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D:\proyecto-banco\"/>
    </mc:Choice>
  </mc:AlternateContent>
  <xr:revisionPtr revIDLastSave="0" documentId="13_ncr:1_{ECDB0828-BB17-429E-B871-138A618E156B}" xr6:coauthVersionLast="47" xr6:coauthVersionMax="47" xr10:uidLastSave="{00000000-0000-0000-0000-000000000000}"/>
  <bookViews>
    <workbookView xWindow="-120" yWindow="-120" windowWidth="20730" windowHeight="11040" activeTab="2" xr2:uid="{00000000-000D-0000-FFFF-FFFF00000000}"/>
  </bookViews>
  <sheets>
    <sheet name="Parámetros" sheetId="1" r:id="rId1"/>
    <sheet name="Proyectos" sheetId="2" r:id="rId2"/>
    <sheet name="Staff" sheetId="3" r:id="rId3"/>
    <sheet name="Staffing" sheetId="4" r:id="rId4"/>
    <sheet name="Resumen x Dir" sheetId="5" r:id="rId5"/>
    <sheet name="STAFFING Q1 detalle" sheetId="6" r:id="rId6"/>
    <sheet name="STAFFs" sheetId="7" state="hidden" r:id="rId7"/>
    <sheet name="Tabla dinámica 49" sheetId="8" state="hidden" r:id="rId8"/>
    <sheet name="Tabla dinámica 48" sheetId="9" state="hidden" r:id="rId9"/>
    <sheet name="Tabla dinámica 47" sheetId="10" state="hidden" r:id="rId10"/>
    <sheet name="TD" sheetId="11" state="hidden" r:id="rId11"/>
    <sheet name="Tablas para ppt SDT" sheetId="12" state="hidden" r:id="rId12"/>
    <sheet name="Tabla dinámica 30" sheetId="13" state="hidden" r:id="rId13"/>
    <sheet name="Tabla dinámica 23" sheetId="14" state="hidden" r:id="rId14"/>
    <sheet name="Prioridades CS" sheetId="15" r:id="rId15"/>
    <sheet name="Backoffice" sheetId="16" r:id="rId16"/>
    <sheet name="CORE 1 " sheetId="21" r:id="rId17"/>
    <sheet name="Global Markets" sheetId="17" state="hidden" r:id="rId18"/>
    <sheet name="Fiduciaria" sheetId="18" state="hidden" r:id="rId19"/>
    <sheet name="Valores" sheetId="19" state="hidden" r:id="rId20"/>
    <sheet name="Enter.TD" sheetId="20" state="hidden" r:id="rId21"/>
    <sheet name="CORE 2" sheetId="22" r:id="rId22"/>
    <sheet name="revisión core" sheetId="23" r:id="rId23"/>
    <sheet name="RES-JC" sheetId="24" r:id="rId24"/>
    <sheet name="Logging" sheetId="25" r:id="rId25"/>
  </sheets>
  <definedNames>
    <definedName name="_xlnm._FilterDatabase" localSheetId="0" hidden="1">Parámetros!$B$1:$C$32</definedName>
    <definedName name="_xlnm._FilterDatabase" localSheetId="1" hidden="1">Proyectos!$A$2:$AB$674</definedName>
    <definedName name="_xlnm._FilterDatabase" localSheetId="22" hidden="1">'revisión core'!$A$1:$Z$253</definedName>
    <definedName name="_xlnm._FilterDatabase" localSheetId="2" hidden="1">Staff!$A$1:$R$885</definedName>
    <definedName name="_xlnm._FilterDatabase" localSheetId="3" hidden="1">Staffing!$A$1:$W$3967</definedName>
    <definedName name="Z_35F9479B_9C3E_4C26_A817_62B1C9927932_.wvu.FilterData" localSheetId="3" hidden="1">Staffing!$A$1:$W$1697</definedName>
    <definedName name="Z_35F9479B_9C3E_4C26_A817_62B1C9927932_.wvu.FilterData" localSheetId="6" hidden="1">STAFFs!$A$1:$I$1582</definedName>
    <definedName name="Z_3F43578F_A90D_41AC_9E36_71FC501A29A2_.wvu.FilterData" localSheetId="3" hidden="1">Staffing!$A$1:$W$1697</definedName>
    <definedName name="Z_3F43578F_A90D_41AC_9E36_71FC501A29A2_.wvu.FilterData" localSheetId="6" hidden="1">STAFFs!$A$1:$I$1582</definedName>
    <definedName name="Z_4C9FF4DE_D27F_4717_B68E_A26853E433FC_.wvu.FilterData" localSheetId="0" hidden="1">Parámetros!$B$1:$H$34</definedName>
    <definedName name="Z_4C9FF4DE_D27F_4717_B68E_A26853E433FC_.wvu.FilterData" localSheetId="3" hidden="1">Staffing!$A$1:$W$1694</definedName>
    <definedName name="Z_4C9FF4DE_D27F_4717_B68E_A26853E433FC_.wvu.FilterData" localSheetId="5" hidden="1">'STAFFING Q1 detalle'!$A$1:$Q$1478</definedName>
    <definedName name="Z_4C9FF4DE_D27F_4717_B68E_A26853E433FC_.wvu.FilterData" localSheetId="6" hidden="1">STAFFs!$A$1:$I$1582</definedName>
    <definedName name="Z_5A6E49A5_A4D2_41C3_824E_130AB7480E47_.wvu.FilterData" localSheetId="3" hidden="1">Staffing!$A$1:$W$1697</definedName>
    <definedName name="Z_5A6E49A5_A4D2_41C3_824E_130AB7480E47_.wvu.FilterData" localSheetId="6" hidden="1">STAFFs!$A$1:$I$1582</definedName>
    <definedName name="Z_648D94F2_2741_4756_B129_0144F3ABB902_.wvu.FilterData" localSheetId="0" hidden="1">Parámetros!$B$1:$H$34</definedName>
    <definedName name="Z_648D94F2_2741_4756_B129_0144F3ABB902_.wvu.FilterData" localSheetId="3" hidden="1">Staffing!$A$1:$W$2983</definedName>
    <definedName name="Z_648D94F2_2741_4756_B129_0144F3ABB902_.wvu.FilterData" localSheetId="5" hidden="1">'STAFFING Q1 detalle'!$A$1:$Q$1478</definedName>
    <definedName name="Z_648D94F2_2741_4756_B129_0144F3ABB902_.wvu.FilterData" localSheetId="6" hidden="1">STAFFs!$A$1:$I$1582</definedName>
    <definedName name="Z_6BB6A7F4_FCBE_4155_BBBA_5BE2FF4775AC_.wvu.FilterData" localSheetId="3" hidden="1">Staffing!$A$1:$W$1694</definedName>
    <definedName name="Z_6BB6A7F4_FCBE_4155_BBBA_5BE2FF4775AC_.wvu.FilterData" localSheetId="6" hidden="1">STAFFs!$A$1:$I$1582</definedName>
    <definedName name="Z_6C18F087_7AEA_487E_85D4_F721AC565684_.wvu.FilterData" localSheetId="3" hidden="1">Staffing!$A$1:$T$1694</definedName>
    <definedName name="Z_6C18F087_7AEA_487E_85D4_F721AC565684_.wvu.FilterData" localSheetId="6" hidden="1">STAFFs!$A$1:$I$1582</definedName>
    <definedName name="Z_710A6608_4F32_4221_9A38_8ECED4F8DEA6_.wvu.FilterData" localSheetId="3" hidden="1">Staffing!$A$1722</definedName>
    <definedName name="Z_7339EE9D_CF01_4341_9114_860E97ED93A1_.wvu.FilterData" localSheetId="3" hidden="1">Staffing!$A$1:$W$1694</definedName>
    <definedName name="Z_7339EE9D_CF01_4341_9114_860E97ED93A1_.wvu.FilterData" localSheetId="6" hidden="1">STAFFs!$A$1:$I$1582</definedName>
    <definedName name="Z_8B4FAE2E_1B10_4474_B40C_4D49F5717B5D_.wvu.FilterData" localSheetId="3" hidden="1">Staffing!$A$1:$W$1697</definedName>
    <definedName name="Z_8B4FAE2E_1B10_4474_B40C_4D49F5717B5D_.wvu.FilterData" localSheetId="6" hidden="1">STAFFs!$A$1:$I$1582</definedName>
    <definedName name="Z_92E9E101_8D53_431E_B969_07D1CCFC2C99_.wvu.FilterData" localSheetId="3" hidden="1">Staffing!$A$1722</definedName>
    <definedName name="Z_9C322D51_A2D0_4198_A462_FB4FA2DC65E6_.wvu.FilterData" localSheetId="3" hidden="1">Staffing!$A$1722</definedName>
    <definedName name="Z_A5C1FB0B_7988_4DBC_A872_969A026CC805_.wvu.FilterData" localSheetId="3" hidden="1">Staffing!$B$1700</definedName>
    <definedName name="Z_FAF69A0D_BAE6_4878_AEC1_B808A8F8FA5D_.wvu.FilterData" localSheetId="3" hidden="1">Staffing!$A$1:$W$1694</definedName>
    <definedName name="Z_FAF69A0D_BAE6_4878_AEC1_B808A8F8FA5D_.wvu.FilterData" localSheetId="6" hidden="1">STAFFs!$A$1:$I$1582</definedName>
  </definedNames>
  <calcPr calcId="191029"/>
  <customWorkbookViews>
    <customWorkbookView name="Filtro 8" guid="{3F43578F-A90D-41AC-9E36-71FC501A29A2}" maximized="1" windowWidth="0" windowHeight="0" activeSheetId="0"/>
    <customWorkbookView name="Filtro 13" guid="{A5C1FB0B-7988-4DBC-A872-969A026CC805}" maximized="1" windowWidth="0" windowHeight="0" activeSheetId="0"/>
    <customWorkbookView name="Filtro 9" guid="{92E9E101-8D53-431E-B969-07D1CCFC2C99}" maximized="1" windowWidth="0" windowHeight="0" activeSheetId="0"/>
    <customWorkbookView name="Filtro 14" guid="{35F9479B-9C3E-4C26-A817-62B1C9927932}" maximized="1" windowWidth="0" windowHeight="0" activeSheetId="0"/>
    <customWorkbookView name="Filtro 11" guid="{710A6608-4F32-4221-9A38-8ECED4F8DEA6}" maximized="1" windowWidth="0" windowHeight="0" activeSheetId="0"/>
    <customWorkbookView name="Filtro 12" guid="{8B4FAE2E-1B10-4474-B40C-4D49F5717B5D}" maximized="1" windowWidth="0" windowHeight="0" activeSheetId="0"/>
    <customWorkbookView name="Filtro 10" guid="{9C322D51-A2D0-4198-A462-FB4FA2DC65E6}" maximized="1" windowWidth="0" windowHeight="0" activeSheetId="0"/>
    <customWorkbookView name="Filtro 4" guid="{7339EE9D-CF01-4341-9114-860E97ED93A1}" maximized="1" windowWidth="0" windowHeight="0" activeSheetId="0"/>
    <customWorkbookView name="Filtro 5" guid="{FAF69A0D-BAE6-4878-AEC1-B808A8F8FA5D}" maximized="1" windowWidth="0" windowHeight="0" activeSheetId="0"/>
    <customWorkbookView name="Filtro 6" guid="{5A6E49A5-A4D2-41C3-824E-130AB7480E47}" maximized="1" windowWidth="0" windowHeight="0" activeSheetId="0"/>
    <customWorkbookView name="Filtro 7" guid="{6C18F087-7AEA-487E-85D4-F721AC565684}" maximized="1" windowWidth="0" windowHeight="0" activeSheetId="0"/>
    <customWorkbookView name="Filtro 1" guid="{4C9FF4DE-D27F-4717-B68E-A26853E433FC}" maximized="1" windowWidth="0" windowHeight="0" activeSheetId="0"/>
    <customWorkbookView name="Filtro 2" guid="{648D94F2-2741-4756-B129-0144F3ABB902}" maximized="1" windowWidth="0" windowHeight="0" activeSheetId="0"/>
    <customWorkbookView name="Filtro 3" guid="{6BB6A7F4-FCBE-4155-BBBA-5BE2FF4775AC}" maximized="1" windowWidth="0" windowHeight="0" activeSheetId="0"/>
  </customWorkbookViews>
  <pivotCaches>
    <pivotCache cacheId="13" r:id="rId26"/>
    <pivotCache cacheId="18" r:id="rId27"/>
    <pivotCache cacheId="24" r:id="rId28"/>
    <pivotCache cacheId="29" r:id="rId29"/>
    <pivotCache cacheId="34" r:id="rId30"/>
    <pivotCache cacheId="38" r:id="rId31"/>
    <pivotCache cacheId="44" r:id="rId32"/>
    <pivotCache cacheId="49" r:id="rId33"/>
    <pivotCache cacheId="55" r:id="rId34"/>
    <pivotCache cacheId="61" r:id="rId3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 i="2" l="1"/>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2" i="2"/>
  <c r="J28" i="21"/>
  <c r="J23" i="21"/>
  <c r="J21" i="21"/>
  <c r="J17" i="21"/>
  <c r="J12" i="21"/>
  <c r="J8" i="21"/>
  <c r="J3" i="21"/>
  <c r="D6" i="13"/>
  <c r="K1478" i="6"/>
  <c r="K1477" i="6"/>
  <c r="K1476" i="6"/>
  <c r="K1475" i="6"/>
  <c r="K1474" i="6"/>
  <c r="K1473" i="6"/>
  <c r="K1472" i="6"/>
  <c r="K1471" i="6"/>
  <c r="K1470" i="6"/>
  <c r="K1469" i="6"/>
  <c r="K1468" i="6"/>
  <c r="K1467" i="6"/>
  <c r="K1466" i="6"/>
  <c r="K1465" i="6"/>
  <c r="K1464" i="6"/>
  <c r="K1463" i="6"/>
  <c r="K1462" i="6"/>
  <c r="K1461" i="6"/>
  <c r="K1460" i="6"/>
  <c r="K1459" i="6"/>
  <c r="K1458" i="6"/>
  <c r="K1457" i="6"/>
  <c r="K1456" i="6"/>
  <c r="K1455" i="6"/>
  <c r="K1454" i="6"/>
  <c r="K1453" i="6"/>
  <c r="K1452" i="6"/>
  <c r="K1451" i="6"/>
  <c r="K1450" i="6"/>
  <c r="K1449" i="6"/>
  <c r="K1448" i="6"/>
  <c r="K1447" i="6"/>
  <c r="K1446" i="6"/>
  <c r="K1445" i="6"/>
  <c r="K1444" i="6"/>
  <c r="K1443" i="6"/>
  <c r="K1442" i="6"/>
  <c r="K1441" i="6"/>
  <c r="K1440" i="6"/>
  <c r="K1439" i="6"/>
  <c r="K1438" i="6"/>
  <c r="K1437" i="6"/>
  <c r="K1436" i="6"/>
  <c r="K1435" i="6"/>
  <c r="K1434" i="6"/>
  <c r="K1433" i="6"/>
  <c r="K1432" i="6"/>
  <c r="K1431" i="6"/>
  <c r="K1430" i="6"/>
  <c r="K1429" i="6"/>
  <c r="K1428" i="6"/>
  <c r="K1427" i="6"/>
  <c r="K1426" i="6"/>
  <c r="K1425" i="6"/>
  <c r="K1424" i="6"/>
  <c r="K1423" i="6"/>
  <c r="K1422" i="6"/>
  <c r="K1421" i="6"/>
  <c r="K1420" i="6"/>
  <c r="K1419" i="6"/>
  <c r="K1418" i="6"/>
  <c r="K1417" i="6"/>
  <c r="K1416" i="6"/>
  <c r="K1415" i="6"/>
  <c r="K1414" i="6"/>
  <c r="K1413" i="6"/>
  <c r="K1412" i="6"/>
  <c r="K1411" i="6"/>
  <c r="K1410" i="6"/>
  <c r="K1409" i="6"/>
  <c r="K1408" i="6"/>
  <c r="K1407" i="6"/>
  <c r="K1406" i="6"/>
  <c r="K1405" i="6"/>
  <c r="K1404" i="6"/>
  <c r="K1403" i="6"/>
  <c r="K1402" i="6"/>
  <c r="K1401" i="6"/>
  <c r="K1400" i="6"/>
  <c r="K1399" i="6"/>
  <c r="K1398" i="6"/>
  <c r="K1397" i="6"/>
  <c r="K1396" i="6"/>
  <c r="K1395" i="6"/>
  <c r="K1394" i="6"/>
  <c r="K1393" i="6"/>
  <c r="K1392" i="6"/>
  <c r="K1391" i="6"/>
  <c r="K1390" i="6"/>
  <c r="K1389" i="6"/>
  <c r="K1388" i="6"/>
  <c r="K1387" i="6"/>
  <c r="K1386" i="6"/>
  <c r="K1385" i="6"/>
  <c r="K1384" i="6"/>
  <c r="K1383" i="6"/>
  <c r="K1382" i="6"/>
  <c r="K1381" i="6"/>
  <c r="K1380" i="6"/>
  <c r="K1379" i="6"/>
  <c r="K1378" i="6"/>
  <c r="K1377" i="6"/>
  <c r="K1376" i="6"/>
  <c r="K1375" i="6"/>
  <c r="K1374" i="6"/>
  <c r="K1373" i="6"/>
  <c r="K1372" i="6"/>
  <c r="K1371" i="6"/>
  <c r="K1370" i="6"/>
  <c r="K1369" i="6"/>
  <c r="K1368" i="6"/>
  <c r="K1367" i="6"/>
  <c r="K1366" i="6"/>
  <c r="K1365" i="6"/>
  <c r="K1364" i="6"/>
  <c r="K1363" i="6"/>
  <c r="K1362" i="6"/>
  <c r="K1361" i="6"/>
  <c r="K1360" i="6"/>
  <c r="K1359" i="6"/>
  <c r="K1358" i="6"/>
  <c r="K1357" i="6"/>
  <c r="K1356" i="6"/>
  <c r="K1355" i="6"/>
  <c r="K1354" i="6"/>
  <c r="K1353" i="6"/>
  <c r="K1352" i="6"/>
  <c r="K1351" i="6"/>
  <c r="K1350" i="6"/>
  <c r="K1349" i="6"/>
  <c r="K1348" i="6"/>
  <c r="K1347" i="6"/>
  <c r="K1346" i="6"/>
  <c r="K1345" i="6"/>
  <c r="K1344" i="6"/>
  <c r="K1343" i="6"/>
  <c r="K1342" i="6"/>
  <c r="K1341" i="6"/>
  <c r="K1340" i="6"/>
  <c r="K1339" i="6"/>
  <c r="K1338" i="6"/>
  <c r="K1337" i="6"/>
  <c r="K1336" i="6"/>
  <c r="K1335" i="6"/>
  <c r="K1334" i="6"/>
  <c r="K1333" i="6"/>
  <c r="K1332" i="6"/>
  <c r="K1331" i="6"/>
  <c r="K1330" i="6"/>
  <c r="K1329" i="6"/>
  <c r="K1328" i="6"/>
  <c r="K1327" i="6"/>
  <c r="K1326" i="6"/>
  <c r="K1325" i="6"/>
  <c r="K1324" i="6"/>
  <c r="K1323" i="6"/>
  <c r="K1322" i="6"/>
  <c r="K1321" i="6"/>
  <c r="K1320" i="6"/>
  <c r="K1319" i="6"/>
  <c r="K1318" i="6"/>
  <c r="K1317" i="6"/>
  <c r="K1316" i="6"/>
  <c r="K1315" i="6"/>
  <c r="K1314" i="6"/>
  <c r="K1313" i="6"/>
  <c r="K1312" i="6"/>
  <c r="K1311" i="6"/>
  <c r="K1310" i="6"/>
  <c r="K1309" i="6"/>
  <c r="K1308" i="6"/>
  <c r="K1307" i="6"/>
  <c r="K1306" i="6"/>
  <c r="K1305" i="6"/>
  <c r="K1304" i="6"/>
  <c r="K1303" i="6"/>
  <c r="K1302" i="6"/>
  <c r="K1301" i="6"/>
  <c r="K1300" i="6"/>
  <c r="K1299" i="6"/>
  <c r="K1298" i="6"/>
  <c r="K1297" i="6"/>
  <c r="K1296" i="6"/>
  <c r="K1295" i="6"/>
  <c r="K1294" i="6"/>
  <c r="K1293" i="6"/>
  <c r="K1292" i="6"/>
  <c r="K1291" i="6"/>
  <c r="K1290" i="6"/>
  <c r="K1289" i="6"/>
  <c r="K1288" i="6"/>
  <c r="K1287" i="6"/>
  <c r="K1286" i="6"/>
  <c r="K1285" i="6"/>
  <c r="K1284" i="6"/>
  <c r="K1283" i="6"/>
  <c r="K1282" i="6"/>
  <c r="K1281" i="6"/>
  <c r="K1280" i="6"/>
  <c r="K1279" i="6"/>
  <c r="K1278" i="6"/>
  <c r="K1277" i="6"/>
  <c r="K1276" i="6"/>
  <c r="K1275" i="6"/>
  <c r="K1274" i="6"/>
  <c r="K1273" i="6"/>
  <c r="K1272" i="6"/>
  <c r="K1271" i="6"/>
  <c r="K1270" i="6"/>
  <c r="K1269" i="6"/>
  <c r="K1268" i="6"/>
  <c r="K1267" i="6"/>
  <c r="K1266" i="6"/>
  <c r="K1265" i="6"/>
  <c r="K1264" i="6"/>
  <c r="K1263" i="6"/>
  <c r="K1262" i="6"/>
  <c r="K1261" i="6"/>
  <c r="K1260" i="6"/>
  <c r="K1259" i="6"/>
  <c r="K1258" i="6"/>
  <c r="K1257" i="6"/>
  <c r="K1256" i="6"/>
  <c r="K1255" i="6"/>
  <c r="K1254" i="6"/>
  <c r="K1253" i="6"/>
  <c r="K1252" i="6"/>
  <c r="K1251" i="6"/>
  <c r="K1250" i="6"/>
  <c r="K1249" i="6"/>
  <c r="K1248" i="6"/>
  <c r="K1247" i="6"/>
  <c r="K1246" i="6"/>
  <c r="K1245" i="6"/>
  <c r="K1244" i="6"/>
  <c r="K1243" i="6"/>
  <c r="K1242" i="6"/>
  <c r="K1241" i="6"/>
  <c r="K1240" i="6"/>
  <c r="K1239" i="6"/>
  <c r="K1238" i="6"/>
  <c r="K1237" i="6"/>
  <c r="K1236" i="6"/>
  <c r="K1235" i="6"/>
  <c r="K1234" i="6"/>
  <c r="K1233" i="6"/>
  <c r="K1232" i="6"/>
  <c r="K1231" i="6"/>
  <c r="K1230" i="6"/>
  <c r="K1229" i="6"/>
  <c r="K1228" i="6"/>
  <c r="K1227" i="6"/>
  <c r="K1226" i="6"/>
  <c r="K1225" i="6"/>
  <c r="K1224" i="6"/>
  <c r="K1223" i="6"/>
  <c r="K1222" i="6"/>
  <c r="K1221" i="6"/>
  <c r="K1220" i="6"/>
  <c r="K1219" i="6"/>
  <c r="K1218" i="6"/>
  <c r="K1217" i="6"/>
  <c r="K1216" i="6"/>
  <c r="K1215" i="6"/>
  <c r="K1214" i="6"/>
  <c r="K1213" i="6"/>
  <c r="K1212" i="6"/>
  <c r="K1211" i="6"/>
  <c r="K1210" i="6"/>
  <c r="K1209" i="6"/>
  <c r="K1208" i="6"/>
  <c r="K1207" i="6"/>
  <c r="K1206" i="6"/>
  <c r="K1205" i="6"/>
  <c r="K1204" i="6"/>
  <c r="K1203" i="6"/>
  <c r="K1202" i="6"/>
  <c r="K1201" i="6"/>
  <c r="K1200" i="6"/>
  <c r="K1199" i="6"/>
  <c r="K1198" i="6"/>
  <c r="K1197" i="6"/>
  <c r="K1196" i="6"/>
  <c r="K1195" i="6"/>
  <c r="K1194" i="6"/>
  <c r="K1193" i="6"/>
  <c r="K1192" i="6"/>
  <c r="K1191" i="6"/>
  <c r="K1190" i="6"/>
  <c r="K1189" i="6"/>
  <c r="K1188" i="6"/>
  <c r="K1187" i="6"/>
  <c r="K1186" i="6"/>
  <c r="K1185" i="6"/>
  <c r="K1184" i="6"/>
  <c r="K1183" i="6"/>
  <c r="K1182" i="6"/>
  <c r="K1181" i="6"/>
  <c r="K1180" i="6"/>
  <c r="K1179" i="6"/>
  <c r="K1178" i="6"/>
  <c r="K1177" i="6"/>
  <c r="K1176" i="6"/>
  <c r="K1175" i="6"/>
  <c r="K1174" i="6"/>
  <c r="K1173" i="6"/>
  <c r="K1172" i="6"/>
  <c r="K1171" i="6"/>
  <c r="K1170" i="6"/>
  <c r="K1169" i="6"/>
  <c r="K1168" i="6"/>
  <c r="K1167" i="6"/>
  <c r="K1166" i="6"/>
  <c r="K1165" i="6"/>
  <c r="K1164" i="6"/>
  <c r="K1163" i="6"/>
  <c r="K1162" i="6"/>
  <c r="K1161" i="6"/>
  <c r="K1160" i="6"/>
  <c r="K1159" i="6"/>
  <c r="K1158" i="6"/>
  <c r="K1157" i="6"/>
  <c r="K1156" i="6"/>
  <c r="K1155" i="6"/>
  <c r="K1154" i="6"/>
  <c r="K1153" i="6"/>
  <c r="K1152" i="6"/>
  <c r="K1151" i="6"/>
  <c r="K1150" i="6"/>
  <c r="K1149" i="6"/>
  <c r="K1148" i="6"/>
  <c r="K1147" i="6"/>
  <c r="K1146" i="6"/>
  <c r="K1145" i="6"/>
  <c r="K1144" i="6"/>
  <c r="K1143" i="6"/>
  <c r="K1142" i="6"/>
  <c r="K1141" i="6"/>
  <c r="K1140" i="6"/>
  <c r="K1139" i="6"/>
  <c r="K1138" i="6"/>
  <c r="K1137" i="6"/>
  <c r="K1136" i="6"/>
  <c r="K1135" i="6"/>
  <c r="K1134" i="6"/>
  <c r="K1133" i="6"/>
  <c r="K1132" i="6"/>
  <c r="K1131" i="6"/>
  <c r="K1130" i="6"/>
  <c r="K1129" i="6"/>
  <c r="K1128" i="6"/>
  <c r="K1127" i="6"/>
  <c r="K1126" i="6"/>
  <c r="K1125" i="6"/>
  <c r="K1124" i="6"/>
  <c r="K1123" i="6"/>
  <c r="K1122" i="6"/>
  <c r="K1121" i="6"/>
  <c r="K1120" i="6"/>
  <c r="K1119" i="6"/>
  <c r="K1118" i="6"/>
  <c r="K1117" i="6"/>
  <c r="K1116" i="6"/>
  <c r="K1115" i="6"/>
  <c r="K1114" i="6"/>
  <c r="K1113" i="6"/>
  <c r="K1112" i="6"/>
  <c r="K1111" i="6"/>
  <c r="K1110" i="6"/>
  <c r="K1109" i="6"/>
  <c r="K1108" i="6"/>
  <c r="K1107" i="6"/>
  <c r="K1106" i="6"/>
  <c r="K1105" i="6"/>
  <c r="K1104" i="6"/>
  <c r="K1103" i="6"/>
  <c r="K1102" i="6"/>
  <c r="K1101" i="6"/>
  <c r="K1100" i="6"/>
  <c r="K1099" i="6"/>
  <c r="K1098" i="6"/>
  <c r="K1097" i="6"/>
  <c r="K1096" i="6"/>
  <c r="K1095" i="6"/>
  <c r="K1094" i="6"/>
  <c r="K1093" i="6"/>
  <c r="K1092" i="6"/>
  <c r="K1091" i="6"/>
  <c r="K1090" i="6"/>
  <c r="K1089" i="6"/>
  <c r="K1088" i="6"/>
  <c r="K1087" i="6"/>
  <c r="K1086" i="6"/>
  <c r="K1085" i="6"/>
  <c r="K1084" i="6"/>
  <c r="K1083" i="6"/>
  <c r="K1082" i="6"/>
  <c r="K1081" i="6"/>
  <c r="K1080" i="6"/>
  <c r="K1079" i="6"/>
  <c r="K1078" i="6"/>
  <c r="K1077" i="6"/>
  <c r="K1076" i="6"/>
  <c r="K1075" i="6"/>
  <c r="K1074" i="6"/>
  <c r="K1073" i="6"/>
  <c r="K1072" i="6"/>
  <c r="K1071" i="6"/>
  <c r="K1070" i="6"/>
  <c r="K1069" i="6"/>
  <c r="K1068" i="6"/>
  <c r="K1067" i="6"/>
  <c r="K1066" i="6"/>
  <c r="K1065" i="6"/>
  <c r="K1064" i="6"/>
  <c r="K1063" i="6"/>
  <c r="K1062" i="6"/>
  <c r="K1061" i="6"/>
  <c r="K1060" i="6"/>
  <c r="K1059" i="6"/>
  <c r="K1058" i="6"/>
  <c r="K1057" i="6"/>
  <c r="K1056" i="6"/>
  <c r="K1055" i="6"/>
  <c r="K1054" i="6"/>
  <c r="K1053" i="6"/>
  <c r="K1052" i="6"/>
  <c r="K1051" i="6"/>
  <c r="K1050" i="6"/>
  <c r="K1049" i="6"/>
  <c r="K1048" i="6"/>
  <c r="K1047" i="6"/>
  <c r="K1046" i="6"/>
  <c r="K1045" i="6"/>
  <c r="K1044" i="6"/>
  <c r="K1043" i="6"/>
  <c r="K1042" i="6"/>
  <c r="K1041" i="6"/>
  <c r="K1040" i="6"/>
  <c r="K1039" i="6"/>
  <c r="K1038" i="6"/>
  <c r="K1037" i="6"/>
  <c r="K1036" i="6"/>
  <c r="K1035" i="6"/>
  <c r="K1034" i="6"/>
  <c r="K1033" i="6"/>
  <c r="K1032" i="6"/>
  <c r="K1031" i="6"/>
  <c r="K1030" i="6"/>
  <c r="K1029" i="6"/>
  <c r="K1028" i="6"/>
  <c r="K1027" i="6"/>
  <c r="K1026" i="6"/>
  <c r="K1025" i="6"/>
  <c r="K1024" i="6"/>
  <c r="K1023" i="6"/>
  <c r="K1022" i="6"/>
  <c r="K1021" i="6"/>
  <c r="K1020" i="6"/>
  <c r="K1019" i="6"/>
  <c r="K1018" i="6"/>
  <c r="K1017" i="6"/>
  <c r="K1016" i="6"/>
  <c r="K1015" i="6"/>
  <c r="K1014" i="6"/>
  <c r="K1013" i="6"/>
  <c r="K1012" i="6"/>
  <c r="K1011" i="6"/>
  <c r="K1010" i="6"/>
  <c r="K1009" i="6"/>
  <c r="K1008" i="6"/>
  <c r="K1007" i="6"/>
  <c r="K1006" i="6"/>
  <c r="K1005" i="6"/>
  <c r="K1004" i="6"/>
  <c r="K1003" i="6"/>
  <c r="K1002" i="6"/>
  <c r="K1001" i="6"/>
  <c r="K1000" i="6"/>
  <c r="K999" i="6"/>
  <c r="K998" i="6"/>
  <c r="K997" i="6"/>
  <c r="K996" i="6"/>
  <c r="K995" i="6"/>
  <c r="K994" i="6"/>
  <c r="K993" i="6"/>
  <c r="K992" i="6"/>
  <c r="K991" i="6"/>
  <c r="K990" i="6"/>
  <c r="K989" i="6"/>
  <c r="K988" i="6"/>
  <c r="K987" i="6"/>
  <c r="K986" i="6"/>
  <c r="K985" i="6"/>
  <c r="K984" i="6"/>
  <c r="K983" i="6"/>
  <c r="K982" i="6"/>
  <c r="K981" i="6"/>
  <c r="K980" i="6"/>
  <c r="K979" i="6"/>
  <c r="K978" i="6"/>
  <c r="K977" i="6"/>
  <c r="K976" i="6"/>
  <c r="K975" i="6"/>
  <c r="K974" i="6"/>
  <c r="K973" i="6"/>
  <c r="K972" i="6"/>
  <c r="K971" i="6"/>
  <c r="K970" i="6"/>
  <c r="K969" i="6"/>
  <c r="K968" i="6"/>
  <c r="K967" i="6"/>
  <c r="K966" i="6"/>
  <c r="K965" i="6"/>
  <c r="K964" i="6"/>
  <c r="K963" i="6"/>
  <c r="K962" i="6"/>
  <c r="K961" i="6"/>
  <c r="K960" i="6"/>
  <c r="K959" i="6"/>
  <c r="K958" i="6"/>
  <c r="K957" i="6"/>
  <c r="K956" i="6"/>
  <c r="K955" i="6"/>
  <c r="K954" i="6"/>
  <c r="K953" i="6"/>
  <c r="K952" i="6"/>
  <c r="K951" i="6"/>
  <c r="K950" i="6"/>
  <c r="K949" i="6"/>
  <c r="K948" i="6"/>
  <c r="K947" i="6"/>
  <c r="K946" i="6"/>
  <c r="K945" i="6"/>
  <c r="K944" i="6"/>
  <c r="K943" i="6"/>
  <c r="K942" i="6"/>
  <c r="K941" i="6"/>
  <c r="K940" i="6"/>
  <c r="K939" i="6"/>
  <c r="K938" i="6"/>
  <c r="K937" i="6"/>
  <c r="K936" i="6"/>
  <c r="K935" i="6"/>
  <c r="K934" i="6"/>
  <c r="K933" i="6"/>
  <c r="K932" i="6"/>
  <c r="K931" i="6"/>
  <c r="K930" i="6"/>
  <c r="K929" i="6"/>
  <c r="K928" i="6"/>
  <c r="K927" i="6"/>
  <c r="K926" i="6"/>
  <c r="K925" i="6"/>
  <c r="K924" i="6"/>
  <c r="K923" i="6"/>
  <c r="K922" i="6"/>
  <c r="K921" i="6"/>
  <c r="K920" i="6"/>
  <c r="K919" i="6"/>
  <c r="K918" i="6"/>
  <c r="K917" i="6"/>
  <c r="K916" i="6"/>
  <c r="K915" i="6"/>
  <c r="K914" i="6"/>
  <c r="K913" i="6"/>
  <c r="K912" i="6"/>
  <c r="K911" i="6"/>
  <c r="K910" i="6"/>
  <c r="K909" i="6"/>
  <c r="K908" i="6"/>
  <c r="K907" i="6"/>
  <c r="K906" i="6"/>
  <c r="K905" i="6"/>
  <c r="K904" i="6"/>
  <c r="K903" i="6"/>
  <c r="K902" i="6"/>
  <c r="K901" i="6"/>
  <c r="K900" i="6"/>
  <c r="K899" i="6"/>
  <c r="K898" i="6"/>
  <c r="K897" i="6"/>
  <c r="K896" i="6"/>
  <c r="K895" i="6"/>
  <c r="K894" i="6"/>
  <c r="K893" i="6"/>
  <c r="K892" i="6"/>
  <c r="K891" i="6"/>
  <c r="K890" i="6"/>
  <c r="K889" i="6"/>
  <c r="K888" i="6"/>
  <c r="K887" i="6"/>
  <c r="K886" i="6"/>
  <c r="K885" i="6"/>
  <c r="K884" i="6"/>
  <c r="K883" i="6"/>
  <c r="K882" i="6"/>
  <c r="K881" i="6"/>
  <c r="K880" i="6"/>
  <c r="K879" i="6"/>
  <c r="K878" i="6"/>
  <c r="K877" i="6"/>
  <c r="K876" i="6"/>
  <c r="K875" i="6"/>
  <c r="K874" i="6"/>
  <c r="K873" i="6"/>
  <c r="K872" i="6"/>
  <c r="K871" i="6"/>
  <c r="K870" i="6"/>
  <c r="K869" i="6"/>
  <c r="K868" i="6"/>
  <c r="K867" i="6"/>
  <c r="K866" i="6"/>
  <c r="K865" i="6"/>
  <c r="K864" i="6"/>
  <c r="K863" i="6"/>
  <c r="K862" i="6"/>
  <c r="K861" i="6"/>
  <c r="K860" i="6"/>
  <c r="K859" i="6"/>
  <c r="K858" i="6"/>
  <c r="K857" i="6"/>
  <c r="K856" i="6"/>
  <c r="K855" i="6"/>
  <c r="K854" i="6"/>
  <c r="K853" i="6"/>
  <c r="K852" i="6"/>
  <c r="K851" i="6"/>
  <c r="K850" i="6"/>
  <c r="K849" i="6"/>
  <c r="K848" i="6"/>
  <c r="K847" i="6"/>
  <c r="K846" i="6"/>
  <c r="K845" i="6"/>
  <c r="K844" i="6"/>
  <c r="K843" i="6"/>
  <c r="K842" i="6"/>
  <c r="K841" i="6"/>
  <c r="K840" i="6"/>
  <c r="K839" i="6"/>
  <c r="K838" i="6"/>
  <c r="K837" i="6"/>
  <c r="K836" i="6"/>
  <c r="K835" i="6"/>
  <c r="K834" i="6"/>
  <c r="K833" i="6"/>
  <c r="K832" i="6"/>
  <c r="K831" i="6"/>
  <c r="K830" i="6"/>
  <c r="K829" i="6"/>
  <c r="K828" i="6"/>
  <c r="K827" i="6"/>
  <c r="K826" i="6"/>
  <c r="K825" i="6"/>
  <c r="K824" i="6"/>
  <c r="K823" i="6"/>
  <c r="K822" i="6"/>
  <c r="K821" i="6"/>
  <c r="K820" i="6"/>
  <c r="K819" i="6"/>
  <c r="K818" i="6"/>
  <c r="K817" i="6"/>
  <c r="K816" i="6"/>
  <c r="K815" i="6"/>
  <c r="K814" i="6"/>
  <c r="K813" i="6"/>
  <c r="K812" i="6"/>
  <c r="K811" i="6"/>
  <c r="K810" i="6"/>
  <c r="K809" i="6"/>
  <c r="K808" i="6"/>
  <c r="K807" i="6"/>
  <c r="K806" i="6"/>
  <c r="K805" i="6"/>
  <c r="K804" i="6"/>
  <c r="K803" i="6"/>
  <c r="K802" i="6"/>
  <c r="K801" i="6"/>
  <c r="K800" i="6"/>
  <c r="K799" i="6"/>
  <c r="K798" i="6"/>
  <c r="K797" i="6"/>
  <c r="K796" i="6"/>
  <c r="K795" i="6"/>
  <c r="K794" i="6"/>
  <c r="K793" i="6"/>
  <c r="K792" i="6"/>
  <c r="K791" i="6"/>
  <c r="K790" i="6"/>
  <c r="K789" i="6"/>
  <c r="K788" i="6"/>
  <c r="K787" i="6"/>
  <c r="K786" i="6"/>
  <c r="K785" i="6"/>
  <c r="K784" i="6"/>
  <c r="K783" i="6"/>
  <c r="K782" i="6"/>
  <c r="K781" i="6"/>
  <c r="K780" i="6"/>
  <c r="K779" i="6"/>
  <c r="K778" i="6"/>
  <c r="K777" i="6"/>
  <c r="K776" i="6"/>
  <c r="K775" i="6"/>
  <c r="K774" i="6"/>
  <c r="K773" i="6"/>
  <c r="K772" i="6"/>
  <c r="K771" i="6"/>
  <c r="K770" i="6"/>
  <c r="K769" i="6"/>
  <c r="K768" i="6"/>
  <c r="K767" i="6"/>
  <c r="K766" i="6"/>
  <c r="K765" i="6"/>
  <c r="K764" i="6"/>
  <c r="K763" i="6"/>
  <c r="K762" i="6"/>
  <c r="K761" i="6"/>
  <c r="K760" i="6"/>
  <c r="K759" i="6"/>
  <c r="K758" i="6"/>
  <c r="K757" i="6"/>
  <c r="K756" i="6"/>
  <c r="K755" i="6"/>
  <c r="K754" i="6"/>
  <c r="K753" i="6"/>
  <c r="K752" i="6"/>
  <c r="K751" i="6"/>
  <c r="K750" i="6"/>
  <c r="K749" i="6"/>
  <c r="K748" i="6"/>
  <c r="K747" i="6"/>
  <c r="K746" i="6"/>
  <c r="K745" i="6"/>
  <c r="K744" i="6"/>
  <c r="K743" i="6"/>
  <c r="K742" i="6"/>
  <c r="K741" i="6"/>
  <c r="K740" i="6"/>
  <c r="K739" i="6"/>
  <c r="K738" i="6"/>
  <c r="K737" i="6"/>
  <c r="K736" i="6"/>
  <c r="K735" i="6"/>
  <c r="K734" i="6"/>
  <c r="K733" i="6"/>
  <c r="K732" i="6"/>
  <c r="K731" i="6"/>
  <c r="K730" i="6"/>
  <c r="K729" i="6"/>
  <c r="K728" i="6"/>
  <c r="K727" i="6"/>
  <c r="K726" i="6"/>
  <c r="K725" i="6"/>
  <c r="K724" i="6"/>
  <c r="K723" i="6"/>
  <c r="K722" i="6"/>
  <c r="K721" i="6"/>
  <c r="K720" i="6"/>
  <c r="K719" i="6"/>
  <c r="K718" i="6"/>
  <c r="K717" i="6"/>
  <c r="K716" i="6"/>
  <c r="K715" i="6"/>
  <c r="K714" i="6"/>
  <c r="K713" i="6"/>
  <c r="K712" i="6"/>
  <c r="K711" i="6"/>
  <c r="K710" i="6"/>
  <c r="K709" i="6"/>
  <c r="K708" i="6"/>
  <c r="K707" i="6"/>
  <c r="K706" i="6"/>
  <c r="K705" i="6"/>
  <c r="K704" i="6"/>
  <c r="K703" i="6"/>
  <c r="K702" i="6"/>
  <c r="K701" i="6"/>
  <c r="K700" i="6"/>
  <c r="K699" i="6"/>
  <c r="K698" i="6"/>
  <c r="K697" i="6"/>
  <c r="K696" i="6"/>
  <c r="K695" i="6"/>
  <c r="K694" i="6"/>
  <c r="K693" i="6"/>
  <c r="K692" i="6"/>
  <c r="K691" i="6"/>
  <c r="K690" i="6"/>
  <c r="K689" i="6"/>
  <c r="K688" i="6"/>
  <c r="K687" i="6"/>
  <c r="K686" i="6"/>
  <c r="K685" i="6"/>
  <c r="K684" i="6"/>
  <c r="K683" i="6"/>
  <c r="K682" i="6"/>
  <c r="K681" i="6"/>
  <c r="K680" i="6"/>
  <c r="K679" i="6"/>
  <c r="K678" i="6"/>
  <c r="K677" i="6"/>
  <c r="K676" i="6"/>
  <c r="K675" i="6"/>
  <c r="K674" i="6"/>
  <c r="K673" i="6"/>
  <c r="K672" i="6"/>
  <c r="K671" i="6"/>
  <c r="K670" i="6"/>
  <c r="K669" i="6"/>
  <c r="K668" i="6"/>
  <c r="K667" i="6"/>
  <c r="K666" i="6"/>
  <c r="K665" i="6"/>
  <c r="K664" i="6"/>
  <c r="K663" i="6"/>
  <c r="K662" i="6"/>
  <c r="K661" i="6"/>
  <c r="K660" i="6"/>
  <c r="K659" i="6"/>
  <c r="K658" i="6"/>
  <c r="K657" i="6"/>
  <c r="K656" i="6"/>
  <c r="K655" i="6"/>
  <c r="K654" i="6"/>
  <c r="K653" i="6"/>
  <c r="K652" i="6"/>
  <c r="K651" i="6"/>
  <c r="K650" i="6"/>
  <c r="K649" i="6"/>
  <c r="K648" i="6"/>
  <c r="K647" i="6"/>
  <c r="K646" i="6"/>
  <c r="K645" i="6"/>
  <c r="K644" i="6"/>
  <c r="K643" i="6"/>
  <c r="K642" i="6"/>
  <c r="K641" i="6"/>
  <c r="K640" i="6"/>
  <c r="K639" i="6"/>
  <c r="K638" i="6"/>
  <c r="K637" i="6"/>
  <c r="K636" i="6"/>
  <c r="K635" i="6"/>
  <c r="K634" i="6"/>
  <c r="K633" i="6"/>
  <c r="K632" i="6"/>
  <c r="K631" i="6"/>
  <c r="K630" i="6"/>
  <c r="K629" i="6"/>
  <c r="K628" i="6"/>
  <c r="K627" i="6"/>
  <c r="K626" i="6"/>
  <c r="K625" i="6"/>
  <c r="K624" i="6"/>
  <c r="K623" i="6"/>
  <c r="K622" i="6"/>
  <c r="K621" i="6"/>
  <c r="K620" i="6"/>
  <c r="K619" i="6"/>
  <c r="K618" i="6"/>
  <c r="K617" i="6"/>
  <c r="K616" i="6"/>
  <c r="K615" i="6"/>
  <c r="K614" i="6"/>
  <c r="K613" i="6"/>
  <c r="K612" i="6"/>
  <c r="K611" i="6"/>
  <c r="K610" i="6"/>
  <c r="K609" i="6"/>
  <c r="K608" i="6"/>
  <c r="K607" i="6"/>
  <c r="K606" i="6"/>
  <c r="K605" i="6"/>
  <c r="K604" i="6"/>
  <c r="K603" i="6"/>
  <c r="K602" i="6"/>
  <c r="K601" i="6"/>
  <c r="K600" i="6"/>
  <c r="K599" i="6"/>
  <c r="K598" i="6"/>
  <c r="K597" i="6"/>
  <c r="K596" i="6"/>
  <c r="K595" i="6"/>
  <c r="K594" i="6"/>
  <c r="K593" i="6"/>
  <c r="K592" i="6"/>
  <c r="K591" i="6"/>
  <c r="K590" i="6"/>
  <c r="K589" i="6"/>
  <c r="K588" i="6"/>
  <c r="K587" i="6"/>
  <c r="K586" i="6"/>
  <c r="K585" i="6"/>
  <c r="K584" i="6"/>
  <c r="K583" i="6"/>
  <c r="K582" i="6"/>
  <c r="K581" i="6"/>
  <c r="K580" i="6"/>
  <c r="K579" i="6"/>
  <c r="K578" i="6"/>
  <c r="K577" i="6"/>
  <c r="K576" i="6"/>
  <c r="K575" i="6"/>
  <c r="K574" i="6"/>
  <c r="K573" i="6"/>
  <c r="K572" i="6"/>
  <c r="K571" i="6"/>
  <c r="K570" i="6"/>
  <c r="K569" i="6"/>
  <c r="K568" i="6"/>
  <c r="K567" i="6"/>
  <c r="K566" i="6"/>
  <c r="K565" i="6"/>
  <c r="K564" i="6"/>
  <c r="K563" i="6"/>
  <c r="K562" i="6"/>
  <c r="K561" i="6"/>
  <c r="K560" i="6"/>
  <c r="K559" i="6"/>
  <c r="K558" i="6"/>
  <c r="K557" i="6"/>
  <c r="K556" i="6"/>
  <c r="K555" i="6"/>
  <c r="K554" i="6"/>
  <c r="K553" i="6"/>
  <c r="K552" i="6"/>
  <c r="K551" i="6"/>
  <c r="K550" i="6"/>
  <c r="K549" i="6"/>
  <c r="K548" i="6"/>
  <c r="K547" i="6"/>
  <c r="K546" i="6"/>
  <c r="K545" i="6"/>
  <c r="K544" i="6"/>
  <c r="K543" i="6"/>
  <c r="K542" i="6"/>
  <c r="K541" i="6"/>
  <c r="K540" i="6"/>
  <c r="K539" i="6"/>
  <c r="K538" i="6"/>
  <c r="K537" i="6"/>
  <c r="K536" i="6"/>
  <c r="K535" i="6"/>
  <c r="K534" i="6"/>
  <c r="K533" i="6"/>
  <c r="K532" i="6"/>
  <c r="K531" i="6"/>
  <c r="K530" i="6"/>
  <c r="K529" i="6"/>
  <c r="K528" i="6"/>
  <c r="K527" i="6"/>
  <c r="K526" i="6"/>
  <c r="K525" i="6"/>
  <c r="K524" i="6"/>
  <c r="K523" i="6"/>
  <c r="K522" i="6"/>
  <c r="K521" i="6"/>
  <c r="K520" i="6"/>
  <c r="K519" i="6"/>
  <c r="K518" i="6"/>
  <c r="K517" i="6"/>
  <c r="K516" i="6"/>
  <c r="K515" i="6"/>
  <c r="K514" i="6"/>
  <c r="K513" i="6"/>
  <c r="K512" i="6"/>
  <c r="K511" i="6"/>
  <c r="K510" i="6"/>
  <c r="K509" i="6"/>
  <c r="K508" i="6"/>
  <c r="K507" i="6"/>
  <c r="K506" i="6"/>
  <c r="K505" i="6"/>
  <c r="K504" i="6"/>
  <c r="K503" i="6"/>
  <c r="K502" i="6"/>
  <c r="K501" i="6"/>
  <c r="K500" i="6"/>
  <c r="K499" i="6"/>
  <c r="K498" i="6"/>
  <c r="K497" i="6"/>
  <c r="K496" i="6"/>
  <c r="K495" i="6"/>
  <c r="K494" i="6"/>
  <c r="K493" i="6"/>
  <c r="K492" i="6"/>
  <c r="K491" i="6"/>
  <c r="K490" i="6"/>
  <c r="K489" i="6"/>
  <c r="K488" i="6"/>
  <c r="K487" i="6"/>
  <c r="K486" i="6"/>
  <c r="K485" i="6"/>
  <c r="K484" i="6"/>
  <c r="K483" i="6"/>
  <c r="K482" i="6"/>
  <c r="K481" i="6"/>
  <c r="K480" i="6"/>
  <c r="K479" i="6"/>
  <c r="K478" i="6"/>
  <c r="K477" i="6"/>
  <c r="K476" i="6"/>
  <c r="K475" i="6"/>
  <c r="K474" i="6"/>
  <c r="K473" i="6"/>
  <c r="K472" i="6"/>
  <c r="K471" i="6"/>
  <c r="K470" i="6"/>
  <c r="K469" i="6"/>
  <c r="K468" i="6"/>
  <c r="K467" i="6"/>
  <c r="K466" i="6"/>
  <c r="K465" i="6"/>
  <c r="K464" i="6"/>
  <c r="K463" i="6"/>
  <c r="K462" i="6"/>
  <c r="K461" i="6"/>
  <c r="K460" i="6"/>
  <c r="K459" i="6"/>
  <c r="K458" i="6"/>
  <c r="K457" i="6"/>
  <c r="K456" i="6"/>
  <c r="K455" i="6"/>
  <c r="K454" i="6"/>
  <c r="K453" i="6"/>
  <c r="K452" i="6"/>
  <c r="K451" i="6"/>
  <c r="K450" i="6"/>
  <c r="K449" i="6"/>
  <c r="K448" i="6"/>
  <c r="K447" i="6"/>
  <c r="K446"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5" i="6"/>
  <c r="K354" i="6"/>
  <c r="K353" i="6"/>
  <c r="K352" i="6"/>
  <c r="K351" i="6"/>
  <c r="K350" i="6"/>
  <c r="K349" i="6"/>
  <c r="K348" i="6"/>
  <c r="K347" i="6"/>
  <c r="K346" i="6"/>
  <c r="K345" i="6"/>
  <c r="K344" i="6"/>
  <c r="K343" i="6"/>
  <c r="K342" i="6"/>
  <c r="K341" i="6"/>
  <c r="K340" i="6"/>
  <c r="K339" i="6"/>
  <c r="K338" i="6"/>
  <c r="K337" i="6"/>
  <c r="K336" i="6"/>
  <c r="K335" i="6"/>
  <c r="K334" i="6"/>
  <c r="K333" i="6"/>
  <c r="K332" i="6"/>
  <c r="K331" i="6"/>
  <c r="K330" i="6"/>
  <c r="K329" i="6"/>
  <c r="K328" i="6"/>
  <c r="K327" i="6"/>
  <c r="K326" i="6"/>
  <c r="K325" i="6"/>
  <c r="K324" i="6"/>
  <c r="K323" i="6"/>
  <c r="K322" i="6"/>
  <c r="K321" i="6"/>
  <c r="K320" i="6"/>
  <c r="K319" i="6"/>
  <c r="K318" i="6"/>
  <c r="K317" i="6"/>
  <c r="K316" i="6"/>
  <c r="K315" i="6"/>
  <c r="K314" i="6"/>
  <c r="K313" i="6"/>
  <c r="K312" i="6"/>
  <c r="K311" i="6"/>
  <c r="K310" i="6"/>
  <c r="K309" i="6"/>
  <c r="K308" i="6"/>
  <c r="K307" i="6"/>
  <c r="K306" i="6"/>
  <c r="K305" i="6"/>
  <c r="K304" i="6"/>
  <c r="K303" i="6"/>
  <c r="K302" i="6"/>
  <c r="K301" i="6"/>
  <c r="K300" i="6"/>
  <c r="K299" i="6"/>
  <c r="K298" i="6"/>
  <c r="K297"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5" i="6"/>
  <c r="K264" i="6"/>
  <c r="K263" i="6"/>
  <c r="K262" i="6"/>
  <c r="K261" i="6"/>
  <c r="K260" i="6"/>
  <c r="K259" i="6"/>
  <c r="K258" i="6"/>
  <c r="K257" i="6"/>
  <c r="K256" i="6"/>
  <c r="K255" i="6"/>
  <c r="K254" i="6"/>
  <c r="K253" i="6"/>
  <c r="K252" i="6"/>
  <c r="K251" i="6"/>
  <c r="K250" i="6"/>
  <c r="K249" i="6"/>
  <c r="K248" i="6"/>
  <c r="K247" i="6"/>
  <c r="K246" i="6"/>
  <c r="K245" i="6"/>
  <c r="K244" i="6"/>
  <c r="K243" i="6"/>
  <c r="K242" i="6"/>
  <c r="K241" i="6"/>
  <c r="K240" i="6"/>
  <c r="K239" i="6"/>
  <c r="K238" i="6"/>
  <c r="K237" i="6"/>
  <c r="K236" i="6"/>
  <c r="K235" i="6"/>
  <c r="K234" i="6"/>
  <c r="K233" i="6"/>
  <c r="K232" i="6"/>
  <c r="K231" i="6"/>
  <c r="K230" i="6"/>
  <c r="K229" i="6"/>
  <c r="K228" i="6"/>
  <c r="K227" i="6"/>
  <c r="K226" i="6"/>
  <c r="K225" i="6"/>
  <c r="K224" i="6"/>
  <c r="K223" i="6"/>
  <c r="K222" i="6"/>
  <c r="K221" i="6"/>
  <c r="K220" i="6"/>
  <c r="K219" i="6"/>
  <c r="K218" i="6"/>
  <c r="K217" i="6"/>
  <c r="K216" i="6"/>
  <c r="K215" i="6"/>
  <c r="K214" i="6"/>
  <c r="K213" i="6"/>
  <c r="K212" i="6"/>
  <c r="K211" i="6"/>
  <c r="K210" i="6"/>
  <c r="K209" i="6"/>
  <c r="K208" i="6"/>
  <c r="K207" i="6"/>
  <c r="K206" i="6"/>
  <c r="K205" i="6"/>
  <c r="K204" i="6"/>
  <c r="K203" i="6"/>
  <c r="K202" i="6"/>
  <c r="K201" i="6"/>
  <c r="K200" i="6"/>
  <c r="K199" i="6"/>
  <c r="K198" i="6"/>
  <c r="K197" i="6"/>
  <c r="K196" i="6"/>
  <c r="K195" i="6"/>
  <c r="K194" i="6"/>
  <c r="K193" i="6"/>
  <c r="K192" i="6"/>
  <c r="K191" i="6"/>
  <c r="K190" i="6"/>
  <c r="K189" i="6"/>
  <c r="K188" i="6"/>
  <c r="K187" i="6"/>
  <c r="K186" i="6"/>
  <c r="K185" i="6"/>
  <c r="K184" i="6"/>
  <c r="K183" i="6"/>
  <c r="K182" i="6"/>
  <c r="K181" i="6"/>
  <c r="K180" i="6"/>
  <c r="K179" i="6"/>
  <c r="K178" i="6"/>
  <c r="K177" i="6"/>
  <c r="K176" i="6"/>
  <c r="K175" i="6"/>
  <c r="K174" i="6"/>
  <c r="K173" i="6"/>
  <c r="K172" i="6"/>
  <c r="K171" i="6"/>
  <c r="K170" i="6"/>
  <c r="K169" i="6"/>
  <c r="K168" i="6"/>
  <c r="K167" i="6"/>
  <c r="K166" i="6"/>
  <c r="K165" i="6"/>
  <c r="K164" i="6"/>
  <c r="K163" i="6"/>
  <c r="K162" i="6"/>
  <c r="K161" i="6"/>
  <c r="K160" i="6"/>
  <c r="K159" i="6"/>
  <c r="K158" i="6"/>
  <c r="K157" i="6"/>
  <c r="K156" i="6"/>
  <c r="K155" i="6"/>
  <c r="K154" i="6"/>
  <c r="K153" i="6"/>
  <c r="K152" i="6"/>
  <c r="K151"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K93" i="6"/>
  <c r="K92" i="6"/>
  <c r="K91" i="6"/>
  <c r="K90" i="6"/>
  <c r="K89" i="6"/>
  <c r="K88" i="6"/>
  <c r="K87" i="6"/>
  <c r="K86" i="6"/>
  <c r="K85" i="6"/>
  <c r="K84" i="6"/>
  <c r="K83" i="6"/>
  <c r="K82" i="6"/>
  <c r="K81" i="6"/>
  <c r="K80" i="6"/>
  <c r="K79" i="6"/>
  <c r="K78" i="6"/>
  <c r="K77" i="6"/>
  <c r="K76" i="6"/>
  <c r="K75" i="6"/>
  <c r="K74" i="6"/>
  <c r="K73" i="6"/>
  <c r="K72" i="6"/>
  <c r="K71" i="6"/>
  <c r="K70" i="6"/>
  <c r="K69" i="6"/>
  <c r="K68" i="6"/>
  <c r="K67" i="6"/>
  <c r="K66" i="6"/>
  <c r="K65" i="6"/>
  <c r="K64" i="6"/>
  <c r="K63" i="6"/>
  <c r="K62" i="6"/>
  <c r="K61" i="6"/>
  <c r="K60" i="6"/>
  <c r="K59" i="6"/>
  <c r="K58" i="6"/>
  <c r="K57" i="6"/>
  <c r="K56" i="6"/>
  <c r="K55" i="6"/>
  <c r="K54" i="6"/>
  <c r="K53" i="6"/>
  <c r="K52" i="6"/>
  <c r="K51" i="6"/>
  <c r="K50" i="6"/>
  <c r="K49" i="6"/>
  <c r="K48" i="6"/>
  <c r="K47" i="6"/>
  <c r="K46" i="6"/>
  <c r="K45" i="6"/>
  <c r="K44" i="6"/>
  <c r="K43" i="6"/>
  <c r="K42" i="6"/>
  <c r="K41" i="6"/>
  <c r="K40" i="6"/>
  <c r="K39" i="6"/>
  <c r="K38" i="6"/>
  <c r="K37" i="6"/>
  <c r="K36" i="6"/>
  <c r="K35" i="6"/>
  <c r="K34" i="6"/>
  <c r="K33" i="6"/>
  <c r="K32" i="6"/>
  <c r="K31" i="6"/>
  <c r="K30" i="6"/>
  <c r="K29" i="6"/>
  <c r="K28" i="6"/>
  <c r="K27" i="6"/>
  <c r="K26" i="6"/>
  <c r="K25" i="6"/>
  <c r="K24" i="6"/>
  <c r="K23" i="6"/>
  <c r="K22" i="6"/>
  <c r="K21" i="6"/>
  <c r="K20" i="6"/>
  <c r="K19" i="6"/>
  <c r="K18" i="6"/>
  <c r="K17" i="6"/>
  <c r="K16" i="6"/>
  <c r="K15" i="6"/>
  <c r="K14" i="6"/>
  <c r="K13" i="6"/>
  <c r="K12" i="6"/>
  <c r="K11" i="6"/>
  <c r="K10" i="6"/>
  <c r="K9" i="6"/>
  <c r="K8" i="6"/>
  <c r="K7" i="6"/>
  <c r="K6" i="6"/>
  <c r="K5" i="6"/>
  <c r="K4" i="6"/>
  <c r="K3" i="6"/>
  <c r="K2" i="6"/>
  <c r="T3289" i="4"/>
  <c r="T3288" i="4"/>
  <c r="T3287" i="4"/>
  <c r="T3286" i="4"/>
  <c r="T3285" i="4"/>
  <c r="T3284" i="4"/>
  <c r="T3283" i="4"/>
  <c r="T3282" i="4"/>
  <c r="T3281" i="4"/>
  <c r="T3280" i="4"/>
  <c r="T3279" i="4"/>
  <c r="T3278" i="4"/>
  <c r="T3277" i="4"/>
  <c r="T3276" i="4"/>
  <c r="T3275" i="4"/>
  <c r="T3274" i="4"/>
  <c r="T3273" i="4"/>
  <c r="T3272" i="4"/>
  <c r="T3271" i="4"/>
  <c r="T3270" i="4"/>
  <c r="T3269" i="4"/>
  <c r="T3268" i="4"/>
  <c r="T3267" i="4"/>
  <c r="T3266" i="4"/>
  <c r="T3265" i="4"/>
  <c r="T3264" i="4"/>
  <c r="T3263" i="4"/>
  <c r="T3262" i="4"/>
  <c r="T3261" i="4"/>
  <c r="T3260" i="4"/>
  <c r="T3259" i="4"/>
  <c r="T3258" i="4"/>
  <c r="T3257" i="4"/>
  <c r="T3256" i="4"/>
  <c r="T3255" i="4"/>
  <c r="T3254" i="4"/>
  <c r="T3253" i="4"/>
  <c r="T3252" i="4"/>
  <c r="T3251" i="4"/>
  <c r="T3250" i="4"/>
  <c r="T3249" i="4"/>
  <c r="T3248" i="4"/>
  <c r="T3247" i="4"/>
  <c r="T3246" i="4"/>
  <c r="T3245" i="4"/>
  <c r="T3244" i="4"/>
  <c r="T3243" i="4"/>
  <c r="T3242" i="4"/>
  <c r="T3241" i="4"/>
  <c r="T3240" i="4"/>
  <c r="T3239" i="4"/>
  <c r="T3238" i="4"/>
  <c r="T3237" i="4"/>
  <c r="T3236" i="4"/>
  <c r="T3235" i="4"/>
  <c r="T3234" i="4"/>
  <c r="T3233" i="4"/>
  <c r="T3232" i="4"/>
  <c r="T3231" i="4"/>
  <c r="T3230" i="4"/>
  <c r="T3229" i="4"/>
  <c r="T3228" i="4"/>
  <c r="T3227" i="4"/>
  <c r="T3226" i="4"/>
  <c r="T3225" i="4"/>
  <c r="T3224" i="4"/>
  <c r="T3223" i="4"/>
  <c r="T3222" i="4"/>
  <c r="T3221" i="4"/>
  <c r="T3220" i="4"/>
  <c r="T3219" i="4"/>
  <c r="T3218" i="4"/>
  <c r="T3217" i="4"/>
  <c r="T3216" i="4"/>
  <c r="T3215" i="4"/>
  <c r="T3214" i="4"/>
  <c r="T3213" i="4"/>
  <c r="T3212" i="4"/>
  <c r="T3211" i="4"/>
  <c r="T3210" i="4"/>
  <c r="T3209" i="4"/>
  <c r="T3208" i="4"/>
  <c r="T3207" i="4"/>
  <c r="T3206" i="4"/>
  <c r="T3205" i="4"/>
  <c r="T3204" i="4"/>
  <c r="T3203" i="4"/>
  <c r="T3202" i="4"/>
  <c r="T3201" i="4"/>
  <c r="T3200" i="4"/>
  <c r="T3199" i="4"/>
  <c r="T3198" i="4"/>
  <c r="T3197" i="4"/>
  <c r="T3196" i="4"/>
  <c r="T3195" i="4"/>
  <c r="T3194" i="4"/>
  <c r="T3193" i="4"/>
  <c r="T3192" i="4"/>
  <c r="T3191" i="4"/>
  <c r="T3190" i="4"/>
  <c r="T3189" i="4"/>
  <c r="T3188" i="4"/>
  <c r="T3187" i="4"/>
  <c r="T3186" i="4"/>
  <c r="T3185" i="4"/>
  <c r="T3184" i="4"/>
  <c r="T3183" i="4"/>
  <c r="T3182" i="4"/>
  <c r="T3181" i="4"/>
  <c r="T3180" i="4"/>
  <c r="T3179" i="4"/>
  <c r="T3178" i="4"/>
  <c r="T3177" i="4"/>
  <c r="T3176" i="4"/>
  <c r="T3175" i="4"/>
  <c r="T3174" i="4"/>
  <c r="T3173" i="4"/>
  <c r="T3172" i="4"/>
  <c r="T3171" i="4"/>
  <c r="T3170" i="4"/>
  <c r="T3169" i="4"/>
  <c r="T3168" i="4"/>
  <c r="T3167" i="4"/>
  <c r="T3166" i="4"/>
  <c r="T3165" i="4"/>
  <c r="T3164" i="4"/>
  <c r="T3163" i="4"/>
  <c r="T3162" i="4"/>
  <c r="T3161" i="4"/>
  <c r="T3160" i="4"/>
  <c r="T3159" i="4"/>
  <c r="T3158" i="4"/>
  <c r="T3157" i="4"/>
  <c r="T3156" i="4"/>
  <c r="T3155" i="4"/>
  <c r="T3154" i="4"/>
  <c r="T3153" i="4"/>
  <c r="T3152" i="4"/>
  <c r="T3151" i="4"/>
  <c r="T3150" i="4"/>
  <c r="T3149" i="4"/>
  <c r="T3148" i="4"/>
  <c r="T3147" i="4"/>
  <c r="T3146" i="4"/>
  <c r="T3145" i="4"/>
  <c r="T3144" i="4"/>
  <c r="T3143" i="4"/>
  <c r="T3142" i="4"/>
  <c r="T3141" i="4"/>
  <c r="T3140" i="4"/>
  <c r="T3139" i="4"/>
  <c r="T3138" i="4"/>
  <c r="T3137" i="4"/>
  <c r="T3136" i="4"/>
  <c r="T3135" i="4"/>
  <c r="T3134" i="4"/>
  <c r="T3133" i="4"/>
  <c r="T3132" i="4"/>
  <c r="T3131" i="4"/>
  <c r="T3130" i="4"/>
  <c r="T3129" i="4"/>
  <c r="T3128" i="4"/>
  <c r="T3127" i="4"/>
  <c r="T3126" i="4"/>
  <c r="T3125" i="4"/>
  <c r="T3124" i="4"/>
  <c r="T3123" i="4"/>
  <c r="T3122" i="4"/>
  <c r="T3121" i="4"/>
  <c r="T3120" i="4"/>
  <c r="T3119" i="4"/>
  <c r="T3118" i="4"/>
  <c r="T3117" i="4"/>
  <c r="T3116" i="4"/>
  <c r="T3115" i="4"/>
  <c r="T3114" i="4"/>
  <c r="T3113" i="4"/>
  <c r="T3112" i="4"/>
  <c r="T3111" i="4"/>
  <c r="T3110" i="4"/>
  <c r="T3109" i="4"/>
  <c r="T3108" i="4"/>
  <c r="T3107" i="4"/>
  <c r="T3106" i="4"/>
  <c r="T3105" i="4"/>
  <c r="T3104" i="4"/>
  <c r="T3103" i="4"/>
  <c r="T3102" i="4"/>
  <c r="T3101" i="4"/>
  <c r="T3100" i="4"/>
  <c r="T3099" i="4"/>
  <c r="T3098" i="4"/>
  <c r="T3097" i="4"/>
  <c r="T3096" i="4"/>
  <c r="T3095" i="4"/>
  <c r="T3094" i="4"/>
  <c r="T3093" i="4"/>
  <c r="T3092" i="4"/>
  <c r="T3091" i="4"/>
  <c r="T3090" i="4"/>
  <c r="T3089" i="4"/>
  <c r="T3088" i="4"/>
  <c r="T3087" i="4"/>
  <c r="T3086" i="4"/>
  <c r="T3085" i="4"/>
  <c r="T3084" i="4"/>
  <c r="T3083" i="4"/>
  <c r="T3082" i="4"/>
  <c r="T3081" i="4"/>
  <c r="T3080" i="4"/>
  <c r="T3079" i="4"/>
  <c r="T3078" i="4"/>
  <c r="T3077" i="4"/>
  <c r="T3076" i="4"/>
  <c r="T3075" i="4"/>
  <c r="T3074" i="4"/>
  <c r="T3073" i="4"/>
  <c r="T3072" i="4"/>
  <c r="T3071" i="4"/>
  <c r="T3070" i="4"/>
  <c r="T3069" i="4"/>
  <c r="T3068" i="4"/>
  <c r="T3067" i="4"/>
  <c r="T3066" i="4"/>
  <c r="T3065" i="4"/>
  <c r="T3064" i="4"/>
  <c r="T3063" i="4"/>
  <c r="T3062" i="4"/>
  <c r="T3061" i="4"/>
  <c r="T3060" i="4"/>
  <c r="T3059" i="4"/>
  <c r="T3058" i="4"/>
  <c r="T3057" i="4"/>
  <c r="T3056" i="4"/>
  <c r="T3055" i="4"/>
  <c r="T3054" i="4"/>
  <c r="T3053" i="4"/>
  <c r="T3052" i="4"/>
  <c r="T3051" i="4"/>
  <c r="T3050" i="4"/>
  <c r="T3049" i="4"/>
  <c r="T3048" i="4"/>
  <c r="T3047" i="4"/>
  <c r="T3046" i="4"/>
  <c r="T3045" i="4"/>
  <c r="T3044" i="4"/>
  <c r="T3043" i="4"/>
  <c r="T3042" i="4"/>
  <c r="T3041" i="4"/>
  <c r="T3040" i="4"/>
  <c r="T3039" i="4"/>
  <c r="T3038" i="4"/>
  <c r="T3037" i="4"/>
  <c r="T3036" i="4"/>
  <c r="T3035" i="4"/>
  <c r="T3034" i="4"/>
  <c r="T3033" i="4"/>
  <c r="T3032" i="4"/>
  <c r="T3031" i="4"/>
  <c r="T3030" i="4"/>
  <c r="T3029" i="4"/>
  <c r="T3028" i="4"/>
  <c r="T3027" i="4"/>
  <c r="T3026" i="4"/>
  <c r="T3025" i="4"/>
  <c r="T3024" i="4"/>
  <c r="T3023" i="4"/>
  <c r="T3022" i="4"/>
  <c r="T3021" i="4"/>
  <c r="T3020" i="4"/>
  <c r="T3019" i="4"/>
  <c r="T3018" i="4"/>
  <c r="T3017" i="4"/>
  <c r="T3016" i="4"/>
  <c r="T3015" i="4"/>
  <c r="T3014" i="4"/>
  <c r="T3013" i="4"/>
  <c r="T3012" i="4"/>
  <c r="T3011" i="4"/>
  <c r="T3010" i="4"/>
  <c r="T3009" i="4"/>
  <c r="T3008" i="4"/>
  <c r="T3007" i="4"/>
  <c r="T3006" i="4"/>
  <c r="T3005" i="4"/>
  <c r="T3004" i="4"/>
  <c r="T3003" i="4"/>
  <c r="T3002" i="4"/>
  <c r="T3001" i="4"/>
  <c r="T3000" i="4"/>
  <c r="T2999" i="4"/>
  <c r="T2998" i="4"/>
  <c r="T2997" i="4"/>
  <c r="T2996" i="4"/>
  <c r="T2995" i="4"/>
  <c r="T2994" i="4"/>
  <c r="T2993" i="4"/>
  <c r="T2992" i="4"/>
  <c r="T2991" i="4"/>
  <c r="T2990" i="4"/>
  <c r="T2989" i="4"/>
  <c r="T2988" i="4"/>
  <c r="T2987" i="4"/>
  <c r="T2986" i="4"/>
  <c r="T2985" i="4"/>
  <c r="T2984" i="4"/>
  <c r="T2983" i="4"/>
  <c r="T2982" i="4"/>
  <c r="T2981" i="4"/>
  <c r="T2980" i="4"/>
  <c r="T2979" i="4"/>
  <c r="T2978" i="4"/>
  <c r="T2977" i="4"/>
  <c r="T2976" i="4"/>
  <c r="T2975" i="4"/>
  <c r="T2974" i="4"/>
  <c r="T2973" i="4"/>
  <c r="T2972" i="4"/>
  <c r="T2971" i="4"/>
  <c r="T2970" i="4"/>
  <c r="T2969" i="4"/>
  <c r="T2968" i="4"/>
  <c r="T2967" i="4"/>
  <c r="T2966" i="4"/>
  <c r="T2965" i="4"/>
  <c r="T2964" i="4"/>
  <c r="T2963" i="4"/>
  <c r="T2962" i="4"/>
  <c r="T2961" i="4"/>
  <c r="T2960" i="4"/>
  <c r="T2959" i="4"/>
  <c r="T2958" i="4"/>
  <c r="T2957" i="4"/>
  <c r="T2956" i="4"/>
  <c r="T2955" i="4"/>
  <c r="T2954" i="4"/>
  <c r="T2953" i="4"/>
  <c r="T2952" i="4"/>
  <c r="T2951" i="4"/>
  <c r="T2950" i="4"/>
  <c r="T2949" i="4"/>
  <c r="T2948" i="4"/>
  <c r="T2947" i="4"/>
  <c r="T2946" i="4"/>
  <c r="T2945" i="4"/>
  <c r="T2944" i="4"/>
  <c r="T2943" i="4"/>
  <c r="T2942" i="4"/>
  <c r="T2941" i="4"/>
  <c r="T2940" i="4"/>
  <c r="T2939" i="4"/>
  <c r="T2938" i="4"/>
  <c r="T2937" i="4"/>
  <c r="T2936" i="4"/>
  <c r="T2935" i="4"/>
  <c r="T2934" i="4"/>
  <c r="T2933" i="4"/>
  <c r="T2932" i="4"/>
  <c r="T2931" i="4"/>
  <c r="T2930" i="4"/>
  <c r="T2929" i="4"/>
  <c r="T2928" i="4"/>
  <c r="T2927" i="4"/>
  <c r="T2926" i="4"/>
  <c r="T2925" i="4"/>
  <c r="T2924" i="4"/>
  <c r="T2923" i="4"/>
  <c r="T2922" i="4"/>
  <c r="T2921" i="4"/>
  <c r="T2920" i="4"/>
  <c r="T2919" i="4"/>
  <c r="T2918" i="4"/>
  <c r="T2917" i="4"/>
  <c r="T2916" i="4"/>
  <c r="T2915" i="4"/>
  <c r="T2914" i="4"/>
  <c r="T2913" i="4"/>
  <c r="T2912" i="4"/>
  <c r="T2911" i="4"/>
  <c r="T2910" i="4"/>
  <c r="T2909" i="4"/>
  <c r="T2908" i="4"/>
  <c r="T2907" i="4"/>
  <c r="T2906" i="4"/>
  <c r="T2905" i="4"/>
  <c r="T2904" i="4"/>
  <c r="T2903" i="4"/>
  <c r="T2902" i="4"/>
  <c r="T2901" i="4"/>
  <c r="T2900" i="4"/>
  <c r="T2899" i="4"/>
  <c r="T2898" i="4"/>
  <c r="T2897" i="4"/>
  <c r="T2896" i="4"/>
  <c r="T2895" i="4"/>
  <c r="T2894" i="4"/>
  <c r="T2893" i="4"/>
  <c r="T2892" i="4"/>
  <c r="T2891" i="4"/>
  <c r="T2890" i="4"/>
  <c r="T2889" i="4"/>
  <c r="T2888" i="4"/>
  <c r="T2887" i="4"/>
  <c r="T2886" i="4"/>
  <c r="T2885" i="4"/>
  <c r="T2884" i="4"/>
  <c r="T2883" i="4"/>
  <c r="T2882" i="4"/>
  <c r="T2881" i="4"/>
  <c r="T2880" i="4"/>
  <c r="T2879" i="4"/>
  <c r="T2878" i="4"/>
  <c r="T2877" i="4"/>
  <c r="T2876" i="4"/>
  <c r="T2875" i="4"/>
  <c r="T2874" i="4"/>
  <c r="T2873" i="4"/>
  <c r="T2872" i="4"/>
  <c r="T2871" i="4"/>
  <c r="T2870" i="4"/>
  <c r="T2869" i="4"/>
  <c r="T2868" i="4"/>
  <c r="T2867" i="4"/>
  <c r="T2866" i="4"/>
  <c r="T2865" i="4"/>
  <c r="T2864" i="4"/>
  <c r="T2863" i="4"/>
  <c r="T2862" i="4"/>
  <c r="T2861" i="4"/>
  <c r="T2860" i="4"/>
  <c r="T2859" i="4"/>
  <c r="T2858" i="4"/>
  <c r="T2857" i="4"/>
  <c r="T2856" i="4"/>
  <c r="T2855" i="4"/>
  <c r="T2854" i="4"/>
  <c r="T2853" i="4"/>
  <c r="T2852" i="4"/>
  <c r="T2851" i="4"/>
  <c r="T2850" i="4"/>
  <c r="T2849" i="4"/>
  <c r="T2848" i="4"/>
  <c r="T2847" i="4"/>
  <c r="T2846" i="4"/>
  <c r="T2845" i="4"/>
  <c r="T2844" i="4"/>
  <c r="T2843" i="4"/>
  <c r="T2842" i="4"/>
  <c r="T2841" i="4"/>
  <c r="T2840" i="4"/>
  <c r="T2839" i="4"/>
  <c r="T2838" i="4"/>
  <c r="T2837" i="4"/>
  <c r="T2836" i="4"/>
  <c r="T2835" i="4"/>
  <c r="T2834" i="4"/>
  <c r="T2833" i="4"/>
  <c r="T2832" i="4"/>
  <c r="T2831" i="4"/>
  <c r="T2830" i="4"/>
  <c r="T2829" i="4"/>
  <c r="T2828" i="4"/>
  <c r="T2827" i="4"/>
  <c r="T2826" i="4"/>
  <c r="T2825" i="4"/>
  <c r="T2824" i="4"/>
  <c r="T2823" i="4"/>
  <c r="T2822" i="4"/>
  <c r="T2821" i="4"/>
  <c r="T2820" i="4"/>
  <c r="T2819" i="4"/>
  <c r="T2818" i="4"/>
  <c r="T2817" i="4"/>
  <c r="T2816" i="4"/>
  <c r="T2815" i="4"/>
  <c r="T2814" i="4"/>
  <c r="T2813" i="4"/>
  <c r="T2812" i="4"/>
  <c r="T2811" i="4"/>
  <c r="T2810" i="4"/>
  <c r="T2809" i="4"/>
  <c r="T2808" i="4"/>
  <c r="T2807" i="4"/>
  <c r="T2806" i="4"/>
  <c r="T2805" i="4"/>
  <c r="T2804" i="4"/>
  <c r="T2803" i="4"/>
  <c r="T2802" i="4"/>
  <c r="T2801" i="4"/>
  <c r="T2800" i="4"/>
  <c r="T2799" i="4"/>
  <c r="T2798" i="4"/>
  <c r="T2797" i="4"/>
  <c r="T2796" i="4"/>
  <c r="T2795" i="4"/>
  <c r="T2794" i="4"/>
  <c r="T2793" i="4"/>
  <c r="T2792" i="4"/>
  <c r="T2791" i="4"/>
  <c r="T2790" i="4"/>
  <c r="T2789" i="4"/>
  <c r="T2788" i="4"/>
  <c r="T2787" i="4"/>
  <c r="T2786" i="4"/>
  <c r="T2785" i="4"/>
  <c r="T2784" i="4"/>
  <c r="T2783" i="4"/>
  <c r="T2782" i="4"/>
  <c r="T2781" i="4"/>
  <c r="T2780" i="4"/>
  <c r="T2779" i="4"/>
  <c r="T2778" i="4"/>
  <c r="T2777" i="4"/>
  <c r="T2776" i="4"/>
  <c r="T2775" i="4"/>
  <c r="T2774" i="4"/>
  <c r="T2773" i="4"/>
  <c r="T2772" i="4"/>
  <c r="T2771" i="4"/>
  <c r="T2770" i="4"/>
  <c r="T2769" i="4"/>
  <c r="T2768" i="4"/>
  <c r="T2767" i="4"/>
  <c r="T2766" i="4"/>
  <c r="T2765" i="4"/>
  <c r="T2764" i="4"/>
  <c r="T2763" i="4"/>
  <c r="T2762" i="4"/>
  <c r="T2761" i="4"/>
  <c r="T2760" i="4"/>
  <c r="T2759" i="4"/>
  <c r="T2758" i="4"/>
  <c r="T2757" i="4"/>
  <c r="T2756" i="4"/>
  <c r="T2755" i="4"/>
  <c r="T2754" i="4"/>
  <c r="T2753" i="4"/>
  <c r="T2752" i="4"/>
  <c r="T2751" i="4"/>
  <c r="T2750" i="4"/>
  <c r="T2749" i="4"/>
  <c r="T2748" i="4"/>
  <c r="T2747" i="4"/>
  <c r="T2746" i="4"/>
  <c r="T2745" i="4"/>
  <c r="T2744" i="4"/>
  <c r="T2743" i="4"/>
  <c r="T2742" i="4"/>
  <c r="T2741" i="4"/>
  <c r="T2740" i="4"/>
  <c r="T2739" i="4"/>
  <c r="T2738" i="4"/>
  <c r="T2737" i="4"/>
  <c r="T2736" i="4"/>
  <c r="T2735" i="4"/>
  <c r="T2734" i="4"/>
  <c r="T2733" i="4"/>
  <c r="T2732" i="4"/>
  <c r="T2731" i="4"/>
  <c r="T2730" i="4"/>
  <c r="T2729" i="4"/>
  <c r="T2728" i="4"/>
  <c r="T2727" i="4"/>
  <c r="T2726" i="4"/>
  <c r="T2725" i="4"/>
  <c r="T2724" i="4"/>
  <c r="T2723" i="4"/>
  <c r="T2722" i="4"/>
  <c r="T2721" i="4"/>
  <c r="T2720" i="4"/>
  <c r="T2719" i="4"/>
  <c r="T2718" i="4"/>
  <c r="T2717" i="4"/>
  <c r="T2716" i="4"/>
  <c r="T2715" i="4"/>
  <c r="T2714" i="4"/>
  <c r="T2713" i="4"/>
  <c r="T2712" i="4"/>
  <c r="T2711" i="4"/>
  <c r="T2710" i="4"/>
  <c r="T2709" i="4"/>
  <c r="T2708" i="4"/>
  <c r="T2707" i="4"/>
  <c r="T2706" i="4"/>
  <c r="T2705" i="4"/>
  <c r="T2704" i="4"/>
  <c r="T2703" i="4"/>
  <c r="T2702" i="4"/>
  <c r="T2701" i="4"/>
  <c r="T2700" i="4"/>
  <c r="T2699" i="4"/>
  <c r="T2698" i="4"/>
  <c r="T2697" i="4"/>
  <c r="T2696" i="4"/>
  <c r="T2695" i="4"/>
  <c r="T2694" i="4"/>
  <c r="T2693" i="4"/>
  <c r="T2692" i="4"/>
  <c r="T2691" i="4"/>
  <c r="T2690" i="4"/>
  <c r="T2689" i="4"/>
  <c r="T2688" i="4"/>
  <c r="T2687" i="4"/>
  <c r="T2686" i="4"/>
  <c r="T2685" i="4"/>
  <c r="T2684" i="4"/>
  <c r="T2683" i="4"/>
  <c r="T2682" i="4"/>
  <c r="T2681" i="4"/>
  <c r="T2680" i="4"/>
  <c r="T2679" i="4"/>
  <c r="T2678" i="4"/>
  <c r="T2677" i="4"/>
  <c r="T2676" i="4"/>
  <c r="T2675" i="4"/>
  <c r="T2674" i="4"/>
  <c r="T2673" i="4"/>
  <c r="T2672" i="4"/>
  <c r="T2671" i="4"/>
  <c r="T2670" i="4"/>
  <c r="T2669" i="4"/>
  <c r="T2668" i="4"/>
  <c r="T2667" i="4"/>
  <c r="T2666" i="4"/>
  <c r="T2665" i="4"/>
  <c r="T2664" i="4"/>
  <c r="T2663" i="4"/>
  <c r="T2662" i="4"/>
  <c r="T2661" i="4"/>
  <c r="T2660" i="4"/>
  <c r="T2659" i="4"/>
  <c r="T2658" i="4"/>
  <c r="T2657" i="4"/>
  <c r="T2656" i="4"/>
  <c r="T2655" i="4"/>
  <c r="T2654" i="4"/>
  <c r="T2653" i="4"/>
  <c r="T2652" i="4"/>
  <c r="T2651" i="4"/>
  <c r="T2650" i="4"/>
  <c r="T2649" i="4"/>
  <c r="T2648" i="4"/>
  <c r="T2647" i="4"/>
  <c r="T2646" i="4"/>
  <c r="T2645" i="4"/>
  <c r="T2644" i="4"/>
  <c r="T2643" i="4"/>
  <c r="T2642" i="4"/>
  <c r="T2641" i="4"/>
  <c r="T2640" i="4"/>
  <c r="T2639" i="4"/>
  <c r="T2638" i="4"/>
  <c r="T2637" i="4"/>
  <c r="T2636" i="4"/>
  <c r="T2635" i="4"/>
  <c r="T2634" i="4"/>
  <c r="T2633" i="4"/>
  <c r="T2632" i="4"/>
  <c r="T2631" i="4"/>
  <c r="T2630" i="4"/>
  <c r="T2629" i="4"/>
  <c r="T2628" i="4"/>
  <c r="T2627" i="4"/>
  <c r="T2626" i="4"/>
  <c r="T2625" i="4"/>
  <c r="T2624" i="4"/>
  <c r="T2623" i="4"/>
  <c r="T2622" i="4"/>
  <c r="T2621" i="4"/>
  <c r="T2620" i="4"/>
  <c r="T2619" i="4"/>
  <c r="T2618" i="4"/>
  <c r="T2617" i="4"/>
  <c r="T2616" i="4"/>
  <c r="T2615" i="4"/>
  <c r="T2614" i="4"/>
  <c r="T2613" i="4"/>
  <c r="T2612" i="4"/>
  <c r="T2611" i="4"/>
  <c r="T2610" i="4"/>
  <c r="T2609" i="4"/>
  <c r="T2608" i="4"/>
  <c r="T2607" i="4"/>
  <c r="T2606" i="4"/>
  <c r="T2605" i="4"/>
  <c r="T2604" i="4"/>
  <c r="T2603" i="4"/>
  <c r="T2602" i="4"/>
  <c r="T2601" i="4"/>
  <c r="T2600" i="4"/>
  <c r="T2599" i="4"/>
  <c r="T2598" i="4"/>
  <c r="T2597" i="4"/>
  <c r="T2596" i="4"/>
  <c r="T2595" i="4"/>
  <c r="T2594" i="4"/>
  <c r="T2593" i="4"/>
  <c r="T2592" i="4"/>
  <c r="T2591" i="4"/>
  <c r="T2590" i="4"/>
  <c r="T2589" i="4"/>
  <c r="T2588" i="4"/>
  <c r="T2587" i="4"/>
  <c r="T2586" i="4"/>
  <c r="T2585" i="4"/>
  <c r="T2584" i="4"/>
  <c r="T2583" i="4"/>
  <c r="T2582" i="4"/>
  <c r="T2581" i="4"/>
  <c r="T2580" i="4"/>
  <c r="T2579" i="4"/>
  <c r="T2578" i="4"/>
  <c r="T2577" i="4"/>
  <c r="T2576" i="4"/>
  <c r="T2575" i="4"/>
  <c r="T2574" i="4"/>
  <c r="T2573" i="4"/>
  <c r="T2572" i="4"/>
  <c r="T2571" i="4"/>
  <c r="T2570" i="4"/>
  <c r="T2569" i="4"/>
  <c r="T2568" i="4"/>
  <c r="T2567" i="4"/>
  <c r="T2566" i="4"/>
  <c r="T2565" i="4"/>
  <c r="T2564" i="4"/>
  <c r="T2563" i="4"/>
  <c r="T2562" i="4"/>
  <c r="T2561" i="4"/>
  <c r="T2560" i="4"/>
  <c r="T2559" i="4"/>
  <c r="T2558" i="4"/>
  <c r="T2557" i="4"/>
  <c r="T2556" i="4"/>
  <c r="T2555" i="4"/>
  <c r="T2554" i="4"/>
  <c r="T2553" i="4"/>
  <c r="T2552" i="4"/>
  <c r="T2551" i="4"/>
  <c r="T2550" i="4"/>
  <c r="T2549" i="4"/>
  <c r="T2548" i="4"/>
  <c r="T2547" i="4"/>
  <c r="T2546" i="4"/>
  <c r="T2545" i="4"/>
  <c r="T2544" i="4"/>
  <c r="T2543" i="4"/>
  <c r="T2542" i="4"/>
  <c r="T2541" i="4"/>
  <c r="T2540" i="4"/>
  <c r="T2539" i="4"/>
  <c r="T2538" i="4"/>
  <c r="T2537" i="4"/>
  <c r="T2536" i="4"/>
  <c r="T2535" i="4"/>
  <c r="T2534" i="4"/>
  <c r="T2533" i="4"/>
  <c r="T2532" i="4"/>
  <c r="T2531" i="4"/>
  <c r="T2530" i="4"/>
  <c r="T2529" i="4"/>
  <c r="T2528" i="4"/>
  <c r="T2527" i="4"/>
  <c r="T2526" i="4"/>
  <c r="T2525" i="4"/>
  <c r="T2524" i="4"/>
  <c r="T2523" i="4"/>
  <c r="T2522" i="4"/>
  <c r="T2521" i="4"/>
  <c r="T2520" i="4"/>
  <c r="T2519" i="4"/>
  <c r="T2518" i="4"/>
  <c r="T2517" i="4"/>
  <c r="T2516" i="4"/>
  <c r="T2515" i="4"/>
  <c r="T2514" i="4"/>
  <c r="T2513" i="4"/>
  <c r="T2512" i="4"/>
  <c r="T2511" i="4"/>
  <c r="T2510" i="4"/>
  <c r="T2509" i="4"/>
  <c r="T2508" i="4"/>
  <c r="T2507" i="4"/>
  <c r="T2506" i="4"/>
  <c r="T2505" i="4"/>
  <c r="T2504" i="4"/>
  <c r="T2503" i="4"/>
  <c r="T2502" i="4"/>
  <c r="T2501" i="4"/>
  <c r="T2500" i="4"/>
  <c r="T2499" i="4"/>
  <c r="T2498" i="4"/>
  <c r="T2497" i="4"/>
  <c r="T2496" i="4"/>
  <c r="T2495" i="4"/>
  <c r="T2494" i="4"/>
  <c r="T2493" i="4"/>
  <c r="T2492" i="4"/>
  <c r="T2491" i="4"/>
  <c r="T2490" i="4"/>
  <c r="T2489" i="4"/>
  <c r="T2488" i="4"/>
  <c r="T2487" i="4"/>
  <c r="T2486" i="4"/>
  <c r="T2485" i="4"/>
  <c r="T2484" i="4"/>
  <c r="T2483" i="4"/>
  <c r="T2482" i="4"/>
  <c r="T2481" i="4"/>
  <c r="T2480" i="4"/>
  <c r="T2479" i="4"/>
  <c r="T2478" i="4"/>
  <c r="T2477" i="4"/>
  <c r="T2476" i="4"/>
  <c r="T2475" i="4"/>
  <c r="T2474" i="4"/>
  <c r="T2473" i="4"/>
  <c r="T2472" i="4"/>
  <c r="T2471" i="4"/>
  <c r="T2470" i="4"/>
  <c r="T2469" i="4"/>
  <c r="T2468" i="4"/>
  <c r="T2467" i="4"/>
  <c r="T2466" i="4"/>
  <c r="T2465" i="4"/>
  <c r="T2464" i="4"/>
  <c r="T2463" i="4"/>
  <c r="T2462" i="4"/>
  <c r="T2461" i="4"/>
  <c r="T2460" i="4"/>
  <c r="T2459" i="4"/>
  <c r="T2458" i="4"/>
  <c r="T2457" i="4"/>
  <c r="T2456" i="4"/>
  <c r="T2455" i="4"/>
  <c r="T2454" i="4"/>
  <c r="T2453" i="4"/>
  <c r="T2452" i="4"/>
  <c r="T2451" i="4"/>
  <c r="T2450" i="4"/>
  <c r="T2449" i="4"/>
  <c r="T2448" i="4"/>
  <c r="T2447" i="4"/>
  <c r="T2446" i="4"/>
  <c r="T2445" i="4"/>
  <c r="T2444" i="4"/>
  <c r="T2443" i="4"/>
  <c r="T2442" i="4"/>
  <c r="T2441" i="4"/>
  <c r="T2440" i="4"/>
  <c r="T2439" i="4"/>
  <c r="T2438" i="4"/>
  <c r="T2437" i="4"/>
  <c r="T2436" i="4"/>
  <c r="T2435" i="4"/>
  <c r="T2434" i="4"/>
  <c r="T2433" i="4"/>
  <c r="T2432" i="4"/>
  <c r="T2431" i="4"/>
  <c r="T2430" i="4"/>
  <c r="T2429" i="4"/>
  <c r="T2428" i="4"/>
  <c r="T2427" i="4"/>
  <c r="T2426" i="4"/>
  <c r="T2425" i="4"/>
  <c r="T2424" i="4"/>
  <c r="T2423" i="4"/>
  <c r="T2422" i="4"/>
  <c r="T2421" i="4"/>
  <c r="T2420" i="4"/>
  <c r="T2419" i="4"/>
  <c r="T2418" i="4"/>
  <c r="T2417" i="4"/>
  <c r="T2416" i="4"/>
  <c r="T2415" i="4"/>
  <c r="T2414" i="4"/>
  <c r="T2413" i="4"/>
  <c r="T2412" i="4"/>
  <c r="T2411" i="4"/>
  <c r="T2410" i="4"/>
  <c r="T2409" i="4"/>
  <c r="T2408" i="4"/>
  <c r="T2407" i="4"/>
  <c r="T2406" i="4"/>
  <c r="T2405" i="4"/>
  <c r="T2404" i="4"/>
  <c r="T2403" i="4"/>
  <c r="T2402" i="4"/>
  <c r="T2401" i="4"/>
  <c r="T2400" i="4"/>
  <c r="T2399" i="4"/>
  <c r="T2398" i="4"/>
  <c r="T2397" i="4"/>
  <c r="T2396" i="4"/>
  <c r="T2395" i="4"/>
  <c r="T2394" i="4"/>
  <c r="T2393" i="4"/>
  <c r="T2392" i="4"/>
  <c r="T2391" i="4"/>
  <c r="T2390" i="4"/>
  <c r="T2389" i="4"/>
  <c r="T2388" i="4"/>
  <c r="T2387" i="4"/>
  <c r="T2386" i="4"/>
  <c r="T2385" i="4"/>
  <c r="T2384" i="4"/>
  <c r="T2383" i="4"/>
  <c r="T2382" i="4"/>
  <c r="T2381" i="4"/>
  <c r="T2380" i="4"/>
  <c r="T2379" i="4"/>
  <c r="T2378" i="4"/>
  <c r="T2377" i="4"/>
  <c r="T2376" i="4"/>
  <c r="T2375" i="4"/>
  <c r="T2374" i="4"/>
  <c r="T2373" i="4"/>
  <c r="T2372" i="4"/>
  <c r="T2371" i="4"/>
  <c r="T2370" i="4"/>
  <c r="T2369" i="4"/>
  <c r="T2368" i="4"/>
  <c r="T2367" i="4"/>
  <c r="T2366" i="4"/>
  <c r="T2365" i="4"/>
  <c r="T2364" i="4"/>
  <c r="T2363" i="4"/>
  <c r="T2362" i="4"/>
  <c r="T2361" i="4"/>
  <c r="T2360" i="4"/>
  <c r="T2359" i="4"/>
  <c r="T2358" i="4"/>
  <c r="T2357" i="4"/>
  <c r="T2356" i="4"/>
  <c r="T2355" i="4"/>
  <c r="T2354" i="4"/>
  <c r="T2353" i="4"/>
  <c r="T2352" i="4"/>
  <c r="T2351" i="4"/>
  <c r="T2350" i="4"/>
  <c r="T2349" i="4"/>
  <c r="T2348" i="4"/>
  <c r="T2347" i="4"/>
  <c r="T2346" i="4"/>
  <c r="T2345" i="4"/>
  <c r="T2344" i="4"/>
  <c r="T2343" i="4"/>
  <c r="T2342" i="4"/>
  <c r="T2341" i="4"/>
  <c r="T2340" i="4"/>
  <c r="T2339" i="4"/>
  <c r="T2338" i="4"/>
  <c r="T2337" i="4"/>
  <c r="T2336" i="4"/>
  <c r="T2335" i="4"/>
  <c r="T2334" i="4"/>
  <c r="T2333" i="4"/>
  <c r="T2332" i="4"/>
  <c r="T2331" i="4"/>
  <c r="T2330" i="4"/>
  <c r="T2329" i="4"/>
  <c r="T2328" i="4"/>
  <c r="T2327" i="4"/>
  <c r="T2326" i="4"/>
  <c r="T2325" i="4"/>
  <c r="T2324" i="4"/>
  <c r="T2323" i="4"/>
  <c r="T2322" i="4"/>
  <c r="T2321" i="4"/>
  <c r="T2320" i="4"/>
  <c r="T2319" i="4"/>
  <c r="T2318" i="4"/>
  <c r="T2317" i="4"/>
  <c r="T2316" i="4"/>
  <c r="T2315" i="4"/>
  <c r="T2314" i="4"/>
  <c r="T2313" i="4"/>
  <c r="T2312" i="4"/>
  <c r="T2311" i="4"/>
  <c r="T2310" i="4"/>
  <c r="T2309" i="4"/>
  <c r="T2308" i="4"/>
  <c r="T2307" i="4"/>
  <c r="T2306" i="4"/>
  <c r="T2305" i="4"/>
  <c r="T2304" i="4"/>
  <c r="T2303" i="4"/>
  <c r="T2302" i="4"/>
  <c r="T2301" i="4"/>
  <c r="T2300" i="4"/>
  <c r="T2299" i="4"/>
  <c r="T2298" i="4"/>
  <c r="T2297" i="4"/>
  <c r="T2296" i="4"/>
  <c r="T2295" i="4"/>
  <c r="T2294" i="4"/>
  <c r="T2293" i="4"/>
  <c r="T2292" i="4"/>
  <c r="T2291" i="4"/>
  <c r="T2290" i="4"/>
  <c r="T2289" i="4"/>
  <c r="T2288" i="4"/>
  <c r="T2287" i="4"/>
  <c r="T2286" i="4"/>
  <c r="T2285" i="4"/>
  <c r="T2284" i="4"/>
  <c r="T2283" i="4"/>
  <c r="T2282" i="4"/>
  <c r="T2281" i="4"/>
  <c r="T2280" i="4"/>
  <c r="T2279" i="4"/>
  <c r="T2278" i="4"/>
  <c r="T2277" i="4"/>
  <c r="T2276" i="4"/>
  <c r="T2275" i="4"/>
  <c r="T2274" i="4"/>
  <c r="T2273" i="4"/>
  <c r="T2272" i="4"/>
  <c r="T2271" i="4"/>
  <c r="T2270" i="4"/>
  <c r="T2269" i="4"/>
  <c r="T2268" i="4"/>
  <c r="T2267" i="4"/>
  <c r="T2266" i="4"/>
  <c r="T2265" i="4"/>
  <c r="T2264" i="4"/>
  <c r="T2263" i="4"/>
  <c r="T2262" i="4"/>
  <c r="T2261" i="4"/>
  <c r="T2260" i="4"/>
  <c r="T2259" i="4"/>
  <c r="T2258" i="4"/>
  <c r="T2257" i="4"/>
  <c r="T2256" i="4"/>
  <c r="T2255" i="4"/>
  <c r="T2254" i="4"/>
  <c r="T2253" i="4"/>
  <c r="T2252" i="4"/>
  <c r="T2251" i="4"/>
  <c r="T2250" i="4"/>
  <c r="T2249" i="4"/>
  <c r="T2248" i="4"/>
  <c r="T2247" i="4"/>
  <c r="T2246" i="4"/>
  <c r="T2245" i="4"/>
  <c r="T2244" i="4"/>
  <c r="T2243" i="4"/>
  <c r="T2242" i="4"/>
  <c r="T2241" i="4"/>
  <c r="T2240" i="4"/>
  <c r="T2239" i="4"/>
  <c r="T2238" i="4"/>
  <c r="T2237" i="4"/>
  <c r="T2236" i="4"/>
  <c r="T2235" i="4"/>
  <c r="T2234" i="4"/>
  <c r="T2233" i="4"/>
  <c r="T2232" i="4"/>
  <c r="T2231" i="4"/>
  <c r="T2230" i="4"/>
  <c r="T2229" i="4"/>
  <c r="T2228" i="4"/>
  <c r="T2227" i="4"/>
  <c r="T2226" i="4"/>
  <c r="T2225" i="4"/>
  <c r="T2224" i="4"/>
  <c r="T2223" i="4"/>
  <c r="T2222" i="4"/>
  <c r="T2221" i="4"/>
  <c r="T2220" i="4"/>
  <c r="T2219" i="4"/>
  <c r="T2218" i="4"/>
  <c r="T2217" i="4"/>
  <c r="T2216" i="4"/>
  <c r="T2215" i="4"/>
  <c r="T2214" i="4"/>
  <c r="T2213" i="4"/>
  <c r="T2212" i="4"/>
  <c r="T2211" i="4"/>
  <c r="T2210" i="4"/>
  <c r="T2209" i="4"/>
  <c r="T2208" i="4"/>
  <c r="T2207" i="4"/>
  <c r="T2206" i="4"/>
  <c r="T2205" i="4"/>
  <c r="T2204" i="4"/>
  <c r="T2203" i="4"/>
  <c r="T2202" i="4"/>
  <c r="T2201" i="4"/>
  <c r="T2200" i="4"/>
  <c r="T2199" i="4"/>
  <c r="T2198" i="4"/>
  <c r="T2197" i="4"/>
  <c r="T2196" i="4"/>
  <c r="T2195" i="4"/>
  <c r="T2194" i="4"/>
  <c r="T2193" i="4"/>
  <c r="T2192" i="4"/>
  <c r="T2191" i="4"/>
  <c r="T2190" i="4"/>
  <c r="T2189" i="4"/>
  <c r="T2188" i="4"/>
  <c r="T2187" i="4"/>
  <c r="T2186" i="4"/>
  <c r="T2185" i="4"/>
  <c r="T2184" i="4"/>
  <c r="T2183" i="4"/>
  <c r="T2182" i="4"/>
  <c r="T2181" i="4"/>
  <c r="T2180" i="4"/>
  <c r="T2179" i="4"/>
  <c r="T2178" i="4"/>
  <c r="T2177" i="4"/>
  <c r="T2176" i="4"/>
  <c r="T2175" i="4"/>
  <c r="T2174" i="4"/>
  <c r="T2173" i="4"/>
  <c r="T2172" i="4"/>
  <c r="T2171" i="4"/>
  <c r="T2170" i="4"/>
  <c r="T2169" i="4"/>
  <c r="T2168" i="4"/>
  <c r="T2167" i="4"/>
  <c r="T2166" i="4"/>
  <c r="T2165" i="4"/>
  <c r="T2164" i="4"/>
  <c r="T2163" i="4"/>
  <c r="T2162" i="4"/>
  <c r="T2161" i="4"/>
  <c r="T2160" i="4"/>
  <c r="T2159" i="4"/>
  <c r="T2158" i="4"/>
  <c r="T2157" i="4"/>
  <c r="T2156" i="4"/>
  <c r="T2155" i="4"/>
  <c r="T2154" i="4"/>
  <c r="T2153" i="4"/>
  <c r="T2152" i="4"/>
  <c r="T2151" i="4"/>
  <c r="T2150" i="4"/>
  <c r="T2149" i="4"/>
  <c r="T2148" i="4"/>
  <c r="T2147" i="4"/>
  <c r="T2146" i="4"/>
  <c r="T2145" i="4"/>
  <c r="T2144" i="4"/>
  <c r="T2143" i="4"/>
  <c r="T2142" i="4"/>
  <c r="T2141" i="4"/>
  <c r="T2140" i="4"/>
  <c r="T2139" i="4"/>
  <c r="T2138" i="4"/>
  <c r="T2137" i="4"/>
  <c r="T2136" i="4"/>
  <c r="T2135" i="4"/>
  <c r="T2134" i="4"/>
  <c r="T2133" i="4"/>
  <c r="T2132" i="4"/>
  <c r="T2131" i="4"/>
  <c r="T2130" i="4"/>
  <c r="T2129" i="4"/>
  <c r="T2128" i="4"/>
  <c r="T2127" i="4"/>
  <c r="T2126" i="4"/>
  <c r="T2125" i="4"/>
  <c r="T2124" i="4"/>
  <c r="T2123" i="4"/>
  <c r="T2122" i="4"/>
  <c r="T2121" i="4"/>
  <c r="T2120" i="4"/>
  <c r="T2119" i="4"/>
  <c r="T2118" i="4"/>
  <c r="T2117" i="4"/>
  <c r="T2116" i="4"/>
  <c r="T2115" i="4"/>
  <c r="T2114" i="4"/>
  <c r="T2113" i="4"/>
  <c r="T2112" i="4"/>
  <c r="T2111" i="4"/>
  <c r="T2110" i="4"/>
  <c r="T2109" i="4"/>
  <c r="T2108" i="4"/>
  <c r="T2107" i="4"/>
  <c r="T2106" i="4"/>
  <c r="T2105" i="4"/>
  <c r="T2104" i="4"/>
  <c r="T2103" i="4"/>
  <c r="T2102" i="4"/>
  <c r="T2101" i="4"/>
  <c r="T2100" i="4"/>
  <c r="T2099" i="4"/>
  <c r="T2098" i="4"/>
  <c r="T2097" i="4"/>
  <c r="T2096" i="4"/>
  <c r="T2095" i="4"/>
  <c r="T2094" i="4"/>
  <c r="T2093" i="4"/>
  <c r="T2092" i="4"/>
  <c r="T2091" i="4"/>
  <c r="T2090" i="4"/>
  <c r="T2089" i="4"/>
  <c r="T2088" i="4"/>
  <c r="T2087" i="4"/>
  <c r="T2086" i="4"/>
  <c r="T2085" i="4"/>
  <c r="T2084" i="4"/>
  <c r="T2083" i="4"/>
  <c r="T2082" i="4"/>
  <c r="T2081" i="4"/>
  <c r="T2080" i="4"/>
  <c r="T2079" i="4"/>
  <c r="T2078" i="4"/>
  <c r="T2077" i="4"/>
  <c r="T2076" i="4"/>
  <c r="T2075" i="4"/>
  <c r="T2074" i="4"/>
  <c r="T2073" i="4"/>
  <c r="T2072" i="4"/>
  <c r="T2071" i="4"/>
  <c r="T2070" i="4"/>
  <c r="T2069" i="4"/>
  <c r="T2068" i="4"/>
  <c r="T2067" i="4"/>
  <c r="T2066" i="4"/>
  <c r="T2065" i="4"/>
  <c r="T2064" i="4"/>
  <c r="T2063" i="4"/>
  <c r="T2062" i="4"/>
  <c r="T2061" i="4"/>
  <c r="T2060" i="4"/>
  <c r="T2059" i="4"/>
  <c r="T2058" i="4"/>
  <c r="T2057" i="4"/>
  <c r="T2056" i="4"/>
  <c r="T2055" i="4"/>
  <c r="T2054" i="4"/>
  <c r="T2053" i="4"/>
  <c r="T2052" i="4"/>
  <c r="T2051" i="4"/>
  <c r="T2050" i="4"/>
  <c r="T2049" i="4"/>
  <c r="T2048" i="4"/>
  <c r="T2047" i="4"/>
  <c r="T2046" i="4"/>
  <c r="T2045" i="4"/>
  <c r="T2044" i="4"/>
  <c r="T2043" i="4"/>
  <c r="T2042" i="4"/>
  <c r="T2041" i="4"/>
  <c r="T2040" i="4"/>
  <c r="T2039" i="4"/>
  <c r="T2038" i="4"/>
  <c r="T2037" i="4"/>
  <c r="T2036" i="4"/>
  <c r="T2035" i="4"/>
  <c r="T2034" i="4"/>
  <c r="T2033" i="4"/>
  <c r="T2032" i="4"/>
  <c r="T2031" i="4"/>
  <c r="T2030" i="4"/>
  <c r="T2029" i="4"/>
  <c r="T2028" i="4"/>
  <c r="T2027" i="4"/>
  <c r="T2026" i="4"/>
  <c r="T2025" i="4"/>
  <c r="T2024" i="4"/>
  <c r="T2023" i="4"/>
  <c r="T2022" i="4"/>
  <c r="T2021" i="4"/>
  <c r="T2020" i="4"/>
  <c r="T2019" i="4"/>
  <c r="T2018" i="4"/>
  <c r="T2017" i="4"/>
  <c r="T2016" i="4"/>
  <c r="T2015" i="4"/>
  <c r="T2014" i="4"/>
  <c r="T2013" i="4"/>
  <c r="T2012" i="4"/>
  <c r="T2011" i="4"/>
  <c r="T2010" i="4"/>
  <c r="T2009" i="4"/>
  <c r="T2008" i="4"/>
  <c r="T2007" i="4"/>
  <c r="T2006" i="4"/>
  <c r="T2005" i="4"/>
  <c r="T2004" i="4"/>
  <c r="T2003" i="4"/>
  <c r="T2002" i="4"/>
  <c r="T2001" i="4"/>
  <c r="T2000" i="4"/>
  <c r="T1999" i="4"/>
  <c r="T1998" i="4"/>
  <c r="T1997" i="4"/>
  <c r="T1996" i="4"/>
  <c r="T1995" i="4"/>
  <c r="T1994" i="4"/>
  <c r="T1993" i="4"/>
  <c r="T1992" i="4"/>
  <c r="T1991" i="4"/>
  <c r="T1990" i="4"/>
  <c r="T1989" i="4"/>
  <c r="T1988" i="4"/>
  <c r="T1987" i="4"/>
  <c r="T1986" i="4"/>
  <c r="T1985" i="4"/>
  <c r="T1984" i="4"/>
  <c r="T1983" i="4"/>
  <c r="T1982" i="4"/>
  <c r="T1981" i="4"/>
  <c r="T1980" i="4"/>
  <c r="T1979" i="4"/>
  <c r="T1978" i="4"/>
  <c r="T1977" i="4"/>
  <c r="T1976" i="4"/>
  <c r="T1975" i="4"/>
  <c r="T1974" i="4"/>
  <c r="T1973" i="4"/>
  <c r="T1972" i="4"/>
  <c r="T1971" i="4"/>
  <c r="T1970" i="4"/>
  <c r="T1969" i="4"/>
  <c r="T1968" i="4"/>
  <c r="T1967" i="4"/>
  <c r="T1966" i="4"/>
  <c r="T1965" i="4"/>
  <c r="T1964" i="4"/>
  <c r="T1963" i="4"/>
  <c r="T1962" i="4"/>
  <c r="T1961" i="4"/>
  <c r="T1960" i="4"/>
  <c r="T1959" i="4"/>
  <c r="T1958" i="4"/>
  <c r="T1957" i="4"/>
  <c r="T1956" i="4"/>
  <c r="T1955" i="4"/>
  <c r="T1954" i="4"/>
  <c r="T1953" i="4"/>
  <c r="T1952" i="4"/>
  <c r="T1951" i="4"/>
  <c r="T1950" i="4"/>
  <c r="T1949" i="4"/>
  <c r="T1948" i="4"/>
  <c r="T1947" i="4"/>
  <c r="T1946" i="4"/>
  <c r="T1945" i="4"/>
  <c r="T1944" i="4"/>
  <c r="T1943" i="4"/>
  <c r="T1942" i="4"/>
  <c r="T1941" i="4"/>
  <c r="T1940" i="4"/>
  <c r="T1939" i="4"/>
  <c r="T1938" i="4"/>
  <c r="T1937" i="4"/>
  <c r="T1936" i="4"/>
  <c r="T1935" i="4"/>
  <c r="T1934" i="4"/>
  <c r="T1933" i="4"/>
  <c r="T1932" i="4"/>
  <c r="T1931" i="4"/>
  <c r="T1930" i="4"/>
  <c r="T1929" i="4"/>
  <c r="T1928" i="4"/>
  <c r="T1927" i="4"/>
  <c r="T1926" i="4"/>
  <c r="T1925" i="4"/>
  <c r="T1924" i="4"/>
  <c r="T1923" i="4"/>
  <c r="T1922" i="4"/>
  <c r="T1921" i="4"/>
  <c r="T1920" i="4"/>
  <c r="T1919" i="4"/>
  <c r="T1918" i="4"/>
  <c r="T1917" i="4"/>
  <c r="T1916" i="4"/>
  <c r="T1915" i="4"/>
  <c r="T1914" i="4"/>
  <c r="T1913" i="4"/>
  <c r="T1912" i="4"/>
  <c r="T1911" i="4"/>
  <c r="T1910" i="4"/>
  <c r="T1909" i="4"/>
  <c r="T1908" i="4"/>
  <c r="T1907" i="4"/>
  <c r="T1906" i="4"/>
  <c r="T1905" i="4"/>
  <c r="T1904" i="4"/>
  <c r="T1903" i="4"/>
  <c r="T1902" i="4"/>
  <c r="T1901" i="4"/>
  <c r="T1900" i="4"/>
  <c r="T1899" i="4"/>
  <c r="T1898" i="4"/>
  <c r="T1897" i="4"/>
  <c r="T1896" i="4"/>
  <c r="T1895" i="4"/>
  <c r="T1894" i="4"/>
  <c r="T1893" i="4"/>
  <c r="T1892" i="4"/>
  <c r="T1891" i="4"/>
  <c r="T1890" i="4"/>
  <c r="T1889" i="4"/>
  <c r="T1888" i="4"/>
  <c r="T1887" i="4"/>
  <c r="T1886" i="4"/>
  <c r="T1885" i="4"/>
  <c r="T1884" i="4"/>
  <c r="T1883" i="4"/>
  <c r="T1882" i="4"/>
  <c r="T1881" i="4"/>
  <c r="T1880" i="4"/>
  <c r="T1879" i="4"/>
  <c r="T1878" i="4"/>
  <c r="T1877" i="4"/>
  <c r="T1876" i="4"/>
  <c r="T1875" i="4"/>
  <c r="T1874" i="4"/>
  <c r="T1873" i="4"/>
  <c r="T1872" i="4"/>
  <c r="T1871" i="4"/>
  <c r="T1870" i="4"/>
  <c r="T1869" i="4"/>
  <c r="T1868" i="4"/>
  <c r="T1867" i="4"/>
  <c r="T1866" i="4"/>
  <c r="T1865" i="4"/>
  <c r="T1864" i="4"/>
  <c r="T1863" i="4"/>
  <c r="T1862" i="4"/>
  <c r="T1861" i="4"/>
  <c r="T1860" i="4"/>
  <c r="T1859" i="4"/>
  <c r="T1858" i="4"/>
  <c r="T1857" i="4"/>
  <c r="T1856" i="4"/>
  <c r="T1855" i="4"/>
  <c r="T1854" i="4"/>
  <c r="T1853" i="4"/>
  <c r="T1852" i="4"/>
  <c r="T1851" i="4"/>
  <c r="T1850" i="4"/>
  <c r="T1849" i="4"/>
  <c r="T1848" i="4"/>
  <c r="T1847" i="4"/>
  <c r="T1846" i="4"/>
  <c r="T1845" i="4"/>
  <c r="T1844" i="4"/>
  <c r="T1843" i="4"/>
  <c r="T1842" i="4"/>
  <c r="T1841" i="4"/>
  <c r="T1840" i="4"/>
  <c r="T1839" i="4"/>
  <c r="T1838" i="4"/>
  <c r="T1837" i="4"/>
  <c r="T1836" i="4"/>
  <c r="T1835" i="4"/>
  <c r="T1834" i="4"/>
  <c r="T1833" i="4"/>
  <c r="T1832" i="4"/>
  <c r="T1831" i="4"/>
  <c r="T1830" i="4"/>
  <c r="T1829" i="4"/>
  <c r="T1828" i="4"/>
  <c r="T1827" i="4"/>
  <c r="T1826" i="4"/>
  <c r="T1825" i="4"/>
  <c r="T1824" i="4"/>
  <c r="T1823" i="4"/>
  <c r="T1822" i="4"/>
  <c r="T1821" i="4"/>
  <c r="T1820" i="4"/>
  <c r="T1819" i="4"/>
  <c r="T1818" i="4"/>
  <c r="T1817" i="4"/>
  <c r="T1816" i="4"/>
  <c r="T1680" i="4"/>
  <c r="T1679" i="4"/>
  <c r="T1678" i="4"/>
  <c r="T1677" i="4"/>
  <c r="T1676" i="4"/>
  <c r="T1675" i="4"/>
  <c r="T1674" i="4"/>
  <c r="T1673" i="4"/>
  <c r="T1672" i="4"/>
  <c r="T1671" i="4"/>
  <c r="T1670" i="4"/>
  <c r="T1669" i="4"/>
  <c r="T1668" i="4"/>
  <c r="T1667" i="4"/>
  <c r="T1666" i="4"/>
  <c r="T1665" i="4"/>
  <c r="T1664" i="4"/>
  <c r="T1663" i="4"/>
  <c r="T1662" i="4"/>
  <c r="T1661" i="4"/>
  <c r="T1660" i="4"/>
  <c r="T1659" i="4"/>
  <c r="T1658" i="4"/>
  <c r="T1657" i="4"/>
  <c r="T1656" i="4"/>
  <c r="T1655" i="4"/>
  <c r="T1654" i="4"/>
  <c r="T1653" i="4"/>
  <c r="T1652" i="4"/>
  <c r="T1651" i="4"/>
  <c r="T1650" i="4"/>
  <c r="T1649" i="4"/>
  <c r="T1648" i="4"/>
  <c r="T1647" i="4"/>
  <c r="T1646" i="4"/>
  <c r="T1645" i="4"/>
  <c r="T1644" i="4"/>
  <c r="T1643" i="4"/>
  <c r="T1642" i="4"/>
  <c r="T1641" i="4"/>
  <c r="T1640" i="4"/>
  <c r="T1639" i="4"/>
  <c r="T1638" i="4"/>
  <c r="T1637" i="4"/>
  <c r="T1636" i="4"/>
  <c r="T1635" i="4"/>
  <c r="T1634" i="4"/>
  <c r="T1633" i="4"/>
  <c r="T1632" i="4"/>
  <c r="T1631" i="4"/>
  <c r="T1630" i="4"/>
  <c r="T1629" i="4"/>
  <c r="T1628" i="4"/>
  <c r="T1627" i="4"/>
  <c r="T1626" i="4"/>
  <c r="T1625" i="4"/>
  <c r="T1624" i="4"/>
  <c r="T1623" i="4"/>
  <c r="T1622" i="4"/>
  <c r="T1621" i="4"/>
  <c r="T1620" i="4"/>
  <c r="T1619" i="4"/>
  <c r="T1618" i="4"/>
  <c r="T1617" i="4"/>
  <c r="T1616" i="4"/>
  <c r="T1615" i="4"/>
  <c r="T1614" i="4"/>
  <c r="T1613" i="4"/>
  <c r="T1612" i="4"/>
  <c r="T1611" i="4"/>
  <c r="T1610" i="4"/>
  <c r="T1609" i="4"/>
  <c r="T1608" i="4"/>
  <c r="T1607" i="4"/>
  <c r="T1606" i="4"/>
  <c r="T1605" i="4"/>
  <c r="T1604" i="4"/>
  <c r="T1603" i="4"/>
  <c r="T1602" i="4"/>
  <c r="T1601" i="4"/>
  <c r="T1600" i="4"/>
  <c r="T1599" i="4"/>
  <c r="T1598" i="4"/>
  <c r="T1597" i="4"/>
  <c r="T1596" i="4"/>
  <c r="T1595" i="4"/>
  <c r="T1594" i="4"/>
  <c r="T1593" i="4"/>
  <c r="T1592" i="4"/>
  <c r="T1591" i="4"/>
  <c r="T1590" i="4"/>
  <c r="T1589" i="4"/>
  <c r="T1588" i="4"/>
  <c r="T1587" i="4"/>
  <c r="T1586" i="4"/>
  <c r="T1585" i="4"/>
  <c r="T1584" i="4"/>
  <c r="T1583" i="4"/>
  <c r="T1582" i="4"/>
  <c r="T1581" i="4"/>
  <c r="T1580" i="4"/>
  <c r="T1579" i="4"/>
  <c r="T1578" i="4"/>
  <c r="T1577" i="4"/>
  <c r="T1576" i="4"/>
  <c r="T1575" i="4"/>
  <c r="T1574" i="4"/>
  <c r="T1573" i="4"/>
  <c r="T1572" i="4"/>
  <c r="T1571" i="4"/>
  <c r="T1570" i="4"/>
  <c r="T1569" i="4"/>
  <c r="T1568" i="4"/>
  <c r="T1567" i="4"/>
  <c r="T1566" i="4"/>
  <c r="T1565" i="4"/>
  <c r="T1564" i="4"/>
  <c r="T1563" i="4"/>
  <c r="T1562" i="4"/>
  <c r="T1561" i="4"/>
  <c r="T1560" i="4"/>
  <c r="T1559" i="4"/>
  <c r="T1558" i="4"/>
  <c r="T1557" i="4"/>
  <c r="T1556" i="4"/>
  <c r="T1555" i="4"/>
  <c r="T1554" i="4"/>
  <c r="T1553" i="4"/>
  <c r="T1552" i="4"/>
  <c r="T1551" i="4"/>
  <c r="K1489" i="4"/>
  <c r="T1441" i="4"/>
  <c r="T1440" i="4"/>
  <c r="T1439" i="4"/>
  <c r="T1438" i="4"/>
  <c r="T1437" i="4"/>
  <c r="T1436" i="4"/>
  <c r="T1435" i="4"/>
  <c r="T1434" i="4"/>
  <c r="T1433" i="4"/>
  <c r="T1432" i="4"/>
  <c r="T1431" i="4"/>
  <c r="T1430" i="4"/>
  <c r="T1429" i="4"/>
  <c r="T1428" i="4"/>
  <c r="T1427" i="4"/>
  <c r="T1426" i="4"/>
  <c r="T1425" i="4"/>
  <c r="T1424" i="4"/>
  <c r="T1423" i="4"/>
  <c r="T1422" i="4"/>
  <c r="T1421" i="4"/>
  <c r="T1420" i="4"/>
  <c r="T1419" i="4"/>
  <c r="T1418" i="4"/>
  <c r="T1417" i="4"/>
  <c r="T1416" i="4"/>
  <c r="T1415" i="4"/>
  <c r="T1414" i="4"/>
  <c r="T1413" i="4"/>
  <c r="T1412" i="4"/>
  <c r="T1411" i="4"/>
  <c r="T1410" i="4"/>
  <c r="T1409" i="4"/>
  <c r="T1408" i="4"/>
  <c r="T1407" i="4"/>
  <c r="T1406" i="4"/>
  <c r="T1405" i="4"/>
  <c r="T1404" i="4"/>
  <c r="T1403" i="4"/>
  <c r="T1402" i="4"/>
  <c r="T1401" i="4"/>
  <c r="T1400" i="4"/>
  <c r="T1399" i="4"/>
  <c r="T1398" i="4"/>
  <c r="T1397" i="4"/>
  <c r="T1396" i="4"/>
  <c r="T1395" i="4"/>
  <c r="T1394" i="4"/>
  <c r="T1393" i="4"/>
  <c r="T1392" i="4"/>
  <c r="T1391" i="4"/>
  <c r="T1390" i="4"/>
  <c r="T1389" i="4"/>
  <c r="T1388" i="4"/>
  <c r="T1387" i="4"/>
  <c r="T1386" i="4"/>
  <c r="T1385" i="4"/>
  <c r="T1384" i="4"/>
  <c r="T1383" i="4"/>
  <c r="T1382" i="4"/>
  <c r="T1381" i="4"/>
  <c r="T1380" i="4"/>
  <c r="T1379" i="4"/>
  <c r="T1378" i="4"/>
  <c r="T1377" i="4"/>
  <c r="T1376" i="4"/>
  <c r="T1375" i="4"/>
  <c r="T1374" i="4"/>
  <c r="T1373" i="4"/>
  <c r="T1372" i="4"/>
  <c r="T1371" i="4"/>
  <c r="T1370" i="4"/>
  <c r="T1369" i="4"/>
  <c r="T1368" i="4"/>
  <c r="T1367" i="4"/>
  <c r="T1366" i="4"/>
  <c r="T1365" i="4"/>
  <c r="T1364" i="4"/>
  <c r="T1363" i="4"/>
  <c r="T1362" i="4"/>
  <c r="T1361" i="4"/>
  <c r="T1360" i="4"/>
  <c r="T1359" i="4"/>
  <c r="T1358" i="4"/>
  <c r="T1357" i="4"/>
  <c r="T1356" i="4"/>
  <c r="T1355" i="4"/>
  <c r="T1354" i="4"/>
  <c r="T1353" i="4"/>
  <c r="T1352" i="4"/>
  <c r="T1351" i="4"/>
  <c r="T1350" i="4"/>
  <c r="T1349" i="4"/>
  <c r="T1348" i="4"/>
  <c r="T1347" i="4"/>
  <c r="T1346" i="4"/>
  <c r="T1345" i="4"/>
  <c r="T1344" i="4"/>
  <c r="T1343" i="4"/>
  <c r="T1342" i="4"/>
  <c r="T1341" i="4"/>
  <c r="T1340" i="4"/>
  <c r="T1339" i="4"/>
  <c r="T1338" i="4"/>
  <c r="T1290" i="4"/>
  <c r="T1288" i="4"/>
  <c r="T1282" i="4"/>
  <c r="T1220" i="4"/>
  <c r="T1219" i="4"/>
  <c r="T1218" i="4"/>
  <c r="T1217" i="4"/>
  <c r="T1216" i="4"/>
  <c r="T1215" i="4"/>
  <c r="T1214" i="4"/>
  <c r="T1213" i="4"/>
  <c r="T1212" i="4"/>
  <c r="T1211" i="4"/>
  <c r="T1210" i="4"/>
  <c r="T1209" i="4"/>
  <c r="T1208" i="4"/>
  <c r="T1207" i="4"/>
  <c r="T1206" i="4"/>
  <c r="T1205" i="4"/>
  <c r="T1204" i="4"/>
  <c r="T1203" i="4"/>
  <c r="T1202" i="4"/>
  <c r="T1201" i="4"/>
  <c r="T1200" i="4"/>
  <c r="T1199" i="4"/>
  <c r="T1198" i="4"/>
  <c r="T1197" i="4"/>
  <c r="T1196" i="4"/>
  <c r="T1195" i="4"/>
  <c r="T1194" i="4"/>
  <c r="T1193" i="4"/>
  <c r="T1192" i="4"/>
  <c r="T1191" i="4"/>
  <c r="T1190" i="4"/>
  <c r="T1189" i="4"/>
  <c r="T1188" i="4"/>
  <c r="T1187" i="4"/>
  <c r="T1186" i="4"/>
  <c r="T1185" i="4"/>
  <c r="T1184" i="4"/>
  <c r="T1183" i="4"/>
  <c r="T1182" i="4"/>
  <c r="T1181" i="4"/>
  <c r="T1180" i="4"/>
  <c r="T1179" i="4"/>
  <c r="T1178" i="4"/>
  <c r="T1177" i="4"/>
  <c r="T1176" i="4"/>
  <c r="T1175" i="4"/>
  <c r="T1174" i="4"/>
  <c r="T1173" i="4"/>
  <c r="T1172" i="4"/>
  <c r="T1171" i="4"/>
  <c r="T1170" i="4"/>
  <c r="T1169" i="4"/>
  <c r="T1168" i="4"/>
  <c r="T1167" i="4"/>
  <c r="T1166" i="4"/>
  <c r="T1165" i="4"/>
  <c r="T1164" i="4"/>
  <c r="T1163" i="4"/>
  <c r="T1162" i="4"/>
  <c r="T1161" i="4"/>
  <c r="T1160" i="4"/>
  <c r="T1159" i="4"/>
  <c r="T1158" i="4"/>
  <c r="T1157" i="4"/>
  <c r="T1156" i="4"/>
  <c r="T1155" i="4"/>
  <c r="T1154" i="4"/>
  <c r="T1153" i="4"/>
  <c r="T1152" i="4"/>
  <c r="T1151" i="4"/>
  <c r="T1150" i="4"/>
  <c r="T1149" i="4"/>
  <c r="T1148" i="4"/>
  <c r="T1147" i="4"/>
  <c r="T1146" i="4"/>
  <c r="T1145" i="4"/>
  <c r="T1144" i="4"/>
  <c r="T1143" i="4"/>
  <c r="T1142" i="4"/>
  <c r="T1141" i="4"/>
  <c r="T1140" i="4"/>
  <c r="T1139" i="4"/>
  <c r="T1138" i="4"/>
  <c r="T1137" i="4"/>
  <c r="T1136" i="4"/>
  <c r="T1135" i="4"/>
  <c r="T1134" i="4"/>
  <c r="T1133" i="4"/>
  <c r="T1132" i="4"/>
  <c r="T1131" i="4"/>
  <c r="T1130" i="4"/>
  <c r="T1129" i="4"/>
  <c r="T1128" i="4"/>
  <c r="T1127" i="4"/>
  <c r="T1126" i="4"/>
  <c r="T1125" i="4"/>
  <c r="T1124" i="4"/>
  <c r="T1123" i="4"/>
  <c r="T1122" i="4"/>
  <c r="T1121" i="4"/>
  <c r="T1120" i="4"/>
  <c r="T1119" i="4"/>
  <c r="T1118" i="4"/>
  <c r="T1117" i="4"/>
  <c r="T1116" i="4"/>
  <c r="T1115" i="4"/>
  <c r="T1114" i="4"/>
  <c r="T1113" i="4"/>
  <c r="T1112" i="4"/>
  <c r="T1111" i="4"/>
  <c r="T1110" i="4"/>
  <c r="T1109" i="4"/>
  <c r="T1108" i="4"/>
  <c r="T1107" i="4"/>
  <c r="T1106" i="4"/>
  <c r="T1105" i="4"/>
  <c r="T1104" i="4"/>
  <c r="T1103" i="4"/>
  <c r="T1102" i="4"/>
  <c r="T1101" i="4"/>
  <c r="K1008" i="4"/>
  <c r="K1002" i="4"/>
  <c r="K992" i="4"/>
  <c r="K976" i="4"/>
  <c r="T819" i="4"/>
  <c r="T818" i="4"/>
  <c r="T817" i="4"/>
  <c r="T816" i="4"/>
  <c r="T815" i="4"/>
  <c r="T814" i="4"/>
  <c r="T813" i="4"/>
  <c r="T812" i="4"/>
  <c r="T811" i="4"/>
  <c r="T810" i="4"/>
  <c r="T809" i="4"/>
  <c r="T808" i="4"/>
  <c r="T807" i="4"/>
  <c r="T806" i="4"/>
  <c r="T805" i="4"/>
  <c r="T804" i="4"/>
  <c r="T803" i="4"/>
  <c r="T802" i="4"/>
  <c r="T801" i="4"/>
  <c r="T800" i="4"/>
  <c r="T799" i="4"/>
  <c r="T798" i="4"/>
  <c r="T797" i="4"/>
  <c r="T796" i="4"/>
  <c r="T795" i="4"/>
  <c r="T794" i="4"/>
  <c r="T793" i="4"/>
  <c r="T792" i="4"/>
  <c r="T791" i="4"/>
  <c r="T790" i="4"/>
  <c r="T789" i="4"/>
  <c r="T788" i="4"/>
  <c r="T787" i="4"/>
  <c r="T786" i="4"/>
  <c r="T785" i="4"/>
  <c r="T784" i="4"/>
  <c r="T783" i="4"/>
  <c r="T782" i="4"/>
  <c r="T781" i="4"/>
  <c r="T780" i="4"/>
  <c r="T779" i="4"/>
  <c r="T778" i="4"/>
  <c r="T777" i="4"/>
  <c r="T776" i="4"/>
  <c r="T775" i="4"/>
  <c r="T774" i="4"/>
  <c r="T773" i="4"/>
  <c r="T772" i="4"/>
  <c r="T771" i="4"/>
  <c r="T770" i="4"/>
  <c r="T769" i="4"/>
  <c r="T768" i="4"/>
  <c r="T767" i="4"/>
  <c r="T766" i="4"/>
  <c r="T765" i="4"/>
  <c r="T764" i="4"/>
  <c r="T763" i="4"/>
  <c r="T762" i="4"/>
  <c r="T761" i="4"/>
  <c r="T760" i="4"/>
  <c r="T759" i="4"/>
  <c r="T758" i="4"/>
  <c r="T757" i="4"/>
  <c r="T756" i="4"/>
  <c r="T755" i="4"/>
  <c r="T754"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550" i="4"/>
  <c r="K549" i="4"/>
  <c r="K542" i="4"/>
  <c r="T530" i="4"/>
  <c r="K530" i="4"/>
  <c r="Q529" i="4"/>
  <c r="P529" i="4"/>
  <c r="O529" i="4"/>
  <c r="Q528" i="4"/>
  <c r="P528" i="4"/>
  <c r="O528" i="4"/>
  <c r="Q527" i="4"/>
  <c r="P527" i="4"/>
  <c r="O527" i="4"/>
  <c r="Q522" i="4"/>
  <c r="P522" i="4"/>
  <c r="O522" i="4"/>
  <c r="Q521" i="4"/>
  <c r="P521" i="4"/>
  <c r="O521" i="4"/>
  <c r="Q520" i="4"/>
  <c r="P520" i="4"/>
  <c r="O520" i="4"/>
  <c r="Q519" i="4"/>
  <c r="P519" i="4"/>
  <c r="O519" i="4"/>
  <c r="Q518" i="4"/>
  <c r="P518" i="4"/>
  <c r="O518" i="4"/>
  <c r="Q517" i="4"/>
  <c r="P517" i="4"/>
  <c r="O517" i="4"/>
  <c r="Q516" i="4"/>
  <c r="P516" i="4"/>
  <c r="O516" i="4"/>
  <c r="K500" i="4"/>
  <c r="K499" i="4"/>
  <c r="K498" i="4"/>
  <c r="K497" i="4"/>
  <c r="K496" i="4"/>
  <c r="K495" i="4"/>
  <c r="K494" i="4"/>
  <c r="K493" i="4"/>
  <c r="K492" i="4"/>
  <c r="K491" i="4"/>
  <c r="K490" i="4"/>
  <c r="K488" i="4"/>
  <c r="K487" i="4"/>
  <c r="K486" i="4"/>
  <c r="K485" i="4"/>
  <c r="K484" i="4"/>
  <c r="K483" i="4"/>
  <c r="K482" i="4"/>
  <c r="K481" i="4"/>
  <c r="K480" i="4"/>
  <c r="K479" i="4"/>
  <c r="K478" i="4"/>
  <c r="K477" i="4"/>
  <c r="T422" i="4"/>
  <c r="T421" i="4"/>
  <c r="T420" i="4"/>
  <c r="T419" i="4"/>
  <c r="T418" i="4"/>
  <c r="T417" i="4"/>
  <c r="T416" i="4"/>
  <c r="T415" i="4"/>
  <c r="T414" i="4"/>
  <c r="T413" i="4"/>
  <c r="T412" i="4"/>
  <c r="T411" i="4"/>
  <c r="T410" i="4"/>
  <c r="T409" i="4"/>
  <c r="T408" i="4"/>
  <c r="T407" i="4"/>
  <c r="T406" i="4"/>
  <c r="T405" i="4"/>
  <c r="T404" i="4"/>
  <c r="T403" i="4"/>
  <c r="T402" i="4"/>
  <c r="T401" i="4"/>
  <c r="T400" i="4"/>
  <c r="T399" i="4"/>
  <c r="T398" i="4"/>
  <c r="T397" i="4"/>
  <c r="T396" i="4"/>
  <c r="T395" i="4"/>
  <c r="T394" i="4"/>
  <c r="T393" i="4"/>
  <c r="T392" i="4"/>
  <c r="T391" i="4"/>
  <c r="T390" i="4"/>
  <c r="T389" i="4"/>
  <c r="T388" i="4"/>
  <c r="T387" i="4"/>
  <c r="T386" i="4"/>
  <c r="T385" i="4"/>
  <c r="T384" i="4"/>
  <c r="T383" i="4"/>
  <c r="T382" i="4"/>
  <c r="T381" i="4"/>
  <c r="T380" i="4"/>
  <c r="T379" i="4"/>
  <c r="T378" i="4"/>
  <c r="T377" i="4"/>
  <c r="T376" i="4"/>
  <c r="T375" i="4"/>
  <c r="T374" i="4"/>
  <c r="T373" i="4"/>
  <c r="T372" i="4"/>
  <c r="T371" i="4"/>
  <c r="T370" i="4"/>
  <c r="T369" i="4"/>
  <c r="T368" i="4"/>
  <c r="T367" i="4"/>
  <c r="T366" i="4"/>
  <c r="T365" i="4"/>
  <c r="T364" i="4"/>
  <c r="T363" i="4"/>
  <c r="T362" i="4"/>
  <c r="T361" i="4"/>
  <c r="T360" i="4"/>
  <c r="T359" i="4"/>
  <c r="T358" i="4"/>
  <c r="T357" i="4"/>
  <c r="T356" i="4"/>
  <c r="T355" i="4"/>
  <c r="T354" i="4"/>
  <c r="T353" i="4"/>
  <c r="T352" i="4"/>
  <c r="T351" i="4"/>
  <c r="T350" i="4"/>
  <c r="T349" i="4"/>
  <c r="T348" i="4"/>
  <c r="T347" i="4"/>
  <c r="T346" i="4"/>
  <c r="T345" i="4"/>
  <c r="A674" i="2"/>
  <c r="A673" i="2"/>
  <c r="A672" i="2"/>
  <c r="A671" i="2"/>
  <c r="A670" i="2"/>
  <c r="A669" i="2"/>
  <c r="A668" i="2"/>
  <c r="A667" i="2"/>
  <c r="A666" i="2"/>
  <c r="A665" i="2"/>
  <c r="A664" i="2"/>
  <c r="A663" i="2"/>
  <c r="A662" i="2"/>
  <c r="A661" i="2"/>
  <c r="A660" i="2"/>
  <c r="A659" i="2"/>
  <c r="A658" i="2"/>
  <c r="A657" i="2"/>
  <c r="A656" i="2"/>
  <c r="A655" i="2"/>
  <c r="A654" i="2"/>
  <c r="A653" i="2"/>
  <c r="A652" i="2"/>
  <c r="A651" i="2"/>
  <c r="A650" i="2"/>
  <c r="A649" i="2"/>
  <c r="A648" i="2"/>
  <c r="A647" i="2"/>
  <c r="A646" i="2"/>
  <c r="A645" i="2"/>
  <c r="A644" i="2"/>
  <c r="A643" i="2"/>
  <c r="A642" i="2"/>
  <c r="A641" i="2"/>
  <c r="A640" i="2"/>
  <c r="A639" i="2"/>
  <c r="A638" i="2"/>
  <c r="A637" i="2"/>
  <c r="A636" i="2"/>
  <c r="A635" i="2"/>
  <c r="A634" i="2"/>
  <c r="A633" i="2"/>
  <c r="A632" i="2"/>
  <c r="A631" i="2"/>
  <c r="A630" i="2"/>
  <c r="A629" i="2"/>
  <c r="A628" i="2"/>
  <c r="A627" i="2"/>
  <c r="A626" i="2"/>
  <c r="A625" i="2"/>
  <c r="A624" i="2"/>
  <c r="A623" i="2"/>
  <c r="A622" i="2"/>
  <c r="A621" i="2"/>
  <c r="A620" i="2"/>
  <c r="A619" i="2"/>
  <c r="A618" i="2"/>
  <c r="A617" i="2"/>
  <c r="A616" i="2"/>
  <c r="A615" i="2"/>
  <c r="A614" i="2"/>
  <c r="A613" i="2"/>
  <c r="A612" i="2"/>
  <c r="A611" i="2"/>
  <c r="A610" i="2"/>
  <c r="A609" i="2"/>
  <c r="A608" i="2"/>
  <c r="A607" i="2"/>
  <c r="A606" i="2"/>
  <c r="A605" i="2"/>
  <c r="A604" i="2"/>
  <c r="A603" i="2"/>
  <c r="A602" i="2"/>
  <c r="A601" i="2"/>
  <c r="A600" i="2"/>
  <c r="A599" i="2"/>
  <c r="A598" i="2"/>
  <c r="A597" i="2"/>
  <c r="A596" i="2"/>
  <c r="A595" i="2"/>
  <c r="A594" i="2"/>
  <c r="A593" i="2"/>
  <c r="A592" i="2"/>
  <c r="A591" i="2"/>
  <c r="A590" i="2"/>
  <c r="A589" i="2"/>
  <c r="A588" i="2"/>
  <c r="A587" i="2"/>
  <c r="A586" i="2"/>
  <c r="A585" i="2"/>
  <c r="A584" i="2"/>
  <c r="A583" i="2"/>
  <c r="A582" i="2"/>
  <c r="A581" i="2"/>
  <c r="A580" i="2"/>
  <c r="A579" i="2"/>
  <c r="A578" i="2"/>
  <c r="A577" i="2"/>
  <c r="A576" i="2"/>
  <c r="A575" i="2"/>
  <c r="A574" i="2"/>
  <c r="A573" i="2"/>
  <c r="A572" i="2"/>
  <c r="A571" i="2"/>
  <c r="A570" i="2"/>
  <c r="A569" i="2"/>
  <c r="A568" i="2"/>
  <c r="A567" i="2"/>
  <c r="A566" i="2"/>
  <c r="A565" i="2"/>
  <c r="A564" i="2"/>
  <c r="A563" i="2"/>
  <c r="A562" i="2"/>
  <c r="A561" i="2"/>
  <c r="A560" i="2"/>
  <c r="A559" i="2"/>
  <c r="A558" i="2"/>
  <c r="A557" i="2"/>
  <c r="A556" i="2"/>
  <c r="A555" i="2"/>
  <c r="A554" i="2"/>
  <c r="A553" i="2"/>
  <c r="A552" i="2"/>
  <c r="A551" i="2"/>
  <c r="A550" i="2"/>
  <c r="A549" i="2"/>
  <c r="A548" i="2"/>
  <c r="A547" i="2"/>
  <c r="A546" i="2"/>
  <c r="A545" i="2"/>
  <c r="A544" i="2"/>
  <c r="A543" i="2"/>
  <c r="A542" i="2"/>
  <c r="A541" i="2"/>
  <c r="A540" i="2"/>
  <c r="A539" i="2"/>
  <c r="A538" i="2"/>
  <c r="A537" i="2"/>
  <c r="A536" i="2"/>
  <c r="A535" i="2"/>
  <c r="A534" i="2"/>
  <c r="A533" i="2"/>
  <c r="A532" i="2"/>
  <c r="A531" i="2"/>
  <c r="A530" i="2"/>
  <c r="A529" i="2"/>
  <c r="A528" i="2"/>
  <c r="A527" i="2"/>
  <c r="A526" i="2"/>
  <c r="A525" i="2"/>
  <c r="A524" i="2"/>
  <c r="A523" i="2"/>
  <c r="A522" i="2"/>
  <c r="A521" i="2"/>
  <c r="A520" i="2"/>
  <c r="A519" i="2"/>
  <c r="A518" i="2"/>
  <c r="A517" i="2"/>
  <c r="A516" i="2"/>
  <c r="A515" i="2"/>
  <c r="A514" i="2"/>
  <c r="A513" i="2"/>
  <c r="A512" i="2"/>
  <c r="A511" i="2"/>
  <c r="A510" i="2"/>
  <c r="A509" i="2"/>
  <c r="A508" i="2"/>
  <c r="A507" i="2"/>
  <c r="A506" i="2"/>
  <c r="A505" i="2"/>
  <c r="A504" i="2"/>
  <c r="A503" i="2"/>
  <c r="A502" i="2"/>
  <c r="A501" i="2"/>
  <c r="A500" i="2"/>
  <c r="A499" i="2"/>
  <c r="A498" i="2"/>
  <c r="A497" i="2"/>
  <c r="A496" i="2"/>
  <c r="A495" i="2"/>
  <c r="A494" i="2"/>
  <c r="A493" i="2"/>
  <c r="A492" i="2"/>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 r="AK699" i="15"/>
  <c r="F694" i="15"/>
  <c r="DX689" i="15"/>
  <c r="C677" i="15"/>
  <c r="F699" i="15"/>
  <c r="A700" i="15"/>
  <c r="E654" i="15"/>
  <c r="H700" i="15"/>
  <c r="DY652" i="15"/>
  <c r="B715" i="15"/>
  <c r="F627" i="15"/>
  <c r="E689" i="15"/>
  <c r="AK707" i="15"/>
  <c r="AC696" i="15"/>
  <c r="B700" i="15"/>
  <c r="DV681" i="15"/>
  <c r="M674" i="15"/>
  <c r="H688" i="15"/>
  <c r="DX668" i="15"/>
  <c r="O652" i="15"/>
  <c r="DX654" i="15"/>
  <c r="DZ652" i="15"/>
  <c r="D698" i="15"/>
  <c r="DU691" i="15"/>
  <c r="DW693" i="15"/>
  <c r="A676" i="15"/>
  <c r="G669" i="15"/>
  <c r="T679" i="15"/>
  <c r="U662" i="15"/>
  <c r="AK647" i="15"/>
  <c r="X649" i="15"/>
  <c r="H703" i="15"/>
  <c r="T687" i="15"/>
  <c r="AC681" i="15"/>
  <c r="AM683" i="15"/>
  <c r="R664" i="15"/>
  <c r="M658" i="15"/>
  <c r="AK711" i="15"/>
  <c r="G699" i="15"/>
  <c r="K703" i="15"/>
  <c r="AA684" i="15"/>
  <c r="AA676" i="15"/>
  <c r="P692" i="15"/>
  <c r="D671" i="15"/>
  <c r="AB654" i="15"/>
  <c r="AL701" i="15"/>
  <c r="Z693" i="15"/>
  <c r="AN695" i="15"/>
  <c r="I678" i="15"/>
  <c r="DZ670" i="15"/>
  <c r="N682" i="15"/>
  <c r="O665" i="15"/>
  <c r="T649" i="15"/>
  <c r="L651" i="15"/>
  <c r="K649" i="15"/>
  <c r="E710" i="15"/>
  <c r="DX697" i="15"/>
  <c r="D702" i="15"/>
  <c r="V683" i="15"/>
  <c r="AK675" i="15"/>
  <c r="AN690" i="15"/>
  <c r="M670" i="15"/>
  <c r="AN653" i="15"/>
  <c r="J656" i="15"/>
  <c r="Y654" i="15"/>
  <c r="Z671" i="15"/>
  <c r="W686" i="15"/>
  <c r="A711" i="15"/>
  <c r="E685" i="15"/>
  <c r="AA634" i="15"/>
  <c r="N691" i="15"/>
  <c r="D616" i="15"/>
  <c r="H661" i="15"/>
  <c r="V602" i="15"/>
  <c r="A633" i="15"/>
  <c r="H573" i="15"/>
  <c r="AK709" i="15"/>
  <c r="DX675" i="15"/>
  <c r="DV696" i="15"/>
  <c r="Z675" i="15"/>
  <c r="L689" i="15"/>
  <c r="AA693" i="15"/>
  <c r="AN696" i="15"/>
  <c r="G637" i="15"/>
  <c r="A701" i="15"/>
  <c r="F617" i="15"/>
  <c r="A664" i="15"/>
  <c r="H604" i="15"/>
  <c r="C635" i="15"/>
  <c r="AK574" i="15"/>
  <c r="B690" i="15"/>
  <c r="DV695" i="15"/>
  <c r="X663" i="15"/>
  <c r="N683" i="15"/>
  <c r="F682" i="15"/>
  <c r="AC648" i="15"/>
  <c r="V584" i="15"/>
  <c r="A713" i="15"/>
  <c r="AK692" i="15"/>
  <c r="O649" i="15"/>
  <c r="U660" i="15"/>
  <c r="P638" i="15"/>
  <c r="C668" i="15"/>
  <c r="S596" i="15"/>
  <c r="F625" i="15"/>
  <c r="M652" i="15"/>
  <c r="AM685" i="15"/>
  <c r="AB672" i="15"/>
  <c r="DX693" i="15"/>
  <c r="H694" i="15"/>
  <c r="S650" i="15"/>
  <c r="I718" i="15"/>
  <c r="E649" i="15"/>
  <c r="AN688" i="15"/>
  <c r="AL695" i="15"/>
  <c r="M679" i="15"/>
  <c r="A699" i="15"/>
  <c r="G692" i="15"/>
  <c r="K694" i="15"/>
  <c r="T676" i="15"/>
  <c r="Z669" i="15"/>
  <c r="C680" i="15"/>
  <c r="D663" i="15"/>
  <c r="D648" i="15"/>
  <c r="AN649" i="15"/>
  <c r="K716" i="15"/>
  <c r="P693" i="15"/>
  <c r="AA687" i="15"/>
  <c r="AB689" i="15"/>
  <c r="AN670" i="15"/>
  <c r="X664" i="15"/>
  <c r="G673" i="15"/>
  <c r="Y657" i="15"/>
  <c r="DY642" i="15"/>
  <c r="H645" i="15"/>
  <c r="C696" i="15"/>
  <c r="L683" i="15"/>
  <c r="D712" i="15"/>
  <c r="AK712" i="15"/>
  <c r="DU659" i="15"/>
  <c r="I654" i="15"/>
  <c r="Z702" i="15"/>
  <c r="DY693" i="15"/>
  <c r="F696" i="15"/>
  <c r="AC678" i="15"/>
  <c r="N671" i="15"/>
  <c r="B683" i="15"/>
  <c r="AL665" i="15"/>
  <c r="AL725" i="15"/>
  <c r="H695" i="15"/>
  <c r="N689" i="15"/>
  <c r="P691" i="15"/>
  <c r="DX672" i="15"/>
  <c r="U666" i="15"/>
  <c r="AN675" i="15"/>
  <c r="AC659" i="15"/>
  <c r="D645" i="15"/>
  <c r="N647" i="15"/>
  <c r="AL643" i="15"/>
  <c r="E701" i="15"/>
  <c r="J693" i="15"/>
  <c r="L695" i="15"/>
  <c r="AM677" i="15"/>
  <c r="AC670" i="15"/>
  <c r="AL681" i="15"/>
  <c r="AK664" i="15"/>
  <c r="A649" i="15"/>
  <c r="DV650" i="15"/>
  <c r="AR648" i="15"/>
  <c r="AC704" i="15"/>
  <c r="AA705" i="15"/>
  <c r="AL706" i="15"/>
  <c r="W669" i="15"/>
  <c r="M685" i="15"/>
  <c r="K677" i="15"/>
  <c r="P611" i="15"/>
  <c r="J654" i="15"/>
  <c r="Y598" i="15"/>
  <c r="N627" i="15"/>
  <c r="R568" i="15"/>
  <c r="U691" i="15"/>
  <c r="DW666" i="15"/>
  <c r="D686" i="15"/>
  <c r="H713" i="15"/>
  <c r="F714" i="15"/>
  <c r="DV691" i="15"/>
  <c r="N675" i="15"/>
  <c r="AA695" i="15"/>
  <c r="AC680" i="15"/>
  <c r="F613" i="15"/>
  <c r="T656" i="15"/>
  <c r="AJ599" i="15"/>
  <c r="I629" i="15"/>
  <c r="B570" i="15"/>
  <c r="H698" i="15"/>
  <c r="H714" i="15"/>
  <c r="AL716" i="15"/>
  <c r="AC665" i="15"/>
  <c r="V666" i="15"/>
  <c r="AA641" i="15"/>
  <c r="G708" i="15"/>
  <c r="O692" i="15"/>
  <c r="G675" i="15"/>
  <c r="J684" i="15"/>
  <c r="AK648" i="15"/>
  <c r="L690" i="15"/>
  <c r="B659" i="15"/>
  <c r="AA591" i="15"/>
  <c r="F620" i="15"/>
  <c r="A644" i="15"/>
  <c r="U681" i="15"/>
  <c r="AC668" i="15"/>
  <c r="AC689" i="15"/>
  <c r="DZ689" i="15"/>
  <c r="AK710" i="15"/>
  <c r="E697" i="15"/>
  <c r="AB704" i="15"/>
  <c r="G679" i="15"/>
  <c r="DV682" i="15"/>
  <c r="F717" i="15"/>
  <c r="AM693" i="15"/>
  <c r="DZ687" i="15"/>
  <c r="A690" i="15"/>
  <c r="H671" i="15"/>
  <c r="E665" i="15"/>
  <c r="AC673" i="15"/>
  <c r="G658" i="15"/>
  <c r="O643" i="15"/>
  <c r="Z645" i="15"/>
  <c r="C707" i="15"/>
  <c r="G689" i="15"/>
  <c r="U683" i="15"/>
  <c r="V685" i="15"/>
  <c r="P666" i="15"/>
  <c r="DY659" i="15"/>
  <c r="V667" i="15"/>
  <c r="DW652" i="15"/>
  <c r="Y638" i="15"/>
  <c r="AB640" i="15"/>
  <c r="AC691" i="15"/>
  <c r="DW678" i="15"/>
  <c r="AL702" i="15"/>
  <c r="J703" i="15"/>
  <c r="AC655" i="15"/>
  <c r="S2" i="2"/>
  <c r="AC695" i="15"/>
  <c r="AK689" i="15"/>
  <c r="AM691" i="15"/>
  <c r="L673" i="15"/>
  <c r="DU666" i="15"/>
  <c r="N676" i="15"/>
  <c r="E660" i="15"/>
  <c r="C711" i="15"/>
  <c r="DY690" i="15"/>
  <c r="H685" i="15"/>
  <c r="I687" i="15"/>
  <c r="G668" i="15"/>
  <c r="W661" i="15"/>
  <c r="DX669" i="15"/>
  <c r="DU654" i="15"/>
  <c r="X640" i="15"/>
  <c r="O642" i="15"/>
  <c r="AL721" i="15"/>
  <c r="DV694" i="15"/>
  <c r="A689" i="15"/>
  <c r="C691" i="15"/>
  <c r="T672" i="15"/>
  <c r="F666" i="15"/>
  <c r="K675" i="15"/>
  <c r="N659" i="15"/>
  <c r="Y644" i="15"/>
  <c r="A647" i="15"/>
  <c r="K643" i="15"/>
  <c r="J690" i="15"/>
  <c r="D692" i="15"/>
  <c r="DZ695" i="15"/>
  <c r="W656" i="15"/>
  <c r="DU690" i="15"/>
  <c r="AM668" i="15"/>
  <c r="Z606" i="15"/>
  <c r="AB648" i="15"/>
  <c r="O594" i="15"/>
  <c r="DU621" i="15"/>
  <c r="AN563" i="15"/>
  <c r="T682" i="15"/>
  <c r="AK705" i="15"/>
  <c r="W675" i="15"/>
  <c r="C693" i="15"/>
  <c r="Z694" i="15"/>
  <c r="K712" i="15"/>
  <c r="T661" i="15"/>
  <c r="Z707" i="15"/>
  <c r="M671" i="15"/>
  <c r="I608" i="15"/>
  <c r="J650" i="15"/>
  <c r="AG595" i="15"/>
  <c r="Z623" i="15"/>
  <c r="I565" i="15"/>
  <c r="F685" i="15"/>
  <c r="AA688" i="15"/>
  <c r="D707" i="15"/>
  <c r="G651" i="15"/>
  <c r="AK655" i="15"/>
  <c r="T635" i="15"/>
  <c r="W680" i="15"/>
  <c r="DV674" i="15"/>
  <c r="H711" i="15"/>
  <c r="AN668" i="15"/>
  <c r="C699" i="15"/>
  <c r="O689" i="15"/>
  <c r="C651" i="15"/>
  <c r="J586" i="15"/>
  <c r="I615" i="15"/>
  <c r="X635" i="15"/>
  <c r="AB563" i="15"/>
  <c r="AB693" i="15"/>
  <c r="K610" i="15"/>
  <c r="H706" i="15"/>
  <c r="AL674" i="15"/>
  <c r="R628" i="15"/>
  <c r="G634" i="15"/>
  <c r="A622" i="15"/>
  <c r="AL654" i="15"/>
  <c r="AJ588" i="15"/>
  <c r="AL601" i="15"/>
  <c r="DZ692" i="15"/>
  <c r="AI649" i="15"/>
  <c r="N625" i="15"/>
  <c r="K593" i="15"/>
  <c r="T605" i="15"/>
  <c r="E663" i="15"/>
  <c r="DY668" i="15"/>
  <c r="W641" i="15"/>
  <c r="C672" i="15"/>
  <c r="A686" i="15"/>
  <c r="W693" i="15"/>
  <c r="A685" i="15"/>
  <c r="D677" i="15"/>
  <c r="AC672" i="15"/>
  <c r="K714" i="15"/>
  <c r="AL718" i="15"/>
  <c r="AB699" i="15"/>
  <c r="AC686" i="15"/>
  <c r="F695" i="15"/>
  <c r="AK681" i="15"/>
  <c r="I665" i="15"/>
  <c r="A668" i="15"/>
  <c r="B699" i="15"/>
  <c r="O685" i="15"/>
  <c r="AC716" i="15"/>
  <c r="H717" i="15"/>
  <c r="AL661" i="15"/>
  <c r="F656" i="15"/>
  <c r="E662" i="15"/>
  <c r="R649" i="15"/>
  <c r="W634" i="15"/>
  <c r="O636" i="15"/>
  <c r="T693" i="15"/>
  <c r="AM680" i="15"/>
  <c r="Z706" i="15"/>
  <c r="E707" i="15"/>
  <c r="P657" i="15"/>
  <c r="K718" i="15"/>
  <c r="AN656" i="15"/>
  <c r="I645" i="15"/>
  <c r="N630" i="15"/>
  <c r="G709" i="15"/>
  <c r="M683" i="15"/>
  <c r="R670" i="15"/>
  <c r="T691" i="15"/>
  <c r="AL691" i="15"/>
  <c r="J718" i="15"/>
  <c r="AA702" i="15"/>
  <c r="E687" i="15"/>
  <c r="K681" i="15"/>
  <c r="P683" i="15"/>
  <c r="AN663" i="15"/>
  <c r="A658" i="15"/>
  <c r="AL664" i="15"/>
  <c r="AL650" i="15"/>
  <c r="I695" i="15"/>
  <c r="AA682" i="15"/>
  <c r="Z710" i="15"/>
  <c r="E711" i="15"/>
  <c r="H659" i="15"/>
  <c r="W653" i="15"/>
  <c r="A659" i="15"/>
  <c r="I647" i="15"/>
  <c r="DZ631" i="15"/>
  <c r="AB633" i="15"/>
  <c r="F701" i="15"/>
  <c r="P686" i="15"/>
  <c r="A719" i="15"/>
  <c r="AK722" i="15"/>
  <c r="AN662" i="15"/>
  <c r="E657" i="15"/>
  <c r="AA663" i="15"/>
  <c r="K650" i="15"/>
  <c r="V635" i="15"/>
  <c r="T637" i="15"/>
  <c r="B633" i="15"/>
  <c r="AD670" i="15"/>
  <c r="DY679" i="15"/>
  <c r="AA666" i="15"/>
  <c r="AJ640" i="15"/>
  <c r="V664" i="15"/>
  <c r="AC653" i="15"/>
  <c r="J598" i="15"/>
  <c r="Y637" i="15"/>
  <c r="AL585" i="15"/>
  <c r="V611" i="15"/>
  <c r="AK704" i="15"/>
  <c r="K688" i="15"/>
  <c r="C682" i="15"/>
  <c r="A703" i="15"/>
  <c r="A673" i="15"/>
  <c r="DU685" i="15"/>
  <c r="E671" i="15"/>
  <c r="J642" i="15"/>
  <c r="F667" i="15"/>
  <c r="DX655" i="15"/>
  <c r="Y599" i="15"/>
  <c r="Z639" i="15"/>
  <c r="H587" i="15"/>
  <c r="Y613" i="15"/>
  <c r="J683" i="15"/>
  <c r="DW687" i="15"/>
  <c r="AN684" i="15"/>
  <c r="AN685" i="15"/>
  <c r="K633" i="15"/>
  <c r="E639" i="15"/>
  <c r="G625" i="15"/>
  <c r="B660" i="15"/>
  <c r="I679" i="15"/>
  <c r="G696" i="15"/>
  <c r="T694" i="15"/>
  <c r="E656" i="15"/>
  <c r="M659" i="15"/>
  <c r="J638" i="15"/>
  <c r="A687" i="15"/>
  <c r="U604" i="15"/>
  <c r="T621" i="15"/>
  <c r="A718" i="15"/>
  <c r="D705" i="15"/>
  <c r="AB709" i="15"/>
  <c r="DV689" i="15"/>
  <c r="E680" i="15"/>
  <c r="Z701" i="15"/>
  <c r="I675" i="15"/>
  <c r="AB658" i="15"/>
  <c r="G661" i="15"/>
  <c r="AN693" i="15"/>
  <c r="E681" i="15"/>
  <c r="G707" i="15"/>
  <c r="B708" i="15"/>
  <c r="AC657" i="15"/>
  <c r="Z718" i="15"/>
  <c r="H657" i="15"/>
  <c r="Y645" i="15"/>
  <c r="AA630" i="15"/>
  <c r="F712" i="15"/>
  <c r="H689" i="15"/>
  <c r="L676" i="15"/>
  <c r="DW697" i="15"/>
  <c r="G698" i="15"/>
  <c r="S653" i="15"/>
  <c r="F697" i="15"/>
  <c r="H652" i="15"/>
  <c r="F708" i="15"/>
  <c r="T626" i="15"/>
  <c r="C687" i="15"/>
  <c r="DX678" i="15"/>
  <c r="K666" i="15"/>
  <c r="J687" i="15"/>
  <c r="W687" i="15"/>
  <c r="G700" i="15"/>
  <c r="AK695" i="15"/>
  <c r="DZ682" i="15"/>
  <c r="G711" i="15"/>
  <c r="B712" i="15"/>
  <c r="U659" i="15"/>
  <c r="DW653" i="15"/>
  <c r="O659" i="15"/>
  <c r="V647" i="15"/>
  <c r="DZ690" i="15"/>
  <c r="F678" i="15"/>
  <c r="J701" i="15"/>
  <c r="C702" i="15"/>
  <c r="D655" i="15"/>
  <c r="H705" i="15"/>
  <c r="D654" i="15"/>
  <c r="X642" i="15"/>
  <c r="E628" i="15"/>
  <c r="DX692" i="15"/>
  <c r="DW694" i="15"/>
  <c r="K682" i="15"/>
  <c r="AC709" i="15"/>
  <c r="H710" i="15"/>
  <c r="DV658" i="15"/>
  <c r="J653" i="15"/>
  <c r="X658" i="15"/>
  <c r="AL646" i="15"/>
  <c r="Z631" i="15"/>
  <c r="O633" i="15"/>
  <c r="AL628" i="15"/>
  <c r="E712" i="15"/>
  <c r="T667" i="15"/>
  <c r="A656" i="15"/>
  <c r="DY632" i="15"/>
  <c r="B654" i="15"/>
  <c r="J648" i="15"/>
  <c r="A594" i="15"/>
  <c r="AL632" i="15"/>
  <c r="J582" i="15"/>
  <c r="AN605" i="15"/>
  <c r="K690" i="15"/>
  <c r="G714" i="15"/>
  <c r="O697" i="15"/>
  <c r="AM690" i="15"/>
  <c r="A725" i="15"/>
  <c r="Y670" i="15"/>
  <c r="F660" i="15"/>
  <c r="I635" i="15"/>
  <c r="S657" i="15"/>
  <c r="AL649" i="15"/>
  <c r="V595" i="15"/>
  <c r="L634" i="15"/>
  <c r="V583" i="15"/>
  <c r="AB607" i="15"/>
  <c r="F706" i="15"/>
  <c r="O686" i="15"/>
  <c r="DU697" i="15"/>
  <c r="AH670" i="15"/>
  <c r="Z712" i="15"/>
  <c r="M632" i="15"/>
  <c r="T620" i="15"/>
  <c r="B652" i="15"/>
  <c r="F715" i="15"/>
  <c r="D715" i="15"/>
  <c r="G716" i="15"/>
  <c r="P646" i="15"/>
  <c r="C650" i="15"/>
  <c r="E632" i="15"/>
  <c r="J674" i="15"/>
  <c r="H599" i="15"/>
  <c r="AC615" i="15"/>
  <c r="K663" i="15"/>
  <c r="DU672" i="15"/>
  <c r="G688" i="15"/>
  <c r="I674" i="15"/>
  <c r="E688" i="15"/>
  <c r="AN655" i="15"/>
  <c r="L697" i="15"/>
  <c r="AM605" i="15"/>
  <c r="D635" i="15"/>
  <c r="U676" i="15"/>
  <c r="K697" i="15"/>
  <c r="O694" i="15"/>
  <c r="AA675" i="15"/>
  <c r="AN661" i="15"/>
  <c r="I677" i="15"/>
  <c r="AK586" i="15"/>
  <c r="K713" i="15"/>
  <c r="B667" i="15"/>
  <c r="DY665" i="15"/>
  <c r="Y667" i="15"/>
  <c r="DX633" i="15"/>
  <c r="J670" i="15"/>
  <c r="I684" i="15"/>
  <c r="AA708" i="15"/>
  <c r="B697" i="15"/>
  <c r="AB700" i="15"/>
  <c r="O682" i="15"/>
  <c r="AN674" i="15"/>
  <c r="C689" i="15"/>
  <c r="M669" i="15"/>
  <c r="DU652" i="15"/>
  <c r="N655" i="15"/>
  <c r="X689" i="15"/>
  <c r="AK676" i="15"/>
  <c r="K698" i="15"/>
  <c r="D699" i="15"/>
  <c r="AL653" i="15"/>
  <c r="AA698" i="15"/>
  <c r="V652" i="15"/>
  <c r="AA711" i="15"/>
  <c r="AN626" i="15"/>
  <c r="D688" i="15"/>
  <c r="C685" i="15"/>
  <c r="DX671" i="15"/>
  <c r="H693" i="15"/>
  <c r="V693" i="15"/>
  <c r="AR649" i="15"/>
  <c r="AB714" i="15"/>
  <c r="Z648" i="15"/>
  <c r="DZ686" i="15"/>
  <c r="DY692" i="15"/>
  <c r="F716" i="15"/>
  <c r="T674" i="15"/>
  <c r="G718" i="15"/>
  <c r="E683" i="15"/>
  <c r="A707" i="15"/>
  <c r="F690" i="15"/>
  <c r="M691" i="15"/>
  <c r="U678" i="15"/>
  <c r="E702" i="15"/>
  <c r="AC702" i="15"/>
  <c r="P655" i="15"/>
  <c r="K707" i="15"/>
  <c r="T654" i="15"/>
  <c r="DW642" i="15"/>
  <c r="AN686" i="15"/>
  <c r="AL673" i="15"/>
  <c r="A695" i="15"/>
  <c r="K695" i="15"/>
  <c r="I651" i="15"/>
  <c r="A691" i="15"/>
  <c r="DY649" i="15"/>
  <c r="X692" i="15"/>
  <c r="B703" i="15"/>
  <c r="L681" i="15"/>
  <c r="AA690" i="15"/>
  <c r="AN677" i="15"/>
  <c r="AC700" i="15"/>
  <c r="H701" i="15"/>
  <c r="AK654" i="15"/>
  <c r="AC703" i="15"/>
  <c r="AB653" i="15"/>
  <c r="K642" i="15"/>
  <c r="AL627" i="15"/>
  <c r="V691" i="15"/>
  <c r="AB624" i="15"/>
  <c r="B695" i="15"/>
  <c r="AA656" i="15"/>
  <c r="A722" i="15"/>
  <c r="A720" i="15"/>
  <c r="R647" i="15"/>
  <c r="Z642" i="15"/>
  <c r="AR589" i="15"/>
  <c r="W628" i="15"/>
  <c r="I692" i="15"/>
  <c r="AE600" i="15"/>
  <c r="A680" i="15"/>
  <c r="C704" i="15"/>
  <c r="DY687" i="15"/>
  <c r="F718" i="15"/>
  <c r="AK700" i="15"/>
  <c r="T660" i="15"/>
  <c r="AN650" i="15"/>
  <c r="AJ628" i="15"/>
  <c r="AD649" i="15"/>
  <c r="W644" i="15"/>
  <c r="K591" i="15"/>
  <c r="DY629" i="15"/>
  <c r="A708" i="15"/>
  <c r="O602" i="15"/>
  <c r="N684" i="15"/>
  <c r="DV669" i="15"/>
  <c r="A721" i="15"/>
  <c r="P656" i="15"/>
  <c r="AM678" i="15"/>
  <c r="AA626" i="15"/>
  <c r="J615" i="15"/>
  <c r="AM697" i="15"/>
  <c r="DY686" i="15"/>
  <c r="AB718" i="15"/>
  <c r="AC699" i="15"/>
  <c r="W692" i="15"/>
  <c r="AA694" i="15"/>
  <c r="DX676" i="15"/>
  <c r="DZ669" i="15"/>
  <c r="AB680" i="15"/>
  <c r="Z663" i="15"/>
  <c r="S648" i="15"/>
  <c r="I650" i="15"/>
  <c r="P685" i="15"/>
  <c r="J672" i="15"/>
  <c r="X693" i="15"/>
  <c r="DV693" i="15"/>
  <c r="F650" i="15"/>
  <c r="Z716" i="15"/>
  <c r="AL648" i="15"/>
  <c r="DV687" i="15"/>
  <c r="G694" i="15"/>
  <c r="AL678" i="15"/>
  <c r="AN680" i="15"/>
  <c r="DW667" i="15"/>
  <c r="DZ688" i="15"/>
  <c r="K689" i="15"/>
  <c r="AA707" i="15"/>
  <c r="G695" i="15"/>
  <c r="G701" i="15"/>
  <c r="A678" i="15"/>
  <c r="N681" i="15"/>
  <c r="AC715" i="15"/>
  <c r="S670" i="15"/>
  <c r="B709" i="15"/>
  <c r="Z713" i="15"/>
  <c r="O693" i="15"/>
  <c r="X682" i="15"/>
  <c r="F687" i="15"/>
  <c r="D674" i="15"/>
  <c r="M695" i="15"/>
  <c r="AM695" i="15"/>
  <c r="V651" i="15"/>
  <c r="DW691" i="15"/>
  <c r="L650" i="15"/>
  <c r="AL693" i="15"/>
  <c r="AB682" i="15"/>
  <c r="AM669" i="15"/>
  <c r="AL690" i="15"/>
  <c r="B691" i="15"/>
  <c r="K715" i="15"/>
  <c r="AK701" i="15"/>
  <c r="G710" i="15"/>
  <c r="H681" i="15"/>
  <c r="N685" i="15"/>
  <c r="U694" i="15"/>
  <c r="T686" i="15"/>
  <c r="M673" i="15"/>
  <c r="AB694" i="15"/>
  <c r="DY694" i="15"/>
  <c r="DW650" i="15"/>
  <c r="G690" i="15"/>
  <c r="AF649" i="15"/>
  <c r="H691" i="15"/>
  <c r="I700" i="15"/>
  <c r="AK680" i="15"/>
  <c r="A724" i="15"/>
  <c r="V684" i="15"/>
  <c r="AK724" i="15"/>
  <c r="M687" i="15"/>
  <c r="AL683" i="15"/>
  <c r="AG640" i="15"/>
  <c r="K637" i="15"/>
  <c r="AA585" i="15"/>
  <c r="T624" i="15"/>
  <c r="O675" i="15"/>
  <c r="AK595" i="15"/>
  <c r="AE670" i="15"/>
  <c r="DV688" i="15"/>
  <c r="K710" i="15"/>
  <c r="A697" i="15"/>
  <c r="K687" i="15"/>
  <c r="AE650" i="15"/>
  <c r="DX695" i="15"/>
  <c r="I689" i="15"/>
  <c r="S642" i="15"/>
  <c r="L639" i="15"/>
  <c r="AL586" i="15"/>
  <c r="AL625" i="15"/>
  <c r="AC679" i="15"/>
  <c r="U597" i="15"/>
  <c r="C714" i="15"/>
  <c r="K705" i="15"/>
  <c r="DX682" i="15"/>
  <c r="D716" i="15"/>
  <c r="AB664" i="15"/>
  <c r="X621" i="15"/>
  <c r="AK609" i="15"/>
  <c r="DX681" i="15"/>
  <c r="AB696" i="15"/>
  <c r="AA709" i="15"/>
  <c r="DW676" i="15"/>
  <c r="C629" i="15"/>
  <c r="B718" i="15"/>
  <c r="E694" i="15"/>
  <c r="L688" i="15"/>
  <c r="N690" i="15"/>
  <c r="AB671" i="15"/>
  <c r="S665" i="15"/>
  <c r="H674" i="15"/>
  <c r="W658" i="15"/>
  <c r="AC643" i="15"/>
  <c r="E646" i="15"/>
  <c r="F681" i="15"/>
  <c r="K668" i="15"/>
  <c r="M689" i="15"/>
  <c r="AA689" i="15"/>
  <c r="E709" i="15"/>
  <c r="I696" i="15"/>
  <c r="C703" i="15"/>
  <c r="AA678" i="15"/>
  <c r="E682" i="15"/>
  <c r="AL687" i="15"/>
  <c r="M676" i="15"/>
  <c r="V663" i="15"/>
  <c r="DU684" i="15"/>
  <c r="AK714" i="15"/>
  <c r="AC693" i="15"/>
  <c r="AL710" i="15"/>
  <c r="B689" i="15"/>
  <c r="Z670" i="15"/>
  <c r="AK673" i="15"/>
  <c r="A715" i="15"/>
  <c r="AA712" i="15"/>
  <c r="D700" i="15"/>
  <c r="F704" i="15"/>
  <c r="K685" i="15"/>
  <c r="B677" i="15"/>
  <c r="A683" i="15"/>
  <c r="E670" i="15"/>
  <c r="D691" i="15"/>
  <c r="O691" i="15"/>
  <c r="B717" i="15"/>
  <c r="AB703" i="15"/>
  <c r="G712" i="15"/>
  <c r="DY681" i="15"/>
  <c r="G678" i="15"/>
  <c r="Y665" i="15"/>
  <c r="X686" i="15"/>
  <c r="DV686" i="15"/>
  <c r="AB697" i="15"/>
  <c r="AL724" i="15"/>
  <c r="K693" i="15"/>
  <c r="T673" i="15"/>
  <c r="DY676" i="15"/>
  <c r="O679" i="15"/>
  <c r="L682" i="15"/>
  <c r="N669" i="15"/>
  <c r="O690" i="15"/>
  <c r="AC690" i="15"/>
  <c r="AL713" i="15"/>
  <c r="F700" i="15"/>
  <c r="H708" i="15"/>
  <c r="U680" i="15"/>
  <c r="X684" i="15"/>
  <c r="L692" i="15"/>
  <c r="AL689" i="15"/>
  <c r="C705" i="15"/>
  <c r="DW684" i="15"/>
  <c r="F673" i="15"/>
  <c r="AI670" i="15"/>
  <c r="DY634" i="15"/>
  <c r="S632" i="15"/>
  <c r="DY581" i="15"/>
  <c r="S620" i="15"/>
  <c r="U664" i="15"/>
  <c r="AK590" i="15"/>
  <c r="AL697" i="15"/>
  <c r="AB679" i="15"/>
  <c r="K700" i="15"/>
  <c r="Z687" i="15"/>
  <c r="AA713" i="15"/>
  <c r="K692" i="15"/>
  <c r="O678" i="15"/>
  <c r="C673" i="15"/>
  <c r="W636" i="15"/>
  <c r="DY633" i="15"/>
  <c r="J583" i="15"/>
  <c r="AB708" i="15"/>
  <c r="DW689" i="15"/>
  <c r="G684" i="15"/>
  <c r="H686" i="15"/>
  <c r="D667" i="15"/>
  <c r="X660" i="15"/>
  <c r="T668" i="15"/>
  <c r="AA653" i="15"/>
  <c r="S639" i="15"/>
  <c r="G641" i="15"/>
  <c r="AL676" i="15"/>
  <c r="C664" i="15"/>
  <c r="G685" i="15"/>
  <c r="H716" i="15"/>
  <c r="P694" i="15"/>
  <c r="AC712" i="15"/>
  <c r="AN689" i="15"/>
  <c r="B671" i="15"/>
  <c r="L674" i="15"/>
  <c r="H676" i="15"/>
  <c r="DY671" i="15"/>
  <c r="B713" i="15"/>
  <c r="J717" i="15"/>
  <c r="G697" i="15"/>
  <c r="T685" i="15"/>
  <c r="AL723" i="15"/>
  <c r="Z680" i="15"/>
  <c r="AK663" i="15"/>
  <c r="DX666" i="15"/>
  <c r="D714" i="15"/>
  <c r="G703" i="15"/>
  <c r="M694" i="15"/>
  <c r="AA696" i="15"/>
  <c r="D679" i="15"/>
  <c r="AM671" i="15"/>
  <c r="W678" i="15"/>
  <c r="DX665" i="15"/>
  <c r="DX686" i="15"/>
  <c r="H687" i="15"/>
  <c r="AC698" i="15"/>
  <c r="E690" i="15"/>
  <c r="B694" i="15"/>
  <c r="C674" i="15"/>
  <c r="AM673" i="15"/>
  <c r="AK716" i="15"/>
  <c r="P682" i="15"/>
  <c r="A704" i="15"/>
  <c r="AL688" i="15"/>
  <c r="B698" i="15"/>
  <c r="Z683" i="15"/>
  <c r="AL666" i="15"/>
  <c r="AK669" i="15"/>
  <c r="V670" i="15"/>
  <c r="DU677" i="15"/>
  <c r="L665" i="15"/>
  <c r="I686" i="15"/>
  <c r="AL685" i="15"/>
  <c r="S656" i="15"/>
  <c r="AB636" i="15"/>
  <c r="C698" i="15"/>
  <c r="W664" i="15"/>
  <c r="AA703" i="15"/>
  <c r="DZ697" i="15"/>
  <c r="I713" i="15"/>
  <c r="DU673" i="15"/>
  <c r="AM682" i="15"/>
  <c r="L684" i="15"/>
  <c r="C712" i="15"/>
  <c r="DV676" i="15"/>
  <c r="N673" i="15"/>
  <c r="AN667" i="15"/>
  <c r="S654" i="15"/>
  <c r="D638" i="15"/>
  <c r="P678" i="15"/>
  <c r="AA660" i="15"/>
  <c r="E590" i="15"/>
  <c r="C700" i="15"/>
  <c r="A684" i="15"/>
  <c r="U650" i="15"/>
  <c r="AK603" i="15"/>
  <c r="N649" i="15"/>
  <c r="AA700" i="15"/>
  <c r="U667" i="15"/>
  <c r="R655" i="15"/>
  <c r="A716" i="15"/>
  <c r="M661" i="15"/>
  <c r="V634" i="15"/>
  <c r="AB581" i="15"/>
  <c r="AA677" i="15"/>
  <c r="O674" i="15"/>
  <c r="AA652" i="15"/>
  <c r="AA710" i="15"/>
  <c r="AB692" i="15"/>
  <c r="X636" i="15"/>
  <c r="G623" i="15"/>
  <c r="F596" i="15"/>
  <c r="DW614" i="15"/>
  <c r="B621" i="15"/>
  <c r="N656" i="15"/>
  <c r="AA715" i="15"/>
  <c r="H642" i="15"/>
  <c r="AC636" i="15"/>
  <c r="F631" i="15"/>
  <c r="L693" i="15"/>
  <c r="U685" i="15"/>
  <c r="AA692" i="15"/>
  <c r="P640" i="15"/>
  <c r="AA686" i="15"/>
  <c r="B666" i="15"/>
  <c r="AC682" i="15"/>
  <c r="J696" i="15"/>
  <c r="Z688" i="15"/>
  <c r="DZ678" i="15"/>
  <c r="DY677" i="15"/>
  <c r="S641" i="15"/>
  <c r="DY620" i="15"/>
  <c r="C713" i="15"/>
  <c r="D680" i="15"/>
  <c r="E666" i="15"/>
  <c r="O683" i="15"/>
  <c r="U589" i="15"/>
  <c r="K588" i="15"/>
  <c r="J624" i="15"/>
  <c r="DV622" i="15"/>
  <c r="G563" i="15"/>
  <c r="R634" i="15"/>
  <c r="O662" i="15"/>
  <c r="W576" i="15"/>
  <c r="T692" i="15"/>
  <c r="O656" i="15"/>
  <c r="K656" i="15"/>
  <c r="Z615" i="15"/>
  <c r="E626" i="15"/>
  <c r="V632" i="15"/>
  <c r="K673" i="15"/>
  <c r="DU670" i="15"/>
  <c r="N589" i="15"/>
  <c r="DY621" i="15"/>
  <c r="Y658" i="15"/>
  <c r="DY631" i="15"/>
  <c r="A675" i="15"/>
  <c r="O648" i="15"/>
  <c r="DZ659" i="15"/>
  <c r="B639" i="15"/>
  <c r="U645" i="15"/>
  <c r="DU624" i="15"/>
  <c r="G610" i="15"/>
  <c r="AM586" i="15"/>
  <c r="DZ693" i="15"/>
  <c r="AA595" i="15"/>
  <c r="C614" i="15"/>
  <c r="Y626" i="15"/>
  <c r="DW630" i="15"/>
  <c r="L671" i="15"/>
  <c r="AC646" i="15"/>
  <c r="T658" i="15"/>
  <c r="A637" i="15"/>
  <c r="P689" i="15"/>
  <c r="A616" i="15"/>
  <c r="Y642" i="15"/>
  <c r="T681" i="15"/>
  <c r="X652" i="15"/>
  <c r="Z715" i="15"/>
  <c r="F689" i="15"/>
  <c r="J658" i="15"/>
  <c r="H696" i="15"/>
  <c r="O687" i="15"/>
  <c r="AB712" i="15"/>
  <c r="C669" i="15"/>
  <c r="AL712" i="15"/>
  <c r="M677" i="15"/>
  <c r="AK702" i="15"/>
  <c r="AG670" i="15"/>
  <c r="AK721" i="15"/>
  <c r="AM696" i="15"/>
  <c r="DV672" i="15"/>
  <c r="K709" i="15"/>
  <c r="AA661" i="15"/>
  <c r="J628" i="15"/>
  <c r="X654" i="15"/>
  <c r="AA718" i="15"/>
  <c r="L694" i="15"/>
  <c r="O663" i="15"/>
  <c r="AL700" i="15"/>
  <c r="F642" i="15"/>
  <c r="B684" i="15"/>
  <c r="Y655" i="15"/>
  <c r="M630" i="15"/>
  <c r="U692" i="15"/>
  <c r="F651" i="15"/>
  <c r="F629" i="15"/>
  <c r="AC664" i="15"/>
  <c r="P663" i="15"/>
  <c r="DU653" i="15"/>
  <c r="AA645" i="15"/>
  <c r="J686" i="15"/>
  <c r="C709" i="15"/>
  <c r="K686" i="15"/>
  <c r="D678" i="15"/>
  <c r="AN590" i="15"/>
  <c r="R609" i="15"/>
  <c r="K615" i="15"/>
  <c r="N670" i="15"/>
  <c r="AK657" i="15"/>
  <c r="M634" i="15"/>
  <c r="Z630" i="15"/>
  <c r="O696" i="15"/>
  <c r="M653" i="15"/>
  <c r="O651" i="15"/>
  <c r="DU689" i="15"/>
  <c r="D693" i="15"/>
  <c r="J666" i="15"/>
  <c r="T652" i="15"/>
  <c r="AK684" i="15"/>
  <c r="I703" i="15"/>
  <c r="Z696" i="15"/>
  <c r="DW660" i="15"/>
  <c r="L659" i="15"/>
  <c r="B630" i="15"/>
  <c r="DY675" i="15"/>
  <c r="E716" i="15"/>
  <c r="Y661" i="15"/>
  <c r="L654" i="15"/>
  <c r="B668" i="15"/>
  <c r="I583" i="15"/>
  <c r="D582" i="15"/>
  <c r="O618" i="15"/>
  <c r="K617" i="15"/>
  <c r="DZ672" i="15"/>
  <c r="AK626" i="15"/>
  <c r="X650" i="15"/>
  <c r="AO570" i="15"/>
  <c r="T680" i="15"/>
  <c r="I643" i="15"/>
  <c r="AR644" i="15"/>
  <c r="Y608" i="15"/>
  <c r="K619" i="15"/>
  <c r="E625" i="15"/>
  <c r="R661" i="15"/>
  <c r="W659" i="15"/>
  <c r="W584" i="15"/>
  <c r="R615" i="15"/>
  <c r="DV647" i="15"/>
  <c r="H622" i="15"/>
  <c r="P658" i="15"/>
  <c r="D636" i="15"/>
  <c r="M649" i="15"/>
  <c r="O630" i="15"/>
  <c r="AA691" i="15"/>
  <c r="AC616" i="15"/>
  <c r="V601" i="15"/>
  <c r="F580" i="15"/>
  <c r="K699" i="15"/>
  <c r="AR588" i="15"/>
  <c r="F674" i="15"/>
  <c r="AL686" i="15"/>
  <c r="G717" i="15"/>
  <c r="Z653" i="15"/>
  <c r="C632" i="15"/>
  <c r="N648" i="15"/>
  <c r="P629" i="15"/>
  <c r="DZ666" i="15"/>
  <c r="G683" i="15"/>
  <c r="M688" i="15"/>
  <c r="T664" i="15"/>
  <c r="AA714" i="15"/>
  <c r="AL707" i="15"/>
  <c r="AK666" i="15"/>
  <c r="F639" i="15"/>
  <c r="B716" i="15"/>
  <c r="AB661" i="15"/>
  <c r="U687" i="15"/>
  <c r="DU651" i="15"/>
  <c r="X687" i="15"/>
  <c r="J655" i="15"/>
  <c r="AK726" i="15"/>
  <c r="Y650" i="15"/>
  <c r="Z690" i="15"/>
  <c r="C688" i="15"/>
  <c r="L666" i="15"/>
  <c r="AL692" i="15"/>
  <c r="F652" i="15"/>
  <c r="H624" i="15"/>
  <c r="P647" i="15"/>
  <c r="H697" i="15"/>
  <c r="F684" i="15"/>
  <c r="W652" i="15"/>
  <c r="P681" i="15"/>
  <c r="P618" i="15"/>
  <c r="H709" i="15"/>
  <c r="AL644" i="15"/>
  <c r="V604" i="15"/>
  <c r="B692" i="15"/>
  <c r="W691" i="15"/>
  <c r="W623" i="15"/>
  <c r="O655" i="15"/>
  <c r="M628" i="15"/>
  <c r="AB646" i="15"/>
  <c r="K638" i="15"/>
  <c r="DV692" i="15"/>
  <c r="C694" i="15"/>
  <c r="Z668" i="15"/>
  <c r="P667" i="15"/>
  <c r="AM585" i="15"/>
  <c r="AC603" i="15"/>
  <c r="AB608" i="15"/>
  <c r="DX652" i="15"/>
  <c r="T643" i="15"/>
  <c r="V627" i="15"/>
  <c r="AA623" i="15"/>
  <c r="B704" i="15"/>
  <c r="U686" i="15"/>
  <c r="W694" i="15"/>
  <c r="C667" i="15"/>
  <c r="N696" i="15"/>
  <c r="T651" i="15"/>
  <c r="D683" i="15"/>
  <c r="DU688" i="15"/>
  <c r="AK683" i="15"/>
  <c r="AM687" i="15"/>
  <c r="S646" i="15"/>
  <c r="A726" i="15"/>
  <c r="AL680" i="15"/>
  <c r="N680" i="15"/>
  <c r="DZ677" i="15"/>
  <c r="H648" i="15"/>
  <c r="G646" i="15"/>
  <c r="DZ656" i="15"/>
  <c r="N688" i="15"/>
  <c r="AM576" i="15"/>
  <c r="C692" i="15"/>
  <c r="Z611" i="15"/>
  <c r="C659" i="15"/>
  <c r="Z619" i="15"/>
  <c r="DY640" i="15"/>
  <c r="G565" i="15"/>
  <c r="F661" i="15"/>
  <c r="AM674" i="15"/>
  <c r="N635" i="15"/>
  <c r="W601" i="15"/>
  <c r="A614" i="15"/>
  <c r="Y617" i="15"/>
  <c r="AA651" i="15"/>
  <c r="E650" i="15"/>
  <c r="DX579" i="15"/>
  <c r="AA681" i="15"/>
  <c r="DX670" i="15"/>
  <c r="DU675" i="15"/>
  <c r="W645" i="15"/>
  <c r="K624" i="15"/>
  <c r="U640" i="15"/>
  <c r="P623" i="15"/>
  <c r="AB651" i="15"/>
  <c r="U605" i="15"/>
  <c r="AL592" i="15"/>
  <c r="B574" i="15"/>
  <c r="M693" i="15"/>
  <c r="O583" i="15"/>
  <c r="AN657" i="15"/>
  <c r="X671" i="15"/>
  <c r="AN672" i="15"/>
  <c r="U643" i="15"/>
  <c r="AC622" i="15"/>
  <c r="X638" i="15"/>
  <c r="Y621" i="15"/>
  <c r="DV651" i="15"/>
  <c r="E675" i="15"/>
  <c r="AN648" i="15"/>
  <c r="K717" i="15"/>
  <c r="V662" i="15"/>
  <c r="K672" i="15"/>
  <c r="B686" i="15"/>
  <c r="R667" i="15"/>
  <c r="C708" i="15"/>
  <c r="G674" i="15"/>
  <c r="B696" i="15"/>
  <c r="H667" i="15"/>
  <c r="I705" i="15"/>
  <c r="M667" i="15"/>
  <c r="DZ691" i="15"/>
  <c r="C660" i="15"/>
  <c r="C716" i="15"/>
  <c r="B681" i="15"/>
  <c r="X659" i="15"/>
  <c r="AC683" i="15"/>
  <c r="S644" i="15"/>
  <c r="G620" i="15"/>
  <c r="C640" i="15"/>
  <c r="AN687" i="15"/>
  <c r="B705" i="15"/>
  <c r="O644" i="15"/>
  <c r="DZ671" i="15"/>
  <c r="AB592" i="15"/>
  <c r="AC684" i="15"/>
  <c r="AL641" i="15"/>
  <c r="I599" i="15"/>
  <c r="B673" i="15"/>
  <c r="Z672" i="15"/>
  <c r="K704" i="15"/>
  <c r="I648" i="15"/>
  <c r="H609" i="15"/>
  <c r="N639" i="15"/>
  <c r="AL631" i="15"/>
  <c r="K706" i="15"/>
  <c r="DY660" i="15"/>
  <c r="V646" i="15"/>
  <c r="R658" i="15"/>
  <c r="O581" i="15"/>
  <c r="AK598" i="15"/>
  <c r="K596" i="15"/>
  <c r="DX696" i="15"/>
  <c r="AB702" i="15"/>
  <c r="AL620" i="15"/>
  <c r="E618" i="15"/>
  <c r="AC705" i="15"/>
  <c r="S651" i="15"/>
  <c r="J700" i="15"/>
  <c r="AR651" i="15"/>
  <c r="AK719" i="15"/>
  <c r="J664" i="15"/>
  <c r="F663" i="15"/>
  <c r="K701" i="15"/>
  <c r="P665" i="15"/>
  <c r="N665" i="15"/>
  <c r="P677" i="15"/>
  <c r="AK717" i="15"/>
  <c r="E664" i="15"/>
  <c r="P690" i="15"/>
  <c r="AK659" i="15"/>
  <c r="A635" i="15"/>
  <c r="K636" i="15"/>
  <c r="F647" i="15"/>
  <c r="AN669" i="15"/>
  <c r="H571" i="15"/>
  <c r="AL705" i="15"/>
  <c r="X605" i="15"/>
  <c r="E648" i="15"/>
  <c r="O613" i="15"/>
  <c r="F632" i="15"/>
  <c r="G560" i="15"/>
  <c r="Z704" i="15"/>
  <c r="X651" i="15"/>
  <c r="O627" i="15"/>
  <c r="AC594" i="15"/>
  <c r="Y606" i="15"/>
  <c r="E610" i="15"/>
  <c r="DU643" i="15"/>
  <c r="N642" i="15"/>
  <c r="S576" i="15"/>
  <c r="DV665" i="15"/>
  <c r="U679" i="15"/>
  <c r="V659" i="15"/>
  <c r="AB634" i="15"/>
  <c r="D708" i="15"/>
  <c r="Z657" i="15"/>
  <c r="E717" i="15"/>
  <c r="AK679" i="15"/>
  <c r="AB660" i="15"/>
  <c r="E699" i="15"/>
  <c r="P668" i="15"/>
  <c r="AB691" i="15"/>
  <c r="J662" i="15"/>
  <c r="AC692" i="15"/>
  <c r="W660" i="15"/>
  <c r="C684" i="15"/>
  <c r="K654" i="15"/>
  <c r="AA706" i="15"/>
  <c r="J661" i="15"/>
  <c r="L640" i="15"/>
  <c r="DZ679" i="15"/>
  <c r="X647" i="15"/>
  <c r="G602" i="15"/>
  <c r="AL616" i="15"/>
  <c r="E691" i="15"/>
  <c r="AC711" i="15"/>
  <c r="K680" i="15"/>
  <c r="C645" i="15"/>
  <c r="O587" i="15"/>
  <c r="B669" i="15"/>
  <c r="D652" i="15"/>
  <c r="P594" i="15"/>
  <c r="Z686" i="15"/>
  <c r="I672" i="15"/>
  <c r="DY678" i="15"/>
  <c r="Z641" i="15"/>
  <c r="AK602" i="15"/>
  <c r="U632" i="15"/>
  <c r="G626" i="15"/>
  <c r="DY688" i="15"/>
  <c r="Z650" i="15"/>
  <c r="Z635" i="15"/>
  <c r="AF650" i="15"/>
  <c r="AC685" i="15"/>
  <c r="AI593" i="15"/>
  <c r="DY589" i="15"/>
  <c r="AA671" i="15"/>
  <c r="L696" i="15"/>
  <c r="N614" i="15"/>
  <c r="H612" i="15"/>
  <c r="DZ696" i="15"/>
  <c r="DY689" i="15"/>
  <c r="AK723" i="15"/>
  <c r="AK685" i="15"/>
  <c r="Z703" i="15"/>
  <c r="DX649" i="15"/>
  <c r="B702" i="15"/>
  <c r="F692" i="15"/>
  <c r="M648" i="15"/>
  <c r="AB649" i="15"/>
  <c r="DW681" i="15"/>
  <c r="A679" i="15"/>
  <c r="W648" i="15"/>
  <c r="AN683" i="15"/>
  <c r="AB706" i="15"/>
  <c r="AK715" i="15"/>
  <c r="K629" i="15"/>
  <c r="K639" i="15"/>
  <c r="M655" i="15"/>
  <c r="AM564" i="15"/>
  <c r="DW688" i="15"/>
  <c r="C600" i="15"/>
  <c r="S638" i="15"/>
  <c r="H678" i="15"/>
  <c r="AC624" i="15"/>
  <c r="H555" i="15"/>
  <c r="U673" i="15"/>
  <c r="AL639" i="15"/>
  <c r="C718" i="15"/>
  <c r="D588" i="15"/>
  <c r="AI600" i="15"/>
  <c r="X601" i="15"/>
  <c r="C636" i="15"/>
  <c r="AK634" i="15"/>
  <c r="AB571" i="15"/>
  <c r="AC652" i="15"/>
  <c r="AB710" i="15"/>
  <c r="G647" i="15"/>
  <c r="G627" i="15"/>
  <c r="W685" i="15"/>
  <c r="AB690" i="15"/>
  <c r="W689" i="15"/>
  <c r="K660" i="15"/>
  <c r="DU640" i="15"/>
  <c r="AA716" i="15"/>
  <c r="D649" i="15"/>
  <c r="P674" i="15"/>
  <c r="AL711" i="15"/>
  <c r="AB668" i="15"/>
  <c r="A702" i="15"/>
  <c r="R663" i="15"/>
  <c r="DV635" i="15"/>
  <c r="DV684" i="15"/>
  <c r="H718" i="15"/>
  <c r="G676" i="15"/>
  <c r="AN691" i="15"/>
  <c r="AN658" i="15"/>
  <c r="I691" i="15"/>
  <c r="AF585" i="15"/>
  <c r="V688" i="15"/>
  <c r="U677" i="15"/>
  <c r="X631" i="15"/>
  <c r="AB621" i="15"/>
  <c r="DU582" i="15"/>
  <c r="DV697" i="15"/>
  <c r="C643" i="15"/>
  <c r="I589" i="15"/>
  <c r="AK690" i="15"/>
  <c r="C637" i="15"/>
  <c r="E645" i="15"/>
  <c r="S635" i="15"/>
  <c r="Z596" i="15"/>
  <c r="DW626" i="15"/>
  <c r="AN620" i="15"/>
  <c r="DX688" i="15"/>
  <c r="D672" i="15"/>
  <c r="G686" i="15"/>
  <c r="D644" i="15"/>
  <c r="P673" i="15"/>
  <c r="H584" i="15"/>
  <c r="J705" i="15"/>
  <c r="DW654" i="15"/>
  <c r="U668" i="15"/>
  <c r="C607" i="15"/>
  <c r="X599" i="15"/>
  <c r="D710" i="15"/>
  <c r="H663" i="15"/>
  <c r="G704" i="15"/>
  <c r="H666" i="15"/>
  <c r="E704" i="15"/>
  <c r="DU687" i="15"/>
  <c r="F705" i="15"/>
  <c r="DU692" i="15"/>
  <c r="P679" i="15"/>
  <c r="AN678" i="15"/>
  <c r="DW692" i="15"/>
  <c r="V660" i="15"/>
  <c r="M635" i="15"/>
  <c r="T684" i="15"/>
  <c r="AM675" i="15"/>
  <c r="DZ673" i="15"/>
  <c r="DZ622" i="15"/>
  <c r="D632" i="15"/>
  <c r="AA644" i="15"/>
  <c r="AK697" i="15"/>
  <c r="AM688" i="15"/>
  <c r="AD594" i="15"/>
  <c r="A630" i="15"/>
  <c r="DW673" i="15"/>
  <c r="Z617" i="15"/>
  <c r="I550" i="15"/>
  <c r="Z658" i="15"/>
  <c r="O629" i="15"/>
  <c r="AM679" i="15"/>
  <c r="K582" i="15"/>
  <c r="E595" i="15"/>
  <c r="X594" i="15"/>
  <c r="AA629" i="15"/>
  <c r="T628" i="15"/>
  <c r="AR566" i="15"/>
  <c r="DZ642" i="15"/>
  <c r="AB717" i="15"/>
  <c r="AC634" i="15"/>
  <c r="U618" i="15"/>
  <c r="D718" i="15"/>
  <c r="AE649" i="15"/>
  <c r="AB713" i="15"/>
  <c r="N694" i="15"/>
  <c r="AK667" i="15"/>
  <c r="T688" i="15"/>
  <c r="W657" i="15"/>
  <c r="C690" i="15"/>
  <c r="E674" i="15"/>
  <c r="T689" i="15"/>
  <c r="AK725" i="15"/>
  <c r="W681" i="15"/>
  <c r="Z662" i="15"/>
  <c r="AL726" i="15"/>
  <c r="D697" i="15"/>
  <c r="F669" i="15"/>
  <c r="AB716" i="15"/>
  <c r="H649" i="15"/>
  <c r="C678" i="15"/>
  <c r="P581" i="15"/>
  <c r="J679" i="15"/>
  <c r="F664" i="15"/>
  <c r="B627" i="15"/>
  <c r="U617" i="15"/>
  <c r="Y578" i="15"/>
  <c r="P669" i="15"/>
  <c r="B634" i="15"/>
  <c r="C670" i="15"/>
  <c r="M690" i="15"/>
  <c r="G687" i="15"/>
  <c r="H627" i="15"/>
  <c r="L630" i="15"/>
  <c r="P590" i="15"/>
  <c r="S621" i="15"/>
  <c r="AN615" i="15"/>
  <c r="X690" i="15"/>
  <c r="DY658" i="15"/>
  <c r="AB686" i="15"/>
  <c r="Z637" i="15"/>
  <c r="C663" i="15"/>
  <c r="J702" i="15"/>
  <c r="AN664" i="15"/>
  <c r="DX694" i="15"/>
  <c r="DW651" i="15"/>
  <c r="AK599" i="15"/>
  <c r="J593" i="15"/>
  <c r="D675" i="15"/>
  <c r="AG648" i="15"/>
  <c r="DZ694" i="15"/>
  <c r="E651" i="15"/>
  <c r="D701" i="15"/>
  <c r="A692" i="15"/>
  <c r="D685" i="15"/>
  <c r="DY696" i="15"/>
  <c r="L661" i="15"/>
  <c r="Y659" i="15"/>
  <c r="U684" i="15"/>
  <c r="B714" i="15"/>
  <c r="DX679" i="15"/>
  <c r="AN692" i="15"/>
  <c r="AK656" i="15"/>
  <c r="DV656" i="15"/>
  <c r="P616" i="15"/>
  <c r="R626" i="15"/>
  <c r="T633" i="15"/>
  <c r="M675" i="15"/>
  <c r="AN671" i="15"/>
  <c r="AC589" i="15"/>
  <c r="V622" i="15"/>
  <c r="Z659" i="15"/>
  <c r="E611" i="15"/>
  <c r="AB545" i="15"/>
  <c r="D709" i="15"/>
  <c r="N679" i="15"/>
  <c r="W665" i="15"/>
  <c r="V682" i="15"/>
  <c r="S588" i="15"/>
  <c r="AK587" i="15"/>
  <c r="Y623" i="15"/>
  <c r="R622" i="15"/>
  <c r="D704" i="15"/>
  <c r="AK633" i="15"/>
  <c r="AK646" i="15"/>
  <c r="AN625" i="15"/>
  <c r="W610" i="15"/>
  <c r="AC588" i="15"/>
  <c r="AL696" i="15"/>
  <c r="A596" i="15"/>
  <c r="J631" i="15"/>
  <c r="AM672" i="15"/>
  <c r="AL647" i="15"/>
  <c r="I659" i="15"/>
  <c r="V637" i="15"/>
  <c r="D695" i="15"/>
  <c r="U616" i="15"/>
  <c r="H644" i="15"/>
  <c r="U624" i="15"/>
  <c r="B609" i="15"/>
  <c r="W586" i="15"/>
  <c r="DY691" i="15"/>
  <c r="I595" i="15"/>
  <c r="P613" i="15"/>
  <c r="B626" i="15"/>
  <c r="V630" i="15"/>
  <c r="AB670" i="15"/>
  <c r="D646" i="15"/>
  <c r="V657" i="15"/>
  <c r="P636" i="15"/>
  <c r="AB701" i="15"/>
  <c r="AN654" i="15"/>
  <c r="R632" i="15"/>
  <c r="V612" i="15"/>
  <c r="AC628" i="15"/>
  <c r="K614" i="15"/>
  <c r="AB637" i="15"/>
  <c r="AC621" i="15"/>
  <c r="I606" i="15"/>
  <c r="DZ584" i="15"/>
  <c r="AC718" i="15"/>
  <c r="N593" i="15"/>
  <c r="AL698" i="15"/>
  <c r="X593" i="15"/>
  <c r="DX581" i="15"/>
  <c r="O563" i="15"/>
  <c r="AK665" i="15"/>
  <c r="DV576" i="15"/>
  <c r="G640" i="15"/>
  <c r="AK708" i="15"/>
  <c r="C646" i="15"/>
  <c r="H704" i="15"/>
  <c r="AA699" i="15"/>
  <c r="DW659" i="15"/>
  <c r="M681" i="15"/>
  <c r="DZ651" i="15"/>
  <c r="DX685" i="15"/>
  <c r="F670" i="15"/>
  <c r="B682" i="15"/>
  <c r="B711" i="15"/>
  <c r="E676" i="15"/>
  <c r="AB656" i="15"/>
  <c r="F711" i="15"/>
  <c r="AL704" i="15"/>
  <c r="G662" i="15"/>
  <c r="N697" i="15"/>
  <c r="AC642" i="15"/>
  <c r="L669" i="15"/>
  <c r="P577" i="15"/>
  <c r="AB715" i="15"/>
  <c r="DV654" i="15"/>
  <c r="U622" i="15"/>
  <c r="U613" i="15"/>
  <c r="AN560" i="15"/>
  <c r="B656" i="15"/>
  <c r="D682" i="15"/>
  <c r="E706" i="15"/>
  <c r="D694" i="15"/>
  <c r="K670" i="15"/>
  <c r="M622" i="15"/>
  <c r="AJ609" i="15"/>
  <c r="AE584" i="15"/>
  <c r="W616" i="15"/>
  <c r="AK604" i="15"/>
  <c r="G660" i="15"/>
  <c r="Y648" i="15"/>
  <c r="AL671" i="15"/>
  <c r="AK631" i="15"/>
  <c r="AN647" i="15"/>
  <c r="L662" i="15"/>
  <c r="A709" i="15"/>
  <c r="DX667" i="15"/>
  <c r="C642" i="15"/>
  <c r="Z586" i="15"/>
  <c r="AA581" i="15"/>
  <c r="R654" i="15"/>
  <c r="H636" i="15"/>
  <c r="A705" i="15"/>
  <c r="P662" i="15"/>
  <c r="AN652" i="15"/>
  <c r="F702" i="15"/>
  <c r="AR665" i="15"/>
  <c r="DU694" i="15"/>
  <c r="AH647" i="15"/>
  <c r="J695" i="15"/>
  <c r="J688" i="15"/>
  <c r="DX677" i="15"/>
  <c r="P675" i="15"/>
  <c r="DX680" i="15"/>
  <c r="Y643" i="15"/>
  <c r="R645" i="15"/>
  <c r="C609" i="15"/>
  <c r="AK620" i="15"/>
  <c r="W625" i="15"/>
  <c r="K662" i="15"/>
  <c r="M660" i="15"/>
  <c r="AK584" i="15"/>
  <c r="B616" i="15"/>
  <c r="X648" i="15"/>
  <c r="W604" i="15"/>
  <c r="H675" i="15"/>
  <c r="E714" i="15"/>
  <c r="AL659" i="15"/>
  <c r="G653" i="15"/>
  <c r="O667" i="15"/>
  <c r="DW582" i="15"/>
  <c r="AL581" i="15"/>
  <c r="AL617" i="15"/>
  <c r="DW616" i="15"/>
  <c r="AK671" i="15"/>
  <c r="I626" i="15"/>
  <c r="AA697" i="15"/>
  <c r="AH617" i="15"/>
  <c r="AH601" i="15"/>
  <c r="W580" i="15"/>
  <c r="Z705" i="15"/>
  <c r="C590" i="15"/>
  <c r="DV621" i="15"/>
  <c r="AA657" i="15"/>
  <c r="C634" i="15"/>
  <c r="AI648" i="15"/>
  <c r="DV629" i="15"/>
  <c r="F668" i="15"/>
  <c r="L685" i="15"/>
  <c r="T690" i="15"/>
  <c r="DX614" i="15"/>
  <c r="W600" i="15"/>
  <c r="AR579" i="15"/>
  <c r="A696" i="15"/>
  <c r="U588" i="15"/>
  <c r="DY672" i="15"/>
  <c r="P684" i="15"/>
  <c r="J713" i="15"/>
  <c r="E653" i="15"/>
  <c r="W631" i="15"/>
  <c r="AJ647" i="15"/>
  <c r="A628" i="15"/>
  <c r="Z655" i="15"/>
  <c r="I641" i="15"/>
  <c r="K623" i="15"/>
  <c r="AL603" i="15"/>
  <c r="AR621" i="15"/>
  <c r="AR606" i="15"/>
  <c r="Z677" i="15"/>
  <c r="V613" i="15"/>
  <c r="AL597" i="15"/>
  <c r="L578" i="15"/>
  <c r="DZ683" i="15"/>
  <c r="B587" i="15"/>
  <c r="P660" i="15"/>
  <c r="AH584" i="15"/>
  <c r="U674" i="15"/>
  <c r="DX684" i="15"/>
  <c r="O653" i="15"/>
  <c r="AR570" i="15"/>
  <c r="DX629" i="15"/>
  <c r="AL717" i="15"/>
  <c r="AC671" i="15"/>
  <c r="DU683" i="15"/>
  <c r="DZ667" i="15"/>
  <c r="E698" i="15"/>
  <c r="S661" i="15"/>
  <c r="J634" i="15"/>
  <c r="DU695" i="15"/>
  <c r="L691" i="15"/>
  <c r="DW661" i="15"/>
  <c r="AM686" i="15"/>
  <c r="U657" i="15"/>
  <c r="A638" i="15"/>
  <c r="DW686" i="15"/>
  <c r="O669" i="15"/>
  <c r="B642" i="15"/>
  <c r="M696" i="15"/>
  <c r="AB674" i="15"/>
  <c r="A643" i="15"/>
  <c r="I702" i="15"/>
  <c r="X666" i="15"/>
  <c r="O684" i="15"/>
  <c r="I663" i="15"/>
  <c r="X608" i="15"/>
  <c r="U688" i="15"/>
  <c r="D703" i="15"/>
  <c r="T646" i="15"/>
  <c r="M684" i="15"/>
  <c r="AC674" i="15"/>
  <c r="I657" i="15"/>
  <c r="V617" i="15"/>
  <c r="DZ593" i="15"/>
  <c r="V579" i="15"/>
  <c r="AK706" i="15"/>
  <c r="AD599" i="15"/>
  <c r="C649" i="15"/>
  <c r="O695" i="15"/>
  <c r="AK658" i="15"/>
  <c r="DU626" i="15"/>
  <c r="H641" i="15"/>
  <c r="AC651" i="15"/>
  <c r="I701" i="15"/>
  <c r="AN651" i="15"/>
  <c r="AA632" i="15"/>
  <c r="F713" i="15"/>
  <c r="A682" i="15"/>
  <c r="X691" i="15"/>
  <c r="Z709" i="15"/>
  <c r="Z708" i="15"/>
  <c r="J647" i="15"/>
  <c r="N687" i="15"/>
  <c r="V692" i="15"/>
  <c r="S649" i="15"/>
  <c r="AB665" i="15"/>
  <c r="O680" i="15"/>
  <c r="AC701" i="15"/>
  <c r="F693" i="15"/>
  <c r="G657" i="15"/>
  <c r="F658" i="15"/>
  <c r="T662" i="15"/>
  <c r="B676" i="15"/>
  <c r="AC635" i="15"/>
  <c r="AI601" i="15"/>
  <c r="M614" i="15"/>
  <c r="AN617" i="15"/>
  <c r="L652" i="15"/>
  <c r="AG650" i="15"/>
  <c r="K580" i="15"/>
  <c r="DV683" i="15"/>
  <c r="C639" i="15"/>
  <c r="V598" i="15"/>
  <c r="AA679" i="15"/>
  <c r="N677" i="15"/>
  <c r="DU647" i="15"/>
  <c r="X645" i="15"/>
  <c r="DW655" i="15"/>
  <c r="N686" i="15"/>
  <c r="AA576" i="15"/>
  <c r="AM689" i="15"/>
  <c r="H611" i="15"/>
  <c r="B658" i="15"/>
  <c r="E619" i="15"/>
  <c r="B653" i="15"/>
  <c r="S607" i="15"/>
  <c r="W593" i="15"/>
  <c r="R574" i="15"/>
  <c r="DW695" i="15"/>
  <c r="AL714" i="15"/>
  <c r="W673" i="15"/>
  <c r="B644" i="15"/>
  <c r="F623" i="15"/>
  <c r="B640" i="15"/>
  <c r="B622" i="15"/>
  <c r="AK652" i="15"/>
  <c r="AB676" i="15"/>
  <c r="AA650" i="15"/>
  <c r="E605" i="15"/>
  <c r="T592" i="15"/>
  <c r="X573" i="15"/>
  <c r="DW690" i="15"/>
  <c r="A583" i="15"/>
  <c r="Y656" i="15"/>
  <c r="I671" i="15"/>
  <c r="A672" i="15"/>
  <c r="W642" i="15"/>
  <c r="K622" i="15"/>
  <c r="B638" i="15"/>
  <c r="H621" i="15"/>
  <c r="DZ668" i="15"/>
  <c r="P631" i="15"/>
  <c r="AB616" i="15"/>
  <c r="AM593" i="15"/>
  <c r="AC713" i="15"/>
  <c r="F662" i="15"/>
  <c r="DW634" i="15"/>
  <c r="E718" i="15"/>
  <c r="D681" i="15"/>
  <c r="J716" i="15"/>
  <c r="H679" i="15"/>
  <c r="J660" i="15"/>
  <c r="E692" i="15"/>
  <c r="Z717" i="15"/>
  <c r="E700" i="15"/>
  <c r="H707" i="15"/>
  <c r="AC706" i="15"/>
  <c r="H662" i="15"/>
  <c r="V686" i="15"/>
  <c r="M692" i="15"/>
  <c r="Z678" i="15"/>
  <c r="AA672" i="15"/>
  <c r="H630" i="15"/>
  <c r="O616" i="15"/>
  <c r="F688" i="15"/>
  <c r="F707" i="15"/>
  <c r="Z666" i="15"/>
  <c r="Y629" i="15"/>
  <c r="Z591" i="15"/>
  <c r="DW670" i="15"/>
  <c r="M678" i="15"/>
  <c r="B687" i="15"/>
  <c r="X667" i="15"/>
  <c r="AN660" i="15"/>
  <c r="AB647" i="15"/>
  <c r="I612" i="15"/>
  <c r="H589" i="15"/>
  <c r="H575" i="15"/>
  <c r="AA685" i="15"/>
  <c r="J671" i="15"/>
  <c r="AA683" i="15"/>
  <c r="D670" i="15"/>
  <c r="U648" i="15"/>
  <c r="AR616" i="15"/>
  <c r="X629" i="15"/>
  <c r="J643" i="15"/>
  <c r="C715" i="15"/>
  <c r="H702" i="15"/>
  <c r="AC708" i="15"/>
  <c r="V665" i="15"/>
  <c r="U665" i="15"/>
  <c r="DY667" i="15"/>
  <c r="O672" i="15"/>
  <c r="F653" i="15"/>
  <c r="C706" i="15"/>
  <c r="AN665" i="15"/>
  <c r="G693" i="15"/>
  <c r="B680" i="15"/>
  <c r="G652" i="15"/>
  <c r="AB683" i="15"/>
  <c r="G681" i="15"/>
  <c r="D687" i="15"/>
  <c r="C644" i="15"/>
  <c r="AR645" i="15"/>
  <c r="B706" i="15"/>
  <c r="N653" i="15"/>
  <c r="AC627" i="15"/>
  <c r="F595" i="15"/>
  <c r="R607" i="15"/>
  <c r="Y610" i="15"/>
  <c r="Z644" i="15"/>
  <c r="DV642" i="15"/>
  <c r="AE576" i="15"/>
  <c r="DY666" i="15"/>
  <c r="P630" i="15"/>
  <c r="Z592" i="15"/>
  <c r="AB688" i="15"/>
  <c r="H658" i="15"/>
  <c r="N634" i="15"/>
  <c r="DW635" i="15"/>
  <c r="Y646" i="15"/>
  <c r="DW668" i="15"/>
  <c r="AK570" i="15"/>
  <c r="Z700" i="15"/>
  <c r="F605" i="15"/>
  <c r="U647" i="15"/>
  <c r="Z612" i="15"/>
  <c r="Z697" i="15"/>
  <c r="AM597" i="15"/>
  <c r="Z585" i="15"/>
  <c r="I658" i="15"/>
  <c r="O654" i="15"/>
  <c r="F655" i="15"/>
  <c r="AB611" i="15"/>
  <c r="P697" i="15"/>
  <c r="J606" i="15"/>
  <c r="AA655" i="15"/>
  <c r="AL667" i="15"/>
  <c r="DV690" i="15"/>
  <c r="AC694" i="15"/>
  <c r="C641" i="15"/>
  <c r="J635" i="15"/>
  <c r="Z699" i="15"/>
  <c r="P687" i="15"/>
  <c r="AL694" i="15"/>
  <c r="C658" i="15"/>
  <c r="Z646" i="15"/>
  <c r="E695" i="15"/>
  <c r="DZ635" i="15"/>
  <c r="F710" i="15"/>
  <c r="B607" i="15"/>
  <c r="E715" i="15"/>
  <c r="G601" i="15"/>
  <c r="DU645" i="15"/>
  <c r="O637" i="15"/>
  <c r="D711" i="15"/>
  <c r="DW685" i="15"/>
  <c r="AB629" i="15"/>
  <c r="DY628" i="15"/>
  <c r="AB673" i="15"/>
  <c r="Z685" i="15"/>
  <c r="N666" i="15"/>
  <c r="DY647" i="15"/>
  <c r="V633" i="15"/>
  <c r="A631" i="15"/>
  <c r="DX687" i="15"/>
  <c r="K702" i="15"/>
  <c r="O677" i="15"/>
  <c r="D696" i="15"/>
  <c r="U584" i="15"/>
  <c r="B641" i="15"/>
  <c r="B675" i="15"/>
  <c r="DU671" i="15"/>
  <c r="G663" i="15"/>
  <c r="AL720" i="15"/>
  <c r="F572" i="15"/>
  <c r="Z711" i="15"/>
  <c r="O599" i="15"/>
  <c r="DU614" i="15"/>
  <c r="M616" i="15"/>
  <c r="T597" i="15"/>
  <c r="DZ674" i="15"/>
  <c r="E696" i="15"/>
  <c r="K691" i="15"/>
  <c r="K667" i="15"/>
  <c r="M682" i="15"/>
  <c r="A714" i="15"/>
  <c r="S628" i="15"/>
  <c r="Y651" i="15"/>
  <c r="T653" i="15"/>
  <c r="AC717" i="15"/>
  <c r="Z681" i="15"/>
  <c r="O567" i="15"/>
  <c r="I673" i="15"/>
  <c r="J594" i="15"/>
  <c r="R605" i="15"/>
  <c r="AL608" i="15"/>
  <c r="AK588" i="15"/>
  <c r="AL708" i="15"/>
  <c r="E708" i="15"/>
  <c r="DY682" i="15"/>
  <c r="DW696" i="15"/>
  <c r="K674" i="15"/>
  <c r="H569" i="15"/>
  <c r="AC611" i="15"/>
  <c r="Y652" i="15"/>
  <c r="F709" i="15"/>
  <c r="A665" i="15"/>
  <c r="T588" i="15"/>
  <c r="Y653" i="15"/>
  <c r="DX628" i="15"/>
  <c r="S637" i="15"/>
  <c r="A598" i="15"/>
  <c r="B602" i="15"/>
  <c r="I704" i="15"/>
  <c r="DV685" i="15"/>
  <c r="X685" i="15"/>
  <c r="K676" i="15"/>
  <c r="E686" i="15"/>
  <c r="B665" i="15"/>
  <c r="H692" i="15"/>
  <c r="AJ600" i="15"/>
  <c r="V644" i="15"/>
  <c r="DX690" i="15"/>
  <c r="H712" i="15"/>
  <c r="X582" i="15"/>
  <c r="AK643" i="15"/>
  <c r="Z622" i="15"/>
  <c r="N629" i="15"/>
  <c r="H567" i="15"/>
  <c r="L677" i="15"/>
  <c r="DW633" i="15"/>
  <c r="AK674" i="15"/>
  <c r="L653" i="15"/>
  <c r="B707" i="15"/>
  <c r="Z698" i="15"/>
  <c r="DX660" i="15"/>
  <c r="T625" i="15"/>
  <c r="AL656" i="15"/>
  <c r="N692" i="15"/>
  <c r="U634" i="15"/>
  <c r="D713" i="15"/>
  <c r="D662" i="15"/>
  <c r="E636" i="15"/>
  <c r="K603" i="15"/>
  <c r="P586" i="15"/>
  <c r="DV653" i="15"/>
  <c r="A671" i="15"/>
  <c r="V631" i="15"/>
  <c r="A694" i="15"/>
  <c r="J585" i="15"/>
  <c r="H670" i="15"/>
  <c r="AC645" i="15"/>
  <c r="C657" i="15"/>
  <c r="G614" i="15"/>
  <c r="A615" i="15"/>
  <c r="M656" i="15"/>
  <c r="AB623" i="15"/>
  <c r="AG584" i="15"/>
  <c r="H629" i="15"/>
  <c r="DV593" i="15"/>
  <c r="DU629" i="15"/>
  <c r="AJ607" i="15"/>
  <c r="Y565" i="15"/>
  <c r="AK635" i="15"/>
  <c r="M668" i="15"/>
  <c r="AJ593" i="15"/>
  <c r="U658" i="15"/>
  <c r="B646" i="15"/>
  <c r="AC613" i="15"/>
  <c r="D640" i="15"/>
  <c r="D666" i="15"/>
  <c r="AL619" i="15"/>
  <c r="Z620" i="15"/>
  <c r="AR592" i="15"/>
  <c r="DU650" i="15"/>
  <c r="DU696" i="15"/>
  <c r="J640" i="15"/>
  <c r="L622" i="15"/>
  <c r="AN599" i="15"/>
  <c r="K620" i="15"/>
  <c r="P604" i="15"/>
  <c r="J626" i="15"/>
  <c r="Z640" i="15"/>
  <c r="N652" i="15"/>
  <c r="DW583" i="15"/>
  <c r="N672" i="15"/>
  <c r="DV680" i="15"/>
  <c r="K651" i="15"/>
  <c r="F570" i="15"/>
  <c r="AA628" i="15"/>
  <c r="F636" i="15"/>
  <c r="J557" i="15"/>
  <c r="E607" i="15"/>
  <c r="R642" i="15"/>
  <c r="C675" i="15"/>
  <c r="U620" i="15"/>
  <c r="AB659" i="15"/>
  <c r="AK556" i="15"/>
  <c r="DX505" i="15"/>
  <c r="D581" i="15"/>
  <c r="W564" i="15"/>
  <c r="T576" i="15"/>
  <c r="F588" i="15"/>
  <c r="X592" i="15"/>
  <c r="R665" i="15"/>
  <c r="AL719" i="15"/>
  <c r="K640" i="15"/>
  <c r="F671" i="15"/>
  <c r="AL587" i="15"/>
  <c r="AA637" i="15"/>
  <c r="A609" i="15"/>
  <c r="AK691" i="15"/>
  <c r="AN631" i="15"/>
  <c r="H656" i="15"/>
  <c r="D550" i="15"/>
  <c r="J495" i="15"/>
  <c r="U627" i="15"/>
  <c r="AC675" i="15"/>
  <c r="F657" i="15"/>
  <c r="A562" i="15"/>
  <c r="P605" i="15"/>
  <c r="X623" i="15"/>
  <c r="AN629" i="15"/>
  <c r="K592" i="15"/>
  <c r="Y602" i="15"/>
  <c r="A530" i="15"/>
  <c r="R613" i="15"/>
  <c r="DZ650" i="15"/>
  <c r="O641" i="15"/>
  <c r="K608" i="15"/>
  <c r="J673" i="15"/>
  <c r="H647" i="15"/>
  <c r="X580" i="15"/>
  <c r="A655" i="15"/>
  <c r="DW671" i="15"/>
  <c r="E677" i="15"/>
  <c r="K631" i="15"/>
  <c r="H664" i="15"/>
  <c r="AI585" i="15"/>
  <c r="Z634" i="15"/>
  <c r="H606" i="15"/>
  <c r="F675" i="15"/>
  <c r="Y628" i="15"/>
  <c r="H651" i="15"/>
  <c r="AA548" i="15"/>
  <c r="W650" i="15"/>
  <c r="AN630" i="15"/>
  <c r="AA662" i="15"/>
  <c r="DV584" i="15"/>
  <c r="DZ633" i="15"/>
  <c r="Y605" i="15"/>
  <c r="DW672" i="15"/>
  <c r="X627" i="15"/>
  <c r="DU649" i="15"/>
  <c r="J548" i="15"/>
  <c r="C648" i="15"/>
  <c r="DV624" i="15"/>
  <c r="X661" i="15"/>
  <c r="AA584" i="15"/>
  <c r="L633" i="15"/>
  <c r="B685" i="15"/>
  <c r="A723" i="15"/>
  <c r="AC714" i="15"/>
  <c r="P621" i="15"/>
  <c r="C695" i="15"/>
  <c r="DU674" i="15"/>
  <c r="DU627" i="15"/>
  <c r="U693" i="15"/>
  <c r="L648" i="15"/>
  <c r="D628" i="15"/>
  <c r="C595" i="15"/>
  <c r="A581" i="15"/>
  <c r="AK642" i="15"/>
  <c r="AG647" i="15"/>
  <c r="Z624" i="15"/>
  <c r="H669" i="15"/>
  <c r="H690" i="15"/>
  <c r="D657" i="15"/>
  <c r="D633" i="15"/>
  <c r="V643" i="15"/>
  <c r="AA604" i="15"/>
  <c r="AR607" i="15"/>
  <c r="T644" i="15"/>
  <c r="AA614" i="15"/>
  <c r="K683" i="15"/>
  <c r="J622" i="15"/>
  <c r="A588" i="15"/>
  <c r="AN694" i="15"/>
  <c r="I598" i="15"/>
  <c r="B688" i="15"/>
  <c r="W627" i="15"/>
  <c r="AR643" i="15"/>
  <c r="DY584" i="15"/>
  <c r="T641" i="15"/>
  <c r="W635" i="15"/>
  <c r="U606" i="15"/>
  <c r="U639" i="15"/>
  <c r="AD650" i="15"/>
  <c r="D611" i="15"/>
  <c r="G702" i="15"/>
  <c r="AC586" i="15"/>
  <c r="N621" i="15"/>
  <c r="B661" i="15"/>
  <c r="DZ629" i="15"/>
  <c r="Z614" i="15"/>
  <c r="J592" i="15"/>
  <c r="AC697" i="15"/>
  <c r="E598" i="15"/>
  <c r="AK617" i="15"/>
  <c r="DY630" i="15"/>
  <c r="U637" i="15"/>
  <c r="AL679" i="15"/>
  <c r="D653" i="15"/>
  <c r="M666" i="15"/>
  <c r="D641" i="15"/>
  <c r="X564" i="15"/>
  <c r="N620" i="15"/>
  <c r="AA627" i="15"/>
  <c r="AM551" i="15"/>
  <c r="AG600" i="15"/>
  <c r="DY627" i="15"/>
  <c r="AK651" i="15"/>
  <c r="AB610" i="15"/>
  <c r="X641" i="15"/>
  <c r="R551" i="15"/>
  <c r="E502" i="15"/>
  <c r="D574" i="15"/>
  <c r="C558" i="15"/>
  <c r="AK567" i="15"/>
  <c r="D579" i="15"/>
  <c r="R582" i="15"/>
  <c r="AC638" i="15"/>
  <c r="I661" i="15"/>
  <c r="AL609" i="15"/>
  <c r="K647" i="15"/>
  <c r="T581" i="15"/>
  <c r="DV628" i="15"/>
  <c r="AB600" i="15"/>
  <c r="I655" i="15"/>
  <c r="Y618" i="15"/>
  <c r="W637" i="15"/>
  <c r="DU544" i="15"/>
  <c r="B491" i="15"/>
  <c r="AB594" i="15"/>
  <c r="N650" i="15"/>
  <c r="G645" i="15"/>
  <c r="C556" i="15"/>
  <c r="AN598" i="15"/>
  <c r="T612" i="15"/>
  <c r="C617" i="15"/>
  <c r="T584" i="15"/>
  <c r="B595" i="15"/>
  <c r="AB525" i="15"/>
  <c r="AL638" i="15"/>
  <c r="J619" i="15"/>
  <c r="A625" i="15"/>
  <c r="AH600" i="15"/>
  <c r="K658" i="15"/>
  <c r="D630" i="15"/>
  <c r="G575" i="15"/>
  <c r="L668" i="15"/>
  <c r="AE648" i="15"/>
  <c r="Y647" i="15"/>
  <c r="C603" i="15"/>
  <c r="AL642" i="15"/>
  <c r="L579" i="15"/>
  <c r="N626" i="15"/>
  <c r="DU680" i="15"/>
  <c r="AB650" i="15"/>
  <c r="R616" i="15"/>
  <c r="AC633" i="15"/>
  <c r="AC543" i="15"/>
  <c r="AK636" i="15"/>
  <c r="T602" i="15"/>
  <c r="DU641" i="15"/>
  <c r="DX578" i="15"/>
  <c r="DU625" i="15"/>
  <c r="AK677" i="15"/>
  <c r="J649" i="15"/>
  <c r="U615" i="15"/>
  <c r="X632" i="15"/>
  <c r="O543" i="15"/>
  <c r="E635" i="15"/>
  <c r="G597" i="15"/>
  <c r="E638" i="15"/>
  <c r="W578" i="15"/>
  <c r="J625" i="15"/>
  <c r="DY673" i="15"/>
  <c r="DV667" i="15"/>
  <c r="G713" i="15"/>
  <c r="J675" i="15"/>
  <c r="T564" i="15"/>
  <c r="B647" i="15"/>
  <c r="E623" i="15"/>
  <c r="S624" i="15"/>
  <c r="Y587" i="15"/>
  <c r="X630" i="15"/>
  <c r="DV620" i="15"/>
  <c r="B643" i="15"/>
  <c r="A660" i="15"/>
  <c r="N693" i="15"/>
  <c r="I638" i="15"/>
  <c r="B693" i="15"/>
  <c r="DW578" i="15"/>
  <c r="P620" i="15"/>
  <c r="E640" i="15"/>
  <c r="O631" i="15"/>
  <c r="D564" i="15"/>
  <c r="C627" i="15"/>
  <c r="M626" i="15"/>
  <c r="Y622" i="15"/>
  <c r="X571" i="15"/>
  <c r="U619" i="15"/>
  <c r="DU693" i="15"/>
  <c r="Y632" i="15"/>
  <c r="W602" i="15"/>
  <c r="O673" i="15"/>
  <c r="W654" i="15"/>
  <c r="C619" i="15"/>
  <c r="AR655" i="15"/>
  <c r="X657" i="15"/>
  <c r="U675" i="15"/>
  <c r="DZ658" i="15"/>
  <c r="AK694" i="15"/>
  <c r="AB657" i="15"/>
  <c r="AK616" i="15"/>
  <c r="O657" i="15"/>
  <c r="C697" i="15"/>
  <c r="AB622" i="15"/>
  <c r="AK644" i="15"/>
  <c r="AN632" i="15"/>
  <c r="G613" i="15"/>
  <c r="DY683" i="15"/>
  <c r="E678" i="15"/>
  <c r="AL668" i="15"/>
  <c r="R572" i="15"/>
  <c r="U600" i="15"/>
  <c r="T629" i="15"/>
  <c r="K708" i="15"/>
  <c r="N695" i="15"/>
  <c r="V650" i="15"/>
  <c r="F601" i="15"/>
  <c r="A712" i="15"/>
  <c r="AL626" i="15"/>
  <c r="Z647" i="15"/>
  <c r="S645" i="15"/>
  <c r="U633" i="15"/>
  <c r="H616" i="15"/>
  <c r="P632" i="15"/>
  <c r="AN604" i="15"/>
  <c r="L604" i="15"/>
  <c r="H668" i="15"/>
  <c r="AC644" i="15"/>
  <c r="W651" i="15"/>
  <c r="AL669" i="15"/>
  <c r="AC593" i="15"/>
  <c r="E693" i="15"/>
  <c r="C616" i="15"/>
  <c r="DV668" i="15"/>
  <c r="AM598" i="15"/>
  <c r="T669" i="15"/>
  <c r="AL605" i="15"/>
  <c r="L655" i="15"/>
  <c r="C606" i="15"/>
  <c r="AN613" i="15"/>
  <c r="W639" i="15"/>
  <c r="I584" i="15"/>
  <c r="O639" i="15"/>
  <c r="T634" i="15"/>
  <c r="R592" i="15"/>
  <c r="O670" i="15"/>
  <c r="V694" i="15"/>
  <c r="V640" i="15"/>
  <c r="U595" i="15"/>
  <c r="U672" i="15"/>
  <c r="AG617" i="15"/>
  <c r="S615" i="15"/>
  <c r="DV634" i="15"/>
  <c r="S625" i="15"/>
  <c r="I669" i="15"/>
  <c r="AK623" i="15"/>
  <c r="AL596" i="15"/>
  <c r="F594" i="15"/>
  <c r="W655" i="15"/>
  <c r="DU682" i="15"/>
  <c r="G642" i="15"/>
  <c r="AC656" i="15"/>
  <c r="T587" i="15"/>
  <c r="G670" i="15"/>
  <c r="AM590" i="15"/>
  <c r="C656" i="15"/>
  <c r="AR581" i="15"/>
  <c r="C652" i="15"/>
  <c r="S597" i="15"/>
  <c r="O645" i="15"/>
  <c r="W598" i="15"/>
  <c r="Z692" i="15"/>
  <c r="H684" i="15"/>
  <c r="AB684" i="15"/>
  <c r="AK628" i="15"/>
  <c r="M627" i="15"/>
  <c r="K586" i="15"/>
  <c r="I639" i="15"/>
  <c r="F659" i="15"/>
  <c r="X610" i="15"/>
  <c r="B581" i="15"/>
  <c r="AB642" i="15"/>
  <c r="J612" i="15"/>
  <c r="R617" i="15"/>
  <c r="Z673" i="15"/>
  <c r="AL562" i="15"/>
  <c r="A589" i="15"/>
  <c r="F593" i="15"/>
  <c r="G677" i="15"/>
  <c r="B674" i="15"/>
  <c r="S562" i="15"/>
  <c r="X492" i="15"/>
  <c r="E548" i="15"/>
  <c r="I569" i="15"/>
  <c r="K641" i="15"/>
  <c r="AC604" i="15"/>
  <c r="DX650" i="15"/>
  <c r="E596" i="15"/>
  <c r="DV616" i="15"/>
  <c r="T609" i="15"/>
  <c r="K648" i="15"/>
  <c r="A640" i="15"/>
  <c r="AI617" i="15"/>
  <c r="A573" i="15"/>
  <c r="Y568" i="15"/>
  <c r="AC500" i="15"/>
  <c r="P606" i="15"/>
  <c r="L642" i="15"/>
  <c r="T594" i="15"/>
  <c r="K628" i="15"/>
  <c r="T638" i="15"/>
  <c r="R599" i="15"/>
  <c r="AM676" i="15"/>
  <c r="T555" i="15"/>
  <c r="AC490" i="15"/>
  <c r="AK568" i="15"/>
  <c r="A669" i="15"/>
  <c r="J574" i="15"/>
  <c r="DW604" i="15"/>
  <c r="E603" i="15"/>
  <c r="DX683" i="15"/>
  <c r="AB652" i="15"/>
  <c r="Y586" i="15"/>
  <c r="T614" i="15"/>
  <c r="Z607" i="15"/>
  <c r="A646" i="15"/>
  <c r="AA635" i="15"/>
  <c r="AA615" i="15"/>
  <c r="P571" i="15"/>
  <c r="U566" i="15"/>
  <c r="C654" i="15"/>
  <c r="F566" i="15"/>
  <c r="U642" i="15"/>
  <c r="AA543" i="15"/>
  <c r="E644" i="15"/>
  <c r="AL566" i="15"/>
  <c r="G598" i="15"/>
  <c r="R593" i="15"/>
  <c r="V516" i="15"/>
  <c r="E642" i="15"/>
  <c r="A681" i="15"/>
  <c r="E566" i="15"/>
  <c r="DV596" i="15"/>
  <c r="X609" i="15"/>
  <c r="J614" i="15"/>
  <c r="P582" i="15"/>
  <c r="G592" i="15"/>
  <c r="J524" i="15"/>
  <c r="Z691" i="15"/>
  <c r="P672" i="15"/>
  <c r="DY653" i="15"/>
  <c r="Z636" i="15"/>
  <c r="V589" i="15"/>
  <c r="U661" i="15"/>
  <c r="R608" i="15"/>
  <c r="V658" i="15"/>
  <c r="E617" i="15"/>
  <c r="L656" i="15"/>
  <c r="I634" i="15"/>
  <c r="I587" i="15"/>
  <c r="E586" i="15"/>
  <c r="K646" i="15"/>
  <c r="AC662" i="15"/>
  <c r="J591" i="15"/>
  <c r="O647" i="15"/>
  <c r="H582" i="15"/>
  <c r="Z652" i="15"/>
  <c r="W582" i="15"/>
  <c r="L628" i="15"/>
  <c r="H577" i="15"/>
  <c r="Y640" i="15"/>
  <c r="U590" i="15"/>
  <c r="B635" i="15"/>
  <c r="U581" i="15"/>
  <c r="AB667" i="15"/>
  <c r="U653" i="15"/>
  <c r="M662" i="15"/>
  <c r="P619" i="15"/>
  <c r="K696" i="15"/>
  <c r="F581" i="15"/>
  <c r="M629" i="15"/>
  <c r="L632" i="15"/>
  <c r="X600" i="15"/>
  <c r="Z638" i="15"/>
  <c r="A634" i="15"/>
  <c r="B604" i="15"/>
  <c r="DZ685" i="15"/>
  <c r="L658" i="15"/>
  <c r="AA546" i="15"/>
  <c r="Z714" i="15"/>
  <c r="AB585" i="15"/>
  <c r="K653" i="15"/>
  <c r="N651" i="15"/>
  <c r="K546" i="15"/>
  <c r="AR488" i="15"/>
  <c r="AJ649" i="15"/>
  <c r="V628" i="15"/>
  <c r="DY614" i="15"/>
  <c r="AL574" i="15"/>
  <c r="E637" i="15"/>
  <c r="DW649" i="15"/>
  <c r="K664" i="15"/>
  <c r="U641" i="15"/>
  <c r="AL699" i="15"/>
  <c r="F630" i="15"/>
  <c r="D717" i="15"/>
  <c r="V614" i="15"/>
  <c r="AB601" i="15"/>
  <c r="AK672" i="15"/>
  <c r="DX584" i="15"/>
  <c r="C647" i="15"/>
  <c r="A657" i="15"/>
  <c r="AM694" i="15"/>
  <c r="I579" i="15"/>
  <c r="AB614" i="15"/>
  <c r="S640" i="15"/>
  <c r="DV583" i="15"/>
  <c r="M637" i="15"/>
  <c r="U577" i="15"/>
  <c r="AN640" i="15"/>
  <c r="T678" i="15"/>
  <c r="A621" i="15"/>
  <c r="O571" i="15"/>
  <c r="AB630" i="15"/>
  <c r="DU656" i="15"/>
  <c r="AN627" i="15"/>
  <c r="P565" i="15"/>
  <c r="P652" i="15"/>
  <c r="V638" i="15"/>
  <c r="AK649" i="15"/>
  <c r="Z609" i="15"/>
  <c r="J681" i="15"/>
  <c r="F576" i="15"/>
  <c r="DU669" i="15"/>
  <c r="L687" i="15"/>
  <c r="M697" i="15"/>
  <c r="DW622" i="15"/>
  <c r="U560" i="15"/>
  <c r="DZ604" i="15"/>
  <c r="P578" i="15"/>
  <c r="DU679" i="15"/>
  <c r="DY684" i="15"/>
  <c r="J601" i="15"/>
  <c r="E672" i="15"/>
  <c r="F633" i="15"/>
  <c r="AK572" i="15"/>
  <c r="T607" i="15"/>
  <c r="AF670" i="15"/>
  <c r="DW680" i="15"/>
  <c r="AK687" i="15"/>
  <c r="V572" i="15"/>
  <c r="C631" i="15"/>
  <c r="G630" i="15"/>
  <c r="AB707" i="15"/>
  <c r="AL722" i="15"/>
  <c r="D621" i="15"/>
  <c r="DX640" i="15"/>
  <c r="K711" i="15"/>
  <c r="DW679" i="15"/>
  <c r="E641" i="15"/>
  <c r="A626" i="15"/>
  <c r="I640" i="15"/>
  <c r="B584" i="15"/>
  <c r="B679" i="15"/>
  <c r="V570" i="15"/>
  <c r="C612" i="15"/>
  <c r="J639" i="15"/>
  <c r="AK661" i="15"/>
  <c r="AK618" i="15"/>
  <c r="AK619" i="15"/>
  <c r="AR591" i="15"/>
  <c r="W649" i="15"/>
  <c r="C620" i="15"/>
  <c r="AK686" i="15"/>
  <c r="V642" i="15"/>
  <c r="Z574" i="15"/>
  <c r="DV648" i="15"/>
  <c r="K627" i="15"/>
  <c r="C537" i="15"/>
  <c r="I627" i="15"/>
  <c r="V661" i="15"/>
  <c r="DU661" i="15"/>
  <c r="AB695" i="15"/>
  <c r="AB677" i="15"/>
  <c r="P676" i="15"/>
  <c r="A597" i="15"/>
  <c r="AB573" i="15"/>
  <c r="W684" i="15"/>
  <c r="AL660" i="15"/>
  <c r="D578" i="15"/>
  <c r="J677" i="15"/>
  <c r="G624" i="15"/>
  <c r="B566" i="15"/>
  <c r="AK600" i="15"/>
  <c r="O623" i="15"/>
  <c r="J659" i="15"/>
  <c r="F691" i="15"/>
  <c r="AN682" i="15"/>
  <c r="R603" i="15"/>
  <c r="L620" i="15"/>
  <c r="I681" i="15"/>
  <c r="D673" i="15"/>
  <c r="Y612" i="15"/>
  <c r="AC629" i="15"/>
  <c r="AK682" i="15"/>
  <c r="DZ661" i="15"/>
  <c r="Y631" i="15"/>
  <c r="DY685" i="15"/>
  <c r="J629" i="15"/>
  <c r="AC577" i="15"/>
  <c r="C665" i="15"/>
  <c r="A565" i="15"/>
  <c r="AB687" i="15"/>
  <c r="H683" i="15"/>
  <c r="P649" i="15"/>
  <c r="J608" i="15"/>
  <c r="X694" i="15"/>
  <c r="AJ585" i="15"/>
  <c r="R638" i="15"/>
  <c r="AN612" i="15"/>
  <c r="W668" i="15"/>
  <c r="DZ627" i="15"/>
  <c r="P568" i="15"/>
  <c r="DW632" i="15"/>
  <c r="K616" i="15"/>
  <c r="AR532" i="15"/>
  <c r="U609" i="15"/>
  <c r="G590" i="15"/>
  <c r="K584" i="15"/>
  <c r="M654" i="15"/>
  <c r="AB609" i="15"/>
  <c r="N662" i="15"/>
  <c r="P664" i="15"/>
  <c r="S614" i="15"/>
  <c r="B569" i="15"/>
  <c r="S599" i="15"/>
  <c r="V596" i="15"/>
  <c r="AA658" i="15"/>
  <c r="DU686" i="15"/>
  <c r="DX534" i="15"/>
  <c r="J641" i="15"/>
  <c r="H699" i="15"/>
  <c r="O646" i="15"/>
  <c r="C568" i="15"/>
  <c r="AH585" i="15"/>
  <c r="G581" i="15"/>
  <c r="AI647" i="15"/>
  <c r="G636" i="15"/>
  <c r="X534" i="15"/>
  <c r="AL677" i="15"/>
  <c r="AK583" i="15"/>
  <c r="G656" i="15"/>
  <c r="R549" i="15"/>
  <c r="E669" i="15"/>
  <c r="AC677" i="15"/>
  <c r="K607" i="15"/>
  <c r="AR601" i="15"/>
  <c r="T650" i="15"/>
  <c r="A693" i="15"/>
  <c r="D567" i="15"/>
  <c r="AR597" i="15"/>
  <c r="AA594" i="15"/>
  <c r="Z651" i="15"/>
  <c r="O676" i="15"/>
  <c r="DY533" i="15"/>
  <c r="I586" i="15"/>
  <c r="AA612" i="15"/>
  <c r="F607" i="15"/>
  <c r="G644" i="15"/>
  <c r="P634" i="15"/>
  <c r="AN614" i="15"/>
  <c r="AC687" i="15"/>
  <c r="A566" i="15"/>
  <c r="U652" i="15"/>
  <c r="AC565" i="15"/>
  <c r="AC641" i="15"/>
  <c r="K543" i="15"/>
  <c r="F641" i="15"/>
  <c r="AR578" i="15"/>
  <c r="F649" i="15"/>
  <c r="A666" i="15"/>
  <c r="U565" i="15"/>
  <c r="AC507" i="15"/>
  <c r="R641" i="15"/>
  <c r="AN635" i="15"/>
  <c r="B606" i="15"/>
  <c r="N667" i="15"/>
  <c r="F640" i="15"/>
  <c r="S578" i="15"/>
  <c r="DW647" i="15"/>
  <c r="AL663" i="15"/>
  <c r="B565" i="15"/>
  <c r="P507" i="15"/>
  <c r="DW640" i="15"/>
  <c r="G635" i="15"/>
  <c r="DX604" i="15"/>
  <c r="G666" i="15"/>
  <c r="U638" i="15"/>
  <c r="B578" i="15"/>
  <c r="AK703" i="15"/>
  <c r="Z661" i="15"/>
  <c r="AR618" i="15"/>
  <c r="T591" i="15"/>
  <c r="Y635" i="15"/>
  <c r="T577" i="15"/>
  <c r="J623" i="15"/>
  <c r="D669" i="15"/>
  <c r="D684" i="15"/>
  <c r="G612" i="15"/>
  <c r="O628" i="15"/>
  <c r="Z541" i="15"/>
  <c r="H488" i="15"/>
  <c r="AL546" i="15"/>
  <c r="E575" i="15"/>
  <c r="I574" i="15"/>
  <c r="C569" i="15"/>
  <c r="G566" i="15"/>
  <c r="AE506" i="15"/>
  <c r="T524" i="15"/>
  <c r="AA537" i="15"/>
  <c r="AC525" i="15"/>
  <c r="P470" i="15"/>
  <c r="U525" i="15"/>
  <c r="R515" i="15"/>
  <c r="J515" i="15"/>
  <c r="X512" i="15"/>
  <c r="X554" i="15"/>
  <c r="S582" i="15"/>
  <c r="DZ680" i="15"/>
  <c r="R577" i="15"/>
  <c r="G611" i="15"/>
  <c r="J569" i="15"/>
  <c r="D563" i="15"/>
  <c r="V621" i="15"/>
  <c r="T593" i="15"/>
  <c r="AF514" i="15"/>
  <c r="P528" i="15"/>
  <c r="I536" i="15"/>
  <c r="AA618" i="15"/>
  <c r="Z593" i="15"/>
  <c r="AA505" i="15"/>
  <c r="W551" i="15"/>
  <c r="E572" i="15"/>
  <c r="AB644" i="15"/>
  <c r="I601" i="15"/>
  <c r="Z543" i="15"/>
  <c r="AL577" i="15"/>
  <c r="A550" i="15"/>
  <c r="O658" i="15"/>
  <c r="W638" i="15"/>
  <c r="D658" i="15"/>
  <c r="O617" i="15"/>
  <c r="S587" i="15"/>
  <c r="AN579" i="15"/>
  <c r="S573" i="15"/>
  <c r="AL629" i="15"/>
  <c r="DY522" i="15"/>
  <c r="P538" i="15"/>
  <c r="T547" i="15"/>
  <c r="P653" i="15"/>
  <c r="R662" i="15"/>
  <c r="DZ522" i="15"/>
  <c r="R564" i="15"/>
  <c r="D591" i="15"/>
  <c r="F579" i="15"/>
  <c r="AK662" i="15"/>
  <c r="W555" i="15"/>
  <c r="AC493" i="15"/>
  <c r="F602" i="15"/>
  <c r="O600" i="15"/>
  <c r="AB596" i="15"/>
  <c r="G628" i="15"/>
  <c r="X576" i="15"/>
  <c r="T568" i="15"/>
  <c r="DZ640" i="15"/>
  <c r="E602" i="15"/>
  <c r="AN517" i="15"/>
  <c r="AA625" i="15"/>
  <c r="N668" i="15"/>
  <c r="AA680" i="15"/>
  <c r="T683" i="15"/>
  <c r="D617" i="15"/>
  <c r="AK566" i="15"/>
  <c r="F568" i="15"/>
  <c r="K665" i="15"/>
  <c r="W595" i="15"/>
  <c r="O573" i="15"/>
  <c r="X683" i="15"/>
  <c r="AN616" i="15"/>
  <c r="D690" i="15"/>
  <c r="Y582" i="15"/>
  <c r="B614" i="15"/>
  <c r="P645" i="15"/>
  <c r="Z682" i="15"/>
  <c r="DY695" i="15"/>
  <c r="Z689" i="15"/>
  <c r="D612" i="15"/>
  <c r="W666" i="15"/>
  <c r="DY697" i="15"/>
  <c r="B603" i="15"/>
  <c r="P600" i="15"/>
  <c r="F680" i="15"/>
  <c r="AH648" i="15"/>
  <c r="U623" i="15"/>
  <c r="AM666" i="15"/>
  <c r="D605" i="15"/>
  <c r="R570" i="15"/>
  <c r="DX651" i="15"/>
  <c r="L678" i="15"/>
  <c r="Y666" i="15"/>
  <c r="B625" i="15"/>
  <c r="H638" i="15"/>
  <c r="Z599" i="15"/>
  <c r="G691" i="15"/>
  <c r="AB580" i="15"/>
  <c r="S611" i="15"/>
  <c r="S605" i="15"/>
  <c r="B655" i="15"/>
  <c r="AF616" i="15"/>
  <c r="Z684" i="15"/>
  <c r="AB602" i="15"/>
  <c r="G607" i="15"/>
  <c r="AG528" i="15"/>
  <c r="Z633" i="15"/>
  <c r="Y580" i="15"/>
  <c r="Z560" i="15"/>
  <c r="AN619" i="15"/>
  <c r="I596" i="15"/>
  <c r="DY648" i="15"/>
  <c r="V625" i="15"/>
  <c r="D629" i="15"/>
  <c r="R562" i="15"/>
  <c r="G593" i="15"/>
  <c r="AA588" i="15"/>
  <c r="Z674" i="15"/>
  <c r="A623" i="15"/>
  <c r="M530" i="15"/>
  <c r="AH616" i="15"/>
  <c r="V639" i="15"/>
  <c r="U628" i="15"/>
  <c r="AK549" i="15"/>
  <c r="C671" i="15"/>
  <c r="AC575" i="15"/>
  <c r="AK630" i="15"/>
  <c r="C622" i="15"/>
  <c r="AK521" i="15"/>
  <c r="AR647" i="15"/>
  <c r="V568" i="15"/>
  <c r="J644" i="15"/>
  <c r="R544" i="15"/>
  <c r="J617" i="15"/>
  <c r="DY651" i="15"/>
  <c r="K599" i="15"/>
  <c r="K594" i="15"/>
  <c r="AJ618" i="15"/>
  <c r="J627" i="15"/>
  <c r="D561" i="15"/>
  <c r="U591" i="15"/>
  <c r="AE586" i="15"/>
  <c r="S666" i="15"/>
  <c r="J620" i="15"/>
  <c r="P529" i="15"/>
  <c r="AA636" i="15"/>
  <c r="DV659" i="15"/>
  <c r="AL599" i="15"/>
  <c r="B618" i="15"/>
  <c r="AC620" i="15"/>
  <c r="O605" i="15"/>
  <c r="R656" i="15"/>
  <c r="B560" i="15"/>
  <c r="E592" i="15"/>
  <c r="DZ665" i="15"/>
  <c r="DU630" i="15"/>
  <c r="P696" i="15"/>
  <c r="DW625" i="15"/>
  <c r="E573" i="15"/>
  <c r="DV661" i="15"/>
  <c r="X644" i="15"/>
  <c r="V559" i="15"/>
  <c r="DY503" i="15"/>
  <c r="E713" i="15"/>
  <c r="S618" i="15"/>
  <c r="B598" i="15"/>
  <c r="A653" i="15"/>
  <c r="DX624" i="15"/>
  <c r="X572" i="15"/>
  <c r="I660" i="15"/>
  <c r="E643" i="15"/>
  <c r="E559" i="15"/>
  <c r="Z503" i="15"/>
  <c r="AA701" i="15"/>
  <c r="AJ617" i="15"/>
  <c r="P597" i="15"/>
  <c r="E652" i="15"/>
  <c r="AC623" i="15"/>
  <c r="D572" i="15"/>
  <c r="S658" i="15"/>
  <c r="AK641" i="15"/>
  <c r="W583" i="15"/>
  <c r="AR574" i="15"/>
  <c r="A710" i="15"/>
  <c r="R571" i="15"/>
  <c r="G616" i="15"/>
  <c r="E647" i="15"/>
  <c r="E655" i="15"/>
  <c r="W603" i="15"/>
  <c r="H615" i="15"/>
  <c r="H536" i="15"/>
  <c r="AA648" i="15"/>
  <c r="DY635" i="15"/>
  <c r="AA649" i="15"/>
  <c r="P695" i="15"/>
  <c r="Y634" i="15"/>
  <c r="K559" i="15"/>
  <c r="AB502" i="15"/>
  <c r="DZ519" i="15"/>
  <c r="Z532" i="15"/>
  <c r="N521" i="15"/>
  <c r="Y465" i="15"/>
  <c r="AM519" i="15"/>
  <c r="X510" i="15"/>
  <c r="U510" i="15"/>
  <c r="Y584" i="15"/>
  <c r="G545" i="15"/>
  <c r="DZ648" i="15"/>
  <c r="AN610" i="15"/>
  <c r="R563" i="15"/>
  <c r="Y596" i="15"/>
  <c r="AB560" i="15"/>
  <c r="O638" i="15"/>
  <c r="I600" i="15"/>
  <c r="Z581" i="15"/>
  <c r="M510" i="15"/>
  <c r="O523" i="15"/>
  <c r="AR530" i="15"/>
  <c r="B589" i="15"/>
  <c r="K635" i="15"/>
  <c r="U496" i="15"/>
  <c r="I545" i="15"/>
  <c r="DX632" i="15"/>
  <c r="T611" i="15"/>
  <c r="AR587" i="15"/>
  <c r="F538" i="15"/>
  <c r="V560" i="15"/>
  <c r="S593" i="15"/>
  <c r="I628" i="15"/>
  <c r="V606" i="15"/>
  <c r="E604" i="15"/>
  <c r="AB631" i="15"/>
  <c r="X577" i="15"/>
  <c r="W570" i="15"/>
  <c r="AL662" i="15"/>
  <c r="AB604" i="15"/>
  <c r="W518" i="15"/>
  <c r="AL532" i="15"/>
  <c r="AB541" i="15"/>
  <c r="B649" i="15"/>
  <c r="Y620" i="15"/>
  <c r="J514" i="15"/>
  <c r="T557" i="15"/>
  <c r="DU579" i="15"/>
  <c r="AK569" i="15"/>
  <c r="AD617" i="15"/>
  <c r="V548" i="15"/>
  <c r="AN606" i="15"/>
  <c r="W677" i="15"/>
  <c r="J652" i="15"/>
  <c r="AN573" i="15"/>
  <c r="T606" i="15"/>
  <c r="AN565" i="15"/>
  <c r="W559" i="15"/>
  <c r="K611" i="15"/>
  <c r="AD588" i="15"/>
  <c r="Z513" i="15"/>
  <c r="K621" i="15"/>
  <c r="U655" i="15"/>
  <c r="X662" i="15"/>
  <c r="E684" i="15"/>
  <c r="DV673" i="15"/>
  <c r="AK713" i="15"/>
  <c r="P641" i="15"/>
  <c r="P644" i="15"/>
  <c r="R566" i="15"/>
  <c r="AB567" i="15"/>
  <c r="Y663" i="15"/>
  <c r="H608" i="15"/>
  <c r="X670" i="15"/>
  <c r="AN577" i="15"/>
  <c r="I604" i="15"/>
  <c r="Y630" i="15"/>
  <c r="S667" i="15"/>
  <c r="K655" i="15"/>
  <c r="AC666" i="15"/>
  <c r="D601" i="15"/>
  <c r="F654" i="15"/>
  <c r="DY661" i="15"/>
  <c r="O688" i="15"/>
  <c r="H593" i="15"/>
  <c r="W643" i="15"/>
  <c r="DX635" i="15"/>
  <c r="D676" i="15"/>
  <c r="M650" i="15"/>
  <c r="C597" i="15"/>
  <c r="C563" i="15"/>
  <c r="AB641" i="15"/>
  <c r="DZ660" i="15"/>
  <c r="R651" i="15"/>
  <c r="AL684" i="15"/>
  <c r="DW628" i="15"/>
  <c r="AJ591" i="15"/>
  <c r="A717" i="15"/>
  <c r="AB575" i="15"/>
  <c r="DZ684" i="15"/>
  <c r="AR598" i="15"/>
  <c r="F645" i="15"/>
  <c r="W607" i="15"/>
  <c r="DX656" i="15"/>
  <c r="AE595" i="15"/>
  <c r="AE599" i="15"/>
  <c r="AI524" i="15"/>
  <c r="I614" i="15"/>
  <c r="AO572" i="15"/>
  <c r="DU632" i="15"/>
  <c r="S602" i="15"/>
  <c r="AL715" i="15"/>
  <c r="AB638" i="15"/>
  <c r="AA704" i="15"/>
  <c r="M680" i="15"/>
  <c r="S556" i="15"/>
  <c r="O586" i="15"/>
  <c r="Y581" i="15"/>
  <c r="G650" i="15"/>
  <c r="A612" i="15"/>
  <c r="AN525" i="15"/>
  <c r="I688" i="15"/>
  <c r="O609" i="15"/>
  <c r="C679" i="15"/>
  <c r="AK544" i="15"/>
  <c r="G648" i="15"/>
  <c r="AO568" i="15"/>
  <c r="AE617" i="15"/>
  <c r="I611" i="15"/>
  <c r="Z517" i="15"/>
  <c r="H600" i="15"/>
  <c r="N674" i="15"/>
  <c r="M633" i="15"/>
  <c r="AN539" i="15"/>
  <c r="AM606" i="15"/>
  <c r="AB666" i="15"/>
  <c r="X591" i="15"/>
  <c r="T586" i="15"/>
  <c r="DV675" i="15"/>
  <c r="DV670" i="15"/>
  <c r="AC554" i="15"/>
  <c r="DU584" i="15"/>
  <c r="C580" i="15"/>
  <c r="A645" i="15"/>
  <c r="AM609" i="15"/>
  <c r="DZ524" i="15"/>
  <c r="S598" i="15"/>
  <c r="R637" i="15"/>
  <c r="I593" i="15"/>
  <c r="C611" i="15"/>
  <c r="J610" i="15"/>
  <c r="X597" i="15"/>
  <c r="AM667" i="15"/>
  <c r="F554" i="15"/>
  <c r="DX648" i="15"/>
  <c r="D643" i="15"/>
  <c r="F622" i="15"/>
  <c r="AC669" i="15"/>
  <c r="P614" i="15"/>
  <c r="K566" i="15"/>
  <c r="A642" i="15"/>
  <c r="DV671" i="15"/>
  <c r="Z553" i="15"/>
  <c r="AJ650" i="15"/>
  <c r="C661" i="15"/>
  <c r="W679" i="15"/>
  <c r="A591" i="15"/>
  <c r="T642" i="15"/>
  <c r="X613" i="15"/>
  <c r="AL565" i="15"/>
  <c r="AE640" i="15"/>
  <c r="A670" i="15"/>
  <c r="I553" i="15"/>
  <c r="D650" i="15"/>
  <c r="AL658" i="15"/>
  <c r="AK698" i="15"/>
  <c r="R590" i="15"/>
  <c r="Y641" i="15"/>
  <c r="U612" i="15"/>
  <c r="K565" i="15"/>
  <c r="R639" i="15"/>
  <c r="AC667" i="15"/>
  <c r="J637" i="15"/>
  <c r="AF563" i="15"/>
  <c r="H665" i="15"/>
  <c r="J564" i="15"/>
  <c r="AJ608" i="15"/>
  <c r="C630" i="15"/>
  <c r="DZ655" i="15"/>
  <c r="I631" i="15"/>
  <c r="AB615" i="15"/>
  <c r="B651" i="15"/>
  <c r="W640" i="15"/>
  <c r="AB705" i="15"/>
  <c r="H633" i="15"/>
  <c r="H655" i="15"/>
  <c r="AK596" i="15"/>
  <c r="K625" i="15"/>
  <c r="AK629" i="15"/>
  <c r="F614" i="15"/>
  <c r="M604" i="15"/>
  <c r="P574" i="15"/>
  <c r="AN559" i="15"/>
  <c r="W596" i="15"/>
  <c r="G632" i="15"/>
  <c r="DV627" i="15"/>
  <c r="H646" i="15"/>
  <c r="DZ620" i="15"/>
  <c r="S569" i="15"/>
  <c r="C666" i="15"/>
  <c r="DX517" i="15"/>
  <c r="X575" i="15"/>
  <c r="L625" i="15"/>
  <c r="A620" i="15"/>
  <c r="V653" i="15"/>
  <c r="A650" i="15"/>
  <c r="G509" i="15"/>
  <c r="DU676" i="15"/>
  <c r="J616" i="15"/>
  <c r="U598" i="15"/>
  <c r="AN628" i="15"/>
  <c r="DX634" i="15"/>
  <c r="V566" i="15"/>
  <c r="R600" i="15"/>
  <c r="V645" i="15"/>
  <c r="E606" i="15"/>
  <c r="AL593" i="15"/>
  <c r="Z598" i="15"/>
  <c r="W688" i="15"/>
  <c r="AL709" i="15"/>
  <c r="D594" i="15"/>
  <c r="I590" i="15"/>
  <c r="Y533" i="15"/>
  <c r="DZ647" i="15"/>
  <c r="R621" i="15"/>
  <c r="V689" i="15"/>
  <c r="AL640" i="15"/>
  <c r="B631" i="15"/>
  <c r="G672" i="15"/>
  <c r="AB625" i="15"/>
  <c r="W671" i="15"/>
  <c r="C588" i="15"/>
  <c r="W618" i="15"/>
  <c r="AK621" i="15"/>
  <c r="AR594" i="15"/>
  <c r="DY596" i="15"/>
  <c r="E568" i="15"/>
  <c r="C554" i="15"/>
  <c r="X585" i="15"/>
  <c r="V654" i="15"/>
  <c r="AK606" i="15"/>
  <c r="AL634" i="15"/>
  <c r="T613" i="15"/>
  <c r="AJ670" i="15"/>
  <c r="F679" i="15"/>
  <c r="DX513" i="15"/>
  <c r="AK660" i="15"/>
  <c r="AE616" i="15"/>
  <c r="AL612" i="15"/>
  <c r="AK668" i="15"/>
  <c r="U682" i="15"/>
  <c r="B505" i="15"/>
  <c r="I632" i="15"/>
  <c r="DX593" i="15"/>
  <c r="C592" i="15"/>
  <c r="T616" i="15"/>
  <c r="F621" i="15"/>
  <c r="W670" i="15"/>
  <c r="AB593" i="15"/>
  <c r="B629" i="15"/>
  <c r="K598" i="15"/>
  <c r="AK585" i="15"/>
  <c r="DX658" i="15"/>
  <c r="P625" i="15"/>
  <c r="AL670" i="15"/>
  <c r="F586" i="15"/>
  <c r="DY582" i="15"/>
  <c r="D529" i="15"/>
  <c r="AN624" i="15"/>
  <c r="G633" i="15"/>
  <c r="AR572" i="15"/>
  <c r="DY622" i="15"/>
  <c r="Y615" i="15"/>
  <c r="R666" i="15"/>
  <c r="AB612" i="15"/>
  <c r="DW665" i="15"/>
  <c r="DX626" i="15"/>
  <c r="Y597" i="15"/>
  <c r="D647" i="15"/>
  <c r="DU660" i="15"/>
  <c r="P670" i="15"/>
  <c r="DX541" i="15"/>
  <c r="X618" i="15"/>
  <c r="O577" i="15"/>
  <c r="DW669" i="15"/>
  <c r="B576" i="15"/>
  <c r="DV625" i="15"/>
  <c r="A606" i="15"/>
  <c r="DX647" i="15"/>
  <c r="AL652" i="15"/>
  <c r="T509" i="15"/>
  <c r="D625" i="15"/>
  <c r="AK608" i="15"/>
  <c r="Y592" i="15"/>
  <c r="AN646" i="15"/>
  <c r="P654" i="15"/>
  <c r="P500" i="15"/>
  <c r="U603" i="15"/>
  <c r="AG586" i="15"/>
  <c r="P585" i="15"/>
  <c r="AC606" i="15"/>
  <c r="V610" i="15"/>
  <c r="AN644" i="15"/>
  <c r="AK573" i="15"/>
  <c r="AL615" i="15"/>
  <c r="G680" i="15"/>
  <c r="B579" i="15"/>
  <c r="AN618" i="15"/>
  <c r="DY669" i="15"/>
  <c r="DY655" i="15"/>
  <c r="J579" i="15"/>
  <c r="F577" i="15"/>
  <c r="W524" i="15"/>
  <c r="AA619" i="15"/>
  <c r="D597" i="15"/>
  <c r="F683" i="15"/>
  <c r="Y593" i="15"/>
  <c r="P584" i="15"/>
  <c r="AB619" i="15"/>
  <c r="AA646" i="15"/>
  <c r="D664" i="15"/>
  <c r="Z583" i="15"/>
  <c r="F677" i="15"/>
  <c r="F592" i="15"/>
  <c r="AB711" i="15"/>
  <c r="W588" i="15"/>
  <c r="E521" i="15"/>
  <c r="AC601" i="15"/>
  <c r="E569" i="15"/>
  <c r="B657" i="15"/>
  <c r="D585" i="15"/>
  <c r="A617" i="15"/>
  <c r="H673" i="15"/>
  <c r="DX630" i="15"/>
  <c r="J603" i="15"/>
  <c r="N505" i="15"/>
  <c r="F584" i="15"/>
  <c r="O601" i="15"/>
  <c r="G631" i="15"/>
  <c r="P607" i="15"/>
  <c r="AR586" i="15"/>
  <c r="AL494" i="15"/>
  <c r="Y649" i="15"/>
  <c r="B580" i="15"/>
  <c r="AM684" i="15"/>
  <c r="AH598" i="15"/>
  <c r="AO579" i="15"/>
  <c r="F628" i="15"/>
  <c r="B549" i="15"/>
  <c r="X653" i="15"/>
  <c r="AA606" i="15"/>
  <c r="P573" i="15"/>
  <c r="X567" i="15"/>
  <c r="G654" i="15"/>
  <c r="C604" i="15"/>
  <c r="Y573" i="15"/>
  <c r="J646" i="15"/>
  <c r="V520" i="15"/>
  <c r="C625" i="15"/>
  <c r="AL572" i="15"/>
  <c r="DY604" i="15"/>
  <c r="X625" i="15"/>
  <c r="AD648" i="15"/>
  <c r="U528" i="15"/>
  <c r="AB561" i="15"/>
  <c r="L624" i="15"/>
  <c r="V553" i="15"/>
  <c r="E659" i="15"/>
  <c r="AC658" i="15"/>
  <c r="S581" i="15"/>
  <c r="AC571" i="15"/>
  <c r="F590" i="15"/>
  <c r="H640" i="15"/>
  <c r="W613" i="15"/>
  <c r="AA616" i="15"/>
  <c r="F608" i="15"/>
  <c r="O668" i="15"/>
  <c r="AJ616" i="15"/>
  <c r="S633" i="15"/>
  <c r="N654" i="15"/>
  <c r="DZ546" i="15"/>
  <c r="F637" i="15"/>
  <c r="D665" i="15"/>
  <c r="D587" i="15"/>
  <c r="AK582" i="15"/>
  <c r="E511" i="15"/>
  <c r="AN566" i="15"/>
  <c r="S583" i="15"/>
  <c r="AN603" i="15"/>
  <c r="W575" i="15"/>
  <c r="O527" i="15"/>
  <c r="O539" i="15"/>
  <c r="J543" i="15"/>
  <c r="U512" i="15"/>
  <c r="AC676" i="15"/>
  <c r="AC707" i="15"/>
  <c r="AH595" i="15"/>
  <c r="B572" i="15"/>
  <c r="DZ577" i="15"/>
  <c r="A611" i="15"/>
  <c r="H635" i="15"/>
  <c r="U649" i="15"/>
  <c r="D577" i="15"/>
  <c r="DX659" i="15"/>
  <c r="S585" i="15"/>
  <c r="AC660" i="15"/>
  <c r="DW581" i="15"/>
  <c r="M517" i="15"/>
  <c r="I633" i="15"/>
  <c r="U599" i="15"/>
  <c r="M631" i="15"/>
  <c r="O569" i="15"/>
  <c r="AF601" i="15"/>
  <c r="V649" i="15"/>
  <c r="D608" i="15"/>
  <c r="AB595" i="15"/>
  <c r="W486" i="15"/>
  <c r="AR568" i="15"/>
  <c r="J587" i="15"/>
  <c r="G618" i="15"/>
  <c r="U689" i="15"/>
  <c r="I580" i="15"/>
  <c r="G486" i="15"/>
  <c r="AB628" i="15"/>
  <c r="V567" i="15"/>
  <c r="T655" i="15"/>
  <c r="U646" i="15"/>
  <c r="F698" i="15"/>
  <c r="DV660" i="15"/>
  <c r="E544" i="15"/>
  <c r="AA621" i="15"/>
  <c r="AE598" i="15"/>
  <c r="S560" i="15"/>
  <c r="DV649" i="15"/>
  <c r="S631" i="15"/>
  <c r="O597" i="15"/>
  <c r="C662" i="15"/>
  <c r="A674" i="15"/>
  <c r="R512" i="15"/>
  <c r="AK720" i="15"/>
  <c r="AB559" i="15"/>
  <c r="L675" i="15"/>
  <c r="AR604" i="15"/>
  <c r="U631" i="15"/>
  <c r="F520" i="15"/>
  <c r="P624" i="15"/>
  <c r="W667" i="15"/>
  <c r="AB547" i="15"/>
  <c r="R604" i="15"/>
  <c r="AB639" i="15"/>
  <c r="D576" i="15"/>
  <c r="P547" i="15"/>
  <c r="F646" i="15"/>
  <c r="AL623" i="15"/>
  <c r="AC583" i="15"/>
  <c r="P609" i="15"/>
  <c r="V599" i="15"/>
  <c r="R624" i="15"/>
  <c r="S606" i="15"/>
  <c r="D689" i="15"/>
  <c r="AH649" i="15"/>
  <c r="B542" i="15"/>
  <c r="X622" i="15"/>
  <c r="AL636" i="15"/>
  <c r="R580" i="15"/>
  <c r="A577" i="15"/>
  <c r="AI506" i="15"/>
  <c r="S559" i="15"/>
  <c r="AI616" i="15"/>
  <c r="AC590" i="15"/>
  <c r="V565" i="15"/>
  <c r="M523" i="15"/>
  <c r="C534" i="15"/>
  <c r="AA527" i="15"/>
  <c r="AA507" i="15"/>
  <c r="G655" i="15"/>
  <c r="P671" i="15"/>
  <c r="K585" i="15"/>
  <c r="M686" i="15"/>
  <c r="DU667" i="15"/>
  <c r="AN592" i="15"/>
  <c r="AK688" i="15"/>
  <c r="AA639" i="15"/>
  <c r="X569" i="15"/>
  <c r="AK645" i="15"/>
  <c r="AB579" i="15"/>
  <c r="Z616" i="15"/>
  <c r="AJ576" i="15"/>
  <c r="AG513" i="15"/>
  <c r="R610" i="15"/>
  <c r="E571" i="15"/>
  <c r="C681" i="15"/>
  <c r="AB681" i="15"/>
  <c r="A595" i="15"/>
  <c r="K632" i="15"/>
  <c r="AR599" i="15"/>
  <c r="W587" i="15"/>
  <c r="I637" i="15"/>
  <c r="DV631" i="15"/>
  <c r="U580" i="15"/>
  <c r="O608" i="15"/>
  <c r="X656" i="15"/>
  <c r="AO574" i="15"/>
  <c r="AN634" i="15"/>
  <c r="DV614" i="15"/>
  <c r="U561" i="15"/>
  <c r="D637" i="15"/>
  <c r="Z629" i="15"/>
  <c r="AL598" i="15"/>
  <c r="AF640" i="15"/>
  <c r="T539" i="15"/>
  <c r="AM610" i="15"/>
  <c r="AL590" i="15"/>
  <c r="W554" i="15"/>
  <c r="X617" i="15"/>
  <c r="AK622" i="15"/>
  <c r="AR590" i="15"/>
  <c r="I642" i="15"/>
  <c r="S619" i="15"/>
  <c r="H508" i="15"/>
  <c r="DW658" i="15"/>
  <c r="A554" i="15"/>
  <c r="AC650" i="15"/>
  <c r="N596" i="15"/>
  <c r="K618" i="15"/>
  <c r="I516" i="15"/>
  <c r="AN596" i="15"/>
  <c r="I652" i="15"/>
  <c r="DY542" i="15"/>
  <c r="E673" i="15"/>
  <c r="X624" i="15"/>
  <c r="L679" i="15"/>
  <c r="Y542" i="15"/>
  <c r="AR610" i="15"/>
  <c r="DV679" i="15"/>
  <c r="AR577" i="15"/>
  <c r="I602" i="15"/>
  <c r="AK591" i="15"/>
  <c r="H613" i="15"/>
  <c r="AB598" i="15"/>
  <c r="Z649" i="15"/>
  <c r="AK638" i="15"/>
  <c r="G682" i="15"/>
  <c r="AK611" i="15"/>
  <c r="U621" i="15"/>
  <c r="C575" i="15"/>
  <c r="AA570" i="15"/>
  <c r="A503" i="15"/>
  <c r="C553" i="15"/>
  <c r="AA599" i="15"/>
  <c r="P580" i="15"/>
  <c r="Y627" i="15"/>
  <c r="O519" i="15"/>
  <c r="E529" i="15"/>
  <c r="I523" i="15"/>
  <c r="U503" i="15"/>
  <c r="AA638" i="15"/>
  <c r="AH640" i="15"/>
  <c r="AA620" i="15"/>
  <c r="I644" i="15"/>
  <c r="AA633" i="15"/>
  <c r="AN589" i="15"/>
  <c r="Z664" i="15"/>
  <c r="X628" i="15"/>
  <c r="W562" i="15"/>
  <c r="S634" i="15"/>
  <c r="AB574" i="15"/>
  <c r="V607" i="15"/>
  <c r="B701" i="15"/>
  <c r="AN509" i="15"/>
  <c r="AA596" i="15"/>
  <c r="AA590" i="15"/>
  <c r="O624" i="15"/>
  <c r="DY650" i="15"/>
  <c r="AA575" i="15"/>
  <c r="B619" i="15"/>
  <c r="D706" i="15"/>
  <c r="AK580" i="15"/>
  <c r="AK614" i="15"/>
  <c r="V616" i="15"/>
  <c r="I575" i="15"/>
  <c r="DX691" i="15"/>
  <c r="L672" i="15"/>
  <c r="W567" i="15"/>
  <c r="G705" i="15"/>
  <c r="DX661" i="15"/>
  <c r="X555" i="15"/>
  <c r="W622" i="15"/>
  <c r="DY616" i="15"/>
  <c r="T659" i="15"/>
  <c r="C623" i="15"/>
  <c r="B672" i="15"/>
  <c r="P602" i="15"/>
  <c r="R583" i="15"/>
  <c r="Z538" i="15"/>
  <c r="DW674" i="15"/>
  <c r="C615" i="15"/>
  <c r="Z584" i="15"/>
  <c r="Z626" i="15"/>
  <c r="G609" i="15"/>
  <c r="K504" i="15"/>
  <c r="V636" i="15"/>
  <c r="G548" i="15"/>
  <c r="J633" i="15"/>
  <c r="W672" i="15"/>
  <c r="U608" i="15"/>
  <c r="B512" i="15"/>
  <c r="AC578" i="15"/>
  <c r="Q640" i="15"/>
  <c r="V690" i="15"/>
  <c r="L649" i="15"/>
  <c r="J613" i="15"/>
  <c r="DV652" i="15"/>
  <c r="S537" i="15"/>
  <c r="AN697" i="15"/>
  <c r="AA654" i="15"/>
  <c r="AN571" i="15"/>
  <c r="AN595" i="15"/>
  <c r="E584" i="15"/>
  <c r="J604" i="15"/>
  <c r="AB590" i="15"/>
  <c r="C618" i="15"/>
  <c r="DZ628" i="15"/>
  <c r="G665" i="15"/>
  <c r="F603" i="15"/>
  <c r="AK610" i="15"/>
  <c r="W674" i="15"/>
  <c r="A564" i="15"/>
  <c r="P497" i="15"/>
  <c r="S610" i="15"/>
  <c r="K587" i="15"/>
  <c r="AL571" i="15"/>
  <c r="AB605" i="15"/>
  <c r="DY514" i="15"/>
  <c r="L627" i="15"/>
  <c r="W609" i="15"/>
  <c r="U497" i="15"/>
  <c r="AC631" i="15"/>
  <c r="W630" i="15"/>
  <c r="R585" i="15"/>
  <c r="H634" i="15"/>
  <c r="X626" i="15"/>
  <c r="N581" i="15"/>
  <c r="H650" i="15"/>
  <c r="O619" i="15"/>
  <c r="C653" i="15"/>
  <c r="Z625" i="15"/>
  <c r="U568" i="15"/>
  <c r="B600" i="15"/>
  <c r="H660" i="15"/>
  <c r="A497" i="15"/>
  <c r="AC585" i="15"/>
  <c r="E581" i="15"/>
  <c r="W683" i="15"/>
  <c r="T632" i="15"/>
  <c r="Y550" i="15"/>
  <c r="D659" i="15"/>
  <c r="Z608" i="15"/>
  <c r="S575" i="15"/>
  <c r="A706" i="15"/>
  <c r="K669" i="15"/>
  <c r="K540" i="15"/>
  <c r="J657" i="15"/>
  <c r="B608" i="15"/>
  <c r="S561" i="15"/>
  <c r="Z660" i="15"/>
  <c r="C701" i="15"/>
  <c r="DU646" i="15"/>
  <c r="AA611" i="15"/>
  <c r="DZ583" i="15"/>
  <c r="C621" i="15"/>
  <c r="C655" i="15"/>
  <c r="DY656" i="15"/>
  <c r="G574" i="15"/>
  <c r="W577" i="15"/>
  <c r="AH520" i="15"/>
  <c r="M579" i="15"/>
  <c r="K573" i="15"/>
  <c r="J665" i="15"/>
  <c r="DY674" i="15"/>
  <c r="AL600" i="15"/>
  <c r="X612" i="15"/>
  <c r="DX621" i="15"/>
  <c r="A654" i="15"/>
  <c r="AR619" i="15"/>
  <c r="V626" i="15"/>
  <c r="J600" i="15"/>
  <c r="AL633" i="15"/>
  <c r="H564" i="15"/>
  <c r="I630" i="15"/>
  <c r="Z632" i="15"/>
  <c r="H632" i="15"/>
  <c r="Y603" i="15"/>
  <c r="AA647" i="15"/>
  <c r="V532" i="15"/>
  <c r="AA624" i="15"/>
  <c r="S655" i="15"/>
  <c r="AB564" i="15"/>
  <c r="R589" i="15"/>
  <c r="AN666" i="15"/>
  <c r="L596" i="15"/>
  <c r="M583" i="15"/>
  <c r="Z656" i="15"/>
  <c r="W620" i="15"/>
  <c r="J651" i="15"/>
  <c r="I617" i="15"/>
  <c r="H602" i="15"/>
  <c r="B650" i="15"/>
  <c r="H558" i="15"/>
  <c r="K492" i="15"/>
  <c r="AJ595" i="15"/>
  <c r="A578" i="15"/>
  <c r="R648" i="15"/>
  <c r="W592" i="15"/>
  <c r="B511" i="15"/>
  <c r="AL583" i="15"/>
  <c r="G577" i="15"/>
  <c r="L492" i="15"/>
  <c r="J546" i="15"/>
  <c r="AD520" i="15"/>
  <c r="C608" i="15"/>
  <c r="DV533" i="15"/>
  <c r="D509" i="15"/>
  <c r="AE541" i="15"/>
  <c r="G605" i="15"/>
  <c r="AC576" i="15"/>
  <c r="A582" i="15"/>
  <c r="I613" i="15"/>
  <c r="A569" i="15"/>
  <c r="AD519" i="15"/>
  <c r="H603" i="15"/>
  <c r="DU635" i="15"/>
  <c r="O610" i="15"/>
  <c r="W535" i="15"/>
  <c r="S558" i="15"/>
  <c r="AN591" i="15"/>
  <c r="AA673" i="15"/>
  <c r="AM580" i="15"/>
  <c r="S500" i="15"/>
  <c r="AC557" i="15"/>
  <c r="AD640" i="15"/>
  <c r="M589" i="15"/>
  <c r="W514" i="15"/>
  <c r="AO544" i="15"/>
  <c r="C591" i="15"/>
  <c r="I597" i="15"/>
  <c r="N563" i="15"/>
  <c r="B611" i="15"/>
  <c r="S590" i="15"/>
  <c r="AF648" i="15"/>
  <c r="I622" i="15"/>
  <c r="H654" i="15"/>
  <c r="DY576" i="15"/>
  <c r="D626" i="15"/>
  <c r="AN574" i="15"/>
  <c r="I537" i="15"/>
  <c r="A544" i="15"/>
  <c r="U610" i="15"/>
  <c r="A586" i="15"/>
  <c r="AN611" i="15"/>
  <c r="W626" i="15"/>
  <c r="V578" i="15"/>
  <c r="O598" i="15"/>
  <c r="P531" i="15"/>
  <c r="P537" i="15"/>
  <c r="T677" i="15"/>
  <c r="AL682" i="15"/>
  <c r="AA642" i="15"/>
  <c r="AC597" i="15"/>
  <c r="I588" i="15"/>
  <c r="AC579" i="15"/>
  <c r="AB685" i="15"/>
  <c r="I526" i="15"/>
  <c r="A543" i="15"/>
  <c r="K552" i="15"/>
  <c r="DW579" i="15"/>
  <c r="U488" i="15"/>
  <c r="AL613" i="15"/>
  <c r="V600" i="15"/>
  <c r="DX589" i="15"/>
  <c r="I573" i="15"/>
  <c r="Y530" i="15"/>
  <c r="AL548" i="15"/>
  <c r="AL602" i="15"/>
  <c r="AN679" i="15"/>
  <c r="A500" i="15"/>
  <c r="X548" i="15"/>
  <c r="AA665" i="15"/>
  <c r="C626" i="15"/>
  <c r="I594" i="15"/>
  <c r="B541" i="15"/>
  <c r="AR564" i="15"/>
  <c r="U614" i="15"/>
  <c r="A651" i="15"/>
  <c r="AA593" i="15"/>
  <c r="J588" i="15"/>
  <c r="V619" i="15"/>
  <c r="G572" i="15"/>
  <c r="E565" i="15"/>
  <c r="K630" i="15"/>
  <c r="H598" i="15"/>
  <c r="Y516" i="15"/>
  <c r="H530" i="15"/>
  <c r="AA538" i="15"/>
  <c r="AC521" i="15"/>
  <c r="DV460" i="15"/>
  <c r="DY508" i="15"/>
  <c r="B623" i="15"/>
  <c r="V558" i="15"/>
  <c r="AG524" i="15"/>
  <c r="V506" i="15"/>
  <c r="AK445" i="15"/>
  <c r="AB498" i="15"/>
  <c r="Y574" i="15"/>
  <c r="V490" i="15"/>
  <c r="I499" i="15"/>
  <c r="T490" i="15"/>
  <c r="G542" i="15"/>
  <c r="H506" i="15"/>
  <c r="L429" i="15"/>
  <c r="AR374" i="15"/>
  <c r="F547" i="15"/>
  <c r="C540" i="15"/>
  <c r="AK529" i="15"/>
  <c r="F503" i="15"/>
  <c r="I564" i="15"/>
  <c r="H529" i="15"/>
  <c r="AL515" i="15"/>
  <c r="O556" i="15"/>
  <c r="AN521" i="15"/>
  <c r="R453" i="15"/>
  <c r="B615" i="15"/>
  <c r="V573" i="15"/>
  <c r="AN534" i="15"/>
  <c r="Y548" i="15"/>
  <c r="X479" i="15"/>
  <c r="F524" i="15"/>
  <c r="N503" i="15"/>
  <c r="G567" i="15"/>
  <c r="AL520" i="15"/>
  <c r="AL495" i="15"/>
  <c r="R435" i="15"/>
  <c r="X527" i="15"/>
  <c r="AK597" i="15"/>
  <c r="U651" i="15"/>
  <c r="Y616" i="15"/>
  <c r="E594" i="15"/>
  <c r="AA534" i="15"/>
  <c r="P468" i="15"/>
  <c r="T511" i="15"/>
  <c r="I582" i="15"/>
  <c r="N541" i="15"/>
  <c r="AC508" i="15"/>
  <c r="S570" i="15"/>
  <c r="AA613" i="15"/>
  <c r="AA554" i="15"/>
  <c r="Z555" i="15"/>
  <c r="AA483" i="15"/>
  <c r="I530" i="15"/>
  <c r="C508" i="15"/>
  <c r="L614" i="15"/>
  <c r="AD526" i="15"/>
  <c r="T502" i="15"/>
  <c r="L439" i="15"/>
  <c r="AM526" i="15"/>
  <c r="K568" i="15"/>
  <c r="A602" i="15"/>
  <c r="AR522" i="15"/>
  <c r="K457" i="15"/>
  <c r="AC570" i="15"/>
  <c r="B543" i="15"/>
  <c r="DV523" i="15"/>
  <c r="AK552" i="15"/>
  <c r="G473" i="15"/>
  <c r="AC710" i="15"/>
  <c r="AM561" i="15"/>
  <c r="O511" i="15"/>
  <c r="P593" i="15"/>
  <c r="AA492" i="15"/>
  <c r="S544" i="15"/>
  <c r="DZ517" i="15"/>
  <c r="AC506" i="15"/>
  <c r="W540" i="15"/>
  <c r="S512" i="15"/>
  <c r="Q445" i="15"/>
  <c r="AL618" i="15"/>
  <c r="AH528" i="15"/>
  <c r="D473" i="15"/>
  <c r="A475" i="15"/>
  <c r="AA518" i="15"/>
  <c r="AR484" i="15"/>
  <c r="R560" i="15"/>
  <c r="E703" i="15"/>
  <c r="DU642" i="15"/>
  <c r="DY654" i="15"/>
  <c r="B620" i="15"/>
  <c r="K613" i="15"/>
  <c r="D656" i="15"/>
  <c r="DU620" i="15"/>
  <c r="U592" i="15"/>
  <c r="O626" i="15"/>
  <c r="A663" i="15"/>
  <c r="N542" i="15"/>
  <c r="AA579" i="15"/>
  <c r="A698" i="15"/>
  <c r="AA669" i="15"/>
  <c r="V577" i="15"/>
  <c r="J573" i="15"/>
  <c r="DW627" i="15"/>
  <c r="U670" i="15"/>
  <c r="B545" i="15"/>
  <c r="AL624" i="15"/>
  <c r="T600" i="15"/>
  <c r="AN561" i="15"/>
  <c r="D660" i="15"/>
  <c r="Y625" i="15"/>
  <c r="AA674" i="15"/>
  <c r="AA603" i="15"/>
  <c r="AH599" i="15"/>
  <c r="X549" i="15"/>
  <c r="O621" i="15"/>
  <c r="X643" i="15"/>
  <c r="B636" i="15"/>
  <c r="P595" i="15"/>
  <c r="DW577" i="15"/>
  <c r="N637" i="15"/>
  <c r="P643" i="15"/>
  <c r="Z618" i="15"/>
  <c r="P567" i="15"/>
  <c r="N658" i="15"/>
  <c r="AH516" i="15"/>
  <c r="U669" i="15"/>
  <c r="X566" i="15"/>
  <c r="DY626" i="15"/>
  <c r="O650" i="15"/>
  <c r="AL584" i="15"/>
  <c r="Z580" i="15"/>
  <c r="DW624" i="15"/>
  <c r="G643" i="15"/>
  <c r="E601" i="15"/>
  <c r="AL614" i="15"/>
  <c r="O584" i="15"/>
  <c r="S626" i="15"/>
  <c r="AA664" i="15"/>
  <c r="Z621" i="15"/>
  <c r="Y624" i="15"/>
  <c r="A619" i="15"/>
  <c r="AI595" i="15"/>
  <c r="S630" i="15"/>
  <c r="E528" i="15"/>
  <c r="J589" i="15"/>
  <c r="R636" i="15"/>
  <c r="AN558" i="15"/>
  <c r="AM692" i="15"/>
  <c r="U690" i="15"/>
  <c r="AB587" i="15"/>
  <c r="S627" i="15"/>
  <c r="M639" i="15"/>
  <c r="O612" i="15"/>
  <c r="DV640" i="15"/>
  <c r="AL606" i="15"/>
  <c r="Y594" i="15"/>
  <c r="AN659" i="15"/>
  <c r="O552" i="15"/>
  <c r="M620" i="15"/>
  <c r="M584" i="15"/>
  <c r="G569" i="15"/>
  <c r="S616" i="15"/>
  <c r="O582" i="15"/>
  <c r="G497" i="15"/>
  <c r="V563" i="15"/>
  <c r="AM560" i="15"/>
  <c r="F488" i="15"/>
  <c r="AN538" i="15"/>
  <c r="Y505" i="15"/>
  <c r="AN597" i="15"/>
  <c r="F527" i="15"/>
  <c r="N504" i="15"/>
  <c r="O640" i="15"/>
  <c r="G549" i="15"/>
  <c r="T567" i="15"/>
  <c r="AN572" i="15"/>
  <c r="U596" i="15"/>
  <c r="L637" i="15"/>
  <c r="AL505" i="15"/>
  <c r="W571" i="15"/>
  <c r="AR580" i="15"/>
  <c r="AC626" i="15"/>
  <c r="O525" i="15"/>
  <c r="AK624" i="15"/>
  <c r="T580" i="15"/>
  <c r="AF617" i="15"/>
  <c r="T572" i="15"/>
  <c r="R494" i="15"/>
  <c r="AM565" i="15"/>
  <c r="DW683" i="15"/>
  <c r="B710" i="15"/>
  <c r="AJ504" i="15"/>
  <c r="O622" i="15"/>
  <c r="AK561" i="15"/>
  <c r="AF584" i="15"/>
  <c r="F556" i="15"/>
  <c r="I576" i="15"/>
  <c r="AM563" i="15"/>
  <c r="Y611" i="15"/>
  <c r="X586" i="15"/>
  <c r="F616" i="15"/>
  <c r="I567" i="15"/>
  <c r="AR603" i="15"/>
  <c r="G599" i="15"/>
  <c r="J532" i="15"/>
  <c r="AN537" i="15"/>
  <c r="N582" i="15"/>
  <c r="V687" i="15"/>
  <c r="P592" i="15"/>
  <c r="F604" i="15"/>
  <c r="S568" i="15"/>
  <c r="O585" i="15"/>
  <c r="Z526" i="15"/>
  <c r="Z676" i="15"/>
  <c r="U629" i="15"/>
  <c r="G639" i="15"/>
  <c r="Z610" i="15"/>
  <c r="DW584" i="15"/>
  <c r="S577" i="15"/>
  <c r="AC569" i="15"/>
  <c r="J621" i="15"/>
  <c r="DX521" i="15"/>
  <c r="AN536" i="15"/>
  <c r="W663" i="15"/>
  <c r="E658" i="15"/>
  <c r="M640" i="15"/>
  <c r="AC596" i="15"/>
  <c r="S586" i="15"/>
  <c r="U578" i="15"/>
  <c r="O671" i="15"/>
  <c r="AK525" i="15"/>
  <c r="X542" i="15"/>
  <c r="AK576" i="15"/>
  <c r="C610" i="15"/>
  <c r="T493" i="15"/>
  <c r="P642" i="15"/>
  <c r="J618" i="15"/>
  <c r="U602" i="15"/>
  <c r="AK581" i="15"/>
  <c r="K535" i="15"/>
  <c r="AL555" i="15"/>
  <c r="I577" i="15"/>
  <c r="DY625" i="15"/>
  <c r="N633" i="15"/>
  <c r="F569" i="15"/>
  <c r="C601" i="15"/>
  <c r="F563" i="15"/>
  <c r="DU655" i="15"/>
  <c r="AK605" i="15"/>
  <c r="H585" i="15"/>
  <c r="C512" i="15"/>
  <c r="B525" i="15"/>
  <c r="G533" i="15"/>
  <c r="Z516" i="15"/>
  <c r="E456" i="15"/>
  <c r="DZ624" i="15"/>
  <c r="S567" i="15"/>
  <c r="H547" i="15"/>
  <c r="AC518" i="15"/>
  <c r="AK500" i="15"/>
  <c r="G442" i="15"/>
  <c r="M492" i="15"/>
  <c r="L546" i="15"/>
  <c r="DY484" i="15"/>
  <c r="W492" i="15"/>
  <c r="DW484" i="15"/>
  <c r="O528" i="15"/>
  <c r="N490" i="15"/>
  <c r="AF424" i="15"/>
  <c r="DX582" i="15"/>
  <c r="M581" i="15"/>
  <c r="Z520" i="15"/>
  <c r="AL521" i="15"/>
  <c r="B496" i="15"/>
  <c r="AC550" i="15"/>
  <c r="X521" i="15"/>
  <c r="AB509" i="15"/>
  <c r="J545" i="15"/>
  <c r="W515" i="15"/>
  <c r="G448" i="15"/>
  <c r="AA597" i="15"/>
  <c r="Z595" i="15"/>
  <c r="AK523" i="15"/>
  <c r="A542" i="15"/>
  <c r="F474" i="15"/>
  <c r="W517" i="15"/>
  <c r="I609" i="15"/>
  <c r="E552" i="15"/>
  <c r="AJ514" i="15"/>
  <c r="O490" i="15"/>
  <c r="X431" i="15"/>
  <c r="U515" i="15"/>
  <c r="K547" i="15"/>
  <c r="A613" i="15"/>
  <c r="AA565" i="15"/>
  <c r="AA559" i="15"/>
  <c r="AN528" i="15"/>
  <c r="J463" i="15"/>
  <c r="Z505" i="15"/>
  <c r="AC555" i="15"/>
  <c r="AN532" i="15"/>
  <c r="R581" i="15"/>
  <c r="AC587" i="15"/>
  <c r="S564" i="15"/>
  <c r="AN531" i="15"/>
  <c r="S547" i="15"/>
  <c r="AH478" i="15"/>
  <c r="E523" i="15"/>
  <c r="J502" i="15"/>
  <c r="AK563" i="15"/>
  <c r="A520" i="15"/>
  <c r="AB494" i="15"/>
  <c r="AK434" i="15"/>
  <c r="DY491" i="15"/>
  <c r="X579" i="15"/>
  <c r="E561" i="15"/>
  <c r="X517" i="15"/>
  <c r="AC451" i="15"/>
  <c r="T552" i="15"/>
  <c r="W534" i="15"/>
  <c r="DX516" i="15"/>
  <c r="AL542" i="15"/>
  <c r="AR467" i="15"/>
  <c r="W690" i="15"/>
  <c r="L584" i="15"/>
  <c r="F634" i="15"/>
  <c r="V562" i="15"/>
  <c r="J487" i="15"/>
  <c r="AC535" i="15"/>
  <c r="I512" i="15"/>
  <c r="X615" i="15"/>
  <c r="E532" i="15"/>
  <c r="F506" i="15"/>
  <c r="V441" i="15"/>
  <c r="AL550" i="15"/>
  <c r="S516" i="15"/>
  <c r="N467" i="15"/>
  <c r="P559" i="15"/>
  <c r="O508" i="15"/>
  <c r="U479" i="15"/>
  <c r="H605" i="15"/>
  <c r="E705" i="15"/>
  <c r="DV626" i="15"/>
  <c r="DV677" i="15"/>
  <c r="AJ592" i="15"/>
  <c r="X688" i="15"/>
  <c r="B593" i="15"/>
  <c r="G659" i="15"/>
  <c r="X587" i="15"/>
  <c r="AO571" i="15"/>
  <c r="Y664" i="15"/>
  <c r="X560" i="15"/>
  <c r="P626" i="15"/>
  <c r="W617" i="15"/>
  <c r="J605" i="15"/>
  <c r="V590" i="15"/>
  <c r="H614" i="15"/>
  <c r="AR608" i="15"/>
  <c r="AA617" i="15"/>
  <c r="O561" i="15"/>
  <c r="F553" i="15"/>
  <c r="DW656" i="15"/>
  <c r="C624" i="15"/>
  <c r="D604" i="15"/>
  <c r="AJ598" i="15"/>
  <c r="AA640" i="15"/>
  <c r="T657" i="15"/>
  <c r="I561" i="15"/>
  <c r="AA574" i="15"/>
  <c r="J555" i="15"/>
  <c r="K483" i="15"/>
  <c r="AM509" i="15"/>
  <c r="J547" i="15"/>
  <c r="P517" i="15"/>
  <c r="J519" i="15"/>
  <c r="G608" i="15"/>
  <c r="P515" i="15"/>
  <c r="G604" i="15"/>
  <c r="AK592" i="15"/>
  <c r="AL588" i="15"/>
  <c r="AN500" i="15"/>
  <c r="G596" i="15"/>
  <c r="N661" i="15"/>
  <c r="Z604" i="15"/>
  <c r="G576" i="15"/>
  <c r="G571" i="15"/>
  <c r="M576" i="15"/>
  <c r="I528" i="15"/>
  <c r="A523" i="15"/>
  <c r="L563" i="15"/>
  <c r="DX631" i="15"/>
  <c r="E661" i="15"/>
  <c r="O606" i="15"/>
  <c r="D610" i="15"/>
  <c r="E580" i="15"/>
  <c r="AC559" i="15"/>
  <c r="D530" i="15"/>
  <c r="K601" i="15"/>
  <c r="K534" i="15"/>
  <c r="AC599" i="15"/>
  <c r="DZ589" i="15"/>
  <c r="AO566" i="15"/>
  <c r="K509" i="15"/>
  <c r="AC654" i="15"/>
  <c r="A662" i="15"/>
  <c r="AC581" i="15"/>
  <c r="AN569" i="15"/>
  <c r="P570" i="15"/>
  <c r="D555" i="15"/>
  <c r="B550" i="15"/>
  <c r="AI599" i="15"/>
  <c r="K557" i="15"/>
  <c r="A572" i="15"/>
  <c r="AB578" i="15"/>
  <c r="D606" i="15"/>
  <c r="A601" i="15"/>
  <c r="W508" i="15"/>
  <c r="Y636" i="15"/>
  <c r="H680" i="15"/>
  <c r="I501" i="15"/>
  <c r="T583" i="15"/>
  <c r="DW675" i="15"/>
  <c r="AM581" i="15"/>
  <c r="AN553" i="15"/>
  <c r="D566" i="15"/>
  <c r="T551" i="15"/>
  <c r="I625" i="15"/>
  <c r="C602" i="15"/>
  <c r="R620" i="15"/>
  <c r="R576" i="15"/>
  <c r="U572" i="15"/>
  <c r="K521" i="15"/>
  <c r="T525" i="15"/>
  <c r="DU522" i="15"/>
  <c r="K661" i="15"/>
  <c r="AC552" i="15"/>
  <c r="C570" i="15"/>
  <c r="V576" i="15"/>
  <c r="R601" i="15"/>
  <c r="S652" i="15"/>
  <c r="K507" i="15"/>
  <c r="S579" i="15"/>
  <c r="V557" i="15"/>
  <c r="V480" i="15"/>
  <c r="K520" i="15"/>
  <c r="G553" i="15"/>
  <c r="AK524" i="15"/>
  <c r="DU545" i="15"/>
  <c r="AL464" i="15"/>
  <c r="AG514" i="15"/>
  <c r="M672" i="15"/>
  <c r="T618" i="15"/>
  <c r="AB663" i="15"/>
  <c r="I585" i="15"/>
  <c r="S609" i="15"/>
  <c r="AR584" i="15"/>
  <c r="AD647" i="15"/>
  <c r="C638" i="15"/>
  <c r="AC661" i="15"/>
  <c r="Z643" i="15"/>
  <c r="P554" i="15"/>
  <c r="O591" i="15"/>
  <c r="T610" i="15"/>
  <c r="V597" i="15"/>
  <c r="W647" i="15"/>
  <c r="J584" i="15"/>
  <c r="AA600" i="15"/>
  <c r="AL607" i="15"/>
  <c r="AN623" i="15"/>
  <c r="O547" i="15"/>
  <c r="G638" i="15"/>
  <c r="P603" i="15"/>
  <c r="DW596" i="15"/>
  <c r="F591" i="15"/>
  <c r="DU665" i="15"/>
  <c r="AL622" i="15"/>
  <c r="T630" i="15"/>
  <c r="AM552" i="15"/>
  <c r="R640" i="15"/>
  <c r="K479" i="15"/>
  <c r="AN504" i="15"/>
  <c r="E540" i="15"/>
  <c r="J559" i="15"/>
  <c r="B514" i="15"/>
  <c r="A629" i="15"/>
  <c r="J506" i="15"/>
  <c r="O589" i="15"/>
  <c r="I581" i="15"/>
  <c r="R578" i="15"/>
  <c r="AN494" i="15"/>
  <c r="K567" i="15"/>
  <c r="AC563" i="15"/>
  <c r="AG576" i="15"/>
  <c r="X565" i="15"/>
  <c r="P562" i="15"/>
  <c r="J566" i="15"/>
  <c r="AA523" i="15"/>
  <c r="D518" i="15"/>
  <c r="N576" i="15"/>
  <c r="D593" i="15"/>
  <c r="AN608" i="15"/>
  <c r="A592" i="15"/>
  <c r="U594" i="15"/>
  <c r="Z571" i="15"/>
  <c r="AB551" i="15"/>
  <c r="DW524" i="15"/>
  <c r="DX653" i="15"/>
  <c r="M503" i="15"/>
  <c r="AA586" i="15"/>
  <c r="DZ634" i="15"/>
  <c r="U625" i="15"/>
  <c r="AL504" i="15"/>
  <c r="B648" i="15"/>
  <c r="L621" i="15"/>
  <c r="Z572" i="15"/>
  <c r="M624" i="15"/>
  <c r="S595" i="15"/>
  <c r="C548" i="15"/>
  <c r="T543" i="15"/>
  <c r="AI650" i="15"/>
  <c r="H544" i="15"/>
  <c r="Y563" i="15"/>
  <c r="H715" i="15"/>
  <c r="AC591" i="15"/>
  <c r="AN587" i="15"/>
  <c r="J504" i="15"/>
  <c r="H631" i="15"/>
  <c r="F610" i="15"/>
  <c r="AL493" i="15"/>
  <c r="S574" i="15"/>
  <c r="H620" i="15"/>
  <c r="AK571" i="15"/>
  <c r="B547" i="15"/>
  <c r="V556" i="15"/>
  <c r="I662" i="15"/>
  <c r="C589" i="15"/>
  <c r="D589" i="15"/>
  <c r="Z600" i="15"/>
  <c r="P566" i="15"/>
  <c r="O661" i="15"/>
  <c r="AN516" i="15"/>
  <c r="AF520" i="15"/>
  <c r="AN601" i="15"/>
  <c r="W621" i="15"/>
  <c r="AN540" i="15"/>
  <c r="D562" i="15"/>
  <c r="DV655" i="15"/>
  <c r="C587" i="15"/>
  <c r="L616" i="15"/>
  <c r="I503" i="15"/>
  <c r="H561" i="15"/>
  <c r="AC549" i="15"/>
  <c r="G476" i="15"/>
  <c r="M514" i="15"/>
  <c r="X543" i="15"/>
  <c r="AM518" i="15"/>
  <c r="E537" i="15"/>
  <c r="H460" i="15"/>
  <c r="E506" i="15"/>
  <c r="DU519" i="15"/>
  <c r="C464" i="15"/>
  <c r="DZ533" i="15"/>
  <c r="AB491" i="15"/>
  <c r="K539" i="15"/>
  <c r="AL415" i="15"/>
  <c r="P598" i="15"/>
  <c r="B567" i="15"/>
  <c r="AL568" i="15"/>
  <c r="Z508" i="15"/>
  <c r="U532" i="15"/>
  <c r="B617" i="15"/>
  <c r="A534" i="15"/>
  <c r="E631" i="15"/>
  <c r="E668" i="15"/>
  <c r="AB632" i="15"/>
  <c r="R579" i="15"/>
  <c r="W676" i="15"/>
  <c r="AK578" i="15"/>
  <c r="DU636" i="15"/>
  <c r="F599" i="15"/>
  <c r="E679" i="15"/>
  <c r="AB627" i="15"/>
  <c r="W548" i="15"/>
  <c r="G562" i="15"/>
  <c r="S603" i="15"/>
  <c r="AB589" i="15"/>
  <c r="O611" i="15"/>
  <c r="H578" i="15"/>
  <c r="V592" i="15"/>
  <c r="E599" i="15"/>
  <c r="O596" i="15"/>
  <c r="AA542" i="15"/>
  <c r="T623" i="15"/>
  <c r="T671" i="15"/>
  <c r="DW589" i="15"/>
  <c r="X583" i="15"/>
  <c r="U644" i="15"/>
  <c r="K605" i="15"/>
  <c r="O607" i="15"/>
  <c r="X546" i="15"/>
  <c r="AA587" i="15"/>
  <c r="AR474" i="15"/>
  <c r="DZ579" i="15"/>
  <c r="B533" i="15"/>
  <c r="U548" i="15"/>
  <c r="D498" i="15"/>
  <c r="T590" i="15"/>
  <c r="AC497" i="15"/>
  <c r="AL578" i="15"/>
  <c r="AR571" i="15"/>
  <c r="S608" i="15"/>
  <c r="G621" i="15"/>
  <c r="AN556" i="15"/>
  <c r="S541" i="15"/>
  <c r="A563" i="15"/>
  <c r="AN602" i="15"/>
  <c r="F635" i="15"/>
  <c r="M621" i="15"/>
  <c r="B519" i="15"/>
  <c r="AM599" i="15"/>
  <c r="V671" i="15"/>
  <c r="E634" i="15"/>
  <c r="AL594" i="15"/>
  <c r="V580" i="15"/>
  <c r="U582" i="15"/>
  <c r="F549" i="15"/>
  <c r="P544" i="15"/>
  <c r="AA631" i="15"/>
  <c r="R602" i="15"/>
  <c r="Z495" i="15"/>
  <c r="W558" i="15"/>
  <c r="W608" i="15"/>
  <c r="V603" i="15"/>
  <c r="T499" i="15"/>
  <c r="DZ649" i="15"/>
  <c r="T640" i="15"/>
  <c r="DW563" i="15"/>
  <c r="Z602" i="15"/>
  <c r="G583" i="15"/>
  <c r="T542" i="15"/>
  <c r="R596" i="15"/>
  <c r="H601" i="15"/>
  <c r="K531" i="15"/>
  <c r="U556" i="15"/>
  <c r="D622" i="15"/>
  <c r="AK637" i="15"/>
  <c r="O578" i="15"/>
  <c r="V498" i="15"/>
  <c r="W633" i="15"/>
  <c r="I683" i="15"/>
  <c r="P608" i="15"/>
  <c r="DY563" i="15"/>
  <c r="S600" i="15"/>
  <c r="K644" i="15"/>
  <c r="P541" i="15"/>
  <c r="R536" i="15"/>
  <c r="E622" i="15"/>
  <c r="Z569" i="15"/>
  <c r="G579" i="15"/>
  <c r="R587" i="15"/>
  <c r="E589" i="15"/>
  <c r="AB617" i="15"/>
  <c r="T512" i="15"/>
  <c r="DV633" i="15"/>
  <c r="AL570" i="15"/>
  <c r="W662" i="15"/>
  <c r="AC529" i="15"/>
  <c r="B555" i="15"/>
  <c r="F615" i="15"/>
  <c r="N577" i="15"/>
  <c r="AH576" i="15"/>
  <c r="Z496" i="15"/>
  <c r="AN552" i="15"/>
  <c r="I543" i="15"/>
  <c r="G471" i="15"/>
  <c r="D568" i="15"/>
  <c r="Z535" i="15"/>
  <c r="V513" i="15"/>
  <c r="DV529" i="15"/>
  <c r="F455" i="15"/>
  <c r="G556" i="15"/>
  <c r="C510" i="15"/>
  <c r="AL458" i="15"/>
  <c r="P521" i="15"/>
  <c r="O486" i="15"/>
  <c r="W480" i="15"/>
  <c r="AA411" i="15"/>
  <c r="DZ654" i="15"/>
  <c r="C579" i="15"/>
  <c r="B551" i="15"/>
  <c r="W490" i="15"/>
  <c r="Y524" i="15"/>
  <c r="Z589" i="15"/>
  <c r="J526" i="15"/>
  <c r="T536" i="15"/>
  <c r="A444" i="15"/>
  <c r="E539" i="15"/>
  <c r="AK612" i="15"/>
  <c r="N529" i="15"/>
  <c r="U656" i="15"/>
  <c r="DZ681" i="15"/>
  <c r="X665" i="15"/>
  <c r="F600" i="15"/>
  <c r="X646" i="15"/>
  <c r="AN555" i="15"/>
  <c r="AL595" i="15"/>
  <c r="DX627" i="15"/>
  <c r="AG598" i="15"/>
  <c r="B670" i="15"/>
  <c r="D615" i="15"/>
  <c r="A688" i="15"/>
  <c r="O590" i="15"/>
  <c r="U576" i="15"/>
  <c r="J580" i="15"/>
  <c r="O572" i="15"/>
  <c r="AC584" i="15"/>
  <c r="R591" i="15"/>
  <c r="O575" i="15"/>
  <c r="K684" i="15"/>
  <c r="U611" i="15"/>
  <c r="G617" i="15"/>
  <c r="L583" i="15"/>
  <c r="AA577" i="15"/>
  <c r="AC605" i="15"/>
  <c r="O593" i="15"/>
  <c r="AG593" i="15"/>
  <c r="AK541" i="15"/>
  <c r="Z564" i="15"/>
  <c r="H461" i="15"/>
  <c r="AM557" i="15"/>
  <c r="P526" i="15"/>
  <c r="I541" i="15"/>
  <c r="AA717" i="15"/>
  <c r="K564" i="15"/>
  <c r="N491" i="15"/>
  <c r="D642" i="15"/>
  <c r="T648" i="15"/>
  <c r="G573" i="15"/>
  <c r="T579" i="15"/>
  <c r="Z548" i="15"/>
  <c r="T639" i="15"/>
  <c r="DY546" i="15"/>
  <c r="V588" i="15"/>
  <c r="F606" i="15"/>
  <c r="DU577" i="15"/>
  <c r="S514" i="15"/>
  <c r="U569" i="15"/>
  <c r="DW677" i="15"/>
  <c r="U593" i="15"/>
  <c r="AA583" i="15"/>
  <c r="K571" i="15"/>
  <c r="AM614" i="15"/>
  <c r="H543" i="15"/>
  <c r="R527" i="15"/>
  <c r="DU622" i="15"/>
  <c r="AK615" i="15"/>
  <c r="AL489" i="15"/>
  <c r="Z628" i="15"/>
  <c r="AF593" i="15"/>
  <c r="AA589" i="15"/>
  <c r="AO573" i="15"/>
  <c r="P648" i="15"/>
  <c r="AB557" i="15"/>
  <c r="B557" i="15"/>
  <c r="K589" i="15"/>
  <c r="E574" i="15"/>
  <c r="AC536" i="15"/>
  <c r="T665" i="15"/>
  <c r="O614" i="15"/>
  <c r="N522" i="15"/>
  <c r="W549" i="15"/>
  <c r="U601" i="15"/>
  <c r="AN609" i="15"/>
  <c r="W569" i="15"/>
  <c r="B493" i="15"/>
  <c r="AC637" i="15"/>
  <c r="R611" i="15"/>
  <c r="W624" i="15"/>
  <c r="R556" i="15"/>
  <c r="E587" i="15"/>
  <c r="C613" i="15"/>
  <c r="Y535" i="15"/>
  <c r="DX530" i="15"/>
  <c r="DW593" i="15"/>
  <c r="C555" i="15"/>
  <c r="Y570" i="15"/>
  <c r="DX576" i="15"/>
  <c r="DX577" i="15"/>
  <c r="D599" i="15"/>
  <c r="AB507" i="15"/>
  <c r="W581" i="15"/>
  <c r="H610" i="15"/>
  <c r="DV604" i="15"/>
  <c r="D519" i="15"/>
  <c r="X547" i="15"/>
  <c r="Z597" i="15"/>
  <c r="AA567" i="15"/>
  <c r="U567" i="15"/>
  <c r="D661" i="15"/>
  <c r="AA609" i="15"/>
  <c r="G537" i="15"/>
  <c r="G466" i="15"/>
  <c r="J553" i="15"/>
  <c r="AB528" i="15"/>
  <c r="Y588" i="15"/>
  <c r="K523" i="15"/>
  <c r="P450" i="15"/>
  <c r="A539" i="15"/>
  <c r="AB586" i="15"/>
  <c r="X557" i="15"/>
  <c r="M511" i="15"/>
  <c r="P561" i="15"/>
  <c r="A473" i="15"/>
  <c r="D407" i="15"/>
  <c r="AC614" i="15"/>
  <c r="Y591" i="15"/>
  <c r="I540" i="15"/>
  <c r="AL484" i="15"/>
  <c r="A518" i="15"/>
  <c r="Z558" i="15"/>
  <c r="AH519" i="15"/>
  <c r="AK528" i="15"/>
  <c r="DZ439" i="15"/>
  <c r="Y498" i="15"/>
  <c r="T565" i="15"/>
  <c r="AN681" i="15"/>
  <c r="G600" i="15"/>
  <c r="A667" i="15"/>
  <c r="AH650" i="15"/>
  <c r="AK589" i="15"/>
  <c r="R627" i="15"/>
  <c r="B540" i="15"/>
  <c r="E588" i="15"/>
  <c r="F672" i="15"/>
  <c r="B568" i="15"/>
  <c r="AC647" i="15"/>
  <c r="A652" i="15"/>
  <c r="Y662" i="15"/>
  <c r="G584" i="15"/>
  <c r="C683" i="15"/>
  <c r="DZ625" i="15"/>
  <c r="Z565" i="15"/>
  <c r="DU668" i="15"/>
  <c r="DU583" i="15"/>
  <c r="DV563" i="15"/>
  <c r="A632" i="15"/>
  <c r="AR602" i="15"/>
  <c r="K583" i="15"/>
  <c r="U558" i="15"/>
  <c r="V571" i="15"/>
  <c r="C598" i="15"/>
  <c r="B583" i="15"/>
  <c r="Z582" i="15"/>
  <c r="O536" i="15"/>
  <c r="J556" i="15"/>
  <c r="AN456" i="15"/>
  <c r="R547" i="15"/>
  <c r="AB520" i="15"/>
  <c r="O521" i="15"/>
  <c r="J636" i="15"/>
  <c r="K634" i="15"/>
  <c r="A485" i="15"/>
  <c r="AR611" i="15"/>
  <c r="C584" i="15"/>
  <c r="F564" i="15"/>
  <c r="J561" i="15"/>
  <c r="S542" i="15"/>
  <c r="Y607" i="15"/>
  <c r="AI514" i="15"/>
  <c r="F578" i="15"/>
  <c r="AL591" i="15"/>
  <c r="J568" i="15"/>
  <c r="DZ509" i="15"/>
  <c r="AA555" i="15"/>
  <c r="N660" i="15"/>
  <c r="D668" i="15"/>
  <c r="AC574" i="15"/>
  <c r="AC630" i="15"/>
  <c r="Y575" i="15"/>
  <c r="Z537" i="15"/>
  <c r="X522" i="15"/>
  <c r="A603" i="15"/>
  <c r="D583" i="15"/>
  <c r="DW629" i="15"/>
  <c r="C605" i="15"/>
  <c r="AO581" i="15"/>
  <c r="W579" i="15"/>
  <c r="D559" i="15"/>
  <c r="Z557" i="15"/>
  <c r="H545" i="15"/>
  <c r="E550" i="15"/>
  <c r="X578" i="15"/>
  <c r="DZ653" i="15"/>
  <c r="K522" i="15"/>
  <c r="AC610" i="15"/>
  <c r="C582" i="15"/>
  <c r="R511" i="15"/>
  <c r="AL657" i="15"/>
  <c r="F567" i="15"/>
  <c r="R594" i="15"/>
  <c r="X561" i="15"/>
  <c r="A600" i="15"/>
  <c r="T603" i="15"/>
  <c r="H626" i="15"/>
  <c r="I603" i="15"/>
  <c r="G622" i="15"/>
  <c r="AR576" i="15"/>
  <c r="J596" i="15"/>
  <c r="Y521" i="15"/>
  <c r="F618" i="15"/>
  <c r="X634" i="15"/>
  <c r="L541" i="15"/>
  <c r="X562" i="15"/>
  <c r="AC598" i="15"/>
  <c r="O568" i="15"/>
  <c r="C586" i="15"/>
  <c r="W503" i="15"/>
  <c r="C562" i="15"/>
  <c r="V585" i="15"/>
  <c r="Z576" i="15"/>
  <c r="F510" i="15"/>
  <c r="P639" i="15"/>
  <c r="AM584" i="15"/>
  <c r="AB591" i="15"/>
  <c r="AL559" i="15"/>
  <c r="AB588" i="15"/>
  <c r="R575" i="15"/>
  <c r="Y531" i="15"/>
  <c r="P451" i="15"/>
  <c r="AB543" i="15"/>
  <c r="DZ521" i="15"/>
  <c r="O558" i="15"/>
  <c r="K517" i="15"/>
  <c r="V438" i="15"/>
  <c r="D592" i="15"/>
  <c r="H643" i="15"/>
  <c r="AC639" i="15"/>
  <c r="I566" i="15"/>
  <c r="P659" i="15"/>
  <c r="B522" i="15"/>
  <c r="P680" i="15"/>
  <c r="E624" i="15"/>
  <c r="Z579" i="15"/>
  <c r="S601" i="15"/>
  <c r="AD601" i="15"/>
  <c r="A579" i="15"/>
  <c r="AB662" i="15"/>
  <c r="Z654" i="15"/>
  <c r="Y589" i="15"/>
  <c r="O559" i="15"/>
  <c r="G706" i="15"/>
  <c r="AO577" i="15"/>
  <c r="J663" i="15"/>
  <c r="D624" i="15"/>
  <c r="K595" i="15"/>
  <c r="Z679" i="15"/>
  <c r="AA552" i="15"/>
  <c r="AK564" i="15"/>
  <c r="D590" i="15"/>
  <c r="T575" i="15"/>
  <c r="B624" i="15"/>
  <c r="AK531" i="15"/>
  <c r="J549" i="15"/>
  <c r="O452" i="15"/>
  <c r="G540" i="15"/>
  <c r="V505" i="15"/>
  <c r="G516" i="15"/>
  <c r="T563" i="15"/>
  <c r="B594" i="15"/>
  <c r="AN621" i="15"/>
  <c r="AK593" i="15"/>
  <c r="A575" i="15"/>
  <c r="G557" i="15"/>
  <c r="A553" i="15"/>
  <c r="AD525" i="15"/>
  <c r="B678" i="15"/>
  <c r="P490" i="15"/>
  <c r="X568" i="15"/>
  <c r="S580" i="15"/>
  <c r="O634" i="15"/>
  <c r="S505" i="15"/>
  <c r="D548" i="15"/>
  <c r="D618" i="15"/>
  <c r="P576" i="15"/>
  <c r="C565" i="15"/>
  <c r="B605" i="15"/>
  <c r="L686" i="15"/>
  <c r="AA532" i="15"/>
  <c r="AK517" i="15"/>
  <c r="N678" i="15"/>
  <c r="O664" i="15"/>
  <c r="AA607" i="15"/>
  <c r="X570" i="15"/>
  <c r="Y572" i="15"/>
  <c r="A571" i="15"/>
  <c r="X550" i="15"/>
  <c r="DU678" i="15"/>
  <c r="F532" i="15"/>
  <c r="Z667" i="15"/>
  <c r="F624" i="15"/>
  <c r="N616" i="15"/>
  <c r="DX508" i="15"/>
  <c r="AK653" i="15"/>
  <c r="DU658" i="15"/>
  <c r="Y501" i="15"/>
  <c r="T615" i="15"/>
  <c r="Z695" i="15"/>
  <c r="T582" i="15"/>
  <c r="T554" i="15"/>
  <c r="AR567" i="15"/>
  <c r="E577" i="15"/>
  <c r="X589" i="15"/>
  <c r="Y590" i="15"/>
  <c r="Z601" i="15"/>
  <c r="E567" i="15"/>
  <c r="F583" i="15"/>
  <c r="F517" i="15"/>
  <c r="E667" i="15"/>
  <c r="F665" i="15"/>
  <c r="Z530" i="15"/>
  <c r="U555" i="15"/>
  <c r="Y585" i="15"/>
  <c r="O632" i="15"/>
  <c r="J577" i="15"/>
  <c r="X497" i="15"/>
  <c r="T553" i="15"/>
  <c r="E633" i="15"/>
  <c r="AL672" i="15"/>
  <c r="U499" i="15"/>
  <c r="F609" i="15"/>
  <c r="D575" i="15"/>
  <c r="Y579" i="15"/>
  <c r="P552" i="15"/>
  <c r="C564" i="15"/>
  <c r="U559" i="15"/>
  <c r="T526" i="15"/>
  <c r="W446" i="15"/>
  <c r="AB535" i="15"/>
  <c r="N516" i="15"/>
  <c r="D547" i="15"/>
  <c r="DY511" i="15"/>
  <c r="Y434" i="15"/>
  <c r="AE514" i="15"/>
  <c r="E534" i="15"/>
  <c r="O526" i="15"/>
  <c r="C496" i="15"/>
  <c r="T507" i="15"/>
  <c r="F461" i="15"/>
  <c r="AD397" i="15"/>
  <c r="E499" i="15"/>
  <c r="AC566" i="15"/>
  <c r="G558" i="15"/>
  <c r="V474" i="15"/>
  <c r="P506" i="15"/>
  <c r="R537" i="15"/>
  <c r="DU644" i="15"/>
  <c r="N622" i="15"/>
  <c r="O635" i="15"/>
  <c r="U607" i="15"/>
  <c r="AA540" i="15"/>
  <c r="AK607" i="15"/>
  <c r="M578" i="15"/>
  <c r="A627" i="15"/>
  <c r="AC632" i="15"/>
  <c r="AK512" i="15"/>
  <c r="I664" i="15"/>
  <c r="AA668" i="15"/>
  <c r="AE593" i="15"/>
  <c r="I578" i="15"/>
  <c r="M642" i="15"/>
  <c r="DZ616" i="15"/>
  <c r="T670" i="15"/>
  <c r="DX523" i="15"/>
  <c r="I621" i="15"/>
  <c r="K657" i="15"/>
  <c r="AN580" i="15"/>
  <c r="D623" i="15"/>
  <c r="R631" i="15"/>
  <c r="T666" i="15"/>
  <c r="Y546" i="15"/>
  <c r="AO575" i="15"/>
  <c r="J599" i="15"/>
  <c r="P492" i="15"/>
  <c r="K553" i="15"/>
  <c r="AR447" i="15"/>
  <c r="D533" i="15"/>
  <c r="B563" i="15"/>
  <c r="I511" i="15"/>
  <c r="A677" i="15"/>
  <c r="T636" i="15"/>
  <c r="F644" i="15"/>
  <c r="L635" i="15"/>
  <c r="AK693" i="15"/>
  <c r="H550" i="15"/>
  <c r="AK545" i="15"/>
  <c r="K652" i="15"/>
  <c r="DU589" i="15"/>
  <c r="AB678" i="15"/>
  <c r="H560" i="15"/>
  <c r="F571" i="15"/>
  <c r="A607" i="15"/>
  <c r="E616" i="15"/>
  <c r="C542" i="15"/>
  <c r="R588" i="15"/>
  <c r="A561" i="15"/>
  <c r="A558" i="15"/>
  <c r="P628" i="15"/>
  <c r="X619" i="15"/>
  <c r="AC527" i="15"/>
  <c r="DZ596" i="15"/>
  <c r="AC617" i="15"/>
  <c r="AB698" i="15"/>
  <c r="DY593" i="15"/>
  <c r="L626" i="15"/>
  <c r="R644" i="15"/>
  <c r="AB562" i="15"/>
  <c r="P532" i="15"/>
  <c r="E630" i="15"/>
  <c r="AA522" i="15"/>
  <c r="DX616" i="15"/>
  <c r="X602" i="15"/>
  <c r="L576" i="15"/>
  <c r="Y504" i="15"/>
  <c r="T647" i="15"/>
  <c r="AC618" i="15"/>
  <c r="C494" i="15"/>
  <c r="F575" i="15"/>
  <c r="DW621" i="15"/>
  <c r="W572" i="15"/>
  <c r="U547" i="15"/>
  <c r="F557" i="15"/>
  <c r="AA622" i="15"/>
  <c r="H570" i="15"/>
  <c r="AK579" i="15"/>
  <c r="O588" i="15"/>
  <c r="H628" i="15"/>
  <c r="T619" i="15"/>
  <c r="AN512" i="15"/>
  <c r="B632" i="15"/>
  <c r="W605" i="15"/>
  <c r="AC519" i="15"/>
  <c r="E612" i="15"/>
  <c r="AL575" i="15"/>
  <c r="H607" i="15"/>
  <c r="I568" i="15"/>
  <c r="C492" i="15"/>
  <c r="J560" i="15"/>
  <c r="C628" i="15"/>
  <c r="AC608" i="15"/>
  <c r="G493" i="15"/>
  <c r="AN593" i="15"/>
  <c r="AG616" i="15"/>
  <c r="O570" i="15"/>
  <c r="AL545" i="15"/>
  <c r="K555" i="15"/>
  <c r="X551" i="15"/>
  <c r="AA511" i="15"/>
  <c r="AF599" i="15"/>
  <c r="AD528" i="15"/>
  <c r="DY510" i="15"/>
  <c r="F539" i="15"/>
  <c r="AR493" i="15"/>
  <c r="DY430" i="15"/>
  <c r="C506" i="15"/>
  <c r="W521" i="15"/>
  <c r="H515" i="15"/>
  <c r="AN636" i="15"/>
  <c r="O500" i="15"/>
  <c r="Z455" i="15"/>
  <c r="K393" i="15"/>
  <c r="Z665" i="15"/>
  <c r="K502" i="15"/>
  <c r="I549" i="15"/>
  <c r="G469" i="15"/>
  <c r="AD586" i="15"/>
  <c r="X529" i="15"/>
  <c r="U536" i="15"/>
  <c r="P496" i="15"/>
  <c r="AB427" i="15"/>
  <c r="P546" i="15"/>
  <c r="AK501" i="15"/>
  <c r="C535" i="15"/>
  <c r="U458" i="15"/>
  <c r="DY544" i="15"/>
  <c r="AN514" i="15"/>
  <c r="DX535" i="15"/>
  <c r="DU484" i="15"/>
  <c r="Y552" i="15"/>
  <c r="AC479" i="15"/>
  <c r="F619" i="15"/>
  <c r="AB572" i="15"/>
  <c r="H619" i="15"/>
  <c r="O513" i="15"/>
  <c r="F561" i="15"/>
  <c r="K514" i="15"/>
  <c r="F565" i="15"/>
  <c r="R555" i="15"/>
  <c r="L582" i="15"/>
  <c r="G580" i="15"/>
  <c r="H537" i="15"/>
  <c r="D494" i="15"/>
  <c r="AG516" i="15"/>
  <c r="AM554" i="15"/>
  <c r="AR517" i="15"/>
  <c r="E527" i="15"/>
  <c r="F447" i="15"/>
  <c r="O615" i="15"/>
  <c r="H534" i="15"/>
  <c r="W565" i="15"/>
  <c r="V478" i="15"/>
  <c r="Y510" i="15"/>
  <c r="AJ526" i="15"/>
  <c r="AL552" i="15"/>
  <c r="Z507" i="15"/>
  <c r="M434" i="15"/>
  <c r="B561" i="15"/>
  <c r="AB546" i="15"/>
  <c r="Y538" i="15"/>
  <c r="Y460" i="15"/>
  <c r="AB549" i="15"/>
  <c r="R518" i="15"/>
  <c r="L524" i="15"/>
  <c r="Y487" i="15"/>
  <c r="AA568" i="15"/>
  <c r="P482" i="15"/>
  <c r="J484" i="15"/>
  <c r="AR539" i="15"/>
  <c r="S487" i="15"/>
  <c r="G649" i="15"/>
  <c r="P601" i="15"/>
  <c r="J552" i="15"/>
  <c r="B526" i="15"/>
  <c r="L460" i="15"/>
  <c r="N604" i="15"/>
  <c r="Y549" i="15"/>
  <c r="W528" i="15"/>
  <c r="Z562" i="15"/>
  <c r="H477" i="15"/>
  <c r="V564" i="15"/>
  <c r="W493" i="15"/>
  <c r="I513" i="15"/>
  <c r="M516" i="15"/>
  <c r="S495" i="15"/>
  <c r="Y539" i="15"/>
  <c r="AN487" i="15"/>
  <c r="A419" i="15"/>
  <c r="R362" i="15"/>
  <c r="AM449" i="15"/>
  <c r="AB474" i="15"/>
  <c r="AN511" i="15"/>
  <c r="U575" i="15"/>
  <c r="H481" i="15"/>
  <c r="DW541" i="15"/>
  <c r="R513" i="15"/>
  <c r="U504" i="15"/>
  <c r="DV504" i="15"/>
  <c r="S524" i="15"/>
  <c r="R486" i="15"/>
  <c r="F703" i="15"/>
  <c r="DX674" i="15"/>
  <c r="Z627" i="15"/>
  <c r="Z594" i="15"/>
  <c r="C676" i="15"/>
  <c r="AL675" i="15"/>
  <c r="S572" i="15"/>
  <c r="I619" i="15"/>
  <c r="R623" i="15"/>
  <c r="U508" i="15"/>
  <c r="R643" i="15"/>
  <c r="H653" i="15"/>
  <c r="C585" i="15"/>
  <c r="J572" i="15"/>
  <c r="V624" i="15"/>
  <c r="AR609" i="15"/>
  <c r="R625" i="15"/>
  <c r="AR519" i="15"/>
  <c r="O666" i="15"/>
  <c r="AB603" i="15"/>
  <c r="V575" i="15"/>
  <c r="K678" i="15"/>
  <c r="AE601" i="15"/>
  <c r="AC688" i="15"/>
  <c r="AA531" i="15"/>
  <c r="W566" i="15"/>
  <c r="A587" i="15"/>
  <c r="E597" i="15"/>
  <c r="T546" i="15"/>
  <c r="U636" i="15"/>
  <c r="S526" i="15"/>
  <c r="K551" i="15"/>
  <c r="AB620" i="15"/>
  <c r="DY680" i="15"/>
  <c r="V594" i="15"/>
  <c r="A585" i="15"/>
  <c r="D609" i="15"/>
  <c r="G586" i="15"/>
  <c r="G544" i="15"/>
  <c r="AL539" i="15"/>
  <c r="K659" i="15"/>
  <c r="AR563" i="15"/>
  <c r="AB618" i="15"/>
  <c r="D639" i="15"/>
  <c r="Y595" i="15"/>
  <c r="W591" i="15"/>
  <c r="R552" i="15"/>
  <c r="AR535" i="15"/>
  <c r="M563" i="15"/>
  <c r="DX545" i="15"/>
  <c r="E551" i="15"/>
  <c r="A605" i="15"/>
  <c r="E600" i="15"/>
  <c r="E514" i="15"/>
  <c r="AL567" i="15"/>
  <c r="AL655" i="15"/>
  <c r="DX642" i="15"/>
  <c r="M582" i="15"/>
  <c r="A604" i="15"/>
  <c r="D613" i="15"/>
  <c r="AO542" i="15"/>
  <c r="AR526" i="15"/>
  <c r="AG601" i="15"/>
  <c r="H513" i="15"/>
  <c r="AF598" i="15"/>
  <c r="G589" i="15"/>
  <c r="AN564" i="15"/>
  <c r="C499" i="15"/>
  <c r="I649" i="15"/>
  <c r="O660" i="15"/>
  <c r="F489" i="15"/>
  <c r="H565" i="15"/>
  <c r="T601" i="15"/>
  <c r="AF647" i="15"/>
  <c r="E542" i="15"/>
  <c r="S549" i="15"/>
  <c r="S594" i="15"/>
  <c r="P556" i="15"/>
  <c r="J571" i="15"/>
  <c r="C578" i="15"/>
  <c r="DU604" i="15"/>
  <c r="D600" i="15"/>
  <c r="I508" i="15"/>
  <c r="W590" i="15"/>
  <c r="DU576" i="15"/>
  <c r="S510" i="15"/>
  <c r="AK594" i="15"/>
  <c r="AK565" i="15"/>
  <c r="AA592" i="15"/>
  <c r="P560" i="15"/>
  <c r="P591" i="15"/>
  <c r="G552" i="15"/>
  <c r="J632" i="15"/>
  <c r="DZ676" i="15"/>
  <c r="R487" i="15"/>
  <c r="B582" i="15"/>
  <c r="AA598" i="15"/>
  <c r="P637" i="15"/>
  <c r="U540" i="15"/>
  <c r="Z547" i="15"/>
  <c r="AB544" i="15"/>
  <c r="AA506" i="15"/>
  <c r="J562" i="15"/>
  <c r="C522" i="15"/>
  <c r="F505" i="15"/>
  <c r="U531" i="15"/>
  <c r="K489" i="15"/>
  <c r="AR426" i="15"/>
  <c r="AA498" i="15"/>
  <c r="U511" i="15"/>
  <c r="U506" i="15"/>
  <c r="Y553" i="15"/>
  <c r="L493" i="15"/>
  <c r="S450" i="15"/>
  <c r="Y388" i="15"/>
  <c r="E578" i="15"/>
  <c r="X563" i="15"/>
  <c r="R542" i="15"/>
  <c r="DW463" i="15"/>
  <c r="AC556" i="15"/>
  <c r="U522" i="15"/>
  <c r="AL528" i="15"/>
  <c r="AL490" i="15"/>
  <c r="B423" i="15"/>
  <c r="DV579" i="15"/>
  <c r="AK562" i="15"/>
  <c r="M529" i="15"/>
  <c r="AN452" i="15"/>
  <c r="F536" i="15"/>
  <c r="J509" i="15"/>
  <c r="T528" i="15"/>
  <c r="DX479" i="15"/>
  <c r="N535" i="15"/>
  <c r="E474" i="15"/>
  <c r="X595" i="15"/>
  <c r="W594" i="15"/>
  <c r="Y562" i="15"/>
  <c r="I507" i="15"/>
  <c r="O548" i="15"/>
  <c r="S508" i="15"/>
  <c r="O550" i="15"/>
  <c r="C544" i="15"/>
  <c r="Z527" i="15"/>
  <c r="F597" i="15"/>
  <c r="AA528" i="15"/>
  <c r="H489" i="15"/>
  <c r="C511" i="15"/>
  <c r="M544" i="15"/>
  <c r="G671" i="15"/>
  <c r="T520" i="15"/>
  <c r="D443" i="15"/>
  <c r="AB568" i="15"/>
  <c r="AK515" i="15"/>
  <c r="E555" i="15"/>
  <c r="AR472" i="15"/>
  <c r="D651" i="15"/>
  <c r="AJ519" i="15"/>
  <c r="AM542" i="15"/>
  <c r="A502" i="15"/>
  <c r="N430" i="15"/>
  <c r="R606" i="15"/>
  <c r="AE528" i="15"/>
  <c r="Y532" i="15"/>
  <c r="K455" i="15"/>
  <c r="AR540" i="15"/>
  <c r="Z512" i="15"/>
  <c r="AL517" i="15"/>
  <c r="A482" i="15"/>
  <c r="A661" i="15"/>
  <c r="AK718" i="15"/>
  <c r="V620" i="15"/>
  <c r="I610" i="15"/>
  <c r="L660" i="15"/>
  <c r="AJ648" i="15"/>
  <c r="G664" i="15"/>
  <c r="K612" i="15"/>
  <c r="W615" i="15"/>
  <c r="X504" i="15"/>
  <c r="AR605" i="15"/>
  <c r="Y614" i="15"/>
  <c r="AK670" i="15"/>
  <c r="AK547" i="15"/>
  <c r="AL703" i="15"/>
  <c r="AC602" i="15"/>
  <c r="E614" i="15"/>
  <c r="AC515" i="15"/>
  <c r="M651" i="15"/>
  <c r="DY670" i="15"/>
  <c r="AN676" i="15"/>
  <c r="AL651" i="15"/>
  <c r="T595" i="15"/>
  <c r="V656" i="15"/>
  <c r="J527" i="15"/>
  <c r="F559" i="15"/>
  <c r="DV577" i="15"/>
  <c r="V569" i="15"/>
  <c r="J541" i="15"/>
  <c r="X574" i="15"/>
  <c r="D500" i="15"/>
  <c r="DW542" i="15"/>
  <c r="K569" i="15"/>
  <c r="AC663" i="15"/>
  <c r="H672" i="15"/>
  <c r="A559" i="15"/>
  <c r="A593" i="15"/>
  <c r="AL576" i="15"/>
  <c r="W538" i="15"/>
  <c r="AA533" i="15"/>
  <c r="V648" i="15"/>
  <c r="C633" i="15"/>
  <c r="AL635" i="15"/>
  <c r="X607" i="15"/>
  <c r="H583" i="15"/>
  <c r="AI563" i="15"/>
  <c r="K545" i="15"/>
  <c r="S530" i="15"/>
  <c r="F541" i="15"/>
  <c r="J535" i="15"/>
  <c r="AC600" i="15"/>
  <c r="AJ590" i="15"/>
  <c r="AN586" i="15"/>
  <c r="Z509" i="15"/>
  <c r="E557" i="15"/>
  <c r="AL582" i="15"/>
  <c r="J597" i="15"/>
  <c r="R573" i="15"/>
  <c r="A590" i="15"/>
  <c r="M596" i="15"/>
  <c r="AN526" i="15"/>
  <c r="I522" i="15"/>
  <c r="DZ614" i="15"/>
  <c r="U502" i="15"/>
  <c r="AE585" i="15"/>
  <c r="W632" i="15"/>
  <c r="H623" i="15"/>
  <c r="O493" i="15"/>
  <c r="AE647" i="15"/>
  <c r="W619" i="15"/>
  <c r="K626" i="15"/>
  <c r="A557" i="15"/>
  <c r="H588" i="15"/>
  <c r="AJ614" i="15"/>
  <c r="DY535" i="15"/>
  <c r="V618" i="15"/>
  <c r="AB635" i="15"/>
  <c r="K542" i="15"/>
  <c r="H563" i="15"/>
  <c r="DZ675" i="15"/>
  <c r="D569" i="15"/>
  <c r="AJ586" i="15"/>
  <c r="DW503" i="15"/>
  <c r="AN633" i="15"/>
  <c r="H677" i="15"/>
  <c r="AK487" i="15"/>
  <c r="AC582" i="15"/>
  <c r="M665" i="15"/>
  <c r="H580" i="15"/>
  <c r="R553" i="15"/>
  <c r="K548" i="15"/>
  <c r="E545" i="15"/>
  <c r="P635" i="15"/>
  <c r="K609" i="15"/>
  <c r="DV630" i="15"/>
  <c r="L667" i="15"/>
  <c r="AJ584" i="15"/>
  <c r="T608" i="15"/>
  <c r="DW534" i="15"/>
  <c r="AM541" i="15"/>
  <c r="H527" i="15"/>
  <c r="W501" i="15"/>
  <c r="AM549" i="15"/>
  <c r="P516" i="15"/>
  <c r="D598" i="15"/>
  <c r="S513" i="15"/>
  <c r="H484" i="15"/>
  <c r="AK422" i="15"/>
  <c r="I492" i="15"/>
  <c r="AR503" i="15"/>
  <c r="U487" i="15"/>
  <c r="D537" i="15"/>
  <c r="N488" i="15"/>
  <c r="R445" i="15"/>
  <c r="B384" i="15"/>
  <c r="AM616" i="15"/>
  <c r="H535" i="15"/>
  <c r="AN535" i="15"/>
  <c r="AG458" i="15"/>
  <c r="T545" i="15"/>
  <c r="D504" i="15"/>
  <c r="AR521" i="15"/>
  <c r="I485" i="15"/>
  <c r="R554" i="15"/>
  <c r="G615" i="15"/>
  <c r="AJ606" i="15"/>
  <c r="DY523" i="15"/>
  <c r="V447" i="15"/>
  <c r="F528" i="15"/>
  <c r="AB503" i="15"/>
  <c r="E509" i="15"/>
  <c r="T474" i="15"/>
  <c r="AM521" i="15"/>
  <c r="K554" i="15"/>
  <c r="X614" i="15"/>
  <c r="M577" i="15"/>
  <c r="AL549" i="15"/>
  <c r="F502" i="15"/>
  <c r="W539" i="15"/>
  <c r="AK502" i="15"/>
  <c r="H525" i="15"/>
  <c r="O535" i="15"/>
  <c r="DU492" i="15"/>
  <c r="AC558" i="15"/>
  <c r="G619" i="15"/>
  <c r="O473" i="15"/>
  <c r="J505" i="15"/>
  <c r="E535" i="15"/>
  <c r="P572" i="15"/>
  <c r="R514" i="15"/>
  <c r="Z430" i="15"/>
  <c r="L631" i="15"/>
  <c r="AC495" i="15"/>
  <c r="DW546" i="15"/>
  <c r="AC467" i="15"/>
  <c r="W542" i="15"/>
  <c r="AN513" i="15"/>
  <c r="P534" i="15"/>
  <c r="I494" i="15"/>
  <c r="AJ425" i="15"/>
  <c r="AC595" i="15"/>
  <c r="C519" i="15"/>
  <c r="AH526" i="15"/>
  <c r="G450" i="15"/>
  <c r="AL531" i="15"/>
  <c r="T589" i="15"/>
  <c r="DZ511" i="15"/>
  <c r="Y477" i="15"/>
  <c r="AJ528" i="15"/>
  <c r="W568" i="15"/>
  <c r="P461" i="15"/>
  <c r="AJ513" i="15"/>
  <c r="E541" i="15"/>
  <c r="AH563" i="15"/>
  <c r="Y569" i="15"/>
  <c r="V554" i="15"/>
  <c r="I515" i="15"/>
  <c r="AB449" i="15"/>
  <c r="A549" i="15"/>
  <c r="AB531" i="15"/>
  <c r="G515" i="15"/>
  <c r="V540" i="15"/>
  <c r="H466" i="15"/>
  <c r="AB527" i="15"/>
  <c r="DY481" i="15"/>
  <c r="V495" i="15"/>
  <c r="AL497" i="15"/>
  <c r="Y483" i="15"/>
  <c r="AE513" i="15"/>
  <c r="X470" i="15"/>
  <c r="X409" i="15"/>
  <c r="T353" i="15"/>
  <c r="G441" i="15"/>
  <c r="AA462" i="15"/>
  <c r="S482" i="15"/>
  <c r="R541" i="15"/>
  <c r="AA455" i="15"/>
  <c r="S507" i="15"/>
  <c r="Z486" i="15"/>
  <c r="O554" i="15"/>
  <c r="T527" i="15"/>
  <c r="AL501" i="15"/>
  <c r="X544" i="15"/>
  <c r="AM481" i="15"/>
  <c r="DU508" i="15"/>
  <c r="D596" i="15"/>
  <c r="I510" i="15"/>
  <c r="S592" i="15"/>
  <c r="Y444" i="15"/>
  <c r="AN491" i="15"/>
  <c r="AC482" i="15"/>
  <c r="AM578" i="15"/>
  <c r="M493" i="15"/>
  <c r="Z504" i="15"/>
  <c r="H586" i="15"/>
  <c r="DW505" i="15"/>
  <c r="F504" i="15"/>
  <c r="AC547" i="15"/>
  <c r="C532" i="15"/>
  <c r="I533" i="15"/>
  <c r="DX563" i="15"/>
  <c r="T500" i="15"/>
  <c r="D516" i="15"/>
  <c r="AA461" i="15"/>
  <c r="AR529" i="15"/>
  <c r="AA453" i="15"/>
  <c r="AI504" i="15"/>
  <c r="V484" i="15"/>
  <c r="M546" i="15"/>
  <c r="V522" i="15"/>
  <c r="AK499" i="15"/>
  <c r="G541" i="15"/>
  <c r="AA480" i="15"/>
  <c r="X438" i="15"/>
  <c r="V374" i="15"/>
  <c r="O460" i="15"/>
  <c r="D481" i="15"/>
  <c r="X633" i="15"/>
  <c r="S613" i="15"/>
  <c r="X611" i="15"/>
  <c r="A648" i="15"/>
  <c r="AJ604" i="15"/>
  <c r="P651" i="15"/>
  <c r="L523" i="15"/>
  <c r="R535" i="15"/>
  <c r="AC537" i="15"/>
  <c r="J581" i="15"/>
  <c r="C686" i="15"/>
  <c r="H574" i="15"/>
  <c r="T675" i="15"/>
  <c r="L577" i="15"/>
  <c r="AR575" i="15"/>
  <c r="Y522" i="15"/>
  <c r="U557" i="15"/>
  <c r="A610" i="15"/>
  <c r="DY577" i="15"/>
  <c r="DV666" i="15"/>
  <c r="DU634" i="15"/>
  <c r="V609" i="15"/>
  <c r="D571" i="15"/>
  <c r="J602" i="15"/>
  <c r="AK575" i="15"/>
  <c r="T522" i="15"/>
  <c r="E585" i="15"/>
  <c r="W525" i="15"/>
  <c r="R477" i="15"/>
  <c r="AN549" i="15"/>
  <c r="K645" i="15"/>
  <c r="K519" i="15"/>
  <c r="E546" i="15"/>
  <c r="DX509" i="15"/>
  <c r="I653" i="15"/>
  <c r="M625" i="15"/>
  <c r="S484" i="15"/>
  <c r="G521" i="15"/>
  <c r="AF525" i="15"/>
  <c r="D515" i="15"/>
  <c r="DW510" i="15"/>
  <c r="AC531" i="15"/>
  <c r="N579" i="15"/>
  <c r="H538" i="15"/>
  <c r="DY478" i="15"/>
  <c r="G535" i="15"/>
  <c r="K518" i="15"/>
  <c r="AB508" i="15"/>
  <c r="K600" i="15"/>
  <c r="J567" i="15"/>
  <c r="AR451" i="15"/>
  <c r="DU513" i="15"/>
  <c r="AB553" i="15"/>
  <c r="DW478" i="15"/>
  <c r="U570" i="15"/>
  <c r="G554" i="15"/>
  <c r="A512" i="15"/>
  <c r="AL529" i="15"/>
  <c r="A508" i="15"/>
  <c r="AB669" i="15"/>
  <c r="AL446" i="15"/>
  <c r="B645" i="15"/>
  <c r="W557" i="15"/>
  <c r="S477" i="15"/>
  <c r="X524" i="15"/>
  <c r="V529" i="15"/>
  <c r="G518" i="15"/>
  <c r="B544" i="15"/>
  <c r="Y506" i="15"/>
  <c r="DY516" i="15"/>
  <c r="A547" i="15"/>
  <c r="N545" i="15"/>
  <c r="AK627" i="15"/>
  <c r="DX533" i="15"/>
  <c r="DW491" i="15"/>
  <c r="V527" i="15"/>
  <c r="E608" i="15"/>
  <c r="S521" i="15"/>
  <c r="K524" i="15"/>
  <c r="D445" i="15"/>
  <c r="J533" i="15"/>
  <c r="AC538" i="15"/>
  <c r="DU505" i="15"/>
  <c r="AN545" i="15"/>
  <c r="T484" i="15"/>
  <c r="K671" i="15"/>
  <c r="O604" i="15"/>
  <c r="T604" i="15"/>
  <c r="R660" i="15"/>
  <c r="DU596" i="15"/>
  <c r="I646" i="15"/>
  <c r="P519" i="15"/>
  <c r="R530" i="15"/>
  <c r="DV530" i="15"/>
  <c r="C572" i="15"/>
  <c r="AB675" i="15"/>
  <c r="R598" i="15"/>
  <c r="Y609" i="15"/>
  <c r="Y567" i="15"/>
  <c r="Y558" i="15"/>
  <c r="F518" i="15"/>
  <c r="B590" i="15"/>
  <c r="DV581" i="15"/>
  <c r="AC567" i="15"/>
  <c r="G606" i="15"/>
  <c r="V608" i="15"/>
  <c r="U579" i="15"/>
  <c r="AI640" i="15"/>
  <c r="H576" i="15"/>
  <c r="AB565" i="15"/>
  <c r="B599" i="15"/>
  <c r="J539" i="15"/>
  <c r="E487" i="15"/>
  <c r="B585" i="15"/>
  <c r="J467" i="15"/>
  <c r="K574" i="15"/>
  <c r="DW513" i="15"/>
  <c r="W646" i="15"/>
  <c r="DX503" i="15"/>
  <c r="AK613" i="15"/>
  <c r="P563" i="15"/>
  <c r="AC468" i="15"/>
  <c r="AB514" i="15"/>
  <c r="N519" i="15"/>
  <c r="U509" i="15"/>
  <c r="AC502" i="15"/>
  <c r="A519" i="15"/>
  <c r="AB613" i="15"/>
  <c r="AR528" i="15"/>
  <c r="AB473" i="15"/>
  <c r="U527" i="15"/>
  <c r="E512" i="15"/>
  <c r="D503" i="15"/>
  <c r="B628" i="15"/>
  <c r="AB540" i="15"/>
  <c r="DW446" i="15"/>
  <c r="AI598" i="15"/>
  <c r="S543" i="15"/>
  <c r="X473" i="15"/>
  <c r="Y601" i="15"/>
  <c r="R531" i="15"/>
  <c r="L506" i="15"/>
  <c r="Z522" i="15"/>
  <c r="AR646" i="15"/>
  <c r="K572" i="15"/>
  <c r="AL442" i="15"/>
  <c r="U573" i="15"/>
  <c r="L544" i="15"/>
  <c r="A472" i="15"/>
  <c r="O506" i="15"/>
  <c r="DW521" i="15"/>
  <c r="AA499" i="15"/>
  <c r="U516" i="15"/>
  <c r="AK559" i="15"/>
  <c r="DW506" i="15"/>
  <c r="S531" i="15"/>
  <c r="D620" i="15"/>
  <c r="E583" i="15"/>
  <c r="O524" i="15"/>
  <c r="P688" i="15"/>
  <c r="J576" i="15"/>
  <c r="G667" i="15"/>
  <c r="AK640" i="15"/>
  <c r="F589" i="15"/>
  <c r="R629" i="15"/>
  <c r="A515" i="15"/>
  <c r="DU516" i="15"/>
  <c r="AF524" i="15"/>
  <c r="AA608" i="15"/>
  <c r="K679" i="15"/>
  <c r="T585" i="15"/>
  <c r="AK625" i="15"/>
  <c r="X590" i="15"/>
  <c r="V545" i="15"/>
  <c r="AM513" i="15"/>
  <c r="K579" i="15"/>
  <c r="AL556" i="15"/>
  <c r="R630" i="15"/>
  <c r="K577" i="15"/>
  <c r="AD593" i="15"/>
  <c r="I656" i="15"/>
  <c r="J611" i="15"/>
  <c r="D551" i="15"/>
  <c r="AL621" i="15"/>
  <c r="AC568" i="15"/>
  <c r="W531" i="15"/>
  <c r="Y481" i="15"/>
  <c r="AB548" i="15"/>
  <c r="U441" i="15"/>
  <c r="R597" i="15"/>
  <c r="DV479" i="15"/>
  <c r="E570" i="15"/>
  <c r="L480" i="15"/>
  <c r="AR650" i="15"/>
  <c r="R550" i="15"/>
  <c r="W463" i="15"/>
  <c r="DW508" i="15"/>
  <c r="E513" i="15"/>
  <c r="T503" i="15"/>
  <c r="U494" i="15"/>
  <c r="X508" i="15"/>
  <c r="A639" i="15"/>
  <c r="H625" i="15"/>
  <c r="E458" i="15"/>
  <c r="J520" i="15"/>
  <c r="C576" i="15"/>
  <c r="X616" i="15"/>
  <c r="AA569" i="15"/>
  <c r="L534" i="15"/>
  <c r="G595" i="15"/>
  <c r="AF576" i="15"/>
  <c r="DY534" i="15"/>
  <c r="G468" i="15"/>
  <c r="AN581" i="15"/>
  <c r="F521" i="15"/>
  <c r="W500" i="15"/>
  <c r="R516" i="15"/>
  <c r="A608" i="15"/>
  <c r="O534" i="15"/>
  <c r="AR438" i="15"/>
  <c r="W585" i="15"/>
  <c r="M534" i="15"/>
  <c r="W466" i="15"/>
  <c r="S499" i="15"/>
  <c r="Z515" i="15"/>
  <c r="AB492" i="15"/>
  <c r="AB506" i="15"/>
  <c r="F540" i="15"/>
  <c r="T498" i="15"/>
  <c r="R500" i="15"/>
  <c r="T573" i="15"/>
  <c r="AB550" i="15"/>
  <c r="K590" i="15"/>
  <c r="U481" i="15"/>
  <c r="DV513" i="15"/>
  <c r="AK540" i="15"/>
  <c r="AA562" i="15"/>
  <c r="X511" i="15"/>
  <c r="DZ436" i="15"/>
  <c r="R509" i="15"/>
  <c r="P504" i="15"/>
  <c r="R485" i="15"/>
  <c r="AB517" i="15"/>
  <c r="L629" i="15"/>
  <c r="DZ621" i="15"/>
  <c r="G715" i="15"/>
  <c r="AN643" i="15"/>
  <c r="DX542" i="15"/>
  <c r="AK511" i="15"/>
  <c r="DU631" i="15"/>
  <c r="U635" i="15"/>
  <c r="D556" i="15"/>
  <c r="R619" i="15"/>
  <c r="A567" i="15"/>
  <c r="DU593" i="15"/>
  <c r="Y556" i="15"/>
  <c r="Y523" i="15"/>
  <c r="E505" i="15"/>
  <c r="W550" i="15"/>
  <c r="O517" i="15"/>
  <c r="I607" i="15"/>
  <c r="U585" i="15"/>
  <c r="H597" i="15"/>
  <c r="DY530" i="15"/>
  <c r="AM577" i="15"/>
  <c r="AK632" i="15"/>
  <c r="H546" i="15"/>
  <c r="E579" i="15"/>
  <c r="V593" i="15"/>
  <c r="C495" i="15"/>
  <c r="AK507" i="15"/>
  <c r="D477" i="15"/>
  <c r="AL503" i="15"/>
  <c r="J437" i="15"/>
  <c r="E620" i="15"/>
  <c r="K453" i="15"/>
  <c r="D553" i="15"/>
  <c r="P475" i="15"/>
  <c r="Y577" i="15"/>
  <c r="AA539" i="15"/>
  <c r="AA610" i="15"/>
  <c r="AN585" i="15"/>
  <c r="N578" i="15"/>
  <c r="C469" i="15"/>
  <c r="P564" i="15"/>
  <c r="V500" i="15"/>
  <c r="AJ589" i="15"/>
  <c r="D573" i="15"/>
  <c r="AB452" i="15"/>
  <c r="K604" i="15"/>
  <c r="Y554" i="15"/>
  <c r="DU616" i="15"/>
  <c r="V534" i="15"/>
  <c r="Y528" i="15"/>
  <c r="A560" i="15"/>
  <c r="S527" i="15"/>
  <c r="C514" i="15"/>
  <c r="B463" i="15"/>
  <c r="Z570" i="15"/>
  <c r="Z588" i="15"/>
  <c r="AD493" i="15"/>
  <c r="F534" i="15"/>
  <c r="Z561" i="15"/>
  <c r="AC526" i="15"/>
  <c r="V587" i="15"/>
  <c r="Z603" i="15"/>
  <c r="AD524" i="15"/>
  <c r="M445" i="15"/>
  <c r="AJ615" i="15"/>
  <c r="AC612" i="15"/>
  <c r="E472" i="15"/>
  <c r="F498" i="15"/>
  <c r="R525" i="15"/>
  <c r="AK491" i="15"/>
  <c r="DW492" i="15"/>
  <c r="A517" i="15"/>
  <c r="AM528" i="15"/>
  <c r="AA561" i="15"/>
  <c r="C477" i="15"/>
  <c r="D508" i="15"/>
  <c r="U524" i="15"/>
  <c r="P549" i="15"/>
  <c r="AK505" i="15"/>
  <c r="E613" i="15"/>
  <c r="I670" i="15"/>
  <c r="T627" i="15"/>
  <c r="AL537" i="15"/>
  <c r="P633" i="15"/>
  <c r="P617" i="15"/>
  <c r="E609" i="15"/>
  <c r="AR531" i="15"/>
  <c r="S589" i="15"/>
  <c r="AC625" i="15"/>
  <c r="L670" i="15"/>
  <c r="Z549" i="15"/>
  <c r="E496" i="15"/>
  <c r="B500" i="15"/>
  <c r="J678" i="15"/>
  <c r="W682" i="15"/>
  <c r="AC592" i="15"/>
  <c r="H596" i="15"/>
  <c r="AD584" i="15"/>
  <c r="R521" i="15"/>
  <c r="AN568" i="15"/>
  <c r="F686" i="15"/>
  <c r="K530" i="15"/>
  <c r="U654" i="15"/>
  <c r="AO580" i="15"/>
  <c r="I490" i="15"/>
  <c r="K578" i="15"/>
  <c r="A532" i="15"/>
  <c r="I524" i="15"/>
  <c r="M433" i="15"/>
  <c r="W614" i="15"/>
  <c r="F448" i="15"/>
  <c r="O542" i="15"/>
  <c r="T469" i="15"/>
  <c r="AN641" i="15"/>
  <c r="P575" i="15"/>
  <c r="S563" i="15"/>
  <c r="AA556" i="15"/>
  <c r="S555" i="15"/>
  <c r="AC463" i="15"/>
  <c r="AC542" i="15"/>
  <c r="A493" i="15"/>
  <c r="F611" i="15"/>
  <c r="I556" i="15"/>
  <c r="I447" i="15"/>
  <c r="DV544" i="15"/>
  <c r="D544" i="15"/>
  <c r="C571" i="15"/>
  <c r="K516" i="15"/>
  <c r="H523" i="15"/>
  <c r="V547" i="15"/>
  <c r="E520" i="15"/>
  <c r="L508" i="15"/>
  <c r="AC457" i="15"/>
  <c r="AB597" i="15"/>
  <c r="T556" i="15"/>
  <c r="DU488" i="15"/>
  <c r="AL525" i="15"/>
  <c r="AC548" i="15"/>
  <c r="DY519" i="15"/>
  <c r="B546" i="15"/>
  <c r="J630" i="15"/>
  <c r="Z552" i="15"/>
  <c r="A580" i="15"/>
  <c r="DZ563" i="15"/>
  <c r="AG563" i="15"/>
  <c r="Y466" i="15"/>
  <c r="J534" i="15"/>
  <c r="AR513" i="15"/>
  <c r="AO485" i="15"/>
  <c r="AA563" i="15"/>
  <c r="P485" i="15"/>
  <c r="AA510" i="15"/>
  <c r="AM604" i="15"/>
  <c r="D634" i="15"/>
  <c r="T622" i="15"/>
  <c r="L533" i="15"/>
  <c r="F626" i="15"/>
  <c r="DW682" i="15"/>
  <c r="AJ594" i="15"/>
  <c r="AC514" i="15"/>
  <c r="DU563" i="15"/>
  <c r="K602" i="15"/>
  <c r="P661" i="15"/>
  <c r="F533" i="15"/>
  <c r="D490" i="15"/>
  <c r="A494" i="15"/>
  <c r="X620" i="15"/>
  <c r="AD616" i="15"/>
  <c r="H581" i="15"/>
  <c r="I571" i="15"/>
  <c r="C574" i="15"/>
  <c r="AL510" i="15"/>
  <c r="C561" i="15"/>
  <c r="DX620" i="15"/>
  <c r="X525" i="15"/>
  <c r="I624" i="15"/>
  <c r="AA571" i="15"/>
  <c r="D485" i="15"/>
  <c r="K556" i="15"/>
  <c r="AN548" i="15"/>
  <c r="AF513" i="15"/>
  <c r="X420" i="15"/>
  <c r="E524" i="15"/>
  <c r="S617" i="15"/>
  <c r="AK513" i="15"/>
  <c r="D464" i="15"/>
  <c r="H618" i="15"/>
  <c r="AM556" i="15"/>
  <c r="C549" i="15"/>
  <c r="R545" i="15"/>
  <c r="Z544" i="15"/>
  <c r="Y458" i="15"/>
  <c r="T505" i="15"/>
  <c r="DV678" i="15"/>
  <c r="AL564" i="15"/>
  <c r="B548" i="15"/>
  <c r="X604" i="15"/>
  <c r="D536" i="15"/>
  <c r="P535" i="15"/>
  <c r="D602" i="15"/>
  <c r="I496" i="15"/>
  <c r="DY517" i="15"/>
  <c r="I538" i="15"/>
  <c r="H514" i="15"/>
  <c r="A576" i="15"/>
  <c r="K452" i="15"/>
  <c r="AL611" i="15"/>
  <c r="U546" i="15"/>
  <c r="AN482" i="15"/>
  <c r="V519" i="15"/>
  <c r="A540" i="15"/>
  <c r="AH513" i="15"/>
  <c r="AJ620" i="15"/>
  <c r="K570" i="15"/>
  <c r="D545" i="15"/>
  <c r="G555" i="15"/>
  <c r="T550" i="15"/>
  <c r="J550" i="15"/>
  <c r="G461" i="15"/>
  <c r="AI520" i="15"/>
  <c r="AK504" i="15"/>
  <c r="O480" i="15"/>
  <c r="A526" i="15"/>
  <c r="W597" i="15"/>
  <c r="P627" i="15"/>
  <c r="AA544" i="15"/>
  <c r="I465" i="15"/>
  <c r="S539" i="15"/>
  <c r="G512" i="15"/>
  <c r="DW530" i="15"/>
  <c r="J492" i="15"/>
  <c r="R635" i="15"/>
  <c r="V544" i="15"/>
  <c r="Z578" i="15"/>
  <c r="AB655" i="15"/>
  <c r="X639" i="15"/>
  <c r="P588" i="15"/>
  <c r="AC609" i="15"/>
  <c r="H590" i="15"/>
  <c r="U663" i="15"/>
  <c r="T533" i="15"/>
  <c r="B610" i="15"/>
  <c r="AL538" i="15"/>
  <c r="AO567" i="15"/>
  <c r="DU681" i="15"/>
  <c r="H579" i="15"/>
  <c r="V582" i="15"/>
  <c r="DY578" i="15"/>
  <c r="S604" i="15"/>
  <c r="DZ530" i="15"/>
  <c r="B556" i="15"/>
  <c r="E498" i="15"/>
  <c r="Z573" i="15"/>
  <c r="H542" i="15"/>
  <c r="AN673" i="15"/>
  <c r="DX529" i="15"/>
  <c r="W541" i="15"/>
  <c r="Y479" i="15"/>
  <c r="F496" i="15"/>
  <c r="K505" i="15"/>
  <c r="AN401" i="15"/>
  <c r="AL610" i="15"/>
  <c r="C541" i="15"/>
  <c r="V581" i="15"/>
  <c r="AN458" i="15"/>
  <c r="O566" i="15"/>
  <c r="AL518" i="15"/>
  <c r="J540" i="15"/>
  <c r="AB536" i="15"/>
  <c r="X584" i="15"/>
  <c r="A453" i="15"/>
  <c r="R497" i="15"/>
  <c r="B597" i="15"/>
  <c r="C539" i="15"/>
  <c r="AA541" i="15"/>
  <c r="AC530" i="15"/>
  <c r="C528" i="15"/>
  <c r="AL527" i="15"/>
  <c r="AR617" i="15"/>
  <c r="U521" i="15"/>
  <c r="A513" i="15"/>
  <c r="W574" i="15"/>
  <c r="P508" i="15"/>
  <c r="AA553" i="15"/>
  <c r="G426" i="15"/>
  <c r="AO563" i="15"/>
  <c r="AA536" i="15"/>
  <c r="T462" i="15"/>
  <c r="AA513" i="15"/>
  <c r="B531" i="15"/>
  <c r="DW488" i="15"/>
  <c r="P650" i="15"/>
  <c r="DX583" i="15"/>
  <c r="AR520" i="15"/>
  <c r="J528" i="15"/>
  <c r="T541" i="15"/>
  <c r="S612" i="15"/>
  <c r="B456" i="15"/>
  <c r="E510" i="15"/>
  <c r="AA496" i="15"/>
  <c r="F525" i="15"/>
  <c r="O514" i="15"/>
  <c r="K561" i="15"/>
  <c r="I546" i="15"/>
  <c r="G538" i="15"/>
  <c r="AN454" i="15"/>
  <c r="F531" i="15"/>
  <c r="M506" i="15"/>
  <c r="AN523" i="15"/>
  <c r="G487" i="15"/>
  <c r="P622" i="15"/>
  <c r="V539" i="15"/>
  <c r="AC572" i="15"/>
  <c r="S660" i="15"/>
  <c r="V629" i="15"/>
  <c r="J685" i="15"/>
  <c r="R595" i="15"/>
  <c r="P579" i="15"/>
  <c r="DV535" i="15"/>
  <c r="Z528" i="15"/>
  <c r="AF595" i="15"/>
  <c r="K533" i="15"/>
  <c r="Y559" i="15"/>
  <c r="F555" i="15"/>
  <c r="AL569" i="15"/>
  <c r="Y660" i="15"/>
  <c r="J570" i="15"/>
  <c r="S591" i="15"/>
  <c r="T517" i="15"/>
  <c r="E549" i="15"/>
  <c r="AD492" i="15"/>
  <c r="Z563" i="15"/>
  <c r="DZ535" i="15"/>
  <c r="G588" i="15"/>
  <c r="G525" i="15"/>
  <c r="AB533" i="15"/>
  <c r="AN474" i="15"/>
  <c r="A480" i="15"/>
  <c r="AB497" i="15"/>
  <c r="AB379" i="15"/>
  <c r="AC562" i="15"/>
  <c r="J512" i="15"/>
  <c r="E515" i="15"/>
  <c r="AK435" i="15"/>
  <c r="T578" i="15"/>
  <c r="AD513" i="15"/>
  <c r="I531" i="15"/>
  <c r="F529" i="15"/>
  <c r="O557" i="15"/>
  <c r="AN447" i="15"/>
  <c r="A491" i="15"/>
  <c r="X536" i="15"/>
  <c r="DV519" i="15"/>
  <c r="W523" i="15"/>
  <c r="Z523" i="15"/>
  <c r="C521" i="15"/>
  <c r="U520" i="15"/>
  <c r="P569" i="15"/>
  <c r="I591" i="15"/>
  <c r="DU506" i="15"/>
  <c r="I554" i="15"/>
  <c r="AA502" i="15"/>
  <c r="R543" i="15"/>
  <c r="AF600" i="15"/>
  <c r="N583" i="15"/>
  <c r="AI526" i="15"/>
  <c r="J446" i="15"/>
  <c r="U507" i="15"/>
  <c r="AR642" i="15"/>
  <c r="J483" i="15"/>
  <c r="A574" i="15"/>
  <c r="J551" i="15"/>
  <c r="AA515" i="15"/>
  <c r="H521" i="15"/>
  <c r="R532" i="15"/>
  <c r="AE563" i="15"/>
  <c r="AK450" i="15"/>
  <c r="C502" i="15"/>
  <c r="F490" i="15"/>
  <c r="AG504" i="15"/>
  <c r="G505" i="15"/>
  <c r="AB582" i="15"/>
  <c r="Y526" i="15"/>
  <c r="G532" i="15"/>
  <c r="A445" i="15"/>
  <c r="D524" i="15"/>
  <c r="D603" i="15"/>
  <c r="L517" i="15"/>
  <c r="AB481" i="15"/>
  <c r="V515" i="15"/>
  <c r="AB542" i="15"/>
  <c r="AL466" i="15"/>
  <c r="P524" i="15"/>
  <c r="G559" i="15"/>
  <c r="F464" i="15"/>
  <c r="V394" i="15"/>
  <c r="AR479" i="15"/>
  <c r="DV511" i="15"/>
  <c r="H553" i="15"/>
  <c r="AR615" i="15"/>
  <c r="A527" i="15"/>
  <c r="L542" i="15"/>
  <c r="T562" i="15"/>
  <c r="B518" i="15"/>
  <c r="DY492" i="15"/>
  <c r="G503" i="15"/>
  <c r="F508" i="15"/>
  <c r="D607" i="15"/>
  <c r="DV480" i="15"/>
  <c r="B523" i="15"/>
  <c r="H486" i="15"/>
  <c r="AN529" i="15"/>
  <c r="J499" i="15"/>
  <c r="AB478" i="15"/>
  <c r="K485" i="15"/>
  <c r="F477" i="15"/>
  <c r="DX506" i="15"/>
  <c r="E454" i="15"/>
  <c r="C573" i="15"/>
  <c r="R464" i="15"/>
  <c r="Z500" i="15"/>
  <c r="K482" i="15"/>
  <c r="M542" i="15"/>
  <c r="C550" i="15"/>
  <c r="U468" i="15"/>
  <c r="C566" i="15"/>
  <c r="Z542" i="15"/>
  <c r="C520" i="15"/>
  <c r="P443" i="15"/>
  <c r="P483" i="15"/>
  <c r="V468" i="15"/>
  <c r="H509" i="15"/>
  <c r="B515" i="15"/>
  <c r="I454" i="15"/>
  <c r="O385" i="15"/>
  <c r="I467" i="15"/>
  <c r="AM472" i="15"/>
  <c r="AB569" i="15"/>
  <c r="AO564" i="15"/>
  <c r="T571" i="15"/>
  <c r="R559" i="15"/>
  <c r="AI472" i="15"/>
  <c r="AA524" i="15"/>
  <c r="DZ506" i="15"/>
  <c r="E490" i="15"/>
  <c r="J522" i="15"/>
  <c r="AM473" i="15"/>
  <c r="AA432" i="15"/>
  <c r="AD595" i="15"/>
  <c r="C530" i="15"/>
  <c r="G530" i="15"/>
  <c r="DV516" i="15"/>
  <c r="H425" i="15"/>
  <c r="X474" i="15"/>
  <c r="AK467" i="15"/>
  <c r="AF519" i="15"/>
  <c r="AC545" i="15"/>
  <c r="H474" i="15"/>
  <c r="H406" i="15"/>
  <c r="S643" i="15"/>
  <c r="D462" i="15"/>
  <c r="AD516" i="15"/>
  <c r="DU491" i="15"/>
  <c r="R612" i="15"/>
  <c r="U513" i="15"/>
  <c r="J538" i="15"/>
  <c r="H637" i="15"/>
  <c r="E621" i="15"/>
  <c r="V655" i="15"/>
  <c r="DY583" i="15"/>
  <c r="Y557" i="15"/>
  <c r="K526" i="15"/>
  <c r="A524" i="15"/>
  <c r="R584" i="15"/>
  <c r="AN527" i="15"/>
  <c r="DZ630" i="15"/>
  <c r="S535" i="15"/>
  <c r="E560" i="15"/>
  <c r="Y619" i="15"/>
  <c r="H562" i="15"/>
  <c r="O580" i="15"/>
  <c r="L513" i="15"/>
  <c r="AN645" i="15"/>
  <c r="G594" i="15"/>
  <c r="F676" i="15"/>
  <c r="W530" i="15"/>
  <c r="AA578" i="15"/>
  <c r="AM520" i="15"/>
  <c r="V526" i="15"/>
  <c r="AN469" i="15"/>
  <c r="B475" i="15"/>
  <c r="AK516" i="15"/>
  <c r="O620" i="15"/>
  <c r="DW631" i="15"/>
  <c r="AL536" i="15"/>
  <c r="V509" i="15"/>
  <c r="DU431" i="15"/>
  <c r="Z590" i="15"/>
  <c r="J508" i="15"/>
  <c r="DU511" i="15"/>
  <c r="V521" i="15"/>
  <c r="Y544" i="15"/>
  <c r="AB443" i="15"/>
  <c r="B485" i="15"/>
  <c r="I498" i="15"/>
  <c r="P501" i="15"/>
  <c r="P518" i="15"/>
  <c r="E517" i="15"/>
  <c r="Y514" i="15"/>
  <c r="T514" i="15"/>
  <c r="R633" i="15"/>
  <c r="C559" i="15"/>
  <c r="E501" i="15"/>
  <c r="D543" i="15"/>
  <c r="U549" i="15"/>
  <c r="DV534" i="15"/>
  <c r="I616" i="15"/>
  <c r="T598" i="15"/>
  <c r="R614" i="15"/>
  <c r="G591" i="15"/>
  <c r="AA501" i="15"/>
  <c r="R569" i="15"/>
  <c r="AE478" i="15"/>
  <c r="U564" i="15"/>
  <c r="K529" i="15"/>
  <c r="V510" i="15"/>
  <c r="DX514" i="15"/>
  <c r="AM524" i="15"/>
  <c r="G550" i="15"/>
  <c r="O437" i="15"/>
  <c r="DX493" i="15"/>
  <c r="DV478" i="15"/>
  <c r="X496" i="15"/>
  <c r="F497" i="15"/>
  <c r="AH593" i="15"/>
  <c r="DZ516" i="15"/>
  <c r="AA520" i="15"/>
  <c r="Z577" i="15"/>
  <c r="V517" i="15"/>
  <c r="F582" i="15"/>
  <c r="Y511" i="15"/>
  <c r="Z471" i="15"/>
  <c r="U505" i="15"/>
  <c r="W527" i="15"/>
  <c r="DY460" i="15"/>
  <c r="D513" i="15"/>
  <c r="A525" i="15"/>
  <c r="C458" i="15"/>
  <c r="T389" i="15"/>
  <c r="Y472" i="15"/>
  <c r="AR492" i="15"/>
  <c r="AN492" i="15"/>
  <c r="G585" i="15"/>
  <c r="AC512" i="15"/>
  <c r="N523" i="15"/>
  <c r="N534" i="15"/>
  <c r="F546" i="15"/>
  <c r="DX484" i="15"/>
  <c r="AM493" i="15"/>
  <c r="AC488" i="15"/>
  <c r="AR573" i="15"/>
  <c r="P467" i="15"/>
  <c r="DY506" i="15"/>
  <c r="J476" i="15"/>
  <c r="N513" i="15"/>
  <c r="DY490" i="15"/>
  <c r="U543" i="15"/>
  <c r="AK551" i="15"/>
  <c r="D469" i="15"/>
  <c r="R540" i="15"/>
  <c r="AH586" i="15"/>
  <c r="A538" i="15"/>
  <c r="AL453" i="15"/>
  <c r="R491" i="15"/>
  <c r="S476" i="15"/>
  <c r="P523" i="15"/>
  <c r="O531" i="15"/>
  <c r="F574" i="15"/>
  <c r="AN570" i="15"/>
  <c r="F522" i="15"/>
  <c r="AC564" i="15"/>
  <c r="B435" i="15"/>
  <c r="V475" i="15"/>
  <c r="AL461" i="15"/>
  <c r="AC499" i="15"/>
  <c r="AA503" i="15"/>
  <c r="B448" i="15"/>
  <c r="V380" i="15"/>
  <c r="H454" i="15"/>
  <c r="V466" i="15"/>
  <c r="AJ621" i="15"/>
  <c r="AL558" i="15"/>
  <c r="D542" i="15"/>
  <c r="A535" i="15"/>
  <c r="F462" i="15"/>
  <c r="DV510" i="15"/>
  <c r="K497" i="15"/>
  <c r="H483" i="15"/>
  <c r="DV509" i="15"/>
  <c r="P548" i="15"/>
  <c r="AN427" i="15"/>
  <c r="E615" i="15"/>
  <c r="J516" i="15"/>
  <c r="J513" i="15"/>
  <c r="O592" i="15"/>
  <c r="AA547" i="15"/>
  <c r="D549" i="15"/>
  <c r="J460" i="15"/>
  <c r="X507" i="15"/>
  <c r="C527" i="15"/>
  <c r="Z466" i="15"/>
  <c r="H400" i="15"/>
  <c r="AH525" i="15"/>
  <c r="O449" i="15"/>
  <c r="DX622" i="15"/>
  <c r="N481" i="15"/>
  <c r="Y541" i="15"/>
  <c r="DW517" i="15"/>
  <c r="D496" i="15"/>
  <c r="DU535" i="15"/>
  <c r="N628" i="15"/>
  <c r="Z554" i="15"/>
  <c r="AN557" i="15"/>
  <c r="AK553" i="15"/>
  <c r="AK470" i="15"/>
  <c r="AB521" i="15"/>
  <c r="P505" i="15"/>
  <c r="DV488" i="15"/>
  <c r="AA519" i="15"/>
  <c r="AB577" i="15"/>
  <c r="AB431" i="15"/>
  <c r="V623" i="15"/>
  <c r="T559" i="15"/>
  <c r="A599" i="15"/>
  <c r="F551" i="15"/>
  <c r="O440" i="15"/>
  <c r="X487" i="15"/>
  <c r="AA479" i="15"/>
  <c r="C552" i="15"/>
  <c r="I489" i="15"/>
  <c r="H493" i="15"/>
  <c r="S415" i="15"/>
  <c r="V354" i="15"/>
  <c r="Z437" i="15"/>
  <c r="C452" i="15"/>
  <c r="X463" i="15"/>
  <c r="V499" i="15"/>
  <c r="AA427" i="15"/>
  <c r="D444" i="15"/>
  <c r="AL451" i="15"/>
  <c r="DU444" i="15"/>
  <c r="AL455" i="15"/>
  <c r="A411" i="15"/>
  <c r="W442" i="15"/>
  <c r="AC371" i="15"/>
  <c r="R408" i="15"/>
  <c r="AK350" i="15"/>
  <c r="DY383" i="15"/>
  <c r="H594" i="15"/>
  <c r="B508" i="15"/>
  <c r="B499" i="15"/>
  <c r="AA384" i="15"/>
  <c r="D457" i="15"/>
  <c r="AD460" i="15"/>
  <c r="AC460" i="15"/>
  <c r="W516" i="15"/>
  <c r="T487" i="15"/>
  <c r="O408" i="15"/>
  <c r="I481" i="15"/>
  <c r="AA486" i="15"/>
  <c r="B481" i="15"/>
  <c r="U542" i="15"/>
  <c r="I525" i="15"/>
  <c r="N434" i="15"/>
  <c r="AR348" i="15"/>
  <c r="AA421" i="15"/>
  <c r="AM423" i="15"/>
  <c r="V523" i="15"/>
  <c r="DU464" i="15"/>
  <c r="X440" i="15"/>
  <c r="J354" i="15"/>
  <c r="V426" i="15"/>
  <c r="J429" i="15"/>
  <c r="DW433" i="15"/>
  <c r="AC470" i="15"/>
  <c r="S552" i="15"/>
  <c r="K463" i="15"/>
  <c r="R365" i="15"/>
  <c r="W436" i="15"/>
  <c r="AN439" i="15"/>
  <c r="R442" i="15"/>
  <c r="DU542" i="15"/>
  <c r="DZ503" i="15"/>
  <c r="AA545" i="15"/>
  <c r="AB375" i="15"/>
  <c r="L447" i="15"/>
  <c r="O450" i="15"/>
  <c r="B452" i="15"/>
  <c r="AM469" i="15"/>
  <c r="A490" i="15"/>
  <c r="AN551" i="15"/>
  <c r="H403" i="15"/>
  <c r="E477" i="15"/>
  <c r="AK481" i="15"/>
  <c r="L478" i="15"/>
  <c r="C531" i="15"/>
  <c r="H428" i="15"/>
  <c r="AK439" i="15"/>
  <c r="B442" i="15"/>
  <c r="DX510" i="15"/>
  <c r="AR538" i="15"/>
  <c r="P479" i="15"/>
  <c r="B369" i="15"/>
  <c r="AJ440" i="15"/>
  <c r="T443" i="15"/>
  <c r="AB445" i="15"/>
  <c r="Y462" i="15"/>
  <c r="Z481" i="15"/>
  <c r="U671" i="15"/>
  <c r="F648" i="15"/>
  <c r="D552" i="15"/>
  <c r="AL579" i="15"/>
  <c r="O603" i="15"/>
  <c r="U630" i="15"/>
  <c r="X535" i="15"/>
  <c r="Y482" i="15"/>
  <c r="X588" i="15"/>
  <c r="A506" i="15"/>
  <c r="K536" i="15"/>
  <c r="C577" i="15"/>
  <c r="AA605" i="15"/>
  <c r="K508" i="15"/>
  <c r="AM558" i="15"/>
  <c r="J518" i="15"/>
  <c r="S557" i="15"/>
  <c r="AA573" i="15"/>
  <c r="AL573" i="15"/>
  <c r="AE520" i="15"/>
  <c r="X606" i="15"/>
  <c r="AK542" i="15"/>
  <c r="V524" i="15"/>
  <c r="U538" i="15"/>
  <c r="F479" i="15"/>
  <c r="G414" i="15"/>
  <c r="U489" i="15"/>
  <c r="S468" i="15"/>
  <c r="Z518" i="15"/>
  <c r="O509" i="15"/>
  <c r="V543" i="15"/>
  <c r="AN428" i="15"/>
  <c r="AL499" i="15"/>
  <c r="I527" i="15"/>
  <c r="AR495" i="15"/>
  <c r="U562" i="15"/>
  <c r="DZ492" i="15"/>
  <c r="V538" i="15"/>
  <c r="T428" i="15"/>
  <c r="S623" i="15"/>
  <c r="D631" i="15"/>
  <c r="X545" i="15"/>
  <c r="T570" i="15"/>
  <c r="Y571" i="15"/>
  <c r="DV632" i="15"/>
  <c r="R520" i="15"/>
  <c r="J478" i="15"/>
  <c r="K558" i="15"/>
  <c r="DV582" i="15"/>
  <c r="AB522" i="15"/>
  <c r="A555" i="15"/>
  <c r="AC561" i="15"/>
  <c r="Z489" i="15"/>
  <c r="AN546" i="15"/>
  <c r="AC485" i="15"/>
  <c r="DY545" i="15"/>
  <c r="AM544" i="15"/>
  <c r="AL580" i="15"/>
  <c r="H566" i="15"/>
  <c r="A618" i="15"/>
  <c r="AB626" i="15"/>
  <c r="F638" i="15"/>
  <c r="AK557" i="15"/>
  <c r="B637" i="15"/>
  <c r="DW620" i="15"/>
  <c r="I592" i="15"/>
  <c r="R546" i="15"/>
  <c r="A556" i="15"/>
  <c r="V511" i="15"/>
  <c r="O544" i="15"/>
  <c r="DX546" i="15"/>
  <c r="AB483" i="15"/>
  <c r="V537" i="15"/>
  <c r="X598" i="15"/>
  <c r="K537" i="15"/>
  <c r="W529" i="15"/>
  <c r="AL543" i="15"/>
  <c r="AR511" i="15"/>
  <c r="D532" i="15"/>
  <c r="AD600" i="15"/>
  <c r="AC483" i="15"/>
  <c r="AA489" i="15"/>
  <c r="V535" i="15"/>
  <c r="AR398" i="15"/>
  <c r="AE460" i="15"/>
  <c r="AD451" i="15"/>
  <c r="AO569" i="15"/>
  <c r="W469" i="15"/>
  <c r="DX596" i="15"/>
  <c r="DY493" i="15"/>
  <c r="I483" i="15"/>
  <c r="AC501" i="15"/>
  <c r="AC475" i="15"/>
  <c r="K597" i="15"/>
  <c r="DZ626" i="15"/>
  <c r="AL541" i="15"/>
  <c r="M533" i="15"/>
  <c r="DW544" i="15"/>
  <c r="X484" i="15"/>
  <c r="AA517" i="15"/>
  <c r="U574" i="15"/>
  <c r="E533" i="15"/>
  <c r="AB538" i="15"/>
  <c r="AK475" i="15"/>
  <c r="C476" i="15"/>
  <c r="R522" i="15"/>
  <c r="C525" i="15"/>
  <c r="V501" i="15"/>
  <c r="R506" i="15"/>
  <c r="AB558" i="15"/>
  <c r="C547" i="15"/>
  <c r="AK492" i="15"/>
  <c r="DX488" i="15"/>
  <c r="O522" i="15"/>
  <c r="P487" i="15"/>
  <c r="AM422" i="15"/>
  <c r="G582" i="15"/>
  <c r="E582" i="15"/>
  <c r="AC505" i="15"/>
  <c r="AD580" i="15"/>
  <c r="AB530" i="15"/>
  <c r="J542" i="15"/>
  <c r="S501" i="15"/>
  <c r="AC520" i="15"/>
  <c r="AJ563" i="15"/>
  <c r="DV546" i="15"/>
  <c r="P460" i="15"/>
  <c r="I636" i="15"/>
  <c r="K544" i="15"/>
  <c r="Z559" i="15"/>
  <c r="C493" i="15"/>
  <c r="AC523" i="15"/>
  <c r="C488" i="15"/>
  <c r="A536" i="15"/>
  <c r="P502" i="15"/>
  <c r="V442" i="15"/>
  <c r="AN584" i="15"/>
  <c r="DV503" i="15"/>
  <c r="D531" i="15"/>
  <c r="V460" i="15"/>
  <c r="AC496" i="15"/>
  <c r="AL480" i="15"/>
  <c r="DZ534" i="15"/>
  <c r="U544" i="15"/>
  <c r="AL604" i="15"/>
  <c r="P486" i="15"/>
  <c r="X530" i="15"/>
  <c r="U491" i="15"/>
  <c r="P540" i="15"/>
  <c r="DV493" i="15"/>
  <c r="P587" i="15"/>
  <c r="AL637" i="15"/>
  <c r="V518" i="15"/>
  <c r="E558" i="15"/>
  <c r="N624" i="15"/>
  <c r="I618" i="15"/>
  <c r="A511" i="15"/>
  <c r="T596" i="15"/>
  <c r="C581" i="15"/>
  <c r="T631" i="15"/>
  <c r="L647" i="15"/>
  <c r="AN508" i="15"/>
  <c r="A468" i="15"/>
  <c r="P615" i="15"/>
  <c r="AN594" i="15"/>
  <c r="E576" i="15"/>
  <c r="H541" i="15"/>
  <c r="C490" i="15"/>
  <c r="F552" i="15"/>
  <c r="DZ505" i="15"/>
  <c r="AC517" i="15"/>
  <c r="H549" i="15"/>
  <c r="AC478" i="15"/>
  <c r="J578" i="15"/>
  <c r="O503" i="15"/>
  <c r="N384" i="15"/>
  <c r="G455" i="15"/>
  <c r="T446" i="15"/>
  <c r="P583" i="15"/>
  <c r="AN567" i="15"/>
  <c r="I623" i="15"/>
  <c r="P558" i="15"/>
  <c r="L680" i="15"/>
  <c r="AA602" i="15"/>
  <c r="W599" i="15"/>
  <c r="H505" i="15"/>
  <c r="V615" i="15"/>
  <c r="AC619" i="15"/>
  <c r="DU541" i="15"/>
  <c r="B577" i="15"/>
  <c r="K503" i="15"/>
  <c r="J645" i="15"/>
  <c r="H595" i="15"/>
  <c r="V550" i="15"/>
  <c r="AL630" i="15"/>
  <c r="L589" i="15"/>
  <c r="R586" i="15"/>
  <c r="AN498" i="15"/>
  <c r="S540" i="15"/>
  <c r="AR595" i="15"/>
  <c r="R533" i="15"/>
  <c r="A546" i="15"/>
  <c r="AN622" i="15"/>
  <c r="AA457" i="15"/>
  <c r="G587" i="15"/>
  <c r="D554" i="15"/>
  <c r="C583" i="15"/>
  <c r="D525" i="15"/>
  <c r="S584" i="15"/>
  <c r="DU504" i="15"/>
  <c r="I563" i="15"/>
  <c r="AR460" i="15"/>
  <c r="O501" i="15"/>
  <c r="R567" i="15"/>
  <c r="W507" i="15"/>
  <c r="E452" i="15"/>
  <c r="F374" i="15"/>
  <c r="DV436" i="15"/>
  <c r="U438" i="15"/>
  <c r="N632" i="15"/>
  <c r="W606" i="15"/>
  <c r="R558" i="15"/>
  <c r="C593" i="15"/>
  <c r="A584" i="15"/>
  <c r="AA670" i="15"/>
  <c r="H539" i="15"/>
  <c r="H556" i="15"/>
  <c r="DU578" i="15"/>
  <c r="U539" i="15"/>
  <c r="DW535" i="15"/>
  <c r="E562" i="15"/>
  <c r="AK527" i="15"/>
  <c r="Z534" i="15"/>
  <c r="DX625" i="15"/>
  <c r="F526" i="15"/>
  <c r="I505" i="15"/>
  <c r="P433" i="15"/>
  <c r="AN490" i="15"/>
  <c r="U498" i="15"/>
  <c r="DV517" i="15"/>
  <c r="W455" i="15"/>
  <c r="G488" i="15"/>
  <c r="W543" i="15"/>
  <c r="AB499" i="15"/>
  <c r="V446" i="15"/>
  <c r="S370" i="15"/>
  <c r="DY432" i="15"/>
  <c r="K434" i="15"/>
  <c r="O515" i="15"/>
  <c r="T599" i="15"/>
  <c r="H551" i="15"/>
  <c r="K581" i="15"/>
  <c r="D586" i="15"/>
  <c r="DZ632" i="15"/>
  <c r="V533" i="15"/>
  <c r="B539" i="15"/>
  <c r="AB529" i="15"/>
  <c r="I520" i="15"/>
  <c r="S528" i="15"/>
  <c r="R534" i="15"/>
  <c r="AK520" i="15"/>
  <c r="AL526" i="15"/>
  <c r="O595" i="15"/>
  <c r="AE519" i="15"/>
  <c r="D499" i="15"/>
  <c r="P429" i="15"/>
  <c r="C710" i="15"/>
  <c r="AK486" i="15"/>
  <c r="X556" i="15"/>
  <c r="AN449" i="15"/>
  <c r="U476" i="15"/>
  <c r="X528" i="15"/>
  <c r="U492" i="15"/>
  <c r="I442" i="15"/>
  <c r="DV366" i="15"/>
  <c r="DX428" i="15"/>
  <c r="K430" i="15"/>
  <c r="K541" i="15"/>
  <c r="E519" i="15"/>
  <c r="AA476" i="15"/>
  <c r="AA484" i="15"/>
  <c r="P542" i="15"/>
  <c r="AL485" i="15"/>
  <c r="AC462" i="15"/>
  <c r="AC540" i="15"/>
  <c r="T518" i="15"/>
  <c r="B513" i="15"/>
  <c r="Z502" i="15"/>
  <c r="AK462" i="15"/>
  <c r="AN485" i="15"/>
  <c r="J475" i="15"/>
  <c r="AJ605" i="15"/>
  <c r="E543" i="15"/>
  <c r="T538" i="15"/>
  <c r="A514" i="15"/>
  <c r="U523" i="15"/>
  <c r="M478" i="15"/>
  <c r="H504" i="15"/>
  <c r="W506" i="15"/>
  <c r="Z519" i="15"/>
  <c r="C538" i="15"/>
  <c r="O463" i="15"/>
  <c r="W552" i="15"/>
  <c r="T521" i="15"/>
  <c r="W510" i="15"/>
  <c r="AO484" i="15"/>
  <c r="U396" i="15"/>
  <c r="S448" i="15"/>
  <c r="R448" i="15"/>
  <c r="DU648" i="15"/>
  <c r="DW490" i="15"/>
  <c r="S517" i="15"/>
  <c r="Z451" i="15"/>
  <c r="AL482" i="15"/>
  <c r="Z460" i="15"/>
  <c r="L491" i="15"/>
  <c r="AL486" i="15"/>
  <c r="Z422" i="15"/>
  <c r="DX544" i="15"/>
  <c r="W450" i="15"/>
  <c r="T534" i="15"/>
  <c r="DU441" i="15"/>
  <c r="W526" i="15"/>
  <c r="AI519" i="15"/>
  <c r="R538" i="15"/>
  <c r="DU546" i="15"/>
  <c r="AN416" i="15"/>
  <c r="AK555" i="15"/>
  <c r="F519" i="15"/>
  <c r="AK532" i="15"/>
  <c r="O546" i="15"/>
  <c r="V525" i="15"/>
  <c r="B534" i="15"/>
  <c r="I482" i="15"/>
  <c r="AK485" i="15"/>
  <c r="O553" i="15"/>
  <c r="U518" i="15"/>
  <c r="B552" i="15"/>
  <c r="T432" i="15"/>
  <c r="T617" i="15"/>
  <c r="K459" i="15"/>
  <c r="I497" i="15"/>
  <c r="C501" i="15"/>
  <c r="G446" i="15"/>
  <c r="A570" i="15"/>
  <c r="C526" i="15"/>
  <c r="G546" i="15"/>
  <c r="C513" i="15"/>
  <c r="AC541" i="15"/>
  <c r="AB523" i="15"/>
  <c r="X531" i="15"/>
  <c r="T481" i="15"/>
  <c r="D484" i="15"/>
  <c r="DX435" i="15"/>
  <c r="U368" i="15"/>
  <c r="U446" i="15"/>
  <c r="A458" i="15"/>
  <c r="AR457" i="15"/>
  <c r="K478" i="15"/>
  <c r="AJ524" i="15"/>
  <c r="AA558" i="15"/>
  <c r="D489" i="15"/>
  <c r="AH506" i="15"/>
  <c r="AN460" i="15"/>
  <c r="Q371" i="15"/>
  <c r="AR385" i="15"/>
  <c r="D418" i="15"/>
  <c r="DZ354" i="15"/>
  <c r="H379" i="15"/>
  <c r="G539" i="15"/>
  <c r="AM507" i="15"/>
  <c r="AK452" i="15"/>
  <c r="J355" i="15"/>
  <c r="L422" i="15"/>
  <c r="D528" i="15"/>
  <c r="V541" i="15"/>
  <c r="P527" i="15"/>
  <c r="U425" i="15"/>
  <c r="I495" i="15"/>
  <c r="H476" i="15"/>
  <c r="U466" i="15"/>
  <c r="F516" i="15"/>
  <c r="P514" i="15"/>
  <c r="X390" i="15"/>
  <c r="F456" i="15"/>
  <c r="U452" i="15"/>
  <c r="D546" i="15"/>
  <c r="AI586" i="15"/>
  <c r="AB463" i="15"/>
  <c r="AO359" i="15"/>
  <c r="B421" i="15"/>
  <c r="AE516" i="15"/>
  <c r="E420" i="15"/>
  <c r="AF526" i="15"/>
  <c r="F515" i="15"/>
  <c r="T404" i="15"/>
  <c r="V469" i="15"/>
  <c r="R465" i="15"/>
  <c r="V591" i="15"/>
  <c r="AN544" i="15"/>
  <c r="K606" i="15"/>
  <c r="AI576" i="15"/>
  <c r="B591" i="15"/>
  <c r="H528" i="15"/>
  <c r="Y525" i="15"/>
  <c r="M524" i="15"/>
  <c r="T560" i="15"/>
  <c r="M521" i="15"/>
  <c r="DU521" i="15"/>
  <c r="AH514" i="15"/>
  <c r="AL519" i="15"/>
  <c r="J558" i="15"/>
  <c r="AI513" i="15"/>
  <c r="AN481" i="15"/>
  <c r="AK424" i="15"/>
  <c r="H682" i="15"/>
  <c r="W471" i="15"/>
  <c r="O545" i="15"/>
  <c r="J441" i="15"/>
  <c r="O564" i="15"/>
  <c r="M491" i="15"/>
  <c r="AN486" i="15"/>
  <c r="AA437" i="15"/>
  <c r="S357" i="15"/>
  <c r="O424" i="15"/>
  <c r="AF425" i="15"/>
  <c r="Z605" i="15"/>
  <c r="AM504" i="15"/>
  <c r="X465" i="15"/>
  <c r="P478" i="15"/>
  <c r="P511" i="15"/>
  <c r="X553" i="15"/>
  <c r="C717" i="15"/>
  <c r="AN550" i="15"/>
  <c r="V504" i="15"/>
  <c r="T497" i="15"/>
  <c r="L484" i="15"/>
  <c r="O579" i="15"/>
  <c r="J595" i="15"/>
  <c r="D557" i="15"/>
  <c r="AA557" i="15"/>
  <c r="DX524" i="15"/>
  <c r="M522" i="15"/>
  <c r="R503" i="15"/>
  <c r="L509" i="15"/>
  <c r="B573" i="15"/>
  <c r="AA494" i="15"/>
  <c r="V561" i="15"/>
  <c r="X505" i="15"/>
  <c r="AR518" i="15"/>
  <c r="AC452" i="15"/>
  <c r="AK530" i="15"/>
  <c r="I509" i="15"/>
  <c r="D501" i="15"/>
  <c r="X475" i="15"/>
  <c r="DW390" i="15"/>
  <c r="DU443" i="15"/>
  <c r="AN443" i="15"/>
  <c r="O576" i="15"/>
  <c r="AL477" i="15"/>
  <c r="T504" i="15"/>
  <c r="S442" i="15"/>
  <c r="D475" i="15"/>
  <c r="X559" i="15"/>
  <c r="G483" i="15"/>
  <c r="K480" i="15"/>
  <c r="K417" i="15"/>
  <c r="O495" i="15"/>
  <c r="H568" i="15"/>
  <c r="L516" i="15"/>
  <c r="AC433" i="15"/>
  <c r="K512" i="15"/>
  <c r="Y507" i="15"/>
  <c r="L521" i="15"/>
  <c r="AG525" i="15"/>
  <c r="DZ411" i="15"/>
  <c r="AM553" i="15"/>
  <c r="S636" i="15"/>
  <c r="X516" i="15"/>
  <c r="AE524" i="15"/>
  <c r="DU510" i="15"/>
  <c r="AN518" i="15"/>
  <c r="H559" i="15"/>
  <c r="A641" i="15"/>
  <c r="U526" i="15"/>
  <c r="H617" i="15"/>
  <c r="P530" i="15"/>
  <c r="AJ423" i="15"/>
  <c r="A545" i="15"/>
  <c r="H552" i="15"/>
  <c r="AN488" i="15"/>
  <c r="B492" i="15"/>
  <c r="H441" i="15"/>
  <c r="AL551" i="15"/>
  <c r="Z539" i="15"/>
  <c r="DU524" i="15"/>
  <c r="T561" i="15"/>
  <c r="AK522" i="15"/>
  <c r="AA508" i="15"/>
  <c r="X514" i="15"/>
  <c r="P555" i="15"/>
  <c r="AC477" i="15"/>
  <c r="N431" i="15"/>
  <c r="T364" i="15"/>
  <c r="H442" i="15"/>
  <c r="E446" i="15"/>
  <c r="T452" i="15"/>
  <c r="A471" i="15"/>
  <c r="R499" i="15"/>
  <c r="AC513" i="15"/>
  <c r="W479" i="15"/>
  <c r="AB490" i="15"/>
  <c r="K441" i="15"/>
  <c r="V367" i="15"/>
  <c r="T381" i="15"/>
  <c r="C413" i="15"/>
  <c r="I477" i="15"/>
  <c r="A374" i="15"/>
  <c r="U485" i="15"/>
  <c r="W502" i="15"/>
  <c r="DV443" i="15"/>
  <c r="Q350" i="15"/>
  <c r="AK678" i="15"/>
  <c r="G495" i="15"/>
  <c r="AC546" i="15"/>
  <c r="AR486" i="15"/>
  <c r="T416" i="15"/>
  <c r="X471" i="15"/>
  <c r="X467" i="15"/>
  <c r="M460" i="15"/>
  <c r="G467" i="15"/>
  <c r="P596" i="15"/>
  <c r="U535" i="15"/>
  <c r="K525" i="15"/>
  <c r="S494" i="15"/>
  <c r="I620" i="15"/>
  <c r="R618" i="15"/>
  <c r="U469" i="15"/>
  <c r="DW514" i="15"/>
  <c r="X502" i="15"/>
  <c r="AJ439" i="15"/>
  <c r="V494" i="15"/>
  <c r="S571" i="15"/>
  <c r="Y540" i="15"/>
  <c r="H540" i="15"/>
  <c r="W462" i="15"/>
  <c r="T508" i="15"/>
  <c r="X488" i="15"/>
  <c r="V641" i="15"/>
  <c r="J554" i="15"/>
  <c r="W536" i="15"/>
  <c r="D433" i="15"/>
  <c r="T515" i="15"/>
  <c r="DZ479" i="15"/>
  <c r="AE504" i="15"/>
  <c r="DZ432" i="15"/>
  <c r="O349" i="15"/>
  <c r="G420" i="15"/>
  <c r="J607" i="15"/>
  <c r="V551" i="15"/>
  <c r="C594" i="15"/>
  <c r="AA454" i="15"/>
  <c r="C560" i="15"/>
  <c r="DU478" i="15"/>
  <c r="AK533" i="15"/>
  <c r="AG649" i="15"/>
  <c r="U533" i="15"/>
  <c r="I570" i="15"/>
  <c r="G465" i="15"/>
  <c r="B478" i="15"/>
  <c r="O541" i="15"/>
  <c r="P543" i="15"/>
  <c r="H548" i="15"/>
  <c r="AK577" i="15"/>
  <c r="N509" i="15"/>
  <c r="S629" i="15"/>
  <c r="F493" i="15"/>
  <c r="W498" i="15"/>
  <c r="DW509" i="15"/>
  <c r="AO487" i="15"/>
  <c r="AC649" i="15"/>
  <c r="J491" i="15"/>
  <c r="Y560" i="15"/>
  <c r="W426" i="15"/>
  <c r="DY513" i="15"/>
  <c r="U490" i="15"/>
  <c r="K491" i="15"/>
  <c r="B468" i="15"/>
  <c r="G370" i="15"/>
  <c r="AB439" i="15"/>
  <c r="AA439" i="15"/>
  <c r="DZ578" i="15"/>
  <c r="V464" i="15"/>
  <c r="AB516" i="15"/>
  <c r="A434" i="15"/>
  <c r="AK550" i="15"/>
  <c r="C536" i="15"/>
  <c r="AD563" i="15"/>
  <c r="C529" i="15"/>
  <c r="O412" i="15"/>
  <c r="G526" i="15"/>
  <c r="AR536" i="15"/>
  <c r="O560" i="15"/>
  <c r="AB526" i="15"/>
  <c r="A568" i="15"/>
  <c r="Y496" i="15"/>
  <c r="F509" i="15"/>
  <c r="B497" i="15"/>
  <c r="AK696" i="15"/>
  <c r="H531" i="15"/>
  <c r="I548" i="15"/>
  <c r="Z566" i="15"/>
  <c r="J510" i="15"/>
  <c r="E564" i="15"/>
  <c r="M505" i="15"/>
  <c r="S520" i="15"/>
  <c r="C567" i="15"/>
  <c r="I560" i="15"/>
  <c r="AM546" i="15"/>
  <c r="X515" i="15"/>
  <c r="F545" i="15"/>
  <c r="Z524" i="15"/>
  <c r="A533" i="15"/>
  <c r="DU481" i="15"/>
  <c r="J485" i="15"/>
  <c r="K436" i="15"/>
  <c r="AC607" i="15"/>
  <c r="J525" i="15"/>
  <c r="H510" i="15"/>
  <c r="S538" i="15"/>
  <c r="AL508" i="15"/>
  <c r="AM555" i="15"/>
  <c r="O504" i="15"/>
  <c r="AL533" i="15"/>
  <c r="U571" i="15"/>
  <c r="F426" i="15"/>
  <c r="E359" i="15"/>
  <c r="L433" i="15"/>
  <c r="AN441" i="15"/>
  <c r="J447" i="15"/>
  <c r="AN464" i="15"/>
  <c r="U486" i="15"/>
  <c r="Z493" i="15"/>
  <c r="R472" i="15"/>
  <c r="AN480" i="15"/>
  <c r="AA429" i="15"/>
  <c r="I493" i="15"/>
  <c r="I376" i="15"/>
  <c r="AC402" i="15"/>
  <c r="AM452" i="15"/>
  <c r="A370" i="15"/>
  <c r="P553" i="15"/>
  <c r="AM471" i="15"/>
  <c r="AN434" i="15"/>
  <c r="A529" i="15"/>
  <c r="R507" i="15"/>
  <c r="AC481" i="15"/>
  <c r="AL544" i="15"/>
  <c r="U529" i="15"/>
  <c r="AR397" i="15"/>
  <c r="Z463" i="15"/>
  <c r="AM459" i="15"/>
  <c r="N546" i="15"/>
  <c r="AC429" i="15"/>
  <c r="AA497" i="15"/>
  <c r="AR376" i="15"/>
  <c r="H443" i="15"/>
  <c r="V440" i="15"/>
  <c r="P472" i="15"/>
  <c r="Y492" i="15"/>
  <c r="DZ433" i="15"/>
  <c r="B520" i="15"/>
  <c r="T501" i="15"/>
  <c r="AM479" i="15"/>
  <c r="AB505" i="15"/>
  <c r="R501" i="15"/>
  <c r="I504" i="15"/>
  <c r="AN389" i="15"/>
  <c r="Z454" i="15"/>
  <c r="AL450" i="15"/>
  <c r="DU446" i="15"/>
  <c r="S522" i="15"/>
  <c r="Z550" i="15"/>
  <c r="A449" i="15"/>
  <c r="D353" i="15"/>
  <c r="AB419" i="15"/>
  <c r="AA509" i="15"/>
  <c r="J419" i="15"/>
  <c r="AK509" i="15"/>
  <c r="AN503" i="15"/>
  <c r="A422" i="15"/>
  <c r="AB488" i="15"/>
  <c r="D472" i="15"/>
  <c r="A464" i="15"/>
  <c r="AK476" i="15"/>
  <c r="AA493" i="15"/>
  <c r="M488" i="15"/>
  <c r="U462" i="15"/>
  <c r="V488" i="15"/>
  <c r="AC494" i="15"/>
  <c r="B387" i="15"/>
  <c r="AJ452" i="15"/>
  <c r="P449" i="15"/>
  <c r="R441" i="15"/>
  <c r="AB450" i="15"/>
  <c r="AA460" i="15"/>
  <c r="DX463" i="15"/>
  <c r="F450" i="15"/>
  <c r="T663" i="15"/>
  <c r="S536" i="15"/>
  <c r="Y519" i="15"/>
  <c r="W386" i="15"/>
  <c r="R459" i="15"/>
  <c r="H463" i="15"/>
  <c r="Z462" i="15"/>
  <c r="A484" i="15"/>
  <c r="W560" i="15"/>
  <c r="H430" i="15"/>
  <c r="Y494" i="15"/>
  <c r="S519" i="15"/>
  <c r="P536" i="15"/>
  <c r="AM478" i="15"/>
  <c r="F380" i="15"/>
  <c r="AE451" i="15"/>
  <c r="E455" i="15"/>
  <c r="C456" i="15"/>
  <c r="Z474" i="15"/>
  <c r="W509" i="15"/>
  <c r="S465" i="15"/>
  <c r="S452" i="15"/>
  <c r="AL438" i="15"/>
  <c r="AC473" i="15"/>
  <c r="AK466" i="15"/>
  <c r="AC414" i="15"/>
  <c r="Q439" i="15"/>
  <c r="R366" i="15"/>
  <c r="N396" i="15"/>
  <c r="C431" i="15"/>
  <c r="F363" i="15"/>
  <c r="I444" i="15"/>
  <c r="O482" i="15"/>
  <c r="AE458" i="15"/>
  <c r="G570" i="15"/>
  <c r="V497" i="15"/>
  <c r="X442" i="15"/>
  <c r="G367" i="15"/>
  <c r="X380" i="15"/>
  <c r="N508" i="15"/>
  <c r="Z546" i="15"/>
  <c r="DV467" i="15"/>
  <c r="E447" i="15"/>
  <c r="DW523" i="15"/>
  <c r="AN462" i="15"/>
  <c r="D371" i="15"/>
  <c r="C385" i="15"/>
  <c r="U416" i="15"/>
  <c r="AC353" i="15"/>
  <c r="J382" i="15"/>
  <c r="Y422" i="15"/>
  <c r="AK442" i="15"/>
  <c r="H432" i="15"/>
  <c r="DV463" i="15"/>
  <c r="D459" i="15"/>
  <c r="T408" i="15"/>
  <c r="AN424" i="15"/>
  <c r="Y534" i="15"/>
  <c r="H429" i="15"/>
  <c r="Z492" i="15"/>
  <c r="S447" i="15"/>
  <c r="C447" i="15"/>
  <c r="D397" i="15"/>
  <c r="A412" i="15"/>
  <c r="AA549" i="15"/>
  <c r="AM450" i="15"/>
  <c r="DX447" i="15"/>
  <c r="AN436" i="15"/>
  <c r="AL470" i="15"/>
  <c r="K464" i="15"/>
  <c r="AF412" i="15"/>
  <c r="B434" i="15"/>
  <c r="Z447" i="15"/>
  <c r="I434" i="15"/>
  <c r="X518" i="15"/>
  <c r="C453" i="15"/>
  <c r="AJ451" i="15"/>
  <c r="B401" i="15"/>
  <c r="DV589" i="15"/>
  <c r="B529" i="15"/>
  <c r="N640" i="15"/>
  <c r="S489" i="15"/>
  <c r="DW576" i="15"/>
  <c r="AB599" i="15"/>
  <c r="D540" i="15"/>
  <c r="M509" i="15"/>
  <c r="U495" i="15"/>
  <c r="O427" i="15"/>
  <c r="V489" i="15"/>
  <c r="AD598" i="15"/>
  <c r="K532" i="15"/>
  <c r="DW533" i="15"/>
  <c r="O457" i="15"/>
  <c r="J609" i="15"/>
  <c r="V477" i="15"/>
  <c r="AA572" i="15"/>
  <c r="AM543" i="15"/>
  <c r="AB606" i="15"/>
  <c r="D429" i="15"/>
  <c r="B506" i="15"/>
  <c r="S474" i="15"/>
  <c r="V496" i="15"/>
  <c r="Z428" i="15"/>
  <c r="T535" i="15"/>
  <c r="AB554" i="15"/>
  <c r="R650" i="15"/>
  <c r="G536" i="15"/>
  <c r="T523" i="15"/>
  <c r="AL444" i="15"/>
  <c r="L535" i="15"/>
  <c r="B596" i="15"/>
  <c r="Y518" i="15"/>
  <c r="AR600" i="15"/>
  <c r="H520" i="15"/>
  <c r="P539" i="15"/>
  <c r="J454" i="15"/>
  <c r="B558" i="15"/>
  <c r="S523" i="15"/>
  <c r="D526" i="15"/>
  <c r="AC486" i="15"/>
  <c r="F573" i="15"/>
  <c r="AM559" i="15"/>
  <c r="E526" i="15"/>
  <c r="Y547" i="15"/>
  <c r="M489" i="15"/>
  <c r="E492" i="15"/>
  <c r="C481" i="15"/>
  <c r="W563" i="15"/>
  <c r="I478" i="15"/>
  <c r="B536" i="15"/>
  <c r="AM550" i="15"/>
  <c r="DY579" i="15"/>
  <c r="Z483" i="15"/>
  <c r="N631" i="15"/>
  <c r="AK460" i="15"/>
  <c r="I366" i="15"/>
  <c r="AM434" i="15"/>
  <c r="AL434" i="15"/>
  <c r="AB583" i="15"/>
  <c r="AL462" i="15"/>
  <c r="G510" i="15"/>
  <c r="DW522" i="15"/>
  <c r="F585" i="15"/>
  <c r="AR569" i="15"/>
  <c r="I562" i="15"/>
  <c r="M504" i="15"/>
  <c r="C457" i="15"/>
  <c r="P522" i="15"/>
  <c r="O491" i="15"/>
  <c r="G489" i="15"/>
  <c r="U454" i="15"/>
  <c r="F560" i="15"/>
  <c r="AB510" i="15"/>
  <c r="AK488" i="15"/>
  <c r="AN519" i="15"/>
  <c r="AN496" i="15"/>
  <c r="Y543" i="15"/>
  <c r="AB501" i="15"/>
  <c r="AC551" i="15"/>
  <c r="AK537" i="15"/>
  <c r="C500" i="15"/>
  <c r="AC491" i="15"/>
  <c r="AA433" i="15"/>
  <c r="S473" i="15"/>
  <c r="AA491" i="15"/>
  <c r="Z521" i="15"/>
  <c r="N510" i="15"/>
  <c r="M513" i="15"/>
  <c r="W520" i="15"/>
  <c r="K484" i="15"/>
  <c r="AB645" i="15"/>
  <c r="V586" i="15"/>
  <c r="DV481" i="15"/>
  <c r="DV489" i="15"/>
  <c r="AC532" i="15"/>
  <c r="S497" i="15"/>
  <c r="D404" i="15"/>
  <c r="N493" i="15"/>
  <c r="E518" i="15"/>
  <c r="D512" i="15"/>
  <c r="AA582" i="15"/>
  <c r="A521" i="15"/>
  <c r="G517" i="15"/>
  <c r="V492" i="15"/>
  <c r="G568" i="15"/>
  <c r="O565" i="15"/>
  <c r="AI528" i="15"/>
  <c r="DX490" i="15"/>
  <c r="AB485" i="15"/>
  <c r="U583" i="15"/>
  <c r="C474" i="15"/>
  <c r="A476" i="15"/>
  <c r="G494" i="15"/>
  <c r="G361" i="15"/>
  <c r="N460" i="15"/>
  <c r="H532" i="15"/>
  <c r="D534" i="15"/>
  <c r="P512" i="15"/>
  <c r="D468" i="15"/>
  <c r="AN607" i="15"/>
  <c r="G438" i="15"/>
  <c r="Y564" i="15"/>
  <c r="Y555" i="15"/>
  <c r="AO543" i="15"/>
  <c r="B535" i="15"/>
  <c r="DW511" i="15"/>
  <c r="M422" i="15"/>
  <c r="DU514" i="15"/>
  <c r="P557" i="15"/>
  <c r="AN507" i="15"/>
  <c r="B554" i="15"/>
  <c r="N584" i="15"/>
  <c r="AH524" i="15"/>
  <c r="P551" i="15"/>
  <c r="AB440" i="15"/>
  <c r="C517" i="15"/>
  <c r="AM517" i="15"/>
  <c r="T544" i="15"/>
  <c r="O405" i="15"/>
  <c r="AA551" i="15"/>
  <c r="AM548" i="15"/>
  <c r="O470" i="15"/>
  <c r="AG599" i="15"/>
  <c r="R488" i="15"/>
  <c r="O538" i="15"/>
  <c r="AM445" i="15"/>
  <c r="I539" i="15"/>
  <c r="B503" i="15"/>
  <c r="F476" i="15"/>
  <c r="X453" i="15"/>
  <c r="W453" i="15"/>
  <c r="X533" i="15"/>
  <c r="O467" i="15"/>
  <c r="C396" i="15"/>
  <c r="O396" i="15"/>
  <c r="I393" i="15"/>
  <c r="K409" i="15"/>
  <c r="E593" i="15"/>
  <c r="B488" i="15"/>
  <c r="Y391" i="15"/>
  <c r="Z433" i="15"/>
  <c r="F467" i="15"/>
  <c r="H517" i="15"/>
  <c r="V443" i="15"/>
  <c r="R449" i="15"/>
  <c r="DX429" i="15"/>
  <c r="I544" i="15"/>
  <c r="AR565" i="15"/>
  <c r="O360" i="15"/>
  <c r="R504" i="15"/>
  <c r="R653" i="15"/>
  <c r="DW504" i="15"/>
  <c r="P424" i="15"/>
  <c r="D470" i="15"/>
  <c r="K451" i="15"/>
  <c r="T438" i="15"/>
  <c r="P525" i="15"/>
  <c r="AL535" i="15"/>
  <c r="AL370" i="15"/>
  <c r="W420" i="15"/>
  <c r="H479" i="15"/>
  <c r="Y488" i="15"/>
  <c r="K575" i="15"/>
  <c r="W482" i="15"/>
  <c r="Z358" i="15"/>
  <c r="J531" i="15"/>
  <c r="AJ478" i="15"/>
  <c r="Z487" i="15"/>
  <c r="T447" i="15"/>
  <c r="W483" i="15"/>
  <c r="R369" i="15"/>
  <c r="DZ430" i="15"/>
  <c r="DZ576" i="15"/>
  <c r="AL418" i="15"/>
  <c r="S622" i="15"/>
  <c r="B504" i="15"/>
  <c r="O456" i="15"/>
  <c r="AB537" i="15"/>
  <c r="AN582" i="15"/>
  <c r="AL357" i="15"/>
  <c r="U418" i="15"/>
  <c r="AB487" i="15"/>
  <c r="A498" i="15"/>
  <c r="D514" i="15"/>
  <c r="O487" i="15"/>
  <c r="A462" i="15"/>
  <c r="AA526" i="15"/>
  <c r="D558" i="15"/>
  <c r="J563" i="15"/>
  <c r="AL368" i="15"/>
  <c r="E435" i="15"/>
  <c r="K432" i="15"/>
  <c r="J432" i="15"/>
  <c r="AG440" i="15"/>
  <c r="DW447" i="15"/>
  <c r="X445" i="15"/>
  <c r="W612" i="15"/>
  <c r="AJ520" i="15"/>
  <c r="DX522" i="15"/>
  <c r="I368" i="15"/>
  <c r="Z434" i="15"/>
  <c r="DX431" i="15"/>
  <c r="DW431" i="15"/>
  <c r="T440" i="15"/>
  <c r="J669" i="15"/>
  <c r="AN543" i="15"/>
  <c r="DW519" i="15"/>
  <c r="O379" i="15"/>
  <c r="R659" i="15"/>
  <c r="AL530" i="15"/>
  <c r="DX492" i="15"/>
  <c r="AC511" i="15"/>
  <c r="AN522" i="15"/>
  <c r="R646" i="15"/>
  <c r="DX511" i="15"/>
  <c r="R657" i="15"/>
  <c r="T519" i="15"/>
  <c r="O512" i="15"/>
  <c r="I484" i="15"/>
  <c r="O476" i="15"/>
  <c r="V507" i="15"/>
  <c r="DU530" i="15"/>
  <c r="AL561" i="15"/>
  <c r="O474" i="15"/>
  <c r="AL355" i="15"/>
  <c r="G454" i="15"/>
  <c r="U545" i="15"/>
  <c r="W561" i="15"/>
  <c r="AA667" i="15"/>
  <c r="Y520" i="15"/>
  <c r="L529" i="15"/>
  <c r="X406" i="15"/>
  <c r="L504" i="15"/>
  <c r="O533" i="15"/>
  <c r="AK508" i="15"/>
  <c r="AB489" i="15"/>
  <c r="DV492" i="15"/>
  <c r="AB643" i="15"/>
  <c r="AA487" i="15"/>
  <c r="AC539" i="15"/>
  <c r="O489" i="15"/>
  <c r="L489" i="15"/>
  <c r="H524" i="15"/>
  <c r="AN542" i="15"/>
  <c r="X513" i="15"/>
  <c r="AL523" i="15"/>
  <c r="C487" i="15"/>
  <c r="T506" i="15"/>
  <c r="D520" i="15"/>
  <c r="X399" i="15"/>
  <c r="AB552" i="15"/>
  <c r="E530" i="15"/>
  <c r="O459" i="15"/>
  <c r="X541" i="15"/>
  <c r="F481" i="15"/>
  <c r="H522" i="15"/>
  <c r="AK440" i="15"/>
  <c r="C503" i="15"/>
  <c r="AC487" i="15"/>
  <c r="R469" i="15"/>
  <c r="O448" i="15"/>
  <c r="K448" i="15"/>
  <c r="DU503" i="15"/>
  <c r="O461" i="15"/>
  <c r="AK390" i="15"/>
  <c r="C391" i="15"/>
  <c r="F388" i="15"/>
  <c r="Z403" i="15"/>
  <c r="G551" i="15"/>
  <c r="T530" i="15"/>
  <c r="F378" i="15"/>
  <c r="AL427" i="15"/>
  <c r="T569" i="15"/>
  <c r="DZ478" i="15"/>
  <c r="AA434" i="15"/>
  <c r="U443" i="15"/>
  <c r="K424" i="15"/>
  <c r="E525" i="15"/>
  <c r="A492" i="15"/>
  <c r="AH354" i="15"/>
  <c r="Y485" i="15"/>
  <c r="W573" i="15"/>
  <c r="H554" i="15"/>
  <c r="AN414" i="15"/>
  <c r="AB462" i="15"/>
  <c r="DZ444" i="15"/>
  <c r="W429" i="15"/>
  <c r="AN510" i="15"/>
  <c r="DZ489" i="15"/>
  <c r="U359" i="15"/>
  <c r="K538" i="15"/>
  <c r="U471" i="15"/>
  <c r="B601" i="15"/>
  <c r="E495" i="15"/>
  <c r="S459" i="15"/>
  <c r="B348" i="15"/>
  <c r="H498" i="15"/>
  <c r="B471" i="15"/>
  <c r="X477" i="15"/>
  <c r="T540" i="15"/>
  <c r="F542" i="15"/>
  <c r="AF364" i="15"/>
  <c r="C425" i="15"/>
  <c r="O507" i="15"/>
  <c r="B501" i="15"/>
  <c r="AA516" i="15"/>
  <c r="AD478" i="15"/>
  <c r="U550" i="15"/>
  <c r="D560" i="15"/>
  <c r="E457" i="15"/>
  <c r="J352" i="15"/>
  <c r="DY524" i="15"/>
  <c r="Z477" i="15"/>
  <c r="AB484" i="15"/>
  <c r="AL492" i="15"/>
  <c r="G478" i="15"/>
  <c r="AM455" i="15"/>
  <c r="E547" i="15"/>
  <c r="E493" i="15"/>
  <c r="AN478" i="15"/>
  <c r="Y363" i="15"/>
  <c r="DY429" i="15"/>
  <c r="AN426" i="15"/>
  <c r="AC427" i="15"/>
  <c r="G436" i="15"/>
  <c r="Q443" i="15"/>
  <c r="O441" i="15"/>
  <c r="AN588" i="15"/>
  <c r="V486" i="15"/>
  <c r="T473" i="15"/>
  <c r="I363" i="15"/>
  <c r="Y429" i="15"/>
  <c r="U426" i="15"/>
  <c r="K427" i="15"/>
  <c r="S435" i="15"/>
  <c r="F484" i="15"/>
  <c r="G484" i="15"/>
  <c r="AL557" i="15"/>
  <c r="W504" i="15"/>
  <c r="Z545" i="15"/>
  <c r="DZ513" i="15"/>
  <c r="AJ610" i="15"/>
  <c r="A541" i="15"/>
  <c r="AN642" i="15"/>
  <c r="R526" i="15"/>
  <c r="R502" i="15"/>
  <c r="DZ581" i="15"/>
  <c r="DV505" i="15"/>
  <c r="AL483" i="15"/>
  <c r="O485" i="15"/>
  <c r="AF586" i="15"/>
  <c r="T532" i="15"/>
  <c r="P513" i="15"/>
  <c r="O537" i="15"/>
  <c r="S553" i="15"/>
  <c r="AB351" i="15"/>
  <c r="X430" i="15"/>
  <c r="AN530" i="15"/>
  <c r="F537" i="15"/>
  <c r="C545" i="15"/>
  <c r="V508" i="15"/>
  <c r="AM512" i="15"/>
  <c r="X400" i="15"/>
  <c r="T488" i="15"/>
  <c r="AD541" i="15"/>
  <c r="B498" i="15"/>
  <c r="AB482" i="15"/>
  <c r="K486" i="15"/>
  <c r="L581" i="15"/>
  <c r="AB475" i="15"/>
  <c r="L522" i="15"/>
  <c r="DU480" i="15"/>
  <c r="J482" i="15"/>
  <c r="J511" i="15"/>
  <c r="G527" i="15"/>
  <c r="AR593" i="15"/>
  <c r="S509" i="15"/>
  <c r="P480" i="15"/>
  <c r="I557" i="15"/>
  <c r="E494" i="15"/>
  <c r="A395" i="15"/>
  <c r="L514" i="15"/>
  <c r="G513" i="15"/>
  <c r="X448" i="15"/>
  <c r="C533" i="15"/>
  <c r="A474" i="15"/>
  <c r="DU509" i="15"/>
  <c r="O421" i="15"/>
  <c r="AL487" i="15"/>
  <c r="O478" i="15"/>
  <c r="F443" i="15"/>
  <c r="E444" i="15"/>
  <c r="B440" i="15"/>
  <c r="O466" i="15"/>
  <c r="X450" i="15"/>
  <c r="U385" i="15"/>
  <c r="AH367" i="15"/>
  <c r="L383" i="15"/>
  <c r="W398" i="15"/>
  <c r="DZ541" i="15"/>
  <c r="A488" i="15"/>
  <c r="DZ371" i="15"/>
  <c r="AA488" i="15"/>
  <c r="B592" i="15"/>
  <c r="D507" i="15"/>
  <c r="I391" i="15"/>
  <c r="W438" i="15"/>
  <c r="A522" i="15"/>
  <c r="DX504" i="15"/>
  <c r="W464" i="15"/>
  <c r="DV522" i="15"/>
  <c r="U475" i="15"/>
  <c r="AR524" i="15"/>
  <c r="AL513" i="15"/>
  <c r="AB405" i="15"/>
  <c r="Y455" i="15"/>
  <c r="E440" i="15"/>
  <c r="AA424" i="15"/>
  <c r="AM456" i="15"/>
  <c r="G561" i="15"/>
  <c r="AN353" i="15"/>
  <c r="Y499" i="15"/>
  <c r="DW464" i="15"/>
  <c r="X596" i="15"/>
  <c r="K562" i="15"/>
  <c r="AR439" i="15"/>
  <c r="W512" i="15"/>
  <c r="O483" i="15"/>
  <c r="P464" i="15"/>
  <c r="A551" i="15"/>
  <c r="O562" i="15"/>
  <c r="DW479" i="15"/>
  <c r="J358" i="15"/>
  <c r="O419" i="15"/>
  <c r="Z488" i="15"/>
  <c r="W485" i="15"/>
  <c r="H482" i="15"/>
  <c r="AM470" i="15"/>
  <c r="DX673" i="15"/>
  <c r="T494" i="15"/>
  <c r="DY446" i="15"/>
  <c r="E563" i="15"/>
  <c r="H495" i="15"/>
  <c r="AR469" i="15"/>
  <c r="E476" i="15"/>
  <c r="J473" i="15"/>
  <c r="K470" i="15"/>
  <c r="AB444" i="15"/>
  <c r="E522" i="15"/>
  <c r="W537" i="15"/>
  <c r="Y456" i="15"/>
  <c r="C357" i="15"/>
  <c r="AN423" i="15"/>
  <c r="AK546" i="15"/>
  <c r="AI422" i="15"/>
  <c r="W431" i="15"/>
  <c r="J439" i="15"/>
  <c r="S518" i="15"/>
  <c r="AK558" i="15"/>
  <c r="AA521" i="15"/>
  <c r="G456" i="15"/>
  <c r="X356" i="15"/>
  <c r="S566" i="15"/>
  <c r="AK539" i="15"/>
  <c r="X466" i="15"/>
  <c r="C551" i="15"/>
  <c r="D527" i="15"/>
  <c r="AM525" i="15"/>
  <c r="B510" i="15"/>
  <c r="J462" i="15"/>
  <c r="X520" i="15"/>
  <c r="P462" i="15"/>
  <c r="H639" i="15"/>
  <c r="AM600" i="15"/>
  <c r="AN477" i="15"/>
  <c r="AA417" i="15"/>
  <c r="S425" i="15"/>
  <c r="U551" i="15"/>
  <c r="O499" i="15"/>
  <c r="G499" i="15"/>
  <c r="AR614" i="15"/>
  <c r="AG506" i="15"/>
  <c r="Z511" i="15"/>
  <c r="R476" i="15"/>
  <c r="A460" i="15"/>
  <c r="AL563" i="15"/>
  <c r="AL506" i="15"/>
  <c r="DY505" i="15"/>
  <c r="AN506" i="15"/>
  <c r="AA514" i="15"/>
  <c r="D539" i="15"/>
  <c r="P509" i="15"/>
  <c r="DU534" i="15"/>
  <c r="AR458" i="15"/>
  <c r="Y529" i="15"/>
  <c r="W589" i="15"/>
  <c r="Z568" i="15"/>
  <c r="V458" i="15"/>
  <c r="Z499" i="15"/>
  <c r="F394" i="15"/>
  <c r="U423" i="15"/>
  <c r="M439" i="15"/>
  <c r="DZ422" i="15"/>
  <c r="P457" i="15"/>
  <c r="V445" i="15"/>
  <c r="P430" i="15"/>
  <c r="AG434" i="15"/>
  <c r="E394" i="15"/>
  <c r="AR516" i="15"/>
  <c r="F418" i="15"/>
  <c r="B477" i="15"/>
  <c r="U482" i="15"/>
  <c r="W495" i="15"/>
  <c r="Z432" i="15"/>
  <c r="K576" i="15"/>
  <c r="V528" i="15"/>
  <c r="B494" i="15"/>
  <c r="D435" i="15"/>
  <c r="H458" i="15"/>
  <c r="F397" i="15"/>
  <c r="DY431" i="15"/>
  <c r="G453" i="15"/>
  <c r="AC580" i="15"/>
  <c r="DZ431" i="15"/>
  <c r="U442" i="15"/>
  <c r="AH458" i="15"/>
  <c r="W522" i="15"/>
  <c r="AC503" i="15"/>
  <c r="M490" i="15"/>
  <c r="T444" i="15"/>
  <c r="AL423" i="15"/>
  <c r="D495" i="15"/>
  <c r="AA430" i="15"/>
  <c r="DX446" i="15"/>
  <c r="U470" i="15"/>
  <c r="H451" i="15"/>
  <c r="DZ434" i="15"/>
  <c r="W553" i="15"/>
  <c r="J503" i="15"/>
  <c r="O381" i="15"/>
  <c r="T480" i="15"/>
  <c r="AR436" i="15"/>
  <c r="J427" i="15"/>
  <c r="AL457" i="15"/>
  <c r="AC426" i="15"/>
  <c r="A552" i="15"/>
  <c r="C445" i="15"/>
  <c r="Z485" i="15"/>
  <c r="AM448" i="15"/>
  <c r="C418" i="15"/>
  <c r="AM491" i="15"/>
  <c r="T463" i="15"/>
  <c r="C498" i="15"/>
  <c r="K494" i="15"/>
  <c r="AN392" i="15"/>
  <c r="D423" i="15"/>
  <c r="X485" i="15"/>
  <c r="D483" i="15"/>
  <c r="T472" i="15"/>
  <c r="DX467" i="15"/>
  <c r="AN541" i="15"/>
  <c r="V462" i="15"/>
  <c r="R428" i="15"/>
  <c r="AB466" i="15"/>
  <c r="AI367" i="15"/>
  <c r="P375" i="15"/>
  <c r="AN400" i="15"/>
  <c r="D422" i="15"/>
  <c r="S352" i="15"/>
  <c r="DY464" i="15"/>
  <c r="R443" i="15"/>
  <c r="S545" i="15"/>
  <c r="AA448" i="15"/>
  <c r="Z443" i="15"/>
  <c r="K387" i="15"/>
  <c r="C397" i="15"/>
  <c r="DX519" i="15"/>
  <c r="AE425" i="15"/>
  <c r="O458" i="15"/>
  <c r="C505" i="15"/>
  <c r="AF472" i="15"/>
  <c r="B414" i="15"/>
  <c r="AA425" i="15"/>
  <c r="AJ354" i="15"/>
  <c r="I379" i="15"/>
  <c r="I403" i="15"/>
  <c r="DZ384" i="15"/>
  <c r="AF458" i="15"/>
  <c r="V437" i="15"/>
  <c r="AK503" i="15"/>
  <c r="O549" i="15"/>
  <c r="B445" i="15"/>
  <c r="O530" i="15"/>
  <c r="AR512" i="15"/>
  <c r="AL560" i="15"/>
  <c r="A477" i="15"/>
  <c r="V574" i="15"/>
  <c r="AA566" i="15"/>
  <c r="X538" i="15"/>
  <c r="AN576" i="15"/>
  <c r="Z525" i="15"/>
  <c r="AB566" i="15"/>
  <c r="AB412" i="15"/>
  <c r="DY541" i="15"/>
  <c r="A516" i="15"/>
  <c r="H490" i="15"/>
  <c r="AB539" i="15"/>
  <c r="T645" i="15"/>
  <c r="D584" i="15"/>
  <c r="H499" i="15"/>
  <c r="T482" i="15"/>
  <c r="X498" i="15"/>
  <c r="N506" i="15"/>
  <c r="U537" i="15"/>
  <c r="B470" i="15"/>
  <c r="DW648" i="15"/>
  <c r="H511" i="15"/>
  <c r="A510" i="15"/>
  <c r="X603" i="15"/>
  <c r="AK510" i="15"/>
  <c r="M541" i="15"/>
  <c r="T407" i="15"/>
  <c r="X637" i="15"/>
  <c r="X500" i="15"/>
  <c r="AM529" i="15"/>
  <c r="F499" i="15"/>
  <c r="A487" i="15"/>
  <c r="AK650" i="15"/>
  <c r="U587" i="15"/>
  <c r="S498" i="15"/>
  <c r="M447" i="15"/>
  <c r="R524" i="15"/>
  <c r="W424" i="15"/>
  <c r="T442" i="15"/>
  <c r="AB436" i="15"/>
  <c r="B559" i="15"/>
  <c r="AB576" i="15"/>
  <c r="H501" i="15"/>
  <c r="A507" i="15"/>
  <c r="AA485" i="15"/>
  <c r="U500" i="15"/>
  <c r="AB534" i="15"/>
  <c r="K495" i="15"/>
  <c r="G528" i="15"/>
  <c r="AC489" i="15"/>
  <c r="Y600" i="15"/>
  <c r="P503" i="15"/>
  <c r="AN554" i="15"/>
  <c r="T548" i="15"/>
  <c r="F492" i="15"/>
  <c r="D535" i="15"/>
  <c r="M444" i="15"/>
  <c r="I572" i="15"/>
  <c r="DZ582" i="15"/>
  <c r="D502" i="15"/>
  <c r="K563" i="15"/>
  <c r="R490" i="15"/>
  <c r="G564" i="15"/>
  <c r="T470" i="15"/>
  <c r="AR585" i="15"/>
  <c r="A504" i="15"/>
  <c r="X532" i="15"/>
  <c r="I480" i="15"/>
  <c r="E556" i="15"/>
  <c r="DV484" i="15"/>
  <c r="AF516" i="15"/>
  <c r="V542" i="15"/>
  <c r="O532" i="15"/>
  <c r="AG425" i="15"/>
  <c r="I517" i="15"/>
  <c r="AK482" i="15"/>
  <c r="J497" i="15"/>
  <c r="Z467" i="15"/>
  <c r="Z531" i="15"/>
  <c r="R482" i="15"/>
  <c r="A495" i="15"/>
  <c r="L593" i="15"/>
  <c r="Z613" i="15"/>
  <c r="I552" i="15"/>
  <c r="AC522" i="15"/>
  <c r="AK518" i="15"/>
  <c r="W611" i="15"/>
  <c r="DY624" i="15"/>
  <c r="E507" i="15"/>
  <c r="V481" i="15"/>
  <c r="Y478" i="15"/>
  <c r="O574" i="15"/>
  <c r="C557" i="15"/>
  <c r="Z480" i="15"/>
  <c r="U493" i="15"/>
  <c r="AL516" i="15"/>
  <c r="AF451" i="15"/>
  <c r="E464" i="15"/>
  <c r="T423" i="15"/>
  <c r="I459" i="15"/>
  <c r="B483" i="15"/>
  <c r="AO432" i="15"/>
  <c r="D400" i="15"/>
  <c r="P353" i="15"/>
  <c r="AA436" i="15"/>
  <c r="U626" i="15"/>
  <c r="K476" i="15"/>
  <c r="U464" i="15"/>
  <c r="P473" i="15"/>
  <c r="C515" i="15"/>
  <c r="DX354" i="15"/>
  <c r="U435" i="15"/>
  <c r="R505" i="15"/>
  <c r="R397" i="15"/>
  <c r="AM547" i="15"/>
  <c r="AI525" i="15"/>
  <c r="I491" i="15"/>
  <c r="O479" i="15"/>
  <c r="D491" i="15"/>
  <c r="W545" i="15"/>
  <c r="AC480" i="15"/>
  <c r="G491" i="15"/>
  <c r="DW428" i="15"/>
  <c r="E504" i="15"/>
  <c r="F512" i="15"/>
  <c r="AK387" i="15"/>
  <c r="T425" i="15"/>
  <c r="E442" i="15"/>
  <c r="S515" i="15"/>
  <c r="J521" i="15"/>
  <c r="K510" i="15"/>
  <c r="G444" i="15"/>
  <c r="S423" i="15"/>
  <c r="A461" i="15"/>
  <c r="W497" i="15"/>
  <c r="R446" i="15"/>
  <c r="C421" i="15"/>
  <c r="F446" i="15"/>
  <c r="G504" i="15"/>
  <c r="L445" i="15"/>
  <c r="AH434" i="15"/>
  <c r="I468" i="15"/>
  <c r="K513" i="15"/>
  <c r="S502" i="15"/>
  <c r="O373" i="15"/>
  <c r="DZ493" i="15"/>
  <c r="AC450" i="15"/>
  <c r="DX444" i="15"/>
  <c r="AL500" i="15"/>
  <c r="G449" i="15"/>
  <c r="X439" i="15"/>
  <c r="Z429" i="15"/>
  <c r="D466" i="15"/>
  <c r="AI584" i="15"/>
  <c r="Z551" i="15"/>
  <c r="E538" i="15"/>
  <c r="L463" i="15"/>
  <c r="DV578" i="15"/>
  <c r="X493" i="15"/>
  <c r="AM505" i="15"/>
  <c r="D467" i="15"/>
  <c r="AD514" i="15"/>
  <c r="AK474" i="15"/>
  <c r="G501" i="15"/>
  <c r="AL507" i="15"/>
  <c r="G500" i="15"/>
  <c r="N421" i="15"/>
  <c r="AA504" i="15"/>
  <c r="X425" i="15"/>
  <c r="AN476" i="15"/>
  <c r="AC453" i="15"/>
  <c r="W476" i="15"/>
  <c r="V472" i="15"/>
  <c r="G481" i="15"/>
  <c r="DU479" i="15"/>
  <c r="A624" i="15"/>
  <c r="AK554" i="15"/>
  <c r="S659" i="15"/>
  <c r="DV506" i="15"/>
  <c r="AA643" i="15"/>
  <c r="DZ529" i="15"/>
  <c r="H496" i="15"/>
  <c r="S475" i="15"/>
  <c r="AR481" i="15"/>
  <c r="DU581" i="15"/>
  <c r="G534" i="15"/>
  <c r="G432" i="15"/>
  <c r="T486" i="15"/>
  <c r="AN505" i="15"/>
  <c r="AC410" i="15"/>
  <c r="B458" i="15"/>
  <c r="AN524" i="15"/>
  <c r="C440" i="15"/>
  <c r="H475" i="15"/>
  <c r="AL428" i="15"/>
  <c r="D381" i="15"/>
  <c r="P533" i="15"/>
  <c r="H426" i="15"/>
  <c r="F548" i="15"/>
  <c r="L510" i="15"/>
  <c r="R450" i="15"/>
  <c r="AB584" i="15"/>
  <c r="H557" i="15"/>
  <c r="AB349" i="15"/>
  <c r="DW493" i="15"/>
  <c r="J501" i="15"/>
  <c r="P383" i="15"/>
  <c r="H467" i="15"/>
  <c r="K527" i="15"/>
  <c r="U563" i="15"/>
  <c r="A448" i="15"/>
  <c r="C472" i="15"/>
  <c r="AC524" i="15"/>
  <c r="W489" i="15"/>
  <c r="AL478" i="15"/>
  <c r="AJ422" i="15"/>
  <c r="N524" i="15"/>
  <c r="I479" i="15"/>
  <c r="F382" i="15"/>
  <c r="X472" i="15"/>
  <c r="X437" i="15"/>
  <c r="AM511" i="15"/>
  <c r="W457" i="15"/>
  <c r="T468" i="15"/>
  <c r="A439" i="15"/>
  <c r="P469" i="15"/>
  <c r="B455" i="15"/>
  <c r="R484" i="15"/>
  <c r="Z529" i="15"/>
  <c r="AR412" i="15"/>
  <c r="V435" i="15"/>
  <c r="G463" i="15"/>
  <c r="D441" i="15"/>
  <c r="U430" i="15"/>
  <c r="P440" i="15"/>
  <c r="AF506" i="15"/>
  <c r="S548" i="15"/>
  <c r="AN351" i="15"/>
  <c r="AN479" i="15"/>
  <c r="N445" i="15"/>
  <c r="AL426" i="15"/>
  <c r="J486" i="15"/>
  <c r="O444" i="15"/>
  <c r="K515" i="15"/>
  <c r="AC419" i="15"/>
  <c r="AM458" i="15"/>
  <c r="I535" i="15"/>
  <c r="T478" i="15"/>
  <c r="AN578" i="15"/>
  <c r="AG585" i="15"/>
  <c r="A509" i="15"/>
  <c r="X552" i="15"/>
  <c r="P495" i="15"/>
  <c r="Z533" i="15"/>
  <c r="D614" i="15"/>
  <c r="I555" i="15"/>
  <c r="B562" i="15"/>
  <c r="AN497" i="15"/>
  <c r="I443" i="15"/>
  <c r="N514" i="15"/>
  <c r="A451" i="15"/>
  <c r="K549" i="15"/>
  <c r="J537" i="15"/>
  <c r="AB447" i="15"/>
  <c r="I464" i="15"/>
  <c r="Y461" i="15"/>
  <c r="U474" i="15"/>
  <c r="V605" i="15"/>
  <c r="S647" i="15"/>
  <c r="U530" i="15"/>
  <c r="W547" i="15"/>
  <c r="AK497" i="15"/>
  <c r="DU533" i="15"/>
  <c r="V514" i="15"/>
  <c r="DZ488" i="15"/>
  <c r="AC553" i="15"/>
  <c r="Z472" i="15"/>
  <c r="AL589" i="15"/>
  <c r="B516" i="15"/>
  <c r="R423" i="15"/>
  <c r="O472" i="15"/>
  <c r="A496" i="15"/>
  <c r="AN404" i="15"/>
  <c r="D452" i="15"/>
  <c r="G498" i="15"/>
  <c r="AN435" i="15"/>
  <c r="AK468" i="15"/>
  <c r="Z540" i="15"/>
  <c r="AL375" i="15"/>
  <c r="J472" i="15"/>
  <c r="H419" i="15"/>
  <c r="W546" i="15"/>
  <c r="E470" i="15"/>
  <c r="H444" i="15"/>
  <c r="R652" i="15"/>
  <c r="O498" i="15"/>
  <c r="AE525" i="15"/>
  <c r="AL472" i="15"/>
  <c r="AR470" i="15"/>
  <c r="O371" i="15"/>
  <c r="P459" i="15"/>
  <c r="V512" i="15"/>
  <c r="H491" i="15"/>
  <c r="DU442" i="15"/>
  <c r="P465" i="15"/>
  <c r="I529" i="15"/>
  <c r="AC573" i="15"/>
  <c r="AC492" i="15"/>
  <c r="H526" i="15"/>
  <c r="I542" i="15"/>
  <c r="W484" i="15"/>
  <c r="U554" i="15"/>
  <c r="T574" i="15"/>
  <c r="U553" i="15"/>
  <c r="I451" i="15"/>
  <c r="R498" i="15"/>
  <c r="AO565" i="15"/>
  <c r="AA580" i="15"/>
  <c r="Z501" i="15"/>
  <c r="S511" i="15"/>
  <c r="V473" i="15"/>
  <c r="T510" i="15"/>
  <c r="W499" i="15"/>
  <c r="F491" i="15"/>
  <c r="V531" i="15"/>
  <c r="W458" i="15"/>
  <c r="V470" i="15"/>
  <c r="X486" i="15"/>
  <c r="W460" i="15"/>
  <c r="Y405" i="15"/>
  <c r="P378" i="15"/>
  <c r="AC447" i="15"/>
  <c r="U367" i="15"/>
  <c r="AB424" i="15"/>
  <c r="AB383" i="15"/>
  <c r="AI440" i="15"/>
  <c r="AN450" i="15"/>
  <c r="A427" i="15"/>
  <c r="AK480" i="15"/>
  <c r="DZ491" i="15"/>
  <c r="DV541" i="15"/>
  <c r="Z479" i="15"/>
  <c r="AA431" i="15"/>
  <c r="I429" i="15"/>
  <c r="AA463" i="15"/>
  <c r="AB477" i="15"/>
  <c r="G629" i="15"/>
  <c r="V459" i="15"/>
  <c r="O413" i="15"/>
  <c r="AB496" i="15"/>
  <c r="W428" i="15"/>
  <c r="DU430" i="15"/>
  <c r="B507" i="15"/>
  <c r="M430" i="15"/>
  <c r="V471" i="15"/>
  <c r="S418" i="15"/>
  <c r="W439" i="15"/>
  <c r="B521" i="15"/>
  <c r="Y484" i="15"/>
  <c r="AR380" i="15"/>
  <c r="G443" i="15"/>
  <c r="O468" i="15"/>
  <c r="J530" i="15"/>
  <c r="DX445" i="15"/>
  <c r="AL488" i="15"/>
  <c r="AC474" i="15"/>
  <c r="D538" i="15"/>
  <c r="F495" i="15"/>
  <c r="P599" i="15"/>
  <c r="Z439" i="15"/>
  <c r="AL468" i="15"/>
  <c r="DZ508" i="15"/>
  <c r="U460" i="15"/>
  <c r="I398" i="15"/>
  <c r="P402" i="15"/>
  <c r="Z425" i="15"/>
  <c r="O520" i="15"/>
  <c r="DV367" i="15"/>
  <c r="Z355" i="15"/>
  <c r="W437" i="15"/>
  <c r="X481" i="15"/>
  <c r="F433" i="15"/>
  <c r="Y464" i="15"/>
  <c r="F457" i="15"/>
  <c r="U360" i="15"/>
  <c r="W461" i="15"/>
  <c r="P423" i="15"/>
  <c r="S461" i="15"/>
  <c r="X494" i="15"/>
  <c r="B420" i="15"/>
  <c r="G418" i="15"/>
  <c r="J477" i="15"/>
  <c r="V364" i="15"/>
  <c r="X376" i="15"/>
  <c r="V461" i="15"/>
  <c r="G490" i="15"/>
  <c r="J445" i="15"/>
  <c r="V493" i="15"/>
  <c r="F427" i="15"/>
  <c r="O453" i="15"/>
  <c r="Y454" i="15"/>
  <c r="K421" i="15"/>
  <c r="J468" i="15"/>
  <c r="AN431" i="15"/>
  <c r="D486" i="15"/>
  <c r="Q370" i="15"/>
  <c r="J379" i="15"/>
  <c r="R493" i="15"/>
  <c r="AL511" i="15"/>
  <c r="AR456" i="15"/>
  <c r="A499" i="15"/>
  <c r="K471" i="15"/>
  <c r="V407" i="15"/>
  <c r="S554" i="15"/>
  <c r="F444" i="15"/>
  <c r="W487" i="15"/>
  <c r="Z450" i="15"/>
  <c r="D511" i="15"/>
  <c r="DZ435" i="15"/>
  <c r="AA472" i="15"/>
  <c r="AR372" i="15"/>
  <c r="H404" i="15"/>
  <c r="AA456" i="15"/>
  <c r="N370" i="15"/>
  <c r="AA399" i="15"/>
  <c r="U444" i="15"/>
  <c r="H447" i="15"/>
  <c r="F436" i="15"/>
  <c r="AC469" i="15"/>
  <c r="DW367" i="15"/>
  <c r="O464" i="15"/>
  <c r="AK446" i="15"/>
  <c r="W491" i="15"/>
  <c r="E478" i="15"/>
  <c r="AA423" i="15"/>
  <c r="W468" i="15"/>
  <c r="T496" i="15"/>
  <c r="F454" i="15"/>
  <c r="I419" i="15"/>
  <c r="AM451" i="15"/>
  <c r="AC510" i="15"/>
  <c r="Z510" i="15"/>
  <c r="K511" i="15"/>
  <c r="Y566" i="15"/>
  <c r="AL645" i="15"/>
  <c r="U541" i="15"/>
  <c r="Z575" i="15"/>
  <c r="AA500" i="15"/>
  <c r="S490" i="15"/>
  <c r="J536" i="15"/>
  <c r="E536" i="15"/>
  <c r="T492" i="15"/>
  <c r="AA564" i="15"/>
  <c r="AC465" i="15"/>
  <c r="T465" i="15"/>
  <c r="AR485" i="15"/>
  <c r="AK496" i="15"/>
  <c r="DW516" i="15"/>
  <c r="L399" i="15"/>
  <c r="B464" i="15"/>
  <c r="DV431" i="15"/>
  <c r="AR454" i="15"/>
  <c r="AD462" i="15"/>
  <c r="F373" i="15"/>
  <c r="S529" i="15"/>
  <c r="W361" i="15"/>
  <c r="Y537" i="15"/>
  <c r="O377" i="15"/>
  <c r="E591" i="15"/>
  <c r="DV441" i="15"/>
  <c r="O445" i="15"/>
  <c r="H516" i="15"/>
  <c r="I437" i="15"/>
  <c r="P489" i="15"/>
  <c r="S449" i="15"/>
  <c r="E426" i="15"/>
  <c r="J424" i="15"/>
  <c r="U514" i="15"/>
  <c r="A469" i="15"/>
  <c r="R489" i="15"/>
  <c r="W629" i="15"/>
  <c r="AC395" i="15"/>
  <c r="T464" i="15"/>
  <c r="F463" i="15"/>
  <c r="A537" i="15"/>
  <c r="N511" i="15"/>
  <c r="AB402" i="15"/>
  <c r="Y463" i="15"/>
  <c r="B528" i="15"/>
  <c r="AC533" i="15"/>
  <c r="AN495" i="15"/>
  <c r="C596" i="15"/>
  <c r="AL554" i="15"/>
  <c r="Y437" i="15"/>
  <c r="E462" i="15"/>
  <c r="U477" i="15"/>
  <c r="D595" i="15"/>
  <c r="C509" i="15"/>
  <c r="P445" i="15"/>
  <c r="K501" i="15"/>
  <c r="DW467" i="15"/>
  <c r="J590" i="15"/>
  <c r="AM426" i="15"/>
  <c r="AA459" i="15"/>
  <c r="K487" i="15"/>
  <c r="R454" i="15"/>
  <c r="O393" i="15"/>
  <c r="P397" i="15"/>
  <c r="U417" i="15"/>
  <c r="E468" i="15"/>
  <c r="J357" i="15"/>
  <c r="K428" i="15"/>
  <c r="I430" i="15"/>
  <c r="AN471" i="15"/>
  <c r="D428" i="15"/>
  <c r="AK428" i="15"/>
  <c r="H438" i="15"/>
  <c r="A355" i="15"/>
  <c r="D426" i="15"/>
  <c r="S534" i="15"/>
  <c r="B454" i="15"/>
  <c r="C482" i="15"/>
  <c r="A409" i="15"/>
  <c r="AE412" i="15"/>
  <c r="U451" i="15"/>
  <c r="Y358" i="15"/>
  <c r="Z371" i="15"/>
  <c r="DY447" i="15"/>
  <c r="AB476" i="15"/>
  <c r="O551" i="15"/>
  <c r="P481" i="15"/>
  <c r="S419" i="15"/>
  <c r="DY435" i="15"/>
  <c r="C461" i="15"/>
  <c r="AR527" i="15"/>
  <c r="X460" i="15"/>
  <c r="O426" i="15"/>
  <c r="G457" i="15"/>
  <c r="E366" i="15"/>
  <c r="X373" i="15"/>
  <c r="AC476" i="15"/>
  <c r="AL479" i="15"/>
  <c r="AA449" i="15"/>
  <c r="DW480" i="15"/>
  <c r="I458" i="15"/>
  <c r="S401" i="15"/>
  <c r="S546" i="15"/>
  <c r="J434" i="15"/>
  <c r="Y474" i="15"/>
  <c r="P444" i="15"/>
  <c r="DW489" i="15"/>
  <c r="E425" i="15"/>
  <c r="C448" i="15"/>
  <c r="Y368" i="15"/>
  <c r="X398" i="15"/>
  <c r="AL437" i="15"/>
  <c r="V365" i="15"/>
  <c r="S395" i="15"/>
  <c r="AC509" i="15"/>
  <c r="AL439" i="15"/>
  <c r="U429" i="15"/>
  <c r="F460" i="15"/>
  <c r="E484" i="15"/>
  <c r="W454" i="15"/>
  <c r="P441" i="15"/>
  <c r="AA478" i="15"/>
  <c r="E554" i="15"/>
  <c r="T477" i="15"/>
  <c r="F501" i="15"/>
  <c r="D492" i="15"/>
  <c r="J523" i="15"/>
  <c r="M545" i="15"/>
  <c r="S488" i="15"/>
  <c r="B571" i="15"/>
  <c r="AM489" i="15"/>
  <c r="S483" i="15"/>
  <c r="AA529" i="15"/>
  <c r="O494" i="15"/>
  <c r="O625" i="15"/>
  <c r="AB519" i="15"/>
  <c r="DU517" i="15"/>
  <c r="W452" i="15"/>
  <c r="AC472" i="15"/>
  <c r="X537" i="15"/>
  <c r="AR505" i="15"/>
  <c r="I388" i="15"/>
  <c r="H437" i="15"/>
  <c r="AK418" i="15"/>
  <c r="Y449" i="15"/>
  <c r="F422" i="15"/>
  <c r="G369" i="15"/>
  <c r="X468" i="15"/>
  <c r="AL496" i="15"/>
  <c r="U552" i="15"/>
  <c r="AA371" i="15"/>
  <c r="C599" i="15"/>
  <c r="D425" i="15"/>
  <c r="X429" i="15"/>
  <c r="E481" i="15"/>
  <c r="DV542" i="15"/>
  <c r="AA601" i="15"/>
  <c r="G440" i="15"/>
  <c r="C484" i="15"/>
  <c r="Z419" i="15"/>
  <c r="N480" i="15"/>
  <c r="Z461" i="15"/>
  <c r="R458" i="15"/>
  <c r="K560" i="15"/>
  <c r="R387" i="15"/>
  <c r="W456" i="15"/>
  <c r="A457" i="15"/>
  <c r="M464" i="15"/>
  <c r="AR620" i="15"/>
  <c r="P395" i="15"/>
  <c r="D456" i="15"/>
  <c r="AM468" i="15"/>
  <c r="O502" i="15"/>
  <c r="X483" i="15"/>
  <c r="V502" i="15"/>
  <c r="G506" i="15"/>
  <c r="AN502" i="15"/>
  <c r="A456" i="15"/>
  <c r="AK469" i="15"/>
  <c r="DU633" i="15"/>
  <c r="AI444" i="15"/>
  <c r="F440" i="15"/>
  <c r="R475" i="15"/>
  <c r="U461" i="15"/>
  <c r="F438" i="15"/>
  <c r="AA560" i="15"/>
  <c r="AN451" i="15"/>
  <c r="F465" i="15"/>
  <c r="Z448" i="15"/>
  <c r="AB387" i="15"/>
  <c r="AR391" i="15"/>
  <c r="P412" i="15"/>
  <c r="AM444" i="15"/>
  <c r="I474" i="15"/>
  <c r="AR468" i="15"/>
  <c r="AK423" i="15"/>
  <c r="B462" i="15"/>
  <c r="AG526" i="15"/>
  <c r="Z420" i="15"/>
  <c r="J426" i="15"/>
  <c r="R350" i="15"/>
  <c r="A466" i="15"/>
  <c r="B495" i="15"/>
  <c r="X558" i="15"/>
  <c r="Z465" i="15"/>
  <c r="AL402" i="15"/>
  <c r="U407" i="15"/>
  <c r="AR433" i="15"/>
  <c r="V503" i="15"/>
  <c r="Z567" i="15"/>
  <c r="T435" i="15"/>
  <c r="AK465" i="15"/>
  <c r="I502" i="15"/>
  <c r="K472" i="15"/>
  <c r="V413" i="15"/>
  <c r="AA659" i="15"/>
  <c r="AF444" i="15"/>
  <c r="N489" i="15"/>
  <c r="D453" i="15"/>
  <c r="AB515" i="15"/>
  <c r="I438" i="15"/>
  <c r="AM477" i="15"/>
  <c r="H369" i="15"/>
  <c r="B427" i="15"/>
  <c r="T466" i="15"/>
  <c r="P442" i="15"/>
  <c r="C463" i="15"/>
  <c r="I452" i="15"/>
  <c r="AK396" i="15"/>
  <c r="C486" i="15"/>
  <c r="Y421" i="15"/>
  <c r="DY463" i="15"/>
  <c r="AK536" i="15"/>
  <c r="B479" i="15"/>
  <c r="W417" i="15"/>
  <c r="A433" i="15"/>
  <c r="F364" i="15"/>
  <c r="Z393" i="15"/>
  <c r="Y425" i="15"/>
  <c r="B360" i="15"/>
  <c r="L390" i="15"/>
  <c r="K447" i="15"/>
  <c r="DV433" i="15"/>
  <c r="C516" i="15"/>
  <c r="AD452" i="15"/>
  <c r="AO439" i="15"/>
  <c r="AN446" i="15"/>
  <c r="P435" i="15"/>
  <c r="J469" i="15"/>
  <c r="A463" i="15"/>
  <c r="AB411" i="15"/>
  <c r="E431" i="15"/>
  <c r="G519" i="15"/>
  <c r="W430" i="15"/>
  <c r="AR483" i="15"/>
  <c r="P456" i="15"/>
  <c r="AN429" i="15"/>
  <c r="Z556" i="15"/>
  <c r="S378" i="15"/>
  <c r="J393" i="15"/>
  <c r="A428" i="15"/>
  <c r="P498" i="15"/>
  <c r="AC544" i="15"/>
  <c r="R481" i="15"/>
  <c r="C543" i="15"/>
  <c r="R548" i="15"/>
  <c r="D506" i="15"/>
  <c r="W481" i="15"/>
  <c r="B564" i="15"/>
  <c r="J481" i="15"/>
  <c r="J453" i="15"/>
  <c r="AB512" i="15"/>
  <c r="V487" i="15"/>
  <c r="DU628" i="15"/>
  <c r="O505" i="15"/>
  <c r="AH504" i="15"/>
  <c r="X426" i="15"/>
  <c r="AR459" i="15"/>
  <c r="H519" i="15"/>
  <c r="AK494" i="15"/>
  <c r="D383" i="15"/>
  <c r="DX432" i="15"/>
  <c r="H478" i="15"/>
  <c r="A441" i="15"/>
  <c r="AK415" i="15"/>
  <c r="F365" i="15"/>
  <c r="K431" i="15"/>
  <c r="V482" i="15"/>
  <c r="AA525" i="15"/>
  <c r="H367" i="15"/>
  <c r="Z536" i="15"/>
  <c r="F415" i="15"/>
  <c r="U519" i="15"/>
  <c r="AF504" i="15"/>
  <c r="AK484" i="15"/>
  <c r="P610" i="15"/>
  <c r="AR423" i="15"/>
  <c r="R473" i="15"/>
  <c r="B538" i="15"/>
  <c r="AL534" i="15"/>
  <c r="AB453" i="15"/>
  <c r="S446" i="15"/>
  <c r="O540" i="15"/>
  <c r="AB381" i="15"/>
  <c r="AL449" i="15"/>
  <c r="AA445" i="15"/>
  <c r="K458" i="15"/>
  <c r="I559" i="15"/>
  <c r="AB373" i="15"/>
  <c r="D438" i="15"/>
  <c r="T456" i="15"/>
  <c r="X451" i="15"/>
  <c r="F475" i="15"/>
  <c r="F612" i="15"/>
  <c r="W475" i="15"/>
  <c r="Y486" i="15"/>
  <c r="J450" i="15"/>
  <c r="AL456" i="15"/>
  <c r="O681" i="15"/>
  <c r="X436" i="15"/>
  <c r="Z417" i="15"/>
  <c r="R468" i="15"/>
  <c r="U455" i="15"/>
  <c r="N478" i="15"/>
  <c r="J490" i="15"/>
  <c r="K445" i="15"/>
  <c r="AK457" i="15"/>
  <c r="DZ443" i="15"/>
  <c r="Z382" i="15"/>
  <c r="P386" i="15"/>
  <c r="B407" i="15"/>
  <c r="N415" i="15"/>
  <c r="U449" i="15"/>
  <c r="L431" i="15"/>
  <c r="AR537" i="15"/>
  <c r="T454" i="15"/>
  <c r="AR482" i="15"/>
  <c r="O414" i="15"/>
  <c r="AA418" i="15"/>
  <c r="T479" i="15"/>
  <c r="P448" i="15"/>
  <c r="W477" i="15"/>
  <c r="G485" i="15"/>
  <c r="X459" i="15"/>
  <c r="AE397" i="15"/>
  <c r="R401" i="15"/>
  <c r="Y423" i="15"/>
  <c r="H464" i="15"/>
  <c r="F598" i="15"/>
  <c r="R425" i="15"/>
  <c r="AE472" i="15"/>
  <c r="AK477" i="15"/>
  <c r="Z587" i="15"/>
  <c r="C546" i="15"/>
  <c r="L530" i="15"/>
  <c r="T529" i="15"/>
  <c r="T475" i="15"/>
  <c r="I558" i="15"/>
  <c r="T537" i="15"/>
  <c r="DW436" i="15"/>
  <c r="A636" i="15"/>
  <c r="B474" i="15"/>
  <c r="AN575" i="15"/>
  <c r="A481" i="15"/>
  <c r="T495" i="15"/>
  <c r="AB421" i="15"/>
  <c r="V448" i="15"/>
  <c r="Z506" i="15"/>
  <c r="P488" i="15"/>
  <c r="AB377" i="15"/>
  <c r="X428" i="15"/>
  <c r="AN470" i="15"/>
  <c r="AK436" i="15"/>
  <c r="M411" i="15"/>
  <c r="C360" i="15"/>
  <c r="C518" i="15"/>
  <c r="F472" i="15"/>
  <c r="U467" i="15"/>
  <c r="AB360" i="15"/>
  <c r="E482" i="15"/>
  <c r="AN407" i="15"/>
  <c r="DV491" i="15"/>
  <c r="B537" i="15"/>
  <c r="D474" i="15"/>
  <c r="AB524" i="15"/>
  <c r="T414" i="15"/>
  <c r="S458" i="15"/>
  <c r="A470" i="15"/>
  <c r="X489" i="15"/>
  <c r="AR441" i="15"/>
  <c r="J433" i="15"/>
  <c r="AA530" i="15"/>
  <c r="O375" i="15"/>
  <c r="K433" i="15"/>
  <c r="Q441" i="15"/>
  <c r="P452" i="15"/>
  <c r="S485" i="15"/>
  <c r="D364" i="15"/>
  <c r="Y432" i="15"/>
  <c r="T436" i="15"/>
  <c r="DZ445" i="15"/>
  <c r="H468" i="15"/>
  <c r="H494" i="15"/>
  <c r="Y467" i="15"/>
  <c r="AL476" i="15"/>
  <c r="I422" i="15"/>
  <c r="F451" i="15"/>
  <c r="AL547" i="15"/>
  <c r="Q410" i="15"/>
  <c r="X519" i="15"/>
  <c r="G462" i="15"/>
  <c r="AC449" i="15"/>
  <c r="O488" i="15"/>
  <c r="B472" i="15"/>
  <c r="H433" i="15"/>
  <c r="Y450" i="15"/>
  <c r="AG439" i="15"/>
  <c r="F377" i="15"/>
  <c r="C381" i="15"/>
  <c r="AB390" i="15"/>
  <c r="W410" i="15"/>
  <c r="AK433" i="15"/>
  <c r="W467" i="15"/>
  <c r="O496" i="15"/>
  <c r="U447" i="15"/>
  <c r="AA473" i="15"/>
  <c r="R409" i="15"/>
  <c r="D413" i="15"/>
  <c r="B588" i="15"/>
  <c r="DU435" i="15"/>
  <c r="G451" i="15"/>
  <c r="AG472" i="15"/>
  <c r="T453" i="15"/>
  <c r="R392" i="15"/>
  <c r="AC396" i="15"/>
  <c r="Y411" i="15"/>
  <c r="K442" i="15"/>
  <c r="I519" i="15"/>
  <c r="R557" i="15"/>
  <c r="X469" i="15"/>
  <c r="P550" i="15"/>
  <c r="G531" i="15"/>
  <c r="L428" i="15"/>
  <c r="C507" i="15"/>
  <c r="R508" i="15"/>
  <c r="W519" i="15"/>
  <c r="AK519" i="15"/>
  <c r="M432" i="15"/>
  <c r="AL514" i="15"/>
  <c r="P466" i="15"/>
  <c r="B586" i="15"/>
  <c r="AC459" i="15"/>
  <c r="AM532" i="15"/>
  <c r="D416" i="15"/>
  <c r="M647" i="15"/>
  <c r="X495" i="15"/>
  <c r="H572" i="15"/>
  <c r="X372" i="15"/>
  <c r="AC484" i="15"/>
  <c r="AK464" i="15"/>
  <c r="F473" i="15"/>
  <c r="E406" i="15"/>
  <c r="AN413" i="15"/>
  <c r="N479" i="15"/>
  <c r="B439" i="15"/>
  <c r="B430" i="15"/>
  <c r="X456" i="15"/>
  <c r="Y551" i="15"/>
  <c r="W366" i="15"/>
  <c r="R480" i="15"/>
  <c r="A450" i="15"/>
  <c r="C466" i="15"/>
  <c r="D523" i="15"/>
  <c r="AR396" i="15"/>
  <c r="AG444" i="15"/>
  <c r="AF528" i="15"/>
  <c r="A431" i="15"/>
  <c r="J436" i="15"/>
  <c r="DV428" i="15"/>
  <c r="A486" i="15"/>
  <c r="Z352" i="15"/>
  <c r="AK427" i="15"/>
  <c r="AO436" i="15"/>
  <c r="N446" i="15"/>
  <c r="P612" i="15"/>
  <c r="E508" i="15"/>
  <c r="P427" i="15"/>
  <c r="I432" i="15"/>
  <c r="AB441" i="15"/>
  <c r="AL509" i="15"/>
  <c r="G482" i="15"/>
  <c r="V452" i="15"/>
  <c r="AN468" i="15"/>
  <c r="AB511" i="15"/>
  <c r="A483" i="15"/>
  <c r="AN533" i="15"/>
  <c r="T401" i="15"/>
  <c r="E491" i="15"/>
  <c r="K450" i="15"/>
  <c r="AE444" i="15"/>
  <c r="V444" i="15"/>
  <c r="AB460" i="15"/>
  <c r="S551" i="15"/>
  <c r="AA443" i="15"/>
  <c r="DW434" i="15"/>
  <c r="D372" i="15"/>
  <c r="AC370" i="15"/>
  <c r="B385" i="15"/>
  <c r="X404" i="15"/>
  <c r="F424" i="15"/>
  <c r="AL448" i="15"/>
  <c r="AG478" i="15"/>
  <c r="AJ506" i="15"/>
  <c r="K466" i="15"/>
  <c r="O403" i="15"/>
  <c r="B408" i="15"/>
  <c r="G603" i="15"/>
  <c r="AA481" i="15"/>
  <c r="AD444" i="15"/>
  <c r="L464" i="15"/>
  <c r="AM447" i="15"/>
  <c r="AL386" i="15"/>
  <c r="AC390" i="15"/>
  <c r="D406" i="15"/>
  <c r="O429" i="15"/>
  <c r="DZ545" i="15"/>
  <c r="N530" i="15"/>
  <c r="AD585" i="15"/>
  <c r="X491" i="15"/>
  <c r="DV464" i="15"/>
  <c r="D401" i="15"/>
  <c r="AC560" i="15"/>
  <c r="DU490" i="15"/>
  <c r="AA550" i="15"/>
  <c r="X506" i="15"/>
  <c r="S427" i="15"/>
  <c r="I471" i="15"/>
  <c r="AK459" i="15"/>
  <c r="E500" i="15"/>
  <c r="C449" i="15"/>
  <c r="S506" i="15"/>
  <c r="C411" i="15"/>
  <c r="AN547" i="15"/>
  <c r="D480" i="15"/>
  <c r="Z491" i="15"/>
  <c r="E350" i="15"/>
  <c r="AJ434" i="15"/>
  <c r="H459" i="15"/>
  <c r="Z441" i="15"/>
  <c r="T400" i="15"/>
  <c r="B389" i="15"/>
  <c r="V530" i="15"/>
  <c r="DY467" i="15"/>
  <c r="F507" i="15"/>
  <c r="R427" i="15"/>
  <c r="AK538" i="15"/>
  <c r="U480" i="15"/>
  <c r="W472" i="15"/>
  <c r="K390" i="15"/>
  <c r="AK458" i="15"/>
  <c r="Y495" i="15"/>
  <c r="R382" i="15"/>
  <c r="DX433" i="15"/>
  <c r="B524" i="15"/>
  <c r="E423" i="15"/>
  <c r="M431" i="15"/>
  <c r="U534" i="15"/>
  <c r="AK639" i="15"/>
  <c r="Y347" i="15"/>
  <c r="T457" i="15"/>
  <c r="W432" i="15"/>
  <c r="C524" i="15"/>
  <c r="Y639" i="15"/>
  <c r="AB486" i="15"/>
  <c r="AK560" i="15"/>
  <c r="V422" i="15"/>
  <c r="D521" i="15"/>
  <c r="U456" i="15"/>
  <c r="C439" i="15"/>
  <c r="AL445" i="15"/>
  <c r="V456" i="15"/>
  <c r="DY480" i="15"/>
  <c r="R474" i="15"/>
  <c r="J479" i="15"/>
  <c r="G386" i="15"/>
  <c r="M479" i="15"/>
  <c r="DY444" i="15"/>
  <c r="I431" i="15"/>
  <c r="T392" i="15"/>
  <c r="AL443" i="15"/>
  <c r="K499" i="15"/>
  <c r="AC438" i="15"/>
  <c r="AL512" i="15"/>
  <c r="AK489" i="15"/>
  <c r="A361" i="15"/>
  <c r="E380" i="15"/>
  <c r="B399" i="15"/>
  <c r="F587" i="15"/>
  <c r="AO438" i="15"/>
  <c r="K468" i="15"/>
  <c r="I486" i="15"/>
  <c r="E460" i="15"/>
  <c r="DV397" i="15"/>
  <c r="AL401" i="15"/>
  <c r="I547" i="15"/>
  <c r="S470" i="15"/>
  <c r="A438" i="15"/>
  <c r="AK456" i="15"/>
  <c r="M443" i="15"/>
  <c r="AR381" i="15"/>
  <c r="G380" i="15"/>
  <c r="B400" i="15"/>
  <c r="F421" i="15"/>
  <c r="AM506" i="15"/>
  <c r="V423" i="15"/>
  <c r="DZ544" i="15"/>
  <c r="D517" i="15"/>
  <c r="L519" i="15"/>
  <c r="AK514" i="15"/>
  <c r="H518" i="15"/>
  <c r="E503" i="15"/>
  <c r="W533" i="15"/>
  <c r="AB555" i="15"/>
  <c r="E629" i="15"/>
  <c r="T449" i="15"/>
  <c r="AR475" i="15"/>
  <c r="O475" i="15"/>
  <c r="P499" i="15"/>
  <c r="W496" i="15"/>
  <c r="D389" i="15"/>
  <c r="A528" i="15"/>
  <c r="O516" i="15"/>
  <c r="F543" i="15"/>
  <c r="S478" i="15"/>
  <c r="DW430" i="15"/>
  <c r="AL435" i="15"/>
  <c r="S437" i="15"/>
  <c r="H363" i="15"/>
  <c r="B366" i="15"/>
  <c r="E516" i="15"/>
  <c r="H453" i="15"/>
  <c r="AN501" i="15"/>
  <c r="DZ421" i="15"/>
  <c r="T516" i="15"/>
  <c r="D471" i="15"/>
  <c r="DV524" i="15"/>
  <c r="AK382" i="15"/>
  <c r="X434" i="15"/>
  <c r="S504" i="15"/>
  <c r="F376" i="15"/>
  <c r="I514" i="15"/>
  <c r="R523" i="15"/>
  <c r="AB413" i="15"/>
  <c r="DX464" i="15"/>
  <c r="AL502" i="15"/>
  <c r="U473" i="15"/>
  <c r="E461" i="15"/>
  <c r="AB451" i="15"/>
  <c r="AH422" i="15"/>
  <c r="AN475" i="15"/>
  <c r="H503" i="15"/>
  <c r="I476" i="15"/>
  <c r="B457" i="15"/>
  <c r="Y576" i="15"/>
  <c r="G496" i="15"/>
  <c r="D510" i="15"/>
  <c r="DZ429" i="15"/>
  <c r="W440" i="15"/>
  <c r="E441" i="15"/>
  <c r="AJ472" i="15"/>
  <c r="AN467" i="15"/>
  <c r="L479" i="15"/>
  <c r="DZ372" i="15"/>
  <c r="C470" i="15"/>
  <c r="AH440" i="15"/>
  <c r="S426" i="15"/>
  <c r="H356" i="15"/>
  <c r="B438" i="15"/>
  <c r="F482" i="15"/>
  <c r="T433" i="15"/>
  <c r="DX443" i="15"/>
  <c r="A459" i="15"/>
  <c r="R355" i="15"/>
  <c r="S374" i="15"/>
  <c r="U586" i="15"/>
  <c r="R529" i="15"/>
  <c r="D436" i="15"/>
  <c r="X526" i="15"/>
  <c r="D493" i="15"/>
  <c r="AR596" i="15"/>
  <c r="AK493" i="15"/>
  <c r="B517" i="15"/>
  <c r="Y561" i="15"/>
  <c r="V552" i="15"/>
  <c r="AN440" i="15"/>
  <c r="V555" i="15"/>
  <c r="X461" i="15"/>
  <c r="J575" i="15"/>
  <c r="Y489" i="15"/>
  <c r="D627" i="15"/>
  <c r="F514" i="15"/>
  <c r="L503" i="15"/>
  <c r="R517" i="15"/>
  <c r="W470" i="15"/>
  <c r="T426" i="15"/>
  <c r="AR431" i="15"/>
  <c r="S433" i="15"/>
  <c r="AC357" i="15"/>
  <c r="AN360" i="15"/>
  <c r="T566" i="15"/>
  <c r="DV446" i="15"/>
  <c r="R471" i="15"/>
  <c r="AN562" i="15"/>
  <c r="AF478" i="15"/>
  <c r="I463" i="15"/>
  <c r="H533" i="15"/>
  <c r="V376" i="15"/>
  <c r="C423" i="15"/>
  <c r="D580" i="15"/>
  <c r="R348" i="15"/>
  <c r="K490" i="15"/>
  <c r="O510" i="15"/>
  <c r="X403" i="15"/>
  <c r="U457" i="15"/>
  <c r="B575" i="15"/>
  <c r="L505" i="15"/>
  <c r="I453" i="15"/>
  <c r="C446" i="15"/>
  <c r="AL473" i="15"/>
  <c r="AB468" i="15"/>
  <c r="F550" i="15"/>
  <c r="DZ467" i="15"/>
  <c r="J451" i="15"/>
  <c r="C467" i="15"/>
  <c r="AK483" i="15"/>
  <c r="AN600" i="15"/>
  <c r="H420" i="15"/>
  <c r="E418" i="15"/>
  <c r="U436" i="15"/>
  <c r="S466" i="15"/>
  <c r="R461" i="15"/>
  <c r="AK548" i="15"/>
  <c r="O351" i="15"/>
  <c r="H462" i="15"/>
  <c r="H436" i="15"/>
  <c r="DW421" i="15"/>
  <c r="K429" i="15"/>
  <c r="V430" i="15"/>
  <c r="S472" i="15"/>
  <c r="B530" i="15"/>
  <c r="Q430" i="15"/>
  <c r="E427" i="15"/>
  <c r="AL350" i="15"/>
  <c r="B370" i="15"/>
  <c r="E388" i="15"/>
  <c r="AB437" i="15"/>
  <c r="E553" i="15"/>
  <c r="DW444" i="15"/>
  <c r="AB464" i="15"/>
  <c r="H448" i="15"/>
  <c r="M382" i="15"/>
  <c r="T385" i="15"/>
  <c r="AB385" i="15"/>
  <c r="AA451" i="15"/>
  <c r="D541" i="15"/>
  <c r="A443" i="15"/>
  <c r="R434" i="15"/>
  <c r="AO366" i="15"/>
  <c r="C370" i="15"/>
  <c r="A390" i="15"/>
  <c r="AB409" i="15"/>
  <c r="AC350" i="15"/>
  <c r="A435" i="15"/>
  <c r="H480" i="15"/>
  <c r="T437" i="15"/>
  <c r="E434" i="15"/>
  <c r="R375" i="15"/>
  <c r="AR378" i="15"/>
  <c r="P458" i="15"/>
  <c r="E437" i="15"/>
  <c r="S463" i="15"/>
  <c r="AA452" i="15"/>
  <c r="U391" i="15"/>
  <c r="C400" i="15"/>
  <c r="AO431" i="15"/>
  <c r="AL459" i="15"/>
  <c r="DV521" i="15"/>
  <c r="G460" i="15"/>
  <c r="AJ601" i="15"/>
  <c r="J455" i="15"/>
  <c r="Y365" i="15"/>
  <c r="AH444" i="15"/>
  <c r="AK441" i="15"/>
  <c r="AM490" i="15"/>
  <c r="AA441" i="15"/>
  <c r="B437" i="15"/>
  <c r="AC379" i="15"/>
  <c r="Y394" i="15"/>
  <c r="O430" i="15"/>
  <c r="AA362" i="15"/>
  <c r="A391" i="15"/>
  <c r="E421" i="15"/>
  <c r="Y512" i="15"/>
  <c r="J507" i="15"/>
  <c r="U463" i="15"/>
  <c r="C444" i="15"/>
  <c r="AG520" i="15"/>
  <c r="J431" i="15"/>
  <c r="Z484" i="15"/>
  <c r="AD458" i="15"/>
  <c r="F430" i="15"/>
  <c r="D432" i="15"/>
  <c r="AN378" i="15"/>
  <c r="AB393" i="15"/>
  <c r="O439" i="15"/>
  <c r="P446" i="15"/>
  <c r="H434" i="15"/>
  <c r="R467" i="15"/>
  <c r="S462" i="15"/>
  <c r="N411" i="15"/>
  <c r="T429" i="15"/>
  <c r="K362" i="15"/>
  <c r="AN391" i="15"/>
  <c r="X423" i="15"/>
  <c r="X358" i="15"/>
  <c r="A389" i="15"/>
  <c r="M429" i="15"/>
  <c r="DW460" i="15"/>
  <c r="T351" i="15"/>
  <c r="DZ481" i="15"/>
  <c r="H472" i="15"/>
  <c r="P367" i="15"/>
  <c r="C398" i="15"/>
  <c r="C430" i="15"/>
  <c r="AB367" i="15"/>
  <c r="AJ397" i="15"/>
  <c r="L444" i="15"/>
  <c r="H372" i="15"/>
  <c r="W320" i="15"/>
  <c r="O269" i="15"/>
  <c r="AC338" i="15"/>
  <c r="AC436" i="15"/>
  <c r="AB456" i="15"/>
  <c r="AO440" i="15"/>
  <c r="AM440" i="15"/>
  <c r="AB361" i="15"/>
  <c r="F393" i="15"/>
  <c r="T421" i="15"/>
  <c r="W362" i="15"/>
  <c r="X392" i="15"/>
  <c r="AC430" i="15"/>
  <c r="Y502" i="15"/>
  <c r="Y420" i="15"/>
  <c r="S391" i="15"/>
  <c r="S389" i="15"/>
  <c r="D398" i="15"/>
  <c r="X435" i="15"/>
  <c r="AM368" i="15"/>
  <c r="O395" i="15"/>
  <c r="P432" i="15"/>
  <c r="R368" i="15"/>
  <c r="Y476" i="15"/>
  <c r="AA379" i="15"/>
  <c r="DX367" i="15"/>
  <c r="AK366" i="15"/>
  <c r="AO380" i="15"/>
  <c r="I412" i="15"/>
  <c r="M481" i="15"/>
  <c r="A380" i="15"/>
  <c r="AR411" i="15"/>
  <c r="C354" i="15"/>
  <c r="Z514" i="15"/>
  <c r="T424" i="15"/>
  <c r="R424" i="15"/>
  <c r="W421" i="15"/>
  <c r="DU422" i="15"/>
  <c r="AF354" i="15"/>
  <c r="Z386" i="15"/>
  <c r="I414" i="15"/>
  <c r="AM355" i="15"/>
  <c r="F386" i="15"/>
  <c r="AK420" i="15"/>
  <c r="V433" i="15"/>
  <c r="K403" i="15"/>
  <c r="AN381" i="15"/>
  <c r="Y379" i="15"/>
  <c r="P391" i="15"/>
  <c r="AR422" i="15"/>
  <c r="U363" i="15"/>
  <c r="AN388" i="15"/>
  <c r="DV421" i="15"/>
  <c r="B363" i="15"/>
  <c r="T558" i="15"/>
  <c r="AN366" i="15"/>
  <c r="K357" i="15"/>
  <c r="P356" i="15"/>
  <c r="D373" i="15"/>
  <c r="T405" i="15"/>
  <c r="D449" i="15"/>
  <c r="B373" i="15"/>
  <c r="A405" i="15"/>
  <c r="AA475" i="15"/>
  <c r="C379" i="15"/>
  <c r="T326" i="15"/>
  <c r="K276" i="15"/>
  <c r="O345" i="15"/>
  <c r="X292" i="15"/>
  <c r="AK332" i="15"/>
  <c r="O279" i="15"/>
  <c r="A321" i="15"/>
  <c r="U366" i="15"/>
  <c r="DV432" i="15"/>
  <c r="I441" i="15"/>
  <c r="A396" i="15"/>
  <c r="H393" i="15"/>
  <c r="K401" i="15"/>
  <c r="L443" i="15"/>
  <c r="DX370" i="15"/>
  <c r="X397" i="15"/>
  <c r="AA438" i="15"/>
  <c r="W370" i="15"/>
  <c r="C403" i="15"/>
  <c r="X346" i="15"/>
  <c r="E298" i="15"/>
  <c r="G413" i="15"/>
  <c r="AL460" i="15"/>
  <c r="I402" i="15"/>
  <c r="B398" i="15"/>
  <c r="W415" i="15"/>
  <c r="F332" i="15"/>
  <c r="G264" i="15"/>
  <c r="H320" i="15"/>
  <c r="X655" i="15"/>
  <c r="P436" i="15"/>
  <c r="G428" i="15"/>
  <c r="W511" i="15"/>
  <c r="AL481" i="15"/>
  <c r="AM523" i="15"/>
  <c r="K498" i="15"/>
  <c r="Y633" i="15"/>
  <c r="DV490" i="15"/>
  <c r="W544" i="15"/>
  <c r="AN432" i="15"/>
  <c r="J489" i="15"/>
  <c r="AR448" i="15"/>
  <c r="S480" i="15"/>
  <c r="G578" i="15"/>
  <c r="AC640" i="15"/>
  <c r="DW529" i="15"/>
  <c r="K465" i="15"/>
  <c r="K481" i="15"/>
  <c r="Y428" i="15"/>
  <c r="J422" i="15"/>
  <c r="D463" i="15"/>
  <c r="AN489" i="15"/>
  <c r="W449" i="15"/>
  <c r="AC355" i="15"/>
  <c r="AH425" i="15"/>
  <c r="F441" i="15"/>
  <c r="Y583" i="15"/>
  <c r="AD505" i="15"/>
  <c r="S486" i="15"/>
  <c r="AN448" i="15"/>
  <c r="AD504" i="15"/>
  <c r="C371" i="15"/>
  <c r="J459" i="15"/>
  <c r="G492" i="15"/>
  <c r="N517" i="15"/>
  <c r="AH452" i="15"/>
  <c r="J500" i="15"/>
  <c r="H396" i="15"/>
  <c r="N439" i="15"/>
  <c r="X581" i="15"/>
  <c r="R495" i="15"/>
  <c r="T441" i="15"/>
  <c r="AL441" i="15"/>
  <c r="T467" i="15"/>
  <c r="X523" i="15"/>
  <c r="P520" i="15"/>
  <c r="AN459" i="15"/>
  <c r="X432" i="15"/>
  <c r="V454" i="15"/>
  <c r="G475" i="15"/>
  <c r="E488" i="15"/>
  <c r="O411" i="15"/>
  <c r="G522" i="15"/>
  <c r="DY521" i="15"/>
  <c r="I460" i="15"/>
  <c r="R455" i="15"/>
  <c r="K550" i="15"/>
  <c r="A548" i="15"/>
  <c r="DZ447" i="15"/>
  <c r="W422" i="15"/>
  <c r="B553" i="15"/>
  <c r="S469" i="15"/>
  <c r="I424" i="15"/>
  <c r="A455" i="15"/>
  <c r="AL498" i="15"/>
  <c r="I421" i="15"/>
  <c r="R419" i="15"/>
  <c r="B482" i="15"/>
  <c r="W365" i="15"/>
  <c r="DX382" i="15"/>
  <c r="AR477" i="15"/>
  <c r="T471" i="15"/>
  <c r="R438" i="15"/>
  <c r="J457" i="15"/>
  <c r="T439" i="15"/>
  <c r="AA376" i="15"/>
  <c r="AO374" i="15"/>
  <c r="DZ350" i="15"/>
  <c r="E443" i="15"/>
  <c r="K496" i="15"/>
  <c r="AO437" i="15"/>
  <c r="AC498" i="15"/>
  <c r="X482" i="15"/>
  <c r="X365" i="15"/>
  <c r="M384" i="15"/>
  <c r="AN397" i="15"/>
  <c r="V457" i="15"/>
  <c r="V429" i="15"/>
  <c r="K469" i="15"/>
  <c r="E432" i="15"/>
  <c r="J493" i="15"/>
  <c r="AK370" i="15"/>
  <c r="DZ542" i="15"/>
  <c r="AK448" i="15"/>
  <c r="V431" i="15"/>
  <c r="A454" i="15"/>
  <c r="Z442" i="15"/>
  <c r="A386" i="15"/>
  <c r="V395" i="15"/>
  <c r="F643" i="15"/>
  <c r="S444" i="15"/>
  <c r="W488" i="15"/>
  <c r="AE452" i="15"/>
  <c r="W513" i="15"/>
  <c r="DY436" i="15"/>
  <c r="AM474" i="15"/>
  <c r="AI516" i="15"/>
  <c r="V428" i="15"/>
  <c r="Z476" i="15"/>
  <c r="C436" i="15"/>
  <c r="AL432" i="15"/>
  <c r="D374" i="15"/>
  <c r="E389" i="15"/>
  <c r="Z421" i="15"/>
  <c r="AL356" i="15"/>
  <c r="R385" i="15"/>
  <c r="DZ414" i="15"/>
  <c r="V418" i="15"/>
  <c r="AI478" i="15"/>
  <c r="AR455" i="15"/>
  <c r="F530" i="15"/>
  <c r="AN493" i="15"/>
  <c r="AR420" i="15"/>
  <c r="S471" i="15"/>
  <c r="Z449" i="15"/>
  <c r="I551" i="15"/>
  <c r="C475" i="15"/>
  <c r="H373" i="15"/>
  <c r="G388" i="15"/>
  <c r="T489" i="15"/>
  <c r="K439" i="15"/>
  <c r="AR428" i="15"/>
  <c r="E459" i="15"/>
  <c r="K456" i="15"/>
  <c r="H405" i="15"/>
  <c r="H421" i="15"/>
  <c r="S356" i="15"/>
  <c r="O386" i="15"/>
  <c r="S416" i="15"/>
  <c r="AB353" i="15"/>
  <c r="DX383" i="15"/>
  <c r="U421" i="15"/>
  <c r="DX439" i="15"/>
  <c r="AA458" i="15"/>
  <c r="X443" i="15"/>
  <c r="J442" i="15"/>
  <c r="H362" i="15"/>
  <c r="W393" i="15"/>
  <c r="DY421" i="15"/>
  <c r="C363" i="15"/>
  <c r="D393" i="15"/>
  <c r="S431" i="15"/>
  <c r="D368" i="15"/>
  <c r="T316" i="15"/>
  <c r="W264" i="15"/>
  <c r="AJ444" i="15"/>
  <c r="DU434" i="15"/>
  <c r="AB428" i="15"/>
  <c r="H424" i="15"/>
  <c r="W425" i="15"/>
  <c r="AO355" i="15"/>
  <c r="C388" i="15"/>
  <c r="K415" i="15"/>
  <c r="G357" i="15"/>
  <c r="U387" i="15"/>
  <c r="O422" i="15"/>
  <c r="AF440" i="15"/>
  <c r="C407" i="15"/>
  <c r="Y383" i="15"/>
  <c r="R381" i="15"/>
  <c r="AA392" i="15"/>
  <c r="AI424" i="15"/>
  <c r="AE364" i="15"/>
  <c r="I390" i="15"/>
  <c r="J423" i="15"/>
  <c r="O364" i="15"/>
  <c r="AO433" i="15"/>
  <c r="DU368" i="15"/>
  <c r="T360" i="15"/>
  <c r="D359" i="15"/>
  <c r="I375" i="15"/>
  <c r="O407" i="15"/>
  <c r="I456" i="15"/>
  <c r="AB374" i="15"/>
  <c r="AC406" i="15"/>
  <c r="H487" i="15"/>
  <c r="L434" i="15"/>
  <c r="U400" i="15"/>
  <c r="AA414" i="15"/>
  <c r="K412" i="15"/>
  <c r="AA415" i="15"/>
  <c r="H592" i="15"/>
  <c r="H382" i="15"/>
  <c r="Y409" i="15"/>
  <c r="AA495" i="15"/>
  <c r="Z381" i="15"/>
  <c r="DV414" i="15"/>
  <c r="S455" i="15"/>
  <c r="O390" i="15"/>
  <c r="AO372" i="15"/>
  <c r="M371" i="15"/>
  <c r="P385" i="15"/>
  <c r="DZ415" i="15"/>
  <c r="H591" i="15"/>
  <c r="DV383" i="15"/>
  <c r="X415" i="15"/>
  <c r="W357" i="15"/>
  <c r="I470" i="15"/>
  <c r="AE355" i="15"/>
  <c r="W532" i="15"/>
  <c r="D497" i="15"/>
  <c r="AN368" i="15"/>
  <c r="DY399" i="15"/>
  <c r="T434" i="15"/>
  <c r="C369" i="15"/>
  <c r="W399" i="15"/>
  <c r="H452" i="15"/>
  <c r="AK373" i="15"/>
  <c r="U322" i="15"/>
  <c r="H271" i="15"/>
  <c r="AN340" i="15"/>
  <c r="Y288" i="15"/>
  <c r="AN328" i="15"/>
  <c r="AB430" i="15"/>
  <c r="S316" i="15"/>
  <c r="H353" i="15"/>
  <c r="C462" i="15"/>
  <c r="A414" i="15"/>
  <c r="I387" i="15"/>
  <c r="A385" i="15"/>
  <c r="L396" i="15"/>
  <c r="D430" i="15"/>
  <c r="B367" i="15"/>
  <c r="Y392" i="15"/>
  <c r="V427" i="15"/>
  <c r="Z366" i="15"/>
  <c r="DZ397" i="15"/>
  <c r="AK342" i="15"/>
  <c r="D294" i="15"/>
  <c r="R393" i="15"/>
  <c r="V389" i="15"/>
  <c r="Y384" i="15"/>
  <c r="U383" i="15"/>
  <c r="AK405" i="15"/>
  <c r="S327" i="15"/>
  <c r="X258" i="15"/>
  <c r="G315" i="15"/>
  <c r="D522" i="15"/>
  <c r="J517" i="15"/>
  <c r="F558" i="15"/>
  <c r="Y490" i="15"/>
  <c r="Y430" i="15"/>
  <c r="S493" i="15"/>
  <c r="AL474" i="15"/>
  <c r="AL522" i="15"/>
  <c r="AA482" i="15"/>
  <c r="AK543" i="15"/>
  <c r="G424" i="15"/>
  <c r="H497" i="15"/>
  <c r="AC534" i="15"/>
  <c r="F562" i="15"/>
  <c r="G543" i="15"/>
  <c r="AN583" i="15"/>
  <c r="AB518" i="15"/>
  <c r="S550" i="15"/>
  <c r="G472" i="15"/>
  <c r="AR418" i="15"/>
  <c r="X417" i="15"/>
  <c r="AC446" i="15"/>
  <c r="AK421" i="15"/>
  <c r="AM424" i="15"/>
  <c r="G520" i="15"/>
  <c r="AB408" i="15"/>
  <c r="DV435" i="15"/>
  <c r="E466" i="15"/>
  <c r="AI452" i="15"/>
  <c r="AO486" i="15"/>
  <c r="E438" i="15"/>
  <c r="D619" i="15"/>
  <c r="AK365" i="15"/>
  <c r="Y447" i="15"/>
  <c r="S464" i="15"/>
  <c r="I462" i="15"/>
  <c r="C438" i="15"/>
  <c r="S456" i="15"/>
  <c r="AK369" i="15"/>
  <c r="Y433" i="15"/>
  <c r="DZ523" i="15"/>
  <c r="T448" i="15"/>
  <c r="DW435" i="15"/>
  <c r="G437" i="15"/>
  <c r="I449" i="15"/>
  <c r="F459" i="15"/>
  <c r="E483" i="15"/>
  <c r="L430" i="15"/>
  <c r="I428" i="15"/>
  <c r="AC448" i="15"/>
  <c r="AB435" i="15"/>
  <c r="D446" i="15"/>
  <c r="O402" i="15"/>
  <c r="C471" i="15"/>
  <c r="R496" i="15"/>
  <c r="C454" i="15"/>
  <c r="DY439" i="15"/>
  <c r="J494" i="15"/>
  <c r="U501" i="15"/>
  <c r="AN442" i="15"/>
  <c r="H417" i="15"/>
  <c r="DZ490" i="15"/>
  <c r="Z431" i="15"/>
  <c r="Z497" i="15"/>
  <c r="DV447" i="15"/>
  <c r="P484" i="15"/>
  <c r="AL409" i="15"/>
  <c r="U413" i="15"/>
  <c r="AL454" i="15"/>
  <c r="W359" i="15"/>
  <c r="T377" i="15"/>
  <c r="AR487" i="15"/>
  <c r="K460" i="15"/>
  <c r="DU432" i="15"/>
  <c r="N443" i="15"/>
  <c r="AE434" i="15"/>
  <c r="AK371" i="15"/>
  <c r="P370" i="15"/>
  <c r="T458" i="15"/>
  <c r="F437" i="15"/>
  <c r="DX480" i="15"/>
  <c r="S432" i="15"/>
  <c r="I440" i="15"/>
  <c r="I455" i="15"/>
  <c r="D360" i="15"/>
  <c r="W373" i="15"/>
  <c r="AB392" i="15"/>
  <c r="D461" i="15"/>
  <c r="X421" i="15"/>
  <c r="DZ460" i="15"/>
  <c r="G427" i="15"/>
  <c r="B459" i="15"/>
  <c r="S366" i="15"/>
  <c r="O451" i="15"/>
  <c r="Q442" i="15"/>
  <c r="G524" i="15"/>
  <c r="N442" i="15"/>
  <c r="K438" i="15"/>
  <c r="Y380" i="15"/>
  <c r="B390" i="15"/>
  <c r="M593" i="15"/>
  <c r="W434" i="15"/>
  <c r="I475" i="15"/>
  <c r="AC444" i="15"/>
  <c r="V491" i="15"/>
  <c r="AB425" i="15"/>
  <c r="B450" i="15"/>
  <c r="X499" i="15"/>
  <c r="T420" i="15"/>
  <c r="S467" i="15"/>
  <c r="AN430" i="15"/>
  <c r="C480" i="15"/>
  <c r="Z369" i="15"/>
  <c r="Z383" i="15"/>
  <c r="B415" i="15"/>
  <c r="C352" i="15"/>
  <c r="U380" i="15"/>
  <c r="V410" i="15"/>
  <c r="L372" i="15"/>
  <c r="O465" i="15"/>
  <c r="G447" i="15"/>
  <c r="S492" i="15"/>
  <c r="Y471" i="15"/>
  <c r="AB493" i="15"/>
  <c r="E463" i="15"/>
  <c r="AC443" i="15"/>
  <c r="A505" i="15"/>
  <c r="C450" i="15"/>
  <c r="DV368" i="15"/>
  <c r="DZ382" i="15"/>
  <c r="S441" i="15"/>
  <c r="I433" i="15"/>
  <c r="B509" i="15"/>
  <c r="AK451" i="15"/>
  <c r="E450" i="15"/>
  <c r="R399" i="15"/>
  <c r="AB414" i="15"/>
  <c r="AG351" i="15"/>
  <c r="S381" i="15"/>
  <c r="X411" i="15"/>
  <c r="DX481" i="15"/>
  <c r="G379" i="15"/>
  <c r="Y445" i="15"/>
  <c r="F445" i="15"/>
  <c r="R429" i="15"/>
  <c r="AL424" i="15"/>
  <c r="AK426" i="15"/>
  <c r="O356" i="15"/>
  <c r="T388" i="15"/>
  <c r="Y415" i="15"/>
  <c r="X357" i="15"/>
  <c r="A388" i="15"/>
  <c r="AF422" i="15"/>
  <c r="AL363" i="15"/>
  <c r="AB311" i="15"/>
  <c r="AJ259" i="15"/>
  <c r="B362" i="15"/>
  <c r="W406" i="15"/>
  <c r="C416" i="15"/>
  <c r="L414" i="15"/>
  <c r="AR416" i="15"/>
  <c r="DY350" i="15"/>
  <c r="I383" i="15"/>
  <c r="DU410" i="15"/>
  <c r="U517" i="15"/>
  <c r="AN382" i="15"/>
  <c r="DW415" i="15"/>
  <c r="H465" i="15"/>
  <c r="H394" i="15"/>
  <c r="K375" i="15"/>
  <c r="AN372" i="15"/>
  <c r="AA386" i="15"/>
  <c r="R417" i="15"/>
  <c r="S359" i="15"/>
  <c r="DW384" i="15"/>
  <c r="AB416" i="15"/>
  <c r="AO358" i="15"/>
  <c r="F485" i="15"/>
  <c r="AA358" i="15"/>
  <c r="T352" i="15"/>
  <c r="T549" i="15"/>
  <c r="Z370" i="15"/>
  <c r="AA401" i="15"/>
  <c r="AK438" i="15"/>
  <c r="X370" i="15"/>
  <c r="H401" i="15"/>
  <c r="W459" i="15"/>
  <c r="J430" i="15"/>
  <c r="K379" i="15"/>
  <c r="U406" i="15"/>
  <c r="G404" i="15"/>
  <c r="I410" i="15"/>
  <c r="Z473" i="15"/>
  <c r="A377" i="15"/>
  <c r="C404" i="15"/>
  <c r="AK463" i="15"/>
  <c r="S376" i="15"/>
  <c r="R410" i="15"/>
  <c r="AA465" i="15"/>
  <c r="A378" i="15"/>
  <c r="E367" i="15"/>
  <c r="E365" i="15"/>
  <c r="C380" i="15"/>
  <c r="V411" i="15"/>
  <c r="T476" i="15"/>
  <c r="E379" i="15"/>
  <c r="G411" i="15"/>
  <c r="G353" i="15"/>
  <c r="DW445" i="15"/>
  <c r="E485" i="15"/>
  <c r="Z458" i="15"/>
  <c r="AL452" i="15"/>
  <c r="S364" i="15"/>
  <c r="AL395" i="15"/>
  <c r="AH424" i="15"/>
  <c r="A365" i="15"/>
  <c r="K395" i="15"/>
  <c r="M436" i="15"/>
  <c r="AL369" i="15"/>
  <c r="F318" i="15"/>
  <c r="Y266" i="15"/>
  <c r="O336" i="15"/>
  <c r="E283" i="15"/>
  <c r="W324" i="15"/>
  <c r="J406" i="15"/>
  <c r="J311" i="15"/>
  <c r="K347" i="15"/>
  <c r="AK506" i="15"/>
  <c r="AK399" i="15"/>
  <c r="Z379" i="15"/>
  <c r="C377" i="15"/>
  <c r="AL389" i="15"/>
  <c r="D421" i="15"/>
  <c r="G362" i="15"/>
  <c r="V387" i="15"/>
  <c r="K420" i="15"/>
  <c r="Y361" i="15"/>
  <c r="T393" i="15"/>
  <c r="F338" i="15"/>
  <c r="O290" i="15"/>
  <c r="J373" i="15"/>
  <c r="B356" i="15"/>
  <c r="DY509" i="15"/>
  <c r="S525" i="15"/>
  <c r="F470" i="15"/>
  <c r="X433" i="15"/>
  <c r="A423" i="15"/>
  <c r="R519" i="15"/>
  <c r="S565" i="15"/>
  <c r="T391" i="15"/>
  <c r="J376" i="15"/>
  <c r="V467" i="15"/>
  <c r="DU447" i="15"/>
  <c r="R386" i="15"/>
  <c r="M480" i="15"/>
  <c r="S481" i="15"/>
  <c r="C408" i="15"/>
  <c r="H470" i="15"/>
  <c r="DU428" i="15"/>
  <c r="Q436" i="15"/>
  <c r="U374" i="15"/>
  <c r="S457" i="15"/>
  <c r="DX460" i="15"/>
  <c r="P390" i="15"/>
  <c r="J466" i="15"/>
  <c r="O401" i="15"/>
  <c r="V485" i="15"/>
  <c r="T485" i="15"/>
  <c r="C497" i="15"/>
  <c r="Y419" i="15"/>
  <c r="AD440" i="15"/>
  <c r="AL399" i="15"/>
  <c r="T531" i="15"/>
  <c r="D454" i="15"/>
  <c r="O443" i="15"/>
  <c r="AR444" i="15"/>
  <c r="Z368" i="15"/>
  <c r="O492" i="15"/>
  <c r="AD355" i="15"/>
  <c r="AO368" i="15"/>
  <c r="AR369" i="15"/>
  <c r="A446" i="15"/>
  <c r="P371" i="15"/>
  <c r="A407" i="15"/>
  <c r="X393" i="15"/>
  <c r="AA408" i="15"/>
  <c r="AN405" i="15"/>
  <c r="AG424" i="15"/>
  <c r="K500" i="15"/>
  <c r="B354" i="15"/>
  <c r="AI292" i="15"/>
  <c r="AM347" i="15"/>
  <c r="AA535" i="15"/>
  <c r="H376" i="15"/>
  <c r="K353" i="15"/>
  <c r="P454" i="15"/>
  <c r="AN359" i="15"/>
  <c r="J371" i="15"/>
  <c r="AI372" i="15"/>
  <c r="H391" i="15"/>
  <c r="N383" i="15"/>
  <c r="AO360" i="15"/>
  <c r="E439" i="15"/>
  <c r="A479" i="15"/>
  <c r="F458" i="15"/>
  <c r="F362" i="15"/>
  <c r="K377" i="15"/>
  <c r="J435" i="15"/>
  <c r="S407" i="15"/>
  <c r="A381" i="15"/>
  <c r="R360" i="15"/>
  <c r="R377" i="15"/>
  <c r="AC389" i="15"/>
  <c r="AA391" i="15"/>
  <c r="AL410" i="15"/>
  <c r="V451" i="15"/>
  <c r="N390" i="15"/>
  <c r="O366" i="15"/>
  <c r="U365" i="15"/>
  <c r="G368" i="15"/>
  <c r="V379" i="15"/>
  <c r="W396" i="15"/>
  <c r="V399" i="15"/>
  <c r="AB422" i="15"/>
  <c r="AB397" i="15"/>
  <c r="P510" i="15"/>
  <c r="S354" i="15"/>
  <c r="DX371" i="15"/>
  <c r="AN369" i="15"/>
  <c r="Z385" i="15"/>
  <c r="J448" i="15"/>
  <c r="E422" i="15"/>
  <c r="W394" i="15"/>
  <c r="K384" i="15"/>
  <c r="K385" i="15"/>
  <c r="AK397" i="15"/>
  <c r="DW414" i="15"/>
  <c r="C419" i="15"/>
  <c r="AJ346" i="15"/>
  <c r="W286" i="15"/>
  <c r="O327" i="15"/>
  <c r="H364" i="15"/>
  <c r="AK289" i="15"/>
  <c r="N303" i="15"/>
  <c r="L325" i="15"/>
  <c r="I394" i="15"/>
  <c r="AI364" i="15"/>
  <c r="S451" i="15"/>
  <c r="AM508" i="15"/>
  <c r="Z469" i="15"/>
  <c r="AD364" i="15"/>
  <c r="AR379" i="15"/>
  <c r="S383" i="15"/>
  <c r="AO317" i="15"/>
  <c r="C253" i="15"/>
  <c r="B397" i="15"/>
  <c r="O400" i="15"/>
  <c r="I371" i="15"/>
  <c r="C344" i="15"/>
  <c r="X252" i="15"/>
  <c r="J301" i="15"/>
  <c r="T337" i="15"/>
  <c r="AR525" i="15"/>
  <c r="E315" i="15"/>
  <c r="AM345" i="15"/>
  <c r="L291" i="15"/>
  <c r="K325" i="15"/>
  <c r="S387" i="15"/>
  <c r="X307" i="15"/>
  <c r="W336" i="15"/>
  <c r="P426" i="15"/>
  <c r="AK315" i="15"/>
  <c r="A358" i="15"/>
  <c r="Y300" i="15"/>
  <c r="AN242" i="15"/>
  <c r="AK386" i="15"/>
  <c r="J383" i="15"/>
  <c r="T382" i="15"/>
  <c r="R404" i="15"/>
  <c r="C327" i="15"/>
  <c r="H258" i="15"/>
  <c r="AB314" i="15"/>
  <c r="R353" i="15"/>
  <c r="I294" i="15"/>
  <c r="W329" i="15"/>
  <c r="W381" i="15"/>
  <c r="M303" i="15"/>
  <c r="DU337" i="15"/>
  <c r="J285" i="15"/>
  <c r="AM320" i="15"/>
  <c r="AC349" i="15"/>
  <c r="AN296" i="15"/>
  <c r="DY328" i="15"/>
  <c r="E412" i="15"/>
  <c r="AC312" i="15"/>
  <c r="Y513" i="15"/>
  <c r="W368" i="15"/>
  <c r="B502" i="15"/>
  <c r="X355" i="15"/>
  <c r="P348" i="15"/>
  <c r="G283" i="15"/>
  <c r="AA333" i="15"/>
  <c r="S439" i="15"/>
  <c r="AC311" i="15"/>
  <c r="AO348" i="15"/>
  <c r="Z291" i="15"/>
  <c r="AO320" i="15"/>
  <c r="AC363" i="15"/>
  <c r="I302" i="15"/>
  <c r="G338" i="15"/>
  <c r="U412" i="15"/>
  <c r="AL312" i="15"/>
  <c r="V346" i="15"/>
  <c r="AD293" i="15"/>
  <c r="AD330" i="15"/>
  <c r="I276" i="15"/>
  <c r="O370" i="15"/>
  <c r="AK413" i="15"/>
  <c r="J413" i="15"/>
  <c r="DU371" i="15"/>
  <c r="DU303" i="15"/>
  <c r="DW366" i="15"/>
  <c r="K295" i="15"/>
  <c r="C331" i="15"/>
  <c r="DV415" i="15"/>
  <c r="DX308" i="15"/>
  <c r="AO339" i="15"/>
  <c r="E480" i="15"/>
  <c r="R319" i="15"/>
  <c r="AL364" i="15"/>
  <c r="Y302" i="15"/>
  <c r="AG330" i="15"/>
  <c r="T413" i="15"/>
  <c r="DY529" i="15"/>
  <c r="D488" i="15"/>
  <c r="U384" i="15"/>
  <c r="S314" i="15"/>
  <c r="J418" i="15"/>
  <c r="DV303" i="15"/>
  <c r="AL340" i="15"/>
  <c r="W282" i="15"/>
  <c r="AB318" i="15"/>
  <c r="P349" i="15"/>
  <c r="AI293" i="15"/>
  <c r="C328" i="15"/>
  <c r="G400" i="15"/>
  <c r="I310" i="15"/>
  <c r="R339" i="15"/>
  <c r="G373" i="15"/>
  <c r="AN377" i="15"/>
  <c r="P377" i="15"/>
  <c r="X401" i="15"/>
  <c r="M325" i="15"/>
  <c r="AR255" i="15"/>
  <c r="Y312" i="15"/>
  <c r="P350" i="15"/>
  <c r="V292" i="15"/>
  <c r="E328" i="15"/>
  <c r="X374" i="15"/>
  <c r="AM301" i="15"/>
  <c r="Y336" i="15"/>
  <c r="W478" i="15"/>
  <c r="Q319" i="15"/>
  <c r="E348" i="15"/>
  <c r="M441" i="15"/>
  <c r="AK444" i="15"/>
  <c r="AN422" i="15"/>
  <c r="Y441" i="15"/>
  <c r="AM340" i="15"/>
  <c r="AA273" i="15"/>
  <c r="AC327" i="15"/>
  <c r="S399" i="15"/>
  <c r="Z305" i="15"/>
  <c r="U342" i="15"/>
  <c r="F471" i="15"/>
  <c r="H314" i="15"/>
  <c r="I534" i="15"/>
  <c r="F535" i="15"/>
  <c r="F398" i="15"/>
  <c r="AL491" i="15"/>
  <c r="AK443" i="15"/>
  <c r="J480" i="15"/>
  <c r="D392" i="15"/>
  <c r="D366" i="15"/>
  <c r="DX436" i="15"/>
  <c r="J449" i="15"/>
  <c r="AA442" i="15"/>
  <c r="U381" i="15"/>
  <c r="E467" i="15"/>
  <c r="O471" i="15"/>
  <c r="A402" i="15"/>
  <c r="K446" i="15"/>
  <c r="AN420" i="15"/>
  <c r="F431" i="15"/>
  <c r="D370" i="15"/>
  <c r="X447" i="15"/>
  <c r="AB446" i="15"/>
  <c r="AK384" i="15"/>
  <c r="Y443" i="15"/>
  <c r="AA396" i="15"/>
  <c r="DW545" i="15"/>
  <c r="AR471" i="15"/>
  <c r="N533" i="15"/>
  <c r="W505" i="15"/>
  <c r="AF434" i="15"/>
  <c r="F395" i="15"/>
  <c r="P493" i="15"/>
  <c r="P425" i="15"/>
  <c r="AN515" i="15"/>
  <c r="AC440" i="15"/>
  <c r="AA512" i="15"/>
  <c r="T460" i="15"/>
  <c r="B351" i="15"/>
  <c r="U364" i="15"/>
  <c r="A366" i="15"/>
  <c r="I473" i="15"/>
  <c r="AL361" i="15"/>
  <c r="E398" i="15"/>
  <c r="X387" i="15"/>
  <c r="F403" i="15"/>
  <c r="K400" i="15"/>
  <c r="AL417" i="15"/>
  <c r="D465" i="15"/>
  <c r="S349" i="15"/>
  <c r="B289" i="15"/>
  <c r="AA343" i="15"/>
  <c r="AA422" i="15"/>
  <c r="X368" i="15"/>
  <c r="C468" i="15"/>
  <c r="Y436" i="15"/>
  <c r="I488" i="15"/>
  <c r="N367" i="15"/>
  <c r="AE368" i="15"/>
  <c r="R478" i="15"/>
  <c r="AB504" i="15"/>
  <c r="AN352" i="15"/>
  <c r="AJ424" i="15"/>
  <c r="Z452" i="15"/>
  <c r="AI439" i="15"/>
  <c r="AA356" i="15"/>
  <c r="V372" i="15"/>
  <c r="G431" i="15"/>
  <c r="C399" i="15"/>
  <c r="AA372" i="15"/>
  <c r="DW354" i="15"/>
  <c r="Y372" i="15"/>
  <c r="W384" i="15"/>
  <c r="X386" i="15"/>
  <c r="P405" i="15"/>
  <c r="R432" i="15"/>
  <c r="K382" i="15"/>
  <c r="G358" i="15"/>
  <c r="A360" i="15"/>
  <c r="A364" i="15"/>
  <c r="K374" i="15"/>
  <c r="J391" i="15"/>
  <c r="J395" i="15"/>
  <c r="E399" i="15"/>
  <c r="U389" i="15"/>
  <c r="X458" i="15"/>
  <c r="N544" i="15"/>
  <c r="AR367" i="15"/>
  <c r="AN365" i="15"/>
  <c r="I381" i="15"/>
  <c r="J458" i="15"/>
  <c r="AD412" i="15"/>
  <c r="AL385" i="15"/>
  <c r="AB378" i="15"/>
  <c r="AN380" i="15"/>
  <c r="E393" i="15"/>
  <c r="S410" i="15"/>
  <c r="Z413" i="15"/>
  <c r="G343" i="15"/>
  <c r="S281" i="15"/>
  <c r="F323" i="15"/>
  <c r="AK351" i="15"/>
  <c r="A285" i="15"/>
  <c r="DZ298" i="15"/>
  <c r="U320" i="15"/>
  <c r="AD372" i="15"/>
  <c r="R356" i="15"/>
  <c r="B431" i="15"/>
  <c r="W465" i="15"/>
  <c r="O447" i="15"/>
  <c r="R359" i="15"/>
  <c r="AA374" i="15"/>
  <c r="X378" i="15"/>
  <c r="J313" i="15"/>
  <c r="T450" i="15"/>
  <c r="AB372" i="15"/>
  <c r="AC385" i="15"/>
  <c r="F357" i="15"/>
  <c r="AR337" i="15"/>
  <c r="B469" i="15"/>
  <c r="G523" i="15"/>
  <c r="DX430" i="15"/>
  <c r="B365" i="15"/>
  <c r="T431" i="15"/>
  <c r="K449" i="15"/>
  <c r="C426" i="15"/>
  <c r="W435" i="15"/>
  <c r="T374" i="15"/>
  <c r="A531" i="15"/>
  <c r="O518" i="15"/>
  <c r="DY479" i="15"/>
  <c r="AI434" i="15"/>
  <c r="C437" i="15"/>
  <c r="A375" i="15"/>
  <c r="B532" i="15"/>
  <c r="N464" i="15"/>
  <c r="V479" i="15"/>
  <c r="Z423" i="15"/>
  <c r="M519" i="15"/>
  <c r="D570" i="15"/>
  <c r="W556" i="15"/>
  <c r="K410" i="15"/>
  <c r="AL374" i="15"/>
  <c r="J498" i="15"/>
  <c r="AC441" i="15"/>
  <c r="E410" i="15"/>
  <c r="T455" i="15"/>
  <c r="K488" i="15"/>
  <c r="W389" i="15"/>
  <c r="E471" i="15"/>
  <c r="C504" i="15"/>
  <c r="AK490" i="15"/>
  <c r="B436" i="15"/>
  <c r="AA466" i="15"/>
  <c r="A440" i="15"/>
  <c r="J474" i="15"/>
  <c r="AC454" i="15"/>
  <c r="AL360" i="15"/>
  <c r="DX489" i="15"/>
  <c r="B417" i="15"/>
  <c r="AA390" i="15"/>
  <c r="I382" i="15"/>
  <c r="V383" i="15"/>
  <c r="J396" i="15"/>
  <c r="AK412" i="15"/>
  <c r="J416" i="15"/>
  <c r="J345" i="15"/>
  <c r="S284" i="15"/>
  <c r="AK449" i="15"/>
  <c r="AN408" i="15"/>
  <c r="AK361" i="15"/>
  <c r="W411" i="15"/>
  <c r="V425" i="15"/>
  <c r="C460" i="15"/>
  <c r="Y469" i="15"/>
  <c r="AC364" i="15"/>
  <c r="G474" i="15"/>
  <c r="AO381" i="15"/>
  <c r="I472" i="15"/>
  <c r="R416" i="15"/>
  <c r="Z412" i="15"/>
  <c r="P428" i="15"/>
  <c r="G508" i="15"/>
  <c r="P354" i="15"/>
  <c r="J404" i="15"/>
  <c r="B391" i="15"/>
  <c r="G464" i="15"/>
  <c r="N350" i="15"/>
  <c r="T368" i="15"/>
  <c r="AA366" i="15"/>
  <c r="E382" i="15"/>
  <c r="DU399" i="15"/>
  <c r="Y470" i="15"/>
  <c r="B374" i="15"/>
  <c r="S532" i="15"/>
  <c r="E449" i="15"/>
  <c r="V358" i="15"/>
  <c r="K370" i="15"/>
  <c r="DV371" i="15"/>
  <c r="G390" i="15"/>
  <c r="B378" i="15"/>
  <c r="H358" i="15"/>
  <c r="AC434" i="15"/>
  <c r="AC471" i="15"/>
  <c r="Y452" i="15"/>
  <c r="AC360" i="15"/>
  <c r="B376" i="15"/>
  <c r="A478" i="15"/>
  <c r="Y404" i="15"/>
  <c r="AO377" i="15"/>
  <c r="W358" i="15"/>
  <c r="Y375" i="15"/>
  <c r="B388" i="15"/>
  <c r="H390" i="15"/>
  <c r="E409" i="15"/>
  <c r="V338" i="15"/>
  <c r="AK261" i="15"/>
  <c r="P318" i="15"/>
  <c r="AC346" i="15"/>
  <c r="D386" i="15"/>
  <c r="AL294" i="15"/>
  <c r="H455" i="15"/>
  <c r="J387" i="15"/>
  <c r="R510" i="15"/>
  <c r="R420" i="15"/>
  <c r="DY414" i="15"/>
  <c r="U433" i="15"/>
  <c r="AD354" i="15"/>
  <c r="I356" i="15"/>
  <c r="P373" i="15"/>
  <c r="G309" i="15"/>
  <c r="Y357" i="15"/>
  <c r="V549" i="15"/>
  <c r="X371" i="15"/>
  <c r="K461" i="15"/>
  <c r="AB321" i="15"/>
  <c r="DW481" i="15"/>
  <c r="AG519" i="15"/>
  <c r="R451" i="15"/>
  <c r="J428" i="15"/>
  <c r="AC528" i="15"/>
  <c r="E479" i="15"/>
  <c r="A452" i="15"/>
  <c r="AL422" i="15"/>
  <c r="D350" i="15"/>
  <c r="AM457" i="15"/>
  <c r="E465" i="15"/>
  <c r="AK601" i="15"/>
  <c r="D476" i="15"/>
  <c r="R492" i="15"/>
  <c r="AG451" i="15"/>
  <c r="V378" i="15"/>
  <c r="H431" i="15"/>
  <c r="AA446" i="15"/>
  <c r="G547" i="15"/>
  <c r="R456" i="15"/>
  <c r="AB470" i="15"/>
  <c r="DX422" i="15"/>
  <c r="Z387" i="15"/>
  <c r="AG354" i="15"/>
  <c r="S496" i="15"/>
  <c r="DY489" i="15"/>
  <c r="L490" i="15"/>
  <c r="G429" i="15"/>
  <c r="AB469" i="15"/>
  <c r="C384" i="15"/>
  <c r="H409" i="15"/>
  <c r="R470" i="15"/>
  <c r="F478" i="15"/>
  <c r="AB472" i="15"/>
  <c r="DW443" i="15"/>
  <c r="AR419" i="15"/>
  <c r="V449" i="15"/>
  <c r="Z436" i="15"/>
  <c r="AB355" i="15"/>
  <c r="U439" i="15"/>
  <c r="AC409" i="15"/>
  <c r="W382" i="15"/>
  <c r="W376" i="15"/>
  <c r="AA378" i="15"/>
  <c r="DX390" i="15"/>
  <c r="H408" i="15"/>
  <c r="AN411" i="15"/>
  <c r="I341" i="15"/>
  <c r="K279" i="15"/>
  <c r="B461" i="15"/>
  <c r="E395" i="15"/>
  <c r="O353" i="15"/>
  <c r="U405" i="15"/>
  <c r="AR417" i="15"/>
  <c r="AE440" i="15"/>
  <c r="N447" i="15"/>
  <c r="P359" i="15"/>
  <c r="D440" i="15"/>
  <c r="Y369" i="15"/>
  <c r="DW439" i="15"/>
  <c r="J411" i="15"/>
  <c r="AC407" i="15"/>
  <c r="A421" i="15"/>
  <c r="AA467" i="15"/>
  <c r="AA490" i="15"/>
  <c r="A383" i="15"/>
  <c r="DY382" i="15"/>
  <c r="AK437" i="15"/>
  <c r="V476" i="15"/>
  <c r="R364" i="15"/>
  <c r="Z361" i="15"/>
  <c r="AN376" i="15"/>
  <c r="AA395" i="15"/>
  <c r="V417" i="15"/>
  <c r="S367" i="15"/>
  <c r="K462" i="15"/>
  <c r="AB433" i="15"/>
  <c r="DX478" i="15"/>
  <c r="L366" i="15"/>
  <c r="AN367" i="15"/>
  <c r="H512" i="15"/>
  <c r="X464" i="15"/>
  <c r="S351" i="15"/>
  <c r="T422" i="15"/>
  <c r="P447" i="15"/>
  <c r="R436" i="15"/>
  <c r="Y355" i="15"/>
  <c r="V371" i="15"/>
  <c r="D417" i="15"/>
  <c r="AB396" i="15"/>
  <c r="AA370" i="15"/>
  <c r="AA353" i="15"/>
  <c r="K371" i="15"/>
  <c r="H383" i="15"/>
  <c r="DV384" i="15"/>
  <c r="T403" i="15"/>
  <c r="O334" i="15"/>
  <c r="P257" i="15"/>
  <c r="T313" i="15"/>
  <c r="V342" i="15"/>
  <c r="AL367" i="15"/>
  <c r="AR290" i="15"/>
  <c r="V436" i="15"/>
  <c r="C374" i="15"/>
  <c r="AK454" i="15"/>
  <c r="R413" i="15"/>
  <c r="U410" i="15"/>
  <c r="D424" i="15"/>
  <c r="L481" i="15"/>
  <c r="X540" i="15"/>
  <c r="P369" i="15"/>
  <c r="U305" i="15"/>
  <c r="U349" i="15"/>
  <c r="AN419" i="15"/>
  <c r="J544" i="15"/>
  <c r="AO429" i="15"/>
  <c r="D316" i="15"/>
  <c r="F372" i="15"/>
  <c r="O287" i="15"/>
  <c r="E323" i="15"/>
  <c r="E378" i="15"/>
  <c r="H301" i="15"/>
  <c r="A331" i="15"/>
  <c r="K404" i="15"/>
  <c r="DU310" i="15"/>
  <c r="F348" i="15"/>
  <c r="F295" i="15"/>
  <c r="DX491" i="15"/>
  <c r="DY504" i="15"/>
  <c r="AC445" i="15"/>
  <c r="L511" i="15"/>
  <c r="AA393" i="15"/>
  <c r="Y604" i="15"/>
  <c r="Y451" i="15"/>
  <c r="AB459" i="15"/>
  <c r="U395" i="15"/>
  <c r="AA450" i="15"/>
  <c r="B453" i="15"/>
  <c r="M535" i="15"/>
  <c r="J465" i="15"/>
  <c r="F480" i="15"/>
  <c r="AR434" i="15"/>
  <c r="I532" i="15"/>
  <c r="I521" i="15"/>
  <c r="M442" i="15"/>
  <c r="AM514" i="15"/>
  <c r="W447" i="15"/>
  <c r="DU463" i="15"/>
  <c r="E416" i="15"/>
  <c r="X382" i="15"/>
  <c r="H492" i="15"/>
  <c r="D455" i="15"/>
  <c r="B476" i="15"/>
  <c r="F442" i="15"/>
  <c r="G511" i="15"/>
  <c r="AC456" i="15"/>
  <c r="C523" i="15"/>
  <c r="AG367" i="15"/>
  <c r="X462" i="15"/>
  <c r="W445" i="15"/>
  <c r="D448" i="15"/>
  <c r="AK409" i="15"/>
  <c r="AR413" i="15"/>
  <c r="AL433" i="15"/>
  <c r="A426" i="15"/>
  <c r="P351" i="15"/>
  <c r="Y500" i="15"/>
  <c r="S400" i="15"/>
  <c r="R374" i="15"/>
  <c r="Y371" i="15"/>
  <c r="T373" i="15"/>
  <c r="AA385" i="15"/>
  <c r="W402" i="15"/>
  <c r="AB406" i="15"/>
  <c r="F337" i="15"/>
  <c r="G274" i="15"/>
  <c r="V546" i="15"/>
  <c r="L382" i="15"/>
  <c r="S479" i="15"/>
  <c r="A399" i="15"/>
  <c r="AN412" i="15"/>
  <c r="F429" i="15"/>
  <c r="R433" i="15"/>
  <c r="AC354" i="15"/>
  <c r="F453" i="15"/>
  <c r="X359" i="15"/>
  <c r="DV422" i="15"/>
  <c r="W404" i="15"/>
  <c r="H402" i="15"/>
  <c r="DX414" i="15"/>
  <c r="AN445" i="15"/>
  <c r="D478" i="15"/>
  <c r="Z498" i="15"/>
  <c r="AN374" i="15"/>
  <c r="W423" i="15"/>
  <c r="C451" i="15"/>
  <c r="B359" i="15"/>
  <c r="J356" i="15"/>
  <c r="I372" i="15"/>
  <c r="U390" i="15"/>
  <c r="Z404" i="15"/>
  <c r="F359" i="15"/>
  <c r="Y435" i="15"/>
  <c r="O423" i="15"/>
  <c r="O454" i="15"/>
  <c r="I361" i="15"/>
  <c r="S363" i="15"/>
  <c r="DY433" i="15"/>
  <c r="V416" i="15"/>
  <c r="O462" i="15"/>
  <c r="M415" i="15"/>
  <c r="AB432" i="15"/>
  <c r="AN425" i="15"/>
  <c r="P491" i="15"/>
  <c r="AA367" i="15"/>
  <c r="W395" i="15"/>
  <c r="W388" i="15"/>
  <c r="C364" i="15"/>
  <c r="I518" i="15"/>
  <c r="O367" i="15"/>
  <c r="I378" i="15"/>
  <c r="P380" i="15"/>
  <c r="P398" i="15"/>
  <c r="S330" i="15"/>
  <c r="S253" i="15"/>
  <c r="DZ308" i="15"/>
  <c r="AG337" i="15"/>
  <c r="E354" i="15"/>
  <c r="K286" i="15"/>
  <c r="AR491" i="15"/>
  <c r="G365" i="15"/>
  <c r="G430" i="15"/>
  <c r="AK407" i="15"/>
  <c r="DU529" i="15"/>
  <c r="AR494" i="15"/>
  <c r="O555" i="15"/>
  <c r="AC439" i="15"/>
  <c r="X455" i="15"/>
  <c r="P474" i="15"/>
  <c r="Y497" i="15"/>
  <c r="DV429" i="15"/>
  <c r="AR368" i="15"/>
  <c r="C443" i="15"/>
  <c r="R447" i="15"/>
  <c r="DU493" i="15"/>
  <c r="R457" i="15"/>
  <c r="AK471" i="15"/>
  <c r="S424" i="15"/>
  <c r="AL416" i="15"/>
  <c r="Y491" i="15"/>
  <c r="AN437" i="15"/>
  <c r="P419" i="15"/>
  <c r="C442" i="15"/>
  <c r="AB457" i="15"/>
  <c r="DZ410" i="15"/>
  <c r="D377" i="15"/>
  <c r="R460" i="15"/>
  <c r="AM443" i="15"/>
  <c r="B467" i="15"/>
  <c r="B484" i="15"/>
  <c r="E489" i="15"/>
  <c r="D451" i="15"/>
  <c r="E445" i="15"/>
  <c r="R483" i="15"/>
  <c r="E453" i="15"/>
  <c r="AH439" i="15"/>
  <c r="B433" i="15"/>
  <c r="AB403" i="15"/>
  <c r="AL408" i="15"/>
  <c r="C406" i="15"/>
  <c r="G419" i="15"/>
  <c r="J488" i="15"/>
  <c r="M410" i="15"/>
  <c r="AC392" i="15"/>
  <c r="AE367" i="15"/>
  <c r="AD351" i="15"/>
  <c r="U369" i="15"/>
  <c r="J381" i="15"/>
  <c r="G383" i="15"/>
  <c r="G401" i="15"/>
  <c r="W332" i="15"/>
  <c r="AC255" i="15"/>
  <c r="Z445" i="15"/>
  <c r="B371" i="15"/>
  <c r="T406" i="15"/>
  <c r="G393" i="15"/>
  <c r="J408" i="15"/>
  <c r="S405" i="15"/>
  <c r="C424" i="15"/>
  <c r="W494" i="15"/>
  <c r="P477" i="15"/>
  <c r="Z349" i="15"/>
  <c r="S413" i="15"/>
  <c r="P381" i="15"/>
  <c r="Y397" i="15"/>
  <c r="T410" i="15"/>
  <c r="G412" i="15"/>
  <c r="AN472" i="15"/>
  <c r="A420" i="15"/>
  <c r="G470" i="15"/>
  <c r="A416" i="15"/>
  <c r="AB434" i="15"/>
  <c r="W427" i="15"/>
  <c r="X501" i="15"/>
  <c r="E368" i="15"/>
  <c r="B446" i="15"/>
  <c r="P392" i="15"/>
  <c r="AF351" i="15"/>
  <c r="G403" i="15"/>
  <c r="P416" i="15"/>
  <c r="U437" i="15"/>
  <c r="J443" i="15"/>
  <c r="C358" i="15"/>
  <c r="DW429" i="15"/>
  <c r="DY367" i="15"/>
  <c r="AD434" i="15"/>
  <c r="AA409" i="15"/>
  <c r="R406" i="15"/>
  <c r="E419" i="15"/>
  <c r="AB461" i="15"/>
  <c r="AB480" i="15"/>
  <c r="Y373" i="15"/>
  <c r="W380" i="15"/>
  <c r="AL431" i="15"/>
  <c r="AL467" i="15"/>
  <c r="X362" i="15"/>
  <c r="AL359" i="15"/>
  <c r="F375" i="15"/>
  <c r="AR393" i="15"/>
  <c r="Z313" i="15"/>
  <c r="X457" i="15"/>
  <c r="AM304" i="15"/>
  <c r="AO319" i="15"/>
  <c r="AK347" i="15"/>
  <c r="I427" i="15"/>
  <c r="B443" i="15"/>
  <c r="W354" i="15"/>
  <c r="T417" i="15"/>
  <c r="W383" i="15"/>
  <c r="Z399" i="15"/>
  <c r="Y412" i="15"/>
  <c r="V414" i="15"/>
  <c r="V450" i="15"/>
  <c r="I360" i="15"/>
  <c r="G286" i="15"/>
  <c r="S340" i="15"/>
  <c r="DZ370" i="15"/>
  <c r="K413" i="15"/>
  <c r="E386" i="15"/>
  <c r="E305" i="15"/>
  <c r="P346" i="15"/>
  <c r="D450" i="15"/>
  <c r="X312" i="15"/>
  <c r="AO349" i="15"/>
  <c r="D292" i="15"/>
  <c r="AK321" i="15"/>
  <c r="T366" i="15"/>
  <c r="AO302" i="15"/>
  <c r="B339" i="15"/>
  <c r="U415" i="15"/>
  <c r="DV442" i="15"/>
  <c r="DZ464" i="15"/>
  <c r="L432" i="15"/>
  <c r="K528" i="15"/>
  <c r="K475" i="15"/>
  <c r="AC403" i="15"/>
  <c r="H473" i="15"/>
  <c r="V432" i="15"/>
  <c r="Z414" i="15"/>
  <c r="B527" i="15"/>
  <c r="DZ442" i="15"/>
  <c r="K477" i="15"/>
  <c r="I450" i="15"/>
  <c r="AA464" i="15"/>
  <c r="C417" i="15"/>
  <c r="Z453" i="15"/>
  <c r="D479" i="15"/>
  <c r="E433" i="15"/>
  <c r="AJ372" i="15"/>
  <c r="S436" i="15"/>
  <c r="L446" i="15"/>
  <c r="G405" i="15"/>
  <c r="B372" i="15"/>
  <c r="DV439" i="15"/>
  <c r="Y431" i="15"/>
  <c r="G459" i="15"/>
  <c r="X454" i="15"/>
  <c r="W474" i="15"/>
  <c r="H445" i="15"/>
  <c r="AC421" i="15"/>
  <c r="F483" i="15"/>
  <c r="O446" i="15"/>
  <c r="S434" i="15"/>
  <c r="DY422" i="15"/>
  <c r="H398" i="15"/>
  <c r="K402" i="15"/>
  <c r="A400" i="15"/>
  <c r="AL413" i="15"/>
  <c r="D460" i="15"/>
  <c r="H388" i="15"/>
  <c r="AB384" i="15"/>
  <c r="O361" i="15"/>
  <c r="O484" i="15"/>
  <c r="T365" i="15"/>
  <c r="C376" i="15"/>
  <c r="H378" i="15"/>
  <c r="DV396" i="15"/>
  <c r="AM328" i="15"/>
  <c r="P251" i="15"/>
  <c r="AH472" i="15"/>
  <c r="R361" i="15"/>
  <c r="AA397" i="15"/>
  <c r="G387" i="15"/>
  <c r="Y402" i="15"/>
  <c r="DX399" i="15"/>
  <c r="O417" i="15"/>
  <c r="P463" i="15"/>
  <c r="F434" i="15"/>
  <c r="AR452" i="15"/>
  <c r="V405" i="15"/>
  <c r="Z375" i="15"/>
  <c r="Z392" i="15"/>
  <c r="B405" i="15"/>
  <c r="J407" i="15"/>
  <c r="AM439" i="15"/>
  <c r="X405" i="15"/>
  <c r="F439" i="15"/>
  <c r="DW410" i="15"/>
  <c r="E424" i="15"/>
  <c r="O420" i="15"/>
  <c r="U465" i="15"/>
  <c r="AN363" i="15"/>
  <c r="C483" i="15"/>
  <c r="AL378" i="15"/>
  <c r="I466" i="15"/>
  <c r="Z397" i="15"/>
  <c r="DV411" i="15"/>
  <c r="AB426" i="15"/>
  <c r="AK430" i="15"/>
  <c r="X353" i="15"/>
  <c r="R444" i="15"/>
  <c r="AN356" i="15"/>
  <c r="S420" i="15"/>
  <c r="Z402" i="15"/>
  <c r="AC400" i="15"/>
  <c r="AC413" i="15"/>
  <c r="DW441" i="15"/>
  <c r="R528" i="15"/>
  <c r="X446" i="15"/>
  <c r="O372" i="15"/>
  <c r="V421" i="15"/>
  <c r="Z444" i="15"/>
  <c r="J529" i="15"/>
  <c r="DU354" i="15"/>
  <c r="DV370" i="15"/>
  <c r="AK388" i="15"/>
  <c r="W309" i="15"/>
  <c r="AL414" i="15"/>
  <c r="AM300" i="15"/>
  <c r="F315" i="15"/>
  <c r="Y343" i="15"/>
  <c r="O404" i="15"/>
  <c r="W451" i="15"/>
  <c r="K474" i="15"/>
  <c r="J410" i="15"/>
  <c r="K378" i="15"/>
  <c r="R395" i="15"/>
  <c r="AB407" i="15"/>
  <c r="F410" i="15"/>
  <c r="H435" i="15"/>
  <c r="F355" i="15"/>
  <c r="C281" i="15"/>
  <c r="O529" i="15"/>
  <c r="S503" i="15"/>
  <c r="T369" i="15"/>
  <c r="O380" i="15"/>
  <c r="C300" i="15"/>
  <c r="B340" i="15"/>
  <c r="AC411" i="15"/>
  <c r="AR307" i="15"/>
  <c r="DV344" i="15"/>
  <c r="AA287" i="15"/>
  <c r="AL316" i="15"/>
  <c r="E353" i="15"/>
  <c r="AG298" i="15"/>
  <c r="R334" i="15"/>
  <c r="E396" i="15"/>
  <c r="G507" i="15"/>
  <c r="AK534" i="15"/>
  <c r="J496" i="15"/>
  <c r="DW432" i="15"/>
  <c r="U434" i="15"/>
  <c r="S408" i="15"/>
  <c r="O438" i="15"/>
  <c r="P471" i="15"/>
  <c r="H387" i="15"/>
  <c r="Z494" i="15"/>
  <c r="AB438" i="15"/>
  <c r="DY428" i="15"/>
  <c r="AC442" i="15"/>
  <c r="AB458" i="15"/>
  <c r="V406" i="15"/>
  <c r="E531" i="15"/>
  <c r="DU467" i="15"/>
  <c r="Z482" i="15"/>
  <c r="AN499" i="15"/>
  <c r="DU429" i="15"/>
  <c r="DZ441" i="15"/>
  <c r="Q399" i="15"/>
  <c r="AF367" i="15"/>
  <c r="U428" i="15"/>
  <c r="L421" i="15"/>
  <c r="H450" i="15"/>
  <c r="S443" i="15"/>
  <c r="R466" i="15"/>
  <c r="AR440" i="15"/>
  <c r="C415" i="15"/>
  <c r="U440" i="15"/>
  <c r="C441" i="15"/>
  <c r="L545" i="15"/>
  <c r="F416" i="15"/>
  <c r="AA387" i="15"/>
  <c r="O397" i="15"/>
  <c r="T395" i="15"/>
  <c r="J409" i="15"/>
  <c r="AL440" i="15"/>
  <c r="DZ367" i="15"/>
  <c r="Y376" i="15"/>
  <c r="G354" i="15"/>
  <c r="J456" i="15"/>
  <c r="P360" i="15"/>
  <c r="W371" i="15"/>
  <c r="A373" i="15"/>
  <c r="Z391" i="15"/>
  <c r="A325" i="15"/>
  <c r="P431" i="15"/>
  <c r="L488" i="15"/>
  <c r="C351" i="15"/>
  <c r="M390" i="15"/>
  <c r="AK381" i="15"/>
  <c r="AL397" i="15"/>
  <c r="AK395" i="15"/>
  <c r="X412" i="15"/>
  <c r="DY442" i="15"/>
  <c r="F486" i="15"/>
  <c r="D427" i="15"/>
  <c r="N397" i="15"/>
  <c r="DY370" i="15"/>
  <c r="W387" i="15"/>
  <c r="Y399" i="15"/>
  <c r="Y401" i="15"/>
  <c r="AG452" i="15"/>
  <c r="AK392" i="15"/>
  <c r="U422" i="15"/>
  <c r="F404" i="15"/>
  <c r="AK416" i="15"/>
  <c r="W414" i="15"/>
  <c r="W444" i="15"/>
  <c r="T358" i="15"/>
  <c r="DU433" i="15"/>
  <c r="L368" i="15"/>
  <c r="Z435" i="15"/>
  <c r="AK391" i="15"/>
  <c r="AL406" i="15"/>
  <c r="AA419" i="15"/>
  <c r="P422" i="15"/>
  <c r="V483" i="15"/>
  <c r="AK479" i="15"/>
  <c r="O497" i="15"/>
  <c r="DX411" i="15"/>
  <c r="M397" i="15"/>
  <c r="Y396" i="15"/>
  <c r="G409" i="15"/>
  <c r="A430" i="15"/>
  <c r="AA477" i="15"/>
  <c r="N414" i="15"/>
  <c r="C366" i="15"/>
  <c r="K414" i="15"/>
  <c r="AO430" i="15"/>
  <c r="AB471" i="15"/>
  <c r="M484" i="15"/>
  <c r="DZ366" i="15"/>
  <c r="AN383" i="15"/>
  <c r="AG305" i="15"/>
  <c r="H395" i="15"/>
  <c r="F297" i="15"/>
  <c r="M310" i="15"/>
  <c r="AA338" i="15"/>
  <c r="S384" i="15"/>
  <c r="Y536" i="15"/>
  <c r="AR437" i="15"/>
  <c r="AL400" i="15"/>
  <c r="AM372" i="15"/>
  <c r="J390" i="15"/>
  <c r="G402" i="15"/>
  <c r="S404" i="15"/>
  <c r="J425" i="15"/>
  <c r="DU350" i="15"/>
  <c r="AL275" i="15"/>
  <c r="AN438" i="15"/>
  <c r="C422" i="15"/>
  <c r="H355" i="15"/>
  <c r="DY372" i="15"/>
  <c r="R561" i="15"/>
  <c r="AL524" i="15"/>
  <c r="AD348" i="15"/>
  <c r="Q444" i="15"/>
  <c r="K435" i="15"/>
  <c r="AL436" i="15"/>
  <c r="AR453" i="15"/>
  <c r="I448" i="15"/>
  <c r="F435" i="15"/>
  <c r="V453" i="15"/>
  <c r="R439" i="15"/>
  <c r="J417" i="15"/>
  <c r="AB479" i="15"/>
  <c r="AN433" i="15"/>
  <c r="O384" i="15"/>
  <c r="DX421" i="15"/>
  <c r="AL540" i="15"/>
  <c r="H418" i="15"/>
  <c r="V455" i="15"/>
  <c r="Z459" i="15"/>
  <c r="P453" i="15"/>
  <c r="R378" i="15"/>
  <c r="C485" i="15"/>
  <c r="D405" i="15"/>
  <c r="C455" i="15"/>
  <c r="C479" i="15"/>
  <c r="AN473" i="15"/>
  <c r="AK526" i="15"/>
  <c r="O436" i="15"/>
  <c r="L410" i="15"/>
  <c r="U420" i="15"/>
  <c r="H485" i="15"/>
  <c r="Y503" i="15"/>
  <c r="Z394" i="15"/>
  <c r="Y382" i="15"/>
  <c r="AC375" i="15"/>
  <c r="AR389" i="15"/>
  <c r="Y403" i="15"/>
  <c r="AK362" i="15"/>
  <c r="B428" i="15"/>
  <c r="X369" i="15"/>
  <c r="S417" i="15"/>
  <c r="AC437" i="15"/>
  <c r="S491" i="15"/>
  <c r="G529" i="15"/>
  <c r="A369" i="15"/>
  <c r="V386" i="15"/>
  <c r="AO307" i="15"/>
  <c r="Z406" i="15"/>
  <c r="H439" i="15"/>
  <c r="O409" i="15"/>
  <c r="AL381" i="15"/>
  <c r="E376" i="15"/>
  <c r="J378" i="15"/>
  <c r="W390" i="15"/>
  <c r="AA407" i="15"/>
  <c r="S411" i="15"/>
  <c r="P455" i="15"/>
  <c r="AC415" i="15"/>
  <c r="D367" i="15"/>
  <c r="AC366" i="15"/>
  <c r="DV382" i="15"/>
  <c r="R380" i="15"/>
  <c r="J397" i="15"/>
  <c r="A501" i="15"/>
  <c r="AN520" i="15"/>
  <c r="B413" i="15"/>
  <c r="AM397" i="15"/>
  <c r="L397" i="15"/>
  <c r="G410" i="15"/>
  <c r="U431" i="15"/>
  <c r="Z440" i="15"/>
  <c r="AN455" i="15"/>
  <c r="O357" i="15"/>
  <c r="M396" i="15"/>
  <c r="AK385" i="15"/>
  <c r="J401" i="15"/>
  <c r="AN398" i="15"/>
  <c r="DX415" i="15"/>
  <c r="Z457" i="15"/>
  <c r="S429" i="15"/>
  <c r="L442" i="15"/>
  <c r="AA402" i="15"/>
  <c r="P374" i="15"/>
  <c r="O391" i="15"/>
  <c r="V403" i="15"/>
  <c r="AL405" i="15"/>
  <c r="AD576" i="15"/>
  <c r="A401" i="15"/>
  <c r="AM431" i="15"/>
  <c r="K408" i="15"/>
  <c r="B422" i="15"/>
  <c r="AN417" i="15"/>
  <c r="D458" i="15"/>
  <c r="E362" i="15"/>
  <c r="AC365" i="15"/>
  <c r="F302" i="15"/>
  <c r="C375" i="15"/>
  <c r="AK498" i="15"/>
  <c r="J306" i="15"/>
  <c r="C334" i="15"/>
  <c r="K343" i="15"/>
  <c r="AA468" i="15"/>
  <c r="G421" i="15"/>
  <c r="W369" i="15"/>
  <c r="V368" i="15"/>
  <c r="DX384" i="15"/>
  <c r="DU382" i="15"/>
  <c r="J399" i="15"/>
  <c r="O418" i="15"/>
  <c r="AO333" i="15"/>
  <c r="AC270" i="15"/>
  <c r="AB448" i="15"/>
  <c r="E369" i="15"/>
  <c r="AA440" i="15"/>
  <c r="AM367" i="15"/>
  <c r="Y527" i="15"/>
  <c r="AB442" i="15"/>
  <c r="AM442" i="15"/>
  <c r="AB513" i="15"/>
  <c r="AB532" i="15"/>
  <c r="U354" i="15"/>
  <c r="AC504" i="15"/>
  <c r="X427" i="15"/>
  <c r="B425" i="15"/>
  <c r="D482" i="15"/>
  <c r="R402" i="15"/>
  <c r="C435" i="15"/>
  <c r="DV444" i="15"/>
  <c r="K426" i="15"/>
  <c r="AJ364" i="15"/>
  <c r="AN457" i="15"/>
  <c r="U453" i="15"/>
  <c r="D391" i="15"/>
  <c r="X509" i="15"/>
  <c r="Y493" i="15"/>
  <c r="S412" i="15"/>
  <c r="I358" i="15"/>
  <c r="B418" i="15"/>
  <c r="DY384" i="15"/>
  <c r="B426" i="15"/>
  <c r="M446" i="15"/>
  <c r="Y439" i="15"/>
  <c r="Y459" i="15"/>
  <c r="C434" i="15"/>
  <c r="I404" i="15"/>
  <c r="AM492" i="15"/>
  <c r="AK473" i="15"/>
  <c r="I487" i="15"/>
  <c r="F389" i="15"/>
  <c r="E377" i="15"/>
  <c r="A371" i="15"/>
  <c r="L384" i="15"/>
  <c r="U398" i="15"/>
  <c r="Y453" i="15"/>
  <c r="P409" i="15"/>
  <c r="J362" i="15"/>
  <c r="DW411" i="15"/>
  <c r="AR425" i="15"/>
  <c r="AC461" i="15"/>
  <c r="AA471" i="15"/>
  <c r="AR364" i="15"/>
  <c r="D382" i="15"/>
  <c r="G304" i="15"/>
  <c r="T386" i="15"/>
  <c r="C489" i="15"/>
  <c r="AC399" i="15"/>
  <c r="V373" i="15"/>
  <c r="L371" i="15"/>
  <c r="C373" i="15"/>
  <c r="J385" i="15"/>
  <c r="F402" i="15"/>
  <c r="K406" i="15"/>
  <c r="AA435" i="15"/>
  <c r="A408" i="15"/>
  <c r="V359" i="15"/>
  <c r="K361" i="15"/>
  <c r="AL377" i="15"/>
  <c r="G375" i="15"/>
  <c r="G392" i="15"/>
  <c r="S440" i="15"/>
  <c r="AL447" i="15"/>
  <c r="E405" i="15"/>
  <c r="J392" i="15"/>
  <c r="I392" i="15"/>
  <c r="U404" i="15"/>
  <c r="AG422" i="15"/>
  <c r="B429" i="15"/>
  <c r="A467" i="15"/>
  <c r="X503" i="15"/>
  <c r="Y387" i="15"/>
  <c r="T380" i="15"/>
  <c r="DY396" i="15"/>
  <c r="S394" i="15"/>
  <c r="T411" i="15"/>
  <c r="AE439" i="15"/>
  <c r="X476" i="15"/>
  <c r="DW422" i="15"/>
  <c r="AR395" i="15"/>
  <c r="V369" i="15"/>
  <c r="I386" i="15"/>
  <c r="S398" i="15"/>
  <c r="J400" i="15"/>
  <c r="S438" i="15"/>
  <c r="X388" i="15"/>
  <c r="Y418" i="15"/>
  <c r="AB401" i="15"/>
  <c r="L415" i="15"/>
  <c r="AL412" i="15"/>
  <c r="AF439" i="15"/>
  <c r="Z356" i="15"/>
  <c r="Z360" i="15"/>
  <c r="Q298" i="15"/>
  <c r="AK358" i="15"/>
  <c r="AC422" i="15"/>
  <c r="O302" i="15"/>
  <c r="DW329" i="15"/>
  <c r="I338" i="15"/>
  <c r="AA444" i="15"/>
  <c r="DY411" i="15"/>
  <c r="W363" i="15"/>
  <c r="B364" i="15"/>
  <c r="S380" i="15"/>
  <c r="AK377" i="15"/>
  <c r="AL394" i="15"/>
  <c r="I413" i="15"/>
  <c r="F330" i="15"/>
  <c r="I266" i="15"/>
  <c r="AL475" i="15"/>
  <c r="F354" i="15"/>
  <c r="J415" i="15"/>
  <c r="D362" i="15"/>
  <c r="C284" i="15"/>
  <c r="P325" i="15"/>
  <c r="K354" i="15"/>
  <c r="Z294" i="15"/>
  <c r="K330" i="15"/>
  <c r="C383" i="15"/>
  <c r="AA303" i="15"/>
  <c r="H338" i="15"/>
  <c r="AB285" i="15"/>
  <c r="J321" i="15"/>
  <c r="I350" i="15"/>
  <c r="L297" i="15"/>
  <c r="P329" i="15"/>
  <c r="Y413" i="15"/>
  <c r="G313" i="15"/>
  <c r="X256" i="15"/>
  <c r="AM467" i="15"/>
  <c r="DZ484" i="15"/>
  <c r="U432" i="15"/>
  <c r="AK455" i="15"/>
  <c r="AL343" i="15"/>
  <c r="G277" i="15"/>
  <c r="Y329" i="15"/>
  <c r="N410" i="15"/>
  <c r="AB307" i="15"/>
  <c r="X344" i="15"/>
  <c r="J287" i="15"/>
  <c r="R316" i="15"/>
  <c r="K352" i="15"/>
  <c r="T298" i="15"/>
  <c r="AR333" i="15"/>
  <c r="K394" i="15"/>
  <c r="AO308" i="15"/>
  <c r="AB342" i="15"/>
  <c r="DW289" i="15"/>
  <c r="AL326" i="15"/>
  <c r="F271" i="15"/>
  <c r="N492" i="15"/>
  <c r="AO398" i="15"/>
  <c r="R398" i="15"/>
  <c r="L367" i="15"/>
  <c r="U299" i="15"/>
  <c r="AM351" i="15"/>
  <c r="O291" i="15"/>
  <c r="DX326" i="15"/>
  <c r="T396" i="15"/>
  <c r="AK304" i="15"/>
  <c r="P335" i="15"/>
  <c r="H422" i="15"/>
  <c r="C315" i="15"/>
  <c r="C353" i="15"/>
  <c r="AF298" i="15"/>
  <c r="AO326" i="15"/>
  <c r="E381" i="15"/>
  <c r="D306" i="15"/>
  <c r="R344" i="15"/>
  <c r="AG291" i="15"/>
  <c r="D352" i="15"/>
  <c r="AD367" i="15"/>
  <c r="AO367" i="15"/>
  <c r="C393" i="15"/>
  <c r="G320" i="15"/>
  <c r="A251" i="15"/>
  <c r="AB308" i="15"/>
  <c r="AO345" i="15"/>
  <c r="AK288" i="15"/>
  <c r="E324" i="15"/>
  <c r="AB359" i="15"/>
  <c r="U298" i="15"/>
  <c r="T332" i="15"/>
  <c r="A424" i="15"/>
  <c r="S315" i="15"/>
  <c r="T344" i="15"/>
  <c r="P415" i="15"/>
  <c r="DZ396" i="15"/>
  <c r="V393" i="15"/>
  <c r="W412" i="15"/>
  <c r="DU330" i="15"/>
  <c r="Y262" i="15"/>
  <c r="AK318" i="15"/>
  <c r="AL362" i="15"/>
  <c r="AF297" i="15"/>
  <c r="AJ332" i="15"/>
  <c r="AG397" i="15"/>
  <c r="H306" i="15"/>
  <c r="W341" i="15"/>
  <c r="DY288" i="15"/>
  <c r="S324" i="15"/>
  <c r="I355" i="15"/>
  <c r="N444" i="15"/>
  <c r="H446" i="15"/>
  <c r="K423" i="15"/>
  <c r="U445" i="15"/>
  <c r="Y341" i="15"/>
  <c r="W274" i="15"/>
  <c r="G328" i="15"/>
  <c r="AN402" i="15"/>
  <c r="AM305" i="15"/>
  <c r="AO342" i="15"/>
  <c r="X480" i="15"/>
  <c r="Y314" i="15"/>
  <c r="L350" i="15"/>
  <c r="N297" i="15"/>
  <c r="S332" i="15"/>
  <c r="P387" i="15"/>
  <c r="AA474" i="15"/>
  <c r="P408" i="15"/>
  <c r="W379" i="15"/>
  <c r="D379" i="15"/>
  <c r="B358" i="15"/>
  <c r="W292" i="15"/>
  <c r="N343" i="15"/>
  <c r="U284" i="15"/>
  <c r="X320" i="15"/>
  <c r="DY368" i="15"/>
  <c r="AI298" i="15"/>
  <c r="AK328" i="15"/>
  <c r="AA394" i="15"/>
  <c r="DV308" i="15"/>
  <c r="AJ345" i="15"/>
  <c r="B293" i="15"/>
  <c r="AL320" i="15"/>
  <c r="X410" i="15"/>
  <c r="T491" i="15"/>
  <c r="W473" i="15"/>
  <c r="AL382" i="15"/>
  <c r="U312" i="15"/>
  <c r="O410" i="15"/>
  <c r="C303" i="15"/>
  <c r="W339" i="15"/>
  <c r="H281" i="15"/>
  <c r="Y317" i="15"/>
  <c r="F500" i="15"/>
  <c r="R415" i="15"/>
  <c r="F513" i="15"/>
  <c r="P439" i="15"/>
  <c r="AN484" i="15"/>
  <c r="Y393" i="15"/>
  <c r="AL392" i="15"/>
  <c r="G439" i="15"/>
  <c r="AC516" i="15"/>
  <c r="AL471" i="15"/>
  <c r="Q397" i="15"/>
  <c r="A425" i="15"/>
  <c r="P545" i="15"/>
  <c r="AB418" i="15"/>
  <c r="G359" i="15"/>
  <c r="D442" i="15"/>
  <c r="D447" i="15"/>
  <c r="D385" i="15"/>
  <c r="G479" i="15"/>
  <c r="G480" i="15"/>
  <c r="E407" i="15"/>
  <c r="AO352" i="15"/>
  <c r="AC412" i="15"/>
  <c r="AL553" i="15"/>
  <c r="D420" i="15"/>
  <c r="N441" i="15"/>
  <c r="W433" i="15"/>
  <c r="J452" i="15"/>
  <c r="W416" i="15"/>
  <c r="Y398" i="15"/>
  <c r="K473" i="15"/>
  <c r="AB465" i="15"/>
  <c r="O477" i="15"/>
  <c r="AA383" i="15"/>
  <c r="C372" i="15"/>
  <c r="AL366" i="15"/>
  <c r="AC378" i="15"/>
  <c r="D394" i="15"/>
  <c r="V463" i="15"/>
  <c r="B396" i="15"/>
  <c r="H354" i="15"/>
  <c r="B406" i="15"/>
  <c r="W418" i="15"/>
  <c r="DX441" i="15"/>
  <c r="B449" i="15"/>
  <c r="AK359" i="15"/>
  <c r="AL376" i="15"/>
  <c r="S300" i="15"/>
  <c r="B368" i="15"/>
  <c r="I457" i="15"/>
  <c r="O392" i="15"/>
  <c r="R367" i="15"/>
  <c r="C367" i="15"/>
  <c r="D369" i="15"/>
  <c r="AL380" i="15"/>
  <c r="W397" i="15"/>
  <c r="Z400" i="15"/>
  <c r="B432" i="15"/>
  <c r="P399" i="15"/>
  <c r="AM352" i="15"/>
  <c r="K355" i="15"/>
  <c r="AL372" i="15"/>
  <c r="DW370" i="15"/>
  <c r="D387" i="15"/>
  <c r="AC464" i="15"/>
  <c r="I426" i="15"/>
  <c r="A397" i="15"/>
  <c r="J386" i="15"/>
  <c r="F387" i="15"/>
  <c r="K399" i="15"/>
  <c r="K416" i="15"/>
  <c r="R421" i="15"/>
  <c r="S430" i="15"/>
  <c r="AN444" i="15"/>
  <c r="D380" i="15"/>
  <c r="AK374" i="15"/>
  <c r="AC391" i="15"/>
  <c r="O389" i="15"/>
  <c r="O406" i="15"/>
  <c r="N428" i="15"/>
  <c r="X449" i="15"/>
  <c r="M414" i="15"/>
  <c r="AB386" i="15"/>
  <c r="D365" i="15"/>
  <c r="AC381" i="15"/>
  <c r="B394" i="15"/>
  <c r="I396" i="15"/>
  <c r="O469" i="15"/>
  <c r="AK375" i="15"/>
  <c r="DX410" i="15"/>
  <c r="Z396" i="15"/>
  <c r="DV410" i="15"/>
  <c r="I408" i="15"/>
  <c r="O428" i="15"/>
  <c r="R565" i="15"/>
  <c r="W355" i="15"/>
  <c r="T294" i="15"/>
  <c r="A350" i="15"/>
  <c r="C401" i="15"/>
  <c r="J298" i="15"/>
  <c r="AA325" i="15"/>
  <c r="X333" i="15"/>
  <c r="Z470" i="15"/>
  <c r="AA403" i="15"/>
  <c r="AR355" i="15"/>
  <c r="F358" i="15"/>
  <c r="H375" i="15"/>
  <c r="AK372" i="15"/>
  <c r="AB389" i="15"/>
  <c r="X408" i="15"/>
  <c r="H326" i="15"/>
  <c r="R261" i="15"/>
  <c r="G422" i="15"/>
  <c r="DV445" i="15"/>
  <c r="DW399" i="15"/>
  <c r="AO354" i="15"/>
  <c r="W277" i="15"/>
  <c r="A310" i="15"/>
  <c r="P347" i="15"/>
  <c r="D290" i="15"/>
  <c r="N325" i="15"/>
  <c r="AK363" i="15"/>
  <c r="O299" i="15"/>
  <c r="W333" i="15"/>
  <c r="N433" i="15"/>
  <c r="AC316" i="15"/>
  <c r="V345" i="15"/>
  <c r="AD292" i="15"/>
  <c r="H325" i="15"/>
  <c r="AN393" i="15"/>
  <c r="AM308" i="15"/>
  <c r="C252" i="15"/>
  <c r="D415" i="15"/>
  <c r="AL419" i="15"/>
  <c r="H412" i="15"/>
  <c r="U427" i="15"/>
  <c r="AD337" i="15"/>
  <c r="A270" i="15"/>
  <c r="C325" i="15"/>
  <c r="J388" i="15"/>
  <c r="O303" i="15"/>
  <c r="V339" i="15"/>
  <c r="T430" i="15"/>
  <c r="I311" i="15"/>
  <c r="AM346" i="15"/>
  <c r="F294" i="15"/>
  <c r="AN329" i="15"/>
  <c r="G374" i="15"/>
  <c r="AF304" i="15"/>
  <c r="AM337" i="15"/>
  <c r="G285" i="15"/>
  <c r="S322" i="15"/>
  <c r="DV399" i="15"/>
  <c r="B416" i="15"/>
  <c r="J384" i="15"/>
  <c r="DU383" i="15"/>
  <c r="F361" i="15"/>
  <c r="AF294" i="15"/>
  <c r="AC345" i="15"/>
  <c r="P286" i="15"/>
  <c r="J322" i="15"/>
  <c r="Y374" i="15"/>
  <c r="R300" i="15"/>
  <c r="W330" i="15"/>
  <c r="V400" i="15"/>
  <c r="J310" i="15"/>
  <c r="I347" i="15"/>
  <c r="V294" i="15"/>
  <c r="V322" i="15"/>
  <c r="P363" i="15"/>
  <c r="E302" i="15"/>
  <c r="AC339" i="15"/>
  <c r="U287" i="15"/>
  <c r="Z418" i="15"/>
  <c r="A352" i="15"/>
  <c r="F544" i="15"/>
  <c r="DU384" i="15"/>
  <c r="AL314" i="15"/>
  <c r="AB420" i="15"/>
  <c r="I304" i="15"/>
  <c r="J341" i="15"/>
  <c r="D283" i="15"/>
  <c r="G319" i="15"/>
  <c r="AN349" i="15"/>
  <c r="G294" i="15"/>
  <c r="P328" i="15"/>
  <c r="D402" i="15"/>
  <c r="V310" i="15"/>
  <c r="AL339" i="15"/>
  <c r="Z376" i="15"/>
  <c r="X379" i="15"/>
  <c r="Z378" i="15"/>
  <c r="E402" i="15"/>
  <c r="Y325" i="15"/>
  <c r="O256" i="15"/>
  <c r="C313" i="15"/>
  <c r="AR350" i="15"/>
  <c r="AJ292" i="15"/>
  <c r="R328" i="15"/>
  <c r="O376" i="15"/>
  <c r="J302" i="15"/>
  <c r="C337" i="15"/>
  <c r="Z490" i="15"/>
  <c r="AK319" i="15"/>
  <c r="W348" i="15"/>
  <c r="AC393" i="15"/>
  <c r="A413" i="15"/>
  <c r="K407" i="15"/>
  <c r="I423" i="15"/>
  <c r="AR335" i="15"/>
  <c r="J268" i="15"/>
  <c r="W323" i="15"/>
  <c r="I380" i="15"/>
  <c r="Z301" i="15"/>
  <c r="AF337" i="15"/>
  <c r="AB417" i="15"/>
  <c r="AN309" i="15"/>
  <c r="X345" i="15"/>
  <c r="AF292" i="15"/>
  <c r="O328" i="15"/>
  <c r="AB368" i="15"/>
  <c r="AF452" i="15"/>
  <c r="X383" i="15"/>
  <c r="M366" i="15"/>
  <c r="AL365" i="15"/>
  <c r="I352" i="15"/>
  <c r="A288" i="15"/>
  <c r="U337" i="15"/>
  <c r="R278" i="15"/>
  <c r="W315" i="15"/>
  <c r="I353" i="15"/>
  <c r="H294" i="15"/>
  <c r="D324" i="15"/>
  <c r="W374" i="15"/>
  <c r="AH304" i="15"/>
  <c r="V341" i="15"/>
  <c r="AK429" i="15"/>
  <c r="K316" i="15"/>
  <c r="S385" i="15"/>
  <c r="AJ426" i="15"/>
  <c r="K425" i="15"/>
  <c r="A376" i="15"/>
  <c r="P307" i="15"/>
  <c r="Q383" i="15"/>
  <c r="X298" i="15"/>
  <c r="V334" i="15"/>
  <c r="DX442" i="15"/>
  <c r="F312" i="15"/>
  <c r="B490" i="15"/>
  <c r="AB500" i="15"/>
  <c r="H507" i="15"/>
  <c r="E373" i="15"/>
  <c r="L354" i="15"/>
  <c r="AA350" i="15"/>
  <c r="Z478" i="15"/>
  <c r="U376" i="15"/>
  <c r="AB290" i="15"/>
  <c r="P417" i="15"/>
  <c r="C395" i="15"/>
  <c r="S353" i="15"/>
  <c r="DY317" i="15"/>
  <c r="C297" i="15"/>
  <c r="R384" i="15"/>
  <c r="DU343" i="15"/>
  <c r="P323" i="15"/>
  <c r="F343" i="15"/>
  <c r="AC373" i="15"/>
  <c r="P288" i="15"/>
  <c r="AB454" i="15"/>
  <c r="AK400" i="15"/>
  <c r="R437" i="15"/>
  <c r="X361" i="15"/>
  <c r="AB263" i="15"/>
  <c r="U300" i="15"/>
  <c r="AA322" i="15"/>
  <c r="U334" i="15"/>
  <c r="Y345" i="15"/>
  <c r="S402" i="15"/>
  <c r="A290" i="15"/>
  <c r="G307" i="15"/>
  <c r="AR322" i="15"/>
  <c r="A333" i="15"/>
  <c r="A357" i="15"/>
  <c r="C288" i="15"/>
  <c r="AL391" i="15"/>
  <c r="DX396" i="15"/>
  <c r="H385" i="15"/>
  <c r="N289" i="15"/>
  <c r="V319" i="15"/>
  <c r="AA341" i="15"/>
  <c r="T357" i="15"/>
  <c r="W400" i="15"/>
  <c r="X294" i="15"/>
  <c r="G306" i="15"/>
  <c r="J325" i="15"/>
  <c r="I340" i="15"/>
  <c r="AA351" i="15"/>
  <c r="Y440" i="15"/>
  <c r="DZ303" i="15"/>
  <c r="G394" i="15"/>
  <c r="AO369" i="15"/>
  <c r="Y424" i="15"/>
  <c r="DU308" i="15"/>
  <c r="O338" i="15"/>
  <c r="AL384" i="15"/>
  <c r="H471" i="15"/>
  <c r="Z295" i="15"/>
  <c r="X310" i="15"/>
  <c r="C324" i="15"/>
  <c r="AL342" i="15"/>
  <c r="S371" i="15"/>
  <c r="B489" i="15"/>
  <c r="K396" i="15"/>
  <c r="AB352" i="15"/>
  <c r="DU319" i="15"/>
  <c r="DV350" i="15"/>
  <c r="O431" i="15"/>
  <c r="X288" i="15"/>
  <c r="F304" i="15"/>
  <c r="AO397" i="15"/>
  <c r="E413" i="15"/>
  <c r="DX434" i="15"/>
  <c r="AR373" i="15"/>
  <c r="P384" i="15"/>
  <c r="N484" i="15"/>
  <c r="G398" i="15"/>
  <c r="AN373" i="15"/>
  <c r="V331" i="15"/>
  <c r="AK368" i="15"/>
  <c r="Z415" i="15"/>
  <c r="W334" i="15"/>
  <c r="AC303" i="15"/>
  <c r="G434" i="15"/>
  <c r="J347" i="15"/>
  <c r="G330" i="15"/>
  <c r="X318" i="15"/>
  <c r="D338" i="15"/>
  <c r="Y349" i="15"/>
  <c r="AC282" i="15"/>
  <c r="DV430" i="15"/>
  <c r="H368" i="15"/>
  <c r="H414" i="15"/>
  <c r="AB354" i="15"/>
  <c r="H252" i="15"/>
  <c r="H296" i="15"/>
  <c r="Z317" i="15"/>
  <c r="AR324" i="15"/>
  <c r="AC340" i="15"/>
  <c r="B383" i="15"/>
  <c r="AL429" i="15"/>
  <c r="K303" i="15"/>
  <c r="G318" i="15"/>
  <c r="AK324" i="15"/>
  <c r="G349" i="15"/>
  <c r="O282" i="15"/>
  <c r="R479" i="15"/>
  <c r="G382" i="15"/>
  <c r="T379" i="15"/>
  <c r="AA276" i="15"/>
  <c r="K314" i="15"/>
  <c r="AB336" i="15"/>
  <c r="K344" i="15"/>
  <c r="AL379" i="15"/>
  <c r="S290" i="15"/>
  <c r="G298" i="15"/>
  <c r="S320" i="15"/>
  <c r="AA335" i="15"/>
  <c r="K342" i="15"/>
  <c r="AK410" i="15"/>
  <c r="AK299" i="15"/>
  <c r="A489" i="15"/>
  <c r="AB495" i="15"/>
  <c r="AJ412" i="15"/>
  <c r="E299" i="15"/>
  <c r="I333" i="15"/>
  <c r="I365" i="15"/>
  <c r="AC394" i="15"/>
  <c r="M291" i="15"/>
  <c r="Y306" i="15"/>
  <c r="X314" i="15"/>
  <c r="AO337" i="15"/>
  <c r="D356" i="15"/>
  <c r="C389" i="15"/>
  <c r="K381" i="15"/>
  <c r="B447" i="15"/>
  <c r="X308" i="15"/>
  <c r="M344" i="15"/>
  <c r="AB404" i="15"/>
  <c r="N463" i="15"/>
  <c r="AD299" i="15"/>
  <c r="AA447" i="15"/>
  <c r="I354" i="15"/>
  <c r="AD425" i="15"/>
  <c r="R418" i="15"/>
  <c r="DZ383" i="15"/>
  <c r="A367" i="15"/>
  <c r="A372" i="15"/>
  <c r="DV390" i="15"/>
  <c r="A382" i="15"/>
  <c r="H456" i="15"/>
  <c r="O435" i="15"/>
  <c r="DY329" i="15"/>
  <c r="A299" i="15"/>
  <c r="I406" i="15"/>
  <c r="J343" i="15"/>
  <c r="DU325" i="15"/>
  <c r="AA313" i="15"/>
  <c r="S333" i="15"/>
  <c r="C345" i="15"/>
  <c r="H277" i="15"/>
  <c r="O442" i="15"/>
  <c r="AL352" i="15"/>
  <c r="AL398" i="15"/>
  <c r="AE348" i="15"/>
  <c r="G425" i="15"/>
  <c r="AB291" i="15"/>
  <c r="G312" i="15"/>
  <c r="AN319" i="15"/>
  <c r="AK335" i="15"/>
  <c r="AM364" i="15"/>
  <c r="AC405" i="15"/>
  <c r="DW298" i="15"/>
  <c r="I313" i="15"/>
  <c r="DZ319" i="15"/>
  <c r="AL344" i="15"/>
  <c r="Z276" i="15"/>
  <c r="X418" i="15"/>
  <c r="F368" i="15"/>
  <c r="U372" i="15"/>
  <c r="AB269" i="15"/>
  <c r="P309" i="15"/>
  <c r="U331" i="15"/>
  <c r="E339" i="15"/>
  <c r="E361" i="15"/>
  <c r="K493" i="15"/>
  <c r="AH293" i="15"/>
  <c r="AN315" i="15"/>
  <c r="DX330" i="15"/>
  <c r="Z337" i="15"/>
  <c r="T390" i="15"/>
  <c r="AO295" i="15"/>
  <c r="AB415" i="15"/>
  <c r="AL430" i="15"/>
  <c r="V402" i="15"/>
  <c r="AG293" i="15"/>
  <c r="AO328" i="15"/>
  <c r="R351" i="15"/>
  <c r="DX372" i="15"/>
  <c r="AJ525" i="15"/>
  <c r="AA302" i="15"/>
  <c r="AM309" i="15"/>
  <c r="C333" i="15"/>
  <c r="AK348" i="15"/>
  <c r="P366" i="15"/>
  <c r="AC367" i="15"/>
  <c r="B424" i="15"/>
  <c r="AE303" i="15"/>
  <c r="DY337" i="15"/>
  <c r="O383" i="15"/>
  <c r="S414" i="15"/>
  <c r="I295" i="15"/>
  <c r="AC424" i="15"/>
  <c r="V434" i="15"/>
  <c r="DY445" i="15"/>
  <c r="M383" i="15"/>
  <c r="S360" i="15"/>
  <c r="S382" i="15"/>
  <c r="M370" i="15"/>
  <c r="AB570" i="15"/>
  <c r="AL293" i="15"/>
  <c r="V384" i="15"/>
  <c r="I385" i="15"/>
  <c r="AA305" i="15"/>
  <c r="T284" i="15"/>
  <c r="J351" i="15"/>
  <c r="T329" i="15"/>
  <c r="X311" i="15"/>
  <c r="F309" i="15"/>
  <c r="P320" i="15"/>
  <c r="X340" i="15"/>
  <c r="W271" i="15"/>
  <c r="H440" i="15"/>
  <c r="DY441" i="15"/>
  <c r="H384" i="15"/>
  <c r="AJ331" i="15"/>
  <c r="DX397" i="15"/>
  <c r="AK286" i="15"/>
  <c r="AJ298" i="15"/>
  <c r="Z314" i="15"/>
  <c r="AJ330" i="15"/>
  <c r="AM342" i="15"/>
  <c r="X385" i="15"/>
  <c r="AI294" i="15"/>
  <c r="AA300" i="15"/>
  <c r="P315" i="15"/>
  <c r="G340" i="15"/>
  <c r="AR424" i="15"/>
  <c r="P400" i="15"/>
  <c r="P589" i="15"/>
  <c r="O354" i="15"/>
  <c r="O263" i="15"/>
  <c r="Z304" i="15"/>
  <c r="M317" i="15"/>
  <c r="Y333" i="15"/>
  <c r="M350" i="15"/>
  <c r="V381" i="15"/>
  <c r="Z289" i="15"/>
  <c r="AR310" i="15"/>
  <c r="AN317" i="15"/>
  <c r="AD332" i="15"/>
  <c r="G371" i="15"/>
  <c r="AK281" i="15"/>
  <c r="R391" i="15"/>
  <c r="U411" i="15"/>
  <c r="G378" i="15"/>
  <c r="AL288" i="15"/>
  <c r="G324" i="15"/>
  <c r="K336" i="15"/>
  <c r="T356" i="15"/>
  <c r="K422" i="15"/>
  <c r="B290" i="15"/>
  <c r="AJ305" i="15"/>
  <c r="A329" i="15"/>
  <c r="I335" i="15"/>
  <c r="S460" i="15"/>
  <c r="Y473" i="15"/>
  <c r="W392" i="15"/>
  <c r="AO298" i="15"/>
  <c r="AL332" i="15"/>
  <c r="AB345" i="15"/>
  <c r="B393" i="15"/>
  <c r="T290" i="15"/>
  <c r="H298" i="15"/>
  <c r="G314" i="15"/>
  <c r="AB337" i="15"/>
  <c r="DU436" i="15"/>
  <c r="A442" i="15"/>
  <c r="F406" i="15"/>
  <c r="A415" i="15"/>
  <c r="O481" i="15"/>
  <c r="AM454" i="15"/>
  <c r="K372" i="15"/>
  <c r="I439" i="15"/>
  <c r="J307" i="15"/>
  <c r="E473" i="15"/>
  <c r="G396" i="15"/>
  <c r="Z296" i="15"/>
  <c r="N422" i="15"/>
  <c r="G341" i="15"/>
  <c r="T320" i="15"/>
  <c r="Y303" i="15"/>
  <c r="C305" i="15"/>
  <c r="AN310" i="15"/>
  <c r="C336" i="15"/>
  <c r="W266" i="15"/>
  <c r="AK353" i="15"/>
  <c r="X414" i="15"/>
  <c r="J370" i="15"/>
  <c r="O321" i="15"/>
  <c r="AN370" i="15"/>
  <c r="AB280" i="15"/>
  <c r="P289" i="15"/>
  <c r="AB309" i="15"/>
  <c r="K326" i="15"/>
  <c r="D333" i="15"/>
  <c r="Y367" i="15"/>
  <c r="AK453" i="15"/>
  <c r="P292" i="15"/>
  <c r="T310" i="15"/>
  <c r="Y335" i="15"/>
  <c r="R463" i="15"/>
  <c r="DW382" i="15"/>
  <c r="N436" i="15"/>
  <c r="S343" i="15"/>
  <c r="AC257" i="15"/>
  <c r="D300" i="15"/>
  <c r="K307" i="15"/>
  <c r="F329" i="15"/>
  <c r="H345" i="15"/>
  <c r="AH351" i="15"/>
  <c r="AC284" i="15"/>
  <c r="AJ306" i="15"/>
  <c r="U308" i="15"/>
  <c r="Z328" i="15"/>
  <c r="AN355" i="15"/>
  <c r="Z270" i="15"/>
  <c r="J368" i="15"/>
  <c r="X396" i="15"/>
  <c r="DY366" i="15"/>
  <c r="AA282" i="15"/>
  <c r="I319" i="15"/>
  <c r="Z326" i="15"/>
  <c r="AA348" i="15"/>
  <c r="G399" i="15"/>
  <c r="C420" i="15"/>
  <c r="AL301" i="15"/>
  <c r="AM324" i="15"/>
  <c r="U326" i="15"/>
  <c r="K411" i="15"/>
  <c r="N372" i="15"/>
  <c r="H380" i="15"/>
  <c r="V377" i="15"/>
  <c r="N399" i="15"/>
  <c r="C365" i="15"/>
  <c r="O415" i="15"/>
  <c r="I384" i="15"/>
  <c r="AC401" i="15"/>
  <c r="V329" i="15"/>
  <c r="P388" i="15"/>
  <c r="B349" i="15"/>
  <c r="AO291" i="15"/>
  <c r="H399" i="15"/>
  <c r="H336" i="15"/>
  <c r="AO315" i="15"/>
  <c r="J299" i="15"/>
  <c r="C301" i="15"/>
  <c r="AH306" i="15"/>
  <c r="I331" i="15"/>
  <c r="K261" i="15"/>
  <c r="V420" i="15"/>
  <c r="M399" i="15"/>
  <c r="AK355" i="15"/>
  <c r="Y315" i="15"/>
  <c r="W352" i="15"/>
  <c r="DY443" i="15"/>
  <c r="B284" i="15"/>
  <c r="H305" i="15"/>
  <c r="P321" i="15"/>
  <c r="C329" i="15"/>
  <c r="AR353" i="15"/>
  <c r="D414" i="15"/>
  <c r="T513" i="15"/>
  <c r="U306" i="15"/>
  <c r="DV330" i="15"/>
  <c r="B412" i="15"/>
  <c r="DU367" i="15"/>
  <c r="AA413" i="15"/>
  <c r="R337" i="15"/>
  <c r="AC251" i="15"/>
  <c r="AB295" i="15"/>
  <c r="B303" i="15"/>
  <c r="V324" i="15"/>
  <c r="O340" i="15"/>
  <c r="Z346" i="15"/>
  <c r="Y426" i="15"/>
  <c r="AN302" i="15"/>
  <c r="S304" i="15"/>
  <c r="P324" i="15"/>
  <c r="AI348" i="15"/>
  <c r="V398" i="15"/>
  <c r="G477" i="15"/>
  <c r="AA381" i="15"/>
  <c r="AC359" i="15"/>
  <c r="S275" i="15"/>
  <c r="AN313" i="15"/>
  <c r="AM321" i="15"/>
  <c r="DX343" i="15"/>
  <c r="D378" i="15"/>
  <c r="F399" i="15"/>
  <c r="AR297" i="15"/>
  <c r="B320" i="15"/>
  <c r="D322" i="15"/>
  <c r="K386" i="15"/>
  <c r="Z408" i="15"/>
  <c r="U371" i="15"/>
  <c r="Z288" i="15"/>
  <c r="AJ323" i="15"/>
  <c r="AL330" i="15"/>
  <c r="V355" i="15"/>
  <c r="F420" i="15"/>
  <c r="AA470" i="15"/>
  <c r="W305" i="15"/>
  <c r="AB328" i="15"/>
  <c r="B486" i="15"/>
  <c r="AL465" i="15"/>
  <c r="DZ463" i="15"/>
  <c r="P413" i="15"/>
  <c r="X375" i="15"/>
  <c r="V388" i="15"/>
  <c r="AA400" i="15"/>
  <c r="Z390" i="15"/>
  <c r="AN415" i="15"/>
  <c r="O365" i="15"/>
  <c r="Q310" i="15"/>
  <c r="I281" i="15"/>
  <c r="E360" i="15"/>
  <c r="X326" i="15"/>
  <c r="AK306" i="15"/>
  <c r="I461" i="15"/>
  <c r="AF288" i="15"/>
  <c r="AL302" i="15"/>
  <c r="D327" i="15"/>
  <c r="A247" i="15"/>
  <c r="D395" i="15"/>
  <c r="X384" i="15"/>
  <c r="U414" i="15"/>
  <c r="E310" i="15"/>
  <c r="AR345" i="15"/>
  <c r="A368" i="15"/>
  <c r="P494" i="15"/>
  <c r="AK300" i="15"/>
  <c r="I307" i="15"/>
  <c r="AN324" i="15"/>
  <c r="AA347" i="15"/>
  <c r="K358" i="15"/>
  <c r="AB423" i="15"/>
  <c r="W302" i="15"/>
  <c r="AL317" i="15"/>
  <c r="A432" i="15"/>
  <c r="R352" i="15"/>
  <c r="AM369" i="15"/>
  <c r="X331" i="15"/>
  <c r="AD422" i="15"/>
  <c r="K280" i="15"/>
  <c r="W298" i="15"/>
  <c r="T319" i="15"/>
  <c r="DX325" i="15"/>
  <c r="S342" i="15"/>
  <c r="AN403" i="15"/>
  <c r="DZ446" i="15"/>
  <c r="J300" i="15"/>
  <c r="AB319" i="15"/>
  <c r="G335" i="15"/>
  <c r="Z424" i="15"/>
  <c r="A418" i="15"/>
  <c r="I435" i="15"/>
  <c r="W353" i="15"/>
  <c r="C269" i="15"/>
  <c r="AF299" i="15"/>
  <c r="AR316" i="15"/>
  <c r="J338" i="15"/>
  <c r="DU344" i="15"/>
  <c r="AK379" i="15"/>
  <c r="T293" i="15"/>
  <c r="W306" i="15"/>
  <c r="T317" i="15"/>
  <c r="AH364" i="15"/>
  <c r="S365" i="15"/>
  <c r="Y366" i="15"/>
  <c r="K282" i="15"/>
  <c r="N308" i="15"/>
  <c r="M326" i="15"/>
  <c r="I348" i="15"/>
  <c r="R358" i="15"/>
  <c r="Y417" i="15"/>
  <c r="W301" i="15"/>
  <c r="A315" i="15"/>
  <c r="C428" i="15"/>
  <c r="J470" i="15"/>
  <c r="H449" i="15"/>
  <c r="H411" i="15"/>
  <c r="AC377" i="15"/>
  <c r="N366" i="15"/>
  <c r="AL404" i="15"/>
  <c r="Y390" i="15"/>
  <c r="AB371" i="15"/>
  <c r="E322" i="15"/>
  <c r="R295" i="15"/>
  <c r="D390" i="15"/>
  <c r="AR339" i="15"/>
  <c r="Z311" i="15"/>
  <c r="W294" i="15"/>
  <c r="AO375" i="15"/>
  <c r="AK403" i="15"/>
  <c r="AD298" i="15"/>
  <c r="AM322" i="15"/>
  <c r="D238" i="15"/>
  <c r="N371" i="15"/>
  <c r="Y370" i="15"/>
  <c r="AK394" i="15"/>
  <c r="AI304" i="15"/>
  <c r="X339" i="15"/>
  <c r="AR346" i="15"/>
  <c r="I420" i="15"/>
  <c r="W296" i="15"/>
  <c r="DY298" i="15"/>
  <c r="C320" i="15"/>
  <c r="V343" i="15"/>
  <c r="E345" i="15"/>
  <c r="B402" i="15"/>
  <c r="P298" i="15"/>
  <c r="S308" i="15"/>
  <c r="AC384" i="15"/>
  <c r="DU439" i="15"/>
  <c r="AN453" i="15"/>
  <c r="AM326" i="15"/>
  <c r="AN396" i="15"/>
  <c r="U408" i="15"/>
  <c r="X293" i="15"/>
  <c r="I314" i="15"/>
  <c r="AR315" i="15"/>
  <c r="AC337" i="15"/>
  <c r="F384" i="15"/>
  <c r="U392" i="15"/>
  <c r="S296" i="15"/>
  <c r="AO314" i="15"/>
  <c r="R326" i="15"/>
  <c r="F511" i="15"/>
  <c r="DZ399" i="15"/>
  <c r="A398" i="15"/>
  <c r="AR347" i="15"/>
  <c r="AR262" i="15"/>
  <c r="B291" i="15"/>
  <c r="K311" i="15"/>
  <c r="G333" i="15"/>
  <c r="AO334" i="15"/>
  <c r="S362" i="15"/>
  <c r="L289" i="15"/>
  <c r="S298" i="15"/>
  <c r="AK478" i="15"/>
  <c r="Z456" i="15"/>
  <c r="C429" i="15"/>
  <c r="O359" i="15"/>
  <c r="C275" i="15"/>
  <c r="S299" i="15"/>
  <c r="S321" i="15"/>
  <c r="L343" i="15"/>
  <c r="DZ480" i="15"/>
  <c r="P396" i="15"/>
  <c r="I469" i="15"/>
  <c r="Q434" i="15"/>
  <c r="V396" i="15"/>
  <c r="U382" i="15"/>
  <c r="AK535" i="15"/>
  <c r="X402" i="15"/>
  <c r="DY488" i="15"/>
  <c r="AJ301" i="15"/>
  <c r="DZ289" i="15"/>
  <c r="J369" i="15"/>
  <c r="AR334" i="15"/>
  <c r="Z307" i="15"/>
  <c r="R290" i="15"/>
  <c r="Y359" i="15"/>
  <c r="D384" i="15"/>
  <c r="S294" i="15"/>
  <c r="D318" i="15"/>
  <c r="J233" i="15"/>
  <c r="E497" i="15"/>
  <c r="M508" i="15"/>
  <c r="Y385" i="15"/>
  <c r="AG299" i="15"/>
  <c r="E334" i="15"/>
  <c r="E342" i="15"/>
  <c r="AH397" i="15"/>
  <c r="AM291" i="15"/>
  <c r="AK294" i="15"/>
  <c r="T315" i="15"/>
  <c r="X338" i="15"/>
  <c r="Z340" i="15"/>
  <c r="AA382" i="15"/>
  <c r="B294" i="15"/>
  <c r="P304" i="15"/>
  <c r="U352" i="15"/>
  <c r="J414" i="15"/>
  <c r="Z426" i="15"/>
  <c r="AR320" i="15"/>
  <c r="K369" i="15"/>
  <c r="S386" i="15"/>
  <c r="C289" i="15"/>
  <c r="K309" i="15"/>
  <c r="DV310" i="15"/>
  <c r="AG332" i="15"/>
  <c r="H366" i="15"/>
  <c r="AF372" i="15"/>
  <c r="DZ291" i="15"/>
  <c r="G310" i="15"/>
  <c r="B322" i="15"/>
  <c r="AN461" i="15"/>
  <c r="V382" i="15"/>
  <c r="T383" i="15"/>
  <c r="R342" i="15"/>
  <c r="AB256" i="15"/>
  <c r="AN285" i="15"/>
  <c r="AN306" i="15"/>
  <c r="AL328" i="15"/>
  <c r="I330" i="15"/>
  <c r="I351" i="15"/>
  <c r="DZ514" i="15"/>
  <c r="E294" i="15"/>
  <c r="AL469" i="15"/>
  <c r="Y414" i="15"/>
  <c r="AN410" i="15"/>
  <c r="F353" i="15"/>
  <c r="Z268" i="15"/>
  <c r="AN294" i="15"/>
  <c r="U316" i="15"/>
  <c r="DW337" i="15"/>
  <c r="U339" i="15"/>
  <c r="C378" i="15"/>
  <c r="C293" i="15"/>
  <c r="H302" i="15"/>
  <c r="G317" i="15"/>
  <c r="Z362" i="15"/>
  <c r="AR478" i="15"/>
  <c r="J366" i="15"/>
  <c r="AL281" i="15"/>
  <c r="AD303" i="15"/>
  <c r="DZ325" i="15"/>
  <c r="O347" i="15"/>
  <c r="AN348" i="15"/>
  <c r="AR415" i="15"/>
  <c r="E301" i="15"/>
  <c r="AL309" i="15"/>
  <c r="AR325" i="15"/>
  <c r="AK447" i="15"/>
  <c r="AB391" i="15"/>
  <c r="F383" i="15"/>
  <c r="AO297" i="15"/>
  <c r="AA317" i="15"/>
  <c r="A340" i="15"/>
  <c r="Z389" i="15"/>
  <c r="AB394" i="15"/>
  <c r="D293" i="15"/>
  <c r="I318" i="15"/>
  <c r="B337" i="15"/>
  <c r="X367" i="15"/>
  <c r="B444" i="15"/>
  <c r="J412" i="15"/>
  <c r="T376" i="15"/>
  <c r="V370" i="15"/>
  <c r="G292" i="15"/>
  <c r="AI331" i="15"/>
  <c r="AB376" i="15"/>
  <c r="AN291" i="15"/>
  <c r="AA307" i="15"/>
  <c r="DV337" i="15"/>
  <c r="E448" i="15"/>
  <c r="DV317" i="15"/>
  <c r="Z359" i="15"/>
  <c r="D301" i="15"/>
  <c r="R329" i="15"/>
  <c r="S392" i="15"/>
  <c r="T308" i="15"/>
  <c r="AH346" i="15"/>
  <c r="A294" i="15"/>
  <c r="E627" i="15"/>
  <c r="J402" i="15"/>
  <c r="D376" i="15"/>
  <c r="W375" i="15"/>
  <c r="E357" i="15"/>
  <c r="DU291" i="15"/>
  <c r="W342" i="15"/>
  <c r="V283" i="15"/>
  <c r="U319" i="15"/>
  <c r="H365" i="15"/>
  <c r="I298" i="15"/>
  <c r="D328" i="15"/>
  <c r="E391" i="15"/>
  <c r="I308" i="15"/>
  <c r="F345" i="15"/>
  <c r="DV514" i="15"/>
  <c r="A320" i="15"/>
  <c r="C356" i="15"/>
  <c r="AL299" i="15"/>
  <c r="Y337" i="15"/>
  <c r="Y284" i="15"/>
  <c r="W226" i="15"/>
  <c r="DU175" i="15"/>
  <c r="AN266" i="15"/>
  <c r="Y208" i="15"/>
  <c r="AK251" i="15"/>
  <c r="Z342" i="15"/>
  <c r="R237" i="15"/>
  <c r="AO293" i="15"/>
  <c r="T224" i="15"/>
  <c r="AB266" i="15"/>
  <c r="U208" i="15"/>
  <c r="U247" i="15"/>
  <c r="C491" i="15"/>
  <c r="Y356" i="15"/>
  <c r="H319" i="15"/>
  <c r="X389" i="15"/>
  <c r="AC319" i="15"/>
  <c r="V309" i="15"/>
  <c r="U309" i="15"/>
  <c r="P227" i="15"/>
  <c r="J171" i="15"/>
  <c r="AJ254" i="15"/>
  <c r="K333" i="15"/>
  <c r="AM229" i="15"/>
  <c r="O271" i="15"/>
  <c r="AK472" i="15"/>
  <c r="G356" i="15"/>
  <c r="AC318" i="15"/>
  <c r="AC387" i="15"/>
  <c r="P319" i="15"/>
  <c r="E309" i="15"/>
  <c r="D309" i="15"/>
  <c r="A227" i="15"/>
  <c r="DX170" i="15"/>
  <c r="V254" i="15"/>
  <c r="AK331" i="15"/>
  <c r="Z229" i="15"/>
  <c r="AL270" i="15"/>
  <c r="U472" i="15"/>
  <c r="AJ355" i="15"/>
  <c r="O318" i="15"/>
  <c r="B386" i="15"/>
  <c r="C319" i="15"/>
  <c r="AN308" i="15"/>
  <c r="AH307" i="15"/>
  <c r="G226" i="15"/>
  <c r="Y170" i="15"/>
  <c r="D254" i="15"/>
  <c r="AA330" i="15"/>
  <c r="L229" i="15"/>
  <c r="O270" i="15"/>
  <c r="K206" i="15"/>
  <c r="S244" i="15"/>
  <c r="W287" i="15"/>
  <c r="E217" i="15"/>
  <c r="AA361" i="15"/>
  <c r="AN335" i="15"/>
  <c r="F293" i="15"/>
  <c r="J340" i="15"/>
  <c r="K359" i="15"/>
  <c r="J359" i="15"/>
  <c r="R260" i="15"/>
  <c r="S454" i="15"/>
  <c r="DZ510" i="15"/>
  <c r="DU372" i="15"/>
  <c r="AR354" i="15"/>
  <c r="AA404" i="15"/>
  <c r="AN394" i="15"/>
  <c r="W405" i="15"/>
  <c r="AL420" i="15"/>
  <c r="J353" i="15"/>
  <c r="A257" i="15"/>
  <c r="P270" i="15"/>
  <c r="AR342" i="15"/>
  <c r="E320" i="15"/>
  <c r="H295" i="15"/>
  <c r="Y407" i="15"/>
  <c r="D341" i="15"/>
  <c r="F366" i="15"/>
  <c r="J290" i="15"/>
  <c r="AD304" i="15"/>
  <c r="S229" i="15"/>
  <c r="A417" i="15"/>
  <c r="K397" i="15"/>
  <c r="AO379" i="15"/>
  <c r="B295" i="15"/>
  <c r="AR319" i="15"/>
  <c r="G337" i="15"/>
  <c r="P376" i="15"/>
  <c r="T402" i="15"/>
  <c r="AN290" i="15"/>
  <c r="W310" i="15"/>
  <c r="W325" i="15"/>
  <c r="E336" i="15"/>
  <c r="AA364" i="15"/>
  <c r="T445" i="15"/>
  <c r="H300" i="15"/>
  <c r="K419" i="15"/>
  <c r="L370" i="15"/>
  <c r="F414" i="15"/>
  <c r="I315" i="15"/>
  <c r="G339" i="15"/>
  <c r="DU366" i="15"/>
  <c r="U283" i="15"/>
  <c r="F296" i="15"/>
  <c r="AL306" i="15"/>
  <c r="AC328" i="15"/>
  <c r="I343" i="15"/>
  <c r="D357" i="15"/>
  <c r="DU489" i="15"/>
  <c r="C298" i="15"/>
  <c r="R317" i="15"/>
  <c r="Z410" i="15"/>
  <c r="D439" i="15"/>
  <c r="S369" i="15"/>
  <c r="AC336" i="15"/>
  <c r="W391" i="15"/>
  <c r="AK279" i="15"/>
  <c r="AC302" i="15"/>
  <c r="AL313" i="15"/>
  <c r="Z325" i="15"/>
  <c r="I346" i="15"/>
  <c r="AC382" i="15"/>
  <c r="W441" i="15"/>
  <c r="AC458" i="15"/>
  <c r="AG364" i="15"/>
  <c r="AB395" i="15"/>
  <c r="V347" i="15"/>
  <c r="R539" i="15"/>
  <c r="V290" i="15"/>
  <c r="DX310" i="15"/>
  <c r="AH323" i="15"/>
  <c r="T334" i="15"/>
  <c r="D361" i="15"/>
  <c r="AR421" i="15"/>
  <c r="F298" i="15"/>
  <c r="I436" i="15"/>
  <c r="AN395" i="15"/>
  <c r="AA426" i="15"/>
  <c r="AN358" i="15"/>
  <c r="I262" i="15"/>
  <c r="B299" i="15"/>
  <c r="B321" i="15"/>
  <c r="V332" i="15"/>
  <c r="J344" i="15"/>
  <c r="R396" i="15"/>
  <c r="AH288" i="15"/>
  <c r="AI305" i="15"/>
  <c r="I321" i="15"/>
  <c r="I362" i="15"/>
  <c r="AO376" i="15"/>
  <c r="R376" i="15"/>
  <c r="W280" i="15"/>
  <c r="H312" i="15"/>
  <c r="A335" i="15"/>
  <c r="AO346" i="15"/>
  <c r="DW372" i="15"/>
  <c r="DZ288" i="15"/>
  <c r="O313" i="15"/>
  <c r="A332" i="15"/>
  <c r="AO353" i="15"/>
  <c r="K440" i="15"/>
  <c r="U394" i="15"/>
  <c r="T363" i="15"/>
  <c r="AB364" i="15"/>
  <c r="T287" i="15"/>
  <c r="DY326" i="15"/>
  <c r="AC358" i="15"/>
  <c r="K287" i="15"/>
  <c r="A303" i="15"/>
  <c r="AH332" i="15"/>
  <c r="AG412" i="15"/>
  <c r="AO312" i="15"/>
  <c r="K350" i="15"/>
  <c r="M297" i="15"/>
  <c r="I325" i="15"/>
  <c r="AE372" i="15"/>
  <c r="R304" i="15"/>
  <c r="AA342" i="15"/>
  <c r="DV289" i="15"/>
  <c r="I605" i="15"/>
  <c r="O378" i="15"/>
  <c r="D363" i="15"/>
  <c r="V362" i="15"/>
  <c r="Y351" i="15"/>
  <c r="D287" i="15"/>
  <c r="AK336" i="15"/>
  <c r="AD482" i="15"/>
  <c r="J314" i="15"/>
  <c r="AJ351" i="15"/>
  <c r="W293" i="15"/>
  <c r="T323" i="15"/>
  <c r="AL371" i="15"/>
  <c r="D304" i="15"/>
  <c r="AA340" i="15"/>
  <c r="AC423" i="15"/>
  <c r="R315" i="15"/>
  <c r="AJ348" i="15"/>
  <c r="A296" i="15"/>
  <c r="AC332" i="15"/>
  <c r="D279" i="15"/>
  <c r="R222" i="15"/>
  <c r="E172" i="15"/>
  <c r="F261" i="15"/>
  <c r="I203" i="15"/>
  <c r="K246" i="15"/>
  <c r="AB324" i="15"/>
  <c r="G232" i="15"/>
  <c r="AB282" i="15"/>
  <c r="K220" i="15"/>
  <c r="A261" i="15"/>
  <c r="AR386" i="15"/>
  <c r="A243" i="15"/>
  <c r="Q372" i="15"/>
  <c r="V333" i="15"/>
  <c r="B300" i="15"/>
  <c r="I344" i="15"/>
  <c r="AJ307" i="15"/>
  <c r="I303" i="15"/>
  <c r="AK302" i="15"/>
  <c r="B222" i="15"/>
  <c r="T167" i="15"/>
  <c r="D249" i="15"/>
  <c r="AO313" i="15"/>
  <c r="DU224" i="15"/>
  <c r="O265" i="15"/>
  <c r="I369" i="15"/>
  <c r="E333" i="15"/>
  <c r="AE299" i="15"/>
  <c r="DV343" i="15"/>
  <c r="W307" i="15"/>
  <c r="AH301" i="15"/>
  <c r="AG301" i="15"/>
  <c r="AL221" i="15"/>
  <c r="H167" i="15"/>
  <c r="W248" i="15"/>
  <c r="I312" i="15"/>
  <c r="V224" i="15"/>
  <c r="AL264" i="15"/>
  <c r="M368" i="15"/>
  <c r="AI332" i="15"/>
  <c r="R299" i="15"/>
  <c r="W343" i="15"/>
  <c r="E306" i="15"/>
  <c r="S301" i="15"/>
  <c r="R301" i="15"/>
  <c r="T221" i="15"/>
  <c r="AK166" i="15"/>
  <c r="F248" i="15"/>
  <c r="AB310" i="15"/>
  <c r="H224" i="15"/>
  <c r="P264" i="15"/>
  <c r="E415" i="15"/>
  <c r="E239" i="15"/>
  <c r="AK277" i="15"/>
  <c r="W212" i="15"/>
  <c r="E387" i="15"/>
  <c r="V316" i="15"/>
  <c r="Y389" i="15"/>
  <c r="W322" i="15"/>
  <c r="E346" i="15"/>
  <c r="D346" i="15"/>
  <c r="AG254" i="15"/>
  <c r="A392" i="15"/>
  <c r="R407" i="15"/>
  <c r="T367" i="15"/>
  <c r="S358" i="15"/>
  <c r="K368" i="15"/>
  <c r="DW396" i="15"/>
  <c r="AA357" i="15"/>
  <c r="AL425" i="15"/>
  <c r="C405" i="15"/>
  <c r="DY344" i="15"/>
  <c r="F428" i="15"/>
  <c r="E332" i="15"/>
  <c r="AO309" i="15"/>
  <c r="AA286" i="15"/>
  <c r="AC368" i="15"/>
  <c r="AC331" i="15"/>
  <c r="AR352" i="15"/>
  <c r="X285" i="15"/>
  <c r="AK296" i="15"/>
  <c r="A225" i="15"/>
  <c r="K392" i="15"/>
  <c r="S368" i="15"/>
  <c r="AH372" i="15"/>
  <c r="AA289" i="15"/>
  <c r="AD309" i="15"/>
  <c r="AH331" i="15"/>
  <c r="AB358" i="15"/>
  <c r="T362" i="15"/>
  <c r="DU523" i="15"/>
  <c r="X306" i="15"/>
  <c r="O316" i="15"/>
  <c r="O331" i="15"/>
  <c r="F352" i="15"/>
  <c r="E392" i="15"/>
  <c r="P296" i="15"/>
  <c r="X394" i="15"/>
  <c r="AC431" i="15"/>
  <c r="A404" i="15"/>
  <c r="AI309" i="15"/>
  <c r="H329" i="15"/>
  <c r="V352" i="15"/>
  <c r="Y480" i="15"/>
  <c r="AB286" i="15"/>
  <c r="AR302" i="15"/>
  <c r="T324" i="15"/>
  <c r="U333" i="15"/>
  <c r="I349" i="15"/>
  <c r="AL421" i="15"/>
  <c r="W289" i="15"/>
  <c r="O312" i="15"/>
  <c r="AC428" i="15"/>
  <c r="T398" i="15"/>
  <c r="G355" i="15"/>
  <c r="G331" i="15"/>
  <c r="U351" i="15"/>
  <c r="DV434" i="15"/>
  <c r="DW297" i="15"/>
  <c r="X304" i="15"/>
  <c r="D320" i="15"/>
  <c r="A342" i="15"/>
  <c r="H352" i="15"/>
  <c r="D411" i="15"/>
  <c r="F449" i="15"/>
  <c r="AK431" i="15"/>
  <c r="AK380" i="15"/>
  <c r="B342" i="15"/>
  <c r="E390" i="15"/>
  <c r="S285" i="15"/>
  <c r="AA306" i="15"/>
  <c r="R313" i="15"/>
  <c r="DV329" i="15"/>
  <c r="AM350" i="15"/>
  <c r="G381" i="15"/>
  <c r="AF293" i="15"/>
  <c r="T461" i="15"/>
  <c r="V363" i="15"/>
  <c r="W409" i="15"/>
  <c r="AA352" i="15"/>
  <c r="H500" i="15"/>
  <c r="AA294" i="15"/>
  <c r="C316" i="15"/>
  <c r="U323" i="15"/>
  <c r="D339" i="15"/>
  <c r="K376" i="15"/>
  <c r="V419" i="15"/>
  <c r="AK301" i="15"/>
  <c r="AB316" i="15"/>
  <c r="AA412" i="15"/>
  <c r="AO363" i="15"/>
  <c r="DU370" i="15"/>
  <c r="AM267" i="15"/>
  <c r="AD307" i="15"/>
  <c r="L330" i="15"/>
  <c r="S337" i="15"/>
  <c r="K356" i="15"/>
  <c r="O455" i="15"/>
  <c r="AC300" i="15"/>
  <c r="B328" i="15"/>
  <c r="Z347" i="15"/>
  <c r="Z388" i="15"/>
  <c r="B377" i="15"/>
  <c r="Y408" i="15"/>
  <c r="V357" i="15"/>
  <c r="G280" i="15"/>
  <c r="K322" i="15"/>
  <c r="T349" i="15"/>
  <c r="C410" i="15"/>
  <c r="V298" i="15"/>
  <c r="Q328" i="15"/>
  <c r="AR392" i="15"/>
  <c r="W308" i="15"/>
  <c r="W345" i="15"/>
  <c r="AE292" i="15"/>
  <c r="R320" i="15"/>
  <c r="B357" i="15"/>
  <c r="I300" i="15"/>
  <c r="AL337" i="15"/>
  <c r="F285" i="15"/>
  <c r="E429" i="15"/>
  <c r="AK356" i="15"/>
  <c r="B451" i="15"/>
  <c r="X478" i="15"/>
  <c r="Z345" i="15"/>
  <c r="AA279" i="15"/>
  <c r="D331" i="15"/>
  <c r="I418" i="15"/>
  <c r="O309" i="15"/>
  <c r="K346" i="15"/>
  <c r="A289" i="15"/>
  <c r="J318" i="15"/>
  <c r="F356" i="15"/>
  <c r="AO299" i="15"/>
  <c r="F336" i="15"/>
  <c r="C402" i="15"/>
  <c r="U310" i="15"/>
  <c r="S344" i="15"/>
  <c r="AH291" i="15"/>
  <c r="Y328" i="15"/>
  <c r="S273" i="15"/>
  <c r="I218" i="15"/>
  <c r="Q168" i="15"/>
  <c r="A256" i="15"/>
  <c r="AO370" i="15"/>
  <c r="AK241" i="15"/>
  <c r="R306" i="15"/>
  <c r="I228" i="15"/>
  <c r="AK275" i="15"/>
  <c r="AI215" i="15"/>
  <c r="AK255" i="15"/>
  <c r="AK343" i="15"/>
  <c r="AB237" i="15"/>
  <c r="J403" i="15"/>
  <c r="O311" i="15"/>
  <c r="J280" i="15"/>
  <c r="J326" i="15"/>
  <c r="AM299" i="15"/>
  <c r="U295" i="15"/>
  <c r="C295" i="15"/>
  <c r="M217" i="15"/>
  <c r="S163" i="15"/>
  <c r="DU243" i="15"/>
  <c r="AC295" i="15"/>
  <c r="M220" i="15"/>
  <c r="P259" i="15"/>
  <c r="AK401" i="15"/>
  <c r="DZ310" i="15"/>
  <c r="AC279" i="15"/>
  <c r="DW325" i="15"/>
  <c r="Z299" i="15"/>
  <c r="D295" i="15"/>
  <c r="AE294" i="15"/>
  <c r="A217" i="15"/>
  <c r="C163" i="15"/>
  <c r="T243" i="15"/>
  <c r="K294" i="15"/>
  <c r="AR219" i="15"/>
  <c r="AM258" i="15"/>
  <c r="P401" i="15"/>
  <c r="AC310" i="15"/>
  <c r="AK278" i="15"/>
  <c r="X325" i="15"/>
  <c r="I299" i="15"/>
  <c r="AG294" i="15"/>
  <c r="R294" i="15"/>
  <c r="AB216" i="15"/>
  <c r="AM162" i="15"/>
  <c r="F243" i="15"/>
  <c r="AL292" i="15"/>
  <c r="U219" i="15"/>
  <c r="W258" i="15"/>
  <c r="S348" i="15"/>
  <c r="B233" i="15"/>
  <c r="J271" i="15"/>
  <c r="F207" i="15"/>
  <c r="X419" i="15"/>
  <c r="DX297" i="15"/>
  <c r="T342" i="15"/>
  <c r="T304" i="15"/>
  <c r="AR338" i="15"/>
  <c r="T338" i="15"/>
  <c r="AC247" i="15"/>
  <c r="DY186" i="15"/>
  <c r="T277" i="15"/>
  <c r="J212" i="15"/>
  <c r="AR249" i="15"/>
  <c r="D317" i="15"/>
  <c r="X225" i="15"/>
  <c r="D419" i="15"/>
  <c r="AG297" i="15"/>
  <c r="C342" i="15"/>
  <c r="C304" i="15"/>
  <c r="U338" i="15"/>
  <c r="C338" i="15"/>
  <c r="P247" i="15"/>
  <c r="Z186" i="15"/>
  <c r="B277" i="15"/>
  <c r="AL211" i="15"/>
  <c r="T249" i="15"/>
  <c r="K315" i="15"/>
  <c r="G225" i="15"/>
  <c r="P418" i="15"/>
  <c r="T297" i="15"/>
  <c r="X341" i="15"/>
  <c r="AL303" i="15"/>
  <c r="M337" i="15"/>
  <c r="L337" i="15"/>
  <c r="V246" i="15"/>
  <c r="N186" i="15"/>
  <c r="V397" i="15"/>
  <c r="J348" i="15"/>
  <c r="AR299" i="15"/>
  <c r="F346" i="15"/>
  <c r="H321" i="15"/>
  <c r="AC320" i="15"/>
  <c r="D234" i="15"/>
  <c r="G177" i="15"/>
  <c r="A263" i="15"/>
  <c r="F390" i="15"/>
  <c r="S237" i="15"/>
  <c r="V281" i="15"/>
  <c r="Z214" i="15"/>
  <c r="H253" i="15"/>
  <c r="U313" i="15"/>
  <c r="AN224" i="15"/>
  <c r="AR260" i="15"/>
  <c r="AK308" i="15"/>
  <c r="R228" i="15"/>
  <c r="E266" i="15"/>
  <c r="AO207" i="15"/>
  <c r="DW371" i="15"/>
  <c r="N310" i="15"/>
  <c r="AN364" i="15"/>
  <c r="H317" i="15"/>
  <c r="AN343" i="15"/>
  <c r="R343" i="15"/>
  <c r="G514" i="15"/>
  <c r="Y305" i="15"/>
  <c r="J305" i="15"/>
  <c r="DU411" i="15"/>
  <c r="Z284" i="15"/>
  <c r="AL346" i="15"/>
  <c r="AM335" i="15"/>
  <c r="AK345" i="15"/>
  <c r="D437" i="15"/>
  <c r="L411" i="15"/>
  <c r="AB467" i="15"/>
  <c r="F347" i="15"/>
  <c r="S350" i="15"/>
  <c r="R340" i="15"/>
  <c r="K318" i="15"/>
  <c r="S319" i="15"/>
  <c r="AC313" i="15"/>
  <c r="AN297" i="15"/>
  <c r="Z411" i="15"/>
  <c r="T394" i="15"/>
  <c r="AO364" i="15"/>
  <c r="AK411" i="15"/>
  <c r="F360" i="15"/>
  <c r="D332" i="15"/>
  <c r="F333" i="15"/>
  <c r="R331" i="15"/>
  <c r="AE323" i="15"/>
  <c r="AL329" i="15"/>
  <c r="K383" i="15"/>
  <c r="U393" i="15"/>
  <c r="F335" i="15"/>
  <c r="AC348" i="15"/>
  <c r="Y344" i="15"/>
  <c r="AB346" i="15"/>
  <c r="U355" i="15"/>
  <c r="DV372" i="15"/>
  <c r="B292" i="15"/>
  <c r="AB313" i="15"/>
  <c r="AL315" i="15"/>
  <c r="Z335" i="15"/>
  <c r="P382" i="15"/>
  <c r="U279" i="15"/>
  <c r="F367" i="15"/>
  <c r="S422" i="15"/>
  <c r="P437" i="15"/>
  <c r="AL323" i="15"/>
  <c r="B382" i="15"/>
  <c r="AL396" i="15"/>
  <c r="AA291" i="15"/>
  <c r="AA311" i="15"/>
  <c r="P313" i="15"/>
  <c r="O335" i="15"/>
  <c r="H374" i="15"/>
  <c r="AB382" i="15"/>
  <c r="C294" i="15"/>
  <c r="P312" i="15"/>
  <c r="O324" i="15"/>
  <c r="AD253" i="15"/>
  <c r="L187" i="15"/>
  <c r="AL250" i="15"/>
  <c r="AG288" i="15"/>
  <c r="Q209" i="15"/>
  <c r="P223" i="15"/>
  <c r="AN253" i="15"/>
  <c r="S286" i="15"/>
  <c r="AM325" i="15"/>
  <c r="O219" i="15"/>
  <c r="J374" i="15"/>
  <c r="G364" i="15"/>
  <c r="AO344" i="15"/>
  <c r="P332" i="15"/>
  <c r="AD288" i="15"/>
  <c r="AN197" i="15"/>
  <c r="AN272" i="15"/>
  <c r="AL282" i="15"/>
  <c r="AB388" i="15"/>
  <c r="DX221" i="15"/>
  <c r="S291" i="15"/>
  <c r="AE297" i="15"/>
  <c r="U478" i="15"/>
  <c r="R288" i="15"/>
  <c r="AB261" i="15"/>
  <c r="AB183" i="15"/>
  <c r="AO237" i="15"/>
  <c r="V262" i="15"/>
  <c r="AR300" i="15"/>
  <c r="O399" i="15"/>
  <c r="K341" i="15"/>
  <c r="DV326" i="15"/>
  <c r="AI291" i="15"/>
  <c r="X360" i="15"/>
  <c r="T242" i="15"/>
  <c r="R390" i="15"/>
  <c r="P222" i="15"/>
  <c r="DV244" i="15"/>
  <c r="I253" i="15"/>
  <c r="I280" i="15"/>
  <c r="X342" i="15"/>
  <c r="K363" i="15"/>
  <c r="W350" i="15"/>
  <c r="K351" i="15"/>
  <c r="AN421" i="15"/>
  <c r="AI307" i="15"/>
  <c r="D286" i="15"/>
  <c r="AC196" i="15"/>
  <c r="AK285" i="15"/>
  <c r="AL206" i="15"/>
  <c r="G239" i="15"/>
  <c r="R276" i="15"/>
  <c r="U484" i="15"/>
  <c r="H328" i="15"/>
  <c r="T427" i="15"/>
  <c r="Z303" i="15"/>
  <c r="T419" i="15"/>
  <c r="G385" i="15"/>
  <c r="DV545" i="15"/>
  <c r="H427" i="15"/>
  <c r="K327" i="15"/>
  <c r="P394" i="15"/>
  <c r="E308" i="15"/>
  <c r="AN390" i="15"/>
  <c r="AO301" i="15"/>
  <c r="B332" i="15"/>
  <c r="T409" i="15"/>
  <c r="AC386" i="15"/>
  <c r="H392" i="15"/>
  <c r="AE330" i="15"/>
  <c r="DZ343" i="15"/>
  <c r="S335" i="15"/>
  <c r="A313" i="15"/>
  <c r="AK305" i="15"/>
  <c r="I309" i="15"/>
  <c r="S293" i="15"/>
  <c r="AC372" i="15"/>
  <c r="V465" i="15"/>
  <c r="H346" i="15"/>
  <c r="AN384" i="15"/>
  <c r="AR349" i="15"/>
  <c r="AA327" i="15"/>
  <c r="F319" i="15"/>
  <c r="H327" i="15"/>
  <c r="D319" i="15"/>
  <c r="V325" i="15"/>
  <c r="AC361" i="15"/>
  <c r="Y378" i="15"/>
  <c r="U329" i="15"/>
  <c r="A343" i="15"/>
  <c r="DX329" i="15"/>
  <c r="D342" i="15"/>
  <c r="H348" i="15"/>
  <c r="P357" i="15"/>
  <c r="G288" i="15"/>
  <c r="H309" i="15"/>
  <c r="AO310" i="15"/>
  <c r="DW330" i="15"/>
  <c r="Z364" i="15"/>
  <c r="AN273" i="15"/>
  <c r="B441" i="15"/>
  <c r="A406" i="15"/>
  <c r="W419" i="15"/>
  <c r="V318" i="15"/>
  <c r="G360" i="15"/>
  <c r="B375" i="15"/>
  <c r="AC286" i="15"/>
  <c r="AM306" i="15"/>
  <c r="DW308" i="15"/>
  <c r="AI330" i="15"/>
  <c r="O358" i="15"/>
  <c r="AK364" i="15"/>
  <c r="DX289" i="15"/>
  <c r="F308" i="15"/>
  <c r="AA319" i="15"/>
  <c r="X248" i="15"/>
  <c r="O183" i="15"/>
  <c r="AA245" i="15"/>
  <c r="Z279" i="15"/>
  <c r="E204" i="15"/>
  <c r="B219" i="15"/>
  <c r="T248" i="15"/>
  <c r="O278" i="15"/>
  <c r="T307" i="15"/>
  <c r="AI451" i="15"/>
  <c r="AK417" i="15"/>
  <c r="I336" i="15"/>
  <c r="AR326" i="15"/>
  <c r="AO325" i="15"/>
  <c r="W278" i="15"/>
  <c r="Y192" i="15"/>
  <c r="R266" i="15"/>
  <c r="R275" i="15"/>
  <c r="A341" i="15"/>
  <c r="G217" i="15"/>
  <c r="R265" i="15"/>
  <c r="A410" i="15"/>
  <c r="O362" i="15"/>
  <c r="N432" i="15"/>
  <c r="V255" i="15"/>
  <c r="I179" i="15"/>
  <c r="I232" i="15"/>
  <c r="R256" i="15"/>
  <c r="Z285" i="15"/>
  <c r="S406" i="15"/>
  <c r="Y320" i="15"/>
  <c r="AM307" i="15"/>
  <c r="C433" i="15"/>
  <c r="E347" i="15"/>
  <c r="T236" i="15"/>
  <c r="C343" i="15"/>
  <c r="I217" i="15"/>
  <c r="X239" i="15"/>
  <c r="AA246" i="15"/>
  <c r="J273" i="15"/>
  <c r="G323" i="15"/>
  <c r="B336" i="15"/>
  <c r="T328" i="15"/>
  <c r="B331" i="15"/>
  <c r="AC351" i="15"/>
  <c r="B301" i="15"/>
  <c r="AB275" i="15"/>
  <c r="R191" i="15"/>
  <c r="AR270" i="15"/>
  <c r="I416" i="15"/>
  <c r="U233" i="15"/>
  <c r="DX269" i="15"/>
  <c r="DU397" i="15"/>
  <c r="S306" i="15"/>
  <c r="AO350" i="15"/>
  <c r="Z286" i="15"/>
  <c r="O387" i="15"/>
  <c r="D355" i="15"/>
  <c r="P361" i="15"/>
  <c r="AA354" i="15"/>
  <c r="R349" i="15"/>
  <c r="W304" i="15"/>
  <c r="A384" i="15"/>
  <c r="Z398" i="15"/>
  <c r="AO371" i="15"/>
  <c r="AF323" i="15"/>
  <c r="H389" i="15"/>
  <c r="E364" i="15"/>
  <c r="P364" i="15"/>
  <c r="X319" i="15"/>
  <c r="AH337" i="15"/>
  <c r="Y330" i="15"/>
  <c r="L308" i="15"/>
  <c r="DU297" i="15"/>
  <c r="F305" i="15"/>
  <c r="G433" i="15"/>
  <c r="J464" i="15"/>
  <c r="AK406" i="15"/>
  <c r="W335" i="15"/>
  <c r="AN362" i="15"/>
  <c r="DW344" i="15"/>
  <c r="D323" i="15"/>
  <c r="AA309" i="15"/>
  <c r="B323" i="15"/>
  <c r="F314" i="15"/>
  <c r="F311" i="15"/>
  <c r="W443" i="15"/>
  <c r="P365" i="15"/>
  <c r="H324" i="15"/>
  <c r="H337" i="15"/>
  <c r="O325" i="15"/>
  <c r="E337" i="15"/>
  <c r="X343" i="15"/>
  <c r="K349" i="15"/>
  <c r="J461" i="15"/>
  <c r="D305" i="15"/>
  <c r="AI306" i="15"/>
  <c r="AN326" i="15"/>
  <c r="E352" i="15"/>
  <c r="AF268" i="15"/>
  <c r="F405" i="15"/>
  <c r="DY390" i="15"/>
  <c r="V409" i="15"/>
  <c r="E312" i="15"/>
  <c r="K348" i="15"/>
  <c r="U357" i="15"/>
  <c r="AA280" i="15"/>
  <c r="AB302" i="15"/>
  <c r="AJ304" i="15"/>
  <c r="W326" i="15"/>
  <c r="AK349" i="15"/>
  <c r="G352" i="15"/>
  <c r="L441" i="15"/>
  <c r="A304" i="15"/>
  <c r="AN314" i="15"/>
  <c r="I244" i="15"/>
  <c r="Y179" i="15"/>
  <c r="A241" i="15"/>
  <c r="P273" i="15"/>
  <c r="O382" i="15"/>
  <c r="AN214" i="15"/>
  <c r="AK243" i="15"/>
  <c r="I272" i="15"/>
  <c r="W291" i="15"/>
  <c r="AN357" i="15"/>
  <c r="Y381" i="15"/>
  <c r="AO316" i="15"/>
  <c r="V308" i="15"/>
  <c r="E318" i="15"/>
  <c r="V269" i="15"/>
  <c r="DZ187" i="15"/>
  <c r="F260" i="15"/>
  <c r="I269" i="15"/>
  <c r="W321" i="15"/>
  <c r="Y212" i="15"/>
  <c r="A403" i="15"/>
  <c r="AA346" i="15"/>
  <c r="N337" i="15"/>
  <c r="Z395" i="15"/>
  <c r="S249" i="15"/>
  <c r="L175" i="15"/>
  <c r="AN227" i="15"/>
  <c r="AK250" i="15"/>
  <c r="R277" i="15"/>
  <c r="G458" i="15"/>
  <c r="AA301" i="15"/>
  <c r="Y291" i="15"/>
  <c r="J394" i="15"/>
  <c r="AN338" i="15"/>
  <c r="G231" i="15"/>
  <c r="Y323" i="15"/>
  <c r="AA212" i="15"/>
  <c r="AR233" i="15"/>
  <c r="AC241" i="15"/>
  <c r="J267" i="15"/>
  <c r="AF303" i="15"/>
  <c r="Y316" i="15"/>
  <c r="AE306" i="15"/>
  <c r="DW310" i="15"/>
  <c r="AE332" i="15"/>
  <c r="P293" i="15"/>
  <c r="U267" i="15"/>
  <c r="V182" i="15"/>
  <c r="AR264" i="15"/>
  <c r="AF348" i="15"/>
  <c r="DY228" i="15"/>
  <c r="AL263" i="15"/>
  <c r="AR377" i="15"/>
  <c r="K285" i="15"/>
  <c r="AK330" i="15"/>
  <c r="T371" i="15"/>
  <c r="E358" i="15"/>
  <c r="D297" i="15"/>
  <c r="W327" i="15"/>
  <c r="AN350" i="15"/>
  <c r="Y324" i="15"/>
  <c r="DW383" i="15"/>
  <c r="I411" i="15"/>
  <c r="Z308" i="15"/>
  <c r="E319" i="15"/>
  <c r="F370" i="15"/>
  <c r="T451" i="15"/>
  <c r="R394" i="15"/>
  <c r="C314" i="15"/>
  <c r="Y332" i="15"/>
  <c r="Z310" i="15"/>
  <c r="AO303" i="15"/>
  <c r="V293" i="15"/>
  <c r="AC398" i="15"/>
  <c r="X407" i="15"/>
  <c r="DY410" i="15"/>
  <c r="P476" i="15"/>
  <c r="AO329" i="15"/>
  <c r="C349" i="15"/>
  <c r="AB325" i="15"/>
  <c r="DX317" i="15"/>
  <c r="X305" i="15"/>
  <c r="A297" i="15"/>
  <c r="Y309" i="15"/>
  <c r="F307" i="15"/>
  <c r="Y362" i="15"/>
  <c r="AD506" i="15"/>
  <c r="AR318" i="15"/>
  <c r="N317" i="15"/>
  <c r="F320" i="15"/>
  <c r="AG331" i="15"/>
  <c r="AG323" i="15"/>
  <c r="AR344" i="15"/>
  <c r="V415" i="15"/>
  <c r="R426" i="15"/>
  <c r="AM302" i="15"/>
  <c r="T322" i="15"/>
  <c r="AR332" i="15"/>
  <c r="S263" i="15"/>
  <c r="B381" i="15"/>
  <c r="T418" i="15"/>
  <c r="AK398" i="15"/>
  <c r="A307" i="15"/>
  <c r="AA326" i="15"/>
  <c r="A349" i="15"/>
  <c r="Y438" i="15"/>
  <c r="AB455" i="15"/>
  <c r="AD300" i="15"/>
  <c r="G322" i="15"/>
  <c r="P331" i="15"/>
  <c r="AK346" i="15"/>
  <c r="B411" i="15"/>
  <c r="V287" i="15"/>
  <c r="F310" i="15"/>
  <c r="Z239" i="15"/>
  <c r="AC164" i="15"/>
  <c r="AB235" i="15"/>
  <c r="AK267" i="15"/>
  <c r="Y290" i="15"/>
  <c r="B210" i="15"/>
  <c r="Z238" i="15"/>
  <c r="AA250" i="15"/>
  <c r="R281" i="15"/>
  <c r="A336" i="15"/>
  <c r="AE291" i="15"/>
  <c r="DV297" i="15"/>
  <c r="X490" i="15"/>
  <c r="AE288" i="15"/>
  <c r="H262" i="15"/>
  <c r="AN183" i="15"/>
  <c r="O238" i="15"/>
  <c r="AN262" i="15"/>
  <c r="T302" i="15"/>
  <c r="AB399" i="15"/>
  <c r="AB341" i="15"/>
  <c r="I327" i="15"/>
  <c r="A293" i="15"/>
  <c r="A362" i="15"/>
  <c r="J243" i="15"/>
  <c r="E397" i="15"/>
  <c r="AE222" i="15"/>
  <c r="I245" i="15"/>
  <c r="AA253" i="15"/>
  <c r="AO373" i="15"/>
  <c r="Z281" i="15"/>
  <c r="H307" i="15"/>
  <c r="Y360" i="15"/>
  <c r="AA331" i="15"/>
  <c r="U212" i="15"/>
  <c r="DX303" i="15"/>
  <c r="K207" i="15"/>
  <c r="AO214" i="15"/>
  <c r="E236" i="15"/>
  <c r="C261" i="15"/>
  <c r="J265" i="15"/>
  <c r="D505" i="15"/>
  <c r="AA285" i="15"/>
  <c r="C323" i="15"/>
  <c r="AR314" i="15"/>
  <c r="V286" i="15"/>
  <c r="D242" i="15"/>
  <c r="X178" i="15"/>
  <c r="A259" i="15"/>
  <c r="I329" i="15"/>
  <c r="AE223" i="15"/>
  <c r="E258" i="15"/>
  <c r="AA375" i="15"/>
  <c r="H259" i="15"/>
  <c r="Y310" i="15"/>
  <c r="AM339" i="15"/>
  <c r="AH345" i="15"/>
  <c r="C330" i="15"/>
  <c r="Z235" i="15"/>
  <c r="P174" i="15"/>
  <c r="K253" i="15"/>
  <c r="B308" i="15"/>
  <c r="X218" i="15"/>
  <c r="AB251" i="15"/>
  <c r="D388" i="15"/>
  <c r="AC376" i="15"/>
  <c r="U292" i="15"/>
  <c r="AA321" i="15"/>
  <c r="D330" i="15"/>
  <c r="X321" i="15"/>
  <c r="DV229" i="15"/>
  <c r="F466" i="15"/>
  <c r="G347" i="15"/>
  <c r="U424" i="15"/>
  <c r="O346" i="15"/>
  <c r="Y448" i="15"/>
  <c r="O425" i="15"/>
  <c r="F494" i="15"/>
  <c r="Z309" i="15"/>
  <c r="G344" i="15"/>
  <c r="AK408" i="15"/>
  <c r="U379" i="15"/>
  <c r="K308" i="15"/>
  <c r="DZ317" i="15"/>
  <c r="S297" i="15"/>
  <c r="P299" i="15"/>
  <c r="M289" i="15"/>
  <c r="S379" i="15"/>
  <c r="Z354" i="15"/>
  <c r="AN385" i="15"/>
  <c r="AM425" i="15"/>
  <c r="X324" i="15"/>
  <c r="G332" i="15"/>
  <c r="AR309" i="15"/>
  <c r="W312" i="15"/>
  <c r="X301" i="15"/>
  <c r="S292" i="15"/>
  <c r="V305" i="15"/>
  <c r="AR473" i="15"/>
  <c r="I409" i="15"/>
  <c r="Z438" i="15"/>
  <c r="AJ302" i="15"/>
  <c r="AK311" i="15"/>
  <c r="AA314" i="15"/>
  <c r="J327" i="15"/>
  <c r="AA318" i="15"/>
  <c r="K340" i="15"/>
  <c r="F396" i="15"/>
  <c r="AL403" i="15"/>
  <c r="AE298" i="15"/>
  <c r="AM317" i="15"/>
  <c r="DX328" i="15"/>
  <c r="Z258" i="15"/>
  <c r="AB357" i="15"/>
  <c r="E403" i="15"/>
  <c r="J389" i="15"/>
  <c r="V302" i="15"/>
  <c r="AN321" i="15"/>
  <c r="L344" i="15"/>
  <c r="F408" i="15"/>
  <c r="AH412" i="15"/>
  <c r="B297" i="15"/>
  <c r="W317" i="15"/>
  <c r="G327" i="15"/>
  <c r="AC342" i="15"/>
  <c r="AL390" i="15"/>
  <c r="F487" i="15"/>
  <c r="B306" i="15"/>
  <c r="AN234" i="15"/>
  <c r="AC466" i="15"/>
  <c r="DV230" i="15"/>
  <c r="D262" i="15"/>
  <c r="A281" i="15"/>
  <c r="A205" i="15"/>
  <c r="S233" i="15"/>
  <c r="V245" i="15"/>
  <c r="AA274" i="15"/>
  <c r="B318" i="15"/>
  <c r="AK265" i="15"/>
  <c r="Q411" i="15"/>
  <c r="AA363" i="15"/>
  <c r="L436" i="15"/>
  <c r="AI255" i="15"/>
  <c r="D180" i="15"/>
  <c r="Z232" i="15"/>
  <c r="G257" i="15"/>
  <c r="X286" i="15"/>
  <c r="AN406" i="15"/>
  <c r="C321" i="15"/>
  <c r="J308" i="15"/>
  <c r="A437" i="15"/>
  <c r="W347" i="15"/>
  <c r="AN236" i="15"/>
  <c r="P344" i="15"/>
  <c r="DU217" i="15"/>
  <c r="C240" i="15"/>
  <c r="X247" i="15"/>
  <c r="AB400" i="15"/>
  <c r="AM370" i="15"/>
  <c r="AL290" i="15"/>
  <c r="X347" i="15"/>
  <c r="AO323" i="15"/>
  <c r="W207" i="15"/>
  <c r="B288" i="15"/>
  <c r="I425" i="15"/>
  <c r="AK209" i="15"/>
  <c r="AL230" i="15"/>
  <c r="X255" i="15"/>
  <c r="J259" i="15"/>
  <c r="D399" i="15"/>
  <c r="X259" i="15"/>
  <c r="V304" i="15"/>
  <c r="AH305" i="15"/>
  <c r="AK425" i="15"/>
  <c r="D236" i="15"/>
  <c r="AC174" i="15"/>
  <c r="AC253" i="15"/>
  <c r="R309" i="15"/>
  <c r="D219" i="15"/>
  <c r="J252" i="15"/>
  <c r="U388" i="15"/>
  <c r="U378" i="15"/>
  <c r="AH292" i="15"/>
  <c r="F322" i="15"/>
  <c r="R330" i="15"/>
  <c r="K323" i="15"/>
  <c r="H230" i="15"/>
  <c r="A170" i="15"/>
  <c r="I247" i="15"/>
  <c r="AK290" i="15"/>
  <c r="A214" i="15"/>
  <c r="AL245" i="15"/>
  <c r="F419" i="15"/>
  <c r="B335" i="15"/>
  <c r="C386" i="15"/>
  <c r="F417" i="15"/>
  <c r="AO322" i="15"/>
  <c r="B314" i="15"/>
  <c r="AC224" i="15"/>
  <c r="I415" i="15"/>
  <c r="G452" i="15"/>
  <c r="Z302" i="15"/>
  <c r="AC417" i="15"/>
  <c r="DV325" i="15"/>
  <c r="M367" i="15"/>
  <c r="W344" i="15"/>
  <c r="AB297" i="15"/>
  <c r="AK334" i="15"/>
  <c r="Z384" i="15"/>
  <c r="K366" i="15"/>
  <c r="S303" i="15"/>
  <c r="A308" i="15"/>
  <c r="J288" i="15"/>
  <c r="Y294" i="15"/>
  <c r="AR462" i="15"/>
  <c r="P362" i="15"/>
  <c r="AO343" i="15"/>
  <c r="X363" i="15"/>
  <c r="F409" i="15"/>
  <c r="L319" i="15"/>
  <c r="AB322" i="15"/>
  <c r="I301" i="15"/>
  <c r="AN307" i="15"/>
  <c r="AD297" i="15"/>
  <c r="U288" i="15"/>
  <c r="U301" i="15"/>
  <c r="R452" i="15"/>
  <c r="C394" i="15"/>
  <c r="J420" i="15"/>
  <c r="AC297" i="15"/>
  <c r="O307" i="15"/>
  <c r="AC309" i="15"/>
  <c r="Z322" i="15"/>
  <c r="AK313" i="15"/>
  <c r="AC335" i="15"/>
  <c r="AR375" i="15"/>
  <c r="E384" i="15"/>
  <c r="U294" i="15"/>
  <c r="AK312" i="15"/>
  <c r="AC324" i="15"/>
  <c r="C254" i="15"/>
  <c r="AK432" i="15"/>
  <c r="S388" i="15"/>
  <c r="Q382" i="15"/>
  <c r="P297" i="15"/>
  <c r="A317" i="15"/>
  <c r="F339" i="15"/>
  <c r="T384" i="15"/>
  <c r="F391" i="15"/>
  <c r="T292" i="15"/>
  <c r="T312" i="15"/>
  <c r="A323" i="15"/>
  <c r="AN337" i="15"/>
  <c r="R371" i="15"/>
  <c r="P421" i="15"/>
  <c r="D302" i="15"/>
  <c r="U230" i="15"/>
  <c r="V360" i="15"/>
  <c r="V226" i="15"/>
  <c r="AH256" i="15"/>
  <c r="O274" i="15"/>
  <c r="U401" i="15"/>
  <c r="J229" i="15"/>
  <c r="AK240" i="15"/>
  <c r="D269" i="15"/>
  <c r="W300" i="15"/>
  <c r="AC404" i="15"/>
  <c r="AN346" i="15"/>
  <c r="AA337" i="15"/>
  <c r="H397" i="15"/>
  <c r="AL249" i="15"/>
  <c r="X175" i="15"/>
  <c r="K228" i="15"/>
  <c r="K251" i="15"/>
  <c r="AN277" i="15"/>
  <c r="AK461" i="15"/>
  <c r="AR301" i="15"/>
  <c r="AL291" i="15"/>
  <c r="D396" i="15"/>
  <c r="O339" i="15"/>
  <c r="T231" i="15"/>
  <c r="E325" i="15"/>
  <c r="F213" i="15"/>
  <c r="P234" i="15"/>
  <c r="H242" i="15"/>
  <c r="AR450" i="15"/>
  <c r="DX337" i="15"/>
  <c r="I389" i="15"/>
  <c r="P339" i="15"/>
  <c r="I316" i="15"/>
  <c r="H202" i="15"/>
  <c r="B278" i="15"/>
  <c r="T350" i="15"/>
  <c r="Y203" i="15"/>
  <c r="C226" i="15"/>
  <c r="AK249" i="15"/>
  <c r="AM253" i="15"/>
  <c r="AK378" i="15"/>
  <c r="J380" i="15"/>
  <c r="H288" i="15"/>
  <c r="DV298" i="15"/>
  <c r="A387" i="15"/>
  <c r="DU230" i="15"/>
  <c r="M170" i="15"/>
  <c r="Z247" i="15"/>
  <c r="AJ291" i="15"/>
  <c r="AA214" i="15"/>
  <c r="J246" i="15"/>
  <c r="AK419" i="15"/>
  <c r="T335" i="15"/>
  <c r="AL387" i="15"/>
  <c r="U419" i="15"/>
  <c r="O323" i="15"/>
  <c r="T314" i="15"/>
  <c r="P225" i="15"/>
  <c r="I166" i="15"/>
  <c r="J242" i="15"/>
  <c r="P280" i="15"/>
  <c r="X208" i="15"/>
  <c r="AO240" i="15"/>
  <c r="AK360" i="15"/>
  <c r="X315" i="15"/>
  <c r="H322" i="15"/>
  <c r="Z350" i="15"/>
  <c r="D314" i="15"/>
  <c r="AG306" i="15"/>
  <c r="T359" i="15"/>
  <c r="K292" i="15"/>
  <c r="G311" i="15"/>
  <c r="V424" i="15"/>
  <c r="Z344" i="15"/>
  <c r="AA377" i="15"/>
  <c r="AO324" i="15"/>
  <c r="AB363" i="15"/>
  <c r="T330" i="15"/>
  <c r="G502" i="15"/>
  <c r="AE526" i="15"/>
  <c r="AC298" i="15"/>
  <c r="E290" i="15"/>
  <c r="F282" i="15"/>
  <c r="C290" i="15"/>
  <c r="AA359" i="15"/>
  <c r="G351" i="15"/>
  <c r="A339" i="15"/>
  <c r="B395" i="15"/>
  <c r="A394" i="15"/>
  <c r="AN312" i="15"/>
  <c r="P303" i="15"/>
  <c r="E297" i="15"/>
  <c r="AB303" i="15"/>
  <c r="P414" i="15"/>
  <c r="F469" i="15"/>
  <c r="AA297" i="15"/>
  <c r="Y410" i="15"/>
  <c r="F379" i="15"/>
  <c r="D410" i="15"/>
  <c r="K273" i="15"/>
  <c r="AM293" i="15"/>
  <c r="I305" i="15"/>
  <c r="AK293" i="15"/>
  <c r="J309" i="15"/>
  <c r="DZ330" i="15"/>
  <c r="E341" i="15"/>
  <c r="G366" i="15"/>
  <c r="K290" i="15"/>
  <c r="R296" i="15"/>
  <c r="DY319" i="15"/>
  <c r="C249" i="15"/>
  <c r="AC432" i="15"/>
  <c r="S373" i="15"/>
  <c r="V375" i="15"/>
  <c r="AL272" i="15"/>
  <c r="P311" i="15"/>
  <c r="D334" i="15"/>
  <c r="Z341" i="15"/>
  <c r="T370" i="15"/>
  <c r="V288" i="15"/>
  <c r="D296" i="15"/>
  <c r="H318" i="15"/>
  <c r="B333" i="15"/>
  <c r="AK339" i="15"/>
  <c r="AR399" i="15"/>
  <c r="B298" i="15"/>
  <c r="AC214" i="15"/>
  <c r="AM336" i="15"/>
  <c r="DZ221" i="15"/>
  <c r="W236" i="15"/>
  <c r="AB268" i="15"/>
  <c r="AF346" i="15"/>
  <c r="J211" i="15"/>
  <c r="W235" i="15"/>
  <c r="I263" i="15"/>
  <c r="R400" i="15"/>
  <c r="F342" i="15"/>
  <c r="Z327" i="15"/>
  <c r="R293" i="15"/>
  <c r="AB365" i="15"/>
  <c r="W243" i="15"/>
  <c r="P403" i="15"/>
  <c r="B223" i="15"/>
  <c r="Z245" i="15"/>
  <c r="AR253" i="15"/>
  <c r="O374" i="15"/>
  <c r="G282" i="15"/>
  <c r="Y307" i="15"/>
  <c r="C362" i="15"/>
  <c r="AN331" i="15"/>
  <c r="AO212" i="15"/>
  <c r="O305" i="15"/>
  <c r="AB207" i="15"/>
  <c r="G215" i="15"/>
  <c r="V236" i="15"/>
  <c r="R373" i="15"/>
  <c r="S361" i="15"/>
  <c r="H344" i="15"/>
  <c r="AB331" i="15"/>
  <c r="U286" i="15"/>
  <c r="H197" i="15"/>
  <c r="R271" i="15"/>
  <c r="W281" i="15"/>
  <c r="AB369" i="15"/>
  <c r="M221" i="15"/>
  <c r="V228" i="15"/>
  <c r="B248" i="15"/>
  <c r="G376" i="15"/>
  <c r="AD472" i="15"/>
  <c r="R370" i="15"/>
  <c r="V291" i="15"/>
  <c r="Q330" i="15"/>
  <c r="AC225" i="15"/>
  <c r="Y166" i="15"/>
  <c r="AA242" i="15"/>
  <c r="B281" i="15"/>
  <c r="D209" i="15"/>
  <c r="O241" i="15"/>
  <c r="J361" i="15"/>
  <c r="E316" i="15"/>
  <c r="Y322" i="15"/>
  <c r="F351" i="15"/>
  <c r="U314" i="15"/>
  <c r="D307" i="15"/>
  <c r="U220" i="15"/>
  <c r="O162" i="15"/>
  <c r="X236" i="15"/>
  <c r="AK272" i="15"/>
  <c r="I506" i="15"/>
  <c r="H235" i="15"/>
  <c r="H386" i="15"/>
  <c r="H457" i="15"/>
  <c r="AN303" i="15"/>
  <c r="AR331" i="15"/>
  <c r="E307" i="15"/>
  <c r="G299" i="15"/>
  <c r="H351" i="15"/>
  <c r="G221" i="15"/>
  <c r="F327" i="15"/>
  <c r="AH298" i="15"/>
  <c r="Y406" i="15"/>
  <c r="P336" i="15"/>
  <c r="AM319" i="15"/>
  <c r="AE351" i="15"/>
  <c r="G326" i="15"/>
  <c r="S428" i="15"/>
  <c r="F412" i="15"/>
  <c r="E293" i="15"/>
  <c r="B285" i="15"/>
  <c r="AC455" i="15"/>
  <c r="S396" i="15"/>
  <c r="F341" i="15"/>
  <c r="G346" i="15"/>
  <c r="P334" i="15"/>
  <c r="S377" i="15"/>
  <c r="Y515" i="15"/>
  <c r="AC307" i="15"/>
  <c r="AK298" i="15"/>
  <c r="E292" i="15"/>
  <c r="AC289" i="15"/>
  <c r="P358" i="15"/>
  <c r="G417" i="15"/>
  <c r="AA405" i="15"/>
  <c r="P372" i="15"/>
  <c r="AO365" i="15"/>
  <c r="I399" i="15"/>
  <c r="T267" i="15"/>
  <c r="R289" i="15"/>
  <c r="AL300" i="15"/>
  <c r="O289" i="15"/>
  <c r="G305" i="15"/>
  <c r="DU326" i="15"/>
  <c r="X336" i="15"/>
  <c r="A353" i="15"/>
  <c r="Z446" i="15"/>
  <c r="DY291" i="15"/>
  <c r="O315" i="15"/>
  <c r="V244" i="15"/>
  <c r="AC408" i="15"/>
  <c r="K360" i="15"/>
  <c r="I370" i="15"/>
  <c r="D267" i="15"/>
  <c r="AO306" i="15"/>
  <c r="X329" i="15"/>
  <c r="AA336" i="15"/>
  <c r="AK354" i="15"/>
  <c r="Y442" i="15"/>
  <c r="AK291" i="15"/>
  <c r="K313" i="15"/>
  <c r="DZ328" i="15"/>
  <c r="H335" i="15"/>
  <c r="AB380" i="15"/>
  <c r="AC293" i="15"/>
  <c r="E210" i="15"/>
  <c r="AN318" i="15"/>
  <c r="V217" i="15"/>
  <c r="V231" i="15"/>
  <c r="AM262" i="15"/>
  <c r="DV328" i="15"/>
  <c r="Y457" i="15"/>
  <c r="AC230" i="15"/>
  <c r="B258" i="15"/>
  <c r="P407" i="15"/>
  <c r="T321" i="15"/>
  <c r="Y308" i="15"/>
  <c r="S453" i="15"/>
  <c r="C348" i="15"/>
  <c r="J237" i="15"/>
  <c r="AE345" i="15"/>
  <c r="H218" i="15"/>
  <c r="U240" i="15"/>
  <c r="D248" i="15"/>
  <c r="I401" i="15"/>
  <c r="E372" i="15"/>
  <c r="K291" i="15"/>
  <c r="D348" i="15"/>
  <c r="G325" i="15"/>
  <c r="B208" i="15"/>
  <c r="AN288" i="15"/>
  <c r="AD439" i="15"/>
  <c r="C210" i="15"/>
  <c r="F231" i="15"/>
  <c r="AA416" i="15"/>
  <c r="R335" i="15"/>
  <c r="I326" i="15"/>
  <c r="AR323" i="15"/>
  <c r="Y277" i="15"/>
  <c r="AK191" i="15"/>
  <c r="S265" i="15"/>
  <c r="R274" i="15"/>
  <c r="AK337" i="15"/>
  <c r="T216" i="15"/>
  <c r="K223" i="15"/>
  <c r="B243" i="15"/>
  <c r="R389" i="15"/>
  <c r="U356" i="15"/>
  <c r="T339" i="15"/>
  <c r="AB429" i="15"/>
  <c r="AB323" i="15"/>
  <c r="DU220" i="15"/>
  <c r="AA162" i="15"/>
  <c r="C237" i="15"/>
  <c r="AL273" i="15"/>
  <c r="H203" i="15"/>
  <c r="Y235" i="15"/>
  <c r="Y386" i="15"/>
  <c r="Z464" i="15"/>
  <c r="E304" i="15"/>
  <c r="R332" i="15"/>
  <c r="V307" i="15"/>
  <c r="Y517" i="15"/>
  <c r="F369" i="15"/>
  <c r="AI346" i="15"/>
  <c r="AL319" i="15"/>
  <c r="G293" i="15"/>
  <c r="U293" i="15"/>
  <c r="D315" i="15"/>
  <c r="Y346" i="15"/>
  <c r="Z321" i="15"/>
  <c r="H410" i="15"/>
  <c r="F392" i="15"/>
  <c r="M288" i="15"/>
  <c r="AN278" i="15"/>
  <c r="AI412" i="15"/>
  <c r="R357" i="15"/>
  <c r="AE331" i="15"/>
  <c r="AR341" i="15"/>
  <c r="E330" i="15"/>
  <c r="E363" i="15"/>
  <c r="DU421" i="15"/>
  <c r="F303" i="15"/>
  <c r="J294" i="15"/>
  <c r="AB287" i="15"/>
  <c r="DU415" i="15"/>
  <c r="AL349" i="15"/>
  <c r="U397" i="15"/>
  <c r="W385" i="15"/>
  <c r="R462" i="15"/>
  <c r="AL463" i="15"/>
  <c r="AA389" i="15"/>
  <c r="W260" i="15"/>
  <c r="D284" i="15"/>
  <c r="X296" i="15"/>
  <c r="M463" i="15"/>
  <c r="G301" i="15"/>
  <c r="X322" i="15"/>
  <c r="AD331" i="15"/>
  <c r="H347" i="15"/>
  <c r="T412" i="15"/>
  <c r="D288" i="15"/>
  <c r="S310" i="15"/>
  <c r="D240" i="15"/>
  <c r="DZ390" i="15"/>
  <c r="B460" i="15"/>
  <c r="K364" i="15"/>
  <c r="G260" i="15"/>
  <c r="AF302" i="15"/>
  <c r="B325" i="15"/>
  <c r="T331" i="15"/>
  <c r="AC347" i="15"/>
  <c r="P411" i="15"/>
  <c r="Y287" i="15"/>
  <c r="AR308" i="15"/>
  <c r="AL324" i="15"/>
  <c r="AF330" i="15"/>
  <c r="O363" i="15"/>
  <c r="V289" i="15"/>
  <c r="U205" i="15"/>
  <c r="O301" i="15"/>
  <c r="W213" i="15"/>
  <c r="R227" i="15"/>
  <c r="X257" i="15"/>
  <c r="P310" i="15"/>
  <c r="AL358" i="15"/>
  <c r="R226" i="15"/>
  <c r="F253" i="15"/>
  <c r="AN463" i="15"/>
  <c r="P302" i="15"/>
  <c r="C292" i="15"/>
  <c r="S397" i="15"/>
  <c r="B341" i="15"/>
  <c r="AN231" i="15"/>
  <c r="P326" i="15"/>
  <c r="B214" i="15"/>
  <c r="AK234" i="15"/>
  <c r="D243" i="15"/>
  <c r="X452" i="15"/>
  <c r="K338" i="15"/>
  <c r="AR390" i="15"/>
  <c r="Y340" i="15"/>
  <c r="Z316" i="15"/>
  <c r="X202" i="15"/>
  <c r="G279" i="15"/>
  <c r="X352" i="15"/>
  <c r="V204" i="15"/>
  <c r="T226" i="15"/>
  <c r="AC380" i="15"/>
  <c r="V315" i="15"/>
  <c r="AK307" i="15"/>
  <c r="AA316" i="15"/>
  <c r="AR267" i="15"/>
  <c r="X187" i="15"/>
  <c r="S259" i="15"/>
  <c r="K268" i="15"/>
  <c r="T318" i="15"/>
  <c r="AC211" i="15"/>
  <c r="V218" i="15"/>
  <c r="O237" i="15"/>
  <c r="P420" i="15"/>
  <c r="Z333" i="15"/>
  <c r="AC321" i="15"/>
  <c r="G389" i="15"/>
  <c r="AC315" i="15"/>
  <c r="P216" i="15"/>
  <c r="AC383" i="15"/>
  <c r="W231" i="15"/>
  <c r="O267" i="15"/>
  <c r="Y364" i="15"/>
  <c r="R230" i="15"/>
  <c r="AA360" i="15"/>
  <c r="AA355" i="15"/>
  <c r="Z287" i="15"/>
  <c r="V314" i="15"/>
  <c r="Z300" i="15"/>
  <c r="AO292" i="15"/>
  <c r="AA211" i="15"/>
  <c r="Z339" i="15"/>
  <c r="E226" i="15"/>
  <c r="X260" i="15"/>
  <c r="Z334" i="15"/>
  <c r="Y220" i="15"/>
  <c r="I407" i="15"/>
  <c r="X332" i="15"/>
  <c r="AJ367" i="15"/>
  <c r="B304" i="15"/>
  <c r="AC292" i="15"/>
  <c r="H284" i="15"/>
  <c r="O206" i="15"/>
  <c r="J372" i="15"/>
  <c r="AK292" i="15"/>
  <c r="X317" i="15"/>
  <c r="N328" i="15"/>
  <c r="S305" i="15"/>
  <c r="AB298" i="15"/>
  <c r="F215" i="15"/>
  <c r="AH355" i="15"/>
  <c r="AN229" i="15"/>
  <c r="P265" i="15"/>
  <c r="F350" i="15"/>
  <c r="K229" i="15"/>
  <c r="AK264" i="15"/>
  <c r="AM332" i="15"/>
  <c r="J220" i="15"/>
  <c r="AB249" i="15"/>
  <c r="Z274" i="15"/>
  <c r="R431" i="15"/>
  <c r="J240" i="15"/>
  <c r="AB362" i="15"/>
  <c r="AE300" i="15"/>
  <c r="I345" i="15"/>
  <c r="K437" i="15"/>
  <c r="AN375" i="15"/>
  <c r="D351" i="15"/>
  <c r="W251" i="15"/>
  <c r="O189" i="15"/>
  <c r="J282" i="15"/>
  <c r="H215" i="15"/>
  <c r="AB253" i="15"/>
  <c r="DW328" i="15"/>
  <c r="DX228" i="15"/>
  <c r="K270" i="15"/>
  <c r="G435" i="15"/>
  <c r="AR239" i="15"/>
  <c r="AA428" i="15"/>
  <c r="Y296" i="15"/>
  <c r="E383" i="15"/>
  <c r="C312" i="15"/>
  <c r="E295" i="15"/>
  <c r="AA290" i="15"/>
  <c r="I290" i="15"/>
  <c r="Q214" i="15"/>
  <c r="AC425" i="15"/>
  <c r="Y239" i="15"/>
  <c r="C285" i="15"/>
  <c r="U216" i="15"/>
  <c r="G255" i="15"/>
  <c r="S336" i="15"/>
  <c r="P230" i="15"/>
  <c r="G268" i="15"/>
  <c r="AO399" i="15"/>
  <c r="T355" i="15"/>
  <c r="P224" i="15"/>
  <c r="J284" i="15"/>
  <c r="B409" i="15"/>
  <c r="V208" i="15"/>
  <c r="F212" i="15"/>
  <c r="I234" i="15"/>
  <c r="S258" i="15"/>
  <c r="AC314" i="15"/>
  <c r="B225" i="15"/>
  <c r="V271" i="15"/>
  <c r="AL212" i="15"/>
  <c r="O159" i="15"/>
  <c r="U107" i="15"/>
  <c r="AA191" i="15"/>
  <c r="J138" i="15"/>
  <c r="AG82" i="15"/>
  <c r="AH297" i="15"/>
  <c r="L167" i="15"/>
  <c r="AL207" i="15"/>
  <c r="V149" i="15"/>
  <c r="K288" i="15"/>
  <c r="AL333" i="15"/>
  <c r="AC238" i="15"/>
  <c r="S254" i="15"/>
  <c r="AK237" i="15"/>
  <c r="F242" i="15"/>
  <c r="U257" i="15"/>
  <c r="AN283" i="15"/>
  <c r="B216" i="15"/>
  <c r="AF245" i="15"/>
  <c r="R314" i="15"/>
  <c r="DX229" i="15"/>
  <c r="A175" i="15"/>
  <c r="C123" i="15"/>
  <c r="L231" i="15"/>
  <c r="G156" i="15"/>
  <c r="AC99" i="15"/>
  <c r="AN48" i="15"/>
  <c r="AC184" i="15"/>
  <c r="O284" i="15"/>
  <c r="D166" i="15"/>
  <c r="R388" i="15"/>
  <c r="AM333" i="15"/>
  <c r="Z298" i="15"/>
  <c r="C355" i="15"/>
  <c r="B262" i="15"/>
  <c r="J266" i="15"/>
  <c r="K277" i="15"/>
  <c r="AL338" i="15"/>
  <c r="DZ229" i="15"/>
  <c r="O262" i="15"/>
  <c r="S445" i="15"/>
  <c r="M244" i="15"/>
  <c r="B187" i="15"/>
  <c r="G138" i="15"/>
  <c r="P314" i="15"/>
  <c r="P168" i="15"/>
  <c r="AK111" i="15"/>
  <c r="T60" i="15"/>
  <c r="Z199" i="15"/>
  <c r="F145" i="15"/>
  <c r="A179" i="15"/>
  <c r="I215" i="15"/>
  <c r="F400" i="15"/>
  <c r="AD181" i="15"/>
  <c r="S243" i="15"/>
  <c r="S302" i="15"/>
  <c r="H315" i="15"/>
  <c r="B330" i="15"/>
  <c r="DU221" i="15"/>
  <c r="T245" i="15"/>
  <c r="K281" i="15"/>
  <c r="AH214" i="15"/>
  <c r="E259" i="15"/>
  <c r="F201" i="15"/>
  <c r="AN150" i="15"/>
  <c r="Z98" i="15"/>
  <c r="M181" i="15"/>
  <c r="S125" i="15"/>
  <c r="P389" i="15"/>
  <c r="E370" i="15"/>
  <c r="AG348" i="15"/>
  <c r="P211" i="15"/>
  <c r="F269" i="15"/>
  <c r="AB273" i="15"/>
  <c r="AA284" i="15"/>
  <c r="N368" i="15"/>
  <c r="H234" i="15"/>
  <c r="X267" i="15"/>
  <c r="R203" i="15"/>
  <c r="K248" i="15"/>
  <c r="T190" i="15"/>
  <c r="E142" i="15"/>
  <c r="AN89" i="15"/>
  <c r="C172" i="15"/>
  <c r="C115" i="15"/>
  <c r="AN316" i="15"/>
  <c r="AL296" i="15"/>
  <c r="P267" i="15"/>
  <c r="AK287" i="15"/>
  <c r="I251" i="15"/>
  <c r="D255" i="15"/>
  <c r="X268" i="15"/>
  <c r="S311" i="15"/>
  <c r="B224" i="15"/>
  <c r="AR254" i="15"/>
  <c r="C346" i="15"/>
  <c r="C238" i="15"/>
  <c r="AB181" i="15"/>
  <c r="O131" i="15"/>
  <c r="V265" i="15"/>
  <c r="AO162" i="15"/>
  <c r="AL106" i="15"/>
  <c r="AB348" i="15"/>
  <c r="G321" i="15"/>
  <c r="T230" i="15"/>
  <c r="Y245" i="15"/>
  <c r="K234" i="15"/>
  <c r="H238" i="15"/>
  <c r="C255" i="15"/>
  <c r="E280" i="15"/>
  <c r="I214" i="15"/>
  <c r="Z243" i="15"/>
  <c r="C307" i="15"/>
  <c r="O228" i="15"/>
  <c r="S173" i="15"/>
  <c r="L121" i="15"/>
  <c r="AO223" i="15"/>
  <c r="W154" i="15"/>
  <c r="AL97" i="15"/>
  <c r="DW442" i="15"/>
  <c r="AM256" i="15"/>
  <c r="DU396" i="15"/>
  <c r="X422" i="15"/>
  <c r="Q354" i="15"/>
  <c r="T372" i="15"/>
  <c r="S329" i="15"/>
  <c r="A300" i="15"/>
  <c r="J365" i="15"/>
  <c r="K310" i="15"/>
  <c r="P342" i="15"/>
  <c r="E451" i="15"/>
  <c r="AR394" i="15"/>
  <c r="G384" i="15"/>
  <c r="H416" i="15"/>
  <c r="E428" i="15"/>
  <c r="G391" i="15"/>
  <c r="B334" i="15"/>
  <c r="Y327" i="15"/>
  <c r="O337" i="15"/>
  <c r="W311" i="15"/>
  <c r="AK495" i="15"/>
  <c r="F411" i="15"/>
  <c r="B261" i="15"/>
  <c r="AL289" i="15"/>
  <c r="Y281" i="15"/>
  <c r="Z348" i="15"/>
  <c r="G345" i="15"/>
  <c r="Z377" i="15"/>
  <c r="U343" i="15"/>
  <c r="G363" i="15"/>
  <c r="R422" i="15"/>
  <c r="AL351" i="15"/>
  <c r="A255" i="15"/>
  <c r="V536" i="15"/>
  <c r="AN387" i="15"/>
  <c r="R414" i="15"/>
  <c r="O297" i="15"/>
  <c r="U304" i="15"/>
  <c r="X327" i="15"/>
  <c r="H343" i="15"/>
  <c r="H349" i="15"/>
  <c r="K506" i="15"/>
  <c r="T306" i="15"/>
  <c r="F523" i="15"/>
  <c r="U373" i="15"/>
  <c r="S421" i="15"/>
  <c r="D340" i="15"/>
  <c r="AD254" i="15"/>
  <c r="K298" i="15"/>
  <c r="AL304" i="15"/>
  <c r="DW326" i="15"/>
  <c r="AN342" i="15"/>
  <c r="AM348" i="15"/>
  <c r="AM453" i="15"/>
  <c r="AG304" i="15"/>
  <c r="V306" i="15"/>
  <c r="S326" i="15"/>
  <c r="Z351" i="15"/>
  <c r="P268" i="15"/>
  <c r="V200" i="15"/>
  <c r="AL286" i="15"/>
  <c r="Y339" i="15"/>
  <c r="AC222" i="15"/>
  <c r="AB252" i="15"/>
  <c r="DW269" i="15"/>
  <c r="R336" i="15"/>
  <c r="DV221" i="15"/>
  <c r="U232" i="15"/>
  <c r="AC374" i="15"/>
  <c r="X282" i="15"/>
  <c r="AL307" i="15"/>
  <c r="W367" i="15"/>
  <c r="O332" i="15"/>
  <c r="K213" i="15"/>
  <c r="AD306" i="15"/>
  <c r="H208" i="15"/>
  <c r="X215" i="15"/>
  <c r="A237" i="15"/>
  <c r="AL373" i="15"/>
  <c r="AC362" i="15"/>
  <c r="U344" i="15"/>
  <c r="AO331" i="15"/>
  <c r="C287" i="15"/>
  <c r="T197" i="15"/>
  <c r="AN271" i="15"/>
  <c r="I282" i="15"/>
  <c r="T375" i="15"/>
  <c r="AA221" i="15"/>
  <c r="G291" i="15"/>
  <c r="R297" i="15"/>
  <c r="E469" i="15"/>
  <c r="E287" i="15"/>
  <c r="AL260" i="15"/>
  <c r="AR182" i="15"/>
  <c r="T237" i="15"/>
  <c r="W261" i="15"/>
  <c r="W299" i="15"/>
  <c r="R327" i="15"/>
  <c r="L214" i="15"/>
  <c r="AL231" i="15"/>
  <c r="H361" i="15"/>
  <c r="AM313" i="15"/>
  <c r="AM303" i="15"/>
  <c r="K331" i="15"/>
  <c r="U307" i="15"/>
  <c r="E212" i="15"/>
  <c r="P341" i="15"/>
  <c r="B227" i="15"/>
  <c r="E261" i="15"/>
  <c r="T336" i="15"/>
  <c r="DZ220" i="15"/>
  <c r="Z407" i="15"/>
  <c r="H333" i="15"/>
  <c r="DW368" i="15"/>
  <c r="T305" i="15"/>
  <c r="AR292" i="15"/>
  <c r="W285" i="15"/>
  <c r="AB206" i="15"/>
  <c r="J320" i="15"/>
  <c r="O221" i="15"/>
  <c r="H255" i="15"/>
  <c r="I297" i="15"/>
  <c r="AJ215" i="15"/>
  <c r="I374" i="15"/>
  <c r="B313" i="15"/>
  <c r="Y338" i="15"/>
  <c r="AM297" i="15"/>
  <c r="I284" i="15"/>
  <c r="AK274" i="15"/>
  <c r="A201" i="15"/>
  <c r="U403" i="15"/>
  <c r="AK414" i="15"/>
  <c r="D434" i="15"/>
  <c r="A312" i="15"/>
  <c r="DU298" i="15"/>
  <c r="F291" i="15"/>
  <c r="U210" i="15"/>
  <c r="O333" i="15"/>
  <c r="DV224" i="15"/>
  <c r="R259" i="15"/>
  <c r="P330" i="15"/>
  <c r="G224" i="15"/>
  <c r="V258" i="15"/>
  <c r="O295" i="15"/>
  <c r="T215" i="15"/>
  <c r="P244" i="15"/>
  <c r="B269" i="15"/>
  <c r="M354" i="15"/>
  <c r="C235" i="15"/>
  <c r="AI354" i="15"/>
  <c r="C278" i="15"/>
  <c r="DY325" i="15"/>
  <c r="S355" i="15"/>
  <c r="E351" i="15"/>
  <c r="AA334" i="15"/>
  <c r="W245" i="15"/>
  <c r="P185" i="15"/>
  <c r="A275" i="15"/>
  <c r="D210" i="15"/>
  <c r="Y247" i="15"/>
  <c r="C309" i="15"/>
  <c r="AD223" i="15"/>
  <c r="AK263" i="15"/>
  <c r="AO351" i="15"/>
  <c r="J234" i="15"/>
  <c r="E430" i="15"/>
  <c r="S272" i="15"/>
  <c r="H341" i="15"/>
  <c r="X295" i="15"/>
  <c r="C478" i="15"/>
  <c r="Z475" i="15"/>
  <c r="AN280" i="15"/>
  <c r="U209" i="15"/>
  <c r="U350" i="15"/>
  <c r="A234" i="15"/>
  <c r="A277" i="15"/>
  <c r="AK211" i="15"/>
  <c r="R249" i="15"/>
  <c r="C317" i="15"/>
  <c r="W225" i="15"/>
  <c r="A262" i="15"/>
  <c r="B345" i="15"/>
  <c r="A447" i="15"/>
  <c r="AO205" i="15"/>
  <c r="AR263" i="15"/>
  <c r="Y334" i="15"/>
  <c r="O348" i="15"/>
  <c r="AL393" i="15"/>
  <c r="H229" i="15"/>
  <c r="W252" i="15"/>
  <c r="AA296" i="15"/>
  <c r="S220" i="15"/>
  <c r="D266" i="15"/>
  <c r="AN207" i="15"/>
  <c r="AC155" i="15"/>
  <c r="DX103" i="15"/>
  <c r="E187" i="15"/>
  <c r="O132" i="15"/>
  <c r="U78" i="15"/>
  <c r="U265" i="15"/>
  <c r="AN162" i="15"/>
  <c r="Y199" i="15"/>
  <c r="J337" i="15"/>
  <c r="H304" i="15"/>
  <c r="V303" i="15"/>
  <c r="S223" i="15"/>
  <c r="AL237" i="15"/>
  <c r="AK229" i="15"/>
  <c r="A233" i="15"/>
  <c r="Y251" i="15"/>
  <c r="H276" i="15"/>
  <c r="U483" i="15"/>
  <c r="AA240" i="15"/>
  <c r="AJ297" i="15"/>
  <c r="R225" i="15"/>
  <c r="X170" i="15"/>
  <c r="V118" i="15"/>
  <c r="W214" i="15"/>
  <c r="AM151" i="15"/>
  <c r="O95" i="15"/>
  <c r="AI44" i="15"/>
  <c r="O180" i="15"/>
  <c r="AH259" i="15"/>
  <c r="AB161" i="15"/>
  <c r="AO338" i="15"/>
  <c r="W303" i="15"/>
  <c r="DZ269" i="15"/>
  <c r="S295" i="15"/>
  <c r="P254" i="15"/>
  <c r="C258" i="15"/>
  <c r="H270" i="15"/>
  <c r="X316" i="15"/>
  <c r="C225" i="15"/>
  <c r="Y256" i="15"/>
  <c r="Y353" i="15"/>
  <c r="P239" i="15"/>
  <c r="X182" i="15"/>
  <c r="Z132" i="15"/>
  <c r="C271" i="15"/>
  <c r="AM163" i="15"/>
  <c r="AM107" i="15"/>
  <c r="DZ55" i="15"/>
  <c r="F194" i="15"/>
  <c r="AC140" i="15"/>
  <c r="AD174" i="15"/>
  <c r="W364" i="15"/>
  <c r="AK303" i="15"/>
  <c r="T399" i="15"/>
  <c r="Z367" i="15"/>
  <c r="DX291" i="15"/>
  <c r="AN344" i="15"/>
  <c r="U315" i="15"/>
  <c r="U328" i="15"/>
  <c r="AB289" i="15"/>
  <c r="AF332" i="15"/>
  <c r="R412" i="15"/>
  <c r="B380" i="15"/>
  <c r="J377" i="15"/>
  <c r="K388" i="15"/>
  <c r="T361" i="15"/>
  <c r="U370" i="15"/>
  <c r="D329" i="15"/>
  <c r="S323" i="15"/>
  <c r="B324" i="15"/>
  <c r="I445" i="15"/>
  <c r="Y427" i="15"/>
  <c r="I400" i="15"/>
  <c r="P255" i="15"/>
  <c r="F425" i="15"/>
  <c r="W448" i="15"/>
  <c r="DW343" i="15"/>
  <c r="AB340" i="15"/>
  <c r="C361" i="15"/>
  <c r="W338" i="15"/>
  <c r="I446" i="15"/>
  <c r="P406" i="15"/>
  <c r="AL345" i="15"/>
  <c r="B473" i="15"/>
  <c r="AA420" i="15"/>
  <c r="X366" i="15"/>
  <c r="A393" i="15"/>
  <c r="AG292" i="15"/>
  <c r="O300" i="15"/>
  <c r="R323" i="15"/>
  <c r="E338" i="15"/>
  <c r="AM344" i="15"/>
  <c r="H423" i="15"/>
  <c r="U302" i="15"/>
  <c r="W377" i="15"/>
  <c r="C359" i="15"/>
  <c r="R405" i="15"/>
  <c r="AB334" i="15"/>
  <c r="A465" i="15"/>
  <c r="Y293" i="15"/>
  <c r="T300" i="15"/>
  <c r="I322" i="15"/>
  <c r="AE337" i="15"/>
  <c r="V344" i="15"/>
  <c r="E414" i="15"/>
  <c r="AB300" i="15"/>
  <c r="X302" i="15"/>
  <c r="C322" i="15"/>
  <c r="U346" i="15"/>
  <c r="B263" i="15"/>
  <c r="A196" i="15"/>
  <c r="V278" i="15"/>
  <c r="AO321" i="15"/>
  <c r="G218" i="15"/>
  <c r="G247" i="15"/>
  <c r="K264" i="15"/>
  <c r="R318" i="15"/>
  <c r="R217" i="15"/>
  <c r="S228" i="15"/>
  <c r="Z401" i="15"/>
  <c r="I373" i="15"/>
  <c r="X291" i="15"/>
  <c r="V348" i="15"/>
  <c r="T325" i="15"/>
  <c r="R208" i="15"/>
  <c r="AN289" i="15"/>
  <c r="C465" i="15"/>
  <c r="T210" i="15"/>
  <c r="U231" i="15"/>
  <c r="I417" i="15"/>
  <c r="AL335" i="15"/>
  <c r="V326" i="15"/>
  <c r="U325" i="15"/>
  <c r="F278" i="15"/>
  <c r="I192" i="15"/>
  <c r="AR265" i="15"/>
  <c r="AN274" i="15"/>
  <c r="J339" i="15"/>
  <c r="AO216" i="15"/>
  <c r="B265" i="15"/>
  <c r="E408" i="15"/>
  <c r="B361" i="15"/>
  <c r="A429" i="15"/>
  <c r="E255" i="15"/>
  <c r="DW178" i="15"/>
  <c r="DV231" i="15"/>
  <c r="AN255" i="15"/>
  <c r="AN284" i="15"/>
  <c r="AF307" i="15"/>
  <c r="B209" i="15"/>
  <c r="J227" i="15"/>
  <c r="G408" i="15"/>
  <c r="AA295" i="15"/>
  <c r="H287" i="15"/>
  <c r="AC323" i="15"/>
  <c r="A301" i="15"/>
  <c r="G207" i="15"/>
  <c r="AR321" i="15"/>
  <c r="AC221" i="15"/>
  <c r="Z255" i="15"/>
  <c r="N298" i="15"/>
  <c r="G216" i="15"/>
  <c r="Z374" i="15"/>
  <c r="S313" i="15"/>
  <c r="C339" i="15"/>
  <c r="D298" i="15"/>
  <c r="E286" i="15"/>
  <c r="K275" i="15"/>
  <c r="P201" i="15"/>
  <c r="AI299" i="15"/>
  <c r="V216" i="15"/>
  <c r="G244" i="15"/>
  <c r="S283" i="15"/>
  <c r="AN210" i="15"/>
  <c r="AM349" i="15"/>
  <c r="AM294" i="15"/>
  <c r="AN320" i="15"/>
  <c r="AC290" i="15"/>
  <c r="Z416" i="15"/>
  <c r="F266" i="15"/>
  <c r="V195" i="15"/>
  <c r="H469" i="15"/>
  <c r="S328" i="15"/>
  <c r="AE354" i="15"/>
  <c r="X303" i="15"/>
  <c r="U291" i="15"/>
  <c r="J283" i="15"/>
  <c r="E205" i="15"/>
  <c r="AR313" i="15"/>
  <c r="N220" i="15"/>
  <c r="A254" i="15"/>
  <c r="R310" i="15"/>
  <c r="T219" i="15"/>
  <c r="F247" i="15"/>
  <c r="Z282" i="15"/>
  <c r="P210" i="15"/>
  <c r="C239" i="15"/>
  <c r="H263" i="15"/>
  <c r="F334" i="15"/>
  <c r="L230" i="15"/>
  <c r="T354" i="15"/>
  <c r="AE253" i="15"/>
  <c r="AL305" i="15"/>
  <c r="AL334" i="15"/>
  <c r="D336" i="15"/>
  <c r="AO327" i="15"/>
  <c r="J239" i="15"/>
  <c r="F181" i="15"/>
  <c r="AK268" i="15"/>
  <c r="W204" i="15"/>
  <c r="Z242" i="15"/>
  <c r="AF291" i="15"/>
  <c r="W218" i="15"/>
  <c r="D258" i="15"/>
  <c r="W331" i="15"/>
  <c r="W229" i="15"/>
  <c r="Z357" i="15"/>
  <c r="J444" i="15"/>
  <c r="AL321" i="15"/>
  <c r="V412" i="15"/>
  <c r="W407" i="15"/>
  <c r="K405" i="15"/>
  <c r="D272" i="15"/>
  <c r="J204" i="15"/>
  <c r="AB330" i="15"/>
  <c r="M229" i="15"/>
  <c r="R270" i="15"/>
  <c r="P206" i="15"/>
  <c r="F244" i="15"/>
  <c r="M298" i="15"/>
  <c r="DY220" i="15"/>
  <c r="J256" i="15"/>
  <c r="K324" i="15"/>
  <c r="K300" i="15"/>
  <c r="B186" i="15"/>
  <c r="AB246" i="15"/>
  <c r="P306" i="15"/>
  <c r="U321" i="15"/>
  <c r="H334" i="15"/>
  <c r="AL222" i="15"/>
  <c r="W246" i="15"/>
  <c r="H283" i="15"/>
  <c r="AD215" i="15"/>
  <c r="K260" i="15"/>
  <c r="T202" i="15"/>
  <c r="AH151" i="15"/>
  <c r="X99" i="15"/>
  <c r="I182" i="15"/>
  <c r="AC126" i="15"/>
  <c r="X74" i="15"/>
  <c r="Y244" i="15"/>
  <c r="AO158" i="15"/>
  <c r="E194" i="15"/>
  <c r="Z278" i="15"/>
  <c r="R321" i="15"/>
  <c r="I270" i="15"/>
  <c r="E209" i="15"/>
  <c r="K222" i="15"/>
  <c r="AA222" i="15"/>
  <c r="A226" i="15"/>
  <c r="U245" i="15"/>
  <c r="AN269" i="15"/>
  <c r="AK357" i="15"/>
  <c r="X234" i="15"/>
  <c r="V284" i="15"/>
  <c r="F221" i="15"/>
  <c r="AI166" i="15"/>
  <c r="K114" i="15"/>
  <c r="E203" i="15"/>
  <c r="T147" i="15"/>
  <c r="AL90" i="15"/>
  <c r="AN40" i="15"/>
  <c r="AM175" i="15"/>
  <c r="AA239" i="15"/>
  <c r="AN157" i="15"/>
  <c r="DY434" i="15"/>
  <c r="O398" i="15"/>
  <c r="AK252" i="15"/>
  <c r="G269" i="15"/>
  <c r="F245" i="15"/>
  <c r="AN248" i="15"/>
  <c r="AA263" i="15"/>
  <c r="AB296" i="15"/>
  <c r="T220" i="15"/>
  <c r="D251" i="15"/>
  <c r="K332" i="15"/>
  <c r="F234" i="15"/>
  <c r="Y178" i="15"/>
  <c r="P127" i="15"/>
  <c r="X249" i="15"/>
  <c r="AG159" i="15"/>
  <c r="C104" i="15"/>
  <c r="H52" i="15"/>
  <c r="AG188" i="15"/>
  <c r="Q344" i="15"/>
  <c r="DW169" i="15"/>
  <c r="V404" i="15"/>
  <c r="P379" i="15"/>
  <c r="Z365" i="15"/>
  <c r="E213" i="15"/>
  <c r="K271" i="15"/>
  <c r="AC275" i="15"/>
  <c r="U285" i="15"/>
  <c r="Z373" i="15"/>
  <c r="Y234" i="15"/>
  <c r="D268" i="15"/>
  <c r="AN203" i="15"/>
  <c r="AB248" i="15"/>
  <c r="AO190" i="15"/>
  <c r="U142" i="15"/>
  <c r="O90" i="15"/>
  <c r="V172" i="15"/>
  <c r="P115" i="15"/>
  <c r="J317" i="15"/>
  <c r="K297" i="15"/>
  <c r="AL267" i="15"/>
  <c r="AC288" i="15"/>
  <c r="AA251" i="15"/>
  <c r="W255" i="15"/>
  <c r="S269" i="15"/>
  <c r="E313" i="15"/>
  <c r="O224" i="15"/>
  <c r="AG255" i="15"/>
  <c r="U347" i="15"/>
  <c r="U238" i="15"/>
  <c r="AO181" i="15"/>
  <c r="AB131" i="15"/>
  <c r="V267" i="15"/>
  <c r="G163" i="15"/>
  <c r="I107" i="15"/>
  <c r="V391" i="15"/>
  <c r="AN325" i="15"/>
  <c r="E233" i="15"/>
  <c r="U248" i="15"/>
  <c r="AB234" i="15"/>
  <c r="Y238" i="15"/>
  <c r="AJ255" i="15"/>
  <c r="Z280" i="15"/>
  <c r="V214" i="15"/>
  <c r="A244" i="15"/>
  <c r="R308" i="15"/>
  <c r="AC228" i="15"/>
  <c r="AF173" i="15"/>
  <c r="Y121" i="15"/>
  <c r="O225" i="15"/>
  <c r="DU154" i="15"/>
  <c r="K98" i="15"/>
  <c r="AJ288" i="15"/>
  <c r="O259" i="15"/>
  <c r="B403" i="15"/>
  <c r="W215" i="15"/>
  <c r="R219" i="15"/>
  <c r="AM222" i="15"/>
  <c r="N243" i="15"/>
  <c r="G267" i="15"/>
  <c r="DZ344" i="15"/>
  <c r="R232" i="15"/>
  <c r="J281" i="15"/>
  <c r="I219" i="15"/>
  <c r="D165" i="15"/>
  <c r="AK112" i="15"/>
  <c r="O200" i="15"/>
  <c r="X145" i="15"/>
  <c r="Y88" i="15"/>
  <c r="Y311" i="15"/>
  <c r="E214" i="15"/>
  <c r="AB327" i="15"/>
  <c r="K345" i="15"/>
  <c r="G336" i="15"/>
  <c r="Y318" i="15"/>
  <c r="L317" i="15"/>
  <c r="N214" i="15"/>
  <c r="AB279" i="15"/>
  <c r="DX319" i="15"/>
  <c r="O388" i="15"/>
  <c r="O211" i="15"/>
  <c r="D216" i="15"/>
  <c r="P410" i="15"/>
  <c r="F257" i="15"/>
  <c r="X424" i="15"/>
  <c r="E355" i="15"/>
  <c r="I220" i="15"/>
  <c r="AD368" i="15"/>
  <c r="AA345" i="15"/>
  <c r="U317" i="15"/>
  <c r="K283" i="15"/>
  <c r="T252" i="15"/>
  <c r="E169" i="15"/>
  <c r="Y215" i="15"/>
  <c r="AR226" i="15"/>
  <c r="AR244" i="15"/>
  <c r="G242" i="15"/>
  <c r="D257" i="15"/>
  <c r="H273" i="15"/>
  <c r="A258" i="15"/>
  <c r="AA277" i="15"/>
  <c r="F349" i="15"/>
  <c r="AN354" i="15"/>
  <c r="AC299" i="15"/>
  <c r="V295" i="15"/>
  <c r="O320" i="15"/>
  <c r="C219" i="15"/>
  <c r="AL331" i="15"/>
  <c r="R383" i="15"/>
  <c r="AB221" i="15"/>
  <c r="T244" i="15"/>
  <c r="AA252" i="15"/>
  <c r="AB274" i="15"/>
  <c r="B327" i="15"/>
  <c r="R347" i="15"/>
  <c r="C332" i="15"/>
  <c r="R324" i="15"/>
  <c r="AC369" i="15"/>
  <c r="G245" i="15"/>
  <c r="AO172" i="15"/>
  <c r="I224" i="15"/>
  <c r="H247" i="15"/>
  <c r="AC272" i="15"/>
  <c r="F284" i="15"/>
  <c r="B350" i="15"/>
  <c r="P219" i="15"/>
  <c r="R312" i="15"/>
  <c r="A274" i="15"/>
  <c r="J238" i="15"/>
  <c r="AC291" i="15"/>
  <c r="I271" i="15"/>
  <c r="AB276" i="15"/>
  <c r="Y275" i="15"/>
  <c r="AO361" i="15"/>
  <c r="AL225" i="15"/>
  <c r="AB147" i="15"/>
  <c r="E275" i="15"/>
  <c r="D152" i="15"/>
  <c r="K70" i="15"/>
  <c r="E195" i="15"/>
  <c r="Y261" i="15"/>
  <c r="D256" i="15"/>
  <c r="C296" i="15"/>
  <c r="C308" i="15"/>
  <c r="Z207" i="15"/>
  <c r="DV319" i="15"/>
  <c r="AC277" i="15"/>
  <c r="Z263" i="15"/>
  <c r="U282" i="15"/>
  <c r="Y475" i="15"/>
  <c r="Z216" i="15"/>
  <c r="V151" i="15"/>
  <c r="AA320" i="15"/>
  <c r="AJ142" i="15"/>
  <c r="H74" i="15"/>
  <c r="K200" i="15"/>
  <c r="C221" i="15"/>
  <c r="W276" i="15"/>
  <c r="W295" i="15"/>
  <c r="G236" i="15"/>
  <c r="I207" i="15"/>
  <c r="B317" i="15"/>
  <c r="C257" i="15"/>
  <c r="AE262" i="15"/>
  <c r="A282" i="15"/>
  <c r="AB312" i="15"/>
  <c r="M216" i="15"/>
  <c r="J151" i="15"/>
  <c r="DW229" i="15"/>
  <c r="W142" i="15"/>
  <c r="DV73" i="15"/>
  <c r="K184" i="15"/>
  <c r="W219" i="15"/>
  <c r="V274" i="15"/>
  <c r="AK329" i="15"/>
  <c r="O252" i="15"/>
  <c r="O234" i="15"/>
  <c r="Y214" i="15"/>
  <c r="O368" i="15"/>
  <c r="W337" i="15"/>
  <c r="G220" i="15"/>
  <c r="R239" i="15"/>
  <c r="F276" i="15"/>
  <c r="V206" i="15"/>
  <c r="Y137" i="15"/>
  <c r="AK247" i="15"/>
  <c r="M151" i="15"/>
  <c r="W85" i="15"/>
  <c r="AI301" i="15"/>
  <c r="A250" i="15"/>
  <c r="X232" i="15"/>
  <c r="AO213" i="15"/>
  <c r="AO357" i="15"/>
  <c r="Q216" i="15"/>
  <c r="AB219" i="15"/>
  <c r="A239" i="15"/>
  <c r="X275" i="15"/>
  <c r="E206" i="15"/>
  <c r="P146" i="15"/>
  <c r="B246" i="15"/>
  <c r="AR150" i="15"/>
  <c r="G85" i="15"/>
  <c r="T301" i="15"/>
  <c r="C291" i="15"/>
  <c r="AR231" i="15"/>
  <c r="T213" i="15"/>
  <c r="R354" i="15"/>
  <c r="C216" i="15"/>
  <c r="G229" i="15"/>
  <c r="V238" i="15"/>
  <c r="F275" i="15"/>
  <c r="Y205" i="15"/>
  <c r="D146" i="15"/>
  <c r="AI297" i="15"/>
  <c r="U150" i="15"/>
  <c r="AJ84" i="15"/>
  <c r="Z297" i="15"/>
  <c r="K284" i="15"/>
  <c r="U262" i="15"/>
  <c r="C213" i="15"/>
  <c r="X351" i="15"/>
  <c r="AF215" i="15"/>
  <c r="AL228" i="15"/>
  <c r="AC248" i="15"/>
  <c r="X274" i="15"/>
  <c r="H205" i="15"/>
  <c r="Z145" i="15"/>
  <c r="A292" i="15"/>
  <c r="U158" i="15"/>
  <c r="X84" i="15"/>
  <c r="AH294" i="15"/>
  <c r="X283" i="15"/>
  <c r="H282" i="15"/>
  <c r="K250" i="15"/>
  <c r="O254" i="15"/>
  <c r="Z267" i="15"/>
  <c r="S307" i="15"/>
  <c r="Y295" i="15"/>
  <c r="D232" i="15"/>
  <c r="Y298" i="15"/>
  <c r="DZ504" i="15"/>
  <c r="R210" i="15"/>
  <c r="X214" i="15"/>
  <c r="A236" i="15"/>
  <c r="AN259" i="15"/>
  <c r="AC322" i="15"/>
  <c r="G227" i="15"/>
  <c r="W273" i="15"/>
  <c r="T214" i="15"/>
  <c r="P160" i="15"/>
  <c r="AB108" i="15"/>
  <c r="Z193" i="15"/>
  <c r="O140" i="15"/>
  <c r="AK83" i="15"/>
  <c r="Z320" i="15"/>
  <c r="AD168" i="15"/>
  <c r="AO211" i="15"/>
  <c r="K151" i="15"/>
  <c r="AE229" i="15"/>
  <c r="K214" i="15"/>
  <c r="Y263" i="15"/>
  <c r="AR187" i="15"/>
  <c r="K169" i="15"/>
  <c r="V45" i="15"/>
  <c r="G155" i="15"/>
  <c r="X162" i="15"/>
  <c r="I174" i="15"/>
  <c r="AC220" i="15"/>
  <c r="Z153" i="15"/>
  <c r="T189" i="15"/>
  <c r="P242" i="15"/>
  <c r="N158" i="15"/>
  <c r="X180" i="15"/>
  <c r="F226" i="15"/>
  <c r="DY154" i="15"/>
  <c r="J109" i="15"/>
  <c r="Z163" i="15"/>
  <c r="AM341" i="15"/>
  <c r="W283" i="15"/>
  <c r="AL354" i="15"/>
  <c r="AB350" i="15"/>
  <c r="T333" i="15"/>
  <c r="U332" i="15"/>
  <c r="Y242" i="15"/>
  <c r="AG355" i="15"/>
  <c r="H212" i="15"/>
  <c r="I222" i="15"/>
  <c r="J350" i="15"/>
  <c r="P196" i="15"/>
  <c r="B347" i="15"/>
  <c r="D230" i="15"/>
  <c r="O350" i="15"/>
  <c r="U345" i="15"/>
  <c r="AH215" i="15"/>
  <c r="AA344" i="15"/>
  <c r="L326" i="15"/>
  <c r="AN299" i="15"/>
  <c r="D409" i="15"/>
  <c r="AI245" i="15"/>
  <c r="K165" i="15"/>
  <c r="V210" i="15"/>
  <c r="DY221" i="15"/>
  <c r="W239" i="15"/>
  <c r="U236" i="15"/>
  <c r="Z251" i="15"/>
  <c r="H267" i="15"/>
  <c r="E253" i="15"/>
  <c r="Y271" i="15"/>
  <c r="AR330" i="15"/>
  <c r="M330" i="15"/>
  <c r="R430" i="15"/>
  <c r="DW288" i="15"/>
  <c r="U311" i="15"/>
  <c r="AR214" i="15"/>
  <c r="J312" i="15"/>
  <c r="O341" i="15"/>
  <c r="DU216" i="15"/>
  <c r="F239" i="15"/>
  <c r="Z246" i="15"/>
  <c r="Y268" i="15"/>
  <c r="Y468" i="15"/>
  <c r="N326" i="15"/>
  <c r="AR312" i="15"/>
  <c r="AK309" i="15"/>
  <c r="X350" i="15"/>
  <c r="AN238" i="15"/>
  <c r="AC168" i="15"/>
  <c r="V219" i="15"/>
  <c r="I242" i="15"/>
  <c r="AK266" i="15"/>
  <c r="P276" i="15"/>
  <c r="N330" i="15"/>
  <c r="AK214" i="15"/>
  <c r="T415" i="15"/>
  <c r="AA255" i="15"/>
  <c r="AB222" i="15"/>
  <c r="O277" i="15"/>
  <c r="AA264" i="15"/>
  <c r="G270" i="15"/>
  <c r="P269" i="15"/>
  <c r="X335" i="15"/>
  <c r="U221" i="15"/>
  <c r="T143" i="15"/>
  <c r="T253" i="15"/>
  <c r="DU147" i="15"/>
  <c r="AB65" i="15"/>
  <c r="X189" i="15"/>
  <c r="S241" i="15"/>
  <c r="AL235" i="15"/>
  <c r="X309" i="15"/>
  <c r="R273" i="15"/>
  <c r="X395" i="15"/>
  <c r="W290" i="15"/>
  <c r="AA270" i="15"/>
  <c r="T257" i="15"/>
  <c r="G275" i="15"/>
  <c r="AO356" i="15"/>
  <c r="R212" i="15"/>
  <c r="O147" i="15"/>
  <c r="D273" i="15"/>
  <c r="AA137" i="15"/>
  <c r="AO69" i="15"/>
  <c r="X194" i="15"/>
  <c r="AN206" i="15"/>
  <c r="Y254" i="15"/>
  <c r="G308" i="15"/>
  <c r="B221" i="15"/>
  <c r="AA388" i="15"/>
  <c r="S289" i="15"/>
  <c r="G251" i="15"/>
  <c r="B257" i="15"/>
  <c r="Y274" i="15"/>
  <c r="O296" i="15"/>
  <c r="A212" i="15"/>
  <c r="B147" i="15"/>
  <c r="R213" i="15"/>
  <c r="J137" i="15"/>
  <c r="U69" i="15"/>
  <c r="A180" i="15"/>
  <c r="D206" i="15"/>
  <c r="A253" i="15"/>
  <c r="H299" i="15"/>
  <c r="K235" i="15"/>
  <c r="AO219" i="15"/>
  <c r="H207" i="15"/>
  <c r="C302" i="15"/>
  <c r="AK314" i="15"/>
  <c r="R215" i="15"/>
  <c r="AB233" i="15"/>
  <c r="E270" i="15"/>
  <c r="E196" i="15"/>
  <c r="J132" i="15"/>
  <c r="AB228" i="15"/>
  <c r="AL146" i="15"/>
  <c r="AL81" i="15"/>
  <c r="E327" i="15"/>
  <c r="V233" i="15"/>
  <c r="AO217" i="15"/>
  <c r="DU414" i="15"/>
  <c r="AB370" i="15"/>
  <c r="U324" i="15"/>
  <c r="AN333" i="15"/>
  <c r="H340" i="15"/>
  <c r="AN339" i="15"/>
  <c r="AL258" i="15"/>
  <c r="B205" i="15"/>
  <c r="E401" i="15"/>
  <c r="E375" i="15"/>
  <c r="J295" i="15"/>
  <c r="AK190" i="15"/>
  <c r="AK327" i="15"/>
  <c r="AN483" i="15"/>
  <c r="X330" i="15"/>
  <c r="Y299" i="15"/>
  <c r="K211" i="15"/>
  <c r="J323" i="15"/>
  <c r="I306" i="15"/>
  <c r="AB398" i="15"/>
  <c r="I377" i="15"/>
  <c r="T240" i="15"/>
  <c r="AB556" i="15"/>
  <c r="C205" i="15"/>
  <c r="H217" i="15"/>
  <c r="AO233" i="15"/>
  <c r="E231" i="15"/>
  <c r="AJ245" i="15"/>
  <c r="U255" i="15"/>
  <c r="T247" i="15"/>
  <c r="O260" i="15"/>
  <c r="H502" i="15"/>
  <c r="F292" i="15"/>
  <c r="A354" i="15"/>
  <c r="S409" i="15"/>
  <c r="A305" i="15"/>
  <c r="AO209" i="15"/>
  <c r="O294" i="15"/>
  <c r="I320" i="15"/>
  <c r="I212" i="15"/>
  <c r="T233" i="15"/>
  <c r="AB241" i="15"/>
  <c r="S262" i="15"/>
  <c r="AC435" i="15"/>
  <c r="AB306" i="15"/>
  <c r="V296" i="15"/>
  <c r="G302" i="15"/>
  <c r="E343" i="15"/>
  <c r="AN232" i="15"/>
  <c r="P164" i="15"/>
  <c r="DU214" i="15"/>
  <c r="F236" i="15"/>
  <c r="V260" i="15"/>
  <c r="U269" i="15"/>
  <c r="O310" i="15"/>
  <c r="AA209" i="15"/>
  <c r="AR336" i="15"/>
  <c r="H239" i="15"/>
  <c r="F208" i="15"/>
  <c r="AA267" i="15"/>
  <c r="T258" i="15"/>
  <c r="H264" i="15"/>
  <c r="G263" i="15"/>
  <c r="H316" i="15"/>
  <c r="DZ216" i="15"/>
  <c r="F139" i="15"/>
  <c r="AC232" i="15"/>
  <c r="H143" i="15"/>
  <c r="J61" i="15"/>
  <c r="I185" i="15"/>
  <c r="S222" i="15"/>
  <c r="Z217" i="15"/>
  <c r="Z405" i="15"/>
  <c r="I255" i="15"/>
  <c r="AN332" i="15"/>
  <c r="AK276" i="15"/>
  <c r="I264" i="15"/>
  <c r="E252" i="15"/>
  <c r="A269" i="15"/>
  <c r="AK333" i="15"/>
  <c r="S207" i="15"/>
  <c r="D143" i="15"/>
  <c r="T251" i="15"/>
  <c r="AC131" i="15"/>
  <c r="O65" i="15"/>
  <c r="E189" i="15"/>
  <c r="F199" i="15"/>
  <c r="E234" i="15"/>
  <c r="AA398" i="15"/>
  <c r="A206" i="15"/>
  <c r="Y331" i="15"/>
  <c r="O276" i="15"/>
  <c r="D245" i="15"/>
  <c r="X251" i="15"/>
  <c r="V268" i="15"/>
  <c r="AK283" i="15"/>
  <c r="B207" i="15"/>
  <c r="AG142" i="15"/>
  <c r="S202" i="15"/>
  <c r="K131" i="15"/>
  <c r="AR64" i="15"/>
  <c r="R175" i="15"/>
  <c r="Y198" i="15"/>
  <c r="O232" i="15"/>
  <c r="B379" i="15"/>
  <c r="AA220" i="15"/>
  <c r="AC206" i="15"/>
  <c r="A344" i="15"/>
  <c r="AC276" i="15"/>
  <c r="AR294" i="15"/>
  <c r="AC420" i="15"/>
  <c r="E229" i="15"/>
  <c r="X264" i="15"/>
  <c r="AB186" i="15"/>
  <c r="A127" i="15"/>
  <c r="D212" i="15"/>
  <c r="F142" i="15"/>
  <c r="AR432" i="15"/>
  <c r="P368" i="15"/>
  <c r="E219" i="15"/>
  <c r="AL205" i="15"/>
  <c r="AO340" i="15"/>
  <c r="X300" i="15"/>
  <c r="AA293" i="15"/>
  <c r="H413" i="15"/>
  <c r="AK228" i="15"/>
  <c r="E264" i="15"/>
  <c r="Y195" i="15"/>
  <c r="AB126" i="15"/>
  <c r="B211" i="15"/>
  <c r="AM141" i="15"/>
  <c r="D431" i="15"/>
  <c r="F326" i="15"/>
  <c r="Z218" i="15"/>
  <c r="R205" i="15"/>
  <c r="H339" i="15"/>
  <c r="F299" i="15"/>
  <c r="AA332" i="15"/>
  <c r="AA406" i="15"/>
  <c r="P228" i="15"/>
  <c r="X263" i="15"/>
  <c r="H195" i="15"/>
  <c r="AA136" i="15"/>
  <c r="DX209" i="15"/>
  <c r="Z141" i="15"/>
  <c r="A356" i="15"/>
  <c r="Y321" i="15"/>
  <c r="AC246" i="15"/>
  <c r="U204" i="15"/>
  <c r="AI337" i="15"/>
  <c r="A298" i="15"/>
  <c r="F331" i="15"/>
  <c r="S218" i="15"/>
  <c r="C228" i="15"/>
  <c r="F263" i="15"/>
  <c r="AB194" i="15"/>
  <c r="K136" i="15"/>
  <c r="I243" i="15"/>
  <c r="L141" i="15"/>
  <c r="AR427" i="15"/>
  <c r="B319" i="15"/>
  <c r="O246" i="15"/>
  <c r="H245" i="15"/>
  <c r="AN233" i="15"/>
  <c r="AC237" i="15"/>
  <c r="AC254" i="15"/>
  <c r="T279" i="15"/>
  <c r="U330" i="15"/>
  <c r="D193" i="15"/>
  <c r="AC252" i="15"/>
  <c r="J315" i="15"/>
  <c r="DU328" i="15"/>
  <c r="I342" i="15"/>
  <c r="D225" i="15"/>
  <c r="AK248" i="15"/>
  <c r="P287" i="15"/>
  <c r="O217" i="15"/>
  <c r="K262" i="15"/>
  <c r="K204" i="15"/>
  <c r="D153" i="15"/>
  <c r="H101" i="15"/>
  <c r="AM183" i="15"/>
  <c r="N128" i="15"/>
  <c r="AN75" i="15"/>
  <c r="S251" i="15"/>
  <c r="DX159" i="15"/>
  <c r="D196" i="15"/>
  <c r="J291" i="15"/>
  <c r="H244" i="15"/>
  <c r="AA259" i="15"/>
  <c r="Z230" i="15"/>
  <c r="R163" i="15"/>
  <c r="Y143" i="15"/>
  <c r="D303" i="15"/>
  <c r="AL141" i="15"/>
  <c r="A150" i="15"/>
  <c r="P165" i="15"/>
  <c r="D199" i="15"/>
  <c r="W144" i="15"/>
  <c r="Z180" i="15"/>
  <c r="Z208" i="15"/>
  <c r="AK404" i="15"/>
  <c r="I171" i="15"/>
  <c r="C201" i="15"/>
  <c r="O212" i="15"/>
  <c r="E100" i="15"/>
  <c r="AE141" i="15"/>
  <c r="C162" i="15"/>
  <c r="E400" i="15"/>
  <c r="Z318" i="15"/>
  <c r="AL407" i="15"/>
  <c r="W401" i="15"/>
  <c r="O394" i="15"/>
  <c r="AN300" i="15"/>
  <c r="AO226" i="15"/>
  <c r="J346" i="15"/>
  <c r="O434" i="15"/>
  <c r="K321" i="15"/>
  <c r="F182" i="15"/>
  <c r="AL266" i="15"/>
  <c r="AC397" i="15"/>
  <c r="L310" i="15"/>
  <c r="AL383" i="15"/>
  <c r="R190" i="15"/>
  <c r="F301" i="15"/>
  <c r="W288" i="15"/>
  <c r="B296" i="15"/>
  <c r="AK352" i="15"/>
  <c r="F229" i="15"/>
  <c r="AL295" i="15"/>
  <c r="B343" i="15"/>
  <c r="Z212" i="15"/>
  <c r="P209" i="15"/>
  <c r="S226" i="15"/>
  <c r="P240" i="15"/>
  <c r="P233" i="15"/>
  <c r="AR242" i="15"/>
  <c r="S255" i="15"/>
  <c r="DY371" i="15"/>
  <c r="F413" i="15"/>
  <c r="A334" i="15"/>
  <c r="AR327" i="15"/>
  <c r="AK297" i="15"/>
  <c r="Z204" i="15"/>
  <c r="W262" i="15"/>
  <c r="K301" i="15"/>
  <c r="AK206" i="15"/>
  <c r="M214" i="15"/>
  <c r="C236" i="15"/>
  <c r="AC256" i="15"/>
  <c r="AK389" i="15"/>
  <c r="AM288" i="15"/>
  <c r="AN409" i="15"/>
  <c r="E374" i="15"/>
  <c r="I334" i="15"/>
  <c r="T228" i="15"/>
  <c r="AK310" i="15"/>
  <c r="AL209" i="15"/>
  <c r="AN230" i="15"/>
  <c r="AA238" i="15"/>
  <c r="K263" i="15"/>
  <c r="Y292" i="15"/>
  <c r="S533" i="15"/>
  <c r="AF305" i="15"/>
  <c r="AK223" i="15"/>
  <c r="R283" i="15"/>
  <c r="AJ258" i="15"/>
  <c r="F252" i="15"/>
  <c r="X241" i="15"/>
  <c r="S257" i="15"/>
  <c r="AN298" i="15"/>
  <c r="O197" i="15"/>
  <c r="U133" i="15"/>
  <c r="S215" i="15"/>
  <c r="X121" i="15"/>
  <c r="AB56" i="15"/>
  <c r="AE180" i="15"/>
  <c r="AF188" i="15"/>
  <c r="J205" i="15"/>
  <c r="K334" i="15"/>
  <c r="C335" i="15"/>
  <c r="AO304" i="15"/>
  <c r="I267" i="15"/>
  <c r="AO239" i="15"/>
  <c r="E246" i="15"/>
  <c r="AD262" i="15"/>
  <c r="F277" i="15"/>
  <c r="C202" i="15"/>
  <c r="X138" i="15"/>
  <c r="F197" i="15"/>
  <c r="N126" i="15"/>
  <c r="AN60" i="15"/>
  <c r="C171" i="15"/>
  <c r="X193" i="15"/>
  <c r="L216" i="15"/>
  <c r="R333" i="15"/>
  <c r="O326" i="15"/>
  <c r="AG303" i="15"/>
  <c r="AA241" i="15"/>
  <c r="T239" i="15"/>
  <c r="AG245" i="15"/>
  <c r="S245" i="15"/>
  <c r="X276" i="15"/>
  <c r="W201" i="15"/>
  <c r="Y122" i="15"/>
  <c r="Y196" i="15"/>
  <c r="A126" i="15"/>
  <c r="T48" i="15"/>
  <c r="AB170" i="15"/>
  <c r="F193" i="15"/>
  <c r="J471" i="15"/>
  <c r="O329" i="15"/>
  <c r="T205" i="15"/>
  <c r="N382" i="15"/>
  <c r="AA288" i="15"/>
  <c r="AR269" i="15"/>
  <c r="V282" i="15"/>
  <c r="V349" i="15"/>
  <c r="A224" i="15"/>
  <c r="H254" i="15"/>
  <c r="G182" i="15"/>
  <c r="I122" i="15"/>
  <c r="AO201" i="15"/>
  <c r="Z136" i="15"/>
  <c r="O433" i="15"/>
  <c r="E326" i="15"/>
  <c r="Z203" i="15"/>
  <c r="H359" i="15"/>
  <c r="A309" i="15"/>
  <c r="J276" i="15"/>
  <c r="B282" i="15"/>
  <c r="AN347" i="15"/>
  <c r="X223" i="15"/>
  <c r="AE258" i="15"/>
  <c r="O186" i="15"/>
  <c r="DW121" i="15"/>
  <c r="R201" i="15"/>
  <c r="I136" i="15"/>
  <c r="AR388" i="15"/>
  <c r="K367" i="15"/>
  <c r="X539" i="15"/>
  <c r="B355" i="15"/>
  <c r="AE307" i="15"/>
  <c r="A284" i="15"/>
  <c r="J292" i="15"/>
  <c r="R346" i="15"/>
  <c r="G223" i="15"/>
  <c r="P258" i="15"/>
  <c r="G190" i="15"/>
  <c r="O126" i="15"/>
  <c r="AL200" i="15"/>
  <c r="Z135" i="15"/>
  <c r="DU445" i="15"/>
  <c r="O292" i="15"/>
  <c r="I216" i="15"/>
  <c r="AR351" i="15"/>
  <c r="O306" i="15"/>
  <c r="O283" i="15"/>
  <c r="C310" i="15"/>
  <c r="U399" i="15"/>
  <c r="AJ222" i="15"/>
  <c r="AN257" i="15"/>
  <c r="AA189" i="15"/>
  <c r="AK130" i="15"/>
  <c r="G209" i="15"/>
  <c r="I135" i="15"/>
  <c r="O416" i="15"/>
  <c r="I289" i="15"/>
  <c r="F230" i="15"/>
  <c r="Y229" i="15"/>
  <c r="AN226" i="15"/>
  <c r="B230" i="15"/>
  <c r="R248" i="15"/>
  <c r="Y272" i="15"/>
  <c r="U341" i="15"/>
  <c r="S176" i="15"/>
  <c r="AA235" i="15"/>
  <c r="T289" i="15"/>
  <c r="R302" i="15"/>
  <c r="AM314" i="15"/>
  <c r="H220" i="15"/>
  <c r="AA243" i="15"/>
  <c r="I278" i="15"/>
  <c r="S212" i="15"/>
  <c r="AN256" i="15"/>
  <c r="AL198" i="15"/>
  <c r="DX148" i="15"/>
  <c r="AO96" i="15"/>
  <c r="U179" i="15"/>
  <c r="G123" i="15"/>
  <c r="AO71" i="15"/>
  <c r="K231" i="15"/>
  <c r="F156" i="15"/>
  <c r="Q190" i="15"/>
  <c r="E263" i="15"/>
  <c r="U297" i="15"/>
  <c r="V235" i="15"/>
  <c r="A216" i="15"/>
  <c r="DX151" i="15"/>
  <c r="C127" i="15"/>
  <c r="AL254" i="15"/>
  <c r="P337" i="15"/>
  <c r="W314" i="15"/>
  <c r="K391" i="15"/>
  <c r="O298" i="15"/>
  <c r="AO296" i="15"/>
  <c r="S213" i="15"/>
  <c r="H381" i="15"/>
  <c r="A337" i="15"/>
  <c r="AG372" i="15"/>
  <c r="I291" i="15"/>
  <c r="L178" i="15"/>
  <c r="AB238" i="15"/>
  <c r="U377" i="15"/>
  <c r="I287" i="15"/>
  <c r="X354" i="15"/>
  <c r="AR181" i="15"/>
  <c r="S278" i="15"/>
  <c r="AK367" i="15"/>
  <c r="J289" i="15"/>
  <c r="AM343" i="15"/>
  <c r="D224" i="15"/>
  <c r="AN282" i="15"/>
  <c r="X323" i="15"/>
  <c r="J207" i="15"/>
  <c r="X203" i="15"/>
  <c r="Z221" i="15"/>
  <c r="AA234" i="15"/>
  <c r="DU228" i="15"/>
  <c r="AA237" i="15"/>
  <c r="F250" i="15"/>
  <c r="W403" i="15"/>
  <c r="AL347" i="15"/>
  <c r="P316" i="15"/>
  <c r="AK320" i="15"/>
  <c r="Z290" i="15"/>
  <c r="K199" i="15"/>
  <c r="AI256" i="15"/>
  <c r="AC285" i="15"/>
  <c r="G415" i="15"/>
  <c r="C209" i="15"/>
  <c r="AK230" i="15"/>
  <c r="H251" i="15"/>
  <c r="AC416" i="15"/>
  <c r="G395" i="15"/>
  <c r="Y348" i="15"/>
  <c r="Y350" i="15"/>
  <c r="U327" i="15"/>
  <c r="O223" i="15"/>
  <c r="AM292" i="15"/>
  <c r="F204" i="15"/>
  <c r="D226" i="15"/>
  <c r="C233" i="15"/>
  <c r="W257" i="15"/>
  <c r="T281" i="15"/>
  <c r="Z372" i="15"/>
  <c r="H415" i="15"/>
  <c r="R209" i="15"/>
  <c r="AB272" i="15"/>
  <c r="AC249" i="15"/>
  <c r="AH245" i="15"/>
  <c r="AR235" i="15"/>
  <c r="D252" i="15"/>
  <c r="O285" i="15"/>
  <c r="C192" i="15"/>
  <c r="I128" i="15"/>
  <c r="AO203" i="15"/>
  <c r="T116" i="15"/>
  <c r="AJ52" i="15"/>
  <c r="E176" i="15"/>
  <c r="I184" i="15"/>
  <c r="AH451" i="15"/>
  <c r="AJ303" i="15"/>
  <c r="T283" i="15"/>
  <c r="E282" i="15"/>
  <c r="U258" i="15"/>
  <c r="AK233" i="15"/>
  <c r="G241" i="15"/>
  <c r="AR256" i="15"/>
  <c r="D271" i="15"/>
  <c r="B197" i="15"/>
  <c r="H133" i="15"/>
  <c r="I191" i="15"/>
  <c r="J121" i="15"/>
  <c r="O56" i="15"/>
  <c r="AN166" i="15"/>
  <c r="R188" i="15"/>
  <c r="Y446" i="15"/>
  <c r="H303" i="15"/>
  <c r="F279" i="15"/>
  <c r="U281" i="15"/>
  <c r="V232" i="15"/>
  <c r="AR232" i="15"/>
  <c r="AB240" i="15"/>
  <c r="AL239" i="15"/>
  <c r="W270" i="15"/>
  <c r="V196" i="15"/>
  <c r="F118" i="15"/>
  <c r="DU190" i="15"/>
  <c r="AL120" i="15"/>
  <c r="W44" i="15"/>
  <c r="X166" i="15"/>
  <c r="DX187" i="15"/>
  <c r="Z323" i="15"/>
  <c r="AR298" i="15"/>
  <c r="D325" i="15"/>
  <c r="O330" i="15"/>
  <c r="AB265" i="15"/>
  <c r="AF262" i="15"/>
  <c r="H275" i="15"/>
  <c r="DZ329" i="15"/>
  <c r="J219" i="15"/>
  <c r="DZ243" i="15"/>
  <c r="K178" i="15"/>
  <c r="AB117" i="15"/>
  <c r="G196" i="15"/>
  <c r="AB130" i="15"/>
  <c r="A347" i="15"/>
  <c r="J297" i="15"/>
  <c r="O317" i="15"/>
  <c r="C326" i="15"/>
  <c r="V285" i="15"/>
  <c r="R262" i="15"/>
  <c r="H274" i="15"/>
  <c r="V328" i="15"/>
  <c r="AL218" i="15"/>
  <c r="AI253" i="15"/>
  <c r="AN177" i="15"/>
  <c r="O117" i="15"/>
  <c r="Z195" i="15"/>
  <c r="K130" i="15"/>
  <c r="O432" i="15"/>
  <c r="T295" i="15"/>
  <c r="Z315" i="15"/>
  <c r="AA324" i="15"/>
  <c r="AB284" i="15"/>
  <c r="AA275" i="15"/>
  <c r="Y273" i="15"/>
  <c r="DZ326" i="15"/>
  <c r="R218" i="15"/>
  <c r="U253" i="15"/>
  <c r="A186" i="15"/>
  <c r="AR116" i="15"/>
  <c r="G195" i="15"/>
  <c r="AB129" i="15"/>
  <c r="AI397" i="15"/>
  <c r="Z353" i="15"/>
  <c r="AC306" i="15"/>
  <c r="H323" i="15"/>
  <c r="E284" i="15"/>
  <c r="I275" i="15"/>
  <c r="H290" i="15"/>
  <c r="AK325" i="15"/>
  <c r="A218" i="15"/>
  <c r="B253" i="15"/>
  <c r="Z185" i="15"/>
  <c r="C126" i="15"/>
  <c r="Y194" i="15"/>
  <c r="K129" i="15"/>
  <c r="T387" i="15"/>
  <c r="G350" i="15"/>
  <c r="AL215" i="15"/>
  <c r="E215" i="15"/>
  <c r="A219" i="15"/>
  <c r="Z222" i="15"/>
  <c r="V242" i="15"/>
  <c r="C427" i="15"/>
  <c r="AE293" i="15"/>
  <c r="A164" i="15"/>
  <c r="A221" i="15"/>
  <c r="O275" i="15"/>
  <c r="AK280" i="15"/>
  <c r="A295" i="15"/>
  <c r="C432" i="15"/>
  <c r="F238" i="15"/>
  <c r="E271" i="15"/>
  <c r="C207" i="15"/>
  <c r="B252" i="15"/>
  <c r="AK193" i="15"/>
  <c r="AL144" i="15"/>
  <c r="DZ92" i="15"/>
  <c r="E175" i="15"/>
  <c r="I118" i="15"/>
  <c r="E67" i="15"/>
  <c r="S214" i="15"/>
  <c r="AL151" i="15"/>
  <c r="DX185" i="15"/>
  <c r="AK242" i="15"/>
  <c r="Z220" i="15"/>
  <c r="J421" i="15"/>
  <c r="AK199" i="15"/>
  <c r="W139" i="15"/>
  <c r="AI112" i="15"/>
  <c r="D227" i="15"/>
  <c r="U263" i="15"/>
  <c r="AL257" i="15"/>
  <c r="M157" i="15"/>
  <c r="K188" i="15"/>
  <c r="AB410" i="15"/>
  <c r="P171" i="15"/>
  <c r="S194" i="15"/>
  <c r="U264" i="15"/>
  <c r="AF162" i="15"/>
  <c r="AL189" i="15"/>
  <c r="D168" i="15"/>
  <c r="H90" i="15"/>
  <c r="AN127" i="15"/>
  <c r="Y289" i="15"/>
  <c r="E235" i="15"/>
  <c r="O213" i="15"/>
  <c r="J149" i="15"/>
  <c r="X123" i="15"/>
  <c r="R253" i="15"/>
  <c r="A314" i="15"/>
  <c r="K296" i="15"/>
  <c r="V160" i="15"/>
  <c r="C193" i="15"/>
  <c r="Y139" i="15"/>
  <c r="AB175" i="15"/>
  <c r="U199" i="15"/>
  <c r="DU289" i="15"/>
  <c r="AE166" i="15"/>
  <c r="AL194" i="15"/>
  <c r="R184" i="15"/>
  <c r="AI94" i="15"/>
  <c r="Y133" i="15"/>
  <c r="R241" i="15"/>
  <c r="AH258" i="15"/>
  <c r="AB226" i="15"/>
  <c r="D160" i="15"/>
  <c r="AC139" i="15"/>
  <c r="AB281" i="15"/>
  <c r="AB139" i="15"/>
  <c r="F148" i="15"/>
  <c r="Z164" i="15"/>
  <c r="E198" i="15"/>
  <c r="AH143" i="15"/>
  <c r="AK179" i="15"/>
  <c r="X206" i="15"/>
  <c r="W356" i="15"/>
  <c r="T170" i="15"/>
  <c r="A200" i="15"/>
  <c r="AK204" i="15"/>
  <c r="F99" i="15"/>
  <c r="X140" i="15"/>
  <c r="AO210" i="15"/>
  <c r="F452" i="15"/>
  <c r="R258" i="15"/>
  <c r="D184" i="15"/>
  <c r="T165" i="15"/>
  <c r="AD43" i="15"/>
  <c r="AO152" i="15"/>
  <c r="J160" i="15"/>
  <c r="N173" i="15"/>
  <c r="K216" i="15"/>
  <c r="P152" i="15"/>
  <c r="P279" i="15"/>
  <c r="C390" i="15"/>
  <c r="T340" i="15"/>
  <c r="AK402" i="15"/>
  <c r="R298" i="15"/>
  <c r="Z223" i="15"/>
  <c r="A316" i="15"/>
  <c r="AC388" i="15"/>
  <c r="J316" i="15"/>
  <c r="B419" i="15"/>
  <c r="G377" i="15"/>
  <c r="D233" i="15"/>
  <c r="J375" i="15"/>
  <c r="L303" i="15"/>
  <c r="T345" i="15"/>
  <c r="DV508" i="15"/>
  <c r="B254" i="15"/>
  <c r="D337" i="15"/>
  <c r="C414" i="15"/>
  <c r="U336" i="15"/>
  <c r="S219" i="15"/>
  <c r="T275" i="15"/>
  <c r="AG302" i="15"/>
  <c r="G423" i="15"/>
  <c r="S375" i="15"/>
  <c r="AN216" i="15"/>
  <c r="AJ229" i="15"/>
  <c r="I223" i="15"/>
  <c r="S232" i="15"/>
  <c r="B245" i="15"/>
  <c r="K443" i="15"/>
  <c r="F328" i="15"/>
  <c r="DX298" i="15"/>
  <c r="AR311" i="15"/>
  <c r="P281" i="15"/>
  <c r="K194" i="15"/>
  <c r="O251" i="15"/>
  <c r="S277" i="15"/>
  <c r="T348" i="15"/>
  <c r="G203" i="15"/>
  <c r="B226" i="15"/>
  <c r="E245" i="15"/>
  <c r="A359" i="15"/>
  <c r="DY343" i="15"/>
  <c r="V330" i="15"/>
  <c r="T343" i="15"/>
  <c r="N319" i="15"/>
  <c r="Y218" i="15"/>
  <c r="X281" i="15"/>
  <c r="AK376" i="15"/>
  <c r="N221" i="15"/>
  <c r="W228" i="15"/>
  <c r="I252" i="15"/>
  <c r="J274" i="15"/>
  <c r="B404" i="15"/>
  <c r="AO336" i="15"/>
  <c r="AL336" i="15"/>
  <c r="AL262" i="15"/>
  <c r="W242" i="15"/>
  <c r="O240" i="15"/>
  <c r="AA230" i="15"/>
  <c r="D246" i="15"/>
  <c r="Z277" i="15"/>
  <c r="AC187" i="15"/>
  <c r="S123" i="15"/>
  <c r="U197" i="15"/>
  <c r="V112" i="15"/>
  <c r="J49" i="15"/>
  <c r="U171" i="15"/>
  <c r="AO179" i="15"/>
  <c r="I357" i="15"/>
  <c r="S403" i="15"/>
  <c r="R263" i="15"/>
  <c r="J272" i="15"/>
  <c r="O249" i="15"/>
  <c r="E228" i="15"/>
  <c r="U235" i="15"/>
  <c r="V251" i="15"/>
  <c r="W265" i="15"/>
  <c r="W191" i="15"/>
  <c r="AC127" i="15"/>
  <c r="AK186" i="15"/>
  <c r="C116" i="15"/>
  <c r="X52" i="15"/>
  <c r="Y162" i="15"/>
  <c r="AK183" i="15"/>
  <c r="AC356" i="15"/>
  <c r="DV269" i="15"/>
  <c r="E260" i="15"/>
  <c r="AC271" i="15"/>
  <c r="V225" i="15"/>
  <c r="Z227" i="15"/>
  <c r="D235" i="15"/>
  <c r="G234" i="15"/>
  <c r="E265" i="15"/>
  <c r="F191" i="15"/>
  <c r="AO113" i="15"/>
  <c r="P186" i="15"/>
  <c r="AK115" i="15"/>
  <c r="T40" i="15"/>
  <c r="K162" i="15"/>
  <c r="W183" i="15"/>
  <c r="V356" i="15"/>
  <c r="Z265" i="15"/>
  <c r="U278" i="15"/>
  <c r="AL280" i="15"/>
  <c r="V257" i="15"/>
  <c r="AA256" i="15"/>
  <c r="W268" i="15"/>
  <c r="B310" i="15"/>
  <c r="X209" i="15"/>
  <c r="AR238" i="15"/>
  <c r="K174" i="15"/>
  <c r="AC113" i="15"/>
  <c r="U190" i="15"/>
  <c r="R120" i="15"/>
  <c r="P393" i="15"/>
  <c r="AN263" i="15"/>
  <c r="S276" i="15"/>
  <c r="H297" i="15"/>
  <c r="AB264" i="15"/>
  <c r="I256" i="15"/>
  <c r="E268" i="15"/>
  <c r="AC308" i="15"/>
  <c r="U214" i="15"/>
  <c r="Y243" i="15"/>
  <c r="DX173" i="15"/>
  <c r="P113" i="15"/>
  <c r="E190" i="15"/>
  <c r="B125" i="15"/>
  <c r="AD346" i="15"/>
  <c r="Z262" i="15"/>
  <c r="A276" i="15"/>
  <c r="P295" i="15"/>
  <c r="I273" i="15"/>
  <c r="AR261" i="15"/>
  <c r="Y267" i="15"/>
  <c r="R307" i="15"/>
  <c r="H214" i="15"/>
  <c r="AL247" i="15"/>
  <c r="T177" i="15"/>
  <c r="A113" i="15"/>
  <c r="Y189" i="15"/>
  <c r="T124" i="15"/>
  <c r="V301" i="15"/>
  <c r="T291" i="15"/>
  <c r="O272" i="15"/>
  <c r="Z292" i="15"/>
  <c r="AA272" i="15"/>
  <c r="F268" i="15"/>
  <c r="G273" i="15"/>
  <c r="AO305" i="15"/>
  <c r="AC213" i="15"/>
  <c r="R247" i="15"/>
  <c r="O181" i="15"/>
  <c r="V116" i="15"/>
  <c r="F189" i="15"/>
  <c r="C124" i="15"/>
  <c r="I296" i="15"/>
  <c r="A319" i="15"/>
  <c r="K305" i="15"/>
  <c r="D204" i="15"/>
  <c r="X212" i="15"/>
  <c r="AG215" i="15"/>
  <c r="R236" i="15"/>
  <c r="DY415" i="15"/>
  <c r="AA349" i="15"/>
  <c r="J329" i="15"/>
  <c r="AN205" i="15"/>
  <c r="AC266" i="15"/>
  <c r="AB270" i="15"/>
  <c r="C282" i="15"/>
  <c r="W349" i="15"/>
  <c r="B232" i="15"/>
  <c r="F265" i="15"/>
  <c r="G201" i="15"/>
  <c r="T246" i="15"/>
  <c r="AL188" i="15"/>
  <c r="C141" i="15"/>
  <c r="DX350" i="15"/>
  <c r="O170" i="15"/>
  <c r="AE113" i="15"/>
  <c r="V62" i="15"/>
  <c r="D203" i="15"/>
  <c r="S147" i="15"/>
  <c r="K181" i="15"/>
  <c r="V223" i="15"/>
  <c r="AE259" i="15"/>
  <c r="R287" i="15"/>
  <c r="AK317" i="15"/>
  <c r="AL123" i="15"/>
  <c r="Y100" i="15"/>
  <c r="X204" i="15"/>
  <c r="J231" i="15"/>
  <c r="Z226" i="15"/>
  <c r="AL152" i="15"/>
  <c r="AI183" i="15"/>
  <c r="AN295" i="15"/>
  <c r="F167" i="15"/>
  <c r="AR188" i="15"/>
  <c r="DX243" i="15"/>
  <c r="Z158" i="15"/>
  <c r="O185" i="15"/>
  <c r="P151" i="15"/>
  <c r="P85" i="15"/>
  <c r="H122" i="15"/>
  <c r="AR217" i="15"/>
  <c r="F407" i="15"/>
  <c r="C392" i="15"/>
  <c r="AC135" i="15"/>
  <c r="D110" i="15"/>
  <c r="D221" i="15"/>
  <c r="T256" i="15"/>
  <c r="B251" i="15"/>
  <c r="AR156" i="15"/>
  <c r="DV187" i="15"/>
  <c r="AK383" i="15"/>
  <c r="DW170" i="15"/>
  <c r="A194" i="15"/>
  <c r="AA262" i="15"/>
  <c r="R162" i="15"/>
  <c r="P189" i="15"/>
  <c r="AB166" i="15"/>
  <c r="Z89" i="15"/>
  <c r="R127" i="15"/>
  <c r="AL287" i="15"/>
  <c r="Z234" i="15"/>
  <c r="B212" i="15"/>
  <c r="Z148" i="15"/>
  <c r="AB122" i="15"/>
  <c r="W249" i="15"/>
  <c r="AI302" i="15"/>
  <c r="F287" i="15"/>
  <c r="I160" i="15"/>
  <c r="V192" i="15"/>
  <c r="G139" i="15"/>
  <c r="M175" i="15"/>
  <c r="B199" i="15"/>
  <c r="B286" i="15"/>
  <c r="P166" i="15"/>
  <c r="P194" i="15"/>
  <c r="AC182" i="15"/>
  <c r="U94" i="15"/>
  <c r="J133" i="15"/>
  <c r="AM327" i="15"/>
  <c r="AC280" i="15"/>
  <c r="B242" i="15"/>
  <c r="AC171" i="15"/>
  <c r="AR152" i="15"/>
  <c r="AB37" i="15"/>
  <c r="AK146" i="15"/>
  <c r="AN154" i="15"/>
  <c r="AA168" i="15"/>
  <c r="R204" i="15"/>
  <c r="D148" i="15"/>
  <c r="AF397" i="15"/>
  <c r="Z409" i="15"/>
  <c r="U361" i="15"/>
  <c r="AA469" i="15"/>
  <c r="S317" i="15"/>
  <c r="K454" i="15"/>
  <c r="H308" i="15"/>
  <c r="H248" i="15"/>
  <c r="O293" i="15"/>
  <c r="AG345" i="15"/>
  <c r="D285" i="15"/>
  <c r="X228" i="15"/>
  <c r="J360" i="15"/>
  <c r="I286" i="15"/>
  <c r="AC329" i="15"/>
  <c r="Z363" i="15"/>
  <c r="AF355" i="15"/>
  <c r="S334" i="15"/>
  <c r="X377" i="15"/>
  <c r="L328" i="15"/>
  <c r="AA199" i="15"/>
  <c r="J269" i="15"/>
  <c r="Y286" i="15"/>
  <c r="AA292" i="15"/>
  <c r="I339" i="15"/>
  <c r="G212" i="15"/>
  <c r="X413" i="15"/>
  <c r="T218" i="15"/>
  <c r="Y223" i="15"/>
  <c r="AN225" i="15"/>
  <c r="D403" i="15"/>
  <c r="M308" i="15"/>
  <c r="AA299" i="15"/>
  <c r="B305" i="15"/>
  <c r="U272" i="15"/>
  <c r="DU176" i="15"/>
  <c r="J245" i="15"/>
  <c r="AN270" i="15"/>
  <c r="O280" i="15"/>
  <c r="AA369" i="15"/>
  <c r="L221" i="15"/>
  <c r="S224" i="15"/>
  <c r="K389" i="15"/>
  <c r="F324" i="15"/>
  <c r="J349" i="15"/>
  <c r="AC334" i="15"/>
  <c r="D311" i="15"/>
  <c r="AN198" i="15"/>
  <c r="S274" i="15"/>
  <c r="DZ337" i="15"/>
  <c r="C409" i="15"/>
  <c r="AO222" i="15"/>
  <c r="I246" i="15"/>
  <c r="I250" i="15"/>
  <c r="DX344" i="15"/>
  <c r="AE305" i="15"/>
  <c r="S230" i="15"/>
  <c r="F255" i="15"/>
  <c r="R233" i="15"/>
  <c r="AK217" i="15"/>
  <c r="AO225" i="15"/>
  <c r="F241" i="15"/>
  <c r="R255" i="15"/>
  <c r="T183" i="15"/>
  <c r="AR118" i="15"/>
  <c r="AO177" i="15"/>
  <c r="X108" i="15"/>
  <c r="F45" i="15"/>
  <c r="AR154" i="15"/>
  <c r="Q175" i="15"/>
  <c r="AL388" i="15"/>
  <c r="DU244" i="15"/>
  <c r="AM245" i="15"/>
  <c r="T262" i="15"/>
  <c r="U218" i="15"/>
  <c r="Y222" i="15"/>
  <c r="M230" i="15"/>
  <c r="AG229" i="15"/>
  <c r="AL259" i="15"/>
  <c r="P187" i="15"/>
  <c r="AF110" i="15"/>
  <c r="DU181" i="15"/>
  <c r="H112" i="15"/>
  <c r="X391" i="15"/>
  <c r="T158" i="15"/>
  <c r="S179" i="15"/>
  <c r="AC287" i="15"/>
  <c r="DW243" i="15"/>
  <c r="AN243" i="15"/>
  <c r="P237" i="15"/>
  <c r="D218" i="15"/>
  <c r="H222" i="15"/>
  <c r="AE215" i="15"/>
  <c r="T229" i="15"/>
  <c r="W259" i="15"/>
  <c r="AB174" i="15"/>
  <c r="R110" i="15"/>
  <c r="AA181" i="15"/>
  <c r="O99" i="15"/>
  <c r="DX366" i="15"/>
  <c r="F158" i="15"/>
  <c r="AF165" i="15"/>
  <c r="G416" i="15"/>
  <c r="AN240" i="15"/>
  <c r="AF259" i="15"/>
  <c r="U261" i="15"/>
  <c r="S248" i="15"/>
  <c r="Y250" i="15"/>
  <c r="P262" i="15"/>
  <c r="I292" i="15"/>
  <c r="DZ428" i="15"/>
  <c r="AA233" i="15"/>
  <c r="DX169" i="15"/>
  <c r="B110" i="15"/>
  <c r="DZ185" i="15"/>
  <c r="X111" i="15"/>
  <c r="AL285" i="15"/>
  <c r="T238" i="15"/>
  <c r="F258" i="15"/>
  <c r="X279" i="15"/>
  <c r="V247" i="15"/>
  <c r="H250" i="15"/>
  <c r="AN261" i="15"/>
  <c r="Q291" i="15"/>
  <c r="K209" i="15"/>
  <c r="I233" i="15"/>
  <c r="Y169" i="15"/>
  <c r="AL109" i="15"/>
  <c r="X185" i="15"/>
  <c r="A120" i="15"/>
  <c r="R285" i="15"/>
  <c r="Z237" i="15"/>
  <c r="Y257" i="15"/>
  <c r="C279" i="15"/>
  <c r="J264" i="15"/>
  <c r="K249" i="15"/>
  <c r="P261" i="15"/>
  <c r="G290" i="15"/>
  <c r="AL208" i="15"/>
  <c r="K243" i="15"/>
  <c r="L169" i="15"/>
  <c r="Z109" i="15"/>
  <c r="J185" i="15"/>
  <c r="V119" i="15"/>
  <c r="AM330" i="15"/>
  <c r="T234" i="15"/>
  <c r="AI254" i="15"/>
  <c r="P278" i="15"/>
  <c r="AC263" i="15"/>
  <c r="S261" i="15"/>
  <c r="AN260" i="15"/>
  <c r="F289" i="15"/>
  <c r="P208" i="15"/>
  <c r="AL242" i="15"/>
  <c r="C177" i="15"/>
  <c r="M109" i="15"/>
  <c r="AK184" i="15"/>
  <c r="E119" i="15"/>
  <c r="A326" i="15"/>
  <c r="H289" i="15"/>
  <c r="AL271" i="15"/>
  <c r="C350" i="15"/>
  <c r="I395" i="15"/>
  <c r="X207" i="15"/>
  <c r="AB230" i="15"/>
  <c r="C387" i="15"/>
  <c r="W318" i="15"/>
  <c r="D281" i="15"/>
  <c r="D326" i="15"/>
  <c r="E257" i="15"/>
  <c r="T261" i="15"/>
  <c r="Z273" i="15"/>
  <c r="A327" i="15"/>
  <c r="Y227" i="15"/>
  <c r="F259" i="15"/>
  <c r="F385" i="15"/>
  <c r="A242" i="15"/>
  <c r="AR184" i="15"/>
  <c r="P135" i="15"/>
  <c r="R284" i="15"/>
  <c r="G166" i="15"/>
  <c r="AM109" i="15"/>
  <c r="D58" i="15"/>
  <c r="E197" i="15"/>
  <c r="AI142" i="15"/>
  <c r="AG176" i="15"/>
  <c r="AN208" i="15"/>
  <c r="C459" i="15"/>
  <c r="Z264" i="15"/>
  <c r="H278" i="15"/>
  <c r="R111" i="15"/>
  <c r="G87" i="15"/>
  <c r="X195" i="15"/>
  <c r="AO208" i="15"/>
  <c r="C206" i="15"/>
  <c r="R148" i="15"/>
  <c r="P179" i="15"/>
  <c r="A265" i="15"/>
  <c r="AH162" i="15"/>
  <c r="W184" i="15"/>
  <c r="Y224" i="15"/>
  <c r="AB154" i="15"/>
  <c r="AK180" i="15"/>
  <c r="I143" i="15"/>
  <c r="H81" i="15"/>
  <c r="AK116" i="15"/>
  <c r="AG256" i="15"/>
  <c r="J286" i="15"/>
  <c r="AD305" i="15"/>
  <c r="AR120" i="15"/>
  <c r="Y97" i="15"/>
  <c r="AC203" i="15"/>
  <c r="AR229" i="15"/>
  <c r="DY224" i="15"/>
  <c r="R152" i="15"/>
  <c r="U183" i="15"/>
  <c r="D291" i="15"/>
  <c r="AG166" i="15"/>
  <c r="AA188" i="15"/>
  <c r="O242" i="15"/>
  <c r="M158" i="15"/>
  <c r="A185" i="15"/>
  <c r="V150" i="15"/>
  <c r="AR84" i="15"/>
  <c r="AR121" i="15"/>
  <c r="U217" i="15"/>
  <c r="AN399" i="15"/>
  <c r="A379" i="15"/>
  <c r="AL134" i="15"/>
  <c r="Y109" i="15"/>
  <c r="X219" i="15"/>
  <c r="AK254" i="15"/>
  <c r="G249" i="15"/>
  <c r="U156" i="15"/>
  <c r="AD187" i="15"/>
  <c r="W360" i="15"/>
  <c r="V170" i="15"/>
  <c r="S193" i="15"/>
  <c r="AA260" i="15"/>
  <c r="D162" i="15"/>
  <c r="AM188" i="15"/>
  <c r="E165" i="15"/>
  <c r="I89" i="15"/>
  <c r="DY126" i="15"/>
  <c r="Y228" i="15"/>
  <c r="AL253" i="15"/>
  <c r="K226" i="15"/>
  <c r="AN159" i="15"/>
  <c r="K139" i="15"/>
  <c r="I279" i="15"/>
  <c r="J139" i="15"/>
  <c r="AL147" i="15"/>
  <c r="H164" i="15"/>
  <c r="AK197" i="15"/>
  <c r="U143" i="15"/>
  <c r="F306" i="15"/>
  <c r="DU390" i="15"/>
  <c r="DW397" i="15"/>
  <c r="V390" i="15"/>
  <c r="J342" i="15"/>
  <c r="AB338" i="15"/>
  <c r="F317" i="15"/>
  <c r="AR174" i="15"/>
  <c r="AC201" i="15"/>
  <c r="X299" i="15"/>
  <c r="S270" i="15"/>
  <c r="R223" i="15"/>
  <c r="AL327" i="15"/>
  <c r="H370" i="15"/>
  <c r="AB292" i="15"/>
  <c r="P355" i="15"/>
  <c r="Z330" i="15"/>
  <c r="AK316" i="15"/>
  <c r="AL353" i="15"/>
  <c r="AO311" i="15"/>
  <c r="AA194" i="15"/>
  <c r="H257" i="15"/>
  <c r="A278" i="15"/>
  <c r="AK273" i="15"/>
  <c r="DW319" i="15"/>
  <c r="I500" i="15"/>
  <c r="A348" i="15"/>
  <c r="W413" i="15"/>
  <c r="K219" i="15"/>
  <c r="V221" i="15"/>
  <c r="M467" i="15"/>
  <c r="U290" i="15"/>
  <c r="T397" i="15"/>
  <c r="AL297" i="15"/>
  <c r="AC264" i="15"/>
  <c r="L173" i="15"/>
  <c r="E240" i="15"/>
  <c r="AN264" i="15"/>
  <c r="O273" i="15"/>
  <c r="AJ337" i="15"/>
  <c r="S216" i="15"/>
  <c r="AK219" i="15"/>
  <c r="P434" i="15"/>
  <c r="Y304" i="15"/>
  <c r="DY330" i="15"/>
  <c r="V327" i="15"/>
  <c r="AI303" i="15"/>
  <c r="AN193" i="15"/>
  <c r="O268" i="15"/>
  <c r="AL318" i="15"/>
  <c r="AG346" i="15"/>
  <c r="F218" i="15"/>
  <c r="K241" i="15"/>
  <c r="AL244" i="15"/>
  <c r="R254" i="15"/>
  <c r="P274" i="15"/>
  <c r="H216" i="15"/>
  <c r="AK245" i="15"/>
  <c r="AL226" i="15"/>
  <c r="AK393" i="15"/>
  <c r="I221" i="15"/>
  <c r="T235" i="15"/>
  <c r="E250" i="15"/>
  <c r="O179" i="15"/>
  <c r="AA114" i="15"/>
  <c r="AE173" i="15"/>
  <c r="AD104" i="15"/>
  <c r="K41" i="15"/>
  <c r="S150" i="15"/>
  <c r="AA170" i="15"/>
  <c r="K339" i="15"/>
  <c r="AR222" i="15"/>
  <c r="E230" i="15"/>
  <c r="AF254" i="15"/>
  <c r="Z211" i="15"/>
  <c r="Q217" i="15"/>
  <c r="T225" i="15"/>
  <c r="AB224" i="15"/>
  <c r="AN254" i="15"/>
  <c r="C183" i="15"/>
  <c r="E107" i="15"/>
  <c r="S177" i="15"/>
  <c r="J108" i="15"/>
  <c r="DW291" i="15"/>
  <c r="U154" i="15"/>
  <c r="C175" i="15"/>
  <c r="AR303" i="15"/>
  <c r="AD222" i="15"/>
  <c r="J228" i="15"/>
  <c r="X229" i="15"/>
  <c r="I211" i="15"/>
  <c r="D217" i="15"/>
  <c r="U450" i="15"/>
  <c r="N224" i="15"/>
  <c r="Z254" i="15"/>
  <c r="K170" i="15"/>
  <c r="AB106" i="15"/>
  <c r="A177" i="15"/>
  <c r="AO94" i="15"/>
  <c r="F288" i="15"/>
  <c r="H154" i="15"/>
  <c r="J161" i="15"/>
  <c r="N291" i="15"/>
  <c r="AL219" i="15"/>
  <c r="AL227" i="15"/>
  <c r="Z253" i="15"/>
  <c r="I241" i="15"/>
  <c r="AK244" i="15"/>
  <c r="Z256" i="15"/>
  <c r="F274" i="15"/>
  <c r="A351" i="15"/>
  <c r="R229" i="15"/>
  <c r="E166" i="15"/>
  <c r="O106" i="15"/>
  <c r="AI176" i="15"/>
  <c r="Z107" i="15"/>
  <c r="AN301" i="15"/>
  <c r="DW217" i="15"/>
  <c r="P241" i="15"/>
  <c r="U260" i="15"/>
  <c r="D239" i="15"/>
  <c r="C244" i="15"/>
  <c r="H256" i="15"/>
  <c r="Y280" i="15"/>
  <c r="AN418" i="15"/>
  <c r="D229" i="15"/>
  <c r="AH165" i="15"/>
  <c r="DZ105" i="15"/>
  <c r="DY180" i="15"/>
  <c r="G111" i="15"/>
  <c r="Y301" i="15"/>
  <c r="Y217" i="15"/>
  <c r="AR240" i="15"/>
  <c r="AA268" i="15"/>
  <c r="E247" i="15"/>
  <c r="AB243" i="15"/>
  <c r="AH255" i="15"/>
  <c r="D280" i="15"/>
  <c r="A203" i="15"/>
  <c r="AK232" i="15"/>
  <c r="U165" i="15"/>
  <c r="AJ105" i="15"/>
  <c r="AF180" i="15"/>
  <c r="AF114" i="15"/>
  <c r="P404" i="15"/>
  <c r="V215" i="15"/>
  <c r="K238" i="15"/>
  <c r="H268" i="15"/>
  <c r="AE254" i="15"/>
  <c r="AL248" i="15"/>
  <c r="T255" i="15"/>
  <c r="S279" i="15"/>
  <c r="D202" i="15"/>
  <c r="X237" i="15"/>
  <c r="DY168" i="15"/>
  <c r="X105" i="15"/>
  <c r="R180" i="15"/>
  <c r="S114" i="15"/>
  <c r="Z343" i="15"/>
  <c r="T232" i="15"/>
  <c r="U254" i="15"/>
  <c r="V321" i="15"/>
  <c r="X334" i="15"/>
  <c r="X349" i="15"/>
  <c r="U225" i="15"/>
  <c r="AK295" i="15"/>
  <c r="DV288" i="15"/>
  <c r="X261" i="15"/>
  <c r="E279" i="15"/>
  <c r="P249" i="15"/>
  <c r="Y253" i="15"/>
  <c r="AA266" i="15"/>
  <c r="AR305" i="15"/>
  <c r="X222" i="15"/>
  <c r="AJ253" i="15"/>
  <c r="AL341" i="15"/>
  <c r="AB236" i="15"/>
  <c r="AJ180" i="15"/>
  <c r="A130" i="15"/>
  <c r="AK259" i="15"/>
  <c r="AL161" i="15"/>
  <c r="AI105" i="15"/>
  <c r="F54" i="15"/>
  <c r="H191" i="15"/>
  <c r="Z137" i="15"/>
  <c r="S172" i="15"/>
  <c r="O355" i="15"/>
  <c r="AC274" i="15"/>
  <c r="C247" i="15"/>
  <c r="AC260" i="15"/>
  <c r="B100" i="15"/>
  <c r="U76" i="15"/>
  <c r="S187" i="15"/>
  <c r="D197" i="15"/>
  <c r="F198" i="15"/>
  <c r="AI143" i="15"/>
  <c r="AO174" i="15"/>
  <c r="J244" i="15"/>
  <c r="AB158" i="15"/>
  <c r="J180" i="15"/>
  <c r="T209" i="15"/>
  <c r="I150" i="15"/>
  <c r="K176" i="15"/>
  <c r="D136" i="15"/>
  <c r="Y76" i="15"/>
  <c r="R112" i="15"/>
  <c r="F468" i="15"/>
  <c r="T483" i="15"/>
  <c r="P352" i="15"/>
  <c r="E329" i="15"/>
  <c r="I258" i="15"/>
  <c r="V392" i="15"/>
  <c r="H269" i="15"/>
  <c r="S227" i="15"/>
  <c r="AH302" i="15"/>
  <c r="C267" i="15"/>
  <c r="S264" i="15"/>
  <c r="I359" i="15"/>
  <c r="C306" i="15"/>
  <c r="S339" i="15"/>
  <c r="AC259" i="15"/>
  <c r="DY354" i="15"/>
  <c r="AA310" i="15"/>
  <c r="K299" i="15"/>
  <c r="F344" i="15"/>
  <c r="R305" i="15"/>
  <c r="AB189" i="15"/>
  <c r="AL251" i="15"/>
  <c r="P271" i="15"/>
  <c r="AC267" i="15"/>
  <c r="AO300" i="15"/>
  <c r="DV354" i="15"/>
  <c r="X328" i="15"/>
  <c r="AO347" i="15"/>
  <c r="A215" i="15"/>
  <c r="B217" i="15"/>
  <c r="I397" i="15"/>
  <c r="Y400" i="15"/>
  <c r="AI345" i="15"/>
  <c r="H291" i="15"/>
  <c r="AB257" i="15"/>
  <c r="AO168" i="15"/>
  <c r="R234" i="15"/>
  <c r="AR258" i="15"/>
  <c r="K267" i="15"/>
  <c r="S318" i="15"/>
  <c r="AB211" i="15"/>
  <c r="C215" i="15"/>
  <c r="AR387" i="15"/>
  <c r="O286" i="15"/>
  <c r="AM312" i="15"/>
  <c r="O319" i="15"/>
  <c r="X297" i="15"/>
  <c r="AO188" i="15"/>
  <c r="E262" i="15"/>
  <c r="AH299" i="15"/>
  <c r="T327" i="15"/>
  <c r="AR213" i="15"/>
  <c r="X235" i="15"/>
  <c r="U239" i="15"/>
  <c r="H293" i="15"/>
  <c r="F246" i="15"/>
  <c r="V401" i="15"/>
  <c r="I238" i="15"/>
  <c r="AR218" i="15"/>
  <c r="H342" i="15"/>
  <c r="O216" i="15"/>
  <c r="DY229" i="15"/>
  <c r="A245" i="15"/>
  <c r="N175" i="15"/>
  <c r="B111" i="15"/>
  <c r="DW168" i="15"/>
  <c r="H100" i="15"/>
  <c r="K418" i="15"/>
  <c r="B146" i="15"/>
  <c r="W166" i="15"/>
  <c r="V439" i="15"/>
  <c r="AL203" i="15"/>
  <c r="AK215" i="15"/>
  <c r="X245" i="15"/>
  <c r="AA380" i="15"/>
  <c r="AN386" i="15"/>
  <c r="DV220" i="15"/>
  <c r="F220" i="15"/>
  <c r="Y249" i="15"/>
  <c r="DY178" i="15"/>
  <c r="AH103" i="15"/>
  <c r="Q173" i="15"/>
  <c r="P104" i="15"/>
  <c r="V263" i="15"/>
  <c r="B150" i="15"/>
  <c r="L170" i="15"/>
  <c r="V320" i="15"/>
  <c r="S203" i="15"/>
  <c r="V213" i="15"/>
  <c r="J222" i="15"/>
  <c r="AA373" i="15"/>
  <c r="Z380" i="15"/>
  <c r="V351" i="15"/>
  <c r="AA219" i="15"/>
  <c r="H249" i="15"/>
  <c r="V166" i="15"/>
  <c r="V103" i="15"/>
  <c r="C173" i="15"/>
  <c r="R90" i="15"/>
  <c r="Z261" i="15"/>
  <c r="W149" i="15"/>
  <c r="AA157" i="15"/>
  <c r="Z306" i="15"/>
  <c r="F200" i="15"/>
  <c r="B352" i="15"/>
  <c r="AN244" i="15"/>
  <c r="E232" i="15"/>
  <c r="X238" i="15"/>
  <c r="E251" i="15"/>
  <c r="AL261" i="15"/>
  <c r="AB329" i="15"/>
  <c r="AA224" i="15"/>
  <c r="J162" i="15"/>
  <c r="I103" i="15"/>
  <c r="B168" i="15"/>
  <c r="AL103" i="15"/>
  <c r="V312" i="15"/>
  <c r="T198" i="15"/>
  <c r="Y225" i="15"/>
  <c r="E244" i="15"/>
  <c r="R231" i="15"/>
  <c r="G238" i="15"/>
  <c r="X250" i="15"/>
  <c r="X273" i="15"/>
  <c r="K328" i="15"/>
  <c r="M224" i="15"/>
  <c r="AK161" i="15"/>
  <c r="AK102" i="15"/>
  <c r="U176" i="15"/>
  <c r="Y103" i="15"/>
  <c r="D312" i="15"/>
  <c r="D198" i="15"/>
  <c r="H225" i="15"/>
  <c r="C260" i="15"/>
  <c r="D231" i="15"/>
  <c r="K237" i="15"/>
  <c r="G250" i="15"/>
  <c r="F273" i="15"/>
  <c r="J405" i="15"/>
  <c r="AR223" i="15"/>
  <c r="P161" i="15"/>
  <c r="R102" i="15"/>
  <c r="F176" i="15"/>
  <c r="AJ110" i="15"/>
  <c r="P300" i="15"/>
  <c r="F195" i="15"/>
  <c r="A223" i="15"/>
  <c r="AD259" i="15"/>
  <c r="Y246" i="15"/>
  <c r="AL236" i="15"/>
  <c r="AA249" i="15"/>
  <c r="X272" i="15"/>
  <c r="K398" i="15"/>
  <c r="P232" i="15"/>
  <c r="A161" i="15"/>
  <c r="B102" i="15"/>
  <c r="AN175" i="15"/>
  <c r="U110" i="15"/>
  <c r="X381" i="15"/>
  <c r="T193" i="15"/>
  <c r="AN237" i="15"/>
  <c r="AD291" i="15"/>
  <c r="AN304" i="15"/>
  <c r="C318" i="15"/>
  <c r="V220" i="15"/>
  <c r="AC325" i="15"/>
  <c r="U348" i="15"/>
  <c r="W244" i="15"/>
  <c r="D260" i="15"/>
  <c r="AL240" i="15"/>
  <c r="R244" i="15"/>
  <c r="AR259" i="15"/>
  <c r="S288" i="15"/>
  <c r="AC217" i="15"/>
  <c r="AN247" i="15"/>
  <c r="R322" i="15"/>
  <c r="AA231" i="15"/>
  <c r="Y176" i="15"/>
  <c r="F125" i="15"/>
  <c r="AC239" i="15"/>
  <c r="AR157" i="15"/>
  <c r="AR101" i="15"/>
  <c r="O50" i="15"/>
  <c r="AC186" i="15"/>
  <c r="AB366" i="15"/>
  <c r="T378" i="15"/>
  <c r="AN371" i="15"/>
  <c r="V408" i="15"/>
  <c r="B191" i="15"/>
  <c r="C341" i="15"/>
  <c r="AJ187" i="15"/>
  <c r="P250" i="15"/>
  <c r="DV216" i="15"/>
  <c r="A260" i="15"/>
  <c r="AA258" i="15"/>
  <c r="AN275" i="15"/>
  <c r="AL284" i="15"/>
  <c r="E314" i="15"/>
  <c r="P253" i="15"/>
  <c r="M372" i="15"/>
  <c r="AA308" i="15"/>
  <c r="X441" i="15"/>
  <c r="V336" i="15"/>
  <c r="B273" i="15"/>
  <c r="AB185" i="15"/>
  <c r="AN245" i="15"/>
  <c r="E248" i="15"/>
  <c r="V261" i="15"/>
  <c r="Y285" i="15"/>
  <c r="J275" i="15"/>
  <c r="AL308" i="15"/>
  <c r="W328" i="15"/>
  <c r="W316" i="15"/>
  <c r="AN212" i="15"/>
  <c r="Q368" i="15"/>
  <c r="I288" i="15"/>
  <c r="A328" i="15"/>
  <c r="J565" i="15"/>
  <c r="Z233" i="15"/>
  <c r="AO164" i="15"/>
  <c r="AA229" i="15"/>
  <c r="B237" i="15"/>
  <c r="D261" i="15"/>
  <c r="V299" i="15"/>
  <c r="AL311" i="15"/>
  <c r="DZ209" i="15"/>
  <c r="R363" i="15"/>
  <c r="K302" i="15"/>
  <c r="T296" i="15"/>
  <c r="V311" i="15"/>
  <c r="O264" i="15"/>
  <c r="D185" i="15"/>
  <c r="S256" i="15"/>
  <c r="R264" i="15"/>
  <c r="AG307" i="15"/>
  <c r="W208" i="15"/>
  <c r="F216" i="15"/>
  <c r="AL233" i="15"/>
  <c r="DY308" i="15"/>
  <c r="U172" i="15"/>
  <c r="AR304" i="15"/>
  <c r="C230" i="15"/>
  <c r="A306" i="15"/>
  <c r="E321" i="15"/>
  <c r="X211" i="15"/>
  <c r="AA210" i="15"/>
  <c r="I240" i="15"/>
  <c r="DY170" i="15"/>
  <c r="X95" i="15"/>
  <c r="AD164" i="15"/>
  <c r="AC95" i="15"/>
  <c r="K225" i="15"/>
  <c r="Y141" i="15"/>
  <c r="I162" i="15"/>
  <c r="AF331" i="15"/>
  <c r="Z184" i="15"/>
  <c r="Y395" i="15"/>
  <c r="D215" i="15"/>
  <c r="AB332" i="15"/>
  <c r="V340" i="15"/>
  <c r="Z332" i="15"/>
  <c r="P215" i="15"/>
  <c r="AA244" i="15"/>
  <c r="AJ162" i="15"/>
  <c r="H99" i="15"/>
  <c r="AE168" i="15"/>
  <c r="P86" i="15"/>
  <c r="H243" i="15"/>
  <c r="W145" i="15"/>
  <c r="AB153" i="15"/>
  <c r="S331" i="15"/>
  <c r="J184" i="15"/>
  <c r="J251" i="15"/>
  <c r="AL214" i="15"/>
  <c r="H331" i="15"/>
  <c r="I283" i="15"/>
  <c r="E331" i="15"/>
  <c r="DZ214" i="15"/>
  <c r="AF229" i="15"/>
  <c r="W162" i="15"/>
  <c r="AL98" i="15"/>
  <c r="AR155" i="15"/>
  <c r="A86" i="15"/>
  <c r="T241" i="15"/>
  <c r="AA281" i="15"/>
  <c r="K153" i="15"/>
  <c r="DW317" i="15"/>
  <c r="Q169" i="15"/>
  <c r="AR293" i="15"/>
  <c r="AR236" i="15"/>
  <c r="E225" i="15"/>
  <c r="C232" i="15"/>
  <c r="K240" i="15"/>
  <c r="F256" i="15"/>
  <c r="C311" i="15"/>
  <c r="R220" i="15"/>
  <c r="S158" i="15"/>
  <c r="Z94" i="15"/>
  <c r="Y163" i="15"/>
  <c r="AO98" i="15"/>
  <c r="H330" i="15"/>
  <c r="AC180" i="15"/>
  <c r="S345" i="15"/>
  <c r="G235" i="15"/>
  <c r="AA223" i="15"/>
  <c r="AK231" i="15"/>
  <c r="C245" i="15"/>
  <c r="O261" i="15"/>
  <c r="AG309" i="15"/>
  <c r="E220" i="15"/>
  <c r="G158" i="15"/>
  <c r="J98" i="15"/>
  <c r="AA167" i="15"/>
  <c r="AB98" i="15"/>
  <c r="DU329" i="15"/>
  <c r="P180" i="15"/>
  <c r="AR210" i="15"/>
  <c r="P243" i="15"/>
  <c r="J223" i="15"/>
  <c r="P231" i="15"/>
  <c r="AC244" i="15"/>
  <c r="F267" i="15"/>
  <c r="AK326" i="15"/>
  <c r="Z219" i="15"/>
  <c r="DU157" i="15"/>
  <c r="AN97" i="15"/>
  <c r="V171" i="15"/>
  <c r="K103" i="15"/>
  <c r="I317" i="15"/>
  <c r="AR177" i="15"/>
  <c r="G208" i="15"/>
  <c r="AB250" i="15"/>
  <c r="O230" i="15"/>
  <c r="C231" i="15"/>
  <c r="O244" i="15"/>
  <c r="X266" i="15"/>
  <c r="AK344" i="15"/>
  <c r="W223" i="15"/>
  <c r="AE157" i="15"/>
  <c r="AA97" i="15"/>
  <c r="D171" i="15"/>
  <c r="R106" i="15"/>
  <c r="E296" i="15"/>
  <c r="W177" i="15"/>
  <c r="O222" i="15"/>
  <c r="AL277" i="15"/>
  <c r="P283" i="15"/>
  <c r="AC296" i="15"/>
  <c r="E486" i="15"/>
  <c r="M343" i="15"/>
  <c r="U318" i="15"/>
  <c r="DZ228" i="15"/>
  <c r="AL243" i="15"/>
  <c r="W232" i="15"/>
  <c r="AO236" i="15"/>
  <c r="K254" i="15"/>
  <c r="AC278" i="15"/>
  <c r="P213" i="15"/>
  <c r="AO242" i="15"/>
  <c r="O304" i="15"/>
  <c r="W227" i="15"/>
  <c r="Z172" i="15"/>
  <c r="V120" i="15"/>
  <c r="E221" i="15"/>
  <c r="AK153" i="15"/>
  <c r="H97" i="15"/>
  <c r="U46" i="15"/>
  <c r="AN181" i="15"/>
  <c r="K269" i="15"/>
  <c r="W163" i="15"/>
  <c r="J438" i="15"/>
  <c r="A210" i="15"/>
  <c r="AC216" i="15"/>
  <c r="Y230" i="15"/>
  <c r="V234" i="15"/>
  <c r="O63" i="15"/>
  <c r="DW173" i="15"/>
  <c r="AM181" i="15"/>
  <c r="AE187" i="15"/>
  <c r="Z283" i="15"/>
  <c r="B166" i="15"/>
  <c r="Y209" i="15"/>
  <c r="AO378" i="15"/>
  <c r="DV170" i="15"/>
  <c r="AN194" i="15"/>
  <c r="AJ299" i="15"/>
  <c r="Q167" i="15"/>
  <c r="AA123" i="15"/>
  <c r="Z269" i="15"/>
  <c r="K306" i="15"/>
  <c r="A240" i="15"/>
  <c r="D228" i="15"/>
  <c r="R242" i="15"/>
  <c r="L288" i="15"/>
  <c r="E69" i="15"/>
  <c r="T179" i="15"/>
  <c r="AF187" i="15"/>
  <c r="E192" i="15"/>
  <c r="O343" i="15"/>
  <c r="DU169" i="15"/>
  <c r="T223" i="15"/>
  <c r="Q154" i="15"/>
  <c r="K175" i="15"/>
  <c r="B200" i="15"/>
  <c r="R403" i="15"/>
  <c r="H171" i="15"/>
  <c r="AL128" i="15"/>
  <c r="A72" i="15"/>
  <c r="Z427" i="15"/>
  <c r="AC273" i="15"/>
  <c r="M243" i="15"/>
  <c r="W256" i="15"/>
  <c r="V96" i="15"/>
  <c r="AA75" i="15"/>
  <c r="M186" i="15"/>
  <c r="W195" i="15"/>
  <c r="Q197" i="15"/>
  <c r="E143" i="15"/>
  <c r="H174" i="15"/>
  <c r="B241" i="15"/>
  <c r="B158" i="15"/>
  <c r="J179" i="15"/>
  <c r="R207" i="15"/>
  <c r="P149" i="15"/>
  <c r="W175" i="15"/>
  <c r="AC134" i="15"/>
  <c r="DU75" i="15"/>
  <c r="AE111" i="15"/>
  <c r="R243" i="15"/>
  <c r="J278" i="15"/>
  <c r="AF301" i="15"/>
  <c r="AB119" i="15"/>
  <c r="P96" i="15"/>
  <c r="AN201" i="15"/>
  <c r="J225" i="15"/>
  <c r="AK220" i="15"/>
  <c r="AJ151" i="15"/>
  <c r="U182" i="15"/>
  <c r="Y283" i="15"/>
  <c r="A166" i="15"/>
  <c r="AO187" i="15"/>
  <c r="AL238" i="15"/>
  <c r="AI157" i="15"/>
  <c r="B184" i="15"/>
  <c r="DU148" i="15"/>
  <c r="K84" i="15"/>
  <c r="E121" i="15"/>
  <c r="T459" i="15"/>
  <c r="A345" i="15"/>
  <c r="J367" i="15"/>
  <c r="C134" i="15"/>
  <c r="DX108" i="15"/>
  <c r="X216" i="15"/>
  <c r="R251" i="15"/>
  <c r="AD245" i="15"/>
  <c r="AL155" i="15"/>
  <c r="DZ186" i="15"/>
  <c r="D343" i="15"/>
  <c r="AR169" i="15"/>
  <c r="S192" i="15"/>
  <c r="J257" i="15"/>
  <c r="E161" i="15"/>
  <c r="E188" i="15"/>
  <c r="N162" i="15"/>
  <c r="O88" i="15"/>
  <c r="I126" i="15"/>
  <c r="V353" i="15"/>
  <c r="T105" i="15"/>
  <c r="AA315" i="15"/>
  <c r="A279" i="15"/>
  <c r="Y237" i="15"/>
  <c r="AH168" i="15"/>
  <c r="X149" i="15"/>
  <c r="DW350" i="15"/>
  <c r="Z144" i="15"/>
  <c r="AN152" i="15"/>
  <c r="DY167" i="15"/>
  <c r="AL202" i="15"/>
  <c r="N147" i="15"/>
  <c r="A183" i="15"/>
  <c r="AO215" i="15"/>
  <c r="K152" i="15"/>
  <c r="E174" i="15"/>
  <c r="AA205" i="15"/>
  <c r="K255" i="15"/>
  <c r="P103" i="15"/>
  <c r="V145" i="15"/>
  <c r="AC82" i="15"/>
  <c r="AA118" i="15"/>
  <c r="Y313" i="15"/>
  <c r="T260" i="15"/>
  <c r="A302" i="15"/>
  <c r="J209" i="15"/>
  <c r="A188" i="15"/>
  <c r="AI53" i="15"/>
  <c r="AL163" i="15"/>
  <c r="A172" i="15"/>
  <c r="DV180" i="15"/>
  <c r="F249" i="15"/>
  <c r="AC159" i="15"/>
  <c r="AC197" i="15"/>
  <c r="D274" i="15"/>
  <c r="W164" i="15"/>
  <c r="K187" i="15"/>
  <c r="AB255" i="15"/>
  <c r="AK160" i="15"/>
  <c r="Y115" i="15"/>
  <c r="V190" i="15"/>
  <c r="K96" i="15"/>
  <c r="A136" i="15"/>
  <c r="A363" i="15"/>
  <c r="K256" i="15"/>
  <c r="AK236" i="15"/>
  <c r="C251" i="15"/>
  <c r="P92" i="15"/>
  <c r="F73" i="15"/>
  <c r="F183" i="15"/>
  <c r="Y191" i="15"/>
  <c r="C195" i="15"/>
  <c r="W141" i="15"/>
  <c r="P172" i="15"/>
  <c r="J232" i="15"/>
  <c r="S156" i="15"/>
  <c r="I177" i="15"/>
  <c r="T203" i="15"/>
  <c r="Y147" i="15"/>
  <c r="AK173" i="15"/>
  <c r="H132" i="15"/>
  <c r="D74" i="15"/>
  <c r="H371" i="15"/>
  <c r="R411" i="15"/>
  <c r="AI288" i="15"/>
  <c r="D289" i="15"/>
  <c r="P272" i="15"/>
  <c r="E317" i="15"/>
  <c r="AG259" i="15"/>
  <c r="AN276" i="15"/>
  <c r="U244" i="15"/>
  <c r="T254" i="15"/>
  <c r="I231" i="15"/>
  <c r="W269" i="15"/>
  <c r="AK258" i="15"/>
  <c r="E417" i="15"/>
  <c r="J241" i="15"/>
  <c r="E404" i="15"/>
  <c r="A291" i="15"/>
  <c r="E356" i="15"/>
  <c r="M328" i="15"/>
  <c r="I265" i="15"/>
  <c r="R181" i="15"/>
  <c r="V240" i="15"/>
  <c r="E243" i="15"/>
  <c r="AM255" i="15"/>
  <c r="P277" i="15"/>
  <c r="E269" i="15"/>
  <c r="P290" i="15"/>
  <c r="R291" i="15"/>
  <c r="C299" i="15"/>
  <c r="U202" i="15"/>
  <c r="O344" i="15"/>
  <c r="Z336" i="15"/>
  <c r="H310" i="15"/>
  <c r="H407" i="15"/>
  <c r="AN228" i="15"/>
  <c r="J440" i="15"/>
  <c r="W224" i="15"/>
  <c r="H231" i="15"/>
  <c r="Y255" i="15"/>
  <c r="AK284" i="15"/>
  <c r="AN293" i="15"/>
  <c r="G407" i="15"/>
  <c r="AA339" i="15"/>
  <c r="U448" i="15"/>
  <c r="F381" i="15"/>
  <c r="AE304" i="15"/>
  <c r="K257" i="15"/>
  <c r="AR180" i="15"/>
  <c r="R250" i="15"/>
  <c r="Y258" i="15"/>
  <c r="U289" i="15"/>
  <c r="AA202" i="15"/>
  <c r="AL210" i="15"/>
  <c r="I229" i="15"/>
  <c r="Y326" i="15"/>
  <c r="X416" i="15"/>
  <c r="K272" i="15"/>
  <c r="AN222" i="15"/>
  <c r="T288" i="15"/>
  <c r="D299" i="15"/>
  <c r="AO362" i="15"/>
  <c r="I205" i="15"/>
  <c r="B235" i="15"/>
  <c r="G167" i="15"/>
  <c r="X91" i="15"/>
  <c r="L160" i="15"/>
  <c r="O91" i="15"/>
  <c r="DU209" i="15"/>
  <c r="AA365" i="15"/>
  <c r="E158" i="15"/>
  <c r="G348" i="15"/>
  <c r="Z171" i="15"/>
  <c r="AH303" i="15"/>
  <c r="E208" i="15"/>
  <c r="AC304" i="15"/>
  <c r="Y319" i="15"/>
  <c r="D313" i="15"/>
  <c r="J210" i="15"/>
  <c r="AK239" i="15"/>
  <c r="C159" i="15"/>
  <c r="H95" i="15"/>
  <c r="K164" i="15"/>
  <c r="U82" i="15"/>
  <c r="AN223" i="15"/>
  <c r="K141" i="15"/>
  <c r="E149" i="15"/>
  <c r="AB347" i="15"/>
  <c r="AC169" i="15"/>
  <c r="AC234" i="15"/>
  <c r="Y207" i="15"/>
  <c r="U303" i="15"/>
  <c r="Z275" i="15"/>
  <c r="R311" i="15"/>
  <c r="DW209" i="15"/>
  <c r="DZ224" i="15"/>
  <c r="AL158" i="15"/>
  <c r="AL94" i="15"/>
  <c r="Z151" i="15"/>
  <c r="I82" i="15"/>
  <c r="T222" i="15"/>
  <c r="J258" i="15"/>
  <c r="AN148" i="15"/>
  <c r="AN334" i="15"/>
  <c r="V297" i="15"/>
  <c r="I268" i="15"/>
  <c r="DW228" i="15"/>
  <c r="AL217" i="15"/>
  <c r="I227" i="15"/>
  <c r="AH229" i="15"/>
  <c r="W250" i="15"/>
  <c r="AD294" i="15"/>
  <c r="AR215" i="15"/>
  <c r="AO154" i="15"/>
  <c r="P308" i="15"/>
  <c r="T159" i="15"/>
  <c r="AB94" i="15"/>
  <c r="AL348" i="15"/>
  <c r="E168" i="15"/>
  <c r="O266" i="15"/>
  <c r="H228" i="15"/>
  <c r="AL216" i="15"/>
  <c r="AK226" i="15"/>
  <c r="AN239" i="15"/>
  <c r="Z249" i="15"/>
  <c r="K293" i="15"/>
  <c r="AC215" i="15"/>
  <c r="V154" i="15"/>
  <c r="J94" i="15"/>
  <c r="G159" i="15"/>
  <c r="K94" i="15"/>
  <c r="X348" i="15"/>
  <c r="AN167" i="15"/>
  <c r="D344" i="15"/>
  <c r="AB227" i="15"/>
  <c r="R216" i="15"/>
  <c r="P226" i="15"/>
  <c r="S239" i="15"/>
  <c r="AK260" i="15"/>
  <c r="H292" i="15"/>
  <c r="O215" i="15"/>
  <c r="J154" i="15"/>
  <c r="AN93" i="15"/>
  <c r="M167" i="15"/>
  <c r="AM93" i="15"/>
  <c r="AB335" i="15"/>
  <c r="AM165" i="15"/>
  <c r="AO332" i="15"/>
  <c r="C243" i="15"/>
  <c r="E216" i="15"/>
  <c r="AR225" i="15"/>
  <c r="B239" i="15"/>
  <c r="AM259" i="15"/>
  <c r="S325" i="15"/>
  <c r="DY214" i="15"/>
  <c r="AN153" i="15"/>
  <c r="AB93" i="15"/>
  <c r="AO166" i="15"/>
  <c r="AL102" i="15"/>
  <c r="AH330" i="15"/>
  <c r="AA165" i="15"/>
  <c r="AA207" i="15"/>
  <c r="AB267" i="15"/>
  <c r="AB271" i="15"/>
  <c r="Y282" i="15"/>
  <c r="W351" i="15"/>
  <c r="AN379" i="15"/>
  <c r="DU288" i="15"/>
  <c r="AB214" i="15"/>
  <c r="AK227" i="15"/>
  <c r="F225" i="15"/>
  <c r="DV228" i="15"/>
  <c r="A248" i="15"/>
  <c r="G272" i="15"/>
  <c r="U386" i="15"/>
  <c r="H237" i="15"/>
  <c r="E289" i="15"/>
  <c r="AI222" i="15"/>
  <c r="U168" i="15"/>
  <c r="AR115" i="15"/>
  <c r="A207" i="15"/>
  <c r="G149" i="15"/>
  <c r="DV92" i="15"/>
  <c r="AN42" i="15"/>
  <c r="R177" i="15"/>
  <c r="AA247" i="15"/>
  <c r="R159" i="15"/>
  <c r="X289" i="15"/>
  <c r="H280" i="15"/>
  <c r="V337" i="15"/>
  <c r="N217" i="15"/>
  <c r="DU197" i="15"/>
  <c r="AN56" i="15"/>
  <c r="Z167" i="15"/>
  <c r="AL175" i="15"/>
  <c r="D183" i="15"/>
  <c r="U259" i="15"/>
  <c r="Z161" i="15"/>
  <c r="X200" i="15"/>
  <c r="DY289" i="15"/>
  <c r="AF166" i="15"/>
  <c r="R189" i="15"/>
  <c r="S266" i="15"/>
  <c r="DW162" i="15"/>
  <c r="K118" i="15"/>
  <c r="A202" i="15"/>
  <c r="D408" i="15"/>
  <c r="AB209" i="15"/>
  <c r="AK213" i="15"/>
  <c r="B228" i="15"/>
  <c r="U222" i="15"/>
  <c r="AR62" i="15"/>
  <c r="AD173" i="15"/>
  <c r="Y181" i="15"/>
  <c r="Q187" i="15"/>
  <c r="F281" i="15"/>
  <c r="AD165" i="15"/>
  <c r="AA208" i="15"/>
  <c r="AB356" i="15"/>
  <c r="U170" i="15"/>
  <c r="R194" i="15"/>
  <c r="P294" i="15"/>
  <c r="C167" i="15"/>
  <c r="I123" i="15"/>
  <c r="F262" i="15"/>
  <c r="AN305" i="15"/>
  <c r="V239" i="15"/>
  <c r="H227" i="15"/>
  <c r="V241" i="15"/>
  <c r="AC281" i="15"/>
  <c r="AA68" i="15"/>
  <c r="B179" i="15"/>
  <c r="R187" i="15"/>
  <c r="X191" i="15"/>
  <c r="I337" i="15"/>
  <c r="U169" i="15"/>
  <c r="A222" i="15"/>
  <c r="D154" i="15"/>
  <c r="AL174" i="15"/>
  <c r="T199" i="15"/>
  <c r="H377" i="15"/>
  <c r="AO170" i="15"/>
  <c r="P128" i="15"/>
  <c r="V71" i="15"/>
  <c r="R107" i="15"/>
  <c r="B344" i="15"/>
  <c r="G259" i="15"/>
  <c r="W272" i="15"/>
  <c r="C108" i="15"/>
  <c r="I83" i="15"/>
  <c r="Z192" i="15"/>
  <c r="AB203" i="15"/>
  <c r="AN202" i="15"/>
  <c r="P147" i="15"/>
  <c r="H178" i="15"/>
  <c r="T259" i="15"/>
  <c r="Y161" i="15"/>
  <c r="R183" i="15"/>
  <c r="P220" i="15"/>
  <c r="W153" i="15"/>
  <c r="Z179" i="15"/>
  <c r="AF141" i="15"/>
  <c r="AR79" i="15"/>
  <c r="X115" i="15"/>
  <c r="S240" i="15"/>
  <c r="AB277" i="15"/>
  <c r="G300" i="15"/>
  <c r="O119" i="15"/>
  <c r="AR95" i="15"/>
  <c r="O201" i="15"/>
  <c r="AL223" i="15"/>
  <c r="H219" i="15"/>
  <c r="W151" i="15"/>
  <c r="C182" i="15"/>
  <c r="E281" i="15"/>
  <c r="AC165" i="15"/>
  <c r="AA187" i="15"/>
  <c r="E237" i="15"/>
  <c r="V157" i="15"/>
  <c r="AD183" i="15"/>
  <c r="I148" i="15"/>
  <c r="AN83" i="15"/>
  <c r="Y120" i="15"/>
  <c r="S221" i="15"/>
  <c r="A101" i="15"/>
  <c r="I225" i="15"/>
  <c r="Y252" i="15"/>
  <c r="W222" i="15"/>
  <c r="S157" i="15"/>
  <c r="Z134" i="15"/>
  <c r="D275" i="15"/>
  <c r="I138" i="15"/>
  <c r="C412" i="15"/>
  <c r="V163" i="15"/>
  <c r="A197" i="15"/>
  <c r="AE142" i="15"/>
  <c r="U178" i="15"/>
  <c r="I204" i="15"/>
  <c r="U335" i="15"/>
  <c r="R169" i="15"/>
  <c r="P198" i="15"/>
  <c r="DW197" i="15"/>
  <c r="B98" i="15"/>
  <c r="U138" i="15"/>
  <c r="AR77" i="15"/>
  <c r="AD113" i="15"/>
  <c r="AA283" i="15"/>
  <c r="U228" i="15"/>
  <c r="X270" i="15"/>
  <c r="P193" i="15"/>
  <c r="AF174" i="15"/>
  <c r="AF47" i="15"/>
  <c r="AB157" i="15"/>
  <c r="AR164" i="15"/>
  <c r="Q176" i="15"/>
  <c r="AC229" i="15"/>
  <c r="AK155" i="15"/>
  <c r="B192" i="15"/>
  <c r="S252" i="15"/>
  <c r="F160" i="15"/>
  <c r="R182" i="15"/>
  <c r="O235" i="15"/>
  <c r="H157" i="15"/>
  <c r="P111" i="15"/>
  <c r="W172" i="15"/>
  <c r="Z91" i="15"/>
  <c r="P129" i="15"/>
  <c r="AK340" i="15"/>
  <c r="F224" i="15"/>
  <c r="AR221" i="15"/>
  <c r="AN235" i="15"/>
  <c r="V256" i="15"/>
  <c r="V66" i="15"/>
  <c r="AH176" i="15"/>
  <c r="H185" i="15"/>
  <c r="V189" i="15"/>
  <c r="AR306" i="15"/>
  <c r="DX167" i="15"/>
  <c r="DX214" i="15"/>
  <c r="DY151" i="15"/>
  <c r="J173" i="15"/>
  <c r="L197" i="15"/>
  <c r="K329" i="15"/>
  <c r="B169" i="15"/>
  <c r="J126" i="15"/>
  <c r="F371" i="15"/>
  <c r="U105" i="15"/>
  <c r="AJ309" i="15"/>
  <c r="AB259" i="15"/>
  <c r="DY297" i="15"/>
  <c r="O208" i="15"/>
  <c r="T187" i="15"/>
  <c r="G53" i="15"/>
  <c r="F163" i="15"/>
  <c r="B171" i="15"/>
  <c r="M180" i="15"/>
  <c r="AC245" i="15"/>
  <c r="B159" i="15"/>
  <c r="AO196" i="15"/>
  <c r="D270" i="15"/>
  <c r="AG163" i="15"/>
  <c r="U186" i="15"/>
  <c r="P252" i="15"/>
  <c r="C160" i="15"/>
  <c r="AC219" i="15"/>
  <c r="AB232" i="15"/>
  <c r="U189" i="15"/>
  <c r="C270" i="15"/>
  <c r="W105" i="15"/>
  <c r="AB69" i="15"/>
  <c r="AN84" i="15"/>
  <c r="X119" i="15"/>
  <c r="I364" i="15"/>
  <c r="AM354" i="15"/>
  <c r="AK270" i="15"/>
  <c r="A220" i="15"/>
  <c r="DW244" i="15"/>
  <c r="AO335" i="15"/>
  <c r="AK271" i="15"/>
  <c r="V350" i="15"/>
  <c r="AB90" i="15"/>
  <c r="AK224" i="15"/>
  <c r="N209" i="15"/>
  <c r="T150" i="15"/>
  <c r="AL265" i="15"/>
  <c r="AN281" i="15"/>
  <c r="W346" i="15"/>
  <c r="O233" i="15"/>
  <c r="Z162" i="15"/>
  <c r="J263" i="15"/>
  <c r="U213" i="15"/>
  <c r="AB231" i="15"/>
  <c r="AA144" i="15"/>
  <c r="S155" i="15"/>
  <c r="AO202" i="15"/>
  <c r="D189" i="15"/>
  <c r="I170" i="15"/>
  <c r="Z175" i="15"/>
  <c r="AA171" i="15"/>
  <c r="N429" i="15"/>
  <c r="B244" i="15"/>
  <c r="AB160" i="15"/>
  <c r="G44" i="15"/>
  <c r="J174" i="15"/>
  <c r="E148" i="15"/>
  <c r="AK148" i="15"/>
  <c r="AB260" i="15"/>
  <c r="T208" i="15"/>
  <c r="T200" i="15"/>
  <c r="DV108" i="15"/>
  <c r="G406" i="15"/>
  <c r="T285" i="15"/>
  <c r="U184" i="15"/>
  <c r="P55" i="15"/>
  <c r="T204" i="15"/>
  <c r="AR168" i="15"/>
  <c r="L157" i="15"/>
  <c r="T347" i="15"/>
  <c r="X240" i="15"/>
  <c r="C223" i="15"/>
  <c r="K117" i="15"/>
  <c r="DX115" i="15"/>
  <c r="S236" i="15"/>
  <c r="AA226" i="15"/>
  <c r="O75" i="15"/>
  <c r="W297" i="15"/>
  <c r="AL181" i="15"/>
  <c r="G169" i="15"/>
  <c r="AH183" i="15"/>
  <c r="U198" i="15"/>
  <c r="U206" i="15"/>
  <c r="A286" i="15"/>
  <c r="DY157" i="15"/>
  <c r="DW103" i="15"/>
  <c r="Y132" i="15"/>
  <c r="Y342" i="15"/>
  <c r="O226" i="15"/>
  <c r="J213" i="15"/>
  <c r="B165" i="15"/>
  <c r="D277" i="15"/>
  <c r="B203" i="15"/>
  <c r="AL190" i="15"/>
  <c r="AN252" i="15"/>
  <c r="DZ151" i="15"/>
  <c r="DV178" i="15"/>
  <c r="AO182" i="15"/>
  <c r="S198" i="15"/>
  <c r="B259" i="15"/>
  <c r="V153" i="15"/>
  <c r="T98" i="15"/>
  <c r="H115" i="15"/>
  <c r="AR153" i="15"/>
  <c r="D358" i="15"/>
  <c r="J364" i="15"/>
  <c r="F272" i="15"/>
  <c r="J145" i="15"/>
  <c r="I93" i="15"/>
  <c r="AL183" i="15"/>
  <c r="Z178" i="15"/>
  <c r="AF176" i="15"/>
  <c r="D191" i="15"/>
  <c r="X278" i="15"/>
  <c r="K157" i="15"/>
  <c r="D169" i="15"/>
  <c r="AN182" i="15"/>
  <c r="AL192" i="15"/>
  <c r="U147" i="15"/>
  <c r="A75" i="15"/>
  <c r="A102" i="15"/>
  <c r="AL129" i="15"/>
  <c r="F190" i="15"/>
  <c r="D247" i="15"/>
  <c r="F340" i="15"/>
  <c r="AI104" i="15"/>
  <c r="AH66" i="15"/>
  <c r="Y151" i="15"/>
  <c r="AN361" i="15"/>
  <c r="D155" i="15"/>
  <c r="DW176" i="15"/>
  <c r="J216" i="15"/>
  <c r="DY231" i="15"/>
  <c r="Z329" i="15"/>
  <c r="R160" i="15"/>
  <c r="R178" i="15"/>
  <c r="Y126" i="15"/>
  <c r="V155" i="15"/>
  <c r="AA77" i="15"/>
  <c r="AM104" i="15"/>
  <c r="B249" i="15"/>
  <c r="G271" i="15"/>
  <c r="E222" i="15"/>
  <c r="R174" i="15"/>
  <c r="P338" i="15"/>
  <c r="B275" i="15"/>
  <c r="AN211" i="15"/>
  <c r="AM268" i="15"/>
  <c r="P155" i="15"/>
  <c r="B182" i="15"/>
  <c r="AN196" i="15"/>
  <c r="DX231" i="15"/>
  <c r="C276" i="15"/>
  <c r="AB156" i="15"/>
  <c r="U102" i="15"/>
  <c r="U130" i="15"/>
  <c r="I285" i="15"/>
  <c r="AL255" i="15"/>
  <c r="W221" i="15"/>
  <c r="AN221" i="15"/>
  <c r="DY173" i="15"/>
  <c r="AA41" i="15"/>
  <c r="X143" i="15"/>
  <c r="P343" i="15"/>
  <c r="Q158" i="15"/>
  <c r="T185" i="15"/>
  <c r="R272" i="15"/>
  <c r="AR159" i="15"/>
  <c r="AR176" i="15"/>
  <c r="AL196" i="15"/>
  <c r="B274" i="15"/>
  <c r="K156" i="15"/>
  <c r="X265" i="15"/>
  <c r="A271" i="15"/>
  <c r="AB229" i="15"/>
  <c r="V230" i="15"/>
  <c r="DX112" i="15"/>
  <c r="K116" i="15"/>
  <c r="AC144" i="15"/>
  <c r="Y77" i="15"/>
  <c r="B121" i="15"/>
  <c r="Y64" i="15"/>
  <c r="J107" i="15"/>
  <c r="K145" i="15"/>
  <c r="X82" i="15"/>
  <c r="X116" i="15"/>
  <c r="J230" i="15"/>
  <c r="AA101" i="15"/>
  <c r="AL45" i="15"/>
  <c r="AG143" i="15"/>
  <c r="P27" i="15"/>
  <c r="AA90" i="15"/>
  <c r="AN14" i="15"/>
  <c r="Y188" i="15"/>
  <c r="E163" i="15"/>
  <c r="N190" i="15"/>
  <c r="N229" i="15"/>
  <c r="O128" i="15"/>
  <c r="V131" i="15"/>
  <c r="V188" i="15"/>
  <c r="AK95" i="15"/>
  <c r="E146" i="15"/>
  <c r="AM82" i="15"/>
  <c r="T126" i="15"/>
  <c r="AB225" i="15"/>
  <c r="K101" i="15"/>
  <c r="B141" i="15"/>
  <c r="J79" i="15"/>
  <c r="R119" i="15"/>
  <c r="G63" i="15"/>
  <c r="G9" i="15"/>
  <c r="X271" i="15"/>
  <c r="R338" i="15"/>
  <c r="E193" i="15"/>
  <c r="B155" i="15"/>
  <c r="H172" i="15"/>
  <c r="AD103" i="15"/>
  <c r="W115" i="15"/>
  <c r="F152" i="15"/>
  <c r="AA85" i="15"/>
  <c r="T131" i="15"/>
  <c r="AG73" i="15"/>
  <c r="D115" i="15"/>
  <c r="C170" i="15"/>
  <c r="B91" i="15"/>
  <c r="AN126" i="15"/>
  <c r="A70" i="15"/>
  <c r="AE109" i="15"/>
  <c r="AA53" i="15"/>
  <c r="BA3" i="15"/>
  <c r="U36" i="15"/>
  <c r="K126" i="15"/>
  <c r="AL23" i="15"/>
  <c r="DZ231" i="15"/>
  <c r="E183" i="15"/>
  <c r="AK212" i="15"/>
  <c r="Q317" i="15"/>
  <c r="F143" i="15"/>
  <c r="H139" i="15"/>
  <c r="D211" i="15"/>
  <c r="A100" i="15"/>
  <c r="I155" i="15"/>
  <c r="V86" i="15"/>
  <c r="S131" i="15"/>
  <c r="O322" i="15"/>
  <c r="A105" i="15"/>
  <c r="U146" i="15"/>
  <c r="A83" i="15"/>
  <c r="AN123" i="15"/>
  <c r="K67" i="15"/>
  <c r="DY12" i="15"/>
  <c r="U50" i="15"/>
  <c r="L2061" i="6"/>
  <c r="AL38" i="15"/>
  <c r="M231" i="15"/>
  <c r="Y182" i="15"/>
  <c r="U211" i="15"/>
  <c r="AL310" i="15"/>
  <c r="AA142" i="15"/>
  <c r="T138" i="15"/>
  <c r="E207" i="15"/>
  <c r="U99" i="15"/>
  <c r="AL153" i="15"/>
  <c r="E86" i="15"/>
  <c r="AL130" i="15"/>
  <c r="AL298" i="15"/>
  <c r="AH104" i="15"/>
  <c r="AL145" i="15"/>
  <c r="AJ82" i="15"/>
  <c r="P123" i="15"/>
  <c r="AN66" i="15"/>
  <c r="AA12" i="15"/>
  <c r="C50" i="15"/>
  <c r="L2055" i="6"/>
  <c r="P38" i="15"/>
  <c r="DZ230" i="15"/>
  <c r="E182" i="15"/>
  <c r="Z338" i="15"/>
  <c r="V385" i="15"/>
  <c r="AK262" i="15"/>
  <c r="U226" i="15"/>
  <c r="J253" i="15"/>
  <c r="P199" i="15"/>
  <c r="AE346" i="15"/>
  <c r="AO330" i="15"/>
  <c r="E147" i="15"/>
  <c r="AB244" i="15"/>
  <c r="AL322" i="15"/>
  <c r="I137" i="15"/>
  <c r="T217" i="15"/>
  <c r="N269" i="15"/>
  <c r="Y354" i="15"/>
  <c r="H223" i="15"/>
  <c r="C150" i="15"/>
  <c r="H246" i="15"/>
  <c r="R345" i="15"/>
  <c r="F222" i="15"/>
  <c r="I134" i="15"/>
  <c r="E385" i="15"/>
  <c r="AA175" i="15"/>
  <c r="AB168" i="15"/>
  <c r="AL157" i="15"/>
  <c r="S162" i="15"/>
  <c r="DX158" i="15"/>
  <c r="Z468" i="15"/>
  <c r="I324" i="15"/>
  <c r="A109" i="15"/>
  <c r="A39" i="15"/>
  <c r="N168" i="15"/>
  <c r="V143" i="15"/>
  <c r="F144" i="15"/>
  <c r="Y240" i="15"/>
  <c r="AN188" i="15"/>
  <c r="V180" i="15"/>
  <c r="AA104" i="15"/>
  <c r="DU460" i="15"/>
  <c r="Z259" i="15"/>
  <c r="I172" i="15"/>
  <c r="DZ49" i="15"/>
  <c r="DW180" i="15"/>
  <c r="A152" i="15"/>
  <c r="AK152" i="15"/>
  <c r="C283" i="15"/>
  <c r="AK221" i="15"/>
  <c r="S208" i="15"/>
  <c r="AG112" i="15"/>
  <c r="W372" i="15"/>
  <c r="A230" i="15"/>
  <c r="AB213" i="15"/>
  <c r="K68" i="15"/>
  <c r="O253" i="15"/>
  <c r="O177" i="15"/>
  <c r="AM164" i="15"/>
  <c r="K179" i="15"/>
  <c r="A193" i="15"/>
  <c r="A199" i="15"/>
  <c r="Z260" i="15"/>
  <c r="A154" i="15"/>
  <c r="AH98" i="15"/>
  <c r="X126" i="15"/>
  <c r="AC265" i="15"/>
  <c r="C212" i="15"/>
  <c r="AB197" i="15"/>
  <c r="U152" i="15"/>
  <c r="A246" i="15"/>
  <c r="W194" i="15"/>
  <c r="K186" i="15"/>
  <c r="K232" i="15"/>
  <c r="AC147" i="15"/>
  <c r="Y174" i="15"/>
  <c r="T178" i="15"/>
  <c r="AN192" i="15"/>
  <c r="AK238" i="15"/>
  <c r="G262" i="15"/>
  <c r="AE93" i="15"/>
  <c r="AN110" i="15"/>
  <c r="E144" i="15"/>
  <c r="V323" i="15"/>
  <c r="T269" i="15"/>
  <c r="I254" i="15"/>
  <c r="R130" i="15"/>
  <c r="J80" i="15"/>
  <c r="AL177" i="15"/>
  <c r="A173" i="15"/>
  <c r="R172" i="15"/>
  <c r="X186" i="15"/>
  <c r="B256" i="15"/>
  <c r="AC152" i="15"/>
  <c r="AK164" i="15"/>
  <c r="S178" i="15"/>
  <c r="AM187" i="15"/>
  <c r="Y140" i="15"/>
  <c r="H70" i="15"/>
  <c r="AC96" i="15"/>
  <c r="E124" i="15"/>
  <c r="R280" i="15"/>
  <c r="AL224" i="15"/>
  <c r="N288" i="15"/>
  <c r="AC92" i="15"/>
  <c r="Z59" i="15"/>
  <c r="I144" i="15"/>
  <c r="V270" i="15"/>
  <c r="AK150" i="15"/>
  <c r="AL172" i="15"/>
  <c r="P204" i="15"/>
  <c r="DW214" i="15"/>
  <c r="D276" i="15"/>
  <c r="AK156" i="15"/>
  <c r="D174" i="15"/>
  <c r="F121" i="15"/>
  <c r="AN144" i="15"/>
  <c r="W73" i="15"/>
  <c r="C100" i="15"/>
  <c r="W313" i="15"/>
  <c r="AK253" i="15"/>
  <c r="AC208" i="15"/>
  <c r="DY160" i="15"/>
  <c r="L269" i="15"/>
  <c r="X244" i="15"/>
  <c r="AB200" i="15"/>
  <c r="K247" i="15"/>
  <c r="H151" i="15"/>
  <c r="AB177" i="15"/>
  <c r="A191" i="15"/>
  <c r="DV214" i="15"/>
  <c r="E254" i="15"/>
  <c r="H152" i="15"/>
  <c r="J97" i="15"/>
  <c r="X124" i="15"/>
  <c r="U362" i="15"/>
  <c r="AC223" i="15"/>
  <c r="C368" i="15"/>
  <c r="T192" i="15"/>
  <c r="Y160" i="15"/>
  <c r="H332" i="15"/>
  <c r="S390" i="15"/>
  <c r="B267" i="15"/>
  <c r="S154" i="15"/>
  <c r="DU180" i="15"/>
  <c r="AN250" i="15"/>
  <c r="B156" i="15"/>
  <c r="AC172" i="15"/>
  <c r="DZ190" i="15"/>
  <c r="DW231" i="15"/>
  <c r="DU151" i="15"/>
  <c r="X201" i="15"/>
  <c r="AN190" i="15"/>
  <c r="AB190" i="15"/>
  <c r="DY190" i="15"/>
  <c r="K104" i="15"/>
  <c r="AM110" i="15"/>
  <c r="AB137" i="15"/>
  <c r="U73" i="15"/>
  <c r="T115" i="15"/>
  <c r="A252" i="15"/>
  <c r="J103" i="15"/>
  <c r="K138" i="15"/>
  <c r="AI77" i="15"/>
  <c r="J112" i="15"/>
  <c r="DX190" i="15"/>
  <c r="U96" i="15"/>
  <c r="AK41" i="15"/>
  <c r="AL118" i="15"/>
  <c r="F22" i="15"/>
  <c r="M73" i="15"/>
  <c r="AO9" i="15"/>
  <c r="V140" i="15"/>
  <c r="I261" i="15"/>
  <c r="O172" i="15"/>
  <c r="Y190" i="15"/>
  <c r="AF112" i="15"/>
  <c r="Z122" i="15"/>
  <c r="Q170" i="15"/>
  <c r="E91" i="15"/>
  <c r="D139" i="15"/>
  <c r="J78" i="15"/>
  <c r="A121" i="15"/>
  <c r="AC189" i="15"/>
  <c r="E96" i="15"/>
  <c r="R133" i="15"/>
  <c r="G75" i="15"/>
  <c r="I114" i="15"/>
  <c r="J58" i="15"/>
  <c r="CQ4" i="15"/>
  <c r="J250" i="15"/>
  <c r="Z169" i="15"/>
  <c r="AA174" i="15"/>
  <c r="DY243" i="15"/>
  <c r="L155" i="15"/>
  <c r="F95" i="15"/>
  <c r="E110" i="15"/>
  <c r="AA143" i="15"/>
  <c r="V81" i="15"/>
  <c r="W125" i="15"/>
  <c r="AC68" i="15"/>
  <c r="AI110" i="15"/>
  <c r="S153" i="15"/>
  <c r="C86" i="15"/>
  <c r="M121" i="15"/>
  <c r="E340" i="15"/>
  <c r="M105" i="15"/>
  <c r="Y49" i="15"/>
  <c r="Z194" i="15"/>
  <c r="U31" i="15"/>
  <c r="W106" i="15"/>
  <c r="X18" i="15"/>
  <c r="AL176" i="15"/>
  <c r="N157" i="15"/>
  <c r="I186" i="15"/>
  <c r="AL213" i="15"/>
  <c r="Z123" i="15"/>
  <c r="AC128" i="15"/>
  <c r="AA185" i="15"/>
  <c r="D95" i="15"/>
  <c r="AB144" i="15"/>
  <c r="M82" i="15"/>
  <c r="U125" i="15"/>
  <c r="AE214" i="15"/>
  <c r="O100" i="15"/>
  <c r="V139" i="15"/>
  <c r="X78" i="15"/>
  <c r="S118" i="15"/>
  <c r="K62" i="15"/>
  <c r="P8" i="15"/>
  <c r="AJ45" i="15"/>
  <c r="AC333" i="15"/>
  <c r="AB33" i="15"/>
  <c r="L176" i="15"/>
  <c r="A157" i="15"/>
  <c r="DU185" i="15"/>
  <c r="V212" i="15"/>
  <c r="H123" i="15"/>
  <c r="M128" i="15"/>
  <c r="AR183" i="15"/>
  <c r="AF94" i="15"/>
  <c r="B144" i="15"/>
  <c r="U296" i="15"/>
  <c r="J235" i="15"/>
  <c r="F280" i="15"/>
  <c r="AN249" i="15"/>
  <c r="Y279" i="15"/>
  <c r="K230" i="15"/>
  <c r="S287" i="15"/>
  <c r="U409" i="15"/>
  <c r="AG77" i="15"/>
  <c r="F283" i="15"/>
  <c r="X221" i="15"/>
  <c r="E303" i="15"/>
  <c r="AN219" i="15"/>
  <c r="Z210" i="15"/>
  <c r="A338" i="15"/>
  <c r="AA254" i="15"/>
  <c r="Z93" i="15"/>
  <c r="I274" i="15"/>
  <c r="E218" i="15"/>
  <c r="C280" i="15"/>
  <c r="DW87" i="15"/>
  <c r="DY310" i="15"/>
  <c r="I332" i="15"/>
  <c r="E156" i="15"/>
  <c r="C149" i="15"/>
  <c r="P154" i="15"/>
  <c r="AE309" i="15"/>
  <c r="G228" i="15"/>
  <c r="AB278" i="15"/>
  <c r="K97" i="15"/>
  <c r="P284" i="15"/>
  <c r="DW160" i="15"/>
  <c r="AK257" i="15"/>
  <c r="C263" i="15"/>
  <c r="AM221" i="15"/>
  <c r="V184" i="15"/>
  <c r="DW175" i="15"/>
  <c r="Y99" i="15"/>
  <c r="S341" i="15"/>
  <c r="AR212" i="15"/>
  <c r="F120" i="15"/>
  <c r="DU43" i="15"/>
  <c r="DV173" i="15"/>
  <c r="AK147" i="15"/>
  <c r="Q148" i="15"/>
  <c r="D259" i="15"/>
  <c r="AO193" i="15"/>
  <c r="T184" i="15"/>
  <c r="U108" i="15"/>
  <c r="G329" i="15"/>
  <c r="S346" i="15"/>
  <c r="A198" i="15"/>
  <c r="AR61" i="15"/>
  <c r="D195" i="15"/>
  <c r="DV159" i="15"/>
  <c r="U160" i="15"/>
  <c r="AN174" i="15"/>
  <c r="DU178" i="15"/>
  <c r="R193" i="15"/>
  <c r="W240" i="15"/>
  <c r="AA269" i="15"/>
  <c r="C94" i="15"/>
  <c r="O111" i="15"/>
  <c r="AO231" i="15"/>
  <c r="A318" i="15"/>
  <c r="AG183" i="15"/>
  <c r="AB138" i="15"/>
  <c r="G192" i="15"/>
  <c r="AA186" i="15"/>
  <c r="X181" i="15"/>
  <c r="B215" i="15"/>
  <c r="C143" i="15"/>
  <c r="G161" i="15"/>
  <c r="F174" i="15"/>
  <c r="AN187" i="15"/>
  <c r="O220" i="15"/>
  <c r="AN199" i="15"/>
  <c r="V79" i="15"/>
  <c r="U106" i="15"/>
  <c r="G137" i="15"/>
  <c r="AJ294" i="15"/>
  <c r="F235" i="15"/>
  <c r="T207" i="15"/>
  <c r="F116" i="15"/>
  <c r="AD73" i="15"/>
  <c r="N170" i="15"/>
  <c r="R165" i="15"/>
  <c r="Q159" i="15"/>
  <c r="AK181" i="15"/>
  <c r="AC235" i="15"/>
  <c r="AA329" i="15"/>
  <c r="S160" i="15"/>
  <c r="H165" i="15"/>
  <c r="K183" i="15"/>
  <c r="K133" i="15"/>
  <c r="AO234" i="15"/>
  <c r="H92" i="15"/>
  <c r="W109" i="15"/>
  <c r="O214" i="15"/>
  <c r="AL325" i="15"/>
  <c r="W267" i="15"/>
  <c r="O258" i="15"/>
  <c r="T42" i="15"/>
  <c r="D565" i="15"/>
  <c r="D241" i="15"/>
  <c r="M146" i="15"/>
  <c r="L168" i="15"/>
  <c r="N187" i="15"/>
  <c r="U203" i="15"/>
  <c r="F254" i="15"/>
  <c r="I152" i="15"/>
  <c r="P169" i="15"/>
  <c r="A107" i="15"/>
  <c r="AK137" i="15"/>
  <c r="K304" i="15"/>
  <c r="E95" i="15"/>
  <c r="AR224" i="15"/>
  <c r="K373" i="15"/>
  <c r="AO192" i="15"/>
  <c r="U148" i="15"/>
  <c r="I236" i="15"/>
  <c r="J215" i="15"/>
  <c r="G185" i="15"/>
  <c r="M228" i="15"/>
  <c r="Z146" i="15"/>
  <c r="Z173" i="15"/>
  <c r="V186" i="15"/>
  <c r="S191" i="15"/>
  <c r="W233" i="15"/>
  <c r="AO241" i="15"/>
  <c r="Y92" i="15"/>
  <c r="H119" i="15"/>
  <c r="P340" i="15"/>
  <c r="Z324" i="15"/>
  <c r="AL269" i="15"/>
  <c r="AC179" i="15"/>
  <c r="H148" i="15"/>
  <c r="S267" i="15"/>
  <c r="A273" i="15"/>
  <c r="W237" i="15"/>
  <c r="AR149" i="15"/>
  <c r="P176" i="15"/>
  <c r="DW230" i="15"/>
  <c r="AG151" i="15"/>
  <c r="J168" i="15"/>
  <c r="AH181" i="15"/>
  <c r="AJ214" i="15"/>
  <c r="AR234" i="15"/>
  <c r="AR246" i="15"/>
  <c r="AK163" i="15"/>
  <c r="AK172" i="15"/>
  <c r="H173" i="15"/>
  <c r="AB97" i="15"/>
  <c r="Y104" i="15"/>
  <c r="C131" i="15"/>
  <c r="P68" i="15"/>
  <c r="I111" i="15"/>
  <c r="J197" i="15"/>
  <c r="AJ97" i="15"/>
  <c r="R131" i="15"/>
  <c r="AE73" i="15"/>
  <c r="AN107" i="15"/>
  <c r="G173" i="15"/>
  <c r="AN91" i="15"/>
  <c r="B37" i="15"/>
  <c r="Z100" i="15"/>
  <c r="I17" i="15"/>
  <c r="O64" i="15"/>
  <c r="C272" i="15"/>
  <c r="AC344" i="15"/>
  <c r="W193" i="15"/>
  <c r="O155" i="15"/>
  <c r="AA172" i="15"/>
  <c r="DV103" i="15"/>
  <c r="DW115" i="15"/>
  <c r="AO153" i="15"/>
  <c r="F86" i="15"/>
  <c r="D132" i="15"/>
  <c r="DZ73" i="15"/>
  <c r="S115" i="15"/>
  <c r="X171" i="15"/>
  <c r="T91" i="15"/>
  <c r="G127" i="15"/>
  <c r="R70" i="15"/>
  <c r="DW109" i="15"/>
  <c r="AO53" i="15"/>
  <c r="BN3" i="15"/>
  <c r="H232" i="15"/>
  <c r="DZ112" i="15"/>
  <c r="Z157" i="15"/>
  <c r="AO194" i="15"/>
  <c r="N169" i="15"/>
  <c r="K88" i="15"/>
  <c r="DU103" i="15"/>
  <c r="T136" i="15"/>
  <c r="AI76" i="15"/>
  <c r="C120" i="15"/>
  <c r="AC63" i="15"/>
  <c r="K106" i="15"/>
  <c r="AR143" i="15"/>
  <c r="AN81" i="15"/>
  <c r="AL115" i="15"/>
  <c r="O218" i="15"/>
  <c r="AB100" i="15"/>
  <c r="H45" i="15"/>
  <c r="R139" i="15"/>
  <c r="X26" i="15"/>
  <c r="U87" i="15"/>
  <c r="B14" i="15"/>
  <c r="V125" i="15"/>
  <c r="DY230" i="15"/>
  <c r="K168" i="15"/>
  <c r="T186" i="15"/>
  <c r="I109" i="15"/>
  <c r="AO121" i="15"/>
  <c r="AC167" i="15"/>
  <c r="E90" i="15"/>
  <c r="X137" i="15"/>
  <c r="X77" i="15"/>
  <c r="B120" i="15"/>
  <c r="AN186" i="15"/>
  <c r="S95" i="15"/>
  <c r="S132" i="15"/>
  <c r="J74" i="15"/>
  <c r="W113" i="15"/>
  <c r="R57" i="15"/>
  <c r="BQ4" i="15"/>
  <c r="I41" i="15"/>
  <c r="X152" i="15"/>
  <c r="R28" i="15"/>
  <c r="Y124" i="15"/>
  <c r="AD229" i="15"/>
  <c r="DW167" i="15"/>
  <c r="F186" i="15"/>
  <c r="DU108" i="15"/>
  <c r="S121" i="15"/>
  <c r="J166" i="15"/>
  <c r="W89" i="15"/>
  <c r="D137" i="15"/>
  <c r="G77" i="15"/>
  <c r="U119" i="15"/>
  <c r="L185" i="15"/>
  <c r="A95" i="15"/>
  <c r="AL131" i="15"/>
  <c r="DW73" i="15"/>
  <c r="E113" i="15"/>
  <c r="A57" i="15"/>
  <c r="BD4" i="15"/>
  <c r="AB40" i="15"/>
  <c r="DV148" i="15"/>
  <c r="A28" i="15"/>
  <c r="I124" i="15"/>
  <c r="N228" i="15"/>
  <c r="V167" i="15"/>
  <c r="AK185" i="15"/>
  <c r="G296" i="15"/>
  <c r="X444" i="15"/>
  <c r="O281" i="15"/>
  <c r="AL276" i="15"/>
  <c r="X364" i="15"/>
  <c r="A163" i="15"/>
  <c r="DZ297" i="15"/>
  <c r="E371" i="15"/>
  <c r="A208" i="15"/>
  <c r="V211" i="15"/>
  <c r="G334" i="15"/>
  <c r="E227" i="15"/>
  <c r="W408" i="15"/>
  <c r="I200" i="15"/>
  <c r="A264" i="15"/>
  <c r="E238" i="15"/>
  <c r="Z80" i="15"/>
  <c r="S260" i="15"/>
  <c r="C382" i="15"/>
  <c r="C268" i="15"/>
  <c r="AN79" i="15"/>
  <c r="E344" i="15"/>
  <c r="AA182" i="15"/>
  <c r="AC301" i="15"/>
  <c r="H140" i="15"/>
  <c r="AB294" i="15"/>
  <c r="D186" i="15"/>
  <c r="AL241" i="15"/>
  <c r="Y259" i="15"/>
  <c r="G194" i="15"/>
  <c r="Y193" i="15"/>
  <c r="AN155" i="15"/>
  <c r="V237" i="15"/>
  <c r="AB242" i="15"/>
  <c r="U207" i="15"/>
  <c r="H180" i="15"/>
  <c r="AE162" i="15"/>
  <c r="AK80" i="15"/>
  <c r="AC227" i="15"/>
  <c r="D321" i="15"/>
  <c r="O108" i="15"/>
  <c r="G38" i="15"/>
  <c r="Y167" i="15"/>
  <c r="Y278" i="15"/>
  <c r="A287" i="15"/>
  <c r="AO238" i="15"/>
  <c r="Z188" i="15"/>
  <c r="G180" i="15"/>
  <c r="L104" i="15"/>
  <c r="AB299" i="15"/>
  <c r="U242" i="15"/>
  <c r="N148" i="15"/>
  <c r="D55" i="15"/>
  <c r="C187" i="15"/>
  <c r="D156" i="15"/>
  <c r="AO156" i="15"/>
  <c r="H170" i="15"/>
  <c r="X174" i="15"/>
  <c r="F188" i="15"/>
  <c r="AJ221" i="15"/>
  <c r="B202" i="15"/>
  <c r="AC88" i="15"/>
  <c r="U358" i="15"/>
  <c r="O369" i="15"/>
  <c r="G276" i="15"/>
  <c r="O171" i="15"/>
  <c r="DX121" i="15"/>
  <c r="W185" i="15"/>
  <c r="N180" i="15"/>
  <c r="DX176" i="15"/>
  <c r="W203" i="15"/>
  <c r="E138" i="15"/>
  <c r="X157" i="15"/>
  <c r="S169" i="15"/>
  <c r="P183" i="15"/>
  <c r="T206" i="15"/>
  <c r="E180" i="15"/>
  <c r="N75" i="15"/>
  <c r="T102" i="15"/>
  <c r="T130" i="15"/>
  <c r="T341" i="15"/>
  <c r="M421" i="15"/>
  <c r="Q343" i="15"/>
  <c r="K105" i="15"/>
  <c r="U67" i="15"/>
  <c r="AB164" i="15"/>
  <c r="AE159" i="15"/>
  <c r="R155" i="15"/>
  <c r="K177" i="15"/>
  <c r="W217" i="15"/>
  <c r="E276" i="15"/>
  <c r="AL156" i="15"/>
  <c r="AL160" i="15"/>
  <c r="AN178" i="15"/>
  <c r="DZ126" i="15"/>
  <c r="J192" i="15"/>
  <c r="D87" i="15"/>
  <c r="E105" i="15"/>
  <c r="K252" i="15"/>
  <c r="Z271" i="15"/>
  <c r="U251" i="15"/>
  <c r="H206" i="15"/>
  <c r="AB344" i="15"/>
  <c r="C277" i="15"/>
  <c r="G213" i="15"/>
  <c r="AJ141" i="15"/>
  <c r="AI163" i="15"/>
  <c r="T182" i="15"/>
  <c r="M197" i="15"/>
  <c r="X233" i="15"/>
  <c r="DZ147" i="15"/>
  <c r="G165" i="15"/>
  <c r="B103" i="15"/>
  <c r="E131" i="15"/>
  <c r="G211" i="15"/>
  <c r="F90" i="15"/>
  <c r="AM311" i="15"/>
  <c r="V300" i="15"/>
  <c r="I180" i="15"/>
  <c r="L133" i="15"/>
  <c r="AR211" i="15"/>
  <c r="AC200" i="15"/>
  <c r="AB180" i="15"/>
  <c r="Y211" i="15"/>
  <c r="A142" i="15"/>
  <c r="AM168" i="15"/>
  <c r="AI181" i="15"/>
  <c r="DV186" i="15"/>
  <c r="AM215" i="15"/>
  <c r="I194" i="15"/>
  <c r="S87" i="15"/>
  <c r="D114" i="15"/>
  <c r="B312" i="15"/>
  <c r="AA227" i="15"/>
  <c r="V252" i="15"/>
  <c r="U167" i="15"/>
  <c r="AC132" i="15"/>
  <c r="U234" i="15"/>
  <c r="G243" i="15"/>
  <c r="Y210" i="15"/>
  <c r="U145" i="15"/>
  <c r="AN171" i="15"/>
  <c r="F214" i="15"/>
  <c r="B311" i="15"/>
  <c r="Z159" i="15"/>
  <c r="H177" i="15"/>
  <c r="O203" i="15"/>
  <c r="K192" i="15"/>
  <c r="I189" i="15"/>
  <c r="D265" i="15"/>
  <c r="AB155" i="15"/>
  <c r="DX155" i="15"/>
  <c r="H89" i="15"/>
  <c r="R98" i="15"/>
  <c r="E125" i="15"/>
  <c r="P63" i="15"/>
  <c r="AM106" i="15"/>
  <c r="X177" i="15"/>
  <c r="F93" i="15"/>
  <c r="T125" i="15"/>
  <c r="A266" i="15"/>
  <c r="AK103" i="15"/>
  <c r="DW155" i="15"/>
  <c r="AL86" i="15"/>
  <c r="T32" i="15"/>
  <c r="AA81" i="15"/>
  <c r="U12" i="15"/>
  <c r="X58" i="15"/>
  <c r="Z250" i="15"/>
  <c r="DZ169" i="15"/>
  <c r="B175" i="15"/>
  <c r="P245" i="15"/>
  <c r="Y155" i="15"/>
  <c r="Y95" i="15"/>
  <c r="W110" i="15"/>
  <c r="D144" i="15"/>
  <c r="A82" i="15"/>
  <c r="F126" i="15"/>
  <c r="H69" i="15"/>
  <c r="H111" i="15"/>
  <c r="DW154" i="15"/>
  <c r="T86" i="15"/>
  <c r="AB121" i="15"/>
  <c r="J398" i="15"/>
  <c r="AB105" i="15"/>
  <c r="AL49" i="15"/>
  <c r="V202" i="15"/>
  <c r="W247" i="15"/>
  <c r="E71" i="15"/>
  <c r="V361" i="15"/>
  <c r="DZ175" i="15"/>
  <c r="X131" i="15"/>
  <c r="G81" i="15"/>
  <c r="Z97" i="15"/>
  <c r="AK129" i="15"/>
  <c r="AC72" i="15"/>
  <c r="AG114" i="15"/>
  <c r="S238" i="15"/>
  <c r="J102" i="15"/>
  <c r="A137" i="15"/>
  <c r="D77" i="15"/>
  <c r="W111" i="15"/>
  <c r="AL187" i="15"/>
  <c r="AE95" i="15"/>
  <c r="AR40" i="15"/>
  <c r="L115" i="15"/>
  <c r="J21" i="15"/>
  <c r="AN70" i="15"/>
  <c r="DX368" i="15"/>
  <c r="U241" i="15"/>
  <c r="AE188" i="15"/>
  <c r="T151" i="15"/>
  <c r="V168" i="15"/>
  <c r="O103" i="15"/>
  <c r="G115" i="15"/>
  <c r="G151" i="15"/>
  <c r="J85" i="15"/>
  <c r="A131" i="15"/>
  <c r="T73" i="15"/>
  <c r="AE114" i="15"/>
  <c r="AG168" i="15"/>
  <c r="T90" i="15"/>
  <c r="R126" i="15"/>
  <c r="V69" i="15"/>
  <c r="P109" i="15"/>
  <c r="J53" i="15"/>
  <c r="AM3" i="15"/>
  <c r="D36" i="15"/>
  <c r="H124" i="15"/>
  <c r="O352" i="15"/>
  <c r="B238" i="15"/>
  <c r="O188" i="15"/>
  <c r="G445" i="15"/>
  <c r="G168" i="15"/>
  <c r="A103" i="15"/>
  <c r="AI114" i="15"/>
  <c r="H150" i="15"/>
  <c r="AL84" i="15"/>
  <c r="P130" i="15"/>
  <c r="DW303" i="15"/>
  <c r="U402" i="15"/>
  <c r="P285" i="15"/>
  <c r="D282" i="15"/>
  <c r="AE422" i="15"/>
  <c r="AC326" i="15"/>
  <c r="AO294" i="15"/>
  <c r="L220" i="15"/>
  <c r="AR237" i="15"/>
  <c r="AC146" i="15"/>
  <c r="U229" i="15"/>
  <c r="H155" i="15"/>
  <c r="A209" i="15"/>
  <c r="D150" i="15"/>
  <c r="AK282" i="15"/>
  <c r="P291" i="15"/>
  <c r="AO341" i="15"/>
  <c r="A330" i="15"/>
  <c r="Y221" i="15"/>
  <c r="P218" i="15"/>
  <c r="W38" i="15"/>
  <c r="AE163" i="15"/>
  <c r="C157" i="15"/>
  <c r="W192" i="15"/>
  <c r="DW224" i="15"/>
  <c r="U200" i="15"/>
  <c r="S129" i="15"/>
  <c r="A436" i="15"/>
  <c r="L243" i="15"/>
  <c r="B180" i="15"/>
  <c r="D187" i="15"/>
  <c r="S148" i="15"/>
  <c r="G219" i="15"/>
  <c r="D200" i="15"/>
  <c r="E184" i="15"/>
  <c r="Y175" i="15"/>
  <c r="Y158" i="15"/>
  <c r="H76" i="15"/>
  <c r="X161" i="15"/>
  <c r="I277" i="15"/>
  <c r="Y219" i="15"/>
  <c r="R202" i="15"/>
  <c r="W160" i="15"/>
  <c r="C256" i="15"/>
  <c r="G261" i="15"/>
  <c r="Q220" i="15"/>
  <c r="C184" i="15"/>
  <c r="AD166" i="15"/>
  <c r="AB84" i="15"/>
  <c r="D345" i="15"/>
  <c r="AC226" i="15"/>
  <c r="S134" i="15"/>
  <c r="AH49" i="15"/>
  <c r="AD180" i="15"/>
  <c r="AF142" i="15"/>
  <c r="W138" i="15"/>
  <c r="AK157" i="15"/>
  <c r="AO169" i="15"/>
  <c r="AE183" i="15"/>
  <c r="P207" i="15"/>
  <c r="P181" i="15"/>
  <c r="AB75" i="15"/>
  <c r="AI323" i="15"/>
  <c r="DU269" i="15"/>
  <c r="AR257" i="15"/>
  <c r="AA159" i="15"/>
  <c r="DW82" i="15"/>
  <c r="M178" i="15"/>
  <c r="O173" i="15"/>
  <c r="AN172" i="15"/>
  <c r="P197" i="15"/>
  <c r="AA257" i="15"/>
  <c r="H153" i="15"/>
  <c r="I165" i="15"/>
  <c r="AO178" i="15"/>
  <c r="AO198" i="15"/>
  <c r="M141" i="15"/>
  <c r="Y70" i="15"/>
  <c r="I97" i="15"/>
  <c r="W124" i="15"/>
  <c r="AH309" i="15"/>
  <c r="V229" i="15"/>
  <c r="F290" i="15"/>
  <c r="O93" i="15"/>
  <c r="D60" i="15"/>
  <c r="AO157" i="15"/>
  <c r="V272" i="15"/>
  <c r="I151" i="15"/>
  <c r="M173" i="15"/>
  <c r="F205" i="15"/>
  <c r="G254" i="15"/>
  <c r="E278" i="15"/>
  <c r="I157" i="15"/>
  <c r="V174" i="15"/>
  <c r="U121" i="15"/>
  <c r="DZ173" i="15"/>
  <c r="AJ73" i="15"/>
  <c r="U100" i="15"/>
  <c r="I323" i="15"/>
  <c r="J254" i="15"/>
  <c r="K236" i="15"/>
  <c r="O161" i="15"/>
  <c r="B271" i="15"/>
  <c r="AR245" i="15"/>
  <c r="J201" i="15"/>
  <c r="Z312" i="15"/>
  <c r="U151" i="15"/>
  <c r="G178" i="15"/>
  <c r="T191" i="15"/>
  <c r="AN215" i="15"/>
  <c r="E335" i="15"/>
  <c r="Y152" i="15"/>
  <c r="AC97" i="15"/>
  <c r="H125" i="15"/>
  <c r="AC185" i="15"/>
  <c r="K85" i="15"/>
  <c r="B326" i="15"/>
  <c r="F270" i="15"/>
  <c r="DU167" i="15"/>
  <c r="P117" i="15"/>
  <c r="H198" i="15"/>
  <c r="AK177" i="15"/>
  <c r="C176" i="15"/>
  <c r="AB201" i="15"/>
  <c r="V136" i="15"/>
  <c r="X164" i="15"/>
  <c r="X168" i="15"/>
  <c r="DZ181" i="15"/>
  <c r="G204" i="15"/>
  <c r="U175" i="15"/>
  <c r="DU82" i="15"/>
  <c r="AN109" i="15"/>
  <c r="B280" i="15"/>
  <c r="X337" i="15"/>
  <c r="AO235" i="15"/>
  <c r="A156" i="15"/>
  <c r="AO116" i="15"/>
  <c r="AC210" i="15"/>
  <c r="R214" i="15"/>
  <c r="G200" i="15"/>
  <c r="C473" i="15"/>
  <c r="W167" i="15"/>
  <c r="AK202" i="15"/>
  <c r="AA248" i="15"/>
  <c r="AA155" i="15"/>
  <c r="I173" i="15"/>
  <c r="K197" i="15"/>
  <c r="B174" i="15"/>
  <c r="O141" i="15"/>
  <c r="D194" i="15"/>
  <c r="AN246" i="15"/>
  <c r="X172" i="15"/>
  <c r="G83" i="15"/>
  <c r="V92" i="15"/>
  <c r="T114" i="15"/>
  <c r="P246" i="15"/>
  <c r="AC102" i="15"/>
  <c r="B160" i="15"/>
  <c r="AN87" i="15"/>
  <c r="AR119" i="15"/>
  <c r="AN200" i="15"/>
  <c r="Y98" i="15"/>
  <c r="H145" i="15"/>
  <c r="V82" i="15"/>
  <c r="AL27" i="15"/>
  <c r="A68" i="15"/>
  <c r="O7" i="15"/>
  <c r="AJ53" i="15"/>
  <c r="Y232" i="15"/>
  <c r="R113" i="15"/>
  <c r="AM157" i="15"/>
  <c r="R195" i="15"/>
  <c r="AL170" i="15"/>
  <c r="AB88" i="15"/>
  <c r="I104" i="15"/>
  <c r="F137" i="15"/>
  <c r="H77" i="15"/>
  <c r="U120" i="15"/>
  <c r="H64" i="15"/>
  <c r="AK106" i="15"/>
  <c r="V144" i="15"/>
  <c r="K82" i="15"/>
  <c r="E116" i="15"/>
  <c r="L224" i="15"/>
  <c r="I101" i="15"/>
  <c r="Y45" i="15"/>
  <c r="AH141" i="15"/>
  <c r="W220" i="15"/>
  <c r="AH45" i="15"/>
  <c r="C222" i="15"/>
  <c r="AA158" i="15"/>
  <c r="AK114" i="15"/>
  <c r="M75" i="15"/>
  <c r="Y91" i="15"/>
  <c r="D124" i="15"/>
  <c r="T67" i="15"/>
  <c r="T110" i="15"/>
  <c r="K193" i="15"/>
  <c r="D97" i="15"/>
  <c r="J130" i="15"/>
  <c r="D73" i="15"/>
  <c r="G107" i="15"/>
  <c r="AK169" i="15"/>
  <c r="AN90" i="15"/>
  <c r="H36" i="15"/>
  <c r="P97" i="15"/>
  <c r="V16" i="15"/>
  <c r="F63" i="15"/>
  <c r="G176" i="15"/>
  <c r="H158" i="15"/>
  <c r="Z170" i="15"/>
  <c r="A228" i="15"/>
  <c r="AD151" i="15"/>
  <c r="AH94" i="15"/>
  <c r="AO108" i="15"/>
  <c r="A143" i="15"/>
  <c r="E81" i="15"/>
  <c r="D125" i="15"/>
  <c r="O68" i="15"/>
  <c r="S110" i="15"/>
  <c r="AO151" i="15"/>
  <c r="X85" i="15"/>
  <c r="AN120" i="15"/>
  <c r="G316" i="15"/>
  <c r="DX104" i="15"/>
  <c r="L49" i="15"/>
  <c r="AI187" i="15"/>
  <c r="D31" i="15"/>
  <c r="I105" i="15"/>
  <c r="A174" i="15"/>
  <c r="AC157" i="15"/>
  <c r="J170" i="15"/>
  <c r="I226" i="15"/>
  <c r="G372" i="15"/>
  <c r="T94" i="15"/>
  <c r="S108" i="15"/>
  <c r="Y142" i="15"/>
  <c r="AA80" i="15"/>
  <c r="U124" i="15"/>
  <c r="C203" i="15"/>
  <c r="K335" i="15"/>
  <c r="D412" i="15"/>
  <c r="T346" i="15"/>
  <c r="E224" i="15"/>
  <c r="X156" i="15"/>
  <c r="AC204" i="15"/>
  <c r="P345" i="15"/>
  <c r="R325" i="15"/>
  <c r="M269" i="15"/>
  <c r="AI214" i="15"/>
  <c r="R146" i="15"/>
  <c r="F321" i="15"/>
  <c r="AN141" i="15"/>
  <c r="AL229" i="15"/>
  <c r="AR268" i="15"/>
  <c r="H350" i="15"/>
  <c r="G289" i="15"/>
  <c r="D487" i="15"/>
  <c r="W209" i="15"/>
  <c r="C273" i="15"/>
  <c r="R240" i="15"/>
  <c r="AA70" i="15"/>
  <c r="W178" i="15"/>
  <c r="A195" i="15"/>
  <c r="B185" i="15"/>
  <c r="S113" i="15"/>
  <c r="K274" i="15"/>
  <c r="X227" i="15"/>
  <c r="Z166" i="15"/>
  <c r="F166" i="15"/>
  <c r="S204" i="15"/>
  <c r="B206" i="15"/>
  <c r="T194" i="15"/>
  <c r="AB179" i="15"/>
  <c r="DU170" i="15"/>
  <c r="AA154" i="15"/>
  <c r="AL199" i="15"/>
  <c r="P256" i="15"/>
  <c r="AF258" i="15"/>
  <c r="H193" i="15"/>
  <c r="G193" i="15"/>
  <c r="F155" i="15"/>
  <c r="AK235" i="15"/>
  <c r="V207" i="15"/>
  <c r="H188" i="15"/>
  <c r="AA179" i="15"/>
  <c r="Q162" i="15"/>
  <c r="P80" i="15"/>
  <c r="X313" i="15"/>
  <c r="T212" i="15"/>
  <c r="F96" i="15"/>
  <c r="AB247" i="15"/>
  <c r="AC173" i="15"/>
  <c r="AN330" i="15"/>
  <c r="AH348" i="15"/>
  <c r="Y153" i="15"/>
  <c r="AB165" i="15"/>
  <c r="H179" i="15"/>
  <c r="S199" i="15"/>
  <c r="AA163" i="15"/>
  <c r="D71" i="15"/>
  <c r="G295" i="15"/>
  <c r="B236" i="15"/>
  <c r="W241" i="15"/>
  <c r="B148" i="15"/>
  <c r="C75" i="15"/>
  <c r="B172" i="15"/>
  <c r="AL166" i="15"/>
  <c r="M168" i="15"/>
  <c r="V191" i="15"/>
  <c r="U237" i="15"/>
  <c r="V335" i="15"/>
  <c r="AN160" i="15"/>
  <c r="W174" i="15"/>
  <c r="O193" i="15"/>
  <c r="AA133" i="15"/>
  <c r="AN241" i="15"/>
  <c r="W92" i="15"/>
  <c r="G119" i="15"/>
  <c r="AK208" i="15"/>
  <c r="AC343" i="15"/>
  <c r="U268" i="15"/>
  <c r="AA261" i="15"/>
  <c r="V54" i="15"/>
  <c r="C152" i="15"/>
  <c r="L244" i="15"/>
  <c r="AA146" i="15"/>
  <c r="Z168" i="15"/>
  <c r="C198" i="15"/>
  <c r="Y233" i="15"/>
  <c r="AD255" i="15"/>
  <c r="AA152" i="15"/>
  <c r="AL169" i="15"/>
  <c r="DY115" i="15"/>
  <c r="D157" i="15"/>
  <c r="J328" i="15"/>
  <c r="W95" i="15"/>
  <c r="O227" i="15"/>
  <c r="I237" i="15"/>
  <c r="V222" i="15"/>
  <c r="AR148" i="15"/>
  <c r="A238" i="15"/>
  <c r="W216" i="15"/>
  <c r="U195" i="15"/>
  <c r="U270" i="15"/>
  <c r="DZ146" i="15"/>
  <c r="AO173" i="15"/>
  <c r="DW186" i="15"/>
  <c r="H204" i="15"/>
  <c r="D278" i="15"/>
  <c r="I248" i="15"/>
  <c r="DX92" i="15"/>
  <c r="Z119" i="15"/>
  <c r="AK167" i="15"/>
  <c r="F81" i="15"/>
  <c r="B260" i="15"/>
  <c r="D253" i="15"/>
  <c r="P156" i="15"/>
  <c r="H105" i="15"/>
  <c r="S190" i="15"/>
  <c r="T171" i="15"/>
  <c r="S171" i="15"/>
  <c r="B196" i="15"/>
  <c r="F325" i="15"/>
  <c r="G160" i="15"/>
  <c r="E164" i="15"/>
  <c r="Z177" i="15"/>
  <c r="Y197" i="15"/>
  <c r="J158" i="15"/>
  <c r="R78" i="15"/>
  <c r="B101" i="15"/>
  <c r="P188" i="15"/>
  <c r="AA271" i="15"/>
  <c r="AN220" i="15"/>
  <c r="AF143" i="15"/>
  <c r="DU104" i="15"/>
  <c r="AR197" i="15"/>
  <c r="H200" i="15"/>
  <c r="V194" i="15"/>
  <c r="AB301" i="15"/>
  <c r="B163" i="15"/>
  <c r="C191" i="15"/>
  <c r="P229" i="15"/>
  <c r="S151" i="15"/>
  <c r="W168" i="15"/>
  <c r="P191" i="15"/>
  <c r="E157" i="15"/>
  <c r="I367" i="15"/>
  <c r="P175" i="15"/>
  <c r="AN195" i="15"/>
  <c r="K137" i="15"/>
  <c r="AR75" i="15"/>
  <c r="S79" i="15"/>
  <c r="C110" i="15"/>
  <c r="AA195" i="15"/>
  <c r="W97" i="15"/>
  <c r="H147" i="15"/>
  <c r="T83" i="15"/>
  <c r="AD114" i="15"/>
  <c r="AG180" i="15"/>
  <c r="AJ93" i="15"/>
  <c r="F138" i="15"/>
  <c r="AF77" i="15"/>
  <c r="D23" i="15"/>
  <c r="Q61" i="15"/>
  <c r="T4" i="15"/>
  <c r="S49" i="15"/>
  <c r="C248" i="15"/>
  <c r="U71" i="15"/>
  <c r="AR384" i="15"/>
  <c r="N176" i="15"/>
  <c r="X136" i="15"/>
  <c r="X81" i="15"/>
  <c r="AR97" i="15"/>
  <c r="S130" i="15"/>
  <c r="H73" i="15"/>
  <c r="E115" i="15"/>
  <c r="DZ244" i="15"/>
  <c r="AB102" i="15"/>
  <c r="U137" i="15"/>
  <c r="V77" i="15"/>
  <c r="AL111" i="15"/>
  <c r="K189" i="15"/>
  <c r="C96" i="15"/>
  <c r="P41" i="15"/>
  <c r="A117" i="15"/>
  <c r="C218" i="15"/>
  <c r="AA228" i="15"/>
  <c r="AD188" i="15"/>
  <c r="T266" i="15"/>
  <c r="C102" i="15"/>
  <c r="B268" i="15"/>
  <c r="I84" i="15"/>
  <c r="Y118" i="15"/>
  <c r="T62" i="15"/>
  <c r="DX105" i="15"/>
  <c r="AI174" i="15"/>
  <c r="S92" i="15"/>
  <c r="R124" i="15"/>
  <c r="AN251" i="15"/>
  <c r="G103" i="15"/>
  <c r="C153" i="15"/>
  <c r="AR85" i="15"/>
  <c r="Y31" i="15"/>
  <c r="T78" i="15"/>
  <c r="AC11" i="15"/>
  <c r="Y57" i="15"/>
  <c r="T278" i="15"/>
  <c r="P102" i="15"/>
  <c r="F154" i="15"/>
  <c r="M190" i="15"/>
  <c r="W155" i="15"/>
  <c r="DX87" i="15"/>
  <c r="AC103" i="15"/>
  <c r="AL135" i="15"/>
  <c r="V76" i="15"/>
  <c r="W119" i="15"/>
  <c r="K63" i="15"/>
  <c r="DW105" i="15"/>
  <c r="S143" i="15"/>
  <c r="R81" i="15"/>
  <c r="O115" i="15"/>
  <c r="Z213" i="15"/>
  <c r="J100" i="15"/>
  <c r="AJ44" i="15"/>
  <c r="AB136" i="15"/>
  <c r="G26" i="15"/>
  <c r="AL85" i="15"/>
  <c r="P275" i="15"/>
  <c r="U101" i="15"/>
  <c r="AA153" i="15"/>
  <c r="AO189" i="15"/>
  <c r="L154" i="15"/>
  <c r="AE87" i="15"/>
  <c r="N103" i="15"/>
  <c r="K135" i="15"/>
  <c r="D76" i="15"/>
  <c r="D119" i="15"/>
  <c r="AC268" i="15"/>
  <c r="H313" i="15"/>
  <c r="AN322" i="15"/>
  <c r="V317" i="15"/>
  <c r="Q337" i="15"/>
  <c r="AC86" i="15"/>
  <c r="W234" i="15"/>
  <c r="R286" i="15"/>
  <c r="H357" i="15"/>
  <c r="U155" i="15"/>
  <c r="N244" i="15"/>
  <c r="T89" i="15"/>
  <c r="J221" i="15"/>
  <c r="AC418" i="15"/>
  <c r="K227" i="15"/>
  <c r="I210" i="15"/>
  <c r="D335" i="15"/>
  <c r="P438" i="15"/>
  <c r="E242" i="15"/>
  <c r="T164" i="15"/>
  <c r="P173" i="15"/>
  <c r="D244" i="15"/>
  <c r="G51" i="15"/>
  <c r="V169" i="15"/>
  <c r="E185" i="15"/>
  <c r="DX175" i="15"/>
  <c r="AO104" i="15"/>
  <c r="W279" i="15"/>
  <c r="E274" i="15"/>
  <c r="I154" i="15"/>
  <c r="K160" i="15"/>
  <c r="AL197" i="15"/>
  <c r="W198" i="15"/>
  <c r="A189" i="15"/>
  <c r="R166" i="15"/>
  <c r="O154" i="15"/>
  <c r="AR288" i="15"/>
  <c r="C180" i="15"/>
  <c r="F423" i="15"/>
  <c r="S242" i="15"/>
  <c r="C179" i="15"/>
  <c r="B173" i="15"/>
  <c r="D222" i="15"/>
  <c r="X217" i="15"/>
  <c r="V199" i="15"/>
  <c r="AF183" i="15"/>
  <c r="J175" i="15"/>
  <c r="L158" i="15"/>
  <c r="J255" i="15"/>
  <c r="X269" i="15"/>
  <c r="W319" i="15"/>
  <c r="J279" i="15"/>
  <c r="DX217" i="15"/>
  <c r="K167" i="15"/>
  <c r="V276" i="15"/>
  <c r="I239" i="15"/>
  <c r="AK341" i="15"/>
  <c r="F161" i="15"/>
  <c r="AK174" i="15"/>
  <c r="AL193" i="15"/>
  <c r="K134" i="15"/>
  <c r="G248" i="15"/>
  <c r="AN341" i="15"/>
  <c r="F432" i="15"/>
  <c r="S225" i="15"/>
  <c r="AG107" i="15"/>
  <c r="AO67" i="15"/>
  <c r="A165" i="15"/>
  <c r="DW159" i="15"/>
  <c r="AJ163" i="15"/>
  <c r="AC177" i="15"/>
  <c r="F219" i="15"/>
  <c r="G278" i="15"/>
  <c r="J157" i="15"/>
  <c r="AN169" i="15"/>
  <c r="G179" i="15"/>
  <c r="S127" i="15"/>
  <c r="H194" i="15"/>
  <c r="R87" i="15"/>
  <c r="C114" i="15"/>
  <c r="AN265" i="15"/>
  <c r="J277" i="15"/>
  <c r="U252" i="15"/>
  <c r="C208" i="15"/>
  <c r="D48" i="15"/>
  <c r="H279" i="15"/>
  <c r="P214" i="15"/>
  <c r="B142" i="15"/>
  <c r="G164" i="15"/>
  <c r="U192" i="15"/>
  <c r="AA197" i="15"/>
  <c r="P235" i="15"/>
  <c r="M148" i="15"/>
  <c r="Y165" i="15"/>
  <c r="AF111" i="15"/>
  <c r="W131" i="15"/>
  <c r="AB215" i="15"/>
  <c r="X90" i="15"/>
  <c r="V313" i="15"/>
  <c r="G222" i="15"/>
  <c r="W180" i="15"/>
  <c r="Z133" i="15"/>
  <c r="I213" i="15"/>
  <c r="K201" i="15"/>
  <c r="B190" i="15"/>
  <c r="A213" i="15"/>
  <c r="R142" i="15"/>
  <c r="F169" i="15"/>
  <c r="A182" i="15"/>
  <c r="Z197" i="15"/>
  <c r="J217" i="15"/>
  <c r="I196" i="15"/>
  <c r="AG87" i="15"/>
  <c r="V114" i="15"/>
  <c r="N151" i="15"/>
  <c r="S312" i="15"/>
  <c r="F228" i="15"/>
  <c r="O236" i="15"/>
  <c r="C144" i="15"/>
  <c r="J92" i="15"/>
  <c r="X169" i="15"/>
  <c r="AA164" i="15"/>
  <c r="J167" i="15"/>
  <c r="O190" i="15"/>
  <c r="T274" i="15"/>
  <c r="AC317" i="15"/>
  <c r="AO159" i="15"/>
  <c r="W173" i="15"/>
  <c r="AN191" i="15"/>
  <c r="J146" i="15"/>
  <c r="AF222" i="15"/>
  <c r="AM95" i="15"/>
  <c r="B276" i="15"/>
  <c r="G246" i="15"/>
  <c r="Z205" i="15"/>
  <c r="V128" i="15"/>
  <c r="AC91" i="15"/>
  <c r="D190" i="15"/>
  <c r="G191" i="15"/>
  <c r="C189" i="15"/>
  <c r="A267" i="15"/>
  <c r="C155" i="15"/>
  <c r="W186" i="15"/>
  <c r="AC212" i="15"/>
  <c r="AB317" i="15"/>
  <c r="D164" i="15"/>
  <c r="DU186" i="15"/>
  <c r="AL278" i="15"/>
  <c r="AC170" i="15"/>
  <c r="D158" i="15"/>
  <c r="AB176" i="15"/>
  <c r="I119" i="15"/>
  <c r="R199" i="15"/>
  <c r="L75" i="15"/>
  <c r="AG105" i="15"/>
  <c r="V176" i="15"/>
  <c r="AO92" i="15"/>
  <c r="R140" i="15"/>
  <c r="AN78" i="15"/>
  <c r="P110" i="15"/>
  <c r="AR162" i="15"/>
  <c r="U88" i="15"/>
  <c r="J131" i="15"/>
  <c r="AB73" i="15"/>
  <c r="J18" i="15"/>
  <c r="D56" i="15"/>
  <c r="F2152" i="6"/>
  <c r="AC44" i="15"/>
  <c r="DX220" i="15"/>
  <c r="E46" i="15"/>
  <c r="U223" i="15"/>
  <c r="DZ158" i="15"/>
  <c r="AC118" i="15"/>
  <c r="Z75" i="15"/>
  <c r="G92" i="15"/>
  <c r="V124" i="15"/>
  <c r="AR67" i="15"/>
  <c r="AK110" i="15"/>
  <c r="K195" i="15"/>
  <c r="V97" i="15"/>
  <c r="AC130" i="15"/>
  <c r="Q73" i="15"/>
  <c r="Y107" i="15"/>
  <c r="G171" i="15"/>
  <c r="R91" i="15"/>
  <c r="X36" i="15"/>
  <c r="AJ98" i="15"/>
  <c r="O231" i="15"/>
  <c r="L181" i="15"/>
  <c r="W170" i="15"/>
  <c r="D201" i="15"/>
  <c r="E87" i="15"/>
  <c r="AC195" i="15"/>
  <c r="AC78" i="15"/>
  <c r="AB113" i="15"/>
  <c r="F233" i="15"/>
  <c r="AL101" i="15"/>
  <c r="AG157" i="15"/>
  <c r="M87" i="15"/>
  <c r="B119" i="15"/>
  <c r="G197" i="15"/>
  <c r="AH97" i="15"/>
  <c r="AM143" i="15"/>
  <c r="AC81" i="15"/>
  <c r="G27" i="15"/>
  <c r="AF66" i="15"/>
  <c r="Z6" i="15"/>
  <c r="C53" i="15"/>
  <c r="AN217" i="15"/>
  <c r="V64" i="15"/>
  <c r="J296" i="15"/>
  <c r="K172" i="15"/>
  <c r="F131" i="15"/>
  <c r="AC80" i="15"/>
  <c r="G97" i="15"/>
  <c r="O129" i="15"/>
  <c r="K72" i="15"/>
  <c r="R114" i="15"/>
  <c r="Z231" i="15"/>
  <c r="AK101" i="15"/>
  <c r="P136" i="15"/>
  <c r="AE76" i="15"/>
  <c r="E111" i="15"/>
  <c r="S186" i="15"/>
  <c r="P95" i="15"/>
  <c r="S40" i="15"/>
  <c r="AI113" i="15"/>
  <c r="AL20" i="15"/>
  <c r="AN69" i="15"/>
  <c r="S217" i="15"/>
  <c r="F64" i="15"/>
  <c r="E291" i="15"/>
  <c r="AK171" i="15"/>
  <c r="V130" i="15"/>
  <c r="O80" i="15"/>
  <c r="AB96" i="15"/>
  <c r="AA128" i="15"/>
  <c r="AL71" i="15"/>
  <c r="AR113" i="15"/>
  <c r="AK225" i="15"/>
  <c r="O101" i="15"/>
  <c r="AA135" i="15"/>
  <c r="R76" i="15"/>
  <c r="AG110" i="15"/>
  <c r="AO184" i="15"/>
  <c r="AN94" i="15"/>
  <c r="B40" i="15"/>
  <c r="U112" i="15"/>
  <c r="R20" i="15"/>
  <c r="G69" i="15"/>
  <c r="F217" i="15"/>
  <c r="AB63" i="15"/>
  <c r="B287" i="15"/>
  <c r="K171" i="15"/>
  <c r="D130" i="15"/>
  <c r="X290" i="15"/>
  <c r="AN258" i="15"/>
  <c r="K317" i="15"/>
  <c r="D354" i="15"/>
  <c r="S309" i="15"/>
  <c r="AK200" i="15"/>
  <c r="Q155" i="15"/>
  <c r="R269" i="15"/>
  <c r="Y269" i="15"/>
  <c r="A90" i="15"/>
  <c r="K233" i="15"/>
  <c r="S81" i="15"/>
  <c r="J363" i="15"/>
  <c r="Z244" i="15"/>
  <c r="F401" i="15"/>
  <c r="AC199" i="15"/>
  <c r="T263" i="15"/>
  <c r="H311" i="15"/>
  <c r="N230" i="15"/>
  <c r="G157" i="15"/>
  <c r="J164" i="15"/>
  <c r="AB293" i="15"/>
  <c r="M39" i="15"/>
  <c r="DV160" i="15"/>
  <c r="A176" i="15"/>
  <c r="D167" i="15"/>
  <c r="G95" i="15"/>
  <c r="AC243" i="15"/>
  <c r="R257" i="15"/>
  <c r="AK140" i="15"/>
  <c r="AC153" i="15"/>
  <c r="W182" i="15"/>
  <c r="DX178" i="15"/>
  <c r="X184" i="15"/>
  <c r="E162" i="15"/>
  <c r="AK149" i="15"/>
  <c r="J208" i="15"/>
  <c r="M162" i="15"/>
  <c r="O209" i="15"/>
  <c r="G303" i="15"/>
  <c r="AI165" i="15"/>
  <c r="AG165" i="15"/>
  <c r="AA203" i="15"/>
  <c r="G205" i="15"/>
  <c r="B194" i="15"/>
  <c r="G170" i="15"/>
  <c r="DZ157" i="15"/>
  <c r="N154" i="15"/>
  <c r="DV197" i="15"/>
  <c r="S205" i="15"/>
  <c r="Y276" i="15"/>
  <c r="DY217" i="15"/>
  <c r="DY185" i="15"/>
  <c r="AC283" i="15"/>
  <c r="X254" i="15"/>
  <c r="AB220" i="15"/>
  <c r="V280" i="15"/>
  <c r="W157" i="15"/>
  <c r="F170" i="15"/>
  <c r="X188" i="15"/>
  <c r="A128" i="15"/>
  <c r="H196" i="15"/>
  <c r="AM310" i="15"/>
  <c r="V279" i="15"/>
  <c r="F211" i="15"/>
  <c r="AJ95" i="15"/>
  <c r="V61" i="15"/>
  <c r="F159" i="15"/>
  <c r="T154" i="15"/>
  <c r="AD159" i="15"/>
  <c r="AA173" i="15"/>
  <c r="AK205" i="15"/>
  <c r="AE255" i="15"/>
  <c r="AB152" i="15"/>
  <c r="Z165" i="15"/>
  <c r="AJ174" i="15"/>
  <c r="DU121" i="15"/>
  <c r="T175" i="15"/>
  <c r="AR82" i="15"/>
  <c r="AK109" i="15"/>
  <c r="E436" i="15"/>
  <c r="B255" i="15"/>
  <c r="G237" i="15"/>
  <c r="AH188" i="15"/>
  <c r="F43" i="15"/>
  <c r="V249" i="15"/>
  <c r="AK201" i="15"/>
  <c r="J319" i="15"/>
  <c r="DU159" i="15"/>
  <c r="AB187" i="15"/>
  <c r="A192" i="15"/>
  <c r="K217" i="15"/>
  <c r="R341" i="15"/>
  <c r="D161" i="15"/>
  <c r="S107" i="15"/>
  <c r="Z125" i="15"/>
  <c r="H187" i="15"/>
  <c r="AB85" i="15"/>
  <c r="AF256" i="15"/>
  <c r="K380" i="15"/>
  <c r="H168" i="15"/>
  <c r="AK117" i="15"/>
  <c r="Z198" i="15"/>
  <c r="F192" i="15"/>
  <c r="U185" i="15"/>
  <c r="K202" i="15"/>
  <c r="E137" i="15"/>
  <c r="AL164" i="15"/>
  <c r="AA177" i="15"/>
  <c r="AO191" i="15"/>
  <c r="AN204" i="15"/>
  <c r="AK176" i="15"/>
  <c r="H83" i="15"/>
  <c r="F110" i="15"/>
  <c r="B143" i="15"/>
  <c r="E311" i="15"/>
  <c r="AM338" i="15"/>
  <c r="H221" i="15"/>
  <c r="D129" i="15"/>
  <c r="E79" i="15"/>
  <c r="X163" i="15"/>
  <c r="AN158" i="15"/>
  <c r="AK162" i="15"/>
  <c r="DV185" i="15"/>
  <c r="AL252" i="15"/>
  <c r="B272" i="15"/>
  <c r="DZ155" i="15"/>
  <c r="AK168" i="15"/>
  <c r="I187" i="15"/>
  <c r="O139" i="15"/>
  <c r="AI188" i="15"/>
  <c r="G91" i="15"/>
  <c r="A211" i="15"/>
  <c r="C224" i="15"/>
  <c r="K337" i="15"/>
  <c r="AM114" i="15"/>
  <c r="AG78" i="15"/>
  <c r="Z182" i="15"/>
  <c r="AB184" i="15"/>
  <c r="AA184" i="15"/>
  <c r="Y226" i="15"/>
  <c r="AC150" i="15"/>
  <c r="AJ181" i="15"/>
  <c r="I202" i="15"/>
  <c r="A272" i="15"/>
  <c r="AL159" i="15"/>
  <c r="DY181" i="15"/>
  <c r="AR252" i="15"/>
  <c r="B114" i="15"/>
  <c r="AL411" i="15"/>
  <c r="M159" i="15"/>
  <c r="I91" i="15"/>
  <c r="H175" i="15"/>
  <c r="W70" i="15"/>
  <c r="R101" i="15"/>
  <c r="H159" i="15"/>
  <c r="AB87" i="15"/>
  <c r="E133" i="15"/>
  <c r="AC74" i="15"/>
  <c r="DV105" i="15"/>
  <c r="P148" i="15"/>
  <c r="C84" i="15"/>
  <c r="P125" i="15"/>
  <c r="X68" i="15"/>
  <c r="E14" i="15"/>
  <c r="AG51" i="15"/>
  <c r="L2079" i="6"/>
  <c r="DU39" i="15"/>
  <c r="AO218" i="15"/>
  <c r="DU229" i="15"/>
  <c r="B189" i="15"/>
  <c r="S268" i="15"/>
  <c r="G105" i="15"/>
  <c r="W275" i="15"/>
  <c r="Z84" i="15"/>
  <c r="F119" i="15"/>
  <c r="AO62" i="15"/>
  <c r="P106" i="15"/>
  <c r="J176" i="15"/>
  <c r="AN92" i="15"/>
  <c r="A125" i="15"/>
  <c r="AB258" i="15"/>
  <c r="W103" i="15"/>
  <c r="Z154" i="15"/>
  <c r="R86" i="15"/>
  <c r="D32" i="15"/>
  <c r="B80" i="15"/>
  <c r="F264" i="15"/>
  <c r="T155" i="15"/>
  <c r="E154" i="15"/>
  <c r="AL180" i="15"/>
  <c r="AK73" i="15"/>
  <c r="G172" i="15"/>
  <c r="S74" i="15"/>
  <c r="V109" i="15"/>
  <c r="AB191" i="15"/>
  <c r="Z96" i="15"/>
  <c r="A146" i="15"/>
  <c r="AL82" i="15"/>
  <c r="AM113" i="15"/>
  <c r="U177" i="15"/>
  <c r="D93" i="15"/>
  <c r="AK136" i="15"/>
  <c r="B77" i="15"/>
  <c r="J22" i="15"/>
  <c r="W60" i="15"/>
  <c r="DO3" i="15"/>
  <c r="Y48" i="15"/>
  <c r="F313" i="15"/>
  <c r="D40" i="15"/>
  <c r="Z209" i="15"/>
  <c r="N155" i="15"/>
  <c r="W114" i="15"/>
  <c r="AR74" i="15"/>
  <c r="X89" i="15"/>
  <c r="W123" i="15"/>
  <c r="C67" i="15"/>
  <c r="A110" i="15"/>
  <c r="O191" i="15"/>
  <c r="Y96" i="15"/>
  <c r="Z129" i="15"/>
  <c r="Y72" i="15"/>
  <c r="AA106" i="15"/>
  <c r="T168" i="15"/>
  <c r="P90" i="15"/>
  <c r="DV35" i="15"/>
  <c r="AB95" i="15"/>
  <c r="I16" i="15"/>
  <c r="Y62" i="15"/>
  <c r="T311" i="15"/>
  <c r="AL39" i="15"/>
  <c r="AB208" i="15"/>
  <c r="A155" i="15"/>
  <c r="E114" i="15"/>
  <c r="T74" i="15"/>
  <c r="G89" i="15"/>
  <c r="E123" i="15"/>
  <c r="AE66" i="15"/>
  <c r="AI109" i="15"/>
  <c r="AK189" i="15"/>
  <c r="G96" i="15"/>
  <c r="H129" i="15"/>
  <c r="H72" i="15"/>
  <c r="I106" i="15"/>
  <c r="B167" i="15"/>
  <c r="AK89" i="15"/>
  <c r="X35" i="15"/>
  <c r="E94" i="15"/>
  <c r="AK15" i="15"/>
  <c r="E62" i="15"/>
  <c r="D310" i="15"/>
  <c r="Z39" i="15"/>
  <c r="AC207" i="15"/>
  <c r="G284" i="15"/>
  <c r="X173" i="15"/>
  <c r="J303" i="15"/>
  <c r="O342" i="15"/>
  <c r="AH254" i="15"/>
  <c r="E288" i="15"/>
  <c r="H91" i="15"/>
  <c r="Z293" i="15"/>
  <c r="AC250" i="15"/>
  <c r="R379" i="15"/>
  <c r="T282" i="15"/>
  <c r="Y377" i="15"/>
  <c r="AC233" i="15"/>
  <c r="AR158" i="15"/>
  <c r="D208" i="15"/>
  <c r="Z149" i="15"/>
  <c r="Z331" i="15"/>
  <c r="G256" i="15"/>
  <c r="G266" i="15"/>
  <c r="L112" i="15"/>
  <c r="D308" i="15"/>
  <c r="B231" i="15"/>
  <c r="DX180" i="15"/>
  <c r="D349" i="15"/>
  <c r="AK154" i="15"/>
  <c r="R440" i="15"/>
  <c r="S72" i="15"/>
  <c r="AN213" i="15"/>
  <c r="AG214" i="15"/>
  <c r="H84" i="15"/>
  <c r="AN147" i="15"/>
  <c r="I178" i="15"/>
  <c r="Z174" i="15"/>
  <c r="K180" i="15"/>
  <c r="A158" i="15"/>
  <c r="T264" i="15"/>
  <c r="AB142" i="15"/>
  <c r="C148" i="15"/>
  <c r="B279" i="15"/>
  <c r="E273" i="15"/>
  <c r="P153" i="15"/>
  <c r="AF159" i="15"/>
  <c r="A187" i="15"/>
  <c r="B183" i="15"/>
  <c r="AB188" i="15"/>
  <c r="AR165" i="15"/>
  <c r="B154" i="15"/>
  <c r="V277" i="15"/>
  <c r="O178" i="15"/>
  <c r="K266" i="15"/>
  <c r="W211" i="15"/>
  <c r="AA192" i="15"/>
  <c r="AA178" i="15"/>
  <c r="O247" i="15"/>
  <c r="C234" i="15"/>
  <c r="Y206" i="15"/>
  <c r="O257" i="15"/>
  <c r="G153" i="15"/>
  <c r="AO165" i="15"/>
  <c r="I175" i="15"/>
  <c r="J122" i="15"/>
  <c r="AJ176" i="15"/>
  <c r="I209" i="15"/>
  <c r="X253" i="15"/>
  <c r="E272" i="15"/>
  <c r="E277" i="15"/>
  <c r="AH54" i="15"/>
  <c r="T152" i="15"/>
  <c r="E475" i="15"/>
  <c r="A147" i="15"/>
  <c r="AN168" i="15"/>
  <c r="V198" i="15"/>
  <c r="R235" i="15"/>
  <c r="AC341" i="15"/>
  <c r="F153" i="15"/>
  <c r="E170" i="15"/>
  <c r="P116" i="15"/>
  <c r="I158" i="15"/>
  <c r="P78" i="15"/>
  <c r="AL95" i="15"/>
  <c r="B240" i="15"/>
  <c r="W238" i="15"/>
  <c r="F223" i="15"/>
  <c r="S175" i="15"/>
  <c r="AB239" i="15"/>
  <c r="DV217" i="15"/>
  <c r="C196" i="15"/>
  <c r="T272" i="15"/>
  <c r="C156" i="15"/>
  <c r="G174" i="15"/>
  <c r="M187" i="15"/>
  <c r="AO204" i="15"/>
  <c r="T280" i="15"/>
  <c r="U157" i="15"/>
  <c r="P93" i="15"/>
  <c r="G120" i="15"/>
  <c r="A169" i="15"/>
  <c r="W81" i="15"/>
  <c r="AO224" i="15"/>
  <c r="V253" i="15"/>
  <c r="AC156" i="15"/>
  <c r="V105" i="15"/>
  <c r="AR190" i="15"/>
  <c r="V185" i="15"/>
  <c r="AO171" i="15"/>
  <c r="T196" i="15"/>
  <c r="AC330" i="15"/>
  <c r="T160" i="15"/>
  <c r="Y173" i="15"/>
  <c r="E178" i="15"/>
  <c r="DY197" i="15"/>
  <c r="V159" i="15"/>
  <c r="AE78" i="15"/>
  <c r="AK105" i="15"/>
  <c r="Y123" i="15"/>
  <c r="S280" i="15"/>
  <c r="H272" i="15"/>
  <c r="F206" i="15"/>
  <c r="I115" i="15"/>
  <c r="J59" i="15"/>
  <c r="O157" i="15"/>
  <c r="B152" i="15"/>
  <c r="AK158" i="15"/>
  <c r="I181" i="15"/>
  <c r="V203" i="15"/>
  <c r="U250" i="15"/>
  <c r="AF151" i="15"/>
  <c r="V164" i="15"/>
  <c r="P182" i="15"/>
  <c r="Z120" i="15"/>
  <c r="AK170" i="15"/>
  <c r="H86" i="15"/>
  <c r="V248" i="15"/>
  <c r="AK322" i="15"/>
  <c r="F286" i="15"/>
  <c r="J104" i="15"/>
  <c r="AB72" i="15"/>
  <c r="T176" i="15"/>
  <c r="P177" i="15"/>
  <c r="AK175" i="15"/>
  <c r="X210" i="15"/>
  <c r="L146" i="15"/>
  <c r="J177" i="15"/>
  <c r="R196" i="15"/>
  <c r="T250" i="15"/>
  <c r="DY155" i="15"/>
  <c r="Y177" i="15"/>
  <c r="I235" i="15"/>
  <c r="O72" i="15"/>
  <c r="DX224" i="15"/>
  <c r="G202" i="15"/>
  <c r="K77" i="15"/>
  <c r="J150" i="15"/>
  <c r="U227" i="15"/>
  <c r="I96" i="15"/>
  <c r="Y146" i="15"/>
  <c r="D83" i="15"/>
  <c r="DU126" i="15"/>
  <c r="Y231" i="15"/>
  <c r="AC101" i="15"/>
  <c r="T141" i="15"/>
  <c r="AA79" i="15"/>
  <c r="AN119" i="15"/>
  <c r="X63" i="15"/>
  <c r="W9" i="15"/>
  <c r="A47" i="15"/>
  <c r="L2007" i="6"/>
  <c r="D35" i="15"/>
  <c r="AC231" i="15"/>
  <c r="Z181" i="15"/>
  <c r="DZ170" i="15"/>
  <c r="Y201" i="15"/>
  <c r="Z90" i="15"/>
  <c r="X197" i="15"/>
  <c r="B79" i="15"/>
  <c r="A114" i="15"/>
  <c r="F240" i="15"/>
  <c r="K102" i="15"/>
  <c r="DW158" i="15"/>
  <c r="AA87" i="15"/>
  <c r="T119" i="15"/>
  <c r="AB198" i="15"/>
  <c r="G98" i="15"/>
  <c r="T144" i="15"/>
  <c r="H82" i="15"/>
  <c r="S27" i="15"/>
  <c r="I67" i="15"/>
  <c r="J200" i="15"/>
  <c r="T265" i="15"/>
  <c r="K467" i="15"/>
  <c r="DX162" i="15"/>
  <c r="U187" i="15"/>
  <c r="AB148" i="15"/>
  <c r="I328" i="15"/>
  <c r="D105" i="15"/>
  <c r="AG173" i="15"/>
  <c r="E92" i="15"/>
  <c r="C139" i="15"/>
  <c r="I78" i="15"/>
  <c r="AG109" i="15"/>
  <c r="DZ159" i="15"/>
  <c r="AL87" i="15"/>
  <c r="H130" i="15"/>
  <c r="B73" i="15"/>
  <c r="Z17" i="15"/>
  <c r="O55" i="15"/>
  <c r="L2139" i="6"/>
  <c r="DW43" i="15"/>
  <c r="AB304" i="15"/>
  <c r="AO206" i="15"/>
  <c r="F185" i="15"/>
  <c r="Z248" i="15"/>
  <c r="V101" i="15"/>
  <c r="J260" i="15"/>
  <c r="AJ83" i="15"/>
  <c r="G118" i="15"/>
  <c r="C62" i="15"/>
  <c r="AF105" i="15"/>
  <c r="U173" i="15"/>
  <c r="C92" i="15"/>
  <c r="AR123" i="15"/>
  <c r="DX244" i="15"/>
  <c r="Z102" i="15"/>
  <c r="AC151" i="15"/>
  <c r="U85" i="15"/>
  <c r="I31" i="15"/>
  <c r="AR76" i="15"/>
  <c r="O11" i="15"/>
  <c r="G57" i="15"/>
  <c r="T303" i="15"/>
  <c r="G206" i="15"/>
  <c r="Y184" i="15"/>
  <c r="AL246" i="15"/>
  <c r="C101" i="15"/>
  <c r="AH253" i="15"/>
  <c r="W83" i="15"/>
  <c r="Z117" i="15"/>
  <c r="AC352" i="15"/>
  <c r="R105" i="15"/>
  <c r="Y171" i="15"/>
  <c r="U91" i="15"/>
  <c r="T123" i="15"/>
  <c r="P238" i="15"/>
  <c r="H102" i="15"/>
  <c r="AB150" i="15"/>
  <c r="D85" i="15"/>
  <c r="AL30" i="15"/>
  <c r="AD75" i="15"/>
  <c r="AN10" i="15"/>
  <c r="AI56" i="15"/>
  <c r="B302" i="15"/>
  <c r="O205" i="15"/>
  <c r="G184" i="15"/>
  <c r="O245" i="15"/>
  <c r="W100" i="15"/>
  <c r="Z241" i="15"/>
  <c r="AL234" i="15"/>
  <c r="U375" i="15"/>
  <c r="Y297" i="15"/>
  <c r="U215" i="15"/>
  <c r="G154" i="15"/>
  <c r="DY159" i="15"/>
  <c r="O204" i="15"/>
  <c r="DW221" i="15"/>
  <c r="AR291" i="15"/>
  <c r="AK269" i="15"/>
  <c r="AA368" i="15"/>
  <c r="AN218" i="15"/>
  <c r="C146" i="15"/>
  <c r="Z319" i="15"/>
  <c r="AB141" i="15"/>
  <c r="C262" i="15"/>
  <c r="AA213" i="15"/>
  <c r="AB254" i="15"/>
  <c r="DY104" i="15"/>
  <c r="Z228" i="15"/>
  <c r="AL283" i="15"/>
  <c r="X160" i="15"/>
  <c r="K239" i="15"/>
  <c r="AB262" i="15"/>
  <c r="K245" i="15"/>
  <c r="N181" i="15"/>
  <c r="R292" i="15"/>
  <c r="O199" i="15"/>
  <c r="E76" i="15"/>
  <c r="K140" i="15"/>
  <c r="DU173" i="15"/>
  <c r="H161" i="15"/>
  <c r="T162" i="15"/>
  <c r="C154" i="15"/>
  <c r="DV243" i="15"/>
  <c r="S135" i="15"/>
  <c r="J141" i="15"/>
  <c r="O243" i="15"/>
  <c r="F227" i="15"/>
  <c r="AK96" i="15"/>
  <c r="O153" i="15"/>
  <c r="D182" i="15"/>
  <c r="V178" i="15"/>
  <c r="F184" i="15"/>
  <c r="W161" i="15"/>
  <c r="AR289" i="15"/>
  <c r="Y149" i="15"/>
  <c r="Z160" i="15"/>
  <c r="F232" i="15"/>
  <c r="S372" i="15"/>
  <c r="AB178" i="15"/>
  <c r="T172" i="15"/>
  <c r="C197" i="15"/>
  <c r="D192" i="15"/>
  <c r="C199" i="15"/>
  <c r="F237" i="15"/>
  <c r="S347" i="15"/>
  <c r="V161" i="15"/>
  <c r="S170" i="15"/>
  <c r="AL116" i="15"/>
  <c r="U159" i="15"/>
  <c r="P317" i="15"/>
  <c r="AI229" i="15"/>
  <c r="AF255" i="15"/>
  <c r="Y216" i="15"/>
  <c r="V49" i="15"/>
  <c r="O146" i="15"/>
  <c r="G281" i="15"/>
  <c r="S142" i="15"/>
  <c r="Y164" i="15"/>
  <c r="B193" i="15"/>
  <c r="L217" i="15"/>
  <c r="U280" i="15"/>
  <c r="AA148" i="15"/>
  <c r="AN165" i="15"/>
  <c r="D112" i="15"/>
  <c r="H146" i="15"/>
  <c r="C74" i="15"/>
  <c r="F91" i="15"/>
  <c r="AR340" i="15"/>
  <c r="AK222" i="15"/>
  <c r="DV209" i="15"/>
  <c r="L162" i="15"/>
  <c r="K215" i="15"/>
  <c r="P202" i="15"/>
  <c r="P190" i="15"/>
  <c r="AR250" i="15"/>
  <c r="AI151" i="15"/>
  <c r="T169" i="15"/>
  <c r="S182" i="15"/>
  <c r="DZ197" i="15"/>
  <c r="I257" i="15"/>
  <c r="E153" i="15"/>
  <c r="DY87" i="15"/>
  <c r="AJ114" i="15"/>
  <c r="G152" i="15"/>
  <c r="DZ368" i="15"/>
  <c r="P327" i="15"/>
  <c r="AC236" i="15"/>
  <c r="S144" i="15"/>
  <c r="X92" i="15"/>
  <c r="X183" i="15"/>
  <c r="J178" i="15"/>
  <c r="X167" i="15"/>
  <c r="AC190" i="15"/>
  <c r="U276" i="15"/>
  <c r="AN156" i="15"/>
  <c r="AL168" i="15"/>
  <c r="AL173" i="15"/>
  <c r="P192" i="15"/>
  <c r="DU146" i="15"/>
  <c r="U74" i="15"/>
  <c r="T101" i="15"/>
  <c r="H118" i="15"/>
  <c r="AC188" i="15"/>
  <c r="X246" i="15"/>
  <c r="S338" i="15"/>
  <c r="W104" i="15"/>
  <c r="W53" i="15"/>
  <c r="L151" i="15"/>
  <c r="E349" i="15"/>
  <c r="AM154" i="15"/>
  <c r="AD176" i="15"/>
  <c r="N197" i="15"/>
  <c r="X230" i="15"/>
  <c r="AK323" i="15"/>
  <c r="E160" i="15"/>
  <c r="D178" i="15"/>
  <c r="J115" i="15"/>
  <c r="K154" i="15"/>
  <c r="C82" i="15"/>
  <c r="AN311" i="15"/>
  <c r="Y270" i="15"/>
  <c r="V266" i="15"/>
  <c r="D92" i="15"/>
  <c r="F66" i="15"/>
  <c r="J169" i="15"/>
  <c r="I164" i="15"/>
  <c r="A171" i="15"/>
  <c r="I201" i="15"/>
  <c r="AI141" i="15"/>
  <c r="K173" i="15"/>
  <c r="AA190" i="15"/>
  <c r="W230" i="15"/>
  <c r="AE151" i="15"/>
  <c r="V173" i="15"/>
  <c r="AR248" i="15"/>
  <c r="AG46" i="15"/>
  <c r="R171" i="15"/>
  <c r="T181" i="15"/>
  <c r="I208" i="15"/>
  <c r="I141" i="15"/>
  <c r="I190" i="15"/>
  <c r="W91" i="15"/>
  <c r="AA139" i="15"/>
  <c r="AA78" i="15"/>
  <c r="O121" i="15"/>
  <c r="K191" i="15"/>
  <c r="X96" i="15"/>
  <c r="A134" i="15"/>
  <c r="T75" i="15"/>
  <c r="AB114" i="15"/>
  <c r="AA58" i="15"/>
  <c r="DC4" i="15"/>
  <c r="Z42" i="15"/>
  <c r="O169" i="15"/>
  <c r="AB29" i="15"/>
  <c r="Y264" i="15"/>
  <c r="AO155" i="15"/>
  <c r="R154" i="15"/>
  <c r="E181" i="15"/>
  <c r="AL76" i="15"/>
  <c r="AI173" i="15"/>
  <c r="AN74" i="15"/>
  <c r="AJ109" i="15"/>
  <c r="AA193" i="15"/>
  <c r="E97" i="15"/>
  <c r="X146" i="15"/>
  <c r="C83" i="15"/>
  <c r="O114" i="15"/>
  <c r="D179" i="15"/>
  <c r="V93" i="15"/>
  <c r="S137" i="15"/>
  <c r="S77" i="15"/>
  <c r="Z22" i="15"/>
  <c r="C61" i="15"/>
  <c r="AE245" i="15"/>
  <c r="W189" i="15"/>
  <c r="X226" i="15"/>
  <c r="I146" i="15"/>
  <c r="AC143" i="15"/>
  <c r="AL139" i="15"/>
  <c r="AA215" i="15"/>
  <c r="T100" i="15"/>
  <c r="Y156" i="15"/>
  <c r="A87" i="15"/>
  <c r="C132" i="15"/>
  <c r="A346" i="15"/>
  <c r="O105" i="15"/>
  <c r="F147" i="15"/>
  <c r="R83" i="15"/>
  <c r="O124" i="15"/>
  <c r="AB67" i="15"/>
  <c r="K13" i="15"/>
  <c r="C51" i="15"/>
  <c r="L2067" i="6"/>
  <c r="K39" i="15"/>
  <c r="B218" i="15"/>
  <c r="D175" i="15"/>
  <c r="I167" i="15"/>
  <c r="O196" i="15"/>
  <c r="Z86" i="15"/>
  <c r="AC193" i="15"/>
  <c r="O78" i="15"/>
  <c r="J113" i="15"/>
  <c r="T227" i="15"/>
  <c r="P101" i="15"/>
  <c r="J156" i="15"/>
  <c r="AR86" i="15"/>
  <c r="U118" i="15"/>
  <c r="I195" i="15"/>
  <c r="T97" i="15"/>
  <c r="P143" i="15"/>
  <c r="O81" i="15"/>
  <c r="AC26" i="15"/>
  <c r="G66" i="15"/>
  <c r="M6" i="15"/>
  <c r="AD52" i="15"/>
  <c r="P217" i="15"/>
  <c r="AE174" i="15"/>
  <c r="AH166" i="15"/>
  <c r="AL195" i="15"/>
  <c r="I86" i="15"/>
  <c r="AL191" i="15"/>
  <c r="AN77" i="15"/>
  <c r="DV112" i="15"/>
  <c r="P221" i="15"/>
  <c r="AO100" i="15"/>
  <c r="DX154" i="15"/>
  <c r="U86" i="15"/>
  <c r="C118" i="15"/>
  <c r="I193" i="15"/>
  <c r="B97" i="15"/>
  <c r="AK142" i="15"/>
  <c r="AO80" i="15"/>
  <c r="P26" i="15"/>
  <c r="W65" i="15"/>
  <c r="AL5" i="15"/>
  <c r="O52" i="15"/>
  <c r="C217" i="15"/>
  <c r="O174" i="15"/>
  <c r="T166" i="15"/>
  <c r="P195" i="15"/>
  <c r="AK85" i="15"/>
  <c r="J190" i="15"/>
  <c r="Z77" i="15"/>
  <c r="AD112" i="15"/>
  <c r="Z215" i="15"/>
  <c r="S100" i="15"/>
  <c r="U153" i="15"/>
  <c r="D86" i="15"/>
  <c r="W117" i="15"/>
  <c r="J191" i="15"/>
  <c r="W96" i="15"/>
  <c r="K142" i="15"/>
  <c r="U80" i="15"/>
  <c r="AR25" i="15"/>
  <c r="A65" i="15"/>
  <c r="DO4" i="15"/>
  <c r="DX51" i="15"/>
  <c r="AB343" i="15"/>
  <c r="DV168" i="15"/>
  <c r="AI162" i="15"/>
  <c r="Z190" i="15"/>
  <c r="AD82" i="15"/>
  <c r="A184" i="15"/>
  <c r="I77" i="15"/>
  <c r="O112" i="15"/>
  <c r="C211" i="15"/>
  <c r="AR99" i="15"/>
  <c r="AR151" i="15"/>
  <c r="Y85" i="15"/>
  <c r="E117" i="15"/>
  <c r="Z189" i="15"/>
  <c r="D96" i="15"/>
  <c r="AR141" i="15"/>
  <c r="D80" i="15"/>
  <c r="V25" i="15"/>
  <c r="P64" i="15"/>
  <c r="DA4" i="15"/>
  <c r="AE51" i="15"/>
  <c r="U340" i="15"/>
  <c r="O168" i="15"/>
  <c r="U162" i="15"/>
  <c r="L190" i="15"/>
  <c r="Q82" i="15"/>
  <c r="O182" i="15"/>
  <c r="AJ76" i="15"/>
  <c r="A112" i="15"/>
  <c r="D207" i="15"/>
  <c r="T99" i="15"/>
  <c r="C151" i="15"/>
  <c r="H85" i="15"/>
  <c r="Y116" i="15"/>
  <c r="B188" i="15"/>
  <c r="AF95" i="15"/>
  <c r="S141" i="15"/>
  <c r="Z79" i="15"/>
  <c r="F25" i="15"/>
  <c r="AL63" i="15"/>
  <c r="CM4" i="15"/>
  <c r="P51" i="15"/>
  <c r="R206" i="15"/>
  <c r="E78" i="15"/>
  <c r="I249" i="15"/>
  <c r="G342" i="15"/>
  <c r="E223" i="15"/>
  <c r="K205" i="15"/>
  <c r="AL117" i="15"/>
  <c r="AJ177" i="15"/>
  <c r="R147" i="15"/>
  <c r="O187" i="15"/>
  <c r="S112" i="15"/>
  <c r="R43" i="15"/>
  <c r="D205" i="15"/>
  <c r="W188" i="15"/>
  <c r="G199" i="15"/>
  <c r="F178" i="15"/>
  <c r="AB143" i="15"/>
  <c r="DZ176" i="15"/>
  <c r="R156" i="15"/>
  <c r="K113" i="15"/>
  <c r="AK143" i="15"/>
  <c r="C274" i="15"/>
  <c r="U224" i="15"/>
  <c r="R158" i="15"/>
  <c r="C214" i="15"/>
  <c r="AD163" i="15"/>
  <c r="P74" i="15"/>
  <c r="K110" i="15"/>
  <c r="AA200" i="15"/>
  <c r="U353" i="15"/>
  <c r="DY109" i="15"/>
  <c r="AK55" i="15"/>
  <c r="D131" i="15"/>
  <c r="C220" i="15"/>
  <c r="AC8" i="15"/>
  <c r="O150" i="15"/>
  <c r="H190" i="15"/>
  <c r="AL92" i="15"/>
  <c r="G48" i="15"/>
  <c r="AH164" i="15"/>
  <c r="AN67" i="15"/>
  <c r="B151" i="15"/>
  <c r="P120" i="15"/>
  <c r="AF104" i="15"/>
  <c r="AC181" i="15"/>
  <c r="DY103" i="15"/>
  <c r="P157" i="15"/>
  <c r="I405" i="15"/>
  <c r="AN72" i="15"/>
  <c r="AN146" i="15"/>
  <c r="B204" i="15"/>
  <c r="R94" i="15"/>
  <c r="S136" i="15"/>
  <c r="AA72" i="15"/>
  <c r="AH109" i="15"/>
  <c r="P142" i="15"/>
  <c r="A76" i="15"/>
  <c r="DU105" i="15"/>
  <c r="AL149" i="15"/>
  <c r="DY75" i="15"/>
  <c r="AC16" i="15"/>
  <c r="AI49" i="15"/>
  <c r="AR241" i="15"/>
  <c r="AB27" i="15"/>
  <c r="AB199" i="15"/>
  <c r="U166" i="15"/>
  <c r="AN185" i="15"/>
  <c r="AA125" i="15"/>
  <c r="R72" i="15"/>
  <c r="AO82" i="15"/>
  <c r="B108" i="15"/>
  <c r="AB167" i="15"/>
  <c r="I85" i="15"/>
  <c r="A124" i="15"/>
  <c r="DW181" i="15"/>
  <c r="B89" i="15"/>
  <c r="S119" i="15"/>
  <c r="Y202" i="15"/>
  <c r="G94" i="15"/>
  <c r="AR34" i="15"/>
  <c r="N73" i="15"/>
  <c r="BK3" i="15"/>
  <c r="X42" i="15"/>
  <c r="DZ217" i="15"/>
  <c r="AL150" i="15"/>
  <c r="T163" i="15"/>
  <c r="AC163" i="15"/>
  <c r="K93" i="15"/>
  <c r="AO101" i="15"/>
  <c r="K127" i="15"/>
  <c r="V65" i="15"/>
  <c r="V104" i="15"/>
  <c r="AN142" i="15"/>
  <c r="S76" i="15"/>
  <c r="AM103" i="15"/>
  <c r="AL136" i="15"/>
  <c r="C73" i="15"/>
  <c r="AL107" i="15"/>
  <c r="AC47" i="15"/>
  <c r="D128" i="15"/>
  <c r="E19" i="15"/>
  <c r="B61" i="15"/>
  <c r="F2145" i="6"/>
  <c r="AB44" i="15"/>
  <c r="AB192" i="15"/>
  <c r="V183" i="15"/>
  <c r="E99" i="15"/>
  <c r="V83" i="15"/>
  <c r="AR112" i="15"/>
  <c r="AO123" i="15"/>
  <c r="AC51" i="15"/>
  <c r="L2031" i="6"/>
  <c r="F2043" i="6"/>
  <c r="O32" i="15"/>
  <c r="S85" i="15"/>
  <c r="U13" i="15"/>
  <c r="U58" i="15"/>
  <c r="BF3" i="15"/>
  <c r="AD45" i="15"/>
  <c r="X150" i="15"/>
  <c r="I28" i="15"/>
  <c r="I76" i="15"/>
  <c r="D11" i="15"/>
  <c r="O58" i="15"/>
  <c r="BB3" i="15"/>
  <c r="DV51" i="15"/>
  <c r="G124" i="15"/>
  <c r="V126" i="15"/>
  <c r="K203" i="15"/>
  <c r="AB74" i="15"/>
  <c r="C93" i="15"/>
  <c r="AO23" i="15"/>
  <c r="A5" i="15"/>
  <c r="AE47" i="15"/>
  <c r="AB162" i="15"/>
  <c r="DY27" i="15"/>
  <c r="P88" i="15"/>
  <c r="O14" i="15"/>
  <c r="R59" i="15"/>
  <c r="CG3" i="15"/>
  <c r="I43" i="15"/>
  <c r="M133" i="15"/>
  <c r="S25" i="15"/>
  <c r="AJ87" i="15"/>
  <c r="H14" i="15"/>
  <c r="L1529" i="6"/>
  <c r="P158" i="15"/>
  <c r="C178" i="15"/>
  <c r="I199" i="15"/>
  <c r="E84" i="15"/>
  <c r="AA94" i="15"/>
  <c r="AN23" i="15"/>
  <c r="AN76" i="15"/>
  <c r="H136" i="15"/>
  <c r="O20" i="15"/>
  <c r="AB61" i="15"/>
  <c r="AD4" i="15"/>
  <c r="V48" i="15"/>
  <c r="L2023" i="6"/>
  <c r="M35" i="15"/>
  <c r="Y101" i="15"/>
  <c r="P17" i="15"/>
  <c r="AL58" i="15"/>
  <c r="BQ3" i="15"/>
  <c r="O48" i="15"/>
  <c r="L2027" i="6"/>
  <c r="P203" i="15"/>
  <c r="AK246" i="15"/>
  <c r="AC191" i="15"/>
  <c r="U83" i="15"/>
  <c r="I102" i="15"/>
  <c r="O120" i="15"/>
  <c r="S47" i="15"/>
  <c r="H17" i="15"/>
  <c r="AH56" i="15"/>
  <c r="L2084" i="6"/>
  <c r="J37" i="15"/>
  <c r="AB123" i="15"/>
  <c r="K23" i="15"/>
  <c r="AR72" i="15"/>
  <c r="AC9" i="15"/>
  <c r="Y51" i="15"/>
  <c r="L2076" i="6"/>
  <c r="AL34" i="15"/>
  <c r="AN122" i="15"/>
  <c r="G23" i="15"/>
  <c r="L1661" i="6"/>
  <c r="AE165" i="15"/>
  <c r="DW92" i="15"/>
  <c r="A79" i="15"/>
  <c r="AK108" i="15"/>
  <c r="T118" i="15"/>
  <c r="O47" i="15"/>
  <c r="P263" i="15"/>
  <c r="F209" i="15"/>
  <c r="AL232" i="15"/>
  <c r="R303" i="15"/>
  <c r="C200" i="15"/>
  <c r="W196" i="15"/>
  <c r="DY112" i="15"/>
  <c r="AB173" i="15"/>
  <c r="T121" i="15"/>
  <c r="AR173" i="15"/>
  <c r="F108" i="15"/>
  <c r="O37" i="15"/>
  <c r="B198" i="15"/>
  <c r="R170" i="15"/>
  <c r="Z191" i="15"/>
  <c r="AN173" i="15"/>
  <c r="U136" i="15"/>
  <c r="DY169" i="15"/>
  <c r="DW151" i="15"/>
  <c r="H109" i="15"/>
  <c r="Y416" i="15"/>
  <c r="R252" i="15"/>
  <c r="B309" i="15"/>
  <c r="AK151" i="15"/>
  <c r="AB202" i="15"/>
  <c r="DW146" i="15"/>
  <c r="Y69" i="15"/>
  <c r="AR105" i="15"/>
  <c r="C246" i="15"/>
  <c r="R221" i="15"/>
  <c r="AD105" i="15"/>
  <c r="R51" i="15"/>
  <c r="G122" i="15"/>
  <c r="C188" i="15"/>
  <c r="CD4" i="15"/>
  <c r="K312" i="15"/>
  <c r="D172" i="15"/>
  <c r="Y87" i="15"/>
  <c r="AC43" i="15"/>
  <c r="M147" i="15"/>
  <c r="AO428" i="15"/>
  <c r="AM142" i="15"/>
  <c r="A115" i="15"/>
  <c r="AK99" i="15"/>
  <c r="P134" i="15"/>
  <c r="O84" i="15"/>
  <c r="D101" i="15"/>
  <c r="Z224" i="15"/>
  <c r="AB182" i="15"/>
  <c r="AC137" i="15"/>
  <c r="K182" i="15"/>
  <c r="F89" i="15"/>
  <c r="AC129" i="15"/>
  <c r="S67" i="15"/>
  <c r="P105" i="15"/>
  <c r="G135" i="15"/>
  <c r="AB71" i="15"/>
  <c r="AB101" i="15"/>
  <c r="D135" i="15"/>
  <c r="Z71" i="15"/>
  <c r="O12" i="15"/>
  <c r="C45" i="15"/>
  <c r="K146" i="15"/>
  <c r="AA328" i="15"/>
  <c r="G145" i="15"/>
  <c r="U149" i="15"/>
  <c r="DV167" i="15"/>
  <c r="Y110" i="15"/>
  <c r="H240" i="15"/>
  <c r="I73" i="15"/>
  <c r="AR103" i="15"/>
  <c r="D151" i="15"/>
  <c r="D81" i="15"/>
  <c r="W118" i="15"/>
  <c r="R164" i="15"/>
  <c r="U84" i="15"/>
  <c r="J114" i="15"/>
  <c r="AF181" i="15"/>
  <c r="AR88" i="15"/>
  <c r="C30" i="15"/>
  <c r="Y58" i="15"/>
  <c r="L2115" i="6"/>
  <c r="P37" i="15"/>
  <c r="C164" i="15"/>
  <c r="AK207" i="15"/>
  <c r="F300" i="15"/>
  <c r="AG222" i="15"/>
  <c r="AO84" i="15"/>
  <c r="S94" i="15"/>
  <c r="AN121" i="15"/>
  <c r="E285" i="15"/>
  <c r="AE94" i="15"/>
  <c r="AB135" i="15"/>
  <c r="B266" i="15"/>
  <c r="AA98" i="15"/>
  <c r="I130" i="15"/>
  <c r="AC67" i="15"/>
  <c r="AJ103" i="15"/>
  <c r="Z43" i="15"/>
  <c r="H108" i="15"/>
  <c r="T14" i="15"/>
  <c r="AC55" i="15"/>
  <c r="F2073" i="6"/>
  <c r="AR39" i="15"/>
  <c r="Z138" i="15"/>
  <c r="H261" i="15"/>
  <c r="AD78" i="15"/>
  <c r="E70" i="15"/>
  <c r="S99" i="15"/>
  <c r="R109" i="15"/>
  <c r="AC38" i="15"/>
  <c r="O134" i="15"/>
  <c r="Y213" i="15"/>
  <c r="A27" i="15"/>
  <c r="AK69" i="15"/>
  <c r="V8" i="15"/>
  <c r="AF53" i="15"/>
  <c r="L2107" i="6"/>
  <c r="D41" i="15"/>
  <c r="K123" i="15"/>
  <c r="I23" i="15"/>
  <c r="AC65" i="15"/>
  <c r="E6" i="15"/>
  <c r="AB53" i="15"/>
  <c r="L2111" i="6"/>
  <c r="AC161" i="15"/>
  <c r="Y81" i="15"/>
  <c r="J111" i="15"/>
  <c r="I149" i="15"/>
  <c r="K185" i="15"/>
  <c r="AJ78" i="15"/>
  <c r="G13" i="15"/>
  <c r="BW3" i="15"/>
  <c r="DY42" i="15"/>
  <c r="AC125" i="15"/>
  <c r="AO22" i="15"/>
  <c r="Y71" i="15"/>
  <c r="P9" i="15"/>
  <c r="W54" i="15"/>
  <c r="F2125" i="6"/>
  <c r="F38" i="15"/>
  <c r="AG111" i="15"/>
  <c r="F20" i="15"/>
  <c r="K71" i="15"/>
  <c r="I9" i="15"/>
  <c r="L1464" i="6"/>
  <c r="AO195" i="15"/>
  <c r="I133" i="15"/>
  <c r="DX147" i="15"/>
  <c r="DY244" i="15"/>
  <c r="V80" i="15"/>
  <c r="R10" i="15"/>
  <c r="D59" i="15"/>
  <c r="G112" i="15"/>
  <c r="J15" i="15"/>
  <c r="S56" i="15"/>
  <c r="C1" i="15"/>
  <c r="AO43" i="15"/>
  <c r="E173" i="15"/>
  <c r="B30" i="15"/>
  <c r="S82" i="15"/>
  <c r="AB12" i="15"/>
  <c r="B54" i="15"/>
  <c r="F2118" i="6"/>
  <c r="AI43" i="15"/>
  <c r="L1955" i="6"/>
  <c r="G183" i="15"/>
  <c r="K159" i="15"/>
  <c r="R145" i="15"/>
  <c r="D70" i="15"/>
  <c r="L87" i="15"/>
  <c r="H106" i="15"/>
  <c r="I34" i="15"/>
  <c r="AL10" i="15"/>
  <c r="DW51" i="15"/>
  <c r="L2006" i="6"/>
  <c r="K32" i="15"/>
  <c r="AR104" i="15"/>
  <c r="D18" i="15"/>
  <c r="E64" i="15"/>
  <c r="CV4" i="15"/>
  <c r="AI46" i="15"/>
  <c r="AC166" i="15"/>
  <c r="U29" i="15"/>
  <c r="O104" i="15"/>
  <c r="DZ17" i="15"/>
  <c r="L1589" i="6"/>
  <c r="W199" i="15"/>
  <c r="T71" i="15"/>
  <c r="E65" i="15"/>
  <c r="AD94" i="15"/>
  <c r="DZ104" i="15"/>
  <c r="F34" i="15"/>
  <c r="DU231" i="15"/>
  <c r="AL220" i="15"/>
  <c r="D89" i="15"/>
  <c r="H199" i="15"/>
  <c r="H210" i="15"/>
  <c r="H169" i="15"/>
  <c r="O116" i="15"/>
  <c r="O165" i="15"/>
  <c r="D375" i="15"/>
  <c r="U193" i="15"/>
  <c r="AO146" i="15"/>
  <c r="AA138" i="15"/>
  <c r="AB218" i="15"/>
  <c r="G86" i="15"/>
  <c r="X192" i="15"/>
  <c r="R192" i="15"/>
  <c r="AN345" i="15"/>
  <c r="E159" i="15"/>
  <c r="C169" i="15"/>
  <c r="T276" i="15"/>
  <c r="AN268" i="15"/>
  <c r="O156" i="15"/>
  <c r="W253" i="15"/>
  <c r="AJ166" i="15"/>
  <c r="K147" i="15"/>
  <c r="K150" i="15"/>
  <c r="AO115" i="15"/>
  <c r="O54" i="15"/>
  <c r="R267" i="15"/>
  <c r="S105" i="15"/>
  <c r="R161" i="15"/>
  <c r="G188" i="15"/>
  <c r="G187" i="15"/>
  <c r="AL100" i="15"/>
  <c r="I46" i="15"/>
  <c r="AO176" i="15"/>
  <c r="H96" i="15"/>
  <c r="J136" i="15"/>
  <c r="S247" i="15"/>
  <c r="AI73" i="15"/>
  <c r="Y144" i="15"/>
  <c r="G113" i="15"/>
  <c r="O92" i="15"/>
  <c r="O76" i="15"/>
  <c r="X59" i="15"/>
  <c r="AG47" i="15"/>
  <c r="T148" i="15"/>
  <c r="S189" i="15"/>
  <c r="C142" i="15"/>
  <c r="AL127" i="15"/>
  <c r="AF164" i="15"/>
  <c r="Y84" i="15"/>
  <c r="B124" i="15"/>
  <c r="B346" i="15"/>
  <c r="AN100" i="15"/>
  <c r="X128" i="15"/>
  <c r="X231" i="15"/>
  <c r="A92" i="15"/>
  <c r="U128" i="15"/>
  <c r="Z66" i="15"/>
  <c r="W7" i="15"/>
  <c r="J40" i="15"/>
  <c r="AA120" i="15"/>
  <c r="Y260" i="15"/>
  <c r="I88" i="15"/>
  <c r="C265" i="15"/>
  <c r="F151" i="15"/>
  <c r="AL96" i="15"/>
  <c r="A162" i="15"/>
  <c r="A268" i="15"/>
  <c r="AE98" i="15"/>
  <c r="AR142" i="15"/>
  <c r="T76" i="15"/>
  <c r="Z113" i="15"/>
  <c r="H149" i="15"/>
  <c r="F80" i="15"/>
  <c r="DX109" i="15"/>
  <c r="AR163" i="15"/>
  <c r="S84" i="15"/>
  <c r="Z20" i="15"/>
  <c r="AK53" i="15"/>
  <c r="L2043" i="6"/>
  <c r="P32" i="15"/>
  <c r="AR111" i="15"/>
  <c r="AJ183" i="15"/>
  <c r="O210" i="15"/>
  <c r="AR144" i="15"/>
  <c r="C79" i="15"/>
  <c r="DV87" i="15"/>
  <c r="J116" i="15"/>
  <c r="AO183" i="15"/>
  <c r="V89" i="15"/>
  <c r="I129" i="15"/>
  <c r="AO200" i="15"/>
  <c r="AK93" i="15"/>
  <c r="P124" i="15"/>
  <c r="D264" i="15"/>
  <c r="X98" i="15"/>
  <c r="H39" i="15"/>
  <c r="AL88" i="15"/>
  <c r="U9" i="15"/>
  <c r="Z46" i="15"/>
  <c r="F2001" i="6"/>
  <c r="C35" i="15"/>
  <c r="AN114" i="15"/>
  <c r="G162" i="15"/>
  <c r="C181" i="15"/>
  <c r="A204" i="15"/>
  <c r="AI84" i="15"/>
  <c r="R95" i="15"/>
  <c r="AA24" i="15"/>
  <c r="AK88" i="15"/>
  <c r="R141" i="15"/>
  <c r="H21" i="15"/>
  <c r="W62" i="15"/>
  <c r="BH4" i="15"/>
  <c r="P49" i="15"/>
  <c r="L2035" i="6"/>
  <c r="DY35" i="15"/>
  <c r="AC104" i="15"/>
  <c r="B18" i="15"/>
  <c r="AK59" i="15"/>
  <c r="CS3" i="15"/>
  <c r="K49" i="15"/>
  <c r="L2039" i="6"/>
  <c r="W169" i="15"/>
  <c r="AB134" i="15"/>
  <c r="X97" i="15"/>
  <c r="J128" i="15"/>
  <c r="AL142" i="15"/>
  <c r="AO64" i="15"/>
  <c r="G4" i="15"/>
  <c r="F2115" i="6"/>
  <c r="K37" i="15"/>
  <c r="DV104" i="15"/>
  <c r="AN17" i="15"/>
  <c r="W63" i="15"/>
  <c r="CI4" i="15"/>
  <c r="DW49" i="15"/>
  <c r="AJ256" i="15"/>
  <c r="E33" i="15"/>
  <c r="R93" i="15"/>
  <c r="V15" i="15"/>
  <c r="S63" i="15"/>
  <c r="CE4" i="15"/>
  <c r="L467" i="15"/>
  <c r="U266" i="15"/>
  <c r="AC111" i="15"/>
  <c r="J127" i="15"/>
  <c r="DV158" i="15"/>
  <c r="AA66" i="15"/>
  <c r="S271" i="15"/>
  <c r="H46" i="15"/>
  <c r="M92" i="15"/>
  <c r="S9" i="15"/>
  <c r="DU51" i="15"/>
  <c r="F2084" i="6"/>
  <c r="G39" i="15"/>
  <c r="I131" i="15"/>
  <c r="D25" i="15"/>
  <c r="I68" i="15"/>
  <c r="V7" i="15"/>
  <c r="AA49" i="15"/>
  <c r="F2046" i="6"/>
  <c r="C39" i="15"/>
  <c r="L1883" i="6"/>
  <c r="T51" i="15"/>
  <c r="AA119" i="15"/>
  <c r="X125" i="15"/>
  <c r="AK198" i="15"/>
  <c r="DX73" i="15"/>
  <c r="N92" i="15"/>
  <c r="B23" i="15"/>
  <c r="CZ4" i="15"/>
  <c r="AN46" i="15"/>
  <c r="AA151" i="15"/>
  <c r="M27" i="15"/>
  <c r="R85" i="15"/>
  <c r="T13" i="15"/>
  <c r="S58" i="15"/>
  <c r="BE3" i="15"/>
  <c r="R42" i="15"/>
  <c r="A129" i="15"/>
  <c r="V24" i="15"/>
  <c r="AE84" i="15"/>
  <c r="O13" i="15"/>
  <c r="L1517" i="6"/>
  <c r="C145" i="15"/>
  <c r="J159" i="15"/>
  <c r="J182" i="15"/>
  <c r="X80" i="15"/>
  <c r="S90" i="15"/>
  <c r="AN19" i="15"/>
  <c r="O250" i="15"/>
  <c r="E155" i="15"/>
  <c r="C81" i="15"/>
  <c r="T188" i="15"/>
  <c r="O195" i="15"/>
  <c r="AN164" i="15"/>
  <c r="C112" i="15"/>
  <c r="DU160" i="15"/>
  <c r="J270" i="15"/>
  <c r="I188" i="15"/>
  <c r="A140" i="15"/>
  <c r="DV291" i="15"/>
  <c r="AB205" i="15"/>
  <c r="B82" i="15"/>
  <c r="L186" i="15"/>
  <c r="Z187" i="15"/>
  <c r="DU317" i="15"/>
  <c r="S152" i="15"/>
  <c r="AJ164" i="15"/>
  <c r="R211" i="15"/>
  <c r="O239" i="15"/>
  <c r="DV151" i="15"/>
  <c r="P236" i="15"/>
  <c r="V162" i="15"/>
  <c r="AA323" i="15"/>
  <c r="AK128" i="15"/>
  <c r="Z111" i="15"/>
  <c r="E50" i="15"/>
  <c r="C190" i="15"/>
  <c r="AR100" i="15"/>
  <c r="AA147" i="15"/>
  <c r="E140" i="15"/>
  <c r="DZ168" i="15"/>
  <c r="AG95" i="15"/>
  <c r="AB41" i="15"/>
  <c r="Y159" i="15"/>
  <c r="V91" i="15"/>
  <c r="X129" i="15"/>
  <c r="AB320" i="15"/>
  <c r="H285" i="15"/>
  <c r="W137" i="15"/>
  <c r="D109" i="15"/>
  <c r="K87" i="15"/>
  <c r="F72" i="15"/>
  <c r="AB54" i="15"/>
  <c r="O43" i="15"/>
  <c r="AA232" i="15"/>
  <c r="AC154" i="15"/>
  <c r="AA122" i="15"/>
  <c r="D121" i="15"/>
  <c r="O149" i="15"/>
  <c r="I80" i="15"/>
  <c r="X118" i="15"/>
  <c r="D220" i="15"/>
  <c r="AH95" i="15"/>
  <c r="A123" i="15"/>
  <c r="R173" i="15"/>
  <c r="AN86" i="15"/>
  <c r="AO122" i="15"/>
  <c r="Y61" i="15"/>
  <c r="AN4" i="15"/>
  <c r="R35" i="15"/>
  <c r="V102" i="15"/>
  <c r="D213" i="15"/>
  <c r="T58" i="15"/>
  <c r="Y200" i="15"/>
  <c r="O229" i="15"/>
  <c r="P333" i="15"/>
  <c r="G146" i="15"/>
  <c r="T201" i="15"/>
  <c r="AR93" i="15"/>
  <c r="AK135" i="15"/>
  <c r="J72" i="15"/>
  <c r="T109" i="15"/>
  <c r="DV141" i="15"/>
  <c r="AH75" i="15"/>
  <c r="AC105" i="15"/>
  <c r="A149" i="15"/>
  <c r="AF75" i="15"/>
  <c r="Q16" i="15"/>
  <c r="T49" i="15"/>
  <c r="DY216" i="15"/>
  <c r="O27" i="15"/>
  <c r="AA198" i="15"/>
  <c r="C166" i="15"/>
  <c r="R185" i="15"/>
  <c r="I125" i="15"/>
  <c r="AR71" i="15"/>
  <c r="AB82" i="15"/>
  <c r="AD107" i="15"/>
  <c r="H166" i="15"/>
  <c r="AK84" i="15"/>
  <c r="U123" i="15"/>
  <c r="AH180" i="15"/>
  <c r="V88" i="15"/>
  <c r="A119" i="15"/>
  <c r="S200" i="15"/>
  <c r="AI93" i="15"/>
  <c r="V34" i="15"/>
  <c r="E72" i="15"/>
  <c r="AW3" i="15"/>
  <c r="I42" i="15"/>
  <c r="S168" i="15"/>
  <c r="AA29" i="15"/>
  <c r="AN96" i="15"/>
  <c r="H201" i="15"/>
  <c r="H134" i="15"/>
  <c r="K149" i="15"/>
  <c r="AC258" i="15"/>
  <c r="P81" i="15"/>
  <c r="I11" i="15"/>
  <c r="C60" i="15"/>
  <c r="AO114" i="15"/>
  <c r="G16" i="15"/>
  <c r="E57" i="15"/>
  <c r="R3" i="15"/>
  <c r="Z44" i="15"/>
  <c r="AN184" i="15"/>
  <c r="AO30" i="15"/>
  <c r="B85" i="15"/>
  <c r="R13" i="15"/>
  <c r="AI54" i="15"/>
  <c r="F2130" i="6"/>
  <c r="T44" i="15"/>
  <c r="L1967" i="6"/>
  <c r="AN179" i="15"/>
  <c r="AG98" i="15"/>
  <c r="E83" i="15"/>
  <c r="AB112" i="15"/>
  <c r="R123" i="15"/>
  <c r="O51" i="15"/>
  <c r="L2025" i="6"/>
  <c r="F2037" i="6"/>
  <c r="AN31" i="15"/>
  <c r="AR83" i="15"/>
  <c r="D13" i="15"/>
  <c r="B58" i="15"/>
  <c r="AQ3" i="15"/>
  <c r="O45" i="15"/>
  <c r="W147" i="15"/>
  <c r="DV27" i="15"/>
  <c r="B75" i="15"/>
  <c r="X10" i="15"/>
  <c r="AN57" i="15"/>
  <c r="AL3" i="15"/>
  <c r="Z252" i="15"/>
  <c r="DY162" i="15"/>
  <c r="J93" i="15"/>
  <c r="AO111" i="15"/>
  <c r="T132" i="15"/>
  <c r="DV175" i="15"/>
  <c r="DZ103" i="15"/>
  <c r="AK35" i="15"/>
  <c r="C72" i="15"/>
  <c r="BW4" i="15"/>
  <c r="K47" i="15"/>
  <c r="F2012" i="6"/>
  <c r="D34" i="15"/>
  <c r="J110" i="15"/>
  <c r="AC19" i="15"/>
  <c r="X61" i="15"/>
  <c r="Z4" i="15"/>
  <c r="AK44" i="15"/>
  <c r="DY397" i="15"/>
  <c r="AO33" i="15"/>
  <c r="L1811" i="6"/>
  <c r="DX160" i="15"/>
  <c r="AB77" i="15"/>
  <c r="V110" i="15"/>
  <c r="DW147" i="15"/>
  <c r="DV181" i="15"/>
  <c r="F78" i="15"/>
  <c r="H12" i="15"/>
  <c r="AV3" i="15"/>
  <c r="H42" i="15"/>
  <c r="DY121" i="15"/>
  <c r="C22" i="15"/>
  <c r="AA69" i="15"/>
  <c r="U8" i="15"/>
  <c r="AE53" i="15"/>
  <c r="F2113" i="6"/>
  <c r="G37" i="15"/>
  <c r="DW108" i="15"/>
  <c r="J19" i="15"/>
  <c r="R69" i="15"/>
  <c r="O8" i="15"/>
  <c r="L1456" i="6"/>
  <c r="AO180" i="15"/>
  <c r="W126" i="15"/>
  <c r="DX141" i="15"/>
  <c r="AC198" i="15"/>
  <c r="AD76" i="15"/>
  <c r="W6" i="15"/>
  <c r="N55" i="15"/>
  <c r="AK107" i="15"/>
  <c r="A14" i="15"/>
  <c r="Y55" i="15"/>
  <c r="F2144" i="6"/>
  <c r="K43" i="15"/>
  <c r="B161" i="15"/>
  <c r="F29" i="15"/>
  <c r="G79" i="15"/>
  <c r="A12" i="15"/>
  <c r="K53" i="15"/>
  <c r="F2106" i="6"/>
  <c r="G43" i="15"/>
  <c r="L1943" i="6"/>
  <c r="AB128" i="15"/>
  <c r="W190" i="15"/>
  <c r="AK139" i="15"/>
  <c r="AR65" i="15"/>
  <c r="S83" i="15"/>
  <c r="F103" i="15"/>
  <c r="O33" i="15"/>
  <c r="T9" i="15"/>
  <c r="N51" i="15"/>
  <c r="B264" i="15"/>
  <c r="R31" i="15"/>
  <c r="D102" i="15"/>
  <c r="R17" i="15"/>
  <c r="B63" i="15"/>
  <c r="BT4" i="15"/>
  <c r="B46" i="15"/>
  <c r="X155" i="15"/>
  <c r="Y28" i="15"/>
  <c r="G101" i="15"/>
  <c r="M17" i="15"/>
  <c r="AO127" i="15"/>
  <c r="AJ188" i="15"/>
  <c r="E139" i="15"/>
  <c r="U65" i="15"/>
  <c r="B83" i="15"/>
  <c r="Y102" i="15"/>
  <c r="AL32" i="15"/>
  <c r="C9" i="15"/>
  <c r="AR50" i="15"/>
  <c r="Y236" i="15"/>
  <c r="A31" i="15"/>
  <c r="F100" i="15"/>
  <c r="E17" i="15"/>
  <c r="S62" i="15"/>
  <c r="BF4" i="15"/>
  <c r="AC45" i="15"/>
  <c r="AB223" i="15"/>
  <c r="AK210" i="15"/>
  <c r="DW220" i="15"/>
  <c r="AL201" i="15"/>
  <c r="AC148" i="15"/>
  <c r="Y157" i="15"/>
  <c r="B213" i="15"/>
  <c r="S166" i="15"/>
  <c r="E256" i="15"/>
  <c r="AC218" i="15"/>
  <c r="Z225" i="15"/>
  <c r="O202" i="15"/>
  <c r="D347" i="15"/>
  <c r="K265" i="15"/>
  <c r="DW185" i="15"/>
  <c r="D237" i="15"/>
  <c r="W340" i="15"/>
  <c r="D163" i="15"/>
  <c r="Y187" i="15"/>
  <c r="R224" i="15"/>
  <c r="P150" i="15"/>
  <c r="AI164" i="15"/>
  <c r="V250" i="15"/>
  <c r="T195" i="15"/>
  <c r="AJ168" i="15"/>
  <c r="F132" i="15"/>
  <c r="T173" i="15"/>
  <c r="CA3" i="15"/>
  <c r="E135" i="15"/>
  <c r="F175" i="15"/>
  <c r="D88" i="15"/>
  <c r="AL162" i="15"/>
  <c r="V95" i="15"/>
  <c r="J140" i="15"/>
  <c r="L1995" i="6"/>
  <c r="X73" i="15"/>
  <c r="O145" i="15"/>
  <c r="AC76" i="15"/>
  <c r="AO148" i="15"/>
  <c r="AN108" i="15"/>
  <c r="C125" i="15"/>
  <c r="AN99" i="15"/>
  <c r="G78" i="15"/>
  <c r="DX61" i="15"/>
  <c r="U45" i="15"/>
  <c r="J33" i="15"/>
  <c r="V156" i="15"/>
  <c r="M176" i="15"/>
  <c r="T108" i="15"/>
  <c r="U114" i="15"/>
  <c r="DY141" i="15"/>
  <c r="AK75" i="15"/>
  <c r="AA113" i="15"/>
  <c r="D188" i="15"/>
  <c r="C91" i="15"/>
  <c r="AO112" i="15"/>
  <c r="H156" i="15"/>
  <c r="W82" i="15"/>
  <c r="U117" i="15"/>
  <c r="AD56" i="15"/>
  <c r="K3" i="15"/>
  <c r="H30" i="15"/>
  <c r="DV82" i="15"/>
  <c r="T299" i="15"/>
  <c r="AB326" i="15"/>
  <c r="AA180" i="15"/>
  <c r="AB172" i="15"/>
  <c r="M169" i="15"/>
  <c r="O135" i="15"/>
  <c r="A181" i="15"/>
  <c r="Z88" i="15"/>
  <c r="J129" i="15"/>
  <c r="B67" i="15"/>
  <c r="B105" i="15"/>
  <c r="V134" i="15"/>
  <c r="AI425" i="15"/>
  <c r="J101" i="15"/>
  <c r="T134" i="15"/>
  <c r="I71" i="15"/>
  <c r="C12" i="15"/>
  <c r="AD44" i="15"/>
  <c r="AE143" i="15"/>
  <c r="A324" i="15"/>
  <c r="J144" i="15"/>
  <c r="D149" i="15"/>
  <c r="S167" i="15"/>
  <c r="G110" i="15"/>
  <c r="H233" i="15"/>
  <c r="AK72" i="15"/>
  <c r="AB103" i="15"/>
  <c r="G150" i="15"/>
  <c r="Y80" i="15"/>
  <c r="D118" i="15"/>
  <c r="DU162" i="15"/>
  <c r="D84" i="15"/>
  <c r="AL113" i="15"/>
  <c r="U180" i="15"/>
  <c r="T88" i="15"/>
  <c r="Y29" i="15"/>
  <c r="G58" i="15"/>
  <c r="L2109" i="6"/>
  <c r="AO36" i="15"/>
  <c r="W129" i="15"/>
  <c r="AB24" i="15"/>
  <c r="AD323" i="15"/>
  <c r="AC294" i="15"/>
  <c r="P112" i="15"/>
  <c r="K128" i="15"/>
  <c r="S161" i="15"/>
  <c r="O67" i="15"/>
  <c r="L2150" i="6"/>
  <c r="AG49" i="15"/>
  <c r="K95" i="15"/>
  <c r="AC10" i="15"/>
  <c r="AB52" i="15"/>
  <c r="F2096" i="6"/>
  <c r="AK39" i="15"/>
  <c r="W135" i="15"/>
  <c r="A26" i="15"/>
  <c r="W69" i="15"/>
  <c r="S8" i="15"/>
  <c r="I50" i="15"/>
  <c r="F2058" i="6"/>
  <c r="AF39" i="15"/>
  <c r="L1895" i="6"/>
  <c r="K244" i="15"/>
  <c r="AK76" i="15"/>
  <c r="Z69" i="15"/>
  <c r="A99" i="15"/>
  <c r="C109" i="15"/>
  <c r="O38" i="15"/>
  <c r="I132" i="15"/>
  <c r="R200" i="15"/>
  <c r="V26" i="15"/>
  <c r="B69" i="15"/>
  <c r="E8" i="15"/>
  <c r="R53" i="15"/>
  <c r="L2101" i="6"/>
  <c r="W40" i="15"/>
  <c r="W121" i="15"/>
  <c r="AK22" i="15"/>
  <c r="H65" i="15"/>
  <c r="DU4" i="15"/>
  <c r="I53" i="15"/>
  <c r="L2105" i="6"/>
  <c r="H286" i="15"/>
  <c r="AL185" i="15"/>
  <c r="AL75" i="15"/>
  <c r="O98" i="15"/>
  <c r="R115" i="15"/>
  <c r="U139" i="15"/>
  <c r="G62" i="15"/>
  <c r="O24" i="15"/>
  <c r="E63" i="15"/>
  <c r="S3" i="15"/>
  <c r="DX42" i="15"/>
  <c r="F157" i="15"/>
  <c r="AB28" i="15"/>
  <c r="AL91" i="15"/>
  <c r="G15" i="15"/>
  <c r="J56" i="15"/>
  <c r="F2155" i="6"/>
  <c r="A40" i="15"/>
  <c r="Y154" i="15"/>
  <c r="X28" i="15"/>
  <c r="L1739" i="6"/>
  <c r="DU168" i="15"/>
  <c r="R129" i="15"/>
  <c r="AA96" i="15"/>
  <c r="I127" i="15"/>
  <c r="DU141" i="15"/>
  <c r="C64" i="15"/>
  <c r="U3" i="15"/>
  <c r="F2103" i="6"/>
  <c r="S36" i="15"/>
  <c r="E102" i="15"/>
  <c r="F17" i="15"/>
  <c r="U62" i="15"/>
  <c r="BG4" i="15"/>
  <c r="O49" i="15"/>
  <c r="H209" i="15"/>
  <c r="H32" i="15"/>
  <c r="AA89" i="15"/>
  <c r="Z14" i="15"/>
  <c r="O62" i="15"/>
  <c r="BB4" i="15"/>
  <c r="Z257" i="15"/>
  <c r="V209" i="15"/>
  <c r="AO106" i="15"/>
  <c r="W122" i="15"/>
  <c r="DV147" i="15"/>
  <c r="AL256" i="15"/>
  <c r="V158" i="15"/>
  <c r="T45" i="15"/>
  <c r="I87" i="15"/>
  <c r="W8" i="15"/>
  <c r="M51" i="15"/>
  <c r="F2072" i="6"/>
  <c r="I38" i="15"/>
  <c r="E127" i="15"/>
  <c r="G24" i="15"/>
  <c r="AR66" i="15"/>
  <c r="AN6" i="15"/>
  <c r="AL48" i="15"/>
  <c r="F2034" i="6"/>
  <c r="D38" i="15"/>
  <c r="L1871" i="6"/>
  <c r="AI259" i="15"/>
  <c r="AA109" i="15"/>
  <c r="C121" i="15"/>
  <c r="DX181" i="15"/>
  <c r="AA298" i="15"/>
  <c r="AK87" i="15"/>
  <c r="AA21" i="15"/>
  <c r="BX4" i="15"/>
  <c r="G46" i="15"/>
  <c r="AB145" i="15"/>
  <c r="U26" i="15"/>
  <c r="AE82" i="15"/>
  <c r="AK12" i="15"/>
  <c r="U57" i="15"/>
  <c r="AC3" i="15"/>
  <c r="U41" i="15"/>
  <c r="J125" i="15"/>
  <c r="Y23" i="15"/>
  <c r="G82" i="15"/>
  <c r="Y12" i="15"/>
  <c r="K258" i="15"/>
  <c r="D106" i="15"/>
  <c r="W120" i="15"/>
  <c r="AI180" i="15"/>
  <c r="P282" i="15"/>
  <c r="X87" i="15"/>
  <c r="Y18" i="15"/>
  <c r="BK4" i="15"/>
  <c r="AG45" i="15"/>
  <c r="K143" i="15"/>
  <c r="D26" i="15"/>
  <c r="I81" i="15"/>
  <c r="Q12" i="15"/>
  <c r="C57" i="15"/>
  <c r="O3" i="15"/>
  <c r="C41" i="15"/>
  <c r="J123" i="15"/>
  <c r="H23" i="15"/>
  <c r="T80" i="15"/>
  <c r="L12" i="15"/>
  <c r="U256" i="15"/>
  <c r="AL105" i="15"/>
  <c r="D120" i="15"/>
  <c r="F179" i="15"/>
  <c r="T273" i="15"/>
  <c r="J87" i="15"/>
  <c r="H18" i="15"/>
  <c r="AW4" i="15"/>
  <c r="S45" i="15"/>
  <c r="Y352" i="15"/>
  <c r="AK216" i="15"/>
  <c r="N354" i="15"/>
  <c r="DZ167" i="15"/>
  <c r="J134" i="15"/>
  <c r="I153" i="15"/>
  <c r="K289" i="15"/>
  <c r="F162" i="15"/>
  <c r="E241" i="15"/>
  <c r="AC205" i="15"/>
  <c r="P266" i="15"/>
  <c r="U196" i="15"/>
  <c r="A283" i="15"/>
  <c r="S231" i="15"/>
  <c r="J181" i="15"/>
  <c r="AA218" i="15"/>
  <c r="Z272" i="15"/>
  <c r="D159" i="15"/>
  <c r="AL182" i="15"/>
  <c r="J324" i="15"/>
  <c r="AR145" i="15"/>
  <c r="Q160" i="15"/>
  <c r="S235" i="15"/>
  <c r="A190" i="15"/>
  <c r="U164" i="15"/>
  <c r="F123" i="15"/>
  <c r="I156" i="15"/>
  <c r="J218" i="15"/>
  <c r="L228" i="15"/>
  <c r="DV157" i="15"/>
  <c r="AE83" i="15"/>
  <c r="V259" i="15"/>
  <c r="W90" i="15"/>
  <c r="C133" i="15"/>
  <c r="K158" i="15"/>
  <c r="C186" i="15"/>
  <c r="O138" i="15"/>
  <c r="W72" i="15"/>
  <c r="S234" i="15"/>
  <c r="X104" i="15"/>
  <c r="P114" i="15"/>
  <c r="B90" i="15"/>
  <c r="D69" i="15"/>
  <c r="AL52" i="15"/>
  <c r="AL35" i="15"/>
  <c r="AI351" i="15"/>
  <c r="DW187" i="15"/>
  <c r="DY158" i="15"/>
  <c r="V100" i="15"/>
  <c r="D108" i="15"/>
  <c r="Y134" i="15"/>
  <c r="R71" i="15"/>
  <c r="U109" i="15"/>
  <c r="D170" i="15"/>
  <c r="AO81" i="15"/>
  <c r="AC108" i="15"/>
  <c r="I145" i="15"/>
  <c r="AH77" i="15"/>
  <c r="AM112" i="15"/>
  <c r="Y52" i="15"/>
  <c r="AO175" i="15"/>
  <c r="J25" i="15"/>
  <c r="U68" i="15"/>
  <c r="H266" i="15"/>
  <c r="S197" i="15"/>
  <c r="AN145" i="15"/>
  <c r="Z155" i="15"/>
  <c r="W136" i="15"/>
  <c r="O127" i="15"/>
  <c r="I163" i="15"/>
  <c r="G84" i="15"/>
  <c r="V123" i="15"/>
  <c r="P322" i="15"/>
  <c r="P100" i="15"/>
  <c r="H128" i="15"/>
  <c r="AA225" i="15"/>
  <c r="S91" i="15"/>
  <c r="F128" i="15"/>
  <c r="I66" i="15"/>
  <c r="G7" i="15"/>
  <c r="DV39" i="15"/>
  <c r="AK118" i="15"/>
  <c r="G258" i="15"/>
  <c r="AF87" i="15"/>
  <c r="D263" i="15"/>
  <c r="AA150" i="15"/>
  <c r="O96" i="15"/>
  <c r="O160" i="15"/>
  <c r="I260" i="15"/>
  <c r="P98" i="15"/>
  <c r="X142" i="15"/>
  <c r="C76" i="15"/>
  <c r="H113" i="15"/>
  <c r="V148" i="15"/>
  <c r="AB79" i="15"/>
  <c r="AF109" i="15"/>
  <c r="AD162" i="15"/>
  <c r="B84" i="15"/>
  <c r="J20" i="15"/>
  <c r="V53" i="15"/>
  <c r="L2037" i="6"/>
  <c r="AO31" i="15"/>
  <c r="O109" i="15"/>
  <c r="S19" i="15"/>
  <c r="G297" i="15"/>
  <c r="E167" i="15"/>
  <c r="A94" i="15"/>
  <c r="AC112" i="15"/>
  <c r="S133" i="15"/>
  <c r="AL178" i="15"/>
  <c r="X106" i="15"/>
  <c r="T36" i="15"/>
  <c r="R75" i="15"/>
  <c r="DM4" i="15"/>
  <c r="E48" i="15"/>
  <c r="F2024" i="6"/>
  <c r="A35" i="15"/>
  <c r="D113" i="15"/>
  <c r="Y20" i="15"/>
  <c r="R62" i="15"/>
  <c r="BE4" i="15"/>
  <c r="AB45" i="15"/>
  <c r="F1986" i="6"/>
  <c r="AK34" i="15"/>
  <c r="L1823" i="6"/>
  <c r="AC158" i="15"/>
  <c r="X179" i="15"/>
  <c r="S201" i="15"/>
  <c r="V84" i="15"/>
  <c r="AR94" i="15"/>
  <c r="K24" i="15"/>
  <c r="S78" i="15"/>
  <c r="AC138" i="15"/>
  <c r="AC20" i="15"/>
  <c r="B62" i="15"/>
  <c r="AU4" i="15"/>
  <c r="B49" i="15"/>
  <c r="L2029" i="6"/>
  <c r="Z35" i="15"/>
  <c r="S103" i="15"/>
  <c r="AC17" i="15"/>
  <c r="O59" i="15"/>
  <c r="CE3" i="15"/>
  <c r="AK48" i="15"/>
  <c r="L2033" i="6"/>
  <c r="AK203" i="15"/>
  <c r="Y248" i="15"/>
  <c r="AB193" i="15"/>
  <c r="AH83" i="15"/>
  <c r="AA102" i="15"/>
  <c r="AK120" i="15"/>
  <c r="AH47" i="15"/>
  <c r="U17" i="15"/>
  <c r="F57" i="15"/>
  <c r="L2090" i="6"/>
  <c r="AC37" i="15"/>
  <c r="AB125" i="15"/>
  <c r="AB23" i="15"/>
  <c r="AN73" i="15"/>
  <c r="I10" i="15"/>
  <c r="AM51" i="15"/>
  <c r="L2082" i="6"/>
  <c r="J35" i="15"/>
  <c r="AC124" i="15"/>
  <c r="X23" i="15"/>
  <c r="L1667" i="6"/>
  <c r="DZ178" i="15"/>
  <c r="A98" i="15"/>
  <c r="AA82" i="15"/>
  <c r="AN111" i="15"/>
  <c r="T122" i="15"/>
  <c r="V50" i="15"/>
  <c r="L2013" i="6"/>
  <c r="F2025" i="6"/>
  <c r="B31" i="15"/>
  <c r="J81" i="15"/>
  <c r="R12" i="15"/>
  <c r="D57" i="15"/>
  <c r="P3" i="15"/>
  <c r="Y44" i="15"/>
  <c r="AD142" i="15"/>
  <c r="J27" i="15"/>
  <c r="Z72" i="15"/>
  <c r="AA9" i="15"/>
  <c r="AO56" i="15"/>
  <c r="H3" i="15"/>
  <c r="H265" i="15"/>
  <c r="K444" i="15"/>
  <c r="AD87" i="15"/>
  <c r="P108" i="15"/>
  <c r="H127" i="15"/>
  <c r="C161" i="15"/>
  <c r="V87" i="15"/>
  <c r="Y34" i="15"/>
  <c r="AL69" i="15"/>
  <c r="AV4" i="15"/>
  <c r="X46" i="15"/>
  <c r="J262" i="15"/>
  <c r="G33" i="15"/>
  <c r="W107" i="15"/>
  <c r="AO18" i="15"/>
  <c r="AC60" i="15"/>
  <c r="DU3" i="15"/>
  <c r="C44" i="15"/>
  <c r="C250" i="15"/>
  <c r="C33" i="15"/>
  <c r="L1799" i="6"/>
  <c r="B338" i="15"/>
  <c r="U277" i="15"/>
  <c r="AN106" i="15"/>
  <c r="DW141" i="15"/>
  <c r="N167" i="15"/>
  <c r="Z74" i="15"/>
  <c r="Y8" i="15"/>
  <c r="T3" i="15"/>
  <c r="G41" i="15"/>
  <c r="P118" i="15"/>
  <c r="G21" i="15"/>
  <c r="R68" i="15"/>
  <c r="Y7" i="15"/>
  <c r="AO52" i="15"/>
  <c r="F2101" i="6"/>
  <c r="K36" i="15"/>
  <c r="AM105" i="15"/>
  <c r="R18" i="15"/>
  <c r="E68" i="15"/>
  <c r="T7" i="15"/>
  <c r="AM331" i="15"/>
  <c r="DW216" i="15"/>
  <c r="S106" i="15"/>
  <c r="X141" i="15"/>
  <c r="AJ165" i="15"/>
  <c r="I74" i="15"/>
  <c r="H8" i="15"/>
  <c r="C3" i="15"/>
  <c r="Z40" i="15"/>
  <c r="S116" i="15"/>
  <c r="AB20" i="15"/>
  <c r="Z67" i="15"/>
  <c r="H7" i="15"/>
  <c r="Z52" i="15"/>
  <c r="F2095" i="6"/>
  <c r="DX35" i="15"/>
  <c r="AB104" i="15"/>
  <c r="A18" i="15"/>
  <c r="V67" i="15"/>
  <c r="C7" i="15"/>
  <c r="Q326" i="15"/>
  <c r="K212" i="15"/>
  <c r="DY105" i="15"/>
  <c r="E141" i="15"/>
  <c r="O164" i="15"/>
  <c r="DU73" i="15"/>
  <c r="AC7" i="15"/>
  <c r="K1" i="15"/>
  <c r="F251" i="15"/>
  <c r="A249" i="15"/>
  <c r="B392" i="15"/>
  <c r="U246" i="15"/>
  <c r="I259" i="15"/>
  <c r="O158" i="15"/>
  <c r="G214" i="15"/>
  <c r="AJ157" i="15"/>
  <c r="K122" i="15"/>
  <c r="B283" i="15"/>
  <c r="AG258" i="15"/>
  <c r="Q325" i="15"/>
  <c r="U161" i="15"/>
  <c r="S393" i="15"/>
  <c r="DX230" i="15"/>
  <c r="P178" i="15"/>
  <c r="AO221" i="15"/>
  <c r="J186" i="15"/>
  <c r="C140" i="15"/>
  <c r="G287" i="15"/>
  <c r="U163" i="15"/>
  <c r="AO110" i="15"/>
  <c r="AM254" i="15"/>
  <c r="E136" i="15"/>
  <c r="K221" i="15"/>
  <c r="F172" i="15"/>
  <c r="B92" i="15"/>
  <c r="R37" i="15"/>
  <c r="O163" i="15"/>
  <c r="T92" i="15"/>
  <c r="Z130" i="15"/>
  <c r="AR189" i="15"/>
  <c r="P145" i="15"/>
  <c r="AK78" i="15"/>
  <c r="H34" i="15"/>
  <c r="K166" i="15"/>
  <c r="Y82" i="15"/>
  <c r="AN21" i="15"/>
  <c r="AO149" i="15"/>
  <c r="U188" i="15"/>
  <c r="DZ109" i="15"/>
  <c r="F85" i="15"/>
  <c r="J293" i="15"/>
  <c r="AO48" i="15"/>
  <c r="Y30" i="15"/>
  <c r="AJ173" i="15"/>
  <c r="DV169" i="15"/>
  <c r="P305" i="15"/>
  <c r="B94" i="15"/>
  <c r="AO102" i="15"/>
  <c r="L128" i="15"/>
  <c r="R66" i="15"/>
  <c r="C105" i="15"/>
  <c r="A144" i="15"/>
  <c r="F77" i="15"/>
  <c r="T104" i="15"/>
  <c r="H138" i="15"/>
  <c r="AC73" i="15"/>
  <c r="Z108" i="15"/>
  <c r="S48" i="15"/>
  <c r="K132" i="15"/>
  <c r="A20" i="15"/>
  <c r="AK61" i="15"/>
  <c r="Z266" i="15"/>
  <c r="G143" i="15"/>
  <c r="T270" i="15"/>
  <c r="AR271" i="15"/>
  <c r="AB118" i="15"/>
  <c r="X120" i="15"/>
  <c r="Y148" i="15"/>
  <c r="AL79" i="15"/>
  <c r="E118" i="15"/>
  <c r="AF214" i="15"/>
  <c r="T95" i="15"/>
  <c r="U122" i="15"/>
  <c r="W171" i="15"/>
  <c r="S86" i="15"/>
  <c r="S122" i="15"/>
  <c r="L61" i="15"/>
  <c r="AB4" i="15"/>
  <c r="E35" i="15"/>
  <c r="X100" i="15"/>
  <c r="S210" i="15"/>
  <c r="Z57" i="15"/>
  <c r="E200" i="15"/>
  <c r="AR227" i="15"/>
  <c r="T309" i="15"/>
  <c r="S145" i="15"/>
  <c r="J199" i="15"/>
  <c r="AA93" i="15"/>
  <c r="J135" i="15"/>
  <c r="AK71" i="15"/>
  <c r="E109" i="15"/>
  <c r="U141" i="15"/>
  <c r="U75" i="15"/>
  <c r="N105" i="15"/>
  <c r="O148" i="15"/>
  <c r="S75" i="15"/>
  <c r="E16" i="15"/>
  <c r="F49" i="15"/>
  <c r="E202" i="15"/>
  <c r="B27" i="15"/>
  <c r="K90" i="15"/>
  <c r="AL14" i="15"/>
  <c r="AK338" i="15"/>
  <c r="AN189" i="15"/>
  <c r="W76" i="15"/>
  <c r="B99" i="15"/>
  <c r="G116" i="15"/>
  <c r="A141" i="15"/>
  <c r="H63" i="15"/>
  <c r="Z25" i="15"/>
  <c r="AL64" i="15"/>
  <c r="AU3" i="15"/>
  <c r="AA43" i="15"/>
  <c r="F168" i="15"/>
  <c r="X29" i="15"/>
  <c r="AM94" i="15"/>
  <c r="C16" i="15"/>
  <c r="B57" i="15"/>
  <c r="J3" i="15"/>
  <c r="B41" i="15"/>
  <c r="W165" i="15"/>
  <c r="T29" i="15"/>
  <c r="L1751" i="6"/>
  <c r="S196" i="15"/>
  <c r="X133" i="15"/>
  <c r="X148" i="15"/>
  <c r="AR251" i="15"/>
  <c r="AR80" i="15"/>
  <c r="AK10" i="15"/>
  <c r="V59" i="15"/>
  <c r="V113" i="15"/>
  <c r="AB15" i="15"/>
  <c r="AG56" i="15"/>
  <c r="DE2" i="15"/>
  <c r="H44" i="15"/>
  <c r="AK178" i="15"/>
  <c r="T30" i="15"/>
  <c r="AB83" i="15"/>
  <c r="A13" i="15"/>
  <c r="T54" i="15"/>
  <c r="F2124" i="6"/>
  <c r="B44" i="15"/>
  <c r="L1961" i="6"/>
  <c r="Y183" i="15"/>
  <c r="X159" i="15"/>
  <c r="F146" i="15"/>
  <c r="U70" i="15"/>
  <c r="Z87" i="15"/>
  <c r="Z106" i="15"/>
  <c r="AR36" i="15"/>
  <c r="K11" i="15"/>
  <c r="K52" i="15"/>
  <c r="L2012" i="6"/>
  <c r="AB32" i="15"/>
  <c r="E106" i="15"/>
  <c r="U18" i="15"/>
  <c r="AB64" i="15"/>
  <c r="DJ4" i="15"/>
  <c r="H47" i="15"/>
  <c r="Y172" i="15"/>
  <c r="AR29" i="15"/>
  <c r="AA105" i="15"/>
  <c r="P18" i="15"/>
  <c r="L1595" i="6"/>
  <c r="C241" i="15"/>
  <c r="G76" i="15"/>
  <c r="AK68" i="15"/>
  <c r="I98" i="15"/>
  <c r="L108" i="15"/>
  <c r="S37" i="15"/>
  <c r="K115" i="15"/>
  <c r="R186" i="15"/>
  <c r="Y25" i="15"/>
  <c r="AA67" i="15"/>
  <c r="I7" i="15"/>
  <c r="AA52" i="15"/>
  <c r="L2089" i="6"/>
  <c r="AJ39" i="15"/>
  <c r="AO117" i="15"/>
  <c r="AR21" i="15"/>
  <c r="B64" i="15"/>
  <c r="CT4" i="15"/>
  <c r="U52" i="15"/>
  <c r="L2093" i="6"/>
  <c r="A231" i="15"/>
  <c r="AB171" i="15"/>
  <c r="P72" i="15"/>
  <c r="P94" i="15"/>
  <c r="AM111" i="15"/>
  <c r="P133" i="15"/>
  <c r="AA57" i="15"/>
  <c r="A23" i="15"/>
  <c r="D62" i="15"/>
  <c r="D1" i="15"/>
  <c r="F42" i="15"/>
  <c r="J148" i="15"/>
  <c r="DX27" i="15"/>
  <c r="B88" i="15"/>
  <c r="K14" i="15"/>
  <c r="V55" i="15"/>
  <c r="L2142" i="6"/>
  <c r="S39" i="15"/>
  <c r="DY146" i="15"/>
  <c r="AR27" i="15"/>
  <c r="L1727" i="6"/>
  <c r="K319" i="15"/>
  <c r="J117" i="15"/>
  <c r="AR92" i="15"/>
  <c r="V122" i="15"/>
  <c r="Y135" i="15"/>
  <c r="B60" i="15"/>
  <c r="R1" i="15"/>
  <c r="F2091" i="6"/>
  <c r="AC35" i="15"/>
  <c r="V98" i="15"/>
  <c r="S16" i="15"/>
  <c r="AA61" i="15"/>
  <c r="AC4" i="15"/>
  <c r="U48" i="15"/>
  <c r="DV190" i="15"/>
  <c r="K31" i="15"/>
  <c r="AA86" i="15"/>
  <c r="AK13" i="15"/>
  <c r="U61" i="15"/>
  <c r="X4" i="15"/>
  <c r="AA312" i="15"/>
  <c r="AF113" i="15"/>
  <c r="U92" i="15"/>
  <c r="D122" i="15"/>
  <c r="F135" i="15"/>
  <c r="W59" i="15"/>
  <c r="L2145" i="6"/>
  <c r="F2085" i="6"/>
  <c r="P35" i="15"/>
  <c r="J95" i="15"/>
  <c r="F16" i="15"/>
  <c r="M61" i="15"/>
  <c r="O4" i="15"/>
  <c r="AR47" i="15"/>
  <c r="AL184" i="15"/>
  <c r="AN30" i="15"/>
  <c r="A85" i="15"/>
  <c r="P13" i="15"/>
  <c r="G61" i="15"/>
  <c r="K4" i="15"/>
  <c r="B307" i="15"/>
  <c r="O113" i="15"/>
  <c r="F92" i="15"/>
  <c r="AK121" i="15"/>
  <c r="U134" i="15"/>
  <c r="F59" i="15"/>
  <c r="L2103" i="6"/>
  <c r="F2079" i="6"/>
  <c r="AE176" i="15"/>
  <c r="X220" i="15"/>
  <c r="W263" i="15"/>
  <c r="R245" i="15"/>
  <c r="P260" i="15"/>
  <c r="C286" i="15"/>
  <c r="R198" i="15"/>
  <c r="X153" i="15"/>
  <c r="K109" i="15"/>
  <c r="C259" i="15"/>
  <c r="C242" i="15"/>
  <c r="U274" i="15"/>
  <c r="AH157" i="15"/>
  <c r="AA304" i="15"/>
  <c r="J214" i="15"/>
  <c r="AA160" i="15"/>
  <c r="W206" i="15"/>
  <c r="W181" i="15"/>
  <c r="AA132" i="15"/>
  <c r="E267" i="15"/>
  <c r="P159" i="15"/>
  <c r="V106" i="15"/>
  <c r="Y204" i="15"/>
  <c r="AO318" i="15"/>
  <c r="AO232" i="15"/>
  <c r="J155" i="15"/>
  <c r="AO86" i="15"/>
  <c r="R32" i="15"/>
  <c r="W146" i="15"/>
  <c r="N87" i="15"/>
  <c r="AK124" i="15"/>
  <c r="AL171" i="15"/>
  <c r="P138" i="15"/>
  <c r="AA74" i="15"/>
  <c r="AN28" i="15"/>
  <c r="A148" i="15"/>
  <c r="AJ77" i="15"/>
  <c r="N17" i="15"/>
  <c r="AF306" i="15"/>
  <c r="P170" i="15"/>
  <c r="AE105" i="15"/>
  <c r="A81" i="15"/>
  <c r="M209" i="15"/>
  <c r="V44" i="15"/>
  <c r="AA25" i="15"/>
  <c r="AL274" i="15"/>
  <c r="J153" i="15"/>
  <c r="H211" i="15"/>
  <c r="AC85" i="15"/>
  <c r="J96" i="15"/>
  <c r="X122" i="15"/>
  <c r="AN327" i="15"/>
  <c r="U95" i="15"/>
  <c r="C137" i="15"/>
  <c r="R282" i="15"/>
  <c r="R99" i="15"/>
  <c r="P131" i="15"/>
  <c r="Y68" i="15"/>
  <c r="R104" i="15"/>
  <c r="E44" i="15"/>
  <c r="A111" i="15"/>
  <c r="P15" i="15"/>
  <c r="U56" i="15"/>
  <c r="A232" i="15"/>
  <c r="H213" i="15"/>
  <c r="J202" i="15"/>
  <c r="Z202" i="15"/>
  <c r="E108" i="15"/>
  <c r="DW112" i="15"/>
  <c r="AC141" i="15"/>
  <c r="X75" i="15"/>
  <c r="I113" i="15"/>
  <c r="AO186" i="15"/>
  <c r="U90" i="15"/>
  <c r="AA112" i="15"/>
  <c r="DV154" i="15"/>
  <c r="J82" i="15"/>
  <c r="C117" i="15"/>
  <c r="P56" i="15"/>
  <c r="BY2" i="15"/>
  <c r="AC29" i="15"/>
  <c r="Z81" i="15"/>
  <c r="L298" i="15"/>
  <c r="O314" i="15"/>
  <c r="L180" i="15"/>
  <c r="J172" i="15"/>
  <c r="C168" i="15"/>
  <c r="AA134" i="15"/>
  <c r="W179" i="15"/>
  <c r="H88" i="15"/>
  <c r="Z128" i="15"/>
  <c r="AD66" i="15"/>
  <c r="AJ104" i="15"/>
  <c r="D134" i="15"/>
  <c r="AF345" i="15"/>
  <c r="AC100" i="15"/>
  <c r="AL133" i="15"/>
  <c r="AK70" i="15"/>
  <c r="Y11" i="15"/>
  <c r="O44" i="15"/>
  <c r="AG141" i="15"/>
  <c r="Z21" i="15"/>
  <c r="L73" i="15"/>
  <c r="AN9" i="15"/>
  <c r="AA217" i="15"/>
  <c r="R268" i="15"/>
  <c r="W197" i="15"/>
  <c r="W84" i="15"/>
  <c r="X103" i="15"/>
  <c r="AA121" i="15"/>
  <c r="Z48" i="15"/>
  <c r="G18" i="15"/>
  <c r="E58" i="15"/>
  <c r="L2102" i="6"/>
  <c r="AB38" i="15"/>
  <c r="U129" i="15"/>
  <c r="Y24" i="15"/>
  <c r="K76" i="15"/>
  <c r="F11" i="15"/>
  <c r="W52" i="15"/>
  <c r="L2094" i="6"/>
  <c r="DW35" i="15"/>
  <c r="T128" i="15"/>
  <c r="U24" i="15"/>
  <c r="AB283" i="15"/>
  <c r="T268" i="15"/>
  <c r="B112" i="15"/>
  <c r="AB127" i="15"/>
  <c r="A160" i="15"/>
  <c r="AO66" i="15"/>
  <c r="AB339" i="15"/>
  <c r="E49" i="15"/>
  <c r="AH93" i="15"/>
  <c r="O10" i="15"/>
  <c r="J52" i="15"/>
  <c r="F2090" i="6"/>
  <c r="W39" i="15"/>
  <c r="O133" i="15"/>
  <c r="U25" i="15"/>
  <c r="AO68" i="15"/>
  <c r="B8" i="15"/>
  <c r="DU49" i="15"/>
  <c r="F2052" i="6"/>
  <c r="R39" i="15"/>
  <c r="L1889" i="6"/>
  <c r="AF51" i="15"/>
  <c r="H120" i="15"/>
  <c r="G126" i="15"/>
  <c r="B201" i="15"/>
  <c r="K74" i="15"/>
  <c r="AK92" i="15"/>
  <c r="S23" i="15"/>
  <c r="DN4" i="15"/>
  <c r="P47" i="15"/>
  <c r="Q157" i="15"/>
  <c r="Z27" i="15"/>
  <c r="F87" i="15"/>
  <c r="AO13" i="15"/>
  <c r="AR58" i="15"/>
  <c r="BS3" i="15"/>
  <c r="DU42" i="15"/>
  <c r="G131" i="15"/>
  <c r="A25" i="15"/>
  <c r="O86" i="15"/>
  <c r="AC13" i="15"/>
  <c r="L1523" i="6"/>
  <c r="C158" i="15"/>
  <c r="X176" i="15"/>
  <c r="V197" i="15"/>
  <c r="AG83" i="15"/>
  <c r="H94" i="15"/>
  <c r="T23" i="15"/>
  <c r="AC75" i="15"/>
  <c r="AK133" i="15"/>
  <c r="AO19" i="15"/>
  <c r="N61" i="15"/>
  <c r="Q4" i="15"/>
  <c r="C48" i="15"/>
  <c r="L2017" i="6"/>
  <c r="AO34" i="15"/>
  <c r="AA99" i="15"/>
  <c r="C17" i="15"/>
  <c r="P58" i="15"/>
  <c r="BC3" i="15"/>
  <c r="AL47" i="15"/>
  <c r="L2021" i="6"/>
  <c r="AF163" i="15"/>
  <c r="V201" i="15"/>
  <c r="B178" i="15"/>
  <c r="H80" i="15"/>
  <c r="H98" i="15"/>
  <c r="D116" i="15"/>
  <c r="AB46" i="15"/>
  <c r="U16" i="15"/>
  <c r="T56" i="15"/>
  <c r="L2078" i="6"/>
  <c r="AL36" i="15"/>
  <c r="DV121" i="15"/>
  <c r="AN22" i="15"/>
  <c r="X71" i="15"/>
  <c r="O9" i="15"/>
  <c r="J51" i="15"/>
  <c r="L2070" i="6"/>
  <c r="R34" i="15"/>
  <c r="I121" i="15"/>
  <c r="AB22" i="15"/>
  <c r="L1655" i="6"/>
  <c r="H162" i="15"/>
  <c r="Y90" i="15"/>
  <c r="AB78" i="15"/>
  <c r="N108" i="15"/>
  <c r="B118" i="15"/>
  <c r="AO46" i="15"/>
  <c r="O194" i="15"/>
  <c r="F2013" i="6"/>
  <c r="F30" i="15"/>
  <c r="C78" i="15"/>
  <c r="Z11" i="15"/>
  <c r="R56" i="15"/>
  <c r="L2149" i="6"/>
  <c r="AL43" i="15"/>
  <c r="C138" i="15"/>
  <c r="R26" i="15"/>
  <c r="O70" i="15"/>
  <c r="AL8" i="15"/>
  <c r="H56" i="15"/>
  <c r="F2154" i="6"/>
  <c r="AA161" i="15"/>
  <c r="G90" i="15"/>
  <c r="K78" i="15"/>
  <c r="AR107" i="15"/>
  <c r="V117" i="15"/>
  <c r="AA46" i="15"/>
  <c r="W187" i="15"/>
  <c r="F2007" i="6"/>
  <c r="J29" i="15"/>
  <c r="AA76" i="15"/>
  <c r="H11" i="15"/>
  <c r="DX55" i="15"/>
  <c r="L2143" i="6"/>
  <c r="X43" i="15"/>
  <c r="U135" i="15"/>
  <c r="AO25" i="15"/>
  <c r="S69" i="15"/>
  <c r="R8" i="15"/>
  <c r="AR55" i="15"/>
  <c r="L2147" i="6"/>
  <c r="I161" i="15"/>
  <c r="Y89" i="15"/>
  <c r="AL77" i="15"/>
  <c r="AB107" i="15"/>
  <c r="D117" i="15"/>
  <c r="J46" i="15"/>
  <c r="Q181" i="15"/>
  <c r="F1995" i="6"/>
  <c r="AK28" i="15"/>
  <c r="Q75" i="15"/>
  <c r="AB10" i="15"/>
  <c r="X55" i="15"/>
  <c r="L2137" i="6"/>
  <c r="J43" i="15"/>
  <c r="N133" i="15"/>
  <c r="T25" i="15"/>
  <c r="AN68" i="15"/>
  <c r="AR7" i="15"/>
  <c r="T55" i="15"/>
  <c r="L2141" i="6"/>
  <c r="G265" i="15"/>
  <c r="H226" i="15"/>
  <c r="O82" i="15"/>
  <c r="G104" i="15"/>
  <c r="AC121" i="15"/>
  <c r="Z147" i="15"/>
  <c r="AO70" i="15"/>
  <c r="G30" i="15"/>
  <c r="G67" i="15"/>
  <c r="DL3" i="15"/>
  <c r="AR44" i="15"/>
  <c r="O192" i="15"/>
  <c r="P31" i="15"/>
  <c r="K278" i="15"/>
  <c r="E211" i="15"/>
  <c r="K259" i="15"/>
  <c r="G148" i="15"/>
  <c r="M185" i="15"/>
  <c r="W378" i="15"/>
  <c r="Y83" i="15"/>
  <c r="X262" i="15"/>
  <c r="S165" i="15"/>
  <c r="DZ148" i="15"/>
  <c r="Z240" i="15"/>
  <c r="H160" i="15"/>
  <c r="AH107" i="15"/>
  <c r="J194" i="15"/>
  <c r="V137" i="15"/>
  <c r="Z83" i="15"/>
  <c r="T129" i="15"/>
  <c r="W254" i="15"/>
  <c r="AC69" i="15"/>
  <c r="P205" i="15"/>
  <c r="U191" i="15"/>
  <c r="H144" i="15"/>
  <c r="AN58" i="15"/>
  <c r="Y168" i="15"/>
  <c r="H182" i="15"/>
  <c r="W86" i="15"/>
  <c r="Y127" i="15"/>
  <c r="E130" i="15"/>
  <c r="AA204" i="15"/>
  <c r="Z139" i="15"/>
  <c r="O73" i="15"/>
  <c r="AO227" i="15"/>
  <c r="Z82" i="15"/>
  <c r="AO118" i="15"/>
  <c r="O248" i="15"/>
  <c r="B74" i="15"/>
  <c r="Y113" i="15"/>
  <c r="E60" i="15"/>
  <c r="AA176" i="15"/>
  <c r="AI95" i="15"/>
  <c r="L82" i="15"/>
  <c r="AG174" i="15"/>
  <c r="X135" i="15"/>
  <c r="T21" i="15"/>
  <c r="CL3" i="15"/>
  <c r="B247" i="15"/>
  <c r="T149" i="15"/>
  <c r="AL167" i="15"/>
  <c r="AO79" i="15"/>
  <c r="AA88" i="15"/>
  <c r="H117" i="15"/>
  <c r="F187" i="15"/>
  <c r="V90" i="15"/>
  <c r="O130" i="15"/>
  <c r="J206" i="15"/>
  <c r="AC94" i="15"/>
  <c r="R125" i="15"/>
  <c r="A280" i="15"/>
  <c r="K99" i="15"/>
  <c r="AI39" i="15"/>
  <c r="AA92" i="15"/>
  <c r="S10" i="15"/>
  <c r="R47" i="15"/>
  <c r="X280" i="15"/>
  <c r="DY176" i="15"/>
  <c r="V181" i="15"/>
  <c r="AG181" i="15"/>
  <c r="D100" i="15"/>
  <c r="AE107" i="15"/>
  <c r="G134" i="15"/>
  <c r="A71" i="15"/>
  <c r="F109" i="15"/>
  <c r="AI168" i="15"/>
  <c r="T81" i="15"/>
  <c r="M108" i="15"/>
  <c r="U144" i="15"/>
  <c r="T77" i="15"/>
  <c r="X112" i="15"/>
  <c r="G52" i="15"/>
  <c r="AA169" i="15"/>
  <c r="AK24" i="15"/>
  <c r="AL67" i="15"/>
  <c r="AA265" i="15"/>
  <c r="X196" i="15"/>
  <c r="T145" i="15"/>
  <c r="M155" i="15"/>
  <c r="C136" i="15"/>
  <c r="DX126" i="15"/>
  <c r="AO161" i="15"/>
  <c r="AI83" i="15"/>
  <c r="D123" i="15"/>
  <c r="AM298" i="15"/>
  <c r="AO99" i="15"/>
  <c r="Z127" i="15"/>
  <c r="B220" i="15"/>
  <c r="A91" i="15"/>
  <c r="X127" i="15"/>
  <c r="AK65" i="15"/>
  <c r="DU6" i="15"/>
  <c r="AB39" i="15"/>
  <c r="AN116" i="15"/>
  <c r="DU16" i="15"/>
  <c r="K64" i="15"/>
  <c r="CY4" i="15"/>
  <c r="I198" i="15"/>
  <c r="K163" i="15"/>
  <c r="L147" i="15"/>
  <c r="P71" i="15"/>
  <c r="E88" i="15"/>
  <c r="X107" i="15"/>
  <c r="R38" i="15"/>
  <c r="T12" i="15"/>
  <c r="B53" i="15"/>
  <c r="L2024" i="6"/>
  <c r="Y33" i="15"/>
  <c r="L109" i="15"/>
  <c r="P19" i="15"/>
  <c r="AO65" i="15"/>
  <c r="G6" i="15"/>
  <c r="AO47" i="15"/>
  <c r="S184" i="15"/>
  <c r="AK30" i="15"/>
  <c r="Y108" i="15"/>
  <c r="I19" i="15"/>
  <c r="G253" i="15"/>
  <c r="P163" i="15"/>
  <c r="AC93" i="15"/>
  <c r="N112" i="15"/>
  <c r="D133" i="15"/>
  <c r="E177" i="15"/>
  <c r="J105" i="15"/>
  <c r="C36" i="15"/>
  <c r="E74" i="15"/>
  <c r="CK4" i="15"/>
  <c r="AD47" i="15"/>
  <c r="F2018" i="6"/>
  <c r="U34" i="15"/>
  <c r="AI111" i="15"/>
  <c r="H20" i="15"/>
  <c r="DY61" i="15"/>
  <c r="AM4" i="15"/>
  <c r="J45" i="15"/>
  <c r="F1980" i="6"/>
  <c r="P34" i="15"/>
  <c r="L1817" i="6"/>
  <c r="K161" i="15"/>
  <c r="A78" i="15"/>
  <c r="AL110" i="15"/>
  <c r="W148" i="15"/>
  <c r="Z183" i="15"/>
  <c r="W78" i="15"/>
  <c r="AR12" i="15"/>
  <c r="BJ3" i="15"/>
  <c r="W42" i="15"/>
  <c r="AC123" i="15"/>
  <c r="T22" i="15"/>
  <c r="Z70" i="15"/>
  <c r="AR8" i="15"/>
  <c r="D54" i="15"/>
  <c r="F2119" i="6"/>
  <c r="Y37" i="15"/>
  <c r="H110" i="15"/>
  <c r="AA19" i="15"/>
  <c r="J70" i="15"/>
  <c r="AK8" i="15"/>
  <c r="L1460" i="6"/>
  <c r="S195" i="15"/>
  <c r="X132" i="15"/>
  <c r="I147" i="15"/>
  <c r="R238" i="15"/>
  <c r="E80" i="15"/>
  <c r="A10" i="15"/>
  <c r="F58" i="15"/>
  <c r="AB110" i="15"/>
  <c r="R14" i="15"/>
  <c r="A56" i="15"/>
  <c r="F2150" i="6"/>
  <c r="Y43" i="15"/>
  <c r="A167" i="15"/>
  <c r="W29" i="15"/>
  <c r="AM80" i="15"/>
  <c r="N12" i="15"/>
  <c r="AC53" i="15"/>
  <c r="F2112" i="6"/>
  <c r="U43" i="15"/>
  <c r="L1949" i="6"/>
  <c r="AL143" i="15"/>
  <c r="DX216" i="15"/>
  <c r="U140" i="15"/>
  <c r="P66" i="15"/>
  <c r="AF83" i="15"/>
  <c r="U103" i="15"/>
  <c r="X284" i="15"/>
  <c r="Z200" i="15"/>
  <c r="X242" i="15"/>
  <c r="K320" i="15"/>
  <c r="F173" i="15"/>
  <c r="D223" i="15"/>
  <c r="F62" i="15"/>
  <c r="K242" i="15"/>
  <c r="S159" i="15"/>
  <c r="AI355" i="15"/>
  <c r="J226" i="15"/>
  <c r="T156" i="15"/>
  <c r="AE103" i="15"/>
  <c r="B181" i="15"/>
  <c r="AN336" i="15"/>
  <c r="D79" i="15"/>
  <c r="V115" i="15"/>
  <c r="B234" i="15"/>
  <c r="A229" i="15"/>
  <c r="AH187" i="15"/>
  <c r="DX186" i="15"/>
  <c r="H137" i="15"/>
  <c r="D47" i="15"/>
  <c r="F164" i="15"/>
  <c r="W156" i="15"/>
  <c r="N82" i="15"/>
  <c r="B122" i="15"/>
  <c r="AB109" i="15"/>
  <c r="S149" i="15"/>
  <c r="U132" i="15"/>
  <c r="G68" i="15"/>
  <c r="K190" i="15"/>
  <c r="AK77" i="15"/>
  <c r="AK113" i="15"/>
  <c r="AN323" i="15"/>
  <c r="J304" i="15"/>
  <c r="S109" i="15"/>
  <c r="A55" i="15"/>
  <c r="L159" i="15"/>
  <c r="D91" i="15"/>
  <c r="W77" i="15"/>
  <c r="AD157" i="15"/>
  <c r="F129" i="15"/>
  <c r="B17" i="15"/>
  <c r="L2127" i="6"/>
  <c r="M319" i="15"/>
  <c r="P301" i="15"/>
  <c r="AB333" i="15"/>
  <c r="AL72" i="15"/>
  <c r="F83" i="15"/>
  <c r="R108" i="15"/>
  <c r="DX168" i="15"/>
  <c r="Z85" i="15"/>
  <c r="S124" i="15"/>
  <c r="AA183" i="15"/>
  <c r="S89" i="15"/>
  <c r="AO119" i="15"/>
  <c r="X205" i="15"/>
  <c r="Y94" i="15"/>
  <c r="L35" i="15"/>
  <c r="G74" i="15"/>
  <c r="BX3" i="15"/>
  <c r="A43" i="15"/>
  <c r="AK218" i="15"/>
  <c r="X151" i="15"/>
  <c r="AH163" i="15"/>
  <c r="B164" i="15"/>
  <c r="AD93" i="15"/>
  <c r="S102" i="15"/>
  <c r="AK127" i="15"/>
  <c r="A66" i="15"/>
  <c r="AK104" i="15"/>
  <c r="W143" i="15"/>
  <c r="AF76" i="15"/>
  <c r="E104" i="15"/>
  <c r="T137" i="15"/>
  <c r="P73" i="15"/>
  <c r="K108" i="15"/>
  <c r="A48" i="15"/>
  <c r="F130" i="15"/>
  <c r="V19" i="15"/>
  <c r="P61" i="15"/>
  <c r="Y265" i="15"/>
  <c r="V142" i="15"/>
  <c r="AL268" i="15"/>
  <c r="B270" i="15"/>
  <c r="J118" i="15"/>
  <c r="E120" i="15"/>
  <c r="DY147" i="15"/>
  <c r="R79" i="15"/>
  <c r="Y117" i="15"/>
  <c r="G210" i="15"/>
  <c r="B95" i="15"/>
  <c r="C122" i="15"/>
  <c r="B170" i="15"/>
  <c r="B86" i="15"/>
  <c r="A122" i="15"/>
  <c r="AO60" i="15"/>
  <c r="P4" i="15"/>
  <c r="Z34" i="15"/>
  <c r="AI98" i="15"/>
  <c r="G12" i="15"/>
  <c r="W58" i="15"/>
  <c r="BH3" i="15"/>
  <c r="J57" i="15"/>
  <c r="Z124" i="15"/>
  <c r="DW126" i="15"/>
  <c r="S206" i="15"/>
  <c r="H75" i="15"/>
  <c r="U93" i="15"/>
  <c r="C27" i="15"/>
  <c r="L6" i="15"/>
  <c r="F48" i="15"/>
  <c r="R168" i="15"/>
  <c r="O28" i="15"/>
  <c r="I90" i="15"/>
  <c r="AC14" i="15"/>
  <c r="AN59" i="15"/>
  <c r="CU3" i="15"/>
  <c r="W43" i="15"/>
  <c r="T135" i="15"/>
  <c r="AN25" i="15"/>
  <c r="O89" i="15"/>
  <c r="Y14" i="15"/>
  <c r="O288" i="15"/>
  <c r="G186" i="15"/>
  <c r="F76" i="15"/>
  <c r="AD98" i="15"/>
  <c r="AN115" i="15"/>
  <c r="I140" i="15"/>
  <c r="Z62" i="15"/>
  <c r="I25" i="15"/>
  <c r="Z63" i="15"/>
  <c r="AF3" i="15"/>
  <c r="L43" i="15"/>
  <c r="P162" i="15"/>
  <c r="G29" i="15"/>
  <c r="T93" i="15"/>
  <c r="X15" i="15"/>
  <c r="AC56" i="15"/>
  <c r="AS2" i="15"/>
  <c r="U40" i="15"/>
  <c r="AI159" i="15"/>
  <c r="C29" i="15"/>
  <c r="L1745" i="6"/>
  <c r="I169" i="15"/>
  <c r="C130" i="15"/>
  <c r="F97" i="15"/>
  <c r="AA127" i="15"/>
  <c r="O142" i="15"/>
  <c r="T64" i="15"/>
  <c r="AH3" i="15"/>
  <c r="F2109" i="6"/>
  <c r="AN36" i="15"/>
  <c r="AG103" i="15"/>
  <c r="S17" i="15"/>
  <c r="C63" i="15"/>
  <c r="BU4" i="15"/>
  <c r="AC49" i="15"/>
  <c r="G230" i="15"/>
  <c r="Y32" i="15"/>
  <c r="AB91" i="15"/>
  <c r="E15" i="15"/>
  <c r="AL62" i="15"/>
  <c r="BP4" i="15"/>
  <c r="U459" i="15"/>
  <c r="V264" i="15"/>
  <c r="K111" i="15"/>
  <c r="DV126" i="15"/>
  <c r="AF157" i="15"/>
  <c r="J66" i="15"/>
  <c r="U243" i="15"/>
  <c r="AI45" i="15"/>
  <c r="S88" i="15"/>
  <c r="B9" i="15"/>
  <c r="AB51" i="15"/>
  <c r="F2078" i="6"/>
  <c r="AA38" i="15"/>
  <c r="E129" i="15"/>
  <c r="X24" i="15"/>
  <c r="X67" i="15"/>
  <c r="E7" i="15"/>
  <c r="M49" i="15"/>
  <c r="F2040" i="6"/>
  <c r="V38" i="15"/>
  <c r="L1877" i="6"/>
  <c r="O308" i="15"/>
  <c r="AO109" i="15"/>
  <c r="R121" i="15"/>
  <c r="AC183" i="15"/>
  <c r="A322" i="15"/>
  <c r="C88" i="15"/>
  <c r="W22" i="15"/>
  <c r="CL4" i="15"/>
  <c r="Y46" i="15"/>
  <c r="K148" i="15"/>
  <c r="AR26" i="15"/>
  <c r="AO83" i="15"/>
  <c r="C13" i="15"/>
  <c r="A58" i="15"/>
  <c r="AP3" i="15"/>
  <c r="C42" i="15"/>
  <c r="B127" i="15"/>
  <c r="E24" i="15"/>
  <c r="O83" i="15"/>
  <c r="DX12" i="15"/>
  <c r="L1511" i="6"/>
  <c r="V141" i="15"/>
  <c r="DX157" i="15"/>
  <c r="DZ180" i="15"/>
  <c r="G80" i="15"/>
  <c r="AL89" i="15"/>
  <c r="T19" i="15"/>
  <c r="D72" i="15"/>
  <c r="W127" i="15"/>
  <c r="W18" i="15"/>
  <c r="R60" i="15"/>
  <c r="DK3" i="15"/>
  <c r="J47" i="15"/>
  <c r="L2005" i="6"/>
  <c r="C34" i="15"/>
  <c r="S96" i="15"/>
  <c r="O16" i="15"/>
  <c r="S57" i="15"/>
  <c r="Z3" i="15"/>
  <c r="F47" i="15"/>
  <c r="L2009" i="6"/>
  <c r="H141" i="15"/>
  <c r="AA156" i="15"/>
  <c r="V179" i="15"/>
  <c r="AC79" i="15"/>
  <c r="R89" i="15"/>
  <c r="D19" i="15"/>
  <c r="AC66" i="15"/>
  <c r="AK125" i="15"/>
  <c r="F18" i="15"/>
  <c r="AR59" i="15"/>
  <c r="CW3" i="15"/>
  <c r="AK46" i="15"/>
  <c r="I293" i="15"/>
  <c r="W33" i="15"/>
  <c r="AK94" i="15"/>
  <c r="B16" i="15"/>
  <c r="AR56" i="15"/>
  <c r="I3" i="15"/>
  <c r="AF46" i="15"/>
  <c r="L2003" i="6"/>
  <c r="Z140" i="15"/>
  <c r="K155" i="15"/>
  <c r="A178" i="15"/>
  <c r="O79" i="15"/>
  <c r="A89" i="15"/>
  <c r="Z18" i="15"/>
  <c r="E66" i="15"/>
  <c r="AK123" i="15"/>
  <c r="AO17" i="15"/>
  <c r="T59" i="15"/>
  <c r="CI3" i="15"/>
  <c r="W46" i="15"/>
  <c r="AK256" i="15"/>
  <c r="F33" i="15"/>
  <c r="S93" i="15"/>
  <c r="W15" i="15"/>
  <c r="AA56" i="15"/>
  <c r="BL1" i="15"/>
  <c r="R46" i="15"/>
  <c r="L1997" i="6"/>
  <c r="AD111" i="15"/>
  <c r="D181" i="15"/>
  <c r="N160" i="15"/>
  <c r="AJ75" i="15"/>
  <c r="W93" i="15"/>
  <c r="AJ111" i="15"/>
  <c r="B43" i="15"/>
  <c r="S14" i="15"/>
  <c r="AN54" i="15"/>
  <c r="L2054" i="6"/>
  <c r="O35" i="15"/>
  <c r="AL114" i="15"/>
  <c r="F21" i="15"/>
  <c r="J68" i="15"/>
  <c r="X7" i="15"/>
  <c r="AB49" i="15"/>
  <c r="C229" i="15"/>
  <c r="X32" i="15"/>
  <c r="H114" i="15"/>
  <c r="A21" i="15"/>
  <c r="L1631" i="6"/>
  <c r="G198" i="15"/>
  <c r="C165" i="15"/>
  <c r="AN102" i="15"/>
  <c r="W134" i="15"/>
  <c r="A151" i="15"/>
  <c r="AR69" i="15"/>
  <c r="BZ4" i="15"/>
  <c r="F2139" i="6"/>
  <c r="J39" i="15"/>
  <c r="AA110" i="15"/>
  <c r="R19" i="15"/>
  <c r="B66" i="15"/>
  <c r="H6" i="15"/>
  <c r="Z51" i="15"/>
  <c r="F2077" i="6"/>
  <c r="AN34" i="15"/>
  <c r="Z99" i="15"/>
  <c r="A17" i="15"/>
  <c r="AA65" i="15"/>
  <c r="D6" i="15"/>
  <c r="L1432" i="6"/>
  <c r="AK100" i="15"/>
  <c r="AN176" i="15"/>
  <c r="F133" i="15"/>
  <c r="J11" i="15"/>
  <c r="S70" i="15"/>
  <c r="L1505" i="6"/>
  <c r="F1663" i="6"/>
  <c r="G59" i="15"/>
  <c r="F1348" i="6"/>
  <c r="X31" i="15"/>
  <c r="L1264" i="6"/>
  <c r="L1962" i="6"/>
  <c r="L3411" i="4"/>
  <c r="F1556" i="6"/>
  <c r="A96" i="15"/>
  <c r="F1412" i="6"/>
  <c r="AO20" i="15"/>
  <c r="L3744" i="4"/>
  <c r="L1822" i="6"/>
  <c r="F1043" i="6"/>
  <c r="F1724" i="6"/>
  <c r="L982" i="6"/>
  <c r="X139" i="15"/>
  <c r="C49" i="15"/>
  <c r="CG4" i="15"/>
  <c r="E411" i="15"/>
  <c r="D147" i="15"/>
  <c r="I139" i="15"/>
  <c r="Y86" i="15"/>
  <c r="AL154" i="15"/>
  <c r="DX17" i="15"/>
  <c r="H176" i="15"/>
  <c r="A118" i="15"/>
  <c r="S246" i="15"/>
  <c r="AK165" i="15"/>
  <c r="E59" i="15"/>
  <c r="B229" i="15"/>
  <c r="R136" i="15"/>
  <c r="AN43" i="15"/>
  <c r="AA201" i="15"/>
  <c r="DU112" i="15"/>
  <c r="W116" i="15"/>
  <c r="AH53" i="15"/>
  <c r="AL186" i="15"/>
  <c r="O23" i="15"/>
  <c r="B113" i="15"/>
  <c r="AB195" i="15"/>
  <c r="X57" i="15"/>
  <c r="Z10" i="15"/>
  <c r="L1673" i="6"/>
  <c r="B51" i="15"/>
  <c r="V57" i="15"/>
  <c r="G10" i="15"/>
  <c r="AA111" i="15"/>
  <c r="BJ4" i="15"/>
  <c r="I61" i="15"/>
  <c r="D142" i="15"/>
  <c r="AC33" i="15"/>
  <c r="AD51" i="15"/>
  <c r="AL31" i="15"/>
  <c r="AL17" i="15"/>
  <c r="CH4" i="15"/>
  <c r="AC160" i="15"/>
  <c r="E103" i="15"/>
  <c r="L1583" i="6"/>
  <c r="C71" i="15"/>
  <c r="O94" i="15"/>
  <c r="AA33" i="15"/>
  <c r="T174" i="15"/>
  <c r="Y66" i="15"/>
  <c r="AO51" i="15"/>
  <c r="F39" i="15"/>
  <c r="C21" i="15"/>
  <c r="BR4" i="15"/>
  <c r="L2081" i="6"/>
  <c r="X70" i="15"/>
  <c r="AL93" i="15"/>
  <c r="K33" i="15"/>
  <c r="AC162" i="15"/>
  <c r="C66" i="15"/>
  <c r="AA51" i="15"/>
  <c r="Z38" i="15"/>
  <c r="X20" i="15"/>
  <c r="U33" i="15"/>
  <c r="F32" i="15"/>
  <c r="O176" i="15"/>
  <c r="R138" i="15"/>
  <c r="AH110" i="15"/>
  <c r="N146" i="15"/>
  <c r="R157" i="15"/>
  <c r="E4" i="15"/>
  <c r="AB35" i="15"/>
  <c r="W79" i="15"/>
  <c r="B4" i="15"/>
  <c r="DW27" i="15"/>
  <c r="P59" i="15"/>
  <c r="O255" i="15"/>
  <c r="AC22" i="15"/>
  <c r="AA60" i="15"/>
  <c r="L1925" i="6"/>
  <c r="AR209" i="15"/>
  <c r="AA84" i="15"/>
  <c r="AE164" i="15"/>
  <c r="D141" i="15"/>
  <c r="F98" i="15"/>
  <c r="DY6" i="15"/>
  <c r="F1989" i="6"/>
  <c r="T17" i="15"/>
  <c r="AE49" i="15"/>
  <c r="AM96" i="15"/>
  <c r="U6" i="15"/>
  <c r="I47" i="15"/>
  <c r="H131" i="15"/>
  <c r="AB19" i="15"/>
  <c r="I56" i="15"/>
  <c r="F2082" i="6"/>
  <c r="I36" i="15"/>
  <c r="L1775" i="6"/>
  <c r="S188" i="15"/>
  <c r="F105" i="15"/>
  <c r="R74" i="15"/>
  <c r="C89" i="15"/>
  <c r="E85" i="15"/>
  <c r="DM3" i="15"/>
  <c r="AA40" i="15"/>
  <c r="AB66" i="15"/>
  <c r="L2126" i="6"/>
  <c r="B35" i="15"/>
  <c r="I95" i="15"/>
  <c r="G11" i="15"/>
  <c r="AJ46" i="15"/>
  <c r="C129" i="15"/>
  <c r="K19" i="15"/>
  <c r="DU55" i="15"/>
  <c r="F2076" i="6"/>
  <c r="DU35" i="15"/>
  <c r="L1769" i="6"/>
  <c r="F2014" i="6"/>
  <c r="AN180" i="15"/>
  <c r="AC116" i="15"/>
  <c r="AB43" i="15"/>
  <c r="E39" i="15"/>
  <c r="L1352" i="6"/>
  <c r="F1427" i="6"/>
  <c r="L1983" i="6"/>
  <c r="F1093" i="6"/>
  <c r="F1714" i="6"/>
  <c r="J91" i="15"/>
  <c r="L1325" i="6"/>
  <c r="L1791" i="6"/>
  <c r="F976" i="6"/>
  <c r="L1496" i="6"/>
  <c r="DC3" i="15"/>
  <c r="L3456" i="4"/>
  <c r="F1587" i="6"/>
  <c r="W94" i="15"/>
  <c r="L1323" i="6"/>
  <c r="AR247" i="15"/>
  <c r="F2133" i="6"/>
  <c r="V21" i="15"/>
  <c r="L1679" i="6"/>
  <c r="F1735" i="6"/>
  <c r="L105" i="15"/>
  <c r="L1426" i="6"/>
  <c r="X49" i="15"/>
  <c r="L1308" i="6"/>
  <c r="F2093" i="6"/>
  <c r="L3543" i="4"/>
  <c r="F1628" i="6"/>
  <c r="F924" i="6"/>
  <c r="F1490" i="6"/>
  <c r="AD39" i="15"/>
  <c r="L3876" i="4"/>
  <c r="L1894" i="6"/>
  <c r="F1087" i="6"/>
  <c r="F1796" i="6"/>
  <c r="L1026" i="6"/>
  <c r="L450" i="6"/>
  <c r="L3586" i="4"/>
  <c r="F518" i="6"/>
  <c r="T133" i="15"/>
  <c r="AJ107" i="15"/>
  <c r="A34" i="15"/>
  <c r="L1400" i="6"/>
  <c r="F1571" i="6"/>
  <c r="A37" i="15"/>
  <c r="F1277" i="6"/>
  <c r="K8" i="15"/>
  <c r="L1208" i="6"/>
  <c r="L1870" i="6"/>
  <c r="DY148" i="15"/>
  <c r="F1465" i="6"/>
  <c r="B52" i="15"/>
  <c r="F1316" i="6"/>
  <c r="BI1" i="15"/>
  <c r="L3576" i="4"/>
  <c r="F1731" i="6"/>
  <c r="F987" i="6"/>
  <c r="L1632" i="6"/>
  <c r="L926" i="6"/>
  <c r="L350" i="6"/>
  <c r="L3288" i="4"/>
  <c r="F348" i="6"/>
  <c r="AR54" i="15"/>
  <c r="S59" i="15"/>
  <c r="AR11" i="15"/>
  <c r="AR38" i="15"/>
  <c r="L3858" i="4"/>
  <c r="F1885" i="6"/>
  <c r="F1081" i="6"/>
  <c r="F1773" i="6"/>
  <c r="L1012" i="6"/>
  <c r="F1550" i="6"/>
  <c r="AA6" i="15"/>
  <c r="F1204" i="6"/>
  <c r="F1948" i="6"/>
  <c r="L1119" i="6"/>
  <c r="L1731" i="6"/>
  <c r="AN88" i="15"/>
  <c r="F1407" i="6"/>
  <c r="G50" i="15"/>
  <c r="L1306" i="6"/>
  <c r="L730" i="6"/>
  <c r="L154" i="6"/>
  <c r="S120" i="15"/>
  <c r="AR43" i="15"/>
  <c r="AB3" i="15"/>
  <c r="L1328" i="6"/>
  <c r="L1479" i="6"/>
  <c r="Y13" i="15"/>
  <c r="F1221" i="6"/>
  <c r="L2010" i="6"/>
  <c r="L1152" i="6"/>
  <c r="F1779" i="6"/>
  <c r="R64" i="15"/>
  <c r="F1369" i="6"/>
  <c r="S29" i="15"/>
  <c r="L1259" i="6"/>
  <c r="L1960" i="6"/>
  <c r="L3408" i="4"/>
  <c r="L1639" i="6"/>
  <c r="F931" i="6"/>
  <c r="L1540" i="6"/>
  <c r="L870" i="6"/>
  <c r="L294" i="6"/>
  <c r="AA410" i="15"/>
  <c r="C227" i="15"/>
  <c r="G132" i="15"/>
  <c r="P82" i="15"/>
  <c r="V135" i="15"/>
  <c r="AA13" i="15"/>
  <c r="DU158" i="15"/>
  <c r="B109" i="15"/>
  <c r="J163" i="15"/>
  <c r="E150" i="15"/>
  <c r="J54" i="15"/>
  <c r="Y145" i="15"/>
  <c r="AA129" i="15"/>
  <c r="V39" i="15"/>
  <c r="H181" i="15"/>
  <c r="AL108" i="15"/>
  <c r="I112" i="15"/>
  <c r="R49" i="15"/>
  <c r="R143" i="15"/>
  <c r="E18" i="15"/>
  <c r="AJ94" i="15"/>
  <c r="AB146" i="15"/>
  <c r="AC52" i="15"/>
  <c r="DW4" i="15"/>
  <c r="L1601" i="6"/>
  <c r="AN37" i="15"/>
  <c r="AR52" i="15"/>
  <c r="DH4" i="15"/>
  <c r="AK97" i="15"/>
  <c r="B3" i="15"/>
  <c r="DV55" i="15"/>
  <c r="R150" i="15"/>
  <c r="D9" i="15"/>
  <c r="Y41" i="15"/>
  <c r="X21" i="15"/>
  <c r="D8" i="15"/>
  <c r="F2107" i="6"/>
  <c r="T107" i="15"/>
  <c r="AL68" i="15"/>
  <c r="L1452" i="6"/>
  <c r="H126" i="15"/>
  <c r="I197" i="15"/>
  <c r="K6" i="15"/>
  <c r="G106" i="15"/>
  <c r="K55" i="15"/>
  <c r="DW42" i="15"/>
  <c r="AA28" i="15"/>
  <c r="V11" i="15"/>
  <c r="F2100" i="6"/>
  <c r="L1937" i="6"/>
  <c r="Y125" i="15"/>
  <c r="J195" i="15"/>
  <c r="AK5" i="15"/>
  <c r="DW104" i="15"/>
  <c r="AM54" i="15"/>
  <c r="U42" i="15"/>
  <c r="J28" i="15"/>
  <c r="E11" i="15"/>
  <c r="H28" i="15"/>
  <c r="H27" i="15"/>
  <c r="W200" i="15"/>
  <c r="AK63" i="15"/>
  <c r="C97" i="15"/>
  <c r="DX82" i="15"/>
  <c r="AI103" i="15"/>
  <c r="L2138" i="6"/>
  <c r="V30" i="15"/>
  <c r="D67" i="15"/>
  <c r="L2065" i="6"/>
  <c r="AL22" i="15"/>
  <c r="U54" i="15"/>
  <c r="V147" i="15"/>
  <c r="AB17" i="15"/>
  <c r="H51" i="15"/>
  <c r="L1853" i="6"/>
  <c r="AA206" i="15"/>
  <c r="V227" i="15"/>
  <c r="X134" i="15"/>
  <c r="AA107" i="15"/>
  <c r="AD83" i="15"/>
  <c r="L2097" i="6"/>
  <c r="AB151" i="15"/>
  <c r="S12" i="15"/>
  <c r="G40" i="15"/>
  <c r="B78" i="15"/>
  <c r="DJ3" i="15"/>
  <c r="DV42" i="15"/>
  <c r="I110" i="15"/>
  <c r="F15" i="15"/>
  <c r="AL51" i="15"/>
  <c r="F2010" i="6"/>
  <c r="H31" i="15"/>
  <c r="L1703" i="6"/>
  <c r="X199" i="15"/>
  <c r="J84" i="15"/>
  <c r="AN267" i="15"/>
  <c r="AI75" i="15"/>
  <c r="G72" i="15"/>
  <c r="J124" i="15"/>
  <c r="K29" i="15"/>
  <c r="A60" i="15"/>
  <c r="L2048" i="6"/>
  <c r="Z29" i="15"/>
  <c r="Z76" i="15"/>
  <c r="CV3" i="15"/>
  <c r="S42" i="15"/>
  <c r="DY108" i="15"/>
  <c r="AA14" i="15"/>
  <c r="X51" i="15"/>
  <c r="F2004" i="6"/>
  <c r="AC30" i="15"/>
  <c r="L1697" i="6"/>
  <c r="X287" i="15"/>
  <c r="S211" i="15"/>
  <c r="AH114" i="15"/>
  <c r="V129" i="15"/>
  <c r="AN8" i="15"/>
  <c r="M154" i="15"/>
  <c r="F1344" i="6"/>
  <c r="L1904" i="6"/>
  <c r="F1045" i="6"/>
  <c r="L1635" i="6"/>
  <c r="AN53" i="15"/>
  <c r="L3843" i="4"/>
  <c r="F1713" i="6"/>
  <c r="F928" i="6"/>
  <c r="L1333" i="6"/>
  <c r="F1988" i="6"/>
  <c r="L3312" i="4"/>
  <c r="L1508" i="6"/>
  <c r="AF54" i="15"/>
  <c r="L1270" i="6"/>
  <c r="K210" i="15"/>
  <c r="D78" i="15"/>
  <c r="F2071" i="6"/>
  <c r="L1499" i="6"/>
  <c r="L1656" i="6"/>
  <c r="I57" i="15"/>
  <c r="L1343" i="6"/>
  <c r="AN29" i="15"/>
  <c r="L1260" i="6"/>
  <c r="F1956" i="6"/>
  <c r="L3399" i="4"/>
  <c r="L1549" i="6"/>
  <c r="K89" i="15"/>
  <c r="L1407" i="6"/>
  <c r="G19" i="15"/>
  <c r="L3732" i="4"/>
  <c r="F1816" i="6"/>
  <c r="F1039" i="6"/>
  <c r="L1717" i="6"/>
  <c r="L978" i="6"/>
  <c r="L402" i="6"/>
  <c r="L3442" i="4"/>
  <c r="L439" i="6"/>
  <c r="A139" i="15"/>
  <c r="W48" i="15"/>
  <c r="BS4" i="15"/>
  <c r="L1344" i="6"/>
  <c r="L1492" i="6"/>
  <c r="DW16" i="15"/>
  <c r="F1229" i="6"/>
  <c r="C347" i="15"/>
  <c r="G142" i="15"/>
  <c r="Z118" i="15"/>
  <c r="T47" i="15"/>
  <c r="V132" i="15"/>
  <c r="F124" i="15"/>
  <c r="DA3" i="15"/>
  <c r="A8" i="15"/>
  <c r="V73" i="15"/>
  <c r="AH84" i="15"/>
  <c r="L2121" i="6"/>
  <c r="O85" i="15"/>
  <c r="U273" i="15"/>
  <c r="AC109" i="15"/>
  <c r="F202" i="15"/>
  <c r="N185" i="15"/>
  <c r="DY55" i="15"/>
  <c r="L2114" i="6"/>
  <c r="I79" i="15"/>
  <c r="A73" i="15"/>
  <c r="W20" i="15"/>
  <c r="F84" i="15"/>
  <c r="L2096" i="6"/>
  <c r="E52" i="15"/>
  <c r="R179" i="15"/>
  <c r="L2019" i="6"/>
  <c r="AD3" i="15"/>
  <c r="P57" i="15"/>
  <c r="A132" i="15"/>
  <c r="AL46" i="15"/>
  <c r="M4" i="15"/>
  <c r="AO288" i="15"/>
  <c r="D3" i="15"/>
  <c r="B36" i="15"/>
  <c r="AN16" i="15"/>
  <c r="AT4" i="15"/>
  <c r="J198" i="15"/>
  <c r="DZ87" i="15"/>
  <c r="DV61" i="15"/>
  <c r="H360" i="15"/>
  <c r="T106" i="15"/>
  <c r="G147" i="15"/>
  <c r="A153" i="15"/>
  <c r="T85" i="15"/>
  <c r="AN50" i="15"/>
  <c r="AA37" i="15"/>
  <c r="AA23" i="15"/>
  <c r="S6" i="15"/>
  <c r="F2028" i="6"/>
  <c r="AD345" i="15"/>
  <c r="B106" i="15"/>
  <c r="V146" i="15"/>
  <c r="DW148" i="15"/>
  <c r="A84" i="15"/>
  <c r="R50" i="15"/>
  <c r="I37" i="15"/>
  <c r="J23" i="15"/>
  <c r="F6" i="15"/>
  <c r="BC4" i="15"/>
  <c r="AL21" i="15"/>
  <c r="E300" i="15"/>
  <c r="T140" i="15"/>
  <c r="AK82" i="15"/>
  <c r="V56" i="15"/>
  <c r="AH82" i="15"/>
  <c r="L2060" i="6"/>
  <c r="X25" i="15"/>
  <c r="AL60" i="15"/>
  <c r="X147" i="15"/>
  <c r="AK17" i="15"/>
  <c r="DV49" i="15"/>
  <c r="V121" i="15"/>
  <c r="DZ12" i="15"/>
  <c r="A42" i="15"/>
  <c r="L1781" i="6"/>
  <c r="AL148" i="15"/>
  <c r="AK144" i="15"/>
  <c r="G117" i="15"/>
  <c r="K79" i="15"/>
  <c r="P70" i="15"/>
  <c r="V175" i="15"/>
  <c r="DZ121" i="15"/>
  <c r="DW6" i="15"/>
  <c r="E30" i="15"/>
  <c r="X66" i="15"/>
  <c r="L2131" i="6"/>
  <c r="Z37" i="15"/>
  <c r="AK91" i="15"/>
  <c r="H10" i="15"/>
  <c r="G47" i="15"/>
  <c r="H189" i="15"/>
  <c r="K26" i="15"/>
  <c r="L1559" i="6"/>
  <c r="D145" i="15"/>
  <c r="O207" i="15"/>
  <c r="H163" i="15"/>
  <c r="V177" i="15"/>
  <c r="AB196" i="15"/>
  <c r="B70" i="15"/>
  <c r="P20" i="15"/>
  <c r="Z54" i="15"/>
  <c r="Q186" i="15"/>
  <c r="Z24" i="15"/>
  <c r="AO59" i="15"/>
  <c r="L2125" i="6"/>
  <c r="H37" i="15"/>
  <c r="AB89" i="15"/>
  <c r="AB9" i="15"/>
  <c r="AH46" i="15"/>
  <c r="I183" i="15"/>
  <c r="AL25" i="15"/>
  <c r="L1625" i="6"/>
  <c r="P248" i="15"/>
  <c r="E151" i="15"/>
  <c r="T161" i="15"/>
  <c r="A53" i="15"/>
  <c r="X114" i="15"/>
  <c r="P67" i="15"/>
  <c r="L3894" i="4"/>
  <c r="F1826" i="6"/>
  <c r="F997" i="6"/>
  <c r="F1557" i="6"/>
  <c r="G35" i="15"/>
  <c r="L3699" i="4"/>
  <c r="L1634" i="6"/>
  <c r="E55" i="15"/>
  <c r="L1275" i="6"/>
  <c r="L1908" i="6"/>
  <c r="L3229" i="4"/>
  <c r="F1429" i="6"/>
  <c r="AR35" i="15"/>
  <c r="L1222" i="6"/>
  <c r="D99" i="15"/>
  <c r="AK38" i="15"/>
  <c r="U63" i="15"/>
  <c r="L1404" i="6"/>
  <c r="F1578" i="6"/>
  <c r="AO38" i="15"/>
  <c r="F1281" i="6"/>
  <c r="E10" i="15"/>
  <c r="L1212" i="6"/>
  <c r="F1877" i="6"/>
  <c r="AB169" i="15"/>
  <c r="L1473" i="6"/>
  <c r="Z53" i="15"/>
  <c r="F1325" i="6"/>
  <c r="AY3" i="15"/>
  <c r="L3588" i="4"/>
  <c r="L1737" i="6"/>
  <c r="F991" i="6"/>
  <c r="F1639" i="6"/>
  <c r="L930" i="6"/>
  <c r="L354" i="6"/>
  <c r="L3298" i="4"/>
  <c r="L356" i="6"/>
  <c r="B149" i="15"/>
  <c r="V18" i="15"/>
  <c r="R96" i="15"/>
  <c r="AA124" i="15"/>
  <c r="F1414" i="6"/>
  <c r="L2146" i="6"/>
  <c r="F1181" i="6"/>
  <c r="L1936" i="6"/>
  <c r="L1112" i="6"/>
  <c r="L1713" i="6"/>
  <c r="AI47" i="15"/>
  <c r="U249" i="15"/>
  <c r="AC122" i="15"/>
  <c r="A106" i="15"/>
  <c r="G42" i="15"/>
  <c r="U126" i="15"/>
  <c r="X109" i="15"/>
  <c r="L2133" i="6"/>
  <c r="AA3" i="15"/>
  <c r="V275" i="15"/>
  <c r="W80" i="15"/>
  <c r="L2049" i="6"/>
  <c r="T79" i="15"/>
  <c r="J203" i="15"/>
  <c r="AC90" i="15"/>
  <c r="S181" i="15"/>
  <c r="P167" i="15"/>
  <c r="AR51" i="15"/>
  <c r="L2042" i="6"/>
  <c r="P65" i="15"/>
  <c r="G64" i="15"/>
  <c r="A16" i="15"/>
  <c r="AR70" i="15"/>
  <c r="L2018" i="6"/>
  <c r="Z47" i="15"/>
  <c r="AC242" i="15"/>
  <c r="C128" i="15"/>
  <c r="L2095" i="6"/>
  <c r="AI52" i="15"/>
  <c r="B115" i="15"/>
  <c r="V42" i="15"/>
  <c r="L2148" i="6"/>
  <c r="AC117" i="15"/>
  <c r="L2001" i="6"/>
  <c r="W30" i="15"/>
  <c r="E12" i="15"/>
  <c r="CO2" i="15"/>
  <c r="AB140" i="15"/>
  <c r="O71" i="15"/>
  <c r="Z56" i="15"/>
  <c r="Y241" i="15"/>
  <c r="P87" i="15"/>
  <c r="AO126" i="15"/>
  <c r="AN85" i="15"/>
  <c r="F69" i="15"/>
  <c r="F46" i="15"/>
  <c r="AA32" i="15"/>
  <c r="T18" i="15"/>
  <c r="DH3" i="15"/>
  <c r="K224" i="15"/>
  <c r="H241" i="15"/>
  <c r="C87" i="15"/>
  <c r="S126" i="15"/>
  <c r="P84" i="15"/>
  <c r="T68" i="15"/>
  <c r="AF45" i="15"/>
  <c r="J32" i="15"/>
  <c r="C18" i="15"/>
  <c r="CT3" i="15"/>
  <c r="F2094" i="6"/>
  <c r="DZ16" i="15"/>
  <c r="R167" i="15"/>
  <c r="P121" i="15"/>
  <c r="D104" i="15"/>
  <c r="P43" i="15"/>
  <c r="AK67" i="15"/>
  <c r="X213" i="15"/>
  <c r="K20" i="15"/>
  <c r="L51" i="15"/>
  <c r="Z121" i="15"/>
  <c r="B13" i="15"/>
  <c r="K45" i="15"/>
  <c r="R103" i="15"/>
  <c r="AL4" i="15"/>
  <c r="Z36" i="15"/>
  <c r="L1709" i="6"/>
  <c r="AL179" i="15"/>
  <c r="Y119" i="15"/>
  <c r="E89" i="15"/>
  <c r="AD214" i="15"/>
  <c r="Z55" i="15"/>
  <c r="O97" i="15"/>
  <c r="F102" i="15"/>
  <c r="L2132" i="6"/>
  <c r="G25" i="15"/>
  <c r="P60" i="15"/>
  <c r="L2059" i="6"/>
  <c r="Z32" i="15"/>
  <c r="AL73" i="15"/>
  <c r="DI4" i="15"/>
  <c r="AL42" i="15"/>
  <c r="R137" i="15"/>
  <c r="M16" i="15"/>
  <c r="L1487" i="6"/>
  <c r="B176" i="15"/>
  <c r="Z142" i="15"/>
  <c r="F134" i="15"/>
  <c r="P140" i="15"/>
  <c r="C147" i="15"/>
  <c r="AE52" i="15"/>
  <c r="W13" i="15"/>
  <c r="AF49" i="15"/>
  <c r="AC133" i="15"/>
  <c r="AK14" i="15"/>
  <c r="AL54" i="15"/>
  <c r="L2053" i="6"/>
  <c r="I32" i="15"/>
  <c r="AO72" i="15"/>
  <c r="CU4" i="15"/>
  <c r="P42" i="15"/>
  <c r="C135" i="15"/>
  <c r="V20" i="15"/>
  <c r="L1553" i="6"/>
  <c r="AC261" i="15"/>
  <c r="V138" i="15"/>
  <c r="AH174" i="15"/>
  <c r="AC23" i="15"/>
  <c r="AA50" i="15"/>
  <c r="AG43" i="15"/>
  <c r="L3750" i="4"/>
  <c r="L1747" i="6"/>
  <c r="F949" i="6"/>
  <c r="L1478" i="6"/>
  <c r="B15" i="15"/>
  <c r="L3555" i="4"/>
  <c r="F1478" i="6"/>
  <c r="G36" i="15"/>
  <c r="L1227" i="6"/>
  <c r="F1830" i="6"/>
  <c r="I108" i="15"/>
  <c r="F1346" i="6"/>
  <c r="AO15" i="15"/>
  <c r="L1174" i="6"/>
  <c r="O102" i="15"/>
  <c r="J6" i="15"/>
  <c r="S34" i="15"/>
  <c r="L1348" i="6"/>
  <c r="F1499" i="6"/>
  <c r="I18" i="15"/>
  <c r="F1233" i="6"/>
  <c r="F2053" i="6"/>
  <c r="L1164" i="6"/>
  <c r="L1798" i="6"/>
  <c r="S73" i="15"/>
  <c r="L1390" i="6"/>
  <c r="AC34" i="15"/>
  <c r="L1271" i="6"/>
  <c r="F1981" i="6"/>
  <c r="L3444" i="4"/>
  <c r="F1659" i="6"/>
  <c r="F943" i="6"/>
  <c r="L1560" i="6"/>
  <c r="L882" i="6"/>
  <c r="L306" i="6"/>
  <c r="L3222" i="4"/>
  <c r="L273" i="6"/>
  <c r="AK192" i="15"/>
  <c r="F2030" i="6"/>
  <c r="A46" i="15"/>
  <c r="E61" i="15"/>
  <c r="F1331" i="6"/>
  <c r="F1970" i="6"/>
  <c r="F1133" i="6"/>
  <c r="F1858" i="6"/>
  <c r="L1064" i="6"/>
  <c r="F1635" i="6"/>
  <c r="D28" i="15"/>
  <c r="F1256" i="6"/>
  <c r="F2092" i="6"/>
  <c r="L1171" i="6"/>
  <c r="L1816" i="6"/>
  <c r="L3217" i="4"/>
  <c r="L1495" i="6"/>
  <c r="F82" i="15"/>
  <c r="L1393" i="6"/>
  <c r="L782" i="6"/>
  <c r="L206" i="6"/>
  <c r="F1860" i="6"/>
  <c r="R100" i="15"/>
  <c r="W26" i="15"/>
  <c r="E98" i="15"/>
  <c r="O30" i="15"/>
  <c r="L1957" i="6"/>
  <c r="L3426" i="4"/>
  <c r="F1649" i="6"/>
  <c r="F937" i="6"/>
  <c r="L1537" i="6"/>
  <c r="W49" i="15"/>
  <c r="L3951" i="4"/>
  <c r="L1850" i="6"/>
  <c r="F1060" i="6"/>
  <c r="L1712" i="6"/>
  <c r="L975" i="6"/>
  <c r="F1496" i="6"/>
  <c r="V14" i="15"/>
  <c r="F1223" i="6"/>
  <c r="L2046" i="6"/>
  <c r="L1162" i="6"/>
  <c r="L586" i="6"/>
  <c r="L10" i="6"/>
  <c r="AC54" i="15"/>
  <c r="A59" i="15"/>
  <c r="U11" i="15"/>
  <c r="C37" i="15"/>
  <c r="L3846" i="4"/>
  <c r="L1878" i="6"/>
  <c r="F1077" i="6"/>
  <c r="L1766" i="6"/>
  <c r="L1008" i="6"/>
  <c r="L1543" i="6"/>
  <c r="DB4" i="15"/>
  <c r="F1200" i="6"/>
  <c r="L1941" i="6"/>
  <c r="L1115" i="6"/>
  <c r="F1725" i="6"/>
  <c r="DY82" i="15"/>
  <c r="L1402" i="6"/>
  <c r="AC48" i="15"/>
  <c r="L1302" i="6"/>
  <c r="L726" i="6"/>
  <c r="L150" i="6"/>
  <c r="K365" i="15"/>
  <c r="E191" i="15"/>
  <c r="J165" i="15"/>
  <c r="D214" i="15"/>
  <c r="AL70" i="15"/>
  <c r="E126" i="15"/>
  <c r="K73" i="15"/>
  <c r="AC269" i="15"/>
  <c r="H104" i="15"/>
  <c r="AC114" i="15"/>
  <c r="AL37" i="15"/>
  <c r="AG94" i="15"/>
  <c r="AR98" i="15"/>
  <c r="AR14" i="15"/>
  <c r="AF107" i="15"/>
  <c r="C90" i="15"/>
  <c r="A1" i="15"/>
  <c r="A168" i="15"/>
  <c r="X13" i="15"/>
  <c r="AK9" i="15"/>
  <c r="V72" i="15"/>
  <c r="H103" i="15"/>
  <c r="J38" i="15"/>
  <c r="L2088" i="6"/>
  <c r="S98" i="15"/>
  <c r="F2031" i="6"/>
  <c r="AN44" i="15"/>
  <c r="Y3" i="15"/>
  <c r="U174" i="15"/>
  <c r="AF309" i="15"/>
  <c r="U44" i="15"/>
  <c r="O107" i="15"/>
  <c r="AH113" i="15"/>
  <c r="H25" i="15"/>
  <c r="DV6" i="15"/>
  <c r="L2083" i="6"/>
  <c r="A116" i="15"/>
  <c r="T63" i="15"/>
  <c r="C52" i="15"/>
  <c r="AB217" i="15"/>
  <c r="AN71" i="15"/>
  <c r="Y111" i="15"/>
  <c r="H57" i="15"/>
  <c r="AC61" i="15"/>
  <c r="X41" i="15"/>
  <c r="Y27" i="15"/>
  <c r="AN13" i="15"/>
  <c r="L2136" i="6"/>
  <c r="R144" i="15"/>
  <c r="AA216" i="15"/>
  <c r="S71" i="15"/>
  <c r="F111" i="15"/>
  <c r="AJ56" i="15"/>
  <c r="O61" i="15"/>
  <c r="F41" i="15"/>
  <c r="L27" i="15"/>
  <c r="S13" i="15"/>
  <c r="L2130" i="6"/>
  <c r="F2022" i="6"/>
  <c r="L2075" i="6"/>
  <c r="AK195" i="15"/>
  <c r="K107" i="15"/>
  <c r="AG75" i="15"/>
  <c r="AR31" i="15"/>
  <c r="A61" i="15"/>
  <c r="P141" i="15"/>
  <c r="Z15" i="15"/>
  <c r="E42" i="15"/>
  <c r="T103" i="15"/>
  <c r="C8" i="15"/>
  <c r="V40" i="15"/>
  <c r="AA83" i="15"/>
  <c r="F2088" i="6"/>
  <c r="Z31" i="15"/>
  <c r="L1637" i="6"/>
  <c r="AR266" i="15"/>
  <c r="S101" i="15"/>
  <c r="S282" i="15"/>
  <c r="AN151" i="15"/>
  <c r="M43" i="15"/>
  <c r="T65" i="15"/>
  <c r="K81" i="15"/>
  <c r="P200" i="15"/>
  <c r="AL19" i="15"/>
  <c r="J55" i="15"/>
  <c r="I230" i="15"/>
  <c r="X27" i="15"/>
  <c r="AA64" i="15"/>
  <c r="BR3" i="15"/>
  <c r="X37" i="15"/>
  <c r="B96" i="15"/>
  <c r="T11" i="15"/>
  <c r="L1436" i="6"/>
  <c r="E249" i="15"/>
  <c r="AA117" i="15"/>
  <c r="AA116" i="15"/>
  <c r="N121" i="15"/>
  <c r="AL126" i="15"/>
  <c r="J42" i="15"/>
  <c r="AB7" i="15"/>
  <c r="J44" i="15"/>
  <c r="J90" i="15"/>
  <c r="AL9" i="15"/>
  <c r="P50" i="15"/>
  <c r="L209" i="15"/>
  <c r="K27" i="15"/>
  <c r="D64" i="15"/>
  <c r="BD3" i="15"/>
  <c r="F37" i="15"/>
  <c r="AL112" i="15"/>
  <c r="AR15" i="15"/>
  <c r="L1481" i="6"/>
  <c r="E77" i="15"/>
  <c r="I92" i="15"/>
  <c r="F203" i="15"/>
  <c r="F2102" i="6"/>
  <c r="B21" i="15"/>
  <c r="AC21" i="15"/>
  <c r="L3606" i="4"/>
  <c r="F1669" i="6"/>
  <c r="Z196" i="15"/>
  <c r="L1395" i="6"/>
  <c r="F2117" i="6"/>
  <c r="AC194" i="15"/>
  <c r="F1395" i="6"/>
  <c r="L16" i="15"/>
  <c r="L1179" i="6"/>
  <c r="F1751" i="6"/>
  <c r="H58" i="15"/>
  <c r="F1283" i="6"/>
  <c r="F2110" i="6"/>
  <c r="L1126" i="6"/>
  <c r="I116" i="15"/>
  <c r="N109" i="15"/>
  <c r="C98" i="15"/>
  <c r="H142" i="15"/>
  <c r="L1422" i="6"/>
  <c r="V3" i="15"/>
  <c r="F1185" i="6"/>
  <c r="F1943" i="6"/>
  <c r="L1116" i="6"/>
  <c r="F1720" i="6"/>
  <c r="U49" i="15"/>
  <c r="F1308" i="6"/>
  <c r="X14" i="15"/>
  <c r="L1223" i="6"/>
  <c r="F1902" i="6"/>
  <c r="L3300" i="4"/>
  <c r="L1580" i="6"/>
  <c r="F895" i="6"/>
  <c r="F1482" i="6"/>
  <c r="L834" i="6"/>
  <c r="L258" i="6"/>
  <c r="K34" i="15"/>
  <c r="F191" i="6"/>
  <c r="C69" i="15"/>
  <c r="AC64" i="15"/>
  <c r="N16" i="15"/>
  <c r="O40" i="15"/>
  <c r="L3870" i="4"/>
  <c r="L1891" i="6"/>
  <c r="F1085" i="6"/>
  <c r="L1779" i="6"/>
  <c r="L1016" i="6"/>
  <c r="L1556" i="6"/>
  <c r="I8" i="15"/>
  <c r="F1208" i="6"/>
  <c r="L1954" i="6"/>
  <c r="L1123" i="6"/>
  <c r="F1738" i="6"/>
  <c r="AD95" i="15"/>
  <c r="L1415" i="6"/>
  <c r="AJ51" i="15"/>
  <c r="L1310" i="6"/>
  <c r="L734" i="6"/>
  <c r="L158" i="6"/>
  <c r="L1545" i="6"/>
  <c r="Z176" i="15"/>
  <c r="F2055" i="6"/>
  <c r="V46" i="15"/>
  <c r="CD3" i="15"/>
  <c r="F1879" i="6"/>
  <c r="L3286" i="4"/>
  <c r="L1570" i="6"/>
  <c r="F140" i="15"/>
  <c r="F1457" i="6"/>
  <c r="AL29" i="15"/>
  <c r="L3807" i="4"/>
  <c r="F1772" i="6"/>
  <c r="F1012" i="6"/>
  <c r="F1634" i="6"/>
  <c r="AO95" i="15"/>
  <c r="L1411" i="6"/>
  <c r="L2110" i="6"/>
  <c r="F1175" i="6"/>
  <c r="F1940" i="6"/>
  <c r="L1114" i="6"/>
  <c r="L538" i="6"/>
  <c r="L3850" i="4"/>
  <c r="V68" i="15"/>
  <c r="D30" i="15"/>
  <c r="F171" i="15"/>
  <c r="S15" i="15"/>
  <c r="L3702" i="4"/>
  <c r="F1800" i="6"/>
  <c r="F1029" i="6"/>
  <c r="F1688" i="6"/>
  <c r="AA149" i="15"/>
  <c r="F1461" i="6"/>
  <c r="L2008" i="6"/>
  <c r="F1152" i="6"/>
  <c r="F1863" i="6"/>
  <c r="L1067" i="6"/>
  <c r="L1646" i="6"/>
  <c r="DZ51" i="15"/>
  <c r="L1319" i="6"/>
  <c r="B29" i="15"/>
  <c r="L1254" i="6"/>
  <c r="L678" i="6"/>
  <c r="L102" i="6"/>
  <c r="AC106" i="15"/>
  <c r="X39" i="15"/>
  <c r="L2106" i="6"/>
  <c r="L1324" i="6"/>
  <c r="F1475" i="6"/>
  <c r="I12" i="15"/>
  <c r="F1217" i="6"/>
  <c r="L1999" i="6"/>
  <c r="L1148" i="6"/>
  <c r="L1772" i="6"/>
  <c r="H62" i="15"/>
  <c r="F1360" i="6"/>
  <c r="AO27" i="15"/>
  <c r="L1255" i="6"/>
  <c r="F1954" i="6"/>
  <c r="L3396" i="4"/>
  <c r="F1633" i="6"/>
  <c r="F927" i="6"/>
  <c r="F1534" i="6"/>
  <c r="L866" i="6"/>
  <c r="L290" i="6"/>
  <c r="AH73" i="15"/>
  <c r="N27" i="15"/>
  <c r="K125" i="15"/>
  <c r="L1607" i="6"/>
  <c r="F1702" i="6"/>
  <c r="O74" i="15"/>
  <c r="L1391" i="6"/>
  <c r="AN41" i="15"/>
  <c r="L1288" i="6"/>
  <c r="F2009" i="6"/>
  <c r="L3483" i="4"/>
  <c r="F1595" i="6"/>
  <c r="P137" i="15"/>
  <c r="L1455" i="6"/>
  <c r="F31" i="15"/>
  <c r="DY269" i="15"/>
  <c r="Y186" i="15"/>
  <c r="AO160" i="15"/>
  <c r="AC202" i="15"/>
  <c r="AL65" i="15"/>
  <c r="T120" i="15"/>
  <c r="P184" i="15"/>
  <c r="O122" i="15"/>
  <c r="C99" i="15"/>
  <c r="O110" i="15"/>
  <c r="AK32" i="15"/>
  <c r="J88" i="15"/>
  <c r="I94" i="15"/>
  <c r="AR9" i="15"/>
  <c r="W99" i="15"/>
  <c r="B81" i="15"/>
  <c r="AN163" i="15"/>
  <c r="D176" i="15"/>
  <c r="AG4" i="15"/>
  <c r="CW4" i="15"/>
  <c r="A64" i="15"/>
  <c r="AM87" i="15"/>
  <c r="H33" i="15"/>
  <c r="Q178" i="15"/>
  <c r="X76" i="15"/>
  <c r="AC192" i="15"/>
  <c r="E40" i="15"/>
  <c r="L2099" i="6"/>
  <c r="AK138" i="15"/>
  <c r="Q151" i="15"/>
  <c r="AG39" i="15"/>
  <c r="H93" i="15"/>
  <c r="F74" i="15"/>
  <c r="B19" i="15"/>
  <c r="C4" i="15"/>
  <c r="L2011" i="6"/>
  <c r="D98" i="15"/>
  <c r="AO57" i="15"/>
  <c r="X47" i="15"/>
  <c r="T153" i="15"/>
  <c r="W176" i="15"/>
  <c r="AI97" i="15"/>
  <c r="DX43" i="15"/>
  <c r="B56" i="15"/>
  <c r="R36" i="15"/>
  <c r="S22" i="15"/>
  <c r="AO8" i="15"/>
  <c r="L2064" i="6"/>
  <c r="P119" i="15"/>
  <c r="Z152" i="15"/>
  <c r="G175" i="15"/>
  <c r="U97" i="15"/>
  <c r="AE43" i="15"/>
  <c r="AA55" i="15"/>
  <c r="A36" i="15"/>
  <c r="B22" i="15"/>
  <c r="T8" i="15"/>
  <c r="DX288" i="15"/>
  <c r="W205" i="15"/>
  <c r="L1931" i="6"/>
  <c r="V187" i="15"/>
  <c r="G93" i="15"/>
  <c r="AA236" i="15"/>
  <c r="G108" i="15"/>
  <c r="L55" i="15"/>
  <c r="U113" i="15"/>
  <c r="DY4" i="15"/>
  <c r="AK36" i="15"/>
  <c r="AC83" i="15"/>
  <c r="AO4" i="15"/>
  <c r="Y35" i="15"/>
  <c r="DW61" i="15"/>
  <c r="F2016" i="6"/>
  <c r="AB26" i="15"/>
  <c r="L1565" i="6"/>
  <c r="DZ162" i="15"/>
  <c r="AG253" i="15"/>
  <c r="AL165" i="15"/>
  <c r="Y129" i="15"/>
  <c r="I29" i="15"/>
  <c r="U53" i="15"/>
  <c r="U60" i="15"/>
  <c r="G136" i="15"/>
  <c r="I15" i="15"/>
  <c r="AL50" i="15"/>
  <c r="E145" i="15"/>
  <c r="R22" i="15"/>
  <c r="AO58" i="15"/>
  <c r="L2118" i="6"/>
  <c r="V27" i="15"/>
  <c r="R77" i="15"/>
  <c r="Q6" i="15"/>
  <c r="L1388" i="6"/>
  <c r="AB159" i="15"/>
  <c r="V99" i="15"/>
  <c r="AO103" i="15"/>
  <c r="H107" i="15"/>
  <c r="V111" i="15"/>
  <c r="T28" i="15"/>
  <c r="S4" i="15"/>
  <c r="Z33" i="15"/>
  <c r="E73" i="15"/>
  <c r="CX4" i="15"/>
  <c r="AE45" i="15"/>
  <c r="AH142" i="15"/>
  <c r="A22" i="15"/>
  <c r="R58" i="15"/>
  <c r="L2112" i="6"/>
  <c r="G32" i="15"/>
  <c r="X94" i="15"/>
  <c r="C11" i="15"/>
  <c r="L1384" i="6"/>
  <c r="DY187" i="15"/>
  <c r="V152" i="15"/>
  <c r="J71" i="15"/>
  <c r="AR73" i="15"/>
  <c r="F2064" i="6"/>
  <c r="CB3" i="15"/>
  <c r="L3462" i="4"/>
  <c r="L1590" i="6"/>
  <c r="AH78" i="15"/>
  <c r="F1313" i="6"/>
  <c r="F1884" i="6"/>
  <c r="V78" i="15"/>
  <c r="F1312" i="6"/>
  <c r="F2140" i="6"/>
  <c r="L1131" i="6"/>
  <c r="L1672" i="6"/>
  <c r="AC39" i="15"/>
  <c r="F1235" i="6"/>
  <c r="L1959" i="6"/>
  <c r="L1078" i="6"/>
  <c r="E134" i="15"/>
  <c r="A19" i="15"/>
  <c r="S46" i="15"/>
  <c r="AC62" i="15"/>
  <c r="L1339" i="6"/>
  <c r="L1976" i="6"/>
  <c r="F1137" i="6"/>
  <c r="L1864" i="6"/>
  <c r="L1068" i="6"/>
  <c r="L1641" i="6"/>
  <c r="AK29" i="15"/>
  <c r="F1260" i="6"/>
  <c r="F2116" i="6"/>
  <c r="L1175" i="6"/>
  <c r="F1823" i="6"/>
  <c r="L3223" i="4"/>
  <c r="F1502" i="6"/>
  <c r="AI87" i="15"/>
  <c r="F1398" i="6"/>
  <c r="L786" i="6"/>
  <c r="L210" i="6"/>
  <c r="F1886" i="6"/>
  <c r="F108" i="6"/>
  <c r="AB120" i="15"/>
  <c r="N35" i="15"/>
  <c r="F1992" i="6"/>
  <c r="K18" i="15"/>
  <c r="L3726" i="4"/>
  <c r="F1813" i="6"/>
  <c r="F1037" i="6"/>
  <c r="F1701" i="6"/>
  <c r="J196" i="15"/>
  <c r="F1474" i="6"/>
  <c r="F2038" i="6"/>
  <c r="F1160" i="6"/>
  <c r="F1876" i="6"/>
  <c r="L1075" i="6"/>
  <c r="L1659" i="6"/>
  <c r="B55" i="15"/>
  <c r="F1333" i="6"/>
  <c r="V32" i="15"/>
  <c r="L1262" i="6"/>
  <c r="L686" i="6"/>
  <c r="L110" i="6"/>
  <c r="F954" i="6"/>
  <c r="K80" i="15"/>
  <c r="D66" i="15"/>
  <c r="AK16" i="15"/>
  <c r="L1835" i="6"/>
  <c r="L1800" i="6"/>
  <c r="L3214" i="4"/>
  <c r="F1492" i="6"/>
  <c r="AJ66" i="15"/>
  <c r="F1374" i="6"/>
  <c r="D10" i="15"/>
  <c r="L3663" i="4"/>
  <c r="L1693" i="6"/>
  <c r="F964" i="6"/>
  <c r="L1555" i="6"/>
  <c r="C55" i="15"/>
  <c r="F1329" i="6"/>
  <c r="F1960" i="6"/>
  <c r="F1127" i="6"/>
  <c r="L1861" i="6"/>
  <c r="L1066" i="6"/>
  <c r="L490" i="6"/>
  <c r="L3706" i="4"/>
  <c r="L2073" i="6"/>
  <c r="BT3" i="15"/>
  <c r="AK58" i="15"/>
  <c r="F2099" i="6"/>
  <c r="L3558" i="4"/>
  <c r="F1721" i="6"/>
  <c r="F981" i="6"/>
  <c r="L1609" i="6"/>
  <c r="O69" i="15"/>
  <c r="F1378" i="6"/>
  <c r="L1922" i="6"/>
  <c r="F1104" i="6"/>
  <c r="L1784" i="6"/>
  <c r="L1019" i="6"/>
  <c r="F1568" i="6"/>
  <c r="AO32" i="15"/>
  <c r="F1267" i="6"/>
  <c r="H9" i="15"/>
  <c r="L1206" i="6"/>
  <c r="L630" i="6"/>
  <c r="L54" i="6"/>
  <c r="AN112" i="15"/>
  <c r="R9" i="15"/>
  <c r="AL66" i="15"/>
  <c r="Y105" i="15"/>
  <c r="F1392" i="6"/>
  <c r="Z206" i="15"/>
  <c r="O166" i="15"/>
  <c r="X110" i="15"/>
  <c r="J77" i="15"/>
  <c r="AC24" i="15"/>
  <c r="AB62" i="15"/>
  <c r="AR81" i="15"/>
  <c r="DY175" i="15"/>
  <c r="E152" i="15"/>
  <c r="J183" i="15"/>
  <c r="AG164" i="15"/>
  <c r="F122" i="15"/>
  <c r="AA130" i="15"/>
  <c r="C56" i="15"/>
  <c r="AE112" i="15"/>
  <c r="K112" i="15"/>
  <c r="O29" i="15"/>
  <c r="D82" i="15"/>
  <c r="CK3" i="15"/>
  <c r="AK54" i="15"/>
  <c r="Z9" i="15"/>
  <c r="K121" i="15"/>
  <c r="U127" i="15"/>
  <c r="W35" i="15"/>
  <c r="AN82" i="15"/>
  <c r="S31" i="15"/>
  <c r="B145" i="15"/>
  <c r="G252" i="15"/>
  <c r="W102" i="15"/>
  <c r="X33" i="15"/>
  <c r="AN279" i="15"/>
  <c r="T142" i="15"/>
  <c r="P10" i="15"/>
  <c r="AB315" i="15"/>
  <c r="AF103" i="15"/>
  <c r="V63" i="15"/>
  <c r="T46" i="15"/>
  <c r="D29" i="15"/>
  <c r="AA17" i="15"/>
  <c r="B195" i="15"/>
  <c r="Z64" i="15"/>
  <c r="AG104" i="15"/>
  <c r="T112" i="15"/>
  <c r="J24" i="15"/>
  <c r="V6" i="15"/>
  <c r="L2077" i="6"/>
  <c r="Y114" i="15"/>
  <c r="AN62" i="15"/>
  <c r="AK51" i="15"/>
  <c r="U194" i="15"/>
  <c r="I64" i="15"/>
  <c r="S104" i="15"/>
  <c r="AR110" i="15"/>
  <c r="AK23" i="15"/>
  <c r="I6" i="15"/>
  <c r="L2071" i="6"/>
  <c r="C113" i="15"/>
  <c r="W150" i="15"/>
  <c r="J142" i="15"/>
  <c r="N344" i="15"/>
  <c r="G70" i="15"/>
  <c r="AR78" i="15"/>
  <c r="T157" i="15"/>
  <c r="I54" i="15"/>
  <c r="S50" i="15"/>
  <c r="AG93" i="15"/>
  <c r="F2126" i="6"/>
  <c r="AK31" i="15"/>
  <c r="AR68" i="15"/>
  <c r="BI2" i="15"/>
  <c r="R30" i="15"/>
  <c r="D52" i="15"/>
  <c r="AA196" i="15"/>
  <c r="R21" i="15"/>
  <c r="L1493" i="6"/>
  <c r="C185" i="15"/>
  <c r="G133" i="15"/>
  <c r="H135" i="15"/>
  <c r="X113" i="15"/>
  <c r="AA15" i="15"/>
  <c r="H41" i="15"/>
  <c r="A50" i="15"/>
  <c r="F112" i="15"/>
  <c r="K10" i="15"/>
  <c r="D46" i="15"/>
  <c r="AL119" i="15"/>
  <c r="Q17" i="15"/>
  <c r="C54" i="15"/>
  <c r="A145" i="15"/>
  <c r="O22" i="15"/>
  <c r="S66" i="15"/>
  <c r="DF3" i="15"/>
  <c r="L1340" i="6"/>
  <c r="G181" i="15"/>
  <c r="AB80" i="15"/>
  <c r="X88" i="15"/>
  <c r="E93" i="15"/>
  <c r="AG97" i="15"/>
  <c r="V17" i="15"/>
  <c r="F2061" i="6"/>
  <c r="DZ27" i="15"/>
  <c r="J64" i="15"/>
  <c r="BG3" i="15"/>
  <c r="E41" i="15"/>
  <c r="AR117" i="15"/>
  <c r="D17" i="15"/>
  <c r="AD53" i="15"/>
  <c r="K208" i="15"/>
  <c r="I27" i="15"/>
  <c r="DX75" i="15"/>
  <c r="CR3" i="15"/>
  <c r="L1336" i="6"/>
  <c r="AO197" i="15"/>
  <c r="AN104" i="15"/>
  <c r="AI82" i="15"/>
  <c r="F40" i="15"/>
  <c r="AA73" i="15"/>
  <c r="F1977" i="6"/>
  <c r="L3318" i="4"/>
  <c r="F1512" i="6"/>
  <c r="F51" i="15"/>
  <c r="L1216" i="6"/>
  <c r="F1805" i="6"/>
  <c r="D51" i="15"/>
  <c r="F1264" i="6"/>
  <c r="F1968" i="6"/>
  <c r="L1083" i="6"/>
  <c r="F1594" i="6"/>
  <c r="F19" i="15"/>
  <c r="F1187" i="6"/>
  <c r="F1881" i="6"/>
  <c r="L1030" i="6"/>
  <c r="AN149" i="15"/>
  <c r="F2036" i="6"/>
  <c r="AA16" i="15"/>
  <c r="M42" i="15"/>
  <c r="L3882" i="4"/>
  <c r="F1898" i="6"/>
  <c r="F1089" i="6"/>
  <c r="F1786" i="6"/>
  <c r="L1020" i="6"/>
  <c r="F1563" i="6"/>
  <c r="C10" i="15"/>
  <c r="F1212" i="6"/>
  <c r="F1961" i="6"/>
  <c r="L1127" i="6"/>
  <c r="L1744" i="6"/>
  <c r="X102" i="15"/>
  <c r="F1420" i="6"/>
  <c r="H53" i="15"/>
  <c r="F1315" i="6"/>
  <c r="L738" i="6"/>
  <c r="L162" i="6"/>
  <c r="F1572" i="6"/>
  <c r="F25" i="6"/>
  <c r="AX4" i="15"/>
  <c r="DK4" i="15"/>
  <c r="W64" i="15"/>
  <c r="F2147" i="6"/>
  <c r="L3582" i="4"/>
  <c r="L1734" i="6"/>
  <c r="F989" i="6"/>
  <c r="L1622" i="6"/>
  <c r="AF78" i="15"/>
  <c r="F1391" i="6"/>
  <c r="L1935" i="6"/>
  <c r="F1112" i="6"/>
  <c r="L1797" i="6"/>
  <c r="L1027" i="6"/>
  <c r="F1581" i="6"/>
  <c r="E36" i="15"/>
  <c r="F1275" i="6"/>
  <c r="X12" i="15"/>
  <c r="L1214" i="6"/>
  <c r="L638" i="6"/>
  <c r="L62" i="6"/>
  <c r="F841" i="6"/>
  <c r="O87" i="15"/>
  <c r="I33" i="15"/>
  <c r="DZ160" i="15"/>
  <c r="L1643" i="6"/>
  <c r="F1722" i="6"/>
  <c r="AB92" i="15"/>
  <c r="L1413" i="6"/>
  <c r="P46" i="15"/>
  <c r="L1300" i="6"/>
  <c r="L2052" i="6"/>
  <c r="L3519" i="4"/>
  <c r="F1615" i="6"/>
  <c r="G189" i="15"/>
  <c r="L1477" i="6"/>
  <c r="F36" i="15"/>
  <c r="L3852" i="4"/>
  <c r="L1881" i="6"/>
  <c r="F1079" i="6"/>
  <c r="F1783" i="6"/>
  <c r="L1018" i="6"/>
  <c r="L442" i="6"/>
  <c r="AG76" i="15"/>
  <c r="F26" i="15"/>
  <c r="T96" i="15"/>
  <c r="AO29" i="15"/>
  <c r="F1951" i="6"/>
  <c r="L3414" i="4"/>
  <c r="L1642" i="6"/>
  <c r="F933" i="6"/>
  <c r="F1531" i="6"/>
  <c r="AJ47" i="15"/>
  <c r="L3939" i="4"/>
  <c r="F1844" i="6"/>
  <c r="F1056" i="6"/>
  <c r="F1706" i="6"/>
  <c r="L971" i="6"/>
  <c r="L1489" i="6"/>
  <c r="DU12" i="15"/>
  <c r="F1219" i="6"/>
  <c r="L2032" i="6"/>
  <c r="L1158" i="6"/>
  <c r="L582" i="6"/>
  <c r="L6" i="6"/>
  <c r="P126" i="15"/>
  <c r="AB133" i="15"/>
  <c r="AA36" i="15"/>
  <c r="AN55" i="15"/>
  <c r="L1313" i="6"/>
  <c r="L1950" i="6"/>
  <c r="F1121" i="6"/>
  <c r="L1838" i="6"/>
  <c r="L1052" i="6"/>
  <c r="L1615" i="6"/>
  <c r="C23" i="15"/>
  <c r="F1244" i="6"/>
  <c r="F2035" i="6"/>
  <c r="L1159" i="6"/>
  <c r="F1797" i="6"/>
  <c r="AK187" i="15"/>
  <c r="F1477" i="6"/>
  <c r="D68" i="15"/>
  <c r="L1371" i="6"/>
  <c r="L770" i="6"/>
  <c r="L194" i="6"/>
  <c r="Z103" i="15"/>
  <c r="AB70" i="15"/>
  <c r="Z23" i="15"/>
  <c r="L1376" i="6"/>
  <c r="F1545" i="6"/>
  <c r="I30" i="15"/>
  <c r="F1261" i="6"/>
  <c r="DR3" i="15"/>
  <c r="L1192" i="6"/>
  <c r="L1844" i="6"/>
  <c r="M115" i="15"/>
  <c r="L1438" i="6"/>
  <c r="AO45" i="15"/>
  <c r="L1299" i="6"/>
  <c r="V193" i="15"/>
  <c r="B162" i="15"/>
  <c r="C106" i="15"/>
  <c r="J73" i="15"/>
  <c r="U19" i="15"/>
  <c r="AL57" i="15"/>
  <c r="G73" i="15"/>
  <c r="J236" i="15"/>
  <c r="Z143" i="15"/>
  <c r="X165" i="15"/>
  <c r="Y112" i="15"/>
  <c r="AB116" i="15"/>
  <c r="AL124" i="15"/>
  <c r="AR46" i="15"/>
  <c r="P107" i="15"/>
  <c r="AO107" i="15"/>
  <c r="P24" i="15"/>
  <c r="R135" i="15"/>
  <c r="F2121" i="6"/>
  <c r="K50" i="15"/>
  <c r="CS4" i="15"/>
  <c r="F107" i="15"/>
  <c r="AI107" i="15"/>
  <c r="P30" i="15"/>
  <c r="I69" i="15"/>
  <c r="E26" i="15"/>
  <c r="AK119" i="15"/>
  <c r="W284" i="15"/>
  <c r="AL61" i="15"/>
  <c r="K28" i="15"/>
  <c r="AC149" i="15"/>
  <c r="B123" i="15"/>
  <c r="AG3" i="15"/>
  <c r="J120" i="15"/>
  <c r="A69" i="15"/>
  <c r="P53" i="15"/>
  <c r="AB36" i="15"/>
  <c r="AL18" i="15"/>
  <c r="AO7" i="15"/>
  <c r="DV176" i="15"/>
  <c r="AA141" i="15"/>
  <c r="P76" i="15"/>
  <c r="AO54" i="15"/>
  <c r="V13" i="15"/>
  <c r="F2138" i="6"/>
  <c r="DV155" i="15"/>
  <c r="AD77" i="15"/>
  <c r="AK52" i="15"/>
  <c r="AK42" i="15"/>
  <c r="AC176" i="15"/>
  <c r="F141" i="15"/>
  <c r="DZ75" i="15"/>
  <c r="AA54" i="15"/>
  <c r="E13" i="15"/>
  <c r="F2132" i="6"/>
  <c r="Y150" i="15"/>
  <c r="J76" i="15"/>
  <c r="P62" i="15"/>
  <c r="T117" i="15"/>
  <c r="AC240" i="15"/>
  <c r="G125" i="15"/>
  <c r="D65" i="15"/>
  <c r="AK131" i="15"/>
  <c r="Z41" i="15"/>
  <c r="H40" i="15"/>
  <c r="R65" i="15"/>
  <c r="F2054" i="6"/>
  <c r="AO26" i="15"/>
  <c r="DZ61" i="15"/>
  <c r="F2089" i="6"/>
  <c r="G20" i="15"/>
  <c r="Y47" i="15"/>
  <c r="G140" i="15"/>
  <c r="Z16" i="15"/>
  <c r="L1440" i="6"/>
  <c r="DZ154" i="15"/>
  <c r="DV115" i="15"/>
  <c r="X117" i="15"/>
  <c r="K100" i="15"/>
  <c r="D4" i="15"/>
  <c r="AK20" i="15"/>
  <c r="A45" i="15"/>
  <c r="L92" i="15"/>
  <c r="DL4" i="15"/>
  <c r="W41" i="15"/>
  <c r="Z101" i="15"/>
  <c r="AC12" i="15"/>
  <c r="AL44" i="15"/>
  <c r="AC119" i="15"/>
  <c r="O17" i="15"/>
  <c r="I60" i="15"/>
  <c r="L2135" i="6"/>
  <c r="AB288" i="15"/>
  <c r="AB212" i="15"/>
  <c r="R246" i="15"/>
  <c r="W75" i="15"/>
  <c r="AL78" i="15"/>
  <c r="P83" i="15"/>
  <c r="L2091" i="6"/>
  <c r="F316" i="15"/>
  <c r="U22" i="15"/>
  <c r="V58" i="15"/>
  <c r="F2114" i="6"/>
  <c r="DZ35" i="15"/>
  <c r="AB99" i="15"/>
  <c r="P12" i="15"/>
  <c r="N49" i="15"/>
  <c r="AC142" i="15"/>
  <c r="AO21" i="15"/>
  <c r="AC59" i="15"/>
  <c r="L2129" i="6"/>
  <c r="AB132" i="15"/>
  <c r="E199" i="15"/>
  <c r="AL83" i="15"/>
  <c r="CM3" i="15"/>
  <c r="J10" i="15"/>
  <c r="DZ39" i="15"/>
  <c r="L1898" i="6"/>
  <c r="L3232" i="4"/>
  <c r="F1431" i="6"/>
  <c r="AN11" i="15"/>
  <c r="L1168" i="6"/>
  <c r="L1726" i="6"/>
  <c r="V31" i="15"/>
  <c r="F1216" i="6"/>
  <c r="F1889" i="6"/>
  <c r="L1035" i="6"/>
  <c r="L1515" i="6"/>
  <c r="AX3" i="15"/>
  <c r="F1139" i="6"/>
  <c r="L1802" i="6"/>
  <c r="L934" i="6"/>
  <c r="AK194" i="15"/>
  <c r="K65" i="15"/>
  <c r="F1998" i="6"/>
  <c r="C20" i="15"/>
  <c r="L3738" i="4"/>
  <c r="L1819" i="6"/>
  <c r="F1041" i="6"/>
  <c r="L1707" i="6"/>
  <c r="X277" i="15"/>
  <c r="L1484" i="6"/>
  <c r="F2051" i="6"/>
  <c r="F1164" i="6"/>
  <c r="L1882" i="6"/>
  <c r="L1079" i="6"/>
  <c r="F1666" i="6"/>
  <c r="W56" i="15"/>
  <c r="L1341" i="6"/>
  <c r="O34" i="15"/>
  <c r="L1266" i="6"/>
  <c r="L690" i="6"/>
  <c r="L114" i="6"/>
  <c r="F966" i="6"/>
  <c r="J261" i="15"/>
  <c r="AA39" i="15"/>
  <c r="Z114" i="15"/>
  <c r="I35" i="15"/>
  <c r="F1964" i="6"/>
  <c r="L3438" i="4"/>
  <c r="F1656" i="6"/>
  <c r="F941" i="6"/>
  <c r="F1544" i="6"/>
  <c r="E51" i="15"/>
  <c r="L3963" i="4"/>
  <c r="F1857" i="6"/>
  <c r="F1064" i="6"/>
  <c r="F1719" i="6"/>
  <c r="L979" i="6"/>
  <c r="L1502" i="6"/>
  <c r="J16" i="15"/>
  <c r="F1227" i="6"/>
  <c r="F2062" i="6"/>
  <c r="L1166" i="6"/>
  <c r="L590" i="6"/>
  <c r="L14" i="6"/>
  <c r="F758" i="6"/>
  <c r="AA103" i="15"/>
  <c r="CJ3" i="15"/>
  <c r="AR57" i="15"/>
  <c r="L1472" i="6"/>
  <c r="F1643" i="6"/>
  <c r="K54" i="15"/>
  <c r="L1330" i="6"/>
  <c r="AA26" i="15"/>
  <c r="L1252" i="6"/>
  <c r="L1942" i="6"/>
  <c r="L3375" i="4"/>
  <c r="L1536" i="6"/>
  <c r="P77" i="15"/>
  <c r="L1394" i="6"/>
  <c r="K16" i="15"/>
  <c r="L3708" i="4"/>
  <c r="F1803" i="6"/>
  <c r="F1031" i="6"/>
  <c r="L1704" i="6"/>
  <c r="L970" i="6"/>
  <c r="L394" i="6"/>
  <c r="AL137" i="15"/>
  <c r="F2049" i="6"/>
  <c r="C46" i="15"/>
  <c r="BP3" i="15"/>
  <c r="L1872" i="6"/>
  <c r="L3280" i="4"/>
  <c r="F1564" i="6"/>
  <c r="X130" i="15"/>
  <c r="F1448" i="6"/>
  <c r="E28" i="15"/>
  <c r="L3795" i="4"/>
  <c r="L1765" i="6"/>
  <c r="AB55" i="15"/>
  <c r="H192" i="15"/>
  <c r="U79" i="15"/>
  <c r="B157" i="15"/>
  <c r="R149" i="15"/>
  <c r="F149" i="15"/>
  <c r="F210" i="15"/>
  <c r="W210" i="15"/>
  <c r="U81" i="15"/>
  <c r="P89" i="15"/>
  <c r="AN209" i="15"/>
  <c r="DY303" i="15"/>
  <c r="H68" i="15"/>
  <c r="N231" i="15"/>
  <c r="G141" i="15"/>
  <c r="R153" i="15"/>
  <c r="A80" i="15"/>
  <c r="AB111" i="15"/>
  <c r="N43" i="15"/>
  <c r="F2131" i="6"/>
  <c r="AB204" i="15"/>
  <c r="H48" i="15"/>
  <c r="H24" i="15"/>
  <c r="AK126" i="15"/>
  <c r="M112" i="15"/>
  <c r="AF82" i="15"/>
  <c r="W27" i="15"/>
  <c r="AG162" i="15"/>
  <c r="Q35" i="15"/>
  <c r="DZ108" i="15"/>
  <c r="T33" i="15"/>
  <c r="AF168" i="15"/>
  <c r="F2097" i="6"/>
  <c r="G100" i="15"/>
  <c r="A62" i="15"/>
  <c r="A49" i="15"/>
  <c r="AB31" i="15"/>
  <c r="I14" i="15"/>
  <c r="AK4" i="15"/>
  <c r="Z201" i="15"/>
  <c r="E122" i="15"/>
  <c r="D250" i="15"/>
  <c r="B45" i="15"/>
  <c r="F8" i="15"/>
  <c r="F2066" i="6"/>
  <c r="O125" i="15"/>
  <c r="U66" i="15"/>
  <c r="P48" i="15"/>
  <c r="W37" i="15"/>
  <c r="E201" i="15"/>
  <c r="AL121" i="15"/>
  <c r="X243" i="15"/>
  <c r="K44" i="15"/>
  <c r="AA7" i="15"/>
  <c r="F2060" i="6"/>
  <c r="O123" i="15"/>
  <c r="AN65" i="15"/>
  <c r="V52" i="15"/>
  <c r="J99" i="15"/>
  <c r="N216" i="15"/>
  <c r="AH105" i="15"/>
  <c r="X93" i="15"/>
  <c r="AR114" i="15"/>
  <c r="X30" i="15"/>
  <c r="X34" i="15"/>
  <c r="Y54" i="15"/>
  <c r="AO199" i="15"/>
  <c r="W21" i="15"/>
  <c r="AE56" i="15"/>
  <c r="AC178" i="15"/>
  <c r="Y10" i="15"/>
  <c r="H43" i="15"/>
  <c r="AB115" i="15"/>
  <c r="AO11" i="15"/>
  <c r="AC209" i="15"/>
  <c r="K144" i="15"/>
  <c r="M103" i="15"/>
  <c r="U104" i="15"/>
  <c r="V85" i="15"/>
  <c r="L126" i="15"/>
  <c r="G8" i="15"/>
  <c r="Y39" i="15"/>
  <c r="DY73" i="15"/>
  <c r="BU3" i="15"/>
  <c r="P36" i="15"/>
  <c r="T82" i="15"/>
  <c r="AA4" i="15"/>
  <c r="C40" i="15"/>
  <c r="W101" i="15"/>
  <c r="Z12" i="15"/>
  <c r="F55" i="15"/>
  <c r="L2063" i="6"/>
  <c r="J249" i="15"/>
  <c r="R151" i="15"/>
  <c r="I159" i="15"/>
  <c r="V273" i="15"/>
  <c r="DY209" i="15"/>
  <c r="M55" i="15"/>
  <c r="AB163" i="15"/>
  <c r="L148" i="15"/>
  <c r="G17" i="15"/>
  <c r="AG53" i="15"/>
  <c r="F2042" i="6"/>
  <c r="AR30" i="15"/>
  <c r="AN80" i="15"/>
  <c r="F7" i="15"/>
  <c r="X44" i="15"/>
  <c r="AN117" i="15"/>
  <c r="M12" i="15"/>
  <c r="AG54" i="15"/>
  <c r="L2057" i="6"/>
  <c r="C65" i="15"/>
  <c r="X144" i="15"/>
  <c r="C204" i="15"/>
  <c r="C14" i="15"/>
  <c r="D138" i="15"/>
  <c r="F10" i="15"/>
  <c r="F1820" i="6"/>
  <c r="C111" i="15"/>
  <c r="F1285" i="6"/>
  <c r="F2074" i="6"/>
  <c r="L1120" i="6"/>
  <c r="F1648" i="6"/>
  <c r="AK11" i="15"/>
  <c r="F1168" i="6"/>
  <c r="L1810" i="6"/>
  <c r="L987" i="6"/>
  <c r="L1433" i="6"/>
  <c r="L1980" i="6"/>
  <c r="F1091" i="6"/>
  <c r="L1645" i="6"/>
  <c r="L886" i="6"/>
  <c r="T69" i="15"/>
  <c r="AA35" i="15"/>
  <c r="G65" i="15"/>
  <c r="W3" i="15"/>
  <c r="L3594" i="4"/>
  <c r="F1741" i="6"/>
  <c r="F993" i="6"/>
  <c r="F1629" i="6"/>
  <c r="AC84" i="15"/>
  <c r="L1399" i="6"/>
  <c r="F1942" i="6"/>
  <c r="F1116" i="6"/>
  <c r="F1804" i="6"/>
  <c r="L1031" i="6"/>
  <c r="L1587" i="6"/>
  <c r="AR37" i="15"/>
  <c r="F1279" i="6"/>
  <c r="G14" i="15"/>
  <c r="L1218" i="6"/>
  <c r="L642" i="6"/>
  <c r="L66" i="6"/>
  <c r="L849" i="6"/>
  <c r="Z150" i="15"/>
  <c r="F2127" i="6"/>
  <c r="AK50" i="15"/>
  <c r="DG4" i="15"/>
  <c r="L1885" i="6"/>
  <c r="L3294" i="4"/>
  <c r="F1577" i="6"/>
  <c r="AB149" i="15"/>
  <c r="L1465" i="6"/>
  <c r="W31" i="15"/>
  <c r="L3819" i="4"/>
  <c r="L1778" i="6"/>
  <c r="F1016" i="6"/>
  <c r="L1640" i="6"/>
  <c r="C103" i="15"/>
  <c r="F1416" i="6"/>
  <c r="L2134" i="6"/>
  <c r="F1179" i="6"/>
  <c r="L1946" i="6"/>
  <c r="L1118" i="6"/>
  <c r="L542" i="6"/>
  <c r="L3862" i="4"/>
  <c r="L679" i="6"/>
  <c r="Z116" i="15"/>
  <c r="R88" i="15"/>
  <c r="E29" i="15"/>
  <c r="L1396" i="6"/>
  <c r="L1564" i="6"/>
  <c r="S35" i="15"/>
  <c r="F1273" i="6"/>
  <c r="AC6" i="15"/>
  <c r="L1204" i="6"/>
  <c r="F1864" i="6"/>
  <c r="T139" i="15"/>
  <c r="F1456" i="6"/>
  <c r="Y50" i="15"/>
  <c r="L1311" i="6"/>
  <c r="F2135" i="6"/>
  <c r="L3564" i="4"/>
  <c r="L1724" i="6"/>
  <c r="F983" i="6"/>
  <c r="F1626" i="6"/>
  <c r="L922" i="6"/>
  <c r="L346" i="6"/>
  <c r="AM79" i="15"/>
  <c r="S65" i="15"/>
  <c r="P16" i="15"/>
  <c r="L1829" i="6"/>
  <c r="F1794" i="6"/>
  <c r="C340" i="15"/>
  <c r="L1485" i="6"/>
  <c r="U64" i="15"/>
  <c r="L1369" i="6"/>
  <c r="J8" i="15"/>
  <c r="L3651" i="4"/>
  <c r="F1687" i="6"/>
  <c r="F960" i="6"/>
  <c r="F1549" i="6"/>
  <c r="Y53" i="15"/>
  <c r="F1320" i="6"/>
  <c r="L1953" i="6"/>
  <c r="F1123" i="6"/>
  <c r="F1855" i="6"/>
  <c r="L1062" i="6"/>
  <c r="L486" i="6"/>
  <c r="L3694" i="4"/>
  <c r="P52" i="15"/>
  <c r="W25" i="15"/>
  <c r="AL132" i="15"/>
  <c r="Z13" i="15"/>
  <c r="L3690" i="4"/>
  <c r="AB50" i="15"/>
  <c r="N178" i="15"/>
  <c r="R73" i="15"/>
  <c r="AO150" i="15"/>
  <c r="W140" i="15"/>
  <c r="H236" i="15"/>
  <c r="O167" i="15"/>
  <c r="S185" i="15"/>
  <c r="AH76" i="15"/>
  <c r="AF84" i="15"/>
  <c r="H184" i="15"/>
  <c r="Y185" i="15"/>
  <c r="U271" i="15"/>
  <c r="R279" i="15"/>
  <c r="W133" i="15"/>
  <c r="AN143" i="15"/>
  <c r="H67" i="15"/>
  <c r="AO97" i="15"/>
  <c r="AK37" i="15"/>
  <c r="AN292" i="15"/>
  <c r="O184" i="15"/>
  <c r="AO37" i="15"/>
  <c r="AR18" i="15"/>
  <c r="D107" i="15"/>
  <c r="AC98" i="15"/>
  <c r="S68" i="15"/>
  <c r="P22" i="15"/>
  <c r="Q185" i="15"/>
  <c r="R23" i="15"/>
  <c r="AC89" i="15"/>
  <c r="G28" i="15"/>
  <c r="O136" i="15"/>
  <c r="F2019" i="6"/>
  <c r="X79" i="15"/>
  <c r="AF56" i="15"/>
  <c r="F44" i="15"/>
  <c r="AL26" i="15"/>
  <c r="J9" i="15"/>
  <c r="BK1" i="15"/>
  <c r="A311" i="15"/>
  <c r="A108" i="15"/>
  <c r="AJ159" i="15"/>
  <c r="T31" i="15"/>
  <c r="AE4" i="15"/>
  <c r="A235" i="15"/>
  <c r="AO105" i="15"/>
  <c r="K60" i="15"/>
  <c r="AJ43" i="15"/>
  <c r="W32" i="15"/>
  <c r="AB305" i="15"/>
  <c r="AC107" i="15"/>
  <c r="X158" i="15"/>
  <c r="C31" i="15"/>
  <c r="R4" i="15"/>
  <c r="P212" i="15"/>
  <c r="AE104" i="15"/>
  <c r="AL59" i="15"/>
  <c r="AN47" i="15"/>
  <c r="W51" i="15"/>
  <c r="J152" i="15"/>
  <c r="X86" i="15"/>
  <c r="J193" i="15"/>
  <c r="G102" i="15"/>
  <c r="I21" i="15"/>
  <c r="P23" i="15"/>
  <c r="DY49" i="15"/>
  <c r="N141" i="15"/>
  <c r="AL16" i="15"/>
  <c r="F52" i="15"/>
  <c r="AH111" i="15"/>
  <c r="DV4" i="15"/>
  <c r="E38" i="15"/>
  <c r="AF97" i="15"/>
  <c r="AK6" i="15"/>
  <c r="AA278" i="15"/>
  <c r="AN95" i="15"/>
  <c r="DU87" i="15"/>
  <c r="U89" i="15"/>
  <c r="X72" i="15"/>
  <c r="D53" i="15"/>
  <c r="AF4" i="15"/>
  <c r="G34" i="15"/>
  <c r="AK64" i="15"/>
  <c r="F2120" i="6"/>
  <c r="T26" i="15"/>
  <c r="Z61" i="15"/>
  <c r="L2155" i="6"/>
  <c r="K35" i="15"/>
  <c r="R82" i="15"/>
  <c r="U7" i="15"/>
  <c r="Z50" i="15"/>
  <c r="L1991" i="6"/>
  <c r="AC262" i="15"/>
  <c r="F177" i="15"/>
  <c r="W132" i="15"/>
  <c r="S164" i="15"/>
  <c r="G129" i="15"/>
  <c r="DZ42" i="15"/>
  <c r="AA95" i="15"/>
  <c r="K120" i="15"/>
  <c r="F12" i="15"/>
  <c r="Q49" i="15"/>
  <c r="E186" i="15"/>
  <c r="C26" i="15"/>
  <c r="Y67" i="15"/>
  <c r="N4" i="15"/>
  <c r="AH39" i="15"/>
  <c r="AL80" i="15"/>
  <c r="D7" i="15"/>
  <c r="H50" i="15"/>
  <c r="L1985" i="6"/>
  <c r="E45" i="15"/>
  <c r="AC175" i="15"/>
  <c r="DZ141" i="15"/>
  <c r="B50" i="15"/>
  <c r="I55" i="15"/>
  <c r="L1901" i="6"/>
  <c r="L1741" i="6"/>
  <c r="K40" i="15"/>
  <c r="F1237" i="6"/>
  <c r="F1950" i="6"/>
  <c r="L1072" i="6"/>
  <c r="L1569" i="6"/>
  <c r="L2068" i="6"/>
  <c r="F1120" i="6"/>
  <c r="F1732" i="6"/>
  <c r="F114" i="15"/>
  <c r="L1350" i="6"/>
  <c r="F1901" i="6"/>
  <c r="F995" i="6"/>
  <c r="F1567" i="6"/>
  <c r="L838" i="6"/>
  <c r="P122" i="15"/>
  <c r="DX4" i="15"/>
  <c r="V35" i="15"/>
  <c r="L1970" i="6"/>
  <c r="L3450" i="4"/>
  <c r="L1662" i="6"/>
  <c r="F945" i="6"/>
  <c r="L1550" i="6"/>
  <c r="S52" i="15"/>
  <c r="F1317" i="6"/>
  <c r="L1863" i="6"/>
  <c r="F1068" i="6"/>
  <c r="L1725" i="6"/>
  <c r="L983" i="6"/>
  <c r="F1509" i="6"/>
  <c r="W17" i="15"/>
  <c r="F1231" i="6"/>
  <c r="F2086" i="6"/>
  <c r="L1170" i="6"/>
  <c r="L594" i="6"/>
  <c r="L18" i="6"/>
  <c r="F767" i="6"/>
  <c r="AF98" i="15"/>
  <c r="AB76" i="15"/>
  <c r="E21" i="15"/>
  <c r="L1859" i="6"/>
  <c r="F1807" i="6"/>
  <c r="L3220" i="4"/>
  <c r="L1498" i="6"/>
  <c r="P69" i="15"/>
  <c r="L1382" i="6"/>
  <c r="AL11" i="15"/>
  <c r="L3675" i="4"/>
  <c r="F1700" i="6"/>
  <c r="F968" i="6"/>
  <c r="F1562" i="6"/>
  <c r="X56" i="15"/>
  <c r="L1337" i="6"/>
  <c r="L1966" i="6"/>
  <c r="F1131" i="6"/>
  <c r="F1868" i="6"/>
  <c r="L1070" i="6"/>
  <c r="L494" i="6"/>
  <c r="L3718" i="4"/>
  <c r="L596" i="6"/>
  <c r="AO120" i="15"/>
  <c r="I44" i="15"/>
  <c r="AO3" i="15"/>
  <c r="L1332" i="6"/>
  <c r="F1486" i="6"/>
  <c r="R15" i="15"/>
  <c r="F1225" i="6"/>
  <c r="F2026" i="6"/>
  <c r="L1156" i="6"/>
  <c r="L1785" i="6"/>
  <c r="AG66" i="15"/>
  <c r="L1377" i="6"/>
  <c r="G31" i="15"/>
  <c r="L1263" i="6"/>
  <c r="F1967" i="6"/>
  <c r="L3420" i="4"/>
  <c r="F1646" i="6"/>
  <c r="F935" i="6"/>
  <c r="F1547" i="6"/>
  <c r="L874" i="6"/>
  <c r="L298" i="6"/>
  <c r="B87" i="15"/>
  <c r="AC32" i="15"/>
  <c r="DU155" i="15"/>
  <c r="L1619" i="6"/>
  <c r="F1715" i="6"/>
  <c r="AO85" i="15"/>
  <c r="F1405" i="6"/>
  <c r="AG44" i="15"/>
  <c r="L1296" i="6"/>
  <c r="L2038" i="6"/>
  <c r="L3507" i="4"/>
  <c r="L1608" i="6"/>
  <c r="V165" i="15"/>
  <c r="F1469" i="6"/>
  <c r="AB34" i="15"/>
  <c r="L3840" i="4"/>
  <c r="F1875" i="6"/>
  <c r="F1075" i="6"/>
  <c r="L1776" i="6"/>
  <c r="L1014" i="6"/>
  <c r="L438" i="6"/>
  <c r="L3550" i="4"/>
  <c r="P139" i="15"/>
  <c r="L2119" i="6"/>
  <c r="S54" i="15"/>
  <c r="F2075" i="6"/>
  <c r="L3546" i="4"/>
  <c r="L1714" i="6"/>
  <c r="F977" i="6"/>
  <c r="F1603" i="6"/>
  <c r="AI66" i="15"/>
  <c r="L1373" i="6"/>
  <c r="F1916" i="6"/>
  <c r="F1100" i="6"/>
  <c r="F1778" i="6"/>
  <c r="L1015" i="6"/>
  <c r="L1561" i="6"/>
  <c r="E31" i="15"/>
  <c r="F1263" i="6"/>
  <c r="S7" i="15"/>
  <c r="L1202" i="6"/>
  <c r="L626" i="6"/>
  <c r="L50" i="6"/>
  <c r="AL125" i="15"/>
  <c r="Y131" i="15"/>
  <c r="J36" i="15"/>
  <c r="P54" i="15"/>
  <c r="L3966" i="4"/>
  <c r="F1944" i="6"/>
  <c r="F1117" i="6"/>
  <c r="F1832" i="6"/>
  <c r="L1048" i="6"/>
  <c r="F1609" i="6"/>
  <c r="K21" i="15"/>
  <c r="F1240" i="6"/>
  <c r="F2021" i="6"/>
  <c r="L1155" i="6"/>
  <c r="L1790" i="6"/>
  <c r="AO163" i="15"/>
  <c r="F1468" i="6"/>
  <c r="Z65" i="15"/>
  <c r="F1363" i="6"/>
  <c r="L766" i="6"/>
  <c r="L190" i="6"/>
  <c r="W88" i="15"/>
  <c r="Y63" i="15"/>
  <c r="AN18" i="15"/>
  <c r="L1372" i="6"/>
  <c r="L1538" i="6"/>
  <c r="U28" i="15"/>
  <c r="F1257" i="6"/>
  <c r="BO3" i="15"/>
  <c r="L1188" i="6"/>
  <c r="F1838" i="6"/>
  <c r="AD109" i="15"/>
  <c r="F1430" i="6"/>
  <c r="S44" i="15"/>
  <c r="L1295" i="6"/>
  <c r="F2050" i="6"/>
  <c r="L3516" i="4"/>
  <c r="L1698" i="6"/>
  <c r="F967" i="6"/>
  <c r="L1599" i="6"/>
  <c r="L906" i="6"/>
  <c r="L330" i="6"/>
  <c r="L3258" i="4"/>
  <c r="F313" i="6"/>
  <c r="AC110" i="15"/>
  <c r="Z110" i="15"/>
  <c r="J31" i="15"/>
  <c r="U51" i="15"/>
  <c r="L3942" i="4"/>
  <c r="L1930" i="6"/>
  <c r="F1109" i="6"/>
  <c r="F1819" i="6"/>
  <c r="L1040" i="6"/>
  <c r="F1596" i="6"/>
  <c r="DV17" i="15"/>
  <c r="F1232" i="6"/>
  <c r="F1997" i="6"/>
  <c r="L1147" i="6"/>
  <c r="L1777" i="6"/>
  <c r="AC136" i="15"/>
  <c r="F1455" i="6"/>
  <c r="T61" i="15"/>
  <c r="F1350" i="6"/>
  <c r="L758" i="6"/>
  <c r="L182" i="6"/>
  <c r="L1702" i="6"/>
  <c r="F60" i="6"/>
  <c r="AA63" i="15"/>
  <c r="K198" i="15"/>
  <c r="I45" i="15"/>
  <c r="L2000" i="6"/>
  <c r="L3498" i="4"/>
  <c r="L1688" i="6"/>
  <c r="F961" i="6"/>
  <c r="L1576" i="6"/>
  <c r="AB58" i="15"/>
  <c r="F1343" i="6"/>
  <c r="F1890" i="6"/>
  <c r="F1084" i="6"/>
  <c r="F1752" i="6"/>
  <c r="L999" i="6"/>
  <c r="F1535" i="6"/>
  <c r="R24" i="15"/>
  <c r="F1247" i="6"/>
  <c r="CQ3" i="15"/>
  <c r="L1186" i="6"/>
  <c r="L610" i="6"/>
  <c r="L34" i="6"/>
  <c r="F793" i="6"/>
  <c r="L3451" i="4"/>
  <c r="F666" i="6"/>
  <c r="L3148" i="4"/>
  <c r="L1431" i="6"/>
  <c r="L3861" i="4"/>
  <c r="F1098" i="6"/>
  <c r="F59" i="6"/>
  <c r="V12" i="15"/>
  <c r="L455" i="6"/>
  <c r="L3342" i="4"/>
  <c r="L1804" i="6"/>
  <c r="F1195" i="6"/>
  <c r="F53" i="15"/>
  <c r="L3209" i="4"/>
  <c r="F474" i="6"/>
  <c r="L2902" i="4"/>
  <c r="F583" i="6"/>
  <c r="L1562" i="4"/>
  <c r="L499" i="6"/>
  <c r="X224" i="15"/>
  <c r="AL138" i="15"/>
  <c r="B104" i="15"/>
  <c r="V127" i="15"/>
  <c r="AR122" i="15"/>
  <c r="L1805" i="6"/>
  <c r="U21" i="15"/>
  <c r="V22" i="15"/>
  <c r="U27" i="15"/>
  <c r="J143" i="15"/>
  <c r="B71" i="15"/>
  <c r="R116" i="15"/>
  <c r="AI78" i="15"/>
  <c r="O198" i="15"/>
  <c r="R16" i="15"/>
  <c r="AR45" i="15"/>
  <c r="F113" i="15"/>
  <c r="F136" i="15"/>
  <c r="L4" i="15"/>
  <c r="CY3" i="15"/>
  <c r="F1871" i="6"/>
  <c r="G60" i="15"/>
  <c r="BL4" i="15"/>
  <c r="E171" i="15"/>
  <c r="F1647" i="6"/>
  <c r="L1122" i="6"/>
  <c r="F2065" i="6"/>
  <c r="F2039" i="6"/>
  <c r="F1382" i="6"/>
  <c r="F1974" i="6"/>
  <c r="F939" i="6"/>
  <c r="L302" i="6"/>
  <c r="J69" i="15"/>
  <c r="DX16" i="15"/>
  <c r="F1033" i="6"/>
  <c r="L1469" i="6"/>
  <c r="L1869" i="6"/>
  <c r="X53" i="15"/>
  <c r="L1258" i="6"/>
  <c r="G128" i="15"/>
  <c r="S111" i="15"/>
  <c r="F1173" i="6"/>
  <c r="L1700" i="6"/>
  <c r="I49" i="15"/>
  <c r="L1803" i="6"/>
  <c r="F1027" i="6"/>
  <c r="L822" i="6"/>
  <c r="G88" i="15"/>
  <c r="B12" i="15"/>
  <c r="L1944" i="6"/>
  <c r="A32" i="15"/>
  <c r="F1025" i="6"/>
  <c r="F1361" i="6"/>
  <c r="F1851" i="6"/>
  <c r="L1998" i="6"/>
  <c r="F956" i="6"/>
  <c r="L1303" i="6"/>
  <c r="F1640" i="6"/>
  <c r="F1947" i="6"/>
  <c r="F975" i="6"/>
  <c r="L1250" i="6"/>
  <c r="L482" i="6"/>
  <c r="G233" i="15"/>
  <c r="A9" i="15"/>
  <c r="A54" i="15"/>
  <c r="L1780" i="6"/>
  <c r="F2056" i="6"/>
  <c r="F973" i="6"/>
  <c r="F1352" i="6"/>
  <c r="L1687" i="6"/>
  <c r="L1909" i="6"/>
  <c r="F952" i="6"/>
  <c r="L1203" i="6"/>
  <c r="L1633" i="6"/>
  <c r="P29" i="15"/>
  <c r="F1211" i="6"/>
  <c r="L1920" i="6"/>
  <c r="L1054" i="6"/>
  <c r="L430" i="6"/>
  <c r="Z104" i="15"/>
  <c r="H54" i="15"/>
  <c r="V107" i="15"/>
  <c r="L1428" i="6"/>
  <c r="F1462" i="6"/>
  <c r="L2040" i="6"/>
  <c r="F1113" i="6"/>
  <c r="F1747" i="6"/>
  <c r="AK122" i="15"/>
  <c r="F1356" i="6"/>
  <c r="L1824" i="6"/>
  <c r="F996" i="6"/>
  <c r="F1529" i="6"/>
  <c r="R29" i="15"/>
  <c r="L3660" i="4"/>
  <c r="F1620" i="6"/>
  <c r="AA126" i="15"/>
  <c r="L1358" i="6"/>
  <c r="L714" i="6"/>
  <c r="L90" i="6"/>
  <c r="F806" i="6"/>
  <c r="AF253" i="15"/>
  <c r="L2030" i="6"/>
  <c r="S18" i="15"/>
  <c r="L1312" i="6"/>
  <c r="L1374" i="6"/>
  <c r="F1852" i="6"/>
  <c r="F1013" i="6"/>
  <c r="F1583" i="6"/>
  <c r="AL41" i="15"/>
  <c r="L3747" i="4"/>
  <c r="L1660" i="6"/>
  <c r="H121" i="15"/>
  <c r="L1359" i="6"/>
  <c r="L2034" i="6"/>
  <c r="L3360" i="4"/>
  <c r="L1534" i="6"/>
  <c r="AC42" i="15"/>
  <c r="L1238" i="6"/>
  <c r="L614" i="6"/>
  <c r="L3934" i="4"/>
  <c r="F636" i="6"/>
  <c r="V75" i="15"/>
  <c r="H29" i="15"/>
  <c r="U55" i="15"/>
  <c r="AK49" i="15"/>
  <c r="L3786" i="4"/>
  <c r="F1767" i="6"/>
  <c r="F913" i="6"/>
  <c r="L1417" i="6"/>
  <c r="BM3" i="15"/>
  <c r="L3447" i="4"/>
  <c r="F1497" i="6"/>
  <c r="R41" i="15"/>
  <c r="L1239" i="6"/>
  <c r="L1849" i="6"/>
  <c r="E128" i="15"/>
  <c r="L1367" i="6"/>
  <c r="U20" i="15"/>
  <c r="L1138" i="6"/>
  <c r="L514" i="6"/>
  <c r="L3634" i="4"/>
  <c r="L465" i="6"/>
  <c r="Y59" i="15"/>
  <c r="F173" i="6"/>
  <c r="L2644" i="4"/>
  <c r="F295" i="6"/>
  <c r="F1565" i="6"/>
  <c r="L224" i="6"/>
  <c r="K218" i="15"/>
  <c r="L372" i="6"/>
  <c r="L1603" i="6"/>
  <c r="H19" i="15"/>
  <c r="L1134" i="6"/>
  <c r="L500" i="6"/>
  <c r="L1449" i="6"/>
  <c r="L3575" i="4"/>
  <c r="F1349" i="6"/>
  <c r="L3357" i="4"/>
  <c r="F674" i="6"/>
  <c r="L3039" i="4"/>
  <c r="L804" i="6"/>
  <c r="L3373" i="4"/>
  <c r="L555" i="6"/>
  <c r="DN3" i="15"/>
  <c r="AL279" i="15"/>
  <c r="F1660" i="6"/>
  <c r="L1130" i="6"/>
  <c r="F623" i="6"/>
  <c r="P7" i="15"/>
  <c r="F112" i="6"/>
  <c r="L2584" i="4"/>
  <c r="L220" i="6"/>
  <c r="F1282" i="6"/>
  <c r="L128" i="6"/>
  <c r="F2081" i="6"/>
  <c r="F342" i="6"/>
  <c r="L1899" i="6"/>
  <c r="L136" i="6"/>
  <c r="L2702" i="4"/>
  <c r="F302" i="6"/>
  <c r="L1893" i="6"/>
  <c r="F123" i="6"/>
  <c r="L2671" i="4"/>
  <c r="L436" i="6"/>
  <c r="L1495" i="4"/>
  <c r="T84" i="15"/>
  <c r="F1149" i="6"/>
  <c r="AZ3" i="15"/>
  <c r="L1419" i="6"/>
  <c r="L753" i="6"/>
  <c r="AJ143" i="15"/>
  <c r="F195" i="6"/>
  <c r="L2656" i="4"/>
  <c r="L303" i="6"/>
  <c r="F1539" i="6"/>
  <c r="L211" i="6"/>
  <c r="AB81" i="15"/>
  <c r="F425" i="6"/>
  <c r="E32" i="15"/>
  <c r="F211" i="6"/>
  <c r="L2768" i="4"/>
  <c r="L380" i="6"/>
  <c r="Z30" i="15"/>
  <c r="F197" i="6"/>
  <c r="L2737" i="4"/>
  <c r="F511" i="6"/>
  <c r="L1589" i="4"/>
  <c r="I117" i="15"/>
  <c r="L1518" i="6"/>
  <c r="F980" i="6"/>
  <c r="L1887" i="6"/>
  <c r="F898" i="6"/>
  <c r="L1575" i="4"/>
  <c r="L277" i="6"/>
  <c r="L2728" i="4"/>
  <c r="F382" i="6"/>
  <c r="F1853" i="6"/>
  <c r="F290" i="6"/>
  <c r="L2781" i="4"/>
  <c r="F508" i="6"/>
  <c r="L1547" i="4"/>
  <c r="F285" i="6"/>
  <c r="L2834" i="4"/>
  <c r="F455" i="6"/>
  <c r="L1554" i="4"/>
  <c r="L275" i="6"/>
  <c r="L2803" i="4"/>
  <c r="F585" i="6"/>
  <c r="L1655" i="4"/>
  <c r="L3918" i="4"/>
  <c r="A15" i="15"/>
  <c r="F1442" i="6"/>
  <c r="L3264" i="4"/>
  <c r="L3343" i="4"/>
  <c r="L539" i="6"/>
  <c r="L2956" i="4"/>
  <c r="F644" i="6"/>
  <c r="L1616" i="4"/>
  <c r="L560" i="6"/>
  <c r="L3009" i="4"/>
  <c r="L769" i="6"/>
  <c r="L3301" i="4"/>
  <c r="F525" i="6"/>
  <c r="L3044" i="4"/>
  <c r="F695" i="6"/>
  <c r="L3221" i="4"/>
  <c r="L515" i="6"/>
  <c r="L3013" i="4"/>
  <c r="F825" i="6"/>
  <c r="L3547" i="4"/>
  <c r="S21" i="15"/>
  <c r="L1028" i="6"/>
  <c r="F1758" i="6"/>
  <c r="L358" i="6"/>
  <c r="L164" i="6"/>
  <c r="S209" i="15"/>
  <c r="B126" i="15"/>
  <c r="AM98" i="15"/>
  <c r="F106" i="15"/>
  <c r="AA108" i="15"/>
  <c r="L1733" i="6"/>
  <c r="AB16" i="15"/>
  <c r="H16" i="15"/>
  <c r="K22" i="15"/>
  <c r="O118" i="15"/>
  <c r="AH173" i="15"/>
  <c r="U98" i="15"/>
  <c r="AK66" i="15"/>
  <c r="F127" i="15"/>
  <c r="X11" i="15"/>
  <c r="S41" i="15"/>
  <c r="AL99" i="15"/>
  <c r="T113" i="15"/>
  <c r="F2148" i="6"/>
  <c r="AR96" i="15"/>
  <c r="L1792" i="6"/>
  <c r="O41" i="15"/>
  <c r="I40" i="15"/>
  <c r="Z73" i="15"/>
  <c r="L1568" i="6"/>
  <c r="L1074" i="6"/>
  <c r="A63" i="15"/>
  <c r="L1304" i="6"/>
  <c r="F1304" i="6"/>
  <c r="F1895" i="6"/>
  <c r="J224" i="15"/>
  <c r="L254" i="6"/>
  <c r="L2085" i="6"/>
  <c r="F2123" i="6"/>
  <c r="F985" i="6"/>
  <c r="L1386" i="6"/>
  <c r="F1791" i="6"/>
  <c r="AA34" i="15"/>
  <c r="L1210" i="6"/>
  <c r="AK145" i="15"/>
  <c r="K57" i="15"/>
  <c r="F1125" i="6"/>
  <c r="F1622" i="6"/>
  <c r="Y9" i="15"/>
  <c r="F1403" i="6"/>
  <c r="F979" i="6"/>
  <c r="L774" i="6"/>
  <c r="AN103" i="15"/>
  <c r="D127" i="15"/>
  <c r="F1866" i="6"/>
  <c r="L2074" i="6"/>
  <c r="F929" i="6"/>
  <c r="L1292" i="6"/>
  <c r="F1694" i="6"/>
  <c r="L1837" i="6"/>
  <c r="DX146" i="15"/>
  <c r="L1207" i="6"/>
  <c r="F1483" i="6"/>
  <c r="L1868" i="6"/>
  <c r="P144" i="15"/>
  <c r="L1154" i="6"/>
  <c r="L434" i="6"/>
  <c r="AR87" i="15"/>
  <c r="E54" i="15"/>
  <c r="AR24" i="15"/>
  <c r="L1623" i="6"/>
  <c r="F1865" i="6"/>
  <c r="F925" i="6"/>
  <c r="L1240" i="6"/>
  <c r="L1530" i="6"/>
  <c r="F1831" i="6"/>
  <c r="O66" i="15"/>
  <c r="L1107" i="6"/>
  <c r="F1555" i="6"/>
  <c r="V9" i="15"/>
  <c r="F1163" i="6"/>
  <c r="F1842" i="6"/>
  <c r="L1006" i="6"/>
  <c r="L382" i="6"/>
  <c r="DW157" i="15"/>
  <c r="D22" i="15"/>
  <c r="AR48" i="15"/>
  <c r="L1316" i="6"/>
  <c r="F1379" i="6"/>
  <c r="F1937" i="6"/>
  <c r="F1065" i="6"/>
  <c r="L1668" i="6"/>
  <c r="I62" i="15"/>
  <c r="L3903" i="4"/>
  <c r="F1746" i="6"/>
  <c r="F948" i="6"/>
  <c r="F1447" i="6"/>
  <c r="X9" i="15"/>
  <c r="L3372" i="4"/>
  <c r="F1541" i="6"/>
  <c r="R63" i="15"/>
  <c r="L1290" i="6"/>
  <c r="L666" i="6"/>
  <c r="L42" i="6"/>
  <c r="L727" i="6"/>
  <c r="AK74" i="15"/>
  <c r="D63" i="15"/>
  <c r="X190" i="15"/>
  <c r="J86" i="15"/>
  <c r="L3798" i="4"/>
  <c r="L1773" i="6"/>
  <c r="F965" i="6"/>
  <c r="L1504" i="6"/>
  <c r="O21" i="15"/>
  <c r="L3603" i="4"/>
  <c r="F1582" i="6"/>
  <c r="DU61" i="15"/>
  <c r="L1291" i="6"/>
  <c r="L1934" i="6"/>
  <c r="L3253" i="4"/>
  <c r="F1372" i="6"/>
  <c r="I22" i="15"/>
  <c r="L1190" i="6"/>
  <c r="L566" i="6"/>
  <c r="L3790" i="4"/>
  <c r="F553" i="6"/>
  <c r="Y78" i="15"/>
  <c r="AT3" i="15"/>
  <c r="AK26" i="15"/>
  <c r="V28" i="15"/>
  <c r="L3642" i="4"/>
  <c r="F1610" i="6"/>
  <c r="AE97" i="15"/>
  <c r="L1334" i="6"/>
  <c r="L1982" i="6"/>
  <c r="L3303" i="4"/>
  <c r="F1417" i="6"/>
  <c r="AR20" i="15"/>
  <c r="L1191" i="6"/>
  <c r="F1771" i="6"/>
  <c r="AN63" i="15"/>
  <c r="F1295" i="6"/>
  <c r="F1979" i="6"/>
  <c r="L1090" i="6"/>
  <c r="L466" i="6"/>
  <c r="L3490" i="4"/>
  <c r="F383" i="6"/>
  <c r="L1986" i="6"/>
  <c r="F90" i="6"/>
  <c r="L2572" i="4"/>
  <c r="F212" i="6"/>
  <c r="F1290" i="6"/>
  <c r="L141" i="6"/>
  <c r="L1795" i="6"/>
  <c r="AB245" i="15"/>
  <c r="F1197" i="6"/>
  <c r="L1666" i="6"/>
  <c r="L846" i="6"/>
  <c r="F361" i="6"/>
  <c r="L923" i="6"/>
  <c r="L3323" i="4"/>
  <c r="F849" i="6"/>
  <c r="L1755" i="4"/>
  <c r="F587" i="6"/>
  <c r="L2961" i="4"/>
  <c r="F713" i="6"/>
  <c r="L1741" i="4"/>
  <c r="L472" i="6"/>
  <c r="I24" i="15"/>
  <c r="L1956" i="6"/>
  <c r="L1231" i="6"/>
  <c r="L842" i="6"/>
  <c r="F492" i="6"/>
  <c r="L1749" i="6"/>
  <c r="L24" i="6"/>
  <c r="G397" i="15"/>
  <c r="L124" i="6"/>
  <c r="F1178" i="6"/>
  <c r="F37" i="6"/>
  <c r="L1690" i="6"/>
  <c r="L263" i="6"/>
  <c r="L1585" i="6"/>
  <c r="L53" i="6"/>
  <c r="L2630" i="4"/>
  <c r="L223" i="6"/>
  <c r="L1579" i="6"/>
  <c r="F40" i="6"/>
  <c r="L2599" i="4"/>
  <c r="L353" i="6"/>
  <c r="L1397" i="4"/>
  <c r="U116" i="15"/>
  <c r="K91" i="15"/>
  <c r="F1588" i="6"/>
  <c r="L1086" i="6"/>
  <c r="F614" i="6"/>
  <c r="CN3" i="15"/>
  <c r="L107" i="6"/>
  <c r="L2578" i="4"/>
  <c r="L207" i="6"/>
  <c r="F1274" i="6"/>
  <c r="F120" i="6"/>
  <c r="L2016" i="6"/>
  <c r="L337" i="6"/>
  <c r="L1873" i="6"/>
  <c r="F128" i="6"/>
  <c r="L2696" i="4"/>
  <c r="L297" i="6"/>
  <c r="L1867" i="6"/>
  <c r="F114" i="6"/>
  <c r="L2665" i="4"/>
  <c r="DU187" i="15"/>
  <c r="W152" i="15"/>
  <c r="AB210" i="15"/>
  <c r="Y38" i="15"/>
  <c r="AL12" i="15"/>
  <c r="F75" i="15"/>
  <c r="CF4" i="15"/>
  <c r="F2151" i="6"/>
  <c r="AO167" i="15"/>
  <c r="C85" i="15"/>
  <c r="AM145" i="15"/>
  <c r="D12" i="15"/>
  <c r="DS3" i="15"/>
  <c r="AO28" i="15"/>
  <c r="K56" i="15"/>
  <c r="L1919" i="6"/>
  <c r="AL28" i="15"/>
  <c r="AA20" i="15"/>
  <c r="AA45" i="15"/>
  <c r="S26" i="15"/>
  <c r="L1024" i="6"/>
  <c r="L3888" i="4"/>
  <c r="B116" i="15"/>
  <c r="F1470" i="6"/>
  <c r="V108" i="15"/>
  <c r="L546" i="6"/>
  <c r="L1649" i="6"/>
  <c r="L1256" i="6"/>
  <c r="B250" i="15"/>
  <c r="L3864" i="4"/>
  <c r="L1789" i="6"/>
  <c r="L3574" i="4"/>
  <c r="P14" i="15"/>
  <c r="L1409" i="6"/>
  <c r="F1930" i="6"/>
  <c r="K46" i="15"/>
  <c r="L1215" i="6"/>
  <c r="L1567" i="6"/>
  <c r="L826" i="6"/>
  <c r="BV3" i="15"/>
  <c r="L1636" i="6"/>
  <c r="AO24" i="15"/>
  <c r="L3363" i="4"/>
  <c r="L2050" i="6"/>
  <c r="L3696" i="4"/>
  <c r="AH159" i="15"/>
  <c r="L534" i="6"/>
  <c r="Y42" i="15"/>
  <c r="O53" i="15"/>
  <c r="F1787" i="6"/>
  <c r="F1872" i="6"/>
  <c r="AL122" i="15"/>
  <c r="L1244" i="6"/>
  <c r="F1537" i="6"/>
  <c r="F1759" i="6"/>
  <c r="AB68" i="15"/>
  <c r="L1111" i="6"/>
  <c r="L1398" i="6"/>
  <c r="F1790" i="6"/>
  <c r="E47" i="15"/>
  <c r="L1106" i="6"/>
  <c r="L386" i="6"/>
  <c r="J106" i="15"/>
  <c r="E25" i="15"/>
  <c r="L2117" i="6"/>
  <c r="L1470" i="6"/>
  <c r="L1786" i="6"/>
  <c r="AA115" i="15"/>
  <c r="L1144" i="6"/>
  <c r="L1447" i="6"/>
  <c r="L1752" i="6"/>
  <c r="J26" i="15"/>
  <c r="L1059" i="6"/>
  <c r="F1473" i="6"/>
  <c r="F2047" i="6"/>
  <c r="F1115" i="6"/>
  <c r="F1763" i="6"/>
  <c r="L958" i="6"/>
  <c r="L334" i="6"/>
  <c r="H260" i="15"/>
  <c r="L2036" i="6"/>
  <c r="DX197" i="15"/>
  <c r="DY92" i="15"/>
  <c r="L3954" i="4"/>
  <c r="L1858" i="6"/>
  <c r="F1017" i="6"/>
  <c r="F1590" i="6"/>
  <c r="S43" i="15"/>
  <c r="L3759" i="4"/>
  <c r="F1667" i="6"/>
  <c r="S128" i="15"/>
  <c r="F1364" i="6"/>
  <c r="F1941" i="6"/>
  <c r="L3259" i="4"/>
  <c r="L1463" i="6"/>
  <c r="A44" i="15"/>
  <c r="L1242" i="6"/>
  <c r="L618" i="6"/>
  <c r="L3946" i="4"/>
  <c r="L644" i="6"/>
  <c r="F88" i="15"/>
  <c r="E34" i="15"/>
  <c r="J60" i="15"/>
  <c r="J30" i="15"/>
  <c r="L3654" i="4"/>
  <c r="F1695" i="6"/>
  <c r="F917" i="6"/>
  <c r="F1422" i="6"/>
  <c r="DQ3" i="15"/>
  <c r="L3459" i="4"/>
  <c r="L1503" i="6"/>
  <c r="E43" i="15"/>
  <c r="L1243" i="6"/>
  <c r="F1856" i="6"/>
  <c r="H66" i="15"/>
  <c r="F1299" i="6"/>
  <c r="W4" i="15"/>
  <c r="L1142" i="6"/>
  <c r="L518" i="6"/>
  <c r="L3646" i="4"/>
  <c r="F470" i="6"/>
  <c r="AG84" i="15"/>
  <c r="AF93" i="15"/>
  <c r="F2142" i="6"/>
  <c r="A7" i="15"/>
  <c r="L3354" i="4"/>
  <c r="L1531" i="6"/>
  <c r="S55" i="15"/>
  <c r="L1276" i="6"/>
  <c r="L1903" i="6"/>
  <c r="R97" i="15"/>
  <c r="F1334" i="6"/>
  <c r="DD3" i="15"/>
  <c r="L1143" i="6"/>
  <c r="L1692" i="6"/>
  <c r="P44" i="15"/>
  <c r="F1199" i="6"/>
  <c r="L1900" i="6"/>
  <c r="L1042" i="6"/>
  <c r="L418" i="6"/>
  <c r="L3346" i="4"/>
  <c r="F300" i="6"/>
  <c r="F1671" i="6"/>
  <c r="L11" i="6"/>
  <c r="I142" i="15"/>
  <c r="F129" i="6"/>
  <c r="F1194" i="6"/>
  <c r="L3896" i="4"/>
  <c r="F1481" i="6"/>
  <c r="H78" i="15"/>
  <c r="F909" i="6"/>
  <c r="L1235" i="6"/>
  <c r="L606" i="6"/>
  <c r="L212" i="6"/>
  <c r="L840" i="6"/>
  <c r="L3136" i="4"/>
  <c r="L761" i="6"/>
  <c r="L1640" i="4"/>
  <c r="F408" i="6"/>
  <c r="L2883" i="4"/>
  <c r="L625" i="6"/>
  <c r="L1639" i="4"/>
  <c r="L389" i="6"/>
  <c r="W55" i="15"/>
  <c r="F1485" i="6"/>
  <c r="G121" i="15"/>
  <c r="L602" i="6"/>
  <c r="L343" i="6"/>
  <c r="F1441" i="6"/>
  <c r="L3791" i="4"/>
  <c r="CC3" i="15"/>
  <c r="F33" i="6"/>
  <c r="F1074" i="6"/>
  <c r="L3824" i="4"/>
  <c r="L1305" i="6"/>
  <c r="L180" i="6"/>
  <c r="L963" i="6"/>
  <c r="L3893" i="4"/>
  <c r="K17" i="15"/>
  <c r="L140" i="6"/>
  <c r="L956" i="6"/>
  <c r="L3854" i="4"/>
  <c r="L2527" i="4"/>
  <c r="F271" i="6"/>
  <c r="L1312" i="4"/>
  <c r="AE3" i="15"/>
  <c r="L1884" i="6"/>
  <c r="L1187" i="6"/>
  <c r="L798" i="6"/>
  <c r="L487" i="6"/>
  <c r="L1723" i="6"/>
  <c r="F16" i="6"/>
  <c r="T111" i="15"/>
  <c r="F116" i="6"/>
  <c r="F1170" i="6"/>
  <c r="L32" i="6"/>
  <c r="L1664" i="6"/>
  <c r="F255" i="6"/>
  <c r="F1559" i="6"/>
  <c r="F45" i="6"/>
  <c r="AK182" i="15"/>
  <c r="F215" i="6"/>
  <c r="F1553" i="6"/>
  <c r="L35" i="6"/>
  <c r="L2593" i="4"/>
  <c r="F345" i="6"/>
  <c r="L1391" i="4"/>
  <c r="W98" i="15"/>
  <c r="AD84" i="15"/>
  <c r="L1581" i="6"/>
  <c r="L1082" i="6"/>
  <c r="L609" i="6"/>
  <c r="F2105" i="6"/>
  <c r="F99" i="6"/>
  <c r="L2566" i="4"/>
  <c r="F199" i="6"/>
  <c r="F1266" i="6"/>
  <c r="L115" i="6"/>
  <c r="L1978" i="6"/>
  <c r="F329" i="6"/>
  <c r="F1847" i="6"/>
  <c r="L123" i="6"/>
  <c r="L2690" i="4"/>
  <c r="F289" i="6"/>
  <c r="F1841" i="6"/>
  <c r="L109" i="6"/>
  <c r="L2659" i="4"/>
  <c r="L423" i="6"/>
  <c r="L1472" i="4"/>
  <c r="L1917" i="6"/>
  <c r="F1224" i="6"/>
  <c r="AK57" i="15"/>
  <c r="F1598" i="6"/>
  <c r="L1647" i="4"/>
  <c r="L360" i="6"/>
  <c r="L2800" i="4"/>
  <c r="F465" i="6"/>
  <c r="AC25" i="15"/>
  <c r="F373" i="6"/>
  <c r="L2853" i="4"/>
  <c r="F591" i="6"/>
  <c r="L1615" i="4"/>
  <c r="L363" i="6"/>
  <c r="L2900" i="4"/>
  <c r="F529" i="6"/>
  <c r="L1620" i="4"/>
  <c r="L349" i="6"/>
  <c r="L2869" i="4"/>
  <c r="L663" i="6"/>
  <c r="L1761" i="4"/>
  <c r="AD46" i="15"/>
  <c r="F1576" i="6"/>
  <c r="AJ113" i="15"/>
  <c r="L3886" i="4"/>
  <c r="L3793" i="4"/>
  <c r="L709" i="6"/>
  <c r="S183" i="15"/>
  <c r="AG113" i="15"/>
  <c r="R176" i="15"/>
  <c r="V33" i="15"/>
  <c r="Z7" i="15"/>
  <c r="S60" i="15"/>
  <c r="AN3" i="15"/>
  <c r="L2072" i="6"/>
  <c r="K196" i="15"/>
  <c r="X69" i="15"/>
  <c r="D126" i="15"/>
  <c r="AR6" i="15"/>
  <c r="L2069" i="6"/>
  <c r="DU17" i="15"/>
  <c r="AN51" i="15"/>
  <c r="L1847" i="6"/>
  <c r="K15" i="15"/>
  <c r="D16" i="15"/>
  <c r="A41" i="15"/>
  <c r="F2137" i="6"/>
  <c r="L976" i="6"/>
  <c r="L3600" i="4"/>
  <c r="K51" i="15"/>
  <c r="F1387" i="6"/>
  <c r="I58" i="15"/>
  <c r="L498" i="6"/>
  <c r="L1476" i="6"/>
  <c r="L1160" i="6"/>
  <c r="K83" i="15"/>
  <c r="L3720" i="4"/>
  <c r="F1711" i="6"/>
  <c r="L3430" i="4"/>
  <c r="F180" i="15"/>
  <c r="L1326" i="6"/>
  <c r="L1851" i="6"/>
  <c r="Y26" i="15"/>
  <c r="L1167" i="6"/>
  <c r="F1489" i="6"/>
  <c r="L778" i="6"/>
  <c r="H87" i="15"/>
  <c r="F1558" i="6"/>
  <c r="DF4" i="15"/>
  <c r="G130" i="15"/>
  <c r="L1627" i="6"/>
  <c r="L3552" i="4"/>
  <c r="H71" i="15"/>
  <c r="L390" i="6"/>
  <c r="AR19" i="15"/>
  <c r="F24" i="15"/>
  <c r="L1708" i="6"/>
  <c r="F1793" i="6"/>
  <c r="J62" i="15"/>
  <c r="L1196" i="6"/>
  <c r="F1452" i="6"/>
  <c r="L1680" i="6"/>
  <c r="W47" i="15"/>
  <c r="L1063" i="6"/>
  <c r="L1315" i="6"/>
  <c r="L1711" i="6"/>
  <c r="T27" i="15"/>
  <c r="L1058" i="6"/>
  <c r="L338" i="6"/>
  <c r="Z112" i="15"/>
  <c r="L2113" i="6"/>
  <c r="L1787" i="6"/>
  <c r="L1387" i="6"/>
  <c r="F1708" i="6"/>
  <c r="Z60" i="15"/>
  <c r="L1096" i="6"/>
  <c r="F1365" i="6"/>
  <c r="F1674" i="6"/>
  <c r="P6" i="15"/>
  <c r="L1011" i="6"/>
  <c r="F1390" i="6"/>
  <c r="L1940" i="6"/>
  <c r="F1067" i="6"/>
  <c r="L1684" i="6"/>
  <c r="L910" i="6"/>
  <c r="L286" i="6"/>
  <c r="J75" i="15"/>
  <c r="W34" i="15"/>
  <c r="AB60" i="15"/>
  <c r="AG52" i="15"/>
  <c r="L3810" i="4"/>
  <c r="F1780" i="6"/>
  <c r="F969" i="6"/>
  <c r="F1511" i="6"/>
  <c r="E23" i="15"/>
  <c r="L3615" i="4"/>
  <c r="L1588" i="6"/>
  <c r="AR63" i="15"/>
  <c r="L1247" i="6"/>
  <c r="L1862" i="6"/>
  <c r="S146" i="15"/>
  <c r="F1381" i="6"/>
  <c r="C24" i="15"/>
  <c r="L1194" i="6"/>
  <c r="L570" i="6"/>
  <c r="L3802" i="4"/>
  <c r="L561" i="6"/>
  <c r="R92" i="15"/>
  <c r="BV4" i="15"/>
  <c r="DG3" i="15"/>
  <c r="AA8" i="15"/>
  <c r="L3510" i="4"/>
  <c r="L1616" i="6"/>
  <c r="N104" i="15"/>
  <c r="F1339" i="6"/>
  <c r="F1990" i="6"/>
  <c r="L3315" i="4"/>
  <c r="L1425" i="6"/>
  <c r="AA22" i="15"/>
  <c r="L1195" i="6"/>
  <c r="F1699" i="6"/>
  <c r="AK45" i="15"/>
  <c r="F1251" i="6"/>
  <c r="F1987" i="6"/>
  <c r="L1094" i="6"/>
  <c r="L470" i="6"/>
  <c r="L3502" i="4"/>
  <c r="L391" i="6"/>
  <c r="S97" i="15"/>
  <c r="P45" i="15"/>
  <c r="B93" i="15"/>
  <c r="F1918" i="6"/>
  <c r="L3250" i="4"/>
  <c r="F1453" i="6"/>
  <c r="Y36" i="15"/>
  <c r="L1228" i="6"/>
  <c r="F1825" i="6"/>
  <c r="Q55" i="15"/>
  <c r="F1276" i="6"/>
  <c r="L1988" i="6"/>
  <c r="L1095" i="6"/>
  <c r="F1614" i="6"/>
  <c r="CN4" i="15"/>
  <c r="F1151" i="6"/>
  <c r="F1822" i="6"/>
  <c r="L994" i="6"/>
  <c r="L370" i="6"/>
  <c r="L3246" i="4"/>
  <c r="F217" i="6"/>
  <c r="L1423" i="6"/>
  <c r="L3773" i="4"/>
  <c r="B7" i="15"/>
  <c r="F46" i="6"/>
  <c r="F1002" i="6"/>
  <c r="L3680" i="4"/>
  <c r="L1249" i="6"/>
  <c r="Y6" i="15"/>
  <c r="F1963" i="6"/>
  <c r="R128" i="15"/>
  <c r="L414" i="6"/>
  <c r="F86" i="6"/>
  <c r="L744" i="6"/>
  <c r="L3058" i="4"/>
  <c r="F670" i="6"/>
  <c r="AC57" i="15"/>
  <c r="L320" i="6"/>
  <c r="L2805" i="4"/>
  <c r="L529" i="6"/>
  <c r="L1567" i="4"/>
  <c r="F307" i="6"/>
  <c r="DZ115" i="15"/>
  <c r="L1124" i="6"/>
  <c r="F1915" i="6"/>
  <c r="L410" i="6"/>
  <c r="F204" i="6"/>
  <c r="F918" i="6"/>
  <c r="L3539" i="4"/>
  <c r="F1723" i="6"/>
  <c r="L3808" i="4"/>
  <c r="L964" i="6"/>
  <c r="L3590" i="4"/>
  <c r="L1201" i="6"/>
  <c r="L97" i="6"/>
  <c r="F874" i="6"/>
  <c r="L3677" i="4"/>
  <c r="L1794" i="6"/>
  <c r="L57" i="6"/>
  <c r="L864" i="6"/>
  <c r="L3638" i="4"/>
  <c r="D37" i="15"/>
  <c r="F188" i="6"/>
  <c r="L1196" i="4"/>
  <c r="O31" i="15"/>
  <c r="F1409" i="6"/>
  <c r="AO63" i="15"/>
  <c r="L598" i="6"/>
  <c r="F335" i="6"/>
  <c r="F1432" i="6"/>
  <c r="L3755" i="4"/>
  <c r="L2104" i="6"/>
  <c r="L28" i="6"/>
  <c r="F1066" i="6"/>
  <c r="L3806" i="4"/>
  <c r="L1297" i="6"/>
  <c r="F172" i="6"/>
  <c r="L957" i="6"/>
  <c r="L3875" i="4"/>
  <c r="AR10" i="15"/>
  <c r="F132" i="6"/>
  <c r="L944" i="6"/>
  <c r="L3836" i="4"/>
  <c r="L2521" i="4"/>
  <c r="F262" i="6"/>
  <c r="L1300" i="4"/>
  <c r="F2108" i="6"/>
  <c r="F1878" i="6"/>
  <c r="L1183" i="6"/>
  <c r="L794" i="6"/>
  <c r="F457" i="6"/>
  <c r="F1697" i="6"/>
  <c r="F3" i="6"/>
  <c r="K86" i="15"/>
  <c r="L111" i="6"/>
  <c r="F1162" i="6"/>
  <c r="F24" i="6"/>
  <c r="L1638" i="6"/>
  <c r="F246" i="6"/>
  <c r="F1533" i="6"/>
  <c r="L40" i="6"/>
  <c r="Z126" i="15"/>
  <c r="F206" i="6"/>
  <c r="F1527" i="6"/>
  <c r="F27" i="6"/>
  <c r="L2587" i="4"/>
  <c r="L340" i="6"/>
  <c r="U131" i="15"/>
  <c r="F1444" i="6"/>
  <c r="F936" i="6"/>
  <c r="L1815" i="6"/>
  <c r="L871" i="6"/>
  <c r="L1569" i="4"/>
  <c r="F269" i="6"/>
  <c r="L2722" i="4"/>
  <c r="F369" i="6"/>
  <c r="F1827" i="6"/>
  <c r="L285" i="6"/>
  <c r="L2775" i="4"/>
  <c r="L503" i="6"/>
  <c r="L1535" i="4"/>
  <c r="L280" i="6"/>
  <c r="L2828" i="4"/>
  <c r="F446" i="6"/>
  <c r="L1545" i="4"/>
  <c r="F267" i="6"/>
  <c r="L2797" i="4"/>
  <c r="L580" i="6"/>
  <c r="L1649" i="4"/>
  <c r="F1748" i="6"/>
  <c r="L3567" i="4"/>
  <c r="F1908" i="6"/>
  <c r="L3454" i="4"/>
  <c r="O152" i="15"/>
  <c r="C119" i="15"/>
  <c r="K75" i="15"/>
  <c r="S250" i="15"/>
  <c r="AF73" i="15"/>
  <c r="T180" i="15"/>
  <c r="L2087" i="6"/>
  <c r="AA145" i="15"/>
  <c r="Y93" i="15"/>
  <c r="AJ54" i="15"/>
  <c r="AN32" i="15"/>
  <c r="AA47" i="15"/>
  <c r="T87" i="15"/>
  <c r="L2151" i="6"/>
  <c r="F2083" i="6"/>
  <c r="X101" i="15"/>
  <c r="AN64" i="15"/>
  <c r="K61" i="15"/>
  <c r="L1913" i="6"/>
  <c r="L1685" i="6"/>
  <c r="F1491" i="6"/>
  <c r="F1744" i="6"/>
  <c r="DT4" i="15"/>
  <c r="R33" i="15"/>
  <c r="F1425" i="6"/>
  <c r="L3874" i="4"/>
  <c r="L1728" i="6"/>
  <c r="F2069" i="6"/>
  <c r="A33" i="15"/>
  <c r="L3432" i="4"/>
  <c r="F1554" i="6"/>
  <c r="L3216" i="4"/>
  <c r="U30" i="15"/>
  <c r="L3714" i="4"/>
  <c r="L1694" i="6"/>
  <c r="L2022" i="6"/>
  <c r="L1071" i="6"/>
  <c r="F1324" i="6"/>
  <c r="L682" i="6"/>
  <c r="AR13" i="15"/>
  <c r="F1401" i="6"/>
  <c r="L1923" i="6"/>
  <c r="AE44" i="15"/>
  <c r="F1386" i="6"/>
  <c r="L3277" i="4"/>
  <c r="L1933" i="6"/>
  <c r="L342" i="6"/>
  <c r="C264" i="15"/>
  <c r="AL6" i="15"/>
  <c r="F1630" i="6"/>
  <c r="F1636" i="6"/>
  <c r="T43" i="15"/>
  <c r="L1100" i="6"/>
  <c r="L3927" i="4"/>
  <c r="F1602" i="6"/>
  <c r="AN7" i="15"/>
  <c r="J248" i="15"/>
  <c r="L3828" i="4"/>
  <c r="L1554" i="6"/>
  <c r="F2017" i="6"/>
  <c r="L1010" i="6"/>
  <c r="L242" i="6"/>
  <c r="K42" i="15"/>
  <c r="AE77" i="15"/>
  <c r="L1444" i="6"/>
  <c r="L3822" i="4"/>
  <c r="L1629" i="6"/>
  <c r="P21" i="15"/>
  <c r="L1000" i="6"/>
  <c r="L3915" i="4"/>
  <c r="L1516" i="6"/>
  <c r="L1928" i="6"/>
  <c r="AK188" i="15"/>
  <c r="L3960" i="4"/>
  <c r="F1862" i="6"/>
  <c r="F1019" i="6"/>
  <c r="F1606" i="6"/>
  <c r="L862" i="6"/>
  <c r="L238" i="6"/>
  <c r="AM92" i="15"/>
  <c r="CJ4" i="15"/>
  <c r="AA31" i="15"/>
  <c r="C32" i="15"/>
  <c r="L3666" i="4"/>
  <c r="L1701" i="6"/>
  <c r="F921" i="6"/>
  <c r="L1430" i="6"/>
  <c r="AZ4" i="15"/>
  <c r="L3471" i="4"/>
  <c r="F1510" i="6"/>
  <c r="T24" i="15"/>
  <c r="L1199" i="6"/>
  <c r="F1784" i="6"/>
  <c r="W68" i="15"/>
  <c r="F1303" i="6"/>
  <c r="CC4" i="15"/>
  <c r="L1146" i="6"/>
  <c r="L522" i="6"/>
  <c r="L3658" i="4"/>
  <c r="F479" i="6"/>
  <c r="AN98" i="15"/>
  <c r="AD49" i="15"/>
  <c r="DV109" i="15"/>
  <c r="F2027" i="6"/>
  <c r="L3366" i="4"/>
  <c r="F1538" i="6"/>
  <c r="AM56" i="15"/>
  <c r="L1280" i="6"/>
  <c r="F1910" i="6"/>
  <c r="A104" i="15"/>
  <c r="L1342" i="6"/>
  <c r="AJ4" i="15"/>
  <c r="L1099" i="6"/>
  <c r="L1620" i="6"/>
  <c r="H26" i="15"/>
  <c r="F1203" i="6"/>
  <c r="F1907" i="6"/>
  <c r="L1046" i="6"/>
  <c r="L422" i="6"/>
  <c r="L3358" i="4"/>
  <c r="L308" i="6"/>
  <c r="AO14" i="15"/>
  <c r="Y15" i="15"/>
  <c r="U15" i="15"/>
  <c r="L1839" i="6"/>
  <c r="P132" i="15"/>
  <c r="F1370" i="6"/>
  <c r="Y16" i="15"/>
  <c r="L1180" i="6"/>
  <c r="L1746" i="6"/>
  <c r="V36" i="15"/>
  <c r="F1228" i="6"/>
  <c r="F1909" i="6"/>
  <c r="L1047" i="6"/>
  <c r="F1451" i="6"/>
  <c r="F2005" i="6"/>
  <c r="F1103" i="6"/>
  <c r="L1743" i="6"/>
  <c r="L946" i="6"/>
  <c r="L322" i="6"/>
  <c r="AA59" i="15"/>
  <c r="F134" i="6"/>
  <c r="L912" i="6"/>
  <c r="L3557" i="4"/>
  <c r="F1775" i="6"/>
  <c r="L3645" i="4"/>
  <c r="L883" i="6"/>
  <c r="L3464" i="4"/>
  <c r="L1153" i="6"/>
  <c r="AC28" i="15"/>
  <c r="L1491" i="6"/>
  <c r="L1921" i="6"/>
  <c r="L222" i="6"/>
  <c r="L3901" i="4"/>
  <c r="F653" i="6"/>
  <c r="L2980" i="4"/>
  <c r="L495" i="6"/>
  <c r="F1958" i="6"/>
  <c r="F229" i="6"/>
  <c r="R134" i="15"/>
  <c r="F438" i="6"/>
  <c r="G45" i="15"/>
  <c r="F224" i="6"/>
  <c r="W10" i="15"/>
  <c r="W36" i="15"/>
  <c r="F1438" i="6"/>
  <c r="L218" i="6"/>
  <c r="L81" i="6"/>
  <c r="L827" i="6"/>
  <c r="L3305" i="4"/>
  <c r="F1340" i="6"/>
  <c r="L3573" i="4"/>
  <c r="L848" i="6"/>
  <c r="L3356" i="4"/>
  <c r="L1097" i="6"/>
  <c r="F15" i="6"/>
  <c r="L795" i="6"/>
  <c r="L3461" i="4"/>
  <c r="F1480" i="6"/>
  <c r="L3892" i="4"/>
  <c r="L781" i="6"/>
  <c r="L3422" i="4"/>
  <c r="F1893" i="6"/>
  <c r="F105" i="6"/>
  <c r="L1124" i="4"/>
  <c r="G55" i="15"/>
  <c r="L1080" i="6"/>
  <c r="F1843" i="6"/>
  <c r="L406" i="6"/>
  <c r="L199" i="6"/>
  <c r="L907" i="6"/>
  <c r="L3521" i="4"/>
  <c r="L1696" i="6"/>
  <c r="L3789" i="4"/>
  <c r="L952" i="6"/>
  <c r="L3572" i="4"/>
  <c r="L1193" i="6"/>
  <c r="U181" i="15"/>
  <c r="D21" i="15"/>
  <c r="C77" i="15"/>
  <c r="AB11" i="15"/>
  <c r="Y75" i="15"/>
  <c r="AR60" i="15"/>
  <c r="AK196" i="15"/>
  <c r="T70" i="15"/>
  <c r="N115" i="15"/>
  <c r="X38" i="15"/>
  <c r="X8" i="15"/>
  <c r="I65" i="15"/>
  <c r="AR106" i="15"/>
  <c r="AR22" i="15"/>
  <c r="C25" i="15"/>
  <c r="Z95" i="15"/>
  <c r="Y79" i="15"/>
  <c r="AR166" i="15"/>
  <c r="DR4" i="15"/>
  <c r="F1506" i="6"/>
  <c r="F1870" i="6"/>
  <c r="F899" i="6"/>
  <c r="L1813" i="6"/>
  <c r="L3687" i="4"/>
  <c r="F1973" i="6"/>
  <c r="F601" i="6"/>
  <c r="AL55" i="15"/>
  <c r="L3531" i="4"/>
  <c r="F1399" i="6"/>
  <c r="L1809" i="6"/>
  <c r="L974" i="6"/>
  <c r="F431" i="6"/>
  <c r="B42" i="15"/>
  <c r="L1963" i="6"/>
  <c r="L1060" i="6"/>
  <c r="F1252" i="6"/>
  <c r="F1810" i="6"/>
  <c r="DW75" i="15"/>
  <c r="L202" i="6"/>
  <c r="Z28" i="15"/>
  <c r="AK33" i="15"/>
  <c r="L1200" i="6"/>
  <c r="L1451" i="6"/>
  <c r="L1163" i="6"/>
  <c r="L1796" i="6"/>
  <c r="F1459" i="6"/>
  <c r="L3838" i="4"/>
  <c r="L2120" i="6"/>
  <c r="L1793" i="6"/>
  <c r="L3402" i="4"/>
  <c r="F1396" i="6"/>
  <c r="F1917" i="6"/>
  <c r="O46" i="15"/>
  <c r="L3495" i="4"/>
  <c r="F1292" i="6"/>
  <c r="L1699" i="6"/>
  <c r="AR32" i="15"/>
  <c r="L3271" i="4"/>
  <c r="F1215" i="6"/>
  <c r="F1770" i="6"/>
  <c r="L818" i="6"/>
  <c r="L2" i="6"/>
  <c r="C19" i="15"/>
  <c r="AN52" i="15"/>
  <c r="AL33" i="15"/>
  <c r="L3390" i="4"/>
  <c r="F1309" i="6"/>
  <c r="L1753" i="6"/>
  <c r="AF44" i="15"/>
  <c r="L3339" i="4"/>
  <c r="F1192" i="6"/>
  <c r="F1693" i="6"/>
  <c r="R11" i="15"/>
  <c r="L3528" i="4"/>
  <c r="L1626" i="6"/>
  <c r="A135" i="15"/>
  <c r="L1294" i="6"/>
  <c r="L670" i="6"/>
  <c r="L46" i="6"/>
  <c r="S28" i="15"/>
  <c r="I20" i="15"/>
  <c r="AR49" i="15"/>
  <c r="F1931" i="6"/>
  <c r="L3262" i="4"/>
  <c r="F1466" i="6"/>
  <c r="DY39" i="15"/>
  <c r="L1236" i="6"/>
  <c r="L1759" i="6"/>
  <c r="DW39" i="15"/>
  <c r="F1236" i="6"/>
  <c r="F1922" i="6"/>
  <c r="L1055" i="6"/>
  <c r="L1548" i="6"/>
  <c r="AK7" i="15"/>
  <c r="F1159" i="6"/>
  <c r="F1835" i="6"/>
  <c r="L1002" i="6"/>
  <c r="L378" i="6"/>
  <c r="AH87" i="15"/>
  <c r="L151" i="6"/>
  <c r="Z92" i="15"/>
  <c r="W66" i="15"/>
  <c r="L2045" i="6"/>
  <c r="L1767" i="6"/>
  <c r="J67" i="15"/>
  <c r="F1301" i="6"/>
  <c r="G3" i="15"/>
  <c r="L1136" i="6"/>
  <c r="L1674" i="6"/>
  <c r="E3" i="15"/>
  <c r="F1136" i="6"/>
  <c r="L1758" i="6"/>
  <c r="DV146" i="15"/>
  <c r="F1377" i="6"/>
  <c r="L1927" i="6"/>
  <c r="F1059" i="6"/>
  <c r="L1671" i="6"/>
  <c r="L902" i="6"/>
  <c r="L278" i="6"/>
  <c r="F2044" i="6"/>
  <c r="O175" i="15"/>
  <c r="R118" i="15"/>
  <c r="A4" i="15"/>
  <c r="L1547" i="6"/>
  <c r="F1604" i="6"/>
  <c r="K25" i="15"/>
  <c r="F1201" i="6"/>
  <c r="F1891" i="6"/>
  <c r="L1036" i="6"/>
  <c r="L1510" i="6"/>
  <c r="L1968" i="6"/>
  <c r="F1036" i="6"/>
  <c r="L1594" i="6"/>
  <c r="AN45" i="15"/>
  <c r="L3780" i="4"/>
  <c r="F1764" i="6"/>
  <c r="F959" i="6"/>
  <c r="F1508" i="6"/>
  <c r="L802" i="6"/>
  <c r="L178" i="6"/>
  <c r="F1358" i="6"/>
  <c r="L3667" i="4"/>
  <c r="L587" i="6"/>
  <c r="L3004" i="4"/>
  <c r="F705" i="6"/>
  <c r="L1676" i="4"/>
  <c r="F635" i="6"/>
  <c r="L3087" i="4"/>
  <c r="L865" i="6"/>
  <c r="D15" i="15"/>
  <c r="F1740" i="6"/>
  <c r="AH4" i="15"/>
  <c r="L3310" i="4"/>
  <c r="L1671" i="4"/>
  <c r="L299" i="6"/>
  <c r="L2668" i="4"/>
  <c r="F225" i="6"/>
  <c r="F1186" i="6"/>
  <c r="L3842" i="4"/>
  <c r="F1314" i="6"/>
  <c r="F185" i="6"/>
  <c r="L969" i="6"/>
  <c r="L3911" i="4"/>
  <c r="L1435" i="6"/>
  <c r="R52" i="15"/>
  <c r="L1593" i="6"/>
  <c r="L3282" i="4"/>
  <c r="L3397" i="4"/>
  <c r="F557" i="6"/>
  <c r="L2974" i="4"/>
  <c r="L665" i="6"/>
  <c r="L1634" i="4"/>
  <c r="F578" i="6"/>
  <c r="L3033" i="4"/>
  <c r="F796" i="6"/>
  <c r="L3355" i="4"/>
  <c r="F547" i="6"/>
  <c r="L3062" i="4"/>
  <c r="L716" i="6"/>
  <c r="L3261" i="4"/>
  <c r="F533" i="6"/>
  <c r="L3031" i="4"/>
  <c r="F847" i="6"/>
  <c r="L3601" i="4"/>
  <c r="L669" i="4"/>
  <c r="F1833" i="6"/>
  <c r="L3723" i="4"/>
  <c r="F1996" i="6"/>
  <c r="L3526" i="4"/>
  <c r="L3613" i="4"/>
  <c r="F640" i="6"/>
  <c r="L3046" i="4"/>
  <c r="L748" i="6"/>
  <c r="L1731" i="4"/>
  <c r="F661" i="6"/>
  <c r="L3105" i="4"/>
  <c r="F879" i="6"/>
  <c r="L3553" i="4"/>
  <c r="F621" i="6"/>
  <c r="L3128" i="4"/>
  <c r="F791" i="6"/>
  <c r="L3441" i="4"/>
  <c r="L611" i="6"/>
  <c r="L3097" i="4"/>
  <c r="F938" i="6"/>
  <c r="L3799" i="4"/>
  <c r="L851" i="4"/>
  <c r="F70" i="15"/>
  <c r="L1654" i="6"/>
  <c r="L3235" i="4"/>
  <c r="L3910" i="4"/>
  <c r="L3829" i="4"/>
  <c r="F723" i="6"/>
  <c r="L3118" i="4"/>
  <c r="L831" i="6"/>
  <c r="L3304" i="4"/>
  <c r="F744" i="6"/>
  <c r="L3177" i="4"/>
  <c r="L977" i="6"/>
  <c r="L3751" i="4"/>
  <c r="L699" i="6"/>
  <c r="L3194" i="4"/>
  <c r="F865" i="6"/>
  <c r="L3640" i="4"/>
  <c r="L685" i="6"/>
  <c r="L3163" i="4"/>
  <c r="L1526" i="6"/>
  <c r="F9" i="6"/>
  <c r="DI3" i="15"/>
  <c r="F1326" i="6"/>
  <c r="R44" i="15"/>
  <c r="L554" i="6"/>
  <c r="L321" i="6"/>
  <c r="F1332" i="6"/>
  <c r="L3719" i="4"/>
  <c r="F1985" i="6"/>
  <c r="L15" i="6"/>
  <c r="F1050" i="6"/>
  <c r="L3770" i="4"/>
  <c r="Z78" i="15"/>
  <c r="AC305" i="15"/>
  <c r="DX6" i="15"/>
  <c r="E75" i="15"/>
  <c r="AC70" i="15"/>
  <c r="I52" i="15"/>
  <c r="AO93" i="15"/>
  <c r="H55" i="15"/>
  <c r="E22" i="15"/>
  <c r="O42" i="15"/>
  <c r="AN12" i="15"/>
  <c r="CF3" i="15"/>
  <c r="AL74" i="15"/>
  <c r="B59" i="15"/>
  <c r="F68" i="15"/>
  <c r="U115" i="15"/>
  <c r="X6" i="15"/>
  <c r="V29" i="15"/>
  <c r="J247" i="15"/>
  <c r="B20" i="15"/>
  <c r="F1072" i="6"/>
  <c r="L1488" i="6"/>
  <c r="L3306" i="4"/>
  <c r="F1785" i="6"/>
  <c r="F1183" i="6"/>
  <c r="AN101" i="15"/>
  <c r="F1418" i="6"/>
  <c r="L3387" i="4"/>
  <c r="L1267" i="6"/>
  <c r="L1652" i="6"/>
  <c r="L878" i="6"/>
  <c r="F265" i="6"/>
  <c r="D177" i="15"/>
  <c r="L1806" i="6"/>
  <c r="AN170" i="15"/>
  <c r="F1156" i="6"/>
  <c r="F1653" i="6"/>
  <c r="AB30" i="15"/>
  <c r="L106" i="6"/>
  <c r="AC77" i="15"/>
  <c r="L2098" i="6"/>
  <c r="L1104" i="6"/>
  <c r="F1296" i="6"/>
  <c r="J89" i="15"/>
  <c r="F1718" i="6"/>
  <c r="F1376" i="6"/>
  <c r="AG187" i="15"/>
  <c r="AC71" i="15"/>
  <c r="L1613" i="6"/>
  <c r="L3274" i="4"/>
  <c r="L1317" i="6"/>
  <c r="F1760" i="6"/>
  <c r="Z26" i="15"/>
  <c r="L3351" i="4"/>
  <c r="F1196" i="6"/>
  <c r="F1621" i="6"/>
  <c r="DV12" i="15"/>
  <c r="A77" i="15"/>
  <c r="F1167" i="6"/>
  <c r="F1691" i="6"/>
  <c r="L722" i="6"/>
  <c r="L3826" i="4"/>
  <c r="Z236" i="15"/>
  <c r="L2100" i="6"/>
  <c r="J12" i="15"/>
  <c r="L3268" i="4"/>
  <c r="F1213" i="6"/>
  <c r="F1675" i="6"/>
  <c r="AN24" i="15"/>
  <c r="X60" i="15"/>
  <c r="F1144" i="6"/>
  <c r="L1614" i="6"/>
  <c r="F2063" i="6"/>
  <c r="L3384" i="4"/>
  <c r="F1548" i="6"/>
  <c r="Z45" i="15"/>
  <c r="L1246" i="6"/>
  <c r="L622" i="6"/>
  <c r="L3958" i="4"/>
  <c r="L39" i="15"/>
  <c r="L2047" i="6"/>
  <c r="E20" i="15"/>
  <c r="L1852" i="6"/>
  <c r="B153" i="15"/>
  <c r="F1383" i="6"/>
  <c r="Y19" i="15"/>
  <c r="L1140" i="6"/>
  <c r="F1681" i="6"/>
  <c r="W19" i="15"/>
  <c r="F1188" i="6"/>
  <c r="L1843" i="6"/>
  <c r="L1007" i="6"/>
  <c r="F1464" i="6"/>
  <c r="F2033" i="6"/>
  <c r="F1111" i="6"/>
  <c r="L1756" i="6"/>
  <c r="L954" i="6"/>
  <c r="L282" i="6"/>
  <c r="F2128" i="6"/>
  <c r="L68" i="6"/>
  <c r="AO12" i="15"/>
  <c r="O36" i="15"/>
  <c r="L1757" i="6"/>
  <c r="F1689" i="6"/>
  <c r="AC46" i="15"/>
  <c r="F1253" i="6"/>
  <c r="F1976" i="6"/>
  <c r="L1088" i="6"/>
  <c r="F1517" i="6"/>
  <c r="F1975" i="6"/>
  <c r="F1088" i="6"/>
  <c r="F1680" i="6"/>
  <c r="Z68" i="15"/>
  <c r="L3936" i="4"/>
  <c r="F1849" i="6"/>
  <c r="F1011" i="6"/>
  <c r="F1593" i="6"/>
  <c r="L854" i="6"/>
  <c r="L230" i="6"/>
  <c r="L1366" i="6"/>
  <c r="U201" i="15"/>
  <c r="D49" i="15"/>
  <c r="A88" i="15"/>
  <c r="L1420" i="6"/>
  <c r="L1525" i="6"/>
  <c r="DQ4" i="15"/>
  <c r="F1153" i="6"/>
  <c r="L1812" i="6"/>
  <c r="L988" i="6"/>
  <c r="F1426" i="6"/>
  <c r="F1811" i="6"/>
  <c r="F988" i="6"/>
  <c r="F1516" i="6"/>
  <c r="I26" i="15"/>
  <c r="L3636" i="4"/>
  <c r="F1685" i="6"/>
  <c r="F911" i="6"/>
  <c r="F1424" i="6"/>
  <c r="L754" i="6"/>
  <c r="L130" i="6"/>
  <c r="F876" i="6"/>
  <c r="L3249" i="4"/>
  <c r="L504" i="6"/>
  <c r="L2932" i="4"/>
  <c r="F622" i="6"/>
  <c r="L1604" i="4"/>
  <c r="F552" i="6"/>
  <c r="L3015" i="4"/>
  <c r="F783" i="6"/>
  <c r="AL204" i="15"/>
  <c r="L3867" i="4"/>
  <c r="F1600" i="6"/>
  <c r="F1781" i="6"/>
  <c r="L1593" i="4"/>
  <c r="F208" i="6"/>
  <c r="L2590" i="4"/>
  <c r="L137" i="6"/>
  <c r="F1082" i="6"/>
  <c r="L3608" i="4"/>
  <c r="L1209" i="6"/>
  <c r="F102" i="6"/>
  <c r="F883" i="6"/>
  <c r="L3695" i="4"/>
  <c r="L3330" i="4"/>
  <c r="F1798" i="6"/>
  <c r="F1191" i="6"/>
  <c r="C47" i="15"/>
  <c r="L1805" i="4"/>
  <c r="L469" i="6"/>
  <c r="L2896" i="4"/>
  <c r="F574" i="6"/>
  <c r="L1556" i="4"/>
  <c r="F491" i="6"/>
  <c r="L2955" i="4"/>
  <c r="L708" i="6"/>
  <c r="L1729" i="4"/>
  <c r="F464" i="6"/>
  <c r="L2990" i="4"/>
  <c r="L633" i="6"/>
  <c r="L1739" i="4"/>
  <c r="F450" i="6"/>
  <c r="L2959" i="4"/>
  <c r="F764" i="6"/>
  <c r="L3385" i="4"/>
  <c r="L557" i="4"/>
  <c r="L1361" i="6"/>
  <c r="F35" i="15"/>
  <c r="L1521" i="6"/>
  <c r="L3276" i="4"/>
  <c r="L3379" i="4"/>
  <c r="L552" i="6"/>
  <c r="L2968" i="4"/>
  <c r="F657" i="6"/>
  <c r="L1628" i="4"/>
  <c r="L573" i="6"/>
  <c r="L3027" i="4"/>
  <c r="L791" i="6"/>
  <c r="L3337" i="4"/>
  <c r="F538" i="6"/>
  <c r="L3056" i="4"/>
  <c r="F708" i="6"/>
  <c r="L3245" i="4"/>
  <c r="L528" i="6"/>
  <c r="L3025" i="4"/>
  <c r="M428" i="15"/>
  <c r="T211" i="15"/>
  <c r="F4" i="15"/>
  <c r="J65" i="15"/>
  <c r="X62" i="15"/>
  <c r="AB47" i="15"/>
  <c r="AK79" i="15"/>
  <c r="AC50" i="15"/>
  <c r="AC15" i="15"/>
  <c r="E37" i="15"/>
  <c r="J7" i="15"/>
  <c r="L2124" i="6"/>
  <c r="U275" i="15"/>
  <c r="G54" i="15"/>
  <c r="W61" i="15"/>
  <c r="AC87" i="15"/>
  <c r="CX3" i="15"/>
  <c r="W24" i="15"/>
  <c r="N159" i="15"/>
  <c r="BZ3" i="15"/>
  <c r="F1024" i="6"/>
  <c r="L1406" i="6"/>
  <c r="L3226" i="4"/>
  <c r="L1706" i="6"/>
  <c r="F1135" i="6"/>
  <c r="DU115" i="15"/>
  <c r="F1335" i="6"/>
  <c r="K69" i="15"/>
  <c r="L1219" i="6"/>
  <c r="F1574" i="6"/>
  <c r="L830" i="6"/>
  <c r="F182" i="6"/>
  <c r="K59" i="15"/>
  <c r="F1728" i="6"/>
  <c r="Y73" i="15"/>
  <c r="F1108" i="6"/>
  <c r="L1574" i="6"/>
  <c r="A11" i="15"/>
  <c r="L58" i="6"/>
  <c r="T41" i="15"/>
  <c r="F1957" i="6"/>
  <c r="L1056" i="6"/>
  <c r="F1248" i="6"/>
  <c r="W14" i="15"/>
  <c r="F1561" i="6"/>
  <c r="L1110" i="6"/>
  <c r="AA91" i="15"/>
  <c r="X54" i="15"/>
  <c r="L1448" i="6"/>
  <c r="W202" i="15"/>
  <c r="F1265" i="6"/>
  <c r="L1681" i="6"/>
  <c r="AB6" i="15"/>
  <c r="R122" i="15"/>
  <c r="F1148" i="6"/>
  <c r="L1542" i="6"/>
  <c r="F2087" i="6"/>
  <c r="W50" i="15"/>
  <c r="F1119" i="6"/>
  <c r="L1612" i="6"/>
  <c r="L674" i="6"/>
  <c r="L3682" i="4"/>
  <c r="C59" i="15"/>
  <c r="T66" i="15"/>
  <c r="L2056" i="6"/>
  <c r="AR175" i="15"/>
  <c r="F1165" i="6"/>
  <c r="L1596" i="6"/>
  <c r="DD4" i="15"/>
  <c r="AC41" i="15"/>
  <c r="F1096" i="6"/>
  <c r="F1536" i="6"/>
  <c r="L1947" i="6"/>
  <c r="L3265" i="4"/>
  <c r="L1389" i="6"/>
  <c r="AK25" i="15"/>
  <c r="L1198" i="6"/>
  <c r="L574" i="6"/>
  <c r="L3814" i="4"/>
  <c r="D94" i="15"/>
  <c r="A67" i="15"/>
  <c r="L2051" i="6"/>
  <c r="F1774" i="6"/>
  <c r="C70" i="15"/>
  <c r="F1305" i="6"/>
  <c r="F1983" i="6"/>
  <c r="L1092" i="6"/>
  <c r="L1602" i="6"/>
  <c r="BL3" i="15"/>
  <c r="F1140" i="6"/>
  <c r="F1765" i="6"/>
  <c r="F165" i="15"/>
  <c r="L1385" i="6"/>
  <c r="F1934" i="6"/>
  <c r="F1063" i="6"/>
  <c r="F1678" i="6"/>
  <c r="L858" i="6"/>
  <c r="L234" i="6"/>
  <c r="F1729" i="6"/>
  <c r="G144" i="15"/>
  <c r="O143" i="15"/>
  <c r="T6" i="15"/>
  <c r="L1571" i="6"/>
  <c r="L1610" i="6"/>
  <c r="D27" i="15"/>
  <c r="F1205" i="6"/>
  <c r="L1897" i="6"/>
  <c r="L992" i="6"/>
  <c r="L1434" i="6"/>
  <c r="L1896" i="6"/>
  <c r="F1040" i="6"/>
  <c r="F1601" i="6"/>
  <c r="V47" i="15"/>
  <c r="L3792" i="4"/>
  <c r="L1770" i="6"/>
  <c r="F963" i="6"/>
  <c r="L1514" i="6"/>
  <c r="L806" i="6"/>
  <c r="L134" i="6"/>
  <c r="L884" i="6"/>
  <c r="E132" i="15"/>
  <c r="AR16" i="15"/>
  <c r="D44" i="15"/>
  <c r="L1364" i="6"/>
  <c r="F1449" i="6"/>
  <c r="F2011" i="6"/>
  <c r="F1105" i="6"/>
  <c r="F1734" i="6"/>
  <c r="AR109" i="15"/>
  <c r="L3879" i="4"/>
  <c r="L1732" i="6"/>
  <c r="F940" i="6"/>
  <c r="F1434" i="6"/>
  <c r="O6" i="15"/>
  <c r="L3492" i="4"/>
  <c r="L1606" i="6"/>
  <c r="AJ112" i="15"/>
  <c r="L1345" i="6"/>
  <c r="L706" i="6"/>
  <c r="L82" i="6"/>
  <c r="F710" i="6"/>
  <c r="L1709" i="4"/>
  <c r="L421" i="6"/>
  <c r="L2860" i="4"/>
  <c r="L543" i="6"/>
  <c r="L1513" i="4"/>
  <c r="F469" i="6"/>
  <c r="L2943" i="4"/>
  <c r="F700" i="6"/>
  <c r="L1911" i="6"/>
  <c r="AL53" i="15"/>
  <c r="F907" i="6"/>
  <c r="F942" i="6"/>
  <c r="L1480" i="4"/>
  <c r="L120" i="6"/>
  <c r="L2512" i="4"/>
  <c r="L41" i="6"/>
  <c r="F978" i="6"/>
  <c r="L3374" i="4"/>
  <c r="L1105" i="6"/>
  <c r="L23" i="6"/>
  <c r="F800" i="6"/>
  <c r="L3479" i="4"/>
  <c r="H4" i="15"/>
  <c r="F1321" i="6"/>
  <c r="F903" i="6"/>
  <c r="F1755" i="6"/>
  <c r="L1665" i="4"/>
  <c r="F378" i="6"/>
  <c r="L2818" i="4"/>
  <c r="F487" i="6"/>
  <c r="AI51" i="15"/>
  <c r="L403" i="6"/>
  <c r="L2877" i="4"/>
  <c r="L612" i="6"/>
  <c r="L1633" i="4"/>
  <c r="F381" i="6"/>
  <c r="L2918" i="4"/>
  <c r="F551" i="6"/>
  <c r="L1638" i="4"/>
  <c r="L371" i="6"/>
  <c r="L2887" i="4"/>
  <c r="F681" i="6"/>
  <c r="L1797" i="4"/>
  <c r="L447" i="4"/>
  <c r="L3244" i="4"/>
  <c r="F1726" i="6"/>
  <c r="F1147" i="6"/>
  <c r="AK40" i="15"/>
  <c r="L1793" i="4"/>
  <c r="F461" i="6"/>
  <c r="L2890" i="4"/>
  <c r="L569" i="6"/>
  <c r="L1549" i="4"/>
  <c r="F482" i="6"/>
  <c r="L2949" i="4"/>
  <c r="L695" i="6"/>
  <c r="L1717" i="4"/>
  <c r="L459" i="6"/>
  <c r="L2984" i="4"/>
  <c r="F625" i="6"/>
  <c r="L1727" i="4"/>
  <c r="L445" i="6"/>
  <c r="L2953" i="4"/>
  <c r="L759" i="6"/>
  <c r="L3367" i="4"/>
  <c r="L547" i="4"/>
  <c r="F1353" i="6"/>
  <c r="P33" i="15"/>
  <c r="F1515" i="6"/>
  <c r="L3270" i="4"/>
  <c r="L3361" i="4"/>
  <c r="F544" i="6"/>
  <c r="L2962" i="4"/>
  <c r="L652" i="6"/>
  <c r="L1622" i="4"/>
  <c r="F565" i="6"/>
  <c r="L3021" i="4"/>
  <c r="F774" i="6"/>
  <c r="L3319" i="4"/>
  <c r="L533" i="6"/>
  <c r="L3050" i="4"/>
  <c r="L703" i="6"/>
  <c r="L3237" i="4"/>
  <c r="F520" i="6"/>
  <c r="L3019" i="4"/>
  <c r="L833" i="6"/>
  <c r="L3565" i="4"/>
  <c r="L1715" i="6"/>
  <c r="F3" i="15"/>
  <c r="L3912" i="4"/>
  <c r="L170" i="6"/>
  <c r="F38" i="6"/>
  <c r="L805" i="6"/>
  <c r="L3190" i="4"/>
  <c r="L1314" i="6"/>
  <c r="L3520" i="4"/>
  <c r="F827" i="6"/>
  <c r="L3302" i="4"/>
  <c r="L1073" i="6"/>
  <c r="L3949" i="4"/>
  <c r="L773" i="6"/>
  <c r="L3407" i="4"/>
  <c r="F1454" i="6"/>
  <c r="L3837" i="4"/>
  <c r="F760" i="6"/>
  <c r="L3368" i="4"/>
  <c r="L1814" i="6"/>
  <c r="L87" i="6"/>
  <c r="DV43" i="15"/>
  <c r="T52" i="15"/>
  <c r="F1503" i="6"/>
  <c r="L1034" i="6"/>
  <c r="L583" i="6"/>
  <c r="F1959" i="6"/>
  <c r="F77" i="6"/>
  <c r="L2554" i="4"/>
  <c r="L185" i="6"/>
  <c r="F1250" i="6"/>
  <c r="F98" i="6"/>
  <c r="L1926" i="6"/>
  <c r="F316" i="6"/>
  <c r="F1795" i="6"/>
  <c r="F106" i="6"/>
  <c r="L2678" i="4"/>
  <c r="F276" i="6"/>
  <c r="F1789" i="6"/>
  <c r="L96" i="6"/>
  <c r="L2647" i="4"/>
  <c r="F406" i="6"/>
  <c r="L1448" i="4"/>
  <c r="F1839" i="6"/>
  <c r="F1176" i="6"/>
  <c r="P39" i="15"/>
  <c r="F1493" i="6"/>
  <c r="L1635" i="4"/>
  <c r="L347" i="6"/>
  <c r="L2782" i="4"/>
  <c r="L447" i="6"/>
  <c r="W12" i="15"/>
  <c r="F360" i="6"/>
  <c r="L2841" i="4"/>
  <c r="L577" i="6"/>
  <c r="L1603" i="4"/>
  <c r="F346" i="6"/>
  <c r="L2888" i="4"/>
  <c r="F516" i="6"/>
  <c r="L1608" i="4"/>
  <c r="L336" i="6"/>
  <c r="L2857" i="4"/>
  <c r="F646" i="6"/>
  <c r="L1737" i="4"/>
  <c r="L1669" i="6"/>
  <c r="L3423" i="4"/>
  <c r="F1829" i="6"/>
  <c r="L3406" i="4"/>
  <c r="L3523" i="4"/>
  <c r="F605" i="6"/>
  <c r="L3016" i="4"/>
  <c r="L713" i="6"/>
  <c r="L1670" i="4"/>
  <c r="L621" i="6"/>
  <c r="L3069" i="4"/>
  <c r="L839" i="6"/>
  <c r="L3463" i="4"/>
  <c r="F586" i="6"/>
  <c r="L3098" i="4"/>
  <c r="F756" i="6"/>
  <c r="L3352" i="4"/>
  <c r="L576" i="6"/>
  <c r="L3067" i="4"/>
  <c r="F886" i="6"/>
  <c r="L3709" i="4"/>
  <c r="L725" i="4"/>
  <c r="L3630" i="4"/>
  <c r="F1962" i="6"/>
  <c r="F1291" i="6"/>
  <c r="L3210" i="4"/>
  <c r="L3273" i="4"/>
  <c r="F509" i="6"/>
  <c r="L2926" i="4"/>
  <c r="F609" i="6"/>
  <c r="L1586" i="4"/>
  <c r="L525" i="6"/>
  <c r="L2985" i="4"/>
  <c r="L743" i="6"/>
  <c r="L1789" i="4"/>
  <c r="F499" i="6"/>
  <c r="L3020" i="4"/>
  <c r="L668" i="6"/>
  <c r="L1799" i="4"/>
  <c r="F485" i="6"/>
  <c r="L2989" i="4"/>
  <c r="F799" i="6"/>
  <c r="L3475" i="4"/>
  <c r="L617" i="4"/>
  <c r="L3618" i="4"/>
  <c r="F1955" i="6"/>
  <c r="F1287" i="6"/>
  <c r="L3204" i="4"/>
  <c r="L3257" i="4"/>
  <c r="F496" i="6"/>
  <c r="L2920" i="4"/>
  <c r="L604" i="6"/>
  <c r="L1580" i="4"/>
  <c r="F517" i="6"/>
  <c r="L2979" i="4"/>
  <c r="F735" i="6"/>
  <c r="L1777" i="4"/>
  <c r="G109" i="15"/>
  <c r="C95" i="15"/>
  <c r="F150" i="15"/>
  <c r="D24" i="15"/>
  <c r="O19" i="15"/>
  <c r="U39" i="15"/>
  <c r="A133" i="15"/>
  <c r="D39" i="15"/>
  <c r="L2144" i="6"/>
  <c r="T127" i="15"/>
  <c r="R45" i="15"/>
  <c r="D33" i="15"/>
  <c r="B76" i="15"/>
  <c r="F2048" i="6"/>
  <c r="Y4" i="15"/>
  <c r="F117" i="15"/>
  <c r="AA44" i="15"/>
  <c r="W67" i="15"/>
  <c r="T286" i="15"/>
  <c r="F1189" i="6"/>
  <c r="L1653" i="6"/>
  <c r="L790" i="6"/>
  <c r="F1584" i="6"/>
  <c r="F1020" i="6"/>
  <c r="F1953" i="6"/>
  <c r="K38" i="15"/>
  <c r="AK47" i="15"/>
  <c r="L1621" i="6"/>
  <c r="A38" i="15"/>
  <c r="F1083" i="6"/>
  <c r="L446" i="6"/>
  <c r="W128" i="15"/>
  <c r="R117" i="15"/>
  <c r="F1177" i="6"/>
  <c r="F1707" i="6"/>
  <c r="S11" i="15"/>
  <c r="L3283" i="4"/>
  <c r="L1467" i="6"/>
  <c r="L103" i="15"/>
  <c r="L1468" i="6"/>
  <c r="F1322" i="6"/>
  <c r="F1936" i="6"/>
  <c r="F1008" i="6"/>
  <c r="F2111" i="6"/>
  <c r="L1482" i="6"/>
  <c r="L966" i="6"/>
  <c r="G240" i="15"/>
  <c r="H79" i="15"/>
  <c r="L1380" i="6"/>
  <c r="C80" i="15"/>
  <c r="F1169" i="6"/>
  <c r="L1524" i="6"/>
  <c r="F2023" i="6"/>
  <c r="Q43" i="15"/>
  <c r="F1052" i="6"/>
  <c r="F1460" i="6"/>
  <c r="L1875" i="6"/>
  <c r="P11" i="15"/>
  <c r="F1071" i="6"/>
  <c r="L1454" i="6"/>
  <c r="L578" i="6"/>
  <c r="R197" i="15"/>
  <c r="L2108" i="6"/>
  <c r="R6" i="15"/>
  <c r="F1938" i="6"/>
  <c r="AJ49" i="15"/>
  <c r="F1069" i="6"/>
  <c r="F1518" i="6"/>
  <c r="F1923" i="6"/>
  <c r="DP3" i="15"/>
  <c r="F1048" i="6"/>
  <c r="F1373" i="6"/>
  <c r="F1869" i="6"/>
  <c r="I72" i="15"/>
  <c r="F1307" i="6"/>
  <c r="C6" i="15"/>
  <c r="L1150" i="6"/>
  <c r="L526" i="6"/>
  <c r="L3670" i="4"/>
  <c r="F13" i="15"/>
  <c r="AC36" i="15"/>
  <c r="L1763" i="6"/>
  <c r="L1695" i="6"/>
  <c r="I48" i="15"/>
  <c r="F1209" i="6"/>
  <c r="F1904" i="6"/>
  <c r="L1044" i="6"/>
  <c r="F1524" i="6"/>
  <c r="F1982" i="6"/>
  <c r="F1092" i="6"/>
  <c r="L1686" i="6"/>
  <c r="T72" i="15"/>
  <c r="L3948" i="4"/>
  <c r="L1855" i="6"/>
  <c r="F1015" i="6"/>
  <c r="F1521" i="6"/>
  <c r="L810" i="6"/>
  <c r="L186" i="6"/>
  <c r="F1375" i="6"/>
  <c r="X83" i="15"/>
  <c r="T53" i="15"/>
  <c r="AN105" i="15"/>
  <c r="L1424" i="6"/>
  <c r="F1532" i="6"/>
  <c r="DZ6" i="15"/>
  <c r="F1157" i="6"/>
  <c r="L1740" i="6"/>
  <c r="Z115" i="15"/>
  <c r="L1351" i="6"/>
  <c r="F1818" i="6"/>
  <c r="F992" i="6"/>
  <c r="L1522" i="6"/>
  <c r="AN27" i="15"/>
  <c r="L3648" i="4"/>
  <c r="F1692" i="6"/>
  <c r="F915" i="6"/>
  <c r="F1433" i="6"/>
  <c r="L710" i="6"/>
  <c r="L86" i="6"/>
  <c r="L801" i="6"/>
  <c r="AN161" i="15"/>
  <c r="S180" i="15"/>
  <c r="J14" i="15"/>
  <c r="R372" i="15"/>
  <c r="F1366" i="6"/>
  <c r="F1924" i="6"/>
  <c r="F1057" i="6"/>
  <c r="F1655" i="6"/>
  <c r="DX39" i="15"/>
  <c r="L3735" i="4"/>
  <c r="F1654" i="6"/>
  <c r="G114" i="15"/>
  <c r="F1351" i="6"/>
  <c r="L2020" i="6"/>
  <c r="L3348" i="4"/>
  <c r="F1528" i="6"/>
  <c r="AB59" i="15"/>
  <c r="L1282" i="6"/>
  <c r="L658" i="6"/>
  <c r="L3922" i="4"/>
  <c r="L631" i="6"/>
  <c r="L1623" i="4"/>
  <c r="F339" i="6"/>
  <c r="L2788" i="4"/>
  <c r="L460" i="6"/>
  <c r="U32" i="15"/>
  <c r="F386" i="6"/>
  <c r="L2871" i="4"/>
  <c r="F617" i="6"/>
  <c r="F1440" i="6"/>
  <c r="L1329" i="6"/>
  <c r="L1972" i="6"/>
  <c r="F780" i="6"/>
  <c r="D14" i="15"/>
  <c r="F29" i="6"/>
  <c r="AB13" i="15"/>
  <c r="L3825" i="4"/>
  <c r="F853" i="6"/>
  <c r="L3195" i="4"/>
  <c r="L1001" i="6"/>
  <c r="L3805" i="4"/>
  <c r="F717" i="6"/>
  <c r="A159" i="15"/>
  <c r="F1597" i="6"/>
  <c r="F1028" i="6"/>
  <c r="F1966" i="6"/>
  <c r="F930" i="6"/>
  <c r="AM323" i="15"/>
  <c r="X64" i="15"/>
  <c r="P79" i="15"/>
  <c r="F196" i="15"/>
  <c r="A51" i="15"/>
  <c r="F1404" i="6"/>
  <c r="F1342" i="6"/>
  <c r="DW12" i="15"/>
  <c r="CH3" i="15"/>
  <c r="L1023" i="6"/>
  <c r="F1318" i="6"/>
  <c r="V243" i="15"/>
  <c r="R25" i="15"/>
  <c r="L1004" i="6"/>
  <c r="J83" i="15"/>
  <c r="L962" i="6"/>
  <c r="L1320" i="6"/>
  <c r="W130" i="15"/>
  <c r="O77" i="15"/>
  <c r="L1527" i="6"/>
  <c r="E112" i="15"/>
  <c r="F1623" i="6"/>
  <c r="L3327" i="4"/>
  <c r="L1705" i="6"/>
  <c r="L1098" i="6"/>
  <c r="C28" i="15"/>
  <c r="L3256" i="4"/>
  <c r="L1831" i="6"/>
  <c r="L1051" i="6"/>
  <c r="L1828" i="6"/>
  <c r="L225" i="6"/>
  <c r="F1761" i="6"/>
  <c r="L1132" i="6"/>
  <c r="L1830" i="6"/>
  <c r="F1055" i="6"/>
  <c r="F1993" i="6"/>
  <c r="F871" i="6"/>
  <c r="L1057" i="6"/>
  <c r="L30" i="6"/>
  <c r="F404" i="6"/>
  <c r="F351" i="6"/>
  <c r="F1733" i="6"/>
  <c r="L1468" i="4"/>
  <c r="F308" i="6"/>
  <c r="Y106" i="15"/>
  <c r="L219" i="6"/>
  <c r="T37" i="15"/>
  <c r="L519" i="6"/>
  <c r="F1525" i="6"/>
  <c r="F908" i="6"/>
  <c r="L2734" i="4"/>
  <c r="F299" i="6"/>
  <c r="L1627" i="4"/>
  <c r="F1768" i="6"/>
  <c r="F690" i="6"/>
  <c r="L676" i="6"/>
  <c r="L993" i="4"/>
  <c r="F1400" i="6"/>
  <c r="F101" i="15"/>
  <c r="L3595" i="4"/>
  <c r="L3503" i="4"/>
  <c r="F286" i="6"/>
  <c r="L477" i="6"/>
  <c r="L1081" i="6"/>
  <c r="L951" i="6"/>
  <c r="L2906" i="4"/>
  <c r="L3424" i="4"/>
  <c r="L3602" i="4"/>
  <c r="F502" i="6"/>
  <c r="J48" i="15"/>
  <c r="L1139" i="6"/>
  <c r="L740" i="6"/>
  <c r="F627" i="6"/>
  <c r="L1644" i="6"/>
  <c r="F1258" i="6"/>
  <c r="L2931" i="4"/>
  <c r="F159" i="6"/>
  <c r="F442" i="6"/>
  <c r="F2080" i="6"/>
  <c r="L1703" i="4"/>
  <c r="L3800" i="4"/>
  <c r="F742" i="6"/>
  <c r="F115" i="15"/>
  <c r="F2141" i="6"/>
  <c r="F1809" i="6"/>
  <c r="L33" i="6"/>
  <c r="F531" i="6"/>
  <c r="L2872" i="4"/>
  <c r="F452" i="6"/>
  <c r="F1801" i="6"/>
  <c r="L189" i="6"/>
  <c r="F1586" i="6"/>
  <c r="F150" i="6"/>
  <c r="F848" i="6"/>
  <c r="L3389" i="4"/>
  <c r="F852" i="6"/>
  <c r="L3388" i="4"/>
  <c r="F507" i="6"/>
  <c r="L2935" i="4"/>
  <c r="F655" i="6"/>
  <c r="L1643" i="4"/>
  <c r="AA62" i="15"/>
  <c r="W108" i="15"/>
  <c r="L1278" i="6"/>
  <c r="F575" i="6"/>
  <c r="L1592" i="6"/>
  <c r="L3683" i="4"/>
  <c r="F1592" i="6"/>
  <c r="L3484" i="4"/>
  <c r="F722" i="6"/>
  <c r="L3075" i="4"/>
  <c r="L756" i="6"/>
  <c r="L1675" i="4"/>
  <c r="L267" i="6"/>
  <c r="L2744" i="4"/>
  <c r="L271" i="6"/>
  <c r="F1428" i="6"/>
  <c r="L3764" i="4"/>
  <c r="BO4" i="15"/>
  <c r="F70" i="6"/>
  <c r="W71" i="15"/>
  <c r="L980" i="6"/>
  <c r="L3756" i="4"/>
  <c r="L3754" i="4"/>
  <c r="L3281" i="4"/>
  <c r="F426" i="6"/>
  <c r="L2776" i="4"/>
  <c r="L351" i="6"/>
  <c r="F1406" i="6"/>
  <c r="F85" i="6"/>
  <c r="L1533" i="6"/>
  <c r="F137" i="6"/>
  <c r="F835" i="6"/>
  <c r="L3353" i="4"/>
  <c r="F839" i="6"/>
  <c r="L1811" i="4"/>
  <c r="F411" i="6"/>
  <c r="L2851" i="4"/>
  <c r="F559" i="6"/>
  <c r="L1559" i="4"/>
  <c r="H15" i="15"/>
  <c r="L1224" i="6"/>
  <c r="F1607" i="6"/>
  <c r="L118" i="6"/>
  <c r="L3739" i="4"/>
  <c r="L600" i="6"/>
  <c r="L2848" i="4"/>
  <c r="F430" i="6"/>
  <c r="L1722" i="6"/>
  <c r="F168" i="6"/>
  <c r="F1848" i="6"/>
  <c r="L215" i="6"/>
  <c r="L921" i="6"/>
  <c r="L3551" i="4"/>
  <c r="F1354" i="6"/>
  <c r="L3549" i="4"/>
  <c r="F568" i="6"/>
  <c r="L2917" i="4"/>
  <c r="F633" i="6"/>
  <c r="L1625" i="4"/>
  <c r="DV16" i="15"/>
  <c r="J13" i="15"/>
  <c r="L1039" i="6"/>
  <c r="L462" i="6"/>
  <c r="L116" i="6"/>
  <c r="F771" i="6"/>
  <c r="L3082" i="4"/>
  <c r="F692" i="6"/>
  <c r="B107" i="15"/>
  <c r="F338" i="6"/>
  <c r="L2745" i="4"/>
  <c r="F377" i="6"/>
  <c r="F1690" i="6"/>
  <c r="F80" i="6"/>
  <c r="L2654" i="4"/>
  <c r="L249" i="6"/>
  <c r="F1684" i="6"/>
  <c r="F66" i="6"/>
  <c r="L2623" i="4"/>
  <c r="F380" i="6"/>
  <c r="L1421" i="4"/>
  <c r="S672" i="2"/>
  <c r="L571" i="6"/>
  <c r="L734" i="4"/>
  <c r="L1044" i="4"/>
  <c r="S596" i="2"/>
  <c r="L313" i="4"/>
  <c r="S121" i="2"/>
  <c r="L121" i="6"/>
  <c r="L2410" i="4"/>
  <c r="S196" i="2"/>
  <c r="L1183" i="4"/>
  <c r="F762" i="6"/>
  <c r="L1017" i="6"/>
  <c r="L3729" i="4"/>
  <c r="F44" i="6"/>
  <c r="S498" i="2"/>
  <c r="L2994" i="4"/>
  <c r="L4" i="4"/>
  <c r="S531" i="2"/>
  <c r="S386" i="2"/>
  <c r="S305" i="2"/>
  <c r="S585" i="2"/>
  <c r="L2621" i="4"/>
  <c r="L500" i="4"/>
  <c r="L1144" i="4"/>
  <c r="L2651" i="4"/>
  <c r="L1377" i="4"/>
  <c r="L3090" i="4"/>
  <c r="L248" i="4"/>
  <c r="L2216" i="4"/>
  <c r="L543" i="4"/>
  <c r="L3919" i="4"/>
  <c r="L3201" i="4"/>
  <c r="F564" i="6"/>
  <c r="F694" i="6"/>
  <c r="S648" i="2"/>
  <c r="F96" i="6"/>
  <c r="L331" i="4"/>
  <c r="L265" i="4"/>
  <c r="L158" i="4"/>
  <c r="S11" i="2"/>
  <c r="L601" i="4"/>
  <c r="F270" i="6"/>
  <c r="L502" i="4"/>
  <c r="L1486" i="4"/>
  <c r="L160" i="6"/>
  <c r="L1833" i="4"/>
  <c r="F135" i="6"/>
  <c r="L544" i="4"/>
  <c r="L2354" i="4"/>
  <c r="L913" i="4"/>
  <c r="L2705" i="4"/>
  <c r="F957" i="6"/>
  <c r="L2602" i="4"/>
  <c r="F1978" i="6"/>
  <c r="L707" i="6"/>
  <c r="L1208" i="4"/>
  <c r="S252" i="2"/>
  <c r="L1474" i="4"/>
  <c r="S80" i="2"/>
  <c r="L522" i="4"/>
  <c r="S379" i="2"/>
  <c r="N1156" i="4" s="1"/>
  <c r="S337" i="2"/>
  <c r="L3561" i="4"/>
  <c r="L2302" i="4"/>
  <c r="F1278" i="6"/>
  <c r="L693" i="4"/>
  <c r="L2331" i="4"/>
  <c r="L862" i="4"/>
  <c r="H186" i="15"/>
  <c r="DU92" i="15"/>
  <c r="R132" i="15"/>
  <c r="AA166" i="15"/>
  <c r="I100" i="15"/>
  <c r="L1948" i="6"/>
  <c r="AK1" i="15"/>
  <c r="L1483" i="6"/>
  <c r="F79" i="15"/>
  <c r="L1888" i="6"/>
  <c r="AF52" i="15"/>
  <c r="L2086" i="6"/>
  <c r="L2123" i="6"/>
  <c r="D140" i="15"/>
  <c r="A52" i="15"/>
  <c r="L914" i="6"/>
  <c r="G99" i="15"/>
  <c r="S64" i="15"/>
  <c r="X50" i="15"/>
  <c r="F1446" i="6"/>
  <c r="DX49" i="15"/>
  <c r="L1544" i="6"/>
  <c r="Z58" i="15"/>
  <c r="F1627" i="6"/>
  <c r="L1050" i="6"/>
  <c r="AN38" i="15"/>
  <c r="AK141" i="15"/>
  <c r="F1753" i="6"/>
  <c r="L1003" i="6"/>
  <c r="F1750" i="6"/>
  <c r="F143" i="6"/>
  <c r="L1682" i="6"/>
  <c r="L1084" i="6"/>
  <c r="F1673" i="6"/>
  <c r="F1007" i="6"/>
  <c r="L1676" i="6"/>
  <c r="F788" i="6"/>
  <c r="F958" i="6"/>
  <c r="L3562" i="4"/>
  <c r="L316" i="6"/>
  <c r="F268" i="6"/>
  <c r="L3855" i="4"/>
  <c r="F736" i="6"/>
  <c r="L3340" i="4"/>
  <c r="L993" i="6"/>
  <c r="L3230" i="4"/>
  <c r="F699" i="6"/>
  <c r="F22" i="6"/>
  <c r="DW17" i="15"/>
  <c r="F73" i="6"/>
  <c r="L1331" i="6"/>
  <c r="L3338" i="4"/>
  <c r="L1555" i="4"/>
  <c r="F1471" i="6"/>
  <c r="F363" i="6"/>
  <c r="L593" i="6"/>
  <c r="L663" i="4"/>
  <c r="L1076" i="6"/>
  <c r="F1411" i="6"/>
  <c r="L1781" i="4"/>
  <c r="L3196" i="4"/>
  <c r="F20" i="6"/>
  <c r="L381" i="6"/>
  <c r="F870" i="6"/>
  <c r="F861" i="6"/>
  <c r="L2762" i="4"/>
  <c r="L1715" i="4"/>
  <c r="L3386" i="4"/>
  <c r="L257" i="6"/>
  <c r="L1754" i="6"/>
  <c r="L1764" i="6"/>
  <c r="F588" i="6"/>
  <c r="F448" i="6"/>
  <c r="F823" i="6"/>
  <c r="F1154" i="6"/>
  <c r="AB57" i="15"/>
  <c r="F76" i="6"/>
  <c r="L197" i="6"/>
  <c r="F1716" i="6"/>
  <c r="J17" i="15"/>
  <c r="L3584" i="4"/>
  <c r="L497" i="6"/>
  <c r="DZ82" i="15"/>
  <c r="H13" i="15"/>
  <c r="F1328" i="6"/>
  <c r="L3559" i="4"/>
  <c r="L443" i="6"/>
  <c r="L2794" i="4"/>
  <c r="L364" i="6"/>
  <c r="F1423" i="6"/>
  <c r="F11" i="6"/>
  <c r="L1273" i="6"/>
  <c r="L71" i="6"/>
  <c r="F765" i="6"/>
  <c r="L3182" i="4"/>
  <c r="F769" i="6"/>
  <c r="L3213" i="4"/>
  <c r="F424" i="6"/>
  <c r="L2863" i="4"/>
  <c r="F572" i="6"/>
  <c r="L1571" i="4"/>
  <c r="L1365" i="6"/>
  <c r="L1902" i="6"/>
  <c r="L990" i="6"/>
  <c r="F422" i="6"/>
  <c r="L959" i="6"/>
  <c r="L3449" i="4"/>
  <c r="F902" i="6"/>
  <c r="L3224" i="4"/>
  <c r="F626" i="6"/>
  <c r="L2997" i="4"/>
  <c r="F665" i="6"/>
  <c r="AK132" i="15"/>
  <c r="L184" i="6"/>
  <c r="L2672" i="4"/>
  <c r="L188" i="6"/>
  <c r="F910" i="6"/>
  <c r="L3548" i="4"/>
  <c r="F1762" i="6"/>
  <c r="L3943" i="4"/>
  <c r="F2070" i="6"/>
  <c r="F1969" i="6"/>
  <c r="F60" i="15"/>
  <c r="L3228" i="4"/>
  <c r="L1733" i="4"/>
  <c r="F330" i="6"/>
  <c r="L2698" i="4"/>
  <c r="F260" i="6"/>
  <c r="F1234" i="6"/>
  <c r="L3950" i="4"/>
  <c r="L1257" i="6"/>
  <c r="F54" i="6"/>
  <c r="F752" i="6"/>
  <c r="L3170" i="4"/>
  <c r="F673" i="6"/>
  <c r="L1674" i="4"/>
  <c r="F328" i="6"/>
  <c r="L2779" i="4"/>
  <c r="F476" i="6"/>
  <c r="L1433" i="4"/>
  <c r="AK43" i="15"/>
  <c r="M104" i="15"/>
  <c r="L3624" i="4"/>
  <c r="L3742" i="4"/>
  <c r="L3505" i="4"/>
  <c r="F413" i="6"/>
  <c r="L2770" i="4"/>
  <c r="F343" i="6"/>
  <c r="L1397" i="6"/>
  <c r="L80" i="6"/>
  <c r="L1507" i="6"/>
  <c r="L132" i="6"/>
  <c r="F826" i="6"/>
  <c r="L3335" i="4"/>
  <c r="F830" i="6"/>
  <c r="L3333" i="4"/>
  <c r="F402" i="6"/>
  <c r="L2845" i="4"/>
  <c r="F550" i="6"/>
  <c r="L1553" i="4"/>
  <c r="Z131" i="15"/>
  <c r="F1642" i="6"/>
  <c r="AI4" i="15"/>
  <c r="L270" i="6"/>
  <c r="L3955" i="4"/>
  <c r="L683" i="6"/>
  <c r="L2998" i="4"/>
  <c r="F513" i="6"/>
  <c r="F2104" i="6"/>
  <c r="F251" i="6"/>
  <c r="AB25" i="15"/>
  <c r="L289" i="6"/>
  <c r="L1379" i="6"/>
  <c r="L3965" i="4"/>
  <c r="DZ43" i="15"/>
  <c r="F167" i="6"/>
  <c r="F1345" i="6"/>
  <c r="L3926" i="4"/>
  <c r="L2551" i="4"/>
  <c r="F297" i="6"/>
  <c r="L1349" i="4"/>
  <c r="S600" i="2"/>
  <c r="L204" i="6"/>
  <c r="L560" i="4"/>
  <c r="L865" i="4"/>
  <c r="S393" i="2"/>
  <c r="L77" i="4"/>
  <c r="F122" i="6"/>
  <c r="L2489" i="4"/>
  <c r="L2338" i="4"/>
  <c r="S443" i="2"/>
  <c r="I75" i="15"/>
  <c r="F221" i="6"/>
  <c r="F460" i="6"/>
  <c r="L1656" i="4"/>
  <c r="L3212" i="4"/>
  <c r="S420" i="2"/>
  <c r="N752" i="4" s="1"/>
  <c r="L2760" i="4"/>
  <c r="S499" i="2"/>
  <c r="S328" i="2"/>
  <c r="S111" i="2"/>
  <c r="S37" i="2"/>
  <c r="S153" i="2"/>
  <c r="L2470" i="4"/>
  <c r="L118" i="4"/>
  <c r="L980" i="4"/>
  <c r="L2487" i="4"/>
  <c r="L1223" i="4"/>
  <c r="L2874" i="4"/>
  <c r="S333" i="2"/>
  <c r="L2144" i="4"/>
  <c r="L339" i="4"/>
  <c r="L1491" i="4"/>
  <c r="L2733" i="4"/>
  <c r="L236" i="6"/>
  <c r="F367" i="6"/>
  <c r="S570" i="2"/>
  <c r="L3266" i="4"/>
  <c r="L161" i="4"/>
  <c r="L42" i="4"/>
  <c r="S556" i="2"/>
  <c r="S521" i="2"/>
  <c r="L203" i="4"/>
  <c r="L3617" i="4"/>
  <c r="L494" i="4"/>
  <c r="L1299" i="4"/>
  <c r="L3542" i="4"/>
  <c r="L1532" i="4"/>
  <c r="L3455" i="4"/>
  <c r="L395" i="4"/>
  <c r="L2282" i="4"/>
  <c r="L690" i="4"/>
  <c r="L2546" i="4"/>
  <c r="L1338" i="6"/>
  <c r="F775" i="6"/>
  <c r="L651" i="6"/>
  <c r="F376" i="6"/>
  <c r="L1087" i="4"/>
  <c r="S174" i="2"/>
  <c r="L1278" i="4"/>
  <c r="L1774" i="4"/>
  <c r="L303" i="4"/>
  <c r="S117" i="2"/>
  <c r="F798" i="6"/>
  <c r="L2423" i="4"/>
  <c r="L2224" i="4"/>
  <c r="F737" i="6"/>
  <c r="S131" i="2"/>
  <c r="L2259" i="4"/>
  <c r="L622" i="4"/>
  <c r="AL104" i="15"/>
  <c r="AB14" i="15"/>
  <c r="L2066" i="6"/>
  <c r="E179" i="15"/>
  <c r="AN39" i="15"/>
  <c r="F1575" i="6"/>
  <c r="L1874" i="6"/>
  <c r="X17" i="15"/>
  <c r="H59" i="15"/>
  <c r="L3211" i="4"/>
  <c r="F1269" i="6"/>
  <c r="F1171" i="6"/>
  <c r="T35" i="15"/>
  <c r="L1929" i="6"/>
  <c r="L1718" i="6"/>
  <c r="L530" i="6"/>
  <c r="F1859" i="6"/>
  <c r="F1766" i="6"/>
  <c r="F1712" i="6"/>
  <c r="L1102" i="6"/>
  <c r="AO6" i="15"/>
  <c r="F1161" i="6"/>
  <c r="F1903" i="6"/>
  <c r="L3804" i="4"/>
  <c r="L762" i="6"/>
  <c r="Y21" i="15"/>
  <c r="L2026" i="6"/>
  <c r="L3891" i="4"/>
  <c r="AL7" i="15"/>
  <c r="L1286" i="6"/>
  <c r="C266" i="15"/>
  <c r="L3930" i="4"/>
  <c r="X19" i="15"/>
  <c r="L1287" i="6"/>
  <c r="AL40" i="15"/>
  <c r="L548" i="6"/>
  <c r="L377" i="6"/>
  <c r="F534" i="6"/>
  <c r="F649" i="6"/>
  <c r="L3592" i="4"/>
  <c r="L3589" i="4"/>
  <c r="Y17" i="15"/>
  <c r="L648" i="6"/>
  <c r="L1743" i="4"/>
  <c r="L887" i="6"/>
  <c r="L3134" i="4"/>
  <c r="F616" i="6"/>
  <c r="L3817" i="4"/>
  <c r="F1661" i="6"/>
  <c r="L3847" i="4"/>
  <c r="F836" i="6"/>
  <c r="L3183" i="4"/>
  <c r="L869" i="6"/>
  <c r="L873" i="6"/>
  <c r="F280" i="6"/>
  <c r="F428" i="6"/>
  <c r="L435" i="4"/>
  <c r="X16" i="15"/>
  <c r="L558" i="6"/>
  <c r="L1653" i="4"/>
  <c r="L3040" i="4"/>
  <c r="L3772" i="4"/>
  <c r="F203" i="6"/>
  <c r="F687" i="6"/>
  <c r="F778" i="6"/>
  <c r="CB4" i="15"/>
  <c r="L1626" i="4"/>
  <c r="L3091" i="4"/>
  <c r="F175" i="6"/>
  <c r="K124" i="15"/>
  <c r="AC120" i="15"/>
  <c r="L452" i="6"/>
  <c r="L181" i="6"/>
  <c r="L735" i="6"/>
  <c r="L928" i="6"/>
  <c r="L1952" i="6"/>
  <c r="L3733" i="4"/>
  <c r="F115" i="6"/>
  <c r="L860" i="6"/>
  <c r="F1815" i="6"/>
  <c r="L3157" i="4"/>
  <c r="F415" i="6"/>
  <c r="P75" i="15"/>
  <c r="F1641" i="6"/>
  <c r="L746" i="6"/>
  <c r="L3325" i="4"/>
  <c r="F352" i="6"/>
  <c r="L2710" i="4"/>
  <c r="F273" i="6"/>
  <c r="F1146" i="6"/>
  <c r="L3752" i="4"/>
  <c r="L1169" i="6"/>
  <c r="L3931" i="4"/>
  <c r="F682" i="6"/>
  <c r="L3110" i="4"/>
  <c r="F686" i="6"/>
  <c r="L1691" i="4"/>
  <c r="F341" i="6"/>
  <c r="L2791" i="4"/>
  <c r="F489" i="6"/>
  <c r="M160" i="15"/>
  <c r="F1053" i="6"/>
  <c r="L1429" i="6"/>
  <c r="L702" i="6"/>
  <c r="F287" i="6"/>
  <c r="F880" i="6"/>
  <c r="L3178" i="4"/>
  <c r="L809" i="6"/>
  <c r="L1683" i="4"/>
  <c r="F539" i="6"/>
  <c r="L2919" i="4"/>
  <c r="F486" i="6"/>
  <c r="DS4" i="15"/>
  <c r="L101" i="6"/>
  <c r="J63" i="15"/>
  <c r="L105" i="6"/>
  <c r="L829" i="6"/>
  <c r="L3332" i="4"/>
  <c r="F1436" i="6"/>
  <c r="L3727" i="4"/>
  <c r="L1535" i="6"/>
  <c r="L1497" i="6"/>
  <c r="L1354" i="6"/>
  <c r="L1964" i="6"/>
  <c r="L1629" i="4"/>
  <c r="F243" i="6"/>
  <c r="L2620" i="4"/>
  <c r="L172" i="6"/>
  <c r="F1130" i="6"/>
  <c r="L3716" i="4"/>
  <c r="L1145" i="6"/>
  <c r="L3895" i="4"/>
  <c r="F669" i="6"/>
  <c r="L3026" i="4"/>
  <c r="F590" i="6"/>
  <c r="L1602" i="4"/>
  <c r="F245" i="6"/>
  <c r="L2707" i="4"/>
  <c r="F393" i="6"/>
  <c r="L1361" i="4"/>
  <c r="P91" i="15"/>
  <c r="F1897" i="6"/>
  <c r="C43" i="15"/>
  <c r="L3394" i="4"/>
  <c r="L1721" i="4"/>
  <c r="L325" i="6"/>
  <c r="L2692" i="4"/>
  <c r="L255" i="6"/>
  <c r="F1226" i="6"/>
  <c r="L3932" i="4"/>
  <c r="L1241" i="6"/>
  <c r="L49" i="6"/>
  <c r="L747" i="6"/>
  <c r="L3164" i="4"/>
  <c r="L751" i="6"/>
  <c r="L1668" i="4"/>
  <c r="L323" i="6"/>
  <c r="L2773" i="4"/>
  <c r="L471" i="6"/>
  <c r="L1427" i="4"/>
  <c r="AA10" i="15"/>
  <c r="L1220" i="6"/>
  <c r="L1600" i="6"/>
  <c r="L78" i="6"/>
  <c r="L3721" i="4"/>
  <c r="F592" i="6"/>
  <c r="L2842" i="4"/>
  <c r="L425" i="6"/>
  <c r="F1696" i="6"/>
  <c r="L163" i="6"/>
  <c r="L1821" i="6"/>
  <c r="F207" i="6"/>
  <c r="L905" i="6"/>
  <c r="L3749" i="4"/>
  <c r="F1899" i="6"/>
  <c r="F84" i="6"/>
  <c r="F891" i="6"/>
  <c r="L3710" i="4"/>
  <c r="AK62" i="15"/>
  <c r="F214" i="6"/>
  <c r="L1220" i="4"/>
  <c r="S528" i="2"/>
  <c r="L3704" i="4"/>
  <c r="L410" i="4"/>
  <c r="L585" i="4"/>
  <c r="S190" i="2"/>
  <c r="S496" i="2"/>
  <c r="L3131" i="4"/>
  <c r="L2351" i="4"/>
  <c r="L2266" i="4"/>
  <c r="L2128" i="6"/>
  <c r="L1360" i="6"/>
  <c r="L3154" i="4"/>
  <c r="L3841" i="4"/>
  <c r="F1658" i="6"/>
  <c r="L1415" i="4"/>
  <c r="S342" i="2"/>
  <c r="L2564" i="4"/>
  <c r="S309" i="2"/>
  <c r="S112" i="2"/>
  <c r="S667" i="2"/>
  <c r="L138" i="4"/>
  <c r="F689" i="6"/>
  <c r="L2392" i="4"/>
  <c r="L34" i="4"/>
  <c r="L824" i="4"/>
  <c r="L2415" i="4"/>
  <c r="L1055" i="4"/>
  <c r="L2634" i="4"/>
  <c r="S670" i="2"/>
  <c r="L2072" i="4"/>
  <c r="L589" i="4"/>
  <c r="L757" i="6"/>
  <c r="L1009" i="6"/>
  <c r="L3712" i="4"/>
  <c r="L39" i="6"/>
  <c r="S492" i="2"/>
  <c r="L2976" i="4"/>
  <c r="S669" i="2"/>
  <c r="S518" i="2"/>
  <c r="S353" i="2"/>
  <c r="S292" i="2"/>
  <c r="S513" i="2"/>
  <c r="L2592" i="4"/>
  <c r="L415" i="4"/>
  <c r="L1131" i="4"/>
  <c r="L2643" i="4"/>
  <c r="L1364" i="4"/>
  <c r="L3072" i="4"/>
  <c r="L235" i="4"/>
  <c r="L2210" i="4"/>
  <c r="L531" i="4"/>
  <c r="L1546" i="4"/>
  <c r="F1745" i="6"/>
  <c r="F238" i="6"/>
  <c r="F154" i="6"/>
  <c r="L48" i="6"/>
  <c r="L827" i="4"/>
  <c r="S90" i="2"/>
  <c r="L1097" i="4"/>
  <c r="L1411" i="4"/>
  <c r="L41" i="4"/>
  <c r="L234" i="4"/>
  <c r="L3635" i="4"/>
  <c r="L2225" i="4"/>
  <c r="L2146" i="4"/>
  <c r="L361" i="6"/>
  <c r="S673" i="2"/>
  <c r="L2187" i="4"/>
  <c r="L116" i="4"/>
  <c r="L1248" i="4"/>
  <c r="F418" i="6"/>
  <c r="L1844" i="4"/>
  <c r="F501" i="6"/>
  <c r="F1984" i="6"/>
  <c r="L3064" i="4"/>
  <c r="AN113" i="15"/>
  <c r="AA131" i="15"/>
  <c r="J50" i="15"/>
  <c r="F2067" i="6"/>
  <c r="DW55" i="15"/>
  <c r="L1665" i="6"/>
  <c r="L3730" i="4"/>
  <c r="L3289" i="4"/>
  <c r="L3570" i="4"/>
  <c r="F1271" i="6"/>
  <c r="F1845" i="6"/>
  <c r="F1698" i="6"/>
  <c r="L1551" i="6"/>
  <c r="L3783" i="4"/>
  <c r="L3684" i="4"/>
  <c r="L146" i="6"/>
  <c r="L3678" i="4"/>
  <c r="L3771" i="4"/>
  <c r="L3816" i="4"/>
  <c r="L814" i="6"/>
  <c r="DT3" i="15"/>
  <c r="DU109" i="15"/>
  <c r="F1347" i="6"/>
  <c r="U47" i="15"/>
  <c r="L474" i="6"/>
  <c r="AK19" i="15"/>
  <c r="L1461" i="6"/>
  <c r="AK56" i="15"/>
  <c r="F1542" i="6"/>
  <c r="L998" i="6"/>
  <c r="B28" i="15"/>
  <c r="B65" i="15"/>
  <c r="F1668" i="6"/>
  <c r="O137" i="15"/>
  <c r="F1665" i="6"/>
  <c r="L55" i="6"/>
  <c r="L3429" i="4"/>
  <c r="O60" i="15"/>
  <c r="L3649" i="4"/>
  <c r="L1617" i="6"/>
  <c r="F1926" i="6"/>
  <c r="L3324" i="4"/>
  <c r="F291" i="6"/>
  <c r="F1932" i="6"/>
  <c r="F521" i="6"/>
  <c r="L2846" i="4"/>
  <c r="L288" i="6"/>
  <c r="L1667" i="4"/>
  <c r="F1272" i="6"/>
  <c r="L1659" i="4"/>
  <c r="F478" i="6"/>
  <c r="L2865" i="4"/>
  <c r="F787" i="6"/>
  <c r="F542" i="6"/>
  <c r="L3620" i="4"/>
  <c r="L183" i="6"/>
  <c r="L357" i="4"/>
  <c r="L3711" i="4"/>
  <c r="L366" i="6"/>
  <c r="W112" i="15"/>
  <c r="L2884" i="4"/>
  <c r="L3537" i="4"/>
  <c r="L3788" i="4"/>
  <c r="L599" i="6"/>
  <c r="L616" i="6"/>
  <c r="F1742" i="6"/>
  <c r="AR23" i="15"/>
  <c r="L2947" i="4"/>
  <c r="F92" i="6"/>
  <c r="F1101" i="6"/>
  <c r="L1914" i="6"/>
  <c r="F169" i="6"/>
  <c r="L85" i="6"/>
  <c r="L556" i="6"/>
  <c r="L739" i="6"/>
  <c r="F1612" i="6"/>
  <c r="L3517" i="4"/>
  <c r="F32" i="6"/>
  <c r="L777" i="6"/>
  <c r="F1501" i="6"/>
  <c r="L3085" i="4"/>
  <c r="F332" i="6"/>
  <c r="F2143" i="6"/>
  <c r="F1220" i="6"/>
  <c r="L550" i="6"/>
  <c r="L1757" i="4"/>
  <c r="L264" i="6"/>
  <c r="L2632" i="4"/>
  <c r="F94" i="6"/>
  <c r="F1042" i="6"/>
  <c r="L3518" i="4"/>
  <c r="L1065" i="6"/>
  <c r="L3715" i="4"/>
  <c r="L603" i="6"/>
  <c r="L3038" i="4"/>
  <c r="L607" i="6"/>
  <c r="L1614" i="4"/>
  <c r="F258" i="6"/>
  <c r="L2719" i="4"/>
  <c r="L327" i="6"/>
  <c r="U14" i="15"/>
  <c r="H35" i="15"/>
  <c r="L1091" i="6"/>
  <c r="L510" i="6"/>
  <c r="F156" i="6"/>
  <c r="L792" i="6"/>
  <c r="L3100" i="4"/>
  <c r="F718" i="6"/>
  <c r="L1598" i="4"/>
  <c r="L451" i="6"/>
  <c r="L2763" i="4"/>
  <c r="F399" i="6"/>
  <c r="L1768" i="6"/>
  <c r="F19" i="6"/>
  <c r="L1977" i="6"/>
  <c r="F23" i="6"/>
  <c r="F747" i="6"/>
  <c r="L3145" i="4"/>
  <c r="F900" i="6"/>
  <c r="L3511" i="4"/>
  <c r="V23" i="15"/>
  <c r="L2092" i="6"/>
  <c r="F1047" i="6"/>
  <c r="L1466" i="6"/>
  <c r="L1539" i="4"/>
  <c r="L155" i="6"/>
  <c r="L2542" i="4"/>
  <c r="F81" i="6"/>
  <c r="F1026" i="6"/>
  <c r="L3482" i="4"/>
  <c r="L1041" i="6"/>
  <c r="L3679" i="4"/>
  <c r="L507" i="6"/>
  <c r="L2954" i="4"/>
  <c r="L511" i="6"/>
  <c r="AA100" i="15"/>
  <c r="F162" i="6"/>
  <c r="L2635" i="4"/>
  <c r="F310" i="6"/>
  <c r="L1243" i="4"/>
  <c r="L1416" i="6"/>
  <c r="L1421" i="6"/>
  <c r="F1757" i="6"/>
  <c r="L1938" i="6"/>
  <c r="L1617" i="4"/>
  <c r="F234" i="6"/>
  <c r="L2614" i="4"/>
  <c r="F164" i="6"/>
  <c r="F1122" i="6"/>
  <c r="L3698" i="4"/>
  <c r="L1137" i="6"/>
  <c r="L3877" i="4"/>
  <c r="L664" i="6"/>
  <c r="L3092" i="4"/>
  <c r="L585" i="6"/>
  <c r="L1596" i="4"/>
  <c r="L240" i="6"/>
  <c r="L2701" i="4"/>
  <c r="L388" i="6"/>
  <c r="L1355" i="4"/>
  <c r="T39" i="15"/>
  <c r="AD97" i="15"/>
  <c r="L3612" i="4"/>
  <c r="L3622" i="4"/>
  <c r="L3487" i="4"/>
  <c r="L408" i="6"/>
  <c r="L2764" i="4"/>
  <c r="F334" i="6"/>
  <c r="F1389" i="6"/>
  <c r="F72" i="6"/>
  <c r="L1471" i="6"/>
  <c r="F124" i="6"/>
  <c r="L821" i="6"/>
  <c r="L3533" i="4"/>
  <c r="F1585" i="6"/>
  <c r="L3964" i="4"/>
  <c r="F808" i="6"/>
  <c r="L3494" i="4"/>
  <c r="L2002" i="6"/>
  <c r="L135" i="6"/>
  <c r="L1148" i="4"/>
  <c r="S456" i="2"/>
  <c r="L3102" i="4"/>
  <c r="L253" i="4"/>
  <c r="L377" i="4"/>
  <c r="L596" i="4"/>
  <c r="S293" i="2"/>
  <c r="L2735" i="4"/>
  <c r="L2159" i="4"/>
  <c r="L2194" i="4"/>
  <c r="F1038" i="6"/>
  <c r="F1245" i="6"/>
  <c r="L2680" i="4"/>
  <c r="O57" i="15"/>
  <c r="L720" i="6"/>
  <c r="L1255" i="4"/>
  <c r="S264" i="2"/>
  <c r="L1504" i="4"/>
  <c r="S119" i="2"/>
  <c r="L571" i="4"/>
  <c r="S405" i="2"/>
  <c r="S376" i="2"/>
  <c r="L3777" i="4"/>
  <c r="L2314" i="4"/>
  <c r="F1520" i="6"/>
  <c r="L719" i="4"/>
  <c r="L2343" i="4"/>
  <c r="L889" i="4"/>
  <c r="L1728" i="4"/>
  <c r="L1458" i="6"/>
  <c r="L2000" i="4"/>
  <c r="I176" i="15"/>
  <c r="L216" i="6"/>
  <c r="F447" i="6"/>
  <c r="L1650" i="4"/>
  <c r="L3205" i="4"/>
  <c r="S414" i="2"/>
  <c r="L2742" i="4"/>
  <c r="S479" i="2"/>
  <c r="S315" i="2"/>
  <c r="S98" i="2"/>
  <c r="S4" i="2"/>
  <c r="S94" i="2"/>
  <c r="L2464" i="4"/>
  <c r="S431" i="2"/>
  <c r="L968" i="4"/>
  <c r="L2481" i="4"/>
  <c r="L1209" i="4"/>
  <c r="L2856" i="4"/>
  <c r="S248" i="2"/>
  <c r="N1264" i="4" s="1"/>
  <c r="L2138" i="4"/>
  <c r="L274" i="4"/>
  <c r="L1369" i="4"/>
  <c r="X22" i="15"/>
  <c r="L1779" i="4"/>
  <c r="L3254" i="4"/>
  <c r="L3181" i="4"/>
  <c r="L569" i="4"/>
  <c r="S12" i="2"/>
  <c r="L931" i="4"/>
  <c r="L1164" i="4"/>
  <c r="S524" i="2"/>
  <c r="N456" i="4" s="1"/>
  <c r="S614" i="2"/>
  <c r="L2933" i="4"/>
  <c r="L2069" i="4"/>
  <c r="L2068" i="4"/>
  <c r="L3832" i="4"/>
  <c r="AA42" i="15"/>
  <c r="L2115" i="4"/>
  <c r="S68" i="2"/>
  <c r="L1080" i="4"/>
  <c r="F109" i="6"/>
  <c r="L1642" i="4"/>
  <c r="L208" i="6"/>
  <c r="F953" i="6"/>
  <c r="S30" i="15"/>
  <c r="F67" i="15"/>
  <c r="V43" i="15"/>
  <c r="P28" i="15"/>
  <c r="F2149" i="6"/>
  <c r="F947" i="6"/>
  <c r="F684" i="6"/>
  <c r="F1888" i="6"/>
  <c r="L2122" i="6"/>
  <c r="H183" i="15"/>
  <c r="L1248" i="6"/>
  <c r="F1619" i="6"/>
  <c r="L3834" i="4"/>
  <c r="L3639" i="4"/>
  <c r="L3540" i="4"/>
  <c r="L98" i="6"/>
  <c r="L3534" i="4"/>
  <c r="L3627" i="4"/>
  <c r="L3672" i="4"/>
  <c r="L718" i="6"/>
  <c r="U111" i="15"/>
  <c r="AC58" i="15"/>
  <c r="F1284" i="6"/>
  <c r="AK27" i="15"/>
  <c r="L426" i="6"/>
  <c r="L2041" i="6"/>
  <c r="L1378" i="6"/>
  <c r="S38" i="15"/>
  <c r="L1459" i="6"/>
  <c r="L950" i="6"/>
  <c r="K7" i="15"/>
  <c r="D45" i="15"/>
  <c r="F1589" i="6"/>
  <c r="K66" i="15"/>
  <c r="L1586" i="6"/>
  <c r="L3883" i="4"/>
  <c r="L1815" i="4"/>
  <c r="A138" i="15"/>
  <c r="L3415" i="4"/>
  <c r="F1298" i="6"/>
  <c r="L1611" i="6"/>
  <c r="DB3" i="15"/>
  <c r="L203" i="6"/>
  <c r="L1591" i="6"/>
  <c r="L433" i="6"/>
  <c r="L2774" i="4"/>
  <c r="L205" i="6"/>
  <c r="L1595" i="4"/>
  <c r="F984" i="6"/>
  <c r="L1581" i="4"/>
  <c r="F391" i="6"/>
  <c r="L2787" i="4"/>
  <c r="F704" i="6"/>
  <c r="L463" i="6"/>
  <c r="L3404" i="4"/>
  <c r="L100" i="6"/>
  <c r="AA71" i="15"/>
  <c r="L1719" i="6"/>
  <c r="L174" i="6"/>
  <c r="L1357" i="6"/>
  <c r="L2806" i="4"/>
  <c r="L1719" i="4"/>
  <c r="L3554" i="4"/>
  <c r="L420" i="6"/>
  <c r="F451" i="6"/>
  <c r="L1462" i="6"/>
  <c r="L932" i="6"/>
  <c r="L2875" i="4"/>
  <c r="L3781" i="4"/>
  <c r="AR53" i="15"/>
  <c r="F1099" i="6"/>
  <c r="L3811" i="4"/>
  <c r="L3953" i="4"/>
  <c r="L281" i="6"/>
  <c r="F648" i="6"/>
  <c r="L1281" i="6"/>
  <c r="L1693" i="4"/>
  <c r="L3839" i="4"/>
  <c r="F612" i="6"/>
  <c r="L920" i="6"/>
  <c r="L2941" i="4"/>
  <c r="F249" i="6"/>
  <c r="L1691" i="6"/>
  <c r="F932" i="6"/>
  <c r="L166" i="6"/>
  <c r="L1641" i="4"/>
  <c r="L168" i="6"/>
  <c r="I59" i="15"/>
  <c r="F7" i="6"/>
  <c r="F912" i="6"/>
  <c r="L3287" i="4"/>
  <c r="F946" i="6"/>
  <c r="L3499" i="4"/>
  <c r="L520" i="6"/>
  <c r="L2966" i="4"/>
  <c r="L524" i="6"/>
  <c r="AE181" i="15"/>
  <c r="L179" i="6"/>
  <c r="L2575" i="4"/>
  <c r="L244" i="6"/>
  <c r="T16" i="15"/>
  <c r="F1727" i="6"/>
  <c r="S24" i="15"/>
  <c r="L318" i="6"/>
  <c r="L20" i="6"/>
  <c r="F701" i="6"/>
  <c r="L3022" i="4"/>
  <c r="F631" i="6"/>
  <c r="L1489" i="4"/>
  <c r="L272" i="6"/>
  <c r="W45" i="15"/>
  <c r="L311" i="6"/>
  <c r="F1463" i="6"/>
  <c r="L3803" i="4"/>
  <c r="L1663" i="6"/>
  <c r="L3801" i="4"/>
  <c r="F664" i="6"/>
  <c r="L3073" i="4"/>
  <c r="F812" i="6"/>
  <c r="L3295" i="4"/>
  <c r="L3762" i="4"/>
  <c r="L1562" i="6"/>
  <c r="V37" i="15"/>
  <c r="L836" i="6"/>
  <c r="B47" i="15"/>
  <c r="F64" i="6"/>
  <c r="AE46" i="15"/>
  <c r="L3933" i="4"/>
  <c r="F897" i="6"/>
  <c r="L3255" i="4"/>
  <c r="F922" i="6"/>
  <c r="L1801" i="4"/>
  <c r="L424" i="6"/>
  <c r="L2882" i="4"/>
  <c r="L428" i="6"/>
  <c r="L2153" i="6"/>
  <c r="L83" i="6"/>
  <c r="L2563" i="4"/>
  <c r="L231" i="6"/>
  <c r="L1160" i="4"/>
  <c r="BN4" i="15"/>
  <c r="L3291" i="4"/>
  <c r="F1003" i="6"/>
  <c r="F1450" i="6"/>
  <c r="L1527" i="4"/>
  <c r="F147" i="6"/>
  <c r="L2536" i="4"/>
  <c r="L76" i="6"/>
  <c r="F1018" i="6"/>
  <c r="L3446" i="4"/>
  <c r="L1033" i="6"/>
  <c r="L3661" i="4"/>
  <c r="L581" i="6"/>
  <c r="L2948" i="4"/>
  <c r="F503" i="6"/>
  <c r="AE75" i="15"/>
  <c r="L157" i="6"/>
  <c r="L2629" i="4"/>
  <c r="L305" i="6"/>
  <c r="L1231" i="4"/>
  <c r="Y74" i="15"/>
  <c r="L1890" i="6"/>
  <c r="J41" i="15"/>
  <c r="L3382" i="4"/>
  <c r="L1697" i="4"/>
  <c r="F317" i="6"/>
  <c r="L2686" i="4"/>
  <c r="F247" i="6"/>
  <c r="F1218" i="6"/>
  <c r="L3914" i="4"/>
  <c r="L1233" i="6"/>
  <c r="F41" i="6"/>
  <c r="F739" i="6"/>
  <c r="L3317" i="4"/>
  <c r="F916" i="6"/>
  <c r="L3748" i="4"/>
  <c r="F725" i="6"/>
  <c r="L3199" i="4"/>
  <c r="L1683" i="6"/>
  <c r="L52" i="6"/>
  <c r="L1051" i="4"/>
  <c r="S384" i="2"/>
  <c r="L2886" i="4"/>
  <c r="L96" i="4"/>
  <c r="L173" i="4"/>
  <c r="L356" i="4"/>
  <c r="S64" i="2"/>
  <c r="N601" i="4" s="1"/>
  <c r="L1462" i="4"/>
  <c r="L2021" i="4"/>
  <c r="L2122" i="4"/>
  <c r="F571" i="6"/>
  <c r="L1818" i="6"/>
  <c r="F862" i="6"/>
  <c r="F730" i="6"/>
  <c r="F389" i="6"/>
  <c r="L1106" i="4"/>
  <c r="S186" i="2"/>
  <c r="L1315" i="4"/>
  <c r="L1828" i="4"/>
  <c r="L350" i="4"/>
  <c r="S143" i="2"/>
  <c r="S29" i="2"/>
  <c r="L2447" i="4"/>
  <c r="L2236" i="4"/>
  <c r="F754" i="6"/>
  <c r="S419" i="2"/>
  <c r="L2271" i="4"/>
  <c r="L662" i="4"/>
  <c r="L1429" i="4"/>
  <c r="F802" i="6"/>
  <c r="L1928" i="4"/>
  <c r="L1356" i="6"/>
  <c r="L3142" i="4"/>
  <c r="L3823" i="4"/>
  <c r="F1632" i="6"/>
  <c r="L1409" i="4"/>
  <c r="S336" i="2"/>
  <c r="L2535" i="4"/>
  <c r="S296" i="2"/>
  <c r="N1178" i="4" s="1"/>
  <c r="S99" i="2"/>
  <c r="S634" i="2"/>
  <c r="L112" i="4"/>
  <c r="L605" i="6"/>
  <c r="L2386" i="4"/>
  <c r="S49" i="2"/>
  <c r="L816" i="4"/>
  <c r="L2409" i="4"/>
  <c r="L1042" i="4"/>
  <c r="L2619" i="4"/>
  <c r="S127" i="2"/>
  <c r="L2066" i="4"/>
  <c r="L47" i="4"/>
  <c r="L1194" i="4"/>
  <c r="L1182" i="6"/>
  <c r="L1322" i="6"/>
  <c r="L2924" i="4"/>
  <c r="L2893" i="4"/>
  <c r="L399" i="4"/>
  <c r="F1270" i="6"/>
  <c r="L793" i="4"/>
  <c r="L969" i="4"/>
  <c r="S308" i="2"/>
  <c r="S385" i="2"/>
  <c r="L1576" i="4"/>
  <c r="F2129" i="6"/>
  <c r="L1990" i="4"/>
  <c r="L3101" i="4"/>
  <c r="L1181" i="6"/>
  <c r="L2043" i="4"/>
  <c r="F1238" i="6"/>
  <c r="L927" i="4"/>
  <c r="L3525" i="4"/>
  <c r="L1389" i="4"/>
  <c r="D90" i="15"/>
  <c r="T34" i="15"/>
  <c r="C194" i="15"/>
  <c r="Y138" i="15"/>
  <c r="H61" i="15"/>
  <c r="L742" i="6"/>
  <c r="DZ4" i="15"/>
  <c r="F1035" i="6"/>
  <c r="F1129" i="6"/>
  <c r="F1385" i="6"/>
  <c r="L1857" i="6"/>
  <c r="L918" i="6"/>
  <c r="S51" i="15"/>
  <c r="AY4" i="15"/>
  <c r="L2062" i="6"/>
  <c r="O151" i="15"/>
  <c r="T10" i="15"/>
  <c r="L1989" i="6"/>
  <c r="G49" i="15"/>
  <c r="L478" i="6"/>
  <c r="L1577" i="6"/>
  <c r="L1825" i="6"/>
  <c r="F1044" i="6"/>
  <c r="F1777" i="6"/>
  <c r="L138" i="6"/>
  <c r="R48" i="15"/>
  <c r="F1061" i="6"/>
  <c r="F1739" i="6"/>
  <c r="L3504" i="4"/>
  <c r="L662" i="6"/>
  <c r="C58" i="15"/>
  <c r="L1845" i="6"/>
  <c r="L3591" i="4"/>
  <c r="F1928" i="6"/>
  <c r="L1234" i="6"/>
  <c r="L1551" i="4"/>
  <c r="L1879" i="6"/>
  <c r="BM4" i="15"/>
  <c r="F1776" i="6"/>
  <c r="L765" i="6"/>
  <c r="F634" i="6"/>
  <c r="F1495" i="6"/>
  <c r="L3130" i="4"/>
  <c r="F757" i="6"/>
  <c r="L3787" i="4"/>
  <c r="F878" i="6"/>
  <c r="L3175" i="4"/>
  <c r="L1004" i="4"/>
  <c r="L1363" i="6"/>
  <c r="F819" i="6"/>
  <c r="L3556" i="4"/>
  <c r="L1089" i="6"/>
  <c r="L376" i="6"/>
  <c r="F49" i="6"/>
  <c r="L3169" i="4"/>
  <c r="L17" i="6"/>
  <c r="AN26" i="15"/>
  <c r="F1268" i="6"/>
  <c r="L3478" i="4"/>
  <c r="L897" i="6"/>
  <c r="L2650" i="4"/>
  <c r="L1537" i="4"/>
  <c r="L3320" i="4"/>
  <c r="L167" i="6"/>
  <c r="F368" i="6"/>
  <c r="F782" i="6"/>
  <c r="L851" i="6"/>
  <c r="L2731" i="4"/>
  <c r="L3349" i="4"/>
  <c r="F1806" i="6"/>
  <c r="F1337" i="6"/>
  <c r="L3577" i="4"/>
  <c r="L3485" i="4"/>
  <c r="F190" i="6"/>
  <c r="L464" i="6"/>
  <c r="L1177" i="6"/>
  <c r="O18" i="15"/>
  <c r="L3623" i="4"/>
  <c r="L367" i="6"/>
  <c r="F843" i="6"/>
  <c r="L2725" i="4"/>
  <c r="F166" i="6"/>
  <c r="L3906" i="4"/>
  <c r="L1974" i="6"/>
  <c r="L3240" i="4"/>
  <c r="L1563" i="4"/>
  <c r="L3935" i="4"/>
  <c r="L1958" i="6"/>
  <c r="L3736" i="4"/>
  <c r="F818" i="6"/>
  <c r="L3165" i="4"/>
  <c r="L852" i="6"/>
  <c r="L3207" i="4"/>
  <c r="L437" i="6"/>
  <c r="L2894" i="4"/>
  <c r="L441" i="6"/>
  <c r="AO10" i="15"/>
  <c r="L13" i="6"/>
  <c r="B177" i="15"/>
  <c r="L161" i="6"/>
  <c r="AO44" i="15"/>
  <c r="L1272" i="6"/>
  <c r="F1686" i="6"/>
  <c r="L126" i="6"/>
  <c r="L3775" i="4"/>
  <c r="L613" i="6"/>
  <c r="L2944" i="4"/>
  <c r="F535" i="6"/>
  <c r="L1774" i="6"/>
  <c r="F181" i="6"/>
  <c r="F1900" i="6"/>
  <c r="L228" i="6"/>
  <c r="L933" i="6"/>
  <c r="L3587" i="4"/>
  <c r="F1437" i="6"/>
  <c r="L3585" i="4"/>
  <c r="F581" i="6"/>
  <c r="L3001" i="4"/>
  <c r="F729" i="6"/>
  <c r="L1637" i="4"/>
  <c r="D61" i="15"/>
  <c r="F1172" i="6"/>
  <c r="L1730" i="6"/>
  <c r="F697" i="6"/>
  <c r="L1906" i="6"/>
  <c r="L3899" i="4"/>
  <c r="F1906" i="6"/>
  <c r="L3700" i="4"/>
  <c r="F805" i="6"/>
  <c r="L3147" i="4"/>
  <c r="F748" i="6"/>
  <c r="L1669" i="4"/>
  <c r="L341" i="6"/>
  <c r="L2810" i="4"/>
  <c r="L345" i="6"/>
  <c r="L1736" i="6"/>
  <c r="L3962" i="4"/>
  <c r="I99" i="15"/>
  <c r="L148" i="6"/>
  <c r="L1075" i="4"/>
  <c r="L1597" i="6"/>
  <c r="L1490" i="6"/>
  <c r="AC18" i="15"/>
  <c r="F828" i="6"/>
  <c r="AC40" i="15"/>
  <c r="L59" i="6"/>
  <c r="P40" i="15"/>
  <c r="L3916" i="4"/>
  <c r="F888" i="6"/>
  <c r="L3239" i="4"/>
  <c r="L916" i="6"/>
  <c r="L3445" i="4"/>
  <c r="F416" i="6"/>
  <c r="L2876" i="4"/>
  <c r="F420" i="6"/>
  <c r="F2059" i="6"/>
  <c r="F75" i="6"/>
  <c r="L2557" i="4"/>
  <c r="F223" i="6"/>
  <c r="L1154" i="4"/>
  <c r="L1412" i="6"/>
  <c r="F1413" i="6"/>
  <c r="L1750" i="6"/>
  <c r="F1912" i="6"/>
  <c r="L1611" i="4"/>
  <c r="L229" i="6"/>
  <c r="L2608" i="4"/>
  <c r="L159" i="6"/>
  <c r="F1114" i="6"/>
  <c r="L3662" i="4"/>
  <c r="L1129" i="6"/>
  <c r="L3859" i="4"/>
  <c r="F656" i="6"/>
  <c r="L3158" i="4"/>
  <c r="L825" i="6"/>
  <c r="L3532" i="4"/>
  <c r="F642" i="6"/>
  <c r="L3127" i="4"/>
  <c r="L1410" i="6"/>
  <c r="L3889" i="4"/>
  <c r="L911" i="4"/>
  <c r="S312" i="2"/>
  <c r="L2685" i="4"/>
  <c r="S610" i="2"/>
  <c r="S662" i="2"/>
  <c r="L66" i="4"/>
  <c r="S247" i="2"/>
  <c r="L1100" i="4"/>
  <c r="F1730" i="6"/>
  <c r="L2050" i="4"/>
  <c r="L269" i="6"/>
  <c r="AE39" i="15"/>
  <c r="L329" i="6"/>
  <c r="F237" i="6"/>
  <c r="L61" i="6"/>
  <c r="L875" i="4"/>
  <c r="S108" i="2"/>
  <c r="L1145" i="4"/>
  <c r="L1437" i="4"/>
  <c r="L94" i="4"/>
  <c r="L260" i="4"/>
  <c r="L3923" i="4"/>
  <c r="L2297" i="4"/>
  <c r="L2158" i="4"/>
  <c r="F379" i="6"/>
  <c r="S71" i="2"/>
  <c r="N769" i="4" s="1"/>
  <c r="L2199" i="4"/>
  <c r="S346" i="2"/>
  <c r="L1274" i="4"/>
  <c r="F493" i="6"/>
  <c r="L1856" i="4"/>
  <c r="F1241" i="6"/>
  <c r="L2674" i="4"/>
  <c r="V51" i="15"/>
  <c r="F712" i="6"/>
  <c r="L1214" i="4"/>
  <c r="S258" i="2"/>
  <c r="L1488" i="4"/>
  <c r="S106" i="2"/>
  <c r="L534" i="4"/>
  <c r="S392" i="2"/>
  <c r="S363" i="2"/>
  <c r="L3705" i="4"/>
  <c r="L2308" i="4"/>
  <c r="F1384" i="6"/>
  <c r="L706" i="4"/>
  <c r="L2337" i="4"/>
  <c r="L876" i="4"/>
  <c r="L1708" i="4"/>
  <c r="F1402" i="6"/>
  <c r="L1994" i="4"/>
  <c r="L1401" i="6"/>
  <c r="L1025" i="4"/>
  <c r="L3610" i="4"/>
  <c r="V70" i="15"/>
  <c r="L2015" i="6"/>
  <c r="DP4" i="15"/>
  <c r="D173" i="15"/>
  <c r="L1841" i="6"/>
  <c r="L1865" i="6"/>
  <c r="F1650" i="6"/>
  <c r="F1472" i="6"/>
  <c r="F1616" i="6"/>
  <c r="L634" i="6"/>
  <c r="AL24" i="15"/>
  <c r="L246" i="6"/>
  <c r="L1557" i="6"/>
  <c r="F1523" i="6"/>
  <c r="F1394" i="6"/>
  <c r="DY51" i="15"/>
  <c r="F1551" i="6"/>
  <c r="L1355" i="6"/>
  <c r="L1783" i="6"/>
  <c r="L142" i="6"/>
  <c r="U10" i="15"/>
  <c r="L1347" i="6"/>
  <c r="CR4" i="15"/>
  <c r="F1255" i="6"/>
  <c r="L3514" i="4"/>
  <c r="Z49" i="15"/>
  <c r="U38" i="15"/>
  <c r="F1280" i="6"/>
  <c r="N6" i="15"/>
  <c r="L374" i="6"/>
  <c r="AK60" i="15"/>
  <c r="F1297" i="6"/>
  <c r="W16" i="15"/>
  <c r="F1368" i="6"/>
  <c r="L898" i="6"/>
  <c r="F832" i="6"/>
  <c r="L800" i="6"/>
  <c r="L1128" i="6"/>
  <c r="L565" i="6"/>
  <c r="F133" i="6"/>
  <c r="F141" i="6"/>
  <c r="L26" i="6"/>
  <c r="L3052" i="4"/>
  <c r="L669" i="6"/>
  <c r="L3571" i="4"/>
  <c r="L799" i="6"/>
  <c r="L3103" i="4"/>
  <c r="L863" i="4"/>
  <c r="L3241" i="4"/>
  <c r="L731" i="6"/>
  <c r="L3321" i="4"/>
  <c r="L985" i="6"/>
  <c r="L293" i="6"/>
  <c r="L3873" i="4"/>
  <c r="L2881" i="4"/>
  <c r="L3583" i="4"/>
  <c r="I51" i="15"/>
  <c r="BJ1" i="15"/>
  <c r="T20" i="15"/>
  <c r="F810" i="6"/>
  <c r="F2029" i="6"/>
  <c r="O39" i="15"/>
  <c r="L3099" i="4"/>
  <c r="L84" i="6"/>
  <c r="F202" i="6"/>
  <c r="L620" i="6"/>
  <c r="L768" i="6"/>
  <c r="L2515" i="4"/>
  <c r="L1773" i="4"/>
  <c r="L1032" i="6"/>
  <c r="L1038" i="6"/>
  <c r="L1769" i="4"/>
  <c r="L3112" i="4"/>
  <c r="F103" i="6"/>
  <c r="F194" i="6"/>
  <c r="F970" i="6"/>
  <c r="F1821" i="6"/>
  <c r="L3188" i="4"/>
  <c r="L284" i="6"/>
  <c r="F677" i="6"/>
  <c r="L2653" i="4"/>
  <c r="L4" i="6"/>
  <c r="B117" i="15"/>
  <c r="L1135" i="6"/>
  <c r="R7" i="15"/>
  <c r="B68" i="15"/>
  <c r="L3701" i="4"/>
  <c r="F1618" i="6"/>
  <c r="L3501" i="4"/>
  <c r="F731" i="6"/>
  <c r="L3081" i="4"/>
  <c r="F761" i="6"/>
  <c r="L1681" i="4"/>
  <c r="F355" i="6"/>
  <c r="L2822" i="4"/>
  <c r="F359" i="6"/>
  <c r="L1453" i="6"/>
  <c r="L3782" i="4"/>
  <c r="V10" i="15"/>
  <c r="F79" i="6"/>
  <c r="AB86" i="15"/>
  <c r="L984" i="6"/>
  <c r="L3768" i="4"/>
  <c r="L3766" i="4"/>
  <c r="L3541" i="4"/>
  <c r="F522" i="6"/>
  <c r="L2866" i="4"/>
  <c r="F356" i="6"/>
  <c r="L1414" i="6"/>
  <c r="L93" i="6"/>
  <c r="F1560" i="6"/>
  <c r="L145" i="6"/>
  <c r="L843" i="6"/>
  <c r="L3371" i="4"/>
  <c r="L847" i="6"/>
  <c r="L3369" i="4"/>
  <c r="F498" i="6"/>
  <c r="L2929" i="4"/>
  <c r="L567" i="6"/>
  <c r="L1565" i="4"/>
  <c r="L1832" i="6"/>
  <c r="D103" i="15"/>
  <c r="L1274" i="6"/>
  <c r="F566" i="6"/>
  <c r="L1566" i="6"/>
  <c r="L3665" i="4"/>
  <c r="F1566" i="6"/>
  <c r="L3465" i="4"/>
  <c r="F709" i="6"/>
  <c r="L2991" i="4"/>
  <c r="L660" i="6"/>
  <c r="L1597" i="4"/>
  <c r="F259" i="6"/>
  <c r="L2738" i="4"/>
  <c r="F263" i="6"/>
  <c r="F1362" i="6"/>
  <c r="L3746" i="4"/>
  <c r="F2153" i="6"/>
  <c r="L65" i="6"/>
  <c r="L935" i="4"/>
  <c r="AF43" i="15"/>
  <c r="F1128" i="6"/>
  <c r="L1658" i="6"/>
  <c r="L692" i="6"/>
  <c r="L1880" i="6"/>
  <c r="L3881" i="4"/>
  <c r="F1880" i="6"/>
  <c r="L3681" i="4"/>
  <c r="F792" i="6"/>
  <c r="L3141" i="4"/>
  <c r="F831" i="6"/>
  <c r="L1663" i="4"/>
  <c r="F333" i="6"/>
  <c r="L2804" i="4"/>
  <c r="F337" i="6"/>
  <c r="L1710" i="6"/>
  <c r="L3944" i="4"/>
  <c r="W74" i="15"/>
  <c r="F140" i="6"/>
  <c r="L1063" i="4"/>
  <c r="I4" i="15"/>
  <c r="T271" i="15"/>
  <c r="F999" i="6"/>
  <c r="L1349" i="6"/>
  <c r="L1515" i="4"/>
  <c r="F138" i="6"/>
  <c r="L2530" i="4"/>
  <c r="F68" i="6"/>
  <c r="F1010" i="6"/>
  <c r="L3428" i="4"/>
  <c r="L1025" i="6"/>
  <c r="L3643" i="4"/>
  <c r="F573" i="6"/>
  <c r="L3086" i="4"/>
  <c r="F743" i="6"/>
  <c r="L3316" i="4"/>
  <c r="L563" i="6"/>
  <c r="L3055" i="4"/>
  <c r="F873" i="6"/>
  <c r="L3673" i="4"/>
  <c r="L701" i="4"/>
  <c r="S240" i="2"/>
  <c r="L1776" i="4"/>
  <c r="S440" i="2"/>
  <c r="S472" i="2"/>
  <c r="S517" i="2"/>
  <c r="L10" i="4"/>
  <c r="L812" i="4"/>
  <c r="L863" i="6"/>
  <c r="L1978" i="4"/>
  <c r="L3688" i="4"/>
  <c r="L3480" i="4"/>
  <c r="L3393" i="4"/>
  <c r="L3299" i="4"/>
  <c r="L3193" i="4"/>
  <c r="L593" i="4"/>
  <c r="S30" i="2"/>
  <c r="N808" i="4" s="1"/>
  <c r="L957" i="4"/>
  <c r="L1210" i="4"/>
  <c r="S550" i="2"/>
  <c r="N1134" i="4" s="1"/>
  <c r="S640" i="2"/>
  <c r="L2969" i="4"/>
  <c r="L2093" i="4"/>
  <c r="L2080" i="4"/>
  <c r="F61" i="6"/>
  <c r="S179" i="2"/>
  <c r="L2127" i="4"/>
  <c r="L496" i="4"/>
  <c r="L1110" i="4"/>
  <c r="L200" i="6"/>
  <c r="L1706" i="4"/>
  <c r="F1812" i="6"/>
  <c r="L857" i="6"/>
  <c r="L725" i="6"/>
  <c r="L384" i="6"/>
  <c r="L1099" i="4"/>
  <c r="S180" i="2"/>
  <c r="L1302" i="4"/>
  <c r="L1795" i="4"/>
  <c r="L329" i="4"/>
  <c r="S130" i="2"/>
  <c r="S3" i="2"/>
  <c r="L2435" i="4"/>
  <c r="L2230" i="4"/>
  <c r="L745" i="6"/>
  <c r="S262" i="2"/>
  <c r="L2265" i="4"/>
  <c r="L635" i="4"/>
  <c r="L1416" i="4"/>
  <c r="L793" i="6"/>
  <c r="L1922" i="4"/>
  <c r="L876" i="6"/>
  <c r="L872" i="4"/>
  <c r="F662" i="6"/>
  <c r="F155" i="6"/>
  <c r="F887" i="6"/>
  <c r="F1605" i="6"/>
  <c r="L93" i="4"/>
  <c r="L396" i="6"/>
  <c r="L482" i="4"/>
  <c r="L462" i="4"/>
  <c r="L446" i="4"/>
  <c r="S299" i="2"/>
  <c r="L855" i="4"/>
  <c r="L579" i="6"/>
  <c r="L1352" i="4"/>
  <c r="L1814" i="4"/>
  <c r="L444" i="6"/>
  <c r="L1899" i="4"/>
  <c r="L435" i="6"/>
  <c r="L691" i="4"/>
  <c r="L2420" i="4"/>
  <c r="L1066" i="4"/>
  <c r="L2891" i="4"/>
  <c r="AN20" i="15"/>
  <c r="L1767" i="4"/>
  <c r="AK81" i="15"/>
  <c r="I168" i="15"/>
  <c r="O15" i="15"/>
  <c r="A30" i="15"/>
  <c r="O25" i="15"/>
  <c r="F1892" i="6"/>
  <c r="AK98" i="15"/>
  <c r="L1022" i="6"/>
  <c r="L1108" i="6"/>
  <c r="L250" i="6"/>
  <c r="F1530" i="6"/>
  <c r="L198" i="6"/>
  <c r="F1479" i="6"/>
  <c r="F1443" i="6"/>
  <c r="F1311" i="6"/>
  <c r="Y136" i="15"/>
  <c r="L1474" i="6"/>
  <c r="F1288" i="6"/>
  <c r="F1705" i="6"/>
  <c r="L94" i="6"/>
  <c r="F2041" i="6"/>
  <c r="L1284" i="6"/>
  <c r="F2008" i="6"/>
  <c r="F1207" i="6"/>
  <c r="L3370" i="4"/>
  <c r="Z19" i="15"/>
  <c r="DY17" i="15"/>
  <c r="F1184" i="6"/>
  <c r="F2020" i="6"/>
  <c r="L326" i="6"/>
  <c r="AC31" i="15"/>
  <c r="F1249" i="6"/>
  <c r="L2140" i="6"/>
  <c r="L3924" i="4"/>
  <c r="L850" i="6"/>
  <c r="F749" i="6"/>
  <c r="L717" i="6"/>
  <c r="T38" i="15"/>
  <c r="F387" i="6"/>
  <c r="L45" i="6"/>
  <c r="F58" i="6"/>
  <c r="L3538" i="4"/>
  <c r="L2740" i="4"/>
  <c r="F312" i="6"/>
  <c r="L1561" i="4"/>
  <c r="F468" i="6"/>
  <c r="L2815" i="4"/>
  <c r="L363" i="4"/>
  <c r="C107" i="15"/>
  <c r="L373" i="6"/>
  <c r="X45" i="15"/>
  <c r="F604" i="6"/>
  <c r="L3659" i="4"/>
  <c r="L3657" i="4"/>
  <c r="L2809" i="4"/>
  <c r="L1785" i="4"/>
  <c r="L1907" i="6"/>
  <c r="AO61" i="15"/>
  <c r="F1624" i="6"/>
  <c r="L635" i="6"/>
  <c r="L1670" i="6"/>
  <c r="F1513" i="6"/>
  <c r="L2937" i="4"/>
  <c r="L3967" i="4"/>
  <c r="L3857" i="4"/>
  <c r="L537" i="6"/>
  <c r="F603" i="6"/>
  <c r="W23" i="15"/>
  <c r="L1583" i="4"/>
  <c r="L1582" i="6"/>
  <c r="L750" i="6"/>
  <c r="W87" i="15"/>
  <c r="L3034" i="4"/>
  <c r="L3753" i="4"/>
  <c r="F107" i="6"/>
  <c r="F857" i="6"/>
  <c r="F1507" i="6"/>
  <c r="L3116" i="4"/>
  <c r="L201" i="6"/>
  <c r="F594" i="6"/>
  <c r="L2581" i="4"/>
  <c r="L3763" i="4"/>
  <c r="F1911" i="6"/>
  <c r="D43" i="15"/>
  <c r="L1519" i="6"/>
  <c r="L1618" i="6"/>
  <c r="L3467" i="4"/>
  <c r="Y128" i="15"/>
  <c r="AC115" i="15"/>
  <c r="Y40" i="15"/>
  <c r="L2154" i="6"/>
  <c r="Y180" i="15"/>
  <c r="F1505" i="6"/>
  <c r="F28" i="15"/>
  <c r="L398" i="6"/>
  <c r="L1628" i="6"/>
  <c r="H116" i="15"/>
  <c r="U72" i="15"/>
  <c r="A74" i="15"/>
  <c r="F1073" i="6"/>
  <c r="F1004" i="6"/>
  <c r="F1023" i="6"/>
  <c r="I39" i="15"/>
  <c r="F1021" i="6"/>
  <c r="F1000" i="6"/>
  <c r="F1259" i="6"/>
  <c r="X198" i="15"/>
  <c r="F1617" i="6"/>
  <c r="L996" i="6"/>
  <c r="F1608" i="6"/>
  <c r="F919" i="6"/>
  <c r="F889" i="6"/>
  <c r="L1368" i="6"/>
  <c r="F1662" i="6"/>
  <c r="F944" i="6"/>
  <c r="F1613" i="6"/>
  <c r="L38" i="6"/>
  <c r="AA140" i="15"/>
  <c r="F1009" i="6"/>
  <c r="L1575" i="6"/>
  <c r="L3247" i="4"/>
  <c r="L562" i="6"/>
  <c r="F256" i="6"/>
  <c r="L307" i="6"/>
  <c r="F1032" i="6"/>
  <c r="L3809" i="4"/>
  <c r="L3117" i="4"/>
  <c r="I206" i="15"/>
  <c r="L775" i="6"/>
  <c r="L2662" i="4"/>
  <c r="F216" i="6"/>
  <c r="B39" i="15"/>
  <c r="F385" i="6"/>
  <c r="L2743" i="4"/>
  <c r="AD141" i="15"/>
  <c r="F1894" i="6"/>
  <c r="F282" i="6"/>
  <c r="L1905" i="6"/>
  <c r="L516" i="6"/>
  <c r="L3443" i="4"/>
  <c r="L1632" i="4"/>
  <c r="K30" i="15"/>
  <c r="L1661" i="4"/>
  <c r="L1826" i="6"/>
  <c r="L1836" i="6"/>
  <c r="F745" i="6"/>
  <c r="L456" i="6"/>
  <c r="F1323" i="6"/>
  <c r="F1058" i="6"/>
  <c r="L2859" i="4"/>
  <c r="L3535" i="4"/>
  <c r="L3641" i="4"/>
  <c r="F372" i="6"/>
  <c r="F437" i="6"/>
  <c r="L1840" i="6"/>
  <c r="A97" i="15"/>
  <c r="L3579" i="4"/>
  <c r="L362" i="6"/>
  <c r="F2032" i="6"/>
  <c r="L2878" i="4"/>
  <c r="L3272" i="4"/>
  <c r="L19" i="6"/>
  <c r="F678" i="6"/>
  <c r="L945" i="6"/>
  <c r="L2972" i="4"/>
  <c r="F119" i="6"/>
  <c r="L432" i="6"/>
  <c r="L2509" i="4"/>
  <c r="L3331" i="4"/>
  <c r="L1439" i="6"/>
  <c r="L3900" i="4"/>
  <c r="F863" i="6"/>
  <c r="L965" i="6"/>
  <c r="L3184" i="4"/>
  <c r="F814" i="6"/>
  <c r="L1695" i="4"/>
  <c r="L547" i="6"/>
  <c r="L2925" i="4"/>
  <c r="F582" i="6"/>
  <c r="V205" i="15"/>
  <c r="F189" i="6"/>
  <c r="DV75" i="15"/>
  <c r="F110" i="6"/>
  <c r="F834" i="6"/>
  <c r="L3350" i="4"/>
  <c r="F1445" i="6"/>
  <c r="L3745" i="4"/>
  <c r="L1541" i="6"/>
  <c r="F1504" i="6"/>
  <c r="F1836" i="6"/>
  <c r="L3234" i="4"/>
  <c r="L1745" i="4"/>
  <c r="L251" i="6"/>
  <c r="L2626" i="4"/>
  <c r="F177" i="6"/>
  <c r="F1138" i="6"/>
  <c r="L3734" i="4"/>
  <c r="L1161" i="6"/>
  <c r="L3913" i="4"/>
  <c r="L677" i="6"/>
  <c r="L3104" i="4"/>
  <c r="L681" i="6"/>
  <c r="L1680" i="4"/>
  <c r="L253" i="6"/>
  <c r="L2713" i="4"/>
  <c r="L401" i="6"/>
  <c r="V133" i="15"/>
  <c r="F1049" i="6"/>
  <c r="F1421" i="6"/>
  <c r="L698" i="6"/>
  <c r="F278" i="6"/>
  <c r="L875" i="6"/>
  <c r="L3172" i="4"/>
  <c r="F801" i="6"/>
  <c r="L1592" i="4"/>
  <c r="F443" i="6"/>
  <c r="L2835" i="4"/>
  <c r="L481" i="6"/>
  <c r="X3" i="15"/>
  <c r="F93" i="6"/>
  <c r="F56" i="15"/>
  <c r="F97" i="6"/>
  <c r="F821" i="6"/>
  <c r="L3314" i="4"/>
  <c r="L1427" i="6"/>
  <c r="L3493" i="4"/>
  <c r="L517" i="4"/>
  <c r="F1293" i="6"/>
  <c r="F1824" i="6"/>
  <c r="L942" i="6"/>
  <c r="F409" i="6"/>
  <c r="L947" i="6"/>
  <c r="L3413" i="4"/>
  <c r="F884" i="6"/>
  <c r="L1803" i="4"/>
  <c r="F613" i="6"/>
  <c r="L2907" i="4"/>
  <c r="L564" i="6"/>
  <c r="S80" i="15"/>
  <c r="L171" i="6"/>
  <c r="L2660" i="4"/>
  <c r="L175" i="6"/>
  <c r="L895" i="6"/>
  <c r="L3512" i="4"/>
  <c r="F1710" i="6"/>
  <c r="L3907" i="4"/>
  <c r="L713" i="4"/>
  <c r="L42" i="15"/>
  <c r="F1124" i="6"/>
  <c r="F1652" i="6"/>
  <c r="F671" i="6"/>
  <c r="L1854" i="6"/>
  <c r="L3863" i="4"/>
  <c r="F1854" i="6"/>
  <c r="L3664" i="4"/>
  <c r="L787" i="6"/>
  <c r="L3135" i="4"/>
  <c r="F822" i="6"/>
  <c r="L1657" i="4"/>
  <c r="L411" i="6"/>
  <c r="L2942" i="4"/>
  <c r="F577" i="6"/>
  <c r="L1662" i="4"/>
  <c r="L397" i="6"/>
  <c r="L2911" i="4"/>
  <c r="L711" i="6"/>
  <c r="L3236" i="4"/>
  <c r="L498" i="4"/>
  <c r="S96" i="2"/>
  <c r="L1290" i="4"/>
  <c r="S93" i="2"/>
  <c r="S86" i="2"/>
  <c r="S85" i="2"/>
  <c r="S279" i="2"/>
  <c r="L190" i="4"/>
  <c r="L261" i="6"/>
  <c r="L1487" i="4"/>
  <c r="L2867" i="4"/>
  <c r="L74" i="6"/>
  <c r="F779" i="6"/>
  <c r="L2648" i="4"/>
  <c r="L2617" i="4"/>
  <c r="L273" i="4"/>
  <c r="F789" i="6"/>
  <c r="L695" i="4"/>
  <c r="L720" i="4"/>
  <c r="S92" i="2"/>
  <c r="S169" i="2"/>
  <c r="L1254" i="4"/>
  <c r="L1029" i="6"/>
  <c r="L1918" i="4"/>
  <c r="L2903" i="4"/>
  <c r="L828" i="6"/>
  <c r="L1983" i="4"/>
  <c r="L819" i="6"/>
  <c r="L809" i="4"/>
  <c r="L2504" i="4"/>
  <c r="L1260" i="4"/>
  <c r="L3468" i="4"/>
  <c r="L3376" i="4"/>
  <c r="L3278" i="4"/>
  <c r="L3187" i="4"/>
  <c r="L581" i="4"/>
  <c r="S18" i="2"/>
  <c r="L944" i="4"/>
  <c r="L1197" i="4"/>
  <c r="S537" i="2"/>
  <c r="S627" i="2"/>
  <c r="L2951" i="4"/>
  <c r="L2081" i="4"/>
  <c r="L2074" i="4"/>
  <c r="L3904" i="4"/>
  <c r="F71" i="15"/>
  <c r="L2121" i="4"/>
  <c r="S487" i="2"/>
  <c r="L1093" i="4"/>
  <c r="L125" i="6"/>
  <c r="L1686" i="4"/>
  <c r="F275" i="6"/>
  <c r="L641" i="4"/>
  <c r="Q27" i="15"/>
  <c r="AA18" i="15"/>
  <c r="F228" i="6"/>
  <c r="F358" i="6"/>
  <c r="S564" i="2"/>
  <c r="L3192" i="4"/>
  <c r="L148" i="4"/>
  <c r="L29" i="4"/>
  <c r="S543" i="2"/>
  <c r="S508" i="2"/>
  <c r="L163" i="4"/>
  <c r="L3545" i="4"/>
  <c r="L422" i="4"/>
  <c r="L1288" i="4"/>
  <c r="AK159" i="15"/>
  <c r="L1408" i="6"/>
  <c r="F1929" i="6"/>
  <c r="F23" i="15"/>
  <c r="L1990" i="6"/>
  <c r="L3522" i="4"/>
  <c r="F396" i="6"/>
  <c r="F1155" i="6"/>
  <c r="F1180" i="6"/>
  <c r="L3263" i="4"/>
  <c r="AM176" i="15"/>
  <c r="L712" i="6"/>
  <c r="L214" i="6"/>
  <c r="L3200" i="4"/>
  <c r="L3238" i="4"/>
  <c r="F740" i="6"/>
  <c r="L3425" i="4"/>
  <c r="X48" i="15"/>
  <c r="L2638" i="4"/>
  <c r="L856" i="6"/>
  <c r="DY16" i="15"/>
  <c r="F732" i="6"/>
  <c r="F548" i="6"/>
  <c r="AH51" i="15"/>
  <c r="L3605" i="4"/>
  <c r="L589" i="6"/>
  <c r="L1749" i="4"/>
  <c r="F1737" i="6"/>
  <c r="L3917" i="4"/>
  <c r="L813" i="6"/>
  <c r="L1813" i="4"/>
  <c r="F350" i="6"/>
  <c r="AB124" i="15"/>
  <c r="L1268" i="6"/>
  <c r="L3757" i="4"/>
  <c r="F439" i="6"/>
  <c r="F1874" i="6"/>
  <c r="L3569" i="4"/>
  <c r="L493" i="6"/>
  <c r="L1631" i="4"/>
  <c r="CP4" i="15"/>
  <c r="F688" i="6"/>
  <c r="AJ3" i="15"/>
  <c r="F294" i="6"/>
  <c r="F1611" i="6"/>
  <c r="L3061" i="4"/>
  <c r="DV162" i="15"/>
  <c r="L654" i="6"/>
  <c r="L3160" i="4"/>
  <c r="L429" i="6"/>
  <c r="F2015" i="6"/>
  <c r="L332" i="6"/>
  <c r="L2695" i="4"/>
  <c r="L141" i="4"/>
  <c r="L1238" i="4"/>
  <c r="S435" i="2"/>
  <c r="S249" i="2"/>
  <c r="L2739" i="4"/>
  <c r="S576" i="2"/>
  <c r="N364" i="4" s="1"/>
  <c r="L55" i="4"/>
  <c r="L229" i="4"/>
  <c r="L1313" i="4"/>
  <c r="L3527" i="4"/>
  <c r="L703" i="4"/>
  <c r="F896" i="6"/>
  <c r="F405" i="6"/>
  <c r="L473" i="4"/>
  <c r="L645" i="6"/>
  <c r="F453" i="6"/>
  <c r="L704" i="4"/>
  <c r="L2909" i="4"/>
  <c r="F364" i="6"/>
  <c r="L249" i="4"/>
  <c r="S656" i="2"/>
  <c r="S608" i="2"/>
  <c r="N584" i="4" s="1"/>
  <c r="L195" i="6"/>
  <c r="L955" i="4"/>
  <c r="L1189" i="4"/>
  <c r="L382" i="4"/>
  <c r="L1988" i="4"/>
  <c r="L2697" i="4"/>
  <c r="L3685" i="4"/>
  <c r="L896" i="6"/>
  <c r="L3513" i="4"/>
  <c r="L3871" i="4"/>
  <c r="S480" i="2"/>
  <c r="L2940" i="4"/>
  <c r="S643" i="2"/>
  <c r="S485" i="2"/>
  <c r="S301" i="2"/>
  <c r="S253" i="2"/>
  <c r="S441" i="2"/>
  <c r="L2556" i="4"/>
  <c r="L289" i="4"/>
  <c r="L1095" i="4"/>
  <c r="L2598" i="4"/>
  <c r="L1338" i="4"/>
  <c r="L3036" i="4"/>
  <c r="L209" i="4"/>
  <c r="L2198" i="4"/>
  <c r="L511" i="4"/>
  <c r="L1511" i="4"/>
  <c r="L3469" i="4"/>
  <c r="L3051" i="4"/>
  <c r="F481" i="6"/>
  <c r="L615" i="6"/>
  <c r="S630" i="2"/>
  <c r="F4" i="6"/>
  <c r="L292" i="4"/>
  <c r="L212" i="4"/>
  <c r="L79" i="4"/>
  <c r="S665" i="2"/>
  <c r="L426" i="4"/>
  <c r="F104" i="6"/>
  <c r="L239" i="4"/>
  <c r="L1444" i="4"/>
  <c r="L60" i="6"/>
  <c r="L1812" i="4"/>
  <c r="L51" i="6"/>
  <c r="L493" i="4"/>
  <c r="L2336" i="4"/>
  <c r="L873" i="4"/>
  <c r="L2673" i="4"/>
  <c r="L890" i="6"/>
  <c r="F1202" i="6"/>
  <c r="L2852" i="4"/>
  <c r="L2821" i="4"/>
  <c r="L369" i="4"/>
  <c r="F1126" i="6"/>
  <c r="L775" i="4"/>
  <c r="L917" i="4"/>
  <c r="S236" i="2"/>
  <c r="S326" i="2"/>
  <c r="L1476" i="4"/>
  <c r="F1625" i="6"/>
  <c r="L1966" i="4"/>
  <c r="L3029" i="4"/>
  <c r="L1037" i="6"/>
  <c r="L2025" i="4"/>
  <c r="F1094" i="6"/>
  <c r="L888" i="4"/>
  <c r="L3309" i="4"/>
  <c r="L1350" i="4"/>
  <c r="L3452" i="4"/>
  <c r="F1570" i="6"/>
  <c r="F27" i="15"/>
  <c r="F1371" i="6"/>
  <c r="F555" i="6"/>
  <c r="L1172" i="4"/>
  <c r="S222" i="2"/>
  <c r="N1678" i="4" s="1"/>
  <c r="L1405" i="4"/>
  <c r="S21" i="2"/>
  <c r="L474" i="4"/>
  <c r="S274" i="2"/>
  <c r="S232" i="2"/>
  <c r="L2550" i="4"/>
  <c r="L2278" i="4"/>
  <c r="F1086" i="6"/>
  <c r="L546" i="4"/>
  <c r="L2307" i="4"/>
  <c r="L744" i="4"/>
  <c r="L1514" i="4"/>
  <c r="L1093" i="6"/>
  <c r="L1964" i="4"/>
  <c r="F1102" i="6"/>
  <c r="L964" i="4"/>
  <c r="F483" i="6"/>
  <c r="L721" i="6"/>
  <c r="L3285" i="4"/>
  <c r="L3637" i="4"/>
  <c r="S450" i="2"/>
  <c r="L2850" i="4"/>
  <c r="S571" i="2"/>
  <c r="S413" i="2"/>
  <c r="S229" i="2"/>
  <c r="S161" i="2"/>
  <c r="S343" i="2"/>
  <c r="L2506" i="4"/>
  <c r="L53" i="4"/>
  <c r="L1043" i="4"/>
  <c r="L2526" i="4"/>
  <c r="L1287" i="4"/>
  <c r="L2964" i="4"/>
  <c r="L144" i="4"/>
  <c r="L2174" i="4"/>
  <c r="L444" i="4"/>
  <c r="L1453" i="4"/>
  <c r="F955" i="6"/>
  <c r="E82" i="15"/>
  <c r="L3068" i="4"/>
  <c r="L3037" i="4"/>
  <c r="L471" i="4"/>
  <c r="F1945" i="6"/>
  <c r="L853" i="4"/>
  <c r="L1070" i="4"/>
  <c r="S406" i="2"/>
  <c r="S483" i="2"/>
  <c r="L2670" i="4"/>
  <c r="L1985" i="4"/>
  <c r="L2026" i="4"/>
  <c r="L3328" i="4"/>
  <c r="L1604" i="6"/>
  <c r="L2079" i="4"/>
  <c r="L1808" i="6"/>
  <c r="L1002" i="4"/>
  <c r="L3957" i="4"/>
  <c r="L1482" i="4"/>
  <c r="F83" i="6"/>
  <c r="L553" i="4"/>
  <c r="L395" i="6"/>
  <c r="F630" i="6"/>
  <c r="L1775" i="4"/>
  <c r="L3439" i="4"/>
  <c r="S438" i="2"/>
  <c r="L2814" i="4"/>
  <c r="S538" i="2"/>
  <c r="S387" i="2"/>
  <c r="S170" i="2"/>
  <c r="S135" i="2"/>
  <c r="S271" i="2"/>
  <c r="L2494" i="4"/>
  <c r="S268" i="2"/>
  <c r="L1017" i="4"/>
  <c r="L2505" i="4"/>
  <c r="L1262" i="4"/>
  <c r="L2928" i="4"/>
  <c r="AH44" i="15"/>
  <c r="L2600" i="4"/>
  <c r="L2404" i="4"/>
  <c r="S536" i="2"/>
  <c r="L741" i="4"/>
  <c r="L2538" i="4"/>
  <c r="L1283" i="4"/>
  <c r="L3508" i="4"/>
  <c r="L296" i="4"/>
  <c r="L2616" i="4"/>
  <c r="L1318" i="4"/>
  <c r="L2565" i="4"/>
  <c r="L2063" i="4"/>
  <c r="S506" i="2"/>
  <c r="M3618" i="4"/>
  <c r="N3715" i="4"/>
  <c r="M2643" i="4"/>
  <c r="N1770" i="4"/>
  <c r="M3216" i="4"/>
  <c r="M2738" i="4"/>
  <c r="M1900" i="4"/>
  <c r="M3956" i="4"/>
  <c r="N3117" i="4"/>
  <c r="M2145" i="4"/>
  <c r="F1823" i="4"/>
  <c r="M3115" i="4"/>
  <c r="F2057" i="4"/>
  <c r="N2071" i="4"/>
  <c r="M3237" i="4"/>
  <c r="M2759" i="4"/>
  <c r="F28" i="6"/>
  <c r="S125" i="2"/>
  <c r="N341" i="4" s="1"/>
  <c r="L837" i="4"/>
  <c r="L1768" i="4"/>
  <c r="L24" i="4"/>
  <c r="L2221" i="4"/>
  <c r="L552" i="4"/>
  <c r="L1478" i="4"/>
  <c r="S298" i="2"/>
  <c r="L2250" i="4"/>
  <c r="L525" i="4"/>
  <c r="L255" i="4"/>
  <c r="L1475" i="4"/>
  <c r="S447" i="2"/>
  <c r="N415" i="4" s="1"/>
  <c r="M3320" i="4"/>
  <c r="M2986" i="4"/>
  <c r="F1885" i="4"/>
  <c r="F1605" i="4"/>
  <c r="N3346" i="4"/>
  <c r="N2408" i="4"/>
  <c r="AR17" i="15"/>
  <c r="L1584" i="6"/>
  <c r="F1300" i="6"/>
  <c r="BA4" i="15"/>
  <c r="L1910" i="6"/>
  <c r="L3378" i="4"/>
  <c r="F230" i="6"/>
  <c r="F1107" i="6"/>
  <c r="F1132" i="6"/>
  <c r="L3159" i="4"/>
  <c r="F1905" i="6"/>
  <c r="L629" i="6"/>
  <c r="L22" i="6"/>
  <c r="L2912" i="4"/>
  <c r="F1991" i="6"/>
  <c r="F561" i="6"/>
  <c r="L3122" i="4"/>
  <c r="K92" i="15"/>
  <c r="L2560" i="4"/>
  <c r="F691" i="6"/>
  <c r="L1500" i="6"/>
  <c r="F444" i="6"/>
  <c r="L3248" i="4"/>
  <c r="L673" i="6"/>
  <c r="L2750" i="4"/>
  <c r="L3566" i="4"/>
  <c r="F2136" i="6"/>
  <c r="L3418" i="4"/>
  <c r="L2704" i="4"/>
  <c r="F2" i="6"/>
  <c r="L760" i="6"/>
  <c r="L3206" i="4"/>
  <c r="L484" i="6"/>
  <c r="F1896" i="6"/>
  <c r="L953" i="6"/>
  <c r="L3208" i="4"/>
  <c r="F569" i="6"/>
  <c r="L2666" i="4"/>
  <c r="L3530" i="4"/>
  <c r="L629" i="4"/>
  <c r="L1230" i="6"/>
  <c r="L3647" i="4"/>
  <c r="L704" i="6"/>
  <c r="L1591" i="4"/>
  <c r="F254" i="6"/>
  <c r="L2058" i="6"/>
  <c r="F1591" i="6"/>
  <c r="L823" i="6"/>
  <c r="AN33" i="15"/>
  <c r="L3231" i="4"/>
  <c r="F490" i="6"/>
  <c r="L1787" i="4"/>
  <c r="F790" i="6"/>
  <c r="S168" i="2"/>
  <c r="S289" i="2"/>
  <c r="N1248" i="4" s="1"/>
  <c r="L524" i="4"/>
  <c r="L3083" i="4"/>
  <c r="L2936" i="4"/>
  <c r="L1375" i="6"/>
  <c r="S334" i="2"/>
  <c r="K48" i="15"/>
  <c r="L1277" i="6"/>
  <c r="L953" i="4"/>
  <c r="C38" i="15"/>
  <c r="F53" i="6"/>
  <c r="L1119" i="4"/>
  <c r="L247" i="4"/>
  <c r="L2152" i="4"/>
  <c r="L2193" i="4"/>
  <c r="F427" i="6"/>
  <c r="L772" i="4"/>
  <c r="L3625" i="4"/>
  <c r="S642" i="2"/>
  <c r="S466" i="2"/>
  <c r="N350" i="4" s="1"/>
  <c r="S136" i="2"/>
  <c r="L2585" i="4"/>
  <c r="L810" i="4"/>
  <c r="L1029" i="4"/>
  <c r="L222" i="4"/>
  <c r="L1916" i="4"/>
  <c r="L2517" i="4"/>
  <c r="S20" i="15"/>
  <c r="L359" i="6"/>
  <c r="L1584" i="4"/>
  <c r="L1689" i="4"/>
  <c r="S402" i="2"/>
  <c r="L2709" i="4"/>
  <c r="S453" i="2"/>
  <c r="S269" i="2"/>
  <c r="S52" i="2"/>
  <c r="N1558" i="4" s="1"/>
  <c r="L453" i="4"/>
  <c r="S55" i="2"/>
  <c r="L2452" i="4"/>
  <c r="L388" i="4"/>
  <c r="L942" i="4"/>
  <c r="L2469" i="4"/>
  <c r="L1176" i="4"/>
  <c r="L2820" i="4"/>
  <c r="L195" i="4"/>
  <c r="L2126" i="4"/>
  <c r="L90" i="4"/>
  <c r="L1334" i="4"/>
  <c r="F1828" i="6"/>
  <c r="F1769" i="6"/>
  <c r="L153" i="6"/>
  <c r="F284" i="6"/>
  <c r="S552" i="2"/>
  <c r="L3156" i="4"/>
  <c r="L122" i="4"/>
  <c r="L3" i="4"/>
  <c r="S497" i="2"/>
  <c r="S449" i="2"/>
  <c r="L111" i="4"/>
  <c r="L3401" i="4"/>
  <c r="L290" i="4"/>
  <c r="L1263" i="4"/>
  <c r="L3326" i="4"/>
  <c r="L1485" i="4"/>
  <c r="L3251" i="4"/>
  <c r="L349" i="4"/>
  <c r="L2264" i="4"/>
  <c r="L648" i="4"/>
  <c r="L1807" i="4"/>
  <c r="L3322" i="4"/>
  <c r="L595" i="6"/>
  <c r="A24" i="15"/>
  <c r="L2533" i="4"/>
  <c r="L213" i="4"/>
  <c r="L688" i="6"/>
  <c r="L612" i="4"/>
  <c r="L637" i="4"/>
  <c r="S7" i="2"/>
  <c r="S77" i="2"/>
  <c r="L1073" i="4"/>
  <c r="F846" i="6"/>
  <c r="L1882" i="4"/>
  <c r="L2795" i="4"/>
  <c r="F720" i="6"/>
  <c r="L1953" i="4"/>
  <c r="F702" i="6"/>
  <c r="L779" i="4"/>
  <c r="L2474" i="4"/>
  <c r="L1188" i="4"/>
  <c r="L3053" i="4"/>
  <c r="F1883" i="6"/>
  <c r="F596" i="6"/>
  <c r="L485" i="6"/>
  <c r="L227" i="6"/>
  <c r="L982" i="4"/>
  <c r="S144" i="2"/>
  <c r="L1226" i="4"/>
  <c r="L1666" i="4"/>
  <c r="L224" i="4"/>
  <c r="S45" i="2"/>
  <c r="N766" i="4" s="1"/>
  <c r="F248" i="6"/>
  <c r="L2375" i="4"/>
  <c r="L2200" i="4"/>
  <c r="F562" i="6"/>
  <c r="L145" i="4"/>
  <c r="L2235" i="4"/>
  <c r="L236" i="4"/>
  <c r="L1344" i="4"/>
  <c r="F619" i="6"/>
  <c r="L1892" i="4"/>
  <c r="F768" i="6"/>
  <c r="AL140" i="15"/>
  <c r="L3827" i="4"/>
  <c r="L193" i="6"/>
  <c r="D50" i="15"/>
  <c r="L1607" i="4"/>
  <c r="S372" i="2"/>
  <c r="N1205" i="4" s="1"/>
  <c r="L2645" i="4"/>
  <c r="S381" i="2"/>
  <c r="S197" i="2"/>
  <c r="L78" i="4"/>
  <c r="L366" i="4"/>
  <c r="L1213" i="6"/>
  <c r="L2428" i="4"/>
  <c r="S267" i="2"/>
  <c r="L890" i="4"/>
  <c r="L2445" i="4"/>
  <c r="L1117" i="4"/>
  <c r="L2748" i="4"/>
  <c r="L88" i="4"/>
  <c r="L2102" i="4"/>
  <c r="S188" i="2"/>
  <c r="L1284" i="4"/>
  <c r="L458" i="6"/>
  <c r="F994" i="6"/>
  <c r="L2780" i="4"/>
  <c r="L2749" i="4"/>
  <c r="L333" i="4"/>
  <c r="F982" i="6"/>
  <c r="L757" i="4"/>
  <c r="L878" i="4"/>
  <c r="S177" i="2"/>
  <c r="S254" i="2"/>
  <c r="L1380" i="4"/>
  <c r="L1221" i="6"/>
  <c r="L1948" i="4"/>
  <c r="L2975" i="4"/>
  <c r="L931" i="6"/>
  <c r="L2007" i="4"/>
  <c r="L949" i="6"/>
  <c r="L848" i="4"/>
  <c r="L2568" i="4"/>
  <c r="L1309" i="4"/>
  <c r="L3218" i="4"/>
  <c r="K9" i="15"/>
  <c r="L3593" i="4"/>
  <c r="F111" i="6"/>
  <c r="F1972" i="6"/>
  <c r="L1531" i="4"/>
  <c r="S360" i="2"/>
  <c r="N1200" i="4" s="1"/>
  <c r="L2607" i="4"/>
  <c r="S355" i="2"/>
  <c r="S158" i="2"/>
  <c r="L39" i="4"/>
  <c r="L308" i="4"/>
  <c r="L889" i="6"/>
  <c r="L2416" i="4"/>
  <c r="L114" i="4"/>
  <c r="L864" i="4"/>
  <c r="L2433" i="4"/>
  <c r="L1094" i="4"/>
  <c r="L2706" i="4"/>
  <c r="L266" i="6"/>
  <c r="L721" i="4"/>
  <c r="L1930" i="4"/>
  <c r="L509" i="6"/>
  <c r="L521" i="4"/>
  <c r="L2443" i="4"/>
  <c r="L1115" i="4"/>
  <c r="L3042" i="4"/>
  <c r="L139" i="4"/>
  <c r="L2472" i="4"/>
  <c r="L1153" i="4"/>
  <c r="L1268" i="4"/>
  <c r="L1678" i="4"/>
  <c r="L919" i="4"/>
  <c r="N3218" i="4"/>
  <c r="M3621" i="4"/>
  <c r="M2499" i="4"/>
  <c r="N2191" i="4"/>
  <c r="M3588" i="4"/>
  <c r="M2594" i="4"/>
  <c r="N1721" i="4"/>
  <c r="N3588" i="4"/>
  <c r="N2942" i="4"/>
  <c r="M1938" i="4"/>
  <c r="F1576" i="4"/>
  <c r="M2971" i="4"/>
  <c r="F1865" i="4"/>
  <c r="F1585" i="4"/>
  <c r="N3631" i="4"/>
  <c r="AK18" i="15"/>
  <c r="F1141" i="6"/>
  <c r="F2068" i="6"/>
  <c r="L1443" i="6"/>
  <c r="F1435" i="6"/>
  <c r="Z8" i="15"/>
  <c r="Z156" i="15"/>
  <c r="K119" i="15"/>
  <c r="H60" i="15"/>
  <c r="L2799" i="4"/>
  <c r="F1193" i="6"/>
  <c r="F298" i="6"/>
  <c r="L1650" i="6"/>
  <c r="L2840" i="4"/>
  <c r="F1145" i="6"/>
  <c r="L473" i="6"/>
  <c r="L2978" i="4"/>
  <c r="O26" i="15"/>
  <c r="R67" i="15"/>
  <c r="F608" i="6"/>
  <c r="L909" i="6"/>
  <c r="L295" i="6"/>
  <c r="L1610" i="4"/>
  <c r="F495" i="6"/>
  <c r="L2014" i="6"/>
  <c r="L3151" i="4"/>
  <c r="E27" i="15"/>
  <c r="CP3" i="15"/>
  <c r="L2548" i="4"/>
  <c r="L3500" i="4"/>
  <c r="F595" i="6"/>
  <c r="M126" i="15"/>
  <c r="F319" i="6"/>
  <c r="L1087" i="6"/>
  <c r="F784" i="6"/>
  <c r="AH222" i="15"/>
  <c r="F390" i="6"/>
  <c r="L1951" i="6"/>
  <c r="L3139" i="4"/>
  <c r="AD258" i="15"/>
  <c r="L694" i="6"/>
  <c r="L3166" i="4"/>
  <c r="F434" i="6"/>
  <c r="L2080" i="6"/>
  <c r="L92" i="6"/>
  <c r="F1419" i="6"/>
  <c r="F1754" i="6"/>
  <c r="L535" i="6"/>
  <c r="L1513" i="6"/>
  <c r="L3057" i="4"/>
  <c r="L328" i="6"/>
  <c r="L1590" i="4"/>
  <c r="L628" i="6"/>
  <c r="S24" i="2"/>
  <c r="L558" i="4"/>
  <c r="S526" i="2"/>
  <c r="L2541" i="4"/>
  <c r="L900" i="6"/>
  <c r="F480" i="6"/>
  <c r="L513" i="4"/>
  <c r="F654" i="6"/>
  <c r="F528" i="6"/>
  <c r="L717" i="4"/>
  <c r="L1573" i="6"/>
  <c r="L2899" i="4"/>
  <c r="L799" i="4"/>
  <c r="S398" i="2"/>
  <c r="L1996" i="4"/>
  <c r="L2049" i="4"/>
  <c r="L3597" i="4"/>
  <c r="L479" i="4"/>
  <c r="L2636" i="4"/>
  <c r="S486" i="2"/>
  <c r="S283" i="2"/>
  <c r="L140" i="4"/>
  <c r="L2458" i="4"/>
  <c r="L811" i="6"/>
  <c r="F728" i="6"/>
  <c r="S163" i="2"/>
  <c r="L1234" i="4"/>
  <c r="L1528" i="4"/>
  <c r="L661" i="6"/>
  <c r="L3607" i="4"/>
  <c r="F1336" i="6"/>
  <c r="L1385" i="4"/>
  <c r="S324" i="2"/>
  <c r="L1796" i="4"/>
  <c r="S250" i="2"/>
  <c r="S40" i="2"/>
  <c r="S595" i="2"/>
  <c r="S664" i="2"/>
  <c r="L505" i="6"/>
  <c r="L2374" i="4"/>
  <c r="L418" i="4"/>
  <c r="L804" i="4"/>
  <c r="L2397" i="4"/>
  <c r="L1016" i="4"/>
  <c r="L2583" i="4"/>
  <c r="S61" i="15"/>
  <c r="L2054" i="4"/>
  <c r="L398" i="4"/>
  <c r="L1168" i="4"/>
  <c r="F579" i="6"/>
  <c r="L817" i="6"/>
  <c r="L3496" i="4"/>
  <c r="L3853" i="4"/>
  <c r="S474" i="2"/>
  <c r="N228" i="4" s="1"/>
  <c r="L2922" i="4"/>
  <c r="S623" i="2"/>
  <c r="S459" i="2"/>
  <c r="S281" i="2"/>
  <c r="N472" i="4" s="1"/>
  <c r="S220" i="2"/>
  <c r="N1551" i="4" s="1"/>
  <c r="S428" i="2"/>
  <c r="L2549" i="4"/>
  <c r="L223" i="4"/>
  <c r="L1082" i="4"/>
  <c r="L2591" i="4"/>
  <c r="L1325" i="4"/>
  <c r="L3018" i="4"/>
  <c r="L196" i="4"/>
  <c r="L2192" i="4"/>
  <c r="L499" i="4"/>
  <c r="L1496" i="4"/>
  <c r="F505" i="6"/>
  <c r="F50" i="6"/>
  <c r="F804" i="6"/>
  <c r="F962" i="6"/>
  <c r="L57" i="4"/>
  <c r="F371" i="6"/>
  <c r="L450" i="4"/>
  <c r="L403" i="4"/>
  <c r="L389" i="4"/>
  <c r="S227" i="2"/>
  <c r="L788" i="4"/>
  <c r="F471" i="6"/>
  <c r="L1177" i="4"/>
  <c r="L1752" i="4"/>
  <c r="F419" i="6"/>
  <c r="L1881" i="4"/>
  <c r="L335" i="6"/>
  <c r="L642" i="4"/>
  <c r="L2402" i="4"/>
  <c r="L1026" i="4"/>
  <c r="L2837" i="4"/>
  <c r="L995" i="6"/>
  <c r="L63" i="6"/>
  <c r="L3947" i="4"/>
  <c r="L3692" i="4"/>
  <c r="L681" i="4"/>
  <c r="S66" i="2"/>
  <c r="L1045" i="4"/>
  <c r="L1339" i="4"/>
  <c r="S655" i="2"/>
  <c r="L143" i="4"/>
  <c r="L3185" i="4"/>
  <c r="L2171" i="4"/>
  <c r="L2116" i="4"/>
  <c r="F187" i="6"/>
  <c r="L127" i="4"/>
  <c r="L2163" i="4"/>
  <c r="S103" i="2"/>
  <c r="L1195" i="4"/>
  <c r="L317" i="6"/>
  <c r="L1820" i="4"/>
  <c r="F467" i="6"/>
  <c r="L3474" i="4"/>
  <c r="L2908" i="4"/>
  <c r="L1753" i="4"/>
  <c r="L877" i="6"/>
  <c r="L1336" i="4"/>
  <c r="S294" i="2"/>
  <c r="N30" i="4" s="1"/>
  <c r="L1694" i="4"/>
  <c r="S191" i="2"/>
  <c r="L643" i="4"/>
  <c r="S503" i="2"/>
  <c r="S579" i="2"/>
  <c r="F305" i="6"/>
  <c r="L2350" i="4"/>
  <c r="AN15" i="15"/>
  <c r="L780" i="4"/>
  <c r="L2373" i="4"/>
  <c r="L954" i="4"/>
  <c r="L2511" i="4"/>
  <c r="L1912" i="6"/>
  <c r="L2030" i="4"/>
  <c r="E9" i="15"/>
  <c r="L1109" i="4"/>
  <c r="L1833" i="6"/>
  <c r="F421" i="6"/>
  <c r="L1820" i="6"/>
  <c r="AH43" i="15"/>
  <c r="L177" i="4"/>
  <c r="L588" i="6"/>
  <c r="L573" i="4"/>
  <c r="L572" i="4"/>
  <c r="L556" i="4"/>
  <c r="S5" i="2"/>
  <c r="L997" i="4"/>
  <c r="F746" i="6"/>
  <c r="L1864" i="4"/>
  <c r="L2741" i="4"/>
  <c r="F628" i="6"/>
  <c r="L1935" i="4"/>
  <c r="F602" i="6"/>
  <c r="L761" i="4"/>
  <c r="L2456" i="4"/>
  <c r="L1149" i="4"/>
  <c r="L2999" i="4"/>
  <c r="AB21" i="15"/>
  <c r="L2830" i="4"/>
  <c r="L1645" i="4"/>
  <c r="L803" i="6"/>
  <c r="L1289" i="4"/>
  <c r="S282" i="2"/>
  <c r="L1564" i="4"/>
  <c r="S165" i="2"/>
  <c r="L610" i="4"/>
  <c r="S477" i="2"/>
  <c r="S507" i="2"/>
  <c r="N826" i="4" s="1"/>
  <c r="F139" i="6"/>
  <c r="L2332" i="4"/>
  <c r="F1834" i="6"/>
  <c r="L768" i="4"/>
  <c r="L2361" i="4"/>
  <c r="L928" i="4"/>
  <c r="L1790" i="4"/>
  <c r="L3377" i="4"/>
  <c r="S335" i="2"/>
  <c r="N302" i="4" s="1"/>
  <c r="S469" i="2"/>
  <c r="L2438" i="4"/>
  <c r="L348" i="4"/>
  <c r="L2371" i="4"/>
  <c r="L950" i="4"/>
  <c r="L2826" i="4"/>
  <c r="S658" i="2"/>
  <c r="L2400" i="4"/>
  <c r="L998" i="4"/>
  <c r="L985" i="4"/>
  <c r="S41" i="2"/>
  <c r="L1316" i="4"/>
  <c r="M3035" i="4"/>
  <c r="N3470" i="4"/>
  <c r="N3128" i="4"/>
  <c r="F1489" i="4"/>
  <c r="M3385" i="4"/>
  <c r="M2450" i="4"/>
  <c r="F1919" i="4"/>
  <c r="M3742" i="4"/>
  <c r="N2677" i="4"/>
  <c r="M2014" i="4"/>
  <c r="M1337" i="4"/>
  <c r="M2827" i="4"/>
  <c r="N2394" i="4"/>
  <c r="F1429" i="4"/>
  <c r="M3469" i="4"/>
  <c r="M2471" i="4"/>
  <c r="I120" i="15"/>
  <c r="I13" i="15"/>
  <c r="C174" i="15"/>
  <c r="F1935" i="6"/>
  <c r="F1850" i="6"/>
  <c r="F1999" i="6"/>
  <c r="L1924" i="6"/>
  <c r="L3252" i="4"/>
  <c r="F1921" i="6"/>
  <c r="L1446" i="6"/>
  <c r="L3865" i="4"/>
  <c r="L3676" i="4"/>
  <c r="L3202" i="4"/>
  <c r="L1560" i="4"/>
  <c r="F1355" i="6"/>
  <c r="L940" i="6"/>
  <c r="L127" i="6"/>
  <c r="L1647" i="6"/>
  <c r="L1707" i="4"/>
  <c r="L2756" i="4"/>
  <c r="L1577" i="4"/>
  <c r="L888" i="6"/>
  <c r="L1501" i="4"/>
  <c r="L407" i="6"/>
  <c r="L1689" i="6"/>
  <c r="L3079" i="4"/>
  <c r="F1676" i="6"/>
  <c r="F854" i="6"/>
  <c r="AH52" i="15"/>
  <c r="L3279" i="4"/>
  <c r="F512" i="6"/>
  <c r="CA4" i="15"/>
  <c r="F236" i="6"/>
  <c r="Y22" i="15"/>
  <c r="L696" i="6"/>
  <c r="B6" i="15"/>
  <c r="F303" i="6"/>
  <c r="F1637" i="6"/>
  <c r="L2995" i="4"/>
  <c r="AC27" i="15"/>
  <c r="L502" i="6"/>
  <c r="L3088" i="4"/>
  <c r="F347" i="6"/>
  <c r="L1716" i="6"/>
  <c r="L9" i="6"/>
  <c r="L881" i="6"/>
  <c r="F1289" i="6"/>
  <c r="L404" i="6"/>
  <c r="L879" i="6"/>
  <c r="L2901" i="4"/>
  <c r="L245" i="6"/>
  <c r="I63" i="15"/>
  <c r="L545" i="6"/>
  <c r="F1526" i="6"/>
  <c r="L370" i="4"/>
  <c r="S166" i="2"/>
  <c r="N1676" i="4" s="1"/>
  <c r="L1517" i="4"/>
  <c r="L572" i="6"/>
  <c r="L112" i="6"/>
  <c r="L197" i="4"/>
  <c r="F279" i="6"/>
  <c r="F227" i="6"/>
  <c r="L555" i="4"/>
  <c r="L70" i="6"/>
  <c r="L2611" i="4"/>
  <c r="L677" i="4"/>
  <c r="S149" i="2"/>
  <c r="L1912" i="4"/>
  <c r="L1977" i="4"/>
  <c r="L2498" i="4"/>
  <c r="V60" i="15"/>
  <c r="L559" i="6"/>
  <c r="S408" i="2"/>
  <c r="L694" i="4"/>
  <c r="S266" i="2"/>
  <c r="L2380" i="4"/>
  <c r="F144" i="6"/>
  <c r="F126" i="6"/>
  <c r="W159" i="15"/>
  <c r="L900" i="4"/>
  <c r="L1356" i="4"/>
  <c r="F125" i="6"/>
  <c r="F1952" i="6"/>
  <c r="L637" i="6"/>
  <c r="L1202" i="4"/>
  <c r="S246" i="2"/>
  <c r="L1446" i="4"/>
  <c r="S67" i="2"/>
  <c r="L501" i="4"/>
  <c r="S320" i="2"/>
  <c r="S317" i="2"/>
  <c r="L3417" i="4"/>
  <c r="L2296" i="4"/>
  <c r="F1230" i="6"/>
  <c r="L676" i="4"/>
  <c r="L2325" i="4"/>
  <c r="L849" i="4"/>
  <c r="L1612" i="4"/>
  <c r="L1237" i="6"/>
  <c r="L1982" i="4"/>
  <c r="F1246" i="6"/>
  <c r="W57" i="15"/>
  <c r="F42" i="6"/>
  <c r="F281" i="6"/>
  <c r="L1578" i="4"/>
  <c r="L1679" i="4"/>
  <c r="S396" i="2"/>
  <c r="L2693" i="4"/>
  <c r="S427" i="2"/>
  <c r="S256" i="2"/>
  <c r="S39" i="2"/>
  <c r="L427" i="4"/>
  <c r="S22" i="2"/>
  <c r="L2446" i="4"/>
  <c r="L38" i="4"/>
  <c r="L929" i="4"/>
  <c r="L2463" i="4"/>
  <c r="L1163" i="4"/>
  <c r="L2802" i="4"/>
  <c r="L64" i="4"/>
  <c r="L2120" i="4"/>
  <c r="S241" i="2"/>
  <c r="L1321" i="4"/>
  <c r="L3433" i="4"/>
  <c r="L3045" i="4"/>
  <c r="L476" i="6"/>
  <c r="F607" i="6"/>
  <c r="S624" i="2"/>
  <c r="N40" i="4" s="1"/>
  <c r="L3920" i="4"/>
  <c r="L279" i="4"/>
  <c r="L199" i="4"/>
  <c r="L40" i="4"/>
  <c r="S652" i="2"/>
  <c r="L385" i="4"/>
  <c r="L95" i="6"/>
  <c r="L186" i="4"/>
  <c r="L1430" i="4"/>
  <c r="F52" i="6"/>
  <c r="L1792" i="4"/>
  <c r="F26" i="6"/>
  <c r="L486" i="4"/>
  <c r="L2330" i="4"/>
  <c r="L860" i="4"/>
  <c r="L2657" i="4"/>
  <c r="F1243" i="6"/>
  <c r="L1574" i="4"/>
  <c r="L3080" i="4"/>
  <c r="L3049" i="4"/>
  <c r="L520" i="4"/>
  <c r="G22" i="15"/>
  <c r="L879" i="4"/>
  <c r="L1096" i="4"/>
  <c r="S452" i="2"/>
  <c r="S542" i="2"/>
  <c r="L2753" i="4"/>
  <c r="L2009" i="4"/>
  <c r="L2038" i="4"/>
  <c r="L3472" i="4"/>
  <c r="F1814" i="6"/>
  <c r="L2091" i="4"/>
  <c r="F2045" i="6"/>
  <c r="L1028" i="4"/>
  <c r="F17" i="6"/>
  <c r="L1512" i="4"/>
  <c r="F100" i="6"/>
  <c r="L1563" i="6"/>
  <c r="D20" i="15"/>
  <c r="L1362" i="6"/>
  <c r="F546" i="6"/>
  <c r="L1166" i="4"/>
  <c r="S216" i="2"/>
  <c r="L1392" i="4"/>
  <c r="S8" i="2"/>
  <c r="L461" i="4"/>
  <c r="S261" i="2"/>
  <c r="S193" i="2"/>
  <c r="L2514" i="4"/>
  <c r="L2272" i="4"/>
  <c r="F990" i="6"/>
  <c r="L514" i="4"/>
  <c r="L2301" i="4"/>
  <c r="L731" i="4"/>
  <c r="L1498" i="4"/>
  <c r="L1045" i="6"/>
  <c r="L1958" i="4"/>
  <c r="F1054" i="6"/>
  <c r="L951" i="4"/>
  <c r="L247" i="6"/>
  <c r="L3644" i="4"/>
  <c r="F721" i="6"/>
  <c r="L855" i="6"/>
  <c r="L21" i="4"/>
  <c r="F213" i="6"/>
  <c r="L397" i="4"/>
  <c r="L343" i="4"/>
  <c r="L276" i="4"/>
  <c r="S129" i="2"/>
  <c r="L758" i="4"/>
  <c r="L387" i="6"/>
  <c r="L930" i="4"/>
  <c r="L1690" i="4"/>
  <c r="F261" i="6"/>
  <c r="L1863" i="4"/>
  <c r="L309" i="6"/>
  <c r="L608" i="4"/>
  <c r="L2384" i="4"/>
  <c r="L977" i="4"/>
  <c r="L2783" i="4"/>
  <c r="L1172" i="6"/>
  <c r="L1801" i="6"/>
  <c r="L891" i="6"/>
  <c r="F472" i="6"/>
  <c r="L1136" i="4"/>
  <c r="S204" i="2"/>
  <c r="L1359" i="4"/>
  <c r="L1852" i="4"/>
  <c r="L409" i="4"/>
  <c r="S215" i="2"/>
  <c r="S147" i="2"/>
  <c r="L2477" i="4"/>
  <c r="L2254" i="4"/>
  <c r="L845" i="6"/>
  <c r="L316" i="4"/>
  <c r="L2289" i="4"/>
  <c r="L705" i="4"/>
  <c r="L1469" i="4"/>
  <c r="F866" i="6"/>
  <c r="L825" i="4"/>
  <c r="L2939" i="4"/>
  <c r="L2150" i="4"/>
  <c r="L194" i="4"/>
  <c r="L2299" i="4"/>
  <c r="L727" i="4"/>
  <c r="L2516" i="4"/>
  <c r="S488" i="2"/>
  <c r="L2328" i="4"/>
  <c r="L843" i="4"/>
  <c r="L736" i="4"/>
  <c r="S15" i="2"/>
  <c r="L1943" i="4"/>
  <c r="M2891" i="4"/>
  <c r="M3142" i="4"/>
  <c r="N2417" i="4"/>
  <c r="N2184" i="4"/>
  <c r="N3370" i="4"/>
  <c r="N2456" i="4"/>
  <c r="F1594" i="4"/>
  <c r="N3475" i="4"/>
  <c r="M3592" i="4"/>
  <c r="F1783" i="4"/>
  <c r="F1263" i="4"/>
  <c r="N3075" i="4"/>
  <c r="M2288" i="4"/>
  <c r="M1256" i="4"/>
  <c r="M3412" i="4"/>
  <c r="N2540" i="4"/>
  <c r="L2677" i="4"/>
  <c r="S182" i="2"/>
  <c r="L1989" i="4"/>
  <c r="L667" i="6"/>
  <c r="L1293" i="6"/>
  <c r="L2005" i="4"/>
  <c r="S219" i="2"/>
  <c r="L975" i="4"/>
  <c r="L1253" i="6"/>
  <c r="L2034" i="4"/>
  <c r="L1965" i="6"/>
  <c r="L1117" i="6"/>
  <c r="L1778" i="4"/>
  <c r="M3912" i="4"/>
  <c r="N3818" i="4"/>
  <c r="N3171" i="4"/>
  <c r="M2159" i="4"/>
  <c r="AK86" i="15"/>
  <c r="L3831" i="4"/>
  <c r="T57" i="15"/>
  <c r="L1856" i="6"/>
  <c r="L1771" i="6"/>
  <c r="L1916" i="6"/>
  <c r="F1846" i="6"/>
  <c r="C68" i="15"/>
  <c r="L1842" i="6"/>
  <c r="L3336" i="4"/>
  <c r="L3631" i="4"/>
  <c r="L3460" i="4"/>
  <c r="L3124" i="4"/>
  <c r="F856" i="6"/>
  <c r="L1987" i="6"/>
  <c r="L835" i="6"/>
  <c r="L44" i="6"/>
  <c r="L1981" i="6"/>
  <c r="L1525" i="4"/>
  <c r="L2684" i="4"/>
  <c r="L1460" i="4"/>
  <c r="F797" i="6"/>
  <c r="AB18" i="15"/>
  <c r="F233" i="6"/>
  <c r="L1445" i="6"/>
  <c r="L3007" i="4"/>
  <c r="L3774" i="4"/>
  <c r="L705" i="6"/>
  <c r="L1932" i="6"/>
  <c r="L3153" i="4"/>
  <c r="F429" i="6"/>
  <c r="L1762" i="6"/>
  <c r="F153" i="6"/>
  <c r="F1679" i="6"/>
  <c r="L517" i="6"/>
  <c r="L1748" i="6"/>
  <c r="F220" i="6"/>
  <c r="L1370" i="6"/>
  <c r="L2923" i="4"/>
  <c r="S174" i="15"/>
  <c r="L310" i="6"/>
  <c r="L3010" i="4"/>
  <c r="L259" i="6"/>
  <c r="F1388" i="6"/>
  <c r="L3765" i="4"/>
  <c r="F716" i="6"/>
  <c r="F1001" i="6"/>
  <c r="F252" i="6"/>
  <c r="L783" i="6"/>
  <c r="L2823" i="4"/>
  <c r="F163" i="6"/>
  <c r="F2003" i="6"/>
  <c r="F463" i="6"/>
  <c r="L880" i="6"/>
  <c r="L120" i="4"/>
  <c r="F781" i="6"/>
  <c r="L1345" i="4"/>
  <c r="F241" i="6"/>
  <c r="L3344" i="4"/>
  <c r="S569" i="2"/>
  <c r="L3761" i="4"/>
  <c r="L3614" i="4"/>
  <c r="L408" i="4"/>
  <c r="L788" i="6"/>
  <c r="F1631" i="6"/>
  <c r="L488" i="4"/>
  <c r="S332" i="2"/>
  <c r="L1594" i="4"/>
  <c r="L1905" i="4"/>
  <c r="L2426" i="4"/>
  <c r="L1992" i="6"/>
  <c r="L3693" i="4"/>
  <c r="S330" i="2"/>
  <c r="L252" i="4"/>
  <c r="L466" i="4"/>
  <c r="L1906" i="4"/>
  <c r="L3470" i="4"/>
  <c r="L3383" i="4"/>
  <c r="L1285" i="6"/>
  <c r="L674" i="4"/>
  <c r="L1181" i="4"/>
  <c r="L2596" i="4"/>
  <c r="F643" i="6"/>
  <c r="F306" i="6"/>
  <c r="L1039" i="4"/>
  <c r="S162" i="2"/>
  <c r="L1265" i="4"/>
  <c r="L1754" i="4"/>
  <c r="L277" i="4"/>
  <c r="S104" i="2"/>
  <c r="N126" i="4" s="1"/>
  <c r="L597" i="6"/>
  <c r="L2411" i="4"/>
  <c r="L2218" i="4"/>
  <c r="L728" i="6"/>
  <c r="S46" i="2"/>
  <c r="N51" i="4" s="1"/>
  <c r="L2253" i="4"/>
  <c r="L583" i="4"/>
  <c r="L1383" i="4"/>
  <c r="L776" i="6"/>
  <c r="L1910" i="4"/>
  <c r="L859" i="6"/>
  <c r="F1519" i="6"/>
  <c r="L2992" i="4"/>
  <c r="L3409" i="4"/>
  <c r="L1327" i="6"/>
  <c r="L1373" i="4"/>
  <c r="S318" i="2"/>
  <c r="L1756" i="4"/>
  <c r="S237" i="2"/>
  <c r="S27" i="2"/>
  <c r="S575" i="2"/>
  <c r="S651" i="2"/>
  <c r="L488" i="6"/>
  <c r="L2368" i="4"/>
  <c r="S572" i="2"/>
  <c r="L798" i="4"/>
  <c r="L2391" i="4"/>
  <c r="L1003" i="4"/>
  <c r="L2576" i="4"/>
  <c r="AO35" i="15"/>
  <c r="L2048" i="4"/>
  <c r="W158" i="15"/>
  <c r="L1155" i="4"/>
  <c r="F1802" i="6"/>
  <c r="F1743" i="6"/>
  <c r="F145" i="6"/>
  <c r="L279" i="6"/>
  <c r="S546" i="2"/>
  <c r="L3138" i="4"/>
  <c r="L109" i="4"/>
  <c r="S649" i="2"/>
  <c r="S484" i="2"/>
  <c r="S436" i="2"/>
  <c r="L98" i="4"/>
  <c r="L3329" i="4"/>
  <c r="L238" i="4"/>
  <c r="L1250" i="4"/>
  <c r="L3242" i="4"/>
  <c r="L1470" i="4"/>
  <c r="L3219" i="4"/>
  <c r="L340" i="4"/>
  <c r="L2258" i="4"/>
  <c r="L633" i="4"/>
  <c r="L1786" i="4"/>
  <c r="L650" i="6"/>
  <c r="F1106" i="6"/>
  <c r="L2792" i="4"/>
  <c r="L2761" i="4"/>
  <c r="L351" i="4"/>
  <c r="F1078" i="6"/>
  <c r="L769" i="4"/>
  <c r="L904" i="4"/>
  <c r="S223" i="2"/>
  <c r="S313" i="2"/>
  <c r="L1432" i="4"/>
  <c r="L1520" i="6"/>
  <c r="L1960" i="4"/>
  <c r="L3011" i="4"/>
  <c r="L989" i="6"/>
  <c r="L2019" i="4"/>
  <c r="F1046" i="6"/>
  <c r="L874" i="4"/>
  <c r="L2604" i="4"/>
  <c r="L1335" i="4"/>
  <c r="L3380" i="4"/>
  <c r="L1876" i="6"/>
  <c r="L591" i="6"/>
  <c r="F477" i="6"/>
  <c r="F219" i="6"/>
  <c r="L971" i="4"/>
  <c r="S138" i="2"/>
  <c r="L1217" i="4"/>
  <c r="L1534" i="4"/>
  <c r="L211" i="4"/>
  <c r="S32" i="2"/>
  <c r="F231" i="6"/>
  <c r="L2363" i="4"/>
  <c r="L2188" i="4"/>
  <c r="L553" i="6"/>
  <c r="L14" i="4"/>
  <c r="L2229" i="4"/>
  <c r="L184" i="4"/>
  <c r="L1337" i="4"/>
  <c r="F610" i="6"/>
  <c r="L1886" i="4"/>
  <c r="F693" i="6"/>
  <c r="L808" i="4"/>
  <c r="L1685" i="4"/>
  <c r="L2895" i="4"/>
  <c r="L393" i="6"/>
  <c r="F524" i="6"/>
  <c r="S606" i="2"/>
  <c r="L3632" i="4"/>
  <c r="L227" i="4"/>
  <c r="L121" i="4"/>
  <c r="S628" i="2"/>
  <c r="S593" i="2"/>
  <c r="L294" i="4"/>
  <c r="L69" i="6"/>
  <c r="S557" i="2"/>
  <c r="L1384" i="4"/>
  <c r="L3902" i="4"/>
  <c r="L1730" i="4"/>
  <c r="L3815" i="4"/>
  <c r="L458" i="4"/>
  <c r="L2312" i="4"/>
  <c r="L821" i="4"/>
  <c r="L2625" i="4"/>
  <c r="L1403" i="6"/>
  <c r="F500" i="6"/>
  <c r="F394" i="6"/>
  <c r="L144" i="6"/>
  <c r="L947" i="4"/>
  <c r="S126" i="2"/>
  <c r="L1191" i="4"/>
  <c r="L1502" i="4"/>
  <c r="L159" i="4"/>
  <c r="L326" i="4"/>
  <c r="F56" i="6"/>
  <c r="L2333" i="4"/>
  <c r="L2176" i="4"/>
  <c r="L536" i="6"/>
  <c r="S209" i="2"/>
  <c r="L2217" i="4"/>
  <c r="L27" i="4"/>
  <c r="L1310" i="4"/>
  <c r="L36" i="6"/>
  <c r="S145" i="2"/>
  <c r="L850" i="4"/>
  <c r="L1862" i="4"/>
  <c r="L37" i="4"/>
  <c r="L2227" i="4"/>
  <c r="L565" i="4"/>
  <c r="L1493" i="4"/>
  <c r="S311" i="2"/>
  <c r="N1426" i="4" s="1"/>
  <c r="L2256" i="4"/>
  <c r="L540" i="4"/>
  <c r="L307" i="4"/>
  <c r="L1606" i="4"/>
  <c r="S604" i="2"/>
  <c r="M3368" i="4"/>
  <c r="M2998" i="4"/>
  <c r="F1901" i="4"/>
  <c r="F1621" i="4"/>
  <c r="M3093" i="4"/>
  <c r="M2027" i="4"/>
  <c r="N1909" i="4"/>
  <c r="M3239" i="4"/>
  <c r="M2761" i="4"/>
  <c r="N1944" i="4"/>
  <c r="N3951" i="4"/>
  <c r="N3113" i="4"/>
  <c r="M2144" i="4"/>
  <c r="M1082" i="4"/>
  <c r="M3114" i="4"/>
  <c r="M2055" i="4"/>
  <c r="L1507" i="4"/>
  <c r="L256" i="4"/>
  <c r="L1068" i="4"/>
  <c r="L3179" i="4"/>
  <c r="L767" i="6"/>
  <c r="L1933" i="4"/>
  <c r="F1410" i="6"/>
  <c r="L819" i="4"/>
  <c r="F741" i="6"/>
  <c r="L1962" i="4"/>
  <c r="F1118" i="6"/>
  <c r="F397" i="6"/>
  <c r="S172" i="2"/>
  <c r="M3614" i="4"/>
  <c r="N3616" i="4"/>
  <c r="AR33" i="15"/>
  <c r="F972" i="6"/>
  <c r="L1392" i="6"/>
  <c r="L1381" i="6"/>
  <c r="L1251" i="6"/>
  <c r="F1439" i="6"/>
  <c r="L1457" i="6"/>
  <c r="F719" i="6"/>
  <c r="L1450" i="6"/>
  <c r="L1501" i="6"/>
  <c r="L1587" i="4"/>
  <c r="L1566" i="4"/>
  <c r="L2812" i="4"/>
  <c r="F773" i="6"/>
  <c r="F1143" i="6"/>
  <c r="L656" i="6"/>
  <c r="L3856" i="4"/>
  <c r="L1509" i="6"/>
  <c r="L1486" i="6"/>
  <c r="E101" i="15"/>
  <c r="L1379" i="4"/>
  <c r="F618" i="6"/>
  <c r="L643" i="6"/>
  <c r="L1609" i="4"/>
  <c r="F193" i="6"/>
  <c r="L1788" i="6"/>
  <c r="L1975" i="6"/>
  <c r="L3307" i="4"/>
  <c r="L268" i="6"/>
  <c r="L1265" i="6"/>
  <c r="L3176" i="4"/>
  <c r="L419" i="6"/>
  <c r="L1439" i="4"/>
  <c r="L986" i="6"/>
  <c r="L3431" i="4"/>
  <c r="F530" i="6"/>
  <c r="Z105" i="15"/>
  <c r="F180" i="6"/>
  <c r="F1736" i="6"/>
  <c r="L1760" i="6"/>
  <c r="F540" i="6"/>
  <c r="L1539" i="6"/>
  <c r="L3063" i="4"/>
  <c r="F250" i="6"/>
  <c r="L1353" i="6"/>
  <c r="F57" i="6"/>
  <c r="F1484" i="6"/>
  <c r="J34" i="15"/>
  <c r="L3897" i="4"/>
  <c r="L911" i="6"/>
  <c r="L3014" i="4"/>
  <c r="L480" i="6"/>
  <c r="L3457" i="4"/>
  <c r="L1459" i="4"/>
  <c r="S314" i="2"/>
  <c r="F554" i="6"/>
  <c r="F1580" i="6"/>
  <c r="L2905" i="4"/>
  <c r="L805" i="4"/>
  <c r="S411" i="2"/>
  <c r="L2002" i="4"/>
  <c r="L2055" i="4"/>
  <c r="L3669" i="4"/>
  <c r="F321" i="6"/>
  <c r="L839" i="4"/>
  <c r="L1424" i="4"/>
  <c r="L3779" i="4"/>
  <c r="F370" i="6"/>
  <c r="L182" i="4"/>
  <c r="L1850" i="4"/>
  <c r="L3703" i="4"/>
  <c r="L1644" i="4"/>
  <c r="F772" i="6"/>
  <c r="S505" i="2"/>
  <c r="L73" i="4"/>
  <c r="L449" i="4"/>
  <c r="L2627" i="4"/>
  <c r="L3054" i="4"/>
  <c r="F785" i="6"/>
  <c r="L518" i="4"/>
  <c r="L1012" i="4"/>
  <c r="F766" i="6"/>
  <c r="L149" i="6"/>
  <c r="L3908" i="4"/>
  <c r="L749" i="4"/>
  <c r="S84" i="2"/>
  <c r="L1084" i="4"/>
  <c r="L1398" i="4"/>
  <c r="L28" i="4"/>
  <c r="L208" i="4"/>
  <c r="L3491" i="4"/>
  <c r="L2213" i="4"/>
  <c r="L2140" i="4"/>
  <c r="F353" i="6"/>
  <c r="S437" i="2"/>
  <c r="L2181" i="4"/>
  <c r="L25" i="4"/>
  <c r="L1235" i="4"/>
  <c r="L409" i="6"/>
  <c r="L1838" i="4"/>
  <c r="L492" i="6"/>
  <c r="F2122" i="6"/>
  <c r="L2524" i="4"/>
  <c r="F1664" i="6"/>
  <c r="F629" i="6"/>
  <c r="L1184" i="4"/>
  <c r="S234" i="2"/>
  <c r="N734" i="4" s="1"/>
  <c r="L1431" i="4"/>
  <c r="S47" i="2"/>
  <c r="L487" i="4"/>
  <c r="S307" i="2"/>
  <c r="S304" i="2"/>
  <c r="L2622" i="4"/>
  <c r="L2290" i="4"/>
  <c r="F1182" i="6"/>
  <c r="L656" i="4"/>
  <c r="L2319" i="4"/>
  <c r="L836" i="4"/>
  <c r="L1550" i="4"/>
  <c r="L1189" i="6"/>
  <c r="L1976" i="4"/>
  <c r="F1198" i="6"/>
  <c r="L989" i="4"/>
  <c r="F570" i="6"/>
  <c r="F809" i="6"/>
  <c r="L3477" i="4"/>
  <c r="L3835" i="4"/>
  <c r="S468" i="2"/>
  <c r="N1249" i="4" s="1"/>
  <c r="L2904" i="4"/>
  <c r="S597" i="2"/>
  <c r="S446" i="2"/>
  <c r="S255" i="2"/>
  <c r="S194" i="2"/>
  <c r="S382" i="2"/>
  <c r="L2520" i="4"/>
  <c r="L171" i="4"/>
  <c r="L1069" i="4"/>
  <c r="L2562" i="4"/>
  <c r="L1311" i="4"/>
  <c r="L3000" i="4"/>
  <c r="L183" i="4"/>
  <c r="L2186" i="4"/>
  <c r="L470" i="4"/>
  <c r="L1481" i="4"/>
  <c r="O144" i="15"/>
  <c r="L512" i="6"/>
  <c r="F1873" i="6"/>
  <c r="AO55" i="15"/>
  <c r="L201" i="4"/>
  <c r="F672" i="6"/>
  <c r="L599" i="4"/>
  <c r="L611" i="4"/>
  <c r="L609" i="4"/>
  <c r="S38" i="2"/>
  <c r="L1047" i="4"/>
  <c r="L837" i="6"/>
  <c r="L1876" i="4"/>
  <c r="L2777" i="4"/>
  <c r="F645" i="6"/>
  <c r="L1947" i="4"/>
  <c r="L693" i="6"/>
  <c r="L773" i="4"/>
  <c r="L2468" i="4"/>
  <c r="L1175" i="4"/>
  <c r="L3035" i="4"/>
  <c r="L991" i="6"/>
  <c r="F55" i="6"/>
  <c r="L3929" i="4"/>
  <c r="L3674" i="4"/>
  <c r="L675" i="4"/>
  <c r="S60" i="2"/>
  <c r="N1543" i="4" s="1"/>
  <c r="L1032" i="4"/>
  <c r="L1327" i="4"/>
  <c r="S635" i="2"/>
  <c r="L130" i="4"/>
  <c r="L3167" i="4"/>
  <c r="L2147" i="4"/>
  <c r="L2110" i="4"/>
  <c r="F178" i="6"/>
  <c r="S76" i="2"/>
  <c r="N1101" i="4" s="1"/>
  <c r="L2157" i="4"/>
  <c r="L101" i="4"/>
  <c r="L1182" i="4"/>
  <c r="F301" i="6"/>
  <c r="L1808" i="4"/>
  <c r="L400" i="6"/>
  <c r="L715" i="4"/>
  <c r="L935" i="6"/>
  <c r="L1225" i="6"/>
  <c r="F62" i="6"/>
  <c r="L196" i="6"/>
  <c r="S522" i="2"/>
  <c r="N1687" i="4" s="1"/>
  <c r="L3066" i="4"/>
  <c r="L56" i="4"/>
  <c r="S603" i="2"/>
  <c r="N483" i="4" s="1"/>
  <c r="S445" i="2"/>
  <c r="S397" i="2"/>
  <c r="L32" i="4"/>
  <c r="L2724" i="4"/>
  <c r="L54" i="4"/>
  <c r="L1216" i="4"/>
  <c r="L2699" i="4"/>
  <c r="L1436" i="4"/>
  <c r="L3162" i="4"/>
  <c r="L301" i="4"/>
  <c r="L2240" i="4"/>
  <c r="L594" i="4"/>
  <c r="L1724" i="4"/>
  <c r="L1996" i="6"/>
  <c r="L3844" i="4"/>
  <c r="L3713" i="4"/>
  <c r="L3476" i="4"/>
  <c r="L651" i="4"/>
  <c r="S48" i="2"/>
  <c r="L1007" i="4"/>
  <c r="L1277" i="4"/>
  <c r="S609" i="2"/>
  <c r="L51" i="4"/>
  <c r="L3077" i="4"/>
  <c r="L2129" i="4"/>
  <c r="L2098" i="4"/>
  <c r="F161" i="6"/>
  <c r="L164" i="4"/>
  <c r="L2145" i="4"/>
  <c r="S207" i="2"/>
  <c r="L1156" i="4"/>
  <c r="L2714" i="4"/>
  <c r="S118" i="2"/>
  <c r="F904" i="6"/>
  <c r="L1103" i="4"/>
  <c r="S535" i="2"/>
  <c r="L2155" i="4"/>
  <c r="L380" i="4"/>
  <c r="L1319" i="4"/>
  <c r="S141" i="2"/>
  <c r="L2184" i="4"/>
  <c r="L178" i="4"/>
  <c r="S559" i="2"/>
  <c r="L1280" i="4"/>
  <c r="M3917" i="4"/>
  <c r="M3665" i="4"/>
  <c r="M2854" i="4"/>
  <c r="N2502" i="4"/>
  <c r="F1289" i="4"/>
  <c r="M2949" i="4"/>
  <c r="M1835" i="4"/>
  <c r="M1555" i="4"/>
  <c r="N3634" i="4"/>
  <c r="M2617" i="4"/>
  <c r="N1744" i="4"/>
  <c r="M3587" i="4"/>
  <c r="N2934" i="4"/>
  <c r="N1937" i="4"/>
  <c r="M1816" i="4"/>
  <c r="M2970" i="4"/>
  <c r="M1863" i="4"/>
  <c r="L297" i="4"/>
  <c r="L1291" i="4"/>
  <c r="L885" i="6"/>
  <c r="L2589" i="4"/>
  <c r="F458" i="6"/>
  <c r="L1861" i="4"/>
  <c r="L824" i="6"/>
  <c r="L739" i="4"/>
  <c r="L448" i="6"/>
  <c r="L1890" i="4"/>
  <c r="F632" i="6"/>
  <c r="L2615" i="4"/>
  <c r="L188" i="4"/>
  <c r="M3290" i="4"/>
  <c r="M3798" i="4"/>
  <c r="N2691" i="4"/>
  <c r="F2039" i="4"/>
  <c r="D75" i="15"/>
  <c r="F1792" i="6"/>
  <c r="L1211" i="6"/>
  <c r="L1848" i="6"/>
  <c r="F923" i="6"/>
  <c r="L1103" i="6"/>
  <c r="L1184" i="6"/>
  <c r="L1721" i="6"/>
  <c r="L226" i="6"/>
  <c r="L2746" i="4"/>
  <c r="F753" i="6"/>
  <c r="F950" i="6"/>
  <c r="L752" i="6"/>
  <c r="L1552" i="6"/>
  <c r="L177" i="6"/>
  <c r="L1289" i="6"/>
  <c r="L192" i="6"/>
  <c r="L3466" i="4"/>
  <c r="L3171" i="4"/>
  <c r="L3621" i="4"/>
  <c r="F1799" i="6"/>
  <c r="L3028" i="4"/>
  <c r="L368" i="6"/>
  <c r="L1480" i="6"/>
  <c r="L3820" i="4"/>
  <c r="L820" i="6"/>
  <c r="L2116" i="6"/>
  <c r="E53" i="15"/>
  <c r="L3952" i="4"/>
  <c r="F934" i="6"/>
  <c r="L2960" i="4"/>
  <c r="F88" i="6"/>
  <c r="AA11" i="15"/>
  <c r="L314" i="6"/>
  <c r="L2938" i="4"/>
  <c r="F264" i="6"/>
  <c r="F1397" i="6"/>
  <c r="L3784" i="4"/>
  <c r="L724" i="6"/>
  <c r="C15" i="15"/>
  <c r="F121" i="6"/>
  <c r="L700" i="6"/>
  <c r="L2751" i="4"/>
  <c r="L5" i="6"/>
  <c r="L733" i="6"/>
  <c r="L3260" i="4"/>
  <c r="F1817" i="6"/>
  <c r="L941" i="6"/>
  <c r="L1791" i="4"/>
  <c r="F556" i="6"/>
  <c r="L2798" i="4"/>
  <c r="F232" i="6"/>
  <c r="L1619" i="4"/>
  <c r="L970" i="4"/>
  <c r="S418" i="2"/>
  <c r="N999" i="4" s="1"/>
  <c r="L2628" i="4"/>
  <c r="L3937" i="4"/>
  <c r="F703" i="6"/>
  <c r="L344" i="4"/>
  <c r="S31" i="2"/>
  <c r="L624" i="4"/>
  <c r="L1839" i="4"/>
  <c r="L2360" i="4"/>
  <c r="F770" i="6"/>
  <c r="L261" i="4"/>
  <c r="L707" i="4"/>
  <c r="L1218" i="4"/>
  <c r="L2885" i="4"/>
  <c r="F794" i="6"/>
  <c r="L1247" i="4"/>
  <c r="L133" i="6"/>
  <c r="L2605" i="4"/>
  <c r="L2958" i="4"/>
  <c r="S73" i="2"/>
  <c r="N129" i="4" s="1"/>
  <c r="L562" i="4"/>
  <c r="S359" i="2"/>
  <c r="L2403" i="4"/>
  <c r="L2612" i="4"/>
  <c r="L2348" i="4"/>
  <c r="L1698" i="4"/>
  <c r="F1330" i="6"/>
  <c r="F1306" i="6"/>
  <c r="L2864" i="4"/>
  <c r="L2833" i="4"/>
  <c r="L381" i="4"/>
  <c r="F1222" i="6"/>
  <c r="L787" i="4"/>
  <c r="L956" i="4"/>
  <c r="S295" i="2"/>
  <c r="S352" i="2"/>
  <c r="L1522" i="4"/>
  <c r="L1939" i="6"/>
  <c r="L1984" i="4"/>
  <c r="L3065" i="4"/>
  <c r="L1133" i="6"/>
  <c r="L2037" i="4"/>
  <c r="F1190" i="6"/>
  <c r="L914" i="4"/>
  <c r="L3453" i="4"/>
  <c r="L1376" i="4"/>
  <c r="L3596" i="4"/>
  <c r="L1283" i="6"/>
  <c r="F151" i="6"/>
  <c r="L75" i="6"/>
  <c r="L3890" i="4"/>
  <c r="L737" i="4"/>
  <c r="S78" i="2"/>
  <c r="N780" i="4" s="1"/>
  <c r="L1071" i="4"/>
  <c r="L1378" i="4"/>
  <c r="L15" i="4"/>
  <c r="L169" i="4"/>
  <c r="L3419" i="4"/>
  <c r="L2195" i="4"/>
  <c r="L2134" i="4"/>
  <c r="L344" i="6"/>
  <c r="S208" i="2"/>
  <c r="L2175" i="4"/>
  <c r="S529" i="2"/>
  <c r="L1222" i="4"/>
  <c r="F401" i="6"/>
  <c r="L1832" i="4"/>
  <c r="F484" i="6"/>
  <c r="L1512" i="6"/>
  <c r="L2986" i="4"/>
  <c r="L3391" i="4"/>
  <c r="L968" i="6"/>
  <c r="L1367" i="4"/>
  <c r="S306" i="2"/>
  <c r="L1735" i="4"/>
  <c r="S224" i="2"/>
  <c r="S14" i="2"/>
  <c r="N252" i="4" s="1"/>
  <c r="S562" i="2"/>
  <c r="S625" i="2"/>
  <c r="F331" i="6"/>
  <c r="L2362" i="4"/>
  <c r="G71" i="15"/>
  <c r="L792" i="4"/>
  <c r="L2385" i="4"/>
  <c r="L979" i="4"/>
  <c r="L2547" i="4"/>
  <c r="F9" i="15"/>
  <c r="L2042" i="4"/>
  <c r="R61" i="15"/>
  <c r="L1135" i="4"/>
  <c r="L3233" i="4"/>
  <c r="L2973" i="4"/>
  <c r="F407" i="6"/>
  <c r="F537" i="6"/>
  <c r="S618" i="2"/>
  <c r="L3848" i="4"/>
  <c r="L266" i="4"/>
  <c r="L160" i="4"/>
  <c r="S674" i="2"/>
  <c r="S639" i="2"/>
  <c r="L359" i="4"/>
  <c r="F87" i="6"/>
  <c r="L134" i="4"/>
  <c r="L1417" i="4"/>
  <c r="L43" i="6"/>
  <c r="L1771" i="4"/>
  <c r="L3959" i="4"/>
  <c r="L480" i="4"/>
  <c r="L2324" i="4"/>
  <c r="L847" i="4"/>
  <c r="L2649" i="4"/>
  <c r="L646" i="6"/>
  <c r="F1090" i="6"/>
  <c r="L2786" i="4"/>
  <c r="L2755" i="4"/>
  <c r="L345" i="4"/>
  <c r="F1030" i="6"/>
  <c r="L763" i="4"/>
  <c r="L891" i="4"/>
  <c r="S203" i="2"/>
  <c r="S280" i="2"/>
  <c r="L1419" i="4"/>
  <c r="L1269" i="6"/>
  <c r="L1954" i="4"/>
  <c r="L2993" i="4"/>
  <c r="L960" i="6"/>
  <c r="L2013" i="4"/>
  <c r="F998" i="6"/>
  <c r="L861" i="4"/>
  <c r="L2597" i="4"/>
  <c r="L1322" i="4"/>
  <c r="L3308" i="4"/>
  <c r="AL13" i="15"/>
  <c r="L3611" i="4"/>
  <c r="L119" i="6"/>
  <c r="DY43" i="15"/>
  <c r="L1601" i="4"/>
  <c r="S366" i="2"/>
  <c r="L2637" i="4"/>
  <c r="S368" i="2"/>
  <c r="S184" i="2"/>
  <c r="N650" i="4" s="1"/>
  <c r="L65" i="4"/>
  <c r="L335" i="4"/>
  <c r="L973" i="6"/>
  <c r="L2422" i="4"/>
  <c r="S97" i="2"/>
  <c r="L877" i="4"/>
  <c r="L2439" i="4"/>
  <c r="L1104" i="4"/>
  <c r="L2730" i="4"/>
  <c r="S50" i="2"/>
  <c r="L2096" i="4"/>
  <c r="S57" i="2"/>
  <c r="N815" i="4" s="1"/>
  <c r="L1272" i="4"/>
  <c r="L454" i="6"/>
  <c r="F986" i="6"/>
  <c r="L2720" i="4"/>
  <c r="L2689" i="4"/>
  <c r="L321" i="4"/>
  <c r="L943" i="6"/>
  <c r="L747" i="4"/>
  <c r="L838" i="4"/>
  <c r="S164" i="2"/>
  <c r="S221" i="2"/>
  <c r="L1347" i="4"/>
  <c r="L1173" i="6"/>
  <c r="L1936" i="4"/>
  <c r="L2957" i="4"/>
  <c r="L913" i="6"/>
  <c r="L2001" i="4"/>
  <c r="L903" i="6"/>
  <c r="L835" i="4"/>
  <c r="L2683" i="4"/>
  <c r="S195" i="2"/>
  <c r="L1995" i="4"/>
  <c r="F676" i="6"/>
  <c r="F1573" i="6"/>
  <c r="L2011" i="4"/>
  <c r="S461" i="2"/>
  <c r="L987" i="4"/>
  <c r="L1301" i="6"/>
  <c r="L2040" i="4"/>
  <c r="J4" i="15"/>
  <c r="L1165" i="6"/>
  <c r="L1835" i="4"/>
  <c r="M3960" i="4"/>
  <c r="N3842" i="4"/>
  <c r="N3235" i="4"/>
  <c r="M2171" i="4"/>
  <c r="M1610" i="4"/>
  <c r="N2987" i="4"/>
  <c r="M2266" i="4"/>
  <c r="M1234" i="4"/>
  <c r="M3415" i="4"/>
  <c r="N2548" i="4"/>
  <c r="M1624" i="4"/>
  <c r="M3474" i="4"/>
  <c r="N3589" i="4"/>
  <c r="F1782" i="4"/>
  <c r="DU27" i="15"/>
  <c r="F1543" i="6"/>
  <c r="F1882" i="6"/>
  <c r="L1298" i="6"/>
  <c r="L2004" i="6"/>
  <c r="H49" i="15"/>
  <c r="Y60" i="15"/>
  <c r="R80" i="15"/>
  <c r="L3778" i="4"/>
  <c r="F1749" i="6"/>
  <c r="L399" i="6"/>
  <c r="F598" i="6"/>
  <c r="F395" i="6"/>
  <c r="F838" i="6"/>
  <c r="F47" i="6"/>
  <c r="L1185" i="6"/>
  <c r="L3818" i="4"/>
  <c r="F14" i="15"/>
  <c r="L3093" i="4"/>
  <c r="L3405" i="4"/>
  <c r="L1321" i="6"/>
  <c r="L2950" i="4"/>
  <c r="F277" i="6"/>
  <c r="L939" i="6"/>
  <c r="L3604" i="4"/>
  <c r="L737" i="6"/>
  <c r="F1569" i="6"/>
  <c r="F1933" i="6"/>
  <c r="L3717" i="4"/>
  <c r="F844" i="6"/>
  <c r="L2816" i="4"/>
  <c r="F5" i="6"/>
  <c r="X40" i="15"/>
  <c r="L122" i="6"/>
  <c r="L2854" i="4"/>
  <c r="L176" i="6"/>
  <c r="L927" i="6"/>
  <c r="L3568" i="4"/>
  <c r="L641" i="6"/>
  <c r="L1648" i="6"/>
  <c r="L7" i="6"/>
  <c r="L521" i="6"/>
  <c r="S32" i="15"/>
  <c r="L3767" i="4"/>
  <c r="F651" i="6"/>
  <c r="L1713" i="4"/>
  <c r="F1338" i="6"/>
  <c r="F858" i="6"/>
  <c r="L1658" i="4"/>
  <c r="L468" i="6"/>
  <c r="L2726" i="4"/>
  <c r="F149" i="6"/>
  <c r="L1543" i="4"/>
  <c r="L817" i="4"/>
  <c r="S189" i="2"/>
  <c r="L2482" i="4"/>
  <c r="L1503" i="4"/>
  <c r="L375" i="6"/>
  <c r="L174" i="4"/>
  <c r="S541" i="2"/>
  <c r="L732" i="4"/>
  <c r="L1582" i="4"/>
  <c r="L2288" i="4"/>
  <c r="L237" i="6"/>
  <c r="L105" i="4"/>
  <c r="L475" i="4"/>
  <c r="L868" i="4"/>
  <c r="L2534" i="4"/>
  <c r="L501" i="6"/>
  <c r="L1079" i="4"/>
  <c r="L3070" i="4"/>
  <c r="L689" i="6"/>
  <c r="L2717" i="4"/>
  <c r="S59" i="2"/>
  <c r="S467" i="2"/>
  <c r="L1759" i="4"/>
  <c r="L1971" i="4"/>
  <c r="L1687" i="4"/>
  <c r="L2276" i="4"/>
  <c r="F1294" i="6"/>
  <c r="L1738" i="6"/>
  <c r="F683" i="6"/>
  <c r="U37" i="15"/>
  <c r="L2545" i="4"/>
  <c r="L237" i="4"/>
  <c r="L763" i="6"/>
  <c r="L644" i="4"/>
  <c r="L683" i="4"/>
  <c r="S33" i="2"/>
  <c r="N168" i="4" s="1"/>
  <c r="S123" i="2"/>
  <c r="L1159" i="4"/>
  <c r="F872" i="6"/>
  <c r="L1894" i="4"/>
  <c r="L2831" i="4"/>
  <c r="F803" i="6"/>
  <c r="L1965" i="4"/>
  <c r="L719" i="6"/>
  <c r="L791" i="4"/>
  <c r="L2486" i="4"/>
  <c r="L1221" i="4"/>
  <c r="L3089" i="4"/>
  <c r="L1678" i="6"/>
  <c r="L1652" i="4"/>
  <c r="L3146" i="4"/>
  <c r="L3115" i="4"/>
  <c r="L529" i="4"/>
  <c r="F94" i="15"/>
  <c r="L905" i="4"/>
  <c r="L1138" i="4"/>
  <c r="S491" i="2"/>
  <c r="S581" i="2"/>
  <c r="L2861" i="4"/>
  <c r="L2045" i="4"/>
  <c r="L2056" i="4"/>
  <c r="L3616" i="4"/>
  <c r="F2057" i="6"/>
  <c r="L2103" i="4"/>
  <c r="N42" i="15"/>
  <c r="L1054" i="4"/>
  <c r="F34" i="6"/>
  <c r="L1548" i="4"/>
  <c r="F117" i="6"/>
  <c r="F2098" i="6"/>
  <c r="L2518" i="4"/>
  <c r="F1638" i="6"/>
  <c r="L624" i="6"/>
  <c r="L1178" i="4"/>
  <c r="S228" i="2"/>
  <c r="L1418" i="4"/>
  <c r="S34" i="2"/>
  <c r="N1095" i="4" s="1"/>
  <c r="L481" i="4"/>
  <c r="S287" i="2"/>
  <c r="S278" i="2"/>
  <c r="L2579" i="4"/>
  <c r="L2284" i="4"/>
  <c r="F1134" i="6"/>
  <c r="L623" i="4"/>
  <c r="L2313" i="4"/>
  <c r="L823" i="4"/>
  <c r="L1530" i="4"/>
  <c r="L1141" i="6"/>
  <c r="L1970" i="4"/>
  <c r="F1150" i="6"/>
  <c r="L976" i="4"/>
  <c r="F1488" i="6"/>
  <c r="L1405" i="6"/>
  <c r="L79" i="6"/>
  <c r="L209" i="6"/>
  <c r="S540" i="2"/>
  <c r="N1089" i="4" s="1"/>
  <c r="L3120" i="4"/>
  <c r="L83" i="4"/>
  <c r="S629" i="2"/>
  <c r="S471" i="2"/>
  <c r="N1355" i="4" s="1"/>
  <c r="S423" i="2"/>
  <c r="N1242" i="4" s="1"/>
  <c r="L72" i="4"/>
  <c r="L3275" i="4"/>
  <c r="L185" i="4"/>
  <c r="L1237" i="4"/>
  <c r="L2723" i="4"/>
  <c r="L1456" i="4"/>
  <c r="L3198" i="4"/>
  <c r="L327" i="4"/>
  <c r="L2252" i="4"/>
  <c r="L620" i="4"/>
  <c r="L1766" i="4"/>
  <c r="AH112" i="15"/>
  <c r="F504" i="6"/>
  <c r="L1846" i="6"/>
  <c r="AN49" i="15"/>
  <c r="L189" i="4"/>
  <c r="F597" i="6"/>
  <c r="L586" i="4"/>
  <c r="L598" i="4"/>
  <c r="L570" i="4"/>
  <c r="S25" i="2"/>
  <c r="L1021" i="4"/>
  <c r="L771" i="6"/>
  <c r="L1870" i="4"/>
  <c r="L2759" i="4"/>
  <c r="L636" i="6"/>
  <c r="L1941" i="4"/>
  <c r="L627" i="6"/>
  <c r="L767" i="4"/>
  <c r="L2462" i="4"/>
  <c r="L1162" i="4"/>
  <c r="L3017" i="4"/>
  <c r="U23" i="15"/>
  <c r="L2836" i="4"/>
  <c r="L1651" i="4"/>
  <c r="F869" i="6"/>
  <c r="L1324" i="4"/>
  <c r="S288" i="2"/>
  <c r="L1636" i="4"/>
  <c r="S178" i="2"/>
  <c r="L636" i="4"/>
  <c r="S490" i="2"/>
  <c r="S553" i="2"/>
  <c r="L221" i="6"/>
  <c r="L2344" i="4"/>
  <c r="F1939" i="6"/>
  <c r="L774" i="4"/>
  <c r="L2367" i="4"/>
  <c r="L941" i="4"/>
  <c r="L1810" i="4"/>
  <c r="F1808" i="6"/>
  <c r="L2024" i="4"/>
  <c r="F2002" i="6"/>
  <c r="L1091" i="4"/>
  <c r="L1807" i="6"/>
  <c r="L416" i="6"/>
  <c r="L1558" i="6"/>
  <c r="L1971" i="6"/>
  <c r="L165" i="4"/>
  <c r="F580" i="6"/>
  <c r="L537" i="4"/>
  <c r="L559" i="4"/>
  <c r="L545" i="4"/>
  <c r="S391" i="2"/>
  <c r="L973" i="4"/>
  <c r="F680" i="6"/>
  <c r="L1858" i="4"/>
  <c r="L2613" i="4"/>
  <c r="L619" i="6"/>
  <c r="L1929" i="4"/>
  <c r="F536" i="6"/>
  <c r="L755" i="4"/>
  <c r="L1519" i="4"/>
  <c r="L282" i="4"/>
  <c r="L1081" i="4"/>
  <c r="L3197" i="4"/>
  <c r="F776" i="6"/>
  <c r="L1939" i="4"/>
  <c r="F1467" i="6"/>
  <c r="L831" i="4"/>
  <c r="F816" i="6"/>
  <c r="L1968" i="4"/>
  <c r="F1166" i="6"/>
  <c r="L413" i="6"/>
  <c r="S329" i="2"/>
  <c r="N3662" i="4"/>
  <c r="N3640" i="4"/>
  <c r="N3150" i="4"/>
  <c r="N1985" i="4"/>
  <c r="N3863" i="4"/>
  <c r="N3025" i="4"/>
  <c r="M2122" i="4"/>
  <c r="M1060" i="4"/>
  <c r="M3116" i="4"/>
  <c r="N2058" i="4"/>
  <c r="F1463" i="4"/>
  <c r="M3238" i="4"/>
  <c r="M2760" i="4"/>
  <c r="F1940" i="4"/>
  <c r="M3948" i="4"/>
  <c r="N3109" i="4"/>
  <c r="R40" i="15"/>
  <c r="L2571" i="4"/>
  <c r="L2398" i="4"/>
  <c r="L576" i="4"/>
  <c r="L728" i="4"/>
  <c r="L2531" i="4"/>
  <c r="L1271" i="4"/>
  <c r="L3436" i="4"/>
  <c r="L283" i="4"/>
  <c r="L2609" i="4"/>
  <c r="L1305" i="4"/>
  <c r="L2529" i="4"/>
  <c r="L2051" i="4"/>
  <c r="S349" i="2"/>
  <c r="M3570" i="4"/>
  <c r="N3667" i="4"/>
  <c r="M2631" i="4"/>
  <c r="U77" i="15"/>
  <c r="R27" i="15"/>
  <c r="U59" i="15"/>
  <c r="V41" i="15"/>
  <c r="P99" i="15"/>
  <c r="L1994" i="6"/>
  <c r="L1915" i="6"/>
  <c r="F2146" i="6"/>
  <c r="L3341" i="4"/>
  <c r="AI3" i="15"/>
  <c r="L3189" i="4"/>
  <c r="L1973" i="6"/>
  <c r="F89" i="6"/>
  <c r="L1484" i="4"/>
  <c r="F365" i="6"/>
  <c r="L1705" i="4"/>
  <c r="F926" i="6"/>
  <c r="F1645" i="6"/>
  <c r="F412" i="6"/>
  <c r="F184" i="6"/>
  <c r="L1437" i="6"/>
  <c r="L917" i="6"/>
  <c r="L3003" i="4"/>
  <c r="F272" i="6"/>
  <c r="L915" i="6"/>
  <c r="L3961" i="4"/>
  <c r="AN61" i="15"/>
  <c r="F435" i="6"/>
  <c r="F1242" i="6"/>
  <c r="F63" i="6"/>
  <c r="L764" i="6"/>
  <c r="L2785" i="4"/>
  <c r="F1357" i="6"/>
  <c r="L417" i="6"/>
  <c r="L892" i="6"/>
  <c r="L2913" i="4"/>
  <c r="F176" i="6"/>
  <c r="F905" i="6"/>
  <c r="L3925" i="4"/>
  <c r="K58" i="15"/>
  <c r="F1540" i="6"/>
  <c r="L3448" i="4"/>
  <c r="F652" i="6"/>
  <c r="L2732" i="4"/>
  <c r="L3728" i="4"/>
  <c r="L923" i="4"/>
  <c r="L17" i="15"/>
  <c r="F51" i="6"/>
  <c r="F875" i="6"/>
  <c r="L3427" i="4"/>
  <c r="F660" i="6"/>
  <c r="L2983" i="4"/>
  <c r="L605" i="4"/>
  <c r="S263" i="2"/>
  <c r="N486" i="4" s="1"/>
  <c r="S495" i="2"/>
  <c r="L1900" i="4"/>
  <c r="F1670" i="6"/>
  <c r="L411" i="4"/>
  <c r="L994" i="4"/>
  <c r="L1780" i="4"/>
  <c r="L3137" i="4"/>
  <c r="F1393" i="6"/>
  <c r="L1422" i="4"/>
  <c r="L232" i="6"/>
  <c r="S102" i="2"/>
  <c r="L67" i="4"/>
  <c r="L2255" i="4"/>
  <c r="L368" i="4"/>
  <c r="L1261" i="4"/>
  <c r="F576" i="6"/>
  <c r="L691" i="6"/>
  <c r="F31" i="6"/>
  <c r="L2528" i="4"/>
  <c r="L119" i="4"/>
  <c r="S81" i="2"/>
  <c r="L2849" i="4"/>
  <c r="L1827" i="4"/>
  <c r="L1396" i="4"/>
  <c r="L2204" i="4"/>
  <c r="F868" i="6"/>
  <c r="L1178" i="6"/>
  <c r="F146" i="6"/>
  <c r="F817" i="6"/>
  <c r="L1335" i="6"/>
  <c r="L81" i="4"/>
  <c r="F388" i="6"/>
  <c r="L476" i="4"/>
  <c r="L436" i="4"/>
  <c r="L433" i="4"/>
  <c r="S273" i="2"/>
  <c r="L829" i="4"/>
  <c r="F488" i="6"/>
  <c r="L1301" i="4"/>
  <c r="L1794" i="4"/>
  <c r="F436" i="6"/>
  <c r="L1893" i="4"/>
  <c r="F410" i="6"/>
  <c r="L668" i="4"/>
  <c r="L2414" i="4"/>
  <c r="L1053" i="4"/>
  <c r="L2873" i="4"/>
  <c r="L894" i="6"/>
  <c r="F1210" i="6"/>
  <c r="L2858" i="4"/>
  <c r="L2827" i="4"/>
  <c r="L375" i="4"/>
  <c r="F1174" i="6"/>
  <c r="L781" i="4"/>
  <c r="L943" i="4"/>
  <c r="S275" i="2"/>
  <c r="S339" i="2"/>
  <c r="L1506" i="4"/>
  <c r="L1834" i="6"/>
  <c r="L1972" i="4"/>
  <c r="L3047" i="4"/>
  <c r="L1085" i="6"/>
  <c r="L2031" i="4"/>
  <c r="F1142" i="6"/>
  <c r="L901" i="4"/>
  <c r="L3381" i="4"/>
  <c r="L1363" i="4"/>
  <c r="L3524" i="4"/>
  <c r="R84" i="15"/>
  <c r="F679" i="6"/>
  <c r="F560" i="6"/>
  <c r="F293" i="6"/>
  <c r="L1015" i="4"/>
  <c r="S150" i="2"/>
  <c r="L1239" i="4"/>
  <c r="L1692" i="4"/>
  <c r="L251" i="4"/>
  <c r="S58" i="2"/>
  <c r="L339" i="6"/>
  <c r="L2387" i="4"/>
  <c r="L2206" i="4"/>
  <c r="F637" i="6"/>
  <c r="L328" i="4"/>
  <c r="L2241" i="4"/>
  <c r="L315" i="4"/>
  <c r="L1357" i="4"/>
  <c r="F685" i="6"/>
  <c r="L1898" i="4"/>
  <c r="L784" i="6"/>
  <c r="L820" i="4"/>
  <c r="L491" i="6"/>
  <c r="F726" i="6"/>
  <c r="L3297" i="4"/>
  <c r="L3655" i="4"/>
  <c r="S462" i="2"/>
  <c r="L2868" i="4"/>
  <c r="S584" i="2"/>
  <c r="S433" i="2"/>
  <c r="S242" i="2"/>
  <c r="S181" i="2"/>
  <c r="N352" i="4" s="1"/>
  <c r="S356" i="2"/>
  <c r="L2513" i="4"/>
  <c r="L132" i="4"/>
  <c r="L1056" i="4"/>
  <c r="L2555" i="4"/>
  <c r="L1298" i="4"/>
  <c r="L2982" i="4"/>
  <c r="L170" i="4"/>
  <c r="L2180" i="4"/>
  <c r="L457" i="4"/>
  <c r="L1466" i="4"/>
  <c r="L369" i="6"/>
  <c r="L3860" i="4"/>
  <c r="L729" i="6"/>
  <c r="F860" i="6"/>
  <c r="L33" i="4"/>
  <c r="F288" i="6"/>
  <c r="L424" i="4"/>
  <c r="L364" i="4"/>
  <c r="L302" i="4"/>
  <c r="S142" i="2"/>
  <c r="L770" i="4"/>
  <c r="L453" i="6"/>
  <c r="L1031" i="4"/>
  <c r="L1711" i="4"/>
  <c r="F336" i="6"/>
  <c r="L1869" i="4"/>
  <c r="F318" i="6"/>
  <c r="L621" i="4"/>
  <c r="L2390" i="4"/>
  <c r="L990" i="4"/>
  <c r="L2801" i="4"/>
  <c r="L1176" i="6"/>
  <c r="L1827" i="6"/>
  <c r="F901" i="6"/>
  <c r="L541" i="6"/>
  <c r="L1142" i="4"/>
  <c r="S210" i="2"/>
  <c r="L1372" i="4"/>
  <c r="L1942" i="4"/>
  <c r="L434" i="4"/>
  <c r="S235" i="2"/>
  <c r="S173" i="2"/>
  <c r="N1670" i="4" s="1"/>
  <c r="L2501" i="4"/>
  <c r="L2260" i="4"/>
  <c r="F914" i="6"/>
  <c r="L448" i="4"/>
  <c r="L2295" i="4"/>
  <c r="L718" i="4"/>
  <c r="L1483" i="4"/>
  <c r="L997" i="6"/>
  <c r="L1952" i="4"/>
  <c r="F1006" i="6"/>
  <c r="L938" i="4"/>
  <c r="F239" i="6"/>
  <c r="L3626" i="4"/>
  <c r="L655" i="6"/>
  <c r="L785" i="6"/>
  <c r="L9" i="4"/>
  <c r="F196" i="6"/>
  <c r="L384" i="4"/>
  <c r="L317" i="4"/>
  <c r="L263" i="4"/>
  <c r="S116" i="2"/>
  <c r="N276" i="4" s="1"/>
  <c r="L723" i="4"/>
  <c r="F362" i="6"/>
  <c r="L852" i="4"/>
  <c r="L1624" i="4"/>
  <c r="H38" i="15"/>
  <c r="F971" i="6"/>
  <c r="L274" i="6"/>
  <c r="F840" i="6"/>
  <c r="F354" i="6"/>
  <c r="F1097" i="6"/>
  <c r="L31" i="6"/>
  <c r="L89" i="6"/>
  <c r="CZ3" i="15"/>
  <c r="L1742" i="6"/>
  <c r="L260" i="6"/>
  <c r="L816" i="6"/>
  <c r="L3412" i="4"/>
  <c r="L1701" i="4"/>
  <c r="F815" i="6"/>
  <c r="L1712" i="4"/>
  <c r="L405" i="4"/>
  <c r="F1286" i="6"/>
  <c r="F21" i="6"/>
  <c r="L2475" i="4"/>
  <c r="T50" i="15"/>
  <c r="L536" i="4"/>
  <c r="S511" i="2"/>
  <c r="L2062" i="4"/>
  <c r="I70" i="15"/>
  <c r="F192" i="6"/>
  <c r="L301" i="6"/>
  <c r="L1734" i="4"/>
  <c r="L2399" i="4"/>
  <c r="L2247" i="4"/>
  <c r="L1904" i="4"/>
  <c r="L276" i="6"/>
  <c r="L2669" i="4"/>
  <c r="L412" i="4"/>
  <c r="L916" i="4"/>
  <c r="S319" i="2"/>
  <c r="F374" i="6"/>
  <c r="L45" i="4"/>
  <c r="L341" i="4"/>
  <c r="L1125" i="4"/>
  <c r="F327" i="6"/>
  <c r="L2819" i="4"/>
  <c r="L3043" i="4"/>
  <c r="L1083" i="4"/>
  <c r="L1997" i="4"/>
  <c r="L2085" i="4"/>
  <c r="L1497" i="4"/>
  <c r="F639" i="6"/>
  <c r="L2832" i="4"/>
  <c r="S148" i="2"/>
  <c r="L1030" i="4"/>
  <c r="L91" i="4"/>
  <c r="F951" i="6"/>
  <c r="L459" i="4"/>
  <c r="S380" i="2"/>
  <c r="L2020" i="4"/>
  <c r="L1710" i="4"/>
  <c r="S354" i="2"/>
  <c r="L1259" i="4"/>
  <c r="F466" i="6"/>
  <c r="L1824" i="4"/>
  <c r="L1059" i="4"/>
  <c r="M3950" i="4"/>
  <c r="N2654" i="4"/>
  <c r="M2828" i="4"/>
  <c r="M3473" i="4"/>
  <c r="N3584" i="4"/>
  <c r="L3359" i="4"/>
  <c r="L1077" i="6"/>
  <c r="L75" i="4"/>
  <c r="L2293" i="4"/>
  <c r="L3024" i="4"/>
  <c r="L139" i="6"/>
  <c r="L125" i="4"/>
  <c r="S545" i="2"/>
  <c r="M3854" i="4"/>
  <c r="N3135" i="4"/>
  <c r="N1758" i="4"/>
  <c r="M3204" i="4"/>
  <c r="M2582" i="4"/>
  <c r="F1838" i="4"/>
  <c r="M3694" i="4"/>
  <c r="N2665" i="4"/>
  <c r="F1992" i="4"/>
  <c r="M1325" i="4"/>
  <c r="M2815" i="4"/>
  <c r="N2382" i="4"/>
  <c r="F1413" i="4"/>
  <c r="F795" i="6"/>
  <c r="S464" i="2"/>
  <c r="L2355" i="4"/>
  <c r="S233" i="2"/>
  <c r="L1648" i="4"/>
  <c r="L2071" i="4"/>
  <c r="L193" i="4"/>
  <c r="L1121" i="4"/>
  <c r="AN118" i="15"/>
  <c r="L2100" i="4"/>
  <c r="S245" i="2"/>
  <c r="S35" i="2"/>
  <c r="L1266" i="4"/>
  <c r="M3667" i="4"/>
  <c r="N3289" i="4"/>
  <c r="N3087" i="4"/>
  <c r="M2291" i="4"/>
  <c r="M1259" i="4"/>
  <c r="M3069" i="4"/>
  <c r="M1995" i="4"/>
  <c r="M1530" i="4"/>
  <c r="N3380" i="4"/>
  <c r="M2449" i="4"/>
  <c r="M1912" i="4"/>
  <c r="M3426" i="4"/>
  <c r="N3449" i="4"/>
  <c r="N3342" i="4"/>
  <c r="M1312" i="4"/>
  <c r="M2802" i="4"/>
  <c r="F1919" i="6"/>
  <c r="S358" i="2"/>
  <c r="L1917" i="4"/>
  <c r="L592" i="6"/>
  <c r="L1197" i="6"/>
  <c r="L1993" i="4"/>
  <c r="J119" i="15"/>
  <c r="L949" i="4"/>
  <c r="L1157" i="6"/>
  <c r="L2022" i="4"/>
  <c r="F1756" i="6"/>
  <c r="L1021" i="6"/>
  <c r="L1253" i="4"/>
  <c r="M3832" i="4"/>
  <c r="M3916" i="4"/>
  <c r="N3077" i="4"/>
  <c r="M2135" i="4"/>
  <c r="M1073" i="4"/>
  <c r="M2913" i="4"/>
  <c r="N3372" i="4"/>
  <c r="F1191" i="4"/>
  <c r="M3343" i="4"/>
  <c r="N2404" i="4"/>
  <c r="M1576" i="4"/>
  <c r="M3778" i="4"/>
  <c r="N2640" i="4"/>
  <c r="N1949" i="4"/>
  <c r="M1300" i="4"/>
  <c r="N2927" i="4"/>
  <c r="M2251" i="4"/>
  <c r="L3410" i="4"/>
  <c r="L304" i="4"/>
  <c r="L1552" i="4"/>
  <c r="L2018" i="4"/>
  <c r="L142" i="4"/>
  <c r="L2275" i="4"/>
  <c r="L673" i="4"/>
  <c r="L1742" i="4"/>
  <c r="S429" i="2"/>
  <c r="L2304" i="4"/>
  <c r="L724" i="4"/>
  <c r="L614" i="4"/>
  <c r="L880" i="4"/>
  <c r="L1303" i="4"/>
  <c r="M2843" i="4"/>
  <c r="M3094" i="4"/>
  <c r="F2029" i="4"/>
  <c r="M1913" i="4"/>
  <c r="N3492" i="4"/>
  <c r="M2546" i="4"/>
  <c r="M1670" i="4"/>
  <c r="N3379" i="4"/>
  <c r="N3255" i="4"/>
  <c r="M2394" i="4"/>
  <c r="N3917" i="4"/>
  <c r="N2772" i="4"/>
  <c r="F1851" i="4"/>
  <c r="F1288" i="4"/>
  <c r="F179" i="6"/>
  <c r="L287" i="6"/>
  <c r="L568" i="4"/>
  <c r="L796" i="4"/>
  <c r="L2688" i="4"/>
  <c r="L1375" i="4"/>
  <c r="L56" i="6"/>
  <c r="L386" i="4"/>
  <c r="L2703" i="4"/>
  <c r="L1413" i="4"/>
  <c r="L2843" i="4"/>
  <c r="L2153" i="4"/>
  <c r="L1046" i="4"/>
  <c r="M3489" i="4"/>
  <c r="M3205" i="4"/>
  <c r="M2727" i="4"/>
  <c r="M1882" i="4"/>
  <c r="N3953" i="4"/>
  <c r="N2738" i="4"/>
  <c r="N2483" i="4"/>
  <c r="N3958" i="4"/>
  <c r="M3958" i="4"/>
  <c r="M2229" i="4"/>
  <c r="F1698" i="4"/>
  <c r="M3055" i="4"/>
  <c r="F1977" i="4"/>
  <c r="M1516" i="4"/>
  <c r="M3511" i="4"/>
  <c r="M2555" i="4"/>
  <c r="M1765" i="4"/>
  <c r="S120" i="2"/>
  <c r="L2321" i="4"/>
  <c r="L1297" i="4"/>
  <c r="L1052" i="4"/>
  <c r="L3869" i="4"/>
  <c r="L1544" i="4"/>
  <c r="F283" i="6"/>
  <c r="L526" i="4"/>
  <c r="L3866" i="4"/>
  <c r="L1720" i="4"/>
  <c r="L3707" i="4"/>
  <c r="L2327" i="4"/>
  <c r="L175" i="4"/>
  <c r="M3617" i="4"/>
  <c r="N3383" i="4"/>
  <c r="N3265" i="4"/>
  <c r="N2415" i="4"/>
  <c r="M3606" i="4"/>
  <c r="N2582" i="4"/>
  <c r="F1846" i="4"/>
  <c r="M3871" i="4"/>
  <c r="N2749" i="4"/>
  <c r="N3146" i="4"/>
  <c r="M3933" i="4"/>
  <c r="N3741" i="4"/>
  <c r="M2216" i="4"/>
  <c r="L1599" i="4"/>
  <c r="L187" i="4"/>
  <c r="S171" i="2"/>
  <c r="L2561" i="4"/>
  <c r="L420" i="4"/>
  <c r="L2401" i="4"/>
  <c r="L1024" i="4"/>
  <c r="L2916" i="4"/>
  <c r="L48" i="4"/>
  <c r="L2430" i="4"/>
  <c r="L1061" i="4"/>
  <c r="L1107" i="4"/>
  <c r="L254" i="4"/>
  <c r="S146" i="2"/>
  <c r="M3095" i="4"/>
  <c r="N3725" i="4"/>
  <c r="M2415" i="4"/>
  <c r="L3628" i="4"/>
  <c r="L1264" i="4"/>
  <c r="L152" i="6"/>
  <c r="L2228" i="4"/>
  <c r="L246" i="4"/>
  <c r="L2323" i="4"/>
  <c r="L845" i="4"/>
  <c r="L2588" i="4"/>
  <c r="S547" i="2"/>
  <c r="L2352" i="4"/>
  <c r="L895" i="4"/>
  <c r="L794" i="4"/>
  <c r="S421" i="2"/>
  <c r="S493" i="2"/>
  <c r="N3897" i="4"/>
  <c r="M3046" i="4"/>
  <c r="F1965" i="4"/>
  <c r="F1693" i="4"/>
  <c r="M3141" i="4"/>
  <c r="N2413" i="4"/>
  <c r="F1488" i="4"/>
  <c r="M3799" i="4"/>
  <c r="M2665" i="4"/>
  <c r="N1792" i="4"/>
  <c r="M3286" i="4"/>
  <c r="N2844" i="4"/>
  <c r="M2026" i="4"/>
  <c r="N3891" i="4"/>
  <c r="N2723" i="4"/>
  <c r="M2357" i="4"/>
  <c r="M3703" i="4"/>
  <c r="M3357" i="4"/>
  <c r="M2037" i="4"/>
  <c r="F1659" i="4"/>
  <c r="N3063" i="4"/>
  <c r="M2285" i="4"/>
  <c r="M1253" i="4"/>
  <c r="M3926" i="4"/>
  <c r="M2444" i="4"/>
  <c r="F1872" i="4"/>
  <c r="S36" i="2"/>
  <c r="L2105" i="4"/>
  <c r="L1123" i="4"/>
  <c r="L925" i="4"/>
  <c r="L3653" i="4"/>
  <c r="L1494" i="4"/>
  <c r="F257" i="6"/>
  <c r="L484" i="4"/>
  <c r="L3650" i="4"/>
  <c r="L1541" i="4"/>
  <c r="L3203" i="4"/>
  <c r="L2279" i="4"/>
  <c r="S316" i="2"/>
  <c r="M3545" i="4"/>
  <c r="N3311" i="4"/>
  <c r="N2956" i="4"/>
  <c r="F2052" i="4"/>
  <c r="M3252" i="4"/>
  <c r="M2774" i="4"/>
  <c r="M1964" i="4"/>
  <c r="N3660" i="4"/>
  <c r="N3257" i="4"/>
  <c r="M2002" i="4"/>
  <c r="M3861" i="4"/>
  <c r="N3283" i="4"/>
  <c r="M2180" i="4"/>
  <c r="M1433" i="4"/>
  <c r="N3237" i="4"/>
  <c r="M2323" i="4"/>
  <c r="L2014" i="4"/>
  <c r="L166" i="4"/>
  <c r="N3301" i="4"/>
  <c r="M2606" i="4"/>
  <c r="M2157" i="4"/>
  <c r="F1601" i="4"/>
  <c r="M2423" i="4"/>
  <c r="M1081" i="4"/>
  <c r="M2969" i="4"/>
  <c r="N2380" i="4"/>
  <c r="N2309" i="4"/>
  <c r="M2980" i="4"/>
  <c r="N2379" i="4"/>
  <c r="F1393" i="4"/>
  <c r="N3234" i="4"/>
  <c r="M1939" i="4"/>
  <c r="N2157" i="4"/>
  <c r="M2894" i="4"/>
  <c r="N3136" i="4"/>
  <c r="M1499" i="4"/>
  <c r="M898" i="4"/>
  <c r="F2015" i="4"/>
  <c r="F2017" i="4"/>
  <c r="M901" i="4"/>
  <c r="M1387" i="4"/>
  <c r="M3255" i="4"/>
  <c r="F1517" i="4"/>
  <c r="F885" i="6"/>
  <c r="L2046" i="4"/>
  <c r="M3395" i="4"/>
  <c r="N2235" i="4"/>
  <c r="M1157" i="4"/>
  <c r="N3560" i="4"/>
  <c r="M2203" i="4"/>
  <c r="F320" i="4"/>
  <c r="N2913" i="4"/>
  <c r="M1826" i="4"/>
  <c r="F1419" i="4"/>
  <c r="N2909" i="4"/>
  <c r="N1825" i="4"/>
  <c r="M3805" i="4"/>
  <c r="N2902" i="4"/>
  <c r="N1983" i="4"/>
  <c r="N3923" i="4"/>
  <c r="N2731" i="4"/>
  <c r="M2389" i="4"/>
  <c r="M766" i="4"/>
  <c r="F510" i="4"/>
  <c r="AD143" i="15"/>
  <c r="D111" i="15"/>
  <c r="L3076" i="4"/>
  <c r="F6" i="6"/>
  <c r="F751" i="6"/>
  <c r="F1095" i="6"/>
  <c r="L755" i="6"/>
  <c r="F1034" i="6"/>
  <c r="S33" i="15"/>
  <c r="F10" i="6"/>
  <c r="F867" i="6"/>
  <c r="L3296" i="4"/>
  <c r="F696" i="6"/>
  <c r="L387" i="4"/>
  <c r="F242" i="6"/>
  <c r="L2570" i="4"/>
  <c r="L1318" i="6"/>
  <c r="L940" i="4"/>
  <c r="L664" i="4"/>
  <c r="L1516" i="4"/>
  <c r="L3598" i="4"/>
  <c r="S636" i="2"/>
  <c r="N1370" i="4" s="1"/>
  <c r="L92" i="4"/>
  <c r="L330" i="4"/>
  <c r="L117" i="6"/>
  <c r="L2681" i="4"/>
  <c r="L2539" i="4"/>
  <c r="L650" i="4"/>
  <c r="F855" i="6"/>
  <c r="L1959" i="4"/>
  <c r="L1201" i="4"/>
  <c r="F67" i="6"/>
  <c r="L1058" i="4"/>
  <c r="L3267" i="4"/>
  <c r="S155" i="2"/>
  <c r="L392" i="6"/>
  <c r="L3845" i="4"/>
  <c r="S378" i="2"/>
  <c r="N1420" i="4" s="1"/>
  <c r="L157" i="4"/>
  <c r="S365" i="2"/>
  <c r="L2766" i="4"/>
  <c r="L1295" i="4"/>
  <c r="L532" i="6"/>
  <c r="L147" i="4"/>
  <c r="F78" i="6"/>
  <c r="L1750" i="4"/>
  <c r="L834" i="4"/>
  <c r="F403" i="6"/>
  <c r="L1204" i="4"/>
  <c r="L213" i="6"/>
  <c r="S373" i="2"/>
  <c r="L601" i="6"/>
  <c r="L1677" i="4"/>
  <c r="S594" i="2"/>
  <c r="S615" i="2"/>
  <c r="S374" i="2"/>
  <c r="L1423" i="4"/>
  <c r="L924" i="6"/>
  <c r="L885" i="4"/>
  <c r="F157" i="6"/>
  <c r="L1492" i="4"/>
  <c r="L2285" i="4"/>
  <c r="M2787" i="4"/>
  <c r="N3465" i="4"/>
  <c r="N3079" i="4"/>
  <c r="N3413" i="4"/>
  <c r="M3734" i="4"/>
  <c r="L861" i="6"/>
  <c r="L1924" i="4"/>
  <c r="L1246" i="4"/>
  <c r="L2149" i="4"/>
  <c r="L2808" i="4"/>
  <c r="L3362" i="4"/>
  <c r="S265" i="2"/>
  <c r="N1520" i="4" s="1"/>
  <c r="S303" i="2"/>
  <c r="N3170" i="4"/>
  <c r="N3054" i="4"/>
  <c r="N2143" i="4"/>
  <c r="M3564" i="4"/>
  <c r="M2438" i="4"/>
  <c r="F1578" i="4"/>
  <c r="N3451" i="4"/>
  <c r="M3508" i="4"/>
  <c r="F1771" i="4"/>
  <c r="F1239" i="4"/>
  <c r="N3027" i="4"/>
  <c r="M2276" i="4"/>
  <c r="M1244" i="4"/>
  <c r="L1945" i="6"/>
  <c r="S371" i="2"/>
  <c r="N380" i="4" s="1"/>
  <c r="L1923" i="4"/>
  <c r="F659" i="6"/>
  <c r="L1245" i="6"/>
  <c r="L1999" i="4"/>
  <c r="L452" i="4"/>
  <c r="L962" i="4"/>
  <c r="L1205" i="6"/>
  <c r="L2028" i="4"/>
  <c r="F1861" i="6"/>
  <c r="L1069" i="6"/>
  <c r="L1386" i="4"/>
  <c r="M3864" i="4"/>
  <c r="M3964" i="4"/>
  <c r="N3125" i="4"/>
  <c r="M2147" i="4"/>
  <c r="M1085" i="4"/>
  <c r="M2925" i="4"/>
  <c r="M3512" i="4"/>
  <c r="M1367" i="4"/>
  <c r="M3367" i="4"/>
  <c r="N2452" i="4"/>
  <c r="M1592" i="4"/>
  <c r="M3214" i="4"/>
  <c r="M2736" i="4"/>
  <c r="M1898" i="4"/>
  <c r="F1214" i="4"/>
  <c r="N2975" i="4"/>
  <c r="L1267" i="4"/>
  <c r="S422" i="2"/>
  <c r="N208" i="4" s="1"/>
  <c r="L902" i="4"/>
  <c r="L3143" i="4"/>
  <c r="F750" i="6"/>
  <c r="L1921" i="4"/>
  <c r="F1254" i="6"/>
  <c r="L807" i="4"/>
  <c r="F724" i="6"/>
  <c r="L1950" i="4"/>
  <c r="F1022" i="6"/>
  <c r="L296" i="6"/>
  <c r="L1865" i="4"/>
  <c r="M3530" i="4"/>
  <c r="N3568" i="4"/>
  <c r="N2862" i="4"/>
  <c r="N1921" i="4"/>
  <c r="M1798" i="4"/>
  <c r="M3626" i="4"/>
  <c r="N2336" i="4"/>
  <c r="N2277" i="4"/>
  <c r="M3080" i="4"/>
  <c r="N2010" i="4"/>
  <c r="F1422" i="4"/>
  <c r="M3402" i="4"/>
  <c r="N3352" i="4"/>
  <c r="N2559" i="4"/>
  <c r="M3804" i="4"/>
  <c r="N2965" i="4"/>
  <c r="M2107" i="4"/>
  <c r="F813" i="6"/>
  <c r="L396" i="4"/>
  <c r="L198" i="4"/>
  <c r="L1467" i="4"/>
  <c r="S646" i="2"/>
  <c r="L2203" i="4"/>
  <c r="L509" i="4"/>
  <c r="L1440" i="4"/>
  <c r="S259" i="2"/>
  <c r="L2232" i="4"/>
  <c r="L440" i="4"/>
  <c r="L150" i="4"/>
  <c r="L709" i="4"/>
  <c r="L1505" i="4"/>
  <c r="N3139" i="4"/>
  <c r="M2950" i="4"/>
  <c r="F1837" i="4"/>
  <c r="F1557" i="4"/>
  <c r="N3659" i="4"/>
  <c r="M2402" i="4"/>
  <c r="F1748" i="4"/>
  <c r="M3191" i="4"/>
  <c r="M2713" i="4"/>
  <c r="F1858" i="4"/>
  <c r="M3746" i="4"/>
  <c r="N2628" i="4"/>
  <c r="F1927" i="4"/>
  <c r="R55" i="15"/>
  <c r="L1328" i="4"/>
  <c r="L2242" i="4"/>
  <c r="L1598" i="6"/>
  <c r="L654" i="4"/>
  <c r="L2485" i="4"/>
  <c r="L1213" i="4"/>
  <c r="L3168" i="4"/>
  <c r="L231" i="4"/>
  <c r="L2537" i="4"/>
  <c r="L1256" i="4"/>
  <c r="L1449" i="4"/>
  <c r="L2003" i="4"/>
  <c r="L1955" i="4"/>
  <c r="N3421" i="4"/>
  <c r="N3567" i="4"/>
  <c r="M2583" i="4"/>
  <c r="N1710" i="4"/>
  <c r="M3654" i="4"/>
  <c r="N2594" i="4"/>
  <c r="N1868" i="4"/>
  <c r="N3756" i="4"/>
  <c r="N2877" i="4"/>
  <c r="M2085" i="4"/>
  <c r="M1447" i="4"/>
  <c r="M2911" i="4"/>
  <c r="M3363" i="4"/>
  <c r="F1349" i="4"/>
  <c r="M3706" i="4"/>
  <c r="M2411" i="4"/>
  <c r="F1709" i="4"/>
  <c r="L3488" i="4"/>
  <c r="L3905" i="4"/>
  <c r="L432" i="4"/>
  <c r="L790" i="4"/>
  <c r="L2664" i="4"/>
  <c r="L1362" i="4"/>
  <c r="L3940" i="4"/>
  <c r="L373" i="4"/>
  <c r="L2687" i="4"/>
  <c r="L1400" i="4"/>
  <c r="L2825" i="4"/>
  <c r="L2135" i="4"/>
  <c r="L932" i="4"/>
  <c r="M3441" i="4"/>
  <c r="M3193" i="4"/>
  <c r="M2715" i="4"/>
  <c r="F1860" i="4"/>
  <c r="M3288" i="4"/>
  <c r="N2857" i="4"/>
  <c r="M2028" i="4"/>
  <c r="N3685" i="4"/>
  <c r="N2605" i="4"/>
  <c r="M1886" i="4"/>
  <c r="M3731" i="4"/>
  <c r="M3453" i="4"/>
  <c r="N2065" i="4"/>
  <c r="L412" i="6"/>
  <c r="L1458" i="4"/>
  <c r="F445" i="6"/>
  <c r="L2234" i="4"/>
  <c r="L259" i="4"/>
  <c r="L2329" i="4"/>
  <c r="L858" i="4"/>
  <c r="L2595" i="4"/>
  <c r="S560" i="2"/>
  <c r="L2358" i="4"/>
  <c r="L908" i="4"/>
  <c r="L800" i="4"/>
  <c r="S578" i="2"/>
  <c r="S650" i="2"/>
  <c r="M2951" i="4"/>
  <c r="M3300" i="4"/>
  <c r="N3154" i="4"/>
  <c r="L1121" i="6"/>
  <c r="S577" i="2"/>
  <c r="L1170" i="4"/>
  <c r="L1940" i="4"/>
  <c r="L89" i="4"/>
  <c r="L2251" i="4"/>
  <c r="L618" i="4"/>
  <c r="L1588" i="4"/>
  <c r="S370" i="2"/>
  <c r="L2280" i="4"/>
  <c r="L672" i="4"/>
  <c r="L505" i="4"/>
  <c r="S401" i="2"/>
  <c r="L587" i="4"/>
  <c r="N2947" i="4"/>
  <c r="M2902" i="4"/>
  <c r="N3296" i="4"/>
  <c r="M1507" i="4"/>
  <c r="M2997" i="4"/>
  <c r="M1899" i="4"/>
  <c r="N2180" i="4"/>
  <c r="M3834" i="4"/>
  <c r="M2521" i="4"/>
  <c r="N2279" i="4"/>
  <c r="M3797" i="4"/>
  <c r="M2664" i="4"/>
  <c r="N1791" i="4"/>
  <c r="N3593" i="4"/>
  <c r="N2579" i="4"/>
  <c r="N1839" i="4"/>
  <c r="N3937" i="4"/>
  <c r="N2734" i="4"/>
  <c r="N2419" i="4"/>
  <c r="M3940" i="4"/>
  <c r="N3101" i="4"/>
  <c r="M2141" i="4"/>
  <c r="M1079" i="4"/>
  <c r="N3357" i="4"/>
  <c r="N2432" i="4"/>
  <c r="F1586" i="4"/>
  <c r="L3012" i="4"/>
  <c r="L2652" i="4"/>
  <c r="L262" i="4"/>
  <c r="L766" i="4"/>
  <c r="L2603" i="4"/>
  <c r="L1320" i="4"/>
  <c r="L3724" i="4"/>
  <c r="L336" i="4"/>
  <c r="L2655" i="4"/>
  <c r="L1354" i="4"/>
  <c r="L2694" i="4"/>
  <c r="L2099" i="4"/>
  <c r="L162" i="4"/>
  <c r="N3794" i="4"/>
  <c r="M3850" i="4"/>
  <c r="M2679" i="4"/>
  <c r="N1806" i="4"/>
  <c r="M3660" i="4"/>
  <c r="M2630" i="4"/>
  <c r="N1757" i="4"/>
  <c r="M3855" i="4"/>
  <c r="N2713" i="4"/>
  <c r="M2078" i="4"/>
  <c r="M3659" i="4"/>
  <c r="N3252" i="4"/>
  <c r="N2001" i="4"/>
  <c r="N3858" i="4"/>
  <c r="N3280" i="4"/>
  <c r="M2179" i="4"/>
  <c r="L2067" i="4"/>
  <c r="F1552" i="6"/>
  <c r="N3890" i="4"/>
  <c r="M1851" i="4"/>
  <c r="N1963" i="4"/>
  <c r="N1991" i="4"/>
  <c r="M2039" i="4"/>
  <c r="M1790" i="4"/>
  <c r="M2813" i="4"/>
  <c r="M2262" i="4"/>
  <c r="M1692" i="4"/>
  <c r="M2812" i="4"/>
  <c r="M2261" i="4"/>
  <c r="N2305" i="4"/>
  <c r="M3027" i="4"/>
  <c r="N2813" i="4"/>
  <c r="M1410" i="4"/>
  <c r="M3387" i="4"/>
  <c r="N2519" i="4"/>
  <c r="M1165" i="4"/>
  <c r="F738" i="4"/>
  <c r="F835" i="4"/>
  <c r="M2114" i="4"/>
  <c r="F728" i="4"/>
  <c r="M1487" i="4"/>
  <c r="M2844" i="4"/>
  <c r="F1189" i="4"/>
  <c r="L542" i="4"/>
  <c r="L1173" i="4"/>
  <c r="M2511" i="4"/>
  <c r="M1635" i="4"/>
  <c r="F1674" i="4"/>
  <c r="N3447" i="4"/>
  <c r="F1914" i="4"/>
  <c r="M3775" i="4"/>
  <c r="N2758" i="4"/>
  <c r="F1880" i="4"/>
  <c r="N3772" i="4"/>
  <c r="N2757" i="4"/>
  <c r="F1879" i="4"/>
  <c r="M3579" i="4"/>
  <c r="N2660" i="4"/>
  <c r="N2495" i="4"/>
  <c r="N3625" i="4"/>
  <c r="N2587" i="4"/>
  <c r="M1854" i="4"/>
  <c r="M607" i="4"/>
  <c r="M3534" i="4"/>
  <c r="M823" i="4"/>
  <c r="F1049" i="4"/>
  <c r="N3147" i="4"/>
  <c r="M926" i="4"/>
  <c r="L374" i="4"/>
  <c r="L1022" i="4"/>
  <c r="N3469" i="4"/>
  <c r="N2091" i="4"/>
  <c r="M1109" i="4"/>
  <c r="M3535" i="4"/>
  <c r="F1805" i="4"/>
  <c r="N3864" i="4"/>
  <c r="N2578" i="4"/>
  <c r="F2002" i="4"/>
  <c r="M3863" i="4"/>
  <c r="N2589" i="4"/>
  <c r="F2020" i="4"/>
  <c r="M3555" i="4"/>
  <c r="N2636" i="4"/>
  <c r="M2374" i="4"/>
  <c r="N3577" i="4"/>
  <c r="N2575" i="4"/>
  <c r="F1832" i="4"/>
  <c r="M595" i="4"/>
  <c r="M3390" i="4"/>
  <c r="F1551" i="4"/>
  <c r="N1969" i="4"/>
  <c r="M3966" i="4"/>
  <c r="M737" i="4"/>
  <c r="N3674" i="4"/>
  <c r="M640" i="4"/>
  <c r="F842" i="6"/>
  <c r="F1214" i="6"/>
  <c r="M2004" i="4"/>
  <c r="M1571" i="4"/>
  <c r="M3498" i="4"/>
  <c r="N3246" i="4"/>
  <c r="M1852" i="4"/>
  <c r="N3889" i="4"/>
  <c r="N2566" i="4"/>
  <c r="N1979" i="4"/>
  <c r="N3932" i="4"/>
  <c r="N2577" i="4"/>
  <c r="M1997" i="4"/>
  <c r="N3933" i="4"/>
  <c r="N2624" i="4"/>
  <c r="F2083" i="4"/>
  <c r="M3839" i="4"/>
  <c r="N2707" i="4"/>
  <c r="M2065" i="4"/>
  <c r="M739" i="4"/>
  <c r="M333" i="4"/>
  <c r="F104" i="15"/>
  <c r="AC145" i="15"/>
  <c r="L2716" i="4"/>
  <c r="L3769" i="4"/>
  <c r="F668" i="6"/>
  <c r="G56" i="15"/>
  <c r="L672" i="6"/>
  <c r="L901" i="6"/>
  <c r="L1720" i="6"/>
  <c r="L3785" i="4"/>
  <c r="L779" i="6"/>
  <c r="L3133" i="4"/>
  <c r="L608" i="6"/>
  <c r="L285" i="4"/>
  <c r="L3215" i="4"/>
  <c r="L1500" i="4"/>
  <c r="L780" i="6"/>
  <c r="L803" i="4"/>
  <c r="L318" i="4"/>
  <c r="L1351" i="4"/>
  <c r="L657" i="6"/>
  <c r="S558" i="2"/>
  <c r="S530" i="2"/>
  <c r="L342" i="4"/>
  <c r="L3311" i="4"/>
  <c r="L2510" i="4"/>
  <c r="F1319" i="6"/>
  <c r="L416" i="4"/>
  <c r="L479" i="6"/>
  <c r="L1887" i="4"/>
  <c r="L1040" i="4"/>
  <c r="L3140" i="4"/>
  <c r="L892" i="4"/>
  <c r="L2789" i="4"/>
  <c r="L1918" i="6"/>
  <c r="L25" i="6"/>
  <c r="L2914" i="4"/>
  <c r="S300" i="2"/>
  <c r="S523" i="2"/>
  <c r="AB42" i="15"/>
  <c r="L2540" i="4"/>
  <c r="L1122" i="4"/>
  <c r="F201" i="6"/>
  <c r="S616" i="2"/>
  <c r="L3243" i="4"/>
  <c r="L1443" i="4"/>
  <c r="L607" i="4"/>
  <c r="L3731" i="4"/>
  <c r="L1019" i="4"/>
  <c r="L3113" i="4"/>
  <c r="L563" i="4"/>
  <c r="F235" i="6"/>
  <c r="L929" i="6"/>
  <c r="S516" i="2"/>
  <c r="S425" i="2"/>
  <c r="L2" i="4"/>
  <c r="F1704" i="6"/>
  <c r="L26" i="4"/>
  <c r="L243" i="4"/>
  <c r="L1147" i="4"/>
  <c r="S291" i="2"/>
  <c r="M3715" i="4"/>
  <c r="M2315" i="4"/>
  <c r="N2372" i="4"/>
  <c r="M2473" i="4"/>
  <c r="N2676" i="4"/>
  <c r="N3471" i="4"/>
  <c r="L2708" i="4"/>
  <c r="L628" i="4"/>
  <c r="L859" i="4"/>
  <c r="L2077" i="4"/>
  <c r="L1804" i="4"/>
  <c r="L2466" i="4"/>
  <c r="F222" i="6"/>
  <c r="L1113" i="4"/>
  <c r="M3023" i="4"/>
  <c r="N3759" i="4"/>
  <c r="F1477" i="4"/>
  <c r="N3865" i="4"/>
  <c r="M2011" i="4"/>
  <c r="N1828" i="4"/>
  <c r="M3227" i="4"/>
  <c r="M2749" i="4"/>
  <c r="F1922" i="4"/>
  <c r="N3903" i="4"/>
  <c r="N3065" i="4"/>
  <c r="M2132" i="4"/>
  <c r="M1070" i="4"/>
  <c r="L1279" i="4"/>
  <c r="S494" i="2"/>
  <c r="L915" i="4"/>
  <c r="L3161" i="4"/>
  <c r="F759" i="6"/>
  <c r="L1927" i="4"/>
  <c r="F1302" i="6"/>
  <c r="L813" i="4"/>
  <c r="L732" i="6"/>
  <c r="L1956" i="4"/>
  <c r="F1070" i="6"/>
  <c r="F322" i="6"/>
  <c r="L1937" i="4"/>
  <c r="M3566" i="4"/>
  <c r="N3592" i="4"/>
  <c r="N2958" i="4"/>
  <c r="M1940" i="4"/>
  <c r="M1833" i="4"/>
  <c r="N3746" i="4"/>
  <c r="N2348" i="4"/>
  <c r="F1207" i="4"/>
  <c r="M3092" i="4"/>
  <c r="N2026" i="4"/>
  <c r="F1438" i="4"/>
  <c r="M3585" i="4"/>
  <c r="M2592" i="4"/>
  <c r="N1719" i="4"/>
  <c r="M3852" i="4"/>
  <c r="N3013" i="4"/>
  <c r="L129" i="4"/>
  <c r="L907" i="4"/>
  <c r="F519" i="6"/>
  <c r="L2553" i="4"/>
  <c r="L383" i="6"/>
  <c r="L1849" i="4"/>
  <c r="F733" i="6"/>
  <c r="L712" i="4"/>
  <c r="F357" i="6"/>
  <c r="L1878" i="4"/>
  <c r="F615" i="6"/>
  <c r="L2543" i="4"/>
  <c r="S519" i="2"/>
  <c r="M3266" i="4"/>
  <c r="M3702" i="4"/>
  <c r="N2667" i="4"/>
  <c r="N1997" i="4"/>
  <c r="M3961" i="4"/>
  <c r="N3961" i="4"/>
  <c r="M2230" i="4"/>
  <c r="M1700" i="4"/>
  <c r="M2936" i="4"/>
  <c r="N1818" i="4"/>
  <c r="F1822" i="4"/>
  <c r="M3202" i="4"/>
  <c r="M2724" i="4"/>
  <c r="F1876" i="4"/>
  <c r="M3938" i="4"/>
  <c r="N2783" i="4"/>
  <c r="N1872" i="4"/>
  <c r="F647" i="6"/>
  <c r="L250" i="4"/>
  <c r="F244" i="6"/>
  <c r="L742" i="4"/>
  <c r="S476" i="2"/>
  <c r="L2131" i="4"/>
  <c r="L324" i="4"/>
  <c r="L1257" i="4"/>
  <c r="S82" i="2"/>
  <c r="L2160" i="4"/>
  <c r="S592" i="2"/>
  <c r="S415" i="2"/>
  <c r="L696" i="4"/>
  <c r="M3821" i="4"/>
  <c r="N3181" i="4"/>
  <c r="M2806" i="4"/>
  <c r="N2373" i="4"/>
  <c r="F1401" i="4"/>
  <c r="N3258" i="4"/>
  <c r="N2946" i="4"/>
  <c r="M1691" i="4"/>
  <c r="M3539" i="4"/>
  <c r="M2569" i="4"/>
  <c r="M1793" i="4"/>
  <c r="M3378" i="4"/>
  <c r="N3233" i="4"/>
  <c r="M2390" i="4"/>
  <c r="F95" i="6"/>
  <c r="L358" i="4"/>
  <c r="L670" i="4"/>
  <c r="L3813" i="4"/>
  <c r="L443" i="4"/>
  <c r="L2413" i="4"/>
  <c r="L1050" i="4"/>
  <c r="L2952" i="4"/>
  <c r="L74" i="4"/>
  <c r="L2442" i="4"/>
  <c r="L1088" i="4"/>
  <c r="L1146" i="4"/>
  <c r="L722" i="4"/>
  <c r="L149" i="4"/>
  <c r="M3119" i="4"/>
  <c r="N3867" i="4"/>
  <c r="M2439" i="4"/>
  <c r="N1844" i="4"/>
  <c r="M3310" i="4"/>
  <c r="N2948" i="4"/>
  <c r="F2051" i="4"/>
  <c r="M3895" i="4"/>
  <c r="N2761" i="4"/>
  <c r="M1829" i="4"/>
  <c r="N2278" i="4"/>
  <c r="N3603" i="4"/>
  <c r="N2334" i="4"/>
  <c r="N2269" i="4"/>
  <c r="M3292" i="4"/>
  <c r="N3090" i="4"/>
  <c r="F1080" i="6"/>
  <c r="L1171" i="4"/>
  <c r="L2170" i="4"/>
  <c r="F1494" i="6"/>
  <c r="L632" i="4"/>
  <c r="L2479" i="4"/>
  <c r="L1200" i="4"/>
  <c r="L3150" i="4"/>
  <c r="L218" i="4"/>
  <c r="L2508" i="4"/>
  <c r="L1242" i="4"/>
  <c r="L1406" i="4"/>
  <c r="L1991" i="4"/>
  <c r="L1883" i="4"/>
  <c r="N3397" i="4"/>
  <c r="N3543" i="4"/>
  <c r="M2571" i="4"/>
  <c r="M1797" i="4"/>
  <c r="N3801" i="4"/>
  <c r="M2666" i="4"/>
  <c r="N1793" i="4"/>
  <c r="N3331" i="4"/>
  <c r="N3036" i="4"/>
  <c r="N2072" i="4"/>
  <c r="N3869" i="4"/>
  <c r="N2748" i="4"/>
  <c r="N3082" i="4"/>
  <c r="L2811" i="4"/>
  <c r="L68" i="4"/>
  <c r="L1326" i="4"/>
  <c r="L1946" i="4"/>
  <c r="L102" i="4"/>
  <c r="L2257" i="4"/>
  <c r="L631" i="4"/>
  <c r="L1660" i="4"/>
  <c r="S383" i="2"/>
  <c r="L2286" i="4"/>
  <c r="L685" i="4"/>
  <c r="L539" i="4"/>
  <c r="S637" i="2"/>
  <c r="L748" i="4"/>
  <c r="M2807" i="4"/>
  <c r="M3058" i="4"/>
  <c r="F1981" i="4"/>
  <c r="L3515" i="4"/>
  <c r="S583" i="2"/>
  <c r="S520" i="2"/>
  <c r="L1285" i="4"/>
  <c r="S587" i="2"/>
  <c r="L2179" i="4"/>
  <c r="L442" i="4"/>
  <c r="L1381" i="4"/>
  <c r="S200" i="2"/>
  <c r="L2208" i="4"/>
  <c r="L295" i="4"/>
  <c r="L19" i="4"/>
  <c r="L1919" i="4"/>
  <c r="N3823" i="4"/>
  <c r="N2985" i="4"/>
  <c r="M3451" i="4"/>
  <c r="N3162" i="4"/>
  <c r="N2233" i="4"/>
  <c r="M2853" i="4"/>
  <c r="N2498" i="4"/>
  <c r="M1619" i="4"/>
  <c r="N3558" i="4"/>
  <c r="N3440" i="4"/>
  <c r="M1698" i="4"/>
  <c r="M3815" i="4"/>
  <c r="M2520" i="4"/>
  <c r="N2275" i="4"/>
  <c r="M3285" i="4"/>
  <c r="N2840" i="4"/>
  <c r="N2025" i="4"/>
  <c r="M3638" i="4"/>
  <c r="N2590" i="4"/>
  <c r="M1857" i="4"/>
  <c r="N3580" i="4"/>
  <c r="N2910" i="4"/>
  <c r="F1931" i="4"/>
  <c r="M1810" i="4"/>
  <c r="M3087" i="4"/>
  <c r="M2019" i="4"/>
  <c r="F1522" i="6"/>
  <c r="L983" i="4"/>
  <c r="L2086" i="4"/>
  <c r="F811" i="6"/>
  <c r="L592" i="4"/>
  <c r="L2461" i="4"/>
  <c r="L1161" i="4"/>
  <c r="L3096" i="4"/>
  <c r="L179" i="4"/>
  <c r="L2490" i="4"/>
  <c r="L1199" i="4"/>
  <c r="L1330" i="4"/>
  <c r="L2291" i="4"/>
  <c r="L1329" i="4"/>
  <c r="N3325" i="4"/>
  <c r="M3471" i="4"/>
  <c r="M2535" i="4"/>
  <c r="M2347" i="4"/>
  <c r="M3529" i="4"/>
  <c r="M2486" i="4"/>
  <c r="N2139" i="4"/>
  <c r="N3553" i="4"/>
  <c r="N2569" i="4"/>
  <c r="M1822" i="4"/>
  <c r="N3853" i="4"/>
  <c r="N2712" i="4"/>
  <c r="N2077" i="4"/>
  <c r="N3656" i="4"/>
  <c r="N3247" i="4"/>
  <c r="N2000" i="4"/>
  <c r="F593" i="6"/>
  <c r="L2484" i="4"/>
  <c r="M3851" i="4"/>
  <c r="N1920" i="4"/>
  <c r="F1475" i="4"/>
  <c r="F1367" i="4"/>
  <c r="N2486" i="4"/>
  <c r="M1481" i="4"/>
  <c r="N2971" i="4"/>
  <c r="M2106" i="4"/>
  <c r="F1595" i="4"/>
  <c r="N2967" i="4"/>
  <c r="M2105" i="4"/>
  <c r="F1690" i="4"/>
  <c r="M2871" i="4"/>
  <c r="M2320" i="4"/>
  <c r="N3922" i="4"/>
  <c r="M3690" i="4"/>
  <c r="M2211" i="4"/>
  <c r="N2201" i="4"/>
  <c r="F582" i="4"/>
  <c r="M653" i="4"/>
  <c r="M1885" i="4"/>
  <c r="F559" i="4"/>
  <c r="M1156" i="4"/>
  <c r="N3766" i="4"/>
  <c r="M951" i="4"/>
  <c r="L1677" i="6"/>
  <c r="W28" i="15"/>
  <c r="M2183" i="4"/>
  <c r="N2085" i="4"/>
  <c r="M3646" i="4"/>
  <c r="N3607" i="4"/>
  <c r="F1862" i="4"/>
  <c r="N3888" i="4"/>
  <c r="N2602" i="4"/>
  <c r="N2024" i="4"/>
  <c r="M3887" i="4"/>
  <c r="N2601" i="4"/>
  <c r="M2042" i="4"/>
  <c r="N3673" i="4"/>
  <c r="N3320" i="4"/>
  <c r="N1849" i="4"/>
  <c r="N3295" i="4"/>
  <c r="N2892" i="4"/>
  <c r="N2040" i="4"/>
  <c r="F1545" i="4"/>
  <c r="M3001" i="4"/>
  <c r="F638" i="4"/>
  <c r="F886" i="4"/>
  <c r="N2972" i="4"/>
  <c r="F753" i="4"/>
  <c r="L867" i="6"/>
  <c r="F1262" i="6"/>
  <c r="F2027" i="4"/>
  <c r="M1587" i="4"/>
  <c r="M3522" i="4"/>
  <c r="M3316" i="4"/>
  <c r="N1897" i="4"/>
  <c r="M3590" i="4"/>
  <c r="M2794" i="4"/>
  <c r="N1765" i="4"/>
  <c r="N3633" i="4"/>
  <c r="N2832" i="4"/>
  <c r="N1776" i="4"/>
  <c r="N3767" i="4"/>
  <c r="N3196" i="4"/>
  <c r="F1827" i="4"/>
  <c r="M3281" i="4"/>
  <c r="N2824" i="4"/>
  <c r="F2018" i="4"/>
  <c r="F1521" i="4"/>
  <c r="F1949" i="6"/>
  <c r="L1151" i="6"/>
  <c r="L2824" i="4"/>
  <c r="F1867" i="6"/>
  <c r="L3898" i="4"/>
  <c r="L3106" i="4"/>
  <c r="L904" i="6"/>
  <c r="L1049" i="6"/>
  <c r="L506" i="6"/>
  <c r="F14" i="6"/>
  <c r="L796" i="6"/>
  <c r="L3691" i="4"/>
  <c r="L647" i="6"/>
  <c r="L1132" i="4"/>
  <c r="L1657" i="6"/>
  <c r="L1911" i="4"/>
  <c r="L981" i="4"/>
  <c r="L1402" i="4"/>
  <c r="S302" i="2"/>
  <c r="L2838" i="4"/>
  <c r="L233" i="6"/>
  <c r="S6" i="2"/>
  <c r="S601" i="2"/>
  <c r="L3760" i="4"/>
  <c r="L1067" i="4"/>
  <c r="AK90" i="15"/>
  <c r="L1027" i="4"/>
  <c r="L264" i="4"/>
  <c r="L2212" i="4"/>
  <c r="L460" i="4"/>
  <c r="F851" i="6"/>
  <c r="L1572" i="4"/>
  <c r="S407" i="2"/>
  <c r="L1860" i="6"/>
  <c r="L2457" i="4"/>
  <c r="L2114" i="4"/>
  <c r="L3878" i="4"/>
  <c r="L304" i="6"/>
  <c r="S175" i="2"/>
  <c r="L1732" i="4"/>
  <c r="L634" i="4"/>
  <c r="F1239" i="6"/>
  <c r="L492" i="4"/>
  <c r="S439" i="2"/>
  <c r="N996" i="4" s="1"/>
  <c r="L2032" i="4"/>
  <c r="F1913" i="6"/>
  <c r="L91" i="6"/>
  <c r="L3269" i="4"/>
  <c r="S551" i="2"/>
  <c r="N1413" i="4" s="1"/>
  <c r="S297" i="2"/>
  <c r="L2519" i="4"/>
  <c r="L2168" i="4"/>
  <c r="Y65" i="15"/>
  <c r="F1840" i="6"/>
  <c r="S470" i="2"/>
  <c r="L3191" i="4"/>
  <c r="L243" i="6"/>
  <c r="L1317" i="4"/>
  <c r="L483" i="6"/>
  <c r="L752" i="4"/>
  <c r="F698" i="6"/>
  <c r="M3314" i="4"/>
  <c r="N2061" i="4"/>
  <c r="F1898" i="4"/>
  <c r="N1866" i="4"/>
  <c r="M2616" i="4"/>
  <c r="M2826" i="4"/>
  <c r="F1920" i="6"/>
  <c r="L2921" i="4"/>
  <c r="L510" i="4"/>
  <c r="L1723" i="4"/>
  <c r="L1306" i="4"/>
  <c r="L2394" i="4"/>
  <c r="L3023" i="4"/>
  <c r="L1353" i="4"/>
  <c r="M2879" i="4"/>
  <c r="M2775" i="4"/>
  <c r="N2136" i="4"/>
  <c r="M3081" i="4"/>
  <c r="M1819" i="4"/>
  <c r="M1542" i="4"/>
  <c r="N3610" i="4"/>
  <c r="M2605" i="4"/>
  <c r="N1732" i="4"/>
  <c r="M3563" i="4"/>
  <c r="N2850" i="4"/>
  <c r="F1915" i="4"/>
  <c r="M1792" i="4"/>
  <c r="L153" i="4"/>
  <c r="L933" i="4"/>
  <c r="L527" i="6"/>
  <c r="L2582" i="4"/>
  <c r="F392" i="6"/>
  <c r="L1855" i="4"/>
  <c r="L749" i="6"/>
  <c r="L726" i="4"/>
  <c r="F432" i="6"/>
  <c r="L1884" i="4"/>
  <c r="L623" i="6"/>
  <c r="L2586" i="4"/>
  <c r="L31" i="4"/>
  <c r="M3278" i="4"/>
  <c r="M3750" i="4"/>
  <c r="N2679" i="4"/>
  <c r="M2016" i="4"/>
  <c r="M346" i="4"/>
  <c r="N2891" i="4"/>
  <c r="M2242" i="4"/>
  <c r="N2325" i="4"/>
  <c r="M2948" i="4"/>
  <c r="N1834" i="4"/>
  <c r="F1903" i="4"/>
  <c r="M3377" i="4"/>
  <c r="M2448" i="4"/>
  <c r="N1908" i="4"/>
  <c r="M3962" i="4"/>
  <c r="N2795" i="4"/>
  <c r="S270" i="2"/>
  <c r="L3921" i="4"/>
  <c r="L1748" i="4"/>
  <c r="L1207" i="4"/>
  <c r="F74" i="6"/>
  <c r="L1682" i="4"/>
  <c r="L440" i="6"/>
  <c r="L564" i="4"/>
  <c r="L64" i="6"/>
  <c r="L1782" i="4"/>
  <c r="L47" i="6"/>
  <c r="L2369" i="4"/>
  <c r="L425" i="4"/>
  <c r="M3717" i="4"/>
  <c r="N3455" i="4"/>
  <c r="M3516" i="4"/>
  <c r="F1773" i="4"/>
  <c r="M3759" i="4"/>
  <c r="N2881" i="4"/>
  <c r="M2086" i="4"/>
  <c r="M1448" i="4"/>
  <c r="M3888" i="4"/>
  <c r="N2359" i="4"/>
  <c r="M1541" i="4"/>
  <c r="M3561" i="4"/>
  <c r="M2580" i="4"/>
  <c r="N1707" i="4"/>
  <c r="M3776" i="4"/>
  <c r="N2639" i="4"/>
  <c r="N1948" i="4"/>
  <c r="L467" i="6"/>
  <c r="S202" i="2"/>
  <c r="L2283" i="4"/>
  <c r="L1892" i="6"/>
  <c r="X154" i="15"/>
  <c r="L2059" i="4"/>
  <c r="L167" i="4"/>
  <c r="L1089" i="4"/>
  <c r="AR28" i="15"/>
  <c r="L2088" i="4"/>
  <c r="S160" i="2"/>
  <c r="V94" i="15"/>
  <c r="L828" i="4"/>
  <c r="M3619" i="4"/>
  <c r="N3062" i="4"/>
  <c r="N2991" i="4"/>
  <c r="M2267" i="4"/>
  <c r="M1235" i="4"/>
  <c r="M3045" i="4"/>
  <c r="M1963" i="4"/>
  <c r="M1506" i="4"/>
  <c r="N3782" i="4"/>
  <c r="M2425" i="4"/>
  <c r="M1560" i="4"/>
  <c r="M3190" i="4"/>
  <c r="M2712" i="4"/>
  <c r="M1853" i="4"/>
  <c r="F1415" i="6"/>
  <c r="L1834" i="4"/>
  <c r="F763" i="6"/>
  <c r="L2300" i="4"/>
  <c r="L286" i="4"/>
  <c r="L2341" i="4"/>
  <c r="L884" i="4"/>
  <c r="L2736" i="4"/>
  <c r="S586" i="2"/>
  <c r="L2370" i="4"/>
  <c r="L934" i="4"/>
  <c r="L842" i="4"/>
  <c r="L404" i="4"/>
  <c r="L293" i="4"/>
  <c r="M2975" i="4"/>
  <c r="M3348" i="4"/>
  <c r="N2412" i="4"/>
  <c r="M1424" i="4"/>
  <c r="N3848" i="4"/>
  <c r="M2678" i="4"/>
  <c r="N1805" i="4"/>
  <c r="N3717" i="4"/>
  <c r="N2617" i="4"/>
  <c r="M1905" i="4"/>
  <c r="M3957" i="4"/>
  <c r="M3955" i="4"/>
  <c r="M2228" i="4"/>
  <c r="M1696" i="4"/>
  <c r="M3054" i="4"/>
  <c r="M1975" i="4"/>
  <c r="L1605" i="4"/>
  <c r="L200" i="4"/>
  <c r="S243" i="2"/>
  <c r="L3741" i="4"/>
  <c r="L430" i="4"/>
  <c r="L2407" i="4"/>
  <c r="L1037" i="4"/>
  <c r="L2934" i="4"/>
  <c r="L61" i="4"/>
  <c r="L2436" i="4"/>
  <c r="L1074" i="4"/>
  <c r="L1133" i="4"/>
  <c r="L561" i="4"/>
  <c r="S460" i="2"/>
  <c r="M3107" i="4"/>
  <c r="N3789" i="4"/>
  <c r="M2427" i="4"/>
  <c r="M1408" i="4"/>
  <c r="M3843" i="4"/>
  <c r="M2522" i="4"/>
  <c r="N2283" i="4"/>
  <c r="M3167" i="4"/>
  <c r="M2689" i="4"/>
  <c r="N1816" i="4"/>
  <c r="M3682" i="4"/>
  <c r="N2604" i="4"/>
  <c r="N1885" i="4"/>
  <c r="L315" i="6"/>
  <c r="L107" i="4"/>
  <c r="S549" i="2"/>
  <c r="L1296" i="4"/>
  <c r="S607" i="2"/>
  <c r="L2185" i="4"/>
  <c r="L455" i="4"/>
  <c r="L1394" i="4"/>
  <c r="S213" i="2"/>
  <c r="L2214" i="4"/>
  <c r="L322" i="4"/>
  <c r="L59" i="4"/>
  <c r="L489" i="4"/>
  <c r="S87" i="2"/>
  <c r="N2995" i="4"/>
  <c r="M2914" i="4"/>
  <c r="N3384" i="4"/>
  <c r="L3928" i="4"/>
  <c r="S412" i="2"/>
  <c r="L2675" i="4"/>
  <c r="L567" i="4"/>
  <c r="S201" i="2"/>
  <c r="L2107" i="4"/>
  <c r="L271" i="4"/>
  <c r="L1206" i="4"/>
  <c r="S23" i="2"/>
  <c r="N326" i="4" s="1"/>
  <c r="L2136" i="4"/>
  <c r="S448" i="2"/>
  <c r="S310" i="2"/>
  <c r="N1298" i="4" s="1"/>
  <c r="L2267" i="4"/>
  <c r="N3949" i="4"/>
  <c r="N3938" i="4"/>
  <c r="N3778" i="4"/>
  <c r="M2219" i="4"/>
  <c r="F1678" i="4"/>
  <c r="N3189" i="4"/>
  <c r="M2314" i="4"/>
  <c r="M1282" i="4"/>
  <c r="M3164" i="4"/>
  <c r="N2505" i="4"/>
  <c r="N2272" i="4"/>
  <c r="M3554" i="4"/>
  <c r="N3424" i="4"/>
  <c r="F1696" i="4"/>
  <c r="N3795" i="4"/>
  <c r="M2663" i="4"/>
  <c r="N1790" i="4"/>
  <c r="M3302" i="4"/>
  <c r="N2916" i="4"/>
  <c r="N2043" i="4"/>
  <c r="M3726" i="4"/>
  <c r="N2673" i="4"/>
  <c r="F2007" i="4"/>
  <c r="M1570" i="4"/>
  <c r="M2943" i="4"/>
  <c r="M1827" i="4"/>
  <c r="F845" i="6"/>
  <c r="L17" i="4"/>
  <c r="S151" i="2"/>
  <c r="L2525" i="4"/>
  <c r="L394" i="4"/>
  <c r="L2389" i="4"/>
  <c r="L1000" i="4"/>
  <c r="L2880" i="4"/>
  <c r="L22" i="4"/>
  <c r="L2418" i="4"/>
  <c r="L1035" i="4"/>
  <c r="L1060" i="4"/>
  <c r="S591" i="2"/>
  <c r="L1913" i="4"/>
  <c r="M3071" i="4"/>
  <c r="N3613" i="4"/>
  <c r="N3637" i="4"/>
  <c r="M1726" i="4"/>
  <c r="N3442" i="4"/>
  <c r="N2920" i="4"/>
  <c r="F1642" i="4"/>
  <c r="M3275" i="4"/>
  <c r="N2800" i="4"/>
  <c r="N2008" i="4"/>
  <c r="M3550" i="4"/>
  <c r="N2568" i="4"/>
  <c r="N1821" i="4"/>
  <c r="N3851" i="4"/>
  <c r="N2711" i="4"/>
  <c r="N2076" i="4"/>
  <c r="F920" i="6"/>
  <c r="L2052" i="4"/>
  <c r="N3555" i="4"/>
  <c r="N1733" i="4"/>
  <c r="M1269" i="4"/>
  <c r="N3608" i="4"/>
  <c r="M2215" i="4"/>
  <c r="M1299" i="4"/>
  <c r="N2961" i="4"/>
  <c r="M1845" i="4"/>
  <c r="F1057" i="4"/>
  <c r="N2957" i="4"/>
  <c r="M1844" i="4"/>
  <c r="F1428" i="4"/>
  <c r="N3221" i="4"/>
  <c r="M2164" i="4"/>
  <c r="N3720" i="4"/>
  <c r="M3413" i="4"/>
  <c r="M2053" i="4"/>
  <c r="F1664" i="4"/>
  <c r="F1230" i="4"/>
  <c r="F1687" i="4"/>
  <c r="M1428" i="4"/>
  <c r="M787" i="4"/>
  <c r="F938" i="4"/>
  <c r="N2952" i="4"/>
  <c r="F786" i="4"/>
  <c r="L2449" i="4"/>
  <c r="L1281" i="4"/>
  <c r="F1717" i="4"/>
  <c r="N3708" i="4"/>
  <c r="M3602" i="4"/>
  <c r="M3388" i="4"/>
  <c r="M1916" i="4"/>
  <c r="N3678" i="4"/>
  <c r="N2836" i="4"/>
  <c r="N1777" i="4"/>
  <c r="M3673" i="4"/>
  <c r="N2908" i="4"/>
  <c r="N1788" i="4"/>
  <c r="M3394" i="4"/>
  <c r="M2708" i="4"/>
  <c r="M1678" i="4"/>
  <c r="M3818" i="4"/>
  <c r="M2671" i="4"/>
  <c r="N1798" i="4"/>
  <c r="F815" i="4"/>
  <c r="N2656" i="4"/>
  <c r="F1673" i="4"/>
  <c r="M712" i="4"/>
  <c r="N2818" i="4"/>
  <c r="F584" i="4"/>
  <c r="L2383" i="4"/>
  <c r="L1034" i="4"/>
  <c r="N2287" i="4"/>
  <c r="N1829" i="4"/>
  <c r="N3461" i="4"/>
  <c r="M2922" i="4"/>
  <c r="N2175" i="4"/>
  <c r="M3272" i="4"/>
  <c r="M2638" i="4"/>
  <c r="N2123" i="4"/>
  <c r="M3283" i="4"/>
  <c r="M2649" i="4"/>
  <c r="N2167" i="4"/>
  <c r="L513" i="6"/>
  <c r="F1914" i="6"/>
  <c r="F1717" i="6"/>
  <c r="L1190" i="4"/>
  <c r="F893" i="6"/>
  <c r="F727" i="6"/>
  <c r="L3529" i="4"/>
  <c r="L3697" i="4"/>
  <c r="L129" i="6"/>
  <c r="F738" i="6"/>
  <c r="L1664" i="4"/>
  <c r="L508" i="4"/>
  <c r="L1585" i="4"/>
  <c r="L1822" i="4"/>
  <c r="L117" i="4"/>
  <c r="F510" i="6"/>
  <c r="S321" i="2"/>
  <c r="L3740" i="4"/>
  <c r="S340" i="2"/>
  <c r="L797" i="4"/>
  <c r="L3123" i="4"/>
  <c r="L12" i="6"/>
  <c r="L23" i="4"/>
  <c r="L1457" i="4"/>
  <c r="L512" i="4"/>
  <c r="L3334" i="4"/>
  <c r="L225" i="4"/>
  <c r="S20" i="2"/>
  <c r="L1888" i="4"/>
  <c r="F711" i="6"/>
  <c r="L3071" i="4"/>
  <c r="L3872" i="4"/>
  <c r="L1365" i="4"/>
  <c r="L2183" i="4"/>
  <c r="L2169" i="4"/>
  <c r="L1826" i="4"/>
  <c r="F198" i="6"/>
  <c r="L2661" i="4"/>
  <c r="L379" i="4"/>
  <c r="L903" i="4"/>
  <c r="S214" i="2"/>
  <c r="L3225" i="4"/>
  <c r="S612" i="2"/>
  <c r="S641" i="2"/>
  <c r="L82" i="4"/>
  <c r="L3887" i="4"/>
  <c r="L2633" i="4"/>
  <c r="F210" i="6"/>
  <c r="L1518" i="4"/>
  <c r="L2345" i="4"/>
  <c r="L2223" i="4"/>
  <c r="L1880" i="4"/>
  <c r="L2889" i="4"/>
  <c r="L3560" i="4"/>
  <c r="S580" i="2"/>
  <c r="L1371" i="4"/>
  <c r="L3743" i="4"/>
  <c r="L872" i="6"/>
  <c r="F174" i="6"/>
  <c r="L603" i="4"/>
  <c r="L239" i="6"/>
  <c r="N3852" i="4"/>
  <c r="F1809" i="4"/>
  <c r="F1974" i="4"/>
  <c r="N2398" i="4"/>
  <c r="M2472" i="4"/>
  <c r="N3071" i="4"/>
  <c r="S348" i="2"/>
  <c r="F837" i="6"/>
  <c r="L338" i="4"/>
  <c r="L1434" i="4"/>
  <c r="L1134" i="4"/>
  <c r="L2322" i="4"/>
  <c r="L1241" i="4"/>
  <c r="L945" i="4"/>
  <c r="N3566" i="4"/>
  <c r="M2487" i="4"/>
  <c r="M1271" i="4"/>
  <c r="M2937" i="4"/>
  <c r="N2360" i="4"/>
  <c r="M1383" i="4"/>
  <c r="N3428" i="4"/>
  <c r="M2461" i="4"/>
  <c r="M1993" i="4"/>
  <c r="N3689" i="4"/>
  <c r="N2664" i="4"/>
  <c r="F1991" i="4"/>
  <c r="M1558" i="4"/>
  <c r="S276" i="2"/>
  <c r="L104" i="6"/>
  <c r="L1770" i="4"/>
  <c r="L1233" i="4"/>
  <c r="L99" i="6"/>
  <c r="L1702" i="4"/>
  <c r="F449" i="6"/>
  <c r="L577" i="4"/>
  <c r="F131" i="6"/>
  <c r="L1802" i="4"/>
  <c r="L147" i="6"/>
  <c r="L2381" i="4"/>
  <c r="L671" i="4"/>
  <c r="M3765" i="4"/>
  <c r="N3479" i="4"/>
  <c r="M3624" i="4"/>
  <c r="F1785" i="4"/>
  <c r="M3783" i="4"/>
  <c r="N2929" i="4"/>
  <c r="M2098" i="4"/>
  <c r="M1724" i="4"/>
  <c r="M2804" i="4"/>
  <c r="N2371" i="4"/>
  <c r="M1233" i="4"/>
  <c r="N3365" i="4"/>
  <c r="N2448" i="4"/>
  <c r="M1436" i="4"/>
  <c r="N3825" i="4"/>
  <c r="N2651" i="4"/>
  <c r="L496" i="6"/>
  <c r="F663" i="6"/>
  <c r="L730" i="4"/>
  <c r="L833" i="4"/>
  <c r="L3227" i="4"/>
  <c r="L1401" i="4"/>
  <c r="L73" i="6"/>
  <c r="L419" i="4"/>
  <c r="L2727" i="4"/>
  <c r="L1450" i="4"/>
  <c r="L2915" i="4"/>
  <c r="L2177" i="4"/>
  <c r="L1716" i="4"/>
  <c r="M3632" i="4"/>
  <c r="M3229" i="4"/>
  <c r="M2751" i="4"/>
  <c r="F1924" i="4"/>
  <c r="N3896" i="4"/>
  <c r="N2762" i="4"/>
  <c r="F1834" i="4"/>
  <c r="M354" i="4"/>
  <c r="N2935" i="4"/>
  <c r="M2253" i="4"/>
  <c r="M1221" i="4"/>
  <c r="M3859" i="4"/>
  <c r="M2436" i="4"/>
  <c r="M1815" i="4"/>
  <c r="N3399" i="4"/>
  <c r="M3345" i="4"/>
  <c r="N2543" i="4"/>
  <c r="F777" i="6"/>
  <c r="S70" i="2"/>
  <c r="L1851" i="4"/>
  <c r="F309" i="6"/>
  <c r="L1149" i="6"/>
  <c r="L1987" i="4"/>
  <c r="AE54" i="15"/>
  <c r="L936" i="4"/>
  <c r="L1109" i="6"/>
  <c r="L2016" i="4"/>
  <c r="L1651" i="6"/>
  <c r="F881" i="6"/>
  <c r="L1085" i="4"/>
  <c r="M3800" i="4"/>
  <c r="M3868" i="4"/>
  <c r="N3029" i="4"/>
  <c r="M2123" i="4"/>
  <c r="M1061" i="4"/>
  <c r="M2901" i="4"/>
  <c r="N3263" i="4"/>
  <c r="F1175" i="4"/>
  <c r="M3319" i="4"/>
  <c r="M3349" i="4"/>
  <c r="F1406" i="4"/>
  <c r="N3536" i="4"/>
  <c r="M2568" i="4"/>
  <c r="M1791" i="4"/>
  <c r="L3392" i="4"/>
  <c r="L291" i="4"/>
  <c r="L1533" i="4"/>
  <c r="L2012" i="4"/>
  <c r="L128" i="4"/>
  <c r="L2269" i="4"/>
  <c r="L660" i="4"/>
  <c r="L1722" i="4"/>
  <c r="S416" i="2"/>
  <c r="N327" i="4" s="1"/>
  <c r="L2298" i="4"/>
  <c r="L711" i="4"/>
  <c r="L588" i="4"/>
  <c r="L735" i="4"/>
  <c r="L1139" i="4"/>
  <c r="M2831" i="4"/>
  <c r="M3082" i="4"/>
  <c r="F2013" i="4"/>
  <c r="M1832" i="4"/>
  <c r="N3468" i="4"/>
  <c r="M2534" i="4"/>
  <c r="N2331" i="4"/>
  <c r="N3355" i="4"/>
  <c r="N3132" i="4"/>
  <c r="M2346" i="4"/>
  <c r="M3755" i="4"/>
  <c r="N2873" i="4"/>
  <c r="M2084" i="4"/>
  <c r="M1446" i="4"/>
  <c r="M2910" i="4"/>
  <c r="N3360" i="4"/>
  <c r="F417" i="6"/>
  <c r="L1473" i="4"/>
  <c r="L461" i="6"/>
  <c r="L2294" i="4"/>
  <c r="L272" i="4"/>
  <c r="L2335" i="4"/>
  <c r="L871" i="4"/>
  <c r="L2624" i="4"/>
  <c r="S573" i="2"/>
  <c r="L2364" i="4"/>
  <c r="L921" i="4"/>
  <c r="L818" i="4"/>
  <c r="L228" i="4"/>
  <c r="L136" i="4"/>
  <c r="M2963" i="4"/>
  <c r="M3324" i="4"/>
  <c r="N3382" i="4"/>
  <c r="F1741" i="4"/>
  <c r="N3563" i="4"/>
  <c r="N3456" i="4"/>
  <c r="F1700" i="4"/>
  <c r="M3491" i="4"/>
  <c r="M2545" i="4"/>
  <c r="M1746" i="4"/>
  <c r="M3330" i="4"/>
  <c r="N3028" i="4"/>
  <c r="F2068" i="4"/>
  <c r="F311" i="6"/>
  <c r="S589" i="2"/>
  <c r="L3686" i="4"/>
  <c r="L580" i="4"/>
  <c r="S404" i="2"/>
  <c r="L2113" i="4"/>
  <c r="L284" i="4"/>
  <c r="L1219" i="4"/>
  <c r="S43" i="2"/>
  <c r="L2142" i="4"/>
  <c r="S481" i="2"/>
  <c r="S323" i="2"/>
  <c r="L71" i="4"/>
  <c r="N3871" i="4"/>
  <c r="N3033" i="4"/>
  <c r="M3629" i="4"/>
  <c r="N2337" i="4"/>
  <c r="L3458" i="4"/>
  <c r="L12" i="4"/>
  <c r="L2139" i="4"/>
  <c r="L967" i="6"/>
  <c r="F1994" i="6"/>
  <c r="L2035" i="4"/>
  <c r="S626" i="2"/>
  <c r="L1036" i="4"/>
  <c r="L1761" i="6"/>
  <c r="L2064" i="4"/>
  <c r="S16" i="2"/>
  <c r="L1755" i="6"/>
  <c r="S532" i="2"/>
  <c r="N3790" i="4"/>
  <c r="N3736" i="4"/>
  <c r="N3899" i="4"/>
  <c r="M2068" i="4"/>
  <c r="M3841" i="4"/>
  <c r="N3232" i="4"/>
  <c r="M2170" i="4"/>
  <c r="F1111" i="4"/>
  <c r="M3020" i="4"/>
  <c r="N1930" i="4"/>
  <c r="M1141" i="4"/>
  <c r="M3163" i="4"/>
  <c r="N2501" i="4"/>
  <c r="N2268" i="4"/>
  <c r="M3780" i="4"/>
  <c r="M2519" i="4"/>
  <c r="N2271" i="4"/>
  <c r="N3833" i="4"/>
  <c r="M2674" i="4"/>
  <c r="N1801" i="4"/>
  <c r="N3467" i="4"/>
  <c r="M3540" i="4"/>
  <c r="F1779" i="4"/>
  <c r="M1333" i="4"/>
  <c r="M2799" i="4"/>
  <c r="N2366" i="4"/>
  <c r="L3609" i="4"/>
  <c r="L1225" i="4"/>
  <c r="L77" i="6"/>
  <c r="L2222" i="4"/>
  <c r="L233" i="4"/>
  <c r="L2317" i="4"/>
  <c r="L832" i="4"/>
  <c r="L2559" i="4"/>
  <c r="S527" i="2"/>
  <c r="L2346" i="4"/>
  <c r="L882" i="4"/>
  <c r="L782" i="4"/>
  <c r="S185" i="2"/>
  <c r="S257" i="2"/>
  <c r="M2927" i="4"/>
  <c r="N3214" i="4"/>
  <c r="N2802" i="4"/>
  <c r="N2328" i="4"/>
  <c r="M3129" i="4"/>
  <c r="M2075" i="4"/>
  <c r="F1476" i="4"/>
  <c r="N3754" i="4"/>
  <c r="M2653" i="4"/>
  <c r="N1780" i="4"/>
  <c r="M3274" i="4"/>
  <c r="N2796" i="4"/>
  <c r="F2004" i="4"/>
  <c r="N3545" i="4"/>
  <c r="N2567" i="4"/>
  <c r="N1820" i="4"/>
  <c r="L579" i="4"/>
  <c r="L1186" i="4"/>
  <c r="M2523" i="4"/>
  <c r="M1990" i="4"/>
  <c r="N3785" i="4"/>
  <c r="N3495" i="4"/>
  <c r="N1936" i="4"/>
  <c r="N3799" i="4"/>
  <c r="N2770" i="4"/>
  <c r="M1902" i="4"/>
  <c r="N3796" i="4"/>
  <c r="N2769" i="4"/>
  <c r="N1901" i="4"/>
  <c r="M1657" i="4"/>
  <c r="N3200" i="4"/>
  <c r="N1952" i="4"/>
  <c r="M3858" i="4"/>
  <c r="N2743" i="4"/>
  <c r="N2814" i="4"/>
  <c r="N1911" i="4"/>
  <c r="M377" i="4"/>
  <c r="M801" i="4"/>
  <c r="M1226" i="4"/>
  <c r="F1170" i="4"/>
  <c r="F768" i="4"/>
  <c r="M2304" i="4"/>
  <c r="F609" i="4"/>
  <c r="L2017" i="4"/>
  <c r="L1261" i="6"/>
  <c r="N2281" i="4"/>
  <c r="N3843" i="4"/>
  <c r="M3352" i="4"/>
  <c r="M2958" i="4"/>
  <c r="N2319" i="4"/>
  <c r="M3284" i="4"/>
  <c r="M2650" i="4"/>
  <c r="N2171" i="4"/>
  <c r="N3299" i="4"/>
  <c r="M2661" i="4"/>
  <c r="N2215" i="4"/>
  <c r="M3186" i="4"/>
  <c r="M2552" i="4"/>
  <c r="F1736" i="4"/>
  <c r="M3907" i="4"/>
  <c r="M2527" i="4"/>
  <c r="N2303" i="4"/>
  <c r="M1377" i="4"/>
  <c r="M2452" i="4"/>
  <c r="N3788" i="4"/>
  <c r="F544" i="4"/>
  <c r="M2209" i="4"/>
  <c r="M1160" i="4"/>
  <c r="L1951" i="4"/>
  <c r="F514" i="6"/>
  <c r="F1653" i="4"/>
  <c r="N3636" i="4"/>
  <c r="N3176" i="4"/>
  <c r="N2879" i="4"/>
  <c r="F1590" i="4"/>
  <c r="M3692" i="4"/>
  <c r="M2482" i="4"/>
  <c r="M1620" i="4"/>
  <c r="N3738" i="4"/>
  <c r="M2493" i="4"/>
  <c r="F1447" i="4"/>
  <c r="M3174" i="4"/>
  <c r="M2540" i="4"/>
  <c r="F1712" i="4"/>
  <c r="M3748" i="4"/>
  <c r="M2515" i="4"/>
  <c r="N2255" i="4"/>
  <c r="M1034" i="4"/>
  <c r="M2404" i="4"/>
  <c r="M1215" i="4"/>
  <c r="T146" i="15"/>
  <c r="L1441" i="6"/>
  <c r="F892" i="6"/>
  <c r="L1118" i="4"/>
  <c r="F714" i="6"/>
  <c r="L639" i="6"/>
  <c r="L3313" i="4"/>
  <c r="L3481" i="4"/>
  <c r="F12" i="6"/>
  <c r="L659" i="6"/>
  <c r="AK134" i="15"/>
  <c r="L393" i="4"/>
  <c r="F65" i="15"/>
  <c r="L1445" i="4"/>
  <c r="S654" i="2"/>
  <c r="L143" i="6"/>
  <c r="S79" i="2"/>
  <c r="L3125" i="4"/>
  <c r="S65" i="2"/>
  <c r="L532" i="4"/>
  <c r="A6" i="15"/>
  <c r="L3174" i="4"/>
  <c r="S482" i="2"/>
  <c r="L1276" i="4"/>
  <c r="L362" i="4"/>
  <c r="F527" i="6"/>
  <c r="L69" i="4"/>
  <c r="L402" i="4"/>
  <c r="L1251" i="4"/>
  <c r="F344" i="6"/>
  <c r="L2855" i="4"/>
  <c r="L3109" i="4"/>
  <c r="L1105" i="4"/>
  <c r="L2033" i="4"/>
  <c r="L2097" i="4"/>
  <c r="L1529" i="4"/>
  <c r="L1765" i="4"/>
  <c r="L1714" i="4"/>
  <c r="S605" i="2"/>
  <c r="N17" i="4" s="1"/>
  <c r="L786" i="4"/>
  <c r="L2044" i="6"/>
  <c r="F1458" i="6"/>
  <c r="S534" i="2"/>
  <c r="S458" i="2"/>
  <c r="N686" i="4" s="1"/>
  <c r="L133" i="4"/>
  <c r="L3180" i="4"/>
  <c r="L1746" i="4"/>
  <c r="L3656" i="4"/>
  <c r="L1314" i="4"/>
  <c r="L2141" i="4"/>
  <c r="L2151" i="4"/>
  <c r="L1788" i="4"/>
  <c r="L1217" i="6"/>
  <c r="L3048" i="4"/>
  <c r="S377" i="2"/>
  <c r="L1203" i="4"/>
  <c r="L3144" i="4"/>
  <c r="L1125" i="6"/>
  <c r="L3437" i="4"/>
  <c r="L454" i="4"/>
  <c r="L3041" i="4"/>
  <c r="N3472" i="4"/>
  <c r="F1988" i="4"/>
  <c r="N3406" i="4"/>
  <c r="M2289" i="4"/>
  <c r="N2544" i="4"/>
  <c r="N2926" i="4"/>
  <c r="F864" i="6"/>
  <c r="L2421" i="4"/>
  <c r="L181" i="4"/>
  <c r="L1102" i="4"/>
  <c r="L590" i="4"/>
  <c r="L2178" i="4"/>
  <c r="L960" i="4"/>
  <c r="L1925" i="4"/>
  <c r="N3334" i="4"/>
  <c r="N2936" i="4"/>
  <c r="M1097" i="4"/>
  <c r="M3891" i="4"/>
  <c r="M2254" i="4"/>
  <c r="M1222" i="4"/>
  <c r="M3391" i="4"/>
  <c r="N2500" i="4"/>
  <c r="M1608" i="4"/>
  <c r="M3450" i="4"/>
  <c r="N3505" i="4"/>
  <c r="F1770" i="4"/>
  <c r="M1324" i="4"/>
  <c r="F563" i="6"/>
  <c r="L671" i="6"/>
  <c r="L743" i="4"/>
  <c r="L846" i="4"/>
  <c r="L3293" i="4"/>
  <c r="L1414" i="4"/>
  <c r="F82" i="6"/>
  <c r="L428" i="4"/>
  <c r="L3290" i="4"/>
  <c r="L1463" i="4"/>
  <c r="L2987" i="4"/>
  <c r="L2189" i="4"/>
  <c r="L1853" i="4"/>
  <c r="M3736" i="4"/>
  <c r="M3241" i="4"/>
  <c r="M2763" i="4"/>
  <c r="M1946" i="4"/>
  <c r="N3920" i="4"/>
  <c r="N2774" i="4"/>
  <c r="N1856" i="4"/>
  <c r="M1460" i="4"/>
  <c r="N2983" i="4"/>
  <c r="M2265" i="4"/>
  <c r="M1059" i="4"/>
  <c r="M3091" i="4"/>
  <c r="F2025" i="4"/>
  <c r="M1896" i="4"/>
  <c r="N3423" i="4"/>
  <c r="L1675" i="6"/>
  <c r="L1520" i="4"/>
  <c r="L2320" i="4"/>
  <c r="L1718" i="4"/>
  <c r="L680" i="4"/>
  <c r="L2497" i="4"/>
  <c r="L1245" i="4"/>
  <c r="L3292" i="4"/>
  <c r="L257" i="4"/>
  <c r="L2573" i="4"/>
  <c r="L1282" i="4"/>
  <c r="L1540" i="4"/>
  <c r="L2027" i="4"/>
  <c r="S617" i="2"/>
  <c r="N3474" i="4"/>
  <c r="N3615" i="4"/>
  <c r="M2607" i="4"/>
  <c r="N1734" i="4"/>
  <c r="N3719" i="4"/>
  <c r="N2618" i="4"/>
  <c r="F1910" i="4"/>
  <c r="M3812" i="4"/>
  <c r="N2973" i="4"/>
  <c r="M2109" i="4"/>
  <c r="N3209" i="4"/>
  <c r="N3341" i="4"/>
  <c r="N2400" i="4"/>
  <c r="M1420" i="4"/>
  <c r="M3201" i="4"/>
  <c r="M2723" i="4"/>
  <c r="F1875" i="4"/>
  <c r="L1130" i="4"/>
  <c r="S88" i="2"/>
  <c r="L692" i="4"/>
  <c r="L2981" i="4"/>
  <c r="L741" i="6"/>
  <c r="L1915" i="4"/>
  <c r="F1206" i="6"/>
  <c r="L801" i="4"/>
  <c r="L715" i="6"/>
  <c r="L1944" i="4"/>
  <c r="F974" i="6"/>
  <c r="F205" i="6"/>
  <c r="L1758" i="4"/>
  <c r="M3506" i="4"/>
  <c r="N3544" i="4"/>
  <c r="N2811" i="4"/>
  <c r="F1899" i="4"/>
  <c r="M1774" i="4"/>
  <c r="M3440" i="4"/>
  <c r="N3098" i="4"/>
  <c r="N2229" i="4"/>
  <c r="M3068" i="4"/>
  <c r="N1994" i="4"/>
  <c r="F1737" i="4"/>
  <c r="M3777" i="4"/>
  <c r="M2424" i="4"/>
  <c r="M1404" i="4"/>
  <c r="L808" i="6"/>
  <c r="L383" i="4"/>
  <c r="L80" i="4"/>
  <c r="L1454" i="4"/>
  <c r="S633" i="2"/>
  <c r="L2197" i="4"/>
  <c r="L491" i="4"/>
  <c r="L1420" i="4"/>
  <c r="S239" i="2"/>
  <c r="L2226" i="4"/>
  <c r="L392" i="4"/>
  <c r="L124" i="4"/>
  <c r="L241" i="4"/>
  <c r="L267" i="4"/>
  <c r="N3091" i="4"/>
  <c r="M2938" i="4"/>
  <c r="F1821" i="4"/>
  <c r="M1543" i="4"/>
  <c r="N3611" i="4"/>
  <c r="M3576" i="4"/>
  <c r="F1724" i="4"/>
  <c r="M3179" i="4"/>
  <c r="M2701" i="4"/>
  <c r="N1835" i="4"/>
  <c r="N3893" i="4"/>
  <c r="N2760" i="4"/>
  <c r="M1828" i="4"/>
  <c r="N2262" i="4"/>
  <c r="M3597" i="4"/>
  <c r="N2333" i="4"/>
  <c r="L2817" i="4"/>
  <c r="L95" i="4"/>
  <c r="L1358" i="4"/>
  <c r="L2006" i="4"/>
  <c r="L115" i="4"/>
  <c r="L2263" i="4"/>
  <c r="L647" i="4"/>
  <c r="L1700" i="4"/>
  <c r="S403" i="2"/>
  <c r="L2292" i="4"/>
  <c r="L698" i="4"/>
  <c r="L575" i="4"/>
  <c r="L110" i="4"/>
  <c r="L893" i="4"/>
  <c r="M2819" i="4"/>
  <c r="M3070" i="4"/>
  <c r="F1997" i="4"/>
  <c r="M1531" i="4"/>
  <c r="M3165" i="4"/>
  <c r="N2509" i="4"/>
  <c r="N2276" i="4"/>
  <c r="N3654" i="4"/>
  <c r="M2401" i="4"/>
  <c r="F1374" i="4"/>
  <c r="M3166" i="4"/>
  <c r="M2688" i="4"/>
  <c r="N1815" i="4"/>
  <c r="L131" i="6"/>
  <c r="L287" i="4"/>
  <c r="L2205" i="4"/>
  <c r="L1578" i="6"/>
  <c r="AB8" i="15"/>
  <c r="L2041" i="4"/>
  <c r="L36" i="4"/>
  <c r="L1049" i="4"/>
  <c r="L1866" i="6"/>
  <c r="L2070" i="4"/>
  <c r="S75" i="2"/>
  <c r="F1965" i="6"/>
  <c r="L58" i="4"/>
  <c r="M3547" i="4"/>
  <c r="N3962" i="4"/>
  <c r="N2847" i="4"/>
  <c r="M2231" i="4"/>
  <c r="F118" i="6"/>
  <c r="S338" i="2"/>
  <c r="L1410" i="4"/>
  <c r="L16" i="6"/>
  <c r="L937" i="6"/>
  <c r="L1963" i="4"/>
  <c r="L1886" i="6"/>
  <c r="L883" i="4"/>
  <c r="L936" i="6"/>
  <c r="L1992" i="4"/>
  <c r="F1367" i="6"/>
  <c r="L680" i="6"/>
  <c r="L391" i="4"/>
  <c r="M3410" i="4"/>
  <c r="M3874" i="4"/>
  <c r="N2751" i="4"/>
  <c r="N3422" i="4"/>
  <c r="M3639" i="4"/>
  <c r="N3142" i="4"/>
  <c r="N1984" i="4"/>
  <c r="N2004" i="4"/>
  <c r="M2876" i="4"/>
  <c r="N2848" i="4"/>
  <c r="N2129" i="4"/>
  <c r="M3019" i="4"/>
  <c r="F1929" i="4"/>
  <c r="F1649" i="4"/>
  <c r="N3549" i="4"/>
  <c r="N3408" i="4"/>
  <c r="M1694" i="4"/>
  <c r="N3915" i="4"/>
  <c r="M2530" i="4"/>
  <c r="N2315" i="4"/>
  <c r="M3235" i="4"/>
  <c r="M2757" i="4"/>
  <c r="M1933" i="4"/>
  <c r="F1255" i="4"/>
  <c r="N2963" i="4"/>
  <c r="M2260" i="4"/>
  <c r="L1113" i="6"/>
  <c r="S544" i="2"/>
  <c r="L1157" i="4"/>
  <c r="L1934" i="4"/>
  <c r="L76" i="4"/>
  <c r="L2245" i="4"/>
  <c r="L604" i="4"/>
  <c r="L1542" i="4"/>
  <c r="S357" i="2"/>
  <c r="L2274" i="4"/>
  <c r="L659" i="4"/>
  <c r="L483" i="4"/>
  <c r="L2237" i="4"/>
  <c r="L352" i="4"/>
  <c r="M3764" i="4"/>
  <c r="M3034" i="4"/>
  <c r="F1949" i="4"/>
  <c r="M1495" i="4"/>
  <c r="M2985" i="4"/>
  <c r="M1883" i="4"/>
  <c r="N2132" i="4"/>
  <c r="M3709" i="4"/>
  <c r="M2509" i="4"/>
  <c r="N2231" i="4"/>
  <c r="M3749" i="4"/>
  <c r="M2652" i="4"/>
  <c r="N1779" i="4"/>
  <c r="M3273" i="4"/>
  <c r="M2795" i="4"/>
  <c r="F2003" i="4"/>
  <c r="L1782" i="6"/>
  <c r="R54" i="15"/>
  <c r="M2195" i="4"/>
  <c r="M1072" i="4"/>
  <c r="M3521" i="4"/>
  <c r="N3655" i="4"/>
  <c r="N1884" i="4"/>
  <c r="N3912" i="4"/>
  <c r="N2614" i="4"/>
  <c r="F2066" i="4"/>
  <c r="M3911" i="4"/>
  <c r="N2613" i="4"/>
  <c r="M2061" i="4"/>
  <c r="M3829" i="4"/>
  <c r="N2998" i="4"/>
  <c r="F2006" i="4"/>
  <c r="N3669" i="4"/>
  <c r="N2599" i="4"/>
  <c r="M1873" i="4"/>
  <c r="F936" i="4"/>
  <c r="M3762" i="4"/>
  <c r="M1009" i="4"/>
  <c r="F1360" i="4"/>
  <c r="M3184" i="4"/>
  <c r="M594" i="4"/>
  <c r="F1798" i="4"/>
  <c r="F2134" i="6"/>
  <c r="L1128" i="4"/>
  <c r="L1859" i="4"/>
  <c r="N3857" i="4"/>
  <c r="M3032" i="4"/>
  <c r="N2592" i="4"/>
  <c r="N3023" i="4"/>
  <c r="F1606" i="4"/>
  <c r="M3740" i="4"/>
  <c r="M2494" i="4"/>
  <c r="M1636" i="4"/>
  <c r="N3786" i="4"/>
  <c r="M2505" i="4"/>
  <c r="F1471" i="4"/>
  <c r="N3504" i="4"/>
  <c r="M2396" i="4"/>
  <c r="N2252" i="4"/>
  <c r="N3581" i="4"/>
  <c r="N3501" i="4"/>
  <c r="M1710" i="4"/>
  <c r="M1046" i="4"/>
  <c r="N2374" i="4"/>
  <c r="N3800" i="4"/>
  <c r="F1296" i="4"/>
  <c r="N2057" i="4"/>
  <c r="L312" i="6"/>
  <c r="L988" i="4"/>
  <c r="S434" i="2"/>
  <c r="N2137" i="4"/>
  <c r="N3706" i="4"/>
  <c r="M3878" i="4"/>
  <c r="N2771" i="4"/>
  <c r="N2216" i="4"/>
  <c r="M3513" i="4"/>
  <c r="N2536" i="4"/>
  <c r="F1448" i="4"/>
  <c r="M3573" i="4"/>
  <c r="N2841" i="4"/>
  <c r="N1879" i="4"/>
  <c r="N3480" i="4"/>
  <c r="M3504" i="4"/>
  <c r="N2204" i="4"/>
  <c r="N3534" i="4"/>
  <c r="M3353" i="4"/>
  <c r="M1686" i="4"/>
  <c r="AA27" i="15"/>
  <c r="F1837" i="6"/>
  <c r="L3111" i="4"/>
  <c r="F186" i="6"/>
  <c r="L324" i="6"/>
  <c r="L2847" i="4"/>
  <c r="F1359" i="6"/>
  <c r="F599" i="6"/>
  <c r="L617" i="6"/>
  <c r="L3284" i="4"/>
  <c r="F473" i="6"/>
  <c r="L1226" i="6"/>
  <c r="F494" i="6"/>
  <c r="S17" i="2"/>
  <c r="L515" i="4"/>
  <c r="L1092" i="4"/>
  <c r="AK21" i="15"/>
  <c r="L3129" i="4"/>
  <c r="F523" i="6"/>
  <c r="L2132" i="4"/>
  <c r="L489" i="6"/>
  <c r="L305" i="4"/>
  <c r="L465" i="4"/>
  <c r="F69" i="6"/>
  <c r="L2342" i="4"/>
  <c r="F600" i="6"/>
  <c r="F755" i="6"/>
  <c r="S110" i="2"/>
  <c r="L2813" i="4"/>
  <c r="L785" i="4"/>
  <c r="L1279" i="6"/>
  <c r="L689" i="4"/>
  <c r="S668" i="2"/>
  <c r="L2128" i="4"/>
  <c r="S286" i="2"/>
  <c r="L475" i="6"/>
  <c r="E56" i="15"/>
  <c r="S394" i="2"/>
  <c r="L1309" i="6"/>
  <c r="L2451" i="4"/>
  <c r="L2108" i="4"/>
  <c r="L2967" i="4"/>
  <c r="L3776" i="4"/>
  <c r="S613" i="2"/>
  <c r="L1404" i="4"/>
  <c r="L472" i="4"/>
  <c r="F1408" i="6"/>
  <c r="L959" i="4"/>
  <c r="L172" i="4"/>
  <c r="L2182" i="4"/>
  <c r="L106" i="4"/>
  <c r="L684" i="6"/>
  <c r="F324" i="6"/>
  <c r="L214" i="4"/>
  <c r="L281" i="4"/>
  <c r="L252" i="6"/>
  <c r="L595" i="4"/>
  <c r="F894" i="6"/>
  <c r="L1867" i="4"/>
  <c r="F515" i="6"/>
  <c r="L3345" i="4"/>
  <c r="M3830" i="4"/>
  <c r="M3543" i="4"/>
  <c r="M1772" i="4"/>
  <c r="F2078" i="4"/>
  <c r="N1743" i="4"/>
  <c r="M3560" i="4"/>
  <c r="S322" i="2"/>
  <c r="N250" i="4" s="1"/>
  <c r="L815" i="4"/>
  <c r="S638" i="2"/>
  <c r="L714" i="4"/>
  <c r="L126" i="4"/>
  <c r="L1818" i="4"/>
  <c r="S539" i="2"/>
  <c r="L1185" i="4"/>
  <c r="M3253" i="4"/>
  <c r="N2454" i="4"/>
  <c r="M355" i="4"/>
  <c r="N2977" i="4"/>
  <c r="N1875" i="4"/>
  <c r="M1748" i="4"/>
  <c r="M2960" i="4"/>
  <c r="N1850" i="4"/>
  <c r="F1984" i="4"/>
  <c r="M3609" i="4"/>
  <c r="M2604" i="4"/>
  <c r="N1731" i="4"/>
  <c r="F1341" i="6"/>
  <c r="L516" i="4"/>
  <c r="L1840" i="4"/>
  <c r="L217" i="6"/>
  <c r="L485" i="4"/>
  <c r="L2431" i="4"/>
  <c r="L1090" i="4"/>
  <c r="L3006" i="4"/>
  <c r="L113" i="4"/>
  <c r="L2460" i="4"/>
  <c r="L1127" i="4"/>
  <c r="L1228" i="4"/>
  <c r="L1126" i="4"/>
  <c r="L613" i="4"/>
  <c r="M3155" i="4"/>
  <c r="M3485" i="4"/>
  <c r="M2475" i="4"/>
  <c r="N2095" i="4"/>
  <c r="M3382" i="4"/>
  <c r="N3260" i="4"/>
  <c r="N2399" i="4"/>
  <c r="M3967" i="4"/>
  <c r="N2803" i="4"/>
  <c r="M1893" i="4"/>
  <c r="M1483" i="4"/>
  <c r="M2803" i="4"/>
  <c r="N2370" i="4"/>
  <c r="F1397" i="4"/>
  <c r="N3583" i="4"/>
  <c r="L2752" i="4"/>
  <c r="S139" i="2"/>
  <c r="L1624" i="6"/>
  <c r="L2366" i="4"/>
  <c r="L312" i="4"/>
  <c r="L2353" i="4"/>
  <c r="L910" i="4"/>
  <c r="L2772" i="4"/>
  <c r="S619" i="2"/>
  <c r="L2382" i="4"/>
  <c r="L961" i="4"/>
  <c r="L920" i="4"/>
  <c r="S231" i="2"/>
  <c r="L906" i="4"/>
  <c r="M2999" i="4"/>
  <c r="M3396" i="4"/>
  <c r="N2508" i="4"/>
  <c r="F1453" i="4"/>
  <c r="M3180" i="4"/>
  <c r="M2702" i="4"/>
  <c r="M1836" i="4"/>
  <c r="N3781" i="4"/>
  <c r="N2641" i="4"/>
  <c r="M1950" i="4"/>
  <c r="M1471" i="4"/>
  <c r="M2935" i="4"/>
  <c r="F1817" i="4"/>
  <c r="M1540" i="4"/>
  <c r="M3856" i="4"/>
  <c r="M2435" i="4"/>
  <c r="M1813" i="4"/>
  <c r="S198" i="2"/>
  <c r="L2465" i="4"/>
  <c r="L1455" i="4"/>
  <c r="L1078" i="4"/>
  <c r="F8" i="6"/>
  <c r="L1630" i="4"/>
  <c r="L365" i="6"/>
  <c r="L551" i="4"/>
  <c r="F48" i="6"/>
  <c r="L1760" i="4"/>
  <c r="F30" i="6"/>
  <c r="L2357" i="4"/>
  <c r="L378" i="4"/>
  <c r="M3669" i="4"/>
  <c r="N3431" i="4"/>
  <c r="M3468" i="4"/>
  <c r="F1761" i="4"/>
  <c r="M3735" i="4"/>
  <c r="M3847" i="4"/>
  <c r="N2067" i="4"/>
  <c r="M1434" i="4"/>
  <c r="M3725" i="4"/>
  <c r="N2347" i="4"/>
  <c r="M1205" i="4"/>
  <c r="M3067" i="4"/>
  <c r="F1993" i="4"/>
  <c r="M1528" i="4"/>
  <c r="F459" i="6"/>
  <c r="S176" i="2"/>
  <c r="N600" i="4" s="1"/>
  <c r="L2277" i="4"/>
  <c r="F1788" i="6"/>
  <c r="F61" i="15"/>
  <c r="L2053" i="4"/>
  <c r="L154" i="4"/>
  <c r="L1076" i="4"/>
  <c r="U4" i="15"/>
  <c r="L2082" i="4"/>
  <c r="S134" i="2"/>
  <c r="AB48" i="15"/>
  <c r="L464" i="4"/>
  <c r="M3595" i="4"/>
  <c r="F360" i="4"/>
  <c r="N2943" i="4"/>
  <c r="M2255" i="4"/>
  <c r="M1223" i="4"/>
  <c r="M3033" i="4"/>
  <c r="M1947" i="4"/>
  <c r="F1667" i="4"/>
  <c r="N3718" i="4"/>
  <c r="M2413" i="4"/>
  <c r="F1390" i="4"/>
  <c r="M3354" i="4"/>
  <c r="N3124" i="4"/>
  <c r="M2342" i="4"/>
  <c r="N3752" i="4"/>
  <c r="N2869" i="4"/>
  <c r="N2083" i="4"/>
  <c r="L319" i="6"/>
  <c r="S602" i="2"/>
  <c r="L3758" i="4"/>
  <c r="L716" i="4"/>
  <c r="S417" i="2"/>
  <c r="L2119" i="4"/>
  <c r="L298" i="4"/>
  <c r="L1230" i="4"/>
  <c r="S56" i="2"/>
  <c r="L2148" i="4"/>
  <c r="S533" i="2"/>
  <c r="S369" i="2"/>
  <c r="N1632" i="4" s="1"/>
  <c r="L504" i="4"/>
  <c r="N3919" i="4"/>
  <c r="N3081" i="4"/>
  <c r="M3761" i="4"/>
  <c r="N2349" i="4"/>
  <c r="N2329" i="4"/>
  <c r="M2877" i="4"/>
  <c r="N2864" i="4"/>
  <c r="F1143" i="4"/>
  <c r="M3044" i="4"/>
  <c r="N1962" i="4"/>
  <c r="M1505" i="4"/>
  <c r="M3650" i="4"/>
  <c r="M2400" i="4"/>
  <c r="F1744" i="4"/>
  <c r="L887" i="4"/>
  <c r="L21" i="6"/>
  <c r="L131" i="4"/>
  <c r="L2927" i="4"/>
  <c r="F584" i="6"/>
  <c r="L1897" i="4"/>
  <c r="F1062" i="6"/>
  <c r="L783" i="4"/>
  <c r="F624" i="6"/>
  <c r="L1926" i="4"/>
  <c r="F824" i="6"/>
  <c r="L29" i="6"/>
  <c r="L1211" i="4"/>
  <c r="M3434" i="4"/>
  <c r="M3898" i="4"/>
  <c r="N2763" i="4"/>
  <c r="F1835" i="4"/>
  <c r="S510" i="2"/>
  <c r="S644" i="2"/>
  <c r="L3126" i="4"/>
  <c r="L1428" i="4"/>
  <c r="F266" i="6"/>
  <c r="L1819" i="4"/>
  <c r="L632" i="6"/>
  <c r="L653" i="4"/>
  <c r="L256" i="6"/>
  <c r="L1848" i="4"/>
  <c r="L431" i="6"/>
  <c r="L2453" i="4"/>
  <c r="L1823" i="4"/>
  <c r="M3569" i="4"/>
  <c r="N3335" i="4"/>
  <c r="N3052" i="4"/>
  <c r="M2074" i="4"/>
  <c r="M3526" i="4"/>
  <c r="N3947" i="4"/>
  <c r="F1808" i="4"/>
  <c r="N3886" i="4"/>
  <c r="M3546" i="4"/>
  <c r="M2193" i="4"/>
  <c r="F1611" i="4"/>
  <c r="M3304" i="4"/>
  <c r="M2348" i="4"/>
  <c r="M1638" i="4"/>
  <c r="M3018" i="4"/>
  <c r="M1927" i="4"/>
  <c r="M1647" i="4"/>
  <c r="N3194" i="4"/>
  <c r="N2541" i="4"/>
  <c r="N2308" i="4"/>
  <c r="N3460" i="4"/>
  <c r="M2469" i="4"/>
  <c r="N2053" i="4"/>
  <c r="N3957" i="4"/>
  <c r="N2792" i="4"/>
  <c r="N1888" i="4"/>
  <c r="L3909" i="4"/>
  <c r="S399" i="2"/>
  <c r="L2667" i="4"/>
  <c r="L554" i="4"/>
  <c r="S83" i="2"/>
  <c r="L2101" i="4"/>
  <c r="L258" i="4"/>
  <c r="L1193" i="4"/>
  <c r="S10" i="2"/>
  <c r="L2130" i="4"/>
  <c r="S409" i="2"/>
  <c r="S284" i="2"/>
  <c r="N422" i="4" s="1"/>
  <c r="L1949" i="4"/>
  <c r="M3787" i="4"/>
  <c r="N2937" i="4"/>
  <c r="N3361" i="4"/>
  <c r="N2455" i="4"/>
  <c r="M1658" i="4"/>
  <c r="N3131" i="4"/>
  <c r="M2302" i="4"/>
  <c r="M1270" i="4"/>
  <c r="M3152" i="4"/>
  <c r="N2457" i="4"/>
  <c r="N2224" i="4"/>
  <c r="N3506" i="4"/>
  <c r="N3292" i="4"/>
  <c r="N2220" i="4"/>
  <c r="M3684" i="4"/>
  <c r="M2507" i="4"/>
  <c r="N2223" i="4"/>
  <c r="L2023" i="4"/>
  <c r="F1546" i="6"/>
  <c r="N2232" i="4"/>
  <c r="M3251" i="4"/>
  <c r="N2688" i="4"/>
  <c r="M2982" i="4"/>
  <c r="M1666" i="4"/>
  <c r="M3326" i="4"/>
  <c r="M2662" i="4"/>
  <c r="N2219" i="4"/>
  <c r="N3323" i="4"/>
  <c r="M2673" i="4"/>
  <c r="N2263" i="4"/>
  <c r="N3721" i="4"/>
  <c r="N3489" i="4"/>
  <c r="M1868" i="4"/>
  <c r="N3892" i="4"/>
  <c r="M2683" i="4"/>
  <c r="N1810" i="4"/>
  <c r="M619" i="4"/>
  <c r="N2704" i="4"/>
  <c r="M1725" i="4"/>
  <c r="M725" i="4"/>
  <c r="N3393" i="4"/>
  <c r="M1166" i="4"/>
  <c r="D42" i="15"/>
  <c r="L1442" i="6"/>
  <c r="L2793" i="4"/>
  <c r="L3737" i="4"/>
  <c r="L241" i="6"/>
  <c r="L2769" i="4"/>
  <c r="F1051" i="6"/>
  <c r="F433" i="6"/>
  <c r="F526" i="6"/>
  <c r="L1725" i="4"/>
  <c r="L385" i="6"/>
  <c r="L938" i="6"/>
  <c r="L415" i="6"/>
  <c r="L191" i="4"/>
  <c r="L278" i="4"/>
  <c r="L926" i="4"/>
  <c r="L981" i="6"/>
  <c r="F906" i="6"/>
  <c r="L961" i="6"/>
  <c r="L2060" i="4"/>
  <c r="F158" i="6"/>
  <c r="L135" i="4"/>
  <c r="L137" i="4"/>
  <c r="L3398" i="4"/>
  <c r="L2270" i="4"/>
  <c r="L67" i="6"/>
  <c r="L379" i="6"/>
  <c r="S260" i="2"/>
  <c r="L1772" i="4"/>
  <c r="L655" i="4"/>
  <c r="F1672" i="6"/>
  <c r="L523" i="4"/>
  <c r="S478" i="2"/>
  <c r="L2044" i="4"/>
  <c r="T15" i="15"/>
  <c r="L108" i="6"/>
  <c r="F882" i="6"/>
  <c r="S211" i="2"/>
  <c r="L313" i="6"/>
  <c r="L2379" i="4"/>
  <c r="L2036" i="4"/>
  <c r="F1380" i="6"/>
  <c r="L3084" i="4"/>
  <c r="S410" i="2"/>
  <c r="L1224" i="4"/>
  <c r="L314" i="4"/>
  <c r="F2006" i="6"/>
  <c r="L657" i="4"/>
  <c r="S622" i="2"/>
  <c r="L2104" i="4"/>
  <c r="S351" i="2"/>
  <c r="F384" i="6"/>
  <c r="L3945" i="4"/>
  <c r="L43" i="4"/>
  <c r="L6" i="4"/>
  <c r="L3830" i="4"/>
  <c r="L445" i="4"/>
  <c r="L2682" i="4"/>
  <c r="L1744" i="4"/>
  <c r="F148" i="6"/>
  <c r="L2405" i="4"/>
  <c r="N3527" i="4"/>
  <c r="M3838" i="4"/>
  <c r="M1484" i="4"/>
  <c r="M1257" i="4"/>
  <c r="M2070" i="4"/>
  <c r="M2615" i="4"/>
  <c r="L746" i="4"/>
  <c r="F226" i="6"/>
  <c r="L165" i="6"/>
  <c r="L367" i="4"/>
  <c r="S645" i="2"/>
  <c r="L1477" i="4"/>
  <c r="S107" i="2"/>
  <c r="L1871" i="4"/>
  <c r="M3533" i="4"/>
  <c r="M2303" i="4"/>
  <c r="N3815" i="4"/>
  <c r="N2786" i="4"/>
  <c r="N1951" i="4"/>
  <c r="M1472" i="4"/>
  <c r="M2816" i="4"/>
  <c r="N2383" i="4"/>
  <c r="M1245" i="4"/>
  <c r="M3425" i="4"/>
  <c r="M2460" i="4"/>
  <c r="N1989" i="4"/>
  <c r="L2758" i="4"/>
  <c r="S152" i="2"/>
  <c r="L1729" i="6"/>
  <c r="L2372" i="4"/>
  <c r="L325" i="4"/>
  <c r="L2359" i="4"/>
  <c r="L924" i="4"/>
  <c r="L2790" i="4"/>
  <c r="S632" i="2"/>
  <c r="L2388" i="4"/>
  <c r="L974" i="4"/>
  <c r="L946" i="4"/>
  <c r="S388" i="2"/>
  <c r="L1020" i="4"/>
  <c r="M3011" i="4"/>
  <c r="M3420" i="4"/>
  <c r="N2556" i="4"/>
  <c r="F1465" i="4"/>
  <c r="M3192" i="4"/>
  <c r="M2714" i="4"/>
  <c r="F1859" i="4"/>
  <c r="N3829" i="4"/>
  <c r="N2653" i="4"/>
  <c r="M1969" i="4"/>
  <c r="M1313" i="4"/>
  <c r="N2979" i="4"/>
  <c r="M2264" i="4"/>
  <c r="M1232" i="4"/>
  <c r="M3934" i="4"/>
  <c r="F325" i="6"/>
  <c r="L519" i="4"/>
  <c r="L2577" i="4"/>
  <c r="L2078" i="4"/>
  <c r="L155" i="4"/>
  <c r="L2281" i="4"/>
  <c r="L687" i="4"/>
  <c r="L1762" i="4"/>
  <c r="S442" i="2"/>
  <c r="N898" i="4" s="1"/>
  <c r="L2310" i="4"/>
  <c r="L738" i="4"/>
  <c r="L652" i="4"/>
  <c r="S133" i="2"/>
  <c r="L1425" i="4"/>
  <c r="M2855" i="4"/>
  <c r="M3106" i="4"/>
  <c r="F2045" i="4"/>
  <c r="N2007" i="4"/>
  <c r="N3516" i="4"/>
  <c r="M2558" i="4"/>
  <c r="M1771" i="4"/>
  <c r="N3403" i="4"/>
  <c r="M3361" i="4"/>
  <c r="N2806" i="4"/>
  <c r="M1301" i="4"/>
  <c r="M3883" i="4"/>
  <c r="N2358" i="4"/>
  <c r="F1381" i="4"/>
  <c r="M3340" i="4"/>
  <c r="N2396" i="4"/>
  <c r="F1574" i="4"/>
  <c r="L187" i="6"/>
  <c r="F296" i="6"/>
  <c r="L582" i="4"/>
  <c r="L814" i="4"/>
  <c r="L2712" i="4"/>
  <c r="L1388" i="4"/>
  <c r="F65" i="6"/>
  <c r="L406" i="4"/>
  <c r="L2711" i="4"/>
  <c r="L1426" i="4"/>
  <c r="L2879" i="4"/>
  <c r="L2165" i="4"/>
  <c r="L1198" i="4"/>
  <c r="M3537" i="4"/>
  <c r="M3217" i="4"/>
  <c r="M2739" i="4"/>
  <c r="M1901" i="4"/>
  <c r="N3872" i="4"/>
  <c r="N2750" i="4"/>
  <c r="N3185" i="4"/>
  <c r="F316" i="4"/>
  <c r="N2887" i="4"/>
  <c r="M2241" i="4"/>
  <c r="N2321" i="4"/>
  <c r="M2923" i="4"/>
  <c r="M3496" i="4"/>
  <c r="F1365" i="4"/>
  <c r="L772" i="6"/>
  <c r="S44" i="2"/>
  <c r="L1845" i="4"/>
  <c r="L300" i="6"/>
  <c r="L1101" i="6"/>
  <c r="L1981" i="4"/>
  <c r="A29" i="15"/>
  <c r="L922" i="4"/>
  <c r="L1061" i="6"/>
  <c r="L2010" i="4"/>
  <c r="L1546" i="6"/>
  <c r="L797" i="6"/>
  <c r="L972" i="4"/>
  <c r="N3753" i="4"/>
  <c r="M3820" i="4"/>
  <c r="N2981" i="4"/>
  <c r="M2111" i="4"/>
  <c r="M1049" i="4"/>
  <c r="M2889" i="4"/>
  <c r="N3056" i="4"/>
  <c r="M1494" i="4"/>
  <c r="M3295" i="4"/>
  <c r="N3122" i="4"/>
  <c r="F1713" i="4"/>
  <c r="M3178" i="4"/>
  <c r="M2700" i="4"/>
  <c r="M1834" i="4"/>
  <c r="M3890" i="4"/>
  <c r="N2759" i="4"/>
  <c r="N1827" i="4"/>
  <c r="F136" i="6"/>
  <c r="L300" i="4"/>
  <c r="L2211" i="4"/>
  <c r="F1683" i="6"/>
  <c r="U35" i="15"/>
  <c r="L2047" i="4"/>
  <c r="L49" i="4"/>
  <c r="L1062" i="4"/>
  <c r="F1971" i="6"/>
  <c r="L2076" i="4"/>
  <c r="S101" i="2"/>
  <c r="H22" i="15"/>
  <c r="L215" i="4"/>
  <c r="M3571" i="4"/>
  <c r="M347" i="4"/>
  <c r="N2895" i="4"/>
  <c r="M2243" i="4"/>
  <c r="F1726" i="4"/>
  <c r="M3312" i="4"/>
  <c r="M2356" i="4"/>
  <c r="N2133" i="4"/>
  <c r="M2900" i="4"/>
  <c r="N3244" i="4"/>
  <c r="M1173" i="4"/>
  <c r="N3250" i="4"/>
  <c r="N2914" i="4"/>
  <c r="N3454" i="4"/>
  <c r="S582" i="2"/>
  <c r="L242" i="4"/>
  <c r="L3599" i="4"/>
  <c r="L1600" i="4"/>
  <c r="L291" i="6"/>
  <c r="L1825" i="4"/>
  <c r="F641" i="6"/>
  <c r="L666" i="4"/>
  <c r="F323" i="6"/>
  <c r="L1854" i="4"/>
  <c r="F440" i="6"/>
  <c r="L2471" i="4"/>
  <c r="L1895" i="4"/>
  <c r="M3218" i="4"/>
  <c r="M3721" i="4"/>
  <c r="N2619" i="4"/>
  <c r="F1911" i="4"/>
  <c r="S42" i="2"/>
  <c r="L2117" i="4"/>
  <c r="L1143" i="4"/>
  <c r="L1001" i="4"/>
  <c r="L3725" i="4"/>
  <c r="L1510" i="4"/>
  <c r="L265" i="6"/>
  <c r="L497" i="4"/>
  <c r="L3722" i="4"/>
  <c r="L1618" i="4"/>
  <c r="L3347" i="4"/>
  <c r="L2303" i="4"/>
  <c r="S473" i="2"/>
  <c r="M3870" i="4"/>
  <c r="M3169" i="4"/>
  <c r="M2691" i="4"/>
  <c r="M1818" i="4"/>
  <c r="M3264" i="4"/>
  <c r="M2786" i="4"/>
  <c r="F1987" i="4"/>
  <c r="N3684" i="4"/>
  <c r="M3323" i="4"/>
  <c r="M2021" i="4"/>
  <c r="M3885" i="4"/>
  <c r="M3464" i="4"/>
  <c r="M2192" i="4"/>
  <c r="F1400" i="4"/>
  <c r="M2874" i="4"/>
  <c r="N2837" i="4"/>
  <c r="F1139" i="4"/>
  <c r="M3029" i="4"/>
  <c r="N1942" i="4"/>
  <c r="M1490" i="4"/>
  <c r="M3407" i="4"/>
  <c r="N2532" i="4"/>
  <c r="F1459" i="4"/>
  <c r="M3806" i="4"/>
  <c r="N2648" i="4"/>
  <c r="N1964" i="4"/>
  <c r="L3440" i="4"/>
  <c r="S653" i="2"/>
  <c r="L2133" i="4"/>
  <c r="L948" i="6"/>
  <c r="F1887" i="6"/>
  <c r="L2029" i="4"/>
  <c r="S109" i="2"/>
  <c r="N1680" i="4" s="1"/>
  <c r="L1023" i="4"/>
  <c r="F1657" i="6"/>
  <c r="L2058" i="4"/>
  <c r="S117" i="15"/>
  <c r="F1651" i="6"/>
  <c r="S375" i="2"/>
  <c r="N3925" i="4"/>
  <c r="N3914" i="4"/>
  <c r="N3651" i="4"/>
  <c r="M2207" i="4"/>
  <c r="M3817" i="4"/>
  <c r="N3168" i="4"/>
  <c r="M2158" i="4"/>
  <c r="M1096" i="4"/>
  <c r="M3008" i="4"/>
  <c r="N1914" i="4"/>
  <c r="M1125" i="4"/>
  <c r="M3151" i="4"/>
  <c r="N2453" i="4"/>
  <c r="F1633" i="4"/>
  <c r="N3502" i="4"/>
  <c r="N3276" i="4"/>
  <c r="AK3" i="15"/>
  <c r="L1141" i="4"/>
  <c r="L1931" i="4"/>
  <c r="M3567" i="4"/>
  <c r="M3128" i="4"/>
  <c r="M2484" i="4"/>
  <c r="N3119" i="4"/>
  <c r="F1622" i="4"/>
  <c r="M3788" i="4"/>
  <c r="M2506" i="4"/>
  <c r="M1652" i="4"/>
  <c r="M3831" i="4"/>
  <c r="M2517" i="4"/>
  <c r="F1670" i="4"/>
  <c r="M3442" i="4"/>
  <c r="M2720" i="4"/>
  <c r="F1760" i="4"/>
  <c r="M3479" i="4"/>
  <c r="M2539" i="4"/>
  <c r="N2459" i="4"/>
  <c r="F1599" i="4"/>
  <c r="M2500" i="4"/>
  <c r="N3846" i="4"/>
  <c r="M556" i="4"/>
  <c r="N2420" i="4"/>
  <c r="M939" i="4"/>
  <c r="F1180" i="4"/>
  <c r="S424" i="2"/>
  <c r="L999" i="4"/>
  <c r="N3877" i="4"/>
  <c r="N2714" i="4"/>
  <c r="N1946" i="4"/>
  <c r="F1863" i="4"/>
  <c r="M2639" i="4"/>
  <c r="M1255" i="4"/>
  <c r="M3113" i="4"/>
  <c r="N1846" i="4"/>
  <c r="M1550" i="4"/>
  <c r="M3124" i="4"/>
  <c r="F1845" i="4"/>
  <c r="F1377" i="4"/>
  <c r="M3015" i="4"/>
  <c r="N2522" i="4"/>
  <c r="N2109" i="4"/>
  <c r="M2882" i="4"/>
  <c r="N2944" i="4"/>
  <c r="N2153" i="4"/>
  <c r="F570" i="4"/>
  <c r="M1776" i="4"/>
  <c r="F1953" i="4"/>
  <c r="F715" i="4"/>
  <c r="F925" i="4"/>
  <c r="S122" i="2"/>
  <c r="N355" i="4" s="1"/>
  <c r="L857" i="4"/>
  <c r="N3726" i="4"/>
  <c r="M2829" i="4"/>
  <c r="M2641" i="4"/>
  <c r="F1806" i="4"/>
  <c r="N3533" i="4"/>
  <c r="M1243" i="4"/>
  <c r="M2945" i="4"/>
  <c r="N2356" i="4"/>
  <c r="M1185" i="4"/>
  <c r="M2944" i="4"/>
  <c r="N2355" i="4"/>
  <c r="N2209" i="4"/>
  <c r="M3003" i="4"/>
  <c r="N2474" i="4"/>
  <c r="M2038" i="4"/>
  <c r="M2870" i="4"/>
  <c r="N2805" i="4"/>
  <c r="N2105" i="4"/>
  <c r="F989" i="4"/>
  <c r="M1508" i="4"/>
  <c r="N3644" i="4"/>
  <c r="M699" i="4"/>
  <c r="F1971" i="4"/>
  <c r="F740" i="4"/>
  <c r="M1127" i="4"/>
  <c r="S13" i="2"/>
  <c r="S671" i="2"/>
  <c r="N406" i="4" s="1"/>
  <c r="M3047" i="4"/>
  <c r="N2666" i="4"/>
  <c r="N1882" i="4"/>
  <c r="M1654" i="4"/>
  <c r="M1959" i="4"/>
  <c r="N2830" i="4"/>
  <c r="M2933" i="4"/>
  <c r="N2344" i="4"/>
  <c r="M1169" i="4"/>
  <c r="M2932" i="4"/>
  <c r="N2343" i="4"/>
  <c r="N2161" i="4"/>
  <c r="M2991" i="4"/>
  <c r="N2426" i="4"/>
  <c r="F1103" i="4"/>
  <c r="M3002" i="4"/>
  <c r="N1906" i="4"/>
  <c r="M1117" i="4"/>
  <c r="M862" i="4"/>
  <c r="M1660" i="4"/>
  <c r="M3927" i="4"/>
  <c r="M686" i="4"/>
  <c r="M2729" i="4"/>
  <c r="M900" i="4"/>
  <c r="M1272" i="4"/>
  <c r="F1311" i="4"/>
  <c r="F844" i="4"/>
  <c r="M2149" i="4"/>
  <c r="M909" i="4"/>
  <c r="M746" i="4"/>
  <c r="N3169" i="4"/>
  <c r="M933" i="4"/>
  <c r="L2162" i="4"/>
  <c r="L2340" i="4"/>
  <c r="N3166" i="4"/>
  <c r="M2326" i="4"/>
  <c r="M3909" i="4"/>
  <c r="M3918" i="4"/>
  <c r="F1781" i="4"/>
  <c r="M3848" i="4"/>
  <c r="M3872" i="4"/>
  <c r="N1960" i="4"/>
  <c r="N3884" i="4"/>
  <c r="N2565" i="4"/>
  <c r="M1978" i="4"/>
  <c r="N3703" i="4"/>
  <c r="N2996" i="4"/>
  <c r="N1799" i="4"/>
  <c r="N3624" i="4"/>
  <c r="N3086" i="4"/>
  <c r="M1970" i="4"/>
  <c r="F1600" i="4"/>
  <c r="M486" i="4"/>
  <c r="M770" i="4"/>
  <c r="N2742" i="4"/>
  <c r="M1021" i="4"/>
  <c r="F1163" i="4"/>
  <c r="M3541" i="4"/>
  <c r="F1318" i="4"/>
  <c r="L1873" i="4"/>
  <c r="L3489" i="4"/>
  <c r="M1642" i="4"/>
  <c r="M2852" i="4"/>
  <c r="N2405" i="4"/>
  <c r="N3216" i="4"/>
  <c r="M2054" i="4"/>
  <c r="N3931" i="4"/>
  <c r="M3826" i="4"/>
  <c r="F1402" i="4"/>
  <c r="N3602" i="4"/>
  <c r="M2445" i="4"/>
  <c r="M1400" i="4"/>
  <c r="M3672" i="4"/>
  <c r="N3016" i="4"/>
  <c r="F1470" i="4"/>
  <c r="M3245" i="4"/>
  <c r="M2767" i="4"/>
  <c r="F1954" i="4"/>
  <c r="F876" i="4"/>
  <c r="M1353" i="4"/>
  <c r="M644" i="4"/>
  <c r="F1609" i="4"/>
  <c r="M1887" i="4"/>
  <c r="M1047" i="4"/>
  <c r="L1395" i="4"/>
  <c r="L1836" i="4"/>
  <c r="N2583" i="4"/>
  <c r="F1610" i="4"/>
  <c r="M3250" i="4"/>
  <c r="M3249" i="4"/>
  <c r="F2054" i="4"/>
  <c r="M3631" i="4"/>
  <c r="N2686" i="4"/>
  <c r="F1780" i="4"/>
  <c r="N3878" i="4"/>
  <c r="N3220" i="4"/>
  <c r="M2048" i="4"/>
  <c r="N3861" i="4"/>
  <c r="N2588" i="4"/>
  <c r="F2019" i="4"/>
  <c r="M3932" i="4"/>
  <c r="N3093" i="4"/>
  <c r="M2139" i="4"/>
  <c r="M1806" i="4"/>
  <c r="M826" i="4"/>
  <c r="N1992" i="4"/>
  <c r="F573" i="4"/>
  <c r="F821" i="4"/>
  <c r="M2585" i="4"/>
  <c r="F1379" i="4"/>
  <c r="N1759" i="4"/>
  <c r="L1382" i="4"/>
  <c r="L1830" i="4"/>
  <c r="N2571" i="4"/>
  <c r="F1927" i="6"/>
  <c r="L1979" i="6"/>
  <c r="F1579" i="6"/>
  <c r="X65" i="15"/>
  <c r="F36" i="6"/>
  <c r="K12" i="15"/>
  <c r="L1557" i="4"/>
  <c r="F171" i="6"/>
  <c r="L355" i="6"/>
  <c r="F1005" i="6"/>
  <c r="L88" i="6"/>
  <c r="F1514" i="6"/>
  <c r="F315" i="6"/>
  <c r="L3689" i="4"/>
  <c r="S345" i="2"/>
  <c r="N1359" i="4" s="1"/>
  <c r="F1644" i="6"/>
  <c r="L3119" i="4"/>
  <c r="L1605" i="6"/>
  <c r="L376" i="4"/>
  <c r="L221" i="4"/>
  <c r="L3121" i="4"/>
  <c r="L1151" i="4"/>
  <c r="L2057" i="4"/>
  <c r="L2109" i="4"/>
  <c r="L1570" i="4"/>
  <c r="L568" i="6"/>
  <c r="L1252" i="4"/>
  <c r="F423" i="6"/>
  <c r="L649" i="4"/>
  <c r="L701" i="6"/>
  <c r="L37" i="6"/>
  <c r="S390" i="2"/>
  <c r="S26" i="2"/>
  <c r="S555" i="2"/>
  <c r="L2784" i="4"/>
  <c r="L1308" i="4"/>
  <c r="L868" i="6"/>
  <c r="L390" i="4"/>
  <c r="F462" i="6"/>
  <c r="L1875" i="4"/>
  <c r="L1013" i="4"/>
  <c r="L3074" i="4"/>
  <c r="L866" i="4"/>
  <c r="L2718" i="4"/>
  <c r="F1709" i="6"/>
  <c r="L8" i="6"/>
  <c r="F400" i="6"/>
  <c r="S444" i="2"/>
  <c r="S183" i="2"/>
  <c r="S661" i="2"/>
  <c r="L2946" i="4"/>
  <c r="L1441" i="4"/>
  <c r="L2977" i="4"/>
  <c r="L1057" i="4"/>
  <c r="L1973" i="4"/>
  <c r="L2691" i="4"/>
  <c r="L288" i="4"/>
  <c r="L822" i="4"/>
  <c r="L1452" i="4"/>
  <c r="L3434" i="4"/>
  <c r="L2207" i="4"/>
  <c r="M3265" i="4"/>
  <c r="M3430" i="4"/>
  <c r="M1314" i="4"/>
  <c r="M1083" i="4"/>
  <c r="F1462" i="4"/>
  <c r="N2393" i="4"/>
  <c r="S105" i="2"/>
  <c r="L2378" i="4"/>
  <c r="L3365" i="4"/>
  <c r="L206" i="4"/>
  <c r="S475" i="2"/>
  <c r="L1140" i="4"/>
  <c r="L2393" i="4"/>
  <c r="M3893" i="4"/>
  <c r="M3444" i="4"/>
  <c r="F1963" i="4"/>
  <c r="N3944" i="4"/>
  <c r="N2642" i="4"/>
  <c r="N2838" i="4"/>
  <c r="M1302" i="4"/>
  <c r="N3031" i="4"/>
  <c r="M2277" i="4"/>
  <c r="M1071" i="4"/>
  <c r="N3389" i="4"/>
  <c r="N2496" i="4"/>
  <c r="F1450" i="4"/>
  <c r="L333" i="6"/>
  <c r="L548" i="4"/>
  <c r="L2606" i="4"/>
  <c r="L2084" i="4"/>
  <c r="L168" i="4"/>
  <c r="L2287" i="4"/>
  <c r="L700" i="4"/>
  <c r="L1783" i="4"/>
  <c r="S455" i="2"/>
  <c r="L2316" i="4"/>
  <c r="L751" i="4"/>
  <c r="L665" i="4"/>
  <c r="S290" i="2"/>
  <c r="L1521" i="4"/>
  <c r="M2867" i="4"/>
  <c r="M3118" i="4"/>
  <c r="F2061" i="4"/>
  <c r="N2088" i="4"/>
  <c r="N3540" i="4"/>
  <c r="M2570" i="4"/>
  <c r="M1795" i="4"/>
  <c r="N3427" i="4"/>
  <c r="N3457" i="4"/>
  <c r="M3365" i="4"/>
  <c r="N3855" i="4"/>
  <c r="N3017" i="4"/>
  <c r="M2120" i="4"/>
  <c r="M1058" i="4"/>
  <c r="M3364" i="4"/>
  <c r="L1573" i="4"/>
  <c r="L584" i="4"/>
  <c r="L756" i="4"/>
  <c r="L1726" i="4"/>
  <c r="S659" i="2"/>
  <c r="L2209" i="4"/>
  <c r="L527" i="4"/>
  <c r="L1451" i="4"/>
  <c r="S272" i="2"/>
  <c r="L2238" i="4"/>
  <c r="L490" i="4"/>
  <c r="L176" i="4"/>
  <c r="L854" i="4"/>
  <c r="L1829" i="4"/>
  <c r="N3195" i="4"/>
  <c r="M2962" i="4"/>
  <c r="F1853" i="4"/>
  <c r="F1573" i="4"/>
  <c r="N3723" i="4"/>
  <c r="M2414" i="4"/>
  <c r="M1715" i="4"/>
  <c r="M3203" i="4"/>
  <c r="M2725" i="4"/>
  <c r="N1880" i="4"/>
  <c r="F352" i="4"/>
  <c r="N2931" i="4"/>
  <c r="M2252" i="4"/>
  <c r="N3050" i="4"/>
  <c r="M3078" i="4"/>
  <c r="M2007" i="4"/>
  <c r="AL56" i="15"/>
  <c r="L1346" i="4"/>
  <c r="L2248" i="4"/>
  <c r="F1703" i="6"/>
  <c r="L667" i="4"/>
  <c r="L2491" i="4"/>
  <c r="L1232" i="4"/>
  <c r="L3186" i="4"/>
  <c r="L244" i="4"/>
  <c r="L2544" i="4"/>
  <c r="L1269" i="4"/>
  <c r="L1490" i="4"/>
  <c r="L2015" i="4"/>
  <c r="L2273" i="4"/>
  <c r="N3445" i="4"/>
  <c r="N3591" i="4"/>
  <c r="M2595" i="4"/>
  <c r="N1722" i="4"/>
  <c r="N3687" i="4"/>
  <c r="N2606" i="4"/>
  <c r="N1887" i="4"/>
  <c r="N3780" i="4"/>
  <c r="N2925" i="4"/>
  <c r="M2097" i="4"/>
  <c r="F1722" i="4"/>
  <c r="M3722" i="4"/>
  <c r="N2346" i="4"/>
  <c r="N2317" i="4"/>
  <c r="L1112" i="4"/>
  <c r="S62" i="2"/>
  <c r="L682" i="4"/>
  <c r="L2963" i="4"/>
  <c r="L675" i="6"/>
  <c r="L1909" i="4"/>
  <c r="F1158" i="6"/>
  <c r="L795" i="4"/>
  <c r="F707" i="6"/>
  <c r="L1938" i="4"/>
  <c r="L925" i="6"/>
  <c r="F130" i="6"/>
  <c r="L1340" i="4"/>
  <c r="M3482" i="4"/>
  <c r="M3946" i="4"/>
  <c r="N2787" i="4"/>
  <c r="M1876" i="4"/>
  <c r="F1750" i="4"/>
  <c r="M3360" i="4"/>
  <c r="N2439" i="4"/>
  <c r="F1159" i="4"/>
  <c r="M3056" i="4"/>
  <c r="N1978" i="4"/>
  <c r="M1517" i="4"/>
  <c r="N3512" i="4"/>
  <c r="M2556" i="4"/>
  <c r="M1767" i="4"/>
  <c r="M3712" i="4"/>
  <c r="N2615" i="4"/>
  <c r="N1903" i="4"/>
  <c r="L449" i="6"/>
  <c r="S567" i="2"/>
  <c r="N993" i="4" s="1"/>
  <c r="L1688" i="4"/>
  <c r="F292" i="6"/>
  <c r="L1053" i="6"/>
  <c r="L1975" i="4"/>
  <c r="V4" i="15"/>
  <c r="L909" i="4"/>
  <c r="L1013" i="6"/>
  <c r="L2004" i="4"/>
  <c r="L1475" i="6"/>
  <c r="F715" i="6"/>
  <c r="L684" i="4"/>
  <c r="N3705" i="4"/>
  <c r="N3784" i="4"/>
  <c r="N2933" i="4"/>
  <c r="M2099" i="4"/>
  <c r="M3889" i="4"/>
  <c r="M3549" i="4"/>
  <c r="M2194" i="4"/>
  <c r="M1402" i="4"/>
  <c r="M3435" i="4"/>
  <c r="N3034" i="4"/>
  <c r="N2225" i="4"/>
  <c r="M3043" i="4"/>
  <c r="F1961" i="4"/>
  <c r="M1687" i="4"/>
  <c r="S114" i="2"/>
  <c r="L2309" i="4"/>
  <c r="L1286" i="4"/>
  <c r="L1038" i="4"/>
  <c r="L3797" i="4"/>
  <c r="L1526" i="4"/>
  <c r="F274" i="6"/>
  <c r="L507" i="4"/>
  <c r="L3794" i="4"/>
  <c r="L1699" i="4"/>
  <c r="L3563" i="4"/>
  <c r="L2315" i="4"/>
  <c r="L18" i="4"/>
  <c r="M3593" i="4"/>
  <c r="N3359" i="4"/>
  <c r="N3148" i="4"/>
  <c r="M2354" i="4"/>
  <c r="L3030" i="4"/>
  <c r="L2676" i="4"/>
  <c r="L275" i="4"/>
  <c r="L778" i="4"/>
  <c r="L2610" i="4"/>
  <c r="L1333" i="4"/>
  <c r="L3796" i="4"/>
  <c r="L347" i="4"/>
  <c r="L2663" i="4"/>
  <c r="L1374" i="4"/>
  <c r="L2771" i="4"/>
  <c r="L2111" i="4"/>
  <c r="L319" i="4"/>
  <c r="N3349" i="4"/>
  <c r="M3495" i="4"/>
  <c r="M2547" i="4"/>
  <c r="F1672" i="4"/>
  <c r="M3708" i="4"/>
  <c r="M2642" i="4"/>
  <c r="N1769" i="4"/>
  <c r="N3900" i="4"/>
  <c r="N2725" i="4"/>
  <c r="M2365" i="4"/>
  <c r="M3683" i="4"/>
  <c r="N3318" i="4"/>
  <c r="M2020" i="4"/>
  <c r="M1609" i="4"/>
  <c r="N3297" i="4"/>
  <c r="M2344" i="4"/>
  <c r="N2121" i="4"/>
  <c r="M2885" i="4"/>
  <c r="N2992" i="4"/>
  <c r="M1153" i="4"/>
  <c r="M3112" i="4"/>
  <c r="F2053" i="4"/>
  <c r="M2041" i="4"/>
  <c r="M3418" i="4"/>
  <c r="N3417" i="4"/>
  <c r="N3130" i="4"/>
  <c r="L113" i="6"/>
  <c r="S325" i="2"/>
  <c r="L1390" i="4"/>
  <c r="L3956" i="4"/>
  <c r="L919" i="6"/>
  <c r="L1957" i="4"/>
  <c r="F1782" i="6"/>
  <c r="L870" i="4"/>
  <c r="L908" i="6"/>
  <c r="L1986" i="4"/>
  <c r="F1310" i="6"/>
  <c r="F589" i="6"/>
  <c r="L202" i="4"/>
  <c r="N3758" i="4"/>
  <c r="N3712" i="4"/>
  <c r="M3381" i="4"/>
  <c r="N2049" i="4"/>
  <c r="M3615" i="4"/>
  <c r="N3046" i="4"/>
  <c r="F1962" i="4"/>
  <c r="M1910" i="4"/>
  <c r="M2864" i="4"/>
  <c r="N2542" i="4"/>
  <c r="F2079" i="4"/>
  <c r="M3007" i="4"/>
  <c r="F1913" i="4"/>
  <c r="M2072" i="4"/>
  <c r="M3150" i="4"/>
  <c r="N2449" i="4"/>
  <c r="L2971" i="4"/>
  <c r="L550" i="4"/>
  <c r="S218" i="2"/>
  <c r="N1336" i="4" s="1"/>
  <c r="M3612" i="4"/>
  <c r="N3165" i="4"/>
  <c r="N2442" i="4"/>
  <c r="N3022" i="4"/>
  <c r="N3114" i="4"/>
  <c r="N3679" i="4"/>
  <c r="N3048" i="4"/>
  <c r="F1472" i="4"/>
  <c r="M3773" i="4"/>
  <c r="N3231" i="4"/>
  <c r="F1483" i="4"/>
  <c r="M3198" i="4"/>
  <c r="M2564" i="4"/>
  <c r="N2300" i="4"/>
  <c r="N3629" i="4"/>
  <c r="M2395" i="4"/>
  <c r="M1734" i="4"/>
  <c r="F1192" i="4"/>
  <c r="N2506" i="4"/>
  <c r="M3637" i="4"/>
  <c r="F1322" i="4"/>
  <c r="M2257" i="4"/>
  <c r="F770" i="4"/>
  <c r="F950" i="4"/>
  <c r="L2008" i="4"/>
  <c r="L152" i="4"/>
  <c r="N3266" i="4"/>
  <c r="M2510" i="4"/>
  <c r="F2044" i="4"/>
  <c r="F1720" i="4"/>
  <c r="M2399" i="4"/>
  <c r="M1069" i="4"/>
  <c r="M2957" i="4"/>
  <c r="N2368" i="4"/>
  <c r="M1201" i="4"/>
  <c r="M2956" i="4"/>
  <c r="N2367" i="4"/>
  <c r="N2257" i="4"/>
  <c r="M2859" i="4"/>
  <c r="M2308" i="4"/>
  <c r="M1394" i="4"/>
  <c r="N3329" i="4"/>
  <c r="M2376" i="4"/>
  <c r="F1648" i="4"/>
  <c r="F1154" i="4"/>
  <c r="F822" i="4"/>
  <c r="M2052" i="4"/>
  <c r="M543" i="4"/>
  <c r="M750" i="4"/>
  <c r="S137" i="2"/>
  <c r="L8" i="4"/>
  <c r="M3059" i="4"/>
  <c r="N2678" i="4"/>
  <c r="N1898" i="4"/>
  <c r="M1671" i="4"/>
  <c r="M1991" i="4"/>
  <c r="M1057" i="4"/>
  <c r="N3832" i="4"/>
  <c r="M2238" i="4"/>
  <c r="N2213" i="4"/>
  <c r="M3811" i="4"/>
  <c r="M2237" i="4"/>
  <c r="M1650" i="4"/>
  <c r="M2847" i="4"/>
  <c r="M2296" i="4"/>
  <c r="M1378" i="4"/>
  <c r="N3275" i="4"/>
  <c r="M2331" i="4"/>
  <c r="F1632" i="4"/>
  <c r="F1534" i="4"/>
  <c r="F1679" i="4"/>
  <c r="W11" i="15"/>
  <c r="L1969" i="6"/>
  <c r="V74" i="15"/>
  <c r="L1621" i="4"/>
  <c r="F101" i="6"/>
  <c r="L27" i="6"/>
  <c r="F160" i="6"/>
  <c r="L2641" i="4"/>
  <c r="L2757" i="4"/>
  <c r="L1346" i="6"/>
  <c r="F50" i="15"/>
  <c r="L3629" i="4"/>
  <c r="L2839" i="4"/>
  <c r="L535" i="4"/>
  <c r="L894" i="4"/>
  <c r="L2930" i="4"/>
  <c r="L1229" i="6"/>
  <c r="L1809" i="4"/>
  <c r="L1471" i="4"/>
  <c r="L3668" i="4"/>
  <c r="F620" i="6"/>
  <c r="L226" i="4"/>
  <c r="F170" i="6"/>
  <c r="L1821" i="4"/>
  <c r="L886" i="4"/>
  <c r="AA30" i="15"/>
  <c r="L625" i="4"/>
  <c r="L1120" i="4"/>
  <c r="L736" i="6"/>
  <c r="L2480" i="4"/>
  <c r="F142" i="6"/>
  <c r="S72" i="2"/>
  <c r="L156" i="4"/>
  <c r="F253" i="6"/>
  <c r="L1215" i="4"/>
  <c r="DW190" i="15"/>
  <c r="L1613" i="4"/>
  <c r="S217" i="2"/>
  <c r="L2434" i="4"/>
  <c r="L1137" i="4"/>
  <c r="S430" i="2"/>
  <c r="F398" i="6"/>
  <c r="L240" i="4"/>
  <c r="L320" i="4"/>
  <c r="F35" i="6"/>
  <c r="L2318" i="4"/>
  <c r="L508" i="6"/>
  <c r="S132" i="2"/>
  <c r="N807" i="4" s="1"/>
  <c r="S19" i="2"/>
  <c r="N1620" i="4" s="1"/>
  <c r="F545" i="6"/>
  <c r="L1323" i="4"/>
  <c r="L802" i="4"/>
  <c r="F454" i="6"/>
  <c r="L108" i="4"/>
  <c r="L3" i="6"/>
  <c r="L2073" i="4"/>
  <c r="F1946" i="6"/>
  <c r="L355" i="4"/>
  <c r="L219" i="4"/>
  <c r="L2112" i="4"/>
  <c r="L1447" i="4"/>
  <c r="N3192" i="4"/>
  <c r="M2805" i="4"/>
  <c r="M3477" i="4"/>
  <c r="N3737" i="4"/>
  <c r="M1574" i="4"/>
  <c r="M2287" i="4"/>
  <c r="L13" i="4"/>
  <c r="L2090" i="4"/>
  <c r="L2437" i="4"/>
  <c r="L457" i="6"/>
  <c r="S128" i="2"/>
  <c r="L986" i="4"/>
  <c r="L2201" i="4"/>
  <c r="M3691" i="4"/>
  <c r="M3130" i="4"/>
  <c r="F1797" i="4"/>
  <c r="N3783" i="4"/>
  <c r="N3368" i="4"/>
  <c r="N1881" i="4"/>
  <c r="M3908" i="4"/>
  <c r="N3069" i="4"/>
  <c r="M2133" i="4"/>
  <c r="M1794" i="4"/>
  <c r="M3103" i="4"/>
  <c r="F2041" i="4"/>
  <c r="M1977" i="4"/>
  <c r="L1579" i="4"/>
  <c r="L597" i="4"/>
  <c r="L762" i="4"/>
  <c r="L1747" i="4"/>
  <c r="L11" i="4"/>
  <c r="L2215" i="4"/>
  <c r="L530" i="4"/>
  <c r="L1464" i="4"/>
  <c r="S285" i="2"/>
  <c r="L2244" i="4"/>
  <c r="L506" i="4"/>
  <c r="L216" i="4"/>
  <c r="L1366" i="4"/>
  <c r="L1901" i="4"/>
  <c r="N3259" i="4"/>
  <c r="M2974" i="4"/>
  <c r="F1869" i="4"/>
  <c r="F1589" i="4"/>
  <c r="N3787" i="4"/>
  <c r="M2426" i="4"/>
  <c r="F1562" i="4"/>
  <c r="M3215" i="4"/>
  <c r="M2737" i="4"/>
  <c r="N1899" i="4"/>
  <c r="N3965" i="4"/>
  <c r="N2799" i="4"/>
  <c r="M1892" i="4"/>
  <c r="M1768" i="4"/>
  <c r="M3090" i="4"/>
  <c r="L1506" i="6"/>
  <c r="L528" i="4"/>
  <c r="L544" i="6"/>
  <c r="L939" i="4"/>
  <c r="S489" i="2"/>
  <c r="L2137" i="4"/>
  <c r="L337" i="4"/>
  <c r="L1270" i="4"/>
  <c r="S95" i="2"/>
  <c r="L2166" i="4"/>
  <c r="L7" i="4"/>
  <c r="S454" i="2"/>
  <c r="N932" i="4" s="1"/>
  <c r="L841" i="4"/>
  <c r="M3845" i="4"/>
  <c r="N3245" i="4"/>
  <c r="M2818" i="4"/>
  <c r="N2385" i="4"/>
  <c r="F1417" i="4"/>
  <c r="N3298" i="4"/>
  <c r="N3138" i="4"/>
  <c r="M1518" i="4"/>
  <c r="N3562" i="4"/>
  <c r="M2581" i="4"/>
  <c r="N1708" i="4"/>
  <c r="N3807" i="4"/>
  <c r="N2969" i="4"/>
  <c r="M2108" i="4"/>
  <c r="M1744" i="4"/>
  <c r="M2934" i="4"/>
  <c r="M3886" i="4"/>
  <c r="L103" i="6"/>
  <c r="L371" i="4"/>
  <c r="L733" i="4"/>
  <c r="L3885" i="4"/>
  <c r="L456" i="4"/>
  <c r="L2419" i="4"/>
  <c r="L1064" i="4"/>
  <c r="L2970" i="4"/>
  <c r="L87" i="4"/>
  <c r="L2448" i="4"/>
  <c r="L1101" i="4"/>
  <c r="L1179" i="4"/>
  <c r="L867" i="4"/>
  <c r="L306" i="4"/>
  <c r="M3131" i="4"/>
  <c r="N3388" i="4"/>
  <c r="M2451" i="4"/>
  <c r="N1925" i="4"/>
  <c r="M3334" i="4"/>
  <c r="N3044" i="4"/>
  <c r="N2073" i="4"/>
  <c r="M3919" i="4"/>
  <c r="N2773" i="4"/>
  <c r="F1852" i="4"/>
  <c r="M1459" i="4"/>
  <c r="N2883" i="4"/>
  <c r="M2240" i="4"/>
  <c r="M1720" i="4"/>
  <c r="S660" i="2"/>
  <c r="L678" i="4"/>
  <c r="F152" i="6"/>
  <c r="L1684" i="4"/>
  <c r="F366" i="6"/>
  <c r="L1837" i="4"/>
  <c r="F658" i="6"/>
  <c r="L686" i="4"/>
  <c r="F340" i="6"/>
  <c r="L1866" i="4"/>
  <c r="L531" i="6"/>
  <c r="L2495" i="4"/>
  <c r="S205" i="2"/>
  <c r="M3242" i="4"/>
  <c r="M3785" i="4"/>
  <c r="N2643" i="4"/>
  <c r="M1952" i="4"/>
  <c r="M3913" i="4"/>
  <c r="M3645" i="4"/>
  <c r="M2206" i="4"/>
  <c r="N2181" i="4"/>
  <c r="M2912" i="4"/>
  <c r="M3369" i="4"/>
  <c r="M1189" i="4"/>
  <c r="M3713" i="4"/>
  <c r="M2412" i="4"/>
  <c r="M1388" i="4"/>
  <c r="N3351" i="4"/>
  <c r="N3116" i="4"/>
  <c r="M2338" i="4"/>
  <c r="L899" i="4"/>
  <c r="F39" i="6"/>
  <c r="S327" i="2"/>
  <c r="L2945" i="4"/>
  <c r="F650" i="6"/>
  <c r="L1903" i="4"/>
  <c r="F1110" i="6"/>
  <c r="L789" i="4"/>
  <c r="L640" i="6"/>
  <c r="L1932" i="4"/>
  <c r="F890" i="6"/>
  <c r="F113" i="6"/>
  <c r="L1240" i="4"/>
  <c r="M3458" i="4"/>
  <c r="M3922" i="4"/>
  <c r="N2775" i="4"/>
  <c r="N1857" i="4"/>
  <c r="M3687" i="4"/>
  <c r="M3325" i="4"/>
  <c r="F2026" i="4"/>
  <c r="N3934" i="4"/>
  <c r="M3754" i="4"/>
  <c r="M2217" i="4"/>
  <c r="M1672" i="4"/>
  <c r="M2899" i="4"/>
  <c r="N3239" i="4"/>
  <c r="M1504" i="4"/>
  <c r="L3416" i="4"/>
  <c r="L3833" i="4"/>
  <c r="L421" i="4"/>
  <c r="L784" i="4"/>
  <c r="L2640" i="4"/>
  <c r="L1342" i="4"/>
  <c r="L3868" i="4"/>
  <c r="L360" i="4"/>
  <c r="L2679" i="4"/>
  <c r="L1387" i="4"/>
  <c r="L2807" i="4"/>
  <c r="L2123" i="4"/>
  <c r="L626" i="4"/>
  <c r="M3393" i="4"/>
  <c r="M3181" i="4"/>
  <c r="M2703" i="4"/>
  <c r="L1528" i="6"/>
  <c r="L995" i="4"/>
  <c r="L2092" i="4"/>
  <c r="F877" i="6"/>
  <c r="L606" i="4"/>
  <c r="L2467" i="4"/>
  <c r="L1174" i="4"/>
  <c r="L3114" i="4"/>
  <c r="L192" i="4"/>
  <c r="L2496" i="4"/>
  <c r="L1212" i="4"/>
  <c r="L1360" i="4"/>
  <c r="L1967" i="4"/>
  <c r="L1438" i="4"/>
  <c r="M3083" i="4"/>
  <c r="N3661" i="4"/>
  <c r="M2403" i="4"/>
  <c r="M1750" i="4"/>
  <c r="M3616" i="4"/>
  <c r="M2498" i="4"/>
  <c r="N2187" i="4"/>
  <c r="N3601" i="4"/>
  <c r="N2581" i="4"/>
  <c r="M1841" i="4"/>
  <c r="M3896" i="4"/>
  <c r="N2724" i="4"/>
  <c r="M2361" i="4"/>
  <c r="N3882" i="4"/>
  <c r="M3459" i="4"/>
  <c r="M2191" i="4"/>
  <c r="M1398" i="4"/>
  <c r="M3344" i="4"/>
  <c r="M2388" i="4"/>
  <c r="N2165" i="4"/>
  <c r="M2968" i="4"/>
  <c r="F1861" i="4"/>
  <c r="F1581" i="4"/>
  <c r="M3210" i="4"/>
  <c r="M2732" i="4"/>
  <c r="F1891" i="4"/>
  <c r="L639" i="4"/>
  <c r="L3005" i="4"/>
  <c r="L86" i="4"/>
  <c r="L2747" i="4"/>
  <c r="F567" i="6"/>
  <c r="L1885" i="4"/>
  <c r="F859" i="6"/>
  <c r="L771" i="4"/>
  <c r="L540" i="6"/>
  <c r="L1914" i="4"/>
  <c r="F807" i="6"/>
  <c r="L3849" i="4"/>
  <c r="L958" i="4"/>
  <c r="M3386" i="4"/>
  <c r="N3955" i="4"/>
  <c r="N2739" i="4"/>
  <c r="N2499" i="4"/>
  <c r="N3793" i="4"/>
  <c r="N2690" i="4"/>
  <c r="F2038" i="4"/>
  <c r="M1354" i="4"/>
  <c r="N3243" i="4"/>
  <c r="M2325" i="4"/>
  <c r="F1624" i="4"/>
  <c r="M2863" i="4"/>
  <c r="N2538" i="4"/>
  <c r="M1622" i="4"/>
  <c r="L1307" i="6"/>
  <c r="L3435" i="4"/>
  <c r="L2870" i="4"/>
  <c r="L1205" i="4"/>
  <c r="F43" i="6"/>
  <c r="S53" i="15"/>
  <c r="F734" i="6"/>
  <c r="L2152" i="6"/>
  <c r="S400" i="2"/>
  <c r="L2601" i="4"/>
  <c r="S140" i="2"/>
  <c r="N2675" i="4"/>
  <c r="L2106" i="4"/>
  <c r="N2939" i="4"/>
  <c r="M3226" i="4"/>
  <c r="L151" i="4"/>
  <c r="L2580" i="4"/>
  <c r="N3639" i="4"/>
  <c r="M3860" i="4"/>
  <c r="F1553" i="4"/>
  <c r="L469" i="4"/>
  <c r="L1114" i="4"/>
  <c r="M2463" i="4"/>
  <c r="N2785" i="4"/>
  <c r="N3559" i="4"/>
  <c r="L1704" i="4"/>
  <c r="L1872" i="4"/>
  <c r="N2655" i="4"/>
  <c r="M2924" i="4"/>
  <c r="F638" i="6"/>
  <c r="L311" i="4"/>
  <c r="L549" i="4"/>
  <c r="N3210" i="4"/>
  <c r="M3714" i="4"/>
  <c r="F320" i="6"/>
  <c r="L468" i="4"/>
  <c r="L84" i="4"/>
  <c r="M3021" i="4"/>
  <c r="N3488" i="4"/>
  <c r="L283" i="6"/>
  <c r="L1998" i="4"/>
  <c r="N2885" i="4"/>
  <c r="L575" i="6"/>
  <c r="L815" i="6"/>
  <c r="M1888" i="4"/>
  <c r="M2352" i="4"/>
  <c r="N2497" i="4"/>
  <c r="M2613" i="4"/>
  <c r="S563" i="2"/>
  <c r="L1368" i="4"/>
  <c r="F344" i="4"/>
  <c r="N2450" i="4"/>
  <c r="M2508" i="4"/>
  <c r="S457" i="2"/>
  <c r="N207" i="4" s="1"/>
  <c r="N2074" i="4"/>
  <c r="M3125" i="4"/>
  <c r="F1877" i="4"/>
  <c r="F1151" i="4"/>
  <c r="F1067" i="4"/>
  <c r="F1582" i="4"/>
  <c r="L60" i="4"/>
  <c r="M3371" i="4"/>
  <c r="N2312" i="4"/>
  <c r="F1460" i="4"/>
  <c r="M1960" i="4"/>
  <c r="M1643" i="4"/>
  <c r="N2296" i="4"/>
  <c r="F997" i="4"/>
  <c r="F1132" i="4"/>
  <c r="L2412" i="4"/>
  <c r="M2996" i="4"/>
  <c r="N2381" i="4"/>
  <c r="N2746" i="4"/>
  <c r="M3100" i="4"/>
  <c r="M1417" i="4"/>
  <c r="N1907" i="4"/>
  <c r="N3300" i="4"/>
  <c r="F912" i="4"/>
  <c r="M1889" i="4"/>
  <c r="M2634" i="4"/>
  <c r="F1514" i="4"/>
  <c r="F1050" i="4"/>
  <c r="N2056" i="4"/>
  <c r="L1236" i="4"/>
  <c r="L1974" i="4"/>
  <c r="N2239" i="4"/>
  <c r="N3658" i="4"/>
  <c r="M2300" i="4"/>
  <c r="N2369" i="4"/>
  <c r="M3953" i="4"/>
  <c r="M2782" i="4"/>
  <c r="M1604" i="4"/>
  <c r="M3383" i="4"/>
  <c r="M2225" i="4"/>
  <c r="F1359" i="4"/>
  <c r="N3092" i="4"/>
  <c r="F1688" i="4"/>
  <c r="N3486" i="4"/>
  <c r="N2518" i="4"/>
  <c r="F1403" i="4"/>
  <c r="M3268" i="4"/>
  <c r="F1129" i="4"/>
  <c r="M1052" i="4"/>
  <c r="M3825" i="4"/>
  <c r="F1320" i="4"/>
  <c r="F1478" i="4"/>
  <c r="N3761" i="4"/>
  <c r="M1721" i="4"/>
  <c r="M1261" i="4"/>
  <c r="M3620" i="4"/>
  <c r="M921" i="4"/>
  <c r="M1143" i="4"/>
  <c r="L423" i="4"/>
  <c r="L2552" i="4"/>
  <c r="M3362" i="4"/>
  <c r="N2570" i="4"/>
  <c r="N2177" i="4"/>
  <c r="N3198" i="4"/>
  <c r="F2064" i="4"/>
  <c r="M3628" i="4"/>
  <c r="N2440" i="4"/>
  <c r="M1731" i="4"/>
  <c r="M3076" i="4"/>
  <c r="M3867" i="4"/>
  <c r="F1364" i="4"/>
  <c r="N2953" i="4"/>
  <c r="N1900" i="4"/>
  <c r="N3826" i="4"/>
  <c r="N2695" i="4"/>
  <c r="F1801" i="4"/>
  <c r="M727" i="4"/>
  <c r="N3473" i="4"/>
  <c r="F1172" i="4"/>
  <c r="F1010" i="4"/>
  <c r="M2681" i="4"/>
  <c r="M887" i="4"/>
  <c r="F897" i="4"/>
  <c r="L549" i="6"/>
  <c r="L750" i="4"/>
  <c r="M3478" i="4"/>
  <c r="M2497" i="4"/>
  <c r="F1486" i="4"/>
  <c r="N2492" i="4"/>
  <c r="M1414" i="4"/>
  <c r="N3225" i="4"/>
  <c r="F1792" i="4"/>
  <c r="N3676" i="4"/>
  <c r="M3824" i="4"/>
  <c r="N1728" i="4"/>
  <c r="M3781" i="4"/>
  <c r="M2067" i="4"/>
  <c r="M1579" i="4"/>
  <c r="M3428" i="4"/>
  <c r="N2066" i="4"/>
  <c r="N2104" i="4"/>
  <c r="F999" i="4"/>
  <c r="M1461" i="4"/>
  <c r="M2490" i="4"/>
  <c r="N3450" i="4"/>
  <c r="F1268" i="4"/>
  <c r="L1874" i="4"/>
  <c r="L646" i="4"/>
  <c r="F1847" i="4"/>
  <c r="M3525" i="4"/>
  <c r="F2073" i="4"/>
  <c r="N2687" i="4"/>
  <c r="M1539" i="4"/>
  <c r="M3053" i="4"/>
  <c r="M2340" i="4"/>
  <c r="F1572" i="4"/>
  <c r="N3337" i="4"/>
  <c r="F1995" i="4"/>
  <c r="M3630" i="4"/>
  <c r="M2648" i="4"/>
  <c r="F1634" i="4"/>
  <c r="M3233" i="4"/>
  <c r="M2611" i="4"/>
  <c r="M2040" i="4"/>
  <c r="F548" i="4"/>
  <c r="N2907" i="4"/>
  <c r="F1125" i="4"/>
  <c r="M1756" i="4"/>
  <c r="N2789" i="4"/>
  <c r="M1033" i="4"/>
  <c r="M1098" i="4"/>
  <c r="L2233" i="4"/>
  <c r="L2417" i="4"/>
  <c r="M3276" i="4"/>
  <c r="N3573" i="4"/>
  <c r="F2043" i="4"/>
  <c r="M2771" i="4"/>
  <c r="M1527" i="4"/>
  <c r="N3290" i="4"/>
  <c r="N1958" i="4"/>
  <c r="M1092" i="4"/>
  <c r="M3040" i="4"/>
  <c r="N2976" i="4"/>
  <c r="M1554" i="4"/>
  <c r="N3682" i="4"/>
  <c r="M2224" i="4"/>
  <c r="M1228" i="4"/>
  <c r="N3404" i="4"/>
  <c r="M2455" i="4"/>
  <c r="N1959" i="4"/>
  <c r="M691" i="4"/>
  <c r="N3251" i="4"/>
  <c r="N2039" i="4"/>
  <c r="M1662" i="4"/>
  <c r="N2741" i="4"/>
  <c r="M1020" i="4"/>
  <c r="F1839" i="4"/>
  <c r="N2170" i="4"/>
  <c r="M605" i="4"/>
  <c r="N3541" i="4"/>
  <c r="M1030" i="4"/>
  <c r="N2294" i="4"/>
  <c r="F1415" i="4"/>
  <c r="M706" i="4"/>
  <c r="N3003" i="4"/>
  <c r="L1735" i="6"/>
  <c r="L248" i="6"/>
  <c r="S159" i="2"/>
  <c r="N3121" i="4"/>
  <c r="N3096" i="4"/>
  <c r="N1767" i="4"/>
  <c r="M2495" i="4"/>
  <c r="F1155" i="4"/>
  <c r="M2861" i="4"/>
  <c r="M2310" i="4"/>
  <c r="M1298" i="4"/>
  <c r="N3203" i="4"/>
  <c r="N1953" i="4"/>
  <c r="M3925" i="4"/>
  <c r="N3350" i="4"/>
  <c r="M2345" i="4"/>
  <c r="M1466" i="4"/>
  <c r="M2798" i="4"/>
  <c r="N2365" i="4"/>
  <c r="M1547" i="4"/>
  <c r="M796" i="4"/>
  <c r="N1819" i="4"/>
  <c r="F716" i="4"/>
  <c r="M786" i="4"/>
  <c r="M2489" i="4"/>
  <c r="F1265" i="4"/>
  <c r="N2189" i="4"/>
  <c r="S548" i="2"/>
  <c r="L204" i="4"/>
  <c r="N2550" i="4"/>
  <c r="M2301" i="4"/>
  <c r="N3115" i="4"/>
  <c r="F1925" i="4"/>
  <c r="F1570" i="4"/>
  <c r="M2387" i="4"/>
  <c r="M940" i="4"/>
  <c r="M1168" i="4"/>
  <c r="F831" i="4"/>
  <c r="M2245" i="4"/>
  <c r="L1798" i="4"/>
  <c r="M2263" i="4"/>
  <c r="N3371" i="4"/>
  <c r="N2696" i="4"/>
  <c r="N3448" i="4"/>
  <c r="M2056" i="4"/>
  <c r="M2988" i="4"/>
  <c r="M3172" i="4"/>
  <c r="M1284" i="4"/>
  <c r="L5" i="4"/>
  <c r="M2239" i="4"/>
  <c r="M3148" i="4"/>
  <c r="M2420" i="4"/>
  <c r="N2249" i="4"/>
  <c r="M914" i="4"/>
  <c r="F773" i="4"/>
  <c r="L2778" i="4"/>
  <c r="M2628" i="4"/>
  <c r="M3763" i="4"/>
  <c r="M2459" i="4"/>
  <c r="M3175" i="4"/>
  <c r="M3688" i="4"/>
  <c r="M1918" i="4"/>
  <c r="N2826" i="4"/>
  <c r="M1668" i="4"/>
  <c r="M1088" i="4"/>
  <c r="M1867" i="4"/>
  <c r="M1279" i="4"/>
  <c r="M2992" i="4"/>
  <c r="N3042" i="4"/>
  <c r="F1896" i="4"/>
  <c r="F2081" i="4"/>
  <c r="F1247" i="4"/>
  <c r="M3657" i="4"/>
  <c r="N3666" i="4"/>
  <c r="N1967" i="4"/>
  <c r="M3483" i="4"/>
  <c r="M1971" i="4"/>
  <c r="M2370" i="4"/>
  <c r="N3722" i="4"/>
  <c r="M2050" i="4"/>
  <c r="N1939" i="4"/>
  <c r="N3847" i="4"/>
  <c r="N2625" i="4"/>
  <c r="N1703" i="4"/>
  <c r="M984" i="4"/>
  <c r="N3073" i="4"/>
  <c r="M1974" i="4"/>
  <c r="N3159" i="4"/>
  <c r="M3331" i="4"/>
  <c r="N1867" i="4"/>
  <c r="N3773" i="4"/>
  <c r="M649" i="4"/>
  <c r="F1101" i="4"/>
  <c r="L2087" i="4"/>
  <c r="M1980" i="4"/>
  <c r="M3769" i="4"/>
  <c r="N3215" i="4"/>
  <c r="N1986" i="4"/>
  <c r="M687" i="4"/>
  <c r="M2488" i="4"/>
  <c r="F2001" i="4"/>
  <c r="M2477" i="4"/>
  <c r="F2055" i="4"/>
  <c r="N3271" i="4"/>
  <c r="N1812" i="4"/>
  <c r="N3744" i="4"/>
  <c r="F750" i="4"/>
  <c r="F991" i="4"/>
  <c r="F1193" i="4"/>
  <c r="F1404" i="4"/>
  <c r="N2145" i="4"/>
  <c r="M1488" i="4"/>
  <c r="N3339" i="4"/>
  <c r="F633" i="4"/>
  <c r="F1206" i="4"/>
  <c r="F1030" i="4"/>
  <c r="M3551" i="4"/>
  <c r="M1203" i="4"/>
  <c r="F1841" i="4"/>
  <c r="M402" i="4"/>
  <c r="M1689" i="4"/>
  <c r="F428" i="4"/>
  <c r="F1156" i="4"/>
  <c r="F538" i="4"/>
  <c r="N3391" i="4"/>
  <c r="M1204" i="4"/>
  <c r="M1043" i="4"/>
  <c r="M778" i="4"/>
  <c r="M2000" i="4"/>
  <c r="F406" i="4"/>
  <c r="F755" i="4"/>
  <c r="M3157" i="4"/>
  <c r="F613" i="4"/>
  <c r="M382" i="4"/>
  <c r="F1383" i="4"/>
  <c r="M349" i="4"/>
  <c r="F347" i="4"/>
  <c r="F1292" i="4"/>
  <c r="M1435" i="4"/>
  <c r="M2476" i="4"/>
  <c r="M3231" i="4"/>
  <c r="F1229" i="4"/>
  <c r="M2362" i="4"/>
  <c r="N3037" i="4"/>
  <c r="N2514" i="4"/>
  <c r="M357" i="4"/>
  <c r="M353" i="4"/>
  <c r="F1177" i="4"/>
  <c r="F392" i="4"/>
  <c r="M1208" i="4"/>
  <c r="F1958" i="4"/>
  <c r="N2351" i="4"/>
  <c r="M2428" i="4"/>
  <c r="N3618" i="4"/>
  <c r="F721" i="4"/>
  <c r="N2166" i="4"/>
  <c r="N2236" i="4"/>
  <c r="F1015" i="4"/>
  <c r="F1282" i="4"/>
  <c r="F1174" i="4"/>
  <c r="M436" i="4"/>
  <c r="M1364" i="4"/>
  <c r="F533" i="4"/>
  <c r="F1799" i="4"/>
  <c r="M3048" i="4"/>
  <c r="N2680" i="4"/>
  <c r="M1369" i="4"/>
  <c r="M907" i="4"/>
  <c r="N2240" i="4"/>
  <c r="M2608" i="4"/>
  <c r="F1895" i="4"/>
  <c r="M480" i="4"/>
  <c r="M1106" i="4"/>
  <c r="F455" i="4"/>
  <c r="M548" i="4"/>
  <c r="M500" i="4"/>
  <c r="M2198" i="4"/>
  <c r="F1211" i="4"/>
  <c r="M2148" i="4"/>
  <c r="N3444" i="4"/>
  <c r="M679" i="4"/>
  <c r="N2289" i="4"/>
  <c r="F1836" i="4"/>
  <c r="F891" i="4"/>
  <c r="F1262" i="4"/>
  <c r="M779" i="4"/>
  <c r="M893" i="4"/>
  <c r="N2609" i="4"/>
  <c r="F1564" i="4"/>
  <c r="M3195" i="4"/>
  <c r="M2904" i="4"/>
  <c r="F749" i="4"/>
  <c r="M1029" i="4"/>
  <c r="F1235" i="4"/>
  <c r="F2" i="4"/>
  <c r="M3662" i="4"/>
  <c r="M2270" i="4"/>
  <c r="F212" i="4"/>
  <c r="F414" i="4"/>
  <c r="F427" i="4"/>
  <c r="F1062" i="4"/>
  <c r="M388" i="4"/>
  <c r="M1465" i="4"/>
  <c r="M2371" i="4"/>
  <c r="M617" i="4"/>
  <c r="N2291" i="4"/>
  <c r="N2670" i="4"/>
  <c r="M855" i="4"/>
  <c r="N1923" i="4"/>
  <c r="F1199" i="4"/>
  <c r="N2463" i="4"/>
  <c r="F843" i="4"/>
  <c r="N2099" i="4"/>
  <c r="M2138" i="4"/>
  <c r="F631" i="4"/>
  <c r="F944" i="4"/>
  <c r="M1520" i="4"/>
  <c r="M837" i="4"/>
  <c r="M1903" i="4"/>
  <c r="M450" i="4"/>
  <c r="M356" i="4"/>
  <c r="M502" i="4"/>
  <c r="N2644" i="4"/>
  <c r="N3095" i="4"/>
  <c r="M2764" i="4"/>
  <c r="F566" i="4"/>
  <c r="F1647" i="4"/>
  <c r="N3416" i="4"/>
  <c r="M2328" i="4"/>
  <c r="M1238" i="4"/>
  <c r="F778" i="4"/>
  <c r="M2597" i="4"/>
  <c r="M585" i="4"/>
  <c r="F1284" i="4"/>
  <c r="M1646" i="4"/>
  <c r="M672" i="4"/>
  <c r="F1018" i="4"/>
  <c r="M1924" i="4"/>
  <c r="F355" i="4"/>
  <c r="M718" i="4"/>
  <c r="N3831" i="4"/>
  <c r="F495" i="4"/>
  <c r="F732" i="4"/>
  <c r="F1089" i="4"/>
  <c r="F516" i="4"/>
  <c r="N2482" i="4"/>
  <c r="N1797" i="4"/>
  <c r="F1032" i="4"/>
  <c r="M1260" i="4"/>
  <c r="F1985" i="4"/>
  <c r="M339" i="4"/>
  <c r="M705" i="4"/>
  <c r="M3671" i="4"/>
  <c r="F1651" i="4"/>
  <c r="F1550" i="4"/>
  <c r="M506" i="4"/>
  <c r="F387" i="4"/>
  <c r="F1096" i="4"/>
  <c r="F792" i="4"/>
  <c r="F1186" i="4"/>
  <c r="F1607" i="4"/>
  <c r="F131" i="4"/>
  <c r="M375" i="4"/>
  <c r="M42" i="4"/>
  <c r="F100" i="4"/>
  <c r="M371" i="4"/>
  <c r="M1573" i="4"/>
  <c r="M496" i="4"/>
  <c r="F168" i="4"/>
  <c r="M291" i="4"/>
  <c r="F321" i="4"/>
  <c r="F11" i="4"/>
  <c r="F204" i="4"/>
  <c r="M654" i="4"/>
  <c r="F478" i="4"/>
  <c r="F365" i="4"/>
  <c r="M303" i="4"/>
  <c r="F173" i="4"/>
  <c r="M248" i="4"/>
  <c r="M47" i="4"/>
  <c r="M239" i="4"/>
  <c r="F357" i="4"/>
  <c r="M478" i="4"/>
  <c r="Y130" i="15"/>
  <c r="L72" i="6"/>
  <c r="L2767" i="4"/>
  <c r="L1111" i="4"/>
  <c r="L661" i="4"/>
  <c r="L1646" i="4"/>
  <c r="L1343" i="4"/>
  <c r="L70" i="4"/>
  <c r="L103" i="4"/>
  <c r="L2700" i="4"/>
  <c r="L438" i="4"/>
  <c r="L262" i="6"/>
  <c r="L830" i="4"/>
  <c r="M2726" i="4"/>
  <c r="M2959" i="4"/>
  <c r="L952" i="4"/>
  <c r="L2172" i="4"/>
  <c r="M2830" i="4"/>
  <c r="N3586" i="4"/>
  <c r="M1482" i="4"/>
  <c r="L334" i="4"/>
  <c r="S206" i="2"/>
  <c r="M2279" i="4"/>
  <c r="M2437" i="4"/>
  <c r="N3849" i="4"/>
  <c r="L299" i="4"/>
  <c r="L948" i="4"/>
  <c r="N2460" i="4"/>
  <c r="N2629" i="4"/>
  <c r="S192" i="2"/>
  <c r="F349" i="6"/>
  <c r="L332" i="4"/>
  <c r="M3373" i="4"/>
  <c r="N3293" i="4"/>
  <c r="S588" i="2"/>
  <c r="L649" i="6"/>
  <c r="L2243" i="4"/>
  <c r="N2726" i="4"/>
  <c r="M3424" i="4"/>
  <c r="L619" i="4"/>
  <c r="L1229" i="4"/>
  <c r="M2559" i="4"/>
  <c r="L2395" i="4"/>
  <c r="L1086" i="4"/>
  <c r="M1376" i="4"/>
  <c r="N2027" i="4"/>
  <c r="N2019" i="4"/>
  <c r="N2391" i="4"/>
  <c r="S611" i="2"/>
  <c r="L640" i="4"/>
  <c r="M3194" i="4"/>
  <c r="F1796" i="4"/>
  <c r="M2324" i="4"/>
  <c r="L2455" i="4"/>
  <c r="M2839" i="4"/>
  <c r="N3012" i="4"/>
  <c r="N1800" i="4"/>
  <c r="N3319" i="4"/>
  <c r="M3073" i="4"/>
  <c r="F1493" i="4"/>
  <c r="L3060" i="4"/>
  <c r="M2677" i="4"/>
  <c r="M1615" i="4"/>
  <c r="F1967" i="4"/>
  <c r="M1549" i="4"/>
  <c r="F1135" i="4"/>
  <c r="M1149" i="4"/>
  <c r="N2941" i="4"/>
  <c r="M581" i="4"/>
  <c r="L1980" i="4"/>
  <c r="N3134" i="4"/>
  <c r="M2167" i="4"/>
  <c r="N2038" i="4"/>
  <c r="N2871" i="4"/>
  <c r="N3935" i="4"/>
  <c r="F1942" i="4"/>
  <c r="N2719" i="4"/>
  <c r="M751" i="4"/>
  <c r="F1752" i="4"/>
  <c r="F1889" i="4"/>
  <c r="N3524" i="4"/>
  <c r="N2222" i="4"/>
  <c r="M1450" i="4"/>
  <c r="L2444" i="4"/>
  <c r="L1009" i="4"/>
  <c r="F1637" i="4"/>
  <c r="M2984" i="4"/>
  <c r="F1794" i="4"/>
  <c r="M2155" i="4"/>
  <c r="M3727" i="4"/>
  <c r="M2626" i="4"/>
  <c r="F1434" i="4"/>
  <c r="M3088" i="4"/>
  <c r="F2059" i="4"/>
  <c r="N3887" i="4"/>
  <c r="M2684" i="4"/>
  <c r="N2156" i="4"/>
  <c r="M3146" i="4"/>
  <c r="M2319" i="4"/>
  <c r="F900" i="4"/>
  <c r="M2857" i="4"/>
  <c r="M954" i="4"/>
  <c r="F2046" i="4"/>
  <c r="M3552" i="4"/>
  <c r="M1992" i="4"/>
  <c r="F1102" i="4"/>
  <c r="M3121" i="4"/>
  <c r="M1287" i="4"/>
  <c r="F1392" i="4"/>
  <c r="N3051" i="4"/>
  <c r="F748" i="4"/>
  <c r="F932" i="4"/>
  <c r="L1018" i="4"/>
  <c r="L765" i="4"/>
  <c r="M2915" i="4"/>
  <c r="M3315" i="4"/>
  <c r="M3306" i="4"/>
  <c r="M2886" i="4"/>
  <c r="N2120" i="4"/>
  <c r="M3417" i="4"/>
  <c r="N2006" i="4"/>
  <c r="M1514" i="4"/>
  <c r="M2920" i="4"/>
  <c r="M2213" i="4"/>
  <c r="F1279" i="4"/>
  <c r="N2768" i="4"/>
  <c r="M2060" i="4"/>
  <c r="M3807" i="4"/>
  <c r="M3802" i="4"/>
  <c r="N1976" i="4"/>
  <c r="M571" i="4"/>
  <c r="N2464" i="4"/>
  <c r="M941" i="4"/>
  <c r="F847" i="4"/>
  <c r="M1951" i="4"/>
  <c r="F713" i="4"/>
  <c r="M723" i="4"/>
  <c r="L2305" i="4"/>
  <c r="S61" i="2"/>
  <c r="N712" i="4" s="1"/>
  <c r="N3418" i="4"/>
  <c r="N2494" i="4"/>
  <c r="M1280" i="4"/>
  <c r="M1895" i="4"/>
  <c r="M3881" i="4"/>
  <c r="N2698" i="4"/>
  <c r="F1938" i="4"/>
  <c r="M3846" i="4"/>
  <c r="M2769" i="4"/>
  <c r="M1878" i="4"/>
  <c r="N3453" i="4"/>
  <c r="M1859" i="4"/>
  <c r="M1423" i="4"/>
  <c r="M3122" i="4"/>
  <c r="N1874" i="4"/>
  <c r="M1263" i="4"/>
  <c r="M838" i="4"/>
  <c r="F1134" i="4"/>
  <c r="N2466" i="4"/>
  <c r="N3078" i="4"/>
  <c r="F1555" i="4"/>
  <c r="L63" i="4"/>
  <c r="L405" i="6"/>
  <c r="M1679" i="4"/>
  <c r="M2840" i="4"/>
  <c r="M2156" i="4"/>
  <c r="M2783" i="4"/>
  <c r="M1363" i="4"/>
  <c r="M2897" i="4"/>
  <c r="M2178" i="4"/>
  <c r="M1322" i="4"/>
  <c r="M3443" i="4"/>
  <c r="F1791" i="4"/>
  <c r="M3282" i="4"/>
  <c r="M2492" i="4"/>
  <c r="F1458" i="4"/>
  <c r="N3623" i="4"/>
  <c r="M2467" i="4"/>
  <c r="M1616" i="4"/>
  <c r="F1330" i="4"/>
  <c r="M2788" i="4"/>
  <c r="M915" i="4"/>
  <c r="F1259" i="4"/>
  <c r="M1823" i="4"/>
  <c r="M860" i="4"/>
  <c r="M2335" i="4"/>
  <c r="L1764" i="4"/>
  <c r="L1817" i="4"/>
  <c r="M3153" i="4"/>
  <c r="N2423" i="4"/>
  <c r="N1803" i="4"/>
  <c r="M2531" i="4"/>
  <c r="M1347" i="4"/>
  <c r="M3041" i="4"/>
  <c r="N2829" i="4"/>
  <c r="M1812" i="4"/>
  <c r="M2884" i="4"/>
  <c r="M2336" i="4"/>
  <c r="M1309" i="4"/>
  <c r="N3824" i="4"/>
  <c r="F2058" i="4"/>
  <c r="M1054" i="4"/>
  <c r="M3380" i="4"/>
  <c r="N2476" i="4"/>
  <c r="M1600" i="4"/>
  <c r="M2383" i="4"/>
  <c r="M2740" i="4"/>
  <c r="M902" i="4"/>
  <c r="F965" i="4"/>
  <c r="M2537" i="4"/>
  <c r="M847" i="4"/>
  <c r="M1050" i="4"/>
  <c r="F1291" i="4"/>
  <c r="F1515" i="4"/>
  <c r="N1859" i="4"/>
  <c r="M857" i="4"/>
  <c r="F1031" i="4"/>
  <c r="N3716" i="4"/>
  <c r="F525" i="4"/>
  <c r="N2816" i="4"/>
  <c r="S367" i="2"/>
  <c r="N1195" i="4" s="1"/>
  <c r="L1348" i="4"/>
  <c r="M3965" i="4"/>
  <c r="M2762" i="4"/>
  <c r="M2313" i="4"/>
  <c r="N2172" i="4"/>
  <c r="N2898" i="4"/>
  <c r="N2068" i="4"/>
  <c r="N3163" i="4"/>
  <c r="M2154" i="4"/>
  <c r="N3830" i="4"/>
  <c r="N3006" i="4"/>
  <c r="M1984" i="4"/>
  <c r="M3699" i="4"/>
  <c r="N2720" i="4"/>
  <c r="F1814" i="4"/>
  <c r="M1296" i="4"/>
  <c r="N2959" i="4"/>
  <c r="M2259" i="4"/>
  <c r="M1227" i="4"/>
  <c r="F630" i="4"/>
  <c r="F1378" i="4"/>
  <c r="M545" i="4"/>
  <c r="M609" i="4"/>
  <c r="N2462" i="4"/>
  <c r="M834" i="4"/>
  <c r="M1001" i="4"/>
  <c r="L3509" i="4"/>
  <c r="L3095" i="4"/>
  <c r="M2010" i="4"/>
  <c r="F1592" i="4"/>
  <c r="N3336" i="4"/>
  <c r="M1908" i="4"/>
  <c r="M1359" i="4"/>
  <c r="N1847" i="4"/>
  <c r="M2441" i="4"/>
  <c r="M1212" i="4"/>
  <c r="M618" i="4"/>
  <c r="N1865" i="4"/>
  <c r="N3256" i="4"/>
  <c r="N1718" i="4"/>
  <c r="M3160" i="4"/>
  <c r="M2432" i="4"/>
  <c r="M1842" i="4"/>
  <c r="M1393" i="4"/>
  <c r="N2416" i="4"/>
  <c r="M3819" i="4"/>
  <c r="N3740" i="4"/>
  <c r="M2667" i="4"/>
  <c r="N3742" i="4"/>
  <c r="N3005" i="4"/>
  <c r="M2332" i="4"/>
  <c r="F1663" i="4"/>
  <c r="F1327" i="4"/>
  <c r="M3644" i="4"/>
  <c r="L754" i="4"/>
  <c r="N2124" i="4"/>
  <c r="M2360" i="4"/>
  <c r="F1978" i="4"/>
  <c r="M3004" i="4"/>
  <c r="N3241" i="4"/>
  <c r="M1781" i="4"/>
  <c r="M752" i="4"/>
  <c r="M761" i="4"/>
  <c r="F962" i="4"/>
  <c r="M1084" i="4"/>
  <c r="M1311" i="4"/>
  <c r="N2781" i="4"/>
  <c r="M2176" i="4"/>
  <c r="M1758" i="4"/>
  <c r="M1274" i="4"/>
  <c r="L2488" i="4"/>
  <c r="F1881" i="4"/>
  <c r="N1794" i="4"/>
  <c r="F1107" i="4"/>
  <c r="M2848" i="4"/>
  <c r="F1994" i="4"/>
  <c r="M1552" i="4"/>
  <c r="M2210" i="4"/>
  <c r="M1544" i="4"/>
  <c r="N3838" i="4"/>
  <c r="N3940" i="4"/>
  <c r="N3376" i="4"/>
  <c r="M1676" i="4"/>
  <c r="M910" i="4"/>
  <c r="F1923" i="4"/>
  <c r="M3559" i="4"/>
  <c r="M3329" i="4"/>
  <c r="F2070" i="4"/>
  <c r="F1414" i="4"/>
  <c r="N3002" i="4"/>
  <c r="M938" i="4"/>
  <c r="F883" i="4"/>
  <c r="M3803" i="4"/>
  <c r="F1685" i="4"/>
  <c r="N3590" i="4"/>
  <c r="M2600" i="4"/>
  <c r="M2091" i="4"/>
  <c r="F689" i="4"/>
  <c r="M1870" i="4"/>
  <c r="F1947" i="4"/>
  <c r="S621" i="2"/>
  <c r="M1667" i="4"/>
  <c r="M2274" i="4"/>
  <c r="N2160" i="4"/>
  <c r="M3173" i="4"/>
  <c r="N3837" i="4"/>
  <c r="M3784" i="4"/>
  <c r="F1237" i="4"/>
  <c r="F1046" i="4"/>
  <c r="F1243" i="4"/>
  <c r="M2989" i="4"/>
  <c r="N2585" i="4"/>
  <c r="N3876" i="4"/>
  <c r="M935" i="4"/>
  <c r="F841" i="4"/>
  <c r="N3178" i="4"/>
  <c r="N3594" i="4"/>
  <c r="N1905" i="4"/>
  <c r="F508" i="4"/>
  <c r="F1273" i="4"/>
  <c r="F1508" i="4"/>
  <c r="F590" i="4"/>
  <c r="M1179" i="4"/>
  <c r="N2479" i="4"/>
  <c r="M696" i="4"/>
  <c r="M831" i="4"/>
  <c r="M564" i="4"/>
  <c r="F1684" i="4"/>
  <c r="N3921" i="4"/>
  <c r="N3894" i="4"/>
  <c r="N2754" i="4"/>
  <c r="F1056" i="4"/>
  <c r="F375" i="4"/>
  <c r="F411" i="4"/>
  <c r="F23" i="4"/>
  <c r="N2561" i="4"/>
  <c r="F994" i="4"/>
  <c r="M1306" i="4"/>
  <c r="M2364" i="4"/>
  <c r="M3668" i="4"/>
  <c r="M947" i="4"/>
  <c r="F1455" i="4"/>
  <c r="M2704" i="4"/>
  <c r="M2064" i="4"/>
  <c r="F18" i="4"/>
  <c r="M1063" i="4"/>
  <c r="M1027" i="4"/>
  <c r="M385" i="4"/>
  <c r="F540" i="4"/>
  <c r="M964" i="4"/>
  <c r="N2295" i="4"/>
  <c r="M2292" i="4"/>
  <c r="N3085" i="4"/>
  <c r="N2106" i="4"/>
  <c r="F1016" i="4"/>
  <c r="M1129" i="4"/>
  <c r="M1202" i="4"/>
  <c r="F980" i="4"/>
  <c r="F601" i="4"/>
  <c r="M3792" i="4"/>
  <c r="M1151" i="4"/>
  <c r="M317" i="4"/>
  <c r="F1297" i="4"/>
  <c r="M2717" i="4"/>
  <c r="M3472" i="4"/>
  <c r="M3475" i="4"/>
  <c r="F695" i="4"/>
  <c r="M1075" i="4"/>
  <c r="N1854" i="4"/>
  <c r="F1756" i="4"/>
  <c r="F44" i="4"/>
  <c r="F1001" i="4"/>
  <c r="M376" i="4"/>
  <c r="F1325" i="4"/>
  <c r="M3005" i="4"/>
  <c r="F1593" i="4"/>
  <c r="F1343" i="4"/>
  <c r="N1795" i="4"/>
  <c r="N2766" i="4"/>
  <c r="F1699" i="4"/>
  <c r="M1401" i="4"/>
  <c r="M1719" i="4"/>
  <c r="M955" i="4"/>
  <c r="F523" i="4"/>
  <c r="M336" i="4"/>
  <c r="M482" i="4"/>
  <c r="F808" i="4"/>
  <c r="N3269" i="4"/>
  <c r="M660" i="4"/>
  <c r="M2621" i="4"/>
  <c r="N3856" i="4"/>
  <c r="M830" i="4"/>
  <c r="F945" i="4"/>
  <c r="M3220" i="4"/>
  <c r="M3096" i="4"/>
  <c r="F1764" i="4"/>
  <c r="N2989" i="4"/>
  <c r="M451" i="4"/>
  <c r="F1309" i="4"/>
  <c r="M971" i="4"/>
  <c r="M432" i="4"/>
  <c r="M2644" i="4"/>
  <c r="F909" i="4"/>
  <c r="M1373" i="4"/>
  <c r="M1532" i="4"/>
  <c r="M3347" i="4"/>
  <c r="F646" i="4"/>
  <c r="M1639" i="4"/>
  <c r="M2431" i="4"/>
  <c r="N1863" i="4"/>
  <c r="M604" i="4"/>
  <c r="M1475" i="4"/>
  <c r="N1737" i="4"/>
  <c r="M389" i="4"/>
  <c r="M758" i="4"/>
  <c r="M1704" i="4"/>
  <c r="F1168" i="4"/>
  <c r="M714" i="4"/>
  <c r="N2241" i="4"/>
  <c r="M403" i="4"/>
  <c r="M2554" i="4"/>
  <c r="M1958" i="4"/>
  <c r="N2521" i="4"/>
  <c r="N1934" i="4"/>
  <c r="M1637" i="4"/>
  <c r="M1665" i="4"/>
  <c r="M2333" i="4"/>
  <c r="M1825" i="4"/>
  <c r="M1374" i="4"/>
  <c r="M508" i="4"/>
  <c r="M865" i="4"/>
  <c r="F647" i="4"/>
  <c r="N2353" i="4"/>
  <c r="M735" i="4"/>
  <c r="F1140" i="4"/>
  <c r="F829" i="4"/>
  <c r="N2251" i="4"/>
  <c r="M470" i="4"/>
  <c r="N3268" i="4"/>
  <c r="M3920" i="4"/>
  <c r="F431" i="4"/>
  <c r="F429" i="4"/>
  <c r="F1276" i="4"/>
  <c r="N2375" i="4"/>
  <c r="M3507" i="4"/>
  <c r="M1830" i="4"/>
  <c r="M552" i="4"/>
  <c r="M1305" i="4"/>
  <c r="N1841" i="4"/>
  <c r="M458" i="4"/>
  <c r="N2130" i="4"/>
  <c r="N3530" i="4"/>
  <c r="F704" i="4"/>
  <c r="F420" i="4"/>
  <c r="F442" i="4"/>
  <c r="F502" i="4"/>
  <c r="M390" i="4"/>
  <c r="M1339" i="4"/>
  <c r="F681" i="4"/>
  <c r="M422" i="4"/>
  <c r="F288" i="4"/>
  <c r="F146" i="4"/>
  <c r="M186" i="4"/>
  <c r="F257" i="4"/>
  <c r="F398" i="4"/>
  <c r="F471" i="4"/>
  <c r="F433" i="4"/>
  <c r="F337" i="4"/>
  <c r="F319" i="4"/>
  <c r="M125" i="4"/>
  <c r="F177" i="4"/>
  <c r="F1328" i="4"/>
  <c r="M463" i="4"/>
  <c r="L1232" i="6"/>
  <c r="L3032" i="4"/>
  <c r="S647" i="2"/>
  <c r="L2492" i="4"/>
  <c r="L687" i="6"/>
  <c r="L1673" i="4"/>
  <c r="L437" i="4"/>
  <c r="S509" i="2"/>
  <c r="L2500" i="4"/>
  <c r="F1500" i="6"/>
  <c r="M3389" i="4"/>
  <c r="L708" i="4"/>
  <c r="L710" i="4"/>
  <c r="M2110" i="4"/>
  <c r="M2748" i="4"/>
  <c r="L688" i="4"/>
  <c r="L1292" i="4"/>
  <c r="M2619" i="4"/>
  <c r="N3021" i="4"/>
  <c r="M3213" i="4"/>
  <c r="L2425" i="4"/>
  <c r="L1192" i="4"/>
  <c r="M2006" i="4"/>
  <c r="M1874" i="4"/>
  <c r="M2579" i="4"/>
  <c r="F375" i="6"/>
  <c r="F606" i="6"/>
  <c r="F1975" i="4"/>
  <c r="N3509" i="4"/>
  <c r="L210" i="4"/>
  <c r="L1244" i="4"/>
  <c r="N3967" i="4"/>
  <c r="N2557" i="4"/>
  <c r="N2616" i="4"/>
  <c r="L146" i="4"/>
  <c r="L1407" i="4"/>
  <c r="S244" i="2"/>
  <c r="N253" i="4" s="1"/>
  <c r="M1931" i="4"/>
  <c r="M2544" i="4"/>
  <c r="L1005" i="6"/>
  <c r="L1418" i="6"/>
  <c r="M2087" i="4"/>
  <c r="L1891" i="4"/>
  <c r="F13" i="6"/>
  <c r="N3828" i="4"/>
  <c r="F1640" i="4"/>
  <c r="N2264" i="4"/>
  <c r="N1740" i="4"/>
  <c r="L439" i="4"/>
  <c r="S187" i="2"/>
  <c r="N347" i="4" s="1"/>
  <c r="N2899" i="4"/>
  <c r="M1603" i="4"/>
  <c r="N2227" i="4"/>
  <c r="L3078" i="4"/>
  <c r="M2032" i="4"/>
  <c r="N2070" i="4"/>
  <c r="N2112" i="4"/>
  <c r="N3230" i="4"/>
  <c r="M2062" i="4"/>
  <c r="F597" i="4"/>
  <c r="F1476" i="6"/>
  <c r="N1804" i="4"/>
  <c r="M1766" i="4"/>
  <c r="N2261" i="4"/>
  <c r="F1412" i="4"/>
  <c r="N3898" i="4"/>
  <c r="F1643" i="4"/>
  <c r="M2682" i="4"/>
  <c r="M1389" i="4"/>
  <c r="L44" i="4"/>
  <c r="F1980" i="4"/>
  <c r="N1891" i="4"/>
  <c r="N1830" i="4"/>
  <c r="N2861" i="4"/>
  <c r="M3370" i="4"/>
  <c r="N2523" i="4"/>
  <c r="M2659" i="4"/>
  <c r="F799" i="4"/>
  <c r="M1220" i="4"/>
  <c r="N1761" i="4"/>
  <c r="N2859" i="4"/>
  <c r="M1119" i="4"/>
  <c r="F923" i="4"/>
  <c r="L3812" i="4"/>
  <c r="L1008" i="4"/>
  <c r="N2089" i="4"/>
  <c r="N3038" i="4"/>
  <c r="N3930" i="4"/>
  <c r="F1850" i="4"/>
  <c r="M3542" i="4"/>
  <c r="M2470" i="4"/>
  <c r="M1755" i="4"/>
  <c r="M3697" i="4"/>
  <c r="N2403" i="4"/>
  <c r="N3735" i="4"/>
  <c r="M2528" i="4"/>
  <c r="M1611" i="4"/>
  <c r="M2858" i="4"/>
  <c r="M2175" i="4"/>
  <c r="M583" i="4"/>
  <c r="N2560" i="4"/>
  <c r="F790" i="4"/>
  <c r="F1023" i="4"/>
  <c r="N3187" i="4"/>
  <c r="F727" i="4"/>
  <c r="F910" i="4"/>
  <c r="N2730" i="4"/>
  <c r="M1018" i="4"/>
  <c r="F1097" i="4"/>
  <c r="N2868" i="4"/>
  <c r="F579" i="4"/>
  <c r="F760" i="4"/>
  <c r="L2558" i="4"/>
  <c r="S514" i="2"/>
  <c r="N3907" i="4"/>
  <c r="N1823" i="4"/>
  <c r="N3202" i="4"/>
  <c r="N3619" i="4"/>
  <c r="M1567" i="4"/>
  <c r="N3362" i="4"/>
  <c r="M3480" i="4"/>
  <c r="M1137" i="4"/>
  <c r="N3582" i="4"/>
  <c r="M2036" i="4"/>
  <c r="M3795" i="4"/>
  <c r="N2612" i="4"/>
  <c r="N2259" i="4"/>
  <c r="N3511" i="4"/>
  <c r="M2779" i="4"/>
  <c r="N1762" i="4"/>
  <c r="M1405" i="4"/>
  <c r="M2268" i="4"/>
  <c r="M772" i="4"/>
  <c r="M669" i="4"/>
  <c r="N2051" i="4"/>
  <c r="M542" i="4"/>
  <c r="M554" i="4"/>
  <c r="L740" i="4"/>
  <c r="L538" i="4"/>
  <c r="N3083" i="4"/>
  <c r="F2056" i="4"/>
  <c r="M1590" i="4"/>
  <c r="N2906" i="4"/>
  <c r="M3655" i="4"/>
  <c r="N3702" i="4"/>
  <c r="N1729" i="4"/>
  <c r="N3515" i="4"/>
  <c r="M2601" i="4"/>
  <c r="F1705" i="4"/>
  <c r="M3123" i="4"/>
  <c r="N2378" i="4"/>
  <c r="M1252" i="4"/>
  <c r="M2978" i="4"/>
  <c r="N2422" i="4"/>
  <c r="M1089" i="4"/>
  <c r="N2250" i="4"/>
  <c r="F927" i="4"/>
  <c r="N2045" i="4"/>
  <c r="M2633" i="4"/>
  <c r="M873" i="4"/>
  <c r="L191" i="6"/>
  <c r="L372" i="4"/>
  <c r="M1626" i="4"/>
  <c r="N2689" i="4"/>
  <c r="M1962" i="4"/>
  <c r="M2543" i="4"/>
  <c r="F1187" i="4"/>
  <c r="M3296" i="4"/>
  <c r="M1973" i="4"/>
  <c r="F1212" i="4"/>
  <c r="N2697" i="4"/>
  <c r="M1914" i="4"/>
  <c r="M3733" i="4"/>
  <c r="N2833" i="4"/>
  <c r="N1956" i="4"/>
  <c r="N3452" i="4"/>
  <c r="N2524" i="4"/>
  <c r="F1457" i="4"/>
  <c r="F667" i="4"/>
  <c r="N2421" i="4"/>
  <c r="F742" i="4"/>
  <c r="M635" i="4"/>
  <c r="F1882" i="4"/>
  <c r="F687" i="4"/>
  <c r="F1034" i="4"/>
  <c r="L578" i="4"/>
  <c r="L1165" i="4"/>
  <c r="M3384" i="4"/>
  <c r="F1864" i="4"/>
  <c r="N2316" i="4"/>
  <c r="M3317" i="4"/>
  <c r="F1171" i="4"/>
  <c r="M2873" i="4"/>
  <c r="M2322" i="4"/>
  <c r="F1556" i="4"/>
  <c r="N3288" i="4"/>
  <c r="M2177" i="4"/>
  <c r="M3949" i="4"/>
  <c r="M3421" i="4"/>
  <c r="M2393" i="4"/>
  <c r="M1760" i="4"/>
  <c r="M3098" i="4"/>
  <c r="N2034" i="4"/>
  <c r="F1445" i="4"/>
  <c r="F1306" i="4"/>
  <c r="N2030" i="4"/>
  <c r="F729" i="4"/>
  <c r="F804" i="4"/>
  <c r="N3104" i="4"/>
  <c r="F670" i="4"/>
  <c r="M1864" i="4"/>
  <c r="M3244" i="4"/>
  <c r="M1120" i="4"/>
  <c r="N1700" i="4"/>
  <c r="N2138" i="4"/>
  <c r="F868" i="4"/>
  <c r="N3622" i="4"/>
  <c r="F1059" i="4"/>
  <c r="N2473" i="4"/>
  <c r="L1961" i="4"/>
  <c r="L478" i="4"/>
  <c r="N3520" i="4"/>
  <c r="M2059" i="4"/>
  <c r="F1807" i="4"/>
  <c r="F1368" i="4"/>
  <c r="M1831" i="4"/>
  <c r="M1350" i="4"/>
  <c r="N3153" i="4"/>
  <c r="F1932" i="4"/>
  <c r="N3604" i="4"/>
  <c r="N2661" i="4"/>
  <c r="N3204" i="4"/>
  <c r="M3880" i="4"/>
  <c r="N2564" i="4"/>
  <c r="N1977" i="4"/>
  <c r="M3836" i="4"/>
  <c r="N2997" i="4"/>
  <c r="M2115" i="4"/>
  <c r="M1053" i="4"/>
  <c r="M1693" i="4"/>
  <c r="M1177" i="4"/>
  <c r="M662" i="4"/>
  <c r="F1523" i="4"/>
  <c r="N2044" i="4"/>
  <c r="M651" i="4"/>
  <c r="F845" i="4"/>
  <c r="L2161" i="4"/>
  <c r="S598" i="2"/>
  <c r="N1010" i="4" s="1"/>
  <c r="L1763" i="4"/>
  <c r="N3030" i="4"/>
  <c r="N2493" i="4"/>
  <c r="F1680" i="4"/>
  <c r="M1454" i="4"/>
  <c r="N2142" i="4"/>
  <c r="M1545" i="4"/>
  <c r="M872" i="4"/>
  <c r="F1375" i="4"/>
  <c r="N2096" i="4"/>
  <c r="M3663" i="4"/>
  <c r="M1491" i="4"/>
  <c r="N3053" i="4"/>
  <c r="M2380" i="4"/>
  <c r="F1725" i="4"/>
  <c r="N2218" i="4"/>
  <c r="N2147" i="4"/>
  <c r="M2670" i="4"/>
  <c r="M3120" i="4"/>
  <c r="M3591" i="4"/>
  <c r="N3498" i="4"/>
  <c r="M2685" i="4"/>
  <c r="F1778" i="4"/>
  <c r="F594" i="4"/>
  <c r="N2968" i="4"/>
  <c r="N3137" i="4"/>
  <c r="L3580" i="4"/>
  <c r="M3680" i="4"/>
  <c r="M3756" i="4"/>
  <c r="F1654" i="4"/>
  <c r="N2793" i="4"/>
  <c r="M2188" i="4"/>
  <c r="M1523" i="4"/>
  <c r="F754" i="4"/>
  <c r="M1045" i="4"/>
  <c r="M748" i="4"/>
  <c r="N3229" i="4"/>
  <c r="M3350" i="4"/>
  <c r="M2529" i="4"/>
  <c r="N1913" i="4"/>
  <c r="M1511" i="4"/>
  <c r="M738" i="4"/>
  <c r="L2574" i="4"/>
  <c r="M1094" i="4"/>
  <c r="M3009" i="4"/>
  <c r="N3895" i="4"/>
  <c r="N2637" i="4"/>
  <c r="N1727" i="4"/>
  <c r="M1453" i="4"/>
  <c r="M1452" i="4"/>
  <c r="M710" i="4"/>
  <c r="M2785" i="4"/>
  <c r="M2981" i="4"/>
  <c r="M2273" i="4"/>
  <c r="N2205" i="4"/>
  <c r="M2548" i="4"/>
  <c r="N3499" i="4"/>
  <c r="N3508" i="4"/>
  <c r="N2537" i="4"/>
  <c r="F1966" i="4"/>
  <c r="M1213" i="4"/>
  <c r="F1495" i="4"/>
  <c r="F699" i="4"/>
  <c r="F684" i="4"/>
  <c r="N3279" i="4"/>
  <c r="N1893" i="4"/>
  <c r="N3111" i="4"/>
  <c r="N3152" i="4"/>
  <c r="N1848" i="4"/>
  <c r="N3205" i="4"/>
  <c r="M1161" i="4"/>
  <c r="N2107" i="4"/>
  <c r="L1294" i="4"/>
  <c r="M3460" i="4"/>
  <c r="M2334" i="4"/>
  <c r="N2491" i="4"/>
  <c r="M3050" i="4"/>
  <c r="M3299" i="4"/>
  <c r="F1646" i="4"/>
  <c r="M885" i="4"/>
  <c r="F857" i="4"/>
  <c r="F947" i="4"/>
  <c r="M2256" i="4"/>
  <c r="M1871" i="4"/>
  <c r="N3089" i="4"/>
  <c r="F722" i="4"/>
  <c r="M628" i="4"/>
  <c r="N2717" i="4"/>
  <c r="N2999" i="4"/>
  <c r="N1725" i="4"/>
  <c r="F645" i="4"/>
  <c r="F642" i="4"/>
  <c r="F389" i="4"/>
  <c r="M815" i="4"/>
  <c r="F385" i="4"/>
  <c r="M934" i="4"/>
  <c r="M683" i="4"/>
  <c r="F620" i="4"/>
  <c r="M1286" i="4"/>
  <c r="F1017" i="4"/>
  <c r="M3097" i="4"/>
  <c r="M3899" i="4"/>
  <c r="M2550" i="4"/>
  <c r="F384" i="4"/>
  <c r="M1292" i="4"/>
  <c r="F520" i="4"/>
  <c r="M1559" i="4"/>
  <c r="M806" i="4"/>
  <c r="M646" i="4"/>
  <c r="F974" i="4"/>
  <c r="N2431" i="4"/>
  <c r="M2610" i="4"/>
  <c r="F734" i="4"/>
  <c r="F1195" i="4"/>
  <c r="N1982" i="4"/>
  <c r="N2203" i="4"/>
  <c r="F164" i="4"/>
  <c r="M639" i="4"/>
  <c r="N2090" i="4"/>
  <c r="F501" i="4"/>
  <c r="F465" i="4"/>
  <c r="M1131" i="4"/>
  <c r="M1371" i="4"/>
  <c r="N1947" i="4"/>
  <c r="M2562" i="4"/>
  <c r="F1052" i="4"/>
  <c r="F839" i="4"/>
  <c r="M1294" i="4"/>
  <c r="F1051" i="4"/>
  <c r="M338" i="4"/>
  <c r="M378" i="4"/>
  <c r="F928" i="4"/>
  <c r="F589" i="4"/>
  <c r="M472" i="4"/>
  <c r="M1496" i="4"/>
  <c r="M2368" i="4"/>
  <c r="M2244" i="4"/>
  <c r="N2886" i="4"/>
  <c r="M1749" i="4"/>
  <c r="M1641" i="4"/>
  <c r="M1922" i="4"/>
  <c r="M1510" i="4"/>
  <c r="F188" i="4"/>
  <c r="M1685" i="4"/>
  <c r="M423" i="4"/>
  <c r="M2940" i="4"/>
  <c r="M2397" i="4"/>
  <c r="F935" i="4"/>
  <c r="F895" i="4"/>
  <c r="M1728" i="4"/>
  <c r="M2466" i="4"/>
  <c r="M534" i="4"/>
  <c r="M810" i="4"/>
  <c r="N2285" i="4"/>
  <c r="F1321" i="4"/>
  <c r="F1516" i="4"/>
  <c r="M493" i="4"/>
  <c r="F797" i="4"/>
  <c r="M891" i="4"/>
  <c r="F850" i="4"/>
  <c r="N3764" i="4"/>
  <c r="N2032" i="4"/>
  <c r="M3037" i="4"/>
  <c r="F619" i="4"/>
  <c r="M732" i="4"/>
  <c r="M3328" i="4"/>
  <c r="N2716" i="4"/>
  <c r="F1405" i="4"/>
  <c r="F837" i="4"/>
  <c r="M3951" i="4"/>
  <c r="M387" i="4"/>
  <c r="F1544" i="4"/>
  <c r="N2069" i="4"/>
  <c r="N3546" i="4"/>
  <c r="M1290" i="4"/>
  <c r="F1008" i="4"/>
  <c r="F881" i="4"/>
  <c r="M2186" i="4"/>
  <c r="F1358" i="4"/>
  <c r="M1802" i="4"/>
  <c r="F972" i="4"/>
  <c r="F896" i="4"/>
  <c r="F1314" i="4"/>
  <c r="F855" i="4"/>
  <c r="F1641" i="4"/>
  <c r="F26" i="4"/>
  <c r="M562" i="4"/>
  <c r="M3572" i="4"/>
  <c r="F530" i="4"/>
  <c r="M827" i="4"/>
  <c r="F1631" i="4"/>
  <c r="N2657" i="4"/>
  <c r="N3556" i="4"/>
  <c r="F583" i="4"/>
  <c r="F2022" i="4"/>
  <c r="M2377" i="4"/>
  <c r="N3964" i="4"/>
  <c r="M1028" i="4"/>
  <c r="F2030" i="4"/>
  <c r="M1680" i="4"/>
  <c r="M2125" i="4"/>
  <c r="F444" i="4"/>
  <c r="F470" i="4"/>
  <c r="F720" i="4"/>
  <c r="F1037" i="4"/>
  <c r="M1164" i="4"/>
  <c r="M883" i="4"/>
  <c r="M616" i="4"/>
  <c r="M1522" i="4"/>
  <c r="N3879" i="4"/>
  <c r="M980" i="4"/>
  <c r="N2993" i="4"/>
  <c r="F116" i="4"/>
  <c r="F1540" i="4"/>
  <c r="M1102" i="4"/>
  <c r="M690" i="4"/>
  <c r="M2768" i="4"/>
  <c r="M722" i="4"/>
  <c r="F1210" i="4"/>
  <c r="M998" i="4"/>
  <c r="N2036" i="4"/>
  <c r="M3695" i="4"/>
  <c r="F1228" i="4"/>
  <c r="M3293" i="4"/>
  <c r="M1605" i="4"/>
  <c r="M413" i="4"/>
  <c r="M360" i="4"/>
  <c r="M358" i="4"/>
  <c r="M498" i="4"/>
  <c r="F1498" i="6"/>
  <c r="L2569" i="4"/>
  <c r="S53" i="2"/>
  <c r="L3107" i="4"/>
  <c r="L812" i="6"/>
  <c r="AA48" i="15"/>
  <c r="L745" i="4"/>
  <c r="L46" i="4"/>
  <c r="L169" i="6"/>
  <c r="L1857" i="4"/>
  <c r="N2703" i="4"/>
  <c r="F706" i="6"/>
  <c r="L1412" i="4"/>
  <c r="N1709" i="4"/>
  <c r="F1849" i="4"/>
  <c r="S502" i="2"/>
  <c r="L99" i="4"/>
  <c r="N2406" i="4"/>
  <c r="M2593" i="4"/>
  <c r="M2946" i="4"/>
  <c r="L2065" i="4"/>
  <c r="S9" i="2"/>
  <c r="N431" i="4" s="1"/>
  <c r="M1247" i="4"/>
  <c r="N1831" i="4"/>
  <c r="N2357" i="4"/>
  <c r="L2347" i="4"/>
  <c r="L881" i="4"/>
  <c r="M1440" i="4"/>
  <c r="F1928" i="4"/>
  <c r="L2459" i="4"/>
  <c r="L541" i="4"/>
  <c r="M3641" i="4"/>
  <c r="N2048" i="4"/>
  <c r="N3106" i="4"/>
  <c r="L268" i="4"/>
  <c r="L679" i="4"/>
  <c r="M3230" i="4"/>
  <c r="M2369" i="4"/>
  <c r="N2970" i="4"/>
  <c r="L2473" i="4"/>
  <c r="L1393" i="4"/>
  <c r="L853" i="6"/>
  <c r="L1011" i="4"/>
  <c r="L97" i="4"/>
  <c r="N3466" i="4"/>
  <c r="M3598" i="4"/>
  <c r="M3905" i="4"/>
  <c r="F1425" i="4"/>
  <c r="L3108" i="4"/>
  <c r="F240" i="6"/>
  <c r="N3657" i="4"/>
  <c r="N3862" i="4"/>
  <c r="F1384" i="4"/>
  <c r="L1010" i="4"/>
  <c r="N2131" i="4"/>
  <c r="N1862" i="4"/>
  <c r="F1565" i="4"/>
  <c r="M3038" i="4"/>
  <c r="N2195" i="4"/>
  <c r="F1238" i="4"/>
  <c r="L2478" i="4"/>
  <c r="N2320" i="4"/>
  <c r="M1469" i="4"/>
  <c r="M1669" i="4"/>
  <c r="M1593" i="4"/>
  <c r="N3696" i="4"/>
  <c r="F924" i="4"/>
  <c r="N1809" i="4"/>
  <c r="F643" i="4"/>
  <c r="L1841" i="4"/>
  <c r="N1768" i="4"/>
  <c r="M1599" i="4"/>
  <c r="M2082" i="4"/>
  <c r="N2745" i="4"/>
  <c r="M3586" i="4"/>
  <c r="M1627" i="4"/>
  <c r="N2481" i="4"/>
  <c r="M874" i="4"/>
  <c r="F966" i="4"/>
  <c r="N2148" i="4"/>
  <c r="M2777" i="4"/>
  <c r="M913" i="4"/>
  <c r="M749" i="4"/>
  <c r="L361" i="4"/>
  <c r="F497" i="6"/>
  <c r="N3697" i="4"/>
  <c r="M2629" i="4"/>
  <c r="M3866" i="4"/>
  <c r="F1793" i="4"/>
  <c r="M3260" i="4"/>
  <c r="N2488" i="4"/>
  <c r="M1526" i="4"/>
  <c r="N3841" i="4"/>
  <c r="N1837" i="4"/>
  <c r="M3346" i="4"/>
  <c r="N3356" i="4"/>
  <c r="M1276" i="4"/>
  <c r="N3211" i="4"/>
  <c r="M1989" i="4"/>
  <c r="F1497" i="4"/>
  <c r="N3144" i="4"/>
  <c r="F612" i="4"/>
  <c r="F860" i="4"/>
  <c r="M2015" i="4"/>
  <c r="F557" i="4"/>
  <c r="M736" i="4"/>
  <c r="M2526" i="4"/>
  <c r="M845" i="4"/>
  <c r="F908" i="4"/>
  <c r="N2517" i="4"/>
  <c r="M1130" i="4"/>
  <c r="M589" i="4"/>
  <c r="L3173" i="4"/>
  <c r="F532" i="6"/>
  <c r="N2727" i="4"/>
  <c r="N3948" i="4"/>
  <c r="N3630" i="4"/>
  <c r="N2735" i="4"/>
  <c r="M1395" i="4"/>
  <c r="M3077" i="4"/>
  <c r="N2332" i="4"/>
  <c r="F2062" i="4"/>
  <c r="N3714" i="4"/>
  <c r="M2349" i="4"/>
  <c r="N3909" i="4"/>
  <c r="M2672" i="4"/>
  <c r="F1669" i="4"/>
  <c r="M3257" i="4"/>
  <c r="M2635" i="4"/>
  <c r="N2159" i="4"/>
  <c r="F767" i="4"/>
  <c r="F1762" i="4"/>
  <c r="F599" i="4"/>
  <c r="F1735" i="4"/>
  <c r="N1808" i="4"/>
  <c r="N3822" i="4"/>
  <c r="L1984" i="6"/>
  <c r="L841" i="6"/>
  <c r="L2261" i="4"/>
  <c r="N3621" i="4"/>
  <c r="N2183" i="4"/>
  <c r="N3834" i="4"/>
  <c r="M2131" i="4"/>
  <c r="M3816" i="4"/>
  <c r="M2758" i="4"/>
  <c r="N1895" i="4"/>
  <c r="M3247" i="4"/>
  <c r="N3771" i="4"/>
  <c r="M1501" i="4"/>
  <c r="M2967" i="4"/>
  <c r="M2248" i="4"/>
  <c r="M1078" i="4"/>
  <c r="M2834" i="4"/>
  <c r="M2295" i="4"/>
  <c r="F1870" i="4"/>
  <c r="F1538" i="4"/>
  <c r="M753" i="4"/>
  <c r="N2155" i="4"/>
  <c r="N1968" i="4"/>
  <c r="F700" i="4"/>
  <c r="L2239" i="4"/>
  <c r="L2429" i="4"/>
  <c r="M3454" i="4"/>
  <c r="M2485" i="4"/>
  <c r="F1474" i="4"/>
  <c r="N2444" i="4"/>
  <c r="N2217" i="4"/>
  <c r="N3277" i="4"/>
  <c r="M2030" i="4"/>
  <c r="N3652" i="4"/>
  <c r="N3695" i="4"/>
  <c r="N1716" i="4"/>
  <c r="M3568" i="4"/>
  <c r="M2051" i="4"/>
  <c r="M1563" i="4"/>
  <c r="M3404" i="4"/>
  <c r="N2050" i="4"/>
  <c r="F2031" i="4"/>
  <c r="M1198" i="4"/>
  <c r="M2172" i="4"/>
  <c r="M1003" i="4"/>
  <c r="F1615" i="4"/>
  <c r="N1712" i="4"/>
  <c r="N2186" i="4"/>
  <c r="F543" i="6"/>
  <c r="F475" i="6"/>
  <c r="L123" i="4"/>
  <c r="N2804" i="4"/>
  <c r="M1722" i="4"/>
  <c r="F1416" i="4"/>
  <c r="M1847" i="4"/>
  <c r="N2169" i="4"/>
  <c r="N3227" i="4"/>
  <c r="M2166" i="4"/>
  <c r="M1310" i="4"/>
  <c r="N3267" i="4"/>
  <c r="M1972" i="4"/>
  <c r="M3723" i="4"/>
  <c r="N2732" i="4"/>
  <c r="N1836" i="4"/>
  <c r="M1478" i="4"/>
  <c r="M2954" i="4"/>
  <c r="N1842" i="4"/>
  <c r="F1950" i="4"/>
  <c r="F651" i="4"/>
  <c r="M2124" i="4"/>
  <c r="F560" i="4"/>
  <c r="M622" i="4"/>
  <c r="N2531" i="4"/>
  <c r="M1894" i="4"/>
  <c r="F1021" i="4"/>
  <c r="M2833" i="4"/>
  <c r="F675" i="4"/>
  <c r="F1745" i="4"/>
  <c r="M3575" i="4"/>
  <c r="M694" i="4"/>
  <c r="M3397" i="4"/>
  <c r="M881" i="4"/>
  <c r="M2185" i="4"/>
  <c r="L1383" i="6"/>
  <c r="S167" i="2"/>
  <c r="N2851" i="4"/>
  <c r="M2146" i="4"/>
  <c r="M1656" i="4"/>
  <c r="N3776" i="4"/>
  <c r="M2299" i="4"/>
  <c r="M3809" i="4"/>
  <c r="N2918" i="4"/>
  <c r="M1985" i="4"/>
  <c r="M3678" i="4"/>
  <c r="N3425" i="4"/>
  <c r="M1869" i="4"/>
  <c r="M3538" i="4"/>
  <c r="M2780" i="4"/>
  <c r="N1751" i="4"/>
  <c r="M3954" i="4"/>
  <c r="N2791" i="4"/>
  <c r="F1884" i="4"/>
  <c r="F1758" i="4"/>
  <c r="F1104" i="4"/>
  <c r="M1327" i="4"/>
  <c r="M3267" i="4"/>
  <c r="M1123" i="4"/>
  <c r="N2151" i="4"/>
  <c r="M1717" i="4"/>
  <c r="F668" i="4"/>
  <c r="L1465" i="4"/>
  <c r="L2219" i="4"/>
  <c r="L414" i="4"/>
  <c r="N1755" i="4"/>
  <c r="M2142" i="4"/>
  <c r="F1629" i="4"/>
  <c r="M3930" i="4"/>
  <c r="F618" i="4"/>
  <c r="F820" i="4"/>
  <c r="F635" i="4"/>
  <c r="F1261" i="4"/>
  <c r="M1846" i="4"/>
  <c r="M2654" i="4"/>
  <c r="N3774" i="4"/>
  <c r="M2697" i="4"/>
  <c r="F1790" i="4"/>
  <c r="N2297" i="4"/>
  <c r="N2980" i="4"/>
  <c r="F1660" i="4"/>
  <c r="M3544" i="4"/>
  <c r="N2633" i="4"/>
  <c r="M2618" i="4"/>
  <c r="N3019" i="4"/>
  <c r="F1893" i="4"/>
  <c r="M1426" i="4"/>
  <c r="F364" i="4"/>
  <c r="M2916" i="4"/>
  <c r="M2622" i="4"/>
  <c r="L1331" i="4"/>
  <c r="M3419" i="4"/>
  <c r="M1915" i="4"/>
  <c r="M1323" i="4"/>
  <c r="M2541" i="4"/>
  <c r="M1932" i="4"/>
  <c r="F1710" i="4"/>
  <c r="M3366" i="4"/>
  <c r="F556" i="4"/>
  <c r="M553" i="4"/>
  <c r="F1986" i="4"/>
  <c r="M3137" i="4"/>
  <c r="N2430" i="4"/>
  <c r="N2443" i="4"/>
  <c r="F1686" i="4"/>
  <c r="F741" i="4"/>
  <c r="L323" i="4"/>
  <c r="N3956" i="4"/>
  <c r="N2003" i="4"/>
  <c r="M3176" i="4"/>
  <c r="N3517" i="4"/>
  <c r="M1703" i="4"/>
  <c r="M814" i="4"/>
  <c r="M582" i="4"/>
  <c r="F1491" i="4"/>
  <c r="F1487" i="4"/>
  <c r="N2782" i="4"/>
  <c r="F2084" i="4"/>
  <c r="N3946" i="4"/>
  <c r="M1695" i="4"/>
  <c r="N2904" i="4"/>
  <c r="M2849" i="4"/>
  <c r="M2153" i="4"/>
  <c r="M1524" i="4"/>
  <c r="M1295" i="4"/>
  <c r="M1167" i="4"/>
  <c r="F1655" i="4"/>
  <c r="M1597" i="4"/>
  <c r="N1781" i="4"/>
  <c r="N3960" i="4"/>
  <c r="N3201" i="4"/>
  <c r="N2047" i="4"/>
  <c r="F1398" i="4"/>
  <c r="M2058" i="4"/>
  <c r="F976" i="4"/>
  <c r="M1449" i="4"/>
  <c r="L2631" i="4"/>
  <c r="M3875" i="4"/>
  <c r="F1484" i="4"/>
  <c r="M3853" i="4"/>
  <c r="M3942" i="4"/>
  <c r="N2237" i="4"/>
  <c r="F951" i="4"/>
  <c r="M1289" i="4"/>
  <c r="M632" i="4"/>
  <c r="M747" i="4"/>
  <c r="M1019" i="4"/>
  <c r="F1787" i="4"/>
  <c r="M2572" i="4"/>
  <c r="N2122" i="4"/>
  <c r="F1509" i="4"/>
  <c r="M2465" i="4"/>
  <c r="N2812" i="4"/>
  <c r="N1943" i="4"/>
  <c r="F140" i="4"/>
  <c r="M1146" i="4"/>
  <c r="N3868" i="4"/>
  <c r="M374" i="4"/>
  <c r="F1362" i="4"/>
  <c r="F1408" i="4"/>
  <c r="M3243" i="4"/>
  <c r="F1222" i="4"/>
  <c r="F775" i="4"/>
  <c r="F827" i="4"/>
  <c r="N2669" i="4"/>
  <c r="M3578" i="4"/>
  <c r="N3308" i="4"/>
  <c r="M490" i="4"/>
  <c r="F1501" i="4"/>
  <c r="M3156" i="4"/>
  <c r="N2114" i="4"/>
  <c r="M3398" i="4"/>
  <c r="N3426" i="4"/>
  <c r="M708" i="4"/>
  <c r="F1410" i="4"/>
  <c r="N2797" i="4"/>
  <c r="N2314" i="4"/>
  <c r="M1303" i="4"/>
  <c r="M2088" i="4"/>
  <c r="F1625" i="4"/>
  <c r="F308" i="4"/>
  <c r="M398" i="4"/>
  <c r="F1250" i="4"/>
  <c r="F968" i="4"/>
  <c r="M3188" i="4"/>
  <c r="N3274" i="4"/>
  <c r="N2310" i="4"/>
  <c r="N2284" i="4"/>
  <c r="N2388" i="4"/>
  <c r="F477" i="4"/>
  <c r="M641" i="4"/>
  <c r="M3574" i="4"/>
  <c r="F1301" i="4"/>
  <c r="M994" i="4"/>
  <c r="F371" i="4"/>
  <c r="F1082" i="4"/>
  <c r="F367" i="4"/>
  <c r="M3161" i="4"/>
  <c r="M820" i="4"/>
  <c r="N2103" i="4"/>
  <c r="N1864" i="4"/>
  <c r="M2514" i="4"/>
  <c r="F777" i="4"/>
  <c r="M996" i="4"/>
  <c r="N1735" i="4"/>
  <c r="M1684" i="4"/>
  <c r="M3828" i="4"/>
  <c r="M323" i="4"/>
  <c r="M3084" i="4"/>
  <c r="F863" i="4"/>
  <c r="M3514" i="4"/>
  <c r="F1935" i="4"/>
  <c r="F648" i="4"/>
  <c r="F907" i="4"/>
  <c r="M2330" i="4"/>
  <c r="F451" i="4"/>
  <c r="M614" i="4"/>
  <c r="M3280" i="4"/>
  <c r="F524" i="4"/>
  <c r="N3526" i="4"/>
  <c r="F1818" i="4"/>
  <c r="F410" i="4"/>
  <c r="F481" i="4"/>
  <c r="M978" i="4"/>
  <c r="M1207" i="4"/>
  <c r="M1706" i="4"/>
  <c r="N2584" i="4"/>
  <c r="F1218" i="4"/>
  <c r="N2162" i="4"/>
  <c r="M2753" i="4"/>
  <c r="M2512" i="4"/>
  <c r="F1165" i="4"/>
  <c r="M906" i="4"/>
  <c r="F930" i="4"/>
  <c r="M2501" i="4"/>
  <c r="F537" i="4"/>
  <c r="F1395" i="4"/>
  <c r="N2238" i="4"/>
  <c r="M871" i="4"/>
  <c r="M793" i="4"/>
  <c r="F664" i="4"/>
  <c r="F1844" i="4"/>
  <c r="M501" i="4"/>
  <c r="F1231" i="4"/>
  <c r="N1771" i="4"/>
  <c r="N2190" i="4"/>
  <c r="M1183" i="4"/>
  <c r="F1537" i="4"/>
  <c r="M1708" i="4"/>
  <c r="M3904" i="4"/>
  <c r="F1308" i="4"/>
  <c r="N2955" i="4"/>
  <c r="F459" i="4"/>
  <c r="F1121" i="4"/>
  <c r="F1249" i="4"/>
  <c r="M892" i="4"/>
  <c r="N2511" i="4"/>
  <c r="M3801" i="4"/>
  <c r="F1069" i="4"/>
  <c r="M1799" i="4"/>
  <c r="M3036" i="4"/>
  <c r="M829" i="4"/>
  <c r="M1521" i="4"/>
  <c r="F1628" i="4"/>
  <c r="M657" i="4"/>
  <c r="N1987" i="4"/>
  <c r="F641" i="4"/>
  <c r="F426" i="4"/>
  <c r="M2162" i="4"/>
  <c r="F724" i="4"/>
  <c r="F666" i="4"/>
  <c r="M1437" i="4"/>
  <c r="F1580" i="4"/>
  <c r="N3579" i="4"/>
  <c r="F807" i="4"/>
  <c r="M2694" i="4"/>
  <c r="F260" i="4"/>
  <c r="M391" i="4"/>
  <c r="F561" i="4"/>
  <c r="F453" i="4"/>
  <c r="M2247" i="4"/>
  <c r="F1144" i="4"/>
  <c r="M870" i="4"/>
  <c r="M603" i="4"/>
  <c r="F1065" i="4"/>
  <c r="N3378" i="4"/>
  <c r="M789" i="4"/>
  <c r="M2646" i="4"/>
  <c r="F415" i="4"/>
  <c r="N2192" i="4"/>
  <c r="M407" i="4"/>
  <c r="N1980" i="4"/>
  <c r="M541" i="4"/>
  <c r="N3272" i="4"/>
  <c r="F676" i="4"/>
  <c r="F330" i="4"/>
  <c r="M242" i="4"/>
  <c r="M112" i="4"/>
  <c r="F241" i="4"/>
  <c r="M214" i="4"/>
  <c r="M275" i="4"/>
  <c r="M689" i="4"/>
  <c r="F1743" i="4"/>
  <c r="F1204" i="4"/>
  <c r="F197" i="4"/>
  <c r="L844" i="6"/>
  <c r="L3094" i="4"/>
  <c r="L495" i="4"/>
  <c r="L3152" i="4"/>
  <c r="S156" i="2"/>
  <c r="S230" i="2"/>
  <c r="L776" i="4"/>
  <c r="L3400" i="4"/>
  <c r="L1275" i="4"/>
  <c r="L991" i="4"/>
  <c r="M2008" i="4"/>
  <c r="L2658" i="4"/>
  <c r="L658" i="4"/>
  <c r="N3390" i="4"/>
  <c r="M1917" i="4"/>
  <c r="L2503" i="4"/>
  <c r="L1800" i="4"/>
  <c r="N1746" i="4"/>
  <c r="M2121" i="4"/>
  <c r="L972" i="6"/>
  <c r="L1077" i="4"/>
  <c r="L996" i="4"/>
  <c r="M3358" i="4"/>
  <c r="F1746" i="4"/>
  <c r="N1706" i="4"/>
  <c r="L1843" i="4"/>
  <c r="L2507" i="4"/>
  <c r="M3937" i="4"/>
  <c r="M1529" i="4"/>
  <c r="L235" i="6"/>
  <c r="S69" i="2"/>
  <c r="N3129" i="4"/>
  <c r="N2324" i="4"/>
  <c r="M1904" i="4"/>
  <c r="L104" i="4"/>
  <c r="S226" i="2"/>
  <c r="N3043" i="4"/>
  <c r="M1651" i="4"/>
  <c r="F1668" i="4"/>
  <c r="L1969" i="4"/>
  <c r="L697" i="6"/>
  <c r="L645" i="4"/>
  <c r="F1014" i="6"/>
  <c r="L1072" i="4"/>
  <c r="N2702" i="4"/>
  <c r="M2875" i="4"/>
  <c r="N3595" i="4"/>
  <c r="N3839" i="4"/>
  <c r="L1273" i="4"/>
  <c r="L2202" i="4"/>
  <c r="M2890" i="4"/>
  <c r="N3510" i="4"/>
  <c r="N3747" i="4"/>
  <c r="L1304" i="4"/>
  <c r="M3436" i="4"/>
  <c r="N1789" i="4"/>
  <c r="M3603" i="4"/>
  <c r="N2988" i="4"/>
  <c r="M836" i="4"/>
  <c r="M1644" i="4"/>
  <c r="L1907" i="4"/>
  <c r="M3536" i="4"/>
  <c r="M3584" i="4"/>
  <c r="M3677" i="4"/>
  <c r="M3634" i="4"/>
  <c r="N3182" i="4"/>
  <c r="M886" i="4"/>
  <c r="M2375" i="4"/>
  <c r="L3421" i="4"/>
  <c r="N3688" i="4"/>
  <c r="N2176" i="4"/>
  <c r="M1427" i="4"/>
  <c r="N2954" i="4"/>
  <c r="F2037" i="4"/>
  <c r="M3159" i="4"/>
  <c r="F1119" i="4"/>
  <c r="N1922" i="4"/>
  <c r="F714" i="4"/>
  <c r="M623" i="4"/>
  <c r="M1100" i="4"/>
  <c r="M2079" i="4"/>
  <c r="F571" i="4"/>
  <c r="M580" i="4"/>
  <c r="L2377" i="4"/>
  <c r="S277" i="2"/>
  <c r="M3433" i="4"/>
  <c r="M1957" i="4"/>
  <c r="N3327" i="4"/>
  <c r="N2127" i="4"/>
  <c r="M3652" i="4"/>
  <c r="N2022" i="4"/>
  <c r="N2117" i="4"/>
  <c r="M3429" i="4"/>
  <c r="N1764" i="4"/>
  <c r="N3908" i="4"/>
  <c r="N2437" i="4"/>
  <c r="N1957" i="4"/>
  <c r="N3261" i="4"/>
  <c r="F1813" i="4"/>
  <c r="F1128" i="4"/>
  <c r="M2316" i="4"/>
  <c r="F1313" i="4"/>
  <c r="M2022" i="4"/>
  <c r="M2113" i="4"/>
  <c r="M1163" i="4"/>
  <c r="M567" i="4"/>
  <c r="N2928" i="4"/>
  <c r="F1854" i="4"/>
  <c r="M734" i="4"/>
  <c r="M2196" i="4"/>
  <c r="F1494" i="4"/>
  <c r="M652" i="4"/>
  <c r="F1599" i="6"/>
  <c r="L1908" i="4"/>
  <c r="N2513" i="4"/>
  <c r="M3467" i="4"/>
  <c r="N2932" i="4"/>
  <c r="N3020" i="4"/>
  <c r="F1219" i="4"/>
  <c r="M2921" i="4"/>
  <c r="M2214" i="4"/>
  <c r="F1604" i="4"/>
  <c r="M3355" i="4"/>
  <c r="F1815" i="4"/>
  <c r="M3322" i="4"/>
  <c r="M2516" i="4"/>
  <c r="F1482" i="4"/>
  <c r="N3683" i="4"/>
  <c r="M2491" i="4"/>
  <c r="M1648" i="4"/>
  <c r="F1245" i="4"/>
  <c r="M1596" i="4"/>
  <c r="F1246" i="4"/>
  <c r="M1218" i="4"/>
  <c r="M2359" i="4"/>
  <c r="N3184" i="4"/>
  <c r="L417" i="4"/>
  <c r="L2523" i="4"/>
  <c r="M3338" i="4"/>
  <c r="N2552" i="4"/>
  <c r="F1998" i="4"/>
  <c r="N3819" i="4"/>
  <c r="N2435" i="4"/>
  <c r="M3494" i="4"/>
  <c r="M2602" i="4"/>
  <c r="M1572" i="4"/>
  <c r="N3929" i="4"/>
  <c r="F1989" i="4"/>
  <c r="N2055" i="4"/>
  <c r="M2811" i="4"/>
  <c r="M2092" i="4"/>
  <c r="M1808" i="4"/>
  <c r="N3103" i="4"/>
  <c r="M2151" i="4"/>
  <c r="F1584" i="4"/>
  <c r="M510" i="4"/>
  <c r="M584" i="4"/>
  <c r="M1944" i="4"/>
  <c r="N1760" i="4"/>
  <c r="N3963" i="4"/>
  <c r="L1784" i="4"/>
  <c r="L1889" i="4"/>
  <c r="N3394" i="4"/>
  <c r="N2446" i="4"/>
  <c r="M1268" i="4"/>
  <c r="M1879" i="4"/>
  <c r="M1382" i="4"/>
  <c r="N3110" i="4"/>
  <c r="N1915" i="4"/>
  <c r="M3814" i="4"/>
  <c r="M2745" i="4"/>
  <c r="M1809" i="4"/>
  <c r="N3429" i="4"/>
  <c r="M1843" i="4"/>
  <c r="M1407" i="4"/>
  <c r="M3110" i="4"/>
  <c r="N1858" i="4"/>
  <c r="M1251" i="4"/>
  <c r="M970" i="4"/>
  <c r="F1290" i="4"/>
  <c r="N3531" i="4"/>
  <c r="M1171" i="4"/>
  <c r="N1845" i="4"/>
  <c r="F1299" i="4"/>
  <c r="S426" i="2"/>
  <c r="L1509" i="4"/>
  <c r="M3170" i="4"/>
  <c r="N2461" i="4"/>
  <c r="M1493" i="4"/>
  <c r="M3900" i="4"/>
  <c r="M2311" i="4"/>
  <c r="M1366" i="4"/>
  <c r="N3213" i="4"/>
  <c r="M1954" i="4"/>
  <c r="N3854" i="4"/>
  <c r="N3102" i="4"/>
  <c r="N2029" i="4"/>
  <c r="M3928" i="4"/>
  <c r="N2576" i="4"/>
  <c r="M1996" i="4"/>
  <c r="M1308" i="4"/>
  <c r="M2810" i="4"/>
  <c r="N2377" i="4"/>
  <c r="M1239" i="4"/>
  <c r="M958" i="4"/>
  <c r="F1906" i="4"/>
  <c r="N3387" i="4"/>
  <c r="F1549" i="4"/>
  <c r="M2379" i="4"/>
  <c r="F1138" i="4"/>
  <c r="F858" i="4"/>
  <c r="N3663" i="4"/>
  <c r="F1188" i="4"/>
  <c r="M2355" i="4"/>
  <c r="N3402" i="4"/>
  <c r="N2178" i="4"/>
  <c r="M2658" i="4"/>
  <c r="F708" i="4"/>
  <c r="M2012" i="4"/>
  <c r="L978" i="4"/>
  <c r="L3578" i="4"/>
  <c r="M3289" i="4"/>
  <c r="N1945" i="4"/>
  <c r="F1608" i="4"/>
  <c r="M3744" i="4"/>
  <c r="N2064" i="4"/>
  <c r="M3583" i="4"/>
  <c r="N2662" i="4"/>
  <c r="N3249" i="4"/>
  <c r="N3419" i="4"/>
  <c r="M2721" i="4"/>
  <c r="M1761" i="4"/>
  <c r="M3258" i="4"/>
  <c r="M2624" i="4"/>
  <c r="F2047" i="4"/>
  <c r="N3797" i="4"/>
  <c r="N2647" i="4"/>
  <c r="F1960" i="4"/>
  <c r="M1477" i="4"/>
  <c r="F412" i="4"/>
  <c r="F1053" i="4"/>
  <c r="M2856" i="4"/>
  <c r="F679" i="4"/>
  <c r="M1607" i="4"/>
  <c r="F1076" i="4"/>
  <c r="L2996" i="4"/>
  <c r="L400" i="4"/>
  <c r="L1399" i="4"/>
  <c r="L245" i="4"/>
  <c r="N3728" i="4"/>
  <c r="N1851" i="4"/>
  <c r="M1762" i="4"/>
  <c r="N3551" i="4"/>
  <c r="F396" i="4"/>
  <c r="M821" i="4"/>
  <c r="M3342" i="4"/>
  <c r="M963" i="4"/>
  <c r="F934" i="4"/>
  <c r="N2228" i="4"/>
  <c r="N3547" i="4"/>
  <c r="F1909" i="4"/>
  <c r="F1554" i="4"/>
  <c r="F1164" i="4"/>
  <c r="F926" i="4"/>
  <c r="F884" i="4"/>
  <c r="M1936" i="4"/>
  <c r="N2809" i="4"/>
  <c r="N2084" i="4"/>
  <c r="N3108" i="4"/>
  <c r="F1867" i="4"/>
  <c r="M3882" i="4"/>
  <c r="M3145" i="4"/>
  <c r="N1950" i="4"/>
  <c r="N2418" i="4"/>
  <c r="S663" i="2"/>
  <c r="M2483" i="4"/>
  <c r="F1127" i="4"/>
  <c r="M3374" i="4"/>
  <c r="N2478" i="4"/>
  <c r="F1183" i="4"/>
  <c r="F960" i="4"/>
  <c r="N2487" i="4"/>
  <c r="F1498" i="4"/>
  <c r="F1264" i="4"/>
  <c r="N3821" i="4"/>
  <c r="N3009" i="4"/>
  <c r="M1920" i="4"/>
  <c r="F1167" i="4"/>
  <c r="F948" i="4"/>
  <c r="M3256" i="4"/>
  <c r="L2646" i="4"/>
  <c r="M3445" i="4"/>
  <c r="N3910" i="4"/>
  <c r="M2993" i="4"/>
  <c r="M2297" i="4"/>
  <c r="N2253" i="4"/>
  <c r="F1007" i="4"/>
  <c r="F585" i="4"/>
  <c r="F1619" i="4"/>
  <c r="M3600" i="4"/>
  <c r="M2518" i="4"/>
  <c r="M1229" i="4"/>
  <c r="N3343" i="4"/>
  <c r="F848" i="4"/>
  <c r="M2983" i="4"/>
  <c r="N2650" i="4"/>
  <c r="M1850" i="4"/>
  <c r="M1712" i="4"/>
  <c r="M661" i="4"/>
  <c r="N2645" i="4"/>
  <c r="N3880" i="4"/>
  <c r="F1098" i="4"/>
  <c r="N3307" i="4"/>
  <c r="N3484" i="4"/>
  <c r="N2489" i="4"/>
  <c r="M1807" i="4"/>
  <c r="M1197" i="4"/>
  <c r="F1133" i="4"/>
  <c r="M633" i="4"/>
  <c r="F870" i="4"/>
  <c r="L2075" i="4"/>
  <c r="N3008" i="4"/>
  <c r="M1230" i="4"/>
  <c r="M3222" i="4"/>
  <c r="M2695" i="4"/>
  <c r="F672" i="4"/>
  <c r="M1122" i="4"/>
  <c r="F1518" i="4"/>
  <c r="F993" i="4"/>
  <c r="F1123" i="4"/>
  <c r="M1881" i="4"/>
  <c r="M1533" i="4"/>
  <c r="N2410" i="4"/>
  <c r="F1060" i="4"/>
  <c r="F1281" i="4"/>
  <c r="N2339" i="4"/>
  <c r="N2469" i="4"/>
  <c r="M1064" i="4"/>
  <c r="F284" i="4"/>
  <c r="F400" i="4"/>
  <c r="F929" i="4"/>
  <c r="F484" i="4"/>
  <c r="M1150" i="4"/>
  <c r="M2845" i="4"/>
  <c r="M3656" i="4"/>
  <c r="N3476" i="4"/>
  <c r="M1182" i="4"/>
  <c r="M615" i="4"/>
  <c r="M2417" i="4"/>
  <c r="M2752" i="4"/>
  <c r="F1819" i="4"/>
  <c r="F531" i="4"/>
  <c r="F602" i="4"/>
  <c r="F877" i="4"/>
  <c r="M1409" i="4"/>
  <c r="N2835" i="4"/>
  <c r="N2525" i="4"/>
  <c r="M1661" i="4"/>
  <c r="M2339" i="4"/>
  <c r="N1917" i="4"/>
  <c r="F665" i="4"/>
  <c r="F1029" i="4"/>
  <c r="F1842" i="4"/>
  <c r="M2025" i="4"/>
  <c r="F1302" i="4"/>
  <c r="F391" i="4"/>
  <c r="M334" i="4"/>
  <c r="M1154" i="4"/>
  <c r="F1740" i="4"/>
  <c r="N2352" i="4"/>
  <c r="F961" i="4"/>
  <c r="N2141" i="4"/>
  <c r="F1831" i="4"/>
  <c r="F358" i="4"/>
  <c r="M1136" i="4"/>
  <c r="M3013" i="4"/>
  <c r="F988" i="4"/>
  <c r="M1200" i="4"/>
  <c r="M485" i="4"/>
  <c r="M972" i="4"/>
  <c r="M481" i="4"/>
  <c r="M2553" i="4"/>
  <c r="M3049" i="4"/>
  <c r="M1561" i="4"/>
  <c r="M1743" i="4"/>
  <c r="N2340" i="4"/>
  <c r="F464" i="4"/>
  <c r="F826" i="4"/>
  <c r="F2014" i="4"/>
  <c r="F1223" i="4"/>
  <c r="F942" i="4"/>
  <c r="F479" i="4"/>
  <c r="F875" i="4"/>
  <c r="M991" i="4"/>
  <c r="N1739" i="4"/>
  <c r="M777" i="4"/>
  <c r="F1513" i="4"/>
  <c r="M707" i="4"/>
  <c r="M2013" i="4"/>
  <c r="F542" i="4"/>
  <c r="F1507" i="4"/>
  <c r="M2869" i="4"/>
  <c r="F1548" i="4"/>
  <c r="F889" i="4"/>
  <c r="F640" i="4"/>
  <c r="M448" i="4"/>
  <c r="M445" i="4"/>
  <c r="M918" i="4"/>
  <c r="F752" i="4"/>
  <c r="F1147" i="4"/>
  <c r="N3398" i="4"/>
  <c r="N3918" i="4"/>
  <c r="F1208" i="4"/>
  <c r="M1983" i="4"/>
  <c r="N2554" i="4"/>
  <c r="M3411" i="4"/>
  <c r="M819" i="4"/>
  <c r="F1000" i="4"/>
  <c r="M754" i="4"/>
  <c r="M318" i="4"/>
  <c r="F674" i="4"/>
  <c r="F1181" i="4"/>
  <c r="M1709" i="4"/>
  <c r="M936" i="4"/>
  <c r="F1583" i="4"/>
  <c r="M1723" i="4"/>
  <c r="F407" i="4"/>
  <c r="F957" i="4"/>
  <c r="N2424" i="4"/>
  <c r="M858" i="4"/>
  <c r="M923" i="4"/>
  <c r="F1094" i="4"/>
  <c r="M1172" i="4"/>
  <c r="N3041" i="4"/>
  <c r="F1411" i="4"/>
  <c r="M2790" i="4"/>
  <c r="F382" i="4"/>
  <c r="F457" i="4"/>
  <c r="F503" i="4"/>
  <c r="F685" i="4"/>
  <c r="N3598" i="4"/>
  <c r="N2586" i="4"/>
  <c r="F830" i="4"/>
  <c r="M1390" i="4"/>
  <c r="N2574" i="4"/>
  <c r="F617" i="4"/>
  <c r="F931" i="4"/>
  <c r="M3873" i="4"/>
  <c r="M805" i="4"/>
  <c r="F656" i="4"/>
  <c r="M437" i="4"/>
  <c r="M540" i="4"/>
  <c r="F572" i="4"/>
  <c r="M3696" i="4"/>
  <c r="F1623" i="4"/>
  <c r="F1257" i="4"/>
  <c r="F1093" i="4"/>
  <c r="N2878" i="4"/>
  <c r="M3219" i="4"/>
  <c r="F1969" i="4"/>
  <c r="M1820" i="4"/>
  <c r="M1839" i="4"/>
  <c r="F1524" i="4"/>
  <c r="M372" i="4"/>
  <c r="F874" i="4"/>
  <c r="F1141" i="4"/>
  <c r="M647" i="4"/>
  <c r="F1338" i="4"/>
  <c r="F854" i="4"/>
  <c r="N2765" i="4"/>
  <c r="F1253" i="4"/>
  <c r="F1905" i="4"/>
  <c r="M527" i="4"/>
  <c r="F546" i="4"/>
  <c r="F1178" i="4"/>
  <c r="M626" i="4"/>
  <c r="M3279" i="4"/>
  <c r="M877" i="4"/>
  <c r="F955" i="4"/>
  <c r="F155" i="4"/>
  <c r="M243" i="4"/>
  <c r="F269" i="4"/>
  <c r="M55" i="4"/>
  <c r="M263" i="4"/>
  <c r="M344" i="4"/>
  <c r="F436" i="4"/>
  <c r="F658" i="4"/>
  <c r="F17" i="4"/>
  <c r="M15" i="4"/>
  <c r="F240" i="4"/>
  <c r="F113" i="4"/>
  <c r="M379" i="4"/>
  <c r="M421" i="4"/>
  <c r="F1527" i="4"/>
  <c r="F195" i="4"/>
  <c r="F210" i="4"/>
  <c r="F253" i="4"/>
  <c r="M8" i="4"/>
  <c r="F271" i="4"/>
  <c r="M32" i="4"/>
  <c r="F1546" i="4"/>
  <c r="M729" i="4"/>
  <c r="F194" i="4"/>
  <c r="M134" i="4"/>
  <c r="M959" i="4"/>
  <c r="F123" i="4"/>
  <c r="F285" i="4"/>
  <c r="F2000" i="6"/>
  <c r="N39" i="15"/>
  <c r="L627" i="4"/>
  <c r="L292" i="6"/>
  <c r="L463" i="4"/>
  <c r="S568" i="2"/>
  <c r="L2356" i="4"/>
  <c r="L2715" i="4"/>
  <c r="L1169" i="4"/>
  <c r="L309" i="4"/>
  <c r="N2807" i="4"/>
  <c r="L965" i="4"/>
  <c r="M3808" i="4"/>
  <c r="N3564" i="4"/>
  <c r="F1569" i="4"/>
  <c r="L2143" i="4"/>
  <c r="S500" i="2"/>
  <c r="F1433" i="4"/>
  <c r="N1720" i="4"/>
  <c r="F786" i="6"/>
  <c r="L180" i="4"/>
  <c r="L1098" i="4"/>
  <c r="M3057" i="4"/>
  <c r="N3941" i="4"/>
  <c r="F1487" i="6"/>
  <c r="L897" i="4"/>
  <c r="S74" i="2"/>
  <c r="N739" i="4" s="1"/>
  <c r="M3168" i="4"/>
  <c r="M3779" i="4"/>
  <c r="L1442" i="4"/>
  <c r="L3938" i="4"/>
  <c r="N3407" i="4"/>
  <c r="M1418" i="4"/>
  <c r="M1711" i="4"/>
  <c r="L3671" i="4"/>
  <c r="L331" i="6"/>
  <c r="M3753" i="4"/>
  <c r="N3732" i="4"/>
  <c r="F1076" i="6"/>
  <c r="L1187" i="4"/>
  <c r="L1979" i="4"/>
  <c r="L30" i="4"/>
  <c r="L2898" i="4"/>
  <c r="L574" i="4"/>
  <c r="N3112" i="4"/>
  <c r="N2580" i="4"/>
  <c r="M3613" i="4"/>
  <c r="M3577" i="4"/>
  <c r="L1408" i="4"/>
  <c r="L1842" i="4"/>
  <c r="N2595" i="4"/>
  <c r="M3379" i="4"/>
  <c r="M3006" i="4"/>
  <c r="L1152" i="4"/>
  <c r="M3720" i="4"/>
  <c r="F2048" i="4"/>
  <c r="N3528" i="4"/>
  <c r="N2834" i="4"/>
  <c r="N3248" i="4"/>
  <c r="F1596" i="4"/>
  <c r="L1033" i="4"/>
  <c r="N2407" i="4"/>
  <c r="N3434" i="4"/>
  <c r="M3455" i="4"/>
  <c r="N3186" i="4"/>
  <c r="M3026" i="4"/>
  <c r="F726" i="4"/>
  <c r="M1318" i="4"/>
  <c r="S525" i="2"/>
  <c r="N88" i="4" s="1"/>
  <c r="N3565" i="4"/>
  <c r="N3080" i="4"/>
  <c r="F1742" i="4"/>
  <c r="M1838" i="4"/>
  <c r="F1829" i="4"/>
  <c r="N3107" i="4"/>
  <c r="N3874" i="4"/>
  <c r="M2187" i="4"/>
  <c r="F558" i="4"/>
  <c r="M1152" i="4"/>
  <c r="F1287" i="4"/>
  <c r="M2161" i="4"/>
  <c r="F987" i="4"/>
  <c r="F1074" i="4"/>
  <c r="L1945" i="4"/>
  <c r="S565" i="2"/>
  <c r="M2817" i="4"/>
  <c r="N1756" i="4"/>
  <c r="M3487" i="4"/>
  <c r="F1558" i="4"/>
  <c r="M3465" i="4"/>
  <c r="N3883" i="4"/>
  <c r="F1620" i="4"/>
  <c r="N2733" i="4"/>
  <c r="N2119" i="4"/>
  <c r="M3910" i="4"/>
  <c r="M1891" i="4"/>
  <c r="M1362" i="4"/>
  <c r="N3193" i="4"/>
  <c r="N1995" i="4"/>
  <c r="F783" i="4"/>
  <c r="F1810" i="4"/>
  <c r="M3327" i="4"/>
  <c r="F1244" i="4"/>
  <c r="M1884" i="4"/>
  <c r="N3966" i="4"/>
  <c r="F1346" i="4"/>
  <c r="M2385" i="4"/>
  <c r="N3942" i="4"/>
  <c r="M565" i="4"/>
  <c r="F2034" i="4"/>
  <c r="N3860" i="4"/>
  <c r="F1158" i="4"/>
  <c r="L2729" i="4"/>
  <c r="L869" i="4"/>
  <c r="M2373" i="4"/>
  <c r="M2888" i="4"/>
  <c r="N2549" i="4"/>
  <c r="M2591" i="4"/>
  <c r="N2313" i="4"/>
  <c r="M3594" i="4"/>
  <c r="M2018" i="4"/>
  <c r="N3926" i="4"/>
  <c r="N2721" i="4"/>
  <c r="N1752" i="4"/>
  <c r="N3820" i="4"/>
  <c r="N3212" i="4"/>
  <c r="N2108" i="4"/>
  <c r="M3557" i="4"/>
  <c r="N3000" i="4"/>
  <c r="F1481" i="4"/>
  <c r="M1010" i="4"/>
  <c r="M1562" i="4"/>
  <c r="N3835" i="4"/>
  <c r="M817" i="4"/>
  <c r="M1317" i="4"/>
  <c r="M2728" i="4"/>
  <c r="L1006" i="4"/>
  <c r="L759" i="4"/>
  <c r="M2903" i="4"/>
  <c r="M2290" i="4"/>
  <c r="M3837" i="4"/>
  <c r="M3261" i="4"/>
  <c r="F1769" i="4"/>
  <c r="M3236" i="4"/>
  <c r="M2446" i="4"/>
  <c r="M1707" i="4"/>
  <c r="M3335" i="4"/>
  <c r="M3337" i="4"/>
  <c r="M1602" i="4"/>
  <c r="N2915" i="4"/>
  <c r="N1824" i="4"/>
  <c r="M1332" i="4"/>
  <c r="N3141" i="4"/>
  <c r="F1948" i="4"/>
  <c r="F1275" i="4"/>
  <c r="F473" i="4"/>
  <c r="M1148" i="4"/>
  <c r="F834" i="4"/>
  <c r="N2144" i="4"/>
  <c r="F1506" i="4"/>
  <c r="L591" i="4"/>
  <c r="L1227" i="4"/>
  <c r="N3035" i="4"/>
  <c r="M2033" i="4"/>
  <c r="F1432" i="4"/>
  <c r="M2392" i="4"/>
  <c r="M3857" i="4"/>
  <c r="N3557" i="4"/>
  <c r="N1717" i="4"/>
  <c r="N3491" i="4"/>
  <c r="M2589" i="4"/>
  <c r="M1384" i="4"/>
  <c r="M3111" i="4"/>
  <c r="N2354" i="4"/>
  <c r="M1240" i="4"/>
  <c r="M2966" i="4"/>
  <c r="N2389" i="4"/>
  <c r="M1077" i="4"/>
  <c r="F2016" i="4"/>
  <c r="F1420" i="4"/>
  <c r="M3000" i="4"/>
  <c r="M781" i="4"/>
  <c r="M1051" i="4"/>
  <c r="N3620" i="4"/>
  <c r="S341" i="2"/>
  <c r="L616" i="4"/>
  <c r="M3456" i="4"/>
  <c r="M2182" i="4"/>
  <c r="F1656" i="4"/>
  <c r="M3686" i="4"/>
  <c r="M2095" i="4"/>
  <c r="M3833" i="4"/>
  <c r="N3014" i="4"/>
  <c r="F2008" i="4"/>
  <c r="N3628" i="4"/>
  <c r="N2685" i="4"/>
  <c r="F1767" i="4"/>
  <c r="M3582" i="4"/>
  <c r="M2792" i="4"/>
  <c r="N1763" i="4"/>
  <c r="M1206" i="4"/>
  <c r="N3007" i="4"/>
  <c r="M2271" i="4"/>
  <c r="M1065" i="4"/>
  <c r="M812" i="4"/>
  <c r="F1442" i="4"/>
  <c r="M2928" i="4"/>
  <c r="M1214" i="4"/>
  <c r="M1673" i="4"/>
  <c r="M3903" i="4"/>
  <c r="F1982" i="4"/>
  <c r="N2817" i="4"/>
  <c r="M950" i="4"/>
  <c r="M1817" i="4"/>
  <c r="N2966" i="4"/>
  <c r="F1260" i="4"/>
  <c r="F1921" i="4"/>
  <c r="F1064" i="4"/>
  <c r="F1436" i="4"/>
  <c r="L1129" i="4"/>
  <c r="L2196" i="4"/>
  <c r="M2878" i="4"/>
  <c r="F1464" i="4"/>
  <c r="M3635" i="4"/>
  <c r="M3189" i="4"/>
  <c r="N2012" i="4"/>
  <c r="N3681" i="4"/>
  <c r="N3433" i="4"/>
  <c r="F1874" i="4"/>
  <c r="M3199" i="4"/>
  <c r="M2565" i="4"/>
  <c r="N2304" i="4"/>
  <c r="M3649" i="4"/>
  <c r="M2468" i="4"/>
  <c r="F1602" i="4"/>
  <c r="N3415" i="4"/>
  <c r="N3409" i="4"/>
  <c r="N3066" i="4"/>
  <c r="M1307" i="4"/>
  <c r="F437" i="4"/>
  <c r="F887" i="4"/>
  <c r="N3791" i="4"/>
  <c r="M953" i="4"/>
  <c r="N1940" i="4"/>
  <c r="N3803" i="4"/>
  <c r="L1630" i="6"/>
  <c r="L173" i="6"/>
  <c r="L2249" i="4"/>
  <c r="L2124" i="4"/>
  <c r="M3042" i="4"/>
  <c r="N2212" i="4"/>
  <c r="M3675" i="4"/>
  <c r="M2930" i="4"/>
  <c r="N3482" i="4"/>
  <c r="F1526" i="4"/>
  <c r="N3099" i="4"/>
  <c r="F751" i="4"/>
  <c r="M721" i="4"/>
  <c r="N3206" i="4"/>
  <c r="N3067" i="4"/>
  <c r="N1889" i="4"/>
  <c r="M1343" i="4"/>
  <c r="M1713" i="4"/>
  <c r="F1078" i="4"/>
  <c r="M530" i="4"/>
  <c r="M1262" i="4"/>
  <c r="M2197" i="4"/>
  <c r="M3140" i="4"/>
  <c r="N2397" i="4"/>
  <c r="N2311" i="4"/>
  <c r="M3503" i="4"/>
  <c r="N3707" i="4"/>
  <c r="M1848" i="4"/>
  <c r="N1853" i="4"/>
  <c r="M2655" i="4"/>
  <c r="F2042" i="4"/>
  <c r="M3642" i="4"/>
  <c r="M3149" i="4"/>
  <c r="F1943" i="4"/>
  <c r="N2198" i="4"/>
  <c r="M1397" i="4"/>
  <c r="M621" i="4"/>
  <c r="F1234" i="4"/>
  <c r="S124" i="2"/>
  <c r="M2496" i="4"/>
  <c r="M2686" i="4"/>
  <c r="M1690" i="4"/>
  <c r="N1924" i="4"/>
  <c r="F1091" i="4"/>
  <c r="M2305" i="4"/>
  <c r="N3730" i="4"/>
  <c r="N2545" i="4"/>
  <c r="N2940" i="4"/>
  <c r="N2794" i="4"/>
  <c r="M2378" i="4"/>
  <c r="F340" i="4"/>
  <c r="M922" i="4"/>
  <c r="M2917" i="4"/>
  <c r="L2499" i="4"/>
  <c r="N2490" i="4"/>
  <c r="N2392" i="4"/>
  <c r="F1952" i="4"/>
  <c r="N3278" i="4"/>
  <c r="M976" i="4"/>
  <c r="M1956" i="4"/>
  <c r="M2398" i="4"/>
  <c r="N2256" i="4"/>
  <c r="N3792" i="4"/>
  <c r="M780" i="4"/>
  <c r="F1855" i="4"/>
  <c r="M2977" i="4"/>
  <c r="M1617" i="4"/>
  <c r="N2553" i="4"/>
  <c r="M2837" i="4"/>
  <c r="M2129" i="4"/>
  <c r="M1512" i="4"/>
  <c r="F1283" i="4"/>
  <c r="F1391" i="4"/>
  <c r="M1216" i="4"/>
  <c r="F1541" i="4"/>
  <c r="N3763" i="4"/>
  <c r="N1961" i="4"/>
  <c r="F1999" i="4"/>
  <c r="M3039" i="4"/>
  <c r="N1970" i="4"/>
  <c r="F819" i="4"/>
  <c r="M952" i="4"/>
  <c r="M3486" i="4"/>
  <c r="F568" i="4"/>
  <c r="M1909" i="4"/>
  <c r="N3500" i="4"/>
  <c r="F1440" i="4"/>
  <c r="F1848" i="4"/>
  <c r="N3459" i="4"/>
  <c r="M973" i="4"/>
  <c r="F1830" i="4"/>
  <c r="M2184" i="4"/>
  <c r="N2134" i="4"/>
  <c r="F1179" i="4"/>
  <c r="F506" i="4"/>
  <c r="F1086" i="4"/>
  <c r="F10" i="4"/>
  <c r="F588" i="4"/>
  <c r="F1190" i="4"/>
  <c r="N2912" i="4"/>
  <c r="M3405" i="4"/>
  <c r="M908" i="4"/>
  <c r="F1370" i="4"/>
  <c r="M2329" i="4"/>
  <c r="N2046" i="4"/>
  <c r="F1676" i="4"/>
  <c r="F5" i="4"/>
  <c r="M373" i="4"/>
  <c r="M942" i="4"/>
  <c r="F678" i="4"/>
  <c r="M1467" i="4"/>
  <c r="N2292" i="4"/>
  <c r="F1603" i="4"/>
  <c r="F959" i="4"/>
  <c r="M1250" i="4"/>
  <c r="M526" i="4"/>
  <c r="F853" i="4"/>
  <c r="F1394" i="4"/>
  <c r="F1387" i="4"/>
  <c r="F1109" i="4"/>
  <c r="F504" i="4"/>
  <c r="F492" i="4"/>
  <c r="M1025" i="4"/>
  <c r="N2649" i="4"/>
  <c r="N2100" i="4"/>
  <c r="M695" i="4"/>
  <c r="F946" i="4"/>
  <c r="M794" i="4"/>
  <c r="M3622" i="4"/>
  <c r="N3692" i="4"/>
  <c r="N2658" i="4"/>
  <c r="M340" i="4"/>
  <c r="M1039" i="4"/>
  <c r="M523" i="4"/>
  <c r="M1557" i="4"/>
  <c r="M519" i="4"/>
  <c r="N3844" i="4"/>
  <c r="M2246" i="4"/>
  <c r="F921" i="4"/>
  <c r="F1840" i="4"/>
  <c r="F1776" i="4"/>
  <c r="M1360" i="4"/>
  <c r="M627" i="4"/>
  <c r="M1074" i="4"/>
  <c r="N3870" i="4"/>
  <c r="M1107" i="4"/>
  <c r="M1110" i="4"/>
  <c r="M932" i="4"/>
  <c r="M930" i="4"/>
  <c r="N2911" i="4"/>
  <c r="M897" i="4"/>
  <c r="M962" i="4"/>
  <c r="F1711" i="4"/>
  <c r="M1396" i="4"/>
  <c r="M3294" i="4"/>
  <c r="F1090" i="4"/>
  <c r="N2562" i="4"/>
  <c r="M466" i="4"/>
  <c r="M944" i="4"/>
  <c r="F787" i="4"/>
  <c r="F73" i="4"/>
  <c r="F1662" i="4"/>
  <c r="N3105" i="4"/>
  <c r="N2778" i="4"/>
  <c r="M1174" i="4"/>
  <c r="M2100" i="4"/>
  <c r="M3399" i="4"/>
  <c r="F671" i="4"/>
  <c r="F2010" i="4"/>
  <c r="M2081" i="4"/>
  <c r="F838" i="4"/>
  <c r="F490" i="4"/>
  <c r="F1683" i="4"/>
  <c r="M854" i="4"/>
  <c r="M473" i="4"/>
  <c r="F1295" i="4"/>
  <c r="N3507" i="4"/>
  <c r="M2832" i="4"/>
  <c r="F723" i="4"/>
  <c r="M1601" i="4"/>
  <c r="M1804" i="4"/>
  <c r="F505" i="4"/>
  <c r="F776" i="4"/>
  <c r="M634" i="4"/>
  <c r="N3596" i="4"/>
  <c r="F710" i="4"/>
  <c r="F1363" i="4"/>
  <c r="F906" i="4"/>
  <c r="M2657" i="4"/>
  <c r="N3435" i="4"/>
  <c r="N2429" i="4"/>
  <c r="M427" i="4"/>
  <c r="M425" i="4"/>
  <c r="N2063" i="4"/>
  <c r="M795" i="4"/>
  <c r="N2301" i="4"/>
  <c r="M1949" i="4"/>
  <c r="M591" i="4"/>
  <c r="F1044" i="4"/>
  <c r="N2477" i="4"/>
  <c r="F1136" i="4"/>
  <c r="M731" i="4"/>
  <c r="N3743" i="4"/>
  <c r="M509" i="4"/>
  <c r="F803" i="4"/>
  <c r="M1625" i="4"/>
  <c r="M1192" i="4"/>
  <c r="F1519" i="4"/>
  <c r="N3133" i="4"/>
  <c r="M3318" i="4"/>
  <c r="M961" i="4"/>
  <c r="F867" i="4"/>
  <c r="M2561" i="4"/>
  <c r="M2808" i="4"/>
  <c r="F2075" i="4"/>
  <c r="M599" i="4"/>
  <c r="M704" i="4"/>
  <c r="F351" i="4"/>
  <c r="M419" i="4"/>
  <c r="F1389" i="4"/>
  <c r="F711" i="4"/>
  <c r="F1399" i="4"/>
  <c r="M809" i="4"/>
  <c r="F644" i="4"/>
  <c r="M2513" i="4"/>
  <c r="N3811" i="4"/>
  <c r="M1988" i="4"/>
  <c r="F377" i="4"/>
  <c r="F693" i="4"/>
  <c r="M1037" i="4"/>
  <c r="F771" i="4"/>
  <c r="F915" i="4"/>
  <c r="F1317" i="4"/>
  <c r="M879" i="4"/>
  <c r="F312" i="4"/>
  <c r="M304" i="4"/>
  <c r="F147" i="4"/>
  <c r="M199" i="4"/>
  <c r="F335" i="4"/>
  <c r="M1462" i="4"/>
  <c r="F401" i="4"/>
  <c r="F404" i="4"/>
  <c r="F182" i="4"/>
  <c r="M183" i="4"/>
  <c r="M54" i="4"/>
  <c r="F270" i="4"/>
  <c r="F331" i="4"/>
  <c r="M383" i="4"/>
  <c r="F614" i="4"/>
  <c r="M13" i="4"/>
  <c r="M27" i="4"/>
  <c r="M66" i="4"/>
  <c r="M152" i="4"/>
  <c r="M227" i="4"/>
  <c r="F310" i="4"/>
  <c r="M396" i="4"/>
  <c r="F745" i="4"/>
  <c r="M12" i="4"/>
  <c r="M278" i="4"/>
  <c r="F22" i="4"/>
  <c r="F280" i="4"/>
  <c r="M538" i="4"/>
  <c r="M2464" i="4"/>
  <c r="N3068" i="4"/>
  <c r="F47" i="4"/>
  <c r="M2" i="4"/>
  <c r="F326" i="6"/>
  <c r="L807" i="6"/>
  <c r="L2432" i="4"/>
  <c r="L918" i="4"/>
  <c r="S91" i="2"/>
  <c r="N1102" i="4" s="1"/>
  <c r="L2440" i="4"/>
  <c r="L352" i="6"/>
  <c r="L1014" i="4"/>
  <c r="L431" i="4"/>
  <c r="L2427" i="4"/>
  <c r="M1399" i="4"/>
  <c r="S515" i="2"/>
  <c r="N3503" i="4"/>
  <c r="M3104" i="4"/>
  <c r="F1682" i="6"/>
  <c r="L1258" i="4"/>
  <c r="L2039" i="4"/>
  <c r="N3751" i="4"/>
  <c r="M1770" i="4"/>
  <c r="L503" i="4"/>
  <c r="L2988" i="4"/>
  <c r="L365" i="4"/>
  <c r="N3140" i="4"/>
  <c r="M3079" i="4"/>
  <c r="S666" i="2"/>
  <c r="F667" i="6"/>
  <c r="S362" i="2"/>
  <c r="M3757" i="4"/>
  <c r="N3317" i="4"/>
  <c r="L729" i="4"/>
  <c r="L2154" i="4"/>
  <c r="M3894" i="4"/>
  <c r="M3515" i="4"/>
  <c r="N3954" i="4"/>
  <c r="L1435" i="4"/>
  <c r="L2220" i="4"/>
  <c r="M2926" i="4"/>
  <c r="N3254" i="4"/>
  <c r="F441" i="6"/>
  <c r="L1993" i="6"/>
  <c r="L451" i="4"/>
  <c r="L3059" i="4"/>
  <c r="L777" i="4"/>
  <c r="M3206" i="4"/>
  <c r="N2060" i="4"/>
  <c r="N2845" i="4"/>
  <c r="M3520" i="4"/>
  <c r="N3001" i="4"/>
  <c r="S574" i="2"/>
  <c r="L269" i="4"/>
  <c r="N3072" i="4"/>
  <c r="N3312" i="4"/>
  <c r="M2862" i="4"/>
  <c r="N3901" i="4"/>
  <c r="M2675" i="4"/>
  <c r="M1217" i="4"/>
  <c r="N3691" i="4"/>
  <c r="N1954" i="4"/>
  <c r="M2730" i="4"/>
  <c r="F784" i="4"/>
  <c r="N3866" i="4"/>
  <c r="M1492" i="4"/>
  <c r="M2801" i="4"/>
  <c r="M2800" i="4"/>
  <c r="N3155" i="4"/>
  <c r="N3587" i="4"/>
  <c r="F677" i="4"/>
  <c r="M1633" i="4"/>
  <c r="L1249" i="4"/>
  <c r="N3332" i="4"/>
  <c r="M2312" i="4"/>
  <c r="M1457" i="4"/>
  <c r="F1886" i="4"/>
  <c r="N2081" i="4"/>
  <c r="N3097" i="4"/>
  <c r="N3672" i="4"/>
  <c r="F2012" i="4"/>
  <c r="M535" i="4"/>
  <c r="M765" i="4"/>
  <c r="F1036" i="4"/>
  <c r="F1479" i="4"/>
  <c r="F1319" i="4"/>
  <c r="F1142" i="4"/>
  <c r="L963" i="4"/>
  <c r="L1538" i="4"/>
  <c r="M2462" i="4"/>
  <c r="N2128" i="4"/>
  <c r="M2898" i="4"/>
  <c r="N2168" i="4"/>
  <c r="N3386" i="4"/>
  <c r="M2226" i="4"/>
  <c r="N3950" i="4"/>
  <c r="M2793" i="4"/>
  <c r="M1432" i="4"/>
  <c r="N3538" i="4"/>
  <c r="M2284" i="4"/>
  <c r="N3850" i="4"/>
  <c r="N2563" i="4"/>
  <c r="N1774" i="4"/>
  <c r="F1269" i="4"/>
  <c r="F1612" i="4"/>
  <c r="N2790" i="4"/>
  <c r="M988" i="4"/>
  <c r="M1225" i="4"/>
  <c r="M3523" i="4"/>
  <c r="N2206" i="4"/>
  <c r="N2299" i="4"/>
  <c r="M3499" i="4"/>
  <c r="M1340" i="4"/>
  <c r="M1438" i="4"/>
  <c r="N3369" i="4"/>
  <c r="F762" i="4"/>
  <c r="L220" i="4"/>
  <c r="L789" i="6"/>
  <c r="M1773" i="4"/>
  <c r="N2737" i="4"/>
  <c r="M2204" i="4"/>
  <c r="N2872" i="4"/>
  <c r="F1694" i="4"/>
  <c r="M3729" i="4"/>
  <c r="F2072" i="4"/>
  <c r="N3700" i="4"/>
  <c r="M2781" i="4"/>
  <c r="N1972" i="4"/>
  <c r="M3768" i="4"/>
  <c r="M2083" i="4"/>
  <c r="M1595" i="4"/>
  <c r="M3452" i="4"/>
  <c r="N2082" i="4"/>
  <c r="N2152" i="4"/>
  <c r="M850" i="4"/>
  <c r="M1158" i="4"/>
  <c r="M3144" i="4"/>
  <c r="M848" i="4"/>
  <c r="F1048" i="4"/>
  <c r="N2014" i="4"/>
  <c r="L2522" i="4"/>
  <c r="S501" i="2"/>
  <c r="N3859" i="4"/>
  <c r="F1784" i="4"/>
  <c r="M3262" i="4"/>
  <c r="M3589" i="4"/>
  <c r="N1802" i="4"/>
  <c r="M3604" i="4"/>
  <c r="N1990" i="4"/>
  <c r="M1502" i="4"/>
  <c r="M3064" i="4"/>
  <c r="N2551" i="4"/>
  <c r="F1348" i="4"/>
  <c r="N2905" i="4"/>
  <c r="F1878" i="4"/>
  <c r="N3802" i="4"/>
  <c r="N2990" i="4"/>
  <c r="F2024" i="4"/>
  <c r="F1026" i="4"/>
  <c r="M3724" i="4"/>
  <c r="M928" i="4"/>
  <c r="M1681" i="4"/>
  <c r="M1099" i="4"/>
  <c r="L551" i="6"/>
  <c r="F541" i="6"/>
  <c r="L280" i="4"/>
  <c r="N3513" i="4"/>
  <c r="N2135" i="4"/>
  <c r="N3810" i="4"/>
  <c r="M2119" i="4"/>
  <c r="N3777" i="4"/>
  <c r="M2746" i="4"/>
  <c r="M1811" i="4"/>
  <c r="M3223" i="4"/>
  <c r="M2433" i="4"/>
  <c r="F1681" i="4"/>
  <c r="M2955" i="4"/>
  <c r="M2236" i="4"/>
  <c r="M1066" i="4"/>
  <c r="M2822" i="4"/>
  <c r="M2283" i="4"/>
  <c r="F1568" i="4"/>
  <c r="M1345" i="4"/>
  <c r="F914" i="4"/>
  <c r="N2646" i="4"/>
  <c r="F1241" i="4"/>
  <c r="N1877" i="4"/>
  <c r="M3447" i="4"/>
  <c r="S199" i="2"/>
  <c r="S331" i="2"/>
  <c r="N3561" i="4"/>
  <c r="N2009" i="4"/>
  <c r="M3707" i="4"/>
  <c r="M3225" i="4"/>
  <c r="N2031" i="4"/>
  <c r="M3607" i="4"/>
  <c r="N2674" i="4"/>
  <c r="F1768" i="4"/>
  <c r="M3774" i="4"/>
  <c r="M3492" i="4"/>
  <c r="F1892" i="4"/>
  <c r="M3270" i="4"/>
  <c r="M2636" i="4"/>
  <c r="N2115" i="4"/>
  <c r="M3884" i="4"/>
  <c r="N3045" i="4"/>
  <c r="M2127" i="4"/>
  <c r="M1782" i="4"/>
  <c r="M1741" i="4"/>
  <c r="M1236" i="4"/>
  <c r="N2598" i="4"/>
  <c r="M966" i="4"/>
  <c r="N2193" i="4"/>
  <c r="M3303" i="4"/>
  <c r="F1240" i="4"/>
  <c r="M2294" i="4"/>
  <c r="M784" i="4"/>
  <c r="F1019" i="4"/>
  <c r="M2620" i="4"/>
  <c r="F1006" i="4"/>
  <c r="F2011" i="4"/>
  <c r="M483" i="4"/>
  <c r="F1117" i="4"/>
  <c r="L912" i="4"/>
  <c r="L1523" i="4"/>
  <c r="N2860" i="4"/>
  <c r="M1258" i="4"/>
  <c r="M3701" i="4"/>
  <c r="M3770" i="4"/>
  <c r="F2067" i="4"/>
  <c r="M3422" i="4"/>
  <c r="M2722" i="4"/>
  <c r="M1763" i="4"/>
  <c r="M3531" i="4"/>
  <c r="M2409" i="4"/>
  <c r="F1645" i="4"/>
  <c r="M3457" i="4"/>
  <c r="N2480" i="4"/>
  <c r="M1751" i="4"/>
  <c r="M3209" i="4"/>
  <c r="M2731" i="4"/>
  <c r="F1890" i="4"/>
  <c r="F840" i="4"/>
  <c r="M3791" i="4"/>
  <c r="M713" i="4"/>
  <c r="N2984" i="4"/>
  <c r="M788" i="4"/>
  <c r="F1351" i="4"/>
  <c r="M3132" i="4"/>
  <c r="S347" i="2"/>
  <c r="N890" i="4" s="1"/>
  <c r="L1332" i="4"/>
  <c r="M3941" i="4"/>
  <c r="L1877" i="4"/>
  <c r="M2735" i="4"/>
  <c r="M1068" i="4"/>
  <c r="M3625" i="4"/>
  <c r="N2779" i="4"/>
  <c r="M1986" i="4"/>
  <c r="M3060" i="4"/>
  <c r="M2718" i="4"/>
  <c r="F555" i="4"/>
  <c r="N2194" i="4"/>
  <c r="M2205" i="4"/>
  <c r="N3223" i="4"/>
  <c r="N2922" i="4"/>
  <c r="M1442" i="4"/>
  <c r="F1871" i="4"/>
  <c r="M927" i="4"/>
  <c r="F1145" i="4"/>
  <c r="M1315" i="4"/>
  <c r="N1796" i="4"/>
  <c r="M2169" i="4"/>
  <c r="M2118" i="4"/>
  <c r="F1597" i="4"/>
  <c r="M2906" i="4"/>
  <c r="M1737" i="4"/>
  <c r="M1486" i="4"/>
  <c r="N2326" i="4"/>
  <c r="M3228" i="4"/>
  <c r="M1718" i="4"/>
  <c r="F2050" i="4"/>
  <c r="N3057" i="4"/>
  <c r="M1714" i="4"/>
  <c r="N3733" i="4"/>
  <c r="M409" i="4"/>
  <c r="F763" i="4"/>
  <c r="M3497" i="4"/>
  <c r="S364" i="2"/>
  <c r="N201" i="4" s="1"/>
  <c r="F1617" i="4"/>
  <c r="N1878" i="4"/>
  <c r="F1409" i="4"/>
  <c r="N3701" i="4"/>
  <c r="F1278" i="4"/>
  <c r="M608" i="4"/>
  <c r="M1837" i="4"/>
  <c r="F1990" i="4"/>
  <c r="M3963" i="4"/>
  <c r="M2542" i="4"/>
  <c r="M1241" i="4"/>
  <c r="N3367" i="4"/>
  <c r="M791" i="4"/>
  <c r="N1871" i="4"/>
  <c r="L2095" i="4"/>
  <c r="N2173" i="4"/>
  <c r="M1921" i="4"/>
  <c r="M3466" i="4"/>
  <c r="M3822" i="4"/>
  <c r="L2493" i="4"/>
  <c r="F1352" i="4"/>
  <c r="M2298" i="4"/>
  <c r="M1067" i="4"/>
  <c r="M3197" i="4"/>
  <c r="M1429" i="4"/>
  <c r="M1170" i="4"/>
  <c r="N3304" i="4"/>
  <c r="M1031" i="4"/>
  <c r="M2887" i="4"/>
  <c r="N2638" i="4"/>
  <c r="F1828" i="4"/>
  <c r="M1688" i="4"/>
  <c r="M645" i="4"/>
  <c r="N2597" i="4"/>
  <c r="M899" i="4"/>
  <c r="F802" i="4"/>
  <c r="N2950" i="4"/>
  <c r="M1663" i="4"/>
  <c r="M3737" i="4"/>
  <c r="N3094" i="4"/>
  <c r="F2076" i="4"/>
  <c r="M671" i="4"/>
  <c r="M3738" i="4"/>
  <c r="M3562" i="4"/>
  <c r="M3674" i="4"/>
  <c r="M3016" i="4"/>
  <c r="M3488" i="4"/>
  <c r="M999" i="4"/>
  <c r="M1564" i="4"/>
  <c r="M2820" i="4"/>
  <c r="F565" i="4"/>
  <c r="F1614" i="4"/>
  <c r="N2011" i="4"/>
  <c r="F1027" i="4"/>
  <c r="F1695" i="4"/>
  <c r="F550" i="4"/>
  <c r="F998" i="4"/>
  <c r="F1936" i="4"/>
  <c r="M799" i="4"/>
  <c r="F2040" i="4"/>
  <c r="N2447" i="4"/>
  <c r="M2524" i="4"/>
  <c r="F709" i="4"/>
  <c r="M960" i="4"/>
  <c r="F1775" i="4"/>
  <c r="M2136" i="4"/>
  <c r="M1699" i="4"/>
  <c r="F152" i="4"/>
  <c r="F488" i="4"/>
  <c r="F519" i="4"/>
  <c r="M1361" i="4"/>
  <c r="M2200" i="4"/>
  <c r="M566" i="4"/>
  <c r="M1017" i="4"/>
  <c r="M551" i="4"/>
  <c r="N2246" i="4"/>
  <c r="F374" i="4"/>
  <c r="F660" i="4"/>
  <c r="M1193" i="4"/>
  <c r="M993" i="4"/>
  <c r="F564" i="4"/>
  <c r="N2753" i="4"/>
  <c r="F36" i="4"/>
  <c r="N1988" i="4"/>
  <c r="F1285" i="4"/>
  <c r="M1126" i="4"/>
  <c r="F1427" i="4"/>
  <c r="M733" i="4"/>
  <c r="M576" i="4"/>
  <c r="M2953" i="4"/>
  <c r="N3574" i="4"/>
  <c r="M2454" i="4"/>
  <c r="M497" i="4"/>
  <c r="N2282" i="4"/>
  <c r="M2549" i="4"/>
  <c r="F673" i="4"/>
  <c r="N3411" i="4"/>
  <c r="F1955" i="4"/>
  <c r="M1747" i="4"/>
  <c r="F1539" i="4"/>
  <c r="F933" i="4"/>
  <c r="F1456" i="4"/>
  <c r="M3438" i="4"/>
  <c r="F1533" i="4"/>
  <c r="N2150" i="4"/>
  <c r="F943" i="4"/>
  <c r="F1002" i="4"/>
  <c r="M1103" i="4"/>
  <c r="M517" i="4"/>
  <c r="M1194" i="4"/>
  <c r="F1522" i="4"/>
  <c r="N2475" i="4"/>
  <c r="F766" i="4"/>
  <c r="F1162" i="4"/>
  <c r="N2293" i="4"/>
  <c r="M2809" i="4"/>
  <c r="N2110" i="4"/>
  <c r="N3167" i="4"/>
  <c r="N79" i="4"/>
  <c r="F1342" i="4"/>
  <c r="F774" i="4"/>
  <c r="F969" i="4"/>
  <c r="M572" i="4"/>
  <c r="M1764" i="4"/>
  <c r="M2150" i="4"/>
  <c r="F882" i="4"/>
  <c r="N1699" i="4"/>
  <c r="N2718" i="4"/>
  <c r="F1110" i="4"/>
  <c r="N1736" i="4"/>
  <c r="N2243" i="4"/>
  <c r="M916" i="4"/>
  <c r="M1004" i="4"/>
  <c r="M322" i="4"/>
  <c r="M1352" i="4"/>
  <c r="M2405" i="4"/>
  <c r="N2839" i="4"/>
  <c r="F1047" i="4"/>
  <c r="M2525" i="4"/>
  <c r="M2351" i="4"/>
  <c r="M1016" i="4"/>
  <c r="F1198" i="4"/>
  <c r="M528" i="4"/>
  <c r="M588" i="4"/>
  <c r="N3646" i="4"/>
  <c r="N3550" i="4"/>
  <c r="M1757" i="4"/>
  <c r="F592" i="4"/>
  <c r="M693" i="4"/>
  <c r="M1855" i="4"/>
  <c r="M2952" i="4"/>
  <c r="M2174" i="4"/>
  <c r="F92" i="4"/>
  <c r="N2819" i="4"/>
  <c r="M637" i="4"/>
  <c r="M408" i="4"/>
  <c r="N3446" i="4"/>
  <c r="M1732" i="4"/>
  <c r="F759" i="4"/>
  <c r="F842" i="4"/>
  <c r="M2090" i="4"/>
  <c r="M394" i="4"/>
  <c r="F1280" i="4"/>
  <c r="M3416" i="4"/>
  <c r="F445" i="4"/>
  <c r="M776" i="4"/>
  <c r="F1173" i="4"/>
  <c r="M2453" i="4"/>
  <c r="N3385" i="4"/>
  <c r="M1999" i="4"/>
  <c r="M3376" i="4"/>
  <c r="F553" i="4"/>
  <c r="M1581" i="4"/>
  <c r="N2558" i="4"/>
  <c r="N3521" i="4"/>
  <c r="M1821" i="4"/>
  <c r="M664" i="4"/>
  <c r="M825" i="4"/>
  <c r="M1623" i="4"/>
  <c r="M1509" i="4"/>
  <c r="M3510" i="4"/>
  <c r="N3483" i="4"/>
  <c r="M3232" i="4"/>
  <c r="M948" i="4"/>
  <c r="F1535" i="4"/>
  <c r="N2387" i="4"/>
  <c r="N3321" i="4"/>
  <c r="N1773" i="4"/>
  <c r="F318" i="4"/>
  <c r="F1502" i="4"/>
  <c r="N2234" i="4"/>
  <c r="M759" i="4"/>
  <c r="M968" i="4"/>
  <c r="F421" i="4"/>
  <c r="M1178" i="4"/>
  <c r="M216" i="4"/>
  <c r="F20" i="4"/>
  <c r="F304" i="4"/>
  <c r="M200" i="4"/>
  <c r="M532" i="4"/>
  <c r="N2425" i="4"/>
  <c r="F1041" i="4"/>
  <c r="M397" i="4"/>
  <c r="M145" i="4"/>
  <c r="F338" i="4"/>
  <c r="P25" i="15"/>
  <c r="L1043" i="6"/>
  <c r="L2642" i="4"/>
  <c r="L16" i="4"/>
  <c r="L806" i="4"/>
  <c r="L3544" i="4"/>
  <c r="L967" i="4"/>
  <c r="L2246" i="4"/>
  <c r="L702" i="4"/>
  <c r="L2618" i="4"/>
  <c r="M2972" i="4"/>
  <c r="L2365" i="4"/>
  <c r="M2842" i="4"/>
  <c r="N2853" i="4"/>
  <c r="L1532" i="6"/>
  <c r="L354" i="4"/>
  <c r="L984" i="4"/>
  <c r="N3322" i="4"/>
  <c r="M3827" i="4"/>
  <c r="S451" i="2"/>
  <c r="N911" i="4" s="1"/>
  <c r="L1108" i="4"/>
  <c r="M3643" i="4"/>
  <c r="M1979" i="4"/>
  <c r="N2784" i="4"/>
  <c r="L1846" i="4"/>
  <c r="L2754" i="4"/>
  <c r="L600" i="4"/>
  <c r="M2690" i="4"/>
  <c r="N2921" i="4"/>
  <c r="L1065" i="4"/>
  <c r="L1740" i="4"/>
  <c r="N3377" i="4"/>
  <c r="N3614" i="4"/>
  <c r="M3177" i="4"/>
  <c r="L1672" i="4"/>
  <c r="L1860" i="4"/>
  <c r="N2631" i="4"/>
  <c r="M3461" i="4"/>
  <c r="L1158" i="4"/>
  <c r="L3132" i="4"/>
  <c r="L1696" i="4"/>
  <c r="S465" i="2"/>
  <c r="N597" i="4" s="1"/>
  <c r="L35" i="4"/>
  <c r="M2939" i="4"/>
  <c r="F1658" i="4"/>
  <c r="M1840" i="4"/>
  <c r="M2202" i="4"/>
  <c r="M2588" i="4"/>
  <c r="F200" i="6"/>
  <c r="F414" i="6"/>
  <c r="N1869" i="4"/>
  <c r="M2181" i="4"/>
  <c r="M2651" i="4"/>
  <c r="N1782" i="4"/>
  <c r="F1939" i="4"/>
  <c r="M3705" i="4"/>
  <c r="N2672" i="4"/>
  <c r="N2059" i="4"/>
  <c r="F899" i="4"/>
  <c r="M606" i="4"/>
  <c r="M3716" i="4"/>
  <c r="M1897" i="4"/>
  <c r="N2923" i="4"/>
  <c r="N2919" i="4"/>
  <c r="N3145" i="4"/>
  <c r="N3348" i="4"/>
  <c r="M361" i="4"/>
  <c r="M888" i="4"/>
  <c r="L2450" i="4"/>
  <c r="N3745" i="4"/>
  <c r="F324" i="4"/>
  <c r="M3751" i="4"/>
  <c r="M1538" i="4"/>
  <c r="N2890" i="4"/>
  <c r="N2831" i="4"/>
  <c r="N3875" i="4"/>
  <c r="M2341" i="4"/>
  <c r="M345" i="4"/>
  <c r="M967" i="4"/>
  <c r="F873" i="4"/>
  <c r="M1273" i="4"/>
  <c r="M520" i="4"/>
  <c r="M925" i="4"/>
  <c r="L1572" i="6"/>
  <c r="N3694" i="4"/>
  <c r="N2384" i="4"/>
  <c r="M1095" i="4"/>
  <c r="M3732" i="4"/>
  <c r="M1583" i="4"/>
  <c r="M3089" i="4"/>
  <c r="F2060" i="4"/>
  <c r="N3724" i="4"/>
  <c r="M2637" i="4"/>
  <c r="F1753" i="4"/>
  <c r="M3147" i="4"/>
  <c r="M2128" i="4"/>
  <c r="N3648" i="4"/>
  <c r="M2791" i="4"/>
  <c r="N2207" i="4"/>
  <c r="M1022" i="4"/>
  <c r="M1188" i="4"/>
  <c r="M2586" i="4"/>
  <c r="M1035" i="4"/>
  <c r="M1358" i="4"/>
  <c r="N2855" i="4"/>
  <c r="M1118" i="4"/>
  <c r="F1657" i="4"/>
  <c r="M3796" i="4"/>
  <c r="N2174" i="4"/>
  <c r="F920" i="4"/>
  <c r="N3217" i="4"/>
  <c r="F591" i="4"/>
  <c r="F558" i="6"/>
  <c r="L764" i="4"/>
  <c r="M1519" i="4"/>
  <c r="M2533" i="4"/>
  <c r="M2045" i="4"/>
  <c r="M1943" i="4"/>
  <c r="M1430" i="4"/>
  <c r="M3309" i="4"/>
  <c r="F1804" i="4"/>
  <c r="N3539" i="4"/>
  <c r="M2625" i="4"/>
  <c r="M1416" i="4"/>
  <c r="N3490" i="4"/>
  <c r="M1875" i="4"/>
  <c r="M1439" i="4"/>
  <c r="M3134" i="4"/>
  <c r="N1890" i="4"/>
  <c r="M1275" i="4"/>
  <c r="F690" i="4"/>
  <c r="F940" i="4"/>
  <c r="M2538" i="4"/>
  <c r="M1928" i="4"/>
  <c r="F885" i="4"/>
  <c r="M2112" i="4"/>
  <c r="L3155" i="4"/>
  <c r="L523" i="6"/>
  <c r="M3154" i="4"/>
  <c r="F1626" i="4"/>
  <c r="M3139" i="4"/>
  <c r="M3138" i="4"/>
  <c r="F1983" i="4"/>
  <c r="N3338" i="4"/>
  <c r="N3340" i="4"/>
  <c r="M1121" i="4"/>
  <c r="M2908" i="4"/>
  <c r="M2201" i="4"/>
  <c r="F328" i="4"/>
  <c r="N2756" i="4"/>
  <c r="N2041" i="4"/>
  <c r="N3600" i="4"/>
  <c r="N2683" i="4"/>
  <c r="F1789" i="4"/>
  <c r="M715" i="4"/>
  <c r="N3208" i="4"/>
  <c r="F586" i="4"/>
  <c r="M1008" i="4"/>
  <c r="N2411" i="4"/>
  <c r="S432" i="2"/>
  <c r="L1524" i="4"/>
  <c r="M3182" i="4"/>
  <c r="N2504" i="4"/>
  <c r="F1904" i="4"/>
  <c r="M3782" i="4"/>
  <c r="M3301" i="4"/>
  <c r="M3470" i="4"/>
  <c r="M2590" i="4"/>
  <c r="M1556" i="4"/>
  <c r="N3578" i="4"/>
  <c r="N3281" i="4"/>
  <c r="M1489" i="4"/>
  <c r="N3804" i="4"/>
  <c r="N2080" i="4"/>
  <c r="M1784" i="4"/>
  <c r="N3055" i="4"/>
  <c r="M1925" i="4"/>
  <c r="M1331" i="4"/>
  <c r="F499" i="4"/>
  <c r="M740" i="4"/>
  <c r="M2442" i="4"/>
  <c r="F996" i="4"/>
  <c r="F1022" i="4"/>
  <c r="N3070" i="4"/>
  <c r="L992" i="4"/>
  <c r="L156" i="6"/>
  <c r="M3010" i="4"/>
  <c r="M1386" i="4"/>
  <c r="M3840" i="4"/>
  <c r="N3420" i="4"/>
  <c r="M2386" i="4"/>
  <c r="N3729" i="4"/>
  <c r="N3497" i="4"/>
  <c r="N1896" i="4"/>
  <c r="N3443" i="4"/>
  <c r="M2733" i="4"/>
  <c r="N1704" i="4"/>
  <c r="M3685" i="4"/>
  <c r="M2480" i="4"/>
  <c r="F1618" i="4"/>
  <c r="N3552" i="4"/>
  <c r="N2827" i="4"/>
  <c r="M1906" i="4"/>
  <c r="F1552" i="4"/>
  <c r="F1185" i="4"/>
  <c r="F1372" i="4"/>
  <c r="M3931" i="4"/>
  <c r="F806" i="4"/>
  <c r="M1577" i="4"/>
  <c r="N2788" i="4"/>
  <c r="M986" i="4"/>
  <c r="F1788" i="4"/>
  <c r="F608" i="4"/>
  <c r="F856" i="4"/>
  <c r="N1870" i="4"/>
  <c r="M1425" i="4"/>
  <c r="N1785" i="4"/>
  <c r="F438" i="4"/>
  <c r="F918" i="4"/>
  <c r="S561" i="2"/>
  <c r="L230" i="4"/>
  <c r="N2880" i="4"/>
  <c r="M1338" i="4"/>
  <c r="M2995" i="4"/>
  <c r="M3066" i="4"/>
  <c r="N1742" i="4"/>
  <c r="M3200" i="4"/>
  <c r="M2566" i="4"/>
  <c r="N2260" i="4"/>
  <c r="N3693" i="4"/>
  <c r="N2866" i="4"/>
  <c r="M1277" i="4"/>
  <c r="N3381" i="4"/>
  <c r="M2003" i="4"/>
  <c r="M1536" i="4"/>
  <c r="N3575" i="4"/>
  <c r="M2587" i="4"/>
  <c r="N1714" i="4"/>
  <c r="M677" i="4"/>
  <c r="N3809" i="4"/>
  <c r="F545" i="4"/>
  <c r="M2306" i="4"/>
  <c r="F611" i="4"/>
  <c r="F833" i="4"/>
  <c r="N2740" i="4"/>
  <c r="A93" i="15"/>
  <c r="L467" i="4"/>
  <c r="N3496" i="4"/>
  <c r="N3313" i="4"/>
  <c r="M2275" i="4"/>
  <c r="F1148" i="4"/>
  <c r="M2907" i="4"/>
  <c r="M2575" i="4"/>
  <c r="M1291" i="4"/>
  <c r="M3640" i="4"/>
  <c r="F1873" i="4"/>
  <c r="F1490" i="4"/>
  <c r="M1186" i="4"/>
  <c r="N2736" i="4"/>
  <c r="N2445" i="4"/>
  <c r="F1613" i="4"/>
  <c r="M3906" i="4"/>
  <c r="F606" i="4"/>
  <c r="F1542" i="4"/>
  <c r="M813" i="4"/>
  <c r="F1020" i="4"/>
  <c r="M1655" i="4"/>
  <c r="N2700" i="4"/>
  <c r="N1813" i="4"/>
  <c r="F1714" i="4"/>
  <c r="N2755" i="4"/>
  <c r="F1347" i="4"/>
  <c r="F871" i="4"/>
  <c r="F800" i="4"/>
  <c r="M2043" i="4"/>
  <c r="M1335" i="4"/>
  <c r="M3944" i="4"/>
  <c r="M2698" i="4"/>
  <c r="F1441" i="4"/>
  <c r="N3750" i="4"/>
  <c r="N2815" i="4"/>
  <c r="F623" i="4"/>
  <c r="N2982" i="4"/>
  <c r="L1167" i="4"/>
  <c r="N3519" i="4"/>
  <c r="F1868" i="4"/>
  <c r="M1443" i="4"/>
  <c r="N3686" i="4"/>
  <c r="M393" i="4"/>
  <c r="M676" i="4"/>
  <c r="M3105" i="4"/>
  <c r="F1449" i="4"/>
  <c r="N3024" i="4"/>
  <c r="N2434" i="4"/>
  <c r="N2214" i="4"/>
  <c r="M3308" i="4"/>
  <c r="M2596" i="4"/>
  <c r="F1213" i="4"/>
  <c r="L217" i="4"/>
  <c r="N3699" i="4"/>
  <c r="F1671" i="4"/>
  <c r="N3282" i="4"/>
  <c r="N3084" i="4"/>
  <c r="L2089" i="4"/>
  <c r="N3645" i="4"/>
  <c r="N2527" i="4"/>
  <c r="M3901" i="4"/>
  <c r="M3074" i="4"/>
  <c r="M3647" i="4"/>
  <c r="F995" i="4"/>
  <c r="F2065" i="4"/>
  <c r="F595" i="4"/>
  <c r="N2451" i="4"/>
  <c r="N3392" i="4"/>
  <c r="N2208" i="4"/>
  <c r="N3768" i="4"/>
  <c r="M764" i="4"/>
  <c r="M1730" i="4"/>
  <c r="M667" i="4"/>
  <c r="F581" i="4"/>
  <c r="N1745" i="4"/>
  <c r="M1814" i="4"/>
  <c r="N3542" i="4"/>
  <c r="M2576" i="4"/>
  <c r="F1826" i="4"/>
  <c r="N2903" i="4"/>
  <c r="M2440" i="4"/>
  <c r="M2766" i="4"/>
  <c r="N2729" i="4"/>
  <c r="N3462" i="4"/>
  <c r="N1749" i="4"/>
  <c r="F780" i="4"/>
  <c r="M1209" i="4"/>
  <c r="M2754" i="4"/>
  <c r="M1413" i="4"/>
  <c r="M1355" i="4"/>
  <c r="F1424" i="4"/>
  <c r="M1237" i="4"/>
  <c r="M643" i="4"/>
  <c r="N1724" i="4"/>
  <c r="F541" i="4"/>
  <c r="M574" i="4"/>
  <c r="N3943" i="4"/>
  <c r="F1543" i="4"/>
  <c r="F1344" i="4"/>
  <c r="N2350" i="4"/>
  <c r="F1755" i="4"/>
  <c r="F747" i="4"/>
  <c r="M1249" i="4"/>
  <c r="N1928" i="4"/>
  <c r="N2245" i="4"/>
  <c r="F296" i="4"/>
  <c r="M524" i="4"/>
  <c r="M462" i="4"/>
  <c r="M410" i="4"/>
  <c r="N3817" i="4"/>
  <c r="F650" i="4"/>
  <c r="F818" i="4"/>
  <c r="F1232" i="4"/>
  <c r="M997" i="4"/>
  <c r="N3665" i="4"/>
  <c r="M1645" i="4"/>
  <c r="M1330" i="4"/>
  <c r="M1140" i="4"/>
  <c r="M362" i="4"/>
  <c r="F824" i="4"/>
  <c r="M1778" i="4"/>
  <c r="M331" i="4"/>
  <c r="N2016" i="4"/>
  <c r="M529" i="4"/>
  <c r="M800" i="4"/>
  <c r="F526" i="4"/>
  <c r="F1310" i="4"/>
  <c r="N2573" i="4"/>
  <c r="M3339" i="4"/>
  <c r="N2376" i="4"/>
  <c r="F31" i="4"/>
  <c r="F781" i="4"/>
  <c r="F756" i="4"/>
  <c r="M539" i="4"/>
  <c r="F916" i="4"/>
  <c r="M3789" i="4"/>
  <c r="F975" i="4"/>
  <c r="F1070" i="4"/>
  <c r="M720" i="4"/>
  <c r="M1076" i="4"/>
  <c r="M2881" i="4"/>
  <c r="F1113" i="4"/>
  <c r="M3414" i="4"/>
  <c r="F1112" i="4"/>
  <c r="F1691" i="4"/>
  <c r="F562" i="4"/>
  <c r="F1274" i="4"/>
  <c r="F1258" i="4"/>
  <c r="F1754" i="4"/>
  <c r="F1303" i="4"/>
  <c r="F554" i="4"/>
  <c r="N2158" i="4"/>
  <c r="M1285" i="4"/>
  <c r="N3164" i="4"/>
  <c r="N3916" i="4"/>
  <c r="M2318" i="4"/>
  <c r="F56" i="4"/>
  <c r="M464" i="4"/>
  <c r="M505" i="4"/>
  <c r="M1155" i="4"/>
  <c r="N2270" i="4"/>
  <c r="N2526" i="4"/>
  <c r="F922" i="4"/>
  <c r="M630" i="4"/>
  <c r="F1644" i="4"/>
  <c r="M2418" i="4"/>
  <c r="M868" i="4"/>
  <c r="F1721" i="4"/>
  <c r="N2093" i="4"/>
  <c r="M1005" i="4"/>
  <c r="M3291" i="4"/>
  <c r="M476" i="4"/>
  <c r="F468" i="4"/>
  <c r="M742" i="4"/>
  <c r="M1468" i="4"/>
  <c r="F779" i="4"/>
  <c r="F1946" i="4"/>
  <c r="N3713" i="4"/>
  <c r="M816" i="4"/>
  <c r="F919" i="4"/>
  <c r="F14" i="4"/>
  <c r="F1334" i="4"/>
  <c r="F832" i="4"/>
  <c r="N3414" i="4"/>
  <c r="M3666" i="4"/>
  <c r="F757" i="4"/>
  <c r="M1705" i="4"/>
  <c r="N1840" i="4"/>
  <c r="N2620" i="4"/>
  <c r="M1994" i="4"/>
  <c r="F236" i="4"/>
  <c r="F825" i="4"/>
  <c r="M785" i="4"/>
  <c r="M447" i="4"/>
  <c r="F828" i="4"/>
  <c r="F764" i="4"/>
  <c r="M896" i="4"/>
  <c r="M629" i="4"/>
  <c r="F1577" i="4"/>
  <c r="M484" i="4"/>
  <c r="F1004" i="4"/>
  <c r="M2742" i="4"/>
  <c r="M364" i="4"/>
  <c r="F793" i="4"/>
  <c r="F600" i="4"/>
  <c r="M743" i="4"/>
  <c r="M697" i="4"/>
  <c r="N1935" i="4"/>
  <c r="M2716" i="4"/>
  <c r="F1202" i="4"/>
  <c r="F1114" i="4"/>
  <c r="N1999" i="4"/>
  <c r="N2512" i="4"/>
  <c r="M1380" i="4"/>
  <c r="F733" i="4"/>
  <c r="F1100" i="4"/>
  <c r="L3536" i="4"/>
  <c r="L2829" i="4"/>
  <c r="L1738" i="4"/>
  <c r="L2897" i="4"/>
  <c r="L653" i="6"/>
  <c r="L1150" i="4"/>
  <c r="L2396" i="4"/>
  <c r="L566" i="4"/>
  <c r="L3008" i="4"/>
  <c r="L2083" i="4"/>
  <c r="N2087" i="4"/>
  <c r="L937" i="4"/>
  <c r="F2077" i="4"/>
  <c r="N2042" i="4"/>
  <c r="L1536" i="4"/>
  <c r="L3364" i="4"/>
  <c r="S113" i="2"/>
  <c r="N582" i="4" s="1"/>
  <c r="N2630" i="4"/>
  <c r="M2947" i="4"/>
  <c r="L1816" i="4"/>
  <c r="L100" i="4"/>
  <c r="M3143" i="4"/>
  <c r="M2350" i="4"/>
  <c r="F2009" i="4"/>
  <c r="L697" i="4"/>
  <c r="L699" i="4"/>
  <c r="M3254" i="4"/>
  <c r="M2218" i="4"/>
  <c r="N3326" i="4"/>
  <c r="S463" i="2"/>
  <c r="N624" i="4" s="1"/>
  <c r="S566" i="2"/>
  <c r="N1159" i="4" s="1"/>
  <c r="N2361" i="4"/>
  <c r="M2557" i="4"/>
  <c r="M3952" i="4"/>
  <c r="S620" i="2"/>
  <c r="L353" i="4"/>
  <c r="N3525" i="4"/>
  <c r="N2930" i="4"/>
  <c r="S554" i="2"/>
  <c r="L896" i="4"/>
  <c r="M3842" i="4"/>
  <c r="L615" i="4"/>
  <c r="F549" i="6"/>
  <c r="M3689" i="4"/>
  <c r="M1370" i="4"/>
  <c r="N2125" i="4"/>
  <c r="F1716" i="4"/>
  <c r="M2116" i="4"/>
  <c r="L2173" i="4"/>
  <c r="S657" i="2"/>
  <c r="N2185" i="4"/>
  <c r="M1677" i="4"/>
  <c r="M1911" i="4"/>
  <c r="M2961" i="4"/>
  <c r="M1631" i="4"/>
  <c r="N3494" i="4"/>
  <c r="M2408" i="4"/>
  <c r="M2391" i="4"/>
  <c r="N2005" i="4"/>
  <c r="L2965" i="4"/>
  <c r="N3711" i="4"/>
  <c r="N2843" i="4"/>
  <c r="N2852" i="4"/>
  <c r="N3032" i="4"/>
  <c r="N2533" i="4"/>
  <c r="N2529" i="4"/>
  <c r="F1976" i="4"/>
  <c r="F653" i="4"/>
  <c r="L3884" i="4"/>
  <c r="M3481" i="4"/>
  <c r="M3914" i="4"/>
  <c r="N3410" i="4"/>
  <c r="F1636" i="4"/>
  <c r="M1856" i="4"/>
  <c r="M2696" i="4"/>
  <c r="N3779" i="4"/>
  <c r="N1786" i="4"/>
  <c r="F497" i="4"/>
  <c r="F625" i="4"/>
  <c r="N2258" i="4"/>
  <c r="M1406" i="4"/>
  <c r="N3143" i="4"/>
  <c r="F304" i="6"/>
  <c r="L2844" i="4"/>
  <c r="N3664" i="4"/>
  <c r="N1996" i="4"/>
  <c r="N3437" i="4"/>
  <c r="N2747" i="4"/>
  <c r="M1411" i="4"/>
  <c r="M3700" i="4"/>
  <c r="M2353" i="4"/>
  <c r="N3585" i="4"/>
  <c r="M2481" i="4"/>
  <c r="M1525" i="4"/>
  <c r="M2835" i="4"/>
  <c r="F1866" i="4"/>
  <c r="N3535" i="4"/>
  <c r="M2647" i="4"/>
  <c r="M1664" i="4"/>
  <c r="F702" i="4"/>
  <c r="F953" i="4"/>
  <c r="F1825" i="4"/>
  <c r="M861" i="4"/>
  <c r="F1077" i="4"/>
  <c r="M2776" i="4"/>
  <c r="M912" i="4"/>
  <c r="N2149" i="4"/>
  <c r="M2765" i="4"/>
  <c r="M1116" i="4"/>
  <c r="M577" i="4"/>
  <c r="M2234" i="4"/>
  <c r="M1211" i="4"/>
  <c r="L2311" i="4"/>
  <c r="L3633" i="4"/>
  <c r="F1702" i="4"/>
  <c r="N3040" i="4"/>
  <c r="M1606" i="4"/>
  <c r="N2345" i="4"/>
  <c r="M3929" i="4"/>
  <c r="N2710" i="4"/>
  <c r="N1741" i="4"/>
  <c r="M3259" i="4"/>
  <c r="M2457" i="4"/>
  <c r="F1729" i="4"/>
  <c r="M3135" i="4"/>
  <c r="N2390" i="4"/>
  <c r="M1264" i="4"/>
  <c r="M2990" i="4"/>
  <c r="N2470" i="4"/>
  <c r="M1101" i="4"/>
  <c r="M525" i="4"/>
  <c r="M597" i="4"/>
  <c r="N3120" i="4"/>
  <c r="M1144" i="4"/>
  <c r="M711" i="4"/>
  <c r="N1883" i="4"/>
  <c r="L1494" i="6"/>
  <c r="L2334" i="4"/>
  <c r="N2715" i="4"/>
  <c r="M1431" i="4"/>
  <c r="N3219" i="4"/>
  <c r="M2850" i="4"/>
  <c r="M1551" i="4"/>
  <c r="M3065" i="4"/>
  <c r="N2822" i="4"/>
  <c r="F1968" i="4"/>
  <c r="M3403" i="4"/>
  <c r="N2017" i="4"/>
  <c r="M3771" i="4"/>
  <c r="N2600" i="4"/>
  <c r="N1787" i="4"/>
  <c r="M3766" i="4"/>
  <c r="N3670" i="4"/>
  <c r="N1750" i="4"/>
  <c r="M559" i="4"/>
  <c r="N3060" i="4"/>
  <c r="F1184" i="4"/>
  <c r="M835" i="4"/>
  <c r="F1035" i="4"/>
  <c r="S361" i="2"/>
  <c r="L630" i="4"/>
  <c r="N3635" i="4"/>
  <c r="M2278" i="4"/>
  <c r="M3813" i="4"/>
  <c r="M3517" i="4"/>
  <c r="N1766" i="4"/>
  <c r="M3224" i="4"/>
  <c r="M2434" i="4"/>
  <c r="F1386" i="4"/>
  <c r="N3836" i="4"/>
  <c r="F1973" i="4"/>
  <c r="M1961" i="4"/>
  <c r="N2867" i="4"/>
  <c r="N2846" i="4"/>
  <c r="M1320" i="4"/>
  <c r="N2894" i="4"/>
  <c r="M2001" i="4"/>
  <c r="F1251" i="4"/>
  <c r="F461" i="4"/>
  <c r="M570" i="4"/>
  <c r="N2364" i="4"/>
  <c r="M822" i="4"/>
  <c r="F859" i="4"/>
  <c r="M2632" i="4"/>
  <c r="L2892" i="4"/>
  <c r="L2262" i="4"/>
  <c r="F1917" i="4"/>
  <c r="N3649" i="4"/>
  <c r="M3031" i="4"/>
  <c r="M3102" i="4"/>
  <c r="N1754" i="4"/>
  <c r="M3446" i="4"/>
  <c r="M2734" i="4"/>
  <c r="N1705" i="4"/>
  <c r="M3211" i="4"/>
  <c r="M2577" i="4"/>
  <c r="M1785" i="4"/>
  <c r="M3505" i="4"/>
  <c r="N2528" i="4"/>
  <c r="F1446" i="4"/>
  <c r="M3670" i="4"/>
  <c r="N2659" i="4"/>
  <c r="M1982" i="4"/>
  <c r="M1319" i="4"/>
  <c r="F482" i="4"/>
  <c r="F901" i="4"/>
  <c r="N2503" i="4"/>
  <c r="F624" i="4"/>
  <c r="F1009" i="4"/>
  <c r="M2584" i="4"/>
  <c r="F1371" i="4"/>
  <c r="F1437" i="4"/>
  <c r="M3879" i="4"/>
  <c r="M681" i="4"/>
  <c r="M1941" i="4"/>
  <c r="M1042" i="4"/>
  <c r="N2244" i="4"/>
  <c r="F390" i="4"/>
  <c r="M744" i="4"/>
  <c r="L3581" i="4"/>
  <c r="L3149" i="4"/>
  <c r="M2029" i="4"/>
  <c r="N3523" i="4"/>
  <c r="N3126" i="4"/>
  <c r="N3709" i="4"/>
  <c r="M1742" i="4"/>
  <c r="N3532" i="4"/>
  <c r="M2410" i="4"/>
  <c r="M1266" i="4"/>
  <c r="N3238" i="4"/>
  <c r="F1941" i="4"/>
  <c r="M1091" i="4"/>
  <c r="M3075" i="4"/>
  <c r="N3464" i="4"/>
  <c r="M1375" i="4"/>
  <c r="M3923" i="4"/>
  <c r="M2443" i="4"/>
  <c r="M1865" i="4"/>
  <c r="N2146" i="4"/>
  <c r="N2945" i="4"/>
  <c r="F1298" i="4"/>
  <c r="F1800" i="4"/>
  <c r="F1305" i="4"/>
  <c r="F652" i="4"/>
  <c r="M2536" i="4"/>
  <c r="F1327" i="6"/>
  <c r="S154" i="2"/>
  <c r="M3793" i="4"/>
  <c r="N3911" i="4"/>
  <c r="N1730" i="4"/>
  <c r="N3395" i="4"/>
  <c r="N2708" i="4"/>
  <c r="N3605" i="4"/>
  <c r="N2274" i="4"/>
  <c r="N1807" i="4"/>
  <c r="F2023" i="4"/>
  <c r="N3798" i="4"/>
  <c r="L1751" i="4"/>
  <c r="N2323" i="4"/>
  <c r="M2130" i="4"/>
  <c r="F1738" i="4"/>
  <c r="M3527" i="4"/>
  <c r="F380" i="4"/>
  <c r="N3675" i="4"/>
  <c r="M846" i="4"/>
  <c r="M592" i="4"/>
  <c r="L2796" i="4"/>
  <c r="N2179" i="4"/>
  <c r="N2116" i="4"/>
  <c r="M3627" i="4"/>
  <c r="M2551" i="4"/>
  <c r="N1941" i="4"/>
  <c r="N2226" i="4"/>
  <c r="M579" i="4"/>
  <c r="M1246" i="4"/>
  <c r="S157" i="2"/>
  <c r="M2532" i="4"/>
  <c r="N1894" i="4"/>
  <c r="M1455" i="4"/>
  <c r="M3661" i="4"/>
  <c r="N1723" i="4"/>
  <c r="N2893" i="4"/>
  <c r="M2478" i="4"/>
  <c r="S350" i="2"/>
  <c r="N3173" i="4"/>
  <c r="N2267" i="4"/>
  <c r="N3769" i="4"/>
  <c r="M3565" i="4"/>
  <c r="N2752" i="4"/>
  <c r="F610" i="4"/>
  <c r="M2134" i="4"/>
  <c r="L2476" i="4"/>
  <c r="N2221" i="4"/>
  <c r="F1944" i="4"/>
  <c r="M3490" i="4"/>
  <c r="N2863" i="4"/>
  <c r="F1920" i="4"/>
  <c r="F1547" i="4"/>
  <c r="S238" i="2"/>
  <c r="N3118" i="4"/>
  <c r="M1444" i="4"/>
  <c r="N3264" i="4"/>
  <c r="N3026" i="4"/>
  <c r="L20" i="4"/>
  <c r="N2603" i="4"/>
  <c r="M1254" i="4"/>
  <c r="M3246" i="4"/>
  <c r="N2949" i="4"/>
  <c r="N1902" i="4"/>
  <c r="F809" i="4"/>
  <c r="N2033" i="4"/>
  <c r="F983" i="4"/>
  <c r="M2073" i="4"/>
  <c r="M2286" i="4"/>
  <c r="M1055" i="4"/>
  <c r="M3185" i="4"/>
  <c r="M1162" i="4"/>
  <c r="F964" i="4"/>
  <c r="F1496" i="4"/>
  <c r="M771" i="4"/>
  <c r="M3263" i="4"/>
  <c r="N3936" i="4"/>
  <c r="N3015" i="4"/>
  <c r="N2960" i="4"/>
  <c r="F1382" i="4"/>
  <c r="F1972" i="4"/>
  <c r="N2874" i="4"/>
  <c r="F1937" i="4"/>
  <c r="M2429" i="4"/>
  <c r="N3765" i="4"/>
  <c r="M709" i="4"/>
  <c r="F527" i="4"/>
  <c r="F796" i="4"/>
  <c r="F1857" i="4"/>
  <c r="F1333" i="4"/>
  <c r="F1388" i="4"/>
  <c r="N3952" i="4"/>
  <c r="M1697" i="4"/>
  <c r="M1176" i="4"/>
  <c r="M587" i="4"/>
  <c r="M320" i="4"/>
  <c r="N2302" i="4"/>
  <c r="M1966" i="4"/>
  <c r="F1715" i="4"/>
  <c r="M762" i="4"/>
  <c r="F1786" i="4"/>
  <c r="N3315" i="4"/>
  <c r="F552" i="4"/>
  <c r="F1340" i="4"/>
  <c r="F1454" i="4"/>
  <c r="F1627" i="4"/>
  <c r="M1328" i="4"/>
  <c r="M1926" i="4"/>
  <c r="F1085" i="4"/>
  <c r="F515" i="4"/>
  <c r="M1805" i="4"/>
  <c r="M3171" i="4"/>
  <c r="F607" i="4"/>
  <c r="M757" i="4"/>
  <c r="F812" i="4"/>
  <c r="M3025" i="4"/>
  <c r="F1160" i="4"/>
  <c r="M3794" i="4"/>
  <c r="F1304" i="4"/>
  <c r="F1116" i="4"/>
  <c r="M903" i="4"/>
  <c r="F1567" i="4"/>
  <c r="M488" i="4"/>
  <c r="M3332" i="4"/>
  <c r="M1044" i="4"/>
  <c r="F593" i="4"/>
  <c r="F1209" i="4"/>
  <c r="M981" i="4"/>
  <c r="N2516" i="4"/>
  <c r="M2656" i="4"/>
  <c r="N1981" i="4"/>
  <c r="F176" i="4"/>
  <c r="M337" i="4"/>
  <c r="M864" i="4"/>
  <c r="M319" i="4"/>
  <c r="F1058" i="4"/>
  <c r="M1535" i="4"/>
  <c r="N2210" i="4"/>
  <c r="M975" i="4"/>
  <c r="N1860" i="4"/>
  <c r="F971" i="4"/>
  <c r="M3524" i="4"/>
  <c r="N2318" i="4"/>
  <c r="M2941" i="4"/>
  <c r="M1011" i="4"/>
  <c r="M763" i="4"/>
  <c r="M1589" i="4"/>
  <c r="M461" i="4"/>
  <c r="M459" i="4"/>
  <c r="M1316" i="4"/>
  <c r="M2976" i="4"/>
  <c r="M3719" i="4"/>
  <c r="M843" i="4"/>
  <c r="F958" i="4"/>
  <c r="M2047" i="4"/>
  <c r="N3174" i="4"/>
  <c r="F1812" i="4"/>
  <c r="F200" i="4"/>
  <c r="M992" i="4"/>
  <c r="F441" i="4"/>
  <c r="M1026" i="4"/>
  <c r="F717" i="4"/>
  <c r="M3409" i="4"/>
  <c r="M656" i="4"/>
  <c r="F1439" i="4"/>
  <c r="F1149" i="4"/>
  <c r="M2282" i="4"/>
  <c r="F1559" i="4"/>
  <c r="N2097" i="4"/>
  <c r="M3208" i="4"/>
  <c r="F1122" i="4"/>
  <c r="F836" i="4"/>
  <c r="M1674" i="4"/>
  <c r="M392" i="4"/>
  <c r="M852" i="4"/>
  <c r="M2309" i="4"/>
  <c r="F725" i="4"/>
  <c r="F1630" i="4"/>
  <c r="M2965" i="4"/>
  <c r="F605" i="4"/>
  <c r="M719" i="4"/>
  <c r="N3816" i="4"/>
  <c r="M2710" i="4"/>
  <c r="F659" i="4"/>
  <c r="M2381" i="4"/>
  <c r="M2893" i="4"/>
  <c r="N3572" i="4"/>
  <c r="F1161" i="4"/>
  <c r="N2247" i="4"/>
  <c r="M2416" i="4"/>
  <c r="M1422" i="4"/>
  <c r="M1967" i="4"/>
  <c r="M904" i="4"/>
  <c r="M760" i="4"/>
  <c r="F1894" i="4"/>
  <c r="N2188" i="4"/>
  <c r="M1187" i="4"/>
  <c r="F697" i="4"/>
  <c r="F1511" i="4"/>
  <c r="M1630" i="4"/>
  <c r="M3897" i="4"/>
  <c r="N3291" i="4"/>
  <c r="F2033" i="4"/>
  <c r="M411" i="4"/>
  <c r="M507" i="4"/>
  <c r="F376" i="4"/>
  <c r="N1910" i="4"/>
  <c r="M1553" i="4"/>
  <c r="M1582" i="4"/>
  <c r="F18" i="6"/>
  <c r="F1925" i="6"/>
  <c r="F820" i="6"/>
  <c r="L3473" i="4"/>
  <c r="L427" i="6"/>
  <c r="L1041" i="4"/>
  <c r="AN35" i="15"/>
  <c r="L3880" i="4"/>
  <c r="F127" i="6"/>
  <c r="F833" i="6"/>
  <c r="M3633" i="4"/>
  <c r="F91" i="6"/>
  <c r="M1965" i="4"/>
  <c r="F1916" i="4"/>
  <c r="L533" i="4"/>
  <c r="L1293" i="4"/>
  <c r="M3869" i="4"/>
  <c r="N3358" i="4"/>
  <c r="N2652" i="4"/>
  <c r="L2349" i="4"/>
  <c r="AD54" i="15"/>
  <c r="N3158" i="4"/>
  <c r="M1351" i="4"/>
  <c r="N1873" i="4"/>
  <c r="F829" i="6"/>
  <c r="S599" i="2"/>
  <c r="M2987" i="4"/>
  <c r="N1817" i="4"/>
  <c r="M2096" i="4"/>
  <c r="L3941" i="4"/>
  <c r="L3851" i="4"/>
  <c r="N2849" i="4"/>
  <c r="N2335" i="4"/>
  <c r="M2699" i="4"/>
  <c r="L357" i="6"/>
  <c r="F506" i="6"/>
  <c r="N1933" i="4"/>
  <c r="M2066" i="4"/>
  <c r="L2164" i="4"/>
  <c r="L205" i="4"/>
  <c r="N3373" i="4"/>
  <c r="L2532" i="4"/>
  <c r="L2424" i="4"/>
  <c r="N3262" i="4"/>
  <c r="M3287" i="4"/>
  <c r="N3680" i="4"/>
  <c r="F1652" i="4"/>
  <c r="N1715" i="4"/>
  <c r="L1806" i="4"/>
  <c r="L2441" i="4"/>
  <c r="M3502" i="4"/>
  <c r="F1435" i="4"/>
  <c r="N2534" i="4"/>
  <c r="N2856" i="4"/>
  <c r="M1267" i="4"/>
  <c r="M3136" i="4"/>
  <c r="N2842" i="4"/>
  <c r="M1675" i="4"/>
  <c r="F1099" i="4"/>
  <c r="L811" i="4"/>
  <c r="M2865" i="4"/>
  <c r="M3500" i="4"/>
  <c r="N2054" i="4"/>
  <c r="F2069" i="4"/>
  <c r="M1923" i="4"/>
  <c r="N1938" i="4"/>
  <c r="M1929" i="4"/>
  <c r="F1088" i="4"/>
  <c r="F1677" i="6"/>
  <c r="M2474" i="4"/>
  <c r="N3375" i="4"/>
  <c r="M3101" i="4"/>
  <c r="F332" i="4"/>
  <c r="M1537" i="4"/>
  <c r="N2485" i="4"/>
  <c r="M3158" i="4"/>
  <c r="N2248" i="4"/>
  <c r="M2929" i="4"/>
  <c r="F1520" i="4"/>
  <c r="M1048" i="4"/>
  <c r="F911" i="4"/>
  <c r="N2964" i="4"/>
  <c r="L3403" i="4"/>
  <c r="L844" i="4"/>
  <c r="N3518" i="4"/>
  <c r="F2000" i="4"/>
  <c r="N3123" i="4"/>
  <c r="N3228" i="4"/>
  <c r="M1231" i="4"/>
  <c r="M3947" i="4"/>
  <c r="F1816" i="4"/>
  <c r="M3271" i="4"/>
  <c r="N2484" i="4"/>
  <c r="F1345" i="4"/>
  <c r="F456" i="6"/>
  <c r="Y56" i="15"/>
  <c r="F675" i="6"/>
  <c r="AL15" i="15"/>
  <c r="L1370" i="4"/>
  <c r="S51" i="2"/>
  <c r="N1633" i="4" s="1"/>
  <c r="L1568" i="4"/>
  <c r="L3619" i="4"/>
  <c r="L840" i="4"/>
  <c r="L477" i="4"/>
  <c r="N2013" i="4"/>
  <c r="L441" i="4"/>
  <c r="N1927" i="4"/>
  <c r="F1451" i="4"/>
  <c r="L2326" i="4"/>
  <c r="L270" i="4"/>
  <c r="N3522" i="4"/>
  <c r="N1932" i="4"/>
  <c r="F1833" i="4"/>
  <c r="F209" i="6"/>
  <c r="L2454" i="4"/>
  <c r="N3436" i="4"/>
  <c r="M3943" i="4"/>
  <c r="M1759" i="4"/>
  <c r="F218" i="6"/>
  <c r="L348" i="6"/>
  <c r="N3840" i="4"/>
  <c r="F1677" i="4"/>
  <c r="M1735" i="4"/>
  <c r="L2125" i="4"/>
  <c r="S395" i="2"/>
  <c r="F1385" i="4"/>
  <c r="M1769" i="4"/>
  <c r="M2227" i="4"/>
  <c r="L2191" i="4"/>
  <c r="L85" i="4"/>
  <c r="F1369" i="4"/>
  <c r="F1689" i="4"/>
  <c r="L1654" i="4"/>
  <c r="L955" i="6"/>
  <c r="N3760" i="4"/>
  <c r="L2765" i="4"/>
  <c r="L1920" i="4"/>
  <c r="N2607" i="4"/>
  <c r="N3305" i="4"/>
  <c r="M3162" i="4"/>
  <c r="N3626" i="4"/>
  <c r="L3497" i="4"/>
  <c r="L429" i="4"/>
  <c r="L1847" i="4"/>
  <c r="M2841" i="4"/>
  <c r="M3704" i="4"/>
  <c r="N1778" i="4"/>
  <c r="N3814" i="4"/>
  <c r="N3710" i="4"/>
  <c r="N3004" i="4"/>
  <c r="F1766" i="4"/>
  <c r="M782" i="4"/>
  <c r="M3658" i="4"/>
  <c r="L2061" i="4"/>
  <c r="N2546" i="4"/>
  <c r="M2023" i="4"/>
  <c r="M2250" i="4"/>
  <c r="M2249" i="4"/>
  <c r="M2152" i="4"/>
  <c r="M2199" i="4"/>
  <c r="M636" i="4"/>
  <c r="M3676" i="4"/>
  <c r="L2862" i="4"/>
  <c r="N2402" i="4"/>
  <c r="N3441" i="4"/>
  <c r="N2875" i="4"/>
  <c r="N3748" i="4"/>
  <c r="F1361" i="4"/>
  <c r="M1907" i="4"/>
  <c r="M3014" i="4"/>
  <c r="M1133" i="4"/>
  <c r="N2608" i="4"/>
  <c r="N3478" i="4"/>
  <c r="M875" i="4"/>
  <c r="M568" i="4"/>
  <c r="N2810" i="4"/>
  <c r="S512" i="2"/>
  <c r="L832" i="6"/>
  <c r="N3284" i="4"/>
  <c r="M1796" i="4"/>
  <c r="N3727" i="4"/>
  <c r="M2603" i="4"/>
  <c r="F1718" i="4"/>
  <c r="M3437" i="4"/>
  <c r="N1753" i="4"/>
  <c r="N3690" i="4"/>
  <c r="F2021" i="4"/>
  <c r="M1634" i="4"/>
  <c r="N3049" i="4"/>
  <c r="N1811" i="4"/>
  <c r="N3731" i="4"/>
  <c r="N3207" i="4"/>
  <c r="F2032" i="4"/>
  <c r="F789" i="4"/>
  <c r="L3821" i="4"/>
  <c r="L3395" i="4"/>
  <c r="L1403" i="4"/>
  <c r="L1499" i="4"/>
  <c r="L2408" i="4"/>
  <c r="L3486" i="4"/>
  <c r="F71" i="6"/>
  <c r="S54" i="2"/>
  <c r="S590" i="2"/>
  <c r="L1896" i="4"/>
  <c r="M1336" i="4"/>
  <c r="S212" i="2"/>
  <c r="N172" i="4" s="1"/>
  <c r="M3406" i="4"/>
  <c r="F1560" i="4"/>
  <c r="F611" i="6"/>
  <c r="S115" i="2"/>
  <c r="M3400" i="4"/>
  <c r="M1739" i="4"/>
  <c r="M1968" i="4"/>
  <c r="S89" i="2"/>
  <c r="L2094" i="4"/>
  <c r="N3039" i="4"/>
  <c r="M3862" i="4"/>
  <c r="M1470" i="4"/>
  <c r="L2306" i="4"/>
  <c r="L2376" i="4"/>
  <c r="M3372" i="4"/>
  <c r="N3749" i="4"/>
  <c r="M1458" i="4"/>
  <c r="L1558" i="4"/>
  <c r="L2339" i="4"/>
  <c r="M3711" i="4"/>
  <c r="N2273" i="4"/>
  <c r="N1833" i="4"/>
  <c r="L1831" i="4"/>
  <c r="L2483" i="4"/>
  <c r="N3905" i="4"/>
  <c r="N2086" i="4"/>
  <c r="L893" i="6"/>
  <c r="L2502" i="4"/>
  <c r="M3519" i="4"/>
  <c r="L407" i="4"/>
  <c r="L1048" i="4"/>
  <c r="N2962" i="4"/>
  <c r="N2854" i="4"/>
  <c r="N3316" i="4"/>
  <c r="M2824" i="4"/>
  <c r="S504" i="2"/>
  <c r="N1613" i="4" s="1"/>
  <c r="L557" i="6"/>
  <c r="L1736" i="4"/>
  <c r="M3752" i="4"/>
  <c r="N3240" i="4"/>
  <c r="L826" i="4"/>
  <c r="M2773" i="4"/>
  <c r="N3458" i="4"/>
  <c r="F2085" i="4"/>
  <c r="M1659" i="4"/>
  <c r="M1441" i="4"/>
  <c r="N2938" i="4"/>
  <c r="L584" i="6"/>
  <c r="N2079" i="4"/>
  <c r="N2438" i="4"/>
  <c r="M2094" i="4"/>
  <c r="M2093" i="4"/>
  <c r="F1930" i="4"/>
  <c r="M2034" i="4"/>
  <c r="F1176" i="4"/>
  <c r="M1451" i="4"/>
  <c r="L899" i="6"/>
  <c r="N2015" i="4"/>
  <c r="M2627" i="4"/>
  <c r="N2865" i="4"/>
  <c r="M3431" i="4"/>
  <c r="F1396" i="4"/>
  <c r="M2140" i="4"/>
  <c r="M3427" i="4"/>
  <c r="F1579" i="4"/>
  <c r="N3273" i="4"/>
  <c r="N3183" i="4"/>
  <c r="F701" i="4"/>
  <c r="M1348" i="4"/>
  <c r="M2208" i="4"/>
  <c r="S63" i="2"/>
  <c r="N2" i="4" s="1"/>
  <c r="L2406" i="4"/>
  <c r="M3321" i="4"/>
  <c r="N3612" i="4"/>
  <c r="N2888" i="4"/>
  <c r="N3064" i="4"/>
  <c r="M1445" i="4"/>
  <c r="N2722" i="4"/>
  <c r="M2057" i="4"/>
  <c r="M3509" i="4"/>
  <c r="N3739" i="4"/>
  <c r="F1380" i="4"/>
  <c r="N2780" i="4"/>
  <c r="N2307" i="4"/>
  <c r="M3653" i="4"/>
  <c r="N2433" i="4"/>
  <c r="F1616" i="4"/>
  <c r="F1335" i="4"/>
  <c r="F1525" i="4"/>
  <c r="M1849" i="4"/>
  <c r="F1307" i="4"/>
  <c r="M555" i="4"/>
  <c r="N3059" i="4"/>
  <c r="F898" i="4"/>
  <c r="M1948" i="4"/>
  <c r="M313" i="4"/>
  <c r="N2327" i="4"/>
  <c r="M2614" i="4"/>
  <c r="N2113" i="4"/>
  <c r="N3151" i="4"/>
  <c r="M1104" i="4"/>
  <c r="M1224" i="4"/>
  <c r="M3605" i="4"/>
  <c r="M3408" i="4"/>
  <c r="F1803" i="4"/>
  <c r="N3647" i="4"/>
  <c r="M2220" i="4"/>
  <c r="L1005" i="4"/>
  <c r="N3161" i="4"/>
  <c r="N1974" i="4"/>
  <c r="M1321" i="4"/>
  <c r="M3532" i="4"/>
  <c r="F1054" i="4"/>
  <c r="F1964" i="4"/>
  <c r="N3353" i="4"/>
  <c r="M3556" i="4"/>
  <c r="N3058" i="4"/>
  <c r="M1548" i="4"/>
  <c r="M995" i="4"/>
  <c r="N3805" i="4"/>
  <c r="M1175" i="4"/>
  <c r="F696" i="4"/>
  <c r="L1479" i="4"/>
  <c r="F1897" i="4"/>
  <c r="N1926" i="4"/>
  <c r="M1479" i="4"/>
  <c r="M3086" i="4"/>
  <c r="N1966" i="4"/>
  <c r="F1194" i="4"/>
  <c r="M2866" i="4"/>
  <c r="N2535" i="4"/>
  <c r="F1356" i="4"/>
  <c r="N2164" i="4"/>
  <c r="M802" i="4"/>
  <c r="M2994" i="4"/>
  <c r="F1480" i="4"/>
  <c r="L1180" i="4"/>
  <c r="M2419" i="4"/>
  <c r="M2327" i="4"/>
  <c r="M2407" i="4"/>
  <c r="L310" i="4"/>
  <c r="N3236" i="4"/>
  <c r="F1926" i="4"/>
  <c r="M3902" i="4"/>
  <c r="N2002" i="4"/>
  <c r="L1307" i="4"/>
  <c r="N2901" i="4"/>
  <c r="M3493" i="4"/>
  <c r="M1783" i="4"/>
  <c r="M1803" i="4"/>
  <c r="F1063" i="4"/>
  <c r="M692" i="4"/>
  <c r="F731" i="4"/>
  <c r="N3430" i="4"/>
  <c r="M1115" i="4"/>
  <c r="M1180" i="4"/>
  <c r="F636" i="4"/>
  <c r="F1336" i="4"/>
  <c r="F574" i="4"/>
  <c r="M741" i="4"/>
  <c r="M663" i="4"/>
  <c r="F1561" i="4"/>
  <c r="F49" i="4"/>
  <c r="N3927" i="4"/>
  <c r="M3375" i="4"/>
  <c r="M702" i="4"/>
  <c r="M2101" i="4"/>
  <c r="N1784" i="4"/>
  <c r="N2266" i="4"/>
  <c r="F1734" i="4"/>
  <c r="M2024" i="4"/>
  <c r="M453" i="4"/>
  <c r="M549" i="4"/>
  <c r="N2062" i="4"/>
  <c r="N1965" i="4"/>
  <c r="N2622" i="4"/>
  <c r="M2031" i="4"/>
  <c r="M769" i="4"/>
  <c r="M974" i="4"/>
  <c r="F1908" i="4"/>
  <c r="M1738" i="4"/>
  <c r="M3710" i="4"/>
  <c r="M2280" i="4"/>
  <c r="F522" i="4"/>
  <c r="F403" i="4"/>
  <c r="N3677" i="4"/>
  <c r="F578" i="4"/>
  <c r="M1464" i="4"/>
  <c r="M522" i="4"/>
  <c r="M1565" i="4"/>
  <c r="M678" i="4"/>
  <c r="M443" i="4"/>
  <c r="F227" i="4"/>
  <c r="M299" i="4"/>
  <c r="M840" i="4"/>
  <c r="M254" i="4"/>
  <c r="M67" i="4"/>
  <c r="M244" i="4"/>
  <c r="M561" i="4"/>
  <c r="M240" i="4"/>
  <c r="M207" i="4"/>
  <c r="F267" i="4"/>
  <c r="M311" i="4"/>
  <c r="M839" i="4"/>
  <c r="F862" i="4"/>
  <c r="M366" i="4"/>
  <c r="F170" i="4"/>
  <c r="F186" i="4"/>
  <c r="M260" i="4"/>
  <c r="F115" i="4"/>
  <c r="F865" i="4"/>
  <c r="F1431" i="4"/>
  <c r="N1919" i="4"/>
  <c r="M724" i="4"/>
  <c r="F1467" i="4"/>
  <c r="L2028" i="6"/>
  <c r="F1666" i="4"/>
  <c r="M2458" i="4"/>
  <c r="M1618" i="4"/>
  <c r="N3197" i="4"/>
  <c r="F663" i="4"/>
  <c r="F1073" i="4"/>
  <c r="N2701" i="4"/>
  <c r="M3448" i="4"/>
  <c r="F1956" i="4"/>
  <c r="M3501" i="4"/>
  <c r="N2075" i="4"/>
  <c r="L2910" i="4"/>
  <c r="M2772" i="4"/>
  <c r="N3180" i="4"/>
  <c r="M3747" i="4"/>
  <c r="M2755" i="4"/>
  <c r="N2254" i="4"/>
  <c r="N2140" i="4"/>
  <c r="N2593" i="4"/>
  <c r="N3762" i="4"/>
  <c r="F1957" i="4"/>
  <c r="M1391" i="4"/>
  <c r="F852" i="4"/>
  <c r="M3133" i="4"/>
  <c r="F949" i="4"/>
  <c r="N2330" i="4"/>
  <c r="L413" i="4"/>
  <c r="F1979" i="4"/>
  <c r="N2530" i="4"/>
  <c r="M1297" i="4"/>
  <c r="M2942" i="4"/>
  <c r="M2069" i="4"/>
  <c r="M797" i="4"/>
  <c r="N2808" i="4"/>
  <c r="F1802" i="4"/>
  <c r="F1033" i="4"/>
  <c r="M1056" i="4"/>
  <c r="M804" i="4"/>
  <c r="M2687" i="4"/>
  <c r="F913" i="4"/>
  <c r="S389" i="2"/>
  <c r="N2341" i="4"/>
  <c r="M3636" i="4"/>
  <c r="N3374" i="4"/>
  <c r="L2594" i="4"/>
  <c r="M2235" i="4"/>
  <c r="M1093" i="4"/>
  <c r="N2280" i="4"/>
  <c r="M2103" i="4"/>
  <c r="L2639" i="4"/>
  <c r="M2707" i="4"/>
  <c r="N2974" i="4"/>
  <c r="M1500" i="4"/>
  <c r="F1373" i="4"/>
  <c r="M844" i="4"/>
  <c r="M1753" i="4"/>
  <c r="F491" i="4"/>
  <c r="F1468" i="4"/>
  <c r="F649" i="4"/>
  <c r="F603" i="4"/>
  <c r="F1728" i="4"/>
  <c r="F1005" i="4"/>
  <c r="M767" i="4"/>
  <c r="M851" i="4"/>
  <c r="M1621" i="4"/>
  <c r="M1780" i="4"/>
  <c r="F1267" i="4"/>
  <c r="N3226" i="4"/>
  <c r="N2870" i="4"/>
  <c r="M824" i="4"/>
  <c r="M1801" i="4"/>
  <c r="N2020" i="4"/>
  <c r="F1266" i="4"/>
  <c r="N3188" i="4"/>
  <c r="N2101" i="4"/>
  <c r="F68" i="4"/>
  <c r="F466" i="4"/>
  <c r="F2028" i="4"/>
  <c r="M3392" i="4"/>
  <c r="N2520" i="4"/>
  <c r="M717" i="4"/>
  <c r="F758" i="4"/>
  <c r="F782" i="4"/>
  <c r="F1444" i="4"/>
  <c r="N3813" i="4"/>
  <c r="M2964" i="4"/>
  <c r="F1774" i="4"/>
  <c r="F456" i="4"/>
  <c r="F514" i="4"/>
  <c r="M2668" i="4"/>
  <c r="M755" i="4"/>
  <c r="N2196" i="4"/>
  <c r="M811" i="4"/>
  <c r="F627" i="4"/>
  <c r="M2796" i="4"/>
  <c r="M98" i="4"/>
  <c r="F84" i="4"/>
  <c r="M118" i="4"/>
  <c r="F350" i="4"/>
  <c r="F35" i="4"/>
  <c r="M211" i="4"/>
  <c r="M682" i="4"/>
  <c r="M790" i="4"/>
  <c r="F616" i="4"/>
  <c r="F6" i="4"/>
  <c r="M79" i="4"/>
  <c r="M3269" i="4"/>
  <c r="N2078" i="4"/>
  <c r="F736" i="4"/>
  <c r="L1879" i="4"/>
  <c r="N3906" i="4"/>
  <c r="M1976" i="4"/>
  <c r="M2979" i="4"/>
  <c r="M2307" i="4"/>
  <c r="N2547" i="4"/>
  <c r="L2156" i="4"/>
  <c r="M2784" i="4"/>
  <c r="M2190" i="4"/>
  <c r="N3885" i="4"/>
  <c r="M2623" i="4"/>
  <c r="M3760" i="4"/>
  <c r="S344" i="2"/>
  <c r="M3126" i="4"/>
  <c r="M1683" i="4"/>
  <c r="N3945" i="4"/>
  <c r="F1777" i="4"/>
  <c r="F1959" i="4"/>
  <c r="L1868" i="4"/>
  <c r="N3366" i="4"/>
  <c r="M2578" i="4"/>
  <c r="N2507" i="4"/>
  <c r="N3439" i="4"/>
  <c r="F449" i="4"/>
  <c r="F846" i="4"/>
  <c r="N3270" i="4"/>
  <c r="M1304" i="4"/>
  <c r="S631" i="2"/>
  <c r="N108" i="4" s="1"/>
  <c r="N2917" i="4"/>
  <c r="M1080" i="4"/>
  <c r="M2919" i="4"/>
  <c r="N2428" i="4"/>
  <c r="F1635" i="4"/>
  <c r="N3088" i="4"/>
  <c r="M2750" i="4"/>
  <c r="M1861" i="4"/>
  <c r="M3423" i="4"/>
  <c r="M3651" i="4"/>
  <c r="F622" i="4"/>
  <c r="N2555" i="4"/>
  <c r="F1095" i="4"/>
  <c r="F1665" i="4"/>
  <c r="F1024" i="4"/>
  <c r="M2447" i="4"/>
  <c r="F1011" i="4"/>
  <c r="M3835" i="4"/>
  <c r="F861" i="4"/>
  <c r="M3935" i="4"/>
  <c r="N3493" i="4"/>
  <c r="M1113" i="4"/>
  <c r="N3597" i="4"/>
  <c r="N3928" i="4"/>
  <c r="N2409" i="4"/>
  <c r="M1181" i="4"/>
  <c r="M2293" i="4"/>
  <c r="M590" i="4"/>
  <c r="N3354" i="4"/>
  <c r="M475" i="4"/>
  <c r="F1719" i="4"/>
  <c r="F1042" i="4"/>
  <c r="N2322" i="4"/>
  <c r="M3297" i="4"/>
  <c r="N2621" i="4"/>
  <c r="F1300" i="4"/>
  <c r="M1568" i="4"/>
  <c r="F791" i="4"/>
  <c r="F1012" i="4"/>
  <c r="M969" i="4"/>
  <c r="F655" i="4"/>
  <c r="N2610" i="4"/>
  <c r="F61" i="4"/>
  <c r="M3109" i="4"/>
  <c r="N2764" i="4"/>
  <c r="F405" i="4"/>
  <c r="M884" i="4"/>
  <c r="M514" i="4"/>
  <c r="M905" i="4"/>
  <c r="N3333" i="4"/>
  <c r="F979" i="4"/>
  <c r="F712" i="4"/>
  <c r="N2126" i="4"/>
  <c r="M716" i="4"/>
  <c r="M2258" i="4"/>
  <c r="F1118" i="4"/>
  <c r="F104" i="4"/>
  <c r="M3743" i="4"/>
  <c r="N3529" i="4"/>
  <c r="M1612" i="4"/>
  <c r="F378" i="4"/>
  <c r="N2458" i="4"/>
  <c r="N2896" i="4"/>
  <c r="F1591" i="4"/>
  <c r="M1293" i="4"/>
  <c r="N1904" i="4"/>
  <c r="F1528" i="4"/>
  <c r="M512" i="4"/>
  <c r="F184" i="4"/>
  <c r="M351" i="4"/>
  <c r="F532" i="4"/>
  <c r="F509" i="4"/>
  <c r="F159" i="4"/>
  <c r="M212" i="4"/>
  <c r="F46" i="4"/>
  <c r="F794" i="4"/>
  <c r="F33" i="4"/>
  <c r="F172" i="4"/>
  <c r="M2503" i="4"/>
  <c r="M2160" i="4"/>
  <c r="F567" i="4"/>
  <c r="L753" i="4"/>
  <c r="N3939" i="4"/>
  <c r="M1588" i="4"/>
  <c r="M2823" i="4"/>
  <c r="M2163" i="4"/>
  <c r="N2395" i="4"/>
  <c r="L2721" i="4"/>
  <c r="M2168" i="4"/>
  <c r="F1996" i="4"/>
  <c r="N3671" i="4"/>
  <c r="M2479" i="4"/>
  <c r="M3072" i="4"/>
  <c r="F165" i="6"/>
  <c r="M2838" i="4"/>
  <c r="M1105" i="4"/>
  <c r="N2744" i="4"/>
  <c r="N1931" i="4"/>
  <c r="N1861" i="4"/>
  <c r="L50" i="4"/>
  <c r="M2676" i="4"/>
  <c r="M2422" i="4"/>
  <c r="F1661" i="4"/>
  <c r="M3221" i="4"/>
  <c r="M3849" i="4"/>
  <c r="M1729" i="4"/>
  <c r="N2777" i="4"/>
  <c r="F1043" i="4"/>
  <c r="L2231" i="4"/>
  <c r="N2627" i="4"/>
  <c r="M1788" i="4"/>
  <c r="N3571" i="4"/>
  <c r="N2018" i="4"/>
  <c r="F1075" i="4"/>
  <c r="N2515" i="4"/>
  <c r="F1452" i="4"/>
  <c r="N1702" i="4"/>
  <c r="N2681" i="4"/>
  <c r="M3601" i="4"/>
  <c r="M1147" i="4"/>
  <c r="F1081" i="4"/>
  <c r="M833" i="4"/>
  <c r="N3641" i="4"/>
  <c r="M1036" i="4"/>
  <c r="N1955" i="4"/>
  <c r="M1219" i="4"/>
  <c r="N3364" i="4"/>
  <c r="M989" i="4"/>
  <c r="N3913" i="4"/>
  <c r="M2044" i="4"/>
  <c r="M700" i="4"/>
  <c r="N2591" i="4"/>
  <c r="N1838" i="4"/>
  <c r="M1281" i="4"/>
  <c r="N2182" i="4"/>
  <c r="F2035" i="4"/>
  <c r="F1312" i="4"/>
  <c r="N2823" i="4"/>
  <c r="M1385" i="4"/>
  <c r="M1139" i="4"/>
  <c r="F866" i="4"/>
  <c r="M1585" i="4"/>
  <c r="N2414" i="4"/>
  <c r="N3344" i="4"/>
  <c r="F1108" i="4"/>
  <c r="M876" i="4"/>
  <c r="F1205" i="4"/>
  <c r="M1040" i="4"/>
  <c r="F1536" i="4"/>
  <c r="F1087" i="4"/>
  <c r="M2406" i="4"/>
  <c r="F1061" i="4"/>
  <c r="N2632" i="4"/>
  <c r="M2560" i="4"/>
  <c r="N2705" i="4"/>
  <c r="N2154" i="4"/>
  <c r="F424" i="4"/>
  <c r="F489" i="4"/>
  <c r="M1727" i="4"/>
  <c r="M3924" i="4"/>
  <c r="M3945" i="4"/>
  <c r="M1041" i="4"/>
  <c r="M828" i="4"/>
  <c r="F598" i="4"/>
  <c r="F893" i="4"/>
  <c r="F248" i="4"/>
  <c r="M2574" i="4"/>
  <c r="F2049" i="4"/>
  <c r="M1566" i="4"/>
  <c r="M424" i="4"/>
  <c r="F1727" i="4"/>
  <c r="M1934" i="4"/>
  <c r="N1916" i="4"/>
  <c r="F1040" i="4"/>
  <c r="M775" i="4"/>
  <c r="M531" i="4"/>
  <c r="F447" i="4"/>
  <c r="M3" i="4"/>
  <c r="F163" i="4"/>
  <c r="F669" i="4"/>
  <c r="M658" i="4"/>
  <c r="M124" i="4"/>
  <c r="M140" i="4"/>
  <c r="M204" i="4"/>
  <c r="M417" i="4"/>
  <c r="M157" i="4"/>
  <c r="F345" i="4"/>
  <c r="M841" i="4"/>
  <c r="M213" i="4"/>
  <c r="F145" i="4"/>
  <c r="F513" i="4"/>
  <c r="F32" i="4"/>
  <c r="F65" i="4"/>
  <c r="F309" i="4"/>
  <c r="M20" i="4"/>
  <c r="M206" i="4"/>
  <c r="N2200" i="4"/>
  <c r="F1970" i="4"/>
  <c r="F981" i="4"/>
  <c r="F850" i="6"/>
  <c r="N3303" i="4"/>
  <c r="F1418" i="4"/>
  <c r="N3011" i="4"/>
  <c r="M2046" i="4"/>
  <c r="N2197" i="4"/>
  <c r="L207" i="4"/>
  <c r="M1981" i="4"/>
  <c r="M2049" i="4"/>
  <c r="M3298" i="4"/>
  <c r="N2825" i="4"/>
  <c r="N2694" i="4"/>
  <c r="L2268" i="4"/>
  <c r="N3157" i="4"/>
  <c r="F1887" i="4"/>
  <c r="N2828" i="4"/>
  <c r="N1738" i="4"/>
  <c r="M1546" i="4"/>
  <c r="F183" i="6"/>
  <c r="F1945" i="4"/>
  <c r="N3074" i="4"/>
  <c r="M1880" i="4"/>
  <c r="N3599" i="4"/>
  <c r="M3648" i="4"/>
  <c r="F1339" i="4"/>
  <c r="M2573" i="4"/>
  <c r="F880" i="4"/>
  <c r="L1461" i="4"/>
  <c r="M2747" i="4"/>
  <c r="M1480" i="4"/>
  <c r="M3693" i="4"/>
  <c r="N1826" i="4"/>
  <c r="M889" i="4"/>
  <c r="M2363" i="4"/>
  <c r="M3439" i="4"/>
  <c r="F1749" i="4"/>
  <c r="N3485" i="4"/>
  <c r="M2895" i="4"/>
  <c r="F1080" i="4"/>
  <c r="N3347" i="4"/>
  <c r="F596" i="4"/>
  <c r="N3345" i="4"/>
  <c r="F1315" i="4"/>
  <c r="F1638" i="4"/>
  <c r="M1023" i="4"/>
  <c r="N2401" i="4"/>
  <c r="M863" i="4"/>
  <c r="M2836" i="4"/>
  <c r="F1733" i="4"/>
  <c r="F703" i="4"/>
  <c r="N3199" i="4"/>
  <c r="M1062" i="4"/>
  <c r="M2851" i="4"/>
  <c r="M631" i="4"/>
  <c r="N2288" i="4"/>
  <c r="M982" i="4"/>
  <c r="M2598" i="4"/>
  <c r="F1407" i="4"/>
  <c r="F1918" i="4"/>
  <c r="F1703" i="4"/>
  <c r="F692" i="4"/>
  <c r="N1748" i="4"/>
  <c r="M2281" i="4"/>
  <c r="F563" i="4"/>
  <c r="M596" i="4"/>
  <c r="M920" i="4"/>
  <c r="N2298" i="4"/>
  <c r="M650" i="4"/>
  <c r="M856" i="4"/>
  <c r="M3333" i="4"/>
  <c r="F1252" i="4"/>
  <c r="N2801" i="4"/>
  <c r="N3400" i="4"/>
  <c r="F823" i="4"/>
  <c r="F1153" i="4"/>
  <c r="M638" i="4"/>
  <c r="F990" i="4"/>
  <c r="M3313" i="4"/>
  <c r="N3222" i="4"/>
  <c r="N2634" i="4"/>
  <c r="M842" i="4"/>
  <c r="F458" i="4"/>
  <c r="M1613" i="4"/>
  <c r="F680" i="4"/>
  <c r="F2074" i="4"/>
  <c r="M1866" i="4"/>
  <c r="M1015" i="4"/>
  <c r="M1329" i="4"/>
  <c r="N2290" i="4"/>
  <c r="N2798" i="4"/>
  <c r="M1628" i="4"/>
  <c r="M1682" i="4"/>
  <c r="F1443" i="4"/>
  <c r="M335" i="4"/>
  <c r="M316" i="4"/>
  <c r="M558" i="4"/>
  <c r="M147" i="4"/>
  <c r="F329" i="4"/>
  <c r="M469" i="4"/>
  <c r="N12" i="4"/>
  <c r="M249" i="4"/>
  <c r="M105" i="4"/>
  <c r="M3024" i="4"/>
  <c r="F529" i="4"/>
  <c r="M261" i="4"/>
  <c r="M172" i="4"/>
  <c r="F27" i="4"/>
  <c r="F297" i="4"/>
  <c r="F41" i="4"/>
  <c r="F1763" i="4"/>
  <c r="M252" i="4"/>
  <c r="F223" i="4"/>
  <c r="M1006" i="4"/>
  <c r="M544" i="4"/>
  <c r="F739" i="4"/>
  <c r="M1372" i="4"/>
  <c r="S28" i="2"/>
  <c r="M2143" i="4"/>
  <c r="N3650" i="4"/>
  <c r="M2272" i="4"/>
  <c r="F1951" i="4"/>
  <c r="M3767" i="4"/>
  <c r="L1902" i="4"/>
  <c r="N2699" i="4"/>
  <c r="F1588" i="4"/>
  <c r="N2900" i="4"/>
  <c r="N2111" i="4"/>
  <c r="F654" i="4"/>
  <c r="N3609" i="4"/>
  <c r="F1902" i="4"/>
  <c r="M3311" i="4"/>
  <c r="N1855" i="4"/>
  <c r="F1014" i="4"/>
  <c r="F637" i="4"/>
  <c r="L602" i="4"/>
  <c r="M2814" i="4"/>
  <c r="M1787" i="4"/>
  <c r="N3405" i="4"/>
  <c r="M3484" i="4"/>
  <c r="M726" i="4"/>
  <c r="N1822" i="4"/>
  <c r="F1888" i="4"/>
  <c r="M446" i="4"/>
  <c r="N3959" i="4"/>
  <c r="F1461" i="4"/>
  <c r="M3028" i="4"/>
  <c r="N3438" i="4"/>
  <c r="M1584" i="4"/>
  <c r="M1598" i="4"/>
  <c r="L966" i="4"/>
  <c r="M1503" i="4"/>
  <c r="M1569" i="4"/>
  <c r="L401" i="4"/>
  <c r="M2918" i="4"/>
  <c r="M1341" i="4"/>
  <c r="M3553" i="4"/>
  <c r="F1316" i="4"/>
  <c r="M1890" i="4"/>
  <c r="N2362" i="4"/>
  <c r="M1716" i="4"/>
  <c r="N2692" i="4"/>
  <c r="F1692" i="4"/>
  <c r="F1504" i="4"/>
  <c r="M2744" i="4"/>
  <c r="F1286" i="4"/>
  <c r="N3363" i="4"/>
  <c r="M2382" i="4"/>
  <c r="F1146" i="4"/>
  <c r="N3775" i="4"/>
  <c r="M1108" i="4"/>
  <c r="M1937" i="4"/>
  <c r="M2337" i="4"/>
  <c r="F1277" i="4"/>
  <c r="F719" i="4"/>
  <c r="F1466" i="4"/>
  <c r="M1248" i="4"/>
  <c r="F1083" i="4"/>
  <c r="F1137" i="4"/>
  <c r="M668" i="4"/>
  <c r="M803" i="4"/>
  <c r="F634" i="4"/>
  <c r="M2233" i="4"/>
  <c r="F496" i="4"/>
  <c r="F425" i="4"/>
  <c r="M563" i="4"/>
  <c r="F1731" i="4"/>
  <c r="F1811" i="4"/>
  <c r="F632" i="4"/>
  <c r="M1614" i="4"/>
  <c r="F2063" i="4"/>
  <c r="F811" i="4"/>
  <c r="F970" i="4"/>
  <c r="M586" i="4"/>
  <c r="F1532" i="4"/>
  <c r="F1759" i="4"/>
  <c r="F1566" i="4"/>
  <c r="M1575" i="4"/>
  <c r="F805" i="4"/>
  <c r="M1945" i="4"/>
  <c r="M3401" i="4"/>
  <c r="F443" i="4"/>
  <c r="F1045" i="4"/>
  <c r="F604" i="4"/>
  <c r="F1907" i="4"/>
  <c r="F1571" i="4"/>
  <c r="M3599" i="4"/>
  <c r="F735" i="4"/>
  <c r="M1419" i="4"/>
  <c r="F549" i="4"/>
  <c r="N2021" i="4"/>
  <c r="M471" i="4"/>
  <c r="N2052" i="4"/>
  <c r="F343" i="4"/>
  <c r="M128" i="4"/>
  <c r="N3617" i="4"/>
  <c r="F1751" i="4"/>
  <c r="F342" i="4"/>
  <c r="M226" i="4"/>
  <c r="N3010" i="4"/>
  <c r="F992" i="4"/>
  <c r="F334" i="4"/>
  <c r="F7" i="4"/>
  <c r="F190" i="4"/>
  <c r="M106" i="4"/>
  <c r="F206" i="4"/>
  <c r="N3770" i="4"/>
  <c r="F1072" i="4"/>
  <c r="M39" i="4"/>
  <c r="F788" i="4"/>
  <c r="F569" i="4"/>
  <c r="N2986" i="4"/>
  <c r="L638" i="4"/>
  <c r="N3018" i="4"/>
  <c r="N3412" i="4"/>
  <c r="M2104" i="4"/>
  <c r="F1038" i="4"/>
  <c r="M3745" i="4"/>
  <c r="L856" i="4"/>
  <c r="N2924" i="4"/>
  <c r="M1334" i="4"/>
  <c r="M2660" i="4"/>
  <c r="M1632" i="4"/>
  <c r="F1723" i="4"/>
  <c r="M3022" i="4"/>
  <c r="F1485" i="4"/>
  <c r="M3052" i="4"/>
  <c r="N1775" i="4"/>
  <c r="F864" i="4"/>
  <c r="N3904" i="4"/>
  <c r="F314" i="6"/>
  <c r="N3061" i="4"/>
  <c r="N2858" i="4"/>
  <c r="M3099" i="4"/>
  <c r="M2743" i="4"/>
  <c r="M557" i="4"/>
  <c r="M1877" i="4"/>
  <c r="F1236" i="4"/>
  <c r="F38" i="4"/>
  <c r="M3240" i="4"/>
  <c r="F1757" i="4"/>
  <c r="M2872" i="4"/>
  <c r="M2212" i="4"/>
  <c r="F1430" i="4"/>
  <c r="F1182" i="4"/>
  <c r="L1116" i="4"/>
  <c r="M3810" i="4"/>
  <c r="N3401" i="4"/>
  <c r="L232" i="4"/>
  <c r="N2767" i="4"/>
  <c r="M937" i="4"/>
  <c r="M2883" i="4"/>
  <c r="F795" i="4"/>
  <c r="M1740" i="4"/>
  <c r="M1580" i="4"/>
  <c r="M3844" i="4"/>
  <c r="N2471" i="4"/>
  <c r="M1456" i="4"/>
  <c r="M3728" i="4"/>
  <c r="M1955" i="4"/>
  <c r="N3808" i="4"/>
  <c r="M2680" i="4"/>
  <c r="M1242" i="4"/>
  <c r="M965" i="4"/>
  <c r="M2825" i="4"/>
  <c r="M1349" i="4"/>
  <c r="M1134" i="4"/>
  <c r="M1779" i="4"/>
  <c r="M655" i="4"/>
  <c r="F486" i="4"/>
  <c r="M1145" i="4"/>
  <c r="F1376" i="4"/>
  <c r="F551" i="4"/>
  <c r="M3449" i="4"/>
  <c r="M3876" i="4"/>
  <c r="F485" i="4"/>
  <c r="N3642" i="4"/>
  <c r="N1929" i="4"/>
  <c r="N2118" i="4"/>
  <c r="M849" i="4"/>
  <c r="F1256" i="4"/>
  <c r="F765" i="4"/>
  <c r="M624" i="4"/>
  <c r="F1270" i="4"/>
  <c r="M1191" i="4"/>
  <c r="M332" i="4"/>
  <c r="F1233" i="4"/>
  <c r="M601" i="4"/>
  <c r="F730" i="4"/>
  <c r="N2682" i="4"/>
  <c r="M1184" i="4"/>
  <c r="F1730" i="4"/>
  <c r="F1706" i="4"/>
  <c r="F982" i="4"/>
  <c r="M832" i="4"/>
  <c r="M3341" i="4"/>
  <c r="F362" i="4"/>
  <c r="F816" i="4"/>
  <c r="F977" i="4"/>
  <c r="M600" i="4"/>
  <c r="M1368" i="4"/>
  <c r="M2430" i="4"/>
  <c r="M1114" i="4"/>
  <c r="M1473" i="4"/>
  <c r="F128" i="4"/>
  <c r="M1629" i="4"/>
  <c r="M3476" i="4"/>
  <c r="F705" i="4"/>
  <c r="M610" i="4"/>
  <c r="F985" i="4"/>
  <c r="M1135" i="4"/>
  <c r="S100" i="2"/>
  <c r="N1814" i="4"/>
  <c r="M3359" i="4"/>
  <c r="N1843" i="4"/>
  <c r="F888" i="4"/>
  <c r="N2897" i="4"/>
  <c r="L723" i="6"/>
  <c r="M2567" i="4"/>
  <c r="N3902" i="4"/>
  <c r="M2504" i="4"/>
  <c r="F1469" i="4"/>
  <c r="M3623" i="4"/>
  <c r="F1933" i="4"/>
  <c r="N1973" i="4"/>
  <c r="M2896" i="4"/>
  <c r="N2163" i="4"/>
  <c r="M703" i="4"/>
  <c r="N3306" i="4"/>
  <c r="L346" i="4"/>
  <c r="N2663" i="4"/>
  <c r="M1278" i="4"/>
  <c r="M2931" i="4"/>
  <c r="M2599" i="4"/>
  <c r="F1324" i="4"/>
  <c r="N1711" i="4"/>
  <c r="M983" i="4"/>
  <c r="M3596" i="4"/>
  <c r="M3117" i="4"/>
  <c r="M1515" i="4"/>
  <c r="N3224" i="4"/>
  <c r="N2035" i="4"/>
  <c r="F1856" i="4"/>
  <c r="F952" i="4"/>
  <c r="L898" i="4"/>
  <c r="N3643" i="4"/>
  <c r="F939" i="4"/>
  <c r="L2118" i="4"/>
  <c r="M2563" i="4"/>
  <c r="F737" i="4"/>
  <c r="N2684" i="4"/>
  <c r="M924" i="4"/>
  <c r="M3892" i="4"/>
  <c r="M818" i="4"/>
  <c r="N3924" i="4"/>
  <c r="M2343" i="4"/>
  <c r="M3959" i="4"/>
  <c r="N2596" i="4"/>
  <c r="N1971" i="4"/>
  <c r="N3638" i="4"/>
  <c r="M1953" i="4"/>
  <c r="N2230" i="4"/>
  <c r="M3183" i="4"/>
  <c r="N2626" i="4"/>
  <c r="F1124" i="4"/>
  <c r="F1272" i="4"/>
  <c r="F1421" i="4"/>
  <c r="F1200" i="4"/>
  <c r="F423" i="4"/>
  <c r="F973" i="4"/>
  <c r="N3873" i="4"/>
  <c r="F1492" i="4"/>
  <c r="N2776" i="4"/>
  <c r="N3396" i="4"/>
  <c r="M449" i="4"/>
  <c r="N2876" i="4"/>
  <c r="F1131" i="4"/>
  <c r="M1421" i="4"/>
  <c r="M569" i="4"/>
  <c r="M773" i="4"/>
  <c r="M325" i="4"/>
  <c r="M756" i="4"/>
  <c r="M1288" i="4"/>
  <c r="M3741" i="4"/>
  <c r="M489" i="4"/>
  <c r="M949" i="4"/>
  <c r="F1423" i="4"/>
  <c r="M487" i="4"/>
  <c r="M2102" i="4"/>
  <c r="N2539" i="4"/>
  <c r="M1124" i="4"/>
  <c r="F1197" i="4"/>
  <c r="M412" i="4"/>
  <c r="M3758" i="4"/>
  <c r="M2609" i="4"/>
  <c r="F409" i="4"/>
  <c r="M578" i="4"/>
  <c r="F801" i="4"/>
  <c r="F743" i="4"/>
  <c r="M414" i="4"/>
  <c r="M3936" i="4"/>
  <c r="M3664" i="4"/>
  <c r="F892" i="4"/>
  <c r="F272" i="4"/>
  <c r="F629" i="4"/>
  <c r="F1587" i="4"/>
  <c r="F984" i="4"/>
  <c r="F303" i="4"/>
  <c r="M70" i="4"/>
  <c r="M499" i="4"/>
  <c r="M228" i="4"/>
  <c r="F1242" i="4"/>
  <c r="F258" i="4"/>
  <c r="F467" i="4"/>
  <c r="F493" i="4"/>
  <c r="M122" i="4"/>
  <c r="F151" i="4"/>
  <c r="M465" i="4"/>
  <c r="M301" i="4"/>
  <c r="M2222" i="4"/>
  <c r="F511" i="4"/>
  <c r="F208" i="4"/>
  <c r="M1014" i="4"/>
  <c r="M78" i="4"/>
  <c r="F127" i="4"/>
  <c r="M2077" i="4"/>
  <c r="F1883" i="4"/>
  <c r="F1563" i="4"/>
  <c r="N1713" i="4"/>
  <c r="M1000" i="4"/>
  <c r="F1357" i="4"/>
  <c r="N3514" i="4"/>
  <c r="M3518" i="4"/>
  <c r="F2005" i="4"/>
  <c r="N1876" i="4"/>
  <c r="M3196" i="4"/>
  <c r="F1294" i="4"/>
  <c r="M2080" i="4"/>
  <c r="F1203" i="4"/>
  <c r="M3307" i="4"/>
  <c r="F1650" i="4"/>
  <c r="F683" i="4"/>
  <c r="M698" i="4"/>
  <c r="M1415" i="4"/>
  <c r="N3845" i="4"/>
  <c r="M2384" i="4"/>
  <c r="M3718" i="4"/>
  <c r="F336" i="4"/>
  <c r="M2009" i="4"/>
  <c r="F1353" i="4"/>
  <c r="F1473" i="4"/>
  <c r="N3757" i="4"/>
  <c r="M3608" i="4"/>
  <c r="N1912" i="4"/>
  <c r="F1732" i="4"/>
  <c r="M859" i="4"/>
  <c r="N2092" i="4"/>
  <c r="M1365" i="4"/>
  <c r="N3179" i="4"/>
  <c r="N3242" i="4"/>
  <c r="M2321" i="4"/>
  <c r="N2427" i="4"/>
  <c r="F1157" i="4"/>
  <c r="M3061" i="4"/>
  <c r="L2190" i="4"/>
  <c r="N3149" i="4"/>
  <c r="F937" i="4"/>
  <c r="M3030" i="4"/>
  <c r="F1900" i="4"/>
  <c r="L3652" i="4"/>
  <c r="F1820" i="4"/>
  <c r="F1795" i="4"/>
  <c r="N3827" i="4"/>
  <c r="F2036" i="4"/>
  <c r="N3285" i="4"/>
  <c r="N3734" i="4"/>
  <c r="M3432" i="4"/>
  <c r="M1392" i="4"/>
  <c r="F2082" i="4"/>
  <c r="N3302" i="4"/>
  <c r="M1534" i="4"/>
  <c r="M3234" i="4"/>
  <c r="M2905" i="4"/>
  <c r="N2441" i="4"/>
  <c r="F963" i="4"/>
  <c r="F698" i="4"/>
  <c r="F422" i="4"/>
  <c r="F507" i="4"/>
  <c r="M1265" i="4"/>
  <c r="M2706" i="4"/>
  <c r="F1505" i="4"/>
  <c r="M547" i="4"/>
  <c r="F682" i="4"/>
  <c r="N2706" i="4"/>
  <c r="F628" i="4"/>
  <c r="N3627" i="4"/>
  <c r="M2005" i="4"/>
  <c r="F469" i="4"/>
  <c r="F621" i="4"/>
  <c r="M2137" i="4"/>
  <c r="N3668" i="4"/>
  <c r="M807" i="4"/>
  <c r="M550" i="4"/>
  <c r="F890" i="4"/>
  <c r="F534" i="4"/>
  <c r="M1138" i="4"/>
  <c r="N3481" i="4"/>
  <c r="N3569" i="4"/>
  <c r="F1150" i="4"/>
  <c r="M2705" i="4"/>
  <c r="N1998" i="4"/>
  <c r="F1912" i="4"/>
  <c r="M504" i="4"/>
  <c r="M3462" i="4"/>
  <c r="N2572" i="4"/>
  <c r="F521" i="4"/>
  <c r="M2017" i="4"/>
  <c r="M1578" i="4"/>
  <c r="F430" i="4"/>
  <c r="N2098" i="4"/>
  <c r="N1852" i="4"/>
  <c r="N2820" i="4"/>
  <c r="N3172" i="4"/>
  <c r="M1649" i="4"/>
  <c r="M503" i="4"/>
  <c r="F452" i="4"/>
  <c r="F169" i="4"/>
  <c r="M269" i="4"/>
  <c r="F245" i="4"/>
  <c r="N2468" i="4"/>
  <c r="F144" i="4"/>
  <c r="M198" i="4"/>
  <c r="M141" i="4"/>
  <c r="F967" i="4"/>
  <c r="F1355" i="4"/>
  <c r="F688" i="4"/>
  <c r="M665" i="4"/>
  <c r="M1474" i="4"/>
  <c r="N3253" i="4"/>
  <c r="M3248" i="4"/>
  <c r="N3477" i="4"/>
  <c r="M1346" i="4"/>
  <c r="M3786" i="4"/>
  <c r="F1071" i="4"/>
  <c r="M1702" i="4"/>
  <c r="N2265" i="4"/>
  <c r="N2709" i="4"/>
  <c r="N2037" i="4"/>
  <c r="F1221" i="4"/>
  <c r="N2242" i="4"/>
  <c r="M3790" i="4"/>
  <c r="N3314" i="4"/>
  <c r="M2189" i="4"/>
  <c r="N3463" i="4"/>
  <c r="M3548" i="4"/>
  <c r="M987" i="4"/>
  <c r="M3865" i="4"/>
  <c r="N1892" i="4"/>
  <c r="N3286" i="4"/>
  <c r="N2342" i="4"/>
  <c r="N1726" i="4"/>
  <c r="M1498" i="4"/>
  <c r="F686" i="4"/>
  <c r="M1086" i="4"/>
  <c r="L3002" i="4"/>
  <c r="N3881" i="4"/>
  <c r="M3017" i="4"/>
  <c r="M2165" i="4"/>
  <c r="M1736" i="4"/>
  <c r="M946" i="4"/>
  <c r="N2693" i="4"/>
  <c r="L1508" i="4"/>
  <c r="M2709" i="4"/>
  <c r="M593" i="4"/>
  <c r="M2711" i="4"/>
  <c r="N2102" i="4"/>
  <c r="L1341" i="4"/>
  <c r="F1701" i="4"/>
  <c r="M3611" i="4"/>
  <c r="M3336" i="4"/>
  <c r="M1412" i="4"/>
  <c r="N3537" i="4"/>
  <c r="M1640" i="4"/>
  <c r="M2756" i="4"/>
  <c r="M2973" i="4"/>
  <c r="M798" i="4"/>
  <c r="M2612" i="4"/>
  <c r="M1485" i="4"/>
  <c r="M3051" i="4"/>
  <c r="N2884" i="4"/>
  <c r="M2117" i="4"/>
  <c r="M620" i="4"/>
  <c r="F1068" i="4"/>
  <c r="M434" i="4"/>
  <c r="F1115" i="4"/>
  <c r="M1987" i="4"/>
  <c r="N3432" i="4"/>
  <c r="M1196" i="4"/>
  <c r="F1293" i="4"/>
  <c r="M1701" i="4"/>
  <c r="M2502" i="4"/>
  <c r="F1106" i="4"/>
  <c r="N2728" i="4"/>
  <c r="N1783" i="4"/>
  <c r="F394" i="4"/>
  <c r="F1510" i="4"/>
  <c r="F1843" i="4"/>
  <c r="F941" i="4"/>
  <c r="M3939" i="4"/>
  <c r="M894" i="4"/>
  <c r="M945" i="4"/>
  <c r="F1105" i="4"/>
  <c r="F1824" i="4"/>
  <c r="N2472" i="4"/>
  <c r="F917" i="4"/>
  <c r="F869" i="4"/>
  <c r="M1919" i="4"/>
  <c r="M1858" i="4"/>
  <c r="M1775" i="4"/>
  <c r="F440" i="4"/>
  <c r="M2821" i="4"/>
  <c r="N3324" i="4"/>
  <c r="N2199" i="4"/>
  <c r="F1704" i="4"/>
  <c r="M1142" i="4"/>
  <c r="N1772" i="4"/>
  <c r="M675" i="4"/>
  <c r="M1591" i="4"/>
  <c r="F1066" i="4"/>
  <c r="M2232" i="4"/>
  <c r="F694" i="4"/>
  <c r="F439" i="4"/>
  <c r="F1196" i="4"/>
  <c r="M133" i="4"/>
  <c r="M495" i="4"/>
  <c r="M167" i="4"/>
  <c r="M613" i="4"/>
  <c r="F301" i="4"/>
  <c r="F97" i="4"/>
  <c r="M262" i="4"/>
  <c r="F498" i="4"/>
  <c r="F16" i="4"/>
  <c r="F1500" i="4"/>
  <c r="F813" i="4"/>
  <c r="M94" i="4"/>
  <c r="F57" i="4"/>
  <c r="M3012" i="4"/>
  <c r="F575" i="4"/>
  <c r="F1332" i="4"/>
  <c r="M4" i="4"/>
  <c r="M91" i="4"/>
  <c r="F298" i="4"/>
  <c r="N2202" i="4"/>
  <c r="M2063" i="4"/>
  <c r="F494" i="4"/>
  <c r="N2467" i="4"/>
  <c r="M2770" i="4"/>
  <c r="M1513" i="4"/>
  <c r="M2846" i="4"/>
  <c r="F1499" i="4"/>
  <c r="F1426" i="4"/>
  <c r="M3823" i="4"/>
  <c r="M2909" i="4"/>
  <c r="F2071" i="4"/>
  <c r="N3487" i="4"/>
  <c r="N2978" i="4"/>
  <c r="S251" i="2"/>
  <c r="M3127" i="4"/>
  <c r="N3294" i="4"/>
  <c r="M1586" i="4"/>
  <c r="N2671" i="4"/>
  <c r="F1354" i="4"/>
  <c r="N1886" i="4"/>
  <c r="N3606" i="4"/>
  <c r="M3212" i="4"/>
  <c r="M2421" i="4"/>
  <c r="M1862" i="4"/>
  <c r="F1227" i="4"/>
  <c r="F1512" i="4"/>
  <c r="M1594" i="4"/>
  <c r="M869" i="4"/>
  <c r="L2167" i="4"/>
  <c r="M2640" i="4"/>
  <c r="N2882" i="4"/>
  <c r="M1786" i="4"/>
  <c r="M3356" i="4"/>
  <c r="M2692" i="4"/>
  <c r="F1675" i="4"/>
  <c r="M3277" i="4"/>
  <c r="M2456" i="4"/>
  <c r="F1708" i="4"/>
  <c r="N1832" i="4"/>
  <c r="M1497" i="4"/>
  <c r="N3632" i="4"/>
  <c r="M2778" i="4"/>
  <c r="L62" i="4"/>
  <c r="N2623" i="4"/>
  <c r="M3739" i="4"/>
  <c r="N2611" i="4"/>
  <c r="L2567" i="4"/>
  <c r="N3191" i="4"/>
  <c r="M2071" i="4"/>
  <c r="S225" i="2"/>
  <c r="M2719" i="4"/>
  <c r="L52" i="4"/>
  <c r="M3062" i="4"/>
  <c r="F817" i="4"/>
  <c r="N2028" i="4"/>
  <c r="M1860" i="4"/>
  <c r="F639" i="4"/>
  <c r="F879" i="4"/>
  <c r="M648" i="4"/>
  <c r="M3681" i="4"/>
  <c r="M1195" i="4"/>
  <c r="F1503" i="4"/>
  <c r="N2363" i="4"/>
  <c r="M602" i="4"/>
  <c r="F1126" i="4"/>
  <c r="N3160" i="4"/>
  <c r="M882" i="4"/>
  <c r="M1942" i="4"/>
  <c r="M474" i="4"/>
  <c r="F580" i="4"/>
  <c r="N3548" i="4"/>
  <c r="M3305" i="4"/>
  <c r="M2669" i="4"/>
  <c r="M2089" i="4"/>
  <c r="M1038" i="4"/>
  <c r="N2635" i="4"/>
  <c r="M1930" i="4"/>
  <c r="M416" i="4"/>
  <c r="F1323" i="4"/>
  <c r="N3653" i="4"/>
  <c r="N3806" i="4"/>
  <c r="M3108" i="4"/>
  <c r="M1111" i="4"/>
  <c r="M625" i="4"/>
  <c r="M1283" i="4"/>
  <c r="M2126" i="4"/>
  <c r="M3187" i="4"/>
  <c r="M1342" i="4"/>
  <c r="F905" i="4"/>
  <c r="M598" i="4"/>
  <c r="F1350" i="4"/>
  <c r="M1476" i="4"/>
  <c r="F798" i="4"/>
  <c r="M2358" i="4"/>
  <c r="M418" i="4"/>
  <c r="F1682" i="4"/>
  <c r="F1220" i="4"/>
  <c r="F373" i="4"/>
  <c r="F69" i="4"/>
  <c r="M537" i="4"/>
  <c r="F903" i="4"/>
  <c r="M110" i="4"/>
  <c r="F254" i="4"/>
  <c r="M428" i="4"/>
  <c r="M2269" i="4"/>
  <c r="F181" i="4"/>
  <c r="F51" i="4"/>
  <c r="F110" i="4"/>
  <c r="M238" i="4"/>
  <c r="F216" i="4"/>
  <c r="M365" i="4"/>
  <c r="F769" i="4"/>
  <c r="F3" i="4"/>
  <c r="M196" i="4"/>
  <c r="M235" i="4"/>
  <c r="M728" i="4"/>
  <c r="M701" i="4"/>
  <c r="F1025" i="4"/>
  <c r="M37" i="4"/>
  <c r="M231" i="4"/>
  <c r="F122" i="4"/>
  <c r="F153" i="4"/>
  <c r="M3351" i="4"/>
  <c r="F2080" i="4"/>
  <c r="F220" i="4"/>
  <c r="M158" i="4"/>
  <c r="M2366" i="4"/>
  <c r="F872" i="4"/>
  <c r="M1872" i="4"/>
  <c r="M1752" i="4"/>
  <c r="M2223" i="4"/>
  <c r="F1013" i="4"/>
  <c r="M745" i="4"/>
  <c r="M2880" i="4"/>
  <c r="F1531" i="4"/>
  <c r="M215" i="4"/>
  <c r="M309" i="4"/>
  <c r="N2510" i="4"/>
  <c r="M293" i="4"/>
  <c r="M164" i="4"/>
  <c r="F1697" i="4"/>
  <c r="M341" i="4"/>
  <c r="F183" i="4"/>
  <c r="M268" i="4"/>
  <c r="F136" i="4"/>
  <c r="M92" i="4"/>
  <c r="M457" i="4"/>
  <c r="F483" i="4"/>
  <c r="F196" i="4"/>
  <c r="M28" i="4"/>
  <c r="M246" i="4"/>
  <c r="M188" i="4"/>
  <c r="M287" i="4"/>
  <c r="F273" i="4"/>
  <c r="F878" i="4"/>
  <c r="M342" i="4"/>
  <c r="F247" i="4"/>
  <c r="F263" i="4"/>
  <c r="M201" i="4"/>
  <c r="F85" i="4"/>
  <c r="F111" i="4"/>
  <c r="M107" i="4"/>
  <c r="F383" i="4"/>
  <c r="M917" i="4"/>
  <c r="F103" i="4"/>
  <c r="F276" i="4"/>
  <c r="M197" i="4"/>
  <c r="M420" i="4"/>
  <c r="M155" i="4"/>
  <c r="F322" i="4"/>
  <c r="M166" i="4"/>
  <c r="F772" i="4"/>
  <c r="F528" i="4"/>
  <c r="M72" i="4"/>
  <c r="M129" i="4"/>
  <c r="M310" i="4"/>
  <c r="M2741" i="4"/>
  <c r="M191" i="4"/>
  <c r="F370" i="4"/>
  <c r="F366" i="4"/>
  <c r="M368" i="4"/>
  <c r="M33" i="4"/>
  <c r="F201" i="4"/>
  <c r="M104" i="4"/>
  <c r="M3207" i="4"/>
  <c r="F432" i="4"/>
  <c r="F275" i="4"/>
  <c r="F290" i="4"/>
  <c r="F323" i="4"/>
  <c r="F87" i="4"/>
  <c r="M117" i="4"/>
  <c r="M190" i="4"/>
  <c r="M3558" i="4"/>
  <c r="F1772" i="4"/>
  <c r="M1032" i="4"/>
  <c r="N3704" i="4"/>
  <c r="M3063" i="4"/>
  <c r="F1079" i="4"/>
  <c r="M3915" i="4"/>
  <c r="M369" i="4"/>
  <c r="M297" i="4"/>
  <c r="M867" i="4"/>
  <c r="F126" i="4"/>
  <c r="M1024" i="4"/>
  <c r="M219" i="4"/>
  <c r="F139" i="4"/>
  <c r="N2286" i="4"/>
  <c r="F500" i="4"/>
  <c r="M146" i="4"/>
  <c r="M1344" i="4"/>
  <c r="F293" i="4"/>
  <c r="F74" i="4"/>
  <c r="M1403" i="4"/>
  <c r="M406" i="4"/>
  <c r="M14" i="4"/>
  <c r="M281" i="4"/>
  <c r="M45" i="4"/>
  <c r="M359" i="4"/>
  <c r="F361" i="4"/>
  <c r="F302" i="4"/>
  <c r="F814" i="4"/>
  <c r="N3570" i="4"/>
  <c r="M61" i="4"/>
  <c r="M75" i="4"/>
  <c r="F148" i="4"/>
  <c r="F242" i="4"/>
  <c r="M272" i="4"/>
  <c r="N2023" i="4"/>
  <c r="M431" i="4"/>
  <c r="M1007" i="4"/>
  <c r="F261" i="4"/>
  <c r="M87" i="4"/>
  <c r="M273" i="4"/>
  <c r="F98" i="4"/>
  <c r="M192" i="4"/>
  <c r="F252" i="4"/>
  <c r="F193" i="4"/>
  <c r="M943" i="4"/>
  <c r="M314" i="4"/>
  <c r="F295" i="4"/>
  <c r="M442" i="4"/>
  <c r="M264" i="4"/>
  <c r="F80" i="4"/>
  <c r="M300" i="4"/>
  <c r="F851" i="4"/>
  <c r="F413" i="4"/>
  <c r="F105" i="4"/>
  <c r="F120" i="4"/>
  <c r="M18" i="4"/>
  <c r="F43" i="4"/>
  <c r="M730" i="4"/>
  <c r="M348" i="4"/>
  <c r="M86" i="4"/>
  <c r="M100" i="4"/>
  <c r="F70" i="4"/>
  <c r="F244" i="4"/>
  <c r="M82" i="4"/>
  <c r="M3679" i="4"/>
  <c r="M3580" i="4"/>
  <c r="N1747" i="4"/>
  <c r="N3330" i="4"/>
  <c r="N1701" i="4"/>
  <c r="M895" i="4"/>
  <c r="M479" i="4"/>
  <c r="M3528" i="4"/>
  <c r="M113" i="4"/>
  <c r="M573" i="4"/>
  <c r="F283" i="4"/>
  <c r="F785" i="4"/>
  <c r="F21" i="4"/>
  <c r="M83" i="4"/>
  <c r="M688" i="4"/>
  <c r="F1217" i="4"/>
  <c r="M290" i="4"/>
  <c r="F39" i="4"/>
  <c r="M103" i="4"/>
  <c r="M46" i="4"/>
  <c r="N2994" i="4"/>
  <c r="F62" i="4"/>
  <c r="M302" i="4"/>
  <c r="M642" i="4"/>
  <c r="F314" i="4"/>
  <c r="F166" i="4"/>
  <c r="M286" i="4"/>
  <c r="F107" i="4"/>
  <c r="F718" i="4"/>
  <c r="F902" i="4"/>
  <c r="M205" i="4"/>
  <c r="M267" i="4"/>
  <c r="F305" i="4"/>
  <c r="M56" i="4"/>
  <c r="F205" i="4"/>
  <c r="M1463" i="4"/>
  <c r="F1039" i="4"/>
  <c r="M491" i="4"/>
  <c r="M73" i="4"/>
  <c r="M279" i="4"/>
  <c r="F348" i="4"/>
  <c r="F255" i="4"/>
  <c r="N2094" i="4"/>
  <c r="M65" i="4"/>
  <c r="F904" i="4"/>
  <c r="M1381" i="4"/>
  <c r="M2789" i="4"/>
  <c r="F117" i="4"/>
  <c r="F165" i="4"/>
  <c r="F707" i="4"/>
  <c r="F1254" i="4"/>
  <c r="F60" i="4"/>
  <c r="F1166" i="4"/>
  <c r="M455" i="4"/>
  <c r="F262" i="4"/>
  <c r="F277" i="4"/>
  <c r="M162" i="4"/>
  <c r="M3772" i="4"/>
  <c r="F1028" i="4"/>
  <c r="M395" i="4"/>
  <c r="M230" i="4"/>
  <c r="F230" i="4"/>
  <c r="F228" i="4"/>
  <c r="M58" i="4"/>
  <c r="F101" i="4"/>
  <c r="N2436" i="4"/>
  <c r="N3175" i="4"/>
  <c r="M575" i="4"/>
  <c r="L760" i="4"/>
  <c r="M3877" i="4"/>
  <c r="M3085" i="4"/>
  <c r="F894" i="4"/>
  <c r="M1777" i="4"/>
  <c r="M57" i="4"/>
  <c r="F379" i="4"/>
  <c r="M289" i="4"/>
  <c r="F399" i="4"/>
  <c r="F185" i="4"/>
  <c r="M120" i="4"/>
  <c r="M929" i="4"/>
  <c r="F207" i="4"/>
  <c r="M136" i="4"/>
  <c r="F199" i="4"/>
  <c r="M247" i="4"/>
  <c r="N2386" i="4"/>
  <c r="M612" i="4"/>
  <c r="M36" i="4"/>
  <c r="M148" i="4"/>
  <c r="F53" i="4"/>
  <c r="F149" i="4"/>
  <c r="F333" i="4"/>
  <c r="M131" i="4"/>
  <c r="M77" i="4"/>
  <c r="M536" i="4"/>
  <c r="M956" i="4"/>
  <c r="M783" i="4"/>
  <c r="F112" i="4"/>
  <c r="M114" i="4"/>
  <c r="M224" i="4"/>
  <c r="F30" i="4"/>
  <c r="M2645" i="4"/>
  <c r="M2076" i="4"/>
  <c r="F1216" i="4"/>
  <c r="M217" i="4"/>
  <c r="F138" i="4"/>
  <c r="F161" i="4"/>
  <c r="M68" i="4"/>
  <c r="F15" i="4"/>
  <c r="M209" i="4"/>
  <c r="F1739" i="4"/>
  <c r="F518" i="4"/>
  <c r="M878" i="4"/>
  <c r="F274" i="4"/>
  <c r="F94" i="4"/>
  <c r="M2868" i="4"/>
  <c r="F416" i="4"/>
  <c r="F1271" i="4"/>
  <c r="F1224" i="4"/>
  <c r="F129" i="4"/>
  <c r="M74" i="4"/>
  <c r="M88" i="4"/>
  <c r="M306" i="4"/>
  <c r="M2693" i="4"/>
  <c r="M957" i="4"/>
  <c r="F397" i="4"/>
  <c r="M195" i="4"/>
  <c r="M430" i="4"/>
  <c r="M43" i="4"/>
  <c r="M202" i="4"/>
  <c r="F1226" i="4"/>
  <c r="M1090" i="4"/>
  <c r="N3576" i="4"/>
  <c r="M3463" i="4"/>
  <c r="N3328" i="4"/>
  <c r="M3698" i="4"/>
  <c r="F1225" i="4"/>
  <c r="M2797" i="4"/>
  <c r="M492" i="4"/>
  <c r="F88" i="4"/>
  <c r="M533" i="4"/>
  <c r="F114" i="4"/>
  <c r="M1159" i="4"/>
  <c r="M5" i="4"/>
  <c r="F141" i="4"/>
  <c r="F450" i="4"/>
  <c r="M24" i="4"/>
  <c r="M343" i="4"/>
  <c r="M17" i="4"/>
  <c r="M284" i="4"/>
  <c r="F472" i="4"/>
  <c r="M659" i="4"/>
  <c r="M265" i="4"/>
  <c r="F356" i="4"/>
  <c r="F213" i="4"/>
  <c r="F306" i="4"/>
  <c r="M130" i="4"/>
  <c r="M180" i="4"/>
  <c r="M294" i="4"/>
  <c r="M1356" i="4"/>
  <c r="F1329" i="4"/>
  <c r="F50" i="4"/>
  <c r="F66" i="4"/>
  <c r="M258" i="4"/>
  <c r="M513" i="4"/>
  <c r="M59" i="4"/>
  <c r="F691" i="4"/>
  <c r="M1745" i="4"/>
  <c r="F418" i="4"/>
  <c r="F64" i="4"/>
  <c r="M329" i="4"/>
  <c r="M126" i="4"/>
  <c r="M236" i="4"/>
  <c r="F180" i="4"/>
  <c r="M979" i="4"/>
  <c r="M159" i="4"/>
  <c r="M853" i="4"/>
  <c r="F1575" i="4"/>
  <c r="M85" i="4"/>
  <c r="F95" i="4"/>
  <c r="M990" i="4"/>
  <c r="F454" i="4"/>
  <c r="M774" i="4"/>
  <c r="M1013" i="4"/>
  <c r="F286" i="4"/>
  <c r="M218" i="4"/>
  <c r="F58" i="4"/>
  <c r="F55" i="4"/>
  <c r="F1530" i="4"/>
  <c r="F1639" i="4"/>
  <c r="F142" i="4"/>
  <c r="M280" i="4"/>
  <c r="F134" i="4"/>
  <c r="M187" i="4"/>
  <c r="F311" i="4"/>
  <c r="M84" i="4"/>
  <c r="M321" i="4"/>
  <c r="F1169" i="4"/>
  <c r="N3698" i="4"/>
  <c r="N3127" i="4"/>
  <c r="N3100" i="4"/>
  <c r="M3921" i="4"/>
  <c r="M435" i="4"/>
  <c r="M405" i="4"/>
  <c r="N3076" i="4"/>
  <c r="F157" i="4"/>
  <c r="M250" i="4"/>
  <c r="F1326" i="4"/>
  <c r="M149" i="4"/>
  <c r="M9" i="4"/>
  <c r="F1598" i="4"/>
  <c r="M276" i="4"/>
  <c r="F79" i="4"/>
  <c r="M161" i="4"/>
  <c r="M176" i="4"/>
  <c r="N2306" i="4"/>
  <c r="F368" i="4"/>
  <c r="M381" i="4"/>
  <c r="F93" i="4"/>
  <c r="M29" i="4"/>
  <c r="M115" i="4"/>
  <c r="M274" i="4"/>
  <c r="F167" i="4"/>
  <c r="F218" i="4"/>
  <c r="M808" i="4"/>
  <c r="M1653" i="4"/>
  <c r="F209" i="4"/>
  <c r="F225" i="4"/>
  <c r="M285" i="4"/>
  <c r="M684" i="4"/>
  <c r="M132" i="4"/>
  <c r="F1092" i="4"/>
  <c r="M1199" i="4"/>
  <c r="M454" i="4"/>
  <c r="F222" i="4"/>
  <c r="F81" i="4"/>
  <c r="M270" i="4"/>
  <c r="F448" i="4"/>
  <c r="M35" i="4"/>
  <c r="M880" i="4"/>
  <c r="M160" i="4"/>
  <c r="M433" i="4"/>
  <c r="F475" i="4"/>
  <c r="M229" i="4"/>
  <c r="F8" i="4"/>
  <c r="M241" i="4"/>
  <c r="F1201" i="4"/>
  <c r="F224" i="4"/>
  <c r="F1337" i="4"/>
  <c r="M96" i="4"/>
  <c r="M171" i="4"/>
  <c r="F487" i="4"/>
  <c r="F215" i="4"/>
  <c r="M521" i="4"/>
  <c r="F536" i="4"/>
  <c r="F299" i="4"/>
  <c r="F4" i="4"/>
  <c r="F291" i="4"/>
  <c r="F349" i="4"/>
  <c r="M251" i="4"/>
  <c r="F264" i="4"/>
  <c r="F543" i="4"/>
  <c r="M685" i="4"/>
  <c r="N2821" i="4"/>
  <c r="N3812" i="4"/>
  <c r="F1934" i="4"/>
  <c r="N1918" i="4"/>
  <c r="M1087" i="4"/>
  <c r="M1935" i="4"/>
  <c r="F539" i="4"/>
  <c r="M266" i="4"/>
  <c r="M456" i="4"/>
  <c r="F359" i="4"/>
  <c r="F109" i="4"/>
  <c r="F287" i="4"/>
  <c r="M673" i="4"/>
  <c r="F388" i="4"/>
  <c r="F237" i="4"/>
  <c r="M21" i="4"/>
  <c r="M95" i="4"/>
  <c r="F1003" i="4"/>
  <c r="F954" i="4"/>
  <c r="F77" i="4"/>
  <c r="F250" i="4"/>
  <c r="M173" i="4"/>
  <c r="M259" i="4"/>
  <c r="M119" i="4"/>
  <c r="M80" i="4"/>
  <c r="M178" i="4"/>
  <c r="M401" i="4"/>
  <c r="M467" i="4"/>
  <c r="M26" i="4"/>
  <c r="M40" i="4"/>
  <c r="M350" i="4"/>
  <c r="F13" i="4"/>
  <c r="M516" i="4"/>
  <c r="M931" i="4"/>
  <c r="F576" i="4"/>
  <c r="F512" i="4"/>
  <c r="M38" i="4"/>
  <c r="F238" i="4"/>
  <c r="F9" i="4"/>
  <c r="F746" i="4"/>
  <c r="M108" i="4"/>
  <c r="F189" i="4"/>
  <c r="M150" i="4"/>
  <c r="F587" i="4"/>
  <c r="M674" i="4"/>
  <c r="F363" i="4"/>
  <c r="F174" i="4"/>
  <c r="F91" i="4"/>
  <c r="M404" i="4"/>
  <c r="M866" i="4"/>
  <c r="F476" i="4"/>
  <c r="M93" i="4"/>
  <c r="M256" i="4"/>
  <c r="F121" i="4"/>
  <c r="M31" i="4"/>
  <c r="M518" i="4"/>
  <c r="F462" i="4"/>
  <c r="M144" i="4"/>
  <c r="F171" i="4"/>
  <c r="M101" i="4"/>
  <c r="M237" i="4"/>
  <c r="M312" i="4"/>
  <c r="F28" i="4"/>
  <c r="N2465" i="4"/>
  <c r="M1824" i="4"/>
  <c r="F1215" i="4"/>
  <c r="M2372" i="4"/>
  <c r="M985" i="4"/>
  <c r="F1366" i="4"/>
  <c r="M3581" i="4"/>
  <c r="M2892" i="4"/>
  <c r="F369" i="4"/>
  <c r="M257" i="4"/>
  <c r="M225" i="4"/>
  <c r="F662" i="4"/>
  <c r="F266" i="4"/>
  <c r="F108" i="4"/>
  <c r="F706" i="4"/>
  <c r="F63" i="4"/>
  <c r="M51" i="4"/>
  <c r="F279" i="4"/>
  <c r="F408" i="4"/>
  <c r="F810" i="4"/>
  <c r="F1130" i="4"/>
  <c r="F234" i="4"/>
  <c r="M63" i="4"/>
  <c r="M69" i="4"/>
  <c r="M308" i="4"/>
  <c r="M168" i="4"/>
  <c r="F45" i="4"/>
  <c r="F434" i="4"/>
  <c r="M444" i="4"/>
  <c r="F76" i="4"/>
  <c r="M170" i="4"/>
  <c r="M305" i="4"/>
  <c r="F162" i="4"/>
  <c r="F179" i="4"/>
  <c r="M399" i="4"/>
  <c r="M460" i="4"/>
  <c r="M670" i="4"/>
  <c r="F89" i="4"/>
  <c r="M182" i="4"/>
  <c r="M52" i="4"/>
  <c r="F175" i="4"/>
  <c r="F29" i="4"/>
  <c r="F132" i="4"/>
  <c r="M7" i="4"/>
  <c r="M19" i="4"/>
  <c r="M515" i="4"/>
  <c r="M400" i="4"/>
  <c r="F78" i="4"/>
  <c r="M138" i="4"/>
  <c r="M111" i="4"/>
  <c r="M452" i="4"/>
  <c r="F1331" i="4"/>
  <c r="F402" i="4"/>
  <c r="F393" i="4"/>
  <c r="M177" i="4"/>
  <c r="F278" i="4"/>
  <c r="M175" i="4"/>
  <c r="N3310" i="4"/>
  <c r="M384" i="4"/>
  <c r="M165" i="4"/>
  <c r="M135" i="4"/>
  <c r="M245" i="4"/>
  <c r="F150" i="4"/>
  <c r="F419" i="4"/>
  <c r="M221" i="4"/>
  <c r="M1379" i="4"/>
  <c r="M1789" i="4"/>
  <c r="M2367" i="4"/>
  <c r="N3755" i="4"/>
  <c r="M326" i="4"/>
  <c r="M911" i="4"/>
  <c r="N3287" i="4"/>
  <c r="N3156" i="4"/>
  <c r="F381" i="4"/>
  <c r="M137" i="4"/>
  <c r="M62" i="4"/>
  <c r="F48" i="4"/>
  <c r="M222" i="4"/>
  <c r="F24" i="4"/>
  <c r="M1210" i="4"/>
  <c r="F221" i="4"/>
  <c r="F1747" i="4"/>
  <c r="M90" i="4"/>
  <c r="F460" i="4"/>
  <c r="M890" i="4"/>
  <c r="M1012" i="4"/>
  <c r="M49" i="4"/>
  <c r="M255" i="4"/>
  <c r="M429" i="4"/>
  <c r="F463" i="4"/>
  <c r="F282" i="4"/>
  <c r="M179" i="4"/>
  <c r="F231" i="4"/>
  <c r="M1190" i="4"/>
  <c r="F233" i="4"/>
  <c r="F315" i="4"/>
  <c r="F67" i="4"/>
  <c r="F325" i="4"/>
  <c r="M142" i="4"/>
  <c r="F130" i="4"/>
  <c r="F1084" i="4"/>
  <c r="M328" i="4"/>
  <c r="F246" i="4"/>
  <c r="F339" i="4"/>
  <c r="M315" i="4"/>
  <c r="F353" i="4"/>
  <c r="F192" i="4"/>
  <c r="F289" i="4"/>
  <c r="M151" i="4"/>
  <c r="M163" i="4"/>
  <c r="F417" i="4"/>
  <c r="M441" i="4"/>
  <c r="F235" i="4"/>
  <c r="M282" i="4"/>
  <c r="F346" i="4"/>
  <c r="F249" i="4"/>
  <c r="F1152" i="4"/>
  <c r="M2173" i="4"/>
  <c r="F143" i="4"/>
  <c r="F158" i="4"/>
  <c r="M89" i="4"/>
  <c r="F243" i="4"/>
  <c r="F372" i="4"/>
  <c r="N1993" i="4"/>
  <c r="F156" i="4"/>
  <c r="M292" i="4"/>
  <c r="F54" i="4"/>
  <c r="F307" i="4"/>
  <c r="F75" i="4"/>
  <c r="M919" i="4"/>
  <c r="M3610" i="4"/>
  <c r="N3554" i="4"/>
  <c r="M3730" i="4"/>
  <c r="M1326" i="4"/>
  <c r="F395" i="4"/>
  <c r="N3177" i="4"/>
  <c r="N2338" i="4"/>
  <c r="F547" i="4"/>
  <c r="F160" i="4"/>
  <c r="F96" i="4"/>
  <c r="M153" i="4"/>
  <c r="M25" i="4"/>
  <c r="F12" i="4"/>
  <c r="M71" i="4"/>
  <c r="M386" i="4"/>
  <c r="M181" i="4"/>
  <c r="F37" i="4"/>
  <c r="M234" i="4"/>
  <c r="M97" i="4"/>
  <c r="M1128" i="4"/>
  <c r="M1733" i="4"/>
  <c r="M193" i="4"/>
  <c r="F986" i="4"/>
  <c r="F135" i="4"/>
  <c r="F71" i="4"/>
  <c r="F326" i="4"/>
  <c r="F354" i="4"/>
  <c r="M1998" i="4"/>
  <c r="M2221" i="4"/>
  <c r="M48" i="4"/>
  <c r="M184" i="4"/>
  <c r="F226" i="4"/>
  <c r="M127" i="4"/>
  <c r="M189" i="4"/>
  <c r="F124" i="4"/>
  <c r="F480" i="4"/>
  <c r="N2951" i="4"/>
  <c r="M60" i="4"/>
  <c r="M220" i="4"/>
  <c r="F82" i="4"/>
  <c r="M139" i="4"/>
  <c r="M10" i="4"/>
  <c r="M99" i="4"/>
  <c r="M666" i="4"/>
  <c r="F59" i="4"/>
  <c r="F956" i="4"/>
  <c r="F386" i="4"/>
  <c r="M50" i="4"/>
  <c r="F25" i="4"/>
  <c r="M6" i="4"/>
  <c r="M76" i="4"/>
  <c r="M2317" i="4"/>
  <c r="M792" i="4"/>
  <c r="F300" i="4"/>
  <c r="F317" i="4"/>
  <c r="M233" i="4"/>
  <c r="M415" i="4"/>
  <c r="F517" i="4"/>
  <c r="M611" i="4"/>
  <c r="F313" i="4"/>
  <c r="M81" i="4"/>
  <c r="F214" i="4"/>
  <c r="M116" i="4"/>
  <c r="F232" i="4"/>
  <c r="N2211" i="4"/>
  <c r="M2035" i="4"/>
  <c r="L3506" i="4"/>
  <c r="N3309" i="4"/>
  <c r="M2860" i="4"/>
  <c r="M324" i="4"/>
  <c r="F761" i="4"/>
  <c r="M1112" i="4"/>
  <c r="F83" i="4"/>
  <c r="M210" i="4"/>
  <c r="N2668" i="4"/>
  <c r="M169" i="4"/>
  <c r="F42" i="4"/>
  <c r="F661" i="4"/>
  <c r="F535" i="4"/>
  <c r="M1132" i="4"/>
  <c r="F198" i="4"/>
  <c r="F256" i="4"/>
  <c r="F265" i="4"/>
  <c r="F435" i="4"/>
  <c r="F657" i="4"/>
  <c r="F577" i="4"/>
  <c r="F52" i="4"/>
  <c r="F292" i="4"/>
  <c r="F229" i="4"/>
  <c r="F154" i="4"/>
  <c r="M546" i="4"/>
  <c r="F1341" i="4"/>
  <c r="M560" i="4"/>
  <c r="M494" i="4"/>
  <c r="F72" i="4"/>
  <c r="M41" i="4"/>
  <c r="M271" i="4"/>
  <c r="M367" i="4"/>
  <c r="M156" i="4"/>
  <c r="F1248" i="4"/>
  <c r="F849" i="4"/>
  <c r="F178" i="4"/>
  <c r="F99" i="4"/>
  <c r="F239" i="4"/>
  <c r="M283" i="4"/>
  <c r="M154" i="4"/>
  <c r="F251" i="4"/>
  <c r="F268" i="4"/>
  <c r="M288" i="4"/>
  <c r="F1529" i="4"/>
  <c r="F102" i="4"/>
  <c r="M194" i="4"/>
  <c r="M295" i="4"/>
  <c r="F202" i="4"/>
  <c r="F187" i="4"/>
  <c r="N1975" i="4"/>
  <c r="M511" i="4"/>
  <c r="M109" i="4"/>
  <c r="M123" i="4"/>
  <c r="F1120" i="4"/>
  <c r="F137" i="4"/>
  <c r="M370" i="4"/>
  <c r="M680" i="4"/>
  <c r="M121" i="4"/>
  <c r="M439" i="4"/>
  <c r="M30" i="4"/>
  <c r="F191" i="4"/>
  <c r="M143" i="4"/>
  <c r="F217" i="4"/>
  <c r="M1357" i="4"/>
  <c r="F1765" i="4"/>
  <c r="N3190" i="4"/>
  <c r="N2889" i="4"/>
  <c r="N3047" i="4"/>
  <c r="M768" i="4"/>
  <c r="F1707" i="4"/>
  <c r="M1754" i="4"/>
  <c r="M363" i="4"/>
  <c r="M223" i="4"/>
  <c r="F474" i="4"/>
  <c r="F341" i="4"/>
  <c r="F203" i="4"/>
  <c r="M438" i="4"/>
  <c r="M1002" i="4"/>
  <c r="F19" i="4"/>
  <c r="M16" i="4"/>
  <c r="M426" i="4"/>
  <c r="F281" i="4"/>
  <c r="M477" i="4"/>
  <c r="M327" i="4"/>
  <c r="F34" i="4"/>
  <c r="F211" i="4"/>
  <c r="M102" i="4"/>
  <c r="M44" i="4"/>
  <c r="M11" i="4"/>
  <c r="F1055" i="4"/>
  <c r="M440" i="4"/>
  <c r="F615" i="4"/>
  <c r="F90" i="4"/>
  <c r="F106" i="4"/>
  <c r="M185" i="4"/>
  <c r="F327" i="4"/>
  <c r="M23" i="4"/>
  <c r="F219" i="4"/>
  <c r="F626" i="4"/>
  <c r="M977" i="4"/>
  <c r="M380" i="4"/>
  <c r="F119" i="4"/>
  <c r="M53" i="4"/>
  <c r="F86" i="4"/>
  <c r="M298" i="4"/>
  <c r="M64" i="4"/>
  <c r="M22" i="4"/>
  <c r="M203" i="4"/>
  <c r="F978" i="4"/>
  <c r="F259" i="4"/>
  <c r="M232" i="4"/>
  <c r="F125" i="4"/>
  <c r="M1800" i="4"/>
  <c r="M34" i="4"/>
  <c r="M330" i="4"/>
  <c r="F446" i="4"/>
  <c r="M253" i="4"/>
  <c r="M208" i="4"/>
  <c r="F40" i="4"/>
  <c r="F294" i="4"/>
  <c r="M352" i="4"/>
  <c r="F744" i="4"/>
  <c r="F118" i="4"/>
  <c r="F133" i="4"/>
  <c r="M174" i="4"/>
  <c r="M468" i="4"/>
  <c r="M277" i="4"/>
  <c r="M296" i="4"/>
  <c r="M307" i="4"/>
  <c r="N178" i="4"/>
  <c r="N926" i="4"/>
  <c r="N1506" i="4"/>
  <c r="N1341" i="4"/>
  <c r="N692" i="4"/>
  <c r="N59" i="4"/>
  <c r="N281" i="4"/>
  <c r="N391" i="4"/>
  <c r="N1121" i="4"/>
  <c r="N758" i="4"/>
  <c r="N759" i="4"/>
  <c r="N982" i="4"/>
  <c r="N1002" i="4"/>
  <c r="N528" i="4"/>
  <c r="N1276" i="4"/>
  <c r="N829" i="4"/>
  <c r="N111" i="4"/>
  <c r="N536" i="4"/>
  <c r="N1636" i="4"/>
  <c r="N282" i="4"/>
  <c r="N1073" i="4"/>
  <c r="N1573" i="4"/>
  <c r="N1207" i="4"/>
  <c r="N1488" i="4"/>
  <c r="N1235" i="4"/>
  <c r="N1320" i="4"/>
  <c r="N1099" i="4"/>
  <c r="N571" i="4"/>
  <c r="N651" i="4"/>
  <c r="N137" i="4"/>
  <c r="N10" i="4"/>
  <c r="N499" i="4"/>
  <c r="N846" i="4"/>
  <c r="N212" i="4"/>
  <c r="N622" i="4"/>
  <c r="N1220" i="4"/>
  <c r="N125" i="4"/>
  <c r="N1514" i="4"/>
  <c r="N213" i="4"/>
  <c r="N493" i="4"/>
  <c r="N858" i="4"/>
  <c r="N1052" i="4"/>
  <c r="N1395" i="4"/>
  <c r="N939" i="4"/>
  <c r="N23" i="4"/>
  <c r="N1521" i="4"/>
  <c r="N1508" i="4"/>
  <c r="N532" i="4"/>
  <c r="N485" i="4"/>
  <c r="N1292" i="4"/>
  <c r="N776" i="4"/>
  <c r="N670" i="4"/>
  <c r="N1516" i="4"/>
  <c r="N1666" i="4"/>
  <c r="N1093" i="4"/>
  <c r="N836" i="4"/>
  <c r="N803" i="4"/>
  <c r="N615" i="4"/>
  <c r="N1299" i="4"/>
  <c r="N556" i="4"/>
  <c r="N162" i="4"/>
  <c r="N1647" i="4"/>
  <c r="N530" i="4"/>
  <c r="N1330" i="4"/>
  <c r="N1627" i="4"/>
  <c r="N1646" i="4"/>
  <c r="N854" i="4"/>
  <c r="N1309" i="4"/>
  <c r="N1117" i="4"/>
  <c r="N869" i="4"/>
  <c r="N541" i="4"/>
  <c r="N1371" i="4"/>
  <c r="N1694" i="4"/>
  <c r="N1626" i="4"/>
  <c r="N1123" i="4"/>
  <c r="N1597" i="4"/>
  <c r="N1209" i="4"/>
  <c r="N385" i="4"/>
  <c r="N1076" i="4"/>
  <c r="N145" i="4"/>
  <c r="N1135" i="4"/>
  <c r="N425" i="4"/>
  <c r="N1442" i="4"/>
  <c r="N1056" i="4"/>
  <c r="N1585" i="4"/>
  <c r="N623" i="4"/>
  <c r="N1166" i="4"/>
  <c r="N1648" i="4"/>
  <c r="N1517" i="4"/>
  <c r="N1482" i="4"/>
  <c r="N1464" i="4"/>
  <c r="N1448" i="4"/>
  <c r="N1475" i="4"/>
  <c r="N1091" i="4"/>
  <c r="N1360" i="4"/>
  <c r="N1571" i="4"/>
  <c r="N1443" i="4"/>
  <c r="N709" i="4"/>
  <c r="N1344" i="4"/>
  <c r="N908" i="4"/>
  <c r="N527" i="4"/>
  <c r="N1392" i="4"/>
  <c r="N1191" i="4"/>
  <c r="N312" i="4"/>
  <c r="N1007" i="4"/>
  <c r="N1184" i="4"/>
  <c r="N761" i="4"/>
  <c r="N762" i="4"/>
  <c r="N985" i="4"/>
  <c r="N1189" i="4"/>
  <c r="N521" i="4"/>
  <c r="N1274" i="4"/>
  <c r="N1369" i="4"/>
  <c r="N371" i="4"/>
  <c r="N1652" i="4"/>
  <c r="N268" i="4"/>
  <c r="N1087" i="4"/>
  <c r="N1575" i="4"/>
  <c r="N1234" i="4"/>
  <c r="N1241" i="4"/>
  <c r="N1317" i="4"/>
  <c r="N1074" i="4"/>
  <c r="N562" i="4"/>
  <c r="N644" i="4"/>
  <c r="N3" i="4"/>
  <c r="N490" i="4"/>
  <c r="N621" i="4"/>
  <c r="N863" i="4"/>
  <c r="N559" i="4"/>
  <c r="N24" i="4"/>
  <c r="N877" i="4"/>
  <c r="N221" i="4"/>
  <c r="N1322" i="4"/>
  <c r="N1080" i="4"/>
  <c r="N1427" i="4"/>
  <c r="N1665" i="4"/>
  <c r="N934" i="4"/>
  <c r="N792" i="4"/>
  <c r="N1526" i="4"/>
  <c r="N639" i="4"/>
  <c r="N495" i="4"/>
  <c r="N1286" i="4"/>
  <c r="N772" i="4"/>
  <c r="N664" i="4"/>
  <c r="N884" i="4"/>
  <c r="N1679" i="4"/>
  <c r="N1140" i="4"/>
  <c r="N1548" i="4"/>
  <c r="N794" i="4"/>
  <c r="N631" i="4"/>
  <c r="N552" i="4"/>
  <c r="N1026" i="4"/>
  <c r="N1562" i="4"/>
  <c r="N1167" i="4"/>
  <c r="N1559" i="4"/>
  <c r="N1019" i="4"/>
  <c r="N855" i="4"/>
  <c r="N1581" i="4"/>
  <c r="N191" i="4"/>
  <c r="N464" i="4"/>
  <c r="N82" i="4"/>
  <c r="N43" i="4"/>
  <c r="N1128" i="4"/>
  <c r="N457" i="4"/>
  <c r="N1069" i="4"/>
  <c r="N740" i="4"/>
  <c r="N46" i="4"/>
  <c r="N1653" i="4"/>
  <c r="N32" i="4"/>
  <c r="N1555" i="4"/>
  <c r="N1201" i="4"/>
  <c r="N87" i="4"/>
  <c r="N503" i="4"/>
  <c r="N1295" i="4"/>
  <c r="N1589" i="4"/>
  <c r="N1127" i="4"/>
  <c r="N875" i="4"/>
  <c r="N868" i="4"/>
  <c r="N56" i="4"/>
  <c r="N1606" i="4"/>
  <c r="N1509" i="4"/>
  <c r="N206" i="4"/>
  <c r="N1493" i="4"/>
  <c r="N1460" i="4"/>
  <c r="N1478" i="4"/>
  <c r="N1329" i="4"/>
  <c r="N1231" i="4"/>
  <c r="N1519" i="4"/>
  <c r="N211" i="4"/>
  <c r="N1094" i="4"/>
  <c r="N955" i="4"/>
  <c r="N184" i="4"/>
  <c r="N1390" i="4"/>
  <c r="N1068" i="4"/>
  <c r="N260" i="4"/>
  <c r="N1495" i="4"/>
  <c r="N1533" i="4"/>
  <c r="N852" i="4"/>
  <c r="N1685" i="4"/>
  <c r="N1561" i="4"/>
  <c r="N918" i="4"/>
  <c r="N94" i="4"/>
  <c r="N717" i="4"/>
  <c r="N714" i="4"/>
  <c r="N1429" i="4"/>
  <c r="N1498" i="4"/>
  <c r="N1388" i="4"/>
  <c r="N300" i="4"/>
  <c r="N374" i="4"/>
  <c r="N1107" i="4"/>
  <c r="N74" i="4"/>
  <c r="N292" i="4"/>
  <c r="N976" i="4"/>
  <c r="N989" i="4"/>
  <c r="N1197" i="4"/>
  <c r="N1697" i="4"/>
  <c r="N1271" i="4"/>
  <c r="N1527" i="4"/>
  <c r="N1357" i="4"/>
  <c r="N411" i="4"/>
  <c r="N1215" i="4"/>
  <c r="N1188" i="4"/>
  <c r="N1663" i="4"/>
  <c r="N967" i="4"/>
  <c r="N1617" i="4"/>
  <c r="N1054" i="4"/>
  <c r="N904" i="4"/>
  <c r="N1485" i="4"/>
  <c r="N1483" i="4"/>
  <c r="N1296" i="4"/>
  <c r="N1070" i="4"/>
  <c r="N567" i="4"/>
  <c r="N672" i="4"/>
  <c r="N132" i="4"/>
  <c r="N133" i="4"/>
  <c r="N34" i="4"/>
  <c r="N963" i="4"/>
  <c r="N861" i="4"/>
  <c r="N568" i="4"/>
  <c r="N1176" i="4"/>
  <c r="N67" i="4"/>
  <c r="N114" i="4"/>
  <c r="N57" i="4"/>
  <c r="N216" i="4"/>
  <c r="N76" i="4"/>
  <c r="N1071" i="4"/>
  <c r="N475" i="4"/>
  <c r="N1348" i="4"/>
  <c r="N935" i="4"/>
  <c r="N1532" i="4"/>
  <c r="N886" i="4"/>
  <c r="N273" i="4"/>
  <c r="N480" i="4"/>
  <c r="N751" i="4"/>
  <c r="N1287" i="4"/>
  <c r="N1281" i="4"/>
  <c r="N676" i="4"/>
  <c r="N667" i="4"/>
  <c r="N878" i="4"/>
  <c r="N1568" i="4"/>
  <c r="N1106" i="4"/>
  <c r="N822" i="4"/>
  <c r="N764" i="4"/>
  <c r="N593" i="4"/>
  <c r="N359" i="4"/>
  <c r="N1030" i="4"/>
  <c r="N1601" i="4"/>
  <c r="N142" i="4"/>
  <c r="N850" i="4"/>
  <c r="N1227" i="4"/>
  <c r="N1672" i="4"/>
  <c r="N167" i="4"/>
  <c r="N1595" i="4"/>
  <c r="N1120" i="4"/>
  <c r="N160" i="4"/>
  <c r="N1564" i="4"/>
  <c r="N305" i="4"/>
  <c r="N892" i="4"/>
  <c r="N595" i="4"/>
  <c r="N1024" i="4"/>
  <c r="N914" i="4"/>
  <c r="N1406" i="4"/>
  <c r="N1599" i="4"/>
  <c r="N1587" i="4"/>
  <c r="N92" i="4"/>
  <c r="N369" i="4"/>
  <c r="N1640" i="4"/>
  <c r="N1610" i="4"/>
  <c r="N1028" i="4"/>
  <c r="N970" i="4"/>
  <c r="N45" i="4"/>
  <c r="N1635" i="4"/>
  <c r="N1171" i="4"/>
  <c r="N458" i="4"/>
  <c r="N1181" i="4"/>
  <c r="N1454" i="4"/>
  <c r="N1226" i="4"/>
  <c r="N1312" i="4"/>
  <c r="N1240" i="4"/>
  <c r="N992" i="4"/>
  <c r="N1467" i="4"/>
  <c r="N1457" i="4"/>
  <c r="N1472" i="4"/>
  <c r="N1468" i="4"/>
  <c r="N1327" i="4"/>
  <c r="N1326" i="4"/>
  <c r="N1471" i="4"/>
  <c r="N1236" i="4"/>
  <c r="N476" i="4"/>
  <c r="N1603" i="4"/>
  <c r="N1450" i="4"/>
  <c r="N1447" i="4"/>
  <c r="N1486" i="4"/>
  <c r="N1001" i="4"/>
  <c r="N848" i="4"/>
  <c r="N80" i="4"/>
  <c r="N1598" i="4"/>
  <c r="N851" i="4"/>
  <c r="N943" i="4"/>
  <c r="N991" i="4"/>
  <c r="N570" i="4"/>
  <c r="N883" i="4"/>
  <c r="N525" i="4"/>
  <c r="N1294" i="4"/>
  <c r="N773" i="4"/>
  <c r="N1547" i="4"/>
  <c r="N550" i="4"/>
  <c r="N1097" i="4"/>
  <c r="N48" i="4"/>
  <c r="N945" i="4"/>
  <c r="N716" i="4"/>
  <c r="N711" i="4"/>
  <c r="N1384" i="4"/>
  <c r="N1695" i="4"/>
  <c r="N1437" i="4"/>
  <c r="N179" i="4"/>
  <c r="N321" i="4"/>
  <c r="N1005" i="4"/>
  <c r="N1634" i="4"/>
  <c r="N83" i="4"/>
  <c r="N271" i="4"/>
  <c r="N990" i="4"/>
  <c r="N974" i="4"/>
  <c r="N514" i="4"/>
  <c r="N1503" i="4"/>
  <c r="N901" i="4"/>
  <c r="N1512" i="4"/>
  <c r="N1415" i="4"/>
  <c r="N533" i="4"/>
  <c r="N1145" i="4"/>
  <c r="N1157" i="4"/>
  <c r="N1667" i="4"/>
  <c r="N973" i="4"/>
  <c r="N1569" i="4"/>
  <c r="N1082" i="4"/>
  <c r="N1243" i="4"/>
  <c r="N1487" i="4"/>
  <c r="N1462" i="4"/>
  <c r="N1303" i="4"/>
  <c r="N1098" i="4"/>
  <c r="N575" i="4"/>
  <c r="N117" i="4"/>
  <c r="N303" i="4"/>
  <c r="N957" i="4"/>
  <c r="N1565" i="4"/>
  <c r="N619" i="4"/>
  <c r="N816" i="4"/>
  <c r="N535" i="4"/>
  <c r="N69" i="4"/>
  <c r="N120" i="4"/>
  <c r="N885" i="4"/>
  <c r="N200" i="4"/>
  <c r="N1305" i="4"/>
  <c r="N1657" i="4"/>
  <c r="N938" i="4"/>
  <c r="N940" i="4"/>
  <c r="N909" i="4"/>
  <c r="N1530" i="4"/>
  <c r="N294" i="4"/>
  <c r="N1173" i="4"/>
  <c r="N748" i="4"/>
  <c r="N1284" i="4"/>
  <c r="N435" i="4"/>
  <c r="N684" i="4"/>
  <c r="N681" i="4"/>
  <c r="N501" i="4"/>
  <c r="N889" i="4"/>
  <c r="N1675" i="4"/>
  <c r="N1105" i="4"/>
  <c r="N849" i="4"/>
  <c r="N607" i="4"/>
  <c r="N1259" i="4"/>
  <c r="N381" i="4"/>
  <c r="N188" i="4"/>
  <c r="N902" i="4"/>
  <c r="N1690" i="4"/>
  <c r="N95" i="4"/>
  <c r="N187" i="4"/>
  <c r="N1411" i="4"/>
  <c r="N1155" i="4"/>
  <c r="N1044" i="4"/>
  <c r="N594" i="4"/>
  <c r="N1682" i="4"/>
  <c r="N1412" i="4"/>
  <c r="N625" i="4"/>
  <c r="N461" i="4"/>
  <c r="N1170" i="4"/>
  <c r="N146" i="4"/>
  <c r="N916" i="4"/>
  <c r="N894" i="4"/>
  <c r="N164" i="4"/>
  <c r="N959" i="4"/>
  <c r="N1593" i="4"/>
  <c r="N1313" i="4"/>
  <c r="N192" i="4"/>
  <c r="N1072" i="4"/>
  <c r="N1311" i="4"/>
  <c r="N870" i="4"/>
  <c r="N1433" i="4"/>
  <c r="N462" i="4"/>
  <c r="N1023" i="4"/>
  <c r="N1419" i="4"/>
  <c r="N1641" i="4"/>
  <c r="N1518" i="4"/>
  <c r="N1609" i="4"/>
  <c r="N266" i="4"/>
  <c r="N1579" i="4"/>
  <c r="N1484" i="4"/>
  <c r="N1605" i="4"/>
  <c r="N1491" i="4"/>
  <c r="N1452" i="4"/>
  <c r="N1304" i="4"/>
  <c r="N1492" i="4"/>
  <c r="N1043" i="4"/>
  <c r="N1318" i="4"/>
  <c r="N1459" i="4"/>
  <c r="N1481" i="4"/>
  <c r="N787" i="4"/>
  <c r="N333" i="4"/>
  <c r="N33" i="4"/>
  <c r="N585" i="4"/>
  <c r="N763" i="4"/>
  <c r="N656" i="4"/>
  <c r="N888" i="4"/>
  <c r="N788" i="4"/>
  <c r="N401" i="4"/>
  <c r="N387" i="4"/>
  <c r="N1150" i="4"/>
  <c r="N1476" i="4"/>
  <c r="N1232" i="4"/>
  <c r="N98" i="4"/>
  <c r="N718" i="4"/>
  <c r="N316" i="4"/>
  <c r="N1350" i="4"/>
  <c r="N695" i="4"/>
  <c r="N1061" i="4"/>
  <c r="N171" i="4"/>
  <c r="N398" i="4"/>
  <c r="N143" i="4"/>
  <c r="N78" i="4"/>
  <c r="N987" i="4"/>
  <c r="N1008" i="4"/>
  <c r="N1496" i="4"/>
  <c r="N75" i="4"/>
  <c r="N1252" i="4"/>
  <c r="N1165" i="4"/>
  <c r="N1524" i="4"/>
  <c r="N454" i="4"/>
  <c r="N1639" i="4"/>
  <c r="N1196" i="4"/>
  <c r="N77" i="4"/>
  <c r="N1578" i="4"/>
  <c r="N1479" i="4"/>
  <c r="N1494" i="4"/>
  <c r="N589" i="4"/>
  <c r="N1331" i="4"/>
  <c r="N1058" i="4"/>
  <c r="N572" i="4"/>
  <c r="N275" i="4"/>
  <c r="N488" i="4"/>
  <c r="N205" i="4"/>
  <c r="N628" i="4"/>
  <c r="N1148" i="4"/>
  <c r="N539" i="4"/>
  <c r="N68" i="4"/>
  <c r="N52" i="4"/>
  <c r="N479" i="4"/>
  <c r="N971" i="4"/>
  <c r="N414" i="4"/>
  <c r="N1379" i="4"/>
  <c r="N783" i="4"/>
  <c r="N455" i="4"/>
  <c r="N944" i="4"/>
  <c r="N1523" i="4"/>
  <c r="N269" i="4"/>
  <c r="N1204" i="4"/>
  <c r="N781" i="4"/>
  <c r="N1289" i="4"/>
  <c r="N429" i="4"/>
  <c r="N674" i="4"/>
  <c r="N652" i="4"/>
  <c r="N489" i="4"/>
  <c r="N887" i="4"/>
  <c r="N1567" i="4"/>
  <c r="N1177" i="4"/>
  <c r="N778" i="4"/>
  <c r="N1263" i="4"/>
  <c r="N349" i="4"/>
  <c r="N1219" i="4"/>
  <c r="N198" i="4"/>
  <c r="N163" i="4"/>
  <c r="N147" i="4"/>
  <c r="N1213" i="4"/>
  <c r="N81" i="4"/>
  <c r="N354" i="4"/>
  <c r="N1608" i="4"/>
  <c r="N1611" i="4"/>
  <c r="N151" i="4"/>
  <c r="N84" i="4"/>
  <c r="N1397" i="4"/>
  <c r="N1563" i="4"/>
  <c r="N505" i="4"/>
  <c r="N1432" i="4"/>
  <c r="N166" i="4"/>
  <c r="N893" i="4"/>
  <c r="N1618" i="4"/>
  <c r="N972" i="4"/>
  <c r="N1681" i="4"/>
  <c r="N1434" i="4"/>
  <c r="N1031" i="4"/>
  <c r="N637" i="4"/>
  <c r="N1139" i="4"/>
  <c r="N865" i="4"/>
  <c r="N1323" i="4"/>
  <c r="N604" i="4"/>
  <c r="N1310" i="4"/>
  <c r="N44" i="4"/>
  <c r="N1399" i="4"/>
  <c r="N279" i="4"/>
  <c r="N1416" i="4"/>
  <c r="N1591" i="4"/>
  <c r="N430" i="4"/>
  <c r="N847" i="4"/>
  <c r="N1541" i="4"/>
  <c r="N721" i="4"/>
  <c r="N1000" i="4"/>
  <c r="N1586" i="4"/>
  <c r="N515" i="4"/>
  <c r="N1025" i="4"/>
  <c r="N1643" i="4"/>
  <c r="N840" i="4"/>
  <c r="N90" i="4"/>
  <c r="N357" i="4"/>
  <c r="N715" i="4"/>
  <c r="N287" i="4"/>
  <c r="N1504" i="4"/>
  <c r="N1380" i="4"/>
  <c r="N688" i="4"/>
  <c r="N1057" i="4"/>
  <c r="N183" i="4"/>
  <c r="N1006" i="4"/>
  <c r="N36" i="4"/>
  <c r="N986" i="4"/>
  <c r="N975" i="4"/>
  <c r="N1502" i="4"/>
  <c r="N1251" i="4"/>
  <c r="N1270" i="4"/>
  <c r="N27" i="4"/>
  <c r="N824" i="4"/>
  <c r="N452" i="4"/>
  <c r="N543" i="4"/>
  <c r="N1644" i="4"/>
  <c r="N592" i="4"/>
  <c r="N950" i="4"/>
  <c r="N1580" i="4"/>
  <c r="N629" i="4"/>
  <c r="N1230" i="4"/>
  <c r="N1451" i="4"/>
  <c r="N586" i="4"/>
  <c r="N1316" i="4"/>
  <c r="N1077" i="4"/>
  <c r="N100" i="4"/>
  <c r="N130" i="4"/>
  <c r="N334" i="4"/>
  <c r="N329" i="4"/>
  <c r="N500" i="4"/>
  <c r="N1566" i="4"/>
  <c r="N473" i="4"/>
  <c r="N616" i="4"/>
  <c r="N25" i="4"/>
  <c r="N440" i="4"/>
  <c r="N66" i="4"/>
  <c r="N209" i="4"/>
  <c r="N1689" i="4"/>
  <c r="N1325" i="4"/>
  <c r="N72" i="4"/>
  <c r="N446" i="4"/>
  <c r="N1441" i="4"/>
  <c r="N1382" i="4"/>
  <c r="N936" i="4"/>
  <c r="N1515" i="4"/>
  <c r="N1172" i="4"/>
  <c r="N749" i="4"/>
  <c r="N1291" i="4"/>
  <c r="N427" i="4"/>
  <c r="N648" i="4"/>
  <c r="N1351" i="4"/>
  <c r="N509" i="4"/>
  <c r="N880" i="4"/>
  <c r="N833" i="4"/>
  <c r="N1137" i="4"/>
  <c r="N99" i="4"/>
  <c r="N1260" i="4"/>
  <c r="N345" i="4"/>
  <c r="N118" i="4"/>
  <c r="N1301" i="4"/>
  <c r="N742" i="4"/>
  <c r="N1179" i="4"/>
  <c r="N37" i="4"/>
  <c r="N1594" i="4"/>
  <c r="N1308" i="4"/>
  <c r="N554" i="4"/>
  <c r="N1600" i="4"/>
  <c r="N460" i="4"/>
  <c r="N626" i="4"/>
  <c r="N1022" i="4"/>
  <c r="N969" i="4"/>
  <c r="N1556" i="4"/>
  <c r="N1401" i="4"/>
  <c r="N1333" i="4"/>
  <c r="N165" i="4"/>
  <c r="N951" i="4"/>
  <c r="N1592" i="4"/>
  <c r="N463" i="4"/>
  <c r="N1535" i="4"/>
  <c r="N1439" i="4"/>
  <c r="N196" i="4"/>
  <c r="N948" i="4"/>
  <c r="N1630" i="4"/>
  <c r="N960" i="4"/>
  <c r="N1300" i="4"/>
  <c r="N1446" i="4"/>
  <c r="N1455" i="4"/>
  <c r="N1540" i="4"/>
  <c r="N265" i="4"/>
  <c r="N1078" i="4"/>
  <c r="N1233" i="4"/>
  <c r="N224" i="4"/>
  <c r="N755" i="4"/>
  <c r="N1282" i="4"/>
  <c r="N1473" i="4"/>
  <c r="N498" i="4"/>
  <c r="N372" i="4"/>
  <c r="N1265" i="4"/>
  <c r="N1075" i="4"/>
  <c r="N1398" i="4"/>
  <c r="N389" i="4"/>
  <c r="N1193" i="4"/>
  <c r="N915" i="4"/>
  <c r="N368" i="4"/>
  <c r="N745" i="4"/>
  <c r="N261" i="4"/>
  <c r="N383" i="4"/>
  <c r="N513" i="4"/>
  <c r="N1409" i="4"/>
  <c r="N694" i="4"/>
  <c r="N1062" i="4"/>
  <c r="N823" i="4"/>
  <c r="N810" i="4"/>
  <c r="N362" i="4"/>
  <c r="N1332" i="4"/>
  <c r="N977" i="4"/>
  <c r="N1290" i="4"/>
  <c r="N1692" i="4"/>
  <c r="N1275" i="4"/>
  <c r="N1277" i="4"/>
  <c r="N795" i="4"/>
  <c r="N540" i="4"/>
  <c r="N459" i="4"/>
  <c r="N956" i="4"/>
  <c r="N964" i="4"/>
  <c r="N1582" i="4"/>
  <c r="N578" i="4"/>
  <c r="N1224" i="4"/>
  <c r="N1237" i="4"/>
  <c r="N579" i="4"/>
  <c r="N1321" i="4"/>
  <c r="N101" i="4"/>
  <c r="N136" i="4"/>
  <c r="N29" i="4"/>
  <c r="N860" i="4"/>
  <c r="N612" i="4"/>
  <c r="N812" i="4"/>
  <c r="N466" i="4"/>
  <c r="N274" i="4"/>
  <c r="N113" i="4"/>
  <c r="N214" i="4"/>
  <c r="N1693" i="4"/>
  <c r="N1297" i="4"/>
  <c r="N346" i="4"/>
  <c r="N941" i="4"/>
  <c r="N1405" i="4"/>
  <c r="N767" i="4"/>
  <c r="N231" i="4"/>
  <c r="N937" i="4"/>
  <c r="N881" i="4"/>
  <c r="N542" i="4"/>
  <c r="N239" i="4"/>
  <c r="N1280" i="4"/>
  <c r="N432" i="4"/>
  <c r="N649" i="4"/>
  <c r="N516" i="4"/>
  <c r="N283" i="4"/>
  <c r="N876" i="4"/>
  <c r="N821" i="4"/>
  <c r="N1153" i="4"/>
  <c r="N102" i="4"/>
  <c r="N630" i="4"/>
  <c r="N874" i="4"/>
  <c r="N1616" i="4"/>
  <c r="N394" i="4"/>
  <c r="N386" i="4"/>
  <c r="N1152" i="4"/>
  <c r="N1021" i="4"/>
  <c r="N606" i="4"/>
  <c r="N97" i="4"/>
  <c r="N508" i="4"/>
  <c r="N1041" i="4"/>
  <c r="N1631" i="4"/>
  <c r="N952" i="4"/>
  <c r="N1015" i="4"/>
  <c r="N399" i="4"/>
  <c r="N73" i="4"/>
  <c r="N1216" i="4"/>
  <c r="N1045" i="4"/>
  <c r="N946" i="4"/>
  <c r="N1387" i="4"/>
  <c r="N190" i="4"/>
  <c r="N1229" i="4"/>
  <c r="N1063" i="4"/>
  <c r="N58" i="4"/>
  <c r="N105" i="4"/>
  <c r="N1417" i="4"/>
  <c r="N373" i="4"/>
  <c r="N557" i="4"/>
  <c r="N947" i="4"/>
  <c r="N1255" i="4"/>
  <c r="N393" i="4"/>
  <c r="N966" i="4"/>
  <c r="N1238" i="4"/>
  <c r="N1461" i="4"/>
  <c r="N1456" i="4"/>
  <c r="N1477" i="4"/>
  <c r="N1612" i="4"/>
  <c r="N197" i="4"/>
  <c r="N428" i="4"/>
  <c r="N1542" i="4"/>
  <c r="N161" i="4"/>
  <c r="N144" i="4"/>
  <c r="N1345" i="4"/>
  <c r="N1686" i="4"/>
  <c r="N693" i="4"/>
  <c r="N1116" i="4"/>
  <c r="N1340" i="4"/>
  <c r="N64" i="4"/>
  <c r="N1306" i="4"/>
  <c r="N558" i="4"/>
  <c r="N152" i="4"/>
  <c r="N1115" i="4"/>
  <c r="N632" i="4"/>
  <c r="N923" i="4"/>
  <c r="N89" i="4"/>
  <c r="N434" i="4"/>
  <c r="N348" i="4"/>
  <c r="N713" i="4"/>
  <c r="N319" i="4"/>
  <c r="N928" i="4"/>
  <c r="N403" i="4"/>
  <c r="N1497" i="4"/>
  <c r="N1425" i="4"/>
  <c r="N691" i="4"/>
  <c r="N1085" i="4"/>
  <c r="N169" i="4"/>
  <c r="N817" i="4"/>
  <c r="N1364" i="4"/>
  <c r="N1004" i="4"/>
  <c r="N424" i="4"/>
  <c r="N998" i="4"/>
  <c r="N983" i="4"/>
  <c r="N1288" i="4"/>
  <c r="N1507" i="4"/>
  <c r="N1278" i="4"/>
  <c r="N563" i="4"/>
  <c r="N1143" i="4"/>
  <c r="N449" i="4"/>
  <c r="N1557" i="4"/>
  <c r="N949" i="4"/>
  <c r="N343" i="4"/>
  <c r="N953" i="4"/>
  <c r="N1584" i="4"/>
  <c r="N573" i="4"/>
  <c r="N1453" i="4"/>
  <c r="N1225" i="4"/>
  <c r="N590" i="4"/>
  <c r="N577" i="4"/>
  <c r="N42" i="4"/>
  <c r="N119" i="4"/>
  <c r="N264" i="4"/>
  <c r="N1133" i="4"/>
  <c r="N496" i="4"/>
  <c r="N732" i="4"/>
  <c r="N576" i="4"/>
  <c r="N561" i="4"/>
  <c r="N388" i="4"/>
  <c r="N277" i="4"/>
  <c r="N220" i="4"/>
  <c r="N504" i="4"/>
  <c r="N366" i="4"/>
  <c r="N370" i="4"/>
  <c r="N784" i="4"/>
  <c r="N1393" i="4"/>
  <c r="N451" i="4"/>
  <c r="N225" i="4"/>
  <c r="N1650" i="4"/>
  <c r="N1534" i="4"/>
  <c r="N671" i="4"/>
  <c r="N782" i="4"/>
  <c r="N1293" i="4"/>
  <c r="N423" i="4"/>
  <c r="N660" i="4"/>
  <c r="N1402" i="4"/>
  <c r="N524" i="4"/>
  <c r="N286" i="4"/>
  <c r="N882" i="4"/>
  <c r="N830" i="4"/>
  <c r="N895" i="4"/>
  <c r="N837" i="4"/>
  <c r="N537" i="4"/>
  <c r="N1266" i="4"/>
  <c r="N1554" i="4"/>
  <c r="N618" i="4"/>
  <c r="N1536" i="4"/>
  <c r="N1596" i="4"/>
  <c r="N1654" i="4"/>
  <c r="N1018" i="4"/>
  <c r="N1659" i="4"/>
  <c r="N1040" i="4"/>
  <c r="N654" i="4"/>
  <c r="N555" i="4"/>
  <c r="N859" i="4"/>
  <c r="N363" i="4"/>
  <c r="N1431" i="4"/>
  <c r="N1131" i="4"/>
  <c r="N873" i="4"/>
  <c r="N1221" i="4"/>
  <c r="N551" i="4"/>
  <c r="N507" i="4"/>
  <c r="N1458" i="4"/>
  <c r="N1474" i="4"/>
  <c r="N1490" i="4"/>
  <c r="N1465" i="4"/>
  <c r="N1550" i="4"/>
  <c r="N1029" i="4"/>
  <c r="N1500" i="4"/>
  <c r="N1199" i="4"/>
  <c r="N1470" i="4"/>
  <c r="N1088" i="4"/>
  <c r="N1096" i="4"/>
  <c r="N1027" i="4"/>
  <c r="N1302" i="4"/>
  <c r="N21" i="4"/>
  <c r="N103" i="4"/>
  <c r="N720" i="4"/>
  <c r="N301" i="4"/>
  <c r="N417" i="4"/>
  <c r="N520" i="4"/>
  <c r="N1376" i="4"/>
  <c r="N689" i="4"/>
  <c r="N1048" i="4"/>
  <c r="N313" i="4"/>
  <c r="N1423" i="4"/>
  <c r="N351" i="4"/>
  <c r="N4" i="4"/>
  <c r="N426" i="4"/>
  <c r="N981" i="4"/>
  <c r="N988" i="4"/>
  <c r="N1505" i="4"/>
  <c r="N1273" i="4"/>
  <c r="N802" i="4"/>
  <c r="N418" i="4"/>
  <c r="N22" i="4"/>
  <c r="N1138" i="4"/>
  <c r="N439" i="4"/>
  <c r="N384" i="4"/>
  <c r="N961" i="4"/>
  <c r="N296" i="4"/>
  <c r="N1034" i="4"/>
  <c r="N70" i="4"/>
  <c r="N1247" i="4"/>
  <c r="N620" i="4"/>
  <c r="N1466" i="4"/>
  <c r="N1449" i="4"/>
  <c r="N587" i="4"/>
  <c r="N634" i="4"/>
  <c r="N39" i="4"/>
  <c r="N791" i="4"/>
  <c r="N107" i="4"/>
  <c r="N1365" i="4"/>
  <c r="N478" i="4"/>
  <c r="N733" i="4"/>
  <c r="N617" i="4"/>
  <c r="N566" i="4"/>
  <c r="N395" i="4"/>
  <c r="N243" i="4"/>
  <c r="N222" i="4"/>
  <c r="N519" i="4"/>
  <c r="N1314" i="4"/>
  <c r="N834" i="4"/>
  <c r="N1343" i="4"/>
  <c r="N768" i="4"/>
  <c r="N9" i="4"/>
  <c r="N1649" i="4"/>
  <c r="N1522" i="4"/>
  <c r="N642" i="4"/>
  <c r="N1628" i="4"/>
  <c r="N1218" i="4"/>
  <c r="N1279" i="4"/>
  <c r="N804" i="4"/>
  <c r="N679" i="4"/>
  <c r="N494" i="4"/>
  <c r="N344" i="4"/>
  <c r="N1208" i="4"/>
  <c r="N1035" i="4"/>
  <c r="N832" i="4"/>
  <c r="N1210" i="4"/>
  <c r="N547" i="4"/>
  <c r="N1307" i="4"/>
  <c r="N580" i="4"/>
  <c r="N1228" i="4"/>
  <c r="N1444" i="4"/>
  <c r="N1211" i="4"/>
  <c r="N862" i="4"/>
  <c r="N864" i="4"/>
  <c r="N743" i="4"/>
  <c r="N1545" i="4"/>
  <c r="N358" i="4"/>
  <c r="N1698" i="4"/>
  <c r="N1602" i="4"/>
  <c r="N47" i="4"/>
  <c r="N744" i="4"/>
  <c r="N1651" i="4"/>
  <c r="N400" i="4"/>
  <c r="N1607" i="4"/>
  <c r="N1046" i="4"/>
  <c r="N186" i="4"/>
  <c r="N194" i="4"/>
  <c r="N367" i="4"/>
  <c r="N1661" i="4"/>
  <c r="N549" i="4"/>
  <c r="N1583" i="4"/>
  <c r="N447" i="4"/>
  <c r="N1066" i="4"/>
  <c r="N193" i="4"/>
  <c r="N857" i="4"/>
  <c r="N867" i="4"/>
  <c r="N278" i="4"/>
  <c r="N1104" i="4"/>
  <c r="N1574" i="4"/>
  <c r="N49" i="4"/>
  <c r="N1272" i="4"/>
  <c r="N548" i="4"/>
  <c r="N1064" i="4"/>
  <c r="N627" i="4"/>
  <c r="N218" i="4"/>
  <c r="N1576" i="4"/>
  <c r="N1513" i="4"/>
  <c r="N1060" i="4"/>
  <c r="N1684" i="4"/>
  <c r="N61" i="4"/>
  <c r="N1510" i="4"/>
  <c r="N1203" i="4"/>
  <c r="N913" i="4"/>
  <c r="N85" i="4"/>
  <c r="N249" i="4"/>
  <c r="N719" i="4"/>
  <c r="N310" i="4"/>
  <c r="N405" i="4"/>
  <c r="N1691" i="4"/>
  <c r="N1372" i="4"/>
  <c r="N690" i="4"/>
  <c r="N53" i="4"/>
  <c r="N288" i="4"/>
  <c r="N1356" i="4"/>
  <c r="N409" i="4"/>
  <c r="N11" i="4"/>
  <c r="N436" i="4"/>
  <c r="N979" i="4"/>
  <c r="N984" i="4"/>
  <c r="N1501" i="4"/>
  <c r="N1253" i="4"/>
  <c r="N797" i="4"/>
  <c r="N122" i="4"/>
  <c r="N141" i="4"/>
  <c r="N1182" i="4"/>
  <c r="N442" i="4"/>
  <c r="N1656" i="4"/>
  <c r="N958" i="4"/>
  <c r="N285" i="4"/>
  <c r="N1081" i="4"/>
  <c r="N954" i="4"/>
  <c r="N1047" i="4"/>
  <c r="N1480" i="4"/>
  <c r="N1222" i="4"/>
  <c r="N588" i="4"/>
  <c r="N560" i="4"/>
  <c r="N522" i="4"/>
  <c r="N790" i="4"/>
  <c r="N123" i="4"/>
  <c r="N19" i="4"/>
  <c r="N735" i="4"/>
  <c r="N564" i="4"/>
  <c r="N574" i="4"/>
  <c r="N378" i="4"/>
  <c r="N605" i="4"/>
  <c r="N154" i="4"/>
  <c r="N215" i="4"/>
  <c r="N512" i="4"/>
  <c r="N962" i="4"/>
  <c r="N831" i="4"/>
  <c r="N1374" i="4"/>
  <c r="N471" i="4"/>
  <c r="N16" i="4"/>
  <c r="N1637" i="4"/>
  <c r="N1531" i="4"/>
  <c r="N1622" i="4"/>
  <c r="N1214" i="4"/>
  <c r="N774" i="4"/>
  <c r="N1283" i="4"/>
  <c r="N756" i="4"/>
  <c r="N682" i="4"/>
  <c r="N1349" i="4"/>
  <c r="N502" i="4"/>
  <c r="N330" i="4"/>
  <c r="N1132" i="4"/>
  <c r="N1100" i="4"/>
  <c r="N1546" i="4"/>
  <c r="N202" i="4"/>
  <c r="N1254" i="4"/>
  <c r="N1261" i="4"/>
  <c r="N553" i="4"/>
  <c r="N1017" i="4"/>
  <c r="N65" i="4"/>
  <c r="N1315" i="4"/>
  <c r="N1549" i="4"/>
  <c r="N903" i="4"/>
  <c r="N63" i="4"/>
  <c r="N5" i="4"/>
  <c r="N189" i="4"/>
  <c r="N1588" i="4"/>
  <c r="N905" i="4"/>
  <c r="N1537" i="4"/>
  <c r="N1572" i="4"/>
  <c r="N614" i="4"/>
  <c r="N906" i="4"/>
  <c r="N1445" i="4"/>
  <c r="N897" i="4"/>
  <c r="N1346" i="4"/>
  <c r="N185" i="4"/>
  <c r="N871" i="4"/>
  <c r="N1319" i="4"/>
  <c r="N1223" i="4"/>
  <c r="N50" i="4"/>
  <c r="N1642" i="4"/>
  <c r="N71" i="4"/>
  <c r="N1511" i="4"/>
  <c r="N1162" i="4"/>
  <c r="N760" i="4"/>
  <c r="N1324" i="4"/>
  <c r="N138" i="4"/>
  <c r="N465" i="4"/>
  <c r="N365" i="4"/>
  <c r="N1674" i="4"/>
  <c r="N437" i="4"/>
  <c r="N1577" i="4"/>
  <c r="N924" i="4"/>
  <c r="N230" i="4"/>
  <c r="N710" i="4"/>
  <c r="N320" i="4"/>
  <c r="N1499" i="4"/>
  <c r="N420" i="4"/>
  <c r="N1377" i="4"/>
  <c r="N687" i="4"/>
  <c r="N55" i="4"/>
  <c r="N309" i="4"/>
  <c r="N1418" i="4"/>
  <c r="N1003" i="4"/>
  <c r="N1144" i="4"/>
  <c r="N754" i="4"/>
  <c r="N995" i="4"/>
  <c r="N980" i="4"/>
  <c r="N978" i="4"/>
  <c r="N1696" i="4"/>
  <c r="N1269" i="4"/>
  <c r="N796" i="4"/>
  <c r="N1149" i="4"/>
  <c r="N1212" i="4"/>
  <c r="N421" i="4"/>
  <c r="N379" i="4"/>
  <c r="N1147" i="4"/>
  <c r="N328" i="4"/>
  <c r="N1053" i="4"/>
  <c r="N1489" i="4"/>
  <c r="N1463" i="4"/>
  <c r="N583" i="4"/>
  <c r="N1055" i="4"/>
  <c r="N565" i="4"/>
  <c r="N529" i="4"/>
  <c r="N805" i="4"/>
  <c r="N1352" i="4"/>
  <c r="N510" i="4"/>
  <c r="N1544" i="4"/>
  <c r="N866" i="4"/>
  <c r="N611" i="4"/>
  <c r="N633" i="4"/>
  <c r="N407" i="4"/>
  <c r="N602" i="4"/>
  <c r="N820" i="4"/>
  <c r="N219" i="4"/>
  <c r="N506" i="4"/>
  <c r="N872" i="4"/>
  <c r="N1033" i="4"/>
  <c r="N775" i="4"/>
  <c r="N445" i="4"/>
  <c r="N1538" i="4"/>
  <c r="N1529" i="4"/>
  <c r="N546" i="4"/>
  <c r="N1638" i="4"/>
  <c r="N1438" i="4"/>
  <c r="N1285" i="4"/>
  <c r="N793" i="4"/>
  <c r="N638" i="4"/>
  <c r="N416" i="4"/>
  <c r="N839" i="4"/>
  <c r="N1161" i="4"/>
  <c r="N1039" i="4"/>
  <c r="N1160" i="4"/>
  <c r="N835" i="4"/>
  <c r="N210" i="4"/>
  <c r="N62" i="4"/>
  <c r="N443" i="4"/>
  <c r="N1244" i="4"/>
  <c r="N1328" i="4"/>
  <c r="N613" i="4"/>
  <c r="N1623" i="4"/>
  <c r="N408" i="4"/>
  <c r="N1111" i="4"/>
  <c r="N741" i="4"/>
  <c r="N1655" i="4"/>
  <c r="N1604" i="4"/>
  <c r="N599" i="4"/>
  <c r="N18" i="4"/>
  <c r="N1539" i="4"/>
  <c r="N1020" i="4"/>
  <c r="N1570" i="4"/>
  <c r="N195" i="4"/>
  <c r="N433" i="4"/>
  <c r="N54" i="4"/>
  <c r="N1590" i="4"/>
  <c r="N853" i="4"/>
  <c r="N199" i="4"/>
  <c r="N1016" i="4"/>
  <c r="N1113" i="4"/>
  <c r="N910" i="4"/>
  <c r="N1103" i="4"/>
  <c r="N404" i="4"/>
  <c r="N1163" i="4"/>
  <c r="N1049" i="4"/>
  <c r="N569" i="4"/>
  <c r="N1408" i="4"/>
  <c r="N1246" i="4"/>
  <c r="N96" i="4"/>
  <c r="N1683" i="4"/>
  <c r="N1625" i="4"/>
  <c r="N1239" i="4"/>
  <c r="N1469" i="4"/>
  <c r="N609" i="4"/>
  <c r="N1158" i="4" l="1"/>
  <c r="N246" i="4"/>
  <c r="N28" i="4"/>
  <c r="N135" i="4"/>
  <c r="N1032" i="4"/>
  <c r="N838" i="4"/>
  <c r="N203" i="4"/>
  <c r="N1206" i="4"/>
  <c r="N534" i="4"/>
  <c r="N484" i="4"/>
  <c r="N933" i="4"/>
  <c r="N1267" i="4"/>
  <c r="N1414" i="4"/>
  <c r="N785" i="4"/>
  <c r="N523" i="4"/>
  <c r="N814" i="4"/>
  <c r="N468" i="4"/>
  <c r="N1142" i="4"/>
  <c r="N158" i="4"/>
  <c r="N1262" i="4"/>
  <c r="N750" i="4"/>
  <c r="N35" i="4"/>
  <c r="N6" i="4"/>
  <c r="N635" i="4"/>
  <c r="N825" i="4"/>
  <c r="N149" i="4"/>
  <c r="N128" i="4"/>
  <c r="N153" i="4"/>
  <c r="N1175" i="4"/>
  <c r="N20" i="4"/>
  <c r="N469" i="4"/>
  <c r="N148" i="4"/>
  <c r="N109" i="4"/>
  <c r="N106" i="4"/>
  <c r="N259" i="4"/>
  <c r="N487" i="4"/>
  <c r="N356" i="4"/>
  <c r="N1250" i="4"/>
  <c r="N402" i="4"/>
  <c r="N134" i="4"/>
  <c r="N170" i="4"/>
  <c r="N1528" i="4"/>
  <c r="N942" i="4"/>
  <c r="N879" i="4"/>
  <c r="N1067" i="4"/>
  <c r="N997" i="4"/>
  <c r="N7" i="4"/>
  <c r="N127" i="4"/>
  <c r="N930" i="4"/>
  <c r="N234" i="4"/>
  <c r="N139" i="4"/>
  <c r="N31" i="4"/>
  <c r="N13" i="4"/>
  <c r="N517" i="4"/>
  <c r="N1108" i="4"/>
  <c r="N182" i="4"/>
  <c r="N342" i="4"/>
  <c r="N1525" i="4"/>
  <c r="N177" i="4"/>
  <c r="N325" i="4"/>
  <c r="N131" i="4"/>
  <c r="N994" i="4"/>
  <c r="N14" i="4"/>
  <c r="N1268" i="4"/>
  <c r="N382" i="4"/>
  <c r="N1245" i="4"/>
  <c r="N360" i="4"/>
  <c r="N770" i="4"/>
  <c r="N112" i="4"/>
  <c r="N159" i="4"/>
  <c r="N1187" i="4"/>
  <c r="N8" i="4"/>
  <c r="N293" i="4"/>
  <c r="N1136" i="4"/>
  <c r="N917" i="4"/>
  <c r="N925" i="4"/>
  <c r="N1126" i="4"/>
  <c r="N1118" i="4"/>
  <c r="N1110" i="4"/>
  <c r="N907" i="4"/>
  <c r="N1183" i="4"/>
  <c r="N920" i="4"/>
  <c r="N921" i="4"/>
  <c r="N922" i="4"/>
  <c r="N1202" i="4"/>
  <c r="N919" i="4"/>
  <c r="N927" i="4"/>
  <c r="N1114" i="4"/>
  <c r="N1141" i="4"/>
  <c r="N175" i="4"/>
  <c r="N1361" i="4"/>
  <c r="N608" i="4"/>
  <c r="N1092" i="4"/>
  <c r="N702" i="4"/>
  <c r="N481" i="4"/>
  <c r="N444" i="4"/>
  <c r="N771" i="4"/>
  <c r="N1009" i="4"/>
  <c r="N1174" i="4"/>
  <c r="N844" i="4"/>
  <c r="N226" i="4"/>
  <c r="N140" i="4"/>
  <c r="N1217" i="4"/>
  <c r="N474" i="4"/>
  <c r="N263" i="4"/>
  <c r="N1440" i="4"/>
  <c r="N636" i="4"/>
  <c r="N818" i="4"/>
  <c r="N1051" i="4"/>
  <c r="N700" i="4"/>
  <c r="N929" i="4"/>
  <c r="N467" i="4"/>
  <c r="N809" i="4"/>
  <c r="N1112" i="4"/>
  <c r="N912" i="4"/>
  <c r="N396" i="4"/>
  <c r="N470" i="4"/>
  <c r="N685" i="4"/>
  <c r="N377" i="4"/>
  <c r="N438" i="4"/>
  <c r="N124" i="4"/>
  <c r="N931" i="4"/>
  <c r="N1339" i="4"/>
  <c r="N1257" i="4"/>
  <c r="N856" i="4"/>
  <c r="N180" i="4"/>
  <c r="N304" i="4"/>
  <c r="N736" i="4"/>
  <c r="N806" i="4"/>
  <c r="N26" i="4"/>
  <c r="N413" i="4"/>
  <c r="N41" i="4"/>
  <c r="N801" i="4"/>
  <c r="N1151" i="4"/>
  <c r="N1668" i="4"/>
  <c r="N1621" i="4"/>
  <c r="N1658" i="4"/>
  <c r="N1428" i="4"/>
  <c r="N1383" i="4"/>
  <c r="N658" i="4"/>
  <c r="N680" i="4"/>
  <c r="N663" i="4"/>
  <c r="N675" i="4"/>
  <c r="N173" i="4"/>
  <c r="N174" i="4"/>
  <c r="N891" i="4"/>
  <c r="N1338" i="4"/>
  <c r="N1422" i="4"/>
  <c r="N1435" i="4"/>
  <c r="N1354" i="4"/>
  <c r="N668" i="4"/>
  <c r="N645" i="4"/>
  <c r="N662" i="4"/>
  <c r="N657" i="4"/>
  <c r="N659" i="4"/>
  <c r="N665" i="4"/>
  <c r="N683" i="4"/>
  <c r="N641" i="4"/>
  <c r="N661" i="4"/>
  <c r="N677" i="4"/>
  <c r="N453" i="4"/>
  <c r="N1400" i="4"/>
  <c r="N1410" i="4"/>
  <c r="N441" i="4"/>
  <c r="N1375" i="4"/>
  <c r="N448" i="4"/>
  <c r="N1378" i="4"/>
  <c r="N746" i="4"/>
  <c r="N1404" i="4"/>
  <c r="N747" i="4"/>
  <c r="N322" i="4"/>
  <c r="N314" i="4"/>
  <c r="N306" i="4"/>
  <c r="N376" i="4"/>
  <c r="N706" i="4"/>
  <c r="N708" i="4"/>
  <c r="N704" i="4"/>
  <c r="N1154" i="4"/>
  <c r="N1192" i="4"/>
  <c r="N255" i="4"/>
  <c r="N236" i="4"/>
  <c r="N227" i="4"/>
  <c r="N251" i="4"/>
  <c r="N110" i="4"/>
  <c r="N116" i="4"/>
  <c r="N60" i="4"/>
  <c r="N727" i="4"/>
  <c r="N724" i="4"/>
  <c r="N845" i="4"/>
  <c r="N841" i="4"/>
  <c r="N968" i="4"/>
  <c r="N965" i="4"/>
  <c r="N419" i="4"/>
  <c r="N1389" i="4"/>
  <c r="N289" i="4"/>
  <c r="N653" i="4"/>
  <c r="N753" i="4"/>
  <c r="N729" i="4"/>
  <c r="N204" i="4"/>
  <c r="N339" i="4"/>
  <c r="N337" i="4"/>
  <c r="N819" i="4"/>
  <c r="N1436" i="4"/>
  <c r="N1403" i="4"/>
  <c r="N1396" i="4"/>
  <c r="N738" i="4"/>
  <c r="N737" i="4"/>
  <c r="N1430" i="4"/>
  <c r="N91" i="4"/>
  <c r="N86" i="4"/>
  <c r="N786" i="4"/>
  <c r="N789" i="4"/>
  <c r="N798" i="4"/>
  <c r="N757" i="4"/>
  <c r="N1664" i="4"/>
  <c r="N1624" i="4"/>
  <c r="N799" i="4"/>
  <c r="N284" i="4"/>
  <c r="N1083" i="4"/>
  <c r="N338" i="4"/>
  <c r="N1042" i="4"/>
  <c r="N272" i="4"/>
  <c r="N298" i="4"/>
  <c r="N340" i="4"/>
  <c r="N361" i="4"/>
  <c r="N696" i="4"/>
  <c r="N375" i="4"/>
  <c r="N697" i="4"/>
  <c r="N701" i="4"/>
  <c r="N703" i="4"/>
  <c r="N698" i="4"/>
  <c r="N410" i="4"/>
  <c r="N482" i="4"/>
  <c r="N497" i="4"/>
  <c r="N1198" i="4"/>
  <c r="N492" i="4"/>
  <c r="N526" i="4"/>
  <c r="N511" i="4"/>
  <c r="N518" i="4"/>
  <c r="N1688" i="4"/>
  <c r="N899" i="4"/>
  <c r="N1258" i="4"/>
  <c r="N242" i="4"/>
  <c r="N244" i="4"/>
  <c r="N240" i="4"/>
  <c r="N336" i="4"/>
  <c r="N270" i="4"/>
  <c r="N295" i="4"/>
  <c r="N491" i="4"/>
  <c r="N1334" i="4"/>
  <c r="N811" i="4"/>
  <c r="N800" i="4"/>
  <c r="N813" i="4"/>
  <c r="N1362" i="4"/>
  <c r="N1358" i="4"/>
  <c r="N315" i="4"/>
  <c r="N1421" i="4"/>
  <c r="N1367" i="4"/>
  <c r="N238" i="4"/>
  <c r="N538" i="4"/>
  <c r="N1190" i="4"/>
  <c r="N722" i="4"/>
  <c r="N1124" i="4"/>
  <c r="N673" i="4"/>
  <c r="N646" i="4"/>
  <c r="N262" i="4"/>
  <c r="N1079" i="4"/>
  <c r="N335" i="4"/>
  <c r="N1368" i="4"/>
  <c r="N353" i="4"/>
  <c r="N223" i="4"/>
  <c r="N581" i="4"/>
  <c r="N1391" i="4"/>
  <c r="N245" i="4"/>
  <c r="N655" i="4"/>
  <c r="N1394" i="4"/>
  <c r="N643" i="4"/>
  <c r="N1373" i="4"/>
  <c r="N1036" i="4"/>
  <c r="N1353" i="4"/>
  <c r="N331" i="4"/>
  <c r="N307" i="4"/>
  <c r="N1347" i="4"/>
  <c r="N15" i="4"/>
  <c r="N241" i="4"/>
  <c r="N291" i="4"/>
  <c r="N725" i="4"/>
  <c r="N176" i="4"/>
  <c r="N726" i="4"/>
  <c r="N38" i="4"/>
  <c r="N477" i="4"/>
  <c r="N1386" i="4"/>
  <c r="N1671" i="4"/>
  <c r="N217" i="4"/>
  <c r="N900" i="4"/>
  <c r="N728" i="4"/>
  <c r="N390" i="4"/>
  <c r="N332" i="4"/>
  <c r="N723" i="4"/>
  <c r="N450" i="4"/>
  <c r="N1363" i="4"/>
  <c r="N666" i="4"/>
  <c r="N150" i="4"/>
  <c r="N155" i="4"/>
  <c r="N596" i="4"/>
  <c r="N610" i="4"/>
  <c r="N603" i="4"/>
  <c r="N598" i="4"/>
  <c r="N1013" i="4"/>
  <c r="N1014" i="4"/>
  <c r="N827" i="4"/>
  <c r="N1337" i="4"/>
  <c r="N828" i="4"/>
  <c r="N1335" i="4"/>
  <c r="N317" i="4"/>
  <c r="N1615" i="4"/>
  <c r="N299" i="4"/>
  <c r="N323" i="4"/>
  <c r="N308" i="4"/>
  <c r="N1662" i="4"/>
  <c r="N1673" i="4"/>
  <c r="N1669" i="4"/>
  <c r="N1677" i="4"/>
  <c r="N1660" i="4"/>
  <c r="N237" i="4"/>
  <c r="N257" i="4"/>
  <c r="N232" i="4"/>
  <c r="N1037" i="4"/>
  <c r="N1084" i="4"/>
  <c r="N1059" i="4"/>
  <c r="N1086" i="4"/>
  <c r="N1090" i="4"/>
  <c r="N1050" i="4"/>
  <c r="N779" i="4"/>
  <c r="N777" i="4"/>
  <c r="N765" i="4"/>
  <c r="N1169" i="4"/>
  <c r="N1180" i="4"/>
  <c r="N1125" i="4"/>
  <c r="N1168" i="4"/>
  <c r="N1109" i="4"/>
  <c r="N1119" i="4"/>
  <c r="N1129" i="4"/>
  <c r="N1164" i="4"/>
  <c r="N1185" i="4"/>
  <c r="N842" i="4"/>
  <c r="N1122" i="4"/>
  <c r="N1366" i="4"/>
  <c r="N544" i="4"/>
  <c r="N1194" i="4"/>
  <c r="N1186" i="4"/>
  <c r="N1629" i="4"/>
  <c r="N1038" i="4"/>
  <c r="N254" i="4"/>
  <c r="N1130" i="4"/>
  <c r="N233" i="4"/>
  <c r="N669" i="4"/>
  <c r="N1342" i="4"/>
  <c r="N640" i="4"/>
  <c r="N531" i="4"/>
  <c r="N324" i="4"/>
  <c r="N843" i="4"/>
  <c r="N1619" i="4"/>
  <c r="N1407" i="4"/>
  <c r="N229" i="4"/>
  <c r="N1560" i="4"/>
  <c r="N121" i="4"/>
  <c r="N1385" i="4"/>
  <c r="N412" i="4"/>
  <c r="N705" i="4"/>
  <c r="N247" i="4"/>
  <c r="N699" i="4"/>
  <c r="N256" i="4"/>
  <c r="N1614" i="4"/>
  <c r="N545" i="4"/>
  <c r="N157" i="4"/>
  <c r="N290" i="4"/>
  <c r="N248" i="4"/>
  <c r="N678" i="4"/>
  <c r="N1065" i="4"/>
  <c r="N730" i="4"/>
  <c r="N1381" i="4"/>
  <c r="N397" i="4"/>
  <c r="N591" i="4"/>
  <c r="N731" i="4"/>
  <c r="N707" i="4"/>
  <c r="N1552" i="4"/>
  <c r="N647" i="4"/>
  <c r="N235" i="4"/>
  <c r="N392" i="4"/>
  <c r="N1553" i="4"/>
  <c r="N258" i="4"/>
  <c r="N93" i="4"/>
  <c r="N280" i="4"/>
  <c r="N115" i="4"/>
  <c r="N1146" i="4"/>
  <c r="N297" i="4"/>
  <c r="N311" i="4"/>
  <c r="N1645" i="4"/>
  <c r="N1011" i="4"/>
  <c r="N1256" i="4"/>
  <c r="N267" i="4"/>
  <c r="N1012" i="4"/>
  <c r="N156" i="4"/>
  <c r="N1424" i="4"/>
  <c r="N181" i="4"/>
  <c r="N318" i="4"/>
  <c r="N896" i="4"/>
  <c r="N104" i="4"/>
</calcChain>
</file>

<file path=xl/sharedStrings.xml><?xml version="1.0" encoding="utf-8"?>
<sst xmlns="http://schemas.openxmlformats.org/spreadsheetml/2006/main" count="61194" uniqueCount="5952">
  <si>
    <t>Dirección</t>
  </si>
  <si>
    <t>Servicio</t>
  </si>
  <si>
    <t>Empresa</t>
  </si>
  <si>
    <t>Rol</t>
  </si>
  <si>
    <t>Tecnología</t>
  </si>
  <si>
    <t>Domain Sponsor</t>
  </si>
  <si>
    <t>End User</t>
  </si>
  <si>
    <t>CFS</t>
  </si>
  <si>
    <t>Finanzas</t>
  </si>
  <si>
    <t>Accenture</t>
  </si>
  <si>
    <t>Externo</t>
  </si>
  <si>
    <t>Tech Manager/Líder</t>
  </si>
  <si>
    <t>APX</t>
  </si>
  <si>
    <t>SDATOOL-40671</t>
  </si>
  <si>
    <t>AUD</t>
  </si>
  <si>
    <t>Other / Colleagues</t>
  </si>
  <si>
    <t>Riesgos</t>
  </si>
  <si>
    <t>ADENZA</t>
  </si>
  <si>
    <t>Desarrollador</t>
  </si>
  <si>
    <t>ASO</t>
  </si>
  <si>
    <t>SDATOOL-40670</t>
  </si>
  <si>
    <t>CIB</t>
  </si>
  <si>
    <t>Commercial clients</t>
  </si>
  <si>
    <t>Cumplimiento &amp; Auditoría</t>
  </si>
  <si>
    <t>Alcuadrado</t>
  </si>
  <si>
    <t>QA</t>
  </si>
  <si>
    <t>Cells</t>
  </si>
  <si>
    <t>SDATOOL-39842</t>
  </si>
  <si>
    <t>CS</t>
  </si>
  <si>
    <t>Retail</t>
  </si>
  <si>
    <t>T&amp;C</t>
  </si>
  <si>
    <t>Basewarnet</t>
  </si>
  <si>
    <t>Otros</t>
  </si>
  <si>
    <t>Data Servi.</t>
  </si>
  <si>
    <t>SDATOOL-37121</t>
  </si>
  <si>
    <t>CS RED</t>
  </si>
  <si>
    <t>Cross-segment (Enterprise &amp; Retail)</t>
  </si>
  <si>
    <t>CIB &amp; COMEX - FIDUCIARIA</t>
  </si>
  <si>
    <t>Global Market &amp; Comex</t>
  </si>
  <si>
    <t>BBVA</t>
  </si>
  <si>
    <t>Interno</t>
  </si>
  <si>
    <t>Distribuido</t>
  </si>
  <si>
    <t>SDATOOL-36508</t>
  </si>
  <si>
    <t>ENG</t>
  </si>
  <si>
    <t>Big Corps (CIB)</t>
  </si>
  <si>
    <t>Backoffice</t>
  </si>
  <si>
    <t>BBVA Seguros</t>
  </si>
  <si>
    <t>Subsidiaria</t>
  </si>
  <si>
    <t>Google CP</t>
  </si>
  <si>
    <t>SDATOOL-40690</t>
  </si>
  <si>
    <t>FIN</t>
  </si>
  <si>
    <t>SMEs</t>
  </si>
  <si>
    <t>Fiduciaria</t>
  </si>
  <si>
    <t>BBVA Fiduciaria</t>
  </si>
  <si>
    <t>LRBA</t>
  </si>
  <si>
    <t>SDATOOL-39951</t>
  </si>
  <si>
    <t>GRM</t>
  </si>
  <si>
    <t>Private Banking &amp; Affluent</t>
  </si>
  <si>
    <t>VALORES</t>
  </si>
  <si>
    <t>Valores</t>
  </si>
  <si>
    <t>BBVA Valores</t>
  </si>
  <si>
    <t>Mainframe</t>
  </si>
  <si>
    <t>SDATOOL-37100</t>
  </si>
  <si>
    <t>RES</t>
  </si>
  <si>
    <t>RETAIL</t>
  </si>
  <si>
    <t>Canales asistidos ATM</t>
  </si>
  <si>
    <t>BLUETAB</t>
  </si>
  <si>
    <t>Openweb</t>
  </si>
  <si>
    <t>SDATOOL-33265</t>
  </si>
  <si>
    <t>RIC</t>
  </si>
  <si>
    <t>Canales asistidos CB</t>
  </si>
  <si>
    <t>Bluzard</t>
  </si>
  <si>
    <t>Otras Tec.</t>
  </si>
  <si>
    <t>SDATOOL-37134</t>
  </si>
  <si>
    <t>Canales asistidos RPA</t>
  </si>
  <si>
    <t>BT Systems</t>
  </si>
  <si>
    <t>SaaS</t>
  </si>
  <si>
    <t>SDATOOL-36560</t>
  </si>
  <si>
    <t>Canales asistidos Call Center / Gest. remota</t>
  </si>
  <si>
    <t>CAPGEMINI</t>
  </si>
  <si>
    <t>Salesforce</t>
  </si>
  <si>
    <t>SDATOOL-38742</t>
  </si>
  <si>
    <t>Móvil</t>
  </si>
  <si>
    <t>Choucair</t>
  </si>
  <si>
    <t>Security</t>
  </si>
  <si>
    <t>SDATOOL-38757</t>
  </si>
  <si>
    <t>Net</t>
  </si>
  <si>
    <t>GGI / CMC</t>
  </si>
  <si>
    <t>SDATOOL-38428</t>
  </si>
  <si>
    <t>Oficina</t>
  </si>
  <si>
    <t>DBSOFT</t>
  </si>
  <si>
    <t>SDATOOL-39897</t>
  </si>
  <si>
    <t>Open Market</t>
  </si>
  <si>
    <t>DIMENSION</t>
  </si>
  <si>
    <t>SDATOOL-40555</t>
  </si>
  <si>
    <t>CRM</t>
  </si>
  <si>
    <t>EPIUSE</t>
  </si>
  <si>
    <t>SDATOOL-39358</t>
  </si>
  <si>
    <t>ENTERPRISE</t>
  </si>
  <si>
    <t>Transaccionalidad</t>
  </si>
  <si>
    <t>Globant</t>
  </si>
  <si>
    <t>SDATOOL-37061</t>
  </si>
  <si>
    <t>Soluciones financieras (Leasing)</t>
  </si>
  <si>
    <t>Heinsohn</t>
  </si>
  <si>
    <t>SDATOOL-32905</t>
  </si>
  <si>
    <t>Soluciones financieras (Factoring)</t>
  </si>
  <si>
    <t>Indra</t>
  </si>
  <si>
    <t>Netcash</t>
  </si>
  <si>
    <t>Inetum</t>
  </si>
  <si>
    <t>SDATOOL-39354</t>
  </si>
  <si>
    <t>Gema</t>
  </si>
  <si>
    <t>JARZSOFT</t>
  </si>
  <si>
    <t>SDATOOL-39353</t>
  </si>
  <si>
    <t>Senda</t>
  </si>
  <si>
    <t>KRYPTO</t>
  </si>
  <si>
    <t>CORE</t>
  </si>
  <si>
    <t>Loans</t>
  </si>
  <si>
    <t>Makers</t>
  </si>
  <si>
    <t>SDATOOL-35656</t>
  </si>
  <si>
    <t>Accounts</t>
  </si>
  <si>
    <t>Meraki</t>
  </si>
  <si>
    <t>SDATOOL-42211</t>
  </si>
  <si>
    <t>Payments</t>
  </si>
  <si>
    <t>MS</t>
  </si>
  <si>
    <t>SDATOOL-37169</t>
  </si>
  <si>
    <t>Cross/Gestor documental y SSDD</t>
  </si>
  <si>
    <t>Neoris</t>
  </si>
  <si>
    <t>SDATOOL-38770</t>
  </si>
  <si>
    <t>Cross/Ventas asistidas CAP</t>
  </si>
  <si>
    <t>Novatec</t>
  </si>
  <si>
    <t>SDATOOL-37129</t>
  </si>
  <si>
    <t>Cross/BPM</t>
  </si>
  <si>
    <t>Oswit</t>
  </si>
  <si>
    <t>SDATOOL-40528</t>
  </si>
  <si>
    <t>Cross/Personas y Arq. Host</t>
  </si>
  <si>
    <t>SII</t>
  </si>
  <si>
    <t>SEGUROS</t>
  </si>
  <si>
    <t>Seguros</t>
  </si>
  <si>
    <t>Tecnoevolución</t>
  </si>
  <si>
    <t>TRYCORE</t>
  </si>
  <si>
    <t>SDATOOL-36534</t>
  </si>
  <si>
    <t>VASS</t>
  </si>
  <si>
    <t>SDATOOL-36740</t>
  </si>
  <si>
    <t>SDATOOL-34910</t>
  </si>
  <si>
    <t>SDATOOL-36522</t>
  </si>
  <si>
    <t>SDATOOL-36548</t>
  </si>
  <si>
    <t>SDATOOL-39836</t>
  </si>
  <si>
    <t>SDATOOL-40437</t>
  </si>
  <si>
    <t>SDATOOL-39555</t>
  </si>
  <si>
    <t>SDATOOL-39572</t>
  </si>
  <si>
    <t>SDATOOL-40472</t>
  </si>
  <si>
    <t>SDATOOL-36048</t>
  </si>
  <si>
    <t>SDATOOL-38481</t>
  </si>
  <si>
    <t>SDATOOL-32991</t>
  </si>
  <si>
    <t>SDATOOL-40515</t>
  </si>
  <si>
    <t>SDATOOL-36558</t>
  </si>
  <si>
    <t>SDATOOL-37057</t>
  </si>
  <si>
    <t>SDATOOL-37055</t>
  </si>
  <si>
    <t>Project ID</t>
  </si>
  <si>
    <t>Name</t>
  </si>
  <si>
    <t>Nature</t>
  </si>
  <si>
    <t>Description (What &amp; Where)</t>
  </si>
  <si>
    <t>Country</t>
  </si>
  <si>
    <t>Status</t>
  </si>
  <si>
    <t>Horizon</t>
  </si>
  <si>
    <t>Start Date</t>
  </si>
  <si>
    <t>End date</t>
  </si>
  <si>
    <t>Project Rationale (Why)</t>
  </si>
  <si>
    <t>Sponsor</t>
  </si>
  <si>
    <t>Project / Product Owner</t>
  </si>
  <si>
    <t>Engineering Responsible</t>
  </si>
  <si>
    <t>Costs of discontinuing the project. Indicate the strategy to stop the project</t>
  </si>
  <si>
    <t>scrum</t>
  </si>
  <si>
    <t>NORMATIVO</t>
  </si>
  <si>
    <t>Tranversal TAG</t>
  </si>
  <si>
    <t>Strategic Priority</t>
  </si>
  <si>
    <t>Value stream</t>
  </si>
  <si>
    <t>Program</t>
  </si>
  <si>
    <t>Valor Total del Proyecto
1Q-2023</t>
  </si>
  <si>
    <t xml:space="preserve"> Valor Total 
del Proyecto</t>
  </si>
  <si>
    <t>READY FOR PPP</t>
  </si>
  <si>
    <t>SDATOOL-9053</t>
  </si>
  <si>
    <t>GloMo Colombia</t>
  </si>
  <si>
    <t>Project</t>
  </si>
  <si>
    <t>Grupo de iniciativas que tienen como objetivo que el BBVA Colombia evolucione en los procesos de reutilización de componentes enmarcados en el framework de Glomo de construcción de canales digitales con el fin de mejorar el time to market.</t>
  </si>
  <si>
    <t>COL</t>
  </si>
  <si>
    <t>Stock</t>
  </si>
  <si>
    <t>H2</t>
  </si>
  <si>
    <t>1Q 2019</t>
  </si>
  <si>
    <t>2Q 2023</t>
  </si>
  <si>
    <t>Countries will spend less time reworking existing app experiences. Consistency and quality: 4+ stars rating guaranteed in all GloMo countries. All markets will contribute to the evolution of a world-class mobile design. Limit-less Innovation: After GloMo Baseline, we will have the platform to extend new innovative features to all the countries with GloMo Next. KYC: Know Your Customer. GloMo comes with in-app Inteligence to tell BBVA what the Customer is doing in the App. This will help BBVA to create customer-specific experiences and products 
 2023
 GloMo Security Experience:
  - Device Manager Peru
  - Contactless card signature Peru, Colombia
  - Biometric access at ATMs Peru, Colombia
  - Aqua cards with QR Spain, Colombia
  - Email validation Peru, Colombia, Argentina
  - Validation of phone no. Peru, Colombia, Argentina
  - Efficiency biometric login. Reduction to a single call 
  - Login and signature with face on Android devices 
  - Discreet mode Peru, Colombia
  - Security thermometer Mexico
  - Digital activation with ID + Selfie + Question Mexico, Peru
  - Changing the password without knowing the current password. Logging in with biometrics and signing with token. FIDO+Token. Mexico, Peru
  - MSA &amp; ARA. Alternative to signing with SMS. E.g. Confirm that the SIM card used belongs to the validated phone 
  - Change the front and back part of the deprecated token software to the new one on Amazon. Mexico, Peru
  - Push Notifications Security 
  - Global measurement of the password strength Spain.
  - Adaptation of the initial security required if it is a trusted device Peru
 GloMo Performance: 
  - Tagging of all new functionalities
  - GloMo Sensor System: Real-time alert generation and ad-hoc analysis from, Adobe Analytics, stores rating and Opinator.
  - A/B testing
 GloMo Futura: 
  - New personalized Home Screen. Spain.
  - New operatives section using AI. Mexico, Spain.
  - Personalized offers in Public Zone. Peru, México, Argentina.</t>
  </si>
  <si>
    <t>juana.vergara-bbva.com</t>
  </si>
  <si>
    <t>aura.castellanos-bbva.com</t>
  </si>
  <si>
    <t>mairanela.ramirez.salazar-bbva.com</t>
  </si>
  <si>
    <t>Dificultad de implementar nuevas funcionalidades en Colombia como PFM , BBVA Invest o Agregación de datos por no compartir la línea visual</t>
  </si>
  <si>
    <t>None</t>
  </si>
  <si>
    <t>Operational Excellence</t>
  </si>
  <si>
    <t>DIY Relationship Model</t>
  </si>
  <si>
    <t>Mobile Platforms &amp; E2E Servicing</t>
  </si>
  <si>
    <t>-</t>
  </si>
  <si>
    <t>SDATOOL-13410</t>
  </si>
  <si>
    <t>GRM Col - Consumo Servicios Datacrédito - Experian</t>
  </si>
  <si>
    <t>Construcción y Homologación de los servicios (On Lines o Batch) necesarios para la consulta y evaluación de las operaciones de crédito de los procesos de admisión de riesgos de Particulares y Empresas, los cuales han sido contratados con Experian - Datacredito.
 1 - Levantamiento de la información sobre el consumo de todos los servicios actuales y sobre que aplicaciones a fin de iniciar su construcción con base en la valoración técnica realizada por ingeniería
 2 - Construcción de los servicios que soporten la operativa actualmente en producción pero bajo el consumo de los servicios ofrecidos por Experian - Datacredito
 3 - Garantizar el almacenamiento de la información histórica de consulta de clientes de acuerdo con las políticas de Riesgos.
 4 - Dentro de la valoración actual se tiene el censo de los siguientes servicios Transunion:
 - Score Clear
 - Confronta
 - Validador 
 - Consulta en Linea Mayorista
 - Gestiona
 - Pec Alertado (Batch)
 - Pec Comercial (Batch)
 - Comportamental (Batch)
 - Experto (Batch)
 - Experto parametrización de políticas
  - Procesos Inteligencia Comercial
  - Consulta últimos 6 meses - Huellas
  - Sumatoria Cuotas y Cupos
  - Predictor de Ingresos
  - Ubica
  - PEC Pymes
 Esta valoración debe contemplar los NMC y todas las herramientas productivas o en construcción que consumirán estos servicios.</t>
  </si>
  <si>
    <t>Ended</t>
  </si>
  <si>
    <t>H1</t>
  </si>
  <si>
    <t>1Q 2018</t>
  </si>
  <si>
    <t>4Q 2022</t>
  </si>
  <si>
    <t>1 - Levantamiento de la información sobre el consumo de todos los servicios actuales y sobre que aplicaciones a fin de iniciar su construcción con base en la valoración técnica realizada por ingeniería
 2 - Construcción de los servicios que soporten la operativa actualmente en producción pero bajo el consumo de los servicios ofrecidos por Experian - Datacredito
 3 - Garantizar el almacenamiento de la información histórica de consulta de clientes de acuerdo con las políticas de Riesgos.
 4 - El valor anual facturado por el buró actual seria equivalente a 5 años con el nuevo buró.</t>
  </si>
  <si>
    <t>juan.bejarano-bbva.com</t>
  </si>
  <si>
    <t>ivethkatherine.malambo-bbva.com</t>
  </si>
  <si>
    <t>yesid.forero-bbva.com</t>
  </si>
  <si>
    <t>Contratar los servicios con Experian, reducirá considerablemente los costos que se incurren actualmente, por la contratación de los productos de la competencia.</t>
  </si>
  <si>
    <t>Data and Technology</t>
  </si>
  <si>
    <t>Data Transformation</t>
  </si>
  <si>
    <t>Data - Time to value acceleration</t>
  </si>
  <si>
    <t>NO READY FOR PPP</t>
  </si>
  <si>
    <t>SDATOOL-23176</t>
  </si>
  <si>
    <t>ORION</t>
  </si>
  <si>
    <t>Asegurar la efectividad en la generación y entrega de formatos a entes
 de control.
 • Implementar un aplicativo que garantice la administración, validación, generación, trazabilidad y envío de formatos.
 • Estructurar el gobierno de formatos.
 • Definir acuerdos de servicios que aseguren la oportunidad y calidad de la información.
 • Centralizar información y los formatos enviados a entes de control.</t>
  </si>
  <si>
    <t>2Q 2018</t>
  </si>
  <si>
    <t>Asegurar la efectividad en la generación y entrega de formatos a entes
 de control, integrando los procesos e información en un sistema
 definido para tal fin, optimizando y disminuyendo reprocesos,
 retransmisiones y extemporaneidad en las entregas, además de la posible generación de multas por cualquiera de las anteriores.</t>
  </si>
  <si>
    <t>angelica.granados-bbva.com</t>
  </si>
  <si>
    <t>edwin.vargas-bbva.com</t>
  </si>
  <si>
    <t>En el evento de no llevarse a cabo el proyecto, el Banco incumpliría los compromisos acordados con la Superintendencia Financiera de Colombia en el plan de trabajo táctico y estratégico para solventar las debilidades en los sistemas de información gerencial del Banco en los procesos de elaboración, validación, calidad, consistencia, reporte y transmisión de los diferentes formatos. 
 Planes de trabajo definidos por el Banco como respuesta al requerimiento de la Superintendencia Financiera de Colombia No. 2018026736-027-000.</t>
  </si>
  <si>
    <t>Regulatory &amp; Supervisors</t>
  </si>
  <si>
    <t>Non-Financial Risk Management</t>
  </si>
  <si>
    <t>Legal</t>
  </si>
  <si>
    <t>SDATOOL-27703</t>
  </si>
  <si>
    <t>Fixed Income Digital Cross Selling - COL</t>
  </si>
  <si>
    <t>Gestión de Renta fija - Toms
 Mejorar esquema operativo con Dealmanager-Toms.
 Gestión del riesgo intraday Renta Fija
 Cotización plataformas trading electrónicas Off shore.
  Conservar cuota de mercado en renta fija.
 Gestión automática de las posiciones en tiempo real, actualmente la gestión del riesgo se hace de forma manual y el riesfo operativo y errores en allocations es alto.
 Toma de decisiones más agiles con las herramientas de gestión
 Mejorar cumplimiento ops con clientes y fortalecer relación comercial... Show more
 Project Rationale
 Gestión automática de las posiciones en tiempo real, actualmente la gestión del riesgo se hace de forma manual y el riesfo operativo y errores en allocations es alto.
 Toma de decisiones más agiles con las herramientas de gestión
 Mejorar cumplimiento ops con clientes y fortalecer relación comercial</t>
  </si>
  <si>
    <t>From an strategic point of view is crucial to enhance the digital cross border distribution of bonds within some of the most important geographies in which BBVA is currently operating: Europe, North America &amp; South America.</t>
  </si>
  <si>
    <t>rafael.jimenez.jimenez-bbva.com</t>
  </si>
  <si>
    <t>pablodaniel.santos-bbva.com</t>
  </si>
  <si>
    <t>Reaching more Customers</t>
  </si>
  <si>
    <t>Target Products for Extra Growth</t>
  </si>
  <si>
    <t>Global Markets Credit</t>
  </si>
  <si>
    <t>SDATOOL-28278</t>
  </si>
  <si>
    <t>GRM Col - TMP Cobranzas - Pago en Canales Alternativos</t>
  </si>
  <si>
    <t>Posibilidad de pagar créditos en canales diferentes a la Red de Oficina en cualquier altura de mora.
 Disciplina: Retail Credit</t>
  </si>
  <si>
    <t>3Q 2019</t>
  </si>
  <si>
    <t>2Q 2024</t>
  </si>
  <si>
    <t>Permite realizar el pago en cualquiera de los canales habilitados sin importar la altura de mora en la que se encuentren los productos del cliente. No aplica para clientes judicializados</t>
  </si>
  <si>
    <t>ingrid.cortes-bbva.com</t>
  </si>
  <si>
    <t>juansebastian.silva-bbva.com</t>
  </si>
  <si>
    <t>james.veitia-bbva.com</t>
  </si>
  <si>
    <t>La no implementación de este proyecto es de alto impacto frente a la recuperación de cartera dado que permite realizar el pago en cualquiera de los canales habilitados sin importar la altura de mora en la que se encuentren los productos del cliente. No aplica para clientes judicializados</t>
  </si>
  <si>
    <t>Processes and Operations Transformation</t>
  </si>
  <si>
    <t>BPE Processes Plans</t>
  </si>
  <si>
    <t>SDATOOL-28473</t>
  </si>
  <si>
    <t>GRM Col - TMP Cobranzas - Módulo control acuerdos de pago</t>
  </si>
  <si>
    <t>Creación de un módulo que permita el seguimiento y control de los acuerdos de pago pactados con los clientes a través de los canales de gestión.
 Disciplina Global: Retail Credit</t>
  </si>
  <si>
    <t>3Q 2020</t>
  </si>
  <si>
    <t>Registrar las condiciones del acuerdo a través de un informe de feedback remitido por los canales de cobro y realizar seguimiento de los abonos realizados a cada préstamo o cupo. Excluir los clientes con acuerdo de pago cumplido o sin vencimiento de los procesos de barridos, castigos, etc. 
 Generación de informes con actualización de abonos, alertamiento paramétrico por acuerdos incumplidos, alertamiento a clientes, autogestión de acuerdos de pago a través de canales digitales.
 Actualmente no existe la forma de controlar de manera sistematizada los acuerdos de pago realizados con los clientes. Se requiere un módulo que permita el seguimiento y control de los acuerdos pactados con el cliente a través de los canales de gestión.
 Se identifican los siguientes hitos iniciales para el proyecto, los cuales serán abordados en diferentes fases de acuerdo a las valoraciones necesarias:
 1. Recepción módulo cliente: Generar todo el backoffice para poder tener preparados los aplicativos para la llegada de acuerdos de pagos de los clientes por cualquier vía: Autogestión, gestión de cobranza, otros, y poder generar el seguimiento adecuado
 1.1 MOCA
 1.2 Oficinas
 1.3 Autogestión Campañas preaprobadas
 2. Consolidación módulo - Creación aplicativo Acuerdos de pago
 2.1 Ingreso al módulo
 2.2 Modificación plan de amortización y generación recibos para pago
 2.3 Consulta 3270, que indique: Acuerdo de pago, fecha del acuerdo, estado del acuerdo, cuotas pendientes
 2.4 Generación de un reporte diario con status de acuerdos de pago. 
 2.5 Debe tener el control de días vencidos del acuerdo y en base a este generar el estado del acuerdo
 3. Administración módulo
 3.1 Seguimiento
 3.2 Alertas:
 - Incumplimiento
 - Reestructuración: Generar alerta en la cascada de reestructurados indicando que cliente tiene acuerdo de pago vigente 
 - Cancelación: Permitir cancelación respetando las condiciones de condonación aprobadas en el acuerdo (Pago cuota, pago total, otro valor)"
 3.3. Condonaciones
 Una vez el cliente haya cumplido con el acuerdo, el sistema debe aplicar la condonación restante. (Pago dirigido - Contabilidad específica)
 Generar un GOF específico con las condonaciones aplicadas por acuerdos cumplidos, se debe generar de manera diaria.
 Una vez aplicada la condonación, el contrato quedará cancelado y se podrá generar paz y salvo por el canal correspondiente (oficina o canal)"
 3.4 Cancelaciones
 3.5 Reporte créditos judicializados - Terminación de procesos
 3.6 Generación paz y salvos</t>
  </si>
  <si>
    <t>jhon.reyes-bbva.com</t>
  </si>
  <si>
    <t>mariaalejandra.ramirez.jimene-bbva.com</t>
  </si>
  <si>
    <t>ivanjesus.esparragoza-bbva.com</t>
  </si>
  <si>
    <t>No se podría contar con una herramienta que controle los acuerdos pactados con los clientes, lo cual no permite tener una trazabilidad y seguimiento del mismo, así como alertamientos y notificaciones varias por incumplimiento.</t>
  </si>
  <si>
    <t>SDATOOL-28728</t>
  </si>
  <si>
    <t>Contratación electrónica/digital de empleados y Carpeta Virtual 2.0</t>
  </si>
  <si>
    <t>Desarrollo de un proceso digital que permita la contratación electrónica/digital de empleados a través del nuevo modelo de contratación de productos en BBVA y el gestor documental, creando la carpeta virtual de empleados eliminando el uso del papel.
 Tener disponibilidad en línea de la documentación del empleado.
 Este proyecto será aplicable para las contrataciones que se efectúen desde el momento de su implementación. Los expedientes de empleados contratados con anterioridad se mantendrán en el actual esquema de carpetas fisicas.
 El proyecto tiene como principales beneficiarios a los candidatos seleccionados para contratación así como a diversas dependencias de T&amp;C en BBVA Colombia como Talent Adquisition Partner (TAP), Employee Experience (Contratación), Business Partner, Relaciones Laborales, entre otros. El proyecto deberá permitir a los candidatos en proceso de contratación aportar la documentación requerida a través de medios digitales eliminando el tráfico de documentos físicos y reducción de traslados a las instalaciones de BBVA durante el proceso de vinculación, brindando desde su primer contacto con el BBVA una experiencia alineada con la estrategia de digitalidad definida en la organización. Así mismo, las TAP y el auxiliar de contratación podrán dedicar su tiempo laboral a actividades de valor al eliminar procesos de impresión y archivo de documentos. Por otra parte, los expedientes de empleados creados bajo este nuevo esquema quedarán para consulta en línea a través de medios digitales a quienes se les otorgue perfil de acceso (BPs y Relaciones Laborales) eliminando tiempos de espera, tráfico de documentos y minimizando riesgo de pérdida.
 Actualmente tenemos un volumen aproximado de 800 contrataciones que generan un tráfico aproximado de 45.000 documentos conformados por 72.000 hojas implicando anualmente más de 640 horas de trabajo en tareas de impresión y recolección de documentos y armado de carpetas con un impacto en gasto cercano a $80M anuales</t>
  </si>
  <si>
    <t>2Q 2019</t>
  </si>
  <si>
    <t>1) Impacto en marca empleador al alinear el proceso con la estrategia digital definida en el Grupo. (Actualmente se gestionan 56 documentos fisicos en el proceso de contratación de cada empleado con un promedio de 800 contrataciones al año -indefinidos, aprendices y practicantes-)
 2) Automatización del proceso de contratación
 3) Eficiencia en la ejecución del proceso al eliminar impresión de documentos (deficiencia de impresoras en el piso por Open Space) y recolección de documentos (implementación del Bussiness Center y restricción de acceso al edificio a los candidatos en proceso de contratación) afectando tiempos de proceso.
 4) Eliminación de tareas operativas de baja generación de valor por parte de las TAP (Talent Adquisition Partners) y de la auxiliar de contratación. (Recolección e impresión de documentos y armado de expedientes)
 5) Reducción de costos de mensajería (tráfico de expedientes de contrataciones y solicitudes puntuales de documentos)
 6) Mitigación riesgos de pérdida de carpetas/documentos al eliminar transporte y movimiento físico entre diferentes areas durante el proceso de contratación y consultas posteriores
 7) Disponibilidad de expedientes de empleados en linea y de forma simultánea por varios usuarios y desde cualquier dispositivo, acorde con operfiles asignados
 8) Necesidad manifiesta de varios países en el marco de TMP T&amp;C</t>
  </si>
  <si>
    <t>miguelangel.castellanos-bbva.com</t>
  </si>
  <si>
    <t>javier.palencia-bbva.com</t>
  </si>
  <si>
    <t>- Desalineación del proceso con estrategia digital en el grupo, enviando a los nuevos empleados un mensaje incoherente al tener un proceso manual y no digital.
 - No evolución y mejora en los procesos operativos, iendo en contravía de las prioridades estratégicas definidas en el Grupo (Process Re-Engineering &amp; Automation: Prioridad1)
 - Alta carga operativa para el equipo de Talent Adquisition Partner
 - Pérdida de oportunidad para incrementar la productividad y eficiencia en los procesos de vinculación
 - Persistencia del riesgo de pérdida de documentación
 - Dependencia de terceros en la gestión de documentos e información
 - Tiempo en procesos ineficientes (Alrededor de 1.240 horas/año en tareas de poco valor)
 - Afectación en los tiempo de respuesta en los procesos de contratación</t>
  </si>
  <si>
    <t>Other Local Process re-engineering</t>
  </si>
  <si>
    <t>SDATOOL-29029</t>
  </si>
  <si>
    <t>EBA Guidelines (NDoD/PD/LGD) - Colombia</t>
  </si>
  <si>
    <t>En linea con la directrices Holding realizar los desarrollos en Colombia para la Implantación de las guidelines (GL) sobre la nueva definición de default y desarrollo de las correspondientes metodologías para cumplir con los requerimientos regulatorios establecidos en las Guidelines publicadas por la EBA. Las GL son: "Guidelines on PD estimation, LGD estimation and treatment of defaulted exposures" y "Guidelines on the application of the definition of default" estando pendiente de publicar "Guideline on the specification of the nature, severity and duration of an economic downturn".
 Disciplina Global: Data &amp; Advanced Analytics</t>
  </si>
  <si>
    <t>RTC is an industry wide supervisory request to avoid the delay in the recognition of RWA implications stemming from EBA RP. ECB has requested to include most IRB Rating Systems in scope of the RTC (across BBVA SA and Bancomer) Deliverables: I-Plan: 1a Gap Analysis, 1b Independent Opinion of Gap Analysis, 2a Quantification of gaps (Impacts), 2b Independent Opinion of Quantification of gaps (Impacts), 3a Remediation Plan, 3b Independent Opinion of Action Plan II-Execution: Delivery of fixed models III- Defence he models and to pass supervisory scrutiny - When : 1) Plan: Submission to the JST a RTC Plan approved at GRMC and CDP on the 3rd of June 2) Execution phase: From Q3 22 to Q4 24 3) Defence:From Q1 24 to Q2 25</t>
  </si>
  <si>
    <t>La no implementación de este proyecto puede llevar al banco a tener sanciones o multas dado que es un proyecto regulatorio que busca la Implantación de las guidelines (GL) sobre la nueva definición de default y desarrollo de las correspondientes metodologías para cumplir con los requerimientos normativos establecidos en las Guidelines publicadas por la EBA</t>
  </si>
  <si>
    <t>Capital Allocation &amp; Profitability</t>
  </si>
  <si>
    <t>Capital Allocation &amp; ALM</t>
  </si>
  <si>
    <t>SDATOOL-29044</t>
  </si>
  <si>
    <t>Ley de Financiamiento (Ley 1943 del 28 de diciembre de 2018)</t>
  </si>
  <si>
    <t>Implementar todas las iniciativa requeridas por la Ley de Financiamiento (Ley 1943 del 28 de diciembre de 2018)</t>
  </si>
  <si>
    <t>On hold</t>
  </si>
  <si>
    <t>Se debe realizar el proyecto para cumplir con las norma tributaria legal y evitar sanciones de tipo fiscal y reputacional.</t>
  </si>
  <si>
    <t>flor.duarte-bbva.com</t>
  </si>
  <si>
    <t>camila.nino-bbva.com</t>
  </si>
  <si>
    <t>alcibiades.rodriguez-bbva.com; camilo.tellez-bbva.com; francisco.fgil-bbva.com; katherine.duque-bbva.com</t>
  </si>
  <si>
    <t>El costo de descontinuar el proyecto va desde sanciones monetarias de tipo fiscal por parte de los entes de control por el no cumplimiento de la norma hasta de riesgo reputacional con entes de control, accionistas, clientes y demás actores del mercado.</t>
  </si>
  <si>
    <t>Normativo</t>
  </si>
  <si>
    <t>SDATOOL-29464</t>
  </si>
  <si>
    <t>Diversidad y Conciliación (Home Office)</t>
  </si>
  <si>
    <t>Con las nuevas formas de trabajar y estructura agil, se va buscar la optimización de los espacios renovados implantando nuevas formas de trabajar (puestos compartidos, horario flexible, trabajador digital, código de vestir), se iniciaría con los nuevos espacios que se acondicionarían para el área de ingeniería, realizando primero un piloto con Talento y Cultura. Con el tema de covid 19 se ve necesidad de realizar ampliación del proyecto teniendo en cuenta las nuevas condiciones que se presentan en las diferentes etapas, el comportamiento con distanciamiento social y el post covid 19, abarcando todas las áreas del grupo en Colombia.</t>
  </si>
  <si>
    <t>Se esta aumentando las necesidades de puestos (ej: scrum) cerca a las instalaciones de dirección general, para facilitar el desarrollo de los proyectos, como los espacios ya están al limite, se buscará con estas nuevas formas de trabajar liberar espacios optimizando los espacios. Con el trabajo en home office que hemos tenido por covid 19, se reafirma esta opción y se ve la necesidad de ampliar la propuesta de liberación de puesto. Teniendo en cuenta la nueva visión de no tener puestos asignados. Sólo se tendrán asignación en funciones criticas.</t>
  </si>
  <si>
    <t>rubendario.nunez-bbva.com</t>
  </si>
  <si>
    <t>elkinmauricio.lopez-bbva.com</t>
  </si>
  <si>
    <t>juan.sandoval-bbva.com</t>
  </si>
  <si>
    <t>Nuevas Formas de Trabajar permite apalancar la transformación cultural y organizacional de BBVA, buscando homogenizar y generar una integridad en el modelo, creando un cambio en a forma en como trabajamos. 
 Por otro lado, se han incrementado las necesidades de puestos scrum cerca a las instalaciones de dirección generar, para facilitar el desarrollo de los proyectos, como los espacios ya están al limite, se buscará con estas nuevas formas de trabajar liberar espacios optimizando los espacios.
 Si se discontinua la realización del proyecto se perdería oportunidad en la optimización de espacios, crear espacios que permitan el trabajao en equipo y flexible acorte a la nueva cultura organizacional.</t>
  </si>
  <si>
    <t>The Best and Most Engaged Team</t>
  </si>
  <si>
    <t>People Experience</t>
  </si>
  <si>
    <t>Corporate Culture</t>
  </si>
  <si>
    <t>SDATOOL-29577</t>
  </si>
  <si>
    <t>IBORs TRANSITION BBVA COLOMBIA</t>
  </si>
  <si>
    <t>Establecer un proceso mensual de generación de un reporte de exposición a libor, que pueda ser utilizado locamente Colombia así como consolidado por el equipo global para facilitar la toma de decisiones.
 El proceso local requerirá tener acceso a sistemas transaccionales, así como a repositorios de documentación contractual, para obtener numero de contratos que podrían requerir ser actualizados.
 Incluye las filiales.
 La estrategia de implementación contempla: Configuración de sistemas globales, Set-Up Proyecto, Desarrollo de req. normativos,Generación de pruebas de impacto, Aprobación nuevos productos, Seguimiento, Def. del Plan de Negocio y Migración, Ajustes procedimentales, Generación de pruebas de imp. reg, Configuración y desarrollo de Sistemas Loc</t>
  </si>
  <si>
    <t>​BBVA Group has to comply with the Global orderly benchmark transition already in progress.
  From 2013, Global regulators have advocated strengthening existing interbank offered rates (IBORs) and promoting the development and adoption of alternative “risk-free” reference rates (RFRs), such as ESTER, SOFR, SONIA, TONAR etc.
  Why change IBORs? Because of shrinking volumes during and after the crisis, scandals, systemic risk concerns while submissions by fewer and fewer panel banks are based upon expert judgement highly subject to reputation risk.
  Why are RFRs the solution? RFRs are chosen or being created for their compliance with 2013 IOSCO Principles internationally and with the European BMR Regulation: they address conflicts of interest and control, increase transparency and customer protection, promote a methodology and data sufficiency anchored in real transactions and not expert judgement alone.
  This regulatory project has been approved and deemed critical in the Group's Regulation Meeting on 22nd October 2018. The GLT meeting on 19th November 2018 appointed CIB as the Global Leader area and the CIB Committee on 13th December 2018 approved a global governance for this project and its active WorkStreams.
  As asked by Luisa Gomez Bravo, the global project should embed the derived local implementation projects.</t>
  </si>
  <si>
    <t>jose.garcia.usma-bbva.com</t>
  </si>
  <si>
    <t>ivan.martinez-bbva.com</t>
  </si>
  <si>
    <t>Keep the Bank Running</t>
  </si>
  <si>
    <t>Keep-the-Bank Running Projects / Software Evolutives</t>
  </si>
  <si>
    <t>Run Projects / SW Evolutives (for Client / Business Areas)</t>
  </si>
  <si>
    <t>SDATOOL-29750</t>
  </si>
  <si>
    <t>Biometría</t>
  </si>
  <si>
    <t>La Registraduria Nacional ha realizado modificación a la Resolución 5633 el 4 de diciembre de 2018, en su Anexo Técnico 2 Versión 2 "Infraestructura Tecnológica para el procesos de autenticación biométrica ambiente producción"</t>
  </si>
  <si>
    <t>Se debe realizar la renovación tecnológica de los dispositivos biometricos, de acuerdo con lo establecido en la Resolución 5633 Anexo Técnico 2 Versión 2 de la Registraduria, modificada el 4 de diciembre de 2018</t>
  </si>
  <si>
    <t>hector.murcia-bbva.com</t>
  </si>
  <si>
    <t>camila.leon-bbva.com</t>
  </si>
  <si>
    <t>yadira.cobos-bbva.com</t>
  </si>
  <si>
    <t>SDATOOL-29998</t>
  </si>
  <si>
    <t>Despliegue SAS AML en BBVA CO</t>
  </si>
  <si>
    <t>Sustitución de Oracle Mantas por SAS AML que incluye funcionalidades adicionales AML</t>
  </si>
  <si>
    <t>4Q 2019</t>
  </si>
  <si>
    <t>3Q 2023</t>
  </si>
  <si>
    <t>De cara a llevar a cabo una adecuada gestión del riesgo de Compliance en BBVA y llevar sus niveles residuales a los valores definidos, dentro del modelo global de Compliance, SAS AML es una pieza clave de los marcos de mitigación y control de AML.
 En concreto, dentro del Risk Type 07.2.1.2. Inadecuada detección y/o gestión de actividades sospechosas de Lavado de Dinero o Financiación del Terrorismo permiten la mitigación de los siguientes Requisitos Globales:
  • RQT_PLD_012 Adecuada parametrización y funcionamiento de las herramientas de monitorización
  • RQT_PLD_015 Deber de Abstención de ejecución
  • RQT_PLD_020 Gestión de alertas, investigación y comunicación de Operaciones Sospechosas
 Adicionalmente, existe la OBLIGACIÓN REGULATORIA para que las entidades bancarias y otros sujetos obligados detecten y comuniquen a las autoridades competentes en cada país, las operativas sospechosas de PLD&amp;FT.
 Ejemplo de referencias regulatorias:
 - Global: GAFI-FATF recomendación 20
 - España: artículo 11 RD 304/2014.
 - Resto geografías: esta obligación es común a todas las regulaciones de PLD locales en las que opera BBVA.</t>
  </si>
  <si>
    <t>marialuisa.suarez-bbva.com</t>
  </si>
  <si>
    <t>diegofernando.uribe-bbva.com</t>
  </si>
  <si>
    <t>alcibiades.rodriguez-bbva.com</t>
  </si>
  <si>
    <t>Obsolescencia de la versión actualmente instalada de la herramienta de monitorización transaccional Oracle Mantas, que está fuera de soporte por parte del proveedor. Esta herramienta sólo tiene la generación de alertas.Implementación del software SAS AML junto al paquete corporativo de funcionalidades AML, que incluye por ejemplo Workflow de trabajo con automatismos para mejorar la eficiencia de tratamiento de alertas, sistema de repotrting y sistema de tuneado de escenarios.</t>
  </si>
  <si>
    <t>Compliance &amp; Conduct Risk</t>
  </si>
  <si>
    <t>SDATOOL-30053</t>
  </si>
  <si>
    <t>GRM Col Reg - CE016-19 Modificados, reestructurados e incumplidos RV</t>
  </si>
  <si>
    <t>Ajustes de la tabla de incumplidos de acuerdo a la circular 016/19 por la Superintendencia Financiera, en lo referente a los deudores incumplidos, su calificación y manejo de provisiones.
 -Se deben adicionar las carteras 3=Vivienda y 6=Microcrédito.
 -Se solicita crear un proceso automático que desmarque los contratos que ya no se encuentran incumplidos no se registren en la base de incumplidos.
 -Ajuste en el Calculo de la PDI (Se debe calcular los días en mora a partir de la fecha en que el crédito entro en incumplimiento).
 -Ajuste en la cartera de libranzas que exista una parametría que permita asegurar que para libranzas no afecte la cartera cuando se encuentra otro producto de cartera consumo incumplido. 
 -Para los créditos Comerciales que pertenezca a constructor se debe realizar la marcación por número de proyecto y no por NIT. 
 -Mejoras en la calificación de incumplimiento en contratos reestructurados
 -Mejora en las provisiones de acuerdo a la Circular 016/19.
 - Retirar de la tabla de incumplidos los contratos que ya se encuentran cancelados.
 Disciplina: Strategy &amp; Develop &amp; BEx</t>
  </si>
  <si>
    <t>En cumplimiento de la CE016/19
 Este proyecto aplica para cualquier plataforma del Banco que tenga operaciones activas de crédito a la clientela, incluyendo a los procesos que se ejecutan por Riesgos en Ingenieria (RIO)</t>
  </si>
  <si>
    <t>jorgeeduardo.gomez.forero-bbva.com</t>
  </si>
  <si>
    <t>luisafernanda.pereira-bbva.com</t>
  </si>
  <si>
    <t>La no ejecución de la iniciativa puede llevar al banco a tener sanciones o multas dado que es un proyecto regulatorio que busca la Implantación y desarrollos requeridos en la normativa emitida por la SFC.</t>
  </si>
  <si>
    <t>Financial Risk Management</t>
  </si>
  <si>
    <t>Provisions / Allowances</t>
  </si>
  <si>
    <t>SDATOOL-30527</t>
  </si>
  <si>
    <t>(Work Day) Nueva Plataforma Core de Talento y Cultura Colombia</t>
  </si>
  <si>
    <t>Análisis de soluciones potenciales para reemplazar el Core de Talento y Cultura en el Grupo. Las plataformas actuales a sustituir son Peoplesoft (España y todos los países de Latam), y Humanic en USA.</t>
  </si>
  <si>
    <t>English: The current version of Core HR Peoplesoft (the platform used in most BBVA countries) is an old version, without evolution. Oracle doesn’t recommend to continue using this version because they can’t resolve security issues. The platform used in the USA (Humanic) is also an old solution.
 In addition to this, in the market there are new solutions that could provide many benefits from different points of view: the user experience (the current solution doesn’t work on the mobile or outside the office, while the new platforms are web and mobile) , the functional transformation of both organizational modeling and people management (new capabilities to handle different types of organization, including the Agile organization, new HR processes, including workflows, forms, ...), analytical capabilities (reports and analysis imbedded in the solution), technological efficiency (replacing many old platforms and reports with only one). 
 Spanish: La versión actual de Peoplesoft es una versión sobre la que Oracle ya no proporciona parches de seguridad, y que no va a ser evolucionada. En caso de posibles incidencias de producto, la recomendación de Oracle es cambiar la solución actual, pues ya no harían parches para resolverlas.
 Además, un cambio de solución actual proporcionará grandes beneficios desde el punto de vista de experiencia de usuario (la solución actual no funciona en dispositivos móviles ni es accesible por Internet, fuera de la red de BBVA por no cumplir con los requisitos de Seguridad, mientras las nuevas soluciones de mercado son accesibles vía web y móvil), mejoras en la gestión de la organización y las personas (implantación de agile, transformación y automatización de procesos y tareas utilizando workflows, formularios,...), mejores capacidades analíticas (reporting y analítica incorporada en la solución y , eficiencia tecnológica (eliminación de plataformas Core de España Latam y USA, reemplazo de informacionales y herramientas departamentales)</t>
  </si>
  <si>
    <t>juan.moralesp-bbva.com</t>
  </si>
  <si>
    <t>jorge.parra-bbva.com</t>
  </si>
  <si>
    <t>bryanantonio.quiroz-bbva.com</t>
  </si>
  <si>
    <t>El no realizarse T&amp;C pierde compatibilidad con otras apps y herramientas Holding de los proceso core de T&amp;C. 
 Workday reemplazará Peoplesoft herramienta transformacional para el core de T&amp;C y BBVA, sin esto T&amp;C quedaría sin herramienta para sus procesos.</t>
  </si>
  <si>
    <t>People Platforms, Data and Analytics</t>
  </si>
  <si>
    <t>SDATOOL-30587</t>
  </si>
  <si>
    <t>Seguros - IFRS 17</t>
  </si>
  <si>
    <t>Implantar IFRS17 en los Estados Financieros Consolidados, estableciendo un Gobierno holding de los principales criterios y el proceso contable.</t>
  </si>
  <si>
    <t>La norma inicial fue publicada en Mayo 2017 por el IASB, y ha sido enmendada parcialmente por el ED posterior, cuyo texto definitivo fue emitido en Junio 2020. El principal cambio de dicho ED es el retraso de un año en la entrada en vigor de la norma el 01/01/2023. A la fecha de este MAP, el EFRAG todavía se encuentra realizando el DEA (Draft Endorsement Advice) de la norma, para incluirlo dentro de la regulación de la UE. IFRS 17 es una norma contable internacional que afecta a todo lo que se define como "contrato de seguro" y es la culminación del trabajo normativo que empezó hace 20 años, con la primera publicación de IFRS 4, que supuso un paso previo a la adaptación definitiva a esta IFRS 17. La implantación del nuevo estándar supone toda una revolución para el sector, siendo el mayor desafío que ha sufrido la industria aseguradora en los últimos tiempos (superior, según los expertos, al impacto que tuvo la implantación de Solvencia II realizada años atrás). La adaptación a la nueva IFRS 17 introduce cambios significativos desde el punto de vista tanto contable, como operativo, de negocio, en sistemas, etc. Los principales retos de IFRS 17 (resumen no exhaustivo), son: - cambios de gran calado en la contabilización de los seguros, especialmente los de largo plazo / vida (hay que reclasificar múltiples partidas en balance y recalcular el devengo de ingresos de todos los contratos); - implica importantes cambios en los sistemas de IT y va a traer consigo cambios en el negocio y en la estrategia de las compañías; - va introducir una gran volatilidad en las cuentas de resultados en caso de fuertes movimientos de la curva de tipos de interés; - va a modificar la primera línea de la cuenta de resultados, los ingresos, dado que desaparece el concepto de primas emitidas (hoy una variable clave tanto en los rankings como en la medición del performance); - exige una gestión mucho más afinada y predictiva de los riesgos; - requiere modificar procesos y sistemas informáticos para poder recabar los datos necesarios; - exige re-pensar de nuevo los productos y su diseño, - y hasta obliga a replantearse los modelos de retribución actuales basados en la facturación por primas. Como hemos avanzado, IFRS 17 entrará en vigor el próximo 01/01/2023, no obstante el 01/01/2022 comienza el periodo de transición en el que el Grupo BBVA deberá de ser capaz de poder hacer un primer cierre anual con la norma y así tener un comparativo entre IFRS 4 e IFRS 17 (necesario un paralelo bajo IFRS17 en 2022). Todos estos cambios afectan a las herramientas de gestión, contabilización y reporting normativo, siendo necesario desarrollar nuevos aprovisionamientos, motores de cálculo (ej. FCF, RA, CSM, etc.), introducción de reglas de calidad, gobierno y adaptación de los sistemas.</t>
  </si>
  <si>
    <t>manuelignacio.trujillo-bbva.com</t>
  </si>
  <si>
    <t>mariajuliana.rodriguez-bbva.com</t>
  </si>
  <si>
    <t>katherine.michaels-bbva.com</t>
  </si>
  <si>
    <t>No llevarlo a cabo conllevaría incumplir la normativa contable internacional, que es de obligatorio
 cumplimiento para los estados financieros del Grupo.</t>
  </si>
  <si>
    <t>BBVA SEGUROS</t>
  </si>
  <si>
    <t>SDATOOL-31307</t>
  </si>
  <si>
    <t>Eliminar Obsolescencia Switch Oficinas</t>
  </si>
  <si>
    <t>Renovación Switches oficinas por obsolescencia, 100% de la red entre 2020-2022
 Renovación de la infraestructura de switches red de oficinas.
 Solución integral que incluye:
 Hardware y licenciamiento.
 Servicios de implementación e instalación.</t>
  </si>
  <si>
    <t>1Q 2020</t>
  </si>
  <si>
    <t>This program allows the business to have the necessary strategy to guarantee the continuity of the Group's services in the event of a disaster, through the rapid recovery of these services in the established time (RTO) and with the minimum loss of data (RPO). Additionally, the management of obsolete IT obsolescence allows the business to mitigate risks related to it that can directly affect the services and the quality of the service of the group.
 Este programa permite al negocio disponer de la estrategia necesaria para garantizar la continuidad de los servicios del Grupo frente a un desastre, mediante la rápida recuperación de los mismos en el tiempo establecido (RTO) y con la mínima pérdida de datos (RPO). Adicionalmente, la gestión de la obsolescencia TI obsoletos permite al negocio mitigar riesgos relacionados con la misma y que pueden afectar directamente a los servicios y a la calidad del servicio del grupo.</t>
  </si>
  <si>
    <t>gustavo.ferrucho-bbva.com</t>
  </si>
  <si>
    <t>luis.plata-bbva.com</t>
  </si>
  <si>
    <t>El fabricante ya declare End of Support varias piezas de esta infraestructura lo cual no permite tener actualizaciones, soporte o mantenimiento.
 Expuestos a una suspensión de servicios en caso de falla o daño para la red de oficinas</t>
  </si>
  <si>
    <t>Reliability &amp; Transformation plans</t>
  </si>
  <si>
    <t>IT Ops Transformation</t>
  </si>
  <si>
    <t>SDATOOL-31326</t>
  </si>
  <si>
    <t>Legalización Hipotecario</t>
  </si>
  <si>
    <t>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t>
  </si>
  <si>
    <t>1Q 2021</t>
  </si>
  <si>
    <t>Se requiere conocer el estado del trámite de legalización de trámites de hipotecario o leasing oportunamente, recibir notificaciones del estado o novedad del trámite sin tener que llamar o buscar información en las oficinas del banco, tener un canal de comunicación centralizado que pueda asesorar sobre el proceso o aclaración de dudas y poder lograr que el proceso sea lo más agil y facil. La entrega de documentación o envio debe ser de forma fácil evitando al máximo documentación física.
 Adecuar otros canales de información (banca movil-página blanca)</t>
  </si>
  <si>
    <t>luz.rodriguez-bbva.com</t>
  </si>
  <si>
    <t>wilson.vera-bbva.com</t>
  </si>
  <si>
    <t>pedro.moreno-bbva.com</t>
  </si>
  <si>
    <t>Impacto en el cumplimiento de los KPI's indicados en el presente proyecto</t>
  </si>
  <si>
    <t>SDATOOL-31340</t>
  </si>
  <si>
    <t>Intercambio Electrónico de Archivos ACH y Cenit</t>
  </si>
  <si>
    <t>Implementar desarrollos específicos de información mediante cifrado para los archivos que se intercambian desde el Banco con ACH y Cenit.
 Establecer un proceso de aseguramiento fuerte de la información que se intercambia con ACH y CENIT mediante el cifrado de información desde el origen (host transaccional) para asegurar los archivos que contienen la información de cuentas origen, destino y montos.
 Contratar 1125 horas de desarrollo para la implementación de mecanismos de seguridad en el módulo ACH y Cenit.</t>
  </si>
  <si>
    <t>El proyecto NCP solicitado desde el equipo Holding para el 2Q de 2018, busco mediante la realización de un assessment del sistema electrónico de pagos interbancario, el cual fue ejecutado y como resultado del mismo se evidenciaron varios puntos de mejora entre los cuales está el aseguramiento de los archivos que se intercambian electrónicamente entre el Banco y ACH-CENIT, estos archivos se encuentran sin cifrado en algunos puntos de la red, lo cual genera un alto riesgo de manipulación y como consecuencia la probabilidad de un fraude de alto impacto para el Banco.</t>
  </si>
  <si>
    <t>milena.patino-bbva.com</t>
  </si>
  <si>
    <t>williamenrique.mendez-bbva.com</t>
  </si>
  <si>
    <t>hernanmauricio.lozada-bbva.com</t>
  </si>
  <si>
    <t>Pérdidas financieras y reputacionales en caso de materialización de eventos de fraude por falencias en controles o vulnerabilidades de los sistemas de intercambio de pagos electrónicos.
 Cifras de operaciones y montos promedio de transacciones realizadas.</t>
  </si>
  <si>
    <t>Upgrading Security and Privacy</t>
  </si>
  <si>
    <t>Data Security</t>
  </si>
  <si>
    <t>SDATOOL-31457</t>
  </si>
  <si>
    <t>Deal Compare Front</t>
  </si>
  <si>
    <t>Deal Compare para los aplicativos Front Office para garantizar la integridad de los registros de los deals en los diferentes aplicativos aplicativos de la mesa de dinero y mostrando trazabilidad de las operaciones de</t>
  </si>
  <si>
    <t>Garantizar una conciliación de los deals de los diferentes productos negociados en la mesa de dinero mitigando el riesgo de perdidas esperadas y no esperadas</t>
  </si>
  <si>
    <t>juancamilo.mosquera-bbva.com</t>
  </si>
  <si>
    <t>john.ardila-bbva.com; mairanela.ramirez.salazar-bbva.com</t>
  </si>
  <si>
    <t>SDATOOL-31461</t>
  </si>
  <si>
    <t>Liquidación Swaps Cross Crurrency Delivery</t>
  </si>
  <si>
    <t>Liquidación del flujo del swap CC delivery de forma automática en Murex hacia el back office. El flujo de pago de los swaps cross currency delivery con contraparte cliente se genere de forma automática en murex para su posterior liquidación mediante un avance en STAR.</t>
  </si>
  <si>
    <t>1Q 2023</t>
  </si>
  <si>
    <t>- Minimizar operativa gestión de liquidación de los Swaps Cros Currency Delivery
 - Minimizar incumplimientos de los Swaps CCS Delivery con lo clientes de la tesorería, perdidas por falta de control del flujo y sanciones monetarias/legales por incumplimientos</t>
  </si>
  <si>
    <t>josenicolas.gomez-bbva.com</t>
  </si>
  <si>
    <t>Global Markets FX</t>
  </si>
  <si>
    <t>SDATOOL-32520</t>
  </si>
  <si>
    <t>CDD Based Reporting - Colombia</t>
  </si>
  <si>
    <t>Proyecto para aprovisionar en DATIO información requerida para reportes financieros y de riesgos con foco de calidad y trazabilidad buscando complementar la gestión y administración de clientes.</t>
  </si>
  <si>
    <t>2Q 2020</t>
  </si>
  <si>
    <t>4Q 2023</t>
  </si>
  <si>
    <t>Transformar los procesos de Reporting de Finance a través de las nuevas plataforma Datio, buscando principalmente homogeneidad alrededor del grupo y eficiencia a partir de la automatización y data management.
 Mejor cumplimiento de los principios BCBS239 en agregación de datos dentro de los procesos de reporting del grupo (preocupación del ECB incluido en en SREP)... 
 Transformar los procesos de Reporting de Finance a través de las nuevas plataforma Datio, buscando principalmente homogeneidad alrededor del grupo y eficiencia a partir de la automatización y data management.
 Mejor cumplimiento de los principios BCBS239 en agregación de datos dentro de los procesos de reporting del grupo (preocupación del ECB incluido en en SREP)</t>
  </si>
  <si>
    <t>dianapaola.angel-bbva.com</t>
  </si>
  <si>
    <t>alcibiades.rodriguez-bbva.com; katherine.duque-bbva.com</t>
  </si>
  <si>
    <t>Posibles incumplimientos en los principios BCBS239 en agregación de datos dentro de los procesos de reporting del grupo (preocupación del ECB incluido en en SREP)</t>
  </si>
  <si>
    <t>Transcendence; Regulatory &amp; Supervisors</t>
  </si>
  <si>
    <t>Data Governance - Data as a Product</t>
  </si>
  <si>
    <t>Global Enterprises Mobile App (GEMA)</t>
  </si>
  <si>
    <t>Desarrollar en Colombia la aplicación móvil de empresas global, logrando reutilizar las funcionalidades que en países como México y España ya están implementadas</t>
  </si>
  <si>
    <t>Create the best in class experience for Clients who demand one-click and real-time access to their Company's performance (dashboard with pre-analyzed info and so on) in APP Channel.</t>
  </si>
  <si>
    <t>josealejandro.duenas-bbva.com</t>
  </si>
  <si>
    <t>jennymaria.urdaneta-bbva.com</t>
  </si>
  <si>
    <t>diego.sinisterra-bbva.com</t>
  </si>
  <si>
    <t>Horizon: Accelerating Global Transformation</t>
  </si>
  <si>
    <t>Below the Glass Enterprise</t>
  </si>
  <si>
    <t>Comisión de Acceso a ATM's</t>
  </si>
  <si>
    <t>Generar un nuevo mecanismo de ingresos al Banco por el cobro de comisiones cuando se utilicen tarjetas débito o crédito extranjeras en los cajeros de BBVA Colombia</t>
  </si>
  <si>
    <t>Alrededor de 700.000 operaciones mensuales se realicen en cajeros de BBVA Colombia al mes con tarjetas débito o crédito dadas de alta en el extranjero. La idea es aumentar los ingresos del Banco cobrando una comisión por acceso a los cajeros de BBVA cuando se realicen estas operaciones.</t>
  </si>
  <si>
    <t>andres.carrandi-bbva.com</t>
  </si>
  <si>
    <t>vickyalexandra.mora-bbva.com</t>
  </si>
  <si>
    <t>joe.valenzuela-bbva.com</t>
  </si>
  <si>
    <t>SDATOOL-33065</t>
  </si>
  <si>
    <t>Remesas BTS</t>
  </si>
  <si>
    <t>- Mejorar la conexión de BTS para agilizar la recepción de la remesa el mismo día y casi en linea. Revisar que capacidad tiene , como funciona.
 - Estrategia de Marketing para remesas en USA para que utilizan el servicio en los locales , y también a los usuarios
 - Estrategia de marketing local
 - Opciones de cobro diferentes para el cliente: Ventanilla, Cuenta On Line, Cajeros Automáticos, corresponsal bancario ARA, baloto, Dinero Movil, abono a TC o Créditos hipotecario</t>
  </si>
  <si>
    <t>Global Markets FX has committed a series of ambitious KPI's with BBVA's CEO targeting 2024. One of the challenges of these targets are the fact that FX is a cross-segment, multi-geographic business. As such, it is difficult to coordinate SDA work considering the difficulty in coordinating and prioritizating projects across such landscape, while ensuring reusability.
 To help in the Global coordination and prioritzation of SDA projects, GM BBVA has created this Grouping Project. This way, all projects will inherit priority set by GPO owner</t>
  </si>
  <si>
    <t>ximena.barrera-bbva.com</t>
  </si>
  <si>
    <t>mairanela.ramirez.salazar-bbva.com; sebastian.martinez.jaramillo-bbva.com</t>
  </si>
  <si>
    <t>Remote Model Retail</t>
  </si>
  <si>
    <t>Disponer de un modelo remoto para atender a los clientes retail de manera proactiva y reactiva
 - Interacción con los clientes de forma 100% remota
 - Infraestructura necesaria para interactuar con los clientes como si estuvieran en la oficina
 - Modelo “One Stop Shop” sin capas y roles internos, con foco en migrar llamadas In bound de servicing a modelo DIY
 - Apalancado en tecnología y soluciones basadas en datos</t>
  </si>
  <si>
    <t>- The change in customer behavior in terms of banking activity is turning out to be extraordinarily fast and this means that the transformation guidelines need to be reviewed to ensure they are sufficiently agile. The latest analyses show an exponential increase in DIY activity and digital sales, while branch traffic is drastically decreasing. Additionally, the use of cash is decreasing while digital interactions are increasing considerably. The competition is already executing solutions with different approaches on how to adapt the physical distribution model
 - In that context, the Global discipline developed a long term view strategy for transforming the Human &amp; Physical Touchpoints. This strategy was presented and shared with all countries although it is necessary to go into detail in terms of the speed of implementation and operationalization
 - The main highlights of this strategy are:
 1) Footprint: Branches as a scarce resource
 Geoblue Tool: 3/5 year dynamic strategic footprint plan
 Universal Network: individuals, wealth, SMEs
 2) ATMs
 Sizing model: reducing time of trx. &amp; exposure of stand alone units
 Functionalities: focus on cash and sales proactivity out of peek hours
 3) Service Model based on needs and not value
 F2F: a model without differentiation of value &amp; no 1:1 personalization
 A single model for all remote customers
 4) Enablers:
 Incentives model: simple &amp; clear, adapted to strategy and regulation, focus on customer engagement
 Franchise experience: homogeneus, sustainable, measurable
 Digital enablers: online to offline, branch sensorization, salesforce empowerment
 - With the purpose of helping the countries in their transformation, we have been working in defining, in a very concrete way, the minimum standards that all countries should be meeting to ensure alignment with the long term vision
 - The Minimum Standards have been defined following the Relationship Model framework and have been complemented with the key enablers to achieve the Human &amp; Physical transformation
 - As a summary, ther are 15 + 4 minimum standards defined
 - Given the status vs. Minimum Standards and vs long term view, we propose differente programs / projects to evolve distribution model towards the vision
 2023
 Rechanneling:
 - DIY &amp; Migration plans for branches &amp; Calls (Voice Solutions)
  - Automatic calls typification + Speech to text (Voice Solutions)
  - Traffic management solution integrated w. Banker desktop
 Branch Evolution:
  - Affluent &amp; SME segmentation, service model &amp; roles review
 - Value segments Management Model reinforcement
 - Servicing support solutions for SME’s salesforces
  - Banker’s desktop for Affluent &amp; SME + Mass M Salesforces
 Remote as a channel:
  - Mass Remote Pool scale up (KPIs, incentive, Mng. model,..
  - Management integration Remote - CC
  - Voice infrastructure global modules dev. &amp; deployment (Genesys)
  - Remote signature solutions
  - Text Solutions deployment + new dev. (SMEs, Front Whatsapp,..)
  - Smart Assistant deployment
  - Single Entry Point to route interactions (voice - text)
 Advanced infrastructure:
  - PoC Assistance in digital channels
  - NBA extension to non digital channels &amp; rest of countries
  - Productivity &amp; Interactions performance &amp; Monitoring
 Voice solutions:
  - Voice infrastructure deployment (Genesys Cloud)
  - Voice capabilities development (Genesys Common Modules)
  - DIY &amp; Migration plans for Calls 
  - Automatic calls typification + Speech to text</t>
  </si>
  <si>
    <t>carlosalbert.perez-bbva.com</t>
  </si>
  <si>
    <t>carlosalberto.barreto-bbva.com</t>
  </si>
  <si>
    <t>Human Relationship Models (Reorienting channels)</t>
  </si>
  <si>
    <t>Face to Face (Branch) Service Model transformation</t>
  </si>
  <si>
    <t>SDATOOL-33292</t>
  </si>
  <si>
    <t>Global Supply Chain Finance (démica)</t>
  </si>
  <si>
    <t>- Integración de los mensajes de la empresa Demica (plataforma de confirming) en el Hub Global a través de H2H, incluyendo el tratamiento, distribución y trazabilidad de ficheros de Facturas, Pagos y Descuentos enviados desde la aplicación de Demica.
 - Administración de la cartera de descuentos en Confirming, a través de Dimensión y el Módulo Host para pago y cancelación de esta cartera</t>
  </si>
  <si>
    <t>H3</t>
  </si>
  <si>
    <t>- Ofrece a clientes corporativos una solución de Confirming global, capaz de poner en relación Funders, Buyers y Suppliers a través de una única plataforma y con operaciones en varios países.
 - Acceso a múltiples programas de SCF desde una única pantalla. Formato único de entrada para clientes
 - Se simplifica la estructura de contratos para clientes
 - Oferta estandarizada en las geografías BBVA para Clientes Globales
 - Plataforma Global fácilmente desplegable en las geografías 
 - Gran Look &amp; Feel y UX
 - Menor navegación e inputs en el proceso de descuento
 - Cuadro de mando con información enriquecida para Clientes, Proveedores y Bancos
 - Funcionales Adicionales de SCF: Administración de Notas de Crédito /Módulo para la administración y gestión del Onboarding de Proveedores</t>
  </si>
  <si>
    <t>clara.mora-bbva.com</t>
  </si>
  <si>
    <t>ivanmauricio.perez-bbva.com</t>
  </si>
  <si>
    <t>Enterprise Transactionality</t>
  </si>
  <si>
    <t>SDATOOL-33408</t>
  </si>
  <si>
    <t>Biocatch</t>
  </si>
  <si>
    <t>Contratación de la tecnología necesaria para la protección proactiva contra técnicas de fraude tecnológico que permita proteger a nuestros clientes en las plataformas de banca a distancia.</t>
  </si>
  <si>
    <t>El riesgo de acciones fraudulentas por parte de los Ciber-delincuentes ha aumentado en los últimos años, por lo cual se requiere Identificar en forma pro-activa las situaciones de Suplantación de Identidad en los canales virtuales que le permitan al banco no sólo adelantarse y reducir los casos de fraude, sino también mitigar significativamente el número de reclamos de parte de los clientes.</t>
  </si>
  <si>
    <t>monicaandrea.sanabria-bbva.com</t>
  </si>
  <si>
    <t>jorgeh.cruz-bbva.com</t>
  </si>
  <si>
    <t>Las implicaciones de no implementar la iniciativa está asociada a:
 Aumento de costos pagados por el banco en casos de vishing
 Sistema débil de la protección ante fraude 
 baja tasa de prevención de las acciones del defraudador cuando un cliente es afectado por tendencias de fraude tecnológico. 
 Aumento de reclamos 
 Incremento del riesgo reputacional
 Incumplimiento a requerimientos de auditoría.</t>
  </si>
  <si>
    <t>BPS &amp; Fraud</t>
  </si>
  <si>
    <t>SDATOOL-33846</t>
  </si>
  <si>
    <t>SREP Data Quality- BCBS239 - Colombia</t>
  </si>
  <si>
    <t>Establecer un plan para fortalecer los controles y procedimientos a nivel del BCE con el fin de superar las inexactitudes identificadas en los informes de supervisión y la solicitud ad-hoc. Estas medidas deberán garantizar controles relevantes y efectivos para la disponibilidad de datos de alta calidad, así como procedimientos confiables para recopilar y conciliar los datos.
 Con este assessment se logrará evaluar el grado de cumplimiento de BCBS 239: basado en cuestionarios de cumplimiento. Documentación de la evidencia, estableciendo un red de capacitación y apoyo a los RCA en el proceso de desafío y certificación, mediante la comprensión, adaptación, análisis de controles disponibles localmente e identificación de brechas en los controles DQ. Concreción de líneas de trabajo y desarrollos para alineación BCBS 239 esto con el fin de dar cumplimiento a las estandares de la carta BCBS239 del JST.
  Dar cumplimiento a las estándares de la carta BCBS239 del JST a diciembre 2021 sobre las plataformas actuales. Este cumplimiento se dará en términos de definición y control de los principales procesos y reportes generados al regulador europeo.
 En paralelo el grupo debe generar una versión completa actualizada de la hoja de ruta que acelerará el despliegue de la nueva plataforma de big data que se utilizará para la agregación de datos de riesgos y la presentación de informes de riesgos como solución a largo plazo. Posteriormente, BBVA presentará informes trimestrales de actualización sobre el despliegue continuo de la plataforma a partir del 30 de septiembre de 2020.</t>
  </si>
  <si>
    <t>Durante el Q2 de 2020, el Grupo BBVA ha trabajado en cuatro líneas que inicialmente conformaron la respuesta a la carta del SREP de noviembre 2019. Para asegurar el alineamiento con sus expectativas, BBVA ha revisado el planteamiento con el Supervisor, cuyo feedback ha originado una reflexión desde la óptica de los Principios BCBS 239, y en consecuencia, la elaboración de un nuevo planteamiento.
 Este nuevo planteamiento es clave para ejecutar la estrategia de calidad de datos del Grupo BBVA, con el objetivo de tener la mejor posición de decisiones basadas en datos, así como dar respuesta con éxito a la Carta del Supervisor. El plan debe ser más específico en los entregables de corto plazo, así como diseñar y planificar nuevos entregables (globales y locales), asegurando su integración estructural en el BAU de las Áreas</t>
  </si>
  <si>
    <t>mariluz.ardila-bbva.com</t>
  </si>
  <si>
    <t>$1.043.354.857 (Año 2021 facturación FIG -20).único pago, no es costo recurrente</t>
  </si>
  <si>
    <t>SDATOOL-33847</t>
  </si>
  <si>
    <t>Resolución 0042 DIAN Documento Soporte</t>
  </si>
  <si>
    <t>Efectuar ajustes técnicos con el fin de asegurar el cumplimento de la normativa fiscal de acuerdo a lo requerido en la resolución 042 de la Dian de 2020 - Documento Soporte Operaciones con sujetos no obligados a expedir factura o documento equivalente . (Articulo 55 y normas concordantes)</t>
  </si>
  <si>
    <t>4Q 2020</t>
  </si>
  <si>
    <t>El articulo 771-2 del ET exige para la procedencia de costos, deducciones e impuestos descontables la expedición de este documento soporte en los eventos en los que se realicen operaciones con sujetos no obligados a Facturar contenidos en el articulo 1.6.1.4.3 del DUR 1625 de 2016; para lo cual se deberá expedir el documento soporte que cumpla con los requisitos del artículo 1.6.1.4.12. del DUR 1625 de 2016 y del articulo 55 de la resolución 042 DIAN del 2020.</t>
  </si>
  <si>
    <t>martha.reyes-bbva.com</t>
  </si>
  <si>
    <t>milagros.lastra-bbva.com</t>
  </si>
  <si>
    <t>El riesgo de no efectuar este desarrollo, supone un incumplimiento normativo y generaría Sanciones para el Banco.</t>
  </si>
  <si>
    <t>SDATOOL-33862</t>
  </si>
  <si>
    <t>NDoD Accounting</t>
  </si>
  <si>
    <t>Registro contable de la marcacion de NDoD el cual se realiza desde el aprovisionamiento</t>
  </si>
  <si>
    <t>claudiarocio.lopez-bbva.com</t>
  </si>
  <si>
    <t>wilson.torres-bbva.com</t>
  </si>
  <si>
    <t>El riesgo de no abordar los proyectos o discontinuarlos supondría un incumplimiento con la Holding con las pertinentes sanciones previstas.</t>
  </si>
  <si>
    <t>SDATOOL-33907</t>
  </si>
  <si>
    <t>Manejo Fiscal Prima o Descuento Renta Fija</t>
  </si>
  <si>
    <t>Modificar en el aplicativo Diálogo el tratamiento fiscal de la prima o descuento de las inversiones de renta fija adquiridas a partir del 01-01-2017 según las indicaciones mencionadas mas adelante, con el fin de dar aplicación a lo dispuesto en las siguientes normas: 
 i) Artículos 1.2.4.2.62 y 1.2.4.2.63 del Decreto Único 1625 de 2016 (DUR) en materia de autoretención en la fuente, para inversiones de renta fija en moneda extranjera o en UVR. Y
 ii) Numeral 2 del artículo 33 del Estatuto Tributario en materia de causación lineal para todas las inversiones de renta fija que adquiera el Banco con prima o descuento, sobre las cuales ya no se debe amortizar dichos valores, solo serán parte del costo fiscal en caso de venta.
 Esta petición se debe tener en cuenta para las inversiones con prima o descuento vigentes a 31-12-2019 que presentan prima o descuento pendiente de amortizar, sobre las cuales es preciso congelar el valor de la prima o descuento pendiente por amortizar y reversando el efecto de amortización de 2020, así como las adquiridas en 2020, sobre las cuales se debe dar aplicación a la norma mencionada.
 Es importante aclarar que el cálculo del costo fiscal no presenta ninguna modificación.
 Las inversiones adquiridas hasta el 31-2-2016, deben conservar el manejo actual</t>
  </si>
  <si>
    <t>Dar correcta aplicación a las normas fiscales vigentes con el fin de evitar sanciones o contingencias por parte de los entes de control en la materia.
 * Artículo 1.2.4.2.62 del Decreto Único 1625 de 2016 (DUR) 
 * Artículo 1.2.4.2.63 del Decreto Único 1625 de 2016 (DUR) 
 * Artículo 1.2.4.2.67 del Decreto Único 1625 de 2016 (DUR) 
 * Numeral 2 del artículo 33 del Estatuto Tributario
 * Literal b del numeral 5 del art.74-1 del Estatuto Tributario</t>
  </si>
  <si>
    <t>Dar correcta aplicación a las normas fiscales vigentes con el fin de evitar sanciones o contingencias por parte de los entes de control en la materia</t>
  </si>
  <si>
    <t>SDATOOL-33947</t>
  </si>
  <si>
    <t>Sinergias Bancamia</t>
  </si>
  <si>
    <t>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t>
  </si>
  <si>
    <t>En aras de maximinar nuestro footprint de forma eficiente, se ha valorado una alianza con Bancamía que permita que clientes BBVA puedan realizar operaciones en efectivo tanto en sus oficinas como en sus corresponsales bancarios. Esto nos permite captar nuevo potencial de negocio importante al tener capilaridad adicional tanto en recaudo de convenios como de clientes de nómina</t>
  </si>
  <si>
    <t>juhan.lozano-bbva.com</t>
  </si>
  <si>
    <t>erikajulieth.ruiz-bbva.com</t>
  </si>
  <si>
    <t>camilo.aguirre-bbva.com</t>
  </si>
  <si>
    <t>SDATOOL-34157</t>
  </si>
  <si>
    <t>Evolutivo Parthnership - Crédito en punto de venta de Aliados</t>
  </si>
  <si>
    <t>La plataforma de préstamos para alta en punto de venta de aliados, requiere tener evolutivos que permitan incrementar su público objetivo y tener cerradas las funcionalidades.</t>
  </si>
  <si>
    <t>"1. Partnerships origination
 2. Digital &amp; scalable Product availability (Open Banking Platform + APIs development)
 3. Implementation and support to the channel
 4. Funnel management of existing partnershipsm 
 2023 
 - South America: Launch Channel in: Per (Q1-23), Arg. 
 - Spain 
  - Capabilities: B2B2C Model, Migration plan of retail use cases from legacy (Q2-23); Private portal deployment, Monitoring and Billing capabilities, Documents signature
  - Services: Immediate Payments, Payments with FX, Bulk Payments, Confirming, PEMUS, Notifications, Account list retrievement; Detail of Account transactions, Account info in C43; One View through Open Banking, Account Holder verification
 - México
  - Capabilities: B2B2C Model, One single channel for OB (migration legacy platforms retail and enterprises, and OP3N closing); Private portal deployment, Digital onboarding. BBVA Mx SENDA integration
  - Services: Enterprise: Business Account info, Notifications; Business Payments &amp; Collections. Retail (some are migration): Auto Insurance &amp; Loan, Credit card, Checkout Lending v2; Account opening and info, Mortgages, Location"</t>
  </si>
  <si>
    <t>sandrajohanna.gonzalez-bbva.com</t>
  </si>
  <si>
    <t>Open Market through 3rd Parties (Open Banking &amp; Partnerships)</t>
  </si>
  <si>
    <t>SDATOOL-34168</t>
  </si>
  <si>
    <t>DWP Banca Wealth Colombia</t>
  </si>
  <si>
    <t>Con la implementaciòn de la nueva Banca Privada, se requiere el desarrollo de nuevas herramientas que permitan la gestiòn comercial de los Clientes de principio a fin, desde el conocimiento anticipado de la posicion del Cliente dentro y fuera del banco, como el adecuado perfilamiento acorde a sus preferencias y objetivos de vida y adicionalmente el seguimiento y las alertas a la gestiòn comercial que permitan validar que efectivamente el Cliente ha sido gestionado con la Oferta del Portafolio Correcto.</t>
  </si>
  <si>
    <t>3Q 2021</t>
  </si>
  <si>
    <t>"Impulse the cross-border business through three leverages:
 - Cross-border commmercial strategy
 - BBVA Pivot with the transformational plan
 - FX Business"</t>
  </si>
  <si>
    <t>nancymayerly.castiblanco-bbva.com</t>
  </si>
  <si>
    <t>pabloandres.villada-bbva.com</t>
  </si>
  <si>
    <t>International Banking Solutions &amp; Cross Border</t>
  </si>
  <si>
    <t>SDATOOL-34598</t>
  </si>
  <si>
    <t>Macros Procesos de Negocio</t>
  </si>
  <si>
    <t>Automátización y optimización en los procesos de negocio en el uso de macros de alta importancia en la valoración , gestión , blotter de diferentes productos en la mesa de dinero asegurando la seguridad de la información y mejores practicas para el soporte de los procesos de negocio, cierre de condicionantes para Corporate Assurance del Swadow IT</t>
  </si>
  <si>
    <t>-Plan de acción Shadow IT y Corporate Assurance
 -Optimización en la ejecución de procesos
 - Mejorar las buenas practicas en la construcción de macros de negocio
 - Garantizar seguridad de la información y evitar fuga de datos sensibles</t>
  </si>
  <si>
    <t>SDATOOL-34750</t>
  </si>
  <si>
    <t>Seguros - Suscripción/Siniestros Seguros Licitación</t>
  </si>
  <si>
    <t>Implementar un sistema de flujos para el proceso de suscripción de seguros vinculados que incluya: solicitud en la oficina, revisión técnica-suscripción, exámenes médicos, revisión médico suscriptor y sanción.</t>
  </si>
  <si>
    <t>1. Solutions
 Non-life partnerships
 - Pardo
 - Health
 Enhance product portfolio 
 - Life: risk + savings
 - Sustainability 
 2. Digital Capabilities
 - Global Digital Sales Program (incl. contextualization and embedded insurance)
 - Global Data Models
 3. Distribution Model
 - Branches as an Advisory Center
 - SMEs, Mid-size enterprises and Corporates
 - Open Market &amp; Brokers</t>
  </si>
  <si>
    <t>sandracarolina.miranda-bbva.com</t>
  </si>
  <si>
    <t>dianacarolina.gonzalez.castri-bbva.com</t>
  </si>
  <si>
    <t>Incumplimiento de la oferta realizada en la licitación</t>
  </si>
  <si>
    <t>Insurance</t>
  </si>
  <si>
    <t>SDATOOL-34751</t>
  </si>
  <si>
    <t>Seguros - Automatización Bancaempresas</t>
  </si>
  <si>
    <t>Implementar una herramienta de flujos y una herramienta de front para la solicitud, cotización y expedición de pólizas relacionadas con la línea de seguros de empresas</t>
  </si>
  <si>
    <t>Detrimento de las funcionalidades actuales</t>
  </si>
  <si>
    <t>SDATOOL-34752</t>
  </si>
  <si>
    <t>Seguros - Reportería y Data Quality</t>
  </si>
  <si>
    <t>Dotar a la compañía de una herramienta de generación de cuadros de mando para procesos específicos del negocio de seguros. Se conectará a la plataforma core de seguros Acsel X para la generación de cuadros de control en línea que permita hacer seguimiento a la siniestralidad (triangulada y en estanco), siniestralidad por uso y frecuencia, IBNR (Incurred but not reported), entre otros.</t>
  </si>
  <si>
    <t>Si el proyecto no se lleva a cabo se incurre en duplicidad de reportes, manualidad, ineficiencia, diferencias entre informes y errores en la toma de decisiones</t>
  </si>
  <si>
    <t>SDATOOL-34755</t>
  </si>
  <si>
    <t>Seguros - Obsolescencia 2021</t>
  </si>
  <si>
    <t>Línea para la implementación de aplicaciones, desarrollos y mejoras que sean requeridos por obsolescencia.</t>
  </si>
  <si>
    <t>Aumento de la probabilidad de riesgo de pérdida, errores, y demoras de código en las versiones de las aplicaciones AcselX y AcselWeb que se manejan actualmente para todo el core de la aseguradora</t>
  </si>
  <si>
    <t>SDATOOL-34778</t>
  </si>
  <si>
    <t>[Growth] Adelanto de venta</t>
  </si>
  <si>
    <t>Desarrollar una funcionalidad para que el cliente pueda solicitar en Net Cash un adelanto de su venta, basándonos en el promedio de su venta por datáfono de los últimos 3 meses, se le permitirá dar un crédito</t>
  </si>
  <si>
    <t>"This product is a way to acquire new clients, increase engagement and reduce attrition. It is aligned with 2 of our main priorities in Client Solutions:
 - SMEs: access to financing for SMEs through POS, one of the core products for the segment
 - Acquiring: incorporate value added services to differentiate from competition. Additionally it is part of the core proposal in Mercurio strategy in LatAm"</t>
  </si>
  <si>
    <t>nelson.ramirez-bbva.com</t>
  </si>
  <si>
    <t>hernan.riveros-bbva.com</t>
  </si>
  <si>
    <t>SMEs Financing</t>
  </si>
  <si>
    <t>SDATOOL-34782</t>
  </si>
  <si>
    <t>Solicitud de cupo DIY</t>
  </si>
  <si>
    <t>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t>
  </si>
  <si>
    <t>Hoy los clientes para solicitar un cupo de crédito tienen dependencia del equipo comercial y se toma mucho tiempo, lo que buscamos es reducir los tiempos del cliente entre la solicitud y la formalización y aumentar las solicitudes de clientes.</t>
  </si>
  <si>
    <t>Enterprise Financing</t>
  </si>
  <si>
    <t>SDATOOL-34887</t>
  </si>
  <si>
    <t>Vivienda Digital Open Market</t>
  </si>
  <si>
    <t>Generación de lead en página web para aprobación en línea y formalización en fábrica, que pueda ser implementado y usado en el punto de venta de cada constructora para no clientes y clientes del banco.</t>
  </si>
  <si>
    <t>"To grow the customer base thru very simple onboarding processes and enabling new environments to acquire users that will ultimately become customers
 Advantages for BBVA: 
 - Boost our transformation into a digital company
 - Make the purpose real
 - Generate more revenues by acquiring more engaged customers
 - Get non customer data to enhance BBVA database and insights
 - Provide the best advice proposal to users based on this data
 Advantages for our customers &amp; users:
 - Eliminate all frictions to become a customer
 - Have access to all BBVA services currently just in hands of customers 
 - Having a single platform to manage all every financial matter
 In economic terms, in 2019 new customers onboarding will generate estimated 0.5M in Spain, 3.7M in Mexico and 0.2M in Perú. In addition, €3.1M will be saved in FTEs salaries. 
 Link to BUSINESS CASE:
 https://docs.google.com/spreadsheets/d/1R95NNtsclrcWse2F_LhOjt0cNcVr6Rwabo5ny1Mdw6c/edit#gid=394469971 
  2023
 - Fallback products (Turkey, Mexico, Colombia)
 - MGM for credit cards (Mexico, Colombia)
  - New scorings using digital footprint (Peru, Colombia, Argentina, Turkey)
  - New scorings PoC using external data (telco Mexico, Spain, Colombia)
  - Marketing budget based on performance
  - ""Pon tu cuenta en Marcha"" (Mexico)"</t>
  </si>
  <si>
    <t>monica.zamudio-bbva.com</t>
  </si>
  <si>
    <t>liliana.marquez-bbva.com</t>
  </si>
  <si>
    <t>julio.avila2-bbva.com</t>
  </si>
  <si>
    <t>Open Market through Own Channels</t>
  </si>
  <si>
    <t>Libranza Digital</t>
  </si>
  <si>
    <t>Formulario de Libranza Digital V2.0 en página web con validaciones y perfilamiento del Lead para ser asistido por comercial y disposición en fábrica</t>
  </si>
  <si>
    <t>brigitteyesenia.beltran-bbva.com</t>
  </si>
  <si>
    <t>SDATOOL-35327</t>
  </si>
  <si>
    <t>Impuestos 2021</t>
  </si>
  <si>
    <t>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t>
  </si>
  <si>
    <t>Proyectos normativos locales que ocupan capacidad de staffing local de CS.
 Local regulatory projects that use CS' local staffing capabilities.</t>
  </si>
  <si>
    <t>elizabeth.diaz-bbva.com</t>
  </si>
  <si>
    <t>nelson.ruiz-bbva.com</t>
  </si>
  <si>
    <t>william.vargas-bbva.com</t>
  </si>
  <si>
    <t>SDATOOL-35329</t>
  </si>
  <si>
    <t>Activo Particular 2021</t>
  </si>
  <si>
    <t>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t>
  </si>
  <si>
    <t>Mejoramiento de los productos de préstamos del segmento persona natural (Consumo y lineas de vivienda) con funcionalidades para disminuir el riesgo operacional y optimizar el proceso comercial del producto.</t>
  </si>
  <si>
    <t>marthapatric.cruz-bbva.com</t>
  </si>
  <si>
    <t>lady.cervera-bbva.com</t>
  </si>
  <si>
    <t>SDATOOL-35336</t>
  </si>
  <si>
    <t>MdP 2021</t>
  </si>
  <si>
    <t>Mejorar la oferta de producto de medios de pago y crear nuevas funcionalidades para tarjetas de crédito y débito, cumplir con exigencias operativas de las franquicias (Visa y Master Card) para mejoramiento y mantenimiento de la operación.
 Ajustar el aplicativo de Medios de Pago para incluir las mejoras, mantenimientos, nuevos productos y nuevas funcionalidades informadas por las franquicias (Visa y Mastercard) y redes (Credibanco Y Redeban) en los comités técnicos y operativos. Adicional mejorar el servicio al cliente en todos los procesos relacionados con las tarjetas.</t>
  </si>
  <si>
    <t>- Bring out the most valued digital DIY service capability in retail payments and extend the awareness and usage across all markets
 - Based on a digital first approach, strengthen our digital positioning to acquire new customers, offering the existing ones the option to get access to it as an “upgrade” 
 - Increase payments activity and cards usage boosting our transaccional and financing revenues 
  2023 
  - Orange 1.0: Full deployment in Argentina and Colombia
 - Orange 2.0 Flexible financing: Grow installments, expand to debit, financing dashboard, product detail revamp. Start implementation in Spain, Mexico, Peru, Argentina and Colombia
  - Loyalty: Integrate promotions / cashback capabilities in GloMo in Mexico, Peru, Colombia and Argentina
 - New Payments rails: Revamp current use cases UX, launch new ones and integrate vas in Spain, Mexico, Peru, Colombia and Argentina
 - Digital wallets: Integrate / Enhance BBVA Mobile Payments in GloMo (Mexico, Peru, Argentina) and integrate 3rd party wallets (Mexico, Colombia)</t>
  </si>
  <si>
    <t>maritza.castillo-bbva.com</t>
  </si>
  <si>
    <t>manuel.villamil-bbva.com</t>
  </si>
  <si>
    <t>Payments Issuing</t>
  </si>
  <si>
    <t>SDATOOL-35350</t>
  </si>
  <si>
    <t>Lean Office (Biblioteca Transaccional y Nuevo Modelo de Impresión)</t>
  </si>
  <si>
    <t>Optimización de procesos, sistemas y liberación de tiempo dedicado a tareas de la oficina principalmente realizadas por el AIS. (Asesor integral de servicios).
 1. Nuevo modelo de impresión
 2. Biblioteca transaccional</t>
  </si>
  <si>
    <t>Implementar una serie de iniciativas que permitan la optimización de procesos, sistemas y liberación de tiempo dedicado a tareas de la oficina principalmente realizadas por el AIS y Gestión.</t>
  </si>
  <si>
    <t>fabian.vargas-bbva.com</t>
  </si>
  <si>
    <t>H&amp;P Touchpoints Maintenance (RUN)</t>
  </si>
  <si>
    <t>Other Channels: External Salesforces, C. Bancarios</t>
  </si>
  <si>
    <t>SDATOOL-35357</t>
  </si>
  <si>
    <t>Normativo Local - DIAN - 2021</t>
  </si>
  <si>
    <t>Crear y/o actualizar procesos para la validación, generación de formatos y/o certificados tributarios y aseguramiento de información tributaria, con el fin de cumplir con lo establecido por la regulación actual de las autoridades fiscales de orden Nacional, Departamental y Municipal.</t>
  </si>
  <si>
    <t>Adecuaciones y desarrollos para el cumplimiento de los requerimiento legales establecidos por reguladores fiscales.</t>
  </si>
  <si>
    <t>july.miranda-bbva.com</t>
  </si>
  <si>
    <t>SDATOOL-35384</t>
  </si>
  <si>
    <t>Gestión Documental Pyme Admisión</t>
  </si>
  <si>
    <t>Modelo del gestión documental para los procesos de contratación en canales digitales y presenciales</t>
  </si>
  <si>
    <t>Automatizar los procesos a cero papel</t>
  </si>
  <si>
    <t>jhon.molina-bbva.com</t>
  </si>
  <si>
    <t>david.robayo-bbva.com</t>
  </si>
  <si>
    <t>SDATOOL-35463</t>
  </si>
  <si>
    <t>Gestión de Ingresos - Períodos de Gracia Libranzas</t>
  </si>
  <si>
    <t>Implementar una iniciativa que incrementará los ingresos del Banco. Especificamente se propone financiar los intereses correspondientes al periodo de gracia inicial en créditos de Libranza</t>
  </si>
  <si>
    <t>Se propone financiar los intereses del periodo de gracia dentro del monto desembolsado.Únicamente para NP.</t>
  </si>
  <si>
    <t>felipe.vega.aguilera-bbva.com</t>
  </si>
  <si>
    <t>maritza.guerrero-bbva.com</t>
  </si>
  <si>
    <t>El riesgo de no abordar los proyectos o discontinuarlos supondría que los ingresos estimados no se den, estos estan estimados en mas o menos 2.700 millones al años.</t>
  </si>
  <si>
    <t>Profitability Management</t>
  </si>
  <si>
    <t>SDATOOL-35464</t>
  </si>
  <si>
    <t>GRM Col - Arce Corporates - Licencias Saleforce</t>
  </si>
  <si>
    <t>Adquisición licencias Saleforce requeridas dentro de la implementación de Arce Corporates para Colombia.
 Disciplina global: Wholesale Credit</t>
  </si>
  <si>
    <t>1Q 2024</t>
  </si>
  <si>
    <t>Improvement in the corporates platform (processes, people and technology) of analysis and sanction of wholesale credit risks, seeking the following objectives:
 1. A new workflow: traceable risk processes and decisions
 2. A new enhanced Client Risk Analysis, integrating Rating, Limit Advisor &amp; Risk Appetite Framework improvements gradually
 3. A new boosted Wholesale Data-driven platform 
 4. A Risk Desktop: tasks, alerts and client/group info, including EWS (early warning system).</t>
  </si>
  <si>
    <t>carlosmauricio.torres-bbva.com</t>
  </si>
  <si>
    <t>danielfelipe.rodriguez-bbva.com</t>
  </si>
  <si>
    <t>jorge.morales.ayala-bbva.com</t>
  </si>
  <si>
    <t>Los costos de no implementar este proyecto son altos, ya que las licencias de salesforce son necesarias para darle continuidad al negocio, lo anterior teniendo en cuenta la obsolescencia de la plataforma RA.</t>
  </si>
  <si>
    <t>Sales-forces Front Transformation Tools</t>
  </si>
  <si>
    <t>SDATOOL-35621</t>
  </si>
  <si>
    <t>DOCUMENTO SOPORTE FASE II - DIALOGO</t>
  </si>
  <si>
    <t>Mejora al aplicativo Dialogo para dar cumplimiento a la norma fiscal. La Resolución Dian 042 de 2020 establece que las entidades que adquieran bienes o servicios, de personas que no están obligadas a facturar y o a expedir documento equivalente a la factura o sean prestados por personas residentes en el exterior, DEBE expedirse un documento soporte</t>
  </si>
  <si>
    <t>Dar cumplimiento a la Resolución Dian 042 de 2020 y garantizar la deducción de los pagos por estos conceptos a los no obligados a emitir factura o documento equivalente a la factura.</t>
  </si>
  <si>
    <t>El riesgo de no abordar los proyectos o discontinuarlos supondría un incumplimiento con la norma con las pertinentes sanciones previstas.</t>
  </si>
  <si>
    <t>Cupos y límites</t>
  </si>
  <si>
    <t>Herramienta para controlar cupos de crédito de clientes Pymes y Empresariales, generar reportería, conectarse con los canales digitales, para lograr hacer ofertas digitales a los clientes empresariales sin el riesgo actual de sobre endeudamiento</t>
  </si>
  <si>
    <t>1. H2H distribution model
 - Complete coverage of High Value SMEs by SME experts
 - Highest possible capillarity for High Value SMEs 
 - Reference role for Low Value SMEs in all the branches
 2. Risk
 - Ensure all eligible SME clients and prospects (where the external data is available) to have a pre-approved loan offer
 - Competitive cycle times for reactive loan applications in all countries
 - E2E digital risk assessment for non clients for small ticket loans and business cards
 3. DIY Capabilities
 - E2E digital onboarding for non-clients, starting with sole traders
 - E2E digital sales capabilities for core products at least in one digital platform</t>
  </si>
  <si>
    <t>SDATOOL-35663</t>
  </si>
  <si>
    <t>Capacidades FX GM</t>
  </si>
  <si>
    <t>1. Solicitar al proveedor del precio la totalidad de los cruces de divisas forward, lo cual implicara incrementar el paquete de curvas que tenemos contratado en la actualidad. En este primer plazo se alimentaran todas las nuevas curvas a Asset Control y se harán las parametrizaciones necesarias en STAR y Dialogo para poder maximizar la oferta de forwards con liquidación financiera a nuestros clientes. (Abril 31, 2021)
 2. Para poder realizar el delivery tanto de los forwards como de los spots, es necesario que nuestra área de Back Comex sea capaz de conciliar los giros correspondientes de las operaciones de FX contra los débitos a nuestras cuentas corresponsales, este es probablemente el reto mas grande del proyecto. Ya que se vera un giro en una moneda X versus un debito en dólares a la cuenta del banco que nos este prestando el servicio de liquidación. (Mayo 15, 2021)
 3. De manera simultanea, se adelantaran negociaciones con los diferentes Bancos internacionales que ofrecen este servicio de liquidación de divisas a terceros, en la mayoría de los casos los costos son totalmente variable y se encuentran en el tipo de cambio aplicado al dólar versus la divisa X. Por este motivo es importante contar con el servicio varios bancos para obtener precios competitivos. (Mayo 15, 2021)
 4. En el primer paso del Proyecto se solucionan los retos de valoración para después poder concentrarse en la liquidación de las divisas, una vez se haya desarrollado para Bacomex una herramienta que permita conciliar la cuenta contable de “cuentas del extranjero”, podremos activar los contratos de liquidación a terceros con los bancos que hayamos escogido para proveer este servicio. Al final terminaremos con: (Jun 30, 2021)</t>
  </si>
  <si>
    <t>2Q 2021</t>
  </si>
  <si>
    <t>marioalberto.sanchez-bbva.com</t>
  </si>
  <si>
    <t>SDATOOL-35697</t>
  </si>
  <si>
    <t>GRM - Garantías Hipotecarias - Ingesta de Datos</t>
  </si>
  <si>
    <t>Modificación al proceso de ingesta de datos y facultades al modulo de garantías hipotecarias a fin de garantizar la calidad de la información registrada en la herramienta Nacar- Modulo de garantías.
 Disciplina Global: Retail Credit</t>
  </si>
  <si>
    <t>El proyecto permitirá que la aseguradora bbva perciba mayores ingresos por pago de primas anuales e incremento en las comisiones para el banco, dado que se disminuye el riego operativo por captura errada al trascribir la información de las firmas valuadoras por parte de la red de oficinas.</t>
  </si>
  <si>
    <t>nelson.antorveza-bbva.com</t>
  </si>
  <si>
    <t>omar.monroyp-bbva.com</t>
  </si>
  <si>
    <t>Al no llevar a cabo la iniciativa, se verían afectados los valores de asegurabilidad del producto en la inadecuada ingesta tanto del valor del avalúo como el valor asegurable, así como las comisiones frente a la aseguradora.
 De igual forma se incurre en un alto riesgo operativo por captura errada al transcribir la información de las firmas valuadoras por parte de la red de oficinas. Esto conlleva a la consecuente afectación a las provisiones dado que la cobertura de la garantía tiene efectos sobre las provisiones y un valor errado puede generar en un cálculo errado a efectos de las provisiones y el gasto</t>
  </si>
  <si>
    <t>Transaction processing</t>
  </si>
  <si>
    <t>SDATOOL-35771</t>
  </si>
  <si>
    <t>Pricing enterprises products - Plan Ascenso Autónomos</t>
  </si>
  <si>
    <t>Desarrollar una herramienta, que nos permita cobrar tasas de acuerdo al perfil de riesgo, sensibilidad e indicadores de rentabilidad (RORc, RAROEC).</t>
  </si>
  <si>
    <t>ivan_dario.ariza-bbva.com</t>
  </si>
  <si>
    <t>angiez.cubides-bbva.com</t>
  </si>
  <si>
    <t>SDATOOL-35775</t>
  </si>
  <si>
    <t>(Work Day) Nueva Plataforma Core Colombia- Impacto en Terceros</t>
  </si>
  <si>
    <t>Desarrollos para mitagar el Impacto de aplicacionesa terceros por implantación nueva plataforma core T&amp;C Work Day.</t>
  </si>
  <si>
    <t>Necesidad de acompañar la implantación del nuevo modelo de T&amp;C con las adaptaciones que ese nuevo modelo genera en el resto de la organización.</t>
  </si>
  <si>
    <t>carlos.combita-bbva.com</t>
  </si>
  <si>
    <t>El no realizarse genera un impacto en el funcionamiento de las aplicaciones core del Negocio, teniendo en cuenta que estas aplicaciones aprovisionan información para acceso a sistemas, facultades y todo el modelo de perfilado del Banco (Impacto en Banco y demás empresas del grupo)</t>
  </si>
  <si>
    <t>SDATOOL-36047</t>
  </si>
  <si>
    <t>Bloqueo Sobregiro para Pago Capital e Intereses</t>
  </si>
  <si>
    <t>Implementar un control en el sistema, el cual bloquee el uso de sobre giros para la ejecución de operaciones de moneda extrajera.</t>
  </si>
  <si>
    <t>yeraldineandrea.sierra-bbva.com</t>
  </si>
  <si>
    <t>Repositorio flujos ventas digitales flujos - Plan Ascenso Open Market</t>
  </si>
  <si>
    <t>Crear una herramienta que permita generar consultas masivas y en el uno a uno de los procesos de ventas digitales</t>
  </si>
  <si>
    <t>geovany.ramirez-bbva.com</t>
  </si>
  <si>
    <t>alexandra.vargas-bbva.com</t>
  </si>
  <si>
    <t>SDATOOL-36229</t>
  </si>
  <si>
    <t>Corresponsal Bancario PTM</t>
  </si>
  <si>
    <t>Corresponsal Bancario</t>
  </si>
  <si>
    <t>Capilaridad en recaudo y nóminas</t>
  </si>
  <si>
    <t>giulianaandrea.guarin-bbva.com</t>
  </si>
  <si>
    <t>rafael.lopesierra-bbva.com</t>
  </si>
  <si>
    <t>SDATOOL-36358</t>
  </si>
  <si>
    <t>Pagos por Terceros (Mandato y/o Administración) - Información exógena DIAN - Resolución 0098 DIAN</t>
  </si>
  <si>
    <t>Adecuar el aplicativo Sileasing con el fin de atender y dar cumplimiento a lo dispuesto
 en la Resolución 000098 de 28 de Octubre 2020 - Información exógena DIAN Vigencia
 2021 respecto a la Información de pagos o abonos en cuenta y retenciones
 practicadas por contratos de mandato o ingresos para terceros en el año, donde se
 requiere especificar por cada tercero cuanto es el valor de la compra y/o servicio,
 cuanto es el valor del IVA mayor valor y cuanto el Impuesto al Consumo y el municipio
 asociado al Centro de Destino donde se realiza la compra del bien (Fuente de
 información para los reportes municipales), adicional identificar los gastos asociados al
 contrato (servicios, impuestos, seguros, comparendos etc) que finalmente son
 pagados por el BBVA y cobrados a los locatarios y deben ser reportados a la DIAN y
 demás entes de control fiscal en los formatos establecidos bajo la categoría de
 Mandato y/o administración delegada.</t>
  </si>
  <si>
    <t>Dar cumplimiento a lo requerido por la DIAN</t>
  </si>
  <si>
    <t>SDATOOL-36501</t>
  </si>
  <si>
    <t>Seguros - Cobro de seguros libres en créditos - Desempleo Fase 2</t>
  </si>
  <si>
    <t>Implementar dentro de algunas carteras de crédito (Libranzas) la posibilidad de cobrar un seguro libre. Teniendo en cuenta que este se puede cancelar a disposición del cliente.</t>
  </si>
  <si>
    <t>felipe.guzman-bbva.com</t>
  </si>
  <si>
    <t>CRM (AUG) optimization - Plan Ascenso - Cross Sell</t>
  </si>
  <si>
    <t>Queremos contar con una herramienta que permita tener la vista 360° de los clientes pymes para el desarrollo de las acciones comerciales con el objetivo de realizar la profundización de clientes.
 Estas funcionalidades las queremos adelantar sobre la plataforma AUG que actualmente tiene las mismas funcionalidades para retail.</t>
  </si>
  <si>
    <t>- Global CRM Customer Journeys (Acquiring and POS linked loans mainly, among other things)
 - New channels and functionalities connected to the CRM platform (SFMC)
 - Includes Adobe feedback in Whitebox Retail, automated recommendations in branches (Retail and Enterprise) and Center of Gravity and Open Market journeys.
 - Updated information on our portfolio (both clients and prospects)
 - Identification of conversion funnel of leads
 - Dealflow follow up</t>
  </si>
  <si>
    <t>pabloalexand.ortiz-bbva.com</t>
  </si>
  <si>
    <t>jorgeenrique.vivas-bbva.com</t>
  </si>
  <si>
    <t>SDATOOL-36509</t>
  </si>
  <si>
    <t>Centralización de la formalización de desembolsos Pymes</t>
  </si>
  <si>
    <t>Se requiere el montaje de una fábrica de formalización de operaciones de créditos comerciales con el fin de realizar los procesos de desembolso de manera centralizada.</t>
  </si>
  <si>
    <t>"1. Relationship Model for Commercial clients: Have a homogeneous and state-of-the-art implemented Management Model (competitive advantage) in our footprint
 2. Customer Experience (CX): Enhance all Segments Voice of Customers (VoC) by generating CX insights in the most relevant interactions to improve business &amp; profitability and lastly, achieve a best-in-class CX 
 3. Commercial Digital Workplace (DWP): Ensure the usage of DWP as the only front tool of the RM to improve productivity and client experience"</t>
  </si>
  <si>
    <t>oscar.bejarano-bbva.com</t>
  </si>
  <si>
    <t>SDATOOL-36510</t>
  </si>
  <si>
    <t>Corresponsal Bancario Su RED</t>
  </si>
  <si>
    <t>Realizar la migración transaccional de nuestras oficinas a 6.600 distribuidos a nivel nacional (Antioquia, Boyacá, Cesar, Cauca, Tolima, Nariño)</t>
  </si>
  <si>
    <t>Necesitamos descargar la oficina y se requiere ampliar la capilaridad con el fin de incrementar la nominas.</t>
  </si>
  <si>
    <t>SDATOOL-36512</t>
  </si>
  <si>
    <t>Actualización Titulares de Códigos Únicos -Modelo Agregador Bolsa de Códigos</t>
  </si>
  <si>
    <t>Actualizar de forma automática el NIT un tercero, que inicialmente se crea con NIT de patrocinado y luego debe cambiar al NIT y nombre del tercero en la base de terceros y de adquirencia</t>
  </si>
  <si>
    <t>4Q 2021</t>
  </si>
  <si>
    <t>In South America, Acquiring business represents a big opportunity for BBVA to capture new merchants and their relationship due to lack of development of the business: low penetration, lack of innovation and differentiation, high expected growth (CAGR&gt;12%), and regulation changes that reduce the entry barriers and promote competence. 
 2023:
 - Launch acquiring business in Argentina
 - Integrate E-global / Redsys as acquiring processor in Argentina (Colombia TBD)
 - Develop competitive acquiring capabilities in Peru
 - Mercurio Latam:
  - Launch new acceptance solutions and value added services through Openpay(e-commerce Arg, Autonomous POS..)
  - Evolve current solutions from MVPs to next level (e-commerce, mPOS) and integrate new payment methods (Amex, Dinners)
  - Enable acquiring solutions in BBVA channels (mPOS and Business intelligence integrated in GloMo and Gema)
 - Develop Payment Facilitator in Turkey 
 - Execute on alternatives to complement value proposition in Spain
 - Evolve sales processes in physical and digital channels at BBVA from first MVPs to best in class 
 - Evolve life cycle management from basic to advance journeys</t>
  </si>
  <si>
    <t>miguel.poloche-bbva.com</t>
  </si>
  <si>
    <t>Payments Acquiring</t>
  </si>
  <si>
    <t>SDATOOL-36519</t>
  </si>
  <si>
    <t>Bin 8 digitos</t>
  </si>
  <si>
    <t>Mandatorio de Franuicias Visa y Mastercad que exige la implementación y uso de Bines de 8 dígitos a partir de 2022</t>
  </si>
  <si>
    <t>josemiguel.sanchez.barrantes-bbva.com</t>
  </si>
  <si>
    <t>SDATOOL-36521</t>
  </si>
  <si>
    <t>Despriorizado - Fase 2 Bonita 7 Vehículo</t>
  </si>
  <si>
    <t>Se requiere realizar los siguientes ajustes:
 1. Habilitar cambio de condiciones en la etapa de prenda.
 2. Mensaje de aprobación de la operación ( se está generando mensaje de devolución y negación)
 3. Se requiere que el valor del crédito desembolsado permita actualizar en la prenda, actualmente el valor aprobado del crédito queda como valor garantía y si el cliente decide tomar un menor valor, no se puede ajustar 
 4. Carta de aprobación, no vienen los sujetos 
 5. Etapa referenciación no permite colocar caracteres como -, _ , . , para colocar correo de recursos humanos. 
 6. Referenciación independientes no permite subir el informe de visita. 
 7. Generar Etapa de Dactiloscopia independiente, para que permita adelantar la etapa sin afectar el proceso.</t>
  </si>
  <si>
    <t>Con la salida de bonita 7 a producción se ha evidenciado varias fallas en el proceso que han deteriorado el time to market y genera cargas operativas que con bonita 5 no se generaban. Estos fallos no los contemplamos desde el inicio razón por la cual se requiere realizar un evolutivo.
 Ya se encuentra en valoración por parte de IT</t>
  </si>
  <si>
    <t>alejandro.fandino-bbva.com</t>
  </si>
  <si>
    <t>olga.lara-bbva.com</t>
  </si>
  <si>
    <t>leonardodavid.valencia-bbva.com</t>
  </si>
  <si>
    <t>Libranza E2E digital Fase III - Plan Ascenso Privado</t>
  </si>
  <si>
    <t>Habilitar proceso de desembolso 100% en digital en libranza. El alcance es: 
 1. Crear una función de aprobación de libranzas por medio de Net cash.
 2. Integración con pagadores 100% digitales</t>
  </si>
  <si>
    <t>Vehículo E2E digital fase IV</t>
  </si>
  <si>
    <t>Aprobación y desembolso 100% digital para créditos de vehículo sin prenda. Adicionalmente, se incorpora la financiación a 14 cuotas</t>
  </si>
  <si>
    <t>diegoandres.rodriguez-bbva.com</t>
  </si>
  <si>
    <t>SDATOOL-36547</t>
  </si>
  <si>
    <t>PLAN MAYOR -PLAN MENOR. Plan ascenso Open Market</t>
  </si>
  <si>
    <t>Entregar una Herramienta que permita Administrar el Plan Mayor junto con las garantías y el repago del endeudamiento de plan mayor con el plan menor mediante financiación o pago de contado por la adquisición del bien o servicio.</t>
  </si>
  <si>
    <t>Hoy no tenemos una herramienta de control de inventarios como garantía a los cupos de los capitales de trabajo aprobados.</t>
  </si>
  <si>
    <t>DIY Products (E2E Sales)</t>
  </si>
  <si>
    <t>Optimización consumo web - Plan ascenso Open Market</t>
  </si>
  <si>
    <t>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t>
  </si>
  <si>
    <t>sandra.espinosa-bbva.com</t>
  </si>
  <si>
    <t>SDATOOL-36554</t>
  </si>
  <si>
    <t>Despriorizado - Modelo Scoring PYME - Plan Ascenso - Autónomos</t>
  </si>
  <si>
    <t>Contar con una herramienta de scoring que evalúe las solicitudes de los clientes pyme con ventas hasta COP$ 6.000 M y entregue una recomendación de aprobación, basada en una evaluación paramétrica.</t>
  </si>
  <si>
    <t>Actualmente no existe un modelo que califique las variables cualitativas y cuantitativas de los clientes pyme y entregue una recomendación (aprobación o negación), basada en parametría. Con esto el cliente tendrá una respuesta mas rápida a sus solicitudes de crédito tramitadas a través de la red de oficinas o tener ofertas de cupos preaprobadas en firme</t>
  </si>
  <si>
    <t>jimy.catolico-bbva.com</t>
  </si>
  <si>
    <t>sebastian.martinez.jaramillo-bbva.com</t>
  </si>
  <si>
    <t>SDATOOL-36556</t>
  </si>
  <si>
    <t>Parthnerships - Tarjeta de crédito en punto de venta físico aliados</t>
  </si>
  <si>
    <t>Generar la aprobación y contratación 100% digital de tarjeta de crédito en puntos de venta de aliados físicos; estará dirigida para clientes y no clientes del Banco</t>
  </si>
  <si>
    <t>judy.prieto-bbva.com</t>
  </si>
  <si>
    <t>Transfiya:Transferencias interbancarias inmediatas - Plan Ascenso Privado</t>
  </si>
  <si>
    <t>Buscamos enviar, solicitar y recibir dinero de Otros Bancos de manera inmediata. Así mismo, brindar una solución para los tenderos y microcomercios de Colombia ante la necesidad de pagar a los Comercios como FEMSA y otros ante los pedidos realizados. A continuación otros puntos que hacen parte de este entregable:
 - Facilitar a los Comercios el recaudo de pagos a través de canales digitales. 
 - Brindar a los clientes una cuenta igual de funcional a otra entidad.
 - Hacer frente a la guerra contra el efectivo
 - Enviar, recibir y solicitar dinero
 - Faciltar el pago de dinero entre tendero/microcomercio y comercio
 - Ofrecer diferentes metodos de pagos a tenderos y microcomercios
 - Open Market: Tenderos prefieran BBVA y aperturen cuentas online o dinero móvil para poder realizar su pago</t>
  </si>
  <si>
    <t>edilberto.morales-bbva.com</t>
  </si>
  <si>
    <t>Pricing de libranza - Plan Ascenso Open Market</t>
  </si>
  <si>
    <t>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t>
  </si>
  <si>
    <t>diegofernand.castro-bbva.com</t>
  </si>
  <si>
    <t>SDATOOL-36685</t>
  </si>
  <si>
    <t>GRM Col - Mejora proceso evaluación de cartera</t>
  </si>
  <si>
    <t>Generar la calificación adecuada para los clientes de acuerdo a la normativa de la Superintendencia Financiera en relación a la diferenciación que se debe hacer sobre los créditos de libranza respecto a los otros créditos de consumo y sobre los proyectos constructor respecto al resto de la cartera comercial.
 Disciplina global: Risk Strategy &amp; Develop &amp; BEx</t>
  </si>
  <si>
    <t>La separación de la calificación de Evaluación de la cartera de Libranzas de la cartera restante de Consumo, permite no afectar la rentabilidad de este producto, teniendo en cuenta la garantía que posee por su fuente de pago. 
 El ingreso de la calificación de evaluación por separado para cada proyecto constructor que se encuentre en Fideicomiso, permite asegurar la adecuada calificación de los clientes y su correcto reporte en los Burós.</t>
  </si>
  <si>
    <t>elias.noguera-bbva.com</t>
  </si>
  <si>
    <t>omairapaola.santiesteban-bbva.com</t>
  </si>
  <si>
    <t>La no implementación de este proyecto puede llevar al banco a tener sanciones o multas dado que es un proyecto regulatorio se debe llevar una adecuada calificación para los clientes de acuerdo a la a la normativa de la Superintendencia Financiera.</t>
  </si>
  <si>
    <t>Agile Transformation</t>
  </si>
  <si>
    <t>SDATOOL-36689</t>
  </si>
  <si>
    <t>BOTON PSE -FX</t>
  </si>
  <si>
    <t>Operaciones FX con recursos provenientes de otros bancos</t>
  </si>
  <si>
    <t>Third Parties Sales e-commerce credit cards</t>
  </si>
  <si>
    <t>Generar la aprobación 100% digital de tarjeta de crédito en las plataformas de Ecommerce de los aliados; estará dirigida para clientes y no clientes del Banco, sin documentación física ni back office.</t>
  </si>
  <si>
    <t>paolaandrea.guzman-bbva.com</t>
  </si>
  <si>
    <t>SDATOOL-36741</t>
  </si>
  <si>
    <t>Cookieless Marketing</t>
  </si>
  <si>
    <t>Ejecutar una prueba de concepto (POC) de nueva infraestructura de captura de datos server-side desde los canales a través del tag manager, para el envío de eventos de conversión a la API de Conversión de Facebook</t>
  </si>
  <si>
    <t>hugofernando.parra-bbva.com</t>
  </si>
  <si>
    <t>SDATOOL-36869</t>
  </si>
  <si>
    <t>Horizon Data - Colombia</t>
  </si>
  <si>
    <t>El objetivo de Horizon Data es anticipar la disponibilidad de la capa de datos en los ámbitos de información requeridos por los proyectos estratégicos globales, poniendo foco en aquellos que tienen un impacto profundo, pero a medio plazo y que por tanto van a tener dificultades para conseguir sus objetivos siguiendo una dinámica de proyecto estándar. Por tanto, este proyecto aspira a impulsar la construcción e ingesta de la capa de datos, anticipando las necesidades de los proyectos: 1) Acelerando la creación del Global Data Model: con el objetivo de completar un Modelo de Datos Global del modelo de referencia de datos del banco, con un enfoque estratégico, unificando la gestión de recursos bajo los órganos de gobierno establecidos en Modelo Global. 2)Promoviendo las ingestas de datos: con el objetivo de impulsar y gestionar, de manera centralizada, las ingestas de datos necesarias para cumplir con las principales demandas de información de los principales proyectos estratégicos globales (principalmente Data Big Bets, CDD y Workday). Con un enfoque Top-Down y asegurando las ingestas de información mas transversal o Core (permitiendo su uso por parte de los proyectos que lo requieran). 3)Quality &amp; Data Governance: con el objetivo de asegurar la implementación del modelo de data governance y de las reglas de calidad en el momento en el que se ingestas los datos en la nueva plataforma, creando los equipos necesarios para soportar estas tareas. La ambición general sería tener ingestados todos los datos del modelo de referencia global Core en un plazo de 4 años: -Bajo el Modelo de Datos Global -Con los controles adecuados de calidad y gobierno - Cumpliendo el modelo de seguridad -De las fuentes de datos adecuadas para garantizar el poblado de datos en la plataforma, se ha definido un KPI para medir su progreso "Degree of Data completeness in Platform". El cálculo del KPI se ha realizado tomando con base el modelo de referencia y un proxy de número de tablas aspiracional, fruto del contraste realizado con las geografías. Este proxy se irá refinando según tengamos mayor visibilidad. Con el objetivo de habilitar este KPI, se ha declinado en las 3 fases del proceso (modelado, ingesta y calidad &amp; gobierno). Documentación:</t>
  </si>
  <si>
    <t>4Q 2024</t>
  </si>
  <si>
    <t>La estrategia seguida para construir y poblar progresivamente de datos a la nueva plataforma "DATIO" ha sido a través de las necesidades de los diferentes áreas (casos de uso).
 Esto ha permitido empezar a migrar información a Datio, desarrollar los primeros proyectos en la nueva plataforma y testar y refinar sus capacidades. 
 Sin embargo ,después de aproximadamente 2 años de ingestas, el avance en las ingestas es de aproximadamente el 15-20% en base al modelo de referencia . Si tenemos en cuenta los requerimientos de Modelo Global, modelo de seguridad, gobierno y calidad, el porcentage de avance es menor del 1,4%.
 Extrapolando estos resultados hacia el futuro, obtenemos que necesitaríamos aproximadamente 8-10 años para completar las ingestas de todo el modelo de referencia.
 El estado actual de las ingestas dificulta la transformación de los proyectos a corto/medio plazo en la nueva plataforma, debido a que los proyectos deben realizar grandes inversiones para ingestar todos los datos que necesitan. Esto dificulta igualmente el apagado de sistemas legacy.
 Por ello, se propone evolucionar el enfoque de ingestas, con el objetivo de realizar un cambio de ritmo para conseguir una plataforma end-to-end como producto en los próximos 3/4 años, asegurando que está poblada de datos confiables y de calidad.
 Proyectos a impulsar: 
 1) Data Big Bets (Tier 1). Proyectos con foco en los datos y relacionados con las prioridades estratégicas del banco, que típicamente tienen dificultades para construir la capa de datos que necesitan, con un impacto muy relevante pero a medio/largo plazo. Estos proyectos contribuyen a poblar los ámbitos mas core y transversales del dataset de referencia. 
 2) Proyectos transformacionales relevantes ya en progreso, con una tracción importante. Por ejemplo: CDD-BR, Workday (Tier 0). En estos casos, los proyectos ya tienen una tracción muy relevante, y los esfuerzos adicionales para acelerarles podrán ser cubiertos desde Horizon. Estos proyectos contriubyen principalmente a poblar ámbitos específicos del dataset de referencia.</t>
  </si>
  <si>
    <t>El presupuesto se gestiona anualmente a partir de la priorización y alcance definido por los equipos holding y local. Despriorizar el proyecto Horizon-Data, no permitiría estar sincronizados con la estrategia corporativa de ingesta de datos bajo el modelo global que apalancan proyectos, Data Big Bets y Key Use Cases, adicional se incrementarían los tiempos de desarrollo afectando el time to market de habilitación de los proyectos Globales/Locales</t>
  </si>
  <si>
    <t>Transcendence</t>
  </si>
  <si>
    <t>Global Data Modelling &amp; Ingestions</t>
  </si>
  <si>
    <t>SDATOOL-36903</t>
  </si>
  <si>
    <t>ATM's recicladores: Homologación y funcionalidad EtapaII</t>
  </si>
  <si>
    <t>El objetivo es poner a disposición de los clientes retail del Banco nuevos cajeros de última tecnología donde puedan retirar y depositar dinero.</t>
  </si>
  <si>
    <t>Los cajeros recicladores nos ofrcerán eficiencias operativas dado que el dinero que los clientes depositan será utilizado para dispensar. Esto se traduce en reducción de costos de transportadora y de compra de efectivo.</t>
  </si>
  <si>
    <t>ader.anaya-bbva.com</t>
  </si>
  <si>
    <t>SDATOOL-36918</t>
  </si>
  <si>
    <t>Conciliación Automática del Aplicativo Módulo de Notas Contables - CKR1</t>
  </si>
  <si>
    <t>Implementar la Conciliación Automática del Aplicativo Módulo de Notas Contables - CKR1 vs Altamira</t>
  </si>
  <si>
    <t>Garantizar la fidelidad de la información registrada a diario en el Aplicativo Módulo de Notas Contables - CKR1 debido a una OPM de KPMG por la pérdida de información de 3 meses en el aplicativo Módulo de Notas Contables durante el año 2019</t>
  </si>
  <si>
    <t>luzmarina.gutierrez-bbva.com</t>
  </si>
  <si>
    <t>Esto se hace necesario por un reparo que tenemos de auditoria (KPMG), ya que en determinado momento se evidencio que la información no era fiel entre Altamira y MNC-CKR1, evidenciando perdida de información en el aplicativo, por lo cual pone en riesgo la forma de evidenciar cada registro contable, lo cual es obligatorio para el Banco.</t>
  </si>
  <si>
    <t>SDATOOL-36929</t>
  </si>
  <si>
    <t>Ciclo 1 - Resolución 098 de 2020 DIAN - Reportes de Información Exogena</t>
  </si>
  <si>
    <t>Dar cumplimiento a la Resolución No. 000098 del 28 de Octubre de 2020 expedida por la DIAN- Dirección de impuestos y aduanas nacionales, donde se requiere crear procesos informáticos para la generación y reporte de la información exógena</t>
  </si>
  <si>
    <t>Cumplir con la normativa vigente emitida por la DIAN - Resolución No. 000098 del 28 de Octubre de 2020.
 Evitar sanciones económicas para el Banco por no cumplir con las especificaciones técnicas y datos solicitados por la DIAN, esto de acuerdo a lo estipuladas en el articulo 46 de la Resolución 000098 del 28 de Octubre de 2020, conforme a lo contemplado en el articulo 651 del estatuto tributario</t>
  </si>
  <si>
    <t>SDATOOL-36949</t>
  </si>
  <si>
    <t>Consultoría para presentación de proyectos I+D+I a Colciencias para acceso a beneficios tributarios.</t>
  </si>
  <si>
    <t>El objetivo es contar con los servicios para la construcción, seguimiento y presentación de los proyectos de I+D+I a Colciencias con el fin de recibir beneficios tributarios por inversión en proyectos de Innovación y Desarrollo.</t>
  </si>
  <si>
    <t>Flow</t>
  </si>
  <si>
    <t>El proceso de construcción y presentación de proyectos I+D+I es altamente especializado y requiere de un proveedor que no solo conozca de tecnologías y procesos de innovación, sino además que entienda los procesos y procedimientos que Colciencias efectúa para seleccionar proyectos susceptibles de ser beneficiados con exención de impuestos</t>
  </si>
  <si>
    <t>edwinalberto.barrios-bbva.com</t>
  </si>
  <si>
    <t>Run Projects / SW Evolutives (for Support Areas)</t>
  </si>
  <si>
    <t>SDATOOL-37009</t>
  </si>
  <si>
    <t>Margen Financiero de Interés - impactado por el proceso de IFRS</t>
  </si>
  <si>
    <t>Se requiere ajustar en el aplicativo para los meses de enero para que cada año no registre las correctoras del mes de diciembre.
 Adicionalmente asegurar la parametría contable del evento a modificar</t>
  </si>
  <si>
    <t>En enero de cada año el desglose de los ingresos por contrapartidas y stages no estan llegando correctamente.
 Para la empresa 60 y 64, las cuentas presentan cambios significativos (cuentas que suelen ser positivas, en enero se reflejan negativas y viceversa).</t>
  </si>
  <si>
    <t>El riesgo de no abordar los proyectos o discontinuarlos supondría un incumplimiento con los reportes a Holding con las pertinentes sanciones previstas.</t>
  </si>
  <si>
    <t>SDATOOL-37054</t>
  </si>
  <si>
    <t>Módulo de Conciliación.</t>
  </si>
  <si>
    <t>Initiative</t>
  </si>
  <si>
    <t>Implementar un "Modulo administrativo"donde se pueda evidenciar los movimientos realizados de los diferentes pagos que los tenderos le realizan hacia el Comercio. Este modulo se tiene estimado realizar en NET Cash de cara a los Comercios de manera diaria, por medio de informes. El formato esta por definir; sin embargo, un ejemplo de algunos sobre los que se han pensado: MULTICASH O MT940. DIARIO.
 Este modulo deberá ser parametrico y de acuerdo a la necesidad de cada Comercio, dado que cada uno maneja su "cuadre contable" de manera diferente. Por ejemplo, FEMSA lo maneja por camión pero en Bavaria lo manejan por tienda.
 A nivel general , el tendero realizará el pago a una "Cuenta Corresponsal", la cual permite la conciliación de operaciones con la empresa (Comercio) y una integración directa con los productos de recaudo.</t>
  </si>
  <si>
    <t>Hoy no se cuenta con este tipo de módulo. Se requiere como parte del servicing a las empresas.</t>
  </si>
  <si>
    <t>lizethlorena.rodriguez-bbva.com</t>
  </si>
  <si>
    <t>carlos.barreto-bbva.com</t>
  </si>
  <si>
    <t>Cash in- PSE - Plan Ascenso Privado</t>
  </si>
  <si>
    <t>Permitir el ingreso de dinero a través de PSE con cargo a cuenta de otros bancos, permitiendo que el servicio de recarga sea 7/24. Adicional a ello, traer los recursos de otros bancos y que quede en el Ecosistema BBVA de manera inmediata.</t>
  </si>
  <si>
    <t>1Q 2022</t>
  </si>
  <si>
    <t>leidymaritza.futinico-bbva.com</t>
  </si>
  <si>
    <t>Pagos QR - Entre cuentas Redeban - Plan Ascenso Mercurio</t>
  </si>
  <si>
    <t>Realizar transferencias a personas y comercios de manera inmediata por medio del uso de QR EMVco como canal de acceso.</t>
  </si>
  <si>
    <t>Plan de Lealtad Comecios -Plan Ascenso Autónomos</t>
  </si>
  <si>
    <t>Ofrecer un plan de lealtad a los comercios a través de la adquirencia con el Banco</t>
  </si>
  <si>
    <t>freddyorlando.guzman-bbva.com</t>
  </si>
  <si>
    <t>SDATOOL-37085</t>
  </si>
  <si>
    <t>Factoring - Tigo</t>
  </si>
  <si>
    <t>Se necesita para cerrar convenios en Confirming, a través del canal H2H, donde el banco sea el fondeador de operaciones que ya vienen negociadas desde otra plataforma elegida por el cliente. Para esta ocasión el Convenio es con las Empresas TIGO.</t>
  </si>
  <si>
    <t>El banco incrementa su saldo medio y por ende apoyo el objetivo de incremento en cuota
 Alrededor de 3.000 proveedores como clientes potenciales 
 Rotación de operaciones a corto plazo generando ingresos de un Techo Pagador asignado por $82.000 millones. Operaciones con riesgo crediticio soportado en cifras del grupo empresarial TIGO.</t>
  </si>
  <si>
    <t>SDATOOL-37086</t>
  </si>
  <si>
    <t>Factura electrónica (radian)</t>
  </si>
  <si>
    <t>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t>
  </si>
  <si>
    <t>karenalexandra.martinez-bbva.com</t>
  </si>
  <si>
    <t>SDATOOL-37098</t>
  </si>
  <si>
    <t>Pago de préstamos en CBs</t>
  </si>
  <si>
    <t>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t>
  </si>
  <si>
    <t>Tenemos una alta carga TX en nuestra red de oficinas y a través de este modelo buscamos la migración transaccional y de esta manera liberar el Hall de la oficina.</t>
  </si>
  <si>
    <t>SDATOOL-37099</t>
  </si>
  <si>
    <t>Pago de tarjeta de crédito en CBs</t>
  </si>
  <si>
    <t>Soluciones de voz/Internalización del IVR - Plan Ascenso Privado</t>
  </si>
  <si>
    <t>Automatización de funcionalidades del IVR para auto gestión y optimizar las interacciones por voz. Herramientas: Genesys, Pure Cloud</t>
  </si>
  <si>
    <t>- The change in customer behavior in terms of banking activity is turning out to be extraordinarily fast and this means that the transformation guidelines need to be reviewed to ensure they are sufficiently agile. The latest analyses show an exponential increase in DIY activity and digital sales, while branch traffic is drastically decreasing. Additionally, the use of cash is decreasing while digital interactions are increasing considerably. The competition is already executing solutions with different approaches on how to adapt the physical distribution model
 - In that context, the Global discipline developed a long term view strategy for transforming the Human &amp; Physical Touchpoints. This strategy was presented and shared with all countries although it is necessary to go into detail in terms of the speed of implementation and operationalization
 - The main highlights of this strategy are:
 1) Footprint: Branches as a scarce resource
 Geoblue Tool: 3/5 year dynamic strategic footprint plan
 Universal Network: individuals, wealth, SMEs
 2) ATMs
 Sizing model: reducing time of trx. &amp; exposure of stand alone units
 Functionalities: focus on cash and sales proactivity out of peek hours
 3) Service Model based on needs and not value
 F2F: a model without differentiation of value &amp; no 1:1 personalization
 A single model for all remote customers
 4) Enablers:
 Incentives model: simple &amp; clear, adapted to strategy and regulation, focus on customer engagement
 Franchise experience: homogeneus, sustainable, measurable
 Digital enablers: online to offline, branch sensorization, salesforce empowerment
 - With the purpose of helping the countries in their transformation, we have been working in defining, in a very concrete way, the minimum standards that all countries should be meeting to ensure alignment with the long term vision
 - The Minimum Standards have been defined following the Relationship Model framework and have been complemented with the key enablers to achieve the Human &amp; Physical transformation
 - As a summary, ther are 15 + 4 minimum standards defined
 - Given the status vs. Minimum Standards and vs long term view, we propose differente programs / projects to evolve distribution model towards the vision
 2023
 Rechanneling:
 - DIY &amp; Migration plans for branches &amp; Calls (Voice Solutions)
 - Automatic calls typification + Speech to text (Voice Solutions)
 - Traffic management solution integrated w. Banker desktop
 Branch Evolution:
 - Affluent &amp; SME segmentation, service model &amp; roles review
 - Value segments Management Model reinforcement
 - Servicing support solutions for SME’s salesforces
 - Banker’s desktop for Affluent &amp; SME + Mass M Salesforces
 Remote as a channel:
 - Mass Remote Pool scale up (KPIs, incentive, Mng. model,..
 - Management integration Remote - CC
 - Voice infrastructure global modules dev. &amp; deployment (Genesys)
 - Remote signature solutions
 - Text Solutions deployment + new dev. (SMEs, Front Whatsapp,..)
 - Smart Assistant deployment
 - Single Entry Point to route interactions (voice - text)
 Advanced infrastructure:
 - PoC Assistance in digital channels
 - NBA extension to non digital channels &amp; rest of countries
 - Productivity &amp; Interactions performance &amp; Monitoring
 Voice solutions:
 - Voice infrastructure deployment (Genesys Cloud)
 - Voice capabilities development (Genesys Common Modules)
 - DIY &amp; Migration plans for Calls
 - Automatic calls typification + Speech to text</t>
  </si>
  <si>
    <t>yurimilena.moreno-bbva.com</t>
  </si>
  <si>
    <t>juliocesar.estupinan-bbva.com</t>
  </si>
  <si>
    <t>SDATOOL-37111</t>
  </si>
  <si>
    <t>Cuenta Maestra Adres</t>
  </si>
  <si>
    <t>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t>
  </si>
  <si>
    <t>SDATOOL-37114</t>
  </si>
  <si>
    <t>Actualización Botón pagos PSE versión 2.0</t>
  </si>
  <si>
    <t>Actualización Botón pagos PSE versión 2.0 para la automatización de los procesos de conciliación, cargues de archivos maestros de recaudos.</t>
  </si>
  <si>
    <t>A need to catch up with the significant business growth in recent years, update obsolete systems, deliver in strategic priorities and attend local growth business plans, including Private Banking with a special focus on:
 - Private Markets: significant opportunity in terms of value for the client and potential revenue generation for BBVA
 - Private Banking USA: value proposition will include a global client relationship model, investment solutions (execution, advisory and managed portfolios), banking solutions (c/a, deposits, credit, insurance) and global non financial offer.
 - Data &amp; Technology: better service to clients, increase revenue generation and reduce costs by building a global vision on Data (providers and platforms) as well as leveraging on cloud technologies (Helena)</t>
  </si>
  <si>
    <t>mauricio.wandurraga-bbva.com</t>
  </si>
  <si>
    <t>juan.orozco-bbva.com</t>
  </si>
  <si>
    <t>BBVA FIDUCIARIA</t>
  </si>
  <si>
    <t>Investment Solutions &amp; Private Banking</t>
  </si>
  <si>
    <t>SDATOOL-37115</t>
  </si>
  <si>
    <t>GRM Col -Implementación de modelos reestimados - Tarjeta de crédito</t>
  </si>
  <si>
    <t>Obtener una clasificación con mayor discriminación al momento de la admisión del cliente para el producto de tarjeta de crédito lo cual permitirá determinar el nivel de riesgo adecuado, derivando en un mejor perfilamiento de los proceso de admisión (modelos de riesgo crediticio).
 Disciplina Global: Retail Credit</t>
  </si>
  <si>
    <t>El modelo actual se encuentra desactualizado y el banco requiere mejorar en la identificación del riesgo para clientes persona natural y el producto de tarjeta de crédito y venta cruzada. De esta manera se optimiza los niveles de cumplimiento en la recuperación de la cartera y se elimina el sesgo en la generación de volúmen de negocio.</t>
  </si>
  <si>
    <t>javierenrique.almonacid-bbva.com</t>
  </si>
  <si>
    <t>carolina.calvachi-bbva.com</t>
  </si>
  <si>
    <t>continuariamos con el modelo existente con el que el banco no esta idenficando de manera adecuada el nivel riesgo para los productos de tarjeta de crédito y venta cruzada, lo cual se ve reflejado en mayores niveles de incumplimiento, sesgo en la generaciòn de volúmen de negocio.</t>
  </si>
  <si>
    <t>Data Capability Building</t>
  </si>
  <si>
    <t>SDATOOL-37119</t>
  </si>
  <si>
    <t>Compra Inteligente Vehículo</t>
  </si>
  <si>
    <t>Ampliar la oferta de producto, brindando un nuevo sistema de amortización que le permite al cliente tener una cuota mensual mas baja y la oportunidad de renovar su vehículo cada 2 o 3 años.</t>
  </si>
  <si>
    <t>1) Crear nuevo sistema de amortización
 2) ajustar consultas de préstamos
 3) Ajustar transacción de Abonos a capital
 4) Segmento objetivo de acuerdo al perfil definido por riesgos"</t>
  </si>
  <si>
    <t>SDATOOL-37120</t>
  </si>
  <si>
    <t>Plan experiencia única en DWP</t>
  </si>
  <si>
    <t>Sistemática de Reuniones individuales con visión desde Gerente de Cuenta a Gerente de Oficina/Zona, Gerente Regional y Director de Banca de Empresas
 - Incluir los temas de campañas en el Módulo de Sistemática - Reuniones Individuales
 Planes de cuenta por Grupo económico
 - Informe que genere reporte de siguiente venta
 - Cuota banquero del cliente
 - Dentro de la funcionalidad de plan de cuenta se incluya el valor y se genere el plan comercial de forma automática de las oportunidades y 4 visitas estratégicas al año (incluir el acta de cada visita)
 - Incorporar seguros y libranzas como productos en oportunidades y en ficha de cliente
 - Plan de cuenta vivo (que se pueda modificar y reemplazar la información del anterior)
 - Campo de validador de plan de cuenta editable (perfiles)
 - Incluir presupuestos de Gerentes de Cuenta</t>
  </si>
  <si>
    <t>brigitteandrea.rincon-bbva.com</t>
  </si>
  <si>
    <t>Plan CRM: Seguimiento al pipeline</t>
  </si>
  <si>
    <t>Generar de manera automática la información de trazabilidad de las altas efectuadas por la red de oficinas y los diferentes canales, mostrando desde el momento de la radicación de la gestión comercial las diferentes etapas por las que pasa el producto hasta su desembolso.</t>
  </si>
  <si>
    <t>rocio.garces-bbva.com</t>
  </si>
  <si>
    <t>lizethalejandra.caseres-bbva.com</t>
  </si>
  <si>
    <t>SDATOOL-37125</t>
  </si>
  <si>
    <t>Factoring - IBR</t>
  </si>
  <si>
    <t>El mercado se está moviendo por el indicador económico IBR en razón a que refleja el precio al que los bancos están dispuestos a ofrecer o a captar recursos en el mercado monetario. Los clientes lo solicitan, en razón a que lo han incorporado igualmente a su tesorería.</t>
  </si>
  <si>
    <t>- El Banco en operaciones factoring se encuentra en desventaja frente a la competencia: Citibank, Bancolombia,
 - El indicador de DTF según la tesorería del Banco, es obsoleto
 - Permite cerrar convenios con clientes que por reglamento de su empresa, no cuentan con la IBR.</t>
  </si>
  <si>
    <t>SDATOOL-37126</t>
  </si>
  <si>
    <t>Gema: Traditional POS (atlas Pymes)</t>
  </si>
  <si>
    <t>El objetivo de este entregable es que los clientes desde Gema, puedan contratar el producto de adquirencia para venta presente y no presente, alineado con el plan Mercurio y el plan Pymes</t>
  </si>
  <si>
    <t>wilder.suarez-bbva.com</t>
  </si>
  <si>
    <t>SDATOOL-37127</t>
  </si>
  <si>
    <t>Gema: Pay by link</t>
  </si>
  <si>
    <t>Desde Gema el cliente podrá contratar el servicio de Link de Cobro de Open Pay con el cual podrá solicitar habilitar su comercio electrónico sin necesidad de crear una página de internet o integrarse con una Pasarela de Pagos. Tendrá alertamientos del estado del cobro, así como una sección de histórico de cobros.</t>
  </si>
  <si>
    <t>In South America, Acquiring business represents a big opportunity for BBVA to capture new merchants and their relationship due to lack of development of the business: low penetration, lack of innovation and differentiation, high expected growth , and regulation changes that reduce the entry barriers and promote competence.</t>
  </si>
  <si>
    <t>edgar.corzo-bbva.com</t>
  </si>
  <si>
    <t>Conciliación Recaudo PSE</t>
  </si>
  <si>
    <t>El objetivo de este entregable es tener una consulta en Net Cash con las ventas de PSE disponible para los clientes que recaudan a través de este canal.</t>
  </si>
  <si>
    <t>Actualmente, los clientes empresariales tienen que conciliar su venta no presente a través de su proveedor de PSE y no del Banco, porque hoy no tenemos disponible esta información. El objetivo es hacer disponible esta información en Net Cash para los clientes que hoy recauden por PSE.</t>
  </si>
  <si>
    <t>sirlleny.vasquez-bbva.com</t>
  </si>
  <si>
    <t>SDATOOL-37130</t>
  </si>
  <si>
    <t>Pago y domiciliación de recaudo</t>
  </si>
  <si>
    <t>Crear una opción en Net Cash para que los clientes empresariales puedan pagar de manera masiva sus servicios públicos y puedan hacer domiciliaciones para reducir los tiempos operativos en la red.</t>
  </si>
  <si>
    <t>Actualmente, los clientes deben pagar sus servicios públicos, impuestos, entre otros uno a uno a través de PSE o convenios de recaudo, lo que les quita eficiencia en su tesorería. Los clientes nos piden una forma masiva para lograrlo.</t>
  </si>
  <si>
    <t>leidyjohanna.zambrano-bbva.com</t>
  </si>
  <si>
    <t>Oferta proactiva de segundo producto desde el momento cero - Plan Ascenso Cross Sell</t>
  </si>
  <si>
    <t>Generación de venta de productos de manera automática durante la vinculación de la nomina en canales Digitales como en Oficina</t>
  </si>
  <si>
    <t>Generar mayor venta cruzada haciendo sinergia con el producto de enganche que es la cuenta de nomina, para la oficina significa la automatización y digitalización de productos del pasivo.</t>
  </si>
  <si>
    <t>daniela.cifuentes.ariza-bbva.com</t>
  </si>
  <si>
    <t>SDATOOL-37136</t>
  </si>
  <si>
    <t>Conexión simulador vía API Vehículo digital</t>
  </si>
  <si>
    <t>Disponibilizar los servicios BBVA del simulador de vehículo web, para que puedan ser consumidos por el front de Mazda.</t>
  </si>
  <si>
    <t>SDATOOL-37137</t>
  </si>
  <si>
    <t>Despriorizado - Proceso de venta digital White lebel Vehículo - Mazda</t>
  </si>
  <si>
    <t>Personalizar el flujo de contratación actual de vehículo web con la marca de Mazda, desde el proceso en front hasta la mensajeria.</t>
  </si>
  <si>
    <t>EGS: Salto país y softoken</t>
  </si>
  <si>
    <t>Permitir a clientes globales de Pivot Net con salto país a Colombia acceder a servicios locales y operar con token móvil</t>
  </si>
  <si>
    <t>huvertyadir.ramirez-bbva.com</t>
  </si>
  <si>
    <t>SDATOOL-37170</t>
  </si>
  <si>
    <t>Seguros - LIS Coaseguro en Seguros Libres</t>
  </si>
  <si>
    <t>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t>
  </si>
  <si>
    <t>paola.trivino-bbva.com</t>
  </si>
  <si>
    <t>SDATOOL-37178</t>
  </si>
  <si>
    <t>Cyberark Fase III</t>
  </si>
  <si>
    <t>En la actualidad cuenta con 100 licencias para administradores de tecnología, las cuales se requiere adquirir licenciamiento adicional de 20 licencias, que permita el enrolamiento de la totalidad de la infraestructura de producción, administradores con usuarios privilegiados y el soporte de la misma, asimismo se requiere almacenamiento para realizar configuración HA para la disponibilidad de la de las cuentas privilegiadas</t>
  </si>
  <si>
    <t>Adquisición del licenciamiento para los administradores de infraestructura tecnológica sobre la herramienta CyberArk y soporte local.
 - 20 licencias de CorePas CyberArk a perpetuidad.
 - Servicio de soporte Platinum 7x24
 - Visitas de mantenimiento bimensuales durante la vigencia del contrato.</t>
  </si>
  <si>
    <t>edwinmauricio.ariza-bbva.com</t>
  </si>
  <si>
    <t>Si se descontinua el proyecto el Banco estaría expuesto al riesgo de compromiso de información o manipulación de los sistemas informáticos del Banco, la imposibilidad de realizar trazabilidad de los usuarios por préstamo de contraseñas e insuficiente auditoría y control, riesgo de pérdida y modificación de información sensible e incumplimiento de auditoría holding. 
 A partir del cuarto año, se requiere soporte para el licenciamiento de Cyberark , valor por año con IPC estimado de 2.77</t>
  </si>
  <si>
    <t>Cybersecurity</t>
  </si>
  <si>
    <t>SDATOOL-37179</t>
  </si>
  <si>
    <t>Global IAM</t>
  </si>
  <si>
    <t>Definir modelo de gobierno con recursos de las áreas que deben participar en el levantamiento As Is, puntos de dolor e inicitivas que llevaran a ser integrados al plan global para la transformación del proceso de perfilado y acceso lógico. 
 En esta primera fase se requiere la conformación de este equipo Squad de trabajo para fundamentar el proyecto de transfromación.
 Las áreas participandes deben ser:
 BPE: liderando la inicitiva
 T&amp;C Organización Disciplina
 Ingeniería - Seguridad BEx
 NFR
 RCA de T&amp;C y RCA Seguridad
 RCS de Ingeniría y de T&amp;C 
 Se ha habilitado la compatibilidad con lectores de pantalla.</t>
  </si>
  <si>
    <t>"La necesidad de diseño e implantación del PPRR for Data Leaks surge como consecuencia del incremento en el número de incidentes relacionados con fuga de información que se han producido en los últimos años. 
  El PPRR for Data Leaks es un Plan de Seguridad dirigido, de forma específica, a tratar de evitar la materialización de un incidente de fuga de información similar al de Equifax (acceso no autorizado y robo de información de la Organización mediante la explotación de una vulnerabilidad de perímetro).
  -------------------------
  The need for design and implementation of PPRR for Data Leaks is a result of the increase in the number of incidents related to information leakage that have occurred in recent years.
  The PPRR for Data Leaks is a Security Plan, specifically aimed at preventing the materialization of an information leakage incident similar to that of Equifax (unauthorized access and theft of information from the Organization by exploiting a vulnerability perimeter)."</t>
  </si>
  <si>
    <t>javier.sotom-bbva.com</t>
  </si>
  <si>
    <t>Identity Access Management</t>
  </si>
  <si>
    <t>SDATOOL-37184</t>
  </si>
  <si>
    <t>Actualizaciones Aplicativo ADA V2</t>
  </si>
  <si>
    <t>La aplicación ADA que permite el manejo de acciones y - accionistas de BBVA Colombia fue implantada alrededor de hace 10 años, desde ese momento la aplicación no sufre actualizaciones de ningún tipo, con ello y teniendo en cuenta que el proveedor de la misma ALFA GL SAS nos obliga a actualizar la versión Java que soporta al aplicativo ADA, para continuar prestando el servicio de soporte y mantenimiento, que venía prestando hasta el mes de octubre 2020, pues se requiere la actualización de JAVA.</t>
  </si>
  <si>
    <t>Se requiere para que Banco BBVA Colombia siga contando con la prestación de servicio de Soporte y Mantenimiento por parte de ALFAGL SAS para el aplicativo ADA, que maneja acciones y accionistas de BBVA Colombia.</t>
  </si>
  <si>
    <t>david.iscar-bbva.com</t>
  </si>
  <si>
    <t>Actualización de la herramienta ADA, cumpliendo con cada uno de los prerequisitos que el Proveedor Alfa GL solicita para contar con el servicio de soporte e instalación por parte de ellos. El Banco BBVA desde el pasado 24 de Julio de 2020, recibió comunicación por parte del Proveedor Alfa GL de la no renovación del contrato de Soporte del aplicativo ADA-Accionistas, ello debido a que el Banco no cuenta con los mínimos requeridos en materia de infraestructura y tecnología para poder prestar desde su parte el servicio de soporte.</t>
  </si>
  <si>
    <t>SDATOOL-37186</t>
  </si>
  <si>
    <t>Migración Murex 3 Colombia (Servicios restantes MX3 -Fase 1)</t>
  </si>
  <si>
    <t>Migración del aplicativo Murex2 a Murex3 y RTCE en Colombia de acuerdo a la transformación de global markets en el grupo bbva para garantizar la continuación del negocio de los productos soportados en el aplicativo actual y no aumentar los gastos de soporte.</t>
  </si>
  <si>
    <t>Garantizar la correcta migración de trades de Murex2 a Murex3 y todos los módulos requeridos para la operación del negocio al igual que las integraciones a los diferentes aplicativos banco 
 GOM : Usuarios y Grupos, Market Data Sets, Front Office Desks, Portafolios,UDFs
 Productos
 Datos Estáticos
 Procedimientos
 Datos de Mercado
 Workflows
 Arquitectura
 Reporting
 RTCE - Riesgos de Mercado
 Funcionalidades 
 Migración de portafolios y trades
 Cargas masivas</t>
  </si>
  <si>
    <t>sebastian.valencia.ramirez.contractor-bbva.com</t>
  </si>
  <si>
    <t>david.perez.martinez-bbva.com</t>
  </si>
  <si>
    <t>Global Markets Cross-Business</t>
  </si>
  <si>
    <t>SDATOOL-37237</t>
  </si>
  <si>
    <t>DELTA-Informacional</t>
  </si>
  <si>
    <t>Alineado con la estrategia del Banco esta iniciativa busca la transformación de los informacionales del área financiera, proporcionándoles versatilidad y oportunidad con el objetivo de brindarle al área de negocio cifras para gestión, seguimiento, toma de decisiones y control</t>
  </si>
  <si>
    <t>El apagado de las herramientas Legacy utilizadas actualmente en el MIS (SQL Server, espacio de almacenamiento y recursos de GranNet). Mejorar la experiencia de usuario en la visualización de los datos utilizando herramientas B.I. Optimizar la ejecución de los procesos para asegurabilidad, oportunidad y disponibilización de los datos.</t>
  </si>
  <si>
    <t>yheymy.mora-bbva.com</t>
  </si>
  <si>
    <t>SDATOOL-37271</t>
  </si>
  <si>
    <t>ISO20022 MENSAJES SWIFT DIALOGO</t>
  </si>
  <si>
    <t>Modificar la mensajería swift a formato xml estandares ISO20022 para las categorías 1,2 y 9; para nuestro caso aplica para los mensajes swift MT200 y MT202 que se generan desde el aplicativo diálogo</t>
  </si>
  <si>
    <t>"Se requiere actualizar el aplicativo Dialogo para que la mensajería swift MT200 y MT202 de transferencias y pagos se con formato XML para las categorías 1,2 y 9. atendiendo estandares ISO20022
 Contar con los estandares exigidos por Swift para el cumplimiento de las operaciones negocidas por la tesorería ( Global Markets)</t>
  </si>
  <si>
    <t>johnjairo.martinez-bbva.com</t>
  </si>
  <si>
    <t>SDATOOL-37294</t>
  </si>
  <si>
    <t>Gestión de Tráfico en Oficinas</t>
  </si>
  <si>
    <t>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t>
  </si>
  <si>
    <t>SDATOOL-37342</t>
  </si>
  <si>
    <t>SWIFT ISO20022 Ajuste de mensajes Swift a la nueva estructura</t>
  </si>
  <si>
    <t>Ajuste de mensajes Swift a la nueva estructura debido a los cambios implementados de manera obligatoria por el canal SWIFT, siendo este el canal de comunicación de todos los bancos que actualmente maneja BBVA Colombia.</t>
  </si>
  <si>
    <t>SDATOOL-37344</t>
  </si>
  <si>
    <t>Automatización Operaciones en Efectivo</t>
  </si>
  <si>
    <t>Implementar una solución técnica, partiendo de la información del proceso de transporte de efectivo, para los clientes que realizan abono a cuenta, con el fin de disminuir apuntes contables en transporte de efectivo.</t>
  </si>
  <si>
    <t>hugo.mongua-bbva.com</t>
  </si>
  <si>
    <t>SDATOOL-37373</t>
  </si>
  <si>
    <t>Renovación por Obsolescencia de los sistemas Alarmas, Video y Cerraduras Bauusa</t>
  </si>
  <si>
    <t>Renovación con equipos nuevos para los sistemas de Alarma, video y cerraduras baussa.</t>
  </si>
  <si>
    <t>Contar con elementos con un sistema de seguridad en perfecto estado a tiempo garantiza que los sitemas de seguridad salvaguarden nuetros diferentes putos de atencion y ATMs</t>
  </si>
  <si>
    <t>En caso de desestimar, la renovación de los sistemas de seguridad Física de los puntos de atención,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t>
  </si>
  <si>
    <t>SDATOOL-37406</t>
  </si>
  <si>
    <t>DECRETO 830 DE 2021 - (PEP)</t>
  </si>
  <si>
    <t>Para dar cumplimiento al decreto 830 de agosto 2021, se solicita incluir en el flujo, en las tablas de los sistemas y en los formularios de vinculación las nuevas obligaciones que imparte el decreto.</t>
  </si>
  <si>
    <t>Las entidades vigiladas deben ajustar su Infraestructura y contar con sistemas apropiados de gestión de riesgo para determinar si el cliente o el beneficiario final es una persona expuesta políticamente; para lo cual es necesario ampliar el ámbito de aplicación del concepto "Personas Expuestas Políticamente" señalado en el Decreto 1081 de 2015, Único Reglamentario del Sector Presidencia de la República para dar cumplimiento a lo dispuesto en el artículo 52 de la Convención de Naciones Unidas contra la Corrupción, incorporada a la legislación nacional mediante la Ley 970 de 2005, y atender las recomendaciones del Grupo de Acción Financiera Internacional (GAFI) y de la Organización para la Cooperación y el Desarrollo Económico (OCDE).</t>
  </si>
  <si>
    <t>SDATOOL-37411</t>
  </si>
  <si>
    <t>Infraestructura reportes regulatorios</t>
  </si>
  <si>
    <t>Implementar la arquitectura e infraestructura requerida para la optimización de generación de reportes a entes de control</t>
  </si>
  <si>
    <t>williamyesid.marin-bbva.com</t>
  </si>
  <si>
    <t>Technology</t>
  </si>
  <si>
    <t>SDATOOL-37418</t>
  </si>
  <si>
    <t>Automatizaciones procesos para acceso lógico - novedades de personal</t>
  </si>
  <si>
    <t>De acuerdo con los objetivos planteados en este documento la solución de automatización de los desarrollos solicitados ayudaría a reducir los procesos manuales que se llevan actualmente en el área de acceso lógico y perfilado, permitiendo brindar soluciones más eficaces .</t>
  </si>
  <si>
    <t>Se requiere realizar los desarrollos solicitados, los cuales con su implementación buscan cumplir con las solicitudes de auditoria, mejorar los tiempos de atencion y los controles necesarios para reducir la manualidad actual en el área para cada uno de estos procesos.</t>
  </si>
  <si>
    <t>mario.lobo-bbva.com</t>
  </si>
  <si>
    <t>SDATOOL-37422</t>
  </si>
  <si>
    <t>Mejoras en Biometría 2.0: Actualización anexo técnico</t>
  </si>
  <si>
    <t>Actualización dispositivos biométricos a la versión 2.0 del anexo técnico RNEC, realizando ajustes técnicos que permitan tener versiones de firmware y librerías de software actualizadas, disminuyendo los riesgos en fraude.</t>
  </si>
  <si>
    <t>Mejorar el desempeño de los captores al tener alineados los componentes de firmware y SDK
 Ventajas en seguridad y detección de materiales (8 tipos de materiales en huellas falsas)
 Mejorar la experiencia de uso de los dispositivos (10 % aumento en efectividad)
 Estar alineados con los últimos estándares de seguridad avalados para dispositivos suprema por la RNEC
 Certificado por la Registraduría Nacional en la versión 02 del anexo técnico 2.0 de la Resolución 5633 de 2016</t>
  </si>
  <si>
    <t>SDATOOL-37423</t>
  </si>
  <si>
    <t>Apertura Inhouse Santiago de Putumayo</t>
  </si>
  <si>
    <t>Atender la solicitud del Gobernador del Putumayo quien requiere presencia de un banco en el alto Putumayo. 
 Vincular la nómina de 1.600 docentes de los Municipios circundantes del Alto Putumayo, el cuál contempla 4 municipios que son: Sibundoy, Colón, Santiago y San Francisco. 
 Obtener los recursos de la construcción de la doble calzada San Francisco - Mocoa, lo cual dinamizara la economía del alto Putumayo. 
 Recibir los recursos de los proyectos SACUDETE asignados a los cuatro Municipios del Alto Putumayo y los recursos de INVIAS.
 Vincular el recaudo de todas las rentas de los Municipios de Santiago, San Francisco, Sibundoy y Colon.
 Posicionamiento de nuestra marca BBVA.
 Fidelizar relaciones comerciales con la Gobernación del Putumayo</t>
  </si>
  <si>
    <t>El objetivo de implementar un Inhouse es buscar profundizar la relación con los clientes en la zona o territorio en donde se instala para buscar nuevos recursos operacionales, a través de la vinculación de nuevos convenios de recaudo de impuestos, ya que son los ingresos más representativos en éste tipo de clientes. 
 Estos inhouse logran establecer con los clientes relaciones a largo plazo desde el punto de vista transaccional con la profundización del portafolio así como la oportunidad para la vinculación de nuevos clientes a través del producto Nómina.</t>
  </si>
  <si>
    <t>dianamaritza.pineros-bbva.com</t>
  </si>
  <si>
    <t>SDATOOL-37425</t>
  </si>
  <si>
    <t>Recaudo DIAN Tarjetas de Crédito Propio Banco través del Botón de pagos PSE para los canales Banca Personas y Banca de Empresas</t>
  </si>
  <si>
    <t>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t>
  </si>
  <si>
    <t>SDATOOL-37427</t>
  </si>
  <si>
    <t>Adquirencia Premium</t>
  </si>
  <si>
    <t>Implementar un nuevo modelo de negocio que permita realizar el recaudo de los comercio a una cuenta de espera, sin afectación a una cuenta normal (AHO o CTE) y en la noche aplicar a una línea de confirming previamente atada, similar al producto de crédito liquido, garantizando el cobro de comisiones y demás deducibles a las cuentas propias del cliente (Corriente o de Ahorros), al igual que implementar la conexión o entrega directa de informes de Adquirencia vía webservices.</t>
  </si>
  <si>
    <t>Se requiere generar una estrategia para apalancar el modelo de recaudo adquirente, el objetivo del desarrollo se enfoca a minimizar los costos operacionales de la adquirencia, apalancados en líneas de confirming.</t>
  </si>
  <si>
    <t>paolaandrea.gil-bbva.com</t>
  </si>
  <si>
    <t>Retail Transactionality</t>
  </si>
  <si>
    <t>SDATOOL-37468</t>
  </si>
  <si>
    <t>PCI Pin transaccional V 3.0 2021</t>
  </si>
  <si>
    <t>Fortalecer los niveles de seguridad de la informacion que se almacena, se procesa y /o transmite en el ecosistema de pagos</t>
  </si>
  <si>
    <t>Desde Credibanco envian solicitud mandatoria de requerimientos necesarios para para el cumplimiento del estandar PCI pin security version 3.0 en relacion con la seguridad del ciframiento de las llaves criptograficas del pin transaccional, utilizando cifrado de bloques para las conexiones internas (modulos criptograficos, bases de datos, aplicaciones relacionadas con el almacenamiento de llaves, el procesamiento y/o transmisión del pin transaccional, para las conexiones externas (entidades financieras, franquicias, redes, comercios u otro participante del ecosistemas con el que se intercambien llaves de pin, para los POS y ATMS que almacenen llaves y el procesamiento y/o transmisión del pin transaccional, se debe implementar el cifrado de bloques y el cambio de algoritmo 3DES a AES256 para el cifrado del pin transaccional.</t>
  </si>
  <si>
    <t>mario.lopez2-bbva.com</t>
  </si>
  <si>
    <t>SDATOOL-37483</t>
  </si>
  <si>
    <t>Aplicativos Finanzas - 2022</t>
  </si>
  <si>
    <t>Mejoras y adecuaciones a los aplicativos propios del Área Financiera a
 los requerimientos holding y locales.</t>
  </si>
  <si>
    <t>Mejoras y adecuaciones a los aplicativos propios del Área Financiera a los requerimientos holding y locales.</t>
  </si>
  <si>
    <t>No se podrían atender las mejoras propios del Área Financiera a los requerimientos holding y locales.</t>
  </si>
  <si>
    <t>SDATOOL-37531</t>
  </si>
  <si>
    <t>Proceso De Transmisión Interfaz Tubo</t>
  </si>
  <si>
    <t>"Desarrollar un proceso de transmisión diaria de la interfaz TUBO generada por Experience desde el servidor SAP al servidor de Client Solutions. La ruta para carga de archivos Tubo es \\82.255.168.93\t&amp;c
 Calculo de incentivación variable." Desarrollar un proceso de transmisión diaria de los archivos TUBO1YYMMDD y TUBO2YYMMDD que se encuentran en la carpeta outgoing/TUBO del servidor SFTP de SAP hacia la carpeta \\co.igrupobbva\svrfilesystem\TX\RECEPCION_HOST\xc\stg\incentivacion\TALENTO_&amp;_CULTURA del servidor TANTIA. se requiere que el archivo que se vaya a enviar del servidor de SSFF al servidor de TANTIA quede en formato ANSI, Este informe debe quedar diario de lunes a Domingo.</t>
  </si>
  <si>
    <t>2Q 2022</t>
  </si>
  <si>
    <t>Porque se requiere una trasmisión diaria de las novedades de los empleados con el fin de reclamaciones de por temas de accesos y cálculos de los puntajes de Incentivación Variable, ya que actualmente se está llevando de forma manual y dicha información se entrega semanal lo que impacta en resultados.</t>
  </si>
  <si>
    <t>liliana.velandia-bbva.com</t>
  </si>
  <si>
    <t>mariofelipe.caro-bbva.com</t>
  </si>
  <si>
    <t>La información de productividad seguiría generándose de forma semanal afectando la productividad de la red comercial</t>
  </si>
  <si>
    <t>Data Platform</t>
  </si>
  <si>
    <t>SDATOOL-37681</t>
  </si>
  <si>
    <t>Ciclo 2 - Resolución 0098 de Octubre 28 de 2020 - Reportes información Exógena Base Impuestos</t>
  </si>
  <si>
    <t>SDATOOL-37709</t>
  </si>
  <si>
    <t>Herramientas Regulatorias Regionales (FINREP/AE y Liquidez) 2022</t>
  </si>
  <si>
    <t>Con el objetivo de mantener las directrices, guías y normativas actualizadas de los distintos supervisores, legisladores y reguladores, así como a los requerimientos de los usuarios, existe la necesidad de realizar mantenimiento a los motores regionales durante el año 2022 (Herramientas Regulatorias Regionales FINREP/AE (Activos Encumbrados) y Liquidez)</t>
  </si>
  <si>
    <t>Mantenimiento a la herramienta regional FINREP/AE y Liquidez</t>
  </si>
  <si>
    <t>o.rodriguez-bbva.com</t>
  </si>
  <si>
    <t>Cumplir con la normativa Holding.</t>
  </si>
  <si>
    <t>SDATOOL-37736</t>
  </si>
  <si>
    <t>GRM Col - Mejoras Evolutivas de Aplicativos y Herramientas de Riesgos 2022</t>
  </si>
  <si>
    <t>Mejoras Evolutivas de Aplicativos y Herramientas de Riesgos.
 - Atender todos los desarrollos según las necesidades del área permitiendo realizar mejoras evolutivas de los diferentes aplicativos y Herramientas de Riesgos hoy existentes.
 Disciplina Global: Retail credit</t>
  </si>
  <si>
    <t>El presente Proyecto integra las Mejoras en las herramientas de riesgos, Tx en general acordes a las políticas de Riesgos o necesidades del negocio.
 -Actualización parametrías, herramientas, Scoring - Políticas 
 - Reglas Elicitadas. Power curve y EWS
 - Robot medios de pago - información de tarjetas
 -Reportería experian Datacrèdito - Fragmentados
 - Actualización versión Power curve
 - Actualización mensual script EWS</t>
  </si>
  <si>
    <t>SDATOOL-37737</t>
  </si>
  <si>
    <t>The Ninja Project Colombia</t>
  </si>
  <si>
    <t>The Ninja Project impulsa el desarrollo profesional y la transformación cultural en Engineering,
 Facilitar a los equipos de Ingeniería su formación en temas tecnológicos.</t>
  </si>
  <si>
    <t>The Ninja Project impulsa el desarrollo profesional y la transformación cultural de Engineering visibilizando y potenciando el talento tecnológico de los empleados. The Ninja Project genera "Ninjas", grandes expertos capaces de acometer los retos tecnológicos más difíciles de la organización. El objetivo es proporcionar caminos meritocráticos dentro de la organización habilitando la posibilidad, a cualquier empleado independientemente de su ubicación y rol, de llegar a ser cinturón negro.
 ------------
 The Ninja Project promotes Engineering´s cultural transformation &amp; professional development by enhacing the employees tecnological talent. Throigh a meritocratic path, Employees ("Ninjas") become technological experts able to tackle bigger challengues regardless of the location &amp; role.</t>
  </si>
  <si>
    <t>victorrafael.ramos-bbva.com</t>
  </si>
  <si>
    <t>marcoantonio.guzman-bbva.com</t>
  </si>
  <si>
    <t>Dejar de utilizar esta plataforma implica que los colaboradores pierdan su desarrollo, visibilidad y la potenciación de habilidades digitales que afrontan en los desafíos más importantes en la transformación de la organización en BBVA Colombia.</t>
  </si>
  <si>
    <t>Development &amp; Learning</t>
  </si>
  <si>
    <t>SDATOOL-37738</t>
  </si>
  <si>
    <t>Optimizaciones Mainframe 2022</t>
  </si>
  <si>
    <t>Evitar el incremento de los costos anuales en procesamiento mainframe, mejorando la eficiencia en el consumo de CPU (mips) en el mainframe (host), con la optimización de procesos y transacciones de mayor consumo y baja eficiencia respectivamente.
 De superar la capacidad máxima en el consumo de mips contratada en CCR, puede originar sobrecostos en la facturaciòn mensual con CCR
 Se ha habilitado la compatibilidad con lectores de pantalla.</t>
  </si>
  <si>
    <t>Optimización de procesos batch y transacciones en mainframe (host) que presentan altos picos de consumo de CPU (mips) y tiempo de ejecución en ventana online y batch, y asi soportar aumento de carga transaccional.</t>
  </si>
  <si>
    <t>cesaraugusto.soto-bbva.com</t>
  </si>
  <si>
    <t>No ejecutar optimizaciones puede elevar los costos de procesamiento por $ 2.368.857.150.</t>
  </si>
  <si>
    <t>Business Continuity</t>
  </si>
  <si>
    <t>SDATOOL-37741</t>
  </si>
  <si>
    <t>Reemplazo de la plataforma de Almacenamiento NetApp</t>
  </si>
  <si>
    <t>Capacidades NAS, SAN y discos de alto performace de acuerdo a l estudio de la situación Actual
 Cableado De datos y electrico
 Capacidades de datacenter requeridas: Racks, etc
 Instalación, Configuración, Migración, Replica de datos
 Matriz de compatibilidad
 Capacitación
 Gobierno de datos
 Ampliación del HW de conectividad SAN de la actual plataforma de Synergy
 Se ha habilitado la compatibilidad con lectores de pantalla.</t>
  </si>
  <si>
    <t>1Q 2025</t>
  </si>
  <si>
    <t>El propósito principal del proyecto es la actualización tecnológica de la plataforma de almacenamiento, eliminado la obsolescencia y entregando más capacidades y disponibilidad procesamiento.
 Adicional se busca ampliar la infraestructura de tarjetas de la plataforma actual de Synergy a traves del contrato actual de GrrenLake para dar cumplimiento a la sugerencia de CCR para la segmentación Física de las tarjetas HBAs.</t>
  </si>
  <si>
    <t>wilson.hernandez-bbva.com</t>
  </si>
  <si>
    <t>yinet.acevedo-bbva.com</t>
  </si>
  <si>
    <t>La plataforma tiene anuncio de EOS (End of support) para Diciembre de 2022, con lo cual el fabricante no produce más partes ni presta soporte.
 ● La plataforma que completa 8 años de puesta en operación, presenta cargas de procesamiento entre 80% y 150% y constantes fallos de partes, 
 ● El año pasado fallaron 56 discos el 7.5%, 12 horas de sin servicio total en los últimos 10 meses, indisponibilidad del 0.22 %. 
 ● NO hay más capacidad de crecimiento para atender el crecimiento del negocio 60TB el último semestre, impactando proyectos como Robnett.
 ● Otras geografías como México, España y Argentina renuevan las controladoras de almacenamiento entre 4 y como máximo 5 años, el último año los fallos en partes no supero el 1.5%.
 ● EL contrato se soporte de la plataforma actual vence el 31 de Julio por lo tanto la plataforma debe de estar instalada y migrada antes de esta Fecha.</t>
  </si>
  <si>
    <t>Reliability Others</t>
  </si>
  <si>
    <t>SDATOOL-37742</t>
  </si>
  <si>
    <t>Switches ACI DMZ Seguridad y Wan Edge - Teusaquillo</t>
  </si>
  <si>
    <t>Reemplazo de Switches de más de 10 años de operación. (Riesgo: Indisponibilidad de servicios críticos como Oficinas, CAP, Bonita, Banca Móvil, entre otros).</t>
  </si>
  <si>
    <t>Obsolescencia tecnológica</t>
  </si>
  <si>
    <t>raul.decelis-bbva.com</t>
  </si>
  <si>
    <t>alvaro.rodriguez-bbva.com</t>
  </si>
  <si>
    <t>En caso de no ejecutarse este proyecto estaremos frente a:
 ● Imposibilidad de acceder a aplicativos del Banco ante un posible daño de la infraestructura.
 ● Debido a la obsolescencia de la infraestructura actual lo que implica que no habrá soporte de fabricante con respecto a cambios de equipos, actualizaciones, cierre de vulnerabilidades</t>
  </si>
  <si>
    <t>Steel Technology</t>
  </si>
  <si>
    <t>SDATOOL-37744</t>
  </si>
  <si>
    <t>Infraestructura Firewall a nivel nacional</t>
  </si>
  <si>
    <t>Reemplazo Obsolescencia Firewall, con más de 7 años de operación. Mesa de dinero Calí, Medellin y Edificios COA93, CPD Alterno, D.G)</t>
  </si>
  <si>
    <t>● Fortalece la seguridad de los datos de los datacenter y mesas de dinero donde están instalados los diferentes firewalls.
 ● Mejoras considerables de la seguridad y segmentación de servicios en la Dirección General, en Coa93.
 ● Mejora en el desempeño, capacidad, seguridad y segmentación de la red en el Centro Alterno (Barranquilla).
 ● Riesgo en acceso a aplicaciones del banco por vencimiento del contrato de soporte y mantenimiento de los firewalls, pues al presentarse un daño considerable, éste no podrá ser solucionado en los tiempos requeridos y adicionalmente los costos serían demasiado elevados al buscar una figura de atención por llamada con algún proveedor local.
 Contratación correspondiente a la necesidad de renovar 8 firewalls (2 de Delicias + 2 del Coa93 + 2 de mesa de dinero Medellín + 2 de mesa de dinero de Cali), el soporte y mantenimiento de 6 firewalls (4 de Teusaquillo + 2 de Dirección) y el soporte y mantenimiento de 6 licencias de software.</t>
  </si>
  <si>
    <t>Si no se renuevan estos firewalls y no se contrata mantenimiento, se afectaría: 
 - Sin acceso servicios bancarios a “todos” los usuarios internos y externos.
 - Sin protección contra ciberataques a los aplicativos e infraestructura del Banco.
 - Obsolescencia: Renovación 12 años</t>
  </si>
  <si>
    <t>SDATOOL-37747</t>
  </si>
  <si>
    <t>Renovación por Obsolescencia de HW Oracle SuperCluster</t>
  </si>
  <si>
    <t>Se requiere la eliminación de obsolescencia de HW ya que en el último año se han causado 10 casos que ocasionan indisponibilidad de servicios, y actualmente el HW esta END Support hace mas de un año por parte del fabricante
 Adquirir nuevas máquinas para reemplazar las máquinas actuales que están obsoletas, así como los servicios de migración hacia las nuevas máquinas.</t>
  </si>
  <si>
    <t>El principal objetivo de esta solicitud es llevar a cabo la adquisición de las máquinas de Oracle que reemplacen las actuales máquinas Oracle Supercluster T5-8, las cuales se encuentran en obsolescencia con más de un año de END SUPPORT por parte del fabricante Oracle.
 Realizando la renovación por obsolescencia se podrá contar con la estabilidad de la máquina para tener disponibilidad de los servicios y bases de datos para los servicios transaccionales que actualmente se encuentran alojados en estas máquinas de Ingeniería.</t>
  </si>
  <si>
    <t>edgara.camargo-bbva.com</t>
  </si>
  <si>
    <t>Último año se han presentado 10 casos de incidencias relacionadas al hardware físico que han afectado y puesto en riesgo la disponibilidad de los servicios transaccionales.
 Uno de los casos 4 horas de afectación en servicios:Diálogo, Extractos, Web Scoring, Notas Contables, Constructor, Mensajería. 
 Si sigue con el soporte CRECE EL RIESGO por limitación de fabricación, disponibilidad y tiempos altos de entrega de piezas de HW lo cual pondría en riesgo la disponibilidad de los servicios transaccionales en caso de falla del HW.</t>
  </si>
  <si>
    <t>SDATOOL-37749</t>
  </si>
  <si>
    <t>Entornos Previos 2022</t>
  </si>
  <si>
    <t>Mantener la infraestructura, asegurar la disponibilidad y de los entornos de desarrollo, test certificación formación para apoyar las pruebas funcionales automatizadas y de performance en los desarrollos aplicativos</t>
  </si>
  <si>
    <t>BBVA Colombia en su proceso de mejora continua, requiere un modelo que permita mantener un ambiente estable y disponible en cuanto a infraestructura se refiere, para ello se deberá cumplir con una serie de actividades que evalúen y avalen la calidad en las instalaciones realizadas, cumpliendo así con las garantías de integridad en cambios productivos. Los requisitos generales para este servicio son * Disponibilidad del ambiente para la ejecución de pruebas funcionales y desarrollos aplicativos *. Nivelación de ambientes, garantizar que las pruebas realizadas en ambientes de certificación tengan las mismas características que se tienen en producción. *. Administración de la infraestructura de entornos previos, esto comprenderá la calidad de las pruebas realizadas y la integridad en cambios productivos</t>
  </si>
  <si>
    <t>andrea.rengifo-bbva.com</t>
  </si>
  <si>
    <t>No se contaría con la infraestructura adecuada ara realizar los proyectos del Banco y esto puede generar glosas por la realización de pruebas simuladas en ambientes previos, que garanticen la correcta funcionalidad en los aplicativos productivos.</t>
  </si>
  <si>
    <t>SDATOOL-37750</t>
  </si>
  <si>
    <t>Robotics 2022</t>
  </si>
  <si>
    <t>Automatizar tareas repetitivas que se tienen en los BEx, para que el software RPA gestione la operativa aumentando así la eficiencia, la calidad y disminuyendo el riesgos de error humano en las operaciones con mayor volumetría.
 Robotizar 7 procesos del backlog de los cuales ya se tienen en producción 16 para un total de 23, a través del software RPA, el cual replica acciones que un humano realiza sobre un PC</t>
  </si>
  <si>
    <t>"* Rápido desarrollo de una “fuerza de trabajo virtual”
 * Interacción con sistemas sin integración compleja
 * Configuración del Negocio a través de una interface simple e intuitiva
 * Reducción de costos 
 * Aumenta la calidad a través de la eliminación de errores
 * Incrementa la productividad, ya que se necesitan menos FTEs completando tareas repetitivas"</t>
  </si>
  <si>
    <t>john.ardila-bbva.com</t>
  </si>
  <si>
    <t>magda.pedraza-bbva.com</t>
  </si>
  <si>
    <t>- Están productivos 15 Robots desde finales de 2019 y durante el 2020 para su mantenimiento se requiere incluir en los gastos recurrentes mensual de $5.933.333, por Q $17.800.000, para un total por año de $71.200.000
 - Renovación de 5 licencias Blue Prism (c/u USD 10.986) ejectuable en octubre 2021 con vivencia de Octubre 2021 a octubre 2022 $211.097.000"</t>
  </si>
  <si>
    <t>SDATOOL-37751</t>
  </si>
  <si>
    <t>Workplace AACC 2022</t>
  </si>
  <si>
    <t>Optimizar el equipamiento con reporte de incidencias, que presenta daños, bloqueos y/o lentitud; reincidencias de daños</t>
  </si>
  <si>
    <t>Compra aproximada de 800 equipos y periféricos para AACC, con el fin de atender el día a día y reducir el nivel de obsolescencia.</t>
  </si>
  <si>
    <t>henryr.rodriguez-bbva.com</t>
  </si>
  <si>
    <t>Es importante contar con un stock adecuado de equipos workplace con el objetivo de poder dar solución ágil de todas las novedades que se puedan presentar, adicionalmente el regreso del home office implica que se debe presentar mayor uso de equipos en sitio los cuales y presentan un grado importante de vetustez.
 De no contar con la disponibilidad de equipos o cualquier otro elemento workplace que se requiera para mantener la correcta operación en áreas centrales afectaría la productividad de los nuestros funcionarios tanto en operativa y como en proyectos en ejecución.</t>
  </si>
  <si>
    <t>SDATOOL-37753</t>
  </si>
  <si>
    <t>Plan de transformación de operaciones 2022</t>
  </si>
  <si>
    <t>"Grupo de inicitivas:
 1. Permitir un impacto en ingresos a través de la transofrmación de la operación
 2. Disminuir el gasto Opex con proveedores automatizando tareas
 3. Disminuir riesgos críticos para el banco y permitir el crecimiento de la operación".</t>
  </si>
  <si>
    <t>"Buscar la mejora operativa desde 2 ejes:
 1. Mejorar los costos de la operación a través de automatizaciones
 2. Eliminar riesgos que son una potencial pérdida para el banco a través del aseguramiento de los procesos y la custodia efectiva de información"</t>
  </si>
  <si>
    <t>ronal.saavedra-bbva.com</t>
  </si>
  <si>
    <t>piedad.corzo-bbva.com</t>
  </si>
  <si>
    <t>Continuar con los procesos manuales y mantener el riesgo operativo actual dia a dia</t>
  </si>
  <si>
    <t>SDATOOL-37754</t>
  </si>
  <si>
    <t>PCI - Forensic</t>
  </si>
  <si>
    <t>El modelo de seguridad de la información del Grupo BBVA Colombia presenta un nivel de madurez de acuerdo a la política implementada y los controles establecidos, por este motivo se requiere ejecutar pruebas que permitan comprobar la efectividad de las medidas implementadas. Sólo mediante el uso de software especializado para análisis Forense podemos dar respuesta a las diferentes solicitudes que presenta el banco cuando de investigaciones internas se refiere. Adicional contar con las herramientas adecuadas para la recuperacion de informacion y borrado seguro de la misma. Todo lo anterior en el marco que propone Holding se debe tener en cada país.</t>
  </si>
  <si>
    <t>Realizar la compra de nuevos servicios y renovación de licencias para los equipos actuales pertinentes al laboratorio de Forense, con el fin, de tener la capacidad local para atender los diferentes casos referentes a análisis forense, recuperación de información, borrado seguro y demás que se puedan presentar.</t>
  </si>
  <si>
    <t>El costo de descontinuar el proyecto implica en el riesgo de no contar con evidencias para realizar investigaciones internas de posibles fraudes, fuga de información, pérdida de información, etc.</t>
  </si>
  <si>
    <t>SDATOOL-37755</t>
  </si>
  <si>
    <t>Robnett - Disminución ELA 2023</t>
  </si>
  <si>
    <t>Migración del centro de computo local a la nube.
 Optimización de costos de operación dele legacy en el CPD Local</t>
  </si>
  <si>
    <t>De no hacer el proyecto los costos de operación seguiran creciendo exponencialmente restando a los ingresos operacionales, poniendo en riesgo la sostenibilidad del Banco en el mediano plazo</t>
  </si>
  <si>
    <t>humberto.patarroyo.osorio-bbva.com</t>
  </si>
  <si>
    <t>Proyecto con duración a 2Q DE 2023, Este presupuesto es para la fase 1. (USD 4.761.889 serían los costos en los que incurría el banco en OpEx, al Q2 del 2023 y recurrente de no acometer este proyecto)</t>
  </si>
  <si>
    <t>SDATOOL-37756</t>
  </si>
  <si>
    <t>Nueva herramienta de monitoreo transaccional Feature Space</t>
  </si>
  <si>
    <t>Adquirir los recursos necesarios que permitan la implementación e integración de Biocatch con los canales digitales de Banca Móvil, BBVA Net y BBVA Net cash. Las implicaciones de no implementar la iniciativa está asociada a no contar con la oportunidad de detección y gestión de un fraude en los canales mencionados, es decir, un Sistema débil de la protección ante fraude, baja tasa de prevención de las acciones del defraudador cuando un cliente es afectado por tendencias de fraude tecnológico. 
 Aumento de reclamos, Incremento del riesgo reputacional y Incumplimiento a requerimientos de auditoría.</t>
  </si>
  <si>
    <t>Implementar nueva herramienta de monitoreo transaccional para los diferentes canales, prevención de fraude, alineándonos al modelo Next Gen Corporativo. Esta herramienta ARIC Feature Space reemplazará la herramienta Monitor Plus</t>
  </si>
  <si>
    <t>laura.gallardo.selma-bbva.com</t>
  </si>
  <si>
    <t>Las implicaciones de no implementar la iniciativa está asociada a no contar con la oportunidad de detección y gestión de un fraude en los canales mencionados, es decir, un Sistema débil de la protección ante fraude, baja tasa de prevención de las acciones del defraudador cuando un cliente es afectado por tendencias de fraude tecnológico. 
 Aumento de reclamos, Incremento del riesgo reputacional y Incumplimiento a requerimientos de auditoría.</t>
  </si>
  <si>
    <t>SDATOOL-37761</t>
  </si>
  <si>
    <t>Plan transformación de procesos</t>
  </si>
  <si>
    <t>Transformación de procesos áreas centrales, retail, enterprise y red de oficinas</t>
  </si>
  <si>
    <t>angela.navarro-bbva.com</t>
  </si>
  <si>
    <t>Este proyecto debe continuar, comprende 3 iniciativas requeridas para el funcionamiento del 100% de aplicación de pagos de libranzas (Iniciativa en curso – pruebas), además atender requerimiento del Area de RCS (Automatización de macros), para mejorar la calidad en los procesos y disminuir el riesgo de la operativa entre otros.
 Por otra parte, ajustes al desarrollo de sobrantes por cambio en políticas de devolución.</t>
  </si>
  <si>
    <t>SDATOOL-37762</t>
  </si>
  <si>
    <t>TITAN -2022</t>
  </si>
  <si>
    <t>Automatizar procesos del área que permitan la reducción de actividades manuales, riesgos inherentes a la operativa y tiempos de ejecución, mejorando así la experiencia del cliente interno y externo
 TITAN es un proyecto del área de Operaciones que busca optimizar y automatizar todos aquellos procesos operativos que presentan riesgos en su ejecución por manualidad, riesgos de seguridad por manipulación de data y confidencialidad de la información.</t>
  </si>
  <si>
    <t>Automatizar actividades que puedan generar riesgos operacionales dentro de los procesos de operaciones, impactando positivamente los servicios del banco.</t>
  </si>
  <si>
    <t>Continuar con los procesos manuales y mantener el riesgo operativo actual en la operativa</t>
  </si>
  <si>
    <t>SDATOOL-37763</t>
  </si>
  <si>
    <t>ITR3P (IT Risk in Third Parties) COLOMBIA</t>
  </si>
  <si>
    <t>- Mitigar el riesgo IT en el Grupo BBVA
 - Cumplir con exigencias Regulatorias de la 2LoD
 Descripción: Definir e implantar un modelo de gestión de riesgo IT en terceras partes en Colombia, alineado con el del resto del Grupo BBVA, y que con foco en el riesgo, permita mitigar el riesgo IT en las colaboraciones externas."</t>
  </si>
  <si>
    <t>"SecurityScoreCard ofrece una visión holística de la postura de seguridad de cualquier organización basada en la recopilación, análisis y atribución de millones de data points críticos. El resultado es una solución de seguridad que proporciona una visión precisa del riesgo en su ecosistema, ya sea que ese riesgo lo plantee un proveedor de bajo rendimiento o un riesgo correlacionado en un grupo de empresa.
 El Riesgo de no implantarlo es el incumplimiento ante entes regulatorios como el Banco Central Europeo y Superfinanciera de Colombia, y la materialización de eventos de compromentar la disponibilidad de servicio.
 "</t>
  </si>
  <si>
    <t>En caso de descontinuar el proyecto estamos expuestos a incumplimiento de petición Regulatoria y no mitigar riesgo IT en servicios de terceros</t>
  </si>
  <si>
    <t>SDATOOL-37765</t>
  </si>
  <si>
    <t>Optimización operativa S&amp;C</t>
  </si>
  <si>
    <t>Se requiere desarrollos evolutivos de optimizaciones</t>
  </si>
  <si>
    <t>mabel.diaz-bbva.com</t>
  </si>
  <si>
    <t>francisco.fgil-bbva.com</t>
  </si>
  <si>
    <t>SDATOOL-37766</t>
  </si>
  <si>
    <t>Banking Runtimes 2022</t>
  </si>
  <si>
    <t>"Gestionar de forma adecuada la capacidad, el performance y la forma de operar (soportes, monitorización, cambios.) de las arquitecturas de ejecución bancarias, de servicios ASO, de seguridad SEC, Transaccional APX, de oficinas SPRING/Nacar, arquitectura de DATOS de la plataforma Ether y la convivencia Ether / Mainframe asegurando la productivización de Ether asegurando la evolución técnica y la migración de servicios cloud, disponibilizando las capacidades para la implementación proyectos Globales (Horizon) / Locales que a gran escala soporte el aumento de la demanda transaccional
 "</t>
  </si>
  <si>
    <t>"Definir la Estrategia e implementación de mejoras a nivel país que permita abordar los problemas que surgen como resultado del estrés de las arquitecturas de ejecución bancarias de la plataforma Ether (ASO/APX)
 "</t>
  </si>
  <si>
    <t>El costo de detener el proyecto generaría incremento en la obsolesencia de las arquitecturas de ejecución de la plataforma Ether, riesgo en la disponibilidad y los Niveles de servicio afectando la capacidad y el performance</t>
  </si>
  <si>
    <t>Ether productivization</t>
  </si>
  <si>
    <t>SDATOOL-37769</t>
  </si>
  <si>
    <t>FRM Integración</t>
  </si>
  <si>
    <t>Herramienta de Fraude o FRM (Fraud Risk Module), permite coordinar una respuesta ágil, eficiente y flexible a transacciones con riesgo estimado de fraude en operaciones multicanal. 
 Se requiere reporte de los canales digitales (net, banca movil) a la herramienta FRM
 Esta herramienta debe estar integrado a la herramienta de monitoreo transaccional (Monitor Plus) o en su defecto la herramienta que se encuentre para tal función.
 Se planea hacer un piloto con transferencia y pagos PSE para luego definir cómo o qué otras reglas se integran a las consolas.</t>
  </si>
  <si>
    <t>The next-gen antifraud platform is a technological plan created in response to the latest challenges in detecting and dealing with the risk of fraud. It takes into account many of the challenges faced by BBVA Group in the technological paradigm changes, bank processes and organized crime.</t>
  </si>
  <si>
    <t>Es un servicio indispensable para poder implementar el análisis de patrones de fraude y declinaciones en tiempo real en los canales digitales.
 Prevención y mitigación de fraude en eventos de tiempo real</t>
  </si>
  <si>
    <t>SDATOOL-37770</t>
  </si>
  <si>
    <t>Adquisición Licencias BeyondCorp</t>
  </si>
  <si>
    <t>Se requiere adquirir una licencia por usuario del banco (Aprox. 10.000) de BeyondCorp, servicio definido por el Corporatvio para asegurar el acceso a la información de clientes, empleados y BBVA únicamente desde equipos corporativos que se encuentres debidamente plataformados y asegurados con las herramientas dispuestas por BBVA.</t>
  </si>
  <si>
    <t>Reducir la fuga de información la cual puede conllevar a temas de fraude, demandas, sanciones, afectación al Goodwill del Banco.</t>
  </si>
  <si>
    <t>ana.naiza-bbva.com</t>
  </si>
  <si>
    <t>En caso de descontinuar el proyecto, estaríamos expuestos a riesgo de indisponibilidad para el modelo de recaudos y soporte de terceros, así como afectación de procesos críticos como recaudos y mensajería SMS.</t>
  </si>
  <si>
    <t>SDATOOL-37771</t>
  </si>
  <si>
    <t>Automatización y mejoras de procesos de Corporate Security</t>
  </si>
  <si>
    <t>Realizar las mejoras solicitados, los cuales con su implementación buscan mejorar los tiempos de atención y los controles necesarios para reducir la manualidad actual en el área para cada uno de estos procesos.</t>
  </si>
  <si>
    <t>Realizar mejoras de los procesos indicados en el área de acceso lógico y perfilado con el fin de brindar una atención oportuna y eficaz .</t>
  </si>
  <si>
    <t>-Incumplimiento con los reportes solicitados por la Revisoría Fiscal en la evaluación trimestral que se realiza asociada a la Evaluación de los controles generales de tecnología de información. 
 - Aumento de fraude materializado y quebranto en la banca de empresas
 - Imposibilidad de defender los intereses del Banco por falta de alertamiento.
 - Imposibilidad de detección y control de amenazas de malware avanzado, ataques sofisticados y amenazas persistentes.
 - Incumplimiento del 5% que evita llegar al 100% de la métrica ATMs Monitoring del KPI modelo global.</t>
  </si>
  <si>
    <t>SDATOOL-37776</t>
  </si>
  <si>
    <t>DevOps: Estandarización del Ciclo de Vida 2022</t>
  </si>
  <si>
    <t>Automatización del ciclo de vida desarrollo de software para las aplicaciones priorizadas desde el desarrollo hasta su puesta en producción.</t>
  </si>
  <si>
    <t>"El objetivo es automatizar los procesos tecnológicos de desarrollo de software con el fin de tener entregas continuas de calidad y ser más oportunos en el valor a nuestros clientes desde que se inicia el desarrollo hasta su puesta en producción.
 "</t>
  </si>
  <si>
    <t>liztatiana.lopez-bbva.com</t>
  </si>
  <si>
    <t>No se podrían obtener mejoras hasta del 81% en la velocidad y del 83% en la calidad en los desarrollos sobre la aplicaciones/canales que se definan integrar al modelo. Adicional el incumplimiento con la estrategia de transformación de DevOps Global y sus respectivos KPI's para todas las geografías.</t>
  </si>
  <si>
    <t>Architecture Platforms - New Capabilities</t>
  </si>
  <si>
    <t>SW Transformation Tools</t>
  </si>
  <si>
    <t>SDATOOL-37778</t>
  </si>
  <si>
    <t>Tech University Colombia 2022</t>
  </si>
  <si>
    <t>Tech U! es la experiencia formativa personalizada que te ayudará a mejorar tus capacidades en línea con la transformación tecnológica de BBVA y del mercado.
 Se realizaran 2 ediciones de Start Up para los nuevos ingresos al banco explicandoles un poco las nuevas tecnologias Next Gen que BBVA maneja, tambien contaremos con 2 ediciones de Practitioner donde los alumnos encontraran mas a detalle cuales son las tecnologías en las cuales BBVA desarrolla y por ultimo desarrollaremos 5 Specialized donde los alumnos se centran en cada una de las especialidades que se requieren en el proyecto.
 Tech University promueve el crecimiento profesional y la transformación del área de Ingeniería en las nuevas plataformas Next Gen.</t>
  </si>
  <si>
    <t>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Gen.
 --------------
 As a consequence of the new technology platform, our taskforce must be prepared to know and know how to use the new architectures and technologies on which it is based. The risk of not training our employees, may mean not having the necessary talent to be able to lead the technological change that is taking place in BBVA and in the market. With this project we will transform our employees from Legacy technologies to Next Gen.</t>
  </si>
  <si>
    <t>carloseduardo.amortegui-bbva.com; marcoantonio.guzman-bbva.com</t>
  </si>
  <si>
    <t>Dejar de formar a los colaboradores en estas tecnologías nextgen, afectaría el proceso de transformación en BBVA Colombia, porque uno de los pilares y de las palancas más importantes es el conocimiento. Adicionalmente, el costo de mantenimiento anual que se carga por derrama, desde holding, es de 14.000 euros aprox. Y los únicos bootcamp que tienen costo adicional (18.000 euros), por la intensidad horaria y especialización, son los practitioner, que se realizan entre uno y dos al año.</t>
  </si>
  <si>
    <t>SDATOOL-37779</t>
  </si>
  <si>
    <t>Compra e instalación sistema de detección y prevención de incendios para los edificios DG, Teusaquillo y Santa Monica Cali</t>
  </si>
  <si>
    <t>actualización sistema control de accesos biometrico daod que el actual presenta fallas repetivas generando inconsistencias en los controles de seguridad de areas criticas</t>
  </si>
  <si>
    <t>Compra e instalación de sistema de detección y prevención de incendios edificios DG, Teusaquillo y Santa Mónica Cali</t>
  </si>
  <si>
    <t>En caso de desestimar la implementación de los tres sistemas de detección de incendio, el Banco debería asumir los riesgos en caso de siniestros como responsabilidades civiles ante daños y perjuicios en personas y edificaciones y Pérdidas materiales y humanas ante la no detección de un incendio de manera oportuna.</t>
  </si>
  <si>
    <t>Physical security &amp; safety</t>
  </si>
  <si>
    <t>SDATOOL-37780</t>
  </si>
  <si>
    <t>Reposición sistema Alarmas y Video</t>
  </si>
  <si>
    <t>Se requiere contar con la disponibilidad de equipos para reposición en el día a día que se genera por daño o fatiga para elementos de alarma y videos a nivel nacional, los cuales se presentan por la obsolescencia de los mismos y ante la imposibilidad de reparación (discontinuidad de repuestos) se deben reemplazar de forma inmediata.
 Si no se cuenta con disponibilidad inmediata para la reposición de estos elementos,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
 "Reposición de elementos de Alarma y video como Paneles, Videograbadores y cámaras por demanda de acuerdo al diagnóstico de situación técnica y la criticidad del mismo. Se requieren 4 Videograbador NVR 16CH IP CON 8TB, 4 Videograbador NVR 8CH IP CON 4TB, 6 Cámara para interiores 
 y 4 Panel de Alarma PACOM 8002R-001-M-UL."</t>
  </si>
  <si>
    <t>Contar los elmentos de alarma y video a tiempo garantiza que los sitemas de seguridad salkvaguarden nuetros diferentes putos de atencion y ATMs</t>
  </si>
  <si>
    <t>jair.gomez-bbva.com</t>
  </si>
  <si>
    <t>SDATOOL-37782</t>
  </si>
  <si>
    <t>licencias Proactivanet</t>
  </si>
  <si>
    <t>Adquirir 2500 licencias de proactivanet adicionales, asegurando la entrega actualizada y correcta del inventario de equipos Workplace y servidores.</t>
  </si>
  <si>
    <t>Se requiere garantizar el inventario automático de todos los equipos conectados a la red del Banco, pudiendo hacerlo en le momento que se requiera, minimizando riegos operativos por manualidad en la toma de estos datos.</t>
  </si>
  <si>
    <t>En caso de no tener las licencias se debe llevar de forma manual</t>
  </si>
  <si>
    <t>Buildings &amp; Employee Services</t>
  </si>
  <si>
    <t>Employee Services &amp; Workplace</t>
  </si>
  <si>
    <t>SDATOOL-37783</t>
  </si>
  <si>
    <t>Licencias Aranda</t>
  </si>
  <si>
    <t>se tienen 27 licencias actualmente, un crecimiento alto tanto en resolutores como en proyectos, generando el mensaje en la herramienta que "no hay licencias disponibles" y impactando el trabajo de varios de los funcionarios que hacen uso de la herramienta.
 por lo anterior es indispensable obtener las licencias para lograr más capacidad de uso de las funcionalidades de ARANDA.</t>
  </si>
  <si>
    <t>Solucionar el error por capacidad de licencias. Superando que con el ingreso de más funcionarios el error se vuelva caotico</t>
  </si>
  <si>
    <t>Si no obtenemos la licencias solicitadas y el crecimiento en proyectos se mantiene la herramienta tendrá un encolamiento en el ingreso de los usuarios especialistas, por lo que el porcentaje de ANS y/o SLA de las incidencias que actualmente se encuentran con un nivel de atención del 98% o superior se pueden ver afectados tanto para servicios internos como las servicios de proveedores que usan la herramienta ARANDA.</t>
  </si>
  <si>
    <t>SDATOOL-37824</t>
  </si>
  <si>
    <t>Plataforma Telefonía y Sistema de Grabación Mesa de Tesorería para Banco, BBVA Seguros, Fiduciaria y Valores</t>
  </si>
  <si>
    <t>Contratación servicio para soportar los servicios de Telefonía Fija y Sistema de Grabación para la Mesa de Dinero de BBVA Colombia (BANCO BBVA, BBVA SEGUROS, FIDUCIARIA Y VALORES).</t>
  </si>
  <si>
    <t>Banco BBVA, BBVA Seguros, BBVA Fiduciaria y BBVA Valores requiere contratar la infraestructura hardware, software, licencias y servicios de implementación, soporte, mantenimiento, garantía y administración delegada, para el servicio de telefonía y grabación de llamadas para sus Mesa de trading.</t>
  </si>
  <si>
    <t>josemleal-bbva.com</t>
  </si>
  <si>
    <t>Impacto al Negocio, la mesa de Tesorería no podría ejecutar sus operaciones</t>
  </si>
  <si>
    <t>SDATOOL-37867</t>
  </si>
  <si>
    <t>Cambio Forma de Marcar Teléfonos Fijos y Celulares</t>
  </si>
  <si>
    <t>Con la nueva regulación para marcación en Colombia sugiere hacer un cambio en las estructuras de los teléfonos fijos y celulares, la cual debe ser revisada desde el momento cero de captura hasta el almacenamientos en las diferentes fuentes, con el fin de determinar todos los ajustes que se deben hacer para llegar a tener el 100% de los números de contacto con el cliente ajustados. Esto es determinante para tener una correcta visualización y marcación, así como, no incurrir en procesos de transformación manuales.</t>
  </si>
  <si>
    <t>david.juvinao-bbva.com</t>
  </si>
  <si>
    <t>cesar_gomez-bbva.com</t>
  </si>
  <si>
    <t>SDATOOL-37899</t>
  </si>
  <si>
    <t>Formularios Subsidios (PAEF, Jóvenes y Afectados por el paro)</t>
  </si>
  <si>
    <t>Se requiere cumplir con lo establecido en la Ley 2155 del 14 de septiembre de 2021, y la resolución 2430 , en la cual se establece el pago del subsidio correspondiente a los meses de Mayo de 2021 hasta Diciembre de 2021, requiriendo el diligenciamiento de formatos de postulación para empleadores formales, quienes deben tramitar ante las entidades financieras dichos subsidios. Las entidades financieras deben recibir, validar, transmitir a UGPP (Unidad de gestión pensional y parafiscales) y abonar los recursos que sean otorgados por el Ministerio de hacienda.</t>
  </si>
  <si>
    <t>SDATOOL-37914</t>
  </si>
  <si>
    <t>Soporte y mantenimiento servicios tecnológicos 2022 - CEL</t>
  </si>
  <si>
    <t>Garantizar la disponibilidad de los servicios de la infraestructura tecnológica del Banco
 Mantener alto nivel de disponibilidad de la plataforma actual del Banco.</t>
  </si>
  <si>
    <t>Garantizar el correcto funcionamiento de los aplicativos y su estabilización. Automatización en los procesos requeridos.Incrementar la cobertura de estabilización de aplicativos con el fin de minimizar los esfuerzos de la ejecución de las mismas y su correcto funcionamiento. Asegurar el correcto mantenimiento y soporte de los evolutivos con el fin de garantizar la mejora continua de las mismas.</t>
  </si>
  <si>
    <t>Garantizar la disponibilidad de los servicios de la infraestructura tecnológica del Banco</t>
  </si>
  <si>
    <t>SDATOOL-37916</t>
  </si>
  <si>
    <t>Certificación de Incidencias, Cancelaciones y Broadcast 2022 - CEL</t>
  </si>
  <si>
    <t>Atender los requerimientos de desarrollos correctivos de los aplicativos del Banco.
 Aplica para la atención de las Incidencias, cancelaciones y broadcast de los diferentes aplicativos que maneja BBVA.</t>
  </si>
  <si>
    <t>El objetivo es ajustar los errores que se presentan en los aplicativos productivos del banco,
 Dichos ajustes se aseguran y certifican desde ambientes previos validando la funcionalidad y el SW entregado por las líneas Delivery, con el fin que no provoque nuevas afectaciones o modifique el correcto funcionamiento en los aplicativos productivos</t>
  </si>
  <si>
    <t>Estabilizacion de los aplicativos productivos , ajuste de las fallas presentadas en la operación diaria</t>
  </si>
  <si>
    <t>SDATOOL-37924</t>
  </si>
  <si>
    <t>Equipo y mobiliarios AACC 2022</t>
  </si>
  <si>
    <t>Proyecto para adecuación y conservación de edificios singulares, para lograr su funcionamiento adecuado.</t>
  </si>
  <si>
    <t>Buscar el bienestar de las personas que habitan en el edificio y lograr mantener el funcionamiento al 100% de las instalaciones.</t>
  </si>
  <si>
    <t>patricia.romero-bbva.com</t>
  </si>
  <si>
    <t>nurys.cervera-bbva.com</t>
  </si>
  <si>
    <t>SDATOOL-37926</t>
  </si>
  <si>
    <t>Nueva Sede Colombia</t>
  </si>
  <si>
    <t>Cubrir las necesidades de puestos de trabajo para el plan retorno en la modalidad híbrida cumpliendo el esquema de trabajo de 3 días en Banco y 2 días en Casa; se requieren 533 puestos de trabajo, adecuando 2 edificios propios (131 puestos) y alquilando un edificio con capacidad para 402 personas. Poder centralizar en el edificio de dirección general áreas de negocio como BBVA seguros y la Banca Wealth y trasladar a los roles operativos y de fábricas digitales a edificios con costos operativos menores.</t>
  </si>
  <si>
    <t>Ajustarnos a las condiciones de trabajo Híbrido definidas de 3 días en Banco y 2 días en casa, debido a que actualmente el modelo viable por espacios físicos es de 2 días en Banco y 3 en casa. Con la implementación de esta sede, se generaran eficiencias en costos operativos por traslados de áreas a edificios propios y se incurren en costos menores que generan ahorros a mediano plazo, bienestar de los empleados y sinergia de las áreas de negocio del banco.</t>
  </si>
  <si>
    <t>monica.viveros-bbva.com</t>
  </si>
  <si>
    <t>SDATOOL-38079</t>
  </si>
  <si>
    <t>Analytic Runtimes 2022</t>
  </si>
  <si>
    <t>ANALYTIC RUNTIMES - Habilitar líneas de trabajo para garantizar el estado de salud de Ether.Datio
 En línea al stress del desarrollo de proyectos de datos se lanzan líneas así : 
 - Optimización. (Analizar y ajustar proceso que no usan los recursos adecuadamente. Técnica : Optimizar la asignación de tallas )
 - Sot. ( Atención a incidentes y requerimientos en ANS acordados) a traves del incident Manager. 
 - Modelo de Solución de Datos.(Herramienta para ejecutar proyectos)
 - Estado de Salud “Cancelaciones y Gestión adecuada de la plataforma”</t>
  </si>
  <si>
    <t>This program allows the business to have adequate service levels for the financial products delivered to the client, due to the fact that it has highly reliable platform (analytical execution architectures) since it has an efficient operation (incidents, monitoring, changes,...) as well as adequate capacity and performance management.
 Este programa permite al negocio disponer de unos niveles de servicio adecuados a los productos financieros que se entregan al cliente, debido a que dispone de unas arquitecturas de ejecución analíticas altamente fiables ya que tiene una operación eficiente (Incidencias, monitorización, cambios,...) así como una gestión de la capacidad y performance adecuado.</t>
  </si>
  <si>
    <t>jennifer.zamudio-bbva.com</t>
  </si>
  <si>
    <t>mario.charry-bbva.com</t>
  </si>
  <si>
    <t>La no ejecución del proyecto evitará la Optimización de los recursos Ether.DATIO, y la administración efectivamente los de almacenamiento, procesamiento y explotación.</t>
  </si>
  <si>
    <t>SDATOOL-38080</t>
  </si>
  <si>
    <t>Seguros - LIS Coaseguro Aceptado Autos</t>
  </si>
  <si>
    <t>El objetivo de este proyecto es la implementación de un canal de cobro de las pólizas de seguros libres de autos en los medios de recaudo cuentas y tarjetas.</t>
  </si>
  <si>
    <t>carolina.galvis-bbva.com</t>
  </si>
  <si>
    <t>SDATOOL-38091</t>
  </si>
  <si>
    <t>Higiénicos Plataforma Digital de Oficinas CAP</t>
  </si>
  <si>
    <t>Mejorar la usabilidad de la plataforma CAP - Contratación ágil de productos, en la actualidad se realizan 10Mil contrataciones mensuales por esta aplicación, y se requiere llevar al uso del 100% (20.000Mil solicitudes)</t>
  </si>
  <si>
    <t>Se requiere mejorar la Captura de Campos, ajuste de Navegación, ajustes de Campos para eliminar operatorias en la fábrica.
 Con esto se llegara a la radicación del 100% de la contratación de los créditos de consumo, libranzas y Tdc para la Red de oficina y la CSF.</t>
  </si>
  <si>
    <t>cindytatiana.perilla-bbva.com</t>
  </si>
  <si>
    <t>lyda.cabanzo-bbva.com</t>
  </si>
  <si>
    <t>Branch rebranding, refurbishment &amp; maintenance</t>
  </si>
  <si>
    <t>SDATOOL-38222</t>
  </si>
  <si>
    <t>Seguros - Optimización de productos 2022</t>
  </si>
  <si>
    <t>Implementar mejoras a los productos y funcionalidades de los sistemas core y legados de la aseguradora</t>
  </si>
  <si>
    <t>SDATOOL-38224</t>
  </si>
  <si>
    <t>Seguros - Evolutivos Agencia de Seguros 2022</t>
  </si>
  <si>
    <t>Implementar evolutivos en la herramienta CORE de la Agencia de Seguros de carácter transversal para todos los procesos y empleados de la agencia de Seguros</t>
  </si>
  <si>
    <t>La plataforma CORE de la Agencia de Seguros, permite tener una herramienta que soporte el crecimiento de la compañía en términos de una infraestrucutura actualizada y flexible a las necesidades del negocio.</t>
  </si>
  <si>
    <t>mariana.gil.escobar-bbva.com</t>
  </si>
  <si>
    <t>sandrapatricia.ramirez-bbva.com</t>
  </si>
  <si>
    <t>SDATOOL-38225</t>
  </si>
  <si>
    <t>Seguros - Mandatorios 2022</t>
  </si>
  <si>
    <t>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t>
  </si>
  <si>
    <t>SDATOOL-38226</t>
  </si>
  <si>
    <t>Seguros - Optimización de productos Bancaseguros 2022</t>
  </si>
  <si>
    <t>Implementar mejoras a los productos Bancaseguros y sus funcionalidades de los sistemas core de banco BBVA</t>
  </si>
  <si>
    <t>paulocesar.sastoque-bbva.com</t>
  </si>
  <si>
    <t>SDATOOL-38227</t>
  </si>
  <si>
    <t>Despriorizado - Seguros - LIS Coaseguro Autos Deudores</t>
  </si>
  <si>
    <t>tbd</t>
  </si>
  <si>
    <t>SDATOOL-38228</t>
  </si>
  <si>
    <t>Seguros - Smartsupervision y el Sistema de Atención al Consumidor Financiero (SAC)</t>
  </si>
  <si>
    <t>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t>
  </si>
  <si>
    <t>SDATOOL-38229</t>
  </si>
  <si>
    <t>Seguros - Infraestructura y Workplace 2022</t>
  </si>
  <si>
    <t>Adquisición de hardware para ampliar la capacidad de almacenamiento de las bases de datos Oracle para mitigar el riesgo de afectaciones al negocio por falta de capacidad de almacenamiento.</t>
  </si>
  <si>
    <t>elkinfernando.burbano-bbva.com</t>
  </si>
  <si>
    <t>SDATOOL-38419</t>
  </si>
  <si>
    <t>Contratación cuenta en línea en Glomo</t>
  </si>
  <si>
    <t>Contratación de cuenta de ahorros y de nómina para clientes nuevos, en la aplicación Glomo.</t>
  </si>
  <si>
    <t>katherine.pardo-bbva.com</t>
  </si>
  <si>
    <t>SDATOOL-38427</t>
  </si>
  <si>
    <t>Servicios transaccionales 2022</t>
  </si>
  <si>
    <t>Desarrollar conexiones directas con clientes para servicios de recaudo o solicitudes puntuales de los clientes</t>
  </si>
  <si>
    <t>Los clientes de banca empresas, gobierno y CIB piden soluciones a la medida de manera permanente, el objetivo de este proyecto es tener capacidades para poder abordar las solicitudes.</t>
  </si>
  <si>
    <t>jeissonandres.diaz.rodriguez-bbva.com</t>
  </si>
  <si>
    <t>Traditional POS Net Cash (traslados)</t>
  </si>
  <si>
    <t>Incluir una opción en el canal Net Cash web, para que un cliente que tenga el producto de adquirencias con otro Banco tenga la posibilidad de cambiar su adquirencia a BBVA</t>
  </si>
  <si>
    <t>leidyviviana.patino-bbva.com</t>
  </si>
  <si>
    <t>SDATOOL-38443</t>
  </si>
  <si>
    <t>Arce Empresas Colombia</t>
  </si>
  <si>
    <t>Es Una nueva plataforma de admisión mayorista global implantada localmente con cambio de proceso global con Análisis guiado y explotable (datio-dashboard)
 Integrando el front de negocios
 Es una herramienta integral para el análisis de clientes generando trazabilidad a los procesos RISK Appetite Framenwork y políticas de riesgos
 Disciplina: Wholesale Credit</t>
  </si>
  <si>
    <t>BBVA needs to face a new competitive environment: new players, macro and technologies capabilities. This challenge must be managed by deploying a global solution [Think Big], standardizing Risk Processes across geographies making Client First; at the same time looking for efficiency improvement.
 To reach this, a One Team strategy is going to be deploy by coordinated Client Solutions initiatives.</t>
  </si>
  <si>
    <t>maritza.sarmiento-bbva.com</t>
  </si>
  <si>
    <t>El país no estaría alineado con las herramientas corporativas y a futuro los desarrollos globales de la Eba se deben asumir de forma local en los aplicativos vigentes</t>
  </si>
  <si>
    <t>SDATOOL-38447</t>
  </si>
  <si>
    <t>GRM Col - Condonación y bajas automáticas en Medios de Pago</t>
  </si>
  <si>
    <t>A partir de una imput de entrada proporcionado por Recuperaciones identificar los saldos totales, pago mínimo y fecha de última fecha de pago de los contratos proporcionados para así identificar los contratos que serán sujeto de condonación que posteriormente por medio de un proceso batch se realizará la cancelación de los contra de manera definitiva (al realizar dicha cancelación no es viable el cargue de abonos o cargos por ningún concepto o canal que lo consulte)
 Disciplina: Risk Strategy &amp; Develop &amp; BEx</t>
  </si>
  <si>
    <t>Actualmente la identificación de los contratos para el estudio y aplicación de condonaciones se realiza de manera manual lo que genera riesgos en la utilización de los cupos autorizados que se traducen en condonaciones parciales y a su vez en eventuales requerimientos de los clientes por saldos.
 - Eliminación de operatividad y optimizar el proceso de identificar los contratos a condonar y dar de baja de manera definitiva.
 - Eliminación de PQR por cargos y abonos a contratos sujetos de medidas de normalización.</t>
  </si>
  <si>
    <t>dianaesperanza.pareja-bbva.com</t>
  </si>
  <si>
    <t>SDATOOL-38454</t>
  </si>
  <si>
    <t>GRM Col - Aplicación de rediferidos es Cascada en Medios de Pago</t>
  </si>
  <si>
    <t>Para los contratos que soliciten ser rediferidos y ya hayan tenido esta medida de normalización (Rediferido) previamente, siempre se debe rediferir el capital en un movimiento y en un movimiento aparte los intereses liquidados y los intereses previos que venían en tasa 0%. Es decir que se debe aplicar los rediferidos en cascada de acuerdo con la naturaleza de cada uno.
 Disciplina: Risk Strategy &amp; Develop &amp; BEx</t>
  </si>
  <si>
    <t>Actualmente los contratos de Medios de Pago que previamente fueron sujetos de un referido y que nuevamente solicita la aplicar esta medida de normalización (Rediferido) esta realizando la capitalización de los intereses tasa 0%; lo cual no es correcto dado que se debe aplicar los rediferidos en cascada de acuerdo con la naturaleza de cada uno. Es decir que siempre se debe rediferir el capital en un movimiento y en un movimiento aparte los intereses liquidados y los intereses previos que venían en tasa 0%. Esta funcionalidad debe aplicarse las N veces que el cliente lo solicite y de acuerdo a parametria vigente de rediferidos.</t>
  </si>
  <si>
    <t>Pricing Pasivos (optimización portafolio) - Plan Ascenso Cross Sell</t>
  </si>
  <si>
    <t>Creación portafolio de cuenta de nómina + Libranza, asignando tasa preferencial en por la contratación de los dos productos.</t>
  </si>
  <si>
    <t>judy.bernal-bbva.com</t>
  </si>
  <si>
    <t>SDATOOL-38487</t>
  </si>
  <si>
    <t>Mensualización Prima</t>
  </si>
  <si>
    <t>La transformación de BBVA hacia la banca digital ha hecho necesario que la fuerza laboral requerida para este propósito no se consiga en los nichos tradicionalmente explorados. Los bancos la principal fuente de reclutamiento y estos tienen una estructura similar a la del BBVA ( Mensualidades y primas extra legales). 
 Hoy debemos recurrir a otros nichos para hacer este reclutamiento (Fintechs, empresas de tecnología, start ups, consultoras), dichas empresas tienen estructuras salariales distintas (no primas extra legales) por lo que el flujo de caja para estos candidatos es mensualmente más alto.
 Este proyecto permitirá volver la RTA más líquida y poder ofrecer mensualidades más altas sin impactar la estructura de costos.</t>
  </si>
  <si>
    <t>BBVA necesita ser más competitivo en el mercado laboral en términos salariales y flexibilizar nuestra oferta de beneficios.</t>
  </si>
  <si>
    <t>Estaríamos experimentando dificultades en la atracción de talento frente a mercados que tienen diferente composición salarial a la del banco</t>
  </si>
  <si>
    <t>Compensation &amp; Benefits</t>
  </si>
  <si>
    <t>SDATOOL-38489</t>
  </si>
  <si>
    <t>Horizon BTGR - Colombia</t>
  </si>
  <si>
    <t>"El objetivo de Horizon BTGR es anticipar/acelerar la disponibilidad de las piezas tecnológicas Globales en términos de APIs y Backend requeridos por los proyectos estratégicos globales del ámbito de Retail, en especial el proyecto Glomo, poniendo foco en funcionalidades que pueda acelerar del proyecto Glomo para asegurar la consecución en sus plazos comprometidos. Por tanto, Horizon impulsará la construcción de piezas 100% Globales para dar cobertura a funcionalidades de Glomo en el marco del proyecto, y de otro lado, disponibilizar piezas 100% globales para la migración de Glomo posteriormente (año 2023), para aprovechar las capacidades globales NextGen, buscando:
 Generar eficiencias futuras por su reutilización, mantenimiento y actualización.
 Reducción de costos en procesamiento por migración desde Legacy a Nextgen.
 Habilitar en Glomo features con mecanismos de seguridad 100% globales y homologados entre geografías.
 Actualmente el proyecto posee un Backlog de 148 funcionalidades para apalancar en el ámbito de retail 37 pueden apalancar el proyecto Glomo en corto plazo, las restantes se habilitarán para aprovechamiento futuro, con los cuales se brindaría:
 Servicios globales en todas las capas, para generar valor al negocio, mejorando la confiabilidad y el reuso.
 Componentes de negocio reutilizables con una nueva experiencia global y de seguridad digital.
 Habilitando los modelos global de datos para agregar capacidades Data Driven al segmento Retail.
 Se han definido 2 KPIs para medir su progreso:
 Servicios Globales E2E sobre Piezas Globales en Glomo:
 Features Globales E2E en todas las capas integrados en Glomo:
 "</t>
  </si>
  <si>
    <t>Horizon, a major multi-year plan 2021-2024 to accelerate our global technological transformation making available services built in common applications and the same data model, increasing reusability, productivity, reliability and reducing costs 
 Build Global features for retail in all layers, adding business value, improving reliability and reusability by countries 
 -Spain Focus on reusable features that add value locally (at the current rate of ~150 per year). Additionally migrate certain services from stock to global standard and Globalize Smart Assientance 
 -Mexico Undertake BTGR prioritizing those pieces that support the reliability of the channel and develop the global services involved 
 -Colombia Take advantage of GloMo opportunity, which has started in 2021 with a focus on above, to complete the E2E solution by taking on the below-pieces 
 -Argentina &amp; Peru Focus on below in a roadmap adapted to local capacity, and on the above services that are impacted</t>
  </si>
  <si>
    <t>erickson.soler-bbva.com</t>
  </si>
  <si>
    <t>1. Integridad de la información de nuestros clientes dado que no estará actualizada los datos de sus transacciones realizadas en la anterior aplicación(Veritran).
 2. Reputacionales que puede presentar por los malos comentarios que pueden llevar a clientes a difundir que el banco no protege y cuida la información de los mismos.
 3. Financieros al vernos expuestos a sanciones o demandas por manejo de la información.
 4. Legales al no conservar la información de los clientes nos vemos expuestos a sanciones de la SIC, generando que los riesgos reputacionales y financieros se materialicen.</t>
  </si>
  <si>
    <t>Below the Glass Retail</t>
  </si>
  <si>
    <t>SDATOOL-38490</t>
  </si>
  <si>
    <t>Horizon Financial batch - Colombia</t>
  </si>
  <si>
    <t>El objetivo de Horizon Financial batch es impulsar la trasformación de nuestros procesos batch con el objetivo de desplegar e industrializar Ether.Batch que permita al país acelerar su capacidad de migración de procesos batch que están en mainframe.</t>
  </si>
  <si>
    <t>Acelerar la evolución y simplificación de aplicaciones de procesamiento facilitando el manejo de los datos y el uso de capacidades batch/streaming distribuido.
 Debido a que: 
 - La escalabilidad vertical de los procesos Batch es limitada.
 - Las necesidades de negocio actuales requieren mucho más dinamismo que el que podemos dar: procesamiento en tiempo casi real y ejecución de orquestaciones de procesos bajo demanda.
 - Las aplicaciones batch actuales tienen que correr de forma nocturna e introducen retraso en la disponibilidad de la información o se apoyan en soluciones débiles (CDC) y caras.
 - Trazabilidad y reliability mejorables para procesos de negocio complejos cuya ejecución se extiende a múltiples plataformas heterogéneas (legacy/nextgen/public cloud services).</t>
  </si>
  <si>
    <t>luisfernando.diaz.devos-bbva.com</t>
  </si>
  <si>
    <t>No lograr cubrir necesidades de negocio que extienden el de las nuevas capacidades de procesamiento batch y streaming: DataProc, Upsilon, LRABatch</t>
  </si>
  <si>
    <t>Common Business Components</t>
  </si>
  <si>
    <t>SDATOOL-38492</t>
  </si>
  <si>
    <t>Horizon Alpha - Colombia</t>
  </si>
  <si>
    <t>El objetivo de Horizon Alpha es anticipar la disponibilidad de las ingestas de datos en Datio a los modelos de Alpha, al igual que al resto de modelos globales se presupuestan bajo Horizon Data requeridos por los proyectos estratégicos globales, poniendo foco en aquellos que tienen un impacto profundo, pero a medio plazo y que por tanto van a tener dificultades para conseguir sus objetivos siguiendo una dinámica de proyecto estándar.</t>
  </si>
  <si>
    <t>Construcción de piezas comunes de infraestructura aplicativa para generar capacidades core comunes a todas las aplicaciones de un país, y que atenderán la demanda de las áreas de Data, CS &amp; CIB y Risk &amp; Finance.</t>
  </si>
  <si>
    <t>No contar con la disponibilidad de las ingestas de datos en Datio a los modelos de Alpha al igual que al resto de modelos globales que se presupuestan bajo Horizon Data, afectando los requerimientos de proyectos estratégicos globales.</t>
  </si>
  <si>
    <t>SDATOOL-38497</t>
  </si>
  <si>
    <t>Genetics - Local Steel Plan</t>
  </si>
  <si>
    <t>Mejorar la calidad de nuestros servicios (Disponibilidad, Funcionalidad y Desempeño).</t>
  </si>
  <si>
    <t>Nuestros indicadores de disponibilidad no tendrán un soporte estratégico sostenible para mejorar y por el contrario podrían empeorar lo que derivaría en un desmejoramiento de la experiencia de usuario y perdida de cuota de mercado.</t>
  </si>
  <si>
    <t>No habría una estrategia de mejora sostenible en la gestión de TI para los servicios objeto de este proyecto</t>
  </si>
  <si>
    <t>SDATOOL-38500</t>
  </si>
  <si>
    <t>Horizon Security Journeys - Colombia</t>
  </si>
  <si>
    <t>El objetivo de los Security Journyes deriva dos grandes lineas como son la estandarización de los mecanismos globales de autenticación y de otra parte, el despliegue de una plataforma única de identidad y de datos (CIAM/Alpha) para todos los clientes de BBVA con sus procesos de migración y convivencia (Legacy y NextGen), cuya dedicación estará enmarcado dentro del programa de Horizon alrededor de los tres grandes proyectos de negocio dinamizadores como son BTGR (Ej. Glomo), BTGE (Ej. Gema) y DBB (Ej. Alpha).</t>
  </si>
  <si>
    <t>Adaptaciones locales de los servicios de seguridad de autenticación, autorización, identificación, criptografía y validaciones de doble factor, que extiendan la funcionalidad de las piezas globales.</t>
  </si>
  <si>
    <t>jose.tibruza-bbva.com</t>
  </si>
  <si>
    <t>En el evento de llegarse a dar la descontinuidad de la línea estratégica de los Security Journeys (SJ) en Horizon, el impacto sobre los proyectos dinamizadores del negocio como BTGR (Glomo) y BTGE (Gema, Senda y OpenBanking) serian los siguientes:
 1. Frente a los análisis de riesgos de TI y modelado de amenazas realizado sobre las nuevas modalidades de fraude en la banca a distancia de particulares y de empresas, el no llevar a feliz término los SJ conlleva a un riesgo de seguridad y de confianza hacia nuestros clientes y reputacional hacia el Banco el no evolucionar con la implementación de los nuevos mecanismos de autenticación y autorización en los flujos más críticos como son la activación digital, olvido de contraseña, enrolamiento del mecanismo de firma para las operaciones monetarias y no monetarias y uso de la biometría del dispositivo con TouchID/FaceID para el Login estableciendo un balance entre el costo, riesgo y usabilidad.
 2. Las tecnologías actuales están en proceso de ser deprecadas por encontrarse en infraestructuras que no son escalables cuya situación se mitiga con el despliegue de las nuevas capacidades de autenticación y firma que se encuentran desplegadas en nubes híbridas con infraestructura elástica y escalable en el tiempo.</t>
  </si>
  <si>
    <t>SDATOOL-38509</t>
  </si>
  <si>
    <t>Disponilización diccionaria para el informe d+0 diario</t>
  </si>
  <si>
    <t>Este proyecto lo hacemos para poder realizar de forma diaria el informe de tarjetas d+0 , con el objetivo de acelerar porcentaje de evaluación y altas de este producto estratégico</t>
  </si>
  <si>
    <t>Actualmente se generan de forma semanal unos plano que contiene la información de la evaluación de riesgos. Para poder tener una mayor termicidad del estado, se requiere desarrollar un proceso que genere este plano de forma diaria.</t>
  </si>
  <si>
    <t>john.calvo-bbva.com</t>
  </si>
  <si>
    <t>SDATOOL-38527</t>
  </si>
  <si>
    <t>Pagaré Electrónico en flujos de Contratación digital</t>
  </si>
  <si>
    <t>Incorporar el "pagaré electrónico" a los flujos de contratación de ofertas proactivas, que se encuentran en consumo en los canales Net, Móvil y ATM</t>
  </si>
  <si>
    <t>Actualmente un número importante de ofertas de productos que se realizan a los clientes, deben ser atendidos por agendamiento debido a que no cuentan con una garantía válida para desembolsar operaciones de crédito. Incorporando el pagaré en el flujo, cada operación tendrá un pagaré digital que permitirá tener más ofertas E2E.</t>
  </si>
  <si>
    <t>fredy.pineda-bbva.com</t>
  </si>
  <si>
    <t>SDATOOL-38529</t>
  </si>
  <si>
    <t>Renovación ATM's 2022</t>
  </si>
  <si>
    <t>BBVA Colombia cuenta con 1.362 cajeros automáticos, de los cuales el 40% que corresponde a 545 cajeros, tienen una antigüedad superior a los 6 años de uso, que superan la vida útil de la máquina. Lo anterior está generando impactos en indicadores de Disponibilidad de cajeros, peticiones, quejas y reclamos, IReNe (NPS) y ventas.
 Por lo anterior, en 2021 se requieren nuevas máquinas para reemplazar aquellas con Obsolescencia y que soporten los nuevos desarrollos para proyectos a través de ATM´s,... 
 BBVA Colombia cuenta con 1.362 cajeros automáticos, de los cuales el 40% que corresponde a 545 cajeros, tienen una antigüedad superior a los 6 años de uso, que superan la vida útil de la máquina. Lo anterior está generando impactos en indicadores de Disponibilidad de cajeros, peticiones, quejas y reclamos, IReNe (NPS) y ventas.
 Por lo anterior, en 2021 se requieren nuevas máquinas para reemplazar aquellas con Obsolescencia y que soporten los nuevos desarrollos para proyectos a través de ATM´s, para que puedan recibir la instalación del Software Multivendor que permite una mejor experiencia de Usuario, facilitar la distribución de ajustes o mejoras en las pantallas de manera centralizada y la venta en el canal.
 Como colateral, se puede mejorar el UP TIME por tener Hardware más nuevo</t>
  </si>
  <si>
    <t>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servicio.
 2.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t>
  </si>
  <si>
    <t>ATMs</t>
  </si>
  <si>
    <t>SDATOOL-38531</t>
  </si>
  <si>
    <t>Expansión ATMs 2022</t>
  </si>
  <si>
    <t>Se solicitan comprar máquinas para respaldar nuevos negocios estratégicos comercialmente para cubrir la vinculación de nuevas nóminas, puntos saturados y presencia de BBVA en sitios estratégicos.</t>
  </si>
  <si>
    <t>Durante los últimos tres años el enfoque principal de la estrategia de ATM´s se ha basado en la implementación de nuevos negocios de nómina e impulsar la venta de productos, estableciendo sinergias entre las Bancas Especializadas y la Banca Comercial., de tal manera que estos nuevos puntos facilitarán:
 1.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
 2. Incremento en el número de nóminas y mejora del IReNe (NPS) de oficinas: apoyo en el cumplimiento de la estrategia del banco en nómina y mejora de la experiencia de los clientes vinculados y usuarios</t>
  </si>
  <si>
    <t>SDATOOL-38532</t>
  </si>
  <si>
    <t>Reubicación ATMs 2022</t>
  </si>
  <si>
    <t>Reubicación de ATMs prioritarios por baja transaccionalidad, finalización de convenios o terminación de contratos de arrendamientos.
 El proyecto incluye el desmonte de los cajeros identificados con baja transaccionalidad y la ubicación en los lugares definidos de acuerdo con las necesidades de la red de oficinas aprobados en el comité de asignación de canales de acuerdo con las solicitudes presentadas</t>
  </si>
  <si>
    <t>Mejora en la transaccionalidad en los ATM´s identificados con bajos índices de uso a través de la reubicación en lugares estratégicos.</t>
  </si>
  <si>
    <t>SDATOOL-38533</t>
  </si>
  <si>
    <t>Remodelación de oficinas 2022</t>
  </si>
  <si>
    <t>siguientes aspectos:
 1) Oficinas pendientes de remodelación que requieren de intervención por el estado de deterioro físico en que se encuentran y que adicionalmente no cuenta con el lay out del BBVA. Para 2021: remodelación de 1 oficina con antiguo lay... 
 El proyecto de remodelación de oficinas valora la red de oficinas en los siguientes aspectos:
 1) Oficinas pendientes de remodelación que requieren de intervención por el estado de deterioro físico en que se encuentran y que adicionalmente no cuenta con el lay out del BBVA. Para 2021: remodelación de 1 oficina con antiguo lay out.
 2) Adecuaciones en oficinas que impliquen ampliación de espacios por incrementos de puestos de trabajo, desmonte de esclusas o movimientos internos que mejoren la distribución física .
 3) Mejoramiento de condiciones puntuales en oficinas con estados críticos: Pisos, Techos</t>
  </si>
  <si>
    <t>La remodelaciones se plantean para brindar al cliente una imagen de un Banco no deteriorado en su aspecto físico y unificación de imagen del BBVA y así mismo brindar un mejor lugar para atenderlos.</t>
  </si>
  <si>
    <t>SDATOOL-38534</t>
  </si>
  <si>
    <t>Workplace Oficinas 2022</t>
  </si>
  <si>
    <t>Cambio de equipos red de oficinas por obsolescencia y equipamiento tecnológico que presenta incidencia en la red de oficinas, afectando la prestación del servicio al cliente externo.</t>
  </si>
  <si>
    <t>Optimizar el equipamiento workplace actual con reporte de incidencias, el cual presenta bloqueos permanentes, lentitud; generando reincidencia de daños, lo que impacta la atención al cliente externo en la red de oficinas.
 El equipamiento workplace incluye: Pin pads, lectores código de cheques y de barras, servidores, portátiles, contadoras de billetes, impresoras financieras, multifuncional, láser, termo impresora; PC Thin Client , tablets y biométricos.</t>
  </si>
  <si>
    <t>IT equipments &amp; Tools improvements for both branches &amp; Contact centers</t>
  </si>
  <si>
    <t>SDATOOL-38535</t>
  </si>
  <si>
    <t>Workplace CSF 2022</t>
  </si>
  <si>
    <t>Cambio de equipos por obsolescencia tecnológica, hardware con mas de 6 años de uso, el cual presenta bloqueos, lentitud por limite de capacidad generando reincidencia de daños. Ampliar capacidad de equipos de seguridad (servidores) por crecimiento en servicios de navegación asociados a servicios
 Equipamento mayos a 6 años</t>
  </si>
  <si>
    <t>Optimizar el equipamiento de la Comercializadora con reporte de incidencias, obsolescencia y nuevos requeridos para prestar un mejor servicio a clientes internos cambio de equipos desktop y portatiles.</t>
  </si>
  <si>
    <t>janethrojas-csf.com.co</t>
  </si>
  <si>
    <t>CSF</t>
  </si>
  <si>
    <t>SDATOOL-38536</t>
  </si>
  <si>
    <t>Equipos y Mobiliario Oficinas 2022</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</si>
  <si>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
 b)Adicionalmente se requiere reposición de elementos solicitados por oficinas como: sillas, protectógrafos, ups, segmentadores, video beam, contadoras de monedas y billetes, neveras, hornos, etc. (Aprox. 1000 solicitudes año)</t>
  </si>
  <si>
    <t>Corresponde al equipamento por dotación ó reposición requeridos en Oficinas y Edificios Singulares para desarrollar la operación normal del día a día. Los elementos solicitados con mayor recurrencia por las oficinas son sillas, protectógrafos, ups, segmentadores, video beam, contadoras de monedas y billetes, neveras, hornos, etc.</t>
  </si>
  <si>
    <t>SDATOOL-38537</t>
  </si>
  <si>
    <t>Dotación elementos de ATM´s 2022</t>
  </si>
  <si>
    <t>Se requiere reposición de diferentes elementos asociados a los ATM´s del Banco que se encuentran obsoletos y que afectan el funcionamiento 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 Banco de baterías en Atms a nivel nacional
 - Instalacion de Ups a nivel nacional enla red de atms
 - Instalación de Aires para Atms a nivel nacional</t>
  </si>
  <si>
    <t>Es importante contar con estos elementos para garantizar el correcto funcionamiento de los ATM´s y adicionalmente, brindar una mejor atención a los Clientes en nuestros Canales de contacto físicos tales como ATM´s.</t>
  </si>
  <si>
    <t>SDATOOL-38538</t>
  </si>
  <si>
    <t>Equipos y Mobiliario CSF 2022</t>
  </si>
  <si>
    <t>Adecuación de Sedes de la CSF a nivel Nacional, Centros Hipotecarios y salas multiusuarios para funcionarios y asesores de la Comercializadora servicios financieros (CSF).</t>
  </si>
  <si>
    <t>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 
 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
 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t>
  </si>
  <si>
    <t>SDATOOL-38582</t>
  </si>
  <si>
    <t>Optimización y mejora en la cascada de apertura de cuentas</t>
  </si>
  <si>
    <t>Simplificar la toma de datos de clientes en ventanilla, realizando una sola validación de identidad y usando la cascada de Alta ligera para los casos que sea posible, de 83 campos a 25 campos.</t>
  </si>
  <si>
    <t>Incremento de costos en la registraduría y afectación en servicio al cliente
 Mejorar la experiencia del cliente
 Disminuir tiempos en fila 
 Disminuir fraudes
 Disminuir costos en la autenticación Biométrica</t>
  </si>
  <si>
    <t>SDATOOL-38583</t>
  </si>
  <si>
    <t>FUSIONES Y ACTUALIZACION DE IDENTIFICACIONES</t>
  </si>
  <si>
    <t>Crear y / o actualizar procesos para la validación, generación de formatos y / o certificados tributarios y aseguramiento de información tributaria, con el fin de cumplir con lo establecido por la regulación actual de las autoridades fiscales de orden Nacional, Departamental y Municipal.</t>
  </si>
  <si>
    <t>Adecuaciones y desarrollos para el cumplimiento de los requisitos legales establecidos por reguladores fiscales.</t>
  </si>
  <si>
    <t>SDATOOL-38589</t>
  </si>
  <si>
    <t>Mandatorio tokenización</t>
  </si>
  <si>
    <t>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estandar.
 Ajustar o incluir marcas adicionales para la lectura de la compensación</t>
  </si>
  <si>
    <t>SDATOOL-38590</t>
  </si>
  <si>
    <t>Inhouses CIB 2022</t>
  </si>
  <si>
    <t>Atender de forma optimizada y controlada la necesidad de los clientes Corporate para el recaudo de efectivo que se realiza de las ventas ,</t>
  </si>
  <si>
    <t>Posicionamiento con los clientes en el recaudo de efectivo</t>
  </si>
  <si>
    <t>diegofernando.correa-bbva.com</t>
  </si>
  <si>
    <t>jhonathan.gaona-bbva.com</t>
  </si>
  <si>
    <t>carlos.rivera-bbva.com</t>
  </si>
  <si>
    <t>SDATOOL-38607</t>
  </si>
  <si>
    <t>Adecuaciones físicas y dotaciones Banca Retail</t>
  </si>
  <si>
    <t>Cubrir las necesidades de adecuaciones físicas y dotación de elementos de trabajo a la red retail con el fin de apalancar nuevos nuevos negocios, objetivos de ganancia de cuota, generar mayor capilaridad, y alcanzar mayores volúmenes de negocio.
 Además de solicitudes de puestos especiales como los solicitados por salud laboral</t>
  </si>
  <si>
    <t>Apalancar las nuevas necesidades del modelo en Banca Retail acorde con la evolución del negocio y acorde a solicitudes de salud laboral</t>
  </si>
  <si>
    <t>alejandroman.romero-bbva.com</t>
  </si>
  <si>
    <t>SDATOOL-38620</t>
  </si>
  <si>
    <t>Generación informe cobro de comisiones en ATMs</t>
  </si>
  <si>
    <t>Implementar control recurrente que permita hacer evidente el adecuado cobro de las comisiones no exoneradas en retiros de dinero de cajeros propios definidas en la oferta de portafolios de productos del pasivo.</t>
  </si>
  <si>
    <t>SDATOOL-38626</t>
  </si>
  <si>
    <t>Ajuste CVA-DVA Días no hábiles</t>
  </si>
  <si>
    <t>Ajustar las fechas del proceso de los días no hábiles donde se asegura el cuadre contable de la información reportada en el formato 472 enviado a la Superintendencia Financiera de Colombia con el fin de disminuir reprocesos, retransmisiones y extemporaneidad en las entregas, además de la posible generación de multas por cualquiera de las anteriores.</t>
  </si>
  <si>
    <t>Mejorar la imagen del Banco ante los Entes de Control, asegurando la integridad, disponibilidad y confiabilidad de la información de los formatos transmitidos.</t>
  </si>
  <si>
    <t>josedaniel.munoz-bbva.com</t>
  </si>
  <si>
    <t>Reprocesos, retransmisiones y extemporaneidad en las entregas, además de la posible generación de multas por cualquiera de las anteriores.</t>
  </si>
  <si>
    <t>Financial and tax</t>
  </si>
  <si>
    <t>SDATOOL-38642</t>
  </si>
  <si>
    <t>CUPON INTERMEDIO</t>
  </si>
  <si>
    <t>Ajustar en el aplicativo Dialogo, la contabilidad de los cupones intermedios que se presentan en las operaciones de Mercado Monetario (Repos, Simultaneas, TTVs) y ventas en corto.</t>
  </si>
  <si>
    <t>Reducir la manualidad en ajustes contables ya que el aplicativo no realiza contabilidad de este evento.</t>
  </si>
  <si>
    <t>ana.traslavina-bbva.com</t>
  </si>
  <si>
    <t>La no generación de la contabilidad de los cupones intermedios que se presentan en las operaciones de Mercado Monetario (Repos, Simultaneas, TTVs) y ventas en corto.</t>
  </si>
  <si>
    <t>Markets, Structural &amp; Liquidity Risks</t>
  </si>
  <si>
    <t>SDATOOL-38693</t>
  </si>
  <si>
    <t>Optimización oferta D+0 y ADN en canal digital</t>
  </si>
  <si>
    <t>Integrar mejoras de política de riesgo, experiencia y de proceso a la actual oferta de tarjeta de crédito D+0 y ADN en BBVA Móvil.</t>
  </si>
  <si>
    <t>SDATOOL-38729</t>
  </si>
  <si>
    <t>Mi CB Liviano 2022</t>
  </si>
  <si>
    <t>Integrar los servicios de corresponsales bancarios a través de un front de un aliado"corresponsal bancario".</t>
  </si>
  <si>
    <t>Garantizar el negocio actual que se tiene con los clientes corporativos de servicios retail (proyectos defensivos), en aras de optimizar los costos de implementación que se tienen actualmente en el modelo in house.</t>
  </si>
  <si>
    <t>SDATOOL-38730</t>
  </si>
  <si>
    <t>Tarjeta de crédito E2E digital fase II</t>
  </si>
  <si>
    <t>Instalación de mejoras al flujo de Open Market TDC desde el punto de vista de política de riesgos o mejoras que permitan tener una mayor efectividad en el funnel, No se cambia lo que ya hoy se tiene productivo, la funcionalidad es la misma. 
 Las mejoras van en función de política o textos en visuales o solución a errores en algunos servicios</t>
  </si>
  <si>
    <t>SDATOOL-38731</t>
  </si>
  <si>
    <t>Prenotificaciones Canales Directos</t>
  </si>
  <si>
    <t>Permitir la operación de clientes globales a traves de canales directos donde a hoy no contamos con el servicio de seguridad en pagos como la preincripcion de cuentas.</t>
  </si>
  <si>
    <t>El proyecto atiende la necesidad en general para diferentes clientes corporativos pero puntualmente para XM para mantener el negocio de mercado de energia que hoy administra en BBVA.</t>
  </si>
  <si>
    <t>jimmyalejandro.bonilla-bbva.com</t>
  </si>
  <si>
    <t>SDATOOL-38732</t>
  </si>
  <si>
    <t>Marketplace</t>
  </si>
  <si>
    <t>Se desea implementar un consumo del servicio de Corresponsalia digital que pemita adminisitrar los recursos del modelo Marketplace, donde un usuario final realizara el pago de su producto a traves de las plataformas como Exito - Mercadolibre entre otros y en el momento del pago se pueda distribuir los recursos al proveedor principal y las comisiones al administrado de la plataforma. Igualmente sobre los saldos generados en los proveedores principales se debe diseñar un modelo de retribución variable</t>
  </si>
  <si>
    <t>Estrategia para nuevos negocios digitales a través de plataformas Marketplace</t>
  </si>
  <si>
    <t>SDATOOL-38735</t>
  </si>
  <si>
    <t>Dynamic Pricing</t>
  </si>
  <si>
    <t>Desarrollo de evolutivo al Segmentador de Precios para la realización de ajuste automático de Spreads a los Clientes que operan en las plataformas digitales teniendo en cuenta unos parámetros y realizando un informe o reportería diaria sobre el comportamiento de los clientes.</t>
  </si>
  <si>
    <t>SDATOOL-38736</t>
  </si>
  <si>
    <t>Creación Tercero Miembro No Liquidador CRCC</t>
  </si>
  <si>
    <t>Contar con un modulo de vinculación de Terceros miembros no liquidadores en la CRCC (Camara de Riesgo Central de Contraparte) dentro del aplicativo Dialogo para poder actuar como Miembros liquidadores de estos terceros ante la CRCC y poder desarrollar las actividades de gestión de las operaciones, generación de contabilidad, generación y envio de extractos.</t>
  </si>
  <si>
    <t>Los miembros no liquidadores de la CRCC requieren contratar un miembro liquidador para que preste el servicio de Compensación, liquidación y cumplimiento de sus operaciones; además que genere la valoración del portafolio, generación de contabilidad y generación y envio de extractos. para esto el proceso se presenta de la siguiente manera.
 1. El miembro no liquidador realiza operaciones en sus sistemas de negociación para este caso Master Trader operaciones Futuros Camara.
 2. Estas operaciones son informadas a la CRCC
 3. La CRCC genera un archivo que es enviado al Miembro liquidador (BBVA)
 4. El miembro liquidador procesa esta información en el aplicativo BackOffice (Dialogo)
 5. Genera la compensación, liquidación y cumplimiento de sus operaciones
 6. Genera la valoración del portafolio
 7. Genera la contabilidad por codigo de agente
 8. Genera y envia los extractos por codigo de agente
 Nota: El BBVA es miembro liquidador de la CRCC para AXA Colpatria, Protección [(Sociedad Administradora y Fondos), Un solo codigo Agente]</t>
  </si>
  <si>
    <t>valentina.giraldo-bbva.com</t>
  </si>
  <si>
    <t>Global Markets Equity</t>
  </si>
  <si>
    <t>Gestor Documental Retail</t>
  </si>
  <si>
    <t>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t>
  </si>
  <si>
    <t>SDATOOL-38752</t>
  </si>
  <si>
    <t>Out House CIB 2022</t>
  </si>
  <si>
    <t>Se requiere prestar el servicio de recaudo de efectivo a los clientes potenciales del banco mediante el modelo de out house, esto en aras de ofrecer un servicio de oficina integral, con mayor transaccionalidad y seguridad para nuestros clientes.</t>
  </si>
  <si>
    <t>El proyecto se realiza con el objetivo de dar una mayor variedad de servicios a nuestros clientes, solucionando todas sus necesidades mediante un portfolio más diversificado, buscando posicionamiento con estos mediante el servicio de recaudo de efectivo.</t>
  </si>
  <si>
    <t>jorge.antorveza-bbva.com</t>
  </si>
  <si>
    <t>ingridvanessa.ortiz.verano-bbva.com</t>
  </si>
  <si>
    <t>Modelo administrativo de oficina - Omnicanalidad</t>
  </si>
  <si>
    <t>Digitalización en la contratación de productos del banco y en diferentes canales existentes para lograr la propuesta de omnicanalidad.</t>
  </si>
  <si>
    <t>Marcación y cobro de comisiones PSE</t>
  </si>
  <si>
    <t>Mejora en el proceso de marcación y cobro de comisiones PSE, con el fin de desarrollar mejoras en el proceso de cobro de comisiones de PSE a los clientes que faciliten su ejecución, control y conciliación por parte del banco y los clientes</t>
  </si>
  <si>
    <t>SDATOOL-38816</t>
  </si>
  <si>
    <t>Bitlocker</t>
  </si>
  <si>
    <t>Realizar el cambio de la plataforma de cifrado de endpoint por obsolecencia de la plataforma actual (Checkpoint), por Bitlocker de Windows que cumple los requerimientos técnicos y se encuetra alineado al modelo corporativo.</t>
  </si>
  <si>
    <t>Se realizará el cambio de la solución de cifrado de disco de usuario final, por bitlocker de windows, con el fin de realizar la proteccion de datos en caso de robo o perdida del equipo portátil</t>
  </si>
  <si>
    <t>En caso de desestimar la adquision los datos de los equipos de usuario final, los datos de propiedad del banco quedarian expuestos a terceros quienes podrian sustraer la información contenida en los equipos. A partir del séptimo mes se requiere un opex recurrente por valor de USD 433,5 durante los 30 meses restantes, hasta completar los 36 meses. Para el primer año se requiere $19.393.524,18, para el segundo año $19.393.524,18 y para el tercer año $9.696.762 (6 meses restantes para completar los 36 meses).</t>
  </si>
  <si>
    <t>SDATOOL-38892</t>
  </si>
  <si>
    <t>Entrega Inmediata de Tarjeta de Crédito en Oficina</t>
  </si>
  <si>
    <t>Realizar los desarrollos para entrega inmediata de las tarjetas de crédito Visa o Mastercard en oficina.
 Va dirigido a todos los clientes titulares o adicionales del BBVA con algún producto de nuestro portafolico de Tarjetas (Nueva, Reexpedida, Renovación, LifeMiles...) de cualquier categoria (gold, platinum, clásica, infinite, black...)</t>
  </si>
  <si>
    <t>SDATOOL-38897</t>
  </si>
  <si>
    <t>Despriorizado - Garantias Leasing</t>
  </si>
  <si>
    <t>Implementar controles que mitiguen el riesgo del consumir mayores provisiones, asegurando que el alta y vinculacion de las garantias se realice tanto en Sileasing como en Nacar para las Garantias Propias como en las Garantias Adicionales.</t>
  </si>
  <si>
    <t>Asegurar el alta y vinculación de las garantías de los bienes dados en Leasing</t>
  </si>
  <si>
    <t>monicaandrea.abogado-bbva.com</t>
  </si>
  <si>
    <t>SDATOOL-38909</t>
  </si>
  <si>
    <t>Key Data Mapping , discovery and classification</t>
  </si>
  <si>
    <t>El proyecto se realiza a nivel global con alcance a las geografias, para Colombia actualmente no tiene identificada ni etiquetada la información lo que impide que se establezcan controles puntuales sobre la información crítica adicional al cumplimiento normativo local, requerimientos de auditoria al ser necesario contar con un inventario de datos.
 Se ha habilitado la compatibilidad con lectores de pantalla.</t>
  </si>
  <si>
    <t>Identificar y etiquetar automátcamente la información más crítica por su confidencialidad, para asegurarla protección de los datos y dar cumplimiento a las leyes establecidas y auditorias.
 Se ha habilitado la compatibilidad con lectores de pantalla.</t>
  </si>
  <si>
    <t>jordi.sole-bbva.com</t>
  </si>
  <si>
    <t>Incumpliriamos la Auditoría realizada al Corporativo, riesgo reputacional por la no identificación de la ICC - Información criticamente Confidencial</t>
  </si>
  <si>
    <t>SDATOOL-38931</t>
  </si>
  <si>
    <t>Implementar nuevos formatos SFC</t>
  </si>
  <si>
    <t>Implementar los nuevos formatos definidos por la SFC y/o actualizar los formatos vigentes por cambios normativos</t>
  </si>
  <si>
    <t>Dar cumplimiento a las normas reglamentadas por la SFC.</t>
  </si>
  <si>
    <t>carlosgabriel.garcia-bbva.com</t>
  </si>
  <si>
    <t>Incumplimiento a las normas reglamentadas por la SFC</t>
  </si>
  <si>
    <t>SDATOOL-38950</t>
  </si>
  <si>
    <t>Despriorizado - Actualización Módulo de Pagos en Net Cash</t>
  </si>
  <si>
    <t>Contar con un módulo de autorización mancomunada que permita a los clientes firmar operaciones por más de un usuario autorizador en pagos a través de PSE</t>
  </si>
  <si>
    <t>El objetivo es que a través de este módulo se pueda realizar la creación de plantillas de pago para comercios PSE, para los clientes empresariales y CIB que hagan uso de BBVA Net y cuentan con más de un usuario autorizador para las operaciones puedan realizar el pago en un comercio a través de PSE haciendo uso de una plantilla que cuente con los comercios autorizados, el valor máximo permitido a pagar y cantidad de pagos permitidos por cada comercio seleccionado.</t>
  </si>
  <si>
    <t>SDATOOL-38988</t>
  </si>
  <si>
    <t>Colombia Measuring the economic activity from the supply side (GVA sectors) in real time and high definition</t>
  </si>
  <si>
    <t>In line with the task force to measure the economy in real time and high definition, we continue the analysis of the economy from the supply side, getting the evolution of GVA by sectors of activity.
 This project will help us to complement the demand side analysis, getting a comprehensive view of the economic evolution and to track activity and measure the impact of shocks
 The objective of the project is to produce real-time supply side activity indicators for the Colombian economy through the use of transactional information from BBVA customers.</t>
  </si>
  <si>
    <t>Transform BBVA into a data driven organization to improve decision-making process and to deliver superior value to customers by using data as a strategic asset.
  For it, it is necessary to improve analytical capabilities in terms of people and skills as well as having an appropriate data and technical environment to use advanced analysis techniques . It includes both training exercises and migration to a new platform (Datio) through the development of analytical use cases.</t>
  </si>
  <si>
    <t>alvaro.ortiz-bbva.com</t>
  </si>
  <si>
    <t>juana.tellez-bbva.com</t>
  </si>
  <si>
    <t>SDATOOL-38996</t>
  </si>
  <si>
    <t>Resolución 000124 del 28-10-2021 Medios Magnéticos 2022 - Diálogo</t>
  </si>
  <si>
    <t>Ajustes en el aplicativo Diálogo con el fin de implementar el control automático para el adecuado registro de los Nit de los clientes, el cambio de la Id BBVA España y el almacenamiento de la ID en la tabla de tercero.</t>
  </si>
  <si>
    <t>Se requiere para que la información que llega a la base de impuestos, llegue depurada y correcta a fin de cumplir con el reporte y la calidad que exige las entidades de orden fiscal.</t>
  </si>
  <si>
    <t>Este es un proyecto Normativo.</t>
  </si>
  <si>
    <t>SDATOOL-39008</t>
  </si>
  <si>
    <t>Exógena Resolución 161 Dian</t>
  </si>
  <si>
    <t>Implementar actualización de la informaciónExógena requeriada por la Dian, de acuerdo a la Resolución 161 de la Dian del 24 de diciembre del 2021</t>
  </si>
  <si>
    <t>martin.torres-bbva.com</t>
  </si>
  <si>
    <t>SDATOOL-39054</t>
  </si>
  <si>
    <t>Actualización Herramienta Versionado Dimensions Colombia</t>
  </si>
  <si>
    <t>Se requiere realizar la actualizacion del aplicativo Dimensions a su versión más reciente para poder trabajar con versiones free de java, Dicha aplicación es contratada con el proveedor externo Microfocus 
 Se ha habilitado la compatibilidad con lectores de pantalla.</t>
  </si>
  <si>
    <t>Permitir el despliegue de las aplicaciones locales del banco tales como Nacar, Acsel web, Front web, AcselX, Constructor y demas aplicaciones que quieran versionarse por esta herramienta a futuro si la necesidad de tener versiones JAVA de pago. En la actualidad, existe la contratación del producto dimensions para el versionado y despliegue de aplicaciones locales, sin embargo debido a que Oracle transformo la vesión de Java JRE a una de pago, la herramienta deja de ser operativa con versiones alternativas free, lo cual genera costos de licenciamiento que el banco no puede asumir.</t>
  </si>
  <si>
    <t>wilson.camacho-bbva.com</t>
  </si>
  <si>
    <t>Problema en el paso a producción de los proyectos de Sw del Negocio.</t>
  </si>
  <si>
    <t>SDATOOL-39197</t>
  </si>
  <si>
    <t>Tealeaf SaaS</t>
  </si>
  <si>
    <t>Actualización de la plataforma Tealeaf actual (OnPremises), hacia la optimizada en Cloud como (SaaS).</t>
  </si>
  <si>
    <t>SDATOOL-39198</t>
  </si>
  <si>
    <t>Talento Digital</t>
  </si>
  <si>
    <t>Consolidación, ampliación y desarrollo de una propuesta integral para desarrollar las capacidades necesarias que le permitan a BBVA Colombia continuar con el proceso de transformación digital basado en la prioridad estratégica de contar con el mejor y el más comprometido de los equipos.</t>
  </si>
  <si>
    <t>Frente a las prioridades estratégicas priorizadas por el grupo, la necesidad del crecimiento de cuota y la realidad del mercado laboral, es necesario contar con herramientas que permitan atraer y retener el talento digital.</t>
  </si>
  <si>
    <t>manuela.murillo-bbva.com</t>
  </si>
  <si>
    <t>People Experience: Others</t>
  </si>
  <si>
    <t>SDATOOL-39217</t>
  </si>
  <si>
    <t>Aplicativos Tesorería 2022</t>
  </si>
  <si>
    <t>Garantizar la evolución del negocio en los diferentes aplicativos de la tesorería</t>
  </si>
  <si>
    <t>SDATOOL-39233</t>
  </si>
  <si>
    <t>Certificaciones Diversidad T&amp;C</t>
  </si>
  <si>
    <t>Cámara colombiana de comerciantes de LGTBQ: Certificación que nos va a permitir como mercado tener mayor cercanía a la comunidad donde hay un mercado importante, abriendo puertas y la posición hacia los trabajadores evidenciando una mente abierta. Ser reconocidos como una empresa incluyente de la diversidad, evidenciando una posición diferente ante la sociedad. Ser vistos como: Empresa amigable con la comunidad. Empresa diversa, Mejora en clima laboral, mayor competencia, en busca de equidad y diversidad tanto al interior como el exterior.</t>
  </si>
  <si>
    <t>El banco pueda ser reconocido a nivel nacional por las distintas instituciones en materia de diversidad con el fin de lograr posicionamiento en el mercado</t>
  </si>
  <si>
    <t>raquel.llerena-bbva.com</t>
  </si>
  <si>
    <t>SDATOOL-39237</t>
  </si>
  <si>
    <t>Seguros - Partnership masivos</t>
  </si>
  <si>
    <t>BBVA Seguros pueda cumplir con todo lo comprometido en la licitación adjudicada para los productos vinculados de Bancamía, situación que se materializó a partir del mes de enero de 2021.</t>
  </si>
  <si>
    <t>SDATOOL-39240</t>
  </si>
  <si>
    <t>Focus Audit - Consultas entre Funcionarios</t>
  </si>
  <si>
    <t>Incluir un mensaje en los sistemas 3270 - HOST, advirtiendo al funcionario, cuando este realice una consulta sobre un empleado. El mensaje es el siguiente: 
 Apreciado colaborador, la consulta a las cuentas de compañeros para la validación de pagos o abonos, solo puede ser realizada si por las funciones que realizas se requiere tal información o cuentas con una autorización expresa y escrita de ello, de lo contrario, tal acción, implica la vulneración a la normativa interna de BBVA. ¿Deseas continuar con la operación?
 El aviso no bloquea la consulta.</t>
  </si>
  <si>
    <t>Cumplir con la referencia de la Norma o Concepto que obliga la realización del proyecto: Emisión Informe 21-Q3-1369 de Auditoría a T&amp;C. Fecha Máxima de resolución: 30/11/2022</t>
  </si>
  <si>
    <t>mauricio.gutierrez-bbva.com</t>
  </si>
  <si>
    <t>ricardo.suarez-bbva.com</t>
  </si>
  <si>
    <t>En caso de no realizarse el proyecto, se mantiene la forma manual en la actualmente se realiza la transmisión de archivo diario de TUBO</t>
  </si>
  <si>
    <t>SDATOOL-39244</t>
  </si>
  <si>
    <t>Pricing libranza digital y capitalización de intereses</t>
  </si>
  <si>
    <t>Integración nuevo modelo pricing de libranza al flujo digital en página web.</t>
  </si>
  <si>
    <t>SDATOOL-39246</t>
  </si>
  <si>
    <t>Nuevo tipo de identificación para extranjeros</t>
  </si>
  <si>
    <t>Crear un nuevo código dentro de los tipos de identificación que se tienen definidos en el banco, con el fin de cumplir con la nueva regulación colombiana que habilita inicialmente a los venezolanos para adquirir productos financieros, bajo unos lineamientos mínimos.</t>
  </si>
  <si>
    <t>3Q 2022</t>
  </si>
  <si>
    <t>Impacto en el cumplimiento de los KPI`s indicados en el presente proyecto</t>
  </si>
  <si>
    <t>SDATOOL-39255</t>
  </si>
  <si>
    <t>OBSOLESCENCIA APLICATIVA 2022</t>
  </si>
  <si>
    <t>Reducir la obsolescencia en la infraestructura aplicando desarrollos necesarios para que la aplicación opere con componentes actualizados o renovados</t>
  </si>
  <si>
    <t>Evitar indisponibilidad de servicios por infraestructura obsoleta. Actualizar la infraestructura implica ajustar los aplicativos para que operen sobre los nuevos componentes.</t>
  </si>
  <si>
    <t>cesar.sotomayor.diaz-bbva.com</t>
  </si>
  <si>
    <t>SDATOOL-39264</t>
  </si>
  <si>
    <t>Nueva Instancia TDE para SFMC</t>
  </si>
  <si>
    <t>Migrar a la nueva Instancia en SFMC que permitirá mejorar tiempos de respuesta y poder realizar comunicaciones a los clientes por los diferentes canales que se disponen en la herramienta</t>
  </si>
  <si>
    <t>nidia.moreno-bbva.com</t>
  </si>
  <si>
    <t>SDATOOL-39265</t>
  </si>
  <si>
    <t>Migración Operaciones Fircosoft</t>
  </si>
  <si>
    <t>Migración de procesos de filtrado de operaciones en batch de Firco Trust a Firco Continuity proceso que requiere ejecución de actividades tanto de Mexico como de Colombia. Por parate local se requiere realizar el desmonte de la malla y el apagado del archivo que se remite a mexico.</t>
  </si>
  <si>
    <t>Se requiere eliminar de la malla workload GYR_FIRCOSOFT_APL_DIA_BANCO y los archivos que este se genera, de tal forma que no genere cancelación a futuro.</t>
  </si>
  <si>
    <t>cindyrocio.diaz.carvajal-bbva.com</t>
  </si>
  <si>
    <t>SDATOOL-39271</t>
  </si>
  <si>
    <t>Auditoría - Inventarios de plásticos</t>
  </si>
  <si>
    <t>Realizar ajustes al software identificadas en el módulo (Medios de pago)
 Entregar las correcciones ajustadas en el módulo de medios de pago, de los diferentes incidenicas reportadas por los hallazgos hechos por la auditoría en el tema de inventario de plásticos de tarjetas débito y crédito en las oficinas de la red comercial.</t>
  </si>
  <si>
    <t>SDATOOL-39272</t>
  </si>
  <si>
    <t>GRM-Col-Cambio servicio APL (Aportes en línea)</t>
  </si>
  <si>
    <t>Implementar y reemplazar el servicio de consulta de aportes en línea (APL) con el servicio OVI (Orquestador de Validadores de Ingreso) para consulta de información laboral del cliente en los diferentes canales del banco.
 Canales:
 1. Banca Móvil
 2.CAP-Retail
 3.Página Blanca Cells: Tarjeta Web, vehiculo web, consumo web, vivienda digital y libranza Digital
 4.Comunicación Interbackend
 5.AUG (Escenarios comerciales) 
 6. BBVA NET
 Disciplina: Retail Credit</t>
  </si>
  <si>
    <t>- Ahorro del 15% anual asociado a las consultas anuales (1 Millón)
 - Conexión a traves de HTTPS, con token de seguridad.
 - Nueva información (novedades de vacaciones, antiguedad y continuidad laboral, etc) 
 - Actualización de arquitectura (consumo de servicio en la nube)
 -Mejoras en tiempo de respuestas y cantidad de consultas.</t>
  </si>
  <si>
    <t>hectormanuel.rodriguez.martin-bbva.com</t>
  </si>
  <si>
    <t>La no implementación del proyecto implicaria perdida de negocio al no ser posible la contratación de nuevos clientes y/o la contratación de nuevos productos al no poder consultar la información laboral de particulares.</t>
  </si>
  <si>
    <t>SDATOOL-39273</t>
  </si>
  <si>
    <t>Integración pre aprobados tarjeta de crédito Open market</t>
  </si>
  <si>
    <t>Permitir a los clientes que tienen oferta de pre aprobados de tarjeta de crédito, terminar el proceso de contratación en el flujo de la página web Open market. En la actualidad, se redirige al cliente al canal de la móvil, perdiendo el 80% de conversión de estos clientes.</t>
  </si>
  <si>
    <t>SDATOOL-39282</t>
  </si>
  <si>
    <t>Fiduciaria - Alta y domiciliación Fondos de inversión jurídicos en Gema</t>
  </si>
  <si>
    <t>Realizar la Implementación del Alta de Fondos por GEMA, para personas Jurídicas, la contratación del fondo debe ser 100% digital</t>
  </si>
  <si>
    <t>Contratar un fondo digital para persona jurídica 7x24:
 Funcionalidades:
 1. Aportar desde cuentas propias u otras cuentas
 2. Retiros a cuentas BBVA
 3. Cancelación del fondo
 4. Descarga de certificados</t>
  </si>
  <si>
    <t>fernando.garciameza-bbva.com</t>
  </si>
  <si>
    <t>jorge.blanco-bbva.com</t>
  </si>
  <si>
    <t>Digital Sales Capabilities</t>
  </si>
  <si>
    <t>SDATOOL-39283</t>
  </si>
  <si>
    <t>Fiduciaria - Obsolescencia software Base aplicativo Central</t>
  </si>
  <si>
    <t>Se requiere la actualización de las ultimas versiones de bases de datos, servidor aplicativo, piezas de seguridad de los aplicativos MIDAS, Central y FIDUSAP en BBVA fiduciaria</t>
  </si>
  <si>
    <t>celso.hernandez-bbva.com</t>
  </si>
  <si>
    <t>Internal Control &amp; Operational Risk</t>
  </si>
  <si>
    <t>SDATOOL-39284</t>
  </si>
  <si>
    <t>Automatización Catálogos - ALM</t>
  </si>
  <si>
    <t>Actualmente se recibe un correo informando los catalogos con las nuevas parametrias, se corre un codigo en phyton en el sandbox de financiera y se descargan todas las nuevas parametrias por cada catalogo, despues se toman esos catalogos y se copian en una carpeta llamada bk</t>
  </si>
  <si>
    <t>Automatización de la actualizacion de los catalogos del proceso de ALM</t>
  </si>
  <si>
    <t>juanpablo.herrera.gutierrez-bbva.com</t>
  </si>
  <si>
    <t>Disminuir los tiempos en la busqueda de los catalogos a actualizar y en todo su proceso de actualizacion</t>
  </si>
  <si>
    <t>SDATOOL-39285</t>
  </si>
  <si>
    <t>Resolución 0029 del 02 de Marzo de 2022 - Certificado de Rentas de Trabajo</t>
  </si>
  <si>
    <t>Dar cumplimiento a la Resolución 0029 del 02 de Marzo de 2022. Se requiere los ajustes técnicos necesarios para crear y generar el Nuevo Certificado de Ingresos y Retenciones por Rentas de Trabajo y de Pensiones - Formulario 220 para el año gravable 2021, emitido por la DIAN, en canales Host y Nacar, BBVA Net y BBVA Net Cash.</t>
  </si>
  <si>
    <t>KPI-35 Cumplimiento del hito regulatorio</t>
  </si>
  <si>
    <t>Incumplimiento normativo que puede generar riesgo de sanciones para el Banco.</t>
  </si>
  <si>
    <t>SDATOOL-39317</t>
  </si>
  <si>
    <t>Migración de ficheros Plataforma Informacional que alimentan RBA</t>
  </si>
  <si>
    <t>Se requiere realizar la migración de los ficheros que alimentan el aplicativo RBA los cuales se procesan en la herramienta Plataforma Informacional.</t>
  </si>
  <si>
    <t>Se requiere realizar la migración de los archivos se se vienen alimentando en Plataforma Informacional a otra plataforma para que alimente a RBA. Esta migración se requiere debido a que no va a existir renovación de las licencias de PI.</t>
  </si>
  <si>
    <t>SDATOOL-39321</t>
  </si>
  <si>
    <t>GRM Col Asset control - Eficiencia en procesos</t>
  </si>
  <si>
    <t>Se requiere ralizar las siguientes optimizaciones en los procesos dentro de Asset Control:
 1.Cambio de captura de Ibr a plazos de tal manera que no sea manual, sino que la capture de Bloomberg/Reuters y realice el cálculo para llevarlo a tasa efectiva. En caso de contingencia, tener una pantalla para que el usuario pueda cargar un fichero de manera manual por corrección de datos. Los tickers de bloomberg son los siguientes: (Todos los tickers son tasas nominales, valdría la pena saber si reuters tienen las tasas efectivas.)
  COOVIBR Index -&gt; IBR ON
  COOVIBR1 Index -&gt; IBR 1M
  COOVIBR3 Index -&gt; IBR 3M
  COOVIBR6 Index -&gt; IBR 6M
 2.Captura de fichero de tasa overnight y cálculo de la misma de manera efectiva. Idealmente, captura de esta información directamente de la página web, pero como contingencia, debería haber una pantalla de corrección de datos. La página web es: http://www.banrep.gov.co/sen-boletines-diarios
 3. Creación de títulos de renta fija, que se tomen los datos de creación que se mandan en los procesos de star y estos sirvan para la configuración de estos Ados. Tener disponible una pantalla donde se pueda cargar un fichero masivo con varios registros, sea automático (idealmente, dejando un fichero en la ruta) o cargándo directamente en AC.
 4.Captura de IPC de manera automática de los ficheros de Precia y que no sea de manera manual como se realiza el día de hoy. Actualmente el fichero SV pública esta información bajo el identificador IPV pero también es posible capturar a través de Bloomberg (COCPIMOM Index). 
 5. Captura de UVR de tal manera que sea un proceso automático y no necesite que todos los dias lo realice la persona encargada del proceso de precios. La idea es difundir el dato correspondiente al día de cierre, en vez que el usuario deba cambiarlo de manera manual para el día inhábil.
 Disciplina: Non Financial Risk NFR</t>
  </si>
  <si>
    <t>Generar eficiencia en los tiempos de ejecución de los procesos IBR, UVR, IPC y CREACIÓN DE TITULOS ejecutados en la herramienta corporativa Asset Control de forma diaria.</t>
  </si>
  <si>
    <t>rubendario.perilla-bbva.com</t>
  </si>
  <si>
    <t>SDATOOL-39326</t>
  </si>
  <si>
    <t>Tarjeta de crédito Open market 7x24</t>
  </si>
  <si>
    <t>Habilitar la contratación de tarjeta de crédito en la página web, durante las horas de ejecución de los procesos batch.</t>
  </si>
  <si>
    <t>andresfelipe.granados-bbva.com</t>
  </si>
  <si>
    <t>SDATOOL-39327</t>
  </si>
  <si>
    <t>Subproducto Cuenta Maestra</t>
  </si>
  <si>
    <t>Se requiere garantizar que el nuevo subproducto de Cuenta Corriente Maestra y Cuenta de Ahorros Maestra, permitan realizar el alta, baja y modificación de Cuentas Maestras, así como el alta, baja y modificación de Cuentas Beneficiarias.</t>
  </si>
  <si>
    <t>SDATOOL-39333</t>
  </si>
  <si>
    <t>Pago de Impuestos Nacionales y Aduaneros con Títulos TIDIS,CERT y TRT</t>
  </si>
  <si>
    <t>Se requiere que se genere el proceso E2E del proceso de recaudo a través de pago con títulos valor para las rentas nacionales de la DIAN, en donde se involucre desde el tratamiento de clientes, disposición del modulo de Impuestos Nacionales en Terminal para el recaudo, generación del proceso contable y operativo y finalmente la ejecución de reportes BBVA y articular este proceso con el proyecto de Webservices Recaudo Diario DIAN y MinHacienda.</t>
  </si>
  <si>
    <t>Habilitar el pago por el módulo de terminal financiero, el proceso de recaudo y pago de Impuestos
 Nacionales a través de Títulos Valor (CERT, TRT y TIDIS) emitidos por parte de Entes de Gobierno.
 Cumplimiento Resolución No. 478 de 2000 de DIAN y frente a la Ley 2010 del 2019 art. 43, De acuerdo con lo establecido por la DIAN este desarrollo debía estar en producción en 2019.</t>
  </si>
  <si>
    <t>SDATOOL-39334</t>
  </si>
  <si>
    <t>GRM Col Reg - CE016-19 Modificados, reestructurados e incumplidos Leasing</t>
  </si>
  <si>
    <t>Ajustes en el aplicativo donde permita atender los requerimientos de la CE016/19, teniendo en cuenta lo siguiente:
 1. Ajustes en la parametría de Reestructurados: Se debe crear una nueva parametría donde permita diferenciar la Normativa Local y la Normativa Consolidada.
 2. Ajustes interfaz reestructurado: Se debe ajustar la interfaz para identificar el estado de la marca tanto para Normativa Local como la normativa Consolidada.
 3. Creación de interfaz Modificados
 4. Creación de Reporte Reestructurado y Modificados
 5. Regulación Stock: Marcación y desmarcación de la operaciones de acuerdo a la parametría Local y Consolidada.
 6. Ajustes parámetros rango 1 y 2 
 7. Ajustes Validación de Mora para marca C026
 8. Ajustes Retiro Marca C026 o Reestructurado Automático
 9. Modificación Calificación Escalera
 10. Ajuste campo endeudamiento
 Disciplina: Non Financial Risk NFR</t>
  </si>
  <si>
    <t>KPI-35 Cumplimiento del hito regulatorio: En cumplimiento de la CE016/19
 Este proyecto aplica para cualquier plataforma del Banco que tenga operaciones activas de crédito a la clientela, incluyendo a los procesos que se ejecutan por Riesgos en Ingeniería (RIO)</t>
  </si>
  <si>
    <t>edna.sanchez-bbva.com</t>
  </si>
  <si>
    <t>SDATOOL-39340</t>
  </si>
  <si>
    <t>Integración Botón de Pagos PSE (Proveedores) al Módulo de Impuestos Departamentales</t>
  </si>
  <si>
    <t>Se requiere habilitar el recaudo a través del botón de pagos PSE de los convenios proveedores autorizados por los Departamentos, teniendo en cuenta que a la fecha el Banco viene atendiendo esta disposición manualmente con el área de Operaciones, mientras se implementa la solución automática.</t>
  </si>
  <si>
    <t>Con el fin de dar cumplimiento a lo establecido en la Ley 488/98 y sus Decretos 2654/98 y 2653/98 en los cuales se indica que los Departamentos celebrarán convenios de recaudo con Entidades Financieras para el recaudo y dispersión de los impuestos departamentales de Vehículo y Sobretasa a la Gasolina; se requiere integrar al proceso automático que hoy realiza el módulo de impuestos departamentales con los recaudos recibidos por Terminal Financiero.</t>
  </si>
  <si>
    <t>SDATOOL-39347</t>
  </si>
  <si>
    <t>Alertas Personalizadas FX</t>
  </si>
  <si>
    <t>Generar la posibilidad de que los clientes Naturales y Jurídicos puedan contar con la capacidad de personalizar sus alertas sobre el tipo de cambio de las divisas, estas alertas buscaran que el cliente pueda mejorar la experiencia de usuario en el servicio de negociación de divisas, además estas alertas los podrán dirigir al modulo de negociación del mercado FX de la banca web o Mobile del banco BBVA.</t>
  </si>
  <si>
    <t>SDATOOL-39348</t>
  </si>
  <si>
    <t>tarjeta de crédito Open Market Fallback product</t>
  </si>
  <si>
    <t>Realizar oferta de contratación de cuenta/tarjeta débito a los clientes que por política no se les aprobó la tarjeta de crédito. Una vez el cliente cumpla las condiciones de ahorro establecidas, se aprobará y dará de alta la tarjeta de crédito.</t>
  </si>
  <si>
    <t>SDATOOL-39352</t>
  </si>
  <si>
    <t>Gema: Solicitud de tarjeta de crédito</t>
  </si>
  <si>
    <t>Los clientes en Gema tendrán la posibilidad de tener disponible la contratación de una tarjeta de crédito empresarial, como cupo de capital de trabajo para financiera su negocio.</t>
  </si>
  <si>
    <t>Hoy en día los nuevos jugadores como Fintech están ganando mercado a través de soluciones digitales en
 las cuales entregan sus tarjetas empresariales de forma Online, desde sus aplicaciones móviles. Para el segmento más pequeño de las pymes, vamos a disponibilizar esta solución desde el celular, entendiendo que es su medio más natural de relación con el Banco.</t>
  </si>
  <si>
    <t>Redirección Mobile POS</t>
  </si>
  <si>
    <t>El proyecto se está desarrollando dentro de la app de cobros de Open pay actualmente, se requiere su
 implementación dentro de Gema para los clientes del Banco y de esta maneras apoyar con el cumplimiento
 de los KPIs de Adquirencia, con Mpos traeremos 3600 altas</t>
  </si>
  <si>
    <t>nathaliamaria.torres-bbva.com</t>
  </si>
  <si>
    <t>My business Open Pay - Plan Ascenso Mercurio</t>
  </si>
  <si>
    <t>Integrar la información de ventas por Open Pay de los clientes a Gema, dentro de la experiencia de My business de adquirencias, para que el cliente tenga toda su información centralizada en un mismo lugar</t>
  </si>
  <si>
    <t>SDATOOL-39357</t>
  </si>
  <si>
    <t>Despriorizado - Single APP</t>
  </si>
  <si>
    <t>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t>
  </si>
  <si>
    <t>Despriorizado</t>
  </si>
  <si>
    <t>Crédito Virtual</t>
  </si>
  <si>
    <t>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t>
  </si>
  <si>
    <t>irene.angel-bbva.com</t>
  </si>
  <si>
    <t>SDATOOL-39365</t>
  </si>
  <si>
    <t>Adecuación física nueva Estructura Redes</t>
  </si>
  <si>
    <t>Cubrimiento de las necesidades por adecuaciones físicas y dotación de elementos de trabajo que se deriva por la transformación de la estructura de redes incluyendo las diferentes bancas (retail, empresas, pymes y gobiernos), pasando a tener 5 regionales. Con el fin de apalancar los objetivos de ganancia de cuota, generar mayor capilaridad y alcanzar mayores volúmenes de negocio.</t>
  </si>
  <si>
    <t>Dirigido a la Banca Retail, Empresas, Pymes y Gobiernos.</t>
  </si>
  <si>
    <t>SDATOOL-39371</t>
  </si>
  <si>
    <t>Pagaré Electrónico en ATM</t>
  </si>
  <si>
    <t>Incorporar dentro del flujo de consumo proactivo ATM's el API de pagaré electrónico, para que se puedan otorgar ofertas superiores a 40 SMMLV y clientes sin garantía única.</t>
  </si>
  <si>
    <t>Completar la oferta de preaprobados autogestionados por todos los canales del banco</t>
  </si>
  <si>
    <t>SDATOOL-39372</t>
  </si>
  <si>
    <t>Formato 415 Derivado SFC</t>
  </si>
  <si>
    <t>Desarrollos en Star, Murex, Diálogo y otras fuentes información de Riesgos, Financiera y Jurídica con el fin de obtener nuevos campos que deben ser integrados en el aplicativo Controller View para la estructuración y elaboración automática del formato con las características, estructura y definiciones establecidas en la circular 004 de 2022 y sus anexos</t>
  </si>
  <si>
    <t>Se requiere atender el requerimiento normativo por parte de la superintendencia Financiera de Colombia, según lo estipulado en la circular 004 de 2022 y sus anexos. Enla cual exige:
 Creación de la proforma F.0000-169 (Formato 415) “Instrumentos Financieros Derivados” y derogatoria de la proforma F.0000-146 Formatos 468 “Forward sobre Divisas (incluye FX - Swap)”, 469 “Forward sobre títulos o valores”, 471 “Opciones Europeas en el mercado mostrador (OTC)” y 472 “Swaps (‘Interest Rate Swap – IRS, ‘Cross Currency Swap’ – CCS y ‘Credit Default Swaps’ – CDS)”
 De no realizarse esto se podrían acarrear sanciones para el banco con afectación financiera y de riesgo reputacional.</t>
  </si>
  <si>
    <t>SDATOOL-39383</t>
  </si>
  <si>
    <t>AJUSTES HIGIENICOS DE PORTAFOLIO + REPORTE CENTRALIZADO DE NÓMINA</t>
  </si>
  <si>
    <t>"-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t>
  </si>
  <si>
    <t>Asegurar nuestra oferta de nómina realizando los ajustes necesarios para el correcto funcionamiento de los portafolios de nómina y particulares con el fin de evitar reclamaciones constantes por parte de los clientes, así mismo en el reporte centralizado de nómina (RUTA \\co.igrupobbva\svrfilesystem\TX\RECEPCION_HOST\MARKETING\NOMINAS)que se ajuste a aquellos criterios necesarios para que las empresas puedan utilizarlo de una manera sencilla.</t>
  </si>
  <si>
    <t>SDATOOL-39384</t>
  </si>
  <si>
    <t>Abonos a préstamos por canales</t>
  </si>
  <si>
    <t>Permitir a los clientes realizar abonos a capital de sus obligaciones BBVA a través de canales digitales.</t>
  </si>
  <si>
    <t>SDATOOL-39385</t>
  </si>
  <si>
    <t>COLPENSIONES - ONP MEJORA FECHA PRIMER RETIRO DEL PENSIONADO FALLECIDO</t>
  </si>
  <si>
    <t>El cliente requiere reportar la fecha del primer retiro de la cuenta pensional posterior al fallecimiento del
 pensionado en el campo No. 22 "Fecha de pago o reintegro Banco", y la hora del retiro en el campo No. 23,
 de los archivos planos de respuesta.</t>
  </si>
  <si>
    <t>SDATOOL-39387</t>
  </si>
  <si>
    <t>Auditoría - Controles disminución de cupo y control automático para no liberar saldos</t>
  </si>
  <si>
    <t>Implementar controles automáticos, para prevenir rebasamientos no autorizados de cupos de tarjeta de crédito (Extracupos)</t>
  </si>
  <si>
    <t>Internal Audit Actions (Critical or Significant)</t>
  </si>
  <si>
    <t>SDATOOL-39389</t>
  </si>
  <si>
    <t>Comunicación con clientes medios alternativos whatsapp - hangouts</t>
  </si>
  <si>
    <t>Lograr comunicarnos con nuestros clientes vía medios digitales y móviles como whatsapp, messenger, google chat, redes sociales entre otros asegurando el resguardo, trazabilidad y auditoria de las interacciones conforme a las normas locales y procedimientos actuales como medio verificable (7 años resguardo)</t>
  </si>
  <si>
    <t>Actualmente el entorno normativo para la tesorería requiere asegurar que las comunicaciones electrónicas cumplan con la trazabilidad y resguardo de las interacciones con nuestros clientes, la evolución en la forma de comunicarnos con medios digitales ha tenido una evolución con la llegada tras el impacto de la pandemia a nivel global obligándonos a adaptarnos en la forma de como interactuamos con nuestros clientes buscando siempre el crecimiento del negocio y satisfacer las necesidades con mejores tiempos de respuesta.</t>
  </si>
  <si>
    <t>SDATOOL-39390</t>
  </si>
  <si>
    <t>Ajustes en las parametrias de CVV dinámico</t>
  </si>
  <si>
    <t>Objetivo
 Cliente va a realizar una operación en ambiente no presente.
 Cuando el comercio le pida el número de CVV
 El cliente lo pueda generar a través de BBVA Móvil o BBVA net
 Acciones correctivas.
 Si, el cliente hizo uso del CVV estático, (NO declinar la transacción), permitir hacer la operación y posterior
 se le envía un push de notificación diciendo" Recuerda ya puedes hacer uso del CVV dinámico para tus
 compras online, te quedan 3 intentos para que el CVV estático deje de funcionar"
 Si, el cliente hizo uso del CVV dinámico en una pasarela de pagos, (NO declinar la transacción), permitir que
 el CVV se pueda reutilizar en N veces en un tiempo determinado.
 Si el cliente quiere hacer más de una operación, se le permitirá generar más de un CVV dinámico.</t>
  </si>
  <si>
    <t>Permitir parametrizar en el sistema, la generación de más de un CVV dinámico en los canales BBVA Móvil y
 BBVA net (Actualmente solo se puede generar un solo CVV dinámico en una vigencia de 5 minutos).
 Permitir parametrizar en el sistema, poder reutilizar un CVV dinámico en un número de veces y en un
 periodo de tiempo determinado (Esto por BIN). (Hoy en día si haces más de una operación con el mismo
 CVV se te rechaza).
 Permitir parametrizar en el sistema, que el cliente pueda hacer uso del CVV estático (Sin declinación) en un
 número de veces y en un tiempo determinado, asimismo enviarle un push de notificación ( Educación
 financiera), para que en la próxima operación haga uso del CVV dinámico (Esto con el objetivo de ir
 acostumbrando al cliente sin afectar sus operaciones, en el uso del CVV dinámico).</t>
  </si>
  <si>
    <t>SDATOOL-39391</t>
  </si>
  <si>
    <t>Centralización de Contracargos</t>
  </si>
  <si>
    <t>"1. Se requiere contar con un área centralizadora que se encargue de la operativa de los contracargos en un mismo sistema correspondiente a Visa y Mastercard tanto para transacciones nacionales e internacionales, que actualmente realiza la red de oficinas y el área de operaciones. Esto con el fin de mejorar la experiencia al comercio, disminuir las reclamaciones y tener trazabilidad de los contracargos tanto para venta presente como para venta no presente. 
 2. Contar con una base con la información de contacto de los comercios actualizada y que se pueda consultar de manera rápida y oportuna para la gestión de los mismos.
 3. Contar con la integración en una sola base de los contracargos de Visa y Mastercard Nacional, Internacional.
 4. Se requiere que la información y proceso contable de contracargos de Visa Nacional que actualmente recibe y gestiona la oficina a través de aplicativo nacar, se transforme al proceso operativo y contable que actualmente utiliza el área de operaciones.
 5. Generar parametria para los códigos de extra compensación que llegan nuevos y en nuestro sistema no se visualizan
 6. Generación de la información de contracargos y ajustes extracompensación en los informes de ADQ, Multicash, MT940 y actualización de descripciones en el extracto de los clientes bajo los codigos MIR ya creados para cada concepto.
 7. Automatizar el proceso operativo que actualmente ejecuta el área de operaciones medios de pago, al momento de elaborar el GOF con la información de contracargos de Master Nal y Visa y Master Internacional."</t>
  </si>
  <si>
    <t>SDATOOL-39408</t>
  </si>
  <si>
    <t>GRM COL - Cronos Collections - Herramienta recuperaciones</t>
  </si>
  <si>
    <t>Implementación de una Plataforma Operativa de Cobranzas que permita el manejo de cobranzas y recuperaciones con los agentes internos y externos, que permita una gestión, retroalimentación, seguimiento, control y centralización de la información.</t>
  </si>
  <si>
    <t>Como parte de los lineamientos que desde Colombia requerimos para la integración al modelo de holding para la gestión y control de los procesos E2E en la colocación de productos, es necesaria una herramienta que agrupe las diferentes etapas de los procesos recuperatorios.
 Actualmente estos procesos no cuentan con una herramienta que permita la integración de la información a lo largo de los procesos para la toma de decisiones y seguimiento, debido a que la gestión la realiza cada unidad por separado.</t>
  </si>
  <si>
    <t>katherine.duque-bbva.com</t>
  </si>
  <si>
    <t>Organizational Development</t>
  </si>
  <si>
    <t>SDATOOL-39436</t>
  </si>
  <si>
    <t>COLPENSIONES ONP: llevar el control cuándo llega más de una mesada para un mismo cliente.</t>
  </si>
  <si>
    <t>La casuística que se está presentando es que llegan 2 órdenes de no pago sobre la misma mesada, el sistema recupera la primera y marca la mesada como reintegrada por lo que no puede recuperar la segunda mesada.
 Teniendo en cuenta lo anterior, se debe realizar un desarrollo para poder llevar el control de cuándo llega más de una mesada para el mismo cliente, para que de esta manera cuando lleguen 2 o más ONP's sobre la misma mesada estas se puedan recuperar. Se debe ajustar tanto el proceso de dispersión y registro en la tabla BGDTMCP, como el proceso de recuperación de órdenes de no pago.</t>
  </si>
  <si>
    <t>SDATOOL-39445</t>
  </si>
  <si>
    <t>Automatización Centro de Pruebas</t>
  </si>
  <si>
    <t>Mejoramiento de procesos de centros de prueba para ambientes previos y utilizar la herramienta de data-manager para consultar data de producción.</t>
  </si>
  <si>
    <t>Generar procesos de extracción a demanda (solicitud de tablas por petición), en producción. Para ser cargadas en los entornos previos con procesos de enmascaramiento.
 - Crear y actualizar los procesos de centro de pruebas para que se ejecuten y se carguen automaticamente en el entorno seleccionado.
 - Descargar todas las tablas de cada aplicativo para generar un centro de pruebas más completo.
 - Poder consultar data de producción mediante la herramienta de data-manager.</t>
  </si>
  <si>
    <t>SDATOOL-39447</t>
  </si>
  <si>
    <t>Normativos BBVA Valores 2022</t>
  </si>
  <si>
    <t>Atención a proyectos de carácter regulatorio exigidos mediante circular por entes de control autorizados. En este proyecto se encajarán todas aquellas iniciativas catalogadas como "regulatorias / normativas" que surjan durante el periodo de vida de este proyectos y que sean catalogadas como tal por parte del comité de normativos banco.</t>
  </si>
  <si>
    <t>Es indispensable atender los requerimientos por parte de los diferentes entes de control, en aras de asegurar el correcto funcionamiento del core del negocio bajo la normativa establecida.</t>
  </si>
  <si>
    <t>hugoalberto.abreo-bbva.com</t>
  </si>
  <si>
    <t>lizethsofia.garcia-bbva.com</t>
  </si>
  <si>
    <t>carlosandres.moque-bbva.com</t>
  </si>
  <si>
    <t>BBVA VALORES</t>
  </si>
  <si>
    <t>SDATOOL-39457</t>
  </si>
  <si>
    <t>Generación MT940 Fines de Semana y Festivos</t>
  </si>
  <si>
    <t>Implementar ciclos de generación de MT940 los fines de semana y festivos para una conciliación mas efectiva de los diferentes clientes corporativos. Esta generación debe ser parametrizable por cliente.</t>
  </si>
  <si>
    <t>Mejora en los procesos de los clientes de recaudo y Adquirencia. 
 Experiencia Cliente</t>
  </si>
  <si>
    <t>SDATOOL-39463</t>
  </si>
  <si>
    <t>GRM Col - Actualización Versión Power Curve.</t>
  </si>
  <si>
    <t>Realizar el upgrade de PowerCurve (particulares) y PCO,</t>
  </si>
  <si>
    <t>Impacto por obsolescencia de las versiones que actuamente tenemos instaladas en produción: Oracle, Powercurve 2.2, MQ's 6. Los proveedores dejan de prestar soporte para las versiones instaladas: Experian para Powercurve, oracle para la BD.</t>
  </si>
  <si>
    <t>SDATOOL-39473</t>
  </si>
  <si>
    <t>Actualización de Was 8 a was 9. RBA</t>
  </si>
  <si>
    <t>Desde México se han realizado revisión de las versiones de los diferentes aplicativos y herramientas encontrando que la versión del WAS (Servidor de aplicaciones) y otros aplicativos están con una versión anterior o próximas a vencer generando posibles problemas en la seguridad y soporte. Este tema se va a atender en 3 o 4 fases y se trabajarán en conjunto con el equipo de infraestructura.</t>
  </si>
  <si>
    <t>Los beneficios de este proyecto va encaminado a mejorar la seguridad del aplicativo y tener el soporte del proveedor.</t>
  </si>
  <si>
    <t>El proyecto atiende obsolescencia de los aplicativos, si no se realiza quedamos sin soporte afectando la seguridad del banco y de la información sensible, causando perdida de la misma generando problemas a la organización.</t>
  </si>
  <si>
    <t>SDATOOL-39502</t>
  </si>
  <si>
    <t>Adecuación física BBVA Valores</t>
  </si>
  <si>
    <t>A partir de la contratación de los cargos en BBVA Valores, lo cual permitirá el crecimiento del negocio de TIDIS (titulo de devolución de impuestos) y ofrecimiento del portafolio de BBVA Valores a las Bancas de PPJJ. Se hace necesario realizar las adecuaciones físicas de 6 puestos de trabajo en Dirección General que cumplan con los requisitos de área separada establecido por la SFC.</t>
  </si>
  <si>
    <t>Ampliar la participación del portafolio de BBVA Valores dentro de la oferta de clientes BBVA.</t>
  </si>
  <si>
    <t>marthaconsuelo.parra-bbva.com</t>
  </si>
  <si>
    <t>SDATOOL-39506</t>
  </si>
  <si>
    <t>Cuenta Sostenible</t>
  </si>
  <si>
    <t>Se requiere la creación e implementación de una cuenta enmarcada como sostenible, que nos permita diferenciar a nivel de reporteria los mismos, al igual que el recaudo de recursos provenientes de negocios sostenibles de nuestros clientes CIB</t>
  </si>
  <si>
    <t>Enmarcar recursos como sostenibles, provenientes de ventas realizadas por nuestros clientes</t>
  </si>
  <si>
    <t>Sustainability</t>
  </si>
  <si>
    <t>Foster new business</t>
  </si>
  <si>
    <t>SDATOOL-39525</t>
  </si>
  <si>
    <t>CBS Core Banking Strategy Convivencia Servicio ListCustomer</t>
  </si>
  <si>
    <t>"Diseño e inicio de Construcción del List Customer para Glomo con convivencias para datos actualizados a día D 
 - Mapeo para el diseño del modelo global de Listas Negras
 - Soporte básico local para la organización y lanzamiento formal del proyecto CBS-SWP1 en 4Q"</t>
  </si>
  <si>
    <t>Mainframe technology is an IBM proprietary technology written in Cobol programming language that has been reliably working for the last 30-40 years. It is a robust solution with a strong operating system that allows us to run a full-functional CBS with a high level of reliability.
 However, the exponential growth of digital channels and the resulting increasing number of challenges on mainframe to meet business needs, together with the appearance and spread of new cloud-based technologies more and more accepted by regulators and supervisors, lead us to make a reflection on the vision and strategy for our future CBS infrastructure.
 During april and may 2021 we have carried out a high level strategic reflection that has defined the CBS strategy for the next 10 years divided in two phases. In phase 1 (first 3 years) we will focus on building 3 ‘switching points’ that will enable the coexistence of mainframe and next gen technologies in the bank. In phase 2 (year 3 onwards) we will take migration decisions from mainframe to next gen on a product-by-product basis.
 Before starting to execute the strategy defined for phase 1, we need to further analyze and understand the implications in terms of functionality, technical challenges, business case, roadmap and creation model.</t>
  </si>
  <si>
    <t>No se genera ningun costo si el proyecto no continúa</t>
  </si>
  <si>
    <t>SDATOOL-39551</t>
  </si>
  <si>
    <t>Fiduciaria - Estrategia Fondos Estructurados</t>
  </si>
  <si>
    <t>Nueva estructura de Fondos de inversión con características estructurales</t>
  </si>
  <si>
    <t>SDATOOL-39554</t>
  </si>
  <si>
    <t>Fiduciaria -Optimizacion procesos Comerciales Fondos de Inversion</t>
  </si>
  <si>
    <t>Fiduciaria -Optimizacion procesos Comerciales Fondos Extractos, notificaciones, saldos diarios, parametrias MT940, H2H y multicash</t>
  </si>
  <si>
    <t>Fiduciaria - Vinculación digital de clientes a través de productos inmobiliarios</t>
  </si>
  <si>
    <t>Habilitar la vinculación web de manera digital a clientes e interesados en adquirir unidades de proyectos inmobiliarios.</t>
  </si>
  <si>
    <t>felipesantiago.araujo-bbva.com</t>
  </si>
  <si>
    <t>Fiduciaria - Autogestión documental en la vinculación productos inmobiliarios</t>
  </si>
  <si>
    <t>Funcionalidad WEB que permita a los clientes de fiducia inmobiliaria autogestionar los documentos relacionados con la vinculación digital al proyecto inmobiliario y los relacionados con procesos de desistimientos, cesiones y otrosíes dentro del proyecto inmobiliario.,</t>
  </si>
  <si>
    <t>SDATOOL-39680</t>
  </si>
  <si>
    <t>COLPENSIONES - Reintegros en ONPS , desbloqueo subproducto 14 de jubilados.</t>
  </si>
  <si>
    <t>Desarrollo para realizar desbloqueo del subproducto 14 (jubilados) al estar la cuenta bloqueada no permite realizar reintegros ONP .
 Este desarrollo ya se había realizado para el subproducto 12, pero no se contemplo el subproducto 14.
 Qué origina la necesidad? Colpensiones
 ¿Quién tiene la necesidad? Colpensiones
 ¿Cuándo y dónde surge la necesidad? 25 de abril de 2022, solicitud realizada por la Gerente Transaccional de la Banca de Gobiernos de la Int. Bogotá.
 ¿Qué se ha hecho para resolver el problema? el equipo adelanta gestión con Ingeniería para atención del requerimiento</t>
  </si>
  <si>
    <t>Se requiere ajustar para los procesos automáticos que se tienen con Colpensiones (Entidad Pública).
 Es importante tener este ajuste para poder atender las solicitudes de ONP´s en los tiempos acordados con el cliente, lo cual se firmo un ANS y el incumplimiento puede acarrear sanciones.</t>
  </si>
  <si>
    <t>Impacto en elcumplimiento de los KPI´S indicados en el presente proyecto</t>
  </si>
  <si>
    <t>SDATOOL-39749</t>
  </si>
  <si>
    <t>Licitación Operador Logístico Pólizas de Seguros</t>
  </si>
  <si>
    <t>Dar continuidad a la prestación de servicios de asesoría y operación logística de seguros que hoy se tiene con el proveedor Willis. Para ello, se realizará licitación para seleccionar la entidad que garantice la colocación de pólizas de seguros para proteger al BBVA Colombia ante los riesgos de muerte y daños por los bienes dados en leasing por el BBVA Colombia a sus clientes.</t>
  </si>
  <si>
    <t>Para ello, se realizará licitación para seleccionar la entidad que garantice la colocación de pólizas de seguros para proteger al BBVA Colombia ante los riesgos de muerte y daños por los bienes dados en leasing por el BBVA Colombia a sus clientes.</t>
  </si>
  <si>
    <t>nicolas.galindo-bbva.com</t>
  </si>
  <si>
    <t>Banking Ops Transformation (Back Office)</t>
  </si>
  <si>
    <t>SDATOOL-39764</t>
  </si>
  <si>
    <t>Biometría en entrega de plástico de tarjeta de crédito</t>
  </si>
  <si>
    <t>Incluir en la transacción de entrega de tarjeta de crédito en Nacar , la facultad del subgerente para los casos en los que no se supere con éxito la biometría, ya sea por errores operativos ó técnicos.</t>
  </si>
  <si>
    <t>SDATOOL-39779</t>
  </si>
  <si>
    <t>Adecuación física Banca Wealth</t>
  </si>
  <si>
    <t>TBD</t>
  </si>
  <si>
    <t>brenda.monsalve-bbva.com</t>
  </si>
  <si>
    <t>SDATOOL-39783</t>
  </si>
  <si>
    <t>Resolución 0124 de 2021 - Captura del base de Operaciones Anuladas en Leasing - Aplic. Leasing</t>
  </si>
  <si>
    <t>Se requiere contar con la tarifa y el valor base correcto de RETEICA para la generación de Certificados y Reporte de información exógena para los diferentes entes de control fiscal.</t>
  </si>
  <si>
    <t>Cumplimiento de las obligaciones fiscales del Banco emitidas por la resolución 0124 de 2021 de la DIAN.</t>
  </si>
  <si>
    <t>SDATOOL-39784</t>
  </si>
  <si>
    <t>Plan de Acción Data Colombia</t>
  </si>
  <si>
    <t>En resumen, el plan de mejora de Data se dividirá en dos líneas de trabajo:
 6 líneas en el corto plazo las cuales se ejecutarán entre 2Q22 y 4Q22 con capacity interno, sin necesidad de recursos adicionales.
 6 líneas largo plazo que se abordarán entre 2Q22 y 4Q23, y para ello se requieren 26 FTEs y $3,6mM de los cuales $3,6mM recurrentes.</t>
  </si>
  <si>
    <t>Identificación de necesidades en la calidad del dato en fuentes origen para armar plan de solución. 
 Revisión periódica de la data ingestada.
 Reducción en manualidad de procesos en datos origen.
 Mayor control de cambios de Data en sistemas origen.</t>
  </si>
  <si>
    <t>Los principales beneficios del plan serán:
 Identificación de necesidades en la calidad del dato en fuentes origen para armar plan de solución. 
 Revisión periódica de la data ingestada.
 Reducción en manualidad de procesos en datos origen.
 Mayor control de cambios de Data en sistemas origen.
 Capacity experto acorde con los requerimientos y con mayor nivel de capacitación (formación).
 Mejora en la metodología de proyectos de Data que permita tener procesos ágiles, transparentes y con menor burocracia.
 Herramientas adecuadas para procesos de validaciones de los proyectos.
 Mayor acompañamiento de áreas técnicas en los proyectos.
 Cronogramas realistas para la ejecución e implementación de proyectos en Datio</t>
  </si>
  <si>
    <t>SDATOOL-39785</t>
  </si>
  <si>
    <t>Segmentación contratos ADN</t>
  </si>
  <si>
    <t>Se requiere implementar un proceso de segmentación para los contratos de Adelanto de nómina que permita realizar el cambio del centro gestor del contrato así como el traslado de los saldos contables.</t>
  </si>
  <si>
    <t>Actualmente no existe un proceso de segmentación para los contratos de Adelanto de nomina que permita realizar el cambio del centro gestor del contrato, por lo cual se han generado errores contables con este subproducto.</t>
  </si>
  <si>
    <t>SDATOOL-39786</t>
  </si>
  <si>
    <t>Sostenibilidad Colombia Fase 2</t>
  </si>
  <si>
    <t>Marcación y seguimiento de las operaciones de (1) vehículos híbridos y eléctricos (2) vivienda sostenible (Hipoteca y Leasing) (3) Agro sostenible (4) líneas comerciales sostenibles (5) constructor sostenible, en las diferentes plataformas de creación de operaciones de financiación sostenible, para su reporte Local y Global tomando la taxonomía elaborada por el equipo de Data Holding como estándar para dicha marcación.</t>
  </si>
  <si>
    <t>"Help our customers in the transition towards a sustainable future, both with environmental and social inclusion actions based on two principles:
 1. Awareness to action
 2. Small steps for you, big steps for a sustainable future
 For 2023:
 - Implement and promote a product portfolio around 4 axes (mobility, energy efficiency and agribusiness on the financing side, and sustainable funds on the investment side) in all footprint countries
 - Promote social inclusion initiatives that generate sustainable origination in the different geographies in coordination with the workstream that leads sustainability efforts in Retail
 - Evolving the Carbon Footprint solution in the countries where it is implemented (customization and offsetting) (Spain &amp; Mexico).
 - Analysis of opportunity in AdS and Mexico for Big Bets Home &amp; Car. Implementation of roadmap agreed in Ads &amp; Mexico."</t>
  </si>
  <si>
    <t>carlosdavid.pacheco-bbva.com</t>
  </si>
  <si>
    <t>SDATOOL-39787</t>
  </si>
  <si>
    <t>Adquisición de equipos área RIC - (Validación Interna - RCS Riesgos) - (BEX-Cumplimiento)</t>
  </si>
  <si>
    <t>Se requiere la compra de computadores y workstation para los equipos de trabajo de Cumplimiento y control interno.</t>
  </si>
  <si>
    <t>Se requieren equipos de computo con los cuales el área de cumplimiento puedan cumplir con sus funciones.</t>
  </si>
  <si>
    <t>sandra.meza-bbva.com</t>
  </si>
  <si>
    <t>SDATOOL-39792</t>
  </si>
  <si>
    <t>Validación número de celular en activación de tarjeta de crédito Open market</t>
  </si>
  <si>
    <t>Trasladar la activación de tarjeta de crédito Aqua, al canal de BBVA Móvil. Lo anterior, permitirá confirmar el número de celular del titular a través de la OTP de activación del APP.</t>
  </si>
  <si>
    <t>SDATOOL-39798</t>
  </si>
  <si>
    <t>Fiduciaria - Workplace 2022</t>
  </si>
  <si>
    <t>Se requiere realizar la renovación de los equipos de cómputos de misión critica para BBVA Fiduciaria,</t>
  </si>
  <si>
    <t>mariaelena.torres-bbva.com</t>
  </si>
  <si>
    <t>julianna.martinez-bbva.com</t>
  </si>
  <si>
    <t>SDATOOL-39799</t>
  </si>
  <si>
    <t>Envío extractos tarjeta de crédito Open Market</t>
  </si>
  <si>
    <t>Se implementarán los ajustes en el proceso de alta de tarjeta de crédito Open market, para asegurar, que se diligencie el campo de correspondencia electrónica, con al dirección de email a la cual le llegará el extracto al cliente.</t>
  </si>
  <si>
    <t>SDATOOL-39808</t>
  </si>
  <si>
    <t>Implementación Wizard T&amp;C</t>
  </si>
  <si>
    <t>Wizard es una herramienta global para la gestión de pedidos que reemplazaría a LeAgile, plataforma inhouse que
 actualmente es considerada un ShadowIT.
 Está completamente sincronizada con el catálogo de servicios del BEx.</t>
  </si>
  <si>
    <t>Wizard Permite manejar la gestión de pedidos con cualquier cliente. LeAgile solo permite gestionar los pedidos de las
 disciplinas de T&amp;C.
 Funciona como un verdadero workflow, con una cantidad de features que no tiene LeAgile.
 No tiene los inconvenientes de recursos técnicos y capacidad.</t>
  </si>
  <si>
    <t>Seguiríamos con la herramienta de LEAGILE que presenta un riesgo en temas de seguridad por el IT SHADE</t>
  </si>
  <si>
    <t>SDATOOL-39819</t>
  </si>
  <si>
    <t>Automatización casos de uso analítica CS</t>
  </si>
  <si>
    <t>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t>
  </si>
  <si>
    <t>deisyjohana.medina-bbva.com</t>
  </si>
  <si>
    <t>SDATOOL-39822</t>
  </si>
  <si>
    <t>Seguros - Obsolescencia Seguros</t>
  </si>
  <si>
    <t>Proyecto para la implementación de aplicaciones, desarrollos y mejoras que sean requeridos por obsolescencia.</t>
  </si>
  <si>
    <t>joseagustin.rodriguez.contractor-bbva.com</t>
  </si>
  <si>
    <t>SDATOOL-39823</t>
  </si>
  <si>
    <t>REPORTERIA PROVISIONES _ S1, S2, S3, SA y CxP en Divisa</t>
  </si>
  <si>
    <t>Se requiere incluir para la transacción S1- PERIODIFICACIONES, S2-PROVISIONES, S3-PROVISIONES EJERCICIOS ANTERIORES, SA- DOCUMENTO CUENTA MAYOR, la información de NIT y Nombre del proveedor desde la divisa de origen dado que actualmente GPS no registra dicho detalle y el registro de las provisiones se da solo hasta nivel de cuenta. Para el tema de CxP en divisa crear una cuenta por pagar en divisa que permita realizar las provisiones y pagos en dicha moneda, la variación producto de la TRM se debe contabilizar en la cuenta de Diferencia en Cambio y NO en la cuenta de Gastos Generales.</t>
  </si>
  <si>
    <t>Incluir la información por Nit y nombre del proveedor para controlar de forma detallada y ágil las provisiones; para realizar seguimiento presupuestal a nivel de proveedor. Para la CxP para que el impacto por diferencia en cambio NO afecte las cuentas de gastos generales.</t>
  </si>
  <si>
    <t>natalializeth.guio-bbva.com</t>
  </si>
  <si>
    <t>Con la mejora solicitada, se tendría un control de la información de NIT y Nombre del proveedor desde la divisa de origen dado que actualmente GPS no registra dicho detalle y el registro de las provisiones se da solo hasta nivel de cuenta. Para el tema de CxP en divisa crear una cuenta por pagar en divisa que permita realizar las provisiones y pagos en dicha moneda, la variación producto de la TRM se debe contabilizar en la cuenta de Diferencia en Cambio y NO en la cuenta de Gastos Generales.</t>
  </si>
  <si>
    <t>SDATOOL-39826</t>
  </si>
  <si>
    <t>GRM Col- Plan Ascenso - Mejoras en CAP Pymes y disponibilización HdC</t>
  </si>
  <si>
    <t>Disponibilización de la la consulta de Historia de crédito en el canal de Cap pymes y cambio del modelo de rating al modelo de rating reestimado para clientes pymes de empresas medianas (ventas &gt;6000M)</t>
  </si>
  <si>
    <t>Se busca la homologación de consulta de centrales de Riesgo implementadas en NACAR y demás canales.
 Con la implementación de los nuevos modelos se tendrá una cobertura mas amplia a clientes que hoy en día no son objeto de negocio y se contara con una cartera mas sana.</t>
  </si>
  <si>
    <t>christian.aranda-bbva.com</t>
  </si>
  <si>
    <t>Al no contar con el modelo de rating actualizado se podría comprometer la correcta colocación de la cartera e impactando a su vez las provisiones crediticias de las medianas empresas- pymes</t>
  </si>
  <si>
    <t>SDATOOL-39827</t>
  </si>
  <si>
    <t>Certificaciones Cuentas Persona Natural y Jurídica Cantidad de Dígitos.</t>
  </si>
  <si>
    <t>MANTENIMIENTO - INCIDENCIA
 Realizar la modificación del reporte de certificación de cuentas que se descarga para PN y PJ desde Oficina en Nacar, Canal Banca Móvil, Canal Net Personas, Canal Gema y Canal Móvil Net Cash.
 Realizar la modificación en los diferentes sistemas del Banco para las cuentas que superan los 6 dígitos para PN y PJ.</t>
  </si>
  <si>
    <t>1.1 Actualmente las certificaciones que se expiden, se refleja la información de la cuenta en Nácar a 9, 10 y 16 con el encabezado a 20 dígitos, y para canales electrónicos a 10, 16 y 20 con encabezado a 9 dígitos (para Net personas y Banca Móvil) y 10 dígitos (Para Net Cash Movil y Gema) .
 Dado que se está presentando alta de cuentas a 7 dígitos por temas de crecimiento en nómina está viéndose afectada la información que se está generando en las certificaciones que se expiden a los clientes de PN y PJ.</t>
  </si>
  <si>
    <t>SDATOOL-39828</t>
  </si>
  <si>
    <t>Acciones CorpSec en la banca móvil</t>
  </si>
  <si>
    <t>Desarrollar 3 features que ayudarán a mejorar la seguridad desde la BM hacia los clientes</t>
  </si>
  <si>
    <t>SDATOOL-39830</t>
  </si>
  <si>
    <t>GRM Col - Plan Ascenso - Mejoras CAP Pymes</t>
  </si>
  <si>
    <t>Realizar mejoras en el aplicativo CAP Pymes y parametrias necesarias a fin de generar eficiencias de acuerdo a las necesidades actuales de crecimiento del segmento Pymes.</t>
  </si>
  <si>
    <t>Requerimos ajustes técnicos en la herramienta CAP Pymes para poder identificar el segmento clásico Pymes, posteriormente realizar ajustes de parametría que permitan atender diferencialmente este segmento, de acuerdo a las eficiencias en el proceso solicitadas en este documento</t>
  </si>
  <si>
    <t>Los tiempos de respuesta del nuevo segmento clásico y vendor no estarían alineados con los Ans esperados para este nuevo segmento,
 La cuota de participación de este segmento no alcanzaría los presupuestos definidos para el segmento de las pymes.</t>
  </si>
  <si>
    <t>SDATOOL-39834</t>
  </si>
  <si>
    <t>Recaudo en Línea Secretaría de Hacienda Distrital - Fase II: Solución paramétrica de recaudos para la inclusión de 7 formularios tributarios en Canales electrónicos Web y Corresponsal Bancario.</t>
  </si>
  <si>
    <t>Actualmente figuran en los canales (Móvil, CB´s, NET y Netcash) y oficinas (TF - NACAR) las opciones de pago para las facturas de Predial y Vehículo.
 A la fecha, no se encuentran en los canales (CB´s, NET y Netcash) los siguientes formularios faltantes para realizar el proceso del recaudo en línea para la Secretaría de Hacienda Distrital de Bogotá - SHD:
 1. Declaración Delineación
 2. Declaración RTE Delineación
 3. Declaración Unificado de Fondo de Pobres y Azar
 4. Declaración Anticipo Unificado de Fondo de Pobres y Azar
 5. ROP ICA 
 6. ROP RTE ICA 
 7. ROP Delineación Urbana</t>
  </si>
  <si>
    <t>Implementar convenios de recaudo de impuestos SHD para canales electrónicos BBVA NET Empresas, BBVA NET Personas y Corresponsales Bancarios, activándolos visual y paramétricamente, con el de disponerlos para la consulta y pago en línea:
 - FU del impuesto unificado de fondo de pobres, azar y espectáculos
 - FU de retención y/o anticipo del impuesto unificado de fondo de pobres, azar y espectáculos
 - Declaración Retención Impuesto de Delineación Urbana
 - Declaración Impuesto de Delineación Urbana
 - ROP Impuesto de Delineación Urbana
 - ROP Impuesto Industria y Comercio
 - ROP Retenciones Impuesto Industria y Comercio</t>
  </si>
  <si>
    <t>Vivienda digital fase III</t>
  </si>
  <si>
    <t>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t>
  </si>
  <si>
    <t>SDATOOL-39837</t>
  </si>
  <si>
    <t>Alta masiva Fase II</t>
  </si>
  <si>
    <t>Habilitar un front desde la fábrica, para el cargue de archivos de las empresas que por convenio no lo hacen por Net cash.</t>
  </si>
  <si>
    <t>paolaandrea.hermosa-bbva.com</t>
  </si>
  <si>
    <t>SDATOOL-39838</t>
  </si>
  <si>
    <t>Retargeting estructural con TRUORA tarjeta de crédito</t>
  </si>
  <si>
    <t>Crear proceso para realizar retargeting de clientes caídos en el funnel de tarjeta de crédito Open market, a través de la empresa Truora.</t>
  </si>
  <si>
    <t>SDATOOL-39839</t>
  </si>
  <si>
    <t>Fase 2 Libranza digital Front Cliente retoma y tracking</t>
  </si>
  <si>
    <t>Habilitar el proceso de retoma en canales alternos, para clientes que no contratan con éxito la libranza en canal digital.</t>
  </si>
  <si>
    <t>SDATOOL-39840</t>
  </si>
  <si>
    <t>BBVA Valores en Canales (Net Cash / Net)</t>
  </si>
  <si>
    <t>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t>
  </si>
  <si>
    <t>Los clientes de BBVA Valores no tienen la posibilidad de consultar su posición o valores invertidos en la firma comisionista. Esta estrategia busca autogestión del cliente, posicionamiento de la firma y atracción de clientes potenciales.
 Actualmente la única opción es comunicación directa con el comercial para que le brinde la información o solicitar un extracto para que le sea remitido al correo registrado</t>
  </si>
  <si>
    <t>SDATOOL-39841</t>
  </si>
  <si>
    <t>DWP Banca Pymes y Banca Personal</t>
  </si>
  <si>
    <t>Que las bancas de relación (pymes y personal) tengan disponible para la gestión comercial DWP</t>
  </si>
  <si>
    <t>Plan CRM: Nueva plataforma para disponibilizar informes de gestión para las redes</t>
  </si>
  <si>
    <t>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t>
  </si>
  <si>
    <t>rodrigo.ardila-bbva.com</t>
  </si>
  <si>
    <t>daniel.ferreira-bbva.com</t>
  </si>
  <si>
    <t>SDATOOL-39844</t>
  </si>
  <si>
    <t>Seguros - Reporte RUSS</t>
  </si>
  <si>
    <t>Identificar a través de un proceso masivo las personas naturales y jurídicas que han tenido o tienen un seguro de la Compañía, de acuerdo al reporte que descargamos en Fasecolda con el fin de dar una respuesta oportuna a sus consultas.</t>
  </si>
  <si>
    <t>carlosandres.mora-bbva.com</t>
  </si>
  <si>
    <t>SDATOOL-39870</t>
  </si>
  <si>
    <t>Front - Unificación de pantallas Contac Center</t>
  </si>
  <si>
    <t>Se requiere de una pantalla única de consulta para los call center, con el fin de obtener de manera automática la información del cliente una vez este a contactado a BBVA para solicitar información.</t>
  </si>
  <si>
    <t>william.paez-bbva.com</t>
  </si>
  <si>
    <t>SDATOOL-39871</t>
  </si>
  <si>
    <t>Cbs Gelsa Paga todo</t>
  </si>
  <si>
    <t>Conexión con el CB para 
 Depósitos
 Pago de Prestamos 
 Pago deTdC</t>
  </si>
  <si>
    <t>Ampliar Red para migración Transaccional</t>
  </si>
  <si>
    <t>mariacamila.buitrago-bbva.com</t>
  </si>
  <si>
    <t>SDATOOL-39885</t>
  </si>
  <si>
    <t>Open banking APIcrédito de vehículo</t>
  </si>
  <si>
    <t>La estrategia de Open Banking se centra en la transformación de los canales y los productos para poder ofrecer lo antes posible una oferta “Best in Class” en el mercado Proyecto Open Banking API´s- caso de uso Crédito de Vehículo, el cual tiene como objetivo integrar al concesionario o marca de vehículos directamente a la plataforma BBVA para la simulación, estudio y aprobación de crédito.</t>
  </si>
  <si>
    <t>Toda la experiencia es E2E digital desde la "View" del aliado, BBVA está por detrás con el soporte de servicios:
 1. El usuario accede a la aplicación del aliado, selecciona el vehículo y realiza solicitud para financiación 
 2. El aliado llama al API BBVA de Simulación de crédito y BBVA responde a la solicitud del servicio 
 3. API BBVA devuelve los datos de la simulación bajo los parámetros crediticios internos.
 4. Aliado muestra simulación y solicita información para estudio de viabilidad de crédito. 
 5. El usuario ingresa datos y acepta T&amp;C para consulta de buro.
 6. El aliado llama al API BBVA de financiación y BBVA ejecuta scoring y demás validaciones , responde aprobación o negación 
 7. Partner muestra aprobación (negación) envía instrucciones al cliente para continuar con el proceso.</t>
  </si>
  <si>
    <t>edgaralexander.avila-bbva.com</t>
  </si>
  <si>
    <t>SDATOOL-39888</t>
  </si>
  <si>
    <t>Proyecto - Evolutivo Sarlaft - Mejoras controles aplicativos</t>
  </si>
  <si>
    <t>Realizar ajustes y mejoras a los procesos de regulación interna y control que se les aplica a los clientes y/o potenciales clientes de la organización.</t>
  </si>
  <si>
    <t>Con motivo de realizar el fortalecimiento a los diferentes controles implementados desde cumplimiento se requiere implementar algunas mejoras en los procesos de alta y modificación de los clientes, captura de información relacionada con PEP, validación de identidad y procesos de RBA.</t>
  </si>
  <si>
    <t>Este proyecto atiende el decreto 830 en materia de PEP, el cual si no se cumple puede ocasionar sanciones por parte del regulador.</t>
  </si>
  <si>
    <t>Regulatory &amp; Supervisors; Internal Control &amp; Operational Risk</t>
  </si>
  <si>
    <t>SDATOOL-39892</t>
  </si>
  <si>
    <t>Firma Digital</t>
  </si>
  <si>
    <t>Herramienta corporativa que se denomina Portal de Firmas a través de la cual tanto el banco como los clientes podrán firma de manera digital los diferentes contratos y documentos para la contratación y/o modificaciones o actualizaciones de los mismos. Esta herramienta se complementa con un gestor documental con el cual se podrá contar con carpetas por cliente por producto donde se almacenarán los documentos firmados y requeridos para la contratación de los productos.
 https://drive.google.com/drive/folders/19ZQfacTPZH8YGW3IkmR2xgql2PHF_zIR?usp=sharing</t>
  </si>
  <si>
    <t>Actualmente banco como Bancolombia, Davivienda, Bogotá y Occidente cuenta con alternativas para que
 los clientes realicen la firma de sus documentos de manera digital, no se cuenta para todos los contratos,
 sino para unos específicos los que nos podrían con una ventaja competitiva en experiencia del cliente dado
 que cuando se encuentren implementados el 100% de los contratos y documentos el cliente no tendrá que
 dirigirse a una oficina para la firma de sus documentos o el ejecutivo comercial, Gerente de Cuenta, Gerente
 Transaccional tampoco tendrá que realizar ningún tipo de logística para la consecución de documentos.</t>
  </si>
  <si>
    <t>SDATOOL-39893</t>
  </si>
  <si>
    <t>PLATAFORMA DIMENSION - PLAN CORRECTOR 1 - DESEMBOLSOS</t>
  </si>
  <si>
    <t>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
 Este desarrollo cobijaría TODAS las operaciones que actualmente se desembolsan en esta plataforma
 (Dimension)</t>
  </si>
  <si>
    <t>SDATOOL-39894</t>
  </si>
  <si>
    <t>PLATAFORMA DIMENSION - PLAN CORRECTOR 2- PAGOS</t>
  </si>
  <si>
    <t>1. Definir todos los canales y formas de pago que pueden utilizar los clientes del producto Factoring
 2. Desarrollar en la plataforma Dimension todas las combinaciones canal-forma de pago para las diferente
 líneas de Factoring (Confirming, LT y DTV)
 Este desarrollo cobijaría TODAS las operaciones que actualmente están activas y reciben pagos en esta
 plataforma (Dimension)
 El estado ideal es que el proceso, que es masivo y de altos valores, no se realice en forma manual, como
 hoy, con los riesgos operacionales asociados. Desarrollar las Tx para que el cliente realice el pago en forma
 directa a su operación (sin manualidades) y que los pagos queden aplicados en línea (de acuerdo al tipo de
 pago)</t>
  </si>
  <si>
    <t>lilianavictoria.rivera-bbva.com</t>
  </si>
  <si>
    <t>SDATOOL-39895</t>
  </si>
  <si>
    <t>PRODUCTO AGROFACTORING</t>
  </si>
  <si>
    <t>Variante del producto Factoring (cualquiera de la líneas pero especialmente Confirming) que
 difiere de la línea normal en la medida en que las operaciones se fondean con recursos de cartera
 sustitutiva de FINAGRO
 El proyecto requiere que se puedan fondear las operaciones con los recursos de cartera sustitutiva
 (Subproducto y contabilización) y que se pueda generar la reportería necesaria y requerida por FINAGRO (y
 también seguimientos internos)
 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
 Clientes: Clientes de la cadena de valor de AGRO (productores, transformadores, comercializadores y empresas de apoyo) que requieran financiación por líneas de Factoring</t>
  </si>
  <si>
    <t>Este producto es ofrecido por el Banco AV Villas y por las financieras DANN Regional y Coltefinanciera.
 Vemos oportunidad de crecimiento en la facturación con este producto.</t>
  </si>
  <si>
    <t>SDATOOL-39896</t>
  </si>
  <si>
    <t>DCC en ATM</t>
  </si>
  <si>
    <t>Es la funcionalidad que le permitirá a usuarios extranjeros retirar efectivo en su propia moneda. Por ese servicio el banco cobra una comisión al usuario y además gana por el margen del tipo de cambio</t>
  </si>
  <si>
    <t>Generación de ingresos al banco por concepto de comisión cobrada</t>
  </si>
  <si>
    <t>Pricing Preaprobados</t>
  </si>
  <si>
    <t>Esta iniciativa busca poder aumentar la colocación de nuevos créditos pre aprobados para pymes, al generar precios acorde a las características de los clientes.</t>
  </si>
  <si>
    <t>SDATOOL-39900</t>
  </si>
  <si>
    <t>Reporte mensual # clientes JVs Colombia</t>
  </si>
  <si>
    <t>Contexto: 
 Desde el equipo de partnerships trabajamos con diferentes aliados y en ocasiones requerimos que estos aliados nos compartan sus bases de datos para realizar diferentes estudios al interior del banco, tal como lo revisamos en la reunión que tuvimos semanas atrás para el caso de StudioF.
 Actualmente se requiere recibir información de los siguientes aliados:
 RCI: al ser una JV del grupo, dentro de los informes de seguimiento que debemos reportar a holding mensualmente se incluye la información de los clientes de RCI, para lo que el equipo de data a quién copió necesita recibir de parte de RCI tipo de documento, número de documento y una marca (SI/NO) si el cliente tiene saldo.
 Movistar money: al ser una JV del grupo, dentro de los informes de seguimiento que debemos reportar a holding mensualmente se incluye la información de los clientes de RCI, para lo que el equipo de data a quién copió necesita recibir de parte de RCI tipo de documento, número de documento y una marca (SI/NO) si el cliente tiene saldo.
 Prosegur: es un aliado para la venta de crédito de consumo, pero con el objetivo de desarrollar una estrategia de crédito y riesgo acordé a los clientes de prosegur es necesario que el aliado nos comparta número de documento, Queproducto que compró con prosegur y fecha de compra de la alarma.</t>
  </si>
  <si>
    <t>SDATOOL-39908</t>
  </si>
  <si>
    <t>Hacking ético continuo con robots</t>
  </si>
  <si>
    <t>Identificar y validar automáticamente las vulnerabilidades en los sistemas de información comunes y los componentes relacionados, como los sitios web, las bases de datos, las redes, los sistemas operativos y las aplicacione, a través de la realización de un análisis de contraseñas
 débiles, el análisis de puertos, etc, y posteriormente su respectiva remediación. La aplicación es capas de realizar las pruebas de pentest o Hacking Ético en tiempos cortos (horas o días) dependiendo el alcance, fovoreciedno los tiempos de salida a producción d elos nuevos productos y/o aumentando los periodos de ejecución de Hacking Ético sobre las aplicaciones e infraestructura ya instalada.</t>
  </si>
  <si>
    <t>Contratar el servicio de RidgeBot como paquete de software, que se pueda instalar en un entorno de máquina virtual para identificar y validar automaticamente las vulnerabilidades sobre nuevas iniciativas o bien sobre las aplicaciones e infraestructura que se encuentra actualmente instalada en los diferentes ambientes de BBVA</t>
  </si>
  <si>
    <t>SDATOOL-39921</t>
  </si>
  <si>
    <t>Mejoras cuenta en línea BBVA Móvil</t>
  </si>
  <si>
    <t>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t>
  </si>
  <si>
    <t>SDATOOL-39923</t>
  </si>
  <si>
    <t>MIGRO FASE II. TRANSFORMACIÓN DE LOS CIRCUITOS DE CAPTURA Y TRATAMIENTO DE LAS PÉRDIDAS OPERACIONALES - COLOMBIA</t>
  </si>
  <si>
    <t>Determinar el modelo de solución para la sustitución de las herramientas utilizadas para la gestión de perdidas operacionales (SIRO) en Colombia.
 Esta iniciativa pertenece a la Fase III del proyecto General</t>
  </si>
  <si>
    <t>El objetivo del proyecto es evolucionar de la situación actual de tener múltiples herramientas locales y corporativas para la gestión del riesgo operacional hacia un esquema mas racional en base a una única solución para todo el grupo. El proyecto se divide en 3 fases de las cuales las 2 primeras ya se encuentran finalizadas.
 Fase 3: Valorar la incorporación de las perdidas operacionales a esta herramienta con el objetivo de poder unir los riesgos potenciales con los eventos reales que ocurren en el país.</t>
  </si>
  <si>
    <t>edgar.hernandez-bbva.com</t>
  </si>
  <si>
    <t>SDATOOL-39944</t>
  </si>
  <si>
    <t>Fiduciaria - Requerimientos Legales y Normativos 2022</t>
  </si>
  <si>
    <t>Implementación de los Requerimientos Normativos y Legales exigidos por los entes de Vigilancia y Control 
 1-) Resolución 000167 de 2021 Documento soporte Electrónico
 2-) Beneficiarios Finales y SIESPJ Resolución 00164 de 2021</t>
  </si>
  <si>
    <t>julioenrique.ramos-bbva.com</t>
  </si>
  <si>
    <t>Automatización de transmisión de información entre Datio y los Canales de Gestión (SFMC, DWP, AUG) para Leads, Campañas y Journeys</t>
  </si>
  <si>
    <t>Modelo de datos para journeys automáticos</t>
  </si>
  <si>
    <t>paulajimena.cely-bbva.com</t>
  </si>
  <si>
    <t>SDATOOL-40003</t>
  </si>
  <si>
    <t>Resolución 0124 DIAN 2021 - Créditos Hipotecarios para remodelación de Vivienda</t>
  </si>
  <si>
    <t>Acorde a la norma y los conceptos emitidos por la DIAN es necesario que el BBVA separé los Certificados Hipotecarios de Remodelación y emita un documento independiente donde se discrimine:
 a) El monto original del préstamo;
 b) El saldo a 31 de diciembre del año gravable; 
 c). El saldo a 31 de diciembre del año anterior; 
 d) El total pagado por todo concepto;
 e) La suma deducible conforme al artículo anterior.</t>
  </si>
  <si>
    <t>Generar los certificados tributarios por Créditos Hipotecarios de Remodelación acorde al concepto No. 100208192-586 del 16 de diciembre de 2021 emitido por la DIAN donde se precisar que con base en lo establecido en el artículo 126-4 del estatuto tributario y el artículo 1.2.4.1.12 del Decreto 1625 de 2016 los eventos que no se enmarquen dentro de la citada norma no tendrán beneficio tributario, es decir los créditos de remodelación no se encuentran cobijados por la norma al no corresponder a un préstamo para adquisición de vivienda.</t>
  </si>
  <si>
    <t>SDATOOL-40012</t>
  </si>
  <si>
    <t>Fiduciaria - Obsolecencia aplicativa para los módulos de rendición de cuentas, Telefónica Factoring y EEFF</t>
  </si>
  <si>
    <t>Implantación de las actualizaciones de los módulos EEFF , Factoring, Rendición de cuentas, Transmisiones</t>
  </si>
  <si>
    <t>SDATOOL-40036</t>
  </si>
  <si>
    <t>Migración Data Center ECP</t>
  </si>
  <si>
    <t>El proyecto Migración Data Center ECP(Employee Central Payroll) SAP 2022, se debe realizar para hacer las configuraciones en el router de SAP necesarias, para que la conexion con el Data Center de ECP sea efectiva, ya que con el cambio de infraestructura que se esta haciendo en la compañia de SAP el Data Center actual dejara de funcionar</t>
  </si>
  <si>
    <t>Dado que SAP está en un proceso de renovación de su infraestructura, se nos informó la necesidad de hacer las configuraciones necesarias para que la migración del datacenter ECP (Employee Central Payroll) no afecte las integraciones que se hacen actualmente.</t>
  </si>
  <si>
    <t>nelsonleonel.fonseca-bbva.com</t>
  </si>
  <si>
    <t>SDATOOL-40062</t>
  </si>
  <si>
    <t>Implementación FGA en flujos de contratación digital</t>
  </si>
  <si>
    <t>Integrar a los procesos de contratación digital, la conexión con el fondo de garantías de Antioquia, para mejorar los % de aprobación de riesgos y abrir más nichos de mercado. Inicialmente, se integrará al de crédito en punto de venta del aliado</t>
  </si>
  <si>
    <t>Open Banking as a way to help business units to grow either by enhancing our distribution network (increasing sales and reaching new clients and customers from third-party ecosystems) or by improving our current offer, adding third-party services to our platforms and increasing efficiency with enterprise clients.</t>
  </si>
  <si>
    <t>SDATOOL-40064</t>
  </si>
  <si>
    <t>Member get member cuenta en línea</t>
  </si>
  <si>
    <t>Crear un módulo de referidos e incentivos, en el proceso de contratación de cuenta en línea</t>
  </si>
  <si>
    <t>SDATOOL-40075</t>
  </si>
  <si>
    <t>Bancas de Gestión</t>
  </si>
  <si>
    <t>Este proyecto busca desagregar la información por bancas de gestión asegurando su confiabilidad</t>
  </si>
  <si>
    <t>- Separar la contabilidad de la gestión
 - Tener PyG y Balance por segmentos desde Origen
 - Asegurar la información re-segmentada en tiempo real
 - Crear nuevo proceso de segmentación en procesos del Banco (driver parametrizables)
 - Calcular la banca gestión desde la admisión.</t>
  </si>
  <si>
    <t>edgar.silva-bbva.com</t>
  </si>
  <si>
    <t>- Carencia de oportunidad en los informacionales para seguimiento al negocio
 - Anclamos la gestión de negocio y los informes en el centro de costo / contable
 - Tiempo excedido en los reprocesos y excesiva manualidad en procesos legacy
 - Falta de información oportuna hacia negocio, con los nuevos ejes de Segmentos.</t>
  </si>
  <si>
    <t>SDATOOL-40078</t>
  </si>
  <si>
    <t>Infraestructura reportes regulatorios II</t>
  </si>
  <si>
    <t>SDATOOL-40191</t>
  </si>
  <si>
    <t>Ajuste apuntes manuales CC0112 – GPS</t>
  </si>
  <si>
    <t>Ajustar el centro de costos de los pagos a proveedores al centro de costos 0112 en el aplicativo GPS, con el fin de minimizar la carga operativa que se genera actualmente en la red de oficinas y el área financiera con los apuntes manuales diarios al lanzar los pagos a proveedores.</t>
  </si>
  <si>
    <t>1. Mayor productividad en el área financiera y la red de oficinas.
 2. Minimizar la generación y anulación de cheques diariamente en la red de oficinas.
 3. Mayor fidelidad de la información al no generarse manualidad en la operativa.
 4. Menor tiempo en el cierre de contrapartidas del pago a proveedores, disminuyendo las penalizaciones en el SAO de las oficinas.</t>
  </si>
  <si>
    <t>Manualidades en procesos diarios</t>
  </si>
  <si>
    <t>SDATOOL-40193</t>
  </si>
  <si>
    <t>Proceso archivos cámara cierre diario - Diálogo</t>
  </si>
  <si>
    <t>Minimizar los errores presentados en la Contabilidad al momento en que no llega el archivo de cámara al aplicativo diálogo, además de la carga operativa en las áreas de Ingeniería y de Certificación y Contabilidad de Mercados.</t>
  </si>
  <si>
    <t>1. Tener la información contable al día correspondiente. 
 2. Minimizar la operativa manual que se realiza en las áreas de Ingeniería y de Certificación y Contabilidad de Mercados cuando el archivo de cámara no alcanzó a ingresar en la contabilidad anterior 3. Mayor fidelidad de la información al no generarse manualidad en la operativa.</t>
  </si>
  <si>
    <t>SDATOOL-40220</t>
  </si>
  <si>
    <t>Encuesta percepción Red</t>
  </si>
  <si>
    <t>Desarrollar una encuesta tipo IRENE con el objetivo de poder valorar la experiencia de la red de oficinas frente a los servicios y atención prestada por parte de áreas centrales (Client Solutions, Riesgos, T&amp;C, Ingenieria)</t>
  </si>
  <si>
    <t>SDATOOL-40225</t>
  </si>
  <si>
    <t>Resolución 0124 Dian - 2021 - Ajustes para Reporte de Información Exógena año gravable 2022 - Ciclo 1</t>
  </si>
  <si>
    <t>Ajustar procesos requeridos para la generación y reporte de la información exógena a la DIAN para el año gravable 2022 de acuerdo a lo dispuesto en la Resolución 0124 DIAN del año 2021.</t>
  </si>
  <si>
    <t>Cumplimiento de la normativa fiscal vigente para la información exógena que se debe reportar a la DIAN por el año gravable 2022.</t>
  </si>
  <si>
    <t>SDATOOL-40228</t>
  </si>
  <si>
    <t>Seguros - Actualización Aplus</t>
  </si>
  <si>
    <t>dar cumplimiento a lo establecido en la Ley 100 de 1993 y demás normas que la modifican sustituyen o complementen, dado a que el aplicativo actual esta obsoleto.</t>
  </si>
  <si>
    <t>SDATOOL-40242</t>
  </si>
  <si>
    <t>Fiduciaria - Obsolescencia software Base aplicativo MIDAS</t>
  </si>
  <si>
    <t>Realizar upgrade de aplicación MIDAS Mayo/2021 a Mayo/2022 y Upgrade de motor de BD de Oracle 12c a Oracle 19c</t>
  </si>
  <si>
    <t>SDATOOL-40256</t>
  </si>
  <si>
    <t>Auditoría Apuntes Manuales Contables Logs Notas Contables C-015</t>
  </si>
  <si>
    <t>Diseñar y desarrollar un Log para el Módulo Notas Contable, asegurando el registro de eventos y trazabilidad de las operaciones gestionadas.</t>
  </si>
  <si>
    <t>Diseñar y desarrollar para el Módulo de Notas Contables el Log de auditoria, el cual debe cumplir con las directrices del documento rector Diseño Estándar de Logs.</t>
  </si>
  <si>
    <t>No existen Logs que establezcan una línea base de información que cubra las necesidades de auditoría y trazabilidad de todos los eventos realizados por los usuarios /incumplimiento de las normas del banco y posibles sanciones por el regulador local.</t>
  </si>
  <si>
    <t>SDATOOL-40257</t>
  </si>
  <si>
    <t>Fiduciaria - Compra sillas</t>
  </si>
  <si>
    <t>Realizar un contrato de acuerdo de precios por 6 meses, con el cual se pueda suplir de forma rápida y efectiva cualquier necesidad a nivel de sillas operativas para funcionarios que lo requieran para el
 desempeño de sus labores en la modalidad Home Office.</t>
  </si>
  <si>
    <t>Posibles demandas y quejas de funcionarios cuyas labores se desempeñen en Home Office que requieran el suministro de la silla.</t>
  </si>
  <si>
    <t>SDATOOL-40258</t>
  </si>
  <si>
    <t>SimSwap</t>
  </si>
  <si>
    <t>Generar la capacidad para BBVA de consultar cuales clientes han tenido simswap, cambio de correo electrónico o presentan puntaje de riesgo.</t>
  </si>
  <si>
    <t>Mitigar el aumento significativo en los casos de fraude por medio de suplantación Sim Swap /la iniciativa permite identificar por medio del proveedor los clientes que realizaron dicho cambio de esta forma dar una respuesta operativa dentro de algunos procesos de BBVA móvil/ Reducir los pagos de fraude por parte del Banco por esta casuistica.</t>
  </si>
  <si>
    <t>SDATOOL-40265</t>
  </si>
  <si>
    <t>GRM Col -Next Generation Analytics (NGA) - Colombia</t>
  </si>
  <si>
    <t>Next Generation Analytics (NGA) es un proyecto cuyo objetivo es transformar infraestructuras de datos y formas de trabajo para optimizar el E2E del proceso de desarrollo de modelos de calificación de carteras Retail y Wholesale consiguiendo reducir el Time-to-Market del E2E de modelos, introducir nuevas metodologías en el desarrollo de modelos y realizar seguimiento dinámico de los modelos.</t>
  </si>
  <si>
    <t>Actualmente el E2E del proceso de desarrollo de modelos conlleva tiempos dilatados especialmente en la fase de desarrollo para la generación de la base de datos necesaria de cara a la modelización así como en la fase de productivización del modelo. Adicionalmente, existen ciertas sinergias entre la fase de desarrollo e implantación que pueden ser optimizadas y se precisa que el seguimiento de los modelos sea dinámico para poder adaptar los modelos según su capacidad discriminante comienza a reducirse.</t>
  </si>
  <si>
    <t>jaime.trujillo-bbva.com</t>
  </si>
  <si>
    <t>Transformative Credit Risk Modeling</t>
  </si>
  <si>
    <t>SDATOOL-40268</t>
  </si>
  <si>
    <t>CLASIFICACION DE TIPO DE PRODUCTOR -CIRCULAR 48 FINAGRO</t>
  </si>
  <si>
    <t>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t>
  </si>
  <si>
    <t>SDATOOL-40269</t>
  </si>
  <si>
    <t>Actualización y transmisión Declaraciones de Cambio – Banco de la República Abril 2022.</t>
  </si>
  <si>
    <t>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t>
  </si>
  <si>
    <t>SDATOOL-40274</t>
  </si>
  <si>
    <t>CIRCULAR 033 de 2021-SFC</t>
  </si>
  <si>
    <t>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t>
  </si>
  <si>
    <t>SDATOOL-40295</t>
  </si>
  <si>
    <t>Tokenización COF</t>
  </si>
  <si>
    <t>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t>
  </si>
  <si>
    <t>No cumplir con el mandatorio.</t>
  </si>
  <si>
    <t>SDATOOL-40300</t>
  </si>
  <si>
    <t>Seguros - Reintegro automático a tarjetas crédito</t>
  </si>
  <si>
    <t>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 estableciendo a través de débito automático el reintegros de primas y los conceptos imputados al momento del cobro (valor de prima, IVA) sean reversados. Reflejando los debidos movimientos en los diferentes aplicativos y con las afectaciones contables correspondientes tanto para el cliente como las cuentas de la aseguradora y/o banco.</t>
  </si>
  <si>
    <t>SDATOOL-40303</t>
  </si>
  <si>
    <t>Licitación Contact center</t>
  </si>
  <si>
    <t>OBJETIVO: Dar cumplimiento a las políticas de compras para la licitación de proveedores que prestan los servicios de contar center.</t>
  </si>
  <si>
    <t>Valoración, revisión y VB de los contratos y anexos con cada una de las áreas del banco, que se requiera intervención en el proceso de licitación de los nuevos proveedores del contact center.</t>
  </si>
  <si>
    <t>leonardo.jimenez-bbva.com</t>
  </si>
  <si>
    <t>SDATOOL-40382</t>
  </si>
  <si>
    <t>NUEVA Eliminar el PAN ( Orange 1.0)</t>
  </si>
  <si>
    <t>Esta iniciativa nace para dar cumplimiento al proyecto global de Orange 1.0, en el cual consiste en emitir las tarjetas sin los datos sensibles visibles en el anverso de la tarjeta, se entiende como datos sensibles (16 dígitos de la tarjeta, Nombre del tarjetahabiente, CVV y fecha de vencimiento).</t>
  </si>
  <si>
    <t>johnbayron.zambrano-bbva.com</t>
  </si>
  <si>
    <t>SDATOOL-40383</t>
  </si>
  <si>
    <t>Procesamiento Nuevas Franquicias</t>
  </si>
  <si>
    <t>Recibir de las redes las transacciones de otras marcas (Diners, Nequi, Daviplata) en la compensación y abonarlas a los comercios</t>
  </si>
  <si>
    <t>SDATOOL-40384</t>
  </si>
  <si>
    <t>Cobrar intereses corrientes entre la transacción y la pre-cancelación</t>
  </si>
  <si>
    <t>Implementación de liquidación y cobro de intereses para la compras programadas a un diferido mayor a 1 cuota pero que son pre-canceladas en la cuota numero uno</t>
  </si>
  <si>
    <t>SDATOOL-40385</t>
  </si>
  <si>
    <t>Cobrar interés moratorio desde el primer día de atraso</t>
  </si>
  <si>
    <t>Implementación de liquidación y cobro de intereses moratorio desde el primer día de pago para todo los clientes que no realicen pago de la tarjeta de crédito por medio de Pago interbancario.</t>
  </si>
  <si>
    <t>SDATOOL-40395</t>
  </si>
  <si>
    <t>Back Office Veridas</t>
  </si>
  <si>
    <t>Implementar una consola que permita la consulta del expediente digital (Imágenes capturadas en el proceso de enrolamiento de Veridas) de los clientes que solicitan productos. Las imágenes se deben almacenar en un expediente digital durante al menos 10 años según lo indicado por la SFC.
 Usar la funcionalidad Dasfacebon para tener un black list de rostros de defraudadores.
 Disponer de un equipo back office que gestione la consola Veridas.</t>
  </si>
  <si>
    <t>Los expedientes digitales se requieren para soportar a los clientes la solicitud y activación de productos, de no existir se genera incumplimiento a normativa legal 029 de la SFC y nos exponemos a sanciones del regulador. Sin expediente digital no se puede garantizar el pleno conocimiento del cliente, Normativa sarlaft ley 2157 del 29/10/2021 de Habeas Data que modifica y adiciona algunos apartes a la Ley 1266 de 2008, fortaleciendo el derecho al habeas data y como quiera que, en su Artículo 7°.</t>
  </si>
  <si>
    <t>SDATOOL-40406</t>
  </si>
  <si>
    <t>Plan Mejora recobro de incapacidades</t>
  </si>
  <si>
    <t>Desarrollo un autoservicio para el registro de incapacidades con el fin de realizar la respectiva validación en fecha de registro y fecha de ausentismo y poder realizar la conciliación correspondiente en cuanto a la cuentas por cobrar a la EPS.</t>
  </si>
  <si>
    <t>Este desarrollo tiene como motivo el poder conciliar los días de ausentismo por incapacidad y poder realizar el cobro correspondiente a las EPS de esta forma asegurando el valor que debe asumir la EPS por incapacidad y no el banco.</t>
  </si>
  <si>
    <t>fabio.camelo-bbva.com</t>
  </si>
  <si>
    <t>jesusalejandro.moreno-bbva.com</t>
  </si>
  <si>
    <t>armandorafael.vasquez.altamar-bbva.com</t>
  </si>
  <si>
    <t>Seguiríamos impactados en el cobro de cartera de las EPS, así como en las cuentas por cobrar y por pagar con tiempos mayores a 180 días.</t>
  </si>
  <si>
    <t>SDATOOL-40407</t>
  </si>
  <si>
    <t>Envío de información sensible entes internos y externos</t>
  </si>
  <si>
    <t>Verificar la viabilidad de realizar o contratar una herramienta que permita el envío de información de sensible entre entes internos y externos.</t>
  </si>
  <si>
    <t>Cumplir al 100% con la normativa actual de seguridad de la información sensible o confidencial. De no poder compartir información de acuerdo a la norma.</t>
  </si>
  <si>
    <t>andreajulieth.perez-bbva.com</t>
  </si>
  <si>
    <t>SDATOOL-40408</t>
  </si>
  <si>
    <t>GRM Col - Reporte de intereses de crédito empleado en endeudamiento</t>
  </si>
  <si>
    <t>Reporte de saldos de intereses corrientes y moratorios de los préstamos empleados (producto 96 y 97) que reporten capital a la cuenta 1414 de empleados en las interfaces de endeudamiento (los campos ya existen)
 MENSUAL: GOF.GSC.FW02 en los campos: VR_INT_CTE, VR_MORA
 VR_INT_CTE posición 131
 VR_MORA posición 179
 SEMANAL y DIARIO: GOF.S0011.RVAD192.F&amp;fecha..RD001.FM02 en los campos: VR_INT_CTE, VR_MORA
 VR_INT_CTE posición 131
 VR_MORA posición 179
 Disciplina: Risk Strategy &amp; Develop &amp; BEx</t>
  </si>
  <si>
    <t>Asegurar que haya consistencia en la información de los préstamos empleados entre el endeudamiento y los estados financieros, garantizando el reporte correcto a entes de control.</t>
  </si>
  <si>
    <t>La no implementación del proyecto traeria sanciones regulatorias por ser un tema normativo de la SFC al no coincidir la información registrada en los estados financieros con los reportes de endeudamiento de los créditos empleados.</t>
  </si>
  <si>
    <t>SDATOOL-40409</t>
  </si>
  <si>
    <t>Quick wins tarjeta de crédito OM</t>
  </si>
  <si>
    <t>El equipo de quick wins es un equipo de especialistas en el lenguaje de desarrollo Cells, orientados a realizar mejoras sobre el front de los funnels digitales, en pro de acelerar mejoras visuales sobre los funnels, pasar a producción experimentos ganadores que permiten la mejora en la tasa de conversión de los funnels y hacer implementaciones de tags de medición que permitan tener un nivel de detalle mayor al actual.</t>
  </si>
  <si>
    <t>SDATOOL-40414</t>
  </si>
  <si>
    <t>Conciliación adquirencia plus</t>
  </si>
  <si>
    <t>Permitir la entrega de la información (numero de autorización) del recaudo adquirente de los archivos de conciliación SWIFT MT940 Y MULTICASH SAP de manera parametrizable en el taller de producto.</t>
  </si>
  <si>
    <t>Porque los clientes no pueden contrastar las operaciones adquirentes siendo esta (# de autorización) la llave de conciliación que permitirá la conciliación de todos los clientes que utilizan estos formatos de archivos para sus procesos de contabilidad y tesorería.</t>
  </si>
  <si>
    <t>SDATOOL-40433</t>
  </si>
  <si>
    <t>Actualización de tarifas y desarrollos Multicompañía -Seguros</t>
  </si>
  <si>
    <t>El objetivo es permitir de manera paramétrica en nácar y vivienda digital los cambios en tarifas de seguros vida grupo deudores e Incendio y Terremoto asociados a los créditos de vivienda que se licitan cada 2 años de acuerdo a la norma establecida y que próximamente se adjudicará.
 Así mismo se debe convertir los desarrollos en multicompañias que permitan adecuar cambios en reportería, cobros, comisiones, sigdoc, CAP en caso de que haya cambio de compañía aseguradora, todos los campos deben ser parametrizables.</t>
  </si>
  <si>
    <t>sandramilena.rodriguez.romero-bbva.com</t>
  </si>
  <si>
    <t>SDATOOL-40435</t>
  </si>
  <si>
    <t>Cuota Segura créditos de libranza</t>
  </si>
  <si>
    <t>Ofrecer a los clientes del producto libranza la opción de contratar un producto de seguro libre el cual será cobrado como descuento en la nómina del convenio.</t>
  </si>
  <si>
    <t>Se ve como una oportunidad para ofrecer a la libranza un seguro asociado que permita el cobro desde el descuento de la nómina.</t>
  </si>
  <si>
    <t>andresfelipe.fuentes-bbva.com</t>
  </si>
  <si>
    <t>Fiduciaria - Tagging Open market Fondos de Inversion</t>
  </si>
  <si>
    <t>Realizar la categorizacion, medicion y mejora de las ventas del nuevo canal para alta de fondos de no clientes.</t>
  </si>
  <si>
    <t>SDATOOL-40438</t>
  </si>
  <si>
    <t>CIRCULAR 032 del 2021 - REQUERIMIENTO FISCALIA GENERAL DE LA NACION</t>
  </si>
  <si>
    <t>Atender requerimiento normativo, elaboración de 8 formatos anexos a la circular, relacionados con peticiones de información específica y confidencial de clientes por parte de la Fiscalia General de la Nacion sobre transacciones realizadas por los clientes en los diferentes prodcutos (Cuentas, préstamos, tarjetas de crédito, moneda extranjera, cheques y operaciones en efectivo) para atención de temas de fraude y reclamos de clientes.</t>
  </si>
  <si>
    <t>Mejorar la operativa, eliminando riesgos que son una potencial pérdida para el banco a través del aseguramiento de los procesos y la custodia efectiva de información</t>
  </si>
  <si>
    <t>john.lozada-bbva.com</t>
  </si>
  <si>
    <t>fabio.buitrago-bbva.com</t>
  </si>
  <si>
    <t>Si no se automatiza incurrimos en: Sanciones por incumplimiento de ANS en la atención a peticiones de la Fiscalia, imposibilidad operativa para solicitudes de alto volumen</t>
  </si>
  <si>
    <t>SDATOOL-40442</t>
  </si>
  <si>
    <t>M4M - Tokenización Mastercard</t>
  </si>
  <si>
    <t>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t>
  </si>
  <si>
    <t>No cumplir con el mandato</t>
  </si>
  <si>
    <t>SDATOOL-40450</t>
  </si>
  <si>
    <t>Automatización redenciones jurídicas</t>
  </si>
  <si>
    <t>Contexto: Actualmente las redenciones jurídicas se realizan mediante la transmisión de un archivo, a través de Tantia, el cual realiza la resta de los puntos acumulados en las tarjetas vinculadas a un programa de lealtad y el reconocimiento del beneficio equivalente a través de un cashback. Sin embargo este proceso actualmente está afectando contablemente (como gasto) la cuenta de incentivos otorgados por las franquicias, la cual se destina para otros fines dentro de la gestión de medios de pago.
 Propuesta: Generar el correspondiente ajuste, al proceso existente para redenciones de clientes jurídicos, de manera que realice la correcta contabilización a cuentas destinadas para gastos de lealtad.</t>
  </si>
  <si>
    <t>-Corrección al proceso contable generado por redenciones jurídicas
 -Optimización y correcto uso de los recursos aportados por las franquicias para campañas y promociones
 -Atención oportuna y mejora de la experiencia del cliente considerando se contará con una provisión adecuada para atender procesos de redención</t>
  </si>
  <si>
    <t>alirio.bermudez-bbva.com</t>
  </si>
  <si>
    <t>Incumplimiento de la promesa de valor a clientes jurídicos y con ello el no materializar un beneficio del producto,</t>
  </si>
  <si>
    <t>SDATOOL-40455</t>
  </si>
  <si>
    <t>Comisión porcentaje compras internacionales Mastercard y Visa Fase 2</t>
  </si>
  <si>
    <t>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t>
  </si>
  <si>
    <t>No contar con el ajuste contable</t>
  </si>
  <si>
    <t>SDATOOL-40457</t>
  </si>
  <si>
    <t>SENDA (Base)</t>
  </si>
  <si>
    <t>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t>
  </si>
  <si>
    <t>Transform our global platforms focusing on digital products and our web channel for Enterprises (SENDA).</t>
  </si>
  <si>
    <t>SDATOOL-40462</t>
  </si>
  <si>
    <t>Ajustes en archivo de conciliación de Adquirencia fines de semana cliente D1</t>
  </si>
  <si>
    <t>Separar los archivos de conciliación de Adquirencia del fin de semana para que el aplicativo de Net cash los procese de manera individual para el cliente D1 (KOBA) y para algunos otros clientes que presenten esta misma novedad con el alto volumen transaccional, el sistema debe tener la capacidad de soportar la cantidad de transacciones para generar en un solo archivo. Para el resto de comercios se debe seguir manejando de la manera actual. Es decir, tener las dos opciones dependiendo del cliente.</t>
  </si>
  <si>
    <t>El cliente D1 es uno de los clientes que más aporta a los ingresos de Adquirencia debido a su alto volumen transaccional de 4.500.000tx promedio / mes y proyección de crecimiento con cada nuevo punto de venta, el no hacerlo incurrimos en el riesgo de pérdida del cliente.</t>
  </si>
  <si>
    <t>SDATOOL-40465</t>
  </si>
  <si>
    <t>Aplicativo Préstamos - Ajuste para control de Uso de Sobregiros para pago Capital e Intereses</t>
  </si>
  <si>
    <t>Controlar en forma automática que NO se usen los cupos de sobregiro de los clientes para el pago de cuotas de préstamos comerciales (Capital o Intereses) ya sea que el cobro lo intenten realizar los procesos automáticos o que se esté realizando la operativa en forma manual</t>
  </si>
  <si>
    <t>Este proyecto se solicita para cerrar una acción de Auditoría originada en la normativa local (SFC) que tienen definida esta restricción</t>
  </si>
  <si>
    <t>Eventualmente podría ser sancionado el Banco</t>
  </si>
  <si>
    <t>SDATOOL-40466</t>
  </si>
  <si>
    <t>Garantía FAG</t>
  </si>
  <si>
    <t>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t>
  </si>
  <si>
    <t>Con el objetivo de crecer en la financiación de clientes medianos y pequeños de la cadena de valor Agro es necesario utilizar la Garantía FAG, para lo cual se requiere contar con los desarrollos que permitan su utilización efectiva (correcta instrumentación, gestión de cobro, etc.) y eficiente (tiempos de reserva, instrumentación fluida, etc.)</t>
  </si>
  <si>
    <t>Impacto en el crecimiento en el sector agro, pero especialmente pérdida de saldos en la financiación de Clientes Gran Productor utilizando recursos de Agrocrédito (Desinversión de TDA´s), dao que la normativa establece que a partir de enero de 2024 la facturación de Grandes Productores debe ser correspondida por un monto igual en financiación de Medianos o Pequeños Productores</t>
  </si>
  <si>
    <t>SDATOOL-40468</t>
  </si>
  <si>
    <t>Mapa de comercios adquirencia - Fase 2</t>
  </si>
  <si>
    <t>Se requiere complementar el informe de Mapa de Adquierencias con nuevos requerimientos e informacion que nos permita llevar el correcto seguimiento de negocio de Adquierencia.</t>
  </si>
  <si>
    <t>:El informe se podrá descargar por producto desde una ruta Tantia en la que se aloja mensualmente, producto lo subiría a la carpeta que tiene a disposición de las bancas y los comerciales que a su vez podrán consultarlo para identificar el estado actual del negocio con cada uno de los clientes para poder tomar decisiones de renegociación o profundización de los clientes.
 El mapa de comercios debería contener el estado actual completo de cada uno de los comercios, lo que incluye el valor de la liquidación de la tarifa de intercambio de las transacciones que son procesadas por MCCA y el valor del pago de los costos transaccionales, lo que permitiría que el derrame de los costos a las bancas se realice con base en el volumen transaccional y no se presenten diferencias entre la contabilidad del banco y los informes de reportería."</t>
  </si>
  <si>
    <t>SDATOOL-40469</t>
  </si>
  <si>
    <t>Reversión reintegros parciales Adquirencia - Ajustes de comercio LATAM</t>
  </si>
  <si>
    <t>Los comercios vinculados en el producto de adquirencia pueden solicitar por medio de la red de
 procesamiento reversiones de las transacciones ejecutadas por la operación de venta en sus comercios, en
 este caso el banco realiza el débito de la cuenta del comercio y la reintegra al banco Emisor, sin embargo,
 para algunos clientes como Latam, se requiere realizar reversiones parciales y el banco BBVA no tiene
 soporte en el aplicativo para el procesamiento de estas solicitudes, generando impactos en los procesos de
 conciliación del cliente y también en el reintegro de impuestos ante la DIAN como lo son Reteiva, reteica y
 retefuente, actualmente se tiene un promedio de 1000 solicitudes de reintegros al mes.</t>
  </si>
  <si>
    <t>Se necesita un desarrollo el cual permita replicar el mismo circuito automatico que hoy en día se utiliza para
 el proceso de reintegros total para los comercios en adquirencia y que pueda aplicar para solicitudes
 reintegros parciales, en donde se concilie el valor de la venta, valor de retes y comisiones de acuerdo a la
 petición que realiza el cliente con la red de procesamiento</t>
  </si>
  <si>
    <t>SDATOOL-40470</t>
  </si>
  <si>
    <t>Mandatorio - Prenda Electrónica</t>
  </si>
  <si>
    <t>Se espera para el 2023, la generación de una nueva reglamentación emitida por el Ministerio de Movilidad en donde las entidades financieras podemos implementar la Garantía Prenda de forma electrónica. Por lo tanto requerimos el proyecto que permita determinar los ajustes a nivel tecnológico y de procesos para implementar este nuevo tipo de garantía para el producto Vehículo Particular y aquellos productos financieros que quieran usarla como garantía.</t>
  </si>
  <si>
    <t>Contar con prenda electrónica permitirá estar a la vanguardia global en el manejo de garantías digitales para el otorgamiento de crédito para vehículo particular, entregando experiencias digitales más sencillas, rápidas y cómodas tanto para nuestros clientes, como para nuestros aliados concesionarios que venden los vehículos, quienes también requieren agilidad y sencillez en los procesos que manejan con el banco.</t>
  </si>
  <si>
    <t>rociomarcela.lopez-bbva.com</t>
  </si>
  <si>
    <t>angie.castaneda-bbva.com</t>
  </si>
  <si>
    <t>OPTIMIZACION PREAPROBADOS</t>
  </si>
  <si>
    <t>Requerimos mejorar el desarrollo en producción de Preaprobados OneClic, integrando funcionalidades, filtros y variables que permiten llegar a más clientes con una mejor experiencia.</t>
  </si>
  <si>
    <t>La facturación a través de Preaprobados participa en el 80% de la colocación de Consumo Libre, la cual se convierte en la palanca más potente para aumento de cuota de mercado.</t>
  </si>
  <si>
    <t>SDATOOL-40476</t>
  </si>
  <si>
    <t>Conexión Directa con las Franquicias Visa y Mastercard</t>
  </si>
  <si>
    <t>Se requiere realizar la conexión directa de la franquicia Visa desde nuestro procesador Redeban para Adquirencia, con el objetivo de lograr que las transacciones con tarjetas Visa que accedan a través de un POS de Redeban se enrutan directo al procesador emisor y no a CredibanCo. Con esto disminuir en un 50% los costos de procesamiento.</t>
  </si>
  <si>
    <t>SDATOOL-40477</t>
  </si>
  <si>
    <t>Onboarding digital end to end</t>
  </si>
  <si>
    <t>Mejora del flujo de contratación incluyendo el seguimiento a la instalación del POS.</t>
  </si>
  <si>
    <t>Hoy en día el flujo de Onboarding de Adquirencia está friccionado existiendo desconexión en la trazabilidad de inicio a fin, esto genera reprocesos y demoras en tiempos generando malestar en los nuevos clientes a vincular, adicional no se tiene el seguimiento final hasta la instalación del POS. Credibanco nos ofrece una solución donde debemos integrarnos a través de APIs apoyando a la vinculación de nuevos comercios.</t>
  </si>
  <si>
    <t>SDATOOL-40479</t>
  </si>
  <si>
    <t>Membresía miembro principal - Licencia Visa</t>
  </si>
  <si>
    <t>Se requiere ser miembros principales con Visa para cumplimiento de la normatividad de Visa (actualmente el Sponsor es Credibanco quien también es dueño de los Bines BBVA), se requiere hacer desarrollos en reportes, integración de Bines propios, facturas, impuestos, entre otros que se deben evaluar.</t>
  </si>
  <si>
    <t>Por cumplimiento de la normatividad de Visa y beneficios derivados.</t>
  </si>
  <si>
    <t>SDATOOL-40481</t>
  </si>
  <si>
    <t>DIAN solicitud información exógena a reportar por mandatos FNG - BBVA</t>
  </si>
  <si>
    <t>Habilitar los reportes en los sistemas para generar en forma automática el reporte que debe remitirse a la DIAN con relación a los pagos que realiza el BBVA al FNG por mandato de los clientes que utilizan ese tipo de garantías</t>
  </si>
  <si>
    <t>Posibilidad de sanciones por parte de la DIAN</t>
  </si>
  <si>
    <t>SDATOOL-40482</t>
  </si>
  <si>
    <t>Incluir tasa ponderada en Adquirencia Onboarding digital - Netcash</t>
  </si>
  <si>
    <t>En el desarrollo actual de Adquirencia onboarding digital por Netcash no existe la opción de cotizar tasa ponderada como lo hay en Adquirencia tradicional y que muchas veces es más conveniente para los clientes, lo que ocasiona una desventaja al cotizar Adquirencia por este canal.</t>
  </si>
  <si>
    <t>SDATOOL-40483</t>
  </si>
  <si>
    <t>Incluir cuenta de ahorros en Adquirencia Onboarding digital</t>
  </si>
  <si>
    <t>Se requiere incluir cuenta de ahorro con abono D+3 (parametrizable) en Adquirencia digital Netcash.</t>
  </si>
  <si>
    <t>Se requiere incluir cuenta de ahorro con abono D+3 (parametrizable) en Adquirencia digital Netcash porque el mercado pide Adquirencia en cuenta de ahorros y ya se logró la aprobación por riesgo con la condición que el abono sea D+3</t>
  </si>
  <si>
    <t>SDATOOL-40484</t>
  </si>
  <si>
    <t>Incluir franquicia Amex en Adquirencia Onboarding digital</t>
  </si>
  <si>
    <t>Incluir franquicia Amex en Adquirencia Onboarding digital porque el mercado lo tiene así como el canal tradicional. El no tenerlo tiene el riesgo de que los clientes prefieran el canal tradicional u otro Banco que si lo tiene digital</t>
  </si>
  <si>
    <t>SDATOOL-40485</t>
  </si>
  <si>
    <t>Migrar Adquirencia digital Netcash a Glomo</t>
  </si>
  <si>
    <t>La competencia tiene Adquirencia digital en la app para que los clientes PNN puedan solicitar su datáfono a través de la app del Banco.</t>
  </si>
  <si>
    <t>SDATOOL-40491</t>
  </si>
  <si>
    <t>Incluir QR entre cuentas originador (parte receptora) y tarjetas</t>
  </si>
  <si>
    <t>Incluir en el desarrollo actual de QR entre cuentas la parte receptora (originador) y pago con tarjetas.</t>
  </si>
  <si>
    <t>Incluir en el desarrollo actual de QR entre cuentas la parte receptora (originador) y pago con tarjetas como lo tiene el mercado para ser competitivos.</t>
  </si>
  <si>
    <t>SDATOOL-40494</t>
  </si>
  <si>
    <t>Control de cúmulos de seguros para todas las lineas del activo</t>
  </si>
  <si>
    <t>Ajustar el calculo de los cúmulos de seguros de acuerdo a Producto de crédito , genero del cliente , edad del cliente , numero de participantes del crédito ( aportantes ) , tasa del seguro , retribución del seguro, migración de cartera a nuevos subproductos de seguros o de crédito. Simuladores , Nacar, CAP ,Bonita, Canales ( RED, WEB, APP, CSF,ATM) ,Preaprobados.</t>
  </si>
  <si>
    <t>Situación actual: Sistema posee debilidades al realizar el cálculo automático de los cúmulos máximos para solicitar exámenes médicos a los clientes x cedula y monto , por otro lado la rigidez del mismo no permite realizar cambios de manera eficiente de acuerdo a las necesidades del mercado 
 Objetivo: Lograr que el sistema del Banco identifique el cúmulo máximo al que puede acceder el cliente, por tipo de cartera de acuerdo a los montos establecidos por licitación, a saber:
 Crédito Hipotecario, Leasing y Comercial: hasta 69 años 600 MM
 Consumo, Rotativo y Autos: hasta 69 400 MM
 Consumo, Rotativo y Autos: +70 300 MM
 Libranzas: hasta 69 500 MM
 Libranzas: +70 300 MM
 Libranzas: +72 50 MM</t>
  </si>
  <si>
    <t>SDATOOL-40495</t>
  </si>
  <si>
    <t>Proyecto Jupiter</t>
  </si>
  <si>
    <t>Se ha identificado una oportunidad de BNPL en Perú, Colombia y Chile, donde las instituciones financieras no han desarrollado de manera extensiva los pagos a plazos con MSI ("Meses Sin Intereses") en el PoS.
 Por lo que se generara una NewCo, con capital Banco (Holding) para distribuir en open market y dentro de la oferta de adquirencia del banco y Openpay. En el medio plazo, con capacidades de riesgos y fraude desarrolladas.</t>
  </si>
  <si>
    <t>Our business approach for BNPL today is different from global BNPL players, and we have limited customer growth for being focused on a:
 ○ “Merchant centric” model: Reaching customers through PoS checkout instead of a “customer centric” approach, which includes
 direct customer acquisition in the open market through digital solutions (i.e. Shopping App, BNPL App,...) and proprietary brand.
 ○ “Profitability - driven” model: Combining free-interest rate for 3M instalments subsidized by merchants with higher customer
 pricing for other terms (6 - 12M) to achieve profitability.
 ○ Traditional risk assessment model: We do not have specialized scoring models with non traditional data and high approval rates. 
  2023 
 - NewCO (Per) launched and NewCO (Colombia) (expected work staartng Q12023)
 - Revamp Loans under 2,500 eur (Spain)
 - Direct Debit on credit card (Spain)
 - BNPL Product Launch (Movistar Agreement) (Mexico);Product backlog building and deployment</t>
  </si>
  <si>
    <t>SDATOOL-40496</t>
  </si>
  <si>
    <t>Nueva parametría // Bloqueos por Impago</t>
  </si>
  <si>
    <t>Actualmente estamos evidenciando un alto volumen de clientes que no están realizando el pago de su obligación mensual, durante el plazo permitido por la entidad, afectando los indicadores de debt Payment default.
 Ahora bien, desde BBVA también vemos que en la actualidad si un cliente no realiza el pago de su tarjeta durante su fecha límite de pago, el sistema no está realizando ningún tipo de bloqueo o restricción de forma inmediata (Mientras hace el pago), si no que el sistema bloquea después del día 15 de la fecha límite de pago.
 En conclusión, si un cliente no realiza su pago cumplidamente; durante los próximos 15 días puede seguir utilizando la tarjeta... aumentando el riesgo de capacidad de pago del cliente.</t>
  </si>
  <si>
    <t>El Objetivo de esta iniciativa es poner una restricción automática "Bloqueo", al momento de evidenciar que el cliente no realizo el pago de su obligación durante su fecha límite de pago. Con este bloqueo preventivo, el cliente no podrá hacer uso de su tarjeta hasta que no realice el pago de su obligación, con esta mejora estamos evitando endeudar más a un cliente que tiene complicaciones con la capacidad de pago, y estamos blindando al banco reduciendo las tasa de morosidad.</t>
  </si>
  <si>
    <t>Cost &amp; Efficiency Optimization</t>
  </si>
  <si>
    <t>SDATOOL-40497</t>
  </si>
  <si>
    <t>Ajuste en los ATM´s propios con software MultiVendor para que genere el cobro de los Avances sin tarjeta (Visa y Master)</t>
  </si>
  <si>
    <t>Auditoria - Acción 1.1: Gestionar y solucionar en el software Multivendor, los procesos y controles que operaban en el software tradicional para el cobro de comisiones de avances sin tarjeta de crédito en ATM´s propio.</t>
  </si>
  <si>
    <t>Se identifico que actualmente los ATM´s propios con Software Multivendor, no generan el cobró de la comisión de avance sin tarjeta a los clientes</t>
  </si>
  <si>
    <t>jhonalexander.chaparro-bbva.com</t>
  </si>
  <si>
    <t>SDATOOL-40498</t>
  </si>
  <si>
    <t>Autogestión Tarjeta de Crédito en Glomo</t>
  </si>
  <si>
    <t>Iniciativa encamina en generar una mejor experiencia de cara al cliente en el producto Tarjeta de Crédito .
 Enfocada en generar a través de Glomo la autogestión de: 
  *Compra de Cartera en Glomo 
  *Redifiero del saldo total de su Tarjeta de Crédito en Glomo
 * Pago mínimo alterno en Glomo
 * Cambio de plazo de cada compra en Glomo 
 *Aumento de cupo en Glomo</t>
  </si>
  <si>
    <t>Estas iniciativas buscan garantizar y mejorar la experiencia del cliente a través del uso de las funcionalidades totales de la Tarjeta de Crédito, generando eficiencia al no tener que usar canales como el call center y las oficinas para tramites adicionales.</t>
  </si>
  <si>
    <t>andrea.orrego-bbva.com</t>
  </si>
  <si>
    <t>SDATOOL-40499</t>
  </si>
  <si>
    <t>Ajustar Rediferidos en BBVA NET</t>
  </si>
  <si>
    <t>Actualmente cuando un cliente va a realizar un rediferido, el sistema valida que en el sistema haya quedado el pago mínimo, de lo contrario este no quedaría efectuado.
 En conclusión, el rediferido no queda efectuado hasta que el cliente no haya realizado el pago mas intereses.</t>
  </si>
  <si>
    <t>El objetivo de esta solicitud es que se permita generar los rediferidos, con el saldo que tenga el cliente en el momento de la solicitud, y que el pago mínimo + intereses, no sea restricción para la ejecución de la operación.</t>
  </si>
  <si>
    <t>SDATOOL-40501</t>
  </si>
  <si>
    <t>MGM - Member Get Member</t>
  </si>
  <si>
    <t>Programa de incentivo a clientes actuales que busca a través de la referenciación de potenciales clientes la vinculacion e incremento de clientes nuevos.
 Se requiere que sea en todo el territorio nacional donde contamos con presencia.
 El proyecto tiene como objetivo generar un nuevo canal de vinculacion de clientes de todos los productos del banco de persona natural aprovechando los clientes actuales como embajadores de la marca a traves de un modelo de premios tanto para el referenciador como el referido.
 El proyecto requiere que sea 100% digital y que permita la trazabilidad de la referenciacion que realizan nuestros clientes y los premios a los cuales podria acceder por realizar esta gestion.</t>
  </si>
  <si>
    <t>Como parte de las estrategias para ganar cuota en el mercado se requiere un modelo de referidos para lograr aumentar de manera considerable la vinculacion de clientes a traves del apoyo de nuestros clientes actuales. Actualmente en otras geografias el modelo de referidos es uno de los principales originadores de nuevos clientes (Caso España)</t>
  </si>
  <si>
    <t>nelsonfelipe.medina-bbva.com</t>
  </si>
  <si>
    <t>No cumplir con el KPI</t>
  </si>
  <si>
    <t>Banking for Growth</t>
  </si>
  <si>
    <t>SDATOOL-40504</t>
  </si>
  <si>
    <t>Cuenta digital pensional</t>
  </si>
  <si>
    <t>Entregable 1 : Habilitar la apertura Cuenta pensional en web clientes y no clientes
 1) Permitir realizar el alta de una cuenta pensional a clientes y no clientes en la web, donde se identifique por el número de cedula de la persona si se encuentra o no vinculado al banco. 
 2) A los clientes vinculados se deberá solicitar el ingreso de sus credenciales (cc y clave ) como factor de autenticación y derivar al flujo propio de alta de cuenta o conectarlo con la NET y una vez ingrese con sus credenciales, se envie al flujo de alta de cuenta para cliente (el cliente debe sentir un solo proceso). 
 3) Los NO clientes deberán surtir proceso de vinculación y autenticación similar a cuenta online tradicional en app con todas las mejoras realizadas a este proceso, proceso de alta de cuenta y legalización sin necesidad de asistir a oficina. 
 4) El proceso E2E debe permitir el ingreso de un código agente vendedor para las ventas asistidas. 
 5) SI no pasa el veridas, se enlaza al rescate de cuenta en oficina. 
 Entregable 2 :Upgrade cuenta libretón a cuenta pensional de forma automatica
 1) .Se espera una opción de encender la solicitud en canal digital y oficina para solicitar el cambio de subproducto, este cambio debe poder realizarse en cualquier día del mes sin esperar al cierre del mes, ademas de conservar el mismo número de contrato, saldos y demas de front al cliente. 
 2) Las cuentas con upgrade efectivo deben ser reportadas automaticamente al pagador de pensión acorde al ingreso del nit o nombre de la entidad pagadora (integración con reporte centralizado de pensión). 
 Entregable 3: Cuenta pensional en app clientes y no clientes 
 Plan ascenso</t>
  </si>
  <si>
    <t>Se busca fortalecer y ampliar la oferta digital de pasivo mediante el desarrollo de una alternativa de inversión diferente. Con foco en ganancia de cuota de mercado y vinculación de clientes que buscan una alternativa diferente para generarvinculación de clientes, adaptandonos a las necesidades del clientes, llegando a su cotidianidad y evitando la derivación de operativa en las oficinas.</t>
  </si>
  <si>
    <t>Digital Assets / Crypto</t>
  </si>
  <si>
    <t>SDATOOL-40505</t>
  </si>
  <si>
    <t>Desarrollo de TX en ATM recicladores</t>
  </si>
  <si>
    <t>Como parte de las acciones para apalancar la migración transaccional de las oficinas, es importante contar con la alternativa de realizar pago de productos propios mediante ATMs recicladores.</t>
  </si>
  <si>
    <t>Ampliar las capacidades de servicio en los ATMs, permitiendo apalancar la migración transaccional de las oficinas.</t>
  </si>
  <si>
    <t>SDATOOL-40506</t>
  </si>
  <si>
    <t>Disponibilidad de canales físicos en móvil y página blanca</t>
  </si>
  <si>
    <t>El proyecto busca que los usuarios y clientes puedan identificar, ubicar y además conocer la disponibilidad horaria y funcional de los canales físicos (ATMs, oficinas y CBs) en la aplicación móvil y en la página blanca de BBVA Colombia.</t>
  </si>
  <si>
    <t>Como parte del mejoramiento en la experiencia de cliente en los servicios ofrecidos mediante canales físicos, es necesario dar a conocer la ubicación y disponibilidad de los mismos, teniendo en cuenta que al día de hoy el banco no cuenta con esta información detallada.</t>
  </si>
  <si>
    <t>Seamless Experience</t>
  </si>
  <si>
    <t>SDATOOL-40507</t>
  </si>
  <si>
    <t>1.1 Changes to Support Extended STIP Reason Code Field</t>
  </si>
  <si>
    <t>Cuando se procesa una transacción en STIP, Visa completa el código de motivo de STIP/cambio para identificar el motivo por el que la transacción se envió al emisor y el código de respuesta para indicar el resultado de la transacción. En algunos casos, estos dos valores no proporcionan información suficiente para permitir a los emisores determinar el motivo por el que se rechazó una transacción en STIP.</t>
  </si>
  <si>
    <t>Mejorar el ecosistema de pagos aumentando la transparencia cuando se declina una autorización y reduciendo los reintentos de transacciones no necesarias</t>
  </si>
  <si>
    <t>claudiaviviana.medina-bbva.com</t>
  </si>
  <si>
    <t>SDATOOL-40508</t>
  </si>
  <si>
    <t>10.1.1. Autorizaciones parciales</t>
  </si>
  <si>
    <t>Autorización Parcial brinda a los clientes una herramienta para aumentar las autorizaciones, con el potencial de generar más ventas
 para los comercios y una experiencia positiva para los tarjetahabientes. En 2019 más de 200 millones de aprobaciones de
 autorizaciones parciales en todo el mundo a través de VisaNet representaron más de USD 10 000 millones en volumen de pagos. Sin
 el uso de autorizaciones parciales, estas transacciones podrían haberse rechazado debido a fondos insuficientes.</t>
  </si>
  <si>
    <t>Emisor
 1. Estar en la capacidad de reconocer el indicador de autorización
 parcial y dar respuesta de autorización parcial cuando el saldo de la
 tarjeta no es suficiente para aprobar la transacción en su totalidad.
 2. Soportar los reversos de autorizaciones parciales
 3. El código de respuesta de una autorización parcial es diferente al
 que actualmente manejan (10 Partial approval)</t>
  </si>
  <si>
    <t>SDATOOL-40509</t>
  </si>
  <si>
    <t>Incluir campo del contrato y portafolio de la TDC en el archivo GOF.S0709.MPM0500.D1001014.TD0010.TXT</t>
  </si>
  <si>
    <t>Auditoria - Acción 1.3: Definir y formalizar los procesos de seguimiento (de contraste masivo) mensual al cobro de comisiones asignados al área de Payments &amp; Partnership, que permitan asegurar el adecuado cobro de las mismas.
 Estos procesos deben permitir identificar para cada una de las comisiones</t>
  </si>
  <si>
    <t>1- Cuota de Manejo: Actuamente solo existe un archivo que desglosa la informacion referente al cobro y exoneracion de la cuota de manejo, el cual es necesario incluir el campo del contrato para que el equipo de Reporting pueda atraves del archivo cruzar la informacion y hacer los analisis correspondientes.</t>
  </si>
  <si>
    <t>SDATOOL-40510</t>
  </si>
  <si>
    <t>2.3. Mandate to Support CAVV Usage 3 Version 7 for EMV 3DS</t>
  </si>
  <si>
    <t>Emisores de Visa Securedeben admitir CAVV U3 V7 para transacciones EMV 3DS</t>
  </si>
  <si>
    <t>Es necesario la validacion del campo CAVV para transacciones 3DS nacionales, para garantizar la integridad de la transaccion en comercio seguro.</t>
  </si>
  <si>
    <t>SDATOOL-40511</t>
  </si>
  <si>
    <t>Automatizacion de exoneracion de cuota de manejo de TdC por Reto Transaccional</t>
  </si>
  <si>
    <t>Hoy nuestros mayores competidores presentan una tarjeta costo $0 en cuota de manejo y una oferta diferencial en la exoneración de cuota de manejo "Reto Transaccional", donde el banco desea entrar a ofertar dicha exoneración con nuestras TdC ofertarles.</t>
  </si>
  <si>
    <t>Hoy nuestros clientes perciben al banco y en el producto de tarjetas como costosos y inicialmente el el rubro de cuota de manejo que impacta nuestro NPS, la idea es entrar a tener la oferta diferencial y cambiar la perspectiva de nuestros clientes.</t>
  </si>
  <si>
    <t>New Business Models</t>
  </si>
  <si>
    <t>SDATOOL-40512</t>
  </si>
  <si>
    <t>AJUSTE PREAPROBADOS CONSUMO HOST</t>
  </si>
  <si>
    <t>Mejorar el desarrollo de preaprobados en el host con el fin de incrementar nuestros indicadores digitales, manejando la información por cliente y ajustando los procesos de bajas automáticas.</t>
  </si>
  <si>
    <t>luzs.martinez.contractor-bbva.com</t>
  </si>
  <si>
    <t>SDATOOL-40513</t>
  </si>
  <si>
    <t>Glomo: Contratación de tarjeta amparada desde la App</t>
  </si>
  <si>
    <t>Proceso de contratación de tarjeta amparada a través de la nueve herramienta Glomo.
 Permitir al cliente poder adicionar una tarjeta amparada a través desde la APP, en donde si es una tarjeta adicional para el propio titular, el sistema pueda autocompletar los datos relevantes del clientes, y si es para un beneficiario (Que no esta en base de personas), se pueda pedir los datos mas relevantes y necesarios para poder formalizar una tarjeta.
 Sin embargo, los datos que se asignen en el circuito de contratación, que sea parametrizable, es decir que desde una transacción paramétrica se pueda seleccionar cual es el campo que se va a mostrar en la APP (Se pueda incluir o quitar).
 Así mismo, el cliente pueda saber en la App, bajo su tarjeta Titular cuantas tarjetas tiene asignado el contrato. (Contabilización de clientes).
 Poder incluir en la App, un push de notificación en la cual podamos informar al cliente que puede generar una amparada, este debe ser parametrizable en el sistema (Parametrizar el numero de alertamientos y definir fechas de envió).</t>
  </si>
  <si>
    <t>Hoy en día la tarjeta amparada únicamente se puede contratar a través de la BBVA NET, sin embargo el circuito de contratación de esta tarjeta en la actualidad, tiene algunos campos que creemos son innecesarios para la contratación de una tarjea amparada (En especial para los beneficiarios del titular). Debemos flexibilizar el proceso de contratación con estos campos.
 El objetivo de esta solicitud es aumentar la colocación de tarjetas amparadas, aumentado la disponibilidad en canales para la formalización de estas tarjetas, poder se mas certeros en la información que se solicita y mejorar las experiencia del cliente.</t>
  </si>
  <si>
    <t>Acción de auditoria de Cobro de Comisiones</t>
  </si>
  <si>
    <t>Como parte del resultado de Auditoria en 2022, una de las acciones reportadas es la necesidad de corregir el cobro de comisiones en ATMs. Debido a que hoy en día no se están realizando los cobros de comisiones de algunas de las consultas de saldos no exoneradas.</t>
  </si>
  <si>
    <t>SDATOOL-40516</t>
  </si>
  <si>
    <t>Filial Valores - BBVA Valores en Canales (Net Cash / Net)</t>
  </si>
  <si>
    <t>SDATOOL-40521</t>
  </si>
  <si>
    <t>Seguros - Ingesta de garantías Hipotecarias</t>
  </si>
  <si>
    <t>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 y la cual es entregada por BBVA Colombia a BBVA Seguros</t>
  </si>
  <si>
    <t>josedaniel.sanabria-bbva.com</t>
  </si>
  <si>
    <t>SDATOOL-40522</t>
  </si>
  <si>
    <t>Ajuste en el cobro de la comisión cuando el comercio transa antes de que se configure</t>
  </si>
  <si>
    <t>Como un hallazgo de la auditoría, se debe realizar un ajuste (desarrollo) que permita que el sistema solo pueda abonar a los comercios posterior al cobro de la comisión, ya que hemos identificado que comercios que transan antes de que estén configurados en el sistema, es decir que no se les ha marcado las tasas a cobrar, se les hace el abono y no cobramos la comisión, perdiendo este ingreso.</t>
  </si>
  <si>
    <t>SDATOOL-40523</t>
  </si>
  <si>
    <t>Ajuste en los extractos para que lleguen a los clientes que no tienen net cash</t>
  </si>
  <si>
    <t>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t>
  </si>
  <si>
    <t>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 y cumplir con el plan de acción identificado por lauditoría.</t>
  </si>
  <si>
    <t>SDATOOL-40527</t>
  </si>
  <si>
    <t>CAFAM (Transferencia base de datos)</t>
  </si>
  <si>
    <t>Se requiere concepto de la PMO, Seguridad y Arquitectura para la transferencia de una base de datos por parte del Aliado CAFAM a BBVA por ruta segura Sterling para el desarrollo de la alianza estratégica con CAFAM en las líneas de negocio: Tarjeta de Crédito Marca Compartida, Financiación en punto de venta, PYME, Vivienda, empleados entre otros.</t>
  </si>
  <si>
    <t>La base de datos es requerida para el análisis de riesgo.</t>
  </si>
  <si>
    <t>ETPB - SENDA PAGOS</t>
  </si>
  <si>
    <t>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t>
  </si>
  <si>
    <t>SDATOOL-40529</t>
  </si>
  <si>
    <t>Aplicativos Finanzas - 2023</t>
  </si>
  <si>
    <t>Mantenimiento a los aplicativos de toda la vicepresidencia Financiera</t>
  </si>
  <si>
    <t>SDATOOL-40532</t>
  </si>
  <si>
    <t>Dashboard Operatives Glomo</t>
  </si>
  <si>
    <t>Operativas al ingresar a la app en primer nivel.</t>
  </si>
  <si>
    <t>jorge.carvajal-bbva.com</t>
  </si>
  <si>
    <t>SDATOOL-40533</t>
  </si>
  <si>
    <t>GloMo Target</t>
  </si>
  <si>
    <t>Ampliar nuestro portafolio de productos tanto a clientes existentes como a mercado abierto, por medio de Deep Links</t>
  </si>
  <si>
    <t>vivianamarcela.rueda-bbva.com</t>
  </si>
  <si>
    <t>SDATOOL-40534</t>
  </si>
  <si>
    <t>Feedback Contextual</t>
  </si>
  <si>
    <t>Estrategia para mejorar la experiencia de cliente que facilite el uso de la App, incentive el uso recurrente de la misma, extendiendo a otros dispositivos móviles y creando nuevas formas de envío de dinero.</t>
  </si>
  <si>
    <t>Calificación (feedback) sobre una operativa específica tras haber sido exitosa.</t>
  </si>
  <si>
    <t>carolina.monterrey-bbva.com</t>
  </si>
  <si>
    <t>SDATOOL-40536</t>
  </si>
  <si>
    <t>Google analitycs 4</t>
  </si>
  <si>
    <t>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t>
  </si>
  <si>
    <t>*Contratar nuevo servicio de Google Analytics con el fin de generar audiencias/segmentos automáticos que pasan directamente a las plataformas de pauta propias de Google</t>
  </si>
  <si>
    <t>santiago.campuzano-bbva.com</t>
  </si>
  <si>
    <t>El costo total es de 5.788 euro, el tipo de servicio es por Hits y serian 760M y una tarifa unitaria de 0,0064€</t>
  </si>
  <si>
    <t>SDATOOL-40545</t>
  </si>
  <si>
    <t>GRM Col - Mejoras Evolutivas de Aplicativos y Herramientas de Riesgos 2023</t>
  </si>
  <si>
    <t>Mejoras Evolutivas de Aplicativos y Herramientas de Riesgos.
 - Atender todos los desarrollos según las necesidades del área permitiendo realizar mejoras evolutivas de los diferentes aplicativos y Herramientas de Riesgos hoy existentes.</t>
  </si>
  <si>
    <t>El presente Proyecto integra las Mejoras en las herramientas de riesgos, Tx en general acordes a las políticas de Riesgos o necesidades del negocio.
 -Actualización parametrías, herramientas, Scoring - Políticas ... 
 El presente Proyecto integra las Mejoras en las herramientas de riesgos, Tx en general acordes a las políticas de Riesgos o necesidades del negocio.
 -Actualización parametrías, herramientas, Scoring - Políticas
 - Reglas Elicitadas. Power curve y EWS
 - Actualización mensual script EWS</t>
  </si>
  <si>
    <t>SDATOOL-40546</t>
  </si>
  <si>
    <t>Mejoras Experiencia de Usuario TBM</t>
  </si>
  <si>
    <t>Realizar mejoras en la herramienta de legalización de viajes corporativos con el fin de disminuir los tiempos de radicación para legalizar y aprobar los viajes corporativos, buscando una mejor experiencia del cliente.</t>
  </si>
  <si>
    <t>Permite reducir operativas al usuario durante la legalización de su viaje, optimizando tiempos de respuesta .</t>
  </si>
  <si>
    <t>nestor.pacacira-bbva.com</t>
  </si>
  <si>
    <t>carolina.cardozo-bbva.com</t>
  </si>
  <si>
    <t>SDATOOL-40548</t>
  </si>
  <si>
    <t>Fiduciaria - Obsolecencia aplicativa, infraestructura e Insider aplicativo FIDUSAP</t>
  </si>
  <si>
    <t>Realizar el upgrade de la infraestructura FIDUSAP para los ambientes Desarrollo, Calidad y Producción y el decomiso del servidor INSIDER (BD Desarrollo y Calidad).</t>
  </si>
  <si>
    <t>luisrodrigo.ulloa.marin-bbva.com</t>
  </si>
  <si>
    <t>SDATOOL-40551</t>
  </si>
  <si>
    <t>Leasing. Gastos atados contratos castigados</t>
  </si>
  <si>
    <t>Habilitar en la plataforma Sileasing la posibilidad de que los gastos generados por los activos asociados a contratos castigados, activos que siguen en propiedad de BBVA, se puedan atar a la deuda de forma que la misma se pueda ir incrementando y los nuevos gastos se incluyan en el proceso de cobro jurídico y se recuperen con la restitución o con el pago por parte del cliente</t>
  </si>
  <si>
    <t>Este desarrollo es necesario dado que hoy los gastos generados por contratos castigados se tienen que registrar como gastos del banco y no como cuentas por cobrar, afectando los estados financieros. Adicionalmente, al no poderse atar a los contratos se dificulta su recuperación.</t>
  </si>
  <si>
    <t>No desarrollar el proyecto implica mantener el riesgo de baja gestión de cobro o pérdida de los gastos asumidos por el banco por cuenta de contratos de Leasing castigados sobre los que el banco mantiene la propiedad del activo</t>
  </si>
  <si>
    <t>Collections / Recovery</t>
  </si>
  <si>
    <t>SDATOOL-40552</t>
  </si>
  <si>
    <t>Fiduciaria - PSE Procesamiento y confirmación de pagos en línea</t>
  </si>
  <si>
    <t>Procesamiento de pagos en línea PSE entre BBVA y la plataforma de recaudos a través del consumo de servicios.</t>
  </si>
  <si>
    <t>SDATOOL-40553</t>
  </si>
  <si>
    <t>Viajes BBVA en GloMo</t>
  </si>
  <si>
    <t>Lo que se pretende es ofrecerle al cliente una experiencia unificada en GloMo donde de una manera más clara, fácil y rápida, pueda acceder a Viajes BBVA, lo conozca integralmente y haga uso del mismo, logrando no solo que exista un incremento en la facturación y una disminución en la cantidad de cancelaciones, sino también, se incrementen sus índices de satisfacción, se genere una relación de cercanía entre el cliente y el Banco, y se atraigan clientes nuevos a través de la recomendación que realicen los clientes actuales sobre el beneficio de Viajes BBVA.</t>
  </si>
  <si>
    <t>rudyyolima.aguilar-bbva.com</t>
  </si>
  <si>
    <t>SDATOOL-40554</t>
  </si>
  <si>
    <t>CRÉDITO VIRTUAL EN GEMA</t>
  </si>
  <si>
    <t>Incorporar la funcionalidad de financiación de crédito capital de trabajo por medio de crédito virtual que hoy se ofrece por net cash, es habilitarlo en la app GEMA para PJ Y PNN con la mejoras que se está trabajando en el producto</t>
  </si>
  <si>
    <t>ADELANTO DE VENTA EN GEMA</t>
  </si>
  <si>
    <t>DISPONER EN CANAL DIGITAL LA SOLUCIÓN ADELANTO DE VENTA PARA LOS CLIENTES PJ Y PNN QUE TENGA SOLUCIONES DE PAGO COMO ADQUIRENCIA / PSE PARA FINANCIAR CAPITAL DE TRABAJO DE CORTO PLAZO Y CAPITAL DE TRABAJO</t>
  </si>
  <si>
    <t>SDATOOL-40572</t>
  </si>
  <si>
    <t>FACTORING Y CONFIRMING SOSTENIBLE - TASA FIJA</t>
  </si>
  <si>
    <t>Constituir un nuevo subproducto para los productos de Factoring &amp; Confirming de tasa fija para los clientes de segmento jurídico, el cual se le va a asignar un marco sostenible con mejores beneficios en tasa.</t>
  </si>
  <si>
    <t>3Q 2024</t>
  </si>
  <si>
    <t>Actualmente no existe el subproducto de Factoring y confirming sostenible, por tanto, es importante crear estos como alternativa para ofrecer a nuestros cliente y en sí al banco mejores beneficios por negocios catalogados como Sostenible.</t>
  </si>
  <si>
    <t>carolina.ramirezlopez-bbva.com</t>
  </si>
  <si>
    <t>SDATOOL-40573</t>
  </si>
  <si>
    <t>FACTORING Y CONFIRMING SOSTENIBLE - TASA VARIABLE</t>
  </si>
  <si>
    <t>Constituir un nuevo subproducto para los productos de Factoring &amp; Confirming de tasa variable para los clientes de segmento jurídico, el cual se le va a asignar un marco sostenible con mejores beneficios en tasa.</t>
  </si>
  <si>
    <t>Actualmente no existe el subproducto de Factoring y confirming sostenible con tasa variable, por tanto, es importante crear estos como alternativa para ofrecer a nuestros clientes y en sí al banco mejores beneficios por negocios encajados dentro del marco de sostenibilidad</t>
  </si>
  <si>
    <t>miguelangel.chavarro-bbva.com</t>
  </si>
  <si>
    <t>SDATOOL-40578</t>
  </si>
  <si>
    <t>Ad Verification</t>
  </si>
  <si>
    <t>Para considerar que una campaña ha tenido un mínimo nivel de calidad es necesario asegurar que sus anuncios:
 Han sido entregados a un usuario humano
 Que esta entrega realmente haya sido vista
 Que el contenido que rodea al anuncio no suponga un riesgo para la marca BBVA
 Para ello se recomienda el uso de herramientas de Ad Verification, que nos ayudarán con 3 tipos de soluciones: Brand safety / Ad viewability / Ad fraud.</t>
  </si>
  <si>
    <t>Quality Impression
 Context Control: Análisis Contextual: Procesamiento natural del lenguaje, sentimientos y Emociones
 Único partner certificado para Brand Safety y Brand Suitability en YouTube
 Facebook: Block Lists para Brand Safety y Content Allow lists para impactar en contenido adecuado en in-stream video
 en general nos permite tener una mayor seguridad de dónde están saliendo nuestros anuncios pautados. También constituye una herramienta de negociación con los medios.</t>
  </si>
  <si>
    <t>davidalejandro.agelvis-bbva.com</t>
  </si>
  <si>
    <t>SDATOOL-40579</t>
  </si>
  <si>
    <t>Evolutivo programa de Lealtad Modelo Agregador</t>
  </si>
  <si>
    <t>Esta solicitud se radica con el objetivo de incluir a los clientes del modelo agregador en el programa de lealtad. Los clientes del modelo agregador podrán entrar en el programa, acumular puntos y redimir a través de cashback, también podrán ver el estado de sus puntos desde su app.</t>
  </si>
  <si>
    <t>SDATOOL-40581</t>
  </si>
  <si>
    <t>Corresponsal Bancario Ya Ganaste</t>
  </si>
  <si>
    <t>Amplación de la Red de CBs a nivel nacional</t>
  </si>
  <si>
    <t>Ampliación de Red física</t>
  </si>
  <si>
    <t>SDATOOL-40589</t>
  </si>
  <si>
    <t>Ajuste longitud de cuentas problema 7 digitos</t>
  </si>
  <si>
    <t>Tomar el último dígito de las cuentas,dígito de verificación, como parte del consecutivo, generando una ampliación de numeración de cuentas y permitiendo asignar numeros de cuentas en el inicio de la númeración utilizando los espacio que no se utilizaron por le digito de verificación y el algoritino existente en el banco. Es impornate mencionar que se debe garantizar y controlar que no se vulevan a signar números de contrarto ya existentes y asignados con anterioridad; además de garantizar que esto se alinee a todos los flujos transaccionales, de consulta, certificaciones de producto. Esto para todas las cuentas de ahorros y la númeración de todas las oficina. Debemos garantizarque tenga exactamente el mismo funcionamiento que las cuentas antiguas que no utilizaban el número de verificación como parte del conseguticvo de cuenta.</t>
  </si>
  <si>
    <t>Hoy la oficina de principal bucaramanga y cuentas digitales, presenta una númeración de cuentas que supero una longitud de 6 digitos, haciendo que se presentane problemas en la certificación y transaccionalidad de dichas cuentas, ademas de causar problemas con los empleadorespuesto que no pueden leer al bbva con esta longitud. Por tanto, se hace necesario realizar una adaptación sobre la númeración de las cuentas del banco para seguir generando cuentas a 9 digitos utilizando los espacios que inicialmente no se utilizaron por la logica del algoritmo y digito de verificación del banco,controlando de forma extricta que no seretiran números de contrato que ya existen.</t>
  </si>
  <si>
    <t>SDATOOL-40592</t>
  </si>
  <si>
    <t>Valoración de conceptos - Unidad de operaciones</t>
  </si>
  <si>
    <t>Valoración de conceptos para Unidad de operaciones, actualmente desde las lineas de atención al cliente particular y jurídico, al no tener perfil con atribuciones requeridas, no soluciona las necesidades y genera desborde o direccionamientos a oficinas.</t>
  </si>
  <si>
    <t>El objetivo es minimizar el direccionamiento de clientes a oficinas y bajo un ans seleccionado, poder suministrar solución a los clientes. La atención se realiza con la unidad de operaciones, con personal que cuente con perfil que permita alcanzar dichas solución.</t>
  </si>
  <si>
    <t>SDATOOL-40599</t>
  </si>
  <si>
    <t>Proyecto - Circular 025</t>
  </si>
  <si>
    <t>Se Requiere atender los alcances al proyecto SDA34651 - Circular 025, los cuales se deben de atender con el fin de cumplir con lo requerido por la SFC.</t>
  </si>
  <si>
    <t>Atender los requerimientos emitidos por la SFC los cuales quedaron por fuera del proyecto Circular 025.</t>
  </si>
  <si>
    <t>alexander.galindo-bbva.com</t>
  </si>
  <si>
    <t>El proyecto atiende requerimiento emitido por la SFC, si no se cumple puede generar sanciones a la organización.</t>
  </si>
  <si>
    <t>SDATOOL-40610</t>
  </si>
  <si>
    <t>GRM Col - Ajuste Formato 341 - Tasa de usura</t>
  </si>
  <si>
    <t>Ajustar el formato 341 de acuerdo al requerimiento de la Superintendencia Financiera de Colombia para reportar la tasa de interés correspondiente: 
 Para Las TDC deben ponderar todas las compras que al cierre del reporte tengan saldo pendiente de pago y registrar dicha ponderación en el archivo que generan del formato 341.
 Los demás productos deben enviar la tasa efectiva al corte del reporte para cada contrato, sin hacer ponderaciones de las tasas que tuvo el crédito durante el trimestre, sólo la tasa efectiva al cierre del reporte.</t>
  </si>
  <si>
    <t>Se requiere ajustar el formato 341 para reportar la tasa de interés, en necesario actualizar los diferentes aplicativos ((Leasing, Factoring, Cuentas, Préstamos, Medios de Pagos y BankTrade)) 
 Si se trata de tasa fija, tasa variable, de un solo crédito o de deudores con más de un crédito, se
 debe reportar en la columna 28 del formato 341, la tasa promedio ponderado del mes del cierre del trimestre, es decir, la tasa y endeudamiento vigente para los cortes de marzo, junio, septiembre y diciembre del respectivo año a reportar.
 Por lo tanto, teniendo en cuenta que la entidad debe efectuar los ajustes pertinentes para el corte de diciembre de 2022, con el fin de cumplir con lo establecido con la dinámica prevista en el formato en mención, se da por concluido el presente trámite sin perjuicio de las validaciones futuras que se efectuaran sobre la información registrada en el formato 341.”</t>
  </si>
  <si>
    <t>SDATOOL-40613</t>
  </si>
  <si>
    <t>Códigos MAC</t>
  </si>
  <si>
    <t>"Los códigos MAC, buscan el manejo de los códigos de respuesta en las autorizaciones, con el animo de mejorar el ecosistema de pagos aumentando la transparencia cuando se declina una autorización y reduciendo los reintentos de transacciones no necesarias.
 ▪ Emisores usen códigos de respuesta descriptivos.
 ▪ Limitar reintentos de comercios/adquirentes.
 ▪ Uso consistente de datos de reintentos."</t>
  </si>
  <si>
    <t>SDATOOL-40623</t>
  </si>
  <si>
    <t>Pago productos con PSE desde GloMo</t>
  </si>
  <si>
    <t>Pago de productos Honorarios con PSE.</t>
  </si>
  <si>
    <t>SDATOOL-40629</t>
  </si>
  <si>
    <t>Cedula Digital</t>
  </si>
  <si>
    <t>A partir del mes de agosto del 2022 la registraduria elimina la cedula de hologramas para dar paso a la cedula digital la cual se podra obtener a traves de una aplicacion movil y un plastico con el que los ciudadanos podran identificarse. Adicionalmente la registraduria a dispuesto tambien de una contraseña digital la cual servira como documento de identidad mientras la cedula digital termina su tramite.</t>
  </si>
  <si>
    <t>Para dar continuidad a la vinculacion de clientes nuevos es importante que los productos de open market (libreton, dinero movil, vivienda digital 2.0, libranza, consumo, entre otros) puedan validar el nuevo documento de identificacion que entro en vigencia a partir del mes de agosto del 2022</t>
  </si>
  <si>
    <t>SDATOOL-40631</t>
  </si>
  <si>
    <t>Equipos para Mitigación de Energía Reactiva</t>
  </si>
  <si>
    <t>Suministro e instalación de DVG ( Generadores Dinámicos de Reactiva) o VAR ( dispositivo que logra una compensación dinámica de potencia reactiva junto al control de armónicos) para poder controlar la generación de energía reactiva capacitiva e inductiva en el edificio Dirección General .</t>
  </si>
  <si>
    <t>La energía reactiva se deriva del uso cotidiano de algunos artefactos que generan campos electromagnéticos para su funcionamiento, como por ejemplo motores, transformadores, equipos de aires acondicionados y aparatos electrónicos (PCs, UPS, iluminación led, etc), En general todo aparato eléctrico que tenga una bobina de cobre. (video explicativo)
 La energía reactiva puede ser inductiva (se toma de la red) la cual se paga cuando el registro sea superior al 50% de la energía activa o capacitiva (se entrega a la red) la cual se cobra en su totalidad independiente del valor de energía activa registrada
 Es una energía no aprovechable, pero que genera sobrecarga a la red eléctrica por lo cual las compañías distribuidoras de energía tienen que realizar inversiones en sus equipos de generación, tener mayor capacidad en las líneas de distribución y en transformadores para el trasporte y transformación de esta energía.
 Estas inversiones generan unos costes que finalmente son trasladados a los usuarios mediante cobro y penalización en concepto de energía reactiva.</t>
  </si>
  <si>
    <t>ruthnoemi.mendez-bbva.com</t>
  </si>
  <si>
    <t>Incurrir en gastos adicionales anuales que pueden alterar el orden de $365M en el 2023 y $565M en el 2024</t>
  </si>
  <si>
    <t>Buildings Refurbishments</t>
  </si>
  <si>
    <t>SDATOOL-40639</t>
  </si>
  <si>
    <t>Fiduciaria -Obsolecencia Migración Softoken FIDUSAP R2 a NextGen</t>
  </si>
  <si>
    <t>Migracion burbuja de seguridad por obselecia aplicativa global de los servicios alojados en R2 holding</t>
  </si>
  <si>
    <t>SDATOOL-40640</t>
  </si>
  <si>
    <t>Débito Directo NetCash y H2H</t>
  </si>
  <si>
    <t>Servicio que permite debitar automáticamente de la cuenta de ahorros o corriente el valor total de las cuotas correspondientes a los créditos o deudas adquiridas por los usuarios hacia nuestros clientes persona jurídica.
 Teniendo en cuenta el proceso de débito, este se debe abonar a la cuenta registro a registro "servicio multicash"; se debe garantizar la correcta conciliación en los archivos "extracto multicash y MT940" recogiendo la información del número de identificación del usuario al que se debitó.</t>
  </si>
  <si>
    <t>Los clientes demandan un servicio de débito directo que se pueda visualizar en la captación de los recursos (Nota crédito sobre la cuenta) las transacciones uno a uno, para permitir la correcta conciliación y recaudo.</t>
  </si>
  <si>
    <t>SDATOOL-40642</t>
  </si>
  <si>
    <t>Cobro de comisiones Canales Directos</t>
  </si>
  <si>
    <t>Creación de una clave de comisión de periodicidad mensual donde se cobre el uso de canal directo para los clientes que tengan el servicio contratado, para esto debe existir la tabla donde se relacionen los clientes con servicio de canal directo y lanzar un cobro mensual por cliente.</t>
  </si>
  <si>
    <t>Eliminar la operativa manual del proceso de cobro de comisiones a los clientes que utilizan los canales directos, tales como H2H y Swift.</t>
  </si>
  <si>
    <t>SDATOOL-40648</t>
  </si>
  <si>
    <t>Feedback NPS</t>
  </si>
  <si>
    <t>Calificación de experiencia en la app de 1-10, ofreciendo al cliente la oportunidad de destacar campos de mejora.</t>
  </si>
  <si>
    <t>SDATOOL-40653</t>
  </si>
  <si>
    <t>GRM Col - Calibración de factores para el cálculo del Coeficiente de Fondeo Estable Neto</t>
  </si>
  <si>
    <t>Marcación de tipos de clientes para las entidades vigiladas por la SFC, negocios fiduciarios y tipos de negocio de acuerdo a la definición contenida en la circular, así como la obtención del histórico de 5 años de saldos de depósitos para los negocios fiduciarios por tipo de negocio con el fin de realizar el cálculo del factor para esta nueva segmentación.</t>
  </si>
  <si>
    <t>Según la Circular Externa No 021 de 2022: Calibración de los factores aplicables para el cálculo del Coeficiente de Fondeo Estable Neto, se estable una nueva segmentación para la presentación de este coeficiente, se hace necesario la marcación de los clientes de los diferentes segmentos con sus respectivos saldos insumos para el calculo.</t>
  </si>
  <si>
    <t>tatiana.lizarazo-bbva.com</t>
  </si>
  <si>
    <t>sergioalexander.parra-bbva.com</t>
  </si>
  <si>
    <t>SDATOOL-40656</t>
  </si>
  <si>
    <t>GRM Col - Recuperación sobre cuentas pensionales</t>
  </si>
  <si>
    <t>Permitir barrido y actuación del motor de Recuperaciones en cuentas pensionales, desarrollando en el sistema un parámetro para delimitar y respetar la ley de libranza basados en el abono neto en cuenta de tal forma que se pueda aplicar un descuento que se abone a la(s) obligaciones en impagos/mora del cliente.</t>
  </si>
  <si>
    <t>Actualmente se tiene excluida en la tabla corporativa TC0755 todas las cuentas pensionales para generación de barridos automáticos o de motor de Recuperaciones, esto dado que en estas cuentas se tiene una coyuntura especial por la aplicación del mínimo vital. Dado lo anterior se deben realizar procesos manuales para la ejecución y aplicación de los descuentos respectivos, lo cual desde el equipo de RO y financiera solicitan la automatización.</t>
  </si>
  <si>
    <t>SDATOOL-40658</t>
  </si>
  <si>
    <t>GRM Col - Cronos Collections - Estrategia</t>
  </si>
  <si>
    <t>Automatizar e implementar las diferentes estrategias utilizadas desde la dirección de ​Recoveries &amp;
 Collections (Apoyo, Gestión PN y Pymes, Judicial), con el fin de dar cumplimiento a los lineamientos promovidos desde Holding en la homologación de los procesos y tareas con todas las geografías; Para ello se hace necesario la incorporación de modelos que permitan la segregación la cartera de acuerdo a las
 estrategias a implementar con el fin de minimizar los tiempo de reacción y gestión de la misma.</t>
  </si>
  <si>
    <t>Cronos Retail es un conjunto de tecnologías desarrolladas por GRM Holding para permitir que las geografías desarrollen sus procesos estratégicos de gestión de riesgos de crédito de particulares, de forma homogénea y conforme al proceso corportativo.
 Al ser un proyecto Cronos, se tienen una parte Holding para el despliegue de la tecnología y la conexión de datos y una parte local que cubre el aprovisionamiento de información, la parametrización del proceso y la operativización posterior.</t>
  </si>
  <si>
    <t>Plan CRM: Mejoras DWP Jurídicos (Pymes, Empresas,Gobiernos)</t>
  </si>
  <si>
    <t>Mejoras a la herramienta de gestión comercial (DWP) de las Bancas Pyme, Empresas y Gobiernos.</t>
  </si>
  <si>
    <t>Plan CRM: Mejoras DWP Particulares Alto Valor (Personal, Wealth)</t>
  </si>
  <si>
    <t>Mejoras a la herramienta de gestión comercial (DWP) de las Bancas Personal y Wealth</t>
  </si>
  <si>
    <t>jessicalorena.moncaleano-bbva.com</t>
  </si>
  <si>
    <t>SDATOOL-40672</t>
  </si>
  <si>
    <t>Plan CRM: Mejoras AUG (Banca Comercial y CSF) Equipo A</t>
  </si>
  <si>
    <t>Mejoras a la herramienta de gestión comercial (AUG) para la Banca Comercial y la CSF</t>
  </si>
  <si>
    <t>SDATOOL-40676</t>
  </si>
  <si>
    <t>Contratación y uso de mPOS desde APPs BBVA</t>
  </si>
  <si>
    <t>n South America, Acquiring business represents a big opportunity for BBVA to capture new merchants and their relationship due to lack of development of the business: low penetration, lack of innovation and differentiation, high expected growth (CAGR&gt;12%), and regulation changes that reduce the entry barriers and promote competence.</t>
  </si>
  <si>
    <t>SDATOOL-40688</t>
  </si>
  <si>
    <t>API Recaudo / Retiro digital</t>
  </si>
  <si>
    <t>Exponer los servicios de BBVA (Recaudo y Retiros) a través de 2 modelos técnicos para que sean consumidos por un tercero (Cliente) 
 1 Crear una solución APP/ WEB para que el clientes desde sus puntos físicos pueda acceder al producto y 
  aplicar las operaciones de recaudo y retiro (Periféricos)
 2Crear un servicio API para que el cliente (Ej Operador de Telefonía / Banco / Fintech “Billetera”) Pueda 
  consumir los servicios de recaudo</t>
  </si>
  <si>
    <t>Diversificar la operación de grandes facturadores - clientes CIB para que puedan acceder a los servicios de BBVA y cubrir necesidades propias de sus clientes o de su negocio.</t>
  </si>
  <si>
    <t>Plan CRM: Mejoras AUG (Banca Comercial y CSF) Equipo B</t>
  </si>
  <si>
    <t>davidesteban.fajardo-bbva.com</t>
  </si>
  <si>
    <t>SDATOOL-40694</t>
  </si>
  <si>
    <t>Marca PYMES consumo APRS</t>
  </si>
  <si>
    <t>Adicionar la información que viene en el fichero BaseV_Pymes_AAAAMM.txt del número de empleados de los clientes actuales del Banco.</t>
  </si>
  <si>
    <t>Complementar la información que viene en el fichero BaseV_Pymes_AAAAMM.txt del número de empleados de los clientes que comparte el área de riesgos particulares al área reporting MIS, y que es utilizada para el cálculo de capital. De esta manera el Banco genera ahorros en consumo de capital al poder marcar más empresas como PYME bajo el criterio de la normativa internacional Carta circular 500 CRD V CRR II (NSFR)_art 428.</t>
  </si>
  <si>
    <t>SDATOOL-40705</t>
  </si>
  <si>
    <t>Reportes DIAN Cuenta Ordenes de Pago M.E. por pagar e Impuesto de Timbre</t>
  </si>
  <si>
    <t>Descripción funcional de la solución: (solución propuesta)
 De acuerdo a lo requerido en la Resolución 00124 del 28 de octubre de 2021, se requiere que el banco BBVA reporte el detalle por tercero de las cuentas PUC 211710006 Y 250320003, con el fin de determinar el saldo de cada tercero al 31 de diciembre del año 2022, para ello es necesario: a) En el caso de la cuenta PUC 211710006 3 Órdenes de pago recibidas o transferencias recibidas del exterior, crear un desarrollo informático que por medio de una interfaz se envié a Altamira la información necesaria de Tipo del titular principal. (1 carácter), Número de identificación del titular principal. (15 Caracteres) y Digito de verificación del titular principal. (1 Carácter), tomando como referencia el numero de contrato que se encuentra en el aplicativo de comercio exterior. b) Para la cuenta PUC 250320003 - 3- OTRAS TARIFAS -BG1 (Impuesto de Timbre), se requiere que a la interfaz contable llegue la identificación completa del tercero al cual se le aplico la retención del impuesto de timbre.</t>
  </si>
  <si>
    <t>Adecuaciones y desarrollos para el cumplimiento de los requisitos legales establecidos por los reguladores fiscales.</t>
  </si>
  <si>
    <t>christian.diaz-bbva.com</t>
  </si>
  <si>
    <t>SDATOOL-40706</t>
  </si>
  <si>
    <t>Validaciones en Captura de Terceros Aplicativo TBM</t>
  </si>
  <si>
    <t>En la necesidad de enviar a la DIAN de manera correcta los números de identificación de acuerdo a la norma de información exógena nacional y municipal, se hace necesario incluir las validaciones en los campos de captura de la identificación tanto el tipo como el número de identificación, de tal forma que se mitiguen los riesgos por la captura errada de esta información.
 Con lo anterior se mitigan riesgos de sanciones por reportes de información errada a la DIAN y demás autoridades fiscales en el país.
  Los desarrollos requeridos se detallan a continuación:
 1. Validaciones requeridas en el tipo de identificación.
 2. Validaciones requeridas en el número de identificación.</t>
  </si>
  <si>
    <t>Actualmente el campo en el que se captura el tipo y el número de identificación en el módulo de TBM presenta el siguiente estado:
 CREACION TERCERO:
 Actualmente en el campo de Identificación permite incluir:
 Números de identificación de 1, 2, 3 y/o 4 dígitos.
 Números de identificación diferentes a TAX ID (exterior) de más de 10 dígitos.
 Secuencias de números 1234567, 1111, 2222.
 Números de identificación con el DV incluido.
 Números de identificación que corresponden a empleados
 Nit Cero.
 Registros civiles como propietarios de un establecimiento de comercio.
 Terceros del exterior 100% diligenciados con letras
 Terceros del exterior con DV diferente de cero. Etc…</t>
  </si>
  <si>
    <t>SDATOOL-40710</t>
  </si>
  <si>
    <t>GRM Col - Cronos - Plan Ascenso - Mejoras CAP Pymes Fase II</t>
  </si>
  <si>
    <t>Realizar mejoras en el aplicativo CAP Pymes con el fin de optimizar las validaciones en la solicitud de crédito garantizando eficiencias en la gestión de las campañas Pymes.</t>
  </si>
  <si>
    <t>Requerimos ajustes técnicos en la herramienta CAP Pymes a nivel de Parametría, Front y servicio, para automatizar las validaciones de las operaciones, consultar información de fuentes internas y externas, traer información de base de personas que actualmente no se tienen y ajustar consultas para clientes determinados con el fin de tomar decisiones más acertadas, esto de acuerdo a las eficiencias solicitadas en este documento.</t>
  </si>
  <si>
    <t>SDATOOL-40736</t>
  </si>
  <si>
    <t>Curvas de Fondeo por Producto (ALM)</t>
  </si>
  <si>
    <t>Realizar la creación de las curvas de fondeo teniendo en cuenta el eje de producto. Teniendo en cuenta los ficheros que el área de ALM deja en la ruta TANTIA \\co.igrupobbva\svrfilesystem\TX\ENVIO_HOST\DI.</t>
  </si>
  <si>
    <t>Incluir dentro de Altamira los campos del eje del producto, de acuerdo a los ficheros CEROCUPON_CURVAS_DI_FAAMMDD, INDIREF_CURVAS_DI, AJUSTE_COMERCIAL_DI y PRIMA_CURVA_DI que el área de ALM deja en la ruta TANTIA \\co.igrupobbva\svrfilesystem\TX\ENVIO_HOST\DI.</t>
  </si>
  <si>
    <t>Realizar la creación de las curvas de fondeo teniendo en cuenta el eje de producto. Lo anterior para generar reportes estrategicos ALM.</t>
  </si>
  <si>
    <t>SDATOOL-40761</t>
  </si>
  <si>
    <t>Seguros - Automatización BEX Seguros</t>
  </si>
  <si>
    <t>SDATOOL-40762</t>
  </si>
  <si>
    <t>Seguros - IFRS 17 Catch up</t>
  </si>
  <si>
    <t>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t>
  </si>
  <si>
    <t>Continuación del Proyecto IFRS17, dado que la metodología de trabajo en este proyecto es iterativa y desde Holding nos envían las actualizaciones del MSA Global para que se realicen las adaptaciones locales. El alcance del proyecto es el mismo.</t>
  </si>
  <si>
    <t>SDATOOL-40763</t>
  </si>
  <si>
    <t>Seguros - Infraestructura y Workplace 2023</t>
  </si>
  <si>
    <t>Adquisición de hardware 2023</t>
  </si>
  <si>
    <t>SDATOOL-40764</t>
  </si>
  <si>
    <t>Seguros - AXA F2</t>
  </si>
  <si>
    <t>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t>
  </si>
  <si>
    <t>Separar el recaudo de la emisión en la interfaz actual, debe ser independiente la facturación vencida de la facturación anticipada.</t>
  </si>
  <si>
    <t>SDATOOL-40765</t>
  </si>
  <si>
    <t>Seguros - Optimización de productos Bancaseguros 2023</t>
  </si>
  <si>
    <t>yehimymeliza.santamaria-bbva.com</t>
  </si>
  <si>
    <t>SDATOOL-40767</t>
  </si>
  <si>
    <t>Seguros - Migración FW / Auditoria (Front)</t>
  </si>
  <si>
    <t>Realizar la migración de todas las pólizas existentes en el aplicativo de Frontweb por temas de obsolescencia, al aplicativo Acselweb, con el fin de tener consolidad la información en el sistema core de la compañía.</t>
  </si>
  <si>
    <t>SDATOOL-40771</t>
  </si>
  <si>
    <t>Resolución Cuentas Maestras y Cuentas Maestras para Pagos Electrónicos (PSE): Anexo Técnico - Nuevo reporte de información</t>
  </si>
  <si>
    <t>El cargue de los archivos planos seguirá un orden lógico en el cual se cargará primero el archivo con la información de las Cuentas Maestras y posterior a la recepción exitosa de este, se deberá cargar lo correspondiente a la información de las Cuentas Maestras para Pagos Electrónicos (PSE), se debe efectuar en este orden para que el aplicativo web no arroje error.
 El nuevo aplicativo realizará un proceso de validación de la información, donde primero revisa la estructura de los datos informando por correo electrónico el resultado de la validación y una vez realizada de forma exitosa la primera validación, se realiza un control de calidad del contenido de cada campo del archivo cargado informando de igual forma por correo electrónico el resultado.
 De acuerdo con el documento Anexo Técnico de la Resolución conjunta de Cuentas Maestras y Cuentas Maestras para Pagos Electrónicos (PSE)</t>
  </si>
  <si>
    <t>SDATOOL-40812</t>
  </si>
  <si>
    <t>Fiduciaria - Cambio de operador tecnologico para los documentos electronicos en la sociedad</t>
  </si>
  <si>
    <t>Atencion a los requerimientos normativos 2023 para BBVA fiduciaria</t>
  </si>
  <si>
    <t>SDATOOL-40813</t>
  </si>
  <si>
    <t>Fiduciaria - Autogestion Usuarios - AI Pagos End to End</t>
  </si>
  <si>
    <t>Establecer un módulo de enrolamiento en el que se maneje la información del cliente con las medidas de seguridad de la información y que permita su trazabilidad en caso de modificaciones.</t>
  </si>
  <si>
    <t>SDATOOL-40850</t>
  </si>
  <si>
    <t>SMART SUPERVISION - MOMENTO 4</t>
  </si>
  <si>
    <t>vCumplimiento norma Superfinanciera
 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t>
  </si>
  <si>
    <t>magnolia.aristizabal-bbva.com</t>
  </si>
  <si>
    <t>SDATOOL-40869</t>
  </si>
  <si>
    <t>Herramientas Regulatorias Regionales (FINREP/AE y Liquidez) 2023</t>
  </si>
  <si>
    <t>Con el objetivo de mantener las directrices, guías y normativas actualizadas de los distintos supervisores, legisladores y reguladores, así como a los requerimientos de los usuarios, existe la necesidad de realizar mantenimiento a los motores regionales durante el año 2023 (Herramientas Regulatorias Regionales FINREP/AE (Activos Encumbrados) y Liquidez)</t>
  </si>
  <si>
    <t>Mantenimiento a la herramienta regional FINREP/AE y Liquidez.</t>
  </si>
  <si>
    <t>Mantener las directrices, guías y normativas actualizadas de los distintos supervisores, legisladores y reguladores, así como a los requerimientos de los usuarios, existe la necesidad de realizar mantenimiento a los motores regionales durante el año 2023. (Herramientas Regulatorias Regionales FINREP/AE (Activos Encumbrados) y Liquidez)</t>
  </si>
  <si>
    <t>SDATOOL-40877</t>
  </si>
  <si>
    <t>Centralización Garantías Especiales</t>
  </si>
  <si>
    <t>En el marco del proyecto de centralización de desembolsos con garantías especiales (Stand by, Pignoración de Rentas, Encargos Fiduciarios y Fiducias Mercantiles), priorizado en el marco de Corporate Assurance, se requiere la implementación de una transacción de autorización remota en NACAR previo al desembolso de este tipo de crédito. El desembolso lo hace cualquier oficina y el VoBo o autorización remota lo dará un cargo único a nivel nacional de "Centralizador". Adicionalmente, requerimos la creación del perfil en NACAR para este Centralizador con las transacciones requeridas para ejecutar las responsabilidades de este nuevo Rol, entre otras, las autorizaciones remotas y consultas a las plataformas para consultar operaciones o clientes de cualquier banca.</t>
  </si>
  <si>
    <t>En revisiones relativa a las correcta formalización y custodia de operaciones garantizadas por las mencionadas garantías especiales, se identificó un alto riesgo en este tipo de cobertura por mala instrumentación. Lo anterior dadas las particularidades de las garantías utilizadas (requeridas en las autorizaciones de Riesgos). Por ello se considera que para mitigar el riesgo identificado es necesario centralizar el control de este tipo de desembolsos para garantizar la correcta constitución de este tipo de garantías y la completa custodia de los documentos que la respaldan</t>
  </si>
  <si>
    <t>Posibles pérdidas por imposibilidad de recuperar operaciones en mora dada la mala instrumentación de las garantías constituidas por el cliente</t>
  </si>
  <si>
    <t>SDATOOL-40984</t>
  </si>
  <si>
    <t>Proyecto - Identificación e ingesta de las tablas necesarias en datio y la construcción del caso de uso para la identificación de vínculos - Colombia</t>
  </si>
  <si>
    <t>Identificación e ingesta de las tablas necesarias en datio y la construcción del caso de uso para la identificación de vínculos.</t>
  </si>
  <si>
    <t>A raíz de la visita de la SFC se establece la necesidad de realizar la identificación de los vinculos de los clientes mediante el análisis de grafos con el fin de identificar si pertenecen a redes o grupos al margen de la ley.</t>
  </si>
  <si>
    <t>El proyecto atiende una recomendación de la SFC, el cual si no se atiende puede causar sanciones a la organización.</t>
  </si>
  <si>
    <t>SDATOOL-41029</t>
  </si>
  <si>
    <t>IATAPAY</t>
  </si>
  <si>
    <t>Permitir la conciliación y distribución correcta en el modelo del proyecto IATA para la transacción de (abono concentración PSE Cod Mvto 278) asociada a los pagos del botón PSE, en este caso se debe garantizar la distribución de cuentas Madre a Cuentas Hijas de los respectivos abonos, y a su vez se debe garantizar la conciliación y el envío de la información en los archivos MT940.</t>
  </si>
  <si>
    <t>Porque este producto permitirá el crecimiento del recaudo y en su defecto el negocio de IATA en BBVA Colombia con la administración de un nuevo canal de recaudo.</t>
  </si>
  <si>
    <t>SDATOOL-41031</t>
  </si>
  <si>
    <t>Proyecto - Shadow IT - Migración a un nuevo aplicativo de la herramienta SIGLAFT</t>
  </si>
  <si>
    <t>Desde cumplimiento se requiere una herramienta en al cual se pueda llevar a cabo todos los flujos del área de los procesos de ROI, Filtros, conceptos y Alertas.</t>
  </si>
  <si>
    <t>En cumplimiento se cuenta con una herramienta creada a la medida en la cual se llevan a cabo todos los flujos del área. Esta herramienta está catalogada como Shadow IT y desde seguridad están solicitando que esta cumpla con las políticas del banco, por ende esta se debe de migrar a un nuevo aplicativo o se debe de crear una nueva herramienta.</t>
  </si>
  <si>
    <t>Atender el requerimiento de auditoría.</t>
  </si>
  <si>
    <t>SDATOOL-41047</t>
  </si>
  <si>
    <t>INCLUSIÓN DE SITIOS PARA CERTIFICACIÓN ISO 14001</t>
  </si>
  <si>
    <t>Dentro de la estrategia de Sostenibilidad, BBVA está enfocando sus esfuerzos en la protección del medio ambiente y el desarrollo sostenible
 Dentro del Plan Global de Ecoeficiencia (PGE) 2021-2025 se ha fijado en sus objetivos la certificación del 30% de la superficie de BBVA Colombia a nivel nacional equivalente a 63.699M2 (año base 2019).
 En 2022 incrementaremos el área certificada en 20.748M2, correspondiente a la inclusión de 43 oficinas en Barranquilla y Bogotá, con lo cual llegaríamos a 41.800M2 alcanzando el 65% del objetivo fijado a 2025.</t>
  </si>
  <si>
    <t>Desde el año 2015, BBVA Colombia ha obtenido la certificación en sus edificios singulares de manera recurrente (Dirección General, Teusaquillo, Astorias). Para el año 2021, se certificaron 21.052,38M2 equivalentes al 11% de la superficie a nivel nacional, y al 33% del objetivo planteado al año 2025.</t>
  </si>
  <si>
    <t>eduardo.robayo-bbva.com</t>
  </si>
  <si>
    <t>Make a positive impact</t>
  </si>
  <si>
    <t>SDATOOL-41053</t>
  </si>
  <si>
    <t>Transformación del proceso CARO - Colombia</t>
  </si>
  <si>
    <t>Se requiere atender los 34 puntos de dolor identificados durante el análisis del circuito de CARO como parte de la iniciativa de transformación del proceso. Dentro de los puntos a trabajar se han agrupado de la siguiente manera:
 - Customer Experian
 - Productividad
 - Control y seguimiento.
 Se requiere el levantamiento de la información, ajustes a los procesos y paso a JIRA.</t>
  </si>
  <si>
    <t>Con el objetivo de mejorar el circuito de CARO se requiere implementa las 14 iniciativas (Tácticas y estratégicas) que permitan una transformación del proceso E2E.</t>
  </si>
  <si>
    <t>jorge.linares-bbva.com</t>
  </si>
  <si>
    <t>Migración de herramienta por obsolescencia, si no se atiende no se puede continuar con la gestión diaria.</t>
  </si>
  <si>
    <t>SDATOOL-41055</t>
  </si>
  <si>
    <t>Prueba CoE Agile 26 oct</t>
  </si>
  <si>
    <t>Prueba 1</t>
  </si>
  <si>
    <t>4Q 2026</t>
  </si>
  <si>
    <t>eder.pinzon-bbva.com</t>
  </si>
  <si>
    <t>jimmyalejandro.pena-bbva.com</t>
  </si>
  <si>
    <t>elmer.fajardo-bbva.com</t>
  </si>
  <si>
    <t>SDATOOL-41056</t>
  </si>
  <si>
    <t>CAMBIO DEL SISTEMA HIDRAULICO DIRECCION GENERAL FASE II</t>
  </si>
  <si>
    <t>Implementar el cambio de la tubería de la red hidráulica secundaria, terciaria y complementar el sistema de control ya instalado en el Edificio de Dirección General para unificarlo con el sistema de la Red Principal instalado en la Fase I de este proyecto, generando así una mejora en la calidad del agua suministrada y la adecuada manipulación de los equipos</t>
  </si>
  <si>
    <t>Hoy en día no es posible hacer uso de las baterías sanitarias simultáneamente, debido a que red no cuenta con la suficiente presión para activar los dispositivos sanitarios, además se espera disminuir los recorridos de las tuberías evitando el tránsito por los actuales pasillos reduciendo el riesgo de daños significativos en los cielorrasos.</t>
  </si>
  <si>
    <t>SDATOOL-41111</t>
  </si>
  <si>
    <t>IMPLEMENTACION DE ESTACIONES DE CARGA VEHICULOS ELECTRICOS EN DIRECCION GENERAL</t>
  </si>
  <si>
    <t>Adecuación de 4 estaciones de carga para vehículos eléctricos en la sede de DG</t>
  </si>
  <si>
    <t>Contribuir a la estrategia de sostenibilidad de BBVA mediante iniciativas de impacto directo, Incentivando entre los empleados de DG el uso de medios alternativos de transporte que reduzcan las emisiones de CO2</t>
  </si>
  <si>
    <t>Achieve Net Zero 2050</t>
  </si>
  <si>
    <t>SDATOOL-41113</t>
  </si>
  <si>
    <t>ADQUISICION COMPACTADORA DE BASURAS EN DIRECCION GENERAL</t>
  </si>
  <si>
    <t>Reemplazar por obsolescencia la máquina compactadora de basuras que hay en DG.</t>
  </si>
  <si>
    <t>La maquina actual tiene un funcionamiento deficiente y no se cuenta con representación para el servicio de mantenimiento correctivo por ser artesanal</t>
  </si>
  <si>
    <t>SDATOOL-41114</t>
  </si>
  <si>
    <t>REEMPLAZO DEL SISTEMA DE VENTILACION MECANICA DIRECCION GENERAL</t>
  </si>
  <si>
    <t>Reemplazar los equipos de suministro y extracción de aire del edificio de D.G.</t>
  </si>
  <si>
    <t>Mejorar la ventilación del edificio, con efecto directo en la temperatura y la calidad del aire efectuando recambios de aire en el ambiente, reducción de ruido, reducción de consumo de energía, los equipos actuales tienen más de 35 años y su funcionamiento no es óptimo.</t>
  </si>
  <si>
    <t>SDATOOL-41116</t>
  </si>
  <si>
    <t>ADQUISION DE PLANTA ELECTRICA CALLE 39 - SUPLENCIA 100%</t>
  </si>
  <si>
    <t>Respaldo eléctrico para los pisos 2, 3, 4 y ascensor del edificio Parque Nacional</t>
  </si>
  <si>
    <t>Respaldo por fallas presentadas en el fluido eléctrico, que afectan la operación de las áreas que ocupan el edificio.</t>
  </si>
  <si>
    <t>SDATOOL-41118</t>
  </si>
  <si>
    <t>EQUIPO INMOBILIARIO AACC</t>
  </si>
  <si>
    <t>SDATOOL-41120</t>
  </si>
  <si>
    <t>Bonita 7 Hipotecario – Ampliar plazo repositorio documental</t>
  </si>
  <si>
    <t>Se trata de ampliar la capacidad de almacenamiento en bonita 7 para pasar de 6 meses a 2 años en los créditos de vivienda</t>
  </si>
  <si>
    <t>Esto se requiere para poder mantener la oferta de créditos de 540 días</t>
  </si>
  <si>
    <t>andres.gordon-bbva.com</t>
  </si>
  <si>
    <t>No cumplir el KPI</t>
  </si>
  <si>
    <t>SDATOOL-41136</t>
  </si>
  <si>
    <t>Implementación de zonas para trabajo colaborativo Scrum (Fábricas Digitales)</t>
  </si>
  <si>
    <t>Para obtener mayor cohesión de los equipos Scrum, es necesario generar los espacios de trabajo colaborativo interdisciplinario cumpliendo las modalidades de trabajo de los colaboradores que integran los equipos.</t>
  </si>
  <si>
    <t>Se requiere de la presencialidad para el seguimiento y control sobre los avances de los equipos Scrum</t>
  </si>
  <si>
    <t>SDATOOL-41152</t>
  </si>
  <si>
    <t>Seguros - LIS Coaseguro Aceptado Autos F2</t>
  </si>
  <si>
    <t>SDATOOL-41153</t>
  </si>
  <si>
    <t>Cronos - Plan Ascenso - Cap Pymes Transformación circuito admisión</t>
  </si>
  <si>
    <t>Se requiere transformacion del circuito de pymes a fin de lograr que la sancion de algunas operaciones de pymes se pueda realizar desde la oficina.</t>
  </si>
  <si>
    <t>Se requiere mejorar los tiempos de respuesta de los clientes de pymes, teniendo el apoyo de un puntaje de score de un externo</t>
  </si>
  <si>
    <t>SDATOOL-41155</t>
  </si>
  <si>
    <t>DevOps: Estandarización del Ciclo de Vida del Software - 2023</t>
  </si>
  <si>
    <t>juliocesar.avila.garcia.contractor-bbva.com</t>
  </si>
  <si>
    <t>mario.loaiza-bbva.com</t>
  </si>
  <si>
    <t>SDATOOL-41156</t>
  </si>
  <si>
    <t>Fenix Colombia</t>
  </si>
  <si>
    <t>La gestión del talento representa un reto para todas las organizaciones que se encuentran en ritmos sostenidos de transformación digital post pandemia. Nuestra tasa general de rotación es más baja que la del mercado y ha ido mejorando en los últimos trimestres. Sin embargo, todavía es alto, en particular en algunas funciones y unidades específicas Es necesario rediseñar nuestro proceso y nuestro acercamiento a los mercados de talento.</t>
  </si>
  <si>
    <t>Acceder y contratar al mejor talento
 Mejorar los KPIs* ( time to fill, time to hire &amp; quality of hire)
 Mejorar la experiencia de los candidatos
 Mitigar riesgo de fuga (attrition)
 Mejorar el posicionamiento de BBVA como marca empleadora en nichos de talento</t>
  </si>
  <si>
    <t>Recruitment &amp; Mobility</t>
  </si>
  <si>
    <t>SDATOOL-41171</t>
  </si>
  <si>
    <t>CBS Core Banking Strategy Convivencia Clients and Contracts</t>
  </si>
  <si>
    <t>Implementar la convivencia para la consulta clientes y contratos entre la Plataform aAltamira y la base Operacional Alpha de clientes y contratos
 Mapeo, Ingesta y convivencia para el primer grupo de entes funcionales en Alpha</t>
  </si>
  <si>
    <t>Habilitar la coexistencia de diferentes sistemas tecnológicos para los aplicativos del Core Banking. 
 Reducir consumos transaccionales sacando las infraestructuras de Personas y Contratos a sistemas distribuidos</t>
  </si>
  <si>
    <t>Core Banking System - Transform Banking Backend</t>
  </si>
  <si>
    <t>Clients and Contracts (SWP1)</t>
  </si>
  <si>
    <t>SDATOOL-41172</t>
  </si>
  <si>
    <t>Switches Oficina &amp; Red de Piso Edificios Principales a Nivel Nacional</t>
  </si>
  <si>
    <t>"Eliminación Obsolescencia Red Oficinas &amp; Switch de Piso Edificios principales.
 Aumento de la capacidad tráfico tarjeta de red se pasa de 10/100 a 10/100/1000"</t>
  </si>
  <si>
    <t>"El fabricante ya declaró End of Support varias piezas de esta infraestructura lo cual no permite tener actualizaciones, soporte o mantenimiento.
 Expuestos a una suspension de servicios en caso de falla o daño para la red de oficinas y Edificios Principales a Nivel Nacional"</t>
  </si>
  <si>
    <t>Proyecto para iniciar en Q1 2023. El Banco BBVA Colombia actualmente presenta obsolescencia tecnológica en equipos de comunicaciones de red LAN (Switches) que son los encargados de garantizar la conectividad de los equipos y servidores a los servicios transaccionales del Banco. Expuestos a una suspensión del servicio transaccional y en línea en caso de falla y a la prestación del servicio por parte de los funcionarios de BBVA.</t>
  </si>
  <si>
    <t>SDATOOL-41173</t>
  </si>
  <si>
    <t>End of support Directores SAN CPD</t>
  </si>
  <si>
    <t>"El propósito del proyecto es adquirir dos nuevos directores en HA de tipo empresarial de 144 puertos cada uno, cableado de potencia y de datos, servicios de migración y soporte a 3 años. 
 "MDS 9700 48-Port 32-Gbps Fibre Channel Switching Module, Spare 3
 32 Gbps Fibre Channel SW SFP+, LC (Spare) 144
 Professional Services 
 "</t>
  </si>
  <si>
    <t>"● Los directores cumplen 8 años de servicio, las nuevas infraestructuras requieren una mayor capacidad de canal y se debe eliminar la obsolescencia
 ● Esta plataforma tiene aviso de EOS para el año 2024.
 ● Otras geografías como México, España y Argentina renuevan los equipos de cómputo entre 4 y como máximo 5 años.
 ● El contrato de soporte de la plataforma actual vence el 31 de Septiembre de 2023 por lo tanto la plataforma debe de estar instalada y migrada antes de esta Fecha."</t>
  </si>
  <si>
    <t>la maquina tiene aviso de End-support ,en caso de que se presente una falla física no habría ni repuestos ni soporte, estos costos que están el BC es la perdida con algunas de las aplicaciones mas críticas, al fina si se caen los directores se cae todo el datacenter
 Business Case:
 https://docs.google.com/spreadsheets/d/14HNbTKrC5tnOhB2nN5RqWXozIC0GCnDtHR71JmVh6zs/edit#gid=893884474</t>
  </si>
  <si>
    <t>SDATOOL-41174</t>
  </si>
  <si>
    <t>Ampliación infraestructura backups de corta y larga retención</t>
  </si>
  <si>
    <t>El propósito es ampliar en 147 TB la capacidad de almacenamiento de backups y contratar 20 TB de almacenamiento en la Nube (para almacenamiento de larga retención) + servicios + soporte.
 "NETBACKUP APPLIANCE 5240 49TB UPGRADE SECOND OR GREATER
 STORAGE SHELF APPLIANCE + 3 Años de Soporte 
 NETBACKUP RECOVERY VAULT 1 BACK END TB HOSTED STANDARD
 SUBSCRIPTION LICENSE x 12 meses 
 SERVICIOS
 Integración Recovery Vault (Documentación, Configuración, Juntas con Seguridad, Habilitar Cifrado)
 Actualización Master Server (Revisión de Consistencia, Actualización Activo/Pasivo en Barranquilla y Bogotá)
 Actualización Appliance 5240 (Ejecución y Ajustes derivados de AURA, Actualización)
 Actualización Access (Actualización a 7,4,3,200) 
 Actualización OpsCenter (Actualización)
  80 Horas de Soporte - 7x24 - Soporte en bloques de 2HH Mínimo "</t>
  </si>
  <si>
    <t>"Capacidad de almacenamiento de backup ocupado al 93%
 •Mayor carga de BK (de 45TB a 160 TB 255% más) de 160 Máquinas virtuales nuevas por proyecto de apagado de Power y Linux, virtualización Sterling, Mx, Grannet, entre otros.
 •Incremento de carga de backup por Svrfiles (de 60TB a 140 TB 160% más).
 •Riesgo de no cubrir requerimiento de retención de backups de información regulatoria a más de 10 Años. Información que se debe almacenar en repositorios centrales y no en Workstation o en Drive."</t>
  </si>
  <si>
    <t>SDATOOL-41180</t>
  </si>
  <si>
    <t>Renovación por Obsolescencia de los sistemas de CCTV de la Red de Oficinas y ATMS</t>
  </si>
  <si>
    <t>Renovación con equipos nuevos para los sistemas de CCTV</t>
  </si>
  <si>
    <t>Contar con elementos con un sistema de seguridad en perfecto estado a tiempo garantiza que los sistemas de seguridad salvaguarden nuestros diferentes putos de atención y ATMs</t>
  </si>
  <si>
    <t>En caso de desestimar, la renovación de los sitemas de seguridad Fisica de los puntos de atencion,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t>
  </si>
  <si>
    <t>SDATOOL-41181</t>
  </si>
  <si>
    <t>Nuevo Modelo de Oficina</t>
  </si>
  <si>
    <t>Lograr una oficina enfocada en la gestión comercial</t>
  </si>
  <si>
    <t>Premisas:
 Dejar de hacer transacciones que no aportan valor en la oficina
 Eliminar actividades sin valor añadido
 Automatización de controles
 Centralización de actividades (por zona o a nivel nacional)
 DiY: migración transaccional = más tiempo para actividades de valor
 100% de los roles con capacidad de venta</t>
  </si>
  <si>
    <t>hayden.cardenas-bbva.com</t>
  </si>
  <si>
    <t>SDATOOL-41182</t>
  </si>
  <si>
    <t>EBA - Aplicaciones ICC</t>
  </si>
  <si>
    <t>Identificación de gaps y planes de remediación bajo una metodología global de referencia.</t>
  </si>
  <si>
    <t>Establecer un roadmap de implementación de las medidas de seguridad para la protección de la información en aplicaciones con Información Críticamente Confidencial-ICC, Mejorar los indicadores de riesgo (KRI), por solicitud del Banco Europeo.</t>
  </si>
  <si>
    <t>En caso de descontinuar el proyecto, No contar con un inventario de aplicaciones que contengan datos que se cataloguen como ICC, incumplir requerimiento del corporativo para dar respuesta al Banco Europeo, falta de seguridad en las aplicaciones que contiene ICC (Información críticamente confidencial, exposición económica, reputacional o incumplimiento normativo al comprometerse esa)</t>
  </si>
  <si>
    <t>SDATOOL-41185</t>
  </si>
  <si>
    <t>Colombia Estimating sectoral indicators and their carbon footprint emissions to measure the economy in real time and high definition</t>
  </si>
  <si>
    <t>We will estimate the Gross Value Added by sector of activity in real time. Using the computed emission coefficients from the input-ouput tables, taking into account direct and indirect emissions, we will calculate the performance of each sector and its carbon footprint. This is a global project were all the footprint countries will be working on. The procedure and the methodology will be determined in holding.</t>
  </si>
  <si>
    <t>SDATOOL-41193</t>
  </si>
  <si>
    <t>Reposición sistema Alarmas y Video 2023</t>
  </si>
  <si>
    <t>Elementos para Sistemas de alarma y CCTV (cámaras, videograbadores, sistema de alarma), reposición de equipos que ya no es posible su reparación.</t>
  </si>
  <si>
    <t>Contar los elementos de alarma y video a tiempo garantiza que los sistemas de seguridad salvaguarden nuestros diferentes putos de atención y ATMs</t>
  </si>
  <si>
    <t>En caso de desestimar la adquisición el banco presentaría Incumplimiento y obstaculización para las demás áreas en sus proyectos, incumplimiento y obstaculización para investigaciones internas y externas (FGN - SIJIN- Ponal), pérdida de comunicación, eventos .</t>
  </si>
  <si>
    <t>SDATOOL-41194</t>
  </si>
  <si>
    <t>Sistema de detección de incendios en Edificios Singulares</t>
  </si>
  <si>
    <t>Instalación de los elementos de detección atado al sistema de Monitoreo en el CGA, para ampliación de uso a 24 meses</t>
  </si>
  <si>
    <t>actualización sistema control de accesos biométrico dado que el actual presenta fallas respetivas generando inconsistencias en los controles de seguridad de áreas criticas</t>
  </si>
  <si>
    <t>En caso de desestimar la implementación de los tres sistemas de detección de incendio, el Banco debería asumir los riesgos en caso de siniestros como responsabilidades civiles ante daños y perjuicios en personas y edificaciones y</t>
  </si>
  <si>
    <t>SDATOOL-41198</t>
  </si>
  <si>
    <t>Actualización Servidor receptora de alarmas</t>
  </si>
  <si>
    <t>Asignar un nuevo servidor para la instalación de la aplicación de alarmas Ademco, implementar solución para la recepción de alarmas en una sola SUITE. Dicha aplicación soporta el 50% de las Oficinas y ATMS.
 Actualmente se está incurriendo en $36 Millones x año en hora ingeniero para la estabilización del servicio.</t>
  </si>
  <si>
    <t>Realizar la migración de la aplicación de alarmas Ademco a servidor en Windows 10. 
 Para habilitar la compatibilidad con lectores de pantalla, pulsa Ctrl+Alt+Z. Para obtener información acerca de las combinaciones de teclas, pulsa Ctrl+barra diagonal.</t>
  </si>
  <si>
    <t>En caso de descontinuar con el proyecto, se tendría pérdida de monitoreo e intrusiones en oficinas y ATMS sin reacción inmediata.</t>
  </si>
  <si>
    <t>SDATOOL-41199</t>
  </si>
  <si>
    <t>GRM Col - Nuevo factor de cálculo de provisiones por plazo remanente</t>
  </si>
  <si>
    <t>De acuerdo al comité de riesgo crediticio de la SFC del 26 de Octubre /22, se requiere implementar dos nuevos factores para el cálculo de las provisiones con base en el plazo remanente de las operaciones de consumo. Un primer factor para plazo remanente entre 72 y 108 meses y otro para plazo mayor a 108 meses.</t>
  </si>
  <si>
    <t>La SFC informó que después del análisis al comportamiento de la cartera de consumo, cargas financieras de los hogares y la incertidumbre económica para 2023, definió incluir un factor de ajuste al cálculo de las provisiones, como también la generación de una provisión adicional en la que cada entidad tendrá la potestad de calcularla de acuerdo al análisis y proyecciones de la calidad de su cartera.</t>
  </si>
  <si>
    <t>SDATOOL-41200</t>
  </si>
  <si>
    <t>Equipamiento WorkPlace AACC (Día a Día)</t>
  </si>
  <si>
    <t>Optimizar el equipamiento con reporte de incidencias, que presenta daños, bloqueos y/o lentitud; reincidencias de daños, perdidas y robos</t>
  </si>
  <si>
    <t>Contar con equipamiento tecnológico en optimo funcionamiento, evitando impacto en la atención al cliente</t>
  </si>
  <si>
    <t>De no abordar el proyecto en us totalidad se verá reflejado en bajo rendimiento de funcionarios, afectando la productividad del Banco.</t>
  </si>
  <si>
    <t>SDATOOL-41201</t>
  </si>
  <si>
    <t>BBVA Valores - Envio Automatico de informes FIC Makers</t>
  </si>
  <si>
    <t>Se requiere la generación automatica de reportería de inversiones desde el Fondo de inversión Colectiva Money Market hacia los clientes</t>
  </si>
  <si>
    <t>Brindar información actualizada a los clientes quienes requieren tomar decisiones y conciliación bancaria.</t>
  </si>
  <si>
    <t>andreacarolina.camacho-bbva.com</t>
  </si>
  <si>
    <t>SDATOOL-41202</t>
  </si>
  <si>
    <t>GRM Col - Ajustes Asset Allocation y Riesgo de Concentración</t>
  </si>
  <si>
    <t>Se requiere implementar mejoras en el módulo de grupos económicos a fin de minimizar los errores en la captura de los mismos, depurar la base existente y ajustar los reportes de salida.</t>
  </si>
  <si>
    <t>Como resultado de validación de auditoria se detecta debilidad en el control y mantenimiento de la base de Grupos Económicos transversal en todas las áreas de admisión de riesgos.</t>
  </si>
  <si>
    <t>juancarlosdavid.barbosa-bbva.com</t>
  </si>
  <si>
    <t>SDATOOL-41203</t>
  </si>
  <si>
    <t>Obsolescencia Aplicativa 2023</t>
  </si>
  <si>
    <t>Migrar los aplicativos en obsolescencia a infraestructura renovada, la Obsolescencia SW se mide a nivel de sistemas operativos, middleware, bases de datos; que al llegar a estado de Obsolescencia no contarían con soporte fabricante, lo cual genera el riesgo de indisponibilidad del servicio y no poder recuperarlo. Para las migraciones se requieren desarrollos y/o pruebas que en algunos casos generan un costo, este proyecto busca cubrir esos costos con el fin de eliminar bloqueantes en la actividad de migración de manera continua. Se incluyen aplicativos en el HUB y en el CPD local.</t>
  </si>
  <si>
    <t>Actualmente BBVA tiene un 43.3% de obsolescencia SW en el HUB, el plan de obsolescencia buscar llevar el nivel de Obsolescencia al 21,7% o menos para el 2023.</t>
  </si>
  <si>
    <t>faride.ortiz-bbva.com</t>
  </si>
  <si>
    <t>Perdidas económicas y reputacionales por servicios no disponibles.</t>
  </si>
  <si>
    <t>SDATOOL-41205</t>
  </si>
  <si>
    <t>Tagging Netcash, Net, e-markets</t>
  </si>
  <si>
    <t>Etiquetar los flujos de las diferentes plataformas con el fin de recopilar, medir y analizar el comportamiento de los usuarios durante el flujo de negociación, así como de identificar puntos de mejora durante el mismo y disminuir el abandono en la negociación.</t>
  </si>
  <si>
    <t>SDATOOL-41206</t>
  </si>
  <si>
    <t>Ordenes de pago recibidas (OPR)</t>
  </si>
  <si>
    <t>Lograr que todas las órdenes de pago en moneda extranjera que reciban nuestros clientes, sean cargadas automáticamente a las plataformas de negociación Netcash y Net (en función del tipo de cliente que corresponda - Personas Jurídicas o Naturales), sin importar si la cuenta informada del beneficiario en BBVA Colombia llegue con 9, 10, 14, 16, 18 o 20 dígitos, lo cual le permitirá a los clientes las puedan negociar digitalmente por dichos canales.</t>
  </si>
  <si>
    <t>SDATOOL-41207</t>
  </si>
  <si>
    <t>Derivados implícitos ( Triadas)</t>
  </si>
  <si>
    <t>Generar un flujo de proceso donde se pueda intercambiar el tipo de tasa y/o divisa del fondeo de la DD.FF. a través de derivados concertados entre el COAP y GM. Lo anterior con el fin de ofrecerlo a clientes que tienen dificultades para celebrar contratos marco locales y/o con dificultades en contabilidad de coberturas.</t>
  </si>
  <si>
    <t>A través de ésta iniciativa, los clientes pueden acceder a tasas de interés más competitivas que aquellas a las que se pueden endeudar cuando cotizan directamente el crédito. siendo un crédito con un derivado implícito, no hay necesidad de tener un Contrato Marco firmado debido a que no se va a operar ningún derivado contra el cliente, sólo entre mesas internas (COAP-GM).</t>
  </si>
  <si>
    <t>alfredojose.pertuz-bbva.com</t>
  </si>
  <si>
    <t>SDATOOL-41209</t>
  </si>
  <si>
    <t>Journey 2 Cloud 2023 (Sunset CPD)</t>
  </si>
  <si>
    <t>Migrar los aplicativos según Road map de Sunset hacia nube privada, pública o transformación a Ether, con el objetivo de apagado o decomisado de infraestructura en CPD local.</t>
  </si>
  <si>
    <t>Por definición del Holding en el CPD local debe tenerse la infraestructura mínima requerida para los servicios TI, sólo los servicios que no sea posible migrar por razones técnicas o legales deben estar soportados por infraestructura en el CPD local.</t>
  </si>
  <si>
    <t>Perdidas económicas y reputacionales por servicios no disponibles a causa de: incidencias críticas, servicios sin planes de continuidad ante desastres, falta de capacidad.</t>
  </si>
  <si>
    <t>SDATOOL-41210</t>
  </si>
  <si>
    <t>Adecuación de Laboratorio ATM Entornos Previos</t>
  </si>
  <si>
    <t>1.Desmonte de 12 puestos de trabajo, quedando solo con 5 puestos para trabajo.
 2.Adecuación e instalación de canaleta aérea con tomas reguladas y de datos.
 3.Adecuación de una cámara adicional y reubicación de las dos actuales.
 4.Adecuación de un imán con lector de tarjetas.
 5.Revisar puntos de red habilitados para los 15 cajeros ,5 puestos y 3 de seguridad (imán, lectora, cámara adicional)
 6. Adquisición de teclados para ATMS Laboratorio Previo</t>
  </si>
  <si>
    <t>Adecuación de laboratorio con el fin brindar la seguridad adecuada y el manejo de elementos propios de los cajeros de pruebas en los ambientes previos</t>
  </si>
  <si>
    <t>perdida de información - seguridad en los cajeros software instalado sin autorización
 150 MM</t>
  </si>
  <si>
    <t>SDATOOL-41211</t>
  </si>
  <si>
    <t>Monitorización equipos usuarios BBVA Forensic Tool Kit</t>
  </si>
  <si>
    <t>El requerimiento incluye:
 Exterro FTK Enterprise priorización 2.000 Nodos, 10 examinadores. (Nodos totales 10.000)
 Licenciamiento por suscripción actualización y soporte por 1 año.</t>
  </si>
  <si>
    <t>Adquirir capacidad tecnológica para realizar investigaciones forenses en tiempo real, con un mínimo requerido de nodos actuales del 20%</t>
  </si>
  <si>
    <t>En caso de descontinuar el proyecto, se desaprovecharía la solución actual del laboratorio forense, no se pueden generar modelos preventivos de fraude interno, anticipación en la identificación de patrones o conductas fraudulentas internas y filtrado, borrado o pérdida de información confidencial.</t>
  </si>
  <si>
    <t>SDATOOL-41212</t>
  </si>
  <si>
    <t>Shadow IT</t>
  </si>
  <si>
    <t>Intervención en procesos de nuevas iniciativas 
 Revisión procesos de contratación personas Systems para desarrollos desde otras vicepresidencias diferentes a Ingeniería.
 Definición herramientas en Ingeniería - circuito 
 Generación de procesos que garanticen la no continuidad de esta mala práctica.</t>
  </si>
  <si>
    <t>Generación de gobierno en el proceso E2E de generación de iniciativas que puedan llevar a la aparición de nuevos Shadow IT.</t>
  </si>
  <si>
    <t>En caso de descontinuar el proyecto, no se tendría generación de soluciones tácticas definidas por los usuarios sin que haya gobierno de Ingeniería, soluciones sin seguridad.
 No utilización de herramienta no autorizadas en el Banco, licenciamientos no autorizados.</t>
  </si>
  <si>
    <t>SDATOOL-41213</t>
  </si>
  <si>
    <t>Monitorización BBDD Physic</t>
  </si>
  <si>
    <t>Cubrir gaps de protección de datos en sistemas Nextgen con una aproximación guiada por riesgos y basada en datos objetivos.
 Integración de logs de SEMaaS a Fusión, SEMaaS es un repositorio corporativo de logs donde se almacenan. Fusión, es una plataforma de seguridad para analistas y operadores de ciber seguridad (equipos de monitorización, de respuesta ante incidentes, análisis forense, etc.). Es un espacio de tecnologías integrado en una única plataforma.</t>
  </si>
  <si>
    <t>Monitorización de usuarios nominales y administrativos de las bases de datos Physics del entorno de Producción.</t>
  </si>
  <si>
    <t>SDATOOL-41216</t>
  </si>
  <si>
    <t>Retargeting Estrategico tarjeta de crédito Open Market</t>
  </si>
  <si>
    <t>Iniciativa para lograr retomar la venta efectiva no culminada a través del flujo de Open Market y lograr cerrarla a través de nuestros canales</t>
  </si>
  <si>
    <t>SDATOOL-41217</t>
  </si>
  <si>
    <t>Migración SOAP a API Rest Inalambria</t>
  </si>
  <si>
    <t>Se requiere actualizar el consumo del Banco hacia la API Rest del proveedor de mensajería SMS Inalambria. Es un mandato del proveedor, si no se hacen estas adecuaciones técnicas no se van a poder enviar más mensajes SMS</t>
  </si>
  <si>
    <t>Tema mandatorio por parte del proveedor de mensajería SMS, el servicio que se consume actualmente esta en un camino de obsolescencia porque la mayoría de consumos se hace a través de Api Rest, esto trae al servicio mejoras en el desempeño, un servicio más estable, altamente disponible, esta en la nube, las nuevas implementaciones y actualizaciones se harán sobre Rest y no sobre SOA por lo que este último tiende a la obsolescencia.</t>
  </si>
  <si>
    <t>olga.benitez-bbva.com</t>
  </si>
  <si>
    <t>luz.cifuentes-bbva.com</t>
  </si>
  <si>
    <t>SDATOOL-41230</t>
  </si>
  <si>
    <t>Modelo de Creación y optimización de reglas para fraude</t>
  </si>
  <si>
    <t>El objetivo del proyecto debera permitir crear nuevas reglas que amplie el scope de detección de fraude dentro de los sistemas de monitorización de tal forma que mejore el falso positivo de las reglas y optimice los tiempos de reacción a los intentos de fraude creando mayor fraude prevenido y disminuyendo lel fraude materializado.
  Crear un modelo de simulación de reglas que permita revisar los principales impactos que podría tener una regla en sus diferentes aristas: impacto a clientes, falso positivo, captación de fraude materializado, Fraude prevenido y número de alertas, de tal forma que permita poder reducir el periodo en el que una alerta se encuentre en periodos de prueba. Por otra parte el proceso de optimización permitira estar mejorando constantemente el falso positivo de las reglas productivas de tal forma que reduzca las alertas y maximice la captación de fraude.
 Para habilitar la compatibilidad con lectores de pantalla, pulsa Ctrl+Alt+Z. Para obtener información acerca de las combinaciones de teclas, pulsa Ctrl+barra diagonal.</t>
  </si>
  <si>
    <t>Este proyecto se desarrolla con la finalidad de disminuir los niveles de fraude materializados y quejas por transacciones no reconocidas 
 Para habilitar la compatibilidad con lectores de pantalla, pulsa Ctrl+Alt+Z. Para obtener información acerca de las combinaciones de teclas, pulsa Ctrl+barra diagonal.</t>
  </si>
  <si>
    <t>SDATOOL-41308</t>
  </si>
  <si>
    <t>Aplicativos Tesorería 2023</t>
  </si>
  <si>
    <t>SDATOOL-41333</t>
  </si>
  <si>
    <t>Meta Conversion API</t>
  </si>
  <si>
    <t>Centralizar las conversiones exitosas realizadas por la la plataformas e META (Facebook intagram etc) en repositorios propios del banco para desligarse del uso de las cookies de terceros a que estan van a ser deprecadas. 
 Conversion API Es una herramienta que permite a las marcas compartir datos, tanto de eventos online como offline, directamente desde su servidor a Facebook. De esta manera, los anunciantes pueden utilizar la información y los datos que controlan y registran para optimizar las campañas y lograr los resultados que desean.
 Al utilizar la API de Conversiones, las marcas pasan a tener una fuente de datos confiable - y que respeta las opciones de privacidad de los usuarios de Facebook.</t>
  </si>
  <si>
    <t>Con la futura desaparición de las cookies de terceros(2024), no va a ser posible enviar esta información desde el lado del cliente, por este motivo todas las plataformas de marketing están sacando soluciones server side que les permitan informar de esta conversión utilizando otro tipo de identificadores como puede ser el eMail o el teléfono del usuario, previamente encriptado. Ademas permite entenderla atribucion de las ventas realziadas por este meido para ser mas eficientes en el manejo presupuestal y en el costo por adquisicion de clientes</t>
  </si>
  <si>
    <t>SDATOOL-41334</t>
  </si>
  <si>
    <t>Google enhanced conversion</t>
  </si>
  <si>
    <t>Las conversiones mejoradas son una función que puede mejorar la precisión de la medición de conversión y desbloquear ofertas más potentes. Complementa las etiquetas de conversión existentes mediante el envío de datos de conversión propios cifrados desde el sitio web a Google de una manera segura para la privacidad.</t>
  </si>
  <si>
    <t>Evolucion del tech stack de Ventas digitales, en pro de prepararse para el mundo sin cookies ya que permite la optimizacion en la publicidad paga y el desarrollo del conoocimiento del cliente.</t>
  </si>
  <si>
    <t>SDATOOL-41348</t>
  </si>
  <si>
    <t>Estudio Único Sindicado de Percepción Sector Bancario CNC</t>
  </si>
  <si>
    <t>Entrega de bases de datos de clientes particulares y jurídicos para realizar encuestas de satisfacción de servicio</t>
  </si>
  <si>
    <t>Transmisión de base por única vez al CNC (Centro Nacional de Consultoría). Para realizar encuesta de la industria financiera.</t>
  </si>
  <si>
    <t>giovanny.vargas-bbva.com</t>
  </si>
  <si>
    <t>SDATOOL-41446</t>
  </si>
  <si>
    <t>Onboarding cash management Netcash/Gema</t>
  </si>
  <si>
    <t>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t>
  </si>
  <si>
    <t>Aumentar la digitalización y autogestión de clientes del segmento.</t>
  </si>
  <si>
    <t>SDATOOL-41448</t>
  </si>
  <si>
    <t>Compra de divisas mediante APP Empresas GEMA</t>
  </si>
  <si>
    <t>Habilitar la negociación de divisas y autorizaciones mediante la app empresas (GEMA) para clientes jurídicos y PNN</t>
  </si>
  <si>
    <t>Digitalizar la negociación de divisas para clientes jurídicos, generando agilidad y rapidez para que los clientes manejan sus negociaciones y canalicen los recursos por el BANCO</t>
  </si>
  <si>
    <t>SDATOOL-41452</t>
  </si>
  <si>
    <t>NGA - Colombia. Proactivo Cliente (CRONOS)</t>
  </si>
  <si>
    <t>SDATOOL-41457</t>
  </si>
  <si>
    <t>NGA - Colombia. EWS (ARCE)</t>
  </si>
  <si>
    <t>SDATOOL-41553</t>
  </si>
  <si>
    <t>Servicios transaccionales 2023</t>
  </si>
  <si>
    <t>SDATOOL-41606</t>
  </si>
  <si>
    <t>Notificación bloqueo preventivo banca digital</t>
  </si>
  <si>
    <t>Notificar al cliente con un mail cuando se le haga un bloqueo preventivo de la banca digital . Este bloqueo preventivo es asociado a la casuistica de Sim Swap</t>
  </si>
  <si>
    <t>Actualmente la casuistica de SimSwap viene golpeando fuertemente la industria. Es importante poder crear oportunidades para mitigar y prevenir el fraude que pueda ocurrir por nuestros canales digitales. Con la notificación con mail al cliente cuando se haga un bloqueo preventivo estamos permitiendo conocer al cliente, nuestro compromiso de mantener un esquema de seguridad con su recursos y la confianza para continuar siendo nuestro cliente . la no viabilidad de esta iniciativa puede ocasionar una puerta al fraude al no tener un circuito de comunicación claro con el cliente ademas de perder reputación a nivel industria.</t>
  </si>
  <si>
    <t>SDATOOL-41610</t>
  </si>
  <si>
    <t>Informe preeliminar Declaracion de renta</t>
  </si>
  <si>
    <t>Valor agregado para los Clientes de la comisionista de bolsa para Informar la Declaracion preliminar de Renta sobre el portafolio administrado desde el sistema de información Core</t>
  </si>
  <si>
    <t>Ofrecer a los clientes de la comisionista un informe consolidado de información para la declaración de renta,basado en el portafolio administrado en la Comisionista de Bolsa</t>
  </si>
  <si>
    <t>mariavictoria.gonzalez.fajard-bbva.com</t>
  </si>
  <si>
    <t>SDATOOL-41621</t>
  </si>
  <si>
    <t>Soporte y mantenimiento servicios tecnológicos 2023 - CEL</t>
  </si>
  <si>
    <t>Garantizar la disponibilidad de los servicios de la infraestructura tecnológica del Banco
 Mantener alto nivel de disponibilidad de la plataforma actual del Banco</t>
  </si>
  <si>
    <t>SDATOOL-41622</t>
  </si>
  <si>
    <t>Certificación de Incidencias, Cancelaciones y Broadcast 2023 - CEL</t>
  </si>
  <si>
    <t>Atender los requerimientos de desarrollos correctivos de los aplicativos del Banco.
 Aplica para la atención de las Incidencias,</t>
  </si>
  <si>
    <t>SDATOOL-41623</t>
  </si>
  <si>
    <t>Analytic Runtimes 2023</t>
  </si>
  <si>
    <t>ANALYTIC RUNTIMES - Habilitar líneas de trabajo para garantizar el estado de salud de Ether.Datio</t>
  </si>
  <si>
    <t>Este programa permite al negocio disponer de unos niveles de servicio adecuados a los productos financieros que se entregan al cliente, debido a que dispone de unas arquitecturas de ejecución analíticas altamente fiables ya que tiene una operación eficiente (Incidencias, monitorización, cambios,...) así como una gestión de la capacidad y performance adecuado</t>
  </si>
  <si>
    <t>SDATOOL-41624</t>
  </si>
  <si>
    <t>The Ninja Project impulsa el desarrollo profesional y la transformación cultural de Engineering visibilizando y potenciando el talento tecnológico de los empleados. The Ninja Project genera "Ninjas", grandes expertos capaces de acometer los retos tecnológicos más difíciles de la organización. El objetivo es proporcionar caminos meritocráticos dentro de la organización habilitando la posibilidad, a cualquier empleado independientemente de su ubicación y rol, de llegar a ser cinturón negro</t>
  </si>
  <si>
    <t>SDATOOL-41625</t>
  </si>
  <si>
    <t>Robotics 2023</t>
  </si>
  <si>
    <t>Automatizar tareas repetitivas que se tienen en los BEx, para que el software RPA gestione la operativa aumentando así la eficiencia, la calidad y disminuyendo el riesgos de error humano en las operaciones con mayor volumetría.</t>
  </si>
  <si>
    <t>* Rápido desarrollo de una “fuerza de trabajo virtual”
 * Interacción con sistemas sin integración compleja
 * Configuración del Negocio a través de una interface simple e intuitiva.</t>
  </si>
  <si>
    <t>SDATOOL-41626</t>
  </si>
  <si>
    <t>Tech University Colombia 2023</t>
  </si>
  <si>
    <t>Se realizaran 2 ediciones de Start Up para los nuevos ingresos al banco explicandoles un poco las nuevas tecnologias Next Gen que BBVA maneja, tambien contaremos con 2 ediciones de Practitioner donde los alumnos encontraran mas a detalle cuales son las tecnologías en las cuales BBVA desarrolla y por ultimo desarrollaremos 5 Specialized donde los alumnos se centran en cada una de las especialidades que se requieren en el proyecto.
 Tech University promueve el crecimiento profesional y la transformación del área de Ingeniería en las nuevas plataformas Next Gen</t>
  </si>
  <si>
    <t>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Gen.</t>
  </si>
  <si>
    <t>SDATOOL-41627</t>
  </si>
  <si>
    <t>Banking Runtimes 2023</t>
  </si>
  <si>
    <t>Gestionar de forma adecuada la capacidad, el performance y la forma de operar (soportes, monitorización, cambios.) de las arquitecturas de ejecución bancarias, de servicios ASO, de seguridad SEC, Transaccional APX, de oficinas SPRING/Nacar, arquitectura de DATOS de la plataforma Ether y la convivencia Ether / Mainframe asegurando la productivización de Ether asegurando la evolución técnica y la migración de servicios cloud, disponibilizando las capacidades para la implementación proyectos Globales (Horizon) / Locales que a gran escala soporte el aumento de la demanda transaccional</t>
  </si>
  <si>
    <t>Definir la Estrategia e implementación de mejoras a nivel país que permita abordar los problemas que surgen como resultado del estrés de las arquitecturas de ejecución bancarias de la plataforma Ether (ASO/APX)</t>
  </si>
  <si>
    <t>Si el proyecto no se lleva a cabo incurrimos en riesgos operativos por las actualizaciones de los evolutivos de las arquitecturas bancarias que llevamos con la gestión de evolutivos. Adicional, afectamos la evolución de nuevas funcionalidades que se integran con los versionados trimestrales con los otros países del grupo.</t>
  </si>
  <si>
    <t>SDATOOL-41700</t>
  </si>
  <si>
    <t>COL - Journeys Proactivos Advice Glomo</t>
  </si>
  <si>
    <t>Proporcionar a nuestros clientes advice proactivo personalizado y accionable a traves de journeys en la aplicación de Glomo</t>
  </si>
  <si>
    <t>"Advice has evolved from starting a conversation with customers around FH based on proactive journeys (proactive, personalized and actionable) to personalization. In 2022 the main strategic focus is personalized Advice based on customer’s goals (by microsegment) inferred from data available (as far as we know). 2023 next step will be starting a bidirectional and multiscale dialog with the customer in order to get direct input about the customer's situation and run the last mile in Advice.
 The priority is to deliver an enhanced personalized, contextual and relevant advice experience to each customer perceiving that:
 -BBVA knows me and understands me: Insights and recommendations received are accurate and relevant for me. To achieve this personalized advice, it is necessary to better understand customers via data, being able to identify personalized stories for each customer.
 -BBVA helps me make better decisions: Based on my financial health analysis I can improve my financial situation: Have a good balance between expenses and income, manage debt under control, help me save, put my money to work.
 -With BBVA it is simple and easy: Provides simple, useful and intuitive interfaces. Our advice experience is inherently open and accessible.
 - Moving from scattered products and experiences towards a personalized advice based on goals
 - Advice Experience based on empirical relevance personalization (testing, feedback loop, look alike profiles and external data)
 - New experiences and journeys to increase Advice users (new proactive journeys, saving experience evolution, proactive investment Advice optimization, invest advisory and debt in Mx and forecasting data capability in all countries)"</t>
  </si>
  <si>
    <t>Clients Financial Health</t>
  </si>
  <si>
    <t>Advice for Financial Health</t>
  </si>
  <si>
    <t>Financial Planning</t>
  </si>
  <si>
    <t>SDATOOL-41705</t>
  </si>
  <si>
    <t>Marca de modalidad para Preaprobados</t>
  </si>
  <si>
    <t>Actualmente la base de ofertas preaprobadas tiene una marca de modalidad (One Click- Agendamiento) por cliente para las ofertas mixtas ( consumo-libranza y tarjeta) las condiciones de la modalidad agendamiento tanto para consumo como para libranza están arrastrando a la ofertas de tarjeta de credito hacia la modalidad de agendamiento cuando estas ofertas pueden ser contratadas 100% digitalmente.</t>
  </si>
  <si>
    <t>La modalidad de agendamiento en las ofertas de preaprobados de tarjeta de credito no le permite al cliente contratar el producto 100% digital incrementando el ANS de aprobacion y formalizacion en 3 dias habiles, estas fricciones aumentan el ciclo de venta del producto y generan una experiencia contraproducente para la venta digital.</t>
  </si>
  <si>
    <t>Transcendence; Regulatory &amp; Supervisors; Internal Audit Actions (Critical or Significant); Internal Control &amp; Operational Risk</t>
  </si>
  <si>
    <t>Build Channels</t>
  </si>
  <si>
    <t>SDATOOL-41706</t>
  </si>
  <si>
    <t>Renovación ATMs 2023</t>
  </si>
  <si>
    <t>Renovación del 5% del parque de ATMs con 60 ATMs depositarios, los cuales permitirán tener un mejor servicio transaccional a nuestros clientes.</t>
  </si>
  <si>
    <t>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servicio.
 2.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t>
  </si>
  <si>
    <t>SDATOOL-41707</t>
  </si>
  <si>
    <t>Reubicación ATMs 2023</t>
  </si>
  <si>
    <t>SDATOOL-41708</t>
  </si>
  <si>
    <t>Dotación elementos de ATMs 2023</t>
  </si>
  <si>
    <t>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 Banco de baterías en Atms a nivel nacional
 - Instalacion de Ups a nivel nacional enla red de atms
 - Instalación de Aires para Atms a nivel nacional</t>
  </si>
  <si>
    <t>Project rationale (Why)
 Es importante contar con estos elementos para garantizar el correcto funcionamiento de los ATM´s y adicionalmente, brindar una mejor atención a los Clientes en nuestros Canales de contacto físicos tales como ATM´s.</t>
  </si>
  <si>
    <t>SDATOOL-41709</t>
  </si>
  <si>
    <t>Fraccionamiento de transacciones en CBs</t>
  </si>
  <si>
    <t>Realizar los ajustes solicitados en la acción 1.4 del INFORME DE AUDITORÍA: 22-Q2-2418 CBS relacionado con el FRACCIONAMIENTO DE TX EN LOS CORRESPONSALES BANCARIOS.</t>
  </si>
  <si>
    <t>Realizar los ajustes para la mejora requerida para el control de fraccionamiento de operaciones solicitados en la acción 1.4 del informe de auditoría 22-Q2-2418 CORRESPONSALES BANCARIOS. 
 - Se requiere implementar informe con reporte de anomalías para el fraccionamiento de transacciones en corresponsales. En el reporte se incluirán las transacciones que el sistema detecta como anómalas bajo la repetición de las siguientes variables: la referencia, punto de venta, tipo de transacción, convenio de recaudo, cuenta (retiros y depósitos).
 - El informe aplica para todas las transacciones habilitadas en el canal.
 - Los campos que debe incluir el informe son: UPC, tipo tx, fecha y hora contable, fecha y hora operación, valor, Nombre y código CB, punto y terminal; Cód convenio, Nombre convenio, referencia convenio, # Cuenta (retiros y depósitos), # Producto (Pago de Préstamos y Tarjetas).
 - Envío del informe por correo y/o posicionamiento del informe en ruta Tantia.</t>
  </si>
  <si>
    <t>SDATOOL-41711</t>
  </si>
  <si>
    <t>Equipos y Mobiliario Oficinas 2023</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</si>
  <si>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
 b)Adicionalmente se requiere reposición de elementos solicitados por oficinas como: sillas, protectógrafos, ups, segmentadores, video beam, contadoras de monedas y billetes, neveras, hornos, etc. (Aprox. 1000 solicitudes año)</t>
  </si>
  <si>
    <t>SDATOOL-41712</t>
  </si>
  <si>
    <t>Workplace Oficinas 2023</t>
  </si>
  <si>
    <t>SDATOOL-41713</t>
  </si>
  <si>
    <t>Renovación contadoras de billetes en red de oficinas</t>
  </si>
  <si>
    <t>Reposición de contadoras de billetes que actualmente se cuenta con una obsolescencia del 90 % del total de contadoras de efectivo un costo aproximado de $20.216 millones para mitigar el 100% de la obsolescencia .</t>
  </si>
  <si>
    <t>Racional de Negocio:
 ● Optimización del equipamiento para los funcionarios del la Red
 ● Mejora experiencia del Cliente externo 
 ● Mantener tiempos de servico en caja 
 ● Validacion de billetes falsos
 ● Continuidad del negocio</t>
  </si>
  <si>
    <t>SDATOOL-41714</t>
  </si>
  <si>
    <t>Full Production casos casos de uso analítica CS</t>
  </si>
  <si>
    <t>Pricing avanzado en preaprobados pymes y PNN: No existe Pricing automático y diferencial para preaprobados Pyme y PNN. Se planea construir algoritmo en Datio que genera tasas personalizadas y ajustadas a las condiciones del cliente de acuerdo al perfil, monto y nivel de riesgos.
 Analítica avanzada preaprobados pymes y PNN: Los cupos ofrecidos no están alineados al perfil del cliente y no se tiene un estimador de ventas para ofrecer cupos a clientes del pasivo. Se creará algoritmo para la personalización (distribución) del cupo de acuerdo al perfil del cliente: (Capital de trabajo, Cesantías, TDC, OCL) y un estimador de Ingresos para clientes con flujos transaccionales.
 Caso de Uso seguros: Recomendador + Contextual triggers seguros. A hoy se realizan campañas muy genéricas con filtros comerciales básicos. Holding ha desarrollado varios modelos de recomendación que son de fácil implementación en Colombia. Se porpone hacer una implementación de algoritmos de recomendación de seguros que utilizan información transaccional para detectar patrones de comportamiento que incremente la probabilidad de contratación de un seguro. El algoritmo se utilizará para orientar las ventas inicialmente del callcenter.
 Apertura de nuevos nichos Preaprobados y Open Market: Cuota en Consumo plano, debemos ampliar apetito de riesgo creciendo rentablemente. Identificación de clientes potenciales que a hoy no atendemos a partir de su comportamiento transaccional y de huella digital para la generación ofertas preaprobadas y aumentar las ventas en open market de TDC.
 Ciclo de vida de Adquirencia: Activación, uso y retención del producto: Aún se tiene información muy básica para gestionar el Ciclo de vida de Adquirencias y este es uno de los productos claves a potenciar en Pymes. Construcción de un dashboard de KPI’S para la activación, uso y retención del producto. Construcción de algoritmos de propensión para mejorar la venta. 
 Construcción de algoritmos de propensión fuga para la generación de alertas tempranas.</t>
  </si>
  <si>
    <t>SDATOOL-41715</t>
  </si>
  <si>
    <t>Equipos y Mobiliario CSF 2023</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</si>
  <si>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t>
  </si>
  <si>
    <t>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t>
  </si>
  <si>
    <t>SDATOOL-41716</t>
  </si>
  <si>
    <t>Workplace CSF 2023</t>
  </si>
  <si>
    <t>jorge.vargas-csf.com.co</t>
  </si>
  <si>
    <t>SDATOOL-41721</t>
  </si>
  <si>
    <t>Bloqueo de transacciones en oficina</t>
  </si>
  <si>
    <t>Habilitar la posibilidad de bloquear tipologías de transacciones que se realicen en ventanilla.</t>
  </si>
  <si>
    <t>Promover la digitalización y migración transaccional.</t>
  </si>
  <si>
    <t>SDATOOL-41723</t>
  </si>
  <si>
    <t>Herramienta exchange consulta buzón de endosos</t>
  </si>
  <si>
    <t>Diseño de una herramienta que acceda al buzón de endosos para atender PQRS, que se reciben en el área de Bancaseguros.</t>
  </si>
  <si>
    <t>Con el fin de mitigar la fuga de información y recomendación del área se seguridad jirahttps://globaldevtools.bbva.com/jira/browse/COLWSSEGUR-43</t>
  </si>
  <si>
    <t>SDATOOL-41724</t>
  </si>
  <si>
    <t>Modelo API´S Recaudo</t>
  </si>
  <si>
    <t>Brindar una solución bajo conexión de API´S a los clientes/Convenio que funcionen bajo esta conexión con el fin de estar a la vanguardia del mercado</t>
  </si>
  <si>
    <t>Requerimiento de los clientes para abordar soluciones a la vanguardia</t>
  </si>
  <si>
    <t>SDATOOL-41726</t>
  </si>
  <si>
    <t>EXTRACUPO TARJETA DE CREDITO</t>
  </si>
  <si>
    <t>Desarrollo de la herramienta de extracupo de tarjeta de crédito en nuestro autorizador.
 Se contemplaría asignar el 10% "marginal" del cupo de la tarjeta del cliente, teniendo en cuenta (Capital + intereses+ )
 El objetivo es el siguiente: desde el área de riesgos se va a generar una base de clientes a los cuales por su calificación o comportamiento crediticio, son viables para asignar un % de extracupo, sobre esta base el aplicativo va a realizar al asignación del extracupo a cada uno de los clientes de manera "Automática".
 Esto se va a poder ejecutar de manera automática.</t>
  </si>
  <si>
    <t>disminución en los rechazos por fondos insuficientes sobregiro y ahorro en costos de la herramienta actualmente tercerizada (Expirian //Credibanco // RBM) .</t>
  </si>
  <si>
    <t>SDATOOL-41729</t>
  </si>
  <si>
    <t>SEGUNDA LIBRANZA - APLICACION PAGOS Y VoBo PAGADOR</t>
  </si>
  <si>
    <t>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t>
  </si>
  <si>
    <t>1. Ajuste proceso de libranzas para la aplicación de pagos de cuotas unificadas.
 2. Con la implementación de la segunda libranza para el proceso de Vo.Bo pagador, se ve la necesidad de unificar cuotas y plazo, es decir, la cuota de la primera libranza + la cuota de la segunda, dado esto, se requiere la creación de una herramienta la cual apoye la gestión diaria y mitigue en su totalidad las novedades operativas de riesgo a las cuales se expone el proceso dada la manualidad, dicha herramienta deberá suministrar el dato de la cuota final a reportar al convenio, garantizando el valor real; de otra parte la referida herramienta suministrará el plazo a reportar.</t>
  </si>
  <si>
    <t>SDATOOL-41730</t>
  </si>
  <si>
    <t>SEGUNDA LIBRANZA - GENERACION REPORTES DE LIBRANZA</t>
  </si>
  <si>
    <t>Realizar y enviar el reporte para activación de descuentos a las empresas con el formato definido por la empresa incluyendo la cuota unificada para la segunda libranza</t>
  </si>
  <si>
    <t>SDATOOL-41734</t>
  </si>
  <si>
    <t>Contratación tarjeta de crédito digital negocios en canal digital retail</t>
  </si>
  <si>
    <t>Ofertar la tarjeta de crédito a clientes personas natural con negocio que no tienen contratado el canal netcash.</t>
  </si>
  <si>
    <t>Incrementar las ventas de tarjetas de crédito los clientes persona natural con negocio.</t>
  </si>
  <si>
    <t>SDATOOL-41735</t>
  </si>
  <si>
    <t>DIAN. Ajustes Dimensión para certificados tributarios e información exógena</t>
  </si>
  <si>
    <t>Se ha identificado un error en la definición contable de la asignación de la información con la que se generan los certificados tributarios y reportes exógenos a la DIAN dado que los movimientos contables de Factoring siempre se dejan en cabeza de quien pone el recurso (cupo). Esto impacta algunos reportes dado que las obligaciones fiscales quedan mal adjudicadas. Se requiere que el aplicativo Dimensión genere una NUEVA interfaz que sea ubicada en el host con los siguientes campos: Fecha contable (10), cuenta contable (15), Contrato (18), Importe aplicado (13), Tipo ID (1), Número ID (15) y Digito V (1). A partir de esta información de debe intervenir la interfaz contable y las tablas de impuestos para corregir el error identificado</t>
  </si>
  <si>
    <t>Actualmente los registros errados se vienen ajustando manualmente, lo cual implica un riesgo operativo que puede generar sanciones y/o multas para el Banco</t>
  </si>
  <si>
    <t>SDATOOL-41736</t>
  </si>
  <si>
    <t>Operación Logística de Pólizas Agencia BBVA</t>
  </si>
  <si>
    <t>Vamos a realizar proceso de selección de la agencia de seguros como operador logístico de las pólizas de autos y administración de endosos.</t>
  </si>
  <si>
    <t>La gerencia de bancaseguros no cuenta con área operativa. Por tanto, requerimos un operador que administre estas pólizas.</t>
  </si>
  <si>
    <t>SDATOOL-41737</t>
  </si>
  <si>
    <t>Moneda Extranjera - Inclusión en SIGDOC</t>
  </si>
  <si>
    <t>Se requiere la inclusión de las operaciones de Moneda Extranjera (aplicativo Banktrade) en las interfaces que se remiten a MTI para que este tipo de operaciones queden incluidas en el gestor documental SIGDOC. Previamente se debe realizar un procesamiento del fichero de altas de Banktrade para que se genere una (1) sola operación por desembolso (dado que Banktrade genera un contrato por cada cuota)</t>
  </si>
  <si>
    <t>Este desarrollo se requiere para garantizar que se custodie en forma completa y adecuada toda la documentación asociada a este tipo de operaciones, en particular lo que corresponde a las garantía que las soportan, de forma que se mitigue el riesgo de no poder ejecutar la garantía en el momento en que se esto requiera</t>
  </si>
  <si>
    <t>SDATOOL-41739</t>
  </si>
  <si>
    <t>PEACHTREE. Originación y administración digital de cartera y productos estructurados en Moneda Extranjera</t>
  </si>
  <si>
    <t>Habilitar el front Peachtree para operar en Net CASH de forma que los clientes lo puedan utilizar para la originación y administración de productos de cartera y estructurados de comercio exterior, productos que operan en la plataforma Banktrade</t>
  </si>
  <si>
    <t>La habilitación de este front permite a lo clientes operar de forma autónoma disminuyendo la operativa manual que hoy debe ejecutar el Área de Operaciones Comex. Disminuye el riesgo operativo por manualidades ejecutadas de forma errada. Mejora la experiencia de cliente dado que elimina la intervención de la oficina en el proceso de montaje, desembolso, pago y prórrogas de la cartera.</t>
  </si>
  <si>
    <t>SDATOOL-41741</t>
  </si>
  <si>
    <t>Cobro de seguro vida deudor en tarjeta de crédito en mora y con saldo vencido</t>
  </si>
  <si>
    <t>Se necesitan realizar los desarrollos correspondientes para el seguro de vida deudor sea cobrado a aquellos clientes que tienen su tarjeta de crédito en mora o con saldo vencido.</t>
  </si>
  <si>
    <t>Esto porque el Banco actualmente debe asumir el costo de la prima para asegurar esta cartera, valor que oscila en 300M mes.</t>
  </si>
  <si>
    <t>SDATOOL-41743</t>
  </si>
  <si>
    <t>Automatización de endosos</t>
  </si>
  <si>
    <t>Se requiere notificar de forma automática a los clientes, el vencimiento de su endoso, informando las características que debe presentar el mismo, la fecha límite para presentar el endoso y comunicar que en caso de no recibir el endoso, se realizará el alta proactiva con la vinculación de la póliza colectiva del Banco.</t>
  </si>
  <si>
    <t>Banco está recibiendo endosos fuera del plazo, se presentan reclamaciones por los clientes por no aceptar el endoso y vincularlos automáticamente a la póliza colectiva del Banco. El no enviar las comunicaciones en el plazo establecido puede incrementar el riesgo de que el cliente no tenga seguro a su obligación de créditos de vehículos.</t>
  </si>
  <si>
    <t>SDATOOL-41748</t>
  </si>
  <si>
    <t>Cuota Fija - Tasa Variable para créditos de Consumo y Vehículo</t>
  </si>
  <si>
    <t>Crear la opción de Tasa Variable para el producto Vehículo, libranza y consumo.</t>
  </si>
  <si>
    <t>Se requiere crear la opción de tasa variable para los productos de Financiación al Consumo con el fin de ir acorde a las variaciones de tasa del mercado, manteniendo rentabilidad y competitividad y evitando fugas por compra de cartera en épocas donde las tasas disminuyen.</t>
  </si>
  <si>
    <t>SDATOOL-41749</t>
  </si>
  <si>
    <t>ONBOARDING DIGITAL DE EMPLEADOS</t>
  </si>
  <si>
    <t>Creación digital de onboarding de empleados en Banco BBVA</t>
  </si>
  <si>
    <t>Asegurar la experiencia de los candidatos que ingresaran al Banco</t>
  </si>
  <si>
    <t>SDATOOL-41750</t>
  </si>
  <si>
    <t>Single APP</t>
  </si>
  <si>
    <t>SDATOOL-41752</t>
  </si>
  <si>
    <t>Consumo Openmk con Biometría Obligatoria por Nácar para desembolsar</t>
  </si>
  <si>
    <t>En el flujo Consumo Openmk exigir biometría para desembolsar el negocio con opción de contingencia la visación cuando la biometría falle.</t>
  </si>
  <si>
    <t>Se requiere que el flujo Consumo Openmk en la etapa final para desembolso, exija por cascada la biometría y si no es satisfactoria, eleva el negocio al Director de la oficina para que autorice la visación y se pueda desembolsar el negocio. Se debe tener en cuenta que esta validación solo se hará obligatoria para los negocios Consumo Openmk que nazcan por la cascada ligera de préstamos para Consumo Openmk; el resto de subproductos mantendrán su operación como está hoy productiva.</t>
  </si>
  <si>
    <t>SDATOOL-41754</t>
  </si>
  <si>
    <t>Fixed income - Position Keeping GM</t>
  </si>
  <si>
    <t>El objetivo de la inciativa se centra en realizar la Implementación de un aplicativo tecnológico que permita optimizar el Position Keeping para los productos de la mesa de negociación (Bonos, FX).
 Lo cual se resume en los siguientes aspectos:
 - Poder contar con una herramienta Core que centralice la gestión del portafolio 
 - Disminución de tiempos en la construcción de reportes manuales
 - Información centralizada
 - Aumento del tiempo de análisis
 - Mejoramiento en la toma de decisiones</t>
  </si>
  <si>
    <t>Desde un punto de vista estratégico, es crucial mejorar la distribución digital transfronteriza de bonos dentro de algunas de las geografías más importantes en las que BBVA opera actualmente: Europa, América del Norte y América del Sur.</t>
  </si>
  <si>
    <t>SDATOOL-41756</t>
  </si>
  <si>
    <t>Implementacion Appsflyer</t>
  </si>
  <si>
    <t>Appflyer hace parte del tech stack de marketing y ventas digitales y es una herramienta que nos permite optimizar nuestras estrategias de venta en funcion a las acciones que se hagan dentro del app.</t>
  </si>
  <si>
    <t>Con la salida de glomo es necesario implementar appsflyer,(actualmente tenemos appflyer en el app con veritran) para continuar nuestra operacion de ventas digitales, dandole foco a los productos que solo se pueden abrir a traves del app como lo son cuentas y CDTs</t>
  </si>
  <si>
    <t>SDATOOL-41757</t>
  </si>
  <si>
    <t>AJUSTE AUTOMATIZACION CONCILIACION ARA</t>
  </si>
  <si>
    <t>El informe de transacciones diarias del Aliado ARA será generado automáticamente por el proceso Batch
  con una estructura específica de acuerdo a lo requerido por el aliado, el informe será enviado bajo proceso de transmisión de archivo dejándolo en ruta segura compartida. 
 De acuerdo a la nueva estructura requerida por el aliado, se hace necesario crear una parametría en la Transacción META (MCDTT37) donde se alimentará la información con la que no se cuenta actualmente en las bases de datos del banco de los diferentes puntos del aliado (Dirección y Terminal); Para los puntos del aliado a los que ya se les ha dado de alta en las bases de datos del banco, se debe crear un proceso de actualización masiva, insertando dirección y terminal, información que el aliado debe suministrar. 
 Para los nuevos puntos que se darán de alta se requiere modificar el procedimiento para que el usuario de operaciones adicione la parametría, ajustando que grabe la información de la dirección y la terminal en la parametría creada en la tabla MCDTT37. 
 Adicionalmente, en el proceso de alta de CB (Matrículas CB) el informe que se genera al área de operaciones, no contiene la información del código de autorización (UPC) requerido por ellos para sus controles internos; por lo cual se incluirá el código de autorización en el archivo de conciliación de operaciones, capturando el dato del log transaccional almacenado en banco.</t>
  </si>
  <si>
    <t>Estos productos requieren de la conciliación a la medida ya que de otra manera no está dispuesto a implementarlos.</t>
  </si>
  <si>
    <t>SDATOOL-41759</t>
  </si>
  <si>
    <t>Tips de prevención Ingeniería Social</t>
  </si>
  <si>
    <t>Teniendo en cuenta las tipologías de fraude que están impactando el canal digital, se requiere informar al cliente en el momento que realizan el login en los canales App / Net /Call con tips preventivos de seguridad , de manera que puedan conocer las posibles tipologías de fraude y teniendo este conocimiento sean conscientes de estos eventos y así poder prevenir la posibilidad de un evento de fraude . Adicionalmente se requiere tener un Pop Up con mensajes cortos y específicos, lo que permite identificar que el usuario ha aceptado tener este conocimiento y poder avanzar con la operación . esto permite medir cuantas veces se le informo a los clientes dichas medidas de seguridad.</t>
  </si>
  <si>
    <t>Actualmente varias casuísticas de fraude vienen afectando considerablemente los canales digitales . Es importante poder crear oportunidades para mitigar y prevenir el fraude que pueda ocurrir por nuestros canales digitales. Con la información a los clientes de tips de Prevención de fraude nos aseguramos que el cliente tiene el conocimiento del riesgo del evento de fraude y nos permite tener control de la información para procesos en los reclamos que se puedan tener con los clientes depende de la casuística de afectación</t>
  </si>
  <si>
    <t>El costo de la no continuidad del proyecto está asociado al aumento de clientes que presentan fraude y por ende al aumento del fraude materializado en canales digitales. Al no informar al cliente de las diferentes posibles tipologías de fraude es más propenso a caer en este, brindarle este conocimiento acerca más al cliente a como el fraudulento actúa y poder actuar frente a el.</t>
  </si>
  <si>
    <t>SDATOOL-41760</t>
  </si>
  <si>
    <t>Homologación Holding Uptime ATM's</t>
  </si>
  <si>
    <t>En la actualizada cada una de las geografias de BBVA realiza la medición del indicador de disponibilidad de la Red de ATM's según críterio propio por lo que no es posible tener un comparativo de cumplimiento que permita la toma de decisiones... Desde Holding realizaron una auditoria a este proceso definiendo que todas las Geografias deben tener una medición homologada con variables especificadas por Holding y aplicadas localmente.</t>
  </si>
  <si>
    <t>Implementar la medición de disponibilidad para la Red de ATM’s de forma automatica desde la herramienta de monitoreo ESQ con especificaciones diferenciales solicitadas por Holding para homologación en todas las Geografías</t>
  </si>
  <si>
    <t>alexander.tibocha-bbva.com</t>
  </si>
  <si>
    <t>maria.rojas-bbva.com</t>
  </si>
  <si>
    <t>SDATOOL-41763</t>
  </si>
  <si>
    <t>Bonificación portafolio - domiciliación nómina</t>
  </si>
  <si>
    <t>Se trata de ajustar la funcionalidad de portafolio dado que en la actualidad está descontando la tasa para los casos de domiciliación de nómina, tanto en la asignación por pricing como en el portafolio.</t>
  </si>
  <si>
    <t>Esto se requiere para que no se tenga un doble beneficio en mejoramiento de tasa de interés por el mismo criterio, que es domiciliar nómina.</t>
  </si>
  <si>
    <t>NO CUMPLE EL KPI</t>
  </si>
  <si>
    <t>SDATOOL-41766</t>
  </si>
  <si>
    <t>DUALIDAD CUENTAS AFC NÁCAR HOST Y CANALES DIGITALES</t>
  </si>
  <si>
    <t>Cierre de "bolsillo transaccional" que permite una dualidad en uso sobre la cuenta AFC, quedándonos únicamente con la funciones propias de una cuenta AFC permitiendo abonos indirectos (empleador) y directos en la cuenta. Adjunto comparto los código MIR acordados entre negocio, área fiscal, operaciones y validado con ingeniería para afectación sobre la parte AFC de la cuenta. MPV
 Buen dia Nestor, 
 De acuerdo con lo conversado, relacionamos al frente de los códigos, un comentario para aquellos que intervienen en la parte AFC. 
 Validando los códigos que se informan en la tabla BGDTMFC y que afectan los saldos de AFC fueron los 
 image.png
 En la tabla también se informan códigos 001, 301, 330 pero solo informativos no se evidencia que genere códigos de retención ni afecte slados AFC
 image.png
 También se debe tener en cuenta los códigos mir que ya realizan los procesos normales de cuentas como abono de intereses de liquidación, estos no modifican los saldos de AFC pero sí permiten el funcionamiento del producto.
 Quedo atenta, 
 Gracias. 
 Una vez cerrado el bolsillo TX, se deberán migrar los saldos hacia el "bolsillo" AFC. +SAMUEL EDUARDO ORTIZ CASTANEDA en este punto, ¿cómo deben reportan esos saldo?, ¿Abono directo y aplicar retención contingente a todos? ¿no aplicar retención contingente? MPV
 Una vez el cliente realice un abono directo a la cuenta AFC se deberá preguntar al cliente si el dinero depositado ya fue o no objeto de retención (7%) sobre todos los canales, similar a como se realiza hoy en oficina. Con fin de garantizar el cobro de retención contingente adecuado sobre la cuenta. Entregable 2
 En caso de tener el segundo entregable tiempos largos, se deberá limitar los abonos directos sobre la cuenta únicamente en oficina. 
 Se debe implementar garantizar la custodia del historial cuando se realiza el traslado entre bancos o desde un fondo de pensión. Entregable 3
 Implementar la retención contingente del 1%, beneficios de la Ley 1607 de 2012, la cual estipula ….Está exenta la utilidad generada en la venta de la casa o apto cuando la totalidad de los dineros recibidos de la venta sean depositados en las cuentas AFC, y sean destinados a la adquisición de otra casa o apto para el pago total o parcial de uno o más créditos hipotecarios. Entregable 3
 Garantizar la aplicación de la retención en la fuente en los retiros realizados por pago de créditos hipotecarios de remodelación. Entregable 3</t>
  </si>
  <si>
    <t>Actualmente, se ha incurrido en errores ante la reportería hacia la DIAN referente a los ítems de cuentas AFC, con lo cual, al día de hoy contamos con más de 980 quejas de clientes por un valor de $2.300 y una afectación identificada de 22.000 clientes ; lo cual conlleva al banco a pagar un 20% del valor y hasta $500M por la correción de la reportería ante la DIAN.
 Lo anterior, representa un riesgo ante el banco el cual debe ser corregido dado el ciclo anual de reporteria y pago tributario que ira avanzando a medida que no se tomen medidas correctivas</t>
  </si>
  <si>
    <t>SDATOOL-41767</t>
  </si>
  <si>
    <t>Informe Preliminar Declaración de renta Clientes</t>
  </si>
  <si>
    <t>Generar informe para los clientes en donde se relacione la información relevante y unificada de todos los títulos sobre los que les generó un cobro o descuento de retención en la fuente. que les ayude el proceso de Declaración de renta.</t>
  </si>
  <si>
    <t>Mejorar el servicio a los clientes entregando un informe unificado, para mejorar el proceso de declaración de renta de los clientes. (Clientes de contrato Comisión)</t>
  </si>
  <si>
    <t>SDATOOL-41781</t>
  </si>
  <si>
    <t>Apertura de oficinas de la red comercial 2023</t>
  </si>
  <si>
    <t>Realizar la apertura de una oficina de la Banca Comercial en las plazas de Mitú y Puerto Inírida, con el objetivo de alinear el plan estratégico del Banco respecto a las políticas del Gobierno actual para aumentar la inclusión financiera de la sociedad convirtiéndonos en el primer Banco Privado del peer group en tener presencia en todos los departamentos del país.</t>
  </si>
  <si>
    <t>Como parte de los planes estratégicos del Banco se encuentra la necesidad de tener presencia con oficinas de la red comercial en todos los departamentos del país, afianzando así las relaciones con el gobierno actual e incrementando el valor reputacional de la marca BBVA en el territorio nacional.</t>
  </si>
  <si>
    <t>SDATOOL-41787</t>
  </si>
  <si>
    <t>GRM Col - CDD Risk</t>
  </si>
  <si>
    <t>El programa de CDD Risk es el paraguas bajo el que se articulan la construcción de la infraestructura CDD así como los cambios de agujas de los motores de riesgos corporativos y la reingeniería de los procesos informacionales de riesgos apalancados en CDD.</t>
  </si>
  <si>
    <t>Programa sponsorizado por la disciplina de GRM Data &amp; Advance Analitycs es la solucion estratégica que el grupo ha diseñado que da soporte al Plan Data 21-24 presentado y aprobado por el GL y que habilita el cumplimiento de los compromisos con el JST de ser fully compliant en 2024.</t>
  </si>
  <si>
    <t>SDATOOL-41788</t>
  </si>
  <si>
    <t>Formato MT940 y MT 901-clientes</t>
  </si>
  <si>
    <t>Necesidad de implementar el formato MT940 y MT101 para BBVA Valores, inicia por solicitud de clientes globales los cuales por políticas corporativas deben manejar la información a través de mensajería swift</t>
  </si>
  <si>
    <t>Los clientes del Banco y Fiduciaria, solicitan tener los mismos servicios de mensajería swift en BBVA VALORES</t>
  </si>
  <si>
    <t>yudycarolina.pascagaza-bbva.com</t>
  </si>
  <si>
    <t>SDATOOL-41790</t>
  </si>
  <si>
    <t>Rentabilidades en la WEB-FIC</t>
  </si>
  <si>
    <t>Publicar de manera automática las rentabilidades del FIC, Money Market, desde el sistema de información SAAS Makers en la pagina web de BBVA Valores.</t>
  </si>
  <si>
    <t>Se debe cumplir la norma que indica que las rentabilidades se deben publicar a diario
 "P3 Tit VI Cap III - Constitución y administración de FICS y Familias"</t>
  </si>
  <si>
    <t>SDATOOL-41797</t>
  </si>
  <si>
    <t>Optimización Cuenta en línea Web</t>
  </si>
  <si>
    <t>Se rediseñará el 100% del proceso actual de contratación de cuenta en línea en página web. 
 -Rediseño total del UX
 -Eliminación de campos
 - Actualización a la nueva versión del SDK del veridas.
 - Integración rescate en oficina.</t>
  </si>
  <si>
    <t>katryn.verjel-bbva.com</t>
  </si>
  <si>
    <t>SDATOOL-41839</t>
  </si>
  <si>
    <t>POSTULACIÓN DE GENERACIÓN NUEVOS EMPLEOS</t>
  </si>
  <si>
    <t>ACTUALIZAR EL ROBOT Y LICENCIA DEL PROGRAMA DEL GOBIERNO DE POSTULACIONES A SUBSIDIO POR GENERACIÓN DE EMPLEO</t>
  </si>
  <si>
    <t>REQUERIMIENTO LEGAL</t>
  </si>
  <si>
    <t>marthabeatriz.gallego-bbva.com</t>
  </si>
  <si>
    <t>SDATOOL-41840</t>
  </si>
  <si>
    <t>Implementación y Optimización Gobierno SQL</t>
  </si>
  <si>
    <t>Solicitamos autorización para la priorización del proyecto Implementación y Optimización Gobierno SQL, con el fin de reducir al mínimo los tiempos diarios y mensuales de la entrega de información financiera y de Gestión para la red comercial con el fin de eficiente la toma oportuna de decisiones sobre los productos y servicios ofertables en el Banco</t>
  </si>
  <si>
    <t>joseantonio.torres2-bbva.com</t>
  </si>
  <si>
    <t>SDATOOL-41846</t>
  </si>
  <si>
    <t>Almacenamiento Información Fiscalizaciones Precios de transferencia</t>
  </si>
  <si>
    <t>Se requiere (i) contar con un desarrollo/herramienta de Almacenamiento de Información documental que permita atender las fiscalizaciones de Precios de Transferencia(PT); respecto de los pagos por servicios, licenciamientos, desarrollos, servicios técnicos, asistencias técnicas, mantenimientos y demás servicios que se prestan entre empresas vinculadas que permitan evidenciar la prestación efectiva del servicio y el uso del mismo; por ello (ii) se debe contar con un documento de gobierno que permita asegurar la información documental probatoria y su conservación por lo menos 7 años contados a partir de la fecha en que se presenta la declaración de precios de transferencia .</t>
  </si>
  <si>
    <t>El Banco debe elaborar una estrategia de defensa para probar a la Autoridad Tributaria el uso y la prestación efectiva del servicio por el cual paga a empresas vinculadas sometidas al régimen de precios de transferencia y garantizar la conservación de estos documentos. 
 Para los proyectos SDA, desde el Corporativo, se está trabajando en habilitar en la herramienta FIG TOOL la opción de adjuntar y conservar los documentos para los servicios que viajen por este aplicativo [actualmente solo pagos a BBVA SA España]. Acorde a lo investigado cada dominio y usuario conserva su propia documentación; y no existe uniformidad respecto a los documentos que servirían como evidencia probatoria. 
 Desde el Corporativo [aprendiendo de las experiencias de fiscalización en países como Perú, México, Turquía y España]; para los proyectos SDA -como estrategia de defensa documental ante una fiscalización- se recomienda guardar: (i) el STS requerimiento; (ii) constancia de pruebas de calidad; (iii) constancia de pruebas de producción; y (iv) constancia final de entrega. Para servicios de licenciamiento, la constancia de los pantallazos. Para los demás servicios de tecnología , servicios no tecnológicos y especializados (financieros) se deberá establecer con los equipos cuáles documentos de los existentes podrían servir de evidencia o si se requiere incorporar algún documento.
 Es vital la elaboración de un documento de gobierno que permita determinar los responsables de la información a conservar; y así definir roles y controles internos.</t>
  </si>
  <si>
    <t>samuel.ortiz-bbva.com</t>
  </si>
  <si>
    <t>SDATOOL-41849</t>
  </si>
  <si>
    <t>Traslado de oficina Telefónica 2023</t>
  </si>
  <si>
    <t>Realizar el traslado de oficinas por solicitud de nuestros clientes de convenios estratégicos y otros asociados a mejorar la presencia del banco en ubicaciones con alto potencial de negocio.</t>
  </si>
  <si>
    <t>Realizar traslados obligatorios y por evaluación estratégica de las oficinas de la red comercial para garantizar la continuidad del negocio y no afectar la atención a clientes y/o la relación de convenios específicos.</t>
  </si>
  <si>
    <t>marcoantonio.molano-bbva.com</t>
  </si>
  <si>
    <t>SDATOOL-41850</t>
  </si>
  <si>
    <t>Remodelación de Oficinas 2023</t>
  </si>
  <si>
    <t>Realizar la remodelación de oficinas en la red comercial y mejorar la imagen de las oficinas para los clientes.</t>
  </si>
  <si>
    <t>Cumplir con los acuerdos generados con el Corporativo para reemplazar los ATM´s XP de las oficinas que aún tienen éste elemento y mejorar la imagen del mayor número de oficinas emblemáticas a nivel nacional.</t>
  </si>
  <si>
    <t>SDATOOL-41851</t>
  </si>
  <si>
    <t>Migración de Sistema operativo de ATMs de Windows 7 a Windows 10</t>
  </si>
  <si>
    <t>Actualizar sistema operativo de los ATMs modelo Diebold Intrepid (696) y Hyosung (375) a Windows 10, en total 1071 ATMs que es el 72% del parque actual. Para los modelos Diebold Opteva (398) y Wincor (10) técnicamente no es posible actualizar.</t>
  </si>
  <si>
    <t>Desarrollar la conexión a HOST desde los ATMs con Windows 10 a 64 bits y actualizar la imagen del aplicativo con este sistema operativo. 
 Aplica para 1071 ATMs que tienen las condiciones técnicas mínimas para soportar el cambio.
 Licencia y derecho de uso del producto JAM NM.
 Desarrollos para permitir la comunicación del cajero con el HOST. 
 Construcción de imágenes de aplicativo Windows 10 para cajeros Intrepid y cajeros DN Series.
 Ampliación de memoria RAM y cambio a disco de estado sólido para 516 Intrepid comprados antes de 2021.
 Licenciamiento XFS para Windows 10.</t>
  </si>
  <si>
    <t>javier.guio-bbva.com</t>
  </si>
  <si>
    <t>SDATOOL-41853</t>
  </si>
  <si>
    <t>Estructura Banca Personal</t>
  </si>
  <si>
    <t>Modificar la estructura de la banca personal con el fin de alinear a las demás bancas (Por regiones) y poder generar la sinergia entre las mismas, a través de la creación de 10 posiciones adicionales que incluye recategorización de 3 Cargos de Gerentes de Banca personal y que atienden el Segmento de Alto Valor buscando mejorar aspectos actuales como las carteras y la capacidad para atender más y mejor los Clientes.</t>
  </si>
  <si>
    <t>Se busca que el modelo de la Banca personal evolucione a través del fortalecimiento de su estructura, y del modelo de relación y gestión de sus clientes actuales y potenciales atención, promoviendo la sinergia y especialización de su fuerza comercial, además de que pueda contar con los recursos necesarios para el crecimiento y posicionamiento de su negocio.</t>
  </si>
  <si>
    <t>SDATOOL-41854</t>
  </si>
  <si>
    <t>Visa requerira que los adquirentes y emisores de la region de LAC respalden autorizaciones parciales en todas las transacciones POS. Los campos y valores existentes seran utilizados para transacciones con autorizacion parcial.</t>
  </si>
  <si>
    <t>La transacción de autorización parcial aborda los rechazos de fondos insuficientes proporcionando una alternativa a una transacción rechazada cuando el disponible de una tarjeta o el saldo de la cuenta no es suficiente para aprobar una transacción en su totalidad.
 Impacta las transacciones de CP y CNP. La implementación de la funcionalidad busca
 reducir declinaciones por Fondos Insuficientes.</t>
  </si>
  <si>
    <t>SDATOOL-41855</t>
  </si>
  <si>
    <t>Pasar la tarifa de USD a COP de retiros y avances en ATM´s internacionales</t>
  </si>
  <si>
    <t>Para el 1/Dic/21 nos llego requerimiento de la SFC, donde dicha tarifa el banco la tenia en 8 USD los cuales superaban los reglamentado donde no puede superar los 20 UVR, donde se ajusto a 1,3 USD, donde dicha tarifa nos implica un seguimiento diario y parametrización por la fluctuación del Dólar, donde se realiza un Benchmark con nuestros pares y se evidencia el cobro en Pesos. aparte de que dicho ajuste impacto contra la tarifa de avances en canales digitales ya que no puede estar por debajo de esta.</t>
  </si>
  <si>
    <t>Pasar la tarifa de USD a COP de retiros y avances en ATM´s internacionales, alineandose contra lo reglamentado por la SFC y no afectar el D. 4809 de 2011 - "Los precios y tarifas que los establecimientos de crédito cobren a sus clientes, por consultas de saldo y transacciones a través de internet, en ningún caso podrán ser superiores a las cobradas por otros canales"
 Generar el cobro en Pesos Colombianos y al realizar la actualización de tarifas de cada año se pueda establecer correctamente sin realizar ajustes durante el año.</t>
  </si>
  <si>
    <t>SDATOOL-41856</t>
  </si>
  <si>
    <t>Mejoras Permanente Funnel TDC WEB</t>
  </si>
  <si>
    <t>Actualmente no se cuenta con la capacidad suficiente para monitorear e instalar los ajuste y/o correcciones en procesos operativos puntuales que impactan el la gestión del canal Open Market tarjeta de crédito.</t>
  </si>
  <si>
    <t>Con el objetivo de tener un mejor monitoreo se sumaria una célula de soporte y mantenimiento que apoyará los procesos operativos y la producción de las aplicaciones Open Market tarjeta de credito. El objetivo es recuperar el oportunity Gap en tarjetas que hoy tenemos en los indicadores del Funnel.</t>
  </si>
  <si>
    <t>SDATOOL-41857</t>
  </si>
  <si>
    <t>Rescate en último paso Funnel TDC Aqua</t>
  </si>
  <si>
    <t>Con el objetivo de recuperar la mayor cantidad de clientes que ingresan al funnel y que no llegan al alta de tarjeta de credito, se identifico que en el ultimo paso en promedio llegan el 64% de los clientes lo cual nos plantea la oportunidad de recurar un % del 30% que no llega a tener un alta efectiva.</t>
  </si>
  <si>
    <t>La iniciativa se enfoca en 2 propuestas principales; La 1 es crear un flujo donde se revise nuevamente la viabilidad del grupo de clientes que se caen por falla Evaluación Resolución y/o Alta de Tarjeta, dependiendo del veredicto comunicar al cliente el alta y asi mismos dirigirlo a oficina a recoger el plástico . La 2da es identificar los clientes que se caen por pagaré, evaluar nuevamente viabilidad y dependiendo del veredicto 
  dar de Alta la TDC en Batch, comunicar al cliente que debe culminar proceso en oficina. Se debe garantizar el envío TDC a la oficina en iguales condiciones que el alta realizada en el flujo sin formalizar el contrato adicionando un paso en oficina y es la firma del pagaré electrónico
 .</t>
  </si>
  <si>
    <t>SDATOOL-41858</t>
  </si>
  <si>
    <t>Inclusión Bines Ofertables D+0</t>
  </si>
  <si>
    <t>Actualmente en la red de oficinas únicamente se tienen cómo ofertables Bines Clásicos, lo cual ha generado no aceptación del producto por parte de los clientes ya que el cupo no pertenece al producto ofrecido.</t>
  </si>
  <si>
    <t>En su momento solo se creó la opcion de Bin Clasico, hoy en dia entregamos tarjetas hasta$10.000.000, lo que nos permite entregar otros bines como Gold y Platinum.
 por tal motivo, es necesario su inclusión</t>
  </si>
  <si>
    <t>SDATOOL-41859</t>
  </si>
  <si>
    <t>Implementación Nuevos Mensajes de Niveles de Servicio</t>
  </si>
  <si>
    <t>En la actualidad, mensualmente se están declinando por la causal de TJ-DENEGAR-SOBREGIRO , cerca de 92 Mil transacciones (Sumando reintentos). Esta causal se presenta cuando la tarjeta presenta bloqueo preventivo por Sobregiro,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
 el segundo mensaje surge, dado que mensualmente se están declinando por la causal de TJ-CADUCADA, cerca de 20 Mil transacciones (Sumando reintentos), Bloqueo Definitivo, la tarjeta fue bloqueada por que se venció.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
 el tercer mensaje surge de que mensualmente se están declinando por la causal de TJ-DENEGAR-SOLIC-CLIENTE, cerca de 44 Mil transacciones (Sumando reintentos), Bloqueo Preventivo, este tipo de bloqueo se da cuando el cliente solicita bloquear su tarjeta "Apagarla".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t>
  </si>
  <si>
    <t>El envío automático de notificaciones de forma proactiva y preventiva, para las tarjetas que esten marcadas en el sistema con este tipo de Bloqueo, y poder notificar al cliente del bloqueo de su producto, de esta manera previo a realizar cualquier tipo de transacción, pueda conocer la situación de su tarjeta, el envío de estas comunicaciones deberá ser de forma periódica (Vía Push, SMS y MAIL).</t>
  </si>
  <si>
    <t>SDATOOL-41860</t>
  </si>
  <si>
    <t>Integración servicio de validación Experian - OyD</t>
  </si>
  <si>
    <t>Realizar las adecuaciones a la aplicación OyD para cumplir con la instrucción regulatoria relacionado con:
 Validación de identidad de accionistas, representante legal, accionistas hasta beneficiario final</t>
  </si>
  <si>
    <t>Crear una pantalla en la cual el usuario pueda registrar los clientes, accionistas, beneficiarios, representantes legales, ordenantes que va a crear en OyD, esta pantalla será externa a OyD ya que tendrá una conexión con el servicio de Experian</t>
  </si>
  <si>
    <t>blancamilena.cardona-bbva.com</t>
  </si>
  <si>
    <t>SDATOOL-41861</t>
  </si>
  <si>
    <t>Creación subproductos en Banktrade para Factoring AgroComex (en dólares) y Factoring en Dólares entre residentes</t>
  </si>
  <si>
    <t>Se necesita la creación de dos subproductos en el aplicativo Banktrade para individualizar el registro de los productos Factoring AgroComex (en Dólares) y Factoring en Dólares para residentes, de forma que se pueda realizar el respectivo seguimiento comercial y la generación de la reportería requerida de forma independiente</t>
  </si>
  <si>
    <t>Estos dos productos constituyen oportunidades de crecimiento en la cartera en moneda extranjera dados algunos ajustes en la normativa. Actualmente se anticipó la oferta de los subproductos para operaciones muy puntuales, pero para el correcto registro y seguimiento que requiere su masificación es necesario la creación de los subproductos respectivos</t>
  </si>
  <si>
    <t>SDATOOL-41863</t>
  </si>
  <si>
    <t>Consulta Real Time Sim Swap</t>
  </si>
  <si>
    <t>Detectar en tiempo real cuando un cliente y no cliente (en el proceso de onboarding digital) presente Sim Swap y/o cambio de correo, y se utilicen mecanismos alternativos de firma para validar la operación.
 Para habilitar la compatibilidad con lectores de pantalla, pulsa Ctrl+Alt+Z. Para obtener información acerca de las combinaciones de teclas, pulsa Ctrl+barra diagonal.</t>
  </si>
  <si>
    <t>Mitigar el aumento significativo en los casos de fraude por medio de suplantación Sim Swap. Reducir los pagos de fraude por esta casuística. Mejorar las respuestas operativas.</t>
  </si>
  <si>
    <t>Debido a que se trata de un proceso manual, que no se realiza después de que se ejecute la operación deriva en:
 *Un aumento de clientes afectados. Aumento de PQR´s
 *Mayor fraude materializado, asumiendo éste quebranto por parte del cliente</t>
  </si>
  <si>
    <t>SDATOOL-41869</t>
  </si>
  <si>
    <t>Notificación bloqueo preventivo</t>
  </si>
  <si>
    <t>Tiene como motivo informar en un tiempo oportuno y seguro a nuestros clientes el riesgo de una posible operación fraude . Con esto garantizamos que el cliente es notiificado del bloqueo preventivo como medida de seguridad y a nosotros nos permite mitigar el riesgo de materialización de fraude.</t>
  </si>
  <si>
    <t>monicaandrea.castillo-bbva.com</t>
  </si>
  <si>
    <t>En caso de descontinuar el proyecto, El Banco tendría Incremento en quejas de los clientes cuando se hacen bloqueos preventivos y desconocen el bloqueo, 
 posibilidad de procesos de QYR por la no prestación del servicio en los canales digitales, sin una información oportuna a los clientes y 
 afectación de los niveles de servicio de los canales por negaciones posteriores a un bloqueo de canal.</t>
  </si>
  <si>
    <t>SDATOOL-41870</t>
  </si>
  <si>
    <t>Proyecto Neptuno - Proxy de navegacion en la nube</t>
  </si>
  <si>
    <t>En el modelo actual de navegación de BBVA, el acceso a Internet desencadena un complejo journey a través del CPD o se realiza sin pasar por todas las capas de seguridad del Grupo. La solución deja de estar en el perímetro de BBVA y es aprovisionada y operada por un tercero en la cloud, simplificando el modelo y aumentando la seguridad y la calidad. Para esto se requiere adquirir el licenciamiento necesario para los usarios activos de Banco Internos y externos que realicen uso de dispositivos Banco y para los servidores que requieran conexion a internet. Adicionalmente se requiere determinar segun la validacion de los casos de uso de navegacion de colombia en numero de appliances necesario para atender la navegacion que continuara saliendo a traves del los CPD locales para determinar el numero de licenciamiento o appliances en modelo de arrendamiento.</t>
  </si>
  <si>
    <t>Se requiere adquirir 10355 licencias de Zscaler y en proceso de definicion el numero de licencias de appliances de navegacion para los diferentes CPDs segun el modelo de arquitetura que defina el corporativo para Colombia dependiendo de los casos de uso que tenemos en la actualidad para la navegacion a internet.</t>
  </si>
  <si>
    <t>SDATOOL-41877</t>
  </si>
  <si>
    <t>Evolutivo Bonita 5 Community a JBPM</t>
  </si>
  <si>
    <t>Diseñar los 4 procesos actuales para su implementación en la JBPM Corporativa con el fin de apagar Bonita 5 Community</t>
  </si>
  <si>
    <t>-Eliminar la obsolecencia pasando de tecnologia legacy a nextgen -eliminar riesgos en la operación evitando las vulnerabilidades a nivel de seguridad - impulsar herramientas desacopladas que permitan escalamientos y evolutivos con mejores tiempos de atención para brindar una mejor experiencia al usuario</t>
  </si>
  <si>
    <t>gloria.hernandez-bbva.com</t>
  </si>
  <si>
    <t>e.castillog-bbva.com</t>
  </si>
  <si>
    <t>cristiancamilo.aponte-bbva.com</t>
  </si>
  <si>
    <t>Al no llevarse acabo esta migración de los procesos de Bonita 5 Community a una nueva plataforma se incurre en riesgos de vulnerabilidades, obsolencia tecnica y funcional al no poderse evolucionar y modificar lo existente además de un riesgo operacional al no contar con soporte de la plataforma en caso de caida o daños.</t>
  </si>
  <si>
    <t>Ether Infrastructure</t>
  </si>
  <si>
    <t>SDATOOL-41878</t>
  </si>
  <si>
    <t>SWIFT ISO20022 MT940/42 A CAMT052/53 COLOMBIA</t>
  </si>
  <si>
    <t>1. Desarrollo de las nuevas estructuras CAMT053 y CAMT052 para extractos de cuenta que viajan actualmente por Swift MT940 y MT942 ambas estructuras deben ser complementarias para nuestra oferta actual.
 2. Para las transacciones de naturaleza crédito (Recaudos, Transferencias recibidas), se debe incluir detalle adicional de quien realiza la transacción (NIT, CC o Referencias). 
 3. Para la activación del servicio de envió de las estructuras a los clientes este debe ser paramétrico que se pueda tener la opción de activar un cliente o se puedan realizar activaciones masivas. 
 4. Desarrollo de la tabla que permita identificar cuales clientes con sus respectivas cuentas tienen los servicios contratados para las estructuras MT940, MT942, CAMT053 y CAMT052, dicha tabla debe tener la capacidad de mantener actualizada la información de forma automática. Para dicha tabla se debe crear los perfiles de consulta en el aplicativo 3270 los cuales se podrán asignar a las áreas que lo requieran. 
  5. Desarrollar el cobro de envío de mensajes MT940, MT942, CAMT053 y CAMT052 para las cuentas activas que tengan contratado el servicio y los nuevos clientes que lo soliciten. 
  6. Desarrollar la eliminación automática del envío de los mensajes MT940, MT942, CAMT053 y CAMT052 junto con el cobro de los mismos cuando una cuenta este en estado cancelada.
 7. Mantener los formatos MT940 y MT942 para los clientes que no puedan realizar esta migración a los formatos CAMT053 y CAMT052.
 8. Dentro de las estructuras MT940, MT942, CAMT053 y CAMT052 se debe Incluir fecha valor y Fecha contable de la transacción.
 9. Se debe crear un repositorio de contingencia donde quede almacenada la información de las cuentas de forma retroactiva de los mensajes generados de las cuentas que tienen contratados los servicios de MT940, MT942, CAMT053 y CAMT052 esta información se debe poder recuperar fácilmente para enviar a los clientes cuando se presente algún problema en el momento de la transmisión de los extractos a solicitud del cliente.
 10. Desarrollar la opción en Net Cash para los clientes que tienen contratado el servicio MT940, MT942, CAMT053 y CAMT052 y lo puedan descargar en caso de no recibirlo de forma automática y se pueda usar como contingencia.
 11. Desarrollar un reporte que permita la generación de la información de los mensajes enviados donde se especifique los siguientes campos:
 • Tipo de mensaje 
 • Nombre de cliente 
 • Número de Cuenta del cliente 
 • Nit del cliente
 • Fecha de envió del mensaje</t>
  </si>
  <si>
    <t>Proyecto regulatorio para adición de las estructuras xml a la mensajería SWFT de los extractos para los clientes.</t>
  </si>
  <si>
    <t>andresfelipe.lopez.sandoval-bbva.com</t>
  </si>
  <si>
    <t>SDATOOL-41879</t>
  </si>
  <si>
    <t>Apertura de oficina Mitu</t>
  </si>
  <si>
    <t>SDATOOL-41881</t>
  </si>
  <si>
    <t>Bloqueo/Desbloqueo Soft-Hard</t>
  </si>
  <si>
    <t>El tipo de bloqueo/desbloqueo Soft y Hard busca inhabilitar al usuario, producto o medio de manejo en el/los canal(es) que así corresponda(n), como un bloqueo multidireccional y su diferencia se desprende en la manera en como puede ser desbloqueado :
 Bloqueo Soft
 &gt;Autoservicio por canales remotos (reseteo de credenciales BMóvil o Net)
 &gt;Por fraude de manera automática o manual
 Bloqueo Hard
 &gt;Autoservicio por canales presenciales (biometría en oficina o por ATM con tarjeta + pin)
 &gt;Por fraude de manera automática o manual
 El bloqueo Hard no permite la autenticación por canales remotos a través de ningún mecanismo, por lo que se inhabilita el usuario, producto o medio correspondiente</t>
  </si>
  <si>
    <t>Actualmente el bloqueo por parte de las herramientas antifraude o bien por parte de los analistas de Fraude se presenta como un bloqueo unidireccional, permitiendo que a pesar de las acciones tomadas desde fraude, se permita el ingreso a otro canal y el desbloqueo se pueda hacer en autoservicio por parte del cliente o bien por parte del usuario que está suplantando a nuestro cliente desde canales remotos, condicionando a que los defraudadores rompan esta barrera y puedan materializar el fraude. Por esta razón se requiere fortalecer el bloqueo del usuario impidiendo un intento de desbloqueo por parte del defraudador.</t>
  </si>
  <si>
    <t>En caso de descontinuar el proyecto, no contaríamos con medidas para evitar que el usuario defraudador desbloquee los bloqueos generados a partir de las reglas de fraude, que se activan de forma proactiva en función de los patrones.</t>
  </si>
  <si>
    <t>SDATOOL-41906</t>
  </si>
  <si>
    <t>Reingeniería Débito Automático</t>
  </si>
  <si>
    <t>Realizar restructuración del servicio Débito Automático para clientes Jurídicos:
 1. Vincular el servicio Débito Automático con Recaudo, es decir que el servicio esté atado a un convenio de Recaudo.
 2. Reflejar los movimientos por Débito automático en los archivos Asobancaria reportando las referencias configuradas para el Convenio.
 3. Reporte de movimientos exitosos uno a uno de los Recaudos realizados a través de Débito Automático. Debe ser un servicio contratable en las referencias Mcug y Net Cash. 
 4. Referenciar Operaciones en los archivos Multicash, MT940 y MT942. Se debe incluir Parametría que permita el reporte de las referencias de Recaudo configuradas en el Convenio atado al servicio de Débito Automático, de igual forma la opción de configurar la información adicional que se entregue en los archivos identificadores en los campos: Referencia, Conceptos 1, 2, 3 y 4.
 5. Se requiere que el proceso paramétrico que realice reintentos cuando las operaciones salgan rechazadas por cuenta inactiva, cuenta sin fondos, cliente con servicio no autorizado. El servicio debe ser contratable en las referencias Net Cash y Mcug. Se deben poder parametrizar el número de reintentos.
 4. La generación de archivos de devolución cuando se contrate el servicio de reintentos debe ser similar al de Pagos Masivos, es decir, se genera archivo de devolución a medida que se van generando operaciones exitosas por ciclo. Una vez cerrada la orden se debe generar un archivo final con el resultado final de todas las ordenes Débito.
 6. Crear clave de comisión única por canal. Actualmente está marcada como clave 0600 del producto 31, misma clave y producto asignado a las transferencias BBVA. 
 7. Contar con un taller paramétrico del producto donde se establezcan cada uno de los parámetros tanto para los clientes recaudadores como los pagadores.
 8. Contar con un proceso de inscripción y aprobación de parte de los clientes o usuarios pagadores (a quien se realiza el débito) el cual debe generarse por solicitud del cliente recaudador o de manera autónoma por el pagador, bien sea desde Net Cash o desde la pagina blanca del banco según corresponda.</t>
  </si>
  <si>
    <t>l producto de Débito automático es una modalidad de Recaudo, sin embargo el servicio está configurado como si fuera un pago, no va atado a un convenio de Recaudo, no cuenta con reporte detallado de Operaciones (Multicash/MT940/MT942), no cuenta con reintentos, la clave de comisión está atada a procesos de Pagos, no se cuenta con una parametría del producto tanto para los clientes recaudadores como los pagadores en BBVA.</t>
  </si>
  <si>
    <t>SDATOOL-41909</t>
  </si>
  <si>
    <t>Ampliación Canales Torretas Valores</t>
  </si>
  <si>
    <t>Ampliar el número de canales para las torretas de la mesa de Dinero de BBVA Valores
 Adquirir el Upgrade 2 licencias de 8 spkrs a 16 spkrs
 • Upgrade 1 licencias de 4 spkrs a 8 spkrs.
 • Servicio instalación.</t>
  </si>
  <si>
    <t>Ampliar el número de canales de las torretas asignadas a los traders institucionales con el fin de poder realizar multiples llamadas sin afectar oportunidad de negocio con contrapartes.</t>
  </si>
  <si>
    <t>SDATOOL-41916</t>
  </si>
  <si>
    <t>Robotización de procesos BEX T&amp;C</t>
  </si>
  <si>
    <t>Esta iniciativa busca robotizar los procesos priorizados del Bex Talento y cultura.</t>
  </si>
  <si>
    <t>Robotizar procesos permite reducir la carga operativa en las áreas, y garantizar los procesos manuales que se realizan actualmente.</t>
  </si>
  <si>
    <t>SDATOOL-41928</t>
  </si>
  <si>
    <t>Escaneo PCI sobre infraestructura de banco DLP</t>
  </si>
  <si>
    <t>Dar cumplimiento normativo de PCI con referencia al descubrimiento de activos de información críticos, sensibles y confidenciales para el banco como los números de tarjeta de crédito.</t>
  </si>
  <si>
    <t>Dar cumplimiento normativo de PCI con referencia al descubrimiento de activos de información críticos, sensibles y confidenciales para el banco como los números de tarjeta de crédito.
 Mantener la confidencialidad de información crítica para el banco.</t>
  </si>
  <si>
    <t>manuela.guarnizo-bbva.com</t>
  </si>
  <si>
    <t>En caso de desestimar el proyecto, el Banco estaría expuesto a fuga de información sensible, confidencial, enerando así daños reputacionales y económicos al banco. Incumplimiento de auditorías referentes al manejo de información sensible.</t>
  </si>
  <si>
    <t>SDATOOL-41930</t>
  </si>
  <si>
    <t>FX en GEMA</t>
  </si>
  <si>
    <t>Generar Ingresos para el banco, y mejorar la experiencia del cliente al permitirle negociar divisas a través de GEMA (app para personas jurídicas del banco), con algunas especificaciones que se detallarán más adelante.</t>
  </si>
  <si>
    <t>Actualmente para personas jurídicas la negociación digital de divisas se puede realizar únicamente por Netcash (web). Lo que se pretende en este proyecto es que los clientes también puedan negociar divisas a través del app GEMA.</t>
  </si>
  <si>
    <t>santiago.morera-bbva.com</t>
  </si>
  <si>
    <t>SDATOOL-41938</t>
  </si>
  <si>
    <t>GRM Col Reg - Ajuste Calificación Escalera</t>
  </si>
  <si>
    <t>Ajustar lo procesos del banco, para estar alineados con lo establecido en el requierimiento de la SFC para el mejoramiento de la Calificación.</t>
  </si>
  <si>
    <t>Teniendo en cuenta el comunicado de la SFC Req Adicional Inspección In Situ 2022044088-117-000, por medio de la cual se deben ajustar, eliminar o adicionar procesos que garanticen el cumplimiento de las características de la misma.</t>
  </si>
  <si>
    <t>diana.barrantes-bbva.com</t>
  </si>
  <si>
    <t>SDATOOL-41941</t>
  </si>
  <si>
    <t>INTEGRACIÓN DE AS400 Y HOST Y ESTABILIZACIÓN Y RESTABLECIMIENTO DE lOS ENTORNOS DE LEASING AS400 DE DESARROLLO Y CALIDAD"</t>
  </si>
  <si>
    <t>"Ajustar error Productivo de “NO HAY COMUNICACIÓN” en la funcionalidad Cuentas por Pagar de facturas Leasing.
 Ajustar en ambientes previos error en la comunicación entre AS/400 y Altamira en ambos sentidos."
 Reestablecer en Producción y ambientes previos la comunicación en línea de la funcionalidad Cuentas por Pagar de facturas Leasing entre AS/400 y Altamira en ambos sentidos.</t>
  </si>
  <si>
    <t>En producción no se puede ejecutar la funcionalidad de Cuentas por Pagar de facturas leasing ya que se presenta error “NO HAY COMUNICACIÓN” y en ambientes (Desarrollo y Calidad) se deben ajustar las funcionalidades que generan comunicación entre AS/400 y Altamira en ambos sentidos.</t>
  </si>
  <si>
    <t>. Riesgos legales para el Banco por no tener sus ambientes previos funcionando correctamente y no tener los controles de mitigación de riesgos para pasos a producción, esto por certificaciones faltantes.
 . El incumplimiento de la Glosa de Auditoria: 22-Q2-2403 Ciclo productivo de aplicaciones - End to End a Arquitectura
 . En el caso productivo implica riesgos de manualidades al área Operativa y de System por alertas contables ya identificadas</t>
  </si>
  <si>
    <t>SDATOOL-41950</t>
  </si>
  <si>
    <t>Migracion GMF-MQ Series</t>
  </si>
  <si>
    <t>Es un evolutivo respecto a la consulta, marcacion y/o desmarcacion de la cuenta para el servicio GMF teniendo en cuenta que el tercero Transunion indica que su flujo actual expuesto por cola MQ saldra de funcionamiento.</t>
  </si>
  <si>
    <t>Poder mantener la funcionalidad de cara al cliente
 Actualizacion de la conexion con el tercero Transunion para el servicio de consulta, marcación y /o desmarcacion de cuentas para la excención de cobro de GMF.</t>
  </si>
  <si>
    <t>jiovanny.suarez-bbva.com</t>
  </si>
  <si>
    <t>SDATOOL-41955</t>
  </si>
  <si>
    <t>MIGRO FASE II. TRANSFORMACION DE LOS CIRCUITOS DE CAPTURA Y TRATAMIENTO DE LAS PERDIDAS OPERACIONALES - COLOMBIA</t>
  </si>
  <si>
    <t>Determinar el modelo de solución para la sustitución de las herramientas utilizadas para la gestión de pérdidas operacionales (SIRO) en Colombia. Esta iniciativa pertenece a la Fase III del proyecto General</t>
  </si>
  <si>
    <t>El objetivo del proyecto es evolucionar de la situación actual de tener múltiples herramientas locales y corporativas para la gestión del riesgo operacional hacia un esquema más racional en base única a una solución para todo el grupo. El proyecto se divide en 3 fases de las cuales las 2 primeras ya se encuentran finalizadas. Fase 3: Valorar la incorporación de las pérdidas operativas a esta herramienta con el objetivo de poder unir los riesgos potenciales con los eventos reales que ocurren en el país.</t>
  </si>
  <si>
    <t>SDATOOL-41962</t>
  </si>
  <si>
    <t>Seguros - Sistema de Administración de Pensiones de Rentas Vitalicias</t>
  </si>
  <si>
    <t>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y demás normas que la modifican sustituyen o complementen, dado a que el aplicativo actual esta obsoleto.</t>
  </si>
  <si>
    <t>Realizar la actualización por obsolescencia del aplicativo que gestiona y administra la nómina de pensionados de BBVA Seguros, para lograr generar la automatización en la liquidación y pago de nómina de los pensionados de Rentas Vitalicias, en un aplicativo con mejores beneficios en la administración de la nómina, eliminando procesos manuales y garantizando que el histórico de la información se mantenga.</t>
  </si>
  <si>
    <t>SDATOOL-41966</t>
  </si>
  <si>
    <t>Cambio de nivel cajeros de Nivel 4 a Nivel 7</t>
  </si>
  <si>
    <t>Dotar a BBVA Colombia de los elementos y recursos necesarios para el presupuesto requerido para el cambio de nivel de 66 ATM’s en 56 oficinas por $1.546.083.373 (Incluído Iva) , toda vez que luego de un estudio se encontró que al implementar esté modelo de site compartido mejoramos la prestación del servicio a nuestros clientes y descargamos operativamente a la red de oficinas (ya que hemos recibido varias solicitudes por parte de personal de las oficinas, Zonales que no cuentan con el capacity para la atención de los cajeros automáticos).</t>
  </si>
  <si>
    <t>"Beneficios de la solución
 ● Nos permitirá tener mayor disponibilidad del parque de cajeros al tener dualidad en su atención.
 ● Mejor percepciòn de los clientes y con ello una mejor calificaciòn en el NPS
 ● Descarga operativa a la red de oficinas con el NMO se ha reducido el capacity y esto disminuye el tiempo que tiene el personal para atender los cajeros automàticos y les permitirá tener un mayor volumen de ventas."
 Realizar las adecuaciones para cambio de atención de nivel provisión de efectivo de N4 a N7. Evidenciamos en el Monitoreo de cajeros la indisponibilidad presentada en fechas pico como fines de semana donde no hay atención de las oficinas y los cajeros por alguna falla o agotamiento de efectivo quedan fuera de servicio hasta el siguiente día hábil que personal de la oficina puede atenderlos (por normas de seguridad no es permitido hacer apertura de oficinas los fines de semana) Nos permitirá tener mayor disponibilidad del parque de cajeros al tener dualidad en su atención (uno o más cajeros a cargo de la Transportadora de valores y un único cajero a cargo de la oficina).</t>
  </si>
  <si>
    <t>yenny.mancipe-bbva.com</t>
  </si>
  <si>
    <t>SDATOOL-41980</t>
  </si>
  <si>
    <t>Modelo API´S Recaudo (CB´s)</t>
  </si>
  <si>
    <t>SDATOOL-41995</t>
  </si>
  <si>
    <t>Traslado Auditoría Interna a Dirección General</t>
  </si>
  <si>
    <t>Se requiere el traslado de Auditoria Interna a Dirección General</t>
  </si>
  <si>
    <t>El traslado se requiere para tener mayor interacción entre Auditoria Interna y las áreas auditadas.</t>
  </si>
  <si>
    <t>SDATOOL-41997</t>
  </si>
  <si>
    <t>GRM Col - Ajustes reportes regulatorios - Controller View</t>
  </si>
  <si>
    <t>Atención a solicitudes de regulador local relacionadas con controller View.
 Disciplina: Risk Strategy &amp; Develop &amp; Bex</t>
  </si>
  <si>
    <t>Con el fin de evitar sanciones de ente regulatorio local</t>
  </si>
  <si>
    <t>SDATOOL-42026</t>
  </si>
  <si>
    <t>Plan de Sostenimiento Contadoras de Billetes</t>
  </si>
  <si>
    <t>Actualmente BBVA tiene distribuidas 1041Contadoras Inteligentes de Billetes en su red de oficinas, el 98% se encuentran fuera de garantía. Teniendo en cuenta que el cambio de estos equipos por obsolescencia para 2022 le constaría al Banco 13 mil millones de pesos, se recomienda el contrato de mantenimiento para garantizar la solución oportuna de incidentes que se puedas presentar en estos equipos.</t>
  </si>
  <si>
    <t>Considerando la salida de garantía de la mayoría de nuestras Contadoras de Billetes en la Red de Oficinas, se requiere contratar un plan de sostenimiento de las mismas.
 Al tener un contrato de sostenimiento, se puede garantizar un buen funcionamiento de estos elementos, alargando su vida útil y evitando realizar una inversión alta en su cambio.</t>
  </si>
  <si>
    <t>SDATOOL-42030</t>
  </si>
  <si>
    <t>Pago por PSE de productos del Activo de Jurídicos (Líneas Comerciales, Créditos Digitales, Redescuento, Agrocrédito, Factoring y Leasing)</t>
  </si>
  <si>
    <t>Habilitar la posibilidad de que nuestros clientes con productos del activo del segmento de clientes jurídicos puedan pagar sus obligaciones a través del canal PSE, utilizando recursos de cuentas en BBVA o en otros bancos. El objetivo es que la posibilidad quede habilitada en la página blanca de BBVA, de forma que el pago se pueda realizar sin necesidad de autenticarse en las aplicaciones del banco</t>
  </si>
  <si>
    <t>Es necesario habilitar este canal dado que en los procesos de cobranza se ha identificado que algunos clientes manifiestan que se les dificulta el pago al no contar con recursos en cuentas BBVA, aun cuando disponen de recursos en otros bancos. Este desarrollo habilita un canal para permitir el pago de obligaciones a este segmento de clientes sin tener que ir a las oficinas</t>
  </si>
  <si>
    <t>SDATOOL-42032</t>
  </si>
  <si>
    <t>Automatización Futuros (TES Y TRM) Mesa Distribución-Master Trader</t>
  </si>
  <si>
    <t>Poder contar con una integración automatica para los Futuros TES y TRM en que se compensan por CRCC en la mesa de distribución, desde su aplicativo Origen (BVC - Master Trader) hasta los aplicativos internos (STAR).</t>
  </si>
  <si>
    <t>El beneficio es mitigar el riesgo operativo del registro manual de las operaciones TES Y TRM en el aplicativo Star y hacer mas eficiente la operativa de la mesa de inversores.</t>
  </si>
  <si>
    <t>adriana.lopezb-bbva.com</t>
  </si>
  <si>
    <t>SDATOOL-42038</t>
  </si>
  <si>
    <t>In house Femsa</t>
  </si>
  <si>
    <t>Atender de forma optimizada y controlada la necesidad del cliente Femsa para el recaudo de efectivo que se realiza de las ventas ,</t>
  </si>
  <si>
    <t>taniaalexandra.jula-bbva.com</t>
  </si>
  <si>
    <t>SDATOOL-42039</t>
  </si>
  <si>
    <t>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t>
  </si>
  <si>
    <t>En Colombia existen más de 2M de pensionados con un potencial de 208.578 que no poseen cuenta pensional y reciben pagos por ventanilla en BBVA, los cuales son el objetivo de bancarización de este proyecto con una meta estimada de 19.207 Actualmente la competencia ya cuenta con oferta 100% digital como lo es Bancolombia, Davivienda y Banco de Bogotá logrando tener una mayor efectividad en sus tiempos de respuesta. 
 Mientras que BBVA únicamente cuenta con una oferta de pensión presencial para realizar la contratación de la cuenta, lo cual nos afecta en tiempos de gestión.
 Adicionalmente , se llevará un ajuste estructural en Colpensiones donde se cambiará el proceso de pensión en el cual será necesario que todo pensionado tenga una cuenta para el abono.</t>
  </si>
  <si>
    <t>edwinfrancisco.romero-bbva.com</t>
  </si>
  <si>
    <t>SDATOOL-42040</t>
  </si>
  <si>
    <t>In House Bavaria</t>
  </si>
  <si>
    <t>Atender de forma optimizada y controlada la necesidad de los clientes Bavaria para el recaudo de efectivo que se realiza de las ventas.</t>
  </si>
  <si>
    <t>SDATOOL-42044</t>
  </si>
  <si>
    <t>In House Sierracol</t>
  </si>
  <si>
    <t>Atender de forma optimizada y controlada la necesidad del cliente Sierracol para el recaudo de efectivo que se realiza de las ventas ,</t>
  </si>
  <si>
    <t>SDATOOL-42048</t>
  </si>
  <si>
    <t>In house BAT</t>
  </si>
  <si>
    <t>SDATOOL-42053</t>
  </si>
  <si>
    <t>Huella Digital</t>
  </si>
  <si>
    <t>Utilizar la información digital de los clientes que ingresan al formulario de Open Market en la pagina blanca del banco e identificar clientes con buen comportamiento de pago a través de los datos de huella digital y transaccional para contrastar la información y aplicar reglas de negocio y algoritmos de perfilamiento y segmentación de clientes que permitan ingresar a nuevos nichos de mercado.
 Impactar el motor de riesgos que esta en medio del funnel para que se capture la información digital del cliente a través del formulario de OM y se complemente con la información que ya se tiene del cliente como ingreso, Buro y demás y después de aplicar las reglas de negocio dentro del funnel y facilitar que el cliente reciba el risk ok.</t>
  </si>
  <si>
    <t>SDATOOL-42058</t>
  </si>
  <si>
    <t>WS Procesos Sostenibilidad 2023</t>
  </si>
  <si>
    <t>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t>
  </si>
  <si>
    <t>Iniciar el despliegue para el lenvamiento de los procesos de sostenibilidad.
 ● Crear equipos de trabajo multidisciplinares, liderados localmente por BPE
 ● En conjunto con el equipo multidisciplinar mapear e identificar los procesos de sostenibiliad a nivel pais 
 ● Identificar ASIS y Gaps a nivel pais 
 ● Crear Roadmap con las iniciativas con iniciativas para ejecución</t>
  </si>
  <si>
    <t>SDATOOL-42059</t>
  </si>
  <si>
    <t>Arrendamiento tecnológico Real State - GPS</t>
  </si>
  <si>
    <t>Desarrollar la integración de GPS y Real State para los arrendamientos tecnológicos según la norma NIIF-16, y así controlar el manejo financiero a través del módulo.</t>
  </si>
  <si>
    <t>Actualmente no se encuentra la integración de los arrendamientos tecnológicos entre Real State y GPS.</t>
  </si>
  <si>
    <t>SDATOOL-42061</t>
  </si>
  <si>
    <t>Murex Limit Control Intradía EOD</t>
  </si>
  <si>
    <t>Se propone decomisionar el módulo Lambda de Star por el módulo MLC de Murex. Esto implica asegurar la gestión de los riesgos de crédito y de settlement de los productos derivados, desde el aplicativo Murex3.</t>
  </si>
  <si>
    <t>Mejorar la gestión de los riesgos de crédito, emisor, settlement y depósito de las operaciones contratadas por la tesorería de BBVA Colombia, por medio de la migración del módulo Lambda (Star) por el módulo Murex Limit Control (Murex).</t>
  </si>
  <si>
    <t>SDATOOL-42081</t>
  </si>
  <si>
    <t>Evolutivos Migración Murex 3</t>
  </si>
  <si>
    <t>Se propone desarrollar en el aplicativo Murex3 una serie de evolutivos de alta relevancia para la tesorería.</t>
  </si>
  <si>
    <t>Análisis, desarrollo e implantación de mejoras evolutivas al sistema Murex3.</t>
  </si>
  <si>
    <t>SDATOOL-42085</t>
  </si>
  <si>
    <t>Mejoras Consola Veridas</t>
  </si>
  <si>
    <t>Integrar las funciones Dasfacebon (algoritmo detección de rostros fraudulentos), LOGs (archivos con el login de los usuarios que accedan a la consola) y Perfiles en la Consola de Veridas.</t>
  </si>
  <si>
    <t>Incluir caracteristicas que mejoren la funcionalidad de la Consola de Veridas para contar con una herramienta mas robusta que permita la optimización y mejora de procesos, automatización y tiempos de servicios.</t>
  </si>
  <si>
    <t>SDATOOL-42086</t>
  </si>
  <si>
    <t>Generacion de Norma de Fraude Interno para BBVA Colombia</t>
  </si>
  <si>
    <t>Generar la norma de la modalidad de fraude Interno, dejando claridad de los lineamientos, intervinientes y responsablidades, con base al modelo de referencia de Fraude interno de Holding</t>
  </si>
  <si>
    <t>Se requiere la creación de la norma de las taxonomias de fraude interno en Colombia, la cual debe contar con todos los lineamientos establecidos para la atención de un evento de fraude interno, con base al modelo de referencia de Holding.</t>
  </si>
  <si>
    <t>SDATOOL-42098</t>
  </si>
  <si>
    <t>GRM Col CRONOS Batch - Campañas SMeS</t>
  </si>
  <si>
    <t>Implementación de un flujo automatizado para la evaluación de clientes del segmento pymes, que nos permitirá tener capacidades de selección y generación de oferta proactiva de manera automática y recurrente</t>
  </si>
  <si>
    <t>Cronos Retail es un conjunto de tecnologías desarrolladas por GRM Holding para permitir que las geografías desarrollen sus procesos estratégicos de gestión de riesgos de crédito de particulares, de forma homogénea y conforme al proceso corporativo.
 Cubre los procesos de admisión reactiva, comportamental, campañas comerciales y el proceso de recuperaciones, para los que se han desarrollado productos específicos.
 Los proyectos Cronos tienen una parte Holding para el despliegue de la tecnología y la conexión de datos y una parte local que cubre el aprovisionamiento de información, la parametrización del proceso y la operativización posterior. Todos los proyectos Globales y Locales estarán en el grouping.</t>
  </si>
  <si>
    <t>SDATOOL-42099</t>
  </si>
  <si>
    <t>Seguros - Cuota Segura/Créditos de libranza (SEGUROS)</t>
  </si>
  <si>
    <t>SDATOOL-42104</t>
  </si>
  <si>
    <t>Seguros - Evolutivo Autos/Casa en Orden</t>
  </si>
  <si>
    <t>Los ajustes se trabajarán para los siguientes escenarios:
 Ajuste de alta de pólizas de vehículo
 Aplicación de gasto desde el facturador de seguros multicompañía
 Diferencias en el Pago Próxima Cuota (PPC) de casos multicompañía
 Error en desembolso de un préstamo con seguro de vida endosado
 Actualización de fechas de corte en facturación de pólizas multicompañía
 Cambio fecha de facturación</t>
  </si>
  <si>
    <t>SDATOOL-42106</t>
  </si>
  <si>
    <t>Emisión Certificados Tributarios a proveedores en Operaciones Sin Recurso (Proyecto Normativo)</t>
  </si>
  <si>
    <t>Cumplir con los requerimientos legales de las normas que regulan los reportes de información ingresos y expedición de certificaciones tributarias, para el caso certificado de retenciones a título de GMF originadas en operaciones de factoring sin Recurso.
 1. Regulación gravamen a movimientos financiero – GMF (4xmil: 
 “Artículo 381 del estatuto tributario ... los agentes retenedores deberán expedir anualmente un certificado de retenciones que contendrá:
  a. Año gravable y ciudad donde se consignó la retención.
  b. Apellidos y nombre o razón social y NIT del retenedor.
  c .Dirección del agente retenedor.
  d. Apellidos y nombre o razón social y NIT de la persona o entidad a quien se le practicó la retención.
  e. Monto total y concepto del pago sujeto a retención.
  f. Concepto y cuantía de la retención efectuada.
  g. La firma del pagador o agente retenedor. (...)”
 2. Reportes de Información Exógena para la DIAN
 Dando cumplimiento al artículo 19 de la resolución 000124 de octubre 28 de 2021 y la resolución 001255 del 26 de octubre de 2022, se deben reportar los ingresos recibidos detallando el tercero de quien se recibió el ingreso así.</t>
  </si>
  <si>
    <t>En productos como el 47, 49 y 54 tratándose de operaciones factoring Sin Recurso, las obligaciones quedan en cabeza del pagador; lo cual es correcto. Sin embargo, existen dos eventos que afectan directamente la parte financiera y tributaria del proveedor, que por ley es necesario que se corrijan:
  a. El descuento de la operación factoring, lo otorga el Proveedor.
  b. En operaciones donde se genera el GMF (4xmil), a quien se le cobra este valor al momento del 
  desembolso de una operación de factoring es al proveedor, ya que él es quien da la orden de 
  desembolsar a una cuenta de un tercero diferente a su nombre (P.N.N.: Persona Natural con Negocio) 
  o diferente al de su empresa como proveedora.</t>
  </si>
  <si>
    <t>SDATOOL-42115</t>
  </si>
  <si>
    <t>Beneficios de la solución
 ● Nos permitirá tener mayor disponibilidad del parque de cajeros al tener dualidad en su atención.
 ● Mejor percepciòn de los clientes y con ello una mejor calificaciòn en el NPS
 ● Descarga operativa a la red de oficinas con el NMO se ha reducido el capacity y esto disminuye el tiempo que tiene el personal para atender los cajeros automàticos y les permitirá tener un mayor volumen de ventas.</t>
  </si>
  <si>
    <t>SDATOOL-42127</t>
  </si>
  <si>
    <t>Marcación de modalidad de Trabajo</t>
  </si>
  <si>
    <t>Es necesario el control de las modalidades de trabajo de la plantilla banco, con fin de poder identificar los beneficios de cada una.</t>
  </si>
  <si>
    <t>Se han evidenciado controles deficientes en el pago de los auxilios de conectividad.</t>
  </si>
  <si>
    <t>SDATOOL-42144</t>
  </si>
  <si>
    <t>Ahorro Fijo Digital Clientes</t>
  </si>
  <si>
    <t>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t>
  </si>
  <si>
    <t>Se busca fortalecer y ampliar la oferta digital de pasivo mediante el desarrollo de una alternativa de inversión diferente. Con foco en ganancia de cuota de mercado y vinculación de clientes que buscan una alternativa diferente para generar rentabilidad de sus recursos, adaptandonos a las necesidades del clientes y evitando la derivación de operativa en las oficinas.</t>
  </si>
  <si>
    <t>SDATOOL-42154</t>
  </si>
  <si>
    <t>Migración Aqua al flujo de tarjeta de crédito en Aliados</t>
  </si>
  <si>
    <t>Realizar migración de flujo de contratación de tarjeta de crédito AQUA al flujo de contratación de tarjeta de crédito en punto de venta físico.</t>
  </si>
  <si>
    <t>Realizar migración de flujo de contratación de tarjeta de crédito AQUA al flujo de contratación de tarjeta de crédito en punto de venta físic</t>
  </si>
  <si>
    <t>SDATOOL-42155</t>
  </si>
  <si>
    <t>Ajustes en proceso de Titularización y recompra de cartera titularizada</t>
  </si>
  <si>
    <t>Se requieren hacer los siguientes desarrollos:
 1. Recompra de cartera titularizada, para incluir el valor de los bolsillos en el saldo total de los contratos que tienen alivio por CE022 y CE007.
 2. Titularización de cartera propia, para incluir el valor de los bolsillos en el saldo total de los contratos que tienen alivio por CE022 y CE007.2. Asegurar trazabilidad de títulos valor.
 3. Evitar la desinformación en los registros fiscales.</t>
  </si>
  <si>
    <t>Ajustar funcionalidades de recompra y tutalización de contratos del aplicativo de prestamos que tengan alivio para incluir el valor de intereses y gastos del alivio dentro del saldo total.</t>
  </si>
  <si>
    <t>brayanalexander.salazar-bbva.com</t>
  </si>
  <si>
    <t>SDATOOL-42192</t>
  </si>
  <si>
    <t>Transfiya en GloMo</t>
  </si>
  <si>
    <t>Enviar, solicitar y recibir dinero de Otros Bancos de manera inmediata a través de la solución ACH, Transfiya. Usando como identificación del destino de la transferencia el número de celular.</t>
  </si>
  <si>
    <t>Hoy somos el único banco que no tiene esta solución en el entorno colombiano. Se hace una solución táctica en la net pero su canal natural es la App</t>
  </si>
  <si>
    <t>wilsonfavian.amaya-bbva.com</t>
  </si>
  <si>
    <t>SDATOOL-42201</t>
  </si>
  <si>
    <t>GRM Col - Cronos Collections - Pago Dirigido Préstamos</t>
  </si>
  <si>
    <t>Implementar una nueva funcionalidad que permita llevar a cabo la aplicación de pagos dirigidos para aquellas obligaciones (Préstamos) que se encuentren en Acuerdo de Pago Total, de acuerdo a lo pactado con el cliente.</t>
  </si>
  <si>
    <t>Se requiere el desarrollo de una funcionalidad en el aplicativo de préstamos, que permita realizar la aplicación de pagos de acuerdo a lo pactado con los clientes para aquellas obligaciones de préstamos que se encuentren en acuerdo de pago total que se encuentren en la tabla maestra de acuerdos de pago.</t>
  </si>
  <si>
    <t>flor.gonzalez-bbva.com</t>
  </si>
  <si>
    <t>SDATOOL-42202</t>
  </si>
  <si>
    <t>Apertura de oficina Puerto Inírida</t>
  </si>
  <si>
    <t>SDATOOL-42203</t>
  </si>
  <si>
    <t>Adecuaciones físicas Banca Comercial</t>
  </si>
  <si>
    <t>SDATOOL-42210</t>
  </si>
  <si>
    <t>Seguros -Cuota Segura créditos de libranza</t>
  </si>
  <si>
    <t>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t>
  </si>
  <si>
    <t>angiejulieth.rodriguez.chaves-bbva.com</t>
  </si>
  <si>
    <t>SDATOOL-42212</t>
  </si>
  <si>
    <t>Capa Gestora Light - Colombia</t>
  </si>
  <si>
    <t>Se necesita mejorar los tiempos para el procesamiento de los archivos que llegan de canales directos a capa gestora.</t>
  </si>
  <si>
    <t>Payments is a key strategic area for BBVA so we need to define its positioning for Clients for the next years and decide the most suitable model for the Group in line with industry leaders. Benefits of deploying a group payments reference model: (i) Faster time to market (one development vs. many), (ii) harmonized customers experience and best in class services (e.g. full interoperability), (iii) efficiency gain due to higher STP (frictionless payments experience), lower IT costs (change and run), (iv) transparent governance supported by clear guidelines for markets and (v) access to new or enhanced capabilities (e.g. group wide data &amp; analytics, open banking,...). It should translate into: (i) additional revenues of ~10-20% and (ii) efficiency gains up to ~30%</t>
  </si>
  <si>
    <t>SDATOOL-42213</t>
  </si>
  <si>
    <t>Creación nuevos conceptos recaudo impuestos DIAN - Ley 2277 del 2022 MinHacienda</t>
  </si>
  <si>
    <t>​Implementar nuevos conceptos para la recepción de impuestos formulario 490, para dar conformidad al cumplimiento de la Ley 2277 del 2022 de MinHacienda, en la cual obliga a las Entidades Financieras actualizar los conceptos a las soluciones existentes para la DIAN.</t>
  </si>
  <si>
    <t>Cumplir con la norma de la Ley 2277 del 2022 del MinHacienda para desarrollar la inclusión en NACAR y PSE - ACH, los nuevos conceptos en las solución actual de la DIAN , los cuales son:
 Oficina NACAR
 44 Renta reintegro obras por impuestos - NACAR
 45 Aporte Voluntario art. 244-1 E.T - NACAR
 46 Productos plásticos de un solo uso. - NACAR
 47 Bebidas ultra procesadas azucaradas. - NACAR
 48 Productos comestibles ultraprocesados - NACAR
 Canal PSE- ACH
 244 Renta reintegro obras por impuestos
 245 Aporte Voluntario art. 244-1 E.T
 246 Productos plásticos de un solo uso.
 247 Bebidas ultra procesadas azucaradas.
 248 Productos comestibles ultraprocesados
 En un próximo proyecto se llevará paramétrico mitigando futuro desarrollos</t>
  </si>
  <si>
    <t>SDATOOL-42227</t>
  </si>
  <si>
    <t>Valores en GLOMO</t>
  </si>
  <si>
    <t>El cliente de la comisionista de Bolsa podrá ver su portafolio en GLOMO. La información que podrá ver es Renta Fija, Variable, Encargo del FIC, extractos y movimientos de los últimos 30 días.
 El cliente de BBVA podrá consultar su portafolio invertido en la firma comisionista. Solo se pretende presentar información y no interacción transaccional (compra de producto de la comisionista)</t>
  </si>
  <si>
    <t>Control of my Finances</t>
  </si>
  <si>
    <t>SDATOOL-42228</t>
  </si>
  <si>
    <t>Actualización de Murex con producto Swap INFL</t>
  </si>
  <si>
    <t>Homologaciones de Blotter y Fabrica de swaps para que entienda la actualización de INFL IRS - Revisión por parte de ingeniería y confirmación.</t>
  </si>
  <si>
    <t>SDATOOL-42237</t>
  </si>
  <si>
    <t>Migración a RDR</t>
  </si>
  <si>
    <t>Evaluar modelos de conexión a RDR</t>
  </si>
  <si>
    <t>camiloandres.moreno-bbva.com</t>
  </si>
  <si>
    <t>SDATOOL-42238</t>
  </si>
  <si>
    <t>Reglamentación del Registro Único de Beneficiarios Finales -DIAN</t>
  </si>
  <si>
    <t>Dar cumplimiento a lo establecido por “ART. 631-5—Definición beneficiario final y resolución 164 de 2022 y la resolución 1240 que aplaza para julio de 2023 de la DIAN: "Beneficiario Final", en el cual se realice oportunamente la transmisión de información a través de los canales establecidos para ello. Por lo cual, es necesario actualizar la captura de información en el CORE de la Comisionista de acuerdo a las especificaciones establecidas en la norma, el cual debe estar productivo a más tardar el 31 de Mayo 2023 para realizar la primera transmisión de información con corte al 31deJulio de 2023, cuya trasmisión se hará de forma trimestral.</t>
  </si>
  <si>
    <t>Cumplimiento Normativo Resolución 164 2021 modificada por la resolución 1240 que cambia las fechas de entrega de información a la DIAN 31 de Julio.</t>
  </si>
  <si>
    <t>claudia.fajardo-bbva.com</t>
  </si>
  <si>
    <t>SDATOOL-42263</t>
  </si>
  <si>
    <t>Ajustes en tasas de captación y operaciones del mercado monetario</t>
  </si>
  <si>
    <t>Se investigó y el formato 441 toma las tasas para las cuentas de ahorro de la tabla BGDTLES en caso de no encontrarla , la busca por tarifa en la BGDTCOF este método solo trae las tasas políticas y por esto es que el promedio ponderado de la tasa EA sale tan bajo a comparación del formato 474 el cual toma las tasas de la BGDTLID donde además están las tasas preferenciales que son más altas.</t>
  </si>
  <si>
    <t>A la fecha estamos utilizando para reportar los saldos y tasas ponderadas de los productos de Ahorros y cdts con los GOF OF.S0020.BGDA014.F200407.TD002.txt, GOF.S0020.BGDA013.F200407.TD001.txt, pero al comparar con los reportes de otros formatos que contiene informaciónde tasas la SFC ha generado requerimiento por que tenemos diferencias</t>
  </si>
  <si>
    <t>juandavid.quintero-bbva.com</t>
  </si>
  <si>
    <t>SDATOOL-42264</t>
  </si>
  <si>
    <t>Seguros - Calculo Extra prima valores superiores a 9.999.999</t>
  </si>
  <si>
    <t>Ajustar proceso de tarifación usado en las funcionalidades de alta, facturación, recálculo, cancelación anticipada, pago próxima cuota; con el fin de ajustar el cálculo de extra prima de seguro, cuando el valor supera los 9.999.999 , dado que a hoy está truncando y enviando un valor errado para cobro.</t>
  </si>
  <si>
    <t>Clientes seguros de vida deudor donde aplique el cobro de extra prima por Riesgo Laboral o Edad.</t>
  </si>
  <si>
    <t>SDATOOL-42265</t>
  </si>
  <si>
    <t>Seguros - Verificación de Identidad CE27</t>
  </si>
  <si>
    <t>Realizar la solicitud del alcance a la implementación de la Circular 027 de 2020 de la Superintendencia Financiera, en la cual se estipula y solicita la validación de la identidad según instrucción regulatoria.</t>
  </si>
  <si>
    <t>Dar cumplimiento regulatorio a la Circular 027 de 2020.</t>
  </si>
  <si>
    <t>SDATOOL-42269</t>
  </si>
  <si>
    <t>GRM Col - LIFE Riesgos Estructurales</t>
  </si>
  <si>
    <t>Ajustar los procesos de Riesgo Estructural</t>
  </si>
  <si>
    <t>La función de Riesgos Estructurales es crítica en la entidad y debe cumplir con los estándares de mercado y mejores prácticas del sector, la regulación marcada por los diferentes organismos (EBA Guidelines, Reguladores locales) y las políticas corporativas internas de BBVA. 
 La evolución de la situación actual en los mercados y países está requiriendo además una creciente demanda de gestión y control en los diferentes tipos de riesgo (liquidez, divisa, tipos de interés, renta variable) y exige una rápida adaptación en la unidad y su función.
 Se requiere por lo tanto implementar una reingeniería de los procesos y una nueva plataforma global LIFE para facilitar la transformación de la función de Riesgos Estructurales en el grupo (Geografías y Holding) recogida en el plan director y facilitar el cumplimiento regulatorio acorde a las EBA guidelines publicadas en noviembre de 2022</t>
  </si>
  <si>
    <t>cristhian.lancheros-bbva.com</t>
  </si>
  <si>
    <t>SDATOOL-42272</t>
  </si>
  <si>
    <t>Traslado oficina Buenaventura</t>
  </si>
  <si>
    <t>Trasladar la oficina Buenaventura a un nuevo local para evitar el costo excesivo del arriendo por incremento solicitado por el nuevo propietario (incremento del 180%)</t>
  </si>
  <si>
    <t>El traslado de la oficina se origina por el incremento desproporcionado del canon de arriendo por parte del propietario del local pasando de $12 millones a $30 millones.</t>
  </si>
  <si>
    <t>SDATOOL-42273</t>
  </si>
  <si>
    <t>Reconfiguración Comercial CSF</t>
  </si>
  <si>
    <t>Determinar la capacidad del equipo comercial para mantener la productividad dado los escenarios de disminución de facturación libranzas por el incremento de tasas. Lo que impacta en estructura organizacional y distribución de equipamiento y ubicación física.</t>
  </si>
  <si>
    <t>Dado el contexto actual de disminución de facturación de libranza, se hace necesario realizar una re-estructuración de la planta autorizada actual con el fin de redireccionar capacidades a nuestro canal remoto y de gestión de leads</t>
  </si>
  <si>
    <t>SDATOOL-42274</t>
  </si>
  <si>
    <t>Correcta actualización Garantías FNG en Banktrade</t>
  </si>
  <si>
    <t>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t>
  </si>
  <si>
    <t>Las provisiones actuales NO se están realizando de acuerdo a la normatividad, lo que está generando una sobreprovisión de este tipo de cartera, con los impactos económicos que eso implica</t>
  </si>
  <si>
    <t>camilo.tellez-bbva.com</t>
  </si>
  <si>
    <t>SDATOOL-42276</t>
  </si>
  <si>
    <t>Beneficiarios ARL</t>
  </si>
  <si>
    <t>Realizar un desarrollo en Experience (SAP Success Factors) para crear un módulo de autoservicio que permita a los funcionarios relacionar los beneficiarios de la ARL.</t>
  </si>
  <si>
    <t>Desde ARL se ha notificado que las empresas que conforman el grupo BBVA en Colombia, de acuerdo con el Decreto 1406 de 1999, deben tener un repositorio de información de los beneficiarios de los colaboradores, en caso de materializar un accidente de trabajo mortal</t>
  </si>
  <si>
    <t>carlosagustin.segura-bbva.com</t>
  </si>
  <si>
    <t>SDATOOL-42278</t>
  </si>
  <si>
    <t>Transferencias Interbancarias REDEBAN</t>
  </si>
  <si>
    <t>1. Creación de Redeban como nueva cámara de compensación para el procesamiento de transferencias Interbancarias.
 2. Dejar esta nueva cámara de compensación paramétrica para poder seleccionar por cual de estas se pueden enviar a procesar los pagos.</t>
  </si>
  <si>
    <t>Con la creación de esta nueva cámara de compensación podremos tener una eficiencia en los costos de las transacciones financieras con los bancos que estén entrando en este modelo como lo es inicialmente Bancolombia y Davivienda los cuales para el banco representan un 64% del total de las transacciones enviadas en 2022.</t>
  </si>
  <si>
    <t>nathiahayosara.amado-bbva.com</t>
  </si>
  <si>
    <t>Global Payments Platform (SWP2)</t>
  </si>
  <si>
    <t>SDATOOL-42281</t>
  </si>
  <si>
    <t>Evolutivo KPIS / Segmentación clientes</t>
  </si>
  <si>
    <t>Dentro de los procesos de kpis no financieros del país, se realizan evolutivos solicitadas y aprobadas por holding. Adicional es necesario generar reprocesos de información con estas nuevas reglas. En cuanto a segmentación tambien tiene cabida el ajuste necesario por temas regulatorios y normas emitidas por los entes reguladores.</t>
  </si>
  <si>
    <t>Dentro del proceso de kpis y segmentación de clientes se solicitan evolutivos a lo largo del año. Se busca habilitar cambios de reglas de kpis principales que se miden en la incentivación país y cambios de reglas en segmentación. Esta iniciativa se cierra en enero de año 2024 momento en el cual se tienen el cierre de kpis de 2022 y todos los evolutivos que se requiera.</t>
  </si>
  <si>
    <t>nelsonandres.bohorquez-bbva.com</t>
  </si>
  <si>
    <t>leidi.jimenez-bbva.com</t>
  </si>
  <si>
    <t>Advanced Analytics Platform (Datio Evolution)</t>
  </si>
  <si>
    <t>SDATOOL-42282</t>
  </si>
  <si>
    <t>Módulos In House Femsa</t>
  </si>
  <si>
    <t>Atender de forma optimizada y controlada la necesidad del cliente Femsa para el recaudo de efectivo que se realiza de las ventas enfocados en los módulos de este proyecto</t>
  </si>
  <si>
    <t>SDATOOL-42283</t>
  </si>
  <si>
    <t>Módulos In House Bavaria</t>
  </si>
  <si>
    <t>Atender de forma optimizada y controlada la necesidad del cliente para Bavaria el recaudo de efectivo que se realiza de las ventas, enfocado en los módulos para este proyecto.</t>
  </si>
  <si>
    <t>SDATOOL-42296</t>
  </si>
  <si>
    <t>Seguros - Externalización BEX</t>
  </si>
  <si>
    <t>Realizar la externalización de diferentes procesos del equipo del BEX a un proveedor especializado en seguros</t>
  </si>
  <si>
    <t>Alcance y segmento objetivo: Procesos del BEX desde suscripción hasta siniestros. Objetivos: reallocation de FTE's en el BEX</t>
  </si>
  <si>
    <t>monicaandrea.rodriguez.penago-bbva.com</t>
  </si>
  <si>
    <t>SDATOOL-42297</t>
  </si>
  <si>
    <t>Implementación de Modalidad Flexible en bancas especializadas</t>
  </si>
  <si>
    <t>Tras la pandemia del COVID 19, las formas tradicionales de trabajo han cambiado, incluso en el modelo de gestión del negocio, es por esta razón que la Banca puede ajustarse a un modelo de gestión que permita la flexibilidad en asistencia a sedes.</t>
  </si>
  <si>
    <t>Con el crecimiento de la plantilla en Bancas especializadas (Gobiernos, Empresas y Pymes), es necesario flexibilizar el uso de estaciones fijas en las sedes para hacer mas eficiente el uso de los espacios para el negocio en Edificios Singulares de acuerdo a las necesidades del BBVA.</t>
  </si>
  <si>
    <t>SDATOOL-42310</t>
  </si>
  <si>
    <t>Valores - Plataforma BBVA Valores Integración - Makers y Alcuadrado clientes</t>
  </si>
  <si>
    <t>Crear servicios para poder actualizar los clientes en las dos plataformas OYD y Makers, con estos servicios evitamos inconvenientes por realizar la misma tarea en las dos plataformas.</t>
  </si>
  <si>
    <t>"Proporcionar a las Arquitecturas Bancarias Core las capacidades necesarias para orquestar las Acciones y/o Tareas de despliegue y mantenimiento
 Integrar capacidades para mejorar el proceso de nuevas releases (testing)
 Promover la integración con capacidades de observabilidad para mejorar la orquestación
 Promover la incorporación de activos procedentes de innovación para la evolución de la arquitectura
 "</t>
  </si>
  <si>
    <t>SDATOOL-42322</t>
  </si>
  <si>
    <t>Reconfiguración BIN TdC Marca Compartida ARA - BBVA</t>
  </si>
  <si>
    <t>Reconfiguración del BIN 454100 existente en el Banco para que sea exclusivo de la marca compartida ARA-BBVA . Solicitud expresa que realizo el aliado en el transcurso del desarrollo de la negociación</t>
  </si>
  <si>
    <t>Control para identificar la transaccionalidad y volumetría realizada con las TdC marca compartida ARA-BBVA por parte del aliado junto con el proceso de liquidación de adquirencia.</t>
  </si>
  <si>
    <t>SDATOOL-42323</t>
  </si>
  <si>
    <t>Transferencia de información banco al Aliado StudioF</t>
  </si>
  <si>
    <t>Se requiere conceptualización para transferir base de datos con la información de los clientes activos de TdC Marca Compartida StudioF deaucrdo a lo establecido contractualmente con el aliado.</t>
  </si>
  <si>
    <t>Se requiere por compromiso contractual con el aliado, es un pendiente desde el año 2018</t>
  </si>
  <si>
    <t>Workplace Architecture</t>
  </si>
  <si>
    <t>SDATOOL-42324</t>
  </si>
  <si>
    <t>Nuevo Programa de Beneficios y contabilidad Everilion</t>
  </si>
  <si>
    <t>Se requiere crear programa de CashBack en everilion que permita parametrizar la contabilidad de forma independiente por cada uno de los aliados</t>
  </si>
  <si>
    <t>Actualmente solo esta el programa de puntos con afectación a la cuenta contable de incentivos recibidos por las franquicias y se requiere crear este nuevo programa con contabilidades parametrizables, esto impactara a los nuevos aliado en proceso de contratación por parte del banco</t>
  </si>
  <si>
    <t>SDATOOL-42369</t>
  </si>
  <si>
    <t>Líneas Factoring (Mejoras y Alcances)</t>
  </si>
  <si>
    <t>Mantenimientos y/o ajustes mínimos a proyectos del mundo factoring que surjan luego de implementada la funcionalidad y que requieren un sda soporte para la posterior subida a producción. 
 Esta SDA no tendrá presupuesto ya que los desarrollos serán elaborados por equipo interno.
 NO es el circuito de incidencias, estas deberán cursar el flujo establecido para las mismas.</t>
  </si>
  <si>
    <t>Hallazgos posteriores a la implementación luego de puesta en producción la funcionalidad.</t>
  </si>
  <si>
    <t>SDATOOL-42371</t>
  </si>
  <si>
    <t>BBVA Valores en Canales Net/Net Cash - Extractos</t>
  </si>
  <si>
    <t>Brindar a los clientes de Net y Net cash con inversiones en BBVA Valores la posibilidad de visualizar su extractos a través del flujo de comisionista de Bolsa.</t>
  </si>
  <si>
    <t>Actualmente los clientes de BBVA Valores deben recurrir al comercial para solicitar su extracto.</t>
  </si>
  <si>
    <t>oscardavid.rico-bbva.com</t>
  </si>
  <si>
    <t>SDATOOL-42372</t>
  </si>
  <si>
    <t>Automatización liquidación de comision para clientes Marca compartida</t>
  </si>
  <si>
    <t>Desarrollar un proceso que permita calcular y liquidar la comision de adquirencia diferencial por cada marca compartida que podamos desarrollar (Emision + Adquirencia) para poder ajustar con nuestros clientes el valor que debemos devolver o cobrar segun corresponda, asociado a la transaccionalidad que se de en los comercios de estos clientes con las tarjetas de marca compartida.</t>
  </si>
  <si>
    <t>Actualmente tenemos un cliente proximo a salir a produccion y el negocio se cerró con la promesa da dar una mejor tasa de adquirencia para las transacciones con tarjetas de la marca compartida y hoy nuestro sistema no permite cobrar diferente comision por tipo de tarjeta, por tanto requerimos un proceso para poder calcular y liquidar esas comisiones.</t>
  </si>
  <si>
    <t>SDATOOL-42384</t>
  </si>
  <si>
    <t>Fraude Forense y Reporting</t>
  </si>
  <si>
    <t>canalizaciones de datos con rapidez . con esta funcionalidad se permitira la operativización de datos de interes para la realización de investigaciones, informes y KPIs. El proceso disponibiliza la información y herramientas necesarias para los equipos locales de Operaciones de Fraude puedan realizar dichas actividades de manera inmediata.</t>
  </si>
  <si>
    <t>Esta herramienta permite que los analistas de Fraude dispongan de la informacion necesaria de FeatureSpace para la explitacion de datos y metricas , ademas esta informacion se requiere por entes reguladores. Operativamente</t>
  </si>
  <si>
    <t>E86:I86
 La no implementacion de esta iniativa afecta la operativa del analisis investigativo de fraude al no contar con la informacion necesaria , adicionalmente al no contar con un reositorio repercute con problemas frente a entes reguladores.</t>
  </si>
  <si>
    <t>SDATOOL-42393</t>
  </si>
  <si>
    <t>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t>
  </si>
  <si>
    <t>SDATOOL-42440</t>
  </si>
  <si>
    <t>Equipamiento Ejecutivos Pyme</t>
  </si>
  <si>
    <t>Dotación de equipos laptops para 143 ejecutivos pyme, dadas las funciones comerciales que requiere el cargo</t>
  </si>
  <si>
    <t>Dotación de equipos laptops para 66 ejecutivos pyme, dadas las funciones comerciales que requiere el cargo</t>
  </si>
  <si>
    <t>NOSDA</t>
  </si>
  <si>
    <t>BAU (Mantenimiento y peq. evolutivos)</t>
  </si>
  <si>
    <t>SDATOOL-42449</t>
  </si>
  <si>
    <t>Seguros - LIS Coaseguro Aceptado Autos Fase 2</t>
  </si>
  <si>
    <t>Código</t>
  </si>
  <si>
    <t>Nombre</t>
  </si>
  <si>
    <t>ROL</t>
  </si>
  <si>
    <t>TECNOLOGÌA</t>
  </si>
  <si>
    <t>Comentarios</t>
  </si>
  <si>
    <t>Interno/ Externo</t>
  </si>
  <si>
    <t>Imagen</t>
  </si>
  <si>
    <t>CELLS</t>
  </si>
  <si>
    <t>HOST</t>
  </si>
  <si>
    <t>BLUESPRING</t>
  </si>
  <si>
    <t>PYTHON</t>
  </si>
  <si>
    <t>SCALA</t>
  </si>
  <si>
    <t>C797459</t>
  </si>
  <si>
    <t>ELKIN FIDEL ARIZA GAITAN</t>
  </si>
  <si>
    <t>https://lh3.googleusercontent.com/a/AGNmyxZBenGPWAq5zaZjSVdR7tWT7G1oPHmLclaI-8cfPg=s83-c-mo</t>
  </si>
  <si>
    <t>JULIAN LEANDRO CASTRO</t>
  </si>
  <si>
    <t>Altamira</t>
  </si>
  <si>
    <t>https://drive.google.com/uc?export=view&amp;id=14A5D_EANsA0o4lPDytKuNgnk1W2nx3Ic</t>
  </si>
  <si>
    <t xml:space="preserve"> T011816</t>
  </si>
  <si>
    <t>JENNY PAOLA LOSADA VELASCO</t>
  </si>
  <si>
    <t>JERSON SANCHEZ</t>
  </si>
  <si>
    <t>C341681</t>
  </si>
  <si>
    <t>RICARDO ALEXANDER CALVO JIMENEZ</t>
  </si>
  <si>
    <t>C341736</t>
  </si>
  <si>
    <t>GUEVARA CASTRO JUAN ANDRES</t>
  </si>
  <si>
    <t>C341738</t>
  </si>
  <si>
    <t>JOSE MAURICIO PEÑA</t>
  </si>
  <si>
    <t>compromiso S1 abril en produccion</t>
  </si>
  <si>
    <t>C341759</t>
  </si>
  <si>
    <t xml:space="preserve">CHRISTIAN EDUARDO DIAZ GARCIA </t>
  </si>
  <si>
    <t>C341767</t>
  </si>
  <si>
    <t>CIPAGAUTA RODRIGUEZ EDWIN GUILLERMO</t>
  </si>
  <si>
    <t>C341931</t>
  </si>
  <si>
    <t>JOSE MIGUEL SANCHEZ BARRANTES</t>
  </si>
  <si>
    <t>C342035</t>
  </si>
  <si>
    <t>JENNIFER ALZATE</t>
  </si>
  <si>
    <t>C342040</t>
  </si>
  <si>
    <t>ANDRES FERMIN PITRE JIMENEZ</t>
  </si>
  <si>
    <t>C342041</t>
  </si>
  <si>
    <t>YANETH MORENO AGUILAR</t>
  </si>
  <si>
    <t>C342042</t>
  </si>
  <si>
    <t>RICARDO ANDRES CERRATO</t>
  </si>
  <si>
    <t>C342045</t>
  </si>
  <si>
    <t>NELSON JAVIER MONCADA GELVES</t>
  </si>
  <si>
    <t>C342048</t>
  </si>
  <si>
    <t>LUIS JAVIER RIVERA MORENO</t>
  </si>
  <si>
    <t>C342057</t>
  </si>
  <si>
    <t>CARLOS FABIAN GONZALEZ CORTES</t>
  </si>
  <si>
    <t>C342062</t>
  </si>
  <si>
    <t>JAVIER CALDERON LOPEZ</t>
  </si>
  <si>
    <t>C342171</t>
  </si>
  <si>
    <t>CAROLINA BERNAL</t>
  </si>
  <si>
    <t>C342316</t>
  </si>
  <si>
    <t>ANA MILENA GARCIA COBO</t>
  </si>
  <si>
    <t>C342444</t>
  </si>
  <si>
    <t>JOE ESTUPINAN MONTANO</t>
  </si>
  <si>
    <t>C342537</t>
  </si>
  <si>
    <t>NAVARRO TORRES JAVIER DARIO</t>
  </si>
  <si>
    <t>C342543</t>
  </si>
  <si>
    <t>CRISTIAN FRANCISCO FERNANDEZ</t>
  </si>
  <si>
    <t>C342545</t>
  </si>
  <si>
    <t>CARLOS ANDRES MARTINEZ BEDOYA</t>
  </si>
  <si>
    <t>C342547</t>
  </si>
  <si>
    <t>DAVID LEONARDO OBANDO CORTÉS</t>
  </si>
  <si>
    <t>C342589</t>
  </si>
  <si>
    <t>CAMILO ANDRES AGUIRRE</t>
  </si>
  <si>
    <t>C342595</t>
  </si>
  <si>
    <t>EDGAR IVAN ARIAS MALDONADO</t>
  </si>
  <si>
    <t>C342598</t>
  </si>
  <si>
    <t>DEISON COLMENARES</t>
  </si>
  <si>
    <t>C342600</t>
  </si>
  <si>
    <t>DIANA PATRICIA BARRANTES PEREZ</t>
  </si>
  <si>
    <t>C343114</t>
  </si>
  <si>
    <t>VICTOR HUGO DIAZ CERON</t>
  </si>
  <si>
    <t>C343126</t>
  </si>
  <si>
    <t>RUBERTH SAN MIGUEL PEREZ</t>
  </si>
  <si>
    <t>C343151</t>
  </si>
  <si>
    <t>ESPERANZA DIAZ HERNANDEZ</t>
  </si>
  <si>
    <t>C343334</t>
  </si>
  <si>
    <t>EDISON JOVANNY CASTILLO</t>
  </si>
  <si>
    <t>MN-2091 Reingenieria proceso cancelacion de garantias, desarrollos con entrega a QA S3 agosto</t>
  </si>
  <si>
    <t>C343509</t>
  </si>
  <si>
    <t>WILLIAM LEONARDO ESPITIA FRANCO</t>
  </si>
  <si>
    <t>C343564</t>
  </si>
  <si>
    <t>LUZ ESTELLA ORTEGA</t>
  </si>
  <si>
    <t>C343581</t>
  </si>
  <si>
    <t xml:space="preserve">WILLIAM JAVIER VILLAMIL ZAPATA </t>
  </si>
  <si>
    <t>C343617</t>
  </si>
  <si>
    <t>LEIDY NATALIA  GONZALEZ</t>
  </si>
  <si>
    <t>C343619</t>
  </si>
  <si>
    <t>REY GOMEZ ANDRES CAMILO</t>
  </si>
  <si>
    <t>C367168</t>
  </si>
  <si>
    <t>FLOR MIREYA GONZALEZ VASQUEZ</t>
  </si>
  <si>
    <t>C604380</t>
  </si>
  <si>
    <t>JAVIER FRANCISCO OSPINA RAMIREZ</t>
  </si>
  <si>
    <t>Pruebas a mejoras CAP retail y pruebas a roda la no afectación CAP</t>
  </si>
  <si>
    <t>C679763</t>
  </si>
  <si>
    <t>MIGUEL ANGEL POLOCHE DIAZ</t>
  </si>
  <si>
    <t>C782744</t>
  </si>
  <si>
    <t>VICTOR WILSON AREVALO MARTIN</t>
  </si>
  <si>
    <t>C782982</t>
  </si>
  <si>
    <t>ANA CONSUELO TRASLAVIÑA</t>
  </si>
  <si>
    <t>Legacy :power Builder</t>
  </si>
  <si>
    <t>C783725</t>
  </si>
  <si>
    <t>JAIRO FERNANDO TAMARA RUBIANO</t>
  </si>
  <si>
    <t>C783729</t>
  </si>
  <si>
    <t xml:space="preserve">MIGUEL ANTONIO GUIO ESPINOSA </t>
  </si>
  <si>
    <t>C783731</t>
  </si>
  <si>
    <t>MARCO JULIO GOMEZ AMADO</t>
  </si>
  <si>
    <t>C784494</t>
  </si>
  <si>
    <t>CARLOS IVAN CHOCONTA</t>
  </si>
  <si>
    <t>C796415</t>
  </si>
  <si>
    <t>EDGAR REY</t>
  </si>
  <si>
    <t>C796462</t>
  </si>
  <si>
    <t>CAMILO ANDRES TELLEZ PRIETO</t>
  </si>
  <si>
    <t>C796552</t>
  </si>
  <si>
    <t>YADIRA COBOS ROMERO</t>
  </si>
  <si>
    <t>C797767</t>
  </si>
  <si>
    <t>ANGELA RIVERA</t>
  </si>
  <si>
    <t>C797928</t>
  </si>
  <si>
    <t>DIANA ROCIO GERENA HERRERA</t>
  </si>
  <si>
    <t>C801586</t>
  </si>
  <si>
    <t>SANDRA LILIANA SANCHEZ PULIDO</t>
  </si>
  <si>
    <t>C801604</t>
  </si>
  <si>
    <t>JUALIAN ALBERTO RODRIGUEZ</t>
  </si>
  <si>
    <t>Arandas, producción y backlog mantenimientos menores</t>
  </si>
  <si>
    <t>C801829</t>
  </si>
  <si>
    <t>LUISA FERNANDA CASTRILLON</t>
  </si>
  <si>
    <t>C802128</t>
  </si>
  <si>
    <t>DIANA MILENA SALAMANCA CHIQUILLO</t>
  </si>
  <si>
    <t>No se encuentra la SDATOOL-37344</t>
  </si>
  <si>
    <t>C802282</t>
  </si>
  <si>
    <t>DIEGO SANTOS DUARTE CUELLAR</t>
  </si>
  <si>
    <t>C802316</t>
  </si>
  <si>
    <t>CAMILO ALBERTO GARCES BELTRAN</t>
  </si>
  <si>
    <t>C802581</t>
  </si>
  <si>
    <t>DANIEL ANTONIO AGUILAR</t>
  </si>
  <si>
    <t>C802949</t>
  </si>
  <si>
    <t xml:space="preserve">NESTOR EDUARDO SILVA VERGARA </t>
  </si>
  <si>
    <t>C802977</t>
  </si>
  <si>
    <t>YULY MARCELA OVALLE GOMEZ</t>
  </si>
  <si>
    <t>C802984</t>
  </si>
  <si>
    <t>ALVARADO URUETA AVELINO RAFAEL</t>
  </si>
  <si>
    <t>C803039</t>
  </si>
  <si>
    <t>EVELIN LORENA PEDRAZA ROMERO</t>
  </si>
  <si>
    <t>C803062</t>
  </si>
  <si>
    <t>KATERINE CRUZ SUAREZ</t>
  </si>
  <si>
    <t>C803799</t>
  </si>
  <si>
    <t>ANDRES FELIPE CASTAÑEDA</t>
  </si>
  <si>
    <t>C803834</t>
  </si>
  <si>
    <t>VIVIANA ALARCON TORRES</t>
  </si>
  <si>
    <t xml:space="preserve">En revision con dominio por cuanto debe estar </t>
  </si>
  <si>
    <t>C803916</t>
  </si>
  <si>
    <t>SERGIO EDUARDO MARTINEZ LOPEZ</t>
  </si>
  <si>
    <t>C803933</t>
  </si>
  <si>
    <t>CAMILO MONDRAGON</t>
  </si>
  <si>
    <t>C803962</t>
  </si>
  <si>
    <t>ESTEBAN LINARES</t>
  </si>
  <si>
    <t>C804032</t>
  </si>
  <si>
    <t>CAMILO ANDRES MORENO HURTADO</t>
  </si>
  <si>
    <t>C804037</t>
  </si>
  <si>
    <t>EDDY HERNANDO BOGOTA CANGREJO</t>
  </si>
  <si>
    <t>C804047</t>
  </si>
  <si>
    <t>OSCAR EDILBERTO MESA TRUJILLO</t>
  </si>
  <si>
    <t>C804055</t>
  </si>
  <si>
    <t>QUIROGA VASQUEZ YOAN LEONARDO</t>
  </si>
  <si>
    <t>C804101</t>
  </si>
  <si>
    <t>FUQUENE CONTRERAS ADRIANA</t>
  </si>
  <si>
    <t>C804103</t>
  </si>
  <si>
    <t>MAIRON STIVENS JIMENEZ QUIROGA</t>
  </si>
  <si>
    <t>C804121</t>
  </si>
  <si>
    <t>HECTOR JESUS SISO JIMENEZ</t>
  </si>
  <si>
    <t>C804221</t>
  </si>
  <si>
    <t>QUIROZ MUNOZ BRYAN ANTONIO</t>
  </si>
  <si>
    <t>Este proyecto contiene  ASO, APX, CELLS, GCP
Proyecto con 2 feature</t>
  </si>
  <si>
    <t>C804325</t>
  </si>
  <si>
    <t>EDWIN GIOVANNY CETINA PINZÓN.</t>
  </si>
  <si>
    <t>finaliza desarrollos la S3 Abril</t>
  </si>
  <si>
    <t>C804326</t>
  </si>
  <si>
    <t>CARVAJAL ARRAIZ ANGELICA ALEJANDRA</t>
  </si>
  <si>
    <t>C804381</t>
  </si>
  <si>
    <t>MAYKER GUILLERMO LOPEZ</t>
  </si>
  <si>
    <t>C804405</t>
  </si>
  <si>
    <t>JUAN SALAZAR</t>
  </si>
  <si>
    <t>C804407</t>
  </si>
  <si>
    <t>MARIO ALBERTO MORALES LEON</t>
  </si>
  <si>
    <t>C804547</t>
  </si>
  <si>
    <t>CARLOS MARIO BERNAL CASTRO</t>
  </si>
  <si>
    <t>C804561</t>
  </si>
  <si>
    <t>OSCAR ORLANDO ACEVEDO FERRER</t>
  </si>
  <si>
    <t>C804602</t>
  </si>
  <si>
    <t>JOAN DE JESUS SANCHEZ CANDANOZA</t>
  </si>
  <si>
    <t>RPA Blue Prims</t>
  </si>
  <si>
    <t>C804644</t>
  </si>
  <si>
    <t>ANDRES FELIPE CALDERÓN NOVOA</t>
  </si>
  <si>
    <t>C804684</t>
  </si>
  <si>
    <t>WALTHER STIVENS ZAPATA TABERA</t>
  </si>
  <si>
    <t>C804706</t>
  </si>
  <si>
    <t>BAUTISTA MOLINA, LINA MARCELA</t>
  </si>
  <si>
    <t>C804723</t>
  </si>
  <si>
    <t>JOSE BLADIMIR INAMPUES TUTALCHA</t>
  </si>
  <si>
    <t>C804743</t>
  </si>
  <si>
    <t xml:space="preserve">MILENA MARGARITA GONZALEZ PARRA </t>
  </si>
  <si>
    <t>C804782</t>
  </si>
  <si>
    <t>DIEGO JAVIER MORENO RUSINQUE</t>
  </si>
  <si>
    <t>C804789</t>
  </si>
  <si>
    <t>JHON ALEXANDER PINEDA ARIAS</t>
  </si>
  <si>
    <t>C804805</t>
  </si>
  <si>
    <t>STEFANY CAROLINA MEDINA VILLADIENGO</t>
  </si>
  <si>
    <t>[GDG] - Habilitador Gestor Documental EMC1</t>
  </si>
  <si>
    <t>C804828</t>
  </si>
  <si>
    <t>MAIRA ALEJANDRA GUERRERO CAMARGO</t>
  </si>
  <si>
    <t>C804832</t>
  </si>
  <si>
    <t>ANTONY SUICA CUARTAS</t>
  </si>
  <si>
    <t>C804843</t>
  </si>
  <si>
    <t>EDUAR DUBAN GONZALEZ JOYA</t>
  </si>
  <si>
    <t>C804844</t>
  </si>
  <si>
    <t>MATEO OLAYA OSORIO</t>
  </si>
  <si>
    <t>Lenguaje de prog.  JAVA.</t>
  </si>
  <si>
    <t>C804845</t>
  </si>
  <si>
    <t>DIEGO ANDRES JIMENEZ PABUENA</t>
  </si>
  <si>
    <t>[PNB] - Proyecto : Gestión de Ingresos - Períodos de Gracia Libranzas</t>
  </si>
  <si>
    <t>C805074</t>
  </si>
  <si>
    <t>MARLON STUART SUAREZ .</t>
  </si>
  <si>
    <t>C805104</t>
  </si>
  <si>
    <t>JEISSON SNEYDER GALLO RAMIREZ</t>
  </si>
  <si>
    <t>C805179</t>
  </si>
  <si>
    <t>JEISON VISBAL</t>
  </si>
  <si>
    <t>C805180</t>
  </si>
  <si>
    <t>SEBASTIAN GOMEZ CORCHUELO</t>
  </si>
  <si>
    <t>C805187</t>
  </si>
  <si>
    <t>DIEGO ALEJANDRO QUINTERO VARGAS</t>
  </si>
  <si>
    <t>C805239</t>
  </si>
  <si>
    <t>PAOLA MARCELA MORENO SANABRIA</t>
  </si>
  <si>
    <t>Formación en BPMaaS y COLWSBPE-115 Optimización de proceso de contratación de tarjetas en fábrica (IDP)- Fase I</t>
  </si>
  <si>
    <t>C805314</t>
  </si>
  <si>
    <t>NELSON LEONEL FONSECA OCHOA</t>
  </si>
  <si>
    <t>C805316</t>
  </si>
  <si>
    <t>ANGELA MARIA BENITEZ</t>
  </si>
  <si>
    <t>C805323</t>
  </si>
  <si>
    <t>JOSE MIGUEL PARDO</t>
  </si>
  <si>
    <t>C805333</t>
  </si>
  <si>
    <t>TORRES LAGUADO JUAN SEBASTIAN</t>
  </si>
  <si>
    <t>C805379</t>
  </si>
  <si>
    <t>MARTIN ROMERO ORTIZ</t>
  </si>
  <si>
    <t>C805385</t>
  </si>
  <si>
    <t>TATIANA SANCHEZ MONROY</t>
  </si>
  <si>
    <t>C805453</t>
  </si>
  <si>
    <t>CUERVO DURAN FRANCISCO HERNAN</t>
  </si>
  <si>
    <t>C805527</t>
  </si>
  <si>
    <t>FABIAN ALEJANDRO LOPEZ SUAREZ</t>
  </si>
  <si>
    <t>C805564</t>
  </si>
  <si>
    <t>JOHN JAIRO CARDENAS SANABRIA</t>
  </si>
  <si>
    <t>C805565</t>
  </si>
  <si>
    <t>JHON FREDY PACHECO AVELLA</t>
  </si>
  <si>
    <t>C805683</t>
  </si>
  <si>
    <t>SERGIO LEONARDO MENDOZA GASCA</t>
  </si>
  <si>
    <t>C805714</t>
  </si>
  <si>
    <t>JUAN DAVID CELIS NUÑEZ</t>
  </si>
  <si>
    <t>C805717</t>
  </si>
  <si>
    <t>ANDRES CAMILO BOHORQUEZ CASTILLO</t>
  </si>
  <si>
    <t>C805720</t>
  </si>
  <si>
    <t>SANDRA REDONDO</t>
  </si>
  <si>
    <t>C805723</t>
  </si>
  <si>
    <t>JUAN CAMILO JAIMES</t>
  </si>
  <si>
    <t>C805724</t>
  </si>
  <si>
    <t>KATHERIN DANIELA AREVALO BARRERA</t>
  </si>
  <si>
    <t>C805726</t>
  </si>
  <si>
    <t>MAURICIO ANDRES NUÑEZ ORTEGON</t>
  </si>
  <si>
    <t>C805729</t>
  </si>
  <si>
    <t>JULIANA FERNANDA BONILLA RODRIGUEZ</t>
  </si>
  <si>
    <t>C805746</t>
  </si>
  <si>
    <t>LAURA NATHALY NIETO AMAYA</t>
  </si>
  <si>
    <t>C805749</t>
  </si>
  <si>
    <t>ESPITIA MONTILLA WILLIAM RICARDO</t>
  </si>
  <si>
    <t>C805770</t>
  </si>
  <si>
    <t>EDWARD ENRIQUE VACA</t>
  </si>
  <si>
    <t>desarrollos F7,8; Postimplantación F5 y6</t>
  </si>
  <si>
    <t>C805861</t>
  </si>
  <si>
    <t>DANIEL SANTIAGO JARAMILLO</t>
  </si>
  <si>
    <t>C805863</t>
  </si>
  <si>
    <t>MARTA PATRICIA VELANDIA SIZA</t>
  </si>
  <si>
    <t>C805866</t>
  </si>
  <si>
    <t xml:space="preserve">CARLOS ENRIQUE FAJARDO FAJARDO </t>
  </si>
  <si>
    <t xml:space="preserve">Liderazgo  proyecto oferta proactiva D+0 </t>
  </si>
  <si>
    <t>C805907</t>
  </si>
  <si>
    <t>OSCAR DARIO VELÁSQUEZ</t>
  </si>
  <si>
    <t>C805925</t>
  </si>
  <si>
    <t>GUSTAVO ANDRES CAMARGO</t>
  </si>
  <si>
    <t>C805926</t>
  </si>
  <si>
    <t>MAICOL STIVEN PEREZ</t>
  </si>
  <si>
    <t>C805933</t>
  </si>
  <si>
    <t>BRAYAN PEÑA</t>
  </si>
  <si>
    <t>C805937</t>
  </si>
  <si>
    <t>SERGIO IVAN SANCHEZ PLAZAS</t>
  </si>
  <si>
    <t>C805939</t>
  </si>
  <si>
    <t>LEISON FABIAN MEJIA GARCIA</t>
  </si>
  <si>
    <t>C805945</t>
  </si>
  <si>
    <t>PAULO CESAR SALDARRIAGA</t>
  </si>
  <si>
    <t>C805958</t>
  </si>
  <si>
    <t>NICO NIÑO VERGARA</t>
  </si>
  <si>
    <t>C805963</t>
  </si>
  <si>
    <t>GORGETH MOSCARELLA MARTÍNEZ</t>
  </si>
  <si>
    <t>C805964</t>
  </si>
  <si>
    <t>ANDRES RODRIGO COMBARIZA</t>
  </si>
  <si>
    <t>C805965</t>
  </si>
  <si>
    <t>CRISTIAN ESNEIDER VELASQUEZ</t>
  </si>
  <si>
    <t>C805971</t>
  </si>
  <si>
    <t>CARLOS EDUARDO BELLO</t>
  </si>
  <si>
    <t>C805972</t>
  </si>
  <si>
    <t>JORGE ARMANDO MILLAN GOMEZ</t>
  </si>
  <si>
    <t>C805973</t>
  </si>
  <si>
    <t>JESUS DAVID TELLO ARISTIZABAL</t>
  </si>
  <si>
    <t>C805978</t>
  </si>
  <si>
    <t>JIMENEZ GARCIA ARIEL ANDRES</t>
  </si>
  <si>
    <t>C805983</t>
  </si>
  <si>
    <t>LUBER FANDIÑO</t>
  </si>
  <si>
    <t>C805988</t>
  </si>
  <si>
    <t>NICOLAS MUÑOZ</t>
  </si>
  <si>
    <t>C805989</t>
  </si>
  <si>
    <t>NATALIA ANDREA SAMBONI</t>
  </si>
  <si>
    <t>C805991</t>
  </si>
  <si>
    <t>FABIANI LOZANO</t>
  </si>
  <si>
    <t>C805996</t>
  </si>
  <si>
    <t>DANIEL ORLANDO GARZON</t>
  </si>
  <si>
    <t>C808132</t>
  </si>
  <si>
    <t>JONNATHAN ARMANDO ASTROZ MARIN</t>
  </si>
  <si>
    <t xml:space="preserve">Tecnología Legacy: Power -Builder </t>
  </si>
  <si>
    <t>C808133</t>
  </si>
  <si>
    <t>REMBERTO PRIOLO</t>
  </si>
  <si>
    <t>C808164</t>
  </si>
  <si>
    <t>JORGE SEBASTIAN RODRIGUEZ MORA</t>
  </si>
  <si>
    <t>C808193</t>
  </si>
  <si>
    <t>GILBERTO SANCHEZ RODRIGUEZ</t>
  </si>
  <si>
    <t>C808223</t>
  </si>
  <si>
    <t>DILAN ANDRES LOPEZ MENA</t>
  </si>
  <si>
    <t>C808227</t>
  </si>
  <si>
    <t>MARIA PAULA ISAZA SANCHEZ</t>
  </si>
  <si>
    <t>C808232</t>
  </si>
  <si>
    <t>MARIA FERNANDA RUSSI</t>
  </si>
  <si>
    <t>C808267</t>
  </si>
  <si>
    <t>GUAQUETA ROMERO DEISY YOLIMA</t>
  </si>
  <si>
    <t>C808271</t>
  </si>
  <si>
    <t>CRISTIAN CAMILO APONTE QUIROGA</t>
  </si>
  <si>
    <t>desarrollos F8; Postimplantación F5,6 y 7</t>
  </si>
  <si>
    <t>C808282</t>
  </si>
  <si>
    <t>WBEIMAR MURILLO</t>
  </si>
  <si>
    <t>C808303</t>
  </si>
  <si>
    <t>MARIA CAMILA BUITRAGO</t>
  </si>
  <si>
    <t>C808359</t>
  </si>
  <si>
    <t>ARLEM CHINCHIA</t>
  </si>
  <si>
    <t>C808392</t>
  </si>
  <si>
    <t>JHON FREDDY ZAPATA MUÑOZ</t>
  </si>
  <si>
    <t>C808471</t>
  </si>
  <si>
    <t>MORENO CASTELLANOS OMAR ALFONSO</t>
  </si>
  <si>
    <t>C808646</t>
  </si>
  <si>
    <t>DAVID CAMILO CORREDOR RODRIGUEZ</t>
  </si>
  <si>
    <t>C808648</t>
  </si>
  <si>
    <t>LUIS JAVIER SANDON</t>
  </si>
  <si>
    <t>C808683</t>
  </si>
  <si>
    <t>EDISON YESID GONZALEZ LANCHEROS</t>
  </si>
  <si>
    <t>C808756</t>
  </si>
  <si>
    <t>BUITRAGO GUALTEROS, ANDRES FELIPE</t>
  </si>
  <si>
    <t>C808769</t>
  </si>
  <si>
    <t>WILLIAM FERNANDO ALARCON</t>
  </si>
  <si>
    <t>C808771</t>
  </si>
  <si>
    <t>DAVID FEILPE CIFUENTES</t>
  </si>
  <si>
    <t>C808788</t>
  </si>
  <si>
    <t>PENA AGUDELO ROSARIO ELENA</t>
  </si>
  <si>
    <t>C808793</t>
  </si>
  <si>
    <t>REY OROZCO CRISTIAN IVAN</t>
  </si>
  <si>
    <t>C808802</t>
  </si>
  <si>
    <t>KAREN MARGARITA ANGULO</t>
  </si>
  <si>
    <t>C808819</t>
  </si>
  <si>
    <t>JOSEPH ALEANDER ROJAS</t>
  </si>
  <si>
    <t>C808842</t>
  </si>
  <si>
    <t>CARLOS ALBERTO PARDO</t>
  </si>
  <si>
    <t>C808856</t>
  </si>
  <si>
    <t>YEHIN STIVEN PATIÑO</t>
  </si>
  <si>
    <t>C808860</t>
  </si>
  <si>
    <t>ZARATE PAVAS JOHN JAIRO</t>
  </si>
  <si>
    <t>C808875</t>
  </si>
  <si>
    <t>YEIMY PAOLA PERDOMO</t>
  </si>
  <si>
    <t>C809352</t>
  </si>
  <si>
    <t>JOHAN GARZON PEDRAZA</t>
  </si>
  <si>
    <t>C809493</t>
  </si>
  <si>
    <t>GUZMAN GONZALEZ JORGE ENRIQUE</t>
  </si>
  <si>
    <t>C809501</t>
  </si>
  <si>
    <t>RONALD ANTONIO ROMERO MONSALVE</t>
  </si>
  <si>
    <t>C809504</t>
  </si>
  <si>
    <t>ELIEZER JOSUE CONEO VEGA</t>
  </si>
  <si>
    <t>C809505</t>
  </si>
  <si>
    <t>FUENTES ROJAS JOSE DAVID</t>
  </si>
  <si>
    <t>C809506</t>
  </si>
  <si>
    <t>JHON FREDY PINZON PAEZ</t>
  </si>
  <si>
    <t>C809507</t>
  </si>
  <si>
    <t>JULIE PAULETTE GARAVITO</t>
  </si>
  <si>
    <t>C809512</t>
  </si>
  <si>
    <t xml:space="preserve">MARTHA BEATRIZ GALLEGO MARIN </t>
  </si>
  <si>
    <t>Análisis, Diseño y Seguimiento Construcción Proyecto</t>
  </si>
  <si>
    <t>C809514</t>
  </si>
  <si>
    <t>MUÑOZ CEDANO LEONEL</t>
  </si>
  <si>
    <t>C809517</t>
  </si>
  <si>
    <t>VARGAS PEREZ, WENDY MARITZA</t>
  </si>
  <si>
    <t>C809546</t>
  </si>
  <si>
    <t>GOMEZ CUADRADO JENNY PAOLA</t>
  </si>
  <si>
    <t>Tiene Staffing pero no se ha presentado en el WG</t>
  </si>
  <si>
    <t>C809565</t>
  </si>
  <si>
    <t>JOAN CHIVATA</t>
  </si>
  <si>
    <t>C809591</t>
  </si>
  <si>
    <t>KEVIN ORLANDO OJEDA</t>
  </si>
  <si>
    <t>C809616</t>
  </si>
  <si>
    <t>DIEGO FERNANDO MONTEALEGRE ROZO</t>
  </si>
  <si>
    <t>DataPower</t>
  </si>
  <si>
    <t>C809625</t>
  </si>
  <si>
    <t>MAYERLY TATIANA NARVAEZ MARIN</t>
  </si>
  <si>
    <t>C809712</t>
  </si>
  <si>
    <t>MIGUEL ANGEL ALBARRACIN</t>
  </si>
  <si>
    <t xml:space="preserve">[IDP] - COLWSBPE-115 - Definiciones a nivel técnico </t>
  </si>
  <si>
    <t>C809713</t>
  </si>
  <si>
    <t>FABRICIO AUGUSTO LOZANO TORRES</t>
  </si>
  <si>
    <t>C809749</t>
  </si>
  <si>
    <t>DEIMER DAVID JIMENEZ MAESTRE</t>
  </si>
  <si>
    <t>C809750</t>
  </si>
  <si>
    <t>JEFFERSON JOSE ESQUEA SANCHEZ</t>
  </si>
  <si>
    <t>C810664</t>
  </si>
  <si>
    <t>JONATHAN MARCELL GUTIERREZ RIAÑO</t>
  </si>
  <si>
    <t>C810668</t>
  </si>
  <si>
    <t>YEISSON FABIAN GUALDRON VIVAS</t>
  </si>
  <si>
    <t>C810669</t>
  </si>
  <si>
    <t>JORGE ANDRES MANRIQUE MARTINEZ</t>
  </si>
  <si>
    <t>C810672</t>
  </si>
  <si>
    <t>ALEJANDRA MARIA HINCAPIE AGUIRRE</t>
  </si>
  <si>
    <t>C810674</t>
  </si>
  <si>
    <t>EDWIN ARMANDO CASTRO MARTIN</t>
  </si>
  <si>
    <t>C810684</t>
  </si>
  <si>
    <t>CACERES CRISTANCHO JUAN SEBASTIAN</t>
  </si>
  <si>
    <t>C810708</t>
  </si>
  <si>
    <t>HAROLD ANDRES CASTILLO CARVAJAL</t>
  </si>
  <si>
    <t>C810711</t>
  </si>
  <si>
    <t>CRISTIAN ALEXANDER ROJAS AZA</t>
  </si>
  <si>
    <t>C810746</t>
  </si>
  <si>
    <t>JUAN DAVID BAEZ RAMOS</t>
  </si>
  <si>
    <t xml:space="preserve">C810754
</t>
  </si>
  <si>
    <t xml:space="preserve">DEIVIS JAVIER MIRANDA RAMOS </t>
  </si>
  <si>
    <t>Análisis, diseño y desarrollo CAP Proyecto Oferta D+0</t>
  </si>
  <si>
    <t>C810755</t>
  </si>
  <si>
    <t>MARÍA ALEJANDRA VARÓN</t>
  </si>
  <si>
    <t>C810765</t>
  </si>
  <si>
    <t xml:space="preserve">ANGELA MARIA DIAZ PEÑA </t>
  </si>
  <si>
    <t xml:space="preserve">QC con otros equipos, por ejm Riesgos </t>
  </si>
  <si>
    <t>C810784</t>
  </si>
  <si>
    <t>LENIN QUINTERO MUÑOZ</t>
  </si>
  <si>
    <t>C810787</t>
  </si>
  <si>
    <t>JUAN SEBASTÍAN RODRIGUEZ TOVAR</t>
  </si>
  <si>
    <t xml:space="preserve">-Analálisis, diseño y pruebas a mejoras CAP 
-Seguimiento a contratación de SW venta cruzada con Meraki, aprobación diseño técnico, sanción técnica de software y acompañamiento en calidad para la certificación
</t>
  </si>
  <si>
    <t>C810789</t>
  </si>
  <si>
    <t>MICHAEL JULIAN GARZON</t>
  </si>
  <si>
    <t>C810792</t>
  </si>
  <si>
    <t>ROBER ESNEIDER PARRA POLANIA</t>
  </si>
  <si>
    <t>C810793</t>
  </si>
  <si>
    <t>CAMILO ERNESTO MUÑOZ LOVERA</t>
  </si>
  <si>
    <t>C810801</t>
  </si>
  <si>
    <t>DIANA BARBOSA OSPINA</t>
  </si>
  <si>
    <t>C810813</t>
  </si>
  <si>
    <t>RUBIANO MARIN WILLIAM EDUARDO</t>
  </si>
  <si>
    <t>C810818</t>
  </si>
  <si>
    <t>SERGIO ALEJANDRO NUÑEZ MENDIVELSO</t>
  </si>
  <si>
    <t>C810827</t>
  </si>
  <si>
    <t>WILLIAM CAMILO RUBIO QUINTERO</t>
  </si>
  <si>
    <t>C810833</t>
  </si>
  <si>
    <t>FERNANDO JOSE BOLIVAR NAVARRO</t>
  </si>
  <si>
    <t>C810846</t>
  </si>
  <si>
    <t>ERIKA ZULEIMA MARTINEZ RODRIGUEZ</t>
  </si>
  <si>
    <t>C810847</t>
  </si>
  <si>
    <t>JAIR DE JESUS MOLINA FORNARIS</t>
  </si>
  <si>
    <t>C810855</t>
  </si>
  <si>
    <t>PALACIO CHAVES ANDRES FELIPE</t>
  </si>
  <si>
    <t>C810865</t>
  </si>
  <si>
    <t>AUGUSTO CARDONA GIRALDO</t>
  </si>
  <si>
    <t>C810881</t>
  </si>
  <si>
    <t>JOHN MAICOL NUÑEZ SANTA</t>
  </si>
  <si>
    <t>C810885</t>
  </si>
  <si>
    <t>GARCIA HERRERA MONICA LILIANA</t>
  </si>
  <si>
    <t>C810899</t>
  </si>
  <si>
    <t>BRAYAN JOSE VIVAS GOMEZ</t>
  </si>
  <si>
    <t>C810908</t>
  </si>
  <si>
    <t>DIANA CAROLINA PEÑA PALOMINO</t>
  </si>
  <si>
    <t>C810909</t>
  </si>
  <si>
    <t>GUILIAN ANDREI TAFUR FUENTES</t>
  </si>
  <si>
    <t>C810910</t>
  </si>
  <si>
    <t>OLIVOS FONSECA JONATHAN STEVEN</t>
  </si>
  <si>
    <t>C810943</t>
  </si>
  <si>
    <t>OSCAR DANIEL OÑATE CASTILLA</t>
  </si>
  <si>
    <t>C810947</t>
  </si>
  <si>
    <t>LAURA PULIDO DIAZ</t>
  </si>
  <si>
    <t>C810952</t>
  </si>
  <si>
    <t>SEBASTIAN AYALA</t>
  </si>
  <si>
    <t>C810957</t>
  </si>
  <si>
    <t>MATEO ECHEVERRY PELAEZ</t>
  </si>
  <si>
    <t>C810959</t>
  </si>
  <si>
    <t>MARCO HERNAN CASTELLANOS</t>
  </si>
  <si>
    <t>C811005</t>
  </si>
  <si>
    <t>OTALORA LEIVA LUIS FERNANDO</t>
  </si>
  <si>
    <t>C811006</t>
  </si>
  <si>
    <t>JULIAN ESTIC LAGOS GALINDO</t>
  </si>
  <si>
    <t>C811057</t>
  </si>
  <si>
    <t>DIEGO CALLEJAS</t>
  </si>
  <si>
    <t>C811159</t>
  </si>
  <si>
    <t>ALEX FERNEY MARTINEZ SERPA</t>
  </si>
  <si>
    <t xml:space="preserve">Soporte Aplicativo </t>
  </si>
  <si>
    <t>C811170</t>
  </si>
  <si>
    <t>CRISTIAN ANDREY ANTOLINEZ BOHORQUEZ</t>
  </si>
  <si>
    <t>SW Genesys</t>
  </si>
  <si>
    <t>C811175</t>
  </si>
  <si>
    <t>CIRO ALONSO RINCON HERNANDEZ</t>
  </si>
  <si>
    <t>C811188</t>
  </si>
  <si>
    <t>CASTRO PULIDO STEFANNY LIZETH</t>
  </si>
  <si>
    <t>C811189</t>
  </si>
  <si>
    <t>JUAN PABLO MILLAN MORALES</t>
  </si>
  <si>
    <t>C811198</t>
  </si>
  <si>
    <t>EDWIN DAVID TORO ECHEVERRIA</t>
  </si>
  <si>
    <t>C811205</t>
  </si>
  <si>
    <t>MIRYANI VARGAS</t>
  </si>
  <si>
    <t>C811207</t>
  </si>
  <si>
    <t>LUIS FERNANDO GUTIERREZ PRADO</t>
  </si>
  <si>
    <t>C811232</t>
  </si>
  <si>
    <t>CARLOS ANDRES SUAREZ</t>
  </si>
  <si>
    <t>C811233</t>
  </si>
  <si>
    <t>NATALIA REYES LOPEZ</t>
  </si>
  <si>
    <t>C811251</t>
  </si>
  <si>
    <t>ANGELA LILIANA SAENZ FAJARDO</t>
  </si>
  <si>
    <t>C811263</t>
  </si>
  <si>
    <t>CARDOZO CASTRO DIANA CAROLINA</t>
  </si>
  <si>
    <t>C811264</t>
  </si>
  <si>
    <t>JORGE LUIS URBINA</t>
  </si>
  <si>
    <t>C811277</t>
  </si>
  <si>
    <t>CARLOS ALBERTO GUERRERO MONTAÑA</t>
  </si>
  <si>
    <t>C811279</t>
  </si>
  <si>
    <t>FREDY MAURICIO CELY HERNÁNDEZ</t>
  </si>
  <si>
    <t>C811280</t>
  </si>
  <si>
    <t>SUAREZ RESTREPO, DIANA MARCELA</t>
  </si>
  <si>
    <t>C811281</t>
  </si>
  <si>
    <t>JUAN PABLO VELEZ</t>
  </si>
  <si>
    <t>C811282</t>
  </si>
  <si>
    <t>SANTIAGO GALINDO GUTIERREZ</t>
  </si>
  <si>
    <t>C811284</t>
  </si>
  <si>
    <t>CRISTIAN ARLEY AMORTEGUI AREVALO</t>
  </si>
  <si>
    <t>C811290</t>
  </si>
  <si>
    <t>MONTANA CASTRO CAMILO ARTURO</t>
  </si>
  <si>
    <t>Proyecto con dos feature</t>
  </si>
  <si>
    <t>C811292</t>
  </si>
  <si>
    <t>ANDRES GALVIS TRIVIÑO</t>
  </si>
  <si>
    <t>C811296</t>
  </si>
  <si>
    <t>QUINTERO CASTILLO DIANA MARCELA</t>
  </si>
  <si>
    <t>C811297</t>
  </si>
  <si>
    <t>BETZY PAOLA JARAMILLO LASTRA</t>
  </si>
  <si>
    <t>C811301</t>
  </si>
  <si>
    <t>MARIANELLA FANDIÑO NIETO</t>
  </si>
  <si>
    <t>C811302</t>
  </si>
  <si>
    <t>RAMIREZ MONTANO CARLOS JULIO</t>
  </si>
  <si>
    <t>C811304</t>
  </si>
  <si>
    <t>CARLOS EDUARDO YEPES ANGEL</t>
  </si>
  <si>
    <t>C811305</t>
  </si>
  <si>
    <t>RIGOBERTO RIOS HUESO</t>
  </si>
  <si>
    <t>C811308</t>
  </si>
  <si>
    <t>JOSMAN ALEXANDER KOOP SANTA</t>
  </si>
  <si>
    <t>C811314</t>
  </si>
  <si>
    <t>GONZALO CHAPARRO LOPEZ</t>
  </si>
  <si>
    <t>C811315</t>
  </si>
  <si>
    <t>LOZANO BELTRAN, WILLIAM EDUARDO</t>
  </si>
  <si>
    <t>C811316</t>
  </si>
  <si>
    <t>GONZALEZ CARDENAS OSCAR</t>
  </si>
  <si>
    <t>C811321</t>
  </si>
  <si>
    <t>OTTO JADIR SAGUIT SANTOS ALBARRACIN</t>
  </si>
  <si>
    <t>C811322</t>
  </si>
  <si>
    <t>LUIS FERNANDO SABROSO</t>
  </si>
  <si>
    <t>C811329</t>
  </si>
  <si>
    <t>JHON MARIO FORERO</t>
  </si>
  <si>
    <t>C811332</t>
  </si>
  <si>
    <t>JORGE LUIS SALAMANCA ORTIZ</t>
  </si>
  <si>
    <t>C811354</t>
  </si>
  <si>
    <t>LIZET VANESSA VEGA BONILLA</t>
  </si>
  <si>
    <t>C811355</t>
  </si>
  <si>
    <t>JORGE ANDRES REINA ANGULO</t>
  </si>
  <si>
    <t>C811356</t>
  </si>
  <si>
    <t>JEFFERSON CAMILO ROZO CASTILLO</t>
  </si>
  <si>
    <t>C811362</t>
  </si>
  <si>
    <t>YIGLIANA ALVAREZ MENDOZA</t>
  </si>
  <si>
    <t>C811371</t>
  </si>
  <si>
    <t>WILSON DANIEL BULLA MARTINEZ</t>
  </si>
  <si>
    <t>C811372</t>
  </si>
  <si>
    <t>TORRES CASTILLO JOAN SEBASTIÁN</t>
  </si>
  <si>
    <t>C811378</t>
  </si>
  <si>
    <t>ANDRES FELIPE GOMEZ</t>
  </si>
  <si>
    <t>C811379</t>
  </si>
  <si>
    <t>CAMILO ANDRES MUÑOZ CAICEDO</t>
  </si>
  <si>
    <t>C811389</t>
  </si>
  <si>
    <t>FABER IVAN MAYORQUIN RESTREPO</t>
  </si>
  <si>
    <t>C811390</t>
  </si>
  <si>
    <t>WILMAR CRUZ MORA</t>
  </si>
  <si>
    <t>C811392</t>
  </si>
  <si>
    <t>LEONARDO SIMBAQUEBA ESGUERRA</t>
  </si>
  <si>
    <t>C811393</t>
  </si>
  <si>
    <t>JORGE NELSON GARCIA</t>
  </si>
  <si>
    <t>C811394</t>
  </si>
  <si>
    <t>ANDRES FELIPE PADILLA ROJAS</t>
  </si>
  <si>
    <t>C811395</t>
  </si>
  <si>
    <t>VICTOR MANUEL PEREZ CONTRERAS</t>
  </si>
  <si>
    <t>C811397</t>
  </si>
  <si>
    <t>CRISTHIAN CAMILO FIGUEROA ENRIQUEZ</t>
  </si>
  <si>
    <t>C811398</t>
  </si>
  <si>
    <t>EDISSON ARMANDO BLANCO SALAMANCA</t>
  </si>
  <si>
    <t>C811403</t>
  </si>
  <si>
    <t>JUAN FELIPE FORERO</t>
  </si>
  <si>
    <t>C811405</t>
  </si>
  <si>
    <t>JUAN DAVID MONTERO BOGOTA</t>
  </si>
  <si>
    <t>C811408</t>
  </si>
  <si>
    <t>BENITEZ ATENCIA JAIME RAFAEL</t>
  </si>
  <si>
    <t>C811410</t>
  </si>
  <si>
    <t>MICHAEL CESAR LLANES POLO</t>
  </si>
  <si>
    <t>C821589</t>
  </si>
  <si>
    <t>EDWARD MORENO</t>
  </si>
  <si>
    <t>C941085</t>
  </si>
  <si>
    <t>CARLOS FRANCISCO TOVAR LOSADA</t>
  </si>
  <si>
    <t>C985155</t>
  </si>
  <si>
    <t>DIANA EDITH VILLEGAS RAMIREZ</t>
  </si>
  <si>
    <t>CE03425</t>
  </si>
  <si>
    <t>JORGE VICENTE SALAS PERILLA</t>
  </si>
  <si>
    <t>CE14662</t>
  </si>
  <si>
    <t>WILMER AUGUSTO PEREZ NIÑO</t>
  </si>
  <si>
    <t>CE17709</t>
  </si>
  <si>
    <t>LUZ  STELLA MARTINEZ</t>
  </si>
  <si>
    <t>CE17710</t>
  </si>
  <si>
    <t>ANDREA MARIETA LOPEZ PARRA.</t>
  </si>
  <si>
    <t>CE17711</t>
  </si>
  <si>
    <t>LUIS FERNANDO RODRIGUEZ MEDINA</t>
  </si>
  <si>
    <t>CE18306</t>
  </si>
  <si>
    <t>MARY LUZ RODRIGUEZ</t>
  </si>
  <si>
    <t>CE24417</t>
  </si>
  <si>
    <t>VIVIAN JUALINY  ESPITIA BENITEZ</t>
  </si>
  <si>
    <t>CE27209</t>
  </si>
  <si>
    <t>OSCAR MANUEL DIAZ FIQUE</t>
  </si>
  <si>
    <t>CE29535</t>
  </si>
  <si>
    <t>LUIS FERNANDO PEÑA CAICEDO</t>
  </si>
  <si>
    <t>CE30318</t>
  </si>
  <si>
    <t>ROBERTO ANTONIO MARTINEZ</t>
  </si>
  <si>
    <t>CE30638</t>
  </si>
  <si>
    <t>CESAR AUGUSTO MOLANO RUEDA</t>
  </si>
  <si>
    <t>CE30639</t>
  </si>
  <si>
    <t>MARIO FERNANDO RAMIREZ LEGUIZAMON</t>
  </si>
  <si>
    <t>CE30852</t>
  </si>
  <si>
    <t>CAMELO MORA LADY KATHERINE</t>
  </si>
  <si>
    <t>CE34436</t>
  </si>
  <si>
    <t>BERTHA GRACIELA LOPEZ RODRIGUEZ</t>
  </si>
  <si>
    <t>CE34456</t>
  </si>
  <si>
    <t>JOHN EDUAR LUNA SANCHEZ</t>
  </si>
  <si>
    <t>CE37757</t>
  </si>
  <si>
    <t>ENOIDES MEJIA</t>
  </si>
  <si>
    <t>Técnico Despliegues Seguros - Distribuido</t>
  </si>
  <si>
    <t>CE38411</t>
  </si>
  <si>
    <t>CAROLINA BARROS BERNAL</t>
  </si>
  <si>
    <t>CE40475</t>
  </si>
  <si>
    <t>NELSON FERRUCHO</t>
  </si>
  <si>
    <t>CE41784</t>
  </si>
  <si>
    <t>JORGE HUMBERTO MARTINEZ MARIN</t>
  </si>
  <si>
    <t>CE41979</t>
  </si>
  <si>
    <t>DILSON PARDO SANTANA</t>
  </si>
  <si>
    <t>CE42004</t>
  </si>
  <si>
    <t>CLARENA VALENCIA CALDERON</t>
  </si>
  <si>
    <t>CE42028</t>
  </si>
  <si>
    <t>MARIA YOLANDA BRAND LEON</t>
  </si>
  <si>
    <t>CE42052</t>
  </si>
  <si>
    <t>SAMUEL ANDRES JIMENEZ RODRIGUEZ</t>
  </si>
  <si>
    <t>CE42593</t>
  </si>
  <si>
    <t>JENITH MARSELLA MANTILLA RODRIGUEZ</t>
  </si>
  <si>
    <t>CE43166</t>
  </si>
  <si>
    <t>DEYSON EMIR MURILLO MORENO</t>
  </si>
  <si>
    <t>CE43229</t>
  </si>
  <si>
    <t>CARLOS MAURICIO AGUIRRE TOVAR</t>
  </si>
  <si>
    <t>CE43328</t>
  </si>
  <si>
    <t>LUZ ENEY ACEVEDO MATEUS</t>
  </si>
  <si>
    <t>CE43579</t>
  </si>
  <si>
    <t>PLINIO EDUARDO MARTINEZ ESPITIA</t>
  </si>
  <si>
    <t>CE44928</t>
  </si>
  <si>
    <t>DESIREE JOSELYN MARQUEZ DIAZ</t>
  </si>
  <si>
    <t>LÍDER TÉCNICO</t>
  </si>
  <si>
    <t>CE46213</t>
  </si>
  <si>
    <t>DANIEL ANTONIO CAMACHO ARIZA</t>
  </si>
  <si>
    <t>CE46835</t>
  </si>
  <si>
    <t>CLAUDIA PALENCIA</t>
  </si>
  <si>
    <t>CE47376</t>
  </si>
  <si>
    <t>RUBEN DARIO DIAZ</t>
  </si>
  <si>
    <t>CE47497</t>
  </si>
  <si>
    <t>ADOLFO ENRIQUE BERNAL RODRIGUEZ</t>
  </si>
  <si>
    <t>CE47925</t>
  </si>
  <si>
    <t>KAREN JULIETE MAHECHA REY</t>
  </si>
  <si>
    <t>CE47926</t>
  </si>
  <si>
    <t>MELANIE QUIROZ</t>
  </si>
  <si>
    <t>CE47927</t>
  </si>
  <si>
    <t>RAFAEL EDUARDO MARTINEZ CACERES</t>
  </si>
  <si>
    <t>CE48026</t>
  </si>
  <si>
    <t>GIOVANNY ALEXANDER PEÑA GUTIÉRREZ</t>
  </si>
  <si>
    <t>CE48051</t>
  </si>
  <si>
    <t>EDGAR ANDRES GARZON</t>
  </si>
  <si>
    <t>CE48448</t>
  </si>
  <si>
    <t>MICHAEL CECILIO SODIR REVETE</t>
  </si>
  <si>
    <t>CE48733</t>
  </si>
  <si>
    <t>NELSON AUGUSTO SANABRIA ORTEGA</t>
  </si>
  <si>
    <t>CE48941</t>
  </si>
  <si>
    <t>CRISTHIAN ARMANDO DUEÑAS</t>
  </si>
  <si>
    <t>CE49917</t>
  </si>
  <si>
    <t>JORGE TAUTIVA MELO</t>
  </si>
  <si>
    <t>CE50117</t>
  </si>
  <si>
    <t>JAIRO ANZOLA PLATA L</t>
  </si>
  <si>
    <t>Soporte a la certificación</t>
  </si>
  <si>
    <t>CE50152</t>
  </si>
  <si>
    <t>FRANKLIN MEDINA</t>
  </si>
  <si>
    <t>CE50160</t>
  </si>
  <si>
    <t>CONSUELO MOLINA GUERRERO</t>
  </si>
  <si>
    <t>CE50178</t>
  </si>
  <si>
    <t>PABLO ENRIQUE CALDERON DIAZ</t>
  </si>
  <si>
    <t>Técnico Despliegues Seguros / Altamira</t>
  </si>
  <si>
    <t>CE50845</t>
  </si>
  <si>
    <t>JEFERSON DANIEL AGUDELO SIERRA</t>
  </si>
  <si>
    <t>CE50906</t>
  </si>
  <si>
    <t>EDGAR DANIEL CASTRO MUNOZ</t>
  </si>
  <si>
    <t>CE51433</t>
  </si>
  <si>
    <t xml:space="preserve">SERGIO OSWALDO ROJAS BERNAL  </t>
  </si>
  <si>
    <t>CE51434</t>
  </si>
  <si>
    <t>MICHAEL ALEXANDER PINZON CRISTANCHO</t>
  </si>
  <si>
    <t>CE51510</t>
  </si>
  <si>
    <t>JULY VANESSA TORRES ZARATE</t>
  </si>
  <si>
    <t>CE51577</t>
  </si>
  <si>
    <t>LINA JULIETH REDONDO SOLER</t>
  </si>
  <si>
    <t>CE51848</t>
  </si>
  <si>
    <t>GORDO BELTRAN DANIEL FERNANDO</t>
  </si>
  <si>
    <t>CE51863</t>
  </si>
  <si>
    <t>EDNA ROCIO MONCADA</t>
  </si>
  <si>
    <t>QC</t>
  </si>
  <si>
    <t>CE52035</t>
  </si>
  <si>
    <t>ORLANDO SALVADOR MORA ANDRADE</t>
  </si>
  <si>
    <t>CE52097</t>
  </si>
  <si>
    <t>IVAN DE JESÚS RAMOS OSORIO</t>
  </si>
  <si>
    <t>CE52336</t>
  </si>
  <si>
    <t>CELY GUTIERREZ ANDERSON SNEIDER</t>
  </si>
  <si>
    <t>CE52434</t>
  </si>
  <si>
    <t xml:space="preserve">HAROLD HERNANDO REYES VARGAS
</t>
  </si>
  <si>
    <t>CE52470</t>
  </si>
  <si>
    <t>DIEGO ELEJALDE CIFUENTES</t>
  </si>
  <si>
    <t>CE52603</t>
  </si>
  <si>
    <t>CLARIBEL ABRIL VELASCO</t>
  </si>
  <si>
    <t>CE52611</t>
  </si>
  <si>
    <t>GUSTAVO ADOLFO SALAZAR BERNAL</t>
  </si>
  <si>
    <t>CE52790</t>
  </si>
  <si>
    <t>GERMAN ZARRIA MENDEZ</t>
  </si>
  <si>
    <t>CE53474</t>
  </si>
  <si>
    <t>JOSUE DAVID FERNANDEZ REYES</t>
  </si>
  <si>
    <t>CE53475</t>
  </si>
  <si>
    <t>ANDREA MARCELA RODRIGUEZ A</t>
  </si>
  <si>
    <t>CE53945</t>
  </si>
  <si>
    <t>GIOVANNI ALONSO PENARETE BUITRAGO</t>
  </si>
  <si>
    <t>CE54569</t>
  </si>
  <si>
    <t>DANILO CUSBA PULIDO</t>
  </si>
  <si>
    <t>CE54816</t>
  </si>
  <si>
    <t>LINA MARCELA SANABRIA BERNAL</t>
  </si>
  <si>
    <t>CE54839</t>
  </si>
  <si>
    <t>CARLOSFERNANDO SUAREZ</t>
  </si>
  <si>
    <t>CE54975</t>
  </si>
  <si>
    <t>JUAN CARLOS PARDO HERNANDEZ</t>
  </si>
  <si>
    <t>CE55339</t>
  </si>
  <si>
    <t>LENIN RAFAEL DIAZ QUINTERO</t>
  </si>
  <si>
    <t>CE55340</t>
  </si>
  <si>
    <t>MILLER GOMEZ</t>
  </si>
  <si>
    <t>CE55472</t>
  </si>
  <si>
    <t>KEVIN DANILO LÓPEZ CLOPATOFSKY</t>
  </si>
  <si>
    <t>CE55477</t>
  </si>
  <si>
    <t>LIZZETH PAOLA FORERO</t>
  </si>
  <si>
    <t>CE55865</t>
  </si>
  <si>
    <t>SANTIAGO PULIDO CALDERON</t>
  </si>
  <si>
    <t>CE55951</t>
  </si>
  <si>
    <t>TANIA YULIETH PUENTES REAL</t>
  </si>
  <si>
    <t>CE56090</t>
  </si>
  <si>
    <t>JEISSON ANDRES TEQUIA RINCON</t>
  </si>
  <si>
    <t>CE56092</t>
  </si>
  <si>
    <t>JOHAN SEBASTIAN FORERO</t>
  </si>
  <si>
    <t>CE56109</t>
  </si>
  <si>
    <t>OMAR FERNANDO ORTEGÓN VARGAS</t>
  </si>
  <si>
    <t>CE56248</t>
  </si>
  <si>
    <t>ANDRES JIMENEZ MOLINA</t>
  </si>
  <si>
    <t xml:space="preserve">Bonita 7 y Bonita 5 </t>
  </si>
  <si>
    <t>CE56274</t>
  </si>
  <si>
    <t>JULIAN CAMILO QUINONES QUINTERO</t>
  </si>
  <si>
    <t>CE56445</t>
  </si>
  <si>
    <t>LESIA MARGARITA VALERA CONTRERAS</t>
  </si>
  <si>
    <t>CE56542</t>
  </si>
  <si>
    <t>HUMBERTO MALAGON VARGAS (TORRE)</t>
  </si>
  <si>
    <t>CE56568</t>
  </si>
  <si>
    <t>JESUS WELLMAN</t>
  </si>
  <si>
    <t>CE56879</t>
  </si>
  <si>
    <t>VICTOR HANS DE LA CRUZ QUISPE</t>
  </si>
  <si>
    <t>CE56948</t>
  </si>
  <si>
    <t>LEANDRO AUGUSTO CHIGUASUQUE</t>
  </si>
  <si>
    <t>CE57060</t>
  </si>
  <si>
    <t>MORENO HERNANDEZ, KAREN ANDREA</t>
  </si>
  <si>
    <t>CE57066</t>
  </si>
  <si>
    <t>LUIS EDIER BERMUDEZ RIOS</t>
  </si>
  <si>
    <t>CE57093</t>
  </si>
  <si>
    <t>NATALIA CANAS YATE</t>
  </si>
  <si>
    <t>CE57157</t>
  </si>
  <si>
    <t>CHAVES ANGEL JOAN NICOLAS</t>
  </si>
  <si>
    <t>CE57264</t>
  </si>
  <si>
    <t>LUCIO RAMIRO TAPIA VARGAS</t>
  </si>
  <si>
    <t>CE57299</t>
  </si>
  <si>
    <t>JENNIFER ZAMORA</t>
  </si>
  <si>
    <t>CE57320</t>
  </si>
  <si>
    <t>MARIA VICTORIA RUIZ</t>
  </si>
  <si>
    <t>CE57396</t>
  </si>
  <si>
    <t>JUAN PABLO AREVALO MERCHAN</t>
  </si>
  <si>
    <t>CE57488</t>
  </si>
  <si>
    <t>JULIAN FERNANDO MARTINEZ RODRIGUEZ</t>
  </si>
  <si>
    <t>CE57567</t>
  </si>
  <si>
    <t>GIOVANNI ESGUERRA VELANDIA</t>
  </si>
  <si>
    <t>CE57586</t>
  </si>
  <si>
    <t>OMAR ESTEBAN MATUK</t>
  </si>
  <si>
    <t>CE57635</t>
  </si>
  <si>
    <t>JAIRO ARTURO BELTAN (TORRE)</t>
  </si>
  <si>
    <t>CE57920</t>
  </si>
  <si>
    <t>WILLIAM ARMANDO BONILLA ACUÑA</t>
  </si>
  <si>
    <t>CE58194</t>
  </si>
  <si>
    <t>DIANA MAYERLY RAMIREZ</t>
  </si>
  <si>
    <t>CE58491</t>
  </si>
  <si>
    <t>RICARDO AGUSTIN PACHON PIRAGAUTA</t>
  </si>
  <si>
    <t>CE58625</t>
  </si>
  <si>
    <t>RONALD DAVID LARA HERNANDEZ</t>
  </si>
  <si>
    <t>CE58814</t>
  </si>
  <si>
    <t>PINZON VANEGAS MIGUEL ANGEL</t>
  </si>
  <si>
    <t>CE58926</t>
  </si>
  <si>
    <t>HEYBER FERNANDO NINO GUANUME.</t>
  </si>
  <si>
    <t>CE59142</t>
  </si>
  <si>
    <t>MARTHA LUCIA PORRAS</t>
  </si>
  <si>
    <t>CE59254</t>
  </si>
  <si>
    <t>MARLLY JAZMIN VARGAS GARZÓN</t>
  </si>
  <si>
    <t>CE59467</t>
  </si>
  <si>
    <t>NORMA CECILIA MORENO GONZALEZ</t>
  </si>
  <si>
    <t>CE59507</t>
  </si>
  <si>
    <t>DAVID RODRIGUEZ RANGEL</t>
  </si>
  <si>
    <t>CE59519</t>
  </si>
  <si>
    <t>JORGE DANILO BUITRAGO HERNANDEZ</t>
  </si>
  <si>
    <t>CE59730</t>
  </si>
  <si>
    <t>JOSE AGUSTIN RODRIGUEZ ZORRO</t>
  </si>
  <si>
    <t>CE59922</t>
  </si>
  <si>
    <t>JOHAN SEBASTIAN LAGOS MORALES</t>
  </si>
  <si>
    <t>CE59964</t>
  </si>
  <si>
    <t>OSCAR YECID  SANCHEZ ZAMORA</t>
  </si>
  <si>
    <t>CE59969</t>
  </si>
  <si>
    <t>PABLO ANTONIO MARQUEZ</t>
  </si>
  <si>
    <t>CE59970</t>
  </si>
  <si>
    <t>NICOLAS ALEXANDER ALDANA MENDOZA</t>
  </si>
  <si>
    <t>CE59993</t>
  </si>
  <si>
    <t>JUAN DAVID VELASQUEZ</t>
  </si>
  <si>
    <t>CE60329</t>
  </si>
  <si>
    <t>ANDRÉS FELIPE MORA SANTANA</t>
  </si>
  <si>
    <t>CE60509</t>
  </si>
  <si>
    <t>RODRIGUEZ RIVERA ANDRES CAMILO</t>
  </si>
  <si>
    <t>CE60737</t>
  </si>
  <si>
    <t>JAIRO JUNIOR HERNANDEZ TRILLOS</t>
  </si>
  <si>
    <t>CE60767</t>
  </si>
  <si>
    <t>JEIMMY ALEJANDRA SANCHEZ LOPEZ</t>
  </si>
  <si>
    <t>CE60769</t>
  </si>
  <si>
    <t>HECTOR FERNANDO JARAMILLO</t>
  </si>
  <si>
    <t>CE60804</t>
  </si>
  <si>
    <t>ALVARO IVAN BARRIOS PINEDA</t>
  </si>
  <si>
    <t xml:space="preserve">Se comparte con Torre de Analitycs </t>
  </si>
  <si>
    <t>CE61162</t>
  </si>
  <si>
    <t>JOSE ANTONIO PERFECTO</t>
  </si>
  <si>
    <t>CE61320</t>
  </si>
  <si>
    <t>CASTILLO ALONSO GILBERTO</t>
  </si>
  <si>
    <t>CE61541</t>
  </si>
  <si>
    <t>JESUS ANDRÉS CARDENAS</t>
  </si>
  <si>
    <t>CE61633</t>
  </si>
  <si>
    <t>NICOLAS EDUARDO LOAIZA</t>
  </si>
  <si>
    <t>CE61638</t>
  </si>
  <si>
    <t>JAVIER CORDOBA</t>
  </si>
  <si>
    <t>CE61656</t>
  </si>
  <si>
    <t>MARIA DEL PILAR GARCIA  GONZALES</t>
  </si>
  <si>
    <t>CE61687</t>
  </si>
  <si>
    <t>JHONATAN STIV CUADROS CARDENAS</t>
  </si>
  <si>
    <t>CE61903</t>
  </si>
  <si>
    <t>KELLY JOHANA VANEGAS</t>
  </si>
  <si>
    <t>CE62112</t>
  </si>
  <si>
    <t>MARILUZ SANCHEZ MORENO</t>
  </si>
  <si>
    <t>CE62380</t>
  </si>
  <si>
    <t>LUIGUI SANTIAGO FAJARDO TOLOZA</t>
  </si>
  <si>
    <t>CE62622</t>
  </si>
  <si>
    <t>HERNAN DARIO RAMOS ORTIZ</t>
  </si>
  <si>
    <t>CE62655</t>
  </si>
  <si>
    <t>DIEGO FRANCISCO FLORES DIAZ</t>
  </si>
  <si>
    <t>CE63123</t>
  </si>
  <si>
    <t>DIEGO ARISTOBULO DIAZ PLATA</t>
  </si>
  <si>
    <t>CE63313</t>
  </si>
  <si>
    <t>CESAR LEONEL MARTIN CASTILLO (QA)</t>
  </si>
  <si>
    <t>CE63473</t>
  </si>
  <si>
    <t>KATHERINE SANTANA</t>
  </si>
  <si>
    <t>CE63508</t>
  </si>
  <si>
    <t>DANNA VALERIA MESA ALFONSO</t>
  </si>
  <si>
    <t>CE63761</t>
  </si>
  <si>
    <t>CARLOS ANDRES CELY VERGARA</t>
  </si>
  <si>
    <t>CE64217</t>
  </si>
  <si>
    <t>CHRISTIAN CAMILO PERDOMO MEDINA</t>
  </si>
  <si>
    <t>CE64257</t>
  </si>
  <si>
    <t>DIAZ SALAZAR EDILBERTO</t>
  </si>
  <si>
    <t>CE64378</t>
  </si>
  <si>
    <t>SANTIAGO ALEJANDRO CORREDOR</t>
  </si>
  <si>
    <t>CE64394</t>
  </si>
  <si>
    <t>ANDREI NICOLAS CASTRO MUÑOZ</t>
  </si>
  <si>
    <t>CE64507</t>
  </si>
  <si>
    <t>DANIEL ESTEBAN MORENO CARRILLO</t>
  </si>
  <si>
    <t>CE64571</t>
  </si>
  <si>
    <t>MELISSA CORREA RIOS</t>
  </si>
  <si>
    <t>CE64615</t>
  </si>
  <si>
    <t>MARTHA LUCIA AGUIRRE</t>
  </si>
  <si>
    <t>MN-2091 Reingenieria proceso de CG pruebas en desarrollo</t>
  </si>
  <si>
    <t>CE64687</t>
  </si>
  <si>
    <t>MILLER FERNANDO CAMARGO AMADO</t>
  </si>
  <si>
    <t>CE64752</t>
  </si>
  <si>
    <t>NIDIA CONTRERAS HERNANDEZ</t>
  </si>
  <si>
    <t>CE64753</t>
  </si>
  <si>
    <t>JUAN CARLOS PULIDO</t>
  </si>
  <si>
    <t>CE64877</t>
  </si>
  <si>
    <t>LUIS GUILLERMO SANCHEZ</t>
  </si>
  <si>
    <t>CE64919</t>
  </si>
  <si>
    <t>MYRIAM GARCIA HERNANDEZ</t>
  </si>
  <si>
    <t>CE64988</t>
  </si>
  <si>
    <t>LEVI BECERRA</t>
  </si>
  <si>
    <t>CE65053</t>
  </si>
  <si>
    <t>JUAN DAVID RODRIGUEZ ARIZA</t>
  </si>
  <si>
    <t>CE65082</t>
  </si>
  <si>
    <t>JULIAN CAMILO ESGUERRA PINEDA</t>
  </si>
  <si>
    <t>CE65203</t>
  </si>
  <si>
    <t>NATALIA ALEJANDRA GRAJALES CARDONA</t>
  </si>
  <si>
    <t>CE65204</t>
  </si>
  <si>
    <t>KATHERINE GALINDO VARGAS</t>
  </si>
  <si>
    <t>CE65205</t>
  </si>
  <si>
    <t>OSCAR JAVIER ALVAREZ CAMACHO</t>
  </si>
  <si>
    <t>Despliegues</t>
  </si>
  <si>
    <t>CE65214</t>
  </si>
  <si>
    <t>ROGER ARIAS</t>
  </si>
  <si>
    <t>CE65226</t>
  </si>
  <si>
    <t>AMAYA CAMPOS SANTIAGO</t>
  </si>
  <si>
    <t>CE65276</t>
  </si>
  <si>
    <t>JOHANA IDALY GARZON RUIZ</t>
  </si>
  <si>
    <t>CE65485</t>
  </si>
  <si>
    <t xml:space="preserve">HECTOR JAIRO LEGUIZAMON </t>
  </si>
  <si>
    <t>CE65494</t>
  </si>
  <si>
    <t>OSCAR FABIAN PEDRAZA MONROY</t>
  </si>
  <si>
    <t>CE65559</t>
  </si>
  <si>
    <t>JOHN MARLON NUÑEZ NIÑO</t>
  </si>
  <si>
    <t>CE65598</t>
  </si>
  <si>
    <t>DAVID GERMAN TORRES MOLANO</t>
  </si>
  <si>
    <t>CE65938</t>
  </si>
  <si>
    <t>AREVALO MORENO DEINA ALEJANDRA</t>
  </si>
  <si>
    <t>CE66039</t>
  </si>
  <si>
    <t>OCAMPO RODRIGUEZ JOHN JAILER</t>
  </si>
  <si>
    <t>CE66043</t>
  </si>
  <si>
    <t>QUINTERO GAITÁN CRISTIAN ALBERTO</t>
  </si>
  <si>
    <t>CE66053</t>
  </si>
  <si>
    <t>ANDRES FRANCISCO DUARTE SANCHEZ</t>
  </si>
  <si>
    <t>CE66135</t>
  </si>
  <si>
    <t>LUIS FERNANDO TORRES AVENDAÑO</t>
  </si>
  <si>
    <t>CE66153</t>
  </si>
  <si>
    <t>JHON EDWIN MENDOZA DAZA</t>
  </si>
  <si>
    <t>CE66182</t>
  </si>
  <si>
    <t>JUAN MARTIN UMAÑA</t>
  </si>
  <si>
    <t>CE66251</t>
  </si>
  <si>
    <t>SANTIAGO A SANTOS ESTRADA</t>
  </si>
  <si>
    <t>CE66252</t>
  </si>
  <si>
    <t>JORGE ENRIQUE CARRILLO DIAZ</t>
  </si>
  <si>
    <t>CE66288</t>
  </si>
  <si>
    <t>LAURA VALENTINA RINCON RODRIGUEZ</t>
  </si>
  <si>
    <t>CE66305</t>
  </si>
  <si>
    <t>LADY JOHANNA ARDILA ABELLO</t>
  </si>
  <si>
    <t>CE66364</t>
  </si>
  <si>
    <t>MARTIN THEILER</t>
  </si>
  <si>
    <t>CE66458</t>
  </si>
  <si>
    <t>ROBERTO CARLOS NIETO SUAREZ</t>
  </si>
  <si>
    <t>CE66576</t>
  </si>
  <si>
    <t>ANDERSON FABIAN CAMELO</t>
  </si>
  <si>
    <t>CE66579</t>
  </si>
  <si>
    <t>SANTIAGO MOLINA</t>
  </si>
  <si>
    <t>CE66581</t>
  </si>
  <si>
    <t>POLANCO DANIEL LEONARDO</t>
  </si>
  <si>
    <t>CE66582</t>
  </si>
  <si>
    <t>ANDREA CATERIN MUNOZ ACOSTA</t>
  </si>
  <si>
    <t>CE66586</t>
  </si>
  <si>
    <t>DANEY FELIPE MIRANDA MIRANDA</t>
  </si>
  <si>
    <t>CE66612</t>
  </si>
  <si>
    <t>JOHN ANDRES DIAZ AYALA (TORRE)</t>
  </si>
  <si>
    <t>CE66707</t>
  </si>
  <si>
    <t>ALFONSO PUIN DANIEL FELIPE</t>
  </si>
  <si>
    <t>CE66714</t>
  </si>
  <si>
    <t>CRISTIAN STEVEN ABRIL</t>
  </si>
  <si>
    <t>CE66758</t>
  </si>
  <si>
    <t>JAIRO LEON ESPITIA BOTIA</t>
  </si>
  <si>
    <t>CE66764</t>
  </si>
  <si>
    <t>FORERO RUIZ JOSE ANTONIO</t>
  </si>
  <si>
    <t>CE66796</t>
  </si>
  <si>
    <t>SANTIAGO SALAS CARRERA</t>
  </si>
  <si>
    <t>Este proyecto contiene  ASO, APX, CELLS, GCP</t>
  </si>
  <si>
    <t>CE66798</t>
  </si>
  <si>
    <t>ANGIE CAROLINA MORALES DUENAS</t>
  </si>
  <si>
    <t>CE66884</t>
  </si>
  <si>
    <t>FRANK NICOLAS HERRAN</t>
  </si>
  <si>
    <t>CE66885</t>
  </si>
  <si>
    <t>ROJAS VILLEGAS, ADRIAN</t>
  </si>
  <si>
    <t>CE66887</t>
  </si>
  <si>
    <t>NICOLAS BOLIVAR BATTLE</t>
  </si>
  <si>
    <t>CE66910</t>
  </si>
  <si>
    <t xml:space="preserve">JULIO DIAZ PENAGOS </t>
  </si>
  <si>
    <t>CE67019</t>
  </si>
  <si>
    <t>REINALDO CUARIN</t>
  </si>
  <si>
    <t>CE67101</t>
  </si>
  <si>
    <t>IVETTE AYCHELL MONROY SUAREZ</t>
  </si>
  <si>
    <t>CE67103</t>
  </si>
  <si>
    <t>KAREN ANDREA BELTRÁN SILVA</t>
  </si>
  <si>
    <t>CE67183</t>
  </si>
  <si>
    <t>ALEXIS A GONZALEZ LANCHEROS</t>
  </si>
  <si>
    <t>CE67220</t>
  </si>
  <si>
    <t>CARLOS ARTURO RODRIGUEZ CASTAÑEDA</t>
  </si>
  <si>
    <t>CE67221</t>
  </si>
  <si>
    <t>LAURA STEFANY ROMERO TRUJILLO</t>
  </si>
  <si>
    <t>CE67309</t>
  </si>
  <si>
    <t>CRISTIAN CAMILO DUARTE</t>
  </si>
  <si>
    <t>CE67312</t>
  </si>
  <si>
    <t>OSCAR MAURICIO LOZANO</t>
  </si>
  <si>
    <t>CE67314</t>
  </si>
  <si>
    <t>JULIANA CORREDOR</t>
  </si>
  <si>
    <t>CE67315</t>
  </si>
  <si>
    <t>YEFERSON OCHOA</t>
  </si>
  <si>
    <t>CE67424</t>
  </si>
  <si>
    <t>JIMENEZ MUÑOZ ANA MARIA</t>
  </si>
  <si>
    <t>CE67484</t>
  </si>
  <si>
    <t>JUAN CARLOS SALDAÑA</t>
  </si>
  <si>
    <t>CE67846</t>
  </si>
  <si>
    <t>EDSON SUAREZ</t>
  </si>
  <si>
    <t>CE67847</t>
  </si>
  <si>
    <t>CRISTIAN STIVEN SÀNCHEZ RUBIO</t>
  </si>
  <si>
    <t>CE67848</t>
  </si>
  <si>
    <t>ANDRES ALFONSO VARELO SILGADO</t>
  </si>
  <si>
    <t>CE67849</t>
  </si>
  <si>
    <t>HENRY CORTES</t>
  </si>
  <si>
    <t>CE67850</t>
  </si>
  <si>
    <t>SERGIO MERCADO</t>
  </si>
  <si>
    <t>CE67855</t>
  </si>
  <si>
    <t>ANDREY DAVID NINO GALVIS</t>
  </si>
  <si>
    <t>CE67859</t>
  </si>
  <si>
    <t>ANDRES FELIPE QUINTERO SALAZAR</t>
  </si>
  <si>
    <t>CE67865</t>
  </si>
  <si>
    <t>ALEJANDRA BARRIOS</t>
  </si>
  <si>
    <t>CE67866</t>
  </si>
  <si>
    <t xml:space="preserve">NATALIA ORTIZ MALDONADO </t>
  </si>
  <si>
    <t>CE67868</t>
  </si>
  <si>
    <t>JHON ALEXANDER SANTANA</t>
  </si>
  <si>
    <t>CE67889</t>
  </si>
  <si>
    <t>YEIMY PATRICIA PELAEZ ARENAS</t>
  </si>
  <si>
    <t>CE68026</t>
  </si>
  <si>
    <t>MIGUEL LEONARDO AVILA AREVALO</t>
  </si>
  <si>
    <t>CE68033</t>
  </si>
  <si>
    <t>DONOBAN RICARDO FIGUEREDO PIRAGAUTA</t>
  </si>
  <si>
    <t>CE68193</t>
  </si>
  <si>
    <t>JOAN FEDERICO MARIN RUIZ</t>
  </si>
  <si>
    <t>CE68302</t>
  </si>
  <si>
    <t>DIANA GRANADA</t>
  </si>
  <si>
    <t>CE68333</t>
  </si>
  <si>
    <t>DANIEL FERNANDO DIAZ CACERES</t>
  </si>
  <si>
    <t>CE68369</t>
  </si>
  <si>
    <t>JUAN DAVID ACOSTA OBANDO (QA)</t>
  </si>
  <si>
    <t>CE68404</t>
  </si>
  <si>
    <t>JORGE ARMANDO YANQUEN</t>
  </si>
  <si>
    <t>CE68432</t>
  </si>
  <si>
    <t>ANGELY JOHANA GONZALEZ VILLAMIL</t>
  </si>
  <si>
    <t>CE68469</t>
  </si>
  <si>
    <t>DIEGO ALEXANDER ALBA RODRÍGUEZ</t>
  </si>
  <si>
    <t>CE68481</t>
  </si>
  <si>
    <t>PEREZ PAN WILLIAM STEVEN</t>
  </si>
  <si>
    <t>CE68487</t>
  </si>
  <si>
    <t>DIANA RUBIANO</t>
  </si>
  <si>
    <t>CE68502</t>
  </si>
  <si>
    <t>NYDIA FORERO</t>
  </si>
  <si>
    <t>CE68547</t>
  </si>
  <si>
    <t xml:space="preserve">JOSE ROBERTO GONZALEZ MELO
</t>
  </si>
  <si>
    <t>CE68565</t>
  </si>
  <si>
    <t>JELBER STIBEN LOZANO PRADA</t>
  </si>
  <si>
    <t>CE68692</t>
  </si>
  <si>
    <t>JORGE ROBINSON MENESES GUTIERREZ</t>
  </si>
  <si>
    <t>CE68693</t>
  </si>
  <si>
    <t>MANUEL ALEJANDRO MARENCO (TORRE)</t>
  </si>
  <si>
    <t>CE68707</t>
  </si>
  <si>
    <t>MIGUEL LEÓN</t>
  </si>
  <si>
    <t>CE68712</t>
  </si>
  <si>
    <t>EDWARD STIVEN RODRIGUEZ MORENO</t>
  </si>
  <si>
    <t>CE68863</t>
  </si>
  <si>
    <t>JUAN CAMILO CASTANO RAMIREZ</t>
  </si>
  <si>
    <t>CE68929</t>
  </si>
  <si>
    <t>YENIFER ARANGO TABARES</t>
  </si>
  <si>
    <t>CE69031</t>
  </si>
  <si>
    <t>WILLIAM ROBERTO MORA BERNAL</t>
  </si>
  <si>
    <t>CE69094</t>
  </si>
  <si>
    <t>DUVAN ALEJANDRO BERNATE PIAMBA</t>
  </si>
  <si>
    <t>CE69109</t>
  </si>
  <si>
    <t>LUIS FELIPE GONZÁLEZ</t>
  </si>
  <si>
    <t>CE69111</t>
  </si>
  <si>
    <t>EDNA YURANI GIL</t>
  </si>
  <si>
    <t xml:space="preserve">Analálisis, diseño y pruebas a mejoras CAP </t>
  </si>
  <si>
    <t>CE69112</t>
  </si>
  <si>
    <t xml:space="preserve">LUZ DARY PATINO PINTOR </t>
  </si>
  <si>
    <t>. MLJ 22mar:  Financiera informó que esta semana lo lleva al comité correspondiente.  
XXX mar:No se encuentra el proyecto: SDATOOL-39783 Resolución 0124 de 2021 - Captura del base de Operaciones Anuladas en Leasing - Aplic. Leasing (39783)</t>
  </si>
  <si>
    <t>CE69114</t>
  </si>
  <si>
    <t>SERGIO LUIS DIAZ TORO</t>
  </si>
  <si>
    <t>CE69136</t>
  </si>
  <si>
    <t>JEISSON STEVEN RINCON MELLIZO</t>
  </si>
  <si>
    <t>CE69249</t>
  </si>
  <si>
    <t>HERNAN GABRIEL FERNANDEZ</t>
  </si>
  <si>
    <t>CE69265</t>
  </si>
  <si>
    <t>SANTIAGO MARTINEZ</t>
  </si>
  <si>
    <t>CE69277</t>
  </si>
  <si>
    <t>JULIAN I BECERRA BAUTISTA</t>
  </si>
  <si>
    <t>CE69336</t>
  </si>
  <si>
    <t>KLEIVER JOAN MARTINEZ PEÑA</t>
  </si>
  <si>
    <t>CE69341</t>
  </si>
  <si>
    <t>PAULA MARCELA MOLINA LEGUIZAMO</t>
  </si>
  <si>
    <t>MLJ 22mar:  Nancy Pineda nos comentó dejarlo en este mientras se organiza lo del presupuesto.
XXX mar:  No se encuentra el proyecto: SDATOOL-37914 Soporte y mantenimiento servicios tecnológicos 2022 - CEL (PSE)</t>
  </si>
  <si>
    <t>CE69361</t>
  </si>
  <si>
    <t>ANDERSON CAMILO APONTE CERVERA</t>
  </si>
  <si>
    <t>CE69376</t>
  </si>
  <si>
    <t xml:space="preserve">	LIZETH DUEÑAS</t>
  </si>
  <si>
    <t>CE69377</t>
  </si>
  <si>
    <t>CESAR EUCLIDES MURILLO CAICEDO</t>
  </si>
  <si>
    <t>CE69380</t>
  </si>
  <si>
    <t xml:space="preserve">	DIOCLECIANO LOPÉZ</t>
  </si>
  <si>
    <t>CE69445</t>
  </si>
  <si>
    <t>CRISTIAN FERNANDO HERNANDEZ ANGARITA</t>
  </si>
  <si>
    <t>CE69505</t>
  </si>
  <si>
    <t>CLAUDIA YURANI TAQUEZ CHALAPUD</t>
  </si>
  <si>
    <t>CE69603</t>
  </si>
  <si>
    <t>MIGUEL ANGEL LUENGAS</t>
  </si>
  <si>
    <t>CE69608</t>
  </si>
  <si>
    <t>JULIETH ALEJANDRA BERMUDEZ BERNAL</t>
  </si>
  <si>
    <t>CE69611</t>
  </si>
  <si>
    <t>JESUS ROLDAN LAVERDE</t>
  </si>
  <si>
    <t>CE69612</t>
  </si>
  <si>
    <t>DIEGO DIAZ VIVAS</t>
  </si>
  <si>
    <t>CE69613</t>
  </si>
  <si>
    <t>MARTÍN RODRIGUEZ</t>
  </si>
  <si>
    <t>CE69641</t>
  </si>
  <si>
    <t>KEVIN SARMIENTO</t>
  </si>
  <si>
    <t>CE69667</t>
  </si>
  <si>
    <t>HAROLD ENRIQUE ROCANCIO JULIO</t>
  </si>
  <si>
    <t>CE69705</t>
  </si>
  <si>
    <t>MIGUEL FAJARDO</t>
  </si>
  <si>
    <t>CE69709</t>
  </si>
  <si>
    <t>BRAYAN CAMILO VALCARCEL RIANO</t>
  </si>
  <si>
    <t>CE69750</t>
  </si>
  <si>
    <t>LINA VANESSA RINCÓN PRADA</t>
  </si>
  <si>
    <t>CE69797</t>
  </si>
  <si>
    <t>MARIA ALEJANDRA ZUÑIGA</t>
  </si>
  <si>
    <t>CE69818</t>
  </si>
  <si>
    <t>NICOLAS  MORENO AREVALO</t>
  </si>
  <si>
    <t>CE69821</t>
  </si>
  <si>
    <t>DAVID GARRIDO</t>
  </si>
  <si>
    <t>CE69858</t>
  </si>
  <si>
    <t>JULIÁN DAVID CASTAÑEDA</t>
  </si>
  <si>
    <t>BlueSpring</t>
  </si>
  <si>
    <t>CE69969</t>
  </si>
  <si>
    <t>GUISELL DAYAN DIAZ BLANCO</t>
  </si>
  <si>
    <t>CE69992</t>
  </si>
  <si>
    <t>STEPHANY L CERON SALAS</t>
  </si>
  <si>
    <t>CE69994</t>
  </si>
  <si>
    <t>LAUTARO NAHUEL CUELLO</t>
  </si>
  <si>
    <t>CE70000</t>
  </si>
  <si>
    <t>MANUEL AUGUSTO VILCHEZ MATICORENA</t>
  </si>
  <si>
    <t>CE70114</t>
  </si>
  <si>
    <t>LUZ CAROLA GIRALDO GARCÍA</t>
  </si>
  <si>
    <t>CE70143</t>
  </si>
  <si>
    <t>EMMANUEL GERMAN FORSTER</t>
  </si>
  <si>
    <t>Usuario en proceso de alta.</t>
  </si>
  <si>
    <t>CE70149</t>
  </si>
  <si>
    <t>ALDANA ROJAS TIHAMER KARLOVICH</t>
  </si>
  <si>
    <t>CE70161</t>
  </si>
  <si>
    <t>LUIS ALBERTO CALDERA CHAVEZ</t>
  </si>
  <si>
    <t>CE70171</t>
  </si>
  <si>
    <t>CASALLAS LEGUIZAMON NELSON SEBASTIAN</t>
  </si>
  <si>
    <t>CE70173</t>
  </si>
  <si>
    <t>ADRIANA MAYERLY RAMIREZ</t>
  </si>
  <si>
    <t>CE70176</t>
  </si>
  <si>
    <t xml:space="preserve">JULIANA BALCERO </t>
  </si>
  <si>
    <t>Análisis, diseño y pruebas CAP Proyecto Oferta D+0</t>
  </si>
  <si>
    <t>CE70177</t>
  </si>
  <si>
    <t>ADRIANA MERCEDES GOMEZ</t>
  </si>
  <si>
    <t xml:space="preserve">CE70178 </t>
  </si>
  <si>
    <t>SERGIO ANDRES BRAVO ROMERO</t>
  </si>
  <si>
    <t>CE70183</t>
  </si>
  <si>
    <t>JOEL ANDRÉS CANTILLO NIETO</t>
  </si>
  <si>
    <t>CE70202</t>
  </si>
  <si>
    <t>CESAR AUGUSTO VALBUENA</t>
  </si>
  <si>
    <t>CE70220</t>
  </si>
  <si>
    <t xml:space="preserve">JULIAN FELIPE VEGA HERNANDEZ </t>
  </si>
  <si>
    <t>CE70245</t>
  </si>
  <si>
    <t>DIANA DUARTE</t>
  </si>
  <si>
    <t>CE70350</t>
  </si>
  <si>
    <t>HELDER HAROLD SOLANO SOLANO</t>
  </si>
  <si>
    <t>Calidad</t>
  </si>
  <si>
    <t>CE70371</t>
  </si>
  <si>
    <t xml:space="preserve">DANEL PULECIO GONZALEZ </t>
  </si>
  <si>
    <t>CE70380</t>
  </si>
  <si>
    <t>MISAEL ARLEY TELLEZ SERRANO</t>
  </si>
  <si>
    <t>CE70382</t>
  </si>
  <si>
    <t xml:space="preserve">JOHN JAIRO RIVERA PENA </t>
  </si>
  <si>
    <t>CE70407</t>
  </si>
  <si>
    <t>BARRIOS ASPRILLA BREINER I</t>
  </si>
  <si>
    <t>CE70412</t>
  </si>
  <si>
    <t>ANGIE CHIGUASUQUE</t>
  </si>
  <si>
    <t>CE70413</t>
  </si>
  <si>
    <t>RICARDO AMAYA VIANCHA (QA)</t>
  </si>
  <si>
    <t>CE70580</t>
  </si>
  <si>
    <t>FABIAN ARTURO RAMIREZ BROCHE</t>
  </si>
  <si>
    <t>CE70621</t>
  </si>
  <si>
    <t>BRANDON AVILA</t>
  </si>
  <si>
    <t>CE70650</t>
  </si>
  <si>
    <t>KAROL MELISSA GÓMEZ COLMENARES</t>
  </si>
  <si>
    <t>CE70651</t>
  </si>
  <si>
    <t>OSCAR FREDDY RONCANCIO ZEA</t>
  </si>
  <si>
    <t>CE70711</t>
  </si>
  <si>
    <t>LIZETH DAYANA RODRIGUEZ ACOSTA</t>
  </si>
  <si>
    <t>CE70844</t>
  </si>
  <si>
    <t>CORONADO ALVARO FELIPE</t>
  </si>
  <si>
    <t>CE70901</t>
  </si>
  <si>
    <t>JUAN SEBASTIAN SANCHEZ</t>
  </si>
  <si>
    <t>CE70907</t>
  </si>
  <si>
    <t>NICOLAS BEDOYA MONTEALEGRE</t>
  </si>
  <si>
    <t>CE70945</t>
  </si>
  <si>
    <t>PENA DIAZ EDGAR SEBASTIAN</t>
  </si>
  <si>
    <t>CE71116</t>
  </si>
  <si>
    <t>DINA LUZ PEREZ</t>
  </si>
  <si>
    <t>CE71118</t>
  </si>
  <si>
    <t>ERICK BERMEJO</t>
  </si>
  <si>
    <t>CE71119</t>
  </si>
  <si>
    <t>ALVARO ALVAREZ</t>
  </si>
  <si>
    <t>CE71120</t>
  </si>
  <si>
    <t>SANTIAGO MONTOYA</t>
  </si>
  <si>
    <t>CE71170</t>
  </si>
  <si>
    <t>PEDRO LUIS MELO ROBAYO</t>
  </si>
  <si>
    <t>CE71171</t>
  </si>
  <si>
    <t>DIANA MARCELA MORENO ORTIZ</t>
  </si>
  <si>
    <t>CE71176</t>
  </si>
  <si>
    <t>IVAN YESID REYES CALCETERO</t>
  </si>
  <si>
    <t>CG22671</t>
  </si>
  <si>
    <t>CARLOS ALBERTO GOMEZ GOMEZ</t>
  </si>
  <si>
    <t>CI01204</t>
  </si>
  <si>
    <t>CELSO HERNÁNDEZ TORRES</t>
  </si>
  <si>
    <t>CI08666</t>
  </si>
  <si>
    <t>JORGE ANIBAL BLANCO MENESES</t>
  </si>
  <si>
    <t>CI35100</t>
  </si>
  <si>
    <t>ALEXANDER LOPEZ FONSECA</t>
  </si>
  <si>
    <t>CI35128</t>
  </si>
  <si>
    <t>CRISTIAN CAMILO RINCON</t>
  </si>
  <si>
    <t>CI35202</t>
  </si>
  <si>
    <t>HUGO FERNEY PRIETO POSSO</t>
  </si>
  <si>
    <t>CI35375</t>
  </si>
  <si>
    <t>LUIS RODRIGO ULLOA MARIN</t>
  </si>
  <si>
    <t>CI35406</t>
  </si>
  <si>
    <t>JENNY MARTINEZ LOPEZ</t>
  </si>
  <si>
    <t>CI35407</t>
  </si>
  <si>
    <t>ELKIN DAVID FUENTES RODRÍGUEZ</t>
  </si>
  <si>
    <t>CI35435</t>
  </si>
  <si>
    <t>SORAIDA CUJAVANTE SIERRA</t>
  </si>
  <si>
    <t>CI35442</t>
  </si>
  <si>
    <t>JUAN CAMILO LADINO GUEZGUAN</t>
  </si>
  <si>
    <t>CIXXXXXX</t>
  </si>
  <si>
    <t>ADRIANA YAMILE RODRIGUEZ</t>
  </si>
  <si>
    <t>CV24903</t>
  </si>
  <si>
    <t>CARLOS ANDRES MORA MUÑOZ</t>
  </si>
  <si>
    <t>CV24905</t>
  </si>
  <si>
    <t>ADRIANA IBARRA</t>
  </si>
  <si>
    <t>CV24935</t>
  </si>
  <si>
    <t>SANDRA PATRICIA RAMIREZ TRIANA</t>
  </si>
  <si>
    <t>CV24943</t>
  </si>
  <si>
    <t>JAIME JOSE ALFONSO COTES</t>
  </si>
  <si>
    <t>CV25001</t>
  </si>
  <si>
    <t>ELKIN FERNANDO BURBANO CORAL</t>
  </si>
  <si>
    <t>CV25017</t>
  </si>
  <si>
    <t>ANDREA POLO KOCH</t>
  </si>
  <si>
    <t>CV25056</t>
  </si>
  <si>
    <t>JUAN CARLOS ALDANA MORENO</t>
  </si>
  <si>
    <t>CV25059</t>
  </si>
  <si>
    <t>CREYCCE JOHANA HINCAPIE RODRIGUEZ</t>
  </si>
  <si>
    <t>CV25060</t>
  </si>
  <si>
    <t>JAIME ALEJANDRO ROJAS NIVIA</t>
  </si>
  <si>
    <t>CV25064</t>
  </si>
  <si>
    <t>MARY LUZ RUALES GUZMAN</t>
  </si>
  <si>
    <t>CV25065</t>
  </si>
  <si>
    <t>OSCAR FABIAN MACANA GARNICA</t>
  </si>
  <si>
    <t>CV25067</t>
  </si>
  <si>
    <t>FRANCINE NARVAEZ LONDOÑO</t>
  </si>
  <si>
    <t>CV25074</t>
  </si>
  <si>
    <t xml:space="preserve">JOHAN SEBASTIAN DUEÑAS ARTUNDUAGA
</t>
  </si>
  <si>
    <t>CV25084</t>
  </si>
  <si>
    <t>JEISON IVAN GAMBA HASTAMORIR</t>
  </si>
  <si>
    <t>CV25087</t>
  </si>
  <si>
    <t>CRISTIAN ANDRES SIERRA ESPINEL</t>
  </si>
  <si>
    <t>CV25093</t>
  </si>
  <si>
    <t>NANCY ESTEFANIA CASAS PERDOMO</t>
  </si>
  <si>
    <t>CV68710</t>
  </si>
  <si>
    <t>JOHN FREDY MUNOZ MARTINEZ</t>
  </si>
  <si>
    <t>E049846</t>
  </si>
  <si>
    <t>PATRICIA ORRO</t>
  </si>
  <si>
    <t>NO TIENE</t>
  </si>
  <si>
    <t>JAIR ERNESTO CABRA MENJURA-REEMPLAZO THALIA</t>
  </si>
  <si>
    <t>O000083</t>
  </si>
  <si>
    <t>OSCAR IVAN MUÑOZ ALVAREZ</t>
  </si>
  <si>
    <t>O000087</t>
  </si>
  <si>
    <t>JAYSON RICARDO BECERRA GOMEZ</t>
  </si>
  <si>
    <t>O000100</t>
  </si>
  <si>
    <t>LICETH YHOMARY GONZALEZ PENAGOS</t>
  </si>
  <si>
    <t>O000103</t>
  </si>
  <si>
    <t>TATIANA  PAOLA PEREIRA RIOS</t>
  </si>
  <si>
    <t>O000106</t>
  </si>
  <si>
    <t>FELIPE ALEJANDO PEDRAZA ROBLES</t>
  </si>
  <si>
    <t>O000108</t>
  </si>
  <si>
    <t>FELIPE ALONSO SOTO CABALLERO</t>
  </si>
  <si>
    <t>O000110</t>
  </si>
  <si>
    <t xml:space="preserve">YINETH SANEY FRANCO HERNANDEZ </t>
  </si>
  <si>
    <t>O000111</t>
  </si>
  <si>
    <t>FERNANDO TIBADUIZA GUTIERREZ</t>
  </si>
  <si>
    <t>O000118</t>
  </si>
  <si>
    <t>JONATHAN ANGEL MURCIA</t>
  </si>
  <si>
    <t>O000150</t>
  </si>
  <si>
    <t>OSCAR FERNANDO REAL BAUTISTA</t>
  </si>
  <si>
    <t>O000158</t>
  </si>
  <si>
    <t>MAURICIO RAMIREZ</t>
  </si>
  <si>
    <t>O000159</t>
  </si>
  <si>
    <t>CAROL VIVIANA CARVAJALNAGLES</t>
  </si>
  <si>
    <t>O000190</t>
  </si>
  <si>
    <t>MARTHA LILIANA RUSSY CHAVARRO</t>
  </si>
  <si>
    <t>O000191</t>
  </si>
  <si>
    <t>YELITZA ANDREA BOHORQUEZ BEDOYA</t>
  </si>
  <si>
    <t>O000197</t>
  </si>
  <si>
    <t>MARIA ESTELA SUAREZ</t>
  </si>
  <si>
    <t>O000393</t>
  </si>
  <si>
    <t>DANIEL FELIPE ZAPATA</t>
  </si>
  <si>
    <t>O000437</t>
  </si>
  <si>
    <t>EDISON TRONCOSO PARADA</t>
  </si>
  <si>
    <t>O000443</t>
  </si>
  <si>
    <t>OSCAR BARBOSA OSPINA</t>
  </si>
  <si>
    <t>O000444</t>
  </si>
  <si>
    <t>EDGAR VASQUEZ RUIZ</t>
  </si>
  <si>
    <t>O000446</t>
  </si>
  <si>
    <t>ANDRES FELIPE FUENTES GARAY</t>
  </si>
  <si>
    <t>O000448</t>
  </si>
  <si>
    <t>EDUAR BOLAÑOS</t>
  </si>
  <si>
    <t>O000451</t>
  </si>
  <si>
    <t>MAURICIO CORDOBA</t>
  </si>
  <si>
    <t>O000471</t>
  </si>
  <si>
    <t>RONAL ALBERTO TABORDA MORENO</t>
  </si>
  <si>
    <t>O000959</t>
  </si>
  <si>
    <t>JORGE ESTEBAN LLANOS</t>
  </si>
  <si>
    <t>O000962</t>
  </si>
  <si>
    <t>ELIZABETH  TRIANA PRIETO</t>
  </si>
  <si>
    <t>O000988</t>
  </si>
  <si>
    <t>CRISTIAN CAMILO RATIVA PARRA</t>
  </si>
  <si>
    <t xml:space="preserve">O001036
</t>
  </si>
  <si>
    <t>ANGEL JAVIER BADEL GASCA</t>
  </si>
  <si>
    <t>Desarrollo a  EMC8</t>
  </si>
  <si>
    <t>O001037</t>
  </si>
  <si>
    <t>ANDRES CAMILO PARRA SUAREZ</t>
  </si>
  <si>
    <t>O001038</t>
  </si>
  <si>
    <t>FLOR ALICIA GALAN</t>
  </si>
  <si>
    <t>O001111</t>
  </si>
  <si>
    <t>JENNIFER HAILINTH MORENO</t>
  </si>
  <si>
    <t>O001222</t>
  </si>
  <si>
    <t>JIOVANNY SUAREZ GONZALEZ</t>
  </si>
  <si>
    <t>O001334</t>
  </si>
  <si>
    <t>ELKIN FERNANDO RIVERA GOMEZ</t>
  </si>
  <si>
    <t>O001337</t>
  </si>
  <si>
    <t xml:space="preserve">LEANDRO GOMEZ </t>
  </si>
  <si>
    <t>O001338</t>
  </si>
  <si>
    <t>DIVER ANDREY SUATERNA</t>
  </si>
  <si>
    <t>apx</t>
  </si>
  <si>
    <t>O001341</t>
  </si>
  <si>
    <t>JOHN FREDDY JIMENEZ</t>
  </si>
  <si>
    <t>O001384</t>
  </si>
  <si>
    <t>JUAN DAVID GONZALEZ MONROY</t>
  </si>
  <si>
    <t>O001421</t>
  </si>
  <si>
    <t>JULIAN ALBERTO HERRERA SALAZAR</t>
  </si>
  <si>
    <t>O001638</t>
  </si>
  <si>
    <t>ALEXANDER PLATA USCATEGUI</t>
  </si>
  <si>
    <t>O001639</t>
  </si>
  <si>
    <t>DAVID ANDRES RODRIGUEZ BAEZ</t>
  </si>
  <si>
    <t>O001644</t>
  </si>
  <si>
    <t>JOSE LUIS SARTA ALVAREZ</t>
  </si>
  <si>
    <t>O001647</t>
  </si>
  <si>
    <t>EDISON RAMÍREZ</t>
  </si>
  <si>
    <t>O001657</t>
  </si>
  <si>
    <t>DUVAN ALEJANDRO RAMIREZ ROMERO</t>
  </si>
  <si>
    <t>O001659</t>
  </si>
  <si>
    <t>CARLOS ARTURO PUENTES ZAMBRANO</t>
  </si>
  <si>
    <t>O001720</t>
  </si>
  <si>
    <t>JOHN FERNANDO AREVALO BERMUDEZ</t>
  </si>
  <si>
    <t>O001722</t>
  </si>
  <si>
    <t>EDWARD ALEXANDER DUQUE TAMAYO</t>
  </si>
  <si>
    <t>O001733</t>
  </si>
  <si>
    <t>JUAN MANUEL FRAILE ROJAS</t>
  </si>
  <si>
    <t>O001817</t>
  </si>
  <si>
    <t>ALEX EDWIN TOSCANO MAESTRE</t>
  </si>
  <si>
    <t>O001825</t>
  </si>
  <si>
    <t>JONATHAN FABIAN PAEZ TORRES</t>
  </si>
  <si>
    <t>O001827</t>
  </si>
  <si>
    <t>LEONOR AZUCENA GOMEZ RINCON</t>
  </si>
  <si>
    <t>O001828</t>
  </si>
  <si>
    <t>GILDARDO AGUIRRE RIOS</t>
  </si>
  <si>
    <t>O001850</t>
  </si>
  <si>
    <t>ANDERSSON SALINAS</t>
  </si>
  <si>
    <t>O001869</t>
  </si>
  <si>
    <t>CAMILO CABRA</t>
  </si>
  <si>
    <t>O001973</t>
  </si>
  <si>
    <t>MANUEL ESTEBAN MORENO</t>
  </si>
  <si>
    <t>O001975</t>
  </si>
  <si>
    <t>FELIPE ANDRES QUINTERO HIGUITA</t>
  </si>
  <si>
    <t>O001976</t>
  </si>
  <si>
    <t>OSCAR ANDRES CARDOZA OLANO</t>
  </si>
  <si>
    <t>O001977</t>
  </si>
  <si>
    <t>EDDY MAURICIO SUAREZ MOLINA</t>
  </si>
  <si>
    <t>O001978</t>
  </si>
  <si>
    <t>DANIEL ALIRIO ROA ARIZMENDI</t>
  </si>
  <si>
    <t>O001980</t>
  </si>
  <si>
    <t>YESID ALEXANDER ROA VEGA</t>
  </si>
  <si>
    <t>O002003</t>
  </si>
  <si>
    <t>MORENO ANGEL HEYDEN AUGUSTO</t>
  </si>
  <si>
    <t>O002008</t>
  </si>
  <si>
    <t xml:space="preserve">ANDRES ALBERTO ARIZA </t>
  </si>
  <si>
    <t>O002144</t>
  </si>
  <si>
    <t>JEISON EDUARDO HERNANDEZ</t>
  </si>
  <si>
    <t>O002162</t>
  </si>
  <si>
    <t>JUAN FELIPE MARTÍN PUERTO</t>
  </si>
  <si>
    <t>O002178</t>
  </si>
  <si>
    <t>SAMIR DE JESUS QUICENO BERMUDEZ</t>
  </si>
  <si>
    <t>O002304</t>
  </si>
  <si>
    <t>WILVER MARTINEZ ALVARADO</t>
  </si>
  <si>
    <t>O002373</t>
  </si>
  <si>
    <t>ESTEBAN ARIAS CARACAS</t>
  </si>
  <si>
    <t xml:space="preserve">O002373
</t>
  </si>
  <si>
    <t xml:space="preserve">ESTEBAN ARIAS CARACAS </t>
  </si>
  <si>
    <t>Desarrollador dedicado a la tecnología APX, y para el 1Q realizará actividades de análisis, diseño e implementación de la iniciativa.</t>
  </si>
  <si>
    <t>O002375</t>
  </si>
  <si>
    <t>CRISTIAN DAVID BELTRAN BARRANTES</t>
  </si>
  <si>
    <t>O002418</t>
  </si>
  <si>
    <t>FAIBER ORLANDO CAMELO ROMERO</t>
  </si>
  <si>
    <t>O002419</t>
  </si>
  <si>
    <t>JONATHAN GARZON PEÑA</t>
  </si>
  <si>
    <t>O002467</t>
  </si>
  <si>
    <t>ALBA FABIOLA GOMEZ RODRIGUEZ</t>
  </si>
  <si>
    <t>O002469</t>
  </si>
  <si>
    <t>JOSE AGUSTIN PALOMINO PARDO</t>
  </si>
  <si>
    <t>O002482</t>
  </si>
  <si>
    <t>SERGIO ANDRES SEPULVEDA CRUZ</t>
  </si>
  <si>
    <t>O002495</t>
  </si>
  <si>
    <t>JUAN DANIEL BERNAL MARIN</t>
  </si>
  <si>
    <t>MN-2091 Reingenieria proceso de CG apoyo a desarrollos</t>
  </si>
  <si>
    <t>O002496</t>
  </si>
  <si>
    <t>JESUS HUMBERTO MORENO ROJAS</t>
  </si>
  <si>
    <t>O002593</t>
  </si>
  <si>
    <t>TATIANA CAROLINA AVELLANEDA</t>
  </si>
  <si>
    <t>O002594</t>
  </si>
  <si>
    <t>CRISTIAN DAVID VARGAS SIERRA</t>
  </si>
  <si>
    <t>O002599</t>
  </si>
  <si>
    <t>LAURA VALENTINA SANDOVAL MARIN</t>
  </si>
  <si>
    <t>O002661</t>
  </si>
  <si>
    <t>NANCY CATHERINE HERNANDEZ</t>
  </si>
  <si>
    <t>O002666</t>
  </si>
  <si>
    <t>DAVID ESTEBAN ARAGON PEÑUELA</t>
  </si>
  <si>
    <t>O002707</t>
  </si>
  <si>
    <t xml:space="preserve">JOHN EDER IBAÑEZ LARA
</t>
  </si>
  <si>
    <t>O002757</t>
  </si>
  <si>
    <t>SUSANA ANDREA PARRA CABRERA</t>
  </si>
  <si>
    <t>O002934</t>
  </si>
  <si>
    <t>BRIAN MAURICIO TEJEDOR VARGAS</t>
  </si>
  <si>
    <t>O002998</t>
  </si>
  <si>
    <t>MARCO FABIAN ZABALA VILLANUEVA</t>
  </si>
  <si>
    <t>O003002</t>
  </si>
  <si>
    <t>EDISSON IOVANNI RODRIGUEZ SOCHA</t>
  </si>
  <si>
    <t>O003083</t>
  </si>
  <si>
    <t>WILMAR ALBERTO ROMERO</t>
  </si>
  <si>
    <t>O003129</t>
  </si>
  <si>
    <t>DIEGO ARIEL RODRIGUEZ</t>
  </si>
  <si>
    <t>O003229</t>
  </si>
  <si>
    <t>ARMANDO RAFAEL VASQUEZ ALTAMAR</t>
  </si>
  <si>
    <t>O003230</t>
  </si>
  <si>
    <t>O003231</t>
  </si>
  <si>
    <t>O003232</t>
  </si>
  <si>
    <t>O003245</t>
  </si>
  <si>
    <t>CRISTIAN RENE MENDEZ</t>
  </si>
  <si>
    <t>O003306</t>
  </si>
  <si>
    <t>LEIDY JOHANA RODRIGUEZ GARCIA</t>
  </si>
  <si>
    <t>O003310</t>
  </si>
  <si>
    <t>KAREN MARGARITA ARENILLA TRIGOS</t>
  </si>
  <si>
    <t>ASO/APX</t>
  </si>
  <si>
    <t>O003311</t>
  </si>
  <si>
    <t>VACA BERNAL JAIRO ALEXIS</t>
  </si>
  <si>
    <t>O003400</t>
  </si>
  <si>
    <t>JUAN SEBASTIAN COLMENARES RODRIGUEZ</t>
  </si>
  <si>
    <t>O003458</t>
  </si>
  <si>
    <t>MOISES ABRAHAM LUNA MOJICA</t>
  </si>
  <si>
    <t>Desarrollador dedicado a la tecnología ASO, y para el 1Q realizará actividades de análisis, diseño e implementación de la iniciativa.</t>
  </si>
  <si>
    <t>O003461</t>
  </si>
  <si>
    <t>CARLOS VICENTE SERRATO SERNA</t>
  </si>
  <si>
    <t>O003561</t>
  </si>
  <si>
    <t>JOSE MIGUEL PORTILLO ROJAS</t>
  </si>
  <si>
    <t>O003809</t>
  </si>
  <si>
    <t>DIEGO ANDRES GUTIERREZ MESA</t>
  </si>
  <si>
    <t>O004043</t>
  </si>
  <si>
    <t>DIEGO ALEJANDRO GALEANO GARZON</t>
  </si>
  <si>
    <t>O004277</t>
  </si>
  <si>
    <t>SERGIO ALEJANDRO DIAZ HOYOS</t>
  </si>
  <si>
    <t>O004417</t>
  </si>
  <si>
    <t>JULIAN CHAPARRO LATORRE</t>
  </si>
  <si>
    <t>O004597</t>
  </si>
  <si>
    <t>LUIS FELIPE VILLEGAS SANCHEZ</t>
  </si>
  <si>
    <t>O004604</t>
  </si>
  <si>
    <t>DARREN NICOLAS DURAN JAMAICA</t>
  </si>
  <si>
    <t>O004611</t>
  </si>
  <si>
    <t>ANDRES ARTURO QUINTERO</t>
  </si>
  <si>
    <t>O004612</t>
  </si>
  <si>
    <t xml:space="preserve">JUAN DAVID PRECIADO AGUILAR </t>
  </si>
  <si>
    <t xml:space="preserve">O004613 </t>
  </si>
  <si>
    <t>CESAR AUGUSTO MONTERO HERNANDEZ</t>
  </si>
  <si>
    <t>O004614</t>
  </si>
  <si>
    <t>ALEXANDER GONZALEZ PEÑA</t>
  </si>
  <si>
    <t>[WIMEB] - Inclusión Extractos Producto de Valores</t>
  </si>
  <si>
    <t>O004617</t>
  </si>
  <si>
    <t>ARLEX JULIAN RODRIGUEZ RINCON</t>
  </si>
  <si>
    <t>O004836</t>
  </si>
  <si>
    <t>JUANITA GARCIA CONTRERAS</t>
  </si>
  <si>
    <t>O004843</t>
  </si>
  <si>
    <t>WILSON ANDRES FRACON HERMIDA</t>
  </si>
  <si>
    <t>O004968</t>
  </si>
  <si>
    <t>DANIEL FERNANDO USECHE</t>
  </si>
  <si>
    <t>O005000</t>
  </si>
  <si>
    <t>ALEJANDRO LARA MONTANO</t>
  </si>
  <si>
    <t xml:space="preserve">O005003 </t>
  </si>
  <si>
    <t>GINNA GARCÍA LARA</t>
  </si>
  <si>
    <t>P002414</t>
  </si>
  <si>
    <t>DANIEL BERNAL</t>
  </si>
  <si>
    <t>P009920</t>
  </si>
  <si>
    <t>CAMILO ABELLA</t>
  </si>
  <si>
    <t>Pend</t>
  </si>
  <si>
    <t>STIVEN CARRILLO</t>
  </si>
  <si>
    <t>T000159</t>
  </si>
  <si>
    <t>BRYAN SMITH PATIÑO</t>
  </si>
  <si>
    <t>T000166</t>
  </si>
  <si>
    <t>LEONARDO ALBERTO JIMENEZ RINCON</t>
  </si>
  <si>
    <t>T000210</t>
  </si>
  <si>
    <t>CARLOS ALBERTO MENESES CAMPOHERMOSO</t>
  </si>
  <si>
    <t>T000274</t>
  </si>
  <si>
    <t>NICOLAS BOHORQUEZ LEGUIZAMO</t>
  </si>
  <si>
    <t>T000288</t>
  </si>
  <si>
    <t>DAVID FERNANDO MENDIETA</t>
  </si>
  <si>
    <t>T000361</t>
  </si>
  <si>
    <t>RODRIGO BARBIERI PEREZ</t>
  </si>
  <si>
    <t>T000410</t>
  </si>
  <si>
    <t>ANDRÉS ALEJANDRO FAJARDO TORRES</t>
  </si>
  <si>
    <t>T000595</t>
  </si>
  <si>
    <t>LAURA MILENA DUARTE</t>
  </si>
  <si>
    <t>T000603</t>
  </si>
  <si>
    <t>JEISSON ANDRES RUIZ MARTINEZ</t>
  </si>
  <si>
    <t>T000607</t>
  </si>
  <si>
    <t>OSCAR ANDRES BERNAL QUIROZ</t>
  </si>
  <si>
    <t>T001314</t>
  </si>
  <si>
    <t>JUAN DAVID GARZON</t>
  </si>
  <si>
    <t>T001323</t>
  </si>
  <si>
    <t>MARTIN BOURNONVILLE</t>
  </si>
  <si>
    <t>T001731</t>
  </si>
  <si>
    <t>JOHN ZAMORA</t>
  </si>
  <si>
    <t>T001732</t>
  </si>
  <si>
    <t>ALEJANDRO CANO</t>
  </si>
  <si>
    <t>T001858</t>
  </si>
  <si>
    <t>AGREDO LLANTEN NESTOR RAUL</t>
  </si>
  <si>
    <t>T001903</t>
  </si>
  <si>
    <t>DAVID SANTIAGO QUIJANO ORDOÑEZ</t>
  </si>
  <si>
    <t>T001910</t>
  </si>
  <si>
    <t>LIDA VIVIANA PINEDA</t>
  </si>
  <si>
    <t>T001912</t>
  </si>
  <si>
    <t>DIEGO ALEJANDRO PARRA NUÑEZ</t>
  </si>
  <si>
    <t>T002003</t>
  </si>
  <si>
    <t>DIEGO ALEJANDRO ASTAZIA</t>
  </si>
  <si>
    <t>T002010</t>
  </si>
  <si>
    <t>SAIR GIOVANNY GARCIA BEJARANO</t>
  </si>
  <si>
    <t>T002011</t>
  </si>
  <si>
    <t>YEIMY TATIANA ZAMORA GUEVARA</t>
  </si>
  <si>
    <t>T002204</t>
  </si>
  <si>
    <t>CARLOS ANDRES BETANCUR MARIN</t>
  </si>
  <si>
    <t>T002223</t>
  </si>
  <si>
    <t>HERMES FERNANDO AMARIS</t>
  </si>
  <si>
    <t>T002449</t>
  </si>
  <si>
    <t>MANUEL CAMILO SANCHEZ SEVILLA</t>
  </si>
  <si>
    <t>T002660</t>
  </si>
  <si>
    <t>JUAN ALEJANDRO RIOS PEREZ</t>
  </si>
  <si>
    <t>T002696</t>
  </si>
  <si>
    <t xml:space="preserve">JEANN CARLOS SEQUEA MENDEZ </t>
  </si>
  <si>
    <t>T002734</t>
  </si>
  <si>
    <t>MORENO MUNOZ EMMANUEL</t>
  </si>
  <si>
    <t>T002735</t>
  </si>
  <si>
    <t>CASTELLANOS RODRIGUEZ EDUARDO</t>
  </si>
  <si>
    <t>T002794</t>
  </si>
  <si>
    <t>OSVALDO JAVIER LOPEZ CASTILLO</t>
  </si>
  <si>
    <t>T002801</t>
  </si>
  <si>
    <t>DAVID GONZALO LARA DIAZ</t>
  </si>
  <si>
    <t>T002802</t>
  </si>
  <si>
    <t>DIEGO ANDRÉS MATEUS TRIANA</t>
  </si>
  <si>
    <t>T002859</t>
  </si>
  <si>
    <t>ANGIE DANIELA PERDOMO RAMIREZ (QA)</t>
  </si>
  <si>
    <t>T003286</t>
  </si>
  <si>
    <t>YURI VALENTINA MUÑOZ</t>
  </si>
  <si>
    <t>T003366</t>
  </si>
  <si>
    <t>LILIAN BEDUD RIOJAS GONZALEZ</t>
  </si>
  <si>
    <t xml:space="preserve">T003428
</t>
  </si>
  <si>
    <t xml:space="preserve">JUAN PABLO MORA </t>
  </si>
  <si>
    <t>T003439</t>
  </si>
  <si>
    <t>PAULA JANETH MORENO ESCOBAR</t>
  </si>
  <si>
    <t>T003442</t>
  </si>
  <si>
    <t>DIDIER ALFREDO PASUY CASTANO</t>
  </si>
  <si>
    <t>T003443</t>
  </si>
  <si>
    <t>DANIELA ALEJANDRA ROMERO CANGREJO</t>
  </si>
  <si>
    <t>T003497</t>
  </si>
  <si>
    <t>ADRIAN DUCUARA BENITEZ</t>
  </si>
  <si>
    <t>T003696</t>
  </si>
  <si>
    <t>LUIS LOZANO</t>
  </si>
  <si>
    <t>T003697</t>
  </si>
  <si>
    <t>BALLEN GAMBOA CRISTIAN</t>
  </si>
  <si>
    <t>T003701</t>
  </si>
  <si>
    <t>CORREA HURTADO KEVIN ALEJANDRO</t>
  </si>
  <si>
    <t>T003707</t>
  </si>
  <si>
    <t>ANDRES CAMILO RUIZ BRAVO</t>
  </si>
  <si>
    <t>T003920</t>
  </si>
  <si>
    <t>ANA MARIA MORENO RAMIREZ</t>
  </si>
  <si>
    <t xml:space="preserve"> </t>
  </si>
  <si>
    <t>T003924</t>
  </si>
  <si>
    <t>STEFAN NICOLAS APONTE MURCIA</t>
  </si>
  <si>
    <t>T004057</t>
  </si>
  <si>
    <t>NANCY YASMIDA REATIGA CARVAJAL</t>
  </si>
  <si>
    <t>T004062</t>
  </si>
  <si>
    <t>ANDRES FELIPE FANDINO QUECANA</t>
  </si>
  <si>
    <t>T004259</t>
  </si>
  <si>
    <t>FAIBER RUEDA</t>
  </si>
  <si>
    <t>T004295</t>
  </si>
  <si>
    <t>HAYLER JAIR CAICEDO</t>
  </si>
  <si>
    <t>T004335</t>
  </si>
  <si>
    <t>MANCIPE JUAN DAVID</t>
  </si>
  <si>
    <t>T004336</t>
  </si>
  <si>
    <t>JUAN ROMERO</t>
  </si>
  <si>
    <t>T004374</t>
  </si>
  <si>
    <t>JUAN SEBASTIAN MINA</t>
  </si>
  <si>
    <t>T004480</t>
  </si>
  <si>
    <t>ANDRES DAVID ARIAS</t>
  </si>
  <si>
    <t>T004481</t>
  </si>
  <si>
    <t>ACEVEDO SANCHEZ RUBEN DARIO</t>
  </si>
  <si>
    <t>T004566</t>
  </si>
  <si>
    <t>WALTHER MAURICIO GUERRERO</t>
  </si>
  <si>
    <t>T004574</t>
  </si>
  <si>
    <t>NICOLÁS ENRIQUE BUITRAGO ARANGO</t>
  </si>
  <si>
    <t>T004575</t>
  </si>
  <si>
    <t>DAVID SANDOVAL ARBOLEDA</t>
  </si>
  <si>
    <t>T004577</t>
  </si>
  <si>
    <t>PINEDA MAHECHA PABLO ENRIQUE</t>
  </si>
  <si>
    <t>T004584</t>
  </si>
  <si>
    <t>LYDI JOHANA MORENO LOPEZ</t>
  </si>
  <si>
    <t>T004725</t>
  </si>
  <si>
    <t xml:space="preserve">DANIEL ALEJANDRO ROA ACERO </t>
  </si>
  <si>
    <t>T004934</t>
  </si>
  <si>
    <t>LUIS EDUARDO FONSECA FAJARDO</t>
  </si>
  <si>
    <t>T004935</t>
  </si>
  <si>
    <t>MARIA CAMILA MOLINA ALBA</t>
  </si>
  <si>
    <t>T005122</t>
  </si>
  <si>
    <t>JULIAN ANDRES ARENAS</t>
  </si>
  <si>
    <t>T005152</t>
  </si>
  <si>
    <t>ANGELICA MARINA CASTILLA RENDON</t>
  </si>
  <si>
    <t>T005244</t>
  </si>
  <si>
    <t>TOVAR VELASQUEZ MEYER</t>
  </si>
  <si>
    <t>T005391</t>
  </si>
  <si>
    <t>YINET CATALINA TORRES (QA)</t>
  </si>
  <si>
    <t>T005393</t>
  </si>
  <si>
    <t>JUAN PABLO AHUMADA AVILA</t>
  </si>
  <si>
    <t>T005394</t>
  </si>
  <si>
    <t>EDER ALBERTO NIÑO MORA</t>
  </si>
  <si>
    <t>T005395</t>
  </si>
  <si>
    <t>LEIDY JOHANNA OSPINA RODRIGUEZ</t>
  </si>
  <si>
    <t>T005396</t>
  </si>
  <si>
    <t>ANDRES LEONARDO RAMIREZ SANCHEZ</t>
  </si>
  <si>
    <t>T005668</t>
  </si>
  <si>
    <t>ERICK SANTIAGO GUERRERO ROMERO</t>
  </si>
  <si>
    <t>T005725</t>
  </si>
  <si>
    <t>NARANJO WILMER FERNEY</t>
  </si>
  <si>
    <t>T005749</t>
  </si>
  <si>
    <t>YESICA DANIELA VARGAS ESPITIA</t>
  </si>
  <si>
    <t>T005765</t>
  </si>
  <si>
    <t>NITEEN KUMAR KANAIYA</t>
  </si>
  <si>
    <t>T005766</t>
  </si>
  <si>
    <t>IVÁN JONATHAN ROMERO MEDINA</t>
  </si>
  <si>
    <t>T005769</t>
  </si>
  <si>
    <t>CESAR ARGENIS RUANO HERNANDEZ</t>
  </si>
  <si>
    <t>T005929</t>
  </si>
  <si>
    <t>CAVIEDES JIMENEZ JULIAN FELIPE</t>
  </si>
  <si>
    <t>T005931</t>
  </si>
  <si>
    <t xml:space="preserve">DANIEL MAURICIO RIANO PEDRAZA
</t>
  </si>
  <si>
    <t>T006279</t>
  </si>
  <si>
    <t>JAIRO ANDRES OCHOA</t>
  </si>
  <si>
    <t>T006280</t>
  </si>
  <si>
    <t>FABIAN ANDRES VALBUENA ARAGON</t>
  </si>
  <si>
    <t>T006284</t>
  </si>
  <si>
    <t>ROMERO LITSY DAYANA</t>
  </si>
  <si>
    <t>T006637</t>
  </si>
  <si>
    <t>JHONATHAN MEDINA</t>
  </si>
  <si>
    <t>T006642</t>
  </si>
  <si>
    <t>CRISTIAN DAZA</t>
  </si>
  <si>
    <t>T006644</t>
  </si>
  <si>
    <t>RAFAEL BONET</t>
  </si>
  <si>
    <t>T006699</t>
  </si>
  <si>
    <t>JUAN DUQUE</t>
  </si>
  <si>
    <t>T006700</t>
  </si>
  <si>
    <t>VEGA ROZO, EMANUEL</t>
  </si>
  <si>
    <t>T007048</t>
  </si>
  <si>
    <t>MARIO PERILLA</t>
  </si>
  <si>
    <t>T007049</t>
  </si>
  <si>
    <t>ALVARO ARENAS SANCHEZ</t>
  </si>
  <si>
    <t>T007157</t>
  </si>
  <si>
    <t>JUAN SEBASTIAN BUSTOS</t>
  </si>
  <si>
    <t>T007470</t>
  </si>
  <si>
    <t>KAREN ANGELICA ANDRADE</t>
  </si>
  <si>
    <t xml:space="preserve">Soporte Aranda, apoyo administrativo </t>
  </si>
  <si>
    <t>T007488</t>
  </si>
  <si>
    <t>JUAN ESTEBAN ALARCON MIRANDA</t>
  </si>
  <si>
    <t>T007493</t>
  </si>
  <si>
    <t>BRIAN LEONARDO PEREZ RUBIANO</t>
  </si>
  <si>
    <t>T007566</t>
  </si>
  <si>
    <t>PINEDA GALLEGO ZAMIR ALEJANDRO</t>
  </si>
  <si>
    <t>T007567</t>
  </si>
  <si>
    <t>ERIKA LILIANA ESPINOSA DUQUE</t>
  </si>
  <si>
    <t>T007576</t>
  </si>
  <si>
    <t>JUAN CAMILO VELASQUEZ MANTILLA</t>
  </si>
  <si>
    <t>T007579</t>
  </si>
  <si>
    <t>NUBIA SANCHEZ</t>
  </si>
  <si>
    <t>T007581</t>
  </si>
  <si>
    <t>FHERNEY ANDRIAN SILVA</t>
  </si>
  <si>
    <t>T007646</t>
  </si>
  <si>
    <t>JOHN EDWIN RIASCOS CASTILLO</t>
  </si>
  <si>
    <t>apoyo estabilizacion poduccion equipo operacion</t>
  </si>
  <si>
    <t>T007650</t>
  </si>
  <si>
    <t>DANNY CAMILO BERNAL BERNAL</t>
  </si>
  <si>
    <t>desarrollos en curso, envio a QA S3 de bril</t>
  </si>
  <si>
    <t>T007662</t>
  </si>
  <si>
    <t>ADRIANA MARCELA RODRIGUEZ</t>
  </si>
  <si>
    <t>T007663</t>
  </si>
  <si>
    <t>ANDRES ALBERTO SAENZ CORDERO</t>
  </si>
  <si>
    <t>T007666</t>
  </si>
  <si>
    <t>TEDDY JEFERSON POVEDA SARAY</t>
  </si>
  <si>
    <t>T007669</t>
  </si>
  <si>
    <t xml:space="preserve">SANTIAGO GALLEGO BEDOYA
</t>
  </si>
  <si>
    <t>T007886</t>
  </si>
  <si>
    <t>SILVA ROMERO JULIAN DAVID</t>
  </si>
  <si>
    <t>T008150</t>
  </si>
  <si>
    <t>BRIGGTTE ALMENDRA BARBOZA NIETO</t>
  </si>
  <si>
    <t>T008176</t>
  </si>
  <si>
    <t>IRWIN WALTER ACOSTA CHAVARRI</t>
  </si>
  <si>
    <t>T008182</t>
  </si>
  <si>
    <t>ALEXANDRA BARBARA QUINDE DIAZ</t>
  </si>
  <si>
    <t>T008459</t>
  </si>
  <si>
    <t>ANDRÉS FELIPE FORERO</t>
  </si>
  <si>
    <t>T008491</t>
  </si>
  <si>
    <t>MARITZA CASTILLO NAVARRO</t>
  </si>
  <si>
    <t>T008565</t>
  </si>
  <si>
    <t>HENRY FABIAN ROJAS GALLEGO</t>
  </si>
  <si>
    <t xml:space="preserve">T008622  </t>
  </si>
  <si>
    <t>CAROLINA GARZÓN</t>
  </si>
  <si>
    <t>T009376</t>
  </si>
  <si>
    <t>CESAR LEANDRO PESTANA ROMERO</t>
  </si>
  <si>
    <t>T009381</t>
  </si>
  <si>
    <t>JAIBER DAIVISON NOVA</t>
  </si>
  <si>
    <t>T009396</t>
  </si>
  <si>
    <t>ZULMA ZORAYA  PENAGOS TAVERA</t>
  </si>
  <si>
    <t>T009653</t>
  </si>
  <si>
    <t>MEJIA PAULA VALENTINA</t>
  </si>
  <si>
    <t>T009692</t>
  </si>
  <si>
    <t>SEBASTIAN FELIPE ROJAS</t>
  </si>
  <si>
    <t>T009914</t>
  </si>
  <si>
    <t>MARIELA CUBIDES  VILLAQUIRAN (TORRE)</t>
  </si>
  <si>
    <t>T009935</t>
  </si>
  <si>
    <t>JORGE LUIS MONTEJO (TORRE)</t>
  </si>
  <si>
    <t>T009939</t>
  </si>
  <si>
    <t>THALIA VALENTINA MANRIQUE BELLO</t>
  </si>
  <si>
    <t>T010288</t>
  </si>
  <si>
    <t>YEISON ANDRES CONSUEGRA VEGA</t>
  </si>
  <si>
    <t>T010289</t>
  </si>
  <si>
    <t>EVER ALEXANDER BRAVO VERGARA</t>
  </si>
  <si>
    <t>T010294</t>
  </si>
  <si>
    <t>CARLOS ANDRES DE LA PAVA JIMENEZ</t>
  </si>
  <si>
    <t>Este Proyecto contiene  ASO, APX, CELLS, GCP</t>
  </si>
  <si>
    <t>T010295</t>
  </si>
  <si>
    <t>KAREN JULIETH VASQUEZ ROMERO</t>
  </si>
  <si>
    <t>T011110</t>
  </si>
  <si>
    <t>LUIS ALEJANDRO BURGOS</t>
  </si>
  <si>
    <t>T011273</t>
  </si>
  <si>
    <t>BRENDA LILIANA SEPÚLVEDA VEGA</t>
  </si>
  <si>
    <t>T011483</t>
  </si>
  <si>
    <t>JUAN SEBASTIAN RODRIGUEZ PARRA</t>
  </si>
  <si>
    <t>T011667</t>
  </si>
  <si>
    <t>MARTINEZ RODRIGUEZ ENRIQUE</t>
  </si>
  <si>
    <t>T011800</t>
  </si>
  <si>
    <t>LEIDY CATERINE ARIZA BALLESTEROS</t>
  </si>
  <si>
    <t>T011807</t>
  </si>
  <si>
    <t>DARLY FERNANDA SANDOVAL PLAZAS</t>
  </si>
  <si>
    <t>T011814</t>
  </si>
  <si>
    <t xml:space="preserve">JOHANA KATHERIN VASQUEZ QUEVEDO </t>
  </si>
  <si>
    <t>T012212</t>
  </si>
  <si>
    <t>MONICA ALEJANDRA QUINTERO PEREZ</t>
  </si>
  <si>
    <t>XEA0692</t>
  </si>
  <si>
    <t>ESPERANZA ORTEGA</t>
  </si>
  <si>
    <t>XP60574</t>
  </si>
  <si>
    <t>PEDRO MOLLEHUANCA TORRES</t>
  </si>
  <si>
    <t>XP66159</t>
  </si>
  <si>
    <t>ANDRES FELIPE GUTIERREZ BAÑOL</t>
  </si>
  <si>
    <t>MARISOL VEGA JOYA (QA)</t>
  </si>
  <si>
    <t>Dominio</t>
  </si>
  <si>
    <t>Proyecto</t>
  </si>
  <si>
    <t>% Dedicación</t>
  </si>
  <si>
    <t>Scrum (S/N)</t>
  </si>
  <si>
    <t>Sprint</t>
  </si>
  <si>
    <t>Verticales locales</t>
  </si>
  <si>
    <t>Sub Verticales locales</t>
  </si>
  <si>
    <t>Persona</t>
  </si>
  <si>
    <t>SDATOOL-36358 $ Pagos por Terceros (Mandato y/o Administración) - Información exógena DIAN - Resolución 0098 DIAN</t>
  </si>
  <si>
    <t>SDATOOL-33847 $ Resolución 0042 DIAN Documento Soporte</t>
  </si>
  <si>
    <t>SDATOOL-39334 $ GRM Col Reg - CE016-19 Modificados, reestructurados e incumplidos Leasing</t>
  </si>
  <si>
    <t>NOSDA $ BAU (Mantenimiento y peq. evolutivos)</t>
  </si>
  <si>
    <t>SDATOOL-41941 $ INTEGRACIÓN DE AS400 Y HOST Y ESTABILIZACIÓN Y RESTABLECIMIENTO DE lOS ENTORNOS DE LEASING AS400 DE DESARROLLO Y CALIDAD"</t>
  </si>
  <si>
    <t>SDATOOL-40438 $ CIRCULAR 032 del 2021 - REQUERIMIENTO FISCALIA GENERAL DE LA NACION</t>
  </si>
  <si>
    <t>SDATOOL-33846 $ SREP Data Quality- BCBS239 - Colombia</t>
  </si>
  <si>
    <t>SDATOOL-39783 $ Resolución 0124 de 2021 - Captura del base de Operaciones Anuladas en Leasing - Aplic. Leasing</t>
  </si>
  <si>
    <t>SDATOOL-7269 $ Core Data &amp; Gobierno de Datos</t>
  </si>
  <si>
    <t>SDATOOL-41938 $ GRM Col Reg - Ajuste Calificación Escalera</t>
  </si>
  <si>
    <t>SDATOOL-42061 $ Murex Limit Control Intradía EOD</t>
  </si>
  <si>
    <t>SDATOOL-42081 $ Evolutivos Migración Murex 3</t>
  </si>
  <si>
    <t>SDATOOL-38642 $ CUPON INTERMEDIO</t>
  </si>
  <si>
    <t>SDATOOL-42213 $ Creación nuevos conceptos recaudo impuestos DIAN - Ley 2277 del 2022 MinHacienda</t>
  </si>
  <si>
    <t>SDATOOL-35327 $ Impuestos 2021</t>
  </si>
  <si>
    <t>SDATOOL-37425 $ Recaudo DIAN Tarjetas de Crédito Propio Banco través del Botón de pagos PSE para los canales Banca Personas y Banca de Empresas</t>
  </si>
  <si>
    <t>SDATOOL-37055 $ Cash in- PSE - Plan Ascenso Privado</t>
  </si>
  <si>
    <t>SDATOOL-33408 $ Biocatch</t>
  </si>
  <si>
    <t>SDATOOL-38770 $ Marcación y cobro de comisiones PSE</t>
  </si>
  <si>
    <t>SDATOOL-37761 $ Plan transformación de procesos</t>
  </si>
  <si>
    <t>SDATOOL-39246 $ Nuevo tipo de identificación para extranjeros</t>
  </si>
  <si>
    <t>SDATOOL-31340 $ Intercambio Electrónico de Archivos ACH y Cenit</t>
  </si>
  <si>
    <t>SDATOOL-40528 $ ETPB - SENDA PAGOS</t>
  </si>
  <si>
    <t>SDATOOL-37116 $ COLPENSIONES ESTRUCTURA ONP</t>
  </si>
  <si>
    <t>HUMBERTO MALAGON VARGAS (Torre)</t>
  </si>
  <si>
    <t>JAIRO ARTURO BELTAN (Torre)</t>
  </si>
  <si>
    <t>JOHN ANDRES DIAZ AYALA (Torre)</t>
  </si>
  <si>
    <t>SDATOOL-41553 $ Servicios transaccionales 2023</t>
  </si>
  <si>
    <t>SDATOOL-37129 $ Conciliación Recaudo PSE</t>
  </si>
  <si>
    <t>JORGE LUIS MONTEJO (Torre)</t>
  </si>
  <si>
    <t>MANUEL ALEJANDRO MARENCO (Torre)</t>
  </si>
  <si>
    <t>MARIELA CUBIDES  VILLAQUIRAN (Torre)</t>
  </si>
  <si>
    <t>SDATOOL-41980 $ Modelo API´S Recaudo (CB´s)</t>
  </si>
  <si>
    <t>SDATOOL-42040 $ In House Bavaria</t>
  </si>
  <si>
    <t>SDATOOL-36547 $ PLAN MAYOR -PLAN MENOR. Plan ascenso Open Market</t>
  </si>
  <si>
    <t>SDATOOL-42106 $ Emisión Certificados Tributarios a proveedores en Operaciones Sin Recurso (Proyecto Normativo)</t>
  </si>
  <si>
    <t>SDATOOL-37086 $ Factura electrónica (radian)</t>
  </si>
  <si>
    <t>SDATOOL-37125 $ Factoring - IBR</t>
  </si>
  <si>
    <t>PAUL JONATHAN VALENCIA MUÑOZ</t>
  </si>
  <si>
    <t>SDATOOL-32520 $ CDD Based Reporting - Colombia</t>
  </si>
  <si>
    <t>SDATOOL-33907 $ Manejo Fiscal Prima o Descuento Renta Fija</t>
  </si>
  <si>
    <t>SDATOOL-35663 $ Capacidades FX GM</t>
  </si>
  <si>
    <t>SDATOOL-28728 $ Contratación electrónica/digital de empleados y Carpeta Virtual 2.0</t>
  </si>
  <si>
    <t>SDATOOL-40407 $ Envío de información sensible entes internos y externos</t>
  </si>
  <si>
    <t>SDATOOL-40406 $ Plan Mejora recobro de incapacidades</t>
  </si>
  <si>
    <t>SDATOOL-40706 $ Validaciones en Captura de Terceros Aplicativo TBM</t>
  </si>
  <si>
    <t>SDATOOL-40546 $ Mejoras Experiencia de Usuario TBM</t>
  </si>
  <si>
    <t>SDATOOL-41203 $ Obsolescencia Aplicativa 2023</t>
  </si>
  <si>
    <t>SDATOOL-37765 $ Optimización operativa S&amp;C</t>
  </si>
  <si>
    <t>Cardozo Castro Diana Carolina</t>
  </si>
  <si>
    <t>Carlos Andres De la pava Jimenez</t>
  </si>
  <si>
    <t>Cipagauta Rodriguez Edwin Guillermo</t>
  </si>
  <si>
    <t>Diego Andrés Mateus Triana</t>
  </si>
  <si>
    <t>Ever Alexander Bravo Vergara</t>
  </si>
  <si>
    <t>Manuel Camilo Sanchez Sevilla</t>
  </si>
  <si>
    <t>Montana Castro Camilo Arturo</t>
  </si>
  <si>
    <t>Quiroz Munoz Bryan Antonio</t>
  </si>
  <si>
    <t>Torres Laguado Juan Sebastian</t>
  </si>
  <si>
    <t>yeison andres consuegra vega</t>
  </si>
  <si>
    <t>SDATOOL-29998 $ Despliegue SAS AML en BBVA CO</t>
  </si>
  <si>
    <t>SDATOOL-39265 $ Migración Operaciones Fircosoft</t>
  </si>
  <si>
    <t>Usuario  lo presentara en el WG del 30/03/2023</t>
  </si>
  <si>
    <t>SDATOOL-39473 $ Actualización de Was 8 a was 9. RBA</t>
  </si>
  <si>
    <t>SDATOOL-39888 $ Proyecto - Evolutivo Sarlaft - Mejoras controles aplicativos</t>
  </si>
  <si>
    <t>SDATOOL-40984 $ Proyecto - Identificación e ingesta de las tablas necesarias en datio y la construcción del caso de uso para la identificación de vínculos - Colombia</t>
  </si>
  <si>
    <t>SDATOOL-41031 $ Proyecto - Shadow IT - Migración a un nuevo aplicativo de la herramienta SIGLAFT</t>
  </si>
  <si>
    <t>Pena Agudelo Rosario Elena</t>
  </si>
  <si>
    <t>Guzman Gonzalez Jorge Enrique</t>
  </si>
  <si>
    <t>Carlos Andres Cely Vergara</t>
  </si>
  <si>
    <t>Cesar Argenis Ruano Hernandez</t>
  </si>
  <si>
    <t>Diego Francisco Florez Diaz</t>
  </si>
  <si>
    <t>SDATOOL-40599 $ Proyecto - Circular 025</t>
  </si>
  <si>
    <t>Iván Jonathan Romero Medina</t>
  </si>
  <si>
    <t>Jeisson Andres Tequia Rincon</t>
  </si>
  <si>
    <t>Niteen Kumar Kanaiya</t>
  </si>
  <si>
    <t>SDATOOL-37411 $ Infraestructura reportes regulatorios</t>
  </si>
  <si>
    <t>SDATOOL-37681 $ Ciclo 2 - Resolución 0098 de Octubre 28 de 2020 - Reportes información Exógena Base Impuestos</t>
  </si>
  <si>
    <t>SDATOOL-38583 $ FUSIONES Y ACTUALIZACION DE IDENTIFICACIONES</t>
  </si>
  <si>
    <t>SDATOOL-40003 $ Resolución 0124 DIAN 2021 - Créditos Hipotecarios para remodelación de Vivienda</t>
  </si>
  <si>
    <t>SDATOOL-40225 $ Resolución 0124 Dian - 2021 - Ajustes para Reporte de Información Exógena año gravable 2022 - Ciclo 1</t>
  </si>
  <si>
    <t>SDATOOL-39823 $ REPORTERIA PROVISIONES _ S1, S2, S3, SA y CxP en Divisa</t>
  </si>
  <si>
    <t>SDATOOL-40191 $ Ajuste apuntes manuales CC0112 – GPS</t>
  </si>
  <si>
    <t>SDATOOL-37184 $ Actualizaciones Aplicativo ADA V2</t>
  </si>
  <si>
    <t>SDATOOL-40274 $ CIRCULAR 033 de 2021-SFC</t>
  </si>
  <si>
    <t>SDATOOL-42059 $ Arrendamiento tecnológico Real State - GPS</t>
  </si>
  <si>
    <t>SDATOOL-33862 $ NDoD Accounting</t>
  </si>
  <si>
    <t>SDATOOL-40869 $ Herramientas Regulatorias Regionales (FINREP/AE y Liquidez) 2023</t>
  </si>
  <si>
    <t>SDATOOL-40529 $ Aplicativos Finanzas - 2023</t>
  </si>
  <si>
    <t>SDATOOL-40736 $ Curvas de Fondeo por Producto (ALM)</t>
  </si>
  <si>
    <t>Andres Francisco Duarte Sanchez</t>
  </si>
  <si>
    <t>Andres Leonardo Ramirez Sanchez</t>
  </si>
  <si>
    <t>Eder Alberto Niño Mora</t>
  </si>
  <si>
    <t>Jeisson Steven Rincon Mellizo</t>
  </si>
  <si>
    <t>Juan Pablo Ahumada Avila</t>
  </si>
  <si>
    <t>Leidy Johanna Ospina Rodriguez</t>
  </si>
  <si>
    <t>Luis Alberto Caldera Chavez</t>
  </si>
  <si>
    <t>Orlando Salvador Mora Andrade</t>
  </si>
  <si>
    <t>Oscar Manuel Diaz Fique</t>
  </si>
  <si>
    <t>Ronald David Lara Hernandez</t>
  </si>
  <si>
    <t>Walther Mauricio Guerrero</t>
  </si>
  <si>
    <t>Victor Hans De La Cruz Quispe</t>
  </si>
  <si>
    <t>SDATOOL-37111 $ Cuenta Maestra Adres</t>
  </si>
  <si>
    <t>SDATOOL-38481 $ Pricing Pasivos (optimización portafolio) - Plan Ascenso Cross Sell</t>
  </si>
  <si>
    <t>SDATOOL-40771 $ Resolución Cuentas Maestras y Cuentas Maestras para Pagos Electrónicos (PSE): Anexo Técnico - Nuevo reporte de información</t>
  </si>
  <si>
    <t>Soporte a certificación</t>
  </si>
  <si>
    <t>SDATOOL-42039 $ Cuenta digital pensional</t>
  </si>
  <si>
    <t>SDATOOL-38419 $ Contratación cuenta en línea en Glomo</t>
  </si>
  <si>
    <t>SDATOOL-41797 $ Optimización Cuenta en línea Web</t>
  </si>
  <si>
    <t>SDATOOL-37344 $ Automatización Operaciones en Efectivo</t>
  </si>
  <si>
    <t>SDATOOL-39383 $ AJUSTES HIGIENICOS DE PORTAFOLIO + REPORTE CENTRALIZADO DE NÓMINA</t>
  </si>
  <si>
    <t>SDATOOL-40545 $ GRM Col - Mejoras Evolutivas de Aplicativos y Herramientas de Riesgos 2023</t>
  </si>
  <si>
    <t>SDATOOL-40656 $ GRM Col - Recuperación sobre cuentas pensionales</t>
  </si>
  <si>
    <t>SDATOOL-42393 $ Ahorro Fijo Digital Clientes</t>
  </si>
  <si>
    <t>SDATOOL-41950 $ Migracion GMF-MQ Series</t>
  </si>
  <si>
    <t>SDATOOL-37753 $ Plan de transformación de operaciones 2022</t>
  </si>
  <si>
    <t>Soporte a certficación y post-implantación</t>
  </si>
  <si>
    <t>SDATOOL-33065 $ Remesas BTS</t>
  </si>
  <si>
    <t>SDATOOL-41029 $ IATAPAY</t>
  </si>
  <si>
    <t>SDATOOL-41766 $ DUALIDAD CUENTAS AFC NÁCAR HOST Y CANALES DIGITALES</t>
  </si>
  <si>
    <t>SDATOOL-39506 $ Cuenta Sostenible</t>
  </si>
  <si>
    <t>SDATOOL-28473 $ GRM Col - TMP Cobranzas - Módulo control acuerdos de pago</t>
  </si>
  <si>
    <t>SDATOOL-40658 $ GRM Col - Cronos Collections - Estrategia</t>
  </si>
  <si>
    <t>SDATOOL-29029 $ EBA Guidelines (NDoD/PD/LGD) - Colombia</t>
  </si>
  <si>
    <t>SDATOOL-42098 $ GRM Col CRONOS Batch - Campañas SMeS</t>
  </si>
  <si>
    <t>SDATOOL-39836 $ Vivienda digital fase III</t>
  </si>
  <si>
    <t>SDATOOL-41457 $ NGA - Colombia. EWS (ARCE)</t>
  </si>
  <si>
    <t>SDATOOL-39272 $ GRM-Col-Cambio servicio APL (Aportes en línea)</t>
  </si>
  <si>
    <t>Juan camilo velasquez mantilla</t>
  </si>
  <si>
    <t>SDATOOL-39463 $ GRM Col - Actualización Versión Power Curve.</t>
  </si>
  <si>
    <t>SDATOOL-39354 $ My business Open Pay - Plan Ascenso Mercurio</t>
  </si>
  <si>
    <t>SDATOOL-41930 $ FX en GEMA</t>
  </si>
  <si>
    <t>SDATOOL-40676 $ Contratación y uso de mPOS desde APPs BBVA</t>
  </si>
  <si>
    <t>SDATOOL-32905 $ Global Enterprises Mobile App (GEMA)</t>
  </si>
  <si>
    <t>SDATOOL-42211 $ Onboarding cash management Netcash/Gema</t>
  </si>
  <si>
    <t>SDATOOL-40457 $ SENDA (Base)</t>
  </si>
  <si>
    <t>SDATOOL-41750 $ Single APP</t>
  </si>
  <si>
    <t>Fabian andres valbuena aragon</t>
  </si>
  <si>
    <t>SDATOOL-39840 $ BBVA Valores en Canales (Net Cash / Net)</t>
  </si>
  <si>
    <t>SDATOOL-38080 $ Seguros - LIS Coaseguro Aceptado Autos</t>
  </si>
  <si>
    <t>SDATOOL-42449 $ Seguros - LIS Coaseguro Aceptado Autos Fase 2</t>
  </si>
  <si>
    <t>SDATOOL-42264 $ Seguros - Calculo Extra prima valores superiores a 9.999.999</t>
  </si>
  <si>
    <t>SDATOOL-42099 $ Seguros - Cuota Segura/Créditos de libranza (SEGUROS)</t>
  </si>
  <si>
    <t>SDATOOL-40762 $ Seguros - IFRS 17 Catch up</t>
  </si>
  <si>
    <t>SDATOOL-41962 $ Seguros - Sistema de Administración de Pensiones de Rentas Vitalicias</t>
  </si>
  <si>
    <t>SDATOOL-37170 $ Seguros - LIS Coaseguro en Seguros Libres</t>
  </si>
  <si>
    <t>SDATOOL-34752 $ Seguros - Reportería y Data Quality</t>
  </si>
  <si>
    <t>SDATOOL-38225 $ Seguros - Mandatorios 2022</t>
  </si>
  <si>
    <t>SDATOOL-40300 $ Seguros - Reintegro automático a tarjetas crédito</t>
  </si>
  <si>
    <t>SDATOOL-36501 $ Seguros - Cobro de seguros libres en créditos - Desempleo Fase 2</t>
  </si>
  <si>
    <t>SDATOOL-40767 $ Seguros - Migración FW / Auditoria (Front)</t>
  </si>
  <si>
    <t>SDATOOL-42265 $ Seguros - Verificación de Identidad CE27</t>
  </si>
  <si>
    <t>SDATOOL-40764 $ Seguros - AXA F2</t>
  </si>
  <si>
    <t>SDATOOL-34750 $ Seguros - Suscripción/Siniestros Seguros Licitación</t>
  </si>
  <si>
    <t>Andres Camilo Ruiz Bravo</t>
  </si>
  <si>
    <t>SDATOOL-35656 $ Cupos y límites</t>
  </si>
  <si>
    <t>SDATOOL-40710 $ GRM Col - Cronos - Plan Ascenso - Mejoras CAP Pymes Fase II</t>
  </si>
  <si>
    <t>SDATOOL-38443 $ Arce Empresas Colombia</t>
  </si>
  <si>
    <t>Danilo Cusba Pulido</t>
  </si>
  <si>
    <t>SDATOOL-39826 $ GRM Col- Plan Ascenso - Mejoras en CAP Pymes y disponibilización HdC</t>
  </si>
  <si>
    <t>Eddy Hernando Bogota Cangrejo</t>
  </si>
  <si>
    <t>Espitia Montilla William Ricardo</t>
  </si>
  <si>
    <t>Fuentes Rojas Jose David</t>
  </si>
  <si>
    <t>Paula Janeth moreno Escobar</t>
  </si>
  <si>
    <t>Rey Orozco Cristian Ivan</t>
  </si>
  <si>
    <t>Rigoberto Rios Hueso</t>
  </si>
  <si>
    <t>Stefan Nicolas Aponte Murcia</t>
  </si>
  <si>
    <t>Juan Carlos Pardo Hernandez</t>
  </si>
  <si>
    <t>Melissa Correa Rios</t>
  </si>
  <si>
    <t>Kleiver Joan Martinez Peña</t>
  </si>
  <si>
    <t>Jeferson Daniel Agudelo sierra</t>
  </si>
  <si>
    <t>Andres Felipe Quintero Salazar</t>
  </si>
  <si>
    <t>SDATOOL-39348 $ tarjeta de crédito Open Market Fallback product</t>
  </si>
  <si>
    <t>David Sandoval Arboleda</t>
  </si>
  <si>
    <t>Luis Eduardo Fonseca Fajardo</t>
  </si>
  <si>
    <t>Angie Chiguasuque</t>
  </si>
  <si>
    <t>Ginna García Lara</t>
  </si>
  <si>
    <t>David Santiago Quijano Ordoñez</t>
  </si>
  <si>
    <t>Edgar Andrés Garzon Rangel</t>
  </si>
  <si>
    <t>Lautaro Nahuel Cuello</t>
  </si>
  <si>
    <t>Manuel Augusto Vilchez Maticorena</t>
  </si>
  <si>
    <t>Santiago Galindo Gutierrez</t>
  </si>
  <si>
    <t>Stephany L Ceron Salas</t>
  </si>
  <si>
    <t>Jairo Andres Ochoa</t>
  </si>
  <si>
    <t>Desarrollador Front</t>
  </si>
  <si>
    <t>SDATOOL-36048 $ Repositorio flujos ventas digitales flujos - Plan Ascenso Open Market</t>
  </si>
  <si>
    <t>Carlos Alberto Meneses Campohermoso</t>
  </si>
  <si>
    <t>Lina Vanessa Rincón Prada</t>
  </si>
  <si>
    <t>Martin Bournonville</t>
  </si>
  <si>
    <t>Santiago Pulido Calderon</t>
  </si>
  <si>
    <t>Desarrollador Front 1</t>
  </si>
  <si>
    <t>Desarrollador Front 2</t>
  </si>
  <si>
    <t>Desarrollador APX 1</t>
  </si>
  <si>
    <t>Desarrollador APX 2</t>
  </si>
  <si>
    <t>Tester 1</t>
  </si>
  <si>
    <t>Tester 2</t>
  </si>
  <si>
    <t>Hayler Jair Caicedo</t>
  </si>
  <si>
    <t>Nubia Sanchez</t>
  </si>
  <si>
    <t>Desarrollador ASO</t>
  </si>
  <si>
    <t>Desarrollador HOST</t>
  </si>
  <si>
    <t>SDATOOL-39197 $ Tealeaf SaaS</t>
  </si>
  <si>
    <t>Diego Alejandro Galeano garzon</t>
  </si>
  <si>
    <t>Luz Carola Giraldo García</t>
  </si>
  <si>
    <t>Andrés Alejandro Fajardo Torres</t>
  </si>
  <si>
    <t>SDATOOL-36548 $ Optimización consumo web - Plan ascenso Open Market</t>
  </si>
  <si>
    <t>Jhon Alexander Santana</t>
  </si>
  <si>
    <t>Juliana Corredor</t>
  </si>
  <si>
    <t>Cristian Steven Abril</t>
  </si>
  <si>
    <t>SDATOOL-34910 $ Libranza Digital</t>
  </si>
  <si>
    <t>SDATOOL-40536 $ Google analitycs 4</t>
  </si>
  <si>
    <t>SDATOOL-39384 $ Abonos a préstamos por canales</t>
  </si>
  <si>
    <t>SDATOOL-28278 $ GRM Col - TMP Cobranzas - Pago en Canales Alternativos</t>
  </si>
  <si>
    <t>SDATOOL-40670 $ Plan CRM: Mejoras DWP Jurídicos (Pymes, Empresas,Gobiernos)</t>
  </si>
  <si>
    <t>SDATOOL-40435 $ Cuota Segura créditos de libranza</t>
  </si>
  <si>
    <t>SDATOOL-36522 $ Libranza E2E digital Fase III - Plan Ascenso Privado</t>
  </si>
  <si>
    <t>SDATOOL-36560 $ Pricing de libranza - Plan Ascenso Open Market</t>
  </si>
  <si>
    <t>SDATOOL-41748 $ Cuota Fija - Tasa Variable para créditos de Consumo y Vehículo</t>
  </si>
  <si>
    <t>SDATOOL-40494 $ Control de cúmulos de seguros para todas las lineas del activo</t>
  </si>
  <si>
    <t>SDATOOL-40268 $ CLASIFICACION DE TIPO DE PRODUCTOR -CIRCULAR 48 FINAGRO</t>
  </si>
  <si>
    <t>SDATOOL-40555 $ ADELANTO DE VENTA EN GEMA</t>
  </si>
  <si>
    <t>SDATOOL-39358 $ Crédito Virtual</t>
  </si>
  <si>
    <t>SDATOOL-37483 $ Aplicativos Finanzas - 2022</t>
  </si>
  <si>
    <t>Atiende dentro del programa BCBS239 3 proyectos</t>
  </si>
  <si>
    <t>SDATOOL-42201 $ GRM Col - Cronos Collections - Pago Dirigido Préstamos</t>
  </si>
  <si>
    <t>SDATOOL-35697 $ GRM - Garantías Hipotecarias - Ingesta de Datos</t>
  </si>
  <si>
    <t>SDATOOL-38736 $ Creación Tercero Miembro No Liquidador CRCC</t>
  </si>
  <si>
    <t>SDATOOL-39217 $ Aplicativos Tesorería 2022</t>
  </si>
  <si>
    <t>SDATOOL-41308 $ Aplicativos Tesorería 2023</t>
  </si>
  <si>
    <t>SDATOOL-41206 $ Ordenes de pago recibidas (OPR)</t>
  </si>
  <si>
    <t>SDATOOL-38735 $ Dynamic Pricing</t>
  </si>
  <si>
    <t>SDATOOL-39347 $ Alertas Personalizadas FX</t>
  </si>
  <si>
    <t>SDATOOL-31461 $ Liquidación Swaps Cross Crurrency Delivery</t>
  </si>
  <si>
    <t>SDATOOL-41205 $ Tagging Netcash, Net, e-markets</t>
  </si>
  <si>
    <t>SDATOOL-37342 $ SWIFT ISO20022 Ajuste de mensajes Swift a la nueva estructura</t>
  </si>
  <si>
    <t>SDATOOL-41737 $ Moneda Extranjera - Inclusión en SIGDOC</t>
  </si>
  <si>
    <t>SDATOOL-36047 $ Bloqueo Sobregiro para Pago Capital e Intereses</t>
  </si>
  <si>
    <t>SDATOOL-40269 $ Actualización y transmisión Declaraciones de Cambio – Banco de la República Abril 2022.</t>
  </si>
  <si>
    <t>SDATOOL-40482 $ Incluir tasa ponderada en Adquirencia Onboarding digital - Netcash</t>
  </si>
  <si>
    <t>SDATOOL-40242 $ Fiduciaria - Obsolescencia software Base aplicativo MIDAS</t>
  </si>
  <si>
    <t>Oscar Ivan Muñoz Alvarez</t>
  </si>
  <si>
    <t>Soraida Cujavante Sierra</t>
  </si>
  <si>
    <t>Elkin David Fuentes Rodríguez</t>
  </si>
  <si>
    <t>Celso Hernández Torres</t>
  </si>
  <si>
    <t>SDATOOL-39283 $ Fiduciaria - Obsolescencia software Base aplicativo Central</t>
  </si>
  <si>
    <t>Luis Rodrigo Ulloa Marin</t>
  </si>
  <si>
    <t>SDATOOL-40639 $ Fiduciaria -Obsolecencia Migración Softoken FIDUSAP R2 a NextGen</t>
  </si>
  <si>
    <t>SDATOOL-40548 $ Fiduciaria - Obsolecencia aplicativa, infraestructura e Insider aplicativo FIDUSAP</t>
  </si>
  <si>
    <t>Brenda Liliana Sepúlveda Vega</t>
  </si>
  <si>
    <t>Jenny Martinez Lopez</t>
  </si>
  <si>
    <t>SDATOOL-40552 $ Fiduciaria - PSE Procesamiento y confirmación de pagos en línea</t>
  </si>
  <si>
    <t>Hugo Ferney Prieto Posso</t>
  </si>
  <si>
    <t>SDATOOL-40812 $ Fiduciaria - Cambio de operador tecnologico para los documentos electronicos en la sociedad</t>
  </si>
  <si>
    <t>Donoban Ricardo Figueredo Piragauta</t>
  </si>
  <si>
    <t>SDATOOL-40672 $ Plan CRM: Mejoras AUG (Banca Comercial y CSF) Equipo A</t>
  </si>
  <si>
    <t>SDATOOL-40690 $ Plan CRM: Mejoras AUG (Banca Comercial y CSF) Equipo B</t>
  </si>
  <si>
    <t>ASO , APX</t>
  </si>
  <si>
    <t>SDATOOL-37121 $ Plan CRM: Seguimiento al pipeline</t>
  </si>
  <si>
    <t>ADRIÁN RICARDO ROJAS VILLEGAS</t>
  </si>
  <si>
    <t>Diego Elejalde Cifuentes</t>
  </si>
  <si>
    <t>SDATOOL-37294 $ Gestión de Tráfico en Oficinas</t>
  </si>
  <si>
    <t>Cely Gutierrez Anderson Sneider</t>
  </si>
  <si>
    <t>Cuervo Duran Francisco Hernan</t>
  </si>
  <si>
    <t>Gonzalez Cardenas Oscar</t>
  </si>
  <si>
    <t>SDATOOL-41879 $ Apertura de oficina Mitu</t>
  </si>
  <si>
    <t>Jimenez Garcia Ariel Andres</t>
  </si>
  <si>
    <t>MARIAMM YULIETH ALVAREZ</t>
  </si>
  <si>
    <t>Moreno Castellanos Omar Alfonso</t>
  </si>
  <si>
    <t>Navarro Torres Javier Dario</t>
  </si>
  <si>
    <t>SDATOOL-42192 $ Transfiya en GloMo</t>
  </si>
  <si>
    <t>Sebastian Ayala</t>
  </si>
  <si>
    <t>Daniel Antonio Aguilar</t>
  </si>
  <si>
    <t>DESARROLLADOR ASO</t>
  </si>
  <si>
    <t>DESARROLLADOR APX</t>
  </si>
  <si>
    <t>DESARROLLADOR FRONT</t>
  </si>
  <si>
    <t>Levi Becerra</t>
  </si>
  <si>
    <t>DESARROLLO HOST</t>
  </si>
  <si>
    <t>TESTER QA</t>
  </si>
  <si>
    <t>SDATOOL-9053 $ GloMo Colombia</t>
  </si>
  <si>
    <t>SDATOOL-41759 $ Tips de prevención Ingeniería Social</t>
  </si>
  <si>
    <t>SDATOOL-40623 $ Pago productos con PSE desde GloMo</t>
  </si>
  <si>
    <t>DESARROLLO ASO</t>
  </si>
  <si>
    <t>SDATOOL-40533 $ GloMo Target</t>
  </si>
  <si>
    <t>Esteban Linares</t>
  </si>
  <si>
    <t xml:space="preserve">DESARROLLADOR FRONT </t>
  </si>
  <si>
    <t>SDATOOL-41881 $ Bloqueo/Desbloqueo Soft-Hard</t>
  </si>
  <si>
    <t>Brayan Peña</t>
  </si>
  <si>
    <t>TBD - ANS</t>
  </si>
  <si>
    <t>Alejandro Cano</t>
  </si>
  <si>
    <t>Rafael Bonet</t>
  </si>
  <si>
    <t>Jhonathan Medina</t>
  </si>
  <si>
    <t>John Zamora</t>
  </si>
  <si>
    <t>SDATOOL-41709 $ Fraccionamiento de transacciones en CBs</t>
  </si>
  <si>
    <t>SDATOOL-39871 $ Cbs Gelsa Paga todo</t>
  </si>
  <si>
    <t>SDATOOL-40581 $ Corresponsal Bancario Ya Ganaste</t>
  </si>
  <si>
    <t>SDATOOL-41706 $ Renovación ATMs 2023</t>
  </si>
  <si>
    <t>SDATOOL-33947 $ Sinergias Bancamia</t>
  </si>
  <si>
    <t>SDATOOL-39870 $ Front - Unificación de pantallas Contac Center</t>
  </si>
  <si>
    <t>SW JAM</t>
  </si>
  <si>
    <t>SW JAM, ASO, COBOL</t>
  </si>
  <si>
    <t>SDATOOL-32991 $ Comisión de Acceso a ATM's</t>
  </si>
  <si>
    <t>SDATOOL-40515 $ Acción de auditoria de Cobro de Comisiones</t>
  </si>
  <si>
    <t>SDATOOL-37100 $ Soluciones de voz/Internalización del IVR - Plan Ascenso Privado</t>
  </si>
  <si>
    <t>ADRIAN ROJAS</t>
  </si>
  <si>
    <t>SDATOOL-36556 $ Parthnerships - Tarjeta de crédito en punto de venta físico aliados</t>
  </si>
  <si>
    <t>SDATOOL-37057 $ Pagos QR - Entre cuentas Redeban - Plan Ascenso Mercurio</t>
  </si>
  <si>
    <t>SDATOOL-37061 $ Plan de Lealtad Comecios -Plan Ascenso Autónomos</t>
  </si>
  <si>
    <t>SDATOOL-38447 $ GRM Col - Condonación y bajas automáticas en Medios de Pago</t>
  </si>
  <si>
    <t>SDATOOL-41757 $ AJUSTE AUTOMATIZACION CONCILIACION ARA</t>
  </si>
  <si>
    <t>FRANK HERRAN GARZON</t>
  </si>
  <si>
    <t>HUMBERTO MALAGON VARGAS</t>
  </si>
  <si>
    <t>SDATOOL-40613 $ Códigos MAC</t>
  </si>
  <si>
    <t>SDATOOL-38589 $ Mandatorio tokenización</t>
  </si>
  <si>
    <t>SDATOOL-41726 $ EXTRACUPO TARJETA DE CREDITO</t>
  </si>
  <si>
    <t>SDATOOL-40455 $ Comisión porcentaje compras internacionales Mastercard y Visa Fase 2</t>
  </si>
  <si>
    <t>SDATOOL-40384 $ Cobrar intereses corrientes entre la transacción y la pre-cancelación</t>
  </si>
  <si>
    <t>SDATOOL-40382 $ NUEVA Eliminar el PAN ( Orange 1.0)</t>
  </si>
  <si>
    <t>SDATOOL-40442 $ M4M - Tokenización Mastercard</t>
  </si>
  <si>
    <t>SDATOOL-37427 $ Adquirencia Premium</t>
  </si>
  <si>
    <t>SDATOOL-40468 $ Mapa de comercios adquirencia - Fase 2</t>
  </si>
  <si>
    <t>SDATOOL-40469 $ Reversión reintegros parciales Adquirencia - Ajustes de comercio LATAM</t>
  </si>
  <si>
    <t>SDATOOL-40295 $ Tokenización COF</t>
  </si>
  <si>
    <t>SDATOOL-39785 $ Segmentación contratos ADN</t>
  </si>
  <si>
    <t>SDATOOL-40414 $ Conciliación adquirencia plus</t>
  </si>
  <si>
    <t>SDATOOL-40476 $ Conexión Directa con las Franquicias Visa y Mastercard</t>
  </si>
  <si>
    <t>SDATOOL-38489 $ Horizon BTGR - Colombia</t>
  </si>
  <si>
    <t>JOAN CAMILO CHIVATA SANCHEZ</t>
  </si>
  <si>
    <t>JUAN SEBASTIAN AYALA RENDON</t>
  </si>
  <si>
    <t>BRAYAN NICOLAS PEÑA QUINTANA</t>
  </si>
  <si>
    <t>Cristian Camilo Rincon</t>
  </si>
  <si>
    <t>SDATOOL-39282 $ Fiduciaria - Alta y domiciliación Fondos de inversión jurídicos en Gema</t>
  </si>
  <si>
    <t>Jorge Anibal Blanco Meneses</t>
  </si>
  <si>
    <t>Juan Camilo Ladino Guezguan</t>
  </si>
  <si>
    <t>Jayson Ricardo Becerra Gomez</t>
  </si>
  <si>
    <t>SDATOOL-39555 $ Fiduciaria - Vinculación digital de clientes a través de productos inmobiliarios</t>
  </si>
  <si>
    <t>SDATOOL-39572 $ Fiduciaria - Autogestión documental en la vinculación productos inmobiliarios</t>
  </si>
  <si>
    <t>Oscar Fernando Real Bautista</t>
  </si>
  <si>
    <t>SDATOOL-40813 $ Fiduciaria - Autogestion Usuarios - AI Pagos End to End</t>
  </si>
  <si>
    <t>Alexander Lopez Fonseca</t>
  </si>
  <si>
    <t>SDATOOL-40012 $ Fiduciaria - Obsolecencia aplicativa para los módulos de rendición de cuentas, Telefónica Factoring y EEFF</t>
  </si>
  <si>
    <t>Donoba Ricardo Figueredo</t>
  </si>
  <si>
    <t>Ricardo Pachon</t>
  </si>
  <si>
    <t>Diana Rubiano</t>
  </si>
  <si>
    <t>Maria Victoria Ruiz</t>
  </si>
  <si>
    <t>Adriana Yamile Rodriguez</t>
  </si>
  <si>
    <t>Andres Felipe Mora</t>
  </si>
  <si>
    <t>Jean paul patiño</t>
  </si>
  <si>
    <t>Jhenny meneses</t>
  </si>
  <si>
    <t>Juan stevens guzman</t>
  </si>
  <si>
    <t>Michael escobar</t>
  </si>
  <si>
    <t>Nestor Eduardo Torres Gonzalez</t>
  </si>
  <si>
    <t>Jonathan Molina Fuentes</t>
  </si>
  <si>
    <t>Nicolas Moreno Arévalo</t>
  </si>
  <si>
    <t>Angie Natalia Gonzalez</t>
  </si>
  <si>
    <t>SDATOOL-36558 $ Transfiya:Transferencias interbancarias inmediatas - Plan Ascenso Privado</t>
  </si>
  <si>
    <t>SDATOOL-38527 $ Pagaré Electrónico en flujos de Contratación digital</t>
  </si>
  <si>
    <t>SDATOOL-39834 $ Recaudo en Línea Secretaría de Hacienda Distrital - Fase II: Solución paramétrica de recaudos para la inclusión de 7 formularios tributarios en Canales electrónicos Web y Corresponsal Bancario.</t>
  </si>
  <si>
    <t>DIANA CAROLINA ARTEAGA</t>
  </si>
  <si>
    <t>JOSE PERFECTO</t>
  </si>
  <si>
    <t>SDATOOL-34157 $ Evolutivo Parthnership - Crédito en punto de venta de Aliados</t>
  </si>
  <si>
    <t>ANDRES ALEJANDRO FAJARDO TORRES</t>
  </si>
  <si>
    <t>SDATOOL-34887 $ Vivienda Digital Open Market</t>
  </si>
  <si>
    <t>SDATOOL-41752 $ Consumo Openmk con Biometría Obligatoria por Nácar para desembolsar</t>
  </si>
  <si>
    <t>SDATOOL-35463 $ Gestión de Ingresos - Períodos de Gracia Libranzas</t>
  </si>
  <si>
    <t>SDATOOL-40877 $ Centralización Garantías Especiales</t>
  </si>
  <si>
    <t>SDATOOL-40062 $ Implementación FGA en flujos de contratación digital</t>
  </si>
  <si>
    <t>SDATOOL-40466 $ Garantía FAG</t>
  </si>
  <si>
    <t>SDATOOL-41729 $ SEGUNDA LIBRANZA - APLICACION PAGOS Y VoBo PAGADOR</t>
  </si>
  <si>
    <t>SDATOOL-42155 $ Ajustes en proceso de Titularización y recompra de cartera titularizada</t>
  </si>
  <si>
    <t>CRISTIAN STEVEN ABRIL ALDANA</t>
  </si>
  <si>
    <t>SDATOOL-37136 $ Conexión simulador vía API Vehículo digital</t>
  </si>
  <si>
    <t>Se esta revisando la mejora del Validate Products</t>
  </si>
  <si>
    <t>LEYDI CAMARGO</t>
  </si>
  <si>
    <t>Alejandra Barrios</t>
  </si>
  <si>
    <t>Alvaro Alvarez</t>
  </si>
  <si>
    <t>Anderson Fabian Camelo</t>
  </si>
  <si>
    <t>Carlos Arturo Rodriguez Castañeda</t>
  </si>
  <si>
    <t>Cesar Augusto Valbuena</t>
  </si>
  <si>
    <t>Cristian Camilo Duarte</t>
  </si>
  <si>
    <t>Cristian Fernando Hernandez Angarita</t>
  </si>
  <si>
    <t>David Garrido</t>
  </si>
  <si>
    <t>Diana Duarte</t>
  </si>
  <si>
    <t>Diego Alejandro Parra Nuñez</t>
  </si>
  <si>
    <t>Dina Luz Perez</t>
  </si>
  <si>
    <t>Edson Suarez</t>
  </si>
  <si>
    <t>Erick Bermejo</t>
  </si>
  <si>
    <t>Esperanza Ortega</t>
  </si>
  <si>
    <t>Henry Cortes</t>
  </si>
  <si>
    <t>Hernan Gabriel Fernandez</t>
  </si>
  <si>
    <t>Jesus Wellman</t>
  </si>
  <si>
    <t>Johan Sebastian Forero</t>
  </si>
  <si>
    <t>Josue David Fernandez Reyes</t>
  </si>
  <si>
    <t>Juan David Rodriguez Ariza</t>
  </si>
  <si>
    <t>Juan David Velasquez</t>
  </si>
  <si>
    <t>Karen Juliete Mahecha Rey</t>
  </si>
  <si>
    <t>Karol Melissa Gómez Colmenares</t>
  </si>
  <si>
    <t>Katherine Santana</t>
  </si>
  <si>
    <t>Laura Milena Duarte</t>
  </si>
  <si>
    <t>Mario Perilla</t>
  </si>
  <si>
    <t>Martin Theiler</t>
  </si>
  <si>
    <t>Miller Gomez</t>
  </si>
  <si>
    <t>Nicolas Bedoya Montealegre</t>
  </si>
  <si>
    <t>Nicolas Eduardo Loaiza</t>
  </si>
  <si>
    <t>Nydia Forero</t>
  </si>
  <si>
    <t>Oscar Andres Bernal Quiroz</t>
  </si>
  <si>
    <t>Oscar Freddy Roncancio Zea</t>
  </si>
  <si>
    <t>Oscar Mauricio Lozano</t>
  </si>
  <si>
    <t>Rafael Eduardo Martinez Caceres</t>
  </si>
  <si>
    <t>Sair Giovanny Bejarano Garcia</t>
  </si>
  <si>
    <t>Pedro Luis Melo Robayo</t>
  </si>
  <si>
    <t>Roger Arias</t>
  </si>
  <si>
    <t>Santiago Molina</t>
  </si>
  <si>
    <t>Santiago Montoya</t>
  </si>
  <si>
    <t>Sergio Mercado</t>
  </si>
  <si>
    <t>Stiven Carrillo</t>
  </si>
  <si>
    <t>SDATOOL-37169 $ EGS: Salto país y softoken</t>
  </si>
  <si>
    <t>PENAGOS JULIO CESAR</t>
  </si>
  <si>
    <t>SDATOOL-38742 $ Gestor Documental Retail</t>
  </si>
  <si>
    <t>[WIMEB] - Soporte Produccion</t>
  </si>
  <si>
    <t>[WIMEB] - Carta de bienvenida Libranza</t>
  </si>
  <si>
    <t>[WIMEB] - Carta de bienvenida consumo</t>
  </si>
  <si>
    <t>[WIMEB] - INICIDENCIA   Consulta de Extractos</t>
  </si>
  <si>
    <t>[FARO] - Revisión documentos pendientes por migrar</t>
  </si>
  <si>
    <t>[Firmas Valuadoras] - Dia a Dia / Firmas valuadoras. Creación usuarios</t>
  </si>
  <si>
    <t>[PNB] - Atención solicitudes de actualización</t>
  </si>
  <si>
    <t>[Lotus-Khronos] - Validación ejecución de Momentos, Ajustes, reporcesos dependiendo de casuisitica</t>
  </si>
  <si>
    <t>[GranNet] - Migración modulos AdminPlan</t>
  </si>
  <si>
    <t>SDATOOL-35329 $ Activo Particular 2021</t>
  </si>
  <si>
    <t>[GranNet] - Modulo de liquidación de comisiones</t>
  </si>
  <si>
    <t>SDATOOL-38757 $ Modelo administrativo de oficina - Omnicanalidad</t>
  </si>
  <si>
    <t>SDATOOL-41171 $ CBS Core Banking Strategy Convivencia Clients and Contracts</t>
  </si>
  <si>
    <t>SDATOOL-41202 $ GRM Col - Ajustes Asset Allocation y Riesgo de Concentración</t>
  </si>
  <si>
    <t>Andres Jimenez Molina</t>
  </si>
  <si>
    <t>pruebas unitarias en desarrollo</t>
  </si>
  <si>
    <t>SDATOOL-31326 $ Legalización Hipotecario</t>
  </si>
  <si>
    <t>Edward Enrique Vaca</t>
  </si>
  <si>
    <t>SDATOOL-41877 $ Evolutivo Bonita 5 Community a JBPM</t>
  </si>
  <si>
    <t>Diseño de front transversal,  maqueta, formación BPMaaS</t>
  </si>
  <si>
    <t>Cristian David Beltran Barrantes</t>
  </si>
  <si>
    <t>Edison Jovanny Castillo</t>
  </si>
  <si>
    <t>Analisis y Diseño Tecnico conexion IDM con Bonita 7</t>
  </si>
  <si>
    <t>Prioridad Alta Bandeja de entrada B7Prioridad Alta Bandeja de entrada B7</t>
  </si>
  <si>
    <t>Lider tecnico para BPM , envio a QA S3 abril</t>
  </si>
  <si>
    <t>Edwin Giovanny Cetina Pinzón.</t>
  </si>
  <si>
    <t>SDATOOL-35384 $ Gestión Documental Pyme Admisión</t>
  </si>
  <si>
    <t>Gestión con Meraki para atención de mejora en visualizacion  de documentos</t>
  </si>
  <si>
    <t>SDATOOL-34782 $ Solicitud de cupo DIY</t>
  </si>
  <si>
    <t>apoyo postimplantación</t>
  </si>
  <si>
    <t>CAP Retail atencion de arandas entrega a equipo de operación</t>
  </si>
  <si>
    <t>Faiber Orlando Camelo Romero</t>
  </si>
  <si>
    <t>SDATOOL-36509 $ Centralización de la formalización de desembolsos Pymes</t>
  </si>
  <si>
    <t>Formación en Aso y Apx y COLWSBPE-115 Optimización de proceso de contratación de tarjetas en fábrica (IDP)- Fase I</t>
  </si>
  <si>
    <t>John Edwin Riascos Castillo</t>
  </si>
  <si>
    <t>Juan Daniel Bernal Marin</t>
  </si>
  <si>
    <t>Jualian Alberto Rodriguez</t>
  </si>
  <si>
    <t>seguimiento post implantación Wizard</t>
  </si>
  <si>
    <t>Kevin Danilo López Clopatofsky</t>
  </si>
  <si>
    <t>Leandro Augusto Chiguasuque</t>
  </si>
  <si>
    <t>Martha Lucia Aguirre</t>
  </si>
  <si>
    <t xml:space="preserve">CAP Pymes GD, Bonita 7 y Bonita 5 </t>
  </si>
  <si>
    <t>Jose Mauricio Peña</t>
  </si>
  <si>
    <t>Apoyo estabilizacion  purga casos activos,</t>
  </si>
  <si>
    <t>Paola Marcela Moreno Sanabria</t>
  </si>
  <si>
    <t>MN-2091 Reingenieria proceso de CG desarrollos S2 Junio entrega</t>
  </si>
  <si>
    <t>Wilson Daniel Bulla Martinez</t>
  </si>
  <si>
    <t xml:space="preserve">Evolutivo de mejoras a Ux, a partir de 16 febrero post-implantación </t>
  </si>
  <si>
    <t>Soporte Aplicativo , versionardor CAP</t>
  </si>
  <si>
    <t>SDATOOL-37134 $ Oferta proactiva de segundo producto desde el momento cero - Plan Ascenso Cross Sell</t>
  </si>
  <si>
    <t>Soporte Aplicativo</t>
  </si>
  <si>
    <t>SDATOOL-38091 $ Higiénicos Plataforma Digital de Oficinas CAP</t>
  </si>
  <si>
    <t>-Seguimiento a contratación de SW cuota segura con Meraki, aprobación diseño técnico, sanción técnica de software y acompañamiento en calidad para la certificación</t>
  </si>
  <si>
    <t>SDATOOL-37899 $ Formularios Subsidios (PAEF, Jóvenes y Afectados por el paro)</t>
  </si>
  <si>
    <t>Análisis , Diseño, Pruebas e implemenación.</t>
  </si>
  <si>
    <t xml:space="preserve">RONAL ALBERTO TABORDA MORENO </t>
  </si>
  <si>
    <t>SDATOOL-41448 $ Compra de divisas mediante APP Empresas GEMA</t>
  </si>
  <si>
    <t>EDSON DANIEL SUAREZ HERNANDEZ</t>
  </si>
  <si>
    <t xml:space="preserve"> LINA MARCELA SANABRIA BERNAL</t>
  </si>
  <si>
    <t>SDATOOL-27703 $ Fixed Income Digital Cross Selling - COL</t>
  </si>
  <si>
    <t>Adrián Ricardo Rojas Villegas</t>
  </si>
  <si>
    <t>SDATOOL-36556 $ Parthnerships - Tarjeta de crédito en punto de venta físico  aliados</t>
  </si>
  <si>
    <t>C811370</t>
  </si>
  <si>
    <t>ADRIANA ARANGO GIRALDO</t>
  </si>
  <si>
    <t>Adriana Mercedes Gómez</t>
  </si>
  <si>
    <t>Adriana Mercedez Gómez Monroy</t>
  </si>
  <si>
    <t>SDATOOL-39255 $ OBSOLESCENCIA APLICATIVA 2022</t>
  </si>
  <si>
    <t>SDATOOL-37342 $ SWIFT ISO20022  Ajuste de mensajes Swift a la nueva estructura</t>
  </si>
  <si>
    <t>CE64519</t>
  </si>
  <si>
    <t>Alejandro Lara Montano</t>
  </si>
  <si>
    <t>NOSDA- BAU $ BAU (Mantenimiento y peq. evolutivos)</t>
  </si>
  <si>
    <t>SDATOOL-37406 $ DECRETO 830 DE 2021 - (PEP)</t>
  </si>
  <si>
    <t xml:space="preserve">CE43419  </t>
  </si>
  <si>
    <t>Alexandra Forero</t>
  </si>
  <si>
    <t>Alexis A Gonzalez Lancheros</t>
  </si>
  <si>
    <t>O001365</t>
  </si>
  <si>
    <t>AMED ESTEBAN VANEGAS GUZMAN</t>
  </si>
  <si>
    <t>SDATOOL-41153 $ Cronos - Plan Ascenso - Cap Pymes Transformación circuito admisión</t>
  </si>
  <si>
    <t xml:space="preserve">CE70145  </t>
  </si>
  <si>
    <t>Ana Carolina Funes</t>
  </si>
  <si>
    <t>ANA CONSUELO TRASLAVINA RIVAS</t>
  </si>
  <si>
    <t>SDATOOL-35621 $ DOCUMENTO SOPORTE FASE II - DIALOGO</t>
  </si>
  <si>
    <t>ANA MARIA MORENO</t>
  </si>
  <si>
    <t>Anderson Camilo Aponte Cervera</t>
  </si>
  <si>
    <t>Andersson Salinas</t>
  </si>
  <si>
    <t>SDATOOL-39834 $ Recaudo en Línea Secretaría de Hacienda Distrital - Fase II:  Solución paramétrica de recaudos para la inclusión de 7 formularios tributarios en Canales electrónicos Web y Corresponsal Bancario.</t>
  </si>
  <si>
    <t>ANDRES ALBERTO ARIZA MANTILLA</t>
  </si>
  <si>
    <t>SDATOOL-39353 $ Redirección Mobile POS</t>
  </si>
  <si>
    <t>SDATOOL-41452 $ NGA - Colombia. Proactivo Cliente (CRONOS)</t>
  </si>
  <si>
    <t>Andrés Felipe Buitrago</t>
  </si>
  <si>
    <t>SDATOOL-40506 $ Disponibilidad de canales físicos en móvil y página blanca</t>
  </si>
  <si>
    <t>Andres Felipe Castañeda Sanchez</t>
  </si>
  <si>
    <t>SDATOOL-39786 $ Sostenibilidad Colombia Fase 2</t>
  </si>
  <si>
    <t>SDATOOL-35771 $ Pricing enterprises products - Plan Ascenso Autónomos</t>
  </si>
  <si>
    <t>Andrés Felipe Mora Santana</t>
  </si>
  <si>
    <t>Andres Felipe Padilla Rojas</t>
  </si>
  <si>
    <t>seguimiento Post-implantación</t>
  </si>
  <si>
    <t>CE54191</t>
  </si>
  <si>
    <t>ANGELA ANDREA BARRETO PRIETO</t>
  </si>
  <si>
    <t>Líder Fábrica</t>
  </si>
  <si>
    <t>Angela Liliana Saenz Fajardo</t>
  </si>
  <si>
    <t>Angela Maria Diaz</t>
  </si>
  <si>
    <t>Nuestra QC tranversal todo pasa por ella</t>
  </si>
  <si>
    <t>SDATOOL-28278 $ GRM Col - TMP Cobranzas - Pago en Canales Alternos</t>
  </si>
  <si>
    <t>Angie Carolina Morales</t>
  </si>
  <si>
    <t>SDATOOL-37130 $ Pago y domiciliación de recaudo</t>
  </si>
  <si>
    <t>SDATOOL-36903 $ ATM's recicladores: Homologación y funcionalidad EtapaII</t>
  </si>
  <si>
    <t>CE68936</t>
  </si>
  <si>
    <t>ANYIE VIVIANA GALINDO</t>
  </si>
  <si>
    <t>Semillero</t>
  </si>
  <si>
    <t>Arlem Chinchia</t>
  </si>
  <si>
    <t>SDATOOL-38487 $ Mensualización Prima</t>
  </si>
  <si>
    <t>SDATOOL-35775 $ (Work Day)  Nueva Plataforma Core Colombia- Impacto en Terceros</t>
  </si>
  <si>
    <t>O003233</t>
  </si>
  <si>
    <t>CE46833</t>
  </si>
  <si>
    <t>AYALA LUIS ALFONSO</t>
  </si>
  <si>
    <t>Bautista Molina Lina Marcela</t>
  </si>
  <si>
    <t>Endeudamiento paralelo</t>
  </si>
  <si>
    <t>CE69113</t>
  </si>
  <si>
    <t>BAYRON JEAN PIERRE ARRIAGADA BECERRA</t>
  </si>
  <si>
    <t>SDATOOL-38729 $ Mi CB Liviano 2022</t>
  </si>
  <si>
    <t>SDATOOL-37750 $ Robotics 2022</t>
  </si>
  <si>
    <t>SDATOOL-39272 $ Cambio servicio APL (Aportes en línea)- Integración AUG con nuevo motor laboral (OVI)</t>
  </si>
  <si>
    <t>SDATOL-40269 $ Formularios cambio moneda extranjera Nacar</t>
  </si>
  <si>
    <t>SDATOOL-35350 $ Lean Office (Biblioteca Transaccional y Nuevo Modelo de Impresión)</t>
  </si>
  <si>
    <t>SDATOOL-36048 $ Repositorio flujos  ventas digitales flujos - Plan Ascenso Open Market</t>
  </si>
  <si>
    <t>SDATOOL-37055 $ Cash In - Recarga PSE en cuenta de ahorro, cuenta corriente y dinero móvil</t>
  </si>
  <si>
    <t>Gerente con asignación a torres</t>
  </si>
  <si>
    <t>Camilo Muñoz</t>
  </si>
  <si>
    <t>SDATOOL-37116 $ Colpensiones - Incluir en la estructura del archivo de ORDENES DE NO PAGO dos nuevas causales de rechazo</t>
  </si>
  <si>
    <t>T005584</t>
  </si>
  <si>
    <t>CARLOS ANDRES FLOREZ GODOY</t>
  </si>
  <si>
    <t>CARLOS ANDRES SUAREZ SALAZAR</t>
  </si>
  <si>
    <t xml:space="preserve">CARLOS JULIO RAMIREZ MONTANO </t>
  </si>
  <si>
    <t>CARLOS MARIO BERNAL</t>
  </si>
  <si>
    <t>Tester</t>
  </si>
  <si>
    <t>SDATOOL-42106 $ Emisión Certificados Tributarios a  proveedores en  Operaciones Sin Recurso (Proyecto Normativo)</t>
  </si>
  <si>
    <t>SDATOOL-38427 $ Servicios transaccionales 2022</t>
  </si>
  <si>
    <t>Carolina Garzón</t>
  </si>
  <si>
    <t>T009658</t>
  </si>
  <si>
    <t>CARVAJAL LUIS FELIPE</t>
  </si>
  <si>
    <t>Castellanos Caicedo Marco Hernan</t>
  </si>
  <si>
    <t>SDATOOL-30053 $ GRM Col Reg - CE016-19 Modificados, reestructurados e incumplidos RV</t>
  </si>
  <si>
    <t>SDATOOL-35041 $ Obsolescencia aplicativa 2021 -PSE Comercio</t>
  </si>
  <si>
    <t>CHAPARRO LOPEZ GONZALO</t>
  </si>
  <si>
    <t>SDATOOL-38731 $ Prenotificaciones Canales Directos</t>
  </si>
  <si>
    <t>SDATOOL-39246 $ NETCASH /CANAL GLOBAL - DISPERSIÓN DE NÓMINA -ID PPT</t>
  </si>
  <si>
    <t>SDATOOL-23176 $ ORION</t>
  </si>
  <si>
    <t>SDATOOL-36918 $ Conciliación Automática del Aplicativo Módulo de Notas Contables  - CKR1</t>
  </si>
  <si>
    <t>SDATOOL-36929 $ Ciclo 1 - Resolución 098 de 2020 DIAN - Reportes de Información Exogena</t>
  </si>
  <si>
    <t>Consuelo Molina Guerrero</t>
  </si>
  <si>
    <t>SDATOOL-37114 $ Actualización Botón pagos PSE versión 2.0</t>
  </si>
  <si>
    <t>SDATOOL-41207 $ Derivados implícitos ( Triadas)</t>
  </si>
  <si>
    <t>apoyo en desarrollos, pasa a QA marzo 6</t>
  </si>
  <si>
    <t>apoyo equipo operacion</t>
  </si>
  <si>
    <t>Cristian Daza</t>
  </si>
  <si>
    <t>T006646</t>
  </si>
  <si>
    <t>Dallana Paola Hernandez Gaviria</t>
  </si>
  <si>
    <t>CE53530</t>
  </si>
  <si>
    <t>DANEL PULECIO GONZALEZ</t>
  </si>
  <si>
    <t>T002414</t>
  </si>
  <si>
    <t>Daniel Andres Bernal Valencia</t>
  </si>
  <si>
    <t>Daniel Antonio Camacho Ariza</t>
  </si>
  <si>
    <t>CE70911</t>
  </si>
  <si>
    <t>DANIEL FERNANDO VELASQUEZ MORENO</t>
  </si>
  <si>
    <t>Daniel Orlando Garzon</t>
  </si>
  <si>
    <t>Daniela Alejandra Romero Cangrejo</t>
  </si>
  <si>
    <t>Daniela Arevalo</t>
  </si>
  <si>
    <t>Danna Valeria Mesa Alfonso</t>
  </si>
  <si>
    <t>SDATOOL-40256 $ Auditoría Apuntes Manuales Contables Logs Notas Contables C-015</t>
  </si>
  <si>
    <t>David Esteban Aragón Peñuela</t>
  </si>
  <si>
    <t>David Fernando Mendieta</t>
  </si>
  <si>
    <t>David Rodriguez Rangel</t>
  </si>
  <si>
    <t xml:space="preserve">DEISY YOLIMA GUAQUETA ROMERO </t>
  </si>
  <si>
    <t>SDATOOL-41941 $ INTEGRACIÓN DE AS400 Y HOST Y  ESTABILIZACIÓN Y RESTABLECIMIENTO  DE lOS ENTORNOS DE LEASING AS400  DE DESARROLLO Y CALIDAD"</t>
  </si>
  <si>
    <t>Deyson Emir Murillo Moreno</t>
  </si>
  <si>
    <t>Diana Carolina Arteaga</t>
  </si>
  <si>
    <t xml:space="preserve">DIANA MARCELA QUINTERO CASTILLO </t>
  </si>
  <si>
    <t>Diana Marcela Suarez Restrero</t>
  </si>
  <si>
    <t>Actualizacion servicios aso evolutivos lineamientos de arquitectura, Optimizaciones next gen</t>
  </si>
  <si>
    <t>SDATOOL-39830 $ GRM Col - Plan Ascenso - Mejoras CAP Pymes</t>
  </si>
  <si>
    <t>CE69625</t>
  </si>
  <si>
    <t>DIEGO ALBERTO NÚÑEZ SÁNCHEZ</t>
  </si>
  <si>
    <t>Operación</t>
  </si>
  <si>
    <t>DIEGO JAVIER MORENO</t>
  </si>
  <si>
    <t>Diocleciano López Carbono</t>
  </si>
  <si>
    <t>C809592</t>
  </si>
  <si>
    <t>DOUGLAS ROLANDO OVIES PULIDO</t>
  </si>
  <si>
    <t>T000273</t>
  </si>
  <si>
    <t>Dubán Felipe Guarín</t>
  </si>
  <si>
    <t xml:space="preserve">DUVAN ALEJANDRO BERNATE PIAMBA </t>
  </si>
  <si>
    <t>Duvan Alejandro Ramirez</t>
  </si>
  <si>
    <t>MN-cancelacion garantias</t>
  </si>
  <si>
    <t>SDATOOL-41877 $ Apagado Bonita 5 Community e impulsar JBPM Corporativa</t>
  </si>
  <si>
    <t>Edison Ramírez</t>
  </si>
  <si>
    <t>Edisson Iovani Rodriguez Socha</t>
  </si>
  <si>
    <t>SDATOOL-27736 $ Proyecto Plan de Transformación de Datos (PTD)</t>
  </si>
  <si>
    <t xml:space="preserve">Lider tecnico para BPM </t>
  </si>
  <si>
    <t>Edward Moreno</t>
  </si>
  <si>
    <t>Edward Stiven Rodriguez Moreno</t>
  </si>
  <si>
    <t>CAP Retail</t>
  </si>
  <si>
    <t>C809600</t>
  </si>
  <si>
    <t>EMMA YADIRA CASTIBLANCO</t>
  </si>
  <si>
    <t>SDATOOL-39457 $ Generación MT940 Fines de Semana y Festivos</t>
  </si>
  <si>
    <t>Fabian Arturo Ramirez Broche</t>
  </si>
  <si>
    <t>Faiber Rueda</t>
  </si>
  <si>
    <t>Fernando Bolivar</t>
  </si>
  <si>
    <t>Fonseca Ochoa Nelson Leonel</t>
  </si>
  <si>
    <t>Frank Nicolas Herran</t>
  </si>
  <si>
    <t>Fredy Mauricio Cely Hernandez</t>
  </si>
  <si>
    <t>GARCIA COBO ANA MILENA</t>
  </si>
  <si>
    <t>Garcia Cobo Ana Milena</t>
  </si>
  <si>
    <t>German Zarria Mendez</t>
  </si>
  <si>
    <t>Giovanni Esguerra Velandia</t>
  </si>
  <si>
    <t>CE64878</t>
  </si>
  <si>
    <t>Giovanny  Francisco Alayón</t>
  </si>
  <si>
    <t>CE57088</t>
  </si>
  <si>
    <t>GLENDA RAQUEL LOPEZ GARCIA</t>
  </si>
  <si>
    <t>Gorgeth Moscarella Martínez</t>
  </si>
  <si>
    <t>Guevara Castro Juan Andres</t>
  </si>
  <si>
    <t>Guisell Dayan Diaz Blanco</t>
  </si>
  <si>
    <t>CyA</t>
  </si>
  <si>
    <t>C811300</t>
  </si>
  <si>
    <t>INGRID JOHANNA PARRA CAICEDO</t>
  </si>
  <si>
    <t>CE68851</t>
  </si>
  <si>
    <t>INGRID NATALIA SUESCUN CARVAJAL</t>
  </si>
  <si>
    <t>Jaiber Daivison Nova</t>
  </si>
  <si>
    <t>T002704</t>
  </si>
  <si>
    <t>JAIME OSORIO</t>
  </si>
  <si>
    <t>CE54753</t>
  </si>
  <si>
    <t xml:space="preserve">Jaime Ricardo Leon </t>
  </si>
  <si>
    <t>JAIME RICARDO LEON HERNANDEZ</t>
  </si>
  <si>
    <t>SDATOOL-37186 $ Migración Murex 3 Colombia (Servicios restantes MX3 -Fase 1)</t>
  </si>
  <si>
    <t>JAIR ERNESTO CABRA MENJURA-reemplazo Thalia</t>
  </si>
  <si>
    <t>Jairo Fernando Tamara Rubiano</t>
  </si>
  <si>
    <t>SDATOOL-39923 $ MIGRO FASE II. TRANSFORMACIÓN DE LOS CIRCUITOS DE CAPTURA Y TRATAMIENTO DE LAS PÉRDIDAS OPERACIONALES - COLOMBIA</t>
  </si>
  <si>
    <t>Jairo Leon Espitia Botia</t>
  </si>
  <si>
    <t>JEISON ANDRES VISBAL GOMEZ</t>
  </si>
  <si>
    <t>Jennifer Zamora</t>
  </si>
  <si>
    <t>Jesus Andrés Cardenas</t>
  </si>
  <si>
    <t xml:space="preserve">Jesus Humberto Moreno </t>
  </si>
  <si>
    <t>SDATOOL-40589 $ Ajuste longitud de cuentas problema 7 digitos</t>
  </si>
  <si>
    <t>CE70146</t>
  </si>
  <si>
    <t>JHONNY ALEXANDER LABRADOR SILGADO</t>
  </si>
  <si>
    <t>Joan Chivata</t>
  </si>
  <si>
    <t>Joel Andrés Cantillo Nieto</t>
  </si>
  <si>
    <t>John Fernando Arevalo Bermudez</t>
  </si>
  <si>
    <t>C342550</t>
  </si>
  <si>
    <t>CE56244</t>
  </si>
  <si>
    <t>JOHN HERRERA J</t>
  </si>
  <si>
    <t>CE69624</t>
  </si>
  <si>
    <t>JONATHAN ALVARADO CHACON</t>
  </si>
  <si>
    <t xml:space="preserve">Jonathan Angel Murcia    </t>
  </si>
  <si>
    <t>Jonathan Garzon Peña</t>
  </si>
  <si>
    <t>Jonathan Marcell Gutierrez Riaño</t>
  </si>
  <si>
    <t>JORGE ARMANDO YANQUEN YANQUEN</t>
  </si>
  <si>
    <t>Jorge Enrique Carrillo Diaz</t>
  </si>
  <si>
    <t>Recaudos</t>
  </si>
  <si>
    <t>JORGE MENESES</t>
  </si>
  <si>
    <t>CE67104</t>
  </si>
  <si>
    <t>JORGE TORRES</t>
  </si>
  <si>
    <t xml:space="preserve">T000865 </t>
  </si>
  <si>
    <t xml:space="preserve">JOSE ALEXIS CASTRILLON ESPINOSA </t>
  </si>
  <si>
    <t>CE56755</t>
  </si>
  <si>
    <t>JOSE DANIEL TORRES ANZOLA</t>
  </si>
  <si>
    <t>CE68579</t>
  </si>
  <si>
    <t>JOSE DOMENICO MEJIAS SAAVEDRA</t>
  </si>
  <si>
    <t>CE55773</t>
  </si>
  <si>
    <t>JOSE SANCHEZ</t>
  </si>
  <si>
    <t>JUAN CAMILO JAIMES CORREDOR</t>
  </si>
  <si>
    <t>MN-Cancelación de garantias</t>
  </si>
  <si>
    <t xml:space="preserve">Juan David Gonzalez Monroy   </t>
  </si>
  <si>
    <t>C810712</t>
  </si>
  <si>
    <t>JUAN DIEGO TROCHEZ MONTOYA</t>
  </si>
  <si>
    <t>Juan Duque</t>
  </si>
  <si>
    <t xml:space="preserve">Juan Manuel Fraile </t>
  </si>
  <si>
    <t>Juan Pablo Arevalo Merchan</t>
  </si>
  <si>
    <t>Juan Pablo Millan</t>
  </si>
  <si>
    <t>Juan Romero</t>
  </si>
  <si>
    <t>Juan Sebastian Ayala</t>
  </si>
  <si>
    <t>CE67122</t>
  </si>
  <si>
    <t>Juanita Garcia</t>
  </si>
  <si>
    <t>JULIAN ALBERTO RODRIGUEZ</t>
  </si>
  <si>
    <t>operación</t>
  </si>
  <si>
    <t>Julián David Castañeda</t>
  </si>
  <si>
    <t>Julieth Alejandra Bermudez Bernal</t>
  </si>
  <si>
    <t>Karen Andrea Moreno Hernandez</t>
  </si>
  <si>
    <t>Soporte Aranda</t>
  </si>
  <si>
    <t>Kelly Johanna Vanegas</t>
  </si>
  <si>
    <t>Kevin Sarmiento</t>
  </si>
  <si>
    <t>LEANDRO AUGUSTO CHIGUASUQUE I.</t>
  </si>
  <si>
    <t>sopor prod</t>
  </si>
  <si>
    <t>Lenin Rafael Diaz Quintero</t>
  </si>
  <si>
    <t>Leonardo Alberto Jimenez Rincon</t>
  </si>
  <si>
    <t>Liceth Yhomary Gonzalez Penagos</t>
  </si>
  <si>
    <t>Lizeth Dueñas</t>
  </si>
  <si>
    <t>Llanes Polo Michael Cesar</t>
  </si>
  <si>
    <t>C782660</t>
  </si>
  <si>
    <t>LUBDIVIA BARBOSA CASTILLO</t>
  </si>
  <si>
    <t>INCAPACIDAD</t>
  </si>
  <si>
    <t>Luber Fandiño Chito</t>
  </si>
  <si>
    <t>Luis Felipe González</t>
  </si>
  <si>
    <t>Tester/Planificador</t>
  </si>
  <si>
    <t>Luis Guillermo Sanchez</t>
  </si>
  <si>
    <t>SDATOOL-42044 $ In House Sierracol</t>
  </si>
  <si>
    <t>T003502</t>
  </si>
  <si>
    <t>LUZ ANGELA BATTE NOVOA</t>
  </si>
  <si>
    <t>CE68849</t>
  </si>
  <si>
    <t>Manuel Alberto Gil Isaziga</t>
  </si>
  <si>
    <t>O002730</t>
  </si>
  <si>
    <t>MARCELA LASSO</t>
  </si>
  <si>
    <t>Marco Fabian Zabala Villanueva</t>
  </si>
  <si>
    <t>María Alejandra Varón</t>
  </si>
  <si>
    <t>Maria Camila Molina Alba</t>
  </si>
  <si>
    <t>Vacaciones /Tester</t>
  </si>
  <si>
    <t>Marianella Fandiño Nieto</t>
  </si>
  <si>
    <t>SDATOOL-39408 $ GRM COL - Cronos Collections - Herramienta recuperaciones</t>
  </si>
  <si>
    <t>Optimizaciones host de largo alcance</t>
  </si>
  <si>
    <t>Impuetos</t>
  </si>
  <si>
    <t>Marlly Jazmin Vargas Garzón</t>
  </si>
  <si>
    <t>SDATOOL-41839 $ POSTULACIÓN DE GENERACIÓN NUEVOS EMPLEOS</t>
  </si>
  <si>
    <t>Bonita y CAP Pymes Gestor Documental</t>
  </si>
  <si>
    <t>Martha Lucia Porras Guanga</t>
  </si>
  <si>
    <t>O002790</t>
  </si>
  <si>
    <t>MARYITH MOSQUERA LISCANO</t>
  </si>
  <si>
    <t>MAURICIO PEÑA</t>
  </si>
  <si>
    <t>MN-2165 Se debe poder quitar los problemas que tiene el aplicativo en el uso de los logs y los temporales, MN-2542  Se debe disponibilizar las cartas de bienvenida para el producto de préstamos</t>
  </si>
  <si>
    <t>Miguel Angel Luengas</t>
  </si>
  <si>
    <t>T004690</t>
  </si>
  <si>
    <t>MIGUEL ORTE MORENO</t>
  </si>
  <si>
    <t xml:space="preserve">MISAEL ARLEY TELLEZ SERRANO </t>
  </si>
  <si>
    <t>Nancy Yasmid Reatiga Carvajal</t>
  </si>
  <si>
    <t xml:space="preserve">NATALIA CANAS YATE </t>
  </si>
  <si>
    <t>Nelson Ferrucho</t>
  </si>
  <si>
    <t>Nicolas Bohorquez Leguizamo</t>
  </si>
  <si>
    <t>Nicolas Bolivar Battle</t>
  </si>
  <si>
    <t>Nicolás Enrique Arango Buitrago</t>
  </si>
  <si>
    <t>Ojeda Alvarez Kevin Orlando</t>
  </si>
  <si>
    <t>Omar Esteban Matuk</t>
  </si>
  <si>
    <t>T003450</t>
  </si>
  <si>
    <t>OSCAR ALBERTO SALAMANCA CHACON</t>
  </si>
  <si>
    <t>Oscar Dario Velásquez</t>
  </si>
  <si>
    <t>SDATOOL-40653 $ GRM Col - Calibración de factores para el cálculo del Coeficiente de Fondeo Estable Neto</t>
  </si>
  <si>
    <t>Pablo Antonio Marquez</t>
  </si>
  <si>
    <t>MN-Cancelacion de garatias</t>
  </si>
  <si>
    <t>Wizard</t>
  </si>
  <si>
    <t xml:space="preserve">PAULA MARCELA MOLINA LEGUIZAMO </t>
  </si>
  <si>
    <t>PERDOMO HOYOS YEIMY PAOLA</t>
  </si>
  <si>
    <t>Plinio Eduardo Martinez Espitia</t>
  </si>
  <si>
    <t>Reinaldo Guarin</t>
  </si>
  <si>
    <t>SDATOOL-40516 $ Filial Valores - BBVA Valores en Canales (Net Cash / Net)</t>
  </si>
  <si>
    <t>Rubiano Marin William Eduardo</t>
  </si>
  <si>
    <t>CE62617</t>
  </si>
  <si>
    <t>SANCHEZ RUBIO CRISTIAN STIVEN</t>
  </si>
  <si>
    <t>Sandra Liliana Sanchez Pulido</t>
  </si>
  <si>
    <t>Sandra Patricia Redondo Huertas</t>
  </si>
  <si>
    <t xml:space="preserve">Santiago Alejandro Corredor </t>
  </si>
  <si>
    <t>Santiago Martinez</t>
  </si>
  <si>
    <t>SDATOOL-27736 $ Proyecto Plan de Transformación de Datos (PTD)se</t>
  </si>
  <si>
    <t>SERGIO EDUARDO MARTINEZ</t>
  </si>
  <si>
    <t>Umaña Montenegro Juan Martin</t>
  </si>
  <si>
    <t>SDATOOL-40694 $ Marca PYMES consumo APRS</t>
  </si>
  <si>
    <t>Vargas Perez Wendy Maritza</t>
  </si>
  <si>
    <t>ALM</t>
  </si>
  <si>
    <t>Pilar III</t>
  </si>
  <si>
    <t>Nexus</t>
  </si>
  <si>
    <t>Wilian Eduardo Lozano Beltran</t>
  </si>
  <si>
    <t>CE53295</t>
  </si>
  <si>
    <t>WILSON DELFIN MONDRAGON AMAYA</t>
  </si>
  <si>
    <t>Yelitza Andrea Bohorquez Bedoya</t>
  </si>
  <si>
    <t>Yenifer Arango Tabares</t>
  </si>
  <si>
    <t>SDATOOL-39436 $ COLPENSIONES ONP: llevar el control cuándo llega más de una mesada para un mismo cliente.</t>
  </si>
  <si>
    <t>SDATOOL-39385 $ COLPENSIONES - ONP MEJORA FECHA PRIMER RETIRO DEL PENSIONADO FALLECIDO</t>
  </si>
  <si>
    <t xml:space="preserve">YOAN LEONARDO QUIROGA VASQUEZ </t>
  </si>
  <si>
    <t>SDATOOL-40656 $ GRM Col - Recuperación sobre  cuentas pensionales</t>
  </si>
  <si>
    <t>CE69363</t>
  </si>
  <si>
    <t xml:space="preserve">CAROLINA AMAYA GUAYACAN
</t>
  </si>
  <si>
    <t xml:space="preserve">QC del Equipo </t>
  </si>
  <si>
    <t/>
  </si>
  <si>
    <t>FTEs</t>
  </si>
  <si>
    <t>Total BBVA</t>
  </si>
  <si>
    <t>Total SII</t>
  </si>
  <si>
    <t>Total Tecnoevolución</t>
  </si>
  <si>
    <t>Total Accenture</t>
  </si>
  <si>
    <t>Total GGI / CMC</t>
  </si>
  <si>
    <t>Total Novatec</t>
  </si>
  <si>
    <t>Total BBVA Fiduciaria</t>
  </si>
  <si>
    <t>Total Inetum</t>
  </si>
  <si>
    <t>Q2023</t>
  </si>
  <si>
    <t>1Q2023</t>
  </si>
  <si>
    <t>Mesa</t>
  </si>
  <si>
    <t>Proyectos</t>
  </si>
  <si>
    <t>RATIO</t>
  </si>
  <si>
    <t>Total Payments</t>
  </si>
  <si>
    <t>Total Loans</t>
  </si>
  <si>
    <t>Total Cross/Ventas asistidas CAP</t>
  </si>
  <si>
    <t>Total Cross/Personas y Arq. Host</t>
  </si>
  <si>
    <t>Total Cross/Gestor documental y SSDD</t>
  </si>
  <si>
    <t>Total Cross/BPM</t>
  </si>
  <si>
    <t>Total Accounts</t>
  </si>
  <si>
    <t>Total Net</t>
  </si>
  <si>
    <t>"06/07/2021
- Se envia a PM para radicar en la PMO
- Se crea la SDATOOL
- Se radica en la PMO
07/07/2021
- Se envio a edwin formato G/I y ppt para presentar en WG de julio 14 por parte del sponsor
03/08/2021
- Delivery revisará si se puede iniciar, revisar capacidad y presentar nuevamente en WG; por prioridad NOGAL
12/08/2021
- Se llevo al PSM Q4, pendiente el acta para ver si lo aprobaron y presentar en el PPP 10 de septiembre
- Pendiente valoración para solicitar presupuesto.
- Pendiente sesión entendimiento
27/08/2021
- Se presentará en el PPP del 10 de septiembre de 2021
12/10/2021
- Pte Delivery gestión con canales (wallet) ambiente de pruebas; dado que si esto no funciona no se podrán hacer pruebas en desarrollo y calidad.
19/10/2021
- PMO envia citación para el 28 de oct a sesión de entendimiento a las áreas de valor
- PMO solicita concepto y valoración económica
- Pte presentar en WG para aprobación del presupuesto.
26/10/2021
- Se solicita a PMO incluir a Camilo Aguirre en la sesión de entendimiento (tema Wallet) para resolver y continuar con la valoración y presentar en 
27/10/2021
- En análisis para valoración
- Delivery informa quen NO tenemos como probar los desarrollos; dado que NO esta la versión de wallet con el pago con NFC disponible en entornos previos para la ejecución de pruebas.
02/11/2021
- Delivery informa que españa enviará una versión de Wallet con NFC, realizarán prueba si funciona se podrá atender el mandatorio de tokenización; sino se agendrá sesión con operaciones y prodcuto e informar la no viabilidad de hacer el proyecto.
22/11/2021
- PMO comparte formulario de Admisión
25/11/2021
- SD informa a PMO que ya se puede proceder a convocar a la sesión de entendimiento.
30/11/2021
- SD solicita a PMO reprogrmar sesión de entendimiento por atención a instalación producción proyecto 3DS
6/12/2021
- Se diligencia formulario de Admisión de riesgos TI para sesión entendimiento con áreas de valor el 7 Dic/21
- Resultado Tier: 5
- Se informa a Producto enviar documentación el 10 Dic a edwin barrios para presentar en WG PPP del 16 de dciembre (sustenta producto)
- Se informa a delivery confirmar fecna entrega valoración y capacidades para atender el proyecto
07/12/2021
- Se acuerda con delivery EMC 23/03/2021
09/12/2021
- Delivery entrega valoración Nombre de tarea        Horas        Recurso
Creación documento Funcional        60        Externo
Construcción        338        Interno
Pruebas Unitarias        130        Externo
OCTA VDs        13        Interno
Documentación Adicional        8        Externo
Certificación        260        Externo QA
Implantación        16        Interno
Total Horas Interno        367        $0.00
Total Horas Funcional Delivery        198        $13,691,406.96
Total Horas Calidad        260        $19,237,718.50
Total (+5%)        825        $34,575,581.73
10/12/2021
 - Solutions Deveploment solicita a financiera agendar proyecto en sesión de mandatorios
- Pendiente aprobación WG PPP para elborar documentovaloración técnica y solicitar presupuesto
17/12/2021
- Presupuesto aprobado en WG PPP 17/12/2021
05/01/2022
- PO solicitará dotación y creará feature; para que delivery inicie el proyecto y entregue cronograma
- SD solicita dotar $34,575,581.73
06/01/2022
- Se crea feature y se informa a delivery.
11/01/2022
- Delivery estima entregar plan de trabajo esta semana, inicialmente son 6 meses Q3 2022
- Se atenderá este proyecto con lo inicialmente definido y valorado, si llegan temas nuevos de tokenización seria otro proyecto.
12/01/2022
- PMO solicita a dotaciones ingenieria dotar presupuesto
- Dotaciones ingenieria solicita que la SDA la aprueben en el drive de aprobaciones (justine espitia)
18/01/2022
- Financiera convoca sesión comité normativos el 19 de ene de 2022
- Se envia correo a credibanco reordando dar respuesta a lo solicitado en correo enviado el 13 de ene de 2022 por parte de delivery
- En curso desarrollos y documento ágil/DF
- Delivery entrega plan de trabajo de tokenización comité de cambios 6/07/2022 y producción 07/07/2022
19/01/2022
- Se aprueba proyecto en comité de normativos
- Se revisa script de pruebas enviado por credibanco. 
21/01/2022
- PMO solicita a dotaciones ingenieria dotación del presupuesto.
- Se envia correo a cbco con comentarios, inquietudes e incluyendo nuevos eventos para pruebas en el script de pruebas enviado.
- Se inicia diseño técnico
24/01/2022
- Delivery informa a credibanco que la finalización de los desarrollos del token TK están para inicio del mes de Marzo/22.
1/02/2022
- Desarrollos en curso
- Pte producto confirme a SD si hay alcance a esta iniciativa 
08/02/2022
- SD envio correo a CBCO solicitando nos informe fecha de audio para aclarar inquietudes del proyecto.
- Desarrollos en curso sin novedad
15/02/2022
- Se envia nuevamente nota a CBCO para hacer audio y aclarar inquietudes
22/02/2022
- Continua pendiente la sesión con credibanco
- Desarrollos van en tiempos
1/03/2022
- Se realiza sesión con credibanco, compromisos cedibanco
1. Si se abre o NO proyecto con Visa (credibanco agenda sesión con Visa)
2. Confirmar si las pruebas y ejecución de este proyecto dependen de la migración a SmartVista
08/03/2022
- Se envia correo a credibanco recordando los compromisos del 1 de marzo de 2022"
17/03/2022
- Delivery envia Documento ágil/diseño funcional para Vo.Bo. plazo 28 marzo de 2022
18/03/2022
- Se avanza en desarrollos, pendiente de confirmación de Credibanco para ventanas de pruebas.
22/03/2022
- CBCO pide confirmar si las ventanas de pruebas son paraTokenización?, entienden que para el cambio de Switch a Smart Vista no se necesitan ventanas de pruebas.
- Delivery informa a credibanco que las ventanas son para el proyecto de tokenización; para la modificación de la longitud del token TK.
- Banco solicitamos a Visa la apertura de proyecto
- Visa convoca sesión el 30 de marzo para alinearnos; dado que para hacer la apertura del proyecto el alcance es tanto a nivel de aprovisionamiento como autorización. 
30/03/2022
- Pte Visa confirme si solo se requiere ventana de pruebas para implementar los nuevos campos en la autorización de transacciones tokenizadas, proyecto que se debe llevar en conjunto con credibanco.
01/4/2022
- Delivery envia correo a credibanco informado que para certificar el proceso de autorización con la modificaciones del token TK, Visa informó que no es necesario la apertura de un proyecto, solo es necesario que Credibanco solicite ventanas de pruebas a Visa para certificar; dado esto se solicita a credibanco informar cuando podemos iniciar las ventanas de pruebas, ya que desde Banco se ha  finalizado la etapa de desarrollo.(Pendiente CBCO informe).
06/04/2022
- Cbco informa:
. Teniendo en cuenta que los desarrollos están bajo la nueva plataforma, es necesario que BBVA este migrado con sus enlaces al nuevo Swicth, lo que nos han indicado al interior es que esa migración se tendrá en la tercera semana de abril.
. Frente a la solicitud de ventanas y certificación del proyecto, validamos con la franquicia y se ratificó lo que habíamos conversado anteriormente con equipo BBVA, en este momento Credibanco viene avanzando en su certificación y se tiene una fecha estimada de terminación a finales de mayo. Luego de ese momento tenderemos la disponibilidad para avanzar con el requerimiento de BBVA a través de un proyecto de implementación.
19/04/2022
- Replanificado dado que credibanco terminará certificación finales de mayo; finalizado lo anterior se hará requerimiento a cbco implementar proyecto e iniciar pruebas (2 meses aprox. de julio a finales septiembre e inicio octubre)
26/04/2022
- Informar a producto que el proyecto esta detenido porque credibanco terminará certificación en mayo, pendiente cbco nos informe cunado inician las pruebas
27/05/2022
- El proyecto continua bloqueado, se envío correo el 26 de Mayo 2022 a Credibanco solicitando la prioridad para iniciar la etapa de pruebas, a la espera de respuesta.
03/06/2022
- Pendiente cbco nos informe cuando inician las pruebas
14/06/2022
- Se escalo a producto para gestionar con credibanco
12/07/2022
- Continua pendiente credibanco nos informe ventana de pruebas, esto depende para iniciar tokenización COF.
26/08/2022
- El proyecto sigue congelado, dependemos de que Credibanco realice la migración a su nuevo CORE SmartVista. Desde banco hemos realizado acercamiento para solicitar la prioridad, Credibanco informa que esta realizando ajustes en SmartVista, para realizar prueba e intentar nuevamente el paso a producción. Todavía no tenemos fecha.
02/09/2022 
- El proyecto sigue congelado, dependemos de que Credibanco realice la migración a su nuevo CORE SmartVista.
09/09/2022 
- El proyecto sigue congelado, dependemos de que Credibanco realice la migración a su nuevo CORE SmartVista. Se escalo nuevamente, Credibanco informa que continua en revisión la migración a SmartVista.
23/09/2022 
- El proyecto sigue congelado, dependemos de que Credibanco realice la migración a su nuevo CORE SmartVista. Se escalo nuevamente, Credibanco ya realizó los ajustes y solicita nuevamente ventanas de pruebas, desde banco solicitamos una reunión para validar que casos se van a probar, ya que hemos evidenciado que con la migración del enlace adquirente algunos inconvenientes en producción.
30/09/2022
- Credibanco confirmo que realizará el paso a producción de la funcionalidad en Octubre, por esto se solicito nuevamente prioridad de atención y asignación de ventanas de pruebas, estamos a la espera de la respuesta para descongelar el proyecto.
07/10/2022 
- Se realizó reunión con Credibanco, para validar el proyecto, la red confirmó que pasará a producción el 12 de octubre y que este cambio impacta a todos los emisores, desde banco informamos que este paso no se puede realizar porque no tenemos los desarrollos en producción. Se le solicito a credibanco cronograma de trabajo con plan de pruebas.</t>
  </si>
  <si>
    <t>SUM of % Dedicación</t>
  </si>
  <si>
    <t>Total general</t>
  </si>
  <si>
    <t>SUM of Persona</t>
  </si>
  <si>
    <t>#¿NOMBRE?</t>
  </si>
  <si>
    <t>(Varios elementos)</t>
  </si>
  <si>
    <t>COUNTA of Código</t>
  </si>
  <si>
    <t>Total #¿NOMBRE?</t>
  </si>
  <si>
    <t>Cross System</t>
  </si>
  <si>
    <t>C811349</t>
  </si>
  <si>
    <t>JAIRO HUMBERTO LOPEZ</t>
  </si>
  <si>
    <t>C797150</t>
  </si>
  <si>
    <t>DAVID LEONARDO ROBAYO</t>
  </si>
  <si>
    <t>SUPERIOR</t>
  </si>
  <si>
    <t>Dedicación</t>
  </si>
  <si>
    <t>Ubicación</t>
  </si>
  <si>
    <t>(en blanco)</t>
  </si>
  <si>
    <t>User</t>
  </si>
  <si>
    <t>Password</t>
  </si>
  <si>
    <t>O003991</t>
  </si>
  <si>
    <t>CRISTHIAN CAMILO TORRES CASTRO</t>
  </si>
  <si>
    <t>ID</t>
  </si>
  <si>
    <t>Project ID Name</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</si>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</sst>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 $]#,##0"/>
    <numFmt numFmtId="165" formatCode="0.0%"/>
    <numFmt numFmtId="166" formatCode="dd/mm/yyyy"/>
    <numFmt numFmtId="167" formatCode="d/m/yyyy"/>
    <numFmt numFmtId="168" formatCode="0.0"/>
    <numFmt numFmtId="169" formatCode="\$\ #,###,,\ [$M ]"/>
  </numFmts>
  <fonts count="39" x14ac:knownFonts="1">
    <font>
      <sz val="10"/>
      <color rgb="FF000000"/>
      <name val="Arial"/>
      <scheme val="minor"/>
    </font>
    <font>
      <b/>
      <sz val="10"/>
      <color theme="1"/>
      <name val="Lato"/>
    </font>
    <font>
      <sz val="10"/>
      <color theme="1"/>
      <name val="Lato"/>
    </font>
    <font>
      <b/>
      <sz val="10"/>
      <color theme="1"/>
      <name val="Arial"/>
      <scheme val="minor"/>
    </font>
    <font>
      <sz val="10"/>
      <color theme="1"/>
      <name val="Arial"/>
      <scheme val="minor"/>
    </font>
    <font>
      <u/>
      <sz val="10"/>
      <color rgb="FF0000FF"/>
      <name val="Arial"/>
    </font>
    <font>
      <u/>
      <sz val="10"/>
      <color rgb="FF0000FF"/>
      <name val="Arial"/>
    </font>
    <font>
      <sz val="10"/>
      <color rgb="FF000000"/>
      <name val="Arial"/>
    </font>
    <font>
      <u/>
      <sz val="10"/>
      <color rgb="FF0000FF"/>
      <name val="Arial"/>
    </font>
    <font>
      <sz val="10"/>
      <color rgb="FFFFFFFF"/>
      <name val="Arial"/>
    </font>
    <font>
      <b/>
      <sz val="10"/>
      <color rgb="FFFFFFFF"/>
      <name val="Arial"/>
    </font>
    <font>
      <b/>
      <sz val="10"/>
      <color rgb="FFFFFFFF"/>
      <name val="Arial"/>
    </font>
    <font>
      <sz val="10"/>
      <color rgb="FF000000"/>
      <name val="Arial"/>
    </font>
    <font>
      <sz val="10"/>
      <color theme="1"/>
      <name val="Arial"/>
    </font>
    <font>
      <sz val="10"/>
      <color theme="1"/>
      <name val="Arial"/>
    </font>
    <font>
      <sz val="10"/>
      <color rgb="FF222222"/>
      <name val="Arial"/>
    </font>
    <font>
      <sz val="10"/>
      <color rgb="FF3C4043"/>
      <name val="Arial"/>
    </font>
    <font>
      <sz val="11"/>
      <color rgb="FF202124"/>
      <name val="Roboto"/>
    </font>
    <font>
      <sz val="10"/>
      <color rgb="FF222222"/>
      <name val="Arial"/>
    </font>
    <font>
      <sz val="11"/>
      <color theme="1"/>
      <name val="Calibri"/>
    </font>
    <font>
      <sz val="10"/>
      <color rgb="FF202124"/>
      <name val="Arial"/>
    </font>
    <font>
      <b/>
      <sz val="10"/>
      <color rgb="FF000000"/>
      <name val="Arial"/>
    </font>
    <font>
      <sz val="11"/>
      <color rgb="FF000000"/>
      <name val="Calibri"/>
    </font>
    <font>
      <sz val="10"/>
      <color rgb="FF000000"/>
      <name val="Roboto"/>
    </font>
    <font>
      <u/>
      <sz val="10"/>
      <color theme="1"/>
      <name val="Arial"/>
    </font>
    <font>
      <u/>
      <sz val="10"/>
      <color rgb="FF222222"/>
      <name val="Arial"/>
    </font>
    <font>
      <sz val="11"/>
      <color theme="1"/>
      <name val="Roboto"/>
    </font>
    <font>
      <sz val="8"/>
      <color rgb="FF000000"/>
      <name val="Calibri"/>
    </font>
    <font>
      <sz val="8"/>
      <color rgb="FFFF0000"/>
      <name val="Calibri"/>
    </font>
    <font>
      <sz val="10"/>
      <color theme="1"/>
      <name val="Lato"/>
    </font>
    <font>
      <sz val="9"/>
      <color rgb="FF4A4A4A"/>
      <name val="Roboto"/>
    </font>
    <font>
      <sz val="11"/>
      <color rgb="FF3C4043"/>
      <name val="Roboto"/>
    </font>
    <font>
      <sz val="11"/>
      <color rgb="FF000000"/>
      <name val="Roboto"/>
    </font>
    <font>
      <u/>
      <sz val="10"/>
      <color rgb="FF0000FF"/>
      <name val="Arial"/>
    </font>
    <font>
      <u/>
      <sz val="10"/>
      <color rgb="FF0000FF"/>
      <name val="Arial"/>
    </font>
    <font>
      <sz val="10"/>
      <color rgb="FFFFFFFF"/>
      <name val="Arial"/>
    </font>
    <font>
      <sz val="10"/>
      <color theme="1"/>
      <name val="Arial"/>
      <family val="2"/>
    </font>
    <font>
      <sz val="10"/>
      <color rgb="FF000000"/>
      <name val="Arial"/>
      <family val="2"/>
    </font>
    <font>
      <b/>
      <sz val="10"/>
      <color theme="1"/>
      <name val="Arial"/>
      <family val="2"/>
      <scheme val="minor"/>
    </font>
  </fonts>
  <fills count="17">
    <fill>
      <patternFill patternType="none"/>
    </fill>
    <fill>
      <patternFill patternType="gray125"/>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
      <patternFill patternType="solid">
        <fgColor rgb="FF073763"/>
        <bgColor rgb="FF073763"/>
      </patternFill>
    </fill>
    <fill>
      <patternFill patternType="solid">
        <fgColor rgb="FFFF6D01"/>
        <bgColor rgb="FFFF6D01"/>
      </patternFill>
    </fill>
    <fill>
      <patternFill patternType="solid">
        <fgColor rgb="FFB7B7B7"/>
        <bgColor rgb="FFB7B7B7"/>
      </patternFill>
    </fill>
    <fill>
      <patternFill patternType="solid">
        <fgColor rgb="FFB7E1CD"/>
        <bgColor rgb="FFB7E1CD"/>
      </patternFill>
    </fill>
    <fill>
      <patternFill patternType="solid">
        <fgColor rgb="FFCFE2F3"/>
        <bgColor rgb="FFCFE2F3"/>
      </patternFill>
    </fill>
    <fill>
      <patternFill patternType="solid">
        <fgColor rgb="FFFFFF00"/>
        <bgColor rgb="FFFFFF00"/>
      </patternFill>
    </fill>
    <fill>
      <patternFill patternType="solid">
        <fgColor rgb="FF202124"/>
        <bgColor rgb="FF202124"/>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B6D7A8"/>
        <bgColor rgb="FFB6D7A8"/>
      </patternFill>
    </fill>
    <fill>
      <patternFill patternType="solid">
        <fgColor rgb="FFB7E1CD"/>
        <bgColor indexed="64"/>
      </patternFill>
    </fill>
  </fills>
  <borders count="29">
    <border>
      <left/>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style="thin">
        <color rgb="FFFFFFFF"/>
      </bottom>
      <diagonal/>
    </border>
    <border>
      <left/>
      <right style="thin">
        <color rgb="FFFFFFFF"/>
      </right>
      <top/>
      <bottom/>
      <diagonal/>
    </border>
    <border>
      <left/>
      <right/>
      <top/>
      <bottom style="thin">
        <color rgb="FF000000"/>
      </bottom>
      <diagonal/>
    </border>
    <border>
      <left style="thin">
        <color rgb="FF000000"/>
      </left>
      <right/>
      <top/>
      <bottom/>
      <diagonal/>
    </border>
    <border>
      <left style="thin">
        <color indexed="65"/>
      </left>
      <right/>
      <top style="thin">
        <color indexed="65"/>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bottom/>
      <diagonal/>
    </border>
    <border>
      <left style="thin">
        <color indexed="65"/>
      </left>
      <right style="thin">
        <color rgb="FF999999"/>
      </right>
      <top style="thin">
        <color rgb="FF999999"/>
      </top>
      <bottom/>
      <diagonal/>
    </border>
    <border>
      <left style="thin">
        <color rgb="FF999999"/>
      </left>
      <right/>
      <top style="thin">
        <color rgb="FF999999"/>
      </top>
      <bottom style="thin">
        <color rgb="FF999999"/>
      </bottom>
      <diagonal/>
    </border>
    <border>
      <left style="thin">
        <color indexed="65"/>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bottom/>
      <diagonal/>
    </border>
    <border>
      <left style="thin">
        <color indexed="65"/>
      </left>
      <right/>
      <top style="thin">
        <color rgb="FF999999"/>
      </top>
      <bottom/>
      <diagonal/>
    </border>
    <border>
      <left style="thin">
        <color indexed="65"/>
      </left>
      <right/>
      <top style="thin">
        <color rgb="FF999999"/>
      </top>
      <bottom style="thin">
        <color rgb="FF999999"/>
      </bottom>
      <diagonal/>
    </border>
    <border>
      <left style="thin">
        <color rgb="FF999999"/>
      </left>
      <right/>
      <top style="thin">
        <color indexed="65"/>
      </top>
      <bottom style="thin">
        <color rgb="FF999999"/>
      </bottom>
      <diagonal/>
    </border>
    <border>
      <left style="thin">
        <color rgb="FF999999"/>
      </left>
      <right style="thin">
        <color rgb="FF999999"/>
      </right>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indexed="65"/>
      </left>
      <right style="thin">
        <color rgb="FF999999"/>
      </right>
      <top style="thin">
        <color indexed="65"/>
      </top>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81">
    <xf numFmtId="0" fontId="0" fillId="0" borderId="0" xfId="0"/>
    <xf numFmtId="0" fontId="1" fillId="0" borderId="0" xfId="0" applyFont="1"/>
    <xf numFmtId="0" fontId="2" fillId="0" borderId="0" xfId="0" applyFont="1"/>
    <xf numFmtId="3" fontId="3" fillId="0" borderId="0" xfId="0" applyNumberFormat="1" applyFont="1"/>
    <xf numFmtId="0" fontId="4" fillId="0" borderId="0" xfId="0" applyFont="1"/>
    <xf numFmtId="3" fontId="4" fillId="0" borderId="0" xfId="0" applyNumberFormat="1" applyFont="1"/>
    <xf numFmtId="0" fontId="4" fillId="2" borderId="0" xfId="0" applyFont="1" applyFill="1"/>
    <xf numFmtId="3" fontId="4" fillId="3" borderId="0" xfId="0" applyNumberFormat="1" applyFont="1" applyFill="1"/>
    <xf numFmtId="0" fontId="3" fillId="2" borderId="0" xfId="0" applyFont="1" applyFill="1"/>
    <xf numFmtId="0" fontId="3" fillId="0" borderId="0" xfId="0" applyFont="1"/>
    <xf numFmtId="3" fontId="3" fillId="3" borderId="0" xfId="0" applyNumberFormat="1" applyFont="1" applyFill="1"/>
    <xf numFmtId="3" fontId="5" fillId="0" borderId="0" xfId="0" applyNumberFormat="1" applyFont="1"/>
    <xf numFmtId="9" fontId="4" fillId="0" borderId="0" xfId="0" applyNumberFormat="1" applyFont="1"/>
    <xf numFmtId="0" fontId="6" fillId="0" borderId="0" xfId="0" applyFont="1"/>
    <xf numFmtId="0" fontId="7" fillId="4" borderId="0" xfId="0" applyFont="1" applyFill="1" applyAlignment="1">
      <alignment horizontal="left"/>
    </xf>
    <xf numFmtId="0" fontId="4" fillId="0" borderId="0" xfId="0" applyFont="1" applyAlignment="1">
      <alignment horizontal="center"/>
    </xf>
    <xf numFmtId="1" fontId="4" fillId="0" borderId="0" xfId="0" applyNumberFormat="1" applyFont="1" applyAlignment="1">
      <alignment horizontal="center"/>
    </xf>
    <xf numFmtId="0" fontId="8" fillId="0" borderId="0" xfId="0" applyFont="1"/>
    <xf numFmtId="0" fontId="9" fillId="5" borderId="0" xfId="0" applyFont="1" applyFill="1" applyAlignment="1">
      <alignment horizontal="center"/>
    </xf>
    <xf numFmtId="0" fontId="10" fillId="5" borderId="0" xfId="0" applyFont="1" applyFill="1" applyAlignment="1">
      <alignment horizontal="center"/>
    </xf>
    <xf numFmtId="0" fontId="10" fillId="6" borderId="0" xfId="0" applyFont="1" applyFill="1" applyAlignment="1">
      <alignment horizontal="center"/>
    </xf>
    <xf numFmtId="0" fontId="10" fillId="7" borderId="0" xfId="0" applyFont="1" applyFill="1" applyAlignment="1">
      <alignment horizontal="center"/>
    </xf>
    <xf numFmtId="9" fontId="10" fillId="7" borderId="0" xfId="0" applyNumberFormat="1" applyFont="1" applyFill="1" applyAlignment="1">
      <alignment horizontal="center"/>
    </xf>
    <xf numFmtId="3" fontId="10" fillId="7" borderId="0" xfId="0" applyNumberFormat="1" applyFont="1" applyFill="1" applyAlignment="1">
      <alignment horizontal="center"/>
    </xf>
    <xf numFmtId="3" fontId="11" fillId="7" borderId="0" xfId="0" applyNumberFormat="1" applyFont="1" applyFill="1" applyAlignment="1">
      <alignment horizontal="center"/>
    </xf>
    <xf numFmtId="0" fontId="12" fillId="4" borderId="0" xfId="0" applyFont="1" applyFill="1"/>
    <xf numFmtId="0" fontId="12" fillId="0" borderId="0" xfId="0" applyFont="1"/>
    <xf numFmtId="0" fontId="13" fillId="0" borderId="0" xfId="0" applyFont="1"/>
    <xf numFmtId="0" fontId="12" fillId="0" borderId="0" xfId="0" applyFont="1" applyAlignment="1">
      <alignment horizontal="center"/>
    </xf>
    <xf numFmtId="0" fontId="14" fillId="8" borderId="0" xfId="0" applyFont="1" applyFill="1"/>
    <xf numFmtId="9" fontId="14" fillId="0" borderId="0" xfId="0" applyNumberFormat="1" applyFont="1" applyAlignment="1">
      <alignment horizontal="right"/>
    </xf>
    <xf numFmtId="0" fontId="12" fillId="0" borderId="0" xfId="0" applyFont="1" applyAlignment="1">
      <alignment horizontal="right"/>
    </xf>
    <xf numFmtId="9" fontId="12" fillId="0" borderId="0" xfId="0" applyNumberFormat="1" applyFont="1" applyAlignment="1">
      <alignment horizontal="right"/>
    </xf>
    <xf numFmtId="3" fontId="12" fillId="0" borderId="0" xfId="0" applyNumberFormat="1" applyFont="1" applyAlignment="1">
      <alignment horizontal="right"/>
    </xf>
    <xf numFmtId="9" fontId="14" fillId="4" borderId="0" xfId="0" applyNumberFormat="1" applyFont="1" applyFill="1" applyAlignment="1">
      <alignment horizontal="right"/>
    </xf>
    <xf numFmtId="0" fontId="14" fillId="0" borderId="0" xfId="0" applyFont="1"/>
    <xf numFmtId="9" fontId="13" fillId="9" borderId="0" xfId="0" applyNumberFormat="1" applyFont="1" applyFill="1" applyAlignment="1">
      <alignment horizontal="right"/>
    </xf>
    <xf numFmtId="0" fontId="15" fillId="4" borderId="0" xfId="0" applyFont="1" applyFill="1"/>
    <xf numFmtId="0" fontId="14" fillId="8" borderId="1" xfId="0" applyFont="1" applyFill="1" applyBorder="1"/>
    <xf numFmtId="9" fontId="14" fillId="0" borderId="2" xfId="0" applyNumberFormat="1" applyFont="1" applyBorder="1" applyAlignment="1">
      <alignment horizontal="right"/>
    </xf>
    <xf numFmtId="9" fontId="14" fillId="0" borderId="3" xfId="0" applyNumberFormat="1" applyFont="1" applyBorder="1" applyAlignment="1">
      <alignment horizontal="right"/>
    </xf>
    <xf numFmtId="0" fontId="15" fillId="4" borderId="0" xfId="0" applyFont="1" applyFill="1" applyAlignment="1">
      <alignment horizontal="left"/>
    </xf>
    <xf numFmtId="0" fontId="7" fillId="8" borderId="0" xfId="0" applyFont="1" applyFill="1" applyAlignment="1">
      <alignment horizontal="left"/>
    </xf>
    <xf numFmtId="0" fontId="12" fillId="0" borderId="0" xfId="0" applyFont="1" applyAlignment="1">
      <alignment horizontal="left"/>
    </xf>
    <xf numFmtId="9" fontId="13" fillId="0" borderId="0" xfId="0" applyNumberFormat="1" applyFont="1" applyAlignment="1">
      <alignment horizontal="right"/>
    </xf>
    <xf numFmtId="0" fontId="12" fillId="8" borderId="0" xfId="0" applyFont="1" applyFill="1" applyAlignment="1">
      <alignment horizontal="left"/>
    </xf>
    <xf numFmtId="0" fontId="13" fillId="8" borderId="0" xfId="0" applyFont="1" applyFill="1"/>
    <xf numFmtId="0" fontId="13" fillId="0" borderId="0" xfId="0" applyFont="1" applyAlignment="1">
      <alignment horizontal="right"/>
    </xf>
    <xf numFmtId="9" fontId="12" fillId="0" borderId="3" xfId="0" applyNumberFormat="1" applyFont="1" applyBorder="1" applyAlignment="1">
      <alignment horizontal="right"/>
    </xf>
    <xf numFmtId="0" fontId="12" fillId="0" borderId="3" xfId="0" applyFont="1" applyBorder="1"/>
    <xf numFmtId="0" fontId="16" fillId="4" borderId="0" xfId="0" applyFont="1" applyFill="1" applyAlignment="1">
      <alignment horizontal="left"/>
    </xf>
    <xf numFmtId="9" fontId="13" fillId="0" borderId="0" xfId="0" applyNumberFormat="1" applyFont="1"/>
    <xf numFmtId="0" fontId="14" fillId="0" borderId="0" xfId="0" applyFont="1" applyAlignment="1">
      <alignment horizontal="right"/>
    </xf>
    <xf numFmtId="0" fontId="12" fillId="4" borderId="0" xfId="0" applyFont="1" applyFill="1" applyAlignment="1">
      <alignment horizontal="left"/>
    </xf>
    <xf numFmtId="0" fontId="14" fillId="4" borderId="0" xfId="0" applyFont="1" applyFill="1"/>
    <xf numFmtId="9" fontId="14" fillId="0" borderId="0" xfId="0" applyNumberFormat="1" applyFont="1"/>
    <xf numFmtId="0" fontId="14" fillId="0" borderId="3" xfId="0" applyFont="1" applyBorder="1"/>
    <xf numFmtId="0" fontId="14" fillId="10" borderId="0" xfId="0" applyFont="1" applyFill="1"/>
    <xf numFmtId="0" fontId="14" fillId="4" borderId="0" xfId="0" applyFont="1" applyFill="1" applyAlignment="1">
      <alignment horizontal="right"/>
    </xf>
    <xf numFmtId="9" fontId="14" fillId="0" borderId="4" xfId="0" applyNumberFormat="1" applyFont="1" applyBorder="1" applyAlignment="1">
      <alignment horizontal="right"/>
    </xf>
    <xf numFmtId="9" fontId="14" fillId="4" borderId="0" xfId="0" applyNumberFormat="1" applyFont="1" applyFill="1"/>
    <xf numFmtId="0" fontId="17" fillId="11" borderId="0" xfId="0" applyFont="1" applyFill="1"/>
    <xf numFmtId="3" fontId="14" fillId="0" borderId="0" xfId="0" applyNumberFormat="1" applyFont="1"/>
    <xf numFmtId="3" fontId="14" fillId="0" borderId="0" xfId="0" applyNumberFormat="1" applyFont="1" applyAlignment="1">
      <alignment horizontal="right"/>
    </xf>
    <xf numFmtId="0" fontId="18" fillId="4" borderId="0" xfId="0" applyFont="1" applyFill="1"/>
    <xf numFmtId="9" fontId="14" fillId="9" borderId="0" xfId="0" applyNumberFormat="1" applyFont="1" applyFill="1" applyAlignment="1">
      <alignment horizontal="right"/>
    </xf>
    <xf numFmtId="0" fontId="13" fillId="4" borderId="0" xfId="0" applyFont="1" applyFill="1"/>
    <xf numFmtId="0" fontId="13" fillId="4" borderId="0" xfId="0" applyFont="1" applyFill="1" applyAlignment="1">
      <alignment horizontal="right"/>
    </xf>
    <xf numFmtId="9" fontId="19" fillId="0" borderId="0" xfId="0" applyNumberFormat="1" applyFont="1" applyAlignment="1">
      <alignment horizontal="right"/>
    </xf>
    <xf numFmtId="9" fontId="13" fillId="4" borderId="0" xfId="0" applyNumberFormat="1" applyFont="1" applyFill="1"/>
    <xf numFmtId="0" fontId="20" fillId="4" borderId="0" xfId="0" applyFont="1" applyFill="1"/>
    <xf numFmtId="9" fontId="13" fillId="9" borderId="2" xfId="0" applyNumberFormat="1" applyFont="1" applyFill="1" applyBorder="1" applyAlignment="1">
      <alignment horizontal="right"/>
    </xf>
    <xf numFmtId="9" fontId="13" fillId="9" borderId="3" xfId="0" applyNumberFormat="1" applyFont="1" applyFill="1" applyBorder="1" applyAlignment="1">
      <alignment horizontal="right"/>
    </xf>
    <xf numFmtId="0" fontId="21" fillId="0" borderId="0" xfId="0" applyFont="1"/>
    <xf numFmtId="0" fontId="22" fillId="4" borderId="3" xfId="0" applyFont="1" applyFill="1" applyBorder="1" applyAlignment="1">
      <alignment horizontal="center"/>
    </xf>
    <xf numFmtId="9" fontId="13" fillId="0" borderId="3" xfId="0" applyNumberFormat="1" applyFont="1" applyBorder="1" applyAlignment="1">
      <alignment horizontal="right"/>
    </xf>
    <xf numFmtId="0" fontId="19" fillId="0" borderId="0" xfId="0" applyFont="1"/>
    <xf numFmtId="0" fontId="19" fillId="8" borderId="0" xfId="0" applyFont="1" applyFill="1"/>
    <xf numFmtId="9" fontId="14" fillId="0" borderId="5" xfId="0" applyNumberFormat="1" applyFont="1" applyBorder="1" applyAlignment="1">
      <alignment horizontal="right"/>
    </xf>
    <xf numFmtId="0" fontId="14" fillId="0" borderId="2" xfId="0" applyFont="1" applyBorder="1"/>
    <xf numFmtId="0" fontId="14" fillId="0" borderId="1" xfId="0" applyFont="1" applyBorder="1"/>
    <xf numFmtId="0" fontId="14" fillId="0" borderId="5" xfId="0" applyFont="1" applyBorder="1"/>
    <xf numFmtId="0" fontId="12" fillId="12" borderId="0" xfId="0" applyFont="1" applyFill="1" applyAlignment="1">
      <alignment horizontal="right"/>
    </xf>
    <xf numFmtId="0" fontId="14" fillId="4" borderId="0" xfId="0" applyFont="1" applyFill="1" applyAlignment="1">
      <alignment horizontal="center"/>
    </xf>
    <xf numFmtId="0" fontId="23" fillId="4" borderId="0" xfId="0" applyFont="1" applyFill="1"/>
    <xf numFmtId="0" fontId="24" fillId="0" borderId="0" xfId="0" applyFont="1"/>
    <xf numFmtId="0" fontId="25" fillId="4" borderId="0" xfId="0" applyFont="1" applyFill="1"/>
    <xf numFmtId="0" fontId="14" fillId="13" borderId="0" xfId="0" applyFont="1" applyFill="1"/>
    <xf numFmtId="0" fontId="26" fillId="4" borderId="0" xfId="0" applyFont="1" applyFill="1"/>
    <xf numFmtId="0" fontId="14" fillId="0" borderId="6" xfId="0" applyFont="1" applyBorder="1"/>
    <xf numFmtId="0" fontId="14" fillId="0" borderId="7" xfId="0" applyFont="1" applyBorder="1"/>
    <xf numFmtId="0" fontId="14" fillId="14" borderId="0" xfId="0" applyFont="1" applyFill="1"/>
    <xf numFmtId="9" fontId="13" fillId="4" borderId="0" xfId="0" applyNumberFormat="1" applyFont="1" applyFill="1" applyAlignment="1">
      <alignment horizontal="right"/>
    </xf>
    <xf numFmtId="0" fontId="14" fillId="0" borderId="4" xfId="0" applyFont="1" applyBorder="1"/>
    <xf numFmtId="0" fontId="12" fillId="0" borderId="2" xfId="0" applyFont="1" applyBorder="1"/>
    <xf numFmtId="9" fontId="19" fillId="0" borderId="0" xfId="0" applyNumberFormat="1" applyFont="1"/>
    <xf numFmtId="9" fontId="27" fillId="0" borderId="0" xfId="0" applyNumberFormat="1" applyFont="1" applyAlignment="1">
      <alignment horizontal="right"/>
    </xf>
    <xf numFmtId="9" fontId="28" fillId="0" borderId="0" xfId="0" applyNumberFormat="1" applyFont="1" applyAlignment="1">
      <alignment horizontal="right"/>
    </xf>
    <xf numFmtId="9" fontId="27" fillId="0" borderId="4" xfId="0" applyNumberFormat="1" applyFont="1" applyBorder="1" applyAlignment="1">
      <alignment horizontal="right"/>
    </xf>
    <xf numFmtId="164" fontId="29" fillId="0" borderId="2" xfId="0" applyNumberFormat="1" applyFont="1" applyBorder="1"/>
    <xf numFmtId="9" fontId="14" fillId="0" borderId="8" xfId="0" applyNumberFormat="1" applyFont="1" applyBorder="1" applyAlignment="1">
      <alignment horizontal="right"/>
    </xf>
    <xf numFmtId="9" fontId="14" fillId="0" borderId="1" xfId="0" applyNumberFormat="1" applyFont="1" applyBorder="1" applyAlignment="1">
      <alignment horizontal="right"/>
    </xf>
    <xf numFmtId="9" fontId="14" fillId="0" borderId="9" xfId="0" applyNumberFormat="1" applyFont="1" applyBorder="1"/>
    <xf numFmtId="0" fontId="14" fillId="15" borderId="0" xfId="0" applyFont="1" applyFill="1"/>
    <xf numFmtId="0" fontId="30" fillId="4" borderId="0" xfId="0" applyFont="1" applyFill="1"/>
    <xf numFmtId="4" fontId="4" fillId="0" borderId="0" xfId="0" applyNumberFormat="1" applyFont="1"/>
    <xf numFmtId="0" fontId="29" fillId="0" borderId="0" xfId="0" applyFont="1" applyAlignment="1">
      <alignment vertical="top"/>
    </xf>
    <xf numFmtId="0" fontId="31" fillId="4" borderId="0" xfId="0" applyFont="1" applyFill="1" applyAlignment="1">
      <alignment horizontal="left"/>
    </xf>
    <xf numFmtId="0" fontId="14" fillId="0" borderId="0" xfId="0" applyFont="1" applyAlignment="1">
      <alignment horizontal="left"/>
    </xf>
    <xf numFmtId="0" fontId="12" fillId="0" borderId="5" xfId="0" applyFont="1" applyBorder="1"/>
    <xf numFmtId="9" fontId="14" fillId="9" borderId="2" xfId="0" applyNumberFormat="1" applyFont="1" applyFill="1" applyBorder="1" applyAlignment="1">
      <alignment horizontal="right"/>
    </xf>
    <xf numFmtId="9" fontId="14" fillId="9" borderId="3" xfId="0" applyNumberFormat="1" applyFont="1" applyFill="1" applyBorder="1" applyAlignment="1">
      <alignment horizontal="right"/>
    </xf>
    <xf numFmtId="9" fontId="14" fillId="0" borderId="3" xfId="0" applyNumberFormat="1" applyFont="1" applyBorder="1"/>
    <xf numFmtId="9" fontId="12" fillId="0" borderId="2" xfId="0" applyNumberFormat="1" applyFont="1" applyBorder="1" applyAlignment="1">
      <alignment horizontal="right"/>
    </xf>
    <xf numFmtId="0" fontId="32" fillId="4" borderId="0" xfId="0" applyFont="1" applyFill="1"/>
    <xf numFmtId="0" fontId="12" fillId="14" borderId="0" xfId="0" applyFont="1" applyFill="1"/>
    <xf numFmtId="0" fontId="14" fillId="4" borderId="3" xfId="0" applyFont="1" applyFill="1" applyBorder="1"/>
    <xf numFmtId="0" fontId="17" fillId="4" borderId="0" xfId="0" applyFont="1" applyFill="1"/>
    <xf numFmtId="165" fontId="12" fillId="0" borderId="0" xfId="0" applyNumberFormat="1" applyFont="1" applyAlignment="1">
      <alignment horizontal="right"/>
    </xf>
    <xf numFmtId="0" fontId="13" fillId="0" borderId="3" xfId="0" applyFont="1" applyBorder="1"/>
    <xf numFmtId="0" fontId="13" fillId="0" borderId="1" xfId="0" applyFont="1" applyBorder="1"/>
    <xf numFmtId="0" fontId="12" fillId="0" borderId="6" xfId="0" applyFont="1" applyBorder="1"/>
    <xf numFmtId="0" fontId="19" fillId="0" borderId="4" xfId="0" applyFont="1" applyBorder="1"/>
    <xf numFmtId="0" fontId="19" fillId="0" borderId="2" xfId="0" applyFont="1" applyBorder="1"/>
    <xf numFmtId="164" fontId="29" fillId="0" borderId="0" xfId="0" applyNumberFormat="1" applyFont="1"/>
    <xf numFmtId="0" fontId="12" fillId="4" borderId="3" xfId="0" applyFont="1" applyFill="1" applyBorder="1"/>
    <xf numFmtId="0" fontId="19" fillId="0" borderId="3" xfId="0" applyFont="1" applyBorder="1"/>
    <xf numFmtId="0" fontId="15" fillId="4" borderId="3" xfId="0" applyFont="1" applyFill="1" applyBorder="1"/>
    <xf numFmtId="166" fontId="4" fillId="0" borderId="0" xfId="0" applyNumberFormat="1" applyFont="1"/>
    <xf numFmtId="167" fontId="4" fillId="0" borderId="0" xfId="0" applyNumberFormat="1" applyFont="1"/>
    <xf numFmtId="168" fontId="4" fillId="0" borderId="0" xfId="0" applyNumberFormat="1" applyFont="1"/>
    <xf numFmtId="0" fontId="33" fillId="0" borderId="0" xfId="0" applyFont="1"/>
    <xf numFmtId="49" fontId="4" fillId="0" borderId="0" xfId="0" applyNumberFormat="1" applyFont="1"/>
    <xf numFmtId="169" fontId="4" fillId="0" borderId="0" xfId="0" applyNumberFormat="1" applyFont="1"/>
    <xf numFmtId="168" fontId="34" fillId="0" borderId="0" xfId="0" applyNumberFormat="1" applyFont="1"/>
    <xf numFmtId="1" fontId="4" fillId="0" borderId="0" xfId="0" applyNumberFormat="1" applyFont="1"/>
    <xf numFmtId="0" fontId="35" fillId="8" borderId="0" xfId="0" applyFont="1" applyFill="1"/>
    <xf numFmtId="168" fontId="14" fillId="0" borderId="9" xfId="0" applyNumberFormat="1" applyFont="1" applyBorder="1" applyAlignment="1">
      <alignment horizontal="right"/>
    </xf>
    <xf numFmtId="0" fontId="4" fillId="9" borderId="0" xfId="0" applyFont="1" applyFill="1"/>
    <xf numFmtId="0" fontId="0" fillId="0" borderId="10" xfId="0" applyBorder="1"/>
    <xf numFmtId="0" fontId="37" fillId="0" borderId="0" xfId="0" applyFont="1"/>
    <xf numFmtId="0" fontId="36" fillId="0" borderId="0" xfId="0" applyFont="1"/>
    <xf numFmtId="0" fontId="36" fillId="16" borderId="0" xfId="0" applyFont="1" applyFill="1"/>
    <xf numFmtId="9" fontId="37" fillId="0" borderId="0" xfId="0" applyNumberFormat="1" applyFont="1" applyAlignment="1">
      <alignment horizontal="right"/>
    </xf>
    <xf numFmtId="0" fontId="37" fillId="0" borderId="0" xfId="0" applyFont="1" applyAlignment="1">
      <alignment horizontal="right"/>
    </xf>
    <xf numFmtId="3" fontId="38" fillId="0" borderId="0" xfId="0" applyNumberFormat="1" applyFont="1"/>
    <xf numFmtId="9" fontId="19" fillId="0" borderId="0" xfId="0" applyNumberFormat="1" applyFont="1"/>
    <xf numFmtId="0" fontId="0" fillId="0" borderId="0" xfId="0"/>
    <xf numFmtId="0" fontId="0" fillId="0" borderId="11" xfId="0" pivotButton="1" applyBorder="1"/>
    <xf numFmtId="0" fontId="0" fillId="0" borderId="12" xfId="0" pivotButton="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8" xfId="0" pivotButton="1" applyBorder="1"/>
    <xf numFmtId="0" fontId="0" fillId="0" borderId="12" xfId="0" applyNumberFormat="1" applyBorder="1"/>
    <xf numFmtId="0" fontId="0" fillId="0" borderId="19" xfId="0" applyBorder="1"/>
    <xf numFmtId="0" fontId="0" fillId="0" borderId="14" xfId="0" applyNumberFormat="1" applyBorder="1"/>
    <xf numFmtId="0" fontId="0" fillId="0" borderId="20" xfId="0" applyBorder="1"/>
    <xf numFmtId="0" fontId="0" fillId="0" borderId="21" xfId="0" applyBorder="1"/>
    <xf numFmtId="0" fontId="0" fillId="0" borderId="18" xfId="0" applyNumberFormat="1" applyBorder="1"/>
    <xf numFmtId="0" fontId="0" fillId="0" borderId="22" xfId="0" applyBorder="1"/>
    <xf numFmtId="0" fontId="0" fillId="0" borderId="23" xfId="0" applyBorder="1"/>
    <xf numFmtId="9" fontId="0" fillId="0" borderId="11" xfId="0" applyNumberFormat="1" applyBorder="1"/>
    <xf numFmtId="9" fontId="0" fillId="0" borderId="24" xfId="0" applyNumberFormat="1" applyBorder="1"/>
    <xf numFmtId="9" fontId="0" fillId="0" borderId="12" xfId="0" applyNumberFormat="1" applyBorder="1"/>
    <xf numFmtId="0" fontId="0" fillId="0" borderId="11" xfId="0" applyNumberFormat="1" applyBorder="1"/>
    <xf numFmtId="0" fontId="0" fillId="0" borderId="24" xfId="0" applyNumberFormat="1" applyBorder="1"/>
    <xf numFmtId="0" fontId="0" fillId="0" borderId="19" xfId="0" applyNumberFormat="1" applyBorder="1"/>
    <xf numFmtId="0" fontId="0" fillId="0" borderId="0" xfId="0" applyNumberFormat="1"/>
    <xf numFmtId="0" fontId="0" fillId="0" borderId="16" xfId="0" applyNumberFormat="1" applyBorder="1"/>
    <xf numFmtId="0" fontId="0" fillId="0" borderId="25" xfId="0" applyNumberFormat="1" applyBorder="1"/>
    <xf numFmtId="0" fontId="0" fillId="0" borderId="26" xfId="0" applyBorder="1"/>
    <xf numFmtId="0" fontId="0" fillId="0" borderId="27" xfId="0" applyBorder="1"/>
    <xf numFmtId="0" fontId="0" fillId="0" borderId="28" xfId="0" applyBorder="1"/>
    <xf numFmtId="0" fontId="0" fillId="0" borderId="24" xfId="0" applyBorder="1"/>
    <xf numFmtId="9" fontId="0" fillId="0" borderId="16" xfId="0" applyNumberFormat="1" applyBorder="1"/>
  </cellXfs>
  <cellStyles count="1">
    <cellStyle name="Normal" xfId="0" builtinId="0"/>
  </cellStyles>
  <dxfs count="4">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pivotCacheDefinition" Target="pivotCache/pivotCacheDefinition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8.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7.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openxmlformats.org/officeDocument/2006/relationships/pivotCacheDefinition" Target="pivotCache/pivotCacheDefinition10.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FTEs Sistemas</a:t>
            </a:r>
          </a:p>
        </c:rich>
      </c:tx>
      <c:overlay val="0"/>
    </c:title>
    <c:autoTitleDeleted val="0"/>
    <c:plotArea>
      <c:layout/>
      <c:barChart>
        <c:barDir val="col"/>
        <c:grouping val="stacked"/>
        <c:varyColors val="1"/>
        <c:ser>
          <c:idx val="0"/>
          <c:order val="0"/>
          <c:tx>
            <c:strRef>
              <c:f>'Tablas para ppt SDT'!$C$2</c:f>
              <c:strCache>
                <c:ptCount val="1"/>
              </c:strCache>
            </c:strRef>
          </c:tx>
          <c:spPr>
            <a:solidFill>
              <a:srgbClr val="1C4587"/>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SDT'!$C$3:$C$8</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85E-475A-9935-701C87A42C6F}"/>
            </c:ext>
          </c:extLst>
        </c:ser>
        <c:ser>
          <c:idx val="1"/>
          <c:order val="1"/>
          <c:tx>
            <c:strRef>
              <c:f>'Tablas para ppt SDT'!$D$2</c:f>
              <c:strCache>
                <c:ptCount val="1"/>
              </c:strCache>
            </c:strRef>
          </c:tx>
          <c:spPr>
            <a:solidFill>
              <a:srgbClr val="3C78D8"/>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SDT'!$D$3:$D$8</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85E-475A-9935-701C87A42C6F}"/>
            </c:ext>
          </c:extLst>
        </c:ser>
        <c:ser>
          <c:idx val="2"/>
          <c:order val="2"/>
          <c:tx>
            <c:strRef>
              <c:f>'Tablas para ppt SDT'!$B$2</c:f>
              <c:strCache>
                <c:ptCount val="1"/>
              </c:strCache>
            </c:strRef>
          </c:tx>
          <c:spPr>
            <a:solidFill>
              <a:srgbClr val="9FC5E8"/>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SDT'!$B$3:$B$8</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85E-475A-9935-701C87A42C6F}"/>
            </c:ext>
          </c:extLst>
        </c:ser>
        <c:dLbls>
          <c:showLegendKey val="0"/>
          <c:showVal val="0"/>
          <c:showCatName val="0"/>
          <c:showSerName val="0"/>
          <c:showPercent val="0"/>
          <c:showBubbleSize val="0"/>
        </c:dLbls>
        <c:gapWidth val="150"/>
        <c:overlap val="100"/>
        <c:axId val="-310651952"/>
        <c:axId val="-310646512"/>
      </c:barChart>
      <c:catAx>
        <c:axId val="-31065195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CO"/>
          </a:p>
        </c:txPr>
        <c:crossAx val="-310646512"/>
        <c:crosses val="autoZero"/>
        <c:auto val="1"/>
        <c:lblAlgn val="ctr"/>
        <c:lblOffset val="100"/>
        <c:noMultiLvlLbl val="1"/>
      </c:catAx>
      <c:valAx>
        <c:axId val="-3106465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CO"/>
          </a:p>
        </c:txPr>
        <c:crossAx val="-310651952"/>
        <c:crosses val="autoZero"/>
        <c:crossBetween val="between"/>
      </c:valAx>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FTEs Sistemas</a:t>
            </a:r>
          </a:p>
        </c:rich>
      </c:tx>
      <c:overlay val="0"/>
    </c:title>
    <c:autoTitleDeleted val="0"/>
    <c:plotArea>
      <c:layout/>
      <c:doughnutChart>
        <c:varyColors val="1"/>
        <c:ser>
          <c:idx val="0"/>
          <c:order val="0"/>
          <c:tx>
            <c:strRef>
              <c:f>'Tablas para ppt SDT'!$A$24</c:f>
              <c:strCache>
                <c:ptCount val="1"/>
                <c:pt idx="0">
                  <c:v>FTEs</c:v>
                </c:pt>
              </c:strCache>
            </c:strRef>
          </c:tx>
          <c:dPt>
            <c:idx val="0"/>
            <c:bubble3D val="0"/>
            <c:spPr>
              <a:solidFill>
                <a:srgbClr val="A4C2F4"/>
              </a:solidFill>
            </c:spPr>
            <c:extLst>
              <c:ext xmlns:c16="http://schemas.microsoft.com/office/drawing/2014/chart" uri="{C3380CC4-5D6E-409C-BE32-E72D297353CC}">
                <c16:uniqueId val="{00000001-8A5A-433A-BB47-BB676CE97C0F}"/>
              </c:ext>
            </c:extLst>
          </c:dPt>
          <c:cat>
            <c:strRef>
              <c:f>'Tablas para ppt SDT'!$B$23:$D$23</c:f>
              <c:strCache>
                <c:ptCount val="3"/>
                <c:pt idx="0">
                  <c:v>Externo</c:v>
                </c:pt>
                <c:pt idx="1">
                  <c:v>Interno</c:v>
                </c:pt>
                <c:pt idx="2">
                  <c:v>Subsidiaria</c:v>
                </c:pt>
              </c:strCache>
            </c:strRef>
          </c:cat>
          <c:val>
            <c:numRef>
              <c:f>'Tablas para ppt SDT'!$B$24:$D$24</c:f>
              <c:numCache>
                <c:formatCode>#,##0</c:formatCode>
                <c:ptCount val="3"/>
                <c:pt idx="0">
                  <c:v>490.11999999999972</c:v>
                </c:pt>
                <c:pt idx="1">
                  <c:v>398.99999999999972</c:v>
                </c:pt>
                <c:pt idx="2">
                  <c:v>40.999999999999986</c:v>
                </c:pt>
              </c:numCache>
            </c:numRef>
          </c:val>
          <c:extLst>
            <c:ext xmlns:c16="http://schemas.microsoft.com/office/drawing/2014/chart" uri="{C3380CC4-5D6E-409C-BE32-E72D297353CC}">
              <c16:uniqueId val="{00000002-8A5A-433A-BB47-BB676CE97C0F}"/>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 asignación por Dirección</a:t>
            </a:r>
          </a:p>
        </c:rich>
      </c:tx>
      <c:overlay val="0"/>
    </c:title>
    <c:autoTitleDeleted val="0"/>
    <c:plotArea>
      <c:layout/>
      <c:barChart>
        <c:barDir val="bar"/>
        <c:grouping val="percentStacked"/>
        <c:varyColors val="1"/>
        <c:ser>
          <c:idx val="0"/>
          <c:order val="0"/>
          <c:tx>
            <c:strRef>
              <c:f>'Tablas para ppt SDT'!$B$46</c:f>
              <c:strCache>
                <c:ptCount val="1"/>
                <c:pt idx="0">
                  <c:v>#¿NOMBRE?</c:v>
                </c:pt>
              </c:strCache>
            </c:strRef>
          </c:tx>
          <c:spPr>
            <a:solidFill>
              <a:srgbClr val="1C4587"/>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SDT'!$B$47:$B$52</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589-493E-BEA3-0911B018CCBE}"/>
            </c:ext>
          </c:extLst>
        </c:ser>
        <c:ser>
          <c:idx val="1"/>
          <c:order val="1"/>
          <c:tx>
            <c:strRef>
              <c:f>'Tablas para ppt SDT'!$D$46</c:f>
              <c:strCache>
                <c:ptCount val="1"/>
              </c:strCache>
            </c:strRef>
          </c:tx>
          <c:spPr>
            <a:solidFill>
              <a:srgbClr val="3C78D8"/>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SDT'!$D$47:$D$52</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589-493E-BEA3-0911B018CCBE}"/>
            </c:ext>
          </c:extLst>
        </c:ser>
        <c:ser>
          <c:idx val="2"/>
          <c:order val="2"/>
          <c:tx>
            <c:strRef>
              <c:f>'Tablas para ppt SDT'!$C$46</c:f>
              <c:strCache>
                <c:ptCount val="1"/>
                <c:pt idx="0">
                  <c:v>Total general</c:v>
                </c:pt>
              </c:strCache>
            </c:strRef>
          </c:tx>
          <c:spPr>
            <a:solidFill>
              <a:srgbClr val="A4C2F4"/>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SDT'!$C$47:$C$52</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589-493E-BEA3-0911B018CCBE}"/>
            </c:ext>
          </c:extLst>
        </c:ser>
        <c:dLbls>
          <c:showLegendKey val="0"/>
          <c:showVal val="0"/>
          <c:showCatName val="0"/>
          <c:showSerName val="0"/>
          <c:showPercent val="0"/>
          <c:showBubbleSize val="0"/>
        </c:dLbls>
        <c:gapWidth val="150"/>
        <c:overlap val="100"/>
        <c:axId val="-310645968"/>
        <c:axId val="-310639440"/>
      </c:barChart>
      <c:catAx>
        <c:axId val="-310645968"/>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CO"/>
          </a:p>
        </c:txPr>
        <c:crossAx val="-310639440"/>
        <c:crosses val="autoZero"/>
        <c:auto val="1"/>
        <c:lblAlgn val="ctr"/>
        <c:lblOffset val="100"/>
        <c:noMultiLvlLbl val="1"/>
      </c:catAx>
      <c:valAx>
        <c:axId val="-31063944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s-CO"/>
          </a:p>
        </c:txPr>
        <c:crossAx val="-310645968"/>
        <c:crosses val="max"/>
        <c:crossBetween val="between"/>
      </c:valAx>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 Dedicación proyectos no normativos</a:t>
            </a:r>
          </a:p>
        </c:rich>
      </c:tx>
      <c:overlay val="0"/>
    </c:title>
    <c:autoTitleDeleted val="0"/>
    <c:plotArea>
      <c:layout/>
      <c:doughnutChart>
        <c:varyColors val="1"/>
        <c:ser>
          <c:idx val="0"/>
          <c:order val="0"/>
          <c:tx>
            <c:strRef>
              <c:f>'Tablas para ppt SDT'!$B$64</c:f>
              <c:strCache>
                <c:ptCount val="1"/>
              </c:strCache>
            </c:strRef>
          </c:tx>
          <c:dPt>
            <c:idx val="0"/>
            <c:bubble3D val="0"/>
            <c:spPr>
              <a:solidFill>
                <a:srgbClr val="EAD1DC"/>
              </a:solidFill>
            </c:spPr>
            <c:extLst>
              <c:ext xmlns:c16="http://schemas.microsoft.com/office/drawing/2014/chart" uri="{C3380CC4-5D6E-409C-BE32-E72D297353CC}">
                <c16:uniqueId val="{00000001-2EC5-4F35-818D-8591369ADC90}"/>
              </c:ext>
            </c:extLst>
          </c:dPt>
          <c:dPt>
            <c:idx val="1"/>
            <c:bubble3D val="0"/>
            <c:spPr>
              <a:solidFill>
                <a:srgbClr val="1C4587"/>
              </a:solidFill>
            </c:spPr>
            <c:extLst>
              <c:ext xmlns:c16="http://schemas.microsoft.com/office/drawing/2014/chart" uri="{C3380CC4-5D6E-409C-BE32-E72D297353CC}">
                <c16:uniqueId val="{00000003-2EC5-4F35-818D-8591369ADC90}"/>
              </c:ext>
            </c:extLst>
          </c:dPt>
          <c:dPt>
            <c:idx val="2"/>
            <c:bubble3D val="0"/>
            <c:spPr>
              <a:solidFill>
                <a:srgbClr val="FFFFFF"/>
              </a:solidFill>
            </c:spPr>
            <c:extLst>
              <c:ext xmlns:c16="http://schemas.microsoft.com/office/drawing/2014/chart" uri="{C3380CC4-5D6E-409C-BE32-E72D297353CC}">
                <c16:uniqueId val="{00000005-2EC5-4F35-818D-8591369ADC90}"/>
              </c:ext>
            </c:extLst>
          </c:dPt>
          <c:dPt>
            <c:idx val="3"/>
            <c:bubble3D val="0"/>
            <c:spPr>
              <a:solidFill>
                <a:srgbClr val="3C78D8"/>
              </a:solidFill>
            </c:spPr>
            <c:extLst>
              <c:ext xmlns:c16="http://schemas.microsoft.com/office/drawing/2014/chart" uri="{C3380CC4-5D6E-409C-BE32-E72D297353CC}">
                <c16:uniqueId val="{00000007-2EC5-4F35-818D-8591369ADC90}"/>
              </c:ext>
            </c:extLst>
          </c:dPt>
          <c:dPt>
            <c:idx val="4"/>
            <c:bubble3D val="0"/>
            <c:spPr>
              <a:solidFill>
                <a:srgbClr val="4A86E8"/>
              </a:solidFill>
            </c:spPr>
            <c:extLst>
              <c:ext xmlns:c16="http://schemas.microsoft.com/office/drawing/2014/chart" uri="{C3380CC4-5D6E-409C-BE32-E72D297353CC}">
                <c16:uniqueId val="{00000009-2EC5-4F35-818D-8591369ADC90}"/>
              </c:ext>
            </c:extLst>
          </c:dPt>
          <c:dPt>
            <c:idx val="5"/>
            <c:bubble3D val="0"/>
            <c:spPr>
              <a:solidFill>
                <a:srgbClr val="A4C2F4"/>
              </a:solidFill>
            </c:spPr>
            <c:extLst>
              <c:ext xmlns:c16="http://schemas.microsoft.com/office/drawing/2014/chart" uri="{C3380CC4-5D6E-409C-BE32-E72D297353CC}">
                <c16:uniqueId val="{0000000B-2EC5-4F35-818D-8591369ADC90}"/>
              </c:ext>
            </c:extLst>
          </c:dPt>
          <c:dPt>
            <c:idx val="6"/>
            <c:bubble3D val="0"/>
            <c:spPr>
              <a:solidFill>
                <a:srgbClr val="D9D9D9"/>
              </a:solidFill>
            </c:spPr>
            <c:extLst>
              <c:ext xmlns:c16="http://schemas.microsoft.com/office/drawing/2014/chart" uri="{C3380CC4-5D6E-409C-BE32-E72D297353CC}">
                <c16:uniqueId val="{0000000D-2EC5-4F35-818D-8591369ADC90}"/>
              </c:ext>
            </c:extLst>
          </c:dPt>
          <c:dPt>
            <c:idx val="7"/>
            <c:bubble3D val="0"/>
            <c:spPr>
              <a:solidFill>
                <a:srgbClr val="C27BA0"/>
              </a:solidFill>
            </c:spPr>
            <c:extLst>
              <c:ext xmlns:c16="http://schemas.microsoft.com/office/drawing/2014/chart" uri="{C3380CC4-5D6E-409C-BE32-E72D297353CC}">
                <c16:uniqueId val="{0000000F-2EC5-4F35-818D-8591369ADC90}"/>
              </c:ext>
            </c:extLst>
          </c:dPt>
          <c:cat>
            <c:strRef>
              <c:f>'Tablas para ppt SDT'!$A$65:$A$72</c:f>
              <c:strCache>
                <c:ptCount val="1"/>
                <c:pt idx="0">
                  <c:v>Total general</c:v>
                </c:pt>
              </c:strCache>
            </c:strRef>
          </c:cat>
          <c:val>
            <c:numRef>
              <c:f>'Tablas para ppt SDT'!$B$65:$B$72</c:f>
              <c:numCache>
                <c:formatCode>General</c:formatCode>
                <c:ptCount val="8"/>
              </c:numCache>
            </c:numRef>
          </c:val>
          <c:extLst>
            <c:ext xmlns:c16="http://schemas.microsoft.com/office/drawing/2014/chart" uri="{C3380CC4-5D6E-409C-BE32-E72D297353CC}">
              <c16:uniqueId val="{00000010-2EC5-4F35-818D-8591369ADC90}"/>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6</xdr:col>
      <xdr:colOff>342900</xdr:colOff>
      <xdr:row>0</xdr:row>
      <xdr:rowOff>104775</xdr:rowOff>
    </xdr:from>
    <xdr:ext cx="5715000" cy="3533775"/>
    <xdr:graphicFrame macro="">
      <xdr:nvGraphicFramePr>
        <xdr:cNvPr id="2" name="Chart 1" title="Gráfico">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228600</xdr:colOff>
      <xdr:row>20</xdr:row>
      <xdr:rowOff>38100</xdr:rowOff>
    </xdr:from>
    <xdr:ext cx="5715000" cy="3533775"/>
    <xdr:graphicFrame macro="">
      <xdr:nvGraphicFramePr>
        <xdr:cNvPr id="3" name="Chart 2" title="Gráfico">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209550</xdr:colOff>
      <xdr:row>42</xdr:row>
      <xdr:rowOff>76200</xdr:rowOff>
    </xdr:from>
    <xdr:ext cx="5715000" cy="3533775"/>
    <xdr:graphicFrame macro="">
      <xdr:nvGraphicFramePr>
        <xdr:cNvPr id="4" name="Chart 3" title="Gráfico">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59</xdr:row>
      <xdr:rowOff>19050</xdr:rowOff>
    </xdr:from>
    <xdr:ext cx="5715000" cy="3533775"/>
    <xdr:graphicFrame macro="">
      <xdr:nvGraphicFramePr>
        <xdr:cNvPr id="5" name="Chart 4" title="Gráfico">
          <a:extLst>
            <a:ext uri="{FF2B5EF4-FFF2-40B4-BE49-F238E27FC236}">
              <a16:creationId xmlns:a16="http://schemas.microsoft.com/office/drawing/2014/main" id="{00000000-0008-0000-0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50.67557175926" refreshedVersion="8" recordCount="1692" xr:uid="{00000000-000A-0000-FFFF-FFFF3D000000}">
  <cacheSource type="worksheet">
    <worksheetSource ref="A1:W1693" sheet="Staffing"/>
  </cacheSource>
  <cacheFields count="23">
    <cacheField name="Código" numFmtId="0">
      <sharedItems containsBlank="1" containsMixedTypes="1" containsNumber="1" containsInteger="1" minValue="1032450219" maxValue="1032450219"/>
    </cacheField>
    <cacheField name="Nombre" numFmtId="0">
      <sharedItems/>
    </cacheField>
    <cacheField name="Dirección" numFmtId="0">
      <sharedItems/>
    </cacheField>
    <cacheField name="Servicio" numFmtId="0">
      <sharedItems count="31">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sharedItems>
    </cacheField>
    <cacheField name="Empresa" numFmtId="0">
      <sharedItems/>
    </cacheField>
    <cacheField name="Dominio" numFmtId="0">
      <sharedItems/>
    </cacheField>
    <cacheField name="Proyecto" numFmtId="0">
      <sharedItems count="227">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sharedItems>
    </cacheField>
    <cacheField name="Dedicación" numFmtId="9">
      <sharedItems containsSemiMixedTypes="0" containsString="0" containsNumber="1" minValue="0"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 name=" 3" numFmtId="3">
      <sharedItems containsNonDate="0" containsString="0" containsBlank="1"/>
    </cacheField>
    <cacheField name=" 4" numFmtId="3">
      <sharedItems containsNonDate="0" containsString="0" containsBlank="1"/>
    </cacheField>
    <cacheField name=" 5"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50.675572106484" refreshedVersion="8" recordCount="1774" xr:uid="{00000000-000A-0000-FFFF-FFFF39000000}">
  <cacheSource type="worksheet">
    <worksheetSource ref="A1:S1775" sheet="Staffing"/>
  </cacheSource>
  <cacheFields count="19">
    <cacheField name="Código" numFmtId="0">
      <sharedItems containsBlank="1" containsMixedTypes="1" containsNumber="1" containsInteger="1" minValue="1032450219" maxValue="1032450219"/>
    </cacheField>
    <cacheField name="Nombre" numFmtId="0">
      <sharedItems containsBlank="1" count="929">
        <s v="QUIROGA VASQUEZ YOAN LEONARDO"/>
        <s v="DIANA PATRICIA BARRANTES PEREZ"/>
        <s v="GUAQUETA ROMERO DEISY YOLIMA"/>
        <s v="EDISON YESID GONZALEZ LANCHEROS"/>
        <s v="QUINTERO CASTILLO DIANA MARCELA"/>
        <s v="RAMIREZ MONTANO CARLOS JULIO"/>
        <s v="OTTO JADIR SAGUIT SANTOS ALBARRACIN"/>
        <s v="NATALIA CANAS YATE"/>
        <s v="LUZ DARY PATINO PINTOR "/>
        <s v="LINA MARCELA SANABRIA BERNAL"/>
        <s v="PAULA MARCELA MOLINA LEGUIZAMO"/>
        <s v="MISAEL ARLEY TELLEZ SERRANO"/>
        <s v="DANIEL ALEJANDRO ROA ACERO "/>
        <s v="JOHN JAIRO RIVERA PENA "/>
        <s v="WILLIAM ROBERTO MORA BERNAL"/>
        <s v="MATEO OLAYA OSORIO"/>
        <s v="ANA MARIA MORENO RAMIREZ"/>
        <s v="JEISON VISBAL"/>
        <s v="WILMER AUGUSTO PEREZ NIÑO"/>
        <s v="DIEGO ARISTOBULO DIAZ PLATA"/>
        <s v="DILAN ANDRES LOPEZ MENA"/>
        <s v="JONNATHAN ARMANDO ASTROZ MARIN"/>
        <s v="KELLY JOHANA VANEGAS"/>
        <s v="BETZY PAOLA JARAMILLO LASTRA"/>
        <s v="DAVID FEILPE CIFUENTES"/>
        <s v="FERNANDO TIBADUIZA GUTIERREZ"/>
        <s v="LENIN QUINTERO MUÑOZ"/>
        <s v="RICARDO AMAYA VIANCHA (QA)"/>
        <s v="JAVIER CALDERON LOPEZ"/>
        <s v="JHON FREDDY ZAPATA MUÑOZ"/>
        <s v="CESAR LEONEL MARTIN CASTILLO (QA)"/>
        <s v="JORGE SEBASTIAN RODRIGUEZ MORA"/>
        <s v="WILVER MARTINEZ ALVARADO"/>
        <s v="CARLOS MAURICIO AGUIRRE TOVAR"/>
        <s v="JUAN DAVID ACOSTA OBANDO (QA)"/>
        <s v="CARLOS IVAN CHOCONTA"/>
        <s v="CARLOS ALBERTO PARDO"/>
        <s v="YEHIN STIVEN PATIÑO"/>
        <s v="CAROLINA BERNAL"/>
        <s v="HUMBERTO MALAGON VARGAS (Torre)"/>
        <s v="JAIRO ARTURO BELTAN (Torre)"/>
        <s v="JOHN ANDRES DIAZ AYALA (Torre)"/>
        <s v="MARISOL VEGA JOYA (QA)"/>
        <s v="WILLIAM JAVIER VILLAMIL ZAPATA "/>
        <s v="LAURA PULIDO DIAZ"/>
        <s v="DEIMER DAVID JIMENEZ MAESTRE"/>
        <s v="ANGIE DANIELA PERDOMO RAMIREZ (QA)"/>
        <s v="WILLIAM FERNANDO ALARCON"/>
        <s v="LUIS FERNANDO GUTIERREZ PRADO"/>
        <s v="ANDRES ARTURO QUINTERO"/>
        <s v="JORGE LUIS MONTEJO (Torre)"/>
        <s v="MANUEL ALEJANDRO MARENCO (Torre)"/>
        <s v="MARIELA CUBIDES  VILLAQUIRAN (Torre)"/>
        <s v="LUISA FERNANDA CASTRILLON"/>
        <s v="DANIEL FELIPE ZAPATA"/>
        <s v="JUANITA GARCIA CONTRERAS"/>
        <s v="JUAN DAVID PRECIADO AGUILAR "/>
        <s v="YINET CATALINA TORRES (QA)"/>
        <s v="DAVID CAMILO CORREDOR RODRIGUEZ"/>
        <s v="ELKIN FERNANDO RIVERA GOMEZ"/>
        <s v="JOHN MAICOL NUÑEZ SANTA"/>
        <s v="JORGE ARMANDO MILLAN GOMEZ"/>
        <s v="JOSE MIGUEL PARDO"/>
        <s v="MAIRON STIVENS JIMENEZ QUIROGA"/>
        <s v="JESUS DAVID TELLO ARISTIZABAL"/>
        <s v="GUSTAVO ANDRES CAMARGO"/>
        <s v="DARREN NICOLAS DURAN JAMAICA"/>
        <s v="CAROL VIVIANA CARVAJALNAGLES"/>
        <s v="ANGELICA MARINA CASTILLA RENDON"/>
        <s v="ANGELY JOHANA GONZALEZ VILLAMIL"/>
        <s v="JEIMMY ALEJANDRA SANCHEZ LOPEZ"/>
        <s v="YEIMY TATIANA ZAMORA GUEVARA"/>
        <s v="JOHANA IDALY GARZON RUIZ"/>
        <s v="LINA JULIETH REDONDO SOLER"/>
        <s v="JELBER STIBEN LOZANO PRADA"/>
        <s v="LADY JOHANNA ARDILA ABELLO"/>
        <s v="YEIMY PATRICIA PELAEZ ARENAS"/>
        <s v="KAREN JULIETH VASQUEZ ROMERO"/>
        <s v="JULY VANESSA TORRES ZARATE"/>
        <s v="PAUL JONATHAN VALENCIA MUÑOZ"/>
        <s v="JENNY PAOLA LOSADA VELASCO"/>
        <s v="MONICA ALEJANDRA QUINTERO PEREZ"/>
        <s v="ROBERTO ANTONIO MARTINEZ"/>
        <s v="DILSON PARDO SANTANA"/>
        <s v="FELIPE ALONSO SOTO CABALLERO"/>
        <s v="SANDRA LILIANA SANCHEZ PULIDO"/>
        <s v="MARTHA LUCIA PORRAS"/>
        <s v="JUAN MARTIN UMAÑA"/>
        <s v="GERMAN ZARRIA MENDEZ"/>
        <s v="CONSUELO MOLINA GUERRERO"/>
        <s v="GIOVANNI ESGUERRA VELANDIA"/>
        <s v="DANNA VALERIA MESA ALFONSO"/>
        <s v="CAMILO ALBERTO GARCES BELTRAN"/>
        <s v="ANA CONSUELO TRASLAVIÑA"/>
        <s v="DEYSON EMIR MURILLO MORENO"/>
        <s v="_x0009_LIZETH DUEÑAS"/>
        <s v="_x0009_DIOCLECIANO LOPÉZ"/>
        <s v="CESAR EUCLIDES MURILLO CAICEDO"/>
        <s v="LUIS GUILLERMO SANCHEZ"/>
        <s v="SANTIAGO ALEJANDRO CORREDOR"/>
        <s v="LIZZETH PAOLA FORERO"/>
        <s v="OSVALDO JAVIER LOPEZ CASTILLO"/>
        <s v="SERGIO LUIS DIAZ TORO"/>
        <s v="MANUEL ESTEBAN MORENO"/>
        <s v="CARLOS EDUARDO BELLO"/>
        <s v="BRAYAN JOSE VIVAS GOMEZ"/>
        <s v="NESTOR EDUARDO SILVA VERGARA "/>
        <s v="JONATHAN ANGEL MURCIA"/>
        <s v="JUAN DAVID GONZALEZ MONROY"/>
        <s v="CARLOS ANDRES BETANCUR MARIN"/>
        <s v="MYRIAM GARCIA HERNANDEZ"/>
        <s v="JORGE ROBINSON MENESES GUTIERREZ"/>
        <s v="DIEGO FRANCISCO FLORES DIAZ"/>
        <s v="ALVARO IVAN BARRIOS PINEDA"/>
        <s v="LAURA VALENTINA RINCON RODRIGUEZ"/>
        <s v="ARMANDO RAFAEL VASQUEZ ALTAMAR"/>
        <s v="Cardozo Castro Diana Carolina"/>
        <s v="Carlos Andres De la pava Jimenez"/>
        <s v="Cipagauta Rodriguez Edwin Guillermo"/>
        <s v="Diego Andrés Mateus Triana"/>
        <s v="Ever Alexander Bravo Vergara"/>
        <s v="JUAN SEBASTIAN SANCHEZ"/>
        <s v="Manuel Camilo Sanchez Sevilla"/>
        <s v="Montana Castro Camilo Arturo"/>
        <s v="Quiroz Munoz Bryan Antonio"/>
        <s v="SANTIAGO SALAS CARRERA"/>
        <s v="Torres Laguado Juan Sebastian"/>
        <s v="yeison andres consuegra vega"/>
        <s v="YURI VALENTINA MUÑOZ"/>
        <s v="MIGUEL ANTONIO GUIO ESPINOSA "/>
        <s v="Pena Agudelo Rosario Elena"/>
        <s v="Guzman Gonzalez Jorge Enrique"/>
        <s v="CRISTIAN DAVID VARGAS SIERRA"/>
        <s v="Carlos Andres Cely Vergara"/>
        <s v="CASTELLANOS RODRIGUEZ EDUARDO"/>
        <s v="Cesar Argenis Ruano Hernandez"/>
        <s v="Diego Francisco Florez Diaz"/>
        <s v="Iván Jonathan Romero Medina"/>
        <s v="Jeisson Andres Tequia Rincon"/>
        <s v="MORENO MUNOZ EMMANUEL"/>
        <s v="Niteen Kumar Kanaiya"/>
        <s v="DANIEL MAURICIO RIANO PEDRAZA_x000a_"/>
        <s v="JOSE ROBERTO GONZALEZ MELO_x000a_"/>
        <s v="DANIEL ANTONIO CAMACHO ARIZA"/>
        <s v="JEISSON ANDRES RUIZ MARTINEZ"/>
        <s v="DANEL PULECIO GONZALEZ "/>
        <s v="CHRISTIAN EDUARDO DIAZ GARCIA "/>
        <s v="DAVID ANDRES RODRIGUEZ BAEZ"/>
        <s v="GOMEZ CUADRADO JENNY PAOLA"/>
        <s v="JUAN DAVID MONTERO BOGOTA"/>
        <s v="MILENA MARGARITA GONZALEZ PARRA "/>
        <s v="REY GOMEZ ANDRES CAMILO"/>
        <s v="VACA BERNAL JAIRO ALEXIS"/>
        <s v="VIVIANA ALARCON TORRES"/>
        <s v="ZARATE PAVAS JOHN JAIRO"/>
        <s v="ANGELA MARIA DIAZ PEÑA "/>
        <s v="Andres Francisco Duarte Sanchez"/>
        <s v="Andres Leonardo Ramirez Sanchez"/>
        <s v="Eder Alberto Niño Mora"/>
        <s v="Jeisson Steven Rincon Mellizo"/>
        <s v="Juan Pablo Ahumada Avila"/>
        <s v="Leidy Johanna Ospina Rodriguez"/>
        <s v="Luis Alberto Caldera Chavez"/>
        <s v="Orlando Salvador Mora Andrade"/>
        <s v="Oscar Manuel Diaz Fique"/>
        <s v="Ronald David Lara Hernandez"/>
        <s v="Walther Mauricio Guerrero"/>
        <s v="ROBERTO CARLOS NIETO SUAREZ"/>
        <s v="IVETTE AYCHELL MONROY SUAREZ"/>
        <s v="DANIEL ESTEBAN MORENO CARRILLO"/>
        <s v="NORMA CECILIA MORENO GONZALEZ"/>
        <s v="ANGIE CAROLINA MORALES DUENAS"/>
        <s v="HAROLD HERNANDO REYES VARGAS_x000a_"/>
        <s v="EDWARD STIVEN RODRIGUEZ MORENO"/>
        <s v="JUAN PABLO AREVALO MERCHAN"/>
        <s v="Victor Hans De La Cruz Quispe"/>
        <s v="YESICA DANIELA VARGAS ESPITIA"/>
        <s v="LUIGUI SANTIAGO FAJARDO TOLOZA"/>
        <s v="MARILUZ SANCHEZ MORENO"/>
        <s v="SANTIAGO GALLEGO BEDOYA_x000a_"/>
        <s v="JUAN SEBASTIAN RODRIGUEZ PARRA"/>
        <s v="ADOLFO ENRIQUE BERNAL RODRIGUEZ"/>
        <s v="ALBA FABIOLA GOMEZ RODRIGUEZ"/>
        <s v="ALEXANDER PLATA USCATEGUI"/>
        <s v="CAMILO MONDRAGON"/>
        <s v="CARLOS ALBERTO GUERRERO MONTAÑA"/>
        <s v="CARLOS EDUARDO YEPES ANGEL"/>
        <s v="CHRISTIAN CAMILO PERDOMO MEDINA"/>
        <s v="DIANA MILENA SALAMANCA CHIQUILLO"/>
        <s v="DIANA ROCIO GERENA HERRERA"/>
        <s v="EDGAR ANDRES GARZON"/>
        <s v="ESPERANZA DIAZ HERNANDEZ"/>
        <s v="EMMANUEL GERMAN FORSTER"/>
        <s v="FABER IVAN MAYORQUIN RESTREPO"/>
        <s v="JAIRO ANZOLA PLATA L"/>
        <s v="JENITH MARSELLA MANTILLA RODRIGUEZ"/>
        <s v="JHON FREDY PACHECO AVELLA"/>
        <s v="JHON FREDY PINZON PAEZ"/>
        <s v="JIOVANNY SUAREZ GONZALEZ"/>
        <s v="JORGE LUIS SALAMANCA ORTIZ"/>
        <s v="JORGE VICENTE SALAS PERILLA"/>
        <s v="JUAN DAVID CELIS NUÑEZ"/>
        <s v="JULIAN CAMILO ESGUERRA PINEDA"/>
        <s v="JULIANA FERNANDA BONILLA RODRIGUEZ"/>
        <s v="JULIO DIAZ PENAGOS "/>
        <s v="KATERINE CRUZ SUAREZ"/>
        <s v="LEISON FABIAN MEJIA GARCIA"/>
        <s v="LUIS FERNANDO RODRIGUEZ MEDINA"/>
        <s v="MARIA DEL PILAR GARCIA  GONZALES"/>
        <s v="MARIO ALBERTO MORALES LEON"/>
        <s v="MAYERLY TATIANA NARVAEZ MARIN"/>
        <s v="MILLER FERNANDO CAMARGO AMADO"/>
        <s v="NATALIA REYES LOPEZ"/>
        <s v="NICOLAS ALEXANDER ALDANA MENDOZA"/>
        <s v="OSCAR ORLANDO ACEVEDO FERRER"/>
        <s v="SUSANA ANDREA PARRA CABRERA"/>
        <s v="VIVIAN JUALINY  ESPITIA BENITEZ"/>
        <s v="WILMAR ALBERTO ROMERO"/>
        <s v="YIGLIANA ALVAREZ MENDOZA"/>
        <s v="YULY MARCELA OVALLE GOMEZ"/>
        <s v="MICHAEL CESAR LLANES POLO"/>
        <s v="LICETH YHOMARY GONZALEZ PENAGOS"/>
        <s v="JULIAN ALBERTO HERRERA SALAZAR"/>
        <s v="JOHN FERNANDO AREVALO BERMUDEZ"/>
        <s v="DANIELA ALEJANDRA ROMERO CANGREJO"/>
        <s v="MARIANELLA FANDIÑO NIETO"/>
        <s v="BAUTISTA MOLINA, LINA MARCELA"/>
        <s v="BUITRAGO GUALTEROS, ANDRES FELIPE"/>
        <s v="VARGAS PEREZ, WENDY MARITZA"/>
        <s v="LOZANO BELTRAN, WILLIAM EDUARDO"/>
        <s v="ROJAS VILLEGAS, ADRIAN"/>
        <s v="MORENO HERNANDEZ, KAREN ANDREA"/>
        <s v="VEGA ROZO, EMANUEL"/>
        <s v="SUAREZ RESTREPO, DIANA MARCELA"/>
        <s v="GILDARDO AGUIRRE RIOS"/>
        <s v="ANDRES FELIPE PADILLA ROJAS"/>
        <s v="MARCO FABIAN ZABALA VILLANUEVA"/>
        <s v="JAIRO LEON ESPITIA BOTIA"/>
        <s v="NANCY YASMIDA REATIGA CARVAJAL"/>
        <s v="ANGELA LILIANA SAENZ FAJARDO"/>
        <s v="Juan camilo velasquez mantilla"/>
        <s v="ANDRES CAMILO PARRA SUAREZ"/>
        <s v="NELSON LEONEL FONSECA OCHOA"/>
        <s v="SERGIO ANDRES SEPULVEDA CRUZ"/>
        <s v="FREDY MAURICIO CELY HERNÁNDEZ"/>
        <s v="ANDRES CAMILO BOHORQUEZ CASTILLO"/>
        <s v="AUGUSTO CARDONA GIRALDO"/>
        <s v="JUAN CAMILO CASTANO RAMIREZ"/>
        <s v="DANIEL FERNANDO DIAZ CACERES"/>
        <s v="EDISSON ARMANDO BLANCO SALAMANCA"/>
        <s v="GIOVANNY ALEXANDER PEÑA GUTIÉRREZ"/>
        <s v="HERNAN DARIO RAMOS ORTIZ"/>
        <s v="JOAN FEDERICO MARIN RUIZ"/>
        <s v="JOHN MARLON NUÑEZ NIÑO"/>
        <s v="JORGE ANDRES REINA ANGULO"/>
        <s v="JUAN ESTEBAN ALARCON MIRANDA"/>
        <s v="JULIAN FERNANDO MARTINEZ RODRIGUEZ"/>
        <s v="LEIDY CATERINE ARIZA BALLESTEROS"/>
        <s v="LUIS ALEJANDRO BURGOS"/>
        <s v="LUIS FERNANDO PEÑA CAICEDO"/>
        <s v="MARCO JULIO GOMEZ AMADO"/>
        <s v="MARIO FERNANDO RAMIREZ LEGUIZAMON"/>
        <s v="PEDRO MOLLEHUANCA TORRES"/>
        <s v="SERGIO ANDRES BRAVO ROMERO"/>
        <s v="TEDDY JEFERSON POVEDA SARAY"/>
        <s v="VICTOR MANUEL PEREZ CONTRERAS"/>
        <s v="WILLIAM CAMILO RUBIO QUINTERO"/>
        <s v="LAURA NATHALY NIETO AMAYA"/>
        <s v="HECTOR JESUS SISO JIMENEZ"/>
        <s v="CARLOS ANDRES SUAREZ"/>
        <s v="WILMAR CRUZ MORA"/>
        <s v="ANDRES ALBERTO ARIZA "/>
        <s v="JOSE LUIS SARTA ALVAREZ"/>
        <s v="DANIEL FERNANDO USECHE"/>
        <s v="DARLY FERNANDA SANDOVAL PLAZAS"/>
        <s v="EDNA ROCIO MONCADA"/>
        <s v="OSCAR JAVIER ALVAREZ CAMACHO"/>
        <s v="LEONARDO SIMBAQUEBA ESGUERRA"/>
        <s v="RICARDO ALEXANDER CALVO JIMENEZ"/>
        <s v="ANA MILENA GARCIA COBO"/>
        <s v="YEIMY PAOLA PERDOMO"/>
        <s v="KEVIN ORLANDO OJEDA"/>
        <s v="MARCO HERNAN CASTELLANOS"/>
        <s v="JORGE ENRIQUE CARRILLO DIAZ"/>
        <s v="JAIRO FERNANDO TAMARA RUBIANO"/>
        <s v="Fabian andres valbuena aragon"/>
        <s v="ANDRES GALVIS TRIVIÑO"/>
        <s v="SEBASTIAN GOMEZ CORCHUELO"/>
        <s v="JAIR DE JESUS MOLINA FORNARIS"/>
        <s v="ARLEX JULIAN RODRIGUEZ RINCON"/>
        <s v="CESAR AUGUSTO MONTERO HERNANDEZ"/>
        <s v="HELDER HAROLD SOLANO SOLANO"/>
        <s v="ANDREA POLO KOCH"/>
        <s v="CLARIBEL ABRIL VELASCO"/>
        <s v="JAIME JOSE ALFONSO COTES"/>
        <s v="JUAN CARLOS ALDANA MORENO"/>
        <s v="JULIAN CAMILO QUINONES QUINTERO"/>
        <s v="LESIA MARGARITA VALERA CONTRERAS"/>
        <s v="OSCAR FABIAN MACANA GARNICA"/>
        <s v="SERGIO ALEJANDRO DIAZ HOYOS"/>
        <s v="MARIA YOLANDA BRAND LEON"/>
        <s v="JOHAN SEBASTIAN LAGOS MORALES"/>
        <s v="SANDRA PATRICIA RAMIREZ TRIANA"/>
        <s v="CARLOS ALBERTO GOMEZ GOMEZ"/>
        <s v="CAROLINA BARROS BERNAL"/>
        <s v="DIEGO ALEXANDER ALBA RODRÍGUEZ"/>
        <s v="JAIME ALEJANDRO ROJAS NIVIA"/>
        <s v="JOHN EDER IBAÑEZ LARA_x000a_"/>
        <s v="JULIAN CHAPARRO LATORRE"/>
        <s v="NELSON AUGUSTO SANABRIA ORTEGA"/>
        <s v="OSCAR FABIAN PEDRAZA MONROY"/>
        <s v="JOSE AGUSTIN RODRIGUEZ ZORRO"/>
        <s v="CREYCCE JOHANA HINCAPIE RODRIGUEZ"/>
        <s v="CRISTIAN ANDRES SIERRA ESPINEL"/>
        <s v="MARY LUZ RUALES GUZMAN"/>
        <s v="JOSE MIGUEL PORTILLO ROJAS"/>
        <s v="MICHAEL CECILIO SODIR REVETE"/>
        <s v="CARLOS ANDRES MORA MUÑOZ"/>
        <s v="DESIREE JOSELYN MARQUEZ DIAZ"/>
        <s v="FRANCINE NARVAEZ LONDOÑO"/>
        <s v="JEISON IVAN GAMBA HASTAMORIR"/>
        <s v="NANCY ESTEFANIA CASAS PERDOMO"/>
        <s v="JOHAN SEBASTIAN DUEÑAS ARTUNDUAGA_x000a_"/>
        <s v="ELKIN FERNANDO BURBANO CORAL"/>
        <s v="DANEY FELIPE MIRANDA MIRANDA"/>
        <s v="ERICK SANTIAGO GUERRERO ROMERO"/>
        <s v="CRISTHIAN ARMANDO DUEÑAS"/>
        <s v="PABLO ENRIQUE CALDERON DIAZ"/>
        <s v="MIGUEL FAJARDO"/>
        <s v="GIOVANNI ALONSO PENARETE BUITRAGO"/>
        <s v="HENRY FABIAN ROJAS GALLEGO"/>
        <s v="SEBASTIAN FELIPE ROJAS"/>
        <s v="CLARENA VALENCIA CALDERON"/>
        <s v="JULIAN LEANDRO CASTRO"/>
        <s v="KATHERINE GALINDO VARGAS"/>
        <s v="NATALIA ALEJANDRA GRAJALES CARDONA"/>
        <s v="ANDREA MARCELA RODRIGUEZ A"/>
        <s v="JAIRO JUNIOR HERNANDEZ TRILLOS"/>
        <s v="ENOIDES MEJIA"/>
        <s v="MARIA ALEJANDRA ZUÑIGA"/>
        <s v="ANDREA CATERIN MUNOZ ACOSTA"/>
        <s v="TANIA YULIETH PUENTES REAL"/>
        <s v="EDGAR DANIEL CASTRO MUNOZ"/>
        <s v="BERTHA GRACIELA LOPEZ RODRIGUEZ"/>
        <s v="MIGUEL LEÓN"/>
        <s v="JOHN FREDY MUNOZ MARTINEZ"/>
        <s v="ADRIANA IBARRA"/>
        <s v="DIEGO ARIEL RODRIGUEZ"/>
        <s v="Andres Camilo Ruiz Bravo"/>
        <s v="Danilo Cusba Pulido"/>
        <s v="DIDIER ALFREDO PASUY CASTANO"/>
        <s v="Eddy Hernando Bogota Cangrejo"/>
        <s v="Espitia Montilla William Ricardo"/>
        <s v="Fuentes Rojas Jose David"/>
        <s v="HEYBER FERNANDO NINO GUANUME."/>
        <s v="JUAN ALEJANDRO RIOS PEREZ"/>
        <s v="Paula Janeth moreno Escobar"/>
        <s v="Rey Orozco Cristian Ivan"/>
        <s v="Rigoberto Rios Hueso"/>
        <s v="Stefan Nicolas Aponte Murcia"/>
        <s v="TOVAR VELASQUEZ MEYER"/>
        <s v="ACEVEDO SANCHEZ RUBEN DARIO"/>
        <s v="Juan Carlos Pardo Hernandez"/>
        <s v="Melissa Correa Rios"/>
        <s v="Kleiver Joan Martinez Peña"/>
        <s v="Jeferson Daniel Agudelo sierra"/>
        <s v="Andres Felipe Quintero Salazar"/>
        <s v="TATIANA CAROLINA AVELLANEDA"/>
        <s v="CARLOS ARTURO PUENTES ZAMBRANO"/>
        <s v="David Sandoval Arboleda"/>
        <s v="JORGE ESTEBAN LLANOS"/>
        <s v="JULIAN ESTIC LAGOS GALINDO"/>
        <s v="Luis Eduardo Fonseca Fajardo"/>
        <s v="Angie Chiguasuque"/>
        <s v="Ginna García Lara"/>
        <s v="David Santiago Quijano Ordoñez"/>
        <s v="Edgar Andrés Garzon Rangel"/>
        <s v="Lautaro Nahuel Cuello"/>
        <s v="Manuel Augusto Vilchez Maticorena"/>
        <s v="Santiago Galindo Gutierrez"/>
        <s v="Stephany L Ceron Salas"/>
        <s v="FABIAN ALEJANDRO LOPEZ SUAREZ"/>
        <s v="Jairo Andres Ochoa"/>
        <s v="Desarrollador Front"/>
        <s v="Carlos Alberto Meneses Campohermoso"/>
        <s v="JUAN FELIPE MARTÍN PUERTO"/>
        <s v="Lina Vanessa Rincón Prada"/>
        <s v="Martin Bournonville"/>
        <s v="Santiago Pulido Calderon"/>
        <s v="SERGIO IVAN SANCHEZ PLAZAS"/>
        <s v="Desarrollador Front 1"/>
        <s v="Desarrollador Front 2"/>
        <s v="Desarrollador APX 1"/>
        <s v="Desarrollador APX 2"/>
        <s v="Tester 1"/>
        <s v="Tester 2"/>
        <s v="Hayler Jair Caicedo"/>
        <s v="JUAN PABLO VELEZ"/>
        <s v="Nubia Sanchez"/>
        <s v="Desarrollador ASO"/>
        <s v="Desarrollador HOST"/>
        <s v="Diego Alejandro Galeano garzon"/>
        <s v="Luz Carola Giraldo García"/>
        <s v="Andrés Alejandro Fajardo Torres"/>
        <s v="YEISSON FABIAN GUALDRON VIVAS"/>
        <s v="CAMILO ANDRES AGUIRRE"/>
        <s v="JEFFERSON JOSE ESQUEA SANCHEZ"/>
        <s v="Jhon Alexander Santana"/>
        <s v="Juliana Corredor"/>
        <s v="Cristian Steven Abril"/>
        <s v="ANGELA RIVERA"/>
        <s v="DANIEL ALIRIO ROA ARIZMENDI"/>
        <s v="EDDY MAURICIO SUAREZ MOLINA"/>
        <s v="MAURICIO CORDOBA"/>
        <s v="LEONOR AZUCENA GOMEZ RINCON"/>
        <s v="TATIANA SANCHEZ MONROY"/>
        <s v="OSCAR DANIEL OÑATE CASTILLA"/>
        <s v="ERIKA ZULEIMA MARTINEZ RODRIGUEZ"/>
        <s v="MARTIN ROMERO ORTIZ"/>
        <s v="NICOLAS MUÑOZ"/>
        <s v="CARLOS FABIAN GONZALEZ CORTES"/>
        <s v="ANDRES RODRIGO COMBARIZA"/>
        <s v="WILSON ANDRES FRACON HERMIDA"/>
        <s v="JORGE DANILO BUITRAGO HERNANDEZ"/>
        <s v="ANDREI NICOLAS CASTRO MUÑOZ"/>
        <s v="ERIKA LILIANA ESPINOSA DUQUE"/>
        <s v="LYDI JOHANA MORENO LOPEZ"/>
        <s v="JUAN DAVID GARZON"/>
        <s v="JESUS ROLDAN LAVERDE"/>
        <s v="DIEGO DIAZ VIVAS"/>
        <s v="LUIS JAVIER RIVERA MORENO"/>
        <s v="EDGAR VASQUEZ RUIZ"/>
        <s v="FELIPE ALEJANDO PEDRAZA ROBLES"/>
        <s v="DIANA CAROLINA PEÑA PALOMINO"/>
        <s v="DIANA BARBOSA OSPINA"/>
        <s v="JUAN SEBASTIAN COLMENARES RODRIGUEZ"/>
        <s v="CARLOS VICENTE SERRATO SERNA"/>
        <s v="REMBERTO PRIOLO"/>
        <s v="ANDRES FELIPE FUENTES GARAY"/>
        <s v="WILLIAM ARMANDO BONILLA ACUÑA"/>
        <s v="MAIRA ALEJANDRA GUERRERO CAMARGO"/>
        <s v="RUBERTH SAN MIGUEL PEREZ"/>
        <s v="FABRICIO AUGUSTO LOZANO TORRES"/>
        <s v="FLOR MIREYA GONZALEZ VASQUEZ"/>
        <s v="MICHAEL ALEXANDER PINZON CRISTANCHO"/>
        <s v="MARIA PAULA ISAZA SANCHEZ"/>
        <s v="CAMILO ANDRES MORENO HURTADO"/>
        <s v="CRISTIAN ARLEY AMORTEGUI AREVALO"/>
        <s v="GILBERTO SANCHEZ RODRIGUEZ"/>
        <s v="VICTOR WILSON AREVALO MARTIN"/>
        <s v="SERGIO LEONARDO MENDOZA GASCA"/>
        <s v="MARLON STUART SUAREZ ."/>
        <s v="JONATHAN FABIAN PAEZ TORRES"/>
        <s v="LEIDY JOHANA RODRIGUEZ GARCIA"/>
        <s v="GUSTAVO ADOLFO SALAZAR BERNAL"/>
        <s v="JHON ALEXANDER PINEDA ARIAS"/>
        <s v="ALEJANDRA MARIA HINCAPIE AGUIRRE"/>
        <s v="EDUAR DUBAN GONZALEZ JOYA"/>
        <s v="JEISSON SNEYDER GALLO RAMIREZ"/>
        <s v="SERGIO ALEJANDRO NUÑEZ MENDIVELSO"/>
        <s v="ANDREY DAVID NINO GALVIS"/>
        <s v="BRIAN LEONARDO PEREZ RUBIANO"/>
        <s v="CAMILO ANDRES TELLEZ PRIETO"/>
        <s v="CARLOS ANDRES MARTINEZ BEDOYA"/>
        <s v="HAROLD ENRIQUE ROCANCIO JULIO"/>
        <s v="HECTOR JAIRO LEGUIZAMON "/>
        <s v="JOHAN GARZON PEDRAZA"/>
        <s v="KAREN ANDREA BELTRÁN SILVA"/>
        <s v="SANTIAGO A SANTOS ESTRADA"/>
        <s v="GONZALO CHAPARRO LOPEZ"/>
        <s v="PEREZ PAN WILLIAM STEVEN"/>
        <s v="AGREDO LLANTEN NESTOR RAUL"/>
        <s v="ALFONSO PUIN DANIEL FELIPE"/>
        <s v="ALVARADO URUETA AVELINO RAFAEL"/>
        <s v="CAMELO MORA LADY KATHERINE"/>
        <s v="CARVAJAL ARRAIZ ANGELICA ALEJANDRA"/>
        <s v="CASTRO PULIDO STEFANNY LIZETH"/>
        <s v="CHAVES ANGEL JOAN NICOLAS"/>
        <s v="CORREA HURTADO KEVIN ALEJANDRO"/>
        <s v="DIAZ SALAZAR EDILBERTO"/>
        <s v="OLIVOS FONSECA JONATHAN STEVEN"/>
        <s v="PINEDA MAHECHA PABLO ENRIQUE"/>
        <s v="RODRIGUEZ RIVERA ANDRES CAMILO"/>
        <s v="CASALLAS LEGUIZAMON NELSON SEBASTIAN"/>
        <s v="PALACIO CHAVES ANDRES FELIPE"/>
        <s v="MUÑOZ CEDANO LEONEL"/>
        <s v="QUINTERO GAITÁN CRISTIAN ALBERTO"/>
        <s v="PENA DIAZ EDGAR SEBASTIAN"/>
        <s v="JIMENEZ MUÑOZ ANA MARIA"/>
        <s v="CORONADO ALVARO FELIPE"/>
        <s v="ALDANA ROJAS TIHAMER KARLOVICH"/>
        <s v="BENITEZ ATENCIA JAIME RAFAEL"/>
        <s v="NARANJO WILMER FERNEY"/>
        <s v="JERSON SANCHEZ"/>
        <s v="RICARDO AGUSTIN PACHON PIRAGAUTA"/>
        <s v="Oscar Ivan Muñoz Alvarez"/>
        <s v="Soraida Cujavante Sierra"/>
        <s v="Elkin David Fuentes Rodríguez"/>
        <s v="Celso Hernández Torres"/>
        <s v="Luis Rodrigo Ulloa Marin"/>
        <s v="Brenda Liliana Sepúlveda Vega"/>
        <s v="Jenny Martinez Lopez"/>
        <s v="Hugo Ferney Prieto Posso"/>
        <s v="Donoban Ricardo Figueredo Piragauta"/>
        <s v="JOHN FREDDY JIMENEZ"/>
        <s v="GORGETH MOSCARELLA MARTÍNEZ"/>
        <s v="DANIEL ORLANDO GARZON"/>
        <s v="RUBIANO MARIN WILLIAM EDUARDO"/>
        <s v="GUEVARA CASTRO JUAN ANDRES"/>
        <s v="JULIETH ALEJANDRA BERMUDEZ BERNAL"/>
        <s v="ADRIANA MARCELA RODRIGUEZ"/>
        <s v="ANDRES ALBERTO SAENZ CORDERO"/>
        <s v="DIANA MARCELA MORENO ORTIZ"/>
        <s v="DAVID GONZALO LARA DIAZ"/>
        <s v="LUIS EDIER BERMUDEZ RIOS"/>
        <s v="SAIR GIOVANNY GARCIA BEJARANO"/>
        <s v="JAIR ERNESTO CABRA MENJURA-REEMPLAZO THALIA"/>
        <s v="ALEXANDRA BARBARA QUINDE DIAZ"/>
        <s v="BRIGGTTE ALMENDRA BARBOZA NIETO"/>
        <s v="IRWIN WALTER ACOSTA CHAVARRI"/>
        <s v="YELITZA ANDREA BOHORQUEZ BEDOYA"/>
        <s v="JESUS HUMBERTO MORENO ROJAS"/>
        <s v="GUISELL DAYAN DIAZ BLANCO"/>
        <s v="RUBEN DARIO DIAZ"/>
        <s v="ADRIÁN RICARDO ROJAS VILLEGAS"/>
        <s v="FRANK NICOLAS HERRAN"/>
        <s v="DUVAN ALEJANDRO RAMIREZ ROMERO"/>
        <s v="JONATHAN GARZON PEÑA"/>
        <s v="JUAN MANUEL FRAILE ROJAS"/>
        <s v="JORGE ARMANDO YANQUEN"/>
        <s v="JULIÁN DAVID CASTAÑEDA"/>
        <s v="Diego Elejalde Cifuentes"/>
        <s v="CARLOSFERNANDO SUAREZ"/>
        <s v="Cely Gutierrez Anderson Sneider"/>
        <s v="Cuervo Duran Francisco Hernan"/>
        <s v="DIEGO ALEJANDRO ASTAZIA"/>
        <s v="DIVER ANDREY SUATERNA"/>
        <s v="Gonzalez Cardenas Oscar"/>
        <s v="Jimenez Garcia Ariel Andres"/>
        <s v="MARIAMM YULIETH ALVAREZ"/>
        <s v="Moreno Castellanos Omar Alfonso"/>
        <s v="Navarro Torres Javier Dario"/>
        <s v="SAMIR DE JESUS QUICENO BERMUDEZ"/>
        <s v="PATRICIA ORRO"/>
        <s v="Sebastian Ayala"/>
        <s v="Daniel Antonio Aguilar"/>
        <s v="DESARROLLADOR APX"/>
        <s v="NELSON FERRUCHO"/>
        <s v="Levi Becerra"/>
        <s v="DESARROLLO HOST"/>
        <s v="TESTER QA"/>
        <s v="DESARROLLO ASO"/>
        <s v="Esteban Linares"/>
        <s v="DESARROLLADOR FRONT "/>
        <s v="ANDRES FELIPE CASTAÑEDA"/>
        <s v="JUAN CAMILO JAIMES"/>
        <s v="SANDRA REDONDO"/>
        <s v="JONATHAN MARCELL GUTIERREZ RIAÑO"/>
        <s v="LUBER FANDIÑO"/>
        <s v="Brayan Peña"/>
        <s v="JOAN CHIVATA"/>
        <s v="FAIBER RUEDA"/>
        <s v="JUAN ROMERO"/>
        <s v="KEVIN SARMIENTO"/>
        <s v="TBD - ANS"/>
        <s v="CRISTIAN DAZA"/>
        <s v="JUAN DUQUE"/>
        <s v="Alejandro Cano"/>
        <s v="Rafael Bonet"/>
        <s v="Jhonathan Medina"/>
        <s v="John Zamora"/>
        <s v="ALEXIS A GONZALEZ LANCHEROS"/>
        <s v="ANDRES FELIPE CALDERÓN NOVOA"/>
        <s v="ANDRÉS FELIPE MORA SANTANA"/>
        <s v="ANTONY SUICA CUARTAS"/>
        <s v="BRIAN MAURICIO TEJEDOR VARGAS"/>
        <s v="CRISTIAN ANDREY ANTOLINEZ BOHORQUEZ"/>
        <s v="CRISTIAN RENE MENDEZ"/>
        <s v="DAVID LEONARDO OBANDO CORTÉS"/>
        <s v="DAVID RODRIGUEZ RANGEL"/>
        <s v="DIEGO FERNANDO MONTEALEGRE ROZO"/>
        <s v="EDWIN ARMANDO CASTRO MARTIN"/>
        <s v="EVELIN LORENA PEDRAZA ROMERO"/>
        <s v="FABIAN ARTURO RAMIREZ BROCHE"/>
        <s v="JOAN DE JESUS SANCHEZ CANDANOZA"/>
        <s v="JOEL ANDRÉS CANTILLO NIETO"/>
        <s v="JOHN JAIRO CARDENAS SANABRIA"/>
        <s v="JORGE ANDRES MANRIQUE MARTINEZ"/>
        <s v="JOSE AGUSTIN PALOMINO PARDO"/>
        <s v="KAREN MARGARITA ARENILLA TRIGOS"/>
        <s v="LAURA VALENTINA SANDOVAL MARIN"/>
        <s v="MARIA CAMILA BUITRAGO"/>
        <s v="MARLLY JAZMIN VARGAS GARZÓN"/>
        <s v="MIGUEL ANGEL LUENGAS"/>
        <s v="NICOLÁS ENRIQUE BUITRAGO ARANGO"/>
        <s v="OMAR ESTEBAN MATUK"/>
        <s v="PABLO ANTONIO MARQUEZ"/>
        <s v="PLINIO EDUARDO MARTINEZ ESPITIA"/>
        <s v="WALTHER STIVENS ZAPATA TABERA"/>
        <s v="YENIFER ARANGO TABARES"/>
        <s v="JOSE ANTONIO PERFECTO"/>
        <s v="LUIS FELIPE VILLEGAS SANCHEZ"/>
        <s v="ADRIAN ROJAS"/>
        <s v="ADRIANA MAYERLY RAMIREZ"/>
        <s v="ANDREA MARIETA LOPEZ PARRA."/>
        <s v="ANDRES DAVID ARIAS"/>
        <s v="ANGELA MARIA BENITEZ"/>
        <s v="CAMILO ERNESTO MUÑOZ LOVERA"/>
        <s v="CIRO ALONSO RINCON HERNANDEZ"/>
        <s v="CLAUDIA PALENCIA"/>
        <s v="CLAUDIA YURANI TAQUEZ CHALAPUD"/>
        <s v="CRISTIAN CAMILO RATIVA PARRA"/>
        <s v="DANIEL SANTIAGO JARAMILLO"/>
        <s v="DIANA MAYERLY RAMIREZ"/>
        <s v="EDWARD ALEXANDER DUQUE TAMAYO"/>
        <s v="ELIEZER JOSUE CONEO VEGA"/>
        <s v="ELIZABETH  TRIANA PRIETO"/>
        <s v="FRANK HERRAN GARZON"/>
        <s v="GUILIAN ANDREI TAFUR FUENTES"/>
        <s v="HERMES FERNANDO AMARIS"/>
        <s v="HUMBERTO MALAGON VARGAS"/>
        <s v="JENNIFER ALZATE"/>
        <s v="JORGE LUIS URBINA"/>
        <s v="JORGE NELSON GARCIA"/>
        <s v="JORGE TAUTIVA MELO"/>
        <s v="JOSE BLADIMIR INAMPUES TUTALCHA"/>
        <s v="JOSE MIGUEL SANCHEZ BARRANTES"/>
        <s v="JUAN FELIPE FORERO"/>
        <s v="JUAN SEBASTIAN MINA"/>
        <s v="JULIAN ANDRES ARENAS"/>
        <s v="LEIDY NATALIA  GONZALEZ"/>
        <s v="LILIAN BEDUD RIOJAS GONZALEZ"/>
        <s v="LIZET VANESSA VEGA BONILLA"/>
        <s v="LIZETH DAYANA RODRIGUEZ ACOSTA"/>
        <s v="LUIS FERNANDO SABROSO"/>
        <s v="LUIS FERNANDO TORRES AVENDAÑO"/>
        <s v="LUZ ENEY ACEVEDO MATEUS"/>
        <s v="MARIA FERNANDA RUSSI"/>
        <s v="MARITZA CASTILLO NAVARRO"/>
        <s v="MARTA PATRICIA VELANDIA SIZA"/>
        <s v="MARTHA LILIANA RUSSY CHAVARRO"/>
        <s v="MARY LUZ RODRIGUEZ"/>
        <s v="MAURICIO ANDRES NUÑEZ ORTEGON"/>
        <s v="MAYKER GUILLERMO LOPEZ"/>
        <s v="MICHAEL JULIAN GARZON"/>
        <s v="MIGUEL ANGEL POLOCHE DIAZ"/>
        <s v="NATALIA ANDREA SAMBONI"/>
        <s v="NICO NIÑO VERGARA"/>
        <s v="RICARDO ANDRES CERRATO"/>
        <s v="ROBER ESNEIDER PARRA POLANIA"/>
        <s v="TATIANA  PAOLA PEREIRA RIOS"/>
        <s v="WBEIMAR MURILLO"/>
        <s v="WILLIAM LEONARDO ESPITIA FRANCO"/>
        <s v="SERGIO EDUARDO MARTINEZ LOPEZ"/>
        <s v="JUAN PABLO MILLAN MORALES"/>
        <s v="NELSON JAVIER MONCADA GELVES"/>
        <s v="JOAN CAMILO CHIVATA SANCHEZ"/>
        <s v="JUAN SEBASTIAN AYALA RENDON"/>
        <s v="BRAYAN NICOLAS PEÑA QUINTANA"/>
        <s v="CARLOS MARIO BERNAL CASTRO"/>
        <s v="DIEGO SANTOS DUARTE CUELLAR"/>
        <s v="VICTOR HUGO DIAZ CERON"/>
        <s v="DAVID ESTEBAN ARAGON PEÑUELA"/>
        <s v="CAMILO ANDRES MUÑOZ CAICEDO"/>
        <s v="DIEGO JAVIER MORENO RUSINQUE"/>
        <s v="EDWIN DAVID TORO ECHEVERRIA"/>
        <s v="KATHERIN DANIELA AREVALO BARRERA"/>
        <s v="FERNANDO JOSE BOLIVAR NAVARRO"/>
        <s v="EDISSON IOVANNI RODRIGUEZ SOCHA"/>
        <s v="Cristian Camilo Rincon"/>
        <s v="Jorge Anibal Blanco Meneses"/>
        <s v="Juan Camilo Ladino Guezguan"/>
        <s v="Jayson Ricardo Becerra Gomez"/>
        <s v="Oscar Fernando Real Bautista"/>
        <s v="Alexander Lopez Fonseca"/>
        <s v="Donoba Ricardo Figueredo"/>
        <s v="Ricardo Pachon"/>
        <s v="Diana Rubiano"/>
        <s v="Maria Victoria Ruiz"/>
        <s v="Adriana Yamile Rodriguez"/>
        <s v="Andres Felipe Mora"/>
        <s v="Jean paul patiño"/>
        <s v="Jhenny meneses"/>
        <s v="Juan stevens guzman"/>
        <s v="Michael escobar"/>
        <s v="Nestor Eduardo Torres Gonzalez"/>
        <s v="Jonathan Molina Fuentes"/>
        <s v="Nicolas Moreno Arévalo"/>
        <s v="Angie Natalia Gonzalez"/>
        <s v="ANDERSON CAMILO APONTE CERVERA"/>
        <s v="CRISTIAN ALEXANDER ROJAS AZA"/>
        <s v="DIANA EDITH VILLEGAS RAMIREZ"/>
        <s v="EDGAR IVAN ARIAS MALDONADO"/>
        <s v="HAROLD ANDRES CASTILLO CARVAJAL"/>
        <s v="JOE ESTUPINAN MONTANO"/>
        <s v="JUAN DAVID BAEZ RAMOS"/>
        <s v="LEANDRO GOMEZ "/>
        <s v="LENIN RAFAEL DIAZ QUINTERO"/>
        <s v="LEONARDO ALBERTO JIMENEZ RINCON"/>
        <s v="MARIA CAMILA MOLINA ALBA"/>
        <s v="NICOLAS BOHORQUEZ LEGUIZAMO"/>
        <s v="YADIRA COBOS ROMERO"/>
        <s v="ARLEM CHINCHIA"/>
        <s v="ADRIANA MERCEDES GOMEZ"/>
        <s v="CARLOS FRANCISCO TOVAR LOSADA"/>
        <s v="CAROLINA GARZÓN"/>
        <s v="DAVID FERNANDO MENDIETA"/>
        <s v="DIANA CAROLINA ARTEAGA"/>
        <s v="EDISON RAMÍREZ"/>
        <s v="EDWARD MORENO"/>
        <s v="JAIBER DAIVISON NOVA"/>
        <s v="JENNIFER ZAMORA"/>
        <s v="FHERNEY ANDRIAN SILVA"/>
        <s v="JESUS ANDRÉS CARDENAS"/>
        <s v="LUIS FELIPE GONZÁLEZ"/>
        <s v="LUZ  STELLA MARTINEZ"/>
        <s v="MARÍA ALEJANDRA VARÓN"/>
        <s v="NICOLAS BOLIVAR BATTLE"/>
        <s v="OSCAR DARIO VELÁSQUEZ"/>
        <s v="REINALDO CUARIN"/>
        <s v="SANTIAGO MARTINEZ"/>
        <s v="YESID ALEXANDER ROA VEGA"/>
        <s v="ANDERSSON SALINAS"/>
        <s v="JUAN CARLOS SALDAÑA"/>
        <s v="JOSE PERFECTO"/>
        <s v="LUIS LOZANO"/>
        <s v="SAMUEL ANDRES JIMENEZ RODRIGUEZ"/>
        <s v="ADRIAN DUCUARA BENITEZ"/>
        <s v="ANDRES ALEJANDRO FAJARDO TORRES"/>
        <s v="ANDRES ALFONSO VARELO SILGADO"/>
        <s v="ANDRES FELIPE FANDINO QUECANA"/>
        <s v="ANDRÉS FELIPE FORERO"/>
        <s v="BRANDON AVILA"/>
        <s v="BRAYAN CAMILO VALCARCEL RIANO"/>
        <s v="BRYAN SMITH PATIÑO"/>
        <s v="CAMILO ABELLA"/>
        <s v="CAMILO CABRA"/>
        <s v="CESAR AUGUSTO MOLANO RUEDA"/>
        <s v="CRISTIAN ESNEIDER VELASQUEZ"/>
        <s v="CRISTIAN FRANCISCO FERNANDEZ"/>
        <s v="CRISTIAN STEVEN ABRIL ALDANA"/>
        <s v="CRISTIAN STIVEN SÀNCHEZ RUBIO"/>
        <s v="DANIEL BERNAL"/>
        <s v="DAVID GERMAN TORRES MOLANO"/>
        <s v="DEISON COLMENARES"/>
        <s v="DIANA GRANADA"/>
        <s v="DIEGO CALLEJAS"/>
        <s v="DUVAN ALEJANDRO BERNATE PIAMBA"/>
        <s v="EDGAR REY"/>
        <s v="EDUAR BOLAÑOS"/>
        <s v="FABIANI LOZANO"/>
        <s v="FLOR ALICIA GALAN"/>
        <s v="FRANKLIN MEDINA"/>
        <s v="HECTOR FERNANDO JARAMILLO"/>
        <s v="IVAN DE JESÚS RAMOS OSORIO"/>
        <s v="JAVIER CORDOBA"/>
        <s v="JENNIFER HAILINTH MORENO"/>
        <s v="JHON EDWIN MENDOZA DAZA"/>
        <s v="JHON MARIO FORERO"/>
        <s v="JHONATAN STIV CUADROS CARDENAS"/>
        <s v="JOSEPH ALEANDER ROJAS"/>
        <s v="JUAN CARLOS PULIDO"/>
        <s v="JUAN SALAZAR"/>
        <s v="JULIE PAULETTE GARAVITO"/>
        <s v="KAREN MARGARITA ANGULO"/>
        <s v="LEYDI CAMARGO"/>
        <s v="LIDA VIVIANA PINEDA"/>
        <s v="LUIS JAVIER SANDON"/>
        <s v="LUZ ESTELLA ORTEGA"/>
        <s v="MAICOL STIVEN PEREZ"/>
        <s v="MARIA ESTELA SUAREZ"/>
        <s v="MAURICIO RAMIREZ"/>
        <s v="MELANIE QUIROZ"/>
        <s v="MIRYANI VARGAS"/>
        <s v="NANCY CATHERINE HERNANDEZ"/>
        <s v="OMAR FERNANDO ORTEGÓN VARGAS"/>
        <s v="RODRIGO BARBIERI PEREZ"/>
        <s v="Alejandra Barrios"/>
        <s v="Alvaro Alvarez"/>
        <s v="Anderson Fabian Camelo"/>
        <s v="Carlos Arturo Rodriguez Castañeda"/>
        <s v="Cesar Augusto Valbuena"/>
        <s v="Cristian Camilo Duarte"/>
        <s v="Cristian Fernando Hernandez Angarita"/>
        <s v="David Garrido"/>
        <s v="Diana Duarte"/>
        <s v="Diego Alejandro Parra Nuñez"/>
        <s v="Dina Luz Perez"/>
        <s v="Edson Suarez"/>
        <s v="Erick Bermejo"/>
        <s v="Esperanza Ortega"/>
        <s v="Henry Cortes"/>
        <s v="Hernan Gabriel Fernandez"/>
        <s v="Jesus Wellman"/>
        <s v="Johan Sebastian Forero"/>
        <s v="Josue David Fernandez Reyes"/>
        <s v="Juan David Rodriguez Ariza"/>
        <s v="Juan David Velasquez"/>
        <s v="Karen Juliete Mahecha Rey"/>
        <s v="Karol Melissa Gómez Colmenares"/>
        <s v="Katherine Santana"/>
        <s v="Laura Milena Duarte"/>
        <s v="LAURA STEFANY ROMERO TRUJILLO"/>
        <s v="Mario Perilla"/>
        <s v="Martin Theiler"/>
        <s v="Miller Gomez"/>
        <s v="Nicolas Bedoya Montealegre"/>
        <s v="Nicolas Eduardo Loaiza"/>
        <s v="Nydia Forero"/>
        <s v="Oscar Andres Bernal Quiroz"/>
        <s v="Oscar Freddy Roncancio Zea"/>
        <s v="Oscar Mauricio Lozano"/>
        <s v="Rafael Eduardo Martinez Caceres"/>
        <s v="Sair Giovanny Bejarano Garcia"/>
        <s v="Pedro Luis Melo Robayo"/>
        <s v="Roger Arias"/>
        <s v="Santiago Molina"/>
        <s v="Santiago Montoya"/>
        <s v="Sergio Mercado"/>
        <s v="Stiven Carrillo"/>
        <s v="ANDRES FELIPE GUTIERREZ BAÑOL"/>
        <s v="CESAR LEANDRO PESTANA ROMERO"/>
        <s v="JEANN CARLOS SEQUEA MENDEZ "/>
        <s v="JOHANA KATHERIN VASQUEZ QUEVEDO "/>
        <s v="JULIAN FELIPE VEGA HERNANDEZ "/>
        <s v="NATALIA ORTIZ MALDONADO "/>
        <s v="NICOLAS  MORENO AREVALO"/>
        <s v="OSCAR YECID  SANCHEZ ZAMORA"/>
        <s v="RONALD ANTONIO ROMERO MONSALVE"/>
        <s v="MIGUEL LEONARDO AVILA AREVALO"/>
        <s v="THALIA VALENTINA MANRIQUE BELLO"/>
        <s v="YINETH SANEY FRANCO HERNANDEZ "/>
        <s v="ZULMA ZORAYA  PENAGOS TAVERA"/>
        <s v="TORRES CASTILLO JOAN SEBASTIÁN"/>
        <s v="OCAMPO RODRIGUEZ JOHN JAILER"/>
        <s v="FUQUENE CONTRERAS ADRIANA"/>
        <s v="GARCIA HERRERA MONICA LILIANA"/>
        <s v="AREVALO MORENO DEINA ALEJANDRA"/>
        <s v="ROMERO LITSY DAYANA"/>
        <s v="MARTINEZ RODRIGUEZ ENRIQUE"/>
        <s v="OTALORA LEIVA LUIS FERNANDO"/>
        <s v="CACERES CRISTANCHO JUAN SEBASTIAN"/>
        <s v="POLANCO DANIEL LEONARDO"/>
        <s v="BALLEN GAMBOA CRISTIAN"/>
        <s v="AMAYA CAMPOS SANTIAGO"/>
        <s v="MORENO ANGEL HEYDEN AUGUSTO"/>
        <s v="MEJIA PAULA VALENTINA"/>
        <s v="PINZON VANEGAS MIGUEL ANGEL"/>
        <s v="PINEDA GALLEGO ZAMIR ALEJANDRO"/>
        <s v="SILVA ROMERO JULIAN DAVID"/>
        <s v="PENAGOS JULIO CESAR"/>
        <s v="CASTILLO ALONSO GILBERTO"/>
        <s v="FORERO RUIZ JOSE ANTONIO"/>
        <s v="BARRIOS ASPRILLA BREINER I"/>
        <s v="CAVIEDES JIMENEZ JULIAN FELIPE"/>
        <s v="GORDO BELTRAN DANIEL FERNANDO"/>
        <s v="MANCIPE JUAN DAVID"/>
        <s v="JOHN EDUAR LUNA SANCHEZ"/>
        <s v="JORGE HUMBERTO MARTINEZ MARIN"/>
        <s v="LUCIO RAMIRO TAPIA VARGAS"/>
        <s v="ALVARO ARENAS SANCHEZ"/>
        <s v="MARTÍN RODRIGUEZ"/>
        <s v="YEFERSON OCHOA"/>
        <s v="ANDRES FELIPE GOMEZ"/>
        <s v="JEISON EDUARDO HERNANDEZ"/>
        <s v="STEFANY CAROLINA MEDINA VILLADIENGO"/>
        <s v="ALEXANDER GONZALEZ PEÑA"/>
        <s v="MIGUEL ANGEL ALBARRACIN"/>
        <s v="DIEGO ANDRES JIMENEZ PABUENA"/>
        <s v="ESTEBAN ARIAS CARACAS"/>
        <s v="RONAL ALBERTO TABORDA MORENO"/>
        <s v="PAULO CESAR SALDARRIAGA"/>
        <s v="NIDIA CONTRERAS HERNANDEZ"/>
        <s v="IVAN YESID REYES CALCETERO"/>
        <s v="EDISON TRONCOSO PARADA"/>
        <s v="OSCAR BARBOSA OSPINA"/>
        <s v="ALEX EDWIN TOSCANO MAESTRE"/>
        <s v="FELIPE ANDRES QUINTERO HIGUITA"/>
        <s v="OSCAR ANDRES CARDOZA OLANO"/>
        <s v="DIEGO ANDRES GUTIERREZ MESA"/>
        <s v="ALEJANDRO LARA MONTANO"/>
        <s v="Andres Jimenez Molina"/>
        <s v="CRISTIAN CAMILO APONTE QUIROGA"/>
        <s v="Edward Enrique Vaca"/>
        <s v="Cristian David Beltran Barrantes"/>
        <s v="DANNY CAMILO BERNAL BERNAL"/>
        <s v="Edison Jovanny Castillo"/>
        <s v="Edwin Giovanny Cetina Pinzón."/>
        <s v="Faiber Orlando Camelo Romero"/>
        <s v="John Edwin Riascos Castillo"/>
        <s v="Juan Daniel Bernal Marin"/>
        <s v="Jualian Alberto Rodriguez"/>
        <s v="Kevin Danilo López Clopatofsky"/>
        <s v="Leandro Augusto Chiguasuque"/>
        <s v="Martha Lucia Aguirre"/>
        <s v="Jose Mauricio Peña"/>
        <s v="Paola Marcela Moreno Sanabria"/>
        <s v="Wilson Daniel Bulla Martinez"/>
        <s v="ALEX FERNEY MARTINEZ SERPA"/>
        <s v="ANGEL JAVIER BADEL GASCA"/>
        <s v="CARLOS ENRIQUE FAJARDO FAJARDO "/>
        <s v="DEIVIS JAVIER MIRANDA RAMOS "/>
        <s v="EDNA YURANI GIL"/>
        <s v="ESTEBAN ARIAS CARACAS "/>
        <s v="JAVIER FRANCISCO OSPINA RAMIREZ"/>
        <s v="JUAN PABLO MORA "/>
        <s v="JUAN SEBASTIAN BUSTOS"/>
        <s v="JUAN SEBASTÍAN RODRIGUEZ TOVAR"/>
        <s v="JULIANA BALCERO "/>
        <s v="KAREN ANGELICA ANDRADE"/>
        <s v="MARTHA BEATRIZ GALLEGO MARIN "/>
        <s v="MATEO ECHEVERRY PELAEZ"/>
        <s v="MOISES ABRAHAM LUNA MOJICA"/>
        <s v="RONAL ALBERTO TABORDA MORENO "/>
        <s v="SERGIO OSWALDO ROJAS BERNAL  "/>
        <s v="YANETH MORENO AGUILAR"/>
        <s v="JULIAN I BECERRA BAUTISTA"/>
        <s v="JOSMAN ALEXANDER KOOP SANTA"/>
        <s v="ANDRES FERMIN PITRE JIMENEZ"/>
        <s v="OSCAR EDILBERTO MESA TRUJILLO"/>
        <s v="JEFFERSON CAMILO ROZO CASTILLO"/>
        <s v="CRISTHIAN CAMILO FIGUEROA ENRIQUEZ"/>
        <s v="DIEGO ALEJANDRO QUINTERO VARGAS"/>
        <s v="EDSON DANIEL SUAREZ HERNANDEZ"/>
        <s v="CRISTHIAN CAMILO TORRES CASTRO"/>
        <m/>
        <s v=" DIOCLECIANO LOPÉZ" u="1"/>
        <s v=" LIZETH DUEÑAS" u="1"/>
        <s v="HAROLD HERNANDO REYES VARGAS " u="1"/>
      </sharedItems>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acheField>
    <cacheField name="Dedicación" numFmtId="9">
      <sharedItems containsString="0" containsBlank="1" containsNumber="1" minValue="0" maxValue="1"/>
    </cacheField>
    <cacheField name="ROL" numFmtId="0">
      <sharedItems containsBlank="1"/>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50.675572453707" refreshedVersion="8" recordCount="1814" xr:uid="{00000000-000A-0000-FFFF-FFFF34000000}">
  <cacheSource type="worksheet">
    <worksheetSource ref="A1:T1815" sheet="Staffing"/>
  </cacheSource>
  <cacheFields count="20">
    <cacheField name="Código" numFmtId="0">
      <sharedItems containsBlank="1" containsMixedTypes="1" containsNumber="1" containsInteger="1" minValue="1032450219" maxValue="1032450219"/>
    </cacheField>
    <cacheField name="Nombre" numFmtId="0">
      <sharedItems containsBlank="1"/>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 name="ROL" numFmtId="0">
      <sharedItems containsBlank="1" count="5">
        <s v="Desarrollador"/>
        <s v="Tech Manager/Líder"/>
        <s v="QA"/>
        <s v="Otros"/>
        <m/>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50.675572569446" refreshedVersion="8" recordCount="1814" xr:uid="{00000000-000A-0000-FFFF-FFFF2E000000}">
  <cacheSource type="worksheet">
    <worksheetSource ref="A1:S1815" sheet="Staffing"/>
  </cacheSource>
  <cacheFields count="19">
    <cacheField name="Código" numFmtId="0">
      <sharedItems containsBlank="1" containsMixedTypes="1" containsNumber="1" containsInteger="1" minValue="1032450219" maxValue="1032450219"/>
    </cacheField>
    <cacheField name="Nombre" numFmtId="0">
      <sharedItems containsBlank="1"/>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 name="ROL" numFmtId="0">
      <sharedItems containsBlank="1"/>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50.675573032408" refreshedVersion="8" recordCount="2154" xr:uid="{00000000-000A-0000-FFFF-FFFF29000000}">
  <cacheSource type="worksheet">
    <worksheetSource ref="A1:Q2155" sheet="STAFFING Q1 detalle"/>
  </cacheSource>
  <cacheFields count="17">
    <cacheField name="Código" numFmtId="0">
      <sharedItems containsBlank="1"/>
    </cacheField>
    <cacheField name="Nombre" numFmtId="0">
      <sharedItems containsBlank="1"/>
    </cacheField>
    <cacheField name="Dirección" numFmtId="0">
      <sharedItems containsBlank="1" count="6">
        <s v="ENTERPRISE"/>
        <s v="CFS"/>
        <s v="CORE"/>
        <s v="RETAIL"/>
        <s v="CIB &amp; COMEX - FIDUCIARIA"/>
        <m/>
      </sharedItems>
    </cacheField>
    <cacheField name="Servicio" numFmtId="0">
      <sharedItems containsBlank="1" count="29">
        <s v="Soluciones financieras (Factoring)"/>
        <s v="Riesgos"/>
        <s v="Accounts"/>
        <s v="Loans"/>
        <s v="CRM"/>
        <s v="Payments"/>
        <s v="Móvil"/>
        <s v="Net"/>
        <s v="Netcash"/>
        <s v="Global Market &amp; Comex"/>
        <s v="Finanzas"/>
        <s v="Cross/Personas y Arq. Host"/>
        <s v="Cross/Ventas asistidas CAP"/>
        <s v="Canales asistidos CB"/>
        <s v="Backoffice"/>
        <s v="Gema"/>
        <s v="Open Market"/>
        <s v="Cross/Gestor documental y SSDD"/>
        <s v="Senda"/>
        <s v="Canales asistidos Call Center / Gest. remota"/>
        <s v="Cross/BPM"/>
        <s v="T&amp;C"/>
        <s v="Transaccionalidad"/>
        <s v="Canales asistidos ATM"/>
        <s v="Canales asistidos RPA"/>
        <s v="Oficina"/>
        <s v="Cumplimiento &amp; Auditoría"/>
        <s v="Soluciones financieras (Leasing)"/>
        <m/>
      </sharedItems>
    </cacheField>
    <cacheField name="Empresa" numFmtId="0">
      <sharedItems containsBlank="1"/>
    </cacheField>
    <cacheField name="Dominio" numFmtId="0">
      <sharedItems/>
    </cacheField>
    <cacheField name="Proyecto" numFmtId="0">
      <sharedItems containsBlank="1"/>
    </cacheField>
    <cacheField name="% Dedicación" numFmtId="0">
      <sharedItems containsString="0" containsBlank="1" containsNumber="1" minValue="0.02" maxValue="1"/>
    </cacheField>
    <cacheField name="ROL" numFmtId="0">
      <sharedItems containsBlank="1"/>
    </cacheField>
    <cacheField name="Comentarios" numFmtId="0">
      <sharedItems containsBlank="1"/>
    </cacheField>
    <cacheField name="Interno/ Externo" numFmtId="9">
      <sharedItems containsBlank="1" count="3">
        <s v="Externo"/>
        <s v="Interno"/>
        <m/>
      </sharedItems>
    </cacheField>
    <cacheField name="Normativo" numFmtId="9">
      <sharedItems/>
    </cacheField>
    <cacheField name="Scrum (S/N)" numFmtId="9">
      <sharedItems containsNonDate="0" containsString="0" containsBlank="1"/>
    </cacheField>
    <cacheField name="Sprint" numFmtId="0">
      <sharedItems containsBlank="1"/>
    </cacheField>
    <cacheField name="Verticales locales" numFmtId="0">
      <sharedItems containsNonDate="0" containsString="0" containsBlank="1"/>
    </cacheField>
    <cacheField name="Sub Verticales locales" numFmtId="3">
      <sharedItems containsNonDate="0" containsString="0" containsBlank="1"/>
    </cacheField>
    <cacheField name="Persona"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50.675573148146" refreshedVersion="8" recordCount="1537" xr:uid="{00000000-000A-0000-FFFF-FFFF24000000}">
  <cacheSource type="worksheet">
    <worksheetSource ref="A1:W1538" sheet="Staffing"/>
  </cacheSource>
  <cacheFields count="23">
    <cacheField name="Código" numFmtId="0">
      <sharedItems containsBlank="1" containsMixedTypes="1" containsNumber="1" containsInteger="1" minValue="1032450219" maxValue="1032450219"/>
    </cacheField>
    <cacheField name="Nombre" numFmtId="0">
      <sharedItems/>
    </cacheField>
    <cacheField name="Dirección" numFmtId="0">
      <sharedItems count="6">
        <s v="ENTERPRISE"/>
        <s v="CIB &amp; COMEX - FIDUCIARIA"/>
        <s v="CFS"/>
        <s v="CORE"/>
        <s v="SEGUROS"/>
        <s v="RETAIL"/>
      </sharedItems>
    </cacheField>
    <cacheField name="Servicio" numFmtId="0">
      <sharedItems count="27">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haredItems>
    </cacheField>
    <cacheField name="Empresa" numFmtId="0">
      <sharedItems/>
    </cacheField>
    <cacheField name="Dominio" numFmtId="0">
      <sharedItems/>
    </cacheField>
    <cacheField name="Proyecto" numFmtId="0">
      <sharedItems/>
    </cacheField>
    <cacheField name="Dedicación" numFmtId="9">
      <sharedItems containsSemiMixedTypes="0" containsString="0" containsNumber="1" minValue="0.02"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String="0" containsBlank="1" containsNumber="1" containsInteger="1" minValue="0" maxValue="1"/>
    </cacheField>
    <cacheField name=" 3" numFmtId="3">
      <sharedItems containsNonDate="0" containsString="0" containsBlank="1"/>
    </cacheField>
    <cacheField name=" 4" numFmtId="3">
      <sharedItems containsNonDate="0" containsString="0" containsBlank="1"/>
    </cacheField>
    <cacheField name=" 5"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50.675573148146" refreshedVersion="8" recordCount="2084" xr:uid="{00000000-000A-0000-FFFF-FFFF20000000}">
  <cacheSource type="worksheet">
    <worksheetSource ref="A1:H2085" sheet="Staffing"/>
  </cacheSource>
  <cacheFields count="8">
    <cacheField name="Código" numFmtId="0">
      <sharedItems containsBlank="1" containsMixedTypes="1" containsNumber="1" containsInteger="1" minValue="1032450219" maxValue="1032450219"/>
    </cacheField>
    <cacheField name="Nombre" numFmtId="0">
      <sharedItems containsBlank="1" count="929">
        <s v="QUIROGA VASQUEZ YOAN LEONARDO"/>
        <s v="DIANA PATRICIA BARRANTES PEREZ"/>
        <s v="GUAQUETA ROMERO DEISY YOLIMA"/>
        <s v="EDISON YESID GONZALEZ LANCHEROS"/>
        <s v="QUINTERO CASTILLO DIANA MARCELA"/>
        <s v="RAMIREZ MONTANO CARLOS JULIO"/>
        <s v="OTTO JADIR SAGUIT SANTOS ALBARRACIN"/>
        <s v="NATALIA CANAS YATE"/>
        <s v="LUZ DARY PATINO PINTOR "/>
        <s v="LINA MARCELA SANABRIA BERNAL"/>
        <s v="PAULA MARCELA MOLINA LEGUIZAMO"/>
        <s v="MISAEL ARLEY TELLEZ SERRANO"/>
        <s v="DANIEL ALEJANDRO ROA ACERO "/>
        <s v="JOHN JAIRO RIVERA PENA "/>
        <s v="WILLIAM ROBERTO MORA BERNAL"/>
        <s v="MATEO OLAYA OSORIO"/>
        <s v="ANA MARIA MORENO RAMIREZ"/>
        <s v="JEISON VISBAL"/>
        <s v="WILMER AUGUSTO PEREZ NIÑO"/>
        <s v="DIEGO ARISTOBULO DIAZ PLATA"/>
        <s v="DILAN ANDRES LOPEZ MENA"/>
        <s v="JONNATHAN ARMANDO ASTROZ MARIN"/>
        <s v="KELLY JOHANA VANEGAS"/>
        <s v="BETZY PAOLA JARAMILLO LASTRA"/>
        <s v="DAVID FEILPE CIFUENTES"/>
        <s v="FERNANDO TIBADUIZA GUTIERREZ"/>
        <s v="LENIN QUINTERO MUÑOZ"/>
        <s v="RICARDO AMAYA VIANCHA (QA)"/>
        <s v="JAVIER CALDERON LOPEZ"/>
        <s v="JHON FREDDY ZAPATA MUÑOZ"/>
        <s v="CESAR LEONEL MARTIN CASTILLO (QA)"/>
        <s v="JORGE SEBASTIAN RODRIGUEZ MORA"/>
        <s v="WILVER MARTINEZ ALVARADO"/>
        <s v="CARLOS MAURICIO AGUIRRE TOVAR"/>
        <s v="JUAN DAVID ACOSTA OBANDO (QA)"/>
        <s v="CARLOS IVAN CHOCONTA"/>
        <s v="CARLOS ALBERTO PARDO"/>
        <s v="YEHIN STIVEN PATIÑO"/>
        <s v="CAROLINA BERNAL"/>
        <s v="HUMBERTO MALAGON VARGAS (Torre)"/>
        <s v="JAIRO ARTURO BELTAN (Torre)"/>
        <s v="JOHN ANDRES DIAZ AYALA (Torre)"/>
        <s v="MARISOL VEGA JOYA (QA)"/>
        <s v="WILLIAM JAVIER VILLAMIL ZAPATA "/>
        <s v="LAURA PULIDO DIAZ"/>
        <s v="DEIMER DAVID JIMENEZ MAESTRE"/>
        <s v="ANGIE DANIELA PERDOMO RAMIREZ (QA)"/>
        <s v="WILLIAM FERNANDO ALARCON"/>
        <s v="LUIS FERNANDO GUTIERREZ PRADO"/>
        <s v="ANDRES ARTURO QUINTERO"/>
        <s v="JORGE LUIS MONTEJO (Torre)"/>
        <s v="MANUEL ALEJANDRO MARENCO (Torre)"/>
        <s v="MARIELA CUBIDES  VILLAQUIRAN (Torre)"/>
        <s v="LUISA FERNANDA CASTRILLON"/>
        <s v="DANIEL FELIPE ZAPATA"/>
        <s v="JUANITA GARCIA CONTRERAS"/>
        <s v="JUAN DAVID PRECIADO AGUILAR "/>
        <s v="YINET CATALINA TORRES (QA)"/>
        <s v="DAVID CAMILO CORREDOR RODRIGUEZ"/>
        <s v="ELKIN FERNANDO RIVERA GOMEZ"/>
        <s v="JOHN MAICOL NUÑEZ SANTA"/>
        <s v="JORGE ARMANDO MILLAN GOMEZ"/>
        <s v="JOSE MIGUEL PARDO"/>
        <s v="MAIRON STIVENS JIMENEZ QUIROGA"/>
        <s v="JESUS DAVID TELLO ARISTIZABAL"/>
        <s v="GUSTAVO ANDRES CAMARGO"/>
        <s v="DARREN NICOLAS DURAN JAMAICA"/>
        <s v="CAROL VIVIANA CARVAJALNAGLES"/>
        <s v="ANGELICA MARINA CASTILLA RENDON"/>
        <s v="ANGELY JOHANA GONZALEZ VILLAMIL"/>
        <s v="JEIMMY ALEJANDRA SANCHEZ LOPEZ"/>
        <s v="YEIMY TATIANA ZAMORA GUEVARA"/>
        <s v="JOHANA IDALY GARZON RUIZ"/>
        <s v="LINA JULIETH REDONDO SOLER"/>
        <s v="JELBER STIBEN LOZANO PRADA"/>
        <s v="LADY JOHANNA ARDILA ABELLO"/>
        <s v="YEIMY PATRICIA PELAEZ ARENAS"/>
        <s v="KAREN JULIETH VASQUEZ ROMERO"/>
        <s v="JULY VANESSA TORRES ZARATE"/>
        <s v="PAUL JONATHAN VALENCIA MUÑOZ"/>
        <s v="JENNY PAOLA LOSADA VELASCO"/>
        <s v="MONICA ALEJANDRA QUINTERO PEREZ"/>
        <s v="ROBERTO ANTONIO MARTINEZ"/>
        <s v="DILSON PARDO SANTANA"/>
        <s v="FELIPE ALONSO SOTO CABALLERO"/>
        <s v="SANDRA LILIANA SANCHEZ PULIDO"/>
        <s v="MARTHA LUCIA PORRAS"/>
        <s v="JUAN MARTIN UMAÑA"/>
        <s v="GERMAN ZARRIA MENDEZ"/>
        <s v="CONSUELO MOLINA GUERRERO"/>
        <s v="GIOVANNI ESGUERRA VELANDIA"/>
        <s v="DANNA VALERIA MESA ALFONSO"/>
        <s v="CAMILO ALBERTO GARCES BELTRAN"/>
        <s v="ANA CONSUELO TRASLAVIÑA"/>
        <s v="DEYSON EMIR MURILLO MORENO"/>
        <s v="_x0009_LIZETH DUEÑAS"/>
        <s v="_x0009_DIOCLECIANO LOPÉZ"/>
        <s v="CESAR EUCLIDES MURILLO CAICEDO"/>
        <s v="LUIS GUILLERMO SANCHEZ"/>
        <s v="SANTIAGO ALEJANDRO CORREDOR"/>
        <s v="LIZZETH PAOLA FORERO"/>
        <s v="OSVALDO JAVIER LOPEZ CASTILLO"/>
        <s v="SERGIO LUIS DIAZ TORO"/>
        <s v="MANUEL ESTEBAN MORENO"/>
        <s v="CARLOS EDUARDO BELLO"/>
        <s v="BRAYAN JOSE VIVAS GOMEZ"/>
        <s v="NESTOR EDUARDO SILVA VERGARA "/>
        <s v="JONATHAN ANGEL MURCIA"/>
        <s v="JUAN DAVID GONZALEZ MONROY"/>
        <s v="CARLOS ANDRES BETANCUR MARIN"/>
        <s v="MYRIAM GARCIA HERNANDEZ"/>
        <s v="JORGE ROBINSON MENESES GUTIERREZ"/>
        <s v="DIEGO FRANCISCO FLORES DIAZ"/>
        <s v="ALVARO IVAN BARRIOS PINEDA"/>
        <s v="LAURA VALENTINA RINCON RODRIGUEZ"/>
        <s v="ARMANDO RAFAEL VASQUEZ ALTAMAR"/>
        <s v="Cardozo Castro Diana Carolina"/>
        <s v="Carlos Andres De la pava Jimenez"/>
        <s v="Cipagauta Rodriguez Edwin Guillermo"/>
        <s v="Diego Andrés Mateus Triana"/>
        <s v="Ever Alexander Bravo Vergara"/>
        <s v="JUAN SEBASTIAN SANCHEZ"/>
        <s v="Manuel Camilo Sanchez Sevilla"/>
        <s v="Montana Castro Camilo Arturo"/>
        <s v="Quiroz Munoz Bryan Antonio"/>
        <s v="SANTIAGO SALAS CARRERA"/>
        <s v="Torres Laguado Juan Sebastian"/>
        <s v="yeison andres consuegra vega"/>
        <s v="YURI VALENTINA MUÑOZ"/>
        <s v="MIGUEL ANTONIO GUIO ESPINOSA "/>
        <s v="Pena Agudelo Rosario Elena"/>
        <s v="Guzman Gonzalez Jorge Enrique"/>
        <s v="CRISTIAN DAVID VARGAS SIERRA"/>
        <s v="Carlos Andres Cely Vergara"/>
        <s v="CASTELLANOS RODRIGUEZ EDUARDO"/>
        <s v="Cesar Argenis Ruano Hernandez"/>
        <s v="Diego Francisco Florez Diaz"/>
        <s v="Iván Jonathan Romero Medina"/>
        <s v="Jeisson Andres Tequia Rincon"/>
        <s v="MORENO MUNOZ EMMANUEL"/>
        <s v="Niteen Kumar Kanaiya"/>
        <s v="DANIEL MAURICIO RIANO PEDRAZA_x000a_"/>
        <s v="JOSE ROBERTO GONZALEZ MELO_x000a_"/>
        <s v="DANIEL ANTONIO CAMACHO ARIZA"/>
        <s v="JEISSON ANDRES RUIZ MARTINEZ"/>
        <s v="DANEL PULECIO GONZALEZ "/>
        <s v="CHRISTIAN EDUARDO DIAZ GARCIA "/>
        <s v="DAVID ANDRES RODRIGUEZ BAEZ"/>
        <s v="GOMEZ CUADRADO JENNY PAOLA"/>
        <s v="JUAN DAVID MONTERO BOGOTA"/>
        <s v="MILENA MARGARITA GONZALEZ PARRA "/>
        <s v="REY GOMEZ ANDRES CAMILO"/>
        <s v="VACA BERNAL JAIRO ALEXIS"/>
        <s v="VIVIANA ALARCON TORRES"/>
        <s v="ZARATE PAVAS JOHN JAIRO"/>
        <s v="ANGELA MARIA DIAZ PEÑA "/>
        <s v="Andres Francisco Duarte Sanchez"/>
        <s v="Andres Leonardo Ramirez Sanchez"/>
        <s v="Eder Alberto Niño Mora"/>
        <s v="Jeisson Steven Rincon Mellizo"/>
        <s v="Juan Pablo Ahumada Avila"/>
        <s v="Leidy Johanna Ospina Rodriguez"/>
        <s v="Luis Alberto Caldera Chavez"/>
        <s v="Orlando Salvador Mora Andrade"/>
        <s v="Oscar Manuel Diaz Fique"/>
        <s v="Ronald David Lara Hernandez"/>
        <s v="Walther Mauricio Guerrero"/>
        <s v="ROBERTO CARLOS NIETO SUAREZ"/>
        <s v="IVETTE AYCHELL MONROY SUAREZ"/>
        <s v="DANIEL ESTEBAN MORENO CARRILLO"/>
        <s v="NORMA CECILIA MORENO GONZALEZ"/>
        <s v="ANGIE CAROLINA MORALES DUENAS"/>
        <s v="HAROLD HERNANDO REYES VARGAS_x000a_"/>
        <s v="EDWARD STIVEN RODRIGUEZ MORENO"/>
        <s v="JUAN PABLO AREVALO MERCHAN"/>
        <s v="Victor Hans De La Cruz Quispe"/>
        <s v="YESICA DANIELA VARGAS ESPITIA"/>
        <s v="LUIGUI SANTIAGO FAJARDO TOLOZA"/>
        <s v="MARILUZ SANCHEZ MORENO"/>
        <s v="SANTIAGO GALLEGO BEDOYA_x000a_"/>
        <s v="JUAN SEBASTIAN RODRIGUEZ PARRA"/>
        <s v="ADOLFO ENRIQUE BERNAL RODRIGUEZ"/>
        <s v="ALBA FABIOLA GOMEZ RODRIGUEZ"/>
        <s v="ALEXANDER PLATA USCATEGUI"/>
        <s v="CAMILO MONDRAGON"/>
        <s v="CARLOS ALBERTO GUERRERO MONTAÑA"/>
        <s v="CARLOS EDUARDO YEPES ANGEL"/>
        <s v="CHRISTIAN CAMILO PERDOMO MEDINA"/>
        <s v="DIANA MILENA SALAMANCA CHIQUILLO"/>
        <s v="DIANA ROCIO GERENA HERRERA"/>
        <s v="EDGAR ANDRES GARZON"/>
        <s v="ESPERANZA DIAZ HERNANDEZ"/>
        <s v="EMMANUEL GERMAN FORSTER"/>
        <s v="FABER IVAN MAYORQUIN RESTREPO"/>
        <s v="JAIRO ANZOLA PLATA L"/>
        <s v="JENITH MARSELLA MANTILLA RODRIGUEZ"/>
        <s v="JHON FREDY PACHECO AVELLA"/>
        <s v="JHON FREDY PINZON PAEZ"/>
        <s v="JIOVANNY SUAREZ GONZALEZ"/>
        <s v="JORGE LUIS SALAMANCA ORTIZ"/>
        <s v="JORGE VICENTE SALAS PERILLA"/>
        <s v="JUAN DAVID CELIS NUÑEZ"/>
        <s v="JULIAN CAMILO ESGUERRA PINEDA"/>
        <s v="JULIANA FERNANDA BONILLA RODRIGUEZ"/>
        <s v="JULIO DIAZ PENAGOS "/>
        <s v="KATERINE CRUZ SUAREZ"/>
        <s v="LEISON FABIAN MEJIA GARCIA"/>
        <s v="LUIS FERNANDO RODRIGUEZ MEDINA"/>
        <s v="MARIA DEL PILAR GARCIA  GONZALES"/>
        <s v="MARIO ALBERTO MORALES LEON"/>
        <s v="MAYERLY TATIANA NARVAEZ MARIN"/>
        <s v="MILLER FERNANDO CAMARGO AMADO"/>
        <s v="NATALIA REYES LOPEZ"/>
        <s v="NICOLAS ALEXANDER ALDANA MENDOZA"/>
        <s v="OSCAR ORLANDO ACEVEDO FERRER"/>
        <s v="SUSANA ANDREA PARRA CABRERA"/>
        <s v="VIVIAN JUALINY  ESPITIA BENITEZ"/>
        <s v="WILMAR ALBERTO ROMERO"/>
        <s v="YIGLIANA ALVAREZ MENDOZA"/>
        <s v="YULY MARCELA OVALLE GOMEZ"/>
        <s v="MICHAEL CESAR LLANES POLO"/>
        <s v="LICETH YHOMARY GONZALEZ PENAGOS"/>
        <s v="JULIAN ALBERTO HERRERA SALAZAR"/>
        <s v="JOHN FERNANDO AREVALO BERMUDEZ"/>
        <s v="DANIELA ALEJANDRA ROMERO CANGREJO"/>
        <s v="MARIANELLA FANDIÑO NIETO"/>
        <s v="BAUTISTA MOLINA, LINA MARCELA"/>
        <s v="BUITRAGO GUALTEROS, ANDRES FELIPE"/>
        <s v="VARGAS PEREZ, WENDY MARITZA"/>
        <s v="LOZANO BELTRAN, WILLIAM EDUARDO"/>
        <s v="ROJAS VILLEGAS, ADRIAN"/>
        <s v="MORENO HERNANDEZ, KAREN ANDREA"/>
        <s v="VEGA ROZO, EMANUEL"/>
        <s v="SUAREZ RESTREPO, DIANA MARCELA"/>
        <s v="GILDARDO AGUIRRE RIOS"/>
        <s v="ANDRES FELIPE PADILLA ROJAS"/>
        <s v="MARCO FABIAN ZABALA VILLANUEVA"/>
        <s v="JAIRO LEON ESPITIA BOTIA"/>
        <s v="NANCY YASMIDA REATIGA CARVAJAL"/>
        <s v="ANGELA LILIANA SAENZ FAJARDO"/>
        <s v="Juan camilo velasquez mantilla"/>
        <s v="ANDRES CAMILO PARRA SUAREZ"/>
        <s v="NELSON LEONEL FONSECA OCHOA"/>
        <s v="SERGIO ANDRES SEPULVEDA CRUZ"/>
        <s v="FREDY MAURICIO CELY HERNÁNDEZ"/>
        <s v="ANDRES CAMILO BOHORQUEZ CASTILLO"/>
        <s v="AUGUSTO CARDONA GIRALDO"/>
        <s v="JUAN CAMILO CASTANO RAMIREZ"/>
        <s v="DANIEL FERNANDO DIAZ CACERES"/>
        <s v="EDISSON ARMANDO BLANCO SALAMANCA"/>
        <s v="GIOVANNY ALEXANDER PEÑA GUTIÉRREZ"/>
        <s v="HERNAN DARIO RAMOS ORTIZ"/>
        <s v="JOAN FEDERICO MARIN RUIZ"/>
        <s v="JOHN MARLON NUÑEZ NIÑO"/>
        <s v="JORGE ANDRES REINA ANGULO"/>
        <s v="JUAN ESTEBAN ALARCON MIRANDA"/>
        <s v="JULIAN FERNANDO MARTINEZ RODRIGUEZ"/>
        <s v="LEIDY CATERINE ARIZA BALLESTEROS"/>
        <s v="LUIS ALEJANDRO BURGOS"/>
        <s v="LUIS FERNANDO PEÑA CAICEDO"/>
        <s v="MARCO JULIO GOMEZ AMADO"/>
        <s v="MARIO FERNANDO RAMIREZ LEGUIZAMON"/>
        <s v="PEDRO MOLLEHUANCA TORRES"/>
        <s v="SERGIO ANDRES BRAVO ROMERO"/>
        <s v="TEDDY JEFERSON POVEDA SARAY"/>
        <s v="VICTOR MANUEL PEREZ CONTRERAS"/>
        <s v="WILLIAM CAMILO RUBIO QUINTERO"/>
        <s v="LAURA NATHALY NIETO AMAYA"/>
        <s v="HECTOR JESUS SISO JIMENEZ"/>
        <s v="CARLOS ANDRES SUAREZ"/>
        <s v="WILMAR CRUZ MORA"/>
        <s v="ANDRES ALBERTO ARIZA "/>
        <s v="JOSE LUIS SARTA ALVAREZ"/>
        <s v="DANIEL FERNANDO USECHE"/>
        <s v="DARLY FERNANDA SANDOVAL PLAZAS"/>
        <s v="EDNA ROCIO MONCADA"/>
        <s v="OSCAR JAVIER ALVAREZ CAMACHO"/>
        <s v="LEONARDO SIMBAQUEBA ESGUERRA"/>
        <s v="RICARDO ALEXANDER CALVO JIMENEZ"/>
        <s v="ANA MILENA GARCIA COBO"/>
        <s v="YEIMY PAOLA PERDOMO"/>
        <s v="KEVIN ORLANDO OJEDA"/>
        <s v="MARCO HERNAN CASTELLANOS"/>
        <s v="JORGE ENRIQUE CARRILLO DIAZ"/>
        <s v="JAIRO FERNANDO TAMARA RUBIANO"/>
        <s v="Fabian andres valbuena aragon"/>
        <s v="ANDRES GALVIS TRIVIÑO"/>
        <s v="SEBASTIAN GOMEZ CORCHUELO"/>
        <s v="JAIR DE JESUS MOLINA FORNARIS"/>
        <s v="ARLEX JULIAN RODRIGUEZ RINCON"/>
        <s v="CESAR AUGUSTO MONTERO HERNANDEZ"/>
        <s v="HELDER HAROLD SOLANO SOLANO"/>
        <s v="ANDREA POLO KOCH"/>
        <s v="CLARIBEL ABRIL VELASCO"/>
        <s v="JAIME JOSE ALFONSO COTES"/>
        <s v="JUAN CARLOS ALDANA MORENO"/>
        <s v="JULIAN CAMILO QUINONES QUINTERO"/>
        <s v="LESIA MARGARITA VALERA CONTRERAS"/>
        <s v="OSCAR FABIAN MACANA GARNICA"/>
        <s v="SERGIO ALEJANDRO DIAZ HOYOS"/>
        <s v="MARIA YOLANDA BRAND LEON"/>
        <s v="JOHAN SEBASTIAN LAGOS MORALES"/>
        <s v="SANDRA PATRICIA RAMIREZ TRIANA"/>
        <s v="CARLOS ALBERTO GOMEZ GOMEZ"/>
        <s v="CAROLINA BARROS BERNAL"/>
        <s v="DIEGO ALEXANDER ALBA RODRÍGUEZ"/>
        <s v="JAIME ALEJANDRO ROJAS NIVIA"/>
        <s v="JOHN EDER IBAÑEZ LARA_x000a_"/>
        <s v="JULIAN CHAPARRO LATORRE"/>
        <s v="NELSON AUGUSTO SANABRIA ORTEGA"/>
        <s v="OSCAR FABIAN PEDRAZA MONROY"/>
        <s v="JOSE AGUSTIN RODRIGUEZ ZORRO"/>
        <s v="CREYCCE JOHANA HINCAPIE RODRIGUEZ"/>
        <s v="CRISTIAN ANDRES SIERRA ESPINEL"/>
        <s v="MARY LUZ RUALES GUZMAN"/>
        <s v="JOSE MIGUEL PORTILLO ROJAS"/>
        <s v="MICHAEL CECILIO SODIR REVETE"/>
        <s v="CARLOS ANDRES MORA MUÑOZ"/>
        <s v="DESIREE JOSELYN MARQUEZ DIAZ"/>
        <s v="FRANCINE NARVAEZ LONDOÑO"/>
        <s v="JEISON IVAN GAMBA HASTAMORIR"/>
        <s v="NANCY ESTEFANIA CASAS PERDOMO"/>
        <s v="JOHAN SEBASTIAN DUEÑAS ARTUNDUAGA_x000a_"/>
        <s v="ELKIN FERNANDO BURBANO CORAL"/>
        <s v="DANEY FELIPE MIRANDA MIRANDA"/>
        <s v="ERICK SANTIAGO GUERRERO ROMERO"/>
        <s v="CRISTHIAN ARMANDO DUEÑAS"/>
        <s v="PABLO ENRIQUE CALDERON DIAZ"/>
        <s v="MIGUEL FAJARDO"/>
        <s v="GIOVANNI ALONSO PENARETE BUITRAGO"/>
        <s v="HENRY FABIAN ROJAS GALLEGO"/>
        <s v="SEBASTIAN FELIPE ROJAS"/>
        <s v="CLARENA VALENCIA CALDERON"/>
        <s v="JULIAN LEANDRO CASTRO"/>
        <s v="KATHERINE GALINDO VARGAS"/>
        <s v="NATALIA ALEJANDRA GRAJALES CARDONA"/>
        <s v="ANDREA MARCELA RODRIGUEZ A"/>
        <s v="JAIRO JUNIOR HERNANDEZ TRILLOS"/>
        <s v="ENOIDES MEJIA"/>
        <s v="MARIA ALEJANDRA ZUÑIGA"/>
        <s v="ANDREA CATERIN MUNOZ ACOSTA"/>
        <s v="TANIA YULIETH PUENTES REAL"/>
        <s v="EDGAR DANIEL CASTRO MUNOZ"/>
        <s v="BERTHA GRACIELA LOPEZ RODRIGUEZ"/>
        <s v="MIGUEL LEÓN"/>
        <s v="JOHN FREDY MUNOZ MARTINEZ"/>
        <s v="ADRIANA IBARRA"/>
        <s v="DIEGO ARIEL RODRIGUEZ"/>
        <s v="Andres Camilo Ruiz Bravo"/>
        <s v="Danilo Cusba Pulido"/>
        <s v="DIDIER ALFREDO PASUY CASTANO"/>
        <s v="Eddy Hernando Bogota Cangrejo"/>
        <s v="Espitia Montilla William Ricardo"/>
        <s v="Fuentes Rojas Jose David"/>
        <s v="HEYBER FERNANDO NINO GUANUME."/>
        <s v="JUAN ALEJANDRO RIOS PEREZ"/>
        <s v="Paula Janeth moreno Escobar"/>
        <s v="Rey Orozco Cristian Ivan"/>
        <s v="Rigoberto Rios Hueso"/>
        <s v="Stefan Nicolas Aponte Murcia"/>
        <s v="TOVAR VELASQUEZ MEYER"/>
        <s v="ACEVEDO SANCHEZ RUBEN DARIO"/>
        <s v="Juan Carlos Pardo Hernandez"/>
        <s v="Melissa Correa Rios"/>
        <s v="Kleiver Joan Martinez Peña"/>
        <s v="Jeferson Daniel Agudelo sierra"/>
        <s v="Andres Felipe Quintero Salazar"/>
        <s v="TATIANA CAROLINA AVELLANEDA"/>
        <s v="CARLOS ARTURO PUENTES ZAMBRANO"/>
        <s v="David Sandoval Arboleda"/>
        <s v="JORGE ESTEBAN LLANOS"/>
        <s v="JULIAN ESTIC LAGOS GALINDO"/>
        <s v="Luis Eduardo Fonseca Fajardo"/>
        <s v="Angie Chiguasuque"/>
        <s v="Ginna García Lara"/>
        <s v="David Santiago Quijano Ordoñez"/>
        <s v="Edgar Andrés Garzon Rangel"/>
        <s v="Lautaro Nahuel Cuello"/>
        <s v="Manuel Augusto Vilchez Maticorena"/>
        <s v="Santiago Galindo Gutierrez"/>
        <s v="Stephany L Ceron Salas"/>
        <s v="FABIAN ALEJANDRO LOPEZ SUAREZ"/>
        <s v="Jairo Andres Ochoa"/>
        <s v="Desarrollador Front"/>
        <s v="Carlos Alberto Meneses Campohermoso"/>
        <s v="JUAN FELIPE MARTÍN PUERTO"/>
        <s v="Lina Vanessa Rincón Prada"/>
        <s v="Martin Bournonville"/>
        <s v="Santiago Pulido Calderon"/>
        <s v="SERGIO IVAN SANCHEZ PLAZAS"/>
        <s v="Desarrollador Front 1"/>
        <s v="Desarrollador Front 2"/>
        <s v="Desarrollador APX 1"/>
        <s v="Desarrollador APX 2"/>
        <s v="Tester 1"/>
        <s v="Tester 2"/>
        <s v="Hayler Jair Caicedo"/>
        <s v="JUAN PABLO VELEZ"/>
        <s v="Nubia Sanchez"/>
        <s v="Desarrollador ASO"/>
        <s v="Desarrollador HOST"/>
        <s v="Diego Alejandro Galeano garzon"/>
        <s v="Luz Carola Giraldo García"/>
        <s v="Andrés Alejandro Fajardo Torres"/>
        <s v="YEISSON FABIAN GUALDRON VIVAS"/>
        <s v="CAMILO ANDRES AGUIRRE"/>
        <s v="JEFFERSON JOSE ESQUEA SANCHEZ"/>
        <s v="Jhon Alexander Santana"/>
        <s v="Juliana Corredor"/>
        <s v="Cristian Steven Abril"/>
        <s v="ANGELA RIVERA"/>
        <s v="DANIEL ALIRIO ROA ARIZMENDI"/>
        <s v="EDDY MAURICIO SUAREZ MOLINA"/>
        <s v="MAURICIO CORDOBA"/>
        <s v="LEONOR AZUCENA GOMEZ RINCON"/>
        <s v="TATIANA SANCHEZ MONROY"/>
        <s v="OSCAR DANIEL OÑATE CASTILLA"/>
        <s v="ERIKA ZULEIMA MARTINEZ RODRIGUEZ"/>
        <s v="MARTIN ROMERO ORTIZ"/>
        <s v="NICOLAS MUÑOZ"/>
        <s v="CARLOS FABIAN GONZALEZ CORTES"/>
        <s v="ANDRES RODRIGO COMBARIZA"/>
        <s v="WILSON ANDRES FRACON HERMIDA"/>
        <s v="JORGE DANILO BUITRAGO HERNANDEZ"/>
        <s v="ANDREI NICOLAS CASTRO MUÑOZ"/>
        <s v="ERIKA LILIANA ESPINOSA DUQUE"/>
        <s v="LYDI JOHANA MORENO LOPEZ"/>
        <s v="JUAN DAVID GARZON"/>
        <s v="JESUS ROLDAN LAVERDE"/>
        <s v="DIEGO DIAZ VIVAS"/>
        <s v="LUIS JAVIER RIVERA MORENO"/>
        <s v="EDGAR VASQUEZ RUIZ"/>
        <s v="FELIPE ALEJANDO PEDRAZA ROBLES"/>
        <s v="DIANA CAROLINA PEÑA PALOMINO"/>
        <s v="DIANA BARBOSA OSPINA"/>
        <s v="JUAN SEBASTIAN COLMENARES RODRIGUEZ"/>
        <s v="CARLOS VICENTE SERRATO SERNA"/>
        <s v="REMBERTO PRIOLO"/>
        <s v="ANDRES FELIPE FUENTES GARAY"/>
        <s v="WILLIAM ARMANDO BONILLA ACUÑA"/>
        <s v="MAIRA ALEJANDRA GUERRERO CAMARGO"/>
        <s v="RUBERTH SAN MIGUEL PEREZ"/>
        <s v="FABRICIO AUGUSTO LOZANO TORRES"/>
        <s v="FLOR MIREYA GONZALEZ VASQUEZ"/>
        <s v="MICHAEL ALEXANDER PINZON CRISTANCHO"/>
        <s v="MARIA PAULA ISAZA SANCHEZ"/>
        <s v="CAMILO ANDRES MORENO HURTADO"/>
        <s v="CRISTIAN ARLEY AMORTEGUI AREVALO"/>
        <s v="GILBERTO SANCHEZ RODRIGUEZ"/>
        <s v="VICTOR WILSON AREVALO MARTIN"/>
        <s v="SERGIO LEONARDO MENDOZA GASCA"/>
        <s v="MARLON STUART SUAREZ ."/>
        <s v="JONATHAN FABIAN PAEZ TORRES"/>
        <s v="LEIDY JOHANA RODRIGUEZ GARCIA"/>
        <s v="GUSTAVO ADOLFO SALAZAR BERNAL"/>
        <s v="JHON ALEXANDER PINEDA ARIAS"/>
        <s v="ALEJANDRA MARIA HINCAPIE AGUIRRE"/>
        <s v="EDUAR DUBAN GONZALEZ JOYA"/>
        <s v="JEISSON SNEYDER GALLO RAMIREZ"/>
        <s v="SERGIO ALEJANDRO NUÑEZ MENDIVELSO"/>
        <s v="ANDREY DAVID NINO GALVIS"/>
        <s v="BRIAN LEONARDO PEREZ RUBIANO"/>
        <s v="CAMILO ANDRES TELLEZ PRIETO"/>
        <s v="CARLOS ANDRES MARTINEZ BEDOYA"/>
        <s v="HAROLD ENRIQUE ROCANCIO JULIO"/>
        <s v="HECTOR JAIRO LEGUIZAMON "/>
        <s v="JOHAN GARZON PEDRAZA"/>
        <s v="KAREN ANDREA BELTRÁN SILVA"/>
        <s v="SANTIAGO A SANTOS ESTRADA"/>
        <s v="GONZALO CHAPARRO LOPEZ"/>
        <s v="PEREZ PAN WILLIAM STEVEN"/>
        <s v="AGREDO LLANTEN NESTOR RAUL"/>
        <s v="ALFONSO PUIN DANIEL FELIPE"/>
        <s v="ALVARADO URUETA AVELINO RAFAEL"/>
        <s v="CAMELO MORA LADY KATHERINE"/>
        <s v="CARVAJAL ARRAIZ ANGELICA ALEJANDRA"/>
        <s v="CASTRO PULIDO STEFANNY LIZETH"/>
        <s v="CHAVES ANGEL JOAN NICOLAS"/>
        <s v="CORREA HURTADO KEVIN ALEJANDRO"/>
        <s v="DIAZ SALAZAR EDILBERTO"/>
        <s v="OLIVOS FONSECA JONATHAN STEVEN"/>
        <s v="PINEDA MAHECHA PABLO ENRIQUE"/>
        <s v="RODRIGUEZ RIVERA ANDRES CAMILO"/>
        <s v="CASALLAS LEGUIZAMON NELSON SEBASTIAN"/>
        <s v="PALACIO CHAVES ANDRES FELIPE"/>
        <s v="MUÑOZ CEDANO LEONEL"/>
        <s v="QUINTERO GAITÁN CRISTIAN ALBERTO"/>
        <s v="PENA DIAZ EDGAR SEBASTIAN"/>
        <s v="JIMENEZ MUÑOZ ANA MARIA"/>
        <s v="CORONADO ALVARO FELIPE"/>
        <s v="ALDANA ROJAS TIHAMER KARLOVICH"/>
        <s v="BENITEZ ATENCIA JAIME RAFAEL"/>
        <s v="NARANJO WILMER FERNEY"/>
        <s v="JERSON SANCHEZ"/>
        <s v="RICARDO AGUSTIN PACHON PIRAGAUTA"/>
        <s v="Oscar Ivan Muñoz Alvarez"/>
        <s v="Soraida Cujavante Sierra"/>
        <s v="Elkin David Fuentes Rodríguez"/>
        <s v="Celso Hernández Torres"/>
        <s v="Luis Rodrigo Ulloa Marin"/>
        <s v="Brenda Liliana Sepúlveda Vega"/>
        <s v="Jenny Martinez Lopez"/>
        <s v="Hugo Ferney Prieto Posso"/>
        <s v="Donoban Ricardo Figueredo Piragauta"/>
        <s v="JOHN FREDDY JIMENEZ"/>
        <s v="GORGETH MOSCARELLA MARTÍNEZ"/>
        <s v="DANIEL ORLANDO GARZON"/>
        <s v="RUBIANO MARIN WILLIAM EDUARDO"/>
        <s v="GUEVARA CASTRO JUAN ANDRES"/>
        <s v="JULIETH ALEJANDRA BERMUDEZ BERNAL"/>
        <s v="ADRIANA MARCELA RODRIGUEZ"/>
        <s v="ANDRES ALBERTO SAENZ CORDERO"/>
        <s v="DIANA MARCELA MORENO ORTIZ"/>
        <s v="DAVID GONZALO LARA DIAZ"/>
        <s v="LUIS EDIER BERMUDEZ RIOS"/>
        <s v="SAIR GIOVANNY GARCIA BEJARANO"/>
        <s v="JAIR ERNESTO CABRA MENJURA-REEMPLAZO THALIA"/>
        <s v="ALEXANDRA BARBARA QUINDE DIAZ"/>
        <s v="BRIGGTTE ALMENDRA BARBOZA NIETO"/>
        <s v="IRWIN WALTER ACOSTA CHAVARRI"/>
        <s v="YELITZA ANDREA BOHORQUEZ BEDOYA"/>
        <s v="JESUS HUMBERTO MORENO ROJAS"/>
        <s v="GUISELL DAYAN DIAZ BLANCO"/>
        <s v="RUBEN DARIO DIAZ"/>
        <s v="ADRIÁN RICARDO ROJAS VILLEGAS"/>
        <s v="FRANK NICOLAS HERRAN"/>
        <s v="DUVAN ALEJANDRO RAMIREZ ROMERO"/>
        <s v="JONATHAN GARZON PEÑA"/>
        <s v="JUAN MANUEL FRAILE ROJAS"/>
        <s v="JORGE ARMANDO YANQUEN"/>
        <s v="JULIÁN DAVID CASTAÑEDA"/>
        <s v="Diego Elejalde Cifuentes"/>
        <s v="CARLOSFERNANDO SUAREZ"/>
        <s v="Cely Gutierrez Anderson Sneider"/>
        <s v="Cuervo Duran Francisco Hernan"/>
        <s v="DIEGO ALEJANDRO ASTAZIA"/>
        <s v="DIVER ANDREY SUATERNA"/>
        <s v="Gonzalez Cardenas Oscar"/>
        <s v="Jimenez Garcia Ariel Andres"/>
        <s v="MARIAMM YULIETH ALVAREZ"/>
        <s v="Moreno Castellanos Omar Alfonso"/>
        <s v="Navarro Torres Javier Dario"/>
        <s v="SAMIR DE JESUS QUICENO BERMUDEZ"/>
        <s v="PATRICIA ORRO"/>
        <s v="Sebastian Ayala"/>
        <s v="Daniel Antonio Aguilar"/>
        <s v="DESARROLLADOR APX"/>
        <s v="NELSON FERRUCHO"/>
        <s v="Levi Becerra"/>
        <s v="DESARROLLO HOST"/>
        <s v="TESTER QA"/>
        <s v="DESARROLLO ASO"/>
        <s v="Esteban Linares"/>
        <s v="DESARROLLADOR FRONT "/>
        <s v="ANDRES FELIPE CASTAÑEDA"/>
        <s v="JUAN CAMILO JAIMES"/>
        <s v="SANDRA REDONDO"/>
        <s v="JONATHAN MARCELL GUTIERREZ RIAÑO"/>
        <s v="LUBER FANDIÑO"/>
        <s v="Brayan Peña"/>
        <s v="JOAN CHIVATA"/>
        <s v="FAIBER RUEDA"/>
        <s v="JUAN ROMERO"/>
        <s v="KEVIN SARMIENTO"/>
        <s v="TBD - ANS"/>
        <s v="CRISTIAN DAZA"/>
        <s v="JUAN DUQUE"/>
        <s v="Alejandro Cano"/>
        <s v="Rafael Bonet"/>
        <s v="Jhonathan Medina"/>
        <s v="John Zamora"/>
        <s v="ALEXIS A GONZALEZ LANCHEROS"/>
        <s v="ANDRES FELIPE CALDERÓN NOVOA"/>
        <s v="ANDRÉS FELIPE MORA SANTANA"/>
        <s v="ANTONY SUICA CUARTAS"/>
        <s v="BRIAN MAURICIO TEJEDOR VARGAS"/>
        <s v="CRISTIAN ANDREY ANTOLINEZ BOHORQUEZ"/>
        <s v="CRISTIAN RENE MENDEZ"/>
        <s v="DAVID LEONARDO OBANDO CORTÉS"/>
        <s v="DAVID RODRIGUEZ RANGEL"/>
        <s v="DIEGO FERNANDO MONTEALEGRE ROZO"/>
        <s v="EDWIN ARMANDO CASTRO MARTIN"/>
        <s v="EVELIN LORENA PEDRAZA ROMERO"/>
        <s v="FABIAN ARTURO RAMIREZ BROCHE"/>
        <s v="JOAN DE JESUS SANCHEZ CANDANOZA"/>
        <s v="JOEL ANDRÉS CANTILLO NIETO"/>
        <s v="JOHN JAIRO CARDENAS SANABRIA"/>
        <s v="JORGE ANDRES MANRIQUE MARTINEZ"/>
        <s v="JOSE AGUSTIN PALOMINO PARDO"/>
        <s v="KAREN MARGARITA ARENILLA TRIGOS"/>
        <s v="LAURA VALENTINA SANDOVAL MARIN"/>
        <s v="MARIA CAMILA BUITRAGO"/>
        <s v="MARLLY JAZMIN VARGAS GARZÓN"/>
        <s v="MIGUEL ANGEL LUENGAS"/>
        <s v="NICOLÁS ENRIQUE BUITRAGO ARANGO"/>
        <s v="OMAR ESTEBAN MATUK"/>
        <s v="PABLO ANTONIO MARQUEZ"/>
        <s v="PLINIO EDUARDO MARTINEZ ESPITIA"/>
        <s v="WALTHER STIVENS ZAPATA TABERA"/>
        <s v="YENIFER ARANGO TABARES"/>
        <s v="JOSE ANTONIO PERFECTO"/>
        <s v="LUIS FELIPE VILLEGAS SANCHEZ"/>
        <s v="ADRIAN ROJAS"/>
        <s v="ADRIANA MAYERLY RAMIREZ"/>
        <s v="ANDREA MARIETA LOPEZ PARRA."/>
        <s v="ANDRES DAVID ARIAS"/>
        <s v="ANGELA MARIA BENITEZ"/>
        <s v="CAMILO ERNESTO MUÑOZ LOVERA"/>
        <s v="CIRO ALONSO RINCON HERNANDEZ"/>
        <s v="CLAUDIA PALENCIA"/>
        <s v="CLAUDIA YURANI TAQUEZ CHALAPUD"/>
        <s v="CRISTIAN CAMILO RATIVA PARRA"/>
        <s v="DANIEL SANTIAGO JARAMILLO"/>
        <s v="DIANA MAYERLY RAMIREZ"/>
        <s v="EDWARD ALEXANDER DUQUE TAMAYO"/>
        <s v="ELIEZER JOSUE CONEO VEGA"/>
        <s v="ELIZABETH  TRIANA PRIETO"/>
        <s v="FRANK HERRAN GARZON"/>
        <s v="GUILIAN ANDREI TAFUR FUENTES"/>
        <s v="HERMES FERNANDO AMARIS"/>
        <s v="HUMBERTO MALAGON VARGAS"/>
        <s v="JENNIFER ALZATE"/>
        <s v="JORGE LUIS URBINA"/>
        <s v="JORGE NELSON GARCIA"/>
        <s v="JORGE TAUTIVA MELO"/>
        <s v="JOSE BLADIMIR INAMPUES TUTALCHA"/>
        <s v="JOSE MIGUEL SANCHEZ BARRANTES"/>
        <s v="JUAN FELIPE FORERO"/>
        <s v="JUAN SEBASTIAN MINA"/>
        <s v="JULIAN ANDRES ARENAS"/>
        <s v="LEIDY NATALIA  GONZALEZ"/>
        <s v="LILIAN BEDUD RIOJAS GONZALEZ"/>
        <s v="LIZET VANESSA VEGA BONILLA"/>
        <s v="LIZETH DAYANA RODRIGUEZ ACOSTA"/>
        <s v="LUIS FERNANDO SABROSO"/>
        <s v="LUIS FERNANDO TORRES AVENDAÑO"/>
        <s v="LUZ ENEY ACEVEDO MATEUS"/>
        <s v="MARIA FERNANDA RUSSI"/>
        <s v="MARITZA CASTILLO NAVARRO"/>
        <s v="MARTA PATRICIA VELANDIA SIZA"/>
        <s v="MARTHA LILIANA RUSSY CHAVARRO"/>
        <s v="MARY LUZ RODRIGUEZ"/>
        <s v="MAURICIO ANDRES NUÑEZ ORTEGON"/>
        <s v="MAYKER GUILLERMO LOPEZ"/>
        <s v="MICHAEL JULIAN GARZON"/>
        <s v="MIGUEL ANGEL POLOCHE DIAZ"/>
        <s v="NATALIA ANDREA SAMBONI"/>
        <s v="NICO NIÑO VERGARA"/>
        <s v="RICARDO ANDRES CERRATO"/>
        <s v="ROBER ESNEIDER PARRA POLANIA"/>
        <s v="TATIANA  PAOLA PEREIRA RIOS"/>
        <s v="WBEIMAR MURILLO"/>
        <s v="WILLIAM LEONARDO ESPITIA FRANCO"/>
        <s v="SERGIO EDUARDO MARTINEZ LOPEZ"/>
        <s v="JUAN PABLO MILLAN MORALES"/>
        <s v="NELSON JAVIER MONCADA GELVES"/>
        <s v="JOAN CAMILO CHIVATA SANCHEZ"/>
        <s v="JUAN SEBASTIAN AYALA RENDON"/>
        <s v="BRAYAN NICOLAS PEÑA QUINTANA"/>
        <s v="CARLOS MARIO BERNAL CASTRO"/>
        <s v="DIEGO SANTOS DUARTE CUELLAR"/>
        <s v="VICTOR HUGO DIAZ CERON"/>
        <s v="DAVID ESTEBAN ARAGON PEÑUELA"/>
        <s v="CAMILO ANDRES MUÑOZ CAICEDO"/>
        <s v="DIEGO JAVIER MORENO RUSINQUE"/>
        <s v="EDWIN DAVID TORO ECHEVERRIA"/>
        <s v="KATHERIN DANIELA AREVALO BARRERA"/>
        <s v="FERNANDO JOSE BOLIVAR NAVARRO"/>
        <s v="EDISSON IOVANNI RODRIGUEZ SOCHA"/>
        <s v="Cristian Camilo Rincon"/>
        <s v="Jorge Anibal Blanco Meneses"/>
        <s v="Juan Camilo Ladino Guezguan"/>
        <s v="Jayson Ricardo Becerra Gomez"/>
        <s v="Oscar Fernando Real Bautista"/>
        <s v="Alexander Lopez Fonseca"/>
        <s v="Donoba Ricardo Figueredo"/>
        <s v="Ricardo Pachon"/>
        <s v="Diana Rubiano"/>
        <s v="Maria Victoria Ruiz"/>
        <s v="Adriana Yamile Rodriguez"/>
        <s v="Andres Felipe Mora"/>
        <s v="Jean paul patiño"/>
        <s v="Jhenny meneses"/>
        <s v="Juan stevens guzman"/>
        <s v="Michael escobar"/>
        <s v="Nestor Eduardo Torres Gonzalez"/>
        <s v="Jonathan Molina Fuentes"/>
        <s v="Nicolas Moreno Arévalo"/>
        <s v="Angie Natalia Gonzalez"/>
        <s v="ANDERSON CAMILO APONTE CERVERA"/>
        <s v="CRISTIAN ALEXANDER ROJAS AZA"/>
        <s v="DIANA EDITH VILLEGAS RAMIREZ"/>
        <s v="EDGAR IVAN ARIAS MALDONADO"/>
        <s v="HAROLD ANDRES CASTILLO CARVAJAL"/>
        <s v="JOE ESTUPINAN MONTANO"/>
        <s v="JUAN DAVID BAEZ RAMOS"/>
        <s v="LEANDRO GOMEZ "/>
        <s v="LENIN RAFAEL DIAZ QUINTERO"/>
        <s v="LEONARDO ALBERTO JIMENEZ RINCON"/>
        <s v="MARIA CAMILA MOLINA ALBA"/>
        <s v="NICOLAS BOHORQUEZ LEGUIZAMO"/>
        <s v="YADIRA COBOS ROMERO"/>
        <s v="ARLEM CHINCHIA"/>
        <s v="ADRIANA MERCEDES GOMEZ"/>
        <s v="CARLOS FRANCISCO TOVAR LOSADA"/>
        <s v="CAROLINA GARZÓN"/>
        <s v="DAVID FERNANDO MENDIETA"/>
        <s v="DIANA CAROLINA ARTEAGA"/>
        <s v="EDISON RAMÍREZ"/>
        <s v="EDWARD MORENO"/>
        <s v="JAIBER DAIVISON NOVA"/>
        <s v="JENNIFER ZAMORA"/>
        <s v="FHERNEY ANDRIAN SILVA"/>
        <s v="JESUS ANDRÉS CARDENAS"/>
        <s v="LUIS FELIPE GONZÁLEZ"/>
        <s v="LUZ  STELLA MARTINEZ"/>
        <s v="MARÍA ALEJANDRA VARÓN"/>
        <s v="NICOLAS BOLIVAR BATTLE"/>
        <s v="OSCAR DARIO VELÁSQUEZ"/>
        <s v="REINALDO CUARIN"/>
        <s v="SANTIAGO MARTINEZ"/>
        <s v="YESID ALEXANDER ROA VEGA"/>
        <s v="ANDERSSON SALINAS"/>
        <s v="JUAN CARLOS SALDAÑA"/>
        <s v="JOSE PERFECTO"/>
        <s v="LUIS LOZANO"/>
        <s v="SAMUEL ANDRES JIMENEZ RODRIGUEZ"/>
        <s v="ADRIAN DUCUARA BENITEZ"/>
        <s v="ANDRES ALEJANDRO FAJARDO TORRES"/>
        <s v="ANDRES ALFONSO VARELO SILGADO"/>
        <s v="ANDRES FELIPE FANDINO QUECANA"/>
        <s v="ANDRÉS FELIPE FORERO"/>
        <s v="BRANDON AVILA"/>
        <s v="BRAYAN CAMILO VALCARCEL RIANO"/>
        <s v="BRYAN SMITH PATIÑO"/>
        <s v="CAMILO ABELLA"/>
        <s v="CAMILO CABRA"/>
        <s v="CESAR AUGUSTO MOLANO RUEDA"/>
        <s v="CRISTIAN ESNEIDER VELASQUEZ"/>
        <s v="CRISTIAN FRANCISCO FERNANDEZ"/>
        <s v="CRISTIAN STEVEN ABRIL ALDANA"/>
        <s v="CRISTIAN STIVEN SÀNCHEZ RUBIO"/>
        <s v="DANIEL BERNAL"/>
        <s v="DAVID GERMAN TORRES MOLANO"/>
        <s v="DEISON COLMENARES"/>
        <s v="DIANA GRANADA"/>
        <s v="DIEGO CALLEJAS"/>
        <s v="DUVAN ALEJANDRO BERNATE PIAMBA"/>
        <s v="EDGAR REY"/>
        <s v="EDUAR BOLAÑOS"/>
        <s v="FABIANI LOZANO"/>
        <s v="FLOR ALICIA GALAN"/>
        <s v="FRANKLIN MEDINA"/>
        <s v="HECTOR FERNANDO JARAMILLO"/>
        <s v="IVAN DE JESÚS RAMOS OSORIO"/>
        <s v="JAVIER CORDOBA"/>
        <s v="JENNIFER HAILINTH MORENO"/>
        <s v="JHON EDWIN MENDOZA DAZA"/>
        <s v="JHON MARIO FORERO"/>
        <s v="JHONATAN STIV CUADROS CARDENAS"/>
        <s v="JOSEPH ALEANDER ROJAS"/>
        <s v="JUAN CARLOS PULIDO"/>
        <s v="JUAN SALAZAR"/>
        <s v="JULIE PAULETTE GARAVITO"/>
        <s v="KAREN MARGARITA ANGULO"/>
        <s v="LEYDI CAMARGO"/>
        <s v="LIDA VIVIANA PINEDA"/>
        <s v="LUIS JAVIER SANDON"/>
        <s v="LUZ ESTELLA ORTEGA"/>
        <s v="MAICOL STIVEN PEREZ"/>
        <s v="MARIA ESTELA SUAREZ"/>
        <s v="MAURICIO RAMIREZ"/>
        <s v="MELANIE QUIROZ"/>
        <s v="MIRYANI VARGAS"/>
        <s v="NANCY CATHERINE HERNANDEZ"/>
        <s v="OMAR FERNANDO ORTEGÓN VARGAS"/>
        <s v="RODRIGO BARBIERI PEREZ"/>
        <s v="Alejandra Barrios"/>
        <s v="Alvaro Alvarez"/>
        <s v="Anderson Fabian Camelo"/>
        <s v="Carlos Arturo Rodriguez Castañeda"/>
        <s v="Cesar Augusto Valbuena"/>
        <s v="Cristian Camilo Duarte"/>
        <s v="Cristian Fernando Hernandez Angarita"/>
        <s v="David Garrido"/>
        <s v="Diana Duarte"/>
        <s v="Diego Alejandro Parra Nuñez"/>
        <s v="Dina Luz Perez"/>
        <s v="Edson Suarez"/>
        <s v="Erick Bermejo"/>
        <s v="Esperanza Ortega"/>
        <s v="Henry Cortes"/>
        <s v="Hernan Gabriel Fernandez"/>
        <s v="Jesus Wellman"/>
        <s v="Johan Sebastian Forero"/>
        <s v="Josue David Fernandez Reyes"/>
        <s v="Juan David Rodriguez Ariza"/>
        <s v="Juan David Velasquez"/>
        <s v="Karen Juliete Mahecha Rey"/>
        <s v="Karol Melissa Gómez Colmenares"/>
        <s v="Katherine Santana"/>
        <s v="Laura Milena Duarte"/>
        <s v="LAURA STEFANY ROMERO TRUJILLO"/>
        <s v="Mario Perilla"/>
        <s v="Martin Theiler"/>
        <s v="Miller Gomez"/>
        <s v="Nicolas Bedoya Montealegre"/>
        <s v="Nicolas Eduardo Loaiza"/>
        <s v="Nydia Forero"/>
        <s v="Oscar Andres Bernal Quiroz"/>
        <s v="Oscar Freddy Roncancio Zea"/>
        <s v="Oscar Mauricio Lozano"/>
        <s v="Rafael Eduardo Martinez Caceres"/>
        <s v="Sair Giovanny Bejarano Garcia"/>
        <s v="Pedro Luis Melo Robayo"/>
        <s v="Roger Arias"/>
        <s v="Santiago Molina"/>
        <s v="Santiago Montoya"/>
        <s v="Sergio Mercado"/>
        <s v="Stiven Carrillo"/>
        <s v="ANDRES FELIPE GUTIERREZ BAÑOL"/>
        <s v="CESAR LEANDRO PESTANA ROMERO"/>
        <s v="JEANN CARLOS SEQUEA MENDEZ "/>
        <s v="JOHANA KATHERIN VASQUEZ QUEVEDO "/>
        <s v="JULIAN FELIPE VEGA HERNANDEZ "/>
        <s v="NATALIA ORTIZ MALDONADO "/>
        <s v="NICOLAS  MORENO AREVALO"/>
        <s v="OSCAR YECID  SANCHEZ ZAMORA"/>
        <s v="RONALD ANTONIO ROMERO MONSALVE"/>
        <s v="MIGUEL LEONARDO AVILA AREVALO"/>
        <s v="THALIA VALENTINA MANRIQUE BELLO"/>
        <s v="YINETH SANEY FRANCO HERNANDEZ "/>
        <s v="ZULMA ZORAYA  PENAGOS TAVERA"/>
        <s v="TORRES CASTILLO JOAN SEBASTIÁN"/>
        <s v="OCAMPO RODRIGUEZ JOHN JAILER"/>
        <s v="FUQUENE CONTRERAS ADRIANA"/>
        <s v="GARCIA HERRERA MONICA LILIANA"/>
        <s v="AREVALO MORENO DEINA ALEJANDRA"/>
        <s v="ROMERO LITSY DAYANA"/>
        <s v="MARTINEZ RODRIGUEZ ENRIQUE"/>
        <s v="OTALORA LEIVA LUIS FERNANDO"/>
        <s v="CACERES CRISTANCHO JUAN SEBASTIAN"/>
        <s v="POLANCO DANIEL LEONARDO"/>
        <s v="BALLEN GAMBOA CRISTIAN"/>
        <s v="AMAYA CAMPOS SANTIAGO"/>
        <s v="MORENO ANGEL HEYDEN AUGUSTO"/>
        <s v="MEJIA PAULA VALENTINA"/>
        <s v="PINZON VANEGAS MIGUEL ANGEL"/>
        <s v="PINEDA GALLEGO ZAMIR ALEJANDRO"/>
        <s v="SILVA ROMERO JULIAN DAVID"/>
        <s v="PENAGOS JULIO CESAR"/>
        <s v="CASTILLO ALONSO GILBERTO"/>
        <s v="FORERO RUIZ JOSE ANTONIO"/>
        <s v="BARRIOS ASPRILLA BREINER I"/>
        <s v="CAVIEDES JIMENEZ JULIAN FELIPE"/>
        <s v="GORDO BELTRAN DANIEL FERNANDO"/>
        <s v="MANCIPE JUAN DAVID"/>
        <s v="JOHN EDUAR LUNA SANCHEZ"/>
        <s v="JORGE HUMBERTO MARTINEZ MARIN"/>
        <s v="LUCIO RAMIRO TAPIA VARGAS"/>
        <s v="ALVARO ARENAS SANCHEZ"/>
        <s v="MARTÍN RODRIGUEZ"/>
        <s v="YEFERSON OCHOA"/>
        <s v="ANDRES FELIPE GOMEZ"/>
        <s v="JEISON EDUARDO HERNANDEZ"/>
        <s v="STEFANY CAROLINA MEDINA VILLADIENGO"/>
        <s v="ALEXANDER GONZALEZ PEÑA"/>
        <s v="MIGUEL ANGEL ALBARRACIN"/>
        <s v="DIEGO ANDRES JIMENEZ PABUENA"/>
        <s v="ESTEBAN ARIAS CARACAS"/>
        <s v="RONAL ALBERTO TABORDA MORENO"/>
        <s v="PAULO CESAR SALDARRIAGA"/>
        <s v="NIDIA CONTRERAS HERNANDEZ"/>
        <s v="IVAN YESID REYES CALCETERO"/>
        <s v="EDISON TRONCOSO PARADA"/>
        <s v="OSCAR BARBOSA OSPINA"/>
        <s v="ALEX EDWIN TOSCANO MAESTRE"/>
        <s v="FELIPE ANDRES QUINTERO HIGUITA"/>
        <s v="OSCAR ANDRES CARDOZA OLANO"/>
        <s v="DIEGO ANDRES GUTIERREZ MESA"/>
        <s v="ALEJANDRO LARA MONTANO"/>
        <s v="Andres Jimenez Molina"/>
        <s v="CRISTIAN CAMILO APONTE QUIROGA"/>
        <s v="Edward Enrique Vaca"/>
        <s v="Cristian David Beltran Barrantes"/>
        <s v="DANNY CAMILO BERNAL BERNAL"/>
        <s v="Edison Jovanny Castillo"/>
        <s v="Edwin Giovanny Cetina Pinzón."/>
        <s v="Faiber Orlando Camelo Romero"/>
        <s v="John Edwin Riascos Castillo"/>
        <s v="Juan Daniel Bernal Marin"/>
        <s v="Jualian Alberto Rodriguez"/>
        <s v="Kevin Danilo López Clopatofsky"/>
        <s v="Leandro Augusto Chiguasuque"/>
        <s v="Martha Lucia Aguirre"/>
        <s v="Jose Mauricio Peña"/>
        <s v="Paola Marcela Moreno Sanabria"/>
        <s v="Wilson Daniel Bulla Martinez"/>
        <s v="ALEX FERNEY MARTINEZ SERPA"/>
        <s v="ANGEL JAVIER BADEL GASCA"/>
        <s v="CARLOS ENRIQUE FAJARDO FAJARDO "/>
        <s v="DEIVIS JAVIER MIRANDA RAMOS "/>
        <s v="EDNA YURANI GIL"/>
        <s v="ESTEBAN ARIAS CARACAS "/>
        <s v="JAVIER FRANCISCO OSPINA RAMIREZ"/>
        <s v="JUAN PABLO MORA "/>
        <s v="JUAN SEBASTIAN BUSTOS"/>
        <s v="JUAN SEBASTÍAN RODRIGUEZ TOVAR"/>
        <s v="JULIANA BALCERO "/>
        <s v="KAREN ANGELICA ANDRADE"/>
        <s v="MARTHA BEATRIZ GALLEGO MARIN "/>
        <s v="MATEO ECHEVERRY PELAEZ"/>
        <s v="MOISES ABRAHAM LUNA MOJICA"/>
        <s v="RONAL ALBERTO TABORDA MORENO "/>
        <s v="SERGIO OSWALDO ROJAS BERNAL  "/>
        <s v="YANETH MORENO AGUILAR"/>
        <s v="JULIAN I BECERRA BAUTISTA"/>
        <s v="JOSMAN ALEXANDER KOOP SANTA"/>
        <s v="ANDRES FERMIN PITRE JIMENEZ"/>
        <s v="OSCAR EDILBERTO MESA TRUJILLO"/>
        <s v="JEFFERSON CAMILO ROZO CASTILLO"/>
        <s v="CRISTHIAN CAMILO FIGUEROA ENRIQUEZ"/>
        <s v="DIEGO ALEJANDRO QUINTERO VARGAS"/>
        <s v="EDSON DANIEL SUAREZ HERNANDEZ"/>
        <s v="CRISTHIAN CAMILO TORRES CASTRO"/>
        <m/>
        <s v=" DIOCLECIANO LOPÉZ" u="1"/>
        <s v=" LIZETH DUEÑAS" u="1"/>
        <s v="HAROLD HERNANDO REYES VARGAS " u="1"/>
      </sharedItems>
    </cacheField>
    <cacheField name="Dirección" numFmtId="0">
      <sharedItems containsBlank="1"/>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ount="24">
        <s v="BBVA"/>
        <s v="Choucair"/>
        <s v="KRYPTO"/>
        <s v="SII"/>
        <s v="Tecnoevolución"/>
        <s v="Inetum"/>
        <s v="Novatec"/>
        <s v="DIMENSION"/>
        <s v="Indra"/>
        <s v="GGI / CMC"/>
        <s v="MS"/>
        <s v="CAPGEMINI"/>
        <s v="Neoris"/>
        <s v="BLUETAB"/>
        <s v="ADENZA"/>
        <s v="Globant"/>
        <s v="Meraki"/>
        <s v="BBVA Seguros"/>
        <s v="JARZSOFT"/>
        <s v="VASS"/>
        <s v="Accenture"/>
        <s v="BBVA Fiduciaria"/>
        <s v="TRYCORE"/>
        <m/>
      </sharedItems>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50.675574305555" refreshedVersion="8" recordCount="1693" xr:uid="{00000000-000A-0000-FFFF-FFFF1A000000}">
  <cacheSource type="worksheet">
    <worksheetSource ref="A1:T1694" sheet="Staffing"/>
  </cacheSource>
  <cacheFields count="20">
    <cacheField name="Código" numFmtId="0">
      <sharedItems containsBlank="1" containsMixedTypes="1" containsNumber="1" containsInteger="1" minValue="1032450219" maxValue="1032450219"/>
    </cacheField>
    <cacheField name="Nombre" numFmtId="0">
      <sharedItems/>
    </cacheField>
    <cacheField name="Dirección" numFmtId="0">
      <sharedItems count="6">
        <s v="ENTERPRISE"/>
        <s v="CIB &amp; COMEX - FIDUCIARIA"/>
        <s v="CFS"/>
        <s v="CORE"/>
        <s v="SEGUROS"/>
        <s v="RETAIL"/>
      </sharedItems>
    </cacheField>
    <cacheField name="Servicio" numFmtId="0">
      <sharedItems/>
    </cacheField>
    <cacheField name="Empresa" numFmtId="0">
      <sharedItems/>
    </cacheField>
    <cacheField name="Dominio" numFmtId="0">
      <sharedItems count="10">
        <e v="#NAME?"/>
        <s v="" u="1"/>
        <s v="RIC" u="1"/>
        <s v="CS RED" u="1"/>
        <s v="ENG" u="1"/>
        <s v="CIB" u="1"/>
        <s v="GRM" u="1"/>
        <s v="FIN" u="1"/>
        <s v="CS" u="1"/>
        <s v="T&amp;C" u="1"/>
      </sharedItems>
    </cacheField>
    <cacheField name="Proyecto" numFmtId="0">
      <sharedItems/>
    </cacheField>
    <cacheField name="Dedicación" numFmtId="9">
      <sharedItems containsSemiMixedTypes="0" containsString="0" containsNumber="1" minValue="0"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ount="6">
        <e v="#NAME?"/>
        <s v="" u="1"/>
        <s v="BAU" u="1"/>
        <e v="#REF!" u="1"/>
        <s v="No normativo" u="1"/>
        <s v="Normativo" u="1"/>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50.675574421293" refreshedVersion="8" recordCount="1696" xr:uid="{00000000-000A-0000-FFFF-FFFF15000000}">
  <cacheSource type="worksheet">
    <worksheetSource ref="A1:T1697" sheet="Staffing"/>
  </cacheSource>
  <cacheFields count="20">
    <cacheField name="Código" numFmtId="0">
      <sharedItems containsBlank="1" containsMixedTypes="1" containsNumber="1" containsInteger="1" minValue="1032450219" maxValue="1032450219"/>
    </cacheField>
    <cacheField name="Nombre" numFmtId="0">
      <sharedItems/>
    </cacheField>
    <cacheField name="Dirección" numFmtId="0">
      <sharedItems/>
    </cacheField>
    <cacheField name="Servicio" numFmtId="0">
      <sharedItems count="31">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sharedItems>
    </cacheField>
    <cacheField name="Empresa" numFmtId="0">
      <sharedItems count="23">
        <s v="BBVA"/>
        <s v="Choucair"/>
        <s v="KRYPTO"/>
        <s v="SII"/>
        <s v="Tecnoevolución"/>
        <s v="Inetum"/>
        <s v="Novatec"/>
        <s v="DIMENSION"/>
        <s v="Indra"/>
        <s v="GGI / CMC"/>
        <s v="MS"/>
        <s v="CAPGEMINI"/>
        <s v="Neoris"/>
        <s v="BLUETAB"/>
        <s v="ADENZA"/>
        <s v="Globant"/>
        <s v="Meraki"/>
        <s v="BBVA Seguros"/>
        <s v="JARZSOFT"/>
        <s v="VASS"/>
        <s v="Accenture"/>
        <s v="BBVA Fiduciaria"/>
        <s v="TRYCORE"/>
      </sharedItems>
    </cacheField>
    <cacheField name="Dominio" numFmtId="0">
      <sharedItems/>
    </cacheField>
    <cacheField name="Proyecto" numFmtId="0">
      <sharedItems/>
    </cacheField>
    <cacheField name="Dedicación" numFmtId="9">
      <sharedItems containsSemiMixedTypes="0" containsString="0" containsNumber="1" minValue="0" maxValue="1"/>
    </cacheField>
    <cacheField name="ROL" numFmtId="0">
      <sharedItems count="4">
        <s v="Desarrollador"/>
        <s v="Tech Manager/Líder"/>
        <s v="QA"/>
        <s v="Otros"/>
      </sharedItems>
    </cacheField>
    <cacheField name="TECNOLOGÌA" numFmtId="0">
      <sharedItems containsBlank="1" count="9">
        <s v="Distribuido"/>
        <s v="Otras Tec."/>
        <s v="Mainframe"/>
        <s v="ASO"/>
        <s v="APX"/>
        <s v="Cells"/>
        <m/>
        <s v="Openweb"/>
        <s v="LRBA"/>
      </sharedItems>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50.675574768517" refreshedVersion="8" recordCount="1477" xr:uid="{00000000-000A-0000-FFFF-FFFF0F000000}">
  <cacheSource type="worksheet">
    <worksheetSource ref="A1:Q1478" sheet="STAFFING Q1 detalle"/>
  </cacheSource>
  <cacheFields count="17">
    <cacheField name="Código" numFmtId="0">
      <sharedItems containsBlank="1"/>
    </cacheField>
    <cacheField name="Nombre" numFmtId="0">
      <sharedItems/>
    </cacheField>
    <cacheField name="Dirección" numFmtId="0">
      <sharedItems count="5">
        <s v="ENTERPRISE"/>
        <s v="CFS"/>
        <s v="CORE"/>
        <s v="RETAIL"/>
        <s v="CIB &amp; COMEX - FIDUCIARIA"/>
      </sharedItems>
    </cacheField>
    <cacheField name="Servicio" numFmtId="0">
      <sharedItems/>
    </cacheField>
    <cacheField name="Empresa" numFmtId="0">
      <sharedItems/>
    </cacheField>
    <cacheField name="Dominio" numFmtId="0">
      <sharedItems/>
    </cacheField>
    <cacheField name="Proyecto" numFmtId="0">
      <sharedItems/>
    </cacheField>
    <cacheField name="% Dedicación" numFmtId="0">
      <sharedItems containsSemiMixedTypes="0" containsString="0" containsNumber="1" minValue="0.02" maxValue="1"/>
    </cacheField>
    <cacheField name="ROL" numFmtId="0">
      <sharedItems count="4">
        <s v="QA"/>
        <s v="Desarrollador"/>
        <s v="Tech Manager/Líder"/>
        <s v="Otros"/>
      </sharedItems>
    </cacheField>
    <cacheField name="Comentarios" numFmtId="0">
      <sharedItems containsBlank="1"/>
    </cacheField>
    <cacheField name="Interno/ Externo" numFmtId="9">
      <sharedItems count="2">
        <s v="Externo"/>
        <s v="Interno"/>
      </sharedItems>
    </cacheField>
    <cacheField name="Normativo" numFmtId="9">
      <sharedItems count="2">
        <e v="#NAME?"/>
        <s v="" u="1"/>
      </sharedItems>
    </cacheField>
    <cacheField name="Scrum (S/N)" numFmtId="9">
      <sharedItems containsNonDate="0" containsString="0" containsBlank="1"/>
    </cacheField>
    <cacheField name="Sprint" numFmtId="0">
      <sharedItems containsNonDate="0" containsString="0" containsBlank="1"/>
    </cacheField>
    <cacheField name="Verticales locales" numFmtId="0">
      <sharedItems containsNonDate="0" containsString="0" containsBlank="1"/>
    </cacheField>
    <cacheField name="Sub Verticales locales" numFmtId="3">
      <sharedItems containsNonDate="0" containsString="0" containsBlank="1"/>
    </cacheField>
    <cacheField name="Persona"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2">
  <r>
    <s v="C804055"/>
    <s v="QUIROGA VASQUEZ YOAN LEONARDO"/>
    <s v="ENTERPRISE"/>
    <x v="0"/>
    <s v="BBVA"/>
    <e v="#NAME?"/>
    <x v="0"/>
    <n v="0.05"/>
    <s v="Desarrollador"/>
    <s v="Distribuido"/>
    <m/>
    <e v="#NAME?"/>
    <e v="#NAME?"/>
    <e v="#NAME?"/>
    <m/>
    <m/>
    <m/>
    <m/>
    <m/>
    <m/>
    <m/>
    <m/>
    <m/>
  </r>
  <r>
    <s v="C804055"/>
    <s v="QUIROGA VASQUEZ YOAN LEONARDO"/>
    <s v="ENTERPRISE"/>
    <x v="0"/>
    <s v="BBVA"/>
    <e v="#NAME?"/>
    <x v="1"/>
    <n v="0.05"/>
    <s v="Desarrollador"/>
    <s v="Distribuido"/>
    <m/>
    <e v="#NAME?"/>
    <e v="#NAME?"/>
    <e v="#NAME?"/>
    <m/>
    <m/>
    <m/>
    <m/>
    <m/>
    <m/>
    <m/>
    <m/>
    <m/>
  </r>
  <r>
    <s v="C804055"/>
    <s v="QUIROGA VASQUEZ YOAN LEONARDO"/>
    <s v="ENTERPRISE"/>
    <x v="0"/>
    <s v="BBVA"/>
    <e v="#NAME?"/>
    <x v="2"/>
    <n v="0.05"/>
    <s v="Desarrollador"/>
    <s v="Distribuido"/>
    <m/>
    <e v="#NAME?"/>
    <e v="#NAME?"/>
    <e v="#NAME?"/>
    <m/>
    <m/>
    <m/>
    <m/>
    <m/>
    <m/>
    <m/>
    <m/>
    <m/>
  </r>
  <r>
    <s v="C804055"/>
    <s v="QUIROGA VASQUEZ YOAN LEONARDO"/>
    <s v="ENTERPRISE"/>
    <x v="0"/>
    <s v="BBVA"/>
    <e v="#NAME?"/>
    <x v="3"/>
    <n v="0.05"/>
    <s v="Desarrollador"/>
    <s v="Distribuido"/>
    <m/>
    <e v="#NAME?"/>
    <e v="#NAME?"/>
    <e v="#NAME?"/>
    <m/>
    <m/>
    <m/>
    <m/>
    <m/>
    <m/>
    <m/>
    <m/>
    <m/>
  </r>
  <r>
    <s v="C804055"/>
    <s v="QUIROGA VASQUEZ YOAN LEONARDO"/>
    <s v="ENTERPRISE"/>
    <x v="0"/>
    <s v="BBVA"/>
    <e v="#NAME?"/>
    <x v="4"/>
    <n v="0.05"/>
    <s v="Desarrollador"/>
    <s v="Distribuido"/>
    <m/>
    <e v="#NAME?"/>
    <e v="#NAME?"/>
    <e v="#NAME?"/>
    <m/>
    <m/>
    <m/>
    <m/>
    <m/>
    <m/>
    <m/>
    <m/>
    <m/>
  </r>
  <r>
    <s v="C804055"/>
    <s v="QUIROGA VASQUEZ YOAN LEONARDO"/>
    <s v="ENTERPRISE"/>
    <x v="0"/>
    <s v="BBVA"/>
    <e v="#NAME?"/>
    <x v="5"/>
    <n v="0.6"/>
    <s v="Desarrollador"/>
    <s v="Distribuido"/>
    <m/>
    <e v="#NAME?"/>
    <e v="#NAME?"/>
    <e v="#NAME?"/>
    <m/>
    <m/>
    <m/>
    <m/>
    <m/>
    <m/>
    <m/>
    <m/>
    <m/>
  </r>
  <r>
    <s v="C804055"/>
    <s v="QUIROGA VASQUEZ YOAN LEONARDO"/>
    <s v="ENTERPRISE"/>
    <x v="0"/>
    <s v="BBVA"/>
    <e v="#NAME?"/>
    <x v="6"/>
    <n v="0.1"/>
    <s v="Desarrollador"/>
    <s v="Distribuido"/>
    <m/>
    <e v="#NAME?"/>
    <e v="#NAME?"/>
    <e v="#NAME?"/>
    <m/>
    <m/>
    <m/>
    <m/>
    <m/>
    <m/>
    <m/>
    <m/>
    <m/>
  </r>
  <r>
    <s v="C804055"/>
    <s v="QUIROGA VASQUEZ YOAN LEONARDO"/>
    <s v="ENTERPRISE"/>
    <x v="0"/>
    <s v="BBVA"/>
    <e v="#NAME?"/>
    <x v="7"/>
    <n v="0.05"/>
    <s v="Desarrollador"/>
    <s v="Distribuido"/>
    <m/>
    <e v="#NAME?"/>
    <e v="#NAME?"/>
    <e v="#NAME?"/>
    <m/>
    <m/>
    <m/>
    <m/>
    <m/>
    <m/>
    <m/>
    <m/>
    <m/>
  </r>
  <r>
    <s v="C342600"/>
    <s v="DIANA PATRICIA BARRANTES PEREZ"/>
    <s v="ENTERPRISE"/>
    <x v="0"/>
    <s v="BBVA"/>
    <e v="#NAME?"/>
    <x v="1"/>
    <n v="0.15"/>
    <s v="Tech Manager/Líder"/>
    <s v="Distribuido"/>
    <m/>
    <e v="#NAME?"/>
    <e v="#NAME?"/>
    <e v="#NAME?"/>
    <m/>
    <m/>
    <m/>
    <m/>
    <m/>
    <m/>
    <m/>
    <m/>
    <m/>
  </r>
  <r>
    <s v="C342600"/>
    <s v="DIANA PATRICIA BARRANTES PEREZ"/>
    <s v="ENTERPRISE"/>
    <x v="0"/>
    <s v="BBVA"/>
    <e v="#NAME?"/>
    <x v="2"/>
    <n v="0.1"/>
    <s v="Tech Manager/Líder"/>
    <s v="Distribuido"/>
    <m/>
    <e v="#NAME?"/>
    <e v="#NAME?"/>
    <e v="#NAME?"/>
    <m/>
    <m/>
    <m/>
    <m/>
    <m/>
    <m/>
    <m/>
    <m/>
    <m/>
  </r>
  <r>
    <s v="C342600"/>
    <s v="DIANA PATRICIA BARRANTES PEREZ"/>
    <s v="ENTERPRISE"/>
    <x v="0"/>
    <s v="BBVA"/>
    <e v="#NAME?"/>
    <x v="8"/>
    <n v="0.2"/>
    <s v="Tech Manager/Líder"/>
    <s v="Distribuido"/>
    <m/>
    <e v="#NAME?"/>
    <e v="#NAME?"/>
    <e v="#NAME?"/>
    <m/>
    <m/>
    <m/>
    <m/>
    <m/>
    <m/>
    <m/>
    <m/>
    <m/>
  </r>
  <r>
    <s v="C342600"/>
    <s v="DIANA PATRICIA BARRANTES PEREZ"/>
    <s v="ENTERPRISE"/>
    <x v="0"/>
    <s v="BBVA"/>
    <e v="#NAME?"/>
    <x v="4"/>
    <n v="0.15"/>
    <s v="Tech Manager/Líder"/>
    <s v="Distribuido"/>
    <m/>
    <e v="#NAME?"/>
    <e v="#NAME?"/>
    <e v="#NAME?"/>
    <m/>
    <m/>
    <m/>
    <m/>
    <m/>
    <m/>
    <m/>
    <m/>
    <m/>
  </r>
  <r>
    <s v="C342600"/>
    <s v="DIANA PATRICIA BARRANTES PEREZ"/>
    <s v="ENTERPRISE"/>
    <x v="0"/>
    <s v="BBVA"/>
    <e v="#NAME?"/>
    <x v="5"/>
    <n v="0.2"/>
    <s v="Tech Manager/Líder"/>
    <s v="Distribuido"/>
    <m/>
    <e v="#NAME?"/>
    <e v="#NAME?"/>
    <e v="#NAME?"/>
    <m/>
    <m/>
    <m/>
    <m/>
    <m/>
    <m/>
    <m/>
    <m/>
    <m/>
  </r>
  <r>
    <s v="C342600"/>
    <s v="DIANA PATRICIA BARRANTES PEREZ"/>
    <s v="ENTERPRISE"/>
    <x v="0"/>
    <s v="BBVA"/>
    <e v="#NAME?"/>
    <x v="6"/>
    <n v="0.1"/>
    <s v="Tech Manager/Líder"/>
    <s v="Distribuido"/>
    <m/>
    <e v="#NAME?"/>
    <e v="#NAME?"/>
    <e v="#NAME?"/>
    <m/>
    <m/>
    <m/>
    <m/>
    <m/>
    <m/>
    <m/>
    <m/>
    <m/>
  </r>
  <r>
    <s v="C342600"/>
    <s v="DIANA PATRICIA BARRANTES PEREZ"/>
    <s v="ENTERPRISE"/>
    <x v="0"/>
    <s v="BBVA"/>
    <e v="#NAME?"/>
    <x v="7"/>
    <n v="0.1"/>
    <s v="Tech Manager/Líder"/>
    <s v="Distribuido"/>
    <m/>
    <e v="#NAME?"/>
    <e v="#NAME?"/>
    <e v="#NAME?"/>
    <m/>
    <m/>
    <m/>
    <m/>
    <m/>
    <m/>
    <m/>
    <m/>
    <m/>
  </r>
  <r>
    <s v="C808267"/>
    <s v="GUAQUETA ROMERO DEISY YOLIMA"/>
    <s v="ENTERPRISE"/>
    <x v="0"/>
    <s v="BBVA"/>
    <e v="#NAME?"/>
    <x v="4"/>
    <n v="0.7"/>
    <s v="Desarrollador"/>
    <s v="Distribuido"/>
    <m/>
    <e v="#NAME?"/>
    <e v="#NAME?"/>
    <e v="#NAME?"/>
    <m/>
    <m/>
    <m/>
    <m/>
    <m/>
    <m/>
    <m/>
    <m/>
    <m/>
  </r>
  <r>
    <s v="C808267"/>
    <s v="GUAQUETA ROMERO DEISY YOLIMA"/>
    <s v="ENTERPRISE"/>
    <x v="0"/>
    <s v="BBVA"/>
    <e v="#NAME?"/>
    <x v="3"/>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08683"/>
    <s v="EDISON YESID GONZALEZ LANCHEROS"/>
    <s v="ENTERPRISE"/>
    <x v="0"/>
    <s v="BBVA"/>
    <e v="#NAME?"/>
    <x v="1"/>
    <n v="0.1"/>
    <s v="Desarrollador"/>
    <s v="Distribuido"/>
    <m/>
    <e v="#NAME?"/>
    <e v="#NAME?"/>
    <e v="#NAME?"/>
    <m/>
    <m/>
    <m/>
    <m/>
    <m/>
    <m/>
    <m/>
    <m/>
    <m/>
  </r>
  <r>
    <s v="C808683"/>
    <s v="EDISON YESID GONZALEZ LANCHEROS"/>
    <s v="ENTERPRISE"/>
    <x v="0"/>
    <s v="BBVA"/>
    <e v="#NAME?"/>
    <x v="5"/>
    <n v="0.8"/>
    <s v="Desarrollador"/>
    <s v="Distribuido"/>
    <m/>
    <e v="#NAME?"/>
    <e v="#NAME?"/>
    <e v="#NAME?"/>
    <m/>
    <m/>
    <m/>
    <m/>
    <m/>
    <m/>
    <m/>
    <m/>
    <m/>
  </r>
  <r>
    <s v="C808683"/>
    <s v="EDISON YESID GONZALEZ LANCHEROS"/>
    <s v="ENTERPRISE"/>
    <x v="0"/>
    <s v="BBVA"/>
    <e v="#NAME?"/>
    <x v="0"/>
    <n v="0.1"/>
    <s v="Desarrollador"/>
    <s v="Distribuido"/>
    <m/>
    <e v="#NAME?"/>
    <e v="#NAME?"/>
    <e v="#NAME?"/>
    <m/>
    <m/>
    <m/>
    <m/>
    <m/>
    <m/>
    <m/>
    <m/>
    <m/>
  </r>
  <r>
    <s v="C811296"/>
    <s v="QUINTERO CASTILLO DIANA MARCELA"/>
    <s v="ENTERPRISE"/>
    <x v="0"/>
    <s v="BBVA"/>
    <e v="#NAME?"/>
    <x v="5"/>
    <n v="0.75"/>
    <s v="Desarrollador"/>
    <s v="Distribuido"/>
    <m/>
    <e v="#NAME?"/>
    <e v="#NAME?"/>
    <e v="#NAME?"/>
    <m/>
    <m/>
    <m/>
    <m/>
    <m/>
    <m/>
    <m/>
    <m/>
    <m/>
  </r>
  <r>
    <s v="C811296"/>
    <s v="QUINTERO CASTILLO DIANA MARCELA"/>
    <s v="ENTERPRISE"/>
    <x v="0"/>
    <s v="BBVA"/>
    <e v="#NAME?"/>
    <x v="7"/>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11302"/>
    <s v="RAMIREZ MONTANO CARLOS JULIO"/>
    <s v="ENTERPRISE"/>
    <x v="0"/>
    <s v="BBVA"/>
    <e v="#NAME?"/>
    <x v="9"/>
    <n v="1"/>
    <s v="Desarrollador"/>
    <s v="Distribuido"/>
    <m/>
    <e v="#NAME?"/>
    <e v="#NAME?"/>
    <e v="#NAME?"/>
    <m/>
    <m/>
    <m/>
    <m/>
    <m/>
    <m/>
    <m/>
    <m/>
    <m/>
  </r>
  <r>
    <s v="C811321"/>
    <s v="OTTO JADIR SAGUIT SANTOS ALBARRACIN"/>
    <s v="ENTERPRISE"/>
    <x v="0"/>
    <s v="BBVA"/>
    <e v="#NAME?"/>
    <x v="9"/>
    <n v="1"/>
    <s v="Desarrollador"/>
    <s v="Distribuido"/>
    <m/>
    <e v="#NAME?"/>
    <e v="#NAME?"/>
    <e v="#NAME?"/>
    <m/>
    <m/>
    <m/>
    <m/>
    <m/>
    <m/>
    <m/>
    <m/>
    <m/>
  </r>
  <r>
    <s v="CE57093"/>
    <s v="NATALIA CANAS YATE"/>
    <s v="ENTERPRISE"/>
    <x v="0"/>
    <s v="Choucair"/>
    <e v="#NAME?"/>
    <x v="4"/>
    <n v="0.5"/>
    <s v="QA"/>
    <s v="Distribuido"/>
    <m/>
    <e v="#NAME?"/>
    <e v="#NAME?"/>
    <e v="#NAME?"/>
    <m/>
    <m/>
    <m/>
    <m/>
    <m/>
    <m/>
    <m/>
    <m/>
    <m/>
  </r>
  <r>
    <s v="CE57093"/>
    <s v="NATALIA CANAS YATE"/>
    <s v="ENTERPRISE"/>
    <x v="0"/>
    <s v="Choucair"/>
    <e v="#NAME?"/>
    <x v="5"/>
    <n v="0.5"/>
    <s v="QA"/>
    <s v="Distribuido"/>
    <m/>
    <e v="#NAME?"/>
    <e v="#NAME?"/>
    <e v="#NAME?"/>
    <m/>
    <m/>
    <m/>
    <m/>
    <m/>
    <m/>
    <m/>
    <m/>
    <m/>
  </r>
  <r>
    <s v="CE69112"/>
    <s v="LUZ DARY PATINO PINTOR "/>
    <s v="ENTERPRISE"/>
    <x v="0"/>
    <s v="Choucair"/>
    <e v="#NAME?"/>
    <x v="7"/>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m/>
    <m/>
    <m/>
  </r>
  <r>
    <s v="CE54816"/>
    <s v="LINA MARCELA SANABRIA BERNAL"/>
    <s v="ENTERPRISE"/>
    <x v="0"/>
    <s v="Choucair"/>
    <e v="#NAME?"/>
    <x v="1"/>
    <n v="1"/>
    <s v="QA"/>
    <s v="Distribuido"/>
    <m/>
    <e v="#NAME?"/>
    <e v="#NAME?"/>
    <e v="#NAME?"/>
    <m/>
    <m/>
    <m/>
    <m/>
    <m/>
    <m/>
    <m/>
    <m/>
    <m/>
  </r>
  <r>
    <s v="CE69341"/>
    <s v="PAULA MARCELA MOLINA LEGUIZAMO"/>
    <s v="ENTERPRISE"/>
    <x v="0"/>
    <s v="Choucair"/>
    <e v="#NAME?"/>
    <x v="7"/>
    <n v="0.5"/>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CE69341"/>
    <s v="PAULA MARCELA MOLINA LEGUIZAMO"/>
    <s v="ENTERPRISE"/>
    <x v="0"/>
    <s v="Choucair"/>
    <e v="#NAME?"/>
    <x v="5"/>
    <n v="0.5"/>
    <s v="QA"/>
    <s v="Distribuido"/>
    <m/>
    <e v="#NAME?"/>
    <e v="#NAME?"/>
    <e v="#NAME?"/>
    <m/>
    <m/>
    <m/>
    <m/>
    <m/>
    <m/>
    <m/>
    <m/>
    <m/>
  </r>
  <r>
    <s v="CE70380"/>
    <s v="MISAEL ARLEY TELLEZ SERRANO"/>
    <s v="ENTERPRISE"/>
    <x v="0"/>
    <s v="Choucair"/>
    <e v="#NAME?"/>
    <x v="3"/>
    <n v="1"/>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T004725"/>
    <s v="DANIEL ALEJANDRO ROA ACERO "/>
    <s v="ENTERPRISE"/>
    <x v="0"/>
    <s v="Choucair"/>
    <e v="#NAME?"/>
    <x v="1"/>
    <n v="1"/>
    <s v="QA"/>
    <s v="Distribuido"/>
    <m/>
    <e v="#NAME?"/>
    <e v="#NAME?"/>
    <e v="#NAME?"/>
    <m/>
    <m/>
    <m/>
    <m/>
    <m/>
    <m/>
    <m/>
    <m/>
    <m/>
  </r>
  <r>
    <s v="CE70382"/>
    <s v="JOHN JAIRO RIVERA PENA "/>
    <s v="ENTERPRISE"/>
    <x v="0"/>
    <s v="Choucair"/>
    <e v="#NAME?"/>
    <x v="1"/>
    <n v="1"/>
    <s v="QA"/>
    <s v="Distribuido"/>
    <m/>
    <e v="#NAME?"/>
    <e v="#NAME?"/>
    <e v="#NAME?"/>
    <m/>
    <m/>
    <m/>
    <m/>
    <m/>
    <m/>
    <m/>
    <m/>
    <m/>
  </r>
  <r>
    <s v="CE69031"/>
    <s v="WILLIAM ROBERTO MORA BERNAL"/>
    <s v="ENTERPRISE"/>
    <x v="0"/>
    <s v="KRYPTO"/>
    <e v="#NAME?"/>
    <x v="5"/>
    <n v="7.0000000000000007E-2"/>
    <s v="Otros"/>
    <s v="Distribuido"/>
    <m/>
    <e v="#NAME?"/>
    <e v="#NAME?"/>
    <e v="#NAME?"/>
    <m/>
    <m/>
    <m/>
    <m/>
    <m/>
    <m/>
    <m/>
    <m/>
    <m/>
  </r>
  <r>
    <s v="CE69031"/>
    <s v="WILLIAM ROBERTO MORA BERNAL"/>
    <s v="ENTERPRISE"/>
    <x v="0"/>
    <s v="KRYPTO"/>
    <e v="#NAME?"/>
    <x v="4"/>
    <n v="0.1"/>
    <s v="Otros"/>
    <s v="Distribuido"/>
    <m/>
    <e v="#NAME?"/>
    <e v="#NAME?"/>
    <e v="#NAME?"/>
    <m/>
    <m/>
    <m/>
    <m/>
    <m/>
    <m/>
    <m/>
    <m/>
    <m/>
  </r>
  <r>
    <s v="CE69031"/>
    <s v="WILLIAM ROBERTO MORA BERNAL"/>
    <s v="ENTERPRISE"/>
    <x v="0"/>
    <s v="KRYPTO"/>
    <e v="#NAME?"/>
    <x v="3"/>
    <n v="0.08"/>
    <s v="Otros"/>
    <s v="Distribuido"/>
    <m/>
    <e v="#NAME?"/>
    <e v="#NAME?"/>
    <e v="#NAME?"/>
    <m/>
    <m/>
    <m/>
    <m/>
    <m/>
    <m/>
    <m/>
    <m/>
    <m/>
  </r>
  <r>
    <s v="C804844"/>
    <s v="MATEO OLAYA OSORIO"/>
    <s v="CIB &amp; COMEX - FIDUCIARIA"/>
    <x v="1"/>
    <s v="BBVA"/>
    <e v="#NAME?"/>
    <x v="10"/>
    <n v="0.75"/>
    <s v="Desarrollador"/>
    <s v="Otras Tec."/>
    <s v="Lenguaje de prog.  JAVA."/>
    <e v="#NAME?"/>
    <e v="#NAME?"/>
    <e v="#NAME?"/>
    <m/>
    <m/>
    <m/>
    <m/>
    <m/>
    <m/>
    <m/>
    <m/>
    <m/>
  </r>
  <r>
    <s v="C804844"/>
    <s v="MATEO OLAYA OSORIO"/>
    <s v="CIB &amp; COMEX - FIDUCIARIA"/>
    <x v="1"/>
    <s v="BBVA"/>
    <e v="#NAME?"/>
    <x v="11"/>
    <n v="0.25"/>
    <s v="Desarrollador"/>
    <s v="Otras Tec."/>
    <s v="Lenguaje de prog.  JAVA."/>
    <e v="#NAME?"/>
    <e v="#NAME?"/>
    <e v="#NAME?"/>
    <m/>
    <m/>
    <m/>
    <m/>
    <m/>
    <m/>
    <m/>
    <m/>
    <m/>
  </r>
  <r>
    <s v="T003920"/>
    <s v="ANA MARIA MORENO RAMIREZ"/>
    <s v="CIB &amp; COMEX - FIDUCIARIA"/>
    <x v="1"/>
    <s v="SII"/>
    <e v="#NAME?"/>
    <x v="10"/>
    <n v="1"/>
    <s v="Otros"/>
    <s v="Otras Tec."/>
    <s v=" "/>
    <e v="#NAME?"/>
    <e v="#NAME?"/>
    <e v="#NAME?"/>
    <m/>
    <m/>
    <m/>
    <m/>
    <m/>
    <m/>
    <m/>
    <m/>
    <m/>
  </r>
  <r>
    <s v="C805179"/>
    <s v="JEISON VISBAL"/>
    <s v="CIB &amp; COMEX - FIDUCIARIA"/>
    <x v="1"/>
    <s v="BBVA"/>
    <e v="#NAME?"/>
    <x v="10"/>
    <n v="0.75"/>
    <s v="Desarrollador"/>
    <s v="Otras Tec."/>
    <s v="Lenguaje de prog.  JAVA."/>
    <e v="#NAME?"/>
    <e v="#NAME?"/>
    <e v="#NAME?"/>
    <m/>
    <m/>
    <m/>
    <m/>
    <m/>
    <m/>
    <m/>
    <m/>
    <m/>
  </r>
  <r>
    <s v="C805179"/>
    <s v="JEISON VISBAL"/>
    <s v="CIB &amp; COMEX - FIDUCIARIA"/>
    <x v="1"/>
    <s v="BBVA"/>
    <e v="#NAME?"/>
    <x v="11"/>
    <n v="0.25"/>
    <s v="Desarrollador"/>
    <s v="Otras Tec."/>
    <s v="Lenguaje de prog.  JAVA."/>
    <e v="#NAME?"/>
    <e v="#NAME?"/>
    <e v="#NAME?"/>
    <m/>
    <m/>
    <m/>
    <m/>
    <m/>
    <m/>
    <m/>
    <m/>
    <m/>
  </r>
  <r>
    <s v="CE14662"/>
    <s v="WILMER AUGUSTO PEREZ NIÑO"/>
    <s v="CIB &amp; COMEX - FIDUCIARIA"/>
    <x v="1"/>
    <s v="Tecnoevolución"/>
    <e v="#NAME?"/>
    <x v="3"/>
    <n v="1"/>
    <s v="Desarrollador"/>
    <s v="Otras Tec."/>
    <s v="Tecnología Legacy: Power -Builder "/>
    <e v="#NAME?"/>
    <e v="#NAME?"/>
    <e v="#NAME?"/>
    <m/>
    <m/>
    <m/>
    <m/>
    <m/>
    <m/>
    <m/>
    <m/>
    <m/>
  </r>
  <r>
    <s v="CE63123"/>
    <s v="DIEGO ARISTOBULO DIAZ PLATA"/>
    <s v="CIB &amp; COMEX - FIDUCIARIA"/>
    <x v="1"/>
    <s v="Tecnoevolución"/>
    <e v="#NAME?"/>
    <x v="3"/>
    <n v="1"/>
    <s v="Desarrollador"/>
    <s v="Otras Tec."/>
    <s v="Tecnología Legacy: Power -Builder "/>
    <e v="#NAME?"/>
    <e v="#NAME?"/>
    <e v="#NAME?"/>
    <m/>
    <m/>
    <m/>
    <m/>
    <m/>
    <m/>
    <m/>
    <m/>
    <m/>
  </r>
  <r>
    <s v="C808223"/>
    <s v="DILAN ANDRES LOPEZ MENA"/>
    <s v="CIB &amp; COMEX - FIDUCIARIA"/>
    <x v="1"/>
    <s v="BBVA"/>
    <e v="#NAME?"/>
    <x v="3"/>
    <n v="1"/>
    <s v="Otros"/>
    <s v="Otras Tec."/>
    <s v="Tecnología Legacy: Power -Builder "/>
    <e v="#NAME?"/>
    <e v="#NAME?"/>
    <e v="#NAME?"/>
    <m/>
    <m/>
    <m/>
    <m/>
    <m/>
    <m/>
    <m/>
    <m/>
    <m/>
  </r>
  <r>
    <s v="C808132"/>
    <s v="JONNATHAN ARMANDO ASTROZ MARIN"/>
    <s v="CIB &amp; COMEX - FIDUCIARIA"/>
    <x v="1"/>
    <s v="BBVA"/>
    <e v="#NAME?"/>
    <x v="3"/>
    <n v="1"/>
    <s v="Otros"/>
    <s v="Otras Tec."/>
    <s v="Tecnología Legacy: Power -Builder "/>
    <e v="#NAME?"/>
    <e v="#NAME?"/>
    <e v="#NAME?"/>
    <m/>
    <m/>
    <m/>
    <m/>
    <m/>
    <m/>
    <m/>
    <m/>
    <m/>
  </r>
  <r>
    <s v="CE61903"/>
    <s v="KELLY JOHANA VANEGAS"/>
    <s v="CIB &amp; COMEX - FIDUCIARIA"/>
    <x v="1"/>
    <s v="Tecnoevolución"/>
    <e v="#NAME?"/>
    <x v="3"/>
    <n v="0.25"/>
    <s v="Otros"/>
    <s v="Otras Tec."/>
    <s v="Tecnología Legacy: Power -Builder "/>
    <e v="#NAME?"/>
    <e v="#NAME?"/>
    <e v="#NAME?"/>
    <m/>
    <m/>
    <m/>
    <m/>
    <m/>
    <m/>
    <m/>
    <m/>
    <m/>
  </r>
  <r>
    <s v="CE61903"/>
    <s v="KELLY JOHANA VANEGAS"/>
    <s v="CIB &amp; COMEX - FIDUCIARIA"/>
    <x v="1"/>
    <s v="Tecnoevolución"/>
    <e v="#NAME?"/>
    <x v="12"/>
    <n v="0.5"/>
    <s v="Otros"/>
    <s v="Otras Tec."/>
    <s v="Tecnología Legacy: Power -Builder "/>
    <e v="#NAME?"/>
    <e v="#NAME?"/>
    <e v="#NAME?"/>
    <m/>
    <m/>
    <m/>
    <m/>
    <m/>
    <m/>
    <m/>
    <m/>
    <m/>
  </r>
  <r>
    <s v="C811297"/>
    <s v="BETZY PAOLA JARAMILLO LASTRA"/>
    <s v="ENTERPRISE"/>
    <x v="2"/>
    <s v="BBVA"/>
    <e v="#NAME?"/>
    <x v="13"/>
    <n v="0.25"/>
    <s v="Desarrollador"/>
    <s v="Mainframe"/>
    <m/>
    <e v="#NAME?"/>
    <e v="#NAME?"/>
    <e v="#NAME?"/>
    <m/>
    <m/>
    <m/>
    <m/>
    <m/>
    <m/>
    <m/>
    <m/>
    <m/>
  </r>
  <r>
    <s v="C811297"/>
    <s v="BETZY PAOLA JARAMILLO LASTRA"/>
    <s v="ENTERPRISE"/>
    <x v="2"/>
    <s v="BBVA"/>
    <e v="#NAME?"/>
    <x v="3"/>
    <n v="0.25"/>
    <s v="Desarrollador"/>
    <s v="Mainframe"/>
    <m/>
    <e v="#NAME?"/>
    <e v="#NAME?"/>
    <e v="#NAME?"/>
    <m/>
    <m/>
    <m/>
    <m/>
    <m/>
    <m/>
    <m/>
    <m/>
    <m/>
  </r>
  <r>
    <s v="C811297"/>
    <s v="BETZY PAOLA JARAMILLO LASTRA"/>
    <s v="ENTERPRISE"/>
    <x v="2"/>
    <s v="BBVA"/>
    <e v="#NAME?"/>
    <x v="14"/>
    <n v="0.25"/>
    <s v="Desarrollador"/>
    <s v="Mainframe"/>
    <m/>
    <e v="#NAME?"/>
    <e v="#NAME?"/>
    <e v="#NAME?"/>
    <m/>
    <m/>
    <m/>
    <m/>
    <m/>
    <m/>
    <m/>
    <m/>
    <m/>
  </r>
  <r>
    <s v="C811297"/>
    <s v="BETZY PAOLA JARAMILLO LASTRA"/>
    <s v="ENTERPRISE"/>
    <x v="2"/>
    <s v="BBVA"/>
    <e v="#NAME?"/>
    <x v="15"/>
    <n v="0.25"/>
    <s v="Desarrollador"/>
    <s v="Distribuido"/>
    <m/>
    <e v="#NAME?"/>
    <e v="#NAME?"/>
    <e v="#NAME?"/>
    <m/>
    <m/>
    <m/>
    <m/>
    <m/>
    <m/>
    <m/>
    <m/>
    <m/>
  </r>
  <r>
    <s v="C808771"/>
    <s v="DAVID FEILPE CIFUENTES"/>
    <s v="ENTERPRISE"/>
    <x v="2"/>
    <s v="BBVA"/>
    <e v="#NAME?"/>
    <x v="13"/>
    <n v="0.75"/>
    <s v="Desarrollador"/>
    <s v="Mainframe"/>
    <m/>
    <e v="#NAME?"/>
    <e v="#NAME?"/>
    <e v="#NAME?"/>
    <m/>
    <m/>
    <m/>
    <m/>
    <m/>
    <m/>
    <m/>
    <m/>
    <m/>
  </r>
  <r>
    <s v="C808771"/>
    <s v="DAVID FEILPE CIFUENTES"/>
    <s v="ENTERPRISE"/>
    <x v="2"/>
    <s v="BBVA"/>
    <e v="#NAME?"/>
    <x v="3"/>
    <n v="0.25"/>
    <s v="Desarrollador"/>
    <s v="Mainframe"/>
    <m/>
    <e v="#NAME?"/>
    <e v="#NAME?"/>
    <e v="#NAME?"/>
    <m/>
    <m/>
    <m/>
    <m/>
    <m/>
    <m/>
    <m/>
    <m/>
    <m/>
  </r>
  <r>
    <s v="O000111"/>
    <s v="FERNANDO TIBADUIZA GUTIERREZ"/>
    <s v="ENTERPRISE"/>
    <x v="2"/>
    <s v="BBVA"/>
    <e v="#NAME?"/>
    <x v="13"/>
    <n v="0.75"/>
    <s v="Desarrollador"/>
    <s v="Mainframe"/>
    <m/>
    <e v="#NAME?"/>
    <e v="#NAME?"/>
    <e v="#NAME?"/>
    <m/>
    <m/>
    <m/>
    <m/>
    <m/>
    <m/>
    <m/>
    <m/>
    <m/>
  </r>
  <r>
    <s v="O000111"/>
    <s v="FERNANDO TIBADUIZA GUTIERREZ"/>
    <s v="ENTERPRISE"/>
    <x v="2"/>
    <s v="BBVA"/>
    <e v="#NAME?"/>
    <x v="3"/>
    <n v="0.25"/>
    <s v="Desarrollador"/>
    <s v="Mainframe"/>
    <m/>
    <e v="#NAME?"/>
    <e v="#NAME?"/>
    <e v="#NAME?"/>
    <m/>
    <m/>
    <m/>
    <m/>
    <m/>
    <m/>
    <m/>
    <m/>
    <m/>
  </r>
  <r>
    <s v="C810784"/>
    <s v="LENIN QUINTERO MUÑOZ"/>
    <s v="ENTERPRISE"/>
    <x v="2"/>
    <s v="BBVA"/>
    <e v="#NAME?"/>
    <x v="15"/>
    <n v="1"/>
    <s v="Desarrollador"/>
    <s v="Distribuido"/>
    <m/>
    <e v="#NAME?"/>
    <e v="#NAME?"/>
    <e v="#NAME?"/>
    <m/>
    <m/>
    <m/>
    <m/>
    <m/>
    <m/>
    <m/>
    <m/>
    <m/>
  </r>
  <r>
    <s v="CE70413"/>
    <s v="RICARDO AMAYA VIANCHA (QA)"/>
    <s v="ENTERPRISE"/>
    <x v="2"/>
    <s v="KRYPTO"/>
    <e v="#NAME?"/>
    <x v="3"/>
    <n v="0.5"/>
    <s v="Desarrollador"/>
    <s v="Otras Tec."/>
    <m/>
    <e v="#NAME?"/>
    <e v="#NAME?"/>
    <e v="#NAME?"/>
    <m/>
    <m/>
    <m/>
    <m/>
    <m/>
    <m/>
    <m/>
    <m/>
    <m/>
  </r>
  <r>
    <s v="CE70413"/>
    <s v="RICARDO AMAYA VIANCHA (QA)"/>
    <s v="ENTERPRISE"/>
    <x v="2"/>
    <s v="KRYPTO"/>
    <e v="#NAME?"/>
    <x v="13"/>
    <n v="0.5"/>
    <s v="Desarrollador"/>
    <s v="Otras Tec."/>
    <m/>
    <e v="#NAME?"/>
    <e v="#NAME?"/>
    <e v="#NAME?"/>
    <m/>
    <m/>
    <m/>
    <m/>
    <m/>
    <m/>
    <m/>
    <m/>
    <m/>
  </r>
  <r>
    <s v="C342062"/>
    <s v="JAVIER CALDERON LOPEZ"/>
    <s v="ENTERPRISE"/>
    <x v="2"/>
    <s v="BBVA"/>
    <e v="#NAME?"/>
    <x v="16"/>
    <n v="0.75"/>
    <s v="Desarrollador"/>
    <s v="Mainframe"/>
    <m/>
    <e v="#NAME?"/>
    <e v="#NAME?"/>
    <e v="#NAME?"/>
    <m/>
    <m/>
    <m/>
    <m/>
    <m/>
    <m/>
    <m/>
    <m/>
    <m/>
  </r>
  <r>
    <s v="C342062"/>
    <s v="JAVIER CALDERON LOPEZ"/>
    <s v="ENTERPRISE"/>
    <x v="2"/>
    <s v="BBVA"/>
    <e v="#NAME?"/>
    <x v="3"/>
    <n v="0.25"/>
    <s v="Desarrollador"/>
    <s v="Mainframe"/>
    <m/>
    <e v="#NAME?"/>
    <e v="#NAME?"/>
    <e v="#NAME?"/>
    <m/>
    <m/>
    <m/>
    <m/>
    <m/>
    <m/>
    <m/>
    <m/>
    <m/>
  </r>
  <r>
    <s v="C808392"/>
    <s v="JHON FREDDY ZAPATA MUÑOZ"/>
    <s v="ENTERPRISE"/>
    <x v="2"/>
    <s v="BBVA"/>
    <e v="#NAME?"/>
    <x v="17"/>
    <n v="0.75"/>
    <s v="Desarrollador"/>
    <s v="Distribuido"/>
    <m/>
    <e v="#NAME?"/>
    <e v="#NAME?"/>
    <e v="#NAME?"/>
    <m/>
    <m/>
    <m/>
    <m/>
    <m/>
    <m/>
    <m/>
    <m/>
    <m/>
  </r>
  <r>
    <s v="C808392"/>
    <s v="JHON FREDDY ZAPATA MUÑOZ"/>
    <s v="ENTERPRISE"/>
    <x v="2"/>
    <s v="BBVA"/>
    <e v="#NAME?"/>
    <x v="3"/>
    <n v="0.25"/>
    <s v="Desarrollador"/>
    <s v="Distribuido"/>
    <m/>
    <e v="#NAME?"/>
    <e v="#NAME?"/>
    <e v="#NAME?"/>
    <m/>
    <m/>
    <m/>
    <m/>
    <m/>
    <m/>
    <m/>
    <m/>
    <m/>
  </r>
  <r>
    <s v="CE63313"/>
    <s v="CESAR LEONEL MARTIN CASTILLO (QA)"/>
    <s v="ENTERPRISE"/>
    <x v="2"/>
    <s v="Inetum"/>
    <e v="#NAME?"/>
    <x v="17"/>
    <n v="0.5"/>
    <s v="QA"/>
    <s v="Otras Tec."/>
    <m/>
    <e v="#NAME?"/>
    <e v="#NAME?"/>
    <e v="#NAME?"/>
    <m/>
    <m/>
    <m/>
    <m/>
    <m/>
    <m/>
    <m/>
    <m/>
    <m/>
  </r>
  <r>
    <s v="CE63313"/>
    <s v="CESAR LEONEL MARTIN CASTILLO (QA)"/>
    <s v="ENTERPRISE"/>
    <x v="2"/>
    <s v="Inetum"/>
    <e v="#NAME?"/>
    <x v="3"/>
    <n v="0.5"/>
    <s v="QA"/>
    <s v="Otras Tec."/>
    <m/>
    <e v="#NAME?"/>
    <e v="#NAME?"/>
    <e v="#NAME?"/>
    <m/>
    <m/>
    <m/>
    <m/>
    <m/>
    <m/>
    <m/>
    <m/>
    <m/>
  </r>
  <r>
    <s v="C808164"/>
    <s v="JORGE SEBASTIAN RODRIGUEZ MORA"/>
    <s v="ENTERPRISE"/>
    <x v="2"/>
    <s v="BBVA"/>
    <e v="#NAME?"/>
    <x v="18"/>
    <n v="1"/>
    <s v="Desarrollador"/>
    <s v="Mainframe"/>
    <m/>
    <e v="#NAME?"/>
    <e v="#NAME?"/>
    <e v="#NAME?"/>
    <m/>
    <m/>
    <m/>
    <m/>
    <m/>
    <m/>
    <m/>
    <m/>
    <m/>
  </r>
  <r>
    <s v="O002304"/>
    <s v="WILVER MARTINEZ ALVARADO"/>
    <s v="ENTERPRISE"/>
    <x v="2"/>
    <s v="BBVA"/>
    <e v="#NAME?"/>
    <x v="18"/>
    <n v="1"/>
    <s v="Desarrollador"/>
    <s v="Mainframe"/>
    <m/>
    <e v="#NAME?"/>
    <e v="#NAME?"/>
    <e v="#NAME?"/>
    <m/>
    <m/>
    <m/>
    <m/>
    <m/>
    <m/>
    <m/>
    <m/>
    <m/>
  </r>
  <r>
    <s v="CE43229"/>
    <s v="CARLOS MAURICIO AGUIRRE TOVAR"/>
    <s v="ENTERPRISE"/>
    <x v="2"/>
    <s v="Inetum"/>
    <e v="#NAME?"/>
    <x v="18"/>
    <n v="1"/>
    <s v="Desarrollador"/>
    <s v="Mainframe"/>
    <m/>
    <e v="#NAME?"/>
    <e v="#NAME?"/>
    <e v="#NAME?"/>
    <m/>
    <m/>
    <m/>
    <m/>
    <m/>
    <m/>
    <m/>
    <m/>
    <m/>
  </r>
  <r>
    <s v="CE68369"/>
    <s v="JUAN DAVID ACOSTA OBANDO (QA)"/>
    <s v="ENTERPRISE"/>
    <x v="2"/>
    <s v="KRYPTO"/>
    <e v="#NAME?"/>
    <x v="18"/>
    <n v="1"/>
    <s v="QA"/>
    <s v="Otras Tec."/>
    <m/>
    <e v="#NAME?"/>
    <e v="#NAME?"/>
    <e v="#NAME?"/>
    <m/>
    <m/>
    <m/>
    <m/>
    <m/>
    <m/>
    <m/>
    <m/>
    <m/>
  </r>
  <r>
    <s v="C784494"/>
    <s v="CARLOS IVAN CHOCONTA"/>
    <s v="ENTERPRISE"/>
    <x v="2"/>
    <s v="BBVA"/>
    <e v="#NAME?"/>
    <x v="19"/>
    <n v="0.75"/>
    <s v="Desarrollador"/>
    <s v="Mainframe"/>
    <m/>
    <e v="#NAME?"/>
    <e v="#NAME?"/>
    <e v="#NAME?"/>
    <m/>
    <m/>
    <m/>
    <m/>
    <m/>
    <m/>
    <m/>
    <m/>
    <m/>
  </r>
  <r>
    <s v="C784494"/>
    <s v="CARLOS IVAN CHOCONTA"/>
    <s v="ENTERPRISE"/>
    <x v="2"/>
    <s v="BBVA"/>
    <e v="#NAME?"/>
    <x v="3"/>
    <n v="0.25"/>
    <s v="Desarrollador"/>
    <s v="Mainframe"/>
    <m/>
    <e v="#NAME?"/>
    <e v="#NAME?"/>
    <e v="#NAME?"/>
    <m/>
    <m/>
    <m/>
    <m/>
    <m/>
    <m/>
    <m/>
    <m/>
    <m/>
  </r>
  <r>
    <s v="C808842"/>
    <s v="CARLOS ALBERTO PARDO"/>
    <s v="ENTERPRISE"/>
    <x v="2"/>
    <s v="BBVA"/>
    <e v="#NAME?"/>
    <x v="20"/>
    <n v="0.75"/>
    <s v="Desarrollador"/>
    <s v="Mainframe"/>
    <m/>
    <e v="#NAME?"/>
    <e v="#NAME?"/>
    <e v="#NAME?"/>
    <m/>
    <m/>
    <m/>
    <m/>
    <m/>
    <m/>
    <m/>
    <m/>
    <m/>
  </r>
  <r>
    <s v="C808842"/>
    <s v="CARLOS ALBERTO PARDO"/>
    <s v="ENTERPRISE"/>
    <x v="2"/>
    <s v="BBVA"/>
    <e v="#NAME?"/>
    <x v="3"/>
    <n v="0.25"/>
    <s v="Desarrollador"/>
    <s v="Mainframe"/>
    <m/>
    <e v="#NAME?"/>
    <e v="#NAME?"/>
    <e v="#NAME?"/>
    <m/>
    <m/>
    <m/>
    <m/>
    <m/>
    <m/>
    <m/>
    <m/>
    <m/>
  </r>
  <r>
    <s v="C808856"/>
    <s v="YEHIN STIVEN PATIÑO"/>
    <s v="ENTERPRISE"/>
    <x v="2"/>
    <s v="BBVA"/>
    <e v="#NAME?"/>
    <x v="21"/>
    <n v="0.5"/>
    <s v="Desarrollador"/>
    <s v="Mainframe"/>
    <m/>
    <e v="#NAME?"/>
    <e v="#NAME?"/>
    <e v="#NAME?"/>
    <m/>
    <m/>
    <m/>
    <m/>
    <m/>
    <m/>
    <m/>
    <m/>
    <m/>
  </r>
  <r>
    <s v="C808856"/>
    <s v="YEHIN STIVEN PATIÑO"/>
    <s v="ENTERPRISE"/>
    <x v="3"/>
    <s v="BBVA"/>
    <e v="#NAME?"/>
    <x v="22"/>
    <n v="0.5"/>
    <s v="Desarrollador"/>
    <s v="Mainframe"/>
    <m/>
    <e v="#NAME?"/>
    <e v="#NAME?"/>
    <e v="#NAME?"/>
    <m/>
    <m/>
    <m/>
    <m/>
    <m/>
    <m/>
    <m/>
    <m/>
    <m/>
  </r>
  <r>
    <s v="C342171"/>
    <s v="CAROLINA BERNAL"/>
    <s v="ENTERPRISE"/>
    <x v="2"/>
    <s v="BBVA"/>
    <e v="#NAME?"/>
    <x v="20"/>
    <n v="0.25"/>
    <s v="Otros"/>
    <s v="Otras Tec."/>
    <m/>
    <e v="#NAME?"/>
    <e v="#NAME?"/>
    <e v="#NAME?"/>
    <m/>
    <m/>
    <m/>
    <m/>
    <m/>
    <m/>
    <m/>
    <m/>
    <m/>
  </r>
  <r>
    <s v="C342171"/>
    <s v="CAROLINA BERNAL"/>
    <s v="ENTERPRISE"/>
    <x v="2"/>
    <s v="BBVA"/>
    <e v="#NAME?"/>
    <x v="19"/>
    <n v="0.25"/>
    <s v="Otros"/>
    <s v="Otras Tec."/>
    <m/>
    <e v="#NAME?"/>
    <e v="#NAME?"/>
    <e v="#NAME?"/>
    <m/>
    <m/>
    <m/>
    <m/>
    <m/>
    <m/>
    <m/>
    <m/>
    <m/>
  </r>
  <r>
    <s v="C342171"/>
    <s v="CAROLINA BERNAL"/>
    <s v="ENTERPRISE"/>
    <x v="2"/>
    <s v="BBVA"/>
    <e v="#NAME?"/>
    <x v="21"/>
    <n v="0.25"/>
    <s v="Otros"/>
    <s v="Otras Tec."/>
    <m/>
    <e v="#NAME?"/>
    <e v="#NAME?"/>
    <e v="#NAME?"/>
    <m/>
    <m/>
    <m/>
    <m/>
    <m/>
    <m/>
    <m/>
    <m/>
    <m/>
  </r>
  <r>
    <s v="C342171"/>
    <s v="CAROLINA BERNAL"/>
    <s v="ENTERPRISE"/>
    <x v="2"/>
    <s v="BBVA"/>
    <e v="#NAME?"/>
    <x v="23"/>
    <n v="0.25"/>
    <s v="Otros"/>
    <s v="Otras Tec."/>
    <m/>
    <e v="#NAME?"/>
    <e v="#NAME?"/>
    <e v="#NAME?"/>
    <m/>
    <m/>
    <m/>
    <m/>
    <m/>
    <m/>
    <m/>
    <m/>
    <m/>
  </r>
  <r>
    <s v="CE56542"/>
    <s v="HUMBERTO MALAGON VARGAS (Torre)"/>
    <s v="ENTERPRISE"/>
    <x v="2"/>
    <s v="Novatec"/>
    <e v="#NAME?"/>
    <x v="3"/>
    <n v="0.5"/>
    <s v="Desarrollador"/>
    <s v="Mainframe"/>
    <m/>
    <e v="#NAME?"/>
    <e v="#NAME?"/>
    <e v="#NAME?"/>
    <m/>
    <m/>
    <m/>
    <m/>
    <m/>
    <m/>
    <m/>
    <m/>
    <m/>
  </r>
  <r>
    <s v="CE57635"/>
    <s v="JAIRO ARTURO BELTAN (Torre)"/>
    <s v="ENTERPRISE"/>
    <x v="2"/>
    <s v="Novatec"/>
    <e v="#NAME?"/>
    <x v="3"/>
    <n v="1"/>
    <s v="Desarrollador"/>
    <s v="Mainframe"/>
    <m/>
    <e v="#NAME?"/>
    <e v="#NAME?"/>
    <e v="#NAME?"/>
    <m/>
    <m/>
    <m/>
    <m/>
    <m/>
    <m/>
    <m/>
    <m/>
    <m/>
  </r>
  <r>
    <s v="CE66612"/>
    <s v="JOHN ANDRES DIAZ AYALA (Torre)"/>
    <s v="ENTERPRISE"/>
    <x v="2"/>
    <s v="Novatec"/>
    <e v="#NAME?"/>
    <x v="3"/>
    <n v="1"/>
    <s v="Desarrollador"/>
    <s v="Mainframe"/>
    <m/>
    <e v="#NAME?"/>
    <e v="#NAME?"/>
    <e v="#NAME?"/>
    <m/>
    <m/>
    <m/>
    <m/>
    <m/>
    <m/>
    <m/>
    <m/>
    <m/>
  </r>
  <r>
    <m/>
    <s v="MARISOL VEGA JOYA (QA)"/>
    <s v="ENTERPRISE"/>
    <x v="2"/>
    <s v="Inetum"/>
    <e v="#NAME?"/>
    <x v="21"/>
    <n v="0.5"/>
    <s v="QA"/>
    <s v="Otras Tec."/>
    <m/>
    <e v="#NAME?"/>
    <e v="#NAME?"/>
    <e v="#NAME?"/>
    <m/>
    <m/>
    <m/>
    <m/>
    <m/>
    <m/>
    <m/>
    <m/>
    <m/>
  </r>
  <r>
    <m/>
    <s v="MARISOL VEGA JOYA (QA)"/>
    <s v="ENTERPRISE"/>
    <x v="2"/>
    <s v="Inetum"/>
    <e v="#NAME?"/>
    <x v="3"/>
    <n v="0.5"/>
    <s v="QA"/>
    <s v="Otras Tec."/>
    <m/>
    <e v="#NAME?"/>
    <e v="#NAME?"/>
    <e v="#NAME?"/>
    <m/>
    <m/>
    <m/>
    <m/>
    <m/>
    <m/>
    <m/>
    <m/>
    <m/>
  </r>
  <r>
    <s v="C343581"/>
    <s v="WILLIAM JAVIER VILLAMIL ZAPATA "/>
    <s v="ENTERPRISE"/>
    <x v="2"/>
    <s v="BBVA"/>
    <e v="#NAME?"/>
    <x v="24"/>
    <n v="0.25"/>
    <s v="Tech Manager/Líder"/>
    <s v="ASO"/>
    <m/>
    <e v="#NAME?"/>
    <e v="#NAME?"/>
    <e v="#NAME?"/>
    <m/>
    <m/>
    <m/>
    <m/>
    <m/>
    <m/>
    <m/>
    <m/>
    <m/>
  </r>
  <r>
    <s v="C343581"/>
    <s v="WILLIAM JAVIER VILLAMIL ZAPATA "/>
    <s v="ENTERPRISE"/>
    <x v="2"/>
    <s v="BBVA"/>
    <e v="#NAME?"/>
    <x v="25"/>
    <n v="0.25"/>
    <s v="Tech Manager/Líder"/>
    <s v="ASO"/>
    <m/>
    <e v="#NAME?"/>
    <e v="#NAME?"/>
    <e v="#NAME?"/>
    <m/>
    <m/>
    <m/>
    <m/>
    <m/>
    <m/>
    <m/>
    <m/>
    <m/>
  </r>
  <r>
    <s v="C343581"/>
    <s v="WILLIAM JAVIER VILLAMIL ZAPATA "/>
    <s v="ENTERPRISE"/>
    <x v="2"/>
    <s v="BBVA"/>
    <e v="#NAME?"/>
    <x v="3"/>
    <n v="0.5"/>
    <s v="Tech Manager/Líder"/>
    <s v="ASO"/>
    <m/>
    <e v="#NAME?"/>
    <e v="#NAME?"/>
    <e v="#NAME?"/>
    <m/>
    <m/>
    <m/>
    <m/>
    <m/>
    <m/>
    <m/>
    <m/>
    <m/>
  </r>
  <r>
    <s v="C810947"/>
    <s v="LAURA PULIDO DIAZ"/>
    <s v="ENTERPRISE"/>
    <x v="2"/>
    <s v="BBVA"/>
    <e v="#NAME?"/>
    <x v="24"/>
    <n v="1"/>
    <s v="Desarrollador"/>
    <s v="APX"/>
    <m/>
    <e v="#NAME?"/>
    <e v="#NAME?"/>
    <e v="#NAME?"/>
    <m/>
    <m/>
    <m/>
    <m/>
    <m/>
    <m/>
    <m/>
    <m/>
    <m/>
  </r>
  <r>
    <s v="C809749"/>
    <s v="DEIMER DAVID JIMENEZ MAESTRE"/>
    <s v="ENTERPRISE"/>
    <x v="2"/>
    <s v="BBVA"/>
    <e v="#NAME?"/>
    <x v="24"/>
    <n v="1"/>
    <s v="Desarrollador"/>
    <s v="Mainframe"/>
    <m/>
    <e v="#NAME?"/>
    <e v="#NAME?"/>
    <e v="#NAME?"/>
    <m/>
    <m/>
    <m/>
    <m/>
    <m/>
    <m/>
    <m/>
    <m/>
    <m/>
  </r>
  <r>
    <s v="T002859"/>
    <s v="ANGIE DANIELA PERDOMO RAMIREZ (QA)"/>
    <s v="ENTERPRISE"/>
    <x v="2"/>
    <s v="Inetum"/>
    <e v="#NAME?"/>
    <x v="24"/>
    <n v="1"/>
    <s v="QA"/>
    <s v="Otras Tec."/>
    <m/>
    <e v="#NAME?"/>
    <e v="#NAME?"/>
    <e v="#NAME?"/>
    <m/>
    <m/>
    <m/>
    <m/>
    <m/>
    <m/>
    <m/>
    <m/>
    <m/>
  </r>
  <r>
    <s v="C808769"/>
    <s v="WILLIAM FERNANDO ALARCON"/>
    <s v="ENTERPRISE"/>
    <x v="2"/>
    <s v="BBVA"/>
    <e v="#NAME?"/>
    <x v="25"/>
    <n v="0.75"/>
    <s v="Desarrollador"/>
    <s v="ASO"/>
    <m/>
    <e v="#NAME?"/>
    <e v="#NAME?"/>
    <e v="#NAME?"/>
    <m/>
    <m/>
    <m/>
    <m/>
    <m/>
    <m/>
    <m/>
    <m/>
    <m/>
  </r>
  <r>
    <s v="C808769"/>
    <s v="WILLIAM FERNANDO ALARCON"/>
    <s v="ENTERPRISE"/>
    <x v="2"/>
    <s v="BBVA"/>
    <e v="#NAME?"/>
    <x v="3"/>
    <n v="0.25"/>
    <s v="Desarrollador"/>
    <s v="ASO"/>
    <m/>
    <e v="#NAME?"/>
    <e v="#NAME?"/>
    <e v="#NAME?"/>
    <m/>
    <m/>
    <m/>
    <m/>
    <m/>
    <m/>
    <m/>
    <m/>
    <m/>
  </r>
  <r>
    <s v="C811207"/>
    <s v="LUIS FERNANDO GUTIERREZ PRADO"/>
    <s v="ENTERPRISE"/>
    <x v="2"/>
    <s v="BBVA"/>
    <e v="#NAME?"/>
    <x v="25"/>
    <n v="1"/>
    <s v="Desarrollador"/>
    <s v="ASO"/>
    <m/>
    <e v="#NAME?"/>
    <e v="#NAME?"/>
    <e v="#NAME?"/>
    <m/>
    <m/>
    <m/>
    <m/>
    <m/>
    <m/>
    <m/>
    <m/>
    <m/>
  </r>
  <r>
    <s v="O004611"/>
    <s v="ANDRES ARTURO QUINTERO"/>
    <s v="ENTERPRISE"/>
    <x v="2"/>
    <s v="BBVA"/>
    <e v="#NAME?"/>
    <x v="24"/>
    <n v="1"/>
    <s v="Desarrollador"/>
    <s v="APX"/>
    <m/>
    <e v="#NAME?"/>
    <e v="#NAME?"/>
    <e v="#NAME?"/>
    <m/>
    <m/>
    <m/>
    <m/>
    <m/>
    <m/>
    <m/>
    <m/>
    <m/>
  </r>
  <r>
    <s v="T009935"/>
    <s v="JORGE LUIS MONTEJO (Torre)"/>
    <s v="ENTERPRISE"/>
    <x v="2"/>
    <s v="Novatec"/>
    <e v="#NAME?"/>
    <x v="3"/>
    <n v="0.5"/>
    <s v="Desarrollador"/>
    <s v="Mainframe"/>
    <m/>
    <e v="#NAME?"/>
    <e v="#NAME?"/>
    <e v="#NAME?"/>
    <m/>
    <m/>
    <m/>
    <m/>
    <m/>
    <m/>
    <m/>
    <m/>
    <m/>
  </r>
  <r>
    <s v="CE68693"/>
    <s v="MANUEL ALEJANDRO MARENCO (Torre)"/>
    <s v="ENTERPRISE"/>
    <x v="2"/>
    <s v="Novatec"/>
    <e v="#NAME?"/>
    <x v="3"/>
    <n v="1"/>
    <s v="Desarrollador"/>
    <s v="Mainframe"/>
    <m/>
    <e v="#NAME?"/>
    <e v="#NAME?"/>
    <e v="#NAME?"/>
    <m/>
    <m/>
    <m/>
    <m/>
    <m/>
    <m/>
    <m/>
    <m/>
    <m/>
  </r>
  <r>
    <s v="T009914"/>
    <s v="MARIELA CUBIDES  VILLAQUIRAN (Torre)"/>
    <s v="ENTERPRISE"/>
    <x v="2"/>
    <s v="Novatec"/>
    <e v="#NAME?"/>
    <x v="3"/>
    <n v="1"/>
    <s v="Desarrollador"/>
    <s v="Mainframe"/>
    <m/>
    <e v="#NAME?"/>
    <e v="#NAME?"/>
    <e v="#NAME?"/>
    <m/>
    <m/>
    <m/>
    <m/>
    <m/>
    <m/>
    <m/>
    <m/>
    <m/>
  </r>
  <r>
    <s v="C801829"/>
    <s v="LUISA FERNANDA CASTRILLON"/>
    <s v="ENTERPRISE"/>
    <x v="2"/>
    <s v="BBVA"/>
    <e v="#NAME?"/>
    <x v="24"/>
    <n v="0.25"/>
    <s v="Desarrollador"/>
    <s v="Distribuido"/>
    <m/>
    <e v="#NAME?"/>
    <e v="#NAME?"/>
    <e v="#NAME?"/>
    <m/>
    <m/>
    <m/>
    <m/>
    <m/>
    <m/>
    <m/>
    <m/>
    <m/>
  </r>
  <r>
    <s v="C801829"/>
    <s v="LUISA FERNANDA CASTRILLON"/>
    <s v="ENTERPRISE"/>
    <x v="2"/>
    <s v="BBVA"/>
    <e v="#NAME?"/>
    <x v="26"/>
    <n v="0.25"/>
    <s v="Desarrollador"/>
    <s v="Distribuido"/>
    <m/>
    <e v="#NAME?"/>
    <e v="#NAME?"/>
    <e v="#NAME?"/>
    <m/>
    <m/>
    <m/>
    <m/>
    <m/>
    <m/>
    <m/>
    <m/>
    <m/>
  </r>
  <r>
    <s v="C801829"/>
    <s v="LUISA FERNANDA CASTRILLON"/>
    <s v="ENTERPRISE"/>
    <x v="2"/>
    <s v="BBVA"/>
    <e v="#NAME?"/>
    <x v="27"/>
    <n v="0.25"/>
    <s v="Desarrollador"/>
    <s v="Distribuido"/>
    <m/>
    <e v="#NAME?"/>
    <e v="#NAME?"/>
    <e v="#NAME?"/>
    <m/>
    <m/>
    <m/>
    <m/>
    <m/>
    <m/>
    <m/>
    <m/>
    <m/>
  </r>
  <r>
    <s v="C801829"/>
    <s v="LUISA FERNANDA CASTRILLON"/>
    <s v="ENTERPRISE"/>
    <x v="2"/>
    <s v="BBVA"/>
    <e v="#NAME?"/>
    <x v="27"/>
    <n v="0.25"/>
    <s v="Desarrollador"/>
    <s v="Distribuido"/>
    <m/>
    <e v="#NAME?"/>
    <e v="#NAME?"/>
    <e v="#NAME?"/>
    <m/>
    <m/>
    <m/>
    <m/>
    <m/>
    <m/>
    <m/>
    <m/>
    <m/>
  </r>
  <r>
    <s v="O000393"/>
    <s v="DANIEL FELIPE ZAPATA"/>
    <s v="ENTERPRISE"/>
    <x v="2"/>
    <s v="BBVA"/>
    <e v="#NAME?"/>
    <x v="26"/>
    <n v="1"/>
    <s v="Desarrollador"/>
    <s v="ASO"/>
    <m/>
    <e v="#NAME?"/>
    <e v="#NAME?"/>
    <e v="#NAME?"/>
    <m/>
    <m/>
    <m/>
    <m/>
    <m/>
    <m/>
    <m/>
    <m/>
    <m/>
  </r>
  <r>
    <s v="O004836"/>
    <s v="JUANITA GARCIA CONTRERAS"/>
    <s v="ENTERPRISE"/>
    <x v="2"/>
    <s v="BBVA"/>
    <e v="#NAME?"/>
    <x v="24"/>
    <n v="1"/>
    <s v="Desarrollador"/>
    <s v="Distribuido"/>
    <m/>
    <e v="#NAME?"/>
    <e v="#NAME?"/>
    <e v="#NAME?"/>
    <m/>
    <m/>
    <m/>
    <m/>
    <m/>
    <m/>
    <m/>
    <m/>
    <m/>
  </r>
  <r>
    <s v="O004612"/>
    <s v="JUAN DAVID PRECIADO AGUILAR "/>
    <s v="ENTERPRISE"/>
    <x v="2"/>
    <s v="BBVA"/>
    <e v="#NAME?"/>
    <x v="24"/>
    <n v="1"/>
    <s v="Desarrollador"/>
    <s v="Distribuido"/>
    <m/>
    <e v="#NAME?"/>
    <e v="#NAME?"/>
    <e v="#NAME?"/>
    <m/>
    <m/>
    <m/>
    <m/>
    <m/>
    <m/>
    <m/>
    <m/>
    <m/>
  </r>
  <r>
    <s v="T005391"/>
    <s v="YINET CATALINA TORRES (QA)"/>
    <s v="ENTERPRISE"/>
    <x v="2"/>
    <s v="Inetum"/>
    <e v="#NAME?"/>
    <x v="3"/>
    <n v="1"/>
    <s v="QA"/>
    <s v="Otras Tec."/>
    <m/>
    <e v="#NAME?"/>
    <e v="#NAME?"/>
    <e v="#NAME?"/>
    <m/>
    <m/>
    <m/>
    <m/>
    <m/>
    <m/>
    <m/>
    <m/>
    <m/>
  </r>
  <r>
    <s v="C808646"/>
    <s v="DAVID CAMILO CORREDOR RODRIGUEZ"/>
    <s v="ENTERPRISE"/>
    <x v="4"/>
    <s v="BBVA"/>
    <e v="#NAME?"/>
    <x v="28"/>
    <n v="1"/>
    <s v="Desarrollador"/>
    <s v="Mainframe"/>
    <m/>
    <e v="#NAME?"/>
    <e v="#NAME?"/>
    <e v="#NAME?"/>
    <m/>
    <m/>
    <m/>
    <m/>
    <m/>
    <m/>
    <m/>
    <m/>
    <m/>
  </r>
  <r>
    <s v="O001334"/>
    <s v="ELKIN FERNANDO RIVERA GOMEZ"/>
    <s v="ENTERPRISE"/>
    <x v="4"/>
    <s v="BBVA"/>
    <e v="#NAME?"/>
    <x v="28"/>
    <n v="0.5"/>
    <s v="Otros"/>
    <s v="Distribuido"/>
    <m/>
    <e v="#NAME?"/>
    <e v="#NAME?"/>
    <e v="#NAME?"/>
    <m/>
    <m/>
    <m/>
    <m/>
    <m/>
    <m/>
    <m/>
    <m/>
    <m/>
  </r>
  <r>
    <s v="O001334"/>
    <s v="ELKIN FERNANDO RIVERA GOMEZ"/>
    <s v="ENTERPRISE"/>
    <x v="4"/>
    <s v="BBVA"/>
    <e v="#NAME?"/>
    <x v="29"/>
    <n v="0.25"/>
    <s v="Otros"/>
    <s v="Distribuido"/>
    <m/>
    <e v="#NAME?"/>
    <e v="#NAME?"/>
    <e v="#NAME?"/>
    <m/>
    <m/>
    <m/>
    <m/>
    <m/>
    <m/>
    <m/>
    <m/>
    <m/>
  </r>
  <r>
    <s v="O001334"/>
    <s v="ELKIN FERNANDO RIVERA GOMEZ"/>
    <s v="ENTERPRISE"/>
    <x v="4"/>
    <s v="BBVA"/>
    <e v="#NAME?"/>
    <x v="5"/>
    <n v="0.25"/>
    <s v="Otros"/>
    <s v="Distribuido"/>
    <m/>
    <e v="#NAME?"/>
    <e v="#NAME?"/>
    <e v="#NAME?"/>
    <m/>
    <m/>
    <m/>
    <m/>
    <m/>
    <m/>
    <m/>
    <m/>
    <m/>
  </r>
  <r>
    <s v="C810881"/>
    <s v="JOHN MAICOL NUÑEZ SANTA"/>
    <s v="ENTERPRISE"/>
    <x v="4"/>
    <s v="BBVA"/>
    <e v="#NAME?"/>
    <x v="30"/>
    <n v="0.75"/>
    <s v="Desarrollador"/>
    <s v="Distribuido"/>
    <m/>
    <e v="#NAME?"/>
    <e v="#NAME?"/>
    <e v="#NAME?"/>
    <m/>
    <m/>
    <m/>
    <m/>
    <m/>
    <m/>
    <m/>
    <m/>
    <m/>
  </r>
  <r>
    <s v="C810881"/>
    <s v="JOHN MAICOL NUÑEZ SANTA"/>
    <s v="ENTERPRISE"/>
    <x v="4"/>
    <s v="BBVA"/>
    <e v="#NAME?"/>
    <x v="5"/>
    <n v="0.25"/>
    <s v="Desarrollador"/>
    <s v="Distribuido"/>
    <m/>
    <e v="#NAME?"/>
    <e v="#NAME?"/>
    <e v="#NAME?"/>
    <m/>
    <m/>
    <m/>
    <m/>
    <m/>
    <m/>
    <m/>
    <m/>
    <m/>
  </r>
  <r>
    <s v="C805972"/>
    <s v="JORGE ARMANDO MILLAN GOMEZ"/>
    <s v="ENTERPRISE"/>
    <x v="4"/>
    <s v="BBVA"/>
    <e v="#NAME?"/>
    <x v="28"/>
    <n v="1"/>
    <s v="Desarrollador"/>
    <s v="Distribuido"/>
    <m/>
    <e v="#NAME?"/>
    <e v="#NAME?"/>
    <e v="#NAME?"/>
    <m/>
    <m/>
    <m/>
    <m/>
    <m/>
    <m/>
    <m/>
    <m/>
    <m/>
  </r>
  <r>
    <s v="C805323"/>
    <s v="JOSE MIGUEL PARDO"/>
    <s v="ENTERPRISE"/>
    <x v="4"/>
    <s v="BBVA"/>
    <e v="#NAME?"/>
    <x v="31"/>
    <n v="1"/>
    <s v="Desarrollador"/>
    <s v="Distribuido"/>
    <m/>
    <e v="#NAME?"/>
    <e v="#NAME?"/>
    <e v="#NAME?"/>
    <m/>
    <m/>
    <m/>
    <m/>
    <m/>
    <m/>
    <m/>
    <m/>
    <m/>
  </r>
  <r>
    <s v="C804103"/>
    <s v="MAIRON STIVENS JIMENEZ QUIROGA"/>
    <s v="ENTERPRISE"/>
    <x v="4"/>
    <s v="BBVA"/>
    <e v="#NAME?"/>
    <x v="31"/>
    <n v="0.5"/>
    <s v="Desarrollador"/>
    <s v="Distribuido"/>
    <m/>
    <e v="#NAME?"/>
    <e v="#NAME?"/>
    <e v="#NAME?"/>
    <m/>
    <m/>
    <m/>
    <m/>
    <m/>
    <m/>
    <m/>
    <m/>
    <m/>
  </r>
  <r>
    <s v="C804103"/>
    <s v="MAIRON STIVENS JIMENEZ QUIROGA"/>
    <s v="ENTERPRISE"/>
    <x v="4"/>
    <s v="BBVA"/>
    <e v="#NAME?"/>
    <x v="29"/>
    <n v="0.5"/>
    <s v="Desarrollador"/>
    <s v="Distribuido"/>
    <m/>
    <e v="#NAME?"/>
    <e v="#NAME?"/>
    <e v="#NAME?"/>
    <m/>
    <m/>
    <m/>
    <m/>
    <m/>
    <m/>
    <m/>
    <m/>
    <m/>
  </r>
  <r>
    <s v="C805973"/>
    <s v="JESUS DAVID TELLO ARISTIZABAL"/>
    <s v="ENTERPRISE"/>
    <x v="4"/>
    <s v="BBVA"/>
    <e v="#NAME?"/>
    <x v="30"/>
    <n v="1"/>
    <s v="Desarrollador"/>
    <s v="Mainframe"/>
    <m/>
    <e v="#NAME?"/>
    <e v="#NAME?"/>
    <e v="#NAME?"/>
    <m/>
    <m/>
    <m/>
    <m/>
    <m/>
    <m/>
    <m/>
    <m/>
    <m/>
  </r>
  <r>
    <s v="C805925"/>
    <s v="GUSTAVO ANDRES CAMARGO"/>
    <s v="ENTERPRISE"/>
    <x v="4"/>
    <s v="BBVA"/>
    <e v="#NAME?"/>
    <x v="28"/>
    <n v="0.25"/>
    <s v="Desarrollador"/>
    <s v="Mainframe"/>
    <m/>
    <e v="#NAME?"/>
    <e v="#NAME?"/>
    <e v="#NAME?"/>
    <m/>
    <m/>
    <m/>
    <m/>
    <m/>
    <m/>
    <m/>
    <m/>
    <m/>
  </r>
  <r>
    <s v="O004604"/>
    <s v="DARREN NICOLAS DURAN JAMAICA"/>
    <s v="ENTERPRISE"/>
    <x v="4"/>
    <s v="BBVA"/>
    <e v="#NAME?"/>
    <x v="3"/>
    <n v="1"/>
    <s v="Desarrollador"/>
    <s v="Mainframe"/>
    <m/>
    <e v="#NAME?"/>
    <e v="#NAME?"/>
    <e v="#NAME?"/>
    <m/>
    <m/>
    <m/>
    <m/>
    <m/>
    <m/>
    <m/>
    <m/>
    <m/>
  </r>
  <r>
    <s v="O000159"/>
    <s v="CAROL VIVIANA CARVAJALNAGLES"/>
    <s v="ENTERPRISE"/>
    <x v="4"/>
    <s v="BBVA"/>
    <e v="#NAME?"/>
    <x v="28"/>
    <n v="0.5"/>
    <s v="Tech Manager/Líder"/>
    <s v="Distribuido"/>
    <m/>
    <e v="#NAME?"/>
    <e v="#NAME?"/>
    <e v="#NAME?"/>
    <m/>
    <m/>
    <m/>
    <m/>
    <m/>
    <m/>
    <m/>
    <m/>
    <m/>
  </r>
  <r>
    <s v="O000159"/>
    <s v="CAROL VIVIANA CARVAJALNAGLES"/>
    <s v="ENTERPRISE"/>
    <x v="4"/>
    <s v="BBVA"/>
    <e v="#NAME?"/>
    <x v="31"/>
    <n v="0.25"/>
    <s v="Tech Manager/Líder"/>
    <s v="Distribuido"/>
    <m/>
    <e v="#NAME?"/>
    <e v="#NAME?"/>
    <e v="#NAME?"/>
    <m/>
    <m/>
    <m/>
    <m/>
    <m/>
    <m/>
    <m/>
    <m/>
    <m/>
  </r>
  <r>
    <s v="O000159"/>
    <s v="CAROL VIVIANA CARVAJALNAGLES"/>
    <s v="ENTERPRISE"/>
    <x v="4"/>
    <s v="BBVA"/>
    <e v="#NAME?"/>
    <x v="29"/>
    <n v="0.15"/>
    <s v="Tech Manager/Líder"/>
    <s v="Distribuido"/>
    <m/>
    <e v="#NAME?"/>
    <e v="#NAME?"/>
    <e v="#NAME?"/>
    <m/>
    <m/>
    <m/>
    <m/>
    <m/>
    <m/>
    <m/>
    <m/>
    <m/>
  </r>
  <r>
    <s v="O000159"/>
    <s v="CAROL VIVIANA CARVAJALNAGLES"/>
    <s v="ENTERPRISE"/>
    <x v="4"/>
    <s v="BBVA"/>
    <e v="#NAME?"/>
    <x v="5"/>
    <n v="0.1"/>
    <s v="Tech Manager/Líder"/>
    <s v="Distribuido"/>
    <m/>
    <e v="#NAME?"/>
    <e v="#NAME?"/>
    <e v="#NAME?"/>
    <m/>
    <m/>
    <m/>
    <m/>
    <m/>
    <m/>
    <m/>
    <m/>
    <m/>
  </r>
  <r>
    <s v="T005152"/>
    <s v="ANGELICA MARINA CASTILLA RENDON"/>
    <s v="ENTERPRISE"/>
    <x v="4"/>
    <s v="Inetum"/>
    <e v="#NAME?"/>
    <x v="28"/>
    <n v="0.9"/>
    <s v="QA"/>
    <s v="Mainframe"/>
    <m/>
    <e v="#NAME?"/>
    <e v="#NAME?"/>
    <e v="#NAME?"/>
    <m/>
    <m/>
    <m/>
    <m/>
    <m/>
    <m/>
    <m/>
    <m/>
    <m/>
  </r>
  <r>
    <s v="T005152"/>
    <s v="ANGELICA MARINA CASTILLA RENDON"/>
    <s v="ENTERPRISE"/>
    <x v="4"/>
    <s v="Inetum"/>
    <e v="#NAME?"/>
    <x v="29"/>
    <n v="0.1"/>
    <s v="QA"/>
    <s v="Distribuido"/>
    <m/>
    <e v="#NAME?"/>
    <e v="#NAME?"/>
    <e v="#NAME?"/>
    <m/>
    <m/>
    <m/>
    <m/>
    <m/>
    <m/>
    <m/>
    <m/>
    <m/>
  </r>
  <r>
    <s v="CE68432"/>
    <s v="ANGELY JOHANA GONZALEZ VILLAMIL"/>
    <s v="ENTERPRISE"/>
    <x v="4"/>
    <s v="Choucair"/>
    <e v="#NAME?"/>
    <x v="31"/>
    <n v="1"/>
    <s v="QA"/>
    <s v="Distribuido"/>
    <m/>
    <e v="#NAME?"/>
    <e v="#NAME?"/>
    <e v="#NAME?"/>
    <m/>
    <m/>
    <m/>
    <m/>
    <m/>
    <m/>
    <m/>
    <m/>
    <m/>
  </r>
  <r>
    <s v="CE60767"/>
    <s v="JEIMMY ALEJANDRA SANCHEZ LOPEZ"/>
    <s v="ENTERPRISE"/>
    <x v="4"/>
    <s v="Choucair"/>
    <e v="#NAME?"/>
    <x v="31"/>
    <n v="1"/>
    <s v="QA"/>
    <s v="Distribuido"/>
    <m/>
    <e v="#NAME?"/>
    <e v="#NAME?"/>
    <e v="#NAME?"/>
    <m/>
    <m/>
    <m/>
    <m/>
    <m/>
    <m/>
    <m/>
    <m/>
    <m/>
  </r>
  <r>
    <s v="T002011"/>
    <s v="YEIMY TATIANA ZAMORA GUEVARA"/>
    <s v="ENTERPRISE"/>
    <x v="4"/>
    <s v="Choucair"/>
    <e v="#NAME?"/>
    <x v="31"/>
    <n v="1"/>
    <s v="QA"/>
    <s v="Distribuido"/>
    <m/>
    <e v="#NAME?"/>
    <e v="#NAME?"/>
    <e v="#NAME?"/>
    <m/>
    <m/>
    <m/>
    <m/>
    <m/>
    <m/>
    <m/>
    <m/>
    <m/>
  </r>
  <r>
    <s v="CE65276"/>
    <s v="JOHANA IDALY GARZON RUIZ"/>
    <s v="ENTERPRISE"/>
    <x v="4"/>
    <s v="Choucair"/>
    <e v="#NAME?"/>
    <x v="31"/>
    <n v="1"/>
    <s v="QA"/>
    <s v="Distribuido"/>
    <m/>
    <e v="#NAME?"/>
    <e v="#NAME?"/>
    <e v="#NAME?"/>
    <m/>
    <m/>
    <m/>
    <m/>
    <m/>
    <m/>
    <m/>
    <m/>
    <m/>
  </r>
  <r>
    <s v="CE51577"/>
    <s v="LINA JULIETH REDONDO SOLER"/>
    <s v="ENTERPRISE"/>
    <x v="4"/>
    <s v="Choucair"/>
    <e v="#NAME?"/>
    <x v="28"/>
    <n v="1"/>
    <s v="QA"/>
    <s v="Mainframe"/>
    <m/>
    <e v="#NAME?"/>
    <e v="#NAME?"/>
    <e v="#NAME?"/>
    <m/>
    <m/>
    <m/>
    <m/>
    <m/>
    <m/>
    <m/>
    <m/>
    <m/>
  </r>
  <r>
    <s v="CE68565"/>
    <s v="JELBER STIBEN LOZANO PRADA"/>
    <s v="ENTERPRISE"/>
    <x v="4"/>
    <s v="Choucair"/>
    <e v="#NAME?"/>
    <x v="28"/>
    <n v="1"/>
    <s v="QA"/>
    <s v="Distribuido"/>
    <m/>
    <e v="#NAME?"/>
    <e v="#NAME?"/>
    <e v="#NAME?"/>
    <m/>
    <m/>
    <m/>
    <m/>
    <m/>
    <m/>
    <m/>
    <m/>
    <m/>
  </r>
  <r>
    <s v="CE66305"/>
    <s v="LADY JOHANNA ARDILA ABELLO"/>
    <s v="ENTERPRISE"/>
    <x v="4"/>
    <s v="Choucair"/>
    <e v="#NAME?"/>
    <x v="28"/>
    <n v="1"/>
    <s v="QA"/>
    <s v="Mainframe"/>
    <m/>
    <e v="#NAME?"/>
    <e v="#NAME?"/>
    <e v="#NAME?"/>
    <m/>
    <m/>
    <m/>
    <m/>
    <m/>
    <m/>
    <m/>
    <m/>
    <m/>
  </r>
  <r>
    <s v="CE67889"/>
    <s v="YEIMY PATRICIA PELAEZ ARENAS"/>
    <s v="ENTERPRISE"/>
    <x v="4"/>
    <s v="Choucair"/>
    <e v="#NAME?"/>
    <x v="28"/>
    <n v="1"/>
    <s v="QA"/>
    <s v="Distribuido"/>
    <m/>
    <e v="#NAME?"/>
    <e v="#NAME?"/>
    <e v="#NAME?"/>
    <m/>
    <m/>
    <m/>
    <m/>
    <m/>
    <m/>
    <m/>
    <m/>
    <m/>
  </r>
  <r>
    <s v="T010295"/>
    <s v="KAREN JULIETH VASQUEZ ROMERO"/>
    <s v="ENTERPRISE"/>
    <x v="4"/>
    <s v="Choucair"/>
    <e v="#NAME?"/>
    <x v="28"/>
    <n v="1"/>
    <s v="QA"/>
    <s v="Mainframe"/>
    <m/>
    <e v="#NAME?"/>
    <e v="#NAME?"/>
    <e v="#NAME?"/>
    <m/>
    <m/>
    <m/>
    <m/>
    <m/>
    <m/>
    <m/>
    <m/>
    <m/>
  </r>
  <r>
    <s v="CE51510"/>
    <s v="JULY VANESSA TORRES ZARATE"/>
    <s v="ENTERPRISE"/>
    <x v="4"/>
    <s v="Choucair"/>
    <e v="#NAME?"/>
    <x v="28"/>
    <n v="1"/>
    <s v="QA"/>
    <s v="Distribuido"/>
    <m/>
    <e v="#NAME?"/>
    <e v="#NAME?"/>
    <e v="#NAME?"/>
    <m/>
    <m/>
    <m/>
    <m/>
    <m/>
    <m/>
    <m/>
    <m/>
    <m/>
  </r>
  <r>
    <s v="CE68432"/>
    <s v="PAUL JONATHAN VALENCIA MUÑOZ"/>
    <s v="ENTERPRISE"/>
    <x v="4"/>
    <s v="Choucair"/>
    <e v="#NAME?"/>
    <x v="28"/>
    <n v="1"/>
    <s v="QA"/>
    <s v="Distribuido"/>
    <m/>
    <e v="#NAME?"/>
    <e v="#NAME?"/>
    <e v="#NAME?"/>
    <m/>
    <m/>
    <m/>
    <m/>
    <m/>
    <m/>
    <m/>
    <m/>
    <m/>
  </r>
  <r>
    <s v=" T011816"/>
    <s v="JENNY PAOLA LOSADA VELASCO"/>
    <s v="ENTERPRISE"/>
    <x v="4"/>
    <s v="Choucair"/>
    <e v="#NAME?"/>
    <x v="28"/>
    <n v="1"/>
    <s v="QA"/>
    <s v="Distribuido"/>
    <m/>
    <e v="#NAME?"/>
    <e v="#NAME?"/>
    <e v="#NAME?"/>
    <m/>
    <m/>
    <m/>
    <m/>
    <m/>
    <m/>
    <m/>
    <m/>
    <m/>
  </r>
  <r>
    <s v="T012212"/>
    <s v="MONICA ALEJANDRA QUINTERO PEREZ"/>
    <s v="ENTERPRISE"/>
    <x v="4"/>
    <s v="Choucair"/>
    <e v="#NAME?"/>
    <x v="28"/>
    <n v="1"/>
    <s v="QA"/>
    <s v="Distribuido"/>
    <m/>
    <e v="#NAME?"/>
    <e v="#NAME?"/>
    <e v="#NAME?"/>
    <m/>
    <m/>
    <m/>
    <m/>
    <m/>
    <m/>
    <m/>
    <m/>
    <m/>
  </r>
  <r>
    <s v="CE30318"/>
    <s v="ROBERTO ANTONIO MARTINEZ"/>
    <s v="ENTERPRISE"/>
    <x v="4"/>
    <s v="KRYPTO"/>
    <e v="#NAME?"/>
    <x v="28"/>
    <n v="0.1"/>
    <s v="QA"/>
    <s v="Mainframe"/>
    <m/>
    <e v="#NAME?"/>
    <e v="#NAME?"/>
    <e v="#NAME?"/>
    <m/>
    <m/>
    <m/>
    <m/>
    <m/>
    <m/>
    <m/>
    <m/>
    <m/>
  </r>
  <r>
    <s v="CE30318"/>
    <s v="ROBERTO ANTONIO MARTINEZ"/>
    <s v="ENTERPRISE"/>
    <x v="4"/>
    <s v="KRYPTO"/>
    <e v="#NAME?"/>
    <x v="31"/>
    <n v="0.1"/>
    <s v="QA"/>
    <s v="Distribuido"/>
    <m/>
    <e v="#NAME?"/>
    <e v="#NAME?"/>
    <e v="#NAME?"/>
    <m/>
    <m/>
    <m/>
    <m/>
    <m/>
    <m/>
    <m/>
    <m/>
    <m/>
  </r>
  <r>
    <s v="CE30318"/>
    <s v="ROBERTO ANTONIO MARTINEZ"/>
    <s v="ENTERPRISE"/>
    <x v="4"/>
    <s v="KRYPTO"/>
    <e v="#NAME?"/>
    <x v="29"/>
    <n v="0.05"/>
    <s v="QA"/>
    <s v="Distribuido"/>
    <m/>
    <e v="#NAME?"/>
    <e v="#NAME?"/>
    <e v="#NAME?"/>
    <m/>
    <m/>
    <m/>
    <m/>
    <m/>
    <m/>
    <m/>
    <m/>
    <m/>
  </r>
  <r>
    <s v="CE41979"/>
    <s v="DILSON PARDO SANTANA"/>
    <s v="ENTERPRISE"/>
    <x v="0"/>
    <s v="Inetum"/>
    <e v="#NAME?"/>
    <x v="5"/>
    <n v="7.0000000000000007E-2"/>
    <s v="QA"/>
    <s v="Distribuido"/>
    <m/>
    <e v="#NAME?"/>
    <e v="#NAME?"/>
    <e v="#NAME?"/>
    <m/>
    <m/>
    <m/>
    <m/>
    <m/>
    <m/>
    <m/>
    <m/>
    <m/>
  </r>
  <r>
    <s v="CE41979"/>
    <s v="DILSON PARDO SANTANA"/>
    <s v="ENTERPRISE"/>
    <x v="0"/>
    <s v="Inetum"/>
    <e v="#NAME?"/>
    <x v="3"/>
    <n v="0.1"/>
    <s v="QA"/>
    <s v="Distribuido"/>
    <m/>
    <e v="#NAME?"/>
    <e v="#NAME?"/>
    <e v="#NAME?"/>
    <m/>
    <m/>
    <m/>
    <m/>
    <m/>
    <m/>
    <m/>
    <m/>
    <m/>
  </r>
  <r>
    <s v="CE41979"/>
    <s v="DILSON PARDO SANTANA"/>
    <s v="ENTERPRISE"/>
    <x v="0"/>
    <s v="Inetum"/>
    <e v="#NAME?"/>
    <x v="4"/>
    <n v="0.08"/>
    <s v="QA"/>
    <s v="Distribuido"/>
    <m/>
    <e v="#NAME?"/>
    <e v="#NAME?"/>
    <e v="#NAME?"/>
    <m/>
    <m/>
    <m/>
    <m/>
    <m/>
    <m/>
    <m/>
    <m/>
    <m/>
  </r>
  <r>
    <s v="CE30318"/>
    <s v="ROBERTO ANTONIO MARTINEZ"/>
    <s v="ENTERPRISE"/>
    <x v="4"/>
    <s v="KRYPTO"/>
    <e v="#NAME?"/>
    <x v="3"/>
    <n v="0.25"/>
    <s v="QA"/>
    <s v="Distribuido"/>
    <m/>
    <e v="#NAME?"/>
    <e v="#NAME?"/>
    <e v="#NAME?"/>
    <m/>
    <m/>
    <m/>
    <m/>
    <m/>
    <m/>
    <m/>
    <m/>
    <m/>
  </r>
  <r>
    <s v="CE41979"/>
    <s v="DILSON PARDO SANTANA"/>
    <s v="ENTERPRISE"/>
    <x v="0"/>
    <s v="Inetum"/>
    <e v="#NAME?"/>
    <x v="3"/>
    <n v="0.25"/>
    <s v="QA"/>
    <s v="Distribuido"/>
    <m/>
    <e v="#NAME?"/>
    <e v="#NAME?"/>
    <e v="#NAME?"/>
    <m/>
    <m/>
    <m/>
    <m/>
    <m/>
    <m/>
    <m/>
    <m/>
    <m/>
  </r>
  <r>
    <s v="CE69031"/>
    <s v="WILLIAM ROBERTO MORA BERNAL"/>
    <s v="ENTERPRISE"/>
    <x v="0"/>
    <s v="KRYPTO"/>
    <e v="#NAME?"/>
    <x v="3"/>
    <n v="0.25"/>
    <s v="Otros"/>
    <s v="Distribuido"/>
    <m/>
    <e v="#NAME?"/>
    <e v="#NAME?"/>
    <e v="#NAME?"/>
    <m/>
    <m/>
    <m/>
    <m/>
    <m/>
    <m/>
    <m/>
    <m/>
    <m/>
  </r>
  <r>
    <s v="CE30318"/>
    <s v="ROBERTO ANTONIO MARTINEZ"/>
    <s v="ENTERPRISE"/>
    <x v="0"/>
    <s v="KRYPTO"/>
    <e v="#NAME?"/>
    <x v="3"/>
    <n v="7.0000000000000007E-2"/>
    <s v="QA"/>
    <s v="Distribuido"/>
    <m/>
    <e v="#NAME?"/>
    <e v="#NAME?"/>
    <e v="#NAME?"/>
    <m/>
    <m/>
    <m/>
    <m/>
    <m/>
    <m/>
    <m/>
    <m/>
    <m/>
  </r>
  <r>
    <s v="CE41979"/>
    <s v="DILSON PARDO SANTANA"/>
    <s v="ENTERPRISE"/>
    <x v="4"/>
    <s v="Inetum"/>
    <e v="#NAME?"/>
    <x v="28"/>
    <n v="0.1"/>
    <s v="QA"/>
    <s v="Distribuido"/>
    <m/>
    <e v="#NAME?"/>
    <e v="#NAME?"/>
    <e v="#NAME?"/>
    <m/>
    <m/>
    <m/>
    <m/>
    <m/>
    <m/>
    <m/>
    <m/>
    <m/>
  </r>
  <r>
    <s v="CE41979"/>
    <s v="DILSON PARDO SANTANA"/>
    <s v="ENTERPRISE"/>
    <x v="4"/>
    <s v="Inetum"/>
    <e v="#NAME?"/>
    <x v="31"/>
    <n v="0.1"/>
    <s v="QA"/>
    <s v="Distribuido"/>
    <m/>
    <e v="#NAME?"/>
    <e v="#NAME?"/>
    <e v="#NAME?"/>
    <m/>
    <m/>
    <m/>
    <m/>
    <m/>
    <m/>
    <m/>
    <m/>
    <m/>
  </r>
  <r>
    <s v="CE41979"/>
    <s v="DILSON PARDO SANTANA"/>
    <s v="ENTERPRISE"/>
    <x v="4"/>
    <s v="Inetum"/>
    <e v="#NAME?"/>
    <x v="29"/>
    <n v="0.05"/>
    <s v="QA"/>
    <s v="Distribuido"/>
    <m/>
    <e v="#NAME?"/>
    <e v="#NAME?"/>
    <e v="#NAME?"/>
    <m/>
    <m/>
    <m/>
    <m/>
    <m/>
    <m/>
    <m/>
    <m/>
    <m/>
  </r>
  <r>
    <s v="CE41979"/>
    <s v="DILSON PARDO SANTANA"/>
    <s v="ENTERPRISE"/>
    <x v="4"/>
    <s v="Inetum"/>
    <e v="#NAME?"/>
    <x v="3"/>
    <n v="0.25"/>
    <s v="QA"/>
    <s v="Distribuido"/>
    <m/>
    <e v="#NAME?"/>
    <e v="#NAME?"/>
    <e v="#NAME?"/>
    <m/>
    <m/>
    <m/>
    <m/>
    <m/>
    <m/>
    <m/>
    <m/>
    <m/>
  </r>
  <r>
    <s v="CE69031"/>
    <s v="WILLIAM ROBERTO MORA BERNAL"/>
    <s v="ENTERPRISE"/>
    <x v="4"/>
    <s v="KRYPTO"/>
    <e v="#NAME?"/>
    <x v="3"/>
    <n v="0.25"/>
    <s v="Otros"/>
    <s v="Distribuido"/>
    <m/>
    <e v="#NAME?"/>
    <e v="#NAME?"/>
    <e v="#NAME?"/>
    <m/>
    <m/>
    <m/>
    <m/>
    <m/>
    <m/>
    <m/>
    <m/>
    <m/>
  </r>
  <r>
    <s v="CE69031"/>
    <s v="WILLIAM ROBERTO MORA BERNAL"/>
    <s v="ENTERPRISE"/>
    <x v="4"/>
    <s v="KRYPTO"/>
    <e v="#NAME?"/>
    <x v="28"/>
    <n v="0.1"/>
    <s v="Otros"/>
    <s v="Mainframe"/>
    <m/>
    <e v="#NAME?"/>
    <e v="#NAME?"/>
    <e v="#NAME?"/>
    <m/>
    <m/>
    <m/>
    <m/>
    <m/>
    <m/>
    <m/>
    <m/>
    <m/>
  </r>
  <r>
    <s v="CE69031"/>
    <s v="WILLIAM ROBERTO MORA BERNAL"/>
    <s v="ENTERPRISE"/>
    <x v="4"/>
    <s v="KRYPTO"/>
    <e v="#NAME?"/>
    <x v="31"/>
    <n v="0.1"/>
    <s v="Otros"/>
    <s v="Distribuido"/>
    <m/>
    <e v="#NAME?"/>
    <e v="#NAME?"/>
    <e v="#NAME?"/>
    <m/>
    <m/>
    <m/>
    <m/>
    <m/>
    <m/>
    <m/>
    <m/>
    <m/>
  </r>
  <r>
    <s v="CE69031"/>
    <s v="WILLIAM ROBERTO MORA BERNAL"/>
    <s v="ENTERPRISE"/>
    <x v="4"/>
    <s v="KRYPTO"/>
    <e v="#NAME?"/>
    <x v="29"/>
    <n v="0.05"/>
    <s v="Otros"/>
    <s v="Distribuido"/>
    <m/>
    <e v="#NAME?"/>
    <e v="#NAME?"/>
    <e v="#NAME?"/>
    <m/>
    <m/>
    <m/>
    <m/>
    <m/>
    <m/>
    <m/>
    <m/>
    <m/>
  </r>
  <r>
    <s v="O000108"/>
    <s v="FELIPE ALONSO SOTO CABALLERO"/>
    <s v="CIB &amp; COMEX - FIDUCIARIA"/>
    <x v="1"/>
    <s v="BBVA"/>
    <e v="#NAME?"/>
    <x v="12"/>
    <n v="0.7"/>
    <s v="Desarrollador"/>
    <s v="Otras Tec."/>
    <s v="Legacy :power Builder"/>
    <e v="#NAME?"/>
    <e v="#NAME?"/>
    <e v="#NAME?"/>
    <m/>
    <m/>
    <m/>
    <m/>
    <m/>
    <m/>
    <m/>
    <m/>
    <m/>
  </r>
  <r>
    <s v="O000108"/>
    <s v="FELIPE ALONSO SOTO CABALLERO"/>
    <s v="CIB &amp; COMEX - FIDUCIARIA"/>
    <x v="1"/>
    <s v="BBVA"/>
    <e v="#NAME?"/>
    <x v="32"/>
    <n v="0.3"/>
    <s v="Desarrollador"/>
    <s v="Otras Tec."/>
    <s v="Legacy :power Builder"/>
    <e v="#NAME?"/>
    <e v="#NAME?"/>
    <e v="#NAME?"/>
    <m/>
    <m/>
    <m/>
    <m/>
    <m/>
    <m/>
    <m/>
    <m/>
    <m/>
  </r>
  <r>
    <s v="CE30318"/>
    <s v="ROBERTO ANTONIO MARTINEZ"/>
    <s v="ENTERPRISE"/>
    <x v="0"/>
    <s v="KRYPTO"/>
    <e v="#NAME?"/>
    <x v="5"/>
    <n v="0.1"/>
    <s v="QA"/>
    <s v="Distribuido"/>
    <m/>
    <e v="#NAME?"/>
    <e v="#NAME?"/>
    <e v="#NAME?"/>
    <m/>
    <m/>
    <m/>
    <m/>
    <m/>
    <m/>
    <m/>
    <m/>
    <m/>
  </r>
  <r>
    <s v="CE30318"/>
    <s v="ROBERTO ANTONIO MARTINEZ"/>
    <s v="ENTERPRISE"/>
    <x v="0"/>
    <s v="KRYPTO"/>
    <e v="#NAME?"/>
    <x v="4"/>
    <n v="0.08"/>
    <s v="QA"/>
    <s v="Distribuido"/>
    <m/>
    <e v="#NAME?"/>
    <e v="#NAME?"/>
    <e v="#NAME?"/>
    <m/>
    <m/>
    <m/>
    <m/>
    <m/>
    <m/>
    <m/>
    <m/>
    <m/>
  </r>
  <r>
    <s v="CE30318"/>
    <s v="ROBERTO ANTONIO MARTINEZ"/>
    <s v="ENTERPRISE"/>
    <x v="0"/>
    <s v="KRYPTO"/>
    <e v="#NAME?"/>
    <x v="3"/>
    <n v="0.25"/>
    <s v="QA"/>
    <s v="Distribuido"/>
    <m/>
    <e v="#NAME?"/>
    <e v="#NAME?"/>
    <e v="#NAME?"/>
    <m/>
    <m/>
    <m/>
    <m/>
    <m/>
    <m/>
    <m/>
    <m/>
    <m/>
  </r>
  <r>
    <s v="C801586"/>
    <s v="SANDRA LILIANA SANCHEZ PULIDO"/>
    <s v="ENTERPRISE"/>
    <x v="0"/>
    <s v="BBVA"/>
    <e v="#NAME?"/>
    <x v="3"/>
    <n v="1"/>
    <s v="Tech Manager/Líder"/>
    <s v="Mainframe"/>
    <m/>
    <e v="#NAME?"/>
    <e v="#NAME?"/>
    <e v="#NAME?"/>
    <m/>
    <m/>
    <m/>
    <m/>
    <m/>
    <m/>
    <m/>
    <m/>
    <m/>
  </r>
  <r>
    <s v="CE59142"/>
    <s v="MARTHA LUCIA PORRAS"/>
    <s v="ENTERPRISE"/>
    <x v="0"/>
    <s v="Inetum"/>
    <e v="#NAME?"/>
    <x v="3"/>
    <n v="1"/>
    <s v="Otros"/>
    <s v="Mainframe"/>
    <m/>
    <e v="#NAME?"/>
    <e v="#NAME?"/>
    <e v="#NAME?"/>
    <m/>
    <m/>
    <m/>
    <m/>
    <m/>
    <m/>
    <m/>
    <m/>
    <m/>
  </r>
  <r>
    <s v="CE66182"/>
    <s v="JUAN MARTIN UMAÑA"/>
    <s v="ENTERPRISE"/>
    <x v="0"/>
    <s v="Inetum"/>
    <e v="#NAME?"/>
    <x v="3"/>
    <n v="1"/>
    <s v="Desarrollador"/>
    <s v="Mainframe"/>
    <m/>
    <e v="#NAME?"/>
    <e v="#NAME?"/>
    <e v="#NAME?"/>
    <m/>
    <m/>
    <m/>
    <m/>
    <m/>
    <m/>
    <m/>
    <m/>
    <m/>
  </r>
  <r>
    <s v="CE52790"/>
    <s v="GERMAN ZARRIA MENDEZ"/>
    <s v="ENTERPRISE"/>
    <x v="0"/>
    <s v="Inetum"/>
    <e v="#NAME?"/>
    <x v="3"/>
    <n v="1"/>
    <s v="Desarrollador"/>
    <s v="Mainframe"/>
    <m/>
    <e v="#NAME?"/>
    <e v="#NAME?"/>
    <e v="#NAME?"/>
    <m/>
    <m/>
    <m/>
    <m/>
    <m/>
    <m/>
    <m/>
    <m/>
    <m/>
  </r>
  <r>
    <s v="CE50160"/>
    <s v="CONSUELO MOLINA GUERRERO"/>
    <s v="ENTERPRISE"/>
    <x v="0"/>
    <s v="Inetum"/>
    <e v="#NAME?"/>
    <x v="3"/>
    <n v="1"/>
    <s v="Desarrollador"/>
    <s v="Mainframe"/>
    <m/>
    <e v="#NAME?"/>
    <e v="#NAME?"/>
    <e v="#NAME?"/>
    <m/>
    <m/>
    <m/>
    <m/>
    <m/>
    <m/>
    <m/>
    <m/>
    <m/>
  </r>
  <r>
    <s v="CE57567"/>
    <s v="GIOVANNI ESGUERRA VELANDIA"/>
    <s v="ENTERPRISE"/>
    <x v="0"/>
    <s v="Inetum"/>
    <e v="#NAME?"/>
    <x v="3"/>
    <n v="1"/>
    <s v="Desarrollador"/>
    <s v="Mainframe"/>
    <m/>
    <e v="#NAME?"/>
    <e v="#NAME?"/>
    <e v="#NAME?"/>
    <m/>
    <m/>
    <m/>
    <m/>
    <m/>
    <m/>
    <m/>
    <m/>
    <m/>
  </r>
  <r>
    <s v="CE63508"/>
    <s v="DANNA VALERIA MESA ALFONSO"/>
    <s v="ENTERPRISE"/>
    <x v="0"/>
    <s v="Inetum"/>
    <e v="#NAME?"/>
    <x v="3"/>
    <n v="1"/>
    <s v="QA"/>
    <s v="Mainframe"/>
    <m/>
    <e v="#NAME?"/>
    <e v="#NAME?"/>
    <e v="#NAME?"/>
    <m/>
    <m/>
    <m/>
    <m/>
    <m/>
    <m/>
    <m/>
    <m/>
    <m/>
  </r>
  <r>
    <s v="C802316"/>
    <s v="CAMILO ALBERTO GARCES BELTRAN"/>
    <s v="CIB &amp; COMEX - FIDUCIARIA"/>
    <x v="1"/>
    <s v="BBVA"/>
    <e v="#NAME?"/>
    <x v="33"/>
    <n v="0.7"/>
    <s v="Desarrollador"/>
    <s v="Otras Tec."/>
    <s v="Legacy :power Builder"/>
    <e v="#NAME?"/>
    <e v="#NAME?"/>
    <e v="#NAME?"/>
    <m/>
    <m/>
    <m/>
    <m/>
    <m/>
    <m/>
    <m/>
    <m/>
    <m/>
  </r>
  <r>
    <s v="C802316"/>
    <s v="CAMILO ALBERTO GARCES BELTRAN"/>
    <s v="CIB &amp; COMEX - FIDUCIARIA"/>
    <x v="1"/>
    <s v="BBVA"/>
    <e v="#NAME?"/>
    <x v="34"/>
    <n v="0.3"/>
    <s v="Desarrollador"/>
    <s v="Otras Tec."/>
    <s v="Legacy :power Builder"/>
    <e v="#NAME?"/>
    <e v="#NAME?"/>
    <e v="#NAME?"/>
    <m/>
    <m/>
    <m/>
    <m/>
    <m/>
    <m/>
    <m/>
    <m/>
    <m/>
  </r>
  <r>
    <s v="C782982"/>
    <s v="ANA CONSUELO TRASLAVIÑA"/>
    <s v="CIB &amp; COMEX - FIDUCIARIA"/>
    <x v="1"/>
    <s v="BBVA"/>
    <e v="#NAME?"/>
    <x v="33"/>
    <n v="0.3"/>
    <s v="Tech Manager/Líder"/>
    <s v="Otras Tec."/>
    <s v="Legacy :power Builder"/>
    <e v="#NAME?"/>
    <e v="#NAME?"/>
    <e v="#NAME?"/>
    <m/>
    <m/>
    <m/>
    <m/>
    <m/>
    <m/>
    <m/>
    <m/>
    <m/>
  </r>
  <r>
    <s v="C782982"/>
    <s v="ANA CONSUELO TRASLAVIÑA"/>
    <s v="CIB &amp; COMEX - FIDUCIARIA"/>
    <x v="1"/>
    <s v="BBVA"/>
    <e v="#NAME?"/>
    <x v="34"/>
    <n v="0.3"/>
    <s v="Tech Manager/Líder"/>
    <s v="Otras Tec."/>
    <s v="Legacy :power Builder"/>
    <e v="#NAME?"/>
    <e v="#NAME?"/>
    <e v="#NAME?"/>
    <m/>
    <m/>
    <m/>
    <m/>
    <m/>
    <m/>
    <m/>
    <m/>
    <m/>
  </r>
  <r>
    <s v="C782982"/>
    <s v="ANA CONSUELO TRASLAVIÑA"/>
    <s v="CIB &amp; COMEX - FIDUCIARIA"/>
    <x v="1"/>
    <s v="BBVA"/>
    <e v="#NAME?"/>
    <x v="12"/>
    <n v="0.3"/>
    <s v="Tech Manager/Líder"/>
    <s v="Otras Tec."/>
    <s v="Legacy :power Builder"/>
    <e v="#NAME?"/>
    <e v="#NAME?"/>
    <e v="#NAME?"/>
    <m/>
    <m/>
    <m/>
    <m/>
    <m/>
    <m/>
    <m/>
    <m/>
    <m/>
  </r>
  <r>
    <s v="C782982"/>
    <s v="ANA CONSUELO TRASLAVIÑA"/>
    <s v="CIB &amp; COMEX - FIDUCIARIA"/>
    <x v="1"/>
    <s v="BBVA"/>
    <e v="#NAME?"/>
    <x v="32"/>
    <n v="0.1"/>
    <s v="Tech Manager/Líder"/>
    <s v="Otras Tec."/>
    <s v="Legacy :power Builder"/>
    <e v="#NAME?"/>
    <e v="#NAME?"/>
    <e v="#NAME?"/>
    <m/>
    <m/>
    <m/>
    <m/>
    <m/>
    <m/>
    <m/>
    <m/>
    <m/>
  </r>
  <r>
    <s v="CE43166"/>
    <s v="DEYSON EMIR MURILLO MORENO"/>
    <s v="CIB &amp; COMEX - FIDUCIARIA"/>
    <x v="1"/>
    <s v="Tecnoevolución"/>
    <e v="#NAME?"/>
    <x v="32"/>
    <n v="0.25"/>
    <s v="Tech Manager/Líder"/>
    <s v="Otras Tec."/>
    <s v="Legacy :power Builder"/>
    <e v="#NAME?"/>
    <e v="#NAME?"/>
    <e v="#NAME?"/>
    <m/>
    <m/>
    <m/>
    <m/>
    <m/>
    <m/>
    <m/>
    <m/>
    <m/>
  </r>
  <r>
    <s v="CE43166"/>
    <s v="DEYSON EMIR MURILLO MORENO"/>
    <s v="CIB &amp; COMEX - FIDUCIARIA"/>
    <x v="1"/>
    <s v="Tecnoevolución"/>
    <e v="#NAME?"/>
    <x v="12"/>
    <n v="0.25"/>
    <s v="Tech Manager/Líder"/>
    <s v="Otras Tec."/>
    <s v="Legacy :power Builder"/>
    <e v="#NAME?"/>
    <e v="#NAME?"/>
    <e v="#NAME?"/>
    <m/>
    <m/>
    <m/>
    <m/>
    <m/>
    <m/>
    <m/>
    <m/>
    <m/>
  </r>
  <r>
    <s v="CE69376"/>
    <s v="_x0009_LIZETH DUEÑAS"/>
    <s v="CIB &amp; COMEX - FIDUCIARIA"/>
    <x v="1"/>
    <s v="Tecnoevolución"/>
    <e v="#NAME?"/>
    <x v="32"/>
    <n v="0.25"/>
    <s v="Otros"/>
    <s v="Otras Tec."/>
    <s v="Legacy :power Builder"/>
    <e v="#NAME?"/>
    <e v="#NAME?"/>
    <e v="#NAME?"/>
    <m/>
    <m/>
    <m/>
    <m/>
    <m/>
    <m/>
    <m/>
    <m/>
    <m/>
  </r>
  <r>
    <s v="CE69376"/>
    <s v="_x0009_LIZETH DUEÑAS"/>
    <s v="CIB &amp; COMEX - FIDUCIARIA"/>
    <x v="1"/>
    <s v="Tecnoevolución"/>
    <e v="#NAME?"/>
    <x v="12"/>
    <n v="0.25"/>
    <s v="Otros"/>
    <s v="Otras Tec."/>
    <s v="Legacy :power Builder"/>
    <e v="#NAME?"/>
    <e v="#NAME?"/>
    <e v="#NAME?"/>
    <m/>
    <m/>
    <m/>
    <m/>
    <m/>
    <m/>
    <m/>
    <m/>
    <m/>
  </r>
  <r>
    <s v="CE69380"/>
    <s v="_x0009_DIOCLECIANO LOPÉZ"/>
    <s v="CIB &amp; COMEX - FIDUCIARIA"/>
    <x v="1"/>
    <s v="Tecnoevolución"/>
    <e v="#NAME?"/>
    <x v="12"/>
    <n v="0.5"/>
    <s v="Desarrollador"/>
    <s v="Otras Tec."/>
    <s v="Legacy :power Builder"/>
    <e v="#NAME?"/>
    <e v="#NAME?"/>
    <e v="#NAME?"/>
    <m/>
    <m/>
    <m/>
    <m/>
    <m/>
    <m/>
    <m/>
    <m/>
    <m/>
  </r>
  <r>
    <s v="CE69380"/>
    <s v="_x0009_DIOCLECIANO LOPÉZ"/>
    <s v="CIB &amp; COMEX - FIDUCIARIA"/>
    <x v="1"/>
    <s v="Tecnoevolución"/>
    <e v="#NAME?"/>
    <x v="34"/>
    <n v="0.3"/>
    <s v="Desarrollador"/>
    <s v="Otras Tec."/>
    <s v="Legacy :power Builder"/>
    <e v="#NAME?"/>
    <e v="#NAME?"/>
    <e v="#NAME?"/>
    <m/>
    <m/>
    <m/>
    <m/>
    <m/>
    <m/>
    <m/>
    <m/>
    <m/>
  </r>
  <r>
    <s v="CE69377"/>
    <s v="CESAR EUCLIDES MURILLO CAICEDO"/>
    <s v="CIB &amp; COMEX - FIDUCIARIA"/>
    <x v="1"/>
    <s v="Tecnoevolución"/>
    <e v="#NAME?"/>
    <x v="12"/>
    <n v="0.4"/>
    <s v="Desarrollador"/>
    <s v="Otras Tec."/>
    <s v="Legacy :power Builder"/>
    <e v="#NAME?"/>
    <e v="#NAME?"/>
    <e v="#NAME?"/>
    <m/>
    <m/>
    <m/>
    <m/>
    <m/>
    <m/>
    <m/>
    <m/>
    <m/>
  </r>
  <r>
    <s v="CE64877"/>
    <s v="LUIS GUILLERMO SANCHEZ"/>
    <s v="CIB &amp; COMEX - FIDUCIARIA"/>
    <x v="1"/>
    <s v="Tecnoevolución"/>
    <e v="#NAME?"/>
    <x v="32"/>
    <n v="0.3"/>
    <s v="Desarrollador"/>
    <s v="Otras Tec."/>
    <s v="Legacy :power Builder"/>
    <e v="#NAME?"/>
    <e v="#NAME?"/>
    <e v="#NAME?"/>
    <m/>
    <m/>
    <m/>
    <m/>
    <m/>
    <m/>
    <m/>
    <m/>
    <m/>
  </r>
  <r>
    <s v="CE64378"/>
    <s v="SANTIAGO ALEJANDRO CORREDOR"/>
    <s v="CIB &amp; COMEX - FIDUCIARIA"/>
    <x v="1"/>
    <s v="Tecnoevolución"/>
    <e v="#NAME?"/>
    <x v="33"/>
    <n v="0.25"/>
    <s v="Tech Manager/Líder"/>
    <s v="Otras Tec."/>
    <s v="Legacy :power Builder"/>
    <e v="#NAME?"/>
    <e v="#NAME?"/>
    <e v="#NAME?"/>
    <m/>
    <m/>
    <m/>
    <m/>
    <m/>
    <m/>
    <m/>
    <m/>
    <m/>
  </r>
  <r>
    <s v="CE64378"/>
    <s v="SANTIAGO ALEJANDRO CORREDOR"/>
    <s v="CIB &amp; COMEX - FIDUCIARIA"/>
    <x v="1"/>
    <s v="Tecnoevolución"/>
    <e v="#NAME?"/>
    <x v="34"/>
    <n v="0.25"/>
    <s v="Tech Manager/Líder"/>
    <s v="Otras Tec."/>
    <s v="Legacy :power Builder"/>
    <e v="#NAME?"/>
    <e v="#NAME?"/>
    <e v="#NAME?"/>
    <m/>
    <m/>
    <m/>
    <m/>
    <m/>
    <m/>
    <m/>
    <m/>
    <m/>
  </r>
  <r>
    <s v="CE55477"/>
    <s v="LIZZETH PAOLA FORERO"/>
    <s v="ENTERPRISE"/>
    <x v="4"/>
    <s v="Choucair"/>
    <e v="#NAME?"/>
    <x v="3"/>
    <n v="1"/>
    <s v="QA"/>
    <s v="Distribuido"/>
    <m/>
    <e v="#NAME?"/>
    <e v="#NAME?"/>
    <e v="#NAME?"/>
    <m/>
    <m/>
    <m/>
    <m/>
    <m/>
    <m/>
    <m/>
    <m/>
    <m/>
  </r>
  <r>
    <s v="T002794"/>
    <s v="OSVALDO JAVIER LOPEZ CASTILLO"/>
    <s v="ENTERPRISE"/>
    <x v="4"/>
    <s v="DIMENSION"/>
    <e v="#NAME?"/>
    <x v="3"/>
    <n v="1"/>
    <s v="Desarrollador"/>
    <s v="Distribuido"/>
    <m/>
    <e v="#NAME?"/>
    <e v="#NAME?"/>
    <e v="#NAME?"/>
    <m/>
    <m/>
    <m/>
    <m/>
    <m/>
    <m/>
    <m/>
    <m/>
    <m/>
  </r>
  <r>
    <s v="CE69114"/>
    <s v="SERGIO LUIS DIAZ TORO"/>
    <s v="ENTERPRISE"/>
    <x v="4"/>
    <s v="DIMENSION"/>
    <e v="#NAME?"/>
    <x v="3"/>
    <n v="1"/>
    <s v="Desarrollador"/>
    <s v="Distribuido"/>
    <m/>
    <e v="#NAME?"/>
    <e v="#NAME?"/>
    <e v="#NAME?"/>
    <m/>
    <m/>
    <m/>
    <m/>
    <m/>
    <m/>
    <m/>
    <m/>
    <m/>
  </r>
  <r>
    <s v="O001973"/>
    <s v="MANUEL ESTEBAN MORENO"/>
    <s v="ENTERPRISE"/>
    <x v="4"/>
    <s v="BBVA"/>
    <e v="#NAME?"/>
    <x v="3"/>
    <n v="1"/>
    <s v="Desarrollador"/>
    <s v="Distribuido"/>
    <m/>
    <e v="#NAME?"/>
    <e v="#NAME?"/>
    <e v="#NAME?"/>
    <m/>
    <m/>
    <m/>
    <m/>
    <m/>
    <m/>
    <m/>
    <m/>
    <m/>
  </r>
  <r>
    <s v="C805971"/>
    <s v="CARLOS EDUARDO BELLO"/>
    <s v="ENTERPRISE"/>
    <x v="4"/>
    <s v="BBVA"/>
    <e v="#NAME?"/>
    <x v="3"/>
    <n v="1"/>
    <s v="Desarrollador"/>
    <s v="Distribuido"/>
    <m/>
    <e v="#NAME?"/>
    <e v="#NAME?"/>
    <e v="#NAME?"/>
    <m/>
    <m/>
    <m/>
    <m/>
    <m/>
    <m/>
    <m/>
    <m/>
    <m/>
  </r>
  <r>
    <s v="C805925"/>
    <s v="GUSTAVO ANDRES CAMARGO"/>
    <s v="ENTERPRISE"/>
    <x v="4"/>
    <s v="BBVA"/>
    <e v="#NAME?"/>
    <x v="3"/>
    <n v="0.75"/>
    <s v="Desarrollador"/>
    <s v="Otras Tec."/>
    <m/>
    <e v="#NAME?"/>
    <e v="#NAME?"/>
    <e v="#NAME?"/>
    <m/>
    <m/>
    <m/>
    <m/>
    <m/>
    <m/>
    <m/>
    <m/>
    <m/>
  </r>
  <r>
    <s v="C810899"/>
    <s v="BRAYAN JOSE VIVAS GOMEZ"/>
    <s v="ENTERPRISE"/>
    <x v="4"/>
    <s v="BBVA"/>
    <e v="#NAME?"/>
    <x v="3"/>
    <n v="1"/>
    <s v="Tech Manager/Líder"/>
    <s v="Distribuido"/>
    <m/>
    <e v="#NAME?"/>
    <e v="#NAME?"/>
    <e v="#NAME?"/>
    <m/>
    <m/>
    <m/>
    <m/>
    <m/>
    <m/>
    <m/>
    <m/>
    <m/>
  </r>
  <r>
    <s v="C802949"/>
    <s v="NESTOR EDUARDO SILVA VERGARA "/>
    <s v="CFS"/>
    <x v="5"/>
    <s v="BBVA"/>
    <e v="#NAME?"/>
    <x v="3"/>
    <n v="1"/>
    <s v="Tech Manager/Líder"/>
    <s v="Mainframe"/>
    <m/>
    <e v="#NAME?"/>
    <e v="#NAME?"/>
    <e v="#NAME?"/>
    <m/>
    <m/>
    <m/>
    <m/>
    <m/>
    <m/>
    <m/>
    <m/>
    <m/>
  </r>
  <r>
    <s v="O000118"/>
    <s v="JONATHAN ANGEL MURCIA"/>
    <s v="CFS"/>
    <x v="5"/>
    <s v="BBVA"/>
    <e v="#NAME?"/>
    <x v="3"/>
    <n v="1"/>
    <s v="Desarrollador"/>
    <s v="Distribuido"/>
    <m/>
    <e v="#NAME?"/>
    <e v="#NAME?"/>
    <e v="#NAME?"/>
    <m/>
    <m/>
    <m/>
    <m/>
    <m/>
    <m/>
    <m/>
    <m/>
    <m/>
  </r>
  <r>
    <s v="O001384"/>
    <s v="JUAN DAVID GONZALEZ MONROY"/>
    <s v="CFS"/>
    <x v="5"/>
    <s v="BBVA"/>
    <e v="#NAME?"/>
    <x v="3"/>
    <n v="1"/>
    <s v="Desarrollador"/>
    <s v="Mainframe"/>
    <m/>
    <e v="#NAME?"/>
    <e v="#NAME?"/>
    <e v="#NAME?"/>
    <m/>
    <m/>
    <m/>
    <m/>
    <m/>
    <m/>
    <m/>
    <m/>
    <m/>
  </r>
  <r>
    <s v="T002204"/>
    <s v="CARLOS ANDRES BETANCUR MARIN"/>
    <s v="CFS"/>
    <x v="5"/>
    <s v="Indra"/>
    <e v="#NAME?"/>
    <x v="3"/>
    <n v="1"/>
    <s v="Tech Manager/Líder"/>
    <s v="Mainframe"/>
    <m/>
    <e v="#NAME?"/>
    <e v="#NAME?"/>
    <e v="#NAME?"/>
    <m/>
    <m/>
    <m/>
    <m/>
    <m/>
    <m/>
    <m/>
    <m/>
    <m/>
  </r>
  <r>
    <s v="CE64919"/>
    <s v="MYRIAM GARCIA HERNANDEZ"/>
    <s v="CFS"/>
    <x v="5"/>
    <s v="Indra"/>
    <e v="#NAME?"/>
    <x v="3"/>
    <n v="1"/>
    <s v="Desarrollador"/>
    <s v="Mainframe"/>
    <m/>
    <e v="#NAME?"/>
    <e v="#NAME?"/>
    <e v="#NAME?"/>
    <m/>
    <m/>
    <m/>
    <m/>
    <m/>
    <m/>
    <m/>
    <m/>
    <m/>
  </r>
  <r>
    <s v="CE68692"/>
    <s v="JORGE ROBINSON MENESES GUTIERREZ"/>
    <s v="CFS"/>
    <x v="5"/>
    <s v="Indra"/>
    <e v="#NAME?"/>
    <x v="3"/>
    <n v="1"/>
    <s v="Desarrollador"/>
    <s v="Distribuido"/>
    <m/>
    <e v="#NAME?"/>
    <e v="#NAME?"/>
    <e v="#NAME?"/>
    <m/>
    <m/>
    <m/>
    <m/>
    <m/>
    <m/>
    <m/>
    <m/>
    <m/>
  </r>
  <r>
    <s v="CE62655"/>
    <s v="DIEGO FRANCISCO FLORES DIAZ"/>
    <s v="CFS"/>
    <x v="5"/>
    <s v="Indra"/>
    <e v="#NAME?"/>
    <x v="3"/>
    <n v="1"/>
    <s v="Desarrollador"/>
    <s v="Distribuido"/>
    <m/>
    <e v="#NAME?"/>
    <e v="#NAME?"/>
    <e v="#NAME?"/>
    <m/>
    <m/>
    <m/>
    <m/>
    <m/>
    <m/>
    <m/>
    <m/>
    <m/>
  </r>
  <r>
    <s v="CE60804"/>
    <s v="ALVARO IVAN BARRIOS PINEDA"/>
    <s v="CFS"/>
    <x v="5"/>
    <s v="Indra"/>
    <e v="#NAME?"/>
    <x v="3"/>
    <n v="0.5"/>
    <s v="Desarrollador"/>
    <s v="Mainframe"/>
    <s v="Se comparte con Torre de Analitycs "/>
    <e v="#NAME?"/>
    <e v="#NAME?"/>
    <e v="#NAME?"/>
    <m/>
    <m/>
    <m/>
    <m/>
    <m/>
    <m/>
    <m/>
    <m/>
    <m/>
  </r>
  <r>
    <s v="CE66288"/>
    <s v="LAURA VALENTINA RINCON RODRIGUEZ"/>
    <s v="CFS"/>
    <x v="5"/>
    <s v="GGI / CMC"/>
    <e v="#NAME?"/>
    <x v="3"/>
    <n v="1"/>
    <s v="QA"/>
    <s v="Mainframe"/>
    <m/>
    <e v="#NAME?"/>
    <e v="#NAME?"/>
    <e v="#NAME?"/>
    <m/>
    <m/>
    <m/>
    <m/>
    <m/>
    <m/>
    <m/>
    <m/>
    <m/>
  </r>
  <r>
    <s v="O003229"/>
    <s v="ARMANDO RAFAEL VASQUEZ ALTAMAR"/>
    <s v="CFS"/>
    <x v="6"/>
    <s v="BBVA"/>
    <e v="#NAME?"/>
    <x v="35"/>
    <n v="0.1"/>
    <s v="Tech Manager/Líder"/>
    <s v="Otras Tec."/>
    <m/>
    <e v="#NAME?"/>
    <e v="#NAME?"/>
    <e v="#NAME?"/>
    <m/>
    <m/>
    <m/>
    <m/>
    <m/>
    <m/>
    <m/>
    <m/>
    <m/>
  </r>
  <r>
    <s v="O003229"/>
    <s v="ARMANDO RAFAEL VASQUEZ ALTAMAR"/>
    <s v="CFS"/>
    <x v="6"/>
    <s v="BBVA"/>
    <e v="#NAME?"/>
    <x v="36"/>
    <n v="0.1"/>
    <s v="Tech Manager/Líder"/>
    <s v="Otras Tec."/>
    <m/>
    <e v="#NAME?"/>
    <e v="#NAME?"/>
    <e v="#NAME?"/>
    <m/>
    <m/>
    <m/>
    <m/>
    <m/>
    <m/>
    <m/>
    <m/>
    <m/>
  </r>
  <r>
    <s v="O003229"/>
    <s v="ARMANDO RAFAEL VASQUEZ ALTAMAR"/>
    <s v="CFS"/>
    <x v="6"/>
    <s v="BBVA"/>
    <e v="#NAME?"/>
    <x v="37"/>
    <n v="0.1"/>
    <s v="Tech Manager/Líder"/>
    <s v="Otras Tec."/>
    <m/>
    <e v="#NAME?"/>
    <e v="#NAME?"/>
    <e v="#NAME?"/>
    <m/>
    <m/>
    <m/>
    <m/>
    <m/>
    <m/>
    <m/>
    <m/>
    <m/>
  </r>
  <r>
    <s v="O003229"/>
    <s v="ARMANDO RAFAEL VASQUEZ ALTAMAR"/>
    <s v="CFS"/>
    <x v="6"/>
    <s v="BBVA"/>
    <e v="#NAME?"/>
    <x v="38"/>
    <n v="0.25"/>
    <s v="Tech Manager/Líder"/>
    <s v="Otras Tec."/>
    <m/>
    <e v="#NAME?"/>
    <e v="#NAME?"/>
    <e v="#NAME?"/>
    <m/>
    <m/>
    <m/>
    <m/>
    <m/>
    <m/>
    <m/>
    <m/>
    <m/>
  </r>
  <r>
    <s v="O003230"/>
    <s v="ARMANDO RAFAEL VASQUEZ ALTAMAR"/>
    <s v="CFS"/>
    <x v="6"/>
    <s v="BBVA"/>
    <e v="#NAME?"/>
    <x v="39"/>
    <n v="0.25"/>
    <s v="Tech Manager/Líder"/>
    <s v="Otras Tec."/>
    <m/>
    <e v="#NAME?"/>
    <e v="#NAME?"/>
    <e v="#NAME?"/>
    <m/>
    <m/>
    <m/>
    <m/>
    <m/>
    <m/>
    <m/>
    <m/>
    <m/>
  </r>
  <r>
    <s v="O003231"/>
    <s v="ARMANDO RAFAEL VASQUEZ ALTAMAR"/>
    <s v="CFS"/>
    <x v="6"/>
    <s v="BBVA"/>
    <e v="#NAME?"/>
    <x v="40"/>
    <n v="0.1"/>
    <s v="Tech Manager/Líder"/>
    <s v="Otras Tec."/>
    <m/>
    <e v="#NAME?"/>
    <e v="#NAME?"/>
    <e v="#NAME?"/>
    <m/>
    <m/>
    <m/>
    <m/>
    <m/>
    <m/>
    <m/>
    <m/>
    <m/>
  </r>
  <r>
    <s v="O003232"/>
    <s v="ARMANDO RAFAEL VASQUEZ ALTAMAR"/>
    <s v="CFS"/>
    <x v="6"/>
    <s v="BBVA"/>
    <e v="#NAME?"/>
    <x v="41"/>
    <n v="0.1"/>
    <s v="Tech Manager/Líder"/>
    <s v="Otras Tec."/>
    <m/>
    <e v="#NAME?"/>
    <e v="#NAME?"/>
    <e v="#NAME?"/>
    <m/>
    <m/>
    <m/>
    <m/>
    <m/>
    <m/>
    <m/>
    <m/>
    <m/>
  </r>
  <r>
    <s v="C811263"/>
    <s v="Cardozo Castro Diana Carolina"/>
    <s v="CFS"/>
    <x v="6"/>
    <s v="BBVA"/>
    <e v="#NAME?"/>
    <x v="38"/>
    <n v="0.5"/>
    <s v="Desarrollador"/>
    <s v="Otras Tec."/>
    <m/>
    <e v="#NAME?"/>
    <e v="#NAME?"/>
    <e v="#NAME?"/>
    <m/>
    <m/>
    <m/>
    <m/>
    <m/>
    <m/>
    <m/>
    <m/>
    <m/>
  </r>
  <r>
    <s v="C811263"/>
    <s v="Cardozo Castro Diana Carolina"/>
    <s v="CFS"/>
    <x v="6"/>
    <s v="BBVA"/>
    <e v="#NAME?"/>
    <x v="39"/>
    <n v="0.5"/>
    <s v="Desarrollador"/>
    <s v="Otras Tec."/>
    <m/>
    <e v="#NAME?"/>
    <e v="#NAME?"/>
    <e v="#NAME?"/>
    <m/>
    <m/>
    <m/>
    <m/>
    <m/>
    <m/>
    <m/>
    <m/>
    <m/>
  </r>
  <r>
    <s v="T010294"/>
    <s v="Carlos Andres De la pava Jimenez"/>
    <s v="CFS"/>
    <x v="6"/>
    <s v="Novatec"/>
    <e v="#NAME?"/>
    <x v="35"/>
    <n v="1"/>
    <s v="Desarrollador"/>
    <s v="Otras Tec."/>
    <s v="Este Proyecto contiene  ASO, APX, CELLS, GCP"/>
    <e v="#NAME?"/>
    <e v="#NAME?"/>
    <e v="#NAME?"/>
    <m/>
    <m/>
    <m/>
    <m/>
    <m/>
    <m/>
    <m/>
    <m/>
    <m/>
  </r>
  <r>
    <s v="C341767"/>
    <s v="Cipagauta Rodriguez Edwin Guillermo"/>
    <s v="CFS"/>
    <x v="6"/>
    <s v="BBVA"/>
    <e v="#NAME?"/>
    <x v="37"/>
    <n v="0.5"/>
    <s v="Desarrollador"/>
    <s v="Otras Tec."/>
    <m/>
    <e v="#NAME?"/>
    <e v="#NAME?"/>
    <e v="#NAME?"/>
    <m/>
    <m/>
    <m/>
    <m/>
    <m/>
    <m/>
    <m/>
    <m/>
    <m/>
  </r>
  <r>
    <s v="C341767"/>
    <s v="Cipagauta Rodriguez Edwin Guillermo"/>
    <s v="CFS"/>
    <x v="6"/>
    <s v="BBVA"/>
    <e v="#NAME?"/>
    <x v="41"/>
    <n v="0.25"/>
    <s v="Desarrollador"/>
    <s v="Otras Tec."/>
    <m/>
    <e v="#NAME?"/>
    <e v="#NAME?"/>
    <e v="#NAME?"/>
    <m/>
    <m/>
    <m/>
    <m/>
    <m/>
    <m/>
    <m/>
    <m/>
    <m/>
  </r>
  <r>
    <s v="C341767"/>
    <s v="Cipagauta Rodriguez Edwin Guillermo"/>
    <s v="CFS"/>
    <x v="6"/>
    <s v="BBVA"/>
    <e v="#NAME?"/>
    <x v="40"/>
    <n v="0.25"/>
    <s v="Otros"/>
    <s v="Otras Tec."/>
    <m/>
    <e v="#NAME?"/>
    <e v="#NAME?"/>
    <e v="#NAME?"/>
    <m/>
    <m/>
    <m/>
    <m/>
    <m/>
    <m/>
    <m/>
    <m/>
    <m/>
  </r>
  <r>
    <s v="T002802"/>
    <s v="Diego Andrés Mateus Triana"/>
    <s v="CFS"/>
    <x v="6"/>
    <s v="Novatec"/>
    <e v="#NAME?"/>
    <x v="35"/>
    <n v="1"/>
    <s v="Desarrollador"/>
    <s v="Otras Tec."/>
    <s v="Este Proyecto contiene  ASO, APX, CELLS, GCP"/>
    <e v="#NAME?"/>
    <e v="#NAME?"/>
    <e v="#NAME?"/>
    <m/>
    <m/>
    <m/>
    <m/>
    <m/>
    <m/>
    <m/>
    <m/>
    <m/>
  </r>
  <r>
    <s v="T010289"/>
    <s v="Ever Alexander Bravo Vergara"/>
    <s v="CFS"/>
    <x v="6"/>
    <s v="Novatec"/>
    <e v="#NAME?"/>
    <x v="35"/>
    <n v="1"/>
    <s v="Desarrollador"/>
    <s v="Otras Tec."/>
    <s v="Este Proyecto contiene  ASO, APX, CELLS, GCP"/>
    <e v="#NAME?"/>
    <e v="#NAME?"/>
    <e v="#NAME?"/>
    <m/>
    <m/>
    <m/>
    <m/>
    <m/>
    <m/>
    <m/>
    <m/>
    <m/>
  </r>
  <r>
    <s v="CE70901"/>
    <s v="JUAN SEBASTIAN SANCHEZ"/>
    <s v="CFS"/>
    <x v="6"/>
    <s v="Novatec"/>
    <e v="#NAME?"/>
    <x v="35"/>
    <n v="1"/>
    <s v="Desarrollador"/>
    <s v="Otras Tec."/>
    <s v="Este Proyecto contiene  ASO, APX, CELLS, GCP"/>
    <e v="#NAME?"/>
    <e v="#NAME?"/>
    <e v="#NAME?"/>
    <m/>
    <m/>
    <m/>
    <m/>
    <m/>
    <m/>
    <m/>
    <m/>
    <m/>
  </r>
  <r>
    <s v="T002449"/>
    <s v="Manuel Camilo Sanchez Sevilla"/>
    <s v="CFS"/>
    <x v="6"/>
    <s v="Novatec"/>
    <e v="#NAME?"/>
    <x v="35"/>
    <n v="1"/>
    <s v="Desarrollador"/>
    <s v="Otras Tec."/>
    <s v="Este Proyecto contiene  ASO, APX, CELLS, GCP"/>
    <e v="#NAME?"/>
    <e v="#NAME?"/>
    <e v="#NAME?"/>
    <m/>
    <m/>
    <m/>
    <m/>
    <m/>
    <m/>
    <m/>
    <m/>
    <m/>
  </r>
  <r>
    <s v="C811290"/>
    <s v="Montana Castro Camilo Arturo"/>
    <s v="CFS"/>
    <x v="6"/>
    <s v="BBVA"/>
    <e v="#NAME?"/>
    <x v="36"/>
    <n v="1"/>
    <s v="Desarrollador"/>
    <s v="Otras Tec."/>
    <s v="Proyecto con dos feature"/>
    <e v="#NAME?"/>
    <e v="#NAME?"/>
    <e v="#NAME?"/>
    <m/>
    <m/>
    <m/>
    <m/>
    <m/>
    <m/>
    <m/>
    <m/>
    <m/>
  </r>
  <r>
    <s v="C804221"/>
    <s v="Quiroz Munoz Bryan Antonio"/>
    <s v="CFS"/>
    <x v="6"/>
    <s v="BBVA"/>
    <e v="#NAME?"/>
    <x v="35"/>
    <n v="1"/>
    <s v="Desarrollador"/>
    <s v="Otras Tec."/>
    <s v="Este proyecto contiene  ASO, APX, CELLS, GCP_x000a_Proyecto con 2 feature"/>
    <e v="#NAME?"/>
    <e v="#NAME?"/>
    <e v="#NAME?"/>
    <m/>
    <m/>
    <m/>
    <m/>
    <m/>
    <m/>
    <m/>
    <m/>
    <m/>
  </r>
  <r>
    <s v="CE66796"/>
    <s v="SANTIAGO SALAS CARRERA"/>
    <s v="CFS"/>
    <x v="6"/>
    <s v="Novatec"/>
    <e v="#NAME?"/>
    <x v="35"/>
    <n v="1"/>
    <s v="Desarrollador"/>
    <s v="Otras Tec."/>
    <s v="Este Proyecto contiene  ASO, APX, CELLS, GCP"/>
    <e v="#NAME?"/>
    <e v="#NAME?"/>
    <e v="#NAME?"/>
    <m/>
    <m/>
    <m/>
    <m/>
    <m/>
    <m/>
    <m/>
    <m/>
    <m/>
  </r>
  <r>
    <s v="C805333"/>
    <s v="Torres Laguado Juan Sebastian"/>
    <s v="CFS"/>
    <x v="6"/>
    <s v="BBVA"/>
    <e v="#NAME?"/>
    <x v="35"/>
    <n v="1"/>
    <s v="Desarrollador"/>
    <s v="Otras Tec."/>
    <s v="Este proyecto contiene  ASO, APX, CELLS, GCP_x000a_Proyecto con 2 feature"/>
    <e v="#NAME?"/>
    <e v="#NAME?"/>
    <e v="#NAME?"/>
    <m/>
    <m/>
    <m/>
    <m/>
    <m/>
    <m/>
    <m/>
    <m/>
    <m/>
  </r>
  <r>
    <s v="T010288"/>
    <s v="yeison andres consuegra vega"/>
    <s v="CFS"/>
    <x v="6"/>
    <s v="Novatec"/>
    <e v="#NAME?"/>
    <x v="35"/>
    <n v="1"/>
    <s v="Desarrollador"/>
    <s v="Otras Tec."/>
    <s v="Este Proyecto contiene  ASO, APX, CELLS, GCP"/>
    <e v="#NAME?"/>
    <e v="#NAME?"/>
    <e v="#NAME?"/>
    <m/>
    <m/>
    <m/>
    <m/>
    <m/>
    <m/>
    <m/>
    <m/>
    <m/>
  </r>
  <r>
    <s v="T003286"/>
    <s v="YURI VALENTINA MUÑOZ"/>
    <s v="CFS"/>
    <x v="6"/>
    <s v="Novatec"/>
    <e v="#NAME?"/>
    <x v="35"/>
    <n v="1"/>
    <s v="Desarrollador"/>
    <s v="Otras Tec."/>
    <s v="Este Proyecto contiene  ASO, APX, CELLS, GCP"/>
    <e v="#NAME?"/>
    <e v="#NAME?"/>
    <e v="#NAME?"/>
    <m/>
    <m/>
    <m/>
    <m/>
    <m/>
    <m/>
    <m/>
    <m/>
    <m/>
  </r>
  <r>
    <s v="C783729"/>
    <s v="MIGUEL ANTONIO GUIO ESPINOSA "/>
    <s v="CFS"/>
    <x v="7"/>
    <s v="BBVA"/>
    <e v="#NAME?"/>
    <x v="42"/>
    <n v="0.4"/>
    <s v="Tech Manager/Líder"/>
    <s v="Otras Tec."/>
    <m/>
    <e v="#NAME?"/>
    <e v="#NAME?"/>
    <e v="#NAME?"/>
    <m/>
    <m/>
    <m/>
    <m/>
    <m/>
    <m/>
    <m/>
    <m/>
    <m/>
  </r>
  <r>
    <s v="C783729"/>
    <s v="MIGUEL ANTONIO GUIO ESPINOSA "/>
    <s v="CFS"/>
    <x v="7"/>
    <s v="BBVA"/>
    <e v="#NAME?"/>
    <x v="43"/>
    <n v="0.1"/>
    <s v="Tech Manager/Líder"/>
    <s v="Otras Tec."/>
    <s v="Usuario  lo presentara en el WG del 30/03/2023"/>
    <e v="#NAME?"/>
    <e v="#NAME?"/>
    <e v="#NAME?"/>
    <m/>
    <m/>
    <m/>
    <m/>
    <m/>
    <m/>
    <m/>
    <m/>
    <m/>
  </r>
  <r>
    <s v="C783729"/>
    <s v="MIGUEL ANTONIO GUIO ESPINOSA "/>
    <s v="CFS"/>
    <x v="7"/>
    <s v="BBVA"/>
    <e v="#NAME?"/>
    <x v="44"/>
    <n v="0.1"/>
    <s v="Tech Manager/Líder"/>
    <s v="Otras Tec."/>
    <m/>
    <e v="#NAME?"/>
    <e v="#NAME?"/>
    <e v="#NAME?"/>
    <m/>
    <m/>
    <m/>
    <m/>
    <m/>
    <m/>
    <m/>
    <m/>
    <m/>
  </r>
  <r>
    <s v="C783729"/>
    <s v="MIGUEL ANTONIO GUIO ESPINOSA "/>
    <s v="CFS"/>
    <x v="7"/>
    <s v="BBVA"/>
    <e v="#NAME?"/>
    <x v="45"/>
    <n v="0.2"/>
    <s v="Tech Manager/Líder"/>
    <s v="Otras Tec."/>
    <m/>
    <e v="#NAME?"/>
    <e v="#NAME?"/>
    <e v="#NAME?"/>
    <m/>
    <m/>
    <m/>
    <m/>
    <m/>
    <m/>
    <m/>
    <m/>
    <m/>
  </r>
  <r>
    <s v="C783729"/>
    <s v="MIGUEL ANTONIO GUIO ESPINOSA "/>
    <s v="CFS"/>
    <x v="7"/>
    <s v="BBVA"/>
    <e v="#NAME?"/>
    <x v="46"/>
    <n v="0.1"/>
    <s v="Tech Manager/Líder"/>
    <s v="Otras Tec."/>
    <m/>
    <e v="#NAME?"/>
    <e v="#NAME?"/>
    <e v="#NAME?"/>
    <m/>
    <m/>
    <m/>
    <m/>
    <m/>
    <m/>
    <m/>
    <m/>
    <m/>
  </r>
  <r>
    <s v="C783729"/>
    <s v="MIGUEL ANTONIO GUIO ESPINOSA "/>
    <s v="CFS"/>
    <x v="7"/>
    <s v="BBVA"/>
    <e v="#NAME?"/>
    <x v="47"/>
    <n v="0.1"/>
    <s v="Tech Manager/Líder"/>
    <s v="Otras Tec."/>
    <m/>
    <e v="#NAME?"/>
    <e v="#NAME?"/>
    <e v="#NAME?"/>
    <m/>
    <m/>
    <m/>
    <m/>
    <m/>
    <m/>
    <m/>
    <m/>
    <m/>
  </r>
  <r>
    <s v="C808788"/>
    <s v="Pena Agudelo Rosario Elena"/>
    <s v="CFS"/>
    <x v="7"/>
    <s v="BBVA"/>
    <e v="#NAME?"/>
    <x v="42"/>
    <n v="0.4"/>
    <s v="Desarrollador"/>
    <s v="Distribuido"/>
    <m/>
    <e v="#NAME?"/>
    <e v="#NAME?"/>
    <e v="#NAME?"/>
    <m/>
    <m/>
    <m/>
    <m/>
    <m/>
    <m/>
    <m/>
    <m/>
    <m/>
  </r>
  <r>
    <s v="C808788"/>
    <s v="Pena Agudelo Rosario Elena"/>
    <s v="CFS"/>
    <x v="7"/>
    <s v="BBVA"/>
    <e v="#NAME?"/>
    <x v="43"/>
    <n v="0.1"/>
    <s v="Desarrollador"/>
    <s v="Distribuido"/>
    <s v="Usuario  lo presentara en el WG del 30/03/2023"/>
    <e v="#NAME?"/>
    <e v="#NAME?"/>
    <e v="#NAME?"/>
    <m/>
    <m/>
    <m/>
    <m/>
    <m/>
    <m/>
    <m/>
    <m/>
    <m/>
  </r>
  <r>
    <s v="C808788"/>
    <s v="Pena Agudelo Rosario Elena"/>
    <s v="CFS"/>
    <x v="7"/>
    <s v="BBVA"/>
    <e v="#NAME?"/>
    <x v="44"/>
    <n v="0.1"/>
    <s v="Desarrollador"/>
    <s v="Distribuido"/>
    <m/>
    <e v="#NAME?"/>
    <e v="#NAME?"/>
    <e v="#NAME?"/>
    <m/>
    <m/>
    <m/>
    <m/>
    <m/>
    <m/>
    <m/>
    <m/>
    <m/>
  </r>
  <r>
    <s v="C808788"/>
    <s v="Pena Agudelo Rosario Elena"/>
    <s v="CFS"/>
    <x v="7"/>
    <s v="BBVA"/>
    <e v="#NAME?"/>
    <x v="45"/>
    <n v="0.4"/>
    <s v="Desarrollador"/>
    <s v="Distribuido"/>
    <m/>
    <e v="#NAME?"/>
    <e v="#NAME?"/>
    <e v="#NAME?"/>
    <m/>
    <m/>
    <m/>
    <m/>
    <m/>
    <m/>
    <m/>
    <m/>
    <m/>
  </r>
  <r>
    <s v="C809493"/>
    <s v="Guzman Gonzalez Jorge Enrique"/>
    <s v="CFS"/>
    <x v="7"/>
    <s v="BBVA"/>
    <e v="#NAME?"/>
    <x v="42"/>
    <n v="0.3"/>
    <s v="Desarrollador"/>
    <s v="Mainframe"/>
    <m/>
    <e v="#NAME?"/>
    <e v="#NAME?"/>
    <e v="#NAME?"/>
    <m/>
    <m/>
    <m/>
    <m/>
    <m/>
    <m/>
    <m/>
    <m/>
    <m/>
  </r>
  <r>
    <s v="C809493"/>
    <s v="Guzman Gonzalez Jorge Enrique"/>
    <s v="CFS"/>
    <x v="7"/>
    <s v="BBVA"/>
    <e v="#NAME?"/>
    <x v="47"/>
    <n v="0.1"/>
    <s v="Desarrollador"/>
    <s v="Mainframe"/>
    <m/>
    <e v="#NAME?"/>
    <e v="#NAME?"/>
    <e v="#NAME?"/>
    <m/>
    <m/>
    <m/>
    <m/>
    <m/>
    <m/>
    <m/>
    <m/>
    <m/>
  </r>
  <r>
    <s v="C809493"/>
    <s v="Guzman Gonzalez Jorge Enrique"/>
    <s v="CFS"/>
    <x v="7"/>
    <s v="BBVA"/>
    <e v="#NAME?"/>
    <x v="45"/>
    <n v="0.5"/>
    <s v="Desarrollador"/>
    <s v="Mainframe"/>
    <m/>
    <e v="#NAME?"/>
    <e v="#NAME?"/>
    <e v="#NAME?"/>
    <m/>
    <m/>
    <m/>
    <m/>
    <m/>
    <m/>
    <m/>
    <m/>
    <m/>
  </r>
  <r>
    <s v="C809493"/>
    <s v="Guzman Gonzalez Jorge Enrique"/>
    <s v="CFS"/>
    <x v="7"/>
    <s v="BBVA"/>
    <e v="#NAME?"/>
    <x v="46"/>
    <n v="0.1"/>
    <s v="Desarrollador"/>
    <s v="Mainframe"/>
    <m/>
    <e v="#NAME?"/>
    <e v="#NAME?"/>
    <e v="#NAME?"/>
    <m/>
    <m/>
    <m/>
    <m/>
    <m/>
    <m/>
    <m/>
    <m/>
    <m/>
  </r>
  <r>
    <s v="O002594"/>
    <s v="CRISTIAN DAVID VARGAS SIERRA"/>
    <s v="CFS"/>
    <x v="7"/>
    <s v="BBVA"/>
    <e v="#NAME?"/>
    <x v="45"/>
    <n v="0.4"/>
    <s v="Desarrollador"/>
    <s v="Mainframe"/>
    <m/>
    <e v="#NAME?"/>
    <e v="#NAME?"/>
    <e v="#NAME?"/>
    <m/>
    <m/>
    <m/>
    <m/>
    <m/>
    <m/>
    <m/>
    <m/>
    <m/>
  </r>
  <r>
    <s v="O002594"/>
    <s v="CRISTIAN DAVID VARGAS SIERRA"/>
    <s v="CFS"/>
    <x v="7"/>
    <s v="BBVA"/>
    <e v="#NAME?"/>
    <x v="46"/>
    <n v="0.3"/>
    <s v="Desarrollador"/>
    <s v="Mainframe"/>
    <m/>
    <e v="#NAME?"/>
    <e v="#NAME?"/>
    <e v="#NAME?"/>
    <m/>
    <m/>
    <m/>
    <m/>
    <m/>
    <m/>
    <m/>
    <m/>
    <m/>
  </r>
  <r>
    <s v="O002594"/>
    <s v="CRISTIAN DAVID VARGAS SIERRA"/>
    <s v="CFS"/>
    <x v="7"/>
    <s v="BBVA"/>
    <e v="#NAME?"/>
    <x v="47"/>
    <n v="0.3"/>
    <s v="Desarrollador"/>
    <s v="Mainframe"/>
    <m/>
    <e v="#NAME?"/>
    <e v="#NAME?"/>
    <e v="#NAME?"/>
    <m/>
    <m/>
    <m/>
    <m/>
    <m/>
    <m/>
    <m/>
    <m/>
    <m/>
  </r>
  <r>
    <s v="CE63761"/>
    <s v="Carlos Andres Cely Vergara"/>
    <s v="CFS"/>
    <x v="7"/>
    <s v="MS"/>
    <e v="#NAME?"/>
    <x v="42"/>
    <n v="1"/>
    <s v="Desarrollador"/>
    <s v="Distribuido"/>
    <m/>
    <e v="#NAME?"/>
    <e v="#NAME?"/>
    <e v="#NAME?"/>
    <m/>
    <m/>
    <m/>
    <m/>
    <m/>
    <m/>
    <m/>
    <m/>
    <m/>
  </r>
  <r>
    <s v="T002735"/>
    <s v="CASTELLANOS RODRIGUEZ EDUARDO"/>
    <s v="CFS"/>
    <x v="7"/>
    <s v="CAPGEMINI"/>
    <e v="#NAME?"/>
    <x v="42"/>
    <n v="1"/>
    <s v="Desarrollador"/>
    <s v="Distribuido"/>
    <m/>
    <e v="#NAME?"/>
    <e v="#NAME?"/>
    <e v="#NAME?"/>
    <m/>
    <m/>
    <m/>
    <m/>
    <m/>
    <m/>
    <m/>
    <m/>
    <m/>
  </r>
  <r>
    <s v="T005769"/>
    <s v="Cesar Argenis Ruano Hernandez"/>
    <s v="CFS"/>
    <x v="7"/>
    <s v="CAPGEMINI"/>
    <e v="#NAME?"/>
    <x v="42"/>
    <n v="1"/>
    <s v="Desarrollador"/>
    <s v="Distribuido"/>
    <m/>
    <e v="#NAME?"/>
    <e v="#NAME?"/>
    <e v="#NAME?"/>
    <m/>
    <m/>
    <m/>
    <m/>
    <m/>
    <m/>
    <m/>
    <m/>
    <m/>
  </r>
  <r>
    <s v="CE62655"/>
    <s v="Diego Francisco Florez Diaz"/>
    <s v="CFS"/>
    <x v="7"/>
    <s v="Indra"/>
    <e v="#NAME?"/>
    <x v="48"/>
    <n v="0.5"/>
    <s v="Desarrollador"/>
    <s v="Distribuido"/>
    <m/>
    <e v="#NAME?"/>
    <e v="#NAME?"/>
    <e v="#NAME?"/>
    <m/>
    <m/>
    <m/>
    <m/>
    <m/>
    <m/>
    <m/>
    <m/>
    <m/>
  </r>
  <r>
    <s v="T005766"/>
    <s v="Iván Jonathan Romero Medina"/>
    <s v="CFS"/>
    <x v="7"/>
    <s v="CAPGEMINI"/>
    <e v="#NAME?"/>
    <x v="42"/>
    <n v="1"/>
    <s v="Desarrollador"/>
    <s v="Distribuido"/>
    <m/>
    <e v="#NAME?"/>
    <e v="#NAME?"/>
    <e v="#NAME?"/>
    <m/>
    <m/>
    <m/>
    <m/>
    <m/>
    <m/>
    <m/>
    <m/>
    <m/>
  </r>
  <r>
    <s v="CE56090"/>
    <s v="Jeisson Andres Tequia Rincon"/>
    <s v="CFS"/>
    <x v="7"/>
    <s v="MS"/>
    <e v="#NAME?"/>
    <x v="42"/>
    <n v="1"/>
    <s v="Desarrollador"/>
    <s v="Distribuido"/>
    <m/>
    <e v="#NAME?"/>
    <e v="#NAME?"/>
    <e v="#NAME?"/>
    <m/>
    <m/>
    <m/>
    <m/>
    <m/>
    <m/>
    <m/>
    <m/>
    <m/>
  </r>
  <r>
    <s v="T002734"/>
    <s v="MORENO MUNOZ EMMANUEL"/>
    <s v="CFS"/>
    <x v="7"/>
    <s v="CAPGEMINI"/>
    <e v="#NAME?"/>
    <x v="42"/>
    <n v="1"/>
    <s v="Desarrollador"/>
    <s v="Distribuido"/>
    <m/>
    <e v="#NAME?"/>
    <e v="#NAME?"/>
    <e v="#NAME?"/>
    <m/>
    <m/>
    <m/>
    <m/>
    <m/>
    <m/>
    <m/>
    <m/>
    <m/>
  </r>
  <r>
    <s v="T005765"/>
    <s v="Niteen Kumar Kanaiya"/>
    <s v="CFS"/>
    <x v="7"/>
    <s v="CAPGEMINI"/>
    <e v="#NAME?"/>
    <x v="42"/>
    <n v="1"/>
    <s v="Desarrollador"/>
    <s v="Distribuido"/>
    <m/>
    <e v="#NAME?"/>
    <e v="#NAME?"/>
    <e v="#NAME?"/>
    <m/>
    <m/>
    <m/>
    <m/>
    <m/>
    <m/>
    <m/>
    <m/>
    <m/>
  </r>
  <r>
    <s v="T005931"/>
    <s v="DANIEL MAURICIO RIANO PEDRAZA_x000a_"/>
    <s v="CFS"/>
    <x v="7"/>
    <s v="GGI / CMC"/>
    <e v="#NAME?"/>
    <x v="42"/>
    <n v="0.1"/>
    <s v="QA"/>
    <s v="Mainframe"/>
    <m/>
    <e v="#NAME?"/>
    <e v="#NAME?"/>
    <e v="#NAME?"/>
    <m/>
    <m/>
    <m/>
    <m/>
    <m/>
    <m/>
    <m/>
    <m/>
    <m/>
  </r>
  <r>
    <s v="T005931"/>
    <s v="DANIEL MAURICIO RIANO PEDRAZA_x000a_"/>
    <s v="CFS"/>
    <x v="7"/>
    <s v="GGI / CMC"/>
    <e v="#NAME?"/>
    <x v="43"/>
    <n v="0.1"/>
    <s v="QA"/>
    <s v="Mainframe"/>
    <s v="Usuario  lo presentara en el WG del 30/03/2023"/>
    <e v="#NAME?"/>
    <e v="#NAME?"/>
    <e v="#NAME?"/>
    <m/>
    <m/>
    <m/>
    <m/>
    <m/>
    <m/>
    <m/>
    <m/>
    <m/>
  </r>
  <r>
    <s v="T005931"/>
    <s v="DANIEL MAURICIO RIANO PEDRAZA_x000a_"/>
    <s v="CFS"/>
    <x v="7"/>
    <s v="GGI / CMC"/>
    <e v="#NAME?"/>
    <x v="45"/>
    <n v="0.1"/>
    <s v="QA"/>
    <s v="Mainframe"/>
    <m/>
    <e v="#NAME?"/>
    <e v="#NAME?"/>
    <e v="#NAME?"/>
    <m/>
    <m/>
    <m/>
    <m/>
    <m/>
    <m/>
    <m/>
    <m/>
    <m/>
  </r>
  <r>
    <s v="T005931"/>
    <s v="DANIEL MAURICIO RIANO PEDRAZA_x000a_"/>
    <s v="CFS"/>
    <x v="7"/>
    <s v="GGI / CMC"/>
    <e v="#NAME?"/>
    <x v="46"/>
    <n v="0.1"/>
    <s v="QA"/>
    <s v="Mainframe"/>
    <m/>
    <e v="#NAME?"/>
    <e v="#NAME?"/>
    <e v="#NAME?"/>
    <m/>
    <m/>
    <m/>
    <m/>
    <m/>
    <m/>
    <m/>
    <m/>
    <m/>
  </r>
  <r>
    <s v="CE68547"/>
    <s v="JOSE ROBERTO GONZALEZ MELO_x000a_"/>
    <s v="CFS"/>
    <x v="7"/>
    <s v="KRYPTO"/>
    <e v="#NAME?"/>
    <x v="42"/>
    <n v="0.1"/>
    <s v="QA"/>
    <s v="Mainframe"/>
    <m/>
    <e v="#NAME?"/>
    <e v="#NAME?"/>
    <e v="#NAME?"/>
    <m/>
    <m/>
    <m/>
    <m/>
    <m/>
    <m/>
    <m/>
    <m/>
    <m/>
  </r>
  <r>
    <s v="CE68547"/>
    <s v="JOSE ROBERTO GONZALEZ MELO_x000a_"/>
    <s v="CFS"/>
    <x v="7"/>
    <s v="KRYPTO"/>
    <e v="#NAME?"/>
    <x v="43"/>
    <n v="0.1"/>
    <s v="QA"/>
    <s v="Mainframe"/>
    <s v="Usuario  lo presentara en el WG del 30/03/2023"/>
    <e v="#NAME?"/>
    <e v="#NAME?"/>
    <e v="#NAME?"/>
    <m/>
    <m/>
    <m/>
    <m/>
    <m/>
    <m/>
    <m/>
    <m/>
    <m/>
  </r>
  <r>
    <s v="CE68547"/>
    <s v="JOSE ROBERTO GONZALEZ MELO_x000a_"/>
    <s v="CFS"/>
    <x v="7"/>
    <s v="KRYPTO"/>
    <e v="#NAME?"/>
    <x v="45"/>
    <n v="0.1"/>
    <s v="QA"/>
    <s v="Mainframe"/>
    <m/>
    <e v="#NAME?"/>
    <e v="#NAME?"/>
    <e v="#NAME?"/>
    <m/>
    <m/>
    <m/>
    <m/>
    <m/>
    <m/>
    <m/>
    <m/>
    <m/>
  </r>
  <r>
    <s v="CE68547"/>
    <s v="JOSE ROBERTO GONZALEZ MELO_x000a_"/>
    <s v="CFS"/>
    <x v="7"/>
    <s v="KRYPTO"/>
    <e v="#NAME?"/>
    <x v="46"/>
    <n v="0.1"/>
    <s v="QA"/>
    <s v="Mainframe"/>
    <m/>
    <e v="#NAME?"/>
    <e v="#NAME?"/>
    <e v="#NAME?"/>
    <m/>
    <m/>
    <m/>
    <m/>
    <m/>
    <m/>
    <m/>
    <m/>
    <m/>
  </r>
  <r>
    <s v="CE46213"/>
    <s v="DANIEL ANTONIO CAMACHO ARIZA"/>
    <s v="CFS"/>
    <x v="7"/>
    <s v="Neoris"/>
    <e v="#NAME?"/>
    <x v="45"/>
    <n v="1"/>
    <s v="Desarrollador"/>
    <s v="Mainframe"/>
    <m/>
    <e v="#NAME?"/>
    <e v="#NAME?"/>
    <e v="#NAME?"/>
    <m/>
    <m/>
    <m/>
    <m/>
    <m/>
    <m/>
    <m/>
    <m/>
    <m/>
  </r>
  <r>
    <s v="T000603"/>
    <s v="JEISSON ANDRES RUIZ MARTINEZ"/>
    <s v="CFS"/>
    <x v="7"/>
    <s v="Neoris"/>
    <e v="#NAME?"/>
    <x v="45"/>
    <n v="1"/>
    <s v="Desarrollador"/>
    <s v="Mainframe"/>
    <m/>
    <e v="#NAME?"/>
    <e v="#NAME?"/>
    <e v="#NAME?"/>
    <m/>
    <m/>
    <m/>
    <m/>
    <m/>
    <m/>
    <m/>
    <m/>
    <m/>
  </r>
  <r>
    <s v="CE70371"/>
    <s v="DANEL PULECIO GONZALEZ "/>
    <s v="CFS"/>
    <x v="7"/>
    <s v="Neoris"/>
    <e v="#NAME?"/>
    <x v="45"/>
    <n v="1"/>
    <s v="Desarrollador"/>
    <s v="Mainframe"/>
    <m/>
    <e v="#NAME?"/>
    <e v="#NAME?"/>
    <e v="#NAME?"/>
    <m/>
    <m/>
    <m/>
    <m/>
    <m/>
    <m/>
    <m/>
    <m/>
    <m/>
  </r>
  <r>
    <s v="C341759"/>
    <s v="CHRISTIAN EDUARDO DIAZ GARCIA "/>
    <s v="CFS"/>
    <x v="5"/>
    <s v="BBVA"/>
    <e v="#NAME?"/>
    <x v="49"/>
    <n v="0.05"/>
    <s v="Tech Manager/Líder"/>
    <s v="Mainframe"/>
    <m/>
    <e v="#NAME?"/>
    <e v="#NAME?"/>
    <e v="#NAME?"/>
    <m/>
    <m/>
    <m/>
    <m/>
    <m/>
    <m/>
    <m/>
    <m/>
    <m/>
  </r>
  <r>
    <s v="C341759"/>
    <s v="CHRISTIAN EDUARDO DIAZ GARCIA "/>
    <s v="CFS"/>
    <x v="5"/>
    <s v="BBVA"/>
    <e v="#NAME?"/>
    <x v="50"/>
    <n v="0.1"/>
    <s v="Tech Manager/Líder"/>
    <s v="Mainframe"/>
    <m/>
    <e v="#NAME?"/>
    <e v="#NAME?"/>
    <e v="#NAME?"/>
    <m/>
    <m/>
    <m/>
    <m/>
    <m/>
    <m/>
    <m/>
    <m/>
    <m/>
  </r>
  <r>
    <s v="C341759"/>
    <s v="CHRISTIAN EDUARDO DIAZ GARCIA "/>
    <s v="CFS"/>
    <x v="5"/>
    <s v="BBVA"/>
    <e v="#NAME?"/>
    <x v="51"/>
    <n v="0.1"/>
    <s v="Tech Manager/Líder"/>
    <s v="Mainframe"/>
    <m/>
    <e v="#NAME?"/>
    <e v="#NAME?"/>
    <e v="#NAME?"/>
    <m/>
    <m/>
    <m/>
    <m/>
    <m/>
    <m/>
    <m/>
    <m/>
    <m/>
  </r>
  <r>
    <s v="C341759"/>
    <s v="CHRISTIAN EDUARDO DIAZ GARCIA "/>
    <s v="CFS"/>
    <x v="5"/>
    <s v="BBVA"/>
    <e v="#NAME?"/>
    <x v="52"/>
    <n v="0.05"/>
    <s v="Tech Manager/Líder"/>
    <s v="Mainframe"/>
    <m/>
    <e v="#NAME?"/>
    <e v="#NAME?"/>
    <e v="#NAME?"/>
    <m/>
    <m/>
    <m/>
    <m/>
    <m/>
    <m/>
    <m/>
    <m/>
    <m/>
  </r>
  <r>
    <s v="C341759"/>
    <s v="CHRISTIAN EDUARDO DIAZ GARCIA "/>
    <s v="CFS"/>
    <x v="5"/>
    <s v="BBVA"/>
    <e v="#NAME?"/>
    <x v="53"/>
    <n v="0.1"/>
    <s v="Tech Manager/Líder"/>
    <s v="Mainframe"/>
    <m/>
    <e v="#NAME?"/>
    <e v="#NAME?"/>
    <e v="#NAME?"/>
    <m/>
    <m/>
    <m/>
    <m/>
    <m/>
    <m/>
    <m/>
    <m/>
    <m/>
  </r>
  <r>
    <s v="C341759"/>
    <s v="CHRISTIAN EDUARDO DIAZ GARCIA "/>
    <s v="CFS"/>
    <x v="5"/>
    <s v="BBVA"/>
    <e v="#NAME?"/>
    <x v="1"/>
    <n v="0.1"/>
    <s v="Tech Manager/Líder"/>
    <s v="Mainframe"/>
    <m/>
    <e v="#NAME?"/>
    <e v="#NAME?"/>
    <e v="#NAME?"/>
    <m/>
    <m/>
    <m/>
    <m/>
    <m/>
    <m/>
    <m/>
    <m/>
    <m/>
  </r>
  <r>
    <s v="C341759"/>
    <s v="CHRISTIAN EDUARDO DIAZ GARCIA "/>
    <s v="CFS"/>
    <x v="5"/>
    <s v="BBVA"/>
    <e v="#NAME?"/>
    <x v="54"/>
    <n v="0.05"/>
    <s v="Tech Manager/Líder"/>
    <s v="Mainframe"/>
    <m/>
    <e v="#NAME?"/>
    <e v="#NAME?"/>
    <e v="#NAME?"/>
    <m/>
    <m/>
    <m/>
    <m/>
    <m/>
    <m/>
    <m/>
    <m/>
    <m/>
  </r>
  <r>
    <s v="C341759"/>
    <s v="CHRISTIAN EDUARDO DIAZ GARCIA "/>
    <s v="CFS"/>
    <x v="5"/>
    <s v="BBVA"/>
    <e v="#NAME?"/>
    <x v="55"/>
    <n v="0.05"/>
    <s v="Tech Manager/Líder"/>
    <s v="Mainframe"/>
    <m/>
    <e v="#NAME?"/>
    <e v="#NAME?"/>
    <e v="#NAME?"/>
    <m/>
    <m/>
    <m/>
    <m/>
    <m/>
    <m/>
    <m/>
    <m/>
    <m/>
  </r>
  <r>
    <s v="C341759"/>
    <s v="CHRISTIAN EDUARDO DIAZ GARCIA "/>
    <s v="CFS"/>
    <x v="5"/>
    <s v="BBVA"/>
    <e v="#NAME?"/>
    <x v="56"/>
    <n v="0.1"/>
    <s v="Tech Manager/Líder"/>
    <s v="Mainframe"/>
    <m/>
    <e v="#NAME?"/>
    <e v="#NAME?"/>
    <e v="#NAME?"/>
    <m/>
    <m/>
    <m/>
    <m/>
    <m/>
    <m/>
    <m/>
    <m/>
    <m/>
  </r>
  <r>
    <s v="C341759"/>
    <s v="CHRISTIAN EDUARDO DIAZ GARCIA "/>
    <s v="CFS"/>
    <x v="5"/>
    <s v="BBVA"/>
    <e v="#NAME?"/>
    <x v="57"/>
    <n v="0.05"/>
    <s v="Tech Manager/Líder"/>
    <s v="Mainframe"/>
    <m/>
    <e v="#NAME?"/>
    <e v="#NAME?"/>
    <e v="#NAME?"/>
    <m/>
    <m/>
    <m/>
    <m/>
    <m/>
    <m/>
    <m/>
    <m/>
    <m/>
  </r>
  <r>
    <s v="C341759"/>
    <s v="CHRISTIAN EDUARDO DIAZ GARCIA "/>
    <s v="CFS"/>
    <x v="5"/>
    <s v="BBVA"/>
    <e v="#NAME?"/>
    <x v="58"/>
    <n v="0.05"/>
    <s v="Tech Manager/Líder"/>
    <s v="Mainframe"/>
    <s v="Tiene Staffing pero no se ha presentado en el WG"/>
    <e v="#NAME?"/>
    <e v="#NAME?"/>
    <e v="#NAME?"/>
    <m/>
    <m/>
    <m/>
    <m/>
    <m/>
    <m/>
    <m/>
    <m/>
    <m/>
  </r>
  <r>
    <s v="C341759"/>
    <s v="CHRISTIAN EDUARDO DIAZ GARCIA "/>
    <s v="CFS"/>
    <x v="5"/>
    <s v="BBVA"/>
    <e v="#NAME?"/>
    <x v="59"/>
    <n v="0.05"/>
    <s v="Tech Manager/Líder"/>
    <s v="Mainframe"/>
    <m/>
    <e v="#NAME?"/>
    <e v="#NAME?"/>
    <e v="#NAME?"/>
    <m/>
    <m/>
    <m/>
    <m/>
    <m/>
    <m/>
    <m/>
    <m/>
    <m/>
  </r>
  <r>
    <s v="C341759"/>
    <s v="CHRISTIAN EDUARDO DIAZ GARCIA "/>
    <s v="CFS"/>
    <x v="5"/>
    <s v="BBVA"/>
    <e v="#NAME?"/>
    <x v="60"/>
    <n v="0.05"/>
    <s v="Tech Manager/Líder"/>
    <s v="Mainframe"/>
    <s v="Tiene Staffing pero no se ha presentado en el WG"/>
    <e v="#NAME?"/>
    <e v="#NAME?"/>
    <e v="#NAME?"/>
    <m/>
    <m/>
    <m/>
    <m/>
    <m/>
    <m/>
    <m/>
    <m/>
    <m/>
  </r>
  <r>
    <s v="C341759"/>
    <s v="CHRISTIAN EDUARDO DIAZ GARCIA "/>
    <s v="CFS"/>
    <x v="5"/>
    <s v="BBVA"/>
    <e v="#NAME?"/>
    <x v="61"/>
    <n v="0.05"/>
    <s v="Tech Manager/Líder"/>
    <s v="Mainframe"/>
    <m/>
    <e v="#NAME?"/>
    <e v="#NAME?"/>
    <e v="#NAME?"/>
    <m/>
    <m/>
    <m/>
    <m/>
    <m/>
    <m/>
    <m/>
    <m/>
    <m/>
  </r>
  <r>
    <s v="C341759"/>
    <s v="CHRISTIAN EDUARDO DIAZ GARCIA "/>
    <s v="CFS"/>
    <x v="5"/>
    <s v="BBVA"/>
    <e v="#NAME?"/>
    <x v="62"/>
    <n v="0.05"/>
    <s v="Tech Manager/Líder"/>
    <s v="Mainframe"/>
    <m/>
    <e v="#NAME?"/>
    <e v="#NAME?"/>
    <e v="#NAME?"/>
    <m/>
    <m/>
    <m/>
    <m/>
    <m/>
    <m/>
    <m/>
    <m/>
    <m/>
  </r>
  <r>
    <s v="O001639"/>
    <s v="DAVID ANDRES RODRIGUEZ BAEZ"/>
    <s v="CFS"/>
    <x v="5"/>
    <s v="BBVA"/>
    <e v="#NAME?"/>
    <x v="48"/>
    <n v="0.25"/>
    <s v="Desarrollador"/>
    <s v="Distribuido"/>
    <s v="Tiene Staffing pero no se ha presentado en el WG"/>
    <e v="#NAME?"/>
    <e v="#NAME?"/>
    <e v="#NAME?"/>
    <m/>
    <m/>
    <m/>
    <m/>
    <m/>
    <m/>
    <m/>
    <m/>
    <m/>
  </r>
  <r>
    <s v="O001639"/>
    <s v="DAVID ANDRES RODRIGUEZ BAEZ"/>
    <s v="CFS"/>
    <x v="5"/>
    <s v="BBVA"/>
    <e v="#NAME?"/>
    <x v="1"/>
    <n v="0.5"/>
    <s v="Desarrollador"/>
    <s v="Distribuido"/>
    <m/>
    <e v="#NAME?"/>
    <e v="#NAME?"/>
    <e v="#NAME?"/>
    <m/>
    <m/>
    <m/>
    <m/>
    <m/>
    <m/>
    <m/>
    <m/>
    <m/>
  </r>
  <r>
    <s v="O001639"/>
    <s v="DAVID ANDRES RODRIGUEZ BAEZ"/>
    <s v="CFS"/>
    <x v="5"/>
    <s v="BBVA"/>
    <e v="#NAME?"/>
    <x v="56"/>
    <n v="0.25"/>
    <s v="Desarrollador"/>
    <s v="Distribuido"/>
    <m/>
    <e v="#NAME?"/>
    <e v="#NAME?"/>
    <e v="#NAME?"/>
    <m/>
    <m/>
    <m/>
    <m/>
    <m/>
    <m/>
    <m/>
    <m/>
    <m/>
  </r>
  <r>
    <s v="C809546"/>
    <s v="GOMEZ CUADRADO JENNY PAOLA"/>
    <s v="CFS"/>
    <x v="5"/>
    <s v="BBVA"/>
    <e v="#NAME?"/>
    <x v="48"/>
    <n v="0.05"/>
    <s v="Desarrollador"/>
    <s v="Mainframe"/>
    <s v="Tiene Staffing pero no se ha presentado en el WG"/>
    <e v="#NAME?"/>
    <e v="#NAME?"/>
    <e v="#NAME?"/>
    <m/>
    <m/>
    <m/>
    <m/>
    <m/>
    <m/>
    <m/>
    <m/>
    <m/>
  </r>
  <r>
    <s v="C809546"/>
    <s v="GOMEZ CUADRADO JENNY PAOLA"/>
    <s v="CFS"/>
    <x v="5"/>
    <s v="BBVA"/>
    <e v="#NAME?"/>
    <x v="54"/>
    <n v="0.05"/>
    <s v="Desarrollador"/>
    <s v="Mainframe"/>
    <m/>
    <e v="#NAME?"/>
    <e v="#NAME?"/>
    <e v="#NAME?"/>
    <m/>
    <m/>
    <m/>
    <m/>
    <m/>
    <m/>
    <m/>
    <m/>
    <m/>
  </r>
  <r>
    <s v="C809546"/>
    <s v="GOMEZ CUADRADO JENNY PAOLA"/>
    <s v="CFS"/>
    <x v="5"/>
    <s v="BBVA"/>
    <e v="#NAME?"/>
    <x v="55"/>
    <n v="0.05"/>
    <s v="Desarrollador"/>
    <s v="Mainframe"/>
    <m/>
    <e v="#NAME?"/>
    <e v="#NAME?"/>
    <e v="#NAME?"/>
    <m/>
    <m/>
    <m/>
    <m/>
    <m/>
    <m/>
    <m/>
    <m/>
    <m/>
  </r>
  <r>
    <s v="C809546"/>
    <s v="GOMEZ CUADRADO JENNY PAOLA"/>
    <s v="CFS"/>
    <x v="5"/>
    <s v="BBVA"/>
    <e v="#NAME?"/>
    <x v="53"/>
    <n v="0.05"/>
    <s v="Desarrollador"/>
    <s v="Mainframe"/>
    <m/>
    <e v="#NAME?"/>
    <e v="#NAME?"/>
    <e v="#NAME?"/>
    <m/>
    <m/>
    <m/>
    <m/>
    <m/>
    <m/>
    <m/>
    <m/>
    <m/>
  </r>
  <r>
    <s v="C809546"/>
    <s v="GOMEZ CUADRADO JENNY PAOLA"/>
    <s v="CFS"/>
    <x v="5"/>
    <s v="BBVA"/>
    <e v="#NAME?"/>
    <x v="50"/>
    <n v="0.05"/>
    <s v="Desarrollador"/>
    <s v="Mainframe"/>
    <m/>
    <e v="#NAME?"/>
    <e v="#NAME?"/>
    <e v="#NAME?"/>
    <m/>
    <m/>
    <m/>
    <m/>
    <m/>
    <m/>
    <m/>
    <m/>
    <m/>
  </r>
  <r>
    <s v="C809546"/>
    <s v="GOMEZ CUADRADO JENNY PAOLA"/>
    <s v="CFS"/>
    <x v="5"/>
    <s v="BBVA"/>
    <e v="#NAME?"/>
    <x v="57"/>
    <n v="0.75"/>
    <s v="Desarrollador"/>
    <s v="Mainframe"/>
    <m/>
    <e v="#NAME?"/>
    <e v="#NAME?"/>
    <e v="#NAME?"/>
    <m/>
    <m/>
    <m/>
    <m/>
    <m/>
    <m/>
    <m/>
    <m/>
    <m/>
  </r>
  <r>
    <s v="C811405"/>
    <s v="JUAN DAVID MONTERO BOGOTA"/>
    <s v="CFS"/>
    <x v="5"/>
    <s v="BBVA"/>
    <e v="#NAME?"/>
    <x v="49"/>
    <n v="1"/>
    <s v="Desarrollador"/>
    <s v="Distribuido"/>
    <m/>
    <e v="#NAME?"/>
    <e v="#NAME?"/>
    <e v="#NAME?"/>
    <m/>
    <m/>
    <m/>
    <m/>
    <m/>
    <m/>
    <m/>
    <m/>
    <m/>
  </r>
  <r>
    <s v="C804743"/>
    <s v="MILENA MARGARITA GONZALEZ PARRA "/>
    <s v="CFS"/>
    <x v="5"/>
    <s v="BBVA"/>
    <e v="#NAME?"/>
    <x v="61"/>
    <n v="0.05"/>
    <s v="Desarrollador"/>
    <s v="Distribuido"/>
    <m/>
    <e v="#NAME?"/>
    <e v="#NAME?"/>
    <e v="#NAME?"/>
    <m/>
    <m/>
    <m/>
    <m/>
    <m/>
    <m/>
    <m/>
    <m/>
    <m/>
  </r>
  <r>
    <s v="C804743"/>
    <s v="MILENA MARGARITA GONZALEZ PARRA "/>
    <s v="CFS"/>
    <x v="5"/>
    <s v="BBVA"/>
    <e v="#NAME?"/>
    <x v="57"/>
    <n v="0.25"/>
    <s v="Desarrollador"/>
    <s v="Distribuido"/>
    <m/>
    <e v="#NAME?"/>
    <e v="#NAME?"/>
    <e v="#NAME?"/>
    <m/>
    <m/>
    <m/>
    <m/>
    <m/>
    <m/>
    <m/>
    <m/>
    <m/>
  </r>
  <r>
    <s v="C804743"/>
    <s v="MILENA MARGARITA GONZALEZ PARRA "/>
    <s v="CFS"/>
    <x v="5"/>
    <s v="BBVA"/>
    <e v="#NAME?"/>
    <x v="49"/>
    <n v="0.7"/>
    <s v="Desarrollador"/>
    <s v="Distribuido"/>
    <m/>
    <e v="#NAME?"/>
    <e v="#NAME?"/>
    <e v="#NAME?"/>
    <m/>
    <m/>
    <m/>
    <m/>
    <m/>
    <m/>
    <m/>
    <m/>
    <m/>
  </r>
  <r>
    <s v="C343619"/>
    <s v="REY GOMEZ ANDRES CAMILO"/>
    <s v="CFS"/>
    <x v="5"/>
    <s v="BBVA"/>
    <e v="#NAME?"/>
    <x v="51"/>
    <n v="0.25"/>
    <s v="Desarrollador"/>
    <s v="Mainframe"/>
    <m/>
    <e v="#NAME?"/>
    <e v="#NAME?"/>
    <e v="#NAME?"/>
    <m/>
    <m/>
    <m/>
    <m/>
    <m/>
    <m/>
    <m/>
    <m/>
    <m/>
  </r>
  <r>
    <s v="C343619"/>
    <s v="REY GOMEZ ANDRES CAMILO"/>
    <s v="CFS"/>
    <x v="5"/>
    <s v="BBVA"/>
    <e v="#NAME?"/>
    <x v="50"/>
    <n v="0.25"/>
    <s v="Desarrollador"/>
    <s v="Mainframe"/>
    <m/>
    <e v="#NAME?"/>
    <e v="#NAME?"/>
    <e v="#NAME?"/>
    <m/>
    <m/>
    <m/>
    <m/>
    <m/>
    <m/>
    <m/>
    <m/>
    <m/>
  </r>
  <r>
    <s v="C343619"/>
    <s v="REY GOMEZ ANDRES CAMILO"/>
    <s v="CFS"/>
    <x v="5"/>
    <s v="BBVA"/>
    <e v="#NAME?"/>
    <x v="52"/>
    <n v="0.25"/>
    <s v="Desarrollador"/>
    <s v="Mainframe"/>
    <m/>
    <e v="#NAME?"/>
    <e v="#NAME?"/>
    <e v="#NAME?"/>
    <m/>
    <m/>
    <m/>
    <m/>
    <m/>
    <m/>
    <m/>
    <m/>
    <m/>
  </r>
  <r>
    <s v="C343619"/>
    <s v="REY GOMEZ ANDRES CAMILO"/>
    <s v="CFS"/>
    <x v="5"/>
    <s v="BBVA"/>
    <e v="#NAME?"/>
    <x v="53"/>
    <n v="0.25"/>
    <s v="Desarrollador"/>
    <s v="Mainframe"/>
    <m/>
    <e v="#NAME?"/>
    <e v="#NAME?"/>
    <e v="#NAME?"/>
    <m/>
    <m/>
    <m/>
    <m/>
    <m/>
    <m/>
    <m/>
    <m/>
    <m/>
  </r>
  <r>
    <s v="O003311"/>
    <s v="VACA BERNAL JAIRO ALEXIS"/>
    <s v="CFS"/>
    <x v="5"/>
    <s v="BBVA"/>
    <e v="#NAME?"/>
    <x v="32"/>
    <n v="0.5"/>
    <s v="Desarrollador"/>
    <s v="Mainframe"/>
    <m/>
    <e v="#NAME?"/>
    <e v="#NAME?"/>
    <e v="#NAME?"/>
    <m/>
    <m/>
    <m/>
    <m/>
    <m/>
    <m/>
    <m/>
    <m/>
    <m/>
  </r>
  <r>
    <s v="O003311"/>
    <s v="VACA BERNAL JAIRO ALEXIS"/>
    <s v="CFS"/>
    <x v="5"/>
    <s v="BBVA"/>
    <e v="#NAME?"/>
    <x v="60"/>
    <n v="0.05"/>
    <s v="Desarrollador"/>
    <s v="Mainframe"/>
    <s v="Tiene Staffing pero no se ha presentado en el WG"/>
    <e v="#NAME?"/>
    <e v="#NAME?"/>
    <e v="#NAME?"/>
    <m/>
    <m/>
    <m/>
    <m/>
    <m/>
    <m/>
    <m/>
    <m/>
    <m/>
  </r>
  <r>
    <s v="O003311"/>
    <s v="VACA BERNAL JAIRO ALEXIS"/>
    <s v="CFS"/>
    <x v="5"/>
    <s v="BBVA"/>
    <e v="#NAME?"/>
    <x v="61"/>
    <n v="0.25"/>
    <s v="Desarrollador"/>
    <s v="Mainframe"/>
    <m/>
    <e v="#NAME?"/>
    <e v="#NAME?"/>
    <e v="#NAME?"/>
    <m/>
    <m/>
    <m/>
    <m/>
    <m/>
    <m/>
    <m/>
    <m/>
    <m/>
  </r>
  <r>
    <s v="O003311"/>
    <s v="VACA BERNAL JAIRO ALEXIS"/>
    <s v="CFS"/>
    <x v="5"/>
    <s v="BBVA"/>
    <e v="#NAME?"/>
    <x v="62"/>
    <n v="0.2"/>
    <s v="Desarrollador"/>
    <s v="Mainframe"/>
    <m/>
    <e v="#NAME?"/>
    <e v="#NAME?"/>
    <e v="#NAME?"/>
    <m/>
    <m/>
    <m/>
    <m/>
    <m/>
    <m/>
    <m/>
    <m/>
    <m/>
  </r>
  <r>
    <s v="C803834"/>
    <s v="VIVIANA ALARCON TORRES"/>
    <s v="CFS"/>
    <x v="5"/>
    <s v="BBVA"/>
    <e v="#NAME?"/>
    <x v="59"/>
    <n v="0.25"/>
    <s v="Desarrollador"/>
    <s v="Distribuido"/>
    <s v="En revision con dominio por cuanto debe estar "/>
    <e v="#NAME?"/>
    <e v="#NAME?"/>
    <e v="#NAME?"/>
    <m/>
    <m/>
    <m/>
    <m/>
    <m/>
    <m/>
    <m/>
    <m/>
    <m/>
  </r>
  <r>
    <s v="C803834"/>
    <s v="VIVIANA ALARCON TORRES"/>
    <s v="CFS"/>
    <x v="5"/>
    <s v="BBVA"/>
    <e v="#NAME?"/>
    <x v="57"/>
    <n v="0.5"/>
    <s v="Desarrollador"/>
    <s v="Distribuido"/>
    <m/>
    <e v="#NAME?"/>
    <e v="#NAME?"/>
    <e v="#NAME?"/>
    <m/>
    <m/>
    <m/>
    <m/>
    <m/>
    <m/>
    <m/>
    <m/>
    <m/>
  </r>
  <r>
    <s v="C803834"/>
    <s v="VIVIANA ALARCON TORRES"/>
    <s v="CFS"/>
    <x v="5"/>
    <s v="BBVA"/>
    <e v="#NAME?"/>
    <x v="32"/>
    <n v="0.15"/>
    <s v="Desarrollador"/>
    <s v="Distribuido"/>
    <m/>
    <e v="#NAME?"/>
    <e v="#NAME?"/>
    <e v="#NAME?"/>
    <m/>
    <m/>
    <m/>
    <m/>
    <m/>
    <m/>
    <m/>
    <m/>
    <m/>
  </r>
  <r>
    <s v="C803834"/>
    <s v="VIVIANA ALARCON TORRES"/>
    <s v="CFS"/>
    <x v="5"/>
    <s v="BBVA"/>
    <e v="#NAME?"/>
    <x v="61"/>
    <n v="0.1"/>
    <s v="Desarrollador"/>
    <s v="Distribuido"/>
    <m/>
    <e v="#NAME?"/>
    <e v="#NAME?"/>
    <e v="#NAME?"/>
    <m/>
    <m/>
    <m/>
    <m/>
    <m/>
    <m/>
    <m/>
    <m/>
    <m/>
  </r>
  <r>
    <s v="C808860"/>
    <s v="ZARATE PAVAS JOHN JAIRO"/>
    <s v="CFS"/>
    <x v="5"/>
    <s v="BBVA"/>
    <e v="#NAME?"/>
    <x v="53"/>
    <n v="0.1"/>
    <s v="Desarrollador"/>
    <s v="Mainframe"/>
    <m/>
    <e v="#NAME?"/>
    <e v="#NAME?"/>
    <e v="#NAME?"/>
    <m/>
    <m/>
    <m/>
    <m/>
    <m/>
    <m/>
    <m/>
    <m/>
    <m/>
  </r>
  <r>
    <s v="C808860"/>
    <s v="ZARATE PAVAS JOHN JAIRO"/>
    <s v="CFS"/>
    <x v="5"/>
    <s v="BBVA"/>
    <e v="#NAME?"/>
    <x v="50"/>
    <n v="0.05"/>
    <s v="Desarrollador"/>
    <s v="Mainframe"/>
    <m/>
    <e v="#NAME?"/>
    <e v="#NAME?"/>
    <e v="#NAME?"/>
    <m/>
    <m/>
    <m/>
    <m/>
    <m/>
    <m/>
    <m/>
    <m/>
    <m/>
  </r>
  <r>
    <s v="C808860"/>
    <s v="ZARATE PAVAS JOHN JAIRO"/>
    <s v="CFS"/>
    <x v="5"/>
    <s v="BBVA"/>
    <e v="#NAME?"/>
    <x v="51"/>
    <n v="0.5"/>
    <s v="Desarrollador"/>
    <s v="Mainframe"/>
    <m/>
    <e v="#NAME?"/>
    <e v="#NAME?"/>
    <e v="#NAME?"/>
    <m/>
    <m/>
    <m/>
    <m/>
    <m/>
    <m/>
    <m/>
    <m/>
    <m/>
  </r>
  <r>
    <s v="C808860"/>
    <s v="ZARATE PAVAS JOHN JAIRO"/>
    <s v="CFS"/>
    <x v="5"/>
    <s v="BBVA"/>
    <e v="#NAME?"/>
    <x v="52"/>
    <n v="0.1"/>
    <s v="Desarrollador"/>
    <s v="Mainframe"/>
    <m/>
    <e v="#NAME?"/>
    <e v="#NAME?"/>
    <e v="#NAME?"/>
    <m/>
    <m/>
    <m/>
    <m/>
    <m/>
    <m/>
    <m/>
    <m/>
    <m/>
  </r>
  <r>
    <s v="C808860"/>
    <s v="ZARATE PAVAS JOHN JAIRO"/>
    <s v="CFS"/>
    <x v="5"/>
    <s v="BBVA"/>
    <e v="#NAME?"/>
    <x v="1"/>
    <n v="0.25"/>
    <s v="Desarrollador"/>
    <s v="Mainframe"/>
    <m/>
    <e v="#NAME?"/>
    <e v="#NAME?"/>
    <e v="#NAME?"/>
    <m/>
    <m/>
    <m/>
    <m/>
    <m/>
    <m/>
    <m/>
    <m/>
    <m/>
  </r>
  <r>
    <s v="C810765"/>
    <s v="ANGELA MARIA DIAZ PEÑA "/>
    <s v="CFS"/>
    <x v="5"/>
    <s v="BBVA"/>
    <e v="#NAME?"/>
    <x v="53"/>
    <n v="0.5"/>
    <s v="QA"/>
    <s v="Mainframe"/>
    <s v="QC con otros equipos, por ejm Riesgos "/>
    <e v="#NAME?"/>
    <e v="#NAME?"/>
    <e v="#NAME?"/>
    <m/>
    <m/>
    <m/>
    <m/>
    <m/>
    <m/>
    <m/>
    <m/>
    <m/>
  </r>
  <r>
    <s v="C810765"/>
    <s v="ANGELA MARIA DIAZ PEÑA "/>
    <s v="CFS"/>
    <x v="8"/>
    <s v="BBVA"/>
    <e v="#NAME?"/>
    <x v="3"/>
    <n v="0.5"/>
    <s v="QA"/>
    <s v="Mainframe"/>
    <m/>
    <e v="#NAME?"/>
    <e v="#NAME?"/>
    <e v="#NAME?"/>
    <m/>
    <m/>
    <m/>
    <m/>
    <m/>
    <m/>
    <m/>
    <m/>
    <m/>
  </r>
  <r>
    <s v="CE66053"/>
    <s v="Andres Francisco Duarte Sanchez"/>
    <s v="CFS"/>
    <x v="5"/>
    <s v="GGI / CMC"/>
    <e v="#NAME?"/>
    <x v="52"/>
    <n v="1"/>
    <s v="Desarrollador"/>
    <s v="Distribuido"/>
    <m/>
    <e v="#NAME?"/>
    <e v="#NAME?"/>
    <e v="#NAME?"/>
    <m/>
    <m/>
    <m/>
    <m/>
    <m/>
    <m/>
    <m/>
    <m/>
    <m/>
  </r>
  <r>
    <s v="T005396"/>
    <s v="Andres Leonardo Ramirez Sanchez"/>
    <s v="CFS"/>
    <x v="5"/>
    <s v="GGI / CMC"/>
    <e v="#NAME?"/>
    <x v="53"/>
    <n v="1"/>
    <s v="Desarrollador"/>
    <s v="Mainframe"/>
    <m/>
    <e v="#NAME?"/>
    <e v="#NAME?"/>
    <e v="#NAME?"/>
    <m/>
    <m/>
    <m/>
    <m/>
    <m/>
    <m/>
    <m/>
    <m/>
    <m/>
  </r>
  <r>
    <s v="T005394"/>
    <s v="Eder Alberto Niño Mora"/>
    <s v="CFS"/>
    <x v="5"/>
    <s v="GGI / CMC"/>
    <e v="#NAME?"/>
    <x v="53"/>
    <n v="1"/>
    <s v="Desarrollador"/>
    <s v="Mainframe"/>
    <m/>
    <e v="#NAME?"/>
    <e v="#NAME?"/>
    <e v="#NAME?"/>
    <m/>
    <m/>
    <m/>
    <m/>
    <m/>
    <m/>
    <m/>
    <m/>
    <m/>
  </r>
  <r>
    <s v="CE69136"/>
    <s v="Jeisson Steven Rincon Mellizo"/>
    <s v="CFS"/>
    <x v="5"/>
    <s v="GGI / CMC"/>
    <e v="#NAME?"/>
    <x v="50"/>
    <n v="1"/>
    <s v="Desarrollador"/>
    <s v="Mainframe"/>
    <m/>
    <e v="#NAME?"/>
    <e v="#NAME?"/>
    <e v="#NAME?"/>
    <m/>
    <m/>
    <m/>
    <m/>
    <m/>
    <m/>
    <m/>
    <m/>
    <m/>
  </r>
  <r>
    <s v="T005393"/>
    <s v="Juan Pablo Ahumada Avila"/>
    <s v="CFS"/>
    <x v="5"/>
    <s v="GGI / CMC"/>
    <e v="#NAME?"/>
    <x v="51"/>
    <n v="1"/>
    <s v="Desarrollador"/>
    <s v="Distribuido"/>
    <m/>
    <e v="#NAME?"/>
    <e v="#NAME?"/>
    <e v="#NAME?"/>
    <m/>
    <m/>
    <m/>
    <m/>
    <m/>
    <m/>
    <m/>
    <m/>
    <m/>
  </r>
  <r>
    <s v="T005395"/>
    <s v="Leidy Johanna Ospina Rodriguez"/>
    <s v="CFS"/>
    <x v="5"/>
    <s v="GGI / CMC"/>
    <e v="#NAME?"/>
    <x v="52"/>
    <n v="1"/>
    <s v="Desarrollador"/>
    <s v="Mainframe"/>
    <m/>
    <e v="#NAME?"/>
    <e v="#NAME?"/>
    <e v="#NAME?"/>
    <m/>
    <m/>
    <m/>
    <m/>
    <m/>
    <m/>
    <m/>
    <m/>
    <m/>
  </r>
  <r>
    <s v="CE70161"/>
    <s v="Luis Alberto Caldera Chavez"/>
    <s v="CFS"/>
    <x v="5"/>
    <s v="GGI / CMC"/>
    <e v="#NAME?"/>
    <x v="50"/>
    <n v="1"/>
    <s v="Desarrollador"/>
    <s v="Mainframe"/>
    <m/>
    <e v="#NAME?"/>
    <e v="#NAME?"/>
    <e v="#NAME?"/>
    <m/>
    <m/>
    <m/>
    <m/>
    <m/>
    <m/>
    <m/>
    <m/>
    <m/>
  </r>
  <r>
    <s v="CE52035"/>
    <s v="Orlando Salvador Mora Andrade"/>
    <s v="CFS"/>
    <x v="5"/>
    <s v="GGI / CMC"/>
    <e v="#NAME?"/>
    <x v="50"/>
    <n v="0.25"/>
    <s v="Tech Manager/Líder"/>
    <s v="Distribuido"/>
    <m/>
    <e v="#NAME?"/>
    <e v="#NAME?"/>
    <e v="#NAME?"/>
    <m/>
    <m/>
    <m/>
    <m/>
    <m/>
    <m/>
    <m/>
    <m/>
    <m/>
  </r>
  <r>
    <s v="CE52035"/>
    <s v="Orlando Salvador Mora Andrade"/>
    <s v="CFS"/>
    <x v="5"/>
    <s v="GGI / CMC"/>
    <e v="#NAME?"/>
    <x v="52"/>
    <n v="0.25"/>
    <s v="Tech Manager/Líder"/>
    <s v="Mainframe"/>
    <m/>
    <e v="#NAME?"/>
    <e v="#NAME?"/>
    <e v="#NAME?"/>
    <m/>
    <m/>
    <m/>
    <m/>
    <m/>
    <m/>
    <m/>
    <m/>
    <m/>
  </r>
  <r>
    <s v="CE52035"/>
    <s v="Orlando Salvador Mora Andrade"/>
    <s v="CFS"/>
    <x v="5"/>
    <s v="GGI / CMC"/>
    <e v="#NAME?"/>
    <x v="53"/>
    <n v="0.25"/>
    <s v="Tech Manager/Líder"/>
    <s v="Distribuido"/>
    <m/>
    <e v="#NAME?"/>
    <e v="#NAME?"/>
    <e v="#NAME?"/>
    <m/>
    <m/>
    <m/>
    <m/>
    <m/>
    <m/>
    <m/>
    <m/>
    <m/>
  </r>
  <r>
    <s v="CE52035"/>
    <s v="Orlando Salvador Mora Andrade"/>
    <s v="CFS"/>
    <x v="5"/>
    <s v="GGI / CMC"/>
    <e v="#NAME?"/>
    <x v="51"/>
    <n v="0.25"/>
    <s v="Tech Manager/Líder"/>
    <s v="Mainframe"/>
    <m/>
    <e v="#NAME?"/>
    <e v="#NAME?"/>
    <e v="#NAME?"/>
    <m/>
    <m/>
    <m/>
    <m/>
    <m/>
    <m/>
    <m/>
    <m/>
    <m/>
  </r>
  <r>
    <s v="CE27209"/>
    <s v="Oscar Manuel Diaz Fique"/>
    <s v="CFS"/>
    <x v="5"/>
    <s v="GGI / CMC"/>
    <e v="#NAME?"/>
    <x v="53"/>
    <n v="1"/>
    <s v="Desarrollador"/>
    <s v="Mainframe"/>
    <m/>
    <e v="#NAME?"/>
    <e v="#NAME?"/>
    <e v="#NAME?"/>
    <m/>
    <m/>
    <m/>
    <m/>
    <m/>
    <m/>
    <m/>
    <m/>
    <m/>
  </r>
  <r>
    <s v="CE58625"/>
    <s v="Ronald David Lara Hernandez"/>
    <s v="CFS"/>
    <x v="5"/>
    <s v="GGI / CMC"/>
    <e v="#NAME?"/>
    <x v="53"/>
    <n v="1"/>
    <s v="Desarrollador"/>
    <s v="Mainframe"/>
    <m/>
    <e v="#NAME?"/>
    <e v="#NAME?"/>
    <e v="#NAME?"/>
    <m/>
    <m/>
    <m/>
    <m/>
    <m/>
    <m/>
    <m/>
    <m/>
    <m/>
  </r>
  <r>
    <s v="T004566"/>
    <s v="Walther Mauricio Guerrero"/>
    <s v="CFS"/>
    <x v="5"/>
    <s v="GGI / CMC"/>
    <e v="#NAME?"/>
    <x v="51"/>
    <n v="1"/>
    <s v="Desarrollador"/>
    <s v="Mainframe"/>
    <m/>
    <e v="#NAME?"/>
    <e v="#NAME?"/>
    <e v="#NAME?"/>
    <m/>
    <m/>
    <m/>
    <m/>
    <m/>
    <m/>
    <m/>
    <m/>
    <m/>
  </r>
  <r>
    <s v="CE66458"/>
    <s v="ROBERTO CARLOS NIETO SUAREZ"/>
    <s v="CFS"/>
    <x v="5"/>
    <s v="Inetum"/>
    <e v="#NAME?"/>
    <x v="51"/>
    <n v="1"/>
    <s v="QA"/>
    <s v="Mainframe"/>
    <m/>
    <e v="#NAME?"/>
    <e v="#NAME?"/>
    <e v="#NAME?"/>
    <m/>
    <m/>
    <m/>
    <m/>
    <m/>
    <m/>
    <m/>
    <m/>
    <m/>
  </r>
  <r>
    <s v="CE67101"/>
    <s v="IVETTE AYCHELL MONROY SUAREZ"/>
    <s v="CFS"/>
    <x v="5"/>
    <s v="Inetum"/>
    <e v="#NAME?"/>
    <x v="50"/>
    <n v="1"/>
    <s v="QA"/>
    <s v="Mainframe"/>
    <m/>
    <e v="#NAME?"/>
    <e v="#NAME?"/>
    <e v="#NAME?"/>
    <m/>
    <m/>
    <m/>
    <m/>
    <m/>
    <m/>
    <m/>
    <m/>
    <m/>
  </r>
  <r>
    <s v="CE64507"/>
    <s v="DANIEL ESTEBAN MORENO CARRILLO"/>
    <s v="CFS"/>
    <x v="5"/>
    <s v="Inetum"/>
    <e v="#NAME?"/>
    <x v="52"/>
    <n v="1"/>
    <s v="QA"/>
    <s v="Mainframe"/>
    <m/>
    <e v="#NAME?"/>
    <e v="#NAME?"/>
    <e v="#NAME?"/>
    <m/>
    <m/>
    <m/>
    <m/>
    <m/>
    <m/>
    <m/>
    <m/>
    <m/>
  </r>
  <r>
    <s v="CE59467"/>
    <s v="NORMA CECILIA MORENO GONZALEZ"/>
    <s v="CFS"/>
    <x v="5"/>
    <s v="Inetum"/>
    <e v="#NAME?"/>
    <x v="53"/>
    <n v="1"/>
    <s v="QA"/>
    <s v="Mainframe"/>
    <m/>
    <e v="#NAME?"/>
    <e v="#NAME?"/>
    <e v="#NAME?"/>
    <m/>
    <m/>
    <m/>
    <m/>
    <m/>
    <m/>
    <m/>
    <m/>
    <m/>
  </r>
  <r>
    <s v="CE66798"/>
    <s v="ANGIE CAROLINA MORALES DUENAS"/>
    <s v="CFS"/>
    <x v="5"/>
    <s v="Choucair"/>
    <e v="#NAME?"/>
    <x v="53"/>
    <n v="1"/>
    <s v="QA"/>
    <s v="Mainframe"/>
    <m/>
    <e v="#NAME?"/>
    <e v="#NAME?"/>
    <e v="#NAME?"/>
    <m/>
    <m/>
    <m/>
    <m/>
    <m/>
    <m/>
    <m/>
    <m/>
    <m/>
  </r>
  <r>
    <s v="T005931"/>
    <s v="DANIEL MAURICIO RIANO PEDRAZA_x000a_"/>
    <s v="CFS"/>
    <x v="5"/>
    <s v="GGI / CMC"/>
    <e v="#NAME?"/>
    <x v="49"/>
    <n v="0.1"/>
    <s v="QA"/>
    <s v="Mainframe"/>
    <m/>
    <e v="#NAME?"/>
    <e v="#NAME?"/>
    <e v="#NAME?"/>
    <m/>
    <m/>
    <m/>
    <m/>
    <m/>
    <m/>
    <m/>
    <m/>
    <m/>
  </r>
  <r>
    <s v="T005931"/>
    <s v="DANIEL MAURICIO RIANO PEDRAZA_x000a_"/>
    <s v="CFS"/>
    <x v="5"/>
    <s v="GGI / CMC"/>
    <e v="#NAME?"/>
    <x v="32"/>
    <n v="0.1"/>
    <s v="QA"/>
    <s v="Mainframe"/>
    <m/>
    <e v="#NAME?"/>
    <e v="#NAME?"/>
    <e v="#NAME?"/>
    <m/>
    <m/>
    <m/>
    <m/>
    <m/>
    <m/>
    <m/>
    <m/>
    <m/>
  </r>
  <r>
    <s v="T005931"/>
    <s v="DANIEL MAURICIO RIANO PEDRAZA_x000a_"/>
    <s v="CFS"/>
    <x v="5"/>
    <s v="GGI / CMC"/>
    <e v="#NAME?"/>
    <x v="61"/>
    <n v="0.1"/>
    <s v="QA"/>
    <s v="Mainframe"/>
    <m/>
    <e v="#NAME?"/>
    <e v="#NAME?"/>
    <e v="#NAME?"/>
    <m/>
    <m/>
    <m/>
    <m/>
    <m/>
    <m/>
    <m/>
    <m/>
    <m/>
  </r>
  <r>
    <s v="T005931"/>
    <s v="DANIEL MAURICIO RIANO PEDRAZA_x000a_"/>
    <s v="CFS"/>
    <x v="5"/>
    <s v="GGI / CMC"/>
    <e v="#NAME?"/>
    <x v="57"/>
    <n v="0.1"/>
    <s v="QA"/>
    <s v="Mainframe"/>
    <m/>
    <e v="#NAME?"/>
    <e v="#NAME?"/>
    <e v="#NAME?"/>
    <m/>
    <m/>
    <m/>
    <m/>
    <m/>
    <m/>
    <m/>
    <m/>
    <m/>
  </r>
  <r>
    <s v="T005931"/>
    <s v="DANIEL MAURICIO RIANO PEDRAZA_x000a_"/>
    <s v="CFS"/>
    <x v="5"/>
    <s v="GGI / CMC"/>
    <e v="#NAME?"/>
    <x v="1"/>
    <n v="0.1"/>
    <s v="QA"/>
    <s v="Mainframe"/>
    <m/>
    <e v="#NAME?"/>
    <e v="#NAME?"/>
    <e v="#NAME?"/>
    <m/>
    <m/>
    <m/>
    <m/>
    <m/>
    <m/>
    <m/>
    <m/>
    <m/>
  </r>
  <r>
    <s v="CE68547"/>
    <s v="JOSE ROBERTO GONZALEZ MELO_x000a_"/>
    <s v="CFS"/>
    <x v="5"/>
    <s v="KRYPTO"/>
    <e v="#NAME?"/>
    <x v="49"/>
    <n v="0.1"/>
    <s v="QA"/>
    <s v="Mainframe"/>
    <m/>
    <e v="#NAME?"/>
    <e v="#NAME?"/>
    <e v="#NAME?"/>
    <m/>
    <m/>
    <m/>
    <m/>
    <m/>
    <m/>
    <m/>
    <m/>
    <m/>
  </r>
  <r>
    <s v="CE68547"/>
    <s v="JOSE ROBERTO GONZALEZ MELO_x000a_"/>
    <s v="CFS"/>
    <x v="5"/>
    <s v="KRYPTO"/>
    <e v="#NAME?"/>
    <x v="32"/>
    <n v="0.1"/>
    <s v="QA"/>
    <s v="Mainframe"/>
    <m/>
    <e v="#NAME?"/>
    <e v="#NAME?"/>
    <e v="#NAME?"/>
    <m/>
    <m/>
    <m/>
    <m/>
    <m/>
    <m/>
    <m/>
    <m/>
    <m/>
  </r>
  <r>
    <s v="CE68547"/>
    <s v="JOSE ROBERTO GONZALEZ MELO_x000a_"/>
    <s v="CFS"/>
    <x v="5"/>
    <s v="KRYPTO"/>
    <e v="#NAME?"/>
    <x v="61"/>
    <n v="0.1"/>
    <s v="QA"/>
    <s v="Mainframe"/>
    <m/>
    <e v="#NAME?"/>
    <e v="#NAME?"/>
    <e v="#NAME?"/>
    <m/>
    <m/>
    <m/>
    <m/>
    <m/>
    <m/>
    <m/>
    <m/>
    <m/>
  </r>
  <r>
    <s v="CE68547"/>
    <s v="JOSE ROBERTO GONZALEZ MELO_x000a_"/>
    <s v="CFS"/>
    <x v="5"/>
    <s v="KRYPTO"/>
    <e v="#NAME?"/>
    <x v="57"/>
    <n v="0.1"/>
    <s v="QA"/>
    <s v="Mainframe"/>
    <m/>
    <e v="#NAME?"/>
    <e v="#NAME?"/>
    <e v="#NAME?"/>
    <m/>
    <m/>
    <m/>
    <m/>
    <m/>
    <m/>
    <m/>
    <m/>
    <m/>
  </r>
  <r>
    <s v="CE68547"/>
    <s v="JOSE ROBERTO GONZALEZ MELO_x000a_"/>
    <s v="CFS"/>
    <x v="5"/>
    <s v="KRYPTO"/>
    <e v="#NAME?"/>
    <x v="1"/>
    <n v="0.1"/>
    <s v="QA"/>
    <s v="Mainframe"/>
    <m/>
    <e v="#NAME?"/>
    <e v="#NAME?"/>
    <e v="#NAME?"/>
    <m/>
    <m/>
    <m/>
    <m/>
    <m/>
    <m/>
    <m/>
    <m/>
    <m/>
  </r>
  <r>
    <s v="CE52434"/>
    <s v="HAROLD HERNANDO REYES VARGAS_x000a_"/>
    <s v="CFS"/>
    <x v="5"/>
    <s v="Inetum"/>
    <e v="#NAME?"/>
    <x v="32"/>
    <n v="1"/>
    <s v="Otros"/>
    <s v="Mainframe"/>
    <m/>
    <e v="#NAME?"/>
    <e v="#NAME?"/>
    <e v="#NAME?"/>
    <m/>
    <m/>
    <m/>
    <m/>
    <m/>
    <m/>
    <m/>
    <m/>
    <m/>
  </r>
  <r>
    <s v="CE68712"/>
    <s v="EDWARD STIVEN RODRIGUEZ MORENO"/>
    <s v="CFS"/>
    <x v="5"/>
    <s v="BLUETAB"/>
    <e v="#NAME?"/>
    <x v="59"/>
    <n v="0.4"/>
    <s v="Desarrollador"/>
    <s v="Distribuido"/>
    <s v="En revision con dominio por cuanto debe estar "/>
    <e v="#NAME?"/>
    <e v="#NAME?"/>
    <e v="#NAME?"/>
    <m/>
    <m/>
    <m/>
    <m/>
    <m/>
    <m/>
    <m/>
    <m/>
    <m/>
  </r>
  <r>
    <s v="CE57396"/>
    <s v="JUAN PABLO AREVALO MERCHAN"/>
    <s v="CFS"/>
    <x v="5"/>
    <s v="BLUETAB"/>
    <e v="#NAME?"/>
    <x v="32"/>
    <n v="0.25"/>
    <s v="Desarrollador"/>
    <s v="Distribuido"/>
    <m/>
    <e v="#NAME?"/>
    <e v="#NAME?"/>
    <e v="#NAME?"/>
    <m/>
    <m/>
    <m/>
    <m/>
    <m/>
    <m/>
    <m/>
    <m/>
    <m/>
  </r>
  <r>
    <s v="CE57396"/>
    <s v="JUAN PABLO AREVALO MERCHAN"/>
    <s v="CFS"/>
    <x v="5"/>
    <s v="BLUETAB"/>
    <e v="#NAME?"/>
    <x v="61"/>
    <n v="0.25"/>
    <s v="Desarrollador"/>
    <s v="Distribuido"/>
    <m/>
    <e v="#NAME?"/>
    <e v="#NAME?"/>
    <e v="#NAME?"/>
    <m/>
    <m/>
    <m/>
    <m/>
    <m/>
    <m/>
    <m/>
    <m/>
    <m/>
  </r>
  <r>
    <s v="CE56879"/>
    <s v="Victor Hans De La Cruz Quispe"/>
    <s v="CFS"/>
    <x v="5"/>
    <s v="BLUETAB"/>
    <e v="#NAME?"/>
    <x v="6"/>
    <n v="1"/>
    <s v="Desarrollador"/>
    <s v="Distribuido"/>
    <m/>
    <e v="#NAME?"/>
    <e v="#NAME?"/>
    <e v="#NAME?"/>
    <m/>
    <m/>
    <m/>
    <m/>
    <m/>
    <m/>
    <m/>
    <m/>
    <m/>
  </r>
  <r>
    <s v="T005749"/>
    <s v="YESICA DANIELA VARGAS ESPITIA"/>
    <s v="CFS"/>
    <x v="5"/>
    <s v="BLUETAB"/>
    <e v="#NAME?"/>
    <x v="61"/>
    <n v="1"/>
    <s v="Desarrollador"/>
    <s v="Distribuido"/>
    <m/>
    <e v="#NAME?"/>
    <e v="#NAME?"/>
    <e v="#NAME?"/>
    <m/>
    <m/>
    <m/>
    <m/>
    <m/>
    <m/>
    <m/>
    <m/>
    <m/>
  </r>
  <r>
    <s v="CE62380"/>
    <s v="LUIGUI SANTIAGO FAJARDO TOLOZA"/>
    <s v="CFS"/>
    <x v="5"/>
    <s v="ADENZA"/>
    <e v="#NAME?"/>
    <x v="49"/>
    <n v="1"/>
    <s v="Desarrollador"/>
    <s v="Distribuido"/>
    <m/>
    <e v="#NAME?"/>
    <e v="#NAME?"/>
    <e v="#NAME?"/>
    <m/>
    <m/>
    <m/>
    <m/>
    <m/>
    <m/>
    <m/>
    <m/>
    <m/>
  </r>
  <r>
    <s v="CE62112"/>
    <s v="MARILUZ SANCHEZ MORENO"/>
    <s v="CFS"/>
    <x v="5"/>
    <s v="ADENZA"/>
    <e v="#NAME?"/>
    <x v="49"/>
    <n v="1"/>
    <s v="Tech Manager/Líder"/>
    <s v="Distribuido"/>
    <m/>
    <e v="#NAME?"/>
    <e v="#NAME?"/>
    <e v="#NAME?"/>
    <m/>
    <m/>
    <m/>
    <m/>
    <m/>
    <m/>
    <m/>
    <m/>
    <m/>
  </r>
  <r>
    <s v="T007669"/>
    <s v="SANTIAGO GALLEGO BEDOYA_x000a_"/>
    <s v="CFS"/>
    <x v="5"/>
    <s v="Neoris"/>
    <e v="#NAME?"/>
    <x v="57"/>
    <n v="1"/>
    <s v="QA"/>
    <s v="Mainframe"/>
    <m/>
    <e v="#NAME?"/>
    <e v="#NAME?"/>
    <e v="#NAME?"/>
    <m/>
    <m/>
    <m/>
    <m/>
    <m/>
    <m/>
    <m/>
    <m/>
    <m/>
  </r>
  <r>
    <s v="T011483"/>
    <s v="JUAN SEBASTIAN RODRIGUEZ PARRA"/>
    <s v="CFS"/>
    <x v="5"/>
    <s v="Inetum"/>
    <e v="#NAME?"/>
    <x v="49"/>
    <n v="1"/>
    <s v="Otros"/>
    <s v="Otras Tec."/>
    <m/>
    <e v="#NAME?"/>
    <e v="#NAME?"/>
    <e v="#NAME?"/>
    <m/>
    <m/>
    <m/>
    <m/>
    <m/>
    <m/>
    <m/>
    <m/>
    <m/>
  </r>
  <r>
    <s v="CE47497"/>
    <s v="ADOLFO ENRIQUE BERNAL RODRIGUEZ"/>
    <s v="CORE"/>
    <x v="9"/>
    <s v="SII"/>
    <e v="#NAME?"/>
    <x v="63"/>
    <n v="0.5"/>
    <s v="Otros"/>
    <s v="Mainframe"/>
    <m/>
    <e v="#NAME?"/>
    <e v="#NAME?"/>
    <e v="#NAME?"/>
    <m/>
    <m/>
    <m/>
    <m/>
    <m/>
    <n v="0"/>
    <m/>
    <m/>
    <m/>
  </r>
  <r>
    <s v="CE47497"/>
    <s v="ADOLFO ENRIQUE BERNAL RODRIGUEZ"/>
    <s v="CORE"/>
    <x v="9"/>
    <s v="SII"/>
    <e v="#NAME?"/>
    <x v="20"/>
    <n v="0.5"/>
    <s v="Otros"/>
    <s v="Mainframe"/>
    <m/>
    <e v="#NAME?"/>
    <e v="#NAME?"/>
    <e v="#NAME?"/>
    <m/>
    <m/>
    <m/>
    <m/>
    <m/>
    <n v="0"/>
    <m/>
    <m/>
    <m/>
  </r>
  <r>
    <s v="O002467"/>
    <s v="ALBA FABIOLA GOMEZ RODRIGUEZ"/>
    <s v="CORE"/>
    <x v="9"/>
    <s v="BBVA"/>
    <e v="#NAME?"/>
    <x v="64"/>
    <n v="1"/>
    <s v="Desarrollador"/>
    <s v="Mainframe"/>
    <m/>
    <e v="#NAME?"/>
    <e v="#NAME?"/>
    <e v="#NAME?"/>
    <m/>
    <m/>
    <m/>
    <m/>
    <m/>
    <n v="0"/>
    <m/>
    <m/>
    <m/>
  </r>
  <r>
    <s v="O001638"/>
    <s v="ALEXANDER PLATA USCATEGUI"/>
    <s v="CORE"/>
    <x v="9"/>
    <s v="BBVA"/>
    <e v="#NAME?"/>
    <x v="64"/>
    <n v="1"/>
    <s v="Desarrollador"/>
    <s v="Mainframe"/>
    <m/>
    <e v="#NAME?"/>
    <e v="#NAME?"/>
    <e v="#NAME?"/>
    <m/>
    <m/>
    <m/>
    <m/>
    <m/>
    <n v="0"/>
    <m/>
    <m/>
    <m/>
  </r>
  <r>
    <s v="C803933"/>
    <s v="CAMILO MONDRAGON"/>
    <s v="CORE"/>
    <x v="9"/>
    <s v="BBVA"/>
    <e v="#NAME?"/>
    <x v="63"/>
    <n v="0.75"/>
    <s v="Desarrollador"/>
    <s v="Mainframe"/>
    <m/>
    <e v="#NAME?"/>
    <e v="#NAME?"/>
    <e v="#NAME?"/>
    <m/>
    <m/>
    <m/>
    <m/>
    <m/>
    <n v="1"/>
    <m/>
    <m/>
    <m/>
  </r>
  <r>
    <s v="C803933"/>
    <s v="CAMILO MONDRAGON"/>
    <s v="CORE"/>
    <x v="9"/>
    <s v="BBVA"/>
    <e v="#NAME?"/>
    <x v="65"/>
    <n v="0.25"/>
    <s v="Desarrollador"/>
    <s v="Mainframe"/>
    <s v="Soporte a certificación"/>
    <e v="#NAME?"/>
    <e v="#NAME?"/>
    <e v="#NAME?"/>
    <m/>
    <m/>
    <m/>
    <m/>
    <m/>
    <n v="1"/>
    <m/>
    <m/>
    <m/>
  </r>
  <r>
    <s v="C811277"/>
    <s v="CARLOS ALBERTO GUERRERO MONTAÑA"/>
    <s v="CORE"/>
    <x v="9"/>
    <s v="BBVA"/>
    <e v="#NAME?"/>
    <x v="66"/>
    <n v="0.75"/>
    <s v="Desarrollador"/>
    <s v="Mainframe"/>
    <m/>
    <e v="#NAME?"/>
    <e v="#NAME?"/>
    <e v="#NAME?"/>
    <m/>
    <m/>
    <m/>
    <m/>
    <m/>
    <n v="1"/>
    <m/>
    <m/>
    <m/>
  </r>
  <r>
    <s v="C811277"/>
    <s v="CARLOS ALBERTO GUERRERO MONTAÑA"/>
    <s v="CORE"/>
    <x v="9"/>
    <s v="BBVA"/>
    <e v="#NAME?"/>
    <x v="67"/>
    <n v="0.25"/>
    <s v="Desarrollador"/>
    <s v="Mainframe"/>
    <m/>
    <e v="#NAME?"/>
    <e v="#NAME?"/>
    <e v="#NAME?"/>
    <m/>
    <m/>
    <m/>
    <m/>
    <m/>
    <n v="0"/>
    <m/>
    <m/>
    <m/>
  </r>
  <r>
    <s v="C811304"/>
    <s v="CARLOS EDUARDO YEPES ANGEL"/>
    <s v="CORE"/>
    <x v="9"/>
    <s v="BBVA"/>
    <e v="#NAME?"/>
    <x v="68"/>
    <n v="1"/>
    <s v="Desarrollador"/>
    <s v="Mainframe"/>
    <m/>
    <e v="#NAME?"/>
    <e v="#NAME?"/>
    <e v="#NAME?"/>
    <m/>
    <m/>
    <m/>
    <m/>
    <m/>
    <n v="1"/>
    <m/>
    <m/>
    <m/>
  </r>
  <r>
    <s v="CE64217"/>
    <s v="CHRISTIAN CAMILO PERDOMO MEDINA"/>
    <s v="CORE"/>
    <x v="9"/>
    <s v="SII"/>
    <e v="#NAME?"/>
    <x v="3"/>
    <n v="1"/>
    <s v="Desarrollador"/>
    <s v="Mainframe"/>
    <m/>
    <e v="#NAME?"/>
    <e v="#NAME?"/>
    <e v="#NAME?"/>
    <m/>
    <m/>
    <m/>
    <m/>
    <m/>
    <n v="1"/>
    <m/>
    <m/>
    <m/>
  </r>
  <r>
    <s v="C802128"/>
    <s v="DIANA MILENA SALAMANCA CHIQUILLO"/>
    <s v="CORE"/>
    <x v="9"/>
    <s v="BBVA"/>
    <e v="#NAME?"/>
    <x v="69"/>
    <n v="0.4"/>
    <s v="Desarrollador"/>
    <s v="Mainframe"/>
    <s v="No se encuentra la SDATOOL-37344"/>
    <e v="#NAME?"/>
    <e v="#NAME?"/>
    <e v="#NAME?"/>
    <m/>
    <m/>
    <m/>
    <m/>
    <m/>
    <n v="1"/>
    <m/>
    <m/>
    <m/>
  </r>
  <r>
    <s v="C802128"/>
    <s v="DIANA MILENA SALAMANCA CHIQUILLO"/>
    <s v="CORE"/>
    <x v="9"/>
    <s v="BBVA"/>
    <e v="#NAME?"/>
    <x v="5"/>
    <n v="0.6"/>
    <s v="Desarrollador"/>
    <s v="Mainframe"/>
    <m/>
    <e v="#NAME?"/>
    <e v="#NAME?"/>
    <e v="#NAME?"/>
    <m/>
    <m/>
    <m/>
    <m/>
    <m/>
    <n v="0"/>
    <m/>
    <m/>
    <m/>
  </r>
  <r>
    <s v="C797928"/>
    <s v="DIANA ROCIO GERENA HERRERA"/>
    <s v="CORE"/>
    <x v="9"/>
    <s v="BBVA"/>
    <e v="#NAME?"/>
    <x v="64"/>
    <n v="0.3"/>
    <s v="Tech Manager/Líder"/>
    <s v="Mainframe"/>
    <m/>
    <e v="#NAME?"/>
    <e v="#NAME?"/>
    <e v="#NAME?"/>
    <m/>
    <m/>
    <m/>
    <m/>
    <m/>
    <n v="1"/>
    <m/>
    <m/>
    <m/>
  </r>
  <r>
    <s v="C797928"/>
    <s v="DIANA ROCIO GERENA HERRERA"/>
    <s v="CORE"/>
    <x v="9"/>
    <s v="BBVA"/>
    <e v="#NAME?"/>
    <x v="3"/>
    <n v="0.4"/>
    <s v="Tech Manager/Líder"/>
    <s v="Mainframe"/>
    <m/>
    <e v="#NAME?"/>
    <e v="#NAME?"/>
    <e v="#NAME?"/>
    <m/>
    <m/>
    <m/>
    <m/>
    <m/>
    <n v="0"/>
    <m/>
    <m/>
    <m/>
  </r>
  <r>
    <s v="C797928"/>
    <s v="DIANA ROCIO GERENA HERRERA"/>
    <s v="CORE"/>
    <x v="9"/>
    <s v="BBVA"/>
    <e v="#NAME?"/>
    <x v="63"/>
    <n v="0.15"/>
    <s v="Tech Manager/Líder"/>
    <s v="Mainframe"/>
    <m/>
    <e v="#NAME?"/>
    <e v="#NAME?"/>
    <e v="#NAME?"/>
    <m/>
    <m/>
    <m/>
    <m/>
    <m/>
    <n v="0"/>
    <m/>
    <m/>
    <m/>
  </r>
  <r>
    <s v="C797928"/>
    <s v="DIANA ROCIO GERENA HERRERA"/>
    <s v="CORE"/>
    <x v="9"/>
    <s v="BBVA"/>
    <e v="#NAME?"/>
    <x v="65"/>
    <n v="0.15"/>
    <s v="Tech Manager/Líder"/>
    <s v="Mainframe"/>
    <m/>
    <e v="#NAME?"/>
    <e v="#NAME?"/>
    <e v="#NAME?"/>
    <m/>
    <m/>
    <m/>
    <m/>
    <m/>
    <n v="0"/>
    <m/>
    <m/>
    <m/>
  </r>
  <r>
    <s v="CE48051"/>
    <s v="EDGAR ANDRES GARZON"/>
    <s v="CORE"/>
    <x v="9"/>
    <s v="Novatec"/>
    <e v="#NAME?"/>
    <x v="67"/>
    <n v="0.25"/>
    <s v="Desarrollador"/>
    <s v="Mainframe"/>
    <m/>
    <e v="#NAME?"/>
    <e v="#NAME?"/>
    <e v="#NAME?"/>
    <m/>
    <m/>
    <m/>
    <m/>
    <m/>
    <n v="1"/>
    <m/>
    <m/>
    <m/>
  </r>
  <r>
    <s v="CE48051"/>
    <s v="EDGAR ANDRES GARZON"/>
    <s v="CORE"/>
    <x v="9"/>
    <s v="Novatec"/>
    <e v="#NAME?"/>
    <x v="66"/>
    <n v="0.75"/>
    <s v="Desarrollador"/>
    <s v="Mainframe"/>
    <m/>
    <e v="#NAME?"/>
    <e v="#NAME?"/>
    <e v="#NAME?"/>
    <m/>
    <m/>
    <m/>
    <m/>
    <m/>
    <n v="0"/>
    <m/>
    <m/>
    <m/>
  </r>
  <r>
    <s v="C343151"/>
    <s v="ESPERANZA DIAZ HERNANDEZ"/>
    <s v="CORE"/>
    <x v="9"/>
    <s v="BBVA"/>
    <e v="#NAME?"/>
    <x v="3"/>
    <n v="1"/>
    <s v="Desarrollador"/>
    <s v="Mainframe"/>
    <m/>
    <e v="#NAME?"/>
    <e v="#NAME?"/>
    <e v="#NAME?"/>
    <m/>
    <m/>
    <m/>
    <m/>
    <m/>
    <n v="1"/>
    <m/>
    <m/>
    <m/>
  </r>
  <r>
    <s v="CE70143"/>
    <s v="EMMANUEL GERMAN FORSTER"/>
    <s v="CORE"/>
    <x v="9"/>
    <s v="Globant"/>
    <e v="#NAME?"/>
    <x v="68"/>
    <n v="1"/>
    <s v="Desarrollador"/>
    <s v="ASO"/>
    <s v="Usuario en proceso de alta."/>
    <e v="#NAME?"/>
    <e v="#NAME?"/>
    <e v="#NAME?"/>
    <m/>
    <m/>
    <m/>
    <m/>
    <m/>
    <n v="1"/>
    <m/>
    <m/>
    <m/>
  </r>
  <r>
    <s v="C811389"/>
    <s v="FABER IVAN MAYORQUIN RESTREPO"/>
    <s v="CORE"/>
    <x v="9"/>
    <s v="BBVA"/>
    <e v="#NAME?"/>
    <x v="70"/>
    <n v="0.65"/>
    <s v="Desarrollador"/>
    <s v="Mainframe"/>
    <m/>
    <e v="#NAME?"/>
    <e v="#NAME?"/>
    <e v="#NAME?"/>
    <m/>
    <m/>
    <m/>
    <m/>
    <m/>
    <n v="1"/>
    <m/>
    <m/>
    <m/>
  </r>
  <r>
    <s v="C811389"/>
    <s v="FABER IVAN MAYORQUIN RESTREPO"/>
    <s v="CORE"/>
    <x v="9"/>
    <s v="BBVA"/>
    <e v="#NAME?"/>
    <x v="20"/>
    <n v="0.2"/>
    <s v="Desarrollador"/>
    <s v="Mainframe"/>
    <m/>
    <e v="#NAME?"/>
    <e v="#NAME?"/>
    <e v="#NAME?"/>
    <m/>
    <m/>
    <m/>
    <m/>
    <m/>
    <n v="0"/>
    <m/>
    <m/>
    <m/>
  </r>
  <r>
    <s v="C811389"/>
    <s v="FABER IVAN MAYORQUIN RESTREPO"/>
    <s v="CORE"/>
    <x v="9"/>
    <s v="BBVA"/>
    <e v="#NAME?"/>
    <x v="3"/>
    <n v="0.15"/>
    <s v="Desarrollador"/>
    <s v="Mainframe"/>
    <m/>
    <e v="#NAME?"/>
    <e v="#NAME?"/>
    <e v="#NAME?"/>
    <m/>
    <m/>
    <m/>
    <m/>
    <m/>
    <n v="0"/>
    <m/>
    <m/>
    <m/>
  </r>
  <r>
    <s v="CE50117"/>
    <s v="JAIRO ANZOLA PLATA L"/>
    <s v="CORE"/>
    <x v="9"/>
    <s v="SII"/>
    <e v="#NAME?"/>
    <x v="64"/>
    <n v="0.4"/>
    <s v="Desarrollador"/>
    <s v="Mainframe"/>
    <s v="Soporte a la certificación"/>
    <e v="#NAME?"/>
    <e v="#NAME?"/>
    <e v="#NAME?"/>
    <m/>
    <m/>
    <m/>
    <m/>
    <m/>
    <n v="1"/>
    <m/>
    <m/>
    <m/>
  </r>
  <r>
    <s v="CE42593"/>
    <s v="JENITH MARSELLA MANTILLA RODRIGUEZ"/>
    <s v="CORE"/>
    <x v="9"/>
    <s v="SII"/>
    <e v="#NAME?"/>
    <x v="3"/>
    <n v="1"/>
    <s v="Tech Manager/Líder"/>
    <s v="Mainframe"/>
    <m/>
    <e v="#NAME?"/>
    <e v="#NAME?"/>
    <e v="#NAME?"/>
    <m/>
    <m/>
    <m/>
    <m/>
    <m/>
    <n v="1"/>
    <m/>
    <m/>
    <m/>
  </r>
  <r>
    <s v="C805565"/>
    <s v="JHON FREDY PACHECO AVELLA"/>
    <s v="CORE"/>
    <x v="9"/>
    <s v="BBVA"/>
    <e v="#NAME?"/>
    <x v="20"/>
    <n v="0.2"/>
    <s v="Desarrollador"/>
    <s v="Mainframe"/>
    <m/>
    <e v="#NAME?"/>
    <e v="#NAME?"/>
    <e v="#NAME?"/>
    <m/>
    <m/>
    <m/>
    <m/>
    <m/>
    <n v="1"/>
    <m/>
    <m/>
    <m/>
  </r>
  <r>
    <s v="C805565"/>
    <s v="JHON FREDY PACHECO AVELLA"/>
    <s v="CORE"/>
    <x v="9"/>
    <s v="BBVA"/>
    <e v="#NAME?"/>
    <x v="71"/>
    <n v="0.5"/>
    <s v="Desarrollador"/>
    <s v="Mainframe"/>
    <m/>
    <e v="#NAME?"/>
    <e v="#NAME?"/>
    <e v="#NAME?"/>
    <m/>
    <m/>
    <m/>
    <m/>
    <m/>
    <n v="0"/>
    <m/>
    <m/>
    <m/>
  </r>
  <r>
    <s v="C805565"/>
    <s v="JHON FREDY PACHECO AVELLA"/>
    <s v="CORE"/>
    <x v="9"/>
    <s v="BBVA"/>
    <e v="#NAME?"/>
    <x v="72"/>
    <n v="0.3"/>
    <s v="Desarrollador"/>
    <s v="Mainframe"/>
    <m/>
    <e v="#NAME?"/>
    <e v="#NAME?"/>
    <e v="#NAME?"/>
    <m/>
    <m/>
    <m/>
    <m/>
    <m/>
    <n v="0"/>
    <m/>
    <m/>
    <m/>
  </r>
  <r>
    <s v="C809506"/>
    <s v="JHON FREDY PINZON PAEZ"/>
    <s v="CORE"/>
    <x v="9"/>
    <s v="BBVA"/>
    <e v="#NAME?"/>
    <x v="3"/>
    <n v="1"/>
    <s v="Desarrollador"/>
    <s v="Mainframe"/>
    <m/>
    <e v="#NAME?"/>
    <e v="#NAME?"/>
    <e v="#NAME?"/>
    <m/>
    <m/>
    <m/>
    <m/>
    <m/>
    <n v="1"/>
    <m/>
    <m/>
    <m/>
  </r>
  <r>
    <s v="O001222"/>
    <s v="JIOVANNY SUAREZ GONZALEZ"/>
    <s v="CORE"/>
    <x v="9"/>
    <s v="BBVA"/>
    <e v="#NAME?"/>
    <x v="66"/>
    <n v="0.2"/>
    <s v="Tech Manager/Líder"/>
    <s v="Otras Tec."/>
    <m/>
    <e v="#NAME?"/>
    <e v="#NAME?"/>
    <e v="#NAME?"/>
    <m/>
    <m/>
    <m/>
    <m/>
    <m/>
    <n v="1"/>
    <m/>
    <m/>
    <m/>
  </r>
  <r>
    <s v="O001222"/>
    <s v="JIOVANNY SUAREZ GONZALEZ"/>
    <s v="CORE"/>
    <x v="9"/>
    <s v="BBVA"/>
    <e v="#NAME?"/>
    <x v="67"/>
    <n v="0.2"/>
    <s v="Tech Manager/Líder"/>
    <s v="Otras Tec."/>
    <m/>
    <e v="#NAME?"/>
    <e v="#NAME?"/>
    <e v="#NAME?"/>
    <m/>
    <m/>
    <m/>
    <m/>
    <m/>
    <n v="0"/>
    <m/>
    <m/>
    <m/>
  </r>
  <r>
    <s v="O001222"/>
    <s v="JIOVANNY SUAREZ GONZALEZ"/>
    <s v="CORE"/>
    <x v="9"/>
    <s v="BBVA"/>
    <e v="#NAME?"/>
    <x v="68"/>
    <n v="0.2"/>
    <s v="Tech Manager/Líder"/>
    <s v="Otras Tec."/>
    <m/>
    <e v="#NAME?"/>
    <e v="#NAME?"/>
    <e v="#NAME?"/>
    <m/>
    <m/>
    <m/>
    <m/>
    <m/>
    <n v="0"/>
    <m/>
    <m/>
    <m/>
  </r>
  <r>
    <s v="O001222"/>
    <s v="JIOVANNY SUAREZ GONZALEZ"/>
    <s v="CORE"/>
    <x v="9"/>
    <s v="BBVA"/>
    <e v="#NAME?"/>
    <x v="73"/>
    <n v="0.2"/>
    <s v="Tech Manager/Líder"/>
    <s v="Otras Tec."/>
    <m/>
    <e v="#NAME?"/>
    <e v="#NAME?"/>
    <e v="#NAME?"/>
    <m/>
    <m/>
    <m/>
    <m/>
    <m/>
    <n v="0"/>
    <m/>
    <m/>
    <m/>
  </r>
  <r>
    <s v="O001222"/>
    <s v="JIOVANNY SUAREZ GONZALEZ"/>
    <s v="CORE"/>
    <x v="9"/>
    <s v="BBVA"/>
    <e v="#NAME?"/>
    <x v="74"/>
    <n v="0.2"/>
    <s v="Tech Manager/Líder"/>
    <s v="Otras Tec."/>
    <m/>
    <e v="#NAME?"/>
    <e v="#NAME?"/>
    <e v="#NAME?"/>
    <m/>
    <m/>
    <m/>
    <m/>
    <m/>
    <n v="0"/>
    <m/>
    <m/>
    <m/>
  </r>
  <r>
    <s v="C811332"/>
    <s v="JORGE LUIS SALAMANCA ORTIZ"/>
    <s v="CORE"/>
    <x v="9"/>
    <s v="BBVA"/>
    <e v="#NAME?"/>
    <x v="75"/>
    <n v="0.3"/>
    <s v="Desarrollador"/>
    <s v="Mainframe"/>
    <m/>
    <e v="#NAME?"/>
    <e v="#NAME?"/>
    <e v="#NAME?"/>
    <m/>
    <m/>
    <m/>
    <m/>
    <m/>
    <n v="1"/>
    <m/>
    <m/>
    <m/>
  </r>
  <r>
    <s v="C811332"/>
    <s v="JORGE LUIS SALAMANCA ORTIZ"/>
    <s v="CORE"/>
    <x v="9"/>
    <s v="BBVA"/>
    <e v="#NAME?"/>
    <x v="5"/>
    <n v="0.7"/>
    <s v="Desarrollador"/>
    <s v="Mainframe"/>
    <m/>
    <e v="#NAME?"/>
    <e v="#NAME?"/>
    <e v="#NAME?"/>
    <m/>
    <m/>
    <m/>
    <m/>
    <m/>
    <n v="0"/>
    <m/>
    <m/>
    <m/>
  </r>
  <r>
    <s v="CE03425"/>
    <s v="JORGE VICENTE SALAS PERILLA"/>
    <s v="CORE"/>
    <x v="9"/>
    <s v="KRYPTO"/>
    <e v="#NAME?"/>
    <x v="63"/>
    <n v="0.75"/>
    <s v="Desarrollador"/>
    <s v="Mainframe"/>
    <m/>
    <e v="#NAME?"/>
    <e v="#NAME?"/>
    <e v="#NAME?"/>
    <m/>
    <m/>
    <m/>
    <m/>
    <m/>
    <n v="1"/>
    <m/>
    <m/>
    <m/>
  </r>
  <r>
    <s v="CE03425"/>
    <s v="JORGE VICENTE SALAS PERILLA"/>
    <s v="CORE"/>
    <x v="9"/>
    <s v="KRYPTO"/>
    <e v="#NAME?"/>
    <x v="65"/>
    <n v="0.25"/>
    <s v="Desarrollador"/>
    <s v="Mainframe"/>
    <s v="Soporte a certficación y post-implantación"/>
    <e v="#NAME?"/>
    <e v="#NAME?"/>
    <e v="#NAME?"/>
    <m/>
    <m/>
    <m/>
    <m/>
    <m/>
    <n v="0"/>
    <m/>
    <m/>
    <m/>
  </r>
  <r>
    <s v="C805714"/>
    <s v="JUAN DAVID CELIS NUÑEZ"/>
    <s v="CORE"/>
    <x v="9"/>
    <s v="BBVA"/>
    <e v="#NAME?"/>
    <x v="76"/>
    <n v="0.7"/>
    <s v="Desarrollador"/>
    <s v="ASO"/>
    <m/>
    <e v="#NAME?"/>
    <e v="#NAME?"/>
    <e v="#NAME?"/>
    <m/>
    <m/>
    <m/>
    <m/>
    <m/>
    <n v="1"/>
    <m/>
    <m/>
    <m/>
  </r>
  <r>
    <s v="C805714"/>
    <s v="JUAN DAVID CELIS NUÑEZ"/>
    <s v="CORE"/>
    <x v="9"/>
    <s v="BBVA"/>
    <e v="#NAME?"/>
    <x v="75"/>
    <n v="0.15"/>
    <s v="Desarrollador"/>
    <s v="ASO"/>
    <m/>
    <e v="#NAME?"/>
    <e v="#NAME?"/>
    <e v="#NAME?"/>
    <m/>
    <m/>
    <m/>
    <m/>
    <m/>
    <n v="0"/>
    <m/>
    <m/>
    <m/>
  </r>
  <r>
    <s v="C805714"/>
    <s v="JUAN DAVID CELIS NUÑEZ"/>
    <s v="CORE"/>
    <x v="9"/>
    <s v="BBVA"/>
    <e v="#NAME?"/>
    <x v="3"/>
    <n v="0.15"/>
    <s v="Desarrollador"/>
    <s v="ASO"/>
    <m/>
    <e v="#NAME?"/>
    <e v="#NAME?"/>
    <e v="#NAME?"/>
    <m/>
    <m/>
    <m/>
    <m/>
    <m/>
    <n v="0"/>
    <m/>
    <m/>
    <m/>
  </r>
  <r>
    <s v="CE65082"/>
    <s v="JULIAN CAMILO ESGUERRA PINEDA"/>
    <s v="CORE"/>
    <x v="9"/>
    <s v="SII"/>
    <e v="#NAME?"/>
    <x v="3"/>
    <n v="1"/>
    <s v="Desarrollador"/>
    <s v="Mainframe"/>
    <m/>
    <e v="#NAME?"/>
    <e v="#NAME?"/>
    <e v="#NAME?"/>
    <m/>
    <m/>
    <m/>
    <m/>
    <m/>
    <n v="1"/>
    <m/>
    <m/>
    <m/>
  </r>
  <r>
    <s v="C805729"/>
    <s v="JULIANA FERNANDA BONILLA RODRIGUEZ"/>
    <s v="CORE"/>
    <x v="9"/>
    <s v="BBVA"/>
    <e v="#NAME?"/>
    <x v="3"/>
    <n v="1"/>
    <s v="Otros"/>
    <s v="Mainframe"/>
    <m/>
    <e v="#NAME?"/>
    <e v="#NAME?"/>
    <e v="#NAME?"/>
    <m/>
    <m/>
    <m/>
    <m/>
    <m/>
    <n v="1"/>
    <m/>
    <m/>
    <m/>
  </r>
  <r>
    <s v="CE66910"/>
    <s v="JULIO DIAZ PENAGOS "/>
    <s v="CORE"/>
    <x v="9"/>
    <s v="SII"/>
    <e v="#NAME?"/>
    <x v="74"/>
    <n v="1"/>
    <s v="Desarrollador"/>
    <s v="ASO"/>
    <m/>
    <e v="#NAME?"/>
    <e v="#NAME?"/>
    <e v="#NAME?"/>
    <m/>
    <m/>
    <m/>
    <m/>
    <m/>
    <n v="1"/>
    <m/>
    <m/>
    <m/>
  </r>
  <r>
    <s v="C803062"/>
    <s v="KATERINE CRUZ SUAREZ"/>
    <s v="CORE"/>
    <x v="9"/>
    <s v="BBVA"/>
    <e v="#NAME?"/>
    <x v="3"/>
    <n v="1"/>
    <s v="Desarrollador"/>
    <s v="Mainframe"/>
    <m/>
    <e v="#NAME?"/>
    <e v="#NAME?"/>
    <e v="#NAME?"/>
    <m/>
    <m/>
    <m/>
    <m/>
    <m/>
    <n v="1"/>
    <m/>
    <m/>
    <m/>
  </r>
  <r>
    <s v="C805939"/>
    <s v="LEISON FABIAN MEJIA GARCIA"/>
    <s v="CORE"/>
    <x v="9"/>
    <s v="BBVA"/>
    <e v="#NAME?"/>
    <x v="67"/>
    <n v="0.25"/>
    <s v="Desarrollador"/>
    <s v="ASO"/>
    <m/>
    <e v="#NAME?"/>
    <e v="#NAME?"/>
    <e v="#NAME?"/>
    <m/>
    <m/>
    <m/>
    <m/>
    <m/>
    <n v="1"/>
    <m/>
    <m/>
    <m/>
  </r>
  <r>
    <s v="C805939"/>
    <s v="LEISON FABIAN MEJIA GARCIA"/>
    <s v="CORE"/>
    <x v="9"/>
    <s v="BBVA"/>
    <e v="#NAME?"/>
    <x v="66"/>
    <n v="0.5"/>
    <s v="Desarrollador"/>
    <s v="ASO"/>
    <m/>
    <e v="#NAME?"/>
    <e v="#NAME?"/>
    <e v="#NAME?"/>
    <m/>
    <m/>
    <m/>
    <m/>
    <m/>
    <n v="0"/>
    <m/>
    <m/>
    <m/>
  </r>
  <r>
    <s v="C805939"/>
    <s v="LEISON FABIAN MEJIA GARCIA"/>
    <s v="CORE"/>
    <x v="9"/>
    <s v="BBVA"/>
    <e v="#NAME?"/>
    <x v="68"/>
    <n v="0.25"/>
    <s v="Desarrollador"/>
    <s v="ASO"/>
    <m/>
    <e v="#NAME?"/>
    <e v="#NAME?"/>
    <e v="#NAME?"/>
    <m/>
    <m/>
    <m/>
    <m/>
    <m/>
    <n v="0"/>
    <m/>
    <m/>
    <m/>
  </r>
  <r>
    <s v="CE17711"/>
    <s v="LUIS FERNANDO RODRIGUEZ MEDINA"/>
    <s v="CORE"/>
    <x v="9"/>
    <s v="KRYPTO"/>
    <e v="#NAME?"/>
    <x v="3"/>
    <n v="1"/>
    <s v="QA"/>
    <s v="Mainframe"/>
    <m/>
    <e v="#NAME?"/>
    <e v="#NAME?"/>
    <e v="#NAME?"/>
    <m/>
    <m/>
    <m/>
    <m/>
    <m/>
    <n v="1"/>
    <m/>
    <m/>
    <m/>
  </r>
  <r>
    <s v="CE61656"/>
    <s v="MARIA DEL PILAR GARCIA  GONZALES"/>
    <s v="CORE"/>
    <x v="9"/>
    <s v="KRYPTO"/>
    <e v="#NAME?"/>
    <x v="3"/>
    <n v="1"/>
    <s v="QA"/>
    <s v="Mainframe"/>
    <m/>
    <e v="#NAME?"/>
    <e v="#NAME?"/>
    <e v="#NAME?"/>
    <m/>
    <m/>
    <m/>
    <m/>
    <m/>
    <n v="1"/>
    <m/>
    <m/>
    <m/>
  </r>
  <r>
    <s v="C804407"/>
    <s v="MARIO ALBERTO MORALES LEON"/>
    <s v="CORE"/>
    <x v="9"/>
    <s v="BBVA"/>
    <e v="#NAME?"/>
    <x v="74"/>
    <n v="0.25"/>
    <s v="Desarrollador"/>
    <s v="Mainframe"/>
    <m/>
    <e v="#NAME?"/>
    <e v="#NAME?"/>
    <e v="#NAME?"/>
    <m/>
    <m/>
    <m/>
    <m/>
    <m/>
    <n v="1"/>
    <m/>
    <m/>
    <m/>
  </r>
  <r>
    <s v="C804407"/>
    <s v="MARIO ALBERTO MORALES LEON"/>
    <s v="CORE"/>
    <x v="9"/>
    <s v="BBVA"/>
    <e v="#NAME?"/>
    <x v="73"/>
    <n v="0.75"/>
    <s v="Desarrollador"/>
    <s v="Mainframe"/>
    <m/>
    <e v="#NAME?"/>
    <e v="#NAME?"/>
    <e v="#NAME?"/>
    <m/>
    <m/>
    <m/>
    <m/>
    <m/>
    <n v="0"/>
    <m/>
    <m/>
    <m/>
  </r>
  <r>
    <s v="C809625"/>
    <s v="MAYERLY TATIANA NARVAEZ MARIN"/>
    <s v="CORE"/>
    <x v="9"/>
    <s v="BBVA"/>
    <e v="#NAME?"/>
    <x v="67"/>
    <n v="0.25"/>
    <s v="Desarrollador"/>
    <s v="ASO"/>
    <m/>
    <e v="#NAME?"/>
    <e v="#NAME?"/>
    <e v="#NAME?"/>
    <m/>
    <m/>
    <m/>
    <m/>
    <m/>
    <n v="1"/>
    <m/>
    <m/>
    <m/>
  </r>
  <r>
    <s v="C809625"/>
    <s v="MAYERLY TATIANA NARVAEZ MARIN"/>
    <s v="CORE"/>
    <x v="9"/>
    <s v="BBVA"/>
    <e v="#NAME?"/>
    <x v="66"/>
    <n v="0.75"/>
    <s v="Desarrollador"/>
    <s v="ASO"/>
    <m/>
    <e v="#NAME?"/>
    <e v="#NAME?"/>
    <e v="#NAME?"/>
    <m/>
    <m/>
    <m/>
    <m/>
    <m/>
    <n v="0"/>
    <m/>
    <m/>
    <m/>
  </r>
  <r>
    <s v="CE64687"/>
    <s v="MILLER FERNANDO CAMARGO AMADO"/>
    <s v="CORE"/>
    <x v="9"/>
    <s v="SII"/>
    <e v="#NAME?"/>
    <x v="3"/>
    <n v="1"/>
    <s v="Desarrollador"/>
    <s v="Mainframe"/>
    <m/>
    <e v="#NAME?"/>
    <e v="#NAME?"/>
    <e v="#NAME?"/>
    <m/>
    <m/>
    <m/>
    <m/>
    <m/>
    <n v="1"/>
    <m/>
    <m/>
    <m/>
  </r>
  <r>
    <s v="C811233"/>
    <s v="NATALIA REYES LOPEZ"/>
    <s v="CORE"/>
    <x v="9"/>
    <s v="BBVA"/>
    <e v="#NAME?"/>
    <x v="3"/>
    <n v="1"/>
    <s v="QA"/>
    <s v="Mainframe"/>
    <m/>
    <e v="#NAME?"/>
    <e v="#NAME?"/>
    <e v="#NAME?"/>
    <m/>
    <m/>
    <m/>
    <m/>
    <m/>
    <n v="1"/>
    <m/>
    <m/>
    <m/>
  </r>
  <r>
    <s v="CE59970"/>
    <s v="NICOLAS ALEXANDER ALDANA MENDOZA"/>
    <s v="CORE"/>
    <x v="9"/>
    <s v="SII"/>
    <e v="#NAME?"/>
    <x v="3"/>
    <n v="1"/>
    <s v="Desarrollador"/>
    <s v="Mainframe"/>
    <m/>
    <e v="#NAME?"/>
    <e v="#NAME?"/>
    <e v="#NAME?"/>
    <m/>
    <m/>
    <m/>
    <m/>
    <m/>
    <n v="1"/>
    <m/>
    <m/>
    <m/>
  </r>
  <r>
    <s v="C804561"/>
    <s v="OSCAR ORLANDO ACEVEDO FERRER"/>
    <s v="CORE"/>
    <x v="9"/>
    <s v="BBVA"/>
    <e v="#NAME?"/>
    <x v="72"/>
    <n v="0.5"/>
    <s v="Desarrollador"/>
    <s v="Mainframe"/>
    <m/>
    <e v="#NAME?"/>
    <e v="#NAME?"/>
    <e v="#NAME?"/>
    <m/>
    <m/>
    <m/>
    <m/>
    <m/>
    <n v="1"/>
    <m/>
    <m/>
    <m/>
  </r>
  <r>
    <s v="C804561"/>
    <s v="OSCAR ORLANDO ACEVEDO FERRER"/>
    <s v="CORE"/>
    <x v="9"/>
    <s v="BBVA"/>
    <e v="#NAME?"/>
    <x v="76"/>
    <n v="0.2"/>
    <s v="Desarrollador"/>
    <s v="Mainframe"/>
    <m/>
    <e v="#NAME?"/>
    <e v="#NAME?"/>
    <e v="#NAME?"/>
    <m/>
    <m/>
    <m/>
    <m/>
    <m/>
    <n v="0"/>
    <m/>
    <m/>
    <m/>
  </r>
  <r>
    <s v="C804561"/>
    <s v="OSCAR ORLANDO ACEVEDO FERRER"/>
    <s v="CORE"/>
    <x v="9"/>
    <s v="BBVA"/>
    <e v="#NAME?"/>
    <x v="77"/>
    <n v="0.3"/>
    <s v="Desarrollador"/>
    <s v="Mainframe"/>
    <m/>
    <e v="#NAME?"/>
    <e v="#NAME?"/>
    <e v="#NAME?"/>
    <m/>
    <m/>
    <m/>
    <m/>
    <m/>
    <n v="0"/>
    <m/>
    <m/>
    <m/>
  </r>
  <r>
    <s v="O002757"/>
    <s v="SUSANA ANDREA PARRA CABRERA"/>
    <s v="CORE"/>
    <x v="9"/>
    <s v="BBVA"/>
    <e v="#NAME?"/>
    <x v="76"/>
    <n v="0.2"/>
    <s v="Desarrollador"/>
    <s v="APX"/>
    <m/>
    <e v="#NAME?"/>
    <e v="#NAME?"/>
    <e v="#NAME?"/>
    <m/>
    <m/>
    <m/>
    <m/>
    <m/>
    <n v="1"/>
    <m/>
    <m/>
    <m/>
  </r>
  <r>
    <s v="O002757"/>
    <s v="SUSANA ANDREA PARRA CABRERA"/>
    <s v="CORE"/>
    <x v="9"/>
    <s v="BBVA"/>
    <e v="#NAME?"/>
    <x v="73"/>
    <n v="0.4"/>
    <s v="Desarrollador"/>
    <s v="APX"/>
    <m/>
    <e v="#NAME?"/>
    <e v="#NAME?"/>
    <e v="#NAME?"/>
    <m/>
    <m/>
    <m/>
    <m/>
    <m/>
    <n v="0"/>
    <m/>
    <m/>
    <m/>
  </r>
  <r>
    <s v="O002757"/>
    <s v="SUSANA ANDREA PARRA CABRERA"/>
    <s v="CORE"/>
    <x v="9"/>
    <s v="BBVA"/>
    <e v="#NAME?"/>
    <x v="74"/>
    <n v="0.4"/>
    <s v="Desarrollador"/>
    <s v="APX"/>
    <m/>
    <e v="#NAME?"/>
    <e v="#NAME?"/>
    <e v="#NAME?"/>
    <m/>
    <m/>
    <m/>
    <m/>
    <m/>
    <n v="0"/>
    <m/>
    <m/>
    <m/>
  </r>
  <r>
    <s v="CE24417"/>
    <s v="VIVIAN JUALINY  ESPITIA BENITEZ"/>
    <s v="CORE"/>
    <x v="9"/>
    <s v="KRYPTO"/>
    <e v="#NAME?"/>
    <x v="3"/>
    <n v="1"/>
    <s v="QA"/>
    <s v="Otras Tec."/>
    <m/>
    <e v="#NAME?"/>
    <e v="#NAME?"/>
    <e v="#NAME?"/>
    <m/>
    <m/>
    <m/>
    <m/>
    <m/>
    <n v="1"/>
    <m/>
    <m/>
    <m/>
  </r>
  <r>
    <s v="O003083"/>
    <s v="WILMAR ALBERTO ROMERO"/>
    <s v="CORE"/>
    <x v="9"/>
    <s v="BBVA"/>
    <e v="#NAME?"/>
    <x v="66"/>
    <n v="0.75"/>
    <s v="Desarrollador"/>
    <s v="APX"/>
    <m/>
    <e v="#NAME?"/>
    <e v="#NAME?"/>
    <e v="#NAME?"/>
    <m/>
    <m/>
    <m/>
    <m/>
    <m/>
    <n v="1"/>
    <m/>
    <m/>
    <m/>
  </r>
  <r>
    <s v="O003083"/>
    <s v="WILMAR ALBERTO ROMERO"/>
    <s v="CORE"/>
    <x v="9"/>
    <s v="BBVA"/>
    <e v="#NAME?"/>
    <x v="67"/>
    <n v="0.25"/>
    <s v="Desarrollador"/>
    <s v="APX"/>
    <m/>
    <e v="#NAME?"/>
    <e v="#NAME?"/>
    <e v="#NAME?"/>
    <m/>
    <m/>
    <m/>
    <m/>
    <m/>
    <n v="0"/>
    <m/>
    <m/>
    <m/>
  </r>
  <r>
    <s v="C811362"/>
    <s v="YIGLIANA ALVAREZ MENDOZA"/>
    <s v="CORE"/>
    <x v="9"/>
    <s v="BBVA"/>
    <e v="#NAME?"/>
    <x v="71"/>
    <n v="0.3"/>
    <s v="Desarrollador"/>
    <s v="Mainframe"/>
    <m/>
    <e v="#NAME?"/>
    <e v="#NAME?"/>
    <e v="#NAME?"/>
    <m/>
    <m/>
    <m/>
    <m/>
    <m/>
    <n v="1"/>
    <m/>
    <m/>
    <m/>
  </r>
  <r>
    <s v="C811362"/>
    <s v="YIGLIANA ALVAREZ MENDOZA"/>
    <s v="CORE"/>
    <x v="9"/>
    <s v="BBVA"/>
    <e v="#NAME?"/>
    <x v="78"/>
    <n v="0.4"/>
    <s v="Desarrollador"/>
    <s v="Mainframe"/>
    <m/>
    <e v="#NAME?"/>
    <e v="#NAME?"/>
    <e v="#NAME?"/>
    <m/>
    <m/>
    <m/>
    <m/>
    <m/>
    <n v="0"/>
    <m/>
    <m/>
    <m/>
  </r>
  <r>
    <s v="C811362"/>
    <s v="YIGLIANA ALVAREZ MENDOZA"/>
    <s v="CORE"/>
    <x v="9"/>
    <s v="BBVA"/>
    <e v="#NAME?"/>
    <x v="79"/>
    <n v="0.3"/>
    <s v="Desarrollador"/>
    <s v="Mainframe"/>
    <m/>
    <e v="#NAME?"/>
    <e v="#NAME?"/>
    <e v="#NAME?"/>
    <m/>
    <m/>
    <m/>
    <m/>
    <m/>
    <n v="0"/>
    <m/>
    <m/>
    <m/>
  </r>
  <r>
    <s v="C802977"/>
    <s v="YULY MARCELA OVALLE GOMEZ"/>
    <s v="CORE"/>
    <x v="9"/>
    <s v="BBVA"/>
    <e v="#NAME?"/>
    <x v="20"/>
    <n v="0.1"/>
    <s v="Tech Manager/Líder"/>
    <s v="Otras Tec."/>
    <m/>
    <e v="#NAME?"/>
    <e v="#NAME?"/>
    <e v="#NAME?"/>
    <m/>
    <m/>
    <m/>
    <m/>
    <m/>
    <n v="1"/>
    <m/>
    <m/>
    <m/>
  </r>
  <r>
    <s v="C802977"/>
    <s v="YULY MARCELA OVALLE GOMEZ"/>
    <s v="CORE"/>
    <x v="9"/>
    <s v="BBVA"/>
    <e v="#NAME?"/>
    <x v="72"/>
    <n v="0.15"/>
    <s v="Tech Manager/Líder"/>
    <s v="Otras Tec."/>
    <m/>
    <e v="#NAME?"/>
    <e v="#NAME?"/>
    <e v="#NAME?"/>
    <m/>
    <m/>
    <m/>
    <m/>
    <m/>
    <n v="0"/>
    <m/>
    <m/>
    <m/>
  </r>
  <r>
    <s v="C802977"/>
    <s v="YULY MARCELA OVALLE GOMEZ"/>
    <s v="CORE"/>
    <x v="9"/>
    <s v="BBVA"/>
    <e v="#NAME?"/>
    <x v="70"/>
    <n v="0.1"/>
    <s v="Tech Manager/Líder"/>
    <s v="Otras Tec."/>
    <m/>
    <e v="#NAME?"/>
    <e v="#NAME?"/>
    <e v="#NAME?"/>
    <m/>
    <m/>
    <m/>
    <m/>
    <m/>
    <n v="0"/>
    <m/>
    <m/>
    <m/>
  </r>
  <r>
    <s v="C802977"/>
    <s v="YULY MARCELA OVALLE GOMEZ"/>
    <s v="CORE"/>
    <x v="9"/>
    <s v="BBVA"/>
    <e v="#NAME?"/>
    <x v="76"/>
    <n v="0.15"/>
    <s v="Tech Manager/Líder"/>
    <s v="Otras Tec."/>
    <m/>
    <e v="#NAME?"/>
    <e v="#NAME?"/>
    <e v="#NAME?"/>
    <m/>
    <m/>
    <m/>
    <m/>
    <m/>
    <n v="0"/>
    <m/>
    <m/>
    <m/>
  </r>
  <r>
    <s v="C802977"/>
    <s v="YULY MARCELA OVALLE GOMEZ"/>
    <s v="CORE"/>
    <x v="9"/>
    <s v="BBVA"/>
    <e v="#NAME?"/>
    <x v="5"/>
    <n v="0.1"/>
    <s v="Tech Manager/Líder"/>
    <s v="Otras Tec."/>
    <m/>
    <e v="#NAME?"/>
    <e v="#NAME?"/>
    <e v="#NAME?"/>
    <m/>
    <m/>
    <m/>
    <m/>
    <m/>
    <n v="0"/>
    <m/>
    <m/>
    <m/>
  </r>
  <r>
    <s v="C802977"/>
    <s v="YULY MARCELA OVALLE GOMEZ"/>
    <s v="CORE"/>
    <x v="9"/>
    <s v="BBVA"/>
    <e v="#NAME?"/>
    <x v="78"/>
    <n v="0.1"/>
    <s v="Tech Manager/Líder"/>
    <s v="Otras Tec."/>
    <m/>
    <e v="#NAME?"/>
    <e v="#NAME?"/>
    <e v="#NAME?"/>
    <m/>
    <m/>
    <m/>
    <m/>
    <m/>
    <n v="0"/>
    <m/>
    <m/>
    <m/>
  </r>
  <r>
    <s v="C802977"/>
    <s v="YULY MARCELA OVALLE GOMEZ"/>
    <s v="CORE"/>
    <x v="9"/>
    <s v="BBVA"/>
    <e v="#NAME?"/>
    <x v="77"/>
    <n v="0.1"/>
    <s v="Tech Manager/Líder"/>
    <s v="Otras Tec."/>
    <m/>
    <e v="#NAME?"/>
    <e v="#NAME?"/>
    <e v="#NAME?"/>
    <m/>
    <m/>
    <m/>
    <m/>
    <m/>
    <n v="0"/>
    <m/>
    <m/>
    <m/>
  </r>
  <r>
    <s v="C802977"/>
    <s v="YULY MARCELA OVALLE GOMEZ"/>
    <s v="CORE"/>
    <x v="9"/>
    <s v="BBVA"/>
    <e v="#NAME?"/>
    <x v="71"/>
    <n v="0.1"/>
    <s v="Tech Manager/Líder"/>
    <s v="Otras Tec."/>
    <m/>
    <e v="#NAME?"/>
    <e v="#NAME?"/>
    <e v="#NAME?"/>
    <m/>
    <m/>
    <m/>
    <m/>
    <m/>
    <n v="0"/>
    <m/>
    <m/>
    <m/>
  </r>
  <r>
    <s v="C802977"/>
    <s v="YULY MARCELA OVALLE GOMEZ"/>
    <s v="CORE"/>
    <x v="9"/>
    <s v="BBVA"/>
    <e v="#NAME?"/>
    <x v="79"/>
    <n v="0.1"/>
    <s v="Tech Manager/Líder"/>
    <s v="Otras Tec."/>
    <m/>
    <e v="#NAME?"/>
    <e v="#NAME?"/>
    <e v="#NAME?"/>
    <m/>
    <m/>
    <m/>
    <m/>
    <m/>
    <n v="0"/>
    <m/>
    <m/>
    <m/>
  </r>
  <r>
    <s v="C811410"/>
    <s v="MICHAEL CESAR LLANES POLO"/>
    <s v="CFS"/>
    <x v="8"/>
    <s v="BBVA"/>
    <e v="#NAME?"/>
    <x v="80"/>
    <n v="1"/>
    <s v="Desarrollador"/>
    <s v="Mainframe"/>
    <m/>
    <e v="#NAME?"/>
    <e v="#NAME?"/>
    <e v="#NAME?"/>
    <m/>
    <m/>
    <m/>
    <m/>
    <m/>
    <m/>
    <m/>
    <m/>
    <m/>
  </r>
  <r>
    <s v="O000100"/>
    <s v="LICETH YHOMARY GONZALEZ PENAGOS"/>
    <s v="CFS"/>
    <x v="8"/>
    <s v="BBVA"/>
    <e v="#NAME?"/>
    <x v="81"/>
    <n v="0.75"/>
    <s v="Desarrollador"/>
    <s v="Mainframe"/>
    <m/>
    <e v="#NAME?"/>
    <e v="#NAME?"/>
    <e v="#NAME?"/>
    <m/>
    <m/>
    <m/>
    <m/>
    <m/>
    <m/>
    <m/>
    <m/>
    <m/>
  </r>
  <r>
    <s v="O000100"/>
    <s v="LICETH YHOMARY GONZALEZ PENAGOS"/>
    <s v="CFS"/>
    <x v="8"/>
    <s v="BBVA"/>
    <e v="#NAME?"/>
    <x v="3"/>
    <n v="0.25"/>
    <s v="Desarrollador"/>
    <s v="Mainframe"/>
    <m/>
    <e v="#NAME?"/>
    <e v="#NAME?"/>
    <e v="#NAME?"/>
    <m/>
    <m/>
    <m/>
    <m/>
    <m/>
    <m/>
    <m/>
    <m/>
    <m/>
  </r>
  <r>
    <s v="O001421"/>
    <s v="JULIAN ALBERTO HERRERA SALAZAR"/>
    <s v="CFS"/>
    <x v="8"/>
    <s v="BBVA"/>
    <e v="#NAME?"/>
    <x v="81"/>
    <n v="0.5"/>
    <s v="Desarrollador"/>
    <s v="Mainframe"/>
    <m/>
    <e v="#NAME?"/>
    <e v="#NAME?"/>
    <e v="#NAME?"/>
    <m/>
    <m/>
    <m/>
    <m/>
    <m/>
    <m/>
    <m/>
    <m/>
    <m/>
  </r>
  <r>
    <s v="O001421"/>
    <s v="JULIAN ALBERTO HERRERA SALAZAR"/>
    <s v="CFS"/>
    <x v="8"/>
    <s v="BBVA"/>
    <e v="#NAME?"/>
    <x v="80"/>
    <n v="0.25"/>
    <s v="Desarrollador"/>
    <s v="Mainframe"/>
    <m/>
    <e v="#NAME?"/>
    <e v="#NAME?"/>
    <e v="#NAME?"/>
    <m/>
    <m/>
    <m/>
    <m/>
    <m/>
    <m/>
    <m/>
    <m/>
    <m/>
  </r>
  <r>
    <s v="O001421"/>
    <s v="JULIAN ALBERTO HERRERA SALAZAR"/>
    <s v="CFS"/>
    <x v="8"/>
    <s v="BBVA"/>
    <e v="#NAME?"/>
    <x v="3"/>
    <n v="0.25"/>
    <s v="Desarrollador"/>
    <s v="Mainframe"/>
    <m/>
    <e v="#NAME?"/>
    <e v="#NAME?"/>
    <e v="#NAME?"/>
    <m/>
    <m/>
    <m/>
    <m/>
    <m/>
    <m/>
    <m/>
    <m/>
    <m/>
  </r>
  <r>
    <s v="O001720"/>
    <s v="JOHN FERNANDO AREVALO BERMUDEZ"/>
    <s v="CFS"/>
    <x v="8"/>
    <s v="BBVA"/>
    <e v="#NAME?"/>
    <x v="80"/>
    <n v="0.5"/>
    <s v="Desarrollador"/>
    <s v="Mainframe"/>
    <m/>
    <e v="#NAME?"/>
    <e v="#NAME?"/>
    <e v="#NAME?"/>
    <m/>
    <m/>
    <m/>
    <m/>
    <m/>
    <m/>
    <m/>
    <m/>
    <m/>
  </r>
  <r>
    <s v="O001720"/>
    <s v="JOHN FERNANDO AREVALO BERMUDEZ"/>
    <s v="CFS"/>
    <x v="8"/>
    <s v="BBVA"/>
    <e v="#NAME?"/>
    <x v="3"/>
    <n v="0.25"/>
    <s v="Desarrollador"/>
    <s v="Mainframe"/>
    <m/>
    <e v="#NAME?"/>
    <e v="#NAME?"/>
    <e v="#NAME?"/>
    <m/>
    <m/>
    <m/>
    <m/>
    <m/>
    <m/>
    <m/>
    <m/>
    <m/>
  </r>
  <r>
    <s v="O001720"/>
    <s v="JOHN FERNANDO AREVALO BERMUDEZ"/>
    <s v="CFS"/>
    <x v="8"/>
    <s v="BBVA"/>
    <e v="#NAME?"/>
    <x v="82"/>
    <n v="0.25"/>
    <s v="Desarrollador"/>
    <s v="Mainframe"/>
    <m/>
    <e v="#NAME?"/>
    <e v="#NAME?"/>
    <e v="#NAME?"/>
    <m/>
    <m/>
    <m/>
    <m/>
    <m/>
    <m/>
    <m/>
    <m/>
    <m/>
  </r>
  <r>
    <s v="T003443"/>
    <s v="DANIELA ALEJANDRA ROMERO CANGREJO"/>
    <s v="CFS"/>
    <x v="8"/>
    <s v="Neoris"/>
    <e v="#NAME?"/>
    <x v="80"/>
    <n v="0.5"/>
    <s v="QA"/>
    <s v="Mainframe"/>
    <m/>
    <e v="#NAME?"/>
    <e v="#NAME?"/>
    <e v="#NAME?"/>
    <m/>
    <m/>
    <m/>
    <m/>
    <m/>
    <m/>
    <m/>
    <m/>
    <m/>
  </r>
  <r>
    <s v="T003443"/>
    <s v="DANIELA ALEJANDRA ROMERO CANGREJO"/>
    <s v="CFS"/>
    <x v="8"/>
    <s v="Neoris"/>
    <e v="#NAME?"/>
    <x v="3"/>
    <n v="0.4"/>
    <s v="QA"/>
    <s v="Mainframe"/>
    <m/>
    <e v="#NAME?"/>
    <e v="#NAME?"/>
    <e v="#NAME?"/>
    <m/>
    <m/>
    <m/>
    <m/>
    <m/>
    <m/>
    <m/>
    <m/>
    <m/>
  </r>
  <r>
    <s v="T003443"/>
    <s v="DANIELA ALEJANDRA ROMERO CANGREJO"/>
    <s v="CFS"/>
    <x v="8"/>
    <s v="Neoris"/>
    <e v="#NAME?"/>
    <x v="82"/>
    <n v="0.1"/>
    <s v="QA"/>
    <s v="Mainframe"/>
    <m/>
    <e v="#NAME?"/>
    <e v="#NAME?"/>
    <e v="#NAME?"/>
    <m/>
    <m/>
    <m/>
    <m/>
    <m/>
    <m/>
    <m/>
    <m/>
    <m/>
  </r>
  <r>
    <s v="C811301"/>
    <s v="MARIANELLA FANDIÑO NIETO"/>
    <s v="CFS"/>
    <x v="8"/>
    <s v="BBVA"/>
    <e v="#NAME?"/>
    <x v="80"/>
    <n v="0.3"/>
    <s v="Tech Manager/Líder"/>
    <s v="Mainframe"/>
    <m/>
    <e v="#NAME?"/>
    <e v="#NAME?"/>
    <e v="#NAME?"/>
    <m/>
    <m/>
    <m/>
    <m/>
    <m/>
    <m/>
    <m/>
    <m/>
    <m/>
  </r>
  <r>
    <s v="C811301"/>
    <s v="MARIANELLA FANDIÑO NIETO"/>
    <s v="CFS"/>
    <x v="8"/>
    <s v="BBVA"/>
    <e v="#NAME?"/>
    <x v="81"/>
    <n v="0.4"/>
    <s v="Tech Manager/Líder"/>
    <s v="Mainframe"/>
    <m/>
    <e v="#NAME?"/>
    <e v="#NAME?"/>
    <e v="#NAME?"/>
    <m/>
    <m/>
    <m/>
    <m/>
    <m/>
    <m/>
    <m/>
    <m/>
    <m/>
  </r>
  <r>
    <s v="C811301"/>
    <s v="MARIANELLA FANDIÑO NIETO"/>
    <s v="CFS"/>
    <x v="8"/>
    <s v="BBVA"/>
    <e v="#NAME?"/>
    <x v="3"/>
    <n v="0.2"/>
    <s v="Tech Manager/Líder"/>
    <s v="Mainframe"/>
    <m/>
    <e v="#NAME?"/>
    <e v="#NAME?"/>
    <e v="#NAME?"/>
    <m/>
    <m/>
    <m/>
    <m/>
    <m/>
    <m/>
    <m/>
    <m/>
    <m/>
  </r>
  <r>
    <s v="C811301"/>
    <s v="MARIANELLA FANDIÑO NIETO"/>
    <s v="CFS"/>
    <x v="8"/>
    <s v="BBVA"/>
    <e v="#NAME?"/>
    <x v="82"/>
    <n v="0.1"/>
    <s v="Tech Manager/Líder"/>
    <s v="Mainframe"/>
    <m/>
    <e v="#NAME?"/>
    <e v="#NAME?"/>
    <e v="#NAME?"/>
    <m/>
    <m/>
    <m/>
    <m/>
    <m/>
    <m/>
    <m/>
    <m/>
    <m/>
  </r>
  <r>
    <s v="C804706"/>
    <s v="BAUTISTA MOLINA, LINA MARCELA"/>
    <s v="CFS"/>
    <x v="8"/>
    <s v="BBVA"/>
    <e v="#NAME?"/>
    <x v="71"/>
    <n v="0.8"/>
    <s v="Desarrollador"/>
    <s v="Mainframe"/>
    <m/>
    <e v="#NAME?"/>
    <e v="#NAME?"/>
    <e v="#NAME?"/>
    <m/>
    <m/>
    <m/>
    <m/>
    <m/>
    <m/>
    <m/>
    <m/>
    <m/>
  </r>
  <r>
    <s v="C804706"/>
    <s v="BAUTISTA MOLINA, LINA MARCELA"/>
    <s v="CFS"/>
    <x v="8"/>
    <s v="BBVA"/>
    <e v="#NAME?"/>
    <x v="83"/>
    <n v="0.2"/>
    <s v="Desarrollador"/>
    <s v="Mainframe"/>
    <m/>
    <e v="#NAME?"/>
    <e v="#NAME?"/>
    <e v="#NAME?"/>
    <m/>
    <m/>
    <m/>
    <m/>
    <m/>
    <m/>
    <m/>
    <m/>
    <m/>
  </r>
  <r>
    <s v="C808756"/>
    <s v="BUITRAGO GUALTEROS, ANDRES FELIPE"/>
    <s v="CFS"/>
    <x v="8"/>
    <s v="BBVA"/>
    <e v="#NAME?"/>
    <x v="84"/>
    <n v="0.2"/>
    <s v="Desarrollador"/>
    <s v="Distribuido"/>
    <m/>
    <e v="#NAME?"/>
    <e v="#NAME?"/>
    <e v="#NAME?"/>
    <m/>
    <m/>
    <m/>
    <m/>
    <m/>
    <m/>
    <m/>
    <m/>
    <m/>
  </r>
  <r>
    <s v="C808756"/>
    <s v="BUITRAGO GUALTEROS, ANDRES FELIPE"/>
    <s v="CFS"/>
    <x v="8"/>
    <s v="BBVA"/>
    <e v="#NAME?"/>
    <x v="71"/>
    <n v="0.7"/>
    <s v="Desarrollador"/>
    <s v="Distribuido"/>
    <m/>
    <e v="#NAME?"/>
    <e v="#NAME?"/>
    <e v="#NAME?"/>
    <m/>
    <m/>
    <m/>
    <m/>
    <m/>
    <m/>
    <m/>
    <m/>
    <m/>
  </r>
  <r>
    <s v="C808756"/>
    <s v="BUITRAGO GUALTEROS, ANDRES FELIPE"/>
    <s v="CFS"/>
    <x v="8"/>
    <s v="BBVA"/>
    <e v="#NAME?"/>
    <x v="85"/>
    <n v="0.1"/>
    <s v="Desarrollador"/>
    <s v="Distribuido"/>
    <m/>
    <e v="#NAME?"/>
    <e v="#NAME?"/>
    <e v="#NAME?"/>
    <m/>
    <m/>
    <m/>
    <m/>
    <m/>
    <m/>
    <m/>
    <m/>
    <m/>
  </r>
  <r>
    <s v="C809517"/>
    <s v="VARGAS PEREZ, WENDY MARITZA"/>
    <s v="CFS"/>
    <x v="8"/>
    <s v="BBVA"/>
    <e v="#NAME?"/>
    <x v="84"/>
    <n v="0.8"/>
    <s v="Desarrollador"/>
    <s v="Distribuido"/>
    <m/>
    <e v="#NAME?"/>
    <e v="#NAME?"/>
    <e v="#NAME?"/>
    <m/>
    <m/>
    <m/>
    <m/>
    <m/>
    <m/>
    <m/>
    <m/>
    <m/>
  </r>
  <r>
    <s v="C809517"/>
    <s v="VARGAS PEREZ, WENDY MARITZA"/>
    <s v="CFS"/>
    <x v="8"/>
    <s v="BBVA"/>
    <e v="#NAME?"/>
    <x v="86"/>
    <n v="0.2"/>
    <s v="Desarrollador"/>
    <s v="Distribuido"/>
    <m/>
    <e v="#NAME?"/>
    <e v="#NAME?"/>
    <e v="#NAME?"/>
    <m/>
    <m/>
    <m/>
    <m/>
    <m/>
    <m/>
    <m/>
    <m/>
    <m/>
  </r>
  <r>
    <s v="C811315"/>
    <s v="LOZANO BELTRAN, WILLIAM EDUARDO"/>
    <s v="CFS"/>
    <x v="8"/>
    <s v="BBVA"/>
    <e v="#NAME?"/>
    <x v="86"/>
    <n v="0.8"/>
    <s v="Desarrollador"/>
    <s v="Distribuido"/>
    <m/>
    <e v="#NAME?"/>
    <e v="#NAME?"/>
    <e v="#NAME?"/>
    <m/>
    <m/>
    <m/>
    <m/>
    <m/>
    <m/>
    <m/>
    <m/>
    <m/>
  </r>
  <r>
    <s v="C811315"/>
    <s v="LOZANO BELTRAN, WILLIAM EDUARDO"/>
    <s v="CFS"/>
    <x v="8"/>
    <s v="BBVA"/>
    <e v="#NAME?"/>
    <x v="3"/>
    <n v="0.2"/>
    <s v="Desarrollador"/>
    <s v="Distribuido"/>
    <m/>
    <e v="#NAME?"/>
    <e v="#NAME?"/>
    <e v="#NAME?"/>
    <m/>
    <m/>
    <m/>
    <m/>
    <m/>
    <m/>
    <m/>
    <m/>
    <m/>
  </r>
  <r>
    <s v="CE66885"/>
    <s v="ROJAS VILLEGAS, ADRIAN"/>
    <s v="CFS"/>
    <x v="8"/>
    <s v="Meraki"/>
    <e v="#NAME?"/>
    <x v="84"/>
    <n v="0.5"/>
    <s v="Desarrollador"/>
    <s v="Distribuido"/>
    <m/>
    <e v="#NAME?"/>
    <e v="#NAME?"/>
    <e v="#NAME?"/>
    <m/>
    <m/>
    <m/>
    <m/>
    <m/>
    <m/>
    <m/>
    <m/>
    <m/>
  </r>
  <r>
    <s v="CE57060"/>
    <s v="MORENO HERNANDEZ, KAREN ANDREA"/>
    <s v="CFS"/>
    <x v="8"/>
    <s v="GGI / CMC"/>
    <e v="#NAME?"/>
    <x v="71"/>
    <n v="0.5"/>
    <s v="QA"/>
    <s v="Distribuido"/>
    <m/>
    <e v="#NAME?"/>
    <e v="#NAME?"/>
    <e v="#NAME?"/>
    <m/>
    <m/>
    <m/>
    <m/>
    <m/>
    <m/>
    <m/>
    <m/>
    <m/>
  </r>
  <r>
    <s v="CE57060"/>
    <s v="MORENO HERNANDEZ, KAREN ANDREA"/>
    <s v="CFS"/>
    <x v="8"/>
    <s v="GGI / CMC"/>
    <e v="#NAME?"/>
    <x v="84"/>
    <n v="0.5"/>
    <s v="QA"/>
    <s v="Distribuido"/>
    <m/>
    <e v="#NAME?"/>
    <e v="#NAME?"/>
    <e v="#NAME?"/>
    <m/>
    <m/>
    <m/>
    <m/>
    <m/>
    <m/>
    <m/>
    <m/>
    <m/>
  </r>
  <r>
    <s v="T006700"/>
    <s v="VEGA ROZO, EMANUEL"/>
    <s v="CFS"/>
    <x v="8"/>
    <s v="Choucair"/>
    <e v="#NAME?"/>
    <x v="86"/>
    <n v="0.5"/>
    <s v="QA"/>
    <s v="Distribuido"/>
    <m/>
    <e v="#NAME?"/>
    <e v="#NAME?"/>
    <e v="#NAME?"/>
    <m/>
    <m/>
    <m/>
    <m/>
    <m/>
    <m/>
    <m/>
    <m/>
    <m/>
  </r>
  <r>
    <s v="T006700"/>
    <s v="VEGA ROZO, EMANUEL"/>
    <s v="CFS"/>
    <x v="8"/>
    <s v="Choucair"/>
    <e v="#NAME?"/>
    <x v="71"/>
    <n v="0.5"/>
    <s v="QA"/>
    <s v="Distribuido"/>
    <m/>
    <e v="#NAME?"/>
    <e v="#NAME?"/>
    <e v="#NAME?"/>
    <m/>
    <m/>
    <m/>
    <m/>
    <m/>
    <m/>
    <m/>
    <m/>
    <m/>
  </r>
  <r>
    <s v="C811280"/>
    <s v="SUAREZ RESTREPO, DIANA MARCELA"/>
    <s v="CFS"/>
    <x v="8"/>
    <s v="BBVA"/>
    <e v="#NAME?"/>
    <x v="84"/>
    <n v="0.25"/>
    <s v="Tech Manager/Líder"/>
    <s v="Distribuido"/>
    <m/>
    <e v="#NAME?"/>
    <e v="#NAME?"/>
    <e v="#NAME?"/>
    <m/>
    <m/>
    <m/>
    <m/>
    <m/>
    <m/>
    <m/>
    <m/>
    <m/>
  </r>
  <r>
    <s v="C811280"/>
    <s v="SUAREZ RESTREPO, DIANA MARCELA"/>
    <s v="CFS"/>
    <x v="8"/>
    <s v="BBVA"/>
    <e v="#NAME?"/>
    <x v="71"/>
    <n v="0.4"/>
    <s v="Tech Manager/Líder"/>
    <s v="Distribuido"/>
    <m/>
    <e v="#NAME?"/>
    <e v="#NAME?"/>
    <e v="#NAME?"/>
    <m/>
    <m/>
    <m/>
    <m/>
    <m/>
    <m/>
    <m/>
    <m/>
    <m/>
  </r>
  <r>
    <s v="C811280"/>
    <s v="SUAREZ RESTREPO, DIANA MARCELA"/>
    <s v="CFS"/>
    <x v="8"/>
    <s v="BBVA"/>
    <e v="#NAME?"/>
    <x v="86"/>
    <n v="0.25"/>
    <s v="Tech Manager/Líder"/>
    <s v="Distribuido"/>
    <m/>
    <e v="#NAME?"/>
    <e v="#NAME?"/>
    <e v="#NAME?"/>
    <m/>
    <m/>
    <m/>
    <m/>
    <m/>
    <m/>
    <m/>
    <m/>
    <m/>
  </r>
  <r>
    <s v="C811280"/>
    <s v="SUAREZ RESTREPO, DIANA MARCELA"/>
    <s v="CFS"/>
    <x v="8"/>
    <s v="BBVA"/>
    <e v="#NAME?"/>
    <x v="85"/>
    <n v="0.1"/>
    <s v="Tech Manager/Líder"/>
    <s v="Distribuido"/>
    <m/>
    <e v="#NAME?"/>
    <e v="#NAME?"/>
    <e v="#NAME?"/>
    <m/>
    <m/>
    <m/>
    <m/>
    <m/>
    <m/>
    <m/>
    <m/>
    <m/>
  </r>
  <r>
    <s v="O001828"/>
    <s v="GILDARDO AGUIRRE RIOS"/>
    <s v="CFS"/>
    <x v="8"/>
    <s v="BBVA"/>
    <e v="#NAME?"/>
    <x v="3"/>
    <n v="1"/>
    <s v="Desarrollador"/>
    <s v="Mainframe"/>
    <m/>
    <e v="#NAME?"/>
    <e v="#NAME?"/>
    <e v="#NAME?"/>
    <m/>
    <m/>
    <m/>
    <m/>
    <m/>
    <m/>
    <m/>
    <m/>
    <m/>
  </r>
  <r>
    <s v="C811394"/>
    <s v="ANDRES FELIPE PADILLA ROJAS"/>
    <s v="CFS"/>
    <x v="8"/>
    <s v="BBVA"/>
    <e v="#NAME?"/>
    <x v="3"/>
    <n v="0.75"/>
    <s v="Desarrollador"/>
    <s v="Mainframe"/>
    <m/>
    <e v="#NAME?"/>
    <e v="#NAME?"/>
    <e v="#NAME?"/>
    <m/>
    <m/>
    <m/>
    <m/>
    <m/>
    <m/>
    <m/>
    <m/>
    <m/>
  </r>
  <r>
    <s v="C811394"/>
    <s v="ANDRES FELIPE PADILLA ROJAS"/>
    <s v="CFS"/>
    <x v="8"/>
    <s v="BBVA"/>
    <e v="#NAME?"/>
    <x v="71"/>
    <n v="0.25"/>
    <s v="Desarrollador"/>
    <s v="Mainframe"/>
    <m/>
    <e v="#NAME?"/>
    <e v="#NAME?"/>
    <e v="#NAME?"/>
    <m/>
    <m/>
    <m/>
    <m/>
    <m/>
    <m/>
    <m/>
    <m/>
    <m/>
  </r>
  <r>
    <s v="O002998"/>
    <s v="MARCO FABIAN ZABALA VILLANUEVA"/>
    <s v="CFS"/>
    <x v="8"/>
    <s v="BBVA"/>
    <e v="#NAME?"/>
    <x v="3"/>
    <n v="1"/>
    <s v="Desarrollador"/>
    <s v="Distribuido"/>
    <m/>
    <e v="#NAME?"/>
    <e v="#NAME?"/>
    <e v="#NAME?"/>
    <m/>
    <m/>
    <m/>
    <m/>
    <m/>
    <m/>
    <m/>
    <m/>
    <m/>
  </r>
  <r>
    <s v="CE66758"/>
    <s v="JAIRO LEON ESPITIA BOTIA"/>
    <s v="CFS"/>
    <x v="8"/>
    <s v="Inetum"/>
    <e v="#NAME?"/>
    <x v="3"/>
    <n v="1"/>
    <s v="Desarrollador"/>
    <s v="Mainframe"/>
    <m/>
    <e v="#NAME?"/>
    <e v="#NAME?"/>
    <e v="#NAME?"/>
    <m/>
    <m/>
    <m/>
    <m/>
    <m/>
    <m/>
    <m/>
    <m/>
    <m/>
  </r>
  <r>
    <s v="T004057"/>
    <s v="NANCY YASMIDA REATIGA CARVAJAL"/>
    <s v="CFS"/>
    <x v="8"/>
    <s v="Inetum"/>
    <e v="#NAME?"/>
    <x v="3"/>
    <n v="1"/>
    <s v="Desarrollador"/>
    <s v="Distribuido"/>
    <m/>
    <e v="#NAME?"/>
    <e v="#NAME?"/>
    <e v="#NAME?"/>
    <m/>
    <m/>
    <m/>
    <m/>
    <m/>
    <m/>
    <m/>
    <m/>
    <m/>
  </r>
  <r>
    <s v="C811251"/>
    <s v="ANGELA LILIANA SAENZ FAJARDO"/>
    <s v="CFS"/>
    <x v="8"/>
    <s v="BBVA"/>
    <e v="#NAME?"/>
    <x v="3"/>
    <n v="1"/>
    <s v="Tech Manager/Líder"/>
    <s v="Otras Tec."/>
    <m/>
    <e v="#NAME?"/>
    <e v="#NAME?"/>
    <e v="#NAME?"/>
    <m/>
    <m/>
    <m/>
    <m/>
    <m/>
    <m/>
    <m/>
    <m/>
    <m/>
  </r>
  <r>
    <s v="T007576"/>
    <s v="Juan camilo velasquez mantilla"/>
    <s v="CFS"/>
    <x v="8"/>
    <s v="Inetum"/>
    <e v="#NAME?"/>
    <x v="3"/>
    <n v="0.5"/>
    <s v="Desarrollador"/>
    <s v="Distribuido"/>
    <m/>
    <e v="#NAME?"/>
    <e v="#NAME?"/>
    <e v="#NAME?"/>
    <m/>
    <m/>
    <m/>
    <m/>
    <m/>
    <m/>
    <m/>
    <m/>
    <m/>
  </r>
  <r>
    <s v="O001037"/>
    <s v="ANDRES CAMILO PARRA SUAREZ"/>
    <s v="CFS"/>
    <x v="8"/>
    <s v="BBVA"/>
    <e v="#NAME?"/>
    <x v="40"/>
    <n v="0.5"/>
    <s v="Desarrollador"/>
    <s v="Distribuido"/>
    <m/>
    <e v="#NAME?"/>
    <e v="#NAME?"/>
    <e v="#NAME?"/>
    <m/>
    <m/>
    <m/>
    <m/>
    <m/>
    <m/>
    <m/>
    <m/>
    <m/>
  </r>
  <r>
    <s v="O001037"/>
    <s v="ANDRES CAMILO PARRA SUAREZ"/>
    <s v="CFS"/>
    <x v="8"/>
    <s v="BBVA"/>
    <e v="#NAME?"/>
    <x v="83"/>
    <n v="0.5"/>
    <s v="Desarrollador"/>
    <s v="Distribuido"/>
    <m/>
    <e v="#NAME?"/>
    <e v="#NAME?"/>
    <e v="#NAME?"/>
    <m/>
    <m/>
    <m/>
    <m/>
    <m/>
    <m/>
    <m/>
    <m/>
    <m/>
  </r>
  <r>
    <s v="C805314"/>
    <s v="NELSON LEONEL FONSECA OCHOA"/>
    <s v="CFS"/>
    <x v="8"/>
    <s v="BBVA"/>
    <e v="#NAME?"/>
    <x v="82"/>
    <n v="0.9"/>
    <s v="Desarrollador"/>
    <s v="Distribuido"/>
    <m/>
    <e v="#NAME?"/>
    <e v="#NAME?"/>
    <e v="#NAME?"/>
    <m/>
    <m/>
    <m/>
    <m/>
    <m/>
    <m/>
    <m/>
    <m/>
    <m/>
  </r>
  <r>
    <s v="C805314"/>
    <s v="NELSON LEONEL FONSECA OCHOA"/>
    <s v="CFS"/>
    <x v="8"/>
    <s v="BBVA"/>
    <e v="#NAME?"/>
    <x v="82"/>
    <n v="0.1"/>
    <s v="Desarrollador"/>
    <s v="Distribuido"/>
    <m/>
    <e v="#NAME?"/>
    <e v="#NAME?"/>
    <e v="#NAME?"/>
    <m/>
    <m/>
    <m/>
    <m/>
    <m/>
    <m/>
    <m/>
    <m/>
    <m/>
  </r>
  <r>
    <s v="CE68712"/>
    <s v="EDWARD STIVEN RODRIGUEZ MORENO"/>
    <s v="CFS"/>
    <x v="8"/>
    <s v="BLUETAB"/>
    <e v="#NAME?"/>
    <x v="82"/>
    <n v="0.3"/>
    <s v="Desarrollador"/>
    <s v="Otras Tec."/>
    <m/>
    <e v="#NAME?"/>
    <e v="#NAME?"/>
    <e v="#NAME?"/>
    <m/>
    <m/>
    <m/>
    <m/>
    <m/>
    <m/>
    <m/>
    <m/>
    <m/>
  </r>
  <r>
    <s v="CE57396"/>
    <s v="JUAN PABLO AREVALO MERCHAN"/>
    <s v="CFS"/>
    <x v="8"/>
    <s v="BLUETAB"/>
    <e v="#NAME?"/>
    <x v="82"/>
    <n v="0.3"/>
    <s v="Desarrollador"/>
    <s v="Otras Tec."/>
    <m/>
    <e v="#NAME?"/>
    <e v="#NAME?"/>
    <e v="#NAME?"/>
    <m/>
    <m/>
    <m/>
    <m/>
    <m/>
    <m/>
    <m/>
    <m/>
    <m/>
  </r>
  <r>
    <s v="O002482"/>
    <s v="SERGIO ANDRES SEPULVEDA CRUZ"/>
    <s v="CFS"/>
    <x v="8"/>
    <s v="BBVA"/>
    <e v="#NAME?"/>
    <x v="86"/>
    <n v="0.5"/>
    <s v="Desarrollador"/>
    <s v="Distribuido"/>
    <m/>
    <e v="#NAME?"/>
    <e v="#NAME?"/>
    <e v="#NAME?"/>
    <m/>
    <m/>
    <m/>
    <m/>
    <m/>
    <m/>
    <m/>
    <m/>
    <m/>
  </r>
  <r>
    <s v="O002482"/>
    <s v="SERGIO ANDRES SEPULVEDA CRUZ"/>
    <s v="CFS"/>
    <x v="8"/>
    <s v="BBVA"/>
    <e v="#NAME?"/>
    <x v="87"/>
    <n v="0.5"/>
    <s v="Desarrollador"/>
    <s v="Distribuido"/>
    <m/>
    <e v="#NAME?"/>
    <e v="#NAME?"/>
    <e v="#NAME?"/>
    <m/>
    <m/>
    <m/>
    <m/>
    <m/>
    <m/>
    <m/>
    <m/>
    <m/>
  </r>
  <r>
    <s v="C811279"/>
    <s v="FREDY MAURICIO CELY HERNÁNDEZ"/>
    <s v="CFS"/>
    <x v="8"/>
    <s v="BBVA"/>
    <e v="#NAME?"/>
    <x v="40"/>
    <n v="0.3"/>
    <s v="Tech Manager/Líder"/>
    <s v="Distribuido"/>
    <m/>
    <e v="#NAME?"/>
    <e v="#NAME?"/>
    <e v="#NAME?"/>
    <m/>
    <m/>
    <m/>
    <m/>
    <m/>
    <m/>
    <m/>
    <m/>
    <m/>
  </r>
  <r>
    <s v="C811279"/>
    <s v="FREDY MAURICIO CELY HERNÁNDEZ"/>
    <s v="CFS"/>
    <x v="8"/>
    <s v="BBVA"/>
    <e v="#NAME?"/>
    <x v="82"/>
    <n v="0.3"/>
    <s v="Tech Manager/Líder"/>
    <s v="Distribuido"/>
    <m/>
    <e v="#NAME?"/>
    <e v="#NAME?"/>
    <e v="#NAME?"/>
    <m/>
    <m/>
    <m/>
    <m/>
    <m/>
    <m/>
    <m/>
    <m/>
    <m/>
  </r>
  <r>
    <s v="C811279"/>
    <s v="FREDY MAURICIO CELY HERNÁNDEZ"/>
    <s v="CFS"/>
    <x v="8"/>
    <s v="BBVA"/>
    <e v="#NAME?"/>
    <x v="86"/>
    <n v="0.3"/>
    <s v="Tech Manager/Líder"/>
    <s v="Distribuido"/>
    <m/>
    <e v="#NAME?"/>
    <e v="#NAME?"/>
    <e v="#NAME?"/>
    <m/>
    <m/>
    <m/>
    <m/>
    <m/>
    <m/>
    <m/>
    <m/>
    <m/>
  </r>
  <r>
    <s v="C811279"/>
    <s v="FREDY MAURICIO CELY HERNÁNDEZ"/>
    <s v="CFS"/>
    <x v="8"/>
    <s v="BBVA"/>
    <e v="#NAME?"/>
    <x v="3"/>
    <n v="0.1"/>
    <s v="Tech Manager/Líder"/>
    <s v="Distribuido"/>
    <m/>
    <e v="#NAME?"/>
    <e v="#NAME?"/>
    <e v="#NAME?"/>
    <m/>
    <m/>
    <m/>
    <m/>
    <m/>
    <m/>
    <m/>
    <m/>
    <m/>
  </r>
  <r>
    <s v="C805717"/>
    <s v="ANDRES CAMILO BOHORQUEZ CASTILLO"/>
    <s v="ENTERPRISE"/>
    <x v="10"/>
    <s v="BBVA"/>
    <e v="#NAME?"/>
    <x v="88"/>
    <n v="1"/>
    <s v="Desarrollador"/>
    <s v="ASO"/>
    <s v="Interno"/>
    <e v="#NAME?"/>
    <e v="#NAME?"/>
    <e v="#NAME?"/>
    <m/>
    <m/>
    <m/>
    <m/>
    <m/>
    <m/>
    <m/>
    <m/>
    <m/>
  </r>
  <r>
    <s v="C810865"/>
    <s v="AUGUSTO CARDONA GIRALDO"/>
    <s v="ENTERPRISE"/>
    <x v="10"/>
    <s v="BBVA"/>
    <e v="#NAME?"/>
    <x v="89"/>
    <n v="1"/>
    <s v="Desarrollador"/>
    <s v="Cells"/>
    <s v="Interno"/>
    <e v="#NAME?"/>
    <e v="#NAME?"/>
    <e v="#NAME?"/>
    <m/>
    <m/>
    <m/>
    <m/>
    <m/>
    <m/>
    <m/>
    <m/>
    <m/>
  </r>
  <r>
    <s v="CE68863"/>
    <s v="JUAN CAMILO CASTANO RAMIREZ"/>
    <s v="ENTERPRISE"/>
    <x v="10"/>
    <s v="GGI / CMC"/>
    <e v="#NAME?"/>
    <x v="90"/>
    <n v="1"/>
    <s v="QA"/>
    <s v="Distribuido"/>
    <s v="Externo"/>
    <e v="#NAME?"/>
    <e v="#NAME?"/>
    <e v="#NAME?"/>
    <m/>
    <m/>
    <m/>
    <m/>
    <m/>
    <m/>
    <m/>
    <m/>
    <m/>
  </r>
  <r>
    <s v="CE68333"/>
    <s v="DANIEL FERNANDO DIAZ CACERES"/>
    <s v="ENTERPRISE"/>
    <x v="10"/>
    <s v="GGI / CMC"/>
    <e v="#NAME?"/>
    <x v="91"/>
    <n v="1"/>
    <s v="QA"/>
    <s v="Distribuido"/>
    <s v="Externo"/>
    <e v="#NAME?"/>
    <e v="#NAME?"/>
    <e v="#NAME?"/>
    <m/>
    <m/>
    <m/>
    <m/>
    <m/>
    <m/>
    <m/>
    <m/>
    <m/>
  </r>
  <r>
    <s v="C811398"/>
    <s v="EDISSON ARMANDO BLANCO SALAMANCA"/>
    <s v="ENTERPRISE"/>
    <x v="10"/>
    <s v="BBVA"/>
    <e v="#NAME?"/>
    <x v="88"/>
    <n v="1"/>
    <s v="Desarrollador"/>
    <s v="Cells"/>
    <s v="Interno"/>
    <e v="#NAME?"/>
    <e v="#NAME?"/>
    <e v="#NAME?"/>
    <m/>
    <m/>
    <m/>
    <m/>
    <m/>
    <m/>
    <m/>
    <m/>
    <m/>
  </r>
  <r>
    <s v="CE48026"/>
    <s v="GIOVANNY ALEXANDER PEÑA GUTIÉRREZ"/>
    <s v="ENTERPRISE"/>
    <x v="10"/>
    <s v="Novatec"/>
    <e v="#NAME?"/>
    <x v="88"/>
    <n v="1"/>
    <s v="Desarrollador"/>
    <s v="ASO"/>
    <s v="Externo"/>
    <e v="#NAME?"/>
    <e v="#NAME?"/>
    <e v="#NAME?"/>
    <m/>
    <m/>
    <m/>
    <m/>
    <m/>
    <m/>
    <m/>
    <m/>
    <m/>
  </r>
  <r>
    <s v="CE62622"/>
    <s v="HERNAN DARIO RAMOS ORTIZ"/>
    <s v="ENTERPRISE"/>
    <x v="10"/>
    <s v="Novatec"/>
    <e v="#NAME?"/>
    <x v="89"/>
    <n v="1"/>
    <s v="Desarrollador"/>
    <s v="ASO"/>
    <s v="Externo"/>
    <e v="#NAME?"/>
    <e v="#NAME?"/>
    <e v="#NAME?"/>
    <m/>
    <m/>
    <m/>
    <m/>
    <m/>
    <m/>
    <m/>
    <m/>
    <m/>
  </r>
  <r>
    <s v="CE68193"/>
    <s v="JOAN FEDERICO MARIN RUIZ"/>
    <s v="ENTERPRISE"/>
    <x v="10"/>
    <s v="Choucair"/>
    <e v="#NAME?"/>
    <x v="89"/>
    <n v="1"/>
    <s v="QA"/>
    <s v="ASO"/>
    <s v="Externo"/>
    <e v="#NAME?"/>
    <e v="#NAME?"/>
    <e v="#NAME?"/>
    <m/>
    <m/>
    <m/>
    <m/>
    <m/>
    <m/>
    <m/>
    <m/>
    <m/>
  </r>
  <r>
    <s v="CE65559"/>
    <s v="JOHN MARLON NUÑEZ NIÑO"/>
    <s v="ENTERPRISE"/>
    <x v="10"/>
    <s v="Neoris"/>
    <e v="#NAME?"/>
    <x v="91"/>
    <n v="1"/>
    <s v="Desarrollador"/>
    <s v="ASO"/>
    <s v="Externo"/>
    <e v="#NAME?"/>
    <e v="#NAME?"/>
    <e v="#NAME?"/>
    <m/>
    <m/>
    <m/>
    <m/>
    <m/>
    <m/>
    <m/>
    <m/>
    <m/>
  </r>
  <r>
    <s v="C811355"/>
    <s v="JORGE ANDRES REINA ANGULO"/>
    <s v="ENTERPRISE"/>
    <x v="10"/>
    <s v="BBVA"/>
    <e v="#NAME?"/>
    <x v="88"/>
    <n v="1"/>
    <s v="Desarrollador"/>
    <s v="APX"/>
    <s v="Interno"/>
    <e v="#NAME?"/>
    <e v="#NAME?"/>
    <e v="#NAME?"/>
    <m/>
    <m/>
    <m/>
    <m/>
    <m/>
    <m/>
    <m/>
    <m/>
    <m/>
  </r>
  <r>
    <s v="T007488"/>
    <s v="JUAN ESTEBAN ALARCON MIRANDA"/>
    <s v="ENTERPRISE"/>
    <x v="10"/>
    <s v="Indra"/>
    <e v="#NAME?"/>
    <x v="89"/>
    <n v="1"/>
    <s v="Desarrollador"/>
    <s v="APX"/>
    <s v="Externo"/>
    <e v="#NAME?"/>
    <e v="#NAME?"/>
    <e v="#NAME?"/>
    <m/>
    <m/>
    <m/>
    <m/>
    <m/>
    <m/>
    <m/>
    <m/>
    <m/>
  </r>
  <r>
    <s v="CE57488"/>
    <s v="JULIAN FERNANDO MARTINEZ RODRIGUEZ"/>
    <s v="ENTERPRISE"/>
    <x v="10"/>
    <s v="Indra"/>
    <e v="#NAME?"/>
    <x v="89"/>
    <n v="1"/>
    <s v="Desarrollador"/>
    <s v="ASO"/>
    <s v="Externo"/>
    <e v="#NAME?"/>
    <e v="#NAME?"/>
    <e v="#NAME?"/>
    <m/>
    <m/>
    <m/>
    <m/>
    <m/>
    <m/>
    <m/>
    <m/>
    <m/>
  </r>
  <r>
    <s v="T011800"/>
    <s v="LEIDY CATERINE ARIZA BALLESTEROS"/>
    <s v="ENTERPRISE"/>
    <x v="10"/>
    <s v="Novatec"/>
    <e v="#NAME?"/>
    <x v="92"/>
    <n v="1"/>
    <s v="Desarrollador"/>
    <s v="Mainframe"/>
    <s v="Externo"/>
    <e v="#NAME?"/>
    <e v="#NAME?"/>
    <e v="#NAME?"/>
    <m/>
    <m/>
    <m/>
    <m/>
    <m/>
    <m/>
    <m/>
    <m/>
    <m/>
  </r>
  <r>
    <s v="T011110"/>
    <s v="LUIS ALEJANDRO BURGOS"/>
    <s v="ENTERPRISE"/>
    <x v="10"/>
    <s v="Indra"/>
    <e v="#NAME?"/>
    <x v="89"/>
    <n v="1"/>
    <s v="Desarrollador"/>
    <s v="Cells"/>
    <s v="Externo"/>
    <e v="#NAME?"/>
    <e v="#NAME?"/>
    <e v="#NAME?"/>
    <m/>
    <m/>
    <m/>
    <m/>
    <m/>
    <m/>
    <m/>
    <m/>
    <m/>
  </r>
  <r>
    <s v="CE29535"/>
    <s v="LUIS FERNANDO PEÑA CAICEDO"/>
    <s v="ENTERPRISE"/>
    <x v="10"/>
    <s v="Inetum"/>
    <e v="#NAME?"/>
    <x v="88"/>
    <n v="1"/>
    <s v="Desarrollador"/>
    <s v="Distribuido"/>
    <s v="Externo"/>
    <e v="#NAME?"/>
    <e v="#NAME?"/>
    <e v="#NAME?"/>
    <m/>
    <m/>
    <m/>
    <m/>
    <m/>
    <m/>
    <m/>
    <m/>
    <m/>
  </r>
  <r>
    <s v="C783731"/>
    <s v="MARCO JULIO GOMEZ AMADO"/>
    <s v="ENTERPRISE"/>
    <x v="10"/>
    <s v="BBVA"/>
    <e v="#NAME?"/>
    <x v="88"/>
    <n v="0.5"/>
    <s v="Tech Manager/Líder"/>
    <s v="Mainframe"/>
    <s v="Interno"/>
    <e v="#NAME?"/>
    <e v="#NAME?"/>
    <e v="#NAME?"/>
    <m/>
    <m/>
    <m/>
    <m/>
    <m/>
    <m/>
    <m/>
    <m/>
    <m/>
  </r>
  <r>
    <s v="C783731"/>
    <s v="MARCO JULIO GOMEZ AMADO"/>
    <s v="ENTERPRISE"/>
    <x v="10"/>
    <s v="BBVA"/>
    <e v="#NAME?"/>
    <x v="90"/>
    <n v="0.5"/>
    <s v="Tech Manager/Líder"/>
    <s v="Mainframe"/>
    <s v="Interno"/>
    <e v="#NAME?"/>
    <e v="#NAME?"/>
    <e v="#NAME?"/>
    <m/>
    <m/>
    <m/>
    <m/>
    <m/>
    <m/>
    <m/>
    <m/>
    <m/>
  </r>
  <r>
    <s v="CE30639"/>
    <s v="MARIO FERNANDO RAMIREZ LEGUIZAMON"/>
    <s v="ENTERPRISE"/>
    <x v="10"/>
    <s v="GGI / CMC"/>
    <e v="#NAME?"/>
    <x v="92"/>
    <n v="0.5"/>
    <s v="QA"/>
    <s v="Distribuido"/>
    <s v="Externo"/>
    <e v="#NAME?"/>
    <e v="#NAME?"/>
    <e v="#NAME?"/>
    <m/>
    <m/>
    <m/>
    <m/>
    <m/>
    <m/>
    <m/>
    <m/>
    <m/>
  </r>
  <r>
    <s v="CE30639"/>
    <s v="MARIO FERNANDO RAMIREZ LEGUIZAMON"/>
    <s v="ENTERPRISE"/>
    <x v="10"/>
    <s v="GGI / CMC"/>
    <e v="#NAME?"/>
    <x v="91"/>
    <n v="0.5"/>
    <s v="QA"/>
    <s v="Distribuido"/>
    <s v="Externo"/>
    <e v="#NAME?"/>
    <e v="#NAME?"/>
    <e v="#NAME?"/>
    <m/>
    <m/>
    <m/>
    <m/>
    <m/>
    <m/>
    <m/>
    <m/>
    <m/>
  </r>
  <r>
    <s v="XP60574"/>
    <s v="PEDRO MOLLEHUANCA TORRES"/>
    <s v="ENTERPRISE"/>
    <x v="10"/>
    <s v="Indra"/>
    <e v="#NAME?"/>
    <x v="89"/>
    <n v="1"/>
    <s v="Desarrollador"/>
    <s v="Cells"/>
    <s v="Externo"/>
    <e v="#NAME?"/>
    <e v="#NAME?"/>
    <e v="#NAME?"/>
    <m/>
    <m/>
    <m/>
    <m/>
    <m/>
    <m/>
    <m/>
    <m/>
    <m/>
  </r>
  <r>
    <s v="CE70178 "/>
    <s v="SERGIO ANDRES BRAVO ROMERO"/>
    <s v="ENTERPRISE"/>
    <x v="10"/>
    <s v="Neoris"/>
    <e v="#NAME?"/>
    <x v="88"/>
    <n v="1"/>
    <s v="Desarrollador"/>
    <s v="APX"/>
    <s v="Externo"/>
    <e v="#NAME?"/>
    <e v="#NAME?"/>
    <e v="#NAME?"/>
    <m/>
    <m/>
    <m/>
    <m/>
    <m/>
    <m/>
    <m/>
    <m/>
    <m/>
  </r>
  <r>
    <s v="T007666"/>
    <s v="TEDDY JEFERSON POVEDA SARAY"/>
    <s v="ENTERPRISE"/>
    <x v="10"/>
    <s v="GGI / CMC"/>
    <e v="#NAME?"/>
    <x v="89"/>
    <n v="1"/>
    <s v="Desarrollador"/>
    <s v="Distribuido"/>
    <s v="Externo"/>
    <e v="#NAME?"/>
    <e v="#NAME?"/>
    <e v="#NAME?"/>
    <m/>
    <m/>
    <m/>
    <m/>
    <m/>
    <m/>
    <m/>
    <m/>
    <m/>
  </r>
  <r>
    <s v="C811395"/>
    <s v="VICTOR MANUEL PEREZ CONTRERAS"/>
    <s v="ENTERPRISE"/>
    <x v="10"/>
    <s v="BBVA"/>
    <e v="#NAME?"/>
    <x v="89"/>
    <n v="1"/>
    <s v="Desarrollador"/>
    <s v="APX"/>
    <s v="Interno"/>
    <e v="#NAME?"/>
    <e v="#NAME?"/>
    <e v="#NAME?"/>
    <m/>
    <m/>
    <m/>
    <m/>
    <m/>
    <m/>
    <m/>
    <m/>
    <m/>
  </r>
  <r>
    <s v="C810827"/>
    <s v="WILLIAM CAMILO RUBIO QUINTERO"/>
    <s v="ENTERPRISE"/>
    <x v="10"/>
    <s v="BBVA"/>
    <e v="#NAME?"/>
    <x v="89"/>
    <n v="1"/>
    <s v="Tech Manager/Líder"/>
    <s v="ASO"/>
    <s v="Interno"/>
    <e v="#NAME?"/>
    <e v="#NAME?"/>
    <e v="#NAME?"/>
    <m/>
    <m/>
    <m/>
    <m/>
    <m/>
    <m/>
    <m/>
    <m/>
    <m/>
  </r>
  <r>
    <s v="C805746"/>
    <s v="LAURA NATHALY NIETO AMAYA"/>
    <s v="ENTERPRISE"/>
    <x v="10"/>
    <s v="BBVA"/>
    <e v="#NAME?"/>
    <x v="92"/>
    <n v="1"/>
    <s v="Tech Manager/Líder"/>
    <s v="Mainframe"/>
    <s v="Interno"/>
    <e v="#NAME?"/>
    <e v="#NAME?"/>
    <e v="#NAME?"/>
    <m/>
    <m/>
    <m/>
    <m/>
    <m/>
    <m/>
    <m/>
    <m/>
    <m/>
  </r>
  <r>
    <s v="C804121"/>
    <s v="HECTOR JESUS SISO JIMENEZ"/>
    <s v="ENTERPRISE"/>
    <x v="10"/>
    <s v="BBVA"/>
    <e v="#NAME?"/>
    <x v="92"/>
    <n v="0.5"/>
    <s v="Tech Manager/Líder"/>
    <s v="APX"/>
    <s v="Interno"/>
    <e v="#NAME?"/>
    <e v="#NAME?"/>
    <e v="#NAME?"/>
    <m/>
    <m/>
    <m/>
    <m/>
    <m/>
    <m/>
    <m/>
    <m/>
    <m/>
  </r>
  <r>
    <s v="C804121"/>
    <s v="HECTOR JESUS SISO JIMENEZ"/>
    <s v="ENTERPRISE"/>
    <x v="10"/>
    <s v="BBVA"/>
    <e v="#NAME?"/>
    <x v="3"/>
    <n v="0.5"/>
    <s v="Otros"/>
    <s v="APX"/>
    <m/>
    <e v="#NAME?"/>
    <e v="#NAME?"/>
    <e v="#NAME?"/>
    <m/>
    <m/>
    <m/>
    <m/>
    <m/>
    <m/>
    <m/>
    <m/>
    <m/>
  </r>
  <r>
    <s v="C811232"/>
    <s v="CARLOS ANDRES SUAREZ"/>
    <s v="ENTERPRISE"/>
    <x v="10"/>
    <s v="BBVA"/>
    <e v="#NAME?"/>
    <x v="90"/>
    <n v="1"/>
    <s v="Desarrollador"/>
    <s v="Cells"/>
    <m/>
    <e v="#NAME?"/>
    <e v="#NAME?"/>
    <e v="#NAME?"/>
    <m/>
    <m/>
    <m/>
    <m/>
    <m/>
    <m/>
    <m/>
    <m/>
    <m/>
  </r>
  <r>
    <s v="C811390"/>
    <s v="WILMAR CRUZ MORA"/>
    <s v="ENTERPRISE"/>
    <x v="10"/>
    <s v="BBVA"/>
    <e v="#NAME?"/>
    <x v="3"/>
    <n v="1"/>
    <s v="Desarrollador"/>
    <s v="Mainframe"/>
    <m/>
    <e v="#NAME?"/>
    <e v="#NAME?"/>
    <e v="#NAME?"/>
    <m/>
    <m/>
    <m/>
    <m/>
    <m/>
    <m/>
    <m/>
    <m/>
    <m/>
  </r>
  <r>
    <s v="O002008"/>
    <s v="ANDRES ALBERTO ARIZA "/>
    <s v="ENTERPRISE"/>
    <x v="10"/>
    <s v="BBVA"/>
    <e v="#NAME?"/>
    <x v="90"/>
    <n v="1"/>
    <s v="Tech Manager/Líder"/>
    <s v="ASO"/>
    <m/>
    <e v="#NAME?"/>
    <e v="#NAME?"/>
    <e v="#NAME?"/>
    <m/>
    <m/>
    <m/>
    <m/>
    <m/>
    <m/>
    <m/>
    <m/>
    <m/>
  </r>
  <r>
    <s v="O001644"/>
    <s v="JOSE LUIS SARTA ALVAREZ"/>
    <s v="ENTERPRISE"/>
    <x v="10"/>
    <s v="BBVA"/>
    <e v="#NAME?"/>
    <x v="3"/>
    <n v="1"/>
    <s v="Desarrollador"/>
    <s v="Cells"/>
    <m/>
    <e v="#NAME?"/>
    <e v="#NAME?"/>
    <e v="#NAME?"/>
    <m/>
    <m/>
    <m/>
    <m/>
    <m/>
    <m/>
    <m/>
    <m/>
    <m/>
  </r>
  <r>
    <s v="O004968"/>
    <s v="DANIEL FERNANDO USECHE"/>
    <s v="ENTERPRISE"/>
    <x v="10"/>
    <s v="BBVA"/>
    <e v="#NAME?"/>
    <x v="3"/>
    <n v="1"/>
    <s v="Desarrollador"/>
    <s v="ASO"/>
    <m/>
    <e v="#NAME?"/>
    <e v="#NAME?"/>
    <e v="#NAME?"/>
    <m/>
    <m/>
    <m/>
    <m/>
    <m/>
    <m/>
    <m/>
    <m/>
    <m/>
  </r>
  <r>
    <s v="T011807"/>
    <s v="DARLY FERNANDA SANDOVAL PLAZAS"/>
    <s v="ENTERPRISE"/>
    <x v="10"/>
    <s v="Novatec"/>
    <e v="#NAME?"/>
    <x v="92"/>
    <n v="0.1"/>
    <s v="Otros"/>
    <s v="Otras Tec."/>
    <m/>
    <e v="#NAME?"/>
    <e v="#NAME?"/>
    <e v="#NAME?"/>
    <m/>
    <m/>
    <m/>
    <m/>
    <m/>
    <m/>
    <m/>
    <m/>
    <m/>
  </r>
  <r>
    <s v="T011807"/>
    <s v="DARLY FERNANDA SANDOVAL PLAZAS"/>
    <s v="ENTERPRISE"/>
    <x v="10"/>
    <s v="Novatec"/>
    <e v="#NAME?"/>
    <x v="89"/>
    <n v="0.15"/>
    <s v="Otros"/>
    <s v="Otras Tec."/>
    <m/>
    <e v="#NAME?"/>
    <e v="#NAME?"/>
    <e v="#NAME?"/>
    <m/>
    <m/>
    <m/>
    <m/>
    <m/>
    <m/>
    <m/>
    <m/>
    <m/>
  </r>
  <r>
    <s v="T011807"/>
    <s v="DARLY FERNANDA SANDOVAL PLAZAS"/>
    <s v="ENTERPRISE"/>
    <x v="10"/>
    <s v="Novatec"/>
    <e v="#NAME?"/>
    <x v="88"/>
    <n v="0.15"/>
    <s v="Otros"/>
    <s v="Otras Tec."/>
    <m/>
    <e v="#NAME?"/>
    <e v="#NAME?"/>
    <e v="#NAME?"/>
    <m/>
    <m/>
    <m/>
    <m/>
    <m/>
    <m/>
    <m/>
    <m/>
    <m/>
  </r>
  <r>
    <s v="T011807"/>
    <s v="DARLY FERNANDA SANDOVAL PLAZAS"/>
    <s v="ENTERPRISE"/>
    <x v="10"/>
    <s v="Novatec"/>
    <e v="#NAME?"/>
    <x v="90"/>
    <n v="0.15"/>
    <s v="Otros"/>
    <s v="Otras Tec."/>
    <m/>
    <e v="#NAME?"/>
    <e v="#NAME?"/>
    <e v="#NAME?"/>
    <m/>
    <m/>
    <m/>
    <m/>
    <m/>
    <m/>
    <m/>
    <m/>
    <m/>
  </r>
  <r>
    <s v="T011807"/>
    <s v="DARLY FERNANDA SANDOVAL PLAZAS"/>
    <s v="ENTERPRISE"/>
    <x v="3"/>
    <s v="Novatec"/>
    <e v="#NAME?"/>
    <x v="93"/>
    <n v="0.15"/>
    <s v="Otros"/>
    <s v="Otras Tec."/>
    <m/>
    <e v="#NAME?"/>
    <e v="#NAME?"/>
    <e v="#NAME?"/>
    <m/>
    <m/>
    <m/>
    <m/>
    <m/>
    <m/>
    <m/>
    <m/>
    <m/>
  </r>
  <r>
    <s v="T011807"/>
    <s v="DARLY FERNANDA SANDOVAL PLAZAS"/>
    <s v="ENTERPRISE"/>
    <x v="3"/>
    <s v="Novatec"/>
    <e v="#NAME?"/>
    <x v="22"/>
    <n v="0.15"/>
    <s v="Otros"/>
    <s v="Otras Tec."/>
    <m/>
    <e v="#NAME?"/>
    <e v="#NAME?"/>
    <e v="#NAME?"/>
    <m/>
    <m/>
    <m/>
    <m/>
    <m/>
    <m/>
    <m/>
    <m/>
    <m/>
  </r>
  <r>
    <s v="T011807"/>
    <s v="DARLY FERNANDA SANDOVAL PLAZAS"/>
    <s v="ENTERPRISE"/>
    <x v="10"/>
    <s v="Novatec"/>
    <e v="#NAME?"/>
    <x v="94"/>
    <n v="0.15"/>
    <s v="Otros"/>
    <s v="Otras Tec."/>
    <m/>
    <e v="#NAME?"/>
    <e v="#NAME?"/>
    <e v="#NAME?"/>
    <m/>
    <m/>
    <m/>
    <m/>
    <m/>
    <m/>
    <m/>
    <m/>
    <m/>
  </r>
  <r>
    <s v="CE51863"/>
    <s v="EDNA ROCIO MONCADA"/>
    <s v="ENTERPRISE"/>
    <x v="10"/>
    <s v="KRYPTO"/>
    <e v="#NAME?"/>
    <x v="92"/>
    <n v="7.0000000000000007E-2"/>
    <s v="QA"/>
    <s v="Distribuido"/>
    <s v="QC"/>
    <e v="#NAME?"/>
    <e v="#NAME?"/>
    <e v="#NAME?"/>
    <e v="#N/A"/>
    <e v="#N/A"/>
    <e v="#REF!"/>
    <m/>
    <m/>
    <m/>
    <m/>
    <m/>
    <m/>
  </r>
  <r>
    <s v="CE51863"/>
    <s v="EDNA ROCIO MONCADA"/>
    <s v="ENTERPRISE"/>
    <x v="10"/>
    <s v="KRYPTO"/>
    <e v="#NAME?"/>
    <x v="89"/>
    <n v="7.0000000000000007E-2"/>
    <s v="QA"/>
    <s v="Distribuido"/>
    <s v="QC"/>
    <e v="#NAME?"/>
    <e v="#NAME?"/>
    <e v="#NAME?"/>
    <e v="#N/A"/>
    <e v="#N/A"/>
    <e v="#REF!"/>
    <m/>
    <m/>
    <m/>
    <m/>
    <m/>
    <m/>
  </r>
  <r>
    <s v="CE51863"/>
    <s v="EDNA ROCIO MONCADA"/>
    <s v="ENTERPRISE"/>
    <x v="10"/>
    <s v="KRYPTO"/>
    <e v="#NAME?"/>
    <x v="88"/>
    <n v="7.0000000000000007E-2"/>
    <s v="QA"/>
    <s v="Distribuido"/>
    <s v="QC"/>
    <e v="#NAME?"/>
    <e v="#NAME?"/>
    <e v="#NAME?"/>
    <e v="#N/A"/>
    <e v="#N/A"/>
    <e v="#REF!"/>
    <m/>
    <m/>
    <m/>
    <m/>
    <m/>
    <m/>
  </r>
  <r>
    <s v="CE51863"/>
    <s v="EDNA ROCIO MONCADA"/>
    <s v="ENTERPRISE"/>
    <x v="10"/>
    <s v="KRYPTO"/>
    <e v="#NAME?"/>
    <x v="90"/>
    <n v="7.0000000000000007E-2"/>
    <s v="QA"/>
    <s v="Distribuido"/>
    <s v="QC"/>
    <e v="#NAME?"/>
    <e v="#NAME?"/>
    <e v="#NAME?"/>
    <e v="#N/A"/>
    <e v="#N/A"/>
    <e v="#REF!"/>
    <m/>
    <m/>
    <m/>
    <m/>
    <m/>
    <m/>
  </r>
  <r>
    <s v="CE51863"/>
    <s v="EDNA ROCIO MONCADA"/>
    <s v="ENTERPRISE"/>
    <x v="3"/>
    <s v="KRYPTO"/>
    <e v="#NAME?"/>
    <x v="93"/>
    <n v="7.0000000000000007E-2"/>
    <s v="QA"/>
    <s v="Distribuido"/>
    <s v="QC"/>
    <e v="#NAME?"/>
    <e v="#NAME?"/>
    <e v="#NAME?"/>
    <e v="#N/A"/>
    <e v="#N/A"/>
    <e v="#REF!"/>
    <m/>
    <m/>
    <m/>
    <m/>
    <m/>
    <m/>
  </r>
  <r>
    <s v="CE51863"/>
    <s v="EDNA ROCIO MONCADA"/>
    <s v="ENTERPRISE"/>
    <x v="3"/>
    <s v="KRYPTO"/>
    <e v="#NAME?"/>
    <x v="22"/>
    <n v="7.0000000000000007E-2"/>
    <s v="QA"/>
    <s v="Distribuido"/>
    <s v="QC"/>
    <e v="#NAME?"/>
    <e v="#NAME?"/>
    <e v="#NAME?"/>
    <e v="#N/A"/>
    <e v="#N/A"/>
    <e v="#REF!"/>
    <m/>
    <m/>
    <m/>
    <m/>
    <m/>
    <m/>
  </r>
  <r>
    <s v="CE51863"/>
    <s v="EDNA ROCIO MONCADA"/>
    <s v="ENTERPRISE"/>
    <x v="10"/>
    <s v="KRYPTO"/>
    <e v="#NAME?"/>
    <x v="94"/>
    <n v="7.0000000000000007E-2"/>
    <s v="QA"/>
    <s v="Distribuido"/>
    <s v="QC"/>
    <e v="#NAME?"/>
    <e v="#NAME?"/>
    <e v="#NAME?"/>
    <e v="#N/A"/>
    <e v="#N/A"/>
    <e v="#REF!"/>
    <m/>
    <m/>
    <m/>
    <m/>
    <m/>
    <m/>
  </r>
  <r>
    <s v="CE65205"/>
    <s v="OSCAR JAVIER ALVAREZ CAMACHO"/>
    <s v="ENTERPRISE"/>
    <x v="10"/>
    <s v="GGI / CMC"/>
    <e v="#NAME?"/>
    <x v="89"/>
    <n v="0.1"/>
    <s v="Otros"/>
    <s v="Distribuido"/>
    <s v="Despliegues"/>
    <e v="#NAME?"/>
    <e v="#NAME?"/>
    <e v="#NAME?"/>
    <m/>
    <m/>
    <m/>
    <m/>
    <m/>
    <m/>
    <m/>
    <m/>
    <m/>
  </r>
  <r>
    <s v="CE65205"/>
    <s v="OSCAR JAVIER ALVAREZ CAMACHO"/>
    <s v="ENTERPRISE"/>
    <x v="10"/>
    <s v="GGI / CMC"/>
    <e v="#NAME?"/>
    <x v="92"/>
    <n v="0.15"/>
    <s v="Otros"/>
    <s v="Distribuido"/>
    <s v="Despliegues"/>
    <e v="#NAME?"/>
    <e v="#NAME?"/>
    <e v="#NAME?"/>
    <m/>
    <m/>
    <m/>
    <m/>
    <m/>
    <m/>
    <m/>
    <m/>
    <m/>
  </r>
  <r>
    <s v="CE65205"/>
    <s v="OSCAR JAVIER ALVAREZ CAMACHO"/>
    <s v="ENTERPRISE"/>
    <x v="10"/>
    <s v="GGI / CMC"/>
    <e v="#NAME?"/>
    <x v="90"/>
    <n v="0.15"/>
    <s v="Otros"/>
    <s v="Distribuido"/>
    <s v="Despliegues"/>
    <e v="#NAME?"/>
    <e v="#NAME?"/>
    <e v="#NAME?"/>
    <m/>
    <m/>
    <m/>
    <m/>
    <m/>
    <m/>
    <m/>
    <m/>
    <m/>
  </r>
  <r>
    <s v="CE65205"/>
    <s v="OSCAR JAVIER ALVAREZ CAMACHO"/>
    <s v="ENTERPRISE"/>
    <x v="10"/>
    <s v="GGI / CMC"/>
    <e v="#NAME?"/>
    <x v="88"/>
    <n v="0.15"/>
    <s v="Otros"/>
    <s v="Distribuido"/>
    <s v="Despliegues"/>
    <e v="#NAME?"/>
    <e v="#NAME?"/>
    <e v="#NAME?"/>
    <m/>
    <m/>
    <m/>
    <m/>
    <m/>
    <m/>
    <m/>
    <m/>
    <m/>
  </r>
  <r>
    <s v="CE65205"/>
    <s v="OSCAR JAVIER ALVAREZ CAMACHO"/>
    <s v="ENTERPRISE"/>
    <x v="3"/>
    <s v="KRYPTO"/>
    <e v="#NAME?"/>
    <x v="93"/>
    <n v="0.15"/>
    <s v="Otros"/>
    <s v="Distribuido"/>
    <s v="Despliegues"/>
    <e v="#NAME?"/>
    <e v="#NAME?"/>
    <e v="#NAME?"/>
    <e v="#N/A"/>
    <e v="#N/A"/>
    <e v="#REF!"/>
    <m/>
    <m/>
    <m/>
    <m/>
    <m/>
    <m/>
  </r>
  <r>
    <s v="CE65205"/>
    <s v="OSCAR JAVIER ALVAREZ CAMACHO"/>
    <s v="ENTERPRISE"/>
    <x v="3"/>
    <s v="KRYPTO"/>
    <e v="#NAME?"/>
    <x v="22"/>
    <n v="0.15"/>
    <s v="Otros"/>
    <s v="Distribuido"/>
    <s v="Despliegues"/>
    <e v="#NAME?"/>
    <e v="#NAME?"/>
    <e v="#NAME?"/>
    <e v="#N/A"/>
    <e v="#N/A"/>
    <e v="#REF!"/>
    <m/>
    <m/>
    <m/>
    <m/>
    <m/>
    <m/>
  </r>
  <r>
    <s v="CE65205"/>
    <s v="OSCAR JAVIER ALVAREZ CAMACHO"/>
    <s v="ENTERPRISE"/>
    <x v="10"/>
    <s v="KRYPTO"/>
    <e v="#NAME?"/>
    <x v="94"/>
    <n v="0.15"/>
    <s v="Otros"/>
    <s v="Distribuido"/>
    <s v="Despliegues"/>
    <e v="#NAME?"/>
    <e v="#NAME?"/>
    <e v="#NAME?"/>
    <e v="#N/A"/>
    <e v="#N/A"/>
    <e v="#REF!"/>
    <m/>
    <m/>
    <m/>
    <m/>
    <m/>
    <m/>
  </r>
  <r>
    <s v="C811392"/>
    <s v="LEONARDO SIMBAQUEBA ESGUERRA"/>
    <s v="CORE"/>
    <x v="11"/>
    <s v="BBVA"/>
    <e v="#NAME?"/>
    <x v="3"/>
    <n v="1"/>
    <s v="Desarrollador"/>
    <m/>
    <s v="Interno"/>
    <e v="#NAME?"/>
    <e v="#NAME?"/>
    <e v="#NAME?"/>
    <m/>
    <m/>
    <m/>
    <m/>
    <m/>
    <n v="1"/>
    <m/>
    <m/>
    <m/>
  </r>
  <r>
    <s v="C341681"/>
    <s v="RICARDO ALEXANDER CALVO JIMENEZ"/>
    <s v="CFS"/>
    <x v="8"/>
    <s v="BBVA"/>
    <e v="#NAME?"/>
    <x v="6"/>
    <n v="1"/>
    <s v="Desarrollador"/>
    <s v="Otras Tec."/>
    <s v="Interno"/>
    <e v="#NAME?"/>
    <e v="#NAME?"/>
    <e v="#NAME?"/>
    <m/>
    <m/>
    <m/>
    <m/>
    <m/>
    <m/>
    <m/>
    <m/>
    <m/>
  </r>
  <r>
    <s v="C342316"/>
    <s v="ANA MILENA GARCIA COBO"/>
    <s v="CFS"/>
    <x v="8"/>
    <s v="BBVA"/>
    <e v="#NAME?"/>
    <x v="87"/>
    <n v="0.7"/>
    <s v="Desarrollador"/>
    <s v="Distribuido"/>
    <s v="Interno"/>
    <e v="#NAME?"/>
    <e v="#NAME?"/>
    <e v="#NAME?"/>
    <m/>
    <m/>
    <m/>
    <m/>
    <m/>
    <m/>
    <m/>
    <m/>
    <m/>
  </r>
  <r>
    <s v="C342316"/>
    <s v="ANA MILENA GARCIA COBO"/>
    <s v="CFS"/>
    <x v="8"/>
    <s v="BBVA"/>
    <e v="#NAME?"/>
    <x v="71"/>
    <n v="0.3"/>
    <s v="Desarrollador"/>
    <s v="Distribuido"/>
    <s v="Interno"/>
    <e v="#NAME?"/>
    <e v="#NAME?"/>
    <e v="#NAME?"/>
    <m/>
    <m/>
    <m/>
    <m/>
    <m/>
    <m/>
    <m/>
    <m/>
    <m/>
  </r>
  <r>
    <s v="C808875"/>
    <s v="YEIMY PAOLA PERDOMO"/>
    <s v="CFS"/>
    <x v="8"/>
    <s v="BBVA"/>
    <e v="#NAME?"/>
    <x v="87"/>
    <n v="1"/>
    <s v="Desarrollador"/>
    <s v="Otras Tec."/>
    <s v="Interno"/>
    <e v="#NAME?"/>
    <e v="#NAME?"/>
    <e v="#NAME?"/>
    <m/>
    <m/>
    <m/>
    <m/>
    <m/>
    <m/>
    <m/>
    <m/>
    <m/>
  </r>
  <r>
    <s v="C809591"/>
    <s v="KEVIN ORLANDO OJEDA"/>
    <s v="CFS"/>
    <x v="8"/>
    <s v="BBVA"/>
    <e v="#NAME?"/>
    <x v="83"/>
    <n v="0.65"/>
    <s v="Desarrollador"/>
    <s v="Otras Tec."/>
    <s v="Interno"/>
    <e v="#NAME?"/>
    <e v="#NAME?"/>
    <e v="#NAME?"/>
    <m/>
    <m/>
    <m/>
    <m/>
    <m/>
    <m/>
    <m/>
    <m/>
    <m/>
  </r>
  <r>
    <s v="C809591"/>
    <s v="KEVIN ORLANDO OJEDA"/>
    <s v="CFS"/>
    <x v="8"/>
    <s v="BBVA"/>
    <e v="#NAME?"/>
    <x v="71"/>
    <n v="0.25"/>
    <s v="Desarrollador"/>
    <s v="Otras Tec."/>
    <s v="Interno"/>
    <e v="#NAME?"/>
    <e v="#NAME?"/>
    <e v="#NAME?"/>
    <m/>
    <m/>
    <m/>
    <m/>
    <m/>
    <m/>
    <m/>
    <m/>
    <m/>
  </r>
  <r>
    <s v="C809591"/>
    <s v="KEVIN ORLANDO OJEDA"/>
    <s v="CFS"/>
    <x v="8"/>
    <s v="BBVA"/>
    <e v="#NAME?"/>
    <x v="85"/>
    <n v="0.1"/>
    <s v="Desarrollador"/>
    <s v="Otras Tec."/>
    <s v="Interno"/>
    <e v="#NAME?"/>
    <e v="#NAME?"/>
    <e v="#NAME?"/>
    <m/>
    <m/>
    <m/>
    <m/>
    <m/>
    <m/>
    <m/>
    <m/>
    <m/>
  </r>
  <r>
    <s v="C810959"/>
    <s v="MARCO HERNAN CASTELLANOS"/>
    <s v="CFS"/>
    <x v="8"/>
    <s v="BBVA"/>
    <e v="#NAME?"/>
    <x v="6"/>
    <n v="0.4"/>
    <s v="Desarrollador"/>
    <s v="Otras Tec."/>
    <s v="Interno"/>
    <e v="#NAME?"/>
    <e v="#NAME?"/>
    <e v="#NAME?"/>
    <m/>
    <m/>
    <m/>
    <m/>
    <m/>
    <m/>
    <m/>
    <m/>
    <m/>
  </r>
  <r>
    <s v="C810959"/>
    <s v="MARCO HERNAN CASTELLANOS"/>
    <s v="CFS"/>
    <x v="8"/>
    <s v="BBVA"/>
    <e v="#NAME?"/>
    <x v="83"/>
    <n v="0.2"/>
    <s v="Desarrollador"/>
    <s v="Otras Tec."/>
    <s v="Interno"/>
    <e v="#NAME?"/>
    <e v="#NAME?"/>
    <e v="#NAME?"/>
    <m/>
    <m/>
    <m/>
    <m/>
    <m/>
    <m/>
    <m/>
    <m/>
    <m/>
  </r>
  <r>
    <s v="C810959"/>
    <s v="MARCO HERNAN CASTELLANOS"/>
    <s v="CFS"/>
    <x v="8"/>
    <s v="BBVA"/>
    <e v="#NAME?"/>
    <x v="71"/>
    <n v="0.2"/>
    <s v="Desarrollador"/>
    <s v="Otras Tec."/>
    <s v="Interno"/>
    <e v="#NAME?"/>
    <e v="#NAME?"/>
    <e v="#NAME?"/>
    <m/>
    <m/>
    <m/>
    <m/>
    <m/>
    <m/>
    <m/>
    <m/>
    <m/>
  </r>
  <r>
    <s v="C810959"/>
    <s v="MARCO HERNAN CASTELLANOS"/>
    <s v="CFS"/>
    <x v="8"/>
    <s v="BBVA"/>
    <e v="#NAME?"/>
    <x v="3"/>
    <n v="0.2"/>
    <s v="Desarrollador"/>
    <s v="Otras Tec."/>
    <s v="Interno"/>
    <e v="#NAME?"/>
    <e v="#NAME?"/>
    <e v="#NAME?"/>
    <m/>
    <m/>
    <m/>
    <m/>
    <m/>
    <m/>
    <m/>
    <m/>
    <m/>
  </r>
  <r>
    <s v="CE66252"/>
    <s v="JORGE ENRIQUE CARRILLO DIAZ"/>
    <s v="CFS"/>
    <x v="8"/>
    <s v="GGI / CMC"/>
    <e v="#NAME?"/>
    <x v="87"/>
    <n v="0.5"/>
    <s v="QA"/>
    <s v="Otras Tec."/>
    <s v="Externo"/>
    <e v="#NAME?"/>
    <e v="#NAME?"/>
    <e v="#NAME?"/>
    <m/>
    <m/>
    <m/>
    <m/>
    <m/>
    <m/>
    <m/>
    <m/>
    <m/>
  </r>
  <r>
    <s v="CE66252"/>
    <s v="JORGE ENRIQUE CARRILLO DIAZ"/>
    <s v="CFS"/>
    <x v="8"/>
    <s v="GGI / CMC"/>
    <e v="#NAME?"/>
    <x v="71"/>
    <n v="0.25"/>
    <s v="QA"/>
    <s v="Otras Tec."/>
    <s v="Externo"/>
    <e v="#NAME?"/>
    <e v="#NAME?"/>
    <e v="#NAME?"/>
    <m/>
    <m/>
    <m/>
    <m/>
    <m/>
    <m/>
    <m/>
    <m/>
    <m/>
  </r>
  <r>
    <s v="CE66252"/>
    <s v="JORGE ENRIQUE CARRILLO DIAZ"/>
    <s v="CFS"/>
    <x v="8"/>
    <s v="GGI / CMC"/>
    <e v="#NAME?"/>
    <x v="6"/>
    <n v="0.25"/>
    <s v="QA"/>
    <s v="Otras Tec."/>
    <s v="Externo"/>
    <e v="#NAME?"/>
    <e v="#NAME?"/>
    <e v="#NAME?"/>
    <m/>
    <m/>
    <m/>
    <m/>
    <m/>
    <m/>
    <m/>
    <m/>
    <m/>
  </r>
  <r>
    <s v="C783725"/>
    <s v="JAIRO FERNANDO TAMARA RUBIANO"/>
    <s v="CFS"/>
    <x v="8"/>
    <s v="BBVA"/>
    <e v="#NAME?"/>
    <x v="6"/>
    <n v="0.3"/>
    <s v="Tech Manager/Líder"/>
    <s v="Otras Tec."/>
    <s v="Interno"/>
    <e v="#NAME?"/>
    <e v="#NAME?"/>
    <e v="#NAME?"/>
    <m/>
    <m/>
    <m/>
    <m/>
    <m/>
    <m/>
    <m/>
    <m/>
    <m/>
  </r>
  <r>
    <s v="C783725"/>
    <s v="JAIRO FERNANDO TAMARA RUBIANO"/>
    <s v="CFS"/>
    <x v="8"/>
    <s v="BBVA"/>
    <e v="#NAME?"/>
    <x v="87"/>
    <n v="0.3"/>
    <s v="Tech Manager/Líder"/>
    <s v="Otras Tec."/>
    <s v="Interno"/>
    <e v="#NAME?"/>
    <e v="#NAME?"/>
    <e v="#NAME?"/>
    <m/>
    <m/>
    <m/>
    <m/>
    <m/>
    <m/>
    <m/>
    <m/>
    <m/>
  </r>
  <r>
    <s v="C783725"/>
    <s v="JAIRO FERNANDO TAMARA RUBIANO"/>
    <s v="CFS"/>
    <x v="8"/>
    <s v="BBVA"/>
    <e v="#NAME?"/>
    <x v="85"/>
    <n v="0.1"/>
    <s v="Tech Manager/Líder"/>
    <s v="Otras Tec."/>
    <m/>
    <e v="#NAME?"/>
    <e v="#NAME?"/>
    <e v="#NAME?"/>
    <m/>
    <m/>
    <m/>
    <m/>
    <m/>
    <m/>
    <m/>
    <m/>
    <m/>
  </r>
  <r>
    <s v="C783725"/>
    <s v="JAIRO FERNANDO TAMARA RUBIANO"/>
    <s v="CFS"/>
    <x v="8"/>
    <s v="BBVA"/>
    <e v="#NAME?"/>
    <x v="71"/>
    <n v="0.3"/>
    <s v="Tech Manager/Líder"/>
    <s v="Otras Tec."/>
    <s v="Interno"/>
    <e v="#NAME?"/>
    <e v="#NAME?"/>
    <e v="#NAME?"/>
    <m/>
    <m/>
    <m/>
    <m/>
    <m/>
    <m/>
    <m/>
    <m/>
    <m/>
  </r>
  <r>
    <s v="T006280"/>
    <s v="Fabian andres valbuena aragon"/>
    <s v="CFS"/>
    <x v="8"/>
    <s v="Inetum"/>
    <e v="#NAME?"/>
    <x v="3"/>
    <n v="0.5"/>
    <s v="Desarrollador"/>
    <s v="Otras Tec."/>
    <s v="Externo"/>
    <e v="#NAME?"/>
    <e v="#NAME?"/>
    <e v="#NAME?"/>
    <m/>
    <m/>
    <m/>
    <m/>
    <m/>
    <m/>
    <m/>
    <m/>
    <m/>
  </r>
  <r>
    <s v="T006280"/>
    <s v="Fabian andres valbuena aragon"/>
    <s v="CIB &amp; COMEX - FIDUCIARIA"/>
    <x v="12"/>
    <s v="Inetum"/>
    <e v="#NAME?"/>
    <x v="3"/>
    <n v="0.5"/>
    <s v="Desarrollador"/>
    <s v="Otras Tec."/>
    <s v="Externo"/>
    <e v="#NAME?"/>
    <e v="#NAME?"/>
    <e v="#NAME?"/>
    <m/>
    <m/>
    <m/>
    <m/>
    <m/>
    <m/>
    <m/>
    <m/>
    <m/>
  </r>
  <r>
    <s v="C811292"/>
    <s v="ANDRES GALVIS TRIVIÑO"/>
    <s v="CIB &amp; COMEX - FIDUCIARIA"/>
    <x v="12"/>
    <s v="BBVA"/>
    <e v="#NAME?"/>
    <x v="3"/>
    <n v="1"/>
    <s v="Otros"/>
    <m/>
    <m/>
    <e v="#NAME?"/>
    <e v="#NAME?"/>
    <e v="#NAME?"/>
    <m/>
    <m/>
    <m/>
    <m/>
    <m/>
    <m/>
    <m/>
    <m/>
    <m/>
  </r>
  <r>
    <s v="C805180"/>
    <s v="SEBASTIAN GOMEZ CORCHUELO"/>
    <s v="CIB &amp; COMEX - FIDUCIARIA"/>
    <x v="12"/>
    <s v="BBVA"/>
    <e v="#NAME?"/>
    <x v="95"/>
    <n v="0.25"/>
    <s v="QA"/>
    <m/>
    <m/>
    <e v="#NAME?"/>
    <e v="#NAME?"/>
    <e v="#NAME?"/>
    <m/>
    <m/>
    <m/>
    <m/>
    <m/>
    <m/>
    <m/>
    <m/>
    <m/>
  </r>
  <r>
    <s v="C810847"/>
    <s v="JAIR DE JESUS MOLINA FORNARIS"/>
    <s v="CIB &amp; COMEX - FIDUCIARIA"/>
    <x v="12"/>
    <s v="BBVA"/>
    <e v="#NAME?"/>
    <x v="95"/>
    <n v="0.25"/>
    <s v="Desarrollador"/>
    <m/>
    <m/>
    <e v="#NAME?"/>
    <e v="#NAME?"/>
    <e v="#NAME?"/>
    <m/>
    <m/>
    <m/>
    <m/>
    <m/>
    <m/>
    <m/>
    <m/>
    <m/>
  </r>
  <r>
    <s v="C810847"/>
    <s v="JAIR DE JESUS MOLINA FORNARIS"/>
    <s v="CIB &amp; COMEX - FIDUCIARIA"/>
    <x v="12"/>
    <s v="BBVA"/>
    <e v="#NAME?"/>
    <x v="3"/>
    <n v="0.75"/>
    <s v="Desarrollador"/>
    <m/>
    <m/>
    <e v="#NAME?"/>
    <e v="#NAME?"/>
    <e v="#NAME?"/>
    <m/>
    <m/>
    <m/>
    <m/>
    <m/>
    <m/>
    <m/>
    <m/>
    <m/>
  </r>
  <r>
    <s v="O004617"/>
    <s v="ARLEX JULIAN RODRIGUEZ RINCON"/>
    <s v="CIB &amp; COMEX - FIDUCIARIA"/>
    <x v="12"/>
    <s v="BBVA"/>
    <e v="#NAME?"/>
    <x v="3"/>
    <n v="1"/>
    <s v="Otros"/>
    <m/>
    <m/>
    <e v="#NAME?"/>
    <e v="#NAME?"/>
    <e v="#NAME?"/>
    <m/>
    <m/>
    <m/>
    <m/>
    <m/>
    <m/>
    <m/>
    <m/>
    <m/>
  </r>
  <r>
    <s v="O004613 "/>
    <s v="CESAR AUGUSTO MONTERO HERNANDEZ"/>
    <s v="CIB &amp; COMEX - FIDUCIARIA"/>
    <x v="12"/>
    <s v="BBVA"/>
    <e v="#NAME?"/>
    <x v="3"/>
    <n v="1"/>
    <s v="Otros"/>
    <m/>
    <m/>
    <e v="#NAME?"/>
    <e v="#NAME?"/>
    <e v="#NAME?"/>
    <m/>
    <m/>
    <m/>
    <m/>
    <m/>
    <m/>
    <m/>
    <m/>
    <m/>
  </r>
  <r>
    <s v="C805180"/>
    <s v="SEBASTIAN GOMEZ CORCHUELO"/>
    <s v="CIB &amp; COMEX - FIDUCIARIA"/>
    <x v="12"/>
    <s v="BBVA"/>
    <e v="#NAME?"/>
    <x v="3"/>
    <n v="0.75"/>
    <s v="Otros"/>
    <m/>
    <m/>
    <e v="#NAME?"/>
    <e v="#NAME?"/>
    <e v="#NAME?"/>
    <m/>
    <m/>
    <m/>
    <m/>
    <m/>
    <m/>
    <m/>
    <m/>
    <m/>
  </r>
  <r>
    <s v="CE70350"/>
    <s v="HELDER HAROLD SOLANO SOLANO"/>
    <s v="CIB &amp; COMEX - FIDUCIARIA"/>
    <x v="12"/>
    <s v="Inetum"/>
    <e v="#NAME?"/>
    <x v="3"/>
    <n v="1"/>
    <s v="QA"/>
    <s v="Otras Tec."/>
    <s v="Calidad"/>
    <e v="#NAME?"/>
    <e v="#NAME?"/>
    <e v="#NAME?"/>
    <m/>
    <m/>
    <m/>
    <m/>
    <m/>
    <m/>
    <m/>
    <m/>
    <m/>
  </r>
  <r>
    <s v="CV25017"/>
    <s v="ANDREA POLO KOCH"/>
    <s v="SEGUROS"/>
    <x v="13"/>
    <s v="BBVA Seguros"/>
    <e v="#NAME?"/>
    <x v="96"/>
    <n v="0.25"/>
    <s v="Desarrollador"/>
    <s v="ASO"/>
    <s v="LÍDER TÉCNICO"/>
    <e v="#NAME?"/>
    <e v="#NAME?"/>
    <e v="#NAME?"/>
    <m/>
    <m/>
    <m/>
    <m/>
    <m/>
    <m/>
    <m/>
    <m/>
    <m/>
  </r>
  <r>
    <s v="CV25017"/>
    <s v="ANDREA POLO KOCH"/>
    <s v="SEGUROS"/>
    <x v="13"/>
    <s v="BBVA Seguros"/>
    <e v="#NAME?"/>
    <x v="97"/>
    <n v="0.75"/>
    <s v="Desarrollador"/>
    <s v="ASO"/>
    <s v="LÍDER TÉCNICO"/>
    <e v="#NAME?"/>
    <e v="#NAME?"/>
    <e v="#NAME?"/>
    <m/>
    <m/>
    <m/>
    <m/>
    <m/>
    <m/>
    <m/>
    <m/>
    <m/>
  </r>
  <r>
    <s v="CE52603"/>
    <s v="CLARIBEL ABRIL VELASCO"/>
    <s v="SEGUROS"/>
    <x v="13"/>
    <s v="Inetum"/>
    <e v="#NAME?"/>
    <x v="96"/>
    <n v="0.25"/>
    <s v="Desarrollador"/>
    <s v="Mainframe"/>
    <m/>
    <e v="#NAME?"/>
    <e v="#NAME?"/>
    <e v="#NAME?"/>
    <m/>
    <m/>
    <m/>
    <m/>
    <m/>
    <m/>
    <m/>
    <m/>
    <m/>
  </r>
  <r>
    <s v="CE52603"/>
    <s v="CLARIBEL ABRIL VELASCO"/>
    <s v="SEGUROS"/>
    <x v="13"/>
    <s v="Inetum"/>
    <e v="#NAME?"/>
    <x v="97"/>
    <n v="0.75"/>
    <s v="Desarrollador"/>
    <s v="Mainframe"/>
    <m/>
    <e v="#NAME?"/>
    <e v="#NAME?"/>
    <e v="#NAME?"/>
    <m/>
    <m/>
    <m/>
    <m/>
    <m/>
    <m/>
    <m/>
    <m/>
    <m/>
  </r>
  <r>
    <s v="CV24943"/>
    <s v="JAIME JOSE ALFONSO COTES"/>
    <s v="SEGUROS"/>
    <x v="13"/>
    <s v="BBVA Seguros"/>
    <e v="#NAME?"/>
    <x v="98"/>
    <n v="1"/>
    <s v="Desarrollador"/>
    <s v="APX"/>
    <s v="LÍDER TÉCNICO"/>
    <e v="#NAME?"/>
    <e v="#NAME?"/>
    <e v="#NAME?"/>
    <m/>
    <m/>
    <m/>
    <m/>
    <m/>
    <m/>
    <m/>
    <m/>
    <m/>
  </r>
  <r>
    <s v="CV25056"/>
    <s v="JUAN CARLOS ALDANA MORENO"/>
    <s v="SEGUROS"/>
    <x v="13"/>
    <s v="BBVA Seguros"/>
    <e v="#NAME?"/>
    <x v="96"/>
    <n v="0.25"/>
    <s v="Desarrollador"/>
    <s v="Mainframe"/>
    <s v="LÍDER TÉCNICO"/>
    <e v="#NAME?"/>
    <e v="#NAME?"/>
    <e v="#NAME?"/>
    <m/>
    <m/>
    <m/>
    <m/>
    <m/>
    <m/>
    <m/>
    <m/>
    <m/>
  </r>
  <r>
    <s v="CV25056"/>
    <s v="JUAN CARLOS ALDANA MORENO"/>
    <s v="SEGUROS"/>
    <x v="13"/>
    <s v="BBVA Seguros"/>
    <e v="#NAME?"/>
    <x v="97"/>
    <n v="0.75"/>
    <s v="Desarrollador"/>
    <s v="Mainframe"/>
    <s v="LÍDER TÉCNICO"/>
    <e v="#NAME?"/>
    <e v="#NAME?"/>
    <e v="#NAME?"/>
    <m/>
    <m/>
    <m/>
    <m/>
    <m/>
    <m/>
    <m/>
    <m/>
    <m/>
  </r>
  <r>
    <s v="CE56274"/>
    <s v="JULIAN CAMILO QUINONES QUINTERO"/>
    <s v="SEGUROS"/>
    <x v="13"/>
    <s v="SII"/>
    <e v="#NAME?"/>
    <x v="96"/>
    <n v="0.25"/>
    <s v="Desarrollador"/>
    <s v="Mainframe"/>
    <m/>
    <e v="#NAME?"/>
    <e v="#NAME?"/>
    <e v="#NAME?"/>
    <m/>
    <m/>
    <m/>
    <m/>
    <m/>
    <m/>
    <m/>
    <m/>
    <m/>
  </r>
  <r>
    <s v="CE56274"/>
    <s v="JULIAN CAMILO QUINONES QUINTERO"/>
    <s v="SEGUROS"/>
    <x v="13"/>
    <s v="SII"/>
    <e v="#NAME?"/>
    <x v="97"/>
    <n v="0.75"/>
    <s v="Desarrollador"/>
    <s v="Mainframe"/>
    <m/>
    <e v="#NAME?"/>
    <e v="#NAME?"/>
    <e v="#NAME?"/>
    <m/>
    <m/>
    <m/>
    <m/>
    <m/>
    <m/>
    <m/>
    <m/>
    <m/>
  </r>
  <r>
    <s v="CE56445"/>
    <s v="LESIA MARGARITA VALERA CONTRERAS"/>
    <s v="SEGUROS"/>
    <x v="13"/>
    <s v="SII"/>
    <e v="#NAME?"/>
    <x v="96"/>
    <n v="0.25"/>
    <s v="Desarrollador"/>
    <s v="Mainframe"/>
    <m/>
    <e v="#NAME?"/>
    <e v="#NAME?"/>
    <e v="#NAME?"/>
    <m/>
    <m/>
    <m/>
    <m/>
    <m/>
    <m/>
    <m/>
    <m/>
    <m/>
  </r>
  <r>
    <s v="CE56445"/>
    <s v="LESIA MARGARITA VALERA CONTRERAS"/>
    <s v="SEGUROS"/>
    <x v="13"/>
    <s v="SII"/>
    <e v="#NAME?"/>
    <x v="97"/>
    <n v="0.75"/>
    <s v="Desarrollador"/>
    <s v="Mainframe"/>
    <m/>
    <e v="#NAME?"/>
    <e v="#NAME?"/>
    <e v="#NAME?"/>
    <m/>
    <m/>
    <m/>
    <m/>
    <m/>
    <m/>
    <m/>
    <m/>
    <m/>
  </r>
  <r>
    <s v="CV25065"/>
    <s v="OSCAR FABIAN MACANA GARNICA"/>
    <s v="SEGUROS"/>
    <x v="13"/>
    <s v="BBVA Seguros"/>
    <e v="#NAME?"/>
    <x v="96"/>
    <n v="0.25"/>
    <s v="Desarrollador"/>
    <s v="Mainframe"/>
    <s v="LÍDER TÉCNICO"/>
    <e v="#NAME?"/>
    <e v="#NAME?"/>
    <e v="#NAME?"/>
    <m/>
    <m/>
    <m/>
    <m/>
    <m/>
    <m/>
    <m/>
    <m/>
    <m/>
  </r>
  <r>
    <s v="CV25065"/>
    <s v="OSCAR FABIAN MACANA GARNICA"/>
    <s v="SEGUROS"/>
    <x v="13"/>
    <s v="BBVA Seguros"/>
    <e v="#NAME?"/>
    <x v="97"/>
    <n v="0.75"/>
    <s v="Desarrollador"/>
    <s v="Mainframe"/>
    <s v="LÍDER TÉCNICO"/>
    <e v="#NAME?"/>
    <e v="#NAME?"/>
    <e v="#NAME?"/>
    <m/>
    <m/>
    <m/>
    <m/>
    <m/>
    <m/>
    <m/>
    <m/>
    <m/>
  </r>
  <r>
    <s v="O004277"/>
    <s v="SERGIO ALEJANDRO DIAZ HOYOS"/>
    <s v="SEGUROS"/>
    <x v="13"/>
    <s v="BBVA Seguros"/>
    <e v="#NAME?"/>
    <x v="97"/>
    <n v="1"/>
    <s v="Desarrollador"/>
    <s v="Mainframe"/>
    <m/>
    <e v="#NAME?"/>
    <e v="#NAME?"/>
    <e v="#NAME?"/>
    <m/>
    <m/>
    <m/>
    <m/>
    <m/>
    <m/>
    <m/>
    <m/>
    <m/>
  </r>
  <r>
    <s v="CE42028"/>
    <s v="MARIA YOLANDA BRAND LEON"/>
    <s v="SEGUROS"/>
    <x v="13"/>
    <s v="Inetum"/>
    <e v="#NAME?"/>
    <x v="99"/>
    <n v="1"/>
    <s v="Desarrollador"/>
    <s v="Mainframe"/>
    <m/>
    <e v="#NAME?"/>
    <e v="#NAME?"/>
    <e v="#NAME?"/>
    <m/>
    <m/>
    <m/>
    <m/>
    <m/>
    <m/>
    <m/>
    <m/>
    <m/>
  </r>
  <r>
    <s v="CE59922"/>
    <s v="JOHAN SEBASTIAN LAGOS MORALES"/>
    <s v="SEGUROS"/>
    <x v="13"/>
    <s v="Inetum"/>
    <e v="#NAME?"/>
    <x v="96"/>
    <n v="0.5"/>
    <s v="Desarrollador"/>
    <s v="Mainframe"/>
    <m/>
    <e v="#NAME?"/>
    <e v="#NAME?"/>
    <e v="#NAME?"/>
    <m/>
    <m/>
    <m/>
    <m/>
    <m/>
    <m/>
    <m/>
    <m/>
    <m/>
  </r>
  <r>
    <s v="CE59922"/>
    <s v="JOHAN SEBASTIAN LAGOS MORALES"/>
    <s v="SEGUROS"/>
    <x v="13"/>
    <s v="Inetum"/>
    <e v="#NAME?"/>
    <x v="97"/>
    <n v="0.5"/>
    <s v="Desarrollador"/>
    <s v="Mainframe"/>
    <m/>
    <e v="#NAME?"/>
    <e v="#NAME?"/>
    <e v="#NAME?"/>
    <m/>
    <m/>
    <m/>
    <m/>
    <m/>
    <m/>
    <m/>
    <m/>
    <m/>
  </r>
  <r>
    <s v="CV24935"/>
    <s v="SANDRA PATRICIA RAMIREZ TRIANA"/>
    <s v="SEGUROS"/>
    <x v="13"/>
    <s v="BBVA Seguros"/>
    <e v="#NAME?"/>
    <x v="96"/>
    <n v="0.4"/>
    <s v="Tech Manager/Líder"/>
    <s v="Mainframe"/>
    <m/>
    <e v="#NAME?"/>
    <e v="#NAME?"/>
    <e v="#NAME?"/>
    <m/>
    <m/>
    <m/>
    <m/>
    <m/>
    <m/>
    <m/>
    <m/>
    <m/>
  </r>
  <r>
    <s v="CV24935"/>
    <s v="SANDRA PATRICIA RAMIREZ TRIANA"/>
    <s v="SEGUROS"/>
    <x v="13"/>
    <s v="BBVA Seguros"/>
    <e v="#NAME?"/>
    <x v="97"/>
    <n v="0.3"/>
    <s v="Tech Manager/Líder"/>
    <s v="Mainframe"/>
    <m/>
    <e v="#NAME?"/>
    <e v="#NAME?"/>
    <e v="#NAME?"/>
    <m/>
    <m/>
    <m/>
    <m/>
    <m/>
    <m/>
    <m/>
    <m/>
    <m/>
  </r>
  <r>
    <s v="CV24935"/>
    <s v="SANDRA PATRICIA RAMIREZ TRIANA"/>
    <s v="SEGUROS"/>
    <x v="13"/>
    <s v="BBVA Seguros"/>
    <e v="#NAME?"/>
    <x v="99"/>
    <n v="0.3"/>
    <s v="Tech Manager/Líder"/>
    <s v="Mainframe"/>
    <m/>
    <e v="#NAME?"/>
    <e v="#NAME?"/>
    <e v="#NAME?"/>
    <m/>
    <m/>
    <m/>
    <m/>
    <m/>
    <m/>
    <m/>
    <m/>
    <m/>
  </r>
  <r>
    <s v="CG22671"/>
    <s v="CARLOS ALBERTO GOMEZ GOMEZ"/>
    <s v="SEGUROS"/>
    <x v="13"/>
    <s v="BBVA Seguros"/>
    <e v="#NAME?"/>
    <x v="100"/>
    <n v="0.25"/>
    <s v="Desarrollador"/>
    <s v="Distribuido"/>
    <s v="LÍDER TÉCNICO"/>
    <e v="#NAME?"/>
    <e v="#NAME?"/>
    <e v="#NAME?"/>
    <m/>
    <m/>
    <m/>
    <m/>
    <m/>
    <m/>
    <m/>
    <m/>
    <m/>
  </r>
  <r>
    <s v="CG22671"/>
    <s v="CARLOS ALBERTO GOMEZ GOMEZ"/>
    <s v="SEGUROS"/>
    <x v="13"/>
    <s v="BBVA Seguros"/>
    <e v="#NAME?"/>
    <x v="3"/>
    <n v="0.75"/>
    <s v="Desarrollador"/>
    <s v="Distribuido"/>
    <s v="LÍDER TÉCNICO"/>
    <e v="#NAME?"/>
    <e v="#NAME?"/>
    <e v="#NAME?"/>
    <m/>
    <m/>
    <m/>
    <m/>
    <m/>
    <m/>
    <m/>
    <m/>
    <m/>
  </r>
  <r>
    <s v="CE38411"/>
    <s v="CAROLINA BARROS BERNAL"/>
    <s v="SEGUROS"/>
    <x v="13"/>
    <s v="SII"/>
    <e v="#NAME?"/>
    <x v="101"/>
    <n v="0.75"/>
    <s v="Desarrollador"/>
    <s v="Distribuido"/>
    <m/>
    <e v="#NAME?"/>
    <e v="#NAME?"/>
    <e v="#NAME?"/>
    <m/>
    <m/>
    <m/>
    <m/>
    <m/>
    <m/>
    <m/>
    <m/>
    <m/>
  </r>
  <r>
    <s v="CE38411"/>
    <s v="CAROLINA BARROS BERNAL"/>
    <s v="SEGUROS"/>
    <x v="13"/>
    <s v="SII"/>
    <e v="#NAME?"/>
    <x v="102"/>
    <n v="0.25"/>
    <s v="Desarrollador"/>
    <s v="Distribuido"/>
    <m/>
    <e v="#NAME?"/>
    <e v="#NAME?"/>
    <e v="#NAME?"/>
    <m/>
    <m/>
    <m/>
    <m/>
    <m/>
    <m/>
    <m/>
    <m/>
    <m/>
  </r>
  <r>
    <s v="CE68469"/>
    <s v="DIEGO ALEXANDER ALBA RODRÍGUEZ"/>
    <s v="SEGUROS"/>
    <x v="13"/>
    <s v="SII"/>
    <e v="#NAME?"/>
    <x v="100"/>
    <n v="1"/>
    <s v="Desarrollador"/>
    <s v="Distribuido"/>
    <m/>
    <e v="#NAME?"/>
    <e v="#NAME?"/>
    <e v="#NAME?"/>
    <m/>
    <m/>
    <m/>
    <m/>
    <m/>
    <m/>
    <m/>
    <m/>
    <m/>
  </r>
  <r>
    <s v="CV25060"/>
    <s v="JAIME ALEJANDRO ROJAS NIVIA"/>
    <s v="SEGUROS"/>
    <x v="13"/>
    <s v="BBVA Seguros"/>
    <e v="#NAME?"/>
    <x v="101"/>
    <n v="0.5"/>
    <s v="Desarrollador"/>
    <s v="Distribuido"/>
    <m/>
    <e v="#NAME?"/>
    <e v="#NAME?"/>
    <e v="#NAME?"/>
    <m/>
    <m/>
    <m/>
    <m/>
    <m/>
    <m/>
    <m/>
    <m/>
    <m/>
  </r>
  <r>
    <s v="CV25060"/>
    <s v="JAIME ALEJANDRO ROJAS NIVIA"/>
    <s v="SEGUROS"/>
    <x v="13"/>
    <s v="BBVA Seguros"/>
    <e v="#NAME?"/>
    <x v="103"/>
    <n v="0.5"/>
    <s v="Desarrollador"/>
    <s v="Distribuido"/>
    <m/>
    <e v="#NAME?"/>
    <e v="#NAME?"/>
    <e v="#NAME?"/>
    <m/>
    <m/>
    <m/>
    <m/>
    <m/>
    <m/>
    <m/>
    <m/>
    <m/>
  </r>
  <r>
    <s v="O002707"/>
    <s v="JOHN EDER IBAÑEZ LARA_x000a_"/>
    <s v="SEGUROS"/>
    <x v="13"/>
    <s v="BBVA Seguros"/>
    <e v="#NAME?"/>
    <x v="100"/>
    <n v="1"/>
    <s v="Desarrollador"/>
    <s v="Distribuido"/>
    <s v="LÍDER TÉCNICO"/>
    <e v="#NAME?"/>
    <e v="#NAME?"/>
    <e v="#NAME?"/>
    <m/>
    <m/>
    <m/>
    <m/>
    <m/>
    <m/>
    <m/>
    <m/>
    <m/>
  </r>
  <r>
    <s v="O004417"/>
    <s v="JULIAN CHAPARRO LATORRE"/>
    <s v="SEGUROS"/>
    <x v="13"/>
    <s v="BBVA Seguros"/>
    <e v="#NAME?"/>
    <x v="100"/>
    <n v="1"/>
    <s v="Desarrollador"/>
    <s v="Distribuido"/>
    <m/>
    <e v="#NAME?"/>
    <e v="#NAME?"/>
    <e v="#NAME?"/>
    <m/>
    <m/>
    <m/>
    <m/>
    <m/>
    <m/>
    <m/>
    <m/>
    <m/>
  </r>
  <r>
    <s v="CE48733"/>
    <s v="NELSON AUGUSTO SANABRIA ORTEGA"/>
    <s v="SEGUROS"/>
    <x v="13"/>
    <s v="JARZSOFT"/>
    <e v="#NAME?"/>
    <x v="100"/>
    <n v="1"/>
    <s v="Desarrollador"/>
    <s v="Distribuido"/>
    <m/>
    <e v="#NAME?"/>
    <e v="#NAME?"/>
    <e v="#NAME?"/>
    <m/>
    <m/>
    <m/>
    <m/>
    <m/>
    <m/>
    <m/>
    <m/>
    <m/>
  </r>
  <r>
    <s v="CE65494"/>
    <s v="OSCAR FABIAN PEDRAZA MONROY"/>
    <s v="SEGUROS"/>
    <x v="13"/>
    <s v="Inetum"/>
    <e v="#NAME?"/>
    <x v="100"/>
    <n v="1"/>
    <s v="Desarrollador"/>
    <s v="Distribuido"/>
    <m/>
    <e v="#NAME?"/>
    <e v="#NAME?"/>
    <e v="#NAME?"/>
    <m/>
    <m/>
    <m/>
    <m/>
    <m/>
    <m/>
    <m/>
    <m/>
    <m/>
  </r>
  <r>
    <s v="CE59730"/>
    <s v="JOSE AGUSTIN RODRIGUEZ ZORRO"/>
    <s v="SEGUROS"/>
    <x v="13"/>
    <s v="JARZSOFT"/>
    <e v="#NAME?"/>
    <x v="100"/>
    <n v="1"/>
    <s v="Tech Manager/Líder"/>
    <s v="Distribuido"/>
    <m/>
    <e v="#NAME?"/>
    <e v="#NAME?"/>
    <e v="#NAME?"/>
    <m/>
    <m/>
    <m/>
    <m/>
    <m/>
    <m/>
    <m/>
    <m/>
    <m/>
  </r>
  <r>
    <s v="CV25059"/>
    <s v="CREYCCE JOHANA HINCAPIE RODRIGUEZ"/>
    <s v="SEGUROS"/>
    <x v="13"/>
    <s v="BBVA Seguros"/>
    <e v="#NAME?"/>
    <x v="104"/>
    <n v="1"/>
    <s v="Desarrollador"/>
    <s v="Distribuido"/>
    <s v="LÍDER TÉCNICO"/>
    <e v="#NAME?"/>
    <e v="#NAME?"/>
    <e v="#NAME?"/>
    <m/>
    <m/>
    <m/>
    <m/>
    <m/>
    <m/>
    <m/>
    <m/>
    <m/>
  </r>
  <r>
    <s v="CV25087"/>
    <s v="CRISTIAN ANDRES SIERRA ESPINEL"/>
    <s v="SEGUROS"/>
    <x v="13"/>
    <s v="BBVA Seguros"/>
    <e v="#NAME?"/>
    <x v="105"/>
    <n v="1"/>
    <s v="Desarrollador"/>
    <s v="Distribuido"/>
    <s v="LÍDER TÉCNICO"/>
    <e v="#NAME?"/>
    <e v="#NAME?"/>
    <e v="#NAME?"/>
    <m/>
    <m/>
    <m/>
    <m/>
    <m/>
    <m/>
    <m/>
    <m/>
    <m/>
  </r>
  <r>
    <s v="CV25064"/>
    <s v="MARY LUZ RUALES GUZMAN"/>
    <s v="SEGUROS"/>
    <x v="13"/>
    <s v="BBVA Seguros"/>
    <e v="#NAME?"/>
    <x v="106"/>
    <n v="0.75"/>
    <s v="Desarrollador"/>
    <s v="Distribuido"/>
    <s v="LÍDER TÉCNICO"/>
    <e v="#NAME?"/>
    <e v="#NAME?"/>
    <e v="#NAME?"/>
    <m/>
    <m/>
    <m/>
    <m/>
    <m/>
    <m/>
    <m/>
    <m/>
    <m/>
  </r>
  <r>
    <s v="CV25064"/>
    <s v="MARY LUZ RUALES GUZMAN"/>
    <s v="SEGUROS"/>
    <x v="13"/>
    <s v="BBVA Seguros"/>
    <e v="#NAME?"/>
    <x v="3"/>
    <n v="0.25"/>
    <s v="Desarrollador"/>
    <s v="Distribuido"/>
    <s v="LÍDER TÉCNICO"/>
    <e v="#NAME?"/>
    <e v="#NAME?"/>
    <e v="#NAME?"/>
    <m/>
    <m/>
    <m/>
    <m/>
    <m/>
    <m/>
    <m/>
    <m/>
    <m/>
  </r>
  <r>
    <s v="O003561"/>
    <s v="JOSE MIGUEL PORTILLO ROJAS"/>
    <s v="SEGUROS"/>
    <x v="13"/>
    <s v="BBVA Seguros"/>
    <e v="#NAME?"/>
    <x v="3"/>
    <n v="1"/>
    <s v="Desarrollador"/>
    <s v="Distribuido"/>
    <s v="LÍDER TÉCNICO"/>
    <e v="#NAME?"/>
    <e v="#NAME?"/>
    <e v="#NAME?"/>
    <m/>
    <m/>
    <m/>
    <m/>
    <m/>
    <m/>
    <m/>
    <m/>
    <m/>
  </r>
  <r>
    <s v="CE48448"/>
    <s v="MICHAEL CECILIO SODIR REVETE"/>
    <s v="SEGUROS"/>
    <x v="13"/>
    <s v="Inetum"/>
    <e v="#NAME?"/>
    <x v="102"/>
    <n v="0.5"/>
    <s v="Desarrollador"/>
    <s v="Distribuido"/>
    <s v="LÍDER TÉCNICO"/>
    <e v="#NAME?"/>
    <e v="#NAME?"/>
    <e v="#NAME?"/>
    <m/>
    <m/>
    <m/>
    <m/>
    <m/>
    <m/>
    <m/>
    <m/>
    <m/>
  </r>
  <r>
    <s v="CE48448"/>
    <s v="MICHAEL CECILIO SODIR REVETE"/>
    <s v="SEGUROS"/>
    <x v="13"/>
    <s v="Inetum"/>
    <e v="#NAME?"/>
    <x v="107"/>
    <n v="0.5"/>
    <s v="Desarrollador"/>
    <s v="Distribuido"/>
    <s v="LÍDER TÉCNICO"/>
    <e v="#NAME?"/>
    <e v="#NAME?"/>
    <e v="#NAME?"/>
    <m/>
    <m/>
    <m/>
    <m/>
    <m/>
    <m/>
    <m/>
    <m/>
    <m/>
  </r>
  <r>
    <s v="CV24903"/>
    <s v="CARLOS ANDRES MORA MUÑOZ"/>
    <s v="SEGUROS"/>
    <x v="13"/>
    <s v="BBVA Seguros"/>
    <e v="#NAME?"/>
    <x v="102"/>
    <n v="0.25"/>
    <s v="Tech Manager/Líder"/>
    <s v="Distribuido"/>
    <m/>
    <e v="#NAME?"/>
    <e v="#NAME?"/>
    <e v="#NAME?"/>
    <m/>
    <m/>
    <m/>
    <m/>
    <m/>
    <m/>
    <m/>
    <m/>
    <m/>
  </r>
  <r>
    <s v="CV24903"/>
    <s v="CARLOS ANDRES MORA MUÑOZ"/>
    <s v="SEGUROS"/>
    <x v="13"/>
    <s v="BBVA Seguros"/>
    <e v="#NAME?"/>
    <x v="3"/>
    <n v="0.25"/>
    <s v="Tech Manager/Líder"/>
    <s v="Distribuido"/>
    <m/>
    <e v="#NAME?"/>
    <e v="#NAME?"/>
    <e v="#NAME?"/>
    <m/>
    <m/>
    <m/>
    <m/>
    <m/>
    <m/>
    <m/>
    <m/>
    <m/>
  </r>
  <r>
    <s v="CV24903"/>
    <s v="CARLOS ANDRES MORA MUÑOZ"/>
    <s v="SEGUROS"/>
    <x v="13"/>
    <s v="BBVA Seguros"/>
    <e v="#NAME?"/>
    <x v="104"/>
    <n v="0.5"/>
    <s v="Tech Manager/Líder"/>
    <s v="Distribuido"/>
    <m/>
    <e v="#NAME?"/>
    <e v="#NAME?"/>
    <e v="#NAME?"/>
    <m/>
    <m/>
    <m/>
    <m/>
    <m/>
    <m/>
    <m/>
    <m/>
    <m/>
  </r>
  <r>
    <s v="CE44928"/>
    <s v="DESIREE JOSELYN MARQUEZ DIAZ"/>
    <s v="SEGUROS"/>
    <x v="13"/>
    <s v="VASS"/>
    <e v="#NAME?"/>
    <x v="106"/>
    <n v="0.5"/>
    <s v="Desarrollador"/>
    <s v="Distribuido"/>
    <s v="LÍDER TÉCNICO"/>
    <e v="#NAME?"/>
    <e v="#NAME?"/>
    <e v="#NAME?"/>
    <m/>
    <m/>
    <m/>
    <m/>
    <m/>
    <m/>
    <m/>
    <m/>
    <m/>
  </r>
  <r>
    <s v="CE44928"/>
    <s v="DESIREE JOSELYN MARQUEZ DIAZ"/>
    <s v="SEGUROS"/>
    <x v="13"/>
    <s v="VASS"/>
    <e v="#NAME?"/>
    <x v="108"/>
    <n v="0.5"/>
    <s v="Desarrollador"/>
    <s v="Distribuido"/>
    <s v="LÍDER TÉCNICO"/>
    <e v="#NAME?"/>
    <e v="#NAME?"/>
    <e v="#NAME?"/>
    <m/>
    <m/>
    <m/>
    <m/>
    <m/>
    <m/>
    <m/>
    <m/>
    <m/>
  </r>
  <r>
    <s v="CV25067"/>
    <s v="FRANCINE NARVAEZ LONDOÑO"/>
    <s v="SEGUROS"/>
    <x v="13"/>
    <s v="BBVA Seguros"/>
    <e v="#NAME?"/>
    <x v="102"/>
    <n v="0.75"/>
    <s v="Desarrollador"/>
    <s v="Distribuido"/>
    <s v="LÍDER TÉCNICO"/>
    <e v="#NAME?"/>
    <e v="#NAME?"/>
    <e v="#NAME?"/>
    <m/>
    <m/>
    <m/>
    <m/>
    <m/>
    <m/>
    <m/>
    <m/>
    <m/>
  </r>
  <r>
    <s v="CV25067"/>
    <s v="FRANCINE NARVAEZ LONDOÑO"/>
    <s v="SEGUROS"/>
    <x v="13"/>
    <s v="BBVA Seguros"/>
    <e v="#NAME?"/>
    <x v="3"/>
    <n v="0.25"/>
    <s v="Desarrollador"/>
    <s v="Distribuido"/>
    <s v="LÍDER TÉCNICO"/>
    <e v="#NAME?"/>
    <e v="#NAME?"/>
    <e v="#NAME?"/>
    <m/>
    <m/>
    <m/>
    <m/>
    <m/>
    <m/>
    <m/>
    <m/>
    <m/>
  </r>
  <r>
    <s v="CV25084"/>
    <s v="JEISON IVAN GAMBA HASTAMORIR"/>
    <s v="SEGUROS"/>
    <x v="13"/>
    <s v="BBVA Seguros"/>
    <e v="#NAME?"/>
    <x v="108"/>
    <n v="1"/>
    <s v="Desarrollador"/>
    <s v="Distribuido"/>
    <s v="LÍDER TÉCNICO"/>
    <e v="#NAME?"/>
    <e v="#NAME?"/>
    <e v="#NAME?"/>
    <m/>
    <m/>
    <m/>
    <m/>
    <m/>
    <m/>
    <m/>
    <m/>
    <m/>
  </r>
  <r>
    <s v="CV25093"/>
    <s v="NANCY ESTEFANIA CASAS PERDOMO"/>
    <s v="SEGUROS"/>
    <x v="13"/>
    <s v="BBVA Seguros"/>
    <e v="#NAME?"/>
    <x v="3"/>
    <n v="0.75"/>
    <s v="Desarrollador"/>
    <s v="Distribuido"/>
    <s v="LÍDER TÉCNICO"/>
    <e v="#NAME?"/>
    <e v="#NAME?"/>
    <e v="#NAME?"/>
    <m/>
    <m/>
    <m/>
    <m/>
    <m/>
    <m/>
    <m/>
    <m/>
    <m/>
  </r>
  <r>
    <s v="CV25093"/>
    <s v="NANCY ESTEFANIA CASAS PERDOMO"/>
    <s v="SEGUROS"/>
    <x v="13"/>
    <s v="BBVA Seguros"/>
    <e v="#NAME?"/>
    <x v="106"/>
    <n v="0.25"/>
    <s v="Desarrollador"/>
    <s v="Distribuido"/>
    <s v="LÍDER TÉCNICO"/>
    <e v="#NAME?"/>
    <e v="#NAME?"/>
    <e v="#NAME?"/>
    <m/>
    <m/>
    <m/>
    <m/>
    <m/>
    <m/>
    <m/>
    <m/>
    <m/>
  </r>
  <r>
    <s v="CV25074"/>
    <s v="JOHAN SEBASTIAN DUEÑAS ARTUNDUAGA_x000a_"/>
    <s v="SEGUROS"/>
    <x v="13"/>
    <s v="BBVA Seguros"/>
    <e v="#NAME?"/>
    <x v="102"/>
    <n v="1"/>
    <s v="Desarrollador"/>
    <s v="Distribuido"/>
    <m/>
    <e v="#NAME?"/>
    <e v="#NAME?"/>
    <e v="#NAME?"/>
    <m/>
    <m/>
    <m/>
    <m/>
    <m/>
    <m/>
    <m/>
    <m/>
    <m/>
  </r>
  <r>
    <s v="CV25001"/>
    <s v="ELKIN FERNANDO BURBANO CORAL"/>
    <s v="SEGUROS"/>
    <x v="13"/>
    <s v="BBVA Seguros"/>
    <e v="#NAME?"/>
    <x v="109"/>
    <n v="0.75"/>
    <s v="Tech Manager/Líder"/>
    <s v="Distribuido"/>
    <m/>
    <e v="#NAME?"/>
    <e v="#NAME?"/>
    <e v="#NAME?"/>
    <m/>
    <m/>
    <m/>
    <m/>
    <m/>
    <m/>
    <m/>
    <m/>
    <m/>
  </r>
  <r>
    <s v="CV25001"/>
    <s v="ELKIN FERNANDO BURBANO CORAL"/>
    <s v="SEGUROS"/>
    <x v="13"/>
    <s v="BBVA Seguros"/>
    <e v="#NAME?"/>
    <x v="102"/>
    <n v="0.25"/>
    <s v="Tech Manager/Líder"/>
    <s v="Distribuido"/>
    <m/>
    <e v="#NAME?"/>
    <e v="#NAME?"/>
    <e v="#NAME?"/>
    <m/>
    <m/>
    <m/>
    <m/>
    <m/>
    <m/>
    <m/>
    <m/>
    <m/>
  </r>
  <r>
    <s v="CE66586"/>
    <s v="DANEY FELIPE MIRANDA MIRANDA"/>
    <s v="SEGUROS"/>
    <x v="13"/>
    <s v="Inetum"/>
    <e v="#NAME?"/>
    <x v="96"/>
    <n v="1"/>
    <s v="QA"/>
    <s v="Otras Tec."/>
    <s v="Altamira"/>
    <e v="#NAME?"/>
    <e v="#NAME?"/>
    <e v="#NAME?"/>
    <m/>
    <m/>
    <m/>
    <m/>
    <m/>
    <m/>
    <m/>
    <m/>
    <m/>
  </r>
  <r>
    <s v="T005668"/>
    <s v="ERICK SANTIAGO GUERRERO ROMERO"/>
    <s v="SEGUROS"/>
    <x v="13"/>
    <s v="Inetum"/>
    <e v="#NAME?"/>
    <x v="96"/>
    <n v="1"/>
    <s v="QA"/>
    <m/>
    <s v="Altamira"/>
    <e v="#NAME?"/>
    <e v="#NAME?"/>
    <e v="#NAME?"/>
    <m/>
    <m/>
    <m/>
    <m/>
    <m/>
    <m/>
    <m/>
    <m/>
    <m/>
  </r>
  <r>
    <s v="CE48941"/>
    <s v="CRISTHIAN ARMANDO DUEÑAS"/>
    <s v="SEGUROS"/>
    <x v="13"/>
    <s v="Inetum"/>
    <e v="#NAME?"/>
    <x v="3"/>
    <n v="1"/>
    <s v="QA"/>
    <s v="Distribuido"/>
    <m/>
    <e v="#NAME?"/>
    <e v="#NAME?"/>
    <e v="#NAME?"/>
    <m/>
    <m/>
    <m/>
    <m/>
    <m/>
    <m/>
    <m/>
    <m/>
    <m/>
  </r>
  <r>
    <s v="CE50178"/>
    <s v="PABLO ENRIQUE CALDERON DIAZ"/>
    <s v="SEGUROS"/>
    <x v="13"/>
    <s v="Inetum"/>
    <e v="#NAME?"/>
    <x v="3"/>
    <n v="1"/>
    <s v="Otros"/>
    <m/>
    <s v="Técnico Despliegues Seguros / Altamira"/>
    <e v="#NAME?"/>
    <e v="#NAME?"/>
    <e v="#NAME?"/>
    <m/>
    <m/>
    <m/>
    <m/>
    <m/>
    <m/>
    <m/>
    <m/>
    <m/>
  </r>
  <r>
    <s v="CE69705"/>
    <s v="MIGUEL FAJARDO"/>
    <s v="SEGUROS"/>
    <x v="13"/>
    <s v="Inetum"/>
    <e v="#NAME?"/>
    <x v="106"/>
    <n v="1"/>
    <s v="QA"/>
    <s v="Distribuido"/>
    <m/>
    <e v="#NAME?"/>
    <e v="#NAME?"/>
    <e v="#NAME?"/>
    <m/>
    <m/>
    <m/>
    <m/>
    <m/>
    <m/>
    <m/>
    <m/>
    <m/>
  </r>
  <r>
    <s v="CE53945"/>
    <s v="GIOVANNI ALONSO PENARETE BUITRAGO"/>
    <s v="SEGUROS"/>
    <x v="13"/>
    <s v="Inetum"/>
    <e v="#NAME?"/>
    <x v="96"/>
    <n v="1"/>
    <s v="QA"/>
    <m/>
    <s v="Altamira"/>
    <e v="#NAME?"/>
    <e v="#NAME?"/>
    <e v="#NAME?"/>
    <m/>
    <m/>
    <m/>
    <m/>
    <m/>
    <m/>
    <m/>
    <m/>
    <m/>
  </r>
  <r>
    <s v="T008565"/>
    <s v="HENRY FABIAN ROJAS GALLEGO"/>
    <s v="SEGUROS"/>
    <x v="13"/>
    <s v="Inetum"/>
    <e v="#NAME?"/>
    <x v="96"/>
    <n v="1"/>
    <s v="QA"/>
    <m/>
    <s v="Altamira"/>
    <e v="#NAME?"/>
    <e v="#NAME?"/>
    <e v="#NAME?"/>
    <m/>
    <m/>
    <m/>
    <m/>
    <m/>
    <m/>
    <m/>
    <m/>
    <m/>
  </r>
  <r>
    <s v="T009692"/>
    <s v="SEBASTIAN FELIPE ROJAS"/>
    <s v="SEGUROS"/>
    <x v="13"/>
    <s v="Inetum"/>
    <e v="#NAME?"/>
    <x v="3"/>
    <n v="1"/>
    <s v="Otros"/>
    <m/>
    <s v="Técnico Despliegues Seguros / Altamira"/>
    <e v="#NAME?"/>
    <e v="#NAME?"/>
    <e v="#NAME?"/>
    <m/>
    <m/>
    <m/>
    <m/>
    <m/>
    <m/>
    <m/>
    <m/>
    <m/>
  </r>
  <r>
    <s v="CE42004"/>
    <s v="CLARENA VALENCIA CALDERON"/>
    <s v="SEGUROS"/>
    <x v="13"/>
    <s v="Inetum"/>
    <e v="#NAME?"/>
    <x v="96"/>
    <n v="1"/>
    <s v="QA"/>
    <m/>
    <s v="Altamira"/>
    <e v="#NAME?"/>
    <e v="#NAME?"/>
    <e v="#NAME?"/>
    <m/>
    <m/>
    <m/>
    <m/>
    <m/>
    <m/>
    <m/>
    <m/>
    <m/>
  </r>
  <r>
    <n v="1032450219"/>
    <s v="JULIAN LEANDRO CASTRO"/>
    <s v="SEGUROS"/>
    <x v="13"/>
    <s v="Inetum"/>
    <e v="#NAME?"/>
    <x v="99"/>
    <n v="1"/>
    <s v="QA"/>
    <m/>
    <s v="Altamira"/>
    <e v="#NAME?"/>
    <e v="#NAME?"/>
    <e v="#NAME?"/>
    <m/>
    <m/>
    <m/>
    <m/>
    <m/>
    <m/>
    <m/>
    <m/>
    <m/>
  </r>
  <r>
    <s v="CE65204"/>
    <s v="KATHERINE GALINDO VARGAS"/>
    <s v="SEGUROS"/>
    <x v="13"/>
    <s v="GGI / CMC"/>
    <e v="#NAME?"/>
    <x v="110"/>
    <n v="1"/>
    <s v="QA"/>
    <s v="Distribuido"/>
    <m/>
    <e v="#NAME?"/>
    <e v="#NAME?"/>
    <e v="#NAME?"/>
    <m/>
    <m/>
    <m/>
    <m/>
    <m/>
    <m/>
    <m/>
    <m/>
    <m/>
  </r>
  <r>
    <s v="CE65203"/>
    <s v="NATALIA ALEJANDRA GRAJALES CARDONA"/>
    <s v="SEGUROS"/>
    <x v="13"/>
    <s v="GGI / CMC"/>
    <e v="#NAME?"/>
    <x v="96"/>
    <n v="1"/>
    <s v="QA"/>
    <s v="Distribuido"/>
    <m/>
    <e v="#NAME?"/>
    <e v="#NAME?"/>
    <e v="#NAME?"/>
    <m/>
    <m/>
    <m/>
    <m/>
    <m/>
    <m/>
    <m/>
    <m/>
    <m/>
  </r>
  <r>
    <s v="CE53475"/>
    <s v="ANDREA MARCELA RODRIGUEZ A"/>
    <s v="SEGUROS"/>
    <x v="13"/>
    <s v="GGI / CMC"/>
    <e v="#NAME?"/>
    <x v="3"/>
    <n v="1"/>
    <s v="QA"/>
    <m/>
    <s v="Altamira"/>
    <e v="#NAME?"/>
    <e v="#NAME?"/>
    <e v="#NAME?"/>
    <m/>
    <m/>
    <m/>
    <m/>
    <m/>
    <m/>
    <m/>
    <m/>
    <m/>
  </r>
  <r>
    <s v="CE60737"/>
    <s v="JAIRO JUNIOR HERNANDEZ TRILLOS"/>
    <s v="SEGUROS"/>
    <x v="13"/>
    <s v="GGI / CMC"/>
    <e v="#NAME?"/>
    <x v="109"/>
    <n v="1"/>
    <s v="QA"/>
    <s v="Distribuido"/>
    <m/>
    <e v="#NAME?"/>
    <e v="#NAME?"/>
    <e v="#NAME?"/>
    <m/>
    <m/>
    <m/>
    <m/>
    <m/>
    <m/>
    <m/>
    <m/>
    <m/>
  </r>
  <r>
    <s v="CE37757"/>
    <s v="ENOIDES MEJIA"/>
    <s v="SEGUROS"/>
    <x v="13"/>
    <s v="GGI / CMC"/>
    <e v="#NAME?"/>
    <x v="3"/>
    <n v="1"/>
    <s v="Otros"/>
    <s v="Distribuido"/>
    <s v="Técnico Despliegues Seguros - Distribuido"/>
    <e v="#NAME?"/>
    <e v="#NAME?"/>
    <e v="#NAME?"/>
    <m/>
    <m/>
    <m/>
    <m/>
    <m/>
    <m/>
    <m/>
    <m/>
    <m/>
  </r>
  <r>
    <s v="CE69797"/>
    <s v="MARIA ALEJANDRA ZUÑIGA"/>
    <s v="SEGUROS"/>
    <x v="13"/>
    <s v="Choucair"/>
    <e v="#NAME?"/>
    <x v="3"/>
    <n v="1"/>
    <s v="QA"/>
    <m/>
    <s v="Altamira"/>
    <e v="#NAME?"/>
    <e v="#NAME?"/>
    <e v="#NAME?"/>
    <m/>
    <m/>
    <m/>
    <m/>
    <m/>
    <m/>
    <m/>
    <m/>
    <m/>
  </r>
  <r>
    <s v="CE66582"/>
    <s v="ANDREA CATERIN MUNOZ ACOSTA"/>
    <s v="SEGUROS"/>
    <x v="13"/>
    <s v="KRYPTO"/>
    <e v="#NAME?"/>
    <x v="96"/>
    <n v="1"/>
    <s v="QA"/>
    <m/>
    <s v="Altamira"/>
    <e v="#NAME?"/>
    <e v="#NAME?"/>
    <e v="#NAME?"/>
    <m/>
    <m/>
    <m/>
    <m/>
    <m/>
    <m/>
    <m/>
    <m/>
    <m/>
  </r>
  <r>
    <s v="CE55951"/>
    <s v="TANIA YULIETH PUENTES REAL"/>
    <s v="SEGUROS"/>
    <x v="13"/>
    <s v="KRYPTO"/>
    <e v="#NAME?"/>
    <x v="96"/>
    <n v="1"/>
    <s v="QA"/>
    <m/>
    <s v="Altamira"/>
    <e v="#NAME?"/>
    <e v="#NAME?"/>
    <e v="#NAME?"/>
    <m/>
    <m/>
    <m/>
    <m/>
    <m/>
    <m/>
    <m/>
    <m/>
    <m/>
  </r>
  <r>
    <s v="CE50906"/>
    <s v="EDGAR DANIEL CASTRO MUNOZ"/>
    <s v="SEGUROS"/>
    <x v="13"/>
    <s v="KRYPTO"/>
    <e v="#NAME?"/>
    <x v="99"/>
    <n v="1"/>
    <s v="QA"/>
    <m/>
    <s v="Altamira"/>
    <e v="#NAME?"/>
    <e v="#NAME?"/>
    <e v="#NAME?"/>
    <m/>
    <m/>
    <m/>
    <m/>
    <m/>
    <m/>
    <m/>
    <m/>
    <m/>
  </r>
  <r>
    <s v="CE34436"/>
    <s v="BERTHA GRACIELA LOPEZ RODRIGUEZ"/>
    <s v="SEGUROS"/>
    <x v="13"/>
    <s v="VASS"/>
    <e v="#NAME?"/>
    <x v="106"/>
    <n v="1"/>
    <s v="QA"/>
    <s v="Distribuido"/>
    <m/>
    <e v="#NAME?"/>
    <e v="#NAME?"/>
    <e v="#NAME?"/>
    <m/>
    <m/>
    <m/>
    <m/>
    <m/>
    <m/>
    <m/>
    <m/>
    <m/>
  </r>
  <r>
    <s v="CE68707"/>
    <s v="MIGUEL LEÓN"/>
    <s v="SEGUROS"/>
    <x v="13"/>
    <s v="JARZSOFT"/>
    <e v="#NAME?"/>
    <x v="106"/>
    <n v="1"/>
    <s v="QA"/>
    <s v="Distribuido"/>
    <m/>
    <e v="#NAME?"/>
    <e v="#NAME?"/>
    <e v="#NAME?"/>
    <m/>
    <m/>
    <m/>
    <m/>
    <m/>
    <m/>
    <m/>
    <m/>
    <m/>
  </r>
  <r>
    <s v="CV68710"/>
    <s v="JOHN FREDY MUNOZ MARTINEZ"/>
    <s v="SEGUROS"/>
    <x v="13"/>
    <s v="SII"/>
    <e v="#NAME?"/>
    <x v="107"/>
    <n v="1"/>
    <s v="QA"/>
    <s v="Distribuido"/>
    <m/>
    <e v="#NAME?"/>
    <e v="#NAME?"/>
    <e v="#NAME?"/>
    <m/>
    <m/>
    <m/>
    <m/>
    <m/>
    <m/>
    <m/>
    <m/>
    <m/>
  </r>
  <r>
    <s v="CV24905"/>
    <s v="ADRIANA IBARRA"/>
    <s v="SEGUROS"/>
    <x v="13"/>
    <s v="BBVA Seguros"/>
    <e v="#NAME?"/>
    <x v="96"/>
    <n v="0.33"/>
    <s v="QA"/>
    <m/>
    <s v="QC"/>
    <e v="#NAME?"/>
    <e v="#NAME?"/>
    <e v="#NAME?"/>
    <m/>
    <m/>
    <m/>
    <m/>
    <m/>
    <m/>
    <m/>
    <m/>
    <m/>
  </r>
  <r>
    <s v="CV24905"/>
    <s v="ADRIANA IBARRA"/>
    <s v="SEGUROS"/>
    <x v="13"/>
    <s v="BBVA Seguros"/>
    <e v="#NAME?"/>
    <x v="97"/>
    <n v="0.33"/>
    <s v="QA"/>
    <m/>
    <s v="QC"/>
    <e v="#NAME?"/>
    <e v="#NAME?"/>
    <e v="#NAME?"/>
    <m/>
    <m/>
    <m/>
    <m/>
    <m/>
    <m/>
    <m/>
    <m/>
    <m/>
  </r>
  <r>
    <s v="CV24905"/>
    <s v="ADRIANA IBARRA"/>
    <s v="SEGUROS"/>
    <x v="13"/>
    <s v="BBVA Seguros"/>
    <e v="#NAME?"/>
    <x v="106"/>
    <n v="0.34"/>
    <s v="QA"/>
    <m/>
    <s v="QC"/>
    <e v="#NAME?"/>
    <e v="#NAME?"/>
    <e v="#NAME?"/>
    <m/>
    <m/>
    <m/>
    <m/>
    <m/>
    <m/>
    <m/>
    <m/>
    <m/>
  </r>
  <r>
    <s v="O003129"/>
    <s v="DIEGO ARIEL RODRIGUEZ"/>
    <s v="SEGUROS"/>
    <x v="13"/>
    <s v="BBVA Seguros"/>
    <e v="#NAME?"/>
    <x v="107"/>
    <n v="0.5"/>
    <s v="Otros"/>
    <m/>
    <m/>
    <e v="#NAME?"/>
    <e v="#NAME?"/>
    <e v="#NAME?"/>
    <m/>
    <m/>
    <m/>
    <m/>
    <m/>
    <m/>
    <m/>
    <m/>
    <m/>
  </r>
  <r>
    <s v="O003129"/>
    <s v="DIEGO ARIEL RODRIGUEZ"/>
    <s v="SEGUROS"/>
    <x v="13"/>
    <s v="BBVA Seguros"/>
    <e v="#NAME?"/>
    <x v="3"/>
    <n v="0.5"/>
    <s v="Otros"/>
    <m/>
    <m/>
    <e v="#NAME?"/>
    <e v="#NAME?"/>
    <e v="#NAME?"/>
    <m/>
    <m/>
    <m/>
    <m/>
    <m/>
    <m/>
    <m/>
    <m/>
    <m/>
  </r>
  <r>
    <s v="T003707"/>
    <s v="Andres Camilo Ruiz Bravo"/>
    <s v="CFS"/>
    <x v="8"/>
    <s v="Neoris"/>
    <e v="#NAME?"/>
    <x v="111"/>
    <n v="0.25"/>
    <s v="Desarrollador"/>
    <m/>
    <s v="Externo"/>
    <e v="#NAME?"/>
    <e v="#NAME?"/>
    <e v="#NAME?"/>
    <m/>
    <m/>
    <m/>
    <m/>
    <m/>
    <m/>
    <m/>
    <m/>
    <m/>
  </r>
  <r>
    <s v="T003707"/>
    <s v="Andres Camilo Ruiz Bravo"/>
    <s v="CFS"/>
    <x v="8"/>
    <s v="Neoris"/>
    <e v="#NAME?"/>
    <x v="87"/>
    <n v="0.1"/>
    <s v="Desarrollador"/>
    <m/>
    <s v="Externo"/>
    <e v="#NAME?"/>
    <e v="#NAME?"/>
    <e v="#NAME?"/>
    <m/>
    <m/>
    <m/>
    <m/>
    <m/>
    <m/>
    <m/>
    <m/>
    <m/>
  </r>
  <r>
    <s v="T003707"/>
    <s v="Andres Camilo Ruiz Bravo"/>
    <s v="CFS"/>
    <x v="8"/>
    <s v="Neoris"/>
    <e v="#NAME?"/>
    <x v="112"/>
    <n v="0.45"/>
    <s v="Desarrollador"/>
    <m/>
    <s v="Externo"/>
    <e v="#NAME?"/>
    <e v="#NAME?"/>
    <e v="#NAME?"/>
    <m/>
    <m/>
    <m/>
    <m/>
    <m/>
    <m/>
    <m/>
    <m/>
    <m/>
  </r>
  <r>
    <s v="T003707"/>
    <s v="Andres Camilo Ruiz Bravo"/>
    <s v="CFS"/>
    <x v="8"/>
    <s v="Neoris"/>
    <e v="#NAME?"/>
    <x v="113"/>
    <n v="0.2"/>
    <s v="Desarrollador"/>
    <m/>
    <s v="Externo"/>
    <e v="#NAME?"/>
    <e v="#NAME?"/>
    <e v="#NAME?"/>
    <m/>
    <m/>
    <m/>
    <m/>
    <m/>
    <m/>
    <m/>
    <m/>
    <m/>
  </r>
  <r>
    <s v="CE54569"/>
    <s v="Danilo Cusba Pulido"/>
    <s v="CFS"/>
    <x v="8"/>
    <s v="Choucair"/>
    <e v="#NAME?"/>
    <x v="87"/>
    <n v="0.45"/>
    <s v="QA"/>
    <m/>
    <s v="Externo"/>
    <e v="#NAME?"/>
    <e v="#NAME?"/>
    <e v="#NAME?"/>
    <m/>
    <m/>
    <m/>
    <m/>
    <m/>
    <m/>
    <m/>
    <m/>
    <m/>
  </r>
  <r>
    <s v="CE54569"/>
    <s v="Danilo Cusba Pulido"/>
    <s v="CFS"/>
    <x v="8"/>
    <s v="Choucair"/>
    <e v="#NAME?"/>
    <x v="112"/>
    <n v="0.3"/>
    <s v="QA"/>
    <m/>
    <s v="Externo"/>
    <e v="#NAME?"/>
    <e v="#NAME?"/>
    <e v="#NAME?"/>
    <m/>
    <m/>
    <m/>
    <m/>
    <m/>
    <m/>
    <m/>
    <m/>
    <m/>
  </r>
  <r>
    <s v="CE54569"/>
    <s v="Danilo Cusba Pulido"/>
    <s v="CFS"/>
    <x v="8"/>
    <s v="Choucair"/>
    <e v="#NAME?"/>
    <x v="114"/>
    <n v="0.15"/>
    <s v="QA"/>
    <m/>
    <s v="Externo"/>
    <e v="#NAME?"/>
    <e v="#NAME?"/>
    <e v="#NAME?"/>
    <m/>
    <m/>
    <m/>
    <m/>
    <m/>
    <m/>
    <m/>
    <m/>
    <m/>
  </r>
  <r>
    <s v="CE54569"/>
    <s v="Danilo Cusba Pulido"/>
    <s v="CFS"/>
    <x v="8"/>
    <s v="Choucair"/>
    <e v="#NAME?"/>
    <x v="113"/>
    <n v="0.1"/>
    <s v="QA"/>
    <m/>
    <s v="Externo"/>
    <e v="#NAME?"/>
    <e v="#NAME?"/>
    <e v="#NAME?"/>
    <m/>
    <m/>
    <m/>
    <m/>
    <m/>
    <m/>
    <m/>
    <m/>
    <m/>
  </r>
  <r>
    <s v="T003442"/>
    <s v="DIDIER ALFREDO PASUY CASTANO"/>
    <s v="CFS"/>
    <x v="8"/>
    <s v="Neoris"/>
    <e v="#NAME?"/>
    <x v="112"/>
    <n v="0.25"/>
    <s v="Desarrollador"/>
    <m/>
    <s v="Externo"/>
    <e v="#NAME?"/>
    <e v="#NAME?"/>
    <e v="#NAME?"/>
    <m/>
    <m/>
    <m/>
    <m/>
    <m/>
    <m/>
    <m/>
    <m/>
    <m/>
  </r>
  <r>
    <s v="T003442"/>
    <s v="DIDIER ALFREDO PASUY CASTANO"/>
    <s v="CFS"/>
    <x v="8"/>
    <s v="Neoris"/>
    <e v="#NAME?"/>
    <x v="113"/>
    <n v="0.25"/>
    <s v="Desarrollador"/>
    <m/>
    <s v="Externo"/>
    <e v="#NAME?"/>
    <e v="#NAME?"/>
    <e v="#NAME?"/>
    <m/>
    <m/>
    <m/>
    <m/>
    <m/>
    <m/>
    <m/>
    <m/>
    <m/>
  </r>
  <r>
    <s v="T003442"/>
    <s v="DIDIER ALFREDO PASUY CASTANO"/>
    <s v="CFS"/>
    <x v="8"/>
    <s v="Neoris"/>
    <e v="#NAME?"/>
    <x v="111"/>
    <n v="0.25"/>
    <s v="Desarrollador"/>
    <m/>
    <s v="Externo"/>
    <e v="#NAME?"/>
    <e v="#NAME?"/>
    <e v="#NAME?"/>
    <m/>
    <m/>
    <m/>
    <m/>
    <m/>
    <m/>
    <m/>
    <m/>
    <m/>
  </r>
  <r>
    <s v="T003442"/>
    <s v="DIDIER ALFREDO PASUY CASTANO"/>
    <s v="CFS"/>
    <x v="8"/>
    <s v="Neoris"/>
    <e v="#NAME?"/>
    <x v="111"/>
    <n v="0.25"/>
    <s v="Desarrollador"/>
    <m/>
    <s v="Externo"/>
    <e v="#NAME?"/>
    <e v="#NAME?"/>
    <e v="#NAME?"/>
    <m/>
    <m/>
    <m/>
    <m/>
    <m/>
    <m/>
    <m/>
    <m/>
    <m/>
  </r>
  <r>
    <s v="C804037"/>
    <s v="Eddy Hernando Bogota Cangrejo"/>
    <s v="CFS"/>
    <x v="8"/>
    <s v="BBVA"/>
    <e v="#NAME?"/>
    <x v="113"/>
    <n v="0.25"/>
    <s v="Tech Manager/Líder"/>
    <m/>
    <s v="Interno"/>
    <e v="#NAME?"/>
    <e v="#NAME?"/>
    <e v="#NAME?"/>
    <m/>
    <m/>
    <m/>
    <m/>
    <m/>
    <m/>
    <m/>
    <m/>
    <m/>
  </r>
  <r>
    <s v="C804037"/>
    <s v="Eddy Hernando Bogota Cangrejo"/>
    <s v="CFS"/>
    <x v="8"/>
    <s v="BBVA"/>
    <e v="#NAME?"/>
    <x v="114"/>
    <n v="0.2"/>
    <s v="Tech Manager/Líder"/>
    <m/>
    <s v="Interno"/>
    <e v="#NAME?"/>
    <e v="#NAME?"/>
    <e v="#NAME?"/>
    <m/>
    <m/>
    <m/>
    <m/>
    <m/>
    <m/>
    <m/>
    <m/>
    <m/>
  </r>
  <r>
    <s v="C804037"/>
    <s v="Eddy Hernando Bogota Cangrejo"/>
    <s v="CFS"/>
    <x v="8"/>
    <s v="BBVA"/>
    <e v="#NAME?"/>
    <x v="111"/>
    <n v="0.2"/>
    <s v="Tech Manager/Líder"/>
    <m/>
    <s v="Interno"/>
    <e v="#NAME?"/>
    <e v="#NAME?"/>
    <e v="#NAME?"/>
    <m/>
    <m/>
    <m/>
    <m/>
    <m/>
    <m/>
    <m/>
    <m/>
    <m/>
  </r>
  <r>
    <s v="C804037"/>
    <s v="Eddy Hernando Bogota Cangrejo"/>
    <s v="CFS"/>
    <x v="8"/>
    <s v="BBVA"/>
    <e v="#NAME?"/>
    <x v="112"/>
    <n v="0.2"/>
    <s v="Tech Manager/Líder"/>
    <m/>
    <s v="Interno"/>
    <e v="#NAME?"/>
    <e v="#NAME?"/>
    <e v="#NAME?"/>
    <m/>
    <m/>
    <m/>
    <m/>
    <m/>
    <m/>
    <m/>
    <m/>
    <m/>
  </r>
  <r>
    <s v="C804037"/>
    <s v="Eddy Hernando Bogota Cangrejo"/>
    <s v="CFS"/>
    <x v="8"/>
    <s v="BBVA"/>
    <e v="#NAME?"/>
    <x v="3"/>
    <n v="0.15"/>
    <s v="Tech Manager/Líder"/>
    <m/>
    <s v="Interno"/>
    <e v="#NAME?"/>
    <e v="#NAME?"/>
    <e v="#NAME?"/>
    <m/>
    <m/>
    <m/>
    <m/>
    <m/>
    <m/>
    <m/>
    <m/>
    <m/>
  </r>
  <r>
    <s v="C805749"/>
    <s v="Espitia Montilla William Ricardo"/>
    <s v="CFS"/>
    <x v="8"/>
    <s v="BBVA"/>
    <e v="#NAME?"/>
    <x v="112"/>
    <n v="0.5"/>
    <s v="Desarrollador"/>
    <m/>
    <s v="Interno"/>
    <e v="#NAME?"/>
    <e v="#NAME?"/>
    <e v="#NAME?"/>
    <m/>
    <m/>
    <m/>
    <m/>
    <m/>
    <m/>
    <m/>
    <m/>
    <m/>
  </r>
  <r>
    <s v="C805749"/>
    <s v="Espitia Montilla William Ricardo"/>
    <s v="CFS"/>
    <x v="8"/>
    <s v="BBVA"/>
    <e v="#NAME?"/>
    <x v="111"/>
    <n v="0.4"/>
    <s v="Desarrollador"/>
    <m/>
    <s v="Interno"/>
    <e v="#NAME?"/>
    <e v="#NAME?"/>
    <e v="#NAME?"/>
    <m/>
    <m/>
    <m/>
    <m/>
    <m/>
    <m/>
    <m/>
    <m/>
    <m/>
  </r>
  <r>
    <s v="C805749"/>
    <s v="Espitia Montilla William Ricardo"/>
    <s v="CFS"/>
    <x v="8"/>
    <s v="BBVA"/>
    <e v="#NAME?"/>
    <x v="113"/>
    <n v="0.1"/>
    <s v="Desarrollador"/>
    <m/>
    <s v="Interno"/>
    <e v="#NAME?"/>
    <e v="#NAME?"/>
    <e v="#NAME?"/>
    <m/>
    <m/>
    <m/>
    <m/>
    <m/>
    <m/>
    <m/>
    <m/>
    <m/>
  </r>
  <r>
    <s v="C809505"/>
    <s v="Fuentes Rojas Jose David"/>
    <s v="CFS"/>
    <x v="8"/>
    <s v="BBVA"/>
    <e v="#NAME?"/>
    <x v="112"/>
    <n v="0.35"/>
    <s v="Desarrollador"/>
    <m/>
    <s v="Interno"/>
    <e v="#NAME?"/>
    <e v="#NAME?"/>
    <e v="#NAME?"/>
    <m/>
    <m/>
    <m/>
    <m/>
    <m/>
    <m/>
    <m/>
    <m/>
    <m/>
  </r>
  <r>
    <s v="C809505"/>
    <s v="Fuentes Rojas Jose David"/>
    <s v="CFS"/>
    <x v="8"/>
    <s v="BBVA"/>
    <e v="#NAME?"/>
    <x v="113"/>
    <n v="0.3"/>
    <s v="Desarrollador"/>
    <m/>
    <s v="Interno"/>
    <e v="#NAME?"/>
    <e v="#NAME?"/>
    <e v="#NAME?"/>
    <m/>
    <m/>
    <m/>
    <m/>
    <m/>
    <m/>
    <m/>
    <m/>
    <m/>
  </r>
  <r>
    <s v="C809505"/>
    <s v="Fuentes Rojas Jose David"/>
    <s v="CFS"/>
    <x v="8"/>
    <s v="BBVA"/>
    <e v="#NAME?"/>
    <x v="111"/>
    <n v="0.35"/>
    <s v="Desarrollador"/>
    <m/>
    <s v="Interno"/>
    <e v="#NAME?"/>
    <e v="#NAME?"/>
    <e v="#NAME?"/>
    <m/>
    <m/>
    <m/>
    <m/>
    <m/>
    <m/>
    <m/>
    <m/>
    <m/>
  </r>
  <r>
    <s v="CE58926"/>
    <s v="HEYBER FERNANDO NINO GUANUME."/>
    <s v="CFS"/>
    <x v="8"/>
    <s v="Neoris"/>
    <e v="#NAME?"/>
    <x v="113"/>
    <n v="0.5"/>
    <s v="Desarrollador"/>
    <m/>
    <s v="Externo"/>
    <e v="#NAME?"/>
    <e v="#NAME?"/>
    <e v="#NAME?"/>
    <m/>
    <m/>
    <m/>
    <m/>
    <m/>
    <m/>
    <m/>
    <m/>
    <m/>
  </r>
  <r>
    <s v="CE58926"/>
    <s v="HEYBER FERNANDO NINO GUANUME."/>
    <s v="CFS"/>
    <x v="8"/>
    <s v="Neoris"/>
    <e v="#NAME?"/>
    <x v="113"/>
    <n v="0.5"/>
    <s v="Desarrollador"/>
    <m/>
    <s v="Externo"/>
    <e v="#NAME?"/>
    <e v="#NAME?"/>
    <e v="#NAME?"/>
    <m/>
    <m/>
    <m/>
    <m/>
    <m/>
    <m/>
    <m/>
    <m/>
    <m/>
  </r>
  <r>
    <s v="T002660"/>
    <s v="JUAN ALEJANDRO RIOS PEREZ"/>
    <s v="CFS"/>
    <x v="8"/>
    <s v="Choucair"/>
    <e v="#NAME?"/>
    <x v="112"/>
    <n v="0.3"/>
    <s v="QA"/>
    <m/>
    <s v="Externo"/>
    <e v="#NAME?"/>
    <e v="#NAME?"/>
    <e v="#NAME?"/>
    <m/>
    <m/>
    <m/>
    <m/>
    <m/>
    <m/>
    <m/>
    <m/>
    <m/>
  </r>
  <r>
    <s v="T002660"/>
    <s v="JUAN ALEJANDRO RIOS PEREZ"/>
    <s v="CFS"/>
    <x v="8"/>
    <s v="Choucair"/>
    <e v="#NAME?"/>
    <x v="111"/>
    <n v="0.3"/>
    <s v="QA"/>
    <m/>
    <s v="Externo"/>
    <e v="#NAME?"/>
    <e v="#NAME?"/>
    <e v="#NAME?"/>
    <m/>
    <m/>
    <m/>
    <m/>
    <m/>
    <m/>
    <m/>
    <m/>
    <m/>
  </r>
  <r>
    <s v="T002660"/>
    <s v="JUAN ALEJANDRO RIOS PEREZ"/>
    <s v="CFS"/>
    <x v="8"/>
    <s v="Choucair"/>
    <e v="#NAME?"/>
    <x v="113"/>
    <n v="0.4"/>
    <s v="QA"/>
    <m/>
    <s v="Externo"/>
    <e v="#NAME?"/>
    <e v="#NAME?"/>
    <e v="#NAME?"/>
    <m/>
    <m/>
    <m/>
    <m/>
    <m/>
    <m/>
    <m/>
    <m/>
    <m/>
  </r>
  <r>
    <s v="T003439"/>
    <s v="Paula Janeth moreno Escobar"/>
    <s v="CFS"/>
    <x v="8"/>
    <s v="Neoris"/>
    <e v="#NAME?"/>
    <x v="112"/>
    <n v="0.5"/>
    <s v="Desarrollador"/>
    <m/>
    <s v="Externo"/>
    <e v="#NAME?"/>
    <e v="#NAME?"/>
    <e v="#NAME?"/>
    <m/>
    <m/>
    <m/>
    <m/>
    <m/>
    <m/>
    <m/>
    <m/>
    <m/>
  </r>
  <r>
    <s v="T003439"/>
    <s v="Paula Janeth moreno Escobar"/>
    <s v="CFS"/>
    <x v="8"/>
    <s v="Neoris"/>
    <e v="#NAME?"/>
    <x v="111"/>
    <n v="0.1"/>
    <s v="Desarrollador"/>
    <m/>
    <s v="Externo"/>
    <e v="#NAME?"/>
    <e v="#NAME?"/>
    <e v="#NAME?"/>
    <m/>
    <m/>
    <m/>
    <m/>
    <m/>
    <m/>
    <m/>
    <m/>
    <m/>
  </r>
  <r>
    <s v="T003439"/>
    <s v="Paula Janeth moreno Escobar"/>
    <s v="CFS"/>
    <x v="8"/>
    <s v="Neoris"/>
    <e v="#NAME?"/>
    <x v="113"/>
    <n v="0.4"/>
    <s v="Desarrollador"/>
    <m/>
    <s v="Externo"/>
    <e v="#NAME?"/>
    <e v="#NAME?"/>
    <e v="#NAME?"/>
    <m/>
    <m/>
    <m/>
    <m/>
    <m/>
    <m/>
    <m/>
    <m/>
    <m/>
  </r>
  <r>
    <s v="C808793"/>
    <s v="Rey Orozco Cristian Ivan"/>
    <s v="CFS"/>
    <x v="8"/>
    <s v="BBVA"/>
    <e v="#NAME?"/>
    <x v="112"/>
    <n v="0.8"/>
    <s v="Desarrollador"/>
    <m/>
    <s v="Interno"/>
    <e v="#NAME?"/>
    <e v="#NAME?"/>
    <e v="#NAME?"/>
    <m/>
    <m/>
    <m/>
    <m/>
    <m/>
    <m/>
    <m/>
    <m/>
    <m/>
  </r>
  <r>
    <s v="C808793"/>
    <s v="Rey Orozco Cristian Ivan"/>
    <s v="CFS"/>
    <x v="8"/>
    <s v="BBVA"/>
    <e v="#NAME?"/>
    <x v="111"/>
    <n v="0.2"/>
    <s v="Desarrollador"/>
    <m/>
    <s v="Interno"/>
    <e v="#NAME?"/>
    <e v="#NAME?"/>
    <e v="#NAME?"/>
    <m/>
    <m/>
    <m/>
    <m/>
    <m/>
    <m/>
    <m/>
    <m/>
    <m/>
  </r>
  <r>
    <s v="C811305"/>
    <s v="Rigoberto Rios Hueso"/>
    <s v="CFS"/>
    <x v="8"/>
    <s v="BBVA"/>
    <e v="#NAME?"/>
    <x v="87"/>
    <n v="0.4"/>
    <s v="Desarrollador"/>
    <m/>
    <s v="Interno"/>
    <e v="#NAME?"/>
    <e v="#NAME?"/>
    <e v="#NAME?"/>
    <m/>
    <m/>
    <m/>
    <m/>
    <m/>
    <m/>
    <m/>
    <m/>
    <m/>
  </r>
  <r>
    <s v="C811305"/>
    <s v="Rigoberto Rios Hueso"/>
    <s v="CFS"/>
    <x v="8"/>
    <s v="BBVA"/>
    <e v="#NAME?"/>
    <x v="114"/>
    <n v="0.6"/>
    <s v="Desarrollador"/>
    <m/>
    <s v="Interno"/>
    <e v="#NAME?"/>
    <e v="#NAME?"/>
    <e v="#NAME?"/>
    <m/>
    <m/>
    <m/>
    <m/>
    <m/>
    <m/>
    <m/>
    <m/>
    <m/>
  </r>
  <r>
    <s v="T003924"/>
    <s v="Stefan Nicolas Aponte Murcia"/>
    <s v="CFS"/>
    <x v="8"/>
    <s v="GGI / CMC"/>
    <e v="#NAME?"/>
    <x v="112"/>
    <n v="0.6"/>
    <s v="Desarrollador"/>
    <m/>
    <s v="Externo"/>
    <e v="#NAME?"/>
    <e v="#NAME?"/>
    <e v="#NAME?"/>
    <m/>
    <m/>
    <m/>
    <m/>
    <m/>
    <m/>
    <m/>
    <m/>
    <m/>
  </r>
  <r>
    <s v="T003924"/>
    <s v="Stefan Nicolas Aponte Murcia"/>
    <s v="CFS"/>
    <x v="8"/>
    <s v="GGI / CMC"/>
    <e v="#NAME?"/>
    <x v="111"/>
    <n v="0.4"/>
    <s v="Desarrollador"/>
    <m/>
    <s v="Externo"/>
    <e v="#NAME?"/>
    <e v="#NAME?"/>
    <e v="#NAME?"/>
    <m/>
    <m/>
    <m/>
    <m/>
    <m/>
    <m/>
    <m/>
    <m/>
    <m/>
  </r>
  <r>
    <s v="T005244"/>
    <s v="TOVAR VELASQUEZ MEYER"/>
    <s v="CFS"/>
    <x v="8"/>
    <s v="Neoris"/>
    <e v="#NAME?"/>
    <x v="112"/>
    <n v="0.3"/>
    <s v="Desarrollador"/>
    <m/>
    <s v="Externo"/>
    <e v="#NAME?"/>
    <e v="#NAME?"/>
    <e v="#NAME?"/>
    <m/>
    <m/>
    <m/>
    <m/>
    <m/>
    <m/>
    <m/>
    <m/>
    <m/>
  </r>
  <r>
    <s v="T005244"/>
    <s v="TOVAR VELASQUEZ MEYER"/>
    <s v="CFS"/>
    <x v="8"/>
    <s v="Neoris"/>
    <e v="#NAME?"/>
    <x v="111"/>
    <n v="0.4"/>
    <s v="Desarrollador"/>
    <m/>
    <s v="Externo"/>
    <e v="#NAME?"/>
    <e v="#NAME?"/>
    <e v="#NAME?"/>
    <m/>
    <m/>
    <m/>
    <m/>
    <m/>
    <m/>
    <m/>
    <m/>
    <m/>
  </r>
  <r>
    <s v="T005244"/>
    <s v="TOVAR VELASQUEZ MEYER"/>
    <s v="CFS"/>
    <x v="8"/>
    <s v="Neoris"/>
    <e v="#NAME?"/>
    <x v="113"/>
    <n v="0.3"/>
    <s v="Desarrollador"/>
    <m/>
    <s v="Externo"/>
    <e v="#NAME?"/>
    <e v="#NAME?"/>
    <e v="#NAME?"/>
    <m/>
    <m/>
    <m/>
    <m/>
    <m/>
    <m/>
    <m/>
    <m/>
    <m/>
  </r>
  <r>
    <s v="T004481"/>
    <s v="ACEVEDO SANCHEZ RUBEN DARIO"/>
    <s v="CFS"/>
    <x v="8"/>
    <s v="Neoris"/>
    <e v="#NAME?"/>
    <x v="112"/>
    <n v="0.5"/>
    <s v="Desarrollador"/>
    <m/>
    <s v="Externo"/>
    <e v="#NAME?"/>
    <e v="#NAME?"/>
    <e v="#NAME?"/>
    <m/>
    <m/>
    <m/>
    <m/>
    <m/>
    <m/>
    <m/>
    <m/>
    <m/>
  </r>
  <r>
    <s v="T004481"/>
    <s v="ACEVEDO SANCHEZ RUBEN DARIO"/>
    <s v="CFS"/>
    <x v="8"/>
    <s v="Neoris"/>
    <e v="#NAME?"/>
    <x v="111"/>
    <n v="0.5"/>
    <s v="Desarrollador"/>
    <m/>
    <s v="Externo"/>
    <e v="#NAME?"/>
    <e v="#NAME?"/>
    <e v="#NAME?"/>
    <m/>
    <m/>
    <m/>
    <m/>
    <m/>
    <m/>
    <m/>
    <m/>
    <m/>
  </r>
  <r>
    <s v="CE54975"/>
    <s v="Juan Carlos Pardo Hernandez"/>
    <s v="CFS"/>
    <x v="8"/>
    <s v="GGI / CMC"/>
    <e v="#NAME?"/>
    <x v="112"/>
    <n v="0.5"/>
    <s v="Desarrollador"/>
    <m/>
    <s v="Externo"/>
    <e v="#NAME?"/>
    <e v="#NAME?"/>
    <e v="#NAME?"/>
    <m/>
    <m/>
    <m/>
    <m/>
    <m/>
    <m/>
    <m/>
    <m/>
    <m/>
  </r>
  <r>
    <s v="CE54975"/>
    <s v="Juan Carlos Pardo Hernandez"/>
    <s v="CFS"/>
    <x v="8"/>
    <s v="GGI / CMC"/>
    <e v="#NAME?"/>
    <x v="111"/>
    <n v="0.5"/>
    <s v="Desarrollador"/>
    <m/>
    <s v="Externo"/>
    <e v="#NAME?"/>
    <e v="#NAME?"/>
    <e v="#NAME?"/>
    <m/>
    <m/>
    <m/>
    <m/>
    <m/>
    <m/>
    <m/>
    <m/>
    <m/>
  </r>
  <r>
    <s v="CE64571"/>
    <s v="Melissa Correa Rios"/>
    <s v="CFS"/>
    <x v="8"/>
    <s v="GGI / CMC"/>
    <e v="#NAME?"/>
    <x v="111"/>
    <n v="1"/>
    <s v="Desarrollador"/>
    <m/>
    <s v="Externo"/>
    <e v="#NAME?"/>
    <e v="#NAME?"/>
    <e v="#NAME?"/>
    <m/>
    <m/>
    <m/>
    <m/>
    <m/>
    <m/>
    <m/>
    <m/>
    <m/>
  </r>
  <r>
    <s v="CE69336"/>
    <s v="Kleiver Joan Martinez Peña"/>
    <s v="CFS"/>
    <x v="8"/>
    <s v="Indra"/>
    <e v="#NAME?"/>
    <x v="113"/>
    <n v="1"/>
    <s v="Desarrollador"/>
    <m/>
    <s v="Externo"/>
    <e v="#NAME?"/>
    <e v="#NAME?"/>
    <e v="#NAME?"/>
    <m/>
    <m/>
    <m/>
    <m/>
    <m/>
    <m/>
    <m/>
    <m/>
    <m/>
  </r>
  <r>
    <s v="CE50845"/>
    <s v="Jeferson Daniel Agudelo sierra"/>
    <s v="CFS"/>
    <x v="8"/>
    <s v="Neoris"/>
    <e v="#NAME?"/>
    <x v="111"/>
    <n v="0.5"/>
    <s v="Desarrollador"/>
    <m/>
    <s v="Externo"/>
    <e v="#NAME?"/>
    <e v="#NAME?"/>
    <e v="#NAME?"/>
    <m/>
    <m/>
    <m/>
    <m/>
    <m/>
    <m/>
    <m/>
    <m/>
    <m/>
  </r>
  <r>
    <s v="CE50845"/>
    <s v="Jeferson Daniel Agudelo sierra"/>
    <s v="CFS"/>
    <x v="8"/>
    <s v="Neoris"/>
    <e v="#NAME?"/>
    <x v="113"/>
    <n v="0.3"/>
    <s v="Desarrollador"/>
    <m/>
    <s v="Externo"/>
    <e v="#NAME?"/>
    <e v="#NAME?"/>
    <e v="#NAME?"/>
    <m/>
    <m/>
    <m/>
    <m/>
    <m/>
    <m/>
    <m/>
    <m/>
    <m/>
  </r>
  <r>
    <s v="CE50845"/>
    <s v="Jeferson Daniel Agudelo sierra"/>
    <s v="CFS"/>
    <x v="8"/>
    <s v="Neoris"/>
    <e v="#NAME?"/>
    <x v="112"/>
    <n v="0.2"/>
    <s v="Desarrollador"/>
    <m/>
    <m/>
    <e v="#NAME?"/>
    <e v="#NAME?"/>
    <e v="#NAME?"/>
    <m/>
    <m/>
    <m/>
    <m/>
    <m/>
    <m/>
    <m/>
    <m/>
    <m/>
  </r>
  <r>
    <s v="CE67859"/>
    <s v="Andres Felipe Quintero Salazar"/>
    <s v="RETAIL"/>
    <x v="14"/>
    <s v="Accenture"/>
    <e v="#NAME?"/>
    <x v="115"/>
    <n v="0.5"/>
    <s v="Desarrollador"/>
    <s v="ASO"/>
    <m/>
    <e v="#NAME?"/>
    <e v="#NAME?"/>
    <e v="#NAME?"/>
    <m/>
    <m/>
    <m/>
    <m/>
    <m/>
    <m/>
    <m/>
    <m/>
    <m/>
  </r>
  <r>
    <s v="CE51863"/>
    <s v="EDNA ROCIO MONCADA"/>
    <s v="RETAIL"/>
    <x v="14"/>
    <s v="KRYPTO"/>
    <e v="#NAME?"/>
    <x v="115"/>
    <n v="0.02"/>
    <s v="QA"/>
    <s v="Otras Tec."/>
    <m/>
    <e v="#NAME?"/>
    <e v="#NAME?"/>
    <e v="#NAME?"/>
    <m/>
    <m/>
    <m/>
    <m/>
    <m/>
    <m/>
    <m/>
    <m/>
    <m/>
  </r>
  <r>
    <s v="O002593"/>
    <s v="TATIANA CAROLINA AVELLANEDA"/>
    <s v="RETAIL"/>
    <x v="14"/>
    <s v="BBVA"/>
    <e v="#NAME?"/>
    <x v="115"/>
    <n v="0.2"/>
    <s v="Tech Manager/Líder"/>
    <s v="Otras Tec."/>
    <m/>
    <e v="#NAME?"/>
    <e v="#NAME?"/>
    <e v="#NAME?"/>
    <m/>
    <m/>
    <m/>
    <m/>
    <m/>
    <m/>
    <m/>
    <m/>
    <m/>
  </r>
  <r>
    <s v="O001659"/>
    <s v="CARLOS ARTURO PUENTES ZAMBRANO"/>
    <s v="RETAIL"/>
    <x v="14"/>
    <s v="BBVA"/>
    <e v="#NAME?"/>
    <x v="115"/>
    <n v="1"/>
    <s v="Desarrollador"/>
    <s v="Mainframe"/>
    <m/>
    <e v="#NAME?"/>
    <e v="#NAME?"/>
    <e v="#NAME?"/>
    <m/>
    <m/>
    <m/>
    <m/>
    <m/>
    <m/>
    <m/>
    <m/>
    <m/>
  </r>
  <r>
    <s v="T004575"/>
    <s v="David Sandoval Arboleda"/>
    <s v="RETAIL"/>
    <x v="14"/>
    <s v="Accenture"/>
    <e v="#NAME?"/>
    <x v="115"/>
    <n v="1"/>
    <s v="Desarrollador"/>
    <s v="Cells"/>
    <m/>
    <e v="#NAME?"/>
    <e v="#NAME?"/>
    <e v="#NAME?"/>
    <m/>
    <m/>
    <m/>
    <m/>
    <m/>
    <m/>
    <m/>
    <m/>
    <m/>
  </r>
  <r>
    <s v="O000959"/>
    <s v="JORGE ESTEBAN LLANOS"/>
    <s v="RETAIL"/>
    <x v="14"/>
    <s v="BBVA"/>
    <e v="#NAME?"/>
    <x v="115"/>
    <n v="1"/>
    <s v="Desarrollador"/>
    <s v="APX"/>
    <m/>
    <e v="#NAME?"/>
    <e v="#NAME?"/>
    <e v="#NAME?"/>
    <m/>
    <m/>
    <m/>
    <m/>
    <m/>
    <m/>
    <m/>
    <m/>
    <m/>
  </r>
  <r>
    <s v="C811006"/>
    <s v="JULIAN ESTIC LAGOS GALINDO"/>
    <s v="RETAIL"/>
    <x v="14"/>
    <s v="BBVA"/>
    <e v="#NAME?"/>
    <x v="115"/>
    <n v="1"/>
    <s v="Desarrollador"/>
    <s v="Cells"/>
    <m/>
    <e v="#NAME?"/>
    <e v="#NAME?"/>
    <e v="#NAME?"/>
    <m/>
    <m/>
    <m/>
    <m/>
    <m/>
    <m/>
    <m/>
    <m/>
    <m/>
  </r>
  <r>
    <s v="T004934"/>
    <s v="Luis Eduardo Fonseca Fajardo"/>
    <s v="RETAIL"/>
    <x v="14"/>
    <s v="Choucair"/>
    <e v="#NAME?"/>
    <x v="115"/>
    <n v="1"/>
    <s v="QA"/>
    <s v="Otras Tec."/>
    <m/>
    <e v="#NAME?"/>
    <e v="#NAME?"/>
    <e v="#NAME?"/>
    <m/>
    <m/>
    <m/>
    <m/>
    <m/>
    <m/>
    <m/>
    <m/>
    <m/>
  </r>
  <r>
    <s v="CE70412"/>
    <s v="Angie Chiguasuque"/>
    <s v="RETAIL"/>
    <x v="14"/>
    <s v="Choucair"/>
    <e v="#NAME?"/>
    <x v="115"/>
    <n v="1"/>
    <s v="QA"/>
    <s v="Otras Tec."/>
    <m/>
    <e v="#NAME?"/>
    <e v="#NAME?"/>
    <e v="#NAME?"/>
    <m/>
    <m/>
    <m/>
    <m/>
    <m/>
    <m/>
    <m/>
    <m/>
    <m/>
  </r>
  <r>
    <s v="CE51863"/>
    <s v="EDNA ROCIO MONCADA"/>
    <s v="RETAIL"/>
    <x v="14"/>
    <s v="KRYPTO"/>
    <e v="#NAME?"/>
    <x v="67"/>
    <n v="0.02"/>
    <s v="QA"/>
    <s v="Otras Tec."/>
    <m/>
    <e v="#NAME?"/>
    <e v="#NAME?"/>
    <e v="#NAME?"/>
    <m/>
    <m/>
    <m/>
    <m/>
    <m/>
    <m/>
    <m/>
    <m/>
    <m/>
  </r>
  <r>
    <s v="O005003 "/>
    <s v="Ginna García Lara"/>
    <s v="RETAIL"/>
    <x v="14"/>
    <s v="BBVA"/>
    <e v="#NAME?"/>
    <x v="67"/>
    <n v="0.2"/>
    <s v="Tech Manager/Líder"/>
    <s v="Otras Tec."/>
    <m/>
    <e v="#NAME?"/>
    <e v="#NAME?"/>
    <e v="#NAME?"/>
    <m/>
    <m/>
    <m/>
    <m/>
    <m/>
    <m/>
    <m/>
    <m/>
    <m/>
  </r>
  <r>
    <s v="T001903"/>
    <s v="David Santiago Quijano Ordoñez"/>
    <s v="RETAIL"/>
    <x v="14"/>
    <s v="Choucair"/>
    <e v="#NAME?"/>
    <x v="67"/>
    <n v="1"/>
    <s v="QA"/>
    <s v="Otras Tec."/>
    <m/>
    <e v="#NAME?"/>
    <e v="#NAME?"/>
    <e v="#NAME?"/>
    <m/>
    <m/>
    <m/>
    <m/>
    <m/>
    <m/>
    <m/>
    <m/>
    <m/>
  </r>
  <r>
    <s v="CE48051"/>
    <s v="Edgar Andrés Garzon Rangel"/>
    <s v="RETAIL"/>
    <x v="14"/>
    <s v="Novatec"/>
    <e v="#NAME?"/>
    <x v="67"/>
    <n v="1"/>
    <s v="Desarrollador"/>
    <s v="Mainframe"/>
    <m/>
    <e v="#NAME?"/>
    <e v="#NAME?"/>
    <e v="#NAME?"/>
    <m/>
    <m/>
    <m/>
    <m/>
    <m/>
    <m/>
    <m/>
    <m/>
    <m/>
  </r>
  <r>
    <s v="CE69994"/>
    <s v="Lautaro Nahuel Cuello"/>
    <s v="RETAIL"/>
    <x v="14"/>
    <s v="Globant"/>
    <e v="#NAME?"/>
    <x v="67"/>
    <n v="1"/>
    <s v="Desarrollador"/>
    <s v="Cells"/>
    <m/>
    <e v="#NAME?"/>
    <e v="#NAME?"/>
    <e v="#NAME?"/>
    <m/>
    <m/>
    <m/>
    <m/>
    <m/>
    <m/>
    <m/>
    <m/>
    <m/>
  </r>
  <r>
    <s v="CE70000"/>
    <s v="Manuel Augusto Vilchez Maticorena"/>
    <s v="RETAIL"/>
    <x v="14"/>
    <s v="Globant"/>
    <e v="#NAME?"/>
    <x v="67"/>
    <n v="1"/>
    <s v="Desarrollador"/>
    <s v="APX"/>
    <m/>
    <e v="#NAME?"/>
    <e v="#NAME?"/>
    <e v="#NAME?"/>
    <m/>
    <m/>
    <m/>
    <m/>
    <m/>
    <m/>
    <m/>
    <m/>
    <m/>
  </r>
  <r>
    <s v="C811282"/>
    <s v="Santiago Galindo Gutierrez"/>
    <s v="RETAIL"/>
    <x v="14"/>
    <s v="BBVA"/>
    <e v="#NAME?"/>
    <x v="67"/>
    <n v="1"/>
    <s v="Desarrollador"/>
    <s v="Cells"/>
    <m/>
    <e v="#NAME?"/>
    <e v="#NAME?"/>
    <e v="#NAME?"/>
    <m/>
    <m/>
    <m/>
    <m/>
    <m/>
    <m/>
    <m/>
    <m/>
    <m/>
  </r>
  <r>
    <s v="CE69992"/>
    <s v="Stephany L Ceron Salas"/>
    <s v="RETAIL"/>
    <x v="14"/>
    <s v="Globant"/>
    <e v="#NAME?"/>
    <x v="67"/>
    <n v="1"/>
    <s v="Desarrollador"/>
    <s v="Cells"/>
    <m/>
    <e v="#NAME?"/>
    <e v="#NAME?"/>
    <e v="#NAME?"/>
    <m/>
    <m/>
    <m/>
    <m/>
    <m/>
    <m/>
    <m/>
    <m/>
    <m/>
  </r>
  <r>
    <s v="CE51863"/>
    <s v="EDNA ROCIO MONCADA"/>
    <s v="RETAIL"/>
    <x v="14"/>
    <s v="KRYPTO"/>
    <e v="#NAME?"/>
    <x v="68"/>
    <n v="0.02"/>
    <s v="QA"/>
    <s v="Otras Tec."/>
    <m/>
    <e v="#NAME?"/>
    <e v="#NAME?"/>
    <e v="#NAME?"/>
    <m/>
    <m/>
    <m/>
    <m/>
    <m/>
    <m/>
    <m/>
    <m/>
    <m/>
  </r>
  <r>
    <s v="O005003 "/>
    <s v="Ginna García Lara"/>
    <s v="RETAIL"/>
    <x v="14"/>
    <s v="BBVA"/>
    <e v="#NAME?"/>
    <x v="68"/>
    <n v="0.2"/>
    <s v="Tech Manager/Líder"/>
    <s v="Otras Tec."/>
    <m/>
    <e v="#NAME?"/>
    <e v="#NAME?"/>
    <e v="#NAME?"/>
    <m/>
    <m/>
    <m/>
    <m/>
    <m/>
    <m/>
    <m/>
    <m/>
    <m/>
  </r>
  <r>
    <s v="C805527"/>
    <s v="FABIAN ALEJANDRO LOPEZ SUAREZ"/>
    <s v="RETAIL"/>
    <x v="14"/>
    <s v="BBVA"/>
    <e v="#NAME?"/>
    <x v="68"/>
    <n v="1"/>
    <s v="Desarrollador"/>
    <s v="Cells"/>
    <m/>
    <e v="#NAME?"/>
    <e v="#NAME?"/>
    <e v="#NAME?"/>
    <m/>
    <m/>
    <m/>
    <m/>
    <m/>
    <m/>
    <m/>
    <m/>
    <m/>
  </r>
  <r>
    <s v="T006279"/>
    <s v="Jairo Andres Ochoa"/>
    <s v="RETAIL"/>
    <x v="14"/>
    <s v="Choucair"/>
    <e v="#NAME?"/>
    <x v="68"/>
    <n v="1"/>
    <s v="QA"/>
    <s v="Otras Tec."/>
    <m/>
    <e v="#NAME?"/>
    <e v="#NAME?"/>
    <e v="#NAME?"/>
    <m/>
    <m/>
    <m/>
    <m/>
    <m/>
    <m/>
    <m/>
    <m/>
    <m/>
  </r>
  <r>
    <m/>
    <s v="Desarrollador Front"/>
    <s v="RETAIL"/>
    <x v="14"/>
    <s v="Accenture"/>
    <e v="#NAME?"/>
    <x v="68"/>
    <n v="1"/>
    <s v="Desarrollador"/>
    <s v="Cells"/>
    <m/>
    <e v="#NAME?"/>
    <e v="#NAME?"/>
    <e v="#NAME?"/>
    <m/>
    <m/>
    <m/>
    <m/>
    <m/>
    <m/>
    <m/>
    <m/>
    <m/>
  </r>
  <r>
    <s v="O005003 "/>
    <s v="Ginna García Lara"/>
    <s v="RETAIL"/>
    <x v="14"/>
    <s v="BBVA"/>
    <e v="#NAME?"/>
    <x v="116"/>
    <n v="0.2"/>
    <s v="Tech Manager/Líder"/>
    <s v="Otras Tec."/>
    <m/>
    <e v="#NAME?"/>
    <e v="#NAME?"/>
    <e v="#NAME?"/>
    <m/>
    <m/>
    <m/>
    <m/>
    <n v="2"/>
    <m/>
    <m/>
    <m/>
    <m/>
  </r>
  <r>
    <s v="T000210"/>
    <s v="Carlos Alberto Meneses Campohermoso"/>
    <s v="RETAIL"/>
    <x v="14"/>
    <s v="Indra"/>
    <e v="#NAME?"/>
    <x v="116"/>
    <n v="1"/>
    <s v="Desarrollador"/>
    <s v="Cells"/>
    <m/>
    <e v="#NAME?"/>
    <e v="#NAME?"/>
    <e v="#NAME?"/>
    <m/>
    <m/>
    <m/>
    <m/>
    <n v="2"/>
    <m/>
    <m/>
    <m/>
    <m/>
  </r>
  <r>
    <s v="O002162"/>
    <s v="JUAN FELIPE MARTÍN PUERTO"/>
    <s v="RETAIL"/>
    <x v="14"/>
    <s v="BBVA"/>
    <e v="#NAME?"/>
    <x v="116"/>
    <n v="1"/>
    <s v="Desarrollador"/>
    <s v="APX"/>
    <m/>
    <e v="#NAME?"/>
    <e v="#NAME?"/>
    <e v="#NAME?"/>
    <m/>
    <m/>
    <m/>
    <m/>
    <n v="2"/>
    <m/>
    <m/>
    <m/>
    <m/>
  </r>
  <r>
    <s v="CE69750"/>
    <s v="Lina Vanessa Rincón Prada"/>
    <s v="RETAIL"/>
    <x v="14"/>
    <s v="Choucair"/>
    <e v="#NAME?"/>
    <x v="116"/>
    <n v="1"/>
    <s v="QA"/>
    <s v="Otras Tec."/>
    <m/>
    <e v="#NAME?"/>
    <e v="#NAME?"/>
    <e v="#NAME?"/>
    <m/>
    <m/>
    <m/>
    <m/>
    <n v="2"/>
    <m/>
    <m/>
    <m/>
    <m/>
  </r>
  <r>
    <s v="T001323"/>
    <s v="Martin Bournonville"/>
    <s v="RETAIL"/>
    <x v="14"/>
    <s v="Globant"/>
    <e v="#NAME?"/>
    <x v="116"/>
    <n v="1"/>
    <s v="Desarrollador"/>
    <s v="Cells"/>
    <m/>
    <e v="#NAME?"/>
    <e v="#NAME?"/>
    <e v="#NAME?"/>
    <m/>
    <m/>
    <m/>
    <m/>
    <n v="2"/>
    <m/>
    <m/>
    <m/>
    <m/>
  </r>
  <r>
    <s v="CE55865"/>
    <s v="Santiago Pulido Calderon"/>
    <s v="RETAIL"/>
    <x v="14"/>
    <s v="GGI / CMC"/>
    <e v="#NAME?"/>
    <x v="116"/>
    <n v="1"/>
    <s v="Desarrollador"/>
    <s v="Mainframe"/>
    <m/>
    <e v="#NAME?"/>
    <e v="#NAME?"/>
    <e v="#NAME?"/>
    <m/>
    <m/>
    <m/>
    <m/>
    <n v="2"/>
    <m/>
    <m/>
    <m/>
    <m/>
  </r>
  <r>
    <s v="C805937"/>
    <s v="SERGIO IVAN SANCHEZ PLAZAS"/>
    <s v="RETAIL"/>
    <x v="14"/>
    <s v="BBVA"/>
    <e v="#NAME?"/>
    <x v="116"/>
    <n v="1"/>
    <s v="Desarrollador"/>
    <s v="Cells"/>
    <m/>
    <e v="#NAME?"/>
    <e v="#NAME?"/>
    <e v="#NAME?"/>
    <m/>
    <m/>
    <m/>
    <m/>
    <n v="2"/>
    <m/>
    <m/>
    <m/>
    <m/>
  </r>
  <r>
    <m/>
    <s v="Desarrollador Front 1"/>
    <s v="RETAIL"/>
    <x v="14"/>
    <s v="Indra"/>
    <e v="#NAME?"/>
    <x v="116"/>
    <n v="1"/>
    <s v="Desarrollador"/>
    <s v="Cells"/>
    <m/>
    <e v="#NAME?"/>
    <e v="#NAME?"/>
    <e v="#NAME?"/>
    <m/>
    <m/>
    <m/>
    <m/>
    <n v="2"/>
    <m/>
    <m/>
    <m/>
    <m/>
  </r>
  <r>
    <m/>
    <s v="Desarrollador Front 2"/>
    <s v="RETAIL"/>
    <x v="14"/>
    <s v="Accenture"/>
    <e v="#NAME?"/>
    <x v="116"/>
    <n v="1"/>
    <s v="Desarrollador"/>
    <s v="Cells"/>
    <m/>
    <e v="#NAME?"/>
    <e v="#NAME?"/>
    <e v="#NAME?"/>
    <m/>
    <m/>
    <m/>
    <m/>
    <n v="2"/>
    <m/>
    <m/>
    <m/>
    <m/>
  </r>
  <r>
    <m/>
    <s v="Desarrollador APX 1"/>
    <s v="RETAIL"/>
    <x v="14"/>
    <s v="Indra"/>
    <e v="#NAME?"/>
    <x v="116"/>
    <n v="1"/>
    <s v="Desarrollador"/>
    <s v="APX"/>
    <m/>
    <e v="#NAME?"/>
    <e v="#NAME?"/>
    <e v="#NAME?"/>
    <m/>
    <m/>
    <m/>
    <m/>
    <n v="2"/>
    <m/>
    <m/>
    <m/>
    <m/>
  </r>
  <r>
    <m/>
    <s v="Desarrollador APX 2"/>
    <s v="RETAIL"/>
    <x v="14"/>
    <s v="Accenture"/>
    <e v="#NAME?"/>
    <x v="116"/>
    <n v="1"/>
    <s v="Desarrollador"/>
    <s v="APX"/>
    <m/>
    <e v="#NAME?"/>
    <e v="#NAME?"/>
    <e v="#NAME?"/>
    <m/>
    <m/>
    <m/>
    <m/>
    <n v="2"/>
    <m/>
    <m/>
    <m/>
    <m/>
  </r>
  <r>
    <m/>
    <s v="Tester 1"/>
    <s v="RETAIL"/>
    <x v="14"/>
    <s v="Choucair"/>
    <e v="#NAME?"/>
    <x v="116"/>
    <n v="1"/>
    <s v="QA"/>
    <s v="Otras Tec."/>
    <m/>
    <e v="#NAME?"/>
    <e v="#NAME?"/>
    <e v="#NAME?"/>
    <m/>
    <m/>
    <m/>
    <m/>
    <n v="2"/>
    <m/>
    <m/>
    <m/>
    <m/>
  </r>
  <r>
    <m/>
    <s v="Tester 2"/>
    <s v="RETAIL"/>
    <x v="14"/>
    <s v="Choucair"/>
    <e v="#NAME?"/>
    <x v="116"/>
    <n v="1"/>
    <s v="QA"/>
    <s v="Otras Tec."/>
    <m/>
    <e v="#NAME?"/>
    <e v="#NAME?"/>
    <e v="#NAME?"/>
    <m/>
    <m/>
    <m/>
    <m/>
    <n v="2"/>
    <m/>
    <m/>
    <m/>
    <m/>
  </r>
  <r>
    <s v="CE67859"/>
    <s v="Andres Felipe Quintero Salazar"/>
    <s v="RETAIL"/>
    <x v="14"/>
    <s v="Accenture"/>
    <e v="#NAME?"/>
    <x v="16"/>
    <n v="0.5"/>
    <s v="Desarrollador"/>
    <s v="ASO"/>
    <m/>
    <e v="#NAME?"/>
    <e v="#NAME?"/>
    <e v="#NAME?"/>
    <m/>
    <m/>
    <m/>
    <m/>
    <n v="2"/>
    <m/>
    <m/>
    <m/>
    <m/>
  </r>
  <r>
    <s v="CE51863"/>
    <s v="EDNA ROCIO MONCADA"/>
    <s v="RETAIL"/>
    <x v="14"/>
    <s v="KRYPTO"/>
    <e v="#NAME?"/>
    <x v="16"/>
    <n v="0.02"/>
    <s v="QA"/>
    <s v="Otras Tec."/>
    <m/>
    <e v="#NAME?"/>
    <e v="#NAME?"/>
    <e v="#NAME?"/>
    <m/>
    <m/>
    <m/>
    <m/>
    <n v="2"/>
    <m/>
    <m/>
    <m/>
    <m/>
  </r>
  <r>
    <s v="T004295"/>
    <s v="Hayler Jair Caicedo"/>
    <s v="RETAIL"/>
    <x v="14"/>
    <s v="Accenture"/>
    <e v="#NAME?"/>
    <x v="16"/>
    <n v="1"/>
    <s v="Desarrollador"/>
    <s v="Cells"/>
    <m/>
    <e v="#NAME?"/>
    <e v="#NAME?"/>
    <e v="#NAME?"/>
    <m/>
    <m/>
    <m/>
    <m/>
    <n v="2"/>
    <m/>
    <m/>
    <m/>
    <m/>
  </r>
  <r>
    <s v="C811281"/>
    <s v="JUAN PABLO VELEZ"/>
    <s v="RETAIL"/>
    <x v="14"/>
    <s v="BBVA"/>
    <e v="#NAME?"/>
    <x v="16"/>
    <n v="1"/>
    <s v="Desarrollador"/>
    <s v="Cells"/>
    <m/>
    <e v="#NAME?"/>
    <e v="#NAME?"/>
    <e v="#NAME?"/>
    <m/>
    <m/>
    <m/>
    <m/>
    <n v="2"/>
    <m/>
    <m/>
    <m/>
    <m/>
  </r>
  <r>
    <s v="T007579"/>
    <s v="Nubia Sanchez"/>
    <s v="RETAIL"/>
    <x v="14"/>
    <s v="Neoris"/>
    <e v="#NAME?"/>
    <x v="16"/>
    <n v="1"/>
    <s v="Desarrollador"/>
    <s v="Mainframe"/>
    <m/>
    <e v="#NAME?"/>
    <e v="#NAME?"/>
    <e v="#NAME?"/>
    <m/>
    <m/>
    <m/>
    <m/>
    <n v="2"/>
    <m/>
    <m/>
    <m/>
    <m/>
  </r>
  <r>
    <s v="O002593"/>
    <s v="TATIANA CAROLINA AVELLANEDA"/>
    <s v="RETAIL"/>
    <x v="14"/>
    <s v="BBVA"/>
    <e v="#NAME?"/>
    <x v="16"/>
    <n v="0.2"/>
    <s v="Tech Manager/Líder"/>
    <s v="Otras Tec."/>
    <m/>
    <e v="#NAME?"/>
    <e v="#NAME?"/>
    <e v="#NAME?"/>
    <m/>
    <m/>
    <m/>
    <m/>
    <n v="2"/>
    <m/>
    <m/>
    <m/>
    <m/>
  </r>
  <r>
    <s v="O002593"/>
    <s v="TATIANA CAROLINA AVELLANEDA"/>
    <s v="RETAIL"/>
    <x v="14"/>
    <s v="BBVA"/>
    <e v="#NAME?"/>
    <x v="16"/>
    <n v="0.2"/>
    <s v="Tech Manager/Líder"/>
    <s v="Otras Tec."/>
    <m/>
    <e v="#NAME?"/>
    <e v="#NAME?"/>
    <e v="#NAME?"/>
    <m/>
    <m/>
    <m/>
    <m/>
    <n v="2"/>
    <m/>
    <m/>
    <m/>
    <m/>
  </r>
  <r>
    <m/>
    <s v="Desarrollador ASO"/>
    <s v="RETAIL"/>
    <x v="14"/>
    <s v="Neoris"/>
    <e v="#NAME?"/>
    <x v="16"/>
    <n v="1"/>
    <s v="Desarrollador"/>
    <s v="ASO"/>
    <m/>
    <e v="#NAME?"/>
    <e v="#NAME?"/>
    <e v="#NAME?"/>
    <m/>
    <m/>
    <m/>
    <m/>
    <n v="2"/>
    <m/>
    <m/>
    <m/>
    <m/>
  </r>
  <r>
    <m/>
    <s v="Desarrollador HOST"/>
    <s v="RETAIL"/>
    <x v="14"/>
    <s v="Accenture"/>
    <e v="#NAME?"/>
    <x v="16"/>
    <n v="1"/>
    <s v="Desarrollador"/>
    <s v="Mainframe"/>
    <m/>
    <e v="#NAME?"/>
    <e v="#NAME?"/>
    <e v="#NAME?"/>
    <m/>
    <m/>
    <m/>
    <m/>
    <n v="2"/>
    <m/>
    <m/>
    <m/>
    <m/>
  </r>
  <r>
    <m/>
    <s v="Desarrollador Front"/>
    <s v="RETAIL"/>
    <x v="14"/>
    <s v="Accenture"/>
    <e v="#NAME?"/>
    <x v="16"/>
    <n v="1"/>
    <s v="Desarrollador"/>
    <s v="Cells"/>
    <m/>
    <e v="#NAME?"/>
    <e v="#NAME?"/>
    <e v="#NAME?"/>
    <m/>
    <m/>
    <m/>
    <m/>
    <n v="2"/>
    <m/>
    <m/>
    <m/>
    <m/>
  </r>
  <r>
    <s v="CE51863"/>
    <s v="EDNA ROCIO MONCADA"/>
    <s v="RETAIL"/>
    <x v="14"/>
    <s v="KRYPTO"/>
    <e v="#NAME?"/>
    <x v="117"/>
    <n v="0.02"/>
    <s v="QA"/>
    <s v="Otras Tec."/>
    <m/>
    <e v="#NAME?"/>
    <e v="#NAME?"/>
    <e v="#NAME?"/>
    <m/>
    <m/>
    <m/>
    <m/>
    <n v="2"/>
    <m/>
    <m/>
    <m/>
    <m/>
  </r>
  <r>
    <s v="O004043"/>
    <s v="Diego Alejandro Galeano garzon"/>
    <s v="RETAIL"/>
    <x v="14"/>
    <s v="BBVA"/>
    <e v="#NAME?"/>
    <x v="117"/>
    <n v="0.5"/>
    <s v="Desarrollador"/>
    <s v="Cells"/>
    <m/>
    <e v="#NAME?"/>
    <e v="#NAME?"/>
    <e v="#NAME?"/>
    <m/>
    <m/>
    <m/>
    <m/>
    <n v="2"/>
    <m/>
    <m/>
    <m/>
    <m/>
  </r>
  <r>
    <s v="CE70114"/>
    <s v="Luz Carola Giraldo García"/>
    <s v="RETAIL"/>
    <x v="14"/>
    <s v="GGI / CMC"/>
    <e v="#NAME?"/>
    <x v="117"/>
    <n v="1"/>
    <s v="QA"/>
    <s v="Otras Tec."/>
    <m/>
    <e v="#NAME?"/>
    <e v="#NAME?"/>
    <e v="#NAME?"/>
    <m/>
    <m/>
    <m/>
    <m/>
    <n v="2"/>
    <m/>
    <m/>
    <m/>
    <m/>
  </r>
  <r>
    <s v="O002593"/>
    <s v="TATIANA CAROLINA AVELLANEDA"/>
    <s v="RETAIL"/>
    <x v="14"/>
    <s v="BBVA"/>
    <e v="#NAME?"/>
    <x v="117"/>
    <n v="0.2"/>
    <s v="Tech Manager/Líder"/>
    <s v="Otras Tec."/>
    <m/>
    <e v="#NAME?"/>
    <e v="#NAME?"/>
    <e v="#NAME?"/>
    <m/>
    <m/>
    <m/>
    <m/>
    <n v="2"/>
    <m/>
    <m/>
    <m/>
    <m/>
  </r>
  <r>
    <s v="T000410"/>
    <s v="Andrés Alejandro Fajardo Torres"/>
    <s v="RETAIL"/>
    <x v="14"/>
    <s v="Globant"/>
    <e v="#NAME?"/>
    <x v="118"/>
    <n v="1"/>
    <s v="Desarrollador"/>
    <s v="Cells"/>
    <m/>
    <e v="#NAME?"/>
    <e v="#NAME?"/>
    <e v="#NAME?"/>
    <m/>
    <m/>
    <m/>
    <m/>
    <m/>
    <m/>
    <m/>
    <m/>
    <m/>
  </r>
  <r>
    <s v="CE51863"/>
    <s v="EDNA ROCIO MONCADA"/>
    <s v="RETAIL"/>
    <x v="14"/>
    <s v="KRYPTO"/>
    <e v="#NAME?"/>
    <x v="118"/>
    <n v="0.02"/>
    <s v="QA"/>
    <s v="Otras Tec."/>
    <m/>
    <e v="#NAME?"/>
    <e v="#NAME?"/>
    <e v="#NAME?"/>
    <m/>
    <m/>
    <m/>
    <m/>
    <m/>
    <m/>
    <m/>
    <m/>
    <m/>
  </r>
  <r>
    <s v="C810668"/>
    <s v="YEISSON FABIAN GUALDRON VIVAS"/>
    <s v="RETAIL"/>
    <x v="14"/>
    <s v="BBVA"/>
    <e v="#NAME?"/>
    <x v="118"/>
    <n v="1"/>
    <s v="Desarrollador"/>
    <s v="Cells"/>
    <m/>
    <e v="#NAME?"/>
    <e v="#NAME?"/>
    <e v="#NAME?"/>
    <m/>
    <m/>
    <m/>
    <m/>
    <m/>
    <m/>
    <m/>
    <m/>
    <m/>
  </r>
  <r>
    <s v="C342589"/>
    <s v="CAMILO ANDRES AGUIRRE"/>
    <s v="RETAIL"/>
    <x v="14"/>
    <s v="BBVA"/>
    <e v="#NAME?"/>
    <x v="118"/>
    <n v="0.3"/>
    <s v="Tech Manager/Líder"/>
    <s v="Otras Tec."/>
    <m/>
    <e v="#NAME?"/>
    <e v="#NAME?"/>
    <e v="#NAME?"/>
    <m/>
    <m/>
    <m/>
    <m/>
    <m/>
    <m/>
    <m/>
    <m/>
    <m/>
  </r>
  <r>
    <s v="CE51863"/>
    <s v="EDNA ROCIO MONCADA"/>
    <s v="RETAIL"/>
    <x v="14"/>
    <s v="KRYPTO"/>
    <e v="#NAME?"/>
    <x v="3"/>
    <n v="0.02"/>
    <s v="QA"/>
    <s v="Otras Tec."/>
    <m/>
    <e v="#NAME?"/>
    <e v="#NAME?"/>
    <e v="#NAME?"/>
    <m/>
    <m/>
    <m/>
    <m/>
    <m/>
    <m/>
    <m/>
    <m/>
    <m/>
  </r>
  <r>
    <s v="C342589"/>
    <s v="CAMILO ANDRES AGUIRRE"/>
    <s v="RETAIL"/>
    <x v="14"/>
    <s v="BBVA"/>
    <e v="#NAME?"/>
    <x v="3"/>
    <n v="0.7"/>
    <s v="Tech Manager/Líder"/>
    <s v="Otras Tec."/>
    <m/>
    <e v="#NAME?"/>
    <e v="#NAME?"/>
    <e v="#NAME?"/>
    <m/>
    <m/>
    <m/>
    <m/>
    <m/>
    <m/>
    <m/>
    <m/>
    <m/>
  </r>
  <r>
    <s v="C809750"/>
    <s v="JEFFERSON JOSE ESQUEA SANCHEZ"/>
    <s v="RETAIL"/>
    <x v="14"/>
    <s v="BBVA"/>
    <e v="#NAME?"/>
    <x v="3"/>
    <n v="1"/>
    <s v="Desarrollador"/>
    <s v="Cells"/>
    <m/>
    <e v="#NAME?"/>
    <e v="#NAME?"/>
    <e v="#NAME?"/>
    <m/>
    <m/>
    <m/>
    <m/>
    <m/>
    <m/>
    <m/>
    <m/>
    <m/>
  </r>
  <r>
    <s v="CE67868"/>
    <s v="Jhon Alexander Santana"/>
    <s v="RETAIL"/>
    <x v="14"/>
    <s v="Accenture"/>
    <e v="#NAME?"/>
    <x v="3"/>
    <n v="1"/>
    <s v="Desarrollador"/>
    <s v="Cells"/>
    <m/>
    <e v="#NAME?"/>
    <e v="#NAME?"/>
    <e v="#NAME?"/>
    <m/>
    <m/>
    <m/>
    <m/>
    <m/>
    <m/>
    <m/>
    <m/>
    <m/>
  </r>
  <r>
    <s v="CE67314"/>
    <s v="Juliana Corredor"/>
    <s v="RETAIL"/>
    <x v="14"/>
    <s v="Accenture"/>
    <e v="#NAME?"/>
    <x v="3"/>
    <n v="1"/>
    <s v="Desarrollador"/>
    <s v="APX"/>
    <m/>
    <e v="#NAME?"/>
    <e v="#NAME?"/>
    <e v="#NAME?"/>
    <m/>
    <m/>
    <m/>
    <m/>
    <m/>
    <m/>
    <m/>
    <m/>
    <m/>
  </r>
  <r>
    <s v="CE51863"/>
    <s v="EDNA ROCIO MONCADA"/>
    <s v="RETAIL"/>
    <x v="14"/>
    <s v="KRYPTO"/>
    <e v="#NAME?"/>
    <x v="116"/>
    <n v="0.02"/>
    <s v="QA"/>
    <s v="Otras Tec."/>
    <m/>
    <e v="#NAME?"/>
    <e v="#NAME?"/>
    <e v="#NAME?"/>
    <m/>
    <m/>
    <m/>
    <m/>
    <m/>
    <m/>
    <m/>
    <m/>
    <m/>
  </r>
  <r>
    <s v="CE66714"/>
    <s v="Cristian Steven Abril"/>
    <s v="RETAIL"/>
    <x v="14"/>
    <s v="Novatec"/>
    <e v="#NAME?"/>
    <x v="84"/>
    <n v="1"/>
    <s v="Desarrollador"/>
    <s v="Cells"/>
    <m/>
    <e v="#NAME?"/>
    <e v="#NAME?"/>
    <e v="#NAME?"/>
    <m/>
    <m/>
    <m/>
    <m/>
    <m/>
    <m/>
    <m/>
    <m/>
    <m/>
  </r>
  <r>
    <s v="O002593"/>
    <s v="TATIANA CAROLINA AVELLANEDA"/>
    <s v="RETAIL"/>
    <x v="14"/>
    <s v="BBVA"/>
    <e v="#NAME?"/>
    <x v="84"/>
    <n v="0.2"/>
    <s v="Tech Manager/Líder"/>
    <s v="Otras Tec."/>
    <m/>
    <e v="#NAME?"/>
    <e v="#NAME?"/>
    <e v="#NAME?"/>
    <m/>
    <m/>
    <m/>
    <m/>
    <m/>
    <m/>
    <m/>
    <m/>
    <m/>
  </r>
  <r>
    <s v="O005003 "/>
    <s v="Ginna García Lara"/>
    <s v="RETAIL"/>
    <x v="14"/>
    <s v="BBVA"/>
    <e v="#NAME?"/>
    <x v="119"/>
    <n v="0.2"/>
    <s v="Tech Manager/Líder"/>
    <s v="Otras Tec."/>
    <m/>
    <e v="#NAME?"/>
    <e v="#NAME?"/>
    <e v="#NAME?"/>
    <m/>
    <m/>
    <m/>
    <m/>
    <n v="2"/>
    <m/>
    <m/>
    <m/>
    <m/>
  </r>
  <r>
    <m/>
    <s v="Tester 1"/>
    <s v="RETAIL"/>
    <x v="14"/>
    <s v="Choucair"/>
    <e v="#NAME?"/>
    <x v="119"/>
    <n v="1"/>
    <s v="QA"/>
    <s v="Otras Tec."/>
    <m/>
    <e v="#NAME?"/>
    <e v="#NAME?"/>
    <e v="#NAME?"/>
    <m/>
    <m/>
    <m/>
    <m/>
    <m/>
    <m/>
    <m/>
    <m/>
    <m/>
  </r>
  <r>
    <m/>
    <s v="Desarrollador Front 1"/>
    <s v="RETAIL"/>
    <x v="14"/>
    <s v="Accenture"/>
    <e v="#NAME?"/>
    <x v="119"/>
    <n v="1"/>
    <s v="Desarrollador"/>
    <s v="Cells"/>
    <m/>
    <e v="#NAME?"/>
    <e v="#NAME?"/>
    <e v="#NAME?"/>
    <m/>
    <m/>
    <m/>
    <m/>
    <m/>
    <m/>
    <m/>
    <m/>
    <m/>
  </r>
  <r>
    <m/>
    <s v="Desarrollador Front 2"/>
    <s v="RETAIL"/>
    <x v="14"/>
    <s v="Accenture"/>
    <e v="#NAME?"/>
    <x v="119"/>
    <n v="1"/>
    <s v="Desarrollador"/>
    <s v="Cells"/>
    <m/>
    <e v="#NAME?"/>
    <e v="#NAME?"/>
    <e v="#NAME?"/>
    <m/>
    <m/>
    <m/>
    <m/>
    <m/>
    <m/>
    <m/>
    <m/>
    <m/>
  </r>
  <r>
    <s v="O005003 "/>
    <s v="Ginna García Lara"/>
    <s v="RETAIL"/>
    <x v="14"/>
    <s v="BBVA"/>
    <e v="#NAME?"/>
    <x v="120"/>
    <n v="0.2"/>
    <s v="Tech Manager/Líder"/>
    <s v="Otras Tec."/>
    <m/>
    <e v="#NAME?"/>
    <e v="#NAME?"/>
    <e v="#NAME?"/>
    <m/>
    <m/>
    <m/>
    <m/>
    <n v="2"/>
    <m/>
    <m/>
    <m/>
    <m/>
  </r>
  <r>
    <s v="O004043"/>
    <s v="Diego Alejandro Galeano garzon"/>
    <s v="RETAIL"/>
    <x v="14"/>
    <s v="BBVA"/>
    <e v="#NAME?"/>
    <x v="120"/>
    <n v="0.5"/>
    <s v="Desarrollador"/>
    <s v="Cells"/>
    <m/>
    <e v="#NAME?"/>
    <e v="#NAME?"/>
    <e v="#NAME?"/>
    <m/>
    <m/>
    <m/>
    <m/>
    <n v="2"/>
    <m/>
    <m/>
    <m/>
    <m/>
  </r>
  <r>
    <s v="C797767"/>
    <s v="ANGELA RIVERA"/>
    <s v="CORE"/>
    <x v="15"/>
    <s v="BBVA"/>
    <e v="#NAME?"/>
    <x v="121"/>
    <n v="0.5"/>
    <s v="Desarrollador"/>
    <s v="Mainframe"/>
    <m/>
    <e v="#NAME?"/>
    <e v="#NAME?"/>
    <e v="#NAME?"/>
    <m/>
    <m/>
    <m/>
    <m/>
    <m/>
    <n v="1"/>
    <m/>
    <m/>
    <m/>
  </r>
  <r>
    <s v="C797767"/>
    <s v="ANGELA RIVERA"/>
    <s v="CORE"/>
    <x v="15"/>
    <s v="BBVA"/>
    <e v="#NAME?"/>
    <x v="122"/>
    <n v="0.5"/>
    <s v="Desarrollador"/>
    <s v="Mainframe"/>
    <m/>
    <e v="#NAME?"/>
    <e v="#NAME?"/>
    <e v="#NAME?"/>
    <m/>
    <m/>
    <m/>
    <m/>
    <m/>
    <n v="0"/>
    <m/>
    <m/>
    <m/>
  </r>
  <r>
    <s v="O001978"/>
    <s v="DANIEL ALIRIO ROA ARIZMENDI"/>
    <s v="CORE"/>
    <x v="15"/>
    <s v="BBVA"/>
    <e v="#NAME?"/>
    <x v="123"/>
    <n v="0.3"/>
    <s v="Desarrollador"/>
    <s v="ASO"/>
    <m/>
    <e v="#NAME?"/>
    <e v="#NAME?"/>
    <e v="#NAME?"/>
    <m/>
    <m/>
    <m/>
    <m/>
    <m/>
    <n v="1"/>
    <m/>
    <m/>
    <m/>
  </r>
  <r>
    <s v="O001978"/>
    <s v="DANIEL ALIRIO ROA ARIZMENDI"/>
    <s v="CORE"/>
    <x v="15"/>
    <s v="BBVA"/>
    <e v="#NAME?"/>
    <x v="124"/>
    <n v="0.7"/>
    <s v="Desarrollador"/>
    <s v="ASO"/>
    <m/>
    <e v="#NAME?"/>
    <e v="#NAME?"/>
    <e v="#NAME?"/>
    <m/>
    <m/>
    <m/>
    <m/>
    <m/>
    <n v="0"/>
    <m/>
    <m/>
    <m/>
  </r>
  <r>
    <s v="O001977"/>
    <s v="EDDY MAURICIO SUAREZ MOLINA"/>
    <s v="CORE"/>
    <x v="15"/>
    <s v="BBVA"/>
    <e v="#NAME?"/>
    <x v="121"/>
    <n v="0.5"/>
    <s v="Desarrollador"/>
    <s v="Mainframe"/>
    <m/>
    <e v="#NAME?"/>
    <e v="#NAME?"/>
    <e v="#NAME?"/>
    <m/>
    <m/>
    <m/>
    <m/>
    <m/>
    <n v="1"/>
    <m/>
    <m/>
    <m/>
  </r>
  <r>
    <s v="O001977"/>
    <s v="EDDY MAURICIO SUAREZ MOLINA"/>
    <s v="CORE"/>
    <x v="15"/>
    <s v="BBVA"/>
    <e v="#NAME?"/>
    <x v="122"/>
    <n v="0.5"/>
    <s v="Desarrollador"/>
    <s v="Mainframe"/>
    <m/>
    <e v="#NAME?"/>
    <e v="#NAME?"/>
    <e v="#NAME?"/>
    <m/>
    <m/>
    <m/>
    <m/>
    <m/>
    <n v="0"/>
    <m/>
    <m/>
    <m/>
  </r>
  <r>
    <s v="O000451"/>
    <s v="MAURICIO CORDOBA"/>
    <s v="CORE"/>
    <x v="15"/>
    <s v="BBVA"/>
    <e v="#NAME?"/>
    <x v="121"/>
    <n v="1"/>
    <s v="Desarrollador"/>
    <s v="Mainframe"/>
    <m/>
    <e v="#NAME?"/>
    <e v="#NAME?"/>
    <e v="#NAME?"/>
    <m/>
    <m/>
    <m/>
    <m/>
    <m/>
    <n v="1"/>
    <m/>
    <m/>
    <m/>
  </r>
  <r>
    <s v="O001827"/>
    <s v="LEONOR AZUCENA GOMEZ RINCON"/>
    <s v="CORE"/>
    <x v="15"/>
    <s v="BBVA"/>
    <e v="#NAME?"/>
    <x v="121"/>
    <n v="0.5"/>
    <s v="Tech Manager/Líder"/>
    <s v="Mainframe"/>
    <m/>
    <e v="#NAME?"/>
    <e v="#NAME?"/>
    <e v="#NAME?"/>
    <m/>
    <m/>
    <m/>
    <m/>
    <m/>
    <n v="1"/>
    <m/>
    <m/>
    <m/>
  </r>
  <r>
    <s v="O001827"/>
    <s v="LEONOR AZUCENA GOMEZ RINCON"/>
    <s v="CORE"/>
    <x v="15"/>
    <s v="BBVA"/>
    <e v="#NAME?"/>
    <x v="122"/>
    <n v="0.5"/>
    <s v="Tech Manager/Líder"/>
    <s v="ASO"/>
    <m/>
    <e v="#NAME?"/>
    <e v="#NAME?"/>
    <e v="#NAME?"/>
    <m/>
    <m/>
    <m/>
    <m/>
    <m/>
    <n v="0"/>
    <m/>
    <m/>
    <m/>
  </r>
  <r>
    <s v="C805385"/>
    <s v="TATIANA SANCHEZ MONROY"/>
    <s v="CORE"/>
    <x v="15"/>
    <s v="BBVA"/>
    <e v="#NAME?"/>
    <x v="119"/>
    <n v="1"/>
    <s v="Desarrollador"/>
    <s v="Mainframe"/>
    <m/>
    <e v="#NAME?"/>
    <e v="#NAME?"/>
    <e v="#NAME?"/>
    <m/>
    <m/>
    <m/>
    <m/>
    <m/>
    <n v="1"/>
    <m/>
    <m/>
    <m/>
  </r>
  <r>
    <s v="C810943"/>
    <s v="OSCAR DANIEL OÑATE CASTILLA"/>
    <s v="CORE"/>
    <x v="15"/>
    <s v="BBVA"/>
    <e v="#NAME?"/>
    <x v="125"/>
    <n v="1"/>
    <s v="Desarrollador"/>
    <s v="Mainframe"/>
    <m/>
    <e v="#NAME?"/>
    <e v="#NAME?"/>
    <e v="#NAME?"/>
    <m/>
    <m/>
    <m/>
    <m/>
    <m/>
    <n v="1"/>
    <m/>
    <m/>
    <m/>
  </r>
  <r>
    <s v="C810846"/>
    <s v="ERIKA ZULEIMA MARTINEZ RODRIGUEZ"/>
    <s v="CORE"/>
    <x v="15"/>
    <s v="BBVA"/>
    <e v="#NAME?"/>
    <x v="126"/>
    <n v="1"/>
    <s v="Desarrollador"/>
    <s v="Mainframe"/>
    <m/>
    <e v="#NAME?"/>
    <e v="#NAME?"/>
    <e v="#NAME?"/>
    <m/>
    <m/>
    <m/>
    <m/>
    <m/>
    <n v="1"/>
    <m/>
    <m/>
    <m/>
  </r>
  <r>
    <s v="C805379"/>
    <s v="MARTIN ROMERO ORTIZ"/>
    <s v="CORE"/>
    <x v="15"/>
    <s v="BBVA"/>
    <e v="#NAME?"/>
    <x v="119"/>
    <n v="0.25"/>
    <s v="Desarrollador"/>
    <s v="ASO"/>
    <m/>
    <e v="#NAME?"/>
    <e v="#NAME?"/>
    <e v="#NAME?"/>
    <m/>
    <m/>
    <m/>
    <m/>
    <m/>
    <n v="1"/>
    <m/>
    <m/>
    <m/>
  </r>
  <r>
    <s v="C805379"/>
    <s v="MARTIN ROMERO ORTIZ"/>
    <s v="CORE"/>
    <x v="15"/>
    <s v="BBVA"/>
    <e v="#NAME?"/>
    <x v="86"/>
    <n v="0.75"/>
    <s v="Desarrollador"/>
    <s v="ASO"/>
    <m/>
    <e v="#NAME?"/>
    <e v="#NAME?"/>
    <e v="#NAME?"/>
    <m/>
    <m/>
    <m/>
    <m/>
    <m/>
    <n v="0"/>
    <m/>
    <m/>
    <m/>
  </r>
  <r>
    <s v="C805988"/>
    <s v="NICOLAS MUÑOZ"/>
    <s v="CORE"/>
    <x v="15"/>
    <s v="BBVA"/>
    <e v="#NAME?"/>
    <x v="86"/>
    <n v="1"/>
    <s v="Desarrollador"/>
    <s v="APX"/>
    <m/>
    <e v="#NAME?"/>
    <e v="#NAME?"/>
    <e v="#NAME?"/>
    <m/>
    <m/>
    <m/>
    <m/>
    <m/>
    <n v="1"/>
    <m/>
    <m/>
    <m/>
  </r>
  <r>
    <s v="C342057"/>
    <s v="CARLOS FABIAN GONZALEZ CORTES"/>
    <s v="CORE"/>
    <x v="15"/>
    <s v="BBVA"/>
    <e v="#NAME?"/>
    <x v="125"/>
    <n v="0.5"/>
    <s v="Desarrollador"/>
    <s v="Mainframe"/>
    <m/>
    <e v="#NAME?"/>
    <e v="#NAME?"/>
    <e v="#NAME?"/>
    <m/>
    <m/>
    <m/>
    <m/>
    <m/>
    <n v="1"/>
    <m/>
    <m/>
    <m/>
  </r>
  <r>
    <s v="C342057"/>
    <s v="CARLOS FABIAN GONZALEZ CORTES"/>
    <s v="CORE"/>
    <x v="15"/>
    <s v="BBVA"/>
    <e v="#NAME?"/>
    <x v="119"/>
    <n v="0.2"/>
    <s v="Desarrollador"/>
    <s v="Mainframe"/>
    <m/>
    <e v="#NAME?"/>
    <e v="#NAME?"/>
    <e v="#NAME?"/>
    <m/>
    <m/>
    <m/>
    <m/>
    <m/>
    <n v="0"/>
    <m/>
    <m/>
    <m/>
  </r>
  <r>
    <s v="C342057"/>
    <s v="CARLOS FABIAN GONZALEZ CORTES"/>
    <s v="CORE"/>
    <x v="15"/>
    <s v="BBVA"/>
    <e v="#NAME?"/>
    <x v="126"/>
    <n v="0.1"/>
    <s v="Desarrollador"/>
    <s v="Mainframe"/>
    <m/>
    <e v="#NAME?"/>
    <e v="#NAME?"/>
    <e v="#NAME?"/>
    <m/>
    <m/>
    <m/>
    <m/>
    <m/>
    <n v="0"/>
    <m/>
    <m/>
    <m/>
  </r>
  <r>
    <s v="C342057"/>
    <s v="CARLOS FABIAN GONZALEZ CORTES"/>
    <s v="CORE"/>
    <x v="15"/>
    <s v="BBVA"/>
    <e v="#NAME?"/>
    <x v="123"/>
    <n v="0.2"/>
    <s v="Desarrollador"/>
    <s v="Mainframe"/>
    <m/>
    <e v="#NAME?"/>
    <e v="#NAME?"/>
    <e v="#NAME?"/>
    <m/>
    <m/>
    <m/>
    <m/>
    <m/>
    <n v="0"/>
    <m/>
    <m/>
    <m/>
  </r>
  <r>
    <s v="C805964"/>
    <s v="ANDRES RODRIGO COMBARIZA"/>
    <s v="CORE"/>
    <x v="15"/>
    <s v="BBVA"/>
    <e v="#NAME?"/>
    <x v="123"/>
    <n v="1"/>
    <s v="Desarrollador"/>
    <s v="ASO"/>
    <m/>
    <e v="#NAME?"/>
    <e v="#NAME?"/>
    <e v="#NAME?"/>
    <m/>
    <m/>
    <m/>
    <m/>
    <m/>
    <n v="1"/>
    <m/>
    <m/>
    <m/>
  </r>
  <r>
    <s v="O004843"/>
    <s v="WILSON ANDRES FRACON HERMIDA"/>
    <s v="CORE"/>
    <x v="15"/>
    <s v="BBVA"/>
    <e v="#NAME?"/>
    <x v="119"/>
    <n v="0.2"/>
    <s v="Tech Manager/Líder"/>
    <s v="ASO"/>
    <m/>
    <e v="#NAME?"/>
    <e v="#NAME?"/>
    <e v="#NAME?"/>
    <m/>
    <m/>
    <m/>
    <m/>
    <m/>
    <n v="1"/>
    <m/>
    <m/>
    <m/>
  </r>
  <r>
    <s v="O004843"/>
    <s v="WILSON ANDRES FRACON HERMIDA"/>
    <s v="CORE"/>
    <x v="15"/>
    <s v="BBVA"/>
    <e v="#NAME?"/>
    <x v="86"/>
    <n v="0.2"/>
    <s v="Tech Manager/Líder"/>
    <s v="APX"/>
    <m/>
    <e v="#NAME?"/>
    <e v="#NAME?"/>
    <e v="#NAME?"/>
    <m/>
    <m/>
    <m/>
    <m/>
    <m/>
    <n v="0"/>
    <m/>
    <m/>
    <m/>
  </r>
  <r>
    <s v="O004843"/>
    <s v="WILSON ANDRES FRACON HERMIDA"/>
    <s v="CORE"/>
    <x v="15"/>
    <s v="BBVA"/>
    <e v="#NAME?"/>
    <x v="123"/>
    <n v="0.2"/>
    <s v="Tech Manager/Líder"/>
    <s v="APX"/>
    <m/>
    <e v="#NAME?"/>
    <e v="#NAME?"/>
    <e v="#NAME?"/>
    <m/>
    <m/>
    <m/>
    <m/>
    <m/>
    <n v="0"/>
    <m/>
    <m/>
    <m/>
  </r>
  <r>
    <s v="O004843"/>
    <s v="WILSON ANDRES FRACON HERMIDA"/>
    <s v="CORE"/>
    <x v="15"/>
    <s v="BBVA"/>
    <e v="#NAME?"/>
    <x v="126"/>
    <n v="0.2"/>
    <s v="Tech Manager/Líder"/>
    <s v="Mainframe"/>
    <m/>
    <e v="#NAME?"/>
    <e v="#NAME?"/>
    <e v="#NAME?"/>
    <m/>
    <m/>
    <m/>
    <m/>
    <m/>
    <n v="0"/>
    <m/>
    <m/>
    <m/>
  </r>
  <r>
    <s v="O004843"/>
    <s v="WILSON ANDRES FRACON HERMIDA"/>
    <s v="CORE"/>
    <x v="15"/>
    <s v="BBVA"/>
    <e v="#NAME?"/>
    <x v="125"/>
    <n v="0.2"/>
    <s v="Tech Manager/Líder"/>
    <s v="Mainframe"/>
    <m/>
    <e v="#NAME?"/>
    <e v="#NAME?"/>
    <e v="#NAME?"/>
    <m/>
    <m/>
    <m/>
    <m/>
    <m/>
    <n v="0"/>
    <m/>
    <m/>
    <m/>
  </r>
  <r>
    <s v="CE59519"/>
    <s v="JORGE DANILO BUITRAGO HERNANDEZ"/>
    <s v="CORE"/>
    <x v="15"/>
    <s v="Inetum"/>
    <e v="#NAME?"/>
    <x v="126"/>
    <n v="1"/>
    <s v="Desarrollador"/>
    <s v="Mainframe"/>
    <m/>
    <e v="#NAME?"/>
    <e v="#NAME?"/>
    <e v="#NAME?"/>
    <m/>
    <m/>
    <m/>
    <m/>
    <m/>
    <n v="1"/>
    <m/>
    <m/>
    <m/>
  </r>
  <r>
    <s v="CE64394"/>
    <s v="ANDREI NICOLAS CASTRO MUÑOZ"/>
    <s v="CORE"/>
    <x v="15"/>
    <s v="KRYPTO"/>
    <e v="#NAME?"/>
    <x v="126"/>
    <n v="1"/>
    <s v="QA"/>
    <s v="Mainframe"/>
    <m/>
    <e v="#NAME?"/>
    <e v="#NAME?"/>
    <e v="#NAME?"/>
    <m/>
    <m/>
    <m/>
    <m/>
    <m/>
    <n v="1"/>
    <m/>
    <m/>
    <m/>
  </r>
  <r>
    <s v="T007567"/>
    <s v="ERIKA LILIANA ESPINOSA DUQUE"/>
    <s v="CORE"/>
    <x v="15"/>
    <s v="Choucair"/>
    <e v="#NAME?"/>
    <x v="119"/>
    <n v="1"/>
    <s v="QA"/>
    <s v="Mainframe"/>
    <m/>
    <e v="#NAME?"/>
    <e v="#NAME?"/>
    <e v="#NAME?"/>
    <m/>
    <m/>
    <m/>
    <m/>
    <m/>
    <n v="1"/>
    <m/>
    <m/>
    <m/>
  </r>
  <r>
    <s v="T004584"/>
    <s v="LYDI JOHANA MORENO LOPEZ"/>
    <s v="CORE"/>
    <x v="15"/>
    <s v="Choucair"/>
    <e v="#NAME?"/>
    <x v="119"/>
    <n v="1"/>
    <s v="QA"/>
    <s v="Mainframe"/>
    <m/>
    <e v="#NAME?"/>
    <e v="#NAME?"/>
    <e v="#NAME?"/>
    <m/>
    <m/>
    <m/>
    <m/>
    <m/>
    <n v="1"/>
    <m/>
    <m/>
    <m/>
  </r>
  <r>
    <s v="T001314"/>
    <s v="JUAN DAVID GARZON"/>
    <s v="CORE"/>
    <x v="15"/>
    <s v="Choucair"/>
    <e v="#NAME?"/>
    <x v="86"/>
    <n v="1"/>
    <s v="QA"/>
    <s v="Mainframe"/>
    <m/>
    <e v="#NAME?"/>
    <e v="#NAME?"/>
    <e v="#NAME?"/>
    <m/>
    <m/>
    <m/>
    <m/>
    <m/>
    <n v="1"/>
    <m/>
    <m/>
    <m/>
  </r>
  <r>
    <s v="CE69611"/>
    <s v="JESUS ROLDAN LAVERDE"/>
    <s v="CORE"/>
    <x v="15"/>
    <s v="Accenture"/>
    <e v="#NAME?"/>
    <x v="86"/>
    <n v="1"/>
    <s v="Desarrollador"/>
    <s v="Mainframe"/>
    <m/>
    <e v="#NAME?"/>
    <e v="#NAME?"/>
    <e v="#NAME?"/>
    <m/>
    <m/>
    <m/>
    <m/>
    <m/>
    <n v="1"/>
    <m/>
    <m/>
    <m/>
  </r>
  <r>
    <s v="CE69612"/>
    <s v="DIEGO DIAZ VIVAS"/>
    <s v="CORE"/>
    <x v="15"/>
    <s v="Accenture"/>
    <e v="#NAME?"/>
    <x v="119"/>
    <n v="1"/>
    <s v="Desarrollador"/>
    <s v="Cells"/>
    <m/>
    <e v="#NAME?"/>
    <e v="#NAME?"/>
    <e v="#NAME?"/>
    <m/>
    <m/>
    <m/>
    <m/>
    <m/>
    <n v="1"/>
    <m/>
    <m/>
    <m/>
  </r>
  <r>
    <s v="C342048"/>
    <s v="LUIS JAVIER RIVERA MORENO"/>
    <s v="CORE"/>
    <x v="15"/>
    <s v="BBVA"/>
    <e v="#NAME?"/>
    <x v="124"/>
    <n v="0.5"/>
    <s v="Desarrollador"/>
    <s v="Mainframe"/>
    <m/>
    <e v="#NAME?"/>
    <e v="#NAME?"/>
    <e v="#NAME?"/>
    <m/>
    <m/>
    <m/>
    <m/>
    <m/>
    <n v="1"/>
    <m/>
    <m/>
    <m/>
  </r>
  <r>
    <s v="C342048"/>
    <s v="LUIS JAVIER RIVERA MORENO"/>
    <s v="CORE"/>
    <x v="15"/>
    <s v="BBVA"/>
    <e v="#NAME?"/>
    <x v="127"/>
    <n v="0.25"/>
    <s v="Desarrollador"/>
    <s v="Mainframe"/>
    <m/>
    <e v="#NAME?"/>
    <e v="#NAME?"/>
    <e v="#NAME?"/>
    <m/>
    <m/>
    <m/>
    <m/>
    <m/>
    <n v="0"/>
    <m/>
    <m/>
    <m/>
  </r>
  <r>
    <s v="C342048"/>
    <s v="LUIS JAVIER RIVERA MORENO"/>
    <s v="CORE"/>
    <x v="15"/>
    <s v="BBVA"/>
    <e v="#NAME?"/>
    <x v="128"/>
    <n v="0.25"/>
    <s v="Desarrollador"/>
    <s v="Mainframe"/>
    <m/>
    <e v="#NAME?"/>
    <e v="#NAME?"/>
    <e v="#NAME?"/>
    <m/>
    <m/>
    <m/>
    <m/>
    <m/>
    <n v="0"/>
    <m/>
    <m/>
    <m/>
  </r>
  <r>
    <s v="O000444"/>
    <s v="EDGAR VASQUEZ RUIZ"/>
    <s v="CORE"/>
    <x v="15"/>
    <s v="BBVA"/>
    <e v="#NAME?"/>
    <x v="124"/>
    <n v="0.9"/>
    <s v="Desarrollador"/>
    <s v="Mainframe"/>
    <m/>
    <e v="#NAME?"/>
    <e v="#NAME?"/>
    <e v="#NAME?"/>
    <m/>
    <m/>
    <m/>
    <m/>
    <m/>
    <n v="1"/>
    <m/>
    <m/>
    <m/>
  </r>
  <r>
    <s v="O000444"/>
    <s v="EDGAR VASQUEZ RUIZ"/>
    <s v="CORE"/>
    <x v="15"/>
    <s v="BBVA"/>
    <e v="#NAME?"/>
    <x v="129"/>
    <n v="0.1"/>
    <s v="Desarrollador"/>
    <s v="Mainframe"/>
    <m/>
    <e v="#NAME?"/>
    <e v="#NAME?"/>
    <e v="#NAME?"/>
    <m/>
    <m/>
    <m/>
    <m/>
    <m/>
    <n v="0"/>
    <m/>
    <m/>
    <m/>
  </r>
  <r>
    <s v="O000106"/>
    <s v="FELIPE ALEJANDO PEDRAZA ROBLES"/>
    <s v="CORE"/>
    <x v="15"/>
    <s v="BBVA"/>
    <e v="#NAME?"/>
    <x v="129"/>
    <n v="0.8"/>
    <s v="Desarrollador"/>
    <s v="Mainframe"/>
    <m/>
    <e v="#NAME?"/>
    <e v="#NAME?"/>
    <e v="#NAME?"/>
    <m/>
    <m/>
    <m/>
    <m/>
    <m/>
    <n v="1"/>
    <m/>
    <m/>
    <m/>
  </r>
  <r>
    <s v="O000106"/>
    <s v="FELIPE ALEJANDO PEDRAZA ROBLES"/>
    <s v="CORE"/>
    <x v="15"/>
    <s v="BBVA"/>
    <e v="#NAME?"/>
    <x v="130"/>
    <n v="0.2"/>
    <s v="Desarrollador"/>
    <s v="Mainframe"/>
    <m/>
    <e v="#NAME?"/>
    <e v="#NAME?"/>
    <e v="#NAME?"/>
    <m/>
    <m/>
    <m/>
    <m/>
    <m/>
    <n v="0"/>
    <m/>
    <m/>
    <m/>
  </r>
  <r>
    <s v="C810908"/>
    <s v="DIANA CAROLINA PEÑA PALOMINO"/>
    <s v="CORE"/>
    <x v="15"/>
    <s v="BBVA"/>
    <e v="#NAME?"/>
    <x v="123"/>
    <n v="0.5"/>
    <s v="Desarrollador"/>
    <s v="Mainframe"/>
    <m/>
    <e v="#NAME?"/>
    <e v="#NAME?"/>
    <e v="#NAME?"/>
    <m/>
    <m/>
    <m/>
    <m/>
    <m/>
    <n v="1"/>
    <m/>
    <m/>
    <m/>
  </r>
  <r>
    <s v="C810908"/>
    <s v="DIANA CAROLINA PEÑA PALOMINO"/>
    <s v="CORE"/>
    <x v="15"/>
    <s v="BBVA"/>
    <e v="#NAME?"/>
    <x v="128"/>
    <n v="0.5"/>
    <s v="Desarrollador"/>
    <s v="Mainframe"/>
    <m/>
    <e v="#NAME?"/>
    <e v="#NAME?"/>
    <e v="#NAME?"/>
    <m/>
    <m/>
    <m/>
    <m/>
    <m/>
    <n v="0"/>
    <m/>
    <m/>
    <m/>
  </r>
  <r>
    <s v="C810801"/>
    <s v="DIANA BARBOSA OSPINA"/>
    <s v="CORE"/>
    <x v="15"/>
    <s v="BBVA"/>
    <e v="#NAME?"/>
    <x v="131"/>
    <n v="0.1"/>
    <s v="Desarrollador"/>
    <s v="Mainframe"/>
    <m/>
    <e v="#NAME?"/>
    <e v="#NAME?"/>
    <e v="#NAME?"/>
    <m/>
    <m/>
    <m/>
    <m/>
    <m/>
    <n v="1"/>
    <m/>
    <m/>
    <m/>
  </r>
  <r>
    <s v="C810801"/>
    <s v="DIANA BARBOSA OSPINA"/>
    <s v="CORE"/>
    <x v="15"/>
    <s v="BBVA"/>
    <e v="#NAME?"/>
    <x v="127"/>
    <n v="0.9"/>
    <s v="Desarrollador"/>
    <s v="Mainframe"/>
    <m/>
    <e v="#NAME?"/>
    <e v="#NAME?"/>
    <e v="#NAME?"/>
    <m/>
    <m/>
    <m/>
    <m/>
    <m/>
    <n v="0"/>
    <m/>
    <m/>
    <m/>
  </r>
  <r>
    <s v="O003400"/>
    <s v="JUAN SEBASTIAN COLMENARES RODRIGUEZ"/>
    <s v="CORE"/>
    <x v="15"/>
    <s v="BBVA"/>
    <e v="#NAME?"/>
    <x v="127"/>
    <n v="1"/>
    <s v="Desarrollador"/>
    <s v="Mainframe"/>
    <m/>
    <e v="#NAME?"/>
    <e v="#NAME?"/>
    <e v="#NAME?"/>
    <m/>
    <m/>
    <m/>
    <m/>
    <m/>
    <n v="1"/>
    <m/>
    <m/>
    <m/>
  </r>
  <r>
    <s v="O003461"/>
    <s v="CARLOS VICENTE SERRATO SERNA"/>
    <s v="CORE"/>
    <x v="15"/>
    <s v="BBVA"/>
    <e v="#NAME?"/>
    <x v="124"/>
    <n v="1"/>
    <s v="Desarrollador"/>
    <s v="Mainframe"/>
    <m/>
    <e v="#NAME?"/>
    <e v="#NAME?"/>
    <e v="#NAME?"/>
    <m/>
    <m/>
    <m/>
    <m/>
    <m/>
    <n v="1"/>
    <m/>
    <m/>
    <m/>
  </r>
  <r>
    <s v="C808133"/>
    <s v="REMBERTO PRIOLO"/>
    <s v="CORE"/>
    <x v="15"/>
    <s v="BBVA"/>
    <e v="#NAME?"/>
    <x v="124"/>
    <n v="0.2"/>
    <s v="Desarrollador"/>
    <s v="ASO"/>
    <m/>
    <e v="#NAME?"/>
    <e v="#NAME?"/>
    <e v="#NAME?"/>
    <m/>
    <m/>
    <m/>
    <m/>
    <m/>
    <n v="1"/>
    <m/>
    <m/>
    <m/>
  </r>
  <r>
    <s v="C808133"/>
    <s v="REMBERTO PRIOLO"/>
    <s v="CORE"/>
    <x v="15"/>
    <s v="BBVA"/>
    <e v="#NAME?"/>
    <x v="84"/>
    <n v="0.8"/>
    <s v="Desarrollador"/>
    <s v="ASO"/>
    <m/>
    <e v="#NAME?"/>
    <e v="#NAME?"/>
    <e v="#NAME?"/>
    <m/>
    <m/>
    <m/>
    <m/>
    <m/>
    <n v="0"/>
    <m/>
    <m/>
    <m/>
  </r>
  <r>
    <s v="O000446"/>
    <s v="ANDRES FELIPE FUENTES GARAY"/>
    <s v="CORE"/>
    <x v="15"/>
    <s v="BBVA"/>
    <e v="#NAME?"/>
    <x v="124"/>
    <n v="0.2"/>
    <s v="Tech Manager/Líder"/>
    <s v="ASO"/>
    <m/>
    <e v="#NAME?"/>
    <e v="#NAME?"/>
    <e v="#NAME?"/>
    <m/>
    <m/>
    <m/>
    <m/>
    <m/>
    <n v="1"/>
    <m/>
    <m/>
    <m/>
  </r>
  <r>
    <s v="O000446"/>
    <s v="ANDRES FELIPE FUENTES GARAY"/>
    <s v="CORE"/>
    <x v="15"/>
    <s v="BBVA"/>
    <e v="#NAME?"/>
    <x v="127"/>
    <n v="0.2"/>
    <s v="Tech Manager/Líder"/>
    <s v="Mainframe"/>
    <m/>
    <e v="#NAME?"/>
    <e v="#NAME?"/>
    <e v="#NAME?"/>
    <m/>
    <m/>
    <m/>
    <m/>
    <m/>
    <n v="0"/>
    <m/>
    <m/>
    <m/>
  </r>
  <r>
    <s v="O000446"/>
    <s v="ANDRES FELIPE FUENTES GARAY"/>
    <s v="CORE"/>
    <x v="15"/>
    <s v="BBVA"/>
    <e v="#NAME?"/>
    <x v="128"/>
    <n v="0.2"/>
    <s v="Tech Manager/Líder"/>
    <s v="ASO"/>
    <m/>
    <e v="#NAME?"/>
    <e v="#NAME?"/>
    <e v="#NAME?"/>
    <m/>
    <m/>
    <m/>
    <m/>
    <m/>
    <n v="0"/>
    <m/>
    <m/>
    <m/>
  </r>
  <r>
    <s v="O000446"/>
    <s v="ANDRES FELIPE FUENTES GARAY"/>
    <s v="CORE"/>
    <x v="15"/>
    <s v="BBVA"/>
    <e v="#NAME?"/>
    <x v="123"/>
    <n v="0.2"/>
    <s v="Tech Manager/Líder"/>
    <s v="Mainframe"/>
    <m/>
    <e v="#NAME?"/>
    <e v="#NAME?"/>
    <e v="#NAME?"/>
    <m/>
    <m/>
    <m/>
    <m/>
    <m/>
    <n v="0"/>
    <m/>
    <m/>
    <m/>
  </r>
  <r>
    <s v="O000446"/>
    <s v="ANDRES FELIPE FUENTES GARAY"/>
    <s v="CORE"/>
    <x v="15"/>
    <s v="BBVA"/>
    <e v="#NAME?"/>
    <x v="129"/>
    <n v="0.2"/>
    <s v="Tech Manager/Líder"/>
    <s v="Mainframe"/>
    <m/>
    <e v="#NAME?"/>
    <e v="#NAME?"/>
    <e v="#NAME?"/>
    <m/>
    <m/>
    <m/>
    <m/>
    <m/>
    <n v="0"/>
    <m/>
    <m/>
    <m/>
  </r>
  <r>
    <s v="CE57920"/>
    <s v="WILLIAM ARMANDO BONILLA ACUÑA"/>
    <s v="CORE"/>
    <x v="15"/>
    <s v="Inetum"/>
    <e v="#NAME?"/>
    <x v="124"/>
    <n v="1"/>
    <s v="QA"/>
    <s v="Mainframe"/>
    <m/>
    <e v="#NAME?"/>
    <e v="#NAME?"/>
    <e v="#NAME?"/>
    <m/>
    <m/>
    <m/>
    <m/>
    <m/>
    <n v="1"/>
    <m/>
    <m/>
    <m/>
  </r>
  <r>
    <s v="C804828"/>
    <s v="MAIRA ALEJANDRA GUERRERO CAMARGO"/>
    <s v="CORE"/>
    <x v="15"/>
    <s v="BBVA"/>
    <e v="#NAME?"/>
    <x v="132"/>
    <n v="0.1"/>
    <s v="Desarrollador"/>
    <s v="Mainframe"/>
    <m/>
    <e v="#NAME?"/>
    <e v="#NAME?"/>
    <e v="#NAME?"/>
    <m/>
    <m/>
    <m/>
    <m/>
    <m/>
    <n v="1"/>
    <m/>
    <m/>
    <m/>
  </r>
  <r>
    <s v="C804828"/>
    <s v="MAIRA ALEJANDRA GUERRERO CAMARGO"/>
    <s v="CORE"/>
    <x v="15"/>
    <s v="BBVA"/>
    <e v="#NAME?"/>
    <x v="6"/>
    <n v="0.9"/>
    <s v="Desarrollador"/>
    <s v="Mainframe"/>
    <s v="Atiende dentro del programa BCBS239 3 proyectos"/>
    <e v="#NAME?"/>
    <e v="#NAME?"/>
    <e v="#NAME?"/>
    <m/>
    <m/>
    <m/>
    <m/>
    <m/>
    <n v="0"/>
    <m/>
    <m/>
    <m/>
  </r>
  <r>
    <s v="C343126"/>
    <s v="RUBERTH SAN MIGUEL PEREZ"/>
    <s v="CORE"/>
    <x v="15"/>
    <s v="BBVA"/>
    <e v="#NAME?"/>
    <x v="6"/>
    <n v="0.6"/>
    <s v="Desarrollador"/>
    <s v="Mainframe"/>
    <m/>
    <e v="#NAME?"/>
    <e v="#NAME?"/>
    <e v="#NAME?"/>
    <m/>
    <m/>
    <m/>
    <m/>
    <m/>
    <n v="1"/>
    <m/>
    <m/>
    <m/>
  </r>
  <r>
    <s v="C343126"/>
    <s v="RUBERTH SAN MIGUEL PEREZ"/>
    <s v="CORE"/>
    <x v="15"/>
    <s v="BBVA"/>
    <e v="#NAME?"/>
    <x v="133"/>
    <n v="0.4"/>
    <s v="Desarrollador"/>
    <s v="Mainframe"/>
    <m/>
    <e v="#NAME?"/>
    <e v="#NAME?"/>
    <e v="#NAME?"/>
    <m/>
    <m/>
    <m/>
    <m/>
    <m/>
    <n v="0"/>
    <m/>
    <m/>
    <m/>
  </r>
  <r>
    <s v="C809713"/>
    <s v="FABRICIO AUGUSTO LOZANO TORRES"/>
    <s v="CORE"/>
    <x v="15"/>
    <s v="BBVA"/>
    <e v="#NAME?"/>
    <x v="134"/>
    <n v="0.4"/>
    <s v="Desarrollador"/>
    <s v="Mainframe"/>
    <m/>
    <e v="#NAME?"/>
    <e v="#NAME?"/>
    <e v="#NAME?"/>
    <m/>
    <m/>
    <m/>
    <m/>
    <m/>
    <n v="1"/>
    <m/>
    <m/>
    <m/>
  </r>
  <r>
    <s v="C809713"/>
    <s v="FABRICIO AUGUSTO LOZANO TORRES"/>
    <s v="CORE"/>
    <x v="15"/>
    <s v="BBVA"/>
    <e v="#NAME?"/>
    <x v="9"/>
    <n v="0.6"/>
    <s v="Desarrollador"/>
    <s v="Mainframe"/>
    <m/>
    <e v="#NAME?"/>
    <e v="#NAME?"/>
    <e v="#NAME?"/>
    <m/>
    <m/>
    <m/>
    <m/>
    <m/>
    <n v="0"/>
    <m/>
    <m/>
    <m/>
  </r>
  <r>
    <s v="C367168"/>
    <s v="FLOR MIREYA GONZALEZ VASQUEZ"/>
    <s v="CORE"/>
    <x v="15"/>
    <s v="BBVA"/>
    <e v="#NAME?"/>
    <x v="6"/>
    <n v="0.4"/>
    <s v="Tech Manager/Líder"/>
    <s v="Mainframe"/>
    <m/>
    <e v="#NAME?"/>
    <e v="#NAME?"/>
    <e v="#NAME?"/>
    <m/>
    <m/>
    <m/>
    <m/>
    <m/>
    <n v="1"/>
    <m/>
    <m/>
    <m/>
  </r>
  <r>
    <s v="C367168"/>
    <s v="FLOR MIREYA GONZALEZ VASQUEZ"/>
    <s v="CORE"/>
    <x v="15"/>
    <s v="BBVA"/>
    <e v="#NAME?"/>
    <x v="132"/>
    <n v="0.05"/>
    <s v="Tech Manager/Líder"/>
    <s v="Mainframe"/>
    <m/>
    <e v="#NAME?"/>
    <e v="#NAME?"/>
    <e v="#NAME?"/>
    <m/>
    <m/>
    <m/>
    <m/>
    <m/>
    <n v="0"/>
    <m/>
    <m/>
    <m/>
  </r>
  <r>
    <s v="C367168"/>
    <s v="FLOR MIREYA GONZALEZ VASQUEZ"/>
    <s v="CORE"/>
    <x v="15"/>
    <s v="BBVA"/>
    <e v="#NAME?"/>
    <x v="134"/>
    <n v="0.2"/>
    <s v="Tech Manager/Líder"/>
    <s v="Mainframe"/>
    <m/>
    <e v="#NAME?"/>
    <e v="#NAME?"/>
    <e v="#NAME?"/>
    <m/>
    <m/>
    <m/>
    <m/>
    <m/>
    <n v="0"/>
    <m/>
    <m/>
    <m/>
  </r>
  <r>
    <s v="C367168"/>
    <s v="FLOR MIREYA GONZALEZ VASQUEZ"/>
    <s v="CORE"/>
    <x v="15"/>
    <s v="BBVA"/>
    <e v="#NAME?"/>
    <x v="9"/>
    <n v="0.1"/>
    <s v="Tech Manager/Líder"/>
    <s v="Mainframe"/>
    <m/>
    <e v="#NAME?"/>
    <e v="#NAME?"/>
    <e v="#NAME?"/>
    <m/>
    <m/>
    <m/>
    <m/>
    <m/>
    <n v="0"/>
    <m/>
    <m/>
    <m/>
  </r>
  <r>
    <s v="C367168"/>
    <s v="FLOR MIREYA GONZALEZ VASQUEZ"/>
    <s v="CORE"/>
    <x v="15"/>
    <s v="BBVA"/>
    <e v="#NAME?"/>
    <x v="133"/>
    <n v="0.25"/>
    <s v="Tech Manager/Líder"/>
    <s v="Mainframe"/>
    <m/>
    <e v="#NAME?"/>
    <e v="#NAME?"/>
    <e v="#NAME?"/>
    <m/>
    <m/>
    <m/>
    <m/>
    <m/>
    <n v="0"/>
    <m/>
    <m/>
    <m/>
  </r>
  <r>
    <s v="CE51434"/>
    <s v="MICHAEL ALEXANDER PINZON CRISTANCHO"/>
    <s v="CORE"/>
    <x v="15"/>
    <s v="Inetum"/>
    <e v="#NAME?"/>
    <x v="134"/>
    <n v="0.5"/>
    <s v="QA"/>
    <s v="Mainframe"/>
    <m/>
    <e v="#NAME?"/>
    <e v="#NAME?"/>
    <e v="#NAME?"/>
    <m/>
    <m/>
    <m/>
    <m/>
    <m/>
    <n v="1"/>
    <m/>
    <m/>
    <m/>
  </r>
  <r>
    <s v="CE51434"/>
    <s v="MICHAEL ALEXANDER PINZON CRISTANCHO"/>
    <s v="CORE"/>
    <x v="15"/>
    <s v="Inetum"/>
    <e v="#NAME?"/>
    <x v="6"/>
    <n v="0.5"/>
    <s v="QA"/>
    <s v="Mainframe"/>
    <m/>
    <e v="#NAME?"/>
    <e v="#NAME?"/>
    <e v="#NAME?"/>
    <m/>
    <m/>
    <m/>
    <m/>
    <m/>
    <n v="0"/>
    <m/>
    <m/>
    <m/>
  </r>
  <r>
    <s v="C808227"/>
    <s v="MARIA PAULA ISAZA SANCHEZ"/>
    <s v="CIB &amp; COMEX - FIDUCIARIA"/>
    <x v="16"/>
    <s v="BBVA"/>
    <e v="#NAME?"/>
    <x v="135"/>
    <n v="1"/>
    <s v="Desarrollador"/>
    <s v="Distribuido"/>
    <m/>
    <e v="#NAME?"/>
    <e v="#NAME?"/>
    <e v="#NAME?"/>
    <m/>
    <m/>
    <m/>
    <m/>
    <m/>
    <m/>
    <m/>
    <m/>
    <m/>
  </r>
  <r>
    <s v="C804032"/>
    <s v="CAMILO ANDRES MORENO HURTADO"/>
    <s v="CIB &amp; COMEX - FIDUCIARIA"/>
    <x v="16"/>
    <s v="BBVA"/>
    <e v="#NAME?"/>
    <x v="136"/>
    <n v="0.5"/>
    <s v="Desarrollador"/>
    <s v="Distribuido"/>
    <m/>
    <e v="#NAME?"/>
    <e v="#NAME?"/>
    <e v="#NAME?"/>
    <m/>
    <m/>
    <m/>
    <m/>
    <m/>
    <m/>
    <m/>
    <m/>
    <m/>
  </r>
  <r>
    <s v="C804032"/>
    <s v="CAMILO ANDRES MORENO HURTADO"/>
    <s v="CIB &amp; COMEX - FIDUCIARIA"/>
    <x v="16"/>
    <s v="BBVA"/>
    <e v="#NAME?"/>
    <x v="137"/>
    <n v="0.5"/>
    <s v="Desarrollador"/>
    <s v="Distribuido"/>
    <m/>
    <e v="#NAME?"/>
    <e v="#NAME?"/>
    <e v="#NAME?"/>
    <m/>
    <m/>
    <m/>
    <m/>
    <m/>
    <m/>
    <m/>
    <m/>
    <m/>
  </r>
  <r>
    <s v="C811284"/>
    <s v="CRISTIAN ARLEY AMORTEGUI AREVALO"/>
    <s v="CIB &amp; COMEX - FIDUCIARIA"/>
    <x v="16"/>
    <s v="BBVA"/>
    <e v="#NAME?"/>
    <x v="34"/>
    <n v="1"/>
    <s v="Desarrollador"/>
    <s v="Mainframe"/>
    <m/>
    <e v="#NAME?"/>
    <e v="#NAME?"/>
    <e v="#NAME?"/>
    <m/>
    <m/>
    <m/>
    <m/>
    <m/>
    <m/>
    <m/>
    <m/>
    <m/>
  </r>
  <r>
    <s v="C808193"/>
    <s v="GILBERTO SANCHEZ RODRIGUEZ"/>
    <s v="CIB &amp; COMEX - FIDUCIARIA"/>
    <x v="16"/>
    <s v="BBVA"/>
    <e v="#NAME?"/>
    <x v="5"/>
    <n v="0.75"/>
    <s v="Desarrollador"/>
    <s v="Mainframe"/>
    <m/>
    <e v="#NAME?"/>
    <e v="#NAME?"/>
    <e v="#NAME?"/>
    <m/>
    <m/>
    <m/>
    <m/>
    <m/>
    <m/>
    <m/>
    <m/>
    <m/>
  </r>
  <r>
    <s v="C808193"/>
    <s v="GILBERTO SANCHEZ RODRIGUEZ"/>
    <s v="CIB &amp; COMEX - FIDUCIARIA"/>
    <x v="16"/>
    <s v="BBVA"/>
    <e v="#NAME?"/>
    <x v="138"/>
    <n v="0.25"/>
    <s v="Desarrollador"/>
    <s v="Mainframe"/>
    <m/>
    <e v="#NAME?"/>
    <e v="#NAME?"/>
    <e v="#NAME?"/>
    <m/>
    <m/>
    <m/>
    <m/>
    <m/>
    <m/>
    <m/>
    <m/>
    <m/>
  </r>
  <r>
    <s v="C782744"/>
    <s v="VICTOR WILSON AREVALO MARTIN"/>
    <s v="CIB &amp; COMEX - FIDUCIARIA"/>
    <x v="16"/>
    <s v="BBVA"/>
    <e v="#NAME?"/>
    <x v="138"/>
    <n v="0.25"/>
    <s v="Desarrollador"/>
    <s v="Mainframe"/>
    <m/>
    <e v="#NAME?"/>
    <e v="#NAME?"/>
    <e v="#NAME?"/>
    <m/>
    <m/>
    <m/>
    <m/>
    <m/>
    <m/>
    <m/>
    <m/>
    <m/>
  </r>
  <r>
    <s v="C782744"/>
    <s v="VICTOR WILSON AREVALO MARTIN"/>
    <s v="CIB &amp; COMEX - FIDUCIARIA"/>
    <x v="16"/>
    <s v="BBVA"/>
    <e v="#NAME?"/>
    <x v="139"/>
    <n v="0.75"/>
    <s v="Desarrollador"/>
    <s v="Distribuido"/>
    <m/>
    <e v="#NAME?"/>
    <e v="#NAME?"/>
    <e v="#NAME?"/>
    <m/>
    <m/>
    <m/>
    <m/>
    <m/>
    <m/>
    <m/>
    <m/>
    <m/>
  </r>
  <r>
    <s v="C805683"/>
    <s v="SERGIO LEONARDO MENDOZA GASCA"/>
    <s v="CIB &amp; COMEX - FIDUCIARIA"/>
    <x v="16"/>
    <s v="BBVA"/>
    <e v="#NAME?"/>
    <x v="139"/>
    <n v="0.5"/>
    <s v="Desarrollador"/>
    <s v="Distribuido"/>
    <m/>
    <e v="#NAME?"/>
    <e v="#NAME?"/>
    <e v="#NAME?"/>
    <m/>
    <m/>
    <m/>
    <m/>
    <m/>
    <m/>
    <m/>
    <m/>
    <m/>
  </r>
  <r>
    <s v="C805683"/>
    <s v="SERGIO LEONARDO MENDOZA GASCA"/>
    <s v="CIB &amp; COMEX - FIDUCIARIA"/>
    <x v="16"/>
    <s v="BBVA"/>
    <e v="#NAME?"/>
    <x v="140"/>
    <n v="0.5"/>
    <s v="Desarrollador"/>
    <s v="Distribuido"/>
    <m/>
    <e v="#NAME?"/>
    <e v="#NAME?"/>
    <e v="#NAME?"/>
    <m/>
    <m/>
    <m/>
    <m/>
    <m/>
    <m/>
    <m/>
    <m/>
    <m/>
  </r>
  <r>
    <s v="C805074"/>
    <s v="MARLON STUART SUAREZ ."/>
    <s v="CIB &amp; COMEX - FIDUCIARIA"/>
    <x v="16"/>
    <s v="BBVA"/>
    <e v="#NAME?"/>
    <x v="136"/>
    <n v="0.3"/>
    <s v="Desarrollador"/>
    <s v="Distribuido"/>
    <m/>
    <e v="#NAME?"/>
    <e v="#NAME?"/>
    <e v="#NAME?"/>
    <m/>
    <m/>
    <m/>
    <m/>
    <m/>
    <m/>
    <m/>
    <m/>
    <m/>
  </r>
  <r>
    <s v="C805074"/>
    <s v="MARLON STUART SUAREZ ."/>
    <s v="CIB &amp; COMEX - FIDUCIARIA"/>
    <x v="16"/>
    <s v="BBVA"/>
    <e v="#NAME?"/>
    <x v="141"/>
    <n v="0.3"/>
    <s v="Desarrollador"/>
    <s v="Distribuido"/>
    <m/>
    <e v="#NAME?"/>
    <e v="#NAME?"/>
    <e v="#NAME?"/>
    <m/>
    <m/>
    <m/>
    <m/>
    <m/>
    <m/>
    <m/>
    <m/>
    <m/>
  </r>
  <r>
    <s v="C805074"/>
    <s v="MARLON STUART SUAREZ ."/>
    <s v="CIB &amp; COMEX - FIDUCIARIA"/>
    <x v="16"/>
    <s v="BBVA"/>
    <e v="#NAME?"/>
    <x v="137"/>
    <n v="0.4"/>
    <s v="Desarrollador"/>
    <s v="Distribuido"/>
    <m/>
    <e v="#NAME?"/>
    <e v="#NAME?"/>
    <e v="#NAME?"/>
    <m/>
    <m/>
    <m/>
    <m/>
    <m/>
    <m/>
    <m/>
    <m/>
    <m/>
  </r>
  <r>
    <s v="O001825"/>
    <s v="JONATHAN FABIAN PAEZ TORRES"/>
    <s v="CIB &amp; COMEX - FIDUCIARIA"/>
    <x v="16"/>
    <s v="BBVA"/>
    <e v="#NAME?"/>
    <x v="136"/>
    <n v="0.25"/>
    <s v="Desarrollador"/>
    <s v="Distribuido"/>
    <m/>
    <e v="#NAME?"/>
    <e v="#NAME?"/>
    <e v="#NAME?"/>
    <m/>
    <m/>
    <m/>
    <m/>
    <m/>
    <m/>
    <m/>
    <m/>
    <m/>
  </r>
  <r>
    <s v="O001825"/>
    <s v="JONATHAN FABIAN PAEZ TORRES"/>
    <s v="CIB &amp; COMEX - FIDUCIARIA"/>
    <x v="16"/>
    <s v="BBVA"/>
    <e v="#NAME?"/>
    <x v="141"/>
    <n v="0.25"/>
    <s v="Desarrollador"/>
    <s v="Distribuido"/>
    <m/>
    <e v="#NAME?"/>
    <e v="#NAME?"/>
    <e v="#NAME?"/>
    <m/>
    <m/>
    <m/>
    <m/>
    <m/>
    <m/>
    <m/>
    <m/>
    <m/>
  </r>
  <r>
    <s v="O001825"/>
    <s v="JONATHAN FABIAN PAEZ TORRES"/>
    <s v="CIB &amp; COMEX - FIDUCIARIA"/>
    <x v="16"/>
    <s v="BBVA"/>
    <e v="#NAME?"/>
    <x v="137"/>
    <n v="0.5"/>
    <s v="Desarrollador"/>
    <s v="Distribuido"/>
    <m/>
    <e v="#NAME?"/>
    <e v="#NAME?"/>
    <e v="#NAME?"/>
    <m/>
    <m/>
    <m/>
    <m/>
    <m/>
    <m/>
    <m/>
    <m/>
    <m/>
  </r>
  <r>
    <s v="O003306"/>
    <s v="LEIDY JOHANA RODRIGUEZ GARCIA"/>
    <s v="CIB &amp; COMEX - FIDUCIARIA"/>
    <x v="16"/>
    <s v="BBVA"/>
    <e v="#NAME?"/>
    <x v="137"/>
    <n v="0.75"/>
    <s v="Desarrollador"/>
    <s v="Distribuido"/>
    <m/>
    <e v="#NAME?"/>
    <e v="#NAME?"/>
    <e v="#NAME?"/>
    <m/>
    <m/>
    <m/>
    <m/>
    <m/>
    <m/>
    <m/>
    <m/>
    <m/>
  </r>
  <r>
    <s v="O003306"/>
    <s v="LEIDY JOHANA RODRIGUEZ GARCIA"/>
    <s v="CIB &amp; COMEX - FIDUCIARIA"/>
    <x v="16"/>
    <s v="BBVA"/>
    <e v="#NAME?"/>
    <x v="137"/>
    <n v="0.25"/>
    <s v="Desarrollador"/>
    <s v="Distribuido"/>
    <m/>
    <e v="#NAME?"/>
    <e v="#NAME?"/>
    <e v="#NAME?"/>
    <m/>
    <m/>
    <m/>
    <m/>
    <m/>
    <m/>
    <m/>
    <m/>
    <m/>
  </r>
  <r>
    <s v="CE52611"/>
    <s v="GUSTAVO ADOLFO SALAZAR BERNAL"/>
    <s v="CIB &amp; COMEX - FIDUCIARIA"/>
    <x v="16"/>
    <s v="SII"/>
    <e v="#NAME?"/>
    <x v="5"/>
    <n v="0.5"/>
    <s v="Desarrollador"/>
    <s v="Distribuido"/>
    <m/>
    <e v="#NAME?"/>
    <e v="#NAME?"/>
    <e v="#NAME?"/>
    <m/>
    <m/>
    <m/>
    <m/>
    <m/>
    <m/>
    <m/>
    <m/>
    <m/>
  </r>
  <r>
    <s v="CE52611"/>
    <s v="GUSTAVO ADOLFO SALAZAR BERNAL"/>
    <s v="CIB &amp; COMEX - FIDUCIARIA"/>
    <x v="16"/>
    <s v="SII"/>
    <e v="#NAME?"/>
    <x v="142"/>
    <n v="0.5"/>
    <s v="Desarrollador"/>
    <s v="Distribuido"/>
    <m/>
    <e v="#NAME?"/>
    <e v="#NAME?"/>
    <e v="#NAME?"/>
    <m/>
    <m/>
    <m/>
    <m/>
    <m/>
    <m/>
    <m/>
    <m/>
    <m/>
  </r>
  <r>
    <s v="C804789"/>
    <s v="JHON ALEXANDER PINEDA ARIAS"/>
    <s v="CIB &amp; COMEX - FIDUCIARIA"/>
    <x v="16"/>
    <s v="BBVA"/>
    <e v="#NAME?"/>
    <x v="143"/>
    <n v="0.5"/>
    <s v="Desarrollador"/>
    <s v="Mainframe"/>
    <m/>
    <e v="#NAME?"/>
    <e v="#NAME?"/>
    <e v="#NAME?"/>
    <m/>
    <m/>
    <m/>
    <m/>
    <m/>
    <m/>
    <m/>
    <m/>
    <m/>
  </r>
  <r>
    <s v="C804789"/>
    <s v="JHON ALEXANDER PINEDA ARIAS"/>
    <s v="CIB &amp; COMEX - FIDUCIARIA"/>
    <x v="16"/>
    <s v="BBVA"/>
    <e v="#NAME?"/>
    <x v="144"/>
    <n v="0.5"/>
    <s v="Desarrollador"/>
    <s v="Mainframe"/>
    <m/>
    <e v="#NAME?"/>
    <e v="#NAME?"/>
    <e v="#NAME?"/>
    <m/>
    <m/>
    <m/>
    <m/>
    <m/>
    <m/>
    <m/>
    <m/>
    <m/>
  </r>
  <r>
    <s v="C810672"/>
    <s v="ALEJANDRA MARIA HINCAPIE AGUIRRE"/>
    <s v="CIB &amp; COMEX - FIDUCIARIA"/>
    <x v="16"/>
    <s v="BBVA"/>
    <e v="#NAME?"/>
    <x v="6"/>
    <n v="0.5"/>
    <s v="Desarrollador"/>
    <s v="Distribuido"/>
    <m/>
    <e v="#NAME?"/>
    <e v="#NAME?"/>
    <e v="#NAME?"/>
    <m/>
    <m/>
    <m/>
    <m/>
    <m/>
    <m/>
    <m/>
    <m/>
    <m/>
  </r>
  <r>
    <s v="C810672"/>
    <s v="ALEJANDRA MARIA HINCAPIE AGUIRRE"/>
    <s v="CIB &amp; COMEX - FIDUCIARIA"/>
    <x v="16"/>
    <s v="BBVA"/>
    <e v="#NAME?"/>
    <x v="144"/>
    <n v="0.5"/>
    <s v="Desarrollador"/>
    <s v="Distribuido"/>
    <m/>
    <e v="#NAME?"/>
    <e v="#NAME?"/>
    <e v="#NAME?"/>
    <m/>
    <m/>
    <m/>
    <m/>
    <m/>
    <m/>
    <m/>
    <m/>
    <m/>
  </r>
  <r>
    <s v="C804843"/>
    <s v="EDUAR DUBAN GONZALEZ JOYA"/>
    <s v="CIB &amp; COMEX - FIDUCIARIA"/>
    <x v="16"/>
    <s v="BBVA"/>
    <e v="#NAME?"/>
    <x v="6"/>
    <n v="0.5"/>
    <s v="Desarrollador"/>
    <s v="Distribuido"/>
    <m/>
    <e v="#NAME?"/>
    <e v="#NAME?"/>
    <e v="#NAME?"/>
    <m/>
    <m/>
    <m/>
    <m/>
    <m/>
    <m/>
    <m/>
    <m/>
    <m/>
  </r>
  <r>
    <s v="C804843"/>
    <s v="EDUAR DUBAN GONZALEZ JOYA"/>
    <s v="CIB &amp; COMEX - FIDUCIARIA"/>
    <x v="16"/>
    <s v="BBVA"/>
    <e v="#NAME?"/>
    <x v="144"/>
    <n v="0.5"/>
    <s v="Desarrollador"/>
    <s v="Distribuido"/>
    <m/>
    <e v="#NAME?"/>
    <e v="#NAME?"/>
    <e v="#NAME?"/>
    <m/>
    <m/>
    <m/>
    <m/>
    <m/>
    <m/>
    <m/>
    <m/>
    <m/>
  </r>
  <r>
    <s v="C805104"/>
    <s v="JEISSON SNEYDER GALLO RAMIREZ"/>
    <s v="CIB &amp; COMEX - FIDUCIARIA"/>
    <x v="16"/>
    <s v="BBVA"/>
    <e v="#NAME?"/>
    <x v="145"/>
    <n v="1"/>
    <s v="Desarrollador"/>
    <s v="Mainframe"/>
    <m/>
    <e v="#NAME?"/>
    <e v="#NAME?"/>
    <e v="#NAME?"/>
    <m/>
    <m/>
    <m/>
    <m/>
    <m/>
    <m/>
    <m/>
    <m/>
    <m/>
  </r>
  <r>
    <s v="C810818"/>
    <s v="SERGIO ALEJANDRO NUÑEZ MENDIVELSO"/>
    <s v="CIB &amp; COMEX - FIDUCIARIA"/>
    <x v="16"/>
    <s v="BBVA"/>
    <e v="#NAME?"/>
    <x v="146"/>
    <n v="1"/>
    <s v="Desarrollador"/>
    <s v="Mainframe"/>
    <m/>
    <e v="#NAME?"/>
    <e v="#NAME?"/>
    <e v="#NAME?"/>
    <m/>
    <m/>
    <m/>
    <m/>
    <m/>
    <m/>
    <m/>
    <m/>
    <m/>
  </r>
  <r>
    <s v="CE67855"/>
    <s v="ANDREY DAVID NINO GALVIS"/>
    <s v="CIB &amp; COMEX - FIDUCIARIA"/>
    <x v="16"/>
    <s v="Accenture"/>
    <e v="#NAME?"/>
    <x v="3"/>
    <n v="1"/>
    <s v="Desarrollador"/>
    <s v="Distribuido"/>
    <m/>
    <e v="#NAME?"/>
    <e v="#NAME?"/>
    <e v="#NAME?"/>
    <m/>
    <m/>
    <m/>
    <m/>
    <m/>
    <m/>
    <m/>
    <m/>
    <m/>
  </r>
  <r>
    <s v="T007493"/>
    <s v="BRIAN LEONARDO PEREZ RUBIANO"/>
    <s v="CIB &amp; COMEX - FIDUCIARIA"/>
    <x v="16"/>
    <s v="GGI / CMC"/>
    <e v="#NAME?"/>
    <x v="137"/>
    <n v="0.5"/>
    <s v="QA"/>
    <s v="Distribuido"/>
    <m/>
    <e v="#NAME?"/>
    <e v="#NAME?"/>
    <e v="#NAME?"/>
    <m/>
    <m/>
    <m/>
    <m/>
    <m/>
    <m/>
    <m/>
    <m/>
    <m/>
  </r>
  <r>
    <s v="C796462"/>
    <s v="CAMILO ANDRES TELLEZ PRIETO"/>
    <s v="CIB &amp; COMEX - FIDUCIARIA"/>
    <x v="16"/>
    <s v="BBVA"/>
    <e v="#NAME?"/>
    <x v="3"/>
    <n v="1"/>
    <s v="Tech Manager/Líder"/>
    <s v="Mainframe"/>
    <m/>
    <e v="#NAME?"/>
    <e v="#NAME?"/>
    <e v="#NAME?"/>
    <m/>
    <m/>
    <m/>
    <m/>
    <m/>
    <m/>
    <m/>
    <m/>
    <m/>
  </r>
  <r>
    <s v="C342545"/>
    <s v="CARLOS ANDRES MARTINEZ BEDOYA"/>
    <s v="CIB &amp; COMEX - FIDUCIARIA"/>
    <x v="16"/>
    <s v="BBVA"/>
    <e v="#NAME?"/>
    <x v="3"/>
    <n v="1"/>
    <s v="Desarrollador"/>
    <s v="Mainframe"/>
    <m/>
    <e v="#NAME?"/>
    <e v="#NAME?"/>
    <e v="#NAME?"/>
    <m/>
    <m/>
    <m/>
    <m/>
    <m/>
    <m/>
    <m/>
    <m/>
    <m/>
  </r>
  <r>
    <s v="CE69667"/>
    <s v="HAROLD ENRIQUE ROCANCIO JULIO"/>
    <s v="CIB &amp; COMEX - FIDUCIARIA"/>
    <x v="16"/>
    <s v="GGI / CMC"/>
    <e v="#NAME?"/>
    <x v="3"/>
    <n v="1"/>
    <s v="Otros"/>
    <s v="Distribuido"/>
    <m/>
    <e v="#NAME?"/>
    <e v="#NAME?"/>
    <e v="#NAME?"/>
    <m/>
    <m/>
    <m/>
    <m/>
    <m/>
    <m/>
    <m/>
    <m/>
    <m/>
  </r>
  <r>
    <s v="CE65485"/>
    <s v="HECTOR JAIRO LEGUIZAMON "/>
    <s v="CIB &amp; COMEX - FIDUCIARIA"/>
    <x v="16"/>
    <s v="Accenture"/>
    <e v="#NAME?"/>
    <x v="3"/>
    <n v="1"/>
    <s v="Desarrollador"/>
    <s v="Distribuido"/>
    <m/>
    <e v="#NAME?"/>
    <e v="#NAME?"/>
    <e v="#NAME?"/>
    <m/>
    <m/>
    <m/>
    <m/>
    <m/>
    <m/>
    <m/>
    <m/>
    <m/>
  </r>
  <r>
    <s v="C809352"/>
    <s v="JOHAN GARZON PEDRAZA"/>
    <s v="CIB &amp; COMEX - FIDUCIARIA"/>
    <x v="16"/>
    <s v="BBVA"/>
    <e v="#NAME?"/>
    <x v="3"/>
    <n v="1"/>
    <s v="Desarrollador"/>
    <s v="Mainframe"/>
    <m/>
    <e v="#NAME?"/>
    <e v="#NAME?"/>
    <e v="#NAME?"/>
    <m/>
    <m/>
    <m/>
    <m/>
    <m/>
    <m/>
    <m/>
    <m/>
    <m/>
  </r>
  <r>
    <s v="CE67103"/>
    <s v="KAREN ANDREA BELTRÁN SILVA"/>
    <s v="CIB &amp; COMEX - FIDUCIARIA"/>
    <x v="16"/>
    <s v="Accenture"/>
    <e v="#NAME?"/>
    <x v="3"/>
    <n v="1"/>
    <s v="Desarrollador"/>
    <s v="Distribuido"/>
    <m/>
    <e v="#NAME?"/>
    <e v="#NAME?"/>
    <e v="#NAME?"/>
    <m/>
    <m/>
    <m/>
    <m/>
    <m/>
    <m/>
    <m/>
    <m/>
    <m/>
  </r>
  <r>
    <s v="CE66251"/>
    <s v="SANTIAGO A SANTOS ESTRADA"/>
    <s v="CIB &amp; COMEX - FIDUCIARIA"/>
    <x v="16"/>
    <s v="GGI / CMC"/>
    <e v="#NAME?"/>
    <x v="139"/>
    <n v="0.5"/>
    <s v="QA"/>
    <s v="Distribuido"/>
    <m/>
    <e v="#NAME?"/>
    <e v="#NAME?"/>
    <e v="#NAME?"/>
    <m/>
    <m/>
    <m/>
    <m/>
    <m/>
    <m/>
    <m/>
    <m/>
    <m/>
  </r>
  <r>
    <s v="C811314"/>
    <s v="GONZALO CHAPARRO LOPEZ"/>
    <s v="ENTERPRISE"/>
    <x v="17"/>
    <s v="BBVA"/>
    <e v="#NAME?"/>
    <x v="3"/>
    <n v="0.75"/>
    <s v="Tech Manager/Líder"/>
    <s v="Distribuido"/>
    <m/>
    <e v="#NAME?"/>
    <e v="#NAME?"/>
    <e v="#NAME?"/>
    <m/>
    <m/>
    <m/>
    <m/>
    <m/>
    <m/>
    <m/>
    <m/>
    <m/>
  </r>
  <r>
    <s v="C811314"/>
    <s v="GONZALO CHAPARRO LOPEZ"/>
    <s v="ENTERPRISE"/>
    <x v="17"/>
    <s v="BBVA"/>
    <e v="#NAME?"/>
    <x v="20"/>
    <n v="0.25"/>
    <s v="Tech Manager/Líder"/>
    <s v="Distribuido"/>
    <m/>
    <e v="#NAME?"/>
    <e v="#NAME?"/>
    <e v="#NAME?"/>
    <m/>
    <m/>
    <m/>
    <m/>
    <m/>
    <m/>
    <m/>
    <m/>
    <m/>
  </r>
  <r>
    <s v="CE68481"/>
    <s v="PEREZ PAN WILLIAM STEVEN"/>
    <s v="ENTERPRISE"/>
    <x v="17"/>
    <s v="GGI / CMC"/>
    <e v="#NAME?"/>
    <x v="3"/>
    <n v="1"/>
    <s v="QA"/>
    <s v="Distribuido"/>
    <m/>
    <e v="#NAME?"/>
    <e v="#NAME?"/>
    <e v="#NAME?"/>
    <m/>
    <m/>
    <m/>
    <m/>
    <m/>
    <m/>
    <m/>
    <m/>
    <m/>
  </r>
  <r>
    <s v="T001858"/>
    <s v="AGREDO LLANTEN NESTOR RAUL"/>
    <s v="ENTERPRISE"/>
    <x v="17"/>
    <s v="Neoris"/>
    <e v="#NAME?"/>
    <x v="40"/>
    <n v="1"/>
    <s v="Desarrollador"/>
    <s v="Distribuido"/>
    <m/>
    <e v="#NAME?"/>
    <e v="#NAME?"/>
    <e v="#NAME?"/>
    <m/>
    <m/>
    <m/>
    <m/>
    <m/>
    <m/>
    <m/>
    <m/>
    <m/>
  </r>
  <r>
    <s v="CE66707"/>
    <s v="ALFONSO PUIN DANIEL FELIPE"/>
    <s v="ENTERPRISE"/>
    <x v="17"/>
    <s v="GGI / CMC"/>
    <e v="#NAME?"/>
    <x v="40"/>
    <n v="1"/>
    <s v="Desarrollador"/>
    <s v="Distribuido"/>
    <m/>
    <e v="#NAME?"/>
    <e v="#NAME?"/>
    <e v="#NAME?"/>
    <m/>
    <m/>
    <m/>
    <m/>
    <m/>
    <m/>
    <m/>
    <m/>
    <m/>
  </r>
  <r>
    <s v="C802984"/>
    <s v="ALVARADO URUETA AVELINO RAFAEL"/>
    <s v="ENTERPRISE"/>
    <x v="17"/>
    <s v="BBVA"/>
    <e v="#NAME?"/>
    <x v="3"/>
    <n v="0.5"/>
    <s v="Desarrollador"/>
    <s v="Distribuido"/>
    <m/>
    <e v="#NAME?"/>
    <e v="#NAME?"/>
    <e v="#NAME?"/>
    <m/>
    <m/>
    <m/>
    <m/>
    <m/>
    <m/>
    <m/>
    <m/>
    <m/>
  </r>
  <r>
    <s v="C802984"/>
    <s v="ALVARADO URUETA AVELINO RAFAEL"/>
    <s v="ENTERPRISE"/>
    <x v="17"/>
    <s v="BBVA"/>
    <e v="#NAME?"/>
    <x v="40"/>
    <n v="0.5"/>
    <s v="Desarrollador"/>
    <s v="Distribuido"/>
    <m/>
    <e v="#NAME?"/>
    <e v="#NAME?"/>
    <e v="#NAME?"/>
    <m/>
    <m/>
    <m/>
    <m/>
    <m/>
    <m/>
    <m/>
    <m/>
    <m/>
  </r>
  <r>
    <s v="CE30852"/>
    <s v="CAMELO MORA LADY KATHERINE"/>
    <s v="ENTERPRISE"/>
    <x v="17"/>
    <s v="GGI / CMC"/>
    <e v="#NAME?"/>
    <x v="3"/>
    <n v="1"/>
    <s v="Desarrollador"/>
    <s v="Distribuido"/>
    <m/>
    <e v="#NAME?"/>
    <e v="#NAME?"/>
    <e v="#NAME?"/>
    <m/>
    <m/>
    <m/>
    <m/>
    <m/>
    <m/>
    <m/>
    <m/>
    <m/>
  </r>
  <r>
    <s v="C804326"/>
    <s v="CARVAJAL ARRAIZ ANGELICA ALEJANDRA"/>
    <s v="ENTERPRISE"/>
    <x v="17"/>
    <s v="BBVA"/>
    <e v="#NAME?"/>
    <x v="3"/>
    <n v="0.25"/>
    <s v="Desarrollador"/>
    <s v="Distribuido"/>
    <m/>
    <e v="#NAME?"/>
    <e v="#NAME?"/>
    <e v="#NAME?"/>
    <m/>
    <m/>
    <m/>
    <m/>
    <m/>
    <m/>
    <m/>
    <m/>
    <m/>
  </r>
  <r>
    <s v="C804326"/>
    <s v="CARVAJAL ARRAIZ ANGELICA ALEJANDRA"/>
    <s v="ENTERPRISE"/>
    <x v="17"/>
    <s v="BBVA"/>
    <e v="#NAME?"/>
    <x v="40"/>
    <n v="0.75"/>
    <s v="Desarrollador"/>
    <s v="Distribuido"/>
    <m/>
    <e v="#NAME?"/>
    <e v="#NAME?"/>
    <e v="#NAME?"/>
    <m/>
    <m/>
    <m/>
    <m/>
    <m/>
    <m/>
    <m/>
    <m/>
    <m/>
  </r>
  <r>
    <s v="C811188"/>
    <s v="CASTRO PULIDO STEFANNY LIZETH"/>
    <s v="ENTERPRISE"/>
    <x v="17"/>
    <s v="BBVA"/>
    <e v="#NAME?"/>
    <x v="3"/>
    <n v="1"/>
    <s v="Otros"/>
    <s v="Distribuido"/>
    <m/>
    <e v="#NAME?"/>
    <e v="#NAME?"/>
    <e v="#NAME?"/>
    <m/>
    <m/>
    <m/>
    <m/>
    <m/>
    <m/>
    <m/>
    <m/>
    <m/>
  </r>
  <r>
    <s v="CE57157"/>
    <s v="CHAVES ANGEL JOAN NICOLAS"/>
    <s v="ENTERPRISE"/>
    <x v="17"/>
    <s v="GGI / CMC"/>
    <e v="#NAME?"/>
    <x v="3"/>
    <n v="1"/>
    <s v="Desarrollador"/>
    <s v="Distribuido"/>
    <m/>
    <e v="#NAME?"/>
    <e v="#NAME?"/>
    <e v="#NAME?"/>
    <m/>
    <m/>
    <m/>
    <m/>
    <m/>
    <m/>
    <m/>
    <m/>
    <m/>
  </r>
  <r>
    <s v="T003701"/>
    <s v="CORREA HURTADO KEVIN ALEJANDRO"/>
    <s v="ENTERPRISE"/>
    <x v="17"/>
    <s v="GGI / CMC"/>
    <e v="#NAME?"/>
    <x v="3"/>
    <n v="1"/>
    <s v="Desarrollador"/>
    <s v="Distribuido"/>
    <m/>
    <e v="#NAME?"/>
    <e v="#NAME?"/>
    <e v="#NAME?"/>
    <m/>
    <m/>
    <m/>
    <m/>
    <m/>
    <m/>
    <m/>
    <m/>
    <m/>
  </r>
  <r>
    <s v="CE64257"/>
    <s v="DIAZ SALAZAR EDILBERTO"/>
    <s v="ENTERPRISE"/>
    <x v="17"/>
    <s v="KRYPTO"/>
    <e v="#NAME?"/>
    <x v="3"/>
    <n v="1"/>
    <s v="Otros"/>
    <s v="Distribuido"/>
    <m/>
    <e v="#NAME?"/>
    <e v="#NAME?"/>
    <e v="#NAME?"/>
    <m/>
    <m/>
    <m/>
    <m/>
    <m/>
    <m/>
    <m/>
    <m/>
    <m/>
  </r>
  <r>
    <s v="C810910"/>
    <s v="OLIVOS FONSECA JONATHAN STEVEN"/>
    <s v="ENTERPRISE"/>
    <x v="17"/>
    <s v="BBVA"/>
    <e v="#NAME?"/>
    <x v="3"/>
    <n v="0.5"/>
    <s v="Desarrollador"/>
    <s v="Distribuido"/>
    <m/>
    <e v="#NAME?"/>
    <e v="#NAME?"/>
    <e v="#NAME?"/>
    <m/>
    <m/>
    <m/>
    <m/>
    <m/>
    <m/>
    <m/>
    <m/>
    <m/>
  </r>
  <r>
    <s v="C810910"/>
    <s v="OLIVOS FONSECA JONATHAN STEVEN"/>
    <s v="ENTERPRISE"/>
    <x v="17"/>
    <s v="BBVA"/>
    <e v="#NAME?"/>
    <x v="20"/>
    <n v="0.5"/>
    <s v="Desarrollador"/>
    <s v="Distribuido"/>
    <m/>
    <e v="#NAME?"/>
    <e v="#NAME?"/>
    <e v="#NAME?"/>
    <m/>
    <m/>
    <m/>
    <m/>
    <m/>
    <m/>
    <m/>
    <m/>
    <m/>
  </r>
  <r>
    <s v="T004577"/>
    <s v="PINEDA MAHECHA PABLO ENRIQUE"/>
    <s v="ENTERPRISE"/>
    <x v="17"/>
    <s v="GGI / CMC"/>
    <e v="#NAME?"/>
    <x v="3"/>
    <n v="1"/>
    <s v="Desarrollador"/>
    <s v="Distribuido"/>
    <m/>
    <e v="#NAME?"/>
    <e v="#NAME?"/>
    <e v="#NAME?"/>
    <m/>
    <m/>
    <m/>
    <m/>
    <m/>
    <m/>
    <m/>
    <m/>
    <m/>
  </r>
  <r>
    <s v="CE60509"/>
    <s v="RODRIGUEZ RIVERA ANDRES CAMILO"/>
    <s v="ENTERPRISE"/>
    <x v="17"/>
    <s v="GGI / CMC"/>
    <e v="#NAME?"/>
    <x v="95"/>
    <n v="1"/>
    <s v="Desarrollador"/>
    <s v="Distribuido"/>
    <m/>
    <e v="#NAME?"/>
    <e v="#NAME?"/>
    <e v="#NAME?"/>
    <m/>
    <m/>
    <m/>
    <m/>
    <m/>
    <m/>
    <m/>
    <m/>
    <m/>
  </r>
  <r>
    <s v="CE70171"/>
    <s v="CASALLAS LEGUIZAMON NELSON SEBASTIAN"/>
    <s v="ENTERPRISE"/>
    <x v="17"/>
    <s v="GGI / CMC"/>
    <e v="#NAME?"/>
    <x v="3"/>
    <n v="1"/>
    <s v="Desarrollador"/>
    <s v="Distribuido"/>
    <m/>
    <e v="#NAME?"/>
    <e v="#NAME?"/>
    <e v="#NAME?"/>
    <m/>
    <m/>
    <m/>
    <m/>
    <m/>
    <m/>
    <m/>
    <m/>
    <m/>
  </r>
  <r>
    <s v="C810855"/>
    <s v="PALACIO CHAVES ANDRES FELIPE"/>
    <s v="ENTERPRISE"/>
    <x v="17"/>
    <s v="BBVA"/>
    <e v="#NAME?"/>
    <x v="147"/>
    <n v="1"/>
    <s v="Desarrollador"/>
    <s v="Distribuido"/>
    <m/>
    <e v="#NAME?"/>
    <e v="#NAME?"/>
    <e v="#NAME?"/>
    <m/>
    <m/>
    <m/>
    <m/>
    <m/>
    <m/>
    <m/>
    <m/>
    <m/>
  </r>
  <r>
    <s v="C809514"/>
    <s v="MUÑOZ CEDANO LEONEL"/>
    <s v="ENTERPRISE"/>
    <x v="17"/>
    <s v="BBVA"/>
    <e v="#NAME?"/>
    <x v="15"/>
    <n v="1"/>
    <s v="Desarrollador"/>
    <s v="Distribuido"/>
    <m/>
    <e v="#NAME?"/>
    <e v="#NAME?"/>
    <e v="#NAME?"/>
    <m/>
    <m/>
    <m/>
    <m/>
    <m/>
    <m/>
    <m/>
    <m/>
    <m/>
  </r>
  <r>
    <s v="CE66043"/>
    <s v="QUINTERO GAITÁN CRISTIAN ALBERTO"/>
    <s v="ENTERPRISE"/>
    <x v="17"/>
    <s v="GGI / CMC"/>
    <e v="#NAME?"/>
    <x v="147"/>
    <n v="0.5"/>
    <s v="Desarrollador"/>
    <s v="Distribuido"/>
    <m/>
    <e v="#NAME?"/>
    <e v="#NAME?"/>
    <e v="#NAME?"/>
    <m/>
    <m/>
    <m/>
    <m/>
    <m/>
    <m/>
    <m/>
    <m/>
    <m/>
  </r>
  <r>
    <s v="CE66043"/>
    <s v="QUINTERO GAITÁN CRISTIAN ALBERTO"/>
    <s v="ENTERPRISE"/>
    <x v="17"/>
    <s v="GGI / CMC"/>
    <e v="#NAME?"/>
    <x v="131"/>
    <n v="0.5"/>
    <s v="Desarrollador"/>
    <s v="Distribuido"/>
    <m/>
    <e v="#NAME?"/>
    <e v="#NAME?"/>
    <e v="#NAME?"/>
    <m/>
    <m/>
    <m/>
    <m/>
    <m/>
    <m/>
    <m/>
    <m/>
    <m/>
  </r>
  <r>
    <s v="CE70945"/>
    <s v="PENA DIAZ EDGAR SEBASTIAN"/>
    <s v="ENTERPRISE"/>
    <x v="17"/>
    <s v="GGI / CMC"/>
    <e v="#NAME?"/>
    <x v="147"/>
    <n v="0.5"/>
    <s v="Desarrollador"/>
    <s v="Distribuido"/>
    <m/>
    <e v="#NAME?"/>
    <e v="#NAME?"/>
    <e v="#NAME?"/>
    <m/>
    <m/>
    <m/>
    <m/>
    <m/>
    <m/>
    <m/>
    <m/>
    <m/>
  </r>
  <r>
    <s v="CE70945"/>
    <s v="PENA DIAZ EDGAR SEBASTIAN"/>
    <s v="ENTERPRISE"/>
    <x v="17"/>
    <s v="GGI / CMC"/>
    <e v="#NAME?"/>
    <x v="130"/>
    <n v="0.5"/>
    <s v="Desarrollador"/>
    <s v="Cells"/>
    <m/>
    <e v="#NAME?"/>
    <e v="#NAME?"/>
    <e v="#NAME?"/>
    <m/>
    <m/>
    <m/>
    <m/>
    <m/>
    <m/>
    <m/>
    <m/>
    <m/>
  </r>
  <r>
    <s v="CE67424"/>
    <s v="JIMENEZ MUÑOZ ANA MARIA"/>
    <s v="ENTERPRISE"/>
    <x v="17"/>
    <s v="GGI / CMC"/>
    <e v="#NAME?"/>
    <x v="147"/>
    <n v="0.5"/>
    <s v="QA"/>
    <s v="Distribuido"/>
    <m/>
    <e v="#NAME?"/>
    <e v="#NAME?"/>
    <e v="#NAME?"/>
    <m/>
    <m/>
    <m/>
    <m/>
    <m/>
    <m/>
    <m/>
    <m/>
    <m/>
  </r>
  <r>
    <s v="CE67424"/>
    <s v="JIMENEZ MUÑOZ ANA MARIA"/>
    <s v="ENTERPRISE"/>
    <x v="17"/>
    <s v="GGI / CMC"/>
    <e v="#NAME?"/>
    <x v="15"/>
    <n v="0.5"/>
    <s v="QA"/>
    <s v="Distribuido"/>
    <m/>
    <e v="#NAME?"/>
    <e v="#NAME?"/>
    <e v="#NAME?"/>
    <m/>
    <m/>
    <m/>
    <m/>
    <m/>
    <m/>
    <m/>
    <m/>
    <m/>
  </r>
  <r>
    <s v="CE70844"/>
    <s v="CORONADO ALVARO FELIPE"/>
    <s v="ENTERPRISE"/>
    <x v="17"/>
    <s v="GGI / CMC"/>
    <e v="#NAME?"/>
    <x v="147"/>
    <n v="1"/>
    <s v="Desarrollador"/>
    <s v="Distribuido"/>
    <m/>
    <e v="#NAME?"/>
    <e v="#NAME?"/>
    <e v="#NAME?"/>
    <m/>
    <m/>
    <m/>
    <m/>
    <m/>
    <m/>
    <m/>
    <m/>
    <m/>
  </r>
  <r>
    <s v="CE70149"/>
    <s v="ALDANA ROJAS TIHAMER KARLOVICH"/>
    <s v="ENTERPRISE"/>
    <x v="17"/>
    <s v="GGI / CMC"/>
    <e v="#NAME?"/>
    <x v="15"/>
    <n v="1"/>
    <s v="Desarrollador"/>
    <s v="Distribuido"/>
    <m/>
    <e v="#NAME?"/>
    <e v="#NAME?"/>
    <e v="#NAME?"/>
    <m/>
    <m/>
    <m/>
    <m/>
    <m/>
    <m/>
    <m/>
    <m/>
    <m/>
  </r>
  <r>
    <s v="C811408"/>
    <s v="BENITEZ ATENCIA JAIME RAFAEL"/>
    <s v="ENTERPRISE"/>
    <x v="17"/>
    <s v="BBVA"/>
    <e v="#NAME?"/>
    <x v="130"/>
    <n v="0.5"/>
    <s v="Desarrollador"/>
    <s v="APX"/>
    <m/>
    <e v="#NAME?"/>
    <e v="#NAME?"/>
    <e v="#NAME?"/>
    <m/>
    <m/>
    <m/>
    <m/>
    <m/>
    <m/>
    <m/>
    <m/>
    <m/>
  </r>
  <r>
    <s v="C811408"/>
    <s v="BENITEZ ATENCIA JAIME RAFAEL"/>
    <s v="ENTERPRISE"/>
    <x v="17"/>
    <s v="BBVA"/>
    <e v="#NAME?"/>
    <x v="147"/>
    <n v="0.5"/>
    <s v="Desarrollador"/>
    <s v="APX"/>
    <m/>
    <e v="#NAME?"/>
    <e v="#NAME?"/>
    <e v="#NAME?"/>
    <m/>
    <m/>
    <m/>
    <m/>
    <m/>
    <m/>
    <m/>
    <m/>
    <m/>
  </r>
  <r>
    <s v="T005725"/>
    <s v="NARANJO WILMER FERNEY"/>
    <s v="ENTERPRISE"/>
    <x v="17"/>
    <s v="GGI / CMC"/>
    <e v="#NAME?"/>
    <x v="147"/>
    <n v="1"/>
    <s v="Desarrollador"/>
    <s v="APX"/>
    <m/>
    <e v="#NAME?"/>
    <e v="#NAME?"/>
    <e v="#NAME?"/>
    <m/>
    <m/>
    <m/>
    <m/>
    <m/>
    <m/>
    <m/>
    <m/>
    <m/>
  </r>
  <r>
    <s v="-"/>
    <s v="JERSON SANCHEZ"/>
    <s v="ENTERPRISE"/>
    <x v="17"/>
    <s v="GGI / CMC"/>
    <e v="#NAME?"/>
    <x v="147"/>
    <n v="1"/>
    <s v="Desarrollador"/>
    <s v="Otras Tec."/>
    <m/>
    <e v="#NAME?"/>
    <e v="#NAME?"/>
    <e v="#NAME?"/>
    <m/>
    <m/>
    <m/>
    <m/>
    <m/>
    <m/>
    <m/>
    <m/>
    <m/>
  </r>
  <r>
    <s v="CE58491"/>
    <s v="RICARDO AGUSTIN PACHON PIRAGAUTA"/>
    <s v="CIB &amp; COMEX - FIDUCIARIA"/>
    <x v="18"/>
    <s v="Inetum"/>
    <e v="#NAME?"/>
    <x v="148"/>
    <n v="0.5"/>
    <s v="Otros"/>
    <s v="Distribuido"/>
    <m/>
    <e v="#NAME?"/>
    <e v="#NAME?"/>
    <e v="#NAME?"/>
    <m/>
    <m/>
    <m/>
    <m/>
    <m/>
    <m/>
    <m/>
    <m/>
    <m/>
  </r>
  <r>
    <s v="O000083"/>
    <s v="Oscar Ivan Muñoz Alvarez"/>
    <s v="CIB &amp; COMEX - FIDUCIARIA"/>
    <x v="18"/>
    <s v="BBVA Fiduciaria"/>
    <e v="#NAME?"/>
    <x v="32"/>
    <n v="1"/>
    <s v="Otros"/>
    <s v="Distribuido"/>
    <m/>
    <e v="#NAME?"/>
    <e v="#NAME?"/>
    <e v="#NAME?"/>
    <m/>
    <m/>
    <m/>
    <m/>
    <m/>
    <m/>
    <m/>
    <m/>
    <m/>
  </r>
  <r>
    <s v="CI35435"/>
    <s v="Soraida Cujavante Sierra"/>
    <s v="CIB &amp; COMEX - FIDUCIARIA"/>
    <x v="18"/>
    <s v="BBVA Fiduciaria"/>
    <e v="#NAME?"/>
    <x v="3"/>
    <n v="0.75"/>
    <s v="Otros"/>
    <s v="Distribuido"/>
    <m/>
    <e v="#NAME?"/>
    <e v="#NAME?"/>
    <e v="#NAME?"/>
    <m/>
    <m/>
    <m/>
    <m/>
    <m/>
    <m/>
    <m/>
    <m/>
    <m/>
  </r>
  <r>
    <s v="CI35407"/>
    <s v="Elkin David Fuentes Rodríguez"/>
    <s v="CIB &amp; COMEX - FIDUCIARIA"/>
    <x v="18"/>
    <s v="BBVA Fiduciaria"/>
    <e v="#NAME?"/>
    <x v="3"/>
    <n v="0.75"/>
    <s v="Otros"/>
    <s v="Distribuido"/>
    <m/>
    <e v="#NAME?"/>
    <e v="#NAME?"/>
    <e v="#NAME?"/>
    <m/>
    <m/>
    <m/>
    <m/>
    <m/>
    <m/>
    <m/>
    <m/>
    <m/>
  </r>
  <r>
    <s v="CI01204"/>
    <s v="Celso Hernández Torres"/>
    <s v="CIB &amp; COMEX - FIDUCIARIA"/>
    <x v="18"/>
    <s v="BBVA Fiduciaria"/>
    <e v="#NAME?"/>
    <x v="3"/>
    <n v="0.75"/>
    <s v="Tech Manager/Líder"/>
    <s v="Distribuido"/>
    <m/>
    <e v="#NAME?"/>
    <e v="#NAME?"/>
    <e v="#NAME?"/>
    <m/>
    <m/>
    <m/>
    <m/>
    <m/>
    <m/>
    <m/>
    <m/>
    <m/>
  </r>
  <r>
    <s v="CI01204"/>
    <s v="Celso Hernández Torres"/>
    <s v="CIB &amp; COMEX - FIDUCIARIA"/>
    <x v="18"/>
    <s v="BBVA Fiduciaria"/>
    <e v="#NAME?"/>
    <x v="149"/>
    <n v="0.25"/>
    <s v="Tech Manager/Líder"/>
    <s v="Distribuido"/>
    <m/>
    <e v="#NAME?"/>
    <e v="#NAME?"/>
    <e v="#NAME?"/>
    <m/>
    <m/>
    <m/>
    <m/>
    <m/>
    <m/>
    <m/>
    <m/>
    <m/>
  </r>
  <r>
    <s v="CI35375"/>
    <s v="Luis Rodrigo Ulloa Marin"/>
    <s v="CIB &amp; COMEX - FIDUCIARIA"/>
    <x v="18"/>
    <s v="BBVA Fiduciaria"/>
    <e v="#NAME?"/>
    <x v="148"/>
    <n v="0.25"/>
    <s v="Tech Manager/Líder"/>
    <s v="Distribuido"/>
    <m/>
    <e v="#NAME?"/>
    <e v="#NAME?"/>
    <e v="#NAME?"/>
    <m/>
    <m/>
    <m/>
    <m/>
    <m/>
    <m/>
    <m/>
    <m/>
    <m/>
  </r>
  <r>
    <s v="CI35375"/>
    <s v="Luis Rodrigo Ulloa Marin"/>
    <s v="CIB &amp; COMEX - FIDUCIARIA"/>
    <x v="18"/>
    <s v="BBVA Fiduciaria"/>
    <e v="#NAME?"/>
    <x v="3"/>
    <n v="0.25"/>
    <s v="Tech Manager/Líder"/>
    <s v="Distribuido"/>
    <m/>
    <e v="#NAME?"/>
    <e v="#NAME?"/>
    <e v="#NAME?"/>
    <m/>
    <m/>
    <m/>
    <m/>
    <m/>
    <m/>
    <m/>
    <m/>
    <m/>
  </r>
  <r>
    <s v="CI35407"/>
    <s v="Elkin David Fuentes Rodríguez"/>
    <s v="CIB &amp; COMEX - FIDUCIARIA"/>
    <x v="18"/>
    <s v="BBVA Fiduciaria"/>
    <e v="#NAME?"/>
    <x v="150"/>
    <n v="0.25"/>
    <s v="Otros"/>
    <s v="Distribuido"/>
    <m/>
    <e v="#NAME?"/>
    <e v="#NAME?"/>
    <e v="#NAME?"/>
    <m/>
    <m/>
    <m/>
    <m/>
    <m/>
    <m/>
    <m/>
    <m/>
    <m/>
  </r>
  <r>
    <s v="CI35435"/>
    <s v="Soraida Cujavante Sierra"/>
    <s v="CIB &amp; COMEX - FIDUCIARIA"/>
    <x v="18"/>
    <s v="BBVA Fiduciaria"/>
    <e v="#NAME?"/>
    <x v="151"/>
    <n v="0.25"/>
    <s v="Otros"/>
    <s v="Distribuido"/>
    <m/>
    <e v="#NAME?"/>
    <e v="#NAME?"/>
    <e v="#NAME?"/>
    <m/>
    <m/>
    <m/>
    <m/>
    <m/>
    <m/>
    <m/>
    <m/>
    <m/>
  </r>
  <r>
    <s v="T011273"/>
    <s v="Brenda Liliana Sepúlveda Vega"/>
    <s v="CIB &amp; COMEX - FIDUCIARIA"/>
    <x v="18"/>
    <s v="BBVA Fiduciaria"/>
    <e v="#NAME?"/>
    <x v="151"/>
    <n v="1"/>
    <s v="Otros"/>
    <s v="Distribuido"/>
    <m/>
    <e v="#NAME?"/>
    <e v="#NAME?"/>
    <e v="#NAME?"/>
    <m/>
    <m/>
    <m/>
    <m/>
    <m/>
    <m/>
    <m/>
    <m/>
    <m/>
  </r>
  <r>
    <s v="CI35406"/>
    <s v="Jenny Martinez Lopez"/>
    <s v="CIB &amp; COMEX - FIDUCIARIA"/>
    <x v="18"/>
    <s v="BBVA Fiduciaria"/>
    <e v="#NAME?"/>
    <x v="152"/>
    <n v="0.25"/>
    <s v="Tech Manager/Líder"/>
    <s v="Distribuido"/>
    <m/>
    <e v="#NAME?"/>
    <e v="#NAME?"/>
    <e v="#NAME?"/>
    <m/>
    <m/>
    <m/>
    <m/>
    <m/>
    <m/>
    <m/>
    <m/>
    <m/>
  </r>
  <r>
    <s v="CI35406"/>
    <s v="Jenny Martinez Lopez"/>
    <s v="CIB &amp; COMEX - FIDUCIARIA"/>
    <x v="18"/>
    <s v="BBVA Fiduciaria"/>
    <e v="#NAME?"/>
    <x v="3"/>
    <n v="0.75"/>
    <s v="Otros"/>
    <s v="Distribuido"/>
    <m/>
    <e v="#NAME?"/>
    <e v="#NAME?"/>
    <e v="#NAME?"/>
    <m/>
    <m/>
    <m/>
    <m/>
    <m/>
    <m/>
    <m/>
    <m/>
    <m/>
  </r>
  <r>
    <s v="CI35202"/>
    <s v="Hugo Ferney Prieto Posso"/>
    <s v="CIB &amp; COMEX - FIDUCIARIA"/>
    <x v="18"/>
    <s v="BBVA Fiduciaria"/>
    <e v="#NAME?"/>
    <x v="3"/>
    <n v="1"/>
    <s v="Otros"/>
    <s v="Distribuido"/>
    <m/>
    <e v="#NAME?"/>
    <e v="#NAME?"/>
    <e v="#NAME?"/>
    <m/>
    <m/>
    <m/>
    <m/>
    <m/>
    <m/>
    <m/>
    <m/>
    <m/>
  </r>
  <r>
    <s v="CI35375"/>
    <s v="Luis Rodrigo Ulloa Marin"/>
    <s v="CIB &amp; COMEX - FIDUCIARIA"/>
    <x v="18"/>
    <s v="BBVA Fiduciaria"/>
    <e v="#NAME?"/>
    <x v="153"/>
    <n v="0.16"/>
    <s v="Tech Manager/Líder"/>
    <s v="Distribuido"/>
    <m/>
    <e v="#NAME?"/>
    <e v="#NAME?"/>
    <e v="#NAME?"/>
    <m/>
    <m/>
    <m/>
    <m/>
    <m/>
    <m/>
    <m/>
    <m/>
    <m/>
  </r>
  <r>
    <s v="CE68033"/>
    <s v="Donoban Ricardo Figueredo Piragauta"/>
    <s v="CIB &amp; COMEX - FIDUCIARIA"/>
    <x v="18"/>
    <s v="BBVA Fiduciaria"/>
    <e v="#NAME?"/>
    <x v="3"/>
    <n v="1"/>
    <s v="QA"/>
    <s v="Distribuido"/>
    <m/>
    <e v="#NAME?"/>
    <e v="#NAME?"/>
    <e v="#NAME?"/>
    <m/>
    <m/>
    <m/>
    <m/>
    <m/>
    <m/>
    <m/>
    <m/>
    <m/>
  </r>
  <r>
    <s v="CE58491"/>
    <s v="RICARDO AGUSTIN PACHON PIRAGAUTA"/>
    <s v="CIB &amp; COMEX - FIDUCIARIA"/>
    <x v="18"/>
    <s v="Inetum"/>
    <e v="#NAME?"/>
    <x v="3"/>
    <n v="0.5"/>
    <s v="Otros"/>
    <m/>
    <m/>
    <e v="#NAME?"/>
    <e v="#NAME?"/>
    <e v="#NAME?"/>
    <m/>
    <m/>
    <m/>
    <m/>
    <m/>
    <m/>
    <m/>
    <m/>
    <m/>
  </r>
  <r>
    <s v="O001341"/>
    <s v="JOHN FREDDY JIMENEZ"/>
    <s v="RETAIL"/>
    <x v="19"/>
    <s v="BBVA"/>
    <e v="#NAME?"/>
    <x v="154"/>
    <n v="0.25"/>
    <s v="Tech Manager/Líder"/>
    <s v="Mainframe"/>
    <s v="BlueSpring"/>
    <e v="#NAME?"/>
    <e v="#NAME?"/>
    <e v="#NAME?"/>
    <m/>
    <m/>
    <m/>
    <n v="3"/>
    <n v="15"/>
    <m/>
    <m/>
    <m/>
    <m/>
  </r>
  <r>
    <s v="O001341"/>
    <s v="JOHN FREDDY JIMENEZ"/>
    <s v="RETAIL"/>
    <x v="19"/>
    <s v="BBVA"/>
    <e v="#NAME?"/>
    <x v="155"/>
    <n v="0.3"/>
    <s v="Tech Manager/Líder"/>
    <s v="Cells"/>
    <s v="ASO , APX"/>
    <e v="#NAME?"/>
    <e v="#NAME?"/>
    <e v="#NAME?"/>
    <m/>
    <m/>
    <m/>
    <n v="3"/>
    <n v="11"/>
    <m/>
    <m/>
    <m/>
    <m/>
  </r>
  <r>
    <s v="O001341"/>
    <s v="JOHN FREDDY JIMENEZ"/>
    <s v="RETAIL"/>
    <x v="19"/>
    <s v="BBVA"/>
    <e v="#NAME?"/>
    <x v="156"/>
    <n v="0.3"/>
    <s v="Tech Manager/Líder"/>
    <s v="Cells"/>
    <s v="ASO , APX"/>
    <e v="#NAME?"/>
    <e v="#NAME?"/>
    <e v="#NAME?"/>
    <m/>
    <m/>
    <m/>
    <n v="1"/>
    <n v="12"/>
    <m/>
    <m/>
    <m/>
    <m/>
  </r>
  <r>
    <s v="O001341"/>
    <s v="JOHN FREDDY JIMENEZ"/>
    <s v="RETAIL"/>
    <x v="19"/>
    <s v="BBVA"/>
    <e v="#NAME?"/>
    <x v="3"/>
    <n v="0.1"/>
    <s v="Tech Manager/Líder"/>
    <s v="Mainframe"/>
    <s v="BlueSpring"/>
    <e v="#NAME?"/>
    <e v="#NAME?"/>
    <e v="#NAME?"/>
    <m/>
    <m/>
    <m/>
    <m/>
    <m/>
    <m/>
    <m/>
    <m/>
    <m/>
  </r>
  <r>
    <s v="C805963"/>
    <s v="GORGETH MOSCARELLA MARTÍNEZ"/>
    <s v="RETAIL"/>
    <x v="19"/>
    <s v="BBVA"/>
    <e v="#NAME?"/>
    <x v="154"/>
    <n v="1"/>
    <s v="Desarrollador"/>
    <s v="Mainframe"/>
    <m/>
    <e v="#NAME?"/>
    <e v="#NAME?"/>
    <e v="#NAME?"/>
    <m/>
    <m/>
    <m/>
    <m/>
    <m/>
    <m/>
    <m/>
    <m/>
    <m/>
  </r>
  <r>
    <s v="C805996"/>
    <s v="DANIEL ORLANDO GARZON"/>
    <s v="RETAIL"/>
    <x v="19"/>
    <s v="BBVA"/>
    <e v="#NAME?"/>
    <x v="155"/>
    <n v="1"/>
    <s v="Desarrollador"/>
    <s v="Mainframe"/>
    <m/>
    <e v="#NAME?"/>
    <e v="#NAME?"/>
    <e v="#NAME?"/>
    <m/>
    <m/>
    <m/>
    <m/>
    <m/>
    <m/>
    <m/>
    <m/>
    <m/>
  </r>
  <r>
    <s v="C810813"/>
    <s v="RUBIANO MARIN WILLIAM EDUARDO"/>
    <s v="RETAIL"/>
    <x v="19"/>
    <s v="BBVA"/>
    <e v="#NAME?"/>
    <x v="154"/>
    <n v="0.8"/>
    <s v="Desarrollador"/>
    <s v="ASO"/>
    <m/>
    <e v="#NAME?"/>
    <e v="#NAME?"/>
    <e v="#NAME?"/>
    <m/>
    <m/>
    <m/>
    <m/>
    <m/>
    <m/>
    <m/>
    <m/>
    <m/>
  </r>
  <r>
    <s v="C810813"/>
    <s v="RUBIANO MARIN WILLIAM EDUARDO"/>
    <s v="RETAIL"/>
    <x v="19"/>
    <s v="BBVA"/>
    <e v="#NAME?"/>
    <x v="3"/>
    <n v="0.2"/>
    <s v="Desarrollador"/>
    <s v="ASO"/>
    <m/>
    <e v="#NAME?"/>
    <e v="#NAME?"/>
    <e v="#NAME?"/>
    <m/>
    <m/>
    <m/>
    <m/>
    <m/>
    <m/>
    <m/>
    <m/>
    <m/>
  </r>
  <r>
    <s v="C341736"/>
    <s v="GUEVARA CASTRO JUAN ANDRES"/>
    <s v="RETAIL"/>
    <x v="19"/>
    <s v="BBVA"/>
    <e v="#NAME?"/>
    <x v="154"/>
    <n v="0.8"/>
    <s v="Desarrollador"/>
    <s v="Mainframe"/>
    <m/>
    <e v="#NAME?"/>
    <e v="#NAME?"/>
    <e v="#NAME?"/>
    <m/>
    <m/>
    <m/>
    <m/>
    <m/>
    <m/>
    <m/>
    <m/>
    <m/>
  </r>
  <r>
    <s v="C341736"/>
    <s v="GUEVARA CASTRO JUAN ANDRES"/>
    <s v="RETAIL"/>
    <x v="19"/>
    <s v="BBVA"/>
    <e v="#NAME?"/>
    <x v="3"/>
    <n v="0.2"/>
    <s v="Desarrollador"/>
    <s v="Mainframe"/>
    <m/>
    <e v="#NAME?"/>
    <e v="#NAME?"/>
    <e v="#NAME?"/>
    <m/>
    <m/>
    <m/>
    <m/>
    <m/>
    <m/>
    <m/>
    <m/>
    <m/>
  </r>
  <r>
    <s v="CE69608"/>
    <s v="JULIETH ALEJANDRA BERMUDEZ BERNAL"/>
    <s v="RETAIL"/>
    <x v="19"/>
    <s v="Choucair"/>
    <e v="#NAME?"/>
    <x v="154"/>
    <n v="0.8"/>
    <s v="QA"/>
    <s v="Distribuido"/>
    <m/>
    <e v="#NAME?"/>
    <e v="#NAME?"/>
    <e v="#NAME?"/>
    <m/>
    <m/>
    <m/>
    <m/>
    <m/>
    <m/>
    <m/>
    <m/>
    <m/>
  </r>
  <r>
    <s v="T007662"/>
    <s v="ADRIANA MARCELA RODRIGUEZ"/>
    <s v="RETAIL"/>
    <x v="19"/>
    <s v="Neoris"/>
    <e v="#NAME?"/>
    <x v="154"/>
    <n v="0.5"/>
    <s v="Tech Manager/Líder"/>
    <s v="Distribuido"/>
    <m/>
    <e v="#NAME?"/>
    <e v="#NAME?"/>
    <e v="#NAME?"/>
    <m/>
    <m/>
    <m/>
    <m/>
    <m/>
    <m/>
    <m/>
    <m/>
    <m/>
  </r>
  <r>
    <s v="T007663"/>
    <s v="ANDRES ALBERTO SAENZ CORDERO"/>
    <s v="RETAIL"/>
    <x v="19"/>
    <s v="Neoris"/>
    <e v="#NAME?"/>
    <x v="154"/>
    <n v="1"/>
    <s v="Desarrollador"/>
    <s v="Distribuido"/>
    <m/>
    <e v="#NAME?"/>
    <e v="#NAME?"/>
    <e v="#NAME?"/>
    <m/>
    <m/>
    <m/>
    <m/>
    <m/>
    <m/>
    <m/>
    <m/>
    <m/>
  </r>
  <r>
    <s v="CE71171"/>
    <s v="DIANA MARCELA MORENO ORTIZ"/>
    <s v="RETAIL"/>
    <x v="19"/>
    <s v="Neoris"/>
    <e v="#NAME?"/>
    <x v="154"/>
    <n v="1"/>
    <s v="Desarrollador"/>
    <s v="Distribuido"/>
    <m/>
    <e v="#NAME?"/>
    <e v="#NAME?"/>
    <e v="#NAME?"/>
    <m/>
    <m/>
    <m/>
    <m/>
    <m/>
    <m/>
    <m/>
    <m/>
    <m/>
  </r>
  <r>
    <s v="T002801"/>
    <s v="DAVID GONZALO LARA DIAZ"/>
    <s v="RETAIL"/>
    <x v="19"/>
    <s v="Neoris"/>
    <e v="#NAME?"/>
    <x v="154"/>
    <n v="1"/>
    <s v="Desarrollador"/>
    <s v="Distribuido"/>
    <m/>
    <e v="#NAME?"/>
    <e v="#NAME?"/>
    <e v="#NAME?"/>
    <m/>
    <m/>
    <m/>
    <m/>
    <m/>
    <m/>
    <m/>
    <m/>
    <m/>
  </r>
  <r>
    <s v="CE57066"/>
    <s v="LUIS EDIER BERMUDEZ RIOS"/>
    <s v="RETAIL"/>
    <x v="19"/>
    <s v="Neoris"/>
    <e v="#NAME?"/>
    <x v="154"/>
    <n v="1"/>
    <s v="Desarrollador"/>
    <s v="Distribuido"/>
    <m/>
    <e v="#NAME?"/>
    <e v="#NAME?"/>
    <e v="#NAME?"/>
    <m/>
    <m/>
    <m/>
    <m/>
    <m/>
    <m/>
    <m/>
    <m/>
    <m/>
  </r>
  <r>
    <s v="T002010"/>
    <s v="SAIR GIOVANNY GARCIA BEJARANO"/>
    <s v="RETAIL"/>
    <x v="19"/>
    <s v="Neoris"/>
    <e v="#NAME?"/>
    <x v="154"/>
    <n v="1"/>
    <s v="Desarrollador"/>
    <s v="Distribuido"/>
    <m/>
    <e v="#NAME?"/>
    <e v="#NAME?"/>
    <e v="#NAME?"/>
    <m/>
    <m/>
    <m/>
    <m/>
    <m/>
    <m/>
    <m/>
    <m/>
    <m/>
  </r>
  <r>
    <s v="NO TIENE"/>
    <s v="JAIR ERNESTO CABRA MENJURA-REEMPLAZO THALIA"/>
    <s v="RETAIL"/>
    <x v="19"/>
    <s v="Neoris"/>
    <e v="#NAME?"/>
    <x v="154"/>
    <n v="1"/>
    <s v="Desarrollador"/>
    <s v="Distribuido"/>
    <m/>
    <e v="#NAME?"/>
    <e v="#NAME?"/>
    <e v="#NAME?"/>
    <m/>
    <m/>
    <m/>
    <m/>
    <m/>
    <m/>
    <m/>
    <m/>
    <m/>
  </r>
  <r>
    <s v="T008182"/>
    <s v="ALEXANDRA BARBARA QUINDE DIAZ"/>
    <s v="RETAIL"/>
    <x v="19"/>
    <s v="Neoris"/>
    <e v="#NAME?"/>
    <x v="154"/>
    <n v="1"/>
    <s v="Desarrollador"/>
    <s v="Distribuido"/>
    <m/>
    <e v="#NAME?"/>
    <e v="#NAME?"/>
    <e v="#NAME?"/>
    <m/>
    <m/>
    <m/>
    <m/>
    <m/>
    <m/>
    <m/>
    <m/>
    <m/>
  </r>
  <r>
    <s v="T008150"/>
    <s v="BRIGGTTE ALMENDRA BARBOZA NIETO"/>
    <s v="RETAIL"/>
    <x v="19"/>
    <s v="Neoris"/>
    <e v="#NAME?"/>
    <x v="154"/>
    <n v="1"/>
    <s v="Desarrollador"/>
    <s v="Distribuido"/>
    <m/>
    <e v="#NAME?"/>
    <e v="#NAME?"/>
    <e v="#NAME?"/>
    <m/>
    <m/>
    <m/>
    <m/>
    <m/>
    <m/>
    <m/>
    <m/>
    <m/>
  </r>
  <r>
    <s v="T008176"/>
    <s v="IRWIN WALTER ACOSTA CHAVARRI"/>
    <s v="RETAIL"/>
    <x v="19"/>
    <s v="Neoris"/>
    <e v="#NAME?"/>
    <x v="154"/>
    <n v="1"/>
    <s v="Desarrollador"/>
    <s v="Distribuido"/>
    <m/>
    <e v="#NAME?"/>
    <e v="#NAME?"/>
    <e v="#NAME?"/>
    <m/>
    <m/>
    <m/>
    <m/>
    <m/>
    <m/>
    <m/>
    <m/>
    <m/>
  </r>
  <r>
    <s v="O000191"/>
    <s v="YELITZA ANDREA BOHORQUEZ BEDOYA"/>
    <s v="RETAIL"/>
    <x v="19"/>
    <s v="BBVA"/>
    <e v="#NAME?"/>
    <x v="155"/>
    <n v="1"/>
    <s v="Desarrollador"/>
    <s v="Mainframe"/>
    <m/>
    <e v="#NAME?"/>
    <e v="#NAME?"/>
    <e v="#NAME?"/>
    <m/>
    <m/>
    <m/>
    <m/>
    <m/>
    <m/>
    <m/>
    <m/>
    <m/>
  </r>
  <r>
    <s v="O002496"/>
    <s v="JESUS HUMBERTO MORENO ROJAS"/>
    <s v="RETAIL"/>
    <x v="19"/>
    <s v="BBVA"/>
    <e v="#NAME?"/>
    <x v="155"/>
    <n v="0.95"/>
    <s v="Desarrollador"/>
    <s v="Distribuido"/>
    <m/>
    <e v="#NAME?"/>
    <e v="#NAME?"/>
    <e v="#NAME?"/>
    <m/>
    <m/>
    <m/>
    <m/>
    <m/>
    <m/>
    <m/>
    <m/>
    <m/>
  </r>
  <r>
    <s v="CE69969"/>
    <s v="GUISELL DAYAN DIAZ BLANCO"/>
    <s v="RETAIL"/>
    <x v="19"/>
    <s v="Choucair"/>
    <e v="#NAME?"/>
    <x v="155"/>
    <n v="1"/>
    <s v="QA"/>
    <s v="Distribuido"/>
    <m/>
    <e v="#NAME?"/>
    <e v="#NAME?"/>
    <e v="#NAME?"/>
    <m/>
    <m/>
    <m/>
    <m/>
    <m/>
    <m/>
    <m/>
    <m/>
    <m/>
  </r>
  <r>
    <s v="CE47376"/>
    <s v="RUBEN DARIO DIAZ"/>
    <s v="RETAIL"/>
    <x v="19"/>
    <s v="Neoris"/>
    <e v="#NAME?"/>
    <x v="155"/>
    <n v="1"/>
    <s v="Desarrollador"/>
    <s v="Mainframe"/>
    <m/>
    <e v="#NAME?"/>
    <e v="#NAME?"/>
    <e v="#NAME?"/>
    <m/>
    <m/>
    <m/>
    <m/>
    <m/>
    <m/>
    <m/>
    <m/>
    <m/>
  </r>
  <r>
    <s v="CE66885"/>
    <s v="ADRIÁN RICARDO ROJAS VILLEGAS"/>
    <s v="RETAIL"/>
    <x v="19"/>
    <s v="Meraki"/>
    <e v="#NAME?"/>
    <x v="155"/>
    <n v="1"/>
    <s v="Desarrollador"/>
    <s v="Mainframe"/>
    <m/>
    <e v="#NAME?"/>
    <e v="#NAME?"/>
    <e v="#NAME?"/>
    <m/>
    <m/>
    <m/>
    <m/>
    <m/>
    <m/>
    <m/>
    <m/>
    <m/>
  </r>
  <r>
    <s v="CE66884"/>
    <s v="FRANK NICOLAS HERRAN"/>
    <s v="RETAIL"/>
    <x v="19"/>
    <s v="Meraki"/>
    <e v="#NAME?"/>
    <x v="155"/>
    <n v="1"/>
    <s v="Desarrollador"/>
    <s v="Mainframe"/>
    <m/>
    <e v="#NAME?"/>
    <e v="#NAME?"/>
    <e v="#NAME?"/>
    <m/>
    <m/>
    <m/>
    <m/>
    <m/>
    <m/>
    <m/>
    <m/>
    <m/>
  </r>
  <r>
    <s v="O001657"/>
    <s v="DUVAN ALEJANDRO RAMIREZ ROMERO"/>
    <s v="RETAIL"/>
    <x v="19"/>
    <s v="BBVA"/>
    <e v="#NAME?"/>
    <x v="156"/>
    <n v="1"/>
    <s v="Desarrollador"/>
    <s v="ASO"/>
    <m/>
    <e v="#NAME?"/>
    <e v="#NAME?"/>
    <e v="#NAME?"/>
    <m/>
    <m/>
    <m/>
    <m/>
    <m/>
    <m/>
    <m/>
    <m/>
    <m/>
  </r>
  <r>
    <s v="O002419"/>
    <s v="JONATHAN GARZON PEÑA"/>
    <s v="RETAIL"/>
    <x v="19"/>
    <s v="BBVA"/>
    <e v="#NAME?"/>
    <x v="156"/>
    <n v="1"/>
    <s v="Desarrollador"/>
    <s v="Distribuido"/>
    <m/>
    <e v="#NAME?"/>
    <e v="#NAME?"/>
    <e v="#NAME?"/>
    <m/>
    <m/>
    <m/>
    <m/>
    <m/>
    <m/>
    <m/>
    <m/>
    <m/>
  </r>
  <r>
    <s v="O001733"/>
    <s v="JUAN MANUEL FRAILE ROJAS"/>
    <s v="RETAIL"/>
    <x v="19"/>
    <s v="BBVA"/>
    <e v="#NAME?"/>
    <x v="156"/>
    <n v="1"/>
    <s v="Desarrollador"/>
    <s v="Distribuido"/>
    <m/>
    <e v="#NAME?"/>
    <e v="#NAME?"/>
    <e v="#NAME?"/>
    <m/>
    <m/>
    <m/>
    <m/>
    <m/>
    <m/>
    <m/>
    <m/>
    <m/>
  </r>
  <r>
    <s v="CE68404"/>
    <s v="JORGE ARMANDO YANQUEN"/>
    <s v="RETAIL"/>
    <x v="19"/>
    <s v="Choucair"/>
    <e v="#NAME?"/>
    <x v="156"/>
    <n v="1"/>
    <s v="QA"/>
    <s v="Otras Tec."/>
    <m/>
    <e v="#NAME?"/>
    <e v="#NAME?"/>
    <e v="#NAME?"/>
    <m/>
    <m/>
    <m/>
    <m/>
    <m/>
    <m/>
    <m/>
    <m/>
    <m/>
  </r>
  <r>
    <s v="O001341"/>
    <s v="JOHN FREDDY JIMENEZ"/>
    <s v="RETAIL"/>
    <x v="19"/>
    <s v="BBVA"/>
    <e v="#NAME?"/>
    <x v="86"/>
    <n v="0.05"/>
    <s v="Tech Manager/Líder"/>
    <s v="Distribuido"/>
    <m/>
    <e v="#NAME?"/>
    <e v="#NAME?"/>
    <e v="#NAME?"/>
    <m/>
    <m/>
    <m/>
    <m/>
    <m/>
    <m/>
    <m/>
    <m/>
    <m/>
  </r>
  <r>
    <s v="CE69608"/>
    <s v="JULIETH ALEJANDRA BERMUDEZ BERNAL"/>
    <s v="RETAIL"/>
    <x v="19"/>
    <s v="Choucair"/>
    <e v="#NAME?"/>
    <x v="86"/>
    <n v="0.2"/>
    <s v="QA"/>
    <s v="Distribuido"/>
    <s v="BlueSpring"/>
    <e v="#NAME?"/>
    <e v="#NAME?"/>
    <e v="#NAME?"/>
    <m/>
    <m/>
    <m/>
    <m/>
    <m/>
    <m/>
    <m/>
    <m/>
    <m/>
  </r>
  <r>
    <s v="O002496"/>
    <s v="JESUS HUMBERTO MORENO ROJAS"/>
    <s v="RETAIL"/>
    <x v="19"/>
    <s v="BBVA"/>
    <e v="#NAME?"/>
    <x v="86"/>
    <n v="0.05"/>
    <s v="Desarrollador"/>
    <s v="Distribuido"/>
    <s v="BlueSpring"/>
    <e v="#NAME?"/>
    <e v="#NAME?"/>
    <e v="#NAME?"/>
    <m/>
    <m/>
    <m/>
    <m/>
    <m/>
    <m/>
    <m/>
    <m/>
    <m/>
  </r>
  <r>
    <s v="CE69858"/>
    <s v="JULIÁN DAVID CASTAÑEDA"/>
    <s v="RETAIL"/>
    <x v="19"/>
    <s v="Meraki"/>
    <e v="#NAME?"/>
    <x v="86"/>
    <n v="1"/>
    <s v="Desarrollador"/>
    <s v="ASO"/>
    <s v="BlueSpring"/>
    <e v="#NAME?"/>
    <e v="#NAME?"/>
    <e v="#NAME?"/>
    <m/>
    <m/>
    <m/>
    <m/>
    <m/>
    <m/>
    <m/>
    <m/>
    <m/>
  </r>
  <r>
    <s v="CE52470"/>
    <s v="Diego Elejalde Cifuentes"/>
    <s v="RETAIL"/>
    <x v="19"/>
    <s v="SII"/>
    <e v="#NAME?"/>
    <x v="155"/>
    <n v="1"/>
    <s v="Desarrollador"/>
    <s v="Mainframe"/>
    <m/>
    <e v="#NAME?"/>
    <e v="#NAME?"/>
    <e v="#NAME?"/>
    <m/>
    <m/>
    <m/>
    <m/>
    <m/>
    <m/>
    <m/>
    <m/>
    <m/>
  </r>
  <r>
    <s v="CE51863"/>
    <s v="EDNA ROCIO MONCADA"/>
    <s v="RETAIL"/>
    <x v="19"/>
    <s v="KRYPTO"/>
    <e v="#NAME?"/>
    <x v="155"/>
    <n v="0.02"/>
    <s v="QA"/>
    <s v="Distribuido"/>
    <m/>
    <e v="#NAME?"/>
    <e v="#NAME?"/>
    <e v="#NAME?"/>
    <m/>
    <m/>
    <m/>
    <n v="2"/>
    <n v="2"/>
    <m/>
    <m/>
    <m/>
    <m/>
  </r>
  <r>
    <s v="CE51863"/>
    <s v="EDNA ROCIO MONCADA"/>
    <s v="RETAIL"/>
    <x v="19"/>
    <s v="KRYPTO"/>
    <e v="#NAME?"/>
    <x v="156"/>
    <n v="0.02"/>
    <s v="QA"/>
    <s v="Distribuido"/>
    <m/>
    <e v="#NAME?"/>
    <e v="#NAME?"/>
    <e v="#NAME?"/>
    <m/>
    <m/>
    <m/>
    <n v="2"/>
    <n v="2"/>
    <m/>
    <m/>
    <m/>
    <m/>
  </r>
  <r>
    <s v="CE51863"/>
    <s v="EDNA ROCIO MONCADA"/>
    <s v="RETAIL"/>
    <x v="19"/>
    <s v="KRYPTO"/>
    <e v="#NAME?"/>
    <x v="154"/>
    <n v="0.02"/>
    <s v="QA"/>
    <s v="Distribuido"/>
    <m/>
    <e v="#NAME?"/>
    <e v="#NAME?"/>
    <e v="#NAME?"/>
    <m/>
    <m/>
    <m/>
    <n v="2"/>
    <n v="2"/>
    <m/>
    <m/>
    <m/>
    <m/>
  </r>
  <r>
    <s v="CE51863"/>
    <s v="EDNA ROCIO MONCADA"/>
    <s v="RETAIL"/>
    <x v="19"/>
    <s v="KRYPTO"/>
    <e v="#NAME?"/>
    <x v="3"/>
    <n v="0.02"/>
    <s v="QA"/>
    <s v="Distribuido"/>
    <m/>
    <e v="#NAME?"/>
    <e v="#NAME?"/>
    <e v="#NAME?"/>
    <m/>
    <m/>
    <m/>
    <n v="2"/>
    <n v="2"/>
    <m/>
    <m/>
    <m/>
    <m/>
  </r>
  <r>
    <s v="CE51863"/>
    <s v="EDNA ROCIO MONCADA"/>
    <s v="RETAIL"/>
    <x v="20"/>
    <s v="KRYPTO"/>
    <e v="#NAME?"/>
    <x v="3"/>
    <n v="0.02"/>
    <s v="QA"/>
    <s v="Distribuido"/>
    <m/>
    <e v="#NAME?"/>
    <e v="#NAME?"/>
    <e v="#NAME?"/>
    <m/>
    <m/>
    <m/>
    <n v="2"/>
    <n v="2"/>
    <m/>
    <m/>
    <m/>
    <m/>
  </r>
  <r>
    <s v="CE51863"/>
    <s v="EDNA ROCIO MONCADA"/>
    <s v="RETAIL"/>
    <x v="20"/>
    <s v="KRYPTO"/>
    <e v="#NAME?"/>
    <x v="146"/>
    <n v="0.02"/>
    <s v="QA"/>
    <s v="Otras Tec."/>
    <m/>
    <e v="#NAME?"/>
    <e v="#NAME?"/>
    <e v="#NAME?"/>
    <m/>
    <m/>
    <m/>
    <n v="1"/>
    <n v="1"/>
    <m/>
    <m/>
    <m/>
    <m/>
  </r>
  <r>
    <s v="CE51863"/>
    <s v="EDNA ROCIO MONCADA"/>
    <s v="RETAIL"/>
    <x v="20"/>
    <s v="KRYPTO"/>
    <e v="#NAME?"/>
    <x v="157"/>
    <n v="0.02"/>
    <s v="QA"/>
    <s v="Otras Tec."/>
    <m/>
    <e v="#NAME?"/>
    <e v="#NAME?"/>
    <e v="#NAME?"/>
    <m/>
    <m/>
    <m/>
    <n v="1"/>
    <n v="1"/>
    <m/>
    <m/>
    <m/>
    <m/>
  </r>
  <r>
    <s v="CE51863"/>
    <s v="EDNA ROCIO MONCADA"/>
    <s v="RETAIL"/>
    <x v="20"/>
    <s v="KRYPTO"/>
    <e v="#NAME?"/>
    <x v="19"/>
    <n v="0.02"/>
    <s v="QA"/>
    <s v="Otras Tec."/>
    <m/>
    <e v="#NAME?"/>
    <e v="#NAME?"/>
    <e v="#NAME?"/>
    <m/>
    <m/>
    <m/>
    <m/>
    <m/>
    <m/>
    <m/>
    <m/>
    <m/>
  </r>
  <r>
    <s v="CE54839"/>
    <s v="CARLOSFERNANDO SUAREZ"/>
    <s v="RETAIL"/>
    <x v="20"/>
    <s v="Inetum"/>
    <e v="#NAME?"/>
    <x v="3"/>
    <n v="0.5"/>
    <s v="QA"/>
    <s v="Otras Tec."/>
    <m/>
    <e v="#NAME?"/>
    <e v="#NAME?"/>
    <e v="#NAME?"/>
    <m/>
    <m/>
    <m/>
    <m/>
    <m/>
    <m/>
    <m/>
    <m/>
    <m/>
  </r>
  <r>
    <s v="CE52336"/>
    <s v="Cely Gutierrez Anderson Sneider"/>
    <s v="RETAIL"/>
    <x v="20"/>
    <s v="Inetum"/>
    <e v="#NAME?"/>
    <x v="3"/>
    <n v="1"/>
    <s v="Desarrollador"/>
    <s v="Distribuido"/>
    <m/>
    <e v="#NAME?"/>
    <e v="#NAME?"/>
    <e v="#NAME?"/>
    <m/>
    <m/>
    <m/>
    <m/>
    <m/>
    <m/>
    <m/>
    <m/>
    <m/>
  </r>
  <r>
    <s v="C805453"/>
    <s v="Cuervo Duran Francisco Hernan"/>
    <s v="RETAIL"/>
    <x v="20"/>
    <s v="BBVA"/>
    <e v="#NAME?"/>
    <x v="19"/>
    <n v="0.4"/>
    <s v="Desarrollador"/>
    <s v="Otras Tec."/>
    <m/>
    <e v="#NAME?"/>
    <e v="#NAME?"/>
    <e v="#NAME?"/>
    <m/>
    <m/>
    <m/>
    <m/>
    <m/>
    <m/>
    <m/>
    <m/>
    <m/>
  </r>
  <r>
    <s v="T002003"/>
    <s v="DIEGO ALEJANDRO ASTAZIA"/>
    <s v="RETAIL"/>
    <x v="20"/>
    <s v="Choucair"/>
    <e v="#NAME?"/>
    <x v="19"/>
    <n v="0.5"/>
    <s v="QA"/>
    <s v="Otras Tec."/>
    <m/>
    <e v="#NAME?"/>
    <e v="#NAME?"/>
    <e v="#NAME?"/>
    <m/>
    <m/>
    <m/>
    <m/>
    <m/>
    <m/>
    <m/>
    <m/>
    <m/>
  </r>
  <r>
    <s v="T002003"/>
    <s v="DIEGO ALEJANDRO ASTAZIA"/>
    <s v="RETAIL"/>
    <x v="20"/>
    <s v="Choucair"/>
    <e v="#NAME?"/>
    <x v="3"/>
    <n v="0.5"/>
    <s v="QA"/>
    <s v="Distribuido"/>
    <m/>
    <e v="#NAME?"/>
    <e v="#NAME?"/>
    <e v="#NAME?"/>
    <m/>
    <m/>
    <m/>
    <m/>
    <m/>
    <m/>
    <m/>
    <m/>
    <m/>
  </r>
  <r>
    <s v="O001338"/>
    <s v="DIVER ANDREY SUATERNA"/>
    <s v="RETAIL"/>
    <x v="20"/>
    <s v="BBVA"/>
    <e v="#NAME?"/>
    <x v="157"/>
    <n v="1"/>
    <s v="Desarrollador"/>
    <s v="ASO"/>
    <s v="apx"/>
    <e v="#NAME?"/>
    <e v="#NAME?"/>
    <e v="#NAME?"/>
    <m/>
    <m/>
    <m/>
    <m/>
    <m/>
    <m/>
    <m/>
    <m/>
    <m/>
  </r>
  <r>
    <s v="C811316"/>
    <s v="Gonzalez Cardenas Oscar"/>
    <s v="RETAIL"/>
    <x v="20"/>
    <s v="BBVA"/>
    <e v="#NAME?"/>
    <x v="158"/>
    <n v="0.5"/>
    <s v="Desarrollador"/>
    <s v="Mainframe"/>
    <m/>
    <e v="#NAME?"/>
    <e v="#NAME?"/>
    <e v="#NAME?"/>
    <m/>
    <m/>
    <m/>
    <m/>
    <m/>
    <m/>
    <m/>
    <m/>
    <m/>
  </r>
  <r>
    <s v="C805978"/>
    <s v="Jimenez Garcia Ariel Andres"/>
    <s v="RETAIL"/>
    <x v="20"/>
    <s v="BBVA"/>
    <e v="#NAME?"/>
    <x v="157"/>
    <n v="1"/>
    <s v="Desarrollador"/>
    <s v="Otras Tec."/>
    <m/>
    <e v="#NAME?"/>
    <e v="#NAME?"/>
    <e v="#NAME?"/>
    <m/>
    <m/>
    <m/>
    <m/>
    <m/>
    <m/>
    <m/>
    <m/>
    <m/>
  </r>
  <r>
    <s v="O001338"/>
    <s v="MARIAMM YULIETH ALVAREZ"/>
    <s v="RETAIL"/>
    <x v="20"/>
    <s v="BBVA"/>
    <e v="#NAME?"/>
    <x v="3"/>
    <n v="0.2"/>
    <s v="Tech Manager/Líder"/>
    <s v="Otras Tec."/>
    <m/>
    <e v="#NAME?"/>
    <e v="#NAME?"/>
    <e v="#NAME?"/>
    <m/>
    <m/>
    <m/>
    <m/>
    <m/>
    <m/>
    <m/>
    <m/>
    <m/>
  </r>
  <r>
    <s v="O001338"/>
    <s v="MARIAMM YULIETH ALVAREZ"/>
    <s v="RETAIL"/>
    <x v="20"/>
    <s v="BBVA"/>
    <e v="#NAME?"/>
    <x v="146"/>
    <n v="0.2"/>
    <s v="Tech Manager/Líder"/>
    <s v="Otras Tec."/>
    <m/>
    <e v="#NAME?"/>
    <e v="#NAME?"/>
    <e v="#NAME?"/>
    <m/>
    <m/>
    <m/>
    <m/>
    <m/>
    <m/>
    <m/>
    <m/>
    <m/>
  </r>
  <r>
    <s v="O001338"/>
    <s v="MARIAMM YULIETH ALVAREZ"/>
    <s v="RETAIL"/>
    <x v="20"/>
    <s v="BBVA"/>
    <e v="#NAME?"/>
    <x v="157"/>
    <n v="0.2"/>
    <s v="Tech Manager/Líder"/>
    <s v="Otras Tec."/>
    <m/>
    <e v="#NAME?"/>
    <e v="#NAME?"/>
    <e v="#NAME?"/>
    <m/>
    <m/>
    <m/>
    <m/>
    <m/>
    <m/>
    <m/>
    <m/>
    <m/>
  </r>
  <r>
    <s v="O001338"/>
    <s v="MARIAMM YULIETH ALVAREZ"/>
    <s v="RETAIL"/>
    <x v="20"/>
    <s v="BBVA"/>
    <e v="#NAME?"/>
    <x v="20"/>
    <n v="0.05"/>
    <s v="Tech Manager/Líder"/>
    <s v="Otras Tec."/>
    <m/>
    <e v="#NAME?"/>
    <e v="#NAME?"/>
    <e v="#NAME?"/>
    <m/>
    <m/>
    <m/>
    <m/>
    <m/>
    <m/>
    <m/>
    <m/>
    <m/>
  </r>
  <r>
    <s v="O001338"/>
    <s v="MARIAMM YULIETH ALVAREZ"/>
    <s v="RETAIL"/>
    <x v="20"/>
    <s v="BBVA"/>
    <e v="#NAME?"/>
    <x v="158"/>
    <n v="0.05"/>
    <s v="Tech Manager/Líder"/>
    <s v="Otras Tec."/>
    <m/>
    <e v="#NAME?"/>
    <e v="#NAME?"/>
    <e v="#NAME?"/>
    <m/>
    <m/>
    <m/>
    <m/>
    <m/>
    <m/>
    <m/>
    <m/>
    <m/>
  </r>
  <r>
    <s v="O001338"/>
    <s v="MARIAMM YULIETH ALVAREZ"/>
    <s v="RETAIL"/>
    <x v="20"/>
    <s v="BBVA"/>
    <e v="#NAME?"/>
    <x v="19"/>
    <n v="0.2"/>
    <s v="Tech Manager/Líder"/>
    <s v="Otras Tec."/>
    <m/>
    <e v="#NAME?"/>
    <e v="#NAME?"/>
    <e v="#NAME?"/>
    <m/>
    <m/>
    <m/>
    <m/>
    <m/>
    <m/>
    <m/>
    <m/>
    <m/>
  </r>
  <r>
    <s v="O001338"/>
    <s v="MARIAMM YULIETH ALVAREZ"/>
    <s v="RETAIL"/>
    <x v="20"/>
    <s v="BBVA"/>
    <e v="#NAME?"/>
    <x v="78"/>
    <n v="0.1"/>
    <s v="Tech Manager/Líder"/>
    <s v="Otras Tec."/>
    <m/>
    <e v="#NAME?"/>
    <e v="#NAME?"/>
    <e v="#NAME?"/>
    <m/>
    <m/>
    <m/>
    <m/>
    <m/>
    <m/>
    <m/>
    <m/>
    <m/>
  </r>
  <r>
    <s v="C808471"/>
    <s v="Moreno Castellanos Omar Alfonso"/>
    <s v="RETAIL"/>
    <x v="20"/>
    <s v="BBVA"/>
    <e v="#NAME?"/>
    <x v="146"/>
    <n v="1"/>
    <s v="Desarrollador"/>
    <s v="Mainframe"/>
    <m/>
    <e v="#NAME?"/>
    <e v="#NAME?"/>
    <e v="#NAME?"/>
    <m/>
    <m/>
    <m/>
    <m/>
    <m/>
    <m/>
    <m/>
    <m/>
    <m/>
  </r>
  <r>
    <s v="C342537"/>
    <s v="Navarro Torres Javier Dario"/>
    <s v="RETAIL"/>
    <x v="20"/>
    <s v="BBVA"/>
    <e v="#NAME?"/>
    <x v="19"/>
    <n v="0.5"/>
    <s v="Desarrollador"/>
    <s v="Distribuido"/>
    <m/>
    <e v="#NAME?"/>
    <e v="#NAME?"/>
    <e v="#NAME?"/>
    <m/>
    <m/>
    <m/>
    <m/>
    <m/>
    <m/>
    <m/>
    <m/>
    <m/>
  </r>
  <r>
    <s v="C342537"/>
    <s v="Navarro Torres Javier Dario"/>
    <s v="RETAIL"/>
    <x v="20"/>
    <s v="BBVA"/>
    <e v="#NAME?"/>
    <x v="78"/>
    <n v="0.5"/>
    <s v="Desarrollador"/>
    <s v="Distribuido"/>
    <m/>
    <e v="#NAME?"/>
    <e v="#NAME?"/>
    <e v="#NAME?"/>
    <m/>
    <m/>
    <m/>
    <m/>
    <m/>
    <m/>
    <m/>
    <m/>
    <m/>
  </r>
  <r>
    <s v="O002178"/>
    <s v="SAMIR DE JESUS QUICENO BERMUDEZ"/>
    <s v="RETAIL"/>
    <x v="20"/>
    <s v="BBVA"/>
    <e v="#NAME?"/>
    <x v="3"/>
    <n v="1"/>
    <s v="Desarrollador"/>
    <s v="Mainframe"/>
    <m/>
    <e v="#NAME?"/>
    <e v="#NAME?"/>
    <e v="#NAME?"/>
    <m/>
    <m/>
    <m/>
    <m/>
    <m/>
    <m/>
    <m/>
    <m/>
    <m/>
  </r>
  <r>
    <s v="C811316"/>
    <s v="Gonzalez Cardenas Oscar"/>
    <s v="RETAIL"/>
    <x v="20"/>
    <s v="BBVA"/>
    <e v="#NAME?"/>
    <x v="3"/>
    <n v="0.5"/>
    <s v="Desarrollador"/>
    <s v="Mainframe"/>
    <m/>
    <e v="#NAME?"/>
    <e v="#NAME?"/>
    <e v="#NAME?"/>
    <m/>
    <m/>
    <m/>
    <m/>
    <m/>
    <m/>
    <m/>
    <m/>
    <m/>
  </r>
  <r>
    <s v="C805453"/>
    <s v="Cuervo Duran Francisco Hernan"/>
    <s v="RETAIL"/>
    <x v="20"/>
    <s v="BBVA"/>
    <e v="#NAME?"/>
    <x v="20"/>
    <n v="0.5"/>
    <s v="Desarrollador"/>
    <s v="Distribuido"/>
    <m/>
    <e v="#NAME?"/>
    <e v="#NAME?"/>
    <e v="#NAME?"/>
    <m/>
    <m/>
    <m/>
    <m/>
    <m/>
    <m/>
    <m/>
    <m/>
    <m/>
  </r>
  <r>
    <s v="C805453"/>
    <s v="Cuervo Duran Francisco Hernan"/>
    <s v="RETAIL"/>
    <x v="20"/>
    <s v="BBVA"/>
    <e v="#NAME?"/>
    <x v="3"/>
    <n v="0.1"/>
    <s v="Desarrollador"/>
    <s v="Distribuido"/>
    <m/>
    <e v="#NAME?"/>
    <e v="#NAME?"/>
    <e v="#NAME?"/>
    <m/>
    <m/>
    <m/>
    <m/>
    <m/>
    <m/>
    <m/>
    <m/>
    <m/>
  </r>
  <r>
    <s v="CE54839"/>
    <s v="CARLOSFERNANDO SUAREZ"/>
    <s v="RETAIL"/>
    <x v="20"/>
    <s v="Inetum"/>
    <e v="#NAME?"/>
    <x v="19"/>
    <n v="0.5"/>
    <s v="QA"/>
    <m/>
    <m/>
    <e v="#NAME?"/>
    <e v="#NAME?"/>
    <e v="#NAME?"/>
    <m/>
    <m/>
    <m/>
    <m/>
    <m/>
    <m/>
    <m/>
    <m/>
    <m/>
  </r>
  <r>
    <s v="E049846"/>
    <s v="PATRICIA ORRO"/>
    <s v="RETAIL"/>
    <x v="21"/>
    <s v="BBVA"/>
    <e v="#NAME?"/>
    <x v="159"/>
    <n v="0.2"/>
    <s v="Tech Manager/Líder"/>
    <s v="Cells"/>
    <m/>
    <e v="#NAME?"/>
    <e v="#NAME?"/>
    <e v="#NAME?"/>
    <m/>
    <m/>
    <m/>
    <m/>
    <m/>
    <m/>
    <m/>
    <m/>
    <m/>
  </r>
  <r>
    <s v="C810952"/>
    <s v="Sebastian Ayala"/>
    <s v="RETAIL"/>
    <x v="21"/>
    <s v="BBVA"/>
    <e v="#NAME?"/>
    <x v="159"/>
    <n v="1"/>
    <s v="Desarrollador"/>
    <s v="Distribuido"/>
    <m/>
    <e v="#NAME?"/>
    <e v="#NAME?"/>
    <e v="#NAME?"/>
    <m/>
    <m/>
    <m/>
    <m/>
    <m/>
    <m/>
    <m/>
    <m/>
    <m/>
  </r>
  <r>
    <s v="C802581"/>
    <s v="Daniel Antonio Aguilar"/>
    <s v="RETAIL"/>
    <x v="21"/>
    <s v="BBVA"/>
    <e v="#NAME?"/>
    <x v="159"/>
    <n v="0.4"/>
    <s v="Desarrollador"/>
    <m/>
    <s v="Interno"/>
    <e v="#NAME?"/>
    <e v="#NAME?"/>
    <e v="#NAME?"/>
    <m/>
    <m/>
    <m/>
    <m/>
    <m/>
    <m/>
    <m/>
    <m/>
    <m/>
  </r>
  <r>
    <m/>
    <s v="DESARROLLADOR ASO"/>
    <s v="RETAIL"/>
    <x v="21"/>
    <s v="Accenture"/>
    <e v="#NAME?"/>
    <x v="159"/>
    <n v="1"/>
    <s v="Desarrollador"/>
    <s v="ASO"/>
    <m/>
    <e v="#NAME?"/>
    <e v="#NAME?"/>
    <e v="#NAME?"/>
    <m/>
    <m/>
    <m/>
    <m/>
    <m/>
    <m/>
    <m/>
    <m/>
    <m/>
  </r>
  <r>
    <m/>
    <s v="DESARROLLADOR ASO"/>
    <s v="RETAIL"/>
    <x v="21"/>
    <s v="Accenture"/>
    <e v="#NAME?"/>
    <x v="159"/>
    <n v="1"/>
    <s v="Desarrollador"/>
    <s v="ASO"/>
    <m/>
    <e v="#NAME?"/>
    <e v="#NAME?"/>
    <e v="#NAME?"/>
    <m/>
    <m/>
    <m/>
    <m/>
    <m/>
    <m/>
    <m/>
    <m/>
    <m/>
  </r>
  <r>
    <m/>
    <s v="DESARROLLADOR ASO"/>
    <s v="RETAIL"/>
    <x v="21"/>
    <s v="Accenture"/>
    <e v="#NAME?"/>
    <x v="159"/>
    <n v="1"/>
    <s v="Desarrollador"/>
    <s v="ASO"/>
    <m/>
    <e v="#NAME?"/>
    <e v="#NAME?"/>
    <e v="#NAME?"/>
    <m/>
    <m/>
    <m/>
    <m/>
    <m/>
    <m/>
    <m/>
    <m/>
    <m/>
  </r>
  <r>
    <m/>
    <s v="DESARROLLADOR APX"/>
    <s v="RETAIL"/>
    <x v="21"/>
    <s v="Accenture"/>
    <e v="#NAME?"/>
    <x v="159"/>
    <n v="1"/>
    <s v="Desarrollador"/>
    <s v="ASO"/>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APX"/>
    <s v="RETAIL"/>
    <x v="21"/>
    <s v="Accenture"/>
    <e v="#NAME?"/>
    <x v="159"/>
    <n v="0.33"/>
    <s v="Desarrollador"/>
    <s v="APX"/>
    <m/>
    <e v="#NAME?"/>
    <e v="#NAME?"/>
    <e v="#NAME?"/>
    <m/>
    <m/>
    <m/>
    <m/>
    <m/>
    <m/>
    <m/>
    <m/>
    <m/>
  </r>
  <r>
    <s v="CE40475"/>
    <s v="NELSON FERRUCHO"/>
    <s v="RETAIL"/>
    <x v="21"/>
    <s v="SII"/>
    <e v="#NAME?"/>
    <x v="159"/>
    <n v="0.5"/>
    <s v="Desarrollador"/>
    <s v="Mainframe"/>
    <m/>
    <e v="#NAME?"/>
    <e v="#NAME?"/>
    <e v="#NAME?"/>
    <m/>
    <m/>
    <m/>
    <m/>
    <m/>
    <m/>
    <m/>
    <m/>
    <m/>
  </r>
  <r>
    <s v="CE64988"/>
    <s v="Levi Becerra"/>
    <s v="RETAIL"/>
    <x v="21"/>
    <s v="SII"/>
    <e v="#NAME?"/>
    <x v="159"/>
    <n v="0.5"/>
    <s v="Desarrollador"/>
    <m/>
    <m/>
    <e v="#NAME?"/>
    <e v="#NAME?"/>
    <e v="#NAME?"/>
    <m/>
    <m/>
    <m/>
    <m/>
    <m/>
    <m/>
    <m/>
    <m/>
    <m/>
  </r>
  <r>
    <m/>
    <s v="DESARROLLO HOST"/>
    <s v="RETAIL"/>
    <x v="21"/>
    <s v="Accenture"/>
    <e v="#NAME?"/>
    <x v="159"/>
    <n v="1"/>
    <s v="Desarrollador"/>
    <s v="Mainframe"/>
    <m/>
    <e v="#NAME?"/>
    <e v="#NAME?"/>
    <e v="#NAME?"/>
    <m/>
    <m/>
    <m/>
    <m/>
    <m/>
    <m/>
    <m/>
    <m/>
    <m/>
  </r>
  <r>
    <m/>
    <s v="TESTER QA"/>
    <s v="RETAIL"/>
    <x v="21"/>
    <s v="Accenture"/>
    <e v="#NAME?"/>
    <x v="159"/>
    <n v="0.75"/>
    <s v="QA"/>
    <s v="Otras Tec."/>
    <m/>
    <e v="#NAME?"/>
    <e v="#NAME?"/>
    <e v="#NAME?"/>
    <m/>
    <m/>
    <m/>
    <m/>
    <m/>
    <m/>
    <m/>
    <m/>
    <m/>
  </r>
  <r>
    <m/>
    <s v="TESTER QA"/>
    <s v="RETAIL"/>
    <x v="21"/>
    <s v="Accenture"/>
    <e v="#NAME?"/>
    <x v="159"/>
    <n v="0.75"/>
    <s v="QA"/>
    <s v="Otras Tec."/>
    <m/>
    <e v="#NAME?"/>
    <e v="#NAME?"/>
    <e v="#NAME?"/>
    <m/>
    <m/>
    <m/>
    <m/>
    <m/>
    <m/>
    <m/>
    <m/>
    <m/>
  </r>
  <r>
    <m/>
    <s v="TESTER QA"/>
    <s v="RETAIL"/>
    <x v="21"/>
    <s v="Accenture"/>
    <e v="#NAME?"/>
    <x v="159"/>
    <n v="0.75"/>
    <s v="QA"/>
    <s v="Otras Tec."/>
    <m/>
    <e v="#NAME?"/>
    <e v="#NAME?"/>
    <e v="#NAME?"/>
    <m/>
    <m/>
    <m/>
    <m/>
    <m/>
    <m/>
    <m/>
    <m/>
    <m/>
  </r>
  <r>
    <s v="C802581"/>
    <s v="Daniel Antonio Aguilar"/>
    <s v="RETAIL"/>
    <x v="21"/>
    <s v="BBVA"/>
    <e v="#NAME?"/>
    <x v="160"/>
    <n v="0.2"/>
    <s v="Desarrollador"/>
    <m/>
    <s v="Interno"/>
    <e v="#NAME?"/>
    <e v="#NAME?"/>
    <e v="#NAME?"/>
    <m/>
    <m/>
    <m/>
    <m/>
    <m/>
    <m/>
    <m/>
    <m/>
    <m/>
  </r>
  <r>
    <s v="E049846"/>
    <s v="PATRICIA ORRO"/>
    <s v="RETAIL"/>
    <x v="21"/>
    <s v="BBVA"/>
    <e v="#NAME?"/>
    <x v="161"/>
    <n v="0.2"/>
    <s v="Tech Manager/Líder"/>
    <s v="Cells"/>
    <m/>
    <e v="#NAME?"/>
    <e v="#NAME?"/>
    <e v="#NAME?"/>
    <m/>
    <m/>
    <m/>
    <m/>
    <m/>
    <m/>
    <m/>
    <m/>
    <m/>
  </r>
  <r>
    <m/>
    <s v="TESTER QA"/>
    <s v="RETAIL"/>
    <x v="21"/>
    <s v="Accenture"/>
    <e v="#NAME?"/>
    <x v="161"/>
    <n v="1"/>
    <s v="QA"/>
    <s v="Otras Tec."/>
    <m/>
    <e v="#NAME?"/>
    <e v="#NAME?"/>
    <e v="#NAME?"/>
    <m/>
    <m/>
    <m/>
    <m/>
    <m/>
    <m/>
    <m/>
    <m/>
    <m/>
  </r>
  <r>
    <s v="E049846"/>
    <s v="PATRICIA ORRO"/>
    <s v="RETAIL"/>
    <x v="21"/>
    <s v="BBVA"/>
    <e v="#NAME?"/>
    <x v="162"/>
    <n v="0.2"/>
    <s v="Tech Manager/Líder"/>
    <s v="Cells"/>
    <m/>
    <e v="#NAME?"/>
    <e v="#NAME?"/>
    <e v="#NAME?"/>
    <m/>
    <m/>
    <m/>
    <m/>
    <m/>
    <m/>
    <m/>
    <m/>
    <m/>
  </r>
  <r>
    <m/>
    <s v="DESARROLLO ASO"/>
    <s v="RETAIL"/>
    <x v="21"/>
    <s v="Accenture"/>
    <e v="#NAME?"/>
    <x v="162"/>
    <n v="1"/>
    <s v="Desarrollador"/>
    <s v="ASO"/>
    <m/>
    <e v="#NAME?"/>
    <e v="#NAME?"/>
    <e v="#NAME?"/>
    <m/>
    <m/>
    <m/>
    <m/>
    <m/>
    <m/>
    <m/>
    <m/>
    <m/>
  </r>
  <r>
    <m/>
    <s v="DESARROLLO HOST"/>
    <s v="RETAIL"/>
    <x v="21"/>
    <s v="Accenture"/>
    <e v="#NAME?"/>
    <x v="162"/>
    <n v="1"/>
    <s v="Desarrollador"/>
    <s v="Mainframe"/>
    <m/>
    <e v="#NAME?"/>
    <e v="#NAME?"/>
    <e v="#NAME?"/>
    <m/>
    <m/>
    <m/>
    <m/>
    <m/>
    <m/>
    <m/>
    <m/>
    <m/>
  </r>
  <r>
    <m/>
    <s v="TESTER QA"/>
    <s v="RETAIL"/>
    <x v="21"/>
    <s v="Accenture"/>
    <e v="#NAME?"/>
    <x v="162"/>
    <n v="1"/>
    <s v="QA"/>
    <s v="Otras Tec."/>
    <m/>
    <e v="#NAME?"/>
    <e v="#NAME?"/>
    <e v="#NAME?"/>
    <m/>
    <m/>
    <m/>
    <m/>
    <m/>
    <m/>
    <m/>
    <m/>
    <m/>
  </r>
  <r>
    <s v="E049846"/>
    <s v="PATRICIA ORRO"/>
    <s v="RETAIL"/>
    <x v="21"/>
    <s v="BBVA"/>
    <e v="#NAME?"/>
    <x v="163"/>
    <n v="0.2"/>
    <s v="Tech Manager/Líder"/>
    <s v="Cells"/>
    <m/>
    <e v="#NAME?"/>
    <e v="#NAME?"/>
    <e v="#NAME?"/>
    <m/>
    <m/>
    <m/>
    <m/>
    <m/>
    <m/>
    <m/>
    <m/>
    <m/>
  </r>
  <r>
    <s v="C803962"/>
    <s v="Esteban Linares"/>
    <s v="RETAIL"/>
    <x v="21"/>
    <s v="BBVA"/>
    <e v="#NAME?"/>
    <x v="66"/>
    <n v="0.7"/>
    <s v="Tech Manager/Líder"/>
    <s v="Cells"/>
    <m/>
    <e v="#NAME?"/>
    <e v="#NAME?"/>
    <e v="#NAME?"/>
    <m/>
    <m/>
    <m/>
    <m/>
    <m/>
    <m/>
    <m/>
    <m/>
    <m/>
  </r>
  <r>
    <s v="C803962"/>
    <s v="Esteban Linares"/>
    <s v="RETAIL"/>
    <x v="21"/>
    <s v="BBVA"/>
    <e v="#NAME?"/>
    <x v="160"/>
    <n v="0.3"/>
    <s v="Tech Manager/Líder"/>
    <s v="Cells"/>
    <m/>
    <e v="#NAME?"/>
    <e v="#NAME?"/>
    <e v="#NAME?"/>
    <m/>
    <m/>
    <m/>
    <m/>
    <m/>
    <m/>
    <m/>
    <m/>
    <m/>
  </r>
  <r>
    <s v="C802581"/>
    <s v="Daniel Antonio Aguilar"/>
    <s v="RETAIL"/>
    <x v="21"/>
    <s v="BBVA"/>
    <e v="#NAME?"/>
    <x v="159"/>
    <n v="0.2"/>
    <s v="Desarrollador"/>
    <m/>
    <s v="Interno"/>
    <e v="#NAME?"/>
    <e v="#NAME?"/>
    <e v="#NAME?"/>
    <m/>
    <m/>
    <m/>
    <m/>
    <m/>
    <m/>
    <m/>
    <m/>
    <m/>
  </r>
  <r>
    <s v="E049846"/>
    <s v="PATRICIA ORRO"/>
    <s v="RETAIL"/>
    <x v="21"/>
    <s v="BBVA"/>
    <e v="#NAME?"/>
    <x v="66"/>
    <n v="0.2"/>
    <s v="Desarrollador"/>
    <s v="Cells"/>
    <m/>
    <e v="#NAME?"/>
    <e v="#NAME?"/>
    <e v="#NAME?"/>
    <m/>
    <m/>
    <m/>
    <m/>
    <m/>
    <m/>
    <m/>
    <m/>
    <m/>
  </r>
  <r>
    <m/>
    <s v="DESARROLLADOR FRONT "/>
    <s v="RETAIL"/>
    <x v="21"/>
    <s v="Neoris"/>
    <e v="#NAME?"/>
    <x v="66"/>
    <n v="1"/>
    <s v="Desarrollador"/>
    <s v="Cells"/>
    <m/>
    <e v="#NAME?"/>
    <e v="#NAME?"/>
    <e v="#NAME?"/>
    <m/>
    <m/>
    <m/>
    <m/>
    <m/>
    <m/>
    <m/>
    <m/>
    <m/>
  </r>
  <r>
    <m/>
    <s v="DESARROLLADOR FRONT "/>
    <s v="RETAIL"/>
    <x v="21"/>
    <s v="Neoris"/>
    <e v="#NAME?"/>
    <x v="66"/>
    <n v="1"/>
    <s v="Desarrollador"/>
    <s v="Cells"/>
    <m/>
    <e v="#NAME?"/>
    <e v="#NAME?"/>
    <e v="#NAME?"/>
    <m/>
    <m/>
    <m/>
    <m/>
    <m/>
    <m/>
    <m/>
    <m/>
    <m/>
  </r>
  <r>
    <m/>
    <s v="TESTER QA"/>
    <s v="RETAIL"/>
    <x v="21"/>
    <s v="Accenture"/>
    <e v="#NAME?"/>
    <x v="66"/>
    <n v="1"/>
    <s v="QA"/>
    <s v="Otras Tec."/>
    <m/>
    <e v="#NAME?"/>
    <e v="#NAME?"/>
    <e v="#NAME?"/>
    <m/>
    <m/>
    <m/>
    <m/>
    <m/>
    <m/>
    <m/>
    <m/>
    <m/>
  </r>
  <r>
    <m/>
    <s v="TESTER QA"/>
    <s v="RETAIL"/>
    <x v="21"/>
    <s v="Accenture"/>
    <e v="#NAME?"/>
    <x v="66"/>
    <n v="1"/>
    <s v="QA"/>
    <s v="Otras Tec."/>
    <m/>
    <e v="#NAME?"/>
    <e v="#NAME?"/>
    <e v="#NAME?"/>
    <m/>
    <m/>
    <m/>
    <m/>
    <m/>
    <m/>
    <m/>
    <m/>
    <m/>
  </r>
  <r>
    <s v="C802581"/>
    <s v="Daniel Antonio Aguilar"/>
    <s v="RETAIL"/>
    <x v="21"/>
    <s v="BBVA"/>
    <e v="#NAME?"/>
    <x v="159"/>
    <n v="0.2"/>
    <s v="Desarrollador"/>
    <m/>
    <s v="Interno"/>
    <e v="#NAME?"/>
    <e v="#NAME?"/>
    <e v="#NAME?"/>
    <m/>
    <m/>
    <m/>
    <m/>
    <m/>
    <m/>
    <m/>
    <m/>
    <m/>
  </r>
  <r>
    <m/>
    <s v="DESARROLLADOR FRONT "/>
    <s v="RETAIL"/>
    <x v="21"/>
    <s v="Neoris"/>
    <e v="#NAME?"/>
    <x v="164"/>
    <n v="1"/>
    <s v="Desarrollador"/>
    <s v="Cells"/>
    <m/>
    <e v="#NAME?"/>
    <e v="#NAME?"/>
    <e v="#NAME?"/>
    <m/>
    <m/>
    <m/>
    <m/>
    <m/>
    <m/>
    <m/>
    <m/>
    <m/>
  </r>
  <r>
    <m/>
    <s v="DESARROLLADOR FRONT "/>
    <s v="RETAIL"/>
    <x v="21"/>
    <s v="Neoris"/>
    <e v="#NAME?"/>
    <x v="164"/>
    <n v="1"/>
    <s v="Desarrollador"/>
    <s v="Cells"/>
    <m/>
    <e v="#NAME?"/>
    <e v="#NAME?"/>
    <e v="#NAME?"/>
    <m/>
    <m/>
    <m/>
    <m/>
    <m/>
    <m/>
    <m/>
    <m/>
    <m/>
  </r>
  <r>
    <m/>
    <s v="DESARROLLADOR ASO"/>
    <s v="RETAIL"/>
    <x v="21"/>
    <s v="Neoris"/>
    <e v="#NAME?"/>
    <x v="164"/>
    <n v="1"/>
    <s v="Desarrollador"/>
    <s v="ASO"/>
    <m/>
    <e v="#NAME?"/>
    <e v="#NAME?"/>
    <e v="#NAME?"/>
    <m/>
    <m/>
    <m/>
    <m/>
    <m/>
    <m/>
    <m/>
    <m/>
    <m/>
  </r>
  <r>
    <m/>
    <s v="DESARROLLADOR APX"/>
    <s v="RETAIL"/>
    <x v="21"/>
    <s v="Neoris"/>
    <e v="#NAME?"/>
    <x v="164"/>
    <n v="1"/>
    <s v="Desarrollador"/>
    <s v="APX"/>
    <m/>
    <e v="#NAME?"/>
    <e v="#NAME?"/>
    <e v="#NAME?"/>
    <m/>
    <m/>
    <m/>
    <m/>
    <m/>
    <m/>
    <m/>
    <m/>
    <m/>
  </r>
  <r>
    <m/>
    <s v="DESARROLLO HOST"/>
    <s v="RETAIL"/>
    <x v="21"/>
    <s v="Neoris"/>
    <e v="#NAME?"/>
    <x v="164"/>
    <n v="1"/>
    <s v="Desarrollador"/>
    <s v="Mainframe"/>
    <m/>
    <e v="#NAME?"/>
    <e v="#NAME?"/>
    <e v="#NAME?"/>
    <m/>
    <m/>
    <m/>
    <m/>
    <m/>
    <m/>
    <m/>
    <m/>
    <m/>
  </r>
  <r>
    <m/>
    <s v="TESTER QA"/>
    <s v="RETAIL"/>
    <x v="21"/>
    <s v="Accenture"/>
    <e v="#NAME?"/>
    <x v="164"/>
    <n v="1"/>
    <s v="QA"/>
    <s v="Otras Tec."/>
    <m/>
    <e v="#NAME?"/>
    <e v="#NAME?"/>
    <e v="#NAME?"/>
    <m/>
    <m/>
    <m/>
    <m/>
    <m/>
    <m/>
    <m/>
    <m/>
    <m/>
  </r>
  <r>
    <s v="C803799"/>
    <s v="ANDRES FELIPE CASTAÑEDA"/>
    <s v="RETAIL"/>
    <x v="21"/>
    <s v="BBVA"/>
    <e v="#NAME?"/>
    <x v="3"/>
    <n v="1"/>
    <s v="Tech Manager/Líder"/>
    <s v="Cells"/>
    <m/>
    <e v="#NAME?"/>
    <e v="#NAME?"/>
    <e v="#NAME?"/>
    <m/>
    <m/>
    <m/>
    <m/>
    <m/>
    <m/>
    <m/>
    <m/>
    <m/>
  </r>
  <r>
    <s v="C805723"/>
    <s v="JUAN CAMILO JAIMES"/>
    <s v="RETAIL"/>
    <x v="21"/>
    <s v="BBVA"/>
    <e v="#NAME?"/>
    <x v="3"/>
    <n v="1"/>
    <s v="Desarrollador"/>
    <s v="Cells"/>
    <m/>
    <e v="#NAME?"/>
    <e v="#NAME?"/>
    <e v="#NAME?"/>
    <m/>
    <m/>
    <m/>
    <m/>
    <m/>
    <m/>
    <m/>
    <m/>
    <m/>
  </r>
  <r>
    <s v="C805720"/>
    <s v="SANDRA REDONDO"/>
    <s v="RETAIL"/>
    <x v="21"/>
    <s v="BBVA"/>
    <e v="#NAME?"/>
    <x v="3"/>
    <n v="1"/>
    <s v="Desarrollador"/>
    <s v="Cells"/>
    <m/>
    <e v="#NAME?"/>
    <e v="#NAME?"/>
    <e v="#NAME?"/>
    <m/>
    <m/>
    <m/>
    <m/>
    <m/>
    <m/>
    <m/>
    <m/>
    <m/>
  </r>
  <r>
    <s v="C810664"/>
    <s v="JONATHAN MARCELL GUTIERREZ RIAÑO"/>
    <s v="RETAIL"/>
    <x v="21"/>
    <s v="BBVA"/>
    <e v="#NAME?"/>
    <x v="3"/>
    <n v="1"/>
    <s v="Desarrollador"/>
    <s v="APX"/>
    <m/>
    <e v="#NAME?"/>
    <e v="#NAME?"/>
    <e v="#NAME?"/>
    <m/>
    <m/>
    <m/>
    <m/>
    <m/>
    <m/>
    <m/>
    <m/>
    <m/>
  </r>
  <r>
    <s v="C805983"/>
    <s v="LUBER FANDIÑO"/>
    <s v="RETAIL"/>
    <x v="21"/>
    <s v="BBVA"/>
    <e v="#NAME?"/>
    <x v="3"/>
    <n v="1"/>
    <s v="Desarrollador"/>
    <s v="Cells"/>
    <m/>
    <e v="#NAME?"/>
    <e v="#NAME?"/>
    <e v="#NAME?"/>
    <m/>
    <m/>
    <m/>
    <m/>
    <m/>
    <m/>
    <m/>
    <m/>
    <m/>
  </r>
  <r>
    <s v="C805933"/>
    <s v="Brayan Peña"/>
    <s v="RETAIL"/>
    <x v="21"/>
    <s v="BBVA"/>
    <e v="#NAME?"/>
    <x v="3"/>
    <n v="1"/>
    <s v="Desarrollador"/>
    <s v="Cells"/>
    <m/>
    <e v="#NAME?"/>
    <e v="#NAME?"/>
    <e v="#NAME?"/>
    <m/>
    <m/>
    <m/>
    <m/>
    <m/>
    <m/>
    <m/>
    <m/>
    <m/>
  </r>
  <r>
    <s v="C809565"/>
    <s v="JOAN CHIVATA"/>
    <s v="RETAIL"/>
    <x v="21"/>
    <s v="BBVA"/>
    <e v="#NAME?"/>
    <x v="3"/>
    <n v="1"/>
    <s v="Desarrollador"/>
    <s v="Cells"/>
    <m/>
    <e v="#NAME?"/>
    <e v="#NAME?"/>
    <e v="#NAME?"/>
    <m/>
    <m/>
    <m/>
    <m/>
    <m/>
    <m/>
    <m/>
    <m/>
    <m/>
  </r>
  <r>
    <s v="T004259"/>
    <s v="FAIBER RUEDA"/>
    <s v="RETAIL"/>
    <x v="21"/>
    <s v="Accenture"/>
    <e v="#NAME?"/>
    <x v="3"/>
    <n v="1"/>
    <s v="Desarrollador"/>
    <s v="Cells"/>
    <m/>
    <e v="#NAME?"/>
    <e v="#NAME?"/>
    <e v="#NAME?"/>
    <m/>
    <m/>
    <m/>
    <m/>
    <m/>
    <m/>
    <m/>
    <m/>
    <m/>
  </r>
  <r>
    <s v="T004336"/>
    <s v="JUAN ROMERO"/>
    <s v="RETAIL"/>
    <x v="21"/>
    <s v="Accenture"/>
    <e v="#NAME?"/>
    <x v="3"/>
    <n v="1"/>
    <s v="Desarrollador"/>
    <s v="Cells"/>
    <m/>
    <e v="#NAME?"/>
    <e v="#NAME?"/>
    <e v="#NAME?"/>
    <m/>
    <m/>
    <m/>
    <m/>
    <m/>
    <m/>
    <m/>
    <m/>
    <m/>
  </r>
  <r>
    <s v="CE69641"/>
    <s v="KEVIN SARMIENTO"/>
    <s v="RETAIL"/>
    <x v="21"/>
    <s v="Accenture"/>
    <e v="#NAME?"/>
    <x v="3"/>
    <n v="1"/>
    <s v="Desarrollador"/>
    <s v="Cells"/>
    <m/>
    <e v="#NAME?"/>
    <e v="#NAME?"/>
    <e v="#NAME?"/>
    <m/>
    <m/>
    <m/>
    <m/>
    <m/>
    <m/>
    <m/>
    <m/>
    <m/>
  </r>
  <r>
    <m/>
    <s v="TBD - ANS"/>
    <s v="RETAIL"/>
    <x v="21"/>
    <s v="Accenture"/>
    <e v="#NAME?"/>
    <x v="3"/>
    <n v="1"/>
    <s v="Desarrollador"/>
    <s v="Cells"/>
    <m/>
    <e v="#NAME?"/>
    <e v="#NAME?"/>
    <e v="#NAME?"/>
    <m/>
    <m/>
    <m/>
    <m/>
    <m/>
    <m/>
    <m/>
    <m/>
    <m/>
  </r>
  <r>
    <s v="T006642"/>
    <s v="CRISTIAN DAZA"/>
    <s v="RETAIL"/>
    <x v="21"/>
    <s v="Neoris"/>
    <e v="#NAME?"/>
    <x v="3"/>
    <n v="1"/>
    <s v="Desarrollador"/>
    <s v="Cells"/>
    <m/>
    <e v="#NAME?"/>
    <e v="#NAME?"/>
    <e v="#NAME?"/>
    <m/>
    <m/>
    <m/>
    <m/>
    <m/>
    <m/>
    <m/>
    <m/>
    <m/>
  </r>
  <r>
    <s v="T006699"/>
    <s v="JUAN DUQUE"/>
    <s v="RETAIL"/>
    <x v="21"/>
    <s v="Neoris"/>
    <e v="#NAME?"/>
    <x v="3"/>
    <n v="1"/>
    <s v="Desarrollador"/>
    <s v="Cells"/>
    <m/>
    <e v="#NAME?"/>
    <e v="#NAME?"/>
    <e v="#NAME?"/>
    <m/>
    <m/>
    <m/>
    <m/>
    <m/>
    <m/>
    <m/>
    <m/>
    <m/>
  </r>
  <r>
    <s v="T001732"/>
    <s v="Alejandro Cano"/>
    <s v="RETAIL"/>
    <x v="21"/>
    <s v="Indra"/>
    <e v="#NAME?"/>
    <x v="3"/>
    <n v="1"/>
    <s v="Otros"/>
    <s v="Cells"/>
    <m/>
    <e v="#NAME?"/>
    <e v="#NAME?"/>
    <e v="#NAME?"/>
    <m/>
    <m/>
    <m/>
    <m/>
    <m/>
    <m/>
    <m/>
    <m/>
    <m/>
  </r>
  <r>
    <s v="T006644"/>
    <s v="Rafael Bonet"/>
    <s v="RETAIL"/>
    <x v="21"/>
    <s v="Neoris"/>
    <e v="#NAME?"/>
    <x v="3"/>
    <n v="1"/>
    <s v="Otros"/>
    <s v="Otras Tec."/>
    <m/>
    <e v="#NAME?"/>
    <e v="#NAME?"/>
    <e v="#NAME?"/>
    <m/>
    <m/>
    <m/>
    <m/>
    <m/>
    <m/>
    <m/>
    <m/>
    <m/>
  </r>
  <r>
    <s v="T006637"/>
    <s v="Jhonathan Medina"/>
    <s v="RETAIL"/>
    <x v="21"/>
    <s v="Neoris"/>
    <e v="#NAME?"/>
    <x v="3"/>
    <n v="1"/>
    <s v="Otros"/>
    <s v="Otras Tec."/>
    <m/>
    <e v="#NAME?"/>
    <e v="#NAME?"/>
    <e v="#NAME?"/>
    <m/>
    <m/>
    <m/>
    <m/>
    <m/>
    <m/>
    <m/>
    <m/>
    <m/>
  </r>
  <r>
    <s v="T001731"/>
    <s v="John Zamora"/>
    <s v="RETAIL"/>
    <x v="21"/>
    <s v="Indra"/>
    <e v="#NAME?"/>
    <x v="3"/>
    <n v="1"/>
    <s v="Otros"/>
    <s v="Cells"/>
    <m/>
    <e v="#NAME?"/>
    <e v="#NAME?"/>
    <e v="#NAME?"/>
    <m/>
    <m/>
    <m/>
    <m/>
    <m/>
    <m/>
    <m/>
    <m/>
    <m/>
  </r>
  <r>
    <s v="CE67183"/>
    <s v="ALEXIS A GONZALEZ LANCHEROS"/>
    <s v="RETAIL"/>
    <x v="22"/>
    <s v="Choucair"/>
    <e v="#NAME?"/>
    <x v="165"/>
    <n v="0.2"/>
    <s v="QA"/>
    <s v="Otras Tec."/>
    <m/>
    <e v="#NAME?"/>
    <e v="#NAME?"/>
    <e v="#NAME?"/>
    <m/>
    <m/>
    <m/>
    <m/>
    <m/>
    <m/>
    <m/>
    <m/>
    <m/>
  </r>
  <r>
    <s v="CE67183"/>
    <s v="ALEXIS A GONZALEZ LANCHEROS"/>
    <s v="RETAIL"/>
    <x v="22"/>
    <s v="Choucair"/>
    <e v="#NAME?"/>
    <x v="166"/>
    <n v="0.4"/>
    <s v="QA"/>
    <s v="Otras Tec."/>
    <m/>
    <e v="#NAME?"/>
    <e v="#NAME?"/>
    <e v="#NAME?"/>
    <m/>
    <m/>
    <m/>
    <m/>
    <m/>
    <m/>
    <m/>
    <m/>
    <m/>
  </r>
  <r>
    <s v="CE67183"/>
    <s v="ALEXIS A GONZALEZ LANCHEROS"/>
    <s v="RETAIL"/>
    <x v="22"/>
    <s v="Choucair"/>
    <e v="#NAME?"/>
    <x v="167"/>
    <n v="0.4"/>
    <s v="QA"/>
    <s v="Otras Tec."/>
    <m/>
    <e v="#NAME?"/>
    <e v="#NAME?"/>
    <e v="#NAME?"/>
    <m/>
    <m/>
    <m/>
    <m/>
    <m/>
    <m/>
    <m/>
    <m/>
    <m/>
  </r>
  <r>
    <s v="C804644"/>
    <s v="ANDRES FELIPE CALDERÓN NOVOA"/>
    <s v="RETAIL"/>
    <x v="23"/>
    <s v="BBVA"/>
    <e v="#NAME?"/>
    <x v="168"/>
    <n v="0.5"/>
    <s v="Desarrollador"/>
    <s v="ASO"/>
    <m/>
    <e v="#NAME?"/>
    <e v="#NAME?"/>
    <e v="#NAME?"/>
    <m/>
    <m/>
    <m/>
    <m/>
    <m/>
    <m/>
    <m/>
    <m/>
    <m/>
  </r>
  <r>
    <s v="C804644"/>
    <s v="ANDRES FELIPE CALDERÓN NOVOA"/>
    <s v="RETAIL"/>
    <x v="23"/>
    <s v="BBVA"/>
    <e v="#NAME?"/>
    <x v="169"/>
    <n v="0.5"/>
    <s v="Desarrollador"/>
    <s v="ASO"/>
    <m/>
    <e v="#NAME?"/>
    <e v="#NAME?"/>
    <e v="#NAME?"/>
    <m/>
    <m/>
    <m/>
    <m/>
    <m/>
    <m/>
    <m/>
    <m/>
    <m/>
  </r>
  <r>
    <s v="CE60329"/>
    <s v="ANDRÉS FELIPE MORA SANTANA"/>
    <s v="RETAIL"/>
    <x v="24"/>
    <s v="Novatec"/>
    <e v="#NAME?"/>
    <x v="170"/>
    <n v="1"/>
    <s v="Desarrollador"/>
    <s v="Cells"/>
    <m/>
    <e v="#NAME?"/>
    <e v="#NAME?"/>
    <e v="#NAME?"/>
    <m/>
    <m/>
    <m/>
    <m/>
    <m/>
    <m/>
    <m/>
    <m/>
    <m/>
  </r>
  <r>
    <s v="C804832"/>
    <s v="ANTONY SUICA CUARTAS"/>
    <s v="RETAIL"/>
    <x v="23"/>
    <s v="BBVA"/>
    <e v="#NAME?"/>
    <x v="169"/>
    <n v="0.05"/>
    <s v="Desarrollador"/>
    <s v="ASO"/>
    <m/>
    <e v="#NAME?"/>
    <e v="#NAME?"/>
    <e v="#NAME?"/>
    <m/>
    <m/>
    <m/>
    <m/>
    <m/>
    <m/>
    <m/>
    <m/>
    <m/>
  </r>
  <r>
    <s v="C804832"/>
    <s v="ANTONY SUICA CUARTAS"/>
    <s v="RETAIL"/>
    <x v="23"/>
    <s v="BBVA"/>
    <e v="#NAME?"/>
    <x v="168"/>
    <n v="0.8"/>
    <s v="Desarrollador"/>
    <s v="Distribuido"/>
    <s v="SW JAM"/>
    <e v="#NAME?"/>
    <e v="#NAME?"/>
    <e v="#NAME?"/>
    <m/>
    <m/>
    <m/>
    <m/>
    <m/>
    <m/>
    <m/>
    <m/>
    <m/>
  </r>
  <r>
    <s v="C804832"/>
    <s v="ANTONY SUICA CUARTAS"/>
    <s v="RETAIL"/>
    <x v="23"/>
    <s v="BBVA"/>
    <e v="#NAME?"/>
    <x v="3"/>
    <n v="0.15"/>
    <s v="Desarrollador"/>
    <s v="Distribuido"/>
    <s v="SW JAM, ASO, COBOL"/>
    <e v="#NAME?"/>
    <e v="#NAME?"/>
    <e v="#NAME?"/>
    <m/>
    <m/>
    <m/>
    <m/>
    <m/>
    <m/>
    <m/>
    <m/>
    <m/>
  </r>
  <r>
    <s v="O002934"/>
    <s v="BRIAN MAURICIO TEJEDOR VARGAS"/>
    <s v="RETAIL"/>
    <x v="25"/>
    <s v="BBVA"/>
    <e v="#NAME?"/>
    <x v="3"/>
    <n v="0.6"/>
    <s v="Desarrollador"/>
    <s v="Distribuido"/>
    <s v="RPA Blue Prims"/>
    <e v="#NAME?"/>
    <e v="#NAME?"/>
    <e v="#NAME?"/>
    <m/>
    <m/>
    <m/>
    <m/>
    <m/>
    <m/>
    <m/>
    <m/>
    <m/>
  </r>
  <r>
    <s v="O002934"/>
    <s v="BRIAN MAURICIO TEJEDOR VARGAS"/>
    <s v="RETAIL"/>
    <x v="25"/>
    <s v="BBVA"/>
    <e v="#NAME?"/>
    <x v="61"/>
    <n v="0.4"/>
    <s v="Desarrollador"/>
    <s v="Distribuido"/>
    <s v="RPA Blue Prims"/>
    <e v="#NAME?"/>
    <e v="#NAME?"/>
    <e v="#NAME?"/>
    <m/>
    <m/>
    <m/>
    <m/>
    <m/>
    <m/>
    <m/>
    <m/>
    <m/>
  </r>
  <r>
    <s v="CE51863"/>
    <s v="EDNA ROCIO MONCADA"/>
    <s v="RETAIL"/>
    <x v="23"/>
    <s v="KRYPTO"/>
    <e v="#NAME?"/>
    <x v="3"/>
    <n v="0.02"/>
    <s v="QA"/>
    <s v="Otras Tec."/>
    <m/>
    <e v="#NAME?"/>
    <e v="#NAME?"/>
    <e v="#NAME?"/>
    <m/>
    <m/>
    <m/>
    <m/>
    <m/>
    <m/>
    <m/>
    <m/>
    <m/>
  </r>
  <r>
    <s v="CE51863"/>
    <s v="EDNA ROCIO MONCADA"/>
    <s v="RETAIL"/>
    <x v="22"/>
    <s v="KRYPTO"/>
    <e v="#NAME?"/>
    <x v="3"/>
    <n v="0.02"/>
    <s v="QA"/>
    <s v="Otras Tec."/>
    <m/>
    <e v="#NAME?"/>
    <e v="#NAME?"/>
    <e v="#NAME?"/>
    <m/>
    <m/>
    <m/>
    <m/>
    <m/>
    <m/>
    <m/>
    <m/>
    <m/>
  </r>
  <r>
    <s v="CE51863"/>
    <s v="EDNA ROCIO MONCADA"/>
    <s v="RETAIL"/>
    <x v="25"/>
    <s v="KRYPTO"/>
    <e v="#NAME?"/>
    <x v="3"/>
    <n v="0.02"/>
    <s v="QA"/>
    <s v="Otras Tec."/>
    <m/>
    <e v="#NAME?"/>
    <e v="#NAME?"/>
    <e v="#NAME?"/>
    <m/>
    <m/>
    <m/>
    <m/>
    <m/>
    <m/>
    <m/>
    <m/>
    <m/>
  </r>
  <r>
    <s v="CE51863"/>
    <s v="EDNA ROCIO MONCADA"/>
    <s v="RETAIL"/>
    <x v="24"/>
    <s v="KRYPTO"/>
    <e v="#NAME?"/>
    <x v="3"/>
    <n v="0.02"/>
    <s v="QA"/>
    <s v="Otras Tec."/>
    <m/>
    <e v="#NAME?"/>
    <e v="#NAME?"/>
    <e v="#NAME?"/>
    <m/>
    <m/>
    <m/>
    <m/>
    <m/>
    <m/>
    <m/>
    <m/>
    <m/>
  </r>
  <r>
    <s v="CE51863"/>
    <s v="EDNA ROCIO MONCADA"/>
    <s v="RETAIL"/>
    <x v="23"/>
    <s v="KRYPTO"/>
    <e v="#NAME?"/>
    <x v="171"/>
    <n v="0.02"/>
    <s v="QA"/>
    <s v="Otras Tec."/>
    <m/>
    <e v="#NAME?"/>
    <e v="#NAME?"/>
    <e v="#NAME?"/>
    <m/>
    <m/>
    <m/>
    <m/>
    <m/>
    <m/>
    <m/>
    <m/>
    <m/>
  </r>
  <r>
    <s v="CE51863"/>
    <s v="EDNA ROCIO MONCADA"/>
    <s v="RETAIL"/>
    <x v="23"/>
    <s v="KRYPTO"/>
    <e v="#NAME?"/>
    <x v="172"/>
    <n v="0.02"/>
    <s v="QA"/>
    <s v="Otras Tec."/>
    <m/>
    <e v="#NAME?"/>
    <e v="#NAME?"/>
    <e v="#NAME?"/>
    <m/>
    <m/>
    <m/>
    <m/>
    <m/>
    <m/>
    <m/>
    <m/>
    <m/>
  </r>
  <r>
    <s v="CE51863"/>
    <s v="EDNA ROCIO MONCADA"/>
    <s v="RETAIL"/>
    <x v="24"/>
    <s v="KRYPTO"/>
    <e v="#NAME?"/>
    <x v="173"/>
    <n v="0.02"/>
    <s v="QA"/>
    <s v="Otras Tec."/>
    <m/>
    <e v="#NAME?"/>
    <e v="#NAME?"/>
    <e v="#NAME?"/>
    <m/>
    <m/>
    <m/>
    <m/>
    <m/>
    <m/>
    <m/>
    <m/>
    <m/>
  </r>
  <r>
    <s v="CE51863"/>
    <s v="EDNA ROCIO MONCADA"/>
    <s v="RETAIL"/>
    <x v="24"/>
    <s v="KRYPTO"/>
    <e v="#NAME?"/>
    <x v="170"/>
    <n v="0.02"/>
    <s v="QA"/>
    <s v="Otras Tec."/>
    <m/>
    <e v="#NAME?"/>
    <e v="#NAME?"/>
    <e v="#NAME?"/>
    <m/>
    <m/>
    <m/>
    <m/>
    <m/>
    <m/>
    <m/>
    <m/>
    <m/>
  </r>
  <r>
    <s v="CE51863"/>
    <s v="EDNA ROCIO MONCADA"/>
    <s v="RETAIL"/>
    <x v="22"/>
    <s v="KRYPTO"/>
    <e v="#NAME?"/>
    <x v="169"/>
    <n v="0.02"/>
    <s v="QA"/>
    <s v="Otras Tec."/>
    <m/>
    <e v="#NAME?"/>
    <e v="#NAME?"/>
    <e v="#NAME?"/>
    <m/>
    <m/>
    <m/>
    <m/>
    <m/>
    <m/>
    <m/>
    <m/>
    <m/>
  </r>
  <r>
    <s v="CE51863"/>
    <s v="EDNA ROCIO MONCADA"/>
    <s v="RETAIL"/>
    <x v="22"/>
    <s v="KRYPTO"/>
    <e v="#NAME?"/>
    <x v="166"/>
    <n v="0.02"/>
    <s v="QA"/>
    <s v="Otras Tec."/>
    <m/>
    <e v="#NAME?"/>
    <e v="#NAME?"/>
    <e v="#NAME?"/>
    <m/>
    <m/>
    <m/>
    <m/>
    <m/>
    <m/>
    <m/>
    <m/>
    <m/>
  </r>
  <r>
    <s v="CE51863"/>
    <s v="EDNA ROCIO MONCADA"/>
    <s v="RETAIL"/>
    <x v="22"/>
    <s v="KRYPTO"/>
    <e v="#NAME?"/>
    <x v="167"/>
    <n v="0.02"/>
    <s v="QA"/>
    <s v="Otras Tec."/>
    <m/>
    <e v="#NAME?"/>
    <e v="#NAME?"/>
    <e v="#NAME?"/>
    <m/>
    <m/>
    <m/>
    <m/>
    <m/>
    <m/>
    <m/>
    <m/>
    <m/>
  </r>
  <r>
    <s v="CE51863"/>
    <s v="EDNA ROCIO MONCADA"/>
    <s v="RETAIL"/>
    <x v="22"/>
    <s v="KRYPTO"/>
    <e v="#NAME?"/>
    <x v="165"/>
    <n v="0.02"/>
    <s v="QA"/>
    <s v="Otras Tec."/>
    <m/>
    <e v="#NAME?"/>
    <e v="#NAME?"/>
    <e v="#NAME?"/>
    <m/>
    <m/>
    <m/>
    <m/>
    <m/>
    <m/>
    <m/>
    <m/>
    <m/>
  </r>
  <r>
    <s v="C811170"/>
    <s v="CRISTIAN ANDREY ANTOLINEZ BOHORQUEZ"/>
    <s v="RETAIL"/>
    <x v="24"/>
    <s v="BBVA"/>
    <e v="#NAME?"/>
    <x v="173"/>
    <n v="1"/>
    <s v="Desarrollador"/>
    <s v="Distribuido"/>
    <s v="SW Genesys"/>
    <e v="#NAME?"/>
    <e v="#NAME?"/>
    <e v="#NAME?"/>
    <m/>
    <m/>
    <m/>
    <m/>
    <m/>
    <m/>
    <m/>
    <m/>
    <m/>
  </r>
  <r>
    <s v="O003245"/>
    <s v="CRISTIAN RENE MENDEZ"/>
    <s v="RETAIL"/>
    <x v="23"/>
    <s v="BBVA"/>
    <e v="#NAME?"/>
    <x v="3"/>
    <n v="0.7"/>
    <s v="Tech Manager/Líder"/>
    <s v="Otras Tec."/>
    <m/>
    <e v="#NAME?"/>
    <e v="#NAME?"/>
    <e v="#NAME?"/>
    <m/>
    <m/>
    <m/>
    <m/>
    <m/>
    <m/>
    <m/>
    <m/>
    <m/>
  </r>
  <r>
    <s v="O003245"/>
    <s v="CRISTIAN RENE MENDEZ"/>
    <s v="RETAIL"/>
    <x v="23"/>
    <s v="BBVA"/>
    <e v="#NAME?"/>
    <x v="172"/>
    <n v="0.1"/>
    <s v="Tech Manager/Líder"/>
    <s v="Otras Tec."/>
    <m/>
    <e v="#NAME?"/>
    <e v="#NAME?"/>
    <e v="#NAME?"/>
    <m/>
    <m/>
    <m/>
    <m/>
    <m/>
    <m/>
    <m/>
    <m/>
    <m/>
  </r>
  <r>
    <s v="O003245"/>
    <s v="CRISTIAN RENE MENDEZ"/>
    <s v="RETAIL"/>
    <x v="24"/>
    <s v="BBVA"/>
    <e v="#NAME?"/>
    <x v="173"/>
    <n v="0.1"/>
    <s v="Tech Manager/Líder"/>
    <s v="Otras Tec."/>
    <m/>
    <e v="#NAME?"/>
    <e v="#NAME?"/>
    <e v="#NAME?"/>
    <m/>
    <m/>
    <m/>
    <m/>
    <m/>
    <m/>
    <m/>
    <m/>
    <m/>
  </r>
  <r>
    <s v="O003245"/>
    <s v="CRISTIAN RENE MENDEZ"/>
    <s v="RETAIL"/>
    <x v="24"/>
    <s v="BBVA"/>
    <e v="#NAME?"/>
    <x v="170"/>
    <n v="0.1"/>
    <s v="Tech Manager/Líder"/>
    <s v="Otras Tec."/>
    <m/>
    <e v="#NAME?"/>
    <e v="#NAME?"/>
    <e v="#NAME?"/>
    <m/>
    <m/>
    <m/>
    <m/>
    <m/>
    <m/>
    <m/>
    <m/>
    <m/>
  </r>
  <r>
    <s v="C342547"/>
    <s v="DAVID LEONARDO OBANDO CORTÉS"/>
    <s v="RETAIL"/>
    <x v="23"/>
    <s v="BBVA"/>
    <e v="#NAME?"/>
    <x v="3"/>
    <n v="0.25"/>
    <s v="Desarrollador"/>
    <s v="Mainframe"/>
    <m/>
    <e v="#NAME?"/>
    <e v="#NAME?"/>
    <e v="#NAME?"/>
    <m/>
    <m/>
    <m/>
    <m/>
    <m/>
    <m/>
    <m/>
    <m/>
    <m/>
  </r>
  <r>
    <s v="C342547"/>
    <s v="DAVID LEONARDO OBANDO CORTÉS"/>
    <s v="RETAIL"/>
    <x v="23"/>
    <s v="BBVA"/>
    <e v="#NAME?"/>
    <x v="172"/>
    <n v="0.75"/>
    <s v="Desarrollador"/>
    <s v="Mainframe"/>
    <m/>
    <e v="#NAME?"/>
    <e v="#NAME?"/>
    <e v="#NAME?"/>
    <m/>
    <m/>
    <m/>
    <m/>
    <m/>
    <m/>
    <m/>
    <m/>
    <m/>
  </r>
  <r>
    <s v="CE59507"/>
    <s v="DAVID RODRIGUEZ RANGEL"/>
    <s v="RETAIL"/>
    <x v="23"/>
    <s v="Inetum"/>
    <e v="#NAME?"/>
    <x v="172"/>
    <n v="1"/>
    <s v="Desarrollador"/>
    <s v="Distribuido"/>
    <m/>
    <e v="#NAME?"/>
    <e v="#NAME?"/>
    <e v="#NAME?"/>
    <m/>
    <m/>
    <m/>
    <m/>
    <m/>
    <m/>
    <m/>
    <m/>
    <m/>
  </r>
  <r>
    <s v="C809616"/>
    <s v="DIEGO FERNANDO MONTEALEGRE ROZO"/>
    <s v="RETAIL"/>
    <x v="22"/>
    <s v="BBVA"/>
    <e v="#NAME?"/>
    <x v="3"/>
    <n v="0.25"/>
    <s v="Desarrollador"/>
    <s v="Distribuido"/>
    <s v="DataPower"/>
    <e v="#NAME?"/>
    <e v="#NAME?"/>
    <e v="#NAME?"/>
    <m/>
    <m/>
    <m/>
    <m/>
    <m/>
    <m/>
    <m/>
    <m/>
    <m/>
  </r>
  <r>
    <s v="C809616"/>
    <s v="DIEGO FERNANDO MONTEALEGRE ROZO"/>
    <s v="RETAIL"/>
    <x v="22"/>
    <s v="BBVA"/>
    <e v="#NAME?"/>
    <x v="167"/>
    <n v="0.75"/>
    <s v="Desarrollador"/>
    <s v="Distribuido"/>
    <s v="DataPower"/>
    <e v="#NAME?"/>
    <e v="#NAME?"/>
    <e v="#NAME?"/>
    <m/>
    <m/>
    <m/>
    <m/>
    <m/>
    <m/>
    <m/>
    <m/>
    <m/>
  </r>
  <r>
    <s v="C810674"/>
    <s v="EDWIN ARMANDO CASTRO MARTIN"/>
    <s v="RETAIL"/>
    <x v="24"/>
    <s v="BBVA"/>
    <e v="#NAME?"/>
    <x v="170"/>
    <n v="1"/>
    <s v="Desarrollador"/>
    <s v="Cells"/>
    <m/>
    <e v="#NAME?"/>
    <e v="#NAME?"/>
    <e v="#NAME?"/>
    <m/>
    <m/>
    <m/>
    <m/>
    <m/>
    <m/>
    <m/>
    <m/>
    <m/>
  </r>
  <r>
    <s v="C803039"/>
    <s v="EVELIN LORENA PEDRAZA ROMERO"/>
    <s v="RETAIL"/>
    <x v="22"/>
    <s v="BBVA"/>
    <e v="#NAME?"/>
    <x v="3"/>
    <n v="0.5"/>
    <s v="Desarrollador"/>
    <s v="ASO"/>
    <m/>
    <e v="#NAME?"/>
    <e v="#NAME?"/>
    <e v="#NAME?"/>
    <m/>
    <m/>
    <m/>
    <m/>
    <m/>
    <m/>
    <m/>
    <m/>
    <m/>
  </r>
  <r>
    <s v="C803039"/>
    <s v="EVELIN LORENA PEDRAZA ROMERO"/>
    <s v="RETAIL"/>
    <x v="22"/>
    <s v="BBVA"/>
    <e v="#NAME?"/>
    <x v="165"/>
    <n v="0.5"/>
    <s v="Desarrollador"/>
    <s v="Mainframe"/>
    <m/>
    <e v="#NAME?"/>
    <e v="#NAME?"/>
    <e v="#NAME?"/>
    <m/>
    <m/>
    <m/>
    <m/>
    <m/>
    <m/>
    <m/>
    <m/>
    <m/>
  </r>
  <r>
    <s v="CE70580"/>
    <s v="FABIAN ARTURO RAMIREZ BROCHE"/>
    <s v="RETAIL"/>
    <x v="25"/>
    <s v="Inetum"/>
    <e v="#NAME?"/>
    <x v="3"/>
    <n v="1"/>
    <s v="Desarrollador"/>
    <s v="Distribuido"/>
    <s v="RPA Blue Prims"/>
    <e v="#NAME?"/>
    <e v="#NAME?"/>
    <e v="#NAME?"/>
    <m/>
    <m/>
    <m/>
    <m/>
    <m/>
    <m/>
    <m/>
    <m/>
    <m/>
  </r>
  <r>
    <s v="C804602"/>
    <s v="JOAN DE JESUS SANCHEZ CANDANOZA"/>
    <s v="RETAIL"/>
    <x v="25"/>
    <s v="BBVA"/>
    <e v="#NAME?"/>
    <x v="3"/>
    <n v="1"/>
    <s v="Desarrollador"/>
    <s v="Distribuido"/>
    <s v="RPA Blue Prims"/>
    <e v="#NAME?"/>
    <e v="#NAME?"/>
    <e v="#NAME?"/>
    <m/>
    <m/>
    <m/>
    <m/>
    <m/>
    <m/>
    <m/>
    <m/>
    <m/>
  </r>
  <r>
    <s v="CE70183"/>
    <s v="JOEL ANDRÉS CANTILLO NIETO"/>
    <s v="RETAIL"/>
    <x v="24"/>
    <s v="GGI / CMC"/>
    <e v="#NAME?"/>
    <x v="173"/>
    <n v="1"/>
    <s v="Desarrollador"/>
    <s v="Mainframe"/>
    <m/>
    <e v="#NAME?"/>
    <e v="#NAME?"/>
    <e v="#NAME?"/>
    <m/>
    <m/>
    <m/>
    <m/>
    <m/>
    <m/>
    <m/>
    <m/>
    <m/>
  </r>
  <r>
    <s v="C805564"/>
    <s v="JOHN JAIRO CARDENAS SANABRIA"/>
    <s v="RETAIL"/>
    <x v="22"/>
    <s v="BBVA"/>
    <e v="#NAME?"/>
    <x v="166"/>
    <n v="0.6"/>
    <s v="Desarrollador"/>
    <s v="Mainframe"/>
    <m/>
    <e v="#NAME?"/>
    <e v="#NAME?"/>
    <e v="#NAME?"/>
    <m/>
    <m/>
    <m/>
    <m/>
    <m/>
    <m/>
    <m/>
    <m/>
    <m/>
  </r>
  <r>
    <s v="C805564"/>
    <s v="JOHN JAIRO CARDENAS SANABRIA"/>
    <s v="RETAIL"/>
    <x v="22"/>
    <s v="BBVA"/>
    <e v="#NAME?"/>
    <x v="3"/>
    <n v="0.1"/>
    <s v="Desarrollador"/>
    <s v="Distribuido"/>
    <m/>
    <e v="#NAME?"/>
    <e v="#NAME?"/>
    <e v="#NAME?"/>
    <m/>
    <m/>
    <m/>
    <m/>
    <m/>
    <m/>
    <m/>
    <m/>
    <m/>
  </r>
  <r>
    <s v="C805564"/>
    <s v="JOHN JAIRO CARDENAS SANABRIA"/>
    <s v="RETAIL"/>
    <x v="22"/>
    <s v="BBVA"/>
    <e v="#NAME?"/>
    <x v="167"/>
    <n v="0.3"/>
    <s v="Desarrollador"/>
    <s v="Mainframe"/>
    <m/>
    <e v="#NAME?"/>
    <e v="#NAME?"/>
    <e v="#NAME?"/>
    <m/>
    <m/>
    <m/>
    <m/>
    <m/>
    <m/>
    <m/>
    <m/>
    <m/>
  </r>
  <r>
    <s v="C810669"/>
    <s v="JORGE ANDRES MANRIQUE MARTINEZ"/>
    <s v="RETAIL"/>
    <x v="24"/>
    <s v="BBVA"/>
    <e v="#NAME?"/>
    <x v="173"/>
    <n v="1"/>
    <s v="Desarrollador"/>
    <s v="ASO"/>
    <m/>
    <e v="#NAME?"/>
    <e v="#NAME?"/>
    <e v="#NAME?"/>
    <m/>
    <m/>
    <m/>
    <m/>
    <m/>
    <m/>
    <m/>
    <m/>
    <m/>
  </r>
  <r>
    <s v="O002469"/>
    <s v="JOSE AGUSTIN PALOMINO PARDO"/>
    <s v="RETAIL"/>
    <x v="22"/>
    <s v="BBVA"/>
    <e v="#NAME?"/>
    <x v="3"/>
    <n v="1"/>
    <s v="Desarrollador"/>
    <s v="ASO"/>
    <m/>
    <e v="#NAME?"/>
    <e v="#NAME?"/>
    <e v="#NAME?"/>
    <m/>
    <m/>
    <m/>
    <m/>
    <m/>
    <m/>
    <m/>
    <m/>
    <m/>
  </r>
  <r>
    <s v="O003310"/>
    <s v="KAREN MARGARITA ARENILLA TRIGOS"/>
    <s v="RETAIL"/>
    <x v="22"/>
    <s v="BBVA"/>
    <e v="#NAME?"/>
    <x v="3"/>
    <n v="1"/>
    <s v="Desarrollador"/>
    <s v="APX"/>
    <s v="ASO/APX"/>
    <e v="#NAME?"/>
    <e v="#NAME?"/>
    <e v="#NAME?"/>
    <m/>
    <m/>
    <m/>
    <m/>
    <m/>
    <m/>
    <m/>
    <m/>
    <m/>
  </r>
  <r>
    <s v="O002599"/>
    <s v="LAURA VALENTINA SANDOVAL MARIN"/>
    <s v="RETAIL"/>
    <x v="24"/>
    <s v="BBVA"/>
    <e v="#NAME?"/>
    <x v="173"/>
    <n v="1"/>
    <s v="Desarrollador"/>
    <s v="ASO"/>
    <m/>
    <e v="#NAME?"/>
    <e v="#NAME?"/>
    <e v="#NAME?"/>
    <m/>
    <m/>
    <m/>
    <m/>
    <m/>
    <m/>
    <m/>
    <m/>
    <m/>
  </r>
  <r>
    <s v="C808303"/>
    <s v="MARIA CAMILA BUITRAGO"/>
    <s v="RETAIL"/>
    <x v="22"/>
    <s v="BBVA"/>
    <e v="#NAME?"/>
    <x v="3"/>
    <n v="0.7"/>
    <s v="Tech Manager/Líder"/>
    <s v="Otras Tec."/>
    <m/>
    <e v="#NAME?"/>
    <e v="#NAME?"/>
    <e v="#NAME?"/>
    <m/>
    <m/>
    <m/>
    <m/>
    <m/>
    <m/>
    <m/>
    <m/>
    <m/>
  </r>
  <r>
    <s v="C808303"/>
    <s v="MARIA CAMILA BUITRAGO"/>
    <s v="RETAIL"/>
    <x v="22"/>
    <s v="BBVA"/>
    <e v="#NAME?"/>
    <x v="169"/>
    <n v="0.1"/>
    <s v="Tech Manager/Líder"/>
    <s v="Otras Tec."/>
    <m/>
    <e v="#NAME?"/>
    <e v="#NAME?"/>
    <e v="#NAME?"/>
    <m/>
    <m/>
    <m/>
    <m/>
    <m/>
    <m/>
    <m/>
    <m/>
    <m/>
  </r>
  <r>
    <s v="C808303"/>
    <s v="MARIA CAMILA BUITRAGO"/>
    <s v="RETAIL"/>
    <x v="22"/>
    <s v="BBVA"/>
    <e v="#NAME?"/>
    <x v="166"/>
    <n v="0.05"/>
    <s v="Tech Manager/Líder"/>
    <s v="Otras Tec."/>
    <m/>
    <e v="#NAME?"/>
    <e v="#NAME?"/>
    <e v="#NAME?"/>
    <m/>
    <m/>
    <m/>
    <m/>
    <m/>
    <m/>
    <m/>
    <m/>
    <m/>
  </r>
  <r>
    <s v="C808303"/>
    <s v="MARIA CAMILA BUITRAGO"/>
    <s v="RETAIL"/>
    <x v="22"/>
    <s v="BBVA"/>
    <e v="#NAME?"/>
    <x v="167"/>
    <n v="0.05"/>
    <s v="Tech Manager/Líder"/>
    <s v="Otras Tec."/>
    <m/>
    <e v="#NAME?"/>
    <e v="#NAME?"/>
    <e v="#NAME?"/>
    <m/>
    <m/>
    <m/>
    <m/>
    <m/>
    <m/>
    <m/>
    <m/>
    <m/>
  </r>
  <r>
    <s v="C808303"/>
    <s v="MARIA CAMILA BUITRAGO"/>
    <s v="RETAIL"/>
    <x v="22"/>
    <s v="BBVA"/>
    <e v="#NAME?"/>
    <x v="165"/>
    <n v="0.05"/>
    <s v="Tech Manager/Líder"/>
    <s v="Otras Tec."/>
    <m/>
    <e v="#NAME?"/>
    <e v="#NAME?"/>
    <e v="#NAME?"/>
    <m/>
    <m/>
    <m/>
    <m/>
    <m/>
    <m/>
    <m/>
    <m/>
    <m/>
  </r>
  <r>
    <s v="C808303"/>
    <s v="MARIA CAMILA BUITRAGO"/>
    <s v="RETAIL"/>
    <x v="25"/>
    <s v="BBVA"/>
    <e v="#NAME?"/>
    <x v="61"/>
    <n v="0.05"/>
    <s v="Tech Manager/Líder"/>
    <s v="Otras Tec."/>
    <m/>
    <e v="#NAME?"/>
    <e v="#NAME?"/>
    <e v="#NAME?"/>
    <m/>
    <m/>
    <m/>
    <m/>
    <m/>
    <m/>
    <m/>
    <m/>
    <m/>
  </r>
  <r>
    <s v="CE59254"/>
    <s v="MARLLY JAZMIN VARGAS GARZÓN"/>
    <s v="RETAIL"/>
    <x v="24"/>
    <s v="KRYPTO"/>
    <e v="#NAME?"/>
    <x v="170"/>
    <n v="1"/>
    <s v="QA"/>
    <s v="Otras Tec."/>
    <m/>
    <e v="#NAME?"/>
    <e v="#NAME?"/>
    <e v="#NAME?"/>
    <m/>
    <m/>
    <m/>
    <m/>
    <m/>
    <m/>
    <m/>
    <m/>
    <m/>
  </r>
  <r>
    <s v="CE69603"/>
    <s v="MIGUEL ANGEL LUENGAS"/>
    <s v="RETAIL"/>
    <x v="23"/>
    <s v="Choucair"/>
    <e v="#NAME?"/>
    <x v="172"/>
    <n v="1"/>
    <s v="QA"/>
    <s v="Otras Tec."/>
    <m/>
    <e v="#NAME?"/>
    <e v="#NAME?"/>
    <e v="#NAME?"/>
    <m/>
    <m/>
    <m/>
    <m/>
    <m/>
    <m/>
    <m/>
    <m/>
    <m/>
  </r>
  <r>
    <s v="T004574"/>
    <s v="NICOLÁS ENRIQUE BUITRAGO ARANGO"/>
    <s v="RETAIL"/>
    <x v="24"/>
    <s v="GGI / CMC"/>
    <e v="#NAME?"/>
    <x v="170"/>
    <n v="1"/>
    <s v="Desarrollador"/>
    <s v="ASO"/>
    <m/>
    <e v="#NAME?"/>
    <e v="#NAME?"/>
    <e v="#NAME?"/>
    <m/>
    <m/>
    <m/>
    <m/>
    <m/>
    <m/>
    <m/>
    <m/>
    <m/>
  </r>
  <r>
    <s v="CE57586"/>
    <s v="OMAR ESTEBAN MATUK"/>
    <s v="RETAIL"/>
    <x v="22"/>
    <s v="GGI / CMC"/>
    <e v="#NAME?"/>
    <x v="167"/>
    <n v="0.2"/>
    <s v="Desarrollador"/>
    <s v="Mainframe"/>
    <m/>
    <e v="#NAME?"/>
    <e v="#NAME?"/>
    <e v="#NAME?"/>
    <m/>
    <m/>
    <m/>
    <m/>
    <m/>
    <m/>
    <m/>
    <m/>
    <m/>
  </r>
  <r>
    <s v="CE57586"/>
    <s v="OMAR ESTEBAN MATUK"/>
    <s v="RETAIL"/>
    <x v="22"/>
    <s v="GGI / CMC"/>
    <e v="#NAME?"/>
    <x v="166"/>
    <n v="0.6"/>
    <s v="Desarrollador"/>
    <s v="Mainframe"/>
    <m/>
    <e v="#NAME?"/>
    <e v="#NAME?"/>
    <e v="#NAME?"/>
    <m/>
    <m/>
    <m/>
    <m/>
    <m/>
    <m/>
    <m/>
    <m/>
    <m/>
  </r>
  <r>
    <s v="CE57586"/>
    <s v="OMAR ESTEBAN MATUK"/>
    <s v="RETAIL"/>
    <x v="22"/>
    <s v="GGI / CMC"/>
    <e v="#NAME?"/>
    <x v="165"/>
    <n v="0.2"/>
    <s v="Desarrollador"/>
    <s v="Mainframe"/>
    <m/>
    <e v="#NAME?"/>
    <e v="#NAME?"/>
    <e v="#NAME?"/>
    <m/>
    <m/>
    <m/>
    <m/>
    <m/>
    <m/>
    <m/>
    <m/>
    <m/>
  </r>
  <r>
    <s v="CE59969"/>
    <s v="PABLO ANTONIO MARQUEZ"/>
    <s v="RETAIL"/>
    <x v="24"/>
    <s v="Novatec"/>
    <e v="#NAME?"/>
    <x v="170"/>
    <n v="1"/>
    <s v="Desarrollador"/>
    <s v="Mainframe"/>
    <m/>
    <e v="#NAME?"/>
    <e v="#NAME?"/>
    <e v="#NAME?"/>
    <m/>
    <m/>
    <m/>
    <m/>
    <m/>
    <m/>
    <m/>
    <m/>
    <m/>
  </r>
  <r>
    <s v="CE43579"/>
    <s v="PLINIO EDUARDO MARTINEZ ESPITIA"/>
    <s v="RETAIL"/>
    <x v="23"/>
    <s v="GGI / CMC"/>
    <e v="#NAME?"/>
    <x v="160"/>
    <n v="0.1"/>
    <s v="QA"/>
    <s v="Otras Tec."/>
    <m/>
    <e v="#NAME?"/>
    <e v="#NAME?"/>
    <e v="#NAME?"/>
    <m/>
    <m/>
    <m/>
    <m/>
    <m/>
    <m/>
    <m/>
    <m/>
    <m/>
  </r>
  <r>
    <s v="CE43579"/>
    <s v="PLINIO EDUARDO MARTINEZ ESPITIA"/>
    <s v="RETAIL"/>
    <x v="23"/>
    <s v="GGI / CMC"/>
    <e v="#NAME?"/>
    <x v="169"/>
    <n v="0.3"/>
    <s v="QA"/>
    <s v="Otras Tec."/>
    <m/>
    <e v="#NAME?"/>
    <e v="#NAME?"/>
    <e v="#NAME?"/>
    <m/>
    <m/>
    <m/>
    <m/>
    <m/>
    <m/>
    <m/>
    <m/>
    <m/>
  </r>
  <r>
    <s v="CE43579"/>
    <s v="PLINIO EDUARDO MARTINEZ ESPITIA"/>
    <s v="RETAIL"/>
    <x v="23"/>
    <s v="GGI / CMC"/>
    <e v="#NAME?"/>
    <x v="168"/>
    <n v="0.3"/>
    <s v="QA"/>
    <s v="Otras Tec."/>
    <m/>
    <e v="#NAME?"/>
    <e v="#NAME?"/>
    <e v="#NAME?"/>
    <m/>
    <m/>
    <m/>
    <m/>
    <m/>
    <m/>
    <m/>
    <m/>
    <m/>
  </r>
  <r>
    <s v="CE43579"/>
    <s v="PLINIO EDUARDO MARTINEZ ESPITIA"/>
    <s v="RETAIL"/>
    <x v="23"/>
    <s v="GGI / CMC"/>
    <e v="#NAME?"/>
    <x v="3"/>
    <n v="0.3"/>
    <s v="QA"/>
    <s v="Otras Tec."/>
    <m/>
    <e v="#NAME?"/>
    <e v="#NAME?"/>
    <e v="#NAME?"/>
    <m/>
    <m/>
    <m/>
    <m/>
    <m/>
    <m/>
    <m/>
    <m/>
    <m/>
  </r>
  <r>
    <s v="C804684"/>
    <s v="WALTHER STIVENS ZAPATA TABERA"/>
    <s v="RETAIL"/>
    <x v="23"/>
    <s v="BBVA"/>
    <e v="#NAME?"/>
    <x v="169"/>
    <n v="0.5"/>
    <s v="Desarrollador"/>
    <s v="Mainframe"/>
    <m/>
    <e v="#NAME?"/>
    <e v="#NAME?"/>
    <e v="#NAME?"/>
    <m/>
    <m/>
    <m/>
    <m/>
    <m/>
    <m/>
    <m/>
    <m/>
    <m/>
  </r>
  <r>
    <s v="C804684"/>
    <s v="WALTHER STIVENS ZAPATA TABERA"/>
    <s v="RETAIL"/>
    <x v="23"/>
    <s v="BBVA"/>
    <e v="#NAME?"/>
    <x v="168"/>
    <n v="0.1"/>
    <s v="Desarrollador"/>
    <s v="Mainframe"/>
    <m/>
    <e v="#NAME?"/>
    <e v="#NAME?"/>
    <e v="#NAME?"/>
    <m/>
    <m/>
    <m/>
    <m/>
    <m/>
    <m/>
    <m/>
    <m/>
    <m/>
  </r>
  <r>
    <s v="C804684"/>
    <s v="WALTHER STIVENS ZAPATA TABERA"/>
    <s v="RETAIL"/>
    <x v="23"/>
    <s v="BBVA"/>
    <e v="#NAME?"/>
    <x v="3"/>
    <n v="0.4"/>
    <s v="Desarrollador"/>
    <s v="Mainframe"/>
    <m/>
    <e v="#NAME?"/>
    <e v="#NAME?"/>
    <e v="#NAME?"/>
    <m/>
    <m/>
    <m/>
    <m/>
    <m/>
    <m/>
    <m/>
    <m/>
    <m/>
  </r>
  <r>
    <s v="CE68929"/>
    <s v="YENIFER ARANGO TABARES"/>
    <s v="RETAIL"/>
    <x v="24"/>
    <s v="Choucair"/>
    <e v="#NAME?"/>
    <x v="173"/>
    <n v="1"/>
    <s v="QA"/>
    <s v="Otras Tec."/>
    <m/>
    <e v="#NAME?"/>
    <e v="#NAME?"/>
    <e v="#NAME?"/>
    <m/>
    <m/>
    <m/>
    <m/>
    <m/>
    <m/>
    <m/>
    <m/>
    <m/>
  </r>
  <r>
    <s v="CE61162"/>
    <s v="JOSE ANTONIO PERFECTO"/>
    <s v="RETAIL"/>
    <x v="24"/>
    <s v="Accenture"/>
    <e v="#NAME?"/>
    <x v="173"/>
    <n v="1"/>
    <s v="Desarrollador"/>
    <s v="APX"/>
    <m/>
    <e v="#NAME?"/>
    <e v="#NAME?"/>
    <e v="#NAME?"/>
    <m/>
    <m/>
    <m/>
    <m/>
    <m/>
    <m/>
    <m/>
    <m/>
    <m/>
  </r>
  <r>
    <s v="O004597"/>
    <s v="LUIS FELIPE VILLEGAS SANCHEZ"/>
    <s v="RETAIL"/>
    <x v="23"/>
    <s v="BBVA"/>
    <e v="#NAME?"/>
    <x v="168"/>
    <n v="1"/>
    <s v="Desarrollador"/>
    <s v="ASO"/>
    <m/>
    <e v="#NAME?"/>
    <e v="#NAME?"/>
    <e v="#NAME?"/>
    <m/>
    <m/>
    <m/>
    <m/>
    <m/>
    <m/>
    <m/>
    <m/>
    <m/>
  </r>
  <r>
    <s v="CE66885"/>
    <s v="ADRIAN ROJAS"/>
    <s v="CORE"/>
    <x v="11"/>
    <s v="Meraki"/>
    <e v="#NAME?"/>
    <x v="174"/>
    <n v="1"/>
    <s v="Desarrollador"/>
    <s v="APX"/>
    <m/>
    <e v="#NAME?"/>
    <e v="#NAME?"/>
    <e v="#NAME?"/>
    <m/>
    <m/>
    <m/>
    <m/>
    <m/>
    <n v="1"/>
    <m/>
    <m/>
    <m/>
  </r>
  <r>
    <s v="CE70173"/>
    <s v="ADRIANA MAYERLY RAMIREZ"/>
    <s v="CORE"/>
    <x v="11"/>
    <s v="Choucair"/>
    <e v="#NAME?"/>
    <x v="175"/>
    <n v="1"/>
    <s v="QA"/>
    <s v="Cells"/>
    <m/>
    <e v="#NAME?"/>
    <e v="#NAME?"/>
    <e v="#NAME?"/>
    <m/>
    <m/>
    <m/>
    <m/>
    <m/>
    <n v="1"/>
    <m/>
    <m/>
    <m/>
  </r>
  <r>
    <s v="CE17710"/>
    <s v="ANDREA MARIETA LOPEZ PARRA."/>
    <s v="CORE"/>
    <x v="11"/>
    <s v="Novatec"/>
    <e v="#NAME?"/>
    <x v="3"/>
    <n v="1"/>
    <s v="Desarrollador"/>
    <s v="Mainframe"/>
    <m/>
    <e v="#NAME?"/>
    <e v="#NAME?"/>
    <e v="#NAME?"/>
    <m/>
    <m/>
    <m/>
    <m/>
    <m/>
    <n v="1"/>
    <m/>
    <m/>
    <m/>
  </r>
  <r>
    <s v="T004480"/>
    <s v="ANDRES DAVID ARIAS"/>
    <s v="CORE"/>
    <x v="11"/>
    <s v="Novatec"/>
    <e v="#NAME?"/>
    <x v="3"/>
    <n v="1"/>
    <s v="Desarrollador"/>
    <s v="Mainframe"/>
    <m/>
    <e v="#NAME?"/>
    <e v="#NAME?"/>
    <e v="#NAME?"/>
    <m/>
    <m/>
    <m/>
    <m/>
    <m/>
    <n v="1"/>
    <m/>
    <m/>
    <m/>
  </r>
  <r>
    <s v="C805316"/>
    <s v="ANGELA MARIA BENITEZ"/>
    <s v="CORE"/>
    <x v="11"/>
    <s v="BBVA"/>
    <e v="#NAME?"/>
    <x v="176"/>
    <n v="1"/>
    <s v="Desarrollador"/>
    <s v="Mainframe"/>
    <m/>
    <e v="#NAME?"/>
    <e v="#NAME?"/>
    <e v="#NAME?"/>
    <m/>
    <m/>
    <m/>
    <m/>
    <m/>
    <n v="1"/>
    <m/>
    <m/>
    <m/>
  </r>
  <r>
    <s v="C810793"/>
    <s v="CAMILO ERNESTO MUÑOZ LOVERA"/>
    <s v="CORE"/>
    <x v="11"/>
    <s v="BBVA"/>
    <e v="#NAME?"/>
    <x v="176"/>
    <n v="1"/>
    <s v="Desarrollador"/>
    <s v="ASO"/>
    <m/>
    <e v="#NAME?"/>
    <e v="#NAME?"/>
    <e v="#NAME?"/>
    <m/>
    <m/>
    <m/>
    <m/>
    <m/>
    <n v="1"/>
    <m/>
    <m/>
    <m/>
  </r>
  <r>
    <s v="C811175"/>
    <s v="CIRO ALONSO RINCON HERNANDEZ"/>
    <s v="CORE"/>
    <x v="11"/>
    <s v="BBVA"/>
    <e v="#NAME?"/>
    <x v="177"/>
    <n v="0.2"/>
    <s v="Desarrollador"/>
    <s v="Mainframe"/>
    <m/>
    <e v="#NAME?"/>
    <e v="#NAME?"/>
    <e v="#NAME?"/>
    <m/>
    <m/>
    <m/>
    <m/>
    <m/>
    <n v="1"/>
    <m/>
    <m/>
    <m/>
  </r>
  <r>
    <s v="C811175"/>
    <s v="CIRO ALONSO RINCON HERNANDEZ"/>
    <s v="CORE"/>
    <x v="11"/>
    <s v="BBVA"/>
    <e v="#NAME?"/>
    <x v="5"/>
    <n v="0.2"/>
    <s v="Desarrollador"/>
    <s v="Mainframe"/>
    <m/>
    <e v="#NAME?"/>
    <e v="#NAME?"/>
    <e v="#NAME?"/>
    <m/>
    <m/>
    <m/>
    <m/>
    <m/>
    <n v="0"/>
    <m/>
    <m/>
    <m/>
  </r>
  <r>
    <s v="CE46835"/>
    <s v="CLAUDIA PALENCIA"/>
    <s v="CORE"/>
    <x v="11"/>
    <s v="KRYPTO"/>
    <e v="#NAME?"/>
    <x v="174"/>
    <n v="0.2"/>
    <s v="QA"/>
    <s v="Openweb"/>
    <m/>
    <e v="#NAME?"/>
    <e v="#NAME?"/>
    <e v="#NAME?"/>
    <m/>
    <m/>
    <m/>
    <m/>
    <m/>
    <n v="1"/>
    <m/>
    <m/>
    <m/>
  </r>
  <r>
    <s v="CE46835"/>
    <s v="CLAUDIA PALENCIA"/>
    <s v="CORE"/>
    <x v="11"/>
    <s v="KRYPTO"/>
    <e v="#NAME?"/>
    <x v="175"/>
    <n v="0.5"/>
    <s v="QA"/>
    <s v="Mainframe"/>
    <m/>
    <e v="#NAME?"/>
    <e v="#NAME?"/>
    <e v="#NAME?"/>
    <m/>
    <m/>
    <m/>
    <m/>
    <m/>
    <n v="0"/>
    <m/>
    <m/>
    <m/>
  </r>
  <r>
    <s v="CE46835"/>
    <s v="CLAUDIA PALENCIA"/>
    <s v="CORE"/>
    <x v="11"/>
    <s v="KRYPTO"/>
    <e v="#NAME?"/>
    <x v="3"/>
    <n v="0.3"/>
    <s v="QA"/>
    <m/>
    <m/>
    <e v="#NAME?"/>
    <e v="#NAME?"/>
    <e v="#NAME?"/>
    <m/>
    <m/>
    <m/>
    <m/>
    <m/>
    <n v="0"/>
    <m/>
    <m/>
    <m/>
  </r>
  <r>
    <s v="CE69505"/>
    <s v="CLAUDIA YURANI TAQUEZ CHALAPUD"/>
    <s v="CORE"/>
    <x v="11"/>
    <s v="KRYPTO"/>
    <e v="#NAME?"/>
    <x v="174"/>
    <n v="0.2"/>
    <s v="QA"/>
    <s v="Mainframe"/>
    <m/>
    <e v="#NAME?"/>
    <e v="#NAME?"/>
    <e v="#NAME?"/>
    <m/>
    <m/>
    <m/>
    <m/>
    <m/>
    <n v="1"/>
    <m/>
    <m/>
    <m/>
  </r>
  <r>
    <s v="CE69505"/>
    <s v="CLAUDIA YURANI TAQUEZ CHALAPUD"/>
    <s v="CORE"/>
    <x v="11"/>
    <s v="KRYPTO"/>
    <e v="#NAME?"/>
    <x v="3"/>
    <n v="0.3"/>
    <s v="QA"/>
    <s v="Mainframe"/>
    <m/>
    <e v="#NAME?"/>
    <e v="#NAME?"/>
    <e v="#NAME?"/>
    <m/>
    <m/>
    <m/>
    <m/>
    <m/>
    <n v="0"/>
    <m/>
    <m/>
    <m/>
  </r>
  <r>
    <s v="CE69505"/>
    <s v="CLAUDIA YURANI TAQUEZ CHALAPUD"/>
    <s v="CORE"/>
    <x v="11"/>
    <s v="KRYPTO"/>
    <e v="#NAME?"/>
    <x v="175"/>
    <n v="0.5"/>
    <s v="QA"/>
    <s v="Mainframe"/>
    <m/>
    <e v="#NAME?"/>
    <e v="#NAME?"/>
    <e v="#NAME?"/>
    <m/>
    <m/>
    <m/>
    <m/>
    <m/>
    <n v="0"/>
    <m/>
    <m/>
    <m/>
  </r>
  <r>
    <s v="O000988"/>
    <s v="CRISTIAN CAMILO RATIVA PARRA"/>
    <s v="CORE"/>
    <x v="11"/>
    <s v="BBVA"/>
    <e v="#NAME?"/>
    <x v="178"/>
    <n v="0.4"/>
    <s v="Desarrollador"/>
    <s v="Mainframe"/>
    <m/>
    <e v="#NAME?"/>
    <e v="#NAME?"/>
    <e v="#NAME?"/>
    <m/>
    <m/>
    <m/>
    <m/>
    <m/>
    <n v="1"/>
    <m/>
    <m/>
    <m/>
  </r>
  <r>
    <s v="O000988"/>
    <s v="CRISTIAN CAMILO RATIVA PARRA"/>
    <s v="CORE"/>
    <x v="11"/>
    <s v="BBVA"/>
    <e v="#NAME?"/>
    <x v="165"/>
    <n v="0.4"/>
    <s v="Desarrollador"/>
    <s v="Mainframe"/>
    <m/>
    <e v="#NAME?"/>
    <e v="#NAME?"/>
    <e v="#NAME?"/>
    <m/>
    <m/>
    <m/>
    <m/>
    <m/>
    <n v="0"/>
    <m/>
    <m/>
    <m/>
  </r>
  <r>
    <s v="O000988"/>
    <s v="CRISTIAN CAMILO RATIVA PARRA"/>
    <s v="CORE"/>
    <x v="11"/>
    <s v="BBVA"/>
    <e v="#NAME?"/>
    <x v="3"/>
    <n v="0.2"/>
    <s v="Desarrollador"/>
    <s v="Mainframe"/>
    <m/>
    <e v="#NAME?"/>
    <e v="#NAME?"/>
    <e v="#NAME?"/>
    <m/>
    <m/>
    <m/>
    <m/>
    <m/>
    <n v="0"/>
    <m/>
    <m/>
    <m/>
  </r>
  <r>
    <s v="C805861"/>
    <s v="DANIEL SANTIAGO JARAMILLO"/>
    <s v="CORE"/>
    <x v="11"/>
    <s v="BBVA"/>
    <e v="#NAME?"/>
    <x v="175"/>
    <n v="1"/>
    <s v="Desarrollador"/>
    <s v="Mainframe"/>
    <m/>
    <e v="#NAME?"/>
    <e v="#NAME?"/>
    <e v="#NAME?"/>
    <m/>
    <m/>
    <m/>
    <m/>
    <m/>
    <n v="1"/>
    <m/>
    <m/>
    <m/>
  </r>
  <r>
    <s v="CE58194"/>
    <s v="DIANA MAYERLY RAMIREZ"/>
    <s v="CORE"/>
    <x v="11"/>
    <s v="Inetum"/>
    <e v="#NAME?"/>
    <x v="174"/>
    <n v="1"/>
    <s v="QA"/>
    <s v="Mainframe"/>
    <m/>
    <e v="#NAME?"/>
    <e v="#NAME?"/>
    <e v="#NAME?"/>
    <m/>
    <m/>
    <m/>
    <m/>
    <m/>
    <n v="1"/>
    <m/>
    <m/>
    <m/>
  </r>
  <r>
    <s v="O001722"/>
    <s v="EDWARD ALEXANDER DUQUE TAMAYO"/>
    <s v="CORE"/>
    <x v="11"/>
    <s v="BBVA"/>
    <e v="#NAME?"/>
    <x v="3"/>
    <n v="1"/>
    <s v="Desarrollador"/>
    <s v="Mainframe"/>
    <m/>
    <e v="#NAME?"/>
    <e v="#NAME?"/>
    <e v="#NAME?"/>
    <m/>
    <m/>
    <m/>
    <m/>
    <m/>
    <n v="1"/>
    <m/>
    <m/>
    <m/>
  </r>
  <r>
    <s v="C809504"/>
    <s v="ELIEZER JOSUE CONEO VEGA"/>
    <s v="CORE"/>
    <x v="11"/>
    <s v="BBVA"/>
    <e v="#NAME?"/>
    <x v="177"/>
    <n v="0.2"/>
    <s v="Desarrollador"/>
    <s v="Mainframe"/>
    <m/>
    <e v="#NAME?"/>
    <e v="#NAME?"/>
    <e v="#NAME?"/>
    <m/>
    <m/>
    <m/>
    <m/>
    <m/>
    <n v="1"/>
    <m/>
    <m/>
    <m/>
  </r>
  <r>
    <s v="C809504"/>
    <s v="ELIEZER JOSUE CONEO VEGA"/>
    <s v="CORE"/>
    <x v="11"/>
    <s v="BBVA"/>
    <e v="#NAME?"/>
    <x v="6"/>
    <n v="0.6"/>
    <s v="Desarrollador"/>
    <s v="Mainframe"/>
    <m/>
    <e v="#NAME?"/>
    <e v="#NAME?"/>
    <e v="#NAME?"/>
    <m/>
    <m/>
    <m/>
    <m/>
    <m/>
    <n v="0"/>
    <m/>
    <m/>
    <m/>
  </r>
  <r>
    <s v="C809504"/>
    <s v="ELIEZER JOSUE CONEO VEGA"/>
    <s v="CORE"/>
    <x v="11"/>
    <s v="BBVA"/>
    <e v="#NAME?"/>
    <x v="3"/>
    <n v="0.2"/>
    <s v="Desarrollador"/>
    <s v="Mainframe"/>
    <m/>
    <e v="#NAME?"/>
    <e v="#NAME?"/>
    <e v="#NAME?"/>
    <m/>
    <m/>
    <m/>
    <m/>
    <m/>
    <n v="0"/>
    <m/>
    <m/>
    <m/>
  </r>
  <r>
    <s v="O000962"/>
    <s v="ELIZABETH  TRIANA PRIETO"/>
    <s v="CORE"/>
    <x v="11"/>
    <s v="BBVA"/>
    <e v="#NAME?"/>
    <x v="174"/>
    <n v="1"/>
    <s v="Tech Manager/Líder"/>
    <s v="Cells"/>
    <m/>
    <e v="#NAME?"/>
    <e v="#NAME?"/>
    <e v="#NAME?"/>
    <m/>
    <m/>
    <m/>
    <m/>
    <m/>
    <n v="1"/>
    <m/>
    <m/>
    <m/>
  </r>
  <r>
    <s v="CE66884"/>
    <s v="FRANK HERRAN GARZON"/>
    <s v="CORE"/>
    <x v="11"/>
    <s v="Meraki"/>
    <e v="#NAME?"/>
    <x v="174"/>
    <n v="1"/>
    <s v="Desarrollador"/>
    <s v="APX"/>
    <m/>
    <e v="#NAME?"/>
    <e v="#NAME?"/>
    <e v="#NAME?"/>
    <m/>
    <m/>
    <m/>
    <m/>
    <m/>
    <n v="1"/>
    <m/>
    <m/>
    <m/>
  </r>
  <r>
    <s v="C810909"/>
    <s v="GUILIAN ANDREI TAFUR FUENTES"/>
    <s v="CORE"/>
    <x v="11"/>
    <s v="BBVA"/>
    <e v="#NAME?"/>
    <x v="175"/>
    <n v="1"/>
    <s v="Desarrollador"/>
    <s v="APX"/>
    <m/>
    <e v="#NAME?"/>
    <e v="#NAME?"/>
    <e v="#NAME?"/>
    <m/>
    <m/>
    <m/>
    <m/>
    <m/>
    <n v="1"/>
    <m/>
    <m/>
    <m/>
  </r>
  <r>
    <s v="T002223"/>
    <s v="HERMES FERNANDO AMARIS"/>
    <s v="CORE"/>
    <x v="11"/>
    <s v="KRYPTO"/>
    <e v="#NAME?"/>
    <x v="3"/>
    <n v="1"/>
    <s v="QA"/>
    <s v="Mainframe"/>
    <m/>
    <e v="#NAME?"/>
    <e v="#NAME?"/>
    <e v="#NAME?"/>
    <m/>
    <m/>
    <m/>
    <m/>
    <m/>
    <n v="1"/>
    <m/>
    <m/>
    <m/>
  </r>
  <r>
    <s v="CE56542"/>
    <s v="HUMBERTO MALAGON VARGAS"/>
    <s v="CORE"/>
    <x v="11"/>
    <s v="Novatec"/>
    <e v="#NAME?"/>
    <x v="3"/>
    <n v="0.5"/>
    <s v="Desarrollador"/>
    <s v="APX"/>
    <m/>
    <e v="#NAME?"/>
    <e v="#NAME?"/>
    <e v="#NAME?"/>
    <m/>
    <m/>
    <m/>
    <m/>
    <m/>
    <n v="1"/>
    <m/>
    <m/>
    <m/>
  </r>
  <r>
    <s v="C342035"/>
    <s v="JENNIFER ALZATE"/>
    <s v="CORE"/>
    <x v="11"/>
    <s v="BBVA"/>
    <e v="#NAME?"/>
    <x v="174"/>
    <n v="1"/>
    <s v="Desarrollador"/>
    <s v="Mainframe"/>
    <m/>
    <e v="#NAME?"/>
    <e v="#NAME?"/>
    <e v="#NAME?"/>
    <m/>
    <m/>
    <m/>
    <m/>
    <m/>
    <n v="1"/>
    <m/>
    <m/>
    <m/>
  </r>
  <r>
    <s v="C811264"/>
    <s v="JORGE LUIS URBINA"/>
    <s v="CORE"/>
    <x v="11"/>
    <s v="BBVA"/>
    <e v="#NAME?"/>
    <x v="174"/>
    <n v="0.2"/>
    <s v="Desarrollador"/>
    <s v="Mainframe"/>
    <m/>
    <e v="#NAME?"/>
    <e v="#NAME?"/>
    <e v="#NAME?"/>
    <m/>
    <m/>
    <m/>
    <m/>
    <m/>
    <n v="1"/>
    <m/>
    <m/>
    <m/>
  </r>
  <r>
    <s v="C811264"/>
    <s v="JORGE LUIS URBINA"/>
    <s v="CORE"/>
    <x v="11"/>
    <s v="BBVA"/>
    <e v="#NAME?"/>
    <x v="3"/>
    <n v="0.3"/>
    <s v="Desarrollador"/>
    <s v="Mainframe"/>
    <m/>
    <e v="#NAME?"/>
    <e v="#NAME?"/>
    <e v="#NAME?"/>
    <m/>
    <m/>
    <m/>
    <m/>
    <m/>
    <n v="0"/>
    <m/>
    <m/>
    <m/>
  </r>
  <r>
    <s v="C811264"/>
    <s v="JORGE LUIS URBINA"/>
    <s v="CORE"/>
    <x v="11"/>
    <s v="BBVA"/>
    <e v="#NAME?"/>
    <x v="179"/>
    <n v="0.5"/>
    <s v="Desarrollador"/>
    <s v="Mainframe"/>
    <m/>
    <e v="#NAME?"/>
    <e v="#NAME?"/>
    <e v="#NAME?"/>
    <m/>
    <m/>
    <m/>
    <m/>
    <m/>
    <n v="0"/>
    <m/>
    <m/>
    <m/>
  </r>
  <r>
    <s v="C811393"/>
    <s v="JORGE NELSON GARCIA"/>
    <s v="CORE"/>
    <x v="11"/>
    <s v="BBVA"/>
    <e v="#NAME?"/>
    <x v="180"/>
    <n v="0.35"/>
    <s v="Desarrollador"/>
    <s v="Mainframe"/>
    <m/>
    <e v="#NAME?"/>
    <e v="#NAME?"/>
    <e v="#NAME?"/>
    <m/>
    <m/>
    <m/>
    <m/>
    <m/>
    <n v="1"/>
    <m/>
    <m/>
    <m/>
  </r>
  <r>
    <s v="C811393"/>
    <s v="JORGE NELSON GARCIA"/>
    <s v="CORE"/>
    <x v="11"/>
    <s v="BBVA"/>
    <e v="#NAME?"/>
    <x v="181"/>
    <n v="0.35"/>
    <s v="Desarrollador"/>
    <s v="Mainframe"/>
    <m/>
    <e v="#NAME?"/>
    <e v="#NAME?"/>
    <e v="#NAME?"/>
    <m/>
    <m/>
    <m/>
    <m/>
    <m/>
    <n v="0"/>
    <m/>
    <m/>
    <m/>
  </r>
  <r>
    <s v="C811393"/>
    <s v="JORGE NELSON GARCIA"/>
    <s v="CORE"/>
    <x v="11"/>
    <s v="BBVA"/>
    <e v="#NAME?"/>
    <x v="3"/>
    <n v="0.3"/>
    <s v="Desarrollador"/>
    <s v="Mainframe"/>
    <m/>
    <e v="#NAME?"/>
    <e v="#NAME?"/>
    <e v="#NAME?"/>
    <m/>
    <m/>
    <m/>
    <m/>
    <m/>
    <n v="0"/>
    <m/>
    <m/>
    <m/>
  </r>
  <r>
    <s v="CE49917"/>
    <s v="JORGE TAUTIVA MELO"/>
    <s v="CORE"/>
    <x v="11"/>
    <s v="Novatec"/>
    <e v="#NAME?"/>
    <x v="175"/>
    <n v="0.5"/>
    <s v="Desarrollador"/>
    <s v="APX"/>
    <m/>
    <e v="#NAME?"/>
    <e v="#NAME?"/>
    <e v="#NAME?"/>
    <m/>
    <m/>
    <m/>
    <m/>
    <m/>
    <n v="1"/>
    <m/>
    <m/>
    <m/>
  </r>
  <r>
    <s v="CE49917"/>
    <s v="JORGE TAUTIVA MELO"/>
    <s v="CORE"/>
    <x v="11"/>
    <s v="Novatec"/>
    <e v="#NAME?"/>
    <x v="176"/>
    <n v="0.5"/>
    <s v="Desarrollador"/>
    <s v="APX"/>
    <m/>
    <e v="#NAME?"/>
    <e v="#NAME?"/>
    <e v="#NAME?"/>
    <m/>
    <m/>
    <m/>
    <m/>
    <m/>
    <n v="0"/>
    <m/>
    <m/>
    <m/>
  </r>
  <r>
    <s v="C804723"/>
    <s v="JOSE BLADIMIR INAMPUES TUTALCHA"/>
    <s v="CORE"/>
    <x v="11"/>
    <s v="BBVA"/>
    <e v="#NAME?"/>
    <x v="182"/>
    <n v="0.3"/>
    <s v="Desarrollador"/>
    <s v="Mainframe"/>
    <m/>
    <e v="#NAME?"/>
    <e v="#NAME?"/>
    <e v="#NAME?"/>
    <m/>
    <m/>
    <m/>
    <m/>
    <m/>
    <n v="1"/>
    <m/>
    <m/>
    <m/>
  </r>
  <r>
    <s v="C804723"/>
    <s v="JOSE BLADIMIR INAMPUES TUTALCHA"/>
    <s v="CORE"/>
    <x v="11"/>
    <s v="BBVA"/>
    <e v="#NAME?"/>
    <x v="3"/>
    <n v="0.7"/>
    <s v="Desarrollador"/>
    <s v="Mainframe"/>
    <m/>
    <e v="#NAME?"/>
    <e v="#NAME?"/>
    <e v="#NAME?"/>
    <m/>
    <m/>
    <m/>
    <m/>
    <m/>
    <n v="0"/>
    <m/>
    <m/>
    <m/>
  </r>
  <r>
    <s v="C341931"/>
    <s v="JOSE MIGUEL SANCHEZ BARRANTES"/>
    <s v="CORE"/>
    <x v="11"/>
    <s v="BBVA"/>
    <e v="#NAME?"/>
    <x v="176"/>
    <n v="0.5"/>
    <s v="Tech Manager/Líder"/>
    <s v="Mainframe"/>
    <m/>
    <e v="#NAME?"/>
    <e v="#NAME?"/>
    <e v="#NAME?"/>
    <m/>
    <m/>
    <m/>
    <m/>
    <m/>
    <n v="1"/>
    <m/>
    <m/>
    <m/>
  </r>
  <r>
    <s v="C341931"/>
    <s v="JOSE MIGUEL SANCHEZ BARRANTES"/>
    <s v="CORE"/>
    <x v="11"/>
    <s v="BBVA"/>
    <e v="#NAME?"/>
    <x v="175"/>
    <n v="0.5"/>
    <s v="Tech Manager/Líder"/>
    <s v="Mainframe"/>
    <m/>
    <e v="#NAME?"/>
    <e v="#NAME?"/>
    <e v="#NAME?"/>
    <m/>
    <m/>
    <m/>
    <m/>
    <m/>
    <n v="0"/>
    <m/>
    <m/>
    <m/>
  </r>
  <r>
    <s v="C811403"/>
    <s v="JUAN FELIPE FORERO"/>
    <s v="CORE"/>
    <x v="11"/>
    <s v="BBVA"/>
    <e v="#NAME?"/>
    <x v="183"/>
    <n v="0.15"/>
    <s v="Tech Manager/Líder"/>
    <s v="Mainframe"/>
    <m/>
    <e v="#NAME?"/>
    <e v="#NAME?"/>
    <e v="#NAME?"/>
    <m/>
    <m/>
    <m/>
    <m/>
    <m/>
    <n v="1"/>
    <m/>
    <m/>
    <m/>
  </r>
  <r>
    <s v="C811403"/>
    <s v="JUAN FELIPE FORERO"/>
    <s v="CORE"/>
    <x v="11"/>
    <s v="BBVA"/>
    <e v="#NAME?"/>
    <x v="182"/>
    <n v="0.1"/>
    <s v="Tech Manager/Líder"/>
    <s v="Mainframe"/>
    <m/>
    <e v="#NAME?"/>
    <e v="#NAME?"/>
    <e v="#NAME?"/>
    <m/>
    <m/>
    <m/>
    <m/>
    <m/>
    <n v="0"/>
    <m/>
    <m/>
    <m/>
  </r>
  <r>
    <s v="C811403"/>
    <s v="JUAN FELIPE FORERO"/>
    <s v="CORE"/>
    <x v="11"/>
    <s v="BBVA"/>
    <e v="#NAME?"/>
    <x v="177"/>
    <n v="0.05"/>
    <s v="Tech Manager/Líder"/>
    <s v="Mainframe"/>
    <m/>
    <e v="#NAME?"/>
    <e v="#NAME?"/>
    <e v="#NAME?"/>
    <m/>
    <m/>
    <m/>
    <m/>
    <m/>
    <n v="0"/>
    <m/>
    <m/>
    <m/>
  </r>
  <r>
    <s v="C811403"/>
    <s v="JUAN FELIPE FORERO"/>
    <s v="CORE"/>
    <x v="11"/>
    <s v="BBVA"/>
    <e v="#NAME?"/>
    <x v="75"/>
    <n v="0.05"/>
    <s v="Tech Manager/Líder"/>
    <s v="Mainframe"/>
    <m/>
    <e v="#NAME?"/>
    <e v="#NAME?"/>
    <e v="#NAME?"/>
    <m/>
    <m/>
    <m/>
    <m/>
    <m/>
    <n v="0"/>
    <m/>
    <m/>
    <m/>
  </r>
  <r>
    <s v="C811403"/>
    <s v="JUAN FELIPE FORERO"/>
    <s v="CORE"/>
    <x v="11"/>
    <s v="BBVA"/>
    <e v="#NAME?"/>
    <x v="6"/>
    <n v="0.15"/>
    <s v="Tech Manager/Líder"/>
    <s v="Mainframe"/>
    <m/>
    <e v="#NAME?"/>
    <e v="#NAME?"/>
    <e v="#NAME?"/>
    <m/>
    <m/>
    <m/>
    <m/>
    <m/>
    <n v="0"/>
    <m/>
    <m/>
    <m/>
  </r>
  <r>
    <s v="C811403"/>
    <s v="JUAN FELIPE FORERO"/>
    <s v="CORE"/>
    <x v="11"/>
    <s v="BBVA"/>
    <e v="#NAME?"/>
    <x v="184"/>
    <n v="0.1"/>
    <s v="Tech Manager/Líder"/>
    <s v="Mainframe"/>
    <m/>
    <e v="#NAME?"/>
    <e v="#NAME?"/>
    <e v="#NAME?"/>
    <m/>
    <m/>
    <m/>
    <m/>
    <m/>
    <n v="0"/>
    <m/>
    <m/>
    <m/>
  </r>
  <r>
    <s v="C811403"/>
    <s v="JUAN FELIPE FORERO"/>
    <s v="CORE"/>
    <x v="11"/>
    <s v="BBVA"/>
    <e v="#NAME?"/>
    <x v="9"/>
    <n v="0.1"/>
    <s v="Tech Manager/Líder"/>
    <s v="Mainframe"/>
    <m/>
    <e v="#NAME?"/>
    <e v="#NAME?"/>
    <e v="#NAME?"/>
    <m/>
    <m/>
    <m/>
    <m/>
    <m/>
    <n v="0"/>
    <m/>
    <m/>
    <m/>
  </r>
  <r>
    <s v="C811403"/>
    <s v="JUAN FELIPE FORERO"/>
    <s v="CORE"/>
    <x v="11"/>
    <s v="BBVA"/>
    <e v="#NAME?"/>
    <x v="5"/>
    <n v="0.1"/>
    <s v="Tech Manager/Líder"/>
    <s v="Mainframe"/>
    <m/>
    <e v="#NAME?"/>
    <e v="#NAME?"/>
    <e v="#NAME?"/>
    <m/>
    <m/>
    <m/>
    <m/>
    <m/>
    <n v="0"/>
    <m/>
    <m/>
    <m/>
  </r>
  <r>
    <s v="C811403"/>
    <s v="JUAN FELIPE FORERO"/>
    <s v="CORE"/>
    <x v="11"/>
    <s v="BBVA"/>
    <e v="#NAME?"/>
    <x v="3"/>
    <n v="0.2"/>
    <s v="Tech Manager/Líder"/>
    <s v="Mainframe"/>
    <m/>
    <e v="#NAME?"/>
    <e v="#NAME?"/>
    <e v="#NAME?"/>
    <m/>
    <m/>
    <m/>
    <m/>
    <m/>
    <n v="0"/>
    <m/>
    <m/>
    <m/>
  </r>
  <r>
    <s v="T004374"/>
    <s v="JUAN SEBASTIAN MINA"/>
    <s v="CORE"/>
    <x v="11"/>
    <s v="KRYPTO"/>
    <e v="#NAME?"/>
    <x v="185"/>
    <n v="0.8"/>
    <s v="QA"/>
    <s v="Mainframe"/>
    <m/>
    <e v="#NAME?"/>
    <e v="#NAME?"/>
    <e v="#NAME?"/>
    <m/>
    <m/>
    <m/>
    <m/>
    <m/>
    <n v="1"/>
    <m/>
    <m/>
    <m/>
  </r>
  <r>
    <s v="T004374"/>
    <s v="JUAN SEBASTIAN MINA"/>
    <s v="CORE"/>
    <x v="11"/>
    <s v="KRYPTO"/>
    <e v="#NAME?"/>
    <x v="3"/>
    <n v="0.2"/>
    <s v="QA"/>
    <s v="Mainframe"/>
    <m/>
    <e v="#NAME?"/>
    <e v="#NAME?"/>
    <e v="#NAME?"/>
    <m/>
    <m/>
    <m/>
    <m/>
    <m/>
    <n v="0"/>
    <m/>
    <m/>
    <m/>
  </r>
  <r>
    <s v="T005122"/>
    <s v="JULIAN ANDRES ARENAS"/>
    <s v="CORE"/>
    <x v="11"/>
    <s v="Choucair"/>
    <e v="#NAME?"/>
    <x v="176"/>
    <n v="1"/>
    <s v="QA"/>
    <s v="Distribuido"/>
    <m/>
    <e v="#NAME?"/>
    <e v="#NAME?"/>
    <e v="#NAME?"/>
    <m/>
    <m/>
    <m/>
    <m/>
    <m/>
    <n v="1"/>
    <m/>
    <m/>
    <m/>
  </r>
  <r>
    <s v="C343617"/>
    <s v="LEIDY NATALIA  GONZALEZ"/>
    <s v="CORE"/>
    <x v="11"/>
    <s v="BBVA"/>
    <e v="#NAME?"/>
    <x v="186"/>
    <n v="0.4"/>
    <s v="Desarrollador"/>
    <s v="Otras Tec."/>
    <m/>
    <e v="#NAME?"/>
    <e v="#NAME?"/>
    <e v="#NAME?"/>
    <m/>
    <m/>
    <m/>
    <m/>
    <m/>
    <n v="1"/>
    <m/>
    <m/>
    <m/>
  </r>
  <r>
    <s v="C343617"/>
    <s v="LEIDY NATALIA  GONZALEZ"/>
    <s v="CORE"/>
    <x v="11"/>
    <s v="BBVA"/>
    <e v="#NAME?"/>
    <x v="3"/>
    <n v="0.6"/>
    <s v="Desarrollador"/>
    <s v="Otras Tec."/>
    <m/>
    <e v="#NAME?"/>
    <e v="#NAME?"/>
    <e v="#NAME?"/>
    <m/>
    <m/>
    <m/>
    <m/>
    <m/>
    <n v="0"/>
    <m/>
    <m/>
    <m/>
  </r>
  <r>
    <s v="C811392"/>
    <s v="LEONARDO SIMBAQUEBA ESGUERRA"/>
    <s v="CORE"/>
    <x v="11"/>
    <s v="BBVA"/>
    <e v="#NAME?"/>
    <x v="187"/>
    <n v="0.4"/>
    <s v="Desarrollador"/>
    <s v="Mainframe"/>
    <m/>
    <e v="#NAME?"/>
    <e v="#NAME?"/>
    <e v="#NAME?"/>
    <m/>
    <m/>
    <m/>
    <m/>
    <m/>
    <n v="1"/>
    <m/>
    <m/>
    <m/>
  </r>
  <r>
    <s v="C811392"/>
    <s v="LEONARDO SIMBAQUEBA ESGUERRA"/>
    <s v="CORE"/>
    <x v="11"/>
    <s v="BBVA"/>
    <e v="#NAME?"/>
    <x v="188"/>
    <n v="0.4"/>
    <s v="Desarrollador"/>
    <s v="Mainframe"/>
    <m/>
    <e v="#NAME?"/>
    <e v="#NAME?"/>
    <e v="#NAME?"/>
    <m/>
    <m/>
    <m/>
    <m/>
    <m/>
    <n v="0"/>
    <m/>
    <m/>
    <m/>
  </r>
  <r>
    <s v="C811392"/>
    <s v="LEONARDO SIMBAQUEBA ESGUERRA"/>
    <s v="CORE"/>
    <x v="11"/>
    <s v="BBVA"/>
    <e v="#NAME?"/>
    <x v="88"/>
    <n v="0.2"/>
    <s v="Desarrollador"/>
    <s v="Mainframe"/>
    <m/>
    <e v="#NAME?"/>
    <e v="#NAME?"/>
    <e v="#NAME?"/>
    <m/>
    <m/>
    <m/>
    <m/>
    <m/>
    <n v="0"/>
    <m/>
    <m/>
    <m/>
  </r>
  <r>
    <s v="T003366"/>
    <s v="LILIAN BEDUD RIOJAS GONZALEZ"/>
    <s v="CORE"/>
    <x v="11"/>
    <s v="Novatec"/>
    <e v="#NAME?"/>
    <x v="178"/>
    <n v="0.4"/>
    <s v="Otros"/>
    <s v="Mainframe"/>
    <m/>
    <e v="#NAME?"/>
    <e v="#NAME?"/>
    <e v="#NAME?"/>
    <m/>
    <m/>
    <m/>
    <m/>
    <m/>
    <n v="1"/>
    <m/>
    <m/>
    <m/>
  </r>
  <r>
    <s v="T003366"/>
    <s v="LILIAN BEDUD RIOJAS GONZALEZ"/>
    <s v="CORE"/>
    <x v="11"/>
    <s v="Novatec"/>
    <e v="#NAME?"/>
    <x v="181"/>
    <n v="0.3"/>
    <s v="Otros"/>
    <s v="Mainframe"/>
    <m/>
    <e v="#NAME?"/>
    <e v="#NAME?"/>
    <e v="#NAME?"/>
    <m/>
    <m/>
    <m/>
    <m/>
    <m/>
    <n v="0"/>
    <m/>
    <m/>
    <m/>
  </r>
  <r>
    <s v="T003366"/>
    <s v="LILIAN BEDUD RIOJAS GONZALEZ"/>
    <s v="CORE"/>
    <x v="11"/>
    <s v="Novatec"/>
    <e v="#NAME?"/>
    <x v="179"/>
    <n v="0.3"/>
    <s v="Otros"/>
    <s v="Mainframe"/>
    <m/>
    <e v="#NAME?"/>
    <e v="#NAME?"/>
    <e v="#NAME?"/>
    <m/>
    <m/>
    <m/>
    <m/>
    <m/>
    <n v="0"/>
    <m/>
    <m/>
    <m/>
  </r>
  <r>
    <s v="C811354"/>
    <s v="LIZET VANESSA VEGA BONILLA"/>
    <s v="CORE"/>
    <x v="11"/>
    <s v="BBVA"/>
    <e v="#NAME?"/>
    <x v="177"/>
    <n v="0.2"/>
    <s v="Desarrollador"/>
    <s v="Mainframe"/>
    <m/>
    <e v="#NAME?"/>
    <e v="#NAME?"/>
    <e v="#NAME?"/>
    <m/>
    <m/>
    <m/>
    <m/>
    <m/>
    <n v="1"/>
    <m/>
    <m/>
    <m/>
  </r>
  <r>
    <s v="C811354"/>
    <s v="LIZET VANESSA VEGA BONILLA"/>
    <s v="CORE"/>
    <x v="11"/>
    <s v="BBVA"/>
    <e v="#NAME?"/>
    <x v="75"/>
    <n v="0.2"/>
    <s v="Desarrollador"/>
    <s v="Mainframe"/>
    <m/>
    <e v="#NAME?"/>
    <e v="#NAME?"/>
    <e v="#NAME?"/>
    <m/>
    <m/>
    <m/>
    <m/>
    <m/>
    <n v="0"/>
    <m/>
    <m/>
    <m/>
  </r>
  <r>
    <s v="C811354"/>
    <s v="LIZET VANESSA VEGA BONILLA"/>
    <s v="CORE"/>
    <x v="11"/>
    <s v="BBVA"/>
    <e v="#NAME?"/>
    <x v="6"/>
    <n v="0.2"/>
    <s v="Desarrollador"/>
    <s v="Mainframe"/>
    <m/>
    <e v="#NAME?"/>
    <e v="#NAME?"/>
    <e v="#NAME?"/>
    <m/>
    <m/>
    <m/>
    <m/>
    <m/>
    <n v="0"/>
    <m/>
    <m/>
    <m/>
  </r>
  <r>
    <s v="C811354"/>
    <s v="LIZET VANESSA VEGA BONILLA"/>
    <s v="CORE"/>
    <x v="11"/>
    <s v="BBVA"/>
    <e v="#NAME?"/>
    <x v="5"/>
    <n v="0.2"/>
    <s v="Desarrollador"/>
    <s v="Mainframe"/>
    <m/>
    <e v="#NAME?"/>
    <e v="#NAME?"/>
    <e v="#NAME?"/>
    <m/>
    <m/>
    <m/>
    <m/>
    <m/>
    <n v="0"/>
    <m/>
    <m/>
    <m/>
  </r>
  <r>
    <s v="C811354"/>
    <s v="LIZET VANESSA VEGA BONILLA"/>
    <s v="CORE"/>
    <x v="11"/>
    <s v="BBVA"/>
    <e v="#NAME?"/>
    <x v="3"/>
    <n v="0.2"/>
    <s v="Desarrollador"/>
    <s v="Mainframe"/>
    <m/>
    <e v="#NAME?"/>
    <e v="#NAME?"/>
    <e v="#NAME?"/>
    <m/>
    <m/>
    <m/>
    <m/>
    <m/>
    <n v="0"/>
    <m/>
    <m/>
    <m/>
  </r>
  <r>
    <s v="CE70711"/>
    <s v="LIZETH DAYANA RODRIGUEZ ACOSTA"/>
    <s v="CORE"/>
    <x v="11"/>
    <s v="Novatec"/>
    <e v="#NAME?"/>
    <x v="3"/>
    <n v="1"/>
    <s v="Desarrollador"/>
    <s v="Mainframe"/>
    <m/>
    <e v="#NAME?"/>
    <e v="#NAME?"/>
    <e v="#NAME?"/>
    <m/>
    <m/>
    <m/>
    <m/>
    <m/>
    <n v="1"/>
    <m/>
    <m/>
    <m/>
  </r>
  <r>
    <s v="C811322"/>
    <s v="LUIS FERNANDO SABROSO"/>
    <s v="CORE"/>
    <x v="11"/>
    <s v="BBVA"/>
    <e v="#NAME?"/>
    <x v="174"/>
    <n v="1"/>
    <s v="Desarrollador"/>
    <s v="ASO"/>
    <m/>
    <e v="#NAME?"/>
    <e v="#NAME?"/>
    <e v="#NAME?"/>
    <m/>
    <m/>
    <m/>
    <m/>
    <m/>
    <n v="1"/>
    <m/>
    <m/>
    <m/>
  </r>
  <r>
    <s v="CE66135"/>
    <s v="LUIS FERNANDO TORRES AVENDAÑO"/>
    <s v="CORE"/>
    <x v="11"/>
    <s v="Inetum"/>
    <e v="#NAME?"/>
    <x v="174"/>
    <n v="1"/>
    <s v="Desarrollador"/>
    <s v="Mainframe"/>
    <m/>
    <e v="#NAME?"/>
    <e v="#NAME?"/>
    <e v="#NAME?"/>
    <m/>
    <m/>
    <m/>
    <m/>
    <m/>
    <n v="1"/>
    <m/>
    <m/>
    <m/>
  </r>
  <r>
    <s v="CE43328"/>
    <s v="LUZ ENEY ACEVEDO MATEUS"/>
    <s v="CORE"/>
    <x v="11"/>
    <s v="Novatec"/>
    <e v="#NAME?"/>
    <x v="3"/>
    <n v="1"/>
    <s v="Desarrollador"/>
    <s v="Mainframe"/>
    <m/>
    <e v="#NAME?"/>
    <e v="#NAME?"/>
    <e v="#NAME?"/>
    <m/>
    <m/>
    <m/>
    <m/>
    <m/>
    <n v="1"/>
    <m/>
    <m/>
    <m/>
  </r>
  <r>
    <s v="C808232"/>
    <s v="MARIA FERNANDA RUSSI"/>
    <s v="CORE"/>
    <x v="11"/>
    <s v="BBVA"/>
    <e v="#NAME?"/>
    <x v="3"/>
    <n v="0.3"/>
    <s v="Desarrollador"/>
    <s v="Mainframe"/>
    <m/>
    <e v="#NAME?"/>
    <e v="#NAME?"/>
    <e v="#NAME?"/>
    <m/>
    <m/>
    <m/>
    <m/>
    <m/>
    <n v="1"/>
    <m/>
    <m/>
    <m/>
  </r>
  <r>
    <s v="C808232"/>
    <s v="MARIA FERNANDA RUSSI"/>
    <s v="CORE"/>
    <x v="11"/>
    <s v="BBVA"/>
    <e v="#NAME?"/>
    <x v="189"/>
    <n v="0.7"/>
    <s v="Desarrollador"/>
    <s v="Mainframe"/>
    <m/>
    <e v="#NAME?"/>
    <e v="#NAME?"/>
    <e v="#NAME?"/>
    <m/>
    <m/>
    <m/>
    <m/>
    <m/>
    <n v="0"/>
    <m/>
    <m/>
    <m/>
  </r>
  <r>
    <s v="T008491"/>
    <s v="MARITZA CASTILLO NAVARRO"/>
    <s v="CORE"/>
    <x v="11"/>
    <s v="Inetum"/>
    <e v="#NAME?"/>
    <x v="189"/>
    <n v="0.3"/>
    <s v="Otros"/>
    <s v="Mainframe"/>
    <m/>
    <e v="#NAME?"/>
    <e v="#NAME?"/>
    <e v="#NAME?"/>
    <m/>
    <m/>
    <m/>
    <m/>
    <m/>
    <n v="1"/>
    <m/>
    <m/>
    <m/>
  </r>
  <r>
    <s v="T008491"/>
    <s v="MARITZA CASTILLO NAVARRO"/>
    <s v="CORE"/>
    <x v="11"/>
    <s v="Inetum"/>
    <e v="#NAME?"/>
    <x v="185"/>
    <n v="0.3"/>
    <s v="Otros"/>
    <s v="Mainframe"/>
    <m/>
    <e v="#NAME?"/>
    <e v="#NAME?"/>
    <e v="#NAME?"/>
    <m/>
    <m/>
    <m/>
    <m/>
    <m/>
    <n v="0"/>
    <m/>
    <m/>
    <m/>
  </r>
  <r>
    <s v="T008491"/>
    <s v="MARITZA CASTILLO NAVARRO"/>
    <s v="CORE"/>
    <x v="11"/>
    <s v="Inetum"/>
    <e v="#NAME?"/>
    <x v="165"/>
    <n v="0.2"/>
    <s v="Otros"/>
    <s v="Mainframe"/>
    <m/>
    <e v="#NAME?"/>
    <e v="#NAME?"/>
    <e v="#NAME?"/>
    <m/>
    <m/>
    <m/>
    <m/>
    <m/>
    <n v="0"/>
    <m/>
    <m/>
    <m/>
  </r>
  <r>
    <s v="T008491"/>
    <s v="MARITZA CASTILLO NAVARRO"/>
    <s v="CORE"/>
    <x v="11"/>
    <s v="Inetum"/>
    <e v="#NAME?"/>
    <x v="9"/>
    <n v="0.2"/>
    <s v="Otros"/>
    <s v="Mainframe"/>
    <m/>
    <e v="#NAME?"/>
    <e v="#NAME?"/>
    <e v="#NAME?"/>
    <m/>
    <m/>
    <m/>
    <m/>
    <m/>
    <n v="0"/>
    <m/>
    <m/>
    <m/>
  </r>
  <r>
    <s v="C805863"/>
    <s v="MARTA PATRICIA VELANDIA SIZA"/>
    <s v="CORE"/>
    <x v="11"/>
    <s v="BBVA"/>
    <e v="#NAME?"/>
    <x v="176"/>
    <n v="1"/>
    <s v="Desarrollador"/>
    <s v="Mainframe"/>
    <m/>
    <e v="#NAME?"/>
    <e v="#NAME?"/>
    <e v="#NAME?"/>
    <m/>
    <m/>
    <m/>
    <m/>
    <m/>
    <n v="1"/>
    <m/>
    <m/>
    <m/>
  </r>
  <r>
    <s v="O000190"/>
    <s v="MARTHA LILIANA RUSSY CHAVARRO"/>
    <s v="CORE"/>
    <x v="11"/>
    <s v="BBVA"/>
    <e v="#NAME?"/>
    <x v="190"/>
    <n v="0.5"/>
    <s v="Desarrollador"/>
    <s v="Mainframe"/>
    <m/>
    <e v="#NAME?"/>
    <e v="#NAME?"/>
    <e v="#NAME?"/>
    <m/>
    <m/>
    <m/>
    <m/>
    <m/>
    <n v="1"/>
    <m/>
    <m/>
    <m/>
  </r>
  <r>
    <s v="O000190"/>
    <s v="MARTHA LILIANA RUSSY CHAVARRO"/>
    <s v="CORE"/>
    <x v="11"/>
    <s v="BBVA"/>
    <e v="#NAME?"/>
    <x v="3"/>
    <n v="0.5"/>
    <s v="Desarrollador"/>
    <s v="Mainframe"/>
    <m/>
    <e v="#NAME?"/>
    <e v="#NAME?"/>
    <e v="#NAME?"/>
    <m/>
    <m/>
    <m/>
    <m/>
    <m/>
    <n v="0"/>
    <m/>
    <m/>
    <m/>
  </r>
  <r>
    <s v="CE18306"/>
    <s v="MARY LUZ RODRIGUEZ"/>
    <s v="CORE"/>
    <x v="11"/>
    <s v="Inetum"/>
    <e v="#NAME?"/>
    <x v="174"/>
    <n v="0.1"/>
    <s v="QA"/>
    <s v="Mainframe"/>
    <m/>
    <e v="#NAME?"/>
    <e v="#NAME?"/>
    <e v="#NAME?"/>
    <m/>
    <m/>
    <m/>
    <m/>
    <m/>
    <n v="1"/>
    <m/>
    <m/>
    <m/>
  </r>
  <r>
    <s v="CE18306"/>
    <s v="MARY LUZ RODRIGUEZ"/>
    <s v="CORE"/>
    <x v="11"/>
    <s v="Inetum"/>
    <e v="#NAME?"/>
    <x v="3"/>
    <n v="0.6"/>
    <s v="QA"/>
    <s v="Mainframe"/>
    <m/>
    <e v="#NAME?"/>
    <e v="#NAME?"/>
    <e v="#NAME?"/>
    <m/>
    <m/>
    <m/>
    <m/>
    <m/>
    <n v="0"/>
    <m/>
    <m/>
    <m/>
  </r>
  <r>
    <s v="CE18306"/>
    <s v="MARY LUZ RODRIGUEZ"/>
    <s v="CORE"/>
    <x v="11"/>
    <s v="Inetum"/>
    <e v="#NAME?"/>
    <x v="182"/>
    <n v="0.2"/>
    <s v="QA"/>
    <s v="Mainframe"/>
    <m/>
    <e v="#NAME?"/>
    <e v="#NAME?"/>
    <e v="#NAME?"/>
    <m/>
    <m/>
    <m/>
    <m/>
    <m/>
    <n v="0"/>
    <m/>
    <m/>
    <m/>
  </r>
  <r>
    <s v="CE18306"/>
    <s v="MARY LUZ RODRIGUEZ"/>
    <s v="CORE"/>
    <x v="11"/>
    <s v="Inetum"/>
    <e v="#NAME?"/>
    <x v="175"/>
    <n v="0.1"/>
    <s v="QA"/>
    <s v="Mainframe"/>
    <m/>
    <e v="#NAME?"/>
    <e v="#NAME?"/>
    <e v="#NAME?"/>
    <m/>
    <m/>
    <m/>
    <m/>
    <m/>
    <n v="0"/>
    <m/>
    <m/>
    <m/>
  </r>
  <r>
    <s v="C805726"/>
    <s v="MAURICIO ANDRES NUÑEZ ORTEGON"/>
    <s v="CORE"/>
    <x v="11"/>
    <s v="BBVA"/>
    <e v="#NAME?"/>
    <x v="177"/>
    <n v="0.6"/>
    <s v="Desarrollador"/>
    <s v="Mainframe"/>
    <m/>
    <e v="#NAME?"/>
    <e v="#NAME?"/>
    <e v="#NAME?"/>
    <m/>
    <m/>
    <m/>
    <m/>
    <m/>
    <n v="1"/>
    <m/>
    <m/>
    <m/>
  </r>
  <r>
    <s v="C805726"/>
    <s v="MAURICIO ANDRES NUÑEZ ORTEGON"/>
    <s v="CORE"/>
    <x v="11"/>
    <s v="BBVA"/>
    <e v="#NAME?"/>
    <x v="6"/>
    <n v="0.4"/>
    <s v="Desarrollador"/>
    <s v="Mainframe"/>
    <m/>
    <e v="#NAME?"/>
    <e v="#NAME?"/>
    <e v="#NAME?"/>
    <m/>
    <m/>
    <m/>
    <m/>
    <m/>
    <n v="0"/>
    <m/>
    <m/>
    <m/>
  </r>
  <r>
    <s v="C804381"/>
    <s v="MAYKER GUILLERMO LOPEZ"/>
    <s v="CORE"/>
    <x v="11"/>
    <s v="BBVA"/>
    <e v="#NAME?"/>
    <x v="187"/>
    <n v="0.25"/>
    <s v="Desarrollador"/>
    <s v="Mainframe"/>
    <m/>
    <e v="#NAME?"/>
    <e v="#NAME?"/>
    <e v="#NAME?"/>
    <m/>
    <m/>
    <m/>
    <m/>
    <m/>
    <n v="1"/>
    <m/>
    <m/>
    <m/>
  </r>
  <r>
    <s v="C804381"/>
    <s v="MAYKER GUILLERMO LOPEZ"/>
    <s v="CORE"/>
    <x v="11"/>
    <s v="BBVA"/>
    <e v="#NAME?"/>
    <x v="191"/>
    <n v="0.25"/>
    <s v="Desarrollador"/>
    <s v="Mainframe"/>
    <m/>
    <e v="#NAME?"/>
    <e v="#NAME?"/>
    <e v="#NAME?"/>
    <m/>
    <m/>
    <m/>
    <m/>
    <m/>
    <n v="0"/>
    <m/>
    <m/>
    <m/>
  </r>
  <r>
    <s v="C804381"/>
    <s v="MAYKER GUILLERMO LOPEZ"/>
    <s v="CORE"/>
    <x v="11"/>
    <s v="BBVA"/>
    <e v="#NAME?"/>
    <x v="188"/>
    <n v="0.25"/>
    <s v="Desarrollador"/>
    <s v="Mainframe"/>
    <m/>
    <e v="#NAME?"/>
    <e v="#NAME?"/>
    <e v="#NAME?"/>
    <m/>
    <m/>
    <m/>
    <m/>
    <m/>
    <n v="0"/>
    <m/>
    <m/>
    <m/>
  </r>
  <r>
    <s v="C804381"/>
    <s v="MAYKER GUILLERMO LOPEZ"/>
    <s v="CORE"/>
    <x v="11"/>
    <s v="BBVA"/>
    <e v="#NAME?"/>
    <x v="192"/>
    <n v="0.25"/>
    <s v="Desarrollador"/>
    <s v="Mainframe"/>
    <m/>
    <e v="#NAME?"/>
    <e v="#NAME?"/>
    <e v="#NAME?"/>
    <m/>
    <m/>
    <m/>
    <m/>
    <m/>
    <n v="0"/>
    <m/>
    <m/>
    <m/>
  </r>
  <r>
    <s v="C810789"/>
    <s v="MICHAEL JULIAN GARZON"/>
    <s v="CORE"/>
    <x v="11"/>
    <s v="BBVA"/>
    <e v="#NAME?"/>
    <x v="174"/>
    <n v="0.8"/>
    <s v="Desarrollador"/>
    <s v="APX"/>
    <m/>
    <e v="#NAME?"/>
    <e v="#NAME?"/>
    <e v="#NAME?"/>
    <m/>
    <m/>
    <m/>
    <m/>
    <m/>
    <n v="1"/>
    <m/>
    <m/>
    <m/>
  </r>
  <r>
    <s v="C810789"/>
    <s v="MICHAEL JULIAN GARZON"/>
    <s v="CORE"/>
    <x v="11"/>
    <s v="BBVA"/>
    <e v="#NAME?"/>
    <x v="115"/>
    <n v="0.2"/>
    <s v="Desarrollador"/>
    <s v="APX"/>
    <m/>
    <e v="#NAME?"/>
    <e v="#NAME?"/>
    <e v="#NAME?"/>
    <m/>
    <m/>
    <m/>
    <m/>
    <m/>
    <n v="0"/>
    <m/>
    <m/>
    <m/>
  </r>
  <r>
    <s v="C679763"/>
    <s v="MIGUEL ANGEL POLOCHE DIAZ"/>
    <s v="CORE"/>
    <x v="11"/>
    <s v="BBVA"/>
    <e v="#NAME?"/>
    <x v="186"/>
    <n v="0.15"/>
    <s v="Tech Manager/Líder"/>
    <s v="Mainframe"/>
    <m/>
    <e v="#NAME?"/>
    <e v="#NAME?"/>
    <e v="#NAME?"/>
    <m/>
    <m/>
    <m/>
    <m/>
    <m/>
    <n v="1"/>
    <m/>
    <m/>
    <m/>
  </r>
  <r>
    <s v="C679763"/>
    <s v="MIGUEL ANGEL POLOCHE DIAZ"/>
    <s v="CORE"/>
    <x v="11"/>
    <s v="BBVA"/>
    <e v="#NAME?"/>
    <x v="3"/>
    <n v="0.1"/>
    <s v="Tech Manager/Líder"/>
    <s v="Mainframe"/>
    <m/>
    <e v="#NAME?"/>
    <e v="#NAME?"/>
    <e v="#NAME?"/>
    <m/>
    <m/>
    <m/>
    <m/>
    <m/>
    <n v="0"/>
    <m/>
    <m/>
    <m/>
  </r>
  <r>
    <s v="C679763"/>
    <s v="MIGUEL ANGEL POLOCHE DIAZ"/>
    <s v="CORE"/>
    <x v="11"/>
    <s v="BBVA"/>
    <e v="#NAME?"/>
    <x v="187"/>
    <n v="0.15"/>
    <s v="Tech Manager/Líder"/>
    <s v="Mainframe"/>
    <m/>
    <e v="#NAME?"/>
    <e v="#NAME?"/>
    <e v="#NAME?"/>
    <m/>
    <m/>
    <m/>
    <m/>
    <m/>
    <n v="0"/>
    <m/>
    <m/>
    <m/>
  </r>
  <r>
    <s v="C679763"/>
    <s v="MIGUEL ANGEL POLOCHE DIAZ"/>
    <s v="CORE"/>
    <x v="11"/>
    <s v="BBVA"/>
    <e v="#NAME?"/>
    <x v="191"/>
    <n v="0.15"/>
    <s v="Tech Manager/Líder"/>
    <s v="Mainframe"/>
    <m/>
    <e v="#NAME?"/>
    <e v="#NAME?"/>
    <e v="#NAME?"/>
    <m/>
    <m/>
    <m/>
    <m/>
    <m/>
    <n v="0"/>
    <m/>
    <m/>
    <m/>
  </r>
  <r>
    <s v="C679763"/>
    <s v="MIGUEL ANGEL POLOCHE DIAZ"/>
    <s v="CORE"/>
    <x v="11"/>
    <s v="BBVA"/>
    <e v="#NAME?"/>
    <x v="188"/>
    <n v="0.15"/>
    <s v="Tech Manager/Líder"/>
    <s v="Mainframe"/>
    <m/>
    <e v="#NAME?"/>
    <e v="#NAME?"/>
    <e v="#NAME?"/>
    <m/>
    <m/>
    <m/>
    <m/>
    <m/>
    <n v="0"/>
    <m/>
    <m/>
    <m/>
  </r>
  <r>
    <s v="C679763"/>
    <s v="MIGUEL ANGEL POLOCHE DIAZ"/>
    <s v="CORE"/>
    <x v="11"/>
    <s v="BBVA"/>
    <e v="#NAME?"/>
    <x v="192"/>
    <n v="0.15"/>
    <s v="Tech Manager/Líder"/>
    <s v="Mainframe"/>
    <m/>
    <e v="#NAME?"/>
    <e v="#NAME?"/>
    <e v="#NAME?"/>
    <m/>
    <m/>
    <m/>
    <m/>
    <m/>
    <n v="0"/>
    <m/>
    <m/>
    <m/>
  </r>
  <r>
    <s v="C679763"/>
    <s v="MIGUEL ANGEL POLOCHE DIAZ"/>
    <s v="CORE"/>
    <x v="11"/>
    <s v="BBVA"/>
    <e v="#NAME?"/>
    <x v="88"/>
    <n v="0.15"/>
    <s v="Tech Manager/Líder"/>
    <s v="Mainframe"/>
    <m/>
    <e v="#NAME?"/>
    <e v="#NAME?"/>
    <e v="#NAME?"/>
    <m/>
    <m/>
    <m/>
    <m/>
    <m/>
    <n v="0"/>
    <m/>
    <m/>
    <m/>
  </r>
  <r>
    <s v="C805989"/>
    <s v="NATALIA ANDREA SAMBONI"/>
    <s v="CORE"/>
    <x v="11"/>
    <s v="BBVA"/>
    <e v="#NAME?"/>
    <x v="182"/>
    <n v="0.4"/>
    <s v="Otros"/>
    <s v="Mainframe"/>
    <m/>
    <e v="#NAME?"/>
    <e v="#NAME?"/>
    <e v="#NAME?"/>
    <m/>
    <m/>
    <m/>
    <m/>
    <m/>
    <n v="1"/>
    <m/>
    <m/>
    <m/>
  </r>
  <r>
    <s v="C805989"/>
    <s v="NATALIA ANDREA SAMBONI"/>
    <s v="CORE"/>
    <x v="11"/>
    <s v="BBVA"/>
    <e v="#NAME?"/>
    <x v="183"/>
    <n v="0.3"/>
    <s v="Otros"/>
    <s v="Mainframe"/>
    <m/>
    <e v="#NAME?"/>
    <e v="#NAME?"/>
    <e v="#NAME?"/>
    <m/>
    <m/>
    <m/>
    <m/>
    <m/>
    <n v="0"/>
    <m/>
    <m/>
    <m/>
  </r>
  <r>
    <s v="C805989"/>
    <s v="NATALIA ANDREA SAMBONI"/>
    <s v="CORE"/>
    <x v="11"/>
    <s v="BBVA"/>
    <e v="#NAME?"/>
    <x v="3"/>
    <n v="0.3"/>
    <s v="Otros"/>
    <s v="Mainframe"/>
    <m/>
    <e v="#NAME?"/>
    <e v="#NAME?"/>
    <e v="#NAME?"/>
    <m/>
    <m/>
    <m/>
    <m/>
    <m/>
    <n v="0"/>
    <m/>
    <m/>
    <m/>
  </r>
  <r>
    <s v="C805958"/>
    <s v="NICO NIÑO VERGARA"/>
    <s v="CORE"/>
    <x v="11"/>
    <s v="BBVA"/>
    <e v="#NAME?"/>
    <x v="175"/>
    <n v="1"/>
    <s v="Desarrollador"/>
    <s v="APX"/>
    <m/>
    <e v="#NAME?"/>
    <e v="#NAME?"/>
    <e v="#NAME?"/>
    <m/>
    <m/>
    <m/>
    <m/>
    <m/>
    <n v="1"/>
    <m/>
    <m/>
    <m/>
  </r>
  <r>
    <s v="C342042"/>
    <s v="RICARDO ANDRES CERRATO"/>
    <s v="CORE"/>
    <x v="11"/>
    <s v="BBVA"/>
    <e v="#NAME?"/>
    <x v="178"/>
    <n v="0.15"/>
    <s v="Tech Manager/Líder"/>
    <s v="Mainframe"/>
    <m/>
    <e v="#NAME?"/>
    <e v="#NAME?"/>
    <e v="#NAME?"/>
    <m/>
    <m/>
    <m/>
    <m/>
    <m/>
    <n v="1"/>
    <m/>
    <m/>
    <m/>
  </r>
  <r>
    <s v="C342042"/>
    <s v="RICARDO ANDRES CERRATO"/>
    <s v="CORE"/>
    <x v="11"/>
    <s v="BBVA"/>
    <e v="#NAME?"/>
    <x v="189"/>
    <n v="0.2"/>
    <s v="Tech Manager/Líder"/>
    <s v="Mainframe"/>
    <m/>
    <e v="#NAME?"/>
    <e v="#NAME?"/>
    <e v="#NAME?"/>
    <m/>
    <m/>
    <m/>
    <m/>
    <m/>
    <n v="0"/>
    <m/>
    <m/>
    <m/>
  </r>
  <r>
    <s v="C342042"/>
    <s v="RICARDO ANDRES CERRATO"/>
    <s v="CORE"/>
    <x v="11"/>
    <s v="BBVA"/>
    <e v="#NAME?"/>
    <x v="185"/>
    <n v="0.25"/>
    <s v="Tech Manager/Líder"/>
    <s v="Mainframe"/>
    <m/>
    <e v="#NAME?"/>
    <e v="#NAME?"/>
    <e v="#NAME?"/>
    <m/>
    <m/>
    <m/>
    <m/>
    <m/>
    <n v="0"/>
    <m/>
    <m/>
    <m/>
  </r>
  <r>
    <s v="C342042"/>
    <s v="RICARDO ANDRES CERRATO"/>
    <s v="CORE"/>
    <x v="11"/>
    <s v="BBVA"/>
    <e v="#NAME?"/>
    <x v="181"/>
    <n v="0.15"/>
    <s v="Tech Manager/Líder"/>
    <s v="Mainframe"/>
    <m/>
    <e v="#NAME?"/>
    <e v="#NAME?"/>
    <e v="#NAME?"/>
    <m/>
    <m/>
    <m/>
    <m/>
    <m/>
    <n v="0"/>
    <m/>
    <m/>
    <m/>
  </r>
  <r>
    <s v="C342042"/>
    <s v="RICARDO ANDRES CERRATO"/>
    <s v="CORE"/>
    <x v="11"/>
    <s v="BBVA"/>
    <e v="#NAME?"/>
    <x v="165"/>
    <n v="0.05"/>
    <s v="Tech Manager/Líder"/>
    <s v="Mainframe"/>
    <m/>
    <e v="#NAME?"/>
    <e v="#NAME?"/>
    <e v="#NAME?"/>
    <m/>
    <m/>
    <m/>
    <m/>
    <m/>
    <n v="0"/>
    <m/>
    <m/>
    <m/>
  </r>
  <r>
    <s v="C342042"/>
    <s v="RICARDO ANDRES CERRATO"/>
    <s v="CORE"/>
    <x v="11"/>
    <s v="BBVA"/>
    <e v="#NAME?"/>
    <x v="179"/>
    <n v="0.1"/>
    <s v="Tech Manager/Líder"/>
    <s v="Mainframe"/>
    <m/>
    <e v="#NAME?"/>
    <e v="#NAME?"/>
    <e v="#NAME?"/>
    <m/>
    <m/>
    <m/>
    <m/>
    <m/>
    <n v="0"/>
    <m/>
    <m/>
    <m/>
  </r>
  <r>
    <s v="C342042"/>
    <s v="RICARDO ANDRES CERRATO"/>
    <s v="CORE"/>
    <x v="11"/>
    <s v="BBVA"/>
    <e v="#NAME?"/>
    <x v="3"/>
    <n v="0.1"/>
    <s v="Tech Manager/Líder"/>
    <s v="Mainframe"/>
    <m/>
    <e v="#NAME?"/>
    <e v="#NAME?"/>
    <e v="#NAME?"/>
    <m/>
    <m/>
    <m/>
    <m/>
    <m/>
    <n v="0"/>
    <m/>
    <m/>
    <m/>
  </r>
  <r>
    <s v="C810792"/>
    <s v="ROBER ESNEIDER PARRA POLANIA"/>
    <s v="CORE"/>
    <x v="11"/>
    <s v="BBVA"/>
    <e v="#NAME?"/>
    <x v="190"/>
    <n v="0.5"/>
    <s v="Desarrollador"/>
    <s v="Mainframe"/>
    <m/>
    <e v="#NAME?"/>
    <e v="#NAME?"/>
    <e v="#NAME?"/>
    <m/>
    <m/>
    <m/>
    <m/>
    <m/>
    <n v="1"/>
    <m/>
    <m/>
    <m/>
  </r>
  <r>
    <s v="C810792"/>
    <s v="ROBER ESNEIDER PARRA POLANIA"/>
    <s v="CORE"/>
    <x v="11"/>
    <s v="BBVA"/>
    <e v="#NAME?"/>
    <x v="3"/>
    <n v="0.5"/>
    <s v="Desarrollador"/>
    <s v="Mainframe"/>
    <m/>
    <e v="#NAME?"/>
    <e v="#NAME?"/>
    <e v="#NAME?"/>
    <m/>
    <m/>
    <m/>
    <m/>
    <m/>
    <n v="0"/>
    <m/>
    <m/>
    <m/>
  </r>
  <r>
    <s v="O000103"/>
    <s v="TATIANA  PAOLA PEREIRA RIOS"/>
    <s v="CORE"/>
    <x v="11"/>
    <s v="BBVA"/>
    <e v="#NAME?"/>
    <x v="182"/>
    <n v="0.1"/>
    <s v="Desarrollador"/>
    <s v="Mainframe"/>
    <m/>
    <e v="#NAME?"/>
    <e v="#NAME?"/>
    <e v="#NAME?"/>
    <m/>
    <m/>
    <m/>
    <m/>
    <m/>
    <n v="1"/>
    <m/>
    <m/>
    <m/>
  </r>
  <r>
    <s v="O000103"/>
    <s v="TATIANA  PAOLA PEREIRA RIOS"/>
    <s v="CORE"/>
    <x v="11"/>
    <s v="BBVA"/>
    <e v="#NAME?"/>
    <x v="3"/>
    <n v="0.3"/>
    <s v="Desarrollador"/>
    <s v="Mainframe"/>
    <m/>
    <e v="#NAME?"/>
    <e v="#NAME?"/>
    <e v="#NAME?"/>
    <m/>
    <m/>
    <m/>
    <m/>
    <m/>
    <n v="0"/>
    <m/>
    <m/>
    <m/>
  </r>
  <r>
    <s v="O000103"/>
    <s v="TATIANA  PAOLA PEREIRA RIOS"/>
    <s v="CORE"/>
    <x v="11"/>
    <s v="BBVA"/>
    <e v="#NAME?"/>
    <x v="183"/>
    <n v="0.3"/>
    <s v="Desarrollador"/>
    <s v="Mainframe"/>
    <m/>
    <e v="#NAME?"/>
    <e v="#NAME?"/>
    <e v="#NAME?"/>
    <m/>
    <m/>
    <m/>
    <m/>
    <m/>
    <n v="0"/>
    <m/>
    <m/>
    <m/>
  </r>
  <r>
    <s v="O000103"/>
    <s v="TATIANA  PAOLA PEREIRA RIOS"/>
    <s v="CORE"/>
    <x v="11"/>
    <s v="BBVA"/>
    <e v="#NAME?"/>
    <x v="75"/>
    <n v="0.3"/>
    <s v="Desarrollador"/>
    <s v="Mainframe"/>
    <m/>
    <e v="#NAME?"/>
    <e v="#NAME?"/>
    <e v="#NAME?"/>
    <m/>
    <m/>
    <m/>
    <m/>
    <m/>
    <n v="0"/>
    <m/>
    <m/>
    <m/>
  </r>
  <r>
    <s v="C808282"/>
    <s v="WBEIMAR MURILLO"/>
    <s v="CORE"/>
    <x v="11"/>
    <s v="BBVA"/>
    <e v="#NAME?"/>
    <x v="3"/>
    <n v="0.2"/>
    <s v="Desarrollador"/>
    <s v="Mainframe"/>
    <m/>
    <e v="#NAME?"/>
    <e v="#NAME?"/>
    <e v="#NAME?"/>
    <m/>
    <m/>
    <m/>
    <m/>
    <m/>
    <n v="1"/>
    <m/>
    <m/>
    <m/>
  </r>
  <r>
    <s v="C808282"/>
    <s v="WBEIMAR MURILLO"/>
    <s v="CORE"/>
    <x v="11"/>
    <s v="BBVA"/>
    <e v="#NAME?"/>
    <x v="185"/>
    <n v="0.8"/>
    <s v="Desarrollador"/>
    <s v="Mainframe"/>
    <m/>
    <e v="#NAME?"/>
    <e v="#NAME?"/>
    <e v="#NAME?"/>
    <m/>
    <m/>
    <m/>
    <m/>
    <m/>
    <n v="0"/>
    <m/>
    <m/>
    <m/>
  </r>
  <r>
    <s v="C343509"/>
    <s v="WILLIAM LEONARDO ESPITIA FRANCO"/>
    <s v="CORE"/>
    <x v="11"/>
    <s v="BBVA"/>
    <e v="#NAME?"/>
    <x v="183"/>
    <n v="0.6"/>
    <s v="Desarrollador"/>
    <s v="Mainframe"/>
    <m/>
    <e v="#NAME?"/>
    <e v="#NAME?"/>
    <e v="#NAME?"/>
    <m/>
    <m/>
    <m/>
    <m/>
    <m/>
    <n v="1"/>
    <m/>
    <m/>
    <m/>
  </r>
  <r>
    <s v="C343509"/>
    <s v="WILLIAM LEONARDO ESPITIA FRANCO"/>
    <s v="CORE"/>
    <x v="11"/>
    <s v="BBVA"/>
    <e v="#NAME?"/>
    <x v="3"/>
    <n v="0.4"/>
    <s v="Desarrollador"/>
    <s v="Mainframe"/>
    <m/>
    <e v="#NAME?"/>
    <e v="#NAME?"/>
    <e v="#NAME?"/>
    <m/>
    <m/>
    <m/>
    <m/>
    <m/>
    <n v="0"/>
    <m/>
    <m/>
    <m/>
  </r>
  <r>
    <s v="C811175"/>
    <s v="CIRO ALONSO RINCON HERNANDEZ"/>
    <s v="CORE"/>
    <x v="11"/>
    <s v="BBVA"/>
    <e v="#NAME?"/>
    <x v="9"/>
    <n v="0.6"/>
    <s v="Desarrollador"/>
    <s v="Mainframe"/>
    <m/>
    <e v="#NAME?"/>
    <e v="#NAME?"/>
    <e v="#NAME?"/>
    <m/>
    <m/>
    <m/>
    <m/>
    <m/>
    <n v="1"/>
    <m/>
    <m/>
    <m/>
  </r>
  <r>
    <s v="C803916"/>
    <s v="SERGIO EDUARDO MARTINEZ LOPEZ"/>
    <s v="RETAIL"/>
    <x v="21"/>
    <s v="BBVA"/>
    <e v="#NAME?"/>
    <x v="3"/>
    <n v="0.25"/>
    <s v="Tech Manager/Líder"/>
    <s v="Distribuido"/>
    <m/>
    <e v="#NAME?"/>
    <e v="#NAME?"/>
    <e v="#NAME?"/>
    <m/>
    <m/>
    <m/>
    <m/>
    <m/>
    <m/>
    <m/>
    <m/>
    <m/>
  </r>
  <r>
    <s v="C803916"/>
    <s v="SERGIO EDUARDO MARTINEZ LOPEZ"/>
    <s v="RETAIL"/>
    <x v="21"/>
    <s v="BBVA"/>
    <e v="#NAME?"/>
    <x v="193"/>
    <n v="0.75"/>
    <s v="Tech Manager/Líder"/>
    <s v="Distribuido"/>
    <m/>
    <e v="#NAME?"/>
    <e v="#NAME?"/>
    <e v="#NAME?"/>
    <m/>
    <m/>
    <m/>
    <m/>
    <m/>
    <m/>
    <m/>
    <m/>
    <m/>
  </r>
  <r>
    <s v="C811189"/>
    <s v="JUAN PABLO MILLAN MORALES"/>
    <s v="RETAIL"/>
    <x v="21"/>
    <s v="BBVA"/>
    <e v="#NAME?"/>
    <x v="3"/>
    <n v="0.25"/>
    <s v="Desarrollador"/>
    <s v="ASO"/>
    <m/>
    <e v="#NAME?"/>
    <e v="#NAME?"/>
    <e v="#NAME?"/>
    <m/>
    <m/>
    <m/>
    <m/>
    <m/>
    <m/>
    <m/>
    <m/>
    <m/>
  </r>
  <r>
    <s v="C811189"/>
    <s v="JUAN PABLO MILLAN MORALES"/>
    <s v="RETAIL"/>
    <x v="21"/>
    <s v="BBVA"/>
    <e v="#NAME?"/>
    <x v="193"/>
    <n v="0.75"/>
    <s v="Desarrollador"/>
    <s v="ASO"/>
    <m/>
    <e v="#NAME?"/>
    <e v="#NAME?"/>
    <e v="#NAME?"/>
    <m/>
    <m/>
    <m/>
    <m/>
    <m/>
    <m/>
    <m/>
    <m/>
    <m/>
  </r>
  <r>
    <s v="C342045"/>
    <s v="NELSON JAVIER MONCADA GELVES"/>
    <s v="RETAIL"/>
    <x v="21"/>
    <s v="BBVA"/>
    <e v="#NAME?"/>
    <x v="193"/>
    <n v="0.75"/>
    <s v="Desarrollador"/>
    <s v="Mainframe"/>
    <m/>
    <e v="#NAME?"/>
    <e v="#NAME?"/>
    <e v="#NAME?"/>
    <m/>
    <m/>
    <m/>
    <m/>
    <m/>
    <m/>
    <m/>
    <m/>
    <m/>
  </r>
  <r>
    <s v="C342045"/>
    <s v="NELSON JAVIER MONCADA GELVES"/>
    <s v="RETAIL"/>
    <x v="21"/>
    <s v="BBVA"/>
    <e v="#NAME?"/>
    <x v="160"/>
    <n v="0.25"/>
    <s v="Desarrollador"/>
    <s v="Mainframe"/>
    <m/>
    <e v="#NAME?"/>
    <e v="#NAME?"/>
    <e v="#NAME?"/>
    <m/>
    <m/>
    <m/>
    <m/>
    <m/>
    <m/>
    <m/>
    <m/>
    <m/>
  </r>
  <r>
    <s v="C809565"/>
    <s v="JOAN CAMILO CHIVATA SANCHEZ"/>
    <s v="RETAIL"/>
    <x v="21"/>
    <s v="BBVA"/>
    <e v="#NAME?"/>
    <x v="3"/>
    <n v="1"/>
    <s v="Desarrollador"/>
    <s v="Mainframe"/>
    <m/>
    <e v="#NAME?"/>
    <e v="#NAME?"/>
    <e v="#NAME?"/>
    <m/>
    <m/>
    <m/>
    <m/>
    <m/>
    <m/>
    <m/>
    <m/>
    <m/>
  </r>
  <r>
    <s v="C810952"/>
    <s v="JUAN SEBASTIAN AYALA RENDON"/>
    <s v="RETAIL"/>
    <x v="21"/>
    <s v="BBVA"/>
    <e v="#NAME?"/>
    <x v="3"/>
    <n v="1"/>
    <s v="Desarrollador"/>
    <s v="ASO"/>
    <m/>
    <e v="#NAME?"/>
    <e v="#NAME?"/>
    <e v="#NAME?"/>
    <m/>
    <m/>
    <m/>
    <m/>
    <m/>
    <m/>
    <m/>
    <m/>
    <m/>
  </r>
  <r>
    <s v="C805933"/>
    <s v="BRAYAN NICOLAS PEÑA QUINTANA"/>
    <s v="RETAIL"/>
    <x v="21"/>
    <s v="BBVA"/>
    <e v="#NAME?"/>
    <x v="3"/>
    <n v="1"/>
    <s v="Desarrollador"/>
    <s v="Distribuido"/>
    <m/>
    <e v="#NAME?"/>
    <e v="#NAME?"/>
    <e v="#NAME?"/>
    <m/>
    <m/>
    <m/>
    <m/>
    <m/>
    <m/>
    <m/>
    <m/>
    <m/>
  </r>
  <r>
    <s v="C804547"/>
    <s v="CARLOS MARIO BERNAL CASTRO"/>
    <s v="RETAIL"/>
    <x v="21"/>
    <s v="BBVA"/>
    <e v="#NAME?"/>
    <x v="193"/>
    <n v="0.5"/>
    <s v="Tech Manager/Líder"/>
    <s v="ASO"/>
    <m/>
    <e v="#NAME?"/>
    <e v="#NAME?"/>
    <e v="#NAME?"/>
    <m/>
    <m/>
    <m/>
    <m/>
    <m/>
    <m/>
    <m/>
    <m/>
    <m/>
  </r>
  <r>
    <s v="C804547"/>
    <s v="CARLOS MARIO BERNAL CASTRO"/>
    <s v="RETAIL"/>
    <x v="21"/>
    <s v="BBVA"/>
    <e v="#NAME?"/>
    <x v="160"/>
    <n v="0.5"/>
    <s v="Tech Manager/Líder"/>
    <s v="ASO"/>
    <m/>
    <e v="#NAME?"/>
    <e v="#NAME?"/>
    <e v="#NAME?"/>
    <m/>
    <m/>
    <m/>
    <m/>
    <m/>
    <m/>
    <m/>
    <m/>
    <m/>
  </r>
  <r>
    <s v="C802282"/>
    <s v="DIEGO SANTOS DUARTE CUELLAR"/>
    <s v="RETAIL"/>
    <x v="21"/>
    <s v="BBVA"/>
    <e v="#NAME?"/>
    <x v="160"/>
    <n v="1"/>
    <s v="Desarrollador"/>
    <s v="Distribuido"/>
    <m/>
    <e v="#NAME?"/>
    <e v="#NAME?"/>
    <e v="#NAME?"/>
    <m/>
    <m/>
    <m/>
    <m/>
    <m/>
    <m/>
    <m/>
    <m/>
    <m/>
  </r>
  <r>
    <s v="C343114"/>
    <s v="VICTOR HUGO DIAZ CERON"/>
    <s v="RETAIL"/>
    <x v="21"/>
    <s v="BBVA"/>
    <e v="#NAME?"/>
    <x v="160"/>
    <n v="1"/>
    <s v="Desarrollador"/>
    <s v="Distribuido"/>
    <m/>
    <e v="#NAME?"/>
    <e v="#NAME?"/>
    <e v="#NAME?"/>
    <m/>
    <m/>
    <m/>
    <m/>
    <m/>
    <m/>
    <m/>
    <m/>
    <m/>
  </r>
  <r>
    <s v="O002666"/>
    <s v="DAVID ESTEBAN ARAGON PEÑUELA"/>
    <s v="RETAIL"/>
    <x v="21"/>
    <s v="BBVA"/>
    <e v="#NAME?"/>
    <x v="193"/>
    <n v="1"/>
    <s v="Desarrollador"/>
    <s v="ASO"/>
    <m/>
    <e v="#NAME?"/>
    <e v="#NAME?"/>
    <e v="#NAME?"/>
    <m/>
    <m/>
    <m/>
    <m/>
    <m/>
    <m/>
    <m/>
    <m/>
    <m/>
  </r>
  <r>
    <s v="C811379"/>
    <s v="CAMILO ANDRES MUÑOZ CAICEDO"/>
    <s v="RETAIL"/>
    <x v="21"/>
    <s v="BBVA"/>
    <e v="#NAME?"/>
    <x v="193"/>
    <n v="0.25"/>
    <s v="Desarrollador"/>
    <s v="Distribuido"/>
    <m/>
    <e v="#NAME?"/>
    <e v="#NAME?"/>
    <e v="#NAME?"/>
    <m/>
    <m/>
    <m/>
    <m/>
    <m/>
    <m/>
    <m/>
    <m/>
    <m/>
  </r>
  <r>
    <s v="C811379"/>
    <s v="CAMILO ANDRES MUÑOZ CAICEDO"/>
    <s v="RETAIL"/>
    <x v="21"/>
    <s v="BBVA"/>
    <e v="#NAME?"/>
    <x v="160"/>
    <n v="0.75"/>
    <s v="Desarrollador"/>
    <s v="Distribuido"/>
    <m/>
    <e v="#NAME?"/>
    <e v="#NAME?"/>
    <e v="#NAME?"/>
    <m/>
    <m/>
    <m/>
    <m/>
    <m/>
    <m/>
    <m/>
    <m/>
    <m/>
  </r>
  <r>
    <s v="C804782"/>
    <s v="DIEGO JAVIER MORENO RUSINQUE"/>
    <s v="RETAIL"/>
    <x v="21"/>
    <s v="BBVA"/>
    <e v="#NAME?"/>
    <x v="193"/>
    <n v="1"/>
    <s v="Tech Manager/Líder"/>
    <s v="ASO"/>
    <m/>
    <e v="#NAME?"/>
    <e v="#NAME?"/>
    <e v="#NAME?"/>
    <m/>
    <m/>
    <m/>
    <m/>
    <m/>
    <m/>
    <m/>
    <m/>
    <m/>
  </r>
  <r>
    <s v="C811198"/>
    <s v="EDWIN DAVID TORO ECHEVERRIA"/>
    <s v="RETAIL"/>
    <x v="21"/>
    <s v="BBVA"/>
    <e v="#NAME?"/>
    <x v="160"/>
    <n v="1"/>
    <s v="Desarrollador"/>
    <s v="APX"/>
    <m/>
    <e v="#NAME?"/>
    <e v="#NAME?"/>
    <e v="#NAME?"/>
    <m/>
    <m/>
    <m/>
    <m/>
    <m/>
    <m/>
    <m/>
    <m/>
    <m/>
  </r>
  <r>
    <s v="C805724"/>
    <s v="KATHERIN DANIELA AREVALO BARRERA"/>
    <s v="RETAIL"/>
    <x v="21"/>
    <s v="BBVA"/>
    <e v="#NAME?"/>
    <x v="160"/>
    <n v="1"/>
    <s v="Otros"/>
    <s v="Distribuido"/>
    <m/>
    <e v="#NAME?"/>
    <e v="#NAME?"/>
    <e v="#NAME?"/>
    <m/>
    <m/>
    <m/>
    <m/>
    <m/>
    <m/>
    <m/>
    <m/>
    <m/>
  </r>
  <r>
    <s v="C810833"/>
    <s v="FERNANDO JOSE BOLIVAR NAVARRO"/>
    <s v="RETAIL"/>
    <x v="21"/>
    <s v="BBVA"/>
    <e v="#NAME?"/>
    <x v="160"/>
    <n v="1"/>
    <s v="Otros"/>
    <s v="Distribuido"/>
    <m/>
    <e v="#NAME?"/>
    <e v="#NAME?"/>
    <e v="#NAME?"/>
    <m/>
    <m/>
    <m/>
    <m/>
    <m/>
    <m/>
    <m/>
    <m/>
    <m/>
  </r>
  <r>
    <s v="O003002"/>
    <s v="EDISSON IOVANNI RODRIGUEZ SOCHA"/>
    <s v="RETAIL"/>
    <x v="21"/>
    <s v="BBVA"/>
    <e v="#NAME?"/>
    <x v="193"/>
    <n v="1"/>
    <s v="Desarrollador"/>
    <s v="Distribuido"/>
    <m/>
    <e v="#NAME?"/>
    <e v="#NAME?"/>
    <e v="#NAME?"/>
    <m/>
    <m/>
    <m/>
    <m/>
    <m/>
    <m/>
    <m/>
    <m/>
    <m/>
  </r>
  <r>
    <s v="CI35375"/>
    <s v="Luis Rodrigo Ulloa Marin"/>
    <s v="CIB &amp; COMEX - FIDUCIARIA"/>
    <x v="18"/>
    <s v="BBVA Fiduciaria"/>
    <e v="#NAME?"/>
    <x v="151"/>
    <n v="0.18"/>
    <s v="Tech Manager/Líder"/>
    <s v="Distribuido"/>
    <s v="Interno"/>
    <e v="#NAME?"/>
    <e v="#NAME?"/>
    <e v="#NAME?"/>
    <m/>
    <m/>
    <m/>
    <m/>
    <m/>
    <m/>
    <m/>
    <m/>
    <m/>
  </r>
  <r>
    <s v="CI35375"/>
    <s v="Luis Rodrigo Ulloa Marin"/>
    <s v="CIB &amp; COMEX - FIDUCIARIA"/>
    <x v="18"/>
    <s v="BBVA Fiduciaria"/>
    <e v="#NAME?"/>
    <x v="153"/>
    <n v="0.16"/>
    <s v="Tech Manager/Líder"/>
    <s v="Distribuido"/>
    <s v="Interno"/>
    <e v="#NAME?"/>
    <e v="#NAME?"/>
    <e v="#NAME?"/>
    <m/>
    <m/>
    <m/>
    <m/>
    <m/>
    <m/>
    <m/>
    <m/>
    <m/>
  </r>
  <r>
    <s v="CI35128"/>
    <s v="Cristian Camilo Rincon"/>
    <s v="CIB &amp; COMEX - FIDUCIARIA"/>
    <x v="18"/>
    <s v="BBVA Fiduciaria"/>
    <e v="#NAME?"/>
    <x v="194"/>
    <n v="0.25"/>
    <s v="Tech Manager/Líder"/>
    <m/>
    <s v="Interno"/>
    <e v="#NAME?"/>
    <e v="#NAME?"/>
    <e v="#NAME?"/>
    <m/>
    <m/>
    <m/>
    <m/>
    <m/>
    <m/>
    <m/>
    <m/>
    <m/>
  </r>
  <r>
    <s v="CI08666"/>
    <s v="Jorge Anibal Blanco Meneses"/>
    <s v="CIB &amp; COMEX - FIDUCIARIA"/>
    <x v="18"/>
    <s v="BBVA Fiduciaria"/>
    <e v="#NAME?"/>
    <x v="194"/>
    <n v="0.3"/>
    <s v="Tech Manager/Líder"/>
    <m/>
    <s v="Interno"/>
    <e v="#NAME?"/>
    <e v="#NAME?"/>
    <e v="#NAME?"/>
    <m/>
    <m/>
    <m/>
    <m/>
    <m/>
    <m/>
    <m/>
    <m/>
    <m/>
  </r>
  <r>
    <s v="CI35442"/>
    <s v="Juan Camilo Ladino Guezguan"/>
    <s v="CIB &amp; COMEX - FIDUCIARIA"/>
    <x v="18"/>
    <s v="BBVA Fiduciaria"/>
    <e v="#NAME?"/>
    <x v="194"/>
    <n v="0.3"/>
    <s v="Desarrollador"/>
    <m/>
    <s v="Interno"/>
    <e v="#NAME?"/>
    <e v="#NAME?"/>
    <e v="#NAME?"/>
    <m/>
    <m/>
    <m/>
    <m/>
    <m/>
    <m/>
    <m/>
    <m/>
    <m/>
  </r>
  <r>
    <s v="O000087"/>
    <s v="Jayson Ricardo Becerra Gomez"/>
    <s v="CIB &amp; COMEX - FIDUCIARIA"/>
    <x v="18"/>
    <s v="BBVA Fiduciaria"/>
    <e v="#NAME?"/>
    <x v="195"/>
    <n v="0.5"/>
    <s v="Tech Manager/Líder"/>
    <m/>
    <s v="Interno"/>
    <e v="#NAME?"/>
    <e v="#NAME?"/>
    <e v="#NAME?"/>
    <m/>
    <m/>
    <m/>
    <m/>
    <m/>
    <m/>
    <m/>
    <m/>
    <m/>
  </r>
  <r>
    <s v="O000087"/>
    <s v="Jayson Ricardo Becerra Gomez"/>
    <s v="CIB &amp; COMEX - FIDUCIARIA"/>
    <x v="18"/>
    <s v="BBVA Fiduciaria"/>
    <e v="#NAME?"/>
    <x v="196"/>
    <n v="0.5"/>
    <s v="Tech Manager/Líder"/>
    <m/>
    <s v="Interno"/>
    <e v="#NAME?"/>
    <e v="#NAME?"/>
    <e v="#NAME?"/>
    <m/>
    <m/>
    <m/>
    <m/>
    <m/>
    <m/>
    <m/>
    <m/>
    <m/>
  </r>
  <r>
    <s v="O000150"/>
    <s v="Oscar Fernando Real Bautista"/>
    <s v="CIB &amp; COMEX - FIDUCIARIA"/>
    <x v="18"/>
    <s v="BBVA Fiduciaria"/>
    <e v="#NAME?"/>
    <x v="197"/>
    <n v="0.4"/>
    <s v="Tech Manager/Líder"/>
    <m/>
    <s v="Interno"/>
    <e v="#NAME?"/>
    <e v="#NAME?"/>
    <e v="#NAME?"/>
    <m/>
    <m/>
    <m/>
    <m/>
    <m/>
    <m/>
    <m/>
    <m/>
    <m/>
  </r>
  <r>
    <s v="O000150"/>
    <s v="Oscar Fernando Real Bautista"/>
    <s v="CIB &amp; COMEX - FIDUCIARIA"/>
    <x v="18"/>
    <s v="BBVA Fiduciaria"/>
    <e v="#NAME?"/>
    <x v="150"/>
    <n v="0.4"/>
    <s v="Tech Manager/Líder"/>
    <m/>
    <s v="Interno"/>
    <e v="#NAME?"/>
    <e v="#NAME?"/>
    <e v="#NAME?"/>
    <m/>
    <m/>
    <m/>
    <m/>
    <m/>
    <m/>
    <m/>
    <m/>
    <m/>
  </r>
  <r>
    <s v="CI35128"/>
    <s v="Cristian Camilo Rincon"/>
    <s v="CIB &amp; COMEX - FIDUCIARIA"/>
    <x v="18"/>
    <s v="BBVA Fiduciaria"/>
    <e v="#NAME?"/>
    <x v="152"/>
    <n v="0.25"/>
    <s v="Tech Manager/Líder"/>
    <m/>
    <s v="Interno"/>
    <e v="#NAME?"/>
    <e v="#NAME?"/>
    <e v="#NAME?"/>
    <m/>
    <m/>
    <m/>
    <m/>
    <m/>
    <m/>
    <m/>
    <m/>
    <m/>
  </r>
  <r>
    <s v="CI08666"/>
    <s v="Jorge Anibal Blanco Meneses"/>
    <s v="CIB &amp; COMEX - FIDUCIARIA"/>
    <x v="18"/>
    <s v="BBVA Fiduciaria"/>
    <e v="#NAME?"/>
    <x v="152"/>
    <n v="0.3"/>
    <s v="Tech Manager/Líder"/>
    <m/>
    <s v="Interno"/>
    <e v="#NAME?"/>
    <e v="#NAME?"/>
    <e v="#NAME?"/>
    <m/>
    <m/>
    <m/>
    <m/>
    <m/>
    <m/>
    <m/>
    <m/>
    <m/>
  </r>
  <r>
    <s v="CI35442"/>
    <s v="Juan Camilo Ladino Guezguan"/>
    <s v="CIB &amp; COMEX - FIDUCIARIA"/>
    <x v="18"/>
    <s v="BBVA Fiduciaria"/>
    <e v="#NAME?"/>
    <x v="152"/>
    <n v="0.3"/>
    <s v="Desarrollador"/>
    <m/>
    <s v="Interno"/>
    <e v="#NAME?"/>
    <e v="#NAME?"/>
    <e v="#NAME?"/>
    <m/>
    <m/>
    <m/>
    <m/>
    <m/>
    <m/>
    <m/>
    <m/>
    <m/>
  </r>
  <r>
    <s v="CI35100"/>
    <s v="Alexander Lopez Fonseca"/>
    <s v="CIB &amp; COMEX - FIDUCIARIA"/>
    <x v="18"/>
    <s v="BBVA Fiduciaria"/>
    <e v="#NAME?"/>
    <x v="198"/>
    <n v="0.5"/>
    <s v="Tech Manager/Líder"/>
    <m/>
    <s v="Interno"/>
    <e v="#NAME?"/>
    <e v="#NAME?"/>
    <e v="#NAME?"/>
    <m/>
    <m/>
    <m/>
    <m/>
    <m/>
    <m/>
    <m/>
    <m/>
    <m/>
  </r>
  <r>
    <s v="CE68033"/>
    <s v="Donoba Ricardo Figueredo"/>
    <s v="CIB &amp; COMEX - FIDUCIARIA"/>
    <x v="18"/>
    <s v="BBVA Fiduciaria"/>
    <e v="#NAME?"/>
    <x v="3"/>
    <n v="1"/>
    <s v="QA"/>
    <s v="Distribuido"/>
    <s v="Externo"/>
    <e v="#NAME?"/>
    <e v="#NAME?"/>
    <e v="#NAME?"/>
    <m/>
    <m/>
    <m/>
    <m/>
    <m/>
    <m/>
    <m/>
    <m/>
    <m/>
  </r>
  <r>
    <s v="CE58491"/>
    <s v="Ricardo Pachon"/>
    <s v="CIB &amp; COMEX - FIDUCIARIA"/>
    <x v="18"/>
    <s v="BBVA Fiduciaria"/>
    <e v="#NAME?"/>
    <x v="151"/>
    <n v="1"/>
    <s v="QA"/>
    <s v="Distribuido"/>
    <s v="Externo"/>
    <e v="#NAME?"/>
    <e v="#NAME?"/>
    <e v="#NAME?"/>
    <m/>
    <m/>
    <m/>
    <m/>
    <m/>
    <m/>
    <m/>
    <m/>
    <m/>
  </r>
  <r>
    <s v="CE68487"/>
    <s v="Diana Rubiano"/>
    <s v="CIB &amp; COMEX - FIDUCIARIA"/>
    <x v="18"/>
    <s v="BBVA Fiduciaria"/>
    <e v="#NAME?"/>
    <x v="151"/>
    <n v="1"/>
    <s v="QA"/>
    <s v="Distribuido"/>
    <s v="Externo"/>
    <e v="#NAME?"/>
    <e v="#NAME?"/>
    <e v="#NAME?"/>
    <m/>
    <m/>
    <m/>
    <m/>
    <m/>
    <m/>
    <m/>
    <m/>
    <m/>
  </r>
  <r>
    <s v="CE57320"/>
    <s v="Maria Victoria Ruiz"/>
    <s v="CIB &amp; COMEX - FIDUCIARIA"/>
    <x v="18"/>
    <s v="BBVA Fiduciaria"/>
    <e v="#NAME?"/>
    <x v="151"/>
    <n v="1"/>
    <s v="QA"/>
    <s v="Distribuido"/>
    <s v="Externo"/>
    <e v="#NAME?"/>
    <e v="#NAME?"/>
    <e v="#NAME?"/>
    <m/>
    <m/>
    <m/>
    <m/>
    <m/>
    <m/>
    <m/>
    <m/>
    <m/>
  </r>
  <r>
    <s v="CIXXXXXX"/>
    <s v="Adriana Yamile Rodriguez"/>
    <s v="CIB &amp; COMEX - FIDUCIARIA"/>
    <x v="18"/>
    <s v="SII"/>
    <e v="#NAME?"/>
    <x v="194"/>
    <n v="0.5"/>
    <s v="Desarrollador"/>
    <s v="ASO"/>
    <s v="Externo"/>
    <e v="#NAME?"/>
    <e v="#NAME?"/>
    <e v="#NAME?"/>
    <m/>
    <m/>
    <m/>
    <m/>
    <m/>
    <m/>
    <m/>
    <m/>
    <m/>
  </r>
  <r>
    <s v="CIXXXXXX"/>
    <s v="Andres Felipe Mora"/>
    <s v="CIB &amp; COMEX - FIDUCIARIA"/>
    <x v="18"/>
    <s v="SII"/>
    <e v="#NAME?"/>
    <x v="194"/>
    <n v="0.5"/>
    <s v="Desarrollador"/>
    <s v="ASO"/>
    <s v="Externo"/>
    <e v="#NAME?"/>
    <e v="#NAME?"/>
    <e v="#NAME?"/>
    <m/>
    <m/>
    <m/>
    <m/>
    <m/>
    <m/>
    <m/>
    <m/>
    <m/>
  </r>
  <r>
    <s v="CIXXXXXX"/>
    <s v="Jean paul patiño"/>
    <s v="CIB &amp; COMEX - FIDUCIARIA"/>
    <x v="18"/>
    <s v="SII"/>
    <e v="#NAME?"/>
    <x v="194"/>
    <n v="0.5"/>
    <s v="Desarrollador"/>
    <s v="ASO"/>
    <s v="Externo"/>
    <e v="#NAME?"/>
    <e v="#NAME?"/>
    <e v="#NAME?"/>
    <m/>
    <m/>
    <m/>
    <m/>
    <m/>
    <m/>
    <m/>
    <m/>
    <m/>
  </r>
  <r>
    <s v="CIXXXXXX"/>
    <s v="Jhenny meneses"/>
    <s v="CIB &amp; COMEX - FIDUCIARIA"/>
    <x v="18"/>
    <s v="SII"/>
    <e v="#NAME?"/>
    <x v="194"/>
    <n v="0.5"/>
    <s v="Desarrollador"/>
    <s v="ASO"/>
    <s v="Externo"/>
    <e v="#NAME?"/>
    <e v="#NAME?"/>
    <e v="#NAME?"/>
    <m/>
    <m/>
    <m/>
    <m/>
    <m/>
    <m/>
    <m/>
    <m/>
    <m/>
  </r>
  <r>
    <s v="CIXXXXXX"/>
    <s v="Juan stevens guzman"/>
    <s v="CIB &amp; COMEX - FIDUCIARIA"/>
    <x v="18"/>
    <s v="SII"/>
    <e v="#NAME?"/>
    <x v="194"/>
    <n v="0.5"/>
    <s v="Desarrollador"/>
    <s v="ASO"/>
    <s v="Externo"/>
    <e v="#NAME?"/>
    <e v="#NAME?"/>
    <e v="#NAME?"/>
    <m/>
    <m/>
    <m/>
    <m/>
    <m/>
    <m/>
    <m/>
    <m/>
    <m/>
  </r>
  <r>
    <s v="CIXXXXXX"/>
    <s v="Michael escobar"/>
    <s v="CIB &amp; COMEX - FIDUCIARIA"/>
    <x v="18"/>
    <s v="SII"/>
    <e v="#NAME?"/>
    <x v="194"/>
    <n v="0.5"/>
    <s v="Desarrollador"/>
    <s v="ASO"/>
    <s v="Externo"/>
    <e v="#NAME?"/>
    <e v="#NAME?"/>
    <e v="#NAME?"/>
    <m/>
    <m/>
    <m/>
    <m/>
    <m/>
    <m/>
    <m/>
    <m/>
    <m/>
  </r>
  <r>
    <s v="CIXXXXXX"/>
    <s v="Nestor Eduardo Torres Gonzalez"/>
    <s v="CIB &amp; COMEX - FIDUCIARIA"/>
    <x v="18"/>
    <s v="SII"/>
    <e v="#NAME?"/>
    <x v="194"/>
    <n v="0.5"/>
    <s v="Desarrollador"/>
    <s v="ASO"/>
    <s v="Externo"/>
    <e v="#NAME?"/>
    <e v="#NAME?"/>
    <e v="#NAME?"/>
    <m/>
    <m/>
    <m/>
    <m/>
    <m/>
    <m/>
    <m/>
    <m/>
    <m/>
  </r>
  <r>
    <s v="CIXXXXXX"/>
    <s v="Jonathan Molina Fuentes"/>
    <s v="CIB &amp; COMEX - FIDUCIARIA"/>
    <x v="18"/>
    <s v="GGI / CMC"/>
    <e v="#NAME?"/>
    <x v="194"/>
    <n v="0.5"/>
    <s v="Desarrollador"/>
    <s v="ASO"/>
    <s v="Externo"/>
    <e v="#NAME?"/>
    <e v="#NAME?"/>
    <e v="#NAME?"/>
    <m/>
    <m/>
    <m/>
    <m/>
    <m/>
    <m/>
    <m/>
    <m/>
    <m/>
  </r>
  <r>
    <s v="CIXXXXXX"/>
    <s v="Nicolas Moreno Arévalo"/>
    <s v="CIB &amp; COMEX - FIDUCIARIA"/>
    <x v="18"/>
    <s v="GGI / CMC"/>
    <e v="#NAME?"/>
    <x v="194"/>
    <n v="0.5"/>
    <s v="Desarrollador"/>
    <s v="ASO"/>
    <s v="Externo"/>
    <e v="#NAME?"/>
    <e v="#NAME?"/>
    <e v="#NAME?"/>
    <m/>
    <m/>
    <m/>
    <m/>
    <m/>
    <m/>
    <m/>
    <m/>
    <m/>
  </r>
  <r>
    <s v="CIXXXXXX"/>
    <s v="Angie Natalia Gonzalez"/>
    <s v="CIB &amp; COMEX - FIDUCIARIA"/>
    <x v="18"/>
    <s v="GGI / CMC"/>
    <e v="#NAME?"/>
    <x v="194"/>
    <n v="0.5"/>
    <s v="Desarrollador"/>
    <s v="ASO"/>
    <s v="Externo"/>
    <e v="#NAME?"/>
    <e v="#NAME?"/>
    <e v="#NAME?"/>
    <m/>
    <m/>
    <m/>
    <m/>
    <m/>
    <m/>
    <m/>
    <m/>
    <m/>
  </r>
  <r>
    <s v="CIXXXXXX"/>
    <s v="Adriana Yamile Rodriguez"/>
    <s v="CIB &amp; COMEX - FIDUCIARIA"/>
    <x v="18"/>
    <s v="SII"/>
    <e v="#NAME?"/>
    <x v="152"/>
    <n v="0.5"/>
    <s v="Desarrollador"/>
    <s v="ASO"/>
    <s v="Externo"/>
    <e v="#NAME?"/>
    <e v="#NAME?"/>
    <e v="#NAME?"/>
    <m/>
    <m/>
    <m/>
    <m/>
    <m/>
    <m/>
    <m/>
    <m/>
    <m/>
  </r>
  <r>
    <s v="CIXXXXXX"/>
    <s v="Andres Felipe Mora"/>
    <s v="CIB &amp; COMEX - FIDUCIARIA"/>
    <x v="18"/>
    <s v="SII"/>
    <e v="#NAME?"/>
    <x v="152"/>
    <n v="0.5"/>
    <s v="Desarrollador"/>
    <s v="ASO"/>
    <s v="Externo"/>
    <e v="#NAME?"/>
    <e v="#NAME?"/>
    <e v="#NAME?"/>
    <m/>
    <m/>
    <m/>
    <m/>
    <m/>
    <m/>
    <m/>
    <m/>
    <m/>
  </r>
  <r>
    <s v="CIXXXXXX"/>
    <s v="Jean paul patiño"/>
    <s v="CIB &amp; COMEX - FIDUCIARIA"/>
    <x v="18"/>
    <s v="SII"/>
    <e v="#NAME?"/>
    <x v="152"/>
    <n v="0.5"/>
    <s v="Desarrollador"/>
    <s v="ASO"/>
    <s v="Externo"/>
    <e v="#NAME?"/>
    <e v="#NAME?"/>
    <e v="#NAME?"/>
    <m/>
    <m/>
    <m/>
    <m/>
    <m/>
    <m/>
    <m/>
    <m/>
    <m/>
  </r>
  <r>
    <s v="CIXXXXXX"/>
    <s v="Jhenny meneses"/>
    <s v="CIB &amp; COMEX - FIDUCIARIA"/>
    <x v="18"/>
    <s v="SII"/>
    <e v="#NAME?"/>
    <x v="152"/>
    <n v="0.5"/>
    <s v="Desarrollador"/>
    <s v="ASO"/>
    <s v="Externo"/>
    <e v="#NAME?"/>
    <e v="#NAME?"/>
    <e v="#NAME?"/>
    <m/>
    <m/>
    <m/>
    <m/>
    <m/>
    <m/>
    <m/>
    <m/>
    <m/>
  </r>
  <r>
    <s v="CIXXXXXX"/>
    <s v="Juan stevens guzman"/>
    <s v="CIB &amp; COMEX - FIDUCIARIA"/>
    <x v="18"/>
    <s v="SII"/>
    <e v="#NAME?"/>
    <x v="152"/>
    <n v="0.5"/>
    <s v="Desarrollador"/>
    <s v="ASO"/>
    <s v="Externo"/>
    <e v="#NAME?"/>
    <e v="#NAME?"/>
    <e v="#NAME?"/>
    <m/>
    <m/>
    <m/>
    <m/>
    <m/>
    <m/>
    <m/>
    <m/>
    <m/>
  </r>
  <r>
    <s v="CIXXXXXX"/>
    <s v="Michael escobar"/>
    <s v="CIB &amp; COMEX - FIDUCIARIA"/>
    <x v="18"/>
    <s v="SII"/>
    <e v="#NAME?"/>
    <x v="152"/>
    <n v="0.5"/>
    <s v="Desarrollador"/>
    <s v="ASO"/>
    <s v="Externo"/>
    <e v="#NAME?"/>
    <e v="#NAME?"/>
    <e v="#NAME?"/>
    <m/>
    <m/>
    <m/>
    <m/>
    <m/>
    <m/>
    <m/>
    <m/>
    <m/>
  </r>
  <r>
    <s v="CIXXXXXX"/>
    <s v="Nestor Eduardo Torres Gonzalez"/>
    <s v="CIB &amp; COMEX - FIDUCIARIA"/>
    <x v="18"/>
    <s v="SII"/>
    <e v="#NAME?"/>
    <x v="152"/>
    <n v="0.5"/>
    <s v="Desarrollador"/>
    <s v="ASO"/>
    <s v="Externo"/>
    <e v="#NAME?"/>
    <e v="#NAME?"/>
    <e v="#NAME?"/>
    <m/>
    <m/>
    <m/>
    <m/>
    <m/>
    <m/>
    <m/>
    <m/>
    <m/>
  </r>
  <r>
    <s v="CIXXXXXX"/>
    <s v="Jonathan Molina Fuentes"/>
    <s v="CIB &amp; COMEX - FIDUCIARIA"/>
    <x v="18"/>
    <s v="GGI / CMC"/>
    <e v="#NAME?"/>
    <x v="152"/>
    <n v="0.5"/>
    <s v="Desarrollador"/>
    <s v="ASO"/>
    <s v="Externo"/>
    <e v="#NAME?"/>
    <e v="#NAME?"/>
    <e v="#NAME?"/>
    <m/>
    <m/>
    <m/>
    <m/>
    <m/>
    <m/>
    <m/>
    <m/>
    <m/>
  </r>
  <r>
    <s v="CIXXXXXX"/>
    <s v="Nicolas Moreno Arévalo"/>
    <s v="CIB &amp; COMEX - FIDUCIARIA"/>
    <x v="18"/>
    <s v="GGI / CMC"/>
    <e v="#NAME?"/>
    <x v="152"/>
    <n v="0.5"/>
    <s v="Desarrollador"/>
    <s v="ASO"/>
    <s v="Externo"/>
    <e v="#NAME?"/>
    <e v="#NAME?"/>
    <e v="#NAME?"/>
    <m/>
    <m/>
    <m/>
    <m/>
    <m/>
    <m/>
    <m/>
    <m/>
    <m/>
  </r>
  <r>
    <s v="CIXXXXXX"/>
    <s v="Angie Natalia Gonzalez"/>
    <s v="CIB &amp; COMEX - FIDUCIARIA"/>
    <x v="18"/>
    <s v="GGI / CMC"/>
    <e v="#NAME?"/>
    <x v="152"/>
    <n v="0.5"/>
    <s v="Desarrollador"/>
    <s v="ASO"/>
    <s v="Externo"/>
    <e v="#NAME?"/>
    <e v="#NAME?"/>
    <e v="#NAME?"/>
    <m/>
    <m/>
    <m/>
    <m/>
    <m/>
    <m/>
    <m/>
    <m/>
    <m/>
  </r>
  <r>
    <s v="CE69361"/>
    <s v="ANDERSON CAMILO APONTE CERVERA"/>
    <s v="RETAIL"/>
    <x v="26"/>
    <s v="Neoris"/>
    <e v="#NAME?"/>
    <x v="199"/>
    <n v="0.3"/>
    <s v="Desarrollador"/>
    <s v="ASO"/>
    <m/>
    <e v="#NAME?"/>
    <e v="#NAME?"/>
    <e v="#NAME?"/>
    <m/>
    <m/>
    <m/>
    <m/>
    <m/>
    <m/>
    <m/>
    <m/>
    <m/>
  </r>
  <r>
    <s v="CE51863"/>
    <s v="EDNA ROCIO MONCADA"/>
    <s v="RETAIL"/>
    <x v="26"/>
    <s v="KRYPTO"/>
    <e v="#NAME?"/>
    <x v="199"/>
    <n v="0.02"/>
    <s v="QA"/>
    <s v="Otras Tec."/>
    <m/>
    <e v="#NAME?"/>
    <e v="#NAME?"/>
    <e v="#NAME?"/>
    <m/>
    <m/>
    <m/>
    <m/>
    <m/>
    <m/>
    <m/>
    <m/>
    <m/>
  </r>
  <r>
    <s v="C810711"/>
    <s v="CRISTIAN ALEXANDER ROJAS AZA"/>
    <s v="RETAIL"/>
    <x v="26"/>
    <s v="BBVA"/>
    <e v="#NAME?"/>
    <x v="199"/>
    <n v="0.8"/>
    <s v="Desarrollador"/>
    <s v="ASO"/>
    <m/>
    <e v="#NAME?"/>
    <e v="#NAME?"/>
    <e v="#NAME?"/>
    <m/>
    <m/>
    <m/>
    <m/>
    <m/>
    <m/>
    <m/>
    <m/>
    <m/>
  </r>
  <r>
    <s v="C810711"/>
    <s v="CRISTIAN ALEXANDER ROJAS AZA"/>
    <s v="RETAIL"/>
    <x v="26"/>
    <s v="BBVA"/>
    <e v="#NAME?"/>
    <x v="159"/>
    <n v="0.2"/>
    <s v="Desarrollador"/>
    <s v="ASO"/>
    <m/>
    <e v="#NAME?"/>
    <e v="#NAME?"/>
    <e v="#NAME?"/>
    <m/>
    <m/>
    <m/>
    <m/>
    <m/>
    <n v="0"/>
    <m/>
    <m/>
    <m/>
  </r>
  <r>
    <s v="C985155"/>
    <s v="DIANA EDITH VILLEGAS RAMIREZ"/>
    <s v="RETAIL"/>
    <x v="26"/>
    <s v="BBVA"/>
    <e v="#NAME?"/>
    <x v="199"/>
    <n v="1"/>
    <s v="Desarrollador"/>
    <s v="Otras Tec."/>
    <m/>
    <e v="#NAME?"/>
    <e v="#NAME?"/>
    <e v="#NAME?"/>
    <m/>
    <m/>
    <m/>
    <m/>
    <m/>
    <m/>
    <m/>
    <m/>
    <m/>
  </r>
  <r>
    <s v="C342595"/>
    <s v="EDGAR IVAN ARIAS MALDONADO"/>
    <s v="RETAIL"/>
    <x v="26"/>
    <s v="BBVA"/>
    <e v="#NAME?"/>
    <x v="199"/>
    <n v="1"/>
    <s v="Desarrollador"/>
    <s v="ASO"/>
    <m/>
    <e v="#NAME?"/>
    <e v="#NAME?"/>
    <e v="#NAME?"/>
    <m/>
    <m/>
    <m/>
    <m/>
    <m/>
    <m/>
    <m/>
    <m/>
    <m/>
  </r>
  <r>
    <s v="C810708"/>
    <s v="HAROLD ANDRES CASTILLO CARVAJAL"/>
    <s v="RETAIL"/>
    <x v="26"/>
    <s v="BBVA"/>
    <e v="#NAME?"/>
    <x v="199"/>
    <n v="1"/>
    <s v="Desarrollador"/>
    <s v="ASO"/>
    <m/>
    <e v="#NAME?"/>
    <e v="#NAME?"/>
    <e v="#NAME?"/>
    <m/>
    <m/>
    <m/>
    <m/>
    <m/>
    <m/>
    <m/>
    <m/>
    <m/>
  </r>
  <r>
    <s v="C342444"/>
    <s v="JOE ESTUPINAN MONTANO"/>
    <s v="RETAIL"/>
    <x v="26"/>
    <s v="BBVA"/>
    <e v="#NAME?"/>
    <x v="199"/>
    <n v="1"/>
    <s v="Desarrollador"/>
    <s v="Mainframe"/>
    <m/>
    <e v="#NAME?"/>
    <e v="#NAME?"/>
    <e v="#NAME?"/>
    <m/>
    <m/>
    <m/>
    <m/>
    <m/>
    <m/>
    <m/>
    <m/>
    <m/>
  </r>
  <r>
    <s v="C810746"/>
    <s v="JUAN DAVID BAEZ RAMOS"/>
    <s v="RETAIL"/>
    <x v="26"/>
    <s v="BBVA"/>
    <e v="#NAME?"/>
    <x v="199"/>
    <n v="0.8"/>
    <s v="Desarrollador"/>
    <s v="APX"/>
    <m/>
    <e v="#NAME?"/>
    <e v="#NAME?"/>
    <e v="#NAME?"/>
    <m/>
    <m/>
    <m/>
    <m/>
    <m/>
    <m/>
    <m/>
    <m/>
    <m/>
  </r>
  <r>
    <s v="C810746"/>
    <s v="JUAN DAVID BAEZ RAMOS"/>
    <s v="RETAIL"/>
    <x v="26"/>
    <s v="BBVA"/>
    <e v="#NAME?"/>
    <x v="159"/>
    <n v="0.2"/>
    <s v="Desarrollador"/>
    <s v="APX"/>
    <m/>
    <e v="#NAME?"/>
    <e v="#NAME?"/>
    <e v="#NAME?"/>
    <m/>
    <m/>
    <m/>
    <m/>
    <m/>
    <n v="0"/>
    <m/>
    <m/>
    <m/>
  </r>
  <r>
    <s v="O001337"/>
    <s v="LEANDRO GOMEZ "/>
    <s v="RETAIL"/>
    <x v="26"/>
    <s v="BBVA"/>
    <e v="#NAME?"/>
    <x v="199"/>
    <n v="0.8"/>
    <s v="Tech Manager/Líder"/>
    <s v="Otras Tec."/>
    <m/>
    <e v="#NAME?"/>
    <e v="#NAME?"/>
    <e v="#NAME?"/>
    <m/>
    <m/>
    <m/>
    <m/>
    <m/>
    <m/>
    <m/>
    <m/>
    <m/>
  </r>
  <r>
    <s v="O001337"/>
    <s v="LEANDRO GOMEZ "/>
    <s v="RETAIL"/>
    <x v="26"/>
    <s v="BBVA"/>
    <e v="#NAME?"/>
    <x v="159"/>
    <n v="0.2"/>
    <s v="Tech Manager/Líder"/>
    <s v="Otras Tec."/>
    <m/>
    <e v="#NAME?"/>
    <e v="#NAME?"/>
    <e v="#NAME?"/>
    <m/>
    <m/>
    <m/>
    <m/>
    <m/>
    <n v="0"/>
    <m/>
    <m/>
    <m/>
  </r>
  <r>
    <s v="CE55339"/>
    <s v="LENIN RAFAEL DIAZ QUINTERO"/>
    <s v="RETAIL"/>
    <x v="26"/>
    <s v="SII"/>
    <e v="#NAME?"/>
    <x v="199"/>
    <n v="0.3"/>
    <s v="Desarrollador"/>
    <s v="Mainframe"/>
    <m/>
    <e v="#NAME?"/>
    <e v="#NAME?"/>
    <e v="#NAME?"/>
    <m/>
    <m/>
    <m/>
    <m/>
    <m/>
    <m/>
    <m/>
    <m/>
    <m/>
  </r>
  <r>
    <s v="T000166"/>
    <s v="LEONARDO ALBERTO JIMENEZ RINCON"/>
    <s v="RETAIL"/>
    <x v="26"/>
    <s v="Choucair"/>
    <e v="#NAME?"/>
    <x v="199"/>
    <n v="1"/>
    <s v="QA"/>
    <s v="Otras Tec."/>
    <m/>
    <e v="#NAME?"/>
    <e v="#NAME?"/>
    <e v="#NAME?"/>
    <m/>
    <m/>
    <m/>
    <m/>
    <m/>
    <m/>
    <m/>
    <m/>
    <m/>
  </r>
  <r>
    <s v="T004935"/>
    <s v="MARIA CAMILA MOLINA ALBA"/>
    <s v="RETAIL"/>
    <x v="26"/>
    <s v="Choucair"/>
    <e v="#NAME?"/>
    <x v="199"/>
    <n v="1"/>
    <s v="QA"/>
    <s v="Otras Tec."/>
    <m/>
    <e v="#NAME?"/>
    <e v="#NAME?"/>
    <e v="#NAME?"/>
    <m/>
    <m/>
    <m/>
    <m/>
    <m/>
    <m/>
    <m/>
    <m/>
    <m/>
  </r>
  <r>
    <s v="T000274"/>
    <s v="NICOLAS BOHORQUEZ LEGUIZAMO"/>
    <s v="RETAIL"/>
    <x v="26"/>
    <s v="GGI / CMC"/>
    <e v="#NAME?"/>
    <x v="199"/>
    <n v="0.3"/>
    <s v="Desarrollador"/>
    <s v="Cells"/>
    <m/>
    <e v="#NAME?"/>
    <e v="#NAME?"/>
    <e v="#NAME?"/>
    <m/>
    <m/>
    <m/>
    <m/>
    <m/>
    <m/>
    <m/>
    <m/>
    <m/>
  </r>
  <r>
    <s v="C796552"/>
    <s v="YADIRA COBOS ROMERO"/>
    <s v="RETAIL"/>
    <x v="26"/>
    <s v="BBVA"/>
    <e v="#NAME?"/>
    <x v="3"/>
    <n v="0.65"/>
    <s v="Tech Manager/Líder"/>
    <s v="Otras Tec."/>
    <m/>
    <e v="#NAME?"/>
    <e v="#NAME?"/>
    <e v="#NAME?"/>
    <m/>
    <m/>
    <m/>
    <m/>
    <m/>
    <m/>
    <m/>
    <m/>
    <m/>
  </r>
  <r>
    <s v="C796552"/>
    <s v="YADIRA COBOS ROMERO"/>
    <s v="RETAIL"/>
    <x v="26"/>
    <s v="BBVA"/>
    <e v="#NAME?"/>
    <x v="200"/>
    <n v="0.05"/>
    <s v="Tech Manager/Líder"/>
    <s v="Otras Tec."/>
    <m/>
    <e v="#NAME?"/>
    <e v="#NAME?"/>
    <e v="#NAME?"/>
    <m/>
    <m/>
    <m/>
    <m/>
    <m/>
    <m/>
    <m/>
    <m/>
    <m/>
  </r>
  <r>
    <s v="C796552"/>
    <s v="YADIRA COBOS ROMERO"/>
    <s v="RETAIL"/>
    <x v="26"/>
    <s v="BBVA"/>
    <e v="#NAME?"/>
    <x v="20"/>
    <n v="0.05"/>
    <s v="Tech Manager/Líder"/>
    <s v="Otras Tec."/>
    <m/>
    <e v="#NAME?"/>
    <e v="#NAME?"/>
    <e v="#NAME?"/>
    <m/>
    <m/>
    <m/>
    <m/>
    <m/>
    <m/>
    <m/>
    <m/>
    <m/>
  </r>
  <r>
    <s v="C796552"/>
    <s v="YADIRA COBOS ROMERO"/>
    <s v="RETAIL"/>
    <x v="26"/>
    <s v="BBVA"/>
    <e v="#NAME?"/>
    <x v="201"/>
    <n v="0.05"/>
    <s v="Tech Manager/Líder"/>
    <s v="Otras Tec."/>
    <m/>
    <e v="#NAME?"/>
    <e v="#NAME?"/>
    <e v="#NAME?"/>
    <m/>
    <m/>
    <m/>
    <m/>
    <m/>
    <m/>
    <m/>
    <m/>
    <m/>
  </r>
  <r>
    <s v="C796552"/>
    <s v="YADIRA COBOS ROMERO"/>
    <s v="RETAIL"/>
    <x v="26"/>
    <s v="BBVA"/>
    <e v="#NAME?"/>
    <x v="95"/>
    <n v="0.05"/>
    <s v="Tech Manager/Líder"/>
    <s v="Otras Tec."/>
    <m/>
    <e v="#NAME?"/>
    <e v="#NAME?"/>
    <e v="#NAME?"/>
    <m/>
    <m/>
    <m/>
    <m/>
    <m/>
    <m/>
    <m/>
    <m/>
    <m/>
  </r>
  <r>
    <s v="C796552"/>
    <s v="YADIRA COBOS ROMERO"/>
    <s v="RETAIL"/>
    <x v="26"/>
    <s v="BBVA"/>
    <e v="#NAME?"/>
    <x v="160"/>
    <n v="0.15"/>
    <s v="Tech Manager/Líder"/>
    <s v="Otras Tec."/>
    <m/>
    <e v="#NAME?"/>
    <e v="#NAME?"/>
    <e v="#NAME?"/>
    <m/>
    <m/>
    <m/>
    <m/>
    <m/>
    <m/>
    <m/>
    <m/>
    <m/>
  </r>
  <r>
    <s v="C808359"/>
    <s v="ARLEM CHINCHIA"/>
    <s v="RETAIL"/>
    <x v="26"/>
    <s v="BBVA"/>
    <e v="#NAME?"/>
    <x v="3"/>
    <n v="1"/>
    <s v="Desarrollador"/>
    <s v="Cells"/>
    <m/>
    <e v="#NAME?"/>
    <e v="#NAME?"/>
    <e v="#NAME?"/>
    <m/>
    <m/>
    <m/>
    <m/>
    <m/>
    <m/>
    <m/>
    <m/>
    <m/>
  </r>
  <r>
    <s v="CE51863"/>
    <s v="EDNA ROCIO MONCADA"/>
    <s v="RETAIL"/>
    <x v="26"/>
    <s v="KRYPTO"/>
    <e v="#NAME?"/>
    <x v="3"/>
    <n v="0.02"/>
    <s v="QA"/>
    <s v="Otras Tec."/>
    <m/>
    <e v="#NAME?"/>
    <e v="#NAME?"/>
    <e v="#NAME?"/>
    <m/>
    <m/>
    <m/>
    <m/>
    <m/>
    <m/>
    <m/>
    <m/>
    <m/>
  </r>
  <r>
    <s v="CE51863"/>
    <s v="EDNA ROCIO MONCADA"/>
    <s v="RETAIL"/>
    <x v="26"/>
    <s v="KRYPTO"/>
    <e v="#NAME?"/>
    <x v="200"/>
    <n v="0.02"/>
    <s v="QA"/>
    <s v="Otras Tec."/>
    <m/>
    <e v="#NAME?"/>
    <e v="#NAME?"/>
    <e v="#NAME?"/>
    <m/>
    <m/>
    <m/>
    <m/>
    <m/>
    <m/>
    <m/>
    <m/>
    <m/>
  </r>
  <r>
    <s v="CE51863"/>
    <s v="EDNA ROCIO MONCADA"/>
    <s v="RETAIL"/>
    <x v="26"/>
    <s v="KRYPTO"/>
    <e v="#NAME?"/>
    <x v="160"/>
    <n v="0.02"/>
    <s v="QA"/>
    <s v="Otras Tec."/>
    <m/>
    <e v="#NAME?"/>
    <e v="#NAME?"/>
    <e v="#NAME?"/>
    <m/>
    <m/>
    <m/>
    <m/>
    <m/>
    <m/>
    <m/>
    <m/>
    <m/>
  </r>
  <r>
    <s v="CE51863"/>
    <s v="EDNA ROCIO MONCADA"/>
    <s v="RETAIL"/>
    <x v="26"/>
    <s v="KRYPTO"/>
    <e v="#NAME?"/>
    <x v="20"/>
    <n v="0.02"/>
    <s v="QA"/>
    <s v="Otras Tec."/>
    <m/>
    <e v="#NAME?"/>
    <e v="#NAME?"/>
    <e v="#NAME?"/>
    <m/>
    <m/>
    <m/>
    <m/>
    <m/>
    <m/>
    <m/>
    <m/>
    <m/>
  </r>
  <r>
    <s v="CE51863"/>
    <s v="EDNA ROCIO MONCADA"/>
    <s v="RETAIL"/>
    <x v="26"/>
    <s v="KRYPTO"/>
    <e v="#NAME?"/>
    <x v="95"/>
    <n v="0.02"/>
    <s v="QA"/>
    <s v="Otras Tec."/>
    <m/>
    <e v="#NAME?"/>
    <e v="#NAME?"/>
    <e v="#NAME?"/>
    <m/>
    <m/>
    <m/>
    <m/>
    <m/>
    <m/>
    <m/>
    <m/>
    <m/>
  </r>
  <r>
    <s v="CE70177"/>
    <s v="ADRIANA MERCEDES GOMEZ"/>
    <s v="RETAIL"/>
    <x v="26"/>
    <s v="Choucair"/>
    <e v="#NAME?"/>
    <x v="95"/>
    <n v="0.9"/>
    <s v="QA"/>
    <s v="Otras Tec."/>
    <m/>
    <e v="#NAME?"/>
    <e v="#NAME?"/>
    <e v="#NAME?"/>
    <m/>
    <m/>
    <m/>
    <m/>
    <m/>
    <m/>
    <m/>
    <m/>
    <m/>
  </r>
  <r>
    <s v="C941085"/>
    <s v="CARLOS FRANCISCO TOVAR LOSADA"/>
    <s v="RETAIL"/>
    <x v="26"/>
    <s v="BBVA"/>
    <e v="#NAME?"/>
    <x v="3"/>
    <n v="1"/>
    <s v="Desarrollador"/>
    <s v="Otras Tec."/>
    <m/>
    <e v="#NAME?"/>
    <e v="#NAME?"/>
    <e v="#NAME?"/>
    <m/>
    <m/>
    <m/>
    <m/>
    <m/>
    <m/>
    <m/>
    <m/>
    <m/>
  </r>
  <r>
    <s v="T008622  "/>
    <s v="CAROLINA GARZÓN"/>
    <s v="RETAIL"/>
    <x v="26"/>
    <s v="GGI / CMC"/>
    <e v="#NAME?"/>
    <x v="3"/>
    <n v="1"/>
    <s v="Desarrollador"/>
    <s v="Otras Tec."/>
    <m/>
    <e v="#NAME?"/>
    <e v="#NAME?"/>
    <e v="#NAME?"/>
    <m/>
    <m/>
    <m/>
    <m/>
    <m/>
    <m/>
    <m/>
    <m/>
    <m/>
  </r>
  <r>
    <s v="T000288"/>
    <s v="DAVID FERNANDO MENDIETA"/>
    <s v="RETAIL"/>
    <x v="26"/>
    <s v="GGI / CMC"/>
    <e v="#NAME?"/>
    <x v="3"/>
    <n v="1"/>
    <s v="Desarrollador"/>
    <s v="ASO"/>
    <m/>
    <e v="#NAME?"/>
    <e v="#NAME?"/>
    <e v="#NAME?"/>
    <m/>
    <m/>
    <m/>
    <m/>
    <m/>
    <m/>
    <m/>
    <m/>
    <m/>
  </r>
  <r>
    <s v="C985155"/>
    <s v="DIANA CAROLINA ARTEAGA"/>
    <s v="RETAIL"/>
    <x v="26"/>
    <s v="BBVA"/>
    <e v="#NAME?"/>
    <x v="3"/>
    <n v="1"/>
    <s v="Desarrollador"/>
    <s v="Distribuido"/>
    <m/>
    <e v="#NAME?"/>
    <e v="#NAME?"/>
    <e v="#NAME?"/>
    <m/>
    <m/>
    <m/>
    <m/>
    <m/>
    <m/>
    <m/>
    <m/>
    <m/>
  </r>
  <r>
    <s v="O001647"/>
    <s v="EDISON RAMÍREZ"/>
    <s v="RETAIL"/>
    <x v="26"/>
    <s v="BBVA"/>
    <e v="#NAME?"/>
    <x v="160"/>
    <n v="0.8"/>
    <s v="Desarrollador"/>
    <s v="Distribuido"/>
    <m/>
    <e v="#NAME?"/>
    <e v="#NAME?"/>
    <e v="#NAME?"/>
    <m/>
    <m/>
    <m/>
    <m/>
    <m/>
    <m/>
    <m/>
    <m/>
    <m/>
  </r>
  <r>
    <s v="O001647"/>
    <s v="EDISON RAMÍREZ"/>
    <s v="RETAIL"/>
    <x v="26"/>
    <s v="BBVA"/>
    <e v="#NAME?"/>
    <x v="3"/>
    <n v="0.2"/>
    <s v="Desarrollador"/>
    <s v="Distribuido"/>
    <m/>
    <e v="#NAME?"/>
    <e v="#NAME?"/>
    <e v="#NAME?"/>
    <m/>
    <m/>
    <m/>
    <m/>
    <m/>
    <m/>
    <m/>
    <m/>
    <m/>
  </r>
  <r>
    <s v="C821589"/>
    <s v="EDWARD MORENO"/>
    <s v="RETAIL"/>
    <x v="26"/>
    <s v="BBVA"/>
    <e v="#NAME?"/>
    <x v="20"/>
    <n v="1"/>
    <s v="Desarrollador"/>
    <s v="Mainframe"/>
    <m/>
    <e v="#NAME?"/>
    <e v="#NAME?"/>
    <e v="#NAME?"/>
    <m/>
    <m/>
    <m/>
    <m/>
    <m/>
    <m/>
    <m/>
    <m/>
    <m/>
  </r>
  <r>
    <s v="T009381"/>
    <s v="JAIBER DAIVISON NOVA"/>
    <s v="RETAIL"/>
    <x v="26"/>
    <s v="GGI / CMC"/>
    <e v="#NAME?"/>
    <x v="3"/>
    <n v="1"/>
    <s v="Desarrollador"/>
    <s v="Distribuido"/>
    <m/>
    <e v="#NAME?"/>
    <e v="#NAME?"/>
    <e v="#NAME?"/>
    <m/>
    <m/>
    <m/>
    <m/>
    <m/>
    <m/>
    <m/>
    <m/>
    <m/>
  </r>
  <r>
    <s v="CE57299"/>
    <s v="JENNIFER ZAMORA"/>
    <s v="RETAIL"/>
    <x v="26"/>
    <s v="GGI / CMC"/>
    <e v="#NAME?"/>
    <x v="200"/>
    <n v="1"/>
    <s v="Desarrollador"/>
    <s v="Mainframe"/>
    <m/>
    <e v="#NAME?"/>
    <e v="#NAME?"/>
    <e v="#NAME?"/>
    <m/>
    <m/>
    <m/>
    <m/>
    <m/>
    <m/>
    <m/>
    <m/>
    <m/>
  </r>
  <r>
    <s v="T007581"/>
    <s v="FHERNEY ANDRIAN SILVA"/>
    <s v="RETAIL"/>
    <x v="26"/>
    <s v="Novatec"/>
    <e v="#NAME?"/>
    <x v="200"/>
    <n v="1"/>
    <s v="Desarrollador"/>
    <s v="ASO"/>
    <m/>
    <e v="#NAME?"/>
    <e v="#NAME?"/>
    <e v="#NAME?"/>
    <m/>
    <m/>
    <m/>
    <m/>
    <m/>
    <m/>
    <m/>
    <m/>
    <m/>
  </r>
  <r>
    <s v="CE61541"/>
    <s v="JESUS ANDRÉS CARDENAS"/>
    <s v="RETAIL"/>
    <x v="26"/>
    <s v="GGI / CMC"/>
    <e v="#NAME?"/>
    <x v="160"/>
    <n v="0.9"/>
    <s v="QA"/>
    <s v="Otras Tec."/>
    <m/>
    <e v="#NAME?"/>
    <e v="#NAME?"/>
    <e v="#NAME?"/>
    <m/>
    <m/>
    <m/>
    <m/>
    <m/>
    <m/>
    <m/>
    <m/>
    <m/>
  </r>
  <r>
    <s v="CE69109"/>
    <s v="LUIS FELIPE GONZÁLEZ"/>
    <s v="RETAIL"/>
    <x v="26"/>
    <s v="GGI / CMC"/>
    <e v="#NAME?"/>
    <x v="3"/>
    <n v="1"/>
    <s v="Desarrollador"/>
    <s v="Mainframe"/>
    <m/>
    <e v="#NAME?"/>
    <e v="#NAME?"/>
    <e v="#NAME?"/>
    <m/>
    <m/>
    <m/>
    <m/>
    <m/>
    <m/>
    <m/>
    <m/>
    <m/>
  </r>
  <r>
    <s v="CE17709"/>
    <s v="LUZ  STELLA MARTINEZ"/>
    <s v="RETAIL"/>
    <x v="26"/>
    <s v="KRYPTO"/>
    <e v="#NAME?"/>
    <x v="200"/>
    <n v="1"/>
    <s v="QA"/>
    <s v="Otras Tec."/>
    <m/>
    <e v="#NAME?"/>
    <e v="#NAME?"/>
    <e v="#NAME?"/>
    <m/>
    <m/>
    <m/>
    <m/>
    <m/>
    <m/>
    <m/>
    <m/>
    <m/>
  </r>
  <r>
    <s v="CE51863"/>
    <s v="EDNA ROCIO MONCADA"/>
    <s v="RETAIL"/>
    <x v="26"/>
    <s v="KRYPTO"/>
    <e v="#NAME?"/>
    <x v="200"/>
    <n v="0.02"/>
    <s v="QA"/>
    <s v="Otras Tec."/>
    <m/>
    <e v="#NAME?"/>
    <e v="#NAME?"/>
    <e v="#NAME?"/>
    <m/>
    <m/>
    <m/>
    <m/>
    <m/>
    <m/>
    <m/>
    <m/>
    <m/>
  </r>
  <r>
    <s v="C810755"/>
    <s v="MARÍA ALEJANDRA VARÓN"/>
    <s v="RETAIL"/>
    <x v="26"/>
    <s v="BBVA"/>
    <e v="#NAME?"/>
    <x v="20"/>
    <n v="0.5"/>
    <s v="Desarrollador"/>
    <s v="Cells"/>
    <m/>
    <e v="#NAME?"/>
    <e v="#NAME?"/>
    <e v="#NAME?"/>
    <m/>
    <m/>
    <m/>
    <m/>
    <m/>
    <m/>
    <m/>
    <m/>
    <m/>
  </r>
  <r>
    <s v="C810755"/>
    <s v="MARÍA ALEJANDRA VARÓN"/>
    <s v="RETAIL"/>
    <x v="26"/>
    <s v="BBVA"/>
    <e v="#NAME?"/>
    <x v="3"/>
    <n v="0.5"/>
    <s v="Desarrollador"/>
    <s v="Cells"/>
    <m/>
    <e v="#NAME?"/>
    <e v="#NAME?"/>
    <e v="#NAME?"/>
    <m/>
    <m/>
    <m/>
    <m/>
    <m/>
    <m/>
    <m/>
    <m/>
    <m/>
  </r>
  <r>
    <s v="CE66887"/>
    <s v="NICOLAS BOLIVAR BATTLE"/>
    <s v="RETAIL"/>
    <x v="26"/>
    <s v="KRYPTO"/>
    <e v="#NAME?"/>
    <x v="200"/>
    <n v="1"/>
    <s v="QA"/>
    <s v="Otras Tec."/>
    <m/>
    <e v="#NAME?"/>
    <e v="#NAME?"/>
    <e v="#NAME?"/>
    <m/>
    <m/>
    <m/>
    <m/>
    <m/>
    <m/>
    <m/>
    <m/>
    <m/>
  </r>
  <r>
    <s v="C805907"/>
    <s v="OSCAR DARIO VELÁSQUEZ"/>
    <s v="RETAIL"/>
    <x v="26"/>
    <s v="BBVA"/>
    <e v="#NAME?"/>
    <x v="20"/>
    <n v="0.25"/>
    <s v="Desarrollador"/>
    <s v="Cells"/>
    <m/>
    <e v="#NAME?"/>
    <e v="#NAME?"/>
    <e v="#NAME?"/>
    <m/>
    <m/>
    <m/>
    <m/>
    <m/>
    <m/>
    <m/>
    <m/>
    <m/>
  </r>
  <r>
    <s v="C805907"/>
    <s v="OSCAR DARIO VELÁSQUEZ"/>
    <s v="RETAIL"/>
    <x v="26"/>
    <s v="BBVA"/>
    <e v="#NAME?"/>
    <x v="160"/>
    <n v="0.75"/>
    <s v="Desarrollador"/>
    <s v="Cells"/>
    <m/>
    <e v="#NAME?"/>
    <e v="#NAME?"/>
    <e v="#NAME?"/>
    <m/>
    <m/>
    <m/>
    <m/>
    <m/>
    <m/>
    <m/>
    <m/>
    <m/>
  </r>
  <r>
    <s v="CE61541"/>
    <s v="JESUS ANDRÉS CARDENAS"/>
    <s v="RETAIL"/>
    <x v="26"/>
    <s v="GGI / CMC"/>
    <e v="#NAME?"/>
    <x v="160"/>
    <n v="0.1"/>
    <s v="QA"/>
    <s v="Otras Tec."/>
    <m/>
    <e v="#NAME?"/>
    <e v="#NAME?"/>
    <e v="#NAME?"/>
    <m/>
    <m/>
    <m/>
    <m/>
    <m/>
    <m/>
    <m/>
    <m/>
    <m/>
  </r>
  <r>
    <s v="CE67019"/>
    <s v="REINALDO CUARIN"/>
    <s v="RETAIL"/>
    <x v="26"/>
    <s v="GGI / CMC"/>
    <e v="#NAME?"/>
    <x v="95"/>
    <n v="1"/>
    <s v="Desarrollador"/>
    <s v="APX"/>
    <m/>
    <e v="#NAME?"/>
    <e v="#NAME?"/>
    <e v="#NAME?"/>
    <m/>
    <m/>
    <m/>
    <m/>
    <m/>
    <m/>
    <m/>
    <m/>
    <m/>
  </r>
  <r>
    <s v="CE69265"/>
    <s v="SANTIAGO MARTINEZ"/>
    <s v="RETAIL"/>
    <x v="26"/>
    <s v="Choucair"/>
    <e v="#NAME?"/>
    <x v="160"/>
    <n v="1"/>
    <s v="QA"/>
    <s v="Otras Tec."/>
    <m/>
    <e v="#NAME?"/>
    <e v="#NAME?"/>
    <e v="#NAME?"/>
    <m/>
    <m/>
    <m/>
    <m/>
    <m/>
    <m/>
    <m/>
    <m/>
    <m/>
  </r>
  <r>
    <s v="O001980"/>
    <s v="YESID ALEXANDER ROA VEGA"/>
    <s v="RETAIL"/>
    <x v="26"/>
    <s v="BBVA"/>
    <e v="#NAME?"/>
    <x v="3"/>
    <n v="0.7"/>
    <s v="Desarrollador"/>
    <s v="Otras Tec."/>
    <m/>
    <e v="#NAME?"/>
    <e v="#NAME?"/>
    <e v="#NAME?"/>
    <m/>
    <m/>
    <m/>
    <m/>
    <m/>
    <m/>
    <m/>
    <m/>
    <m/>
  </r>
  <r>
    <s v="O001980"/>
    <s v="YESID ALEXANDER ROA VEGA"/>
    <s v="RETAIL"/>
    <x v="26"/>
    <s v="BBVA"/>
    <e v="#NAME?"/>
    <x v="200"/>
    <n v="0.3"/>
    <s v="Desarrollador"/>
    <s v="Otras Tec."/>
    <m/>
    <e v="#NAME?"/>
    <e v="#NAME?"/>
    <e v="#NAME?"/>
    <m/>
    <m/>
    <m/>
    <m/>
    <m/>
    <m/>
    <m/>
    <m/>
    <m/>
  </r>
  <r>
    <s v="O001850"/>
    <s v="ANDERSSON SALINAS"/>
    <s v="RETAIL"/>
    <x v="26"/>
    <s v="BBVA"/>
    <e v="#NAME?"/>
    <x v="201"/>
    <n v="0.5"/>
    <s v="Desarrollador"/>
    <s v="Cells"/>
    <m/>
    <e v="#NAME?"/>
    <e v="#NAME?"/>
    <e v="#NAME?"/>
    <m/>
    <m/>
    <m/>
    <m/>
    <m/>
    <m/>
    <m/>
    <m/>
    <m/>
  </r>
  <r>
    <s v="O001850"/>
    <s v="ANDERSSON SALINAS"/>
    <s v="RETAIL"/>
    <x v="26"/>
    <s v="BBVA"/>
    <e v="#NAME?"/>
    <x v="3"/>
    <n v="0.5"/>
    <s v="Desarrollador"/>
    <s v="Cells"/>
    <m/>
    <e v="#NAME?"/>
    <e v="#NAME?"/>
    <e v="#NAME?"/>
    <m/>
    <m/>
    <m/>
    <m/>
    <m/>
    <m/>
    <m/>
    <m/>
    <m/>
  </r>
  <r>
    <s v="CE67484"/>
    <s v="JUAN CARLOS SALDAÑA"/>
    <s v="CIB &amp; COMEX - FIDUCIARIA"/>
    <x v="16"/>
    <s v="Accenture"/>
    <e v="#NAME?"/>
    <x v="139"/>
    <n v="0.25"/>
    <s v="Desarrollador"/>
    <s v="Distribuido"/>
    <m/>
    <e v="#NAME?"/>
    <e v="#NAME?"/>
    <e v="#NAME?"/>
    <m/>
    <m/>
    <m/>
    <m/>
    <m/>
    <m/>
    <m/>
    <m/>
    <m/>
  </r>
  <r>
    <s v="CE61162"/>
    <s v="JOSE PERFECTO"/>
    <s v="CIB &amp; COMEX - FIDUCIARIA"/>
    <x v="16"/>
    <s v="Accenture"/>
    <e v="#NAME?"/>
    <x v="139"/>
    <n v="0.3"/>
    <s v="Desarrollador"/>
    <s v="Distribuido"/>
    <m/>
    <e v="#NAME?"/>
    <e v="#NAME?"/>
    <e v="#NAME?"/>
    <m/>
    <m/>
    <m/>
    <m/>
    <m/>
    <m/>
    <m/>
    <m/>
    <m/>
  </r>
  <r>
    <s v="T003696"/>
    <s v="LUIS LOZANO"/>
    <s v="CIB &amp; COMEX - FIDUCIARIA"/>
    <x v="16"/>
    <s v="Accenture"/>
    <e v="#NAME?"/>
    <x v="139"/>
    <n v="0.2"/>
    <s v="Desarrollador"/>
    <s v="Distribuido"/>
    <m/>
    <e v="#NAME?"/>
    <e v="#NAME?"/>
    <e v="#NAME?"/>
    <m/>
    <m/>
    <m/>
    <m/>
    <m/>
    <m/>
    <m/>
    <m/>
    <m/>
  </r>
  <r>
    <s v="CE42052"/>
    <s v="SAMUEL ANDRES JIMENEZ RODRIGUEZ"/>
    <s v="CIB &amp; COMEX - FIDUCIARIA"/>
    <x v="16"/>
    <s v="GGI / CMC"/>
    <e v="#NAME?"/>
    <x v="139"/>
    <n v="0.1"/>
    <s v="Desarrollador"/>
    <s v="Distribuido"/>
    <m/>
    <e v="#NAME?"/>
    <e v="#NAME?"/>
    <e v="#NAME?"/>
    <m/>
    <m/>
    <m/>
    <m/>
    <m/>
    <m/>
    <m/>
    <m/>
    <m/>
  </r>
  <r>
    <s v="T003497"/>
    <s v="ADRIAN DUCUARA BENITEZ"/>
    <s v="CORE"/>
    <x v="15"/>
    <s v="Accenture"/>
    <e v="#NAME?"/>
    <x v="202"/>
    <n v="1"/>
    <s v="Desarrollador"/>
    <s v="Cells"/>
    <m/>
    <e v="#NAME?"/>
    <e v="#NAME?"/>
    <e v="#NAME?"/>
    <m/>
    <m/>
    <m/>
    <m/>
    <m/>
    <n v="1"/>
    <m/>
    <m/>
    <m/>
  </r>
  <r>
    <s v="T000410"/>
    <s v="ANDRES ALEJANDRO FAJARDO TORRES"/>
    <s v="CORE"/>
    <x v="15"/>
    <s v="Globant"/>
    <e v="#NAME?"/>
    <x v="118"/>
    <n v="0.7"/>
    <s v="Desarrollador"/>
    <s v="Cells"/>
    <m/>
    <e v="#NAME?"/>
    <e v="#NAME?"/>
    <e v="#NAME?"/>
    <m/>
    <m/>
    <m/>
    <m/>
    <m/>
    <n v="1"/>
    <m/>
    <m/>
    <m/>
  </r>
  <r>
    <s v="T000410"/>
    <s v="ANDRES ALEJANDRO FAJARDO TORRES"/>
    <s v="CORE"/>
    <x v="15"/>
    <s v="Globant"/>
    <e v="#NAME?"/>
    <x v="86"/>
    <n v="0.3"/>
    <s v="Desarrollador"/>
    <s v="Cells"/>
    <m/>
    <e v="#NAME?"/>
    <e v="#NAME?"/>
    <e v="#NAME?"/>
    <m/>
    <m/>
    <m/>
    <m/>
    <m/>
    <n v="0"/>
    <m/>
    <m/>
    <m/>
  </r>
  <r>
    <s v="CE67848"/>
    <s v="ANDRES ALFONSO VARELO SILGADO"/>
    <s v="CORE"/>
    <x v="15"/>
    <s v="Accenture"/>
    <e v="#NAME?"/>
    <x v="203"/>
    <n v="0.1"/>
    <s v="Desarrollador"/>
    <s v="APX"/>
    <m/>
    <e v="#NAME?"/>
    <e v="#NAME?"/>
    <e v="#NAME?"/>
    <m/>
    <m/>
    <m/>
    <m/>
    <m/>
    <n v="1"/>
    <m/>
    <m/>
    <m/>
  </r>
  <r>
    <s v="CE67848"/>
    <s v="ANDRES ALFONSO VARELO SILGADO"/>
    <s v="CORE"/>
    <x v="15"/>
    <s v="Accenture"/>
    <e v="#NAME?"/>
    <x v="84"/>
    <n v="0.7"/>
    <s v="Desarrollador"/>
    <s v="APX"/>
    <m/>
    <e v="#NAME?"/>
    <e v="#NAME?"/>
    <e v="#NAME?"/>
    <m/>
    <m/>
    <m/>
    <m/>
    <m/>
    <n v="0"/>
    <m/>
    <m/>
    <m/>
  </r>
  <r>
    <s v="CE67848"/>
    <s v="ANDRES ALFONSO VARELO SILGADO"/>
    <s v="CORE"/>
    <x v="15"/>
    <s v="Accenture"/>
    <e v="#NAME?"/>
    <x v="86"/>
    <n v="0.2"/>
    <s v="Desarrollador"/>
    <s v="APX"/>
    <m/>
    <e v="#NAME?"/>
    <e v="#NAME?"/>
    <e v="#NAME?"/>
    <m/>
    <m/>
    <m/>
    <m/>
    <m/>
    <n v="0"/>
    <m/>
    <m/>
    <m/>
  </r>
  <r>
    <s v="T004062"/>
    <s v="ANDRES FELIPE FANDINO QUECANA"/>
    <s v="CORE"/>
    <x v="15"/>
    <s v="Choucair"/>
    <e v="#NAME?"/>
    <x v="204"/>
    <n v="1"/>
    <s v="QA"/>
    <s v="Distribuido"/>
    <m/>
    <e v="#NAME?"/>
    <e v="#NAME?"/>
    <e v="#NAME?"/>
    <m/>
    <m/>
    <m/>
    <m/>
    <m/>
    <n v="1"/>
    <m/>
    <m/>
    <m/>
  </r>
  <r>
    <s v="T008459"/>
    <s v="ANDRÉS FELIPE FORERO"/>
    <s v="CORE"/>
    <x v="15"/>
    <s v="Neoris"/>
    <e v="#NAME?"/>
    <x v="3"/>
    <n v="1"/>
    <s v="Desarrollador"/>
    <s v="Mainframe"/>
    <m/>
    <e v="#NAME?"/>
    <e v="#NAME?"/>
    <e v="#NAME?"/>
    <m/>
    <m/>
    <m/>
    <m/>
    <m/>
    <n v="1"/>
    <m/>
    <m/>
    <m/>
  </r>
  <r>
    <s v="CE70621"/>
    <s v="BRANDON AVILA"/>
    <s v="CORE"/>
    <x v="15"/>
    <s v="Inetum"/>
    <e v="#NAME?"/>
    <x v="3"/>
    <n v="1"/>
    <s v="QA"/>
    <s v="Mainframe"/>
    <m/>
    <e v="#NAME?"/>
    <e v="#NAME?"/>
    <e v="#NAME?"/>
    <m/>
    <m/>
    <m/>
    <m/>
    <m/>
    <n v="1"/>
    <m/>
    <m/>
    <m/>
  </r>
  <r>
    <s v="CE69709"/>
    <s v="BRAYAN CAMILO VALCARCEL RIANO"/>
    <s v="CORE"/>
    <x v="15"/>
    <s v="Choucair"/>
    <e v="#NAME?"/>
    <x v="118"/>
    <n v="0.5"/>
    <s v="QA"/>
    <s v="Distribuido"/>
    <m/>
    <e v="#NAME?"/>
    <e v="#NAME?"/>
    <e v="#NAME?"/>
    <m/>
    <m/>
    <m/>
    <m/>
    <m/>
    <n v="1"/>
    <m/>
    <m/>
    <m/>
  </r>
  <r>
    <s v="CE69709"/>
    <s v="BRAYAN CAMILO VALCARCEL RIANO"/>
    <s v="CORE"/>
    <x v="15"/>
    <s v="Choucair"/>
    <e v="#NAME?"/>
    <x v="86"/>
    <n v="0.5"/>
    <s v="QA"/>
    <s v="Distribuido"/>
    <m/>
    <e v="#NAME?"/>
    <e v="#NAME?"/>
    <e v="#NAME?"/>
    <m/>
    <m/>
    <m/>
    <m/>
    <m/>
    <n v="0"/>
    <m/>
    <m/>
    <m/>
  </r>
  <r>
    <s v="T000159"/>
    <s v="BRYAN SMITH PATIÑO"/>
    <s v="CORE"/>
    <x v="15"/>
    <s v="Choucair"/>
    <e v="#NAME?"/>
    <x v="205"/>
    <n v="1"/>
    <s v="QA"/>
    <s v="Mainframe"/>
    <m/>
    <e v="#NAME?"/>
    <e v="#NAME?"/>
    <e v="#NAME?"/>
    <m/>
    <m/>
    <m/>
    <m/>
    <m/>
    <n v="1"/>
    <m/>
    <m/>
    <m/>
  </r>
  <r>
    <s v="P009920"/>
    <s v="CAMILO ABELLA"/>
    <s v="CORE"/>
    <x v="15"/>
    <s v="Accenture"/>
    <e v="#NAME?"/>
    <x v="203"/>
    <n v="1"/>
    <s v="Desarrollador"/>
    <s v="Cells"/>
    <m/>
    <e v="#NAME?"/>
    <e v="#NAME?"/>
    <e v="#NAME?"/>
    <m/>
    <m/>
    <m/>
    <m/>
    <m/>
    <n v="1"/>
    <m/>
    <m/>
    <m/>
  </r>
  <r>
    <s v="O001869"/>
    <s v="CAMILO CABRA"/>
    <s v="CORE"/>
    <x v="15"/>
    <s v="BBVA"/>
    <e v="#NAME?"/>
    <x v="205"/>
    <n v="0.1"/>
    <s v="Tech Manager/Líder"/>
    <s v="Mainframe"/>
    <m/>
    <e v="#NAME?"/>
    <e v="#NAME?"/>
    <e v="#NAME?"/>
    <m/>
    <m/>
    <m/>
    <m/>
    <m/>
    <n v="1"/>
    <m/>
    <m/>
    <m/>
  </r>
  <r>
    <s v="O001869"/>
    <s v="CAMILO CABRA"/>
    <s v="CORE"/>
    <x v="15"/>
    <s v="BBVA"/>
    <e v="#NAME?"/>
    <x v="1"/>
    <n v="0.05"/>
    <s v="Tech Manager/Líder"/>
    <s v="Otras Tec."/>
    <m/>
    <e v="#NAME?"/>
    <e v="#NAME?"/>
    <e v="#NAME?"/>
    <m/>
    <m/>
    <m/>
    <m/>
    <m/>
    <n v="0"/>
    <m/>
    <m/>
    <m/>
  </r>
  <r>
    <s v="O001869"/>
    <s v="CAMILO CABRA"/>
    <s v="CORE"/>
    <x v="15"/>
    <s v="BBVA"/>
    <e v="#NAME?"/>
    <x v="6"/>
    <n v="0.05"/>
    <s v="Tech Manager/Líder"/>
    <s v="Otras Tec."/>
    <m/>
    <e v="#NAME?"/>
    <e v="#NAME?"/>
    <e v="#NAME?"/>
    <m/>
    <m/>
    <m/>
    <m/>
    <m/>
    <n v="0"/>
    <m/>
    <m/>
    <m/>
  </r>
  <r>
    <s v="O001869"/>
    <s v="CAMILO CABRA"/>
    <s v="CORE"/>
    <x v="15"/>
    <s v="BBVA"/>
    <e v="#NAME?"/>
    <x v="202"/>
    <n v="0.15"/>
    <s v="Tech Manager/Líder"/>
    <s v="Otras Tec."/>
    <m/>
    <e v="#NAME?"/>
    <e v="#NAME?"/>
    <e v="#NAME?"/>
    <m/>
    <m/>
    <m/>
    <m/>
    <m/>
    <n v="0"/>
    <m/>
    <m/>
    <m/>
  </r>
  <r>
    <s v="O001869"/>
    <s v="CAMILO CABRA"/>
    <s v="CORE"/>
    <x v="15"/>
    <s v="BBVA"/>
    <e v="#NAME?"/>
    <x v="206"/>
    <n v="0.05"/>
    <s v="Tech Manager/Líder"/>
    <s v="Otras Tec."/>
    <m/>
    <e v="#NAME?"/>
    <e v="#NAME?"/>
    <e v="#NAME?"/>
    <m/>
    <m/>
    <m/>
    <m/>
    <m/>
    <n v="0"/>
    <m/>
    <m/>
    <m/>
  </r>
  <r>
    <s v="O001869"/>
    <s v="CAMILO CABRA"/>
    <s v="CORE"/>
    <x v="15"/>
    <s v="BBVA"/>
    <e v="#NAME?"/>
    <x v="207"/>
    <n v="0.2"/>
    <s v="Tech Manager/Líder"/>
    <s v="Otras Tec."/>
    <m/>
    <e v="#NAME?"/>
    <e v="#NAME?"/>
    <e v="#NAME?"/>
    <m/>
    <m/>
    <m/>
    <m/>
    <m/>
    <n v="0"/>
    <m/>
    <m/>
    <m/>
  </r>
  <r>
    <s v="O001869"/>
    <s v="CAMILO CABRA"/>
    <s v="CORE"/>
    <x v="15"/>
    <s v="BBVA"/>
    <e v="#NAME?"/>
    <x v="208"/>
    <n v="0.15"/>
    <s v="Tech Manager/Líder"/>
    <s v="Otras Tec."/>
    <m/>
    <e v="#NAME?"/>
    <e v="#NAME?"/>
    <e v="#NAME?"/>
    <m/>
    <m/>
    <m/>
    <m/>
    <m/>
    <n v="0"/>
    <m/>
    <m/>
    <m/>
  </r>
  <r>
    <s v="O001869"/>
    <s v="CAMILO CABRA"/>
    <s v="CORE"/>
    <x v="15"/>
    <s v="BBVA"/>
    <e v="#NAME?"/>
    <x v="209"/>
    <n v="0.1"/>
    <s v="Tech Manager/Líder"/>
    <s v="Otras Tec."/>
    <m/>
    <e v="#NAME?"/>
    <e v="#NAME?"/>
    <e v="#NAME?"/>
    <m/>
    <m/>
    <m/>
    <m/>
    <m/>
    <n v="0"/>
    <m/>
    <m/>
    <m/>
  </r>
  <r>
    <s v="O001869"/>
    <s v="CAMILO CABRA"/>
    <s v="CORE"/>
    <x v="15"/>
    <s v="BBVA"/>
    <e v="#NAME?"/>
    <x v="53"/>
    <n v="0.05"/>
    <s v="Tech Manager/Líder"/>
    <s v="Otras Tec."/>
    <m/>
    <e v="#NAME?"/>
    <e v="#NAME?"/>
    <e v="#NAME?"/>
    <m/>
    <m/>
    <m/>
    <m/>
    <m/>
    <n v="0"/>
    <m/>
    <m/>
    <m/>
  </r>
  <r>
    <s v="O001869"/>
    <s v="CAMILO CABRA"/>
    <s v="CORE"/>
    <x v="15"/>
    <s v="BBVA"/>
    <e v="#NAME?"/>
    <x v="3"/>
    <n v="0.1"/>
    <s v="Tech Manager/Líder"/>
    <s v="Otras Tec."/>
    <m/>
    <e v="#NAME?"/>
    <e v="#NAME?"/>
    <e v="#NAME?"/>
    <m/>
    <m/>
    <m/>
    <m/>
    <m/>
    <n v="0"/>
    <m/>
    <m/>
    <m/>
  </r>
  <r>
    <s v="CE30638"/>
    <s v="CESAR AUGUSTO MOLANO RUEDA"/>
    <s v="CORE"/>
    <x v="15"/>
    <s v="Inetum"/>
    <e v="#NAME?"/>
    <x v="118"/>
    <n v="1"/>
    <s v="Desarrollador"/>
    <s v="Mainframe"/>
    <m/>
    <e v="#NAME?"/>
    <e v="#NAME?"/>
    <e v="#NAME?"/>
    <m/>
    <m/>
    <m/>
    <m/>
    <m/>
    <n v="1"/>
    <m/>
    <m/>
    <m/>
  </r>
  <r>
    <s v="C805965"/>
    <s v="CRISTIAN ESNEIDER VELASQUEZ"/>
    <s v="CORE"/>
    <x v="15"/>
    <s v="BBVA"/>
    <e v="#NAME?"/>
    <x v="202"/>
    <n v="0.1"/>
    <s v="Desarrollador"/>
    <s v="APX"/>
    <m/>
    <e v="#NAME?"/>
    <e v="#NAME?"/>
    <e v="#NAME?"/>
    <m/>
    <m/>
    <m/>
    <m/>
    <m/>
    <n v="1"/>
    <m/>
    <m/>
    <m/>
  </r>
  <r>
    <s v="C805965"/>
    <s v="CRISTIAN ESNEIDER VELASQUEZ"/>
    <s v="CORE"/>
    <x v="15"/>
    <s v="BBVA"/>
    <e v="#NAME?"/>
    <x v="202"/>
    <n v="0.1"/>
    <s v="Desarrollador"/>
    <s v="APX"/>
    <m/>
    <e v="#NAME?"/>
    <e v="#NAME?"/>
    <e v="#NAME?"/>
    <m/>
    <m/>
    <m/>
    <m/>
    <m/>
    <n v="0"/>
    <m/>
    <m/>
    <m/>
  </r>
  <r>
    <s v="C805965"/>
    <s v="CRISTIAN ESNEIDER VELASQUEZ"/>
    <s v="CORE"/>
    <x v="15"/>
    <s v="BBVA"/>
    <e v="#NAME?"/>
    <x v="207"/>
    <n v="0.8"/>
    <s v="Desarrollador"/>
    <s v="APX"/>
    <m/>
    <e v="#NAME?"/>
    <e v="#NAME?"/>
    <e v="#NAME?"/>
    <m/>
    <m/>
    <m/>
    <m/>
    <m/>
    <n v="0"/>
    <m/>
    <m/>
    <m/>
  </r>
  <r>
    <s v="C342543"/>
    <s v="CRISTIAN FRANCISCO FERNANDEZ"/>
    <s v="CORE"/>
    <x v="15"/>
    <s v="BBVA"/>
    <e v="#NAME?"/>
    <x v="1"/>
    <n v="0.1"/>
    <s v="Desarrollador"/>
    <s v="Mainframe"/>
    <m/>
    <e v="#NAME?"/>
    <e v="#NAME?"/>
    <e v="#NAME?"/>
    <m/>
    <m/>
    <m/>
    <m/>
    <m/>
    <n v="1"/>
    <m/>
    <m/>
    <m/>
  </r>
  <r>
    <s v="C342543"/>
    <s v="CRISTIAN FRANCISCO FERNANDEZ"/>
    <s v="CORE"/>
    <x v="15"/>
    <s v="BBVA"/>
    <e v="#NAME?"/>
    <x v="6"/>
    <n v="0.1"/>
    <s v="Desarrollador"/>
    <s v="Mainframe"/>
    <m/>
    <e v="#NAME?"/>
    <e v="#NAME?"/>
    <e v="#NAME?"/>
    <m/>
    <m/>
    <m/>
    <m/>
    <m/>
    <n v="0"/>
    <m/>
    <m/>
    <m/>
  </r>
  <r>
    <s v="C342543"/>
    <s v="CRISTIAN FRANCISCO FERNANDEZ"/>
    <s v="CORE"/>
    <x v="15"/>
    <s v="BBVA"/>
    <e v="#NAME?"/>
    <x v="209"/>
    <n v="0.1"/>
    <s v="Desarrollador"/>
    <s v="Mainframe"/>
    <m/>
    <e v="#NAME?"/>
    <e v="#NAME?"/>
    <e v="#NAME?"/>
    <m/>
    <m/>
    <m/>
    <m/>
    <m/>
    <n v="0"/>
    <m/>
    <m/>
    <m/>
  </r>
  <r>
    <s v="C342543"/>
    <s v="CRISTIAN FRANCISCO FERNANDEZ"/>
    <s v="CORE"/>
    <x v="15"/>
    <s v="BBVA"/>
    <e v="#NAME?"/>
    <x v="118"/>
    <n v="0.1"/>
    <s v="Desarrollador"/>
    <s v="Mainframe"/>
    <m/>
    <e v="#NAME?"/>
    <e v="#NAME?"/>
    <e v="#NAME?"/>
    <m/>
    <m/>
    <m/>
    <m/>
    <m/>
    <n v="0"/>
    <m/>
    <m/>
    <m/>
  </r>
  <r>
    <s v="C342543"/>
    <s v="CRISTIAN FRANCISCO FERNANDEZ"/>
    <s v="CORE"/>
    <x v="15"/>
    <s v="BBVA"/>
    <e v="#NAME?"/>
    <x v="208"/>
    <n v="0.1"/>
    <s v="Desarrollador"/>
    <s v="Mainframe"/>
    <m/>
    <e v="#NAME?"/>
    <e v="#NAME?"/>
    <e v="#NAME?"/>
    <m/>
    <m/>
    <m/>
    <m/>
    <m/>
    <n v="0"/>
    <m/>
    <m/>
    <m/>
  </r>
  <r>
    <s v="C342543"/>
    <s v="CRISTIAN FRANCISCO FERNANDEZ"/>
    <s v="CORE"/>
    <x v="15"/>
    <s v="BBVA"/>
    <e v="#NAME?"/>
    <x v="210"/>
    <n v="0.1"/>
    <s v="Desarrollador"/>
    <s v="Mainframe"/>
    <m/>
    <e v="#NAME?"/>
    <e v="#NAME?"/>
    <e v="#NAME?"/>
    <m/>
    <m/>
    <m/>
    <m/>
    <m/>
    <n v="0"/>
    <m/>
    <m/>
    <m/>
  </r>
  <r>
    <s v="C342543"/>
    <s v="CRISTIAN FRANCISCO FERNANDEZ"/>
    <s v="CORE"/>
    <x v="15"/>
    <s v="BBVA"/>
    <e v="#NAME?"/>
    <x v="3"/>
    <n v="0.4"/>
    <s v="Desarrollador"/>
    <s v="Mainframe"/>
    <m/>
    <e v="#NAME?"/>
    <e v="#NAME?"/>
    <e v="#NAME?"/>
    <m/>
    <m/>
    <m/>
    <m/>
    <m/>
    <n v="0"/>
    <m/>
    <m/>
    <m/>
  </r>
  <r>
    <s v="CE66714"/>
    <s v="CRISTIAN STEVEN ABRIL ALDANA"/>
    <s v="CORE"/>
    <x v="15"/>
    <s v="Novatec"/>
    <e v="#NAME?"/>
    <x v="203"/>
    <n v="0.35"/>
    <s v="Desarrollador"/>
    <s v="Cells"/>
    <m/>
    <e v="#NAME?"/>
    <e v="#NAME?"/>
    <e v="#NAME?"/>
    <m/>
    <m/>
    <m/>
    <m/>
    <m/>
    <n v="1"/>
    <m/>
    <m/>
    <m/>
  </r>
  <r>
    <s v="CE66714"/>
    <s v="CRISTIAN STEVEN ABRIL ALDANA"/>
    <s v="CORE"/>
    <x v="15"/>
    <s v="Novatec"/>
    <e v="#NAME?"/>
    <x v="84"/>
    <n v="0.3"/>
    <s v="Desarrollador"/>
    <s v="Cells"/>
    <m/>
    <e v="#NAME?"/>
    <e v="#NAME?"/>
    <e v="#NAME?"/>
    <m/>
    <m/>
    <m/>
    <m/>
    <m/>
    <n v="0"/>
    <m/>
    <m/>
    <m/>
  </r>
  <r>
    <s v="CE66714"/>
    <s v="CRISTIAN STEVEN ABRIL ALDANA"/>
    <s v="CORE"/>
    <x v="15"/>
    <s v="Novatec"/>
    <e v="#NAME?"/>
    <x v="86"/>
    <n v="0.35"/>
    <s v="Desarrollador"/>
    <s v="Cells"/>
    <m/>
    <e v="#NAME?"/>
    <e v="#NAME?"/>
    <e v="#NAME?"/>
    <m/>
    <m/>
    <m/>
    <m/>
    <m/>
    <n v="0"/>
    <m/>
    <m/>
    <m/>
  </r>
  <r>
    <s v="CE67847"/>
    <s v="CRISTIAN STIVEN SÀNCHEZ RUBIO"/>
    <s v="CORE"/>
    <x v="15"/>
    <s v="Inetum"/>
    <e v="#NAME?"/>
    <x v="84"/>
    <n v="1"/>
    <s v="Desarrollador"/>
    <s v="ASO"/>
    <m/>
    <e v="#NAME?"/>
    <e v="#NAME?"/>
    <e v="#NAME?"/>
    <m/>
    <m/>
    <m/>
    <m/>
    <m/>
    <n v="1"/>
    <m/>
    <m/>
    <m/>
  </r>
  <r>
    <s v="P002414"/>
    <s v="DANIEL BERNAL"/>
    <s v="CORE"/>
    <x v="15"/>
    <s v="Novatec"/>
    <e v="#NAME?"/>
    <x v="203"/>
    <n v="1"/>
    <s v="Desarrollador"/>
    <s v="Cells"/>
    <m/>
    <e v="#NAME?"/>
    <e v="#NAME?"/>
    <e v="#NAME?"/>
    <m/>
    <m/>
    <m/>
    <m/>
    <m/>
    <n v="1"/>
    <m/>
    <m/>
    <m/>
  </r>
  <r>
    <s v="CE65598"/>
    <s v="DAVID GERMAN TORRES MOLANO"/>
    <s v="CORE"/>
    <x v="15"/>
    <s v="KRYPTO"/>
    <e v="#NAME?"/>
    <x v="203"/>
    <n v="0.3"/>
    <s v="QA"/>
    <s v="Distribuido"/>
    <m/>
    <e v="#NAME?"/>
    <e v="#NAME?"/>
    <e v="#NAME?"/>
    <m/>
    <m/>
    <m/>
    <m/>
    <m/>
    <n v="1"/>
    <m/>
    <m/>
    <m/>
  </r>
  <r>
    <s v="CE65598"/>
    <s v="DAVID GERMAN TORRES MOLANO"/>
    <s v="CORE"/>
    <x v="15"/>
    <s v="KRYPTO"/>
    <e v="#NAME?"/>
    <x v="84"/>
    <n v="0.3"/>
    <s v="QA"/>
    <s v="Distribuido"/>
    <m/>
    <e v="#NAME?"/>
    <e v="#NAME?"/>
    <e v="#NAME?"/>
    <m/>
    <m/>
    <m/>
    <m/>
    <m/>
    <n v="0"/>
    <m/>
    <m/>
    <m/>
  </r>
  <r>
    <s v="CE65598"/>
    <s v="DAVID GERMAN TORRES MOLANO"/>
    <s v="CORE"/>
    <x v="15"/>
    <s v="KRYPTO"/>
    <e v="#NAME?"/>
    <x v="86"/>
    <n v="0.4"/>
    <s v="QA"/>
    <s v="Distribuido"/>
    <m/>
    <e v="#NAME?"/>
    <e v="#NAME?"/>
    <e v="#NAME?"/>
    <m/>
    <m/>
    <m/>
    <m/>
    <m/>
    <n v="0"/>
    <m/>
    <m/>
    <m/>
  </r>
  <r>
    <s v="C342598"/>
    <s v="DEISON COLMENARES"/>
    <s v="CORE"/>
    <x v="15"/>
    <s v="BBVA"/>
    <e v="#NAME?"/>
    <x v="203"/>
    <n v="0.1"/>
    <s v="Desarrollador"/>
    <s v="Mainframe"/>
    <m/>
    <e v="#NAME?"/>
    <e v="#NAME?"/>
    <e v="#NAME?"/>
    <m/>
    <m/>
    <m/>
    <m/>
    <m/>
    <n v="1"/>
    <m/>
    <m/>
    <m/>
  </r>
  <r>
    <s v="C342598"/>
    <s v="DEISON COLMENARES"/>
    <s v="CORE"/>
    <x v="15"/>
    <s v="BBVA"/>
    <e v="#NAME?"/>
    <x v="84"/>
    <n v="0.15"/>
    <s v="Desarrollador"/>
    <s v="Mainframe"/>
    <m/>
    <e v="#NAME?"/>
    <e v="#NAME?"/>
    <e v="#NAME?"/>
    <m/>
    <m/>
    <m/>
    <m/>
    <m/>
    <n v="0"/>
    <m/>
    <m/>
    <m/>
  </r>
  <r>
    <s v="C342598"/>
    <s v="DEISON COLMENARES"/>
    <s v="CORE"/>
    <x v="15"/>
    <s v="BBVA"/>
    <e v="#NAME?"/>
    <x v="86"/>
    <n v="0.2"/>
    <s v="Desarrollador"/>
    <s v="Mainframe"/>
    <m/>
    <e v="#NAME?"/>
    <e v="#NAME?"/>
    <e v="#NAME?"/>
    <m/>
    <m/>
    <m/>
    <m/>
    <m/>
    <n v="0"/>
    <m/>
    <m/>
    <m/>
  </r>
  <r>
    <s v="C342598"/>
    <s v="DEISON COLMENARES"/>
    <s v="CORE"/>
    <x v="15"/>
    <s v="BBVA"/>
    <e v="#NAME?"/>
    <x v="211"/>
    <n v="0.2"/>
    <s v="Desarrollador"/>
    <s v="Mainframe"/>
    <m/>
    <e v="#NAME?"/>
    <e v="#NAME?"/>
    <e v="#NAME?"/>
    <m/>
    <m/>
    <m/>
    <m/>
    <m/>
    <n v="0"/>
    <m/>
    <m/>
    <m/>
  </r>
  <r>
    <s v="C342598"/>
    <s v="DEISON COLMENARES"/>
    <s v="CORE"/>
    <x v="15"/>
    <s v="BBVA"/>
    <e v="#NAME?"/>
    <x v="204"/>
    <n v="0.15"/>
    <s v="Desarrollador"/>
    <s v="Mainframe"/>
    <m/>
    <e v="#NAME?"/>
    <e v="#NAME?"/>
    <e v="#NAME?"/>
    <m/>
    <m/>
    <m/>
    <m/>
    <m/>
    <n v="0"/>
    <m/>
    <m/>
    <m/>
  </r>
  <r>
    <s v="C342598"/>
    <s v="DEISON COLMENARES"/>
    <s v="CORE"/>
    <x v="15"/>
    <s v="BBVA"/>
    <e v="#NAME?"/>
    <x v="118"/>
    <n v="0.2"/>
    <s v="Desarrollador"/>
    <s v="Mainframe"/>
    <m/>
    <e v="#NAME?"/>
    <e v="#NAME?"/>
    <e v="#NAME?"/>
    <m/>
    <m/>
    <m/>
    <m/>
    <m/>
    <n v="0"/>
    <m/>
    <m/>
    <m/>
  </r>
  <r>
    <s v="CE68302"/>
    <s v="DIANA GRANADA"/>
    <s v="CORE"/>
    <x v="15"/>
    <s v="Choucair"/>
    <e v="#NAME?"/>
    <x v="202"/>
    <n v="1"/>
    <s v="QA"/>
    <s v="Distribuido"/>
    <m/>
    <e v="#NAME?"/>
    <e v="#NAME?"/>
    <e v="#NAME?"/>
    <m/>
    <m/>
    <m/>
    <m/>
    <m/>
    <n v="1"/>
    <m/>
    <m/>
    <m/>
  </r>
  <r>
    <s v="C811057"/>
    <s v="DIEGO CALLEJAS"/>
    <s v="CORE"/>
    <x v="15"/>
    <s v="BBVA"/>
    <e v="#NAME?"/>
    <x v="3"/>
    <n v="1"/>
    <s v="Desarrollador"/>
    <s v="Mainframe"/>
    <m/>
    <e v="#NAME?"/>
    <e v="#NAME?"/>
    <e v="#NAME?"/>
    <m/>
    <m/>
    <m/>
    <m/>
    <m/>
    <n v="1"/>
    <m/>
    <m/>
    <m/>
  </r>
  <r>
    <s v="CE69094"/>
    <s v="DUVAN ALEJANDRO BERNATE PIAMBA"/>
    <s v="CORE"/>
    <x v="15"/>
    <s v="KRYPTO"/>
    <e v="#NAME?"/>
    <x v="203"/>
    <n v="0.5"/>
    <s v="QA"/>
    <s v="Distribuido"/>
    <m/>
    <e v="#NAME?"/>
    <e v="#NAME?"/>
    <e v="#NAME?"/>
    <m/>
    <m/>
    <m/>
    <m/>
    <m/>
    <n v="1"/>
    <m/>
    <m/>
    <m/>
  </r>
  <r>
    <s v="CE69094"/>
    <s v="DUVAN ALEJANDRO BERNATE PIAMBA"/>
    <s v="CORE"/>
    <x v="15"/>
    <s v="KRYPTO"/>
    <e v="#NAME?"/>
    <x v="84"/>
    <n v="0.5"/>
    <s v="QA"/>
    <s v="Distribuido"/>
    <m/>
    <e v="#NAME?"/>
    <e v="#NAME?"/>
    <e v="#NAME?"/>
    <m/>
    <m/>
    <m/>
    <m/>
    <m/>
    <n v="0"/>
    <m/>
    <m/>
    <m/>
  </r>
  <r>
    <s v="C796415"/>
    <s v="EDGAR REY"/>
    <s v="CORE"/>
    <x v="15"/>
    <s v="BBVA"/>
    <e v="#NAME?"/>
    <x v="3"/>
    <n v="1"/>
    <s v="Tech Manager/Líder"/>
    <s v="Mainframe"/>
    <m/>
    <e v="#NAME?"/>
    <e v="#NAME?"/>
    <e v="#NAME?"/>
    <m/>
    <m/>
    <m/>
    <m/>
    <m/>
    <n v="1"/>
    <m/>
    <m/>
    <m/>
  </r>
  <r>
    <s v="O000448"/>
    <s v="EDUAR BOLAÑOS"/>
    <s v="CORE"/>
    <x v="15"/>
    <s v="BBVA"/>
    <e v="#NAME?"/>
    <x v="84"/>
    <n v="0.5"/>
    <s v="Desarrollador"/>
    <s v="APX"/>
    <m/>
    <e v="#NAME?"/>
    <e v="#NAME?"/>
    <e v="#NAME?"/>
    <m/>
    <m/>
    <m/>
    <m/>
    <m/>
    <n v="1"/>
    <m/>
    <m/>
    <m/>
  </r>
  <r>
    <s v="O000448"/>
    <s v="EDUAR BOLAÑOS"/>
    <s v="CORE"/>
    <x v="15"/>
    <s v="BBVA"/>
    <e v="#NAME?"/>
    <x v="203"/>
    <n v="0.2"/>
    <s v="Desarrollador"/>
    <s v="APX"/>
    <m/>
    <e v="#NAME?"/>
    <e v="#NAME?"/>
    <e v="#NAME?"/>
    <m/>
    <m/>
    <m/>
    <m/>
    <m/>
    <n v="0"/>
    <m/>
    <m/>
    <m/>
  </r>
  <r>
    <s v="O000448"/>
    <s v="EDUAR BOLAÑOS"/>
    <s v="CORE"/>
    <x v="15"/>
    <s v="BBVA"/>
    <e v="#NAME?"/>
    <x v="86"/>
    <n v="0.3"/>
    <s v="Desarrollador"/>
    <s v="APX"/>
    <m/>
    <e v="#NAME?"/>
    <e v="#NAME?"/>
    <e v="#NAME?"/>
    <m/>
    <m/>
    <m/>
    <m/>
    <m/>
    <n v="0"/>
    <m/>
    <m/>
    <m/>
  </r>
  <r>
    <s v="C805991"/>
    <s v="FABIANI LOZANO"/>
    <s v="CORE"/>
    <x v="15"/>
    <s v="BBVA"/>
    <e v="#NAME?"/>
    <x v="118"/>
    <n v="0.2"/>
    <s v="Desarrollador"/>
    <s v="ASO"/>
    <m/>
    <e v="#NAME?"/>
    <e v="#NAME?"/>
    <e v="#NAME?"/>
    <m/>
    <m/>
    <m/>
    <m/>
    <m/>
    <n v="1"/>
    <m/>
    <m/>
    <m/>
  </r>
  <r>
    <s v="C805991"/>
    <s v="FABIANI LOZANO"/>
    <s v="CORE"/>
    <x v="15"/>
    <s v="BBVA"/>
    <e v="#NAME?"/>
    <x v="86"/>
    <n v="0.3"/>
    <s v="Desarrollador"/>
    <s v="ASO"/>
    <m/>
    <e v="#NAME?"/>
    <e v="#NAME?"/>
    <e v="#NAME?"/>
    <m/>
    <m/>
    <m/>
    <m/>
    <m/>
    <n v="0"/>
    <m/>
    <m/>
    <m/>
  </r>
  <r>
    <s v="C805991"/>
    <s v="FABIANI LOZANO"/>
    <s v="CORE"/>
    <x v="15"/>
    <s v="BBVA"/>
    <e v="#NAME?"/>
    <x v="118"/>
    <n v="0.3"/>
    <s v="Desarrollador"/>
    <s v="ASO"/>
    <m/>
    <e v="#NAME?"/>
    <e v="#NAME?"/>
    <e v="#NAME?"/>
    <m/>
    <m/>
    <m/>
    <m/>
    <m/>
    <n v="0"/>
    <m/>
    <m/>
    <m/>
  </r>
  <r>
    <s v="C805991"/>
    <s v="FABIANI LOZANO"/>
    <s v="CORE"/>
    <x v="15"/>
    <s v="BBVA"/>
    <e v="#NAME?"/>
    <x v="3"/>
    <n v="0.2"/>
    <s v="Desarrollador"/>
    <s v="ASO"/>
    <s v="Se esta revisando la mejora del Validate Products"/>
    <e v="#NAME?"/>
    <e v="#NAME?"/>
    <e v="#NAME?"/>
    <m/>
    <m/>
    <m/>
    <m/>
    <m/>
    <n v="0"/>
    <m/>
    <m/>
    <m/>
  </r>
  <r>
    <s v="O001038"/>
    <s v="FLOR ALICIA GALAN"/>
    <s v="CORE"/>
    <x v="15"/>
    <s v="BBVA"/>
    <e v="#NAME?"/>
    <x v="3"/>
    <n v="1"/>
    <s v="Desarrollador"/>
    <s v="Mainframe"/>
    <m/>
    <e v="#NAME?"/>
    <e v="#NAME?"/>
    <e v="#NAME?"/>
    <m/>
    <m/>
    <m/>
    <m/>
    <m/>
    <n v="1"/>
    <m/>
    <m/>
    <m/>
  </r>
  <r>
    <s v="CE50152"/>
    <s v="FRANKLIN MEDINA"/>
    <s v="CORE"/>
    <x v="15"/>
    <s v="Inetum"/>
    <e v="#NAME?"/>
    <x v="3"/>
    <n v="1"/>
    <s v="QA"/>
    <s v="Mainframe"/>
    <m/>
    <e v="#NAME?"/>
    <e v="#NAME?"/>
    <e v="#NAME?"/>
    <m/>
    <m/>
    <m/>
    <m/>
    <m/>
    <n v="1"/>
    <m/>
    <m/>
    <m/>
  </r>
  <r>
    <s v="CE60769"/>
    <s v="HECTOR FERNANDO JARAMILLO"/>
    <s v="CORE"/>
    <x v="15"/>
    <s v="Inetum"/>
    <e v="#NAME?"/>
    <x v="84"/>
    <n v="1"/>
    <s v="Desarrollador"/>
    <s v="Mainframe"/>
    <m/>
    <e v="#NAME?"/>
    <e v="#NAME?"/>
    <e v="#NAME?"/>
    <m/>
    <m/>
    <m/>
    <m/>
    <m/>
    <n v="1"/>
    <m/>
    <m/>
    <m/>
  </r>
  <r>
    <s v="CE52097"/>
    <s v="IVAN DE JESÚS RAMOS OSORIO"/>
    <s v="CORE"/>
    <x v="15"/>
    <s v="Neoris"/>
    <e v="#NAME?"/>
    <x v="3"/>
    <n v="1"/>
    <s v="Desarrollador"/>
    <s v="Mainframe"/>
    <m/>
    <e v="#NAME?"/>
    <e v="#NAME?"/>
    <e v="#NAME?"/>
    <m/>
    <m/>
    <m/>
    <m/>
    <m/>
    <n v="1"/>
    <m/>
    <m/>
    <m/>
  </r>
  <r>
    <s v="CE61638"/>
    <s v="JAVIER CORDOBA"/>
    <s v="CORE"/>
    <x v="15"/>
    <s v="KRYPTO"/>
    <e v="#NAME?"/>
    <x v="205"/>
    <n v="1"/>
    <s v="QA"/>
    <s v="Mainframe"/>
    <m/>
    <e v="#NAME?"/>
    <e v="#NAME?"/>
    <e v="#NAME?"/>
    <m/>
    <m/>
    <m/>
    <m/>
    <m/>
    <n v="1"/>
    <m/>
    <m/>
    <m/>
  </r>
  <r>
    <s v="O001111"/>
    <s v="JENNIFER HAILINTH MORENO"/>
    <s v="CORE"/>
    <x v="15"/>
    <s v="BBVA"/>
    <e v="#NAME?"/>
    <x v="118"/>
    <n v="1"/>
    <s v="Desarrollador"/>
    <s v="Mainframe"/>
    <m/>
    <e v="#NAME?"/>
    <e v="#NAME?"/>
    <e v="#NAME?"/>
    <m/>
    <m/>
    <m/>
    <m/>
    <m/>
    <n v="1"/>
    <m/>
    <m/>
    <m/>
  </r>
  <r>
    <s v="CE66153"/>
    <s v="JHON EDWIN MENDOZA DAZA"/>
    <s v="CORE"/>
    <x v="15"/>
    <s v="Novatec"/>
    <e v="#NAME?"/>
    <x v="84"/>
    <n v="0.7"/>
    <s v="Desarrollador"/>
    <s v="Cells"/>
    <m/>
    <e v="#NAME?"/>
    <e v="#NAME?"/>
    <e v="#NAME?"/>
    <m/>
    <m/>
    <m/>
    <m/>
    <m/>
    <n v="1"/>
    <m/>
    <m/>
    <m/>
  </r>
  <r>
    <s v="CE66153"/>
    <s v="JHON EDWIN MENDOZA DAZA"/>
    <s v="CORE"/>
    <x v="15"/>
    <s v="Novatec"/>
    <e v="#NAME?"/>
    <x v="86"/>
    <n v="0.3"/>
    <s v="Desarrollador"/>
    <s v="Cells"/>
    <m/>
    <e v="#NAME?"/>
    <e v="#NAME?"/>
    <e v="#NAME?"/>
    <m/>
    <m/>
    <m/>
    <m/>
    <m/>
    <n v="0"/>
    <m/>
    <m/>
    <m/>
  </r>
  <r>
    <s v="C811329"/>
    <s v="JHON MARIO FORERO"/>
    <s v="CORE"/>
    <x v="15"/>
    <s v="BBVA"/>
    <e v="#NAME?"/>
    <x v="3"/>
    <n v="1"/>
    <s v="Desarrollador"/>
    <s v="Mainframe"/>
    <m/>
    <e v="#NAME?"/>
    <e v="#NAME?"/>
    <e v="#NAME?"/>
    <m/>
    <m/>
    <m/>
    <m/>
    <m/>
    <n v="1"/>
    <m/>
    <m/>
    <m/>
  </r>
  <r>
    <s v="CE61687"/>
    <s v="JHONATAN STIV CUADROS CARDENAS"/>
    <s v="CORE"/>
    <x v="15"/>
    <s v="Accenture"/>
    <e v="#NAME?"/>
    <x v="118"/>
    <n v="0.7"/>
    <s v="Desarrollador"/>
    <s v="APX"/>
    <m/>
    <e v="#NAME?"/>
    <e v="#NAME?"/>
    <e v="#NAME?"/>
    <m/>
    <m/>
    <m/>
    <m/>
    <m/>
    <n v="1"/>
    <m/>
    <m/>
    <m/>
  </r>
  <r>
    <s v="CE61687"/>
    <s v="JHONATAN STIV CUADROS CARDENAS"/>
    <s v="CORE"/>
    <x v="15"/>
    <s v="Accenture"/>
    <e v="#NAME?"/>
    <x v="86"/>
    <n v="0.3"/>
    <s v="Desarrollador"/>
    <s v="APX"/>
    <m/>
    <e v="#NAME?"/>
    <e v="#NAME?"/>
    <e v="#NAME?"/>
    <m/>
    <m/>
    <m/>
    <m/>
    <m/>
    <n v="0"/>
    <m/>
    <m/>
    <m/>
  </r>
  <r>
    <s v="C808819"/>
    <s v="JOSEPH ALEANDER ROJAS"/>
    <s v="CORE"/>
    <x v="15"/>
    <s v="BBVA"/>
    <e v="#NAME?"/>
    <x v="203"/>
    <n v="0.4"/>
    <s v="Desarrollador"/>
    <s v="Mainframe"/>
    <m/>
    <e v="#NAME?"/>
    <e v="#NAME?"/>
    <e v="#NAME?"/>
    <m/>
    <m/>
    <m/>
    <m/>
    <m/>
    <n v="1"/>
    <m/>
    <m/>
    <m/>
  </r>
  <r>
    <s v="C808819"/>
    <s v="JOSEPH ALEANDER ROJAS"/>
    <s v="CORE"/>
    <x v="15"/>
    <s v="BBVA"/>
    <e v="#NAME?"/>
    <x v="84"/>
    <n v="0.6"/>
    <s v="Desarrollador"/>
    <s v="Mainframe"/>
    <m/>
    <e v="#NAME?"/>
    <e v="#NAME?"/>
    <e v="#NAME?"/>
    <m/>
    <m/>
    <m/>
    <m/>
    <m/>
    <n v="0"/>
    <m/>
    <m/>
    <m/>
  </r>
  <r>
    <s v="CE64753"/>
    <s v="JUAN CARLOS PULIDO"/>
    <s v="CORE"/>
    <x v="15"/>
    <s v="KRYPTO"/>
    <e v="#NAME?"/>
    <x v="3"/>
    <n v="1"/>
    <s v="QA"/>
    <s v="Mainframe"/>
    <m/>
    <e v="#NAME?"/>
    <e v="#NAME?"/>
    <e v="#NAME?"/>
    <m/>
    <m/>
    <m/>
    <m/>
    <m/>
    <n v="1"/>
    <m/>
    <m/>
    <m/>
  </r>
  <r>
    <s v="C804405"/>
    <s v="JUAN SALAZAR"/>
    <s v="CORE"/>
    <x v="15"/>
    <s v="BBVA"/>
    <e v="#NAME?"/>
    <x v="3"/>
    <n v="0.3"/>
    <s v="Desarrollador"/>
    <s v="Mainframe"/>
    <m/>
    <e v="#NAME?"/>
    <e v="#NAME?"/>
    <e v="#NAME?"/>
    <m/>
    <m/>
    <m/>
    <m/>
    <m/>
    <n v="1"/>
    <m/>
    <m/>
    <m/>
  </r>
  <r>
    <s v="C804405"/>
    <s v="JUAN SALAZAR"/>
    <s v="CORE"/>
    <x v="15"/>
    <s v="BBVA"/>
    <e v="#NAME?"/>
    <x v="209"/>
    <n v="0.7"/>
    <s v="Desarrollador"/>
    <s v="Mainframe"/>
    <m/>
    <e v="#NAME?"/>
    <e v="#NAME?"/>
    <e v="#NAME?"/>
    <m/>
    <m/>
    <m/>
    <m/>
    <m/>
    <n v="0"/>
    <m/>
    <m/>
    <m/>
  </r>
  <r>
    <s v="C809507"/>
    <s v="JULIE PAULETTE GARAVITO"/>
    <s v="CORE"/>
    <x v="15"/>
    <s v="BBVA"/>
    <e v="#NAME?"/>
    <x v="205"/>
    <n v="1"/>
    <s v="Desarrollador"/>
    <s v="Mainframe"/>
    <m/>
    <e v="#NAME?"/>
    <e v="#NAME?"/>
    <e v="#NAME?"/>
    <m/>
    <m/>
    <m/>
    <m/>
    <m/>
    <n v="1"/>
    <m/>
    <m/>
    <m/>
  </r>
  <r>
    <s v="C808802"/>
    <s v="KAREN MARGARITA ANGULO"/>
    <s v="CORE"/>
    <x v="15"/>
    <s v="BBVA"/>
    <e v="#NAME?"/>
    <x v="210"/>
    <n v="0.8"/>
    <s v="Desarrollador"/>
    <s v="Mainframe"/>
    <m/>
    <e v="#NAME?"/>
    <e v="#NAME?"/>
    <e v="#NAME?"/>
    <m/>
    <m/>
    <m/>
    <m/>
    <m/>
    <n v="1"/>
    <m/>
    <m/>
    <m/>
  </r>
  <r>
    <s v="C808802"/>
    <s v="KAREN MARGARITA ANGULO"/>
    <s v="CORE"/>
    <x v="15"/>
    <s v="BBVA"/>
    <e v="#NAME?"/>
    <x v="3"/>
    <n v="0.2"/>
    <s v="Desarrollador"/>
    <s v="Mainframe"/>
    <m/>
    <e v="#NAME?"/>
    <e v="#NAME?"/>
    <e v="#NAME?"/>
    <m/>
    <m/>
    <m/>
    <m/>
    <m/>
    <n v="0"/>
    <m/>
    <m/>
    <m/>
  </r>
  <r>
    <s v="C809507"/>
    <s v="LEYDI CAMARGO"/>
    <s v="CORE"/>
    <x v="15"/>
    <s v="BBVA"/>
    <e v="#NAME?"/>
    <x v="3"/>
    <n v="0.5"/>
    <s v="Desarrollador"/>
    <s v="Distribuido"/>
    <m/>
    <e v="#NAME?"/>
    <e v="#NAME?"/>
    <e v="#NAME?"/>
    <m/>
    <m/>
    <m/>
    <m/>
    <m/>
    <n v="1"/>
    <m/>
    <m/>
    <m/>
  </r>
  <r>
    <s v="C809507"/>
    <s v="LEYDI CAMARGO"/>
    <s v="CORE"/>
    <x v="15"/>
    <s v="BBVA"/>
    <e v="#NAME?"/>
    <x v="207"/>
    <n v="0.5"/>
    <s v="Desarrollador"/>
    <s v="Distribuido"/>
    <m/>
    <e v="#NAME?"/>
    <e v="#NAME?"/>
    <e v="#NAME?"/>
    <m/>
    <m/>
    <m/>
    <m/>
    <m/>
    <n v="0"/>
    <m/>
    <m/>
    <m/>
  </r>
  <r>
    <s v="T001910"/>
    <s v="LIDA VIVIANA PINEDA"/>
    <s v="CORE"/>
    <x v="15"/>
    <s v="Neoris"/>
    <e v="#NAME?"/>
    <x v="3"/>
    <n v="1"/>
    <s v="Desarrollador"/>
    <s v="Mainframe"/>
    <m/>
    <e v="#NAME?"/>
    <e v="#NAME?"/>
    <e v="#NAME?"/>
    <m/>
    <m/>
    <m/>
    <m/>
    <m/>
    <n v="1"/>
    <m/>
    <m/>
    <m/>
  </r>
  <r>
    <s v="C808648"/>
    <s v="LUIS JAVIER SANDON"/>
    <s v="CORE"/>
    <x v="15"/>
    <s v="BBVA"/>
    <e v="#NAME?"/>
    <x v="208"/>
    <n v="1"/>
    <s v="Desarrollador"/>
    <s v="Mainframe"/>
    <m/>
    <e v="#NAME?"/>
    <e v="#NAME?"/>
    <e v="#NAME?"/>
    <m/>
    <m/>
    <m/>
    <m/>
    <m/>
    <n v="1"/>
    <m/>
    <m/>
    <m/>
  </r>
  <r>
    <s v="C343564"/>
    <s v="LUZ ESTELLA ORTEGA"/>
    <s v="CORE"/>
    <x v="15"/>
    <s v="BBVA"/>
    <e v="#NAME?"/>
    <x v="202"/>
    <n v="0.1"/>
    <s v="Desarrollador"/>
    <s v="Mainframe"/>
    <m/>
    <e v="#NAME?"/>
    <e v="#NAME?"/>
    <e v="#NAME?"/>
    <m/>
    <m/>
    <m/>
    <m/>
    <m/>
    <n v="1"/>
    <m/>
    <m/>
    <m/>
  </r>
  <r>
    <s v="C343564"/>
    <s v="LUZ ESTELLA ORTEGA"/>
    <s v="CORE"/>
    <x v="15"/>
    <s v="BBVA"/>
    <e v="#NAME?"/>
    <x v="202"/>
    <n v="0.1"/>
    <s v="Desarrollador"/>
    <s v="Mainframe"/>
    <m/>
    <e v="#NAME?"/>
    <e v="#NAME?"/>
    <e v="#NAME?"/>
    <m/>
    <m/>
    <m/>
    <m/>
    <m/>
    <n v="0"/>
    <m/>
    <m/>
    <m/>
  </r>
  <r>
    <s v="C343564"/>
    <s v="LUZ ESTELLA ORTEGA"/>
    <s v="CORE"/>
    <x v="15"/>
    <s v="BBVA"/>
    <e v="#NAME?"/>
    <x v="207"/>
    <n v="0.8"/>
    <s v="Desarrollador"/>
    <s v="Mainframe"/>
    <m/>
    <e v="#NAME?"/>
    <e v="#NAME?"/>
    <e v="#NAME?"/>
    <m/>
    <m/>
    <m/>
    <m/>
    <m/>
    <n v="0"/>
    <m/>
    <m/>
    <m/>
  </r>
  <r>
    <s v="C805926"/>
    <s v="MAICOL STIVEN PEREZ"/>
    <s v="CORE"/>
    <x v="15"/>
    <s v="BBVA"/>
    <e v="#NAME?"/>
    <x v="84"/>
    <n v="1"/>
    <s v="Desarrollador"/>
    <s v="ASO"/>
    <m/>
    <e v="#NAME?"/>
    <e v="#NAME?"/>
    <e v="#NAME?"/>
    <m/>
    <m/>
    <m/>
    <m/>
    <m/>
    <n v="1"/>
    <m/>
    <m/>
    <m/>
  </r>
  <r>
    <s v="O000197"/>
    <s v="MARIA ESTELA SUAREZ"/>
    <s v="CORE"/>
    <x v="15"/>
    <s v="BBVA"/>
    <e v="#NAME?"/>
    <x v="203"/>
    <n v="0.1"/>
    <s v="Tech Manager/Líder"/>
    <s v="Otras Tec."/>
    <m/>
    <e v="#NAME?"/>
    <e v="#NAME?"/>
    <e v="#NAME?"/>
    <m/>
    <m/>
    <m/>
    <m/>
    <m/>
    <n v="1"/>
    <m/>
    <m/>
    <m/>
  </r>
  <r>
    <s v="O000197"/>
    <s v="MARIA ESTELA SUAREZ"/>
    <s v="CORE"/>
    <x v="15"/>
    <s v="BBVA"/>
    <e v="#NAME?"/>
    <x v="84"/>
    <n v="0.3"/>
    <s v="Tech Manager/Líder"/>
    <s v="Otras Tec."/>
    <m/>
    <e v="#NAME?"/>
    <e v="#NAME?"/>
    <e v="#NAME?"/>
    <m/>
    <m/>
    <m/>
    <m/>
    <m/>
    <n v="0"/>
    <m/>
    <m/>
    <m/>
  </r>
  <r>
    <s v="O000197"/>
    <s v="MARIA ESTELA SUAREZ"/>
    <s v="CORE"/>
    <x v="15"/>
    <s v="BBVA"/>
    <e v="#NAME?"/>
    <x v="86"/>
    <n v="0.1"/>
    <s v="Tech Manager/Líder"/>
    <s v="Otras Tec."/>
    <m/>
    <e v="#NAME?"/>
    <e v="#NAME?"/>
    <e v="#NAME?"/>
    <m/>
    <m/>
    <m/>
    <m/>
    <m/>
    <n v="0"/>
    <m/>
    <m/>
    <m/>
  </r>
  <r>
    <s v="O000197"/>
    <s v="MARIA ESTELA SUAREZ"/>
    <s v="CORE"/>
    <x v="15"/>
    <s v="BBVA"/>
    <e v="#NAME?"/>
    <x v="211"/>
    <n v="0.05"/>
    <s v="Tech Manager/Líder"/>
    <s v="Otras Tec."/>
    <m/>
    <e v="#NAME?"/>
    <e v="#NAME?"/>
    <e v="#NAME?"/>
    <m/>
    <m/>
    <m/>
    <m/>
    <m/>
    <n v="0"/>
    <m/>
    <m/>
    <m/>
  </r>
  <r>
    <s v="O000197"/>
    <s v="MARIA ESTELA SUAREZ"/>
    <s v="CORE"/>
    <x v="15"/>
    <s v="BBVA"/>
    <e v="#NAME?"/>
    <x v="204"/>
    <n v="0.05"/>
    <s v="Tech Manager/Líder"/>
    <s v="Otras Tec."/>
    <m/>
    <e v="#NAME?"/>
    <e v="#NAME?"/>
    <e v="#NAME?"/>
    <m/>
    <m/>
    <m/>
    <m/>
    <m/>
    <n v="0"/>
    <m/>
    <m/>
    <m/>
  </r>
  <r>
    <s v="O000197"/>
    <s v="MARIA ESTELA SUAREZ"/>
    <s v="CORE"/>
    <x v="15"/>
    <s v="BBVA"/>
    <e v="#NAME?"/>
    <x v="118"/>
    <n v="0.3"/>
    <s v="Tech Manager/Líder"/>
    <s v="Otras Tec."/>
    <m/>
    <e v="#NAME?"/>
    <e v="#NAME?"/>
    <e v="#NAME?"/>
    <m/>
    <m/>
    <m/>
    <m/>
    <m/>
    <n v="0"/>
    <m/>
    <m/>
    <m/>
  </r>
  <r>
    <s v="O000197"/>
    <s v="MARIA ESTELA SUAREZ"/>
    <s v="CORE"/>
    <x v="15"/>
    <s v="BBVA"/>
    <e v="#NAME?"/>
    <x v="3"/>
    <n v="0.1"/>
    <s v="Tech Manager/Líder"/>
    <s v="Otras Tec."/>
    <m/>
    <e v="#NAME?"/>
    <e v="#NAME?"/>
    <e v="#NAME?"/>
    <m/>
    <m/>
    <m/>
    <m/>
    <m/>
    <n v="0"/>
    <m/>
    <m/>
    <m/>
  </r>
  <r>
    <s v="O000158"/>
    <s v="MAURICIO RAMIREZ"/>
    <s v="CORE"/>
    <x v="15"/>
    <s v="BBVA"/>
    <e v="#NAME?"/>
    <x v="3"/>
    <n v="1"/>
    <s v="Desarrollador"/>
    <s v="Mainframe"/>
    <m/>
    <e v="#NAME?"/>
    <e v="#NAME?"/>
    <e v="#NAME?"/>
    <m/>
    <m/>
    <m/>
    <m/>
    <m/>
    <n v="1"/>
    <m/>
    <m/>
    <m/>
  </r>
  <r>
    <s v="CE47926"/>
    <s v="MELANIE QUIROZ"/>
    <s v="CORE"/>
    <x v="15"/>
    <s v="Neoris"/>
    <e v="#NAME?"/>
    <x v="3"/>
    <n v="1"/>
    <s v="Desarrollador"/>
    <s v="Mainframe"/>
    <m/>
    <e v="#NAME?"/>
    <e v="#NAME?"/>
    <e v="#NAME?"/>
    <m/>
    <m/>
    <m/>
    <m/>
    <m/>
    <n v="1"/>
    <m/>
    <m/>
    <m/>
  </r>
  <r>
    <s v="C811205"/>
    <s v="MIRYANI VARGAS"/>
    <s v="CORE"/>
    <x v="15"/>
    <s v="BBVA"/>
    <e v="#NAME?"/>
    <x v="3"/>
    <n v="1"/>
    <s v="Desarrollador"/>
    <s v="Mainframe"/>
    <m/>
    <e v="#NAME?"/>
    <e v="#NAME?"/>
    <e v="#NAME?"/>
    <m/>
    <m/>
    <m/>
    <m/>
    <m/>
    <n v="1"/>
    <m/>
    <m/>
    <m/>
  </r>
  <r>
    <s v="O002661"/>
    <s v="NANCY CATHERINE HERNANDEZ"/>
    <s v="CORE"/>
    <x v="15"/>
    <s v="BBVA"/>
    <e v="#NAME?"/>
    <x v="202"/>
    <n v="0.25"/>
    <s v="QA"/>
    <s v="Distribuido"/>
    <m/>
    <e v="#NAME?"/>
    <e v="#NAME?"/>
    <e v="#NAME?"/>
    <m/>
    <m/>
    <m/>
    <m/>
    <m/>
    <n v="1"/>
    <m/>
    <m/>
    <m/>
  </r>
  <r>
    <s v="O002661"/>
    <s v="NANCY CATHERINE HERNANDEZ"/>
    <s v="CORE"/>
    <x v="15"/>
    <s v="BBVA"/>
    <e v="#NAME?"/>
    <x v="118"/>
    <n v="0.25"/>
    <s v="QA"/>
    <s v="Distribuido"/>
    <m/>
    <e v="#NAME?"/>
    <e v="#NAME?"/>
    <e v="#NAME?"/>
    <m/>
    <m/>
    <m/>
    <m/>
    <m/>
    <n v="0"/>
    <m/>
    <m/>
    <m/>
  </r>
  <r>
    <s v="O002661"/>
    <s v="NANCY CATHERINE HERNANDEZ"/>
    <s v="CORE"/>
    <x v="15"/>
    <s v="BBVA"/>
    <e v="#NAME?"/>
    <x v="203"/>
    <n v="0.25"/>
    <s v="QA"/>
    <s v="Distribuido"/>
    <m/>
    <e v="#NAME?"/>
    <e v="#NAME?"/>
    <e v="#NAME?"/>
    <m/>
    <m/>
    <m/>
    <m/>
    <m/>
    <n v="0"/>
    <m/>
    <m/>
    <m/>
  </r>
  <r>
    <s v="O002661"/>
    <s v="NANCY CATHERINE HERNANDEZ"/>
    <s v="CORE"/>
    <x v="15"/>
    <s v="BBVA"/>
    <e v="#NAME?"/>
    <x v="119"/>
    <n v="0.25"/>
    <s v="QA"/>
    <s v="Distribuido"/>
    <m/>
    <e v="#NAME?"/>
    <e v="#NAME?"/>
    <e v="#NAME?"/>
    <m/>
    <m/>
    <m/>
    <m/>
    <m/>
    <n v="0"/>
    <m/>
    <m/>
    <m/>
  </r>
  <r>
    <s v="CE56109"/>
    <s v="OMAR FERNANDO ORTEGÓN VARGAS"/>
    <s v="CORE"/>
    <x v="15"/>
    <s v="Neoris"/>
    <e v="#NAME?"/>
    <x v="3"/>
    <n v="1"/>
    <s v="Desarrollador"/>
    <s v="Mainframe"/>
    <m/>
    <e v="#NAME?"/>
    <e v="#NAME?"/>
    <e v="#NAME?"/>
    <m/>
    <m/>
    <m/>
    <m/>
    <m/>
    <n v="1"/>
    <m/>
    <m/>
    <m/>
  </r>
  <r>
    <s v="T000361"/>
    <s v="RODRIGO BARBIERI PEREZ"/>
    <s v="CORE"/>
    <x v="15"/>
    <s v="Globant"/>
    <e v="#NAME?"/>
    <x v="118"/>
    <n v="0.7"/>
    <s v="Desarrollador"/>
    <s v="Cells"/>
    <m/>
    <e v="#NAME?"/>
    <e v="#NAME?"/>
    <e v="#NAME?"/>
    <m/>
    <m/>
    <m/>
    <m/>
    <m/>
    <n v="1"/>
    <m/>
    <m/>
    <m/>
  </r>
  <r>
    <s v="T000361"/>
    <s v="RODRIGO BARBIERI PEREZ"/>
    <s v="CORE"/>
    <x v="15"/>
    <s v="Globant"/>
    <e v="#NAME?"/>
    <x v="86"/>
    <n v="0.3"/>
    <s v="Desarrollador"/>
    <s v="Cells"/>
    <m/>
    <e v="#NAME?"/>
    <e v="#NAME?"/>
    <e v="#NAME?"/>
    <m/>
    <m/>
    <m/>
    <m/>
    <m/>
    <n v="0"/>
    <m/>
    <m/>
    <m/>
  </r>
  <r>
    <s v="CI35128"/>
    <s v="Cristian Camilo Rincon"/>
    <s v="CIB &amp; COMEX - FIDUCIARIA"/>
    <x v="18"/>
    <s v="BBVA Fiduciaria"/>
    <e v="#NAME?"/>
    <x v="3"/>
    <n v="0.5"/>
    <s v="Tech Manager/Líder"/>
    <m/>
    <s v="Interno"/>
    <e v="#NAME?"/>
    <e v="#NAME?"/>
    <e v="#NAME?"/>
    <m/>
    <m/>
    <m/>
    <m/>
    <m/>
    <m/>
    <m/>
    <m/>
    <m/>
  </r>
  <r>
    <s v="CI35442"/>
    <s v="Juan Camilo Ladino Guezguan"/>
    <s v="CIB &amp; COMEX - FIDUCIARIA"/>
    <x v="18"/>
    <s v="BBVA Fiduciaria"/>
    <e v="#NAME?"/>
    <x v="3"/>
    <n v="0.4"/>
    <s v="Desarrollador"/>
    <m/>
    <s v="Interno"/>
    <e v="#NAME?"/>
    <e v="#NAME?"/>
    <e v="#NAME?"/>
    <m/>
    <m/>
    <m/>
    <m/>
    <m/>
    <m/>
    <m/>
    <m/>
    <m/>
  </r>
  <r>
    <s v="O000150"/>
    <s v="Oscar Fernando Real Bautista"/>
    <s v="CIB &amp; COMEX - FIDUCIARIA"/>
    <x v="18"/>
    <s v="BBVA Fiduciaria"/>
    <e v="#NAME?"/>
    <x v="3"/>
    <n v="0.2"/>
    <s v="Tech Manager/Líder"/>
    <m/>
    <s v="Interno"/>
    <e v="#NAME?"/>
    <e v="#NAME?"/>
    <e v="#NAME?"/>
    <m/>
    <m/>
    <m/>
    <m/>
    <m/>
    <m/>
    <m/>
    <m/>
    <m/>
  </r>
  <r>
    <s v="CI35100"/>
    <s v="Alexander Lopez Fonseca"/>
    <s v="CIB &amp; COMEX - FIDUCIARIA"/>
    <x v="18"/>
    <s v="BBVA Fiduciaria"/>
    <e v="#NAME?"/>
    <x v="3"/>
    <n v="0.5"/>
    <s v="Tech Manager/Líder"/>
    <m/>
    <s v="Interno"/>
    <e v="#NAME?"/>
    <e v="#NAME?"/>
    <e v="#NAME?"/>
    <m/>
    <m/>
    <m/>
    <m/>
    <m/>
    <m/>
    <m/>
    <m/>
    <m/>
  </r>
  <r>
    <s v="CE67865"/>
    <s v="Alejandra Barrios"/>
    <s v="RETAIL"/>
    <x v="21"/>
    <s v="Accenture"/>
    <e v="#NAME?"/>
    <x v="160"/>
    <n v="1"/>
    <s v="QA"/>
    <s v="Otras Tec."/>
    <m/>
    <e v="#NAME?"/>
    <e v="#NAME?"/>
    <e v="#NAME?"/>
    <m/>
    <m/>
    <m/>
    <m/>
    <m/>
    <m/>
    <m/>
    <m/>
    <m/>
  </r>
  <r>
    <s v="CE71119"/>
    <s v="Alvaro Alvarez"/>
    <s v="RETAIL"/>
    <x v="21"/>
    <s v="Accenture"/>
    <e v="#NAME?"/>
    <x v="160"/>
    <n v="1"/>
    <s v="QA"/>
    <s v="Otras Tec."/>
    <m/>
    <e v="#NAME?"/>
    <e v="#NAME?"/>
    <e v="#NAME?"/>
    <m/>
    <m/>
    <m/>
    <m/>
    <m/>
    <m/>
    <m/>
    <m/>
    <m/>
  </r>
  <r>
    <s v="CE66576"/>
    <s v="Anderson Fabian Camelo"/>
    <s v="RETAIL"/>
    <x v="21"/>
    <s v="GGI / CMC"/>
    <e v="#NAME?"/>
    <x v="160"/>
    <n v="1"/>
    <s v="QA"/>
    <s v="Otras Tec."/>
    <m/>
    <e v="#NAME?"/>
    <e v="#NAME?"/>
    <e v="#NAME?"/>
    <m/>
    <m/>
    <m/>
    <m/>
    <m/>
    <m/>
    <m/>
    <m/>
    <m/>
  </r>
  <r>
    <s v="CE67220"/>
    <s v="Carlos Arturo Rodriguez Castañeda"/>
    <s v="RETAIL"/>
    <x v="21"/>
    <s v="Neoris"/>
    <e v="#NAME?"/>
    <x v="193"/>
    <n v="1"/>
    <s v="Desarrollador"/>
    <s v="ASO"/>
    <m/>
    <e v="#NAME?"/>
    <e v="#NAME?"/>
    <e v="#NAME?"/>
    <m/>
    <m/>
    <m/>
    <m/>
    <m/>
    <m/>
    <m/>
    <m/>
    <m/>
  </r>
  <r>
    <s v="CE70202"/>
    <s v="Cesar Augusto Valbuena"/>
    <s v="RETAIL"/>
    <x v="21"/>
    <s v="Neoris"/>
    <e v="#NAME?"/>
    <x v="160"/>
    <n v="1"/>
    <s v="QA"/>
    <s v="Otras Tec."/>
    <m/>
    <e v="#NAME?"/>
    <e v="#NAME?"/>
    <e v="#NAME?"/>
    <m/>
    <m/>
    <m/>
    <m/>
    <m/>
    <m/>
    <m/>
    <m/>
    <m/>
  </r>
  <r>
    <s v="CE67309"/>
    <s v="Cristian Camilo Duarte"/>
    <s v="RETAIL"/>
    <x v="21"/>
    <s v="GGI / CMC"/>
    <e v="#NAME?"/>
    <x v="193"/>
    <n v="0.5"/>
    <s v="QA"/>
    <s v="Otras Tec."/>
    <m/>
    <e v="#NAME?"/>
    <e v="#NAME?"/>
    <e v="#NAME?"/>
    <m/>
    <m/>
    <m/>
    <m/>
    <m/>
    <m/>
    <m/>
    <m/>
    <m/>
  </r>
  <r>
    <s v="CE67309"/>
    <s v="Cristian Camilo Duarte"/>
    <s v="RETAIL"/>
    <x v="21"/>
    <s v="GGI / CMC"/>
    <e v="#NAME?"/>
    <x v="160"/>
    <n v="0.5"/>
    <s v="QA"/>
    <s v="Otras Tec."/>
    <m/>
    <e v="#NAME?"/>
    <e v="#NAME?"/>
    <e v="#NAME?"/>
    <m/>
    <m/>
    <m/>
    <m/>
    <m/>
    <m/>
    <m/>
    <m/>
    <m/>
  </r>
  <r>
    <s v="CE69445"/>
    <s v="Cristian Fernando Hernandez Angarita"/>
    <s v="RETAIL"/>
    <x v="21"/>
    <s v="Neoris"/>
    <e v="#NAME?"/>
    <x v="193"/>
    <n v="1"/>
    <s v="Desarrollador"/>
    <s v="Mainframe"/>
    <m/>
    <e v="#NAME?"/>
    <e v="#NAME?"/>
    <e v="#NAME?"/>
    <m/>
    <m/>
    <m/>
    <m/>
    <m/>
    <m/>
    <m/>
    <m/>
    <m/>
  </r>
  <r>
    <s v="CE69821"/>
    <s v="David Garrido"/>
    <s v="RETAIL"/>
    <x v="21"/>
    <s v="Globant"/>
    <e v="#NAME?"/>
    <x v="160"/>
    <n v="1"/>
    <s v="Desarrollador"/>
    <s v="APX"/>
    <m/>
    <e v="#NAME?"/>
    <e v="#NAME?"/>
    <e v="#NAME?"/>
    <m/>
    <m/>
    <m/>
    <m/>
    <m/>
    <m/>
    <m/>
    <m/>
    <m/>
  </r>
  <r>
    <s v="CE70245"/>
    <s v="Diana Duarte"/>
    <s v="RETAIL"/>
    <x v="21"/>
    <s v="Accenture"/>
    <e v="#NAME?"/>
    <x v="160"/>
    <n v="1"/>
    <s v="QA"/>
    <s v="Otras Tec."/>
    <m/>
    <e v="#NAME?"/>
    <e v="#NAME?"/>
    <e v="#NAME?"/>
    <m/>
    <m/>
    <m/>
    <m/>
    <m/>
    <m/>
    <m/>
    <m/>
    <m/>
  </r>
  <r>
    <s v="T001912"/>
    <s v="Diego Alejandro Parra Nuñez"/>
    <s v="RETAIL"/>
    <x v="21"/>
    <s v="Neoris"/>
    <e v="#NAME?"/>
    <x v="160"/>
    <n v="1"/>
    <s v="QA"/>
    <s v="Otras Tec."/>
    <m/>
    <e v="#NAME?"/>
    <e v="#NAME?"/>
    <e v="#NAME?"/>
    <m/>
    <m/>
    <m/>
    <m/>
    <m/>
    <m/>
    <m/>
    <m/>
    <m/>
  </r>
  <r>
    <s v="CE71116"/>
    <s v="Dina Luz Perez"/>
    <s v="RETAIL"/>
    <x v="21"/>
    <s v="Accenture"/>
    <e v="#NAME?"/>
    <x v="160"/>
    <n v="1"/>
    <s v="QA"/>
    <s v="Otras Tec."/>
    <m/>
    <e v="#NAME?"/>
    <e v="#NAME?"/>
    <e v="#NAME?"/>
    <m/>
    <m/>
    <m/>
    <m/>
    <m/>
    <m/>
    <m/>
    <m/>
    <m/>
  </r>
  <r>
    <s v="CE67846"/>
    <s v="Edson Suarez"/>
    <s v="RETAIL"/>
    <x v="21"/>
    <s v="Accenture"/>
    <e v="#NAME?"/>
    <x v="160"/>
    <n v="1"/>
    <s v="QA"/>
    <s v="Otras Tec."/>
    <m/>
    <e v="#NAME?"/>
    <e v="#NAME?"/>
    <e v="#NAME?"/>
    <m/>
    <m/>
    <m/>
    <m/>
    <m/>
    <m/>
    <m/>
    <m/>
    <m/>
  </r>
  <r>
    <s v="CE71118"/>
    <s v="Erick Bermejo"/>
    <s v="RETAIL"/>
    <x v="21"/>
    <s v="Accenture"/>
    <e v="#NAME?"/>
    <x v="160"/>
    <n v="1"/>
    <s v="QA"/>
    <s v="Otras Tec."/>
    <m/>
    <e v="#NAME?"/>
    <e v="#NAME?"/>
    <e v="#NAME?"/>
    <m/>
    <m/>
    <m/>
    <m/>
    <m/>
    <m/>
    <m/>
    <m/>
    <m/>
  </r>
  <r>
    <s v="XEA0692"/>
    <s v="Esperanza Ortega"/>
    <s v="RETAIL"/>
    <x v="21"/>
    <s v="Accenture"/>
    <e v="#NAME?"/>
    <x v="160"/>
    <n v="1"/>
    <s v="Desarrollador"/>
    <s v="Cells"/>
    <m/>
    <e v="#NAME?"/>
    <e v="#NAME?"/>
    <e v="#NAME?"/>
    <m/>
    <m/>
    <m/>
    <m/>
    <m/>
    <m/>
    <m/>
    <m/>
    <m/>
  </r>
  <r>
    <s v="CE67849"/>
    <s v="Henry Cortes"/>
    <s v="RETAIL"/>
    <x v="21"/>
    <s v="Accenture"/>
    <e v="#NAME?"/>
    <x v="160"/>
    <n v="1"/>
    <s v="Desarrollador"/>
    <s v="Cells"/>
    <m/>
    <e v="#NAME?"/>
    <e v="#NAME?"/>
    <e v="#NAME?"/>
    <m/>
    <m/>
    <m/>
    <m/>
    <m/>
    <m/>
    <m/>
    <m/>
    <m/>
  </r>
  <r>
    <s v="CE69249"/>
    <s v="Hernan Gabriel Fernandez"/>
    <s v="RETAIL"/>
    <x v="21"/>
    <s v="Neoris"/>
    <e v="#NAME?"/>
    <x v="193"/>
    <n v="1"/>
    <s v="Desarrollador"/>
    <s v="ASO"/>
    <m/>
    <e v="#NAME?"/>
    <e v="#NAME?"/>
    <e v="#NAME?"/>
    <m/>
    <m/>
    <m/>
    <m/>
    <m/>
    <m/>
    <m/>
    <m/>
    <m/>
  </r>
  <r>
    <s v="CE56568"/>
    <s v="Jesus Wellman"/>
    <s v="RETAIL"/>
    <x v="21"/>
    <s v="Novatec"/>
    <e v="#NAME?"/>
    <x v="193"/>
    <n v="1"/>
    <s v="Desarrollador"/>
    <s v="Mainframe"/>
    <m/>
    <e v="#NAME?"/>
    <e v="#NAME?"/>
    <e v="#NAME?"/>
    <m/>
    <m/>
    <m/>
    <m/>
    <m/>
    <m/>
    <m/>
    <m/>
    <m/>
  </r>
  <r>
    <s v="CE56092"/>
    <s v="Johan Sebastian Forero"/>
    <s v="RETAIL"/>
    <x v="21"/>
    <s v="GGI / CMC"/>
    <e v="#NAME?"/>
    <x v="160"/>
    <n v="1"/>
    <s v="QA"/>
    <s v="Otras Tec."/>
    <m/>
    <e v="#NAME?"/>
    <e v="#NAME?"/>
    <e v="#NAME?"/>
    <m/>
    <m/>
    <m/>
    <m/>
    <m/>
    <m/>
    <m/>
    <m/>
    <m/>
  </r>
  <r>
    <s v="CE53474"/>
    <s v="Josue David Fernandez Reyes"/>
    <s v="RETAIL"/>
    <x v="21"/>
    <s v="Neoris"/>
    <e v="#NAME?"/>
    <x v="160"/>
    <n v="0.75"/>
    <s v="Desarrollador"/>
    <s v="Mainframe"/>
    <m/>
    <e v="#NAME?"/>
    <e v="#NAME?"/>
    <e v="#NAME?"/>
    <m/>
    <m/>
    <m/>
    <m/>
    <m/>
    <m/>
    <m/>
    <m/>
    <m/>
  </r>
  <r>
    <s v="CE53474"/>
    <s v="Josue David Fernandez Reyes"/>
    <s v="RETAIL"/>
    <x v="21"/>
    <s v="Neoris"/>
    <e v="#NAME?"/>
    <x v="193"/>
    <n v="0.25"/>
    <s v="Desarrollador"/>
    <s v="Mainframe"/>
    <m/>
    <e v="#NAME?"/>
    <e v="#NAME?"/>
    <e v="#NAME?"/>
    <m/>
    <m/>
    <m/>
    <m/>
    <m/>
    <m/>
    <m/>
    <m/>
    <m/>
  </r>
  <r>
    <s v="CE65053"/>
    <s v="Juan David Rodriguez Ariza"/>
    <s v="RETAIL"/>
    <x v="21"/>
    <s v="Globant"/>
    <e v="#NAME?"/>
    <x v="160"/>
    <n v="1"/>
    <s v="Desarrollador"/>
    <s v="Cells"/>
    <m/>
    <e v="#NAME?"/>
    <e v="#NAME?"/>
    <e v="#NAME?"/>
    <m/>
    <m/>
    <m/>
    <m/>
    <m/>
    <m/>
    <m/>
    <m/>
    <m/>
  </r>
  <r>
    <s v="CE59993"/>
    <s v="Juan David Velasquez"/>
    <s v="RETAIL"/>
    <x v="21"/>
    <s v="Inetum"/>
    <e v="#NAME?"/>
    <x v="160"/>
    <n v="1"/>
    <s v="Desarrollador"/>
    <s v="Cells"/>
    <m/>
    <e v="#NAME?"/>
    <e v="#NAME?"/>
    <e v="#NAME?"/>
    <m/>
    <m/>
    <m/>
    <m/>
    <m/>
    <m/>
    <m/>
    <m/>
    <m/>
  </r>
  <r>
    <s v="CE47925"/>
    <s v="Karen Juliete Mahecha Rey"/>
    <s v="RETAIL"/>
    <x v="21"/>
    <s v="Neoris"/>
    <e v="#NAME?"/>
    <x v="160"/>
    <n v="0.75"/>
    <s v="Desarrollador"/>
    <s v="Mainframe"/>
    <m/>
    <e v="#NAME?"/>
    <e v="#NAME?"/>
    <e v="#NAME?"/>
    <m/>
    <m/>
    <m/>
    <m/>
    <m/>
    <m/>
    <m/>
    <m/>
    <m/>
  </r>
  <r>
    <s v="CE47925"/>
    <s v="Karen Juliete Mahecha Rey"/>
    <s v="RETAIL"/>
    <x v="21"/>
    <s v="Neoris"/>
    <e v="#NAME?"/>
    <x v="193"/>
    <n v="0.25"/>
    <s v="Desarrollador"/>
    <s v="Mainframe"/>
    <m/>
    <e v="#NAME?"/>
    <e v="#NAME?"/>
    <e v="#NAME?"/>
    <m/>
    <m/>
    <m/>
    <m/>
    <m/>
    <m/>
    <m/>
    <m/>
    <m/>
  </r>
  <r>
    <s v="CE70650"/>
    <s v="Karol Melissa Gómez Colmenares"/>
    <s v="RETAIL"/>
    <x v="21"/>
    <s v="Neoris"/>
    <e v="#NAME?"/>
    <x v="160"/>
    <n v="1"/>
    <s v="QA"/>
    <s v="Otras Tec."/>
    <m/>
    <e v="#NAME?"/>
    <e v="#NAME?"/>
    <e v="#NAME?"/>
    <m/>
    <m/>
    <m/>
    <m/>
    <m/>
    <m/>
    <m/>
    <m/>
    <m/>
  </r>
  <r>
    <s v="CE63473"/>
    <s v="Katherine Santana"/>
    <s v="RETAIL"/>
    <x v="21"/>
    <s v="SII"/>
    <e v="#NAME?"/>
    <x v="160"/>
    <n v="1"/>
    <s v="QA"/>
    <s v="Otras Tec."/>
    <m/>
    <e v="#NAME?"/>
    <e v="#NAME?"/>
    <e v="#NAME?"/>
    <m/>
    <m/>
    <m/>
    <m/>
    <m/>
    <m/>
    <m/>
    <m/>
    <m/>
  </r>
  <r>
    <s v="T000595"/>
    <s v="Laura Milena Duarte"/>
    <s v="RETAIL"/>
    <x v="21"/>
    <s v="Novatec"/>
    <e v="#NAME?"/>
    <x v="193"/>
    <n v="1"/>
    <s v="Desarrollador"/>
    <s v="Mainframe"/>
    <m/>
    <e v="#NAME?"/>
    <e v="#NAME?"/>
    <e v="#NAME?"/>
    <m/>
    <m/>
    <m/>
    <m/>
    <m/>
    <m/>
    <m/>
    <m/>
    <m/>
  </r>
  <r>
    <s v="CE67221"/>
    <s v="LAURA STEFANY ROMERO TRUJILLO"/>
    <s v="RETAIL"/>
    <x v="21"/>
    <s v="Neoris"/>
    <e v="#NAME?"/>
    <x v="160"/>
    <n v="1"/>
    <s v="Desarrollador"/>
    <s v="Cells"/>
    <m/>
    <e v="#NAME?"/>
    <e v="#NAME?"/>
    <e v="#NAME?"/>
    <m/>
    <m/>
    <m/>
    <m/>
    <m/>
    <m/>
    <m/>
    <m/>
    <m/>
  </r>
  <r>
    <s v="CE64988"/>
    <s v="Levi Becerra"/>
    <s v="RETAIL"/>
    <x v="21"/>
    <s v="Accenture"/>
    <e v="#NAME?"/>
    <x v="160"/>
    <n v="0.5"/>
    <s v="Desarrollador"/>
    <s v="Mainframe"/>
    <m/>
    <e v="#NAME?"/>
    <e v="#NAME?"/>
    <e v="#NAME?"/>
    <m/>
    <m/>
    <m/>
    <m/>
    <m/>
    <m/>
    <m/>
    <m/>
    <m/>
  </r>
  <r>
    <s v="T007048"/>
    <s v="Mario Perilla"/>
    <s v="RETAIL"/>
    <x v="21"/>
    <s v="Accenture"/>
    <e v="#NAME?"/>
    <x v="160"/>
    <n v="1"/>
    <s v="QA"/>
    <s v="Otras Tec."/>
    <m/>
    <e v="#NAME?"/>
    <e v="#NAME?"/>
    <e v="#NAME?"/>
    <m/>
    <m/>
    <m/>
    <m/>
    <m/>
    <m/>
    <m/>
    <m/>
    <m/>
  </r>
  <r>
    <s v="CE66364"/>
    <s v="Martin Theiler"/>
    <s v="RETAIL"/>
    <x v="21"/>
    <s v="Globant"/>
    <e v="#NAME?"/>
    <x v="160"/>
    <n v="1"/>
    <s v="Desarrollador"/>
    <s v="ASO"/>
    <m/>
    <e v="#NAME?"/>
    <e v="#NAME?"/>
    <e v="#NAME?"/>
    <m/>
    <m/>
    <m/>
    <m/>
    <m/>
    <m/>
    <m/>
    <m/>
    <m/>
  </r>
  <r>
    <s v="CE55340"/>
    <s v="Miller Gomez"/>
    <s v="RETAIL"/>
    <x v="21"/>
    <s v="SII"/>
    <e v="#NAME?"/>
    <x v="160"/>
    <n v="0.5"/>
    <s v="Desarrollador"/>
    <s v="Mainframe"/>
    <m/>
    <e v="#NAME?"/>
    <e v="#NAME?"/>
    <e v="#NAME?"/>
    <m/>
    <m/>
    <m/>
    <m/>
    <m/>
    <m/>
    <m/>
    <m/>
    <m/>
  </r>
  <r>
    <s v="CE55340"/>
    <s v="Miller Gomez"/>
    <s v="RETAIL"/>
    <x v="21"/>
    <s v="SII"/>
    <e v="#NAME?"/>
    <x v="193"/>
    <n v="0.5"/>
    <s v="Desarrollador"/>
    <s v="Mainframe"/>
    <m/>
    <e v="#NAME?"/>
    <e v="#NAME?"/>
    <e v="#NAME?"/>
    <m/>
    <m/>
    <m/>
    <m/>
    <m/>
    <m/>
    <m/>
    <m/>
    <m/>
  </r>
  <r>
    <s v="CE70907"/>
    <s v="Nicolas Bedoya Montealegre"/>
    <s v="RETAIL"/>
    <x v="21"/>
    <s v="Neoris"/>
    <e v="#NAME?"/>
    <x v="193"/>
    <n v="1"/>
    <s v="Desarrollador"/>
    <s v="ASO"/>
    <m/>
    <e v="#NAME?"/>
    <e v="#NAME?"/>
    <e v="#NAME?"/>
    <m/>
    <m/>
    <m/>
    <m/>
    <m/>
    <m/>
    <m/>
    <m/>
    <m/>
  </r>
  <r>
    <s v="CE61633"/>
    <s v="Nicolas Eduardo Loaiza"/>
    <s v="RETAIL"/>
    <x v="21"/>
    <s v="GGI / CMC"/>
    <e v="#NAME?"/>
    <x v="160"/>
    <n v="1"/>
    <s v="QA"/>
    <s v="Otras Tec."/>
    <m/>
    <e v="#NAME?"/>
    <e v="#NAME?"/>
    <e v="#NAME?"/>
    <m/>
    <m/>
    <m/>
    <m/>
    <m/>
    <m/>
    <m/>
    <m/>
    <m/>
  </r>
  <r>
    <s v="CE68502"/>
    <s v="Nydia Forero"/>
    <s v="RETAIL"/>
    <x v="21"/>
    <s v="SII"/>
    <e v="#NAME?"/>
    <x v="160"/>
    <n v="1"/>
    <s v="QA"/>
    <s v="Otras Tec."/>
    <m/>
    <e v="#NAME?"/>
    <e v="#NAME?"/>
    <e v="#NAME?"/>
    <m/>
    <m/>
    <m/>
    <m/>
    <m/>
    <m/>
    <m/>
    <m/>
    <m/>
  </r>
  <r>
    <s v="T000607"/>
    <s v="Oscar Andres Bernal Quiroz"/>
    <s v="RETAIL"/>
    <x v="21"/>
    <s v="Neoris"/>
    <e v="#NAME?"/>
    <x v="193"/>
    <n v="1"/>
    <s v="Desarrollador"/>
    <s v="Mainframe"/>
    <m/>
    <e v="#NAME?"/>
    <e v="#NAME?"/>
    <e v="#NAME?"/>
    <m/>
    <m/>
    <m/>
    <m/>
    <m/>
    <m/>
    <m/>
    <m/>
    <m/>
  </r>
  <r>
    <s v="CE70651"/>
    <s v="Oscar Freddy Roncancio Zea"/>
    <s v="RETAIL"/>
    <x v="21"/>
    <s v="Neoris"/>
    <e v="#NAME?"/>
    <x v="160"/>
    <n v="1"/>
    <s v="QA"/>
    <s v="Otras Tec."/>
    <m/>
    <e v="#NAME?"/>
    <e v="#NAME?"/>
    <e v="#NAME?"/>
    <m/>
    <m/>
    <m/>
    <m/>
    <m/>
    <m/>
    <m/>
    <m/>
    <m/>
  </r>
  <r>
    <s v="CE67312"/>
    <s v="Oscar Mauricio Lozano"/>
    <s v="RETAIL"/>
    <x v="21"/>
    <s v="GGI / CMC"/>
    <e v="#NAME?"/>
    <x v="193"/>
    <n v="1"/>
    <s v="QA"/>
    <s v="Otras Tec."/>
    <m/>
    <e v="#NAME?"/>
    <e v="#NAME?"/>
    <e v="#NAME?"/>
    <m/>
    <m/>
    <m/>
    <m/>
    <m/>
    <m/>
    <m/>
    <m/>
    <m/>
  </r>
  <r>
    <s v="CE47927"/>
    <s v="Rafael Eduardo Martinez Caceres"/>
    <s v="RETAIL"/>
    <x v="21"/>
    <s v="Neoris"/>
    <e v="#NAME?"/>
    <x v="160"/>
    <n v="0.5"/>
    <s v="Desarrollador"/>
    <s v="Mainframe"/>
    <m/>
    <e v="#NAME?"/>
    <e v="#NAME?"/>
    <e v="#NAME?"/>
    <m/>
    <m/>
    <m/>
    <m/>
    <m/>
    <m/>
    <m/>
    <m/>
    <m/>
  </r>
  <r>
    <s v="CE47927"/>
    <s v="Rafael Eduardo Martinez Caceres"/>
    <s v="RETAIL"/>
    <x v="21"/>
    <s v="Neoris"/>
    <e v="#NAME?"/>
    <x v="193"/>
    <n v="0.5"/>
    <s v="Desarrollador"/>
    <s v="Mainframe"/>
    <m/>
    <e v="#NAME?"/>
    <e v="#NAME?"/>
    <e v="#NAME?"/>
    <m/>
    <m/>
    <m/>
    <m/>
    <m/>
    <m/>
    <m/>
    <m/>
    <m/>
  </r>
  <r>
    <s v="T002010"/>
    <s v="Sair Giovanny Bejarano Garcia"/>
    <s v="RETAIL"/>
    <x v="21"/>
    <s v="Neoris"/>
    <e v="#NAME?"/>
    <x v="193"/>
    <n v="1"/>
    <s v="Desarrollador"/>
    <s v="APX"/>
    <m/>
    <e v="#NAME?"/>
    <e v="#NAME?"/>
    <e v="#NAME?"/>
    <m/>
    <m/>
    <m/>
    <m/>
    <m/>
    <m/>
    <m/>
    <m/>
    <m/>
  </r>
  <r>
    <s v="CE71170"/>
    <s v="Pedro Luis Melo Robayo"/>
    <s v="RETAIL"/>
    <x v="21"/>
    <s v="Novatec"/>
    <e v="#NAME?"/>
    <x v="193"/>
    <n v="1"/>
    <s v="Desarrollador"/>
    <s v="Mainframe"/>
    <s v="Externo"/>
    <e v="#NAME?"/>
    <e v="#NAME?"/>
    <e v="#NAME?"/>
    <m/>
    <m/>
    <m/>
    <m/>
    <m/>
    <m/>
    <m/>
    <m/>
    <m/>
  </r>
  <r>
    <s v="CE65214"/>
    <s v="Roger Arias"/>
    <s v="RETAIL"/>
    <x v="21"/>
    <s v="SII"/>
    <e v="#NAME?"/>
    <x v="160"/>
    <n v="1"/>
    <s v="Desarrollador"/>
    <s v="Cells"/>
    <m/>
    <e v="#NAME?"/>
    <e v="#NAME?"/>
    <e v="#NAME?"/>
    <m/>
    <m/>
    <m/>
    <m/>
    <m/>
    <m/>
    <m/>
    <m/>
    <m/>
  </r>
  <r>
    <s v="CE66579"/>
    <s v="Santiago Molina"/>
    <s v="RETAIL"/>
    <x v="21"/>
    <s v="GGI / CMC"/>
    <e v="#NAME?"/>
    <x v="160"/>
    <n v="1"/>
    <s v="QA"/>
    <s v="Cells"/>
    <m/>
    <e v="#NAME?"/>
    <e v="#NAME?"/>
    <e v="#NAME?"/>
    <m/>
    <m/>
    <m/>
    <m/>
    <m/>
    <m/>
    <m/>
    <m/>
    <m/>
  </r>
  <r>
    <s v="CE71120"/>
    <s v="Santiago Montoya"/>
    <s v="RETAIL"/>
    <x v="21"/>
    <s v="Accenture"/>
    <e v="#NAME?"/>
    <x v="160"/>
    <n v="1"/>
    <s v="Desarrollador"/>
    <s v="Cells"/>
    <m/>
    <e v="#NAME?"/>
    <e v="#NAME?"/>
    <e v="#NAME?"/>
    <m/>
    <m/>
    <m/>
    <m/>
    <m/>
    <m/>
    <m/>
    <m/>
    <m/>
  </r>
  <r>
    <s v="CE67850"/>
    <s v="Sergio Mercado"/>
    <s v="RETAIL"/>
    <x v="21"/>
    <s v="Accenture"/>
    <e v="#NAME?"/>
    <x v="160"/>
    <n v="1"/>
    <s v="QA"/>
    <s v="Cells"/>
    <m/>
    <e v="#NAME?"/>
    <e v="#NAME?"/>
    <e v="#NAME?"/>
    <m/>
    <m/>
    <m/>
    <m/>
    <m/>
    <m/>
    <m/>
    <m/>
    <m/>
  </r>
  <r>
    <s v="Pend"/>
    <s v="Stiven Carrillo"/>
    <s v="RETAIL"/>
    <x v="21"/>
    <s v="SII"/>
    <e v="#NAME?"/>
    <x v="193"/>
    <n v="1"/>
    <s v="Desarrollador"/>
    <s v="Cells"/>
    <m/>
    <e v="#NAME?"/>
    <e v="#NAME?"/>
    <e v="#NAME?"/>
    <m/>
    <m/>
    <m/>
    <m/>
    <m/>
    <m/>
    <m/>
    <m/>
    <m/>
  </r>
  <r>
    <s v="XP66159"/>
    <s v="ANDRES FELIPE GUTIERREZ BAÑOL"/>
    <s v="ENTERPRISE"/>
    <x v="3"/>
    <s v="Neoris"/>
    <e v="#NAME?"/>
    <x v="22"/>
    <n v="1"/>
    <s v="Desarrollador"/>
    <s v="APX"/>
    <m/>
    <e v="#NAME?"/>
    <e v="#NAME?"/>
    <e v="#NAME?"/>
    <m/>
    <m/>
    <m/>
    <m/>
    <m/>
    <m/>
    <m/>
    <m/>
    <m/>
  </r>
  <r>
    <s v="T009376"/>
    <s v="CESAR LEANDRO PESTANA ROMERO"/>
    <s v="ENTERPRISE"/>
    <x v="3"/>
    <s v="Novatec"/>
    <e v="#NAME?"/>
    <x v="22"/>
    <n v="1"/>
    <s v="Desarrollador"/>
    <s v="Mainframe"/>
    <m/>
    <e v="#NAME?"/>
    <e v="#NAME?"/>
    <e v="#NAME?"/>
    <m/>
    <m/>
    <m/>
    <m/>
    <m/>
    <m/>
    <m/>
    <m/>
    <m/>
  </r>
  <r>
    <s v="T002696"/>
    <s v="JEANN CARLOS SEQUEA MENDEZ "/>
    <s v="ENTERPRISE"/>
    <x v="3"/>
    <s v="Accenture"/>
    <e v="#NAME?"/>
    <x v="93"/>
    <n v="1"/>
    <s v="Desarrollador"/>
    <s v="Cells"/>
    <m/>
    <e v="#NAME?"/>
    <e v="#NAME?"/>
    <e v="#NAME?"/>
    <m/>
    <m/>
    <m/>
    <m/>
    <m/>
    <m/>
    <m/>
    <m/>
    <m/>
  </r>
  <r>
    <s v="T011814"/>
    <s v="JOHANA KATHERIN VASQUEZ QUEVEDO "/>
    <s v="ENTERPRISE"/>
    <x v="3"/>
    <s v="GGI / CMC"/>
    <e v="#NAME?"/>
    <x v="93"/>
    <n v="1"/>
    <s v="Desarrollador"/>
    <s v="Distribuido"/>
    <m/>
    <e v="#NAME?"/>
    <e v="#NAME?"/>
    <e v="#NAME?"/>
    <m/>
    <m/>
    <m/>
    <m/>
    <m/>
    <m/>
    <m/>
    <m/>
    <m/>
  </r>
  <r>
    <s v="CE70220"/>
    <s v="JULIAN FELIPE VEGA HERNANDEZ "/>
    <s v="ENTERPRISE"/>
    <x v="3"/>
    <s v="Accenture"/>
    <e v="#NAME?"/>
    <x v="93"/>
    <n v="1"/>
    <s v="Desarrollador"/>
    <s v="APX"/>
    <m/>
    <e v="#NAME?"/>
    <e v="#NAME?"/>
    <e v="#NAME?"/>
    <m/>
    <m/>
    <m/>
    <m/>
    <m/>
    <m/>
    <m/>
    <m/>
    <m/>
  </r>
  <r>
    <s v="CE67866"/>
    <s v="NATALIA ORTIZ MALDONADO "/>
    <s v="ENTERPRISE"/>
    <x v="3"/>
    <s v="Accenture"/>
    <e v="#NAME?"/>
    <x v="93"/>
    <n v="1"/>
    <s v="Desarrollador"/>
    <s v="ASO"/>
    <m/>
    <e v="#NAME?"/>
    <e v="#NAME?"/>
    <e v="#NAME?"/>
    <m/>
    <m/>
    <m/>
    <m/>
    <m/>
    <m/>
    <m/>
    <m/>
    <m/>
  </r>
  <r>
    <s v="CE69818"/>
    <s v="NICOLAS  MORENO AREVALO"/>
    <s v="ENTERPRISE"/>
    <x v="3"/>
    <s v="GGI / CMC"/>
    <e v="#NAME?"/>
    <x v="22"/>
    <n v="1"/>
    <s v="Desarrollador"/>
    <s v="Cells"/>
    <m/>
    <e v="#NAME?"/>
    <e v="#NAME?"/>
    <e v="#NAME?"/>
    <m/>
    <m/>
    <m/>
    <m/>
    <m/>
    <m/>
    <m/>
    <m/>
    <m/>
  </r>
  <r>
    <s v="CE59964"/>
    <s v="OSCAR YECID  SANCHEZ ZAMORA"/>
    <s v="ENTERPRISE"/>
    <x v="3"/>
    <s v="Neoris"/>
    <e v="#NAME?"/>
    <x v="22"/>
    <n v="1"/>
    <s v="Desarrollador"/>
    <s v="ASO"/>
    <m/>
    <e v="#NAME?"/>
    <e v="#NAME?"/>
    <e v="#NAME?"/>
    <m/>
    <m/>
    <m/>
    <m/>
    <m/>
    <m/>
    <m/>
    <m/>
    <m/>
  </r>
  <r>
    <s v="C809501"/>
    <s v="RONALD ANTONIO ROMERO MONSALVE"/>
    <s v="ENTERPRISE"/>
    <x v="3"/>
    <s v="BBVA"/>
    <e v="#NAME?"/>
    <x v="22"/>
    <n v="1"/>
    <s v="Desarrollador"/>
    <s v="Distribuido"/>
    <m/>
    <e v="#NAME?"/>
    <e v="#NAME?"/>
    <e v="#NAME?"/>
    <m/>
    <m/>
    <m/>
    <m/>
    <m/>
    <m/>
    <m/>
    <m/>
    <m/>
  </r>
  <r>
    <s v="CE68026"/>
    <s v="MIGUEL LEONARDO AVILA AREVALO"/>
    <s v="ENTERPRISE"/>
    <x v="3"/>
    <s v="GGI / CMC"/>
    <e v="#NAME?"/>
    <x v="93"/>
    <n v="1"/>
    <s v="QA"/>
    <s v="Distribuido"/>
    <m/>
    <e v="#NAME?"/>
    <e v="#NAME?"/>
    <e v="#NAME?"/>
    <m/>
    <m/>
    <m/>
    <m/>
    <m/>
    <m/>
    <m/>
    <m/>
    <m/>
  </r>
  <r>
    <s v="T009939"/>
    <s v="THALIA VALENTINA MANRIQUE BELLO"/>
    <s v="ENTERPRISE"/>
    <x v="3"/>
    <s v="Neoris"/>
    <e v="#NAME?"/>
    <x v="22"/>
    <n v="1"/>
    <s v="Desarrollador"/>
    <s v="APX"/>
    <m/>
    <e v="#NAME?"/>
    <e v="#NAME?"/>
    <e v="#NAME?"/>
    <m/>
    <m/>
    <m/>
    <m/>
    <m/>
    <m/>
    <m/>
    <m/>
    <m/>
  </r>
  <r>
    <s v="O000110"/>
    <s v="YINETH SANEY FRANCO HERNANDEZ "/>
    <s v="ENTERPRISE"/>
    <x v="3"/>
    <s v="BBVA"/>
    <e v="#NAME?"/>
    <x v="93"/>
    <n v="1"/>
    <s v="Desarrollador"/>
    <s v="ASO"/>
    <m/>
    <e v="#NAME?"/>
    <e v="#NAME?"/>
    <e v="#NAME?"/>
    <m/>
    <m/>
    <m/>
    <m/>
    <m/>
    <m/>
    <m/>
    <m/>
    <m/>
  </r>
  <r>
    <s v="T009396"/>
    <s v="ZULMA ZORAYA  PENAGOS TAVERA"/>
    <s v="ENTERPRISE"/>
    <x v="3"/>
    <s v="Novatec"/>
    <e v="#NAME?"/>
    <x v="22"/>
    <n v="1"/>
    <s v="Desarrollador"/>
    <s v="Mainframe"/>
    <m/>
    <e v="#NAME?"/>
    <e v="#NAME?"/>
    <e v="#NAME?"/>
    <m/>
    <m/>
    <m/>
    <m/>
    <m/>
    <m/>
    <m/>
    <m/>
    <m/>
  </r>
  <r>
    <s v="C811372"/>
    <s v="TORRES CASTILLO JOAN SEBASTIÁN"/>
    <s v="ENTERPRISE"/>
    <x v="17"/>
    <s v="BBVA"/>
    <e v="#NAME?"/>
    <x v="130"/>
    <n v="0.5"/>
    <s v="Desarrollador"/>
    <s v="Distribuido"/>
    <m/>
    <e v="#NAME?"/>
    <e v="#NAME?"/>
    <e v="#NAME?"/>
    <m/>
    <m/>
    <m/>
    <m/>
    <m/>
    <m/>
    <m/>
    <m/>
    <m/>
  </r>
  <r>
    <s v="C811372"/>
    <s v="TORRES CASTILLO JOAN SEBASTIÁN"/>
    <s v="ENTERPRISE"/>
    <x v="17"/>
    <s v="BBVA"/>
    <e v="#NAME?"/>
    <x v="212"/>
    <n v="0.5"/>
    <s v="Desarrollador"/>
    <s v="Distribuido"/>
    <m/>
    <e v="#NAME?"/>
    <e v="#NAME?"/>
    <e v="#NAME?"/>
    <m/>
    <m/>
    <m/>
    <m/>
    <m/>
    <m/>
    <m/>
    <m/>
    <m/>
  </r>
  <r>
    <s v="CE66039"/>
    <s v="OCAMPO RODRIGUEZ JOHN JAILER"/>
    <s v="ENTERPRISE"/>
    <x v="17"/>
    <s v="GGI / CMC"/>
    <e v="#NAME?"/>
    <x v="212"/>
    <n v="1"/>
    <s v="Desarrollador"/>
    <s v="Distribuido"/>
    <m/>
    <e v="#NAME?"/>
    <e v="#NAME?"/>
    <e v="#NAME?"/>
    <m/>
    <m/>
    <m/>
    <m/>
    <m/>
    <m/>
    <m/>
    <m/>
    <m/>
  </r>
  <r>
    <s v="C804101"/>
    <s v="FUQUENE CONTRERAS ADRIANA"/>
    <s v="ENTERPRISE"/>
    <x v="17"/>
    <s v="BBVA"/>
    <e v="#NAME?"/>
    <x v="212"/>
    <n v="0.5"/>
    <s v="Tech Manager/Líder"/>
    <s v="Distribuido"/>
    <m/>
    <e v="#NAME?"/>
    <e v="#NAME?"/>
    <e v="#NAME?"/>
    <m/>
    <m/>
    <m/>
    <m/>
    <m/>
    <m/>
    <m/>
    <m/>
    <m/>
  </r>
  <r>
    <s v="C804101"/>
    <s v="FUQUENE CONTRERAS ADRIANA"/>
    <s v="ENTERPRISE"/>
    <x v="17"/>
    <s v="BBVA"/>
    <e v="#NAME?"/>
    <x v="131"/>
    <n v="0.25"/>
    <s v="Tech Manager/Líder"/>
    <s v="Distribuido"/>
    <m/>
    <e v="#NAME?"/>
    <e v="#NAME?"/>
    <e v="#NAME?"/>
    <m/>
    <m/>
    <m/>
    <m/>
    <m/>
    <m/>
    <m/>
    <m/>
    <m/>
  </r>
  <r>
    <s v="C804101"/>
    <s v="FUQUENE CONTRERAS ADRIANA"/>
    <s v="ENTERPRISE"/>
    <x v="17"/>
    <s v="BBVA"/>
    <e v="#NAME?"/>
    <x v="130"/>
    <n v="0.25"/>
    <s v="Tech Manager/Líder"/>
    <s v="Distribuido"/>
    <m/>
    <e v="#NAME?"/>
    <e v="#NAME?"/>
    <e v="#NAME?"/>
    <m/>
    <m/>
    <m/>
    <m/>
    <m/>
    <m/>
    <m/>
    <m/>
    <m/>
  </r>
  <r>
    <s v="C810885"/>
    <s v="GARCIA HERRERA MONICA LILIANA"/>
    <s v="ENTERPRISE"/>
    <x v="17"/>
    <s v="BBVA"/>
    <e v="#NAME?"/>
    <x v="15"/>
    <n v="0.25"/>
    <s v="Tech Manager/Líder"/>
    <m/>
    <m/>
    <e v="#NAME?"/>
    <e v="#NAME?"/>
    <e v="#NAME?"/>
    <m/>
    <m/>
    <m/>
    <m/>
    <m/>
    <m/>
    <m/>
    <m/>
    <m/>
  </r>
  <r>
    <s v="C810885"/>
    <s v="GARCIA HERRERA MONICA LILIANA"/>
    <s v="ENTERPRISE"/>
    <x v="17"/>
    <s v="BBVA"/>
    <e v="#NAME?"/>
    <x v="130"/>
    <n v="0.25"/>
    <s v="Tech Manager/Líder"/>
    <m/>
    <m/>
    <e v="#NAME?"/>
    <e v="#NAME?"/>
    <e v="#NAME?"/>
    <m/>
    <m/>
    <m/>
    <m/>
    <m/>
    <m/>
    <m/>
    <m/>
    <m/>
  </r>
  <r>
    <s v="C810885"/>
    <s v="GARCIA HERRERA MONICA LILIANA"/>
    <s v="ENTERPRISE"/>
    <x v="17"/>
    <s v="BBVA"/>
    <e v="#NAME?"/>
    <x v="147"/>
    <n v="0.5"/>
    <s v="Tech Manager/Líder"/>
    <m/>
    <m/>
    <e v="#NAME?"/>
    <e v="#NAME?"/>
    <e v="#NAME?"/>
    <m/>
    <m/>
    <m/>
    <m/>
    <m/>
    <m/>
    <m/>
    <m/>
    <m/>
  </r>
  <r>
    <s v="CE65938"/>
    <s v="AREVALO MORENO DEINA ALEJANDRA"/>
    <s v="ENTERPRISE"/>
    <x v="17"/>
    <s v="GGI / CMC"/>
    <e v="#NAME?"/>
    <x v="212"/>
    <n v="1"/>
    <s v="Desarrollador"/>
    <s v="Distribuido"/>
    <m/>
    <e v="#NAME?"/>
    <e v="#NAME?"/>
    <e v="#NAME?"/>
    <m/>
    <m/>
    <m/>
    <m/>
    <m/>
    <m/>
    <m/>
    <m/>
    <m/>
  </r>
  <r>
    <s v="T006284"/>
    <s v="ROMERO LITSY DAYANA"/>
    <s v="ENTERPRISE"/>
    <x v="17"/>
    <s v="GGI / CMC"/>
    <e v="#NAME?"/>
    <x v="212"/>
    <n v="1"/>
    <s v="QA"/>
    <s v="Distribuido"/>
    <m/>
    <e v="#NAME?"/>
    <e v="#NAME?"/>
    <e v="#NAME?"/>
    <m/>
    <m/>
    <m/>
    <m/>
    <m/>
    <m/>
    <m/>
    <m/>
    <m/>
  </r>
  <r>
    <s v="T011667"/>
    <s v="MARTINEZ RODRIGUEZ ENRIQUE"/>
    <s v="ENTERPRISE"/>
    <x v="17"/>
    <s v="GGI / CMC"/>
    <e v="#NAME?"/>
    <x v="212"/>
    <n v="1"/>
    <s v="Desarrollador"/>
    <s v="Distribuido"/>
    <m/>
    <e v="#NAME?"/>
    <e v="#NAME?"/>
    <e v="#NAME?"/>
    <m/>
    <m/>
    <m/>
    <m/>
    <m/>
    <m/>
    <m/>
    <m/>
    <m/>
  </r>
  <r>
    <s v="C811005"/>
    <s v="OTALORA LEIVA LUIS FERNANDO"/>
    <s v="ENTERPRISE"/>
    <x v="17"/>
    <s v="BBVA"/>
    <e v="#NAME?"/>
    <x v="131"/>
    <n v="0.75"/>
    <s v="Desarrollador"/>
    <s v="Distribuido"/>
    <m/>
    <e v="#NAME?"/>
    <e v="#NAME?"/>
    <e v="#NAME?"/>
    <m/>
    <m/>
    <m/>
    <m/>
    <m/>
    <m/>
    <m/>
    <m/>
    <m/>
  </r>
  <r>
    <s v="C811005"/>
    <s v="OTALORA LEIVA LUIS FERNANDO"/>
    <s v="ENTERPRISE"/>
    <x v="17"/>
    <s v="BBVA"/>
    <e v="#NAME?"/>
    <x v="130"/>
    <n v="0.25"/>
    <s v="Desarrollador"/>
    <s v="Mainframe"/>
    <m/>
    <e v="#NAME?"/>
    <e v="#NAME?"/>
    <e v="#NAME?"/>
    <m/>
    <m/>
    <m/>
    <m/>
    <m/>
    <m/>
    <m/>
    <m/>
    <m/>
  </r>
  <r>
    <s v="C810684"/>
    <s v="CACERES CRISTANCHO JUAN SEBASTIAN"/>
    <s v="ENTERPRISE"/>
    <x v="17"/>
    <s v="BBVA"/>
    <e v="#NAME?"/>
    <x v="130"/>
    <n v="1"/>
    <s v="Desarrollador"/>
    <s v="Distribuido"/>
    <m/>
    <e v="#NAME?"/>
    <e v="#NAME?"/>
    <e v="#NAME?"/>
    <m/>
    <m/>
    <m/>
    <m/>
    <m/>
    <m/>
    <m/>
    <m/>
    <m/>
  </r>
  <r>
    <s v="CE66581"/>
    <s v="POLANCO DANIEL LEONARDO"/>
    <s v="ENTERPRISE"/>
    <x v="17"/>
    <s v="GGI / CMC"/>
    <e v="#NAME?"/>
    <x v="130"/>
    <n v="1"/>
    <s v="QA"/>
    <s v="Distribuido"/>
    <m/>
    <e v="#NAME?"/>
    <e v="#NAME?"/>
    <e v="#NAME?"/>
    <m/>
    <m/>
    <m/>
    <m/>
    <m/>
    <m/>
    <m/>
    <m/>
    <m/>
  </r>
  <r>
    <s v="T003697"/>
    <s v="BALLEN GAMBOA CRISTIAN"/>
    <s v="ENTERPRISE"/>
    <x v="17"/>
    <s v="GGI / CMC"/>
    <e v="#NAME?"/>
    <x v="131"/>
    <n v="1"/>
    <s v="Desarrollador"/>
    <s v="Distribuido"/>
    <m/>
    <e v="#NAME?"/>
    <e v="#NAME?"/>
    <e v="#NAME?"/>
    <m/>
    <m/>
    <m/>
    <m/>
    <m/>
    <m/>
    <m/>
    <m/>
    <m/>
  </r>
  <r>
    <s v="CE65226"/>
    <s v="AMAYA CAMPOS SANTIAGO"/>
    <s v="ENTERPRISE"/>
    <x v="17"/>
    <s v="GGI / CMC"/>
    <e v="#NAME?"/>
    <x v="131"/>
    <n v="0.5"/>
    <s v="Desarrollador"/>
    <s v="ASO"/>
    <m/>
    <e v="#NAME?"/>
    <e v="#NAME?"/>
    <e v="#NAME?"/>
    <m/>
    <m/>
    <m/>
    <m/>
    <m/>
    <m/>
    <m/>
    <m/>
    <m/>
  </r>
  <r>
    <s v="CE65226"/>
    <s v="AMAYA CAMPOS SANTIAGO"/>
    <s v="ENTERPRISE"/>
    <x v="17"/>
    <s v="GGI / CMC"/>
    <e v="#NAME?"/>
    <x v="130"/>
    <n v="0.5"/>
    <s v="Desarrollador"/>
    <s v="APX"/>
    <m/>
    <e v="#NAME?"/>
    <e v="#NAME?"/>
    <e v="#NAME?"/>
    <m/>
    <m/>
    <m/>
    <m/>
    <m/>
    <m/>
    <m/>
    <m/>
    <m/>
  </r>
  <r>
    <s v="O002003"/>
    <s v="MORENO ANGEL HEYDEN AUGUSTO"/>
    <s v="ENTERPRISE"/>
    <x v="17"/>
    <s v="BBVA"/>
    <e v="#NAME?"/>
    <x v="131"/>
    <n v="1"/>
    <s v="Desarrollador"/>
    <s v="Distribuido"/>
    <m/>
    <e v="#NAME?"/>
    <e v="#NAME?"/>
    <e v="#NAME?"/>
    <m/>
    <m/>
    <m/>
    <m/>
    <m/>
    <m/>
    <m/>
    <m/>
    <m/>
  </r>
  <r>
    <s v="T009653"/>
    <s v="MEJIA PAULA VALENTINA"/>
    <s v="ENTERPRISE"/>
    <x v="17"/>
    <s v="GGI / CMC"/>
    <e v="#NAME?"/>
    <x v="131"/>
    <n v="1"/>
    <s v="QA"/>
    <s v="Distribuido"/>
    <m/>
    <e v="#NAME?"/>
    <e v="#NAME?"/>
    <e v="#NAME?"/>
    <m/>
    <m/>
    <m/>
    <m/>
    <m/>
    <m/>
    <m/>
    <m/>
    <m/>
  </r>
  <r>
    <s v="CE58814"/>
    <s v="PINZON VANEGAS MIGUEL ANGEL"/>
    <s v="ENTERPRISE"/>
    <x v="17"/>
    <s v="Inetum"/>
    <e v="#NAME?"/>
    <x v="130"/>
    <n v="1"/>
    <s v="Desarrollador"/>
    <s v="Mainframe"/>
    <m/>
    <e v="#NAME?"/>
    <e v="#NAME?"/>
    <e v="#NAME?"/>
    <m/>
    <m/>
    <m/>
    <m/>
    <m/>
    <m/>
    <m/>
    <m/>
    <m/>
  </r>
  <r>
    <s v="T007566"/>
    <s v="PINEDA GALLEGO ZAMIR ALEJANDRO"/>
    <s v="ENTERPRISE"/>
    <x v="17"/>
    <s v="Inetum"/>
    <e v="#NAME?"/>
    <x v="130"/>
    <n v="1"/>
    <s v="Desarrollador"/>
    <s v="APX"/>
    <m/>
    <e v="#NAME?"/>
    <e v="#NAME?"/>
    <e v="#NAME?"/>
    <m/>
    <m/>
    <m/>
    <m/>
    <m/>
    <m/>
    <m/>
    <m/>
    <m/>
  </r>
  <r>
    <s v="T007886"/>
    <s v="SILVA ROMERO JULIAN DAVID"/>
    <s v="ENTERPRISE"/>
    <x v="17"/>
    <s v="Inetum"/>
    <e v="#NAME?"/>
    <x v="130"/>
    <n v="1"/>
    <s v="Desarrollador"/>
    <s v="APX"/>
    <m/>
    <e v="#NAME?"/>
    <e v="#NAME?"/>
    <e v="#NAME?"/>
    <m/>
    <m/>
    <m/>
    <m/>
    <m/>
    <m/>
    <m/>
    <m/>
    <m/>
  </r>
  <r>
    <s v="CE66910"/>
    <s v="PENAGOS JULIO CESAR"/>
    <s v="ENTERPRISE"/>
    <x v="17"/>
    <s v="GGI / CMC"/>
    <e v="#NAME?"/>
    <x v="130"/>
    <n v="1"/>
    <s v="Desarrollador"/>
    <s v="ASO"/>
    <m/>
    <e v="#NAME?"/>
    <e v="#NAME?"/>
    <e v="#NAME?"/>
    <m/>
    <m/>
    <m/>
    <m/>
    <m/>
    <m/>
    <m/>
    <m/>
    <m/>
  </r>
  <r>
    <s v="CE61320"/>
    <s v="CASTILLO ALONSO GILBERTO"/>
    <s v="ENTERPRISE"/>
    <x v="17"/>
    <s v="Novatec"/>
    <e v="#NAME?"/>
    <x v="130"/>
    <n v="1"/>
    <s v="Desarrollador"/>
    <s v="ASO"/>
    <m/>
    <e v="#NAME?"/>
    <e v="#NAME?"/>
    <e v="#NAME?"/>
    <m/>
    <m/>
    <m/>
    <m/>
    <m/>
    <m/>
    <m/>
    <m/>
    <m/>
  </r>
  <r>
    <s v="CE66764"/>
    <s v="FORERO RUIZ JOSE ANTONIO"/>
    <s v="ENTERPRISE"/>
    <x v="17"/>
    <s v="GGI / CMC"/>
    <e v="#NAME?"/>
    <x v="130"/>
    <n v="1"/>
    <s v="Desarrollador"/>
    <s v="Cells"/>
    <m/>
    <e v="#NAME?"/>
    <e v="#NAME?"/>
    <e v="#NAME?"/>
    <m/>
    <m/>
    <m/>
    <m/>
    <m/>
    <m/>
    <m/>
    <m/>
    <m/>
  </r>
  <r>
    <s v="CE70407"/>
    <s v="BARRIOS ASPRILLA BREINER I"/>
    <s v="ENTERPRISE"/>
    <x v="17"/>
    <s v="KRYPTO"/>
    <e v="#NAME?"/>
    <x v="3"/>
    <n v="1"/>
    <s v="Otros"/>
    <s v="Distribuido"/>
    <m/>
    <e v="#NAME?"/>
    <e v="#NAME?"/>
    <e v="#NAME?"/>
    <m/>
    <m/>
    <m/>
    <m/>
    <m/>
    <m/>
    <m/>
    <m/>
    <m/>
  </r>
  <r>
    <s v="T005929"/>
    <s v="CAVIEDES JIMENEZ JULIAN FELIPE"/>
    <s v="ENTERPRISE"/>
    <x v="17"/>
    <s v="GGI / CMC"/>
    <e v="#NAME?"/>
    <x v="3"/>
    <n v="1"/>
    <s v="Otros"/>
    <s v="Distribuido"/>
    <m/>
    <e v="#NAME?"/>
    <e v="#NAME?"/>
    <e v="#NAME?"/>
    <m/>
    <m/>
    <m/>
    <m/>
    <m/>
    <m/>
    <m/>
    <m/>
    <m/>
  </r>
  <r>
    <s v="CE51848"/>
    <s v="GORDO BELTRAN DANIEL FERNANDO"/>
    <s v="ENTERPRISE"/>
    <x v="17"/>
    <s v="Inetum"/>
    <e v="#NAME?"/>
    <x v="3"/>
    <n v="0.5"/>
    <s v="Otros"/>
    <s v="Distribuido"/>
    <m/>
    <e v="#NAME?"/>
    <e v="#NAME?"/>
    <e v="#NAME?"/>
    <m/>
    <m/>
    <m/>
    <m/>
    <m/>
    <m/>
    <m/>
    <m/>
    <m/>
  </r>
  <r>
    <s v="T004335"/>
    <s v="MANCIPE JUAN DAVID"/>
    <s v="ENTERPRISE"/>
    <x v="17"/>
    <s v="GGI / CMC"/>
    <e v="#NAME?"/>
    <x v="130"/>
    <n v="1"/>
    <s v="Desarrollador"/>
    <s v="Cells"/>
    <m/>
    <e v="#NAME?"/>
    <e v="#NAME?"/>
    <e v="#NAME?"/>
    <m/>
    <m/>
    <m/>
    <m/>
    <m/>
    <m/>
    <m/>
    <m/>
    <m/>
  </r>
  <r>
    <s v="CI08666"/>
    <s v="Jorge Anibal Blanco Meneses"/>
    <s v="CIB &amp; COMEX - FIDUCIARIA"/>
    <x v="18"/>
    <s v="BBVA Fiduciaria"/>
    <e v="#NAME?"/>
    <x v="3"/>
    <n v="0.4"/>
    <s v="Tech Manager/Líder"/>
    <m/>
    <s v="Interno"/>
    <e v="#NAME?"/>
    <e v="#NAME?"/>
    <e v="#NAME?"/>
    <m/>
    <m/>
    <m/>
    <m/>
    <m/>
    <m/>
    <m/>
    <m/>
    <m/>
  </r>
  <r>
    <s v="CE34456"/>
    <s v="JOHN EDUAR LUNA SANCHEZ"/>
    <s v="CIB &amp; COMEX - FIDUCIARIA"/>
    <x v="16"/>
    <s v="GGI / CMC"/>
    <e v="#NAME?"/>
    <x v="146"/>
    <n v="0.25"/>
    <s v="QA"/>
    <s v="Otras Tec."/>
    <m/>
    <e v="#NAME?"/>
    <e v="#NAME?"/>
    <e v="#NAME?"/>
    <m/>
    <m/>
    <m/>
    <m/>
    <m/>
    <m/>
    <m/>
    <m/>
    <m/>
  </r>
  <r>
    <s v="CE34456"/>
    <s v="JOHN EDUAR LUNA SANCHEZ"/>
    <s v="CIB &amp; COMEX - FIDUCIARIA"/>
    <x v="16"/>
    <s v="GGI / CMC"/>
    <e v="#NAME?"/>
    <x v="143"/>
    <n v="0.25"/>
    <s v="QA"/>
    <s v="Otras Tec."/>
    <m/>
    <e v="#NAME?"/>
    <e v="#NAME?"/>
    <e v="#NAME?"/>
    <m/>
    <m/>
    <m/>
    <m/>
    <m/>
    <m/>
    <m/>
    <m/>
    <m/>
  </r>
  <r>
    <s v="CE34456"/>
    <s v="JOHN EDUAR LUNA SANCHEZ"/>
    <s v="CIB &amp; COMEX - FIDUCIARIA"/>
    <x v="16"/>
    <s v="GGI / CMC"/>
    <e v="#NAME?"/>
    <x v="3"/>
    <n v="0.5"/>
    <s v="QA"/>
    <s v="Otras Tec."/>
    <m/>
    <e v="#NAME?"/>
    <e v="#NAME?"/>
    <e v="#NAME?"/>
    <m/>
    <m/>
    <m/>
    <m/>
    <m/>
    <m/>
    <m/>
    <m/>
    <m/>
  </r>
  <r>
    <s v="CE41784"/>
    <s v="JORGE HUMBERTO MARTINEZ MARIN"/>
    <s v="CIB &amp; COMEX - FIDUCIARIA"/>
    <x v="16"/>
    <s v="Novatec"/>
    <e v="#NAME?"/>
    <x v="145"/>
    <n v="1"/>
    <s v="Desarrollador"/>
    <s v="Mainframe"/>
    <m/>
    <e v="#NAME?"/>
    <e v="#NAME?"/>
    <e v="#NAME?"/>
    <m/>
    <m/>
    <m/>
    <m/>
    <m/>
    <m/>
    <m/>
    <m/>
    <m/>
  </r>
  <r>
    <s v="CE57264"/>
    <s v="LUCIO RAMIRO TAPIA VARGAS"/>
    <s v="CIB &amp; COMEX - FIDUCIARIA"/>
    <x v="16"/>
    <s v="Novatec"/>
    <e v="#NAME?"/>
    <x v="145"/>
    <n v="1"/>
    <s v="Desarrollador"/>
    <s v="Mainframe"/>
    <m/>
    <e v="#NAME?"/>
    <e v="#NAME?"/>
    <e v="#NAME?"/>
    <m/>
    <m/>
    <m/>
    <m/>
    <m/>
    <m/>
    <m/>
    <m/>
    <m/>
  </r>
  <r>
    <s v="T007049"/>
    <s v="ALVARO ARENAS SANCHEZ"/>
    <s v="CIB &amp; COMEX - FIDUCIARIA"/>
    <x v="16"/>
    <s v="Accenture"/>
    <e v="#NAME?"/>
    <x v="3"/>
    <n v="1"/>
    <s v="Desarrollador"/>
    <s v="Distribuido"/>
    <m/>
    <e v="#NAME?"/>
    <e v="#NAME?"/>
    <e v="#NAME?"/>
    <m/>
    <m/>
    <m/>
    <m/>
    <m/>
    <m/>
    <m/>
    <m/>
    <m/>
  </r>
  <r>
    <s v="CE69613"/>
    <s v="MARTÍN RODRIGUEZ"/>
    <s v="CIB &amp; COMEX - FIDUCIARIA"/>
    <x v="16"/>
    <s v="Accenture"/>
    <e v="#NAME?"/>
    <x v="137"/>
    <n v="0.2"/>
    <s v="Desarrollador"/>
    <s v="Distribuido"/>
    <m/>
    <e v="#NAME?"/>
    <e v="#NAME?"/>
    <e v="#NAME?"/>
    <m/>
    <m/>
    <m/>
    <m/>
    <m/>
    <m/>
    <m/>
    <m/>
    <m/>
  </r>
  <r>
    <s v="CE67315"/>
    <s v="YEFERSON OCHOA"/>
    <s v="CIB &amp; COMEX - FIDUCIARIA"/>
    <x v="16"/>
    <s v="Accenture"/>
    <e v="#NAME?"/>
    <x v="137"/>
    <n v="0.2"/>
    <s v="Desarrollador"/>
    <s v="Distribuido"/>
    <m/>
    <e v="#NAME?"/>
    <e v="#NAME?"/>
    <e v="#NAME?"/>
    <m/>
    <m/>
    <m/>
    <m/>
    <m/>
    <m/>
    <m/>
    <m/>
    <m/>
  </r>
  <r>
    <s v="T003696"/>
    <s v="LUIS LOZANO"/>
    <s v="CIB &amp; COMEX - FIDUCIARIA"/>
    <x v="16"/>
    <s v="Accenture"/>
    <e v="#NAME?"/>
    <x v="137"/>
    <n v="0.2"/>
    <s v="Desarrollador"/>
    <s v="Distribuido"/>
    <m/>
    <e v="#NAME?"/>
    <e v="#NAME?"/>
    <e v="#NAME?"/>
    <m/>
    <m/>
    <m/>
    <m/>
    <m/>
    <m/>
    <m/>
    <m/>
    <m/>
  </r>
  <r>
    <s v="CE66251"/>
    <s v="SANTIAGO A SANTOS ESTRADA"/>
    <s v="CIB &amp; COMEX - FIDUCIARIA"/>
    <x v="16"/>
    <s v="GGI / CMC"/>
    <e v="#NAME?"/>
    <x v="3"/>
    <n v="0.5"/>
    <s v="QA"/>
    <s v="Distribuido"/>
    <m/>
    <e v="#NAME?"/>
    <e v="#NAME?"/>
    <e v="#NAME?"/>
    <m/>
    <m/>
    <m/>
    <m/>
    <m/>
    <m/>
    <m/>
    <m/>
    <m/>
  </r>
  <r>
    <s v="CE66251"/>
    <s v="BRIAN LEONARDO PEREZ RUBIANO"/>
    <s v="CIB &amp; COMEX - FIDUCIARIA"/>
    <x v="16"/>
    <s v="GGI / CMC"/>
    <e v="#NAME?"/>
    <x v="3"/>
    <n v="0.5"/>
    <s v="QA"/>
    <s v="Distribuido"/>
    <m/>
    <e v="#NAME?"/>
    <e v="#NAME?"/>
    <e v="#NAME?"/>
    <m/>
    <m/>
    <m/>
    <m/>
    <m/>
    <m/>
    <m/>
    <m/>
    <m/>
  </r>
  <r>
    <s v="C811378"/>
    <s v="ANDRES FELIPE GOMEZ"/>
    <s v="CORE"/>
    <x v="27"/>
    <s v="BBVA"/>
    <e v="#NAME?"/>
    <x v="213"/>
    <n v="1"/>
    <s v="Desarrollador"/>
    <s v="ASO"/>
    <s v="[GDG] - Habilitador Gestor Documental EMC1"/>
    <e v="#NAME?"/>
    <e v="#NAME?"/>
    <e v="#NAME?"/>
    <m/>
    <m/>
    <m/>
    <m/>
    <m/>
    <e v="#REF!"/>
    <m/>
    <m/>
    <m/>
  </r>
  <r>
    <s v="O002144"/>
    <s v="JEISON EDUARDO HERNANDEZ"/>
    <s v="CORE"/>
    <x v="27"/>
    <s v="BBVA"/>
    <e v="#NAME?"/>
    <x v="213"/>
    <n v="1"/>
    <s v="Desarrollador"/>
    <s v="APX"/>
    <s v="[GDG] - Habilitador Gestor Documental EMC1"/>
    <e v="#NAME?"/>
    <e v="#NAME?"/>
    <e v="#NAME?"/>
    <m/>
    <m/>
    <m/>
    <m/>
    <m/>
    <n v="1"/>
    <m/>
    <m/>
    <m/>
  </r>
  <r>
    <s v="C804805"/>
    <s v="STEFANY CAROLINA MEDINA VILLADIENGO"/>
    <s v="CORE"/>
    <x v="27"/>
    <s v="BBVA"/>
    <e v="#NAME?"/>
    <x v="213"/>
    <n v="1"/>
    <s v="Desarrollador"/>
    <s v="APX"/>
    <s v="[GDG] - Habilitador Gestor Documental EMC1"/>
    <e v="#NAME?"/>
    <e v="#NAME?"/>
    <e v="#NAME?"/>
    <m/>
    <m/>
    <m/>
    <m/>
    <m/>
    <n v="1"/>
    <m/>
    <m/>
    <m/>
  </r>
  <r>
    <s v="O004614"/>
    <s v="ALEXANDER GONZALEZ PEÑA"/>
    <s v="CORE"/>
    <x v="27"/>
    <s v="BBVA"/>
    <e v="#NAME?"/>
    <x v="95"/>
    <n v="0.8"/>
    <s v="Desarrollador"/>
    <s v="Distribuido"/>
    <s v="[WIMEB] - Inclusión Extractos Producto de Valores"/>
    <e v="#NAME?"/>
    <e v="#NAME?"/>
    <e v="#NAME?"/>
    <m/>
    <m/>
    <m/>
    <m/>
    <m/>
    <n v="1"/>
    <m/>
    <m/>
    <m/>
  </r>
  <r>
    <s v="O004614"/>
    <s v="ALEXANDER GONZALEZ PEÑA"/>
    <s v="CORE"/>
    <x v="27"/>
    <s v="BBVA"/>
    <e v="#NAME?"/>
    <x v="3"/>
    <n v="0.1"/>
    <s v="Desarrollador"/>
    <s v="Distribuido"/>
    <s v="[WIMEB] - Soporte Produccion"/>
    <e v="#NAME?"/>
    <e v="#NAME?"/>
    <e v="#NAME?"/>
    <m/>
    <m/>
    <m/>
    <m/>
    <m/>
    <n v="0"/>
    <m/>
    <m/>
    <m/>
  </r>
  <r>
    <s v="O004614"/>
    <s v="ALEXANDER GONZALEZ PEÑA"/>
    <s v="CORE"/>
    <x v="27"/>
    <s v="BBVA"/>
    <e v="#NAME?"/>
    <x v="3"/>
    <n v="0.1"/>
    <s v="Desarrollador"/>
    <s v="Distribuido"/>
    <s v="[WIMEB] - Carta de bienvenida Libranza"/>
    <e v="#NAME?"/>
    <e v="#NAME?"/>
    <e v="#NAME?"/>
    <m/>
    <m/>
    <m/>
    <m/>
    <m/>
    <n v="0"/>
    <m/>
    <m/>
    <m/>
  </r>
  <r>
    <s v="C809712"/>
    <s v="MIGUEL ANGEL ALBARRACIN"/>
    <s v="CORE"/>
    <x v="27"/>
    <s v="BBVA"/>
    <e v="#NAME?"/>
    <x v="75"/>
    <n v="0.7"/>
    <s v="Desarrollador"/>
    <s v="ASO"/>
    <s v="[IDP] - COLWSBPE-115 - Definiciones a nivel técnico "/>
    <e v="#NAME?"/>
    <e v="#NAME?"/>
    <e v="#NAME?"/>
    <m/>
    <m/>
    <m/>
    <m/>
    <m/>
    <n v="1"/>
    <m/>
    <m/>
    <m/>
  </r>
  <r>
    <s v="C809712"/>
    <s v="MIGUEL ANGEL ALBARRACIN"/>
    <s v="CORE"/>
    <x v="27"/>
    <s v="BBVA"/>
    <e v="#NAME?"/>
    <x v="205"/>
    <n v="0.2"/>
    <s v="Desarrollador"/>
    <s v="Distribuido"/>
    <s v="[WIMEB] - Carta de bienvenida consumo"/>
    <e v="#NAME?"/>
    <e v="#NAME?"/>
    <e v="#NAME?"/>
    <m/>
    <m/>
    <m/>
    <m/>
    <m/>
    <n v="0"/>
    <m/>
    <m/>
    <m/>
  </r>
  <r>
    <s v="C809712"/>
    <s v="MIGUEL ANGEL ALBARRACIN"/>
    <s v="CORE"/>
    <x v="27"/>
    <s v="BBVA"/>
    <e v="#NAME?"/>
    <x v="3"/>
    <n v="0.1"/>
    <s v="Desarrollador"/>
    <s v="Distribuido"/>
    <s v="[WIMEB] - INICIDENCIA   Consulta de Extractos"/>
    <e v="#NAME?"/>
    <e v="#NAME?"/>
    <e v="#NAME?"/>
    <m/>
    <m/>
    <m/>
    <m/>
    <m/>
    <n v="0"/>
    <m/>
    <m/>
    <m/>
  </r>
  <r>
    <s v="C804845"/>
    <s v="DIEGO ANDRES JIMENEZ PABUENA"/>
    <s v="CORE"/>
    <x v="27"/>
    <s v="BBVA"/>
    <e v="#NAME?"/>
    <x v="124"/>
    <n v="0.5"/>
    <s v="Desarrollador"/>
    <s v="Distribuido"/>
    <s v="[PNB] - Proyecto : Gestión de Ingresos - Períodos de Gracia Libranzas"/>
    <e v="#NAME?"/>
    <e v="#NAME?"/>
    <e v="#NAME?"/>
    <m/>
    <m/>
    <m/>
    <m/>
    <m/>
    <n v="1"/>
    <m/>
    <m/>
    <m/>
  </r>
  <r>
    <s v="C804845"/>
    <s v="DIEGO ANDRES JIMENEZ PABUENA"/>
    <s v="CORE"/>
    <x v="27"/>
    <s v="BBVA"/>
    <e v="#NAME?"/>
    <x v="3"/>
    <n v="0.1"/>
    <s v="Desarrollador"/>
    <s v="Distribuido"/>
    <s v="[FARO] - Revisión documentos pendientes por migrar"/>
    <e v="#NAME?"/>
    <e v="#NAME?"/>
    <e v="#NAME?"/>
    <m/>
    <m/>
    <m/>
    <m/>
    <m/>
    <n v="0"/>
    <m/>
    <m/>
    <m/>
  </r>
  <r>
    <s v="C804845"/>
    <s v="DIEGO ANDRES JIMENEZ PABUENA"/>
    <s v="CORE"/>
    <x v="27"/>
    <s v="BBVA"/>
    <e v="#NAME?"/>
    <x v="3"/>
    <n v="0.05"/>
    <s v="Desarrollador"/>
    <s v="Distribuido"/>
    <s v="[Firmas Valuadoras] - Dia a Dia / Firmas valuadoras. Creación usuarios"/>
    <e v="#NAME?"/>
    <e v="#NAME?"/>
    <e v="#NAME?"/>
    <m/>
    <m/>
    <m/>
    <m/>
    <m/>
    <n v="0"/>
    <m/>
    <m/>
    <m/>
  </r>
  <r>
    <s v="C804845"/>
    <s v="DIEGO ANDRES JIMENEZ PABUENA"/>
    <s v="CORE"/>
    <x v="27"/>
    <s v="BBVA"/>
    <e v="#NAME?"/>
    <x v="3"/>
    <n v="0.1"/>
    <s v="Desarrollador"/>
    <s v="Distribuido"/>
    <s v="[PNB] - Atención solicitudes de actualización"/>
    <e v="#NAME?"/>
    <e v="#NAME?"/>
    <e v="#NAME?"/>
    <m/>
    <m/>
    <m/>
    <m/>
    <m/>
    <n v="0"/>
    <m/>
    <m/>
    <m/>
  </r>
  <r>
    <s v="C804845"/>
    <s v="DIEGO ANDRES JIMENEZ PABUENA"/>
    <s v="CORE"/>
    <x v="27"/>
    <s v="BBVA"/>
    <e v="#NAME?"/>
    <x v="3"/>
    <n v="0.1"/>
    <s v="Desarrollador"/>
    <s v="Distribuido"/>
    <s v="[Lotus-Khronos] - Validación ejecución de Momentos, Ajustes, reporcesos dependiendo de casuisitica"/>
    <e v="#NAME?"/>
    <e v="#NAME?"/>
    <e v="#NAME?"/>
    <m/>
    <m/>
    <m/>
    <m/>
    <m/>
    <n v="0"/>
    <m/>
    <m/>
    <m/>
  </r>
  <r>
    <s v="C804845"/>
    <s v="DIEGO ANDRES JIMENEZ PABUENA"/>
    <s v="CORE"/>
    <x v="27"/>
    <s v="BBVA"/>
    <e v="#NAME?"/>
    <x v="40"/>
    <n v="0.1"/>
    <s v="Desarrollador"/>
    <s v="Distribuido"/>
    <s v="[GranNet] - Migración modulos AdminPlan"/>
    <e v="#NAME?"/>
    <e v="#NAME?"/>
    <e v="#NAME?"/>
    <m/>
    <m/>
    <m/>
    <m/>
    <m/>
    <n v="0"/>
    <m/>
    <m/>
    <m/>
  </r>
  <r>
    <s v="C804845"/>
    <s v="DIEGO ANDRES JIMENEZ PABUENA"/>
    <s v="CORE"/>
    <x v="27"/>
    <s v="BBVA"/>
    <e v="#NAME?"/>
    <x v="214"/>
    <n v="0.05"/>
    <s v="Desarrollador"/>
    <s v="Distribuido"/>
    <s v="[GranNet] - Modulo de liquidación de comisiones"/>
    <e v="#NAME?"/>
    <e v="#NAME?"/>
    <e v="#NAME?"/>
    <m/>
    <m/>
    <m/>
    <m/>
    <m/>
    <n v="0"/>
    <m/>
    <m/>
    <m/>
  </r>
  <r>
    <s v="O002373"/>
    <s v="ESTEBAN ARIAS CARACAS"/>
    <s v="CORE"/>
    <x v="27"/>
    <s v="BBVA"/>
    <e v="#NAME?"/>
    <x v="215"/>
    <n v="1"/>
    <s v="Desarrollador"/>
    <s v="Distribuido"/>
    <m/>
    <e v="#NAME?"/>
    <e v="#NAME?"/>
    <e v="#NAME?"/>
    <m/>
    <m/>
    <m/>
    <m/>
    <m/>
    <e v="#REF!"/>
    <m/>
    <m/>
    <m/>
  </r>
  <r>
    <s v="O000471"/>
    <s v="RONAL ALBERTO TABORDA MORENO"/>
    <s v="CORE"/>
    <x v="27"/>
    <s v="BBVA"/>
    <e v="#NAME?"/>
    <x v="215"/>
    <n v="1"/>
    <s v="Desarrollador"/>
    <s v="Distribuido"/>
    <m/>
    <e v="#NAME?"/>
    <e v="#NAME?"/>
    <e v="#NAME?"/>
    <m/>
    <m/>
    <m/>
    <m/>
    <m/>
    <n v="1"/>
    <m/>
    <m/>
    <m/>
  </r>
  <r>
    <s v="C805945"/>
    <s v="PAULO CESAR SALDARRIAGA"/>
    <s v="CORE"/>
    <x v="28"/>
    <s v="BBVA"/>
    <e v="#NAME?"/>
    <x v="216"/>
    <n v="0.9"/>
    <s v="Desarrollador"/>
    <s v="LRBA"/>
    <m/>
    <e v="#NAME?"/>
    <e v="#NAME?"/>
    <e v="#NAME?"/>
    <m/>
    <m/>
    <m/>
    <m/>
    <m/>
    <n v="1"/>
    <m/>
    <m/>
    <m/>
  </r>
  <r>
    <s v="C805945"/>
    <s v="PAULO CESAR SALDARRIAGA"/>
    <s v="CORE"/>
    <x v="28"/>
    <s v="BBVA"/>
    <e v="#NAME?"/>
    <x v="3"/>
    <n v="0.1"/>
    <s v="Desarrollador"/>
    <s v="LRBA"/>
    <m/>
    <e v="#NAME?"/>
    <e v="#NAME?"/>
    <e v="#NAME?"/>
    <m/>
    <m/>
    <m/>
    <m/>
    <m/>
    <n v="0"/>
    <m/>
    <m/>
    <m/>
  </r>
  <r>
    <s v="CE60804"/>
    <s v="ALVARO IVAN BARRIOS PINEDA"/>
    <s v="CORE"/>
    <x v="28"/>
    <s v="Indra"/>
    <e v="#NAME?"/>
    <x v="3"/>
    <n v="0.5"/>
    <s v="Desarrollador"/>
    <s v="Mainframe"/>
    <m/>
    <e v="#NAME?"/>
    <e v="#NAME?"/>
    <e v="#NAME?"/>
    <m/>
    <m/>
    <m/>
    <m/>
    <m/>
    <n v="1"/>
    <m/>
    <m/>
    <m/>
  </r>
  <r>
    <s v="CE64752"/>
    <s v="NIDIA CONTRERAS HERNANDEZ"/>
    <s v="CORE"/>
    <x v="28"/>
    <s v="KRYPTO"/>
    <e v="#NAME?"/>
    <x v="3"/>
    <n v="0.5"/>
    <s v="QA"/>
    <s v="Otras Tec."/>
    <m/>
    <e v="#NAME?"/>
    <e v="#NAME?"/>
    <e v="#NAME?"/>
    <m/>
    <m/>
    <m/>
    <m/>
    <m/>
    <n v="1"/>
    <m/>
    <m/>
    <m/>
  </r>
  <r>
    <s v="CE71176"/>
    <s v="IVAN YESID REYES CALCETERO"/>
    <s v="CORE"/>
    <x v="28"/>
    <s v="KRYPTO"/>
    <e v="#NAME?"/>
    <x v="216"/>
    <n v="0.5"/>
    <s v="QA"/>
    <s v="Otras Tec."/>
    <m/>
    <e v="#NAME?"/>
    <e v="#NAME?"/>
    <e v="#NAME?"/>
    <m/>
    <m/>
    <m/>
    <m/>
    <m/>
    <n v="1"/>
    <m/>
    <m/>
    <m/>
  </r>
  <r>
    <s v="O000437"/>
    <s v="EDISON TRONCOSO PARADA"/>
    <s v="CORE"/>
    <x v="28"/>
    <s v="BBVA"/>
    <e v="#NAME?"/>
    <x v="3"/>
    <n v="0.15"/>
    <s v="Desarrollador"/>
    <s v="Mainframe"/>
    <m/>
    <e v="#NAME?"/>
    <e v="#NAME?"/>
    <e v="#NAME?"/>
    <m/>
    <m/>
    <m/>
    <m/>
    <m/>
    <n v="1"/>
    <m/>
    <m/>
    <m/>
  </r>
  <r>
    <s v="O000437"/>
    <s v="EDISON TRONCOSO PARADA"/>
    <s v="CORE"/>
    <x v="28"/>
    <s v="BBVA"/>
    <e v="#NAME?"/>
    <x v="216"/>
    <n v="0.4"/>
    <s v="Desarrollador"/>
    <s v="Mainframe"/>
    <m/>
    <e v="#NAME?"/>
    <e v="#NAME?"/>
    <e v="#NAME?"/>
    <m/>
    <m/>
    <m/>
    <m/>
    <m/>
    <n v="0"/>
    <m/>
    <m/>
    <m/>
  </r>
  <r>
    <s v="O000437"/>
    <s v="EDISON TRONCOSO PARADA"/>
    <s v="CORE"/>
    <x v="28"/>
    <s v="BBVA"/>
    <e v="#NAME?"/>
    <x v="20"/>
    <n v="0.05"/>
    <s v="Desarrollador"/>
    <s v="Mainframe"/>
    <m/>
    <e v="#NAME?"/>
    <e v="#NAME?"/>
    <e v="#NAME?"/>
    <m/>
    <m/>
    <m/>
    <m/>
    <m/>
    <n v="0"/>
    <m/>
    <m/>
    <m/>
  </r>
  <r>
    <s v="O000437"/>
    <s v="EDISON TRONCOSO PARADA"/>
    <s v="CORE"/>
    <x v="28"/>
    <s v="BBVA"/>
    <e v="#NAME?"/>
    <x v="217"/>
    <n v="0.25"/>
    <s v="Desarrollador"/>
    <s v="Mainframe"/>
    <m/>
    <e v="#NAME?"/>
    <e v="#NAME?"/>
    <e v="#NAME?"/>
    <m/>
    <m/>
    <m/>
    <m/>
    <m/>
    <n v="0"/>
    <m/>
    <m/>
    <m/>
  </r>
  <r>
    <s v="O000443"/>
    <s v="OSCAR BARBOSA OSPINA"/>
    <s v="CORE"/>
    <x v="28"/>
    <s v="BBVA"/>
    <e v="#NAME?"/>
    <x v="216"/>
    <n v="0.2"/>
    <s v="Tech Manager/Líder"/>
    <s v="Mainframe"/>
    <m/>
    <e v="#NAME?"/>
    <e v="#NAME?"/>
    <e v="#NAME?"/>
    <m/>
    <m/>
    <m/>
    <m/>
    <m/>
    <n v="1"/>
    <m/>
    <m/>
    <m/>
  </r>
  <r>
    <s v="O001817"/>
    <s v="ALEX EDWIN TOSCANO MAESTRE"/>
    <s v="CORE"/>
    <x v="28"/>
    <s v="BBVA"/>
    <e v="#NAME?"/>
    <x v="3"/>
    <n v="0.08"/>
    <s v="Desarrollador"/>
    <s v="Mainframe"/>
    <m/>
    <e v="#NAME?"/>
    <e v="#NAME?"/>
    <e v="#NAME?"/>
    <m/>
    <m/>
    <m/>
    <m/>
    <m/>
    <n v="1"/>
    <m/>
    <m/>
    <m/>
  </r>
  <r>
    <s v="O001817"/>
    <s v="ALEX EDWIN TOSCANO MAESTRE"/>
    <s v="CORE"/>
    <x v="28"/>
    <s v="BBVA"/>
    <e v="#NAME?"/>
    <x v="216"/>
    <n v="0.35"/>
    <s v="Desarrollador"/>
    <s v="Mainframe"/>
    <m/>
    <e v="#NAME?"/>
    <e v="#NAME?"/>
    <e v="#NAME?"/>
    <m/>
    <m/>
    <m/>
    <m/>
    <m/>
    <n v="0"/>
    <m/>
    <m/>
    <m/>
  </r>
  <r>
    <s v="O001817"/>
    <s v="ALEX EDWIN TOSCANO MAESTRE"/>
    <s v="CORE"/>
    <x v="28"/>
    <s v="BBVA"/>
    <e v="#NAME?"/>
    <x v="3"/>
    <n v="0.03"/>
    <s v="Desarrollador"/>
    <s v="Mainframe"/>
    <m/>
    <e v="#NAME?"/>
    <e v="#NAME?"/>
    <e v="#NAME?"/>
    <m/>
    <m/>
    <m/>
    <m/>
    <m/>
    <n v="0"/>
    <m/>
    <m/>
    <m/>
  </r>
  <r>
    <s v="O001975"/>
    <s v="FELIPE ANDRES QUINTERO HIGUITA"/>
    <s v="CORE"/>
    <x v="28"/>
    <s v="BBVA"/>
    <e v="#NAME?"/>
    <x v="216"/>
    <n v="0.9"/>
    <s v="Desarrollador"/>
    <s v="LRBA"/>
    <m/>
    <e v="#NAME?"/>
    <e v="#NAME?"/>
    <e v="#NAME?"/>
    <m/>
    <m/>
    <m/>
    <m/>
    <m/>
    <n v="1"/>
    <m/>
    <m/>
    <m/>
  </r>
  <r>
    <s v="O001975"/>
    <s v="FELIPE ANDRES QUINTERO HIGUITA"/>
    <s v="CORE"/>
    <x v="28"/>
    <s v="BBVA"/>
    <e v="#NAME?"/>
    <x v="3"/>
    <n v="0.1"/>
    <s v="Desarrollador"/>
    <s v="LRBA"/>
    <m/>
    <e v="#NAME?"/>
    <e v="#NAME?"/>
    <e v="#NAME?"/>
    <m/>
    <m/>
    <m/>
    <m/>
    <m/>
    <n v="0"/>
    <m/>
    <m/>
    <m/>
  </r>
  <r>
    <s v="O001976"/>
    <s v="OSCAR ANDRES CARDOZA OLANO"/>
    <s v="CORE"/>
    <x v="28"/>
    <s v="BBVA"/>
    <e v="#NAME?"/>
    <x v="216"/>
    <n v="0.9"/>
    <s v="Desarrollador"/>
    <s v="APX"/>
    <m/>
    <e v="#NAME?"/>
    <e v="#NAME?"/>
    <e v="#NAME?"/>
    <m/>
    <m/>
    <m/>
    <m/>
    <m/>
    <n v="1"/>
    <m/>
    <m/>
    <m/>
  </r>
  <r>
    <s v="O001976"/>
    <s v="OSCAR ANDRES CARDOZA OLANO"/>
    <s v="CORE"/>
    <x v="28"/>
    <s v="BBVA"/>
    <e v="#NAME?"/>
    <x v="3"/>
    <n v="0.1"/>
    <s v="Desarrollador"/>
    <s v="APX"/>
    <m/>
    <e v="#NAME?"/>
    <e v="#NAME?"/>
    <e v="#NAME?"/>
    <m/>
    <m/>
    <m/>
    <m/>
    <m/>
    <n v="0"/>
    <m/>
    <m/>
    <m/>
  </r>
  <r>
    <s v="O003809"/>
    <s v="DIEGO ANDRES GUTIERREZ MESA"/>
    <s v="CORE"/>
    <x v="28"/>
    <s v="BBVA"/>
    <e v="#NAME?"/>
    <x v="216"/>
    <n v="1"/>
    <s v="Tech Manager/Líder"/>
    <s v="LRBA"/>
    <m/>
    <e v="#NAME?"/>
    <e v="#NAME?"/>
    <e v="#NAME?"/>
    <m/>
    <m/>
    <m/>
    <m/>
    <m/>
    <n v="1"/>
    <m/>
    <m/>
    <m/>
  </r>
  <r>
    <s v="O001817"/>
    <s v="ALEX EDWIN TOSCANO MAESTRE"/>
    <s v="CORE"/>
    <x v="28"/>
    <s v="BBVA"/>
    <e v="#NAME?"/>
    <x v="3"/>
    <n v="0.03"/>
    <s v="Desarrollador"/>
    <s v="Mainframe"/>
    <m/>
    <e v="#NAME?"/>
    <e v="#NAME?"/>
    <e v="#NAME?"/>
    <m/>
    <m/>
    <m/>
    <m/>
    <m/>
    <n v="1"/>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0443"/>
    <s v="OSCAR BARBOSA OSPINA"/>
    <s v="CORE"/>
    <x v="28"/>
    <s v="BBVA"/>
    <e v="#NAME?"/>
    <x v="3"/>
    <n v="0.03"/>
    <s v="Desarrollador"/>
    <s v="Mainframe"/>
    <m/>
    <e v="#NAME?"/>
    <e v="#NAME?"/>
    <e v="#NAME?"/>
    <m/>
    <m/>
    <m/>
    <m/>
    <m/>
    <n v="1"/>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1817"/>
    <s v="ALEX EDWIN TOSCANO MAESTRE"/>
    <s v="CORE"/>
    <x v="28"/>
    <s v="BBVA"/>
    <e v="#NAME?"/>
    <x v="3"/>
    <n v="0.2"/>
    <s v="Desarrollador"/>
    <s v="Mainframe"/>
    <m/>
    <e v="#NAME?"/>
    <e v="#NAME?"/>
    <e v="#NAME?"/>
    <m/>
    <m/>
    <m/>
    <m/>
    <m/>
    <n v="1"/>
    <m/>
    <m/>
    <m/>
  </r>
  <r>
    <s v="O000443"/>
    <s v="OSCAR BARBOSA OSPINA"/>
    <s v="CORE"/>
    <x v="28"/>
    <s v="BBVA"/>
    <e v="#NAME?"/>
    <x v="3"/>
    <n v="0.03"/>
    <s v="Tech Manager/Líder"/>
    <s v="Mainframe"/>
    <m/>
    <e v="#NAME?"/>
    <e v="#NAME?"/>
    <e v="#NAME?"/>
    <m/>
    <m/>
    <m/>
    <m/>
    <m/>
    <n v="1"/>
    <m/>
    <m/>
    <m/>
  </r>
  <r>
    <s v="O000437"/>
    <s v="EDISON TRONCOSO PARADA"/>
    <s v="CORE"/>
    <x v="28"/>
    <s v="BBVA"/>
    <e v="#NAME?"/>
    <x v="3"/>
    <n v="0.05"/>
    <s v="Desarrollador"/>
    <s v="Mainframe"/>
    <m/>
    <e v="#NAME?"/>
    <e v="#NAME?"/>
    <e v="#NAME?"/>
    <m/>
    <m/>
    <m/>
    <m/>
    <m/>
    <n v="1"/>
    <m/>
    <m/>
    <m/>
  </r>
  <r>
    <s v="O000443"/>
    <s v="OSCAR BARBOSA OSPINA"/>
    <s v="CORE"/>
    <x v="28"/>
    <s v="BBVA"/>
    <e v="#NAME?"/>
    <x v="3"/>
    <n v="0.03"/>
    <s v="Tech Manager/Líder"/>
    <s v="Mainframe"/>
    <m/>
    <e v="#NAME?"/>
    <e v="#NAME?"/>
    <e v="#NAME?"/>
    <m/>
    <m/>
    <m/>
    <m/>
    <m/>
    <n v="1"/>
    <m/>
    <m/>
    <m/>
  </r>
  <r>
    <s v="O001817"/>
    <s v="ALEX EDWIN TOSCANO MAESTRE"/>
    <s v="CORE"/>
    <x v="28"/>
    <s v="BBVA"/>
    <e v="#NAME?"/>
    <x v="3"/>
    <n v="0.05"/>
    <s v="Desarrollador"/>
    <s v="Mainframe"/>
    <m/>
    <e v="#NAME?"/>
    <e v="#NAME?"/>
    <e v="#NAME?"/>
    <m/>
    <m/>
    <m/>
    <m/>
    <m/>
    <n v="1"/>
    <m/>
    <m/>
    <m/>
  </r>
  <r>
    <s v="O000437"/>
    <s v="EDISON TRONCOSO PARADA"/>
    <s v="CORE"/>
    <x v="28"/>
    <s v="BBVA"/>
    <e v="#NAME?"/>
    <x v="3"/>
    <n v="0.05"/>
    <s v="Desarrollador"/>
    <s v="Mainframe"/>
    <m/>
    <e v="#NAME?"/>
    <e v="#NAME?"/>
    <e v="#NAME?"/>
    <m/>
    <m/>
    <m/>
    <m/>
    <m/>
    <n v="1"/>
    <m/>
    <m/>
    <m/>
  </r>
  <r>
    <s v="O001817"/>
    <s v="ALEX EDWIN TOSCANO MAESTRE"/>
    <s v="CORE"/>
    <x v="28"/>
    <s v="BBVA"/>
    <e v="#NAME?"/>
    <x v="3"/>
    <n v="0.05"/>
    <s v="Desarrollador"/>
    <s v="Mainframe"/>
    <m/>
    <e v="#NAME?"/>
    <e v="#NAME?"/>
    <e v="#NAME?"/>
    <m/>
    <m/>
    <m/>
    <m/>
    <m/>
    <n v="1"/>
    <m/>
    <m/>
    <m/>
  </r>
  <r>
    <s v="O000443"/>
    <s v="OSCAR BARBOSA OSPINA"/>
    <s v="CORE"/>
    <x v="28"/>
    <s v="BBVA"/>
    <e v="#NAME?"/>
    <x v="3"/>
    <n v="0.05"/>
    <s v="Tech Manager/Líder"/>
    <s v="Mainframe"/>
    <m/>
    <e v="#NAME?"/>
    <e v="#NAME?"/>
    <e v="#NAME?"/>
    <m/>
    <m/>
    <m/>
    <m/>
    <m/>
    <n v="1"/>
    <m/>
    <m/>
    <m/>
  </r>
  <r>
    <s v="O000437"/>
    <s v="EDISON TRONCOSO PARADA"/>
    <s v="CORE"/>
    <x v="28"/>
    <s v="BBVA"/>
    <e v="#NAME?"/>
    <x v="3"/>
    <n v="0.05"/>
    <s v="Desarrollador"/>
    <s v="Mainframe"/>
    <m/>
    <e v="#NAME?"/>
    <e v="#NAME?"/>
    <e v="#NAME?"/>
    <m/>
    <m/>
    <m/>
    <m/>
    <m/>
    <n v="1"/>
    <m/>
    <m/>
    <m/>
  </r>
  <r>
    <s v="O000443"/>
    <s v="OSCAR BARBOSA OSPINA"/>
    <s v="CORE"/>
    <x v="28"/>
    <s v="BBVA"/>
    <e v="#NAME?"/>
    <x v="3"/>
    <n v="0.25"/>
    <s v="Tech Manager/Líder"/>
    <s v="Mainframe"/>
    <m/>
    <e v="#NAME?"/>
    <e v="#NAME?"/>
    <e v="#NAME?"/>
    <m/>
    <m/>
    <m/>
    <m/>
    <m/>
    <n v="1"/>
    <m/>
    <m/>
    <m/>
  </r>
  <r>
    <s v="O000443"/>
    <s v="OSCAR BARBOSA OSPINA"/>
    <s v="CORE"/>
    <x v="28"/>
    <s v="BBVA"/>
    <e v="#NAME?"/>
    <x v="217"/>
    <n v="0.1"/>
    <s v="Tech Manager/Líder"/>
    <s v="Mainframe"/>
    <m/>
    <e v="#NAME?"/>
    <e v="#NAME?"/>
    <e v="#NAME?"/>
    <m/>
    <m/>
    <m/>
    <m/>
    <m/>
    <n v="0"/>
    <m/>
    <m/>
    <m/>
  </r>
  <r>
    <s v="O000443"/>
    <s v="OSCAR BARBOSA OSPINA"/>
    <s v="CORE"/>
    <x v="28"/>
    <s v="BBVA"/>
    <e v="#NAME?"/>
    <x v="53"/>
    <n v="0.1"/>
    <s v="Tech Manager/Líder"/>
    <s v="Mainframe"/>
    <m/>
    <e v="#NAME?"/>
    <e v="#NAME?"/>
    <e v="#NAME?"/>
    <m/>
    <m/>
    <m/>
    <m/>
    <m/>
    <n v="0"/>
    <m/>
    <m/>
    <m/>
  </r>
  <r>
    <s v="O005000"/>
    <s v="ALEJANDRO LARA MONTANO"/>
    <s v="CORE"/>
    <x v="28"/>
    <s v="BBVA"/>
    <e v="#NAME?"/>
    <x v="53"/>
    <n v="0.2"/>
    <s v="Desarrollador"/>
    <s v="Mainframe"/>
    <m/>
    <e v="#NAME?"/>
    <e v="#NAME?"/>
    <e v="#NAME?"/>
    <m/>
    <m/>
    <m/>
    <m/>
    <m/>
    <n v="1"/>
    <m/>
    <m/>
    <m/>
  </r>
  <r>
    <s v="O005000"/>
    <s v="ALEJANDRO LARA MONTANO"/>
    <s v="CORE"/>
    <x v="28"/>
    <s v="BBVA"/>
    <e v="#NAME?"/>
    <x v="3"/>
    <n v="0.7"/>
    <s v="Desarrollador"/>
    <s v="Mainframe"/>
    <m/>
    <e v="#NAME?"/>
    <e v="#NAME?"/>
    <e v="#NAME?"/>
    <m/>
    <m/>
    <m/>
    <m/>
    <m/>
    <n v="0"/>
    <m/>
    <m/>
    <m/>
  </r>
  <r>
    <s v="O005000"/>
    <s v="ALEJANDRO LARA MONTANO"/>
    <s v="CORE"/>
    <x v="28"/>
    <s v="BBVA"/>
    <e v="#NAME?"/>
    <x v="216"/>
    <n v="0.1"/>
    <s v="Desarrollador"/>
    <s v="Mainframe"/>
    <m/>
    <e v="#NAME?"/>
    <e v="#NAME?"/>
    <e v="#NAME?"/>
    <m/>
    <m/>
    <m/>
    <m/>
    <m/>
    <e v="#REF!"/>
    <m/>
    <m/>
    <m/>
  </r>
  <r>
    <s v="CE56248"/>
    <s v="Andres Jimenez Molina"/>
    <s v="CORE"/>
    <x v="29"/>
    <s v="Accenture"/>
    <e v="#NAME?"/>
    <x v="3"/>
    <n v="0.5"/>
    <s v="QA"/>
    <s v="Distribuido"/>
    <s v="Bonita 7 y Bonita 5 "/>
    <e v="#NAME?"/>
    <e v="#NAME?"/>
    <e v="#NAME?"/>
    <m/>
    <m/>
    <m/>
    <m/>
    <m/>
    <e v="#REF!"/>
    <m/>
    <m/>
    <m/>
  </r>
  <r>
    <s v="CE56248"/>
    <s v="Andres Jimenez Molina"/>
    <s v="CORE"/>
    <x v="29"/>
    <s v="Accenture"/>
    <e v="#NAME?"/>
    <x v="124"/>
    <n v="0.5"/>
    <s v="QA"/>
    <s v="Distribuido"/>
    <s v="pruebas unitarias en desarrollo"/>
    <e v="#NAME?"/>
    <e v="#NAME?"/>
    <e v="#NAME?"/>
    <m/>
    <m/>
    <m/>
    <m/>
    <m/>
    <n v="0"/>
    <m/>
    <m/>
    <m/>
  </r>
  <r>
    <s v="C808271"/>
    <s v="CRISTIAN CAMILO APONTE QUIROGA"/>
    <s v="CORE"/>
    <x v="29"/>
    <s v="BBVA"/>
    <e v="#NAME?"/>
    <x v="218"/>
    <n v="0.8"/>
    <s v="Desarrollador"/>
    <s v="Otras Tec."/>
    <s v="desarrollos F8; Postimplantación F5,6 y 7"/>
    <e v="#NAME?"/>
    <e v="#NAME?"/>
    <e v="#NAME?"/>
    <m/>
    <m/>
    <m/>
    <m/>
    <m/>
    <n v="1"/>
    <m/>
    <m/>
    <m/>
  </r>
  <r>
    <s v="C805770"/>
    <s v="Edward Enrique Vaca"/>
    <s v="CORE"/>
    <x v="29"/>
    <s v="BBVA"/>
    <e v="#NAME?"/>
    <x v="218"/>
    <n v="0.1"/>
    <s v="Desarrollador"/>
    <s v="Otras Tec."/>
    <s v="desarrollos F7,8; Postimplantación F5 y6"/>
    <e v="#NAME?"/>
    <e v="#NAME?"/>
    <e v="#NAME?"/>
    <m/>
    <m/>
    <m/>
    <m/>
    <m/>
    <n v="1"/>
    <m/>
    <m/>
    <m/>
  </r>
  <r>
    <s v="C808271"/>
    <s v="CRISTIAN CAMILO APONTE QUIROGA"/>
    <s v="CORE"/>
    <x v="29"/>
    <s v="BBVA"/>
    <e v="#NAME?"/>
    <x v="219"/>
    <n v="0.2"/>
    <s v="Desarrollador"/>
    <s v="Otras Tec."/>
    <s v="Diseño de front transversal,  maqueta, formación BPMaaS"/>
    <e v="#NAME?"/>
    <e v="#NAME?"/>
    <e v="#NAME?"/>
    <m/>
    <m/>
    <m/>
    <m/>
    <m/>
    <n v="1"/>
    <m/>
    <m/>
    <m/>
  </r>
  <r>
    <s v="O002375"/>
    <s v="Cristian David Beltran Barrantes"/>
    <s v="CORE"/>
    <x v="29"/>
    <s v="BBVA"/>
    <e v="#NAME?"/>
    <x v="3"/>
    <n v="1"/>
    <s v="Desarrollador"/>
    <s v="Otras Tec."/>
    <s v="Arandas, producción y backlog mantenimientos menores"/>
    <e v="#NAME?"/>
    <e v="#NAME?"/>
    <e v="#NAME?"/>
    <m/>
    <m/>
    <m/>
    <m/>
    <m/>
    <n v="1"/>
    <m/>
    <m/>
    <m/>
  </r>
  <r>
    <s v="T007650"/>
    <s v="DANNY CAMILO BERNAL BERNAL"/>
    <s v="CORE"/>
    <x v="29"/>
    <s v="TRYCORE"/>
    <e v="#NAME?"/>
    <x v="124"/>
    <n v="1"/>
    <s v="Desarrollador"/>
    <s v="Otras Tec."/>
    <s v="desarrollos en curso, envio a QA S3 de bril"/>
    <e v="#NAME?"/>
    <e v="#NAME?"/>
    <e v="#NAME?"/>
    <m/>
    <m/>
    <m/>
    <m/>
    <m/>
    <n v="1"/>
    <m/>
    <m/>
    <m/>
  </r>
  <r>
    <s v="C343334"/>
    <s v="Edison Jovanny Castillo"/>
    <s v="CORE"/>
    <x v="29"/>
    <s v="BBVA"/>
    <e v="#NAME?"/>
    <x v="3"/>
    <n v="0.75"/>
    <s v="Desarrollador"/>
    <s v="Otras Tec."/>
    <s v="MN-2091 Reingenieria proceso cancelacion de garantias, desarrollos con entrega a QA S3 agosto"/>
    <e v="#NAME?"/>
    <e v="#NAME?"/>
    <e v="#NAME?"/>
    <m/>
    <m/>
    <m/>
    <m/>
    <m/>
    <n v="1"/>
    <m/>
    <m/>
    <m/>
  </r>
  <r>
    <s v="C343334"/>
    <s v="Edison Jovanny Castillo"/>
    <s v="CORE"/>
    <x v="29"/>
    <s v="BBVA"/>
    <e v="#NAME?"/>
    <x v="3"/>
    <n v="0.1"/>
    <s v="Desarrollador"/>
    <s v="Otras Tec."/>
    <s v="Analisis y Diseño Tecnico conexion IDM con Bonita 7"/>
    <e v="#NAME?"/>
    <e v="#NAME?"/>
    <e v="#NAME?"/>
    <m/>
    <m/>
    <m/>
    <m/>
    <m/>
    <n v="0"/>
    <m/>
    <m/>
    <m/>
  </r>
  <r>
    <s v="C343334"/>
    <s v="Edison Jovanny Castillo"/>
    <s v="CORE"/>
    <x v="29"/>
    <s v="BBVA"/>
    <e v="#NAME?"/>
    <x v="3"/>
    <n v="0.05"/>
    <s v="Desarrollador"/>
    <s v="Otras Tec."/>
    <s v="Prioridad Alta Bandeja de entrada B7Prioridad Alta Bandeja de entrada B7"/>
    <e v="#NAME?"/>
    <e v="#NAME?"/>
    <e v="#NAME?"/>
    <m/>
    <m/>
    <m/>
    <m/>
    <m/>
    <n v="0"/>
    <m/>
    <m/>
    <m/>
  </r>
  <r>
    <s v="C343334"/>
    <s v="Edison Jovanny Castillo"/>
    <s v="CORE"/>
    <x v="29"/>
    <s v="BBVA"/>
    <e v="#NAME?"/>
    <x v="219"/>
    <n v="0.1"/>
    <s v="Desarrollador"/>
    <s v="Otras Tec."/>
    <s v="Diseño de front transversal,  maqueta, formación BPMaaS"/>
    <e v="#NAME?"/>
    <e v="#NAME?"/>
    <e v="#NAME?"/>
    <m/>
    <m/>
    <m/>
    <m/>
    <m/>
    <n v="0"/>
    <m/>
    <m/>
    <m/>
  </r>
  <r>
    <s v="C805770"/>
    <s v="Edward Enrique Vaca"/>
    <s v="CORE"/>
    <x v="29"/>
    <s v="BBVA"/>
    <e v="#NAME?"/>
    <x v="124"/>
    <n v="0.5"/>
    <s v="Desarrollador"/>
    <s v="Otras Tec."/>
    <s v="Lider tecnico para BPM , envio a QA S3 abril"/>
    <e v="#NAME?"/>
    <e v="#NAME?"/>
    <e v="#NAME?"/>
    <m/>
    <m/>
    <m/>
    <m/>
    <m/>
    <n v="1"/>
    <m/>
    <m/>
    <m/>
  </r>
  <r>
    <s v="C805770"/>
    <s v="Edward Enrique Vaca"/>
    <s v="CORE"/>
    <x v="29"/>
    <s v="BBVA"/>
    <e v="#NAME?"/>
    <x v="3"/>
    <n v="0.35"/>
    <s v="Desarrollador"/>
    <s v="Otras Tec."/>
    <s v="MN-2091 Reingenieria proceso cancelacion de garantias, desarrollos con entrega a QA S3 agosto"/>
    <e v="#NAME?"/>
    <e v="#NAME?"/>
    <e v="#NAME?"/>
    <m/>
    <m/>
    <m/>
    <m/>
    <m/>
    <n v="0"/>
    <m/>
    <m/>
    <m/>
  </r>
  <r>
    <s v="C805770"/>
    <s v="Edward Enrique Vaca"/>
    <s v="CORE"/>
    <x v="29"/>
    <s v="BBVA"/>
    <e v="#NAME?"/>
    <x v="3"/>
    <n v="0.05"/>
    <s v="Desarrollador"/>
    <s v="Otras Tec."/>
    <s v="Prioridad Alta Bandeja de entrada B7Prioridad Alta Bandeja de entrada B7"/>
    <e v="#NAME?"/>
    <e v="#NAME?"/>
    <e v="#NAME?"/>
    <m/>
    <m/>
    <m/>
    <m/>
    <m/>
    <n v="0"/>
    <m/>
    <m/>
    <m/>
  </r>
  <r>
    <s v="C804325"/>
    <s v="Edwin Giovanny Cetina Pinzón."/>
    <s v="CORE"/>
    <x v="29"/>
    <s v="BBVA"/>
    <e v="#NAME?"/>
    <x v="124"/>
    <n v="0.2"/>
    <s v="Desarrollador"/>
    <s v="Otras Tec."/>
    <s v="finaliza desarrollos la S3 Abril"/>
    <e v="#NAME?"/>
    <e v="#NAME?"/>
    <e v="#NAME?"/>
    <m/>
    <m/>
    <m/>
    <m/>
    <m/>
    <n v="1"/>
    <m/>
    <m/>
    <m/>
  </r>
  <r>
    <s v="C804325"/>
    <s v="Edwin Giovanny Cetina Pinzón."/>
    <s v="CORE"/>
    <x v="29"/>
    <s v="BBVA"/>
    <e v="#NAME?"/>
    <x v="220"/>
    <n v="0.1"/>
    <s v="Desarrollador"/>
    <s v="Otras Tec."/>
    <s v="Gestión con Meraki para atención de mejora en visualizacion  de documentos"/>
    <e v="#NAME?"/>
    <e v="#NAME?"/>
    <e v="#NAME?"/>
    <m/>
    <m/>
    <m/>
    <m/>
    <m/>
    <n v="0"/>
    <m/>
    <m/>
    <m/>
  </r>
  <r>
    <s v="C804325"/>
    <s v="Edwin Giovanny Cetina Pinzón."/>
    <s v="CORE"/>
    <x v="29"/>
    <s v="BBVA"/>
    <e v="#NAME?"/>
    <x v="221"/>
    <n v="0"/>
    <s v="Desarrollador"/>
    <s v="Otras Tec."/>
    <s v="apoyo postimplantación"/>
    <e v="#NAME?"/>
    <e v="#NAME?"/>
    <e v="#NAME?"/>
    <m/>
    <m/>
    <m/>
    <m/>
    <m/>
    <n v="0"/>
    <m/>
    <m/>
    <m/>
  </r>
  <r>
    <s v="C804325"/>
    <s v="Edwin Giovanny Cetina Pinzón."/>
    <s v="CORE"/>
    <x v="29"/>
    <s v="BBVA"/>
    <e v="#NAME?"/>
    <x v="3"/>
    <n v="0.05"/>
    <s v="Desarrollador"/>
    <s v="Otras Tec."/>
    <s v="CAP Retail atencion de arandas entrega a equipo de operación"/>
    <e v="#NAME?"/>
    <e v="#NAME?"/>
    <e v="#NAME?"/>
    <m/>
    <m/>
    <m/>
    <m/>
    <m/>
    <n v="0"/>
    <m/>
    <m/>
    <m/>
  </r>
  <r>
    <s v="C804325"/>
    <s v="Edwin Giovanny Cetina Pinzón."/>
    <s v="CORE"/>
    <x v="29"/>
    <s v="BBVA"/>
    <e v="#NAME?"/>
    <x v="75"/>
    <n v="0.65"/>
    <s v="Desarrollador"/>
    <s v="Otras Tec."/>
    <s v="Formación en BPMaaS y COLWSBPE-115 Optimización de proceso de contratación de tarjetas en fábrica (IDP)- Fase I"/>
    <e v="#NAME?"/>
    <e v="#NAME?"/>
    <e v="#NAME?"/>
    <m/>
    <m/>
    <m/>
    <m/>
    <m/>
    <n v="0"/>
    <m/>
    <m/>
    <m/>
  </r>
  <r>
    <s v="O002418"/>
    <s v="Faiber Orlando Camelo Romero"/>
    <s v="CORE"/>
    <x v="29"/>
    <s v="BBVA"/>
    <e v="#NAME?"/>
    <x v="222"/>
    <n v="0.05"/>
    <s v="Desarrollador"/>
    <s v="Otras Tec."/>
    <s v="compromiso S1 abril en produccion"/>
    <e v="#NAME?"/>
    <e v="#NAME?"/>
    <e v="#NAME?"/>
    <m/>
    <m/>
    <m/>
    <m/>
    <m/>
    <n v="1"/>
    <m/>
    <m/>
    <m/>
  </r>
  <r>
    <s v="O002418"/>
    <s v="Faiber Orlando Camelo Romero"/>
    <s v="CORE"/>
    <x v="29"/>
    <s v="BBVA"/>
    <e v="#NAME?"/>
    <x v="219"/>
    <n v="0.2"/>
    <s v="Desarrollador"/>
    <s v="Otras Tec."/>
    <s v="Diseño de front transversal,  maqueta, formación BPMaaS"/>
    <e v="#NAME?"/>
    <e v="#NAME?"/>
    <e v="#NAME?"/>
    <m/>
    <m/>
    <m/>
    <m/>
    <m/>
    <n v="0"/>
    <m/>
    <m/>
    <m/>
  </r>
  <r>
    <s v="O002418"/>
    <s v="Faiber Orlando Camelo Romero"/>
    <s v="CORE"/>
    <x v="29"/>
    <s v="BBVA"/>
    <e v="#NAME?"/>
    <x v="75"/>
    <n v="0.75"/>
    <s v="Desarrollador"/>
    <s v="Otras Tec."/>
    <s v="Formación en Aso y Apx y COLWSBPE-115 Optimización de proceso de contratación de tarjetas en fábrica (IDP)- Fase I"/>
    <e v="#NAME?"/>
    <e v="#NAME?"/>
    <e v="#NAME?"/>
    <m/>
    <m/>
    <m/>
    <m/>
    <m/>
    <n v="0"/>
    <m/>
    <m/>
    <m/>
  </r>
  <r>
    <s v="T007646"/>
    <s v="John Edwin Riascos Castillo"/>
    <s v="CORE"/>
    <x v="29"/>
    <s v="TRYCORE"/>
    <e v="#NAME?"/>
    <x v="3"/>
    <n v="1"/>
    <s v="Desarrollador"/>
    <s v="Otras Tec."/>
    <s v="apoyo estabilizacion poduccion equipo operacion"/>
    <e v="#NAME?"/>
    <e v="#NAME?"/>
    <e v="#NAME?"/>
    <m/>
    <m/>
    <m/>
    <m/>
    <m/>
    <n v="1"/>
    <m/>
    <m/>
    <m/>
  </r>
  <r>
    <s v="O002495"/>
    <s v="Juan Daniel Bernal Marin"/>
    <s v="CORE"/>
    <x v="29"/>
    <s v="BBVA"/>
    <e v="#NAME?"/>
    <x v="3"/>
    <n v="0.9"/>
    <s v="Desarrollador"/>
    <s v="Otras Tec."/>
    <s v="MN-2091 Reingenieria proceso de CG apoyo a desarrollos"/>
    <e v="#NAME?"/>
    <e v="#NAME?"/>
    <e v="#NAME?"/>
    <m/>
    <m/>
    <m/>
    <m/>
    <m/>
    <n v="1"/>
    <m/>
    <m/>
    <m/>
  </r>
  <r>
    <s v="C801604"/>
    <s v="Jualian Alberto Rodriguez"/>
    <s v="CORE"/>
    <x v="29"/>
    <s v="BBVA"/>
    <e v="#NAME?"/>
    <x v="3"/>
    <n v="1"/>
    <s v="Tech Manager/Líder"/>
    <s v="Otras Tec."/>
    <s v="Arandas, producción y backlog mantenimientos menores"/>
    <e v="#NAME?"/>
    <e v="#NAME?"/>
    <e v="#NAME?"/>
    <m/>
    <m/>
    <m/>
    <m/>
    <m/>
    <n v="1"/>
    <m/>
    <m/>
    <m/>
  </r>
  <r>
    <s v="O002495"/>
    <s v="Juan Daniel Bernal Marin"/>
    <s v="CORE"/>
    <x v="29"/>
    <s v="BBVA"/>
    <e v="#NAME?"/>
    <x v="3"/>
    <n v="0.05"/>
    <s v="Desarrollador"/>
    <s v="Otras Tec."/>
    <s v="Prioridad Alta Bandeja de entrada B7Prioridad Alta Bandeja de entrada B7"/>
    <e v="#NAME?"/>
    <e v="#NAME?"/>
    <e v="#NAME?"/>
    <m/>
    <m/>
    <m/>
    <m/>
    <m/>
    <n v="1"/>
    <m/>
    <m/>
    <m/>
  </r>
  <r>
    <s v="O002495"/>
    <s v="Juan Daniel Bernal Marin"/>
    <s v="CORE"/>
    <x v="29"/>
    <s v="BBVA"/>
    <e v="#NAME?"/>
    <x v="75"/>
    <n v="0.05"/>
    <s v="Desarrollador"/>
    <s v="Otras Tec."/>
    <s v="seguimiento post implantación Wizard"/>
    <e v="#NAME?"/>
    <e v="#NAME?"/>
    <e v="#NAME?"/>
    <m/>
    <m/>
    <m/>
    <m/>
    <m/>
    <n v="0"/>
    <m/>
    <m/>
    <m/>
  </r>
  <r>
    <s v="CE55472"/>
    <s v="Kevin Danilo López Clopatofsky"/>
    <s v="CORE"/>
    <x v="29"/>
    <s v="TRYCORE"/>
    <e v="#NAME?"/>
    <x v="218"/>
    <n v="1"/>
    <s v="Desarrollador"/>
    <s v="Otras Tec."/>
    <s v="desarrollos F7,8; Postimplantación F5 y6"/>
    <e v="#NAME?"/>
    <e v="#NAME?"/>
    <e v="#NAME?"/>
    <m/>
    <m/>
    <m/>
    <m/>
    <m/>
    <n v="1"/>
    <m/>
    <m/>
    <m/>
  </r>
  <r>
    <s v="CE56948"/>
    <s v="Leandro Augusto Chiguasuque"/>
    <s v="CORE"/>
    <x v="29"/>
    <s v="TRYCORE"/>
    <e v="#NAME?"/>
    <x v="3"/>
    <n v="1"/>
    <s v="Desarrollador"/>
    <s v="Otras Tec."/>
    <s v="Arandas, producción y backlog mantenimientos menores"/>
    <e v="#NAME?"/>
    <e v="#NAME?"/>
    <e v="#NAME?"/>
    <m/>
    <m/>
    <m/>
    <m/>
    <m/>
    <n v="1"/>
    <m/>
    <m/>
    <m/>
  </r>
  <r>
    <s v="CE64615"/>
    <s v="Martha Lucia Aguirre"/>
    <s v="CORE"/>
    <x v="29"/>
    <s v="GGI / CMC"/>
    <e v="#NAME?"/>
    <x v="3"/>
    <n v="0.4"/>
    <s v="QA"/>
    <s v="Otras Tec."/>
    <s v="MN-2091 Reingenieria proceso de CG pruebas en desarrollo"/>
    <e v="#NAME?"/>
    <e v="#NAME?"/>
    <e v="#NAME?"/>
    <m/>
    <m/>
    <m/>
    <m/>
    <m/>
    <n v="1"/>
    <m/>
    <m/>
    <m/>
  </r>
  <r>
    <s v="CE64615"/>
    <s v="Martha Lucia Aguirre"/>
    <s v="CORE"/>
    <x v="29"/>
    <s v="GGI / CMC"/>
    <e v="#NAME?"/>
    <x v="3"/>
    <n v="0.1"/>
    <s v="QA"/>
    <s v="Otras Tec."/>
    <s v="CAP Pymes GD, Bonita 7 y Bonita 5 "/>
    <e v="#NAME?"/>
    <e v="#NAME?"/>
    <e v="#NAME?"/>
    <m/>
    <m/>
    <m/>
    <m/>
    <m/>
    <n v="0"/>
    <m/>
    <m/>
    <m/>
  </r>
  <r>
    <s v="CE64615"/>
    <s v="Martha Lucia Aguirre"/>
    <s v="CORE"/>
    <x v="29"/>
    <s v="GGI / CMC"/>
    <e v="#NAME?"/>
    <x v="222"/>
    <n v="0.5"/>
    <s v="QA"/>
    <s v="Otras Tec."/>
    <s v="pruebas unitarias en desarrollo"/>
    <e v="#NAME?"/>
    <e v="#NAME?"/>
    <e v="#NAME?"/>
    <m/>
    <m/>
    <m/>
    <m/>
    <m/>
    <n v="0"/>
    <m/>
    <m/>
    <m/>
  </r>
  <r>
    <s v="C341738"/>
    <s v="Jose Mauricio Peña"/>
    <s v="CORE"/>
    <x v="29"/>
    <s v="BBVA"/>
    <e v="#NAME?"/>
    <x v="222"/>
    <n v="0.1"/>
    <s v="Desarrollador"/>
    <s v="Otras Tec."/>
    <s v="compromiso S1 abril en produccion"/>
    <e v="#NAME?"/>
    <e v="#NAME?"/>
    <e v="#NAME?"/>
    <m/>
    <m/>
    <m/>
    <m/>
    <m/>
    <n v="1"/>
    <m/>
    <m/>
    <m/>
  </r>
  <r>
    <s v="C341738"/>
    <s v="Jose Mauricio Peña"/>
    <s v="CORE"/>
    <x v="29"/>
    <s v="BBVA"/>
    <e v="#NAME?"/>
    <x v="3"/>
    <n v="0.9"/>
    <s v="Desarrollador"/>
    <s v="Otras Tec."/>
    <s v="Apoyo estabilizacion  purga casos activos,"/>
    <e v="#NAME?"/>
    <e v="#NAME?"/>
    <e v="#NAME?"/>
    <m/>
    <m/>
    <m/>
    <m/>
    <m/>
    <n v="0"/>
    <m/>
    <m/>
    <m/>
  </r>
  <r>
    <s v="C805239"/>
    <s v="Paola Marcela Moreno Sanabria"/>
    <s v="CORE"/>
    <x v="29"/>
    <s v="BBVA"/>
    <e v="#NAME?"/>
    <x v="75"/>
    <n v="0.75"/>
    <s v="Desarrollador"/>
    <s v="Otras Tec."/>
    <s v="Formación en BPMaaS y COLWSBPE-115 Optimización de proceso de contratación de tarjetas en fábrica (IDP)- Fase I"/>
    <e v="#NAME?"/>
    <e v="#NAME?"/>
    <e v="#NAME?"/>
    <m/>
    <m/>
    <m/>
    <m/>
    <m/>
    <n v="1"/>
    <m/>
    <m/>
    <m/>
  </r>
  <r>
    <s v="C805239"/>
    <s v="Paola Marcela Moreno Sanabria"/>
    <s v="CORE"/>
    <x v="29"/>
    <s v="BBVA"/>
    <e v="#NAME?"/>
    <x v="3"/>
    <n v="0.25"/>
    <s v="Desarrollador"/>
    <s v="Otras Tec."/>
    <s v="MN-2091 Reingenieria proceso de CG desarrollos S2 Junio entrega"/>
    <e v="#NAME?"/>
    <e v="#NAME?"/>
    <e v="#NAME?"/>
    <m/>
    <m/>
    <m/>
    <m/>
    <m/>
    <n v="0"/>
    <m/>
    <m/>
    <m/>
  </r>
  <r>
    <s v="C811371"/>
    <s v="Wilson Daniel Bulla Martinez"/>
    <s v="CORE"/>
    <x v="29"/>
    <s v="BBVA"/>
    <e v="#NAME?"/>
    <x v="3"/>
    <n v="1"/>
    <s v="Desarrollador"/>
    <s v="Otras Tec."/>
    <s v="Arandas, producción y backlog mantenimientos menores"/>
    <e v="#NAME?"/>
    <e v="#NAME?"/>
    <e v="#NAME?"/>
    <m/>
    <m/>
    <m/>
    <m/>
    <m/>
    <n v="1"/>
    <m/>
    <m/>
    <m/>
  </r>
  <r>
    <s v="C811159"/>
    <s v="ALEX FERNEY MARTINEZ SERPA"/>
    <s v="CORE"/>
    <x v="30"/>
    <s v="BBVA"/>
    <e v="#NAME?"/>
    <x v="3"/>
    <n v="0.2"/>
    <s v="Desarrollador"/>
    <s v="Distribuido"/>
    <s v="Soporte Aplicativo "/>
    <e v="#NAME?"/>
    <e v="#NAME?"/>
    <e v="#NAME?"/>
    <m/>
    <m/>
    <m/>
    <m/>
    <m/>
    <n v="1"/>
    <m/>
    <m/>
    <m/>
  </r>
  <r>
    <s v="C811159"/>
    <s v="ALEX FERNEY MARTINEZ SERPA"/>
    <s v="CORE"/>
    <x v="30"/>
    <s v="BBVA"/>
    <e v="#NAME?"/>
    <x v="75"/>
    <n v="0.5"/>
    <s v="Desarrollador"/>
    <s v="Distribuido"/>
    <s v="Evolutivo de mejoras a Ux, a partir de 16 febrero post-implantación "/>
    <e v="#NAME?"/>
    <e v="#NAME?"/>
    <e v="#NAME?"/>
    <m/>
    <m/>
    <m/>
    <m/>
    <m/>
    <n v="0"/>
    <m/>
    <m/>
    <m/>
  </r>
  <r>
    <s v="C811159"/>
    <s v="ALEX FERNEY MARTINEZ SERPA"/>
    <s v="CORE"/>
    <x v="30"/>
    <s v="BBVA"/>
    <e v="#NAME?"/>
    <x v="86"/>
    <n v="0.3"/>
    <s v="Desarrollador"/>
    <s v="Distribuido"/>
    <m/>
    <e v="#NAME?"/>
    <e v="#NAME?"/>
    <e v="#NAME?"/>
    <m/>
    <m/>
    <m/>
    <m/>
    <m/>
    <n v="0"/>
    <m/>
    <m/>
    <m/>
  </r>
  <r>
    <s v="O001036_x000a_"/>
    <s v="ANGEL JAVIER BADEL GASCA"/>
    <s v="CORE"/>
    <x v="30"/>
    <s v="BBVA"/>
    <e v="#NAME?"/>
    <x v="218"/>
    <n v="0.2"/>
    <s v="Desarrollador"/>
    <s v="Distribuido"/>
    <s v="Desarrollo a  EMC8"/>
    <e v="#NAME?"/>
    <e v="#NAME?"/>
    <e v="#NAME?"/>
    <m/>
    <m/>
    <m/>
    <m/>
    <m/>
    <n v="1"/>
    <m/>
    <m/>
    <m/>
  </r>
  <r>
    <s v="O001036_x000a_"/>
    <s v="ANGEL JAVIER BADEL GASCA"/>
    <s v="CORE"/>
    <x v="30"/>
    <s v="BBVA"/>
    <e v="#NAME?"/>
    <x v="3"/>
    <n v="0.8"/>
    <s v="Desarrollador"/>
    <s v="Distribuido"/>
    <s v="Soporte Aplicativo , versionardor CAP"/>
    <e v="#NAME?"/>
    <e v="#NAME?"/>
    <e v="#NAME?"/>
    <m/>
    <m/>
    <m/>
    <m/>
    <m/>
    <n v="0"/>
    <m/>
    <m/>
    <m/>
  </r>
  <r>
    <s v="C805866"/>
    <s v="CARLOS ENRIQUE FAJARDO FAJARDO "/>
    <s v="CORE"/>
    <x v="30"/>
    <s v="BBVA"/>
    <e v="#NAME?"/>
    <x v="223"/>
    <n v="0.9"/>
    <s v="Tech Manager/Líder"/>
    <s v="Otras Tec."/>
    <s v="Liderazgo  proyecto oferta proactiva D+0 "/>
    <e v="#NAME?"/>
    <e v="#NAME?"/>
    <e v="#NAME?"/>
    <m/>
    <m/>
    <m/>
    <m/>
    <m/>
    <n v="1"/>
    <m/>
    <m/>
    <m/>
  </r>
  <r>
    <s v="C805866"/>
    <s v="CARLOS ENRIQUE FAJARDO FAJARDO "/>
    <s v="CORE"/>
    <x v="30"/>
    <s v="BBVA"/>
    <e v="#NAME?"/>
    <x v="3"/>
    <n v="0.1"/>
    <s v="Tech Manager/Líder"/>
    <s v="Otras Tec."/>
    <s v="Soporte Aplicativo"/>
    <e v="#NAME?"/>
    <e v="#NAME?"/>
    <e v="#NAME?"/>
    <m/>
    <m/>
    <m/>
    <m/>
    <m/>
    <n v="0"/>
    <m/>
    <m/>
    <m/>
  </r>
  <r>
    <s v="C810754_x000a_"/>
    <s v="DEIVIS JAVIER MIRANDA RAMOS "/>
    <s v="CORE"/>
    <x v="30"/>
    <s v="BBVA"/>
    <e v="#NAME?"/>
    <x v="223"/>
    <n v="1"/>
    <s v="Desarrollador"/>
    <s v="Distribuido"/>
    <s v="Análisis, diseño y desarrollo CAP Proyecto Oferta D+0"/>
    <e v="#NAME?"/>
    <e v="#NAME?"/>
    <e v="#NAME?"/>
    <m/>
    <m/>
    <m/>
    <m/>
    <m/>
    <n v="1"/>
    <m/>
    <m/>
    <m/>
  </r>
  <r>
    <s v="CE69111"/>
    <s v="EDNA YURANI GIL"/>
    <s v="CORE"/>
    <x v="30"/>
    <s v="Choucair"/>
    <e v="#NAME?"/>
    <x v="224"/>
    <n v="0.2"/>
    <s v="QA"/>
    <s v="Otras Tec."/>
    <s v="Analálisis, diseño y pruebas a mejoras CAP "/>
    <e v="#NAME?"/>
    <e v="#NAME?"/>
    <e v="#NAME?"/>
    <m/>
    <m/>
    <m/>
    <m/>
    <m/>
    <n v="1"/>
    <m/>
    <m/>
    <m/>
  </r>
  <r>
    <s v="CE69111"/>
    <s v="EDNA YURANI GIL"/>
    <s v="CORE"/>
    <x v="30"/>
    <s v="Choucair"/>
    <e v="#NAME?"/>
    <x v="124"/>
    <n v="0.3"/>
    <s v="QA"/>
    <s v="Otras Tec."/>
    <m/>
    <e v="#NAME?"/>
    <e v="#NAME?"/>
    <e v="#NAME?"/>
    <m/>
    <m/>
    <m/>
    <m/>
    <m/>
    <n v="0"/>
    <m/>
    <m/>
    <m/>
  </r>
  <r>
    <s v="CE69111"/>
    <s v="EDNA YURANI GIL"/>
    <s v="CORE"/>
    <x v="30"/>
    <s v="Choucair"/>
    <e v="#NAME?"/>
    <x v="86"/>
    <n v="0.5"/>
    <s v="QA"/>
    <s v="Otras Tec."/>
    <m/>
    <e v="#NAME?"/>
    <e v="#NAME?"/>
    <e v="#NAME?"/>
    <m/>
    <m/>
    <m/>
    <m/>
    <m/>
    <n v="0"/>
    <m/>
    <m/>
    <m/>
  </r>
  <r>
    <s v="O002373_x000a_"/>
    <s v="ESTEBAN ARIAS CARACAS "/>
    <s v="CORE"/>
    <x v="30"/>
    <s v="BBVA"/>
    <e v="#NAME?"/>
    <x v="215"/>
    <n v="1"/>
    <s v="Desarrollador"/>
    <s v="APX"/>
    <s v="Desarrollador dedicado a la tecnología APX, y para el 1Q realizará actividades de análisis, diseño e implementación de la iniciativa."/>
    <e v="#NAME?"/>
    <e v="#NAME?"/>
    <e v="#NAME?"/>
    <m/>
    <m/>
    <m/>
    <m/>
    <m/>
    <n v="1"/>
    <m/>
    <m/>
    <m/>
  </r>
  <r>
    <s v="C604380"/>
    <s v="JAVIER FRANCISCO OSPINA RAMIREZ"/>
    <s v="CORE"/>
    <x v="30"/>
    <s v="BBVA"/>
    <e v="#NAME?"/>
    <x v="224"/>
    <n v="1"/>
    <s v="QA"/>
    <s v="Otras Tec."/>
    <s v="Pruebas a mejoras CAP retail y pruebas a roda la no afectación CAP"/>
    <e v="#NAME?"/>
    <e v="#NAME?"/>
    <e v="#NAME?"/>
    <m/>
    <m/>
    <m/>
    <m/>
    <m/>
    <n v="1"/>
    <m/>
    <m/>
    <m/>
  </r>
  <r>
    <s v="T003428_x000a_"/>
    <s v="JUAN PABLO MORA "/>
    <s v="CORE"/>
    <x v="30"/>
    <s v="Choucair"/>
    <e v="#NAME?"/>
    <x v="218"/>
    <n v="1"/>
    <s v="QA"/>
    <s v="Otras Tec."/>
    <s v="Analálisis, diseño y pruebas a mejoras CAP "/>
    <e v="#NAME?"/>
    <e v="#NAME?"/>
    <e v="#NAME?"/>
    <m/>
    <m/>
    <m/>
    <m/>
    <m/>
    <n v="1"/>
    <m/>
    <m/>
    <m/>
  </r>
  <r>
    <s v="T007157"/>
    <s v="JUAN SEBASTIAN BUSTOS"/>
    <s v="CORE"/>
    <x v="30"/>
    <s v="Choucair"/>
    <e v="#NAME?"/>
    <x v="223"/>
    <n v="1"/>
    <s v="Desarrollador"/>
    <s v="Distribuido"/>
    <s v="Análisis, diseño y desarrollo CAP Proyecto Oferta D+0"/>
    <e v="#NAME?"/>
    <e v="#NAME?"/>
    <e v="#NAME?"/>
    <m/>
    <m/>
    <m/>
    <m/>
    <m/>
    <n v="1"/>
    <m/>
    <m/>
    <m/>
  </r>
  <r>
    <s v="C810787"/>
    <s v="JUAN SEBASTÍAN RODRIGUEZ TOVAR"/>
    <s v="CORE"/>
    <x v="30"/>
    <s v="BBVA"/>
    <e v="#NAME?"/>
    <x v="224"/>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n v="1"/>
    <m/>
    <m/>
    <m/>
  </r>
  <r>
    <s v="C810787"/>
    <s v="JUAN SEBASTÍAN RODRIGUEZ TOVAR"/>
    <s v="CORE"/>
    <x v="30"/>
    <s v="BBVA"/>
    <e v="#NAME?"/>
    <x v="124"/>
    <n v="0.2"/>
    <s v="Desarrollador"/>
    <s v="Distribuido"/>
    <s v="-Seguimiento a contratación de SW cuota segura con Meraki, aprobación diseño técnico, sanción técnica de software y acompañamiento en calidad para la certificación"/>
    <e v="#NAME?"/>
    <e v="#NAME?"/>
    <e v="#NAME?"/>
    <m/>
    <m/>
    <m/>
    <m/>
    <m/>
    <n v="0"/>
    <m/>
    <m/>
    <m/>
  </r>
  <r>
    <s v="C810787"/>
    <s v="JUAN SEBASTÍAN RODRIGUEZ TOVAR"/>
    <s v="CORE"/>
    <x v="30"/>
    <s v="BBVA"/>
    <e v="#NAME?"/>
    <x v="3"/>
    <n v="0.2"/>
    <s v="Desarrollador"/>
    <s v="Distribuido"/>
    <s v="Soporte Aplicativo "/>
    <e v="#NAME?"/>
    <e v="#NAME?"/>
    <e v="#NAME?"/>
    <m/>
    <m/>
    <m/>
    <m/>
    <m/>
    <n v="0"/>
    <m/>
    <m/>
    <m/>
  </r>
  <r>
    <s v="CE70176"/>
    <s v="JULIANA BALCERO "/>
    <s v="CORE"/>
    <x v="30"/>
    <s v="Choucair"/>
    <e v="#NAME?"/>
    <x v="223"/>
    <n v="1"/>
    <s v="QA"/>
    <s v="Otras Tec."/>
    <s v="Análisis, diseño y pruebas CAP Proyecto Oferta D+0"/>
    <e v="#NAME?"/>
    <e v="#NAME?"/>
    <e v="#NAME?"/>
    <m/>
    <m/>
    <m/>
    <m/>
    <m/>
    <n v="1"/>
    <m/>
    <m/>
    <m/>
  </r>
  <r>
    <s v="T007470"/>
    <s v="KAREN ANGELICA ANDRADE"/>
    <s v="CORE"/>
    <x v="30"/>
    <s v="Inetum"/>
    <e v="#NAME?"/>
    <x v="3"/>
    <n v="1"/>
    <s v="Otros"/>
    <s v="Otras Tec."/>
    <s v="Soporte Aranda, apoyo administrativo "/>
    <e v="#NAME?"/>
    <e v="#NAME?"/>
    <e v="#NAME?"/>
    <m/>
    <m/>
    <m/>
    <m/>
    <m/>
    <n v="1"/>
    <m/>
    <m/>
    <m/>
  </r>
  <r>
    <s v="C809512"/>
    <s v="MARTHA BEATRIZ GALLEGO MARIN "/>
    <s v="CORE"/>
    <x v="30"/>
    <s v="BBVA"/>
    <e v="#NAME?"/>
    <x v="215"/>
    <n v="0.8"/>
    <s v="Tech Manager/Líder"/>
    <s v="APX"/>
    <s v="Análisis, Diseño y Seguimiento Construcción Proyecto"/>
    <e v="#NAME?"/>
    <e v="#NAME?"/>
    <e v="#NAME?"/>
    <m/>
    <m/>
    <m/>
    <m/>
    <m/>
    <n v="1"/>
    <m/>
    <m/>
    <m/>
  </r>
  <r>
    <s v="C809512"/>
    <s v="MARTHA BEATRIZ GALLEGO MARIN "/>
    <s v="CORE"/>
    <x v="30"/>
    <s v="BBVA"/>
    <e v="#NAME?"/>
    <x v="225"/>
    <n v="0.2"/>
    <s v="Tech Manager/Líder"/>
    <s v="APX"/>
    <s v="Análisis , Diseño, Pruebas e implemenación."/>
    <e v="#NAME?"/>
    <e v="#NAME?"/>
    <e v="#NAME?"/>
    <m/>
    <m/>
    <m/>
    <m/>
    <m/>
    <n v="0"/>
    <m/>
    <m/>
    <m/>
  </r>
  <r>
    <s v="C810957"/>
    <s v="MATEO ECHEVERRY PELAEZ"/>
    <s v="CORE"/>
    <x v="30"/>
    <s v="BBVA"/>
    <e v="#NAME?"/>
    <x v="223"/>
    <n v="1"/>
    <s v="Desarrollador"/>
    <s v="Distribuido"/>
    <s v="Análisis, diseño y desarrollo CAP Proyecto Oferta D+0"/>
    <e v="#NAME?"/>
    <e v="#NAME?"/>
    <e v="#NAME?"/>
    <m/>
    <m/>
    <m/>
    <m/>
    <m/>
    <n v="1"/>
    <m/>
    <m/>
    <m/>
  </r>
  <r>
    <s v="O003458"/>
    <s v="MOISES ABRAHAM LUNA MOJICA"/>
    <s v="CORE"/>
    <x v="30"/>
    <s v="BBVA"/>
    <e v="#NAME?"/>
    <x v="215"/>
    <n v="1"/>
    <s v="Desarrollador"/>
    <s v="ASO"/>
    <s v="Desarrollador dedicado a la tecnología ASO, y para el 1Q realizará actividades de análisis, diseño e implementación de la iniciativa."/>
    <e v="#NAME?"/>
    <e v="#NAME?"/>
    <e v="#NAME?"/>
    <m/>
    <m/>
    <m/>
    <m/>
    <m/>
    <n v="1"/>
    <m/>
    <m/>
    <m/>
  </r>
  <r>
    <s v="O000471"/>
    <s v="RONAL ALBERTO TABORDA MORENO "/>
    <s v="CORE"/>
    <x v="30"/>
    <s v="BBVA"/>
    <e v="#NAME?"/>
    <x v="215"/>
    <n v="1"/>
    <s v="Desarrollador"/>
    <s v="Distribuido"/>
    <s v="Desarrollador dedicado a la tecnología APX, y para el 1Q realizará actividades de análisis, diseño e implementación de la iniciativa."/>
    <e v="#NAME?"/>
    <e v="#NAME?"/>
    <e v="#NAME?"/>
    <m/>
    <m/>
    <m/>
    <m/>
    <m/>
    <n v="1"/>
    <m/>
    <m/>
    <m/>
  </r>
  <r>
    <s v="CE51433"/>
    <s v="SERGIO OSWALDO ROJAS BERNAL  "/>
    <s v="CORE"/>
    <x v="30"/>
    <s v="Choucair"/>
    <e v="#NAME?"/>
    <x v="223"/>
    <n v="1"/>
    <s v="Desarrollador"/>
    <s v="Mainframe"/>
    <s v="Análisis, diseño y desarrollo CAP Proyecto Oferta D+0"/>
    <e v="#NAME?"/>
    <e v="#NAME?"/>
    <e v="#NAME?"/>
    <m/>
    <m/>
    <m/>
    <m/>
    <m/>
    <n v="1"/>
    <m/>
    <m/>
    <m/>
  </r>
  <r>
    <s v="C342041"/>
    <s v="YANETH MORENO AGUILAR"/>
    <s v="CIB &amp; COMEX - FIDUCIARIA"/>
    <x v="16"/>
    <s v="BBVA"/>
    <e v="#NAME?"/>
    <x v="3"/>
    <n v="0.25"/>
    <s v="QA"/>
    <s v="Distribuido"/>
    <m/>
    <e v="#NAME?"/>
    <e v="#NAME?"/>
    <e v="#NAME?"/>
    <m/>
    <m/>
    <m/>
    <m/>
    <m/>
    <m/>
    <m/>
    <m/>
    <m/>
  </r>
  <r>
    <s v="C342041"/>
    <s v="YANETH MORENO AGUILAR"/>
    <s v="CIB &amp; COMEX - FIDUCIARIA"/>
    <x v="1"/>
    <s v="BBVA"/>
    <e v="#NAME?"/>
    <x v="3"/>
    <n v="0.25"/>
    <s v="QA"/>
    <s v="Distribuido"/>
    <m/>
    <e v="#NAME?"/>
    <e v="#NAME?"/>
    <e v="#NAME?"/>
    <m/>
    <m/>
    <m/>
    <m/>
    <m/>
    <m/>
    <m/>
    <m/>
    <m/>
  </r>
  <r>
    <s v="C342041"/>
    <s v="YANETH MORENO AGUILAR"/>
    <s v="CIB &amp; COMEX - FIDUCIARIA"/>
    <x v="12"/>
    <s v="BBVA"/>
    <e v="#NAME?"/>
    <x v="3"/>
    <n v="0.25"/>
    <s v="QA"/>
    <s v="Distribuido"/>
    <m/>
    <e v="#NAME?"/>
    <e v="#NAME?"/>
    <e v="#NAME?"/>
    <m/>
    <m/>
    <m/>
    <m/>
    <m/>
    <m/>
    <m/>
    <m/>
    <m/>
  </r>
  <r>
    <s v="C342041"/>
    <s v="YANETH MORENO AGUILAR"/>
    <s v="CIB &amp; COMEX - FIDUCIARIA"/>
    <x v="18"/>
    <s v="BBVA"/>
    <e v="#NAME?"/>
    <x v="3"/>
    <n v="0.25"/>
    <s v="QA"/>
    <s v="Distribuido"/>
    <m/>
    <e v="#NAME?"/>
    <e v="#NAME?"/>
    <e v="#NAME?"/>
    <m/>
    <m/>
    <m/>
    <m/>
    <m/>
    <m/>
    <m/>
    <m/>
    <m/>
  </r>
  <r>
    <s v="CE69277"/>
    <s v="JULIAN I BECERRA BAUTISTA"/>
    <s v="CIB &amp; COMEX - FIDUCIARIA"/>
    <x v="16"/>
    <s v="GGI / CMC"/>
    <e v="#NAME?"/>
    <x v="3"/>
    <n v="0.5"/>
    <s v="Otros"/>
    <s v="Distribuido"/>
    <m/>
    <e v="#NAME?"/>
    <e v="#NAME?"/>
    <e v="#NAME?"/>
    <m/>
    <m/>
    <m/>
    <m/>
    <m/>
    <m/>
    <m/>
    <m/>
    <m/>
  </r>
  <r>
    <s v="CE69277"/>
    <s v="JULIAN I BECERRA BAUTISTA"/>
    <s v="CIB &amp; COMEX - FIDUCIARIA"/>
    <x v="1"/>
    <s v="GGI / CMC"/>
    <e v="#NAME?"/>
    <x v="3"/>
    <n v="0.5"/>
    <s v="Otros"/>
    <s v="Distribuido"/>
    <m/>
    <e v="#NAME?"/>
    <e v="#NAME?"/>
    <e v="#NAME?"/>
    <m/>
    <m/>
    <m/>
    <m/>
    <m/>
    <m/>
    <m/>
    <m/>
    <m/>
  </r>
  <r>
    <s v="C811308"/>
    <s v="JOSMAN ALEXANDER KOOP SANTA"/>
    <s v="ENTERPRISE"/>
    <x v="10"/>
    <s v="BBVA"/>
    <e v="#NAME?"/>
    <x v="226"/>
    <n v="0.25"/>
    <s v="Tech Manager/Líder"/>
    <s v="Cells"/>
    <m/>
    <e v="#NAME?"/>
    <e v="#NAME?"/>
    <e v="#NAME?"/>
    <m/>
    <m/>
    <m/>
    <m/>
    <m/>
    <m/>
    <m/>
    <m/>
    <m/>
  </r>
  <r>
    <s v="C811308"/>
    <s v="JOSMAN ALEXANDER KOOP SANTA"/>
    <s v="ENTERPRISE"/>
    <x v="10"/>
    <s v="BBVA"/>
    <e v="#NAME?"/>
    <x v="88"/>
    <n v="0.25"/>
    <s v="Tech Manager/Líder"/>
    <s v="Cells"/>
    <m/>
    <e v="#NAME?"/>
    <e v="#NAME?"/>
    <e v="#NAME?"/>
    <m/>
    <m/>
    <m/>
    <m/>
    <m/>
    <m/>
    <m/>
    <m/>
    <m/>
  </r>
  <r>
    <s v="C811308"/>
    <s v="JOSMAN ALEXANDER KOOP SANTA"/>
    <s v="ENTERPRISE"/>
    <x v="10"/>
    <s v="BBVA"/>
    <e v="#NAME?"/>
    <x v="90"/>
    <n v="0.25"/>
    <s v="Tech Manager/Líder"/>
    <s v="Cells"/>
    <m/>
    <e v="#NAME?"/>
    <e v="#NAME?"/>
    <e v="#NAME?"/>
    <m/>
    <m/>
    <m/>
    <m/>
    <m/>
    <m/>
    <m/>
    <m/>
    <m/>
  </r>
  <r>
    <s v="C811308"/>
    <s v="JOSMAN ALEXANDER KOOP SANTA"/>
    <s v="ENTERPRISE"/>
    <x v="10"/>
    <s v="BBVA"/>
    <e v="#NAME?"/>
    <x v="3"/>
    <n v="0.25"/>
    <s v="Tech Manager/Líder"/>
    <s v="Cells"/>
    <m/>
    <e v="#NAME?"/>
    <e v="#NAME?"/>
    <e v="#NAME?"/>
    <m/>
    <m/>
    <m/>
    <m/>
    <m/>
    <m/>
    <m/>
    <m/>
    <m/>
  </r>
  <r>
    <s v="C342040"/>
    <s v="ANDRES FERMIN PITRE JIMENEZ"/>
    <s v="ENTERPRISE"/>
    <x v="3"/>
    <s v="BBVA"/>
    <e v="#NAME?"/>
    <x v="93"/>
    <n v="1"/>
    <s v="Tech Manager/Líder"/>
    <s v="Distribuido"/>
    <m/>
    <e v="#NAME?"/>
    <e v="#NAME?"/>
    <e v="#NAME?"/>
    <m/>
    <m/>
    <m/>
    <m/>
    <m/>
    <m/>
    <m/>
    <m/>
    <m/>
  </r>
  <r>
    <s v="C804047"/>
    <s v="OSCAR EDILBERTO MESA TRUJILLO"/>
    <s v="ENTERPRISE"/>
    <x v="3"/>
    <s v="BBVA"/>
    <e v="#NAME?"/>
    <x v="22"/>
    <n v="1"/>
    <s v="Tech Manager/Líder"/>
    <s v="Mainframe"/>
    <m/>
    <e v="#NAME?"/>
    <e v="#NAME?"/>
    <e v="#NAME?"/>
    <m/>
    <m/>
    <m/>
    <m/>
    <m/>
    <m/>
    <m/>
    <m/>
    <m/>
  </r>
  <r>
    <s v="C811356"/>
    <s v="JEFFERSON CAMILO ROZO CASTILLO"/>
    <s v="ENTERPRISE"/>
    <x v="10"/>
    <s v="BBVA"/>
    <e v="#NAME?"/>
    <x v="90"/>
    <n v="1"/>
    <s v="Tech Manager/Líder"/>
    <s v="Distribuido"/>
    <m/>
    <e v="#NAME?"/>
    <e v="#NAME?"/>
    <e v="#NAME?"/>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74">
  <r>
    <s v="C804055"/>
    <x v="0"/>
    <x v="0"/>
    <x v="0"/>
    <s v="BBVA"/>
    <e v="#NAME?"/>
    <s v="SDATOOL-36358 $ Pagos por Terceros (Mandato y/o Administración) - Información exógena DIAN - Resolución 0098 DIAN"/>
    <n v="0.05"/>
    <s v="Desarrollador"/>
    <s v="Distribuido"/>
    <m/>
    <e v="#NAME?"/>
    <e v="#NAME?"/>
    <e v="#NAME?"/>
    <m/>
    <m/>
    <m/>
    <m/>
    <m/>
  </r>
  <r>
    <s v="C804055"/>
    <x v="0"/>
    <x v="0"/>
    <x v="0"/>
    <s v="BBVA"/>
    <e v="#NAME?"/>
    <s v="SDATOOL-33847 $ Resolución 0042 DIAN Documento Soporte"/>
    <n v="0.05"/>
    <s v="Desarrollador"/>
    <s v="Distribuido"/>
    <m/>
    <e v="#NAME?"/>
    <e v="#NAME?"/>
    <e v="#NAME?"/>
    <m/>
    <m/>
    <m/>
    <m/>
    <m/>
  </r>
  <r>
    <s v="C804055"/>
    <x v="0"/>
    <x v="0"/>
    <x v="0"/>
    <s v="BBVA"/>
    <e v="#NAME?"/>
    <s v="SDATOOL-39334 $ GRM Col Reg - CE016-19 Modificados, reestructurados e incumplidos Leasing"/>
    <n v="0.05"/>
    <s v="Desarrollador"/>
    <s v="Distribuido"/>
    <m/>
    <e v="#NAME?"/>
    <e v="#NAME?"/>
    <e v="#NAME?"/>
    <m/>
    <m/>
    <m/>
    <m/>
    <m/>
  </r>
  <r>
    <s v="C804055"/>
    <x v="0"/>
    <x v="0"/>
    <x v="0"/>
    <s v="BBVA"/>
    <e v="#NAME?"/>
    <s v="NOSDA $ BAU (Mantenimiento y peq. evolutivos)"/>
    <n v="0.05"/>
    <s v="Desarrollador"/>
    <s v="Distribuido"/>
    <m/>
    <e v="#NAME?"/>
    <e v="#NAME?"/>
    <e v="#NAME?"/>
    <m/>
    <m/>
    <m/>
    <m/>
    <m/>
  </r>
  <r>
    <s v="C804055"/>
    <x v="0"/>
    <x v="0"/>
    <x v="0"/>
    <s v="BBVA"/>
    <e v="#NAME?"/>
    <s v="SDATOOL-41941 $ INTEGRACIÓN DE AS400 Y HOST Y ESTABILIZACIÓN Y RESTABLECIMIENTO DE lOS ENTORNOS DE LEASING AS400 DE DESARROLLO Y CALIDAD&quot;"/>
    <n v="0.05"/>
    <s v="Desarrollador"/>
    <s v="Distribuido"/>
    <m/>
    <e v="#NAME?"/>
    <e v="#NAME?"/>
    <e v="#NAME?"/>
    <m/>
    <m/>
    <m/>
    <m/>
    <m/>
  </r>
  <r>
    <s v="C804055"/>
    <x v="0"/>
    <x v="0"/>
    <x v="0"/>
    <s v="BBVA"/>
    <e v="#NAME?"/>
    <s v="SDATOOL-40438 $ CIRCULAR 032 del 2021 - REQUERIMIENTO FISCALIA GENERAL DE LA NACION"/>
    <n v="0.6"/>
    <s v="Desarrollador"/>
    <s v="Distribuido"/>
    <m/>
    <e v="#NAME?"/>
    <e v="#NAME?"/>
    <e v="#NAME?"/>
    <m/>
    <m/>
    <m/>
    <m/>
    <m/>
  </r>
  <r>
    <s v="C804055"/>
    <x v="0"/>
    <x v="0"/>
    <x v="0"/>
    <s v="BBVA"/>
    <e v="#NAME?"/>
    <s v="SDATOOL-33846 $ SREP Data Quality- BCBS239 - Colombia"/>
    <n v="0.1"/>
    <s v="Desarrollador"/>
    <s v="Distribuido"/>
    <m/>
    <e v="#NAME?"/>
    <e v="#NAME?"/>
    <e v="#NAME?"/>
    <m/>
    <m/>
    <m/>
    <m/>
    <m/>
  </r>
  <r>
    <s v="C804055"/>
    <x v="0"/>
    <x v="0"/>
    <x v="0"/>
    <s v="BBVA"/>
    <e v="#NAME?"/>
    <s v="SDATOOL-39783 $ Resolución 0124 de 2021 - Captura del base de Operaciones Anuladas en Leasing - Aplic. Leasing"/>
    <n v="0.05"/>
    <s v="Desarrollador"/>
    <s v="Distribuido"/>
    <m/>
    <e v="#NAME?"/>
    <e v="#NAME?"/>
    <e v="#NAME?"/>
    <m/>
    <m/>
    <m/>
    <m/>
    <m/>
  </r>
  <r>
    <s v="C342600"/>
    <x v="1"/>
    <x v="0"/>
    <x v="0"/>
    <s v="BBVA"/>
    <e v="#NAME?"/>
    <s v="SDATOOL-33847 $ Resolución 0042 DIAN Documento Soporte"/>
    <n v="0.15"/>
    <s v="Tech Manager/Líder"/>
    <s v="Distribuido"/>
    <m/>
    <e v="#NAME?"/>
    <e v="#NAME?"/>
    <e v="#NAME?"/>
    <m/>
    <m/>
    <m/>
    <m/>
    <m/>
  </r>
  <r>
    <s v="C342600"/>
    <x v="1"/>
    <x v="0"/>
    <x v="0"/>
    <s v="BBVA"/>
    <e v="#NAME?"/>
    <s v="SDATOOL-39334 $ GRM Col Reg - CE016-19 Modificados, reestructurados e incumplidos Leasing"/>
    <n v="0.1"/>
    <s v="Tech Manager/Líder"/>
    <s v="Distribuido"/>
    <m/>
    <e v="#NAME?"/>
    <e v="#NAME?"/>
    <e v="#NAME?"/>
    <m/>
    <m/>
    <m/>
    <m/>
    <m/>
  </r>
  <r>
    <s v="C342600"/>
    <x v="1"/>
    <x v="0"/>
    <x v="0"/>
    <s v="BBVA"/>
    <e v="#NAME?"/>
    <s v="SDATOOL-7269 $ Core Data &amp; Gobierno de Datos"/>
    <n v="0.2"/>
    <s v="Tech Manager/Líder"/>
    <s v="Distribuido"/>
    <m/>
    <e v="#NAME?"/>
    <e v="#NAME?"/>
    <e v="#NAME?"/>
    <m/>
    <m/>
    <m/>
    <m/>
    <m/>
  </r>
  <r>
    <s v="C342600"/>
    <x v="1"/>
    <x v="0"/>
    <x v="0"/>
    <s v="BBVA"/>
    <e v="#NAME?"/>
    <s v="SDATOOL-41941 $ INTEGRACIÓN DE AS400 Y HOST Y ESTABILIZACIÓN Y RESTABLECIMIENTO DE lOS ENTORNOS DE LEASING AS400 DE DESARROLLO Y CALIDAD&quot;"/>
    <n v="0.15"/>
    <s v="Tech Manager/Líder"/>
    <s v="Distribuido"/>
    <m/>
    <e v="#NAME?"/>
    <e v="#NAME?"/>
    <e v="#NAME?"/>
    <m/>
    <m/>
    <m/>
    <m/>
    <m/>
  </r>
  <r>
    <s v="C342600"/>
    <x v="1"/>
    <x v="0"/>
    <x v="0"/>
    <s v="BBVA"/>
    <e v="#NAME?"/>
    <s v="SDATOOL-40438 $ CIRCULAR 032 del 2021 - REQUERIMIENTO FISCALIA GENERAL DE LA NACION"/>
    <n v="0.2"/>
    <s v="Tech Manager/Líder"/>
    <s v="Distribuido"/>
    <m/>
    <e v="#NAME?"/>
    <e v="#NAME?"/>
    <e v="#NAME?"/>
    <m/>
    <m/>
    <m/>
    <m/>
    <m/>
  </r>
  <r>
    <s v="C342600"/>
    <x v="1"/>
    <x v="0"/>
    <x v="0"/>
    <s v="BBVA"/>
    <e v="#NAME?"/>
    <s v="SDATOOL-33846 $ SREP Data Quality- BCBS239 - Colombia"/>
    <n v="0.1"/>
    <s v="Tech Manager/Líder"/>
    <s v="Distribuido"/>
    <m/>
    <e v="#NAME?"/>
    <e v="#NAME?"/>
    <e v="#NAME?"/>
    <m/>
    <m/>
    <m/>
    <m/>
    <m/>
  </r>
  <r>
    <s v="C342600"/>
    <x v="1"/>
    <x v="0"/>
    <x v="0"/>
    <s v="BBVA"/>
    <e v="#NAME?"/>
    <s v="SDATOOL-39783 $ Resolución 0124 de 2021 - Captura del base de Operaciones Anuladas en Leasing - Aplic. Leasing"/>
    <n v="0.1"/>
    <s v="Tech Manager/Líder"/>
    <s v="Distribuido"/>
    <m/>
    <e v="#NAME?"/>
    <e v="#NAME?"/>
    <e v="#NAME?"/>
    <m/>
    <m/>
    <m/>
    <m/>
    <m/>
  </r>
  <r>
    <s v="C808267"/>
    <x v="2"/>
    <x v="0"/>
    <x v="0"/>
    <s v="BBVA"/>
    <e v="#NAME?"/>
    <s v="SDATOOL-41941 $ INTEGRACIÓN DE AS400 Y HOST Y ESTABILIZACIÓN Y RESTABLECIMIENTO DE lOS ENTORNOS DE LEASING AS400 DE DESARROLLO Y CALIDAD&quot;"/>
    <n v="0.7"/>
    <s v="Desarrollador"/>
    <s v="Distribuido"/>
    <m/>
    <e v="#NAME?"/>
    <e v="#NAME?"/>
    <e v="#NAME?"/>
    <m/>
    <m/>
    <m/>
    <m/>
    <m/>
  </r>
  <r>
    <s v="C808267"/>
    <x v="2"/>
    <x v="0"/>
    <x v="0"/>
    <s v="BBVA"/>
    <e v="#NAME?"/>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08683"/>
    <x v="3"/>
    <x v="0"/>
    <x v="0"/>
    <s v="BBVA"/>
    <e v="#NAME?"/>
    <s v="SDATOOL-33847 $ Resolución 0042 DIAN Documento Soporte"/>
    <n v="0.1"/>
    <s v="Desarrollador"/>
    <s v="Distribuido"/>
    <m/>
    <e v="#NAME?"/>
    <e v="#NAME?"/>
    <e v="#NAME?"/>
    <m/>
    <m/>
    <m/>
    <m/>
    <m/>
  </r>
  <r>
    <s v="C808683"/>
    <x v="3"/>
    <x v="0"/>
    <x v="0"/>
    <s v="BBVA"/>
    <e v="#NAME?"/>
    <s v="SDATOOL-40438 $ CIRCULAR 032 del 2021 - REQUERIMIENTO FISCALIA GENERAL DE LA NACION"/>
    <n v="0.8"/>
    <s v="Desarrollador"/>
    <s v="Distribuido"/>
    <m/>
    <e v="#NAME?"/>
    <e v="#NAME?"/>
    <e v="#NAME?"/>
    <m/>
    <m/>
    <m/>
    <m/>
    <m/>
  </r>
  <r>
    <s v="C808683"/>
    <x v="3"/>
    <x v="0"/>
    <x v="0"/>
    <s v="BBVA"/>
    <e v="#NAME?"/>
    <s v="SDATOOL-36358 $ Pagos por Terceros (Mandato y/o Administración) - Información exógena DIAN - Resolución 0098 DIAN"/>
    <n v="0.1"/>
    <s v="Desarrollador"/>
    <s v="Distribuido"/>
    <m/>
    <e v="#NAME?"/>
    <e v="#NAME?"/>
    <e v="#NAME?"/>
    <m/>
    <m/>
    <m/>
    <m/>
    <m/>
  </r>
  <r>
    <s v="C811296"/>
    <x v="4"/>
    <x v="0"/>
    <x v="0"/>
    <s v="BBVA"/>
    <e v="#NAME?"/>
    <s v="SDATOOL-40438 $ CIRCULAR 032 del 2021 - REQUERIMIENTO FISCALIA GENERAL DE LA NACION"/>
    <n v="0.75"/>
    <s v="Desarrollador"/>
    <s v="Distribuido"/>
    <m/>
    <e v="#NAME?"/>
    <e v="#NAME?"/>
    <e v="#NAME?"/>
    <m/>
    <m/>
    <m/>
    <m/>
    <m/>
  </r>
  <r>
    <s v="C811296"/>
    <x v="4"/>
    <x v="0"/>
    <x v="0"/>
    <s v="BBVA"/>
    <e v="#NAME?"/>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11302"/>
    <x v="5"/>
    <x v="0"/>
    <x v="0"/>
    <s v="BBVA"/>
    <e v="#NAME?"/>
    <s v="SDATOOL-41938 $ GRM Col Reg - Ajuste Calificación Escalera"/>
    <n v="1"/>
    <s v="Desarrollador"/>
    <s v="Distribuido"/>
    <m/>
    <e v="#NAME?"/>
    <e v="#NAME?"/>
    <e v="#NAME?"/>
    <m/>
    <m/>
    <m/>
    <m/>
    <m/>
  </r>
  <r>
    <s v="C811321"/>
    <x v="6"/>
    <x v="0"/>
    <x v="0"/>
    <s v="BBVA"/>
    <e v="#NAME?"/>
    <s v="SDATOOL-41938 $ GRM Col Reg - Ajuste Calificación Escalera"/>
    <n v="1"/>
    <s v="Desarrollador"/>
    <s v="Distribuido"/>
    <m/>
    <e v="#NAME?"/>
    <e v="#NAME?"/>
    <e v="#NAME?"/>
    <m/>
    <m/>
    <m/>
    <m/>
    <m/>
  </r>
  <r>
    <s v="CE57093"/>
    <x v="7"/>
    <x v="0"/>
    <x v="0"/>
    <s v="Choucair"/>
    <e v="#NAME?"/>
    <s v="SDATOOL-41941 $ INTEGRACIÓN DE AS400 Y HOST Y ESTABILIZACIÓN Y RESTABLECIMIENTO DE lOS ENTORNOS DE LEASING AS400 DE DESARROLLO Y CALIDAD&quot;"/>
    <n v="0.5"/>
    <s v="QA"/>
    <s v="Distribuido"/>
    <m/>
    <e v="#NAME?"/>
    <e v="#NAME?"/>
    <e v="#NAME?"/>
    <m/>
    <m/>
    <m/>
    <m/>
    <m/>
  </r>
  <r>
    <s v="CE57093"/>
    <x v="7"/>
    <x v="0"/>
    <x v="0"/>
    <s v="Choucair"/>
    <e v="#NAME?"/>
    <s v="SDATOOL-40438 $ CIRCULAR 032 del 2021 - REQUERIMIENTO FISCALIA GENERAL DE LA NACION"/>
    <n v="0.5"/>
    <s v="QA"/>
    <s v="Distribuido"/>
    <m/>
    <e v="#NAME?"/>
    <e v="#NAME?"/>
    <e v="#NAME?"/>
    <m/>
    <m/>
    <m/>
    <m/>
    <m/>
  </r>
  <r>
    <s v="CE69112"/>
    <x v="8"/>
    <x v="0"/>
    <x v="0"/>
    <s v="Choucair"/>
    <e v="#NAME?"/>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r>
  <r>
    <s v="CE54816"/>
    <x v="9"/>
    <x v="0"/>
    <x v="0"/>
    <s v="Choucair"/>
    <e v="#NAME?"/>
    <s v="SDATOOL-33847 $ Resolución 0042 DIAN Documento Soporte"/>
    <n v="1"/>
    <s v="QA"/>
    <s v="Distribuido"/>
    <m/>
    <e v="#NAME?"/>
    <e v="#NAME?"/>
    <e v="#NAME?"/>
    <m/>
    <m/>
    <m/>
    <m/>
    <m/>
  </r>
  <r>
    <s v="CE69341"/>
    <x v="10"/>
    <x v="0"/>
    <x v="0"/>
    <s v="Choucair"/>
    <e v="#NAME?"/>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e v="#NAME?"/>
    <e v="#NAME?"/>
    <m/>
    <m/>
    <m/>
    <m/>
    <m/>
  </r>
  <r>
    <s v="CE69341"/>
    <x v="10"/>
    <x v="0"/>
    <x v="0"/>
    <s v="Choucair"/>
    <e v="#NAME?"/>
    <s v="SDATOOL-40438 $ CIRCULAR 032 del 2021 - REQUERIMIENTO FISCALIA GENERAL DE LA NACION"/>
    <n v="0.5"/>
    <s v="QA"/>
    <s v="Distribuido"/>
    <m/>
    <e v="#NAME?"/>
    <e v="#NAME?"/>
    <e v="#NAME?"/>
    <m/>
    <m/>
    <m/>
    <m/>
    <m/>
  </r>
  <r>
    <s v="CE70380"/>
    <x v="11"/>
    <x v="0"/>
    <x v="0"/>
    <s v="Choucair"/>
    <e v="#NAME?"/>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e v="#NAME?"/>
    <e v="#NAME?"/>
    <m/>
    <m/>
    <m/>
    <m/>
    <m/>
  </r>
  <r>
    <s v="T004725"/>
    <x v="12"/>
    <x v="0"/>
    <x v="0"/>
    <s v="Choucair"/>
    <e v="#NAME?"/>
    <s v="SDATOOL-33847 $ Resolución 0042 DIAN Documento Soporte"/>
    <n v="1"/>
    <s v="QA"/>
    <s v="Distribuido"/>
    <m/>
    <e v="#NAME?"/>
    <e v="#NAME?"/>
    <e v="#NAME?"/>
    <m/>
    <m/>
    <m/>
    <m/>
    <m/>
  </r>
  <r>
    <s v="CE70382"/>
    <x v="13"/>
    <x v="0"/>
    <x v="0"/>
    <s v="Choucair"/>
    <e v="#NAME?"/>
    <s v="SDATOOL-33847 $ Resolución 0042 DIAN Documento Soporte"/>
    <n v="1"/>
    <s v="QA"/>
    <s v="Distribuido"/>
    <m/>
    <e v="#NAME?"/>
    <e v="#NAME?"/>
    <e v="#NAME?"/>
    <m/>
    <m/>
    <m/>
    <m/>
    <m/>
  </r>
  <r>
    <s v="CE69031"/>
    <x v="14"/>
    <x v="0"/>
    <x v="0"/>
    <s v="KRYPTO"/>
    <e v="#NAME?"/>
    <s v="SDATOOL-40438 $ CIRCULAR 032 del 2021 - REQUERIMIENTO FISCALIA GENERAL DE LA NACION"/>
    <n v="7.0000000000000007E-2"/>
    <s v="Otros"/>
    <s v="Distribuido"/>
    <m/>
    <e v="#NAME?"/>
    <e v="#NAME?"/>
    <e v="#NAME?"/>
    <m/>
    <m/>
    <m/>
    <m/>
    <m/>
  </r>
  <r>
    <s v="CE69031"/>
    <x v="14"/>
    <x v="0"/>
    <x v="0"/>
    <s v="KRYPTO"/>
    <e v="#NAME?"/>
    <s v="SDATOOL-41941 $ INTEGRACIÓN DE AS400 Y HOST Y ESTABILIZACIÓN Y RESTABLECIMIENTO DE lOS ENTORNOS DE LEASING AS400 DE DESARROLLO Y CALIDAD&quot;"/>
    <n v="0.1"/>
    <s v="Otros"/>
    <s v="Distribuido"/>
    <m/>
    <e v="#NAME?"/>
    <e v="#NAME?"/>
    <e v="#NAME?"/>
    <m/>
    <m/>
    <m/>
    <m/>
    <m/>
  </r>
  <r>
    <s v="CE69031"/>
    <x v="14"/>
    <x v="0"/>
    <x v="0"/>
    <s v="KRYPTO"/>
    <e v="#NAME?"/>
    <s v="NOSDA $ BAU (Mantenimiento y peq. evolutivos)"/>
    <n v="0.08"/>
    <s v="Otros"/>
    <s v="Distribuido"/>
    <m/>
    <e v="#NAME?"/>
    <e v="#NAME?"/>
    <e v="#NAME?"/>
    <m/>
    <m/>
    <m/>
    <m/>
    <m/>
  </r>
  <r>
    <s v="C804844"/>
    <x v="15"/>
    <x v="1"/>
    <x v="1"/>
    <s v="BBVA"/>
    <e v="#NAME?"/>
    <s v="SDATOOL-42061 $ Murex Limit Control Intradía EOD"/>
    <n v="0.75"/>
    <s v="Desarrollador"/>
    <s v="Otras Tec."/>
    <s v="Lenguaje de prog.  JAVA."/>
    <e v="#NAME?"/>
    <e v="#NAME?"/>
    <e v="#NAME?"/>
    <m/>
    <m/>
    <m/>
    <m/>
    <m/>
  </r>
  <r>
    <s v="C804844"/>
    <x v="15"/>
    <x v="1"/>
    <x v="1"/>
    <s v="BBVA"/>
    <e v="#NAME?"/>
    <s v="SDATOOL-42081 $ Evolutivos Migración Murex 3"/>
    <n v="0.25"/>
    <s v="Desarrollador"/>
    <s v="Otras Tec."/>
    <s v="Lenguaje de prog.  JAVA."/>
    <e v="#NAME?"/>
    <e v="#NAME?"/>
    <e v="#NAME?"/>
    <m/>
    <m/>
    <m/>
    <m/>
    <m/>
  </r>
  <r>
    <s v="T003920"/>
    <x v="16"/>
    <x v="1"/>
    <x v="1"/>
    <s v="SII"/>
    <e v="#NAME?"/>
    <s v="SDATOOL-42061 $ Murex Limit Control Intradía EOD"/>
    <n v="1"/>
    <s v="Otros"/>
    <s v="Otras Tec."/>
    <s v=" "/>
    <e v="#NAME?"/>
    <e v="#NAME?"/>
    <e v="#NAME?"/>
    <m/>
    <m/>
    <m/>
    <m/>
    <m/>
  </r>
  <r>
    <s v="C805179"/>
    <x v="17"/>
    <x v="1"/>
    <x v="1"/>
    <s v="BBVA"/>
    <e v="#NAME?"/>
    <s v="SDATOOL-42061 $ Murex Limit Control Intradía EOD"/>
    <n v="0.75"/>
    <s v="Desarrollador"/>
    <s v="Otras Tec."/>
    <s v="Lenguaje de prog.  JAVA."/>
    <e v="#NAME?"/>
    <e v="#NAME?"/>
    <e v="#NAME?"/>
    <m/>
    <m/>
    <m/>
    <m/>
    <m/>
  </r>
  <r>
    <s v="C805179"/>
    <x v="17"/>
    <x v="1"/>
    <x v="1"/>
    <s v="BBVA"/>
    <e v="#NAME?"/>
    <s v="SDATOOL-42081 $ Evolutivos Migración Murex 3"/>
    <n v="0.25"/>
    <s v="Desarrollador"/>
    <s v="Otras Tec."/>
    <s v="Lenguaje de prog.  JAVA."/>
    <e v="#NAME?"/>
    <e v="#NAME?"/>
    <e v="#NAME?"/>
    <m/>
    <m/>
    <m/>
    <m/>
    <m/>
  </r>
  <r>
    <s v="CE14662"/>
    <x v="18"/>
    <x v="1"/>
    <x v="1"/>
    <s v="Tecnoevolución"/>
    <e v="#NAME?"/>
    <s v="NOSDA $ BAU (Mantenimiento y peq. evolutivos)"/>
    <n v="1"/>
    <s v="Desarrollador"/>
    <s v="Otras Tec."/>
    <s v="Tecnología Legacy: Power -Builder "/>
    <e v="#NAME?"/>
    <e v="#NAME?"/>
    <e v="#NAME?"/>
    <m/>
    <m/>
    <m/>
    <m/>
    <m/>
  </r>
  <r>
    <s v="CE63123"/>
    <x v="19"/>
    <x v="1"/>
    <x v="1"/>
    <s v="Tecnoevolución"/>
    <e v="#NAME?"/>
    <s v="NOSDA $ BAU (Mantenimiento y peq. evolutivos)"/>
    <n v="1"/>
    <s v="Desarrollador"/>
    <s v="Otras Tec."/>
    <s v="Tecnología Legacy: Power -Builder "/>
    <e v="#NAME?"/>
    <e v="#NAME?"/>
    <e v="#NAME?"/>
    <m/>
    <m/>
    <m/>
    <m/>
    <m/>
  </r>
  <r>
    <s v="C808223"/>
    <x v="20"/>
    <x v="1"/>
    <x v="1"/>
    <s v="BBVA"/>
    <e v="#NAME?"/>
    <s v="NOSDA $ BAU (Mantenimiento y peq. evolutivos)"/>
    <n v="1"/>
    <s v="Otros"/>
    <s v="Otras Tec."/>
    <s v="Tecnología Legacy: Power -Builder "/>
    <e v="#NAME?"/>
    <e v="#NAME?"/>
    <e v="#NAME?"/>
    <m/>
    <m/>
    <m/>
    <m/>
    <m/>
  </r>
  <r>
    <s v="C808132"/>
    <x v="21"/>
    <x v="1"/>
    <x v="1"/>
    <s v="BBVA"/>
    <e v="#NAME?"/>
    <s v="NOSDA $ BAU (Mantenimiento y peq. evolutivos)"/>
    <n v="1"/>
    <s v="Otros"/>
    <s v="Otras Tec."/>
    <s v="Tecnología Legacy: Power -Builder "/>
    <e v="#NAME?"/>
    <e v="#NAME?"/>
    <e v="#NAME?"/>
    <m/>
    <m/>
    <m/>
    <m/>
    <m/>
  </r>
  <r>
    <s v="CE61903"/>
    <x v="22"/>
    <x v="1"/>
    <x v="1"/>
    <s v="Tecnoevolución"/>
    <e v="#NAME?"/>
    <s v="NOSDA $ BAU (Mantenimiento y peq. evolutivos)"/>
    <n v="0.25"/>
    <s v="Otros"/>
    <s v="Otras Tec."/>
    <s v="Tecnología Legacy: Power -Builder "/>
    <e v="#NAME?"/>
    <e v="#NAME?"/>
    <e v="#NAME?"/>
    <m/>
    <m/>
    <m/>
    <m/>
    <m/>
  </r>
  <r>
    <s v="CE61903"/>
    <x v="22"/>
    <x v="1"/>
    <x v="1"/>
    <s v="Tecnoevolución"/>
    <e v="#NAME?"/>
    <s v="SDATOOL-38642 $ CUPON INTERMEDIO"/>
    <n v="0.5"/>
    <s v="Otros"/>
    <s v="Otras Tec."/>
    <s v="Tecnología Legacy: Power -Builder "/>
    <e v="#NAME?"/>
    <e v="#NAME?"/>
    <e v="#NAME?"/>
    <m/>
    <m/>
    <m/>
    <m/>
    <m/>
  </r>
  <r>
    <s v="C811297"/>
    <x v="23"/>
    <x v="0"/>
    <x v="2"/>
    <s v="BBVA"/>
    <e v="#NAME?"/>
    <s v="SDATOOL-42213 $ Creación nuevos conceptos recaudo impuestos DIAN - Ley 2277 del 2022 MinHacienda"/>
    <n v="0.25"/>
    <s v="Desarrollador"/>
    <s v="Mainframe"/>
    <m/>
    <e v="#NAME?"/>
    <e v="#NAME?"/>
    <e v="#NAME?"/>
    <m/>
    <m/>
    <m/>
    <m/>
    <m/>
  </r>
  <r>
    <s v="C811297"/>
    <x v="23"/>
    <x v="0"/>
    <x v="2"/>
    <s v="BBVA"/>
    <e v="#NAME?"/>
    <s v="NOSDA $ BAU (Mantenimiento y peq. evolutivos)"/>
    <n v="0.25"/>
    <s v="Desarrollador"/>
    <s v="Mainframe"/>
    <m/>
    <e v="#NAME?"/>
    <e v="#NAME?"/>
    <e v="#NAME?"/>
    <m/>
    <m/>
    <m/>
    <m/>
    <m/>
  </r>
  <r>
    <s v="C811297"/>
    <x v="23"/>
    <x v="0"/>
    <x v="2"/>
    <s v="BBVA"/>
    <e v="#NAME?"/>
    <s v="SDATOOL-35327 $ Impuestos 2021"/>
    <n v="0.25"/>
    <s v="Desarrollador"/>
    <s v="Mainframe"/>
    <m/>
    <e v="#NAME?"/>
    <e v="#NAME?"/>
    <e v="#NAME?"/>
    <m/>
    <m/>
    <m/>
    <m/>
    <m/>
  </r>
  <r>
    <s v="C811297"/>
    <x v="23"/>
    <x v="0"/>
    <x v="2"/>
    <s v="BBVA"/>
    <e v="#NAME?"/>
    <s v="SDATOOL-37425 $ Recaudo DIAN Tarjetas de Crédito Propio Banco través del Botón de pagos PSE para los canales Banca Personas y Banca de Empresas"/>
    <n v="0.25"/>
    <s v="Desarrollador"/>
    <s v="Distribuido"/>
    <m/>
    <e v="#NAME?"/>
    <e v="#NAME?"/>
    <e v="#NAME?"/>
    <m/>
    <m/>
    <m/>
    <m/>
    <m/>
  </r>
  <r>
    <s v="C808771"/>
    <x v="24"/>
    <x v="0"/>
    <x v="2"/>
    <s v="BBVA"/>
    <e v="#NAME?"/>
    <s v="SDATOOL-42213 $ Creación nuevos conceptos recaudo impuestos DIAN - Ley 2277 del 2022 MinHacienda"/>
    <n v="0.75"/>
    <s v="Desarrollador"/>
    <s v="Mainframe"/>
    <m/>
    <e v="#NAME?"/>
    <e v="#NAME?"/>
    <e v="#NAME?"/>
    <m/>
    <m/>
    <m/>
    <m/>
    <m/>
  </r>
  <r>
    <s v="C808771"/>
    <x v="24"/>
    <x v="0"/>
    <x v="2"/>
    <s v="BBVA"/>
    <e v="#NAME?"/>
    <s v="NOSDA $ BAU (Mantenimiento y peq. evolutivos)"/>
    <n v="0.25"/>
    <s v="Desarrollador"/>
    <s v="Mainframe"/>
    <m/>
    <e v="#NAME?"/>
    <e v="#NAME?"/>
    <e v="#NAME?"/>
    <m/>
    <m/>
    <m/>
    <m/>
    <m/>
  </r>
  <r>
    <s v="O000111"/>
    <x v="25"/>
    <x v="0"/>
    <x v="2"/>
    <s v="BBVA"/>
    <e v="#NAME?"/>
    <s v="SDATOOL-42213 $ Creación nuevos conceptos recaudo impuestos DIAN - Ley 2277 del 2022 MinHacienda"/>
    <n v="0.75"/>
    <s v="Desarrollador"/>
    <s v="Mainframe"/>
    <m/>
    <e v="#NAME?"/>
    <e v="#NAME?"/>
    <e v="#NAME?"/>
    <m/>
    <m/>
    <m/>
    <m/>
    <m/>
  </r>
  <r>
    <s v="O000111"/>
    <x v="25"/>
    <x v="0"/>
    <x v="2"/>
    <s v="BBVA"/>
    <e v="#NAME?"/>
    <s v="NOSDA $ BAU (Mantenimiento y peq. evolutivos)"/>
    <n v="0.25"/>
    <s v="Desarrollador"/>
    <s v="Mainframe"/>
    <m/>
    <e v="#NAME?"/>
    <e v="#NAME?"/>
    <e v="#NAME?"/>
    <m/>
    <m/>
    <m/>
    <m/>
    <m/>
  </r>
  <r>
    <s v="C810784"/>
    <x v="26"/>
    <x v="0"/>
    <x v="2"/>
    <s v="BBVA"/>
    <e v="#NAME?"/>
    <s v="SDATOOL-37425 $ Recaudo DIAN Tarjetas de Crédito Propio Banco través del Botón de pagos PSE para los canales Banca Personas y Banca de Empresas"/>
    <n v="1"/>
    <s v="Desarrollador"/>
    <s v="Distribuido"/>
    <m/>
    <e v="#NAME?"/>
    <e v="#NAME?"/>
    <e v="#NAME?"/>
    <m/>
    <m/>
    <m/>
    <m/>
    <m/>
  </r>
  <r>
    <s v="CE70413"/>
    <x v="27"/>
    <x v="0"/>
    <x v="2"/>
    <s v="KRYPTO"/>
    <e v="#NAME?"/>
    <s v="NOSDA $ BAU (Mantenimiento y peq. evolutivos)"/>
    <n v="0.5"/>
    <s v="Desarrollador"/>
    <s v="Otras Tec."/>
    <m/>
    <e v="#NAME?"/>
    <e v="#NAME?"/>
    <e v="#NAME?"/>
    <m/>
    <m/>
    <m/>
    <m/>
    <m/>
  </r>
  <r>
    <s v="CE70413"/>
    <x v="27"/>
    <x v="0"/>
    <x v="2"/>
    <s v="KRYPTO"/>
    <e v="#NAME?"/>
    <s v="SDATOOL-42213 $ Creación nuevos conceptos recaudo impuestos DIAN - Ley 2277 del 2022 MinHacienda"/>
    <n v="0.5"/>
    <s v="Desarrollador"/>
    <s v="Otras Tec."/>
    <m/>
    <e v="#NAME?"/>
    <e v="#NAME?"/>
    <e v="#NAME?"/>
    <m/>
    <m/>
    <m/>
    <m/>
    <m/>
  </r>
  <r>
    <s v="C342062"/>
    <x v="28"/>
    <x v="0"/>
    <x v="2"/>
    <s v="BBVA"/>
    <e v="#NAME?"/>
    <s v="SDATOOL-37055 $ Cash in- PSE - Plan Ascenso Privado"/>
    <n v="0.75"/>
    <s v="Desarrollador"/>
    <s v="Mainframe"/>
    <m/>
    <e v="#NAME?"/>
    <e v="#NAME?"/>
    <e v="#NAME?"/>
    <m/>
    <m/>
    <m/>
    <m/>
    <m/>
  </r>
  <r>
    <s v="C342062"/>
    <x v="28"/>
    <x v="0"/>
    <x v="2"/>
    <s v="BBVA"/>
    <e v="#NAME?"/>
    <s v="NOSDA $ BAU (Mantenimiento y peq. evolutivos)"/>
    <n v="0.25"/>
    <s v="Desarrollador"/>
    <s v="Mainframe"/>
    <m/>
    <e v="#NAME?"/>
    <e v="#NAME?"/>
    <e v="#NAME?"/>
    <m/>
    <m/>
    <m/>
    <m/>
    <m/>
  </r>
  <r>
    <s v="C808392"/>
    <x v="29"/>
    <x v="0"/>
    <x v="2"/>
    <s v="BBVA"/>
    <e v="#NAME?"/>
    <s v="SDATOOL-33408 $ Biocatch"/>
    <n v="0.75"/>
    <s v="Desarrollador"/>
    <s v="Distribuido"/>
    <m/>
    <e v="#NAME?"/>
    <e v="#NAME?"/>
    <e v="#NAME?"/>
    <m/>
    <m/>
    <m/>
    <m/>
    <m/>
  </r>
  <r>
    <s v="C808392"/>
    <x v="29"/>
    <x v="0"/>
    <x v="2"/>
    <s v="BBVA"/>
    <e v="#NAME?"/>
    <s v="NOSDA $ BAU (Mantenimiento y peq. evolutivos)"/>
    <n v="0.25"/>
    <s v="Desarrollador"/>
    <s v="Distribuido"/>
    <m/>
    <e v="#NAME?"/>
    <e v="#NAME?"/>
    <e v="#NAME?"/>
    <m/>
    <m/>
    <m/>
    <m/>
    <m/>
  </r>
  <r>
    <s v="CE63313"/>
    <x v="30"/>
    <x v="0"/>
    <x v="2"/>
    <s v="Inetum"/>
    <e v="#NAME?"/>
    <s v="SDATOOL-33408 $ Biocatch"/>
    <n v="0.5"/>
    <s v="QA"/>
    <s v="Otras Tec."/>
    <m/>
    <e v="#NAME?"/>
    <e v="#NAME?"/>
    <e v="#NAME?"/>
    <m/>
    <m/>
    <m/>
    <m/>
    <m/>
  </r>
  <r>
    <s v="CE63313"/>
    <x v="30"/>
    <x v="0"/>
    <x v="2"/>
    <s v="Inetum"/>
    <e v="#NAME?"/>
    <s v="NOSDA $ BAU (Mantenimiento y peq. evolutivos)"/>
    <n v="0.5"/>
    <s v="QA"/>
    <s v="Otras Tec."/>
    <m/>
    <e v="#NAME?"/>
    <e v="#NAME?"/>
    <e v="#NAME?"/>
    <m/>
    <m/>
    <m/>
    <m/>
    <m/>
  </r>
  <r>
    <s v="C808164"/>
    <x v="31"/>
    <x v="0"/>
    <x v="2"/>
    <s v="BBVA"/>
    <e v="#NAME?"/>
    <s v="SDATOOL-38770 $ Marcación y cobro de comisiones PSE"/>
    <n v="1"/>
    <s v="Desarrollador"/>
    <s v="Mainframe"/>
    <m/>
    <e v="#NAME?"/>
    <e v="#NAME?"/>
    <e v="#NAME?"/>
    <m/>
    <m/>
    <m/>
    <m/>
    <m/>
  </r>
  <r>
    <s v="O002304"/>
    <x v="32"/>
    <x v="0"/>
    <x v="2"/>
    <s v="BBVA"/>
    <e v="#NAME?"/>
    <s v="SDATOOL-38770 $ Marcación y cobro de comisiones PSE"/>
    <n v="1"/>
    <s v="Desarrollador"/>
    <s v="Mainframe"/>
    <m/>
    <e v="#NAME?"/>
    <e v="#NAME?"/>
    <e v="#NAME?"/>
    <m/>
    <m/>
    <m/>
    <m/>
    <m/>
  </r>
  <r>
    <s v="CE43229"/>
    <x v="33"/>
    <x v="0"/>
    <x v="2"/>
    <s v="Inetum"/>
    <e v="#NAME?"/>
    <s v="SDATOOL-38770 $ Marcación y cobro de comisiones PSE"/>
    <n v="1"/>
    <s v="Desarrollador"/>
    <s v="Mainframe"/>
    <m/>
    <e v="#NAME?"/>
    <e v="#NAME?"/>
    <e v="#NAME?"/>
    <m/>
    <m/>
    <m/>
    <m/>
    <m/>
  </r>
  <r>
    <s v="CE68369"/>
    <x v="34"/>
    <x v="0"/>
    <x v="2"/>
    <s v="KRYPTO"/>
    <e v="#NAME?"/>
    <s v="SDATOOL-38770 $ Marcación y cobro de comisiones PSE"/>
    <n v="1"/>
    <s v="QA"/>
    <s v="Otras Tec."/>
    <m/>
    <e v="#NAME?"/>
    <e v="#NAME?"/>
    <e v="#NAME?"/>
    <m/>
    <m/>
    <m/>
    <m/>
    <m/>
  </r>
  <r>
    <s v="C784494"/>
    <x v="35"/>
    <x v="0"/>
    <x v="2"/>
    <s v="BBVA"/>
    <e v="#NAME?"/>
    <s v="SDATOOL-37761 $ Plan transformación de procesos"/>
    <n v="0.75"/>
    <s v="Desarrollador"/>
    <s v="Mainframe"/>
    <m/>
    <e v="#NAME?"/>
    <e v="#NAME?"/>
    <e v="#NAME?"/>
    <m/>
    <m/>
    <m/>
    <m/>
    <m/>
  </r>
  <r>
    <s v="C784494"/>
    <x v="35"/>
    <x v="0"/>
    <x v="2"/>
    <s v="BBVA"/>
    <e v="#NAME?"/>
    <s v="NOSDA $ BAU (Mantenimiento y peq. evolutivos)"/>
    <n v="0.25"/>
    <s v="Desarrollador"/>
    <s v="Mainframe"/>
    <m/>
    <e v="#NAME?"/>
    <e v="#NAME?"/>
    <e v="#NAME?"/>
    <m/>
    <m/>
    <m/>
    <m/>
    <m/>
  </r>
  <r>
    <s v="C808842"/>
    <x v="36"/>
    <x v="0"/>
    <x v="2"/>
    <s v="BBVA"/>
    <e v="#NAME?"/>
    <s v="SDATOOL-39246 $ Nuevo tipo de identificación para extranjeros"/>
    <n v="0.75"/>
    <s v="Desarrollador"/>
    <s v="Mainframe"/>
    <m/>
    <e v="#NAME?"/>
    <e v="#NAME?"/>
    <e v="#NAME?"/>
    <m/>
    <m/>
    <m/>
    <m/>
    <m/>
  </r>
  <r>
    <s v="C808842"/>
    <x v="36"/>
    <x v="0"/>
    <x v="2"/>
    <s v="BBVA"/>
    <e v="#NAME?"/>
    <s v="NOSDA $ BAU (Mantenimiento y peq. evolutivos)"/>
    <n v="0.25"/>
    <s v="Desarrollador"/>
    <s v="Mainframe"/>
    <m/>
    <e v="#NAME?"/>
    <e v="#NAME?"/>
    <e v="#NAME?"/>
    <m/>
    <m/>
    <m/>
    <m/>
    <m/>
  </r>
  <r>
    <s v="C808856"/>
    <x v="37"/>
    <x v="0"/>
    <x v="2"/>
    <s v="BBVA"/>
    <e v="#NAME?"/>
    <s v="SDATOOL-31340 $ Intercambio Electrónico de Archivos ACH y Cenit"/>
    <n v="0.5"/>
    <s v="Desarrollador"/>
    <s v="Mainframe"/>
    <m/>
    <e v="#NAME?"/>
    <e v="#NAME?"/>
    <e v="#NAME?"/>
    <m/>
    <m/>
    <m/>
    <m/>
    <m/>
  </r>
  <r>
    <s v="C808856"/>
    <x v="37"/>
    <x v="0"/>
    <x v="3"/>
    <s v="BBVA"/>
    <e v="#NAME?"/>
    <s v="SDATOOL-40528 $ ETPB - SENDA PAGOS"/>
    <n v="0.5"/>
    <s v="Desarrollador"/>
    <s v="Mainframe"/>
    <m/>
    <e v="#NAME?"/>
    <e v="#NAME?"/>
    <e v="#NAME?"/>
    <m/>
    <m/>
    <m/>
    <m/>
    <m/>
  </r>
  <r>
    <s v="C342171"/>
    <x v="38"/>
    <x v="0"/>
    <x v="2"/>
    <s v="BBVA"/>
    <e v="#NAME?"/>
    <s v="SDATOOL-39246 $ Nuevo tipo de identificación para extranjeros"/>
    <n v="0.25"/>
    <s v="Otros"/>
    <s v="Otras Tec."/>
    <m/>
    <e v="#NAME?"/>
    <e v="#NAME?"/>
    <e v="#NAME?"/>
    <m/>
    <m/>
    <m/>
    <m/>
    <m/>
  </r>
  <r>
    <s v="C342171"/>
    <x v="38"/>
    <x v="0"/>
    <x v="2"/>
    <s v="BBVA"/>
    <e v="#NAME?"/>
    <s v="SDATOOL-37761 $ Plan transformación de procesos"/>
    <n v="0.25"/>
    <s v="Otros"/>
    <s v="Otras Tec."/>
    <m/>
    <e v="#NAME?"/>
    <e v="#NAME?"/>
    <e v="#NAME?"/>
    <m/>
    <m/>
    <m/>
    <m/>
    <m/>
  </r>
  <r>
    <s v="C342171"/>
    <x v="38"/>
    <x v="0"/>
    <x v="2"/>
    <s v="BBVA"/>
    <e v="#NAME?"/>
    <s v="SDATOOL-31340 $ Intercambio Electrónico de Archivos ACH y Cenit"/>
    <n v="0.25"/>
    <s v="Otros"/>
    <s v="Otras Tec."/>
    <m/>
    <e v="#NAME?"/>
    <e v="#NAME?"/>
    <e v="#NAME?"/>
    <m/>
    <m/>
    <m/>
    <m/>
    <m/>
  </r>
  <r>
    <s v="C342171"/>
    <x v="38"/>
    <x v="0"/>
    <x v="2"/>
    <s v="BBVA"/>
    <e v="#NAME?"/>
    <s v="SDATOOL-37116 $ COLPENSIONES ESTRUCTURA ONP"/>
    <n v="0.25"/>
    <s v="Otros"/>
    <s v="Otras Tec."/>
    <m/>
    <e v="#NAME?"/>
    <e v="#NAME?"/>
    <e v="#NAME?"/>
    <m/>
    <m/>
    <m/>
    <m/>
    <m/>
  </r>
  <r>
    <s v="CE56542"/>
    <x v="39"/>
    <x v="0"/>
    <x v="2"/>
    <s v="Novatec"/>
    <e v="#NAME?"/>
    <s v="NOSDA $ BAU (Mantenimiento y peq. evolutivos)"/>
    <n v="0.5"/>
    <s v="Desarrollador"/>
    <s v="Mainframe"/>
    <m/>
    <e v="#NAME?"/>
    <e v="#NAME?"/>
    <e v="#NAME?"/>
    <m/>
    <m/>
    <m/>
    <m/>
    <m/>
  </r>
  <r>
    <s v="CE57635"/>
    <x v="40"/>
    <x v="0"/>
    <x v="2"/>
    <s v="Novatec"/>
    <e v="#NAME?"/>
    <s v="NOSDA $ BAU (Mantenimiento y peq. evolutivos)"/>
    <n v="1"/>
    <s v="Desarrollador"/>
    <s v="Mainframe"/>
    <m/>
    <e v="#NAME?"/>
    <e v="#NAME?"/>
    <e v="#NAME?"/>
    <m/>
    <m/>
    <m/>
    <m/>
    <m/>
  </r>
  <r>
    <s v="CE66612"/>
    <x v="41"/>
    <x v="0"/>
    <x v="2"/>
    <s v="Novatec"/>
    <e v="#NAME?"/>
    <s v="NOSDA $ BAU (Mantenimiento y peq. evolutivos)"/>
    <n v="1"/>
    <s v="Desarrollador"/>
    <s v="Mainframe"/>
    <m/>
    <e v="#NAME?"/>
    <e v="#NAME?"/>
    <e v="#NAME?"/>
    <m/>
    <m/>
    <m/>
    <m/>
    <m/>
  </r>
  <r>
    <m/>
    <x v="42"/>
    <x v="0"/>
    <x v="2"/>
    <s v="Inetum"/>
    <e v="#NAME?"/>
    <s v="SDATOOL-31340 $ Intercambio Electrónico de Archivos ACH y Cenit"/>
    <n v="0.5"/>
    <s v="QA"/>
    <s v="Otras Tec."/>
    <m/>
    <e v="#NAME?"/>
    <e v="#NAME?"/>
    <e v="#NAME?"/>
    <m/>
    <m/>
    <m/>
    <m/>
    <m/>
  </r>
  <r>
    <m/>
    <x v="42"/>
    <x v="0"/>
    <x v="2"/>
    <s v="Inetum"/>
    <e v="#NAME?"/>
    <s v="NOSDA $ BAU (Mantenimiento y peq. evolutivos)"/>
    <n v="0.5"/>
    <s v="QA"/>
    <s v="Otras Tec."/>
    <m/>
    <e v="#NAME?"/>
    <e v="#NAME?"/>
    <e v="#NAME?"/>
    <m/>
    <m/>
    <m/>
    <m/>
    <m/>
  </r>
  <r>
    <s v="C343581"/>
    <x v="43"/>
    <x v="0"/>
    <x v="2"/>
    <s v="BBVA"/>
    <e v="#NAME?"/>
    <s v="SDATOOL-41553 $ Servicios transaccionales 2023"/>
    <n v="0.25"/>
    <s v="Tech Manager/Líder"/>
    <s v="ASO"/>
    <m/>
    <e v="#NAME?"/>
    <e v="#NAME?"/>
    <e v="#NAME?"/>
    <m/>
    <m/>
    <m/>
    <m/>
    <m/>
  </r>
  <r>
    <s v="C343581"/>
    <x v="43"/>
    <x v="0"/>
    <x v="2"/>
    <s v="BBVA"/>
    <e v="#NAME?"/>
    <s v="SDATOOL-37129 $ Conciliación Recaudo PSE"/>
    <n v="0.25"/>
    <s v="Tech Manager/Líder"/>
    <s v="ASO"/>
    <m/>
    <e v="#NAME?"/>
    <e v="#NAME?"/>
    <e v="#NAME?"/>
    <m/>
    <m/>
    <m/>
    <m/>
    <m/>
  </r>
  <r>
    <s v="C343581"/>
    <x v="43"/>
    <x v="0"/>
    <x v="2"/>
    <s v="BBVA"/>
    <e v="#NAME?"/>
    <s v="NOSDA $ BAU (Mantenimiento y peq. evolutivos)"/>
    <n v="0.5"/>
    <s v="Tech Manager/Líder"/>
    <s v="ASO"/>
    <m/>
    <e v="#NAME?"/>
    <e v="#NAME?"/>
    <e v="#NAME?"/>
    <m/>
    <m/>
    <m/>
    <m/>
    <m/>
  </r>
  <r>
    <s v="C810947"/>
    <x v="44"/>
    <x v="0"/>
    <x v="2"/>
    <s v="BBVA"/>
    <e v="#NAME?"/>
    <s v="SDATOOL-41553 $ Servicios transaccionales 2023"/>
    <n v="1"/>
    <s v="Desarrollador"/>
    <s v="APX"/>
    <m/>
    <e v="#NAME?"/>
    <e v="#NAME?"/>
    <e v="#NAME?"/>
    <m/>
    <m/>
    <m/>
    <m/>
    <m/>
  </r>
  <r>
    <s v="C809749"/>
    <x v="45"/>
    <x v="0"/>
    <x v="2"/>
    <s v="BBVA"/>
    <e v="#NAME?"/>
    <s v="SDATOOL-41553 $ Servicios transaccionales 2023"/>
    <n v="1"/>
    <s v="Desarrollador"/>
    <s v="Mainframe"/>
    <m/>
    <e v="#NAME?"/>
    <e v="#NAME?"/>
    <e v="#NAME?"/>
    <m/>
    <m/>
    <m/>
    <m/>
    <m/>
  </r>
  <r>
    <s v="T002859"/>
    <x v="46"/>
    <x v="0"/>
    <x v="2"/>
    <s v="Inetum"/>
    <e v="#NAME?"/>
    <s v="SDATOOL-41553 $ Servicios transaccionales 2023"/>
    <n v="1"/>
    <s v="QA"/>
    <s v="Otras Tec."/>
    <m/>
    <e v="#NAME?"/>
    <e v="#NAME?"/>
    <e v="#NAME?"/>
    <m/>
    <m/>
    <m/>
    <m/>
    <m/>
  </r>
  <r>
    <s v="C808769"/>
    <x v="47"/>
    <x v="0"/>
    <x v="2"/>
    <s v="BBVA"/>
    <e v="#NAME?"/>
    <s v="SDATOOL-37129 $ Conciliación Recaudo PSE"/>
    <n v="0.75"/>
    <s v="Desarrollador"/>
    <s v="ASO"/>
    <m/>
    <e v="#NAME?"/>
    <e v="#NAME?"/>
    <e v="#NAME?"/>
    <m/>
    <m/>
    <m/>
    <m/>
    <m/>
  </r>
  <r>
    <s v="C808769"/>
    <x v="47"/>
    <x v="0"/>
    <x v="2"/>
    <s v="BBVA"/>
    <e v="#NAME?"/>
    <s v="NOSDA $ BAU (Mantenimiento y peq. evolutivos)"/>
    <n v="0.25"/>
    <s v="Desarrollador"/>
    <s v="ASO"/>
    <m/>
    <e v="#NAME?"/>
    <e v="#NAME?"/>
    <e v="#NAME?"/>
    <m/>
    <m/>
    <m/>
    <m/>
    <m/>
  </r>
  <r>
    <s v="C811207"/>
    <x v="48"/>
    <x v="0"/>
    <x v="2"/>
    <s v="BBVA"/>
    <e v="#NAME?"/>
    <s v="SDATOOL-37129 $ Conciliación Recaudo PSE"/>
    <n v="1"/>
    <s v="Desarrollador"/>
    <s v="ASO"/>
    <m/>
    <e v="#NAME?"/>
    <e v="#NAME?"/>
    <e v="#NAME?"/>
    <m/>
    <m/>
    <m/>
    <m/>
    <m/>
  </r>
  <r>
    <s v="O004611"/>
    <x v="49"/>
    <x v="0"/>
    <x v="2"/>
    <s v="BBVA"/>
    <e v="#NAME?"/>
    <s v="SDATOOL-41553 $ Servicios transaccionales 2023"/>
    <n v="1"/>
    <s v="Desarrollador"/>
    <s v="APX"/>
    <m/>
    <e v="#NAME?"/>
    <e v="#NAME?"/>
    <e v="#NAME?"/>
    <m/>
    <m/>
    <m/>
    <m/>
    <m/>
  </r>
  <r>
    <s v="T009935"/>
    <x v="50"/>
    <x v="0"/>
    <x v="2"/>
    <s v="Novatec"/>
    <e v="#NAME?"/>
    <s v="NOSDA $ BAU (Mantenimiento y peq. evolutivos)"/>
    <n v="0.5"/>
    <s v="Desarrollador"/>
    <s v="Mainframe"/>
    <m/>
    <e v="#NAME?"/>
    <e v="#NAME?"/>
    <e v="#NAME?"/>
    <m/>
    <m/>
    <m/>
    <m/>
    <m/>
  </r>
  <r>
    <s v="CE68693"/>
    <x v="51"/>
    <x v="0"/>
    <x v="2"/>
    <s v="Novatec"/>
    <e v="#NAME?"/>
    <s v="NOSDA $ BAU (Mantenimiento y peq. evolutivos)"/>
    <n v="1"/>
    <s v="Desarrollador"/>
    <s v="Mainframe"/>
    <m/>
    <e v="#NAME?"/>
    <e v="#NAME?"/>
    <e v="#NAME?"/>
    <m/>
    <m/>
    <m/>
    <m/>
    <m/>
  </r>
  <r>
    <s v="T009914"/>
    <x v="52"/>
    <x v="0"/>
    <x v="2"/>
    <s v="Novatec"/>
    <e v="#NAME?"/>
    <s v="NOSDA $ BAU (Mantenimiento y peq. evolutivos)"/>
    <n v="1"/>
    <s v="Desarrollador"/>
    <s v="Mainframe"/>
    <m/>
    <e v="#NAME?"/>
    <e v="#NAME?"/>
    <e v="#NAME?"/>
    <m/>
    <m/>
    <m/>
    <m/>
    <m/>
  </r>
  <r>
    <s v="C801829"/>
    <x v="53"/>
    <x v="0"/>
    <x v="2"/>
    <s v="BBVA"/>
    <e v="#NAME?"/>
    <s v="SDATOOL-41553 $ Servicios transaccionales 2023"/>
    <n v="0.25"/>
    <s v="Desarrollador"/>
    <s v="Distribuido"/>
    <m/>
    <e v="#NAME?"/>
    <e v="#NAME?"/>
    <e v="#NAME?"/>
    <m/>
    <m/>
    <m/>
    <m/>
    <m/>
  </r>
  <r>
    <s v="C801829"/>
    <x v="53"/>
    <x v="0"/>
    <x v="2"/>
    <s v="BBVA"/>
    <e v="#NAME?"/>
    <s v="SDATOOL-41980 $ Modelo API´S Recaudo (CB´s)"/>
    <n v="0.25"/>
    <s v="Desarrollador"/>
    <s v="Distribuido"/>
    <m/>
    <e v="#NAME?"/>
    <e v="#NAME?"/>
    <e v="#NAME?"/>
    <m/>
    <m/>
    <m/>
    <m/>
    <m/>
  </r>
  <r>
    <s v="C801829"/>
    <x v="53"/>
    <x v="0"/>
    <x v="2"/>
    <s v="BBVA"/>
    <e v="#NAME?"/>
    <s v="SDATOOL-42040 $ In House Bavaria"/>
    <n v="0.25"/>
    <s v="Desarrollador"/>
    <s v="Distribuido"/>
    <m/>
    <e v="#NAME?"/>
    <e v="#NAME?"/>
    <e v="#NAME?"/>
    <m/>
    <m/>
    <m/>
    <m/>
    <m/>
  </r>
  <r>
    <s v="C801829"/>
    <x v="53"/>
    <x v="0"/>
    <x v="2"/>
    <s v="BBVA"/>
    <e v="#NAME?"/>
    <s v="SDATOOL-42040 $ In House Bavaria"/>
    <n v="0.25"/>
    <s v="Desarrollador"/>
    <s v="Distribuido"/>
    <m/>
    <e v="#NAME?"/>
    <e v="#NAME?"/>
    <e v="#NAME?"/>
    <m/>
    <m/>
    <m/>
    <m/>
    <m/>
  </r>
  <r>
    <s v="O000393"/>
    <x v="54"/>
    <x v="0"/>
    <x v="2"/>
    <s v="BBVA"/>
    <e v="#NAME?"/>
    <s v="SDATOOL-41980 $ Modelo API´S Recaudo (CB´s)"/>
    <n v="1"/>
    <s v="Desarrollador"/>
    <s v="ASO"/>
    <m/>
    <e v="#NAME?"/>
    <e v="#NAME?"/>
    <e v="#NAME?"/>
    <m/>
    <m/>
    <m/>
    <m/>
    <m/>
  </r>
  <r>
    <s v="O004836"/>
    <x v="55"/>
    <x v="0"/>
    <x v="2"/>
    <s v="BBVA"/>
    <e v="#NAME?"/>
    <s v="SDATOOL-41553 $ Servicios transaccionales 2023"/>
    <n v="1"/>
    <s v="Desarrollador"/>
    <s v="Distribuido"/>
    <m/>
    <e v="#NAME?"/>
    <e v="#NAME?"/>
    <e v="#NAME?"/>
    <m/>
    <m/>
    <m/>
    <m/>
    <m/>
  </r>
  <r>
    <s v="O004612"/>
    <x v="56"/>
    <x v="0"/>
    <x v="2"/>
    <s v="BBVA"/>
    <e v="#NAME?"/>
    <s v="SDATOOL-41553 $ Servicios transaccionales 2023"/>
    <n v="1"/>
    <s v="Desarrollador"/>
    <s v="Distribuido"/>
    <m/>
    <e v="#NAME?"/>
    <e v="#NAME?"/>
    <e v="#NAME?"/>
    <m/>
    <m/>
    <m/>
    <m/>
    <m/>
  </r>
  <r>
    <s v="T005391"/>
    <x v="57"/>
    <x v="0"/>
    <x v="2"/>
    <s v="Inetum"/>
    <e v="#NAME?"/>
    <s v="NOSDA $ BAU (Mantenimiento y peq. evolutivos)"/>
    <n v="1"/>
    <s v="QA"/>
    <s v="Otras Tec."/>
    <m/>
    <e v="#NAME?"/>
    <e v="#NAME?"/>
    <e v="#NAME?"/>
    <m/>
    <m/>
    <m/>
    <m/>
    <m/>
  </r>
  <r>
    <s v="C808646"/>
    <x v="58"/>
    <x v="0"/>
    <x v="4"/>
    <s v="BBVA"/>
    <e v="#NAME?"/>
    <s v="SDATOOL-36547 $ PLAN MAYOR -PLAN MENOR. Plan ascenso Open Market"/>
    <n v="1"/>
    <s v="Desarrollador"/>
    <s v="Mainframe"/>
    <m/>
    <e v="#NAME?"/>
    <e v="#NAME?"/>
    <e v="#NAME?"/>
    <m/>
    <m/>
    <m/>
    <m/>
    <m/>
  </r>
  <r>
    <s v="O001334"/>
    <x v="59"/>
    <x v="0"/>
    <x v="4"/>
    <s v="BBVA"/>
    <e v="#NAME?"/>
    <s v="SDATOOL-36547 $ PLAN MAYOR -PLAN MENOR. Plan ascenso Open Market"/>
    <n v="0.5"/>
    <s v="Otros"/>
    <s v="Distribuido"/>
    <m/>
    <e v="#NAME?"/>
    <e v="#NAME?"/>
    <e v="#NAME?"/>
    <m/>
    <m/>
    <m/>
    <m/>
    <m/>
  </r>
  <r>
    <s v="O001334"/>
    <x v="59"/>
    <x v="0"/>
    <x v="4"/>
    <s v="BBVA"/>
    <e v="#NAME?"/>
    <s v="SDATOOL-42106 $ Emisión Certificados Tributarios a proveedores en Operaciones Sin Recurso (Proyecto Normativo)"/>
    <n v="0.25"/>
    <s v="Otros"/>
    <s v="Distribuido"/>
    <m/>
    <e v="#NAME?"/>
    <e v="#NAME?"/>
    <e v="#NAME?"/>
    <m/>
    <m/>
    <m/>
    <m/>
    <m/>
  </r>
  <r>
    <s v="O001334"/>
    <x v="59"/>
    <x v="0"/>
    <x v="4"/>
    <s v="BBVA"/>
    <e v="#NAME?"/>
    <s v="SDATOOL-40438 $ CIRCULAR 032 del 2021 - REQUERIMIENTO FISCALIA GENERAL DE LA NACION"/>
    <n v="0.25"/>
    <s v="Otros"/>
    <s v="Distribuido"/>
    <m/>
    <e v="#NAME?"/>
    <e v="#NAME?"/>
    <e v="#NAME?"/>
    <m/>
    <m/>
    <m/>
    <m/>
    <m/>
  </r>
  <r>
    <s v="C810881"/>
    <x v="60"/>
    <x v="0"/>
    <x v="4"/>
    <s v="BBVA"/>
    <e v="#NAME?"/>
    <s v="SDATOOL-37086 $ Factura electrónica (radian)"/>
    <n v="0.75"/>
    <s v="Desarrollador"/>
    <s v="Distribuido"/>
    <m/>
    <e v="#NAME?"/>
    <e v="#NAME?"/>
    <e v="#NAME?"/>
    <m/>
    <m/>
    <m/>
    <m/>
    <m/>
  </r>
  <r>
    <s v="C810881"/>
    <x v="60"/>
    <x v="0"/>
    <x v="4"/>
    <s v="BBVA"/>
    <e v="#NAME?"/>
    <s v="SDATOOL-40438 $ CIRCULAR 032 del 2021 - REQUERIMIENTO FISCALIA GENERAL DE LA NACION"/>
    <n v="0.25"/>
    <s v="Desarrollador"/>
    <s v="Distribuido"/>
    <m/>
    <e v="#NAME?"/>
    <e v="#NAME?"/>
    <e v="#NAME?"/>
    <m/>
    <m/>
    <m/>
    <m/>
    <m/>
  </r>
  <r>
    <s v="C805972"/>
    <x v="61"/>
    <x v="0"/>
    <x v="4"/>
    <s v="BBVA"/>
    <e v="#NAME?"/>
    <s v="SDATOOL-36547 $ PLAN MAYOR -PLAN MENOR. Plan ascenso Open Market"/>
    <n v="1"/>
    <s v="Desarrollador"/>
    <s v="Distribuido"/>
    <m/>
    <e v="#NAME?"/>
    <e v="#NAME?"/>
    <e v="#NAME?"/>
    <m/>
    <m/>
    <m/>
    <m/>
    <m/>
  </r>
  <r>
    <s v="C805323"/>
    <x v="62"/>
    <x v="0"/>
    <x v="4"/>
    <s v="BBVA"/>
    <e v="#NAME?"/>
    <s v="SDATOOL-37125 $ Factoring - IBR"/>
    <n v="1"/>
    <s v="Desarrollador"/>
    <s v="Distribuido"/>
    <m/>
    <e v="#NAME?"/>
    <e v="#NAME?"/>
    <e v="#NAME?"/>
    <m/>
    <m/>
    <m/>
    <m/>
    <m/>
  </r>
  <r>
    <s v="C804103"/>
    <x v="63"/>
    <x v="0"/>
    <x v="4"/>
    <s v="BBVA"/>
    <e v="#NAME?"/>
    <s v="SDATOOL-37125 $ Factoring - IBR"/>
    <n v="0.5"/>
    <s v="Desarrollador"/>
    <s v="Distribuido"/>
    <m/>
    <e v="#NAME?"/>
    <e v="#NAME?"/>
    <e v="#NAME?"/>
    <m/>
    <m/>
    <m/>
    <m/>
    <m/>
  </r>
  <r>
    <s v="C804103"/>
    <x v="63"/>
    <x v="0"/>
    <x v="4"/>
    <s v="BBVA"/>
    <e v="#NAME?"/>
    <s v="SDATOOL-42106 $ Emisión Certificados Tributarios a proveedores en Operaciones Sin Recurso (Proyecto Normativo)"/>
    <n v="0.5"/>
    <s v="Desarrollador"/>
    <s v="Distribuido"/>
    <m/>
    <e v="#NAME?"/>
    <e v="#NAME?"/>
    <e v="#NAME?"/>
    <m/>
    <m/>
    <m/>
    <m/>
    <m/>
  </r>
  <r>
    <s v="C805973"/>
    <x v="64"/>
    <x v="0"/>
    <x v="4"/>
    <s v="BBVA"/>
    <e v="#NAME?"/>
    <s v="SDATOOL-37086 $ Factura electrónica (radian)"/>
    <n v="1"/>
    <s v="Desarrollador"/>
    <s v="Mainframe"/>
    <m/>
    <e v="#NAME?"/>
    <e v="#NAME?"/>
    <e v="#NAME?"/>
    <m/>
    <m/>
    <m/>
    <m/>
    <m/>
  </r>
  <r>
    <s v="C805925"/>
    <x v="65"/>
    <x v="0"/>
    <x v="4"/>
    <s v="BBVA"/>
    <e v="#NAME?"/>
    <s v="SDATOOL-36547 $ PLAN MAYOR -PLAN MENOR. Plan ascenso Open Market"/>
    <n v="0.25"/>
    <s v="Desarrollador"/>
    <s v="Mainframe"/>
    <m/>
    <e v="#NAME?"/>
    <e v="#NAME?"/>
    <e v="#NAME?"/>
    <m/>
    <m/>
    <m/>
    <m/>
    <m/>
  </r>
  <r>
    <s v="O004604"/>
    <x v="66"/>
    <x v="0"/>
    <x v="4"/>
    <s v="BBVA"/>
    <e v="#NAME?"/>
    <s v="NOSDA $ BAU (Mantenimiento y peq. evolutivos)"/>
    <n v="1"/>
    <s v="Desarrollador"/>
    <s v="Mainframe"/>
    <m/>
    <e v="#NAME?"/>
    <e v="#NAME?"/>
    <e v="#NAME?"/>
    <m/>
    <m/>
    <m/>
    <m/>
    <m/>
  </r>
  <r>
    <s v="O000159"/>
    <x v="67"/>
    <x v="0"/>
    <x v="4"/>
    <s v="BBVA"/>
    <e v="#NAME?"/>
    <s v="SDATOOL-36547 $ PLAN MAYOR -PLAN MENOR. Plan ascenso Open Market"/>
    <n v="0.5"/>
    <s v="Tech Manager/Líder"/>
    <s v="Distribuido"/>
    <m/>
    <e v="#NAME?"/>
    <e v="#NAME?"/>
    <e v="#NAME?"/>
    <m/>
    <m/>
    <m/>
    <m/>
    <m/>
  </r>
  <r>
    <s v="O000159"/>
    <x v="67"/>
    <x v="0"/>
    <x v="4"/>
    <s v="BBVA"/>
    <e v="#NAME?"/>
    <s v="SDATOOL-37125 $ Factoring - IBR"/>
    <n v="0.25"/>
    <s v="Tech Manager/Líder"/>
    <s v="Distribuido"/>
    <m/>
    <e v="#NAME?"/>
    <e v="#NAME?"/>
    <e v="#NAME?"/>
    <m/>
    <m/>
    <m/>
    <m/>
    <m/>
  </r>
  <r>
    <s v="O000159"/>
    <x v="67"/>
    <x v="0"/>
    <x v="4"/>
    <s v="BBVA"/>
    <e v="#NAME?"/>
    <s v="SDATOOL-42106 $ Emisión Certificados Tributarios a proveedores en Operaciones Sin Recurso (Proyecto Normativo)"/>
    <n v="0.15"/>
    <s v="Tech Manager/Líder"/>
    <s v="Distribuido"/>
    <m/>
    <e v="#NAME?"/>
    <e v="#NAME?"/>
    <e v="#NAME?"/>
    <m/>
    <m/>
    <m/>
    <m/>
    <m/>
  </r>
  <r>
    <s v="O000159"/>
    <x v="67"/>
    <x v="0"/>
    <x v="4"/>
    <s v="BBVA"/>
    <e v="#NAME?"/>
    <s v="SDATOOL-40438 $ CIRCULAR 032 del 2021 - REQUERIMIENTO FISCALIA GENERAL DE LA NACION"/>
    <n v="0.1"/>
    <s v="Tech Manager/Líder"/>
    <s v="Distribuido"/>
    <m/>
    <e v="#NAME?"/>
    <e v="#NAME?"/>
    <e v="#NAME?"/>
    <m/>
    <m/>
    <m/>
    <m/>
    <m/>
  </r>
  <r>
    <s v="T005152"/>
    <x v="68"/>
    <x v="0"/>
    <x v="4"/>
    <s v="Inetum"/>
    <e v="#NAME?"/>
    <s v="SDATOOL-36547 $ PLAN MAYOR -PLAN MENOR. Plan ascenso Open Market"/>
    <n v="0.9"/>
    <s v="QA"/>
    <s v="Mainframe"/>
    <m/>
    <e v="#NAME?"/>
    <e v="#NAME?"/>
    <e v="#NAME?"/>
    <m/>
    <m/>
    <m/>
    <m/>
    <m/>
  </r>
  <r>
    <s v="T005152"/>
    <x v="68"/>
    <x v="0"/>
    <x v="4"/>
    <s v="Inetum"/>
    <e v="#NAME?"/>
    <s v="SDATOOL-42106 $ Emisión Certificados Tributarios a proveedores en Operaciones Sin Recurso (Proyecto Normativo)"/>
    <n v="0.1"/>
    <s v="QA"/>
    <s v="Distribuido"/>
    <m/>
    <e v="#NAME?"/>
    <e v="#NAME?"/>
    <e v="#NAME?"/>
    <m/>
    <m/>
    <m/>
    <m/>
    <m/>
  </r>
  <r>
    <s v="CE68432"/>
    <x v="69"/>
    <x v="0"/>
    <x v="4"/>
    <s v="Choucair"/>
    <e v="#NAME?"/>
    <s v="SDATOOL-37125 $ Factoring - IBR"/>
    <n v="1"/>
    <s v="QA"/>
    <s v="Distribuido"/>
    <m/>
    <e v="#NAME?"/>
    <e v="#NAME?"/>
    <e v="#NAME?"/>
    <m/>
    <m/>
    <m/>
    <m/>
    <m/>
  </r>
  <r>
    <s v="CE60767"/>
    <x v="70"/>
    <x v="0"/>
    <x v="4"/>
    <s v="Choucair"/>
    <e v="#NAME?"/>
    <s v="SDATOOL-37125 $ Factoring - IBR"/>
    <n v="1"/>
    <s v="QA"/>
    <s v="Distribuido"/>
    <m/>
    <e v="#NAME?"/>
    <e v="#NAME?"/>
    <e v="#NAME?"/>
    <m/>
    <m/>
    <m/>
    <m/>
    <m/>
  </r>
  <r>
    <s v="T002011"/>
    <x v="71"/>
    <x v="0"/>
    <x v="4"/>
    <s v="Choucair"/>
    <e v="#NAME?"/>
    <s v="SDATOOL-37125 $ Factoring - IBR"/>
    <n v="1"/>
    <s v="QA"/>
    <s v="Distribuido"/>
    <m/>
    <e v="#NAME?"/>
    <e v="#NAME?"/>
    <e v="#NAME?"/>
    <m/>
    <m/>
    <m/>
    <m/>
    <m/>
  </r>
  <r>
    <s v="CE65276"/>
    <x v="72"/>
    <x v="0"/>
    <x v="4"/>
    <s v="Choucair"/>
    <e v="#NAME?"/>
    <s v="SDATOOL-37125 $ Factoring - IBR"/>
    <n v="1"/>
    <s v="QA"/>
    <s v="Distribuido"/>
    <m/>
    <e v="#NAME?"/>
    <e v="#NAME?"/>
    <e v="#NAME?"/>
    <m/>
    <m/>
    <m/>
    <m/>
    <m/>
  </r>
  <r>
    <s v="CE51577"/>
    <x v="73"/>
    <x v="0"/>
    <x v="4"/>
    <s v="Choucair"/>
    <e v="#NAME?"/>
    <s v="SDATOOL-36547 $ PLAN MAYOR -PLAN MENOR. Plan ascenso Open Market"/>
    <n v="1"/>
    <s v="QA"/>
    <s v="Mainframe"/>
    <m/>
    <e v="#NAME?"/>
    <e v="#NAME?"/>
    <e v="#NAME?"/>
    <m/>
    <m/>
    <m/>
    <m/>
    <m/>
  </r>
  <r>
    <s v="CE68565"/>
    <x v="74"/>
    <x v="0"/>
    <x v="4"/>
    <s v="Choucair"/>
    <e v="#NAME?"/>
    <s v="SDATOOL-36547 $ PLAN MAYOR -PLAN MENOR. Plan ascenso Open Market"/>
    <n v="1"/>
    <s v="QA"/>
    <s v="Distribuido"/>
    <m/>
    <e v="#NAME?"/>
    <e v="#NAME?"/>
    <e v="#NAME?"/>
    <m/>
    <m/>
    <m/>
    <m/>
    <m/>
  </r>
  <r>
    <s v="CE66305"/>
    <x v="75"/>
    <x v="0"/>
    <x v="4"/>
    <s v="Choucair"/>
    <e v="#NAME?"/>
    <s v="SDATOOL-36547 $ PLAN MAYOR -PLAN MENOR. Plan ascenso Open Market"/>
    <n v="1"/>
    <s v="QA"/>
    <s v="Mainframe"/>
    <m/>
    <e v="#NAME?"/>
    <e v="#NAME?"/>
    <e v="#NAME?"/>
    <m/>
    <m/>
    <m/>
    <m/>
    <m/>
  </r>
  <r>
    <s v="CE67889"/>
    <x v="76"/>
    <x v="0"/>
    <x v="4"/>
    <s v="Choucair"/>
    <e v="#NAME?"/>
    <s v="SDATOOL-36547 $ PLAN MAYOR -PLAN MENOR. Plan ascenso Open Market"/>
    <n v="1"/>
    <s v="QA"/>
    <s v="Distribuido"/>
    <m/>
    <e v="#NAME?"/>
    <e v="#NAME?"/>
    <e v="#NAME?"/>
    <m/>
    <m/>
    <m/>
    <m/>
    <m/>
  </r>
  <r>
    <s v="T010295"/>
    <x v="77"/>
    <x v="0"/>
    <x v="4"/>
    <s v="Choucair"/>
    <e v="#NAME?"/>
    <s v="SDATOOL-36547 $ PLAN MAYOR -PLAN MENOR. Plan ascenso Open Market"/>
    <n v="1"/>
    <s v="QA"/>
    <s v="Mainframe"/>
    <m/>
    <e v="#NAME?"/>
    <e v="#NAME?"/>
    <e v="#NAME?"/>
    <m/>
    <m/>
    <m/>
    <m/>
    <m/>
  </r>
  <r>
    <s v="CE51510"/>
    <x v="78"/>
    <x v="0"/>
    <x v="4"/>
    <s v="Choucair"/>
    <e v="#NAME?"/>
    <s v="SDATOOL-36547 $ PLAN MAYOR -PLAN MENOR. Plan ascenso Open Market"/>
    <n v="1"/>
    <s v="QA"/>
    <s v="Distribuido"/>
    <m/>
    <e v="#NAME?"/>
    <e v="#NAME?"/>
    <e v="#NAME?"/>
    <m/>
    <m/>
    <m/>
    <m/>
    <m/>
  </r>
  <r>
    <s v="CE68432"/>
    <x v="79"/>
    <x v="0"/>
    <x v="4"/>
    <s v="Choucair"/>
    <e v="#NAME?"/>
    <s v="SDATOOL-36547 $ PLAN MAYOR -PLAN MENOR. Plan ascenso Open Market"/>
    <n v="1"/>
    <s v="QA"/>
    <s v="Distribuido"/>
    <m/>
    <e v="#NAME?"/>
    <e v="#NAME?"/>
    <e v="#NAME?"/>
    <m/>
    <m/>
    <m/>
    <m/>
    <m/>
  </r>
  <r>
    <s v=" T011816"/>
    <x v="80"/>
    <x v="0"/>
    <x v="4"/>
    <s v="Choucair"/>
    <e v="#NAME?"/>
    <s v="SDATOOL-36547 $ PLAN MAYOR -PLAN MENOR. Plan ascenso Open Market"/>
    <n v="1"/>
    <s v="QA"/>
    <s v="Distribuido"/>
    <m/>
    <e v="#NAME?"/>
    <e v="#NAME?"/>
    <e v="#NAME?"/>
    <m/>
    <m/>
    <m/>
    <m/>
    <m/>
  </r>
  <r>
    <s v="T012212"/>
    <x v="81"/>
    <x v="0"/>
    <x v="4"/>
    <s v="Choucair"/>
    <e v="#NAME?"/>
    <s v="SDATOOL-36547 $ PLAN MAYOR -PLAN MENOR. Plan ascenso Open Market"/>
    <n v="1"/>
    <s v="QA"/>
    <s v="Distribuido"/>
    <m/>
    <e v="#NAME?"/>
    <e v="#NAME?"/>
    <e v="#NAME?"/>
    <m/>
    <m/>
    <m/>
    <m/>
    <m/>
  </r>
  <r>
    <s v="CE30318"/>
    <x v="82"/>
    <x v="0"/>
    <x v="4"/>
    <s v="KRYPTO"/>
    <e v="#NAME?"/>
    <s v="SDATOOL-36547 $ PLAN MAYOR -PLAN MENOR. Plan ascenso Open Market"/>
    <n v="0.1"/>
    <s v="QA"/>
    <s v="Mainframe"/>
    <m/>
    <e v="#NAME?"/>
    <e v="#NAME?"/>
    <e v="#NAME?"/>
    <m/>
    <m/>
    <m/>
    <m/>
    <m/>
  </r>
  <r>
    <s v="CE30318"/>
    <x v="82"/>
    <x v="0"/>
    <x v="4"/>
    <s v="KRYPTO"/>
    <e v="#NAME?"/>
    <s v="SDATOOL-37125 $ Factoring - IBR"/>
    <n v="0.1"/>
    <s v="QA"/>
    <s v="Distribuido"/>
    <m/>
    <e v="#NAME?"/>
    <e v="#NAME?"/>
    <e v="#NAME?"/>
    <m/>
    <m/>
    <m/>
    <m/>
    <m/>
  </r>
  <r>
    <s v="CE30318"/>
    <x v="82"/>
    <x v="0"/>
    <x v="4"/>
    <s v="KRYPTO"/>
    <e v="#NAME?"/>
    <s v="SDATOOL-42106 $ Emisión Certificados Tributarios a proveedores en Operaciones Sin Recurso (Proyecto Normativo)"/>
    <n v="0.05"/>
    <s v="QA"/>
    <s v="Distribuido"/>
    <m/>
    <e v="#NAME?"/>
    <e v="#NAME?"/>
    <e v="#NAME?"/>
    <m/>
    <m/>
    <m/>
    <m/>
    <m/>
  </r>
  <r>
    <s v="CE41979"/>
    <x v="83"/>
    <x v="0"/>
    <x v="0"/>
    <s v="Inetum"/>
    <e v="#NAME?"/>
    <s v="SDATOOL-40438 $ CIRCULAR 032 del 2021 - REQUERIMIENTO FISCALIA GENERAL DE LA NACION"/>
    <n v="7.0000000000000007E-2"/>
    <s v="QA"/>
    <s v="Distribuido"/>
    <m/>
    <e v="#NAME?"/>
    <e v="#NAME?"/>
    <e v="#NAME?"/>
    <m/>
    <m/>
    <m/>
    <m/>
    <m/>
  </r>
  <r>
    <s v="CE41979"/>
    <x v="83"/>
    <x v="0"/>
    <x v="0"/>
    <s v="Inetum"/>
    <e v="#NAME?"/>
    <s v="NOSDA $ BAU (Mantenimiento y peq. evolutivos)"/>
    <n v="0.1"/>
    <s v="QA"/>
    <s v="Distribuido"/>
    <m/>
    <e v="#NAME?"/>
    <e v="#NAME?"/>
    <e v="#NAME?"/>
    <m/>
    <m/>
    <m/>
    <m/>
    <m/>
  </r>
  <r>
    <s v="CE41979"/>
    <x v="83"/>
    <x v="0"/>
    <x v="0"/>
    <s v="Inetum"/>
    <e v="#NAME?"/>
    <s v="SDATOOL-41941 $ INTEGRACIÓN DE AS400 Y HOST Y ESTABILIZACIÓN Y RESTABLECIMIENTO DE lOS ENTORNOS DE LEASING AS400 DE DESARROLLO Y CALIDAD&quot;"/>
    <n v="0.08"/>
    <s v="QA"/>
    <s v="Distribuido"/>
    <m/>
    <e v="#NAME?"/>
    <e v="#NAME?"/>
    <e v="#NAME?"/>
    <m/>
    <m/>
    <m/>
    <m/>
    <m/>
  </r>
  <r>
    <s v="CE30318"/>
    <x v="82"/>
    <x v="0"/>
    <x v="4"/>
    <s v="KRYPTO"/>
    <e v="#NAME?"/>
    <s v="NOSDA $ BAU (Mantenimiento y peq. evolutivos)"/>
    <n v="0.25"/>
    <s v="QA"/>
    <s v="Distribuido"/>
    <m/>
    <e v="#NAME?"/>
    <e v="#NAME?"/>
    <e v="#NAME?"/>
    <m/>
    <m/>
    <m/>
    <m/>
    <m/>
  </r>
  <r>
    <s v="CE41979"/>
    <x v="83"/>
    <x v="0"/>
    <x v="0"/>
    <s v="Inetum"/>
    <e v="#NAME?"/>
    <s v="NOSDA $ BAU (Mantenimiento y peq. evolutivos)"/>
    <n v="0.25"/>
    <s v="QA"/>
    <s v="Distribuido"/>
    <m/>
    <e v="#NAME?"/>
    <e v="#NAME?"/>
    <e v="#NAME?"/>
    <m/>
    <m/>
    <m/>
    <m/>
    <m/>
  </r>
  <r>
    <s v="CE69031"/>
    <x v="14"/>
    <x v="0"/>
    <x v="0"/>
    <s v="KRYPTO"/>
    <e v="#NAME?"/>
    <s v="NOSDA $ BAU (Mantenimiento y peq. evolutivos)"/>
    <n v="0.25"/>
    <s v="Otros"/>
    <s v="Distribuido"/>
    <m/>
    <e v="#NAME?"/>
    <e v="#NAME?"/>
    <e v="#NAME?"/>
    <m/>
    <m/>
    <m/>
    <m/>
    <m/>
  </r>
  <r>
    <s v="CE30318"/>
    <x v="82"/>
    <x v="0"/>
    <x v="0"/>
    <s v="KRYPTO"/>
    <e v="#NAME?"/>
    <s v="NOSDA $ BAU (Mantenimiento y peq. evolutivos)"/>
    <n v="7.0000000000000007E-2"/>
    <s v="QA"/>
    <s v="Distribuido"/>
    <m/>
    <e v="#NAME?"/>
    <e v="#NAME?"/>
    <e v="#NAME?"/>
    <m/>
    <m/>
    <m/>
    <m/>
    <m/>
  </r>
  <r>
    <s v="CE41979"/>
    <x v="83"/>
    <x v="0"/>
    <x v="4"/>
    <s v="Inetum"/>
    <e v="#NAME?"/>
    <s v="SDATOOL-36547 $ PLAN MAYOR -PLAN MENOR. Plan ascenso Open Market"/>
    <n v="0.1"/>
    <s v="QA"/>
    <s v="Distribuido"/>
    <m/>
    <e v="#NAME?"/>
    <e v="#NAME?"/>
    <e v="#NAME?"/>
    <m/>
    <m/>
    <m/>
    <m/>
    <m/>
  </r>
  <r>
    <s v="CE41979"/>
    <x v="83"/>
    <x v="0"/>
    <x v="4"/>
    <s v="Inetum"/>
    <e v="#NAME?"/>
    <s v="SDATOOL-37125 $ Factoring - IBR"/>
    <n v="0.1"/>
    <s v="QA"/>
    <s v="Distribuido"/>
    <m/>
    <e v="#NAME?"/>
    <e v="#NAME?"/>
    <e v="#NAME?"/>
    <m/>
    <m/>
    <m/>
    <m/>
    <m/>
  </r>
  <r>
    <s v="CE41979"/>
    <x v="83"/>
    <x v="0"/>
    <x v="4"/>
    <s v="Inetum"/>
    <e v="#NAME?"/>
    <s v="SDATOOL-42106 $ Emisión Certificados Tributarios a proveedores en Operaciones Sin Recurso (Proyecto Normativo)"/>
    <n v="0.05"/>
    <s v="QA"/>
    <s v="Distribuido"/>
    <m/>
    <e v="#NAME?"/>
    <e v="#NAME?"/>
    <e v="#NAME?"/>
    <m/>
    <m/>
    <m/>
    <m/>
    <m/>
  </r>
  <r>
    <s v="CE41979"/>
    <x v="83"/>
    <x v="0"/>
    <x v="4"/>
    <s v="Inetum"/>
    <e v="#NAME?"/>
    <s v="NOSDA $ BAU (Mantenimiento y peq. evolutivos)"/>
    <n v="0.25"/>
    <s v="QA"/>
    <s v="Distribuido"/>
    <m/>
    <e v="#NAME?"/>
    <e v="#NAME?"/>
    <e v="#NAME?"/>
    <m/>
    <m/>
    <m/>
    <m/>
    <m/>
  </r>
  <r>
    <s v="CE69031"/>
    <x v="14"/>
    <x v="0"/>
    <x v="4"/>
    <s v="KRYPTO"/>
    <e v="#NAME?"/>
    <s v="NOSDA $ BAU (Mantenimiento y peq. evolutivos)"/>
    <n v="0.25"/>
    <s v="Otros"/>
    <s v="Distribuido"/>
    <m/>
    <e v="#NAME?"/>
    <e v="#NAME?"/>
    <e v="#NAME?"/>
    <m/>
    <m/>
    <m/>
    <m/>
    <m/>
  </r>
  <r>
    <s v="CE69031"/>
    <x v="14"/>
    <x v="0"/>
    <x v="4"/>
    <s v="KRYPTO"/>
    <e v="#NAME?"/>
    <s v="SDATOOL-36547 $ PLAN MAYOR -PLAN MENOR. Plan ascenso Open Market"/>
    <n v="0.1"/>
    <s v="Otros"/>
    <s v="Mainframe"/>
    <m/>
    <e v="#NAME?"/>
    <e v="#NAME?"/>
    <e v="#NAME?"/>
    <m/>
    <m/>
    <m/>
    <m/>
    <m/>
  </r>
  <r>
    <s v="CE69031"/>
    <x v="14"/>
    <x v="0"/>
    <x v="4"/>
    <s v="KRYPTO"/>
    <e v="#NAME?"/>
    <s v="SDATOOL-37125 $ Factoring - IBR"/>
    <n v="0.1"/>
    <s v="Otros"/>
    <s v="Distribuido"/>
    <m/>
    <e v="#NAME?"/>
    <e v="#NAME?"/>
    <e v="#NAME?"/>
    <m/>
    <m/>
    <m/>
    <m/>
    <m/>
  </r>
  <r>
    <s v="CE69031"/>
    <x v="14"/>
    <x v="0"/>
    <x v="4"/>
    <s v="KRYPTO"/>
    <e v="#NAME?"/>
    <s v="SDATOOL-42106 $ Emisión Certificados Tributarios a proveedores en Operaciones Sin Recurso (Proyecto Normativo)"/>
    <n v="0.05"/>
    <s v="Otros"/>
    <s v="Distribuido"/>
    <m/>
    <e v="#NAME?"/>
    <e v="#NAME?"/>
    <e v="#NAME?"/>
    <m/>
    <m/>
    <m/>
    <m/>
    <m/>
  </r>
  <r>
    <s v="O000108"/>
    <x v="84"/>
    <x v="1"/>
    <x v="1"/>
    <s v="BBVA"/>
    <e v="#NAME?"/>
    <s v="SDATOOL-38642 $ CUPON INTERMEDIO"/>
    <n v="0.7"/>
    <s v="Desarrollador"/>
    <s v="Otras Tec."/>
    <s v="Legacy :power Builder"/>
    <e v="#NAME?"/>
    <e v="#NAME?"/>
    <e v="#NAME?"/>
    <m/>
    <m/>
    <m/>
    <m/>
    <m/>
  </r>
  <r>
    <s v="O000108"/>
    <x v="84"/>
    <x v="1"/>
    <x v="1"/>
    <s v="BBVA"/>
    <e v="#NAME?"/>
    <s v="SDATOOL-32520 $ CDD Based Reporting - Colombia"/>
    <n v="0.3"/>
    <s v="Desarrollador"/>
    <s v="Otras Tec."/>
    <s v="Legacy :power Builder"/>
    <e v="#NAME?"/>
    <e v="#NAME?"/>
    <e v="#NAME?"/>
    <m/>
    <m/>
    <m/>
    <m/>
    <m/>
  </r>
  <r>
    <s v="CE30318"/>
    <x v="82"/>
    <x v="0"/>
    <x v="0"/>
    <s v="KRYPTO"/>
    <e v="#NAME?"/>
    <s v="SDATOOL-40438 $ CIRCULAR 032 del 2021 - REQUERIMIENTO FISCALIA GENERAL DE LA NACION"/>
    <n v="0.1"/>
    <s v="QA"/>
    <s v="Distribuido"/>
    <m/>
    <e v="#NAME?"/>
    <e v="#NAME?"/>
    <e v="#NAME?"/>
    <m/>
    <m/>
    <m/>
    <m/>
    <m/>
  </r>
  <r>
    <s v="CE30318"/>
    <x v="82"/>
    <x v="0"/>
    <x v="0"/>
    <s v="KRYPTO"/>
    <e v="#NAME?"/>
    <s v="SDATOOL-41941 $ INTEGRACIÓN DE AS400 Y HOST Y ESTABILIZACIÓN Y RESTABLECIMIENTO DE lOS ENTORNOS DE LEASING AS400 DE DESARROLLO Y CALIDAD&quot;"/>
    <n v="0.08"/>
    <s v="QA"/>
    <s v="Distribuido"/>
    <m/>
    <e v="#NAME?"/>
    <e v="#NAME?"/>
    <e v="#NAME?"/>
    <m/>
    <m/>
    <m/>
    <m/>
    <m/>
  </r>
  <r>
    <s v="CE30318"/>
    <x v="82"/>
    <x v="0"/>
    <x v="0"/>
    <s v="KRYPTO"/>
    <e v="#NAME?"/>
    <s v="NOSDA $ BAU (Mantenimiento y peq. evolutivos)"/>
    <n v="0.25"/>
    <s v="QA"/>
    <s v="Distribuido"/>
    <m/>
    <e v="#NAME?"/>
    <e v="#NAME?"/>
    <e v="#NAME?"/>
    <m/>
    <m/>
    <m/>
    <m/>
    <m/>
  </r>
  <r>
    <s v="C801586"/>
    <x v="85"/>
    <x v="0"/>
    <x v="0"/>
    <s v="BBVA"/>
    <e v="#NAME?"/>
    <s v="NOSDA $ BAU (Mantenimiento y peq. evolutivos)"/>
    <n v="1"/>
    <s v="Tech Manager/Líder"/>
    <s v="Mainframe"/>
    <m/>
    <e v="#NAME?"/>
    <e v="#NAME?"/>
    <e v="#NAME?"/>
    <m/>
    <m/>
    <m/>
    <m/>
    <m/>
  </r>
  <r>
    <s v="CE59142"/>
    <x v="86"/>
    <x v="0"/>
    <x v="0"/>
    <s v="Inetum"/>
    <e v="#NAME?"/>
    <s v="NOSDA $ BAU (Mantenimiento y peq. evolutivos)"/>
    <n v="1"/>
    <s v="Otros"/>
    <s v="Mainframe"/>
    <m/>
    <e v="#NAME?"/>
    <e v="#NAME?"/>
    <e v="#NAME?"/>
    <m/>
    <m/>
    <m/>
    <m/>
    <m/>
  </r>
  <r>
    <s v="CE66182"/>
    <x v="87"/>
    <x v="0"/>
    <x v="0"/>
    <s v="Inetum"/>
    <e v="#NAME?"/>
    <s v="NOSDA $ BAU (Mantenimiento y peq. evolutivos)"/>
    <n v="1"/>
    <s v="Desarrollador"/>
    <s v="Mainframe"/>
    <m/>
    <e v="#NAME?"/>
    <e v="#NAME?"/>
    <e v="#NAME?"/>
    <m/>
    <m/>
    <m/>
    <m/>
    <m/>
  </r>
  <r>
    <s v="CE52790"/>
    <x v="88"/>
    <x v="0"/>
    <x v="0"/>
    <s v="Inetum"/>
    <e v="#NAME?"/>
    <s v="NOSDA $ BAU (Mantenimiento y peq. evolutivos)"/>
    <n v="1"/>
    <s v="Desarrollador"/>
    <s v="Mainframe"/>
    <m/>
    <e v="#NAME?"/>
    <e v="#NAME?"/>
    <e v="#NAME?"/>
    <m/>
    <m/>
    <m/>
    <m/>
    <m/>
  </r>
  <r>
    <s v="CE50160"/>
    <x v="89"/>
    <x v="0"/>
    <x v="0"/>
    <s v="Inetum"/>
    <e v="#NAME?"/>
    <s v="NOSDA $ BAU (Mantenimiento y peq. evolutivos)"/>
    <n v="1"/>
    <s v="Desarrollador"/>
    <s v="Mainframe"/>
    <m/>
    <e v="#NAME?"/>
    <e v="#NAME?"/>
    <e v="#NAME?"/>
    <m/>
    <m/>
    <m/>
    <m/>
    <m/>
  </r>
  <r>
    <s v="CE57567"/>
    <x v="90"/>
    <x v="0"/>
    <x v="0"/>
    <s v="Inetum"/>
    <e v="#NAME?"/>
    <s v="NOSDA $ BAU (Mantenimiento y peq. evolutivos)"/>
    <n v="1"/>
    <s v="Desarrollador"/>
    <s v="Mainframe"/>
    <m/>
    <e v="#NAME?"/>
    <e v="#NAME?"/>
    <e v="#NAME?"/>
    <m/>
    <m/>
    <m/>
    <m/>
    <m/>
  </r>
  <r>
    <s v="CE63508"/>
    <x v="91"/>
    <x v="0"/>
    <x v="0"/>
    <s v="Inetum"/>
    <e v="#NAME?"/>
    <s v="NOSDA $ BAU (Mantenimiento y peq. evolutivos)"/>
    <n v="1"/>
    <s v="QA"/>
    <s v="Mainframe"/>
    <m/>
    <e v="#NAME?"/>
    <e v="#NAME?"/>
    <e v="#NAME?"/>
    <m/>
    <m/>
    <m/>
    <m/>
    <m/>
  </r>
  <r>
    <s v="C802316"/>
    <x v="92"/>
    <x v="1"/>
    <x v="1"/>
    <s v="BBVA"/>
    <e v="#NAME?"/>
    <s v="SDATOOL-33907 $ Manejo Fiscal Prima o Descuento Renta Fija"/>
    <n v="0.7"/>
    <s v="Desarrollador"/>
    <s v="Otras Tec."/>
    <s v="Legacy :power Builder"/>
    <e v="#NAME?"/>
    <e v="#NAME?"/>
    <e v="#NAME?"/>
    <m/>
    <m/>
    <m/>
    <m/>
    <m/>
  </r>
  <r>
    <s v="C802316"/>
    <x v="92"/>
    <x v="1"/>
    <x v="1"/>
    <s v="BBVA"/>
    <e v="#NAME?"/>
    <s v="SDATOOL-35663 $ Capacidades FX GM"/>
    <n v="0.3"/>
    <s v="Desarrollador"/>
    <s v="Otras Tec."/>
    <s v="Legacy :power Builder"/>
    <e v="#NAME?"/>
    <e v="#NAME?"/>
    <e v="#NAME?"/>
    <m/>
    <m/>
    <m/>
    <m/>
    <m/>
  </r>
  <r>
    <s v="C782982"/>
    <x v="93"/>
    <x v="1"/>
    <x v="1"/>
    <s v="BBVA"/>
    <e v="#NAME?"/>
    <s v="SDATOOL-33907 $ Manejo Fiscal Prima o Descuento Renta Fija"/>
    <n v="0.3"/>
    <s v="Tech Manager/Líder"/>
    <s v="Otras Tec."/>
    <s v="Legacy :power Builder"/>
    <e v="#NAME?"/>
    <e v="#NAME?"/>
    <e v="#NAME?"/>
    <m/>
    <m/>
    <m/>
    <m/>
    <m/>
  </r>
  <r>
    <s v="C782982"/>
    <x v="93"/>
    <x v="1"/>
    <x v="1"/>
    <s v="BBVA"/>
    <e v="#NAME?"/>
    <s v="SDATOOL-35663 $ Capacidades FX GM"/>
    <n v="0.3"/>
    <s v="Tech Manager/Líder"/>
    <s v="Otras Tec."/>
    <s v="Legacy :power Builder"/>
    <e v="#NAME?"/>
    <e v="#NAME?"/>
    <e v="#NAME?"/>
    <m/>
    <m/>
    <m/>
    <m/>
    <m/>
  </r>
  <r>
    <s v="C782982"/>
    <x v="93"/>
    <x v="1"/>
    <x v="1"/>
    <s v="BBVA"/>
    <e v="#NAME?"/>
    <s v="SDATOOL-38642 $ CUPON INTERMEDIO"/>
    <n v="0.3"/>
    <s v="Tech Manager/Líder"/>
    <s v="Otras Tec."/>
    <s v="Legacy :power Builder"/>
    <e v="#NAME?"/>
    <e v="#NAME?"/>
    <e v="#NAME?"/>
    <m/>
    <m/>
    <m/>
    <m/>
    <m/>
  </r>
  <r>
    <s v="C782982"/>
    <x v="93"/>
    <x v="1"/>
    <x v="1"/>
    <s v="BBVA"/>
    <e v="#NAME?"/>
    <s v="SDATOOL-32520 $ CDD Based Reporting - Colombia"/>
    <n v="0.1"/>
    <s v="Tech Manager/Líder"/>
    <s v="Otras Tec."/>
    <s v="Legacy :power Builder"/>
    <e v="#NAME?"/>
    <e v="#NAME?"/>
    <e v="#NAME?"/>
    <m/>
    <m/>
    <m/>
    <m/>
    <m/>
  </r>
  <r>
    <s v="CE43166"/>
    <x v="94"/>
    <x v="1"/>
    <x v="1"/>
    <s v="Tecnoevolución"/>
    <e v="#NAME?"/>
    <s v="SDATOOL-32520 $ CDD Based Reporting - Colombia"/>
    <n v="0.25"/>
    <s v="Tech Manager/Líder"/>
    <s v="Otras Tec."/>
    <s v="Legacy :power Builder"/>
    <e v="#NAME?"/>
    <e v="#NAME?"/>
    <e v="#NAME?"/>
    <m/>
    <m/>
    <m/>
    <m/>
    <m/>
  </r>
  <r>
    <s v="CE43166"/>
    <x v="94"/>
    <x v="1"/>
    <x v="1"/>
    <s v="Tecnoevolución"/>
    <e v="#NAME?"/>
    <s v="SDATOOL-38642 $ CUPON INTERMEDIO"/>
    <n v="0.25"/>
    <s v="Tech Manager/Líder"/>
    <s v="Otras Tec."/>
    <s v="Legacy :power Builder"/>
    <e v="#NAME?"/>
    <e v="#NAME?"/>
    <e v="#NAME?"/>
    <m/>
    <m/>
    <m/>
    <m/>
    <m/>
  </r>
  <r>
    <s v="CE69376"/>
    <x v="95"/>
    <x v="1"/>
    <x v="1"/>
    <s v="Tecnoevolución"/>
    <e v="#NAME?"/>
    <s v="SDATOOL-32520 $ CDD Based Reporting - Colombia"/>
    <n v="0.25"/>
    <s v="Otros"/>
    <s v="Otras Tec."/>
    <s v="Legacy :power Builder"/>
    <e v="#NAME?"/>
    <e v="#NAME?"/>
    <e v="#NAME?"/>
    <m/>
    <m/>
    <m/>
    <m/>
    <m/>
  </r>
  <r>
    <s v="CE69376"/>
    <x v="95"/>
    <x v="1"/>
    <x v="1"/>
    <s v="Tecnoevolución"/>
    <e v="#NAME?"/>
    <s v="SDATOOL-38642 $ CUPON INTERMEDIO"/>
    <n v="0.25"/>
    <s v="Otros"/>
    <s v="Otras Tec."/>
    <s v="Legacy :power Builder"/>
    <e v="#NAME?"/>
    <e v="#NAME?"/>
    <e v="#NAME?"/>
    <m/>
    <m/>
    <m/>
    <m/>
    <m/>
  </r>
  <r>
    <s v="CE69380"/>
    <x v="96"/>
    <x v="1"/>
    <x v="1"/>
    <s v="Tecnoevolución"/>
    <e v="#NAME?"/>
    <s v="SDATOOL-38642 $ CUPON INTERMEDIO"/>
    <n v="0.5"/>
    <s v="Desarrollador"/>
    <s v="Otras Tec."/>
    <s v="Legacy :power Builder"/>
    <e v="#NAME?"/>
    <e v="#NAME?"/>
    <e v="#NAME?"/>
    <m/>
    <m/>
    <m/>
    <m/>
    <m/>
  </r>
  <r>
    <s v="CE69380"/>
    <x v="96"/>
    <x v="1"/>
    <x v="1"/>
    <s v="Tecnoevolución"/>
    <e v="#NAME?"/>
    <s v="SDATOOL-35663 $ Capacidades FX GM"/>
    <n v="0.3"/>
    <s v="Desarrollador"/>
    <s v="Otras Tec."/>
    <s v="Legacy :power Builder"/>
    <e v="#NAME?"/>
    <e v="#NAME?"/>
    <e v="#NAME?"/>
    <m/>
    <m/>
    <m/>
    <m/>
    <m/>
  </r>
  <r>
    <s v="CE69377"/>
    <x v="97"/>
    <x v="1"/>
    <x v="1"/>
    <s v="Tecnoevolución"/>
    <e v="#NAME?"/>
    <s v="SDATOOL-38642 $ CUPON INTERMEDIO"/>
    <n v="0.4"/>
    <s v="Desarrollador"/>
    <s v="Otras Tec."/>
    <s v="Legacy :power Builder"/>
    <e v="#NAME?"/>
    <e v="#NAME?"/>
    <e v="#NAME?"/>
    <m/>
    <m/>
    <m/>
    <m/>
    <m/>
  </r>
  <r>
    <s v="CE64877"/>
    <x v="98"/>
    <x v="1"/>
    <x v="1"/>
    <s v="Tecnoevolución"/>
    <e v="#NAME?"/>
    <s v="SDATOOL-32520 $ CDD Based Reporting - Colombia"/>
    <n v="0.3"/>
    <s v="Desarrollador"/>
    <s v="Otras Tec."/>
    <s v="Legacy :power Builder"/>
    <e v="#NAME?"/>
    <e v="#NAME?"/>
    <e v="#NAME?"/>
    <m/>
    <m/>
    <m/>
    <m/>
    <m/>
  </r>
  <r>
    <s v="CE64378"/>
    <x v="99"/>
    <x v="1"/>
    <x v="1"/>
    <s v="Tecnoevolución"/>
    <e v="#NAME?"/>
    <s v="SDATOOL-33907 $ Manejo Fiscal Prima o Descuento Renta Fija"/>
    <n v="0.25"/>
    <s v="Tech Manager/Líder"/>
    <s v="Otras Tec."/>
    <s v="Legacy :power Builder"/>
    <e v="#NAME?"/>
    <e v="#NAME?"/>
    <e v="#NAME?"/>
    <m/>
    <m/>
    <m/>
    <m/>
    <m/>
  </r>
  <r>
    <s v="CE64378"/>
    <x v="99"/>
    <x v="1"/>
    <x v="1"/>
    <s v="Tecnoevolución"/>
    <e v="#NAME?"/>
    <s v="SDATOOL-35663 $ Capacidades FX GM"/>
    <n v="0.25"/>
    <s v="Tech Manager/Líder"/>
    <s v="Otras Tec."/>
    <s v="Legacy :power Builder"/>
    <e v="#NAME?"/>
    <e v="#NAME?"/>
    <e v="#NAME?"/>
    <m/>
    <m/>
    <m/>
    <m/>
    <m/>
  </r>
  <r>
    <s v="CE55477"/>
    <x v="100"/>
    <x v="0"/>
    <x v="4"/>
    <s v="Choucair"/>
    <e v="#NAME?"/>
    <s v="NOSDA $ BAU (Mantenimiento y peq. evolutivos)"/>
    <n v="1"/>
    <s v="QA"/>
    <s v="Distribuido"/>
    <m/>
    <e v="#NAME?"/>
    <e v="#NAME?"/>
    <e v="#NAME?"/>
    <m/>
    <m/>
    <m/>
    <m/>
    <m/>
  </r>
  <r>
    <s v="T002794"/>
    <x v="101"/>
    <x v="0"/>
    <x v="4"/>
    <s v="DIMENSION"/>
    <e v="#NAME?"/>
    <s v="NOSDA $ BAU (Mantenimiento y peq. evolutivos)"/>
    <n v="1"/>
    <s v="Desarrollador"/>
    <s v="Distribuido"/>
    <m/>
    <e v="#NAME?"/>
    <e v="#NAME?"/>
    <e v="#NAME?"/>
    <m/>
    <m/>
    <m/>
    <m/>
    <m/>
  </r>
  <r>
    <s v="CE69114"/>
    <x v="102"/>
    <x v="0"/>
    <x v="4"/>
    <s v="DIMENSION"/>
    <e v="#NAME?"/>
    <s v="NOSDA $ BAU (Mantenimiento y peq. evolutivos)"/>
    <n v="1"/>
    <s v="Desarrollador"/>
    <s v="Distribuido"/>
    <m/>
    <e v="#NAME?"/>
    <e v="#NAME?"/>
    <e v="#NAME?"/>
    <m/>
    <m/>
    <m/>
    <m/>
    <m/>
  </r>
  <r>
    <s v="O001973"/>
    <x v="103"/>
    <x v="0"/>
    <x v="4"/>
    <s v="BBVA"/>
    <e v="#NAME?"/>
    <s v="NOSDA $ BAU (Mantenimiento y peq. evolutivos)"/>
    <n v="1"/>
    <s v="Desarrollador"/>
    <s v="Distribuido"/>
    <m/>
    <e v="#NAME?"/>
    <e v="#NAME?"/>
    <e v="#NAME?"/>
    <m/>
    <m/>
    <m/>
    <m/>
    <m/>
  </r>
  <r>
    <s v="C805971"/>
    <x v="104"/>
    <x v="0"/>
    <x v="4"/>
    <s v="BBVA"/>
    <e v="#NAME?"/>
    <s v="NOSDA $ BAU (Mantenimiento y peq. evolutivos)"/>
    <n v="1"/>
    <s v="Desarrollador"/>
    <s v="Distribuido"/>
    <m/>
    <e v="#NAME?"/>
    <e v="#NAME?"/>
    <e v="#NAME?"/>
    <m/>
    <m/>
    <m/>
    <m/>
    <m/>
  </r>
  <r>
    <s v="C805925"/>
    <x v="65"/>
    <x v="0"/>
    <x v="4"/>
    <s v="BBVA"/>
    <e v="#NAME?"/>
    <s v="NOSDA $ BAU (Mantenimiento y peq. evolutivos)"/>
    <n v="0.75"/>
    <s v="Desarrollador"/>
    <s v="Otras Tec."/>
    <m/>
    <e v="#NAME?"/>
    <e v="#NAME?"/>
    <e v="#NAME?"/>
    <m/>
    <m/>
    <m/>
    <m/>
    <m/>
  </r>
  <r>
    <s v="C810899"/>
    <x v="105"/>
    <x v="0"/>
    <x v="4"/>
    <s v="BBVA"/>
    <e v="#NAME?"/>
    <s v="NOSDA $ BAU (Mantenimiento y peq. evolutivos)"/>
    <n v="1"/>
    <s v="Tech Manager/Líder"/>
    <s v="Distribuido"/>
    <m/>
    <e v="#NAME?"/>
    <e v="#NAME?"/>
    <e v="#NAME?"/>
    <m/>
    <m/>
    <m/>
    <m/>
    <m/>
  </r>
  <r>
    <s v="C802949"/>
    <x v="106"/>
    <x v="2"/>
    <x v="5"/>
    <s v="BBVA"/>
    <e v="#NAME?"/>
    <s v="NOSDA $ BAU (Mantenimiento y peq. evolutivos)"/>
    <n v="1"/>
    <s v="Tech Manager/Líder"/>
    <s v="Mainframe"/>
    <m/>
    <e v="#NAME?"/>
    <e v="#NAME?"/>
    <e v="#NAME?"/>
    <m/>
    <m/>
    <m/>
    <m/>
    <m/>
  </r>
  <r>
    <s v="O000118"/>
    <x v="107"/>
    <x v="2"/>
    <x v="5"/>
    <s v="BBVA"/>
    <e v="#NAME?"/>
    <s v="NOSDA $ BAU (Mantenimiento y peq. evolutivos)"/>
    <n v="1"/>
    <s v="Desarrollador"/>
    <s v="Distribuido"/>
    <m/>
    <e v="#NAME?"/>
    <e v="#NAME?"/>
    <e v="#NAME?"/>
    <m/>
    <m/>
    <m/>
    <m/>
    <m/>
  </r>
  <r>
    <s v="O001384"/>
    <x v="108"/>
    <x v="2"/>
    <x v="5"/>
    <s v="BBVA"/>
    <e v="#NAME?"/>
    <s v="NOSDA $ BAU (Mantenimiento y peq. evolutivos)"/>
    <n v="1"/>
    <s v="Desarrollador"/>
    <s v="Mainframe"/>
    <m/>
    <e v="#NAME?"/>
    <e v="#NAME?"/>
    <e v="#NAME?"/>
    <m/>
    <m/>
    <m/>
    <m/>
    <m/>
  </r>
  <r>
    <s v="T002204"/>
    <x v="109"/>
    <x v="2"/>
    <x v="5"/>
    <s v="Indra"/>
    <e v="#NAME?"/>
    <s v="NOSDA $ BAU (Mantenimiento y peq. evolutivos)"/>
    <n v="1"/>
    <s v="Tech Manager/Líder"/>
    <s v="Mainframe"/>
    <m/>
    <e v="#NAME?"/>
    <e v="#NAME?"/>
    <e v="#NAME?"/>
    <m/>
    <m/>
    <m/>
    <m/>
    <m/>
  </r>
  <r>
    <s v="CE64919"/>
    <x v="110"/>
    <x v="2"/>
    <x v="5"/>
    <s v="Indra"/>
    <e v="#NAME?"/>
    <s v="NOSDA $ BAU (Mantenimiento y peq. evolutivos)"/>
    <n v="1"/>
    <s v="Desarrollador"/>
    <s v="Mainframe"/>
    <m/>
    <e v="#NAME?"/>
    <e v="#NAME?"/>
    <e v="#NAME?"/>
    <m/>
    <m/>
    <m/>
    <m/>
    <m/>
  </r>
  <r>
    <s v="CE68692"/>
    <x v="111"/>
    <x v="2"/>
    <x v="5"/>
    <s v="Indra"/>
    <e v="#NAME?"/>
    <s v="NOSDA $ BAU (Mantenimiento y peq. evolutivos)"/>
    <n v="1"/>
    <s v="Desarrollador"/>
    <s v="Distribuido"/>
    <m/>
    <e v="#NAME?"/>
    <e v="#NAME?"/>
    <e v="#NAME?"/>
    <m/>
    <m/>
    <m/>
    <m/>
    <m/>
  </r>
  <r>
    <s v="CE62655"/>
    <x v="112"/>
    <x v="2"/>
    <x v="5"/>
    <s v="Indra"/>
    <e v="#NAME?"/>
    <s v="NOSDA $ BAU (Mantenimiento y peq. evolutivos)"/>
    <n v="1"/>
    <s v="Desarrollador"/>
    <s v="Distribuido"/>
    <m/>
    <e v="#NAME?"/>
    <e v="#NAME?"/>
    <e v="#NAME?"/>
    <m/>
    <m/>
    <m/>
    <m/>
    <m/>
  </r>
  <r>
    <s v="CE60804"/>
    <x v="113"/>
    <x v="2"/>
    <x v="5"/>
    <s v="Indra"/>
    <e v="#NAME?"/>
    <s v="NOSDA $ BAU (Mantenimiento y peq. evolutivos)"/>
    <n v="0.5"/>
    <s v="Desarrollador"/>
    <s v="Mainframe"/>
    <s v="Se comparte con Torre de Analitycs "/>
    <e v="#NAME?"/>
    <e v="#NAME?"/>
    <e v="#NAME?"/>
    <m/>
    <m/>
    <m/>
    <m/>
    <m/>
  </r>
  <r>
    <s v="CE66288"/>
    <x v="114"/>
    <x v="2"/>
    <x v="5"/>
    <s v="GGI / CMC"/>
    <e v="#NAME?"/>
    <s v="NOSDA $ BAU (Mantenimiento y peq. evolutivos)"/>
    <n v="1"/>
    <s v="QA"/>
    <s v="Mainframe"/>
    <m/>
    <e v="#NAME?"/>
    <e v="#NAME?"/>
    <e v="#NAME?"/>
    <m/>
    <m/>
    <m/>
    <m/>
    <m/>
  </r>
  <r>
    <s v="O003229"/>
    <x v="115"/>
    <x v="2"/>
    <x v="6"/>
    <s v="BBVA"/>
    <e v="#NAME?"/>
    <s v="SDATOOL-28728 $ Contratación electrónica/digital de empleados y Carpeta Virtual 2.0"/>
    <n v="0.1"/>
    <s v="Tech Manager/Líder"/>
    <s v="Otras Tec."/>
    <m/>
    <e v="#NAME?"/>
    <e v="#NAME?"/>
    <e v="#NAME?"/>
    <m/>
    <m/>
    <m/>
    <m/>
    <m/>
  </r>
  <r>
    <s v="O003229"/>
    <x v="115"/>
    <x v="2"/>
    <x v="6"/>
    <s v="BBVA"/>
    <e v="#NAME?"/>
    <s v="SDATOOL-40407 $ Envío de información sensible entes internos y externos"/>
    <n v="0.1"/>
    <s v="Tech Manager/Líder"/>
    <s v="Otras Tec."/>
    <m/>
    <e v="#NAME?"/>
    <e v="#NAME?"/>
    <e v="#NAME?"/>
    <m/>
    <m/>
    <m/>
    <m/>
    <m/>
  </r>
  <r>
    <s v="O003229"/>
    <x v="115"/>
    <x v="2"/>
    <x v="6"/>
    <s v="BBVA"/>
    <e v="#NAME?"/>
    <s v="SDATOOL-40406 $ Plan Mejora recobro de incapacidades"/>
    <n v="0.1"/>
    <s v="Tech Manager/Líder"/>
    <s v="Otras Tec."/>
    <m/>
    <e v="#NAME?"/>
    <e v="#NAME?"/>
    <e v="#NAME?"/>
    <m/>
    <m/>
    <m/>
    <m/>
    <m/>
  </r>
  <r>
    <s v="O003229"/>
    <x v="115"/>
    <x v="2"/>
    <x v="6"/>
    <s v="BBVA"/>
    <e v="#NAME?"/>
    <s v="SDATOOL-40706 $ Validaciones en Captura de Terceros Aplicativo TBM"/>
    <n v="0.25"/>
    <s v="Tech Manager/Líder"/>
    <s v="Otras Tec."/>
    <m/>
    <e v="#NAME?"/>
    <e v="#NAME?"/>
    <e v="#NAME?"/>
    <m/>
    <m/>
    <m/>
    <m/>
    <m/>
  </r>
  <r>
    <s v="O003230"/>
    <x v="115"/>
    <x v="2"/>
    <x v="6"/>
    <s v="BBVA"/>
    <e v="#NAME?"/>
    <s v="SDATOOL-40546 $ Mejoras Experiencia de Usuario TBM"/>
    <n v="0.25"/>
    <s v="Tech Manager/Líder"/>
    <s v="Otras Tec."/>
    <m/>
    <e v="#NAME?"/>
    <e v="#NAME?"/>
    <e v="#NAME?"/>
    <m/>
    <m/>
    <m/>
    <m/>
    <m/>
  </r>
  <r>
    <s v="O003231"/>
    <x v="115"/>
    <x v="2"/>
    <x v="6"/>
    <s v="BBVA"/>
    <e v="#NAME?"/>
    <s v="SDATOOL-41203 $ Obsolescencia Aplicativa 2023"/>
    <n v="0.1"/>
    <s v="Tech Manager/Líder"/>
    <s v="Otras Tec."/>
    <m/>
    <e v="#NAME?"/>
    <e v="#NAME?"/>
    <e v="#NAME?"/>
    <m/>
    <m/>
    <m/>
    <m/>
    <m/>
  </r>
  <r>
    <s v="O003232"/>
    <x v="115"/>
    <x v="2"/>
    <x v="6"/>
    <s v="BBVA"/>
    <e v="#NAME?"/>
    <s v="SDATOOL-37765 $ Optimización operativa S&amp;C"/>
    <n v="0.1"/>
    <s v="Tech Manager/Líder"/>
    <s v="Otras Tec."/>
    <m/>
    <e v="#NAME?"/>
    <e v="#NAME?"/>
    <e v="#NAME?"/>
    <m/>
    <m/>
    <m/>
    <m/>
    <m/>
  </r>
  <r>
    <s v="C811263"/>
    <x v="116"/>
    <x v="2"/>
    <x v="6"/>
    <s v="BBVA"/>
    <e v="#NAME?"/>
    <s v="SDATOOL-40706 $ Validaciones en Captura de Terceros Aplicativo TBM"/>
    <n v="0.5"/>
    <s v="Desarrollador"/>
    <s v="Otras Tec."/>
    <m/>
    <e v="#NAME?"/>
    <e v="#NAME?"/>
    <e v="#NAME?"/>
    <m/>
    <m/>
    <m/>
    <m/>
    <m/>
  </r>
  <r>
    <s v="C811263"/>
    <x v="116"/>
    <x v="2"/>
    <x v="6"/>
    <s v="BBVA"/>
    <e v="#NAME?"/>
    <s v="SDATOOL-40546 $ Mejoras Experiencia de Usuario TBM"/>
    <n v="0.5"/>
    <s v="Desarrollador"/>
    <s v="Otras Tec."/>
    <m/>
    <e v="#NAME?"/>
    <e v="#NAME?"/>
    <e v="#NAME?"/>
    <m/>
    <m/>
    <m/>
    <m/>
    <m/>
  </r>
  <r>
    <s v="T010294"/>
    <x v="117"/>
    <x v="2"/>
    <x v="6"/>
    <s v="Novatec"/>
    <e v="#NAME?"/>
    <s v="SDATOOL-28728 $ Contratación electrónica/digital de empleados y Carpeta Virtual 2.0"/>
    <n v="1"/>
    <s v="Desarrollador"/>
    <s v="Otras Tec."/>
    <s v="Este Proyecto contiene  ASO, APX, CELLS, GCP"/>
    <e v="#NAME?"/>
    <e v="#NAME?"/>
    <e v="#NAME?"/>
    <m/>
    <m/>
    <m/>
    <m/>
    <m/>
  </r>
  <r>
    <s v="C341767"/>
    <x v="118"/>
    <x v="2"/>
    <x v="6"/>
    <s v="BBVA"/>
    <e v="#NAME?"/>
    <s v="SDATOOL-40406 $ Plan Mejora recobro de incapacidades"/>
    <n v="0.5"/>
    <s v="Desarrollador"/>
    <s v="Otras Tec."/>
    <m/>
    <e v="#NAME?"/>
    <e v="#NAME?"/>
    <e v="#NAME?"/>
    <m/>
    <m/>
    <m/>
    <m/>
    <m/>
  </r>
  <r>
    <s v="C341767"/>
    <x v="118"/>
    <x v="2"/>
    <x v="6"/>
    <s v="BBVA"/>
    <e v="#NAME?"/>
    <s v="SDATOOL-37765 $ Optimización operativa S&amp;C"/>
    <n v="0.25"/>
    <s v="Desarrollador"/>
    <s v="Otras Tec."/>
    <m/>
    <e v="#NAME?"/>
    <e v="#NAME?"/>
    <e v="#NAME?"/>
    <m/>
    <m/>
    <m/>
    <m/>
    <m/>
  </r>
  <r>
    <s v="C341767"/>
    <x v="118"/>
    <x v="2"/>
    <x v="6"/>
    <s v="BBVA"/>
    <e v="#NAME?"/>
    <s v="SDATOOL-41203 $ Obsolescencia Aplicativa 2023"/>
    <n v="0.25"/>
    <s v="Otros"/>
    <s v="Otras Tec."/>
    <m/>
    <e v="#NAME?"/>
    <e v="#NAME?"/>
    <e v="#NAME?"/>
    <m/>
    <m/>
    <m/>
    <m/>
    <m/>
  </r>
  <r>
    <s v="T002802"/>
    <x v="119"/>
    <x v="2"/>
    <x v="6"/>
    <s v="Novatec"/>
    <e v="#NAME?"/>
    <s v="SDATOOL-28728 $ Contratación electrónica/digital de empleados y Carpeta Virtual 2.0"/>
    <n v="1"/>
    <s v="Desarrollador"/>
    <s v="Otras Tec."/>
    <s v="Este Proyecto contiene  ASO, APX, CELLS, GCP"/>
    <e v="#NAME?"/>
    <e v="#NAME?"/>
    <e v="#NAME?"/>
    <m/>
    <m/>
    <m/>
    <m/>
    <m/>
  </r>
  <r>
    <s v="T010289"/>
    <x v="120"/>
    <x v="2"/>
    <x v="6"/>
    <s v="Novatec"/>
    <e v="#NAME?"/>
    <s v="SDATOOL-28728 $ Contratación electrónica/digital de empleados y Carpeta Virtual 2.0"/>
    <n v="1"/>
    <s v="Desarrollador"/>
    <s v="Otras Tec."/>
    <s v="Este Proyecto contiene  ASO, APX, CELLS, GCP"/>
    <e v="#NAME?"/>
    <e v="#NAME?"/>
    <e v="#NAME?"/>
    <m/>
    <m/>
    <m/>
    <m/>
    <m/>
  </r>
  <r>
    <s v="CE70901"/>
    <x v="121"/>
    <x v="2"/>
    <x v="6"/>
    <s v="Novatec"/>
    <e v="#NAME?"/>
    <s v="SDATOOL-28728 $ Contratación electrónica/digital de empleados y Carpeta Virtual 2.0"/>
    <n v="1"/>
    <s v="Desarrollador"/>
    <s v="Otras Tec."/>
    <s v="Este Proyecto contiene  ASO, APX, CELLS, GCP"/>
    <e v="#NAME?"/>
    <e v="#NAME?"/>
    <e v="#NAME?"/>
    <m/>
    <m/>
    <m/>
    <m/>
    <m/>
  </r>
  <r>
    <s v="T002449"/>
    <x v="122"/>
    <x v="2"/>
    <x v="6"/>
    <s v="Novatec"/>
    <e v="#NAME?"/>
    <s v="SDATOOL-28728 $ Contratación electrónica/digital de empleados y Carpeta Virtual 2.0"/>
    <n v="1"/>
    <s v="Desarrollador"/>
    <s v="Otras Tec."/>
    <s v="Este Proyecto contiene  ASO, APX, CELLS, GCP"/>
    <e v="#NAME?"/>
    <e v="#NAME?"/>
    <e v="#NAME?"/>
    <m/>
    <m/>
    <m/>
    <m/>
    <m/>
  </r>
  <r>
    <s v="C811290"/>
    <x v="123"/>
    <x v="2"/>
    <x v="6"/>
    <s v="BBVA"/>
    <e v="#NAME?"/>
    <s v="SDATOOL-40407 $ Envío de información sensible entes internos y externos"/>
    <n v="1"/>
    <s v="Desarrollador"/>
    <s v="Otras Tec."/>
    <s v="Proyecto con dos feature"/>
    <e v="#NAME?"/>
    <e v="#NAME?"/>
    <e v="#NAME?"/>
    <m/>
    <m/>
    <m/>
    <m/>
    <m/>
  </r>
  <r>
    <s v="C804221"/>
    <x v="124"/>
    <x v="2"/>
    <x v="6"/>
    <s v="BBVA"/>
    <e v="#NAME?"/>
    <s v="SDATOOL-28728 $ Contratación electrónica/digital de empleados y Carpeta Virtual 2.0"/>
    <n v="1"/>
    <s v="Desarrollador"/>
    <s v="Otras Tec."/>
    <s v="Este proyecto contiene  ASO, APX, CELLS, GCP_x000a_Proyecto con 2 feature"/>
    <e v="#NAME?"/>
    <e v="#NAME?"/>
    <e v="#NAME?"/>
    <m/>
    <m/>
    <m/>
    <m/>
    <m/>
  </r>
  <r>
    <s v="CE66796"/>
    <x v="125"/>
    <x v="2"/>
    <x v="6"/>
    <s v="Novatec"/>
    <e v="#NAME?"/>
    <s v="SDATOOL-28728 $ Contratación electrónica/digital de empleados y Carpeta Virtual 2.0"/>
    <n v="1"/>
    <s v="Desarrollador"/>
    <s v="Otras Tec."/>
    <s v="Este Proyecto contiene  ASO, APX, CELLS, GCP"/>
    <e v="#NAME?"/>
    <e v="#NAME?"/>
    <e v="#NAME?"/>
    <m/>
    <m/>
    <m/>
    <m/>
    <m/>
  </r>
  <r>
    <s v="C805333"/>
    <x v="126"/>
    <x v="2"/>
    <x v="6"/>
    <s v="BBVA"/>
    <e v="#NAME?"/>
    <s v="SDATOOL-28728 $ Contratación electrónica/digital de empleados y Carpeta Virtual 2.0"/>
    <n v="1"/>
    <s v="Desarrollador"/>
    <s v="Otras Tec."/>
    <s v="Este proyecto contiene  ASO, APX, CELLS, GCP_x000a_Proyecto con 2 feature"/>
    <e v="#NAME?"/>
    <e v="#NAME?"/>
    <e v="#NAME?"/>
    <m/>
    <m/>
    <m/>
    <m/>
    <m/>
  </r>
  <r>
    <s v="T010288"/>
    <x v="127"/>
    <x v="2"/>
    <x v="6"/>
    <s v="Novatec"/>
    <e v="#NAME?"/>
    <s v="SDATOOL-28728 $ Contratación electrónica/digital de empleados y Carpeta Virtual 2.0"/>
    <n v="1"/>
    <s v="Desarrollador"/>
    <s v="Otras Tec."/>
    <s v="Este Proyecto contiene  ASO, APX, CELLS, GCP"/>
    <e v="#NAME?"/>
    <e v="#NAME?"/>
    <e v="#NAME?"/>
    <m/>
    <m/>
    <m/>
    <m/>
    <m/>
  </r>
  <r>
    <s v="T003286"/>
    <x v="128"/>
    <x v="2"/>
    <x v="6"/>
    <s v="Novatec"/>
    <e v="#NAME?"/>
    <s v="SDATOOL-28728 $ Contratación electrónica/digital de empleados y Carpeta Virtual 2.0"/>
    <n v="1"/>
    <s v="Desarrollador"/>
    <s v="Otras Tec."/>
    <s v="Este Proyecto contiene  ASO, APX, CELLS, GCP"/>
    <e v="#NAME?"/>
    <e v="#NAME?"/>
    <e v="#NAME?"/>
    <m/>
    <m/>
    <m/>
    <m/>
    <m/>
  </r>
  <r>
    <s v="C783729"/>
    <x v="129"/>
    <x v="2"/>
    <x v="7"/>
    <s v="BBVA"/>
    <e v="#NAME?"/>
    <s v="SDATOOL-29998 $ Despliegue SAS AML en BBVA CO"/>
    <n v="0.4"/>
    <s v="Tech Manager/Líder"/>
    <s v="Otras Tec."/>
    <m/>
    <e v="#NAME?"/>
    <e v="#NAME?"/>
    <e v="#NAME?"/>
    <m/>
    <m/>
    <m/>
    <m/>
    <m/>
  </r>
  <r>
    <s v="C783729"/>
    <x v="129"/>
    <x v="2"/>
    <x v="7"/>
    <s v="BBVA"/>
    <e v="#NAME?"/>
    <s v="SDATOOL-39265 $ Migración Operaciones Fircosoft"/>
    <n v="0.1"/>
    <s v="Tech Manager/Líder"/>
    <s v="Otras Tec."/>
    <s v="Usuario  lo presentara en el WG del 30/03/2023"/>
    <e v="#NAME?"/>
    <e v="#NAME?"/>
    <e v="#NAME?"/>
    <m/>
    <m/>
    <m/>
    <m/>
    <m/>
  </r>
  <r>
    <s v="C783729"/>
    <x v="129"/>
    <x v="2"/>
    <x v="7"/>
    <s v="BBVA"/>
    <e v="#NAME?"/>
    <s v="SDATOOL-39473 $ Actualización de Was 8 a was 9. RBA"/>
    <n v="0.1"/>
    <s v="Tech Manager/Líder"/>
    <s v="Otras Tec."/>
    <m/>
    <e v="#NAME?"/>
    <e v="#NAME?"/>
    <e v="#NAME?"/>
    <m/>
    <m/>
    <m/>
    <m/>
    <m/>
  </r>
  <r>
    <s v="C783729"/>
    <x v="129"/>
    <x v="2"/>
    <x v="7"/>
    <s v="BBVA"/>
    <e v="#NAME?"/>
    <s v="SDATOOL-39888 $ Proyecto - Evolutivo Sarlaft - Mejoras controles aplicativos"/>
    <n v="0.2"/>
    <s v="Tech Manager/Líder"/>
    <s v="Otras Tec."/>
    <m/>
    <e v="#NAME?"/>
    <e v="#NAME?"/>
    <e v="#NAME?"/>
    <m/>
    <m/>
    <m/>
    <m/>
    <m/>
  </r>
  <r>
    <s v="C783729"/>
    <x v="129"/>
    <x v="2"/>
    <x v="7"/>
    <s v="BBVA"/>
    <e v="#NAME?"/>
    <s v="SDATOOL-40984 $ Proyecto - Identificación e ingesta de las tablas necesarias en datio y la construcción del caso de uso para la identificación de vínculos - Colombia"/>
    <n v="0.1"/>
    <s v="Tech Manager/Líder"/>
    <s v="Otras Tec."/>
    <m/>
    <e v="#NAME?"/>
    <e v="#NAME?"/>
    <e v="#NAME?"/>
    <m/>
    <m/>
    <m/>
    <m/>
    <m/>
  </r>
  <r>
    <s v="C783729"/>
    <x v="129"/>
    <x v="2"/>
    <x v="7"/>
    <s v="BBVA"/>
    <e v="#NAME?"/>
    <s v="SDATOOL-41031 $ Proyecto - Shadow IT - Migración a un nuevo aplicativo de la herramienta SIGLAFT"/>
    <n v="0.1"/>
    <s v="Tech Manager/Líder"/>
    <s v="Otras Tec."/>
    <m/>
    <e v="#NAME?"/>
    <e v="#NAME?"/>
    <e v="#NAME?"/>
    <m/>
    <m/>
    <m/>
    <m/>
    <m/>
  </r>
  <r>
    <s v="C808788"/>
    <x v="130"/>
    <x v="2"/>
    <x v="7"/>
    <s v="BBVA"/>
    <e v="#NAME?"/>
    <s v="SDATOOL-29998 $ Despliegue SAS AML en BBVA CO"/>
    <n v="0.4"/>
    <s v="Desarrollador"/>
    <s v="Distribuido"/>
    <m/>
    <e v="#NAME?"/>
    <e v="#NAME?"/>
    <e v="#NAME?"/>
    <m/>
    <m/>
    <m/>
    <m/>
    <m/>
  </r>
  <r>
    <s v="C808788"/>
    <x v="130"/>
    <x v="2"/>
    <x v="7"/>
    <s v="BBVA"/>
    <e v="#NAME?"/>
    <s v="SDATOOL-39265 $ Migración Operaciones Fircosoft"/>
    <n v="0.1"/>
    <s v="Desarrollador"/>
    <s v="Distribuido"/>
    <s v="Usuario  lo presentara en el WG del 30/03/2023"/>
    <e v="#NAME?"/>
    <e v="#NAME?"/>
    <e v="#NAME?"/>
    <m/>
    <m/>
    <m/>
    <m/>
    <m/>
  </r>
  <r>
    <s v="C808788"/>
    <x v="130"/>
    <x v="2"/>
    <x v="7"/>
    <s v="BBVA"/>
    <e v="#NAME?"/>
    <s v="SDATOOL-39473 $ Actualización de Was 8 a was 9. RBA"/>
    <n v="0.1"/>
    <s v="Desarrollador"/>
    <s v="Distribuido"/>
    <m/>
    <e v="#NAME?"/>
    <e v="#NAME?"/>
    <e v="#NAME?"/>
    <m/>
    <m/>
    <m/>
    <m/>
    <m/>
  </r>
  <r>
    <s v="C808788"/>
    <x v="130"/>
    <x v="2"/>
    <x v="7"/>
    <s v="BBVA"/>
    <e v="#NAME?"/>
    <s v="SDATOOL-39888 $ Proyecto - Evolutivo Sarlaft - Mejoras controles aplicativos"/>
    <n v="0.4"/>
    <s v="Desarrollador"/>
    <s v="Distribuido"/>
    <m/>
    <e v="#NAME?"/>
    <e v="#NAME?"/>
    <e v="#NAME?"/>
    <m/>
    <m/>
    <m/>
    <m/>
    <m/>
  </r>
  <r>
    <s v="C809493"/>
    <x v="131"/>
    <x v="2"/>
    <x v="7"/>
    <s v="BBVA"/>
    <e v="#NAME?"/>
    <s v="SDATOOL-29998 $ Despliegue SAS AML en BBVA CO"/>
    <n v="0.3"/>
    <s v="Desarrollador"/>
    <s v="Mainframe"/>
    <m/>
    <e v="#NAME?"/>
    <e v="#NAME?"/>
    <e v="#NAME?"/>
    <m/>
    <m/>
    <m/>
    <m/>
    <m/>
  </r>
  <r>
    <s v="C809493"/>
    <x v="131"/>
    <x v="2"/>
    <x v="7"/>
    <s v="BBVA"/>
    <e v="#NAME?"/>
    <s v="SDATOOL-41031 $ Proyecto - Shadow IT - Migración a un nuevo aplicativo de la herramienta SIGLAFT"/>
    <n v="0.1"/>
    <s v="Desarrollador"/>
    <s v="Mainframe"/>
    <m/>
    <e v="#NAME?"/>
    <e v="#NAME?"/>
    <e v="#NAME?"/>
    <m/>
    <m/>
    <m/>
    <m/>
    <m/>
  </r>
  <r>
    <s v="C809493"/>
    <x v="131"/>
    <x v="2"/>
    <x v="7"/>
    <s v="BBVA"/>
    <e v="#NAME?"/>
    <s v="SDATOOL-39888 $ Proyecto - Evolutivo Sarlaft - Mejoras controles aplicativos"/>
    <n v="0.5"/>
    <s v="Desarrollador"/>
    <s v="Mainframe"/>
    <m/>
    <e v="#NAME?"/>
    <e v="#NAME?"/>
    <e v="#NAME?"/>
    <m/>
    <m/>
    <m/>
    <m/>
    <m/>
  </r>
  <r>
    <s v="C809493"/>
    <x v="131"/>
    <x v="2"/>
    <x v="7"/>
    <s v="BBVA"/>
    <e v="#NAME?"/>
    <s v="SDATOOL-40984 $ Proyecto - Identificación e ingesta de las tablas necesarias en datio y la construcción del caso de uso para la identificación de vínculos - Colombia"/>
    <n v="0.1"/>
    <s v="Desarrollador"/>
    <s v="Mainframe"/>
    <m/>
    <e v="#NAME?"/>
    <e v="#NAME?"/>
    <e v="#NAME?"/>
    <m/>
    <m/>
    <m/>
    <m/>
    <m/>
  </r>
  <r>
    <s v="O002594"/>
    <x v="132"/>
    <x v="2"/>
    <x v="7"/>
    <s v="BBVA"/>
    <e v="#NAME?"/>
    <s v="SDATOOL-39888 $ Proyecto - Evolutivo Sarlaft - Mejoras controles aplicativos"/>
    <n v="0.4"/>
    <s v="Desarrollador"/>
    <s v="Mainframe"/>
    <m/>
    <e v="#NAME?"/>
    <e v="#NAME?"/>
    <e v="#NAME?"/>
    <m/>
    <m/>
    <m/>
    <m/>
    <m/>
  </r>
  <r>
    <s v="O002594"/>
    <x v="132"/>
    <x v="2"/>
    <x v="7"/>
    <s v="BBVA"/>
    <e v="#NAME?"/>
    <s v="SDATOOL-40984 $ Proyecto - Identificación e ingesta de las tablas necesarias en datio y la construcción del caso de uso para la identificación de vínculos - Colombia"/>
    <n v="0.3"/>
    <s v="Desarrollador"/>
    <s v="Mainframe"/>
    <m/>
    <e v="#NAME?"/>
    <e v="#NAME?"/>
    <e v="#NAME?"/>
    <m/>
    <m/>
    <m/>
    <m/>
    <m/>
  </r>
  <r>
    <s v="O002594"/>
    <x v="132"/>
    <x v="2"/>
    <x v="7"/>
    <s v="BBVA"/>
    <e v="#NAME?"/>
    <s v="SDATOOL-41031 $ Proyecto - Shadow IT - Migración a un nuevo aplicativo de la herramienta SIGLAFT"/>
    <n v="0.3"/>
    <s v="Desarrollador"/>
    <s v="Mainframe"/>
    <m/>
    <e v="#NAME?"/>
    <e v="#NAME?"/>
    <e v="#NAME?"/>
    <m/>
    <m/>
    <m/>
    <m/>
    <m/>
  </r>
  <r>
    <s v="CE63761"/>
    <x v="133"/>
    <x v="2"/>
    <x v="7"/>
    <s v="MS"/>
    <e v="#NAME?"/>
    <s v="SDATOOL-29998 $ Despliegue SAS AML en BBVA CO"/>
    <n v="1"/>
    <s v="Desarrollador"/>
    <s v="Distribuido"/>
    <m/>
    <e v="#NAME?"/>
    <e v="#NAME?"/>
    <e v="#NAME?"/>
    <m/>
    <m/>
    <m/>
    <m/>
    <m/>
  </r>
  <r>
    <s v="T002735"/>
    <x v="134"/>
    <x v="2"/>
    <x v="7"/>
    <s v="CAPGEMINI"/>
    <e v="#NAME?"/>
    <s v="SDATOOL-29998 $ Despliegue SAS AML en BBVA CO"/>
    <n v="1"/>
    <s v="Desarrollador"/>
    <s v="Distribuido"/>
    <m/>
    <e v="#NAME?"/>
    <e v="#NAME?"/>
    <e v="#NAME?"/>
    <m/>
    <m/>
    <m/>
    <m/>
    <m/>
  </r>
  <r>
    <s v="T005769"/>
    <x v="135"/>
    <x v="2"/>
    <x v="7"/>
    <s v="CAPGEMINI"/>
    <e v="#NAME?"/>
    <s v="SDATOOL-29998 $ Despliegue SAS AML en BBVA CO"/>
    <n v="1"/>
    <s v="Desarrollador"/>
    <s v="Distribuido"/>
    <m/>
    <e v="#NAME?"/>
    <e v="#NAME?"/>
    <e v="#NAME?"/>
    <m/>
    <m/>
    <m/>
    <m/>
    <m/>
  </r>
  <r>
    <s v="CE62655"/>
    <x v="136"/>
    <x v="2"/>
    <x v="7"/>
    <s v="Indra"/>
    <e v="#NAME?"/>
    <s v="SDATOOL-40599 $ Proyecto - Circular 025"/>
    <n v="0.5"/>
    <s v="Desarrollador"/>
    <s v="Distribuido"/>
    <m/>
    <e v="#NAME?"/>
    <e v="#NAME?"/>
    <e v="#NAME?"/>
    <m/>
    <m/>
    <m/>
    <m/>
    <m/>
  </r>
  <r>
    <s v="T005766"/>
    <x v="137"/>
    <x v="2"/>
    <x v="7"/>
    <s v="CAPGEMINI"/>
    <e v="#NAME?"/>
    <s v="SDATOOL-29998 $ Despliegue SAS AML en BBVA CO"/>
    <n v="1"/>
    <s v="Desarrollador"/>
    <s v="Distribuido"/>
    <m/>
    <e v="#NAME?"/>
    <e v="#NAME?"/>
    <e v="#NAME?"/>
    <m/>
    <m/>
    <m/>
    <m/>
    <m/>
  </r>
  <r>
    <s v="CE56090"/>
    <x v="138"/>
    <x v="2"/>
    <x v="7"/>
    <s v="MS"/>
    <e v="#NAME?"/>
    <s v="SDATOOL-29998 $ Despliegue SAS AML en BBVA CO"/>
    <n v="1"/>
    <s v="Desarrollador"/>
    <s v="Distribuido"/>
    <m/>
    <e v="#NAME?"/>
    <e v="#NAME?"/>
    <e v="#NAME?"/>
    <m/>
    <m/>
    <m/>
    <m/>
    <m/>
  </r>
  <r>
    <s v="T002734"/>
    <x v="139"/>
    <x v="2"/>
    <x v="7"/>
    <s v="CAPGEMINI"/>
    <e v="#NAME?"/>
    <s v="SDATOOL-29998 $ Despliegue SAS AML en BBVA CO"/>
    <n v="1"/>
    <s v="Desarrollador"/>
    <s v="Distribuido"/>
    <m/>
    <e v="#NAME?"/>
    <e v="#NAME?"/>
    <e v="#NAME?"/>
    <m/>
    <m/>
    <m/>
    <m/>
    <m/>
  </r>
  <r>
    <s v="T005765"/>
    <x v="140"/>
    <x v="2"/>
    <x v="7"/>
    <s v="CAPGEMINI"/>
    <e v="#NAME?"/>
    <s v="SDATOOL-29998 $ Despliegue SAS AML en BBVA CO"/>
    <n v="1"/>
    <s v="Desarrollador"/>
    <s v="Distribuido"/>
    <m/>
    <e v="#NAME?"/>
    <e v="#NAME?"/>
    <e v="#NAME?"/>
    <m/>
    <m/>
    <m/>
    <m/>
    <m/>
  </r>
  <r>
    <s v="T005931"/>
    <x v="141"/>
    <x v="2"/>
    <x v="7"/>
    <s v="GGI / CMC"/>
    <e v="#NAME?"/>
    <s v="SDATOOL-29998 $ Despliegue SAS AML en BBVA CO"/>
    <n v="0.1"/>
    <s v="QA"/>
    <s v="Mainframe"/>
    <m/>
    <e v="#NAME?"/>
    <e v="#NAME?"/>
    <e v="#NAME?"/>
    <m/>
    <m/>
    <m/>
    <m/>
    <m/>
  </r>
  <r>
    <s v="T005931"/>
    <x v="141"/>
    <x v="2"/>
    <x v="7"/>
    <s v="GGI / CMC"/>
    <e v="#NAME?"/>
    <s v="SDATOOL-39265 $ Migración Operaciones Fircosoft"/>
    <n v="0.1"/>
    <s v="QA"/>
    <s v="Mainframe"/>
    <s v="Usuario  lo presentara en el WG del 30/03/2023"/>
    <e v="#NAME?"/>
    <e v="#NAME?"/>
    <e v="#NAME?"/>
    <m/>
    <m/>
    <m/>
    <m/>
    <m/>
  </r>
  <r>
    <s v="T005931"/>
    <x v="141"/>
    <x v="2"/>
    <x v="7"/>
    <s v="GGI / CMC"/>
    <e v="#NAME?"/>
    <s v="SDATOOL-39888 $ Proyecto - Evolutivo Sarlaft - Mejoras controles aplicativos"/>
    <n v="0.1"/>
    <s v="QA"/>
    <s v="Mainframe"/>
    <m/>
    <e v="#NAME?"/>
    <e v="#NAME?"/>
    <e v="#NAME?"/>
    <m/>
    <m/>
    <m/>
    <m/>
    <m/>
  </r>
  <r>
    <s v="T005931"/>
    <x v="141"/>
    <x v="2"/>
    <x v="7"/>
    <s v="GGI / CMC"/>
    <e v="#NAME?"/>
    <s v="SDATOOL-40984 $ Proyecto - Identificación e ingesta de las tablas necesarias en datio y la construcción del caso de uso para la identificación de vínculos - Colombia"/>
    <n v="0.1"/>
    <s v="QA"/>
    <s v="Mainframe"/>
    <m/>
    <e v="#NAME?"/>
    <e v="#NAME?"/>
    <e v="#NAME?"/>
    <m/>
    <m/>
    <m/>
    <m/>
    <m/>
  </r>
  <r>
    <s v="CE68547"/>
    <x v="142"/>
    <x v="2"/>
    <x v="7"/>
    <s v="KRYPTO"/>
    <e v="#NAME?"/>
    <s v="SDATOOL-29998 $ Despliegue SAS AML en BBVA CO"/>
    <n v="0.1"/>
    <s v="QA"/>
    <s v="Mainframe"/>
    <m/>
    <e v="#NAME?"/>
    <e v="#NAME?"/>
    <e v="#NAME?"/>
    <m/>
    <m/>
    <m/>
    <m/>
    <m/>
  </r>
  <r>
    <s v="CE68547"/>
    <x v="142"/>
    <x v="2"/>
    <x v="7"/>
    <s v="KRYPTO"/>
    <e v="#NAME?"/>
    <s v="SDATOOL-39265 $ Migración Operaciones Fircosoft"/>
    <n v="0.1"/>
    <s v="QA"/>
    <s v="Mainframe"/>
    <s v="Usuario  lo presentara en el WG del 30/03/2023"/>
    <e v="#NAME?"/>
    <e v="#NAME?"/>
    <e v="#NAME?"/>
    <m/>
    <m/>
    <m/>
    <m/>
    <m/>
  </r>
  <r>
    <s v="CE68547"/>
    <x v="142"/>
    <x v="2"/>
    <x v="7"/>
    <s v="KRYPTO"/>
    <e v="#NAME?"/>
    <s v="SDATOOL-39888 $ Proyecto - Evolutivo Sarlaft - Mejoras controles aplicativos"/>
    <n v="0.1"/>
    <s v="QA"/>
    <s v="Mainframe"/>
    <m/>
    <e v="#NAME?"/>
    <e v="#NAME?"/>
    <e v="#NAME?"/>
    <m/>
    <m/>
    <m/>
    <m/>
    <m/>
  </r>
  <r>
    <s v="CE68547"/>
    <x v="142"/>
    <x v="2"/>
    <x v="7"/>
    <s v="KRYPTO"/>
    <e v="#NAME?"/>
    <s v="SDATOOL-40984 $ Proyecto - Identificación e ingesta de las tablas necesarias en datio y la construcción del caso de uso para la identificación de vínculos - Colombia"/>
    <n v="0.1"/>
    <s v="QA"/>
    <s v="Mainframe"/>
    <m/>
    <e v="#NAME?"/>
    <e v="#NAME?"/>
    <e v="#NAME?"/>
    <m/>
    <m/>
    <m/>
    <m/>
    <m/>
  </r>
  <r>
    <s v="CE46213"/>
    <x v="143"/>
    <x v="2"/>
    <x v="7"/>
    <s v="Neoris"/>
    <e v="#NAME?"/>
    <s v="SDATOOL-39888 $ Proyecto - Evolutivo Sarlaft - Mejoras controles aplicativos"/>
    <n v="1"/>
    <s v="Desarrollador"/>
    <s v="Mainframe"/>
    <m/>
    <e v="#NAME?"/>
    <e v="#NAME?"/>
    <e v="#NAME?"/>
    <m/>
    <m/>
    <m/>
    <m/>
    <m/>
  </r>
  <r>
    <s v="T000603"/>
    <x v="144"/>
    <x v="2"/>
    <x v="7"/>
    <s v="Neoris"/>
    <e v="#NAME?"/>
    <s v="SDATOOL-39888 $ Proyecto - Evolutivo Sarlaft - Mejoras controles aplicativos"/>
    <n v="1"/>
    <s v="Desarrollador"/>
    <s v="Mainframe"/>
    <m/>
    <e v="#NAME?"/>
    <e v="#NAME?"/>
    <e v="#NAME?"/>
    <m/>
    <m/>
    <m/>
    <m/>
    <m/>
  </r>
  <r>
    <s v="CE70371"/>
    <x v="145"/>
    <x v="2"/>
    <x v="7"/>
    <s v="Neoris"/>
    <e v="#NAME?"/>
    <s v="SDATOOL-39888 $ Proyecto - Evolutivo Sarlaft - Mejoras controles aplicativos"/>
    <n v="1"/>
    <s v="Desarrollador"/>
    <s v="Mainframe"/>
    <m/>
    <e v="#NAME?"/>
    <e v="#NAME?"/>
    <e v="#NAME?"/>
    <m/>
    <m/>
    <m/>
    <m/>
    <m/>
  </r>
  <r>
    <s v="C341759"/>
    <x v="146"/>
    <x v="2"/>
    <x v="5"/>
    <s v="BBVA"/>
    <e v="#NAME?"/>
    <s v="SDATOOL-37411 $ Infraestructura reportes regulatorios"/>
    <n v="0.05"/>
    <s v="Tech Manager/Líder"/>
    <s v="Mainframe"/>
    <m/>
    <e v="#NAME?"/>
    <e v="#NAME?"/>
    <e v="#NAME?"/>
    <m/>
    <m/>
    <m/>
    <m/>
    <m/>
  </r>
  <r>
    <s v="C341759"/>
    <x v="146"/>
    <x v="2"/>
    <x v="5"/>
    <s v="BBVA"/>
    <e v="#NAME?"/>
    <s v="SDATOOL-37681 $ Ciclo 2 - Resolución 0098 de Octubre 28 de 2020 - Reportes información Exógena Base Impuestos"/>
    <n v="0.1"/>
    <s v="Tech Manager/Líder"/>
    <s v="Mainframe"/>
    <m/>
    <e v="#NAME?"/>
    <e v="#NAME?"/>
    <e v="#NAME?"/>
    <m/>
    <m/>
    <m/>
    <m/>
    <m/>
  </r>
  <r>
    <s v="C341759"/>
    <x v="146"/>
    <x v="2"/>
    <x v="5"/>
    <s v="BBVA"/>
    <e v="#NAME?"/>
    <s v="SDATOOL-38583 $ FUSIONES Y ACTUALIZACION DE IDENTIFICACIONES"/>
    <n v="0.1"/>
    <s v="Tech Manager/Líder"/>
    <s v="Mainframe"/>
    <m/>
    <e v="#NAME?"/>
    <e v="#NAME?"/>
    <e v="#NAME?"/>
    <m/>
    <m/>
    <m/>
    <m/>
    <m/>
  </r>
  <r>
    <s v="C341759"/>
    <x v="146"/>
    <x v="2"/>
    <x v="5"/>
    <s v="BBVA"/>
    <e v="#NAME?"/>
    <s v="SDATOOL-40003 $ Resolución 0124 DIAN 2021 - Créditos Hipotecarios para remodelación de Vivienda"/>
    <n v="0.05"/>
    <s v="Tech Manager/Líder"/>
    <s v="Mainframe"/>
    <m/>
    <e v="#NAME?"/>
    <e v="#NAME?"/>
    <e v="#NAME?"/>
    <m/>
    <m/>
    <m/>
    <m/>
    <m/>
  </r>
  <r>
    <s v="C341759"/>
    <x v="146"/>
    <x v="2"/>
    <x v="5"/>
    <s v="BBVA"/>
    <e v="#NAME?"/>
    <s v="SDATOOL-40225 $ Resolución 0124 Dian - 2021 - Ajustes para Reporte de Información Exógena año gravable 2022 - Ciclo 1"/>
    <n v="0.1"/>
    <s v="Tech Manager/Líder"/>
    <s v="Mainframe"/>
    <m/>
    <e v="#NAME?"/>
    <e v="#NAME?"/>
    <e v="#NAME?"/>
    <m/>
    <m/>
    <m/>
    <m/>
    <m/>
  </r>
  <r>
    <s v="C341759"/>
    <x v="146"/>
    <x v="2"/>
    <x v="5"/>
    <s v="BBVA"/>
    <e v="#NAME?"/>
    <s v="SDATOOL-33847 $ Resolución 0042 DIAN Documento Soporte"/>
    <n v="0.1"/>
    <s v="Tech Manager/Líder"/>
    <s v="Mainframe"/>
    <m/>
    <e v="#NAME?"/>
    <e v="#NAME?"/>
    <e v="#NAME?"/>
    <m/>
    <m/>
    <m/>
    <m/>
    <m/>
  </r>
  <r>
    <s v="C341759"/>
    <x v="146"/>
    <x v="2"/>
    <x v="5"/>
    <s v="BBVA"/>
    <e v="#NAME?"/>
    <s v="SDATOOL-39823 $ REPORTERIA PROVISIONES _ S1, S2, S3, SA y CxP en Divisa"/>
    <n v="0.05"/>
    <s v="Tech Manager/Líder"/>
    <s v="Mainframe"/>
    <m/>
    <e v="#NAME?"/>
    <e v="#NAME?"/>
    <e v="#NAME?"/>
    <m/>
    <m/>
    <m/>
    <m/>
    <m/>
  </r>
  <r>
    <s v="C341759"/>
    <x v="146"/>
    <x v="2"/>
    <x v="5"/>
    <s v="BBVA"/>
    <e v="#NAME?"/>
    <s v="SDATOOL-40191 $ Ajuste apuntes manuales CC0112 – GPS"/>
    <n v="0.05"/>
    <s v="Tech Manager/Líder"/>
    <s v="Mainframe"/>
    <m/>
    <e v="#NAME?"/>
    <e v="#NAME?"/>
    <e v="#NAME?"/>
    <m/>
    <m/>
    <m/>
    <m/>
    <m/>
  </r>
  <r>
    <s v="C341759"/>
    <x v="146"/>
    <x v="2"/>
    <x v="5"/>
    <s v="BBVA"/>
    <e v="#NAME?"/>
    <s v="SDATOOL-37184 $ Actualizaciones Aplicativo ADA V2"/>
    <n v="0.1"/>
    <s v="Tech Manager/Líder"/>
    <s v="Mainframe"/>
    <m/>
    <e v="#NAME?"/>
    <e v="#NAME?"/>
    <e v="#NAME?"/>
    <m/>
    <m/>
    <m/>
    <m/>
    <m/>
  </r>
  <r>
    <s v="C341759"/>
    <x v="146"/>
    <x v="2"/>
    <x v="5"/>
    <s v="BBVA"/>
    <e v="#NAME?"/>
    <s v="SDATOOL-40274 $ CIRCULAR 033 de 2021-SFC"/>
    <n v="0.05"/>
    <s v="Tech Manager/Líder"/>
    <s v="Mainframe"/>
    <m/>
    <e v="#NAME?"/>
    <e v="#NAME?"/>
    <e v="#NAME?"/>
    <m/>
    <m/>
    <m/>
    <m/>
    <m/>
  </r>
  <r>
    <s v="C341759"/>
    <x v="146"/>
    <x v="2"/>
    <x v="5"/>
    <s v="BBVA"/>
    <e v="#NAME?"/>
    <s v="SDATOOL-42059 $ Arrendamiento tecnológico Real State - GPS"/>
    <n v="0.05"/>
    <s v="Tech Manager/Líder"/>
    <s v="Mainframe"/>
    <s v="Tiene Staffing pero no se ha presentado en el WG"/>
    <e v="#NAME?"/>
    <e v="#NAME?"/>
    <e v="#NAME?"/>
    <m/>
    <m/>
    <m/>
    <m/>
    <m/>
  </r>
  <r>
    <s v="C341759"/>
    <x v="146"/>
    <x v="2"/>
    <x v="5"/>
    <s v="BBVA"/>
    <e v="#NAME?"/>
    <s v="SDATOOL-33862 $ NDoD Accounting"/>
    <n v="0.05"/>
    <s v="Tech Manager/Líder"/>
    <s v="Mainframe"/>
    <m/>
    <e v="#NAME?"/>
    <e v="#NAME?"/>
    <e v="#NAME?"/>
    <m/>
    <m/>
    <m/>
    <m/>
    <m/>
  </r>
  <r>
    <s v="C341759"/>
    <x v="146"/>
    <x v="2"/>
    <x v="5"/>
    <s v="BBVA"/>
    <e v="#NAME?"/>
    <s v="SDATOOL-40869 $ Herramientas Regulatorias Regionales (FINREP/AE y Liquidez) 2023"/>
    <n v="0.05"/>
    <s v="Tech Manager/Líder"/>
    <s v="Mainframe"/>
    <s v="Tiene Staffing pero no se ha presentado en el WG"/>
    <e v="#NAME?"/>
    <e v="#NAME?"/>
    <e v="#NAME?"/>
    <m/>
    <m/>
    <m/>
    <m/>
    <m/>
  </r>
  <r>
    <s v="C341759"/>
    <x v="146"/>
    <x v="2"/>
    <x v="5"/>
    <s v="BBVA"/>
    <e v="#NAME?"/>
    <s v="SDATOOL-40529 $ Aplicativos Finanzas - 2023"/>
    <n v="0.05"/>
    <s v="Tech Manager/Líder"/>
    <s v="Mainframe"/>
    <m/>
    <e v="#NAME?"/>
    <e v="#NAME?"/>
    <e v="#NAME?"/>
    <m/>
    <m/>
    <m/>
    <m/>
    <m/>
  </r>
  <r>
    <s v="C341759"/>
    <x v="146"/>
    <x v="2"/>
    <x v="5"/>
    <s v="BBVA"/>
    <e v="#NAME?"/>
    <s v="SDATOOL-40736 $ Curvas de Fondeo por Producto (ALM)"/>
    <n v="0.05"/>
    <s v="Tech Manager/Líder"/>
    <s v="Mainframe"/>
    <m/>
    <e v="#NAME?"/>
    <e v="#NAME?"/>
    <e v="#NAME?"/>
    <m/>
    <m/>
    <m/>
    <m/>
    <m/>
  </r>
  <r>
    <s v="O001639"/>
    <x v="147"/>
    <x v="2"/>
    <x v="5"/>
    <s v="BBVA"/>
    <e v="#NAME?"/>
    <s v="SDATOOL-40599 $ Proyecto - Circular 025"/>
    <n v="0.25"/>
    <s v="Desarrollador"/>
    <s v="Distribuido"/>
    <s v="Tiene Staffing pero no se ha presentado en el WG"/>
    <e v="#NAME?"/>
    <e v="#NAME?"/>
    <e v="#NAME?"/>
    <m/>
    <m/>
    <m/>
    <m/>
    <m/>
  </r>
  <r>
    <s v="O001639"/>
    <x v="147"/>
    <x v="2"/>
    <x v="5"/>
    <s v="BBVA"/>
    <e v="#NAME?"/>
    <s v="SDATOOL-33847 $ Resolución 0042 DIAN Documento Soporte"/>
    <n v="0.5"/>
    <s v="Desarrollador"/>
    <s v="Distribuido"/>
    <m/>
    <e v="#NAME?"/>
    <e v="#NAME?"/>
    <e v="#NAME?"/>
    <m/>
    <m/>
    <m/>
    <m/>
    <m/>
  </r>
  <r>
    <s v="O001639"/>
    <x v="147"/>
    <x v="2"/>
    <x v="5"/>
    <s v="BBVA"/>
    <e v="#NAME?"/>
    <s v="SDATOOL-37184 $ Actualizaciones Aplicativo ADA V2"/>
    <n v="0.25"/>
    <s v="Desarrollador"/>
    <s v="Distribuido"/>
    <m/>
    <e v="#NAME?"/>
    <e v="#NAME?"/>
    <e v="#NAME?"/>
    <m/>
    <m/>
    <m/>
    <m/>
    <m/>
  </r>
  <r>
    <s v="C809546"/>
    <x v="148"/>
    <x v="2"/>
    <x v="5"/>
    <s v="BBVA"/>
    <e v="#NAME?"/>
    <s v="SDATOOL-40599 $ Proyecto - Circular 025"/>
    <n v="0.05"/>
    <s v="Desarrollador"/>
    <s v="Mainframe"/>
    <s v="Tiene Staffing pero no se ha presentado en el WG"/>
    <e v="#NAME?"/>
    <e v="#NAME?"/>
    <e v="#NAME?"/>
    <m/>
    <m/>
    <m/>
    <m/>
    <m/>
  </r>
  <r>
    <s v="C809546"/>
    <x v="148"/>
    <x v="2"/>
    <x v="5"/>
    <s v="BBVA"/>
    <e v="#NAME?"/>
    <s v="SDATOOL-39823 $ REPORTERIA PROVISIONES _ S1, S2, S3, SA y CxP en Divisa"/>
    <n v="0.05"/>
    <s v="Desarrollador"/>
    <s v="Mainframe"/>
    <m/>
    <e v="#NAME?"/>
    <e v="#NAME?"/>
    <e v="#NAME?"/>
    <m/>
    <m/>
    <m/>
    <m/>
    <m/>
  </r>
  <r>
    <s v="C809546"/>
    <x v="148"/>
    <x v="2"/>
    <x v="5"/>
    <s v="BBVA"/>
    <e v="#NAME?"/>
    <s v="SDATOOL-40191 $ Ajuste apuntes manuales CC0112 – GPS"/>
    <n v="0.05"/>
    <s v="Desarrollador"/>
    <s v="Mainframe"/>
    <m/>
    <e v="#NAME?"/>
    <e v="#NAME?"/>
    <e v="#NAME?"/>
    <m/>
    <m/>
    <m/>
    <m/>
    <m/>
  </r>
  <r>
    <s v="C809546"/>
    <x v="148"/>
    <x v="2"/>
    <x v="5"/>
    <s v="BBVA"/>
    <e v="#NAME?"/>
    <s v="SDATOOL-40225 $ Resolución 0124 Dian - 2021 - Ajustes para Reporte de Información Exógena año gravable 2022 - Ciclo 1"/>
    <n v="0.05"/>
    <s v="Desarrollador"/>
    <s v="Mainframe"/>
    <m/>
    <e v="#NAME?"/>
    <e v="#NAME?"/>
    <e v="#NAME?"/>
    <m/>
    <m/>
    <m/>
    <m/>
    <m/>
  </r>
  <r>
    <s v="C809546"/>
    <x v="148"/>
    <x v="2"/>
    <x v="5"/>
    <s v="BBVA"/>
    <e v="#NAME?"/>
    <s v="SDATOOL-37681 $ Ciclo 2 - Resolución 0098 de Octubre 28 de 2020 - Reportes información Exógena Base Impuestos"/>
    <n v="0.05"/>
    <s v="Desarrollador"/>
    <s v="Mainframe"/>
    <m/>
    <e v="#NAME?"/>
    <e v="#NAME?"/>
    <e v="#NAME?"/>
    <m/>
    <m/>
    <m/>
    <m/>
    <m/>
  </r>
  <r>
    <s v="C809546"/>
    <x v="148"/>
    <x v="2"/>
    <x v="5"/>
    <s v="BBVA"/>
    <e v="#NAME?"/>
    <s v="SDATOOL-40274 $ CIRCULAR 033 de 2021-SFC"/>
    <n v="0.75"/>
    <s v="Desarrollador"/>
    <s v="Mainframe"/>
    <m/>
    <e v="#NAME?"/>
    <e v="#NAME?"/>
    <e v="#NAME?"/>
    <m/>
    <m/>
    <m/>
    <m/>
    <m/>
  </r>
  <r>
    <s v="C811405"/>
    <x v="149"/>
    <x v="2"/>
    <x v="5"/>
    <s v="BBVA"/>
    <e v="#NAME?"/>
    <s v="SDATOOL-37411 $ Infraestructura reportes regulatorios"/>
    <n v="1"/>
    <s v="Desarrollador"/>
    <s v="Distribuido"/>
    <m/>
    <e v="#NAME?"/>
    <e v="#NAME?"/>
    <e v="#NAME?"/>
    <m/>
    <m/>
    <m/>
    <m/>
    <m/>
  </r>
  <r>
    <s v="C804743"/>
    <x v="150"/>
    <x v="2"/>
    <x v="5"/>
    <s v="BBVA"/>
    <e v="#NAME?"/>
    <s v="SDATOOL-40529 $ Aplicativos Finanzas - 2023"/>
    <n v="0.05"/>
    <s v="Desarrollador"/>
    <s v="Distribuido"/>
    <m/>
    <e v="#NAME?"/>
    <e v="#NAME?"/>
    <e v="#NAME?"/>
    <m/>
    <m/>
    <m/>
    <m/>
    <m/>
  </r>
  <r>
    <s v="C804743"/>
    <x v="150"/>
    <x v="2"/>
    <x v="5"/>
    <s v="BBVA"/>
    <e v="#NAME?"/>
    <s v="SDATOOL-40274 $ CIRCULAR 033 de 2021-SFC"/>
    <n v="0.25"/>
    <s v="Desarrollador"/>
    <s v="Distribuido"/>
    <m/>
    <e v="#NAME?"/>
    <e v="#NAME?"/>
    <e v="#NAME?"/>
    <m/>
    <m/>
    <m/>
    <m/>
    <m/>
  </r>
  <r>
    <s v="C804743"/>
    <x v="150"/>
    <x v="2"/>
    <x v="5"/>
    <s v="BBVA"/>
    <e v="#NAME?"/>
    <s v="SDATOOL-37411 $ Infraestructura reportes regulatorios"/>
    <n v="0.7"/>
    <s v="Desarrollador"/>
    <s v="Distribuido"/>
    <m/>
    <e v="#NAME?"/>
    <e v="#NAME?"/>
    <e v="#NAME?"/>
    <m/>
    <m/>
    <m/>
    <m/>
    <m/>
  </r>
  <r>
    <s v="C343619"/>
    <x v="151"/>
    <x v="2"/>
    <x v="5"/>
    <s v="BBVA"/>
    <e v="#NAME?"/>
    <s v="SDATOOL-38583 $ FUSIONES Y ACTUALIZACION DE IDENTIFICACIONES"/>
    <n v="0.25"/>
    <s v="Desarrollador"/>
    <s v="Mainframe"/>
    <m/>
    <e v="#NAME?"/>
    <e v="#NAME?"/>
    <e v="#NAME?"/>
    <m/>
    <m/>
    <m/>
    <m/>
    <m/>
  </r>
  <r>
    <s v="C343619"/>
    <x v="151"/>
    <x v="2"/>
    <x v="5"/>
    <s v="BBVA"/>
    <e v="#NAME?"/>
    <s v="SDATOOL-37681 $ Ciclo 2 - Resolución 0098 de Octubre 28 de 2020 - Reportes información Exógena Base Impuestos"/>
    <n v="0.25"/>
    <s v="Desarrollador"/>
    <s v="Mainframe"/>
    <m/>
    <e v="#NAME?"/>
    <e v="#NAME?"/>
    <e v="#NAME?"/>
    <m/>
    <m/>
    <m/>
    <m/>
    <m/>
  </r>
  <r>
    <s v="C343619"/>
    <x v="151"/>
    <x v="2"/>
    <x v="5"/>
    <s v="BBVA"/>
    <e v="#NAME?"/>
    <s v="SDATOOL-40003 $ Resolución 0124 DIAN 2021 - Créditos Hipotecarios para remodelación de Vivienda"/>
    <n v="0.25"/>
    <s v="Desarrollador"/>
    <s v="Mainframe"/>
    <m/>
    <e v="#NAME?"/>
    <e v="#NAME?"/>
    <e v="#NAME?"/>
    <m/>
    <m/>
    <m/>
    <m/>
    <m/>
  </r>
  <r>
    <s v="C343619"/>
    <x v="151"/>
    <x v="2"/>
    <x v="5"/>
    <s v="BBVA"/>
    <e v="#NAME?"/>
    <s v="SDATOOL-40225 $ Resolución 0124 Dian - 2021 - Ajustes para Reporte de Información Exógena año gravable 2022 - Ciclo 1"/>
    <n v="0.25"/>
    <s v="Desarrollador"/>
    <s v="Mainframe"/>
    <m/>
    <e v="#NAME?"/>
    <e v="#NAME?"/>
    <e v="#NAME?"/>
    <m/>
    <m/>
    <m/>
    <m/>
    <m/>
  </r>
  <r>
    <s v="O003311"/>
    <x v="152"/>
    <x v="2"/>
    <x v="5"/>
    <s v="BBVA"/>
    <e v="#NAME?"/>
    <s v="SDATOOL-32520 $ CDD Based Reporting - Colombia"/>
    <n v="0.5"/>
    <s v="Desarrollador"/>
    <s v="Mainframe"/>
    <m/>
    <e v="#NAME?"/>
    <e v="#NAME?"/>
    <e v="#NAME?"/>
    <m/>
    <m/>
    <m/>
    <m/>
    <m/>
  </r>
  <r>
    <s v="O003311"/>
    <x v="152"/>
    <x v="2"/>
    <x v="5"/>
    <s v="BBVA"/>
    <e v="#NAME?"/>
    <s v="SDATOOL-40869 $ Herramientas Regulatorias Regionales (FINREP/AE y Liquidez) 2023"/>
    <n v="0.05"/>
    <s v="Desarrollador"/>
    <s v="Mainframe"/>
    <s v="Tiene Staffing pero no se ha presentado en el WG"/>
    <e v="#NAME?"/>
    <e v="#NAME?"/>
    <e v="#NAME?"/>
    <m/>
    <m/>
    <m/>
    <m/>
    <m/>
  </r>
  <r>
    <s v="O003311"/>
    <x v="152"/>
    <x v="2"/>
    <x v="5"/>
    <s v="BBVA"/>
    <e v="#NAME?"/>
    <s v="SDATOOL-40529 $ Aplicativos Finanzas - 2023"/>
    <n v="0.25"/>
    <s v="Desarrollador"/>
    <s v="Mainframe"/>
    <m/>
    <e v="#NAME?"/>
    <e v="#NAME?"/>
    <e v="#NAME?"/>
    <m/>
    <m/>
    <m/>
    <m/>
    <m/>
  </r>
  <r>
    <s v="O003311"/>
    <x v="152"/>
    <x v="2"/>
    <x v="5"/>
    <s v="BBVA"/>
    <e v="#NAME?"/>
    <s v="SDATOOL-40736 $ Curvas de Fondeo por Producto (ALM)"/>
    <n v="0.2"/>
    <s v="Desarrollador"/>
    <s v="Mainframe"/>
    <m/>
    <e v="#NAME?"/>
    <e v="#NAME?"/>
    <e v="#NAME?"/>
    <m/>
    <m/>
    <m/>
    <m/>
    <m/>
  </r>
  <r>
    <s v="C803834"/>
    <x v="153"/>
    <x v="2"/>
    <x v="5"/>
    <s v="BBVA"/>
    <e v="#NAME?"/>
    <s v="SDATOOL-33862 $ NDoD Accounting"/>
    <n v="0.25"/>
    <s v="Desarrollador"/>
    <s v="Distribuido"/>
    <s v="En revision con dominio por cuanto debe estar "/>
    <e v="#NAME?"/>
    <e v="#NAME?"/>
    <e v="#NAME?"/>
    <m/>
    <m/>
    <m/>
    <m/>
    <m/>
  </r>
  <r>
    <s v="C803834"/>
    <x v="153"/>
    <x v="2"/>
    <x v="5"/>
    <s v="BBVA"/>
    <e v="#NAME?"/>
    <s v="SDATOOL-40274 $ CIRCULAR 033 de 2021-SFC"/>
    <n v="0.5"/>
    <s v="Desarrollador"/>
    <s v="Distribuido"/>
    <m/>
    <e v="#NAME?"/>
    <e v="#NAME?"/>
    <e v="#NAME?"/>
    <m/>
    <m/>
    <m/>
    <m/>
    <m/>
  </r>
  <r>
    <s v="C803834"/>
    <x v="153"/>
    <x v="2"/>
    <x v="5"/>
    <s v="BBVA"/>
    <e v="#NAME?"/>
    <s v="SDATOOL-32520 $ CDD Based Reporting - Colombia"/>
    <n v="0.15"/>
    <s v="Desarrollador"/>
    <s v="Distribuido"/>
    <m/>
    <e v="#NAME?"/>
    <e v="#NAME?"/>
    <e v="#NAME?"/>
    <m/>
    <m/>
    <m/>
    <m/>
    <m/>
  </r>
  <r>
    <s v="C803834"/>
    <x v="153"/>
    <x v="2"/>
    <x v="5"/>
    <s v="BBVA"/>
    <e v="#NAME?"/>
    <s v="SDATOOL-40529 $ Aplicativos Finanzas - 2023"/>
    <n v="0.1"/>
    <s v="Desarrollador"/>
    <s v="Distribuido"/>
    <m/>
    <e v="#NAME?"/>
    <e v="#NAME?"/>
    <e v="#NAME?"/>
    <m/>
    <m/>
    <m/>
    <m/>
    <m/>
  </r>
  <r>
    <s v="C808860"/>
    <x v="154"/>
    <x v="2"/>
    <x v="5"/>
    <s v="BBVA"/>
    <e v="#NAME?"/>
    <s v="SDATOOL-40225 $ Resolución 0124 Dian - 2021 - Ajustes para Reporte de Información Exógena año gravable 2022 - Ciclo 1"/>
    <n v="0.1"/>
    <s v="Desarrollador"/>
    <s v="Mainframe"/>
    <m/>
    <e v="#NAME?"/>
    <e v="#NAME?"/>
    <e v="#NAME?"/>
    <m/>
    <m/>
    <m/>
    <m/>
    <m/>
  </r>
  <r>
    <s v="C808860"/>
    <x v="154"/>
    <x v="2"/>
    <x v="5"/>
    <s v="BBVA"/>
    <e v="#NAME?"/>
    <s v="SDATOOL-37681 $ Ciclo 2 - Resolución 0098 de Octubre 28 de 2020 - Reportes información Exógena Base Impuestos"/>
    <n v="0.05"/>
    <s v="Desarrollador"/>
    <s v="Mainframe"/>
    <m/>
    <e v="#NAME?"/>
    <e v="#NAME?"/>
    <e v="#NAME?"/>
    <m/>
    <m/>
    <m/>
    <m/>
    <m/>
  </r>
  <r>
    <s v="C808860"/>
    <x v="154"/>
    <x v="2"/>
    <x v="5"/>
    <s v="BBVA"/>
    <e v="#NAME?"/>
    <s v="SDATOOL-38583 $ FUSIONES Y ACTUALIZACION DE IDENTIFICACIONES"/>
    <n v="0.5"/>
    <s v="Desarrollador"/>
    <s v="Mainframe"/>
    <m/>
    <e v="#NAME?"/>
    <e v="#NAME?"/>
    <e v="#NAME?"/>
    <m/>
    <m/>
    <m/>
    <m/>
    <m/>
  </r>
  <r>
    <s v="C808860"/>
    <x v="154"/>
    <x v="2"/>
    <x v="5"/>
    <s v="BBVA"/>
    <e v="#NAME?"/>
    <s v="SDATOOL-40003 $ Resolución 0124 DIAN 2021 - Créditos Hipotecarios para remodelación de Vivienda"/>
    <n v="0.1"/>
    <s v="Desarrollador"/>
    <s v="Mainframe"/>
    <m/>
    <e v="#NAME?"/>
    <e v="#NAME?"/>
    <e v="#NAME?"/>
    <m/>
    <m/>
    <m/>
    <m/>
    <m/>
  </r>
  <r>
    <s v="C808860"/>
    <x v="154"/>
    <x v="2"/>
    <x v="5"/>
    <s v="BBVA"/>
    <e v="#NAME?"/>
    <s v="SDATOOL-33847 $ Resolución 0042 DIAN Documento Soporte"/>
    <n v="0.25"/>
    <s v="Desarrollador"/>
    <s v="Mainframe"/>
    <m/>
    <e v="#NAME?"/>
    <e v="#NAME?"/>
    <e v="#NAME?"/>
    <m/>
    <m/>
    <m/>
    <m/>
    <m/>
  </r>
  <r>
    <s v="C810765"/>
    <x v="155"/>
    <x v="2"/>
    <x v="5"/>
    <s v="BBVA"/>
    <e v="#NAME?"/>
    <s v="SDATOOL-40225 $ Resolución 0124 Dian - 2021 - Ajustes para Reporte de Información Exógena año gravable 2022 - Ciclo 1"/>
    <n v="0.5"/>
    <s v="QA"/>
    <s v="Mainframe"/>
    <s v="QC con otros equipos, por ejm Riesgos "/>
    <e v="#NAME?"/>
    <e v="#NAME?"/>
    <e v="#NAME?"/>
    <m/>
    <m/>
    <m/>
    <m/>
    <m/>
  </r>
  <r>
    <s v="C810765"/>
    <x v="155"/>
    <x v="2"/>
    <x v="8"/>
    <s v="BBVA"/>
    <e v="#NAME?"/>
    <s v="NOSDA $ BAU (Mantenimiento y peq. evolutivos)"/>
    <n v="0.5"/>
    <s v="QA"/>
    <s v="Mainframe"/>
    <m/>
    <e v="#NAME?"/>
    <e v="#NAME?"/>
    <e v="#NAME?"/>
    <m/>
    <m/>
    <m/>
    <m/>
    <m/>
  </r>
  <r>
    <s v="CE66053"/>
    <x v="156"/>
    <x v="2"/>
    <x v="5"/>
    <s v="GGI / CMC"/>
    <e v="#NAME?"/>
    <s v="SDATOOL-40003 $ Resolución 0124 DIAN 2021 - Créditos Hipotecarios para remodelación de Vivienda"/>
    <n v="1"/>
    <s v="Desarrollador"/>
    <s v="Distribuido"/>
    <m/>
    <e v="#NAME?"/>
    <e v="#NAME?"/>
    <e v="#NAME?"/>
    <m/>
    <m/>
    <m/>
    <m/>
    <m/>
  </r>
  <r>
    <s v="T005396"/>
    <x v="157"/>
    <x v="2"/>
    <x v="5"/>
    <s v="GGI / CMC"/>
    <e v="#NAME?"/>
    <s v="SDATOOL-40225 $ Resolución 0124 Dian - 2021 - Ajustes para Reporte de Información Exógena año gravable 2022 - Ciclo 1"/>
    <n v="1"/>
    <s v="Desarrollador"/>
    <s v="Mainframe"/>
    <m/>
    <e v="#NAME?"/>
    <e v="#NAME?"/>
    <e v="#NAME?"/>
    <m/>
    <m/>
    <m/>
    <m/>
    <m/>
  </r>
  <r>
    <s v="T005394"/>
    <x v="158"/>
    <x v="2"/>
    <x v="5"/>
    <s v="GGI / CMC"/>
    <e v="#NAME?"/>
    <s v="SDATOOL-40225 $ Resolución 0124 Dian - 2021 - Ajustes para Reporte de Información Exógena año gravable 2022 - Ciclo 1"/>
    <n v="1"/>
    <s v="Desarrollador"/>
    <s v="Mainframe"/>
    <m/>
    <e v="#NAME?"/>
    <e v="#NAME?"/>
    <e v="#NAME?"/>
    <m/>
    <m/>
    <m/>
    <m/>
    <m/>
  </r>
  <r>
    <s v="CE69136"/>
    <x v="159"/>
    <x v="2"/>
    <x v="5"/>
    <s v="GGI / CMC"/>
    <e v="#NAME?"/>
    <s v="SDATOOL-37681 $ Ciclo 2 - Resolución 0098 de Octubre 28 de 2020 - Reportes información Exógena Base Impuestos"/>
    <n v="1"/>
    <s v="Desarrollador"/>
    <s v="Mainframe"/>
    <m/>
    <e v="#NAME?"/>
    <e v="#NAME?"/>
    <e v="#NAME?"/>
    <m/>
    <m/>
    <m/>
    <m/>
    <m/>
  </r>
  <r>
    <s v="T005393"/>
    <x v="160"/>
    <x v="2"/>
    <x v="5"/>
    <s v="GGI / CMC"/>
    <e v="#NAME?"/>
    <s v="SDATOOL-38583 $ FUSIONES Y ACTUALIZACION DE IDENTIFICACIONES"/>
    <n v="1"/>
    <s v="Desarrollador"/>
    <s v="Distribuido"/>
    <m/>
    <e v="#NAME?"/>
    <e v="#NAME?"/>
    <e v="#NAME?"/>
    <m/>
    <m/>
    <m/>
    <m/>
    <m/>
  </r>
  <r>
    <s v="T005395"/>
    <x v="161"/>
    <x v="2"/>
    <x v="5"/>
    <s v="GGI / CMC"/>
    <e v="#NAME?"/>
    <s v="SDATOOL-40003 $ Resolución 0124 DIAN 2021 - Créditos Hipotecarios para remodelación de Vivienda"/>
    <n v="1"/>
    <s v="Desarrollador"/>
    <s v="Mainframe"/>
    <m/>
    <e v="#NAME?"/>
    <e v="#NAME?"/>
    <e v="#NAME?"/>
    <m/>
    <m/>
    <m/>
    <m/>
    <m/>
  </r>
  <r>
    <s v="CE70161"/>
    <x v="162"/>
    <x v="2"/>
    <x v="5"/>
    <s v="GGI / CMC"/>
    <e v="#NAME?"/>
    <s v="SDATOOL-37681 $ Ciclo 2 - Resolución 0098 de Octubre 28 de 2020 - Reportes información Exógena Base Impuestos"/>
    <n v="1"/>
    <s v="Desarrollador"/>
    <s v="Mainframe"/>
    <m/>
    <e v="#NAME?"/>
    <e v="#NAME?"/>
    <e v="#NAME?"/>
    <m/>
    <m/>
    <m/>
    <m/>
    <m/>
  </r>
  <r>
    <s v="CE52035"/>
    <x v="163"/>
    <x v="2"/>
    <x v="5"/>
    <s v="GGI / CMC"/>
    <e v="#NAME?"/>
    <s v="SDATOOL-37681 $ Ciclo 2 - Resolución 0098 de Octubre 28 de 2020 - Reportes información Exógena Base Impuestos"/>
    <n v="0.25"/>
    <s v="Tech Manager/Líder"/>
    <s v="Distribuido"/>
    <m/>
    <e v="#NAME?"/>
    <e v="#NAME?"/>
    <e v="#NAME?"/>
    <m/>
    <m/>
    <m/>
    <m/>
    <m/>
  </r>
  <r>
    <s v="CE52035"/>
    <x v="163"/>
    <x v="2"/>
    <x v="5"/>
    <s v="GGI / CMC"/>
    <e v="#NAME?"/>
    <s v="SDATOOL-40003 $ Resolución 0124 DIAN 2021 - Créditos Hipotecarios para remodelación de Vivienda"/>
    <n v="0.25"/>
    <s v="Tech Manager/Líder"/>
    <s v="Mainframe"/>
    <m/>
    <e v="#NAME?"/>
    <e v="#NAME?"/>
    <e v="#NAME?"/>
    <m/>
    <m/>
    <m/>
    <m/>
    <m/>
  </r>
  <r>
    <s v="CE52035"/>
    <x v="163"/>
    <x v="2"/>
    <x v="5"/>
    <s v="GGI / CMC"/>
    <e v="#NAME?"/>
    <s v="SDATOOL-40225 $ Resolución 0124 Dian - 2021 - Ajustes para Reporte de Información Exógena año gravable 2022 - Ciclo 1"/>
    <n v="0.25"/>
    <s v="Tech Manager/Líder"/>
    <s v="Distribuido"/>
    <m/>
    <e v="#NAME?"/>
    <e v="#NAME?"/>
    <e v="#NAME?"/>
    <m/>
    <m/>
    <m/>
    <m/>
    <m/>
  </r>
  <r>
    <s v="CE52035"/>
    <x v="163"/>
    <x v="2"/>
    <x v="5"/>
    <s v="GGI / CMC"/>
    <e v="#NAME?"/>
    <s v="SDATOOL-38583 $ FUSIONES Y ACTUALIZACION DE IDENTIFICACIONES"/>
    <n v="0.25"/>
    <s v="Tech Manager/Líder"/>
    <s v="Mainframe"/>
    <m/>
    <e v="#NAME?"/>
    <e v="#NAME?"/>
    <e v="#NAME?"/>
    <m/>
    <m/>
    <m/>
    <m/>
    <m/>
  </r>
  <r>
    <s v="CE27209"/>
    <x v="164"/>
    <x v="2"/>
    <x v="5"/>
    <s v="GGI / CMC"/>
    <e v="#NAME?"/>
    <s v="SDATOOL-40225 $ Resolución 0124 Dian - 2021 - Ajustes para Reporte de Información Exógena año gravable 2022 - Ciclo 1"/>
    <n v="1"/>
    <s v="Desarrollador"/>
    <s v="Mainframe"/>
    <m/>
    <e v="#NAME?"/>
    <e v="#NAME?"/>
    <e v="#NAME?"/>
    <m/>
    <m/>
    <m/>
    <m/>
    <m/>
  </r>
  <r>
    <s v="CE58625"/>
    <x v="165"/>
    <x v="2"/>
    <x v="5"/>
    <s v="GGI / CMC"/>
    <e v="#NAME?"/>
    <s v="SDATOOL-40225 $ Resolución 0124 Dian - 2021 - Ajustes para Reporte de Información Exógena año gravable 2022 - Ciclo 1"/>
    <n v="1"/>
    <s v="Desarrollador"/>
    <s v="Mainframe"/>
    <m/>
    <e v="#NAME?"/>
    <e v="#NAME?"/>
    <e v="#NAME?"/>
    <m/>
    <m/>
    <m/>
    <m/>
    <m/>
  </r>
  <r>
    <s v="T004566"/>
    <x v="166"/>
    <x v="2"/>
    <x v="5"/>
    <s v="GGI / CMC"/>
    <e v="#NAME?"/>
    <s v="SDATOOL-38583 $ FUSIONES Y ACTUALIZACION DE IDENTIFICACIONES"/>
    <n v="1"/>
    <s v="Desarrollador"/>
    <s v="Mainframe"/>
    <m/>
    <e v="#NAME?"/>
    <e v="#NAME?"/>
    <e v="#NAME?"/>
    <m/>
    <m/>
    <m/>
    <m/>
    <m/>
  </r>
  <r>
    <s v="CE66458"/>
    <x v="167"/>
    <x v="2"/>
    <x v="5"/>
    <s v="Inetum"/>
    <e v="#NAME?"/>
    <s v="SDATOOL-38583 $ FUSIONES Y ACTUALIZACION DE IDENTIFICACIONES"/>
    <n v="1"/>
    <s v="QA"/>
    <s v="Mainframe"/>
    <m/>
    <e v="#NAME?"/>
    <e v="#NAME?"/>
    <e v="#NAME?"/>
    <m/>
    <m/>
    <m/>
    <m/>
    <m/>
  </r>
  <r>
    <s v="CE67101"/>
    <x v="168"/>
    <x v="2"/>
    <x v="5"/>
    <s v="Inetum"/>
    <e v="#NAME?"/>
    <s v="SDATOOL-37681 $ Ciclo 2 - Resolución 0098 de Octubre 28 de 2020 - Reportes información Exógena Base Impuestos"/>
    <n v="1"/>
    <s v="QA"/>
    <s v="Mainframe"/>
    <m/>
    <e v="#NAME?"/>
    <e v="#NAME?"/>
    <e v="#NAME?"/>
    <m/>
    <m/>
    <m/>
    <m/>
    <m/>
  </r>
  <r>
    <s v="CE64507"/>
    <x v="169"/>
    <x v="2"/>
    <x v="5"/>
    <s v="Inetum"/>
    <e v="#NAME?"/>
    <s v="SDATOOL-40003 $ Resolución 0124 DIAN 2021 - Créditos Hipotecarios para remodelación de Vivienda"/>
    <n v="1"/>
    <s v="QA"/>
    <s v="Mainframe"/>
    <m/>
    <e v="#NAME?"/>
    <e v="#NAME?"/>
    <e v="#NAME?"/>
    <m/>
    <m/>
    <m/>
    <m/>
    <m/>
  </r>
  <r>
    <s v="CE59467"/>
    <x v="170"/>
    <x v="2"/>
    <x v="5"/>
    <s v="Inetum"/>
    <e v="#NAME?"/>
    <s v="SDATOOL-40225 $ Resolución 0124 Dian - 2021 - Ajustes para Reporte de Información Exógena año gravable 2022 - Ciclo 1"/>
    <n v="1"/>
    <s v="QA"/>
    <s v="Mainframe"/>
    <m/>
    <e v="#NAME?"/>
    <e v="#NAME?"/>
    <e v="#NAME?"/>
    <m/>
    <m/>
    <m/>
    <m/>
    <m/>
  </r>
  <r>
    <s v="CE66798"/>
    <x v="171"/>
    <x v="2"/>
    <x v="5"/>
    <s v="Choucair"/>
    <e v="#NAME?"/>
    <s v="SDATOOL-40225 $ Resolución 0124 Dian - 2021 - Ajustes para Reporte de Información Exógena año gravable 2022 - Ciclo 1"/>
    <n v="1"/>
    <s v="QA"/>
    <s v="Mainframe"/>
    <m/>
    <e v="#NAME?"/>
    <e v="#NAME?"/>
    <e v="#NAME?"/>
    <m/>
    <m/>
    <m/>
    <m/>
    <m/>
  </r>
  <r>
    <s v="T005931"/>
    <x v="141"/>
    <x v="2"/>
    <x v="5"/>
    <s v="GGI / CMC"/>
    <e v="#NAME?"/>
    <s v="SDATOOL-37411 $ Infraestructura reportes regulatorios"/>
    <n v="0.1"/>
    <s v="QA"/>
    <s v="Mainframe"/>
    <m/>
    <e v="#NAME?"/>
    <e v="#NAME?"/>
    <e v="#NAME?"/>
    <m/>
    <m/>
    <m/>
    <m/>
    <m/>
  </r>
  <r>
    <s v="T005931"/>
    <x v="141"/>
    <x v="2"/>
    <x v="5"/>
    <s v="GGI / CMC"/>
    <e v="#NAME?"/>
    <s v="SDATOOL-32520 $ CDD Based Reporting - Colombia"/>
    <n v="0.1"/>
    <s v="QA"/>
    <s v="Mainframe"/>
    <m/>
    <e v="#NAME?"/>
    <e v="#NAME?"/>
    <e v="#NAME?"/>
    <m/>
    <m/>
    <m/>
    <m/>
    <m/>
  </r>
  <r>
    <s v="T005931"/>
    <x v="141"/>
    <x v="2"/>
    <x v="5"/>
    <s v="GGI / CMC"/>
    <e v="#NAME?"/>
    <s v="SDATOOL-40529 $ Aplicativos Finanzas - 2023"/>
    <n v="0.1"/>
    <s v="QA"/>
    <s v="Mainframe"/>
    <m/>
    <e v="#NAME?"/>
    <e v="#NAME?"/>
    <e v="#NAME?"/>
    <m/>
    <m/>
    <m/>
    <m/>
    <m/>
  </r>
  <r>
    <s v="T005931"/>
    <x v="141"/>
    <x v="2"/>
    <x v="5"/>
    <s v="GGI / CMC"/>
    <e v="#NAME?"/>
    <s v="SDATOOL-40274 $ CIRCULAR 033 de 2021-SFC"/>
    <n v="0.1"/>
    <s v="QA"/>
    <s v="Mainframe"/>
    <m/>
    <e v="#NAME?"/>
    <e v="#NAME?"/>
    <e v="#NAME?"/>
    <m/>
    <m/>
    <m/>
    <m/>
    <m/>
  </r>
  <r>
    <s v="T005931"/>
    <x v="141"/>
    <x v="2"/>
    <x v="5"/>
    <s v="GGI / CMC"/>
    <e v="#NAME?"/>
    <s v="SDATOOL-33847 $ Resolución 0042 DIAN Documento Soporte"/>
    <n v="0.1"/>
    <s v="QA"/>
    <s v="Mainframe"/>
    <m/>
    <e v="#NAME?"/>
    <e v="#NAME?"/>
    <e v="#NAME?"/>
    <m/>
    <m/>
    <m/>
    <m/>
    <m/>
  </r>
  <r>
    <s v="CE68547"/>
    <x v="142"/>
    <x v="2"/>
    <x v="5"/>
    <s v="KRYPTO"/>
    <e v="#NAME?"/>
    <s v="SDATOOL-37411 $ Infraestructura reportes regulatorios"/>
    <n v="0.1"/>
    <s v="QA"/>
    <s v="Mainframe"/>
    <m/>
    <e v="#NAME?"/>
    <e v="#NAME?"/>
    <e v="#NAME?"/>
    <m/>
    <m/>
    <m/>
    <m/>
    <m/>
  </r>
  <r>
    <s v="CE68547"/>
    <x v="142"/>
    <x v="2"/>
    <x v="5"/>
    <s v="KRYPTO"/>
    <e v="#NAME?"/>
    <s v="SDATOOL-32520 $ CDD Based Reporting - Colombia"/>
    <n v="0.1"/>
    <s v="QA"/>
    <s v="Mainframe"/>
    <m/>
    <e v="#NAME?"/>
    <e v="#NAME?"/>
    <e v="#NAME?"/>
    <m/>
    <m/>
    <m/>
    <m/>
    <m/>
  </r>
  <r>
    <s v="CE68547"/>
    <x v="142"/>
    <x v="2"/>
    <x v="5"/>
    <s v="KRYPTO"/>
    <e v="#NAME?"/>
    <s v="SDATOOL-40529 $ Aplicativos Finanzas - 2023"/>
    <n v="0.1"/>
    <s v="QA"/>
    <s v="Mainframe"/>
    <m/>
    <e v="#NAME?"/>
    <e v="#NAME?"/>
    <e v="#NAME?"/>
    <m/>
    <m/>
    <m/>
    <m/>
    <m/>
  </r>
  <r>
    <s v="CE68547"/>
    <x v="142"/>
    <x v="2"/>
    <x v="5"/>
    <s v="KRYPTO"/>
    <e v="#NAME?"/>
    <s v="SDATOOL-40274 $ CIRCULAR 033 de 2021-SFC"/>
    <n v="0.1"/>
    <s v="QA"/>
    <s v="Mainframe"/>
    <m/>
    <e v="#NAME?"/>
    <e v="#NAME?"/>
    <e v="#NAME?"/>
    <m/>
    <m/>
    <m/>
    <m/>
    <m/>
  </r>
  <r>
    <s v="CE68547"/>
    <x v="142"/>
    <x v="2"/>
    <x v="5"/>
    <s v="KRYPTO"/>
    <e v="#NAME?"/>
    <s v="SDATOOL-33847 $ Resolución 0042 DIAN Documento Soporte"/>
    <n v="0.1"/>
    <s v="QA"/>
    <s v="Mainframe"/>
    <m/>
    <e v="#NAME?"/>
    <e v="#NAME?"/>
    <e v="#NAME?"/>
    <m/>
    <m/>
    <m/>
    <m/>
    <m/>
  </r>
  <r>
    <s v="CE52434"/>
    <x v="172"/>
    <x v="2"/>
    <x v="5"/>
    <s v="Inetum"/>
    <e v="#NAME?"/>
    <s v="SDATOOL-32520 $ CDD Based Reporting - Colombia"/>
    <n v="1"/>
    <s v="Otros"/>
    <s v="Mainframe"/>
    <m/>
    <e v="#NAME?"/>
    <e v="#NAME?"/>
    <e v="#NAME?"/>
    <m/>
    <m/>
    <m/>
    <m/>
    <m/>
  </r>
  <r>
    <s v="CE68712"/>
    <x v="173"/>
    <x v="2"/>
    <x v="5"/>
    <s v="BLUETAB"/>
    <e v="#NAME?"/>
    <s v="SDATOOL-33862 $ NDoD Accounting"/>
    <n v="0.4"/>
    <s v="Desarrollador"/>
    <s v="Distribuido"/>
    <s v="En revision con dominio por cuanto debe estar "/>
    <e v="#NAME?"/>
    <e v="#NAME?"/>
    <e v="#NAME?"/>
    <m/>
    <m/>
    <m/>
    <m/>
    <m/>
  </r>
  <r>
    <s v="CE57396"/>
    <x v="174"/>
    <x v="2"/>
    <x v="5"/>
    <s v="BLUETAB"/>
    <e v="#NAME?"/>
    <s v="SDATOOL-32520 $ CDD Based Reporting - Colombia"/>
    <n v="0.25"/>
    <s v="Desarrollador"/>
    <s v="Distribuido"/>
    <m/>
    <e v="#NAME?"/>
    <e v="#NAME?"/>
    <e v="#NAME?"/>
    <m/>
    <m/>
    <m/>
    <m/>
    <m/>
  </r>
  <r>
    <s v="CE57396"/>
    <x v="174"/>
    <x v="2"/>
    <x v="5"/>
    <s v="BLUETAB"/>
    <e v="#NAME?"/>
    <s v="SDATOOL-40529 $ Aplicativos Finanzas - 2023"/>
    <n v="0.25"/>
    <s v="Desarrollador"/>
    <s v="Distribuido"/>
    <m/>
    <e v="#NAME?"/>
    <e v="#NAME?"/>
    <e v="#NAME?"/>
    <m/>
    <m/>
    <m/>
    <m/>
    <m/>
  </r>
  <r>
    <s v="CE56879"/>
    <x v="175"/>
    <x v="2"/>
    <x v="5"/>
    <s v="BLUETAB"/>
    <e v="#NAME?"/>
    <s v="SDATOOL-33846 $ SREP Data Quality- BCBS239 - Colombia"/>
    <n v="1"/>
    <s v="Desarrollador"/>
    <s v="Distribuido"/>
    <m/>
    <e v="#NAME?"/>
    <e v="#NAME?"/>
    <e v="#NAME?"/>
    <m/>
    <m/>
    <m/>
    <m/>
    <m/>
  </r>
  <r>
    <s v="T005749"/>
    <x v="176"/>
    <x v="2"/>
    <x v="5"/>
    <s v="BLUETAB"/>
    <e v="#NAME?"/>
    <s v="SDATOOL-40529 $ Aplicativos Finanzas - 2023"/>
    <n v="1"/>
    <s v="Desarrollador"/>
    <s v="Distribuido"/>
    <m/>
    <e v="#NAME?"/>
    <e v="#NAME?"/>
    <e v="#NAME?"/>
    <m/>
    <m/>
    <m/>
    <m/>
    <m/>
  </r>
  <r>
    <s v="CE62380"/>
    <x v="177"/>
    <x v="2"/>
    <x v="5"/>
    <s v="ADENZA"/>
    <e v="#NAME?"/>
    <s v="SDATOOL-37411 $ Infraestructura reportes regulatorios"/>
    <n v="1"/>
    <s v="Desarrollador"/>
    <s v="Distribuido"/>
    <m/>
    <e v="#NAME?"/>
    <e v="#NAME?"/>
    <e v="#NAME?"/>
    <m/>
    <m/>
    <m/>
    <m/>
    <m/>
  </r>
  <r>
    <s v="CE62112"/>
    <x v="178"/>
    <x v="2"/>
    <x v="5"/>
    <s v="ADENZA"/>
    <e v="#NAME?"/>
    <s v="SDATOOL-37411 $ Infraestructura reportes regulatorios"/>
    <n v="1"/>
    <s v="Tech Manager/Líder"/>
    <s v="Distribuido"/>
    <m/>
    <e v="#NAME?"/>
    <e v="#NAME?"/>
    <e v="#NAME?"/>
    <m/>
    <m/>
    <m/>
    <m/>
    <m/>
  </r>
  <r>
    <s v="T007669"/>
    <x v="179"/>
    <x v="2"/>
    <x v="5"/>
    <s v="Neoris"/>
    <e v="#NAME?"/>
    <s v="SDATOOL-40274 $ CIRCULAR 033 de 2021-SFC"/>
    <n v="1"/>
    <s v="QA"/>
    <s v="Mainframe"/>
    <m/>
    <e v="#NAME?"/>
    <e v="#NAME?"/>
    <e v="#NAME?"/>
    <m/>
    <m/>
    <m/>
    <m/>
    <m/>
  </r>
  <r>
    <s v="T011483"/>
    <x v="180"/>
    <x v="2"/>
    <x v="5"/>
    <s v="Inetum"/>
    <e v="#NAME?"/>
    <s v="SDATOOL-37411 $ Infraestructura reportes regulatorios"/>
    <n v="1"/>
    <s v="Otros"/>
    <s v="Otras Tec."/>
    <m/>
    <e v="#NAME?"/>
    <e v="#NAME?"/>
    <e v="#NAME?"/>
    <m/>
    <m/>
    <m/>
    <m/>
    <m/>
  </r>
  <r>
    <s v="CE47497"/>
    <x v="181"/>
    <x v="3"/>
    <x v="9"/>
    <s v="SII"/>
    <e v="#NAME?"/>
    <s v="SDATOOL-37111 $ Cuenta Maestra Adres"/>
    <n v="0.5"/>
    <s v="Otros"/>
    <s v="Mainframe"/>
    <m/>
    <e v="#NAME?"/>
    <e v="#NAME?"/>
    <e v="#NAME?"/>
    <m/>
    <m/>
    <m/>
    <m/>
    <m/>
  </r>
  <r>
    <s v="CE47497"/>
    <x v="181"/>
    <x v="3"/>
    <x v="9"/>
    <s v="SII"/>
    <e v="#NAME?"/>
    <s v="SDATOOL-39246 $ Nuevo tipo de identificación para extranjeros"/>
    <n v="0.5"/>
    <s v="Otros"/>
    <s v="Mainframe"/>
    <m/>
    <e v="#NAME?"/>
    <e v="#NAME?"/>
    <e v="#NAME?"/>
    <m/>
    <m/>
    <m/>
    <m/>
    <m/>
  </r>
  <r>
    <s v="O002467"/>
    <x v="182"/>
    <x v="3"/>
    <x v="9"/>
    <s v="BBVA"/>
    <e v="#NAME?"/>
    <s v="SDATOOL-38481 $ Pricing Pasivos (optimización portafolio) - Plan Ascenso Cross Sell"/>
    <n v="1"/>
    <s v="Desarrollador"/>
    <s v="Mainframe"/>
    <m/>
    <e v="#NAME?"/>
    <e v="#NAME?"/>
    <e v="#NAME?"/>
    <m/>
    <m/>
    <m/>
    <m/>
    <m/>
  </r>
  <r>
    <s v="O001638"/>
    <x v="183"/>
    <x v="3"/>
    <x v="9"/>
    <s v="BBVA"/>
    <e v="#NAME?"/>
    <s v="SDATOOL-38481 $ Pricing Pasivos (optimización portafolio) - Plan Ascenso Cross Sell"/>
    <n v="1"/>
    <s v="Desarrollador"/>
    <s v="Mainframe"/>
    <m/>
    <e v="#NAME?"/>
    <e v="#NAME?"/>
    <e v="#NAME?"/>
    <m/>
    <m/>
    <m/>
    <m/>
    <m/>
  </r>
  <r>
    <s v="C803933"/>
    <x v="184"/>
    <x v="3"/>
    <x v="9"/>
    <s v="BBVA"/>
    <e v="#NAME?"/>
    <s v="SDATOOL-37111 $ Cuenta Maestra Adres"/>
    <n v="0.75"/>
    <s v="Desarrollador"/>
    <s v="Mainframe"/>
    <m/>
    <e v="#NAME?"/>
    <e v="#NAME?"/>
    <e v="#NAME?"/>
    <m/>
    <m/>
    <m/>
    <m/>
    <m/>
  </r>
  <r>
    <s v="C803933"/>
    <x v="184"/>
    <x v="3"/>
    <x v="9"/>
    <s v="BBVA"/>
    <e v="#NAME?"/>
    <s v="SDATOOL-40771 $ Resolución Cuentas Maestras y Cuentas Maestras para Pagos Electrónicos (PSE): Anexo Técnico - Nuevo reporte de información"/>
    <n v="0.25"/>
    <s v="Desarrollador"/>
    <s v="Mainframe"/>
    <s v="Soporte a certificación"/>
    <e v="#NAME?"/>
    <e v="#NAME?"/>
    <e v="#NAME?"/>
    <m/>
    <m/>
    <m/>
    <m/>
    <m/>
  </r>
  <r>
    <s v="C811277"/>
    <x v="185"/>
    <x v="3"/>
    <x v="9"/>
    <s v="BBVA"/>
    <e v="#NAME?"/>
    <s v="SDATOOL-42039 $ Cuenta digital pensional"/>
    <n v="0.75"/>
    <s v="Desarrollador"/>
    <s v="Mainframe"/>
    <m/>
    <e v="#NAME?"/>
    <e v="#NAME?"/>
    <e v="#NAME?"/>
    <m/>
    <m/>
    <m/>
    <m/>
    <m/>
  </r>
  <r>
    <s v="C811277"/>
    <x v="185"/>
    <x v="3"/>
    <x v="9"/>
    <s v="BBVA"/>
    <e v="#NAME?"/>
    <s v="SDATOOL-38419 $ Contratación cuenta en línea en Glomo"/>
    <n v="0.25"/>
    <s v="Desarrollador"/>
    <s v="Mainframe"/>
    <m/>
    <e v="#NAME?"/>
    <e v="#NAME?"/>
    <e v="#NAME?"/>
    <m/>
    <m/>
    <m/>
    <m/>
    <m/>
  </r>
  <r>
    <s v="C811304"/>
    <x v="186"/>
    <x v="3"/>
    <x v="9"/>
    <s v="BBVA"/>
    <e v="#NAME?"/>
    <s v="SDATOOL-41797 $ Optimización Cuenta en línea Web"/>
    <n v="1"/>
    <s v="Desarrollador"/>
    <s v="Mainframe"/>
    <m/>
    <e v="#NAME?"/>
    <e v="#NAME?"/>
    <e v="#NAME?"/>
    <m/>
    <m/>
    <m/>
    <m/>
    <m/>
  </r>
  <r>
    <s v="CE64217"/>
    <x v="187"/>
    <x v="3"/>
    <x v="9"/>
    <s v="SII"/>
    <e v="#NAME?"/>
    <s v="NOSDA $ BAU (Mantenimiento y peq. evolutivos)"/>
    <n v="1"/>
    <s v="Desarrollador"/>
    <s v="Mainframe"/>
    <m/>
    <e v="#NAME?"/>
    <e v="#NAME?"/>
    <e v="#NAME?"/>
    <m/>
    <m/>
    <m/>
    <m/>
    <m/>
  </r>
  <r>
    <s v="C802128"/>
    <x v="188"/>
    <x v="3"/>
    <x v="9"/>
    <s v="BBVA"/>
    <e v="#NAME?"/>
    <s v="SDATOOL-37344 $ Automatización Operaciones en Efectivo"/>
    <n v="0.4"/>
    <s v="Desarrollador"/>
    <s v="Mainframe"/>
    <s v="No se encuentra la SDATOOL-37344"/>
    <e v="#NAME?"/>
    <e v="#NAME?"/>
    <e v="#NAME?"/>
    <m/>
    <m/>
    <m/>
    <m/>
    <m/>
  </r>
  <r>
    <s v="C802128"/>
    <x v="188"/>
    <x v="3"/>
    <x v="9"/>
    <s v="BBVA"/>
    <e v="#NAME?"/>
    <s v="SDATOOL-40438 $ CIRCULAR 032 del 2021 - REQUERIMIENTO FISCALIA GENERAL DE LA NACION"/>
    <n v="0.6"/>
    <s v="Desarrollador"/>
    <s v="Mainframe"/>
    <m/>
    <e v="#NAME?"/>
    <e v="#NAME?"/>
    <e v="#NAME?"/>
    <m/>
    <m/>
    <m/>
    <m/>
    <m/>
  </r>
  <r>
    <s v="C797928"/>
    <x v="189"/>
    <x v="3"/>
    <x v="9"/>
    <s v="BBVA"/>
    <e v="#NAME?"/>
    <s v="SDATOOL-38481 $ Pricing Pasivos (optimización portafolio) - Plan Ascenso Cross Sell"/>
    <n v="0.3"/>
    <s v="Tech Manager/Líder"/>
    <s v="Mainframe"/>
    <m/>
    <e v="#NAME?"/>
    <e v="#NAME?"/>
    <e v="#NAME?"/>
    <m/>
    <m/>
    <m/>
    <m/>
    <m/>
  </r>
  <r>
    <s v="C797928"/>
    <x v="189"/>
    <x v="3"/>
    <x v="9"/>
    <s v="BBVA"/>
    <e v="#NAME?"/>
    <s v="NOSDA $ BAU (Mantenimiento y peq. evolutivos)"/>
    <n v="0.4"/>
    <s v="Tech Manager/Líder"/>
    <s v="Mainframe"/>
    <m/>
    <e v="#NAME?"/>
    <e v="#NAME?"/>
    <e v="#NAME?"/>
    <m/>
    <m/>
    <m/>
    <m/>
    <m/>
  </r>
  <r>
    <s v="C797928"/>
    <x v="189"/>
    <x v="3"/>
    <x v="9"/>
    <s v="BBVA"/>
    <e v="#NAME?"/>
    <s v="SDATOOL-37111 $ Cuenta Maestra Adres"/>
    <n v="0.15"/>
    <s v="Tech Manager/Líder"/>
    <s v="Mainframe"/>
    <m/>
    <e v="#NAME?"/>
    <e v="#NAME?"/>
    <e v="#NAME?"/>
    <m/>
    <m/>
    <m/>
    <m/>
    <m/>
  </r>
  <r>
    <s v="C797928"/>
    <x v="189"/>
    <x v="3"/>
    <x v="9"/>
    <s v="BBVA"/>
    <e v="#NAME?"/>
    <s v="SDATOOL-40771 $ Resolución Cuentas Maestras y Cuentas Maestras para Pagos Electrónicos (PSE): Anexo Técnico - Nuevo reporte de información"/>
    <n v="0.15"/>
    <s v="Tech Manager/Líder"/>
    <s v="Mainframe"/>
    <m/>
    <e v="#NAME?"/>
    <e v="#NAME?"/>
    <e v="#NAME?"/>
    <m/>
    <m/>
    <m/>
    <m/>
    <m/>
  </r>
  <r>
    <s v="CE48051"/>
    <x v="190"/>
    <x v="3"/>
    <x v="9"/>
    <s v="Novatec"/>
    <e v="#NAME?"/>
    <s v="SDATOOL-38419 $ Contratación cuenta en línea en Glomo"/>
    <n v="0.25"/>
    <s v="Desarrollador"/>
    <s v="Mainframe"/>
    <m/>
    <e v="#NAME?"/>
    <e v="#NAME?"/>
    <e v="#NAME?"/>
    <m/>
    <m/>
    <m/>
    <m/>
    <m/>
  </r>
  <r>
    <s v="CE48051"/>
    <x v="190"/>
    <x v="3"/>
    <x v="9"/>
    <s v="Novatec"/>
    <e v="#NAME?"/>
    <s v="SDATOOL-42039 $ Cuenta digital pensional"/>
    <n v="0.75"/>
    <s v="Desarrollador"/>
    <s v="Mainframe"/>
    <m/>
    <e v="#NAME?"/>
    <e v="#NAME?"/>
    <e v="#NAME?"/>
    <m/>
    <m/>
    <m/>
    <m/>
    <m/>
  </r>
  <r>
    <s v="C343151"/>
    <x v="191"/>
    <x v="3"/>
    <x v="9"/>
    <s v="BBVA"/>
    <e v="#NAME?"/>
    <s v="NOSDA $ BAU (Mantenimiento y peq. evolutivos)"/>
    <n v="1"/>
    <s v="Desarrollador"/>
    <s v="Mainframe"/>
    <m/>
    <e v="#NAME?"/>
    <e v="#NAME?"/>
    <e v="#NAME?"/>
    <m/>
    <m/>
    <m/>
    <m/>
    <m/>
  </r>
  <r>
    <s v="CE70143"/>
    <x v="192"/>
    <x v="3"/>
    <x v="9"/>
    <s v="Globant"/>
    <e v="#NAME?"/>
    <s v="SDATOOL-41797 $ Optimización Cuenta en línea Web"/>
    <n v="1"/>
    <s v="Desarrollador"/>
    <s v="ASO"/>
    <s v="Usuario en proceso de alta."/>
    <e v="#NAME?"/>
    <e v="#NAME?"/>
    <e v="#NAME?"/>
    <m/>
    <m/>
    <m/>
    <m/>
    <m/>
  </r>
  <r>
    <s v="C811389"/>
    <x v="193"/>
    <x v="3"/>
    <x v="9"/>
    <s v="BBVA"/>
    <e v="#NAME?"/>
    <s v="SDATOOL-39383 $ AJUSTES HIGIENICOS DE PORTAFOLIO + REPORTE CENTRALIZADO DE NÓMINA"/>
    <n v="0.65"/>
    <s v="Desarrollador"/>
    <s v="Mainframe"/>
    <m/>
    <e v="#NAME?"/>
    <e v="#NAME?"/>
    <e v="#NAME?"/>
    <m/>
    <m/>
    <m/>
    <m/>
    <m/>
  </r>
  <r>
    <s v="C811389"/>
    <x v="193"/>
    <x v="3"/>
    <x v="9"/>
    <s v="BBVA"/>
    <e v="#NAME?"/>
    <s v="SDATOOL-39246 $ Nuevo tipo de identificación para extranjeros"/>
    <n v="0.2"/>
    <s v="Desarrollador"/>
    <s v="Mainframe"/>
    <m/>
    <e v="#NAME?"/>
    <e v="#NAME?"/>
    <e v="#NAME?"/>
    <m/>
    <m/>
    <m/>
    <m/>
    <m/>
  </r>
  <r>
    <s v="C811389"/>
    <x v="193"/>
    <x v="3"/>
    <x v="9"/>
    <s v="BBVA"/>
    <e v="#NAME?"/>
    <s v="NOSDA $ BAU (Mantenimiento y peq. evolutivos)"/>
    <n v="0.15"/>
    <s v="Desarrollador"/>
    <s v="Mainframe"/>
    <m/>
    <e v="#NAME?"/>
    <e v="#NAME?"/>
    <e v="#NAME?"/>
    <m/>
    <m/>
    <m/>
    <m/>
    <m/>
  </r>
  <r>
    <s v="CE50117"/>
    <x v="194"/>
    <x v="3"/>
    <x v="9"/>
    <s v="SII"/>
    <e v="#NAME?"/>
    <s v="SDATOOL-38481 $ Pricing Pasivos (optimización portafolio) - Plan Ascenso Cross Sell"/>
    <n v="0.4"/>
    <s v="Desarrollador"/>
    <s v="Mainframe"/>
    <s v="Soporte a la certificación"/>
    <e v="#NAME?"/>
    <e v="#NAME?"/>
    <e v="#NAME?"/>
    <m/>
    <m/>
    <m/>
    <m/>
    <m/>
  </r>
  <r>
    <s v="CE42593"/>
    <x v="195"/>
    <x v="3"/>
    <x v="9"/>
    <s v="SII"/>
    <e v="#NAME?"/>
    <s v="NOSDA $ BAU (Mantenimiento y peq. evolutivos)"/>
    <n v="1"/>
    <s v="Tech Manager/Líder"/>
    <s v="Mainframe"/>
    <m/>
    <e v="#NAME?"/>
    <e v="#NAME?"/>
    <e v="#NAME?"/>
    <m/>
    <m/>
    <m/>
    <m/>
    <m/>
  </r>
  <r>
    <s v="C805565"/>
    <x v="196"/>
    <x v="3"/>
    <x v="9"/>
    <s v="BBVA"/>
    <e v="#NAME?"/>
    <s v="SDATOOL-39246 $ Nuevo tipo de identificación para extranjeros"/>
    <n v="0.2"/>
    <s v="Desarrollador"/>
    <s v="Mainframe"/>
    <m/>
    <e v="#NAME?"/>
    <e v="#NAME?"/>
    <e v="#NAME?"/>
    <m/>
    <m/>
    <m/>
    <m/>
    <m/>
  </r>
  <r>
    <s v="C805565"/>
    <x v="196"/>
    <x v="3"/>
    <x v="9"/>
    <s v="BBVA"/>
    <e v="#NAME?"/>
    <s v="SDATOOL-40545 $ GRM Col - Mejoras Evolutivas de Aplicativos y Herramientas de Riesgos 2023"/>
    <n v="0.5"/>
    <s v="Desarrollador"/>
    <s v="Mainframe"/>
    <m/>
    <e v="#NAME?"/>
    <e v="#NAME?"/>
    <e v="#NAME?"/>
    <m/>
    <m/>
    <m/>
    <m/>
    <m/>
  </r>
  <r>
    <s v="C805565"/>
    <x v="196"/>
    <x v="3"/>
    <x v="9"/>
    <s v="BBVA"/>
    <e v="#NAME?"/>
    <s v="SDATOOL-40656 $ GRM Col - Recuperación sobre cuentas pensionales"/>
    <n v="0.3"/>
    <s v="Desarrollador"/>
    <s v="Mainframe"/>
    <m/>
    <e v="#NAME?"/>
    <e v="#NAME?"/>
    <e v="#NAME?"/>
    <m/>
    <m/>
    <m/>
    <m/>
    <m/>
  </r>
  <r>
    <s v="C809506"/>
    <x v="197"/>
    <x v="3"/>
    <x v="9"/>
    <s v="BBVA"/>
    <e v="#NAME?"/>
    <s v="NOSDA $ BAU (Mantenimiento y peq. evolutivos)"/>
    <n v="1"/>
    <s v="Desarrollador"/>
    <s v="Mainframe"/>
    <m/>
    <e v="#NAME?"/>
    <e v="#NAME?"/>
    <e v="#NAME?"/>
    <m/>
    <m/>
    <m/>
    <m/>
    <m/>
  </r>
  <r>
    <s v="O001222"/>
    <x v="198"/>
    <x v="3"/>
    <x v="9"/>
    <s v="BBVA"/>
    <e v="#NAME?"/>
    <s v="SDATOOL-42039 $ Cuenta digital pensional"/>
    <n v="0.2"/>
    <s v="Tech Manager/Líder"/>
    <s v="Otras Tec."/>
    <m/>
    <e v="#NAME?"/>
    <e v="#NAME?"/>
    <e v="#NAME?"/>
    <m/>
    <m/>
    <m/>
    <m/>
    <m/>
  </r>
  <r>
    <s v="O001222"/>
    <x v="198"/>
    <x v="3"/>
    <x v="9"/>
    <s v="BBVA"/>
    <e v="#NAME?"/>
    <s v="SDATOOL-38419 $ Contratación cuenta en línea en Glomo"/>
    <n v="0.2"/>
    <s v="Tech Manager/Líder"/>
    <s v="Otras Tec."/>
    <m/>
    <e v="#NAME?"/>
    <e v="#NAME?"/>
    <e v="#NAME?"/>
    <m/>
    <m/>
    <m/>
    <m/>
    <m/>
  </r>
  <r>
    <s v="O001222"/>
    <x v="198"/>
    <x v="3"/>
    <x v="9"/>
    <s v="BBVA"/>
    <e v="#NAME?"/>
    <s v="SDATOOL-41797 $ Optimización Cuenta en línea Web"/>
    <n v="0.2"/>
    <s v="Tech Manager/Líder"/>
    <s v="Otras Tec."/>
    <m/>
    <e v="#NAME?"/>
    <e v="#NAME?"/>
    <e v="#NAME?"/>
    <m/>
    <m/>
    <m/>
    <m/>
    <m/>
  </r>
  <r>
    <s v="O001222"/>
    <x v="198"/>
    <x v="3"/>
    <x v="9"/>
    <s v="BBVA"/>
    <e v="#NAME?"/>
    <s v="SDATOOL-42393 $ Ahorro Fijo Digital Clientes"/>
    <n v="0.2"/>
    <s v="Tech Manager/Líder"/>
    <s v="Otras Tec."/>
    <m/>
    <e v="#NAME?"/>
    <e v="#NAME?"/>
    <e v="#NAME?"/>
    <m/>
    <m/>
    <m/>
    <m/>
    <m/>
  </r>
  <r>
    <s v="O001222"/>
    <x v="198"/>
    <x v="3"/>
    <x v="9"/>
    <s v="BBVA"/>
    <e v="#NAME?"/>
    <s v="SDATOOL-41950 $ Migracion GMF-MQ Series"/>
    <n v="0.2"/>
    <s v="Tech Manager/Líder"/>
    <s v="Otras Tec."/>
    <m/>
    <e v="#NAME?"/>
    <e v="#NAME?"/>
    <e v="#NAME?"/>
    <m/>
    <m/>
    <m/>
    <m/>
    <m/>
  </r>
  <r>
    <s v="C811332"/>
    <x v="199"/>
    <x v="3"/>
    <x v="9"/>
    <s v="BBVA"/>
    <e v="#NAME?"/>
    <s v="SDATOOL-37753 $ Plan de transformación de operaciones 2022"/>
    <n v="0.3"/>
    <s v="Desarrollador"/>
    <s v="Mainframe"/>
    <m/>
    <e v="#NAME?"/>
    <e v="#NAME?"/>
    <e v="#NAME?"/>
    <m/>
    <m/>
    <m/>
    <m/>
    <m/>
  </r>
  <r>
    <s v="C811332"/>
    <x v="199"/>
    <x v="3"/>
    <x v="9"/>
    <s v="BBVA"/>
    <e v="#NAME?"/>
    <s v="SDATOOL-40438 $ CIRCULAR 032 del 2021 - REQUERIMIENTO FISCALIA GENERAL DE LA NACION"/>
    <n v="0.7"/>
    <s v="Desarrollador"/>
    <s v="Mainframe"/>
    <m/>
    <e v="#NAME?"/>
    <e v="#NAME?"/>
    <e v="#NAME?"/>
    <m/>
    <m/>
    <m/>
    <m/>
    <m/>
  </r>
  <r>
    <s v="CE03425"/>
    <x v="200"/>
    <x v="3"/>
    <x v="9"/>
    <s v="KRYPTO"/>
    <e v="#NAME?"/>
    <s v="SDATOOL-37111 $ Cuenta Maestra Adres"/>
    <n v="0.75"/>
    <s v="Desarrollador"/>
    <s v="Mainframe"/>
    <m/>
    <e v="#NAME?"/>
    <e v="#NAME?"/>
    <e v="#NAME?"/>
    <m/>
    <m/>
    <m/>
    <m/>
    <m/>
  </r>
  <r>
    <s v="CE03425"/>
    <x v="200"/>
    <x v="3"/>
    <x v="9"/>
    <s v="KRYPTO"/>
    <e v="#NAME?"/>
    <s v="SDATOOL-40771 $ Resolución Cuentas Maestras y Cuentas Maestras para Pagos Electrónicos (PSE): Anexo Técnico - Nuevo reporte de información"/>
    <n v="0.25"/>
    <s v="Desarrollador"/>
    <s v="Mainframe"/>
    <s v="Soporte a certficación y post-implantación"/>
    <e v="#NAME?"/>
    <e v="#NAME?"/>
    <e v="#NAME?"/>
    <m/>
    <m/>
    <m/>
    <m/>
    <m/>
  </r>
  <r>
    <s v="C805714"/>
    <x v="201"/>
    <x v="3"/>
    <x v="9"/>
    <s v="BBVA"/>
    <e v="#NAME?"/>
    <s v="SDATOOL-33065 $ Remesas BTS"/>
    <n v="0.7"/>
    <s v="Desarrollador"/>
    <s v="ASO"/>
    <m/>
    <e v="#NAME?"/>
    <e v="#NAME?"/>
    <e v="#NAME?"/>
    <m/>
    <m/>
    <m/>
    <m/>
    <m/>
  </r>
  <r>
    <s v="C805714"/>
    <x v="201"/>
    <x v="3"/>
    <x v="9"/>
    <s v="BBVA"/>
    <e v="#NAME?"/>
    <s v="SDATOOL-37753 $ Plan de transformación de operaciones 2022"/>
    <n v="0.15"/>
    <s v="Desarrollador"/>
    <s v="ASO"/>
    <m/>
    <e v="#NAME?"/>
    <e v="#NAME?"/>
    <e v="#NAME?"/>
    <m/>
    <m/>
    <m/>
    <m/>
    <m/>
  </r>
  <r>
    <s v="C805714"/>
    <x v="201"/>
    <x v="3"/>
    <x v="9"/>
    <s v="BBVA"/>
    <e v="#NAME?"/>
    <s v="NOSDA $ BAU (Mantenimiento y peq. evolutivos)"/>
    <n v="0.15"/>
    <s v="Desarrollador"/>
    <s v="ASO"/>
    <m/>
    <e v="#NAME?"/>
    <e v="#NAME?"/>
    <e v="#NAME?"/>
    <m/>
    <m/>
    <m/>
    <m/>
    <m/>
  </r>
  <r>
    <s v="CE65082"/>
    <x v="202"/>
    <x v="3"/>
    <x v="9"/>
    <s v="SII"/>
    <e v="#NAME?"/>
    <s v="NOSDA $ BAU (Mantenimiento y peq. evolutivos)"/>
    <n v="1"/>
    <s v="Desarrollador"/>
    <s v="Mainframe"/>
    <m/>
    <e v="#NAME?"/>
    <e v="#NAME?"/>
    <e v="#NAME?"/>
    <m/>
    <m/>
    <m/>
    <m/>
    <m/>
  </r>
  <r>
    <s v="C805729"/>
    <x v="203"/>
    <x v="3"/>
    <x v="9"/>
    <s v="BBVA"/>
    <e v="#NAME?"/>
    <s v="NOSDA $ BAU (Mantenimiento y peq. evolutivos)"/>
    <n v="1"/>
    <s v="Otros"/>
    <s v="Mainframe"/>
    <m/>
    <e v="#NAME?"/>
    <e v="#NAME?"/>
    <e v="#NAME?"/>
    <m/>
    <m/>
    <m/>
    <m/>
    <m/>
  </r>
  <r>
    <s v="CE66910"/>
    <x v="204"/>
    <x v="3"/>
    <x v="9"/>
    <s v="SII"/>
    <e v="#NAME?"/>
    <s v="SDATOOL-41950 $ Migracion GMF-MQ Series"/>
    <n v="1"/>
    <s v="Desarrollador"/>
    <s v="ASO"/>
    <m/>
    <e v="#NAME?"/>
    <e v="#NAME?"/>
    <e v="#NAME?"/>
    <m/>
    <m/>
    <m/>
    <m/>
    <m/>
  </r>
  <r>
    <s v="C803062"/>
    <x v="205"/>
    <x v="3"/>
    <x v="9"/>
    <s v="BBVA"/>
    <e v="#NAME?"/>
    <s v="NOSDA $ BAU (Mantenimiento y peq. evolutivos)"/>
    <n v="1"/>
    <s v="Desarrollador"/>
    <s v="Mainframe"/>
    <m/>
    <e v="#NAME?"/>
    <e v="#NAME?"/>
    <e v="#NAME?"/>
    <m/>
    <m/>
    <m/>
    <m/>
    <m/>
  </r>
  <r>
    <s v="C805939"/>
    <x v="206"/>
    <x v="3"/>
    <x v="9"/>
    <s v="BBVA"/>
    <e v="#NAME?"/>
    <s v="SDATOOL-38419 $ Contratación cuenta en línea en Glomo"/>
    <n v="0.25"/>
    <s v="Desarrollador"/>
    <s v="ASO"/>
    <m/>
    <e v="#NAME?"/>
    <e v="#NAME?"/>
    <e v="#NAME?"/>
    <m/>
    <m/>
    <m/>
    <m/>
    <m/>
  </r>
  <r>
    <s v="C805939"/>
    <x v="206"/>
    <x v="3"/>
    <x v="9"/>
    <s v="BBVA"/>
    <e v="#NAME?"/>
    <s v="SDATOOL-42039 $ Cuenta digital pensional"/>
    <n v="0.5"/>
    <s v="Desarrollador"/>
    <s v="ASO"/>
    <m/>
    <e v="#NAME?"/>
    <e v="#NAME?"/>
    <e v="#NAME?"/>
    <m/>
    <m/>
    <m/>
    <m/>
    <m/>
  </r>
  <r>
    <s v="C805939"/>
    <x v="206"/>
    <x v="3"/>
    <x v="9"/>
    <s v="BBVA"/>
    <e v="#NAME?"/>
    <s v="SDATOOL-41797 $ Optimización Cuenta en línea Web"/>
    <n v="0.25"/>
    <s v="Desarrollador"/>
    <s v="ASO"/>
    <m/>
    <e v="#NAME?"/>
    <e v="#NAME?"/>
    <e v="#NAME?"/>
    <m/>
    <m/>
    <m/>
    <m/>
    <m/>
  </r>
  <r>
    <s v="CE17711"/>
    <x v="207"/>
    <x v="3"/>
    <x v="9"/>
    <s v="KRYPTO"/>
    <e v="#NAME?"/>
    <s v="NOSDA $ BAU (Mantenimiento y peq. evolutivos)"/>
    <n v="1"/>
    <s v="QA"/>
    <s v="Mainframe"/>
    <m/>
    <e v="#NAME?"/>
    <e v="#NAME?"/>
    <e v="#NAME?"/>
    <m/>
    <m/>
    <m/>
    <m/>
    <m/>
  </r>
  <r>
    <s v="CE61656"/>
    <x v="208"/>
    <x v="3"/>
    <x v="9"/>
    <s v="KRYPTO"/>
    <e v="#NAME?"/>
    <s v="NOSDA $ BAU (Mantenimiento y peq. evolutivos)"/>
    <n v="1"/>
    <s v="QA"/>
    <s v="Mainframe"/>
    <m/>
    <e v="#NAME?"/>
    <e v="#NAME?"/>
    <e v="#NAME?"/>
    <m/>
    <m/>
    <m/>
    <m/>
    <m/>
  </r>
  <r>
    <s v="C804407"/>
    <x v="209"/>
    <x v="3"/>
    <x v="9"/>
    <s v="BBVA"/>
    <e v="#NAME?"/>
    <s v="SDATOOL-41950 $ Migracion GMF-MQ Series"/>
    <n v="0.25"/>
    <s v="Desarrollador"/>
    <s v="Mainframe"/>
    <m/>
    <e v="#NAME?"/>
    <e v="#NAME?"/>
    <e v="#NAME?"/>
    <m/>
    <m/>
    <m/>
    <m/>
    <m/>
  </r>
  <r>
    <s v="C804407"/>
    <x v="209"/>
    <x v="3"/>
    <x v="9"/>
    <s v="BBVA"/>
    <e v="#NAME?"/>
    <s v="SDATOOL-42393 $ Ahorro Fijo Digital Clientes"/>
    <n v="0.75"/>
    <s v="Desarrollador"/>
    <s v="Mainframe"/>
    <m/>
    <e v="#NAME?"/>
    <e v="#NAME?"/>
    <e v="#NAME?"/>
    <m/>
    <m/>
    <m/>
    <m/>
    <m/>
  </r>
  <r>
    <s v="C809625"/>
    <x v="210"/>
    <x v="3"/>
    <x v="9"/>
    <s v="BBVA"/>
    <e v="#NAME?"/>
    <s v="SDATOOL-38419 $ Contratación cuenta en línea en Glomo"/>
    <n v="0.25"/>
    <s v="Desarrollador"/>
    <s v="ASO"/>
    <m/>
    <e v="#NAME?"/>
    <e v="#NAME?"/>
    <e v="#NAME?"/>
    <m/>
    <m/>
    <m/>
    <m/>
    <m/>
  </r>
  <r>
    <s v="C809625"/>
    <x v="210"/>
    <x v="3"/>
    <x v="9"/>
    <s v="BBVA"/>
    <e v="#NAME?"/>
    <s v="SDATOOL-42039 $ Cuenta digital pensional"/>
    <n v="0.75"/>
    <s v="Desarrollador"/>
    <s v="ASO"/>
    <m/>
    <e v="#NAME?"/>
    <e v="#NAME?"/>
    <e v="#NAME?"/>
    <m/>
    <m/>
    <m/>
    <m/>
    <m/>
  </r>
  <r>
    <s v="CE64687"/>
    <x v="211"/>
    <x v="3"/>
    <x v="9"/>
    <s v="SII"/>
    <e v="#NAME?"/>
    <s v="NOSDA $ BAU (Mantenimiento y peq. evolutivos)"/>
    <n v="1"/>
    <s v="Desarrollador"/>
    <s v="Mainframe"/>
    <m/>
    <e v="#NAME?"/>
    <e v="#NAME?"/>
    <e v="#NAME?"/>
    <m/>
    <m/>
    <m/>
    <m/>
    <m/>
  </r>
  <r>
    <s v="C811233"/>
    <x v="212"/>
    <x v="3"/>
    <x v="9"/>
    <s v="BBVA"/>
    <e v="#NAME?"/>
    <s v="NOSDA $ BAU (Mantenimiento y peq. evolutivos)"/>
    <n v="1"/>
    <s v="QA"/>
    <s v="Mainframe"/>
    <m/>
    <e v="#NAME?"/>
    <e v="#NAME?"/>
    <e v="#NAME?"/>
    <m/>
    <m/>
    <m/>
    <m/>
    <m/>
  </r>
  <r>
    <s v="CE59970"/>
    <x v="213"/>
    <x v="3"/>
    <x v="9"/>
    <s v="SII"/>
    <e v="#NAME?"/>
    <s v="NOSDA $ BAU (Mantenimiento y peq. evolutivos)"/>
    <n v="1"/>
    <s v="Desarrollador"/>
    <s v="Mainframe"/>
    <m/>
    <e v="#NAME?"/>
    <e v="#NAME?"/>
    <e v="#NAME?"/>
    <m/>
    <m/>
    <m/>
    <m/>
    <m/>
  </r>
  <r>
    <s v="C804561"/>
    <x v="214"/>
    <x v="3"/>
    <x v="9"/>
    <s v="BBVA"/>
    <e v="#NAME?"/>
    <s v="SDATOOL-40656 $ GRM Col - Recuperación sobre cuentas pensionales"/>
    <n v="0.5"/>
    <s v="Desarrollador"/>
    <s v="Mainframe"/>
    <m/>
    <e v="#NAME?"/>
    <e v="#NAME?"/>
    <e v="#NAME?"/>
    <m/>
    <m/>
    <m/>
    <m/>
    <m/>
  </r>
  <r>
    <s v="C804561"/>
    <x v="214"/>
    <x v="3"/>
    <x v="9"/>
    <s v="BBVA"/>
    <e v="#NAME?"/>
    <s v="SDATOOL-33065 $ Remesas BTS"/>
    <n v="0.2"/>
    <s v="Desarrollador"/>
    <s v="Mainframe"/>
    <m/>
    <e v="#NAME?"/>
    <e v="#NAME?"/>
    <e v="#NAME?"/>
    <m/>
    <m/>
    <m/>
    <m/>
    <m/>
  </r>
  <r>
    <s v="C804561"/>
    <x v="214"/>
    <x v="3"/>
    <x v="9"/>
    <s v="BBVA"/>
    <e v="#NAME?"/>
    <s v="SDATOOL-41029 $ IATAPAY"/>
    <n v="0.3"/>
    <s v="Desarrollador"/>
    <s v="Mainframe"/>
    <m/>
    <e v="#NAME?"/>
    <e v="#NAME?"/>
    <e v="#NAME?"/>
    <m/>
    <m/>
    <m/>
    <m/>
    <m/>
  </r>
  <r>
    <s v="O002757"/>
    <x v="215"/>
    <x v="3"/>
    <x v="9"/>
    <s v="BBVA"/>
    <e v="#NAME?"/>
    <s v="SDATOOL-33065 $ Remesas BTS"/>
    <n v="0.2"/>
    <s v="Desarrollador"/>
    <s v="APX"/>
    <m/>
    <e v="#NAME?"/>
    <e v="#NAME?"/>
    <e v="#NAME?"/>
    <m/>
    <m/>
    <m/>
    <m/>
    <m/>
  </r>
  <r>
    <s v="O002757"/>
    <x v="215"/>
    <x v="3"/>
    <x v="9"/>
    <s v="BBVA"/>
    <e v="#NAME?"/>
    <s v="SDATOOL-42393 $ Ahorro Fijo Digital Clientes"/>
    <n v="0.4"/>
    <s v="Desarrollador"/>
    <s v="APX"/>
    <m/>
    <e v="#NAME?"/>
    <e v="#NAME?"/>
    <e v="#NAME?"/>
    <m/>
    <m/>
    <m/>
    <m/>
    <m/>
  </r>
  <r>
    <s v="O002757"/>
    <x v="215"/>
    <x v="3"/>
    <x v="9"/>
    <s v="BBVA"/>
    <e v="#NAME?"/>
    <s v="SDATOOL-41950 $ Migracion GMF-MQ Series"/>
    <n v="0.4"/>
    <s v="Desarrollador"/>
    <s v="APX"/>
    <m/>
    <e v="#NAME?"/>
    <e v="#NAME?"/>
    <e v="#NAME?"/>
    <m/>
    <m/>
    <m/>
    <m/>
    <m/>
  </r>
  <r>
    <s v="CE24417"/>
    <x v="216"/>
    <x v="3"/>
    <x v="9"/>
    <s v="KRYPTO"/>
    <e v="#NAME?"/>
    <s v="NOSDA $ BAU (Mantenimiento y peq. evolutivos)"/>
    <n v="1"/>
    <s v="QA"/>
    <s v="Otras Tec."/>
    <m/>
    <e v="#NAME?"/>
    <e v="#NAME?"/>
    <e v="#NAME?"/>
    <m/>
    <m/>
    <m/>
    <m/>
    <m/>
  </r>
  <r>
    <s v="O003083"/>
    <x v="217"/>
    <x v="3"/>
    <x v="9"/>
    <s v="BBVA"/>
    <e v="#NAME?"/>
    <s v="SDATOOL-42039 $ Cuenta digital pensional"/>
    <n v="0.75"/>
    <s v="Desarrollador"/>
    <s v="APX"/>
    <m/>
    <e v="#NAME?"/>
    <e v="#NAME?"/>
    <e v="#NAME?"/>
    <m/>
    <m/>
    <m/>
    <m/>
    <m/>
  </r>
  <r>
    <s v="O003083"/>
    <x v="217"/>
    <x v="3"/>
    <x v="9"/>
    <s v="BBVA"/>
    <e v="#NAME?"/>
    <s v="SDATOOL-38419 $ Contratación cuenta en línea en Glomo"/>
    <n v="0.25"/>
    <s v="Desarrollador"/>
    <s v="APX"/>
    <m/>
    <e v="#NAME?"/>
    <e v="#NAME?"/>
    <e v="#NAME?"/>
    <m/>
    <m/>
    <m/>
    <m/>
    <m/>
  </r>
  <r>
    <s v="C811362"/>
    <x v="218"/>
    <x v="3"/>
    <x v="9"/>
    <s v="BBVA"/>
    <e v="#NAME?"/>
    <s v="SDATOOL-40545 $ GRM Col - Mejoras Evolutivas de Aplicativos y Herramientas de Riesgos 2023"/>
    <n v="0.3"/>
    <s v="Desarrollador"/>
    <s v="Mainframe"/>
    <m/>
    <e v="#NAME?"/>
    <e v="#NAME?"/>
    <e v="#NAME?"/>
    <m/>
    <m/>
    <m/>
    <m/>
    <m/>
  </r>
  <r>
    <s v="C811362"/>
    <x v="218"/>
    <x v="3"/>
    <x v="9"/>
    <s v="BBVA"/>
    <e v="#NAME?"/>
    <s v="SDATOOL-41766 $ DUALIDAD CUENTAS AFC NÁCAR HOST Y CANALES DIGITALES"/>
    <n v="0.4"/>
    <s v="Desarrollador"/>
    <s v="Mainframe"/>
    <m/>
    <e v="#NAME?"/>
    <e v="#NAME?"/>
    <e v="#NAME?"/>
    <m/>
    <m/>
    <m/>
    <m/>
    <m/>
  </r>
  <r>
    <s v="C811362"/>
    <x v="218"/>
    <x v="3"/>
    <x v="9"/>
    <s v="BBVA"/>
    <e v="#NAME?"/>
    <s v="SDATOOL-39506 $ Cuenta Sostenible"/>
    <n v="0.3"/>
    <s v="Desarrollador"/>
    <s v="Mainframe"/>
    <m/>
    <e v="#NAME?"/>
    <e v="#NAME?"/>
    <e v="#NAME?"/>
    <m/>
    <m/>
    <m/>
    <m/>
    <m/>
  </r>
  <r>
    <s v="C802977"/>
    <x v="219"/>
    <x v="3"/>
    <x v="9"/>
    <s v="BBVA"/>
    <e v="#NAME?"/>
    <s v="SDATOOL-39246 $ Nuevo tipo de identificación para extranjeros"/>
    <n v="0.1"/>
    <s v="Tech Manager/Líder"/>
    <s v="Otras Tec."/>
    <m/>
    <e v="#NAME?"/>
    <e v="#NAME?"/>
    <e v="#NAME?"/>
    <m/>
    <m/>
    <m/>
    <m/>
    <m/>
  </r>
  <r>
    <s v="C802977"/>
    <x v="219"/>
    <x v="3"/>
    <x v="9"/>
    <s v="BBVA"/>
    <e v="#NAME?"/>
    <s v="SDATOOL-40656 $ GRM Col - Recuperación sobre cuentas pensionales"/>
    <n v="0.15"/>
    <s v="Tech Manager/Líder"/>
    <s v="Otras Tec."/>
    <m/>
    <e v="#NAME?"/>
    <e v="#NAME?"/>
    <e v="#NAME?"/>
    <m/>
    <m/>
    <m/>
    <m/>
    <m/>
  </r>
  <r>
    <s v="C802977"/>
    <x v="219"/>
    <x v="3"/>
    <x v="9"/>
    <s v="BBVA"/>
    <e v="#NAME?"/>
    <s v="SDATOOL-39383 $ AJUSTES HIGIENICOS DE PORTAFOLIO + REPORTE CENTRALIZADO DE NÓMINA"/>
    <n v="0.1"/>
    <s v="Tech Manager/Líder"/>
    <s v="Otras Tec."/>
    <m/>
    <e v="#NAME?"/>
    <e v="#NAME?"/>
    <e v="#NAME?"/>
    <m/>
    <m/>
    <m/>
    <m/>
    <m/>
  </r>
  <r>
    <s v="C802977"/>
    <x v="219"/>
    <x v="3"/>
    <x v="9"/>
    <s v="BBVA"/>
    <e v="#NAME?"/>
    <s v="SDATOOL-33065 $ Remesas BTS"/>
    <n v="0.15"/>
    <s v="Tech Manager/Líder"/>
    <s v="Otras Tec."/>
    <m/>
    <e v="#NAME?"/>
    <e v="#NAME?"/>
    <e v="#NAME?"/>
    <m/>
    <m/>
    <m/>
    <m/>
    <m/>
  </r>
  <r>
    <s v="C802977"/>
    <x v="219"/>
    <x v="3"/>
    <x v="9"/>
    <s v="BBVA"/>
    <e v="#NAME?"/>
    <s v="SDATOOL-40438 $ CIRCULAR 032 del 2021 - REQUERIMIENTO FISCALIA GENERAL DE LA NACION"/>
    <n v="0.1"/>
    <s v="Tech Manager/Líder"/>
    <s v="Otras Tec."/>
    <m/>
    <e v="#NAME?"/>
    <e v="#NAME?"/>
    <e v="#NAME?"/>
    <m/>
    <m/>
    <m/>
    <m/>
    <m/>
  </r>
  <r>
    <s v="C802977"/>
    <x v="219"/>
    <x v="3"/>
    <x v="9"/>
    <s v="BBVA"/>
    <e v="#NAME?"/>
    <s v="SDATOOL-41766 $ DUALIDAD CUENTAS AFC NÁCAR HOST Y CANALES DIGITALES"/>
    <n v="0.1"/>
    <s v="Tech Manager/Líder"/>
    <s v="Otras Tec."/>
    <m/>
    <e v="#NAME?"/>
    <e v="#NAME?"/>
    <e v="#NAME?"/>
    <m/>
    <m/>
    <m/>
    <m/>
    <m/>
  </r>
  <r>
    <s v="C802977"/>
    <x v="219"/>
    <x v="3"/>
    <x v="9"/>
    <s v="BBVA"/>
    <e v="#NAME?"/>
    <s v="SDATOOL-41029 $ IATAPAY"/>
    <n v="0.1"/>
    <s v="Tech Manager/Líder"/>
    <s v="Otras Tec."/>
    <m/>
    <e v="#NAME?"/>
    <e v="#NAME?"/>
    <e v="#NAME?"/>
    <m/>
    <m/>
    <m/>
    <m/>
    <m/>
  </r>
  <r>
    <s v="C802977"/>
    <x v="219"/>
    <x v="3"/>
    <x v="9"/>
    <s v="BBVA"/>
    <e v="#NAME?"/>
    <s v="SDATOOL-40545 $ GRM Col - Mejoras Evolutivas de Aplicativos y Herramientas de Riesgos 2023"/>
    <n v="0.1"/>
    <s v="Tech Manager/Líder"/>
    <s v="Otras Tec."/>
    <m/>
    <e v="#NAME?"/>
    <e v="#NAME?"/>
    <e v="#NAME?"/>
    <m/>
    <m/>
    <m/>
    <m/>
    <m/>
  </r>
  <r>
    <s v="C802977"/>
    <x v="219"/>
    <x v="3"/>
    <x v="9"/>
    <s v="BBVA"/>
    <e v="#NAME?"/>
    <s v="SDATOOL-39506 $ Cuenta Sostenible"/>
    <n v="0.1"/>
    <s v="Tech Manager/Líder"/>
    <s v="Otras Tec."/>
    <m/>
    <e v="#NAME?"/>
    <e v="#NAME?"/>
    <e v="#NAME?"/>
    <m/>
    <m/>
    <m/>
    <m/>
    <m/>
  </r>
  <r>
    <s v="C811410"/>
    <x v="220"/>
    <x v="2"/>
    <x v="8"/>
    <s v="BBVA"/>
    <e v="#NAME?"/>
    <s v="SDATOOL-28473 $ GRM Col - TMP Cobranzas - Módulo control acuerdos de pago"/>
    <n v="1"/>
    <s v="Desarrollador"/>
    <s v="Mainframe"/>
    <m/>
    <e v="#NAME?"/>
    <e v="#NAME?"/>
    <e v="#NAME?"/>
    <m/>
    <m/>
    <m/>
    <m/>
    <m/>
  </r>
  <r>
    <s v="O000100"/>
    <x v="221"/>
    <x v="2"/>
    <x v="8"/>
    <s v="BBVA"/>
    <e v="#NAME?"/>
    <s v="SDATOOL-40658 $ GRM Col - Cronos Collections - Estrategia"/>
    <n v="0.75"/>
    <s v="Desarrollador"/>
    <s v="Mainframe"/>
    <m/>
    <e v="#NAME?"/>
    <e v="#NAME?"/>
    <e v="#NAME?"/>
    <m/>
    <m/>
    <m/>
    <m/>
    <m/>
  </r>
  <r>
    <s v="O000100"/>
    <x v="221"/>
    <x v="2"/>
    <x v="8"/>
    <s v="BBVA"/>
    <e v="#NAME?"/>
    <s v="NOSDA $ BAU (Mantenimiento y peq. evolutivos)"/>
    <n v="0.25"/>
    <s v="Desarrollador"/>
    <s v="Mainframe"/>
    <m/>
    <e v="#NAME?"/>
    <e v="#NAME?"/>
    <e v="#NAME?"/>
    <m/>
    <m/>
    <m/>
    <m/>
    <m/>
  </r>
  <r>
    <s v="O001421"/>
    <x v="222"/>
    <x v="2"/>
    <x v="8"/>
    <s v="BBVA"/>
    <e v="#NAME?"/>
    <s v="SDATOOL-40658 $ GRM Col - Cronos Collections - Estrategia"/>
    <n v="0.5"/>
    <s v="Desarrollador"/>
    <s v="Mainframe"/>
    <m/>
    <e v="#NAME?"/>
    <e v="#NAME?"/>
    <e v="#NAME?"/>
    <m/>
    <m/>
    <m/>
    <m/>
    <m/>
  </r>
  <r>
    <s v="O001421"/>
    <x v="222"/>
    <x v="2"/>
    <x v="8"/>
    <s v="BBVA"/>
    <e v="#NAME?"/>
    <s v="SDATOOL-28473 $ GRM Col - TMP Cobranzas - Módulo control acuerdos de pago"/>
    <n v="0.25"/>
    <s v="Desarrollador"/>
    <s v="Mainframe"/>
    <m/>
    <e v="#NAME?"/>
    <e v="#NAME?"/>
    <e v="#NAME?"/>
    <m/>
    <m/>
    <m/>
    <m/>
    <m/>
  </r>
  <r>
    <s v="O001421"/>
    <x v="222"/>
    <x v="2"/>
    <x v="8"/>
    <s v="BBVA"/>
    <e v="#NAME?"/>
    <s v="NOSDA $ BAU (Mantenimiento y peq. evolutivos)"/>
    <n v="0.25"/>
    <s v="Desarrollador"/>
    <s v="Mainframe"/>
    <m/>
    <e v="#NAME?"/>
    <e v="#NAME?"/>
    <e v="#NAME?"/>
    <m/>
    <m/>
    <m/>
    <m/>
    <m/>
  </r>
  <r>
    <s v="O001720"/>
    <x v="223"/>
    <x v="2"/>
    <x v="8"/>
    <s v="BBVA"/>
    <e v="#NAME?"/>
    <s v="SDATOOL-28473 $ GRM Col - TMP Cobranzas - Módulo control acuerdos de pago"/>
    <n v="0.5"/>
    <s v="Desarrollador"/>
    <s v="Mainframe"/>
    <m/>
    <e v="#NAME?"/>
    <e v="#NAME?"/>
    <e v="#NAME?"/>
    <m/>
    <m/>
    <m/>
    <m/>
    <m/>
  </r>
  <r>
    <s v="O001720"/>
    <x v="223"/>
    <x v="2"/>
    <x v="8"/>
    <s v="BBVA"/>
    <e v="#NAME?"/>
    <s v="NOSDA $ BAU (Mantenimiento y peq. evolutivos)"/>
    <n v="0.25"/>
    <s v="Desarrollador"/>
    <s v="Mainframe"/>
    <m/>
    <e v="#NAME?"/>
    <e v="#NAME?"/>
    <e v="#NAME?"/>
    <m/>
    <m/>
    <m/>
    <m/>
    <m/>
  </r>
  <r>
    <s v="O001720"/>
    <x v="223"/>
    <x v="2"/>
    <x v="8"/>
    <s v="BBVA"/>
    <e v="#NAME?"/>
    <s v="SDATOOL-29029 $ EBA Guidelines (NDoD/PD/LGD) - Colombia"/>
    <n v="0.25"/>
    <s v="Desarrollador"/>
    <s v="Mainframe"/>
    <m/>
    <e v="#NAME?"/>
    <e v="#NAME?"/>
    <e v="#NAME?"/>
    <m/>
    <m/>
    <m/>
    <m/>
    <m/>
  </r>
  <r>
    <s v="T003443"/>
    <x v="224"/>
    <x v="2"/>
    <x v="8"/>
    <s v="Neoris"/>
    <e v="#NAME?"/>
    <s v="SDATOOL-28473 $ GRM Col - TMP Cobranzas - Módulo control acuerdos de pago"/>
    <n v="0.5"/>
    <s v="QA"/>
    <s v="Mainframe"/>
    <m/>
    <e v="#NAME?"/>
    <e v="#NAME?"/>
    <e v="#NAME?"/>
    <m/>
    <m/>
    <m/>
    <m/>
    <m/>
  </r>
  <r>
    <s v="T003443"/>
    <x v="224"/>
    <x v="2"/>
    <x v="8"/>
    <s v="Neoris"/>
    <e v="#NAME?"/>
    <s v="NOSDA $ BAU (Mantenimiento y peq. evolutivos)"/>
    <n v="0.4"/>
    <s v="QA"/>
    <s v="Mainframe"/>
    <m/>
    <e v="#NAME?"/>
    <e v="#NAME?"/>
    <e v="#NAME?"/>
    <m/>
    <m/>
    <m/>
    <m/>
    <m/>
  </r>
  <r>
    <s v="T003443"/>
    <x v="224"/>
    <x v="2"/>
    <x v="8"/>
    <s v="Neoris"/>
    <e v="#NAME?"/>
    <s v="SDATOOL-29029 $ EBA Guidelines (NDoD/PD/LGD) - Colombia"/>
    <n v="0.1"/>
    <s v="QA"/>
    <s v="Mainframe"/>
    <m/>
    <e v="#NAME?"/>
    <e v="#NAME?"/>
    <e v="#NAME?"/>
    <m/>
    <m/>
    <m/>
    <m/>
    <m/>
  </r>
  <r>
    <s v="C811301"/>
    <x v="225"/>
    <x v="2"/>
    <x v="8"/>
    <s v="BBVA"/>
    <e v="#NAME?"/>
    <s v="SDATOOL-28473 $ GRM Col - TMP Cobranzas - Módulo control acuerdos de pago"/>
    <n v="0.3"/>
    <s v="Tech Manager/Líder"/>
    <s v="Mainframe"/>
    <m/>
    <e v="#NAME?"/>
    <e v="#NAME?"/>
    <e v="#NAME?"/>
    <m/>
    <m/>
    <m/>
    <m/>
    <m/>
  </r>
  <r>
    <s v="C811301"/>
    <x v="225"/>
    <x v="2"/>
    <x v="8"/>
    <s v="BBVA"/>
    <e v="#NAME?"/>
    <s v="SDATOOL-40658 $ GRM Col - Cronos Collections - Estrategia"/>
    <n v="0.4"/>
    <s v="Tech Manager/Líder"/>
    <s v="Mainframe"/>
    <m/>
    <e v="#NAME?"/>
    <e v="#NAME?"/>
    <e v="#NAME?"/>
    <m/>
    <m/>
    <m/>
    <m/>
    <m/>
  </r>
  <r>
    <s v="C811301"/>
    <x v="225"/>
    <x v="2"/>
    <x v="8"/>
    <s v="BBVA"/>
    <e v="#NAME?"/>
    <s v="NOSDA $ BAU (Mantenimiento y peq. evolutivos)"/>
    <n v="0.2"/>
    <s v="Tech Manager/Líder"/>
    <s v="Mainframe"/>
    <m/>
    <e v="#NAME?"/>
    <e v="#NAME?"/>
    <e v="#NAME?"/>
    <m/>
    <m/>
    <m/>
    <m/>
    <m/>
  </r>
  <r>
    <s v="C811301"/>
    <x v="225"/>
    <x v="2"/>
    <x v="8"/>
    <s v="BBVA"/>
    <e v="#NAME?"/>
    <s v="SDATOOL-29029 $ EBA Guidelines (NDoD/PD/LGD) - Colombia"/>
    <n v="0.1"/>
    <s v="Tech Manager/Líder"/>
    <s v="Mainframe"/>
    <m/>
    <e v="#NAME?"/>
    <e v="#NAME?"/>
    <e v="#NAME?"/>
    <m/>
    <m/>
    <m/>
    <m/>
    <m/>
  </r>
  <r>
    <s v="C804706"/>
    <x v="226"/>
    <x v="2"/>
    <x v="8"/>
    <s v="BBVA"/>
    <e v="#NAME?"/>
    <s v="SDATOOL-40545 $ GRM Col - Mejoras Evolutivas de Aplicativos y Herramientas de Riesgos 2023"/>
    <n v="0.8"/>
    <s v="Desarrollador"/>
    <s v="Mainframe"/>
    <m/>
    <e v="#NAME?"/>
    <e v="#NAME?"/>
    <e v="#NAME?"/>
    <m/>
    <m/>
    <m/>
    <m/>
    <m/>
  </r>
  <r>
    <s v="C804706"/>
    <x v="226"/>
    <x v="2"/>
    <x v="8"/>
    <s v="BBVA"/>
    <e v="#NAME?"/>
    <s v="SDATOOL-42098 $ GRM Col CRONOS Batch - Campañas SMeS"/>
    <n v="0.2"/>
    <s v="Desarrollador"/>
    <s v="Mainframe"/>
    <m/>
    <e v="#NAME?"/>
    <e v="#NAME?"/>
    <e v="#NAME?"/>
    <m/>
    <m/>
    <m/>
    <m/>
    <m/>
  </r>
  <r>
    <s v="C808756"/>
    <x v="227"/>
    <x v="2"/>
    <x v="8"/>
    <s v="BBVA"/>
    <e v="#NAME?"/>
    <s v="SDATOOL-39836 $ Vivienda digital fase III"/>
    <n v="0.2"/>
    <s v="Desarrollador"/>
    <s v="Distribuido"/>
    <m/>
    <e v="#NAME?"/>
    <e v="#NAME?"/>
    <e v="#NAME?"/>
    <m/>
    <m/>
    <m/>
    <m/>
    <m/>
  </r>
  <r>
    <s v="C808756"/>
    <x v="227"/>
    <x v="2"/>
    <x v="8"/>
    <s v="BBVA"/>
    <e v="#NAME?"/>
    <s v="SDATOOL-40545 $ GRM Col - Mejoras Evolutivas de Aplicativos y Herramientas de Riesgos 2023"/>
    <n v="0.7"/>
    <s v="Desarrollador"/>
    <s v="Distribuido"/>
    <m/>
    <e v="#NAME?"/>
    <e v="#NAME?"/>
    <e v="#NAME?"/>
    <m/>
    <m/>
    <m/>
    <m/>
    <m/>
  </r>
  <r>
    <s v="C808756"/>
    <x v="227"/>
    <x v="2"/>
    <x v="8"/>
    <s v="BBVA"/>
    <e v="#NAME?"/>
    <s v="SDATOOL-41457 $ NGA - Colombia. EWS (ARCE)"/>
    <n v="0.1"/>
    <s v="Desarrollador"/>
    <s v="Distribuido"/>
    <m/>
    <e v="#NAME?"/>
    <e v="#NAME?"/>
    <e v="#NAME?"/>
    <m/>
    <m/>
    <m/>
    <m/>
    <m/>
  </r>
  <r>
    <s v="C809517"/>
    <x v="228"/>
    <x v="2"/>
    <x v="8"/>
    <s v="BBVA"/>
    <e v="#NAME?"/>
    <s v="SDATOOL-39836 $ Vivienda digital fase III"/>
    <n v="0.8"/>
    <s v="Desarrollador"/>
    <s v="Distribuido"/>
    <m/>
    <e v="#NAME?"/>
    <e v="#NAME?"/>
    <e v="#NAME?"/>
    <m/>
    <m/>
    <m/>
    <m/>
    <m/>
  </r>
  <r>
    <s v="C809517"/>
    <x v="228"/>
    <x v="2"/>
    <x v="8"/>
    <s v="BBVA"/>
    <e v="#NAME?"/>
    <s v="SDATOOL-39272 $ GRM-Col-Cambio servicio APL (Aportes en línea)"/>
    <n v="0.2"/>
    <s v="Desarrollador"/>
    <s v="Distribuido"/>
    <m/>
    <e v="#NAME?"/>
    <e v="#NAME?"/>
    <e v="#NAME?"/>
    <m/>
    <m/>
    <m/>
    <m/>
    <m/>
  </r>
  <r>
    <s v="C811315"/>
    <x v="229"/>
    <x v="2"/>
    <x v="8"/>
    <s v="BBVA"/>
    <e v="#NAME?"/>
    <s v="SDATOOL-39272 $ GRM-Col-Cambio servicio APL (Aportes en línea)"/>
    <n v="0.8"/>
    <s v="Desarrollador"/>
    <s v="Distribuido"/>
    <m/>
    <e v="#NAME?"/>
    <e v="#NAME?"/>
    <e v="#NAME?"/>
    <m/>
    <m/>
    <m/>
    <m/>
    <m/>
  </r>
  <r>
    <s v="C811315"/>
    <x v="229"/>
    <x v="2"/>
    <x v="8"/>
    <s v="BBVA"/>
    <e v="#NAME?"/>
    <s v="NOSDA $ BAU (Mantenimiento y peq. evolutivos)"/>
    <n v="0.2"/>
    <s v="Desarrollador"/>
    <s v="Distribuido"/>
    <m/>
    <e v="#NAME?"/>
    <e v="#NAME?"/>
    <e v="#NAME?"/>
    <m/>
    <m/>
    <m/>
    <m/>
    <m/>
  </r>
  <r>
    <s v="CE66885"/>
    <x v="230"/>
    <x v="2"/>
    <x v="8"/>
    <s v="Meraki"/>
    <e v="#NAME?"/>
    <s v="SDATOOL-39836 $ Vivienda digital fase III"/>
    <n v="0.5"/>
    <s v="Desarrollador"/>
    <s v="Distribuido"/>
    <m/>
    <e v="#NAME?"/>
    <e v="#NAME?"/>
    <e v="#NAME?"/>
    <m/>
    <m/>
    <m/>
    <m/>
    <m/>
  </r>
  <r>
    <s v="CE57060"/>
    <x v="231"/>
    <x v="2"/>
    <x v="8"/>
    <s v="GGI / CMC"/>
    <e v="#NAME?"/>
    <s v="SDATOOL-40545 $ GRM Col - Mejoras Evolutivas de Aplicativos y Herramientas de Riesgos 2023"/>
    <n v="0.5"/>
    <s v="QA"/>
    <s v="Distribuido"/>
    <m/>
    <e v="#NAME?"/>
    <e v="#NAME?"/>
    <e v="#NAME?"/>
    <m/>
    <m/>
    <m/>
    <m/>
    <m/>
  </r>
  <r>
    <s v="CE57060"/>
    <x v="231"/>
    <x v="2"/>
    <x v="8"/>
    <s v="GGI / CMC"/>
    <e v="#NAME?"/>
    <s v="SDATOOL-39836 $ Vivienda digital fase III"/>
    <n v="0.5"/>
    <s v="QA"/>
    <s v="Distribuido"/>
    <m/>
    <e v="#NAME?"/>
    <e v="#NAME?"/>
    <e v="#NAME?"/>
    <m/>
    <m/>
    <m/>
    <m/>
    <m/>
  </r>
  <r>
    <s v="T006700"/>
    <x v="232"/>
    <x v="2"/>
    <x v="8"/>
    <s v="Choucair"/>
    <e v="#NAME?"/>
    <s v="SDATOOL-39272 $ GRM-Col-Cambio servicio APL (Aportes en línea)"/>
    <n v="0.5"/>
    <s v="QA"/>
    <s v="Distribuido"/>
    <m/>
    <e v="#NAME?"/>
    <e v="#NAME?"/>
    <e v="#NAME?"/>
    <m/>
    <m/>
    <m/>
    <m/>
    <m/>
  </r>
  <r>
    <s v="T006700"/>
    <x v="232"/>
    <x v="2"/>
    <x v="8"/>
    <s v="Choucair"/>
    <e v="#NAME?"/>
    <s v="SDATOOL-40545 $ GRM Col - Mejoras Evolutivas de Aplicativos y Herramientas de Riesgos 2023"/>
    <n v="0.5"/>
    <s v="QA"/>
    <s v="Distribuido"/>
    <m/>
    <e v="#NAME?"/>
    <e v="#NAME?"/>
    <e v="#NAME?"/>
    <m/>
    <m/>
    <m/>
    <m/>
    <m/>
  </r>
  <r>
    <s v="C811280"/>
    <x v="233"/>
    <x v="2"/>
    <x v="8"/>
    <s v="BBVA"/>
    <e v="#NAME?"/>
    <s v="SDATOOL-39836 $ Vivienda digital fase III"/>
    <n v="0.25"/>
    <s v="Tech Manager/Líder"/>
    <s v="Distribuido"/>
    <m/>
    <e v="#NAME?"/>
    <e v="#NAME?"/>
    <e v="#NAME?"/>
    <m/>
    <m/>
    <m/>
    <m/>
    <m/>
  </r>
  <r>
    <s v="C811280"/>
    <x v="233"/>
    <x v="2"/>
    <x v="8"/>
    <s v="BBVA"/>
    <e v="#NAME?"/>
    <s v="SDATOOL-40545 $ GRM Col - Mejoras Evolutivas de Aplicativos y Herramientas de Riesgos 2023"/>
    <n v="0.4"/>
    <s v="Tech Manager/Líder"/>
    <s v="Distribuido"/>
    <m/>
    <e v="#NAME?"/>
    <e v="#NAME?"/>
    <e v="#NAME?"/>
    <m/>
    <m/>
    <m/>
    <m/>
    <m/>
  </r>
  <r>
    <s v="C811280"/>
    <x v="233"/>
    <x v="2"/>
    <x v="8"/>
    <s v="BBVA"/>
    <e v="#NAME?"/>
    <s v="SDATOOL-39272 $ GRM-Col-Cambio servicio APL (Aportes en línea)"/>
    <n v="0.25"/>
    <s v="Tech Manager/Líder"/>
    <s v="Distribuido"/>
    <m/>
    <e v="#NAME?"/>
    <e v="#NAME?"/>
    <e v="#NAME?"/>
    <m/>
    <m/>
    <m/>
    <m/>
    <m/>
  </r>
  <r>
    <s v="C811280"/>
    <x v="233"/>
    <x v="2"/>
    <x v="8"/>
    <s v="BBVA"/>
    <e v="#NAME?"/>
    <s v="SDATOOL-41457 $ NGA - Colombia. EWS (ARCE)"/>
    <n v="0.1"/>
    <s v="Tech Manager/Líder"/>
    <s v="Distribuido"/>
    <m/>
    <e v="#NAME?"/>
    <e v="#NAME?"/>
    <e v="#NAME?"/>
    <m/>
    <m/>
    <m/>
    <m/>
    <m/>
  </r>
  <r>
    <s v="O001828"/>
    <x v="234"/>
    <x v="2"/>
    <x v="8"/>
    <s v="BBVA"/>
    <e v="#NAME?"/>
    <s v="NOSDA $ BAU (Mantenimiento y peq. evolutivos)"/>
    <n v="1"/>
    <s v="Desarrollador"/>
    <s v="Mainframe"/>
    <m/>
    <e v="#NAME?"/>
    <e v="#NAME?"/>
    <e v="#NAME?"/>
    <m/>
    <m/>
    <m/>
    <m/>
    <m/>
  </r>
  <r>
    <s v="C811394"/>
    <x v="235"/>
    <x v="2"/>
    <x v="8"/>
    <s v="BBVA"/>
    <e v="#NAME?"/>
    <s v="NOSDA $ BAU (Mantenimiento y peq. evolutivos)"/>
    <n v="0.75"/>
    <s v="Desarrollador"/>
    <s v="Mainframe"/>
    <m/>
    <e v="#NAME?"/>
    <e v="#NAME?"/>
    <e v="#NAME?"/>
    <m/>
    <m/>
    <m/>
    <m/>
    <m/>
  </r>
  <r>
    <s v="C811394"/>
    <x v="235"/>
    <x v="2"/>
    <x v="8"/>
    <s v="BBVA"/>
    <e v="#NAME?"/>
    <s v="SDATOOL-40545 $ GRM Col - Mejoras Evolutivas de Aplicativos y Herramientas de Riesgos 2023"/>
    <n v="0.25"/>
    <s v="Desarrollador"/>
    <s v="Mainframe"/>
    <m/>
    <e v="#NAME?"/>
    <e v="#NAME?"/>
    <e v="#NAME?"/>
    <m/>
    <m/>
    <m/>
    <m/>
    <m/>
  </r>
  <r>
    <s v="O002998"/>
    <x v="236"/>
    <x v="2"/>
    <x v="8"/>
    <s v="BBVA"/>
    <e v="#NAME?"/>
    <s v="NOSDA $ BAU (Mantenimiento y peq. evolutivos)"/>
    <n v="1"/>
    <s v="Desarrollador"/>
    <s v="Distribuido"/>
    <m/>
    <e v="#NAME?"/>
    <e v="#NAME?"/>
    <e v="#NAME?"/>
    <m/>
    <m/>
    <m/>
    <m/>
    <m/>
  </r>
  <r>
    <s v="CE66758"/>
    <x v="237"/>
    <x v="2"/>
    <x v="8"/>
    <s v="Inetum"/>
    <e v="#NAME?"/>
    <s v="NOSDA $ BAU (Mantenimiento y peq. evolutivos)"/>
    <n v="1"/>
    <s v="Desarrollador"/>
    <s v="Mainframe"/>
    <m/>
    <e v="#NAME?"/>
    <e v="#NAME?"/>
    <e v="#NAME?"/>
    <m/>
    <m/>
    <m/>
    <m/>
    <m/>
  </r>
  <r>
    <s v="T004057"/>
    <x v="238"/>
    <x v="2"/>
    <x v="8"/>
    <s v="Inetum"/>
    <e v="#NAME?"/>
    <s v="NOSDA $ BAU (Mantenimiento y peq. evolutivos)"/>
    <n v="1"/>
    <s v="Desarrollador"/>
    <s v="Distribuido"/>
    <m/>
    <e v="#NAME?"/>
    <e v="#NAME?"/>
    <e v="#NAME?"/>
    <m/>
    <m/>
    <m/>
    <m/>
    <m/>
  </r>
  <r>
    <s v="C811251"/>
    <x v="239"/>
    <x v="2"/>
    <x v="8"/>
    <s v="BBVA"/>
    <e v="#NAME?"/>
    <s v="NOSDA $ BAU (Mantenimiento y peq. evolutivos)"/>
    <n v="1"/>
    <s v="Tech Manager/Líder"/>
    <s v="Otras Tec."/>
    <m/>
    <e v="#NAME?"/>
    <e v="#NAME?"/>
    <e v="#NAME?"/>
    <m/>
    <m/>
    <m/>
    <m/>
    <m/>
  </r>
  <r>
    <s v="T007576"/>
    <x v="240"/>
    <x v="2"/>
    <x v="8"/>
    <s v="Inetum"/>
    <e v="#NAME?"/>
    <s v="NOSDA $ BAU (Mantenimiento y peq. evolutivos)"/>
    <n v="0.5"/>
    <s v="Desarrollador"/>
    <s v="Distribuido"/>
    <m/>
    <e v="#NAME?"/>
    <e v="#NAME?"/>
    <e v="#NAME?"/>
    <m/>
    <m/>
    <m/>
    <m/>
    <m/>
  </r>
  <r>
    <s v="O001037"/>
    <x v="241"/>
    <x v="2"/>
    <x v="8"/>
    <s v="BBVA"/>
    <e v="#NAME?"/>
    <s v="SDATOOL-41203 $ Obsolescencia Aplicativa 2023"/>
    <n v="0.5"/>
    <s v="Desarrollador"/>
    <s v="Distribuido"/>
    <m/>
    <e v="#NAME?"/>
    <e v="#NAME?"/>
    <e v="#NAME?"/>
    <m/>
    <m/>
    <m/>
    <m/>
    <m/>
  </r>
  <r>
    <s v="O001037"/>
    <x v="241"/>
    <x v="2"/>
    <x v="8"/>
    <s v="BBVA"/>
    <e v="#NAME?"/>
    <s v="SDATOOL-42098 $ GRM Col CRONOS Batch - Campañas SMeS"/>
    <n v="0.5"/>
    <s v="Desarrollador"/>
    <s v="Distribuido"/>
    <m/>
    <e v="#NAME?"/>
    <e v="#NAME?"/>
    <e v="#NAME?"/>
    <m/>
    <m/>
    <m/>
    <m/>
    <m/>
  </r>
  <r>
    <s v="C805314"/>
    <x v="242"/>
    <x v="2"/>
    <x v="8"/>
    <s v="BBVA"/>
    <e v="#NAME?"/>
    <s v="SDATOOL-29029 $ EBA Guidelines (NDoD/PD/LGD) - Colombia"/>
    <n v="0.9"/>
    <s v="Desarrollador"/>
    <s v="Distribuido"/>
    <m/>
    <e v="#NAME?"/>
    <e v="#NAME?"/>
    <e v="#NAME?"/>
    <m/>
    <m/>
    <m/>
    <m/>
    <m/>
  </r>
  <r>
    <s v="C805314"/>
    <x v="242"/>
    <x v="2"/>
    <x v="8"/>
    <s v="BBVA"/>
    <e v="#NAME?"/>
    <s v="SDATOOL-29029 $ EBA Guidelines (NDoD/PD/LGD) - Colombia"/>
    <n v="0.1"/>
    <s v="Desarrollador"/>
    <s v="Distribuido"/>
    <m/>
    <e v="#NAME?"/>
    <e v="#NAME?"/>
    <e v="#NAME?"/>
    <m/>
    <m/>
    <m/>
    <m/>
    <m/>
  </r>
  <r>
    <s v="CE68712"/>
    <x v="173"/>
    <x v="2"/>
    <x v="8"/>
    <s v="BLUETAB"/>
    <e v="#NAME?"/>
    <s v="SDATOOL-29029 $ EBA Guidelines (NDoD/PD/LGD) - Colombia"/>
    <n v="0.3"/>
    <s v="Desarrollador"/>
    <s v="Otras Tec."/>
    <m/>
    <e v="#NAME?"/>
    <e v="#NAME?"/>
    <e v="#NAME?"/>
    <m/>
    <m/>
    <m/>
    <m/>
    <m/>
  </r>
  <r>
    <s v="CE57396"/>
    <x v="174"/>
    <x v="2"/>
    <x v="8"/>
    <s v="BLUETAB"/>
    <e v="#NAME?"/>
    <s v="SDATOOL-29029 $ EBA Guidelines (NDoD/PD/LGD) - Colombia"/>
    <n v="0.3"/>
    <s v="Desarrollador"/>
    <s v="Otras Tec."/>
    <m/>
    <e v="#NAME?"/>
    <e v="#NAME?"/>
    <e v="#NAME?"/>
    <m/>
    <m/>
    <m/>
    <m/>
    <m/>
  </r>
  <r>
    <s v="O002482"/>
    <x v="243"/>
    <x v="2"/>
    <x v="8"/>
    <s v="BBVA"/>
    <e v="#NAME?"/>
    <s v="SDATOOL-39272 $ GRM-Col-Cambio servicio APL (Aportes en línea)"/>
    <n v="0.5"/>
    <s v="Desarrollador"/>
    <s v="Distribuido"/>
    <m/>
    <e v="#NAME?"/>
    <e v="#NAME?"/>
    <e v="#NAME?"/>
    <m/>
    <m/>
    <m/>
    <m/>
    <m/>
  </r>
  <r>
    <s v="O002482"/>
    <x v="243"/>
    <x v="2"/>
    <x v="8"/>
    <s v="BBVA"/>
    <e v="#NAME?"/>
    <s v="SDATOOL-39463 $ GRM Col - Actualización Versión Power Curve."/>
    <n v="0.5"/>
    <s v="Desarrollador"/>
    <s v="Distribuido"/>
    <m/>
    <e v="#NAME?"/>
    <e v="#NAME?"/>
    <e v="#NAME?"/>
    <m/>
    <m/>
    <m/>
    <m/>
    <m/>
  </r>
  <r>
    <s v="C811279"/>
    <x v="244"/>
    <x v="2"/>
    <x v="8"/>
    <s v="BBVA"/>
    <e v="#NAME?"/>
    <s v="SDATOOL-41203 $ Obsolescencia Aplicativa 2023"/>
    <n v="0.3"/>
    <s v="Tech Manager/Líder"/>
    <s v="Distribuido"/>
    <m/>
    <e v="#NAME?"/>
    <e v="#NAME?"/>
    <e v="#NAME?"/>
    <m/>
    <m/>
    <m/>
    <m/>
    <m/>
  </r>
  <r>
    <s v="C811279"/>
    <x v="244"/>
    <x v="2"/>
    <x v="8"/>
    <s v="BBVA"/>
    <e v="#NAME?"/>
    <s v="SDATOOL-29029 $ EBA Guidelines (NDoD/PD/LGD) - Colombia"/>
    <n v="0.3"/>
    <s v="Tech Manager/Líder"/>
    <s v="Distribuido"/>
    <m/>
    <e v="#NAME?"/>
    <e v="#NAME?"/>
    <e v="#NAME?"/>
    <m/>
    <m/>
    <m/>
    <m/>
    <m/>
  </r>
  <r>
    <s v="C811279"/>
    <x v="244"/>
    <x v="2"/>
    <x v="8"/>
    <s v="BBVA"/>
    <e v="#NAME?"/>
    <s v="SDATOOL-39272 $ GRM-Col-Cambio servicio APL (Aportes en línea)"/>
    <n v="0.3"/>
    <s v="Tech Manager/Líder"/>
    <s v="Distribuido"/>
    <m/>
    <e v="#NAME?"/>
    <e v="#NAME?"/>
    <e v="#NAME?"/>
    <m/>
    <m/>
    <m/>
    <m/>
    <m/>
  </r>
  <r>
    <s v="C811279"/>
    <x v="244"/>
    <x v="2"/>
    <x v="8"/>
    <s v="BBVA"/>
    <e v="#NAME?"/>
    <s v="NOSDA $ BAU (Mantenimiento y peq. evolutivos)"/>
    <n v="0.1"/>
    <s v="Tech Manager/Líder"/>
    <s v="Distribuido"/>
    <m/>
    <e v="#NAME?"/>
    <e v="#NAME?"/>
    <e v="#NAME?"/>
    <m/>
    <m/>
    <m/>
    <m/>
    <m/>
  </r>
  <r>
    <s v="C805717"/>
    <x v="245"/>
    <x v="0"/>
    <x v="10"/>
    <s v="BBVA"/>
    <e v="#NAME?"/>
    <s v="SDATOOL-39354 $ My business Open Pay - Plan Ascenso Mercurio"/>
    <n v="1"/>
    <s v="Desarrollador"/>
    <s v="ASO"/>
    <s v="Interno"/>
    <e v="#NAME?"/>
    <e v="#NAME?"/>
    <e v="#NAME?"/>
    <m/>
    <m/>
    <m/>
    <m/>
    <m/>
  </r>
  <r>
    <s v="C810865"/>
    <x v="246"/>
    <x v="0"/>
    <x v="10"/>
    <s v="BBVA"/>
    <e v="#NAME?"/>
    <s v="SDATOOL-41930 $ FX en GEMA"/>
    <n v="1"/>
    <s v="Desarrollador"/>
    <s v="Cells"/>
    <s v="Interno"/>
    <e v="#NAME?"/>
    <e v="#NAME?"/>
    <e v="#NAME?"/>
    <m/>
    <m/>
    <m/>
    <m/>
    <m/>
  </r>
  <r>
    <s v="CE68863"/>
    <x v="247"/>
    <x v="0"/>
    <x v="10"/>
    <s v="GGI / CMC"/>
    <e v="#NAME?"/>
    <s v="SDATOOL-40676 $ Contratación y uso de mPOS desde APPs BBVA"/>
    <n v="1"/>
    <s v="QA"/>
    <s v="Distribuido"/>
    <s v="Externo"/>
    <e v="#NAME?"/>
    <e v="#NAME?"/>
    <e v="#NAME?"/>
    <m/>
    <m/>
    <m/>
    <m/>
    <m/>
  </r>
  <r>
    <s v="CE68333"/>
    <x v="248"/>
    <x v="0"/>
    <x v="10"/>
    <s v="GGI / CMC"/>
    <e v="#NAME?"/>
    <s v="SDATOOL-32905 $ Global Enterprises Mobile App (GEMA)"/>
    <n v="1"/>
    <s v="QA"/>
    <s v="Distribuido"/>
    <s v="Externo"/>
    <e v="#NAME?"/>
    <e v="#NAME?"/>
    <e v="#NAME?"/>
    <m/>
    <m/>
    <m/>
    <m/>
    <m/>
  </r>
  <r>
    <s v="C811398"/>
    <x v="249"/>
    <x v="0"/>
    <x v="10"/>
    <s v="BBVA"/>
    <e v="#NAME?"/>
    <s v="SDATOOL-39354 $ My business Open Pay - Plan Ascenso Mercurio"/>
    <n v="1"/>
    <s v="Desarrollador"/>
    <s v="Cells"/>
    <s v="Interno"/>
    <e v="#NAME?"/>
    <e v="#NAME?"/>
    <e v="#NAME?"/>
    <m/>
    <m/>
    <m/>
    <m/>
    <m/>
  </r>
  <r>
    <s v="CE48026"/>
    <x v="250"/>
    <x v="0"/>
    <x v="10"/>
    <s v="Novatec"/>
    <e v="#NAME?"/>
    <s v="SDATOOL-39354 $ My business Open Pay - Plan Ascenso Mercurio"/>
    <n v="1"/>
    <s v="Desarrollador"/>
    <s v="ASO"/>
    <s v="Externo"/>
    <e v="#NAME?"/>
    <e v="#NAME?"/>
    <e v="#NAME?"/>
    <m/>
    <m/>
    <m/>
    <m/>
    <m/>
  </r>
  <r>
    <s v="CE62622"/>
    <x v="251"/>
    <x v="0"/>
    <x v="10"/>
    <s v="Novatec"/>
    <e v="#NAME?"/>
    <s v="SDATOOL-41930 $ FX en GEMA"/>
    <n v="1"/>
    <s v="Desarrollador"/>
    <s v="ASO"/>
    <s v="Externo"/>
    <e v="#NAME?"/>
    <e v="#NAME?"/>
    <e v="#NAME?"/>
    <m/>
    <m/>
    <m/>
    <m/>
    <m/>
  </r>
  <r>
    <s v="CE68193"/>
    <x v="252"/>
    <x v="0"/>
    <x v="10"/>
    <s v="Choucair"/>
    <e v="#NAME?"/>
    <s v="SDATOOL-41930 $ FX en GEMA"/>
    <n v="1"/>
    <s v="QA"/>
    <s v="ASO"/>
    <s v="Externo"/>
    <e v="#NAME?"/>
    <e v="#NAME?"/>
    <e v="#NAME?"/>
    <m/>
    <m/>
    <m/>
    <m/>
    <m/>
  </r>
  <r>
    <s v="CE65559"/>
    <x v="253"/>
    <x v="0"/>
    <x v="10"/>
    <s v="Neoris"/>
    <e v="#NAME?"/>
    <s v="SDATOOL-32905 $ Global Enterprises Mobile App (GEMA)"/>
    <n v="1"/>
    <s v="Desarrollador"/>
    <s v="ASO"/>
    <s v="Externo"/>
    <e v="#NAME?"/>
    <e v="#NAME?"/>
    <e v="#NAME?"/>
    <m/>
    <m/>
    <m/>
    <m/>
    <m/>
  </r>
  <r>
    <s v="C811355"/>
    <x v="254"/>
    <x v="0"/>
    <x v="10"/>
    <s v="BBVA"/>
    <e v="#NAME?"/>
    <s v="SDATOOL-39354 $ My business Open Pay - Plan Ascenso Mercurio"/>
    <n v="1"/>
    <s v="Desarrollador"/>
    <s v="APX"/>
    <s v="Interno"/>
    <e v="#NAME?"/>
    <e v="#NAME?"/>
    <e v="#NAME?"/>
    <m/>
    <m/>
    <m/>
    <m/>
    <m/>
  </r>
  <r>
    <s v="T007488"/>
    <x v="255"/>
    <x v="0"/>
    <x v="10"/>
    <s v="Indra"/>
    <e v="#NAME?"/>
    <s v="SDATOOL-41930 $ FX en GEMA"/>
    <n v="1"/>
    <s v="Desarrollador"/>
    <s v="APX"/>
    <s v="Externo"/>
    <e v="#NAME?"/>
    <e v="#NAME?"/>
    <e v="#NAME?"/>
    <m/>
    <m/>
    <m/>
    <m/>
    <m/>
  </r>
  <r>
    <s v="CE57488"/>
    <x v="256"/>
    <x v="0"/>
    <x v="10"/>
    <s v="Indra"/>
    <e v="#NAME?"/>
    <s v="SDATOOL-41930 $ FX en GEMA"/>
    <n v="1"/>
    <s v="Desarrollador"/>
    <s v="ASO"/>
    <s v="Externo"/>
    <e v="#NAME?"/>
    <e v="#NAME?"/>
    <e v="#NAME?"/>
    <m/>
    <m/>
    <m/>
    <m/>
    <m/>
  </r>
  <r>
    <s v="T011800"/>
    <x v="257"/>
    <x v="0"/>
    <x v="10"/>
    <s v="Novatec"/>
    <e v="#NAME?"/>
    <s v="SDATOOL-42211 $ Onboarding cash management Netcash/Gema"/>
    <n v="1"/>
    <s v="Desarrollador"/>
    <s v="Mainframe"/>
    <s v="Externo"/>
    <e v="#NAME?"/>
    <e v="#NAME?"/>
    <e v="#NAME?"/>
    <m/>
    <m/>
    <m/>
    <m/>
    <m/>
  </r>
  <r>
    <s v="T011110"/>
    <x v="258"/>
    <x v="0"/>
    <x v="10"/>
    <s v="Indra"/>
    <e v="#NAME?"/>
    <s v="SDATOOL-41930 $ FX en GEMA"/>
    <n v="1"/>
    <s v="Desarrollador"/>
    <s v="Cells"/>
    <s v="Externo"/>
    <e v="#NAME?"/>
    <e v="#NAME?"/>
    <e v="#NAME?"/>
    <m/>
    <m/>
    <m/>
    <m/>
    <m/>
  </r>
  <r>
    <s v="CE29535"/>
    <x v="259"/>
    <x v="0"/>
    <x v="10"/>
    <s v="Inetum"/>
    <e v="#NAME?"/>
    <s v="SDATOOL-39354 $ My business Open Pay - Plan Ascenso Mercurio"/>
    <n v="1"/>
    <s v="Desarrollador"/>
    <s v="Distribuido"/>
    <s v="Externo"/>
    <e v="#NAME?"/>
    <e v="#NAME?"/>
    <e v="#NAME?"/>
    <m/>
    <m/>
    <m/>
    <m/>
    <m/>
  </r>
  <r>
    <s v="C783731"/>
    <x v="260"/>
    <x v="0"/>
    <x v="10"/>
    <s v="BBVA"/>
    <e v="#NAME?"/>
    <s v="SDATOOL-39354 $ My business Open Pay - Plan Ascenso Mercurio"/>
    <n v="0.5"/>
    <s v="Tech Manager/Líder"/>
    <s v="Mainframe"/>
    <s v="Interno"/>
    <e v="#NAME?"/>
    <e v="#NAME?"/>
    <e v="#NAME?"/>
    <m/>
    <m/>
    <m/>
    <m/>
    <m/>
  </r>
  <r>
    <s v="C783731"/>
    <x v="260"/>
    <x v="0"/>
    <x v="10"/>
    <s v="BBVA"/>
    <e v="#NAME?"/>
    <s v="SDATOOL-40676 $ Contratación y uso de mPOS desde APPs BBVA"/>
    <n v="0.5"/>
    <s v="Tech Manager/Líder"/>
    <s v="Mainframe"/>
    <s v="Interno"/>
    <e v="#NAME?"/>
    <e v="#NAME?"/>
    <e v="#NAME?"/>
    <m/>
    <m/>
    <m/>
    <m/>
    <m/>
  </r>
  <r>
    <s v="CE30639"/>
    <x v="261"/>
    <x v="0"/>
    <x v="10"/>
    <s v="GGI / CMC"/>
    <e v="#NAME?"/>
    <s v="SDATOOL-42211 $ Onboarding cash management Netcash/Gema"/>
    <n v="0.5"/>
    <s v="QA"/>
    <s v="Distribuido"/>
    <s v="Externo"/>
    <e v="#NAME?"/>
    <e v="#NAME?"/>
    <e v="#NAME?"/>
    <m/>
    <m/>
    <m/>
    <m/>
    <m/>
  </r>
  <r>
    <s v="CE30639"/>
    <x v="261"/>
    <x v="0"/>
    <x v="10"/>
    <s v="GGI / CMC"/>
    <e v="#NAME?"/>
    <s v="SDATOOL-32905 $ Global Enterprises Mobile App (GEMA)"/>
    <n v="0.5"/>
    <s v="QA"/>
    <s v="Distribuido"/>
    <s v="Externo"/>
    <e v="#NAME?"/>
    <e v="#NAME?"/>
    <e v="#NAME?"/>
    <m/>
    <m/>
    <m/>
    <m/>
    <m/>
  </r>
  <r>
    <s v="XP60574"/>
    <x v="262"/>
    <x v="0"/>
    <x v="10"/>
    <s v="Indra"/>
    <e v="#NAME?"/>
    <s v="SDATOOL-41930 $ FX en GEMA"/>
    <n v="1"/>
    <s v="Desarrollador"/>
    <s v="Cells"/>
    <s v="Externo"/>
    <e v="#NAME?"/>
    <e v="#NAME?"/>
    <e v="#NAME?"/>
    <m/>
    <m/>
    <m/>
    <m/>
    <m/>
  </r>
  <r>
    <s v="CE70178 "/>
    <x v="263"/>
    <x v="0"/>
    <x v="10"/>
    <s v="Neoris"/>
    <e v="#NAME?"/>
    <s v="SDATOOL-39354 $ My business Open Pay - Plan Ascenso Mercurio"/>
    <n v="1"/>
    <s v="Desarrollador"/>
    <s v="APX"/>
    <s v="Externo"/>
    <e v="#NAME?"/>
    <e v="#NAME?"/>
    <e v="#NAME?"/>
    <m/>
    <m/>
    <m/>
    <m/>
    <m/>
  </r>
  <r>
    <s v="T007666"/>
    <x v="264"/>
    <x v="0"/>
    <x v="10"/>
    <s v="GGI / CMC"/>
    <e v="#NAME?"/>
    <s v="SDATOOL-41930 $ FX en GEMA"/>
    <n v="1"/>
    <s v="Desarrollador"/>
    <s v="Distribuido"/>
    <s v="Externo"/>
    <e v="#NAME?"/>
    <e v="#NAME?"/>
    <e v="#NAME?"/>
    <m/>
    <m/>
    <m/>
    <m/>
    <m/>
  </r>
  <r>
    <s v="C811395"/>
    <x v="265"/>
    <x v="0"/>
    <x v="10"/>
    <s v="BBVA"/>
    <e v="#NAME?"/>
    <s v="SDATOOL-41930 $ FX en GEMA"/>
    <n v="1"/>
    <s v="Desarrollador"/>
    <s v="APX"/>
    <s v="Interno"/>
    <e v="#NAME?"/>
    <e v="#NAME?"/>
    <e v="#NAME?"/>
    <m/>
    <m/>
    <m/>
    <m/>
    <m/>
  </r>
  <r>
    <s v="C810827"/>
    <x v="266"/>
    <x v="0"/>
    <x v="10"/>
    <s v="BBVA"/>
    <e v="#NAME?"/>
    <s v="SDATOOL-41930 $ FX en GEMA"/>
    <n v="1"/>
    <s v="Tech Manager/Líder"/>
    <s v="ASO"/>
    <s v="Interno"/>
    <e v="#NAME?"/>
    <e v="#NAME?"/>
    <e v="#NAME?"/>
    <m/>
    <m/>
    <m/>
    <m/>
    <m/>
  </r>
  <r>
    <s v="C805746"/>
    <x v="267"/>
    <x v="0"/>
    <x v="10"/>
    <s v="BBVA"/>
    <e v="#NAME?"/>
    <s v="SDATOOL-42211 $ Onboarding cash management Netcash/Gema"/>
    <n v="1"/>
    <s v="Tech Manager/Líder"/>
    <s v="Mainframe"/>
    <s v="Interno"/>
    <e v="#NAME?"/>
    <e v="#NAME?"/>
    <e v="#NAME?"/>
    <m/>
    <m/>
    <m/>
    <m/>
    <m/>
  </r>
  <r>
    <s v="C804121"/>
    <x v="268"/>
    <x v="0"/>
    <x v="10"/>
    <s v="BBVA"/>
    <e v="#NAME?"/>
    <s v="SDATOOL-42211 $ Onboarding cash management Netcash/Gema"/>
    <n v="0.5"/>
    <s v="Tech Manager/Líder"/>
    <s v="APX"/>
    <s v="Interno"/>
    <e v="#NAME?"/>
    <e v="#NAME?"/>
    <e v="#NAME?"/>
    <m/>
    <m/>
    <m/>
    <m/>
    <m/>
  </r>
  <r>
    <s v="C804121"/>
    <x v="268"/>
    <x v="0"/>
    <x v="10"/>
    <s v="BBVA"/>
    <e v="#NAME?"/>
    <s v="NOSDA $ BAU (Mantenimiento y peq. evolutivos)"/>
    <n v="0.5"/>
    <s v="Otros"/>
    <s v="APX"/>
    <m/>
    <e v="#NAME?"/>
    <e v="#NAME?"/>
    <e v="#NAME?"/>
    <m/>
    <m/>
    <m/>
    <m/>
    <m/>
  </r>
  <r>
    <s v="C811232"/>
    <x v="269"/>
    <x v="0"/>
    <x v="10"/>
    <s v="BBVA"/>
    <e v="#NAME?"/>
    <s v="SDATOOL-40676 $ Contratación y uso de mPOS desde APPs BBVA"/>
    <n v="1"/>
    <s v="Desarrollador"/>
    <s v="Cells"/>
    <m/>
    <e v="#NAME?"/>
    <e v="#NAME?"/>
    <e v="#NAME?"/>
    <m/>
    <m/>
    <m/>
    <m/>
    <m/>
  </r>
  <r>
    <s v="C811390"/>
    <x v="270"/>
    <x v="0"/>
    <x v="10"/>
    <s v="BBVA"/>
    <e v="#NAME?"/>
    <s v="NOSDA $ BAU (Mantenimiento y peq. evolutivos)"/>
    <n v="1"/>
    <s v="Desarrollador"/>
    <s v="Mainframe"/>
    <m/>
    <e v="#NAME?"/>
    <e v="#NAME?"/>
    <e v="#NAME?"/>
    <m/>
    <m/>
    <m/>
    <m/>
    <m/>
  </r>
  <r>
    <s v="O002008"/>
    <x v="271"/>
    <x v="0"/>
    <x v="10"/>
    <s v="BBVA"/>
    <e v="#NAME?"/>
    <s v="SDATOOL-40676 $ Contratación y uso de mPOS desde APPs BBVA"/>
    <n v="1"/>
    <s v="Tech Manager/Líder"/>
    <s v="ASO"/>
    <m/>
    <e v="#NAME?"/>
    <e v="#NAME?"/>
    <e v="#NAME?"/>
    <m/>
    <m/>
    <m/>
    <m/>
    <m/>
  </r>
  <r>
    <s v="O001644"/>
    <x v="272"/>
    <x v="0"/>
    <x v="10"/>
    <s v="BBVA"/>
    <e v="#NAME?"/>
    <s v="NOSDA $ BAU (Mantenimiento y peq. evolutivos)"/>
    <n v="1"/>
    <s v="Desarrollador"/>
    <s v="Cells"/>
    <m/>
    <e v="#NAME?"/>
    <e v="#NAME?"/>
    <e v="#NAME?"/>
    <m/>
    <m/>
    <m/>
    <m/>
    <m/>
  </r>
  <r>
    <s v="O004968"/>
    <x v="273"/>
    <x v="0"/>
    <x v="10"/>
    <s v="BBVA"/>
    <e v="#NAME?"/>
    <s v="NOSDA $ BAU (Mantenimiento y peq. evolutivos)"/>
    <n v="1"/>
    <s v="Desarrollador"/>
    <s v="ASO"/>
    <m/>
    <e v="#NAME?"/>
    <e v="#NAME?"/>
    <e v="#NAME?"/>
    <m/>
    <m/>
    <m/>
    <m/>
    <m/>
  </r>
  <r>
    <s v="T011807"/>
    <x v="274"/>
    <x v="0"/>
    <x v="10"/>
    <s v="Novatec"/>
    <e v="#NAME?"/>
    <s v="SDATOOL-42211 $ Onboarding cash management Netcash/Gema"/>
    <n v="0.1"/>
    <s v="Otros"/>
    <s v="Otras Tec."/>
    <m/>
    <e v="#NAME?"/>
    <e v="#NAME?"/>
    <e v="#NAME?"/>
    <m/>
    <m/>
    <m/>
    <m/>
    <m/>
  </r>
  <r>
    <s v="T011807"/>
    <x v="274"/>
    <x v="0"/>
    <x v="10"/>
    <s v="Novatec"/>
    <e v="#NAME?"/>
    <s v="SDATOOL-41930 $ FX en GEMA"/>
    <n v="0.15"/>
    <s v="Otros"/>
    <s v="Otras Tec."/>
    <m/>
    <e v="#NAME?"/>
    <e v="#NAME?"/>
    <e v="#NAME?"/>
    <m/>
    <m/>
    <m/>
    <m/>
    <m/>
  </r>
  <r>
    <s v="T011807"/>
    <x v="274"/>
    <x v="0"/>
    <x v="10"/>
    <s v="Novatec"/>
    <e v="#NAME?"/>
    <s v="SDATOOL-39354 $ My business Open Pay - Plan Ascenso Mercurio"/>
    <n v="0.15"/>
    <s v="Otros"/>
    <s v="Otras Tec."/>
    <m/>
    <e v="#NAME?"/>
    <e v="#NAME?"/>
    <e v="#NAME?"/>
    <m/>
    <m/>
    <m/>
    <m/>
    <m/>
  </r>
  <r>
    <s v="T011807"/>
    <x v="274"/>
    <x v="0"/>
    <x v="10"/>
    <s v="Novatec"/>
    <e v="#NAME?"/>
    <s v="SDATOOL-40676 $ Contratación y uso de mPOS desde APPs BBVA"/>
    <n v="0.15"/>
    <s v="Otros"/>
    <s v="Otras Tec."/>
    <m/>
    <e v="#NAME?"/>
    <e v="#NAME?"/>
    <e v="#NAME?"/>
    <m/>
    <m/>
    <m/>
    <m/>
    <m/>
  </r>
  <r>
    <s v="T011807"/>
    <x v="274"/>
    <x v="0"/>
    <x v="3"/>
    <s v="Novatec"/>
    <e v="#NAME?"/>
    <s v="SDATOOL-40457 $ SENDA (Base)"/>
    <n v="0.15"/>
    <s v="Otros"/>
    <s v="Otras Tec."/>
    <m/>
    <e v="#NAME?"/>
    <e v="#NAME?"/>
    <e v="#NAME?"/>
    <m/>
    <m/>
    <m/>
    <m/>
    <m/>
  </r>
  <r>
    <s v="T011807"/>
    <x v="274"/>
    <x v="0"/>
    <x v="3"/>
    <s v="Novatec"/>
    <e v="#NAME?"/>
    <s v="SDATOOL-40528 $ ETPB - SENDA PAGOS"/>
    <n v="0.15"/>
    <s v="Otros"/>
    <s v="Otras Tec."/>
    <m/>
    <e v="#NAME?"/>
    <e v="#NAME?"/>
    <e v="#NAME?"/>
    <m/>
    <m/>
    <m/>
    <m/>
    <m/>
  </r>
  <r>
    <s v="T011807"/>
    <x v="274"/>
    <x v="0"/>
    <x v="10"/>
    <s v="Novatec"/>
    <e v="#NAME?"/>
    <s v="SDATOOL-41750 $ Single APP"/>
    <n v="0.15"/>
    <s v="Otros"/>
    <s v="Otras Tec."/>
    <m/>
    <e v="#NAME?"/>
    <e v="#NAME?"/>
    <e v="#NAME?"/>
    <m/>
    <m/>
    <m/>
    <m/>
    <m/>
  </r>
  <r>
    <s v="CE51863"/>
    <x v="275"/>
    <x v="0"/>
    <x v="10"/>
    <s v="KRYPTO"/>
    <e v="#NAME?"/>
    <s v="SDATOOL-42211 $ Onboarding cash management Netcash/Gema"/>
    <n v="7.0000000000000007E-2"/>
    <s v="QA"/>
    <s v="Distribuido"/>
    <s v="QC"/>
    <e v="#NAME?"/>
    <e v="#NAME?"/>
    <e v="#NAME?"/>
    <e v="#N/A"/>
    <e v="#N/A"/>
    <e v="#REF!"/>
    <m/>
    <m/>
  </r>
  <r>
    <s v="CE51863"/>
    <x v="275"/>
    <x v="0"/>
    <x v="10"/>
    <s v="KRYPTO"/>
    <e v="#NAME?"/>
    <s v="SDATOOL-41930 $ FX en GEMA"/>
    <n v="7.0000000000000007E-2"/>
    <s v="QA"/>
    <s v="Distribuido"/>
    <s v="QC"/>
    <e v="#NAME?"/>
    <e v="#NAME?"/>
    <e v="#NAME?"/>
    <e v="#N/A"/>
    <e v="#N/A"/>
    <e v="#REF!"/>
    <m/>
    <m/>
  </r>
  <r>
    <s v="CE51863"/>
    <x v="275"/>
    <x v="0"/>
    <x v="10"/>
    <s v="KRYPTO"/>
    <e v="#NAME?"/>
    <s v="SDATOOL-39354 $ My business Open Pay - Plan Ascenso Mercurio"/>
    <n v="7.0000000000000007E-2"/>
    <s v="QA"/>
    <s v="Distribuido"/>
    <s v="QC"/>
    <e v="#NAME?"/>
    <e v="#NAME?"/>
    <e v="#NAME?"/>
    <e v="#N/A"/>
    <e v="#N/A"/>
    <e v="#REF!"/>
    <m/>
    <m/>
  </r>
  <r>
    <s v="CE51863"/>
    <x v="275"/>
    <x v="0"/>
    <x v="10"/>
    <s v="KRYPTO"/>
    <e v="#NAME?"/>
    <s v="SDATOOL-40676 $ Contratación y uso de mPOS desde APPs BBVA"/>
    <n v="7.0000000000000007E-2"/>
    <s v="QA"/>
    <s v="Distribuido"/>
    <s v="QC"/>
    <e v="#NAME?"/>
    <e v="#NAME?"/>
    <e v="#NAME?"/>
    <e v="#N/A"/>
    <e v="#N/A"/>
    <e v="#REF!"/>
    <m/>
    <m/>
  </r>
  <r>
    <s v="CE51863"/>
    <x v="275"/>
    <x v="0"/>
    <x v="3"/>
    <s v="KRYPTO"/>
    <e v="#NAME?"/>
    <s v="SDATOOL-40457 $ SENDA (Base)"/>
    <n v="7.0000000000000007E-2"/>
    <s v="QA"/>
    <s v="Distribuido"/>
    <s v="QC"/>
    <e v="#NAME?"/>
    <e v="#NAME?"/>
    <e v="#NAME?"/>
    <e v="#N/A"/>
    <e v="#N/A"/>
    <e v="#REF!"/>
    <m/>
    <m/>
  </r>
  <r>
    <s v="CE51863"/>
    <x v="275"/>
    <x v="0"/>
    <x v="3"/>
    <s v="KRYPTO"/>
    <e v="#NAME?"/>
    <s v="SDATOOL-40528 $ ETPB - SENDA PAGOS"/>
    <n v="7.0000000000000007E-2"/>
    <s v="QA"/>
    <s v="Distribuido"/>
    <s v="QC"/>
    <e v="#NAME?"/>
    <e v="#NAME?"/>
    <e v="#NAME?"/>
    <e v="#N/A"/>
    <e v="#N/A"/>
    <e v="#REF!"/>
    <m/>
    <m/>
  </r>
  <r>
    <s v="CE51863"/>
    <x v="275"/>
    <x v="0"/>
    <x v="10"/>
    <s v="KRYPTO"/>
    <e v="#NAME?"/>
    <s v="SDATOOL-41750 $ Single APP"/>
    <n v="7.0000000000000007E-2"/>
    <s v="QA"/>
    <s v="Distribuido"/>
    <s v="QC"/>
    <e v="#NAME?"/>
    <e v="#NAME?"/>
    <e v="#NAME?"/>
    <e v="#N/A"/>
    <e v="#N/A"/>
    <e v="#REF!"/>
    <m/>
    <m/>
  </r>
  <r>
    <s v="CE65205"/>
    <x v="276"/>
    <x v="0"/>
    <x v="10"/>
    <s v="GGI / CMC"/>
    <e v="#NAME?"/>
    <s v="SDATOOL-41930 $ FX en GEMA"/>
    <n v="0.1"/>
    <s v="Otros"/>
    <s v="Distribuido"/>
    <s v="Despliegues"/>
    <e v="#NAME?"/>
    <e v="#NAME?"/>
    <e v="#NAME?"/>
    <m/>
    <m/>
    <m/>
    <m/>
    <m/>
  </r>
  <r>
    <s v="CE65205"/>
    <x v="276"/>
    <x v="0"/>
    <x v="10"/>
    <s v="GGI / CMC"/>
    <e v="#NAME?"/>
    <s v="SDATOOL-42211 $ Onboarding cash management Netcash/Gema"/>
    <n v="0.15"/>
    <s v="Otros"/>
    <s v="Distribuido"/>
    <s v="Despliegues"/>
    <e v="#NAME?"/>
    <e v="#NAME?"/>
    <e v="#NAME?"/>
    <m/>
    <m/>
    <m/>
    <m/>
    <m/>
  </r>
  <r>
    <s v="CE65205"/>
    <x v="276"/>
    <x v="0"/>
    <x v="10"/>
    <s v="GGI / CMC"/>
    <e v="#NAME?"/>
    <s v="SDATOOL-40676 $ Contratación y uso de mPOS desde APPs BBVA"/>
    <n v="0.15"/>
    <s v="Otros"/>
    <s v="Distribuido"/>
    <s v="Despliegues"/>
    <e v="#NAME?"/>
    <e v="#NAME?"/>
    <e v="#NAME?"/>
    <m/>
    <m/>
    <m/>
    <m/>
    <m/>
  </r>
  <r>
    <s v="CE65205"/>
    <x v="276"/>
    <x v="0"/>
    <x v="10"/>
    <s v="GGI / CMC"/>
    <e v="#NAME?"/>
    <s v="SDATOOL-39354 $ My business Open Pay - Plan Ascenso Mercurio"/>
    <n v="0.15"/>
    <s v="Otros"/>
    <s v="Distribuido"/>
    <s v="Despliegues"/>
    <e v="#NAME?"/>
    <e v="#NAME?"/>
    <e v="#NAME?"/>
    <m/>
    <m/>
    <m/>
    <m/>
    <m/>
  </r>
  <r>
    <s v="CE65205"/>
    <x v="276"/>
    <x v="0"/>
    <x v="3"/>
    <s v="KRYPTO"/>
    <e v="#NAME?"/>
    <s v="SDATOOL-40457 $ SENDA (Base)"/>
    <n v="0.15"/>
    <s v="Otros"/>
    <s v="Distribuido"/>
    <s v="Despliegues"/>
    <e v="#NAME?"/>
    <e v="#NAME?"/>
    <e v="#NAME?"/>
    <e v="#N/A"/>
    <e v="#N/A"/>
    <e v="#REF!"/>
    <m/>
    <m/>
  </r>
  <r>
    <s v="CE65205"/>
    <x v="276"/>
    <x v="0"/>
    <x v="3"/>
    <s v="KRYPTO"/>
    <e v="#NAME?"/>
    <s v="SDATOOL-40528 $ ETPB - SENDA PAGOS"/>
    <n v="0.15"/>
    <s v="Otros"/>
    <s v="Distribuido"/>
    <s v="Despliegues"/>
    <e v="#NAME?"/>
    <e v="#NAME?"/>
    <e v="#NAME?"/>
    <e v="#N/A"/>
    <e v="#N/A"/>
    <e v="#REF!"/>
    <m/>
    <m/>
  </r>
  <r>
    <s v="CE65205"/>
    <x v="276"/>
    <x v="0"/>
    <x v="10"/>
    <s v="KRYPTO"/>
    <e v="#NAME?"/>
    <s v="SDATOOL-41750 $ Single APP"/>
    <n v="0.15"/>
    <s v="Otros"/>
    <s v="Distribuido"/>
    <s v="Despliegues"/>
    <e v="#NAME?"/>
    <e v="#NAME?"/>
    <e v="#NAME?"/>
    <e v="#N/A"/>
    <e v="#N/A"/>
    <e v="#REF!"/>
    <m/>
    <m/>
  </r>
  <r>
    <s v="C811392"/>
    <x v="277"/>
    <x v="3"/>
    <x v="11"/>
    <s v="BBVA"/>
    <e v="#NAME?"/>
    <s v="NOSDA $ BAU (Mantenimiento y peq. evolutivos)"/>
    <n v="1"/>
    <s v="Desarrollador"/>
    <m/>
    <s v="Interno"/>
    <e v="#NAME?"/>
    <e v="#NAME?"/>
    <e v="#NAME?"/>
    <m/>
    <m/>
    <m/>
    <m/>
    <m/>
  </r>
  <r>
    <s v="C341681"/>
    <x v="278"/>
    <x v="2"/>
    <x v="8"/>
    <s v="BBVA"/>
    <e v="#NAME?"/>
    <s v="SDATOOL-33846 $ SREP Data Quality- BCBS239 - Colombia"/>
    <n v="1"/>
    <s v="Desarrollador"/>
    <s v="Otras Tec."/>
    <s v="Interno"/>
    <e v="#NAME?"/>
    <e v="#NAME?"/>
    <e v="#NAME?"/>
    <m/>
    <m/>
    <m/>
    <m/>
    <m/>
  </r>
  <r>
    <s v="C342316"/>
    <x v="279"/>
    <x v="2"/>
    <x v="8"/>
    <s v="BBVA"/>
    <e v="#NAME?"/>
    <s v="SDATOOL-39463 $ GRM Col - Actualización Versión Power Curve."/>
    <n v="0.7"/>
    <s v="Desarrollador"/>
    <s v="Distribuido"/>
    <s v="Interno"/>
    <e v="#NAME?"/>
    <e v="#NAME?"/>
    <e v="#NAME?"/>
    <m/>
    <m/>
    <m/>
    <m/>
    <m/>
  </r>
  <r>
    <s v="C342316"/>
    <x v="279"/>
    <x v="2"/>
    <x v="8"/>
    <s v="BBVA"/>
    <e v="#NAME?"/>
    <s v="SDATOOL-40545 $ GRM Col - Mejoras Evolutivas de Aplicativos y Herramientas de Riesgos 2023"/>
    <n v="0.3"/>
    <s v="Desarrollador"/>
    <s v="Distribuido"/>
    <s v="Interno"/>
    <e v="#NAME?"/>
    <e v="#NAME?"/>
    <e v="#NAME?"/>
    <m/>
    <m/>
    <m/>
    <m/>
    <m/>
  </r>
  <r>
    <s v="C808875"/>
    <x v="280"/>
    <x v="2"/>
    <x v="8"/>
    <s v="BBVA"/>
    <e v="#NAME?"/>
    <s v="SDATOOL-39463 $ GRM Col - Actualización Versión Power Curve."/>
    <n v="1"/>
    <s v="Desarrollador"/>
    <s v="Otras Tec."/>
    <s v="Interno"/>
    <e v="#NAME?"/>
    <e v="#NAME?"/>
    <e v="#NAME?"/>
    <m/>
    <m/>
    <m/>
    <m/>
    <m/>
  </r>
  <r>
    <s v="C809591"/>
    <x v="281"/>
    <x v="2"/>
    <x v="8"/>
    <s v="BBVA"/>
    <e v="#NAME?"/>
    <s v="SDATOOL-42098 $ GRM Col CRONOS Batch - Campañas SMeS"/>
    <n v="0.65"/>
    <s v="Desarrollador"/>
    <s v="Otras Tec."/>
    <s v="Interno"/>
    <e v="#NAME?"/>
    <e v="#NAME?"/>
    <e v="#NAME?"/>
    <m/>
    <m/>
    <m/>
    <m/>
    <m/>
  </r>
  <r>
    <s v="C809591"/>
    <x v="281"/>
    <x v="2"/>
    <x v="8"/>
    <s v="BBVA"/>
    <e v="#NAME?"/>
    <s v="SDATOOL-40545 $ GRM Col - Mejoras Evolutivas de Aplicativos y Herramientas de Riesgos 2023"/>
    <n v="0.25"/>
    <s v="Desarrollador"/>
    <s v="Otras Tec."/>
    <s v="Interno"/>
    <e v="#NAME?"/>
    <e v="#NAME?"/>
    <e v="#NAME?"/>
    <m/>
    <m/>
    <m/>
    <m/>
    <m/>
  </r>
  <r>
    <s v="C809591"/>
    <x v="281"/>
    <x v="2"/>
    <x v="8"/>
    <s v="BBVA"/>
    <e v="#NAME?"/>
    <s v="SDATOOL-41457 $ NGA - Colombia. EWS (ARCE)"/>
    <n v="0.1"/>
    <s v="Desarrollador"/>
    <s v="Otras Tec."/>
    <s v="Interno"/>
    <e v="#NAME?"/>
    <e v="#NAME?"/>
    <e v="#NAME?"/>
    <m/>
    <m/>
    <m/>
    <m/>
    <m/>
  </r>
  <r>
    <s v="C810959"/>
    <x v="282"/>
    <x v="2"/>
    <x v="8"/>
    <s v="BBVA"/>
    <e v="#NAME?"/>
    <s v="SDATOOL-33846 $ SREP Data Quality- BCBS239 - Colombia"/>
    <n v="0.4"/>
    <s v="Desarrollador"/>
    <s v="Otras Tec."/>
    <s v="Interno"/>
    <e v="#NAME?"/>
    <e v="#NAME?"/>
    <e v="#NAME?"/>
    <m/>
    <m/>
    <m/>
    <m/>
    <m/>
  </r>
  <r>
    <s v="C810959"/>
    <x v="282"/>
    <x v="2"/>
    <x v="8"/>
    <s v="BBVA"/>
    <e v="#NAME?"/>
    <s v="SDATOOL-42098 $ GRM Col CRONOS Batch - Campañas SMeS"/>
    <n v="0.2"/>
    <s v="Desarrollador"/>
    <s v="Otras Tec."/>
    <s v="Interno"/>
    <e v="#NAME?"/>
    <e v="#NAME?"/>
    <e v="#NAME?"/>
    <m/>
    <m/>
    <m/>
    <m/>
    <m/>
  </r>
  <r>
    <s v="C810959"/>
    <x v="282"/>
    <x v="2"/>
    <x v="8"/>
    <s v="BBVA"/>
    <e v="#NAME?"/>
    <s v="SDATOOL-40545 $ GRM Col - Mejoras Evolutivas de Aplicativos y Herramientas de Riesgos 2023"/>
    <n v="0.2"/>
    <s v="Desarrollador"/>
    <s v="Otras Tec."/>
    <s v="Interno"/>
    <e v="#NAME?"/>
    <e v="#NAME?"/>
    <e v="#NAME?"/>
    <m/>
    <m/>
    <m/>
    <m/>
    <m/>
  </r>
  <r>
    <s v="C810959"/>
    <x v="282"/>
    <x v="2"/>
    <x v="8"/>
    <s v="BBVA"/>
    <e v="#NAME?"/>
    <s v="NOSDA $ BAU (Mantenimiento y peq. evolutivos)"/>
    <n v="0.2"/>
    <s v="Desarrollador"/>
    <s v="Otras Tec."/>
    <s v="Interno"/>
    <e v="#NAME?"/>
    <e v="#NAME?"/>
    <e v="#NAME?"/>
    <m/>
    <m/>
    <m/>
    <m/>
    <m/>
  </r>
  <r>
    <s v="CE66252"/>
    <x v="283"/>
    <x v="2"/>
    <x v="8"/>
    <s v="GGI / CMC"/>
    <e v="#NAME?"/>
    <s v="SDATOOL-39463 $ GRM Col - Actualización Versión Power Curve."/>
    <n v="0.5"/>
    <s v="QA"/>
    <s v="Otras Tec."/>
    <s v="Externo"/>
    <e v="#NAME?"/>
    <e v="#NAME?"/>
    <e v="#NAME?"/>
    <m/>
    <m/>
    <m/>
    <m/>
    <m/>
  </r>
  <r>
    <s v="CE66252"/>
    <x v="283"/>
    <x v="2"/>
    <x v="8"/>
    <s v="GGI / CMC"/>
    <e v="#NAME?"/>
    <s v="SDATOOL-40545 $ GRM Col - Mejoras Evolutivas de Aplicativos y Herramientas de Riesgos 2023"/>
    <n v="0.25"/>
    <s v="QA"/>
    <s v="Otras Tec."/>
    <s v="Externo"/>
    <e v="#NAME?"/>
    <e v="#NAME?"/>
    <e v="#NAME?"/>
    <m/>
    <m/>
    <m/>
    <m/>
    <m/>
  </r>
  <r>
    <s v="CE66252"/>
    <x v="283"/>
    <x v="2"/>
    <x v="8"/>
    <s v="GGI / CMC"/>
    <e v="#NAME?"/>
    <s v="SDATOOL-33846 $ SREP Data Quality- BCBS239 - Colombia"/>
    <n v="0.25"/>
    <s v="QA"/>
    <s v="Otras Tec."/>
    <s v="Externo"/>
    <e v="#NAME?"/>
    <e v="#NAME?"/>
    <e v="#NAME?"/>
    <m/>
    <m/>
    <m/>
    <m/>
    <m/>
  </r>
  <r>
    <s v="C783725"/>
    <x v="284"/>
    <x v="2"/>
    <x v="8"/>
    <s v="BBVA"/>
    <e v="#NAME?"/>
    <s v="SDATOOL-33846 $ SREP Data Quality- BCBS239 - Colombia"/>
    <n v="0.3"/>
    <s v="Tech Manager/Líder"/>
    <s v="Otras Tec."/>
    <s v="Interno"/>
    <e v="#NAME?"/>
    <e v="#NAME?"/>
    <e v="#NAME?"/>
    <m/>
    <m/>
    <m/>
    <m/>
    <m/>
  </r>
  <r>
    <s v="C783725"/>
    <x v="284"/>
    <x v="2"/>
    <x v="8"/>
    <s v="BBVA"/>
    <e v="#NAME?"/>
    <s v="SDATOOL-39463 $ GRM Col - Actualización Versión Power Curve."/>
    <n v="0.3"/>
    <s v="Tech Manager/Líder"/>
    <s v="Otras Tec."/>
    <s v="Interno"/>
    <e v="#NAME?"/>
    <e v="#NAME?"/>
    <e v="#NAME?"/>
    <m/>
    <m/>
    <m/>
    <m/>
    <m/>
  </r>
  <r>
    <s v="C783725"/>
    <x v="284"/>
    <x v="2"/>
    <x v="8"/>
    <s v="BBVA"/>
    <e v="#NAME?"/>
    <s v="SDATOOL-41457 $ NGA - Colombia. EWS (ARCE)"/>
    <n v="0.1"/>
    <s v="Tech Manager/Líder"/>
    <s v="Otras Tec."/>
    <m/>
    <e v="#NAME?"/>
    <e v="#NAME?"/>
    <e v="#NAME?"/>
    <m/>
    <m/>
    <m/>
    <m/>
    <m/>
  </r>
  <r>
    <s v="C783725"/>
    <x v="284"/>
    <x v="2"/>
    <x v="8"/>
    <s v="BBVA"/>
    <e v="#NAME?"/>
    <s v="SDATOOL-40545 $ GRM Col - Mejoras Evolutivas de Aplicativos y Herramientas de Riesgos 2023"/>
    <n v="0.3"/>
    <s v="Tech Manager/Líder"/>
    <s v="Otras Tec."/>
    <s v="Interno"/>
    <e v="#NAME?"/>
    <e v="#NAME?"/>
    <e v="#NAME?"/>
    <m/>
    <m/>
    <m/>
    <m/>
    <m/>
  </r>
  <r>
    <s v="T006280"/>
    <x v="285"/>
    <x v="2"/>
    <x v="8"/>
    <s v="Inetum"/>
    <e v="#NAME?"/>
    <s v="NOSDA $ BAU (Mantenimiento y peq. evolutivos)"/>
    <n v="0.5"/>
    <s v="Desarrollador"/>
    <s v="Otras Tec."/>
    <s v="Externo"/>
    <e v="#NAME?"/>
    <e v="#NAME?"/>
    <e v="#NAME?"/>
    <m/>
    <m/>
    <m/>
    <m/>
    <m/>
  </r>
  <r>
    <s v="T006280"/>
    <x v="285"/>
    <x v="1"/>
    <x v="12"/>
    <s v="Inetum"/>
    <e v="#NAME?"/>
    <s v="NOSDA $ BAU (Mantenimiento y peq. evolutivos)"/>
    <n v="0.5"/>
    <s v="Desarrollador"/>
    <s v="Otras Tec."/>
    <s v="Externo"/>
    <e v="#NAME?"/>
    <e v="#NAME?"/>
    <e v="#NAME?"/>
    <m/>
    <m/>
    <m/>
    <m/>
    <m/>
  </r>
  <r>
    <s v="C811292"/>
    <x v="286"/>
    <x v="1"/>
    <x v="12"/>
    <s v="BBVA"/>
    <e v="#NAME?"/>
    <s v="NOSDA $ BAU (Mantenimiento y peq. evolutivos)"/>
    <n v="1"/>
    <s v="Otros"/>
    <m/>
    <m/>
    <e v="#NAME?"/>
    <e v="#NAME?"/>
    <e v="#NAME?"/>
    <m/>
    <m/>
    <m/>
    <m/>
    <m/>
  </r>
  <r>
    <s v="C805180"/>
    <x v="287"/>
    <x v="1"/>
    <x v="12"/>
    <s v="BBVA"/>
    <e v="#NAME?"/>
    <s v="SDATOOL-39840 $ BBVA Valores en Canales (Net Cash / Net)"/>
    <n v="0.25"/>
    <s v="QA"/>
    <m/>
    <m/>
    <e v="#NAME?"/>
    <e v="#NAME?"/>
    <e v="#NAME?"/>
    <m/>
    <m/>
    <m/>
    <m/>
    <m/>
  </r>
  <r>
    <s v="C810847"/>
    <x v="288"/>
    <x v="1"/>
    <x v="12"/>
    <s v="BBVA"/>
    <e v="#NAME?"/>
    <s v="SDATOOL-39840 $ BBVA Valores en Canales (Net Cash / Net)"/>
    <n v="0.25"/>
    <s v="Desarrollador"/>
    <m/>
    <m/>
    <e v="#NAME?"/>
    <e v="#NAME?"/>
    <e v="#NAME?"/>
    <m/>
    <m/>
    <m/>
    <m/>
    <m/>
  </r>
  <r>
    <s v="C810847"/>
    <x v="288"/>
    <x v="1"/>
    <x v="12"/>
    <s v="BBVA"/>
    <e v="#NAME?"/>
    <s v="NOSDA $ BAU (Mantenimiento y peq. evolutivos)"/>
    <n v="0.75"/>
    <s v="Desarrollador"/>
    <m/>
    <m/>
    <e v="#NAME?"/>
    <e v="#NAME?"/>
    <e v="#NAME?"/>
    <m/>
    <m/>
    <m/>
    <m/>
    <m/>
  </r>
  <r>
    <s v="O004617"/>
    <x v="289"/>
    <x v="1"/>
    <x v="12"/>
    <s v="BBVA"/>
    <e v="#NAME?"/>
    <s v="NOSDA $ BAU (Mantenimiento y peq. evolutivos)"/>
    <n v="1"/>
    <s v="Otros"/>
    <m/>
    <m/>
    <e v="#NAME?"/>
    <e v="#NAME?"/>
    <e v="#NAME?"/>
    <m/>
    <m/>
    <m/>
    <m/>
    <m/>
  </r>
  <r>
    <s v="O004613 "/>
    <x v="290"/>
    <x v="1"/>
    <x v="12"/>
    <s v="BBVA"/>
    <e v="#NAME?"/>
    <s v="NOSDA $ BAU (Mantenimiento y peq. evolutivos)"/>
    <n v="1"/>
    <s v="Otros"/>
    <m/>
    <m/>
    <e v="#NAME?"/>
    <e v="#NAME?"/>
    <e v="#NAME?"/>
    <m/>
    <m/>
    <m/>
    <m/>
    <m/>
  </r>
  <r>
    <s v="C805180"/>
    <x v="287"/>
    <x v="1"/>
    <x v="12"/>
    <s v="BBVA"/>
    <e v="#NAME?"/>
    <s v="NOSDA $ BAU (Mantenimiento y peq. evolutivos)"/>
    <n v="0.75"/>
    <s v="Otros"/>
    <m/>
    <m/>
    <e v="#NAME?"/>
    <e v="#NAME?"/>
    <e v="#NAME?"/>
    <m/>
    <m/>
    <m/>
    <m/>
    <m/>
  </r>
  <r>
    <s v="CE70350"/>
    <x v="291"/>
    <x v="1"/>
    <x v="12"/>
    <s v="Inetum"/>
    <e v="#NAME?"/>
    <s v="NOSDA $ BAU (Mantenimiento y peq. evolutivos)"/>
    <n v="1"/>
    <s v="QA"/>
    <s v="Otras Tec."/>
    <s v="Calidad"/>
    <e v="#NAME?"/>
    <e v="#NAME?"/>
    <e v="#NAME?"/>
    <m/>
    <m/>
    <m/>
    <m/>
    <m/>
  </r>
  <r>
    <s v="CV25017"/>
    <x v="292"/>
    <x v="4"/>
    <x v="13"/>
    <s v="BBVA Seguros"/>
    <e v="#NAME?"/>
    <s v="SDATOOL-38080 $ Seguros - LIS Coaseguro Aceptado Autos"/>
    <n v="0.25"/>
    <s v="Desarrollador"/>
    <s v="ASO"/>
    <s v="LÍDER TÉCNICO"/>
    <e v="#NAME?"/>
    <e v="#NAME?"/>
    <e v="#NAME?"/>
    <m/>
    <m/>
    <m/>
    <m/>
    <m/>
  </r>
  <r>
    <s v="CV25017"/>
    <x v="292"/>
    <x v="4"/>
    <x v="13"/>
    <s v="BBVA Seguros"/>
    <e v="#NAME?"/>
    <s v="SDATOOL-42449 $ Seguros - LIS Coaseguro Aceptado Autos Fase 2"/>
    <n v="0.75"/>
    <s v="Desarrollador"/>
    <s v="ASO"/>
    <s v="LÍDER TÉCNICO"/>
    <e v="#NAME?"/>
    <e v="#NAME?"/>
    <e v="#NAME?"/>
    <m/>
    <m/>
    <m/>
    <m/>
    <m/>
  </r>
  <r>
    <s v="CE52603"/>
    <x v="293"/>
    <x v="4"/>
    <x v="13"/>
    <s v="Inetum"/>
    <e v="#NAME?"/>
    <s v="SDATOOL-38080 $ Seguros - LIS Coaseguro Aceptado Autos"/>
    <n v="0.25"/>
    <s v="Desarrollador"/>
    <s v="Mainframe"/>
    <m/>
    <e v="#NAME?"/>
    <e v="#NAME?"/>
    <e v="#NAME?"/>
    <m/>
    <m/>
    <m/>
    <m/>
    <m/>
  </r>
  <r>
    <s v="CE52603"/>
    <x v="293"/>
    <x v="4"/>
    <x v="13"/>
    <s v="Inetum"/>
    <e v="#NAME?"/>
    <s v="SDATOOL-42449 $ Seguros - LIS Coaseguro Aceptado Autos Fase 2"/>
    <n v="0.75"/>
    <s v="Desarrollador"/>
    <s v="Mainframe"/>
    <m/>
    <e v="#NAME?"/>
    <e v="#NAME?"/>
    <e v="#NAME?"/>
    <m/>
    <m/>
    <m/>
    <m/>
    <m/>
  </r>
  <r>
    <s v="CV24943"/>
    <x v="294"/>
    <x v="4"/>
    <x v="13"/>
    <s v="BBVA Seguros"/>
    <e v="#NAME?"/>
    <s v="SDATOOL-42264 $ Seguros - Calculo Extra prima valores superiores a 9.999.999"/>
    <n v="1"/>
    <s v="Desarrollador"/>
    <s v="APX"/>
    <s v="LÍDER TÉCNICO"/>
    <e v="#NAME?"/>
    <e v="#NAME?"/>
    <e v="#NAME?"/>
    <m/>
    <m/>
    <m/>
    <m/>
    <m/>
  </r>
  <r>
    <s v="CV25056"/>
    <x v="295"/>
    <x v="4"/>
    <x v="13"/>
    <s v="BBVA Seguros"/>
    <e v="#NAME?"/>
    <s v="SDATOOL-38080 $ Seguros - LIS Coaseguro Aceptado Autos"/>
    <n v="0.25"/>
    <s v="Desarrollador"/>
    <s v="Mainframe"/>
    <s v="LÍDER TÉCNICO"/>
    <e v="#NAME?"/>
    <e v="#NAME?"/>
    <e v="#NAME?"/>
    <m/>
    <m/>
    <m/>
    <m/>
    <m/>
  </r>
  <r>
    <s v="CV25056"/>
    <x v="295"/>
    <x v="4"/>
    <x v="13"/>
    <s v="BBVA Seguros"/>
    <e v="#NAME?"/>
    <s v="SDATOOL-42449 $ Seguros - LIS Coaseguro Aceptado Autos Fase 2"/>
    <n v="0.75"/>
    <s v="Desarrollador"/>
    <s v="Mainframe"/>
    <s v="LÍDER TÉCNICO"/>
    <e v="#NAME?"/>
    <e v="#NAME?"/>
    <e v="#NAME?"/>
    <m/>
    <m/>
    <m/>
    <m/>
    <m/>
  </r>
  <r>
    <s v="CE56274"/>
    <x v="296"/>
    <x v="4"/>
    <x v="13"/>
    <s v="SII"/>
    <e v="#NAME?"/>
    <s v="SDATOOL-38080 $ Seguros - LIS Coaseguro Aceptado Autos"/>
    <n v="0.25"/>
    <s v="Desarrollador"/>
    <s v="Mainframe"/>
    <m/>
    <e v="#NAME?"/>
    <e v="#NAME?"/>
    <e v="#NAME?"/>
    <m/>
    <m/>
    <m/>
    <m/>
    <m/>
  </r>
  <r>
    <s v="CE56274"/>
    <x v="296"/>
    <x v="4"/>
    <x v="13"/>
    <s v="SII"/>
    <e v="#NAME?"/>
    <s v="SDATOOL-42449 $ Seguros - LIS Coaseguro Aceptado Autos Fase 2"/>
    <n v="0.75"/>
    <s v="Desarrollador"/>
    <s v="Mainframe"/>
    <m/>
    <e v="#NAME?"/>
    <e v="#NAME?"/>
    <e v="#NAME?"/>
    <m/>
    <m/>
    <m/>
    <m/>
    <m/>
  </r>
  <r>
    <s v="CE56445"/>
    <x v="297"/>
    <x v="4"/>
    <x v="13"/>
    <s v="SII"/>
    <e v="#NAME?"/>
    <s v="SDATOOL-38080 $ Seguros - LIS Coaseguro Aceptado Autos"/>
    <n v="0.25"/>
    <s v="Desarrollador"/>
    <s v="Mainframe"/>
    <m/>
    <e v="#NAME?"/>
    <e v="#NAME?"/>
    <e v="#NAME?"/>
    <m/>
    <m/>
    <m/>
    <m/>
    <m/>
  </r>
  <r>
    <s v="CE56445"/>
    <x v="297"/>
    <x v="4"/>
    <x v="13"/>
    <s v="SII"/>
    <e v="#NAME?"/>
    <s v="SDATOOL-42449 $ Seguros - LIS Coaseguro Aceptado Autos Fase 2"/>
    <n v="0.75"/>
    <s v="Desarrollador"/>
    <s v="Mainframe"/>
    <m/>
    <e v="#NAME?"/>
    <e v="#NAME?"/>
    <e v="#NAME?"/>
    <m/>
    <m/>
    <m/>
    <m/>
    <m/>
  </r>
  <r>
    <s v="CV25065"/>
    <x v="298"/>
    <x v="4"/>
    <x v="13"/>
    <s v="BBVA Seguros"/>
    <e v="#NAME?"/>
    <s v="SDATOOL-38080 $ Seguros - LIS Coaseguro Aceptado Autos"/>
    <n v="0.25"/>
    <s v="Desarrollador"/>
    <s v="Mainframe"/>
    <s v="LÍDER TÉCNICO"/>
    <e v="#NAME?"/>
    <e v="#NAME?"/>
    <e v="#NAME?"/>
    <m/>
    <m/>
    <m/>
    <m/>
    <m/>
  </r>
  <r>
    <s v="CV25065"/>
    <x v="298"/>
    <x v="4"/>
    <x v="13"/>
    <s v="BBVA Seguros"/>
    <e v="#NAME?"/>
    <s v="SDATOOL-42449 $ Seguros - LIS Coaseguro Aceptado Autos Fase 2"/>
    <n v="0.75"/>
    <s v="Desarrollador"/>
    <s v="Mainframe"/>
    <s v="LÍDER TÉCNICO"/>
    <e v="#NAME?"/>
    <e v="#NAME?"/>
    <e v="#NAME?"/>
    <m/>
    <m/>
    <m/>
    <m/>
    <m/>
  </r>
  <r>
    <s v="O004277"/>
    <x v="299"/>
    <x v="4"/>
    <x v="13"/>
    <s v="BBVA Seguros"/>
    <e v="#NAME?"/>
    <s v="SDATOOL-42449 $ Seguros - LIS Coaseguro Aceptado Autos Fase 2"/>
    <n v="1"/>
    <s v="Desarrollador"/>
    <s v="Mainframe"/>
    <m/>
    <e v="#NAME?"/>
    <e v="#NAME?"/>
    <e v="#NAME?"/>
    <m/>
    <m/>
    <m/>
    <m/>
    <m/>
  </r>
  <r>
    <s v="CE42028"/>
    <x v="300"/>
    <x v="4"/>
    <x v="13"/>
    <s v="Inetum"/>
    <e v="#NAME?"/>
    <s v="SDATOOL-42099 $ Seguros - Cuota Segura/Créditos de libranza (SEGUROS)"/>
    <n v="1"/>
    <s v="Desarrollador"/>
    <s v="Mainframe"/>
    <m/>
    <e v="#NAME?"/>
    <e v="#NAME?"/>
    <e v="#NAME?"/>
    <m/>
    <m/>
    <m/>
    <m/>
    <m/>
  </r>
  <r>
    <s v="CE59922"/>
    <x v="301"/>
    <x v="4"/>
    <x v="13"/>
    <s v="Inetum"/>
    <e v="#NAME?"/>
    <s v="SDATOOL-38080 $ Seguros - LIS Coaseguro Aceptado Autos"/>
    <n v="0.5"/>
    <s v="Desarrollador"/>
    <s v="Mainframe"/>
    <m/>
    <e v="#NAME?"/>
    <e v="#NAME?"/>
    <e v="#NAME?"/>
    <m/>
    <m/>
    <m/>
    <m/>
    <m/>
  </r>
  <r>
    <s v="CE59922"/>
    <x v="301"/>
    <x v="4"/>
    <x v="13"/>
    <s v="Inetum"/>
    <e v="#NAME?"/>
    <s v="SDATOOL-42449 $ Seguros - LIS Coaseguro Aceptado Autos Fase 2"/>
    <n v="0.5"/>
    <s v="Desarrollador"/>
    <s v="Mainframe"/>
    <m/>
    <e v="#NAME?"/>
    <e v="#NAME?"/>
    <e v="#NAME?"/>
    <m/>
    <m/>
    <m/>
    <m/>
    <m/>
  </r>
  <r>
    <s v="CV24935"/>
    <x v="302"/>
    <x v="4"/>
    <x v="13"/>
    <s v="BBVA Seguros"/>
    <e v="#NAME?"/>
    <s v="SDATOOL-38080 $ Seguros - LIS Coaseguro Aceptado Autos"/>
    <n v="0.4"/>
    <s v="Tech Manager/Líder"/>
    <s v="Mainframe"/>
    <m/>
    <e v="#NAME?"/>
    <e v="#NAME?"/>
    <e v="#NAME?"/>
    <m/>
    <m/>
    <m/>
    <m/>
    <m/>
  </r>
  <r>
    <s v="CV24935"/>
    <x v="302"/>
    <x v="4"/>
    <x v="13"/>
    <s v="BBVA Seguros"/>
    <e v="#NAME?"/>
    <s v="SDATOOL-42449 $ Seguros - LIS Coaseguro Aceptado Autos Fase 2"/>
    <n v="0.3"/>
    <s v="Tech Manager/Líder"/>
    <s v="Mainframe"/>
    <m/>
    <e v="#NAME?"/>
    <e v="#NAME?"/>
    <e v="#NAME?"/>
    <m/>
    <m/>
    <m/>
    <m/>
    <m/>
  </r>
  <r>
    <s v="CV24935"/>
    <x v="302"/>
    <x v="4"/>
    <x v="13"/>
    <s v="BBVA Seguros"/>
    <e v="#NAME?"/>
    <s v="SDATOOL-42099 $ Seguros - Cuota Segura/Créditos de libranza (SEGUROS)"/>
    <n v="0.3"/>
    <s v="Tech Manager/Líder"/>
    <s v="Mainframe"/>
    <m/>
    <e v="#NAME?"/>
    <e v="#NAME?"/>
    <e v="#NAME?"/>
    <m/>
    <m/>
    <m/>
    <m/>
    <m/>
  </r>
  <r>
    <s v="CG22671"/>
    <x v="303"/>
    <x v="4"/>
    <x v="13"/>
    <s v="BBVA Seguros"/>
    <e v="#NAME?"/>
    <s v="SDATOOL-40762 $ Seguros - IFRS 17 Catch up"/>
    <n v="0.25"/>
    <s v="Desarrollador"/>
    <s v="Distribuido"/>
    <s v="LÍDER TÉCNICO"/>
    <e v="#NAME?"/>
    <e v="#NAME?"/>
    <e v="#NAME?"/>
    <m/>
    <m/>
    <m/>
    <m/>
    <m/>
  </r>
  <r>
    <s v="CG22671"/>
    <x v="303"/>
    <x v="4"/>
    <x v="13"/>
    <s v="BBVA Seguros"/>
    <e v="#NAME?"/>
    <s v="NOSDA $ BAU (Mantenimiento y peq. evolutivos)"/>
    <n v="0.75"/>
    <s v="Desarrollador"/>
    <s v="Distribuido"/>
    <s v="LÍDER TÉCNICO"/>
    <e v="#NAME?"/>
    <e v="#NAME?"/>
    <e v="#NAME?"/>
    <m/>
    <m/>
    <m/>
    <m/>
    <m/>
  </r>
  <r>
    <s v="CE38411"/>
    <x v="304"/>
    <x v="4"/>
    <x v="13"/>
    <s v="SII"/>
    <e v="#NAME?"/>
    <s v="SDATOOL-41962 $ Seguros - Sistema de Administración de Pensiones de Rentas Vitalicias"/>
    <n v="0.75"/>
    <s v="Desarrollador"/>
    <s v="Distribuido"/>
    <m/>
    <e v="#NAME?"/>
    <e v="#NAME?"/>
    <e v="#NAME?"/>
    <m/>
    <m/>
    <m/>
    <m/>
    <m/>
  </r>
  <r>
    <s v="CE38411"/>
    <x v="304"/>
    <x v="4"/>
    <x v="13"/>
    <s v="SII"/>
    <e v="#NAME?"/>
    <s v="SDATOOL-37170 $ Seguros - LIS Coaseguro en Seguros Libres"/>
    <n v="0.25"/>
    <s v="Desarrollador"/>
    <s v="Distribuido"/>
    <m/>
    <e v="#NAME?"/>
    <e v="#NAME?"/>
    <e v="#NAME?"/>
    <m/>
    <m/>
    <m/>
    <m/>
    <m/>
  </r>
  <r>
    <s v="CE68469"/>
    <x v="305"/>
    <x v="4"/>
    <x v="13"/>
    <s v="SII"/>
    <e v="#NAME?"/>
    <s v="SDATOOL-40762 $ Seguros - IFRS 17 Catch up"/>
    <n v="1"/>
    <s v="Desarrollador"/>
    <s v="Distribuido"/>
    <m/>
    <e v="#NAME?"/>
    <e v="#NAME?"/>
    <e v="#NAME?"/>
    <m/>
    <m/>
    <m/>
    <m/>
    <m/>
  </r>
  <r>
    <s v="CV25060"/>
    <x v="306"/>
    <x v="4"/>
    <x v="13"/>
    <s v="BBVA Seguros"/>
    <e v="#NAME?"/>
    <s v="SDATOOL-41962 $ Seguros - Sistema de Administración de Pensiones de Rentas Vitalicias"/>
    <n v="0.5"/>
    <s v="Desarrollador"/>
    <s v="Distribuido"/>
    <m/>
    <e v="#NAME?"/>
    <e v="#NAME?"/>
    <e v="#NAME?"/>
    <m/>
    <m/>
    <m/>
    <m/>
    <m/>
  </r>
  <r>
    <s v="CV25060"/>
    <x v="306"/>
    <x v="4"/>
    <x v="13"/>
    <s v="BBVA Seguros"/>
    <e v="#NAME?"/>
    <s v="SDATOOL-34752 $ Seguros - Reportería y Data Quality"/>
    <n v="0.5"/>
    <s v="Desarrollador"/>
    <s v="Distribuido"/>
    <m/>
    <e v="#NAME?"/>
    <e v="#NAME?"/>
    <e v="#NAME?"/>
    <m/>
    <m/>
    <m/>
    <m/>
    <m/>
  </r>
  <r>
    <s v="O002707"/>
    <x v="307"/>
    <x v="4"/>
    <x v="13"/>
    <s v="BBVA Seguros"/>
    <e v="#NAME?"/>
    <s v="SDATOOL-40762 $ Seguros - IFRS 17 Catch up"/>
    <n v="1"/>
    <s v="Desarrollador"/>
    <s v="Distribuido"/>
    <s v="LÍDER TÉCNICO"/>
    <e v="#NAME?"/>
    <e v="#NAME?"/>
    <e v="#NAME?"/>
    <m/>
    <m/>
    <m/>
    <m/>
    <m/>
  </r>
  <r>
    <s v="O004417"/>
    <x v="308"/>
    <x v="4"/>
    <x v="13"/>
    <s v="BBVA Seguros"/>
    <e v="#NAME?"/>
    <s v="SDATOOL-40762 $ Seguros - IFRS 17 Catch up"/>
    <n v="1"/>
    <s v="Desarrollador"/>
    <s v="Distribuido"/>
    <m/>
    <e v="#NAME?"/>
    <e v="#NAME?"/>
    <e v="#NAME?"/>
    <m/>
    <m/>
    <m/>
    <m/>
    <m/>
  </r>
  <r>
    <s v="CE48733"/>
    <x v="309"/>
    <x v="4"/>
    <x v="13"/>
    <s v="JARZSOFT"/>
    <e v="#NAME?"/>
    <s v="SDATOOL-40762 $ Seguros - IFRS 17 Catch up"/>
    <n v="1"/>
    <s v="Desarrollador"/>
    <s v="Distribuido"/>
    <m/>
    <e v="#NAME?"/>
    <e v="#NAME?"/>
    <e v="#NAME?"/>
    <m/>
    <m/>
    <m/>
    <m/>
    <m/>
  </r>
  <r>
    <s v="CE65494"/>
    <x v="310"/>
    <x v="4"/>
    <x v="13"/>
    <s v="Inetum"/>
    <e v="#NAME?"/>
    <s v="SDATOOL-40762 $ Seguros - IFRS 17 Catch up"/>
    <n v="1"/>
    <s v="Desarrollador"/>
    <s v="Distribuido"/>
    <m/>
    <e v="#NAME?"/>
    <e v="#NAME?"/>
    <e v="#NAME?"/>
    <m/>
    <m/>
    <m/>
    <m/>
    <m/>
  </r>
  <r>
    <s v="CE59730"/>
    <x v="311"/>
    <x v="4"/>
    <x v="13"/>
    <s v="JARZSOFT"/>
    <e v="#NAME?"/>
    <s v="SDATOOL-40762 $ Seguros - IFRS 17 Catch up"/>
    <n v="1"/>
    <s v="Tech Manager/Líder"/>
    <s v="Distribuido"/>
    <m/>
    <e v="#NAME?"/>
    <e v="#NAME?"/>
    <e v="#NAME?"/>
    <m/>
    <m/>
    <m/>
    <m/>
    <m/>
  </r>
  <r>
    <s v="CV25059"/>
    <x v="312"/>
    <x v="4"/>
    <x v="13"/>
    <s v="BBVA Seguros"/>
    <e v="#NAME?"/>
    <s v="SDATOOL-38225 $ Seguros - Mandatorios 2022"/>
    <n v="1"/>
    <s v="Desarrollador"/>
    <s v="Distribuido"/>
    <s v="LÍDER TÉCNICO"/>
    <e v="#NAME?"/>
    <e v="#NAME?"/>
    <e v="#NAME?"/>
    <m/>
    <m/>
    <m/>
    <m/>
    <m/>
  </r>
  <r>
    <s v="CV25087"/>
    <x v="313"/>
    <x v="4"/>
    <x v="13"/>
    <s v="BBVA Seguros"/>
    <e v="#NAME?"/>
    <s v="SDATOOL-40300 $ Seguros - Reintegro automático a tarjetas crédito"/>
    <n v="1"/>
    <s v="Desarrollador"/>
    <s v="Distribuido"/>
    <s v="LÍDER TÉCNICO"/>
    <e v="#NAME?"/>
    <e v="#NAME?"/>
    <e v="#NAME?"/>
    <m/>
    <m/>
    <m/>
    <m/>
    <m/>
  </r>
  <r>
    <s v="CV25064"/>
    <x v="314"/>
    <x v="4"/>
    <x v="13"/>
    <s v="BBVA Seguros"/>
    <e v="#NAME?"/>
    <s v="SDATOOL-36501 $ Seguros - Cobro de seguros libres en créditos - Desempleo Fase 2"/>
    <n v="0.75"/>
    <s v="Desarrollador"/>
    <s v="Distribuido"/>
    <s v="LÍDER TÉCNICO"/>
    <e v="#NAME?"/>
    <e v="#NAME?"/>
    <e v="#NAME?"/>
    <m/>
    <m/>
    <m/>
    <m/>
    <m/>
  </r>
  <r>
    <s v="CV25064"/>
    <x v="314"/>
    <x v="4"/>
    <x v="13"/>
    <s v="BBVA Seguros"/>
    <e v="#NAME?"/>
    <s v="NOSDA $ BAU (Mantenimiento y peq. evolutivos)"/>
    <n v="0.25"/>
    <s v="Desarrollador"/>
    <s v="Distribuido"/>
    <s v="LÍDER TÉCNICO"/>
    <e v="#NAME?"/>
    <e v="#NAME?"/>
    <e v="#NAME?"/>
    <m/>
    <m/>
    <m/>
    <m/>
    <m/>
  </r>
  <r>
    <s v="O003561"/>
    <x v="315"/>
    <x v="4"/>
    <x v="13"/>
    <s v="BBVA Seguros"/>
    <e v="#NAME?"/>
    <s v="NOSDA $ BAU (Mantenimiento y peq. evolutivos)"/>
    <n v="1"/>
    <s v="Desarrollador"/>
    <s v="Distribuido"/>
    <s v="LÍDER TÉCNICO"/>
    <e v="#NAME?"/>
    <e v="#NAME?"/>
    <e v="#NAME?"/>
    <m/>
    <m/>
    <m/>
    <m/>
    <m/>
  </r>
  <r>
    <s v="CE48448"/>
    <x v="316"/>
    <x v="4"/>
    <x v="13"/>
    <s v="Inetum"/>
    <e v="#NAME?"/>
    <s v="SDATOOL-37170 $ Seguros - LIS Coaseguro en Seguros Libres"/>
    <n v="0.5"/>
    <s v="Desarrollador"/>
    <s v="Distribuido"/>
    <s v="LÍDER TÉCNICO"/>
    <e v="#NAME?"/>
    <e v="#NAME?"/>
    <e v="#NAME?"/>
    <m/>
    <m/>
    <m/>
    <m/>
    <m/>
  </r>
  <r>
    <s v="CE48448"/>
    <x v="316"/>
    <x v="4"/>
    <x v="13"/>
    <s v="Inetum"/>
    <e v="#NAME?"/>
    <s v="SDATOOL-40767 $ Seguros - Migración FW / Auditoria (Front)"/>
    <n v="0.5"/>
    <s v="Desarrollador"/>
    <s v="Distribuido"/>
    <s v="LÍDER TÉCNICO"/>
    <e v="#NAME?"/>
    <e v="#NAME?"/>
    <e v="#NAME?"/>
    <m/>
    <m/>
    <m/>
    <m/>
    <m/>
  </r>
  <r>
    <s v="CV24903"/>
    <x v="317"/>
    <x v="4"/>
    <x v="13"/>
    <s v="BBVA Seguros"/>
    <e v="#NAME?"/>
    <s v="SDATOOL-37170 $ Seguros - LIS Coaseguro en Seguros Libres"/>
    <n v="0.25"/>
    <s v="Tech Manager/Líder"/>
    <s v="Distribuido"/>
    <m/>
    <e v="#NAME?"/>
    <e v="#NAME?"/>
    <e v="#NAME?"/>
    <m/>
    <m/>
    <m/>
    <m/>
    <m/>
  </r>
  <r>
    <s v="CV24903"/>
    <x v="317"/>
    <x v="4"/>
    <x v="13"/>
    <s v="BBVA Seguros"/>
    <e v="#NAME?"/>
    <s v="NOSDA $ BAU (Mantenimiento y peq. evolutivos)"/>
    <n v="0.25"/>
    <s v="Tech Manager/Líder"/>
    <s v="Distribuido"/>
    <m/>
    <e v="#NAME?"/>
    <e v="#NAME?"/>
    <e v="#NAME?"/>
    <m/>
    <m/>
    <m/>
    <m/>
    <m/>
  </r>
  <r>
    <s v="CV24903"/>
    <x v="317"/>
    <x v="4"/>
    <x v="13"/>
    <s v="BBVA Seguros"/>
    <e v="#NAME?"/>
    <s v="SDATOOL-38225 $ Seguros - Mandatorios 2022"/>
    <n v="0.5"/>
    <s v="Tech Manager/Líder"/>
    <s v="Distribuido"/>
    <m/>
    <e v="#NAME?"/>
    <e v="#NAME?"/>
    <e v="#NAME?"/>
    <m/>
    <m/>
    <m/>
    <m/>
    <m/>
  </r>
  <r>
    <s v="CE44928"/>
    <x v="318"/>
    <x v="4"/>
    <x v="13"/>
    <s v="VASS"/>
    <e v="#NAME?"/>
    <s v="SDATOOL-36501 $ Seguros - Cobro de seguros libres en créditos - Desempleo Fase 2"/>
    <n v="0.5"/>
    <s v="Desarrollador"/>
    <s v="Distribuido"/>
    <s v="LÍDER TÉCNICO"/>
    <e v="#NAME?"/>
    <e v="#NAME?"/>
    <e v="#NAME?"/>
    <m/>
    <m/>
    <m/>
    <m/>
    <m/>
  </r>
  <r>
    <s v="CE44928"/>
    <x v="318"/>
    <x v="4"/>
    <x v="13"/>
    <s v="VASS"/>
    <e v="#NAME?"/>
    <s v="SDATOOL-42265 $ Seguros - Verificación de Identidad CE27"/>
    <n v="0.5"/>
    <s v="Desarrollador"/>
    <s v="Distribuido"/>
    <s v="LÍDER TÉCNICO"/>
    <e v="#NAME?"/>
    <e v="#NAME?"/>
    <e v="#NAME?"/>
    <m/>
    <m/>
    <m/>
    <m/>
    <m/>
  </r>
  <r>
    <s v="CV25067"/>
    <x v="319"/>
    <x v="4"/>
    <x v="13"/>
    <s v="BBVA Seguros"/>
    <e v="#NAME?"/>
    <s v="SDATOOL-37170 $ Seguros - LIS Coaseguro en Seguros Libres"/>
    <n v="0.75"/>
    <s v="Desarrollador"/>
    <s v="Distribuido"/>
    <s v="LÍDER TÉCNICO"/>
    <e v="#NAME?"/>
    <e v="#NAME?"/>
    <e v="#NAME?"/>
    <m/>
    <m/>
    <m/>
    <m/>
    <m/>
  </r>
  <r>
    <s v="CV25067"/>
    <x v="319"/>
    <x v="4"/>
    <x v="13"/>
    <s v="BBVA Seguros"/>
    <e v="#NAME?"/>
    <s v="NOSDA $ BAU (Mantenimiento y peq. evolutivos)"/>
    <n v="0.25"/>
    <s v="Desarrollador"/>
    <s v="Distribuido"/>
    <s v="LÍDER TÉCNICO"/>
    <e v="#NAME?"/>
    <e v="#NAME?"/>
    <e v="#NAME?"/>
    <m/>
    <m/>
    <m/>
    <m/>
    <m/>
  </r>
  <r>
    <s v="CV25084"/>
    <x v="320"/>
    <x v="4"/>
    <x v="13"/>
    <s v="BBVA Seguros"/>
    <e v="#NAME?"/>
    <s v="SDATOOL-42265 $ Seguros - Verificación de Identidad CE27"/>
    <n v="1"/>
    <s v="Desarrollador"/>
    <s v="Distribuido"/>
    <s v="LÍDER TÉCNICO"/>
    <e v="#NAME?"/>
    <e v="#NAME?"/>
    <e v="#NAME?"/>
    <m/>
    <m/>
    <m/>
    <m/>
    <m/>
  </r>
  <r>
    <s v="CV25093"/>
    <x v="321"/>
    <x v="4"/>
    <x v="13"/>
    <s v="BBVA Seguros"/>
    <e v="#NAME?"/>
    <s v="NOSDA $ BAU (Mantenimiento y peq. evolutivos)"/>
    <n v="0.75"/>
    <s v="Desarrollador"/>
    <s v="Distribuido"/>
    <s v="LÍDER TÉCNICO"/>
    <e v="#NAME?"/>
    <e v="#NAME?"/>
    <e v="#NAME?"/>
    <m/>
    <m/>
    <m/>
    <m/>
    <m/>
  </r>
  <r>
    <s v="CV25093"/>
    <x v="321"/>
    <x v="4"/>
    <x v="13"/>
    <s v="BBVA Seguros"/>
    <e v="#NAME?"/>
    <s v="SDATOOL-36501 $ Seguros - Cobro de seguros libres en créditos - Desempleo Fase 2"/>
    <n v="0.25"/>
    <s v="Desarrollador"/>
    <s v="Distribuido"/>
    <s v="LÍDER TÉCNICO"/>
    <e v="#NAME?"/>
    <e v="#NAME?"/>
    <e v="#NAME?"/>
    <m/>
    <m/>
    <m/>
    <m/>
    <m/>
  </r>
  <r>
    <s v="CV25074"/>
    <x v="322"/>
    <x v="4"/>
    <x v="13"/>
    <s v="BBVA Seguros"/>
    <e v="#NAME?"/>
    <s v="SDATOOL-37170 $ Seguros - LIS Coaseguro en Seguros Libres"/>
    <n v="1"/>
    <s v="Desarrollador"/>
    <s v="Distribuido"/>
    <m/>
    <e v="#NAME?"/>
    <e v="#NAME?"/>
    <e v="#NAME?"/>
    <m/>
    <m/>
    <m/>
    <m/>
    <m/>
  </r>
  <r>
    <s v="CV25001"/>
    <x v="323"/>
    <x v="4"/>
    <x v="13"/>
    <s v="BBVA Seguros"/>
    <e v="#NAME?"/>
    <s v="SDATOOL-40764 $ Seguros - AXA F2"/>
    <n v="0.75"/>
    <s v="Tech Manager/Líder"/>
    <s v="Distribuido"/>
    <m/>
    <e v="#NAME?"/>
    <e v="#NAME?"/>
    <e v="#NAME?"/>
    <m/>
    <m/>
    <m/>
    <m/>
    <m/>
  </r>
  <r>
    <s v="CV25001"/>
    <x v="323"/>
    <x v="4"/>
    <x v="13"/>
    <s v="BBVA Seguros"/>
    <e v="#NAME?"/>
    <s v="SDATOOL-37170 $ Seguros - LIS Coaseguro en Seguros Libres"/>
    <n v="0.25"/>
    <s v="Tech Manager/Líder"/>
    <s v="Distribuido"/>
    <m/>
    <e v="#NAME?"/>
    <e v="#NAME?"/>
    <e v="#NAME?"/>
    <m/>
    <m/>
    <m/>
    <m/>
    <m/>
  </r>
  <r>
    <s v="CE66586"/>
    <x v="324"/>
    <x v="4"/>
    <x v="13"/>
    <s v="Inetum"/>
    <e v="#NAME?"/>
    <s v="SDATOOL-38080 $ Seguros - LIS Coaseguro Aceptado Autos"/>
    <n v="1"/>
    <s v="QA"/>
    <s v="Otras Tec."/>
    <s v="Altamira"/>
    <e v="#NAME?"/>
    <e v="#NAME?"/>
    <e v="#NAME?"/>
    <m/>
    <m/>
    <m/>
    <m/>
    <m/>
  </r>
  <r>
    <s v="T005668"/>
    <x v="325"/>
    <x v="4"/>
    <x v="13"/>
    <s v="Inetum"/>
    <e v="#NAME?"/>
    <s v="SDATOOL-38080 $ Seguros - LIS Coaseguro Aceptado Autos"/>
    <n v="1"/>
    <s v="QA"/>
    <m/>
    <s v="Altamira"/>
    <e v="#NAME?"/>
    <e v="#NAME?"/>
    <e v="#NAME?"/>
    <m/>
    <m/>
    <m/>
    <m/>
    <m/>
  </r>
  <r>
    <s v="CE48941"/>
    <x v="326"/>
    <x v="4"/>
    <x v="13"/>
    <s v="Inetum"/>
    <e v="#NAME?"/>
    <s v="NOSDA $ BAU (Mantenimiento y peq. evolutivos)"/>
    <n v="1"/>
    <s v="QA"/>
    <s v="Distribuido"/>
    <m/>
    <e v="#NAME?"/>
    <e v="#NAME?"/>
    <e v="#NAME?"/>
    <m/>
    <m/>
    <m/>
    <m/>
    <m/>
  </r>
  <r>
    <s v="CE50178"/>
    <x v="327"/>
    <x v="4"/>
    <x v="13"/>
    <s v="Inetum"/>
    <e v="#NAME?"/>
    <s v="NOSDA $ BAU (Mantenimiento y peq. evolutivos)"/>
    <n v="1"/>
    <s v="Otros"/>
    <m/>
    <s v="Técnico Despliegues Seguros / Altamira"/>
    <e v="#NAME?"/>
    <e v="#NAME?"/>
    <e v="#NAME?"/>
    <m/>
    <m/>
    <m/>
    <m/>
    <m/>
  </r>
  <r>
    <s v="CE69705"/>
    <x v="328"/>
    <x v="4"/>
    <x v="13"/>
    <s v="Inetum"/>
    <e v="#NAME?"/>
    <s v="SDATOOL-36501 $ Seguros - Cobro de seguros libres en créditos - Desempleo Fase 2"/>
    <n v="1"/>
    <s v="QA"/>
    <s v="Distribuido"/>
    <m/>
    <e v="#NAME?"/>
    <e v="#NAME?"/>
    <e v="#NAME?"/>
    <m/>
    <m/>
    <m/>
    <m/>
    <m/>
  </r>
  <r>
    <s v="CE53945"/>
    <x v="329"/>
    <x v="4"/>
    <x v="13"/>
    <s v="Inetum"/>
    <e v="#NAME?"/>
    <s v="SDATOOL-38080 $ Seguros - LIS Coaseguro Aceptado Autos"/>
    <n v="1"/>
    <s v="QA"/>
    <m/>
    <s v="Altamira"/>
    <e v="#NAME?"/>
    <e v="#NAME?"/>
    <e v="#NAME?"/>
    <m/>
    <m/>
    <m/>
    <m/>
    <m/>
  </r>
  <r>
    <s v="T008565"/>
    <x v="330"/>
    <x v="4"/>
    <x v="13"/>
    <s v="Inetum"/>
    <e v="#NAME?"/>
    <s v="SDATOOL-38080 $ Seguros - LIS Coaseguro Aceptado Autos"/>
    <n v="1"/>
    <s v="QA"/>
    <m/>
    <s v="Altamira"/>
    <e v="#NAME?"/>
    <e v="#NAME?"/>
    <e v="#NAME?"/>
    <m/>
    <m/>
    <m/>
    <m/>
    <m/>
  </r>
  <r>
    <s v="T009692"/>
    <x v="331"/>
    <x v="4"/>
    <x v="13"/>
    <s v="Inetum"/>
    <e v="#NAME?"/>
    <s v="NOSDA $ BAU (Mantenimiento y peq. evolutivos)"/>
    <n v="1"/>
    <s v="Otros"/>
    <m/>
    <s v="Técnico Despliegues Seguros / Altamira"/>
    <e v="#NAME?"/>
    <e v="#NAME?"/>
    <e v="#NAME?"/>
    <m/>
    <m/>
    <m/>
    <m/>
    <m/>
  </r>
  <r>
    <s v="CE42004"/>
    <x v="332"/>
    <x v="4"/>
    <x v="13"/>
    <s v="Inetum"/>
    <e v="#NAME?"/>
    <s v="SDATOOL-38080 $ Seguros - LIS Coaseguro Aceptado Autos"/>
    <n v="1"/>
    <s v="QA"/>
    <m/>
    <s v="Altamira"/>
    <e v="#NAME?"/>
    <e v="#NAME?"/>
    <e v="#NAME?"/>
    <m/>
    <m/>
    <m/>
    <m/>
    <m/>
  </r>
  <r>
    <n v="1032450219"/>
    <x v="333"/>
    <x v="4"/>
    <x v="13"/>
    <s v="Inetum"/>
    <e v="#NAME?"/>
    <s v="SDATOOL-42099 $ Seguros - Cuota Segura/Créditos de libranza (SEGUROS)"/>
    <n v="1"/>
    <s v="QA"/>
    <m/>
    <s v="Altamira"/>
    <e v="#NAME?"/>
    <e v="#NAME?"/>
    <e v="#NAME?"/>
    <m/>
    <m/>
    <m/>
    <m/>
    <m/>
  </r>
  <r>
    <s v="CE65204"/>
    <x v="334"/>
    <x v="4"/>
    <x v="13"/>
    <s v="GGI / CMC"/>
    <e v="#NAME?"/>
    <s v="SDATOOL-34750 $ Seguros - Suscripción/Siniestros Seguros Licitación"/>
    <n v="1"/>
    <s v="QA"/>
    <s v="Distribuido"/>
    <m/>
    <e v="#NAME?"/>
    <e v="#NAME?"/>
    <e v="#NAME?"/>
    <m/>
    <m/>
    <m/>
    <m/>
    <m/>
  </r>
  <r>
    <s v="CE65203"/>
    <x v="335"/>
    <x v="4"/>
    <x v="13"/>
    <s v="GGI / CMC"/>
    <e v="#NAME?"/>
    <s v="SDATOOL-38080 $ Seguros - LIS Coaseguro Aceptado Autos"/>
    <n v="1"/>
    <s v="QA"/>
    <s v="Distribuido"/>
    <m/>
    <e v="#NAME?"/>
    <e v="#NAME?"/>
    <e v="#NAME?"/>
    <m/>
    <m/>
    <m/>
    <m/>
    <m/>
  </r>
  <r>
    <s v="CE53475"/>
    <x v="336"/>
    <x v="4"/>
    <x v="13"/>
    <s v="GGI / CMC"/>
    <e v="#NAME?"/>
    <s v="NOSDA $ BAU (Mantenimiento y peq. evolutivos)"/>
    <n v="1"/>
    <s v="QA"/>
    <m/>
    <s v="Altamira"/>
    <e v="#NAME?"/>
    <e v="#NAME?"/>
    <e v="#NAME?"/>
    <m/>
    <m/>
    <m/>
    <m/>
    <m/>
  </r>
  <r>
    <s v="CE60737"/>
    <x v="337"/>
    <x v="4"/>
    <x v="13"/>
    <s v="GGI / CMC"/>
    <e v="#NAME?"/>
    <s v="SDATOOL-40764 $ Seguros - AXA F2"/>
    <n v="1"/>
    <s v="QA"/>
    <s v="Distribuido"/>
    <m/>
    <e v="#NAME?"/>
    <e v="#NAME?"/>
    <e v="#NAME?"/>
    <m/>
    <m/>
    <m/>
    <m/>
    <m/>
  </r>
  <r>
    <s v="CE37757"/>
    <x v="338"/>
    <x v="4"/>
    <x v="13"/>
    <s v="GGI / CMC"/>
    <e v="#NAME?"/>
    <s v="NOSDA $ BAU (Mantenimiento y peq. evolutivos)"/>
    <n v="1"/>
    <s v="Otros"/>
    <s v="Distribuido"/>
    <s v="Técnico Despliegues Seguros - Distribuido"/>
    <e v="#NAME?"/>
    <e v="#NAME?"/>
    <e v="#NAME?"/>
    <m/>
    <m/>
    <m/>
    <m/>
    <m/>
  </r>
  <r>
    <s v="CE69797"/>
    <x v="339"/>
    <x v="4"/>
    <x v="13"/>
    <s v="Choucair"/>
    <e v="#NAME?"/>
    <s v="NOSDA $ BAU (Mantenimiento y peq. evolutivos)"/>
    <n v="1"/>
    <s v="QA"/>
    <m/>
    <s v="Altamira"/>
    <e v="#NAME?"/>
    <e v="#NAME?"/>
    <e v="#NAME?"/>
    <m/>
    <m/>
    <m/>
    <m/>
    <m/>
  </r>
  <r>
    <s v="CE66582"/>
    <x v="340"/>
    <x v="4"/>
    <x v="13"/>
    <s v="KRYPTO"/>
    <e v="#NAME?"/>
    <s v="SDATOOL-38080 $ Seguros - LIS Coaseguro Aceptado Autos"/>
    <n v="1"/>
    <s v="QA"/>
    <m/>
    <s v="Altamira"/>
    <e v="#NAME?"/>
    <e v="#NAME?"/>
    <e v="#NAME?"/>
    <m/>
    <m/>
    <m/>
    <m/>
    <m/>
  </r>
  <r>
    <s v="CE55951"/>
    <x v="341"/>
    <x v="4"/>
    <x v="13"/>
    <s v="KRYPTO"/>
    <e v="#NAME?"/>
    <s v="SDATOOL-38080 $ Seguros - LIS Coaseguro Aceptado Autos"/>
    <n v="1"/>
    <s v="QA"/>
    <m/>
    <s v="Altamira"/>
    <e v="#NAME?"/>
    <e v="#NAME?"/>
    <e v="#NAME?"/>
    <m/>
    <m/>
    <m/>
    <m/>
    <m/>
  </r>
  <r>
    <s v="CE50906"/>
    <x v="342"/>
    <x v="4"/>
    <x v="13"/>
    <s v="KRYPTO"/>
    <e v="#NAME?"/>
    <s v="SDATOOL-42099 $ Seguros - Cuota Segura/Créditos de libranza (SEGUROS)"/>
    <n v="1"/>
    <s v="QA"/>
    <m/>
    <s v="Altamira"/>
    <e v="#NAME?"/>
    <e v="#NAME?"/>
    <e v="#NAME?"/>
    <m/>
    <m/>
    <m/>
    <m/>
    <m/>
  </r>
  <r>
    <s v="CE34436"/>
    <x v="343"/>
    <x v="4"/>
    <x v="13"/>
    <s v="VASS"/>
    <e v="#NAME?"/>
    <s v="SDATOOL-36501 $ Seguros - Cobro de seguros libres en créditos - Desempleo Fase 2"/>
    <n v="1"/>
    <s v="QA"/>
    <s v="Distribuido"/>
    <m/>
    <e v="#NAME?"/>
    <e v="#NAME?"/>
    <e v="#NAME?"/>
    <m/>
    <m/>
    <m/>
    <m/>
    <m/>
  </r>
  <r>
    <s v="CE68707"/>
    <x v="344"/>
    <x v="4"/>
    <x v="13"/>
    <s v="JARZSOFT"/>
    <e v="#NAME?"/>
    <s v="SDATOOL-36501 $ Seguros - Cobro de seguros libres en créditos - Desempleo Fase 2"/>
    <n v="1"/>
    <s v="QA"/>
    <s v="Distribuido"/>
    <m/>
    <e v="#NAME?"/>
    <e v="#NAME?"/>
    <e v="#NAME?"/>
    <m/>
    <m/>
    <m/>
    <m/>
    <m/>
  </r>
  <r>
    <s v="CV68710"/>
    <x v="345"/>
    <x v="4"/>
    <x v="13"/>
    <s v="SII"/>
    <e v="#NAME?"/>
    <s v="SDATOOL-40767 $ Seguros - Migración FW / Auditoria (Front)"/>
    <n v="1"/>
    <s v="QA"/>
    <s v="Distribuido"/>
    <m/>
    <e v="#NAME?"/>
    <e v="#NAME?"/>
    <e v="#NAME?"/>
    <m/>
    <m/>
    <m/>
    <m/>
    <m/>
  </r>
  <r>
    <s v="CV24905"/>
    <x v="346"/>
    <x v="4"/>
    <x v="13"/>
    <s v="BBVA Seguros"/>
    <e v="#NAME?"/>
    <s v="SDATOOL-38080 $ Seguros - LIS Coaseguro Aceptado Autos"/>
    <n v="0.33"/>
    <s v="QA"/>
    <m/>
    <s v="QC"/>
    <e v="#NAME?"/>
    <e v="#NAME?"/>
    <e v="#NAME?"/>
    <m/>
    <m/>
    <m/>
    <m/>
    <m/>
  </r>
  <r>
    <s v="CV24905"/>
    <x v="346"/>
    <x v="4"/>
    <x v="13"/>
    <s v="BBVA Seguros"/>
    <e v="#NAME?"/>
    <s v="SDATOOL-42449 $ Seguros - LIS Coaseguro Aceptado Autos Fase 2"/>
    <n v="0.33"/>
    <s v="QA"/>
    <m/>
    <s v="QC"/>
    <e v="#NAME?"/>
    <e v="#NAME?"/>
    <e v="#NAME?"/>
    <m/>
    <m/>
    <m/>
    <m/>
    <m/>
  </r>
  <r>
    <s v="CV24905"/>
    <x v="346"/>
    <x v="4"/>
    <x v="13"/>
    <s v="BBVA Seguros"/>
    <e v="#NAME?"/>
    <s v="SDATOOL-36501 $ Seguros - Cobro de seguros libres en créditos - Desempleo Fase 2"/>
    <n v="0.34"/>
    <s v="QA"/>
    <m/>
    <s v="QC"/>
    <e v="#NAME?"/>
    <e v="#NAME?"/>
    <e v="#NAME?"/>
    <m/>
    <m/>
    <m/>
    <m/>
    <m/>
  </r>
  <r>
    <s v="O003129"/>
    <x v="347"/>
    <x v="4"/>
    <x v="13"/>
    <s v="BBVA Seguros"/>
    <e v="#NAME?"/>
    <s v="SDATOOL-40767 $ Seguros - Migración FW / Auditoria (Front)"/>
    <n v="0.5"/>
    <s v="Otros"/>
    <m/>
    <m/>
    <e v="#NAME?"/>
    <e v="#NAME?"/>
    <e v="#NAME?"/>
    <m/>
    <m/>
    <m/>
    <m/>
    <m/>
  </r>
  <r>
    <s v="O003129"/>
    <x v="347"/>
    <x v="4"/>
    <x v="13"/>
    <s v="BBVA Seguros"/>
    <e v="#NAME?"/>
    <s v="NOSDA $ BAU (Mantenimiento y peq. evolutivos)"/>
    <n v="0.5"/>
    <s v="Otros"/>
    <m/>
    <m/>
    <e v="#NAME?"/>
    <e v="#NAME?"/>
    <e v="#NAME?"/>
    <m/>
    <m/>
    <m/>
    <m/>
    <m/>
  </r>
  <r>
    <s v="T003707"/>
    <x v="348"/>
    <x v="2"/>
    <x v="8"/>
    <s v="Neoris"/>
    <e v="#NAME?"/>
    <s v="SDATOOL-35656 $ Cupos y límites"/>
    <n v="0.25"/>
    <s v="Desarrollador"/>
    <m/>
    <s v="Externo"/>
    <e v="#NAME?"/>
    <e v="#NAME?"/>
    <e v="#NAME?"/>
    <m/>
    <m/>
    <m/>
    <m/>
    <m/>
  </r>
  <r>
    <s v="T003707"/>
    <x v="348"/>
    <x v="2"/>
    <x v="8"/>
    <s v="Neoris"/>
    <e v="#NAME?"/>
    <s v="SDATOOL-39463 $ GRM Col - Actualización Versión Power Curve."/>
    <n v="0.1"/>
    <s v="Desarrollador"/>
    <m/>
    <s v="Externo"/>
    <e v="#NAME?"/>
    <e v="#NAME?"/>
    <e v="#NAME?"/>
    <m/>
    <m/>
    <m/>
    <m/>
    <m/>
  </r>
  <r>
    <s v="T003707"/>
    <x v="348"/>
    <x v="2"/>
    <x v="8"/>
    <s v="Neoris"/>
    <e v="#NAME?"/>
    <s v="SDATOOL-40710 $ GRM Col - Cronos - Plan Ascenso - Mejoras CAP Pymes Fase II"/>
    <n v="0.45"/>
    <s v="Desarrollador"/>
    <m/>
    <s v="Externo"/>
    <e v="#NAME?"/>
    <e v="#NAME?"/>
    <e v="#NAME?"/>
    <m/>
    <m/>
    <m/>
    <m/>
    <m/>
  </r>
  <r>
    <s v="T003707"/>
    <x v="348"/>
    <x v="2"/>
    <x v="8"/>
    <s v="Neoris"/>
    <e v="#NAME?"/>
    <s v="SDATOOL-38443 $ Arce Empresas Colombia"/>
    <n v="0.2"/>
    <s v="Desarrollador"/>
    <m/>
    <s v="Externo"/>
    <e v="#NAME?"/>
    <e v="#NAME?"/>
    <e v="#NAME?"/>
    <m/>
    <m/>
    <m/>
    <m/>
    <m/>
  </r>
  <r>
    <s v="CE54569"/>
    <x v="349"/>
    <x v="2"/>
    <x v="8"/>
    <s v="Choucair"/>
    <e v="#NAME?"/>
    <s v="SDATOOL-39463 $ GRM Col - Actualización Versión Power Curve."/>
    <n v="0.45"/>
    <s v="QA"/>
    <m/>
    <s v="Externo"/>
    <e v="#NAME?"/>
    <e v="#NAME?"/>
    <e v="#NAME?"/>
    <m/>
    <m/>
    <m/>
    <m/>
    <m/>
  </r>
  <r>
    <s v="CE54569"/>
    <x v="349"/>
    <x v="2"/>
    <x v="8"/>
    <s v="Choucair"/>
    <e v="#NAME?"/>
    <s v="SDATOOL-40710 $ GRM Col - Cronos - Plan Ascenso - Mejoras CAP Pymes Fase II"/>
    <n v="0.3"/>
    <s v="QA"/>
    <m/>
    <s v="Externo"/>
    <e v="#NAME?"/>
    <e v="#NAME?"/>
    <e v="#NAME?"/>
    <m/>
    <m/>
    <m/>
    <m/>
    <m/>
  </r>
  <r>
    <s v="CE54569"/>
    <x v="349"/>
    <x v="2"/>
    <x v="8"/>
    <s v="Choucair"/>
    <e v="#NAME?"/>
    <s v="SDATOOL-39826 $ GRM Col- Plan Ascenso - Mejoras en CAP Pymes y disponibilización HdC"/>
    <n v="0.15"/>
    <s v="QA"/>
    <m/>
    <s v="Externo"/>
    <e v="#NAME?"/>
    <e v="#NAME?"/>
    <e v="#NAME?"/>
    <m/>
    <m/>
    <m/>
    <m/>
    <m/>
  </r>
  <r>
    <s v="CE54569"/>
    <x v="349"/>
    <x v="2"/>
    <x v="8"/>
    <s v="Choucair"/>
    <e v="#NAME?"/>
    <s v="SDATOOL-38443 $ Arce Empresas Colombia"/>
    <n v="0.1"/>
    <s v="QA"/>
    <m/>
    <s v="Externo"/>
    <e v="#NAME?"/>
    <e v="#NAME?"/>
    <e v="#NAME?"/>
    <m/>
    <m/>
    <m/>
    <m/>
    <m/>
  </r>
  <r>
    <s v="T003442"/>
    <x v="350"/>
    <x v="2"/>
    <x v="8"/>
    <s v="Neoris"/>
    <e v="#NAME?"/>
    <s v="SDATOOL-40710 $ GRM Col - Cronos - Plan Ascenso - Mejoras CAP Pymes Fase II"/>
    <n v="0.25"/>
    <s v="Desarrollador"/>
    <m/>
    <s v="Externo"/>
    <e v="#NAME?"/>
    <e v="#NAME?"/>
    <e v="#NAME?"/>
    <m/>
    <m/>
    <m/>
    <m/>
    <m/>
  </r>
  <r>
    <s v="T003442"/>
    <x v="350"/>
    <x v="2"/>
    <x v="8"/>
    <s v="Neoris"/>
    <e v="#NAME?"/>
    <s v="SDATOOL-38443 $ Arce Empresas Colombia"/>
    <n v="0.25"/>
    <s v="Desarrollador"/>
    <m/>
    <s v="Externo"/>
    <e v="#NAME?"/>
    <e v="#NAME?"/>
    <e v="#NAME?"/>
    <m/>
    <m/>
    <m/>
    <m/>
    <m/>
  </r>
  <r>
    <s v="T003442"/>
    <x v="350"/>
    <x v="2"/>
    <x v="8"/>
    <s v="Neoris"/>
    <e v="#NAME?"/>
    <s v="SDATOOL-35656 $ Cupos y límites"/>
    <n v="0.25"/>
    <s v="Desarrollador"/>
    <m/>
    <s v="Externo"/>
    <e v="#NAME?"/>
    <e v="#NAME?"/>
    <e v="#NAME?"/>
    <m/>
    <m/>
    <m/>
    <m/>
    <m/>
  </r>
  <r>
    <s v="T003442"/>
    <x v="350"/>
    <x v="2"/>
    <x v="8"/>
    <s v="Neoris"/>
    <e v="#NAME?"/>
    <s v="SDATOOL-35656 $ Cupos y límites"/>
    <n v="0.25"/>
    <s v="Desarrollador"/>
    <m/>
    <s v="Externo"/>
    <e v="#NAME?"/>
    <e v="#NAME?"/>
    <e v="#NAME?"/>
    <m/>
    <m/>
    <m/>
    <m/>
    <m/>
  </r>
  <r>
    <s v="C804037"/>
    <x v="351"/>
    <x v="2"/>
    <x v="8"/>
    <s v="BBVA"/>
    <e v="#NAME?"/>
    <s v="SDATOOL-38443 $ Arce Empresas Colombia"/>
    <n v="0.25"/>
    <s v="Tech Manager/Líder"/>
    <m/>
    <s v="Interno"/>
    <e v="#NAME?"/>
    <e v="#NAME?"/>
    <e v="#NAME?"/>
    <m/>
    <m/>
    <m/>
    <m/>
    <m/>
  </r>
  <r>
    <s v="C804037"/>
    <x v="351"/>
    <x v="2"/>
    <x v="8"/>
    <s v="BBVA"/>
    <e v="#NAME?"/>
    <s v="SDATOOL-39826 $ GRM Col- Plan Ascenso - Mejoras en CAP Pymes y disponibilización HdC"/>
    <n v="0.2"/>
    <s v="Tech Manager/Líder"/>
    <m/>
    <s v="Interno"/>
    <e v="#NAME?"/>
    <e v="#NAME?"/>
    <e v="#NAME?"/>
    <m/>
    <m/>
    <m/>
    <m/>
    <m/>
  </r>
  <r>
    <s v="C804037"/>
    <x v="351"/>
    <x v="2"/>
    <x v="8"/>
    <s v="BBVA"/>
    <e v="#NAME?"/>
    <s v="SDATOOL-35656 $ Cupos y límites"/>
    <n v="0.2"/>
    <s v="Tech Manager/Líder"/>
    <m/>
    <s v="Interno"/>
    <e v="#NAME?"/>
    <e v="#NAME?"/>
    <e v="#NAME?"/>
    <m/>
    <m/>
    <m/>
    <m/>
    <m/>
  </r>
  <r>
    <s v="C804037"/>
    <x v="351"/>
    <x v="2"/>
    <x v="8"/>
    <s v="BBVA"/>
    <e v="#NAME?"/>
    <s v="SDATOOL-40710 $ GRM Col - Cronos - Plan Ascenso - Mejoras CAP Pymes Fase II"/>
    <n v="0.2"/>
    <s v="Tech Manager/Líder"/>
    <m/>
    <s v="Interno"/>
    <e v="#NAME?"/>
    <e v="#NAME?"/>
    <e v="#NAME?"/>
    <m/>
    <m/>
    <m/>
    <m/>
    <m/>
  </r>
  <r>
    <s v="C804037"/>
    <x v="351"/>
    <x v="2"/>
    <x v="8"/>
    <s v="BBVA"/>
    <e v="#NAME?"/>
    <s v="NOSDA $ BAU (Mantenimiento y peq. evolutivos)"/>
    <n v="0.15"/>
    <s v="Tech Manager/Líder"/>
    <m/>
    <s v="Interno"/>
    <e v="#NAME?"/>
    <e v="#NAME?"/>
    <e v="#NAME?"/>
    <m/>
    <m/>
    <m/>
    <m/>
    <m/>
  </r>
  <r>
    <s v="C805749"/>
    <x v="352"/>
    <x v="2"/>
    <x v="8"/>
    <s v="BBVA"/>
    <e v="#NAME?"/>
    <s v="SDATOOL-40710 $ GRM Col - Cronos - Plan Ascenso - Mejoras CAP Pymes Fase II"/>
    <n v="0.5"/>
    <s v="Desarrollador"/>
    <m/>
    <s v="Interno"/>
    <e v="#NAME?"/>
    <e v="#NAME?"/>
    <e v="#NAME?"/>
    <m/>
    <m/>
    <m/>
    <m/>
    <m/>
  </r>
  <r>
    <s v="C805749"/>
    <x v="352"/>
    <x v="2"/>
    <x v="8"/>
    <s v="BBVA"/>
    <e v="#NAME?"/>
    <s v="SDATOOL-35656 $ Cupos y límites"/>
    <n v="0.4"/>
    <s v="Desarrollador"/>
    <m/>
    <s v="Interno"/>
    <e v="#NAME?"/>
    <e v="#NAME?"/>
    <e v="#NAME?"/>
    <m/>
    <m/>
    <m/>
    <m/>
    <m/>
  </r>
  <r>
    <s v="C805749"/>
    <x v="352"/>
    <x v="2"/>
    <x v="8"/>
    <s v="BBVA"/>
    <e v="#NAME?"/>
    <s v="SDATOOL-38443 $ Arce Empresas Colombia"/>
    <n v="0.1"/>
    <s v="Desarrollador"/>
    <m/>
    <s v="Interno"/>
    <e v="#NAME?"/>
    <e v="#NAME?"/>
    <e v="#NAME?"/>
    <m/>
    <m/>
    <m/>
    <m/>
    <m/>
  </r>
  <r>
    <s v="C809505"/>
    <x v="353"/>
    <x v="2"/>
    <x v="8"/>
    <s v="BBVA"/>
    <e v="#NAME?"/>
    <s v="SDATOOL-40710 $ GRM Col - Cronos - Plan Ascenso - Mejoras CAP Pymes Fase II"/>
    <n v="0.35"/>
    <s v="Desarrollador"/>
    <m/>
    <s v="Interno"/>
    <e v="#NAME?"/>
    <e v="#NAME?"/>
    <e v="#NAME?"/>
    <m/>
    <m/>
    <m/>
    <m/>
    <m/>
  </r>
  <r>
    <s v="C809505"/>
    <x v="353"/>
    <x v="2"/>
    <x v="8"/>
    <s v="BBVA"/>
    <e v="#NAME?"/>
    <s v="SDATOOL-38443 $ Arce Empresas Colombia"/>
    <n v="0.3"/>
    <s v="Desarrollador"/>
    <m/>
    <s v="Interno"/>
    <e v="#NAME?"/>
    <e v="#NAME?"/>
    <e v="#NAME?"/>
    <m/>
    <m/>
    <m/>
    <m/>
    <m/>
  </r>
  <r>
    <s v="C809505"/>
    <x v="353"/>
    <x v="2"/>
    <x v="8"/>
    <s v="BBVA"/>
    <e v="#NAME?"/>
    <s v="SDATOOL-35656 $ Cupos y límites"/>
    <n v="0.35"/>
    <s v="Desarrollador"/>
    <m/>
    <s v="Interno"/>
    <e v="#NAME?"/>
    <e v="#NAME?"/>
    <e v="#NAME?"/>
    <m/>
    <m/>
    <m/>
    <m/>
    <m/>
  </r>
  <r>
    <s v="CE58926"/>
    <x v="354"/>
    <x v="2"/>
    <x v="8"/>
    <s v="Neoris"/>
    <e v="#NAME?"/>
    <s v="SDATOOL-38443 $ Arce Empresas Colombia"/>
    <n v="0.5"/>
    <s v="Desarrollador"/>
    <m/>
    <s v="Externo"/>
    <e v="#NAME?"/>
    <e v="#NAME?"/>
    <e v="#NAME?"/>
    <m/>
    <m/>
    <m/>
    <m/>
    <m/>
  </r>
  <r>
    <s v="CE58926"/>
    <x v="354"/>
    <x v="2"/>
    <x v="8"/>
    <s v="Neoris"/>
    <e v="#NAME?"/>
    <s v="SDATOOL-38443 $ Arce Empresas Colombia"/>
    <n v="0.5"/>
    <s v="Desarrollador"/>
    <m/>
    <s v="Externo"/>
    <e v="#NAME?"/>
    <e v="#NAME?"/>
    <e v="#NAME?"/>
    <m/>
    <m/>
    <m/>
    <m/>
    <m/>
  </r>
  <r>
    <s v="T002660"/>
    <x v="355"/>
    <x v="2"/>
    <x v="8"/>
    <s v="Choucair"/>
    <e v="#NAME?"/>
    <s v="SDATOOL-40710 $ GRM Col - Cronos - Plan Ascenso - Mejoras CAP Pymes Fase II"/>
    <n v="0.3"/>
    <s v="QA"/>
    <m/>
    <s v="Externo"/>
    <e v="#NAME?"/>
    <e v="#NAME?"/>
    <e v="#NAME?"/>
    <m/>
    <m/>
    <m/>
    <m/>
    <m/>
  </r>
  <r>
    <s v="T002660"/>
    <x v="355"/>
    <x v="2"/>
    <x v="8"/>
    <s v="Choucair"/>
    <e v="#NAME?"/>
    <s v="SDATOOL-35656 $ Cupos y límites"/>
    <n v="0.3"/>
    <s v="QA"/>
    <m/>
    <s v="Externo"/>
    <e v="#NAME?"/>
    <e v="#NAME?"/>
    <e v="#NAME?"/>
    <m/>
    <m/>
    <m/>
    <m/>
    <m/>
  </r>
  <r>
    <s v="T002660"/>
    <x v="355"/>
    <x v="2"/>
    <x v="8"/>
    <s v="Choucair"/>
    <e v="#NAME?"/>
    <s v="SDATOOL-38443 $ Arce Empresas Colombia"/>
    <n v="0.4"/>
    <s v="QA"/>
    <m/>
    <s v="Externo"/>
    <e v="#NAME?"/>
    <e v="#NAME?"/>
    <e v="#NAME?"/>
    <m/>
    <m/>
    <m/>
    <m/>
    <m/>
  </r>
  <r>
    <s v="T003439"/>
    <x v="356"/>
    <x v="2"/>
    <x v="8"/>
    <s v="Neoris"/>
    <e v="#NAME?"/>
    <s v="SDATOOL-40710 $ GRM Col - Cronos - Plan Ascenso - Mejoras CAP Pymes Fase II"/>
    <n v="0.5"/>
    <s v="Desarrollador"/>
    <m/>
    <s v="Externo"/>
    <e v="#NAME?"/>
    <e v="#NAME?"/>
    <e v="#NAME?"/>
    <m/>
    <m/>
    <m/>
    <m/>
    <m/>
  </r>
  <r>
    <s v="T003439"/>
    <x v="356"/>
    <x v="2"/>
    <x v="8"/>
    <s v="Neoris"/>
    <e v="#NAME?"/>
    <s v="SDATOOL-35656 $ Cupos y límites"/>
    <n v="0.1"/>
    <s v="Desarrollador"/>
    <m/>
    <s v="Externo"/>
    <e v="#NAME?"/>
    <e v="#NAME?"/>
    <e v="#NAME?"/>
    <m/>
    <m/>
    <m/>
    <m/>
    <m/>
  </r>
  <r>
    <s v="T003439"/>
    <x v="356"/>
    <x v="2"/>
    <x v="8"/>
    <s v="Neoris"/>
    <e v="#NAME?"/>
    <s v="SDATOOL-38443 $ Arce Empresas Colombia"/>
    <n v="0.4"/>
    <s v="Desarrollador"/>
    <m/>
    <s v="Externo"/>
    <e v="#NAME?"/>
    <e v="#NAME?"/>
    <e v="#NAME?"/>
    <m/>
    <m/>
    <m/>
    <m/>
    <m/>
  </r>
  <r>
    <s v="C808793"/>
    <x v="357"/>
    <x v="2"/>
    <x v="8"/>
    <s v="BBVA"/>
    <e v="#NAME?"/>
    <s v="SDATOOL-40710 $ GRM Col - Cronos - Plan Ascenso - Mejoras CAP Pymes Fase II"/>
    <n v="0.8"/>
    <s v="Desarrollador"/>
    <m/>
    <s v="Interno"/>
    <e v="#NAME?"/>
    <e v="#NAME?"/>
    <e v="#NAME?"/>
    <m/>
    <m/>
    <m/>
    <m/>
    <m/>
  </r>
  <r>
    <s v="C808793"/>
    <x v="357"/>
    <x v="2"/>
    <x v="8"/>
    <s v="BBVA"/>
    <e v="#NAME?"/>
    <s v="SDATOOL-35656 $ Cupos y límites"/>
    <n v="0.2"/>
    <s v="Desarrollador"/>
    <m/>
    <s v="Interno"/>
    <e v="#NAME?"/>
    <e v="#NAME?"/>
    <e v="#NAME?"/>
    <m/>
    <m/>
    <m/>
    <m/>
    <m/>
  </r>
  <r>
    <s v="C811305"/>
    <x v="358"/>
    <x v="2"/>
    <x v="8"/>
    <s v="BBVA"/>
    <e v="#NAME?"/>
    <s v="SDATOOL-39463 $ GRM Col - Actualización Versión Power Curve."/>
    <n v="0.4"/>
    <s v="Desarrollador"/>
    <m/>
    <s v="Interno"/>
    <e v="#NAME?"/>
    <e v="#NAME?"/>
    <e v="#NAME?"/>
    <m/>
    <m/>
    <m/>
    <m/>
    <m/>
  </r>
  <r>
    <s v="C811305"/>
    <x v="358"/>
    <x v="2"/>
    <x v="8"/>
    <s v="BBVA"/>
    <e v="#NAME?"/>
    <s v="SDATOOL-39826 $ GRM Col- Plan Ascenso - Mejoras en CAP Pymes y disponibilización HdC"/>
    <n v="0.6"/>
    <s v="Desarrollador"/>
    <m/>
    <s v="Interno"/>
    <e v="#NAME?"/>
    <e v="#NAME?"/>
    <e v="#NAME?"/>
    <m/>
    <m/>
    <m/>
    <m/>
    <m/>
  </r>
  <r>
    <s v="T003924"/>
    <x v="359"/>
    <x v="2"/>
    <x v="8"/>
    <s v="GGI / CMC"/>
    <e v="#NAME?"/>
    <s v="SDATOOL-40710 $ GRM Col - Cronos - Plan Ascenso - Mejoras CAP Pymes Fase II"/>
    <n v="0.6"/>
    <s v="Desarrollador"/>
    <m/>
    <s v="Externo"/>
    <e v="#NAME?"/>
    <e v="#NAME?"/>
    <e v="#NAME?"/>
    <m/>
    <m/>
    <m/>
    <m/>
    <m/>
  </r>
  <r>
    <s v="T003924"/>
    <x v="359"/>
    <x v="2"/>
    <x v="8"/>
    <s v="GGI / CMC"/>
    <e v="#NAME?"/>
    <s v="SDATOOL-35656 $ Cupos y límites"/>
    <n v="0.4"/>
    <s v="Desarrollador"/>
    <m/>
    <s v="Externo"/>
    <e v="#NAME?"/>
    <e v="#NAME?"/>
    <e v="#NAME?"/>
    <m/>
    <m/>
    <m/>
    <m/>
    <m/>
  </r>
  <r>
    <s v="T005244"/>
    <x v="360"/>
    <x v="2"/>
    <x v="8"/>
    <s v="Neoris"/>
    <e v="#NAME?"/>
    <s v="SDATOOL-40710 $ GRM Col - Cronos - Plan Ascenso - Mejoras CAP Pymes Fase II"/>
    <n v="0.3"/>
    <s v="Desarrollador"/>
    <m/>
    <s v="Externo"/>
    <e v="#NAME?"/>
    <e v="#NAME?"/>
    <e v="#NAME?"/>
    <m/>
    <m/>
    <m/>
    <m/>
    <m/>
  </r>
  <r>
    <s v="T005244"/>
    <x v="360"/>
    <x v="2"/>
    <x v="8"/>
    <s v="Neoris"/>
    <e v="#NAME?"/>
    <s v="SDATOOL-35656 $ Cupos y límites"/>
    <n v="0.4"/>
    <s v="Desarrollador"/>
    <m/>
    <s v="Externo"/>
    <e v="#NAME?"/>
    <e v="#NAME?"/>
    <e v="#NAME?"/>
    <m/>
    <m/>
    <m/>
    <m/>
    <m/>
  </r>
  <r>
    <s v="T005244"/>
    <x v="360"/>
    <x v="2"/>
    <x v="8"/>
    <s v="Neoris"/>
    <e v="#NAME?"/>
    <s v="SDATOOL-38443 $ Arce Empresas Colombia"/>
    <n v="0.3"/>
    <s v="Desarrollador"/>
    <m/>
    <s v="Externo"/>
    <e v="#NAME?"/>
    <e v="#NAME?"/>
    <e v="#NAME?"/>
    <m/>
    <m/>
    <m/>
    <m/>
    <m/>
  </r>
  <r>
    <s v="T004481"/>
    <x v="361"/>
    <x v="2"/>
    <x v="8"/>
    <s v="Neoris"/>
    <e v="#NAME?"/>
    <s v="SDATOOL-40710 $ GRM Col - Cronos - Plan Ascenso - Mejoras CAP Pymes Fase II"/>
    <n v="0.5"/>
    <s v="Desarrollador"/>
    <m/>
    <s v="Externo"/>
    <e v="#NAME?"/>
    <e v="#NAME?"/>
    <e v="#NAME?"/>
    <m/>
    <m/>
    <m/>
    <m/>
    <m/>
  </r>
  <r>
    <s v="T004481"/>
    <x v="361"/>
    <x v="2"/>
    <x v="8"/>
    <s v="Neoris"/>
    <e v="#NAME?"/>
    <s v="SDATOOL-35656 $ Cupos y límites"/>
    <n v="0.5"/>
    <s v="Desarrollador"/>
    <m/>
    <s v="Externo"/>
    <e v="#NAME?"/>
    <e v="#NAME?"/>
    <e v="#NAME?"/>
    <m/>
    <m/>
    <m/>
    <m/>
    <m/>
  </r>
  <r>
    <s v="CE54975"/>
    <x v="362"/>
    <x v="2"/>
    <x v="8"/>
    <s v="GGI / CMC"/>
    <e v="#NAME?"/>
    <s v="SDATOOL-40710 $ GRM Col - Cronos - Plan Ascenso - Mejoras CAP Pymes Fase II"/>
    <n v="0.5"/>
    <s v="Desarrollador"/>
    <m/>
    <s v="Externo"/>
    <e v="#NAME?"/>
    <e v="#NAME?"/>
    <e v="#NAME?"/>
    <m/>
    <m/>
    <m/>
    <m/>
    <m/>
  </r>
  <r>
    <s v="CE54975"/>
    <x v="362"/>
    <x v="2"/>
    <x v="8"/>
    <s v="GGI / CMC"/>
    <e v="#NAME?"/>
    <s v="SDATOOL-35656 $ Cupos y límites"/>
    <n v="0.5"/>
    <s v="Desarrollador"/>
    <m/>
    <s v="Externo"/>
    <e v="#NAME?"/>
    <e v="#NAME?"/>
    <e v="#NAME?"/>
    <m/>
    <m/>
    <m/>
    <m/>
    <m/>
  </r>
  <r>
    <s v="CE64571"/>
    <x v="363"/>
    <x v="2"/>
    <x v="8"/>
    <s v="GGI / CMC"/>
    <e v="#NAME?"/>
    <s v="SDATOOL-35656 $ Cupos y límites"/>
    <n v="1"/>
    <s v="Desarrollador"/>
    <m/>
    <s v="Externo"/>
    <e v="#NAME?"/>
    <e v="#NAME?"/>
    <e v="#NAME?"/>
    <m/>
    <m/>
    <m/>
    <m/>
    <m/>
  </r>
  <r>
    <s v="CE69336"/>
    <x v="364"/>
    <x v="2"/>
    <x v="8"/>
    <s v="Indra"/>
    <e v="#NAME?"/>
    <s v="SDATOOL-38443 $ Arce Empresas Colombia"/>
    <n v="1"/>
    <s v="Desarrollador"/>
    <m/>
    <s v="Externo"/>
    <e v="#NAME?"/>
    <e v="#NAME?"/>
    <e v="#NAME?"/>
    <m/>
    <m/>
    <m/>
    <m/>
    <m/>
  </r>
  <r>
    <s v="CE50845"/>
    <x v="365"/>
    <x v="2"/>
    <x v="8"/>
    <s v="Neoris"/>
    <e v="#NAME?"/>
    <s v="SDATOOL-35656 $ Cupos y límites"/>
    <n v="0.5"/>
    <s v="Desarrollador"/>
    <m/>
    <s v="Externo"/>
    <e v="#NAME?"/>
    <e v="#NAME?"/>
    <e v="#NAME?"/>
    <m/>
    <m/>
    <m/>
    <m/>
    <m/>
  </r>
  <r>
    <s v="CE50845"/>
    <x v="365"/>
    <x v="2"/>
    <x v="8"/>
    <s v="Neoris"/>
    <e v="#NAME?"/>
    <s v="SDATOOL-38443 $ Arce Empresas Colombia"/>
    <n v="0.3"/>
    <s v="Desarrollador"/>
    <m/>
    <s v="Externo"/>
    <e v="#NAME?"/>
    <e v="#NAME?"/>
    <e v="#NAME?"/>
    <m/>
    <m/>
    <m/>
    <m/>
    <m/>
  </r>
  <r>
    <s v="CE50845"/>
    <x v="365"/>
    <x v="2"/>
    <x v="8"/>
    <s v="Neoris"/>
    <e v="#NAME?"/>
    <s v="SDATOOL-40710 $ GRM Col - Cronos - Plan Ascenso - Mejoras CAP Pymes Fase II"/>
    <n v="0.2"/>
    <s v="Desarrollador"/>
    <m/>
    <m/>
    <e v="#NAME?"/>
    <e v="#NAME?"/>
    <e v="#NAME?"/>
    <m/>
    <m/>
    <m/>
    <m/>
    <m/>
  </r>
  <r>
    <s v="CE67859"/>
    <x v="366"/>
    <x v="5"/>
    <x v="14"/>
    <s v="Accenture"/>
    <e v="#NAME?"/>
    <s v="SDATOOL-39348 $ tarjeta de crédito Open Market Fallback product"/>
    <n v="0.5"/>
    <s v="Desarrollador"/>
    <s v="ASO"/>
    <m/>
    <e v="#NAME?"/>
    <e v="#NAME?"/>
    <e v="#NAME?"/>
    <m/>
    <m/>
    <m/>
    <m/>
    <m/>
  </r>
  <r>
    <s v="CE51863"/>
    <x v="275"/>
    <x v="5"/>
    <x v="14"/>
    <s v="KRYPTO"/>
    <e v="#NAME?"/>
    <s v="SDATOOL-39348 $ tarjeta de crédito Open Market Fallback product"/>
    <n v="0.02"/>
    <s v="QA"/>
    <s v="Otras Tec."/>
    <m/>
    <e v="#NAME?"/>
    <e v="#NAME?"/>
    <e v="#NAME?"/>
    <m/>
    <m/>
    <m/>
    <m/>
    <m/>
  </r>
  <r>
    <s v="O002593"/>
    <x v="367"/>
    <x v="5"/>
    <x v="14"/>
    <s v="BBVA"/>
    <e v="#NAME?"/>
    <s v="SDATOOL-39348 $ tarjeta de crédito Open Market Fallback product"/>
    <n v="0.2"/>
    <s v="Tech Manager/Líder"/>
    <s v="Otras Tec."/>
    <m/>
    <e v="#NAME?"/>
    <e v="#NAME?"/>
    <e v="#NAME?"/>
    <m/>
    <m/>
    <m/>
    <m/>
    <m/>
  </r>
  <r>
    <s v="O001659"/>
    <x v="368"/>
    <x v="5"/>
    <x v="14"/>
    <s v="BBVA"/>
    <e v="#NAME?"/>
    <s v="SDATOOL-39348 $ tarjeta de crédito Open Market Fallback product"/>
    <n v="1"/>
    <s v="Desarrollador"/>
    <s v="Mainframe"/>
    <m/>
    <e v="#NAME?"/>
    <e v="#NAME?"/>
    <e v="#NAME?"/>
    <m/>
    <m/>
    <m/>
    <m/>
    <m/>
  </r>
  <r>
    <s v="T004575"/>
    <x v="369"/>
    <x v="5"/>
    <x v="14"/>
    <s v="Accenture"/>
    <e v="#NAME?"/>
    <s v="SDATOOL-39348 $ tarjeta de crédito Open Market Fallback product"/>
    <n v="1"/>
    <s v="Desarrollador"/>
    <s v="Cells"/>
    <m/>
    <e v="#NAME?"/>
    <e v="#NAME?"/>
    <e v="#NAME?"/>
    <m/>
    <m/>
    <m/>
    <m/>
    <m/>
  </r>
  <r>
    <s v="O000959"/>
    <x v="370"/>
    <x v="5"/>
    <x v="14"/>
    <s v="BBVA"/>
    <e v="#NAME?"/>
    <s v="SDATOOL-39348 $ tarjeta de crédito Open Market Fallback product"/>
    <n v="1"/>
    <s v="Desarrollador"/>
    <s v="APX"/>
    <m/>
    <e v="#NAME?"/>
    <e v="#NAME?"/>
    <e v="#NAME?"/>
    <m/>
    <m/>
    <m/>
    <m/>
    <m/>
  </r>
  <r>
    <s v="C811006"/>
    <x v="371"/>
    <x v="5"/>
    <x v="14"/>
    <s v="BBVA"/>
    <e v="#NAME?"/>
    <s v="SDATOOL-39348 $ tarjeta de crédito Open Market Fallback product"/>
    <n v="1"/>
    <s v="Desarrollador"/>
    <s v="Cells"/>
    <m/>
    <e v="#NAME?"/>
    <e v="#NAME?"/>
    <e v="#NAME?"/>
    <m/>
    <m/>
    <m/>
    <m/>
    <m/>
  </r>
  <r>
    <s v="T004934"/>
    <x v="372"/>
    <x v="5"/>
    <x v="14"/>
    <s v="Choucair"/>
    <e v="#NAME?"/>
    <s v="SDATOOL-39348 $ tarjeta de crédito Open Market Fallback product"/>
    <n v="1"/>
    <s v="QA"/>
    <s v="Otras Tec."/>
    <m/>
    <e v="#NAME?"/>
    <e v="#NAME?"/>
    <e v="#NAME?"/>
    <m/>
    <m/>
    <m/>
    <m/>
    <m/>
  </r>
  <r>
    <s v="CE70412"/>
    <x v="373"/>
    <x v="5"/>
    <x v="14"/>
    <s v="Choucair"/>
    <e v="#NAME?"/>
    <s v="SDATOOL-39348 $ tarjeta de crédito Open Market Fallback product"/>
    <n v="1"/>
    <s v="QA"/>
    <s v="Otras Tec."/>
    <m/>
    <e v="#NAME?"/>
    <e v="#NAME?"/>
    <e v="#NAME?"/>
    <m/>
    <m/>
    <m/>
    <m/>
    <m/>
  </r>
  <r>
    <s v="CE51863"/>
    <x v="275"/>
    <x v="5"/>
    <x v="14"/>
    <s v="KRYPTO"/>
    <e v="#NAME?"/>
    <s v="SDATOOL-38419 $ Contratación cuenta en línea en Glomo"/>
    <n v="0.02"/>
    <s v="QA"/>
    <s v="Otras Tec."/>
    <m/>
    <e v="#NAME?"/>
    <e v="#NAME?"/>
    <e v="#NAME?"/>
    <m/>
    <m/>
    <m/>
    <m/>
    <m/>
  </r>
  <r>
    <s v="O005003 "/>
    <x v="374"/>
    <x v="5"/>
    <x v="14"/>
    <s v="BBVA"/>
    <e v="#NAME?"/>
    <s v="SDATOOL-38419 $ Contratación cuenta en línea en Glomo"/>
    <n v="0.2"/>
    <s v="Tech Manager/Líder"/>
    <s v="Otras Tec."/>
    <m/>
    <e v="#NAME?"/>
    <e v="#NAME?"/>
    <e v="#NAME?"/>
    <m/>
    <m/>
    <m/>
    <m/>
    <m/>
  </r>
  <r>
    <s v="T001903"/>
    <x v="375"/>
    <x v="5"/>
    <x v="14"/>
    <s v="Choucair"/>
    <e v="#NAME?"/>
    <s v="SDATOOL-38419 $ Contratación cuenta en línea en Glomo"/>
    <n v="1"/>
    <s v="QA"/>
    <s v="Otras Tec."/>
    <m/>
    <e v="#NAME?"/>
    <e v="#NAME?"/>
    <e v="#NAME?"/>
    <m/>
    <m/>
    <m/>
    <m/>
    <m/>
  </r>
  <r>
    <s v="CE48051"/>
    <x v="376"/>
    <x v="5"/>
    <x v="14"/>
    <s v="Novatec"/>
    <e v="#NAME?"/>
    <s v="SDATOOL-38419 $ Contratación cuenta en línea en Glomo"/>
    <n v="1"/>
    <s v="Desarrollador"/>
    <s v="Mainframe"/>
    <m/>
    <e v="#NAME?"/>
    <e v="#NAME?"/>
    <e v="#NAME?"/>
    <m/>
    <m/>
    <m/>
    <m/>
    <m/>
  </r>
  <r>
    <s v="CE69994"/>
    <x v="377"/>
    <x v="5"/>
    <x v="14"/>
    <s v="Globant"/>
    <e v="#NAME?"/>
    <s v="SDATOOL-38419 $ Contratación cuenta en línea en Glomo"/>
    <n v="1"/>
    <s v="Desarrollador"/>
    <s v="Cells"/>
    <m/>
    <e v="#NAME?"/>
    <e v="#NAME?"/>
    <e v="#NAME?"/>
    <m/>
    <m/>
    <m/>
    <m/>
    <m/>
  </r>
  <r>
    <s v="CE70000"/>
    <x v="378"/>
    <x v="5"/>
    <x v="14"/>
    <s v="Globant"/>
    <e v="#NAME?"/>
    <s v="SDATOOL-38419 $ Contratación cuenta en línea en Glomo"/>
    <n v="1"/>
    <s v="Desarrollador"/>
    <s v="APX"/>
    <m/>
    <e v="#NAME?"/>
    <e v="#NAME?"/>
    <e v="#NAME?"/>
    <m/>
    <m/>
    <m/>
    <m/>
    <m/>
  </r>
  <r>
    <s v="C811282"/>
    <x v="379"/>
    <x v="5"/>
    <x v="14"/>
    <s v="BBVA"/>
    <e v="#NAME?"/>
    <s v="SDATOOL-38419 $ Contratación cuenta en línea en Glomo"/>
    <n v="1"/>
    <s v="Desarrollador"/>
    <s v="Cells"/>
    <m/>
    <e v="#NAME?"/>
    <e v="#NAME?"/>
    <e v="#NAME?"/>
    <m/>
    <m/>
    <m/>
    <m/>
    <m/>
  </r>
  <r>
    <s v="CE69992"/>
    <x v="380"/>
    <x v="5"/>
    <x v="14"/>
    <s v="Globant"/>
    <e v="#NAME?"/>
    <s v="SDATOOL-38419 $ Contratación cuenta en línea en Glomo"/>
    <n v="1"/>
    <s v="Desarrollador"/>
    <s v="Cells"/>
    <m/>
    <e v="#NAME?"/>
    <e v="#NAME?"/>
    <e v="#NAME?"/>
    <m/>
    <m/>
    <m/>
    <m/>
    <m/>
  </r>
  <r>
    <s v="CE51863"/>
    <x v="275"/>
    <x v="5"/>
    <x v="14"/>
    <s v="KRYPTO"/>
    <e v="#NAME?"/>
    <s v="SDATOOL-41797 $ Optimización Cuenta en línea Web"/>
    <n v="0.02"/>
    <s v="QA"/>
    <s v="Otras Tec."/>
    <m/>
    <e v="#NAME?"/>
    <e v="#NAME?"/>
    <e v="#NAME?"/>
    <m/>
    <m/>
    <m/>
    <m/>
    <m/>
  </r>
  <r>
    <s v="O005003 "/>
    <x v="374"/>
    <x v="5"/>
    <x v="14"/>
    <s v="BBVA"/>
    <e v="#NAME?"/>
    <s v="SDATOOL-41797 $ Optimización Cuenta en línea Web"/>
    <n v="0.2"/>
    <s v="Tech Manager/Líder"/>
    <s v="Otras Tec."/>
    <m/>
    <e v="#NAME?"/>
    <e v="#NAME?"/>
    <e v="#NAME?"/>
    <m/>
    <m/>
    <m/>
    <m/>
    <m/>
  </r>
  <r>
    <s v="C805527"/>
    <x v="381"/>
    <x v="5"/>
    <x v="14"/>
    <s v="BBVA"/>
    <e v="#NAME?"/>
    <s v="SDATOOL-41797 $ Optimización Cuenta en línea Web"/>
    <n v="1"/>
    <s v="Desarrollador"/>
    <s v="Cells"/>
    <m/>
    <e v="#NAME?"/>
    <e v="#NAME?"/>
    <e v="#NAME?"/>
    <m/>
    <m/>
    <m/>
    <m/>
    <m/>
  </r>
  <r>
    <s v="T006279"/>
    <x v="382"/>
    <x v="5"/>
    <x v="14"/>
    <s v="Choucair"/>
    <e v="#NAME?"/>
    <s v="SDATOOL-41797 $ Optimización Cuenta en línea Web"/>
    <n v="1"/>
    <s v="QA"/>
    <s v="Otras Tec."/>
    <m/>
    <e v="#NAME?"/>
    <e v="#NAME?"/>
    <e v="#NAME?"/>
    <m/>
    <m/>
    <m/>
    <m/>
    <m/>
  </r>
  <r>
    <m/>
    <x v="383"/>
    <x v="5"/>
    <x v="14"/>
    <s v="Accenture"/>
    <e v="#NAME?"/>
    <s v="SDATOOL-41797 $ Optimización Cuenta en línea Web"/>
    <n v="1"/>
    <s v="Desarrollador"/>
    <s v="Cells"/>
    <m/>
    <e v="#NAME?"/>
    <e v="#NAME?"/>
    <e v="#NAME?"/>
    <m/>
    <m/>
    <m/>
    <m/>
    <m/>
  </r>
  <r>
    <s v="O005003 "/>
    <x v="374"/>
    <x v="5"/>
    <x v="14"/>
    <s v="BBVA"/>
    <e v="#NAME?"/>
    <s v="SDATOOL-36048 $ Repositorio flujos ventas digitales flujos - Plan Ascenso Open Market"/>
    <n v="0.2"/>
    <s v="Tech Manager/Líder"/>
    <s v="Otras Tec."/>
    <m/>
    <e v="#NAME?"/>
    <e v="#NAME?"/>
    <e v="#NAME?"/>
    <m/>
    <m/>
    <m/>
    <m/>
    <n v="2"/>
  </r>
  <r>
    <s v="T000210"/>
    <x v="384"/>
    <x v="5"/>
    <x v="14"/>
    <s v="Indra"/>
    <e v="#NAME?"/>
    <s v="SDATOOL-36048 $ Repositorio flujos ventas digitales flujos - Plan Ascenso Open Market"/>
    <n v="1"/>
    <s v="Desarrollador"/>
    <s v="Cells"/>
    <m/>
    <e v="#NAME?"/>
    <e v="#NAME?"/>
    <e v="#NAME?"/>
    <m/>
    <m/>
    <m/>
    <m/>
    <n v="2"/>
  </r>
  <r>
    <s v="O002162"/>
    <x v="385"/>
    <x v="5"/>
    <x v="14"/>
    <s v="BBVA"/>
    <e v="#NAME?"/>
    <s v="SDATOOL-36048 $ Repositorio flujos ventas digitales flujos - Plan Ascenso Open Market"/>
    <n v="1"/>
    <s v="Desarrollador"/>
    <s v="APX"/>
    <m/>
    <e v="#NAME?"/>
    <e v="#NAME?"/>
    <e v="#NAME?"/>
    <m/>
    <m/>
    <m/>
    <m/>
    <n v="2"/>
  </r>
  <r>
    <s v="CE69750"/>
    <x v="386"/>
    <x v="5"/>
    <x v="14"/>
    <s v="Choucair"/>
    <e v="#NAME?"/>
    <s v="SDATOOL-36048 $ Repositorio flujos ventas digitales flujos - Plan Ascenso Open Market"/>
    <n v="1"/>
    <s v="QA"/>
    <s v="Otras Tec."/>
    <m/>
    <e v="#NAME?"/>
    <e v="#NAME?"/>
    <e v="#NAME?"/>
    <m/>
    <m/>
    <m/>
    <m/>
    <n v="2"/>
  </r>
  <r>
    <s v="T001323"/>
    <x v="387"/>
    <x v="5"/>
    <x v="14"/>
    <s v="Globant"/>
    <e v="#NAME?"/>
    <s v="SDATOOL-36048 $ Repositorio flujos ventas digitales flujos - Plan Ascenso Open Market"/>
    <n v="1"/>
    <s v="Desarrollador"/>
    <s v="Cells"/>
    <m/>
    <e v="#NAME?"/>
    <e v="#NAME?"/>
    <e v="#NAME?"/>
    <m/>
    <m/>
    <m/>
    <m/>
    <n v="2"/>
  </r>
  <r>
    <s v="CE55865"/>
    <x v="388"/>
    <x v="5"/>
    <x v="14"/>
    <s v="GGI / CMC"/>
    <e v="#NAME?"/>
    <s v="SDATOOL-36048 $ Repositorio flujos ventas digitales flujos - Plan Ascenso Open Market"/>
    <n v="1"/>
    <s v="Desarrollador"/>
    <s v="Mainframe"/>
    <m/>
    <e v="#NAME?"/>
    <e v="#NAME?"/>
    <e v="#NAME?"/>
    <m/>
    <m/>
    <m/>
    <m/>
    <n v="2"/>
  </r>
  <r>
    <s v="C805937"/>
    <x v="389"/>
    <x v="5"/>
    <x v="14"/>
    <s v="BBVA"/>
    <e v="#NAME?"/>
    <s v="SDATOOL-36048 $ Repositorio flujos ventas digitales flujos - Plan Ascenso Open Market"/>
    <n v="1"/>
    <s v="Desarrollador"/>
    <s v="Cells"/>
    <m/>
    <e v="#NAME?"/>
    <e v="#NAME?"/>
    <e v="#NAME?"/>
    <m/>
    <m/>
    <m/>
    <m/>
    <n v="2"/>
  </r>
  <r>
    <m/>
    <x v="390"/>
    <x v="5"/>
    <x v="14"/>
    <s v="Indra"/>
    <e v="#NAME?"/>
    <s v="SDATOOL-36048 $ Repositorio flujos ventas digitales flujos - Plan Ascenso Open Market"/>
    <n v="1"/>
    <s v="Desarrollador"/>
    <s v="Cells"/>
    <m/>
    <e v="#NAME?"/>
    <e v="#NAME?"/>
    <e v="#NAME?"/>
    <m/>
    <m/>
    <m/>
    <m/>
    <n v="2"/>
  </r>
  <r>
    <m/>
    <x v="391"/>
    <x v="5"/>
    <x v="14"/>
    <s v="Accenture"/>
    <e v="#NAME?"/>
    <s v="SDATOOL-36048 $ Repositorio flujos ventas digitales flujos - Plan Ascenso Open Market"/>
    <n v="1"/>
    <s v="Desarrollador"/>
    <s v="Cells"/>
    <m/>
    <e v="#NAME?"/>
    <e v="#NAME?"/>
    <e v="#NAME?"/>
    <m/>
    <m/>
    <m/>
    <m/>
    <n v="2"/>
  </r>
  <r>
    <m/>
    <x v="392"/>
    <x v="5"/>
    <x v="14"/>
    <s v="Indra"/>
    <e v="#NAME?"/>
    <s v="SDATOOL-36048 $ Repositorio flujos ventas digitales flujos - Plan Ascenso Open Market"/>
    <n v="1"/>
    <s v="Desarrollador"/>
    <s v="APX"/>
    <m/>
    <e v="#NAME?"/>
    <e v="#NAME?"/>
    <e v="#NAME?"/>
    <m/>
    <m/>
    <m/>
    <m/>
    <n v="2"/>
  </r>
  <r>
    <m/>
    <x v="393"/>
    <x v="5"/>
    <x v="14"/>
    <s v="Accenture"/>
    <e v="#NAME?"/>
    <s v="SDATOOL-36048 $ Repositorio flujos ventas digitales flujos - Plan Ascenso Open Market"/>
    <n v="1"/>
    <s v="Desarrollador"/>
    <s v="APX"/>
    <m/>
    <e v="#NAME?"/>
    <e v="#NAME?"/>
    <e v="#NAME?"/>
    <m/>
    <m/>
    <m/>
    <m/>
    <n v="2"/>
  </r>
  <r>
    <m/>
    <x v="394"/>
    <x v="5"/>
    <x v="14"/>
    <s v="Choucair"/>
    <e v="#NAME?"/>
    <s v="SDATOOL-36048 $ Repositorio flujos ventas digitales flujos - Plan Ascenso Open Market"/>
    <n v="1"/>
    <s v="QA"/>
    <s v="Otras Tec."/>
    <m/>
    <e v="#NAME?"/>
    <e v="#NAME?"/>
    <e v="#NAME?"/>
    <m/>
    <m/>
    <m/>
    <m/>
    <n v="2"/>
  </r>
  <r>
    <m/>
    <x v="395"/>
    <x v="5"/>
    <x v="14"/>
    <s v="Choucair"/>
    <e v="#NAME?"/>
    <s v="SDATOOL-36048 $ Repositorio flujos ventas digitales flujos - Plan Ascenso Open Market"/>
    <n v="1"/>
    <s v="QA"/>
    <s v="Otras Tec."/>
    <m/>
    <e v="#NAME?"/>
    <e v="#NAME?"/>
    <e v="#NAME?"/>
    <m/>
    <m/>
    <m/>
    <m/>
    <n v="2"/>
  </r>
  <r>
    <s v="CE67859"/>
    <x v="366"/>
    <x v="5"/>
    <x v="14"/>
    <s v="Accenture"/>
    <e v="#NAME?"/>
    <s v="SDATOOL-37055 $ Cash in- PSE - Plan Ascenso Privado"/>
    <n v="0.5"/>
    <s v="Desarrollador"/>
    <s v="ASO"/>
    <m/>
    <e v="#NAME?"/>
    <e v="#NAME?"/>
    <e v="#NAME?"/>
    <m/>
    <m/>
    <m/>
    <m/>
    <n v="2"/>
  </r>
  <r>
    <s v="CE51863"/>
    <x v="275"/>
    <x v="5"/>
    <x v="14"/>
    <s v="KRYPTO"/>
    <e v="#NAME?"/>
    <s v="SDATOOL-37055 $ Cash in- PSE - Plan Ascenso Privado"/>
    <n v="0.02"/>
    <s v="QA"/>
    <s v="Otras Tec."/>
    <m/>
    <e v="#NAME?"/>
    <e v="#NAME?"/>
    <e v="#NAME?"/>
    <m/>
    <m/>
    <m/>
    <m/>
    <n v="2"/>
  </r>
  <r>
    <s v="T004295"/>
    <x v="396"/>
    <x v="5"/>
    <x v="14"/>
    <s v="Accenture"/>
    <e v="#NAME?"/>
    <s v="SDATOOL-37055 $ Cash in- PSE - Plan Ascenso Privado"/>
    <n v="1"/>
    <s v="Desarrollador"/>
    <s v="Cells"/>
    <m/>
    <e v="#NAME?"/>
    <e v="#NAME?"/>
    <e v="#NAME?"/>
    <m/>
    <m/>
    <m/>
    <m/>
    <n v="2"/>
  </r>
  <r>
    <s v="C811281"/>
    <x v="397"/>
    <x v="5"/>
    <x v="14"/>
    <s v="BBVA"/>
    <e v="#NAME?"/>
    <s v="SDATOOL-37055 $ Cash in- PSE - Plan Ascenso Privado"/>
    <n v="1"/>
    <s v="Desarrollador"/>
    <s v="Cells"/>
    <m/>
    <e v="#NAME?"/>
    <e v="#NAME?"/>
    <e v="#NAME?"/>
    <m/>
    <m/>
    <m/>
    <m/>
    <n v="2"/>
  </r>
  <r>
    <s v="T007579"/>
    <x v="398"/>
    <x v="5"/>
    <x v="14"/>
    <s v="Neoris"/>
    <e v="#NAME?"/>
    <s v="SDATOOL-37055 $ Cash in- PSE - Plan Ascenso Privado"/>
    <n v="1"/>
    <s v="Desarrollador"/>
    <s v="Mainframe"/>
    <m/>
    <e v="#NAME?"/>
    <e v="#NAME?"/>
    <e v="#NAME?"/>
    <m/>
    <m/>
    <m/>
    <m/>
    <n v="2"/>
  </r>
  <r>
    <s v="O002593"/>
    <x v="367"/>
    <x v="5"/>
    <x v="14"/>
    <s v="BBVA"/>
    <e v="#NAME?"/>
    <s v="SDATOOL-37055 $ Cash in- PSE - Plan Ascenso Privado"/>
    <n v="0.2"/>
    <s v="Tech Manager/Líder"/>
    <s v="Otras Tec."/>
    <m/>
    <e v="#NAME?"/>
    <e v="#NAME?"/>
    <e v="#NAME?"/>
    <m/>
    <m/>
    <m/>
    <m/>
    <n v="2"/>
  </r>
  <r>
    <s v="O002593"/>
    <x v="367"/>
    <x v="5"/>
    <x v="14"/>
    <s v="BBVA"/>
    <e v="#NAME?"/>
    <s v="SDATOOL-37055 $ Cash in- PSE - Plan Ascenso Privado"/>
    <n v="0.2"/>
    <s v="Tech Manager/Líder"/>
    <s v="Otras Tec."/>
    <m/>
    <e v="#NAME?"/>
    <e v="#NAME?"/>
    <e v="#NAME?"/>
    <m/>
    <m/>
    <m/>
    <m/>
    <n v="2"/>
  </r>
  <r>
    <m/>
    <x v="399"/>
    <x v="5"/>
    <x v="14"/>
    <s v="Neoris"/>
    <e v="#NAME?"/>
    <s v="SDATOOL-37055 $ Cash in- PSE - Plan Ascenso Privado"/>
    <n v="1"/>
    <s v="Desarrollador"/>
    <s v="ASO"/>
    <m/>
    <e v="#NAME?"/>
    <e v="#NAME?"/>
    <e v="#NAME?"/>
    <m/>
    <m/>
    <m/>
    <m/>
    <n v="2"/>
  </r>
  <r>
    <m/>
    <x v="400"/>
    <x v="5"/>
    <x v="14"/>
    <s v="Accenture"/>
    <e v="#NAME?"/>
    <s v="SDATOOL-37055 $ Cash in- PSE - Plan Ascenso Privado"/>
    <n v="1"/>
    <s v="Desarrollador"/>
    <s v="Mainframe"/>
    <m/>
    <e v="#NAME?"/>
    <e v="#NAME?"/>
    <e v="#NAME?"/>
    <m/>
    <m/>
    <m/>
    <m/>
    <n v="2"/>
  </r>
  <r>
    <m/>
    <x v="383"/>
    <x v="5"/>
    <x v="14"/>
    <s v="Accenture"/>
    <e v="#NAME?"/>
    <s v="SDATOOL-37055 $ Cash in- PSE - Plan Ascenso Privado"/>
    <n v="1"/>
    <s v="Desarrollador"/>
    <s v="Cells"/>
    <m/>
    <e v="#NAME?"/>
    <e v="#NAME?"/>
    <e v="#NAME?"/>
    <m/>
    <m/>
    <m/>
    <m/>
    <n v="2"/>
  </r>
  <r>
    <s v="CE51863"/>
    <x v="275"/>
    <x v="5"/>
    <x v="14"/>
    <s v="KRYPTO"/>
    <e v="#NAME?"/>
    <s v="SDATOOL-39197 $ Tealeaf SaaS"/>
    <n v="0.02"/>
    <s v="QA"/>
    <s v="Otras Tec."/>
    <m/>
    <e v="#NAME?"/>
    <e v="#NAME?"/>
    <e v="#NAME?"/>
    <m/>
    <m/>
    <m/>
    <m/>
    <n v="2"/>
  </r>
  <r>
    <s v="O004043"/>
    <x v="401"/>
    <x v="5"/>
    <x v="14"/>
    <s v="BBVA"/>
    <e v="#NAME?"/>
    <s v="SDATOOL-39197 $ Tealeaf SaaS"/>
    <n v="0.5"/>
    <s v="Desarrollador"/>
    <s v="Cells"/>
    <m/>
    <e v="#NAME?"/>
    <e v="#NAME?"/>
    <e v="#NAME?"/>
    <m/>
    <m/>
    <m/>
    <m/>
    <n v="2"/>
  </r>
  <r>
    <s v="CE70114"/>
    <x v="402"/>
    <x v="5"/>
    <x v="14"/>
    <s v="GGI / CMC"/>
    <e v="#NAME?"/>
    <s v="SDATOOL-39197 $ Tealeaf SaaS"/>
    <n v="1"/>
    <s v="QA"/>
    <s v="Otras Tec."/>
    <m/>
    <e v="#NAME?"/>
    <e v="#NAME?"/>
    <e v="#NAME?"/>
    <m/>
    <m/>
    <m/>
    <m/>
    <n v="2"/>
  </r>
  <r>
    <s v="O002593"/>
    <x v="367"/>
    <x v="5"/>
    <x v="14"/>
    <s v="BBVA"/>
    <e v="#NAME?"/>
    <s v="SDATOOL-39197 $ Tealeaf SaaS"/>
    <n v="0.2"/>
    <s v="Tech Manager/Líder"/>
    <s v="Otras Tec."/>
    <m/>
    <e v="#NAME?"/>
    <e v="#NAME?"/>
    <e v="#NAME?"/>
    <m/>
    <m/>
    <m/>
    <m/>
    <n v="2"/>
  </r>
  <r>
    <s v="T000410"/>
    <x v="403"/>
    <x v="5"/>
    <x v="14"/>
    <s v="Globant"/>
    <e v="#NAME?"/>
    <s v="SDATOOL-36548 $ Optimización consumo web - Plan ascenso Open Market"/>
    <n v="1"/>
    <s v="Desarrollador"/>
    <s v="Cells"/>
    <m/>
    <e v="#NAME?"/>
    <e v="#NAME?"/>
    <e v="#NAME?"/>
    <m/>
    <m/>
    <m/>
    <m/>
    <m/>
  </r>
  <r>
    <s v="CE51863"/>
    <x v="275"/>
    <x v="5"/>
    <x v="14"/>
    <s v="KRYPTO"/>
    <e v="#NAME?"/>
    <s v="SDATOOL-36548 $ Optimización consumo web - Plan ascenso Open Market"/>
    <n v="0.02"/>
    <s v="QA"/>
    <s v="Otras Tec."/>
    <m/>
    <e v="#NAME?"/>
    <e v="#NAME?"/>
    <e v="#NAME?"/>
    <m/>
    <m/>
    <m/>
    <m/>
    <m/>
  </r>
  <r>
    <s v="C810668"/>
    <x v="404"/>
    <x v="5"/>
    <x v="14"/>
    <s v="BBVA"/>
    <e v="#NAME?"/>
    <s v="SDATOOL-36548 $ Optimización consumo web - Plan ascenso Open Market"/>
    <n v="1"/>
    <s v="Desarrollador"/>
    <s v="Cells"/>
    <m/>
    <e v="#NAME?"/>
    <e v="#NAME?"/>
    <e v="#NAME?"/>
    <m/>
    <m/>
    <m/>
    <m/>
    <m/>
  </r>
  <r>
    <s v="C342589"/>
    <x v="405"/>
    <x v="5"/>
    <x v="14"/>
    <s v="BBVA"/>
    <e v="#NAME?"/>
    <s v="SDATOOL-36548 $ Optimización consumo web - Plan ascenso Open Market"/>
    <n v="0.3"/>
    <s v="Tech Manager/Líder"/>
    <s v="Otras Tec."/>
    <m/>
    <e v="#NAME?"/>
    <e v="#NAME?"/>
    <e v="#NAME?"/>
    <m/>
    <m/>
    <m/>
    <m/>
    <m/>
  </r>
  <r>
    <s v="CE51863"/>
    <x v="275"/>
    <x v="5"/>
    <x v="14"/>
    <s v="KRYPTO"/>
    <e v="#NAME?"/>
    <s v="NOSDA $ BAU (Mantenimiento y peq. evolutivos)"/>
    <n v="0.02"/>
    <s v="QA"/>
    <s v="Otras Tec."/>
    <m/>
    <e v="#NAME?"/>
    <e v="#NAME?"/>
    <e v="#NAME?"/>
    <m/>
    <m/>
    <m/>
    <m/>
    <m/>
  </r>
  <r>
    <s v="C342589"/>
    <x v="405"/>
    <x v="5"/>
    <x v="14"/>
    <s v="BBVA"/>
    <e v="#NAME?"/>
    <s v="NOSDA $ BAU (Mantenimiento y peq. evolutivos)"/>
    <n v="0.7"/>
    <s v="Tech Manager/Líder"/>
    <s v="Otras Tec."/>
    <m/>
    <e v="#NAME?"/>
    <e v="#NAME?"/>
    <e v="#NAME?"/>
    <m/>
    <m/>
    <m/>
    <m/>
    <m/>
  </r>
  <r>
    <s v="C809750"/>
    <x v="406"/>
    <x v="5"/>
    <x v="14"/>
    <s v="BBVA"/>
    <e v="#NAME?"/>
    <s v="NOSDA $ BAU (Mantenimiento y peq. evolutivos)"/>
    <n v="1"/>
    <s v="Desarrollador"/>
    <s v="Cells"/>
    <m/>
    <e v="#NAME?"/>
    <e v="#NAME?"/>
    <e v="#NAME?"/>
    <m/>
    <m/>
    <m/>
    <m/>
    <m/>
  </r>
  <r>
    <s v="CE67868"/>
    <x v="407"/>
    <x v="5"/>
    <x v="14"/>
    <s v="Accenture"/>
    <e v="#NAME?"/>
    <s v="NOSDA $ BAU (Mantenimiento y peq. evolutivos)"/>
    <n v="1"/>
    <s v="Desarrollador"/>
    <s v="Cells"/>
    <m/>
    <e v="#NAME?"/>
    <e v="#NAME?"/>
    <e v="#NAME?"/>
    <m/>
    <m/>
    <m/>
    <m/>
    <m/>
  </r>
  <r>
    <s v="CE67314"/>
    <x v="408"/>
    <x v="5"/>
    <x v="14"/>
    <s v="Accenture"/>
    <e v="#NAME?"/>
    <s v="NOSDA $ BAU (Mantenimiento y peq. evolutivos)"/>
    <n v="1"/>
    <s v="Desarrollador"/>
    <s v="APX"/>
    <m/>
    <e v="#NAME?"/>
    <e v="#NAME?"/>
    <e v="#NAME?"/>
    <m/>
    <m/>
    <m/>
    <m/>
    <m/>
  </r>
  <r>
    <s v="CE51863"/>
    <x v="275"/>
    <x v="5"/>
    <x v="14"/>
    <s v="KRYPTO"/>
    <e v="#NAME?"/>
    <s v="SDATOOL-36048 $ Repositorio flujos ventas digitales flujos - Plan Ascenso Open Market"/>
    <n v="0.02"/>
    <s v="QA"/>
    <s v="Otras Tec."/>
    <m/>
    <e v="#NAME?"/>
    <e v="#NAME?"/>
    <e v="#NAME?"/>
    <m/>
    <m/>
    <m/>
    <m/>
    <m/>
  </r>
  <r>
    <s v="CE66714"/>
    <x v="409"/>
    <x v="5"/>
    <x v="14"/>
    <s v="Novatec"/>
    <e v="#NAME?"/>
    <s v="SDATOOL-39836 $ Vivienda digital fase III"/>
    <n v="1"/>
    <s v="Desarrollador"/>
    <s v="Cells"/>
    <m/>
    <e v="#NAME?"/>
    <e v="#NAME?"/>
    <e v="#NAME?"/>
    <m/>
    <m/>
    <m/>
    <m/>
    <m/>
  </r>
  <r>
    <s v="O002593"/>
    <x v="367"/>
    <x v="5"/>
    <x v="14"/>
    <s v="BBVA"/>
    <e v="#NAME?"/>
    <s v="SDATOOL-39836 $ Vivienda digital fase III"/>
    <n v="0.2"/>
    <s v="Tech Manager/Líder"/>
    <s v="Otras Tec."/>
    <m/>
    <e v="#NAME?"/>
    <e v="#NAME?"/>
    <e v="#NAME?"/>
    <m/>
    <m/>
    <m/>
    <m/>
    <m/>
  </r>
  <r>
    <s v="O005003 "/>
    <x v="374"/>
    <x v="5"/>
    <x v="14"/>
    <s v="BBVA"/>
    <e v="#NAME?"/>
    <s v="SDATOOL-34910 $ Libranza Digital"/>
    <n v="0.2"/>
    <s v="Tech Manager/Líder"/>
    <s v="Otras Tec."/>
    <m/>
    <e v="#NAME?"/>
    <e v="#NAME?"/>
    <e v="#NAME?"/>
    <m/>
    <m/>
    <m/>
    <m/>
    <n v="2"/>
  </r>
  <r>
    <m/>
    <x v="394"/>
    <x v="5"/>
    <x v="14"/>
    <s v="Choucair"/>
    <e v="#NAME?"/>
    <s v="SDATOOL-34910 $ Libranza Digital"/>
    <n v="1"/>
    <s v="QA"/>
    <s v="Otras Tec."/>
    <m/>
    <e v="#NAME?"/>
    <e v="#NAME?"/>
    <e v="#NAME?"/>
    <m/>
    <m/>
    <m/>
    <m/>
    <m/>
  </r>
  <r>
    <m/>
    <x v="390"/>
    <x v="5"/>
    <x v="14"/>
    <s v="Accenture"/>
    <e v="#NAME?"/>
    <s v="SDATOOL-34910 $ Libranza Digital"/>
    <n v="1"/>
    <s v="Desarrollador"/>
    <s v="Cells"/>
    <m/>
    <e v="#NAME?"/>
    <e v="#NAME?"/>
    <e v="#NAME?"/>
    <m/>
    <m/>
    <m/>
    <m/>
    <m/>
  </r>
  <r>
    <m/>
    <x v="391"/>
    <x v="5"/>
    <x v="14"/>
    <s v="Accenture"/>
    <e v="#NAME?"/>
    <s v="SDATOOL-34910 $ Libranza Digital"/>
    <n v="1"/>
    <s v="Desarrollador"/>
    <s v="Cells"/>
    <m/>
    <e v="#NAME?"/>
    <e v="#NAME?"/>
    <e v="#NAME?"/>
    <m/>
    <m/>
    <m/>
    <m/>
    <m/>
  </r>
  <r>
    <s v="O005003 "/>
    <x v="374"/>
    <x v="5"/>
    <x v="14"/>
    <s v="BBVA"/>
    <e v="#NAME?"/>
    <s v="SDATOOL-40536 $ Google analitycs 4"/>
    <n v="0.2"/>
    <s v="Tech Manager/Líder"/>
    <s v="Otras Tec."/>
    <m/>
    <e v="#NAME?"/>
    <e v="#NAME?"/>
    <e v="#NAME?"/>
    <m/>
    <m/>
    <m/>
    <m/>
    <n v="2"/>
  </r>
  <r>
    <s v="O004043"/>
    <x v="401"/>
    <x v="5"/>
    <x v="14"/>
    <s v="BBVA"/>
    <e v="#NAME?"/>
    <s v="SDATOOL-40536 $ Google analitycs 4"/>
    <n v="0.5"/>
    <s v="Desarrollador"/>
    <s v="Cells"/>
    <m/>
    <e v="#NAME?"/>
    <e v="#NAME?"/>
    <e v="#NAME?"/>
    <m/>
    <m/>
    <m/>
    <m/>
    <n v="2"/>
  </r>
  <r>
    <s v="C797767"/>
    <x v="410"/>
    <x v="3"/>
    <x v="15"/>
    <s v="BBVA"/>
    <e v="#NAME?"/>
    <s v="SDATOOL-39384 $ Abonos a préstamos por canales"/>
    <n v="0.5"/>
    <s v="Desarrollador"/>
    <s v="Mainframe"/>
    <m/>
    <e v="#NAME?"/>
    <e v="#NAME?"/>
    <e v="#NAME?"/>
    <m/>
    <m/>
    <m/>
    <m/>
    <m/>
  </r>
  <r>
    <s v="C797767"/>
    <x v="410"/>
    <x v="3"/>
    <x v="15"/>
    <s v="BBVA"/>
    <e v="#NAME?"/>
    <s v="SDATOOL-28278 $ GRM Col - TMP Cobranzas - Pago en Canales Alternativos"/>
    <n v="0.5"/>
    <s v="Desarrollador"/>
    <s v="Mainframe"/>
    <m/>
    <e v="#NAME?"/>
    <e v="#NAME?"/>
    <e v="#NAME?"/>
    <m/>
    <m/>
    <m/>
    <m/>
    <m/>
  </r>
  <r>
    <s v="O001978"/>
    <x v="411"/>
    <x v="3"/>
    <x v="15"/>
    <s v="BBVA"/>
    <e v="#NAME?"/>
    <s v="SDATOOL-40670 $ Plan CRM: Mejoras DWP Jurídicos (Pymes, Empresas,Gobiernos)"/>
    <n v="0.3"/>
    <s v="Desarrollador"/>
    <s v="ASO"/>
    <m/>
    <e v="#NAME?"/>
    <e v="#NAME?"/>
    <e v="#NAME?"/>
    <m/>
    <m/>
    <m/>
    <m/>
    <m/>
  </r>
  <r>
    <s v="O001978"/>
    <x v="411"/>
    <x v="3"/>
    <x v="15"/>
    <s v="BBVA"/>
    <e v="#NAME?"/>
    <s v="SDATOOL-40435 $ Cuota Segura créditos de libranza"/>
    <n v="0.7"/>
    <s v="Desarrollador"/>
    <s v="ASO"/>
    <m/>
    <e v="#NAME?"/>
    <e v="#NAME?"/>
    <e v="#NAME?"/>
    <m/>
    <m/>
    <m/>
    <m/>
    <m/>
  </r>
  <r>
    <s v="O001977"/>
    <x v="412"/>
    <x v="3"/>
    <x v="15"/>
    <s v="BBVA"/>
    <e v="#NAME?"/>
    <s v="SDATOOL-39384 $ Abonos a préstamos por canales"/>
    <n v="0.5"/>
    <s v="Desarrollador"/>
    <s v="Mainframe"/>
    <m/>
    <e v="#NAME?"/>
    <e v="#NAME?"/>
    <e v="#NAME?"/>
    <m/>
    <m/>
    <m/>
    <m/>
    <m/>
  </r>
  <r>
    <s v="O001977"/>
    <x v="412"/>
    <x v="3"/>
    <x v="15"/>
    <s v="BBVA"/>
    <e v="#NAME?"/>
    <s v="SDATOOL-28278 $ GRM Col - TMP Cobranzas - Pago en Canales Alternativos"/>
    <n v="0.5"/>
    <s v="Desarrollador"/>
    <s v="Mainframe"/>
    <m/>
    <e v="#NAME?"/>
    <e v="#NAME?"/>
    <e v="#NAME?"/>
    <m/>
    <m/>
    <m/>
    <m/>
    <m/>
  </r>
  <r>
    <s v="O000451"/>
    <x v="413"/>
    <x v="3"/>
    <x v="15"/>
    <s v="BBVA"/>
    <e v="#NAME?"/>
    <s v="SDATOOL-39384 $ Abonos a préstamos por canales"/>
    <n v="1"/>
    <s v="Desarrollador"/>
    <s v="Mainframe"/>
    <m/>
    <e v="#NAME?"/>
    <e v="#NAME?"/>
    <e v="#NAME?"/>
    <m/>
    <m/>
    <m/>
    <m/>
    <m/>
  </r>
  <r>
    <s v="O001827"/>
    <x v="414"/>
    <x v="3"/>
    <x v="15"/>
    <s v="BBVA"/>
    <e v="#NAME?"/>
    <s v="SDATOOL-39384 $ Abonos a préstamos por canales"/>
    <n v="0.5"/>
    <s v="Tech Manager/Líder"/>
    <s v="Mainframe"/>
    <m/>
    <e v="#NAME?"/>
    <e v="#NAME?"/>
    <e v="#NAME?"/>
    <m/>
    <m/>
    <m/>
    <m/>
    <m/>
  </r>
  <r>
    <s v="O001827"/>
    <x v="414"/>
    <x v="3"/>
    <x v="15"/>
    <s v="BBVA"/>
    <e v="#NAME?"/>
    <s v="SDATOOL-28278 $ GRM Col - TMP Cobranzas - Pago en Canales Alternativos"/>
    <n v="0.5"/>
    <s v="Tech Manager/Líder"/>
    <s v="ASO"/>
    <m/>
    <e v="#NAME?"/>
    <e v="#NAME?"/>
    <e v="#NAME?"/>
    <m/>
    <m/>
    <m/>
    <m/>
    <m/>
  </r>
  <r>
    <s v="C805385"/>
    <x v="415"/>
    <x v="3"/>
    <x v="15"/>
    <s v="BBVA"/>
    <e v="#NAME?"/>
    <s v="SDATOOL-34910 $ Libranza Digital"/>
    <n v="1"/>
    <s v="Desarrollador"/>
    <s v="Mainframe"/>
    <m/>
    <e v="#NAME?"/>
    <e v="#NAME?"/>
    <e v="#NAME?"/>
    <m/>
    <m/>
    <m/>
    <m/>
    <m/>
  </r>
  <r>
    <s v="C810943"/>
    <x v="416"/>
    <x v="3"/>
    <x v="15"/>
    <s v="BBVA"/>
    <e v="#NAME?"/>
    <s v="SDATOOL-36522 $ Libranza E2E digital Fase III - Plan Ascenso Privado"/>
    <n v="1"/>
    <s v="Desarrollador"/>
    <s v="Mainframe"/>
    <m/>
    <e v="#NAME?"/>
    <e v="#NAME?"/>
    <e v="#NAME?"/>
    <m/>
    <m/>
    <m/>
    <m/>
    <m/>
  </r>
  <r>
    <s v="C810846"/>
    <x v="417"/>
    <x v="3"/>
    <x v="15"/>
    <s v="BBVA"/>
    <e v="#NAME?"/>
    <s v="SDATOOL-36560 $ Pricing de libranza - Plan Ascenso Open Market"/>
    <n v="1"/>
    <s v="Desarrollador"/>
    <s v="Mainframe"/>
    <m/>
    <e v="#NAME?"/>
    <e v="#NAME?"/>
    <e v="#NAME?"/>
    <m/>
    <m/>
    <m/>
    <m/>
    <m/>
  </r>
  <r>
    <s v="C805379"/>
    <x v="418"/>
    <x v="3"/>
    <x v="15"/>
    <s v="BBVA"/>
    <e v="#NAME?"/>
    <s v="SDATOOL-34910 $ Libranza Digital"/>
    <n v="0.25"/>
    <s v="Desarrollador"/>
    <s v="ASO"/>
    <m/>
    <e v="#NAME?"/>
    <e v="#NAME?"/>
    <e v="#NAME?"/>
    <m/>
    <m/>
    <m/>
    <m/>
    <m/>
  </r>
  <r>
    <s v="C805379"/>
    <x v="418"/>
    <x v="3"/>
    <x v="15"/>
    <s v="BBVA"/>
    <e v="#NAME?"/>
    <s v="SDATOOL-39272 $ GRM-Col-Cambio servicio APL (Aportes en línea)"/>
    <n v="0.75"/>
    <s v="Desarrollador"/>
    <s v="ASO"/>
    <m/>
    <e v="#NAME?"/>
    <e v="#NAME?"/>
    <e v="#NAME?"/>
    <m/>
    <m/>
    <m/>
    <m/>
    <m/>
  </r>
  <r>
    <s v="C805988"/>
    <x v="419"/>
    <x v="3"/>
    <x v="15"/>
    <s v="BBVA"/>
    <e v="#NAME?"/>
    <s v="SDATOOL-39272 $ GRM-Col-Cambio servicio APL (Aportes en línea)"/>
    <n v="1"/>
    <s v="Desarrollador"/>
    <s v="APX"/>
    <m/>
    <e v="#NAME?"/>
    <e v="#NAME?"/>
    <e v="#NAME?"/>
    <m/>
    <m/>
    <m/>
    <m/>
    <m/>
  </r>
  <r>
    <s v="C342057"/>
    <x v="420"/>
    <x v="3"/>
    <x v="15"/>
    <s v="BBVA"/>
    <e v="#NAME?"/>
    <s v="SDATOOL-36522 $ Libranza E2E digital Fase III - Plan Ascenso Privado"/>
    <n v="0.5"/>
    <s v="Desarrollador"/>
    <s v="Mainframe"/>
    <m/>
    <e v="#NAME?"/>
    <e v="#NAME?"/>
    <e v="#NAME?"/>
    <m/>
    <m/>
    <m/>
    <m/>
    <m/>
  </r>
  <r>
    <s v="C342057"/>
    <x v="420"/>
    <x v="3"/>
    <x v="15"/>
    <s v="BBVA"/>
    <e v="#NAME?"/>
    <s v="SDATOOL-34910 $ Libranza Digital"/>
    <n v="0.2"/>
    <s v="Desarrollador"/>
    <s v="Mainframe"/>
    <m/>
    <e v="#NAME?"/>
    <e v="#NAME?"/>
    <e v="#NAME?"/>
    <m/>
    <m/>
    <m/>
    <m/>
    <m/>
  </r>
  <r>
    <s v="C342057"/>
    <x v="420"/>
    <x v="3"/>
    <x v="15"/>
    <s v="BBVA"/>
    <e v="#NAME?"/>
    <s v="SDATOOL-36560 $ Pricing de libranza - Plan Ascenso Open Market"/>
    <n v="0.1"/>
    <s v="Desarrollador"/>
    <s v="Mainframe"/>
    <m/>
    <e v="#NAME?"/>
    <e v="#NAME?"/>
    <e v="#NAME?"/>
    <m/>
    <m/>
    <m/>
    <m/>
    <m/>
  </r>
  <r>
    <s v="C342057"/>
    <x v="420"/>
    <x v="3"/>
    <x v="15"/>
    <s v="BBVA"/>
    <e v="#NAME?"/>
    <s v="SDATOOL-40670 $ Plan CRM: Mejoras DWP Jurídicos (Pymes, Empresas,Gobiernos)"/>
    <n v="0.2"/>
    <s v="Desarrollador"/>
    <s v="Mainframe"/>
    <m/>
    <e v="#NAME?"/>
    <e v="#NAME?"/>
    <e v="#NAME?"/>
    <m/>
    <m/>
    <m/>
    <m/>
    <m/>
  </r>
  <r>
    <s v="C805964"/>
    <x v="421"/>
    <x v="3"/>
    <x v="15"/>
    <s v="BBVA"/>
    <e v="#NAME?"/>
    <s v="SDATOOL-40670 $ Plan CRM: Mejoras DWP Jurídicos (Pymes, Empresas,Gobiernos)"/>
    <n v="1"/>
    <s v="Desarrollador"/>
    <s v="ASO"/>
    <m/>
    <e v="#NAME?"/>
    <e v="#NAME?"/>
    <e v="#NAME?"/>
    <m/>
    <m/>
    <m/>
    <m/>
    <m/>
  </r>
  <r>
    <s v="O004843"/>
    <x v="422"/>
    <x v="3"/>
    <x v="15"/>
    <s v="BBVA"/>
    <e v="#NAME?"/>
    <s v="SDATOOL-34910 $ Libranza Digital"/>
    <n v="0.2"/>
    <s v="Tech Manager/Líder"/>
    <s v="ASO"/>
    <m/>
    <e v="#NAME?"/>
    <e v="#NAME?"/>
    <e v="#NAME?"/>
    <m/>
    <m/>
    <m/>
    <m/>
    <m/>
  </r>
  <r>
    <s v="O004843"/>
    <x v="422"/>
    <x v="3"/>
    <x v="15"/>
    <s v="BBVA"/>
    <e v="#NAME?"/>
    <s v="SDATOOL-39272 $ GRM-Col-Cambio servicio APL (Aportes en línea)"/>
    <n v="0.2"/>
    <s v="Tech Manager/Líder"/>
    <s v="APX"/>
    <m/>
    <e v="#NAME?"/>
    <e v="#NAME?"/>
    <e v="#NAME?"/>
    <m/>
    <m/>
    <m/>
    <m/>
    <m/>
  </r>
  <r>
    <s v="O004843"/>
    <x v="422"/>
    <x v="3"/>
    <x v="15"/>
    <s v="BBVA"/>
    <e v="#NAME?"/>
    <s v="SDATOOL-40670 $ Plan CRM: Mejoras DWP Jurídicos (Pymes, Empresas,Gobiernos)"/>
    <n v="0.2"/>
    <s v="Tech Manager/Líder"/>
    <s v="APX"/>
    <m/>
    <e v="#NAME?"/>
    <e v="#NAME?"/>
    <e v="#NAME?"/>
    <m/>
    <m/>
    <m/>
    <m/>
    <m/>
  </r>
  <r>
    <s v="O004843"/>
    <x v="422"/>
    <x v="3"/>
    <x v="15"/>
    <s v="BBVA"/>
    <e v="#NAME?"/>
    <s v="SDATOOL-36560 $ Pricing de libranza - Plan Ascenso Open Market"/>
    <n v="0.2"/>
    <s v="Tech Manager/Líder"/>
    <s v="Mainframe"/>
    <m/>
    <e v="#NAME?"/>
    <e v="#NAME?"/>
    <e v="#NAME?"/>
    <m/>
    <m/>
    <m/>
    <m/>
    <m/>
  </r>
  <r>
    <s v="O004843"/>
    <x v="422"/>
    <x v="3"/>
    <x v="15"/>
    <s v="BBVA"/>
    <e v="#NAME?"/>
    <s v="SDATOOL-36522 $ Libranza E2E digital Fase III - Plan Ascenso Privado"/>
    <n v="0.2"/>
    <s v="Tech Manager/Líder"/>
    <s v="Mainframe"/>
    <m/>
    <e v="#NAME?"/>
    <e v="#NAME?"/>
    <e v="#NAME?"/>
    <m/>
    <m/>
    <m/>
    <m/>
    <m/>
  </r>
  <r>
    <s v="CE59519"/>
    <x v="423"/>
    <x v="3"/>
    <x v="15"/>
    <s v="Inetum"/>
    <e v="#NAME?"/>
    <s v="SDATOOL-36560 $ Pricing de libranza - Plan Ascenso Open Market"/>
    <n v="1"/>
    <s v="Desarrollador"/>
    <s v="Mainframe"/>
    <m/>
    <e v="#NAME?"/>
    <e v="#NAME?"/>
    <e v="#NAME?"/>
    <m/>
    <m/>
    <m/>
    <m/>
    <m/>
  </r>
  <r>
    <s v="CE64394"/>
    <x v="424"/>
    <x v="3"/>
    <x v="15"/>
    <s v="KRYPTO"/>
    <e v="#NAME?"/>
    <s v="SDATOOL-36560 $ Pricing de libranza - Plan Ascenso Open Market"/>
    <n v="1"/>
    <s v="QA"/>
    <s v="Mainframe"/>
    <m/>
    <e v="#NAME?"/>
    <e v="#NAME?"/>
    <e v="#NAME?"/>
    <m/>
    <m/>
    <m/>
    <m/>
    <m/>
  </r>
  <r>
    <s v="T007567"/>
    <x v="425"/>
    <x v="3"/>
    <x v="15"/>
    <s v="Choucair"/>
    <e v="#NAME?"/>
    <s v="SDATOOL-34910 $ Libranza Digital"/>
    <n v="1"/>
    <s v="QA"/>
    <s v="Mainframe"/>
    <m/>
    <e v="#NAME?"/>
    <e v="#NAME?"/>
    <e v="#NAME?"/>
    <m/>
    <m/>
    <m/>
    <m/>
    <m/>
  </r>
  <r>
    <s v="T004584"/>
    <x v="426"/>
    <x v="3"/>
    <x v="15"/>
    <s v="Choucair"/>
    <e v="#NAME?"/>
    <s v="SDATOOL-34910 $ Libranza Digital"/>
    <n v="1"/>
    <s v="QA"/>
    <s v="Mainframe"/>
    <m/>
    <e v="#NAME?"/>
    <e v="#NAME?"/>
    <e v="#NAME?"/>
    <m/>
    <m/>
    <m/>
    <m/>
    <m/>
  </r>
  <r>
    <s v="T001314"/>
    <x v="427"/>
    <x v="3"/>
    <x v="15"/>
    <s v="Choucair"/>
    <e v="#NAME?"/>
    <s v="SDATOOL-39272 $ GRM-Col-Cambio servicio APL (Aportes en línea)"/>
    <n v="1"/>
    <s v="QA"/>
    <s v="Mainframe"/>
    <m/>
    <e v="#NAME?"/>
    <e v="#NAME?"/>
    <e v="#NAME?"/>
    <m/>
    <m/>
    <m/>
    <m/>
    <m/>
  </r>
  <r>
    <s v="CE69611"/>
    <x v="428"/>
    <x v="3"/>
    <x v="15"/>
    <s v="Accenture"/>
    <e v="#NAME?"/>
    <s v="SDATOOL-39272 $ GRM-Col-Cambio servicio APL (Aportes en línea)"/>
    <n v="1"/>
    <s v="Desarrollador"/>
    <s v="Mainframe"/>
    <m/>
    <e v="#NAME?"/>
    <e v="#NAME?"/>
    <e v="#NAME?"/>
    <m/>
    <m/>
    <m/>
    <m/>
    <m/>
  </r>
  <r>
    <s v="CE69612"/>
    <x v="429"/>
    <x v="3"/>
    <x v="15"/>
    <s v="Accenture"/>
    <e v="#NAME?"/>
    <s v="SDATOOL-34910 $ Libranza Digital"/>
    <n v="1"/>
    <s v="Desarrollador"/>
    <s v="Cells"/>
    <m/>
    <e v="#NAME?"/>
    <e v="#NAME?"/>
    <e v="#NAME?"/>
    <m/>
    <m/>
    <m/>
    <m/>
    <m/>
  </r>
  <r>
    <s v="C342048"/>
    <x v="430"/>
    <x v="3"/>
    <x v="15"/>
    <s v="BBVA"/>
    <e v="#NAME?"/>
    <s v="SDATOOL-40435 $ Cuota Segura créditos de libranza"/>
    <n v="0.5"/>
    <s v="Desarrollador"/>
    <s v="Mainframe"/>
    <m/>
    <e v="#NAME?"/>
    <e v="#NAME?"/>
    <e v="#NAME?"/>
    <m/>
    <m/>
    <m/>
    <m/>
    <m/>
  </r>
  <r>
    <s v="C342048"/>
    <x v="430"/>
    <x v="3"/>
    <x v="15"/>
    <s v="BBVA"/>
    <e v="#NAME?"/>
    <s v="SDATOOL-41748 $ Cuota Fija - Tasa Variable para créditos de Consumo y Vehículo"/>
    <n v="0.25"/>
    <s v="Desarrollador"/>
    <s v="Mainframe"/>
    <m/>
    <e v="#NAME?"/>
    <e v="#NAME?"/>
    <e v="#NAME?"/>
    <m/>
    <m/>
    <m/>
    <m/>
    <m/>
  </r>
  <r>
    <s v="C342048"/>
    <x v="430"/>
    <x v="3"/>
    <x v="15"/>
    <s v="BBVA"/>
    <e v="#NAME?"/>
    <s v="SDATOOL-40494 $ Control de cúmulos de seguros para todas las lineas del activo"/>
    <n v="0.25"/>
    <s v="Desarrollador"/>
    <s v="Mainframe"/>
    <m/>
    <e v="#NAME?"/>
    <e v="#NAME?"/>
    <e v="#NAME?"/>
    <m/>
    <m/>
    <m/>
    <m/>
    <m/>
  </r>
  <r>
    <s v="O000444"/>
    <x v="431"/>
    <x v="3"/>
    <x v="15"/>
    <s v="BBVA"/>
    <e v="#NAME?"/>
    <s v="SDATOOL-40435 $ Cuota Segura créditos de libranza"/>
    <n v="0.9"/>
    <s v="Desarrollador"/>
    <s v="Mainframe"/>
    <m/>
    <e v="#NAME?"/>
    <e v="#NAME?"/>
    <e v="#NAME?"/>
    <m/>
    <m/>
    <m/>
    <m/>
    <m/>
  </r>
  <r>
    <s v="O000444"/>
    <x v="431"/>
    <x v="3"/>
    <x v="15"/>
    <s v="BBVA"/>
    <e v="#NAME?"/>
    <s v="SDATOOL-40268 $ CLASIFICACION DE TIPO DE PRODUCTOR -CIRCULAR 48 FINAGRO"/>
    <n v="0.1"/>
    <s v="Desarrollador"/>
    <s v="Mainframe"/>
    <m/>
    <e v="#NAME?"/>
    <e v="#NAME?"/>
    <e v="#NAME?"/>
    <m/>
    <m/>
    <m/>
    <m/>
    <m/>
  </r>
  <r>
    <s v="O000106"/>
    <x v="432"/>
    <x v="3"/>
    <x v="15"/>
    <s v="BBVA"/>
    <e v="#NAME?"/>
    <s v="SDATOOL-40268 $ CLASIFICACION DE TIPO DE PRODUCTOR -CIRCULAR 48 FINAGRO"/>
    <n v="0.8"/>
    <s v="Desarrollador"/>
    <s v="Mainframe"/>
    <m/>
    <e v="#NAME?"/>
    <e v="#NAME?"/>
    <e v="#NAME?"/>
    <m/>
    <m/>
    <m/>
    <m/>
    <m/>
  </r>
  <r>
    <s v="O000106"/>
    <x v="432"/>
    <x v="3"/>
    <x v="15"/>
    <s v="BBVA"/>
    <e v="#NAME?"/>
    <s v="SDATOOL-40555 $ ADELANTO DE VENTA EN GEMA"/>
    <n v="0.2"/>
    <s v="Desarrollador"/>
    <s v="Mainframe"/>
    <m/>
    <e v="#NAME?"/>
    <e v="#NAME?"/>
    <e v="#NAME?"/>
    <m/>
    <m/>
    <m/>
    <m/>
    <m/>
  </r>
  <r>
    <s v="C810908"/>
    <x v="433"/>
    <x v="3"/>
    <x v="15"/>
    <s v="BBVA"/>
    <e v="#NAME?"/>
    <s v="SDATOOL-40670 $ Plan CRM: Mejoras DWP Jurídicos (Pymes, Empresas,Gobiernos)"/>
    <n v="0.5"/>
    <s v="Desarrollador"/>
    <s v="Mainframe"/>
    <m/>
    <e v="#NAME?"/>
    <e v="#NAME?"/>
    <e v="#NAME?"/>
    <m/>
    <m/>
    <m/>
    <m/>
    <m/>
  </r>
  <r>
    <s v="C810908"/>
    <x v="433"/>
    <x v="3"/>
    <x v="15"/>
    <s v="BBVA"/>
    <e v="#NAME?"/>
    <s v="SDATOOL-40494 $ Control de cúmulos de seguros para todas las lineas del activo"/>
    <n v="0.5"/>
    <s v="Desarrollador"/>
    <s v="Mainframe"/>
    <m/>
    <e v="#NAME?"/>
    <e v="#NAME?"/>
    <e v="#NAME?"/>
    <m/>
    <m/>
    <m/>
    <m/>
    <m/>
  </r>
  <r>
    <s v="C810801"/>
    <x v="434"/>
    <x v="3"/>
    <x v="15"/>
    <s v="BBVA"/>
    <e v="#NAME?"/>
    <s v="SDATOOL-39358 $ Crédito Virtual"/>
    <n v="0.1"/>
    <s v="Desarrollador"/>
    <s v="Mainframe"/>
    <m/>
    <e v="#NAME?"/>
    <e v="#NAME?"/>
    <e v="#NAME?"/>
    <m/>
    <m/>
    <m/>
    <m/>
    <m/>
  </r>
  <r>
    <s v="C810801"/>
    <x v="434"/>
    <x v="3"/>
    <x v="15"/>
    <s v="BBVA"/>
    <e v="#NAME?"/>
    <s v="SDATOOL-41748 $ Cuota Fija - Tasa Variable para créditos de Consumo y Vehículo"/>
    <n v="0.9"/>
    <s v="Desarrollador"/>
    <s v="Mainframe"/>
    <m/>
    <e v="#NAME?"/>
    <e v="#NAME?"/>
    <e v="#NAME?"/>
    <m/>
    <m/>
    <m/>
    <m/>
    <m/>
  </r>
  <r>
    <s v="O003400"/>
    <x v="435"/>
    <x v="3"/>
    <x v="15"/>
    <s v="BBVA"/>
    <e v="#NAME?"/>
    <s v="SDATOOL-41748 $ Cuota Fija - Tasa Variable para créditos de Consumo y Vehículo"/>
    <n v="1"/>
    <s v="Desarrollador"/>
    <s v="Mainframe"/>
    <m/>
    <e v="#NAME?"/>
    <e v="#NAME?"/>
    <e v="#NAME?"/>
    <m/>
    <m/>
    <m/>
    <m/>
    <m/>
  </r>
  <r>
    <s v="O003461"/>
    <x v="436"/>
    <x v="3"/>
    <x v="15"/>
    <s v="BBVA"/>
    <e v="#NAME?"/>
    <s v="SDATOOL-40435 $ Cuota Segura créditos de libranza"/>
    <n v="1"/>
    <s v="Desarrollador"/>
    <s v="Mainframe"/>
    <m/>
    <e v="#NAME?"/>
    <e v="#NAME?"/>
    <e v="#NAME?"/>
    <m/>
    <m/>
    <m/>
    <m/>
    <m/>
  </r>
  <r>
    <s v="C808133"/>
    <x v="437"/>
    <x v="3"/>
    <x v="15"/>
    <s v="BBVA"/>
    <e v="#NAME?"/>
    <s v="SDATOOL-40435 $ Cuota Segura créditos de libranza"/>
    <n v="0.2"/>
    <s v="Desarrollador"/>
    <s v="ASO"/>
    <m/>
    <e v="#NAME?"/>
    <e v="#NAME?"/>
    <e v="#NAME?"/>
    <m/>
    <m/>
    <m/>
    <m/>
    <m/>
  </r>
  <r>
    <s v="C808133"/>
    <x v="437"/>
    <x v="3"/>
    <x v="15"/>
    <s v="BBVA"/>
    <e v="#NAME?"/>
    <s v="SDATOOL-39836 $ Vivienda digital fase III"/>
    <n v="0.8"/>
    <s v="Desarrollador"/>
    <s v="ASO"/>
    <m/>
    <e v="#NAME?"/>
    <e v="#NAME?"/>
    <e v="#NAME?"/>
    <m/>
    <m/>
    <m/>
    <m/>
    <m/>
  </r>
  <r>
    <s v="O000446"/>
    <x v="438"/>
    <x v="3"/>
    <x v="15"/>
    <s v="BBVA"/>
    <e v="#NAME?"/>
    <s v="SDATOOL-40435 $ Cuota Segura créditos de libranza"/>
    <n v="0.2"/>
    <s v="Tech Manager/Líder"/>
    <s v="ASO"/>
    <m/>
    <e v="#NAME?"/>
    <e v="#NAME?"/>
    <e v="#NAME?"/>
    <m/>
    <m/>
    <m/>
    <m/>
    <m/>
  </r>
  <r>
    <s v="O000446"/>
    <x v="438"/>
    <x v="3"/>
    <x v="15"/>
    <s v="BBVA"/>
    <e v="#NAME?"/>
    <s v="SDATOOL-41748 $ Cuota Fija - Tasa Variable para créditos de Consumo y Vehículo"/>
    <n v="0.2"/>
    <s v="Tech Manager/Líder"/>
    <s v="Mainframe"/>
    <m/>
    <e v="#NAME?"/>
    <e v="#NAME?"/>
    <e v="#NAME?"/>
    <m/>
    <m/>
    <m/>
    <m/>
    <m/>
  </r>
  <r>
    <s v="O000446"/>
    <x v="438"/>
    <x v="3"/>
    <x v="15"/>
    <s v="BBVA"/>
    <e v="#NAME?"/>
    <s v="SDATOOL-40494 $ Control de cúmulos de seguros para todas las lineas del activo"/>
    <n v="0.2"/>
    <s v="Tech Manager/Líder"/>
    <s v="ASO"/>
    <m/>
    <e v="#NAME?"/>
    <e v="#NAME?"/>
    <e v="#NAME?"/>
    <m/>
    <m/>
    <m/>
    <m/>
    <m/>
  </r>
  <r>
    <s v="O000446"/>
    <x v="438"/>
    <x v="3"/>
    <x v="15"/>
    <s v="BBVA"/>
    <e v="#NAME?"/>
    <s v="SDATOOL-40670 $ Plan CRM: Mejoras DWP Jurídicos (Pymes, Empresas,Gobiernos)"/>
    <n v="0.2"/>
    <s v="Tech Manager/Líder"/>
    <s v="Mainframe"/>
    <m/>
    <e v="#NAME?"/>
    <e v="#NAME?"/>
    <e v="#NAME?"/>
    <m/>
    <m/>
    <m/>
    <m/>
    <m/>
  </r>
  <r>
    <s v="O000446"/>
    <x v="438"/>
    <x v="3"/>
    <x v="15"/>
    <s v="BBVA"/>
    <e v="#NAME?"/>
    <s v="SDATOOL-40268 $ CLASIFICACION DE TIPO DE PRODUCTOR -CIRCULAR 48 FINAGRO"/>
    <n v="0.2"/>
    <s v="Tech Manager/Líder"/>
    <s v="Mainframe"/>
    <m/>
    <e v="#NAME?"/>
    <e v="#NAME?"/>
    <e v="#NAME?"/>
    <m/>
    <m/>
    <m/>
    <m/>
    <m/>
  </r>
  <r>
    <s v="CE57920"/>
    <x v="439"/>
    <x v="3"/>
    <x v="15"/>
    <s v="Inetum"/>
    <e v="#NAME?"/>
    <s v="SDATOOL-40435 $ Cuota Segura créditos de libranza"/>
    <n v="1"/>
    <s v="QA"/>
    <s v="Mainframe"/>
    <m/>
    <e v="#NAME?"/>
    <e v="#NAME?"/>
    <e v="#NAME?"/>
    <m/>
    <m/>
    <m/>
    <m/>
    <m/>
  </r>
  <r>
    <s v="C804828"/>
    <x v="440"/>
    <x v="3"/>
    <x v="15"/>
    <s v="BBVA"/>
    <e v="#NAME?"/>
    <s v="SDATOOL-37483 $ Aplicativos Finanzas - 2022"/>
    <n v="0.1"/>
    <s v="Desarrollador"/>
    <s v="Mainframe"/>
    <m/>
    <e v="#NAME?"/>
    <e v="#NAME?"/>
    <e v="#NAME?"/>
    <m/>
    <m/>
    <m/>
    <m/>
    <m/>
  </r>
  <r>
    <s v="C804828"/>
    <x v="440"/>
    <x v="3"/>
    <x v="15"/>
    <s v="BBVA"/>
    <e v="#NAME?"/>
    <s v="SDATOOL-33846 $ SREP Data Quality- BCBS239 - Colombia"/>
    <n v="0.9"/>
    <s v="Desarrollador"/>
    <s v="Mainframe"/>
    <s v="Atiende dentro del programa BCBS239 3 proyectos"/>
    <e v="#NAME?"/>
    <e v="#NAME?"/>
    <e v="#NAME?"/>
    <m/>
    <m/>
    <m/>
    <m/>
    <m/>
  </r>
  <r>
    <s v="C343126"/>
    <x v="441"/>
    <x v="3"/>
    <x v="15"/>
    <s v="BBVA"/>
    <e v="#NAME?"/>
    <s v="SDATOOL-33846 $ SREP Data Quality- BCBS239 - Colombia"/>
    <n v="0.6"/>
    <s v="Desarrollador"/>
    <s v="Mainframe"/>
    <m/>
    <e v="#NAME?"/>
    <e v="#NAME?"/>
    <e v="#NAME?"/>
    <m/>
    <m/>
    <m/>
    <m/>
    <m/>
  </r>
  <r>
    <s v="C343126"/>
    <x v="441"/>
    <x v="3"/>
    <x v="15"/>
    <s v="BBVA"/>
    <e v="#NAME?"/>
    <s v="SDATOOL-42201 $ GRM Col - Cronos Collections - Pago Dirigido Préstamos"/>
    <n v="0.4"/>
    <s v="Desarrollador"/>
    <s v="Mainframe"/>
    <m/>
    <e v="#NAME?"/>
    <e v="#NAME?"/>
    <e v="#NAME?"/>
    <m/>
    <m/>
    <m/>
    <m/>
    <m/>
  </r>
  <r>
    <s v="C809713"/>
    <x v="442"/>
    <x v="3"/>
    <x v="15"/>
    <s v="BBVA"/>
    <e v="#NAME?"/>
    <s v="SDATOOL-35697 $ GRM - Garantías Hipotecarias - Ingesta de Datos"/>
    <n v="0.4"/>
    <s v="Desarrollador"/>
    <s v="Mainframe"/>
    <m/>
    <e v="#NAME?"/>
    <e v="#NAME?"/>
    <e v="#NAME?"/>
    <m/>
    <m/>
    <m/>
    <m/>
    <m/>
  </r>
  <r>
    <s v="C809713"/>
    <x v="442"/>
    <x v="3"/>
    <x v="15"/>
    <s v="BBVA"/>
    <e v="#NAME?"/>
    <s v="SDATOOL-41938 $ GRM Col Reg - Ajuste Calificación Escalera"/>
    <n v="0.6"/>
    <s v="Desarrollador"/>
    <s v="Mainframe"/>
    <m/>
    <e v="#NAME?"/>
    <e v="#NAME?"/>
    <e v="#NAME?"/>
    <m/>
    <m/>
    <m/>
    <m/>
    <m/>
  </r>
  <r>
    <s v="C367168"/>
    <x v="443"/>
    <x v="3"/>
    <x v="15"/>
    <s v="BBVA"/>
    <e v="#NAME?"/>
    <s v="SDATOOL-33846 $ SREP Data Quality- BCBS239 - Colombia"/>
    <n v="0.4"/>
    <s v="Tech Manager/Líder"/>
    <s v="Mainframe"/>
    <m/>
    <e v="#NAME?"/>
    <e v="#NAME?"/>
    <e v="#NAME?"/>
    <m/>
    <m/>
    <m/>
    <m/>
    <m/>
  </r>
  <r>
    <s v="C367168"/>
    <x v="443"/>
    <x v="3"/>
    <x v="15"/>
    <s v="BBVA"/>
    <e v="#NAME?"/>
    <s v="SDATOOL-37483 $ Aplicativos Finanzas - 2022"/>
    <n v="0.05"/>
    <s v="Tech Manager/Líder"/>
    <s v="Mainframe"/>
    <m/>
    <e v="#NAME?"/>
    <e v="#NAME?"/>
    <e v="#NAME?"/>
    <m/>
    <m/>
    <m/>
    <m/>
    <m/>
  </r>
  <r>
    <s v="C367168"/>
    <x v="443"/>
    <x v="3"/>
    <x v="15"/>
    <s v="BBVA"/>
    <e v="#NAME?"/>
    <s v="SDATOOL-35697 $ GRM - Garantías Hipotecarias - Ingesta de Datos"/>
    <n v="0.2"/>
    <s v="Tech Manager/Líder"/>
    <s v="Mainframe"/>
    <m/>
    <e v="#NAME?"/>
    <e v="#NAME?"/>
    <e v="#NAME?"/>
    <m/>
    <m/>
    <m/>
    <m/>
    <m/>
  </r>
  <r>
    <s v="C367168"/>
    <x v="443"/>
    <x v="3"/>
    <x v="15"/>
    <s v="BBVA"/>
    <e v="#NAME?"/>
    <s v="SDATOOL-41938 $ GRM Col Reg - Ajuste Calificación Escalera"/>
    <n v="0.1"/>
    <s v="Tech Manager/Líder"/>
    <s v="Mainframe"/>
    <m/>
    <e v="#NAME?"/>
    <e v="#NAME?"/>
    <e v="#NAME?"/>
    <m/>
    <m/>
    <m/>
    <m/>
    <m/>
  </r>
  <r>
    <s v="C367168"/>
    <x v="443"/>
    <x v="3"/>
    <x v="15"/>
    <s v="BBVA"/>
    <e v="#NAME?"/>
    <s v="SDATOOL-42201 $ GRM Col - Cronos Collections - Pago Dirigido Préstamos"/>
    <n v="0.25"/>
    <s v="Tech Manager/Líder"/>
    <s v="Mainframe"/>
    <m/>
    <e v="#NAME?"/>
    <e v="#NAME?"/>
    <e v="#NAME?"/>
    <m/>
    <m/>
    <m/>
    <m/>
    <m/>
  </r>
  <r>
    <s v="CE51434"/>
    <x v="444"/>
    <x v="3"/>
    <x v="15"/>
    <s v="Inetum"/>
    <e v="#NAME?"/>
    <s v="SDATOOL-35697 $ GRM - Garantías Hipotecarias - Ingesta de Datos"/>
    <n v="0.5"/>
    <s v="QA"/>
    <s v="Mainframe"/>
    <m/>
    <e v="#NAME?"/>
    <e v="#NAME?"/>
    <e v="#NAME?"/>
    <m/>
    <m/>
    <m/>
    <m/>
    <m/>
  </r>
  <r>
    <s v="CE51434"/>
    <x v="444"/>
    <x v="3"/>
    <x v="15"/>
    <s v="Inetum"/>
    <e v="#NAME?"/>
    <s v="SDATOOL-33846 $ SREP Data Quality- BCBS239 - Colombia"/>
    <n v="0.5"/>
    <s v="QA"/>
    <s v="Mainframe"/>
    <m/>
    <e v="#NAME?"/>
    <e v="#NAME?"/>
    <e v="#NAME?"/>
    <m/>
    <m/>
    <m/>
    <m/>
    <m/>
  </r>
  <r>
    <s v="C808227"/>
    <x v="445"/>
    <x v="1"/>
    <x v="16"/>
    <s v="BBVA"/>
    <e v="#NAME?"/>
    <s v="SDATOOL-38736 $ Creación Tercero Miembro No Liquidador CRCC"/>
    <n v="1"/>
    <s v="Desarrollador"/>
    <s v="Distribuido"/>
    <m/>
    <e v="#NAME?"/>
    <e v="#NAME?"/>
    <e v="#NAME?"/>
    <m/>
    <m/>
    <m/>
    <m/>
    <m/>
  </r>
  <r>
    <s v="C804032"/>
    <x v="446"/>
    <x v="1"/>
    <x v="16"/>
    <s v="BBVA"/>
    <e v="#NAME?"/>
    <s v="SDATOOL-39217 $ Aplicativos Tesorería 2022"/>
    <n v="0.5"/>
    <s v="Desarrollador"/>
    <s v="Distribuido"/>
    <m/>
    <e v="#NAME?"/>
    <e v="#NAME?"/>
    <e v="#NAME?"/>
    <m/>
    <m/>
    <m/>
    <m/>
    <m/>
  </r>
  <r>
    <s v="C804032"/>
    <x v="446"/>
    <x v="1"/>
    <x v="16"/>
    <s v="BBVA"/>
    <e v="#NAME?"/>
    <s v="SDATOOL-41308 $ Aplicativos Tesorería 2023"/>
    <n v="0.5"/>
    <s v="Desarrollador"/>
    <s v="Distribuido"/>
    <m/>
    <e v="#NAME?"/>
    <e v="#NAME?"/>
    <e v="#NAME?"/>
    <m/>
    <m/>
    <m/>
    <m/>
    <m/>
  </r>
  <r>
    <s v="C811284"/>
    <x v="447"/>
    <x v="1"/>
    <x v="16"/>
    <s v="BBVA"/>
    <e v="#NAME?"/>
    <s v="SDATOOL-35663 $ Capacidades FX GM"/>
    <n v="1"/>
    <s v="Desarrollador"/>
    <s v="Mainframe"/>
    <m/>
    <e v="#NAME?"/>
    <e v="#NAME?"/>
    <e v="#NAME?"/>
    <m/>
    <m/>
    <m/>
    <m/>
    <m/>
  </r>
  <r>
    <s v="C808193"/>
    <x v="448"/>
    <x v="1"/>
    <x v="16"/>
    <s v="BBVA"/>
    <e v="#NAME?"/>
    <s v="SDATOOL-40438 $ CIRCULAR 032 del 2021 - REQUERIMIENTO FISCALIA GENERAL DE LA NACION"/>
    <n v="0.75"/>
    <s v="Desarrollador"/>
    <s v="Mainframe"/>
    <m/>
    <e v="#NAME?"/>
    <e v="#NAME?"/>
    <e v="#NAME?"/>
    <m/>
    <m/>
    <m/>
    <m/>
    <m/>
  </r>
  <r>
    <s v="C808193"/>
    <x v="448"/>
    <x v="1"/>
    <x v="16"/>
    <s v="BBVA"/>
    <e v="#NAME?"/>
    <s v="SDATOOL-41206 $ Ordenes de pago recibidas (OPR)"/>
    <n v="0.25"/>
    <s v="Desarrollador"/>
    <s v="Mainframe"/>
    <m/>
    <e v="#NAME?"/>
    <e v="#NAME?"/>
    <e v="#NAME?"/>
    <m/>
    <m/>
    <m/>
    <m/>
    <m/>
  </r>
  <r>
    <s v="C782744"/>
    <x v="449"/>
    <x v="1"/>
    <x v="16"/>
    <s v="BBVA"/>
    <e v="#NAME?"/>
    <s v="SDATOOL-41206 $ Ordenes de pago recibidas (OPR)"/>
    <n v="0.25"/>
    <s v="Desarrollador"/>
    <s v="Mainframe"/>
    <m/>
    <e v="#NAME?"/>
    <e v="#NAME?"/>
    <e v="#NAME?"/>
    <m/>
    <m/>
    <m/>
    <m/>
    <m/>
  </r>
  <r>
    <s v="C782744"/>
    <x v="449"/>
    <x v="1"/>
    <x v="16"/>
    <s v="BBVA"/>
    <e v="#NAME?"/>
    <s v="SDATOOL-38735 $ Dynamic Pricing"/>
    <n v="0.75"/>
    <s v="Desarrollador"/>
    <s v="Distribuido"/>
    <m/>
    <e v="#NAME?"/>
    <e v="#NAME?"/>
    <e v="#NAME?"/>
    <m/>
    <m/>
    <m/>
    <m/>
    <m/>
  </r>
  <r>
    <s v="C805683"/>
    <x v="450"/>
    <x v="1"/>
    <x v="16"/>
    <s v="BBVA"/>
    <e v="#NAME?"/>
    <s v="SDATOOL-38735 $ Dynamic Pricing"/>
    <n v="0.5"/>
    <s v="Desarrollador"/>
    <s v="Distribuido"/>
    <m/>
    <e v="#NAME?"/>
    <e v="#NAME?"/>
    <e v="#NAME?"/>
    <m/>
    <m/>
    <m/>
    <m/>
    <m/>
  </r>
  <r>
    <s v="C805683"/>
    <x v="450"/>
    <x v="1"/>
    <x v="16"/>
    <s v="BBVA"/>
    <e v="#NAME?"/>
    <s v="SDATOOL-39347 $ Alertas Personalizadas FX"/>
    <n v="0.5"/>
    <s v="Desarrollador"/>
    <s v="Distribuido"/>
    <m/>
    <e v="#NAME?"/>
    <e v="#NAME?"/>
    <e v="#NAME?"/>
    <m/>
    <m/>
    <m/>
    <m/>
    <m/>
  </r>
  <r>
    <s v="C805074"/>
    <x v="451"/>
    <x v="1"/>
    <x v="16"/>
    <s v="BBVA"/>
    <e v="#NAME?"/>
    <s v="SDATOOL-39217 $ Aplicativos Tesorería 2022"/>
    <n v="0.3"/>
    <s v="Desarrollador"/>
    <s v="Distribuido"/>
    <m/>
    <e v="#NAME?"/>
    <e v="#NAME?"/>
    <e v="#NAME?"/>
    <m/>
    <m/>
    <m/>
    <m/>
    <m/>
  </r>
  <r>
    <s v="C805074"/>
    <x v="451"/>
    <x v="1"/>
    <x v="16"/>
    <s v="BBVA"/>
    <e v="#NAME?"/>
    <s v="SDATOOL-31461 $ Liquidación Swaps Cross Crurrency Delivery"/>
    <n v="0.3"/>
    <s v="Desarrollador"/>
    <s v="Distribuido"/>
    <m/>
    <e v="#NAME?"/>
    <e v="#NAME?"/>
    <e v="#NAME?"/>
    <m/>
    <m/>
    <m/>
    <m/>
    <m/>
  </r>
  <r>
    <s v="C805074"/>
    <x v="451"/>
    <x v="1"/>
    <x v="16"/>
    <s v="BBVA"/>
    <e v="#NAME?"/>
    <s v="SDATOOL-41308 $ Aplicativos Tesorería 2023"/>
    <n v="0.4"/>
    <s v="Desarrollador"/>
    <s v="Distribuido"/>
    <m/>
    <e v="#NAME?"/>
    <e v="#NAME?"/>
    <e v="#NAME?"/>
    <m/>
    <m/>
    <m/>
    <m/>
    <m/>
  </r>
  <r>
    <s v="O001825"/>
    <x v="452"/>
    <x v="1"/>
    <x v="16"/>
    <s v="BBVA"/>
    <e v="#NAME?"/>
    <s v="SDATOOL-39217 $ Aplicativos Tesorería 2022"/>
    <n v="0.25"/>
    <s v="Desarrollador"/>
    <s v="Distribuido"/>
    <m/>
    <e v="#NAME?"/>
    <e v="#NAME?"/>
    <e v="#NAME?"/>
    <m/>
    <m/>
    <m/>
    <m/>
    <m/>
  </r>
  <r>
    <s v="O001825"/>
    <x v="452"/>
    <x v="1"/>
    <x v="16"/>
    <s v="BBVA"/>
    <e v="#NAME?"/>
    <s v="SDATOOL-31461 $ Liquidación Swaps Cross Crurrency Delivery"/>
    <n v="0.25"/>
    <s v="Desarrollador"/>
    <s v="Distribuido"/>
    <m/>
    <e v="#NAME?"/>
    <e v="#NAME?"/>
    <e v="#NAME?"/>
    <m/>
    <m/>
    <m/>
    <m/>
    <m/>
  </r>
  <r>
    <s v="O001825"/>
    <x v="452"/>
    <x v="1"/>
    <x v="16"/>
    <s v="BBVA"/>
    <e v="#NAME?"/>
    <s v="SDATOOL-41308 $ Aplicativos Tesorería 2023"/>
    <n v="0.5"/>
    <s v="Desarrollador"/>
    <s v="Distribuido"/>
    <m/>
    <e v="#NAME?"/>
    <e v="#NAME?"/>
    <e v="#NAME?"/>
    <m/>
    <m/>
    <m/>
    <m/>
    <m/>
  </r>
  <r>
    <s v="O003306"/>
    <x v="453"/>
    <x v="1"/>
    <x v="16"/>
    <s v="BBVA"/>
    <e v="#NAME?"/>
    <s v="SDATOOL-41308 $ Aplicativos Tesorería 2023"/>
    <n v="0.75"/>
    <s v="Desarrollador"/>
    <s v="Distribuido"/>
    <m/>
    <e v="#NAME?"/>
    <e v="#NAME?"/>
    <e v="#NAME?"/>
    <m/>
    <m/>
    <m/>
    <m/>
    <m/>
  </r>
  <r>
    <s v="O003306"/>
    <x v="453"/>
    <x v="1"/>
    <x v="16"/>
    <s v="BBVA"/>
    <e v="#NAME?"/>
    <s v="SDATOOL-41308 $ Aplicativos Tesorería 2023"/>
    <n v="0.25"/>
    <s v="Desarrollador"/>
    <s v="Distribuido"/>
    <m/>
    <e v="#NAME?"/>
    <e v="#NAME?"/>
    <e v="#NAME?"/>
    <m/>
    <m/>
    <m/>
    <m/>
    <m/>
  </r>
  <r>
    <s v="CE52611"/>
    <x v="454"/>
    <x v="1"/>
    <x v="16"/>
    <s v="SII"/>
    <e v="#NAME?"/>
    <s v="SDATOOL-40438 $ CIRCULAR 032 del 2021 - REQUERIMIENTO FISCALIA GENERAL DE LA NACION"/>
    <n v="0.5"/>
    <s v="Desarrollador"/>
    <s v="Distribuido"/>
    <m/>
    <e v="#NAME?"/>
    <e v="#NAME?"/>
    <e v="#NAME?"/>
    <m/>
    <m/>
    <m/>
    <m/>
    <m/>
  </r>
  <r>
    <s v="CE52611"/>
    <x v="454"/>
    <x v="1"/>
    <x v="16"/>
    <s v="SII"/>
    <e v="#NAME?"/>
    <s v="SDATOOL-41205 $ Tagging Netcash, Net, e-markets"/>
    <n v="0.5"/>
    <s v="Desarrollador"/>
    <s v="Distribuido"/>
    <m/>
    <e v="#NAME?"/>
    <e v="#NAME?"/>
    <e v="#NAME?"/>
    <m/>
    <m/>
    <m/>
    <m/>
    <m/>
  </r>
  <r>
    <s v="C804789"/>
    <x v="455"/>
    <x v="1"/>
    <x v="16"/>
    <s v="BBVA"/>
    <e v="#NAME?"/>
    <s v="SDATOOL-37342 $ SWIFT ISO20022 Ajuste de mensajes Swift a la nueva estructura"/>
    <n v="0.5"/>
    <s v="Desarrollador"/>
    <s v="Mainframe"/>
    <m/>
    <e v="#NAME?"/>
    <e v="#NAME?"/>
    <e v="#NAME?"/>
    <m/>
    <m/>
    <m/>
    <m/>
    <m/>
  </r>
  <r>
    <s v="C804789"/>
    <x v="455"/>
    <x v="1"/>
    <x v="16"/>
    <s v="BBVA"/>
    <e v="#NAME?"/>
    <s v="SDATOOL-41737 $ Moneda Extranjera - Inclusión en SIGDOC"/>
    <n v="0.5"/>
    <s v="Desarrollador"/>
    <s v="Mainframe"/>
    <m/>
    <e v="#NAME?"/>
    <e v="#NAME?"/>
    <e v="#NAME?"/>
    <m/>
    <m/>
    <m/>
    <m/>
    <m/>
  </r>
  <r>
    <s v="C810672"/>
    <x v="456"/>
    <x v="1"/>
    <x v="16"/>
    <s v="BBVA"/>
    <e v="#NAME?"/>
    <s v="SDATOOL-33846 $ SREP Data Quality- BCBS239 - Colombia"/>
    <n v="0.5"/>
    <s v="Desarrollador"/>
    <s v="Distribuido"/>
    <m/>
    <e v="#NAME?"/>
    <e v="#NAME?"/>
    <e v="#NAME?"/>
    <m/>
    <m/>
    <m/>
    <m/>
    <m/>
  </r>
  <r>
    <s v="C810672"/>
    <x v="456"/>
    <x v="1"/>
    <x v="16"/>
    <s v="BBVA"/>
    <e v="#NAME?"/>
    <s v="SDATOOL-41737 $ Moneda Extranjera - Inclusión en SIGDOC"/>
    <n v="0.5"/>
    <s v="Desarrollador"/>
    <s v="Distribuido"/>
    <m/>
    <e v="#NAME?"/>
    <e v="#NAME?"/>
    <e v="#NAME?"/>
    <m/>
    <m/>
    <m/>
    <m/>
    <m/>
  </r>
  <r>
    <s v="C804843"/>
    <x v="457"/>
    <x v="1"/>
    <x v="16"/>
    <s v="BBVA"/>
    <e v="#NAME?"/>
    <s v="SDATOOL-33846 $ SREP Data Quality- BCBS239 - Colombia"/>
    <n v="0.5"/>
    <s v="Desarrollador"/>
    <s v="Distribuido"/>
    <m/>
    <e v="#NAME?"/>
    <e v="#NAME?"/>
    <e v="#NAME?"/>
    <m/>
    <m/>
    <m/>
    <m/>
    <m/>
  </r>
  <r>
    <s v="C804843"/>
    <x v="457"/>
    <x v="1"/>
    <x v="16"/>
    <s v="BBVA"/>
    <e v="#NAME?"/>
    <s v="SDATOOL-41737 $ Moneda Extranjera - Inclusión en SIGDOC"/>
    <n v="0.5"/>
    <s v="Desarrollador"/>
    <s v="Distribuido"/>
    <m/>
    <e v="#NAME?"/>
    <e v="#NAME?"/>
    <e v="#NAME?"/>
    <m/>
    <m/>
    <m/>
    <m/>
    <m/>
  </r>
  <r>
    <s v="C805104"/>
    <x v="458"/>
    <x v="1"/>
    <x v="16"/>
    <s v="BBVA"/>
    <e v="#NAME?"/>
    <s v="SDATOOL-36047 $ Bloqueo Sobregiro para Pago Capital e Intereses"/>
    <n v="1"/>
    <s v="Desarrollador"/>
    <s v="Mainframe"/>
    <m/>
    <e v="#NAME?"/>
    <e v="#NAME?"/>
    <e v="#NAME?"/>
    <m/>
    <m/>
    <m/>
    <m/>
    <m/>
  </r>
  <r>
    <s v="C810818"/>
    <x v="459"/>
    <x v="1"/>
    <x v="16"/>
    <s v="BBVA"/>
    <e v="#NAME?"/>
    <s v="SDATOOL-40269 $ Actualización y transmisión Declaraciones de Cambio – Banco de la República Abril 2022."/>
    <n v="1"/>
    <s v="Desarrollador"/>
    <s v="Mainframe"/>
    <m/>
    <e v="#NAME?"/>
    <e v="#NAME?"/>
    <e v="#NAME?"/>
    <m/>
    <m/>
    <m/>
    <m/>
    <m/>
  </r>
  <r>
    <s v="CE67855"/>
    <x v="460"/>
    <x v="1"/>
    <x v="16"/>
    <s v="Accenture"/>
    <e v="#NAME?"/>
    <s v="NOSDA $ BAU (Mantenimiento y peq. evolutivos)"/>
    <n v="1"/>
    <s v="Desarrollador"/>
    <s v="Distribuido"/>
    <m/>
    <e v="#NAME?"/>
    <e v="#NAME?"/>
    <e v="#NAME?"/>
    <m/>
    <m/>
    <m/>
    <m/>
    <m/>
  </r>
  <r>
    <s v="T007493"/>
    <x v="461"/>
    <x v="1"/>
    <x v="16"/>
    <s v="GGI / CMC"/>
    <e v="#NAME?"/>
    <s v="SDATOOL-41308 $ Aplicativos Tesorería 2023"/>
    <n v="0.5"/>
    <s v="QA"/>
    <s v="Distribuido"/>
    <m/>
    <e v="#NAME?"/>
    <e v="#NAME?"/>
    <e v="#NAME?"/>
    <m/>
    <m/>
    <m/>
    <m/>
    <m/>
  </r>
  <r>
    <s v="C796462"/>
    <x v="462"/>
    <x v="1"/>
    <x v="16"/>
    <s v="BBVA"/>
    <e v="#NAME?"/>
    <s v="NOSDA $ BAU (Mantenimiento y peq. evolutivos)"/>
    <n v="1"/>
    <s v="Tech Manager/Líder"/>
    <s v="Mainframe"/>
    <m/>
    <e v="#NAME?"/>
    <e v="#NAME?"/>
    <e v="#NAME?"/>
    <m/>
    <m/>
    <m/>
    <m/>
    <m/>
  </r>
  <r>
    <s v="C342545"/>
    <x v="463"/>
    <x v="1"/>
    <x v="16"/>
    <s v="BBVA"/>
    <e v="#NAME?"/>
    <s v="NOSDA $ BAU (Mantenimiento y peq. evolutivos)"/>
    <n v="1"/>
    <s v="Desarrollador"/>
    <s v="Mainframe"/>
    <m/>
    <e v="#NAME?"/>
    <e v="#NAME?"/>
    <e v="#NAME?"/>
    <m/>
    <m/>
    <m/>
    <m/>
    <m/>
  </r>
  <r>
    <s v="CE69667"/>
    <x v="464"/>
    <x v="1"/>
    <x v="16"/>
    <s v="GGI / CMC"/>
    <e v="#NAME?"/>
    <s v="NOSDA $ BAU (Mantenimiento y peq. evolutivos)"/>
    <n v="1"/>
    <s v="Otros"/>
    <s v="Distribuido"/>
    <m/>
    <e v="#NAME?"/>
    <e v="#NAME?"/>
    <e v="#NAME?"/>
    <m/>
    <m/>
    <m/>
    <m/>
    <m/>
  </r>
  <r>
    <s v="CE65485"/>
    <x v="465"/>
    <x v="1"/>
    <x v="16"/>
    <s v="Accenture"/>
    <e v="#NAME?"/>
    <s v="NOSDA $ BAU (Mantenimiento y peq. evolutivos)"/>
    <n v="1"/>
    <s v="Desarrollador"/>
    <s v="Distribuido"/>
    <m/>
    <e v="#NAME?"/>
    <e v="#NAME?"/>
    <e v="#NAME?"/>
    <m/>
    <m/>
    <m/>
    <m/>
    <m/>
  </r>
  <r>
    <s v="C809352"/>
    <x v="466"/>
    <x v="1"/>
    <x v="16"/>
    <s v="BBVA"/>
    <e v="#NAME?"/>
    <s v="NOSDA $ BAU (Mantenimiento y peq. evolutivos)"/>
    <n v="1"/>
    <s v="Desarrollador"/>
    <s v="Mainframe"/>
    <m/>
    <e v="#NAME?"/>
    <e v="#NAME?"/>
    <e v="#NAME?"/>
    <m/>
    <m/>
    <m/>
    <m/>
    <m/>
  </r>
  <r>
    <s v="CE67103"/>
    <x v="467"/>
    <x v="1"/>
    <x v="16"/>
    <s v="Accenture"/>
    <e v="#NAME?"/>
    <s v="NOSDA $ BAU (Mantenimiento y peq. evolutivos)"/>
    <n v="1"/>
    <s v="Desarrollador"/>
    <s v="Distribuido"/>
    <m/>
    <e v="#NAME?"/>
    <e v="#NAME?"/>
    <e v="#NAME?"/>
    <m/>
    <m/>
    <m/>
    <m/>
    <m/>
  </r>
  <r>
    <s v="CE66251"/>
    <x v="468"/>
    <x v="1"/>
    <x v="16"/>
    <s v="GGI / CMC"/>
    <e v="#NAME?"/>
    <s v="SDATOOL-38735 $ Dynamic Pricing"/>
    <n v="0.5"/>
    <s v="QA"/>
    <s v="Distribuido"/>
    <m/>
    <e v="#NAME?"/>
    <e v="#NAME?"/>
    <e v="#NAME?"/>
    <m/>
    <m/>
    <m/>
    <m/>
    <m/>
  </r>
  <r>
    <s v="C811314"/>
    <x v="469"/>
    <x v="0"/>
    <x v="17"/>
    <s v="BBVA"/>
    <e v="#NAME?"/>
    <s v="NOSDA $ BAU (Mantenimiento y peq. evolutivos)"/>
    <n v="0.75"/>
    <s v="Tech Manager/Líder"/>
    <s v="Distribuido"/>
    <m/>
    <e v="#NAME?"/>
    <e v="#NAME?"/>
    <e v="#NAME?"/>
    <m/>
    <m/>
    <m/>
    <m/>
    <m/>
  </r>
  <r>
    <s v="C811314"/>
    <x v="469"/>
    <x v="0"/>
    <x v="17"/>
    <s v="BBVA"/>
    <e v="#NAME?"/>
    <s v="SDATOOL-39246 $ Nuevo tipo de identificación para extranjeros"/>
    <n v="0.25"/>
    <s v="Tech Manager/Líder"/>
    <s v="Distribuido"/>
    <m/>
    <e v="#NAME?"/>
    <e v="#NAME?"/>
    <e v="#NAME?"/>
    <m/>
    <m/>
    <m/>
    <m/>
    <m/>
  </r>
  <r>
    <s v="CE68481"/>
    <x v="470"/>
    <x v="0"/>
    <x v="17"/>
    <s v="GGI / CMC"/>
    <e v="#NAME?"/>
    <s v="NOSDA $ BAU (Mantenimiento y peq. evolutivos)"/>
    <n v="1"/>
    <s v="QA"/>
    <s v="Distribuido"/>
    <m/>
    <e v="#NAME?"/>
    <e v="#NAME?"/>
    <e v="#NAME?"/>
    <m/>
    <m/>
    <m/>
    <m/>
    <m/>
  </r>
  <r>
    <s v="T001858"/>
    <x v="471"/>
    <x v="0"/>
    <x v="17"/>
    <s v="Neoris"/>
    <e v="#NAME?"/>
    <s v="SDATOOL-41203 $ Obsolescencia Aplicativa 2023"/>
    <n v="1"/>
    <s v="Desarrollador"/>
    <s v="Distribuido"/>
    <m/>
    <e v="#NAME?"/>
    <e v="#NAME?"/>
    <e v="#NAME?"/>
    <m/>
    <m/>
    <m/>
    <m/>
    <m/>
  </r>
  <r>
    <s v="CE66707"/>
    <x v="472"/>
    <x v="0"/>
    <x v="17"/>
    <s v="GGI / CMC"/>
    <e v="#NAME?"/>
    <s v="SDATOOL-41203 $ Obsolescencia Aplicativa 2023"/>
    <n v="1"/>
    <s v="Desarrollador"/>
    <s v="Distribuido"/>
    <m/>
    <e v="#NAME?"/>
    <e v="#NAME?"/>
    <e v="#NAME?"/>
    <m/>
    <m/>
    <m/>
    <m/>
    <m/>
  </r>
  <r>
    <s v="C802984"/>
    <x v="473"/>
    <x v="0"/>
    <x v="17"/>
    <s v="BBVA"/>
    <e v="#NAME?"/>
    <s v="NOSDA $ BAU (Mantenimiento y peq. evolutivos)"/>
    <n v="0.5"/>
    <s v="Desarrollador"/>
    <s v="Distribuido"/>
    <m/>
    <e v="#NAME?"/>
    <e v="#NAME?"/>
    <e v="#NAME?"/>
    <m/>
    <m/>
    <m/>
    <m/>
    <m/>
  </r>
  <r>
    <s v="C802984"/>
    <x v="473"/>
    <x v="0"/>
    <x v="17"/>
    <s v="BBVA"/>
    <e v="#NAME?"/>
    <s v="SDATOOL-41203 $ Obsolescencia Aplicativa 2023"/>
    <n v="0.5"/>
    <s v="Desarrollador"/>
    <s v="Distribuido"/>
    <m/>
    <e v="#NAME?"/>
    <e v="#NAME?"/>
    <e v="#NAME?"/>
    <m/>
    <m/>
    <m/>
    <m/>
    <m/>
  </r>
  <r>
    <s v="CE30852"/>
    <x v="474"/>
    <x v="0"/>
    <x v="17"/>
    <s v="GGI / CMC"/>
    <e v="#NAME?"/>
    <s v="NOSDA $ BAU (Mantenimiento y peq. evolutivos)"/>
    <n v="1"/>
    <s v="Desarrollador"/>
    <s v="Distribuido"/>
    <m/>
    <e v="#NAME?"/>
    <e v="#NAME?"/>
    <e v="#NAME?"/>
    <m/>
    <m/>
    <m/>
    <m/>
    <m/>
  </r>
  <r>
    <s v="C804326"/>
    <x v="475"/>
    <x v="0"/>
    <x v="17"/>
    <s v="BBVA"/>
    <e v="#NAME?"/>
    <s v="NOSDA $ BAU (Mantenimiento y peq. evolutivos)"/>
    <n v="0.25"/>
    <s v="Desarrollador"/>
    <s v="Distribuido"/>
    <m/>
    <e v="#NAME?"/>
    <e v="#NAME?"/>
    <e v="#NAME?"/>
    <m/>
    <m/>
    <m/>
    <m/>
    <m/>
  </r>
  <r>
    <s v="C804326"/>
    <x v="475"/>
    <x v="0"/>
    <x v="17"/>
    <s v="BBVA"/>
    <e v="#NAME?"/>
    <s v="SDATOOL-41203 $ Obsolescencia Aplicativa 2023"/>
    <n v="0.75"/>
    <s v="Desarrollador"/>
    <s v="Distribuido"/>
    <m/>
    <e v="#NAME?"/>
    <e v="#NAME?"/>
    <e v="#NAME?"/>
    <m/>
    <m/>
    <m/>
    <m/>
    <m/>
  </r>
  <r>
    <s v="C811188"/>
    <x v="476"/>
    <x v="0"/>
    <x v="17"/>
    <s v="BBVA"/>
    <e v="#NAME?"/>
    <s v="NOSDA $ BAU (Mantenimiento y peq. evolutivos)"/>
    <n v="1"/>
    <s v="Otros"/>
    <s v="Distribuido"/>
    <m/>
    <e v="#NAME?"/>
    <e v="#NAME?"/>
    <e v="#NAME?"/>
    <m/>
    <m/>
    <m/>
    <m/>
    <m/>
  </r>
  <r>
    <s v="CE57157"/>
    <x v="477"/>
    <x v="0"/>
    <x v="17"/>
    <s v="GGI / CMC"/>
    <e v="#NAME?"/>
    <s v="NOSDA $ BAU (Mantenimiento y peq. evolutivos)"/>
    <n v="1"/>
    <s v="Desarrollador"/>
    <s v="Distribuido"/>
    <m/>
    <e v="#NAME?"/>
    <e v="#NAME?"/>
    <e v="#NAME?"/>
    <m/>
    <m/>
    <m/>
    <m/>
    <m/>
  </r>
  <r>
    <s v="T003701"/>
    <x v="478"/>
    <x v="0"/>
    <x v="17"/>
    <s v="GGI / CMC"/>
    <e v="#NAME?"/>
    <s v="NOSDA $ BAU (Mantenimiento y peq. evolutivos)"/>
    <n v="1"/>
    <s v="Desarrollador"/>
    <s v="Distribuido"/>
    <m/>
    <e v="#NAME?"/>
    <e v="#NAME?"/>
    <e v="#NAME?"/>
    <m/>
    <m/>
    <m/>
    <m/>
    <m/>
  </r>
  <r>
    <s v="CE64257"/>
    <x v="479"/>
    <x v="0"/>
    <x v="17"/>
    <s v="KRYPTO"/>
    <e v="#NAME?"/>
    <s v="NOSDA $ BAU (Mantenimiento y peq. evolutivos)"/>
    <n v="1"/>
    <s v="Otros"/>
    <s v="Distribuido"/>
    <m/>
    <e v="#NAME?"/>
    <e v="#NAME?"/>
    <e v="#NAME?"/>
    <m/>
    <m/>
    <m/>
    <m/>
    <m/>
  </r>
  <r>
    <s v="C810910"/>
    <x v="480"/>
    <x v="0"/>
    <x v="17"/>
    <s v="BBVA"/>
    <e v="#NAME?"/>
    <s v="NOSDA $ BAU (Mantenimiento y peq. evolutivos)"/>
    <n v="0.5"/>
    <s v="Desarrollador"/>
    <s v="Distribuido"/>
    <m/>
    <e v="#NAME?"/>
    <e v="#NAME?"/>
    <e v="#NAME?"/>
    <m/>
    <m/>
    <m/>
    <m/>
    <m/>
  </r>
  <r>
    <s v="C810910"/>
    <x v="480"/>
    <x v="0"/>
    <x v="17"/>
    <s v="BBVA"/>
    <e v="#NAME?"/>
    <s v="SDATOOL-39246 $ Nuevo tipo de identificación para extranjeros"/>
    <n v="0.5"/>
    <s v="Desarrollador"/>
    <s v="Distribuido"/>
    <m/>
    <e v="#NAME?"/>
    <e v="#NAME?"/>
    <e v="#NAME?"/>
    <m/>
    <m/>
    <m/>
    <m/>
    <m/>
  </r>
  <r>
    <s v="T004577"/>
    <x v="481"/>
    <x v="0"/>
    <x v="17"/>
    <s v="GGI / CMC"/>
    <e v="#NAME?"/>
    <s v="NOSDA $ BAU (Mantenimiento y peq. evolutivos)"/>
    <n v="1"/>
    <s v="Desarrollador"/>
    <s v="Distribuido"/>
    <m/>
    <e v="#NAME?"/>
    <e v="#NAME?"/>
    <e v="#NAME?"/>
    <m/>
    <m/>
    <m/>
    <m/>
    <m/>
  </r>
  <r>
    <s v="CE60509"/>
    <x v="482"/>
    <x v="0"/>
    <x v="17"/>
    <s v="GGI / CMC"/>
    <e v="#NAME?"/>
    <s v="SDATOOL-39840 $ BBVA Valores en Canales (Net Cash / Net)"/>
    <n v="1"/>
    <s v="Desarrollador"/>
    <s v="Distribuido"/>
    <m/>
    <e v="#NAME?"/>
    <e v="#NAME?"/>
    <e v="#NAME?"/>
    <m/>
    <m/>
    <m/>
    <m/>
    <m/>
  </r>
  <r>
    <s v="CE70171"/>
    <x v="483"/>
    <x v="0"/>
    <x v="17"/>
    <s v="GGI / CMC"/>
    <e v="#NAME?"/>
    <s v="NOSDA $ BAU (Mantenimiento y peq. evolutivos)"/>
    <n v="1"/>
    <s v="Desarrollador"/>
    <s v="Distribuido"/>
    <m/>
    <e v="#NAME?"/>
    <e v="#NAME?"/>
    <e v="#NAME?"/>
    <m/>
    <m/>
    <m/>
    <m/>
    <m/>
  </r>
  <r>
    <s v="C810855"/>
    <x v="484"/>
    <x v="0"/>
    <x v="17"/>
    <s v="BBVA"/>
    <e v="#NAME?"/>
    <s v="SDATOOL-40482 $ Incluir tasa ponderada en Adquirencia Onboarding digital - Netcash"/>
    <n v="1"/>
    <s v="Desarrollador"/>
    <s v="Distribuido"/>
    <m/>
    <e v="#NAME?"/>
    <e v="#NAME?"/>
    <e v="#NAME?"/>
    <m/>
    <m/>
    <m/>
    <m/>
    <m/>
  </r>
  <r>
    <s v="C809514"/>
    <x v="485"/>
    <x v="0"/>
    <x v="17"/>
    <s v="BBVA"/>
    <e v="#NAME?"/>
    <s v="SDATOOL-37425 $ Recaudo DIAN Tarjetas de Crédito Propio Banco través del Botón de pagos PSE para los canales Banca Personas y Banca de Empresas"/>
    <n v="1"/>
    <s v="Desarrollador"/>
    <s v="Distribuido"/>
    <m/>
    <e v="#NAME?"/>
    <e v="#NAME?"/>
    <e v="#NAME?"/>
    <m/>
    <m/>
    <m/>
    <m/>
    <m/>
  </r>
  <r>
    <s v="CE66043"/>
    <x v="486"/>
    <x v="0"/>
    <x v="17"/>
    <s v="GGI / CMC"/>
    <e v="#NAME?"/>
    <s v="SDATOOL-40482 $ Incluir tasa ponderada en Adquirencia Onboarding digital - Netcash"/>
    <n v="0.5"/>
    <s v="Desarrollador"/>
    <s v="Distribuido"/>
    <m/>
    <e v="#NAME?"/>
    <e v="#NAME?"/>
    <e v="#NAME?"/>
    <m/>
    <m/>
    <m/>
    <m/>
    <m/>
  </r>
  <r>
    <s v="CE66043"/>
    <x v="486"/>
    <x v="0"/>
    <x v="17"/>
    <s v="GGI / CMC"/>
    <e v="#NAME?"/>
    <s v="SDATOOL-39358 $ Crédito Virtual"/>
    <n v="0.5"/>
    <s v="Desarrollador"/>
    <s v="Distribuido"/>
    <m/>
    <e v="#NAME?"/>
    <e v="#NAME?"/>
    <e v="#NAME?"/>
    <m/>
    <m/>
    <m/>
    <m/>
    <m/>
  </r>
  <r>
    <s v="CE70945"/>
    <x v="487"/>
    <x v="0"/>
    <x v="17"/>
    <s v="GGI / CMC"/>
    <e v="#NAME?"/>
    <s v="SDATOOL-40482 $ Incluir tasa ponderada en Adquirencia Onboarding digital - Netcash"/>
    <n v="0.5"/>
    <s v="Desarrollador"/>
    <s v="Distribuido"/>
    <m/>
    <e v="#NAME?"/>
    <e v="#NAME?"/>
    <e v="#NAME?"/>
    <m/>
    <m/>
    <m/>
    <m/>
    <m/>
  </r>
  <r>
    <s v="CE70945"/>
    <x v="487"/>
    <x v="0"/>
    <x v="17"/>
    <s v="GGI / CMC"/>
    <e v="#NAME?"/>
    <s v="SDATOOL-40555 $ ADELANTO DE VENTA EN GEMA"/>
    <n v="0.5"/>
    <s v="Desarrollador"/>
    <s v="Cells"/>
    <m/>
    <e v="#NAME?"/>
    <e v="#NAME?"/>
    <e v="#NAME?"/>
    <m/>
    <m/>
    <m/>
    <m/>
    <m/>
  </r>
  <r>
    <s v="CE67424"/>
    <x v="488"/>
    <x v="0"/>
    <x v="17"/>
    <s v="GGI / CMC"/>
    <e v="#NAME?"/>
    <s v="SDATOOL-40482 $ Incluir tasa ponderada en Adquirencia Onboarding digital - Netcash"/>
    <n v="0.5"/>
    <s v="QA"/>
    <s v="Distribuido"/>
    <m/>
    <e v="#NAME?"/>
    <e v="#NAME?"/>
    <e v="#NAME?"/>
    <m/>
    <m/>
    <m/>
    <m/>
    <m/>
  </r>
  <r>
    <s v="CE67424"/>
    <x v="488"/>
    <x v="0"/>
    <x v="17"/>
    <s v="GGI / CMC"/>
    <e v="#NAME?"/>
    <s v="SDATOOL-37425 $ Recaudo DIAN Tarjetas de Crédito Propio Banco través del Botón de pagos PSE para los canales Banca Personas y Banca de Empresas"/>
    <n v="0.5"/>
    <s v="QA"/>
    <s v="Distribuido"/>
    <m/>
    <e v="#NAME?"/>
    <e v="#NAME?"/>
    <e v="#NAME?"/>
    <m/>
    <m/>
    <m/>
    <m/>
    <m/>
  </r>
  <r>
    <s v="CE70844"/>
    <x v="489"/>
    <x v="0"/>
    <x v="17"/>
    <s v="GGI / CMC"/>
    <e v="#NAME?"/>
    <s v="SDATOOL-40482 $ Incluir tasa ponderada en Adquirencia Onboarding digital - Netcash"/>
    <n v="1"/>
    <s v="Desarrollador"/>
    <s v="Distribuido"/>
    <m/>
    <e v="#NAME?"/>
    <e v="#NAME?"/>
    <e v="#NAME?"/>
    <m/>
    <m/>
    <m/>
    <m/>
    <m/>
  </r>
  <r>
    <s v="CE70149"/>
    <x v="490"/>
    <x v="0"/>
    <x v="17"/>
    <s v="GGI / CMC"/>
    <e v="#NAME?"/>
    <s v="SDATOOL-37425 $ Recaudo DIAN Tarjetas de Crédito Propio Banco través del Botón de pagos PSE para los canales Banca Personas y Banca de Empresas"/>
    <n v="1"/>
    <s v="Desarrollador"/>
    <s v="Distribuido"/>
    <m/>
    <e v="#NAME?"/>
    <e v="#NAME?"/>
    <e v="#NAME?"/>
    <m/>
    <m/>
    <m/>
    <m/>
    <m/>
  </r>
  <r>
    <s v="C811408"/>
    <x v="491"/>
    <x v="0"/>
    <x v="17"/>
    <s v="BBVA"/>
    <e v="#NAME?"/>
    <s v="SDATOOL-40555 $ ADELANTO DE VENTA EN GEMA"/>
    <n v="0.5"/>
    <s v="Desarrollador"/>
    <s v="APX"/>
    <m/>
    <e v="#NAME?"/>
    <e v="#NAME?"/>
    <e v="#NAME?"/>
    <m/>
    <m/>
    <m/>
    <m/>
    <m/>
  </r>
  <r>
    <s v="C811408"/>
    <x v="491"/>
    <x v="0"/>
    <x v="17"/>
    <s v="BBVA"/>
    <e v="#NAME?"/>
    <s v="SDATOOL-40482 $ Incluir tasa ponderada en Adquirencia Onboarding digital - Netcash"/>
    <n v="0.5"/>
    <s v="Desarrollador"/>
    <s v="APX"/>
    <m/>
    <e v="#NAME?"/>
    <e v="#NAME?"/>
    <e v="#NAME?"/>
    <m/>
    <m/>
    <m/>
    <m/>
    <m/>
  </r>
  <r>
    <s v="T005725"/>
    <x v="492"/>
    <x v="0"/>
    <x v="17"/>
    <s v="GGI / CMC"/>
    <e v="#NAME?"/>
    <s v="SDATOOL-40482 $ Incluir tasa ponderada en Adquirencia Onboarding digital - Netcash"/>
    <n v="1"/>
    <s v="Desarrollador"/>
    <s v="APX"/>
    <m/>
    <e v="#NAME?"/>
    <e v="#NAME?"/>
    <e v="#NAME?"/>
    <m/>
    <m/>
    <m/>
    <m/>
    <m/>
  </r>
  <r>
    <s v="-"/>
    <x v="493"/>
    <x v="0"/>
    <x v="17"/>
    <s v="GGI / CMC"/>
    <e v="#NAME?"/>
    <s v="SDATOOL-40482 $ Incluir tasa ponderada en Adquirencia Onboarding digital - Netcash"/>
    <n v="1"/>
    <s v="Desarrollador"/>
    <s v="Otras Tec."/>
    <m/>
    <e v="#NAME?"/>
    <e v="#NAME?"/>
    <e v="#NAME?"/>
    <m/>
    <m/>
    <m/>
    <m/>
    <m/>
  </r>
  <r>
    <s v="CE58491"/>
    <x v="494"/>
    <x v="1"/>
    <x v="18"/>
    <s v="Inetum"/>
    <e v="#NAME?"/>
    <s v="SDATOOL-40242 $ Fiduciaria - Obsolescencia software Base aplicativo MIDAS"/>
    <n v="0.5"/>
    <s v="Otros"/>
    <s v="Distribuido"/>
    <m/>
    <e v="#NAME?"/>
    <e v="#NAME?"/>
    <e v="#NAME?"/>
    <m/>
    <m/>
    <m/>
    <m/>
    <m/>
  </r>
  <r>
    <s v="O000083"/>
    <x v="495"/>
    <x v="1"/>
    <x v="18"/>
    <s v="BBVA Fiduciaria"/>
    <e v="#NAME?"/>
    <s v="SDATOOL-32520 $ CDD Based Reporting - Colombia"/>
    <n v="1"/>
    <s v="Otros"/>
    <s v="Distribuido"/>
    <m/>
    <e v="#NAME?"/>
    <e v="#NAME?"/>
    <e v="#NAME?"/>
    <m/>
    <m/>
    <m/>
    <m/>
    <m/>
  </r>
  <r>
    <s v="CI35435"/>
    <x v="496"/>
    <x v="1"/>
    <x v="18"/>
    <s v="BBVA Fiduciaria"/>
    <e v="#NAME?"/>
    <s v="NOSDA $ BAU (Mantenimiento y peq. evolutivos)"/>
    <n v="0.75"/>
    <s v="Otros"/>
    <s v="Distribuido"/>
    <m/>
    <e v="#NAME?"/>
    <e v="#NAME?"/>
    <e v="#NAME?"/>
    <m/>
    <m/>
    <m/>
    <m/>
    <m/>
  </r>
  <r>
    <s v="CI35407"/>
    <x v="497"/>
    <x v="1"/>
    <x v="18"/>
    <s v="BBVA Fiduciaria"/>
    <e v="#NAME?"/>
    <s v="NOSDA $ BAU (Mantenimiento y peq. evolutivos)"/>
    <n v="0.75"/>
    <s v="Otros"/>
    <s v="Distribuido"/>
    <m/>
    <e v="#NAME?"/>
    <e v="#NAME?"/>
    <e v="#NAME?"/>
    <m/>
    <m/>
    <m/>
    <m/>
    <m/>
  </r>
  <r>
    <s v="CI01204"/>
    <x v="498"/>
    <x v="1"/>
    <x v="18"/>
    <s v="BBVA Fiduciaria"/>
    <e v="#NAME?"/>
    <s v="NOSDA $ BAU (Mantenimiento y peq. evolutivos)"/>
    <n v="0.75"/>
    <s v="Tech Manager/Líder"/>
    <s v="Distribuido"/>
    <m/>
    <e v="#NAME?"/>
    <e v="#NAME?"/>
    <e v="#NAME?"/>
    <m/>
    <m/>
    <m/>
    <m/>
    <m/>
  </r>
  <r>
    <s v="CI01204"/>
    <x v="498"/>
    <x v="1"/>
    <x v="18"/>
    <s v="BBVA Fiduciaria"/>
    <e v="#NAME?"/>
    <s v="SDATOOL-39283 $ Fiduciaria - Obsolescencia software Base aplicativo Central"/>
    <n v="0.25"/>
    <s v="Tech Manager/Líder"/>
    <s v="Distribuido"/>
    <m/>
    <e v="#NAME?"/>
    <e v="#NAME?"/>
    <e v="#NAME?"/>
    <m/>
    <m/>
    <m/>
    <m/>
    <m/>
  </r>
  <r>
    <s v="CI35375"/>
    <x v="499"/>
    <x v="1"/>
    <x v="18"/>
    <s v="BBVA Fiduciaria"/>
    <e v="#NAME?"/>
    <s v="SDATOOL-40242 $ Fiduciaria - Obsolescencia software Base aplicativo MIDAS"/>
    <n v="0.25"/>
    <s v="Tech Manager/Líder"/>
    <s v="Distribuido"/>
    <m/>
    <e v="#NAME?"/>
    <e v="#NAME?"/>
    <e v="#NAME?"/>
    <m/>
    <m/>
    <m/>
    <m/>
    <m/>
  </r>
  <r>
    <s v="CI35375"/>
    <x v="499"/>
    <x v="1"/>
    <x v="18"/>
    <s v="BBVA Fiduciaria"/>
    <e v="#NAME?"/>
    <s v="NOSDA $ BAU (Mantenimiento y peq. evolutivos)"/>
    <n v="0.25"/>
    <s v="Tech Manager/Líder"/>
    <s v="Distribuido"/>
    <m/>
    <e v="#NAME?"/>
    <e v="#NAME?"/>
    <e v="#NAME?"/>
    <m/>
    <m/>
    <m/>
    <m/>
    <m/>
  </r>
  <r>
    <s v="CI35407"/>
    <x v="497"/>
    <x v="1"/>
    <x v="18"/>
    <s v="BBVA Fiduciaria"/>
    <e v="#NAME?"/>
    <s v="SDATOOL-40639 $ Fiduciaria -Obsolecencia Migración Softoken FIDUSAP R2 a NextGen"/>
    <n v="0.25"/>
    <s v="Otros"/>
    <s v="Distribuido"/>
    <m/>
    <e v="#NAME?"/>
    <e v="#NAME?"/>
    <e v="#NAME?"/>
    <m/>
    <m/>
    <m/>
    <m/>
    <m/>
  </r>
  <r>
    <s v="CI35435"/>
    <x v="496"/>
    <x v="1"/>
    <x v="18"/>
    <s v="BBVA Fiduciaria"/>
    <e v="#NAME?"/>
    <s v="SDATOOL-40548 $ Fiduciaria - Obsolecencia aplicativa, infraestructura e Insider aplicativo FIDUSAP"/>
    <n v="0.25"/>
    <s v="Otros"/>
    <s v="Distribuido"/>
    <m/>
    <e v="#NAME?"/>
    <e v="#NAME?"/>
    <e v="#NAME?"/>
    <m/>
    <m/>
    <m/>
    <m/>
    <m/>
  </r>
  <r>
    <s v="T011273"/>
    <x v="500"/>
    <x v="1"/>
    <x v="18"/>
    <s v="BBVA Fiduciaria"/>
    <e v="#NAME?"/>
    <s v="SDATOOL-40548 $ Fiduciaria - Obsolecencia aplicativa, infraestructura e Insider aplicativo FIDUSAP"/>
    <n v="1"/>
    <s v="Otros"/>
    <s v="Distribuido"/>
    <m/>
    <e v="#NAME?"/>
    <e v="#NAME?"/>
    <e v="#NAME?"/>
    <m/>
    <m/>
    <m/>
    <m/>
    <m/>
  </r>
  <r>
    <s v="CI35406"/>
    <x v="501"/>
    <x v="1"/>
    <x v="18"/>
    <s v="BBVA Fiduciaria"/>
    <e v="#NAME?"/>
    <s v="SDATOOL-40552 $ Fiduciaria - PSE Procesamiento y confirmación de pagos en línea"/>
    <n v="0.25"/>
    <s v="Tech Manager/Líder"/>
    <s v="Distribuido"/>
    <m/>
    <e v="#NAME?"/>
    <e v="#NAME?"/>
    <e v="#NAME?"/>
    <m/>
    <m/>
    <m/>
    <m/>
    <m/>
  </r>
  <r>
    <s v="CI35406"/>
    <x v="501"/>
    <x v="1"/>
    <x v="18"/>
    <s v="BBVA Fiduciaria"/>
    <e v="#NAME?"/>
    <s v="NOSDA $ BAU (Mantenimiento y peq. evolutivos)"/>
    <n v="0.75"/>
    <s v="Otros"/>
    <s v="Distribuido"/>
    <m/>
    <e v="#NAME?"/>
    <e v="#NAME?"/>
    <e v="#NAME?"/>
    <m/>
    <m/>
    <m/>
    <m/>
    <m/>
  </r>
  <r>
    <s v="CI35202"/>
    <x v="502"/>
    <x v="1"/>
    <x v="18"/>
    <s v="BBVA Fiduciaria"/>
    <e v="#NAME?"/>
    <s v="NOSDA $ BAU (Mantenimiento y peq. evolutivos)"/>
    <n v="1"/>
    <s v="Otros"/>
    <s v="Distribuido"/>
    <m/>
    <e v="#NAME?"/>
    <e v="#NAME?"/>
    <e v="#NAME?"/>
    <m/>
    <m/>
    <m/>
    <m/>
    <m/>
  </r>
  <r>
    <s v="CI35375"/>
    <x v="499"/>
    <x v="1"/>
    <x v="18"/>
    <s v="BBVA Fiduciaria"/>
    <e v="#NAME?"/>
    <s v="SDATOOL-40812 $ Fiduciaria - Cambio de operador tecnologico para los documentos electronicos en la sociedad"/>
    <n v="0.16"/>
    <s v="Tech Manager/Líder"/>
    <s v="Distribuido"/>
    <m/>
    <e v="#NAME?"/>
    <e v="#NAME?"/>
    <e v="#NAME?"/>
    <m/>
    <m/>
    <m/>
    <m/>
    <m/>
  </r>
  <r>
    <s v="CE68033"/>
    <x v="503"/>
    <x v="1"/>
    <x v="18"/>
    <s v="BBVA Fiduciaria"/>
    <e v="#NAME?"/>
    <s v="NOSDA $ BAU (Mantenimiento y peq. evolutivos)"/>
    <n v="1"/>
    <s v="QA"/>
    <s v="Distribuido"/>
    <m/>
    <e v="#NAME?"/>
    <e v="#NAME?"/>
    <e v="#NAME?"/>
    <m/>
    <m/>
    <m/>
    <m/>
    <m/>
  </r>
  <r>
    <s v="CE58491"/>
    <x v="494"/>
    <x v="1"/>
    <x v="18"/>
    <s v="Inetum"/>
    <e v="#NAME?"/>
    <s v="NOSDA $ BAU (Mantenimiento y peq. evolutivos)"/>
    <n v="0.5"/>
    <s v="Otros"/>
    <m/>
    <m/>
    <e v="#NAME?"/>
    <e v="#NAME?"/>
    <e v="#NAME?"/>
    <m/>
    <m/>
    <m/>
    <m/>
    <m/>
  </r>
  <r>
    <s v="O001341"/>
    <x v="504"/>
    <x v="5"/>
    <x v="19"/>
    <s v="BBVA"/>
    <e v="#NAME?"/>
    <s v="SDATOOL-40672 $ Plan CRM: Mejoras AUG (Banca Comercial y CSF) Equipo A"/>
    <n v="0.25"/>
    <s v="Tech Manager/Líder"/>
    <s v="Mainframe"/>
    <s v="BlueSpring"/>
    <e v="#NAME?"/>
    <e v="#NAME?"/>
    <e v="#NAME?"/>
    <m/>
    <m/>
    <m/>
    <n v="3"/>
    <n v="15"/>
  </r>
  <r>
    <s v="O001341"/>
    <x v="504"/>
    <x v="5"/>
    <x v="19"/>
    <s v="BBVA"/>
    <e v="#NAME?"/>
    <s v="SDATOOL-40690 $ Plan CRM: Mejoras AUG (Banca Comercial y CSF) Equipo B"/>
    <n v="0.3"/>
    <s v="Tech Manager/Líder"/>
    <s v="Cells"/>
    <s v="ASO , APX"/>
    <e v="#NAME?"/>
    <e v="#NAME?"/>
    <e v="#NAME?"/>
    <m/>
    <m/>
    <m/>
    <n v="3"/>
    <n v="11"/>
  </r>
  <r>
    <s v="O001341"/>
    <x v="504"/>
    <x v="5"/>
    <x v="19"/>
    <s v="BBVA"/>
    <e v="#NAME?"/>
    <s v="SDATOOL-37121 $ Plan CRM: Seguimiento al pipeline"/>
    <n v="0.3"/>
    <s v="Tech Manager/Líder"/>
    <s v="Cells"/>
    <s v="ASO , APX"/>
    <e v="#NAME?"/>
    <e v="#NAME?"/>
    <e v="#NAME?"/>
    <m/>
    <m/>
    <m/>
    <n v="1"/>
    <n v="12"/>
  </r>
  <r>
    <s v="O001341"/>
    <x v="504"/>
    <x v="5"/>
    <x v="19"/>
    <s v="BBVA"/>
    <e v="#NAME?"/>
    <s v="NOSDA $ BAU (Mantenimiento y peq. evolutivos)"/>
    <n v="0.1"/>
    <s v="Tech Manager/Líder"/>
    <s v="Mainframe"/>
    <s v="BlueSpring"/>
    <e v="#NAME?"/>
    <e v="#NAME?"/>
    <e v="#NAME?"/>
    <m/>
    <m/>
    <m/>
    <m/>
    <m/>
  </r>
  <r>
    <s v="C805963"/>
    <x v="505"/>
    <x v="5"/>
    <x v="19"/>
    <s v="BBVA"/>
    <e v="#NAME?"/>
    <s v="SDATOOL-40672 $ Plan CRM: Mejoras AUG (Banca Comercial y CSF) Equipo A"/>
    <n v="1"/>
    <s v="Desarrollador"/>
    <s v="Mainframe"/>
    <m/>
    <e v="#NAME?"/>
    <e v="#NAME?"/>
    <e v="#NAME?"/>
    <m/>
    <m/>
    <m/>
    <m/>
    <m/>
  </r>
  <r>
    <s v="C805996"/>
    <x v="506"/>
    <x v="5"/>
    <x v="19"/>
    <s v="BBVA"/>
    <e v="#NAME?"/>
    <s v="SDATOOL-40690 $ Plan CRM: Mejoras AUG (Banca Comercial y CSF) Equipo B"/>
    <n v="1"/>
    <s v="Desarrollador"/>
    <s v="Mainframe"/>
    <m/>
    <e v="#NAME?"/>
    <e v="#NAME?"/>
    <e v="#NAME?"/>
    <m/>
    <m/>
    <m/>
    <m/>
    <m/>
  </r>
  <r>
    <s v="C810813"/>
    <x v="507"/>
    <x v="5"/>
    <x v="19"/>
    <s v="BBVA"/>
    <e v="#NAME?"/>
    <s v="SDATOOL-40672 $ Plan CRM: Mejoras AUG (Banca Comercial y CSF) Equipo A"/>
    <n v="0.8"/>
    <s v="Desarrollador"/>
    <s v="ASO"/>
    <m/>
    <e v="#NAME?"/>
    <e v="#NAME?"/>
    <e v="#NAME?"/>
    <m/>
    <m/>
    <m/>
    <m/>
    <m/>
  </r>
  <r>
    <s v="C810813"/>
    <x v="507"/>
    <x v="5"/>
    <x v="19"/>
    <s v="BBVA"/>
    <e v="#NAME?"/>
    <s v="NOSDA $ BAU (Mantenimiento y peq. evolutivos)"/>
    <n v="0.2"/>
    <s v="Desarrollador"/>
    <s v="ASO"/>
    <m/>
    <e v="#NAME?"/>
    <e v="#NAME?"/>
    <e v="#NAME?"/>
    <m/>
    <m/>
    <m/>
    <m/>
    <m/>
  </r>
  <r>
    <s v="C341736"/>
    <x v="508"/>
    <x v="5"/>
    <x v="19"/>
    <s v="BBVA"/>
    <e v="#NAME?"/>
    <s v="SDATOOL-40672 $ Plan CRM: Mejoras AUG (Banca Comercial y CSF) Equipo A"/>
    <n v="0.8"/>
    <s v="Desarrollador"/>
    <s v="Mainframe"/>
    <m/>
    <e v="#NAME?"/>
    <e v="#NAME?"/>
    <e v="#NAME?"/>
    <m/>
    <m/>
    <m/>
    <m/>
    <m/>
  </r>
  <r>
    <s v="C341736"/>
    <x v="508"/>
    <x v="5"/>
    <x v="19"/>
    <s v="BBVA"/>
    <e v="#NAME?"/>
    <s v="NOSDA $ BAU (Mantenimiento y peq. evolutivos)"/>
    <n v="0.2"/>
    <s v="Desarrollador"/>
    <s v="Mainframe"/>
    <m/>
    <e v="#NAME?"/>
    <e v="#NAME?"/>
    <e v="#NAME?"/>
    <m/>
    <m/>
    <m/>
    <m/>
    <m/>
  </r>
  <r>
    <s v="CE69608"/>
    <x v="509"/>
    <x v="5"/>
    <x v="19"/>
    <s v="Choucair"/>
    <e v="#NAME?"/>
    <s v="SDATOOL-40672 $ Plan CRM: Mejoras AUG (Banca Comercial y CSF) Equipo A"/>
    <n v="0.8"/>
    <s v="QA"/>
    <s v="Distribuido"/>
    <m/>
    <e v="#NAME?"/>
    <e v="#NAME?"/>
    <e v="#NAME?"/>
    <m/>
    <m/>
    <m/>
    <m/>
    <m/>
  </r>
  <r>
    <s v="T007662"/>
    <x v="510"/>
    <x v="5"/>
    <x v="19"/>
    <s v="Neoris"/>
    <e v="#NAME?"/>
    <s v="SDATOOL-40672 $ Plan CRM: Mejoras AUG (Banca Comercial y CSF) Equipo A"/>
    <n v="0.5"/>
    <s v="Tech Manager/Líder"/>
    <s v="Distribuido"/>
    <m/>
    <e v="#NAME?"/>
    <e v="#NAME?"/>
    <e v="#NAME?"/>
    <m/>
    <m/>
    <m/>
    <m/>
    <m/>
  </r>
  <r>
    <s v="T007663"/>
    <x v="511"/>
    <x v="5"/>
    <x v="19"/>
    <s v="Neoris"/>
    <e v="#NAME?"/>
    <s v="SDATOOL-40672 $ Plan CRM: Mejoras AUG (Banca Comercial y CSF) Equipo A"/>
    <n v="1"/>
    <s v="Desarrollador"/>
    <s v="Distribuido"/>
    <m/>
    <e v="#NAME?"/>
    <e v="#NAME?"/>
    <e v="#NAME?"/>
    <m/>
    <m/>
    <m/>
    <m/>
    <m/>
  </r>
  <r>
    <s v="CE71171"/>
    <x v="512"/>
    <x v="5"/>
    <x v="19"/>
    <s v="Neoris"/>
    <e v="#NAME?"/>
    <s v="SDATOOL-40672 $ Plan CRM: Mejoras AUG (Banca Comercial y CSF) Equipo A"/>
    <n v="1"/>
    <s v="Desarrollador"/>
    <s v="Distribuido"/>
    <m/>
    <e v="#NAME?"/>
    <e v="#NAME?"/>
    <e v="#NAME?"/>
    <m/>
    <m/>
    <m/>
    <m/>
    <m/>
  </r>
  <r>
    <s v="T002801"/>
    <x v="513"/>
    <x v="5"/>
    <x v="19"/>
    <s v="Neoris"/>
    <e v="#NAME?"/>
    <s v="SDATOOL-40672 $ Plan CRM: Mejoras AUG (Banca Comercial y CSF) Equipo A"/>
    <n v="1"/>
    <s v="Desarrollador"/>
    <s v="Distribuido"/>
    <m/>
    <e v="#NAME?"/>
    <e v="#NAME?"/>
    <e v="#NAME?"/>
    <m/>
    <m/>
    <m/>
    <m/>
    <m/>
  </r>
  <r>
    <s v="CE57066"/>
    <x v="514"/>
    <x v="5"/>
    <x v="19"/>
    <s v="Neoris"/>
    <e v="#NAME?"/>
    <s v="SDATOOL-40672 $ Plan CRM: Mejoras AUG (Banca Comercial y CSF) Equipo A"/>
    <n v="1"/>
    <s v="Desarrollador"/>
    <s v="Distribuido"/>
    <m/>
    <e v="#NAME?"/>
    <e v="#NAME?"/>
    <e v="#NAME?"/>
    <m/>
    <m/>
    <m/>
    <m/>
    <m/>
  </r>
  <r>
    <s v="T002010"/>
    <x v="515"/>
    <x v="5"/>
    <x v="19"/>
    <s v="Neoris"/>
    <e v="#NAME?"/>
    <s v="SDATOOL-40672 $ Plan CRM: Mejoras AUG (Banca Comercial y CSF) Equipo A"/>
    <n v="1"/>
    <s v="Desarrollador"/>
    <s v="Distribuido"/>
    <m/>
    <e v="#NAME?"/>
    <e v="#NAME?"/>
    <e v="#NAME?"/>
    <m/>
    <m/>
    <m/>
    <m/>
    <m/>
  </r>
  <r>
    <s v="NO TIENE"/>
    <x v="516"/>
    <x v="5"/>
    <x v="19"/>
    <s v="Neoris"/>
    <e v="#NAME?"/>
    <s v="SDATOOL-40672 $ Plan CRM: Mejoras AUG (Banca Comercial y CSF) Equipo A"/>
    <n v="1"/>
    <s v="Desarrollador"/>
    <s v="Distribuido"/>
    <m/>
    <e v="#NAME?"/>
    <e v="#NAME?"/>
    <e v="#NAME?"/>
    <m/>
    <m/>
    <m/>
    <m/>
    <m/>
  </r>
  <r>
    <s v="T008182"/>
    <x v="517"/>
    <x v="5"/>
    <x v="19"/>
    <s v="Neoris"/>
    <e v="#NAME?"/>
    <s v="SDATOOL-40672 $ Plan CRM: Mejoras AUG (Banca Comercial y CSF) Equipo A"/>
    <n v="1"/>
    <s v="Desarrollador"/>
    <s v="Distribuido"/>
    <m/>
    <e v="#NAME?"/>
    <e v="#NAME?"/>
    <e v="#NAME?"/>
    <m/>
    <m/>
    <m/>
    <m/>
    <m/>
  </r>
  <r>
    <s v="T008150"/>
    <x v="518"/>
    <x v="5"/>
    <x v="19"/>
    <s v="Neoris"/>
    <e v="#NAME?"/>
    <s v="SDATOOL-40672 $ Plan CRM: Mejoras AUG (Banca Comercial y CSF) Equipo A"/>
    <n v="1"/>
    <s v="Desarrollador"/>
    <s v="Distribuido"/>
    <m/>
    <e v="#NAME?"/>
    <e v="#NAME?"/>
    <e v="#NAME?"/>
    <m/>
    <m/>
    <m/>
    <m/>
    <m/>
  </r>
  <r>
    <s v="T008176"/>
    <x v="519"/>
    <x v="5"/>
    <x v="19"/>
    <s v="Neoris"/>
    <e v="#NAME?"/>
    <s v="SDATOOL-40672 $ Plan CRM: Mejoras AUG (Banca Comercial y CSF) Equipo A"/>
    <n v="1"/>
    <s v="Desarrollador"/>
    <s v="Distribuido"/>
    <m/>
    <e v="#NAME?"/>
    <e v="#NAME?"/>
    <e v="#NAME?"/>
    <m/>
    <m/>
    <m/>
    <m/>
    <m/>
  </r>
  <r>
    <s v="O000191"/>
    <x v="520"/>
    <x v="5"/>
    <x v="19"/>
    <s v="BBVA"/>
    <e v="#NAME?"/>
    <s v="SDATOOL-40690 $ Plan CRM: Mejoras AUG (Banca Comercial y CSF) Equipo B"/>
    <n v="1"/>
    <s v="Desarrollador"/>
    <s v="Mainframe"/>
    <m/>
    <e v="#NAME?"/>
    <e v="#NAME?"/>
    <e v="#NAME?"/>
    <m/>
    <m/>
    <m/>
    <m/>
    <m/>
  </r>
  <r>
    <s v="O002496"/>
    <x v="521"/>
    <x v="5"/>
    <x v="19"/>
    <s v="BBVA"/>
    <e v="#NAME?"/>
    <s v="SDATOOL-40690 $ Plan CRM: Mejoras AUG (Banca Comercial y CSF) Equipo B"/>
    <n v="0.95"/>
    <s v="Desarrollador"/>
    <s v="Distribuido"/>
    <m/>
    <e v="#NAME?"/>
    <e v="#NAME?"/>
    <e v="#NAME?"/>
    <m/>
    <m/>
    <m/>
    <m/>
    <m/>
  </r>
  <r>
    <s v="CE69969"/>
    <x v="522"/>
    <x v="5"/>
    <x v="19"/>
    <s v="Choucair"/>
    <e v="#NAME?"/>
    <s v="SDATOOL-40690 $ Plan CRM: Mejoras AUG (Banca Comercial y CSF) Equipo B"/>
    <n v="1"/>
    <s v="QA"/>
    <s v="Distribuido"/>
    <m/>
    <e v="#NAME?"/>
    <e v="#NAME?"/>
    <e v="#NAME?"/>
    <m/>
    <m/>
    <m/>
    <m/>
    <m/>
  </r>
  <r>
    <s v="CE47376"/>
    <x v="523"/>
    <x v="5"/>
    <x v="19"/>
    <s v="Neoris"/>
    <e v="#NAME?"/>
    <s v="SDATOOL-40690 $ Plan CRM: Mejoras AUG (Banca Comercial y CSF) Equipo B"/>
    <n v="1"/>
    <s v="Desarrollador"/>
    <s v="Mainframe"/>
    <m/>
    <e v="#NAME?"/>
    <e v="#NAME?"/>
    <e v="#NAME?"/>
    <m/>
    <m/>
    <m/>
    <m/>
    <m/>
  </r>
  <r>
    <s v="CE66885"/>
    <x v="524"/>
    <x v="5"/>
    <x v="19"/>
    <s v="Meraki"/>
    <e v="#NAME?"/>
    <s v="SDATOOL-40690 $ Plan CRM: Mejoras AUG (Banca Comercial y CSF) Equipo B"/>
    <n v="1"/>
    <s v="Desarrollador"/>
    <s v="Mainframe"/>
    <m/>
    <e v="#NAME?"/>
    <e v="#NAME?"/>
    <e v="#NAME?"/>
    <m/>
    <m/>
    <m/>
    <m/>
    <m/>
  </r>
  <r>
    <s v="CE66884"/>
    <x v="525"/>
    <x v="5"/>
    <x v="19"/>
    <s v="Meraki"/>
    <e v="#NAME?"/>
    <s v="SDATOOL-40690 $ Plan CRM: Mejoras AUG (Banca Comercial y CSF) Equipo B"/>
    <n v="1"/>
    <s v="Desarrollador"/>
    <s v="Mainframe"/>
    <m/>
    <e v="#NAME?"/>
    <e v="#NAME?"/>
    <e v="#NAME?"/>
    <m/>
    <m/>
    <m/>
    <m/>
    <m/>
  </r>
  <r>
    <s v="O001657"/>
    <x v="526"/>
    <x v="5"/>
    <x v="19"/>
    <s v="BBVA"/>
    <e v="#NAME?"/>
    <s v="SDATOOL-37121 $ Plan CRM: Seguimiento al pipeline"/>
    <n v="1"/>
    <s v="Desarrollador"/>
    <s v="ASO"/>
    <m/>
    <e v="#NAME?"/>
    <e v="#NAME?"/>
    <e v="#NAME?"/>
    <m/>
    <m/>
    <m/>
    <m/>
    <m/>
  </r>
  <r>
    <s v="O002419"/>
    <x v="527"/>
    <x v="5"/>
    <x v="19"/>
    <s v="BBVA"/>
    <e v="#NAME?"/>
    <s v="SDATOOL-37121 $ Plan CRM: Seguimiento al pipeline"/>
    <n v="1"/>
    <s v="Desarrollador"/>
    <s v="Distribuido"/>
    <m/>
    <e v="#NAME?"/>
    <e v="#NAME?"/>
    <e v="#NAME?"/>
    <m/>
    <m/>
    <m/>
    <m/>
    <m/>
  </r>
  <r>
    <s v="O001733"/>
    <x v="528"/>
    <x v="5"/>
    <x v="19"/>
    <s v="BBVA"/>
    <e v="#NAME?"/>
    <s v="SDATOOL-37121 $ Plan CRM: Seguimiento al pipeline"/>
    <n v="1"/>
    <s v="Desarrollador"/>
    <s v="Distribuido"/>
    <m/>
    <e v="#NAME?"/>
    <e v="#NAME?"/>
    <e v="#NAME?"/>
    <m/>
    <m/>
    <m/>
    <m/>
    <m/>
  </r>
  <r>
    <s v="CE68404"/>
    <x v="529"/>
    <x v="5"/>
    <x v="19"/>
    <s v="Choucair"/>
    <e v="#NAME?"/>
    <s v="SDATOOL-37121 $ Plan CRM: Seguimiento al pipeline"/>
    <n v="1"/>
    <s v="QA"/>
    <s v="Otras Tec."/>
    <m/>
    <e v="#NAME?"/>
    <e v="#NAME?"/>
    <e v="#NAME?"/>
    <m/>
    <m/>
    <m/>
    <m/>
    <m/>
  </r>
  <r>
    <s v="O001341"/>
    <x v="504"/>
    <x v="5"/>
    <x v="19"/>
    <s v="BBVA"/>
    <e v="#NAME?"/>
    <s v="SDATOOL-39272 $ GRM-Col-Cambio servicio APL (Aportes en línea)"/>
    <n v="0.05"/>
    <s v="Tech Manager/Líder"/>
    <s v="Distribuido"/>
    <m/>
    <e v="#NAME?"/>
    <e v="#NAME?"/>
    <e v="#NAME?"/>
    <m/>
    <m/>
    <m/>
    <m/>
    <m/>
  </r>
  <r>
    <s v="CE69608"/>
    <x v="509"/>
    <x v="5"/>
    <x v="19"/>
    <s v="Choucair"/>
    <e v="#NAME?"/>
    <s v="SDATOOL-39272 $ GRM-Col-Cambio servicio APL (Aportes en línea)"/>
    <n v="0.2"/>
    <s v="QA"/>
    <s v="Distribuido"/>
    <s v="BlueSpring"/>
    <e v="#NAME?"/>
    <e v="#NAME?"/>
    <e v="#NAME?"/>
    <m/>
    <m/>
    <m/>
    <m/>
    <m/>
  </r>
  <r>
    <s v="O002496"/>
    <x v="521"/>
    <x v="5"/>
    <x v="19"/>
    <s v="BBVA"/>
    <e v="#NAME?"/>
    <s v="SDATOOL-39272 $ GRM-Col-Cambio servicio APL (Aportes en línea)"/>
    <n v="0.05"/>
    <s v="Desarrollador"/>
    <s v="Distribuido"/>
    <s v="BlueSpring"/>
    <e v="#NAME?"/>
    <e v="#NAME?"/>
    <e v="#NAME?"/>
    <m/>
    <m/>
    <m/>
    <m/>
    <m/>
  </r>
  <r>
    <s v="CE69858"/>
    <x v="530"/>
    <x v="5"/>
    <x v="19"/>
    <s v="Meraki"/>
    <e v="#NAME?"/>
    <s v="SDATOOL-39272 $ GRM-Col-Cambio servicio APL (Aportes en línea)"/>
    <n v="1"/>
    <s v="Desarrollador"/>
    <s v="ASO"/>
    <s v="BlueSpring"/>
    <e v="#NAME?"/>
    <e v="#NAME?"/>
    <e v="#NAME?"/>
    <m/>
    <m/>
    <m/>
    <m/>
    <m/>
  </r>
  <r>
    <s v="CE52470"/>
    <x v="531"/>
    <x v="5"/>
    <x v="19"/>
    <s v="SII"/>
    <e v="#NAME?"/>
    <s v="SDATOOL-40690 $ Plan CRM: Mejoras AUG (Banca Comercial y CSF) Equipo B"/>
    <n v="1"/>
    <s v="Desarrollador"/>
    <s v="Mainframe"/>
    <m/>
    <e v="#NAME?"/>
    <e v="#NAME?"/>
    <e v="#NAME?"/>
    <m/>
    <m/>
    <m/>
    <m/>
    <m/>
  </r>
  <r>
    <s v="CE51863"/>
    <x v="275"/>
    <x v="5"/>
    <x v="19"/>
    <s v="KRYPTO"/>
    <e v="#NAME?"/>
    <s v="SDATOOL-40690 $ Plan CRM: Mejoras AUG (Banca Comercial y CSF) Equipo B"/>
    <n v="0.02"/>
    <s v="QA"/>
    <s v="Distribuido"/>
    <m/>
    <e v="#NAME?"/>
    <e v="#NAME?"/>
    <e v="#NAME?"/>
    <m/>
    <m/>
    <m/>
    <n v="2"/>
    <n v="2"/>
  </r>
  <r>
    <s v="CE51863"/>
    <x v="275"/>
    <x v="5"/>
    <x v="19"/>
    <s v="KRYPTO"/>
    <e v="#NAME?"/>
    <s v="SDATOOL-37121 $ Plan CRM: Seguimiento al pipeline"/>
    <n v="0.02"/>
    <s v="QA"/>
    <s v="Distribuido"/>
    <m/>
    <e v="#NAME?"/>
    <e v="#NAME?"/>
    <e v="#NAME?"/>
    <m/>
    <m/>
    <m/>
    <n v="2"/>
    <n v="2"/>
  </r>
  <r>
    <s v="CE51863"/>
    <x v="275"/>
    <x v="5"/>
    <x v="19"/>
    <s v="KRYPTO"/>
    <e v="#NAME?"/>
    <s v="SDATOOL-40672 $ Plan CRM: Mejoras AUG (Banca Comercial y CSF) Equipo A"/>
    <n v="0.02"/>
    <s v="QA"/>
    <s v="Distribuido"/>
    <m/>
    <e v="#NAME?"/>
    <e v="#NAME?"/>
    <e v="#NAME?"/>
    <m/>
    <m/>
    <m/>
    <n v="2"/>
    <n v="2"/>
  </r>
  <r>
    <s v="CE51863"/>
    <x v="275"/>
    <x v="5"/>
    <x v="19"/>
    <s v="KRYPTO"/>
    <e v="#NAME?"/>
    <s v="NOSDA $ BAU (Mantenimiento y peq. evolutivos)"/>
    <n v="0.02"/>
    <s v="QA"/>
    <s v="Distribuido"/>
    <m/>
    <e v="#NAME?"/>
    <e v="#NAME?"/>
    <e v="#NAME?"/>
    <m/>
    <m/>
    <m/>
    <n v="2"/>
    <n v="2"/>
  </r>
  <r>
    <s v="CE51863"/>
    <x v="275"/>
    <x v="5"/>
    <x v="20"/>
    <s v="KRYPTO"/>
    <e v="#NAME?"/>
    <s v="NOSDA $ BAU (Mantenimiento y peq. evolutivos)"/>
    <n v="0.02"/>
    <s v="QA"/>
    <s v="Distribuido"/>
    <m/>
    <e v="#NAME?"/>
    <e v="#NAME?"/>
    <e v="#NAME?"/>
    <m/>
    <m/>
    <m/>
    <n v="2"/>
    <n v="2"/>
  </r>
  <r>
    <s v="CE51863"/>
    <x v="275"/>
    <x v="5"/>
    <x v="20"/>
    <s v="KRYPTO"/>
    <e v="#NAME?"/>
    <s v="SDATOOL-40269 $ Actualización y transmisión Declaraciones de Cambio – Banco de la República Abril 2022."/>
    <n v="0.02"/>
    <s v="QA"/>
    <s v="Otras Tec."/>
    <m/>
    <e v="#NAME?"/>
    <e v="#NAME?"/>
    <e v="#NAME?"/>
    <m/>
    <m/>
    <m/>
    <n v="1"/>
    <n v="1"/>
  </r>
  <r>
    <s v="CE51863"/>
    <x v="275"/>
    <x v="5"/>
    <x v="20"/>
    <s v="KRYPTO"/>
    <e v="#NAME?"/>
    <s v="SDATOOL-37294 $ Gestión de Tráfico en Oficinas"/>
    <n v="0.02"/>
    <s v="QA"/>
    <s v="Otras Tec."/>
    <m/>
    <e v="#NAME?"/>
    <e v="#NAME?"/>
    <e v="#NAME?"/>
    <m/>
    <m/>
    <m/>
    <n v="1"/>
    <n v="1"/>
  </r>
  <r>
    <s v="CE51863"/>
    <x v="275"/>
    <x v="5"/>
    <x v="20"/>
    <s v="KRYPTO"/>
    <e v="#NAME?"/>
    <s v="SDATOOL-37761 $ Plan transformación de procesos"/>
    <n v="0.02"/>
    <s v="QA"/>
    <s v="Otras Tec."/>
    <m/>
    <e v="#NAME?"/>
    <e v="#NAME?"/>
    <e v="#NAME?"/>
    <m/>
    <m/>
    <m/>
    <m/>
    <m/>
  </r>
  <r>
    <s v="CE54839"/>
    <x v="532"/>
    <x v="5"/>
    <x v="20"/>
    <s v="Inetum"/>
    <e v="#NAME?"/>
    <s v="NOSDA $ BAU (Mantenimiento y peq. evolutivos)"/>
    <n v="0.5"/>
    <s v="QA"/>
    <s v="Otras Tec."/>
    <m/>
    <e v="#NAME?"/>
    <e v="#NAME?"/>
    <e v="#NAME?"/>
    <m/>
    <m/>
    <m/>
    <m/>
    <m/>
  </r>
  <r>
    <s v="CE52336"/>
    <x v="533"/>
    <x v="5"/>
    <x v="20"/>
    <s v="Inetum"/>
    <e v="#NAME?"/>
    <s v="NOSDA $ BAU (Mantenimiento y peq. evolutivos)"/>
    <n v="1"/>
    <s v="Desarrollador"/>
    <s v="Distribuido"/>
    <m/>
    <e v="#NAME?"/>
    <e v="#NAME?"/>
    <e v="#NAME?"/>
    <m/>
    <m/>
    <m/>
    <m/>
    <m/>
  </r>
  <r>
    <s v="C805453"/>
    <x v="534"/>
    <x v="5"/>
    <x v="20"/>
    <s v="BBVA"/>
    <e v="#NAME?"/>
    <s v="SDATOOL-37761 $ Plan transformación de procesos"/>
    <n v="0.4"/>
    <s v="Desarrollador"/>
    <s v="Otras Tec."/>
    <m/>
    <e v="#NAME?"/>
    <e v="#NAME?"/>
    <e v="#NAME?"/>
    <m/>
    <m/>
    <m/>
    <m/>
    <m/>
  </r>
  <r>
    <s v="T002003"/>
    <x v="535"/>
    <x v="5"/>
    <x v="20"/>
    <s v="Choucair"/>
    <e v="#NAME?"/>
    <s v="SDATOOL-37761 $ Plan transformación de procesos"/>
    <n v="0.5"/>
    <s v="QA"/>
    <s v="Otras Tec."/>
    <m/>
    <e v="#NAME?"/>
    <e v="#NAME?"/>
    <e v="#NAME?"/>
    <m/>
    <m/>
    <m/>
    <m/>
    <m/>
  </r>
  <r>
    <s v="T002003"/>
    <x v="535"/>
    <x v="5"/>
    <x v="20"/>
    <s v="Choucair"/>
    <e v="#NAME?"/>
    <s v="NOSDA $ BAU (Mantenimiento y peq. evolutivos)"/>
    <n v="0.5"/>
    <s v="QA"/>
    <s v="Distribuido"/>
    <m/>
    <e v="#NAME?"/>
    <e v="#NAME?"/>
    <e v="#NAME?"/>
    <m/>
    <m/>
    <m/>
    <m/>
    <m/>
  </r>
  <r>
    <s v="O001338"/>
    <x v="536"/>
    <x v="5"/>
    <x v="20"/>
    <s v="BBVA"/>
    <e v="#NAME?"/>
    <s v="SDATOOL-37294 $ Gestión de Tráfico en Oficinas"/>
    <n v="1"/>
    <s v="Desarrollador"/>
    <s v="ASO"/>
    <s v="apx"/>
    <e v="#NAME?"/>
    <e v="#NAME?"/>
    <e v="#NAME?"/>
    <m/>
    <m/>
    <m/>
    <m/>
    <m/>
  </r>
  <r>
    <s v="C811316"/>
    <x v="537"/>
    <x v="5"/>
    <x v="20"/>
    <s v="BBVA"/>
    <e v="#NAME?"/>
    <s v="SDATOOL-41879 $ Apertura de oficina Mitu"/>
    <n v="0.5"/>
    <s v="Desarrollador"/>
    <s v="Mainframe"/>
    <m/>
    <e v="#NAME?"/>
    <e v="#NAME?"/>
    <e v="#NAME?"/>
    <m/>
    <m/>
    <m/>
    <m/>
    <m/>
  </r>
  <r>
    <s v="C805978"/>
    <x v="538"/>
    <x v="5"/>
    <x v="20"/>
    <s v="BBVA"/>
    <e v="#NAME?"/>
    <s v="SDATOOL-37294 $ Gestión de Tráfico en Oficinas"/>
    <n v="1"/>
    <s v="Desarrollador"/>
    <s v="Otras Tec."/>
    <m/>
    <e v="#NAME?"/>
    <e v="#NAME?"/>
    <e v="#NAME?"/>
    <m/>
    <m/>
    <m/>
    <m/>
    <m/>
  </r>
  <r>
    <s v="O001338"/>
    <x v="539"/>
    <x v="5"/>
    <x v="20"/>
    <s v="BBVA"/>
    <e v="#NAME?"/>
    <s v="NOSDA $ BAU (Mantenimiento y peq. evolutivos)"/>
    <n v="0.2"/>
    <s v="Tech Manager/Líder"/>
    <s v="Otras Tec."/>
    <m/>
    <e v="#NAME?"/>
    <e v="#NAME?"/>
    <e v="#NAME?"/>
    <m/>
    <m/>
    <m/>
    <m/>
    <m/>
  </r>
  <r>
    <s v="O001338"/>
    <x v="539"/>
    <x v="5"/>
    <x v="20"/>
    <s v="BBVA"/>
    <e v="#NAME?"/>
    <s v="SDATOOL-40269 $ Actualización y transmisión Declaraciones de Cambio – Banco de la República Abril 2022."/>
    <n v="0.2"/>
    <s v="Tech Manager/Líder"/>
    <s v="Otras Tec."/>
    <m/>
    <e v="#NAME?"/>
    <e v="#NAME?"/>
    <e v="#NAME?"/>
    <m/>
    <m/>
    <m/>
    <m/>
    <m/>
  </r>
  <r>
    <s v="O001338"/>
    <x v="539"/>
    <x v="5"/>
    <x v="20"/>
    <s v="BBVA"/>
    <e v="#NAME?"/>
    <s v="SDATOOL-37294 $ Gestión de Tráfico en Oficinas"/>
    <n v="0.2"/>
    <s v="Tech Manager/Líder"/>
    <s v="Otras Tec."/>
    <m/>
    <e v="#NAME?"/>
    <e v="#NAME?"/>
    <e v="#NAME?"/>
    <m/>
    <m/>
    <m/>
    <m/>
    <m/>
  </r>
  <r>
    <s v="O001338"/>
    <x v="539"/>
    <x v="5"/>
    <x v="20"/>
    <s v="BBVA"/>
    <e v="#NAME?"/>
    <s v="SDATOOL-39246 $ Nuevo tipo de identificación para extranjeros"/>
    <n v="0.05"/>
    <s v="Tech Manager/Líder"/>
    <s v="Otras Tec."/>
    <m/>
    <e v="#NAME?"/>
    <e v="#NAME?"/>
    <e v="#NAME?"/>
    <m/>
    <m/>
    <m/>
    <m/>
    <m/>
  </r>
  <r>
    <s v="O001338"/>
    <x v="539"/>
    <x v="5"/>
    <x v="20"/>
    <s v="BBVA"/>
    <e v="#NAME?"/>
    <s v="SDATOOL-41879 $ Apertura de oficina Mitu"/>
    <n v="0.05"/>
    <s v="Tech Manager/Líder"/>
    <s v="Otras Tec."/>
    <m/>
    <e v="#NAME?"/>
    <e v="#NAME?"/>
    <e v="#NAME?"/>
    <m/>
    <m/>
    <m/>
    <m/>
    <m/>
  </r>
  <r>
    <s v="O001338"/>
    <x v="539"/>
    <x v="5"/>
    <x v="20"/>
    <s v="BBVA"/>
    <e v="#NAME?"/>
    <s v="SDATOOL-37761 $ Plan transformación de procesos"/>
    <n v="0.2"/>
    <s v="Tech Manager/Líder"/>
    <s v="Otras Tec."/>
    <m/>
    <e v="#NAME?"/>
    <e v="#NAME?"/>
    <e v="#NAME?"/>
    <m/>
    <m/>
    <m/>
    <m/>
    <m/>
  </r>
  <r>
    <s v="O001338"/>
    <x v="539"/>
    <x v="5"/>
    <x v="20"/>
    <s v="BBVA"/>
    <e v="#NAME?"/>
    <s v="SDATOOL-41766 $ DUALIDAD CUENTAS AFC NÁCAR HOST Y CANALES DIGITALES"/>
    <n v="0.1"/>
    <s v="Tech Manager/Líder"/>
    <s v="Otras Tec."/>
    <m/>
    <e v="#NAME?"/>
    <e v="#NAME?"/>
    <e v="#NAME?"/>
    <m/>
    <m/>
    <m/>
    <m/>
    <m/>
  </r>
  <r>
    <s v="C808471"/>
    <x v="540"/>
    <x v="5"/>
    <x v="20"/>
    <s v="BBVA"/>
    <e v="#NAME?"/>
    <s v="SDATOOL-40269 $ Actualización y transmisión Declaraciones de Cambio – Banco de la República Abril 2022."/>
    <n v="1"/>
    <s v="Desarrollador"/>
    <s v="Mainframe"/>
    <m/>
    <e v="#NAME?"/>
    <e v="#NAME?"/>
    <e v="#NAME?"/>
    <m/>
    <m/>
    <m/>
    <m/>
    <m/>
  </r>
  <r>
    <s v="C342537"/>
    <x v="541"/>
    <x v="5"/>
    <x v="20"/>
    <s v="BBVA"/>
    <e v="#NAME?"/>
    <s v="SDATOOL-37761 $ Plan transformación de procesos"/>
    <n v="0.5"/>
    <s v="Desarrollador"/>
    <s v="Distribuido"/>
    <m/>
    <e v="#NAME?"/>
    <e v="#NAME?"/>
    <e v="#NAME?"/>
    <m/>
    <m/>
    <m/>
    <m/>
    <m/>
  </r>
  <r>
    <s v="C342537"/>
    <x v="541"/>
    <x v="5"/>
    <x v="20"/>
    <s v="BBVA"/>
    <e v="#NAME?"/>
    <s v="SDATOOL-41766 $ DUALIDAD CUENTAS AFC NÁCAR HOST Y CANALES DIGITALES"/>
    <n v="0.5"/>
    <s v="Desarrollador"/>
    <s v="Distribuido"/>
    <m/>
    <e v="#NAME?"/>
    <e v="#NAME?"/>
    <e v="#NAME?"/>
    <m/>
    <m/>
    <m/>
    <m/>
    <m/>
  </r>
  <r>
    <s v="O002178"/>
    <x v="542"/>
    <x v="5"/>
    <x v="20"/>
    <s v="BBVA"/>
    <e v="#NAME?"/>
    <s v="NOSDA $ BAU (Mantenimiento y peq. evolutivos)"/>
    <n v="1"/>
    <s v="Desarrollador"/>
    <s v="Mainframe"/>
    <m/>
    <e v="#NAME?"/>
    <e v="#NAME?"/>
    <e v="#NAME?"/>
    <m/>
    <m/>
    <m/>
    <m/>
    <m/>
  </r>
  <r>
    <s v="C811316"/>
    <x v="537"/>
    <x v="5"/>
    <x v="20"/>
    <s v="BBVA"/>
    <e v="#NAME?"/>
    <s v="NOSDA $ BAU (Mantenimiento y peq. evolutivos)"/>
    <n v="0.5"/>
    <s v="Desarrollador"/>
    <s v="Mainframe"/>
    <m/>
    <e v="#NAME?"/>
    <e v="#NAME?"/>
    <e v="#NAME?"/>
    <m/>
    <m/>
    <m/>
    <m/>
    <m/>
  </r>
  <r>
    <s v="C805453"/>
    <x v="534"/>
    <x v="5"/>
    <x v="20"/>
    <s v="BBVA"/>
    <e v="#NAME?"/>
    <s v="SDATOOL-39246 $ Nuevo tipo de identificación para extranjeros"/>
    <n v="0.5"/>
    <s v="Desarrollador"/>
    <s v="Distribuido"/>
    <m/>
    <e v="#NAME?"/>
    <e v="#NAME?"/>
    <e v="#NAME?"/>
    <m/>
    <m/>
    <m/>
    <m/>
    <m/>
  </r>
  <r>
    <s v="C805453"/>
    <x v="534"/>
    <x v="5"/>
    <x v="20"/>
    <s v="BBVA"/>
    <e v="#NAME?"/>
    <s v="NOSDA $ BAU (Mantenimiento y peq. evolutivos)"/>
    <n v="0.1"/>
    <s v="Desarrollador"/>
    <s v="Distribuido"/>
    <m/>
    <e v="#NAME?"/>
    <e v="#NAME?"/>
    <e v="#NAME?"/>
    <m/>
    <m/>
    <m/>
    <m/>
    <m/>
  </r>
  <r>
    <s v="CE54839"/>
    <x v="532"/>
    <x v="5"/>
    <x v="20"/>
    <s v="Inetum"/>
    <e v="#NAME?"/>
    <s v="SDATOOL-37761 $ Plan transformación de procesos"/>
    <n v="0.5"/>
    <s v="QA"/>
    <m/>
    <m/>
    <e v="#NAME?"/>
    <e v="#NAME?"/>
    <e v="#NAME?"/>
    <m/>
    <m/>
    <m/>
    <m/>
    <m/>
  </r>
  <r>
    <s v="E049846"/>
    <x v="543"/>
    <x v="5"/>
    <x v="21"/>
    <s v="BBVA"/>
    <e v="#NAME?"/>
    <s v="SDATOOL-42192 $ Transfiya en GloMo"/>
    <n v="0.2"/>
    <s v="Tech Manager/Líder"/>
    <s v="Cells"/>
    <m/>
    <e v="#NAME?"/>
    <e v="#NAME?"/>
    <e v="#NAME?"/>
    <m/>
    <m/>
    <m/>
    <m/>
    <m/>
  </r>
  <r>
    <s v="C810952"/>
    <x v="544"/>
    <x v="5"/>
    <x v="21"/>
    <s v="BBVA"/>
    <e v="#NAME?"/>
    <s v="SDATOOL-42192 $ Transfiya en GloMo"/>
    <n v="1"/>
    <s v="Desarrollador"/>
    <s v="Distribuido"/>
    <m/>
    <e v="#NAME?"/>
    <e v="#NAME?"/>
    <e v="#NAME?"/>
    <m/>
    <m/>
    <m/>
    <m/>
    <m/>
  </r>
  <r>
    <s v="C802581"/>
    <x v="545"/>
    <x v="5"/>
    <x v="21"/>
    <s v="BBVA"/>
    <e v="#NAME?"/>
    <s v="SDATOOL-42192 $ Transfiya en GloMo"/>
    <n v="0.4"/>
    <s v="Desarrollador"/>
    <m/>
    <s v="Interno"/>
    <e v="#NAME?"/>
    <e v="#NAME?"/>
    <e v="#NAME?"/>
    <m/>
    <m/>
    <m/>
    <m/>
    <m/>
  </r>
  <r>
    <m/>
    <x v="399"/>
    <x v="5"/>
    <x v="21"/>
    <s v="Accenture"/>
    <e v="#NAME?"/>
    <s v="SDATOOL-42192 $ Transfiya en GloMo"/>
    <n v="1"/>
    <s v="Desarrollador"/>
    <s v="ASO"/>
    <m/>
    <e v="#NAME?"/>
    <e v="#NAME?"/>
    <e v="#NAME?"/>
    <m/>
    <m/>
    <m/>
    <m/>
    <m/>
  </r>
  <r>
    <m/>
    <x v="399"/>
    <x v="5"/>
    <x v="21"/>
    <s v="Accenture"/>
    <e v="#NAME?"/>
    <s v="SDATOOL-42192 $ Transfiya en GloMo"/>
    <n v="1"/>
    <s v="Desarrollador"/>
    <s v="ASO"/>
    <m/>
    <e v="#NAME?"/>
    <e v="#NAME?"/>
    <e v="#NAME?"/>
    <m/>
    <m/>
    <m/>
    <m/>
    <m/>
  </r>
  <r>
    <m/>
    <x v="399"/>
    <x v="5"/>
    <x v="21"/>
    <s v="Accenture"/>
    <e v="#NAME?"/>
    <s v="SDATOOL-42192 $ Transfiya en GloMo"/>
    <n v="1"/>
    <s v="Desarrollador"/>
    <s v="ASO"/>
    <m/>
    <e v="#NAME?"/>
    <e v="#NAME?"/>
    <e v="#NAME?"/>
    <m/>
    <m/>
    <m/>
    <m/>
    <m/>
  </r>
  <r>
    <m/>
    <x v="546"/>
    <x v="5"/>
    <x v="21"/>
    <s v="Accenture"/>
    <e v="#NAME?"/>
    <s v="SDATOOL-42192 $ Transfiya en GloMo"/>
    <n v="1"/>
    <s v="Desarrollador"/>
    <s v="ASO"/>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546"/>
    <x v="5"/>
    <x v="21"/>
    <s v="Accenture"/>
    <e v="#NAME?"/>
    <s v="SDATOOL-42192 $ Transfiya en GloMo"/>
    <n v="0.33"/>
    <s v="Desarrollador"/>
    <s v="APX"/>
    <m/>
    <e v="#NAME?"/>
    <e v="#NAME?"/>
    <e v="#NAME?"/>
    <m/>
    <m/>
    <m/>
    <m/>
    <m/>
  </r>
  <r>
    <s v="CE40475"/>
    <x v="547"/>
    <x v="5"/>
    <x v="21"/>
    <s v="SII"/>
    <e v="#NAME?"/>
    <s v="SDATOOL-42192 $ Transfiya en GloMo"/>
    <n v="0.5"/>
    <s v="Desarrollador"/>
    <s v="Mainframe"/>
    <m/>
    <e v="#NAME?"/>
    <e v="#NAME?"/>
    <e v="#NAME?"/>
    <m/>
    <m/>
    <m/>
    <m/>
    <m/>
  </r>
  <r>
    <s v="CE64988"/>
    <x v="548"/>
    <x v="5"/>
    <x v="21"/>
    <s v="SII"/>
    <e v="#NAME?"/>
    <s v="SDATOOL-42192 $ Transfiya en GloMo"/>
    <n v="0.5"/>
    <s v="Desarrollador"/>
    <m/>
    <m/>
    <e v="#NAME?"/>
    <e v="#NAME?"/>
    <e v="#NAME?"/>
    <m/>
    <m/>
    <m/>
    <m/>
    <m/>
  </r>
  <r>
    <m/>
    <x v="549"/>
    <x v="5"/>
    <x v="21"/>
    <s v="Accenture"/>
    <e v="#NAME?"/>
    <s v="SDATOOL-42192 $ Transfiya en GloMo"/>
    <n v="1"/>
    <s v="Desarrollador"/>
    <s v="Mainframe"/>
    <m/>
    <e v="#NAME?"/>
    <e v="#NAME?"/>
    <e v="#NAME?"/>
    <m/>
    <m/>
    <m/>
    <m/>
    <m/>
  </r>
  <r>
    <m/>
    <x v="550"/>
    <x v="5"/>
    <x v="21"/>
    <s v="Accenture"/>
    <e v="#NAME?"/>
    <s v="SDATOOL-42192 $ Transfiya en GloMo"/>
    <n v="0.75"/>
    <s v="QA"/>
    <s v="Otras Tec."/>
    <m/>
    <e v="#NAME?"/>
    <e v="#NAME?"/>
    <e v="#NAME?"/>
    <m/>
    <m/>
    <m/>
    <m/>
    <m/>
  </r>
  <r>
    <m/>
    <x v="550"/>
    <x v="5"/>
    <x v="21"/>
    <s v="Accenture"/>
    <e v="#NAME?"/>
    <s v="SDATOOL-42192 $ Transfiya en GloMo"/>
    <n v="0.75"/>
    <s v="QA"/>
    <s v="Otras Tec."/>
    <m/>
    <e v="#NAME?"/>
    <e v="#NAME?"/>
    <e v="#NAME?"/>
    <m/>
    <m/>
    <m/>
    <m/>
    <m/>
  </r>
  <r>
    <m/>
    <x v="550"/>
    <x v="5"/>
    <x v="21"/>
    <s v="Accenture"/>
    <e v="#NAME?"/>
    <s v="SDATOOL-42192 $ Transfiya en GloMo"/>
    <n v="0.75"/>
    <s v="QA"/>
    <s v="Otras Tec."/>
    <m/>
    <e v="#NAME?"/>
    <e v="#NAME?"/>
    <e v="#NAME?"/>
    <m/>
    <m/>
    <m/>
    <m/>
    <m/>
  </r>
  <r>
    <s v="C802581"/>
    <x v="545"/>
    <x v="5"/>
    <x v="21"/>
    <s v="BBVA"/>
    <e v="#NAME?"/>
    <s v="SDATOOL-9053 $ GloMo Colombia"/>
    <n v="0.2"/>
    <s v="Desarrollador"/>
    <m/>
    <s v="Interno"/>
    <e v="#NAME?"/>
    <e v="#NAME?"/>
    <e v="#NAME?"/>
    <m/>
    <m/>
    <m/>
    <m/>
    <m/>
  </r>
  <r>
    <s v="E049846"/>
    <x v="543"/>
    <x v="5"/>
    <x v="21"/>
    <s v="BBVA"/>
    <e v="#NAME?"/>
    <s v="SDATOOL-41759 $ Tips de prevención Ingeniería Social"/>
    <n v="0.2"/>
    <s v="Tech Manager/Líder"/>
    <s v="Cells"/>
    <m/>
    <e v="#NAME?"/>
    <e v="#NAME?"/>
    <e v="#NAME?"/>
    <m/>
    <m/>
    <m/>
    <m/>
    <m/>
  </r>
  <r>
    <m/>
    <x v="550"/>
    <x v="5"/>
    <x v="21"/>
    <s v="Accenture"/>
    <e v="#NAME?"/>
    <s v="SDATOOL-41759 $ Tips de prevención Ingeniería Social"/>
    <n v="1"/>
    <s v="QA"/>
    <s v="Otras Tec."/>
    <m/>
    <e v="#NAME?"/>
    <e v="#NAME?"/>
    <e v="#NAME?"/>
    <m/>
    <m/>
    <m/>
    <m/>
    <m/>
  </r>
  <r>
    <s v="E049846"/>
    <x v="543"/>
    <x v="5"/>
    <x v="21"/>
    <s v="BBVA"/>
    <e v="#NAME?"/>
    <s v="SDATOOL-40623 $ Pago productos con PSE desde GloMo"/>
    <n v="0.2"/>
    <s v="Tech Manager/Líder"/>
    <s v="Cells"/>
    <m/>
    <e v="#NAME?"/>
    <e v="#NAME?"/>
    <e v="#NAME?"/>
    <m/>
    <m/>
    <m/>
    <m/>
    <m/>
  </r>
  <r>
    <m/>
    <x v="551"/>
    <x v="5"/>
    <x v="21"/>
    <s v="Accenture"/>
    <e v="#NAME?"/>
    <s v="SDATOOL-40623 $ Pago productos con PSE desde GloMo"/>
    <n v="1"/>
    <s v="Desarrollador"/>
    <s v="ASO"/>
    <m/>
    <e v="#NAME?"/>
    <e v="#NAME?"/>
    <e v="#NAME?"/>
    <m/>
    <m/>
    <m/>
    <m/>
    <m/>
  </r>
  <r>
    <m/>
    <x v="549"/>
    <x v="5"/>
    <x v="21"/>
    <s v="Accenture"/>
    <e v="#NAME?"/>
    <s v="SDATOOL-40623 $ Pago productos con PSE desde GloMo"/>
    <n v="1"/>
    <s v="Desarrollador"/>
    <s v="Mainframe"/>
    <m/>
    <e v="#NAME?"/>
    <e v="#NAME?"/>
    <e v="#NAME?"/>
    <m/>
    <m/>
    <m/>
    <m/>
    <m/>
  </r>
  <r>
    <m/>
    <x v="550"/>
    <x v="5"/>
    <x v="21"/>
    <s v="Accenture"/>
    <e v="#NAME?"/>
    <s v="SDATOOL-40623 $ Pago productos con PSE desde GloMo"/>
    <n v="1"/>
    <s v="QA"/>
    <s v="Otras Tec."/>
    <m/>
    <e v="#NAME?"/>
    <e v="#NAME?"/>
    <e v="#NAME?"/>
    <m/>
    <m/>
    <m/>
    <m/>
    <m/>
  </r>
  <r>
    <s v="E049846"/>
    <x v="543"/>
    <x v="5"/>
    <x v="21"/>
    <s v="BBVA"/>
    <e v="#NAME?"/>
    <s v="SDATOOL-40533 $ GloMo Target"/>
    <n v="0.2"/>
    <s v="Tech Manager/Líder"/>
    <s v="Cells"/>
    <m/>
    <e v="#NAME?"/>
    <e v="#NAME?"/>
    <e v="#NAME?"/>
    <m/>
    <m/>
    <m/>
    <m/>
    <m/>
  </r>
  <r>
    <s v="C803962"/>
    <x v="552"/>
    <x v="5"/>
    <x v="21"/>
    <s v="BBVA"/>
    <e v="#NAME?"/>
    <s v="SDATOOL-42039 $ Cuenta digital pensional"/>
    <n v="0.7"/>
    <s v="Tech Manager/Líder"/>
    <s v="Cells"/>
    <m/>
    <e v="#NAME?"/>
    <e v="#NAME?"/>
    <e v="#NAME?"/>
    <m/>
    <m/>
    <m/>
    <m/>
    <m/>
  </r>
  <r>
    <s v="C803962"/>
    <x v="552"/>
    <x v="5"/>
    <x v="21"/>
    <s v="BBVA"/>
    <e v="#NAME?"/>
    <s v="SDATOOL-9053 $ GloMo Colombia"/>
    <n v="0.3"/>
    <s v="Tech Manager/Líder"/>
    <s v="Cells"/>
    <m/>
    <e v="#NAME?"/>
    <e v="#NAME?"/>
    <e v="#NAME?"/>
    <m/>
    <m/>
    <m/>
    <m/>
    <m/>
  </r>
  <r>
    <s v="C802581"/>
    <x v="545"/>
    <x v="5"/>
    <x v="21"/>
    <s v="BBVA"/>
    <e v="#NAME?"/>
    <s v="SDATOOL-42192 $ Transfiya en GloMo"/>
    <n v="0.2"/>
    <s v="Desarrollador"/>
    <m/>
    <s v="Interno"/>
    <e v="#NAME?"/>
    <e v="#NAME?"/>
    <e v="#NAME?"/>
    <m/>
    <m/>
    <m/>
    <m/>
    <m/>
  </r>
  <r>
    <s v="E049846"/>
    <x v="543"/>
    <x v="5"/>
    <x v="21"/>
    <s v="BBVA"/>
    <e v="#NAME?"/>
    <s v="SDATOOL-42039 $ Cuenta digital pensional"/>
    <n v="0.2"/>
    <s v="Desarrollador"/>
    <s v="Cells"/>
    <m/>
    <e v="#NAME?"/>
    <e v="#NAME?"/>
    <e v="#NAME?"/>
    <m/>
    <m/>
    <m/>
    <m/>
    <m/>
  </r>
  <r>
    <m/>
    <x v="553"/>
    <x v="5"/>
    <x v="21"/>
    <s v="Neoris"/>
    <e v="#NAME?"/>
    <s v="SDATOOL-42039 $ Cuenta digital pensional"/>
    <n v="1"/>
    <s v="Desarrollador"/>
    <s v="Cells"/>
    <m/>
    <e v="#NAME?"/>
    <e v="#NAME?"/>
    <e v="#NAME?"/>
    <m/>
    <m/>
    <m/>
    <m/>
    <m/>
  </r>
  <r>
    <m/>
    <x v="553"/>
    <x v="5"/>
    <x v="21"/>
    <s v="Neoris"/>
    <e v="#NAME?"/>
    <s v="SDATOOL-42039 $ Cuenta digital pensional"/>
    <n v="1"/>
    <s v="Desarrollador"/>
    <s v="Cells"/>
    <m/>
    <e v="#NAME?"/>
    <e v="#NAME?"/>
    <e v="#NAME?"/>
    <m/>
    <m/>
    <m/>
    <m/>
    <m/>
  </r>
  <r>
    <m/>
    <x v="550"/>
    <x v="5"/>
    <x v="21"/>
    <s v="Accenture"/>
    <e v="#NAME?"/>
    <s v="SDATOOL-42039 $ Cuenta digital pensional"/>
    <n v="1"/>
    <s v="QA"/>
    <s v="Otras Tec."/>
    <m/>
    <e v="#NAME?"/>
    <e v="#NAME?"/>
    <e v="#NAME?"/>
    <m/>
    <m/>
    <m/>
    <m/>
    <m/>
  </r>
  <r>
    <m/>
    <x v="550"/>
    <x v="5"/>
    <x v="21"/>
    <s v="Accenture"/>
    <e v="#NAME?"/>
    <s v="SDATOOL-42039 $ Cuenta digital pensional"/>
    <n v="1"/>
    <s v="QA"/>
    <s v="Otras Tec."/>
    <m/>
    <e v="#NAME?"/>
    <e v="#NAME?"/>
    <e v="#NAME?"/>
    <m/>
    <m/>
    <m/>
    <m/>
    <m/>
  </r>
  <r>
    <s v="C802581"/>
    <x v="545"/>
    <x v="5"/>
    <x v="21"/>
    <s v="BBVA"/>
    <e v="#NAME?"/>
    <s v="SDATOOL-42192 $ Transfiya en GloMo"/>
    <n v="0.2"/>
    <s v="Desarrollador"/>
    <m/>
    <s v="Interno"/>
    <e v="#NAME?"/>
    <e v="#NAME?"/>
    <e v="#NAME?"/>
    <m/>
    <m/>
    <m/>
    <m/>
    <m/>
  </r>
  <r>
    <m/>
    <x v="553"/>
    <x v="5"/>
    <x v="21"/>
    <s v="Neoris"/>
    <e v="#NAME?"/>
    <s v="SDATOOL-41881 $ Bloqueo/Desbloqueo Soft-Hard"/>
    <n v="1"/>
    <s v="Desarrollador"/>
    <s v="Cells"/>
    <m/>
    <e v="#NAME?"/>
    <e v="#NAME?"/>
    <e v="#NAME?"/>
    <m/>
    <m/>
    <m/>
    <m/>
    <m/>
  </r>
  <r>
    <m/>
    <x v="553"/>
    <x v="5"/>
    <x v="21"/>
    <s v="Neoris"/>
    <e v="#NAME?"/>
    <s v="SDATOOL-41881 $ Bloqueo/Desbloqueo Soft-Hard"/>
    <n v="1"/>
    <s v="Desarrollador"/>
    <s v="Cells"/>
    <m/>
    <e v="#NAME?"/>
    <e v="#NAME?"/>
    <e v="#NAME?"/>
    <m/>
    <m/>
    <m/>
    <m/>
    <m/>
  </r>
  <r>
    <m/>
    <x v="399"/>
    <x v="5"/>
    <x v="21"/>
    <s v="Neoris"/>
    <e v="#NAME?"/>
    <s v="SDATOOL-41881 $ Bloqueo/Desbloqueo Soft-Hard"/>
    <n v="1"/>
    <s v="Desarrollador"/>
    <s v="ASO"/>
    <m/>
    <e v="#NAME?"/>
    <e v="#NAME?"/>
    <e v="#NAME?"/>
    <m/>
    <m/>
    <m/>
    <m/>
    <m/>
  </r>
  <r>
    <m/>
    <x v="546"/>
    <x v="5"/>
    <x v="21"/>
    <s v="Neoris"/>
    <e v="#NAME?"/>
    <s v="SDATOOL-41881 $ Bloqueo/Desbloqueo Soft-Hard"/>
    <n v="1"/>
    <s v="Desarrollador"/>
    <s v="APX"/>
    <m/>
    <e v="#NAME?"/>
    <e v="#NAME?"/>
    <e v="#NAME?"/>
    <m/>
    <m/>
    <m/>
    <m/>
    <m/>
  </r>
  <r>
    <m/>
    <x v="549"/>
    <x v="5"/>
    <x v="21"/>
    <s v="Neoris"/>
    <e v="#NAME?"/>
    <s v="SDATOOL-41881 $ Bloqueo/Desbloqueo Soft-Hard"/>
    <n v="1"/>
    <s v="Desarrollador"/>
    <s v="Mainframe"/>
    <m/>
    <e v="#NAME?"/>
    <e v="#NAME?"/>
    <e v="#NAME?"/>
    <m/>
    <m/>
    <m/>
    <m/>
    <m/>
  </r>
  <r>
    <m/>
    <x v="550"/>
    <x v="5"/>
    <x v="21"/>
    <s v="Accenture"/>
    <e v="#NAME?"/>
    <s v="SDATOOL-41881 $ Bloqueo/Desbloqueo Soft-Hard"/>
    <n v="1"/>
    <s v="QA"/>
    <s v="Otras Tec."/>
    <m/>
    <e v="#NAME?"/>
    <e v="#NAME?"/>
    <e v="#NAME?"/>
    <m/>
    <m/>
    <m/>
    <m/>
    <m/>
  </r>
  <r>
    <s v="C803799"/>
    <x v="554"/>
    <x v="5"/>
    <x v="21"/>
    <s v="BBVA"/>
    <e v="#NAME?"/>
    <s v="NOSDA $ BAU (Mantenimiento y peq. evolutivos)"/>
    <n v="1"/>
    <s v="Tech Manager/Líder"/>
    <s v="Cells"/>
    <m/>
    <e v="#NAME?"/>
    <e v="#NAME?"/>
    <e v="#NAME?"/>
    <m/>
    <m/>
    <m/>
    <m/>
    <m/>
  </r>
  <r>
    <s v="C805723"/>
    <x v="555"/>
    <x v="5"/>
    <x v="21"/>
    <s v="BBVA"/>
    <e v="#NAME?"/>
    <s v="NOSDA $ BAU (Mantenimiento y peq. evolutivos)"/>
    <n v="1"/>
    <s v="Desarrollador"/>
    <s v="Cells"/>
    <m/>
    <e v="#NAME?"/>
    <e v="#NAME?"/>
    <e v="#NAME?"/>
    <m/>
    <m/>
    <m/>
    <m/>
    <m/>
  </r>
  <r>
    <s v="C805720"/>
    <x v="556"/>
    <x v="5"/>
    <x v="21"/>
    <s v="BBVA"/>
    <e v="#NAME?"/>
    <s v="NOSDA $ BAU (Mantenimiento y peq. evolutivos)"/>
    <n v="1"/>
    <s v="Desarrollador"/>
    <s v="Cells"/>
    <m/>
    <e v="#NAME?"/>
    <e v="#NAME?"/>
    <e v="#NAME?"/>
    <m/>
    <m/>
    <m/>
    <m/>
    <m/>
  </r>
  <r>
    <s v="C810664"/>
    <x v="557"/>
    <x v="5"/>
    <x v="21"/>
    <s v="BBVA"/>
    <e v="#NAME?"/>
    <s v="NOSDA $ BAU (Mantenimiento y peq. evolutivos)"/>
    <n v="1"/>
    <s v="Desarrollador"/>
    <s v="APX"/>
    <m/>
    <e v="#NAME?"/>
    <e v="#NAME?"/>
    <e v="#NAME?"/>
    <m/>
    <m/>
    <m/>
    <m/>
    <m/>
  </r>
  <r>
    <s v="C805983"/>
    <x v="558"/>
    <x v="5"/>
    <x v="21"/>
    <s v="BBVA"/>
    <e v="#NAME?"/>
    <s v="NOSDA $ BAU (Mantenimiento y peq. evolutivos)"/>
    <n v="1"/>
    <s v="Desarrollador"/>
    <s v="Cells"/>
    <m/>
    <e v="#NAME?"/>
    <e v="#NAME?"/>
    <e v="#NAME?"/>
    <m/>
    <m/>
    <m/>
    <m/>
    <m/>
  </r>
  <r>
    <s v="C805933"/>
    <x v="559"/>
    <x v="5"/>
    <x v="21"/>
    <s v="BBVA"/>
    <e v="#NAME?"/>
    <s v="NOSDA $ BAU (Mantenimiento y peq. evolutivos)"/>
    <n v="1"/>
    <s v="Desarrollador"/>
    <s v="Cells"/>
    <m/>
    <e v="#NAME?"/>
    <e v="#NAME?"/>
    <e v="#NAME?"/>
    <m/>
    <m/>
    <m/>
    <m/>
    <m/>
  </r>
  <r>
    <s v="C809565"/>
    <x v="560"/>
    <x v="5"/>
    <x v="21"/>
    <s v="BBVA"/>
    <e v="#NAME?"/>
    <s v="NOSDA $ BAU (Mantenimiento y peq. evolutivos)"/>
    <n v="1"/>
    <s v="Desarrollador"/>
    <s v="Cells"/>
    <m/>
    <e v="#NAME?"/>
    <e v="#NAME?"/>
    <e v="#NAME?"/>
    <m/>
    <m/>
    <m/>
    <m/>
    <m/>
  </r>
  <r>
    <s v="T004259"/>
    <x v="561"/>
    <x v="5"/>
    <x v="21"/>
    <s v="Accenture"/>
    <e v="#NAME?"/>
    <s v="NOSDA $ BAU (Mantenimiento y peq. evolutivos)"/>
    <n v="1"/>
    <s v="Desarrollador"/>
    <s v="Cells"/>
    <m/>
    <e v="#NAME?"/>
    <e v="#NAME?"/>
    <e v="#NAME?"/>
    <m/>
    <m/>
    <m/>
    <m/>
    <m/>
  </r>
  <r>
    <s v="T004336"/>
    <x v="562"/>
    <x v="5"/>
    <x v="21"/>
    <s v="Accenture"/>
    <e v="#NAME?"/>
    <s v="NOSDA $ BAU (Mantenimiento y peq. evolutivos)"/>
    <n v="1"/>
    <s v="Desarrollador"/>
    <s v="Cells"/>
    <m/>
    <e v="#NAME?"/>
    <e v="#NAME?"/>
    <e v="#NAME?"/>
    <m/>
    <m/>
    <m/>
    <m/>
    <m/>
  </r>
  <r>
    <s v="CE69641"/>
    <x v="563"/>
    <x v="5"/>
    <x v="21"/>
    <s v="Accenture"/>
    <e v="#NAME?"/>
    <s v="NOSDA $ BAU (Mantenimiento y peq. evolutivos)"/>
    <n v="1"/>
    <s v="Desarrollador"/>
    <s v="Cells"/>
    <m/>
    <e v="#NAME?"/>
    <e v="#NAME?"/>
    <e v="#NAME?"/>
    <m/>
    <m/>
    <m/>
    <m/>
    <m/>
  </r>
  <r>
    <m/>
    <x v="564"/>
    <x v="5"/>
    <x v="21"/>
    <s v="Accenture"/>
    <e v="#NAME?"/>
    <s v="NOSDA $ BAU (Mantenimiento y peq. evolutivos)"/>
    <n v="1"/>
    <s v="Desarrollador"/>
    <s v="Cells"/>
    <m/>
    <e v="#NAME?"/>
    <e v="#NAME?"/>
    <e v="#NAME?"/>
    <m/>
    <m/>
    <m/>
    <m/>
    <m/>
  </r>
  <r>
    <s v="T006642"/>
    <x v="565"/>
    <x v="5"/>
    <x v="21"/>
    <s v="Neoris"/>
    <e v="#NAME?"/>
    <s v="NOSDA $ BAU (Mantenimiento y peq. evolutivos)"/>
    <n v="1"/>
    <s v="Desarrollador"/>
    <s v="Cells"/>
    <m/>
    <e v="#NAME?"/>
    <e v="#NAME?"/>
    <e v="#NAME?"/>
    <m/>
    <m/>
    <m/>
    <m/>
    <m/>
  </r>
  <r>
    <s v="T006699"/>
    <x v="566"/>
    <x v="5"/>
    <x v="21"/>
    <s v="Neoris"/>
    <e v="#NAME?"/>
    <s v="NOSDA $ BAU (Mantenimiento y peq. evolutivos)"/>
    <n v="1"/>
    <s v="Desarrollador"/>
    <s v="Cells"/>
    <m/>
    <e v="#NAME?"/>
    <e v="#NAME?"/>
    <e v="#NAME?"/>
    <m/>
    <m/>
    <m/>
    <m/>
    <m/>
  </r>
  <r>
    <s v="T001732"/>
    <x v="567"/>
    <x v="5"/>
    <x v="21"/>
    <s v="Indra"/>
    <e v="#NAME?"/>
    <s v="NOSDA $ BAU (Mantenimiento y peq. evolutivos)"/>
    <n v="1"/>
    <s v="Otros"/>
    <s v="Cells"/>
    <m/>
    <e v="#NAME?"/>
    <e v="#NAME?"/>
    <e v="#NAME?"/>
    <m/>
    <m/>
    <m/>
    <m/>
    <m/>
  </r>
  <r>
    <s v="T006644"/>
    <x v="568"/>
    <x v="5"/>
    <x v="21"/>
    <s v="Neoris"/>
    <e v="#NAME?"/>
    <s v="NOSDA $ BAU (Mantenimiento y peq. evolutivos)"/>
    <n v="1"/>
    <s v="Otros"/>
    <s v="Otras Tec."/>
    <m/>
    <e v="#NAME?"/>
    <e v="#NAME?"/>
    <e v="#NAME?"/>
    <m/>
    <m/>
    <m/>
    <m/>
    <m/>
  </r>
  <r>
    <s v="T006637"/>
    <x v="569"/>
    <x v="5"/>
    <x v="21"/>
    <s v="Neoris"/>
    <e v="#NAME?"/>
    <s v="NOSDA $ BAU (Mantenimiento y peq. evolutivos)"/>
    <n v="1"/>
    <s v="Otros"/>
    <s v="Otras Tec."/>
    <m/>
    <e v="#NAME?"/>
    <e v="#NAME?"/>
    <e v="#NAME?"/>
    <m/>
    <m/>
    <m/>
    <m/>
    <m/>
  </r>
  <r>
    <s v="T001731"/>
    <x v="570"/>
    <x v="5"/>
    <x v="21"/>
    <s v="Indra"/>
    <e v="#NAME?"/>
    <s v="NOSDA $ BAU (Mantenimiento y peq. evolutivos)"/>
    <n v="1"/>
    <s v="Otros"/>
    <s v="Cells"/>
    <m/>
    <e v="#NAME?"/>
    <e v="#NAME?"/>
    <e v="#NAME?"/>
    <m/>
    <m/>
    <m/>
    <m/>
    <m/>
  </r>
  <r>
    <s v="CE67183"/>
    <x v="571"/>
    <x v="5"/>
    <x v="22"/>
    <s v="Choucair"/>
    <e v="#NAME?"/>
    <s v="SDATOOL-41709 $ Fraccionamiento de transacciones en CBs"/>
    <n v="0.2"/>
    <s v="QA"/>
    <s v="Otras Tec."/>
    <m/>
    <e v="#NAME?"/>
    <e v="#NAME?"/>
    <e v="#NAME?"/>
    <m/>
    <m/>
    <m/>
    <m/>
    <m/>
  </r>
  <r>
    <s v="CE67183"/>
    <x v="571"/>
    <x v="5"/>
    <x v="22"/>
    <s v="Choucair"/>
    <e v="#NAME?"/>
    <s v="SDATOOL-39871 $ Cbs Gelsa Paga todo"/>
    <n v="0.4"/>
    <s v="QA"/>
    <s v="Otras Tec."/>
    <m/>
    <e v="#NAME?"/>
    <e v="#NAME?"/>
    <e v="#NAME?"/>
    <m/>
    <m/>
    <m/>
    <m/>
    <m/>
  </r>
  <r>
    <s v="CE67183"/>
    <x v="571"/>
    <x v="5"/>
    <x v="22"/>
    <s v="Choucair"/>
    <e v="#NAME?"/>
    <s v="SDATOOL-40581 $ Corresponsal Bancario Ya Ganaste"/>
    <n v="0.4"/>
    <s v="QA"/>
    <s v="Otras Tec."/>
    <m/>
    <e v="#NAME?"/>
    <e v="#NAME?"/>
    <e v="#NAME?"/>
    <m/>
    <m/>
    <m/>
    <m/>
    <m/>
  </r>
  <r>
    <s v="C804644"/>
    <x v="572"/>
    <x v="5"/>
    <x v="23"/>
    <s v="BBVA"/>
    <e v="#NAME?"/>
    <s v="SDATOOL-41706 $ Renovación ATMs 2023"/>
    <n v="0.5"/>
    <s v="Desarrollador"/>
    <s v="ASO"/>
    <m/>
    <e v="#NAME?"/>
    <e v="#NAME?"/>
    <e v="#NAME?"/>
    <m/>
    <m/>
    <m/>
    <m/>
    <m/>
  </r>
  <r>
    <s v="C804644"/>
    <x v="572"/>
    <x v="5"/>
    <x v="23"/>
    <s v="BBVA"/>
    <e v="#NAME?"/>
    <s v="SDATOOL-33947 $ Sinergias Bancamia"/>
    <n v="0.5"/>
    <s v="Desarrollador"/>
    <s v="ASO"/>
    <m/>
    <e v="#NAME?"/>
    <e v="#NAME?"/>
    <e v="#NAME?"/>
    <m/>
    <m/>
    <m/>
    <m/>
    <m/>
  </r>
  <r>
    <s v="CE60329"/>
    <x v="573"/>
    <x v="5"/>
    <x v="24"/>
    <s v="Novatec"/>
    <e v="#NAME?"/>
    <s v="SDATOOL-39870 $ Front - Unificación de pantallas Contac Center"/>
    <n v="1"/>
    <s v="Desarrollador"/>
    <s v="Cells"/>
    <m/>
    <e v="#NAME?"/>
    <e v="#NAME?"/>
    <e v="#NAME?"/>
    <m/>
    <m/>
    <m/>
    <m/>
    <m/>
  </r>
  <r>
    <s v="C804832"/>
    <x v="574"/>
    <x v="5"/>
    <x v="23"/>
    <s v="BBVA"/>
    <e v="#NAME?"/>
    <s v="SDATOOL-33947 $ Sinergias Bancamia"/>
    <n v="0.05"/>
    <s v="Desarrollador"/>
    <s v="ASO"/>
    <m/>
    <e v="#NAME?"/>
    <e v="#NAME?"/>
    <e v="#NAME?"/>
    <m/>
    <m/>
    <m/>
    <m/>
    <m/>
  </r>
  <r>
    <s v="C804832"/>
    <x v="574"/>
    <x v="5"/>
    <x v="23"/>
    <s v="BBVA"/>
    <e v="#NAME?"/>
    <s v="SDATOOL-41706 $ Renovación ATMs 2023"/>
    <n v="0.8"/>
    <s v="Desarrollador"/>
    <s v="Distribuido"/>
    <s v="SW JAM"/>
    <e v="#NAME?"/>
    <e v="#NAME?"/>
    <e v="#NAME?"/>
    <m/>
    <m/>
    <m/>
    <m/>
    <m/>
  </r>
  <r>
    <s v="C804832"/>
    <x v="574"/>
    <x v="5"/>
    <x v="23"/>
    <s v="BBVA"/>
    <e v="#NAME?"/>
    <s v="NOSDA $ BAU (Mantenimiento y peq. evolutivos)"/>
    <n v="0.15"/>
    <s v="Desarrollador"/>
    <s v="Distribuido"/>
    <s v="SW JAM, ASO, COBOL"/>
    <e v="#NAME?"/>
    <e v="#NAME?"/>
    <e v="#NAME?"/>
    <m/>
    <m/>
    <m/>
    <m/>
    <m/>
  </r>
  <r>
    <s v="O002934"/>
    <x v="575"/>
    <x v="5"/>
    <x v="25"/>
    <s v="BBVA"/>
    <e v="#NAME?"/>
    <s v="NOSDA $ BAU (Mantenimiento y peq. evolutivos)"/>
    <n v="0.6"/>
    <s v="Desarrollador"/>
    <s v="Distribuido"/>
    <s v="RPA Blue Prims"/>
    <e v="#NAME?"/>
    <e v="#NAME?"/>
    <e v="#NAME?"/>
    <m/>
    <m/>
    <m/>
    <m/>
    <m/>
  </r>
  <r>
    <s v="O002934"/>
    <x v="575"/>
    <x v="5"/>
    <x v="25"/>
    <s v="BBVA"/>
    <e v="#NAME?"/>
    <s v="SDATOOL-40529 $ Aplicativos Finanzas - 2023"/>
    <n v="0.4"/>
    <s v="Desarrollador"/>
    <s v="Distribuido"/>
    <s v="RPA Blue Prims"/>
    <e v="#NAME?"/>
    <e v="#NAME?"/>
    <e v="#NAME?"/>
    <m/>
    <m/>
    <m/>
    <m/>
    <m/>
  </r>
  <r>
    <s v="CE51863"/>
    <x v="275"/>
    <x v="5"/>
    <x v="23"/>
    <s v="KRYPTO"/>
    <e v="#NAME?"/>
    <s v="NOSDA $ BAU (Mantenimiento y peq. evolutivos)"/>
    <n v="0.02"/>
    <s v="QA"/>
    <s v="Otras Tec."/>
    <m/>
    <e v="#NAME?"/>
    <e v="#NAME?"/>
    <e v="#NAME?"/>
    <m/>
    <m/>
    <m/>
    <m/>
    <m/>
  </r>
  <r>
    <s v="CE51863"/>
    <x v="275"/>
    <x v="5"/>
    <x v="22"/>
    <s v="KRYPTO"/>
    <e v="#NAME?"/>
    <s v="NOSDA $ BAU (Mantenimiento y peq. evolutivos)"/>
    <n v="0.02"/>
    <s v="QA"/>
    <s v="Otras Tec."/>
    <m/>
    <e v="#NAME?"/>
    <e v="#NAME?"/>
    <e v="#NAME?"/>
    <m/>
    <m/>
    <m/>
    <m/>
    <m/>
  </r>
  <r>
    <s v="CE51863"/>
    <x v="275"/>
    <x v="5"/>
    <x v="25"/>
    <s v="KRYPTO"/>
    <e v="#NAME?"/>
    <s v="NOSDA $ BAU (Mantenimiento y peq. evolutivos)"/>
    <n v="0.02"/>
    <s v="QA"/>
    <s v="Otras Tec."/>
    <m/>
    <e v="#NAME?"/>
    <e v="#NAME?"/>
    <e v="#NAME?"/>
    <m/>
    <m/>
    <m/>
    <m/>
    <m/>
  </r>
  <r>
    <s v="CE51863"/>
    <x v="275"/>
    <x v="5"/>
    <x v="24"/>
    <s v="KRYPTO"/>
    <e v="#NAME?"/>
    <s v="NOSDA $ BAU (Mantenimiento y peq. evolutivos)"/>
    <n v="0.02"/>
    <s v="QA"/>
    <s v="Otras Tec."/>
    <m/>
    <e v="#NAME?"/>
    <e v="#NAME?"/>
    <e v="#NAME?"/>
    <m/>
    <m/>
    <m/>
    <m/>
    <m/>
  </r>
  <r>
    <s v="CE51863"/>
    <x v="275"/>
    <x v="5"/>
    <x v="23"/>
    <s v="KRYPTO"/>
    <e v="#NAME?"/>
    <s v="SDATOOL-32991 $ Comisión de Acceso a ATM's"/>
    <n v="0.02"/>
    <s v="QA"/>
    <s v="Otras Tec."/>
    <m/>
    <e v="#NAME?"/>
    <e v="#NAME?"/>
    <e v="#NAME?"/>
    <m/>
    <m/>
    <m/>
    <m/>
    <m/>
  </r>
  <r>
    <s v="CE51863"/>
    <x v="275"/>
    <x v="5"/>
    <x v="23"/>
    <s v="KRYPTO"/>
    <e v="#NAME?"/>
    <s v="SDATOOL-40515 $ Acción de auditoria de Cobro de Comisiones"/>
    <n v="0.02"/>
    <s v="QA"/>
    <s v="Otras Tec."/>
    <m/>
    <e v="#NAME?"/>
    <e v="#NAME?"/>
    <e v="#NAME?"/>
    <m/>
    <m/>
    <m/>
    <m/>
    <m/>
  </r>
  <r>
    <s v="CE51863"/>
    <x v="275"/>
    <x v="5"/>
    <x v="24"/>
    <s v="KRYPTO"/>
    <e v="#NAME?"/>
    <s v="SDATOOL-37100 $ Soluciones de voz/Internalización del IVR - Plan Ascenso Privado"/>
    <n v="0.02"/>
    <s v="QA"/>
    <s v="Otras Tec."/>
    <m/>
    <e v="#NAME?"/>
    <e v="#NAME?"/>
    <e v="#NAME?"/>
    <m/>
    <m/>
    <m/>
    <m/>
    <m/>
  </r>
  <r>
    <s v="CE51863"/>
    <x v="275"/>
    <x v="5"/>
    <x v="24"/>
    <s v="KRYPTO"/>
    <e v="#NAME?"/>
    <s v="SDATOOL-39870 $ Front - Unificación de pantallas Contac Center"/>
    <n v="0.02"/>
    <s v="QA"/>
    <s v="Otras Tec."/>
    <m/>
    <e v="#NAME?"/>
    <e v="#NAME?"/>
    <e v="#NAME?"/>
    <m/>
    <m/>
    <m/>
    <m/>
    <m/>
  </r>
  <r>
    <s v="CE51863"/>
    <x v="275"/>
    <x v="5"/>
    <x v="22"/>
    <s v="KRYPTO"/>
    <e v="#NAME?"/>
    <s v="SDATOOL-33947 $ Sinergias Bancamia"/>
    <n v="0.02"/>
    <s v="QA"/>
    <s v="Otras Tec."/>
    <m/>
    <e v="#NAME?"/>
    <e v="#NAME?"/>
    <e v="#NAME?"/>
    <m/>
    <m/>
    <m/>
    <m/>
    <m/>
  </r>
  <r>
    <s v="CE51863"/>
    <x v="275"/>
    <x v="5"/>
    <x v="22"/>
    <s v="KRYPTO"/>
    <e v="#NAME?"/>
    <s v="SDATOOL-39871 $ Cbs Gelsa Paga todo"/>
    <n v="0.02"/>
    <s v="QA"/>
    <s v="Otras Tec."/>
    <m/>
    <e v="#NAME?"/>
    <e v="#NAME?"/>
    <e v="#NAME?"/>
    <m/>
    <m/>
    <m/>
    <m/>
    <m/>
  </r>
  <r>
    <s v="CE51863"/>
    <x v="275"/>
    <x v="5"/>
    <x v="22"/>
    <s v="KRYPTO"/>
    <e v="#NAME?"/>
    <s v="SDATOOL-40581 $ Corresponsal Bancario Ya Ganaste"/>
    <n v="0.02"/>
    <s v="QA"/>
    <s v="Otras Tec."/>
    <m/>
    <e v="#NAME?"/>
    <e v="#NAME?"/>
    <e v="#NAME?"/>
    <m/>
    <m/>
    <m/>
    <m/>
    <m/>
  </r>
  <r>
    <s v="CE51863"/>
    <x v="275"/>
    <x v="5"/>
    <x v="22"/>
    <s v="KRYPTO"/>
    <e v="#NAME?"/>
    <s v="SDATOOL-41709 $ Fraccionamiento de transacciones en CBs"/>
    <n v="0.02"/>
    <s v="QA"/>
    <s v="Otras Tec."/>
    <m/>
    <e v="#NAME?"/>
    <e v="#NAME?"/>
    <e v="#NAME?"/>
    <m/>
    <m/>
    <m/>
    <m/>
    <m/>
  </r>
  <r>
    <s v="C811170"/>
    <x v="576"/>
    <x v="5"/>
    <x v="24"/>
    <s v="BBVA"/>
    <e v="#NAME?"/>
    <s v="SDATOOL-37100 $ Soluciones de voz/Internalización del IVR - Plan Ascenso Privado"/>
    <n v="1"/>
    <s v="Desarrollador"/>
    <s v="Distribuido"/>
    <s v="SW Genesys"/>
    <e v="#NAME?"/>
    <e v="#NAME?"/>
    <e v="#NAME?"/>
    <m/>
    <m/>
    <m/>
    <m/>
    <m/>
  </r>
  <r>
    <s v="O003245"/>
    <x v="577"/>
    <x v="5"/>
    <x v="23"/>
    <s v="BBVA"/>
    <e v="#NAME?"/>
    <s v="NOSDA $ BAU (Mantenimiento y peq. evolutivos)"/>
    <n v="0.7"/>
    <s v="Tech Manager/Líder"/>
    <s v="Otras Tec."/>
    <m/>
    <e v="#NAME?"/>
    <e v="#NAME?"/>
    <e v="#NAME?"/>
    <m/>
    <m/>
    <m/>
    <m/>
    <m/>
  </r>
  <r>
    <s v="O003245"/>
    <x v="577"/>
    <x v="5"/>
    <x v="23"/>
    <s v="BBVA"/>
    <e v="#NAME?"/>
    <s v="SDATOOL-40515 $ Acción de auditoria de Cobro de Comisiones"/>
    <n v="0.1"/>
    <s v="Tech Manager/Líder"/>
    <s v="Otras Tec."/>
    <m/>
    <e v="#NAME?"/>
    <e v="#NAME?"/>
    <e v="#NAME?"/>
    <m/>
    <m/>
    <m/>
    <m/>
    <m/>
  </r>
  <r>
    <s v="O003245"/>
    <x v="577"/>
    <x v="5"/>
    <x v="24"/>
    <s v="BBVA"/>
    <e v="#NAME?"/>
    <s v="SDATOOL-37100 $ Soluciones de voz/Internalización del IVR - Plan Ascenso Privado"/>
    <n v="0.1"/>
    <s v="Tech Manager/Líder"/>
    <s v="Otras Tec."/>
    <m/>
    <e v="#NAME?"/>
    <e v="#NAME?"/>
    <e v="#NAME?"/>
    <m/>
    <m/>
    <m/>
    <m/>
    <m/>
  </r>
  <r>
    <s v="O003245"/>
    <x v="577"/>
    <x v="5"/>
    <x v="24"/>
    <s v="BBVA"/>
    <e v="#NAME?"/>
    <s v="SDATOOL-39870 $ Front - Unificación de pantallas Contac Center"/>
    <n v="0.1"/>
    <s v="Tech Manager/Líder"/>
    <s v="Otras Tec."/>
    <m/>
    <e v="#NAME?"/>
    <e v="#NAME?"/>
    <e v="#NAME?"/>
    <m/>
    <m/>
    <m/>
    <m/>
    <m/>
  </r>
  <r>
    <s v="C342547"/>
    <x v="578"/>
    <x v="5"/>
    <x v="23"/>
    <s v="BBVA"/>
    <e v="#NAME?"/>
    <s v="NOSDA $ BAU (Mantenimiento y peq. evolutivos)"/>
    <n v="0.25"/>
    <s v="Desarrollador"/>
    <s v="Mainframe"/>
    <m/>
    <e v="#NAME?"/>
    <e v="#NAME?"/>
    <e v="#NAME?"/>
    <m/>
    <m/>
    <m/>
    <m/>
    <m/>
  </r>
  <r>
    <s v="C342547"/>
    <x v="578"/>
    <x v="5"/>
    <x v="23"/>
    <s v="BBVA"/>
    <e v="#NAME?"/>
    <s v="SDATOOL-40515 $ Acción de auditoria de Cobro de Comisiones"/>
    <n v="0.75"/>
    <s v="Desarrollador"/>
    <s v="Mainframe"/>
    <m/>
    <e v="#NAME?"/>
    <e v="#NAME?"/>
    <e v="#NAME?"/>
    <m/>
    <m/>
    <m/>
    <m/>
    <m/>
  </r>
  <r>
    <s v="CE59507"/>
    <x v="579"/>
    <x v="5"/>
    <x v="23"/>
    <s v="Inetum"/>
    <e v="#NAME?"/>
    <s v="SDATOOL-40515 $ Acción de auditoria de Cobro de Comisiones"/>
    <n v="1"/>
    <s v="Desarrollador"/>
    <s v="Distribuido"/>
    <m/>
    <e v="#NAME?"/>
    <e v="#NAME?"/>
    <e v="#NAME?"/>
    <m/>
    <m/>
    <m/>
    <m/>
    <m/>
  </r>
  <r>
    <s v="C809616"/>
    <x v="580"/>
    <x v="5"/>
    <x v="22"/>
    <s v="BBVA"/>
    <e v="#NAME?"/>
    <s v="NOSDA $ BAU (Mantenimiento y peq. evolutivos)"/>
    <n v="0.25"/>
    <s v="Desarrollador"/>
    <s v="Distribuido"/>
    <s v="DataPower"/>
    <e v="#NAME?"/>
    <e v="#NAME?"/>
    <e v="#NAME?"/>
    <m/>
    <m/>
    <m/>
    <m/>
    <m/>
  </r>
  <r>
    <s v="C809616"/>
    <x v="580"/>
    <x v="5"/>
    <x v="22"/>
    <s v="BBVA"/>
    <e v="#NAME?"/>
    <s v="SDATOOL-40581 $ Corresponsal Bancario Ya Ganaste"/>
    <n v="0.75"/>
    <s v="Desarrollador"/>
    <s v="Distribuido"/>
    <s v="DataPower"/>
    <e v="#NAME?"/>
    <e v="#NAME?"/>
    <e v="#NAME?"/>
    <m/>
    <m/>
    <m/>
    <m/>
    <m/>
  </r>
  <r>
    <s v="C810674"/>
    <x v="581"/>
    <x v="5"/>
    <x v="24"/>
    <s v="BBVA"/>
    <e v="#NAME?"/>
    <s v="SDATOOL-39870 $ Front - Unificación de pantallas Contac Center"/>
    <n v="1"/>
    <s v="Desarrollador"/>
    <s v="Cells"/>
    <m/>
    <e v="#NAME?"/>
    <e v="#NAME?"/>
    <e v="#NAME?"/>
    <m/>
    <m/>
    <m/>
    <m/>
    <m/>
  </r>
  <r>
    <s v="C803039"/>
    <x v="582"/>
    <x v="5"/>
    <x v="22"/>
    <s v="BBVA"/>
    <e v="#NAME?"/>
    <s v="NOSDA $ BAU (Mantenimiento y peq. evolutivos)"/>
    <n v="0.5"/>
    <s v="Desarrollador"/>
    <s v="ASO"/>
    <m/>
    <e v="#NAME?"/>
    <e v="#NAME?"/>
    <e v="#NAME?"/>
    <m/>
    <m/>
    <m/>
    <m/>
    <m/>
  </r>
  <r>
    <s v="C803039"/>
    <x v="582"/>
    <x v="5"/>
    <x v="22"/>
    <s v="BBVA"/>
    <e v="#NAME?"/>
    <s v="SDATOOL-41709 $ Fraccionamiento de transacciones en CBs"/>
    <n v="0.5"/>
    <s v="Desarrollador"/>
    <s v="Mainframe"/>
    <m/>
    <e v="#NAME?"/>
    <e v="#NAME?"/>
    <e v="#NAME?"/>
    <m/>
    <m/>
    <m/>
    <m/>
    <m/>
  </r>
  <r>
    <s v="CE70580"/>
    <x v="583"/>
    <x v="5"/>
    <x v="25"/>
    <s v="Inetum"/>
    <e v="#NAME?"/>
    <s v="NOSDA $ BAU (Mantenimiento y peq. evolutivos)"/>
    <n v="1"/>
    <s v="Desarrollador"/>
    <s v="Distribuido"/>
    <s v="RPA Blue Prims"/>
    <e v="#NAME?"/>
    <e v="#NAME?"/>
    <e v="#NAME?"/>
    <m/>
    <m/>
    <m/>
    <m/>
    <m/>
  </r>
  <r>
    <s v="C804602"/>
    <x v="584"/>
    <x v="5"/>
    <x v="25"/>
    <s v="BBVA"/>
    <e v="#NAME?"/>
    <s v="NOSDA $ BAU (Mantenimiento y peq. evolutivos)"/>
    <n v="1"/>
    <s v="Desarrollador"/>
    <s v="Distribuido"/>
    <s v="RPA Blue Prims"/>
    <e v="#NAME?"/>
    <e v="#NAME?"/>
    <e v="#NAME?"/>
    <m/>
    <m/>
    <m/>
    <m/>
    <m/>
  </r>
  <r>
    <s v="CE70183"/>
    <x v="585"/>
    <x v="5"/>
    <x v="24"/>
    <s v="GGI / CMC"/>
    <e v="#NAME?"/>
    <s v="SDATOOL-37100 $ Soluciones de voz/Internalización del IVR - Plan Ascenso Privado"/>
    <n v="1"/>
    <s v="Desarrollador"/>
    <s v="Mainframe"/>
    <m/>
    <e v="#NAME?"/>
    <e v="#NAME?"/>
    <e v="#NAME?"/>
    <m/>
    <m/>
    <m/>
    <m/>
    <m/>
  </r>
  <r>
    <s v="C805564"/>
    <x v="586"/>
    <x v="5"/>
    <x v="22"/>
    <s v="BBVA"/>
    <e v="#NAME?"/>
    <s v="SDATOOL-39871 $ Cbs Gelsa Paga todo"/>
    <n v="0.6"/>
    <s v="Desarrollador"/>
    <s v="Mainframe"/>
    <m/>
    <e v="#NAME?"/>
    <e v="#NAME?"/>
    <e v="#NAME?"/>
    <m/>
    <m/>
    <m/>
    <m/>
    <m/>
  </r>
  <r>
    <s v="C805564"/>
    <x v="586"/>
    <x v="5"/>
    <x v="22"/>
    <s v="BBVA"/>
    <e v="#NAME?"/>
    <s v="NOSDA $ BAU (Mantenimiento y peq. evolutivos)"/>
    <n v="0.1"/>
    <s v="Desarrollador"/>
    <s v="Distribuido"/>
    <m/>
    <e v="#NAME?"/>
    <e v="#NAME?"/>
    <e v="#NAME?"/>
    <m/>
    <m/>
    <m/>
    <m/>
    <m/>
  </r>
  <r>
    <s v="C805564"/>
    <x v="586"/>
    <x v="5"/>
    <x v="22"/>
    <s v="BBVA"/>
    <e v="#NAME?"/>
    <s v="SDATOOL-40581 $ Corresponsal Bancario Ya Ganaste"/>
    <n v="0.3"/>
    <s v="Desarrollador"/>
    <s v="Mainframe"/>
    <m/>
    <e v="#NAME?"/>
    <e v="#NAME?"/>
    <e v="#NAME?"/>
    <m/>
    <m/>
    <m/>
    <m/>
    <m/>
  </r>
  <r>
    <s v="C810669"/>
    <x v="587"/>
    <x v="5"/>
    <x v="24"/>
    <s v="BBVA"/>
    <e v="#NAME?"/>
    <s v="SDATOOL-37100 $ Soluciones de voz/Internalización del IVR - Plan Ascenso Privado"/>
    <n v="1"/>
    <s v="Desarrollador"/>
    <s v="ASO"/>
    <m/>
    <e v="#NAME?"/>
    <e v="#NAME?"/>
    <e v="#NAME?"/>
    <m/>
    <m/>
    <m/>
    <m/>
    <m/>
  </r>
  <r>
    <s v="O002469"/>
    <x v="588"/>
    <x v="5"/>
    <x v="22"/>
    <s v="BBVA"/>
    <e v="#NAME?"/>
    <s v="NOSDA $ BAU (Mantenimiento y peq. evolutivos)"/>
    <n v="1"/>
    <s v="Desarrollador"/>
    <s v="ASO"/>
    <m/>
    <e v="#NAME?"/>
    <e v="#NAME?"/>
    <e v="#NAME?"/>
    <m/>
    <m/>
    <m/>
    <m/>
    <m/>
  </r>
  <r>
    <s v="O003310"/>
    <x v="589"/>
    <x v="5"/>
    <x v="22"/>
    <s v="BBVA"/>
    <e v="#NAME?"/>
    <s v="NOSDA $ BAU (Mantenimiento y peq. evolutivos)"/>
    <n v="1"/>
    <s v="Desarrollador"/>
    <s v="APX"/>
    <s v="ASO/APX"/>
    <e v="#NAME?"/>
    <e v="#NAME?"/>
    <e v="#NAME?"/>
    <m/>
    <m/>
    <m/>
    <m/>
    <m/>
  </r>
  <r>
    <s v="O002599"/>
    <x v="590"/>
    <x v="5"/>
    <x v="24"/>
    <s v="BBVA"/>
    <e v="#NAME?"/>
    <s v="SDATOOL-37100 $ Soluciones de voz/Internalización del IVR - Plan Ascenso Privado"/>
    <n v="1"/>
    <s v="Desarrollador"/>
    <s v="ASO"/>
    <m/>
    <e v="#NAME?"/>
    <e v="#NAME?"/>
    <e v="#NAME?"/>
    <m/>
    <m/>
    <m/>
    <m/>
    <m/>
  </r>
  <r>
    <s v="C808303"/>
    <x v="591"/>
    <x v="5"/>
    <x v="22"/>
    <s v="BBVA"/>
    <e v="#NAME?"/>
    <s v="NOSDA $ BAU (Mantenimiento y peq. evolutivos)"/>
    <n v="0.7"/>
    <s v="Tech Manager/Líder"/>
    <s v="Otras Tec."/>
    <m/>
    <e v="#NAME?"/>
    <e v="#NAME?"/>
    <e v="#NAME?"/>
    <m/>
    <m/>
    <m/>
    <m/>
    <m/>
  </r>
  <r>
    <s v="C808303"/>
    <x v="591"/>
    <x v="5"/>
    <x v="22"/>
    <s v="BBVA"/>
    <e v="#NAME?"/>
    <s v="SDATOOL-33947 $ Sinergias Bancamia"/>
    <n v="0.1"/>
    <s v="Tech Manager/Líder"/>
    <s v="Otras Tec."/>
    <m/>
    <e v="#NAME?"/>
    <e v="#NAME?"/>
    <e v="#NAME?"/>
    <m/>
    <m/>
    <m/>
    <m/>
    <m/>
  </r>
  <r>
    <s v="C808303"/>
    <x v="591"/>
    <x v="5"/>
    <x v="22"/>
    <s v="BBVA"/>
    <e v="#NAME?"/>
    <s v="SDATOOL-39871 $ Cbs Gelsa Paga todo"/>
    <n v="0.05"/>
    <s v="Tech Manager/Líder"/>
    <s v="Otras Tec."/>
    <m/>
    <e v="#NAME?"/>
    <e v="#NAME?"/>
    <e v="#NAME?"/>
    <m/>
    <m/>
    <m/>
    <m/>
    <m/>
  </r>
  <r>
    <s v="C808303"/>
    <x v="591"/>
    <x v="5"/>
    <x v="22"/>
    <s v="BBVA"/>
    <e v="#NAME?"/>
    <s v="SDATOOL-40581 $ Corresponsal Bancario Ya Ganaste"/>
    <n v="0.05"/>
    <s v="Tech Manager/Líder"/>
    <s v="Otras Tec."/>
    <m/>
    <e v="#NAME?"/>
    <e v="#NAME?"/>
    <e v="#NAME?"/>
    <m/>
    <m/>
    <m/>
    <m/>
    <m/>
  </r>
  <r>
    <s v="C808303"/>
    <x v="591"/>
    <x v="5"/>
    <x v="22"/>
    <s v="BBVA"/>
    <e v="#NAME?"/>
    <s v="SDATOOL-41709 $ Fraccionamiento de transacciones en CBs"/>
    <n v="0.05"/>
    <s v="Tech Manager/Líder"/>
    <s v="Otras Tec."/>
    <m/>
    <e v="#NAME?"/>
    <e v="#NAME?"/>
    <e v="#NAME?"/>
    <m/>
    <m/>
    <m/>
    <m/>
    <m/>
  </r>
  <r>
    <s v="C808303"/>
    <x v="591"/>
    <x v="5"/>
    <x v="25"/>
    <s v="BBVA"/>
    <e v="#NAME?"/>
    <s v="SDATOOL-40529 $ Aplicativos Finanzas - 2023"/>
    <n v="0.05"/>
    <s v="Tech Manager/Líder"/>
    <s v="Otras Tec."/>
    <m/>
    <e v="#NAME?"/>
    <e v="#NAME?"/>
    <e v="#NAME?"/>
    <m/>
    <m/>
    <m/>
    <m/>
    <m/>
  </r>
  <r>
    <s v="CE59254"/>
    <x v="592"/>
    <x v="5"/>
    <x v="24"/>
    <s v="KRYPTO"/>
    <e v="#NAME?"/>
    <s v="SDATOOL-39870 $ Front - Unificación de pantallas Contac Center"/>
    <n v="1"/>
    <s v="QA"/>
    <s v="Otras Tec."/>
    <m/>
    <e v="#NAME?"/>
    <e v="#NAME?"/>
    <e v="#NAME?"/>
    <m/>
    <m/>
    <m/>
    <m/>
    <m/>
  </r>
  <r>
    <s v="CE69603"/>
    <x v="593"/>
    <x v="5"/>
    <x v="23"/>
    <s v="Choucair"/>
    <e v="#NAME?"/>
    <s v="SDATOOL-40515 $ Acción de auditoria de Cobro de Comisiones"/>
    <n v="1"/>
    <s v="QA"/>
    <s v="Otras Tec."/>
    <m/>
    <e v="#NAME?"/>
    <e v="#NAME?"/>
    <e v="#NAME?"/>
    <m/>
    <m/>
    <m/>
    <m/>
    <m/>
  </r>
  <r>
    <s v="T004574"/>
    <x v="594"/>
    <x v="5"/>
    <x v="24"/>
    <s v="GGI / CMC"/>
    <e v="#NAME?"/>
    <s v="SDATOOL-39870 $ Front - Unificación de pantallas Contac Center"/>
    <n v="1"/>
    <s v="Desarrollador"/>
    <s v="ASO"/>
    <m/>
    <e v="#NAME?"/>
    <e v="#NAME?"/>
    <e v="#NAME?"/>
    <m/>
    <m/>
    <m/>
    <m/>
    <m/>
  </r>
  <r>
    <s v="CE57586"/>
    <x v="595"/>
    <x v="5"/>
    <x v="22"/>
    <s v="GGI / CMC"/>
    <e v="#NAME?"/>
    <s v="SDATOOL-40581 $ Corresponsal Bancario Ya Ganaste"/>
    <n v="0.2"/>
    <s v="Desarrollador"/>
    <s v="Mainframe"/>
    <m/>
    <e v="#NAME?"/>
    <e v="#NAME?"/>
    <e v="#NAME?"/>
    <m/>
    <m/>
    <m/>
    <m/>
    <m/>
  </r>
  <r>
    <s v="CE57586"/>
    <x v="595"/>
    <x v="5"/>
    <x v="22"/>
    <s v="GGI / CMC"/>
    <e v="#NAME?"/>
    <s v="SDATOOL-39871 $ Cbs Gelsa Paga todo"/>
    <n v="0.6"/>
    <s v="Desarrollador"/>
    <s v="Mainframe"/>
    <m/>
    <e v="#NAME?"/>
    <e v="#NAME?"/>
    <e v="#NAME?"/>
    <m/>
    <m/>
    <m/>
    <m/>
    <m/>
  </r>
  <r>
    <s v="CE57586"/>
    <x v="595"/>
    <x v="5"/>
    <x v="22"/>
    <s v="GGI / CMC"/>
    <e v="#NAME?"/>
    <s v="SDATOOL-41709 $ Fraccionamiento de transacciones en CBs"/>
    <n v="0.2"/>
    <s v="Desarrollador"/>
    <s v="Mainframe"/>
    <m/>
    <e v="#NAME?"/>
    <e v="#NAME?"/>
    <e v="#NAME?"/>
    <m/>
    <m/>
    <m/>
    <m/>
    <m/>
  </r>
  <r>
    <s v="CE59969"/>
    <x v="596"/>
    <x v="5"/>
    <x v="24"/>
    <s v="Novatec"/>
    <e v="#NAME?"/>
    <s v="SDATOOL-39870 $ Front - Unificación de pantallas Contac Center"/>
    <n v="1"/>
    <s v="Desarrollador"/>
    <s v="Mainframe"/>
    <m/>
    <e v="#NAME?"/>
    <e v="#NAME?"/>
    <e v="#NAME?"/>
    <m/>
    <m/>
    <m/>
    <m/>
    <m/>
  </r>
  <r>
    <s v="CE43579"/>
    <x v="597"/>
    <x v="5"/>
    <x v="23"/>
    <s v="GGI / CMC"/>
    <e v="#NAME?"/>
    <s v="SDATOOL-9053 $ GloMo Colombia"/>
    <n v="0.1"/>
    <s v="QA"/>
    <s v="Otras Tec."/>
    <m/>
    <e v="#NAME?"/>
    <e v="#NAME?"/>
    <e v="#NAME?"/>
    <m/>
    <m/>
    <m/>
    <m/>
    <m/>
  </r>
  <r>
    <s v="CE43579"/>
    <x v="597"/>
    <x v="5"/>
    <x v="23"/>
    <s v="GGI / CMC"/>
    <e v="#NAME?"/>
    <s v="SDATOOL-33947 $ Sinergias Bancamia"/>
    <n v="0.3"/>
    <s v="QA"/>
    <s v="Otras Tec."/>
    <m/>
    <e v="#NAME?"/>
    <e v="#NAME?"/>
    <e v="#NAME?"/>
    <m/>
    <m/>
    <m/>
    <m/>
    <m/>
  </r>
  <r>
    <s v="CE43579"/>
    <x v="597"/>
    <x v="5"/>
    <x v="23"/>
    <s v="GGI / CMC"/>
    <e v="#NAME?"/>
    <s v="SDATOOL-41706 $ Renovación ATMs 2023"/>
    <n v="0.3"/>
    <s v="QA"/>
    <s v="Otras Tec."/>
    <m/>
    <e v="#NAME?"/>
    <e v="#NAME?"/>
    <e v="#NAME?"/>
    <m/>
    <m/>
    <m/>
    <m/>
    <m/>
  </r>
  <r>
    <s v="CE43579"/>
    <x v="597"/>
    <x v="5"/>
    <x v="23"/>
    <s v="GGI / CMC"/>
    <e v="#NAME?"/>
    <s v="NOSDA $ BAU (Mantenimiento y peq. evolutivos)"/>
    <n v="0.3"/>
    <s v="QA"/>
    <s v="Otras Tec."/>
    <m/>
    <e v="#NAME?"/>
    <e v="#NAME?"/>
    <e v="#NAME?"/>
    <m/>
    <m/>
    <m/>
    <m/>
    <m/>
  </r>
  <r>
    <s v="C804684"/>
    <x v="598"/>
    <x v="5"/>
    <x v="23"/>
    <s v="BBVA"/>
    <e v="#NAME?"/>
    <s v="SDATOOL-33947 $ Sinergias Bancamia"/>
    <n v="0.5"/>
    <s v="Desarrollador"/>
    <s v="Mainframe"/>
    <m/>
    <e v="#NAME?"/>
    <e v="#NAME?"/>
    <e v="#NAME?"/>
    <m/>
    <m/>
    <m/>
    <m/>
    <m/>
  </r>
  <r>
    <s v="C804684"/>
    <x v="598"/>
    <x v="5"/>
    <x v="23"/>
    <s v="BBVA"/>
    <e v="#NAME?"/>
    <s v="SDATOOL-41706 $ Renovación ATMs 2023"/>
    <n v="0.1"/>
    <s v="Desarrollador"/>
    <s v="Mainframe"/>
    <m/>
    <e v="#NAME?"/>
    <e v="#NAME?"/>
    <e v="#NAME?"/>
    <m/>
    <m/>
    <m/>
    <m/>
    <m/>
  </r>
  <r>
    <s v="C804684"/>
    <x v="598"/>
    <x v="5"/>
    <x v="23"/>
    <s v="BBVA"/>
    <e v="#NAME?"/>
    <s v="NOSDA $ BAU (Mantenimiento y peq. evolutivos)"/>
    <n v="0.4"/>
    <s v="Desarrollador"/>
    <s v="Mainframe"/>
    <m/>
    <e v="#NAME?"/>
    <e v="#NAME?"/>
    <e v="#NAME?"/>
    <m/>
    <m/>
    <m/>
    <m/>
    <m/>
  </r>
  <r>
    <s v="CE68929"/>
    <x v="599"/>
    <x v="5"/>
    <x v="24"/>
    <s v="Choucair"/>
    <e v="#NAME?"/>
    <s v="SDATOOL-37100 $ Soluciones de voz/Internalización del IVR - Plan Ascenso Privado"/>
    <n v="1"/>
    <s v="QA"/>
    <s v="Otras Tec."/>
    <m/>
    <e v="#NAME?"/>
    <e v="#NAME?"/>
    <e v="#NAME?"/>
    <m/>
    <m/>
    <m/>
    <m/>
    <m/>
  </r>
  <r>
    <s v="CE61162"/>
    <x v="600"/>
    <x v="5"/>
    <x v="24"/>
    <s v="Accenture"/>
    <e v="#NAME?"/>
    <s v="SDATOOL-37100 $ Soluciones de voz/Internalización del IVR - Plan Ascenso Privado"/>
    <n v="1"/>
    <s v="Desarrollador"/>
    <s v="APX"/>
    <m/>
    <e v="#NAME?"/>
    <e v="#NAME?"/>
    <e v="#NAME?"/>
    <m/>
    <m/>
    <m/>
    <m/>
    <m/>
  </r>
  <r>
    <s v="O004597"/>
    <x v="601"/>
    <x v="5"/>
    <x v="23"/>
    <s v="BBVA"/>
    <e v="#NAME?"/>
    <s v="SDATOOL-41706 $ Renovación ATMs 2023"/>
    <n v="1"/>
    <s v="Desarrollador"/>
    <s v="ASO"/>
    <m/>
    <e v="#NAME?"/>
    <e v="#NAME?"/>
    <e v="#NAME?"/>
    <m/>
    <m/>
    <m/>
    <m/>
    <m/>
  </r>
  <r>
    <s v="CE66885"/>
    <x v="602"/>
    <x v="3"/>
    <x v="11"/>
    <s v="Meraki"/>
    <e v="#NAME?"/>
    <s v="SDATOOL-36556 $ Parthnerships - Tarjeta de crédito en punto de venta físico aliados"/>
    <n v="1"/>
    <s v="Desarrollador"/>
    <s v="APX"/>
    <m/>
    <e v="#NAME?"/>
    <e v="#NAME?"/>
    <e v="#NAME?"/>
    <m/>
    <m/>
    <m/>
    <m/>
    <m/>
  </r>
  <r>
    <s v="CE70173"/>
    <x v="603"/>
    <x v="3"/>
    <x v="11"/>
    <s v="Choucair"/>
    <e v="#NAME?"/>
    <s v="SDATOOL-37057 $ Pagos QR - Entre cuentas Redeban - Plan Ascenso Mercurio"/>
    <n v="1"/>
    <s v="QA"/>
    <s v="Cells"/>
    <m/>
    <e v="#NAME?"/>
    <e v="#NAME?"/>
    <e v="#NAME?"/>
    <m/>
    <m/>
    <m/>
    <m/>
    <m/>
  </r>
  <r>
    <s v="CE17710"/>
    <x v="604"/>
    <x v="3"/>
    <x v="11"/>
    <s v="Novatec"/>
    <e v="#NAME?"/>
    <s v="NOSDA $ BAU (Mantenimiento y peq. evolutivos)"/>
    <n v="1"/>
    <s v="Desarrollador"/>
    <s v="Mainframe"/>
    <m/>
    <e v="#NAME?"/>
    <e v="#NAME?"/>
    <e v="#NAME?"/>
    <m/>
    <m/>
    <m/>
    <m/>
    <m/>
  </r>
  <r>
    <s v="T004480"/>
    <x v="605"/>
    <x v="3"/>
    <x v="11"/>
    <s v="Novatec"/>
    <e v="#NAME?"/>
    <s v="NOSDA $ BAU (Mantenimiento y peq. evolutivos)"/>
    <n v="1"/>
    <s v="Desarrollador"/>
    <s v="Mainframe"/>
    <m/>
    <e v="#NAME?"/>
    <e v="#NAME?"/>
    <e v="#NAME?"/>
    <m/>
    <m/>
    <m/>
    <m/>
    <m/>
  </r>
  <r>
    <s v="C805316"/>
    <x v="606"/>
    <x v="3"/>
    <x v="11"/>
    <s v="BBVA"/>
    <e v="#NAME?"/>
    <s v="SDATOOL-37061 $ Plan de Lealtad Comecios -Plan Ascenso Autónomos"/>
    <n v="1"/>
    <s v="Desarrollador"/>
    <s v="Mainframe"/>
    <m/>
    <e v="#NAME?"/>
    <e v="#NAME?"/>
    <e v="#NAME?"/>
    <m/>
    <m/>
    <m/>
    <m/>
    <m/>
  </r>
  <r>
    <s v="C810793"/>
    <x v="607"/>
    <x v="3"/>
    <x v="11"/>
    <s v="BBVA"/>
    <e v="#NAME?"/>
    <s v="SDATOOL-37061 $ Plan de Lealtad Comecios -Plan Ascenso Autónomos"/>
    <n v="1"/>
    <s v="Desarrollador"/>
    <s v="ASO"/>
    <m/>
    <e v="#NAME?"/>
    <e v="#NAME?"/>
    <e v="#NAME?"/>
    <m/>
    <m/>
    <m/>
    <m/>
    <m/>
  </r>
  <r>
    <s v="C811175"/>
    <x v="608"/>
    <x v="3"/>
    <x v="11"/>
    <s v="BBVA"/>
    <e v="#NAME?"/>
    <s v="SDATOOL-38447 $ GRM Col - Condonación y bajas automáticas en Medios de Pago"/>
    <n v="0.2"/>
    <s v="Desarrollador"/>
    <s v="Mainframe"/>
    <m/>
    <e v="#NAME?"/>
    <e v="#NAME?"/>
    <e v="#NAME?"/>
    <m/>
    <m/>
    <m/>
    <m/>
    <m/>
  </r>
  <r>
    <s v="C811175"/>
    <x v="608"/>
    <x v="3"/>
    <x v="11"/>
    <s v="BBVA"/>
    <e v="#NAME?"/>
    <s v="SDATOOL-40438 $ CIRCULAR 032 del 2021 - REQUERIMIENTO FISCALIA GENERAL DE LA NACION"/>
    <n v="0.2"/>
    <s v="Desarrollador"/>
    <s v="Mainframe"/>
    <m/>
    <e v="#NAME?"/>
    <e v="#NAME?"/>
    <e v="#NAME?"/>
    <m/>
    <m/>
    <m/>
    <m/>
    <m/>
  </r>
  <r>
    <s v="CE46835"/>
    <x v="609"/>
    <x v="3"/>
    <x v="11"/>
    <s v="KRYPTO"/>
    <e v="#NAME?"/>
    <s v="SDATOOL-36556 $ Parthnerships - Tarjeta de crédito en punto de venta físico aliados"/>
    <n v="0.2"/>
    <s v="QA"/>
    <s v="Openweb"/>
    <m/>
    <e v="#NAME?"/>
    <e v="#NAME?"/>
    <e v="#NAME?"/>
    <m/>
    <m/>
    <m/>
    <m/>
    <m/>
  </r>
  <r>
    <s v="CE46835"/>
    <x v="609"/>
    <x v="3"/>
    <x v="11"/>
    <s v="KRYPTO"/>
    <e v="#NAME?"/>
    <s v="SDATOOL-37057 $ Pagos QR - Entre cuentas Redeban - Plan Ascenso Mercurio"/>
    <n v="0.5"/>
    <s v="QA"/>
    <s v="Mainframe"/>
    <m/>
    <e v="#NAME?"/>
    <e v="#NAME?"/>
    <e v="#NAME?"/>
    <m/>
    <m/>
    <m/>
    <m/>
    <m/>
  </r>
  <r>
    <s v="CE46835"/>
    <x v="609"/>
    <x v="3"/>
    <x v="11"/>
    <s v="KRYPTO"/>
    <e v="#NAME?"/>
    <s v="NOSDA $ BAU (Mantenimiento y peq. evolutivos)"/>
    <n v="0.3"/>
    <s v="QA"/>
    <m/>
    <m/>
    <e v="#NAME?"/>
    <e v="#NAME?"/>
    <e v="#NAME?"/>
    <m/>
    <m/>
    <m/>
    <m/>
    <m/>
  </r>
  <r>
    <s v="CE69505"/>
    <x v="610"/>
    <x v="3"/>
    <x v="11"/>
    <s v="KRYPTO"/>
    <e v="#NAME?"/>
    <s v="SDATOOL-36556 $ Parthnerships - Tarjeta de crédito en punto de venta físico aliados"/>
    <n v="0.2"/>
    <s v="QA"/>
    <s v="Mainframe"/>
    <m/>
    <e v="#NAME?"/>
    <e v="#NAME?"/>
    <e v="#NAME?"/>
    <m/>
    <m/>
    <m/>
    <m/>
    <m/>
  </r>
  <r>
    <s v="CE69505"/>
    <x v="610"/>
    <x v="3"/>
    <x v="11"/>
    <s v="KRYPTO"/>
    <e v="#NAME?"/>
    <s v="NOSDA $ BAU (Mantenimiento y peq. evolutivos)"/>
    <n v="0.3"/>
    <s v="QA"/>
    <s v="Mainframe"/>
    <m/>
    <e v="#NAME?"/>
    <e v="#NAME?"/>
    <e v="#NAME?"/>
    <m/>
    <m/>
    <m/>
    <m/>
    <m/>
  </r>
  <r>
    <s v="CE69505"/>
    <x v="610"/>
    <x v="3"/>
    <x v="11"/>
    <s v="KRYPTO"/>
    <e v="#NAME?"/>
    <s v="SDATOOL-37057 $ Pagos QR - Entre cuentas Redeban - Plan Ascenso Mercurio"/>
    <n v="0.5"/>
    <s v="QA"/>
    <s v="Mainframe"/>
    <m/>
    <e v="#NAME?"/>
    <e v="#NAME?"/>
    <e v="#NAME?"/>
    <m/>
    <m/>
    <m/>
    <m/>
    <m/>
  </r>
  <r>
    <s v="O000988"/>
    <x v="611"/>
    <x v="3"/>
    <x v="11"/>
    <s v="BBVA"/>
    <e v="#NAME?"/>
    <s v="SDATOOL-41757 $ AJUSTE AUTOMATIZACION CONCILIACION ARA"/>
    <n v="0.4"/>
    <s v="Desarrollador"/>
    <s v="Mainframe"/>
    <m/>
    <e v="#NAME?"/>
    <e v="#NAME?"/>
    <e v="#NAME?"/>
    <m/>
    <m/>
    <m/>
    <m/>
    <m/>
  </r>
  <r>
    <s v="O000988"/>
    <x v="611"/>
    <x v="3"/>
    <x v="11"/>
    <s v="BBVA"/>
    <e v="#NAME?"/>
    <s v="SDATOOL-41709 $ Fraccionamiento de transacciones en CBs"/>
    <n v="0.4"/>
    <s v="Desarrollador"/>
    <s v="Mainframe"/>
    <m/>
    <e v="#NAME?"/>
    <e v="#NAME?"/>
    <e v="#NAME?"/>
    <m/>
    <m/>
    <m/>
    <m/>
    <m/>
  </r>
  <r>
    <s v="O000988"/>
    <x v="611"/>
    <x v="3"/>
    <x v="11"/>
    <s v="BBVA"/>
    <e v="#NAME?"/>
    <s v="NOSDA $ BAU (Mantenimiento y peq. evolutivos)"/>
    <n v="0.2"/>
    <s v="Desarrollador"/>
    <s v="Mainframe"/>
    <m/>
    <e v="#NAME?"/>
    <e v="#NAME?"/>
    <e v="#NAME?"/>
    <m/>
    <m/>
    <m/>
    <m/>
    <m/>
  </r>
  <r>
    <s v="C805861"/>
    <x v="612"/>
    <x v="3"/>
    <x v="11"/>
    <s v="BBVA"/>
    <e v="#NAME?"/>
    <s v="SDATOOL-37057 $ Pagos QR - Entre cuentas Redeban - Plan Ascenso Mercurio"/>
    <n v="1"/>
    <s v="Desarrollador"/>
    <s v="Mainframe"/>
    <m/>
    <e v="#NAME?"/>
    <e v="#NAME?"/>
    <e v="#NAME?"/>
    <m/>
    <m/>
    <m/>
    <m/>
    <m/>
  </r>
  <r>
    <s v="CE58194"/>
    <x v="613"/>
    <x v="3"/>
    <x v="11"/>
    <s v="Inetum"/>
    <e v="#NAME?"/>
    <s v="SDATOOL-36556 $ Parthnerships - Tarjeta de crédito en punto de venta físico aliados"/>
    <n v="1"/>
    <s v="QA"/>
    <s v="Mainframe"/>
    <m/>
    <e v="#NAME?"/>
    <e v="#NAME?"/>
    <e v="#NAME?"/>
    <m/>
    <m/>
    <m/>
    <m/>
    <m/>
  </r>
  <r>
    <s v="O001722"/>
    <x v="614"/>
    <x v="3"/>
    <x v="11"/>
    <s v="BBVA"/>
    <e v="#NAME?"/>
    <s v="NOSDA $ BAU (Mantenimiento y peq. evolutivos)"/>
    <n v="1"/>
    <s v="Desarrollador"/>
    <s v="Mainframe"/>
    <m/>
    <e v="#NAME?"/>
    <e v="#NAME?"/>
    <e v="#NAME?"/>
    <m/>
    <m/>
    <m/>
    <m/>
    <m/>
  </r>
  <r>
    <s v="C809504"/>
    <x v="615"/>
    <x v="3"/>
    <x v="11"/>
    <s v="BBVA"/>
    <e v="#NAME?"/>
    <s v="SDATOOL-38447 $ GRM Col - Condonación y bajas automáticas en Medios de Pago"/>
    <n v="0.2"/>
    <s v="Desarrollador"/>
    <s v="Mainframe"/>
    <m/>
    <e v="#NAME?"/>
    <e v="#NAME?"/>
    <e v="#NAME?"/>
    <m/>
    <m/>
    <m/>
    <m/>
    <m/>
  </r>
  <r>
    <s v="C809504"/>
    <x v="615"/>
    <x v="3"/>
    <x v="11"/>
    <s v="BBVA"/>
    <e v="#NAME?"/>
    <s v="SDATOOL-33846 $ SREP Data Quality- BCBS239 - Colombia"/>
    <n v="0.6"/>
    <s v="Desarrollador"/>
    <s v="Mainframe"/>
    <m/>
    <e v="#NAME?"/>
    <e v="#NAME?"/>
    <e v="#NAME?"/>
    <m/>
    <m/>
    <m/>
    <m/>
    <m/>
  </r>
  <r>
    <s v="C809504"/>
    <x v="615"/>
    <x v="3"/>
    <x v="11"/>
    <s v="BBVA"/>
    <e v="#NAME?"/>
    <s v="NOSDA $ BAU (Mantenimiento y peq. evolutivos)"/>
    <n v="0.2"/>
    <s v="Desarrollador"/>
    <s v="Mainframe"/>
    <m/>
    <e v="#NAME?"/>
    <e v="#NAME?"/>
    <e v="#NAME?"/>
    <m/>
    <m/>
    <m/>
    <m/>
    <m/>
  </r>
  <r>
    <s v="O000962"/>
    <x v="616"/>
    <x v="3"/>
    <x v="11"/>
    <s v="BBVA"/>
    <e v="#NAME?"/>
    <s v="SDATOOL-36556 $ Parthnerships - Tarjeta de crédito en punto de venta físico aliados"/>
    <n v="1"/>
    <s v="Tech Manager/Líder"/>
    <s v="Cells"/>
    <m/>
    <e v="#NAME?"/>
    <e v="#NAME?"/>
    <e v="#NAME?"/>
    <m/>
    <m/>
    <m/>
    <m/>
    <m/>
  </r>
  <r>
    <s v="CE66884"/>
    <x v="617"/>
    <x v="3"/>
    <x v="11"/>
    <s v="Meraki"/>
    <e v="#NAME?"/>
    <s v="SDATOOL-36556 $ Parthnerships - Tarjeta de crédito en punto de venta físico aliados"/>
    <n v="1"/>
    <s v="Desarrollador"/>
    <s v="APX"/>
    <m/>
    <e v="#NAME?"/>
    <e v="#NAME?"/>
    <e v="#NAME?"/>
    <m/>
    <m/>
    <m/>
    <m/>
    <m/>
  </r>
  <r>
    <s v="C810909"/>
    <x v="618"/>
    <x v="3"/>
    <x v="11"/>
    <s v="BBVA"/>
    <e v="#NAME?"/>
    <s v="SDATOOL-37057 $ Pagos QR - Entre cuentas Redeban - Plan Ascenso Mercurio"/>
    <n v="1"/>
    <s v="Desarrollador"/>
    <s v="APX"/>
    <m/>
    <e v="#NAME?"/>
    <e v="#NAME?"/>
    <e v="#NAME?"/>
    <m/>
    <m/>
    <m/>
    <m/>
    <m/>
  </r>
  <r>
    <s v="T002223"/>
    <x v="619"/>
    <x v="3"/>
    <x v="11"/>
    <s v="KRYPTO"/>
    <e v="#NAME?"/>
    <s v="NOSDA $ BAU (Mantenimiento y peq. evolutivos)"/>
    <n v="1"/>
    <s v="QA"/>
    <s v="Mainframe"/>
    <m/>
    <e v="#NAME?"/>
    <e v="#NAME?"/>
    <e v="#NAME?"/>
    <m/>
    <m/>
    <m/>
    <m/>
    <m/>
  </r>
  <r>
    <s v="CE56542"/>
    <x v="620"/>
    <x v="3"/>
    <x v="11"/>
    <s v="Novatec"/>
    <e v="#NAME?"/>
    <s v="NOSDA $ BAU (Mantenimiento y peq. evolutivos)"/>
    <n v="0.5"/>
    <s v="Desarrollador"/>
    <s v="APX"/>
    <m/>
    <e v="#NAME?"/>
    <e v="#NAME?"/>
    <e v="#NAME?"/>
    <m/>
    <m/>
    <m/>
    <m/>
    <m/>
  </r>
  <r>
    <s v="C342035"/>
    <x v="621"/>
    <x v="3"/>
    <x v="11"/>
    <s v="BBVA"/>
    <e v="#NAME?"/>
    <s v="SDATOOL-36556 $ Parthnerships - Tarjeta de crédito en punto de venta físico aliados"/>
    <n v="1"/>
    <s v="Desarrollador"/>
    <s v="Mainframe"/>
    <m/>
    <e v="#NAME?"/>
    <e v="#NAME?"/>
    <e v="#NAME?"/>
    <m/>
    <m/>
    <m/>
    <m/>
    <m/>
  </r>
  <r>
    <s v="C811264"/>
    <x v="622"/>
    <x v="3"/>
    <x v="11"/>
    <s v="BBVA"/>
    <e v="#NAME?"/>
    <s v="SDATOOL-36556 $ Parthnerships - Tarjeta de crédito en punto de venta físico aliados"/>
    <n v="0.2"/>
    <s v="Desarrollador"/>
    <s v="Mainframe"/>
    <m/>
    <e v="#NAME?"/>
    <e v="#NAME?"/>
    <e v="#NAME?"/>
    <m/>
    <m/>
    <m/>
    <m/>
    <m/>
  </r>
  <r>
    <s v="C811264"/>
    <x v="622"/>
    <x v="3"/>
    <x v="11"/>
    <s v="BBVA"/>
    <e v="#NAME?"/>
    <s v="NOSDA $ BAU (Mantenimiento y peq. evolutivos)"/>
    <n v="0.3"/>
    <s v="Desarrollador"/>
    <s v="Mainframe"/>
    <m/>
    <e v="#NAME?"/>
    <e v="#NAME?"/>
    <e v="#NAME?"/>
    <m/>
    <m/>
    <m/>
    <m/>
    <m/>
  </r>
  <r>
    <s v="C811264"/>
    <x v="622"/>
    <x v="3"/>
    <x v="11"/>
    <s v="BBVA"/>
    <e v="#NAME?"/>
    <s v="SDATOOL-40613 $ Códigos MAC"/>
    <n v="0.5"/>
    <s v="Desarrollador"/>
    <s v="Mainframe"/>
    <m/>
    <e v="#NAME?"/>
    <e v="#NAME?"/>
    <e v="#NAME?"/>
    <m/>
    <m/>
    <m/>
    <m/>
    <m/>
  </r>
  <r>
    <s v="C811393"/>
    <x v="623"/>
    <x v="3"/>
    <x v="11"/>
    <s v="BBVA"/>
    <e v="#NAME?"/>
    <s v="SDATOOL-38589 $ Mandatorio tokenización"/>
    <n v="0.35"/>
    <s v="Desarrollador"/>
    <s v="Mainframe"/>
    <m/>
    <e v="#NAME?"/>
    <e v="#NAME?"/>
    <e v="#NAME?"/>
    <m/>
    <m/>
    <m/>
    <m/>
    <m/>
  </r>
  <r>
    <s v="C811393"/>
    <x v="623"/>
    <x v="3"/>
    <x v="11"/>
    <s v="BBVA"/>
    <e v="#NAME?"/>
    <s v="SDATOOL-41726 $ EXTRACUPO TARJETA DE CREDITO"/>
    <n v="0.35"/>
    <s v="Desarrollador"/>
    <s v="Mainframe"/>
    <m/>
    <e v="#NAME?"/>
    <e v="#NAME?"/>
    <e v="#NAME?"/>
    <m/>
    <m/>
    <m/>
    <m/>
    <m/>
  </r>
  <r>
    <s v="C811393"/>
    <x v="623"/>
    <x v="3"/>
    <x v="11"/>
    <s v="BBVA"/>
    <e v="#NAME?"/>
    <s v="NOSDA $ BAU (Mantenimiento y peq. evolutivos)"/>
    <n v="0.3"/>
    <s v="Desarrollador"/>
    <s v="Mainframe"/>
    <m/>
    <e v="#NAME?"/>
    <e v="#NAME?"/>
    <e v="#NAME?"/>
    <m/>
    <m/>
    <m/>
    <m/>
    <m/>
  </r>
  <r>
    <s v="CE49917"/>
    <x v="624"/>
    <x v="3"/>
    <x v="11"/>
    <s v="Novatec"/>
    <e v="#NAME?"/>
    <s v="SDATOOL-37057 $ Pagos QR - Entre cuentas Redeban - Plan Ascenso Mercurio"/>
    <n v="0.5"/>
    <s v="Desarrollador"/>
    <s v="APX"/>
    <m/>
    <e v="#NAME?"/>
    <e v="#NAME?"/>
    <e v="#NAME?"/>
    <m/>
    <m/>
    <m/>
    <m/>
    <m/>
  </r>
  <r>
    <s v="CE49917"/>
    <x v="624"/>
    <x v="3"/>
    <x v="11"/>
    <s v="Novatec"/>
    <e v="#NAME?"/>
    <s v="SDATOOL-37061 $ Plan de Lealtad Comecios -Plan Ascenso Autónomos"/>
    <n v="0.5"/>
    <s v="Desarrollador"/>
    <s v="APX"/>
    <m/>
    <e v="#NAME?"/>
    <e v="#NAME?"/>
    <e v="#NAME?"/>
    <m/>
    <m/>
    <m/>
    <m/>
    <m/>
  </r>
  <r>
    <s v="C804723"/>
    <x v="625"/>
    <x v="3"/>
    <x v="11"/>
    <s v="BBVA"/>
    <e v="#NAME?"/>
    <s v="SDATOOL-40455 $ Comisión porcentaje compras internacionales Mastercard y Visa Fase 2"/>
    <n v="0.3"/>
    <s v="Desarrollador"/>
    <s v="Mainframe"/>
    <m/>
    <e v="#NAME?"/>
    <e v="#NAME?"/>
    <e v="#NAME?"/>
    <m/>
    <m/>
    <m/>
    <m/>
    <m/>
  </r>
  <r>
    <s v="C804723"/>
    <x v="625"/>
    <x v="3"/>
    <x v="11"/>
    <s v="BBVA"/>
    <e v="#NAME?"/>
    <s v="NOSDA $ BAU (Mantenimiento y peq. evolutivos)"/>
    <n v="0.7"/>
    <s v="Desarrollador"/>
    <s v="Mainframe"/>
    <m/>
    <e v="#NAME?"/>
    <e v="#NAME?"/>
    <e v="#NAME?"/>
    <m/>
    <m/>
    <m/>
    <m/>
    <m/>
  </r>
  <r>
    <s v="C341931"/>
    <x v="626"/>
    <x v="3"/>
    <x v="11"/>
    <s v="BBVA"/>
    <e v="#NAME?"/>
    <s v="SDATOOL-37061 $ Plan de Lealtad Comecios -Plan Ascenso Autónomos"/>
    <n v="0.5"/>
    <s v="Tech Manager/Líder"/>
    <s v="Mainframe"/>
    <m/>
    <e v="#NAME?"/>
    <e v="#NAME?"/>
    <e v="#NAME?"/>
    <m/>
    <m/>
    <m/>
    <m/>
    <m/>
  </r>
  <r>
    <s v="C341931"/>
    <x v="626"/>
    <x v="3"/>
    <x v="11"/>
    <s v="BBVA"/>
    <e v="#NAME?"/>
    <s v="SDATOOL-37057 $ Pagos QR - Entre cuentas Redeban - Plan Ascenso Mercurio"/>
    <n v="0.5"/>
    <s v="Tech Manager/Líder"/>
    <s v="Mainframe"/>
    <m/>
    <e v="#NAME?"/>
    <e v="#NAME?"/>
    <e v="#NAME?"/>
    <m/>
    <m/>
    <m/>
    <m/>
    <m/>
  </r>
  <r>
    <s v="C811403"/>
    <x v="627"/>
    <x v="3"/>
    <x v="11"/>
    <s v="BBVA"/>
    <e v="#NAME?"/>
    <s v="SDATOOL-40384 $ Cobrar intereses corrientes entre la transacción y la pre-cancelación"/>
    <n v="0.15"/>
    <s v="Tech Manager/Líder"/>
    <s v="Mainframe"/>
    <m/>
    <e v="#NAME?"/>
    <e v="#NAME?"/>
    <e v="#NAME?"/>
    <m/>
    <m/>
    <m/>
    <m/>
    <m/>
  </r>
  <r>
    <s v="C811403"/>
    <x v="627"/>
    <x v="3"/>
    <x v="11"/>
    <s v="BBVA"/>
    <e v="#NAME?"/>
    <s v="SDATOOL-40455 $ Comisión porcentaje compras internacionales Mastercard y Visa Fase 2"/>
    <n v="0.1"/>
    <s v="Tech Manager/Líder"/>
    <s v="Mainframe"/>
    <m/>
    <e v="#NAME?"/>
    <e v="#NAME?"/>
    <e v="#NAME?"/>
    <m/>
    <m/>
    <m/>
    <m/>
    <m/>
  </r>
  <r>
    <s v="C811403"/>
    <x v="627"/>
    <x v="3"/>
    <x v="11"/>
    <s v="BBVA"/>
    <e v="#NAME?"/>
    <s v="SDATOOL-38447 $ GRM Col - Condonación y bajas automáticas en Medios de Pago"/>
    <n v="0.05"/>
    <s v="Tech Manager/Líder"/>
    <s v="Mainframe"/>
    <m/>
    <e v="#NAME?"/>
    <e v="#NAME?"/>
    <e v="#NAME?"/>
    <m/>
    <m/>
    <m/>
    <m/>
    <m/>
  </r>
  <r>
    <s v="C811403"/>
    <x v="627"/>
    <x v="3"/>
    <x v="11"/>
    <s v="BBVA"/>
    <e v="#NAME?"/>
    <s v="SDATOOL-37753 $ Plan de transformación de operaciones 2022"/>
    <n v="0.05"/>
    <s v="Tech Manager/Líder"/>
    <s v="Mainframe"/>
    <m/>
    <e v="#NAME?"/>
    <e v="#NAME?"/>
    <e v="#NAME?"/>
    <m/>
    <m/>
    <m/>
    <m/>
    <m/>
  </r>
  <r>
    <s v="C811403"/>
    <x v="627"/>
    <x v="3"/>
    <x v="11"/>
    <s v="BBVA"/>
    <e v="#NAME?"/>
    <s v="SDATOOL-33846 $ SREP Data Quality- BCBS239 - Colombia"/>
    <n v="0.15"/>
    <s v="Tech Manager/Líder"/>
    <s v="Mainframe"/>
    <m/>
    <e v="#NAME?"/>
    <e v="#NAME?"/>
    <e v="#NAME?"/>
    <m/>
    <m/>
    <m/>
    <m/>
    <m/>
  </r>
  <r>
    <s v="C811403"/>
    <x v="627"/>
    <x v="3"/>
    <x v="11"/>
    <s v="BBVA"/>
    <e v="#NAME?"/>
    <s v="SDATOOL-40382 $ NUEVA Eliminar el PAN ( Orange 1.0)"/>
    <n v="0.1"/>
    <s v="Tech Manager/Líder"/>
    <s v="Mainframe"/>
    <m/>
    <e v="#NAME?"/>
    <e v="#NAME?"/>
    <e v="#NAME?"/>
    <m/>
    <m/>
    <m/>
    <m/>
    <m/>
  </r>
  <r>
    <s v="C811403"/>
    <x v="627"/>
    <x v="3"/>
    <x v="11"/>
    <s v="BBVA"/>
    <e v="#NAME?"/>
    <s v="SDATOOL-41938 $ GRM Col Reg - Ajuste Calificación Escalera"/>
    <n v="0.1"/>
    <s v="Tech Manager/Líder"/>
    <s v="Mainframe"/>
    <m/>
    <e v="#NAME?"/>
    <e v="#NAME?"/>
    <e v="#NAME?"/>
    <m/>
    <m/>
    <m/>
    <m/>
    <m/>
  </r>
  <r>
    <s v="C811403"/>
    <x v="627"/>
    <x v="3"/>
    <x v="11"/>
    <s v="BBVA"/>
    <e v="#NAME?"/>
    <s v="SDATOOL-40438 $ CIRCULAR 032 del 2021 - REQUERIMIENTO FISCALIA GENERAL DE LA NACION"/>
    <n v="0.1"/>
    <s v="Tech Manager/Líder"/>
    <s v="Mainframe"/>
    <m/>
    <e v="#NAME?"/>
    <e v="#NAME?"/>
    <e v="#NAME?"/>
    <m/>
    <m/>
    <m/>
    <m/>
    <m/>
  </r>
  <r>
    <s v="C811403"/>
    <x v="627"/>
    <x v="3"/>
    <x v="11"/>
    <s v="BBVA"/>
    <e v="#NAME?"/>
    <s v="NOSDA $ BAU (Mantenimiento y peq. evolutivos)"/>
    <n v="0.2"/>
    <s v="Tech Manager/Líder"/>
    <s v="Mainframe"/>
    <m/>
    <e v="#NAME?"/>
    <e v="#NAME?"/>
    <e v="#NAME?"/>
    <m/>
    <m/>
    <m/>
    <m/>
    <m/>
  </r>
  <r>
    <s v="T004374"/>
    <x v="628"/>
    <x v="3"/>
    <x v="11"/>
    <s v="KRYPTO"/>
    <e v="#NAME?"/>
    <s v="SDATOOL-40442 $ M4M - Tokenización Mastercard"/>
    <n v="0.8"/>
    <s v="QA"/>
    <s v="Mainframe"/>
    <m/>
    <e v="#NAME?"/>
    <e v="#NAME?"/>
    <e v="#NAME?"/>
    <m/>
    <m/>
    <m/>
    <m/>
    <m/>
  </r>
  <r>
    <s v="T004374"/>
    <x v="628"/>
    <x v="3"/>
    <x v="11"/>
    <s v="KRYPTO"/>
    <e v="#NAME?"/>
    <s v="NOSDA $ BAU (Mantenimiento y peq. evolutivos)"/>
    <n v="0.2"/>
    <s v="QA"/>
    <s v="Mainframe"/>
    <m/>
    <e v="#NAME?"/>
    <e v="#NAME?"/>
    <e v="#NAME?"/>
    <m/>
    <m/>
    <m/>
    <m/>
    <m/>
  </r>
  <r>
    <s v="T005122"/>
    <x v="629"/>
    <x v="3"/>
    <x v="11"/>
    <s v="Choucair"/>
    <e v="#NAME?"/>
    <s v="SDATOOL-37061 $ Plan de Lealtad Comecios -Plan Ascenso Autónomos"/>
    <n v="1"/>
    <s v="QA"/>
    <s v="Distribuido"/>
    <m/>
    <e v="#NAME?"/>
    <e v="#NAME?"/>
    <e v="#NAME?"/>
    <m/>
    <m/>
    <m/>
    <m/>
    <m/>
  </r>
  <r>
    <s v="C343617"/>
    <x v="630"/>
    <x v="3"/>
    <x v="11"/>
    <s v="BBVA"/>
    <e v="#NAME?"/>
    <s v="SDATOOL-37427 $ Adquirencia Premium"/>
    <n v="0.4"/>
    <s v="Desarrollador"/>
    <s v="Otras Tec."/>
    <m/>
    <e v="#NAME?"/>
    <e v="#NAME?"/>
    <e v="#NAME?"/>
    <m/>
    <m/>
    <m/>
    <m/>
    <m/>
  </r>
  <r>
    <s v="C343617"/>
    <x v="630"/>
    <x v="3"/>
    <x v="11"/>
    <s v="BBVA"/>
    <e v="#NAME?"/>
    <s v="NOSDA $ BAU (Mantenimiento y peq. evolutivos)"/>
    <n v="0.6"/>
    <s v="Desarrollador"/>
    <s v="Otras Tec."/>
    <m/>
    <e v="#NAME?"/>
    <e v="#NAME?"/>
    <e v="#NAME?"/>
    <m/>
    <m/>
    <m/>
    <m/>
    <m/>
  </r>
  <r>
    <s v="C811392"/>
    <x v="277"/>
    <x v="3"/>
    <x v="11"/>
    <s v="BBVA"/>
    <e v="#NAME?"/>
    <s v="SDATOOL-40468 $ Mapa de comercios adquirencia - Fase 2"/>
    <n v="0.4"/>
    <s v="Desarrollador"/>
    <s v="Mainframe"/>
    <m/>
    <e v="#NAME?"/>
    <e v="#NAME?"/>
    <e v="#NAME?"/>
    <m/>
    <m/>
    <m/>
    <m/>
    <m/>
  </r>
  <r>
    <s v="C811392"/>
    <x v="277"/>
    <x v="3"/>
    <x v="11"/>
    <s v="BBVA"/>
    <e v="#NAME?"/>
    <s v="SDATOOL-40469 $ Reversión reintegros parciales Adquirencia - Ajustes de comercio LATAM"/>
    <n v="0.4"/>
    <s v="Desarrollador"/>
    <s v="Mainframe"/>
    <m/>
    <e v="#NAME?"/>
    <e v="#NAME?"/>
    <e v="#NAME?"/>
    <m/>
    <m/>
    <m/>
    <m/>
    <m/>
  </r>
  <r>
    <s v="C811392"/>
    <x v="277"/>
    <x v="3"/>
    <x v="11"/>
    <s v="BBVA"/>
    <e v="#NAME?"/>
    <s v="SDATOOL-39354 $ My business Open Pay - Plan Ascenso Mercurio"/>
    <n v="0.2"/>
    <s v="Desarrollador"/>
    <s v="Mainframe"/>
    <m/>
    <e v="#NAME?"/>
    <e v="#NAME?"/>
    <e v="#NAME?"/>
    <m/>
    <m/>
    <m/>
    <m/>
    <m/>
  </r>
  <r>
    <s v="T003366"/>
    <x v="631"/>
    <x v="3"/>
    <x v="11"/>
    <s v="Novatec"/>
    <e v="#NAME?"/>
    <s v="SDATOOL-41757 $ AJUSTE AUTOMATIZACION CONCILIACION ARA"/>
    <n v="0.4"/>
    <s v="Otros"/>
    <s v="Mainframe"/>
    <m/>
    <e v="#NAME?"/>
    <e v="#NAME?"/>
    <e v="#NAME?"/>
    <m/>
    <m/>
    <m/>
    <m/>
    <m/>
  </r>
  <r>
    <s v="T003366"/>
    <x v="631"/>
    <x v="3"/>
    <x v="11"/>
    <s v="Novatec"/>
    <e v="#NAME?"/>
    <s v="SDATOOL-41726 $ EXTRACUPO TARJETA DE CREDITO"/>
    <n v="0.3"/>
    <s v="Otros"/>
    <s v="Mainframe"/>
    <m/>
    <e v="#NAME?"/>
    <e v="#NAME?"/>
    <e v="#NAME?"/>
    <m/>
    <m/>
    <m/>
    <m/>
    <m/>
  </r>
  <r>
    <s v="T003366"/>
    <x v="631"/>
    <x v="3"/>
    <x v="11"/>
    <s v="Novatec"/>
    <e v="#NAME?"/>
    <s v="SDATOOL-40613 $ Códigos MAC"/>
    <n v="0.3"/>
    <s v="Otros"/>
    <s v="Mainframe"/>
    <m/>
    <e v="#NAME?"/>
    <e v="#NAME?"/>
    <e v="#NAME?"/>
    <m/>
    <m/>
    <m/>
    <m/>
    <m/>
  </r>
  <r>
    <s v="C811354"/>
    <x v="632"/>
    <x v="3"/>
    <x v="11"/>
    <s v="BBVA"/>
    <e v="#NAME?"/>
    <s v="SDATOOL-38447 $ GRM Col - Condonación y bajas automáticas en Medios de Pago"/>
    <n v="0.2"/>
    <s v="Desarrollador"/>
    <s v="Mainframe"/>
    <m/>
    <e v="#NAME?"/>
    <e v="#NAME?"/>
    <e v="#NAME?"/>
    <m/>
    <m/>
    <m/>
    <m/>
    <m/>
  </r>
  <r>
    <s v="C811354"/>
    <x v="632"/>
    <x v="3"/>
    <x v="11"/>
    <s v="BBVA"/>
    <e v="#NAME?"/>
    <s v="SDATOOL-37753 $ Plan de transformación de operaciones 2022"/>
    <n v="0.2"/>
    <s v="Desarrollador"/>
    <s v="Mainframe"/>
    <m/>
    <e v="#NAME?"/>
    <e v="#NAME?"/>
    <e v="#NAME?"/>
    <m/>
    <m/>
    <m/>
    <m/>
    <m/>
  </r>
  <r>
    <s v="C811354"/>
    <x v="632"/>
    <x v="3"/>
    <x v="11"/>
    <s v="BBVA"/>
    <e v="#NAME?"/>
    <s v="SDATOOL-33846 $ SREP Data Quality- BCBS239 - Colombia"/>
    <n v="0.2"/>
    <s v="Desarrollador"/>
    <s v="Mainframe"/>
    <m/>
    <e v="#NAME?"/>
    <e v="#NAME?"/>
    <e v="#NAME?"/>
    <m/>
    <m/>
    <m/>
    <m/>
    <m/>
  </r>
  <r>
    <s v="C811354"/>
    <x v="632"/>
    <x v="3"/>
    <x v="11"/>
    <s v="BBVA"/>
    <e v="#NAME?"/>
    <s v="SDATOOL-40438 $ CIRCULAR 032 del 2021 - REQUERIMIENTO FISCALIA GENERAL DE LA NACION"/>
    <n v="0.2"/>
    <s v="Desarrollador"/>
    <s v="Mainframe"/>
    <m/>
    <e v="#NAME?"/>
    <e v="#NAME?"/>
    <e v="#NAME?"/>
    <m/>
    <m/>
    <m/>
    <m/>
    <m/>
  </r>
  <r>
    <s v="C811354"/>
    <x v="632"/>
    <x v="3"/>
    <x v="11"/>
    <s v="BBVA"/>
    <e v="#NAME?"/>
    <s v="NOSDA $ BAU (Mantenimiento y peq. evolutivos)"/>
    <n v="0.2"/>
    <s v="Desarrollador"/>
    <s v="Mainframe"/>
    <m/>
    <e v="#NAME?"/>
    <e v="#NAME?"/>
    <e v="#NAME?"/>
    <m/>
    <m/>
    <m/>
    <m/>
    <m/>
  </r>
  <r>
    <s v="CE70711"/>
    <x v="633"/>
    <x v="3"/>
    <x v="11"/>
    <s v="Novatec"/>
    <e v="#NAME?"/>
    <s v="NOSDA $ BAU (Mantenimiento y peq. evolutivos)"/>
    <n v="1"/>
    <s v="Desarrollador"/>
    <s v="Mainframe"/>
    <m/>
    <e v="#NAME?"/>
    <e v="#NAME?"/>
    <e v="#NAME?"/>
    <m/>
    <m/>
    <m/>
    <m/>
    <m/>
  </r>
  <r>
    <s v="C811322"/>
    <x v="634"/>
    <x v="3"/>
    <x v="11"/>
    <s v="BBVA"/>
    <e v="#NAME?"/>
    <s v="SDATOOL-36556 $ Parthnerships - Tarjeta de crédito en punto de venta físico aliados"/>
    <n v="1"/>
    <s v="Desarrollador"/>
    <s v="ASO"/>
    <m/>
    <e v="#NAME?"/>
    <e v="#NAME?"/>
    <e v="#NAME?"/>
    <m/>
    <m/>
    <m/>
    <m/>
    <m/>
  </r>
  <r>
    <s v="CE66135"/>
    <x v="635"/>
    <x v="3"/>
    <x v="11"/>
    <s v="Inetum"/>
    <e v="#NAME?"/>
    <s v="SDATOOL-36556 $ Parthnerships - Tarjeta de crédito en punto de venta físico aliados"/>
    <n v="1"/>
    <s v="Desarrollador"/>
    <s v="Mainframe"/>
    <m/>
    <e v="#NAME?"/>
    <e v="#NAME?"/>
    <e v="#NAME?"/>
    <m/>
    <m/>
    <m/>
    <m/>
    <m/>
  </r>
  <r>
    <s v="CE43328"/>
    <x v="636"/>
    <x v="3"/>
    <x v="11"/>
    <s v="Novatec"/>
    <e v="#NAME?"/>
    <s v="NOSDA $ BAU (Mantenimiento y peq. evolutivos)"/>
    <n v="1"/>
    <s v="Desarrollador"/>
    <s v="Mainframe"/>
    <m/>
    <e v="#NAME?"/>
    <e v="#NAME?"/>
    <e v="#NAME?"/>
    <m/>
    <m/>
    <m/>
    <m/>
    <m/>
  </r>
  <r>
    <s v="C808232"/>
    <x v="637"/>
    <x v="3"/>
    <x v="11"/>
    <s v="BBVA"/>
    <e v="#NAME?"/>
    <s v="NOSDA $ BAU (Mantenimiento y peq. evolutivos)"/>
    <n v="0.3"/>
    <s v="Desarrollador"/>
    <s v="Mainframe"/>
    <m/>
    <e v="#NAME?"/>
    <e v="#NAME?"/>
    <e v="#NAME?"/>
    <m/>
    <m/>
    <m/>
    <m/>
    <m/>
  </r>
  <r>
    <s v="C808232"/>
    <x v="637"/>
    <x v="3"/>
    <x v="11"/>
    <s v="BBVA"/>
    <e v="#NAME?"/>
    <s v="SDATOOL-40295 $ Tokenización COF"/>
    <n v="0.7"/>
    <s v="Desarrollador"/>
    <s v="Mainframe"/>
    <m/>
    <e v="#NAME?"/>
    <e v="#NAME?"/>
    <e v="#NAME?"/>
    <m/>
    <m/>
    <m/>
    <m/>
    <m/>
  </r>
  <r>
    <s v="T008491"/>
    <x v="638"/>
    <x v="3"/>
    <x v="11"/>
    <s v="Inetum"/>
    <e v="#NAME?"/>
    <s v="SDATOOL-40295 $ Tokenización COF"/>
    <n v="0.3"/>
    <s v="Otros"/>
    <s v="Mainframe"/>
    <m/>
    <e v="#NAME?"/>
    <e v="#NAME?"/>
    <e v="#NAME?"/>
    <m/>
    <m/>
    <m/>
    <m/>
    <m/>
  </r>
  <r>
    <s v="T008491"/>
    <x v="638"/>
    <x v="3"/>
    <x v="11"/>
    <s v="Inetum"/>
    <e v="#NAME?"/>
    <s v="SDATOOL-40442 $ M4M - Tokenización Mastercard"/>
    <n v="0.3"/>
    <s v="Otros"/>
    <s v="Mainframe"/>
    <m/>
    <e v="#NAME?"/>
    <e v="#NAME?"/>
    <e v="#NAME?"/>
    <m/>
    <m/>
    <m/>
    <m/>
    <m/>
  </r>
  <r>
    <s v="T008491"/>
    <x v="638"/>
    <x v="3"/>
    <x v="11"/>
    <s v="Inetum"/>
    <e v="#NAME?"/>
    <s v="SDATOOL-41709 $ Fraccionamiento de transacciones en CBs"/>
    <n v="0.2"/>
    <s v="Otros"/>
    <s v="Mainframe"/>
    <m/>
    <e v="#NAME?"/>
    <e v="#NAME?"/>
    <e v="#NAME?"/>
    <m/>
    <m/>
    <m/>
    <m/>
    <m/>
  </r>
  <r>
    <s v="T008491"/>
    <x v="638"/>
    <x v="3"/>
    <x v="11"/>
    <s v="Inetum"/>
    <e v="#NAME?"/>
    <s v="SDATOOL-41938 $ GRM Col Reg - Ajuste Calificación Escalera"/>
    <n v="0.2"/>
    <s v="Otros"/>
    <s v="Mainframe"/>
    <m/>
    <e v="#NAME?"/>
    <e v="#NAME?"/>
    <e v="#NAME?"/>
    <m/>
    <m/>
    <m/>
    <m/>
    <m/>
  </r>
  <r>
    <s v="C805863"/>
    <x v="639"/>
    <x v="3"/>
    <x v="11"/>
    <s v="BBVA"/>
    <e v="#NAME?"/>
    <s v="SDATOOL-37061 $ Plan de Lealtad Comecios -Plan Ascenso Autónomos"/>
    <n v="1"/>
    <s v="Desarrollador"/>
    <s v="Mainframe"/>
    <m/>
    <e v="#NAME?"/>
    <e v="#NAME?"/>
    <e v="#NAME?"/>
    <m/>
    <m/>
    <m/>
    <m/>
    <m/>
  </r>
  <r>
    <s v="O000190"/>
    <x v="640"/>
    <x v="3"/>
    <x v="11"/>
    <s v="BBVA"/>
    <e v="#NAME?"/>
    <s v="SDATOOL-39785 $ Segmentación contratos ADN"/>
    <n v="0.5"/>
    <s v="Desarrollador"/>
    <s v="Mainframe"/>
    <m/>
    <e v="#NAME?"/>
    <e v="#NAME?"/>
    <e v="#NAME?"/>
    <m/>
    <m/>
    <m/>
    <m/>
    <m/>
  </r>
  <r>
    <s v="O000190"/>
    <x v="640"/>
    <x v="3"/>
    <x v="11"/>
    <s v="BBVA"/>
    <e v="#NAME?"/>
    <s v="NOSDA $ BAU (Mantenimiento y peq. evolutivos)"/>
    <n v="0.5"/>
    <s v="Desarrollador"/>
    <s v="Mainframe"/>
    <m/>
    <e v="#NAME?"/>
    <e v="#NAME?"/>
    <e v="#NAME?"/>
    <m/>
    <m/>
    <m/>
    <m/>
    <m/>
  </r>
  <r>
    <s v="CE18306"/>
    <x v="641"/>
    <x v="3"/>
    <x v="11"/>
    <s v="Inetum"/>
    <e v="#NAME?"/>
    <s v="SDATOOL-36556 $ Parthnerships - Tarjeta de crédito en punto de venta físico aliados"/>
    <n v="0.1"/>
    <s v="QA"/>
    <s v="Mainframe"/>
    <m/>
    <e v="#NAME?"/>
    <e v="#NAME?"/>
    <e v="#NAME?"/>
    <m/>
    <m/>
    <m/>
    <m/>
    <m/>
  </r>
  <r>
    <s v="CE18306"/>
    <x v="641"/>
    <x v="3"/>
    <x v="11"/>
    <s v="Inetum"/>
    <e v="#NAME?"/>
    <s v="NOSDA $ BAU (Mantenimiento y peq. evolutivos)"/>
    <n v="0.6"/>
    <s v="QA"/>
    <s v="Mainframe"/>
    <m/>
    <e v="#NAME?"/>
    <e v="#NAME?"/>
    <e v="#NAME?"/>
    <m/>
    <m/>
    <m/>
    <m/>
    <m/>
  </r>
  <r>
    <s v="CE18306"/>
    <x v="641"/>
    <x v="3"/>
    <x v="11"/>
    <s v="Inetum"/>
    <e v="#NAME?"/>
    <s v="SDATOOL-40455 $ Comisión porcentaje compras internacionales Mastercard y Visa Fase 2"/>
    <n v="0.2"/>
    <s v="QA"/>
    <s v="Mainframe"/>
    <m/>
    <e v="#NAME?"/>
    <e v="#NAME?"/>
    <e v="#NAME?"/>
    <m/>
    <m/>
    <m/>
    <m/>
    <m/>
  </r>
  <r>
    <s v="CE18306"/>
    <x v="641"/>
    <x v="3"/>
    <x v="11"/>
    <s v="Inetum"/>
    <e v="#NAME?"/>
    <s v="SDATOOL-37057 $ Pagos QR - Entre cuentas Redeban - Plan Ascenso Mercurio"/>
    <n v="0.1"/>
    <s v="QA"/>
    <s v="Mainframe"/>
    <m/>
    <e v="#NAME?"/>
    <e v="#NAME?"/>
    <e v="#NAME?"/>
    <m/>
    <m/>
    <m/>
    <m/>
    <m/>
  </r>
  <r>
    <s v="C805726"/>
    <x v="642"/>
    <x v="3"/>
    <x v="11"/>
    <s v="BBVA"/>
    <e v="#NAME?"/>
    <s v="SDATOOL-38447 $ GRM Col - Condonación y bajas automáticas en Medios de Pago"/>
    <n v="0.6"/>
    <s v="Desarrollador"/>
    <s v="Mainframe"/>
    <m/>
    <e v="#NAME?"/>
    <e v="#NAME?"/>
    <e v="#NAME?"/>
    <m/>
    <m/>
    <m/>
    <m/>
    <m/>
  </r>
  <r>
    <s v="C805726"/>
    <x v="642"/>
    <x v="3"/>
    <x v="11"/>
    <s v="BBVA"/>
    <e v="#NAME?"/>
    <s v="SDATOOL-33846 $ SREP Data Quality- BCBS239 - Colombia"/>
    <n v="0.4"/>
    <s v="Desarrollador"/>
    <s v="Mainframe"/>
    <m/>
    <e v="#NAME?"/>
    <e v="#NAME?"/>
    <e v="#NAME?"/>
    <m/>
    <m/>
    <m/>
    <m/>
    <m/>
  </r>
  <r>
    <s v="C804381"/>
    <x v="643"/>
    <x v="3"/>
    <x v="11"/>
    <s v="BBVA"/>
    <e v="#NAME?"/>
    <s v="SDATOOL-40468 $ Mapa de comercios adquirencia - Fase 2"/>
    <n v="0.25"/>
    <s v="Desarrollador"/>
    <s v="Mainframe"/>
    <m/>
    <e v="#NAME?"/>
    <e v="#NAME?"/>
    <e v="#NAME?"/>
    <m/>
    <m/>
    <m/>
    <m/>
    <m/>
  </r>
  <r>
    <s v="C804381"/>
    <x v="643"/>
    <x v="3"/>
    <x v="11"/>
    <s v="BBVA"/>
    <e v="#NAME?"/>
    <s v="SDATOOL-40414 $ Conciliación adquirencia plus"/>
    <n v="0.25"/>
    <s v="Desarrollador"/>
    <s v="Mainframe"/>
    <m/>
    <e v="#NAME?"/>
    <e v="#NAME?"/>
    <e v="#NAME?"/>
    <m/>
    <m/>
    <m/>
    <m/>
    <m/>
  </r>
  <r>
    <s v="C804381"/>
    <x v="643"/>
    <x v="3"/>
    <x v="11"/>
    <s v="BBVA"/>
    <e v="#NAME?"/>
    <s v="SDATOOL-40469 $ Reversión reintegros parciales Adquirencia - Ajustes de comercio LATAM"/>
    <n v="0.25"/>
    <s v="Desarrollador"/>
    <s v="Mainframe"/>
    <m/>
    <e v="#NAME?"/>
    <e v="#NAME?"/>
    <e v="#NAME?"/>
    <m/>
    <m/>
    <m/>
    <m/>
    <m/>
  </r>
  <r>
    <s v="C804381"/>
    <x v="643"/>
    <x v="3"/>
    <x v="11"/>
    <s v="BBVA"/>
    <e v="#NAME?"/>
    <s v="SDATOOL-40476 $ Conexión Directa con las Franquicias Visa y Mastercard"/>
    <n v="0.25"/>
    <s v="Desarrollador"/>
    <s v="Mainframe"/>
    <m/>
    <e v="#NAME?"/>
    <e v="#NAME?"/>
    <e v="#NAME?"/>
    <m/>
    <m/>
    <m/>
    <m/>
    <m/>
  </r>
  <r>
    <s v="C810789"/>
    <x v="644"/>
    <x v="3"/>
    <x v="11"/>
    <s v="BBVA"/>
    <e v="#NAME?"/>
    <s v="SDATOOL-36556 $ Parthnerships - Tarjeta de crédito en punto de venta físico aliados"/>
    <n v="0.8"/>
    <s v="Desarrollador"/>
    <s v="APX"/>
    <m/>
    <e v="#NAME?"/>
    <e v="#NAME?"/>
    <e v="#NAME?"/>
    <m/>
    <m/>
    <m/>
    <m/>
    <m/>
  </r>
  <r>
    <s v="C810789"/>
    <x v="644"/>
    <x v="3"/>
    <x v="11"/>
    <s v="BBVA"/>
    <e v="#NAME?"/>
    <s v="SDATOOL-39348 $ tarjeta de crédito Open Market Fallback product"/>
    <n v="0.2"/>
    <s v="Desarrollador"/>
    <s v="APX"/>
    <m/>
    <e v="#NAME?"/>
    <e v="#NAME?"/>
    <e v="#NAME?"/>
    <m/>
    <m/>
    <m/>
    <m/>
    <m/>
  </r>
  <r>
    <s v="C679763"/>
    <x v="645"/>
    <x v="3"/>
    <x v="11"/>
    <s v="BBVA"/>
    <e v="#NAME?"/>
    <s v="SDATOOL-37427 $ Adquirencia Premium"/>
    <n v="0.15"/>
    <s v="Tech Manager/Líder"/>
    <s v="Mainframe"/>
    <m/>
    <e v="#NAME?"/>
    <e v="#NAME?"/>
    <e v="#NAME?"/>
    <m/>
    <m/>
    <m/>
    <m/>
    <m/>
  </r>
  <r>
    <s v="C679763"/>
    <x v="645"/>
    <x v="3"/>
    <x v="11"/>
    <s v="BBVA"/>
    <e v="#NAME?"/>
    <s v="NOSDA $ BAU (Mantenimiento y peq. evolutivos)"/>
    <n v="0.1"/>
    <s v="Tech Manager/Líder"/>
    <s v="Mainframe"/>
    <m/>
    <e v="#NAME?"/>
    <e v="#NAME?"/>
    <e v="#NAME?"/>
    <m/>
    <m/>
    <m/>
    <m/>
    <m/>
  </r>
  <r>
    <s v="C679763"/>
    <x v="645"/>
    <x v="3"/>
    <x v="11"/>
    <s v="BBVA"/>
    <e v="#NAME?"/>
    <s v="SDATOOL-40468 $ Mapa de comercios adquirencia - Fase 2"/>
    <n v="0.15"/>
    <s v="Tech Manager/Líder"/>
    <s v="Mainframe"/>
    <m/>
    <e v="#NAME?"/>
    <e v="#NAME?"/>
    <e v="#NAME?"/>
    <m/>
    <m/>
    <m/>
    <m/>
    <m/>
  </r>
  <r>
    <s v="C679763"/>
    <x v="645"/>
    <x v="3"/>
    <x v="11"/>
    <s v="BBVA"/>
    <e v="#NAME?"/>
    <s v="SDATOOL-40414 $ Conciliación adquirencia plus"/>
    <n v="0.15"/>
    <s v="Tech Manager/Líder"/>
    <s v="Mainframe"/>
    <m/>
    <e v="#NAME?"/>
    <e v="#NAME?"/>
    <e v="#NAME?"/>
    <m/>
    <m/>
    <m/>
    <m/>
    <m/>
  </r>
  <r>
    <s v="C679763"/>
    <x v="645"/>
    <x v="3"/>
    <x v="11"/>
    <s v="BBVA"/>
    <e v="#NAME?"/>
    <s v="SDATOOL-40469 $ Reversión reintegros parciales Adquirencia - Ajustes de comercio LATAM"/>
    <n v="0.15"/>
    <s v="Tech Manager/Líder"/>
    <s v="Mainframe"/>
    <m/>
    <e v="#NAME?"/>
    <e v="#NAME?"/>
    <e v="#NAME?"/>
    <m/>
    <m/>
    <m/>
    <m/>
    <m/>
  </r>
  <r>
    <s v="C679763"/>
    <x v="645"/>
    <x v="3"/>
    <x v="11"/>
    <s v="BBVA"/>
    <e v="#NAME?"/>
    <s v="SDATOOL-40476 $ Conexión Directa con las Franquicias Visa y Mastercard"/>
    <n v="0.15"/>
    <s v="Tech Manager/Líder"/>
    <s v="Mainframe"/>
    <m/>
    <e v="#NAME?"/>
    <e v="#NAME?"/>
    <e v="#NAME?"/>
    <m/>
    <m/>
    <m/>
    <m/>
    <m/>
  </r>
  <r>
    <s v="C679763"/>
    <x v="645"/>
    <x v="3"/>
    <x v="11"/>
    <s v="BBVA"/>
    <e v="#NAME?"/>
    <s v="SDATOOL-39354 $ My business Open Pay - Plan Ascenso Mercurio"/>
    <n v="0.15"/>
    <s v="Tech Manager/Líder"/>
    <s v="Mainframe"/>
    <m/>
    <e v="#NAME?"/>
    <e v="#NAME?"/>
    <e v="#NAME?"/>
    <m/>
    <m/>
    <m/>
    <m/>
    <m/>
  </r>
  <r>
    <s v="C805989"/>
    <x v="646"/>
    <x v="3"/>
    <x v="11"/>
    <s v="BBVA"/>
    <e v="#NAME?"/>
    <s v="SDATOOL-40455 $ Comisión porcentaje compras internacionales Mastercard y Visa Fase 2"/>
    <n v="0.4"/>
    <s v="Otros"/>
    <s v="Mainframe"/>
    <m/>
    <e v="#NAME?"/>
    <e v="#NAME?"/>
    <e v="#NAME?"/>
    <m/>
    <m/>
    <m/>
    <m/>
    <m/>
  </r>
  <r>
    <s v="C805989"/>
    <x v="646"/>
    <x v="3"/>
    <x v="11"/>
    <s v="BBVA"/>
    <e v="#NAME?"/>
    <s v="SDATOOL-40384 $ Cobrar intereses corrientes entre la transacción y la pre-cancelación"/>
    <n v="0.3"/>
    <s v="Otros"/>
    <s v="Mainframe"/>
    <m/>
    <e v="#NAME?"/>
    <e v="#NAME?"/>
    <e v="#NAME?"/>
    <m/>
    <m/>
    <m/>
    <m/>
    <m/>
  </r>
  <r>
    <s v="C805989"/>
    <x v="646"/>
    <x v="3"/>
    <x v="11"/>
    <s v="BBVA"/>
    <e v="#NAME?"/>
    <s v="NOSDA $ BAU (Mantenimiento y peq. evolutivos)"/>
    <n v="0.3"/>
    <s v="Otros"/>
    <s v="Mainframe"/>
    <m/>
    <e v="#NAME?"/>
    <e v="#NAME?"/>
    <e v="#NAME?"/>
    <m/>
    <m/>
    <m/>
    <m/>
    <m/>
  </r>
  <r>
    <s v="C805958"/>
    <x v="647"/>
    <x v="3"/>
    <x v="11"/>
    <s v="BBVA"/>
    <e v="#NAME?"/>
    <s v="SDATOOL-37057 $ Pagos QR - Entre cuentas Redeban - Plan Ascenso Mercurio"/>
    <n v="1"/>
    <s v="Desarrollador"/>
    <s v="APX"/>
    <m/>
    <e v="#NAME?"/>
    <e v="#NAME?"/>
    <e v="#NAME?"/>
    <m/>
    <m/>
    <m/>
    <m/>
    <m/>
  </r>
  <r>
    <s v="C342042"/>
    <x v="648"/>
    <x v="3"/>
    <x v="11"/>
    <s v="BBVA"/>
    <e v="#NAME?"/>
    <s v="SDATOOL-41757 $ AJUSTE AUTOMATIZACION CONCILIACION ARA"/>
    <n v="0.15"/>
    <s v="Tech Manager/Líder"/>
    <s v="Mainframe"/>
    <m/>
    <e v="#NAME?"/>
    <e v="#NAME?"/>
    <e v="#NAME?"/>
    <m/>
    <m/>
    <m/>
    <m/>
    <m/>
  </r>
  <r>
    <s v="C342042"/>
    <x v="648"/>
    <x v="3"/>
    <x v="11"/>
    <s v="BBVA"/>
    <e v="#NAME?"/>
    <s v="SDATOOL-40295 $ Tokenización COF"/>
    <n v="0.2"/>
    <s v="Tech Manager/Líder"/>
    <s v="Mainframe"/>
    <m/>
    <e v="#NAME?"/>
    <e v="#NAME?"/>
    <e v="#NAME?"/>
    <m/>
    <m/>
    <m/>
    <m/>
    <m/>
  </r>
  <r>
    <s v="C342042"/>
    <x v="648"/>
    <x v="3"/>
    <x v="11"/>
    <s v="BBVA"/>
    <e v="#NAME?"/>
    <s v="SDATOOL-40442 $ M4M - Tokenización Mastercard"/>
    <n v="0.25"/>
    <s v="Tech Manager/Líder"/>
    <s v="Mainframe"/>
    <m/>
    <e v="#NAME?"/>
    <e v="#NAME?"/>
    <e v="#NAME?"/>
    <m/>
    <m/>
    <m/>
    <m/>
    <m/>
  </r>
  <r>
    <s v="C342042"/>
    <x v="648"/>
    <x v="3"/>
    <x v="11"/>
    <s v="BBVA"/>
    <e v="#NAME?"/>
    <s v="SDATOOL-41726 $ EXTRACUPO TARJETA DE CREDITO"/>
    <n v="0.15"/>
    <s v="Tech Manager/Líder"/>
    <s v="Mainframe"/>
    <m/>
    <e v="#NAME?"/>
    <e v="#NAME?"/>
    <e v="#NAME?"/>
    <m/>
    <m/>
    <m/>
    <m/>
    <m/>
  </r>
  <r>
    <s v="C342042"/>
    <x v="648"/>
    <x v="3"/>
    <x v="11"/>
    <s v="BBVA"/>
    <e v="#NAME?"/>
    <s v="SDATOOL-41709 $ Fraccionamiento de transacciones en CBs"/>
    <n v="0.05"/>
    <s v="Tech Manager/Líder"/>
    <s v="Mainframe"/>
    <m/>
    <e v="#NAME?"/>
    <e v="#NAME?"/>
    <e v="#NAME?"/>
    <m/>
    <m/>
    <m/>
    <m/>
    <m/>
  </r>
  <r>
    <s v="C342042"/>
    <x v="648"/>
    <x v="3"/>
    <x v="11"/>
    <s v="BBVA"/>
    <e v="#NAME?"/>
    <s v="SDATOOL-40613 $ Códigos MAC"/>
    <n v="0.1"/>
    <s v="Tech Manager/Líder"/>
    <s v="Mainframe"/>
    <m/>
    <e v="#NAME?"/>
    <e v="#NAME?"/>
    <e v="#NAME?"/>
    <m/>
    <m/>
    <m/>
    <m/>
    <m/>
  </r>
  <r>
    <s v="C342042"/>
    <x v="648"/>
    <x v="3"/>
    <x v="11"/>
    <s v="BBVA"/>
    <e v="#NAME?"/>
    <s v="NOSDA $ BAU (Mantenimiento y peq. evolutivos)"/>
    <n v="0.1"/>
    <s v="Tech Manager/Líder"/>
    <s v="Mainframe"/>
    <m/>
    <e v="#NAME?"/>
    <e v="#NAME?"/>
    <e v="#NAME?"/>
    <m/>
    <m/>
    <m/>
    <m/>
    <m/>
  </r>
  <r>
    <s v="C810792"/>
    <x v="649"/>
    <x v="3"/>
    <x v="11"/>
    <s v="BBVA"/>
    <e v="#NAME?"/>
    <s v="SDATOOL-39785 $ Segmentación contratos ADN"/>
    <n v="0.5"/>
    <s v="Desarrollador"/>
    <s v="Mainframe"/>
    <m/>
    <e v="#NAME?"/>
    <e v="#NAME?"/>
    <e v="#NAME?"/>
    <m/>
    <m/>
    <m/>
    <m/>
    <m/>
  </r>
  <r>
    <s v="C810792"/>
    <x v="649"/>
    <x v="3"/>
    <x v="11"/>
    <s v="BBVA"/>
    <e v="#NAME?"/>
    <s v="NOSDA $ BAU (Mantenimiento y peq. evolutivos)"/>
    <n v="0.5"/>
    <s v="Desarrollador"/>
    <s v="Mainframe"/>
    <m/>
    <e v="#NAME?"/>
    <e v="#NAME?"/>
    <e v="#NAME?"/>
    <m/>
    <m/>
    <m/>
    <m/>
    <m/>
  </r>
  <r>
    <s v="O000103"/>
    <x v="650"/>
    <x v="3"/>
    <x v="11"/>
    <s v="BBVA"/>
    <e v="#NAME?"/>
    <s v="SDATOOL-40455 $ Comisión porcentaje compras internacionales Mastercard y Visa Fase 2"/>
    <n v="0.1"/>
    <s v="Desarrollador"/>
    <s v="Mainframe"/>
    <m/>
    <e v="#NAME?"/>
    <e v="#NAME?"/>
    <e v="#NAME?"/>
    <m/>
    <m/>
    <m/>
    <m/>
    <m/>
  </r>
  <r>
    <s v="O000103"/>
    <x v="650"/>
    <x v="3"/>
    <x v="11"/>
    <s v="BBVA"/>
    <e v="#NAME?"/>
    <s v="NOSDA $ BAU (Mantenimiento y peq. evolutivos)"/>
    <n v="0.3"/>
    <s v="Desarrollador"/>
    <s v="Mainframe"/>
    <m/>
    <e v="#NAME?"/>
    <e v="#NAME?"/>
    <e v="#NAME?"/>
    <m/>
    <m/>
    <m/>
    <m/>
    <m/>
  </r>
  <r>
    <s v="O000103"/>
    <x v="650"/>
    <x v="3"/>
    <x v="11"/>
    <s v="BBVA"/>
    <e v="#NAME?"/>
    <s v="SDATOOL-40384 $ Cobrar intereses corrientes entre la transacción y la pre-cancelación"/>
    <n v="0.3"/>
    <s v="Desarrollador"/>
    <s v="Mainframe"/>
    <m/>
    <e v="#NAME?"/>
    <e v="#NAME?"/>
    <e v="#NAME?"/>
    <m/>
    <m/>
    <m/>
    <m/>
    <m/>
  </r>
  <r>
    <s v="O000103"/>
    <x v="650"/>
    <x v="3"/>
    <x v="11"/>
    <s v="BBVA"/>
    <e v="#NAME?"/>
    <s v="SDATOOL-37753 $ Plan de transformación de operaciones 2022"/>
    <n v="0.3"/>
    <s v="Desarrollador"/>
    <s v="Mainframe"/>
    <m/>
    <e v="#NAME?"/>
    <e v="#NAME?"/>
    <e v="#NAME?"/>
    <m/>
    <m/>
    <m/>
    <m/>
    <m/>
  </r>
  <r>
    <s v="C808282"/>
    <x v="651"/>
    <x v="3"/>
    <x v="11"/>
    <s v="BBVA"/>
    <e v="#NAME?"/>
    <s v="NOSDA $ BAU (Mantenimiento y peq. evolutivos)"/>
    <n v="0.2"/>
    <s v="Desarrollador"/>
    <s v="Mainframe"/>
    <m/>
    <e v="#NAME?"/>
    <e v="#NAME?"/>
    <e v="#NAME?"/>
    <m/>
    <m/>
    <m/>
    <m/>
    <m/>
  </r>
  <r>
    <s v="C808282"/>
    <x v="651"/>
    <x v="3"/>
    <x v="11"/>
    <s v="BBVA"/>
    <e v="#NAME?"/>
    <s v="SDATOOL-40442 $ M4M - Tokenización Mastercard"/>
    <n v="0.8"/>
    <s v="Desarrollador"/>
    <s v="Mainframe"/>
    <m/>
    <e v="#NAME?"/>
    <e v="#NAME?"/>
    <e v="#NAME?"/>
    <m/>
    <m/>
    <m/>
    <m/>
    <m/>
  </r>
  <r>
    <s v="C343509"/>
    <x v="652"/>
    <x v="3"/>
    <x v="11"/>
    <s v="BBVA"/>
    <e v="#NAME?"/>
    <s v="SDATOOL-40384 $ Cobrar intereses corrientes entre la transacción y la pre-cancelación"/>
    <n v="0.6"/>
    <s v="Desarrollador"/>
    <s v="Mainframe"/>
    <m/>
    <e v="#NAME?"/>
    <e v="#NAME?"/>
    <e v="#NAME?"/>
    <m/>
    <m/>
    <m/>
    <m/>
    <m/>
  </r>
  <r>
    <s v="C343509"/>
    <x v="652"/>
    <x v="3"/>
    <x v="11"/>
    <s v="BBVA"/>
    <e v="#NAME?"/>
    <s v="NOSDA $ BAU (Mantenimiento y peq. evolutivos)"/>
    <n v="0.4"/>
    <s v="Desarrollador"/>
    <s v="Mainframe"/>
    <m/>
    <e v="#NAME?"/>
    <e v="#NAME?"/>
    <e v="#NAME?"/>
    <m/>
    <m/>
    <m/>
    <m/>
    <m/>
  </r>
  <r>
    <s v="C811175"/>
    <x v="608"/>
    <x v="3"/>
    <x v="11"/>
    <s v="BBVA"/>
    <e v="#NAME?"/>
    <s v="SDATOOL-41938 $ GRM Col Reg - Ajuste Calificación Escalera"/>
    <n v="0.6"/>
    <s v="Desarrollador"/>
    <s v="Mainframe"/>
    <m/>
    <e v="#NAME?"/>
    <e v="#NAME?"/>
    <e v="#NAME?"/>
    <m/>
    <m/>
    <m/>
    <m/>
    <m/>
  </r>
  <r>
    <s v="C803916"/>
    <x v="653"/>
    <x v="5"/>
    <x v="21"/>
    <s v="BBVA"/>
    <e v="#NAME?"/>
    <s v="NOSDA $ BAU (Mantenimiento y peq. evolutivos)"/>
    <n v="0.25"/>
    <s v="Tech Manager/Líder"/>
    <s v="Distribuido"/>
    <m/>
    <e v="#NAME?"/>
    <e v="#NAME?"/>
    <e v="#NAME?"/>
    <m/>
    <m/>
    <m/>
    <m/>
    <m/>
  </r>
  <r>
    <s v="C803916"/>
    <x v="653"/>
    <x v="5"/>
    <x v="21"/>
    <s v="BBVA"/>
    <e v="#NAME?"/>
    <s v="SDATOOL-38489 $ Horizon BTGR - Colombia"/>
    <n v="0.75"/>
    <s v="Tech Manager/Líder"/>
    <s v="Distribuido"/>
    <m/>
    <e v="#NAME?"/>
    <e v="#NAME?"/>
    <e v="#NAME?"/>
    <m/>
    <m/>
    <m/>
    <m/>
    <m/>
  </r>
  <r>
    <s v="C811189"/>
    <x v="654"/>
    <x v="5"/>
    <x v="21"/>
    <s v="BBVA"/>
    <e v="#NAME?"/>
    <s v="NOSDA $ BAU (Mantenimiento y peq. evolutivos)"/>
    <n v="0.25"/>
    <s v="Desarrollador"/>
    <s v="ASO"/>
    <m/>
    <e v="#NAME?"/>
    <e v="#NAME?"/>
    <e v="#NAME?"/>
    <m/>
    <m/>
    <m/>
    <m/>
    <m/>
  </r>
  <r>
    <s v="C811189"/>
    <x v="654"/>
    <x v="5"/>
    <x v="21"/>
    <s v="BBVA"/>
    <e v="#NAME?"/>
    <s v="SDATOOL-38489 $ Horizon BTGR - Colombia"/>
    <n v="0.75"/>
    <s v="Desarrollador"/>
    <s v="ASO"/>
    <m/>
    <e v="#NAME?"/>
    <e v="#NAME?"/>
    <e v="#NAME?"/>
    <m/>
    <m/>
    <m/>
    <m/>
    <m/>
  </r>
  <r>
    <s v="C342045"/>
    <x v="655"/>
    <x v="5"/>
    <x v="21"/>
    <s v="BBVA"/>
    <e v="#NAME?"/>
    <s v="SDATOOL-38489 $ Horizon BTGR - Colombia"/>
    <n v="0.75"/>
    <s v="Desarrollador"/>
    <s v="Mainframe"/>
    <m/>
    <e v="#NAME?"/>
    <e v="#NAME?"/>
    <e v="#NAME?"/>
    <m/>
    <m/>
    <m/>
    <m/>
    <m/>
  </r>
  <r>
    <s v="C342045"/>
    <x v="655"/>
    <x v="5"/>
    <x v="21"/>
    <s v="BBVA"/>
    <e v="#NAME?"/>
    <s v="SDATOOL-9053 $ GloMo Colombia"/>
    <n v="0.25"/>
    <s v="Desarrollador"/>
    <s v="Mainframe"/>
    <m/>
    <e v="#NAME?"/>
    <e v="#NAME?"/>
    <e v="#NAME?"/>
    <m/>
    <m/>
    <m/>
    <m/>
    <m/>
  </r>
  <r>
    <s v="C809565"/>
    <x v="656"/>
    <x v="5"/>
    <x v="21"/>
    <s v="BBVA"/>
    <e v="#NAME?"/>
    <s v="NOSDA $ BAU (Mantenimiento y peq. evolutivos)"/>
    <n v="1"/>
    <s v="Desarrollador"/>
    <s v="Mainframe"/>
    <m/>
    <e v="#NAME?"/>
    <e v="#NAME?"/>
    <e v="#NAME?"/>
    <m/>
    <m/>
    <m/>
    <m/>
    <m/>
  </r>
  <r>
    <s v="C810952"/>
    <x v="657"/>
    <x v="5"/>
    <x v="21"/>
    <s v="BBVA"/>
    <e v="#NAME?"/>
    <s v="NOSDA $ BAU (Mantenimiento y peq. evolutivos)"/>
    <n v="1"/>
    <s v="Desarrollador"/>
    <s v="ASO"/>
    <m/>
    <e v="#NAME?"/>
    <e v="#NAME?"/>
    <e v="#NAME?"/>
    <m/>
    <m/>
    <m/>
    <m/>
    <m/>
  </r>
  <r>
    <s v="C805933"/>
    <x v="658"/>
    <x v="5"/>
    <x v="21"/>
    <s v="BBVA"/>
    <e v="#NAME?"/>
    <s v="NOSDA $ BAU (Mantenimiento y peq. evolutivos)"/>
    <n v="1"/>
    <s v="Desarrollador"/>
    <s v="Distribuido"/>
    <m/>
    <e v="#NAME?"/>
    <e v="#NAME?"/>
    <e v="#NAME?"/>
    <m/>
    <m/>
    <m/>
    <m/>
    <m/>
  </r>
  <r>
    <s v="C804547"/>
    <x v="659"/>
    <x v="5"/>
    <x v="21"/>
    <s v="BBVA"/>
    <e v="#NAME?"/>
    <s v="SDATOOL-38489 $ Horizon BTGR - Colombia"/>
    <n v="0.5"/>
    <s v="Tech Manager/Líder"/>
    <s v="ASO"/>
    <m/>
    <e v="#NAME?"/>
    <e v="#NAME?"/>
    <e v="#NAME?"/>
    <m/>
    <m/>
    <m/>
    <m/>
    <m/>
  </r>
  <r>
    <s v="C804547"/>
    <x v="659"/>
    <x v="5"/>
    <x v="21"/>
    <s v="BBVA"/>
    <e v="#NAME?"/>
    <s v="SDATOOL-9053 $ GloMo Colombia"/>
    <n v="0.5"/>
    <s v="Tech Manager/Líder"/>
    <s v="ASO"/>
    <m/>
    <e v="#NAME?"/>
    <e v="#NAME?"/>
    <e v="#NAME?"/>
    <m/>
    <m/>
    <m/>
    <m/>
    <m/>
  </r>
  <r>
    <s v="C802282"/>
    <x v="660"/>
    <x v="5"/>
    <x v="21"/>
    <s v="BBVA"/>
    <e v="#NAME?"/>
    <s v="SDATOOL-9053 $ GloMo Colombia"/>
    <n v="1"/>
    <s v="Desarrollador"/>
    <s v="Distribuido"/>
    <m/>
    <e v="#NAME?"/>
    <e v="#NAME?"/>
    <e v="#NAME?"/>
    <m/>
    <m/>
    <m/>
    <m/>
    <m/>
  </r>
  <r>
    <s v="C343114"/>
    <x v="661"/>
    <x v="5"/>
    <x v="21"/>
    <s v="BBVA"/>
    <e v="#NAME?"/>
    <s v="SDATOOL-9053 $ GloMo Colombia"/>
    <n v="1"/>
    <s v="Desarrollador"/>
    <s v="Distribuido"/>
    <m/>
    <e v="#NAME?"/>
    <e v="#NAME?"/>
    <e v="#NAME?"/>
    <m/>
    <m/>
    <m/>
    <m/>
    <m/>
  </r>
  <r>
    <s v="O002666"/>
    <x v="662"/>
    <x v="5"/>
    <x v="21"/>
    <s v="BBVA"/>
    <e v="#NAME?"/>
    <s v="SDATOOL-38489 $ Horizon BTGR - Colombia"/>
    <n v="1"/>
    <s v="Desarrollador"/>
    <s v="ASO"/>
    <m/>
    <e v="#NAME?"/>
    <e v="#NAME?"/>
    <e v="#NAME?"/>
    <m/>
    <m/>
    <m/>
    <m/>
    <m/>
  </r>
  <r>
    <s v="C811379"/>
    <x v="663"/>
    <x v="5"/>
    <x v="21"/>
    <s v="BBVA"/>
    <e v="#NAME?"/>
    <s v="SDATOOL-38489 $ Horizon BTGR - Colombia"/>
    <n v="0.25"/>
    <s v="Desarrollador"/>
    <s v="Distribuido"/>
    <m/>
    <e v="#NAME?"/>
    <e v="#NAME?"/>
    <e v="#NAME?"/>
    <m/>
    <m/>
    <m/>
    <m/>
    <m/>
  </r>
  <r>
    <s v="C811379"/>
    <x v="663"/>
    <x v="5"/>
    <x v="21"/>
    <s v="BBVA"/>
    <e v="#NAME?"/>
    <s v="SDATOOL-9053 $ GloMo Colombia"/>
    <n v="0.75"/>
    <s v="Desarrollador"/>
    <s v="Distribuido"/>
    <m/>
    <e v="#NAME?"/>
    <e v="#NAME?"/>
    <e v="#NAME?"/>
    <m/>
    <m/>
    <m/>
    <m/>
    <m/>
  </r>
  <r>
    <s v="C804782"/>
    <x v="664"/>
    <x v="5"/>
    <x v="21"/>
    <s v="BBVA"/>
    <e v="#NAME?"/>
    <s v="SDATOOL-38489 $ Horizon BTGR - Colombia"/>
    <n v="1"/>
    <s v="Tech Manager/Líder"/>
    <s v="ASO"/>
    <m/>
    <e v="#NAME?"/>
    <e v="#NAME?"/>
    <e v="#NAME?"/>
    <m/>
    <m/>
    <m/>
    <m/>
    <m/>
  </r>
  <r>
    <s v="C811198"/>
    <x v="665"/>
    <x v="5"/>
    <x v="21"/>
    <s v="BBVA"/>
    <e v="#NAME?"/>
    <s v="SDATOOL-9053 $ GloMo Colombia"/>
    <n v="1"/>
    <s v="Desarrollador"/>
    <s v="APX"/>
    <m/>
    <e v="#NAME?"/>
    <e v="#NAME?"/>
    <e v="#NAME?"/>
    <m/>
    <m/>
    <m/>
    <m/>
    <m/>
  </r>
  <r>
    <s v="C805724"/>
    <x v="666"/>
    <x v="5"/>
    <x v="21"/>
    <s v="BBVA"/>
    <e v="#NAME?"/>
    <s v="SDATOOL-9053 $ GloMo Colombia"/>
    <n v="1"/>
    <s v="Otros"/>
    <s v="Distribuido"/>
    <m/>
    <e v="#NAME?"/>
    <e v="#NAME?"/>
    <e v="#NAME?"/>
    <m/>
    <m/>
    <m/>
    <m/>
    <m/>
  </r>
  <r>
    <s v="C810833"/>
    <x v="667"/>
    <x v="5"/>
    <x v="21"/>
    <s v="BBVA"/>
    <e v="#NAME?"/>
    <s v="SDATOOL-9053 $ GloMo Colombia"/>
    <n v="1"/>
    <s v="Otros"/>
    <s v="Distribuido"/>
    <m/>
    <e v="#NAME?"/>
    <e v="#NAME?"/>
    <e v="#NAME?"/>
    <m/>
    <m/>
    <m/>
    <m/>
    <m/>
  </r>
  <r>
    <s v="O003002"/>
    <x v="668"/>
    <x v="5"/>
    <x v="21"/>
    <s v="BBVA"/>
    <e v="#NAME?"/>
    <s v="SDATOOL-38489 $ Horizon BTGR - Colombia"/>
    <n v="1"/>
    <s v="Desarrollador"/>
    <s v="Distribuido"/>
    <m/>
    <e v="#NAME?"/>
    <e v="#NAME?"/>
    <e v="#NAME?"/>
    <m/>
    <m/>
    <m/>
    <m/>
    <m/>
  </r>
  <r>
    <s v="CI35375"/>
    <x v="499"/>
    <x v="1"/>
    <x v="18"/>
    <s v="BBVA Fiduciaria"/>
    <e v="#NAME?"/>
    <s v="SDATOOL-40548 $ Fiduciaria - Obsolecencia aplicativa, infraestructura e Insider aplicativo FIDUSAP"/>
    <n v="0.18"/>
    <s v="Tech Manager/Líder"/>
    <s v="Distribuido"/>
    <s v="Interno"/>
    <e v="#NAME?"/>
    <e v="#NAME?"/>
    <e v="#NAME?"/>
    <m/>
    <m/>
    <m/>
    <m/>
    <m/>
  </r>
  <r>
    <s v="CI35375"/>
    <x v="499"/>
    <x v="1"/>
    <x v="18"/>
    <s v="BBVA Fiduciaria"/>
    <e v="#NAME?"/>
    <s v="SDATOOL-40812 $ Fiduciaria - Cambio de operador tecnologico para los documentos electronicos en la sociedad"/>
    <n v="0.16"/>
    <s v="Tech Manager/Líder"/>
    <s v="Distribuido"/>
    <s v="Interno"/>
    <e v="#NAME?"/>
    <e v="#NAME?"/>
    <e v="#NAME?"/>
    <m/>
    <m/>
    <m/>
    <m/>
    <m/>
  </r>
  <r>
    <s v="CI35128"/>
    <x v="669"/>
    <x v="1"/>
    <x v="18"/>
    <s v="BBVA Fiduciaria"/>
    <e v="#NAME?"/>
    <s v="SDATOOL-39282 $ Fiduciaria - Alta y domiciliación Fondos de inversión jurídicos en Gema"/>
    <n v="0.25"/>
    <s v="Tech Manager/Líder"/>
    <m/>
    <s v="Interno"/>
    <e v="#NAME?"/>
    <e v="#NAME?"/>
    <e v="#NAME?"/>
    <m/>
    <m/>
    <m/>
    <m/>
    <m/>
  </r>
  <r>
    <s v="CI08666"/>
    <x v="670"/>
    <x v="1"/>
    <x v="18"/>
    <s v="BBVA Fiduciaria"/>
    <e v="#NAME?"/>
    <s v="SDATOOL-39282 $ Fiduciaria - Alta y domiciliación Fondos de inversión jurídicos en Gema"/>
    <n v="0.3"/>
    <s v="Tech Manager/Líder"/>
    <m/>
    <s v="Interno"/>
    <e v="#NAME?"/>
    <e v="#NAME?"/>
    <e v="#NAME?"/>
    <m/>
    <m/>
    <m/>
    <m/>
    <m/>
  </r>
  <r>
    <s v="CI35442"/>
    <x v="671"/>
    <x v="1"/>
    <x v="18"/>
    <s v="BBVA Fiduciaria"/>
    <e v="#NAME?"/>
    <s v="SDATOOL-39282 $ Fiduciaria - Alta y domiciliación Fondos de inversión jurídicos en Gema"/>
    <n v="0.3"/>
    <s v="Desarrollador"/>
    <m/>
    <s v="Interno"/>
    <e v="#NAME?"/>
    <e v="#NAME?"/>
    <e v="#NAME?"/>
    <m/>
    <m/>
    <m/>
    <m/>
    <m/>
  </r>
  <r>
    <s v="O000087"/>
    <x v="672"/>
    <x v="1"/>
    <x v="18"/>
    <s v="BBVA Fiduciaria"/>
    <e v="#NAME?"/>
    <s v="SDATOOL-39555 $ Fiduciaria - Vinculación digital de clientes a través de productos inmobiliarios"/>
    <n v="0.5"/>
    <s v="Tech Manager/Líder"/>
    <m/>
    <s v="Interno"/>
    <e v="#NAME?"/>
    <e v="#NAME?"/>
    <e v="#NAME?"/>
    <m/>
    <m/>
    <m/>
    <m/>
    <m/>
  </r>
  <r>
    <s v="O000087"/>
    <x v="672"/>
    <x v="1"/>
    <x v="18"/>
    <s v="BBVA Fiduciaria"/>
    <e v="#NAME?"/>
    <s v="SDATOOL-39572 $ Fiduciaria - Autogestión documental en la vinculación productos inmobiliarios"/>
    <n v="0.5"/>
    <s v="Tech Manager/Líder"/>
    <m/>
    <s v="Interno"/>
    <e v="#NAME?"/>
    <e v="#NAME?"/>
    <e v="#NAME?"/>
    <m/>
    <m/>
    <m/>
    <m/>
    <m/>
  </r>
  <r>
    <s v="O000150"/>
    <x v="673"/>
    <x v="1"/>
    <x v="18"/>
    <s v="BBVA Fiduciaria"/>
    <e v="#NAME?"/>
    <s v="SDATOOL-40813 $ Fiduciaria - Autogestion Usuarios - AI Pagos End to End"/>
    <n v="0.4"/>
    <s v="Tech Manager/Líder"/>
    <m/>
    <s v="Interno"/>
    <e v="#NAME?"/>
    <e v="#NAME?"/>
    <e v="#NAME?"/>
    <m/>
    <m/>
    <m/>
    <m/>
    <m/>
  </r>
  <r>
    <s v="O000150"/>
    <x v="673"/>
    <x v="1"/>
    <x v="18"/>
    <s v="BBVA Fiduciaria"/>
    <e v="#NAME?"/>
    <s v="SDATOOL-40639 $ Fiduciaria -Obsolecencia Migración Softoken FIDUSAP R2 a NextGen"/>
    <n v="0.4"/>
    <s v="Tech Manager/Líder"/>
    <m/>
    <s v="Interno"/>
    <e v="#NAME?"/>
    <e v="#NAME?"/>
    <e v="#NAME?"/>
    <m/>
    <m/>
    <m/>
    <m/>
    <m/>
  </r>
  <r>
    <s v="CI35128"/>
    <x v="669"/>
    <x v="1"/>
    <x v="18"/>
    <s v="BBVA Fiduciaria"/>
    <e v="#NAME?"/>
    <s v="SDATOOL-40552 $ Fiduciaria - PSE Procesamiento y confirmación de pagos en línea"/>
    <n v="0.25"/>
    <s v="Tech Manager/Líder"/>
    <m/>
    <s v="Interno"/>
    <e v="#NAME?"/>
    <e v="#NAME?"/>
    <e v="#NAME?"/>
    <m/>
    <m/>
    <m/>
    <m/>
    <m/>
  </r>
  <r>
    <s v="CI08666"/>
    <x v="670"/>
    <x v="1"/>
    <x v="18"/>
    <s v="BBVA Fiduciaria"/>
    <e v="#NAME?"/>
    <s v="SDATOOL-40552 $ Fiduciaria - PSE Procesamiento y confirmación de pagos en línea"/>
    <n v="0.3"/>
    <s v="Tech Manager/Líder"/>
    <m/>
    <s v="Interno"/>
    <e v="#NAME?"/>
    <e v="#NAME?"/>
    <e v="#NAME?"/>
    <m/>
    <m/>
    <m/>
    <m/>
    <m/>
  </r>
  <r>
    <s v="CI35442"/>
    <x v="671"/>
    <x v="1"/>
    <x v="18"/>
    <s v="BBVA Fiduciaria"/>
    <e v="#NAME?"/>
    <s v="SDATOOL-40552 $ Fiduciaria - PSE Procesamiento y confirmación de pagos en línea"/>
    <n v="0.3"/>
    <s v="Desarrollador"/>
    <m/>
    <s v="Interno"/>
    <e v="#NAME?"/>
    <e v="#NAME?"/>
    <e v="#NAME?"/>
    <m/>
    <m/>
    <m/>
    <m/>
    <m/>
  </r>
  <r>
    <s v="CI35100"/>
    <x v="674"/>
    <x v="1"/>
    <x v="18"/>
    <s v="BBVA Fiduciaria"/>
    <e v="#NAME?"/>
    <s v="SDATOOL-40012 $ Fiduciaria - Obsolecencia aplicativa para los módulos de rendición de cuentas, Telefónica Factoring y EEFF"/>
    <n v="0.5"/>
    <s v="Tech Manager/Líder"/>
    <m/>
    <s v="Interno"/>
    <e v="#NAME?"/>
    <e v="#NAME?"/>
    <e v="#NAME?"/>
    <m/>
    <m/>
    <m/>
    <m/>
    <m/>
  </r>
  <r>
    <s v="CE68033"/>
    <x v="675"/>
    <x v="1"/>
    <x v="18"/>
    <s v="BBVA Fiduciaria"/>
    <e v="#NAME?"/>
    <s v="NOSDA $ BAU (Mantenimiento y peq. evolutivos)"/>
    <n v="1"/>
    <s v="QA"/>
    <s v="Distribuido"/>
    <s v="Externo"/>
    <e v="#NAME?"/>
    <e v="#NAME?"/>
    <e v="#NAME?"/>
    <m/>
    <m/>
    <m/>
    <m/>
    <m/>
  </r>
  <r>
    <s v="CE58491"/>
    <x v="676"/>
    <x v="1"/>
    <x v="18"/>
    <s v="BBVA Fiduciaria"/>
    <e v="#NAME?"/>
    <s v="SDATOOL-40548 $ Fiduciaria - Obsolecencia aplicativa, infraestructura e Insider aplicativo FIDUSAP"/>
    <n v="1"/>
    <s v="QA"/>
    <s v="Distribuido"/>
    <s v="Externo"/>
    <e v="#NAME?"/>
    <e v="#NAME?"/>
    <e v="#NAME?"/>
    <m/>
    <m/>
    <m/>
    <m/>
    <m/>
  </r>
  <r>
    <s v="CE68487"/>
    <x v="677"/>
    <x v="1"/>
    <x v="18"/>
    <s v="BBVA Fiduciaria"/>
    <e v="#NAME?"/>
    <s v="SDATOOL-40548 $ Fiduciaria - Obsolecencia aplicativa, infraestructura e Insider aplicativo FIDUSAP"/>
    <n v="1"/>
    <s v="QA"/>
    <s v="Distribuido"/>
    <s v="Externo"/>
    <e v="#NAME?"/>
    <e v="#NAME?"/>
    <e v="#NAME?"/>
    <m/>
    <m/>
    <m/>
    <m/>
    <m/>
  </r>
  <r>
    <s v="CE57320"/>
    <x v="678"/>
    <x v="1"/>
    <x v="18"/>
    <s v="BBVA Fiduciaria"/>
    <e v="#NAME?"/>
    <s v="SDATOOL-40548 $ Fiduciaria - Obsolecencia aplicativa, infraestructura e Insider aplicativo FIDUSAP"/>
    <n v="1"/>
    <s v="QA"/>
    <s v="Distribuido"/>
    <s v="Externo"/>
    <e v="#NAME?"/>
    <e v="#NAME?"/>
    <e v="#NAME?"/>
    <m/>
    <m/>
    <m/>
    <m/>
    <m/>
  </r>
  <r>
    <s v="CIXXXXXX"/>
    <x v="679"/>
    <x v="1"/>
    <x v="18"/>
    <s v="SII"/>
    <e v="#NAME?"/>
    <s v="SDATOOL-39282 $ Fiduciaria - Alta y domiciliación Fondos de inversión jurídicos en Gema"/>
    <n v="0.5"/>
    <s v="Desarrollador"/>
    <s v="ASO"/>
    <s v="Externo"/>
    <e v="#NAME?"/>
    <e v="#NAME?"/>
    <e v="#NAME?"/>
    <m/>
    <m/>
    <m/>
    <m/>
    <m/>
  </r>
  <r>
    <s v="CIXXXXXX"/>
    <x v="680"/>
    <x v="1"/>
    <x v="18"/>
    <s v="SII"/>
    <e v="#NAME?"/>
    <s v="SDATOOL-39282 $ Fiduciaria - Alta y domiciliación Fondos de inversión jurídicos en Gema"/>
    <n v="0.5"/>
    <s v="Desarrollador"/>
    <s v="ASO"/>
    <s v="Externo"/>
    <e v="#NAME?"/>
    <e v="#NAME?"/>
    <e v="#NAME?"/>
    <m/>
    <m/>
    <m/>
    <m/>
    <m/>
  </r>
  <r>
    <s v="CIXXXXXX"/>
    <x v="681"/>
    <x v="1"/>
    <x v="18"/>
    <s v="SII"/>
    <e v="#NAME?"/>
    <s v="SDATOOL-39282 $ Fiduciaria - Alta y domiciliación Fondos de inversión jurídicos en Gema"/>
    <n v="0.5"/>
    <s v="Desarrollador"/>
    <s v="ASO"/>
    <s v="Externo"/>
    <e v="#NAME?"/>
    <e v="#NAME?"/>
    <e v="#NAME?"/>
    <m/>
    <m/>
    <m/>
    <m/>
    <m/>
  </r>
  <r>
    <s v="CIXXXXXX"/>
    <x v="682"/>
    <x v="1"/>
    <x v="18"/>
    <s v="SII"/>
    <e v="#NAME?"/>
    <s v="SDATOOL-39282 $ Fiduciaria - Alta y domiciliación Fondos de inversión jurídicos en Gema"/>
    <n v="0.5"/>
    <s v="Desarrollador"/>
    <s v="ASO"/>
    <s v="Externo"/>
    <e v="#NAME?"/>
    <e v="#NAME?"/>
    <e v="#NAME?"/>
    <m/>
    <m/>
    <m/>
    <m/>
    <m/>
  </r>
  <r>
    <s v="CIXXXXXX"/>
    <x v="683"/>
    <x v="1"/>
    <x v="18"/>
    <s v="SII"/>
    <e v="#NAME?"/>
    <s v="SDATOOL-39282 $ Fiduciaria - Alta y domiciliación Fondos de inversión jurídicos en Gema"/>
    <n v="0.5"/>
    <s v="Desarrollador"/>
    <s v="ASO"/>
    <s v="Externo"/>
    <e v="#NAME?"/>
    <e v="#NAME?"/>
    <e v="#NAME?"/>
    <m/>
    <m/>
    <m/>
    <m/>
    <m/>
  </r>
  <r>
    <s v="CIXXXXXX"/>
    <x v="684"/>
    <x v="1"/>
    <x v="18"/>
    <s v="SII"/>
    <e v="#NAME?"/>
    <s v="SDATOOL-39282 $ Fiduciaria - Alta y domiciliación Fondos de inversión jurídicos en Gema"/>
    <n v="0.5"/>
    <s v="Desarrollador"/>
    <s v="ASO"/>
    <s v="Externo"/>
    <e v="#NAME?"/>
    <e v="#NAME?"/>
    <e v="#NAME?"/>
    <m/>
    <m/>
    <m/>
    <m/>
    <m/>
  </r>
  <r>
    <s v="CIXXXXXX"/>
    <x v="685"/>
    <x v="1"/>
    <x v="18"/>
    <s v="SII"/>
    <e v="#NAME?"/>
    <s v="SDATOOL-39282 $ Fiduciaria - Alta y domiciliación Fondos de inversión jurídicos en Gema"/>
    <n v="0.5"/>
    <s v="Desarrollador"/>
    <s v="ASO"/>
    <s v="Externo"/>
    <e v="#NAME?"/>
    <e v="#NAME?"/>
    <e v="#NAME?"/>
    <m/>
    <m/>
    <m/>
    <m/>
    <m/>
  </r>
  <r>
    <s v="CIXXXXXX"/>
    <x v="686"/>
    <x v="1"/>
    <x v="18"/>
    <s v="GGI / CMC"/>
    <e v="#NAME?"/>
    <s v="SDATOOL-39282 $ Fiduciaria - Alta y domiciliación Fondos de inversión jurídicos en Gema"/>
    <n v="0.5"/>
    <s v="Desarrollador"/>
    <s v="ASO"/>
    <s v="Externo"/>
    <e v="#NAME?"/>
    <e v="#NAME?"/>
    <e v="#NAME?"/>
    <m/>
    <m/>
    <m/>
    <m/>
    <m/>
  </r>
  <r>
    <s v="CIXXXXXX"/>
    <x v="687"/>
    <x v="1"/>
    <x v="18"/>
    <s v="GGI / CMC"/>
    <e v="#NAME?"/>
    <s v="SDATOOL-39282 $ Fiduciaria - Alta y domiciliación Fondos de inversión jurídicos en Gema"/>
    <n v="0.5"/>
    <s v="Desarrollador"/>
    <s v="ASO"/>
    <s v="Externo"/>
    <e v="#NAME?"/>
    <e v="#NAME?"/>
    <e v="#NAME?"/>
    <m/>
    <m/>
    <m/>
    <m/>
    <m/>
  </r>
  <r>
    <s v="CIXXXXXX"/>
    <x v="688"/>
    <x v="1"/>
    <x v="18"/>
    <s v="GGI / CMC"/>
    <e v="#NAME?"/>
    <s v="SDATOOL-39282 $ Fiduciaria - Alta y domiciliación Fondos de inversión jurídicos en Gema"/>
    <n v="0.5"/>
    <s v="Desarrollador"/>
    <s v="ASO"/>
    <s v="Externo"/>
    <e v="#NAME?"/>
    <e v="#NAME?"/>
    <e v="#NAME?"/>
    <m/>
    <m/>
    <m/>
    <m/>
    <m/>
  </r>
  <r>
    <s v="CIXXXXXX"/>
    <x v="679"/>
    <x v="1"/>
    <x v="18"/>
    <s v="SII"/>
    <e v="#NAME?"/>
    <s v="SDATOOL-40552 $ Fiduciaria - PSE Procesamiento y confirmación de pagos en línea"/>
    <n v="0.5"/>
    <s v="Desarrollador"/>
    <s v="ASO"/>
    <s v="Externo"/>
    <e v="#NAME?"/>
    <e v="#NAME?"/>
    <e v="#NAME?"/>
    <m/>
    <m/>
    <m/>
    <m/>
    <m/>
  </r>
  <r>
    <s v="CIXXXXXX"/>
    <x v="680"/>
    <x v="1"/>
    <x v="18"/>
    <s v="SII"/>
    <e v="#NAME?"/>
    <s v="SDATOOL-40552 $ Fiduciaria - PSE Procesamiento y confirmación de pagos en línea"/>
    <n v="0.5"/>
    <s v="Desarrollador"/>
    <s v="ASO"/>
    <s v="Externo"/>
    <e v="#NAME?"/>
    <e v="#NAME?"/>
    <e v="#NAME?"/>
    <m/>
    <m/>
    <m/>
    <m/>
    <m/>
  </r>
  <r>
    <s v="CIXXXXXX"/>
    <x v="681"/>
    <x v="1"/>
    <x v="18"/>
    <s v="SII"/>
    <e v="#NAME?"/>
    <s v="SDATOOL-40552 $ Fiduciaria - PSE Procesamiento y confirmación de pagos en línea"/>
    <n v="0.5"/>
    <s v="Desarrollador"/>
    <s v="ASO"/>
    <s v="Externo"/>
    <e v="#NAME?"/>
    <e v="#NAME?"/>
    <e v="#NAME?"/>
    <m/>
    <m/>
    <m/>
    <m/>
    <m/>
  </r>
  <r>
    <s v="CIXXXXXX"/>
    <x v="682"/>
    <x v="1"/>
    <x v="18"/>
    <s v="SII"/>
    <e v="#NAME?"/>
    <s v="SDATOOL-40552 $ Fiduciaria - PSE Procesamiento y confirmación de pagos en línea"/>
    <n v="0.5"/>
    <s v="Desarrollador"/>
    <s v="ASO"/>
    <s v="Externo"/>
    <e v="#NAME?"/>
    <e v="#NAME?"/>
    <e v="#NAME?"/>
    <m/>
    <m/>
    <m/>
    <m/>
    <m/>
  </r>
  <r>
    <s v="CIXXXXXX"/>
    <x v="683"/>
    <x v="1"/>
    <x v="18"/>
    <s v="SII"/>
    <e v="#NAME?"/>
    <s v="SDATOOL-40552 $ Fiduciaria - PSE Procesamiento y confirmación de pagos en línea"/>
    <n v="0.5"/>
    <s v="Desarrollador"/>
    <s v="ASO"/>
    <s v="Externo"/>
    <e v="#NAME?"/>
    <e v="#NAME?"/>
    <e v="#NAME?"/>
    <m/>
    <m/>
    <m/>
    <m/>
    <m/>
  </r>
  <r>
    <s v="CIXXXXXX"/>
    <x v="684"/>
    <x v="1"/>
    <x v="18"/>
    <s v="SII"/>
    <e v="#NAME?"/>
    <s v="SDATOOL-40552 $ Fiduciaria - PSE Procesamiento y confirmación de pagos en línea"/>
    <n v="0.5"/>
    <s v="Desarrollador"/>
    <s v="ASO"/>
    <s v="Externo"/>
    <e v="#NAME?"/>
    <e v="#NAME?"/>
    <e v="#NAME?"/>
    <m/>
    <m/>
    <m/>
    <m/>
    <m/>
  </r>
  <r>
    <s v="CIXXXXXX"/>
    <x v="685"/>
    <x v="1"/>
    <x v="18"/>
    <s v="SII"/>
    <e v="#NAME?"/>
    <s v="SDATOOL-40552 $ Fiduciaria - PSE Procesamiento y confirmación de pagos en línea"/>
    <n v="0.5"/>
    <s v="Desarrollador"/>
    <s v="ASO"/>
    <s v="Externo"/>
    <e v="#NAME?"/>
    <e v="#NAME?"/>
    <e v="#NAME?"/>
    <m/>
    <m/>
    <m/>
    <m/>
    <m/>
  </r>
  <r>
    <s v="CIXXXXXX"/>
    <x v="686"/>
    <x v="1"/>
    <x v="18"/>
    <s v="GGI / CMC"/>
    <e v="#NAME?"/>
    <s v="SDATOOL-40552 $ Fiduciaria - PSE Procesamiento y confirmación de pagos en línea"/>
    <n v="0.5"/>
    <s v="Desarrollador"/>
    <s v="ASO"/>
    <s v="Externo"/>
    <e v="#NAME?"/>
    <e v="#NAME?"/>
    <e v="#NAME?"/>
    <m/>
    <m/>
    <m/>
    <m/>
    <m/>
  </r>
  <r>
    <s v="CIXXXXXX"/>
    <x v="687"/>
    <x v="1"/>
    <x v="18"/>
    <s v="GGI / CMC"/>
    <e v="#NAME?"/>
    <s v="SDATOOL-40552 $ Fiduciaria - PSE Procesamiento y confirmación de pagos en línea"/>
    <n v="0.5"/>
    <s v="Desarrollador"/>
    <s v="ASO"/>
    <s v="Externo"/>
    <e v="#NAME?"/>
    <e v="#NAME?"/>
    <e v="#NAME?"/>
    <m/>
    <m/>
    <m/>
    <m/>
    <m/>
  </r>
  <r>
    <s v="CIXXXXXX"/>
    <x v="688"/>
    <x v="1"/>
    <x v="18"/>
    <s v="GGI / CMC"/>
    <e v="#NAME?"/>
    <s v="SDATOOL-40552 $ Fiduciaria - PSE Procesamiento y confirmación de pagos en línea"/>
    <n v="0.5"/>
    <s v="Desarrollador"/>
    <s v="ASO"/>
    <s v="Externo"/>
    <e v="#NAME?"/>
    <e v="#NAME?"/>
    <e v="#NAME?"/>
    <m/>
    <m/>
    <m/>
    <m/>
    <m/>
  </r>
  <r>
    <s v="CE69361"/>
    <x v="689"/>
    <x v="5"/>
    <x v="26"/>
    <s v="Neoris"/>
    <e v="#NAME?"/>
    <s v="SDATOOL-36558 $ Transfiya:Transferencias interbancarias inmediatas - Plan Ascenso Privado"/>
    <n v="0.3"/>
    <s v="Desarrollador"/>
    <s v="ASO"/>
    <m/>
    <e v="#NAME?"/>
    <e v="#NAME?"/>
    <e v="#NAME?"/>
    <m/>
    <m/>
    <m/>
    <m/>
    <m/>
  </r>
  <r>
    <s v="CE51863"/>
    <x v="275"/>
    <x v="5"/>
    <x v="26"/>
    <s v="KRYPTO"/>
    <e v="#NAME?"/>
    <s v="SDATOOL-36558 $ Transfiya:Transferencias interbancarias inmediatas - Plan Ascenso Privado"/>
    <n v="0.02"/>
    <s v="QA"/>
    <s v="Otras Tec."/>
    <m/>
    <e v="#NAME?"/>
    <e v="#NAME?"/>
    <e v="#NAME?"/>
    <m/>
    <m/>
    <m/>
    <m/>
    <m/>
  </r>
  <r>
    <s v="C810711"/>
    <x v="690"/>
    <x v="5"/>
    <x v="26"/>
    <s v="BBVA"/>
    <e v="#NAME?"/>
    <s v="SDATOOL-36558 $ Transfiya:Transferencias interbancarias inmediatas - Plan Ascenso Privado"/>
    <n v="0.8"/>
    <s v="Desarrollador"/>
    <s v="ASO"/>
    <m/>
    <e v="#NAME?"/>
    <e v="#NAME?"/>
    <e v="#NAME?"/>
    <m/>
    <m/>
    <m/>
    <m/>
    <m/>
  </r>
  <r>
    <s v="C810711"/>
    <x v="690"/>
    <x v="5"/>
    <x v="26"/>
    <s v="BBVA"/>
    <e v="#NAME?"/>
    <s v="SDATOOL-42192 $ Transfiya en GloMo"/>
    <n v="0.2"/>
    <s v="Desarrollador"/>
    <s v="ASO"/>
    <m/>
    <e v="#NAME?"/>
    <e v="#NAME?"/>
    <e v="#NAME?"/>
    <m/>
    <m/>
    <m/>
    <m/>
    <m/>
  </r>
  <r>
    <s v="C985155"/>
    <x v="691"/>
    <x v="5"/>
    <x v="26"/>
    <s v="BBVA"/>
    <e v="#NAME?"/>
    <s v="SDATOOL-36558 $ Transfiya:Transferencias interbancarias inmediatas - Plan Ascenso Privado"/>
    <n v="1"/>
    <s v="Desarrollador"/>
    <s v="Otras Tec."/>
    <m/>
    <e v="#NAME?"/>
    <e v="#NAME?"/>
    <e v="#NAME?"/>
    <m/>
    <m/>
    <m/>
    <m/>
    <m/>
  </r>
  <r>
    <s v="C342595"/>
    <x v="692"/>
    <x v="5"/>
    <x v="26"/>
    <s v="BBVA"/>
    <e v="#NAME?"/>
    <s v="SDATOOL-36558 $ Transfiya:Transferencias interbancarias inmediatas - Plan Ascenso Privado"/>
    <n v="1"/>
    <s v="Desarrollador"/>
    <s v="ASO"/>
    <m/>
    <e v="#NAME?"/>
    <e v="#NAME?"/>
    <e v="#NAME?"/>
    <m/>
    <m/>
    <m/>
    <m/>
    <m/>
  </r>
  <r>
    <s v="C810708"/>
    <x v="693"/>
    <x v="5"/>
    <x v="26"/>
    <s v="BBVA"/>
    <e v="#NAME?"/>
    <s v="SDATOOL-36558 $ Transfiya:Transferencias interbancarias inmediatas - Plan Ascenso Privado"/>
    <n v="1"/>
    <s v="Desarrollador"/>
    <s v="ASO"/>
    <m/>
    <e v="#NAME?"/>
    <e v="#NAME?"/>
    <e v="#NAME?"/>
    <m/>
    <m/>
    <m/>
    <m/>
    <m/>
  </r>
  <r>
    <s v="C342444"/>
    <x v="694"/>
    <x v="5"/>
    <x v="26"/>
    <s v="BBVA"/>
    <e v="#NAME?"/>
    <s v="SDATOOL-36558 $ Transfiya:Transferencias interbancarias inmediatas - Plan Ascenso Privado"/>
    <n v="1"/>
    <s v="Desarrollador"/>
    <s v="Mainframe"/>
    <m/>
    <e v="#NAME?"/>
    <e v="#NAME?"/>
    <e v="#NAME?"/>
    <m/>
    <m/>
    <m/>
    <m/>
    <m/>
  </r>
  <r>
    <s v="C810746"/>
    <x v="695"/>
    <x v="5"/>
    <x v="26"/>
    <s v="BBVA"/>
    <e v="#NAME?"/>
    <s v="SDATOOL-36558 $ Transfiya:Transferencias interbancarias inmediatas - Plan Ascenso Privado"/>
    <n v="0.8"/>
    <s v="Desarrollador"/>
    <s v="APX"/>
    <m/>
    <e v="#NAME?"/>
    <e v="#NAME?"/>
    <e v="#NAME?"/>
    <m/>
    <m/>
    <m/>
    <m/>
    <m/>
  </r>
  <r>
    <s v="C810746"/>
    <x v="695"/>
    <x v="5"/>
    <x v="26"/>
    <s v="BBVA"/>
    <e v="#NAME?"/>
    <s v="SDATOOL-42192 $ Transfiya en GloMo"/>
    <n v="0.2"/>
    <s v="Desarrollador"/>
    <s v="APX"/>
    <m/>
    <e v="#NAME?"/>
    <e v="#NAME?"/>
    <e v="#NAME?"/>
    <m/>
    <m/>
    <m/>
    <m/>
    <m/>
  </r>
  <r>
    <s v="O001337"/>
    <x v="696"/>
    <x v="5"/>
    <x v="26"/>
    <s v="BBVA"/>
    <e v="#NAME?"/>
    <s v="SDATOOL-36558 $ Transfiya:Transferencias interbancarias inmediatas - Plan Ascenso Privado"/>
    <n v="0.8"/>
    <s v="Tech Manager/Líder"/>
    <s v="Otras Tec."/>
    <m/>
    <e v="#NAME?"/>
    <e v="#NAME?"/>
    <e v="#NAME?"/>
    <m/>
    <m/>
    <m/>
    <m/>
    <m/>
  </r>
  <r>
    <s v="O001337"/>
    <x v="696"/>
    <x v="5"/>
    <x v="26"/>
    <s v="BBVA"/>
    <e v="#NAME?"/>
    <s v="SDATOOL-42192 $ Transfiya en GloMo"/>
    <n v="0.2"/>
    <s v="Tech Manager/Líder"/>
    <s v="Otras Tec."/>
    <m/>
    <e v="#NAME?"/>
    <e v="#NAME?"/>
    <e v="#NAME?"/>
    <m/>
    <m/>
    <m/>
    <m/>
    <m/>
  </r>
  <r>
    <s v="CE55339"/>
    <x v="697"/>
    <x v="5"/>
    <x v="26"/>
    <s v="SII"/>
    <e v="#NAME?"/>
    <s v="SDATOOL-36558 $ Transfiya:Transferencias interbancarias inmediatas - Plan Ascenso Privado"/>
    <n v="0.3"/>
    <s v="Desarrollador"/>
    <s v="Mainframe"/>
    <m/>
    <e v="#NAME?"/>
    <e v="#NAME?"/>
    <e v="#NAME?"/>
    <m/>
    <m/>
    <m/>
    <m/>
    <m/>
  </r>
  <r>
    <s v="T000166"/>
    <x v="698"/>
    <x v="5"/>
    <x v="26"/>
    <s v="Choucair"/>
    <e v="#NAME?"/>
    <s v="SDATOOL-36558 $ Transfiya:Transferencias interbancarias inmediatas - Plan Ascenso Privado"/>
    <n v="1"/>
    <s v="QA"/>
    <s v="Otras Tec."/>
    <m/>
    <e v="#NAME?"/>
    <e v="#NAME?"/>
    <e v="#NAME?"/>
    <m/>
    <m/>
    <m/>
    <m/>
    <m/>
  </r>
  <r>
    <s v="T004935"/>
    <x v="699"/>
    <x v="5"/>
    <x v="26"/>
    <s v="Choucair"/>
    <e v="#NAME?"/>
    <s v="SDATOOL-36558 $ Transfiya:Transferencias interbancarias inmediatas - Plan Ascenso Privado"/>
    <n v="1"/>
    <s v="QA"/>
    <s v="Otras Tec."/>
    <m/>
    <e v="#NAME?"/>
    <e v="#NAME?"/>
    <e v="#NAME?"/>
    <m/>
    <m/>
    <m/>
    <m/>
    <m/>
  </r>
  <r>
    <s v="T000274"/>
    <x v="700"/>
    <x v="5"/>
    <x v="26"/>
    <s v="GGI / CMC"/>
    <e v="#NAME?"/>
    <s v="SDATOOL-36558 $ Transfiya:Transferencias interbancarias inmediatas - Plan Ascenso Privado"/>
    <n v="0.3"/>
    <s v="Desarrollador"/>
    <s v="Cells"/>
    <m/>
    <e v="#NAME?"/>
    <e v="#NAME?"/>
    <e v="#NAME?"/>
    <m/>
    <m/>
    <m/>
    <m/>
    <m/>
  </r>
  <r>
    <s v="C796552"/>
    <x v="701"/>
    <x v="5"/>
    <x v="26"/>
    <s v="BBVA"/>
    <e v="#NAME?"/>
    <s v="NOSDA $ BAU (Mantenimiento y peq. evolutivos)"/>
    <n v="0.65"/>
    <s v="Tech Manager/Líder"/>
    <s v="Otras Tec."/>
    <m/>
    <e v="#NAME?"/>
    <e v="#NAME?"/>
    <e v="#NAME?"/>
    <m/>
    <m/>
    <m/>
    <m/>
    <m/>
  </r>
  <r>
    <s v="C796552"/>
    <x v="701"/>
    <x v="5"/>
    <x v="26"/>
    <s v="BBVA"/>
    <e v="#NAME?"/>
    <s v="SDATOOL-38527 $ Pagaré Electrónico en flujos de Contratación digital"/>
    <n v="0.05"/>
    <s v="Tech Manager/Líder"/>
    <s v="Otras Tec."/>
    <m/>
    <e v="#NAME?"/>
    <e v="#NAME?"/>
    <e v="#NAME?"/>
    <m/>
    <m/>
    <m/>
    <m/>
    <m/>
  </r>
  <r>
    <s v="C796552"/>
    <x v="701"/>
    <x v="5"/>
    <x v="26"/>
    <s v="BBVA"/>
    <e v="#NAME?"/>
    <s v="SDATOOL-39246 $ Nuevo tipo de identificación para extranjeros"/>
    <n v="0.05"/>
    <s v="Tech Manager/Líder"/>
    <s v="Otras Tec."/>
    <m/>
    <e v="#NAME?"/>
    <e v="#NAME?"/>
    <e v="#NAME?"/>
    <m/>
    <m/>
    <m/>
    <m/>
    <m/>
  </r>
  <r>
    <s v="C796552"/>
    <x v="701"/>
    <x v="5"/>
    <x v="26"/>
    <s v="BBVA"/>
    <e v="#NAME?"/>
    <s v="SDATOOL-39834 $ Recaudo en Línea Secretaría de Hacienda Distrital - Fase II: Solución paramétrica de recaudos para la inclusión de 7 formularios tributarios en Canales electrónicos Web y Corresponsal Bancario."/>
    <n v="0.05"/>
    <s v="Tech Manager/Líder"/>
    <s v="Otras Tec."/>
    <m/>
    <e v="#NAME?"/>
    <e v="#NAME?"/>
    <e v="#NAME?"/>
    <m/>
    <m/>
    <m/>
    <m/>
    <m/>
  </r>
  <r>
    <s v="C796552"/>
    <x v="701"/>
    <x v="5"/>
    <x v="26"/>
    <s v="BBVA"/>
    <e v="#NAME?"/>
    <s v="SDATOOL-39840 $ BBVA Valores en Canales (Net Cash / Net)"/>
    <n v="0.05"/>
    <s v="Tech Manager/Líder"/>
    <s v="Otras Tec."/>
    <m/>
    <e v="#NAME?"/>
    <e v="#NAME?"/>
    <e v="#NAME?"/>
    <m/>
    <m/>
    <m/>
    <m/>
    <m/>
  </r>
  <r>
    <s v="C796552"/>
    <x v="701"/>
    <x v="5"/>
    <x v="26"/>
    <s v="BBVA"/>
    <e v="#NAME?"/>
    <s v="SDATOOL-9053 $ GloMo Colombia"/>
    <n v="0.15"/>
    <s v="Tech Manager/Líder"/>
    <s v="Otras Tec."/>
    <m/>
    <e v="#NAME?"/>
    <e v="#NAME?"/>
    <e v="#NAME?"/>
    <m/>
    <m/>
    <m/>
    <m/>
    <m/>
  </r>
  <r>
    <s v="C808359"/>
    <x v="702"/>
    <x v="5"/>
    <x v="26"/>
    <s v="BBVA"/>
    <e v="#NAME?"/>
    <s v="NOSDA $ BAU (Mantenimiento y peq. evolutivos)"/>
    <n v="1"/>
    <s v="Desarrollador"/>
    <s v="Cells"/>
    <m/>
    <e v="#NAME?"/>
    <e v="#NAME?"/>
    <e v="#NAME?"/>
    <m/>
    <m/>
    <m/>
    <m/>
    <m/>
  </r>
  <r>
    <s v="CE51863"/>
    <x v="275"/>
    <x v="5"/>
    <x v="26"/>
    <s v="KRYPTO"/>
    <e v="#NAME?"/>
    <s v="NOSDA $ BAU (Mantenimiento y peq. evolutivos)"/>
    <n v="0.02"/>
    <s v="QA"/>
    <s v="Otras Tec."/>
    <m/>
    <e v="#NAME?"/>
    <e v="#NAME?"/>
    <e v="#NAME?"/>
    <m/>
    <m/>
    <m/>
    <m/>
    <m/>
  </r>
  <r>
    <s v="CE51863"/>
    <x v="275"/>
    <x v="5"/>
    <x v="26"/>
    <s v="KRYPTO"/>
    <e v="#NAME?"/>
    <s v="SDATOOL-38527 $ Pagaré Electrónico en flujos de Contratación digital"/>
    <n v="0.02"/>
    <s v="QA"/>
    <s v="Otras Tec."/>
    <m/>
    <e v="#NAME?"/>
    <e v="#NAME?"/>
    <e v="#NAME?"/>
    <m/>
    <m/>
    <m/>
    <m/>
    <m/>
  </r>
  <r>
    <s v="CE51863"/>
    <x v="275"/>
    <x v="5"/>
    <x v="26"/>
    <s v="KRYPTO"/>
    <e v="#NAME?"/>
    <s v="SDATOOL-9053 $ GloMo Colombia"/>
    <n v="0.02"/>
    <s v="QA"/>
    <s v="Otras Tec."/>
    <m/>
    <e v="#NAME?"/>
    <e v="#NAME?"/>
    <e v="#NAME?"/>
    <m/>
    <m/>
    <m/>
    <m/>
    <m/>
  </r>
  <r>
    <s v="CE51863"/>
    <x v="275"/>
    <x v="5"/>
    <x v="26"/>
    <s v="KRYPTO"/>
    <e v="#NAME?"/>
    <s v="SDATOOL-39246 $ Nuevo tipo de identificación para extranjeros"/>
    <n v="0.02"/>
    <s v="QA"/>
    <s v="Otras Tec."/>
    <m/>
    <e v="#NAME?"/>
    <e v="#NAME?"/>
    <e v="#NAME?"/>
    <m/>
    <m/>
    <m/>
    <m/>
    <m/>
  </r>
  <r>
    <s v="CE51863"/>
    <x v="275"/>
    <x v="5"/>
    <x v="26"/>
    <s v="KRYPTO"/>
    <e v="#NAME?"/>
    <s v="SDATOOL-39840 $ BBVA Valores en Canales (Net Cash / Net)"/>
    <n v="0.02"/>
    <s v="QA"/>
    <s v="Otras Tec."/>
    <m/>
    <e v="#NAME?"/>
    <e v="#NAME?"/>
    <e v="#NAME?"/>
    <m/>
    <m/>
    <m/>
    <m/>
    <m/>
  </r>
  <r>
    <s v="CE70177"/>
    <x v="703"/>
    <x v="5"/>
    <x v="26"/>
    <s v="Choucair"/>
    <e v="#NAME?"/>
    <s v="SDATOOL-39840 $ BBVA Valores en Canales (Net Cash / Net)"/>
    <n v="0.9"/>
    <s v="QA"/>
    <s v="Otras Tec."/>
    <m/>
    <e v="#NAME?"/>
    <e v="#NAME?"/>
    <e v="#NAME?"/>
    <m/>
    <m/>
    <m/>
    <m/>
    <m/>
  </r>
  <r>
    <s v="C941085"/>
    <x v="704"/>
    <x v="5"/>
    <x v="26"/>
    <s v="BBVA"/>
    <e v="#NAME?"/>
    <s v="NOSDA $ BAU (Mantenimiento y peq. evolutivos)"/>
    <n v="1"/>
    <s v="Desarrollador"/>
    <s v="Otras Tec."/>
    <m/>
    <e v="#NAME?"/>
    <e v="#NAME?"/>
    <e v="#NAME?"/>
    <m/>
    <m/>
    <m/>
    <m/>
    <m/>
  </r>
  <r>
    <s v="T008622  "/>
    <x v="705"/>
    <x v="5"/>
    <x v="26"/>
    <s v="GGI / CMC"/>
    <e v="#NAME?"/>
    <s v="NOSDA $ BAU (Mantenimiento y peq. evolutivos)"/>
    <n v="1"/>
    <s v="Desarrollador"/>
    <s v="Otras Tec."/>
    <m/>
    <e v="#NAME?"/>
    <e v="#NAME?"/>
    <e v="#NAME?"/>
    <m/>
    <m/>
    <m/>
    <m/>
    <m/>
  </r>
  <r>
    <s v="T000288"/>
    <x v="706"/>
    <x v="5"/>
    <x v="26"/>
    <s v="GGI / CMC"/>
    <e v="#NAME?"/>
    <s v="NOSDA $ BAU (Mantenimiento y peq. evolutivos)"/>
    <n v="1"/>
    <s v="Desarrollador"/>
    <s v="ASO"/>
    <m/>
    <e v="#NAME?"/>
    <e v="#NAME?"/>
    <e v="#NAME?"/>
    <m/>
    <m/>
    <m/>
    <m/>
    <m/>
  </r>
  <r>
    <s v="C985155"/>
    <x v="707"/>
    <x v="5"/>
    <x v="26"/>
    <s v="BBVA"/>
    <e v="#NAME?"/>
    <s v="NOSDA $ BAU (Mantenimiento y peq. evolutivos)"/>
    <n v="1"/>
    <s v="Desarrollador"/>
    <s v="Distribuido"/>
    <m/>
    <e v="#NAME?"/>
    <e v="#NAME?"/>
    <e v="#NAME?"/>
    <m/>
    <m/>
    <m/>
    <m/>
    <m/>
  </r>
  <r>
    <s v="O001647"/>
    <x v="708"/>
    <x v="5"/>
    <x v="26"/>
    <s v="BBVA"/>
    <e v="#NAME?"/>
    <s v="SDATOOL-9053 $ GloMo Colombia"/>
    <n v="0.8"/>
    <s v="Desarrollador"/>
    <s v="Distribuido"/>
    <m/>
    <e v="#NAME?"/>
    <e v="#NAME?"/>
    <e v="#NAME?"/>
    <m/>
    <m/>
    <m/>
    <m/>
    <m/>
  </r>
  <r>
    <s v="O001647"/>
    <x v="708"/>
    <x v="5"/>
    <x v="26"/>
    <s v="BBVA"/>
    <e v="#NAME?"/>
    <s v="NOSDA $ BAU (Mantenimiento y peq. evolutivos)"/>
    <n v="0.2"/>
    <s v="Desarrollador"/>
    <s v="Distribuido"/>
    <m/>
    <e v="#NAME?"/>
    <e v="#NAME?"/>
    <e v="#NAME?"/>
    <m/>
    <m/>
    <m/>
    <m/>
    <m/>
  </r>
  <r>
    <s v="C821589"/>
    <x v="709"/>
    <x v="5"/>
    <x v="26"/>
    <s v="BBVA"/>
    <e v="#NAME?"/>
    <s v="SDATOOL-39246 $ Nuevo tipo de identificación para extranjeros"/>
    <n v="1"/>
    <s v="Desarrollador"/>
    <s v="Mainframe"/>
    <m/>
    <e v="#NAME?"/>
    <e v="#NAME?"/>
    <e v="#NAME?"/>
    <m/>
    <m/>
    <m/>
    <m/>
    <m/>
  </r>
  <r>
    <s v="T009381"/>
    <x v="710"/>
    <x v="5"/>
    <x v="26"/>
    <s v="GGI / CMC"/>
    <e v="#NAME?"/>
    <s v="NOSDA $ BAU (Mantenimiento y peq. evolutivos)"/>
    <n v="1"/>
    <s v="Desarrollador"/>
    <s v="Distribuido"/>
    <m/>
    <e v="#NAME?"/>
    <e v="#NAME?"/>
    <e v="#NAME?"/>
    <m/>
    <m/>
    <m/>
    <m/>
    <m/>
  </r>
  <r>
    <s v="CE57299"/>
    <x v="711"/>
    <x v="5"/>
    <x v="26"/>
    <s v="GGI / CMC"/>
    <e v="#NAME?"/>
    <s v="SDATOOL-38527 $ Pagaré Electrónico en flujos de Contratación digital"/>
    <n v="1"/>
    <s v="Desarrollador"/>
    <s v="Mainframe"/>
    <m/>
    <e v="#NAME?"/>
    <e v="#NAME?"/>
    <e v="#NAME?"/>
    <m/>
    <m/>
    <m/>
    <m/>
    <m/>
  </r>
  <r>
    <s v="T007581"/>
    <x v="712"/>
    <x v="5"/>
    <x v="26"/>
    <s v="Novatec"/>
    <e v="#NAME?"/>
    <s v="SDATOOL-38527 $ Pagaré Electrónico en flujos de Contratación digital"/>
    <n v="1"/>
    <s v="Desarrollador"/>
    <s v="ASO"/>
    <m/>
    <e v="#NAME?"/>
    <e v="#NAME?"/>
    <e v="#NAME?"/>
    <m/>
    <m/>
    <m/>
    <m/>
    <m/>
  </r>
  <r>
    <s v="CE61541"/>
    <x v="713"/>
    <x v="5"/>
    <x v="26"/>
    <s v="GGI / CMC"/>
    <e v="#NAME?"/>
    <s v="SDATOOL-9053 $ GloMo Colombia"/>
    <n v="0.9"/>
    <s v="QA"/>
    <s v="Otras Tec."/>
    <m/>
    <e v="#NAME?"/>
    <e v="#NAME?"/>
    <e v="#NAME?"/>
    <m/>
    <m/>
    <m/>
    <m/>
    <m/>
  </r>
  <r>
    <s v="CE69109"/>
    <x v="714"/>
    <x v="5"/>
    <x v="26"/>
    <s v="GGI / CMC"/>
    <e v="#NAME?"/>
    <s v="NOSDA $ BAU (Mantenimiento y peq. evolutivos)"/>
    <n v="1"/>
    <s v="Desarrollador"/>
    <s v="Mainframe"/>
    <m/>
    <e v="#NAME?"/>
    <e v="#NAME?"/>
    <e v="#NAME?"/>
    <m/>
    <m/>
    <m/>
    <m/>
    <m/>
  </r>
  <r>
    <s v="CE17709"/>
    <x v="715"/>
    <x v="5"/>
    <x v="26"/>
    <s v="KRYPTO"/>
    <e v="#NAME?"/>
    <s v="SDATOOL-38527 $ Pagaré Electrónico en flujos de Contratación digital"/>
    <n v="1"/>
    <s v="QA"/>
    <s v="Otras Tec."/>
    <m/>
    <e v="#NAME?"/>
    <e v="#NAME?"/>
    <e v="#NAME?"/>
    <m/>
    <m/>
    <m/>
    <m/>
    <m/>
  </r>
  <r>
    <s v="CE51863"/>
    <x v="275"/>
    <x v="5"/>
    <x v="26"/>
    <s v="KRYPTO"/>
    <e v="#NAME?"/>
    <s v="SDATOOL-38527 $ Pagaré Electrónico en flujos de Contratación digital"/>
    <n v="0.02"/>
    <s v="QA"/>
    <s v="Otras Tec."/>
    <m/>
    <e v="#NAME?"/>
    <e v="#NAME?"/>
    <e v="#NAME?"/>
    <m/>
    <m/>
    <m/>
    <m/>
    <m/>
  </r>
  <r>
    <s v="C810755"/>
    <x v="716"/>
    <x v="5"/>
    <x v="26"/>
    <s v="BBVA"/>
    <e v="#NAME?"/>
    <s v="SDATOOL-39246 $ Nuevo tipo de identificación para extranjeros"/>
    <n v="0.5"/>
    <s v="Desarrollador"/>
    <s v="Cells"/>
    <m/>
    <e v="#NAME?"/>
    <e v="#NAME?"/>
    <e v="#NAME?"/>
    <m/>
    <m/>
    <m/>
    <m/>
    <m/>
  </r>
  <r>
    <s v="C810755"/>
    <x v="716"/>
    <x v="5"/>
    <x v="26"/>
    <s v="BBVA"/>
    <e v="#NAME?"/>
    <s v="NOSDA $ BAU (Mantenimiento y peq. evolutivos)"/>
    <n v="0.5"/>
    <s v="Desarrollador"/>
    <s v="Cells"/>
    <m/>
    <e v="#NAME?"/>
    <e v="#NAME?"/>
    <e v="#NAME?"/>
    <m/>
    <m/>
    <m/>
    <m/>
    <m/>
  </r>
  <r>
    <s v="CE66887"/>
    <x v="717"/>
    <x v="5"/>
    <x v="26"/>
    <s v="KRYPTO"/>
    <e v="#NAME?"/>
    <s v="SDATOOL-38527 $ Pagaré Electrónico en flujos de Contratación digital"/>
    <n v="1"/>
    <s v="QA"/>
    <s v="Otras Tec."/>
    <m/>
    <e v="#NAME?"/>
    <e v="#NAME?"/>
    <e v="#NAME?"/>
    <m/>
    <m/>
    <m/>
    <m/>
    <m/>
  </r>
  <r>
    <s v="C805907"/>
    <x v="718"/>
    <x v="5"/>
    <x v="26"/>
    <s v="BBVA"/>
    <e v="#NAME?"/>
    <s v="SDATOOL-39246 $ Nuevo tipo de identificación para extranjeros"/>
    <n v="0.25"/>
    <s v="Desarrollador"/>
    <s v="Cells"/>
    <m/>
    <e v="#NAME?"/>
    <e v="#NAME?"/>
    <e v="#NAME?"/>
    <m/>
    <m/>
    <m/>
    <m/>
    <m/>
  </r>
  <r>
    <s v="C805907"/>
    <x v="718"/>
    <x v="5"/>
    <x v="26"/>
    <s v="BBVA"/>
    <e v="#NAME?"/>
    <s v="SDATOOL-9053 $ GloMo Colombia"/>
    <n v="0.75"/>
    <s v="Desarrollador"/>
    <s v="Cells"/>
    <m/>
    <e v="#NAME?"/>
    <e v="#NAME?"/>
    <e v="#NAME?"/>
    <m/>
    <m/>
    <m/>
    <m/>
    <m/>
  </r>
  <r>
    <s v="CE61541"/>
    <x v="713"/>
    <x v="5"/>
    <x v="26"/>
    <s v="GGI / CMC"/>
    <e v="#NAME?"/>
    <s v="SDATOOL-9053 $ GloMo Colombia"/>
    <n v="0.1"/>
    <s v="QA"/>
    <s v="Otras Tec."/>
    <m/>
    <e v="#NAME?"/>
    <e v="#NAME?"/>
    <e v="#NAME?"/>
    <m/>
    <m/>
    <m/>
    <m/>
    <m/>
  </r>
  <r>
    <s v="CE67019"/>
    <x v="719"/>
    <x v="5"/>
    <x v="26"/>
    <s v="GGI / CMC"/>
    <e v="#NAME?"/>
    <s v="SDATOOL-39840 $ BBVA Valores en Canales (Net Cash / Net)"/>
    <n v="1"/>
    <s v="Desarrollador"/>
    <s v="APX"/>
    <m/>
    <e v="#NAME?"/>
    <e v="#NAME?"/>
    <e v="#NAME?"/>
    <m/>
    <m/>
    <m/>
    <m/>
    <m/>
  </r>
  <r>
    <s v="CE69265"/>
    <x v="720"/>
    <x v="5"/>
    <x v="26"/>
    <s v="Choucair"/>
    <e v="#NAME?"/>
    <s v="SDATOOL-9053 $ GloMo Colombia"/>
    <n v="1"/>
    <s v="QA"/>
    <s v="Otras Tec."/>
    <m/>
    <e v="#NAME?"/>
    <e v="#NAME?"/>
    <e v="#NAME?"/>
    <m/>
    <m/>
    <m/>
    <m/>
    <m/>
  </r>
  <r>
    <s v="O001980"/>
    <x v="721"/>
    <x v="5"/>
    <x v="26"/>
    <s v="BBVA"/>
    <e v="#NAME?"/>
    <s v="NOSDA $ BAU (Mantenimiento y peq. evolutivos)"/>
    <n v="0.7"/>
    <s v="Desarrollador"/>
    <s v="Otras Tec."/>
    <m/>
    <e v="#NAME?"/>
    <e v="#NAME?"/>
    <e v="#NAME?"/>
    <m/>
    <m/>
    <m/>
    <m/>
    <m/>
  </r>
  <r>
    <s v="O001980"/>
    <x v="721"/>
    <x v="5"/>
    <x v="26"/>
    <s v="BBVA"/>
    <e v="#NAME?"/>
    <s v="SDATOOL-38527 $ Pagaré Electrónico en flujos de Contratación digital"/>
    <n v="0.3"/>
    <s v="Desarrollador"/>
    <s v="Otras Tec."/>
    <m/>
    <e v="#NAME?"/>
    <e v="#NAME?"/>
    <e v="#NAME?"/>
    <m/>
    <m/>
    <m/>
    <m/>
    <m/>
  </r>
  <r>
    <s v="O001850"/>
    <x v="722"/>
    <x v="5"/>
    <x v="26"/>
    <s v="BBVA"/>
    <e v="#NAME?"/>
    <s v="SDATOOL-39834 $ Recaudo en Línea Secretaría de Hacienda Distrital - Fase II: Solución paramétrica de recaudos para la inclusión de 7 formularios tributarios en Canales electrónicos Web y Corresponsal Bancario."/>
    <n v="0.5"/>
    <s v="Desarrollador"/>
    <s v="Cells"/>
    <m/>
    <e v="#NAME?"/>
    <e v="#NAME?"/>
    <e v="#NAME?"/>
    <m/>
    <m/>
    <m/>
    <m/>
    <m/>
  </r>
  <r>
    <s v="O001850"/>
    <x v="722"/>
    <x v="5"/>
    <x v="26"/>
    <s v="BBVA"/>
    <e v="#NAME?"/>
    <s v="NOSDA $ BAU (Mantenimiento y peq. evolutivos)"/>
    <n v="0.5"/>
    <s v="Desarrollador"/>
    <s v="Cells"/>
    <m/>
    <e v="#NAME?"/>
    <e v="#NAME?"/>
    <e v="#NAME?"/>
    <m/>
    <m/>
    <m/>
    <m/>
    <m/>
  </r>
  <r>
    <s v="CE67484"/>
    <x v="723"/>
    <x v="1"/>
    <x v="16"/>
    <s v="Accenture"/>
    <e v="#NAME?"/>
    <s v="SDATOOL-38735 $ Dynamic Pricing"/>
    <n v="0.25"/>
    <s v="Desarrollador"/>
    <s v="Distribuido"/>
    <m/>
    <e v="#NAME?"/>
    <e v="#NAME?"/>
    <e v="#NAME?"/>
    <m/>
    <m/>
    <m/>
    <m/>
    <m/>
  </r>
  <r>
    <s v="CE61162"/>
    <x v="724"/>
    <x v="1"/>
    <x v="16"/>
    <s v="Accenture"/>
    <e v="#NAME?"/>
    <s v="SDATOOL-38735 $ Dynamic Pricing"/>
    <n v="0.3"/>
    <s v="Desarrollador"/>
    <s v="Distribuido"/>
    <m/>
    <e v="#NAME?"/>
    <e v="#NAME?"/>
    <e v="#NAME?"/>
    <m/>
    <m/>
    <m/>
    <m/>
    <m/>
  </r>
  <r>
    <s v="T003696"/>
    <x v="725"/>
    <x v="1"/>
    <x v="16"/>
    <s v="Accenture"/>
    <e v="#NAME?"/>
    <s v="SDATOOL-38735 $ Dynamic Pricing"/>
    <n v="0.2"/>
    <s v="Desarrollador"/>
    <s v="Distribuido"/>
    <m/>
    <e v="#NAME?"/>
    <e v="#NAME?"/>
    <e v="#NAME?"/>
    <m/>
    <m/>
    <m/>
    <m/>
    <m/>
  </r>
  <r>
    <s v="CE42052"/>
    <x v="726"/>
    <x v="1"/>
    <x v="16"/>
    <s v="GGI / CMC"/>
    <e v="#NAME?"/>
    <s v="SDATOOL-38735 $ Dynamic Pricing"/>
    <n v="0.1"/>
    <s v="Desarrollador"/>
    <s v="Distribuido"/>
    <m/>
    <e v="#NAME?"/>
    <e v="#NAME?"/>
    <e v="#NAME?"/>
    <m/>
    <m/>
    <m/>
    <m/>
    <m/>
  </r>
  <r>
    <s v="T003497"/>
    <x v="727"/>
    <x v="3"/>
    <x v="15"/>
    <s v="Accenture"/>
    <e v="#NAME?"/>
    <s v="SDATOOL-34157 $ Evolutivo Parthnership - Crédito en punto de venta de Aliados"/>
    <n v="1"/>
    <s v="Desarrollador"/>
    <s v="Cells"/>
    <m/>
    <e v="#NAME?"/>
    <e v="#NAME?"/>
    <e v="#NAME?"/>
    <m/>
    <m/>
    <m/>
    <m/>
    <m/>
  </r>
  <r>
    <s v="T000410"/>
    <x v="728"/>
    <x v="3"/>
    <x v="15"/>
    <s v="Globant"/>
    <e v="#NAME?"/>
    <s v="SDATOOL-36548 $ Optimización consumo web - Plan ascenso Open Market"/>
    <n v="0.7"/>
    <s v="Desarrollador"/>
    <s v="Cells"/>
    <m/>
    <e v="#NAME?"/>
    <e v="#NAME?"/>
    <e v="#NAME?"/>
    <m/>
    <m/>
    <m/>
    <m/>
    <m/>
  </r>
  <r>
    <s v="T000410"/>
    <x v="728"/>
    <x v="3"/>
    <x v="15"/>
    <s v="Globant"/>
    <e v="#NAME?"/>
    <s v="SDATOOL-39272 $ GRM-Col-Cambio servicio APL (Aportes en línea)"/>
    <n v="0.3"/>
    <s v="Desarrollador"/>
    <s v="Cells"/>
    <m/>
    <e v="#NAME?"/>
    <e v="#NAME?"/>
    <e v="#NAME?"/>
    <m/>
    <m/>
    <m/>
    <m/>
    <m/>
  </r>
  <r>
    <s v="CE67848"/>
    <x v="729"/>
    <x v="3"/>
    <x v="15"/>
    <s v="Accenture"/>
    <e v="#NAME?"/>
    <s v="SDATOOL-34887 $ Vivienda Digital Open Market"/>
    <n v="0.1"/>
    <s v="Desarrollador"/>
    <s v="APX"/>
    <m/>
    <e v="#NAME?"/>
    <e v="#NAME?"/>
    <e v="#NAME?"/>
    <m/>
    <m/>
    <m/>
    <m/>
    <m/>
  </r>
  <r>
    <s v="CE67848"/>
    <x v="729"/>
    <x v="3"/>
    <x v="15"/>
    <s v="Accenture"/>
    <e v="#NAME?"/>
    <s v="SDATOOL-39836 $ Vivienda digital fase III"/>
    <n v="0.7"/>
    <s v="Desarrollador"/>
    <s v="APX"/>
    <m/>
    <e v="#NAME?"/>
    <e v="#NAME?"/>
    <e v="#NAME?"/>
    <m/>
    <m/>
    <m/>
    <m/>
    <m/>
  </r>
  <r>
    <s v="CE67848"/>
    <x v="729"/>
    <x v="3"/>
    <x v="15"/>
    <s v="Accenture"/>
    <e v="#NAME?"/>
    <s v="SDATOOL-39272 $ GRM-Col-Cambio servicio APL (Aportes en línea)"/>
    <n v="0.2"/>
    <s v="Desarrollador"/>
    <s v="APX"/>
    <m/>
    <e v="#NAME?"/>
    <e v="#NAME?"/>
    <e v="#NAME?"/>
    <m/>
    <m/>
    <m/>
    <m/>
    <m/>
  </r>
  <r>
    <s v="T004062"/>
    <x v="730"/>
    <x v="3"/>
    <x v="15"/>
    <s v="Choucair"/>
    <e v="#NAME?"/>
    <s v="SDATOOL-41752 $ Consumo Openmk con Biometría Obligatoria por Nácar para desembolsar"/>
    <n v="1"/>
    <s v="QA"/>
    <s v="Distribuido"/>
    <m/>
    <e v="#NAME?"/>
    <e v="#NAME?"/>
    <e v="#NAME?"/>
    <m/>
    <m/>
    <m/>
    <m/>
    <m/>
  </r>
  <r>
    <s v="T008459"/>
    <x v="731"/>
    <x v="3"/>
    <x v="15"/>
    <s v="Neoris"/>
    <e v="#NAME?"/>
    <s v="NOSDA $ BAU (Mantenimiento y peq. evolutivos)"/>
    <n v="1"/>
    <s v="Desarrollador"/>
    <s v="Mainframe"/>
    <m/>
    <e v="#NAME?"/>
    <e v="#NAME?"/>
    <e v="#NAME?"/>
    <m/>
    <m/>
    <m/>
    <m/>
    <m/>
  </r>
  <r>
    <s v="CE70621"/>
    <x v="732"/>
    <x v="3"/>
    <x v="15"/>
    <s v="Inetum"/>
    <e v="#NAME?"/>
    <s v="NOSDA $ BAU (Mantenimiento y peq. evolutivos)"/>
    <n v="1"/>
    <s v="QA"/>
    <s v="Mainframe"/>
    <m/>
    <e v="#NAME?"/>
    <e v="#NAME?"/>
    <e v="#NAME?"/>
    <m/>
    <m/>
    <m/>
    <m/>
    <m/>
  </r>
  <r>
    <s v="CE69709"/>
    <x v="733"/>
    <x v="3"/>
    <x v="15"/>
    <s v="Choucair"/>
    <e v="#NAME?"/>
    <s v="SDATOOL-36548 $ Optimización consumo web - Plan ascenso Open Market"/>
    <n v="0.5"/>
    <s v="QA"/>
    <s v="Distribuido"/>
    <m/>
    <e v="#NAME?"/>
    <e v="#NAME?"/>
    <e v="#NAME?"/>
    <m/>
    <m/>
    <m/>
    <m/>
    <m/>
  </r>
  <r>
    <s v="CE69709"/>
    <x v="733"/>
    <x v="3"/>
    <x v="15"/>
    <s v="Choucair"/>
    <e v="#NAME?"/>
    <s v="SDATOOL-39272 $ GRM-Col-Cambio servicio APL (Aportes en línea)"/>
    <n v="0.5"/>
    <s v="QA"/>
    <s v="Distribuido"/>
    <m/>
    <e v="#NAME?"/>
    <e v="#NAME?"/>
    <e v="#NAME?"/>
    <m/>
    <m/>
    <m/>
    <m/>
    <m/>
  </r>
  <r>
    <s v="T000159"/>
    <x v="734"/>
    <x v="3"/>
    <x v="15"/>
    <s v="Choucair"/>
    <e v="#NAME?"/>
    <s v="SDATOOL-35463 $ Gestión de Ingresos - Períodos de Gracia Libranzas"/>
    <n v="1"/>
    <s v="QA"/>
    <s v="Mainframe"/>
    <m/>
    <e v="#NAME?"/>
    <e v="#NAME?"/>
    <e v="#NAME?"/>
    <m/>
    <m/>
    <m/>
    <m/>
    <m/>
  </r>
  <r>
    <s v="P009920"/>
    <x v="735"/>
    <x v="3"/>
    <x v="15"/>
    <s v="Accenture"/>
    <e v="#NAME?"/>
    <s v="SDATOOL-34887 $ Vivienda Digital Open Market"/>
    <n v="1"/>
    <s v="Desarrollador"/>
    <s v="Cells"/>
    <m/>
    <e v="#NAME?"/>
    <e v="#NAME?"/>
    <e v="#NAME?"/>
    <m/>
    <m/>
    <m/>
    <m/>
    <m/>
  </r>
  <r>
    <s v="O001869"/>
    <x v="736"/>
    <x v="3"/>
    <x v="15"/>
    <s v="BBVA"/>
    <e v="#NAME?"/>
    <s v="SDATOOL-35463 $ Gestión de Ingresos - Períodos de Gracia Libranzas"/>
    <n v="0.1"/>
    <s v="Tech Manager/Líder"/>
    <s v="Mainframe"/>
    <m/>
    <e v="#NAME?"/>
    <e v="#NAME?"/>
    <e v="#NAME?"/>
    <m/>
    <m/>
    <m/>
    <m/>
    <m/>
  </r>
  <r>
    <s v="O001869"/>
    <x v="736"/>
    <x v="3"/>
    <x v="15"/>
    <s v="BBVA"/>
    <e v="#NAME?"/>
    <s v="SDATOOL-33847 $ Resolución 0042 DIAN Documento Soporte"/>
    <n v="0.05"/>
    <s v="Tech Manager/Líder"/>
    <s v="Otras Tec."/>
    <m/>
    <e v="#NAME?"/>
    <e v="#NAME?"/>
    <e v="#NAME?"/>
    <m/>
    <m/>
    <m/>
    <m/>
    <m/>
  </r>
  <r>
    <s v="O001869"/>
    <x v="736"/>
    <x v="3"/>
    <x v="15"/>
    <s v="BBVA"/>
    <e v="#NAME?"/>
    <s v="SDATOOL-33846 $ SREP Data Quality- BCBS239 - Colombia"/>
    <n v="0.05"/>
    <s v="Tech Manager/Líder"/>
    <s v="Otras Tec."/>
    <m/>
    <e v="#NAME?"/>
    <e v="#NAME?"/>
    <e v="#NAME?"/>
    <m/>
    <m/>
    <m/>
    <m/>
    <m/>
  </r>
  <r>
    <s v="O001869"/>
    <x v="736"/>
    <x v="3"/>
    <x v="15"/>
    <s v="BBVA"/>
    <e v="#NAME?"/>
    <s v="SDATOOL-34157 $ Evolutivo Parthnership - Crédito en punto de venta de Aliados"/>
    <n v="0.15"/>
    <s v="Tech Manager/Líder"/>
    <s v="Otras Tec."/>
    <m/>
    <e v="#NAME?"/>
    <e v="#NAME?"/>
    <e v="#NAME?"/>
    <m/>
    <m/>
    <m/>
    <m/>
    <m/>
  </r>
  <r>
    <s v="O001869"/>
    <x v="736"/>
    <x v="3"/>
    <x v="15"/>
    <s v="BBVA"/>
    <e v="#NAME?"/>
    <s v="SDATOOL-40877 $ Centralización Garantías Especiales"/>
    <n v="0.05"/>
    <s v="Tech Manager/Líder"/>
    <s v="Otras Tec."/>
    <m/>
    <e v="#NAME?"/>
    <e v="#NAME?"/>
    <e v="#NAME?"/>
    <m/>
    <m/>
    <m/>
    <m/>
    <m/>
  </r>
  <r>
    <s v="O001869"/>
    <x v="736"/>
    <x v="3"/>
    <x v="15"/>
    <s v="BBVA"/>
    <e v="#NAME?"/>
    <s v="SDATOOL-40062 $ Implementación FGA en flujos de contratación digital"/>
    <n v="0.2"/>
    <s v="Tech Manager/Líder"/>
    <s v="Otras Tec."/>
    <m/>
    <e v="#NAME?"/>
    <e v="#NAME?"/>
    <e v="#NAME?"/>
    <m/>
    <m/>
    <m/>
    <m/>
    <m/>
  </r>
  <r>
    <s v="O001869"/>
    <x v="736"/>
    <x v="3"/>
    <x v="15"/>
    <s v="BBVA"/>
    <e v="#NAME?"/>
    <s v="SDATOOL-40466 $ Garantía FAG"/>
    <n v="0.15"/>
    <s v="Tech Manager/Líder"/>
    <s v="Otras Tec."/>
    <m/>
    <e v="#NAME?"/>
    <e v="#NAME?"/>
    <e v="#NAME?"/>
    <m/>
    <m/>
    <m/>
    <m/>
    <m/>
  </r>
  <r>
    <s v="O001869"/>
    <x v="736"/>
    <x v="3"/>
    <x v="15"/>
    <s v="BBVA"/>
    <e v="#NAME?"/>
    <s v="SDATOOL-41729 $ SEGUNDA LIBRANZA - APLICACION PAGOS Y VoBo PAGADOR"/>
    <n v="0.1"/>
    <s v="Tech Manager/Líder"/>
    <s v="Otras Tec."/>
    <m/>
    <e v="#NAME?"/>
    <e v="#NAME?"/>
    <e v="#NAME?"/>
    <m/>
    <m/>
    <m/>
    <m/>
    <m/>
  </r>
  <r>
    <s v="O001869"/>
    <x v="736"/>
    <x v="3"/>
    <x v="15"/>
    <s v="BBVA"/>
    <e v="#NAME?"/>
    <s v="SDATOOL-40225 $ Resolución 0124 Dian - 2021 - Ajustes para Reporte de Información Exógena año gravable 2022 - Ciclo 1"/>
    <n v="0.05"/>
    <s v="Tech Manager/Líder"/>
    <s v="Otras Tec."/>
    <m/>
    <e v="#NAME?"/>
    <e v="#NAME?"/>
    <e v="#NAME?"/>
    <m/>
    <m/>
    <m/>
    <m/>
    <m/>
  </r>
  <r>
    <s v="O001869"/>
    <x v="736"/>
    <x v="3"/>
    <x v="15"/>
    <s v="BBVA"/>
    <e v="#NAME?"/>
    <s v="NOSDA $ BAU (Mantenimiento y peq. evolutivos)"/>
    <n v="0.1"/>
    <s v="Tech Manager/Líder"/>
    <s v="Otras Tec."/>
    <m/>
    <e v="#NAME?"/>
    <e v="#NAME?"/>
    <e v="#NAME?"/>
    <m/>
    <m/>
    <m/>
    <m/>
    <m/>
  </r>
  <r>
    <s v="CE30638"/>
    <x v="737"/>
    <x v="3"/>
    <x v="15"/>
    <s v="Inetum"/>
    <e v="#NAME?"/>
    <s v="SDATOOL-36548 $ Optimización consumo web - Plan ascenso Open Market"/>
    <n v="1"/>
    <s v="Desarrollador"/>
    <s v="Mainframe"/>
    <m/>
    <e v="#NAME?"/>
    <e v="#NAME?"/>
    <e v="#NAME?"/>
    <m/>
    <m/>
    <m/>
    <m/>
    <m/>
  </r>
  <r>
    <s v="C805965"/>
    <x v="738"/>
    <x v="3"/>
    <x v="15"/>
    <s v="BBVA"/>
    <e v="#NAME?"/>
    <s v="SDATOOL-34157 $ Evolutivo Parthnership - Crédito en punto de venta de Aliados"/>
    <n v="0.1"/>
    <s v="Desarrollador"/>
    <s v="APX"/>
    <m/>
    <e v="#NAME?"/>
    <e v="#NAME?"/>
    <e v="#NAME?"/>
    <m/>
    <m/>
    <m/>
    <m/>
    <m/>
  </r>
  <r>
    <s v="C805965"/>
    <x v="738"/>
    <x v="3"/>
    <x v="15"/>
    <s v="BBVA"/>
    <e v="#NAME?"/>
    <s v="SDATOOL-34157 $ Evolutivo Parthnership - Crédito en punto de venta de Aliados"/>
    <n v="0.1"/>
    <s v="Desarrollador"/>
    <s v="APX"/>
    <m/>
    <e v="#NAME?"/>
    <e v="#NAME?"/>
    <e v="#NAME?"/>
    <m/>
    <m/>
    <m/>
    <m/>
    <m/>
  </r>
  <r>
    <s v="C805965"/>
    <x v="738"/>
    <x v="3"/>
    <x v="15"/>
    <s v="BBVA"/>
    <e v="#NAME?"/>
    <s v="SDATOOL-40062 $ Implementación FGA en flujos de contratación digital"/>
    <n v="0.8"/>
    <s v="Desarrollador"/>
    <s v="APX"/>
    <m/>
    <e v="#NAME?"/>
    <e v="#NAME?"/>
    <e v="#NAME?"/>
    <m/>
    <m/>
    <m/>
    <m/>
    <m/>
  </r>
  <r>
    <s v="C342543"/>
    <x v="739"/>
    <x v="3"/>
    <x v="15"/>
    <s v="BBVA"/>
    <e v="#NAME?"/>
    <s v="SDATOOL-33847 $ Resolución 0042 DIAN Documento Soporte"/>
    <n v="0.1"/>
    <s v="Desarrollador"/>
    <s v="Mainframe"/>
    <m/>
    <e v="#NAME?"/>
    <e v="#NAME?"/>
    <e v="#NAME?"/>
    <m/>
    <m/>
    <m/>
    <m/>
    <m/>
  </r>
  <r>
    <s v="C342543"/>
    <x v="739"/>
    <x v="3"/>
    <x v="15"/>
    <s v="BBVA"/>
    <e v="#NAME?"/>
    <s v="SDATOOL-33846 $ SREP Data Quality- BCBS239 - Colombia"/>
    <n v="0.1"/>
    <s v="Desarrollador"/>
    <s v="Mainframe"/>
    <m/>
    <e v="#NAME?"/>
    <e v="#NAME?"/>
    <e v="#NAME?"/>
    <m/>
    <m/>
    <m/>
    <m/>
    <m/>
  </r>
  <r>
    <s v="C342543"/>
    <x v="739"/>
    <x v="3"/>
    <x v="15"/>
    <s v="BBVA"/>
    <e v="#NAME?"/>
    <s v="SDATOOL-41729 $ SEGUNDA LIBRANZA - APLICACION PAGOS Y VoBo PAGADOR"/>
    <n v="0.1"/>
    <s v="Desarrollador"/>
    <s v="Mainframe"/>
    <m/>
    <e v="#NAME?"/>
    <e v="#NAME?"/>
    <e v="#NAME?"/>
    <m/>
    <m/>
    <m/>
    <m/>
    <m/>
  </r>
  <r>
    <s v="C342543"/>
    <x v="739"/>
    <x v="3"/>
    <x v="15"/>
    <s v="BBVA"/>
    <e v="#NAME?"/>
    <s v="SDATOOL-36548 $ Optimización consumo web - Plan ascenso Open Market"/>
    <n v="0.1"/>
    <s v="Desarrollador"/>
    <s v="Mainframe"/>
    <m/>
    <e v="#NAME?"/>
    <e v="#NAME?"/>
    <e v="#NAME?"/>
    <m/>
    <m/>
    <m/>
    <m/>
    <m/>
  </r>
  <r>
    <s v="C342543"/>
    <x v="739"/>
    <x v="3"/>
    <x v="15"/>
    <s v="BBVA"/>
    <e v="#NAME?"/>
    <s v="SDATOOL-40466 $ Garantía FAG"/>
    <n v="0.1"/>
    <s v="Desarrollador"/>
    <s v="Mainframe"/>
    <m/>
    <e v="#NAME?"/>
    <e v="#NAME?"/>
    <e v="#NAME?"/>
    <m/>
    <m/>
    <m/>
    <m/>
    <m/>
  </r>
  <r>
    <s v="C342543"/>
    <x v="739"/>
    <x v="3"/>
    <x v="15"/>
    <s v="BBVA"/>
    <e v="#NAME?"/>
    <s v="SDATOOL-42155 $ Ajustes en proceso de Titularización y recompra de cartera titularizada"/>
    <n v="0.1"/>
    <s v="Desarrollador"/>
    <s v="Mainframe"/>
    <m/>
    <e v="#NAME?"/>
    <e v="#NAME?"/>
    <e v="#NAME?"/>
    <m/>
    <m/>
    <m/>
    <m/>
    <m/>
  </r>
  <r>
    <s v="C342543"/>
    <x v="739"/>
    <x v="3"/>
    <x v="15"/>
    <s v="BBVA"/>
    <e v="#NAME?"/>
    <s v="NOSDA $ BAU (Mantenimiento y peq. evolutivos)"/>
    <n v="0.4"/>
    <s v="Desarrollador"/>
    <s v="Mainframe"/>
    <m/>
    <e v="#NAME?"/>
    <e v="#NAME?"/>
    <e v="#NAME?"/>
    <m/>
    <m/>
    <m/>
    <m/>
    <m/>
  </r>
  <r>
    <s v="CE66714"/>
    <x v="740"/>
    <x v="3"/>
    <x v="15"/>
    <s v="Novatec"/>
    <e v="#NAME?"/>
    <s v="SDATOOL-34887 $ Vivienda Digital Open Market"/>
    <n v="0.35"/>
    <s v="Desarrollador"/>
    <s v="Cells"/>
    <m/>
    <e v="#NAME?"/>
    <e v="#NAME?"/>
    <e v="#NAME?"/>
    <m/>
    <m/>
    <m/>
    <m/>
    <m/>
  </r>
  <r>
    <s v="CE66714"/>
    <x v="740"/>
    <x v="3"/>
    <x v="15"/>
    <s v="Novatec"/>
    <e v="#NAME?"/>
    <s v="SDATOOL-39836 $ Vivienda digital fase III"/>
    <n v="0.3"/>
    <s v="Desarrollador"/>
    <s v="Cells"/>
    <m/>
    <e v="#NAME?"/>
    <e v="#NAME?"/>
    <e v="#NAME?"/>
    <m/>
    <m/>
    <m/>
    <m/>
    <m/>
  </r>
  <r>
    <s v="CE66714"/>
    <x v="740"/>
    <x v="3"/>
    <x v="15"/>
    <s v="Novatec"/>
    <e v="#NAME?"/>
    <s v="SDATOOL-39272 $ GRM-Col-Cambio servicio APL (Aportes en línea)"/>
    <n v="0.35"/>
    <s v="Desarrollador"/>
    <s v="Cells"/>
    <m/>
    <e v="#NAME?"/>
    <e v="#NAME?"/>
    <e v="#NAME?"/>
    <m/>
    <m/>
    <m/>
    <m/>
    <m/>
  </r>
  <r>
    <s v="CE67847"/>
    <x v="741"/>
    <x v="3"/>
    <x v="15"/>
    <s v="Inetum"/>
    <e v="#NAME?"/>
    <s v="SDATOOL-39836 $ Vivienda digital fase III"/>
    <n v="1"/>
    <s v="Desarrollador"/>
    <s v="ASO"/>
    <m/>
    <e v="#NAME?"/>
    <e v="#NAME?"/>
    <e v="#NAME?"/>
    <m/>
    <m/>
    <m/>
    <m/>
    <m/>
  </r>
  <r>
    <s v="P002414"/>
    <x v="742"/>
    <x v="3"/>
    <x v="15"/>
    <s v="Novatec"/>
    <e v="#NAME?"/>
    <s v="SDATOOL-34887 $ Vivienda Digital Open Market"/>
    <n v="1"/>
    <s v="Desarrollador"/>
    <s v="Cells"/>
    <m/>
    <e v="#NAME?"/>
    <e v="#NAME?"/>
    <e v="#NAME?"/>
    <m/>
    <m/>
    <m/>
    <m/>
    <m/>
  </r>
  <r>
    <s v="CE65598"/>
    <x v="743"/>
    <x v="3"/>
    <x v="15"/>
    <s v="KRYPTO"/>
    <e v="#NAME?"/>
    <s v="SDATOOL-34887 $ Vivienda Digital Open Market"/>
    <n v="0.3"/>
    <s v="QA"/>
    <s v="Distribuido"/>
    <m/>
    <e v="#NAME?"/>
    <e v="#NAME?"/>
    <e v="#NAME?"/>
    <m/>
    <m/>
    <m/>
    <m/>
    <m/>
  </r>
  <r>
    <s v="CE65598"/>
    <x v="743"/>
    <x v="3"/>
    <x v="15"/>
    <s v="KRYPTO"/>
    <e v="#NAME?"/>
    <s v="SDATOOL-39836 $ Vivienda digital fase III"/>
    <n v="0.3"/>
    <s v="QA"/>
    <s v="Distribuido"/>
    <m/>
    <e v="#NAME?"/>
    <e v="#NAME?"/>
    <e v="#NAME?"/>
    <m/>
    <m/>
    <m/>
    <m/>
    <m/>
  </r>
  <r>
    <s v="CE65598"/>
    <x v="743"/>
    <x v="3"/>
    <x v="15"/>
    <s v="KRYPTO"/>
    <e v="#NAME?"/>
    <s v="SDATOOL-39272 $ GRM-Col-Cambio servicio APL (Aportes en línea)"/>
    <n v="0.4"/>
    <s v="QA"/>
    <s v="Distribuido"/>
    <m/>
    <e v="#NAME?"/>
    <e v="#NAME?"/>
    <e v="#NAME?"/>
    <m/>
    <m/>
    <m/>
    <m/>
    <m/>
  </r>
  <r>
    <s v="C342598"/>
    <x v="744"/>
    <x v="3"/>
    <x v="15"/>
    <s v="BBVA"/>
    <e v="#NAME?"/>
    <s v="SDATOOL-34887 $ Vivienda Digital Open Market"/>
    <n v="0.1"/>
    <s v="Desarrollador"/>
    <s v="Mainframe"/>
    <m/>
    <e v="#NAME?"/>
    <e v="#NAME?"/>
    <e v="#NAME?"/>
    <m/>
    <m/>
    <m/>
    <m/>
    <m/>
  </r>
  <r>
    <s v="C342598"/>
    <x v="744"/>
    <x v="3"/>
    <x v="15"/>
    <s v="BBVA"/>
    <e v="#NAME?"/>
    <s v="SDATOOL-39836 $ Vivienda digital fase III"/>
    <n v="0.15"/>
    <s v="Desarrollador"/>
    <s v="Mainframe"/>
    <m/>
    <e v="#NAME?"/>
    <e v="#NAME?"/>
    <e v="#NAME?"/>
    <m/>
    <m/>
    <m/>
    <m/>
    <m/>
  </r>
  <r>
    <s v="C342598"/>
    <x v="744"/>
    <x v="3"/>
    <x v="15"/>
    <s v="BBVA"/>
    <e v="#NAME?"/>
    <s v="SDATOOL-39272 $ GRM-Col-Cambio servicio APL (Aportes en línea)"/>
    <n v="0.2"/>
    <s v="Desarrollador"/>
    <s v="Mainframe"/>
    <m/>
    <e v="#NAME?"/>
    <e v="#NAME?"/>
    <e v="#NAME?"/>
    <m/>
    <m/>
    <m/>
    <m/>
    <m/>
  </r>
  <r>
    <s v="C342598"/>
    <x v="744"/>
    <x v="3"/>
    <x v="15"/>
    <s v="BBVA"/>
    <e v="#NAME?"/>
    <s v="SDATOOL-37136 $ Conexión simulador vía API Vehículo digital"/>
    <n v="0.2"/>
    <s v="Desarrollador"/>
    <s v="Mainframe"/>
    <m/>
    <e v="#NAME?"/>
    <e v="#NAME?"/>
    <e v="#NAME?"/>
    <m/>
    <m/>
    <m/>
    <m/>
    <m/>
  </r>
  <r>
    <s v="C342598"/>
    <x v="744"/>
    <x v="3"/>
    <x v="15"/>
    <s v="BBVA"/>
    <e v="#NAME?"/>
    <s v="SDATOOL-41752 $ Consumo Openmk con Biometría Obligatoria por Nácar para desembolsar"/>
    <n v="0.15"/>
    <s v="Desarrollador"/>
    <s v="Mainframe"/>
    <m/>
    <e v="#NAME?"/>
    <e v="#NAME?"/>
    <e v="#NAME?"/>
    <m/>
    <m/>
    <m/>
    <m/>
    <m/>
  </r>
  <r>
    <s v="C342598"/>
    <x v="744"/>
    <x v="3"/>
    <x v="15"/>
    <s v="BBVA"/>
    <e v="#NAME?"/>
    <s v="SDATOOL-36548 $ Optimización consumo web - Plan ascenso Open Market"/>
    <n v="0.2"/>
    <s v="Desarrollador"/>
    <s v="Mainframe"/>
    <m/>
    <e v="#NAME?"/>
    <e v="#NAME?"/>
    <e v="#NAME?"/>
    <m/>
    <m/>
    <m/>
    <m/>
    <m/>
  </r>
  <r>
    <s v="CE68302"/>
    <x v="745"/>
    <x v="3"/>
    <x v="15"/>
    <s v="Choucair"/>
    <e v="#NAME?"/>
    <s v="SDATOOL-34157 $ Evolutivo Parthnership - Crédito en punto de venta de Aliados"/>
    <n v="1"/>
    <s v="QA"/>
    <s v="Distribuido"/>
    <m/>
    <e v="#NAME?"/>
    <e v="#NAME?"/>
    <e v="#NAME?"/>
    <m/>
    <m/>
    <m/>
    <m/>
    <m/>
  </r>
  <r>
    <s v="C811057"/>
    <x v="746"/>
    <x v="3"/>
    <x v="15"/>
    <s v="BBVA"/>
    <e v="#NAME?"/>
    <s v="NOSDA $ BAU (Mantenimiento y peq. evolutivos)"/>
    <n v="1"/>
    <s v="Desarrollador"/>
    <s v="Mainframe"/>
    <m/>
    <e v="#NAME?"/>
    <e v="#NAME?"/>
    <e v="#NAME?"/>
    <m/>
    <m/>
    <m/>
    <m/>
    <m/>
  </r>
  <r>
    <s v="CE69094"/>
    <x v="747"/>
    <x v="3"/>
    <x v="15"/>
    <s v="KRYPTO"/>
    <e v="#NAME?"/>
    <s v="SDATOOL-34887 $ Vivienda Digital Open Market"/>
    <n v="0.5"/>
    <s v="QA"/>
    <s v="Distribuido"/>
    <m/>
    <e v="#NAME?"/>
    <e v="#NAME?"/>
    <e v="#NAME?"/>
    <m/>
    <m/>
    <m/>
    <m/>
    <m/>
  </r>
  <r>
    <s v="CE69094"/>
    <x v="747"/>
    <x v="3"/>
    <x v="15"/>
    <s v="KRYPTO"/>
    <e v="#NAME?"/>
    <s v="SDATOOL-39836 $ Vivienda digital fase III"/>
    <n v="0.5"/>
    <s v="QA"/>
    <s v="Distribuido"/>
    <m/>
    <e v="#NAME?"/>
    <e v="#NAME?"/>
    <e v="#NAME?"/>
    <m/>
    <m/>
    <m/>
    <m/>
    <m/>
  </r>
  <r>
    <s v="C796415"/>
    <x v="748"/>
    <x v="3"/>
    <x v="15"/>
    <s v="BBVA"/>
    <e v="#NAME?"/>
    <s v="NOSDA $ BAU (Mantenimiento y peq. evolutivos)"/>
    <n v="1"/>
    <s v="Tech Manager/Líder"/>
    <s v="Mainframe"/>
    <m/>
    <e v="#NAME?"/>
    <e v="#NAME?"/>
    <e v="#NAME?"/>
    <m/>
    <m/>
    <m/>
    <m/>
    <m/>
  </r>
  <r>
    <s v="O000448"/>
    <x v="749"/>
    <x v="3"/>
    <x v="15"/>
    <s v="BBVA"/>
    <e v="#NAME?"/>
    <s v="SDATOOL-39836 $ Vivienda digital fase III"/>
    <n v="0.5"/>
    <s v="Desarrollador"/>
    <s v="APX"/>
    <m/>
    <e v="#NAME?"/>
    <e v="#NAME?"/>
    <e v="#NAME?"/>
    <m/>
    <m/>
    <m/>
    <m/>
    <m/>
  </r>
  <r>
    <s v="O000448"/>
    <x v="749"/>
    <x v="3"/>
    <x v="15"/>
    <s v="BBVA"/>
    <e v="#NAME?"/>
    <s v="SDATOOL-34887 $ Vivienda Digital Open Market"/>
    <n v="0.2"/>
    <s v="Desarrollador"/>
    <s v="APX"/>
    <m/>
    <e v="#NAME?"/>
    <e v="#NAME?"/>
    <e v="#NAME?"/>
    <m/>
    <m/>
    <m/>
    <m/>
    <m/>
  </r>
  <r>
    <s v="O000448"/>
    <x v="749"/>
    <x v="3"/>
    <x v="15"/>
    <s v="BBVA"/>
    <e v="#NAME?"/>
    <s v="SDATOOL-39272 $ GRM-Col-Cambio servicio APL (Aportes en línea)"/>
    <n v="0.3"/>
    <s v="Desarrollador"/>
    <s v="APX"/>
    <m/>
    <e v="#NAME?"/>
    <e v="#NAME?"/>
    <e v="#NAME?"/>
    <m/>
    <m/>
    <m/>
    <m/>
    <m/>
  </r>
  <r>
    <s v="C805991"/>
    <x v="750"/>
    <x v="3"/>
    <x v="15"/>
    <s v="BBVA"/>
    <e v="#NAME?"/>
    <s v="SDATOOL-36548 $ Optimización consumo web - Plan ascenso Open Market"/>
    <n v="0.2"/>
    <s v="Desarrollador"/>
    <s v="ASO"/>
    <m/>
    <e v="#NAME?"/>
    <e v="#NAME?"/>
    <e v="#NAME?"/>
    <m/>
    <m/>
    <m/>
    <m/>
    <m/>
  </r>
  <r>
    <s v="C805991"/>
    <x v="750"/>
    <x v="3"/>
    <x v="15"/>
    <s v="BBVA"/>
    <e v="#NAME?"/>
    <s v="SDATOOL-39272 $ GRM-Col-Cambio servicio APL (Aportes en línea)"/>
    <n v="0.3"/>
    <s v="Desarrollador"/>
    <s v="ASO"/>
    <m/>
    <e v="#NAME?"/>
    <e v="#NAME?"/>
    <e v="#NAME?"/>
    <m/>
    <m/>
    <m/>
    <m/>
    <m/>
  </r>
  <r>
    <s v="C805991"/>
    <x v="750"/>
    <x v="3"/>
    <x v="15"/>
    <s v="BBVA"/>
    <e v="#NAME?"/>
    <s v="SDATOOL-36548 $ Optimización consumo web - Plan ascenso Open Market"/>
    <n v="0.3"/>
    <s v="Desarrollador"/>
    <s v="ASO"/>
    <m/>
    <e v="#NAME?"/>
    <e v="#NAME?"/>
    <e v="#NAME?"/>
    <m/>
    <m/>
    <m/>
    <m/>
    <m/>
  </r>
  <r>
    <s v="C805991"/>
    <x v="750"/>
    <x v="3"/>
    <x v="15"/>
    <s v="BBVA"/>
    <e v="#NAME?"/>
    <s v="NOSDA $ BAU (Mantenimiento y peq. evolutivos)"/>
    <n v="0.2"/>
    <s v="Desarrollador"/>
    <s v="ASO"/>
    <s v="Se esta revisando la mejora del Validate Products"/>
    <e v="#NAME?"/>
    <e v="#NAME?"/>
    <e v="#NAME?"/>
    <m/>
    <m/>
    <m/>
    <m/>
    <m/>
  </r>
  <r>
    <s v="O001038"/>
    <x v="751"/>
    <x v="3"/>
    <x v="15"/>
    <s v="BBVA"/>
    <e v="#NAME?"/>
    <s v="NOSDA $ BAU (Mantenimiento y peq. evolutivos)"/>
    <n v="1"/>
    <s v="Desarrollador"/>
    <s v="Mainframe"/>
    <m/>
    <e v="#NAME?"/>
    <e v="#NAME?"/>
    <e v="#NAME?"/>
    <m/>
    <m/>
    <m/>
    <m/>
    <m/>
  </r>
  <r>
    <s v="CE50152"/>
    <x v="752"/>
    <x v="3"/>
    <x v="15"/>
    <s v="Inetum"/>
    <e v="#NAME?"/>
    <s v="NOSDA $ BAU (Mantenimiento y peq. evolutivos)"/>
    <n v="1"/>
    <s v="QA"/>
    <s v="Mainframe"/>
    <m/>
    <e v="#NAME?"/>
    <e v="#NAME?"/>
    <e v="#NAME?"/>
    <m/>
    <m/>
    <m/>
    <m/>
    <m/>
  </r>
  <r>
    <s v="CE60769"/>
    <x v="753"/>
    <x v="3"/>
    <x v="15"/>
    <s v="Inetum"/>
    <e v="#NAME?"/>
    <s v="SDATOOL-39836 $ Vivienda digital fase III"/>
    <n v="1"/>
    <s v="Desarrollador"/>
    <s v="Mainframe"/>
    <m/>
    <e v="#NAME?"/>
    <e v="#NAME?"/>
    <e v="#NAME?"/>
    <m/>
    <m/>
    <m/>
    <m/>
    <m/>
  </r>
  <r>
    <s v="CE52097"/>
    <x v="754"/>
    <x v="3"/>
    <x v="15"/>
    <s v="Neoris"/>
    <e v="#NAME?"/>
    <s v="NOSDA $ BAU (Mantenimiento y peq. evolutivos)"/>
    <n v="1"/>
    <s v="Desarrollador"/>
    <s v="Mainframe"/>
    <m/>
    <e v="#NAME?"/>
    <e v="#NAME?"/>
    <e v="#NAME?"/>
    <m/>
    <m/>
    <m/>
    <m/>
    <m/>
  </r>
  <r>
    <s v="CE61638"/>
    <x v="755"/>
    <x v="3"/>
    <x v="15"/>
    <s v="KRYPTO"/>
    <e v="#NAME?"/>
    <s v="SDATOOL-35463 $ Gestión de Ingresos - Períodos de Gracia Libranzas"/>
    <n v="1"/>
    <s v="QA"/>
    <s v="Mainframe"/>
    <m/>
    <e v="#NAME?"/>
    <e v="#NAME?"/>
    <e v="#NAME?"/>
    <m/>
    <m/>
    <m/>
    <m/>
    <m/>
  </r>
  <r>
    <s v="O001111"/>
    <x v="756"/>
    <x v="3"/>
    <x v="15"/>
    <s v="BBVA"/>
    <e v="#NAME?"/>
    <s v="SDATOOL-36548 $ Optimización consumo web - Plan ascenso Open Market"/>
    <n v="1"/>
    <s v="Desarrollador"/>
    <s v="Mainframe"/>
    <m/>
    <e v="#NAME?"/>
    <e v="#NAME?"/>
    <e v="#NAME?"/>
    <m/>
    <m/>
    <m/>
    <m/>
    <m/>
  </r>
  <r>
    <s v="CE66153"/>
    <x v="757"/>
    <x v="3"/>
    <x v="15"/>
    <s v="Novatec"/>
    <e v="#NAME?"/>
    <s v="SDATOOL-39836 $ Vivienda digital fase III"/>
    <n v="0.7"/>
    <s v="Desarrollador"/>
    <s v="Cells"/>
    <m/>
    <e v="#NAME?"/>
    <e v="#NAME?"/>
    <e v="#NAME?"/>
    <m/>
    <m/>
    <m/>
    <m/>
    <m/>
  </r>
  <r>
    <s v="CE66153"/>
    <x v="757"/>
    <x v="3"/>
    <x v="15"/>
    <s v="Novatec"/>
    <e v="#NAME?"/>
    <s v="SDATOOL-39272 $ GRM-Col-Cambio servicio APL (Aportes en línea)"/>
    <n v="0.3"/>
    <s v="Desarrollador"/>
    <s v="Cells"/>
    <m/>
    <e v="#NAME?"/>
    <e v="#NAME?"/>
    <e v="#NAME?"/>
    <m/>
    <m/>
    <m/>
    <m/>
    <m/>
  </r>
  <r>
    <s v="C811329"/>
    <x v="758"/>
    <x v="3"/>
    <x v="15"/>
    <s v="BBVA"/>
    <e v="#NAME?"/>
    <s v="NOSDA $ BAU (Mantenimiento y peq. evolutivos)"/>
    <n v="1"/>
    <s v="Desarrollador"/>
    <s v="Mainframe"/>
    <m/>
    <e v="#NAME?"/>
    <e v="#NAME?"/>
    <e v="#NAME?"/>
    <m/>
    <m/>
    <m/>
    <m/>
    <m/>
  </r>
  <r>
    <s v="CE61687"/>
    <x v="759"/>
    <x v="3"/>
    <x v="15"/>
    <s v="Accenture"/>
    <e v="#NAME?"/>
    <s v="SDATOOL-36548 $ Optimización consumo web - Plan ascenso Open Market"/>
    <n v="0.7"/>
    <s v="Desarrollador"/>
    <s v="APX"/>
    <m/>
    <e v="#NAME?"/>
    <e v="#NAME?"/>
    <e v="#NAME?"/>
    <m/>
    <m/>
    <m/>
    <m/>
    <m/>
  </r>
  <r>
    <s v="CE61687"/>
    <x v="759"/>
    <x v="3"/>
    <x v="15"/>
    <s v="Accenture"/>
    <e v="#NAME?"/>
    <s v="SDATOOL-39272 $ GRM-Col-Cambio servicio APL (Aportes en línea)"/>
    <n v="0.3"/>
    <s v="Desarrollador"/>
    <s v="APX"/>
    <m/>
    <e v="#NAME?"/>
    <e v="#NAME?"/>
    <e v="#NAME?"/>
    <m/>
    <m/>
    <m/>
    <m/>
    <m/>
  </r>
  <r>
    <s v="C808819"/>
    <x v="760"/>
    <x v="3"/>
    <x v="15"/>
    <s v="BBVA"/>
    <e v="#NAME?"/>
    <s v="SDATOOL-34887 $ Vivienda Digital Open Market"/>
    <n v="0.4"/>
    <s v="Desarrollador"/>
    <s v="Mainframe"/>
    <m/>
    <e v="#NAME?"/>
    <e v="#NAME?"/>
    <e v="#NAME?"/>
    <m/>
    <m/>
    <m/>
    <m/>
    <m/>
  </r>
  <r>
    <s v="C808819"/>
    <x v="760"/>
    <x v="3"/>
    <x v="15"/>
    <s v="BBVA"/>
    <e v="#NAME?"/>
    <s v="SDATOOL-39836 $ Vivienda digital fase III"/>
    <n v="0.6"/>
    <s v="Desarrollador"/>
    <s v="Mainframe"/>
    <m/>
    <e v="#NAME?"/>
    <e v="#NAME?"/>
    <e v="#NAME?"/>
    <m/>
    <m/>
    <m/>
    <m/>
    <m/>
  </r>
  <r>
    <s v="CE64753"/>
    <x v="761"/>
    <x v="3"/>
    <x v="15"/>
    <s v="KRYPTO"/>
    <e v="#NAME?"/>
    <s v="NOSDA $ BAU (Mantenimiento y peq. evolutivos)"/>
    <n v="1"/>
    <s v="QA"/>
    <s v="Mainframe"/>
    <m/>
    <e v="#NAME?"/>
    <e v="#NAME?"/>
    <e v="#NAME?"/>
    <m/>
    <m/>
    <m/>
    <m/>
    <m/>
  </r>
  <r>
    <s v="C804405"/>
    <x v="762"/>
    <x v="3"/>
    <x v="15"/>
    <s v="BBVA"/>
    <e v="#NAME?"/>
    <s v="NOSDA $ BAU (Mantenimiento y peq. evolutivos)"/>
    <n v="0.3"/>
    <s v="Desarrollador"/>
    <s v="Mainframe"/>
    <m/>
    <e v="#NAME?"/>
    <e v="#NAME?"/>
    <e v="#NAME?"/>
    <m/>
    <m/>
    <m/>
    <m/>
    <m/>
  </r>
  <r>
    <s v="C804405"/>
    <x v="762"/>
    <x v="3"/>
    <x v="15"/>
    <s v="BBVA"/>
    <e v="#NAME?"/>
    <s v="SDATOOL-41729 $ SEGUNDA LIBRANZA - APLICACION PAGOS Y VoBo PAGADOR"/>
    <n v="0.7"/>
    <s v="Desarrollador"/>
    <s v="Mainframe"/>
    <m/>
    <e v="#NAME?"/>
    <e v="#NAME?"/>
    <e v="#NAME?"/>
    <m/>
    <m/>
    <m/>
    <m/>
    <m/>
  </r>
  <r>
    <s v="C809507"/>
    <x v="763"/>
    <x v="3"/>
    <x v="15"/>
    <s v="BBVA"/>
    <e v="#NAME?"/>
    <s v="SDATOOL-35463 $ Gestión de Ingresos - Períodos de Gracia Libranzas"/>
    <n v="1"/>
    <s v="Desarrollador"/>
    <s v="Mainframe"/>
    <m/>
    <e v="#NAME?"/>
    <e v="#NAME?"/>
    <e v="#NAME?"/>
    <m/>
    <m/>
    <m/>
    <m/>
    <m/>
  </r>
  <r>
    <s v="C808802"/>
    <x v="764"/>
    <x v="3"/>
    <x v="15"/>
    <s v="BBVA"/>
    <e v="#NAME?"/>
    <s v="SDATOOL-42155 $ Ajustes en proceso de Titularización y recompra de cartera titularizada"/>
    <n v="0.8"/>
    <s v="Desarrollador"/>
    <s v="Mainframe"/>
    <m/>
    <e v="#NAME?"/>
    <e v="#NAME?"/>
    <e v="#NAME?"/>
    <m/>
    <m/>
    <m/>
    <m/>
    <m/>
  </r>
  <r>
    <s v="C808802"/>
    <x v="764"/>
    <x v="3"/>
    <x v="15"/>
    <s v="BBVA"/>
    <e v="#NAME?"/>
    <s v="NOSDA $ BAU (Mantenimiento y peq. evolutivos)"/>
    <n v="0.2"/>
    <s v="Desarrollador"/>
    <s v="Mainframe"/>
    <m/>
    <e v="#NAME?"/>
    <e v="#NAME?"/>
    <e v="#NAME?"/>
    <m/>
    <m/>
    <m/>
    <m/>
    <m/>
  </r>
  <r>
    <s v="C809507"/>
    <x v="765"/>
    <x v="3"/>
    <x v="15"/>
    <s v="BBVA"/>
    <e v="#NAME?"/>
    <s v="NOSDA $ BAU (Mantenimiento y peq. evolutivos)"/>
    <n v="0.5"/>
    <s v="Desarrollador"/>
    <s v="Distribuido"/>
    <m/>
    <e v="#NAME?"/>
    <e v="#NAME?"/>
    <e v="#NAME?"/>
    <m/>
    <m/>
    <m/>
    <m/>
    <m/>
  </r>
  <r>
    <s v="C809507"/>
    <x v="765"/>
    <x v="3"/>
    <x v="15"/>
    <s v="BBVA"/>
    <e v="#NAME?"/>
    <s v="SDATOOL-40062 $ Implementación FGA en flujos de contratación digital"/>
    <n v="0.5"/>
    <s v="Desarrollador"/>
    <s v="Distribuido"/>
    <m/>
    <e v="#NAME?"/>
    <e v="#NAME?"/>
    <e v="#NAME?"/>
    <m/>
    <m/>
    <m/>
    <m/>
    <m/>
  </r>
  <r>
    <s v="T001910"/>
    <x v="766"/>
    <x v="3"/>
    <x v="15"/>
    <s v="Neoris"/>
    <e v="#NAME?"/>
    <s v="NOSDA $ BAU (Mantenimiento y peq. evolutivos)"/>
    <n v="1"/>
    <s v="Desarrollador"/>
    <s v="Mainframe"/>
    <m/>
    <e v="#NAME?"/>
    <e v="#NAME?"/>
    <e v="#NAME?"/>
    <m/>
    <m/>
    <m/>
    <m/>
    <m/>
  </r>
  <r>
    <s v="C808648"/>
    <x v="767"/>
    <x v="3"/>
    <x v="15"/>
    <s v="BBVA"/>
    <e v="#NAME?"/>
    <s v="SDATOOL-40466 $ Garantía FAG"/>
    <n v="1"/>
    <s v="Desarrollador"/>
    <s v="Mainframe"/>
    <m/>
    <e v="#NAME?"/>
    <e v="#NAME?"/>
    <e v="#NAME?"/>
    <m/>
    <m/>
    <m/>
    <m/>
    <m/>
  </r>
  <r>
    <s v="C343564"/>
    <x v="768"/>
    <x v="3"/>
    <x v="15"/>
    <s v="BBVA"/>
    <e v="#NAME?"/>
    <s v="SDATOOL-34157 $ Evolutivo Parthnership - Crédito en punto de venta de Aliados"/>
    <n v="0.1"/>
    <s v="Desarrollador"/>
    <s v="Mainframe"/>
    <m/>
    <e v="#NAME?"/>
    <e v="#NAME?"/>
    <e v="#NAME?"/>
    <m/>
    <m/>
    <m/>
    <m/>
    <m/>
  </r>
  <r>
    <s v="C343564"/>
    <x v="768"/>
    <x v="3"/>
    <x v="15"/>
    <s v="BBVA"/>
    <e v="#NAME?"/>
    <s v="SDATOOL-34157 $ Evolutivo Parthnership - Crédito en punto de venta de Aliados"/>
    <n v="0.1"/>
    <s v="Desarrollador"/>
    <s v="Mainframe"/>
    <m/>
    <e v="#NAME?"/>
    <e v="#NAME?"/>
    <e v="#NAME?"/>
    <m/>
    <m/>
    <m/>
    <m/>
    <m/>
  </r>
  <r>
    <s v="C343564"/>
    <x v="768"/>
    <x v="3"/>
    <x v="15"/>
    <s v="BBVA"/>
    <e v="#NAME?"/>
    <s v="SDATOOL-40062 $ Implementación FGA en flujos de contratación digital"/>
    <n v="0.8"/>
    <s v="Desarrollador"/>
    <s v="Mainframe"/>
    <m/>
    <e v="#NAME?"/>
    <e v="#NAME?"/>
    <e v="#NAME?"/>
    <m/>
    <m/>
    <m/>
    <m/>
    <m/>
  </r>
  <r>
    <s v="C805926"/>
    <x v="769"/>
    <x v="3"/>
    <x v="15"/>
    <s v="BBVA"/>
    <e v="#NAME?"/>
    <s v="SDATOOL-39836 $ Vivienda digital fase III"/>
    <n v="1"/>
    <s v="Desarrollador"/>
    <s v="ASO"/>
    <m/>
    <e v="#NAME?"/>
    <e v="#NAME?"/>
    <e v="#NAME?"/>
    <m/>
    <m/>
    <m/>
    <m/>
    <m/>
  </r>
  <r>
    <s v="O000197"/>
    <x v="770"/>
    <x v="3"/>
    <x v="15"/>
    <s v="BBVA"/>
    <e v="#NAME?"/>
    <s v="SDATOOL-34887 $ Vivienda Digital Open Market"/>
    <n v="0.1"/>
    <s v="Tech Manager/Líder"/>
    <s v="Otras Tec."/>
    <m/>
    <e v="#NAME?"/>
    <e v="#NAME?"/>
    <e v="#NAME?"/>
    <m/>
    <m/>
    <m/>
    <m/>
    <m/>
  </r>
  <r>
    <s v="O000197"/>
    <x v="770"/>
    <x v="3"/>
    <x v="15"/>
    <s v="BBVA"/>
    <e v="#NAME?"/>
    <s v="SDATOOL-39836 $ Vivienda digital fase III"/>
    <n v="0.3"/>
    <s v="Tech Manager/Líder"/>
    <s v="Otras Tec."/>
    <m/>
    <e v="#NAME?"/>
    <e v="#NAME?"/>
    <e v="#NAME?"/>
    <m/>
    <m/>
    <m/>
    <m/>
    <m/>
  </r>
  <r>
    <s v="O000197"/>
    <x v="770"/>
    <x v="3"/>
    <x v="15"/>
    <s v="BBVA"/>
    <e v="#NAME?"/>
    <s v="SDATOOL-39272 $ GRM-Col-Cambio servicio APL (Aportes en línea)"/>
    <n v="0.1"/>
    <s v="Tech Manager/Líder"/>
    <s v="Otras Tec."/>
    <m/>
    <e v="#NAME?"/>
    <e v="#NAME?"/>
    <e v="#NAME?"/>
    <m/>
    <m/>
    <m/>
    <m/>
    <m/>
  </r>
  <r>
    <s v="O000197"/>
    <x v="770"/>
    <x v="3"/>
    <x v="15"/>
    <s v="BBVA"/>
    <e v="#NAME?"/>
    <s v="SDATOOL-37136 $ Conexión simulador vía API Vehículo digital"/>
    <n v="0.05"/>
    <s v="Tech Manager/Líder"/>
    <s v="Otras Tec."/>
    <m/>
    <e v="#NAME?"/>
    <e v="#NAME?"/>
    <e v="#NAME?"/>
    <m/>
    <m/>
    <m/>
    <m/>
    <m/>
  </r>
  <r>
    <s v="O000197"/>
    <x v="770"/>
    <x v="3"/>
    <x v="15"/>
    <s v="BBVA"/>
    <e v="#NAME?"/>
    <s v="SDATOOL-41752 $ Consumo Openmk con Biometría Obligatoria por Nácar para desembolsar"/>
    <n v="0.05"/>
    <s v="Tech Manager/Líder"/>
    <s v="Otras Tec."/>
    <m/>
    <e v="#NAME?"/>
    <e v="#NAME?"/>
    <e v="#NAME?"/>
    <m/>
    <m/>
    <m/>
    <m/>
    <m/>
  </r>
  <r>
    <s v="O000197"/>
    <x v="770"/>
    <x v="3"/>
    <x v="15"/>
    <s v="BBVA"/>
    <e v="#NAME?"/>
    <s v="SDATOOL-36548 $ Optimización consumo web - Plan ascenso Open Market"/>
    <n v="0.3"/>
    <s v="Tech Manager/Líder"/>
    <s v="Otras Tec."/>
    <m/>
    <e v="#NAME?"/>
    <e v="#NAME?"/>
    <e v="#NAME?"/>
    <m/>
    <m/>
    <m/>
    <m/>
    <m/>
  </r>
  <r>
    <s v="O000197"/>
    <x v="770"/>
    <x v="3"/>
    <x v="15"/>
    <s v="BBVA"/>
    <e v="#NAME?"/>
    <s v="NOSDA $ BAU (Mantenimiento y peq. evolutivos)"/>
    <n v="0.1"/>
    <s v="Tech Manager/Líder"/>
    <s v="Otras Tec."/>
    <m/>
    <e v="#NAME?"/>
    <e v="#NAME?"/>
    <e v="#NAME?"/>
    <m/>
    <m/>
    <m/>
    <m/>
    <m/>
  </r>
  <r>
    <s v="O000158"/>
    <x v="771"/>
    <x v="3"/>
    <x v="15"/>
    <s v="BBVA"/>
    <e v="#NAME?"/>
    <s v="NOSDA $ BAU (Mantenimiento y peq. evolutivos)"/>
    <n v="1"/>
    <s v="Desarrollador"/>
    <s v="Mainframe"/>
    <m/>
    <e v="#NAME?"/>
    <e v="#NAME?"/>
    <e v="#NAME?"/>
    <m/>
    <m/>
    <m/>
    <m/>
    <m/>
  </r>
  <r>
    <s v="CE47926"/>
    <x v="772"/>
    <x v="3"/>
    <x v="15"/>
    <s v="Neoris"/>
    <e v="#NAME?"/>
    <s v="NOSDA $ BAU (Mantenimiento y peq. evolutivos)"/>
    <n v="1"/>
    <s v="Desarrollador"/>
    <s v="Mainframe"/>
    <m/>
    <e v="#NAME?"/>
    <e v="#NAME?"/>
    <e v="#NAME?"/>
    <m/>
    <m/>
    <m/>
    <m/>
    <m/>
  </r>
  <r>
    <s v="C811205"/>
    <x v="773"/>
    <x v="3"/>
    <x v="15"/>
    <s v="BBVA"/>
    <e v="#NAME?"/>
    <s v="NOSDA $ BAU (Mantenimiento y peq. evolutivos)"/>
    <n v="1"/>
    <s v="Desarrollador"/>
    <s v="Mainframe"/>
    <m/>
    <e v="#NAME?"/>
    <e v="#NAME?"/>
    <e v="#NAME?"/>
    <m/>
    <m/>
    <m/>
    <m/>
    <m/>
  </r>
  <r>
    <s v="O002661"/>
    <x v="774"/>
    <x v="3"/>
    <x v="15"/>
    <s v="BBVA"/>
    <e v="#NAME?"/>
    <s v="SDATOOL-34157 $ Evolutivo Parthnership - Crédito en punto de venta de Aliados"/>
    <n v="0.25"/>
    <s v="QA"/>
    <s v="Distribuido"/>
    <m/>
    <e v="#NAME?"/>
    <e v="#NAME?"/>
    <e v="#NAME?"/>
    <m/>
    <m/>
    <m/>
    <m/>
    <m/>
  </r>
  <r>
    <s v="O002661"/>
    <x v="774"/>
    <x v="3"/>
    <x v="15"/>
    <s v="BBVA"/>
    <e v="#NAME?"/>
    <s v="SDATOOL-36548 $ Optimización consumo web - Plan ascenso Open Market"/>
    <n v="0.25"/>
    <s v="QA"/>
    <s v="Distribuido"/>
    <m/>
    <e v="#NAME?"/>
    <e v="#NAME?"/>
    <e v="#NAME?"/>
    <m/>
    <m/>
    <m/>
    <m/>
    <m/>
  </r>
  <r>
    <s v="O002661"/>
    <x v="774"/>
    <x v="3"/>
    <x v="15"/>
    <s v="BBVA"/>
    <e v="#NAME?"/>
    <s v="SDATOOL-34887 $ Vivienda Digital Open Market"/>
    <n v="0.25"/>
    <s v="QA"/>
    <s v="Distribuido"/>
    <m/>
    <e v="#NAME?"/>
    <e v="#NAME?"/>
    <e v="#NAME?"/>
    <m/>
    <m/>
    <m/>
    <m/>
    <m/>
  </r>
  <r>
    <s v="O002661"/>
    <x v="774"/>
    <x v="3"/>
    <x v="15"/>
    <s v="BBVA"/>
    <e v="#NAME?"/>
    <s v="SDATOOL-34910 $ Libranza Digital"/>
    <n v="0.25"/>
    <s v="QA"/>
    <s v="Distribuido"/>
    <m/>
    <e v="#NAME?"/>
    <e v="#NAME?"/>
    <e v="#NAME?"/>
    <m/>
    <m/>
    <m/>
    <m/>
    <m/>
  </r>
  <r>
    <s v="CE56109"/>
    <x v="775"/>
    <x v="3"/>
    <x v="15"/>
    <s v="Neoris"/>
    <e v="#NAME?"/>
    <s v="NOSDA $ BAU (Mantenimiento y peq. evolutivos)"/>
    <n v="1"/>
    <s v="Desarrollador"/>
    <s v="Mainframe"/>
    <m/>
    <e v="#NAME?"/>
    <e v="#NAME?"/>
    <e v="#NAME?"/>
    <m/>
    <m/>
    <m/>
    <m/>
    <m/>
  </r>
  <r>
    <s v="T000361"/>
    <x v="776"/>
    <x v="3"/>
    <x v="15"/>
    <s v="Globant"/>
    <e v="#NAME?"/>
    <s v="SDATOOL-36548 $ Optimización consumo web - Plan ascenso Open Market"/>
    <n v="0.7"/>
    <s v="Desarrollador"/>
    <s v="Cells"/>
    <m/>
    <e v="#NAME?"/>
    <e v="#NAME?"/>
    <e v="#NAME?"/>
    <m/>
    <m/>
    <m/>
    <m/>
    <m/>
  </r>
  <r>
    <s v="T000361"/>
    <x v="776"/>
    <x v="3"/>
    <x v="15"/>
    <s v="Globant"/>
    <e v="#NAME?"/>
    <s v="SDATOOL-39272 $ GRM-Col-Cambio servicio APL (Aportes en línea)"/>
    <n v="0.3"/>
    <s v="Desarrollador"/>
    <s v="Cells"/>
    <m/>
    <e v="#NAME?"/>
    <e v="#NAME?"/>
    <e v="#NAME?"/>
    <m/>
    <m/>
    <m/>
    <m/>
    <m/>
  </r>
  <r>
    <s v="CI35128"/>
    <x v="669"/>
    <x v="1"/>
    <x v="18"/>
    <s v="BBVA Fiduciaria"/>
    <e v="#NAME?"/>
    <s v="NOSDA $ BAU (Mantenimiento y peq. evolutivos)"/>
    <n v="0.5"/>
    <s v="Tech Manager/Líder"/>
    <m/>
    <s v="Interno"/>
    <e v="#NAME?"/>
    <e v="#NAME?"/>
    <e v="#NAME?"/>
    <m/>
    <m/>
    <m/>
    <m/>
    <m/>
  </r>
  <r>
    <s v="CI35442"/>
    <x v="671"/>
    <x v="1"/>
    <x v="18"/>
    <s v="BBVA Fiduciaria"/>
    <e v="#NAME?"/>
    <s v="NOSDA $ BAU (Mantenimiento y peq. evolutivos)"/>
    <n v="0.4"/>
    <s v="Desarrollador"/>
    <m/>
    <s v="Interno"/>
    <e v="#NAME?"/>
    <e v="#NAME?"/>
    <e v="#NAME?"/>
    <m/>
    <m/>
    <m/>
    <m/>
    <m/>
  </r>
  <r>
    <s v="O000150"/>
    <x v="673"/>
    <x v="1"/>
    <x v="18"/>
    <s v="BBVA Fiduciaria"/>
    <e v="#NAME?"/>
    <s v="NOSDA $ BAU (Mantenimiento y peq. evolutivos)"/>
    <n v="0.2"/>
    <s v="Tech Manager/Líder"/>
    <m/>
    <s v="Interno"/>
    <e v="#NAME?"/>
    <e v="#NAME?"/>
    <e v="#NAME?"/>
    <m/>
    <m/>
    <m/>
    <m/>
    <m/>
  </r>
  <r>
    <s v="CI35100"/>
    <x v="674"/>
    <x v="1"/>
    <x v="18"/>
    <s v="BBVA Fiduciaria"/>
    <e v="#NAME?"/>
    <s v="NOSDA $ BAU (Mantenimiento y peq. evolutivos)"/>
    <n v="0.5"/>
    <s v="Tech Manager/Líder"/>
    <m/>
    <s v="Interno"/>
    <e v="#NAME?"/>
    <e v="#NAME?"/>
    <e v="#NAME?"/>
    <m/>
    <m/>
    <m/>
    <m/>
    <m/>
  </r>
  <r>
    <s v="CE67865"/>
    <x v="777"/>
    <x v="5"/>
    <x v="21"/>
    <s v="Accenture"/>
    <e v="#NAME?"/>
    <s v="SDATOOL-9053 $ GloMo Colombia"/>
    <n v="1"/>
    <s v="QA"/>
    <s v="Otras Tec."/>
    <m/>
    <e v="#NAME?"/>
    <e v="#NAME?"/>
    <e v="#NAME?"/>
    <m/>
    <m/>
    <m/>
    <m/>
    <m/>
  </r>
  <r>
    <s v="CE71119"/>
    <x v="778"/>
    <x v="5"/>
    <x v="21"/>
    <s v="Accenture"/>
    <e v="#NAME?"/>
    <s v="SDATOOL-9053 $ GloMo Colombia"/>
    <n v="1"/>
    <s v="QA"/>
    <s v="Otras Tec."/>
    <m/>
    <e v="#NAME?"/>
    <e v="#NAME?"/>
    <e v="#NAME?"/>
    <m/>
    <m/>
    <m/>
    <m/>
    <m/>
  </r>
  <r>
    <s v="CE66576"/>
    <x v="779"/>
    <x v="5"/>
    <x v="21"/>
    <s v="GGI / CMC"/>
    <e v="#NAME?"/>
    <s v="SDATOOL-9053 $ GloMo Colombia"/>
    <n v="1"/>
    <s v="QA"/>
    <s v="Otras Tec."/>
    <m/>
    <e v="#NAME?"/>
    <e v="#NAME?"/>
    <e v="#NAME?"/>
    <m/>
    <m/>
    <m/>
    <m/>
    <m/>
  </r>
  <r>
    <s v="CE67220"/>
    <x v="780"/>
    <x v="5"/>
    <x v="21"/>
    <s v="Neoris"/>
    <e v="#NAME?"/>
    <s v="SDATOOL-38489 $ Horizon BTGR - Colombia"/>
    <n v="1"/>
    <s v="Desarrollador"/>
    <s v="ASO"/>
    <m/>
    <e v="#NAME?"/>
    <e v="#NAME?"/>
    <e v="#NAME?"/>
    <m/>
    <m/>
    <m/>
    <m/>
    <m/>
  </r>
  <r>
    <s v="CE70202"/>
    <x v="781"/>
    <x v="5"/>
    <x v="21"/>
    <s v="Neoris"/>
    <e v="#NAME?"/>
    <s v="SDATOOL-9053 $ GloMo Colombia"/>
    <n v="1"/>
    <s v="QA"/>
    <s v="Otras Tec."/>
    <m/>
    <e v="#NAME?"/>
    <e v="#NAME?"/>
    <e v="#NAME?"/>
    <m/>
    <m/>
    <m/>
    <m/>
    <m/>
  </r>
  <r>
    <s v="CE67309"/>
    <x v="782"/>
    <x v="5"/>
    <x v="21"/>
    <s v="GGI / CMC"/>
    <e v="#NAME?"/>
    <s v="SDATOOL-38489 $ Horizon BTGR - Colombia"/>
    <n v="0.5"/>
    <s v="QA"/>
    <s v="Otras Tec."/>
    <m/>
    <e v="#NAME?"/>
    <e v="#NAME?"/>
    <e v="#NAME?"/>
    <m/>
    <m/>
    <m/>
    <m/>
    <m/>
  </r>
  <r>
    <s v="CE67309"/>
    <x v="782"/>
    <x v="5"/>
    <x v="21"/>
    <s v="GGI / CMC"/>
    <e v="#NAME?"/>
    <s v="SDATOOL-9053 $ GloMo Colombia"/>
    <n v="0.5"/>
    <s v="QA"/>
    <s v="Otras Tec."/>
    <m/>
    <e v="#NAME?"/>
    <e v="#NAME?"/>
    <e v="#NAME?"/>
    <m/>
    <m/>
    <m/>
    <m/>
    <m/>
  </r>
  <r>
    <s v="CE69445"/>
    <x v="783"/>
    <x v="5"/>
    <x v="21"/>
    <s v="Neoris"/>
    <e v="#NAME?"/>
    <s v="SDATOOL-38489 $ Horizon BTGR - Colombia"/>
    <n v="1"/>
    <s v="Desarrollador"/>
    <s v="Mainframe"/>
    <m/>
    <e v="#NAME?"/>
    <e v="#NAME?"/>
    <e v="#NAME?"/>
    <m/>
    <m/>
    <m/>
    <m/>
    <m/>
  </r>
  <r>
    <s v="CE69821"/>
    <x v="784"/>
    <x v="5"/>
    <x v="21"/>
    <s v="Globant"/>
    <e v="#NAME?"/>
    <s v="SDATOOL-9053 $ GloMo Colombia"/>
    <n v="1"/>
    <s v="Desarrollador"/>
    <s v="APX"/>
    <m/>
    <e v="#NAME?"/>
    <e v="#NAME?"/>
    <e v="#NAME?"/>
    <m/>
    <m/>
    <m/>
    <m/>
    <m/>
  </r>
  <r>
    <s v="CE70245"/>
    <x v="785"/>
    <x v="5"/>
    <x v="21"/>
    <s v="Accenture"/>
    <e v="#NAME?"/>
    <s v="SDATOOL-9053 $ GloMo Colombia"/>
    <n v="1"/>
    <s v="QA"/>
    <s v="Otras Tec."/>
    <m/>
    <e v="#NAME?"/>
    <e v="#NAME?"/>
    <e v="#NAME?"/>
    <m/>
    <m/>
    <m/>
    <m/>
    <m/>
  </r>
  <r>
    <s v="T001912"/>
    <x v="786"/>
    <x v="5"/>
    <x v="21"/>
    <s v="Neoris"/>
    <e v="#NAME?"/>
    <s v="SDATOOL-9053 $ GloMo Colombia"/>
    <n v="1"/>
    <s v="QA"/>
    <s v="Otras Tec."/>
    <m/>
    <e v="#NAME?"/>
    <e v="#NAME?"/>
    <e v="#NAME?"/>
    <m/>
    <m/>
    <m/>
    <m/>
    <m/>
  </r>
  <r>
    <s v="CE71116"/>
    <x v="787"/>
    <x v="5"/>
    <x v="21"/>
    <s v="Accenture"/>
    <e v="#NAME?"/>
    <s v="SDATOOL-9053 $ GloMo Colombia"/>
    <n v="1"/>
    <s v="QA"/>
    <s v="Otras Tec."/>
    <m/>
    <e v="#NAME?"/>
    <e v="#NAME?"/>
    <e v="#NAME?"/>
    <m/>
    <m/>
    <m/>
    <m/>
    <m/>
  </r>
  <r>
    <s v="CE67846"/>
    <x v="788"/>
    <x v="5"/>
    <x v="21"/>
    <s v="Accenture"/>
    <e v="#NAME?"/>
    <s v="SDATOOL-9053 $ GloMo Colombia"/>
    <n v="1"/>
    <s v="QA"/>
    <s v="Otras Tec."/>
    <m/>
    <e v="#NAME?"/>
    <e v="#NAME?"/>
    <e v="#NAME?"/>
    <m/>
    <m/>
    <m/>
    <m/>
    <m/>
  </r>
  <r>
    <s v="CE71118"/>
    <x v="789"/>
    <x v="5"/>
    <x v="21"/>
    <s v="Accenture"/>
    <e v="#NAME?"/>
    <s v="SDATOOL-9053 $ GloMo Colombia"/>
    <n v="1"/>
    <s v="QA"/>
    <s v="Otras Tec."/>
    <m/>
    <e v="#NAME?"/>
    <e v="#NAME?"/>
    <e v="#NAME?"/>
    <m/>
    <m/>
    <m/>
    <m/>
    <m/>
  </r>
  <r>
    <s v="XEA0692"/>
    <x v="790"/>
    <x v="5"/>
    <x v="21"/>
    <s v="Accenture"/>
    <e v="#NAME?"/>
    <s v="SDATOOL-9053 $ GloMo Colombia"/>
    <n v="1"/>
    <s v="Desarrollador"/>
    <s v="Cells"/>
    <m/>
    <e v="#NAME?"/>
    <e v="#NAME?"/>
    <e v="#NAME?"/>
    <m/>
    <m/>
    <m/>
    <m/>
    <m/>
  </r>
  <r>
    <s v="CE67849"/>
    <x v="791"/>
    <x v="5"/>
    <x v="21"/>
    <s v="Accenture"/>
    <e v="#NAME?"/>
    <s v="SDATOOL-9053 $ GloMo Colombia"/>
    <n v="1"/>
    <s v="Desarrollador"/>
    <s v="Cells"/>
    <m/>
    <e v="#NAME?"/>
    <e v="#NAME?"/>
    <e v="#NAME?"/>
    <m/>
    <m/>
    <m/>
    <m/>
    <m/>
  </r>
  <r>
    <s v="CE69249"/>
    <x v="792"/>
    <x v="5"/>
    <x v="21"/>
    <s v="Neoris"/>
    <e v="#NAME?"/>
    <s v="SDATOOL-38489 $ Horizon BTGR - Colombia"/>
    <n v="1"/>
    <s v="Desarrollador"/>
    <s v="ASO"/>
    <m/>
    <e v="#NAME?"/>
    <e v="#NAME?"/>
    <e v="#NAME?"/>
    <m/>
    <m/>
    <m/>
    <m/>
    <m/>
  </r>
  <r>
    <s v="CE56568"/>
    <x v="793"/>
    <x v="5"/>
    <x v="21"/>
    <s v="Novatec"/>
    <e v="#NAME?"/>
    <s v="SDATOOL-38489 $ Horizon BTGR - Colombia"/>
    <n v="1"/>
    <s v="Desarrollador"/>
    <s v="Mainframe"/>
    <m/>
    <e v="#NAME?"/>
    <e v="#NAME?"/>
    <e v="#NAME?"/>
    <m/>
    <m/>
    <m/>
    <m/>
    <m/>
  </r>
  <r>
    <s v="CE56092"/>
    <x v="794"/>
    <x v="5"/>
    <x v="21"/>
    <s v="GGI / CMC"/>
    <e v="#NAME?"/>
    <s v="SDATOOL-9053 $ GloMo Colombia"/>
    <n v="1"/>
    <s v="QA"/>
    <s v="Otras Tec."/>
    <m/>
    <e v="#NAME?"/>
    <e v="#NAME?"/>
    <e v="#NAME?"/>
    <m/>
    <m/>
    <m/>
    <m/>
    <m/>
  </r>
  <r>
    <s v="CE53474"/>
    <x v="795"/>
    <x v="5"/>
    <x v="21"/>
    <s v="Neoris"/>
    <e v="#NAME?"/>
    <s v="SDATOOL-9053 $ GloMo Colombia"/>
    <n v="0.75"/>
    <s v="Desarrollador"/>
    <s v="Mainframe"/>
    <m/>
    <e v="#NAME?"/>
    <e v="#NAME?"/>
    <e v="#NAME?"/>
    <m/>
    <m/>
    <m/>
    <m/>
    <m/>
  </r>
  <r>
    <s v="CE53474"/>
    <x v="795"/>
    <x v="5"/>
    <x v="21"/>
    <s v="Neoris"/>
    <e v="#NAME?"/>
    <s v="SDATOOL-38489 $ Horizon BTGR - Colombia"/>
    <n v="0.25"/>
    <s v="Desarrollador"/>
    <s v="Mainframe"/>
    <m/>
    <e v="#NAME?"/>
    <e v="#NAME?"/>
    <e v="#NAME?"/>
    <m/>
    <m/>
    <m/>
    <m/>
    <m/>
  </r>
  <r>
    <s v="CE65053"/>
    <x v="796"/>
    <x v="5"/>
    <x v="21"/>
    <s v="Globant"/>
    <e v="#NAME?"/>
    <s v="SDATOOL-9053 $ GloMo Colombia"/>
    <n v="1"/>
    <s v="Desarrollador"/>
    <s v="Cells"/>
    <m/>
    <e v="#NAME?"/>
    <e v="#NAME?"/>
    <e v="#NAME?"/>
    <m/>
    <m/>
    <m/>
    <m/>
    <m/>
  </r>
  <r>
    <s v="CE59993"/>
    <x v="797"/>
    <x v="5"/>
    <x v="21"/>
    <s v="Inetum"/>
    <e v="#NAME?"/>
    <s v="SDATOOL-9053 $ GloMo Colombia"/>
    <n v="1"/>
    <s v="Desarrollador"/>
    <s v="Cells"/>
    <m/>
    <e v="#NAME?"/>
    <e v="#NAME?"/>
    <e v="#NAME?"/>
    <m/>
    <m/>
    <m/>
    <m/>
    <m/>
  </r>
  <r>
    <s v="CE47925"/>
    <x v="798"/>
    <x v="5"/>
    <x v="21"/>
    <s v="Neoris"/>
    <e v="#NAME?"/>
    <s v="SDATOOL-9053 $ GloMo Colombia"/>
    <n v="0.75"/>
    <s v="Desarrollador"/>
    <s v="Mainframe"/>
    <m/>
    <e v="#NAME?"/>
    <e v="#NAME?"/>
    <e v="#NAME?"/>
    <m/>
    <m/>
    <m/>
    <m/>
    <m/>
  </r>
  <r>
    <s v="CE47925"/>
    <x v="798"/>
    <x v="5"/>
    <x v="21"/>
    <s v="Neoris"/>
    <e v="#NAME?"/>
    <s v="SDATOOL-38489 $ Horizon BTGR - Colombia"/>
    <n v="0.25"/>
    <s v="Desarrollador"/>
    <s v="Mainframe"/>
    <m/>
    <e v="#NAME?"/>
    <e v="#NAME?"/>
    <e v="#NAME?"/>
    <m/>
    <m/>
    <m/>
    <m/>
    <m/>
  </r>
  <r>
    <s v="CE70650"/>
    <x v="799"/>
    <x v="5"/>
    <x v="21"/>
    <s v="Neoris"/>
    <e v="#NAME?"/>
    <s v="SDATOOL-9053 $ GloMo Colombia"/>
    <n v="1"/>
    <s v="QA"/>
    <s v="Otras Tec."/>
    <m/>
    <e v="#NAME?"/>
    <e v="#NAME?"/>
    <e v="#NAME?"/>
    <m/>
    <m/>
    <m/>
    <m/>
    <m/>
  </r>
  <r>
    <s v="CE63473"/>
    <x v="800"/>
    <x v="5"/>
    <x v="21"/>
    <s v="SII"/>
    <e v="#NAME?"/>
    <s v="SDATOOL-9053 $ GloMo Colombia"/>
    <n v="1"/>
    <s v="QA"/>
    <s v="Otras Tec."/>
    <m/>
    <e v="#NAME?"/>
    <e v="#NAME?"/>
    <e v="#NAME?"/>
    <m/>
    <m/>
    <m/>
    <m/>
    <m/>
  </r>
  <r>
    <s v="T000595"/>
    <x v="801"/>
    <x v="5"/>
    <x v="21"/>
    <s v="Novatec"/>
    <e v="#NAME?"/>
    <s v="SDATOOL-38489 $ Horizon BTGR - Colombia"/>
    <n v="1"/>
    <s v="Desarrollador"/>
    <s v="Mainframe"/>
    <m/>
    <e v="#NAME?"/>
    <e v="#NAME?"/>
    <e v="#NAME?"/>
    <m/>
    <m/>
    <m/>
    <m/>
    <m/>
  </r>
  <r>
    <s v="CE67221"/>
    <x v="802"/>
    <x v="5"/>
    <x v="21"/>
    <s v="Neoris"/>
    <e v="#NAME?"/>
    <s v="SDATOOL-9053 $ GloMo Colombia"/>
    <n v="1"/>
    <s v="Desarrollador"/>
    <s v="Cells"/>
    <m/>
    <e v="#NAME?"/>
    <e v="#NAME?"/>
    <e v="#NAME?"/>
    <m/>
    <m/>
    <m/>
    <m/>
    <m/>
  </r>
  <r>
    <s v="CE64988"/>
    <x v="548"/>
    <x v="5"/>
    <x v="21"/>
    <s v="Accenture"/>
    <e v="#NAME?"/>
    <s v="SDATOOL-9053 $ GloMo Colombia"/>
    <n v="0.5"/>
    <s v="Desarrollador"/>
    <s v="Mainframe"/>
    <m/>
    <e v="#NAME?"/>
    <e v="#NAME?"/>
    <e v="#NAME?"/>
    <m/>
    <m/>
    <m/>
    <m/>
    <m/>
  </r>
  <r>
    <s v="T007048"/>
    <x v="803"/>
    <x v="5"/>
    <x v="21"/>
    <s v="Accenture"/>
    <e v="#NAME?"/>
    <s v="SDATOOL-9053 $ GloMo Colombia"/>
    <n v="1"/>
    <s v="QA"/>
    <s v="Otras Tec."/>
    <m/>
    <e v="#NAME?"/>
    <e v="#NAME?"/>
    <e v="#NAME?"/>
    <m/>
    <m/>
    <m/>
    <m/>
    <m/>
  </r>
  <r>
    <s v="CE66364"/>
    <x v="804"/>
    <x v="5"/>
    <x v="21"/>
    <s v="Globant"/>
    <e v="#NAME?"/>
    <s v="SDATOOL-9053 $ GloMo Colombia"/>
    <n v="1"/>
    <s v="Desarrollador"/>
    <s v="ASO"/>
    <m/>
    <e v="#NAME?"/>
    <e v="#NAME?"/>
    <e v="#NAME?"/>
    <m/>
    <m/>
    <m/>
    <m/>
    <m/>
  </r>
  <r>
    <s v="CE55340"/>
    <x v="805"/>
    <x v="5"/>
    <x v="21"/>
    <s v="SII"/>
    <e v="#NAME?"/>
    <s v="SDATOOL-9053 $ GloMo Colombia"/>
    <n v="0.5"/>
    <s v="Desarrollador"/>
    <s v="Mainframe"/>
    <m/>
    <e v="#NAME?"/>
    <e v="#NAME?"/>
    <e v="#NAME?"/>
    <m/>
    <m/>
    <m/>
    <m/>
    <m/>
  </r>
  <r>
    <s v="CE55340"/>
    <x v="805"/>
    <x v="5"/>
    <x v="21"/>
    <s v="SII"/>
    <e v="#NAME?"/>
    <s v="SDATOOL-38489 $ Horizon BTGR - Colombia"/>
    <n v="0.5"/>
    <s v="Desarrollador"/>
    <s v="Mainframe"/>
    <m/>
    <e v="#NAME?"/>
    <e v="#NAME?"/>
    <e v="#NAME?"/>
    <m/>
    <m/>
    <m/>
    <m/>
    <m/>
  </r>
  <r>
    <s v="CE70907"/>
    <x v="806"/>
    <x v="5"/>
    <x v="21"/>
    <s v="Neoris"/>
    <e v="#NAME?"/>
    <s v="SDATOOL-38489 $ Horizon BTGR - Colombia"/>
    <n v="1"/>
    <s v="Desarrollador"/>
    <s v="ASO"/>
    <m/>
    <e v="#NAME?"/>
    <e v="#NAME?"/>
    <e v="#NAME?"/>
    <m/>
    <m/>
    <m/>
    <m/>
    <m/>
  </r>
  <r>
    <s v="CE61633"/>
    <x v="807"/>
    <x v="5"/>
    <x v="21"/>
    <s v="GGI / CMC"/>
    <e v="#NAME?"/>
    <s v="SDATOOL-9053 $ GloMo Colombia"/>
    <n v="1"/>
    <s v="QA"/>
    <s v="Otras Tec."/>
    <m/>
    <e v="#NAME?"/>
    <e v="#NAME?"/>
    <e v="#NAME?"/>
    <m/>
    <m/>
    <m/>
    <m/>
    <m/>
  </r>
  <r>
    <s v="CE68502"/>
    <x v="808"/>
    <x v="5"/>
    <x v="21"/>
    <s v="SII"/>
    <e v="#NAME?"/>
    <s v="SDATOOL-9053 $ GloMo Colombia"/>
    <n v="1"/>
    <s v="QA"/>
    <s v="Otras Tec."/>
    <m/>
    <e v="#NAME?"/>
    <e v="#NAME?"/>
    <e v="#NAME?"/>
    <m/>
    <m/>
    <m/>
    <m/>
    <m/>
  </r>
  <r>
    <s v="T000607"/>
    <x v="809"/>
    <x v="5"/>
    <x v="21"/>
    <s v="Neoris"/>
    <e v="#NAME?"/>
    <s v="SDATOOL-38489 $ Horizon BTGR - Colombia"/>
    <n v="1"/>
    <s v="Desarrollador"/>
    <s v="Mainframe"/>
    <m/>
    <e v="#NAME?"/>
    <e v="#NAME?"/>
    <e v="#NAME?"/>
    <m/>
    <m/>
    <m/>
    <m/>
    <m/>
  </r>
  <r>
    <s v="CE70651"/>
    <x v="810"/>
    <x v="5"/>
    <x v="21"/>
    <s v="Neoris"/>
    <e v="#NAME?"/>
    <s v="SDATOOL-9053 $ GloMo Colombia"/>
    <n v="1"/>
    <s v="QA"/>
    <s v="Otras Tec."/>
    <m/>
    <e v="#NAME?"/>
    <e v="#NAME?"/>
    <e v="#NAME?"/>
    <m/>
    <m/>
    <m/>
    <m/>
    <m/>
  </r>
  <r>
    <s v="CE67312"/>
    <x v="811"/>
    <x v="5"/>
    <x v="21"/>
    <s v="GGI / CMC"/>
    <e v="#NAME?"/>
    <s v="SDATOOL-38489 $ Horizon BTGR - Colombia"/>
    <n v="1"/>
    <s v="QA"/>
    <s v="Otras Tec."/>
    <m/>
    <e v="#NAME?"/>
    <e v="#NAME?"/>
    <e v="#NAME?"/>
    <m/>
    <m/>
    <m/>
    <m/>
    <m/>
  </r>
  <r>
    <s v="CE47927"/>
    <x v="812"/>
    <x v="5"/>
    <x v="21"/>
    <s v="Neoris"/>
    <e v="#NAME?"/>
    <s v="SDATOOL-9053 $ GloMo Colombia"/>
    <n v="0.5"/>
    <s v="Desarrollador"/>
    <s v="Mainframe"/>
    <m/>
    <e v="#NAME?"/>
    <e v="#NAME?"/>
    <e v="#NAME?"/>
    <m/>
    <m/>
    <m/>
    <m/>
    <m/>
  </r>
  <r>
    <s v="CE47927"/>
    <x v="812"/>
    <x v="5"/>
    <x v="21"/>
    <s v="Neoris"/>
    <e v="#NAME?"/>
    <s v="SDATOOL-38489 $ Horizon BTGR - Colombia"/>
    <n v="0.5"/>
    <s v="Desarrollador"/>
    <s v="Mainframe"/>
    <m/>
    <e v="#NAME?"/>
    <e v="#NAME?"/>
    <e v="#NAME?"/>
    <m/>
    <m/>
    <m/>
    <m/>
    <m/>
  </r>
  <r>
    <s v="T002010"/>
    <x v="813"/>
    <x v="5"/>
    <x v="21"/>
    <s v="Neoris"/>
    <e v="#NAME?"/>
    <s v="SDATOOL-38489 $ Horizon BTGR - Colombia"/>
    <n v="1"/>
    <s v="Desarrollador"/>
    <s v="APX"/>
    <m/>
    <e v="#NAME?"/>
    <e v="#NAME?"/>
    <e v="#NAME?"/>
    <m/>
    <m/>
    <m/>
    <m/>
    <m/>
  </r>
  <r>
    <s v="CE71170"/>
    <x v="814"/>
    <x v="5"/>
    <x v="21"/>
    <s v="Novatec"/>
    <e v="#NAME?"/>
    <s v="SDATOOL-38489 $ Horizon BTGR - Colombia"/>
    <n v="1"/>
    <s v="Desarrollador"/>
    <s v="Mainframe"/>
    <s v="Externo"/>
    <e v="#NAME?"/>
    <e v="#NAME?"/>
    <e v="#NAME?"/>
    <m/>
    <m/>
    <m/>
    <m/>
    <m/>
  </r>
  <r>
    <s v="CE65214"/>
    <x v="815"/>
    <x v="5"/>
    <x v="21"/>
    <s v="SII"/>
    <e v="#NAME?"/>
    <s v="SDATOOL-9053 $ GloMo Colombia"/>
    <n v="1"/>
    <s v="Desarrollador"/>
    <s v="Cells"/>
    <m/>
    <e v="#NAME?"/>
    <e v="#NAME?"/>
    <e v="#NAME?"/>
    <m/>
    <m/>
    <m/>
    <m/>
    <m/>
  </r>
  <r>
    <s v="CE66579"/>
    <x v="816"/>
    <x v="5"/>
    <x v="21"/>
    <s v="GGI / CMC"/>
    <e v="#NAME?"/>
    <s v="SDATOOL-9053 $ GloMo Colombia"/>
    <n v="1"/>
    <s v="QA"/>
    <s v="Cells"/>
    <m/>
    <e v="#NAME?"/>
    <e v="#NAME?"/>
    <e v="#NAME?"/>
    <m/>
    <m/>
    <m/>
    <m/>
    <m/>
  </r>
  <r>
    <s v="CE71120"/>
    <x v="817"/>
    <x v="5"/>
    <x v="21"/>
    <s v="Accenture"/>
    <e v="#NAME?"/>
    <s v="SDATOOL-9053 $ GloMo Colombia"/>
    <n v="1"/>
    <s v="Desarrollador"/>
    <s v="Cells"/>
    <m/>
    <e v="#NAME?"/>
    <e v="#NAME?"/>
    <e v="#NAME?"/>
    <m/>
    <m/>
    <m/>
    <m/>
    <m/>
  </r>
  <r>
    <s v="CE67850"/>
    <x v="818"/>
    <x v="5"/>
    <x v="21"/>
    <s v="Accenture"/>
    <e v="#NAME?"/>
    <s v="SDATOOL-9053 $ GloMo Colombia"/>
    <n v="1"/>
    <s v="QA"/>
    <s v="Cells"/>
    <m/>
    <e v="#NAME?"/>
    <e v="#NAME?"/>
    <e v="#NAME?"/>
    <m/>
    <m/>
    <m/>
    <m/>
    <m/>
  </r>
  <r>
    <s v="Pend"/>
    <x v="819"/>
    <x v="5"/>
    <x v="21"/>
    <s v="SII"/>
    <e v="#NAME?"/>
    <s v="SDATOOL-38489 $ Horizon BTGR - Colombia"/>
    <n v="1"/>
    <s v="Desarrollador"/>
    <s v="Cells"/>
    <m/>
    <e v="#NAME?"/>
    <e v="#NAME?"/>
    <e v="#NAME?"/>
    <m/>
    <m/>
    <m/>
    <m/>
    <m/>
  </r>
  <r>
    <s v="XP66159"/>
    <x v="820"/>
    <x v="0"/>
    <x v="3"/>
    <s v="Neoris"/>
    <e v="#NAME?"/>
    <s v="SDATOOL-40528 $ ETPB - SENDA PAGOS"/>
    <n v="1"/>
    <s v="Desarrollador"/>
    <s v="APX"/>
    <m/>
    <e v="#NAME?"/>
    <e v="#NAME?"/>
    <e v="#NAME?"/>
    <m/>
    <m/>
    <m/>
    <m/>
    <m/>
  </r>
  <r>
    <s v="T009376"/>
    <x v="821"/>
    <x v="0"/>
    <x v="3"/>
    <s v="Novatec"/>
    <e v="#NAME?"/>
    <s v="SDATOOL-40528 $ ETPB - SENDA PAGOS"/>
    <n v="1"/>
    <s v="Desarrollador"/>
    <s v="Mainframe"/>
    <m/>
    <e v="#NAME?"/>
    <e v="#NAME?"/>
    <e v="#NAME?"/>
    <m/>
    <m/>
    <m/>
    <m/>
    <m/>
  </r>
  <r>
    <s v="T002696"/>
    <x v="822"/>
    <x v="0"/>
    <x v="3"/>
    <s v="Accenture"/>
    <e v="#NAME?"/>
    <s v="SDATOOL-40457 $ SENDA (Base)"/>
    <n v="1"/>
    <s v="Desarrollador"/>
    <s v="Cells"/>
    <m/>
    <e v="#NAME?"/>
    <e v="#NAME?"/>
    <e v="#NAME?"/>
    <m/>
    <m/>
    <m/>
    <m/>
    <m/>
  </r>
  <r>
    <s v="T011814"/>
    <x v="823"/>
    <x v="0"/>
    <x v="3"/>
    <s v="GGI / CMC"/>
    <e v="#NAME?"/>
    <s v="SDATOOL-40457 $ SENDA (Base)"/>
    <n v="1"/>
    <s v="Desarrollador"/>
    <s v="Distribuido"/>
    <m/>
    <e v="#NAME?"/>
    <e v="#NAME?"/>
    <e v="#NAME?"/>
    <m/>
    <m/>
    <m/>
    <m/>
    <m/>
  </r>
  <r>
    <s v="CE70220"/>
    <x v="824"/>
    <x v="0"/>
    <x v="3"/>
    <s v="Accenture"/>
    <e v="#NAME?"/>
    <s v="SDATOOL-40457 $ SENDA (Base)"/>
    <n v="1"/>
    <s v="Desarrollador"/>
    <s v="APX"/>
    <m/>
    <e v="#NAME?"/>
    <e v="#NAME?"/>
    <e v="#NAME?"/>
    <m/>
    <m/>
    <m/>
    <m/>
    <m/>
  </r>
  <r>
    <s v="CE67866"/>
    <x v="825"/>
    <x v="0"/>
    <x v="3"/>
    <s v="Accenture"/>
    <e v="#NAME?"/>
    <s v="SDATOOL-40457 $ SENDA (Base)"/>
    <n v="1"/>
    <s v="Desarrollador"/>
    <s v="ASO"/>
    <m/>
    <e v="#NAME?"/>
    <e v="#NAME?"/>
    <e v="#NAME?"/>
    <m/>
    <m/>
    <m/>
    <m/>
    <m/>
  </r>
  <r>
    <s v="CE69818"/>
    <x v="826"/>
    <x v="0"/>
    <x v="3"/>
    <s v="GGI / CMC"/>
    <e v="#NAME?"/>
    <s v="SDATOOL-40528 $ ETPB - SENDA PAGOS"/>
    <n v="1"/>
    <s v="Desarrollador"/>
    <s v="Cells"/>
    <m/>
    <e v="#NAME?"/>
    <e v="#NAME?"/>
    <e v="#NAME?"/>
    <m/>
    <m/>
    <m/>
    <m/>
    <m/>
  </r>
  <r>
    <s v="CE59964"/>
    <x v="827"/>
    <x v="0"/>
    <x v="3"/>
    <s v="Neoris"/>
    <e v="#NAME?"/>
    <s v="SDATOOL-40528 $ ETPB - SENDA PAGOS"/>
    <n v="1"/>
    <s v="Desarrollador"/>
    <s v="ASO"/>
    <m/>
    <e v="#NAME?"/>
    <e v="#NAME?"/>
    <e v="#NAME?"/>
    <m/>
    <m/>
    <m/>
    <m/>
    <m/>
  </r>
  <r>
    <s v="C809501"/>
    <x v="828"/>
    <x v="0"/>
    <x v="3"/>
    <s v="BBVA"/>
    <e v="#NAME?"/>
    <s v="SDATOOL-40528 $ ETPB - SENDA PAGOS"/>
    <n v="1"/>
    <s v="Desarrollador"/>
    <s v="Distribuido"/>
    <m/>
    <e v="#NAME?"/>
    <e v="#NAME?"/>
    <e v="#NAME?"/>
    <m/>
    <m/>
    <m/>
    <m/>
    <m/>
  </r>
  <r>
    <s v="CE68026"/>
    <x v="829"/>
    <x v="0"/>
    <x v="3"/>
    <s v="GGI / CMC"/>
    <e v="#NAME?"/>
    <s v="SDATOOL-40457 $ SENDA (Base)"/>
    <n v="1"/>
    <s v="QA"/>
    <s v="Distribuido"/>
    <m/>
    <e v="#NAME?"/>
    <e v="#NAME?"/>
    <e v="#NAME?"/>
    <m/>
    <m/>
    <m/>
    <m/>
    <m/>
  </r>
  <r>
    <s v="T009939"/>
    <x v="830"/>
    <x v="0"/>
    <x v="3"/>
    <s v="Neoris"/>
    <e v="#NAME?"/>
    <s v="SDATOOL-40528 $ ETPB - SENDA PAGOS"/>
    <n v="1"/>
    <s v="Desarrollador"/>
    <s v="APX"/>
    <m/>
    <e v="#NAME?"/>
    <e v="#NAME?"/>
    <e v="#NAME?"/>
    <m/>
    <m/>
    <m/>
    <m/>
    <m/>
  </r>
  <r>
    <s v="O000110"/>
    <x v="831"/>
    <x v="0"/>
    <x v="3"/>
    <s v="BBVA"/>
    <e v="#NAME?"/>
    <s v="SDATOOL-40457 $ SENDA (Base)"/>
    <n v="1"/>
    <s v="Desarrollador"/>
    <s v="ASO"/>
    <m/>
    <e v="#NAME?"/>
    <e v="#NAME?"/>
    <e v="#NAME?"/>
    <m/>
    <m/>
    <m/>
    <m/>
    <m/>
  </r>
  <r>
    <s v="T009396"/>
    <x v="832"/>
    <x v="0"/>
    <x v="3"/>
    <s v="Novatec"/>
    <e v="#NAME?"/>
    <s v="SDATOOL-40528 $ ETPB - SENDA PAGOS"/>
    <n v="1"/>
    <s v="Desarrollador"/>
    <s v="Mainframe"/>
    <m/>
    <e v="#NAME?"/>
    <e v="#NAME?"/>
    <e v="#NAME?"/>
    <m/>
    <m/>
    <m/>
    <m/>
    <m/>
  </r>
  <r>
    <s v="C811372"/>
    <x v="833"/>
    <x v="0"/>
    <x v="17"/>
    <s v="BBVA"/>
    <e v="#NAME?"/>
    <s v="SDATOOL-40555 $ ADELANTO DE VENTA EN GEMA"/>
    <n v="0.5"/>
    <s v="Desarrollador"/>
    <s v="Distribuido"/>
    <m/>
    <e v="#NAME?"/>
    <e v="#NAME?"/>
    <e v="#NAME?"/>
    <m/>
    <m/>
    <m/>
    <m/>
    <m/>
  </r>
  <r>
    <s v="C811372"/>
    <x v="833"/>
    <x v="0"/>
    <x v="17"/>
    <s v="BBVA"/>
    <e v="#NAME?"/>
    <s v="SDATOOL-37169 $ EGS: Salto país y softoken"/>
    <n v="0.5"/>
    <s v="Desarrollador"/>
    <s v="Distribuido"/>
    <m/>
    <e v="#NAME?"/>
    <e v="#NAME?"/>
    <e v="#NAME?"/>
    <m/>
    <m/>
    <m/>
    <m/>
    <m/>
  </r>
  <r>
    <s v="CE66039"/>
    <x v="834"/>
    <x v="0"/>
    <x v="17"/>
    <s v="GGI / CMC"/>
    <e v="#NAME?"/>
    <s v="SDATOOL-37169 $ EGS: Salto país y softoken"/>
    <n v="1"/>
    <s v="Desarrollador"/>
    <s v="Distribuido"/>
    <m/>
    <e v="#NAME?"/>
    <e v="#NAME?"/>
    <e v="#NAME?"/>
    <m/>
    <m/>
    <m/>
    <m/>
    <m/>
  </r>
  <r>
    <s v="C804101"/>
    <x v="835"/>
    <x v="0"/>
    <x v="17"/>
    <s v="BBVA"/>
    <e v="#NAME?"/>
    <s v="SDATOOL-37169 $ EGS: Salto país y softoken"/>
    <n v="0.5"/>
    <s v="Tech Manager/Líder"/>
    <s v="Distribuido"/>
    <m/>
    <e v="#NAME?"/>
    <e v="#NAME?"/>
    <e v="#NAME?"/>
    <m/>
    <m/>
    <m/>
    <m/>
    <m/>
  </r>
  <r>
    <s v="C804101"/>
    <x v="835"/>
    <x v="0"/>
    <x v="17"/>
    <s v="BBVA"/>
    <e v="#NAME?"/>
    <s v="SDATOOL-39358 $ Crédito Virtual"/>
    <n v="0.25"/>
    <s v="Tech Manager/Líder"/>
    <s v="Distribuido"/>
    <m/>
    <e v="#NAME?"/>
    <e v="#NAME?"/>
    <e v="#NAME?"/>
    <m/>
    <m/>
    <m/>
    <m/>
    <m/>
  </r>
  <r>
    <s v="C804101"/>
    <x v="835"/>
    <x v="0"/>
    <x v="17"/>
    <s v="BBVA"/>
    <e v="#NAME?"/>
    <s v="SDATOOL-40555 $ ADELANTO DE VENTA EN GEMA"/>
    <n v="0.25"/>
    <s v="Tech Manager/Líder"/>
    <s v="Distribuido"/>
    <m/>
    <e v="#NAME?"/>
    <e v="#NAME?"/>
    <e v="#NAME?"/>
    <m/>
    <m/>
    <m/>
    <m/>
    <m/>
  </r>
  <r>
    <s v="C810885"/>
    <x v="836"/>
    <x v="0"/>
    <x v="17"/>
    <s v="BBVA"/>
    <e v="#NAME?"/>
    <s v="SDATOOL-37425 $ Recaudo DIAN Tarjetas de Crédito Propio Banco través del Botón de pagos PSE para los canales Banca Personas y Banca de Empresas"/>
    <n v="0.25"/>
    <s v="Tech Manager/Líder"/>
    <m/>
    <m/>
    <e v="#NAME?"/>
    <e v="#NAME?"/>
    <e v="#NAME?"/>
    <m/>
    <m/>
    <m/>
    <m/>
    <m/>
  </r>
  <r>
    <s v="C810885"/>
    <x v="836"/>
    <x v="0"/>
    <x v="17"/>
    <s v="BBVA"/>
    <e v="#NAME?"/>
    <s v="SDATOOL-40555 $ ADELANTO DE VENTA EN GEMA"/>
    <n v="0.25"/>
    <s v="Tech Manager/Líder"/>
    <m/>
    <m/>
    <e v="#NAME?"/>
    <e v="#NAME?"/>
    <e v="#NAME?"/>
    <m/>
    <m/>
    <m/>
    <m/>
    <m/>
  </r>
  <r>
    <s v="C810885"/>
    <x v="836"/>
    <x v="0"/>
    <x v="17"/>
    <s v="BBVA"/>
    <e v="#NAME?"/>
    <s v="SDATOOL-40482 $ Incluir tasa ponderada en Adquirencia Onboarding digital - Netcash"/>
    <n v="0.5"/>
    <s v="Tech Manager/Líder"/>
    <m/>
    <m/>
    <e v="#NAME?"/>
    <e v="#NAME?"/>
    <e v="#NAME?"/>
    <m/>
    <m/>
    <m/>
    <m/>
    <m/>
  </r>
  <r>
    <s v="CE65938"/>
    <x v="837"/>
    <x v="0"/>
    <x v="17"/>
    <s v="GGI / CMC"/>
    <e v="#NAME?"/>
    <s v="SDATOOL-37169 $ EGS: Salto país y softoken"/>
    <n v="1"/>
    <s v="Desarrollador"/>
    <s v="Distribuido"/>
    <m/>
    <e v="#NAME?"/>
    <e v="#NAME?"/>
    <e v="#NAME?"/>
    <m/>
    <m/>
    <m/>
    <m/>
    <m/>
  </r>
  <r>
    <s v="T006284"/>
    <x v="838"/>
    <x v="0"/>
    <x v="17"/>
    <s v="GGI / CMC"/>
    <e v="#NAME?"/>
    <s v="SDATOOL-37169 $ EGS: Salto país y softoken"/>
    <n v="1"/>
    <s v="QA"/>
    <s v="Distribuido"/>
    <m/>
    <e v="#NAME?"/>
    <e v="#NAME?"/>
    <e v="#NAME?"/>
    <m/>
    <m/>
    <m/>
    <m/>
    <m/>
  </r>
  <r>
    <s v="T011667"/>
    <x v="839"/>
    <x v="0"/>
    <x v="17"/>
    <s v="GGI / CMC"/>
    <e v="#NAME?"/>
    <s v="SDATOOL-37169 $ EGS: Salto país y softoken"/>
    <n v="1"/>
    <s v="Desarrollador"/>
    <s v="Distribuido"/>
    <m/>
    <e v="#NAME?"/>
    <e v="#NAME?"/>
    <e v="#NAME?"/>
    <m/>
    <m/>
    <m/>
    <m/>
    <m/>
  </r>
  <r>
    <s v="C811005"/>
    <x v="840"/>
    <x v="0"/>
    <x v="17"/>
    <s v="BBVA"/>
    <e v="#NAME?"/>
    <s v="SDATOOL-39358 $ Crédito Virtual"/>
    <n v="0.75"/>
    <s v="Desarrollador"/>
    <s v="Distribuido"/>
    <m/>
    <e v="#NAME?"/>
    <e v="#NAME?"/>
    <e v="#NAME?"/>
    <m/>
    <m/>
    <m/>
    <m/>
    <m/>
  </r>
  <r>
    <s v="C811005"/>
    <x v="840"/>
    <x v="0"/>
    <x v="17"/>
    <s v="BBVA"/>
    <e v="#NAME?"/>
    <s v="SDATOOL-40555 $ ADELANTO DE VENTA EN GEMA"/>
    <n v="0.25"/>
    <s v="Desarrollador"/>
    <s v="Mainframe"/>
    <m/>
    <e v="#NAME?"/>
    <e v="#NAME?"/>
    <e v="#NAME?"/>
    <m/>
    <m/>
    <m/>
    <m/>
    <m/>
  </r>
  <r>
    <s v="C810684"/>
    <x v="841"/>
    <x v="0"/>
    <x v="17"/>
    <s v="BBVA"/>
    <e v="#NAME?"/>
    <s v="SDATOOL-40555 $ ADELANTO DE VENTA EN GEMA"/>
    <n v="1"/>
    <s v="Desarrollador"/>
    <s v="Distribuido"/>
    <m/>
    <e v="#NAME?"/>
    <e v="#NAME?"/>
    <e v="#NAME?"/>
    <m/>
    <m/>
    <m/>
    <m/>
    <m/>
  </r>
  <r>
    <s v="CE66581"/>
    <x v="842"/>
    <x v="0"/>
    <x v="17"/>
    <s v="GGI / CMC"/>
    <e v="#NAME?"/>
    <s v="SDATOOL-40555 $ ADELANTO DE VENTA EN GEMA"/>
    <n v="1"/>
    <s v="QA"/>
    <s v="Distribuido"/>
    <m/>
    <e v="#NAME?"/>
    <e v="#NAME?"/>
    <e v="#NAME?"/>
    <m/>
    <m/>
    <m/>
    <m/>
    <m/>
  </r>
  <r>
    <s v="T003697"/>
    <x v="843"/>
    <x v="0"/>
    <x v="17"/>
    <s v="GGI / CMC"/>
    <e v="#NAME?"/>
    <s v="SDATOOL-39358 $ Crédito Virtual"/>
    <n v="1"/>
    <s v="Desarrollador"/>
    <s v="Distribuido"/>
    <m/>
    <e v="#NAME?"/>
    <e v="#NAME?"/>
    <e v="#NAME?"/>
    <m/>
    <m/>
    <m/>
    <m/>
    <m/>
  </r>
  <r>
    <s v="CE65226"/>
    <x v="844"/>
    <x v="0"/>
    <x v="17"/>
    <s v="GGI / CMC"/>
    <e v="#NAME?"/>
    <s v="SDATOOL-39358 $ Crédito Virtual"/>
    <n v="0.5"/>
    <s v="Desarrollador"/>
    <s v="ASO"/>
    <m/>
    <e v="#NAME?"/>
    <e v="#NAME?"/>
    <e v="#NAME?"/>
    <m/>
    <m/>
    <m/>
    <m/>
    <m/>
  </r>
  <r>
    <s v="CE65226"/>
    <x v="844"/>
    <x v="0"/>
    <x v="17"/>
    <s v="GGI / CMC"/>
    <e v="#NAME?"/>
    <s v="SDATOOL-40555 $ ADELANTO DE VENTA EN GEMA"/>
    <n v="0.5"/>
    <s v="Desarrollador"/>
    <s v="APX"/>
    <m/>
    <e v="#NAME?"/>
    <e v="#NAME?"/>
    <e v="#NAME?"/>
    <m/>
    <m/>
    <m/>
    <m/>
    <m/>
  </r>
  <r>
    <s v="O002003"/>
    <x v="845"/>
    <x v="0"/>
    <x v="17"/>
    <s v="BBVA"/>
    <e v="#NAME?"/>
    <s v="SDATOOL-39358 $ Crédito Virtual"/>
    <n v="1"/>
    <s v="Desarrollador"/>
    <s v="Distribuido"/>
    <m/>
    <e v="#NAME?"/>
    <e v="#NAME?"/>
    <e v="#NAME?"/>
    <m/>
    <m/>
    <m/>
    <m/>
    <m/>
  </r>
  <r>
    <s v="T009653"/>
    <x v="846"/>
    <x v="0"/>
    <x v="17"/>
    <s v="GGI / CMC"/>
    <e v="#NAME?"/>
    <s v="SDATOOL-39358 $ Crédito Virtual"/>
    <n v="1"/>
    <s v="QA"/>
    <s v="Distribuido"/>
    <m/>
    <e v="#NAME?"/>
    <e v="#NAME?"/>
    <e v="#NAME?"/>
    <m/>
    <m/>
    <m/>
    <m/>
    <m/>
  </r>
  <r>
    <s v="CE58814"/>
    <x v="847"/>
    <x v="0"/>
    <x v="17"/>
    <s v="Inetum"/>
    <e v="#NAME?"/>
    <s v="SDATOOL-40555 $ ADELANTO DE VENTA EN GEMA"/>
    <n v="1"/>
    <s v="Desarrollador"/>
    <s v="Mainframe"/>
    <m/>
    <e v="#NAME?"/>
    <e v="#NAME?"/>
    <e v="#NAME?"/>
    <m/>
    <m/>
    <m/>
    <m/>
    <m/>
  </r>
  <r>
    <s v="T007566"/>
    <x v="848"/>
    <x v="0"/>
    <x v="17"/>
    <s v="Inetum"/>
    <e v="#NAME?"/>
    <s v="SDATOOL-40555 $ ADELANTO DE VENTA EN GEMA"/>
    <n v="1"/>
    <s v="Desarrollador"/>
    <s v="APX"/>
    <m/>
    <e v="#NAME?"/>
    <e v="#NAME?"/>
    <e v="#NAME?"/>
    <m/>
    <m/>
    <m/>
    <m/>
    <m/>
  </r>
  <r>
    <s v="T007886"/>
    <x v="849"/>
    <x v="0"/>
    <x v="17"/>
    <s v="Inetum"/>
    <e v="#NAME?"/>
    <s v="SDATOOL-40555 $ ADELANTO DE VENTA EN GEMA"/>
    <n v="1"/>
    <s v="Desarrollador"/>
    <s v="APX"/>
    <m/>
    <e v="#NAME?"/>
    <e v="#NAME?"/>
    <e v="#NAME?"/>
    <m/>
    <m/>
    <m/>
    <m/>
    <m/>
  </r>
  <r>
    <s v="CE66910"/>
    <x v="850"/>
    <x v="0"/>
    <x v="17"/>
    <s v="GGI / CMC"/>
    <e v="#NAME?"/>
    <s v="SDATOOL-40555 $ ADELANTO DE VENTA EN GEMA"/>
    <n v="1"/>
    <s v="Desarrollador"/>
    <s v="ASO"/>
    <m/>
    <e v="#NAME?"/>
    <e v="#NAME?"/>
    <e v="#NAME?"/>
    <m/>
    <m/>
    <m/>
    <m/>
    <m/>
  </r>
  <r>
    <s v="CE61320"/>
    <x v="851"/>
    <x v="0"/>
    <x v="17"/>
    <s v="Novatec"/>
    <e v="#NAME?"/>
    <s v="SDATOOL-40555 $ ADELANTO DE VENTA EN GEMA"/>
    <n v="1"/>
    <s v="Desarrollador"/>
    <s v="ASO"/>
    <m/>
    <e v="#NAME?"/>
    <e v="#NAME?"/>
    <e v="#NAME?"/>
    <m/>
    <m/>
    <m/>
    <m/>
    <m/>
  </r>
  <r>
    <s v="CE66764"/>
    <x v="852"/>
    <x v="0"/>
    <x v="17"/>
    <s v="GGI / CMC"/>
    <e v="#NAME?"/>
    <s v="SDATOOL-40555 $ ADELANTO DE VENTA EN GEMA"/>
    <n v="1"/>
    <s v="Desarrollador"/>
    <s v="Cells"/>
    <m/>
    <e v="#NAME?"/>
    <e v="#NAME?"/>
    <e v="#NAME?"/>
    <m/>
    <m/>
    <m/>
    <m/>
    <m/>
  </r>
  <r>
    <s v="CE70407"/>
    <x v="853"/>
    <x v="0"/>
    <x v="17"/>
    <s v="KRYPTO"/>
    <e v="#NAME?"/>
    <s v="NOSDA $ BAU (Mantenimiento y peq. evolutivos)"/>
    <n v="1"/>
    <s v="Otros"/>
    <s v="Distribuido"/>
    <m/>
    <e v="#NAME?"/>
    <e v="#NAME?"/>
    <e v="#NAME?"/>
    <m/>
    <m/>
    <m/>
    <m/>
    <m/>
  </r>
  <r>
    <s v="T005929"/>
    <x v="854"/>
    <x v="0"/>
    <x v="17"/>
    <s v="GGI / CMC"/>
    <e v="#NAME?"/>
    <s v="NOSDA $ BAU (Mantenimiento y peq. evolutivos)"/>
    <n v="1"/>
    <s v="Otros"/>
    <s v="Distribuido"/>
    <m/>
    <e v="#NAME?"/>
    <e v="#NAME?"/>
    <e v="#NAME?"/>
    <m/>
    <m/>
    <m/>
    <m/>
    <m/>
  </r>
  <r>
    <s v="CE51848"/>
    <x v="855"/>
    <x v="0"/>
    <x v="17"/>
    <s v="Inetum"/>
    <e v="#NAME?"/>
    <s v="NOSDA $ BAU (Mantenimiento y peq. evolutivos)"/>
    <n v="0.5"/>
    <s v="Otros"/>
    <s v="Distribuido"/>
    <m/>
    <e v="#NAME?"/>
    <e v="#NAME?"/>
    <e v="#NAME?"/>
    <m/>
    <m/>
    <m/>
    <m/>
    <m/>
  </r>
  <r>
    <s v="T004335"/>
    <x v="856"/>
    <x v="0"/>
    <x v="17"/>
    <s v="GGI / CMC"/>
    <e v="#NAME?"/>
    <s v="SDATOOL-40555 $ ADELANTO DE VENTA EN GEMA"/>
    <n v="1"/>
    <s v="Desarrollador"/>
    <s v="Cells"/>
    <m/>
    <e v="#NAME?"/>
    <e v="#NAME?"/>
    <e v="#NAME?"/>
    <m/>
    <m/>
    <m/>
    <m/>
    <m/>
  </r>
  <r>
    <s v="CI08666"/>
    <x v="670"/>
    <x v="1"/>
    <x v="18"/>
    <s v="BBVA Fiduciaria"/>
    <e v="#NAME?"/>
    <s v="NOSDA $ BAU (Mantenimiento y peq. evolutivos)"/>
    <n v="0.4"/>
    <s v="Tech Manager/Líder"/>
    <m/>
    <s v="Interno"/>
    <e v="#NAME?"/>
    <e v="#NAME?"/>
    <e v="#NAME?"/>
    <m/>
    <m/>
    <m/>
    <m/>
    <m/>
  </r>
  <r>
    <s v="CE34456"/>
    <x v="857"/>
    <x v="1"/>
    <x v="16"/>
    <s v="GGI / CMC"/>
    <e v="#NAME?"/>
    <s v="SDATOOL-40269 $ Actualización y transmisión Declaraciones de Cambio – Banco de la República Abril 2022."/>
    <n v="0.25"/>
    <s v="QA"/>
    <s v="Otras Tec."/>
    <m/>
    <e v="#NAME?"/>
    <e v="#NAME?"/>
    <e v="#NAME?"/>
    <m/>
    <m/>
    <m/>
    <m/>
    <m/>
  </r>
  <r>
    <s v="CE34456"/>
    <x v="857"/>
    <x v="1"/>
    <x v="16"/>
    <s v="GGI / CMC"/>
    <e v="#NAME?"/>
    <s v="SDATOOL-37342 $ SWIFT ISO20022 Ajuste de mensajes Swift a la nueva estructura"/>
    <n v="0.25"/>
    <s v="QA"/>
    <s v="Otras Tec."/>
    <m/>
    <e v="#NAME?"/>
    <e v="#NAME?"/>
    <e v="#NAME?"/>
    <m/>
    <m/>
    <m/>
    <m/>
    <m/>
  </r>
  <r>
    <s v="CE34456"/>
    <x v="857"/>
    <x v="1"/>
    <x v="16"/>
    <s v="GGI / CMC"/>
    <e v="#NAME?"/>
    <s v="NOSDA $ BAU (Mantenimiento y peq. evolutivos)"/>
    <n v="0.5"/>
    <s v="QA"/>
    <s v="Otras Tec."/>
    <m/>
    <e v="#NAME?"/>
    <e v="#NAME?"/>
    <e v="#NAME?"/>
    <m/>
    <m/>
    <m/>
    <m/>
    <m/>
  </r>
  <r>
    <s v="CE41784"/>
    <x v="858"/>
    <x v="1"/>
    <x v="16"/>
    <s v="Novatec"/>
    <e v="#NAME?"/>
    <s v="SDATOOL-36047 $ Bloqueo Sobregiro para Pago Capital e Intereses"/>
    <n v="1"/>
    <s v="Desarrollador"/>
    <s v="Mainframe"/>
    <m/>
    <e v="#NAME?"/>
    <e v="#NAME?"/>
    <e v="#NAME?"/>
    <m/>
    <m/>
    <m/>
    <m/>
    <m/>
  </r>
  <r>
    <s v="CE57264"/>
    <x v="859"/>
    <x v="1"/>
    <x v="16"/>
    <s v="Novatec"/>
    <e v="#NAME?"/>
    <s v="SDATOOL-36047 $ Bloqueo Sobregiro para Pago Capital e Intereses"/>
    <n v="1"/>
    <s v="Desarrollador"/>
    <s v="Mainframe"/>
    <m/>
    <e v="#NAME?"/>
    <e v="#NAME?"/>
    <e v="#NAME?"/>
    <m/>
    <m/>
    <m/>
    <m/>
    <m/>
  </r>
  <r>
    <s v="T007049"/>
    <x v="860"/>
    <x v="1"/>
    <x v="16"/>
    <s v="Accenture"/>
    <e v="#NAME?"/>
    <s v="NOSDA $ BAU (Mantenimiento y peq. evolutivos)"/>
    <n v="1"/>
    <s v="Desarrollador"/>
    <s v="Distribuido"/>
    <m/>
    <e v="#NAME?"/>
    <e v="#NAME?"/>
    <e v="#NAME?"/>
    <m/>
    <m/>
    <m/>
    <m/>
    <m/>
  </r>
  <r>
    <s v="CE69613"/>
    <x v="861"/>
    <x v="1"/>
    <x v="16"/>
    <s v="Accenture"/>
    <e v="#NAME?"/>
    <s v="SDATOOL-41308 $ Aplicativos Tesorería 2023"/>
    <n v="0.2"/>
    <s v="Desarrollador"/>
    <s v="Distribuido"/>
    <m/>
    <e v="#NAME?"/>
    <e v="#NAME?"/>
    <e v="#NAME?"/>
    <m/>
    <m/>
    <m/>
    <m/>
    <m/>
  </r>
  <r>
    <s v="CE67315"/>
    <x v="862"/>
    <x v="1"/>
    <x v="16"/>
    <s v="Accenture"/>
    <e v="#NAME?"/>
    <s v="SDATOOL-41308 $ Aplicativos Tesorería 2023"/>
    <n v="0.2"/>
    <s v="Desarrollador"/>
    <s v="Distribuido"/>
    <m/>
    <e v="#NAME?"/>
    <e v="#NAME?"/>
    <e v="#NAME?"/>
    <m/>
    <m/>
    <m/>
    <m/>
    <m/>
  </r>
  <r>
    <s v="T003696"/>
    <x v="725"/>
    <x v="1"/>
    <x v="16"/>
    <s v="Accenture"/>
    <e v="#NAME?"/>
    <s v="SDATOOL-41308 $ Aplicativos Tesorería 2023"/>
    <n v="0.2"/>
    <s v="Desarrollador"/>
    <s v="Distribuido"/>
    <m/>
    <e v="#NAME?"/>
    <e v="#NAME?"/>
    <e v="#NAME?"/>
    <m/>
    <m/>
    <m/>
    <m/>
    <m/>
  </r>
  <r>
    <s v="CE66251"/>
    <x v="468"/>
    <x v="1"/>
    <x v="16"/>
    <s v="GGI / CMC"/>
    <e v="#NAME?"/>
    <s v="NOSDA $ BAU (Mantenimiento y peq. evolutivos)"/>
    <n v="0.5"/>
    <s v="QA"/>
    <s v="Distribuido"/>
    <m/>
    <e v="#NAME?"/>
    <e v="#NAME?"/>
    <e v="#NAME?"/>
    <m/>
    <m/>
    <m/>
    <m/>
    <m/>
  </r>
  <r>
    <s v="CE66251"/>
    <x v="461"/>
    <x v="1"/>
    <x v="16"/>
    <s v="GGI / CMC"/>
    <e v="#NAME?"/>
    <s v="NOSDA $ BAU (Mantenimiento y peq. evolutivos)"/>
    <n v="0.5"/>
    <s v="QA"/>
    <s v="Distribuido"/>
    <m/>
    <e v="#NAME?"/>
    <e v="#NAME?"/>
    <e v="#NAME?"/>
    <m/>
    <m/>
    <m/>
    <m/>
    <m/>
  </r>
  <r>
    <s v="C811378"/>
    <x v="863"/>
    <x v="3"/>
    <x v="27"/>
    <s v="BBVA"/>
    <e v="#NAME?"/>
    <s v="SDATOOL-38742 $ Gestor Documental Retail"/>
    <n v="1"/>
    <s v="Desarrollador"/>
    <s v="ASO"/>
    <s v="[GDG] - Habilitador Gestor Documental EMC1"/>
    <e v="#NAME?"/>
    <e v="#NAME?"/>
    <e v="#NAME?"/>
    <m/>
    <m/>
    <m/>
    <m/>
    <m/>
  </r>
  <r>
    <s v="O002144"/>
    <x v="864"/>
    <x v="3"/>
    <x v="27"/>
    <s v="BBVA"/>
    <e v="#NAME?"/>
    <s v="SDATOOL-38742 $ Gestor Documental Retail"/>
    <n v="1"/>
    <s v="Desarrollador"/>
    <s v="APX"/>
    <s v="[GDG] - Habilitador Gestor Documental EMC1"/>
    <e v="#NAME?"/>
    <e v="#NAME?"/>
    <e v="#NAME?"/>
    <m/>
    <m/>
    <m/>
    <m/>
    <m/>
  </r>
  <r>
    <s v="C804805"/>
    <x v="865"/>
    <x v="3"/>
    <x v="27"/>
    <s v="BBVA"/>
    <e v="#NAME?"/>
    <s v="SDATOOL-38742 $ Gestor Documental Retail"/>
    <n v="1"/>
    <s v="Desarrollador"/>
    <s v="APX"/>
    <s v="[GDG] - Habilitador Gestor Documental EMC1"/>
    <e v="#NAME?"/>
    <e v="#NAME?"/>
    <e v="#NAME?"/>
    <m/>
    <m/>
    <m/>
    <m/>
    <m/>
  </r>
  <r>
    <s v="O004614"/>
    <x v="866"/>
    <x v="3"/>
    <x v="27"/>
    <s v="BBVA"/>
    <e v="#NAME?"/>
    <s v="SDATOOL-39840 $ BBVA Valores en Canales (Net Cash / Net)"/>
    <n v="0.8"/>
    <s v="Desarrollador"/>
    <s v="Distribuido"/>
    <s v="[WIMEB] - Inclusión Extractos Producto de Valores"/>
    <e v="#NAME?"/>
    <e v="#NAME?"/>
    <e v="#NAME?"/>
    <m/>
    <m/>
    <m/>
    <m/>
    <m/>
  </r>
  <r>
    <s v="O004614"/>
    <x v="866"/>
    <x v="3"/>
    <x v="27"/>
    <s v="BBVA"/>
    <e v="#NAME?"/>
    <s v="NOSDA $ BAU (Mantenimiento y peq. evolutivos)"/>
    <n v="0.1"/>
    <s v="Desarrollador"/>
    <s v="Distribuido"/>
    <s v="[WIMEB] - Soporte Produccion"/>
    <e v="#NAME?"/>
    <e v="#NAME?"/>
    <e v="#NAME?"/>
    <m/>
    <m/>
    <m/>
    <m/>
    <m/>
  </r>
  <r>
    <s v="O004614"/>
    <x v="866"/>
    <x v="3"/>
    <x v="27"/>
    <s v="BBVA"/>
    <e v="#NAME?"/>
    <s v="NOSDA $ BAU (Mantenimiento y peq. evolutivos)"/>
    <n v="0.1"/>
    <s v="Desarrollador"/>
    <s v="Distribuido"/>
    <s v="[WIMEB] - Carta de bienvenida Libranza"/>
    <e v="#NAME?"/>
    <e v="#NAME?"/>
    <e v="#NAME?"/>
    <m/>
    <m/>
    <m/>
    <m/>
    <m/>
  </r>
  <r>
    <s v="C809712"/>
    <x v="867"/>
    <x v="3"/>
    <x v="27"/>
    <s v="BBVA"/>
    <e v="#NAME?"/>
    <s v="SDATOOL-37753 $ Plan de transformación de operaciones 2022"/>
    <n v="0.7"/>
    <s v="Desarrollador"/>
    <s v="ASO"/>
    <s v="[IDP] - COLWSBPE-115 - Definiciones a nivel técnico "/>
    <e v="#NAME?"/>
    <e v="#NAME?"/>
    <e v="#NAME?"/>
    <m/>
    <m/>
    <m/>
    <m/>
    <m/>
  </r>
  <r>
    <s v="C809712"/>
    <x v="867"/>
    <x v="3"/>
    <x v="27"/>
    <s v="BBVA"/>
    <e v="#NAME?"/>
    <s v="SDATOOL-35463 $ Gestión de Ingresos - Períodos de Gracia Libranzas"/>
    <n v="0.2"/>
    <s v="Desarrollador"/>
    <s v="Distribuido"/>
    <s v="[WIMEB] - Carta de bienvenida consumo"/>
    <e v="#NAME?"/>
    <e v="#NAME?"/>
    <e v="#NAME?"/>
    <m/>
    <m/>
    <m/>
    <m/>
    <m/>
  </r>
  <r>
    <s v="C809712"/>
    <x v="867"/>
    <x v="3"/>
    <x v="27"/>
    <s v="BBVA"/>
    <e v="#NAME?"/>
    <s v="NOSDA $ BAU (Mantenimiento y peq. evolutivos)"/>
    <n v="0.1"/>
    <s v="Desarrollador"/>
    <s v="Distribuido"/>
    <s v="[WIMEB] - INICIDENCIA   Consulta de Extractos"/>
    <e v="#NAME?"/>
    <e v="#NAME?"/>
    <e v="#NAME?"/>
    <m/>
    <m/>
    <m/>
    <m/>
    <m/>
  </r>
  <r>
    <s v="C804845"/>
    <x v="868"/>
    <x v="3"/>
    <x v="27"/>
    <s v="BBVA"/>
    <e v="#NAME?"/>
    <s v="SDATOOL-40435 $ Cuota Segura créditos de libranza"/>
    <n v="0.5"/>
    <s v="Desarrollador"/>
    <s v="Distribuido"/>
    <s v="[PNB] - Proyecto : Gestión de Ingresos - Períodos de Gracia Libranzas"/>
    <e v="#NAME?"/>
    <e v="#NAME?"/>
    <e v="#NAME?"/>
    <m/>
    <m/>
    <m/>
    <m/>
    <m/>
  </r>
  <r>
    <s v="C804845"/>
    <x v="868"/>
    <x v="3"/>
    <x v="27"/>
    <s v="BBVA"/>
    <e v="#NAME?"/>
    <s v="NOSDA $ BAU (Mantenimiento y peq. evolutivos)"/>
    <n v="0.1"/>
    <s v="Desarrollador"/>
    <s v="Distribuido"/>
    <s v="[FARO] - Revisión documentos pendientes por migrar"/>
    <e v="#NAME?"/>
    <e v="#NAME?"/>
    <e v="#NAME?"/>
    <m/>
    <m/>
    <m/>
    <m/>
    <m/>
  </r>
  <r>
    <s v="C804845"/>
    <x v="868"/>
    <x v="3"/>
    <x v="27"/>
    <s v="BBVA"/>
    <e v="#NAME?"/>
    <s v="NOSDA $ BAU (Mantenimiento y peq. evolutivos)"/>
    <n v="0.05"/>
    <s v="Desarrollador"/>
    <s v="Distribuido"/>
    <s v="[Firmas Valuadoras] - Dia a Dia / Firmas valuadoras. Creación usuarios"/>
    <e v="#NAME?"/>
    <e v="#NAME?"/>
    <e v="#NAME?"/>
    <m/>
    <m/>
    <m/>
    <m/>
    <m/>
  </r>
  <r>
    <s v="C804845"/>
    <x v="868"/>
    <x v="3"/>
    <x v="27"/>
    <s v="BBVA"/>
    <e v="#NAME?"/>
    <s v="NOSDA $ BAU (Mantenimiento y peq. evolutivos)"/>
    <n v="0.1"/>
    <s v="Desarrollador"/>
    <s v="Distribuido"/>
    <s v="[PNB] - Atención solicitudes de actualización"/>
    <e v="#NAME?"/>
    <e v="#NAME?"/>
    <e v="#NAME?"/>
    <m/>
    <m/>
    <m/>
    <m/>
    <m/>
  </r>
  <r>
    <s v="C804845"/>
    <x v="868"/>
    <x v="3"/>
    <x v="27"/>
    <s v="BBVA"/>
    <e v="#NAME?"/>
    <s v="NOSDA $ BAU (Mantenimiento y peq. evolutivos)"/>
    <n v="0.1"/>
    <s v="Desarrollador"/>
    <s v="Distribuido"/>
    <s v="[Lotus-Khronos] - Validación ejecución de Momentos, Ajustes, reporcesos dependiendo de casuisitica"/>
    <e v="#NAME?"/>
    <e v="#NAME?"/>
    <e v="#NAME?"/>
    <m/>
    <m/>
    <m/>
    <m/>
    <m/>
  </r>
  <r>
    <s v="C804845"/>
    <x v="868"/>
    <x v="3"/>
    <x v="27"/>
    <s v="BBVA"/>
    <e v="#NAME?"/>
    <s v="SDATOOL-41203 $ Obsolescencia Aplicativa 2023"/>
    <n v="0.1"/>
    <s v="Desarrollador"/>
    <s v="Distribuido"/>
    <s v="[GranNet] - Migración modulos AdminPlan"/>
    <e v="#NAME?"/>
    <e v="#NAME?"/>
    <e v="#NAME?"/>
    <m/>
    <m/>
    <m/>
    <m/>
    <m/>
  </r>
  <r>
    <s v="C804845"/>
    <x v="868"/>
    <x v="3"/>
    <x v="27"/>
    <s v="BBVA"/>
    <e v="#NAME?"/>
    <s v="SDATOOL-35329 $ Activo Particular 2021"/>
    <n v="0.05"/>
    <s v="Desarrollador"/>
    <s v="Distribuido"/>
    <s v="[GranNet] - Modulo de liquidación de comisiones"/>
    <e v="#NAME?"/>
    <e v="#NAME?"/>
    <e v="#NAME?"/>
    <m/>
    <m/>
    <m/>
    <m/>
    <m/>
  </r>
  <r>
    <s v="O002373"/>
    <x v="869"/>
    <x v="3"/>
    <x v="27"/>
    <s v="BBVA"/>
    <e v="#NAME?"/>
    <s v="SDATOOL-38757 $ Modelo administrativo de oficina - Omnicanalidad"/>
    <n v="1"/>
    <s v="Desarrollador"/>
    <s v="Distribuido"/>
    <m/>
    <e v="#NAME?"/>
    <e v="#NAME?"/>
    <e v="#NAME?"/>
    <m/>
    <m/>
    <m/>
    <m/>
    <m/>
  </r>
  <r>
    <s v="O000471"/>
    <x v="870"/>
    <x v="3"/>
    <x v="27"/>
    <s v="BBVA"/>
    <e v="#NAME?"/>
    <s v="SDATOOL-38757 $ Modelo administrativo de oficina - Omnicanalidad"/>
    <n v="1"/>
    <s v="Desarrollador"/>
    <s v="Distribuido"/>
    <m/>
    <e v="#NAME?"/>
    <e v="#NAME?"/>
    <e v="#NAME?"/>
    <m/>
    <m/>
    <m/>
    <m/>
    <m/>
  </r>
  <r>
    <s v="C805945"/>
    <x v="871"/>
    <x v="3"/>
    <x v="28"/>
    <s v="BBVA"/>
    <e v="#NAME?"/>
    <s v="SDATOOL-41171 $ CBS Core Banking Strategy Convivencia Clients and Contracts"/>
    <n v="0.9"/>
    <s v="Desarrollador"/>
    <s v="LRBA"/>
    <m/>
    <e v="#NAME?"/>
    <e v="#NAME?"/>
    <e v="#NAME?"/>
    <m/>
    <m/>
    <m/>
    <m/>
    <m/>
  </r>
  <r>
    <s v="C805945"/>
    <x v="871"/>
    <x v="3"/>
    <x v="28"/>
    <s v="BBVA"/>
    <e v="#NAME?"/>
    <s v="NOSDA $ BAU (Mantenimiento y peq. evolutivos)"/>
    <n v="0.1"/>
    <s v="Desarrollador"/>
    <s v="LRBA"/>
    <m/>
    <e v="#NAME?"/>
    <e v="#NAME?"/>
    <e v="#NAME?"/>
    <m/>
    <m/>
    <m/>
    <m/>
    <m/>
  </r>
  <r>
    <s v="CE60804"/>
    <x v="113"/>
    <x v="3"/>
    <x v="28"/>
    <s v="Indra"/>
    <e v="#NAME?"/>
    <s v="NOSDA $ BAU (Mantenimiento y peq. evolutivos)"/>
    <n v="0.5"/>
    <s v="Desarrollador"/>
    <s v="Mainframe"/>
    <m/>
    <e v="#NAME?"/>
    <e v="#NAME?"/>
    <e v="#NAME?"/>
    <m/>
    <m/>
    <m/>
    <m/>
    <m/>
  </r>
  <r>
    <s v="CE64752"/>
    <x v="872"/>
    <x v="3"/>
    <x v="28"/>
    <s v="KRYPTO"/>
    <e v="#NAME?"/>
    <s v="NOSDA $ BAU (Mantenimiento y peq. evolutivos)"/>
    <n v="0.5"/>
    <s v="QA"/>
    <s v="Otras Tec."/>
    <m/>
    <e v="#NAME?"/>
    <e v="#NAME?"/>
    <e v="#NAME?"/>
    <m/>
    <m/>
    <m/>
    <m/>
    <m/>
  </r>
  <r>
    <s v="CE71176"/>
    <x v="873"/>
    <x v="3"/>
    <x v="28"/>
    <s v="KRYPTO"/>
    <e v="#NAME?"/>
    <s v="SDATOOL-41171 $ CBS Core Banking Strategy Convivencia Clients and Contracts"/>
    <n v="0.5"/>
    <s v="QA"/>
    <s v="Otras Tec."/>
    <m/>
    <e v="#NAME?"/>
    <e v="#NAME?"/>
    <e v="#NAME?"/>
    <m/>
    <m/>
    <m/>
    <m/>
    <m/>
  </r>
  <r>
    <s v="O000437"/>
    <x v="874"/>
    <x v="3"/>
    <x v="28"/>
    <s v="BBVA"/>
    <e v="#NAME?"/>
    <s v="NOSDA $ BAU (Mantenimiento y peq. evolutivos)"/>
    <n v="0.15"/>
    <s v="Desarrollador"/>
    <s v="Mainframe"/>
    <m/>
    <e v="#NAME?"/>
    <e v="#NAME?"/>
    <e v="#NAME?"/>
    <m/>
    <m/>
    <m/>
    <m/>
    <m/>
  </r>
  <r>
    <s v="O000437"/>
    <x v="874"/>
    <x v="3"/>
    <x v="28"/>
    <s v="BBVA"/>
    <e v="#NAME?"/>
    <s v="SDATOOL-41171 $ CBS Core Banking Strategy Convivencia Clients and Contracts"/>
    <n v="0.4"/>
    <s v="Desarrollador"/>
    <s v="Mainframe"/>
    <m/>
    <e v="#NAME?"/>
    <e v="#NAME?"/>
    <e v="#NAME?"/>
    <m/>
    <m/>
    <m/>
    <m/>
    <m/>
  </r>
  <r>
    <s v="O000437"/>
    <x v="874"/>
    <x v="3"/>
    <x v="28"/>
    <s v="BBVA"/>
    <e v="#NAME?"/>
    <s v="SDATOOL-39246 $ Nuevo tipo de identificación para extranjeros"/>
    <n v="0.05"/>
    <s v="Desarrollador"/>
    <s v="Mainframe"/>
    <m/>
    <e v="#NAME?"/>
    <e v="#NAME?"/>
    <e v="#NAME?"/>
    <m/>
    <m/>
    <m/>
    <m/>
    <m/>
  </r>
  <r>
    <s v="O000437"/>
    <x v="874"/>
    <x v="3"/>
    <x v="28"/>
    <s v="BBVA"/>
    <e v="#NAME?"/>
    <s v="SDATOOL-41202 $ GRM Col - Ajustes Asset Allocation y Riesgo de Concentración"/>
    <n v="0.25"/>
    <s v="Desarrollador"/>
    <s v="Mainframe"/>
    <m/>
    <e v="#NAME?"/>
    <e v="#NAME?"/>
    <e v="#NAME?"/>
    <m/>
    <m/>
    <m/>
    <m/>
    <m/>
  </r>
  <r>
    <s v="O000443"/>
    <x v="875"/>
    <x v="3"/>
    <x v="28"/>
    <s v="BBVA"/>
    <e v="#NAME?"/>
    <s v="SDATOOL-41171 $ CBS Core Banking Strategy Convivencia Clients and Contracts"/>
    <n v="0.2"/>
    <s v="Tech Manager/Líder"/>
    <s v="Mainframe"/>
    <m/>
    <e v="#NAME?"/>
    <e v="#NAME?"/>
    <e v="#NAME?"/>
    <m/>
    <m/>
    <m/>
    <m/>
    <m/>
  </r>
  <r>
    <s v="O001817"/>
    <x v="876"/>
    <x v="3"/>
    <x v="28"/>
    <s v="BBVA"/>
    <e v="#NAME?"/>
    <s v="NOSDA $ BAU (Mantenimiento y peq. evolutivos)"/>
    <n v="0.08"/>
    <s v="Desarrollador"/>
    <s v="Mainframe"/>
    <m/>
    <e v="#NAME?"/>
    <e v="#NAME?"/>
    <e v="#NAME?"/>
    <m/>
    <m/>
    <m/>
    <m/>
    <m/>
  </r>
  <r>
    <s v="O001817"/>
    <x v="876"/>
    <x v="3"/>
    <x v="28"/>
    <s v="BBVA"/>
    <e v="#NAME?"/>
    <s v="SDATOOL-41171 $ CBS Core Banking Strategy Convivencia Clients and Contracts"/>
    <n v="0.35"/>
    <s v="Desarrollador"/>
    <s v="Mainframe"/>
    <m/>
    <e v="#NAME?"/>
    <e v="#NAME?"/>
    <e v="#NAME?"/>
    <m/>
    <m/>
    <m/>
    <m/>
    <m/>
  </r>
  <r>
    <s v="O001817"/>
    <x v="876"/>
    <x v="3"/>
    <x v="28"/>
    <s v="BBVA"/>
    <e v="#NAME?"/>
    <s v="NOSDA $ BAU (Mantenimiento y peq. evolutivos)"/>
    <n v="0.03"/>
    <s v="Desarrollador"/>
    <s v="Mainframe"/>
    <m/>
    <e v="#NAME?"/>
    <e v="#NAME?"/>
    <e v="#NAME?"/>
    <m/>
    <m/>
    <m/>
    <m/>
    <m/>
  </r>
  <r>
    <s v="O001975"/>
    <x v="877"/>
    <x v="3"/>
    <x v="28"/>
    <s v="BBVA"/>
    <e v="#NAME?"/>
    <s v="SDATOOL-41171 $ CBS Core Banking Strategy Convivencia Clients and Contracts"/>
    <n v="0.9"/>
    <s v="Desarrollador"/>
    <s v="LRBA"/>
    <m/>
    <e v="#NAME?"/>
    <e v="#NAME?"/>
    <e v="#NAME?"/>
    <m/>
    <m/>
    <m/>
    <m/>
    <m/>
  </r>
  <r>
    <s v="O001975"/>
    <x v="877"/>
    <x v="3"/>
    <x v="28"/>
    <s v="BBVA"/>
    <e v="#NAME?"/>
    <s v="NOSDA $ BAU (Mantenimiento y peq. evolutivos)"/>
    <n v="0.1"/>
    <s v="Desarrollador"/>
    <s v="LRBA"/>
    <m/>
    <e v="#NAME?"/>
    <e v="#NAME?"/>
    <e v="#NAME?"/>
    <m/>
    <m/>
    <m/>
    <m/>
    <m/>
  </r>
  <r>
    <s v="O001976"/>
    <x v="878"/>
    <x v="3"/>
    <x v="28"/>
    <s v="BBVA"/>
    <e v="#NAME?"/>
    <s v="SDATOOL-41171 $ CBS Core Banking Strategy Convivencia Clients and Contracts"/>
    <n v="0.9"/>
    <s v="Desarrollador"/>
    <s v="APX"/>
    <m/>
    <e v="#NAME?"/>
    <e v="#NAME?"/>
    <e v="#NAME?"/>
    <m/>
    <m/>
    <m/>
    <m/>
    <m/>
  </r>
  <r>
    <s v="O001976"/>
    <x v="878"/>
    <x v="3"/>
    <x v="28"/>
    <s v="BBVA"/>
    <e v="#NAME?"/>
    <s v="NOSDA $ BAU (Mantenimiento y peq. evolutivos)"/>
    <n v="0.1"/>
    <s v="Desarrollador"/>
    <s v="APX"/>
    <m/>
    <e v="#NAME?"/>
    <e v="#NAME?"/>
    <e v="#NAME?"/>
    <m/>
    <m/>
    <m/>
    <m/>
    <m/>
  </r>
  <r>
    <s v="O003809"/>
    <x v="879"/>
    <x v="3"/>
    <x v="28"/>
    <s v="BBVA"/>
    <e v="#NAME?"/>
    <s v="SDATOOL-41171 $ CBS Core Banking Strategy Convivencia Clients and Contracts"/>
    <n v="1"/>
    <s v="Tech Manager/Líder"/>
    <s v="LRBA"/>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0443"/>
    <x v="875"/>
    <x v="3"/>
    <x v="28"/>
    <s v="BBVA"/>
    <e v="#NAME?"/>
    <s v="NOSDA $ BAU (Mantenimiento y peq. evolutivos)"/>
    <n v="0.03"/>
    <s v="Desarrollado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1817"/>
    <x v="876"/>
    <x v="3"/>
    <x v="28"/>
    <s v="BBVA"/>
    <e v="#NAME?"/>
    <s v="NOSDA $ BAU (Mantenimiento y peq. evolutivos)"/>
    <n v="0.2"/>
    <s v="Desarrollador"/>
    <s v="Mainframe"/>
    <m/>
    <e v="#NAME?"/>
    <e v="#NAME?"/>
    <e v="#NAME?"/>
    <m/>
    <m/>
    <m/>
    <m/>
    <m/>
  </r>
  <r>
    <s v="O000443"/>
    <x v="875"/>
    <x v="3"/>
    <x v="28"/>
    <s v="BBVA"/>
    <e v="#NAME?"/>
    <s v="NOSDA $ BAU (Mantenimiento y peq. evolutivos)"/>
    <n v="0.03"/>
    <s v="Tech Manager/Líder"/>
    <s v="Mainframe"/>
    <m/>
    <e v="#NAME?"/>
    <e v="#NAME?"/>
    <e v="#NAME?"/>
    <m/>
    <m/>
    <m/>
    <m/>
    <m/>
  </r>
  <r>
    <s v="O000437"/>
    <x v="874"/>
    <x v="3"/>
    <x v="28"/>
    <s v="BBVA"/>
    <e v="#NAME?"/>
    <s v="NOSDA $ BAU (Mantenimiento y peq. evolutivos)"/>
    <n v="0.05"/>
    <s v="Desarrollador"/>
    <s v="Mainframe"/>
    <m/>
    <e v="#NAME?"/>
    <e v="#NAME?"/>
    <e v="#NAME?"/>
    <m/>
    <m/>
    <m/>
    <m/>
    <m/>
  </r>
  <r>
    <s v="O000443"/>
    <x v="875"/>
    <x v="3"/>
    <x v="28"/>
    <s v="BBVA"/>
    <e v="#NAME?"/>
    <s v="NOSDA $ BAU (Mantenimiento y peq. evolutivos)"/>
    <n v="0.03"/>
    <s v="Tech Manager/Líder"/>
    <s v="Mainframe"/>
    <m/>
    <e v="#NAME?"/>
    <e v="#NAME?"/>
    <e v="#NAME?"/>
    <m/>
    <m/>
    <m/>
    <m/>
    <m/>
  </r>
  <r>
    <s v="O001817"/>
    <x v="876"/>
    <x v="3"/>
    <x v="28"/>
    <s v="BBVA"/>
    <e v="#NAME?"/>
    <s v="NOSDA $ BAU (Mantenimiento y peq. evolutivos)"/>
    <n v="0.05"/>
    <s v="Desarrollador"/>
    <s v="Mainframe"/>
    <m/>
    <e v="#NAME?"/>
    <e v="#NAME?"/>
    <e v="#NAME?"/>
    <m/>
    <m/>
    <m/>
    <m/>
    <m/>
  </r>
  <r>
    <s v="O000437"/>
    <x v="874"/>
    <x v="3"/>
    <x v="28"/>
    <s v="BBVA"/>
    <e v="#NAME?"/>
    <s v="NOSDA $ BAU (Mantenimiento y peq. evolutivos)"/>
    <n v="0.05"/>
    <s v="Desarrollador"/>
    <s v="Mainframe"/>
    <m/>
    <e v="#NAME?"/>
    <e v="#NAME?"/>
    <e v="#NAME?"/>
    <m/>
    <m/>
    <m/>
    <m/>
    <m/>
  </r>
  <r>
    <s v="O001817"/>
    <x v="876"/>
    <x v="3"/>
    <x v="28"/>
    <s v="BBVA"/>
    <e v="#NAME?"/>
    <s v="NOSDA $ BAU (Mantenimiento y peq. evolutivos)"/>
    <n v="0.05"/>
    <s v="Desarrollador"/>
    <s v="Mainframe"/>
    <m/>
    <e v="#NAME?"/>
    <e v="#NAME?"/>
    <e v="#NAME?"/>
    <m/>
    <m/>
    <m/>
    <m/>
    <m/>
  </r>
  <r>
    <s v="O000443"/>
    <x v="875"/>
    <x v="3"/>
    <x v="28"/>
    <s v="BBVA"/>
    <e v="#NAME?"/>
    <s v="NOSDA $ BAU (Mantenimiento y peq. evolutivos)"/>
    <n v="0.05"/>
    <s v="Tech Manager/Líder"/>
    <s v="Mainframe"/>
    <m/>
    <e v="#NAME?"/>
    <e v="#NAME?"/>
    <e v="#NAME?"/>
    <m/>
    <m/>
    <m/>
    <m/>
    <m/>
  </r>
  <r>
    <s v="O000437"/>
    <x v="874"/>
    <x v="3"/>
    <x v="28"/>
    <s v="BBVA"/>
    <e v="#NAME?"/>
    <s v="NOSDA $ BAU (Mantenimiento y peq. evolutivos)"/>
    <n v="0.05"/>
    <s v="Desarrollador"/>
    <s v="Mainframe"/>
    <m/>
    <e v="#NAME?"/>
    <e v="#NAME?"/>
    <e v="#NAME?"/>
    <m/>
    <m/>
    <m/>
    <m/>
    <m/>
  </r>
  <r>
    <s v="O000443"/>
    <x v="875"/>
    <x v="3"/>
    <x v="28"/>
    <s v="BBVA"/>
    <e v="#NAME?"/>
    <s v="NOSDA $ BAU (Mantenimiento y peq. evolutivos)"/>
    <n v="0.25"/>
    <s v="Tech Manager/Líder"/>
    <s v="Mainframe"/>
    <m/>
    <e v="#NAME?"/>
    <e v="#NAME?"/>
    <e v="#NAME?"/>
    <m/>
    <m/>
    <m/>
    <m/>
    <m/>
  </r>
  <r>
    <s v="O000443"/>
    <x v="875"/>
    <x v="3"/>
    <x v="28"/>
    <s v="BBVA"/>
    <e v="#NAME?"/>
    <s v="SDATOOL-41202 $ GRM Col - Ajustes Asset Allocation y Riesgo de Concentración"/>
    <n v="0.1"/>
    <s v="Tech Manager/Líder"/>
    <s v="Mainframe"/>
    <m/>
    <e v="#NAME?"/>
    <e v="#NAME?"/>
    <e v="#NAME?"/>
    <m/>
    <m/>
    <m/>
    <m/>
    <m/>
  </r>
  <r>
    <s v="O000443"/>
    <x v="875"/>
    <x v="3"/>
    <x v="28"/>
    <s v="BBVA"/>
    <e v="#NAME?"/>
    <s v="SDATOOL-40225 $ Resolución 0124 Dian - 2021 - Ajustes para Reporte de Información Exógena año gravable 2022 - Ciclo 1"/>
    <n v="0.1"/>
    <s v="Tech Manager/Líder"/>
    <s v="Mainframe"/>
    <m/>
    <e v="#NAME?"/>
    <e v="#NAME?"/>
    <e v="#NAME?"/>
    <m/>
    <m/>
    <m/>
    <m/>
    <m/>
  </r>
  <r>
    <s v="O005000"/>
    <x v="880"/>
    <x v="3"/>
    <x v="28"/>
    <s v="BBVA"/>
    <e v="#NAME?"/>
    <s v="SDATOOL-40225 $ Resolución 0124 Dian - 2021 - Ajustes para Reporte de Información Exógena año gravable 2022 - Ciclo 1"/>
    <n v="0.2"/>
    <s v="Desarrollador"/>
    <s v="Mainframe"/>
    <m/>
    <e v="#NAME?"/>
    <e v="#NAME?"/>
    <e v="#NAME?"/>
    <m/>
    <m/>
    <m/>
    <m/>
    <m/>
  </r>
  <r>
    <s v="O005000"/>
    <x v="880"/>
    <x v="3"/>
    <x v="28"/>
    <s v="BBVA"/>
    <e v="#NAME?"/>
    <s v="NOSDA $ BAU (Mantenimiento y peq. evolutivos)"/>
    <n v="0.7"/>
    <s v="Desarrollador"/>
    <s v="Mainframe"/>
    <m/>
    <e v="#NAME?"/>
    <e v="#NAME?"/>
    <e v="#NAME?"/>
    <m/>
    <m/>
    <m/>
    <m/>
    <m/>
  </r>
  <r>
    <s v="O005000"/>
    <x v="880"/>
    <x v="3"/>
    <x v="28"/>
    <s v="BBVA"/>
    <e v="#NAME?"/>
    <s v="SDATOOL-41171 $ CBS Core Banking Strategy Convivencia Clients and Contracts"/>
    <n v="0.1"/>
    <s v="Desarrollador"/>
    <s v="Mainframe"/>
    <m/>
    <e v="#NAME?"/>
    <e v="#NAME?"/>
    <e v="#NAME?"/>
    <m/>
    <m/>
    <m/>
    <m/>
    <m/>
  </r>
  <r>
    <s v="CE56248"/>
    <x v="881"/>
    <x v="3"/>
    <x v="29"/>
    <s v="Accenture"/>
    <e v="#NAME?"/>
    <s v="NOSDA $ BAU (Mantenimiento y peq. evolutivos)"/>
    <n v="0.5"/>
    <s v="QA"/>
    <s v="Distribuido"/>
    <s v="Bonita 7 y Bonita 5 "/>
    <e v="#NAME?"/>
    <e v="#NAME?"/>
    <e v="#NAME?"/>
    <m/>
    <m/>
    <m/>
    <m/>
    <m/>
  </r>
  <r>
    <s v="CE56248"/>
    <x v="881"/>
    <x v="3"/>
    <x v="29"/>
    <s v="Accenture"/>
    <e v="#NAME?"/>
    <s v="SDATOOL-40435 $ Cuota Segura créditos de libranza"/>
    <n v="0.5"/>
    <s v="QA"/>
    <s v="Distribuido"/>
    <s v="pruebas unitarias en desarrollo"/>
    <e v="#NAME?"/>
    <e v="#NAME?"/>
    <e v="#NAME?"/>
    <m/>
    <m/>
    <m/>
    <m/>
    <m/>
  </r>
  <r>
    <s v="C808271"/>
    <x v="882"/>
    <x v="3"/>
    <x v="29"/>
    <s v="BBVA"/>
    <e v="#NAME?"/>
    <s v="SDATOOL-31326 $ Legalización Hipotecario"/>
    <n v="0.8"/>
    <s v="Desarrollador"/>
    <s v="Otras Tec."/>
    <s v="desarrollos F8; Postimplantación F5,6 y 7"/>
    <e v="#NAME?"/>
    <e v="#NAME?"/>
    <e v="#NAME?"/>
    <m/>
    <m/>
    <m/>
    <m/>
    <m/>
  </r>
  <r>
    <s v="C805770"/>
    <x v="883"/>
    <x v="3"/>
    <x v="29"/>
    <s v="BBVA"/>
    <e v="#NAME?"/>
    <s v="SDATOOL-31326 $ Legalización Hipotecario"/>
    <n v="0.1"/>
    <s v="Desarrollador"/>
    <s v="Otras Tec."/>
    <s v="desarrollos F7,8; Postimplantación F5 y6"/>
    <e v="#NAME?"/>
    <e v="#NAME?"/>
    <e v="#NAME?"/>
    <m/>
    <m/>
    <m/>
    <m/>
    <m/>
  </r>
  <r>
    <s v="C808271"/>
    <x v="882"/>
    <x v="3"/>
    <x v="29"/>
    <s v="BBVA"/>
    <e v="#NAME?"/>
    <s v="SDATOOL-41877 $ Evolutivo Bonita 5 Community a JBPM"/>
    <n v="0.2"/>
    <s v="Desarrollador"/>
    <s v="Otras Tec."/>
    <s v="Diseño de front transversal,  maqueta, formación BPMaaS"/>
    <e v="#NAME?"/>
    <e v="#NAME?"/>
    <e v="#NAME?"/>
    <m/>
    <m/>
    <m/>
    <m/>
    <m/>
  </r>
  <r>
    <s v="O002375"/>
    <x v="884"/>
    <x v="3"/>
    <x v="29"/>
    <s v="BBVA"/>
    <e v="#NAME?"/>
    <s v="NOSDA $ BAU (Mantenimiento y peq. evolutivos)"/>
    <n v="1"/>
    <s v="Desarrollador"/>
    <s v="Otras Tec."/>
    <s v="Arandas, producción y backlog mantenimientos menores"/>
    <e v="#NAME?"/>
    <e v="#NAME?"/>
    <e v="#NAME?"/>
    <m/>
    <m/>
    <m/>
    <m/>
    <m/>
  </r>
  <r>
    <s v="T007650"/>
    <x v="885"/>
    <x v="3"/>
    <x v="29"/>
    <s v="TRYCORE"/>
    <e v="#NAME?"/>
    <s v="SDATOOL-40435 $ Cuota Segura créditos de libranza"/>
    <n v="1"/>
    <s v="Desarrollador"/>
    <s v="Otras Tec."/>
    <s v="desarrollos en curso, envio a QA S3 de bril"/>
    <e v="#NAME?"/>
    <e v="#NAME?"/>
    <e v="#NAME?"/>
    <m/>
    <m/>
    <m/>
    <m/>
    <m/>
  </r>
  <r>
    <s v="C343334"/>
    <x v="886"/>
    <x v="3"/>
    <x v="29"/>
    <s v="BBVA"/>
    <e v="#NAME?"/>
    <s v="NOSDA $ BAU (Mantenimiento y peq. evolutivos)"/>
    <n v="0.75"/>
    <s v="Desarrollador"/>
    <s v="Otras Tec."/>
    <s v="MN-2091 Reingenieria proceso cancelacion de garantias, desarrollos con entrega a QA S3 agosto"/>
    <e v="#NAME?"/>
    <e v="#NAME?"/>
    <e v="#NAME?"/>
    <m/>
    <m/>
    <m/>
    <m/>
    <m/>
  </r>
  <r>
    <s v="C343334"/>
    <x v="886"/>
    <x v="3"/>
    <x v="29"/>
    <s v="BBVA"/>
    <e v="#NAME?"/>
    <s v="NOSDA $ BAU (Mantenimiento y peq. evolutivos)"/>
    <n v="0.1"/>
    <s v="Desarrollador"/>
    <s v="Otras Tec."/>
    <s v="Analisis y Diseño Tecnico conexion IDM con Bonita 7"/>
    <e v="#NAME?"/>
    <e v="#NAME?"/>
    <e v="#NAME?"/>
    <m/>
    <m/>
    <m/>
    <m/>
    <m/>
  </r>
  <r>
    <s v="C343334"/>
    <x v="886"/>
    <x v="3"/>
    <x v="29"/>
    <s v="BBVA"/>
    <e v="#NAME?"/>
    <s v="NOSDA $ BAU (Mantenimiento y peq. evolutivos)"/>
    <n v="0.05"/>
    <s v="Desarrollador"/>
    <s v="Otras Tec."/>
    <s v="Prioridad Alta Bandeja de entrada B7Prioridad Alta Bandeja de entrada B7"/>
    <e v="#NAME?"/>
    <e v="#NAME?"/>
    <e v="#NAME?"/>
    <m/>
    <m/>
    <m/>
    <m/>
    <m/>
  </r>
  <r>
    <s v="C343334"/>
    <x v="886"/>
    <x v="3"/>
    <x v="29"/>
    <s v="BBVA"/>
    <e v="#NAME?"/>
    <s v="SDATOOL-41877 $ Evolutivo Bonita 5 Community a JBPM"/>
    <n v="0.1"/>
    <s v="Desarrollador"/>
    <s v="Otras Tec."/>
    <s v="Diseño de front transversal,  maqueta, formación BPMaaS"/>
    <e v="#NAME?"/>
    <e v="#NAME?"/>
    <e v="#NAME?"/>
    <m/>
    <m/>
    <m/>
    <m/>
    <m/>
  </r>
  <r>
    <s v="C805770"/>
    <x v="883"/>
    <x v="3"/>
    <x v="29"/>
    <s v="BBVA"/>
    <e v="#NAME?"/>
    <s v="SDATOOL-40435 $ Cuota Segura créditos de libranza"/>
    <n v="0.5"/>
    <s v="Desarrollador"/>
    <s v="Otras Tec."/>
    <s v="Lider tecnico para BPM , envio a QA S3 abril"/>
    <e v="#NAME?"/>
    <e v="#NAME?"/>
    <e v="#NAME?"/>
    <m/>
    <m/>
    <m/>
    <m/>
    <m/>
  </r>
  <r>
    <s v="C805770"/>
    <x v="883"/>
    <x v="3"/>
    <x v="29"/>
    <s v="BBVA"/>
    <e v="#NAME?"/>
    <s v="NOSDA $ BAU (Mantenimiento y peq. evolutivos)"/>
    <n v="0.35"/>
    <s v="Desarrollador"/>
    <s v="Otras Tec."/>
    <s v="MN-2091 Reingenieria proceso cancelacion de garantias, desarrollos con entrega a QA S3 agosto"/>
    <e v="#NAME?"/>
    <e v="#NAME?"/>
    <e v="#NAME?"/>
    <m/>
    <m/>
    <m/>
    <m/>
    <m/>
  </r>
  <r>
    <s v="C805770"/>
    <x v="883"/>
    <x v="3"/>
    <x v="29"/>
    <s v="BBVA"/>
    <e v="#NAME?"/>
    <s v="NOSDA $ BAU (Mantenimiento y peq. evolutivos)"/>
    <n v="0.05"/>
    <s v="Desarrollador"/>
    <s v="Otras Tec."/>
    <s v="Prioridad Alta Bandeja de entrada B7Prioridad Alta Bandeja de entrada B7"/>
    <e v="#NAME?"/>
    <e v="#NAME?"/>
    <e v="#NAME?"/>
    <m/>
    <m/>
    <m/>
    <m/>
    <m/>
  </r>
  <r>
    <s v="C804325"/>
    <x v="887"/>
    <x v="3"/>
    <x v="29"/>
    <s v="BBVA"/>
    <e v="#NAME?"/>
    <s v="SDATOOL-40435 $ Cuota Segura créditos de libranza"/>
    <n v="0.2"/>
    <s v="Desarrollador"/>
    <s v="Otras Tec."/>
    <s v="finaliza desarrollos la S3 Abril"/>
    <e v="#NAME?"/>
    <e v="#NAME?"/>
    <e v="#NAME?"/>
    <m/>
    <m/>
    <m/>
    <m/>
    <m/>
  </r>
  <r>
    <s v="C804325"/>
    <x v="887"/>
    <x v="3"/>
    <x v="29"/>
    <s v="BBVA"/>
    <e v="#NAME?"/>
    <s v="SDATOOL-35384 $ Gestión Documental Pyme Admisión"/>
    <n v="0.1"/>
    <s v="Desarrollador"/>
    <s v="Otras Tec."/>
    <s v="Gestión con Meraki para atención de mejora en visualizacion  de documentos"/>
    <e v="#NAME?"/>
    <e v="#NAME?"/>
    <e v="#NAME?"/>
    <m/>
    <m/>
    <m/>
    <m/>
    <m/>
  </r>
  <r>
    <s v="C804325"/>
    <x v="887"/>
    <x v="3"/>
    <x v="29"/>
    <s v="BBVA"/>
    <e v="#NAME?"/>
    <s v="SDATOOL-34782 $ Solicitud de cupo DIY"/>
    <n v="0"/>
    <s v="Desarrollador"/>
    <s v="Otras Tec."/>
    <s v="apoyo postimplantación"/>
    <e v="#NAME?"/>
    <e v="#NAME?"/>
    <e v="#NAME?"/>
    <m/>
    <m/>
    <m/>
    <m/>
    <m/>
  </r>
  <r>
    <s v="C804325"/>
    <x v="887"/>
    <x v="3"/>
    <x v="29"/>
    <s v="BBVA"/>
    <e v="#NAME?"/>
    <s v="NOSDA $ BAU (Mantenimiento y peq. evolutivos)"/>
    <n v="0.05"/>
    <s v="Desarrollador"/>
    <s v="Otras Tec."/>
    <s v="CAP Retail atencion de arandas entrega a equipo de operación"/>
    <e v="#NAME?"/>
    <e v="#NAME?"/>
    <e v="#NAME?"/>
    <m/>
    <m/>
    <m/>
    <m/>
    <m/>
  </r>
  <r>
    <s v="C804325"/>
    <x v="887"/>
    <x v="3"/>
    <x v="29"/>
    <s v="BBVA"/>
    <e v="#NAME?"/>
    <s v="SDATOOL-37753 $ Plan de transformación de operaciones 2022"/>
    <n v="0.65"/>
    <s v="Desarrollador"/>
    <s v="Otras Tec."/>
    <s v="Formación en BPMaaS y COLWSBPE-115 Optimización de proceso de contratación de tarjetas en fábrica (IDP)- Fase I"/>
    <e v="#NAME?"/>
    <e v="#NAME?"/>
    <e v="#NAME?"/>
    <m/>
    <m/>
    <m/>
    <m/>
    <m/>
  </r>
  <r>
    <s v="O002418"/>
    <x v="888"/>
    <x v="3"/>
    <x v="29"/>
    <s v="BBVA"/>
    <e v="#NAME?"/>
    <s v="SDATOOL-36509 $ Centralización de la formalización de desembolsos Pymes"/>
    <n v="0.05"/>
    <s v="Desarrollador"/>
    <s v="Otras Tec."/>
    <s v="compromiso S1 abril en produccion"/>
    <e v="#NAME?"/>
    <e v="#NAME?"/>
    <e v="#NAME?"/>
    <m/>
    <m/>
    <m/>
    <m/>
    <m/>
  </r>
  <r>
    <s v="O002418"/>
    <x v="888"/>
    <x v="3"/>
    <x v="29"/>
    <s v="BBVA"/>
    <e v="#NAME?"/>
    <s v="SDATOOL-41877 $ Evolutivo Bonita 5 Community a JBPM"/>
    <n v="0.2"/>
    <s v="Desarrollador"/>
    <s v="Otras Tec."/>
    <s v="Diseño de front transversal,  maqueta, formación BPMaaS"/>
    <e v="#NAME?"/>
    <e v="#NAME?"/>
    <e v="#NAME?"/>
    <m/>
    <m/>
    <m/>
    <m/>
    <m/>
  </r>
  <r>
    <s v="O002418"/>
    <x v="888"/>
    <x v="3"/>
    <x v="29"/>
    <s v="BBVA"/>
    <e v="#NAME?"/>
    <s v="SDATOOL-37753 $ Plan de transformación de operaciones 2022"/>
    <n v="0.75"/>
    <s v="Desarrollador"/>
    <s v="Otras Tec."/>
    <s v="Formación en Aso y Apx y COLWSBPE-115 Optimización de proceso de contratación de tarjetas en fábrica (IDP)- Fase I"/>
    <e v="#NAME?"/>
    <e v="#NAME?"/>
    <e v="#NAME?"/>
    <m/>
    <m/>
    <m/>
    <m/>
    <m/>
  </r>
  <r>
    <s v="T007646"/>
    <x v="889"/>
    <x v="3"/>
    <x v="29"/>
    <s v="TRYCORE"/>
    <e v="#NAME?"/>
    <s v="NOSDA $ BAU (Mantenimiento y peq. evolutivos)"/>
    <n v="1"/>
    <s v="Desarrollador"/>
    <s v="Otras Tec."/>
    <s v="apoyo estabilizacion poduccion equipo operacion"/>
    <e v="#NAME?"/>
    <e v="#NAME?"/>
    <e v="#NAME?"/>
    <m/>
    <m/>
    <m/>
    <m/>
    <m/>
  </r>
  <r>
    <s v="O002495"/>
    <x v="890"/>
    <x v="3"/>
    <x v="29"/>
    <s v="BBVA"/>
    <e v="#NAME?"/>
    <s v="NOSDA $ BAU (Mantenimiento y peq. evolutivos)"/>
    <n v="0.9"/>
    <s v="Desarrollador"/>
    <s v="Otras Tec."/>
    <s v="MN-2091 Reingenieria proceso de CG apoyo a desarrollos"/>
    <e v="#NAME?"/>
    <e v="#NAME?"/>
    <e v="#NAME?"/>
    <m/>
    <m/>
    <m/>
    <m/>
    <m/>
  </r>
  <r>
    <s v="C801604"/>
    <x v="891"/>
    <x v="3"/>
    <x v="29"/>
    <s v="BBVA"/>
    <e v="#NAME?"/>
    <s v="NOSDA $ BAU (Mantenimiento y peq. evolutivos)"/>
    <n v="1"/>
    <s v="Tech Manager/Líder"/>
    <s v="Otras Tec."/>
    <s v="Arandas, producción y backlog mantenimientos menores"/>
    <e v="#NAME?"/>
    <e v="#NAME?"/>
    <e v="#NAME?"/>
    <m/>
    <m/>
    <m/>
    <m/>
    <m/>
  </r>
  <r>
    <s v="O002495"/>
    <x v="890"/>
    <x v="3"/>
    <x v="29"/>
    <s v="BBVA"/>
    <e v="#NAME?"/>
    <s v="NOSDA $ BAU (Mantenimiento y peq. evolutivos)"/>
    <n v="0.05"/>
    <s v="Desarrollador"/>
    <s v="Otras Tec."/>
    <s v="Prioridad Alta Bandeja de entrada B7Prioridad Alta Bandeja de entrada B7"/>
    <e v="#NAME?"/>
    <e v="#NAME?"/>
    <e v="#NAME?"/>
    <m/>
    <m/>
    <m/>
    <m/>
    <m/>
  </r>
  <r>
    <s v="O002495"/>
    <x v="890"/>
    <x v="3"/>
    <x v="29"/>
    <s v="BBVA"/>
    <e v="#NAME?"/>
    <s v="SDATOOL-37753 $ Plan de transformación de operaciones 2022"/>
    <n v="0.05"/>
    <s v="Desarrollador"/>
    <s v="Otras Tec."/>
    <s v="seguimiento post implantación Wizard"/>
    <e v="#NAME?"/>
    <e v="#NAME?"/>
    <e v="#NAME?"/>
    <m/>
    <m/>
    <m/>
    <m/>
    <m/>
  </r>
  <r>
    <s v="CE55472"/>
    <x v="892"/>
    <x v="3"/>
    <x v="29"/>
    <s v="TRYCORE"/>
    <e v="#NAME?"/>
    <s v="SDATOOL-31326 $ Legalización Hipotecario"/>
    <n v="1"/>
    <s v="Desarrollador"/>
    <s v="Otras Tec."/>
    <s v="desarrollos F7,8; Postimplantación F5 y6"/>
    <e v="#NAME?"/>
    <e v="#NAME?"/>
    <e v="#NAME?"/>
    <m/>
    <m/>
    <m/>
    <m/>
    <m/>
  </r>
  <r>
    <s v="CE56948"/>
    <x v="893"/>
    <x v="3"/>
    <x v="29"/>
    <s v="TRYCORE"/>
    <e v="#NAME?"/>
    <s v="NOSDA $ BAU (Mantenimiento y peq. evolutivos)"/>
    <n v="1"/>
    <s v="Desarrollador"/>
    <s v="Otras Tec."/>
    <s v="Arandas, producción y backlog mantenimientos menores"/>
    <e v="#NAME?"/>
    <e v="#NAME?"/>
    <e v="#NAME?"/>
    <m/>
    <m/>
    <m/>
    <m/>
    <m/>
  </r>
  <r>
    <s v="CE64615"/>
    <x v="894"/>
    <x v="3"/>
    <x v="29"/>
    <s v="GGI / CMC"/>
    <e v="#NAME?"/>
    <s v="NOSDA $ BAU (Mantenimiento y peq. evolutivos)"/>
    <n v="0.4"/>
    <s v="QA"/>
    <s v="Otras Tec."/>
    <s v="MN-2091 Reingenieria proceso de CG pruebas en desarrollo"/>
    <e v="#NAME?"/>
    <e v="#NAME?"/>
    <e v="#NAME?"/>
    <m/>
    <m/>
    <m/>
    <m/>
    <m/>
  </r>
  <r>
    <s v="CE64615"/>
    <x v="894"/>
    <x v="3"/>
    <x v="29"/>
    <s v="GGI / CMC"/>
    <e v="#NAME?"/>
    <s v="NOSDA $ BAU (Mantenimiento y peq. evolutivos)"/>
    <n v="0.1"/>
    <s v="QA"/>
    <s v="Otras Tec."/>
    <s v="CAP Pymes GD, Bonita 7 y Bonita 5 "/>
    <e v="#NAME?"/>
    <e v="#NAME?"/>
    <e v="#NAME?"/>
    <m/>
    <m/>
    <m/>
    <m/>
    <m/>
  </r>
  <r>
    <s v="CE64615"/>
    <x v="894"/>
    <x v="3"/>
    <x v="29"/>
    <s v="GGI / CMC"/>
    <e v="#NAME?"/>
    <s v="SDATOOL-36509 $ Centralización de la formalización de desembolsos Pymes"/>
    <n v="0.5"/>
    <s v="QA"/>
    <s v="Otras Tec."/>
    <s v="pruebas unitarias en desarrollo"/>
    <e v="#NAME?"/>
    <e v="#NAME?"/>
    <e v="#NAME?"/>
    <m/>
    <m/>
    <m/>
    <m/>
    <m/>
  </r>
  <r>
    <s v="C341738"/>
    <x v="895"/>
    <x v="3"/>
    <x v="29"/>
    <s v="BBVA"/>
    <e v="#NAME?"/>
    <s v="SDATOOL-36509 $ Centralización de la formalización de desembolsos Pymes"/>
    <n v="0.1"/>
    <s v="Desarrollador"/>
    <s v="Otras Tec."/>
    <s v="compromiso S1 abril en produccion"/>
    <e v="#NAME?"/>
    <e v="#NAME?"/>
    <e v="#NAME?"/>
    <m/>
    <m/>
    <m/>
    <m/>
    <m/>
  </r>
  <r>
    <s v="C341738"/>
    <x v="895"/>
    <x v="3"/>
    <x v="29"/>
    <s v="BBVA"/>
    <e v="#NAME?"/>
    <s v="NOSDA $ BAU (Mantenimiento y peq. evolutivos)"/>
    <n v="0.9"/>
    <s v="Desarrollador"/>
    <s v="Otras Tec."/>
    <s v="Apoyo estabilizacion  purga casos activos,"/>
    <e v="#NAME?"/>
    <e v="#NAME?"/>
    <e v="#NAME?"/>
    <m/>
    <m/>
    <m/>
    <m/>
    <m/>
  </r>
  <r>
    <s v="C805239"/>
    <x v="896"/>
    <x v="3"/>
    <x v="29"/>
    <s v="BBVA"/>
    <e v="#NAME?"/>
    <s v="SDATOOL-37753 $ Plan de transformación de operaciones 2022"/>
    <n v="0.75"/>
    <s v="Desarrollador"/>
    <s v="Otras Tec."/>
    <s v="Formación en BPMaaS y COLWSBPE-115 Optimización de proceso de contratación de tarjetas en fábrica (IDP)- Fase I"/>
    <e v="#NAME?"/>
    <e v="#NAME?"/>
    <e v="#NAME?"/>
    <m/>
    <m/>
    <m/>
    <m/>
    <m/>
  </r>
  <r>
    <s v="C805239"/>
    <x v="896"/>
    <x v="3"/>
    <x v="29"/>
    <s v="BBVA"/>
    <e v="#NAME?"/>
    <s v="NOSDA $ BAU (Mantenimiento y peq. evolutivos)"/>
    <n v="0.25"/>
    <s v="Desarrollador"/>
    <s v="Otras Tec."/>
    <s v="MN-2091 Reingenieria proceso de CG desarrollos S2 Junio entrega"/>
    <e v="#NAME?"/>
    <e v="#NAME?"/>
    <e v="#NAME?"/>
    <m/>
    <m/>
    <m/>
    <m/>
    <m/>
  </r>
  <r>
    <s v="C811371"/>
    <x v="897"/>
    <x v="3"/>
    <x v="29"/>
    <s v="BBVA"/>
    <e v="#NAME?"/>
    <s v="NOSDA $ BAU (Mantenimiento y peq. evolutivos)"/>
    <n v="1"/>
    <s v="Desarrollador"/>
    <s v="Otras Tec."/>
    <s v="Arandas, producción y backlog mantenimientos menores"/>
    <e v="#NAME?"/>
    <e v="#NAME?"/>
    <e v="#NAME?"/>
    <m/>
    <m/>
    <m/>
    <m/>
    <m/>
  </r>
  <r>
    <s v="C811159"/>
    <x v="898"/>
    <x v="3"/>
    <x v="30"/>
    <s v="BBVA"/>
    <e v="#NAME?"/>
    <s v="NOSDA $ BAU (Mantenimiento y peq. evolutivos)"/>
    <n v="0.2"/>
    <s v="Desarrollador"/>
    <s v="Distribuido"/>
    <s v="Soporte Aplicativo "/>
    <e v="#NAME?"/>
    <e v="#NAME?"/>
    <e v="#NAME?"/>
    <m/>
    <m/>
    <m/>
    <m/>
    <m/>
  </r>
  <r>
    <s v="C811159"/>
    <x v="898"/>
    <x v="3"/>
    <x v="30"/>
    <s v="BBVA"/>
    <e v="#NAME?"/>
    <s v="SDATOOL-37753 $ Plan de transformación de operaciones 2022"/>
    <n v="0.5"/>
    <s v="Desarrollador"/>
    <s v="Distribuido"/>
    <s v="Evolutivo de mejoras a Ux, a partir de 16 febrero post-implantación "/>
    <e v="#NAME?"/>
    <e v="#NAME?"/>
    <e v="#NAME?"/>
    <m/>
    <m/>
    <m/>
    <m/>
    <m/>
  </r>
  <r>
    <s v="C811159"/>
    <x v="898"/>
    <x v="3"/>
    <x v="30"/>
    <s v="BBVA"/>
    <e v="#NAME?"/>
    <s v="SDATOOL-39272 $ GRM-Col-Cambio servicio APL (Aportes en línea)"/>
    <n v="0.3"/>
    <s v="Desarrollador"/>
    <s v="Distribuido"/>
    <m/>
    <e v="#NAME?"/>
    <e v="#NAME?"/>
    <e v="#NAME?"/>
    <m/>
    <m/>
    <m/>
    <m/>
    <m/>
  </r>
  <r>
    <s v="O001036_x000a_"/>
    <x v="899"/>
    <x v="3"/>
    <x v="30"/>
    <s v="BBVA"/>
    <e v="#NAME?"/>
    <s v="SDATOOL-31326 $ Legalización Hipotecario"/>
    <n v="0.2"/>
    <s v="Desarrollador"/>
    <s v="Distribuido"/>
    <s v="Desarrollo a  EMC8"/>
    <e v="#NAME?"/>
    <e v="#NAME?"/>
    <e v="#NAME?"/>
    <m/>
    <m/>
    <m/>
    <m/>
    <m/>
  </r>
  <r>
    <s v="O001036_x000a_"/>
    <x v="899"/>
    <x v="3"/>
    <x v="30"/>
    <s v="BBVA"/>
    <e v="#NAME?"/>
    <s v="NOSDA $ BAU (Mantenimiento y peq. evolutivos)"/>
    <n v="0.8"/>
    <s v="Desarrollador"/>
    <s v="Distribuido"/>
    <s v="Soporte Aplicativo , versionardor CAP"/>
    <e v="#NAME?"/>
    <e v="#NAME?"/>
    <e v="#NAME?"/>
    <m/>
    <m/>
    <m/>
    <m/>
    <m/>
  </r>
  <r>
    <s v="C805866"/>
    <x v="900"/>
    <x v="3"/>
    <x v="30"/>
    <s v="BBVA"/>
    <e v="#NAME?"/>
    <s v="SDATOOL-37134 $ Oferta proactiva de segundo producto desde el momento cero - Plan Ascenso Cross Sell"/>
    <n v="0.9"/>
    <s v="Tech Manager/Líder"/>
    <s v="Otras Tec."/>
    <s v="Liderazgo  proyecto oferta proactiva D+0 "/>
    <e v="#NAME?"/>
    <e v="#NAME?"/>
    <e v="#NAME?"/>
    <m/>
    <m/>
    <m/>
    <m/>
    <m/>
  </r>
  <r>
    <s v="C805866"/>
    <x v="900"/>
    <x v="3"/>
    <x v="30"/>
    <s v="BBVA"/>
    <e v="#NAME?"/>
    <s v="NOSDA $ BAU (Mantenimiento y peq. evolutivos)"/>
    <n v="0.1"/>
    <s v="Tech Manager/Líder"/>
    <s v="Otras Tec."/>
    <s v="Soporte Aplicativo"/>
    <e v="#NAME?"/>
    <e v="#NAME?"/>
    <e v="#NAME?"/>
    <m/>
    <m/>
    <m/>
    <m/>
    <m/>
  </r>
  <r>
    <s v="C810754_x000a_"/>
    <x v="901"/>
    <x v="3"/>
    <x v="30"/>
    <s v="BBVA"/>
    <e v="#NAME?"/>
    <s v="SDATOOL-37134 $ Oferta proactiva de segundo producto desde el momento cero - Plan Ascenso Cross Sell"/>
    <n v="1"/>
    <s v="Desarrollador"/>
    <s v="Distribuido"/>
    <s v="Análisis, diseño y desarrollo CAP Proyecto Oferta D+0"/>
    <e v="#NAME?"/>
    <e v="#NAME?"/>
    <e v="#NAME?"/>
    <m/>
    <m/>
    <m/>
    <m/>
    <m/>
  </r>
  <r>
    <s v="CE69111"/>
    <x v="902"/>
    <x v="3"/>
    <x v="30"/>
    <s v="Choucair"/>
    <e v="#NAME?"/>
    <s v="SDATOOL-38091 $ Higiénicos Plataforma Digital de Oficinas CAP"/>
    <n v="0.2"/>
    <s v="QA"/>
    <s v="Otras Tec."/>
    <s v="Analálisis, diseño y pruebas a mejoras CAP "/>
    <e v="#NAME?"/>
    <e v="#NAME?"/>
    <e v="#NAME?"/>
    <m/>
    <m/>
    <m/>
    <m/>
    <m/>
  </r>
  <r>
    <s v="CE69111"/>
    <x v="902"/>
    <x v="3"/>
    <x v="30"/>
    <s v="Choucair"/>
    <e v="#NAME?"/>
    <s v="SDATOOL-40435 $ Cuota Segura créditos de libranza"/>
    <n v="0.3"/>
    <s v="QA"/>
    <s v="Otras Tec."/>
    <m/>
    <e v="#NAME?"/>
    <e v="#NAME?"/>
    <e v="#NAME?"/>
    <m/>
    <m/>
    <m/>
    <m/>
    <m/>
  </r>
  <r>
    <s v="CE69111"/>
    <x v="902"/>
    <x v="3"/>
    <x v="30"/>
    <s v="Choucair"/>
    <e v="#NAME?"/>
    <s v="SDATOOL-39272 $ GRM-Col-Cambio servicio APL (Aportes en línea)"/>
    <n v="0.5"/>
    <s v="QA"/>
    <s v="Otras Tec."/>
    <m/>
    <e v="#NAME?"/>
    <e v="#NAME?"/>
    <e v="#NAME?"/>
    <m/>
    <m/>
    <m/>
    <m/>
    <m/>
  </r>
  <r>
    <s v="O002373_x000a_"/>
    <x v="903"/>
    <x v="3"/>
    <x v="30"/>
    <s v="BBVA"/>
    <e v="#NAME?"/>
    <s v="SDATOOL-38757 $ Modelo administrativo de oficina - Omnicanalidad"/>
    <n v="1"/>
    <s v="Desarrollador"/>
    <s v="APX"/>
    <s v="Desarrollador dedicado a la tecnología APX, y para el 1Q realizará actividades de análisis, diseño e implementación de la iniciativa."/>
    <e v="#NAME?"/>
    <e v="#NAME?"/>
    <e v="#NAME?"/>
    <m/>
    <m/>
    <m/>
    <m/>
    <m/>
  </r>
  <r>
    <s v="C604380"/>
    <x v="904"/>
    <x v="3"/>
    <x v="30"/>
    <s v="BBVA"/>
    <e v="#NAME?"/>
    <s v="SDATOOL-38091 $ Higiénicos Plataforma Digital de Oficinas CAP"/>
    <n v="1"/>
    <s v="QA"/>
    <s v="Otras Tec."/>
    <s v="Pruebas a mejoras CAP retail y pruebas a roda la no afectación CAP"/>
    <e v="#NAME?"/>
    <e v="#NAME?"/>
    <e v="#NAME?"/>
    <m/>
    <m/>
    <m/>
    <m/>
    <m/>
  </r>
  <r>
    <s v="T003428_x000a_"/>
    <x v="905"/>
    <x v="3"/>
    <x v="30"/>
    <s v="Choucair"/>
    <e v="#NAME?"/>
    <s v="SDATOOL-31326 $ Legalización Hipotecario"/>
    <n v="1"/>
    <s v="QA"/>
    <s v="Otras Tec."/>
    <s v="Analálisis, diseño y pruebas a mejoras CAP "/>
    <e v="#NAME?"/>
    <e v="#NAME?"/>
    <e v="#NAME?"/>
    <m/>
    <m/>
    <m/>
    <m/>
    <m/>
  </r>
  <r>
    <s v="T007157"/>
    <x v="906"/>
    <x v="3"/>
    <x v="30"/>
    <s v="Choucair"/>
    <e v="#NAME?"/>
    <s v="SDATOOL-37134 $ Oferta proactiva de segundo producto desde el momento cero - Plan Ascenso Cross Sell"/>
    <n v="1"/>
    <s v="Desarrollador"/>
    <s v="Distribuido"/>
    <s v="Análisis, diseño y desarrollo CAP Proyecto Oferta D+0"/>
    <e v="#NAME?"/>
    <e v="#NAME?"/>
    <e v="#NAME?"/>
    <m/>
    <m/>
    <m/>
    <m/>
    <m/>
  </r>
  <r>
    <s v="C810787"/>
    <x v="907"/>
    <x v="3"/>
    <x v="30"/>
    <s v="BBVA"/>
    <e v="#NAME?"/>
    <s v="SDATOOL-38091 $ Higiénicos Plataforma Digital de Oficinas CAP"/>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r>
  <r>
    <s v="C810787"/>
    <x v="907"/>
    <x v="3"/>
    <x v="30"/>
    <s v="BBVA"/>
    <e v="#NAME?"/>
    <s v="SDATOOL-40435 $ Cuota Segura créditos de libranza"/>
    <n v="0.2"/>
    <s v="Desarrollador"/>
    <s v="Distribuido"/>
    <s v="-Seguimiento a contratación de SW cuota segura con Meraki, aprobación diseño técnico, sanción técnica de software y acompañamiento en calidad para la certificación"/>
    <e v="#NAME?"/>
    <e v="#NAME?"/>
    <e v="#NAME?"/>
    <m/>
    <m/>
    <m/>
    <m/>
    <m/>
  </r>
  <r>
    <s v="C810787"/>
    <x v="907"/>
    <x v="3"/>
    <x v="30"/>
    <s v="BBVA"/>
    <e v="#NAME?"/>
    <s v="NOSDA $ BAU (Mantenimiento y peq. evolutivos)"/>
    <n v="0.2"/>
    <s v="Desarrollador"/>
    <s v="Distribuido"/>
    <s v="Soporte Aplicativo "/>
    <e v="#NAME?"/>
    <e v="#NAME?"/>
    <e v="#NAME?"/>
    <m/>
    <m/>
    <m/>
    <m/>
    <m/>
  </r>
  <r>
    <s v="CE70176"/>
    <x v="908"/>
    <x v="3"/>
    <x v="30"/>
    <s v="Choucair"/>
    <e v="#NAME?"/>
    <s v="SDATOOL-37134 $ Oferta proactiva de segundo producto desde el momento cero - Plan Ascenso Cross Sell"/>
    <n v="1"/>
    <s v="QA"/>
    <s v="Otras Tec."/>
    <s v="Análisis, diseño y pruebas CAP Proyecto Oferta D+0"/>
    <e v="#NAME?"/>
    <e v="#NAME?"/>
    <e v="#NAME?"/>
    <m/>
    <m/>
    <m/>
    <m/>
    <m/>
  </r>
  <r>
    <s v="T007470"/>
    <x v="909"/>
    <x v="3"/>
    <x v="30"/>
    <s v="Inetum"/>
    <e v="#NAME?"/>
    <s v="NOSDA $ BAU (Mantenimiento y peq. evolutivos)"/>
    <n v="1"/>
    <s v="Otros"/>
    <s v="Otras Tec."/>
    <s v="Soporte Aranda, apoyo administrativo "/>
    <e v="#NAME?"/>
    <e v="#NAME?"/>
    <e v="#NAME?"/>
    <m/>
    <m/>
    <m/>
    <m/>
    <m/>
  </r>
  <r>
    <s v="C809512"/>
    <x v="910"/>
    <x v="3"/>
    <x v="30"/>
    <s v="BBVA"/>
    <e v="#NAME?"/>
    <s v="SDATOOL-38757 $ Modelo administrativo de oficina - Omnicanalidad"/>
    <n v="0.8"/>
    <s v="Tech Manager/Líder"/>
    <s v="APX"/>
    <s v="Análisis, Diseño y Seguimiento Construcción Proyecto"/>
    <e v="#NAME?"/>
    <e v="#NAME?"/>
    <e v="#NAME?"/>
    <m/>
    <m/>
    <m/>
    <m/>
    <m/>
  </r>
  <r>
    <s v="C809512"/>
    <x v="910"/>
    <x v="3"/>
    <x v="30"/>
    <s v="BBVA"/>
    <e v="#NAME?"/>
    <s v="SDATOOL-37899 $ Formularios Subsidios (PAEF, Jóvenes y Afectados por el paro)"/>
    <n v="0.2"/>
    <s v="Tech Manager/Líder"/>
    <s v="APX"/>
    <s v="Análisis , Diseño, Pruebas e implemenación."/>
    <e v="#NAME?"/>
    <e v="#NAME?"/>
    <e v="#NAME?"/>
    <m/>
    <m/>
    <m/>
    <m/>
    <m/>
  </r>
  <r>
    <s v="C810957"/>
    <x v="911"/>
    <x v="3"/>
    <x v="30"/>
    <s v="BBVA"/>
    <e v="#NAME?"/>
    <s v="SDATOOL-37134 $ Oferta proactiva de segundo producto desde el momento cero - Plan Ascenso Cross Sell"/>
    <n v="1"/>
    <s v="Desarrollador"/>
    <s v="Distribuido"/>
    <s v="Análisis, diseño y desarrollo CAP Proyecto Oferta D+0"/>
    <e v="#NAME?"/>
    <e v="#NAME?"/>
    <e v="#NAME?"/>
    <m/>
    <m/>
    <m/>
    <m/>
    <m/>
  </r>
  <r>
    <s v="O003458"/>
    <x v="912"/>
    <x v="3"/>
    <x v="30"/>
    <s v="BBVA"/>
    <e v="#NAME?"/>
    <s v="SDATOOL-38757 $ Modelo administrativo de oficina - Omnicanalidad"/>
    <n v="1"/>
    <s v="Desarrollador"/>
    <s v="ASO"/>
    <s v="Desarrollador dedicado a la tecnología ASO, y para el 1Q realizará actividades de análisis, diseño e implementación de la iniciativa."/>
    <e v="#NAME?"/>
    <e v="#NAME?"/>
    <e v="#NAME?"/>
    <m/>
    <m/>
    <m/>
    <m/>
    <m/>
  </r>
  <r>
    <s v="O000471"/>
    <x v="913"/>
    <x v="3"/>
    <x v="30"/>
    <s v="BBVA"/>
    <e v="#NAME?"/>
    <s v="SDATOOL-38757 $ Modelo administrativo de oficina - Omnicanalidad"/>
    <n v="1"/>
    <s v="Desarrollador"/>
    <s v="Distribuido"/>
    <s v="Desarrollador dedicado a la tecnología APX, y para el 1Q realizará actividades de análisis, diseño e implementación de la iniciativa."/>
    <e v="#NAME?"/>
    <e v="#NAME?"/>
    <e v="#NAME?"/>
    <m/>
    <m/>
    <m/>
    <m/>
    <m/>
  </r>
  <r>
    <s v="CE51433"/>
    <x v="914"/>
    <x v="3"/>
    <x v="30"/>
    <s v="Choucair"/>
    <e v="#NAME?"/>
    <s v="SDATOOL-37134 $ Oferta proactiva de segundo producto desde el momento cero - Plan Ascenso Cross Sell"/>
    <n v="1"/>
    <s v="Desarrollador"/>
    <s v="Mainframe"/>
    <s v="Análisis, diseño y desarrollo CAP Proyecto Oferta D+0"/>
    <e v="#NAME?"/>
    <e v="#NAME?"/>
    <e v="#NAME?"/>
    <m/>
    <m/>
    <m/>
    <m/>
    <m/>
  </r>
  <r>
    <s v="C342041"/>
    <x v="915"/>
    <x v="1"/>
    <x v="16"/>
    <s v="BBVA"/>
    <e v="#NAME?"/>
    <s v="NOSDA $ BAU (Mantenimiento y peq. evolutivos)"/>
    <n v="0.25"/>
    <s v="QA"/>
    <s v="Distribuido"/>
    <m/>
    <e v="#NAME?"/>
    <e v="#NAME?"/>
    <e v="#NAME?"/>
    <m/>
    <m/>
    <m/>
    <m/>
    <m/>
  </r>
  <r>
    <s v="C342041"/>
    <x v="915"/>
    <x v="1"/>
    <x v="1"/>
    <s v="BBVA"/>
    <e v="#NAME?"/>
    <s v="NOSDA $ BAU (Mantenimiento y peq. evolutivos)"/>
    <n v="0.25"/>
    <s v="QA"/>
    <s v="Distribuido"/>
    <m/>
    <e v="#NAME?"/>
    <e v="#NAME?"/>
    <e v="#NAME?"/>
    <m/>
    <m/>
    <m/>
    <m/>
    <m/>
  </r>
  <r>
    <s v="C342041"/>
    <x v="915"/>
    <x v="1"/>
    <x v="12"/>
    <s v="BBVA"/>
    <e v="#NAME?"/>
    <s v="NOSDA $ BAU (Mantenimiento y peq. evolutivos)"/>
    <n v="0.25"/>
    <s v="QA"/>
    <s v="Distribuido"/>
    <m/>
    <e v="#NAME?"/>
    <e v="#NAME?"/>
    <e v="#NAME?"/>
    <m/>
    <m/>
    <m/>
    <m/>
    <m/>
  </r>
  <r>
    <s v="C342041"/>
    <x v="915"/>
    <x v="1"/>
    <x v="18"/>
    <s v="BBVA"/>
    <e v="#NAME?"/>
    <s v="NOSDA $ BAU (Mantenimiento y peq. evolutivos)"/>
    <n v="0.25"/>
    <s v="QA"/>
    <s v="Distribuido"/>
    <m/>
    <e v="#NAME?"/>
    <e v="#NAME?"/>
    <e v="#NAME?"/>
    <m/>
    <m/>
    <m/>
    <m/>
    <m/>
  </r>
  <r>
    <s v="CE69277"/>
    <x v="916"/>
    <x v="1"/>
    <x v="16"/>
    <s v="GGI / CMC"/>
    <e v="#NAME?"/>
    <s v="NOSDA $ BAU (Mantenimiento y peq. evolutivos)"/>
    <n v="0.5"/>
    <s v="Otros"/>
    <s v="Distribuido"/>
    <m/>
    <e v="#NAME?"/>
    <e v="#NAME?"/>
    <e v="#NAME?"/>
    <m/>
    <m/>
    <m/>
    <m/>
    <m/>
  </r>
  <r>
    <s v="CE69277"/>
    <x v="916"/>
    <x v="1"/>
    <x v="1"/>
    <s v="GGI / CMC"/>
    <e v="#NAME?"/>
    <s v="NOSDA $ BAU (Mantenimiento y peq. evolutivos)"/>
    <n v="0.5"/>
    <s v="Otros"/>
    <s v="Distribuido"/>
    <m/>
    <e v="#NAME?"/>
    <e v="#NAME?"/>
    <e v="#NAME?"/>
    <m/>
    <m/>
    <m/>
    <m/>
    <m/>
  </r>
  <r>
    <s v="C811308"/>
    <x v="917"/>
    <x v="0"/>
    <x v="10"/>
    <s v="BBVA"/>
    <e v="#NAME?"/>
    <s v="SDATOOL-41448 $ Compra de divisas mediante APP Empresas GEMA"/>
    <n v="0.25"/>
    <s v="Tech Manager/Líder"/>
    <s v="Cells"/>
    <m/>
    <e v="#NAME?"/>
    <e v="#NAME?"/>
    <e v="#NAME?"/>
    <m/>
    <m/>
    <m/>
    <m/>
    <m/>
  </r>
  <r>
    <s v="C811308"/>
    <x v="917"/>
    <x v="0"/>
    <x v="10"/>
    <s v="BBVA"/>
    <e v="#NAME?"/>
    <s v="SDATOOL-39354 $ My business Open Pay - Plan Ascenso Mercurio"/>
    <n v="0.25"/>
    <s v="Tech Manager/Líder"/>
    <s v="Cells"/>
    <m/>
    <e v="#NAME?"/>
    <e v="#NAME?"/>
    <e v="#NAME?"/>
    <m/>
    <m/>
    <m/>
    <m/>
    <m/>
  </r>
  <r>
    <s v="C811308"/>
    <x v="917"/>
    <x v="0"/>
    <x v="10"/>
    <s v="BBVA"/>
    <e v="#NAME?"/>
    <s v="SDATOOL-40676 $ Contratación y uso de mPOS desde APPs BBVA"/>
    <n v="0.25"/>
    <s v="Tech Manager/Líder"/>
    <s v="Cells"/>
    <m/>
    <e v="#NAME?"/>
    <e v="#NAME?"/>
    <e v="#NAME?"/>
    <m/>
    <m/>
    <m/>
    <m/>
    <m/>
  </r>
  <r>
    <s v="C811308"/>
    <x v="917"/>
    <x v="0"/>
    <x v="10"/>
    <s v="BBVA"/>
    <e v="#NAME?"/>
    <s v="NOSDA $ BAU (Mantenimiento y peq. evolutivos)"/>
    <n v="0.25"/>
    <s v="Tech Manager/Líder"/>
    <s v="Cells"/>
    <m/>
    <e v="#NAME?"/>
    <e v="#NAME?"/>
    <e v="#NAME?"/>
    <m/>
    <m/>
    <m/>
    <m/>
    <m/>
  </r>
  <r>
    <s v="C342040"/>
    <x v="918"/>
    <x v="0"/>
    <x v="3"/>
    <s v="BBVA"/>
    <e v="#NAME?"/>
    <s v="SDATOOL-40457 $ SENDA (Base)"/>
    <n v="1"/>
    <s v="Tech Manager/Líder"/>
    <s v="Distribuido"/>
    <m/>
    <e v="#NAME?"/>
    <e v="#NAME?"/>
    <e v="#NAME?"/>
    <m/>
    <m/>
    <m/>
    <m/>
    <m/>
  </r>
  <r>
    <s v="C804047"/>
    <x v="919"/>
    <x v="0"/>
    <x v="3"/>
    <s v="BBVA"/>
    <e v="#NAME?"/>
    <s v="SDATOOL-40528 $ ETPB - SENDA PAGOS"/>
    <n v="1"/>
    <s v="Tech Manager/Líder"/>
    <s v="Mainframe"/>
    <m/>
    <e v="#NAME?"/>
    <e v="#NAME?"/>
    <e v="#NAME?"/>
    <m/>
    <m/>
    <m/>
    <m/>
    <m/>
  </r>
  <r>
    <s v="C811356"/>
    <x v="920"/>
    <x v="0"/>
    <x v="10"/>
    <s v="BBVA"/>
    <e v="#NAME?"/>
    <s v="SDATOOL-40676 $ Contratación y uso de mPOS desde APPs BBVA"/>
    <n v="1"/>
    <s v="Tech Manager/Líder"/>
    <s v="Distribuido"/>
    <m/>
    <e v="#NAME?"/>
    <e v="#NAME?"/>
    <e v="#NAME?"/>
    <m/>
    <m/>
    <m/>
    <m/>
    <m/>
  </r>
  <r>
    <s v="CE40475"/>
    <x v="547"/>
    <x v="5"/>
    <x v="21"/>
    <s v="SII"/>
    <e v="#NAME?"/>
    <s v="NOSDA $ BAU (Mantenimiento y peq. evolutivos)"/>
    <n v="0.5"/>
    <s v="Desarrollador"/>
    <s v="Mainframe"/>
    <m/>
    <e v="#NAME?"/>
    <e v="#NAME?"/>
    <e v="#NAME?"/>
    <m/>
    <m/>
    <m/>
    <m/>
    <m/>
  </r>
  <r>
    <s v="C811397"/>
    <x v="921"/>
    <x v="0"/>
    <x v="3"/>
    <s v="BBVA"/>
    <e v="#NAME?"/>
    <s v="SDATOOL-40457 $ SENDA (Base)"/>
    <n v="1"/>
    <s v="Desarrollador"/>
    <s v="ASO"/>
    <m/>
    <e v="#NAME?"/>
    <e v="#NAME?"/>
    <e v="#NAME?"/>
    <m/>
    <m/>
    <m/>
    <m/>
    <m/>
  </r>
  <r>
    <s v="C805187"/>
    <x v="922"/>
    <x v="0"/>
    <x v="3"/>
    <s v="BBVA"/>
    <e v="#NAME?"/>
    <s v="SDATOOL-40528 $ ETPB - SENDA PAGOS"/>
    <n v="1"/>
    <s v="Desarrollador"/>
    <s v="APX"/>
    <m/>
    <e v="#NAME?"/>
    <e v="#NAME?"/>
    <e v="#NAME?"/>
    <m/>
    <m/>
    <m/>
    <m/>
    <m/>
  </r>
  <r>
    <s v="CE67846"/>
    <x v="923"/>
    <x v="0"/>
    <x v="3"/>
    <s v="Accenture"/>
    <e v="#NAME?"/>
    <s v="SDATOOL-40528 $ ETPB - SENDA PAGOS"/>
    <n v="1"/>
    <s v="QA"/>
    <s v="Distribuido"/>
    <m/>
    <e v="#NAME?"/>
    <e v="#NAME?"/>
    <e v="#NAME?"/>
    <m/>
    <m/>
    <m/>
    <m/>
    <m/>
  </r>
  <r>
    <s v="O003991"/>
    <x v="924"/>
    <x v="3"/>
    <x v="27"/>
    <s v="BBVA"/>
    <e v="#NAME?"/>
    <s v="NOSDA $ BAU (Mantenimiento y peq. evolutivos)"/>
    <n v="0.3"/>
    <s v="Desarrollador"/>
    <s v="APX"/>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4">
  <r>
    <s v="C804055"/>
    <s v="QUIROGA VASQUEZ YOAN LEONARDO"/>
    <x v="0"/>
    <x v="0"/>
    <s v="BBVA"/>
    <e v="#NAME?"/>
    <x v="0"/>
    <n v="0.05"/>
    <x v="0"/>
    <s v="Distribuido"/>
    <m/>
    <e v="#NAME?"/>
    <e v="#NAME?"/>
    <e v="#NAME?"/>
    <m/>
    <m/>
    <m/>
    <m/>
    <m/>
    <m/>
  </r>
  <r>
    <s v="C804055"/>
    <s v="QUIROGA VASQUEZ YOAN LEONARDO"/>
    <x v="0"/>
    <x v="0"/>
    <s v="BBVA"/>
    <e v="#NAME?"/>
    <x v="1"/>
    <n v="0.05"/>
    <x v="0"/>
    <s v="Distribuido"/>
    <m/>
    <e v="#NAME?"/>
    <e v="#NAME?"/>
    <e v="#NAME?"/>
    <m/>
    <m/>
    <m/>
    <m/>
    <m/>
    <m/>
  </r>
  <r>
    <s v="C804055"/>
    <s v="QUIROGA VASQUEZ YOAN LEONARDO"/>
    <x v="0"/>
    <x v="0"/>
    <s v="BBVA"/>
    <e v="#NAME?"/>
    <x v="2"/>
    <n v="0.05"/>
    <x v="0"/>
    <s v="Distribuido"/>
    <m/>
    <e v="#NAME?"/>
    <e v="#NAME?"/>
    <e v="#NAME?"/>
    <m/>
    <m/>
    <m/>
    <m/>
    <m/>
    <m/>
  </r>
  <r>
    <s v="C804055"/>
    <s v="QUIROGA VASQUEZ YOAN LEONARDO"/>
    <x v="0"/>
    <x v="0"/>
    <s v="BBVA"/>
    <e v="#NAME?"/>
    <x v="3"/>
    <n v="0.05"/>
    <x v="0"/>
    <s v="Distribuido"/>
    <m/>
    <e v="#NAME?"/>
    <e v="#NAME?"/>
    <e v="#NAME?"/>
    <m/>
    <m/>
    <m/>
    <m/>
    <m/>
    <m/>
  </r>
  <r>
    <s v="C804055"/>
    <s v="QUIROGA VASQUEZ YOAN LEONARDO"/>
    <x v="0"/>
    <x v="0"/>
    <s v="BBVA"/>
    <e v="#NAME?"/>
    <x v="4"/>
    <n v="0.05"/>
    <x v="0"/>
    <s v="Distribuido"/>
    <m/>
    <e v="#NAME?"/>
    <e v="#NAME?"/>
    <e v="#NAME?"/>
    <m/>
    <m/>
    <m/>
    <m/>
    <m/>
    <m/>
  </r>
  <r>
    <s v="C804055"/>
    <s v="QUIROGA VASQUEZ YOAN LEONARDO"/>
    <x v="0"/>
    <x v="0"/>
    <s v="BBVA"/>
    <e v="#NAME?"/>
    <x v="5"/>
    <n v="0.6"/>
    <x v="0"/>
    <s v="Distribuido"/>
    <m/>
    <e v="#NAME?"/>
    <e v="#NAME?"/>
    <e v="#NAME?"/>
    <m/>
    <m/>
    <m/>
    <m/>
    <m/>
    <m/>
  </r>
  <r>
    <s v="C804055"/>
    <s v="QUIROGA VASQUEZ YOAN LEONARDO"/>
    <x v="0"/>
    <x v="0"/>
    <s v="BBVA"/>
    <e v="#NAME?"/>
    <x v="6"/>
    <n v="0.1"/>
    <x v="0"/>
    <s v="Distribuido"/>
    <m/>
    <e v="#NAME?"/>
    <e v="#NAME?"/>
    <e v="#NAME?"/>
    <m/>
    <m/>
    <m/>
    <m/>
    <m/>
    <m/>
  </r>
  <r>
    <s v="C804055"/>
    <s v="QUIROGA VASQUEZ YOAN LEONARDO"/>
    <x v="0"/>
    <x v="0"/>
    <s v="BBVA"/>
    <e v="#NAME?"/>
    <x v="7"/>
    <n v="0.05"/>
    <x v="0"/>
    <s v="Distribuido"/>
    <m/>
    <e v="#NAME?"/>
    <e v="#NAME?"/>
    <e v="#NAME?"/>
    <m/>
    <m/>
    <m/>
    <m/>
    <m/>
    <m/>
  </r>
  <r>
    <s v="C342600"/>
    <s v="DIANA PATRICIA BARRANTES PEREZ"/>
    <x v="0"/>
    <x v="0"/>
    <s v="BBVA"/>
    <e v="#NAME?"/>
    <x v="1"/>
    <n v="0.15"/>
    <x v="1"/>
    <s v="Distribuido"/>
    <m/>
    <e v="#NAME?"/>
    <e v="#NAME?"/>
    <e v="#NAME?"/>
    <m/>
    <m/>
    <m/>
    <m/>
    <m/>
    <m/>
  </r>
  <r>
    <s v="C342600"/>
    <s v="DIANA PATRICIA BARRANTES PEREZ"/>
    <x v="0"/>
    <x v="0"/>
    <s v="BBVA"/>
    <e v="#NAME?"/>
    <x v="2"/>
    <n v="0.1"/>
    <x v="1"/>
    <s v="Distribuido"/>
    <m/>
    <e v="#NAME?"/>
    <e v="#NAME?"/>
    <e v="#NAME?"/>
    <m/>
    <m/>
    <m/>
    <m/>
    <m/>
    <m/>
  </r>
  <r>
    <s v="C342600"/>
    <s v="DIANA PATRICIA BARRANTES PEREZ"/>
    <x v="0"/>
    <x v="0"/>
    <s v="BBVA"/>
    <e v="#NAME?"/>
    <x v="8"/>
    <n v="0.2"/>
    <x v="1"/>
    <s v="Distribuido"/>
    <m/>
    <e v="#NAME?"/>
    <e v="#NAME?"/>
    <e v="#NAME?"/>
    <m/>
    <m/>
    <m/>
    <m/>
    <m/>
    <m/>
  </r>
  <r>
    <s v="C342600"/>
    <s v="DIANA PATRICIA BARRANTES PEREZ"/>
    <x v="0"/>
    <x v="0"/>
    <s v="BBVA"/>
    <e v="#NAME?"/>
    <x v="4"/>
    <n v="0.15"/>
    <x v="1"/>
    <s v="Distribuido"/>
    <m/>
    <e v="#NAME?"/>
    <e v="#NAME?"/>
    <e v="#NAME?"/>
    <m/>
    <m/>
    <m/>
    <m/>
    <m/>
    <m/>
  </r>
  <r>
    <s v="C342600"/>
    <s v="DIANA PATRICIA BARRANTES PEREZ"/>
    <x v="0"/>
    <x v="0"/>
    <s v="BBVA"/>
    <e v="#NAME?"/>
    <x v="5"/>
    <n v="0.2"/>
    <x v="1"/>
    <s v="Distribuido"/>
    <m/>
    <e v="#NAME?"/>
    <e v="#NAME?"/>
    <e v="#NAME?"/>
    <m/>
    <m/>
    <m/>
    <m/>
    <m/>
    <m/>
  </r>
  <r>
    <s v="C342600"/>
    <s v="DIANA PATRICIA BARRANTES PEREZ"/>
    <x v="0"/>
    <x v="0"/>
    <s v="BBVA"/>
    <e v="#NAME?"/>
    <x v="6"/>
    <n v="0.1"/>
    <x v="1"/>
    <s v="Distribuido"/>
    <m/>
    <e v="#NAME?"/>
    <e v="#NAME?"/>
    <e v="#NAME?"/>
    <m/>
    <m/>
    <m/>
    <m/>
    <m/>
    <m/>
  </r>
  <r>
    <s v="C342600"/>
    <s v="DIANA PATRICIA BARRANTES PEREZ"/>
    <x v="0"/>
    <x v="0"/>
    <s v="BBVA"/>
    <e v="#NAME?"/>
    <x v="7"/>
    <n v="0.1"/>
    <x v="1"/>
    <s v="Distribuido"/>
    <m/>
    <e v="#NAME?"/>
    <e v="#NAME?"/>
    <e v="#NAME?"/>
    <m/>
    <m/>
    <m/>
    <m/>
    <m/>
    <m/>
  </r>
  <r>
    <s v="C808267"/>
    <s v="GUAQUETA ROMERO DEISY YOLIMA"/>
    <x v="0"/>
    <x v="0"/>
    <s v="BBVA"/>
    <e v="#NAME?"/>
    <x v="4"/>
    <n v="0.7"/>
    <x v="0"/>
    <s v="Distribuido"/>
    <m/>
    <e v="#NAME?"/>
    <e v="#NAME?"/>
    <e v="#NAME?"/>
    <m/>
    <m/>
    <m/>
    <m/>
    <m/>
    <m/>
  </r>
  <r>
    <s v="C808267"/>
    <s v="GUAQUETA ROMERO DEISY YOLIMA"/>
    <x v="0"/>
    <x v="0"/>
    <s v="BBVA"/>
    <e v="#NAME?"/>
    <x v="3"/>
    <n v="0.3"/>
    <x v="0"/>
    <s v="Distribuido"/>
    <s v="MLJ 22mar:  Nancy Pineda nos comentó dejarlo en este mientras se organiza lo del presupuesto._x000a_XXX mar:  No se encuentra el proyecto: SDATOOL-37914 Soporte y mantenimiento servicios tecnológicos 2022 - CEL (PSE)"/>
    <e v="#NAME?"/>
    <e v="#NAME?"/>
    <e v="#NAME?"/>
    <m/>
    <m/>
    <m/>
    <m/>
    <m/>
    <m/>
  </r>
  <r>
    <s v="C808683"/>
    <s v="EDISON YESID GONZALEZ LANCHEROS"/>
    <x v="0"/>
    <x v="0"/>
    <s v="BBVA"/>
    <e v="#NAME?"/>
    <x v="1"/>
    <n v="0.1"/>
    <x v="0"/>
    <s v="Distribuido"/>
    <m/>
    <e v="#NAME?"/>
    <e v="#NAME?"/>
    <e v="#NAME?"/>
    <m/>
    <m/>
    <m/>
    <m/>
    <m/>
    <m/>
  </r>
  <r>
    <s v="C808683"/>
    <s v="EDISON YESID GONZALEZ LANCHEROS"/>
    <x v="0"/>
    <x v="0"/>
    <s v="BBVA"/>
    <e v="#NAME?"/>
    <x v="5"/>
    <n v="0.8"/>
    <x v="0"/>
    <s v="Distribuido"/>
    <m/>
    <e v="#NAME?"/>
    <e v="#NAME?"/>
    <e v="#NAME?"/>
    <m/>
    <m/>
    <m/>
    <m/>
    <m/>
    <m/>
  </r>
  <r>
    <s v="C808683"/>
    <s v="EDISON YESID GONZALEZ LANCHEROS"/>
    <x v="0"/>
    <x v="0"/>
    <s v="BBVA"/>
    <e v="#NAME?"/>
    <x v="0"/>
    <n v="0.1"/>
    <x v="0"/>
    <s v="Distribuido"/>
    <m/>
    <e v="#NAME?"/>
    <e v="#NAME?"/>
    <e v="#NAME?"/>
    <m/>
    <m/>
    <m/>
    <m/>
    <m/>
    <m/>
  </r>
  <r>
    <s v="C811296"/>
    <s v="QUINTERO CASTILLO DIANA MARCELA"/>
    <x v="0"/>
    <x v="0"/>
    <s v="BBVA"/>
    <e v="#NAME?"/>
    <x v="5"/>
    <n v="0.75"/>
    <x v="0"/>
    <s v="Distribuido"/>
    <m/>
    <e v="#NAME?"/>
    <e v="#NAME?"/>
    <e v="#NAME?"/>
    <m/>
    <m/>
    <m/>
    <m/>
    <m/>
    <m/>
  </r>
  <r>
    <s v="C811296"/>
    <s v="QUINTERO CASTILLO DIANA MARCELA"/>
    <x v="0"/>
    <x v="0"/>
    <s v="BBVA"/>
    <e v="#NAME?"/>
    <x v="7"/>
    <n v="0.25"/>
    <x v="0"/>
    <s v="Distribuido"/>
    <s v="MLJ 22mar:  Nancy Pineda nos comentó dejarlo en este mientras se organiza lo del presupuesto._x000a_XXX mar:  No se encuentra el proyecto: SDATOOL-37914 Soporte y mantenimiento servicios tecnológicos 2022 - CEL (PSE)"/>
    <e v="#NAME?"/>
    <e v="#NAME?"/>
    <e v="#NAME?"/>
    <m/>
    <m/>
    <m/>
    <m/>
    <m/>
    <m/>
  </r>
  <r>
    <s v="C811302"/>
    <s v="RAMIREZ MONTANO CARLOS JULIO"/>
    <x v="0"/>
    <x v="0"/>
    <s v="BBVA"/>
    <e v="#NAME?"/>
    <x v="9"/>
    <n v="1"/>
    <x v="0"/>
    <s v="Distribuido"/>
    <m/>
    <e v="#NAME?"/>
    <e v="#NAME?"/>
    <e v="#NAME?"/>
    <m/>
    <m/>
    <m/>
    <m/>
    <m/>
    <m/>
  </r>
  <r>
    <s v="C811321"/>
    <s v="OTTO JADIR SAGUIT SANTOS ALBARRACIN"/>
    <x v="0"/>
    <x v="0"/>
    <s v="BBVA"/>
    <e v="#NAME?"/>
    <x v="9"/>
    <n v="1"/>
    <x v="0"/>
    <s v="Distribuido"/>
    <m/>
    <e v="#NAME?"/>
    <e v="#NAME?"/>
    <e v="#NAME?"/>
    <m/>
    <m/>
    <m/>
    <m/>
    <m/>
    <m/>
  </r>
  <r>
    <s v="CE57093"/>
    <s v="NATALIA CANAS YATE"/>
    <x v="0"/>
    <x v="0"/>
    <s v="Choucair"/>
    <e v="#NAME?"/>
    <x v="4"/>
    <n v="0.5"/>
    <x v="2"/>
    <s v="Distribuido"/>
    <m/>
    <e v="#NAME?"/>
    <e v="#NAME?"/>
    <e v="#NAME?"/>
    <m/>
    <m/>
    <m/>
    <m/>
    <m/>
    <m/>
  </r>
  <r>
    <s v="CE57093"/>
    <s v="NATALIA CANAS YATE"/>
    <x v="0"/>
    <x v="0"/>
    <s v="Choucair"/>
    <e v="#NAME?"/>
    <x v="5"/>
    <n v="0.5"/>
    <x v="2"/>
    <s v="Distribuido"/>
    <m/>
    <e v="#NAME?"/>
    <e v="#NAME?"/>
    <e v="#NAME?"/>
    <m/>
    <m/>
    <m/>
    <m/>
    <m/>
    <m/>
  </r>
  <r>
    <s v="CE69112"/>
    <s v="LUZ DARY PATINO PINTOR "/>
    <x v="0"/>
    <x v="0"/>
    <s v="Choucair"/>
    <e v="#NAME?"/>
    <x v="7"/>
    <n v="1"/>
    <x v="2"/>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r>
  <r>
    <s v="CE54816"/>
    <s v="LINA MARCELA SANABRIA BERNAL"/>
    <x v="0"/>
    <x v="0"/>
    <s v="Choucair"/>
    <e v="#NAME?"/>
    <x v="1"/>
    <n v="1"/>
    <x v="2"/>
    <s v="Distribuido"/>
    <m/>
    <e v="#NAME?"/>
    <e v="#NAME?"/>
    <e v="#NAME?"/>
    <m/>
    <m/>
    <m/>
    <m/>
    <m/>
    <m/>
  </r>
  <r>
    <s v="CE69341"/>
    <s v="PAULA MARCELA MOLINA LEGUIZAMO"/>
    <x v="0"/>
    <x v="0"/>
    <s v="Choucair"/>
    <e v="#NAME?"/>
    <x v="7"/>
    <n v="0.5"/>
    <x v="2"/>
    <s v="Distribuido"/>
    <s v="MLJ 22mar:  Nancy Pineda nos comentó dejarlo en este mientras se organiza lo del presupuesto._x000a_XXX mar:  No se encuentra el proyecto: SDATOOL-37914 Soporte y mantenimiento servicios tecnológicos 2022 - CEL (PSE)"/>
    <e v="#NAME?"/>
    <e v="#NAME?"/>
    <e v="#NAME?"/>
    <m/>
    <m/>
    <m/>
    <m/>
    <m/>
    <m/>
  </r>
  <r>
    <s v="CE69341"/>
    <s v="PAULA MARCELA MOLINA LEGUIZAMO"/>
    <x v="0"/>
    <x v="0"/>
    <s v="Choucair"/>
    <e v="#NAME?"/>
    <x v="5"/>
    <n v="0.5"/>
    <x v="2"/>
    <s v="Distribuido"/>
    <m/>
    <e v="#NAME?"/>
    <e v="#NAME?"/>
    <e v="#NAME?"/>
    <m/>
    <m/>
    <m/>
    <m/>
    <m/>
    <m/>
  </r>
  <r>
    <s v="CE70380"/>
    <s v="MISAEL ARLEY TELLEZ SERRANO"/>
    <x v="0"/>
    <x v="0"/>
    <s v="Choucair"/>
    <e v="#NAME?"/>
    <x v="3"/>
    <n v="1"/>
    <x v="2"/>
    <s v="Distribuido"/>
    <s v="MLJ 22mar:  Nancy Pineda nos comentó dejarlo en este mientras se organiza lo del presupuesto._x000a_XXX mar:  No se encuentra el proyecto: SDATOOL-37914 Soporte y mantenimiento servicios tecnológicos 2022 - CEL (PSE)"/>
    <e v="#NAME?"/>
    <e v="#NAME?"/>
    <e v="#NAME?"/>
    <m/>
    <m/>
    <m/>
    <m/>
    <m/>
    <m/>
  </r>
  <r>
    <s v="T004725"/>
    <s v="DANIEL ALEJANDRO ROA ACERO "/>
    <x v="0"/>
    <x v="0"/>
    <s v="Choucair"/>
    <e v="#NAME?"/>
    <x v="1"/>
    <n v="1"/>
    <x v="2"/>
    <s v="Distribuido"/>
    <m/>
    <e v="#NAME?"/>
    <e v="#NAME?"/>
    <e v="#NAME?"/>
    <m/>
    <m/>
    <m/>
    <m/>
    <m/>
    <m/>
  </r>
  <r>
    <s v="CE70382"/>
    <s v="JOHN JAIRO RIVERA PENA "/>
    <x v="0"/>
    <x v="0"/>
    <s v="Choucair"/>
    <e v="#NAME?"/>
    <x v="1"/>
    <n v="1"/>
    <x v="2"/>
    <s v="Distribuido"/>
    <m/>
    <e v="#NAME?"/>
    <e v="#NAME?"/>
    <e v="#NAME?"/>
    <m/>
    <m/>
    <m/>
    <m/>
    <m/>
    <m/>
  </r>
  <r>
    <s v="CE69031"/>
    <s v="WILLIAM ROBERTO MORA BERNAL"/>
    <x v="0"/>
    <x v="0"/>
    <s v="KRYPTO"/>
    <e v="#NAME?"/>
    <x v="5"/>
    <n v="7.0000000000000007E-2"/>
    <x v="3"/>
    <s v="Distribuido"/>
    <m/>
    <e v="#NAME?"/>
    <e v="#NAME?"/>
    <e v="#NAME?"/>
    <m/>
    <m/>
    <m/>
    <m/>
    <m/>
    <m/>
  </r>
  <r>
    <s v="CE69031"/>
    <s v="WILLIAM ROBERTO MORA BERNAL"/>
    <x v="0"/>
    <x v="0"/>
    <s v="KRYPTO"/>
    <e v="#NAME?"/>
    <x v="4"/>
    <n v="0.1"/>
    <x v="3"/>
    <s v="Distribuido"/>
    <m/>
    <e v="#NAME?"/>
    <e v="#NAME?"/>
    <e v="#NAME?"/>
    <m/>
    <m/>
    <m/>
    <m/>
    <m/>
    <m/>
  </r>
  <r>
    <s v="CE69031"/>
    <s v="WILLIAM ROBERTO MORA BERNAL"/>
    <x v="0"/>
    <x v="0"/>
    <s v="KRYPTO"/>
    <e v="#NAME?"/>
    <x v="3"/>
    <n v="0.08"/>
    <x v="3"/>
    <s v="Distribuido"/>
    <m/>
    <e v="#NAME?"/>
    <e v="#NAME?"/>
    <e v="#NAME?"/>
    <m/>
    <m/>
    <m/>
    <m/>
    <m/>
    <m/>
  </r>
  <r>
    <s v="C804844"/>
    <s v="MATEO OLAYA OSORIO"/>
    <x v="1"/>
    <x v="1"/>
    <s v="BBVA"/>
    <e v="#NAME?"/>
    <x v="10"/>
    <n v="0.75"/>
    <x v="0"/>
    <s v="Otras Tec."/>
    <s v="Lenguaje de prog.  JAVA."/>
    <e v="#NAME?"/>
    <e v="#NAME?"/>
    <e v="#NAME?"/>
    <m/>
    <m/>
    <m/>
    <m/>
    <m/>
    <m/>
  </r>
  <r>
    <s v="C804844"/>
    <s v="MATEO OLAYA OSORIO"/>
    <x v="1"/>
    <x v="1"/>
    <s v="BBVA"/>
    <e v="#NAME?"/>
    <x v="11"/>
    <n v="0.25"/>
    <x v="0"/>
    <s v="Otras Tec."/>
    <s v="Lenguaje de prog.  JAVA."/>
    <e v="#NAME?"/>
    <e v="#NAME?"/>
    <e v="#NAME?"/>
    <m/>
    <m/>
    <m/>
    <m/>
    <m/>
    <m/>
  </r>
  <r>
    <s v="T003920"/>
    <s v="ANA MARIA MORENO RAMIREZ"/>
    <x v="1"/>
    <x v="1"/>
    <s v="SII"/>
    <e v="#NAME?"/>
    <x v="10"/>
    <n v="1"/>
    <x v="3"/>
    <s v="Otras Tec."/>
    <s v=" "/>
    <e v="#NAME?"/>
    <e v="#NAME?"/>
    <e v="#NAME?"/>
    <m/>
    <m/>
    <m/>
    <m/>
    <m/>
    <m/>
  </r>
  <r>
    <s v="C805179"/>
    <s v="JEISON VISBAL"/>
    <x v="1"/>
    <x v="1"/>
    <s v="BBVA"/>
    <e v="#NAME?"/>
    <x v="10"/>
    <n v="0.75"/>
    <x v="0"/>
    <s v="Otras Tec."/>
    <s v="Lenguaje de prog.  JAVA."/>
    <e v="#NAME?"/>
    <e v="#NAME?"/>
    <e v="#NAME?"/>
    <m/>
    <m/>
    <m/>
    <m/>
    <m/>
    <m/>
  </r>
  <r>
    <s v="C805179"/>
    <s v="JEISON VISBAL"/>
    <x v="1"/>
    <x v="1"/>
    <s v="BBVA"/>
    <e v="#NAME?"/>
    <x v="11"/>
    <n v="0.25"/>
    <x v="0"/>
    <s v="Otras Tec."/>
    <s v="Lenguaje de prog.  JAVA."/>
    <e v="#NAME?"/>
    <e v="#NAME?"/>
    <e v="#NAME?"/>
    <m/>
    <m/>
    <m/>
    <m/>
    <m/>
    <m/>
  </r>
  <r>
    <s v="CE14662"/>
    <s v="WILMER AUGUSTO PEREZ NIÑO"/>
    <x v="1"/>
    <x v="1"/>
    <s v="Tecnoevolución"/>
    <e v="#NAME?"/>
    <x v="3"/>
    <n v="1"/>
    <x v="0"/>
    <s v="Otras Tec."/>
    <s v="Tecnología Legacy: Power -Builder "/>
    <e v="#NAME?"/>
    <e v="#NAME?"/>
    <e v="#NAME?"/>
    <m/>
    <m/>
    <m/>
    <m/>
    <m/>
    <m/>
  </r>
  <r>
    <s v="CE63123"/>
    <s v="DIEGO ARISTOBULO DIAZ PLATA"/>
    <x v="1"/>
    <x v="1"/>
    <s v="Tecnoevolución"/>
    <e v="#NAME?"/>
    <x v="3"/>
    <n v="1"/>
    <x v="0"/>
    <s v="Otras Tec."/>
    <s v="Tecnología Legacy: Power -Builder "/>
    <e v="#NAME?"/>
    <e v="#NAME?"/>
    <e v="#NAME?"/>
    <m/>
    <m/>
    <m/>
    <m/>
    <m/>
    <m/>
  </r>
  <r>
    <s v="C808223"/>
    <s v="DILAN ANDRES LOPEZ MENA"/>
    <x v="1"/>
    <x v="1"/>
    <s v="BBVA"/>
    <e v="#NAME?"/>
    <x v="3"/>
    <n v="1"/>
    <x v="3"/>
    <s v="Otras Tec."/>
    <s v="Tecnología Legacy: Power -Builder "/>
    <e v="#NAME?"/>
    <e v="#NAME?"/>
    <e v="#NAME?"/>
    <m/>
    <m/>
    <m/>
    <m/>
    <m/>
    <m/>
  </r>
  <r>
    <s v="C808132"/>
    <s v="JONNATHAN ARMANDO ASTROZ MARIN"/>
    <x v="1"/>
    <x v="1"/>
    <s v="BBVA"/>
    <e v="#NAME?"/>
    <x v="3"/>
    <n v="1"/>
    <x v="3"/>
    <s v="Otras Tec."/>
    <s v="Tecnología Legacy: Power -Builder "/>
    <e v="#NAME?"/>
    <e v="#NAME?"/>
    <e v="#NAME?"/>
    <m/>
    <m/>
    <m/>
    <m/>
    <m/>
    <m/>
  </r>
  <r>
    <s v="CE61903"/>
    <s v="KELLY JOHANA VANEGAS"/>
    <x v="1"/>
    <x v="1"/>
    <s v="Tecnoevolución"/>
    <e v="#NAME?"/>
    <x v="3"/>
    <n v="0.25"/>
    <x v="3"/>
    <s v="Otras Tec."/>
    <s v="Tecnología Legacy: Power -Builder "/>
    <e v="#NAME?"/>
    <e v="#NAME?"/>
    <e v="#NAME?"/>
    <m/>
    <m/>
    <m/>
    <m/>
    <m/>
    <m/>
  </r>
  <r>
    <s v="CE61903"/>
    <s v="KELLY JOHANA VANEGAS"/>
    <x v="1"/>
    <x v="1"/>
    <s v="Tecnoevolución"/>
    <e v="#NAME?"/>
    <x v="12"/>
    <n v="0.5"/>
    <x v="3"/>
    <s v="Otras Tec."/>
    <s v="Tecnología Legacy: Power -Builder "/>
    <e v="#NAME?"/>
    <e v="#NAME?"/>
    <e v="#NAME?"/>
    <m/>
    <m/>
    <m/>
    <m/>
    <m/>
    <m/>
  </r>
  <r>
    <s v="C811297"/>
    <s v="BETZY PAOLA JARAMILLO LASTRA"/>
    <x v="0"/>
    <x v="2"/>
    <s v="BBVA"/>
    <e v="#NAME?"/>
    <x v="13"/>
    <n v="0.25"/>
    <x v="0"/>
    <s v="Mainframe"/>
    <m/>
    <e v="#NAME?"/>
    <e v="#NAME?"/>
    <e v="#NAME?"/>
    <m/>
    <m/>
    <m/>
    <m/>
    <m/>
    <m/>
  </r>
  <r>
    <s v="C811297"/>
    <s v="BETZY PAOLA JARAMILLO LASTRA"/>
    <x v="0"/>
    <x v="2"/>
    <s v="BBVA"/>
    <e v="#NAME?"/>
    <x v="3"/>
    <n v="0.25"/>
    <x v="0"/>
    <s v="Mainframe"/>
    <m/>
    <e v="#NAME?"/>
    <e v="#NAME?"/>
    <e v="#NAME?"/>
    <m/>
    <m/>
    <m/>
    <m/>
    <m/>
    <m/>
  </r>
  <r>
    <s v="C811297"/>
    <s v="BETZY PAOLA JARAMILLO LASTRA"/>
    <x v="0"/>
    <x v="2"/>
    <s v="BBVA"/>
    <e v="#NAME?"/>
    <x v="14"/>
    <n v="0.25"/>
    <x v="0"/>
    <s v="Mainframe"/>
    <m/>
    <e v="#NAME?"/>
    <e v="#NAME?"/>
    <e v="#NAME?"/>
    <m/>
    <m/>
    <m/>
    <m/>
    <m/>
    <m/>
  </r>
  <r>
    <s v="C811297"/>
    <s v="BETZY PAOLA JARAMILLO LASTRA"/>
    <x v="0"/>
    <x v="2"/>
    <s v="BBVA"/>
    <e v="#NAME?"/>
    <x v="15"/>
    <n v="0.25"/>
    <x v="0"/>
    <s v="Distribuido"/>
    <m/>
    <e v="#NAME?"/>
    <e v="#NAME?"/>
    <e v="#NAME?"/>
    <m/>
    <m/>
    <m/>
    <m/>
    <m/>
    <m/>
  </r>
  <r>
    <s v="C808771"/>
    <s v="DAVID FEILPE CIFUENTES"/>
    <x v="0"/>
    <x v="2"/>
    <s v="BBVA"/>
    <e v="#NAME?"/>
    <x v="13"/>
    <n v="0.75"/>
    <x v="0"/>
    <s v="Mainframe"/>
    <m/>
    <e v="#NAME?"/>
    <e v="#NAME?"/>
    <e v="#NAME?"/>
    <m/>
    <m/>
    <m/>
    <m/>
    <m/>
    <m/>
  </r>
  <r>
    <s v="C808771"/>
    <s v="DAVID FEILPE CIFUENTES"/>
    <x v="0"/>
    <x v="2"/>
    <s v="BBVA"/>
    <e v="#NAME?"/>
    <x v="3"/>
    <n v="0.25"/>
    <x v="0"/>
    <s v="Mainframe"/>
    <m/>
    <e v="#NAME?"/>
    <e v="#NAME?"/>
    <e v="#NAME?"/>
    <m/>
    <m/>
    <m/>
    <m/>
    <m/>
    <m/>
  </r>
  <r>
    <s v="O000111"/>
    <s v="FERNANDO TIBADUIZA GUTIERREZ"/>
    <x v="0"/>
    <x v="2"/>
    <s v="BBVA"/>
    <e v="#NAME?"/>
    <x v="13"/>
    <n v="0.75"/>
    <x v="0"/>
    <s v="Mainframe"/>
    <m/>
    <e v="#NAME?"/>
    <e v="#NAME?"/>
    <e v="#NAME?"/>
    <m/>
    <m/>
    <m/>
    <m/>
    <m/>
    <m/>
  </r>
  <r>
    <s v="O000111"/>
    <s v="FERNANDO TIBADUIZA GUTIERREZ"/>
    <x v="0"/>
    <x v="2"/>
    <s v="BBVA"/>
    <e v="#NAME?"/>
    <x v="3"/>
    <n v="0.25"/>
    <x v="0"/>
    <s v="Mainframe"/>
    <m/>
    <e v="#NAME?"/>
    <e v="#NAME?"/>
    <e v="#NAME?"/>
    <m/>
    <m/>
    <m/>
    <m/>
    <m/>
    <m/>
  </r>
  <r>
    <s v="C810784"/>
    <s v="LENIN QUINTERO MUÑOZ"/>
    <x v="0"/>
    <x v="2"/>
    <s v="BBVA"/>
    <e v="#NAME?"/>
    <x v="15"/>
    <n v="1"/>
    <x v="0"/>
    <s v="Distribuido"/>
    <m/>
    <e v="#NAME?"/>
    <e v="#NAME?"/>
    <e v="#NAME?"/>
    <m/>
    <m/>
    <m/>
    <m/>
    <m/>
    <m/>
  </r>
  <r>
    <s v="CE70413"/>
    <s v="RICARDO AMAYA VIANCHA (QA)"/>
    <x v="0"/>
    <x v="2"/>
    <s v="KRYPTO"/>
    <e v="#NAME?"/>
    <x v="3"/>
    <n v="0.5"/>
    <x v="0"/>
    <s v="Otras Tec."/>
    <m/>
    <e v="#NAME?"/>
    <e v="#NAME?"/>
    <e v="#NAME?"/>
    <m/>
    <m/>
    <m/>
    <m/>
    <m/>
    <m/>
  </r>
  <r>
    <s v="CE70413"/>
    <s v="RICARDO AMAYA VIANCHA (QA)"/>
    <x v="0"/>
    <x v="2"/>
    <s v="KRYPTO"/>
    <e v="#NAME?"/>
    <x v="13"/>
    <n v="0.5"/>
    <x v="0"/>
    <s v="Otras Tec."/>
    <m/>
    <e v="#NAME?"/>
    <e v="#NAME?"/>
    <e v="#NAME?"/>
    <m/>
    <m/>
    <m/>
    <m/>
    <m/>
    <m/>
  </r>
  <r>
    <s v="C342062"/>
    <s v="JAVIER CALDERON LOPEZ"/>
    <x v="0"/>
    <x v="2"/>
    <s v="BBVA"/>
    <e v="#NAME?"/>
    <x v="16"/>
    <n v="0.75"/>
    <x v="0"/>
    <s v="Mainframe"/>
    <m/>
    <e v="#NAME?"/>
    <e v="#NAME?"/>
    <e v="#NAME?"/>
    <m/>
    <m/>
    <m/>
    <m/>
    <m/>
    <m/>
  </r>
  <r>
    <s v="C342062"/>
    <s v="JAVIER CALDERON LOPEZ"/>
    <x v="0"/>
    <x v="2"/>
    <s v="BBVA"/>
    <e v="#NAME?"/>
    <x v="3"/>
    <n v="0.25"/>
    <x v="0"/>
    <s v="Mainframe"/>
    <m/>
    <e v="#NAME?"/>
    <e v="#NAME?"/>
    <e v="#NAME?"/>
    <m/>
    <m/>
    <m/>
    <m/>
    <m/>
    <m/>
  </r>
  <r>
    <s v="C808392"/>
    <s v="JHON FREDDY ZAPATA MUÑOZ"/>
    <x v="0"/>
    <x v="2"/>
    <s v="BBVA"/>
    <e v="#NAME?"/>
    <x v="17"/>
    <n v="0.75"/>
    <x v="0"/>
    <s v="Distribuido"/>
    <m/>
    <e v="#NAME?"/>
    <e v="#NAME?"/>
    <e v="#NAME?"/>
    <m/>
    <m/>
    <m/>
    <m/>
    <m/>
    <m/>
  </r>
  <r>
    <s v="C808392"/>
    <s v="JHON FREDDY ZAPATA MUÑOZ"/>
    <x v="0"/>
    <x v="2"/>
    <s v="BBVA"/>
    <e v="#NAME?"/>
    <x v="3"/>
    <n v="0.25"/>
    <x v="0"/>
    <s v="Distribuido"/>
    <m/>
    <e v="#NAME?"/>
    <e v="#NAME?"/>
    <e v="#NAME?"/>
    <m/>
    <m/>
    <m/>
    <m/>
    <m/>
    <m/>
  </r>
  <r>
    <s v="CE63313"/>
    <s v="CESAR LEONEL MARTIN CASTILLO (QA)"/>
    <x v="0"/>
    <x v="2"/>
    <s v="Inetum"/>
    <e v="#NAME?"/>
    <x v="17"/>
    <n v="0.5"/>
    <x v="2"/>
    <s v="Otras Tec."/>
    <m/>
    <e v="#NAME?"/>
    <e v="#NAME?"/>
    <e v="#NAME?"/>
    <m/>
    <m/>
    <m/>
    <m/>
    <m/>
    <m/>
  </r>
  <r>
    <s v="CE63313"/>
    <s v="CESAR LEONEL MARTIN CASTILLO (QA)"/>
    <x v="0"/>
    <x v="2"/>
    <s v="Inetum"/>
    <e v="#NAME?"/>
    <x v="3"/>
    <n v="0.5"/>
    <x v="2"/>
    <s v="Otras Tec."/>
    <m/>
    <e v="#NAME?"/>
    <e v="#NAME?"/>
    <e v="#NAME?"/>
    <m/>
    <m/>
    <m/>
    <m/>
    <m/>
    <m/>
  </r>
  <r>
    <s v="C808164"/>
    <s v="JORGE SEBASTIAN RODRIGUEZ MORA"/>
    <x v="0"/>
    <x v="2"/>
    <s v="BBVA"/>
    <e v="#NAME?"/>
    <x v="18"/>
    <n v="1"/>
    <x v="0"/>
    <s v="Mainframe"/>
    <m/>
    <e v="#NAME?"/>
    <e v="#NAME?"/>
    <e v="#NAME?"/>
    <m/>
    <m/>
    <m/>
    <m/>
    <m/>
    <m/>
  </r>
  <r>
    <s v="O002304"/>
    <s v="WILVER MARTINEZ ALVARADO"/>
    <x v="0"/>
    <x v="2"/>
    <s v="BBVA"/>
    <e v="#NAME?"/>
    <x v="18"/>
    <n v="1"/>
    <x v="0"/>
    <s v="Mainframe"/>
    <m/>
    <e v="#NAME?"/>
    <e v="#NAME?"/>
    <e v="#NAME?"/>
    <m/>
    <m/>
    <m/>
    <m/>
    <m/>
    <m/>
  </r>
  <r>
    <s v="CE43229"/>
    <s v="CARLOS MAURICIO AGUIRRE TOVAR"/>
    <x v="0"/>
    <x v="2"/>
    <s v="Inetum"/>
    <e v="#NAME?"/>
    <x v="18"/>
    <n v="1"/>
    <x v="0"/>
    <s v="Mainframe"/>
    <m/>
    <e v="#NAME?"/>
    <e v="#NAME?"/>
    <e v="#NAME?"/>
    <m/>
    <m/>
    <m/>
    <m/>
    <m/>
    <m/>
  </r>
  <r>
    <s v="CE68369"/>
    <s v="JUAN DAVID ACOSTA OBANDO (QA)"/>
    <x v="0"/>
    <x v="2"/>
    <s v="KRYPTO"/>
    <e v="#NAME?"/>
    <x v="18"/>
    <n v="1"/>
    <x v="2"/>
    <s v="Otras Tec."/>
    <m/>
    <e v="#NAME?"/>
    <e v="#NAME?"/>
    <e v="#NAME?"/>
    <m/>
    <m/>
    <m/>
    <m/>
    <m/>
    <m/>
  </r>
  <r>
    <s v="C784494"/>
    <s v="CARLOS IVAN CHOCONTA"/>
    <x v="0"/>
    <x v="2"/>
    <s v="BBVA"/>
    <e v="#NAME?"/>
    <x v="19"/>
    <n v="0.75"/>
    <x v="0"/>
    <s v="Mainframe"/>
    <m/>
    <e v="#NAME?"/>
    <e v="#NAME?"/>
    <e v="#NAME?"/>
    <m/>
    <m/>
    <m/>
    <m/>
    <m/>
    <m/>
  </r>
  <r>
    <s v="C784494"/>
    <s v="CARLOS IVAN CHOCONTA"/>
    <x v="0"/>
    <x v="2"/>
    <s v="BBVA"/>
    <e v="#NAME?"/>
    <x v="3"/>
    <n v="0.25"/>
    <x v="0"/>
    <s v="Mainframe"/>
    <m/>
    <e v="#NAME?"/>
    <e v="#NAME?"/>
    <e v="#NAME?"/>
    <m/>
    <m/>
    <m/>
    <m/>
    <m/>
    <m/>
  </r>
  <r>
    <s v="C808842"/>
    <s v="CARLOS ALBERTO PARDO"/>
    <x v="0"/>
    <x v="2"/>
    <s v="BBVA"/>
    <e v="#NAME?"/>
    <x v="20"/>
    <n v="0.75"/>
    <x v="0"/>
    <s v="Mainframe"/>
    <m/>
    <e v="#NAME?"/>
    <e v="#NAME?"/>
    <e v="#NAME?"/>
    <m/>
    <m/>
    <m/>
    <m/>
    <m/>
    <m/>
  </r>
  <r>
    <s v="C808842"/>
    <s v="CARLOS ALBERTO PARDO"/>
    <x v="0"/>
    <x v="2"/>
    <s v="BBVA"/>
    <e v="#NAME?"/>
    <x v="3"/>
    <n v="0.25"/>
    <x v="0"/>
    <s v="Mainframe"/>
    <m/>
    <e v="#NAME?"/>
    <e v="#NAME?"/>
    <e v="#NAME?"/>
    <m/>
    <m/>
    <m/>
    <m/>
    <m/>
    <m/>
  </r>
  <r>
    <s v="C808856"/>
    <s v="YEHIN STIVEN PATIÑO"/>
    <x v="0"/>
    <x v="2"/>
    <s v="BBVA"/>
    <e v="#NAME?"/>
    <x v="21"/>
    <n v="0.5"/>
    <x v="0"/>
    <s v="Mainframe"/>
    <m/>
    <e v="#NAME?"/>
    <e v="#NAME?"/>
    <e v="#NAME?"/>
    <m/>
    <m/>
    <m/>
    <m/>
    <m/>
    <m/>
  </r>
  <r>
    <s v="C808856"/>
    <s v="YEHIN STIVEN PATIÑO"/>
    <x v="0"/>
    <x v="3"/>
    <s v="BBVA"/>
    <e v="#NAME?"/>
    <x v="22"/>
    <n v="0.5"/>
    <x v="0"/>
    <s v="Mainframe"/>
    <m/>
    <e v="#NAME?"/>
    <e v="#NAME?"/>
    <e v="#NAME?"/>
    <m/>
    <m/>
    <m/>
    <m/>
    <m/>
    <m/>
  </r>
  <r>
    <s v="C342171"/>
    <s v="CAROLINA BERNAL"/>
    <x v="0"/>
    <x v="2"/>
    <s v="BBVA"/>
    <e v="#NAME?"/>
    <x v="20"/>
    <n v="0.25"/>
    <x v="3"/>
    <s v="Otras Tec."/>
    <m/>
    <e v="#NAME?"/>
    <e v="#NAME?"/>
    <e v="#NAME?"/>
    <m/>
    <m/>
    <m/>
    <m/>
    <m/>
    <m/>
  </r>
  <r>
    <s v="C342171"/>
    <s v="CAROLINA BERNAL"/>
    <x v="0"/>
    <x v="2"/>
    <s v="BBVA"/>
    <e v="#NAME?"/>
    <x v="19"/>
    <n v="0.25"/>
    <x v="3"/>
    <s v="Otras Tec."/>
    <m/>
    <e v="#NAME?"/>
    <e v="#NAME?"/>
    <e v="#NAME?"/>
    <m/>
    <m/>
    <m/>
    <m/>
    <m/>
    <m/>
  </r>
  <r>
    <s v="C342171"/>
    <s v="CAROLINA BERNAL"/>
    <x v="0"/>
    <x v="2"/>
    <s v="BBVA"/>
    <e v="#NAME?"/>
    <x v="21"/>
    <n v="0.25"/>
    <x v="3"/>
    <s v="Otras Tec."/>
    <m/>
    <e v="#NAME?"/>
    <e v="#NAME?"/>
    <e v="#NAME?"/>
    <m/>
    <m/>
    <m/>
    <m/>
    <m/>
    <m/>
  </r>
  <r>
    <s v="C342171"/>
    <s v="CAROLINA BERNAL"/>
    <x v="0"/>
    <x v="2"/>
    <s v="BBVA"/>
    <e v="#NAME?"/>
    <x v="23"/>
    <n v="0.25"/>
    <x v="3"/>
    <s v="Otras Tec."/>
    <m/>
    <e v="#NAME?"/>
    <e v="#NAME?"/>
    <e v="#NAME?"/>
    <m/>
    <m/>
    <m/>
    <m/>
    <m/>
    <m/>
  </r>
  <r>
    <s v="CE56542"/>
    <s v="HUMBERTO MALAGON VARGAS (Torre)"/>
    <x v="0"/>
    <x v="2"/>
    <s v="Novatec"/>
    <e v="#NAME?"/>
    <x v="3"/>
    <n v="0.5"/>
    <x v="0"/>
    <s v="Mainframe"/>
    <m/>
    <e v="#NAME?"/>
    <e v="#NAME?"/>
    <e v="#NAME?"/>
    <m/>
    <m/>
    <m/>
    <m/>
    <m/>
    <m/>
  </r>
  <r>
    <s v="CE57635"/>
    <s v="JAIRO ARTURO BELTAN (Torre)"/>
    <x v="0"/>
    <x v="2"/>
    <s v="Novatec"/>
    <e v="#NAME?"/>
    <x v="3"/>
    <n v="1"/>
    <x v="0"/>
    <s v="Mainframe"/>
    <m/>
    <e v="#NAME?"/>
    <e v="#NAME?"/>
    <e v="#NAME?"/>
    <m/>
    <m/>
    <m/>
    <m/>
    <m/>
    <m/>
  </r>
  <r>
    <s v="CE66612"/>
    <s v="JOHN ANDRES DIAZ AYALA (Torre)"/>
    <x v="0"/>
    <x v="2"/>
    <s v="Novatec"/>
    <e v="#NAME?"/>
    <x v="3"/>
    <n v="1"/>
    <x v="0"/>
    <s v="Mainframe"/>
    <m/>
    <e v="#NAME?"/>
    <e v="#NAME?"/>
    <e v="#NAME?"/>
    <m/>
    <m/>
    <m/>
    <m/>
    <m/>
    <m/>
  </r>
  <r>
    <m/>
    <s v="MARISOL VEGA JOYA (QA)"/>
    <x v="0"/>
    <x v="2"/>
    <s v="Inetum"/>
    <e v="#NAME?"/>
    <x v="21"/>
    <n v="0.5"/>
    <x v="2"/>
    <s v="Otras Tec."/>
    <m/>
    <e v="#NAME?"/>
    <e v="#NAME?"/>
    <e v="#NAME?"/>
    <m/>
    <m/>
    <m/>
    <m/>
    <m/>
    <m/>
  </r>
  <r>
    <m/>
    <s v="MARISOL VEGA JOYA (QA)"/>
    <x v="0"/>
    <x v="2"/>
    <s v="Inetum"/>
    <e v="#NAME?"/>
    <x v="3"/>
    <n v="0.5"/>
    <x v="2"/>
    <s v="Otras Tec."/>
    <m/>
    <e v="#NAME?"/>
    <e v="#NAME?"/>
    <e v="#NAME?"/>
    <m/>
    <m/>
    <m/>
    <m/>
    <m/>
    <m/>
  </r>
  <r>
    <s v="C343581"/>
    <s v="WILLIAM JAVIER VILLAMIL ZAPATA "/>
    <x v="0"/>
    <x v="2"/>
    <s v="BBVA"/>
    <e v="#NAME?"/>
    <x v="24"/>
    <n v="0.25"/>
    <x v="1"/>
    <s v="ASO"/>
    <m/>
    <e v="#NAME?"/>
    <e v="#NAME?"/>
    <e v="#NAME?"/>
    <m/>
    <m/>
    <m/>
    <m/>
    <m/>
    <m/>
  </r>
  <r>
    <s v="C343581"/>
    <s v="WILLIAM JAVIER VILLAMIL ZAPATA "/>
    <x v="0"/>
    <x v="2"/>
    <s v="BBVA"/>
    <e v="#NAME?"/>
    <x v="25"/>
    <n v="0.25"/>
    <x v="1"/>
    <s v="ASO"/>
    <m/>
    <e v="#NAME?"/>
    <e v="#NAME?"/>
    <e v="#NAME?"/>
    <m/>
    <m/>
    <m/>
    <m/>
    <m/>
    <m/>
  </r>
  <r>
    <s v="C343581"/>
    <s v="WILLIAM JAVIER VILLAMIL ZAPATA "/>
    <x v="0"/>
    <x v="2"/>
    <s v="BBVA"/>
    <e v="#NAME?"/>
    <x v="3"/>
    <n v="0.5"/>
    <x v="1"/>
    <s v="ASO"/>
    <m/>
    <e v="#NAME?"/>
    <e v="#NAME?"/>
    <e v="#NAME?"/>
    <m/>
    <m/>
    <m/>
    <m/>
    <m/>
    <m/>
  </r>
  <r>
    <s v="C810947"/>
    <s v="LAURA PULIDO DIAZ"/>
    <x v="0"/>
    <x v="2"/>
    <s v="BBVA"/>
    <e v="#NAME?"/>
    <x v="24"/>
    <n v="1"/>
    <x v="0"/>
    <s v="APX"/>
    <m/>
    <e v="#NAME?"/>
    <e v="#NAME?"/>
    <e v="#NAME?"/>
    <m/>
    <m/>
    <m/>
    <m/>
    <m/>
    <m/>
  </r>
  <r>
    <s v="C809749"/>
    <s v="DEIMER DAVID JIMENEZ MAESTRE"/>
    <x v="0"/>
    <x v="2"/>
    <s v="BBVA"/>
    <e v="#NAME?"/>
    <x v="24"/>
    <n v="1"/>
    <x v="0"/>
    <s v="Mainframe"/>
    <m/>
    <e v="#NAME?"/>
    <e v="#NAME?"/>
    <e v="#NAME?"/>
    <m/>
    <m/>
    <m/>
    <m/>
    <m/>
    <m/>
  </r>
  <r>
    <s v="T002859"/>
    <s v="ANGIE DANIELA PERDOMO RAMIREZ (QA)"/>
    <x v="0"/>
    <x v="2"/>
    <s v="Inetum"/>
    <e v="#NAME?"/>
    <x v="24"/>
    <n v="1"/>
    <x v="2"/>
    <s v="Otras Tec."/>
    <m/>
    <e v="#NAME?"/>
    <e v="#NAME?"/>
    <e v="#NAME?"/>
    <m/>
    <m/>
    <m/>
    <m/>
    <m/>
    <m/>
  </r>
  <r>
    <s v="C808769"/>
    <s v="WILLIAM FERNANDO ALARCON"/>
    <x v="0"/>
    <x v="2"/>
    <s v="BBVA"/>
    <e v="#NAME?"/>
    <x v="25"/>
    <n v="0.75"/>
    <x v="0"/>
    <s v="ASO"/>
    <m/>
    <e v="#NAME?"/>
    <e v="#NAME?"/>
    <e v="#NAME?"/>
    <m/>
    <m/>
    <m/>
    <m/>
    <m/>
    <m/>
  </r>
  <r>
    <s v="C808769"/>
    <s v="WILLIAM FERNANDO ALARCON"/>
    <x v="0"/>
    <x v="2"/>
    <s v="BBVA"/>
    <e v="#NAME?"/>
    <x v="3"/>
    <n v="0.25"/>
    <x v="0"/>
    <s v="ASO"/>
    <m/>
    <e v="#NAME?"/>
    <e v="#NAME?"/>
    <e v="#NAME?"/>
    <m/>
    <m/>
    <m/>
    <m/>
    <m/>
    <m/>
  </r>
  <r>
    <s v="C811207"/>
    <s v="LUIS FERNANDO GUTIERREZ PRADO"/>
    <x v="0"/>
    <x v="2"/>
    <s v="BBVA"/>
    <e v="#NAME?"/>
    <x v="25"/>
    <n v="1"/>
    <x v="0"/>
    <s v="ASO"/>
    <m/>
    <e v="#NAME?"/>
    <e v="#NAME?"/>
    <e v="#NAME?"/>
    <m/>
    <m/>
    <m/>
    <m/>
    <m/>
    <m/>
  </r>
  <r>
    <s v="O004611"/>
    <s v="ANDRES ARTURO QUINTERO"/>
    <x v="0"/>
    <x v="2"/>
    <s v="BBVA"/>
    <e v="#NAME?"/>
    <x v="24"/>
    <n v="1"/>
    <x v="0"/>
    <s v="APX"/>
    <m/>
    <e v="#NAME?"/>
    <e v="#NAME?"/>
    <e v="#NAME?"/>
    <m/>
    <m/>
    <m/>
    <m/>
    <m/>
    <m/>
  </r>
  <r>
    <s v="T009935"/>
    <s v="JORGE LUIS MONTEJO (Torre)"/>
    <x v="0"/>
    <x v="2"/>
    <s v="Novatec"/>
    <e v="#NAME?"/>
    <x v="3"/>
    <n v="0.5"/>
    <x v="0"/>
    <s v="Mainframe"/>
    <m/>
    <e v="#NAME?"/>
    <e v="#NAME?"/>
    <e v="#NAME?"/>
    <m/>
    <m/>
    <m/>
    <m/>
    <m/>
    <m/>
  </r>
  <r>
    <s v="CE68693"/>
    <s v="MANUEL ALEJANDRO MARENCO (Torre)"/>
    <x v="0"/>
    <x v="2"/>
    <s v="Novatec"/>
    <e v="#NAME?"/>
    <x v="3"/>
    <n v="1"/>
    <x v="0"/>
    <s v="Mainframe"/>
    <m/>
    <e v="#NAME?"/>
    <e v="#NAME?"/>
    <e v="#NAME?"/>
    <m/>
    <m/>
    <m/>
    <m/>
    <m/>
    <m/>
  </r>
  <r>
    <s v="T009914"/>
    <s v="MARIELA CUBIDES  VILLAQUIRAN (Torre)"/>
    <x v="0"/>
    <x v="2"/>
    <s v="Novatec"/>
    <e v="#NAME?"/>
    <x v="3"/>
    <n v="1"/>
    <x v="0"/>
    <s v="Mainframe"/>
    <m/>
    <e v="#NAME?"/>
    <e v="#NAME?"/>
    <e v="#NAME?"/>
    <m/>
    <m/>
    <m/>
    <m/>
    <m/>
    <m/>
  </r>
  <r>
    <s v="C801829"/>
    <s v="LUISA FERNANDA CASTRILLON"/>
    <x v="0"/>
    <x v="2"/>
    <s v="BBVA"/>
    <e v="#NAME?"/>
    <x v="24"/>
    <n v="0.25"/>
    <x v="0"/>
    <s v="Distribuido"/>
    <m/>
    <e v="#NAME?"/>
    <e v="#NAME?"/>
    <e v="#NAME?"/>
    <m/>
    <m/>
    <m/>
    <m/>
    <m/>
    <m/>
  </r>
  <r>
    <s v="C801829"/>
    <s v="LUISA FERNANDA CASTRILLON"/>
    <x v="0"/>
    <x v="2"/>
    <s v="BBVA"/>
    <e v="#NAME?"/>
    <x v="26"/>
    <n v="0.25"/>
    <x v="0"/>
    <s v="Distribuido"/>
    <m/>
    <e v="#NAME?"/>
    <e v="#NAME?"/>
    <e v="#NAME?"/>
    <m/>
    <m/>
    <m/>
    <m/>
    <m/>
    <m/>
  </r>
  <r>
    <s v="C801829"/>
    <s v="LUISA FERNANDA CASTRILLON"/>
    <x v="0"/>
    <x v="2"/>
    <s v="BBVA"/>
    <e v="#NAME?"/>
    <x v="27"/>
    <n v="0.25"/>
    <x v="0"/>
    <s v="Distribuido"/>
    <m/>
    <e v="#NAME?"/>
    <e v="#NAME?"/>
    <e v="#NAME?"/>
    <m/>
    <m/>
    <m/>
    <m/>
    <m/>
    <m/>
  </r>
  <r>
    <s v="C801829"/>
    <s v="LUISA FERNANDA CASTRILLON"/>
    <x v="0"/>
    <x v="2"/>
    <s v="BBVA"/>
    <e v="#NAME?"/>
    <x v="27"/>
    <n v="0.25"/>
    <x v="0"/>
    <s v="Distribuido"/>
    <m/>
    <e v="#NAME?"/>
    <e v="#NAME?"/>
    <e v="#NAME?"/>
    <m/>
    <m/>
    <m/>
    <m/>
    <m/>
    <m/>
  </r>
  <r>
    <s v="O000393"/>
    <s v="DANIEL FELIPE ZAPATA"/>
    <x v="0"/>
    <x v="2"/>
    <s v="BBVA"/>
    <e v="#NAME?"/>
    <x v="26"/>
    <n v="1"/>
    <x v="0"/>
    <s v="ASO"/>
    <m/>
    <e v="#NAME?"/>
    <e v="#NAME?"/>
    <e v="#NAME?"/>
    <m/>
    <m/>
    <m/>
    <m/>
    <m/>
    <m/>
  </r>
  <r>
    <s v="O004836"/>
    <s v="JUANITA GARCIA CONTRERAS"/>
    <x v="0"/>
    <x v="2"/>
    <s v="BBVA"/>
    <e v="#NAME?"/>
    <x v="24"/>
    <n v="1"/>
    <x v="0"/>
    <s v="Distribuido"/>
    <m/>
    <e v="#NAME?"/>
    <e v="#NAME?"/>
    <e v="#NAME?"/>
    <m/>
    <m/>
    <m/>
    <m/>
    <m/>
    <m/>
  </r>
  <r>
    <s v="O004612"/>
    <s v="JUAN DAVID PRECIADO AGUILAR "/>
    <x v="0"/>
    <x v="2"/>
    <s v="BBVA"/>
    <e v="#NAME?"/>
    <x v="24"/>
    <n v="1"/>
    <x v="0"/>
    <s v="Distribuido"/>
    <m/>
    <e v="#NAME?"/>
    <e v="#NAME?"/>
    <e v="#NAME?"/>
    <m/>
    <m/>
    <m/>
    <m/>
    <m/>
    <m/>
  </r>
  <r>
    <s v="T005391"/>
    <s v="YINET CATALINA TORRES (QA)"/>
    <x v="0"/>
    <x v="2"/>
    <s v="Inetum"/>
    <e v="#NAME?"/>
    <x v="3"/>
    <n v="1"/>
    <x v="2"/>
    <s v="Otras Tec."/>
    <m/>
    <e v="#NAME?"/>
    <e v="#NAME?"/>
    <e v="#NAME?"/>
    <m/>
    <m/>
    <m/>
    <m/>
    <m/>
    <m/>
  </r>
  <r>
    <s v="C808646"/>
    <s v="DAVID CAMILO CORREDOR RODRIGUEZ"/>
    <x v="0"/>
    <x v="4"/>
    <s v="BBVA"/>
    <e v="#NAME?"/>
    <x v="28"/>
    <n v="1"/>
    <x v="0"/>
    <s v="Mainframe"/>
    <m/>
    <e v="#NAME?"/>
    <e v="#NAME?"/>
    <e v="#NAME?"/>
    <m/>
    <m/>
    <m/>
    <m/>
    <m/>
    <m/>
  </r>
  <r>
    <s v="O001334"/>
    <s v="ELKIN FERNANDO RIVERA GOMEZ"/>
    <x v="0"/>
    <x v="4"/>
    <s v="BBVA"/>
    <e v="#NAME?"/>
    <x v="28"/>
    <n v="0.5"/>
    <x v="3"/>
    <s v="Distribuido"/>
    <m/>
    <e v="#NAME?"/>
    <e v="#NAME?"/>
    <e v="#NAME?"/>
    <m/>
    <m/>
    <m/>
    <m/>
    <m/>
    <m/>
  </r>
  <r>
    <s v="O001334"/>
    <s v="ELKIN FERNANDO RIVERA GOMEZ"/>
    <x v="0"/>
    <x v="4"/>
    <s v="BBVA"/>
    <e v="#NAME?"/>
    <x v="29"/>
    <n v="0.25"/>
    <x v="3"/>
    <s v="Distribuido"/>
    <m/>
    <e v="#NAME?"/>
    <e v="#NAME?"/>
    <e v="#NAME?"/>
    <m/>
    <m/>
    <m/>
    <m/>
    <m/>
    <m/>
  </r>
  <r>
    <s v="O001334"/>
    <s v="ELKIN FERNANDO RIVERA GOMEZ"/>
    <x v="0"/>
    <x v="4"/>
    <s v="BBVA"/>
    <e v="#NAME?"/>
    <x v="5"/>
    <n v="0.25"/>
    <x v="3"/>
    <s v="Distribuido"/>
    <m/>
    <e v="#NAME?"/>
    <e v="#NAME?"/>
    <e v="#NAME?"/>
    <m/>
    <m/>
    <m/>
    <m/>
    <m/>
    <m/>
  </r>
  <r>
    <s v="C810881"/>
    <s v="JOHN MAICOL NUÑEZ SANTA"/>
    <x v="0"/>
    <x v="4"/>
    <s v="BBVA"/>
    <e v="#NAME?"/>
    <x v="30"/>
    <n v="0.75"/>
    <x v="0"/>
    <s v="Distribuido"/>
    <m/>
    <e v="#NAME?"/>
    <e v="#NAME?"/>
    <e v="#NAME?"/>
    <m/>
    <m/>
    <m/>
    <m/>
    <m/>
    <m/>
  </r>
  <r>
    <s v="C810881"/>
    <s v="JOHN MAICOL NUÑEZ SANTA"/>
    <x v="0"/>
    <x v="4"/>
    <s v="BBVA"/>
    <e v="#NAME?"/>
    <x v="5"/>
    <n v="0.25"/>
    <x v="0"/>
    <s v="Distribuido"/>
    <m/>
    <e v="#NAME?"/>
    <e v="#NAME?"/>
    <e v="#NAME?"/>
    <m/>
    <m/>
    <m/>
    <m/>
    <m/>
    <m/>
  </r>
  <r>
    <s v="C805972"/>
    <s v="JORGE ARMANDO MILLAN GOMEZ"/>
    <x v="0"/>
    <x v="4"/>
    <s v="BBVA"/>
    <e v="#NAME?"/>
    <x v="28"/>
    <n v="1"/>
    <x v="0"/>
    <s v="Distribuido"/>
    <m/>
    <e v="#NAME?"/>
    <e v="#NAME?"/>
    <e v="#NAME?"/>
    <m/>
    <m/>
    <m/>
    <m/>
    <m/>
    <m/>
  </r>
  <r>
    <s v="C805323"/>
    <s v="JOSE MIGUEL PARDO"/>
    <x v="0"/>
    <x v="4"/>
    <s v="BBVA"/>
    <e v="#NAME?"/>
    <x v="31"/>
    <n v="1"/>
    <x v="0"/>
    <s v="Distribuido"/>
    <m/>
    <e v="#NAME?"/>
    <e v="#NAME?"/>
    <e v="#NAME?"/>
    <m/>
    <m/>
    <m/>
    <m/>
    <m/>
    <m/>
  </r>
  <r>
    <s v="C804103"/>
    <s v="MAIRON STIVENS JIMENEZ QUIROGA"/>
    <x v="0"/>
    <x v="4"/>
    <s v="BBVA"/>
    <e v="#NAME?"/>
    <x v="31"/>
    <n v="0.5"/>
    <x v="0"/>
    <s v="Distribuido"/>
    <m/>
    <e v="#NAME?"/>
    <e v="#NAME?"/>
    <e v="#NAME?"/>
    <m/>
    <m/>
    <m/>
    <m/>
    <m/>
    <m/>
  </r>
  <r>
    <s v="C804103"/>
    <s v="MAIRON STIVENS JIMENEZ QUIROGA"/>
    <x v="0"/>
    <x v="4"/>
    <s v="BBVA"/>
    <e v="#NAME?"/>
    <x v="29"/>
    <n v="0.5"/>
    <x v="0"/>
    <s v="Distribuido"/>
    <m/>
    <e v="#NAME?"/>
    <e v="#NAME?"/>
    <e v="#NAME?"/>
    <m/>
    <m/>
    <m/>
    <m/>
    <m/>
    <m/>
  </r>
  <r>
    <s v="C805973"/>
    <s v="JESUS DAVID TELLO ARISTIZABAL"/>
    <x v="0"/>
    <x v="4"/>
    <s v="BBVA"/>
    <e v="#NAME?"/>
    <x v="30"/>
    <n v="1"/>
    <x v="0"/>
    <s v="Mainframe"/>
    <m/>
    <e v="#NAME?"/>
    <e v="#NAME?"/>
    <e v="#NAME?"/>
    <m/>
    <m/>
    <m/>
    <m/>
    <m/>
    <m/>
  </r>
  <r>
    <s v="C805925"/>
    <s v="GUSTAVO ANDRES CAMARGO"/>
    <x v="0"/>
    <x v="4"/>
    <s v="BBVA"/>
    <e v="#NAME?"/>
    <x v="28"/>
    <n v="0.25"/>
    <x v="0"/>
    <s v="Mainframe"/>
    <m/>
    <e v="#NAME?"/>
    <e v="#NAME?"/>
    <e v="#NAME?"/>
    <m/>
    <m/>
    <m/>
    <m/>
    <m/>
    <m/>
  </r>
  <r>
    <s v="O004604"/>
    <s v="DARREN NICOLAS DURAN JAMAICA"/>
    <x v="0"/>
    <x v="4"/>
    <s v="BBVA"/>
    <e v="#NAME?"/>
    <x v="3"/>
    <n v="1"/>
    <x v="0"/>
    <s v="Mainframe"/>
    <m/>
    <e v="#NAME?"/>
    <e v="#NAME?"/>
    <e v="#NAME?"/>
    <m/>
    <m/>
    <m/>
    <m/>
    <m/>
    <m/>
  </r>
  <r>
    <s v="O000159"/>
    <s v="CAROL VIVIANA CARVAJALNAGLES"/>
    <x v="0"/>
    <x v="4"/>
    <s v="BBVA"/>
    <e v="#NAME?"/>
    <x v="28"/>
    <n v="0.5"/>
    <x v="1"/>
    <s v="Distribuido"/>
    <m/>
    <e v="#NAME?"/>
    <e v="#NAME?"/>
    <e v="#NAME?"/>
    <m/>
    <m/>
    <m/>
    <m/>
    <m/>
    <m/>
  </r>
  <r>
    <s v="O000159"/>
    <s v="CAROL VIVIANA CARVAJALNAGLES"/>
    <x v="0"/>
    <x v="4"/>
    <s v="BBVA"/>
    <e v="#NAME?"/>
    <x v="31"/>
    <n v="0.25"/>
    <x v="1"/>
    <s v="Distribuido"/>
    <m/>
    <e v="#NAME?"/>
    <e v="#NAME?"/>
    <e v="#NAME?"/>
    <m/>
    <m/>
    <m/>
    <m/>
    <m/>
    <m/>
  </r>
  <r>
    <s v="O000159"/>
    <s v="CAROL VIVIANA CARVAJALNAGLES"/>
    <x v="0"/>
    <x v="4"/>
    <s v="BBVA"/>
    <e v="#NAME?"/>
    <x v="29"/>
    <n v="0.15"/>
    <x v="1"/>
    <s v="Distribuido"/>
    <m/>
    <e v="#NAME?"/>
    <e v="#NAME?"/>
    <e v="#NAME?"/>
    <m/>
    <m/>
    <m/>
    <m/>
    <m/>
    <m/>
  </r>
  <r>
    <s v="O000159"/>
    <s v="CAROL VIVIANA CARVAJALNAGLES"/>
    <x v="0"/>
    <x v="4"/>
    <s v="BBVA"/>
    <e v="#NAME?"/>
    <x v="5"/>
    <n v="0.1"/>
    <x v="1"/>
    <s v="Distribuido"/>
    <m/>
    <e v="#NAME?"/>
    <e v="#NAME?"/>
    <e v="#NAME?"/>
    <m/>
    <m/>
    <m/>
    <m/>
    <m/>
    <m/>
  </r>
  <r>
    <s v="T005152"/>
    <s v="ANGELICA MARINA CASTILLA RENDON"/>
    <x v="0"/>
    <x v="4"/>
    <s v="Inetum"/>
    <e v="#NAME?"/>
    <x v="28"/>
    <n v="0.9"/>
    <x v="2"/>
    <s v="Mainframe"/>
    <m/>
    <e v="#NAME?"/>
    <e v="#NAME?"/>
    <e v="#NAME?"/>
    <m/>
    <m/>
    <m/>
    <m/>
    <m/>
    <m/>
  </r>
  <r>
    <s v="T005152"/>
    <s v="ANGELICA MARINA CASTILLA RENDON"/>
    <x v="0"/>
    <x v="4"/>
    <s v="Inetum"/>
    <e v="#NAME?"/>
    <x v="29"/>
    <n v="0.1"/>
    <x v="2"/>
    <s v="Distribuido"/>
    <m/>
    <e v="#NAME?"/>
    <e v="#NAME?"/>
    <e v="#NAME?"/>
    <m/>
    <m/>
    <m/>
    <m/>
    <m/>
    <m/>
  </r>
  <r>
    <s v="CE68432"/>
    <s v="ANGELY JOHANA GONZALEZ VILLAMIL"/>
    <x v="0"/>
    <x v="4"/>
    <s v="Choucair"/>
    <e v="#NAME?"/>
    <x v="31"/>
    <n v="1"/>
    <x v="2"/>
    <s v="Distribuido"/>
    <m/>
    <e v="#NAME?"/>
    <e v="#NAME?"/>
    <e v="#NAME?"/>
    <m/>
    <m/>
    <m/>
    <m/>
    <m/>
    <m/>
  </r>
  <r>
    <s v="CE60767"/>
    <s v="JEIMMY ALEJANDRA SANCHEZ LOPEZ"/>
    <x v="0"/>
    <x v="4"/>
    <s v="Choucair"/>
    <e v="#NAME?"/>
    <x v="31"/>
    <n v="1"/>
    <x v="2"/>
    <s v="Distribuido"/>
    <m/>
    <e v="#NAME?"/>
    <e v="#NAME?"/>
    <e v="#NAME?"/>
    <m/>
    <m/>
    <m/>
    <m/>
    <m/>
    <m/>
  </r>
  <r>
    <s v="T002011"/>
    <s v="YEIMY TATIANA ZAMORA GUEVARA"/>
    <x v="0"/>
    <x v="4"/>
    <s v="Choucair"/>
    <e v="#NAME?"/>
    <x v="31"/>
    <n v="1"/>
    <x v="2"/>
    <s v="Distribuido"/>
    <m/>
    <e v="#NAME?"/>
    <e v="#NAME?"/>
    <e v="#NAME?"/>
    <m/>
    <m/>
    <m/>
    <m/>
    <m/>
    <m/>
  </r>
  <r>
    <s v="CE65276"/>
    <s v="JOHANA IDALY GARZON RUIZ"/>
    <x v="0"/>
    <x v="4"/>
    <s v="Choucair"/>
    <e v="#NAME?"/>
    <x v="31"/>
    <n v="1"/>
    <x v="2"/>
    <s v="Distribuido"/>
    <m/>
    <e v="#NAME?"/>
    <e v="#NAME?"/>
    <e v="#NAME?"/>
    <m/>
    <m/>
    <m/>
    <m/>
    <m/>
    <m/>
  </r>
  <r>
    <s v="CE51577"/>
    <s v="LINA JULIETH REDONDO SOLER"/>
    <x v="0"/>
    <x v="4"/>
    <s v="Choucair"/>
    <e v="#NAME?"/>
    <x v="28"/>
    <n v="1"/>
    <x v="2"/>
    <s v="Mainframe"/>
    <m/>
    <e v="#NAME?"/>
    <e v="#NAME?"/>
    <e v="#NAME?"/>
    <m/>
    <m/>
    <m/>
    <m/>
    <m/>
    <m/>
  </r>
  <r>
    <s v="CE68565"/>
    <s v="JELBER STIBEN LOZANO PRADA"/>
    <x v="0"/>
    <x v="4"/>
    <s v="Choucair"/>
    <e v="#NAME?"/>
    <x v="28"/>
    <n v="1"/>
    <x v="2"/>
    <s v="Distribuido"/>
    <m/>
    <e v="#NAME?"/>
    <e v="#NAME?"/>
    <e v="#NAME?"/>
    <m/>
    <m/>
    <m/>
    <m/>
    <m/>
    <m/>
  </r>
  <r>
    <s v="CE66305"/>
    <s v="LADY JOHANNA ARDILA ABELLO"/>
    <x v="0"/>
    <x v="4"/>
    <s v="Choucair"/>
    <e v="#NAME?"/>
    <x v="28"/>
    <n v="1"/>
    <x v="2"/>
    <s v="Mainframe"/>
    <m/>
    <e v="#NAME?"/>
    <e v="#NAME?"/>
    <e v="#NAME?"/>
    <m/>
    <m/>
    <m/>
    <m/>
    <m/>
    <m/>
  </r>
  <r>
    <s v="CE67889"/>
    <s v="YEIMY PATRICIA PELAEZ ARENAS"/>
    <x v="0"/>
    <x v="4"/>
    <s v="Choucair"/>
    <e v="#NAME?"/>
    <x v="28"/>
    <n v="1"/>
    <x v="2"/>
    <s v="Distribuido"/>
    <m/>
    <e v="#NAME?"/>
    <e v="#NAME?"/>
    <e v="#NAME?"/>
    <m/>
    <m/>
    <m/>
    <m/>
    <m/>
    <m/>
  </r>
  <r>
    <s v="T010295"/>
    <s v="KAREN JULIETH VASQUEZ ROMERO"/>
    <x v="0"/>
    <x v="4"/>
    <s v="Choucair"/>
    <e v="#NAME?"/>
    <x v="28"/>
    <n v="1"/>
    <x v="2"/>
    <s v="Mainframe"/>
    <m/>
    <e v="#NAME?"/>
    <e v="#NAME?"/>
    <e v="#NAME?"/>
    <m/>
    <m/>
    <m/>
    <m/>
    <m/>
    <m/>
  </r>
  <r>
    <s v="CE51510"/>
    <s v="JULY VANESSA TORRES ZARATE"/>
    <x v="0"/>
    <x v="4"/>
    <s v="Choucair"/>
    <e v="#NAME?"/>
    <x v="28"/>
    <n v="1"/>
    <x v="2"/>
    <s v="Distribuido"/>
    <m/>
    <e v="#NAME?"/>
    <e v="#NAME?"/>
    <e v="#NAME?"/>
    <m/>
    <m/>
    <m/>
    <m/>
    <m/>
    <m/>
  </r>
  <r>
    <s v="CE68432"/>
    <s v="PAUL JONATHAN VALENCIA MUÑOZ"/>
    <x v="0"/>
    <x v="4"/>
    <s v="Choucair"/>
    <e v="#NAME?"/>
    <x v="28"/>
    <n v="1"/>
    <x v="2"/>
    <s v="Distribuido"/>
    <m/>
    <e v="#NAME?"/>
    <e v="#NAME?"/>
    <e v="#NAME?"/>
    <m/>
    <m/>
    <m/>
    <m/>
    <m/>
    <m/>
  </r>
  <r>
    <s v=" T011816"/>
    <s v="JENNY PAOLA LOSADA VELASCO"/>
    <x v="0"/>
    <x v="4"/>
    <s v="Choucair"/>
    <e v="#NAME?"/>
    <x v="28"/>
    <n v="1"/>
    <x v="2"/>
    <s v="Distribuido"/>
    <m/>
    <e v="#NAME?"/>
    <e v="#NAME?"/>
    <e v="#NAME?"/>
    <m/>
    <m/>
    <m/>
    <m/>
    <m/>
    <m/>
  </r>
  <r>
    <s v="T012212"/>
    <s v="MONICA ALEJANDRA QUINTERO PEREZ"/>
    <x v="0"/>
    <x v="4"/>
    <s v="Choucair"/>
    <e v="#NAME?"/>
    <x v="28"/>
    <n v="1"/>
    <x v="2"/>
    <s v="Distribuido"/>
    <m/>
    <e v="#NAME?"/>
    <e v="#NAME?"/>
    <e v="#NAME?"/>
    <m/>
    <m/>
    <m/>
    <m/>
    <m/>
    <m/>
  </r>
  <r>
    <s v="CE30318"/>
    <s v="ROBERTO ANTONIO MARTINEZ"/>
    <x v="0"/>
    <x v="4"/>
    <s v="KRYPTO"/>
    <e v="#NAME?"/>
    <x v="28"/>
    <n v="0.1"/>
    <x v="2"/>
    <s v="Mainframe"/>
    <m/>
    <e v="#NAME?"/>
    <e v="#NAME?"/>
    <e v="#NAME?"/>
    <m/>
    <m/>
    <m/>
    <m/>
    <m/>
    <m/>
  </r>
  <r>
    <s v="CE30318"/>
    <s v="ROBERTO ANTONIO MARTINEZ"/>
    <x v="0"/>
    <x v="4"/>
    <s v="KRYPTO"/>
    <e v="#NAME?"/>
    <x v="31"/>
    <n v="0.1"/>
    <x v="2"/>
    <s v="Distribuido"/>
    <m/>
    <e v="#NAME?"/>
    <e v="#NAME?"/>
    <e v="#NAME?"/>
    <m/>
    <m/>
    <m/>
    <m/>
    <m/>
    <m/>
  </r>
  <r>
    <s v="CE30318"/>
    <s v="ROBERTO ANTONIO MARTINEZ"/>
    <x v="0"/>
    <x v="4"/>
    <s v="KRYPTO"/>
    <e v="#NAME?"/>
    <x v="29"/>
    <n v="0.05"/>
    <x v="2"/>
    <s v="Distribuido"/>
    <m/>
    <e v="#NAME?"/>
    <e v="#NAME?"/>
    <e v="#NAME?"/>
    <m/>
    <m/>
    <m/>
    <m/>
    <m/>
    <m/>
  </r>
  <r>
    <s v="CE41979"/>
    <s v="DILSON PARDO SANTANA"/>
    <x v="0"/>
    <x v="0"/>
    <s v="Inetum"/>
    <e v="#NAME?"/>
    <x v="5"/>
    <n v="7.0000000000000007E-2"/>
    <x v="2"/>
    <s v="Distribuido"/>
    <m/>
    <e v="#NAME?"/>
    <e v="#NAME?"/>
    <e v="#NAME?"/>
    <m/>
    <m/>
    <m/>
    <m/>
    <m/>
    <m/>
  </r>
  <r>
    <s v="CE41979"/>
    <s v="DILSON PARDO SANTANA"/>
    <x v="0"/>
    <x v="0"/>
    <s v="Inetum"/>
    <e v="#NAME?"/>
    <x v="3"/>
    <n v="0.1"/>
    <x v="2"/>
    <s v="Distribuido"/>
    <m/>
    <e v="#NAME?"/>
    <e v="#NAME?"/>
    <e v="#NAME?"/>
    <m/>
    <m/>
    <m/>
    <m/>
    <m/>
    <m/>
  </r>
  <r>
    <s v="CE41979"/>
    <s v="DILSON PARDO SANTANA"/>
    <x v="0"/>
    <x v="0"/>
    <s v="Inetum"/>
    <e v="#NAME?"/>
    <x v="4"/>
    <n v="0.08"/>
    <x v="2"/>
    <s v="Distribuido"/>
    <m/>
    <e v="#NAME?"/>
    <e v="#NAME?"/>
    <e v="#NAME?"/>
    <m/>
    <m/>
    <m/>
    <m/>
    <m/>
    <m/>
  </r>
  <r>
    <s v="CE30318"/>
    <s v="ROBERTO ANTONIO MARTINEZ"/>
    <x v="0"/>
    <x v="4"/>
    <s v="KRYPTO"/>
    <e v="#NAME?"/>
    <x v="3"/>
    <n v="0.25"/>
    <x v="2"/>
    <s v="Distribuido"/>
    <m/>
    <e v="#NAME?"/>
    <e v="#NAME?"/>
    <e v="#NAME?"/>
    <m/>
    <m/>
    <m/>
    <m/>
    <m/>
    <m/>
  </r>
  <r>
    <s v="CE41979"/>
    <s v="DILSON PARDO SANTANA"/>
    <x v="0"/>
    <x v="0"/>
    <s v="Inetum"/>
    <e v="#NAME?"/>
    <x v="3"/>
    <n v="0.25"/>
    <x v="2"/>
    <s v="Distribuido"/>
    <m/>
    <e v="#NAME?"/>
    <e v="#NAME?"/>
    <e v="#NAME?"/>
    <m/>
    <m/>
    <m/>
    <m/>
    <m/>
    <m/>
  </r>
  <r>
    <s v="CE69031"/>
    <s v="WILLIAM ROBERTO MORA BERNAL"/>
    <x v="0"/>
    <x v="0"/>
    <s v="KRYPTO"/>
    <e v="#NAME?"/>
    <x v="3"/>
    <n v="0.25"/>
    <x v="3"/>
    <s v="Distribuido"/>
    <m/>
    <e v="#NAME?"/>
    <e v="#NAME?"/>
    <e v="#NAME?"/>
    <m/>
    <m/>
    <m/>
    <m/>
    <m/>
    <m/>
  </r>
  <r>
    <s v="CE30318"/>
    <s v="ROBERTO ANTONIO MARTINEZ"/>
    <x v="0"/>
    <x v="0"/>
    <s v="KRYPTO"/>
    <e v="#NAME?"/>
    <x v="3"/>
    <n v="7.0000000000000007E-2"/>
    <x v="2"/>
    <s v="Distribuido"/>
    <m/>
    <e v="#NAME?"/>
    <e v="#NAME?"/>
    <e v="#NAME?"/>
    <m/>
    <m/>
    <m/>
    <m/>
    <m/>
    <m/>
  </r>
  <r>
    <s v="CE41979"/>
    <s v="DILSON PARDO SANTANA"/>
    <x v="0"/>
    <x v="4"/>
    <s v="Inetum"/>
    <e v="#NAME?"/>
    <x v="28"/>
    <n v="0.1"/>
    <x v="2"/>
    <s v="Distribuido"/>
    <m/>
    <e v="#NAME?"/>
    <e v="#NAME?"/>
    <e v="#NAME?"/>
    <m/>
    <m/>
    <m/>
    <m/>
    <m/>
    <m/>
  </r>
  <r>
    <s v="CE41979"/>
    <s v="DILSON PARDO SANTANA"/>
    <x v="0"/>
    <x v="4"/>
    <s v="Inetum"/>
    <e v="#NAME?"/>
    <x v="31"/>
    <n v="0.1"/>
    <x v="2"/>
    <s v="Distribuido"/>
    <m/>
    <e v="#NAME?"/>
    <e v="#NAME?"/>
    <e v="#NAME?"/>
    <m/>
    <m/>
    <m/>
    <m/>
    <m/>
    <m/>
  </r>
  <r>
    <s v="CE41979"/>
    <s v="DILSON PARDO SANTANA"/>
    <x v="0"/>
    <x v="4"/>
    <s v="Inetum"/>
    <e v="#NAME?"/>
    <x v="29"/>
    <n v="0.05"/>
    <x v="2"/>
    <s v="Distribuido"/>
    <m/>
    <e v="#NAME?"/>
    <e v="#NAME?"/>
    <e v="#NAME?"/>
    <m/>
    <m/>
    <m/>
    <m/>
    <m/>
    <m/>
  </r>
  <r>
    <s v="CE41979"/>
    <s v="DILSON PARDO SANTANA"/>
    <x v="0"/>
    <x v="4"/>
    <s v="Inetum"/>
    <e v="#NAME?"/>
    <x v="3"/>
    <n v="0.25"/>
    <x v="2"/>
    <s v="Distribuido"/>
    <m/>
    <e v="#NAME?"/>
    <e v="#NAME?"/>
    <e v="#NAME?"/>
    <m/>
    <m/>
    <m/>
    <m/>
    <m/>
    <m/>
  </r>
  <r>
    <s v="CE69031"/>
    <s v="WILLIAM ROBERTO MORA BERNAL"/>
    <x v="0"/>
    <x v="4"/>
    <s v="KRYPTO"/>
    <e v="#NAME?"/>
    <x v="3"/>
    <n v="0.25"/>
    <x v="3"/>
    <s v="Distribuido"/>
    <m/>
    <e v="#NAME?"/>
    <e v="#NAME?"/>
    <e v="#NAME?"/>
    <m/>
    <m/>
    <m/>
    <m/>
    <m/>
    <m/>
  </r>
  <r>
    <s v="CE69031"/>
    <s v="WILLIAM ROBERTO MORA BERNAL"/>
    <x v="0"/>
    <x v="4"/>
    <s v="KRYPTO"/>
    <e v="#NAME?"/>
    <x v="28"/>
    <n v="0.1"/>
    <x v="3"/>
    <s v="Mainframe"/>
    <m/>
    <e v="#NAME?"/>
    <e v="#NAME?"/>
    <e v="#NAME?"/>
    <m/>
    <m/>
    <m/>
    <m/>
    <m/>
    <m/>
  </r>
  <r>
    <s v="CE69031"/>
    <s v="WILLIAM ROBERTO MORA BERNAL"/>
    <x v="0"/>
    <x v="4"/>
    <s v="KRYPTO"/>
    <e v="#NAME?"/>
    <x v="31"/>
    <n v="0.1"/>
    <x v="3"/>
    <s v="Distribuido"/>
    <m/>
    <e v="#NAME?"/>
    <e v="#NAME?"/>
    <e v="#NAME?"/>
    <m/>
    <m/>
    <m/>
    <m/>
    <m/>
    <m/>
  </r>
  <r>
    <s v="CE69031"/>
    <s v="WILLIAM ROBERTO MORA BERNAL"/>
    <x v="0"/>
    <x v="4"/>
    <s v="KRYPTO"/>
    <e v="#NAME?"/>
    <x v="29"/>
    <n v="0.05"/>
    <x v="3"/>
    <s v="Distribuido"/>
    <m/>
    <e v="#NAME?"/>
    <e v="#NAME?"/>
    <e v="#NAME?"/>
    <m/>
    <m/>
    <m/>
    <m/>
    <m/>
    <m/>
  </r>
  <r>
    <s v="O000108"/>
    <s v="FELIPE ALONSO SOTO CABALLERO"/>
    <x v="1"/>
    <x v="1"/>
    <s v="BBVA"/>
    <e v="#NAME?"/>
    <x v="12"/>
    <n v="0.7"/>
    <x v="0"/>
    <s v="Otras Tec."/>
    <s v="Legacy :power Builder"/>
    <e v="#NAME?"/>
    <e v="#NAME?"/>
    <e v="#NAME?"/>
    <m/>
    <m/>
    <m/>
    <m/>
    <m/>
    <m/>
  </r>
  <r>
    <s v="O000108"/>
    <s v="FELIPE ALONSO SOTO CABALLERO"/>
    <x v="1"/>
    <x v="1"/>
    <s v="BBVA"/>
    <e v="#NAME?"/>
    <x v="32"/>
    <n v="0.3"/>
    <x v="0"/>
    <s v="Otras Tec."/>
    <s v="Legacy :power Builder"/>
    <e v="#NAME?"/>
    <e v="#NAME?"/>
    <e v="#NAME?"/>
    <m/>
    <m/>
    <m/>
    <m/>
    <m/>
    <m/>
  </r>
  <r>
    <s v="CE30318"/>
    <s v="ROBERTO ANTONIO MARTINEZ"/>
    <x v="0"/>
    <x v="0"/>
    <s v="KRYPTO"/>
    <e v="#NAME?"/>
    <x v="5"/>
    <n v="0.1"/>
    <x v="2"/>
    <s v="Distribuido"/>
    <m/>
    <e v="#NAME?"/>
    <e v="#NAME?"/>
    <e v="#NAME?"/>
    <m/>
    <m/>
    <m/>
    <m/>
    <m/>
    <m/>
  </r>
  <r>
    <s v="CE30318"/>
    <s v="ROBERTO ANTONIO MARTINEZ"/>
    <x v="0"/>
    <x v="0"/>
    <s v="KRYPTO"/>
    <e v="#NAME?"/>
    <x v="4"/>
    <n v="0.08"/>
    <x v="2"/>
    <s v="Distribuido"/>
    <m/>
    <e v="#NAME?"/>
    <e v="#NAME?"/>
    <e v="#NAME?"/>
    <m/>
    <m/>
    <m/>
    <m/>
    <m/>
    <m/>
  </r>
  <r>
    <s v="CE30318"/>
    <s v="ROBERTO ANTONIO MARTINEZ"/>
    <x v="0"/>
    <x v="0"/>
    <s v="KRYPTO"/>
    <e v="#NAME?"/>
    <x v="3"/>
    <n v="0.25"/>
    <x v="2"/>
    <s v="Distribuido"/>
    <m/>
    <e v="#NAME?"/>
    <e v="#NAME?"/>
    <e v="#NAME?"/>
    <m/>
    <m/>
    <m/>
    <m/>
    <m/>
    <m/>
  </r>
  <r>
    <s v="C801586"/>
    <s v="SANDRA LILIANA SANCHEZ PULIDO"/>
    <x v="0"/>
    <x v="0"/>
    <s v="BBVA"/>
    <e v="#NAME?"/>
    <x v="3"/>
    <n v="1"/>
    <x v="1"/>
    <s v="Mainframe"/>
    <m/>
    <e v="#NAME?"/>
    <e v="#NAME?"/>
    <e v="#NAME?"/>
    <m/>
    <m/>
    <m/>
    <m/>
    <m/>
    <m/>
  </r>
  <r>
    <s v="CE59142"/>
    <s v="MARTHA LUCIA PORRAS"/>
    <x v="0"/>
    <x v="0"/>
    <s v="Inetum"/>
    <e v="#NAME?"/>
    <x v="3"/>
    <n v="1"/>
    <x v="3"/>
    <s v="Mainframe"/>
    <m/>
    <e v="#NAME?"/>
    <e v="#NAME?"/>
    <e v="#NAME?"/>
    <m/>
    <m/>
    <m/>
    <m/>
    <m/>
    <m/>
  </r>
  <r>
    <s v="CE66182"/>
    <s v="JUAN MARTIN UMAÑA"/>
    <x v="0"/>
    <x v="0"/>
    <s v="Inetum"/>
    <e v="#NAME?"/>
    <x v="3"/>
    <n v="1"/>
    <x v="0"/>
    <s v="Mainframe"/>
    <m/>
    <e v="#NAME?"/>
    <e v="#NAME?"/>
    <e v="#NAME?"/>
    <m/>
    <m/>
    <m/>
    <m/>
    <m/>
    <m/>
  </r>
  <r>
    <s v="CE52790"/>
    <s v="GERMAN ZARRIA MENDEZ"/>
    <x v="0"/>
    <x v="0"/>
    <s v="Inetum"/>
    <e v="#NAME?"/>
    <x v="3"/>
    <n v="1"/>
    <x v="0"/>
    <s v="Mainframe"/>
    <m/>
    <e v="#NAME?"/>
    <e v="#NAME?"/>
    <e v="#NAME?"/>
    <m/>
    <m/>
    <m/>
    <m/>
    <m/>
    <m/>
  </r>
  <r>
    <s v="CE50160"/>
    <s v="CONSUELO MOLINA GUERRERO"/>
    <x v="0"/>
    <x v="0"/>
    <s v="Inetum"/>
    <e v="#NAME?"/>
    <x v="3"/>
    <n v="1"/>
    <x v="0"/>
    <s v="Mainframe"/>
    <m/>
    <e v="#NAME?"/>
    <e v="#NAME?"/>
    <e v="#NAME?"/>
    <m/>
    <m/>
    <m/>
    <m/>
    <m/>
    <m/>
  </r>
  <r>
    <s v="CE57567"/>
    <s v="GIOVANNI ESGUERRA VELANDIA"/>
    <x v="0"/>
    <x v="0"/>
    <s v="Inetum"/>
    <e v="#NAME?"/>
    <x v="3"/>
    <n v="1"/>
    <x v="0"/>
    <s v="Mainframe"/>
    <m/>
    <e v="#NAME?"/>
    <e v="#NAME?"/>
    <e v="#NAME?"/>
    <m/>
    <m/>
    <m/>
    <m/>
    <m/>
    <m/>
  </r>
  <r>
    <s v="CE63508"/>
    <s v="DANNA VALERIA MESA ALFONSO"/>
    <x v="0"/>
    <x v="0"/>
    <s v="Inetum"/>
    <e v="#NAME?"/>
    <x v="3"/>
    <n v="1"/>
    <x v="2"/>
    <s v="Mainframe"/>
    <m/>
    <e v="#NAME?"/>
    <e v="#NAME?"/>
    <e v="#NAME?"/>
    <m/>
    <m/>
    <m/>
    <m/>
    <m/>
    <m/>
  </r>
  <r>
    <s v="C802316"/>
    <s v="CAMILO ALBERTO GARCES BELTRAN"/>
    <x v="1"/>
    <x v="1"/>
    <s v="BBVA"/>
    <e v="#NAME?"/>
    <x v="33"/>
    <n v="0.7"/>
    <x v="0"/>
    <s v="Otras Tec."/>
    <s v="Legacy :power Builder"/>
    <e v="#NAME?"/>
    <e v="#NAME?"/>
    <e v="#NAME?"/>
    <m/>
    <m/>
    <m/>
    <m/>
    <m/>
    <m/>
  </r>
  <r>
    <s v="C802316"/>
    <s v="CAMILO ALBERTO GARCES BELTRAN"/>
    <x v="1"/>
    <x v="1"/>
    <s v="BBVA"/>
    <e v="#NAME?"/>
    <x v="34"/>
    <n v="0.3"/>
    <x v="0"/>
    <s v="Otras Tec."/>
    <s v="Legacy :power Builder"/>
    <e v="#NAME?"/>
    <e v="#NAME?"/>
    <e v="#NAME?"/>
    <m/>
    <m/>
    <m/>
    <m/>
    <m/>
    <m/>
  </r>
  <r>
    <s v="C782982"/>
    <s v="ANA CONSUELO TRASLAVIÑA"/>
    <x v="1"/>
    <x v="1"/>
    <s v="BBVA"/>
    <e v="#NAME?"/>
    <x v="33"/>
    <n v="0.3"/>
    <x v="1"/>
    <s v="Otras Tec."/>
    <s v="Legacy :power Builder"/>
    <e v="#NAME?"/>
    <e v="#NAME?"/>
    <e v="#NAME?"/>
    <m/>
    <m/>
    <m/>
    <m/>
    <m/>
    <m/>
  </r>
  <r>
    <s v="C782982"/>
    <s v="ANA CONSUELO TRASLAVIÑA"/>
    <x v="1"/>
    <x v="1"/>
    <s v="BBVA"/>
    <e v="#NAME?"/>
    <x v="34"/>
    <n v="0.3"/>
    <x v="1"/>
    <s v="Otras Tec."/>
    <s v="Legacy :power Builder"/>
    <e v="#NAME?"/>
    <e v="#NAME?"/>
    <e v="#NAME?"/>
    <m/>
    <m/>
    <m/>
    <m/>
    <m/>
    <m/>
  </r>
  <r>
    <s v="C782982"/>
    <s v="ANA CONSUELO TRASLAVIÑA"/>
    <x v="1"/>
    <x v="1"/>
    <s v="BBVA"/>
    <e v="#NAME?"/>
    <x v="12"/>
    <n v="0.3"/>
    <x v="1"/>
    <s v="Otras Tec."/>
    <s v="Legacy :power Builder"/>
    <e v="#NAME?"/>
    <e v="#NAME?"/>
    <e v="#NAME?"/>
    <m/>
    <m/>
    <m/>
    <m/>
    <m/>
    <m/>
  </r>
  <r>
    <s v="C782982"/>
    <s v="ANA CONSUELO TRASLAVIÑA"/>
    <x v="1"/>
    <x v="1"/>
    <s v="BBVA"/>
    <e v="#NAME?"/>
    <x v="32"/>
    <n v="0.1"/>
    <x v="1"/>
    <s v="Otras Tec."/>
    <s v="Legacy :power Builder"/>
    <e v="#NAME?"/>
    <e v="#NAME?"/>
    <e v="#NAME?"/>
    <m/>
    <m/>
    <m/>
    <m/>
    <m/>
    <m/>
  </r>
  <r>
    <s v="CE43166"/>
    <s v="DEYSON EMIR MURILLO MORENO"/>
    <x v="1"/>
    <x v="1"/>
    <s v="Tecnoevolución"/>
    <e v="#NAME?"/>
    <x v="32"/>
    <n v="0.25"/>
    <x v="1"/>
    <s v="Otras Tec."/>
    <s v="Legacy :power Builder"/>
    <e v="#NAME?"/>
    <e v="#NAME?"/>
    <e v="#NAME?"/>
    <m/>
    <m/>
    <m/>
    <m/>
    <m/>
    <m/>
  </r>
  <r>
    <s v="CE43166"/>
    <s v="DEYSON EMIR MURILLO MORENO"/>
    <x v="1"/>
    <x v="1"/>
    <s v="Tecnoevolución"/>
    <e v="#NAME?"/>
    <x v="12"/>
    <n v="0.25"/>
    <x v="1"/>
    <s v="Otras Tec."/>
    <s v="Legacy :power Builder"/>
    <e v="#NAME?"/>
    <e v="#NAME?"/>
    <e v="#NAME?"/>
    <m/>
    <m/>
    <m/>
    <m/>
    <m/>
    <m/>
  </r>
  <r>
    <s v="CE69376"/>
    <s v="_x0009_LIZETH DUEÑAS"/>
    <x v="1"/>
    <x v="1"/>
    <s v="Tecnoevolución"/>
    <e v="#NAME?"/>
    <x v="32"/>
    <n v="0.25"/>
    <x v="3"/>
    <s v="Otras Tec."/>
    <s v="Legacy :power Builder"/>
    <e v="#NAME?"/>
    <e v="#NAME?"/>
    <e v="#NAME?"/>
    <m/>
    <m/>
    <m/>
    <m/>
    <m/>
    <m/>
  </r>
  <r>
    <s v="CE69376"/>
    <s v="_x0009_LIZETH DUEÑAS"/>
    <x v="1"/>
    <x v="1"/>
    <s v="Tecnoevolución"/>
    <e v="#NAME?"/>
    <x v="12"/>
    <n v="0.25"/>
    <x v="3"/>
    <s v="Otras Tec."/>
    <s v="Legacy :power Builder"/>
    <e v="#NAME?"/>
    <e v="#NAME?"/>
    <e v="#NAME?"/>
    <m/>
    <m/>
    <m/>
    <m/>
    <m/>
    <m/>
  </r>
  <r>
    <s v="CE69380"/>
    <s v="_x0009_DIOCLECIANO LOPÉZ"/>
    <x v="1"/>
    <x v="1"/>
    <s v="Tecnoevolución"/>
    <e v="#NAME?"/>
    <x v="12"/>
    <n v="0.5"/>
    <x v="0"/>
    <s v="Otras Tec."/>
    <s v="Legacy :power Builder"/>
    <e v="#NAME?"/>
    <e v="#NAME?"/>
    <e v="#NAME?"/>
    <m/>
    <m/>
    <m/>
    <m/>
    <m/>
    <m/>
  </r>
  <r>
    <s v="CE69380"/>
    <s v="_x0009_DIOCLECIANO LOPÉZ"/>
    <x v="1"/>
    <x v="1"/>
    <s v="Tecnoevolución"/>
    <e v="#NAME?"/>
    <x v="34"/>
    <n v="0.3"/>
    <x v="0"/>
    <s v="Otras Tec."/>
    <s v="Legacy :power Builder"/>
    <e v="#NAME?"/>
    <e v="#NAME?"/>
    <e v="#NAME?"/>
    <m/>
    <m/>
    <m/>
    <m/>
    <m/>
    <m/>
  </r>
  <r>
    <s v="CE69377"/>
    <s v="CESAR EUCLIDES MURILLO CAICEDO"/>
    <x v="1"/>
    <x v="1"/>
    <s v="Tecnoevolución"/>
    <e v="#NAME?"/>
    <x v="12"/>
    <n v="0.4"/>
    <x v="0"/>
    <s v="Otras Tec."/>
    <s v="Legacy :power Builder"/>
    <e v="#NAME?"/>
    <e v="#NAME?"/>
    <e v="#NAME?"/>
    <m/>
    <m/>
    <m/>
    <m/>
    <m/>
    <m/>
  </r>
  <r>
    <s v="CE64877"/>
    <s v="LUIS GUILLERMO SANCHEZ"/>
    <x v="1"/>
    <x v="1"/>
    <s v="Tecnoevolución"/>
    <e v="#NAME?"/>
    <x v="32"/>
    <n v="0.3"/>
    <x v="0"/>
    <s v="Otras Tec."/>
    <s v="Legacy :power Builder"/>
    <e v="#NAME?"/>
    <e v="#NAME?"/>
    <e v="#NAME?"/>
    <m/>
    <m/>
    <m/>
    <m/>
    <m/>
    <m/>
  </r>
  <r>
    <s v="CE64378"/>
    <s v="SANTIAGO ALEJANDRO CORREDOR"/>
    <x v="1"/>
    <x v="1"/>
    <s v="Tecnoevolución"/>
    <e v="#NAME?"/>
    <x v="33"/>
    <n v="0.25"/>
    <x v="1"/>
    <s v="Otras Tec."/>
    <s v="Legacy :power Builder"/>
    <e v="#NAME?"/>
    <e v="#NAME?"/>
    <e v="#NAME?"/>
    <m/>
    <m/>
    <m/>
    <m/>
    <m/>
    <m/>
  </r>
  <r>
    <s v="CE64378"/>
    <s v="SANTIAGO ALEJANDRO CORREDOR"/>
    <x v="1"/>
    <x v="1"/>
    <s v="Tecnoevolución"/>
    <e v="#NAME?"/>
    <x v="34"/>
    <n v="0.25"/>
    <x v="1"/>
    <s v="Otras Tec."/>
    <s v="Legacy :power Builder"/>
    <e v="#NAME?"/>
    <e v="#NAME?"/>
    <e v="#NAME?"/>
    <m/>
    <m/>
    <m/>
    <m/>
    <m/>
    <m/>
  </r>
  <r>
    <s v="CE55477"/>
    <s v="LIZZETH PAOLA FORERO"/>
    <x v="0"/>
    <x v="4"/>
    <s v="Choucair"/>
    <e v="#NAME?"/>
    <x v="3"/>
    <n v="1"/>
    <x v="2"/>
    <s v="Distribuido"/>
    <m/>
    <e v="#NAME?"/>
    <e v="#NAME?"/>
    <e v="#NAME?"/>
    <m/>
    <m/>
    <m/>
    <m/>
    <m/>
    <m/>
  </r>
  <r>
    <s v="T002794"/>
    <s v="OSVALDO JAVIER LOPEZ CASTILLO"/>
    <x v="0"/>
    <x v="4"/>
    <s v="DIMENSION"/>
    <e v="#NAME?"/>
    <x v="3"/>
    <n v="1"/>
    <x v="0"/>
    <s v="Distribuido"/>
    <m/>
    <e v="#NAME?"/>
    <e v="#NAME?"/>
    <e v="#NAME?"/>
    <m/>
    <m/>
    <m/>
    <m/>
    <m/>
    <m/>
  </r>
  <r>
    <s v="CE69114"/>
    <s v="SERGIO LUIS DIAZ TORO"/>
    <x v="0"/>
    <x v="4"/>
    <s v="DIMENSION"/>
    <e v="#NAME?"/>
    <x v="3"/>
    <n v="1"/>
    <x v="0"/>
    <s v="Distribuido"/>
    <m/>
    <e v="#NAME?"/>
    <e v="#NAME?"/>
    <e v="#NAME?"/>
    <m/>
    <m/>
    <m/>
    <m/>
    <m/>
    <m/>
  </r>
  <r>
    <s v="O001973"/>
    <s v="MANUEL ESTEBAN MORENO"/>
    <x v="0"/>
    <x v="4"/>
    <s v="BBVA"/>
    <e v="#NAME?"/>
    <x v="3"/>
    <n v="1"/>
    <x v="0"/>
    <s v="Distribuido"/>
    <m/>
    <e v="#NAME?"/>
    <e v="#NAME?"/>
    <e v="#NAME?"/>
    <m/>
    <m/>
    <m/>
    <m/>
    <m/>
    <m/>
  </r>
  <r>
    <s v="C805971"/>
    <s v="CARLOS EDUARDO BELLO"/>
    <x v="0"/>
    <x v="4"/>
    <s v="BBVA"/>
    <e v="#NAME?"/>
    <x v="3"/>
    <n v="1"/>
    <x v="0"/>
    <s v="Distribuido"/>
    <m/>
    <e v="#NAME?"/>
    <e v="#NAME?"/>
    <e v="#NAME?"/>
    <m/>
    <m/>
    <m/>
    <m/>
    <m/>
    <m/>
  </r>
  <r>
    <s v="C805925"/>
    <s v="GUSTAVO ANDRES CAMARGO"/>
    <x v="0"/>
    <x v="4"/>
    <s v="BBVA"/>
    <e v="#NAME?"/>
    <x v="3"/>
    <n v="0.75"/>
    <x v="0"/>
    <s v="Otras Tec."/>
    <m/>
    <e v="#NAME?"/>
    <e v="#NAME?"/>
    <e v="#NAME?"/>
    <m/>
    <m/>
    <m/>
    <m/>
    <m/>
    <m/>
  </r>
  <r>
    <s v="C810899"/>
    <s v="BRAYAN JOSE VIVAS GOMEZ"/>
    <x v="0"/>
    <x v="4"/>
    <s v="BBVA"/>
    <e v="#NAME?"/>
    <x v="3"/>
    <n v="1"/>
    <x v="1"/>
    <s v="Distribuido"/>
    <m/>
    <e v="#NAME?"/>
    <e v="#NAME?"/>
    <e v="#NAME?"/>
    <m/>
    <m/>
    <m/>
    <m/>
    <m/>
    <m/>
  </r>
  <r>
    <s v="C802949"/>
    <s v="NESTOR EDUARDO SILVA VERGARA "/>
    <x v="2"/>
    <x v="5"/>
    <s v="BBVA"/>
    <e v="#NAME?"/>
    <x v="3"/>
    <n v="1"/>
    <x v="1"/>
    <s v="Mainframe"/>
    <m/>
    <e v="#NAME?"/>
    <e v="#NAME?"/>
    <e v="#NAME?"/>
    <m/>
    <m/>
    <m/>
    <m/>
    <m/>
    <m/>
  </r>
  <r>
    <s v="O000118"/>
    <s v="JONATHAN ANGEL MURCIA"/>
    <x v="2"/>
    <x v="5"/>
    <s v="BBVA"/>
    <e v="#NAME?"/>
    <x v="3"/>
    <n v="1"/>
    <x v="0"/>
    <s v="Distribuido"/>
    <m/>
    <e v="#NAME?"/>
    <e v="#NAME?"/>
    <e v="#NAME?"/>
    <m/>
    <m/>
    <m/>
    <m/>
    <m/>
    <m/>
  </r>
  <r>
    <s v="O001384"/>
    <s v="JUAN DAVID GONZALEZ MONROY"/>
    <x v="2"/>
    <x v="5"/>
    <s v="BBVA"/>
    <e v="#NAME?"/>
    <x v="3"/>
    <n v="1"/>
    <x v="0"/>
    <s v="Mainframe"/>
    <m/>
    <e v="#NAME?"/>
    <e v="#NAME?"/>
    <e v="#NAME?"/>
    <m/>
    <m/>
    <m/>
    <m/>
    <m/>
    <m/>
  </r>
  <r>
    <s v="T002204"/>
    <s v="CARLOS ANDRES BETANCUR MARIN"/>
    <x v="2"/>
    <x v="5"/>
    <s v="Indra"/>
    <e v="#NAME?"/>
    <x v="3"/>
    <n v="1"/>
    <x v="1"/>
    <s v="Mainframe"/>
    <m/>
    <e v="#NAME?"/>
    <e v="#NAME?"/>
    <e v="#NAME?"/>
    <m/>
    <m/>
    <m/>
    <m/>
    <m/>
    <m/>
  </r>
  <r>
    <s v="CE64919"/>
    <s v="MYRIAM GARCIA HERNANDEZ"/>
    <x v="2"/>
    <x v="5"/>
    <s v="Indra"/>
    <e v="#NAME?"/>
    <x v="3"/>
    <n v="1"/>
    <x v="0"/>
    <s v="Mainframe"/>
    <m/>
    <e v="#NAME?"/>
    <e v="#NAME?"/>
    <e v="#NAME?"/>
    <m/>
    <m/>
    <m/>
    <m/>
    <m/>
    <m/>
  </r>
  <r>
    <s v="CE68692"/>
    <s v="JORGE ROBINSON MENESES GUTIERREZ"/>
    <x v="2"/>
    <x v="5"/>
    <s v="Indra"/>
    <e v="#NAME?"/>
    <x v="3"/>
    <n v="1"/>
    <x v="0"/>
    <s v="Distribuido"/>
    <m/>
    <e v="#NAME?"/>
    <e v="#NAME?"/>
    <e v="#NAME?"/>
    <m/>
    <m/>
    <m/>
    <m/>
    <m/>
    <m/>
  </r>
  <r>
    <s v="CE62655"/>
    <s v="DIEGO FRANCISCO FLORES DIAZ"/>
    <x v="2"/>
    <x v="5"/>
    <s v="Indra"/>
    <e v="#NAME?"/>
    <x v="3"/>
    <n v="1"/>
    <x v="0"/>
    <s v="Distribuido"/>
    <m/>
    <e v="#NAME?"/>
    <e v="#NAME?"/>
    <e v="#NAME?"/>
    <m/>
    <m/>
    <m/>
    <m/>
    <m/>
    <m/>
  </r>
  <r>
    <s v="CE60804"/>
    <s v="ALVARO IVAN BARRIOS PINEDA"/>
    <x v="2"/>
    <x v="5"/>
    <s v="Indra"/>
    <e v="#NAME?"/>
    <x v="3"/>
    <n v="0.5"/>
    <x v="0"/>
    <s v="Mainframe"/>
    <s v="Se comparte con Torre de Analitycs "/>
    <e v="#NAME?"/>
    <e v="#NAME?"/>
    <e v="#NAME?"/>
    <m/>
    <m/>
    <m/>
    <m/>
    <m/>
    <m/>
  </r>
  <r>
    <s v="CE66288"/>
    <s v="LAURA VALENTINA RINCON RODRIGUEZ"/>
    <x v="2"/>
    <x v="5"/>
    <s v="GGI / CMC"/>
    <e v="#NAME?"/>
    <x v="3"/>
    <n v="1"/>
    <x v="2"/>
    <s v="Mainframe"/>
    <m/>
    <e v="#NAME?"/>
    <e v="#NAME?"/>
    <e v="#NAME?"/>
    <m/>
    <m/>
    <m/>
    <m/>
    <m/>
    <m/>
  </r>
  <r>
    <s v="O003229"/>
    <s v="ARMANDO RAFAEL VASQUEZ ALTAMAR"/>
    <x v="2"/>
    <x v="6"/>
    <s v="BBVA"/>
    <e v="#NAME?"/>
    <x v="35"/>
    <n v="0.1"/>
    <x v="1"/>
    <s v="Otras Tec."/>
    <m/>
    <e v="#NAME?"/>
    <e v="#NAME?"/>
    <e v="#NAME?"/>
    <m/>
    <m/>
    <m/>
    <m/>
    <m/>
    <m/>
  </r>
  <r>
    <s v="O003229"/>
    <s v="ARMANDO RAFAEL VASQUEZ ALTAMAR"/>
    <x v="2"/>
    <x v="6"/>
    <s v="BBVA"/>
    <e v="#NAME?"/>
    <x v="36"/>
    <n v="0.1"/>
    <x v="1"/>
    <s v="Otras Tec."/>
    <m/>
    <e v="#NAME?"/>
    <e v="#NAME?"/>
    <e v="#NAME?"/>
    <m/>
    <m/>
    <m/>
    <m/>
    <m/>
    <m/>
  </r>
  <r>
    <s v="O003229"/>
    <s v="ARMANDO RAFAEL VASQUEZ ALTAMAR"/>
    <x v="2"/>
    <x v="6"/>
    <s v="BBVA"/>
    <e v="#NAME?"/>
    <x v="37"/>
    <n v="0.1"/>
    <x v="1"/>
    <s v="Otras Tec."/>
    <m/>
    <e v="#NAME?"/>
    <e v="#NAME?"/>
    <e v="#NAME?"/>
    <m/>
    <m/>
    <m/>
    <m/>
    <m/>
    <m/>
  </r>
  <r>
    <s v="O003229"/>
    <s v="ARMANDO RAFAEL VASQUEZ ALTAMAR"/>
    <x v="2"/>
    <x v="6"/>
    <s v="BBVA"/>
    <e v="#NAME?"/>
    <x v="38"/>
    <n v="0.25"/>
    <x v="1"/>
    <s v="Otras Tec."/>
    <m/>
    <e v="#NAME?"/>
    <e v="#NAME?"/>
    <e v="#NAME?"/>
    <m/>
    <m/>
    <m/>
    <m/>
    <m/>
    <m/>
  </r>
  <r>
    <s v="O003230"/>
    <s v="ARMANDO RAFAEL VASQUEZ ALTAMAR"/>
    <x v="2"/>
    <x v="6"/>
    <s v="BBVA"/>
    <e v="#NAME?"/>
    <x v="39"/>
    <n v="0.25"/>
    <x v="1"/>
    <s v="Otras Tec."/>
    <m/>
    <e v="#NAME?"/>
    <e v="#NAME?"/>
    <e v="#NAME?"/>
    <m/>
    <m/>
    <m/>
    <m/>
    <m/>
    <m/>
  </r>
  <r>
    <s v="O003231"/>
    <s v="ARMANDO RAFAEL VASQUEZ ALTAMAR"/>
    <x v="2"/>
    <x v="6"/>
    <s v="BBVA"/>
    <e v="#NAME?"/>
    <x v="40"/>
    <n v="0.1"/>
    <x v="1"/>
    <s v="Otras Tec."/>
    <m/>
    <e v="#NAME?"/>
    <e v="#NAME?"/>
    <e v="#NAME?"/>
    <m/>
    <m/>
    <m/>
    <m/>
    <m/>
    <m/>
  </r>
  <r>
    <s v="O003232"/>
    <s v="ARMANDO RAFAEL VASQUEZ ALTAMAR"/>
    <x v="2"/>
    <x v="6"/>
    <s v="BBVA"/>
    <e v="#NAME?"/>
    <x v="41"/>
    <n v="0.1"/>
    <x v="1"/>
    <s v="Otras Tec."/>
    <m/>
    <e v="#NAME?"/>
    <e v="#NAME?"/>
    <e v="#NAME?"/>
    <m/>
    <m/>
    <m/>
    <m/>
    <m/>
    <m/>
  </r>
  <r>
    <s v="C811263"/>
    <s v="Cardozo Castro Diana Carolina"/>
    <x v="2"/>
    <x v="6"/>
    <s v="BBVA"/>
    <e v="#NAME?"/>
    <x v="38"/>
    <n v="0.5"/>
    <x v="0"/>
    <s v="Otras Tec."/>
    <m/>
    <e v="#NAME?"/>
    <e v="#NAME?"/>
    <e v="#NAME?"/>
    <m/>
    <m/>
    <m/>
    <m/>
    <m/>
    <m/>
  </r>
  <r>
    <s v="C811263"/>
    <s v="Cardozo Castro Diana Carolina"/>
    <x v="2"/>
    <x v="6"/>
    <s v="BBVA"/>
    <e v="#NAME?"/>
    <x v="39"/>
    <n v="0.5"/>
    <x v="0"/>
    <s v="Otras Tec."/>
    <m/>
    <e v="#NAME?"/>
    <e v="#NAME?"/>
    <e v="#NAME?"/>
    <m/>
    <m/>
    <m/>
    <m/>
    <m/>
    <m/>
  </r>
  <r>
    <s v="T010294"/>
    <s v="Carlos Andres De la pava Jimenez"/>
    <x v="2"/>
    <x v="6"/>
    <s v="Novatec"/>
    <e v="#NAME?"/>
    <x v="35"/>
    <n v="1"/>
    <x v="0"/>
    <s v="Otras Tec."/>
    <s v="Este Proyecto contiene  ASO, APX, CELLS, GCP"/>
    <e v="#NAME?"/>
    <e v="#NAME?"/>
    <e v="#NAME?"/>
    <m/>
    <m/>
    <m/>
    <m/>
    <m/>
    <m/>
  </r>
  <r>
    <s v="C341767"/>
    <s v="Cipagauta Rodriguez Edwin Guillermo"/>
    <x v="2"/>
    <x v="6"/>
    <s v="BBVA"/>
    <e v="#NAME?"/>
    <x v="37"/>
    <n v="0.5"/>
    <x v="0"/>
    <s v="Otras Tec."/>
    <m/>
    <e v="#NAME?"/>
    <e v="#NAME?"/>
    <e v="#NAME?"/>
    <m/>
    <m/>
    <m/>
    <m/>
    <m/>
    <m/>
  </r>
  <r>
    <s v="C341767"/>
    <s v="Cipagauta Rodriguez Edwin Guillermo"/>
    <x v="2"/>
    <x v="6"/>
    <s v="BBVA"/>
    <e v="#NAME?"/>
    <x v="41"/>
    <n v="0.25"/>
    <x v="0"/>
    <s v="Otras Tec."/>
    <m/>
    <e v="#NAME?"/>
    <e v="#NAME?"/>
    <e v="#NAME?"/>
    <m/>
    <m/>
    <m/>
    <m/>
    <m/>
    <m/>
  </r>
  <r>
    <s v="C341767"/>
    <s v="Cipagauta Rodriguez Edwin Guillermo"/>
    <x v="2"/>
    <x v="6"/>
    <s v="BBVA"/>
    <e v="#NAME?"/>
    <x v="40"/>
    <n v="0.25"/>
    <x v="3"/>
    <s v="Otras Tec."/>
    <m/>
    <e v="#NAME?"/>
    <e v="#NAME?"/>
    <e v="#NAME?"/>
    <m/>
    <m/>
    <m/>
    <m/>
    <m/>
    <m/>
  </r>
  <r>
    <s v="T002802"/>
    <s v="Diego Andrés Mateus Triana"/>
    <x v="2"/>
    <x v="6"/>
    <s v="Novatec"/>
    <e v="#NAME?"/>
    <x v="35"/>
    <n v="1"/>
    <x v="0"/>
    <s v="Otras Tec."/>
    <s v="Este Proyecto contiene  ASO, APX, CELLS, GCP"/>
    <e v="#NAME?"/>
    <e v="#NAME?"/>
    <e v="#NAME?"/>
    <m/>
    <m/>
    <m/>
    <m/>
    <m/>
    <m/>
  </r>
  <r>
    <s v="T010289"/>
    <s v="Ever Alexander Bravo Vergara"/>
    <x v="2"/>
    <x v="6"/>
    <s v="Novatec"/>
    <e v="#NAME?"/>
    <x v="35"/>
    <n v="1"/>
    <x v="0"/>
    <s v="Otras Tec."/>
    <s v="Este Proyecto contiene  ASO, APX, CELLS, GCP"/>
    <e v="#NAME?"/>
    <e v="#NAME?"/>
    <e v="#NAME?"/>
    <m/>
    <m/>
    <m/>
    <m/>
    <m/>
    <m/>
  </r>
  <r>
    <s v="CE70901"/>
    <s v="JUAN SEBASTIAN SANCHEZ"/>
    <x v="2"/>
    <x v="6"/>
    <s v="Novatec"/>
    <e v="#NAME?"/>
    <x v="35"/>
    <n v="1"/>
    <x v="0"/>
    <s v="Otras Tec."/>
    <s v="Este Proyecto contiene  ASO, APX, CELLS, GCP"/>
    <e v="#NAME?"/>
    <e v="#NAME?"/>
    <e v="#NAME?"/>
    <m/>
    <m/>
    <m/>
    <m/>
    <m/>
    <m/>
  </r>
  <r>
    <s v="T002449"/>
    <s v="Manuel Camilo Sanchez Sevilla"/>
    <x v="2"/>
    <x v="6"/>
    <s v="Novatec"/>
    <e v="#NAME?"/>
    <x v="35"/>
    <n v="1"/>
    <x v="0"/>
    <s v="Otras Tec."/>
    <s v="Este Proyecto contiene  ASO, APX, CELLS, GCP"/>
    <e v="#NAME?"/>
    <e v="#NAME?"/>
    <e v="#NAME?"/>
    <m/>
    <m/>
    <m/>
    <m/>
    <m/>
    <m/>
  </r>
  <r>
    <s v="C811290"/>
    <s v="Montana Castro Camilo Arturo"/>
    <x v="2"/>
    <x v="6"/>
    <s v="BBVA"/>
    <e v="#NAME?"/>
    <x v="36"/>
    <n v="1"/>
    <x v="0"/>
    <s v="Otras Tec."/>
    <s v="Proyecto con dos feature"/>
    <e v="#NAME?"/>
    <e v="#NAME?"/>
    <e v="#NAME?"/>
    <m/>
    <m/>
    <m/>
    <m/>
    <m/>
    <m/>
  </r>
  <r>
    <s v="C804221"/>
    <s v="Quiroz Munoz Bryan Antonio"/>
    <x v="2"/>
    <x v="6"/>
    <s v="BBVA"/>
    <e v="#NAME?"/>
    <x v="35"/>
    <n v="1"/>
    <x v="0"/>
    <s v="Otras Tec."/>
    <s v="Este proyecto contiene  ASO, APX, CELLS, GCP_x000a_Proyecto con 2 feature"/>
    <e v="#NAME?"/>
    <e v="#NAME?"/>
    <e v="#NAME?"/>
    <m/>
    <m/>
    <m/>
    <m/>
    <m/>
    <m/>
  </r>
  <r>
    <s v="CE66796"/>
    <s v="SANTIAGO SALAS CARRERA"/>
    <x v="2"/>
    <x v="6"/>
    <s v="Novatec"/>
    <e v="#NAME?"/>
    <x v="35"/>
    <n v="1"/>
    <x v="0"/>
    <s v="Otras Tec."/>
    <s v="Este Proyecto contiene  ASO, APX, CELLS, GCP"/>
    <e v="#NAME?"/>
    <e v="#NAME?"/>
    <e v="#NAME?"/>
    <m/>
    <m/>
    <m/>
    <m/>
    <m/>
    <m/>
  </r>
  <r>
    <s v="C805333"/>
    <s v="Torres Laguado Juan Sebastian"/>
    <x v="2"/>
    <x v="6"/>
    <s v="BBVA"/>
    <e v="#NAME?"/>
    <x v="35"/>
    <n v="1"/>
    <x v="0"/>
    <s v="Otras Tec."/>
    <s v="Este proyecto contiene  ASO, APX, CELLS, GCP_x000a_Proyecto con 2 feature"/>
    <e v="#NAME?"/>
    <e v="#NAME?"/>
    <e v="#NAME?"/>
    <m/>
    <m/>
    <m/>
    <m/>
    <m/>
    <m/>
  </r>
  <r>
    <s v="T010288"/>
    <s v="yeison andres consuegra vega"/>
    <x v="2"/>
    <x v="6"/>
    <s v="Novatec"/>
    <e v="#NAME?"/>
    <x v="35"/>
    <n v="1"/>
    <x v="0"/>
    <s v="Otras Tec."/>
    <s v="Este Proyecto contiene  ASO, APX, CELLS, GCP"/>
    <e v="#NAME?"/>
    <e v="#NAME?"/>
    <e v="#NAME?"/>
    <m/>
    <m/>
    <m/>
    <m/>
    <m/>
    <m/>
  </r>
  <r>
    <s v="T003286"/>
    <s v="YURI VALENTINA MUÑOZ"/>
    <x v="2"/>
    <x v="6"/>
    <s v="Novatec"/>
    <e v="#NAME?"/>
    <x v="35"/>
    <n v="1"/>
    <x v="0"/>
    <s v="Otras Tec."/>
    <s v="Este Proyecto contiene  ASO, APX, CELLS, GCP"/>
    <e v="#NAME?"/>
    <e v="#NAME?"/>
    <e v="#NAME?"/>
    <m/>
    <m/>
    <m/>
    <m/>
    <m/>
    <m/>
  </r>
  <r>
    <s v="C783729"/>
    <s v="MIGUEL ANTONIO GUIO ESPINOSA "/>
    <x v="2"/>
    <x v="7"/>
    <s v="BBVA"/>
    <e v="#NAME?"/>
    <x v="42"/>
    <n v="0.4"/>
    <x v="1"/>
    <s v="Otras Tec."/>
    <m/>
    <e v="#NAME?"/>
    <e v="#NAME?"/>
    <e v="#NAME?"/>
    <m/>
    <m/>
    <m/>
    <m/>
    <m/>
    <m/>
  </r>
  <r>
    <s v="C783729"/>
    <s v="MIGUEL ANTONIO GUIO ESPINOSA "/>
    <x v="2"/>
    <x v="7"/>
    <s v="BBVA"/>
    <e v="#NAME?"/>
    <x v="43"/>
    <n v="0.1"/>
    <x v="1"/>
    <s v="Otras Tec."/>
    <s v="Usuario  lo presentara en el WG del 30/03/2023"/>
    <e v="#NAME?"/>
    <e v="#NAME?"/>
    <e v="#NAME?"/>
    <m/>
    <m/>
    <m/>
    <m/>
    <m/>
    <m/>
  </r>
  <r>
    <s v="C783729"/>
    <s v="MIGUEL ANTONIO GUIO ESPINOSA "/>
    <x v="2"/>
    <x v="7"/>
    <s v="BBVA"/>
    <e v="#NAME?"/>
    <x v="44"/>
    <n v="0.1"/>
    <x v="1"/>
    <s v="Otras Tec."/>
    <m/>
    <e v="#NAME?"/>
    <e v="#NAME?"/>
    <e v="#NAME?"/>
    <m/>
    <m/>
    <m/>
    <m/>
    <m/>
    <m/>
  </r>
  <r>
    <s v="C783729"/>
    <s v="MIGUEL ANTONIO GUIO ESPINOSA "/>
    <x v="2"/>
    <x v="7"/>
    <s v="BBVA"/>
    <e v="#NAME?"/>
    <x v="45"/>
    <n v="0.2"/>
    <x v="1"/>
    <s v="Otras Tec."/>
    <m/>
    <e v="#NAME?"/>
    <e v="#NAME?"/>
    <e v="#NAME?"/>
    <m/>
    <m/>
    <m/>
    <m/>
    <m/>
    <m/>
  </r>
  <r>
    <s v="C783729"/>
    <s v="MIGUEL ANTONIO GUIO ESPINOSA "/>
    <x v="2"/>
    <x v="7"/>
    <s v="BBVA"/>
    <e v="#NAME?"/>
    <x v="46"/>
    <n v="0.1"/>
    <x v="1"/>
    <s v="Otras Tec."/>
    <m/>
    <e v="#NAME?"/>
    <e v="#NAME?"/>
    <e v="#NAME?"/>
    <m/>
    <m/>
    <m/>
    <m/>
    <m/>
    <m/>
  </r>
  <r>
    <s v="C783729"/>
    <s v="MIGUEL ANTONIO GUIO ESPINOSA "/>
    <x v="2"/>
    <x v="7"/>
    <s v="BBVA"/>
    <e v="#NAME?"/>
    <x v="47"/>
    <n v="0.1"/>
    <x v="1"/>
    <s v="Otras Tec."/>
    <m/>
    <e v="#NAME?"/>
    <e v="#NAME?"/>
    <e v="#NAME?"/>
    <m/>
    <m/>
    <m/>
    <m/>
    <m/>
    <m/>
  </r>
  <r>
    <s v="C808788"/>
    <s v="Pena Agudelo Rosario Elena"/>
    <x v="2"/>
    <x v="7"/>
    <s v="BBVA"/>
    <e v="#NAME?"/>
    <x v="42"/>
    <n v="0.4"/>
    <x v="0"/>
    <s v="Distribuido"/>
    <m/>
    <e v="#NAME?"/>
    <e v="#NAME?"/>
    <e v="#NAME?"/>
    <m/>
    <m/>
    <m/>
    <m/>
    <m/>
    <m/>
  </r>
  <r>
    <s v="C808788"/>
    <s v="Pena Agudelo Rosario Elena"/>
    <x v="2"/>
    <x v="7"/>
    <s v="BBVA"/>
    <e v="#NAME?"/>
    <x v="43"/>
    <n v="0.1"/>
    <x v="0"/>
    <s v="Distribuido"/>
    <s v="Usuario  lo presentara en el WG del 30/03/2023"/>
    <e v="#NAME?"/>
    <e v="#NAME?"/>
    <e v="#NAME?"/>
    <m/>
    <m/>
    <m/>
    <m/>
    <m/>
    <m/>
  </r>
  <r>
    <s v="C808788"/>
    <s v="Pena Agudelo Rosario Elena"/>
    <x v="2"/>
    <x v="7"/>
    <s v="BBVA"/>
    <e v="#NAME?"/>
    <x v="44"/>
    <n v="0.1"/>
    <x v="0"/>
    <s v="Distribuido"/>
    <m/>
    <e v="#NAME?"/>
    <e v="#NAME?"/>
    <e v="#NAME?"/>
    <m/>
    <m/>
    <m/>
    <m/>
    <m/>
    <m/>
  </r>
  <r>
    <s v="C808788"/>
    <s v="Pena Agudelo Rosario Elena"/>
    <x v="2"/>
    <x v="7"/>
    <s v="BBVA"/>
    <e v="#NAME?"/>
    <x v="45"/>
    <n v="0.4"/>
    <x v="0"/>
    <s v="Distribuido"/>
    <m/>
    <e v="#NAME?"/>
    <e v="#NAME?"/>
    <e v="#NAME?"/>
    <m/>
    <m/>
    <m/>
    <m/>
    <m/>
    <m/>
  </r>
  <r>
    <s v="C809493"/>
    <s v="Guzman Gonzalez Jorge Enrique"/>
    <x v="2"/>
    <x v="7"/>
    <s v="BBVA"/>
    <e v="#NAME?"/>
    <x v="42"/>
    <n v="0.3"/>
    <x v="0"/>
    <s v="Mainframe"/>
    <m/>
    <e v="#NAME?"/>
    <e v="#NAME?"/>
    <e v="#NAME?"/>
    <m/>
    <m/>
    <m/>
    <m/>
    <m/>
    <m/>
  </r>
  <r>
    <s v="C809493"/>
    <s v="Guzman Gonzalez Jorge Enrique"/>
    <x v="2"/>
    <x v="7"/>
    <s v="BBVA"/>
    <e v="#NAME?"/>
    <x v="47"/>
    <n v="0.1"/>
    <x v="0"/>
    <s v="Mainframe"/>
    <m/>
    <e v="#NAME?"/>
    <e v="#NAME?"/>
    <e v="#NAME?"/>
    <m/>
    <m/>
    <m/>
    <m/>
    <m/>
    <m/>
  </r>
  <r>
    <s v="C809493"/>
    <s v="Guzman Gonzalez Jorge Enrique"/>
    <x v="2"/>
    <x v="7"/>
    <s v="BBVA"/>
    <e v="#NAME?"/>
    <x v="45"/>
    <n v="0.5"/>
    <x v="0"/>
    <s v="Mainframe"/>
    <m/>
    <e v="#NAME?"/>
    <e v="#NAME?"/>
    <e v="#NAME?"/>
    <m/>
    <m/>
    <m/>
    <m/>
    <m/>
    <m/>
  </r>
  <r>
    <s v="C809493"/>
    <s v="Guzman Gonzalez Jorge Enrique"/>
    <x v="2"/>
    <x v="7"/>
    <s v="BBVA"/>
    <e v="#NAME?"/>
    <x v="46"/>
    <n v="0.1"/>
    <x v="0"/>
    <s v="Mainframe"/>
    <m/>
    <e v="#NAME?"/>
    <e v="#NAME?"/>
    <e v="#NAME?"/>
    <m/>
    <m/>
    <m/>
    <m/>
    <m/>
    <m/>
  </r>
  <r>
    <s v="O002594"/>
    <s v="CRISTIAN DAVID VARGAS SIERRA"/>
    <x v="2"/>
    <x v="7"/>
    <s v="BBVA"/>
    <e v="#NAME?"/>
    <x v="45"/>
    <n v="0.4"/>
    <x v="0"/>
    <s v="Mainframe"/>
    <m/>
    <e v="#NAME?"/>
    <e v="#NAME?"/>
    <e v="#NAME?"/>
    <m/>
    <m/>
    <m/>
    <m/>
    <m/>
    <m/>
  </r>
  <r>
    <s v="O002594"/>
    <s v="CRISTIAN DAVID VARGAS SIERRA"/>
    <x v="2"/>
    <x v="7"/>
    <s v="BBVA"/>
    <e v="#NAME?"/>
    <x v="46"/>
    <n v="0.3"/>
    <x v="0"/>
    <s v="Mainframe"/>
    <m/>
    <e v="#NAME?"/>
    <e v="#NAME?"/>
    <e v="#NAME?"/>
    <m/>
    <m/>
    <m/>
    <m/>
    <m/>
    <m/>
  </r>
  <r>
    <s v="O002594"/>
    <s v="CRISTIAN DAVID VARGAS SIERRA"/>
    <x v="2"/>
    <x v="7"/>
    <s v="BBVA"/>
    <e v="#NAME?"/>
    <x v="47"/>
    <n v="0.3"/>
    <x v="0"/>
    <s v="Mainframe"/>
    <m/>
    <e v="#NAME?"/>
    <e v="#NAME?"/>
    <e v="#NAME?"/>
    <m/>
    <m/>
    <m/>
    <m/>
    <m/>
    <m/>
  </r>
  <r>
    <s v="CE63761"/>
    <s v="Carlos Andres Cely Vergara"/>
    <x v="2"/>
    <x v="7"/>
    <s v="MS"/>
    <e v="#NAME?"/>
    <x v="42"/>
    <n v="1"/>
    <x v="0"/>
    <s v="Distribuido"/>
    <m/>
    <e v="#NAME?"/>
    <e v="#NAME?"/>
    <e v="#NAME?"/>
    <m/>
    <m/>
    <m/>
    <m/>
    <m/>
    <m/>
  </r>
  <r>
    <s v="T002735"/>
    <s v="CASTELLANOS RODRIGUEZ EDUARDO"/>
    <x v="2"/>
    <x v="7"/>
    <s v="CAPGEMINI"/>
    <e v="#NAME?"/>
    <x v="42"/>
    <n v="1"/>
    <x v="0"/>
    <s v="Distribuido"/>
    <m/>
    <e v="#NAME?"/>
    <e v="#NAME?"/>
    <e v="#NAME?"/>
    <m/>
    <m/>
    <m/>
    <m/>
    <m/>
    <m/>
  </r>
  <r>
    <s v="T005769"/>
    <s v="Cesar Argenis Ruano Hernandez"/>
    <x v="2"/>
    <x v="7"/>
    <s v="CAPGEMINI"/>
    <e v="#NAME?"/>
    <x v="42"/>
    <n v="1"/>
    <x v="0"/>
    <s v="Distribuido"/>
    <m/>
    <e v="#NAME?"/>
    <e v="#NAME?"/>
    <e v="#NAME?"/>
    <m/>
    <m/>
    <m/>
    <m/>
    <m/>
    <m/>
  </r>
  <r>
    <s v="CE62655"/>
    <s v="Diego Francisco Florez Diaz"/>
    <x v="2"/>
    <x v="7"/>
    <s v="Indra"/>
    <e v="#NAME?"/>
    <x v="48"/>
    <n v="0.5"/>
    <x v="0"/>
    <s v="Distribuido"/>
    <m/>
    <e v="#NAME?"/>
    <e v="#NAME?"/>
    <e v="#NAME?"/>
    <m/>
    <m/>
    <m/>
    <m/>
    <m/>
    <m/>
  </r>
  <r>
    <s v="T005766"/>
    <s v="Iván Jonathan Romero Medina"/>
    <x v="2"/>
    <x v="7"/>
    <s v="CAPGEMINI"/>
    <e v="#NAME?"/>
    <x v="42"/>
    <n v="1"/>
    <x v="0"/>
    <s v="Distribuido"/>
    <m/>
    <e v="#NAME?"/>
    <e v="#NAME?"/>
    <e v="#NAME?"/>
    <m/>
    <m/>
    <m/>
    <m/>
    <m/>
    <m/>
  </r>
  <r>
    <s v="CE56090"/>
    <s v="Jeisson Andres Tequia Rincon"/>
    <x v="2"/>
    <x v="7"/>
    <s v="MS"/>
    <e v="#NAME?"/>
    <x v="42"/>
    <n v="1"/>
    <x v="0"/>
    <s v="Distribuido"/>
    <m/>
    <e v="#NAME?"/>
    <e v="#NAME?"/>
    <e v="#NAME?"/>
    <m/>
    <m/>
    <m/>
    <m/>
    <m/>
    <m/>
  </r>
  <r>
    <s v="T002734"/>
    <s v="MORENO MUNOZ EMMANUEL"/>
    <x v="2"/>
    <x v="7"/>
    <s v="CAPGEMINI"/>
    <e v="#NAME?"/>
    <x v="42"/>
    <n v="1"/>
    <x v="0"/>
    <s v="Distribuido"/>
    <m/>
    <e v="#NAME?"/>
    <e v="#NAME?"/>
    <e v="#NAME?"/>
    <m/>
    <m/>
    <m/>
    <m/>
    <m/>
    <m/>
  </r>
  <r>
    <s v="T005765"/>
    <s v="Niteen Kumar Kanaiya"/>
    <x v="2"/>
    <x v="7"/>
    <s v="CAPGEMINI"/>
    <e v="#NAME?"/>
    <x v="42"/>
    <n v="1"/>
    <x v="0"/>
    <s v="Distribuido"/>
    <m/>
    <e v="#NAME?"/>
    <e v="#NAME?"/>
    <e v="#NAME?"/>
    <m/>
    <m/>
    <m/>
    <m/>
    <m/>
    <m/>
  </r>
  <r>
    <s v="T005931"/>
    <s v="DANIEL MAURICIO RIANO PEDRAZA_x000a_"/>
    <x v="2"/>
    <x v="7"/>
    <s v="GGI / CMC"/>
    <e v="#NAME?"/>
    <x v="42"/>
    <n v="0.1"/>
    <x v="2"/>
    <s v="Mainframe"/>
    <m/>
    <e v="#NAME?"/>
    <e v="#NAME?"/>
    <e v="#NAME?"/>
    <m/>
    <m/>
    <m/>
    <m/>
    <m/>
    <m/>
  </r>
  <r>
    <s v="T005931"/>
    <s v="DANIEL MAURICIO RIANO PEDRAZA_x000a_"/>
    <x v="2"/>
    <x v="7"/>
    <s v="GGI / CMC"/>
    <e v="#NAME?"/>
    <x v="43"/>
    <n v="0.1"/>
    <x v="2"/>
    <s v="Mainframe"/>
    <s v="Usuario  lo presentara en el WG del 30/03/2023"/>
    <e v="#NAME?"/>
    <e v="#NAME?"/>
    <e v="#NAME?"/>
    <m/>
    <m/>
    <m/>
    <m/>
    <m/>
    <m/>
  </r>
  <r>
    <s v="T005931"/>
    <s v="DANIEL MAURICIO RIANO PEDRAZA_x000a_"/>
    <x v="2"/>
    <x v="7"/>
    <s v="GGI / CMC"/>
    <e v="#NAME?"/>
    <x v="45"/>
    <n v="0.1"/>
    <x v="2"/>
    <s v="Mainframe"/>
    <m/>
    <e v="#NAME?"/>
    <e v="#NAME?"/>
    <e v="#NAME?"/>
    <m/>
    <m/>
    <m/>
    <m/>
    <m/>
    <m/>
  </r>
  <r>
    <s v="T005931"/>
    <s v="DANIEL MAURICIO RIANO PEDRAZA_x000a_"/>
    <x v="2"/>
    <x v="7"/>
    <s v="GGI / CMC"/>
    <e v="#NAME?"/>
    <x v="46"/>
    <n v="0.1"/>
    <x v="2"/>
    <s v="Mainframe"/>
    <m/>
    <e v="#NAME?"/>
    <e v="#NAME?"/>
    <e v="#NAME?"/>
    <m/>
    <m/>
    <m/>
    <m/>
    <m/>
    <m/>
  </r>
  <r>
    <s v="CE68547"/>
    <s v="JOSE ROBERTO GONZALEZ MELO_x000a_"/>
    <x v="2"/>
    <x v="7"/>
    <s v="KRYPTO"/>
    <e v="#NAME?"/>
    <x v="42"/>
    <n v="0.1"/>
    <x v="2"/>
    <s v="Mainframe"/>
    <m/>
    <e v="#NAME?"/>
    <e v="#NAME?"/>
    <e v="#NAME?"/>
    <m/>
    <m/>
    <m/>
    <m/>
    <m/>
    <m/>
  </r>
  <r>
    <s v="CE68547"/>
    <s v="JOSE ROBERTO GONZALEZ MELO_x000a_"/>
    <x v="2"/>
    <x v="7"/>
    <s v="KRYPTO"/>
    <e v="#NAME?"/>
    <x v="43"/>
    <n v="0.1"/>
    <x v="2"/>
    <s v="Mainframe"/>
    <s v="Usuario  lo presentara en el WG del 30/03/2023"/>
    <e v="#NAME?"/>
    <e v="#NAME?"/>
    <e v="#NAME?"/>
    <m/>
    <m/>
    <m/>
    <m/>
    <m/>
    <m/>
  </r>
  <r>
    <s v="CE68547"/>
    <s v="JOSE ROBERTO GONZALEZ MELO_x000a_"/>
    <x v="2"/>
    <x v="7"/>
    <s v="KRYPTO"/>
    <e v="#NAME?"/>
    <x v="45"/>
    <n v="0.1"/>
    <x v="2"/>
    <s v="Mainframe"/>
    <m/>
    <e v="#NAME?"/>
    <e v="#NAME?"/>
    <e v="#NAME?"/>
    <m/>
    <m/>
    <m/>
    <m/>
    <m/>
    <m/>
  </r>
  <r>
    <s v="CE68547"/>
    <s v="JOSE ROBERTO GONZALEZ MELO_x000a_"/>
    <x v="2"/>
    <x v="7"/>
    <s v="KRYPTO"/>
    <e v="#NAME?"/>
    <x v="46"/>
    <n v="0.1"/>
    <x v="2"/>
    <s v="Mainframe"/>
    <m/>
    <e v="#NAME?"/>
    <e v="#NAME?"/>
    <e v="#NAME?"/>
    <m/>
    <m/>
    <m/>
    <m/>
    <m/>
    <m/>
  </r>
  <r>
    <s v="CE46213"/>
    <s v="DANIEL ANTONIO CAMACHO ARIZA"/>
    <x v="2"/>
    <x v="7"/>
    <s v="Neoris"/>
    <e v="#NAME?"/>
    <x v="45"/>
    <n v="1"/>
    <x v="0"/>
    <s v="Mainframe"/>
    <m/>
    <e v="#NAME?"/>
    <e v="#NAME?"/>
    <e v="#NAME?"/>
    <m/>
    <m/>
    <m/>
    <m/>
    <m/>
    <m/>
  </r>
  <r>
    <s v="T000603"/>
    <s v="JEISSON ANDRES RUIZ MARTINEZ"/>
    <x v="2"/>
    <x v="7"/>
    <s v="Neoris"/>
    <e v="#NAME?"/>
    <x v="45"/>
    <n v="1"/>
    <x v="0"/>
    <s v="Mainframe"/>
    <m/>
    <e v="#NAME?"/>
    <e v="#NAME?"/>
    <e v="#NAME?"/>
    <m/>
    <m/>
    <m/>
    <m/>
    <m/>
    <m/>
  </r>
  <r>
    <s v="CE70371"/>
    <s v="DANEL PULECIO GONZALEZ "/>
    <x v="2"/>
    <x v="7"/>
    <s v="Neoris"/>
    <e v="#NAME?"/>
    <x v="45"/>
    <n v="1"/>
    <x v="0"/>
    <s v="Mainframe"/>
    <m/>
    <e v="#NAME?"/>
    <e v="#NAME?"/>
    <e v="#NAME?"/>
    <m/>
    <m/>
    <m/>
    <m/>
    <m/>
    <m/>
  </r>
  <r>
    <s v="C341759"/>
    <s v="CHRISTIAN EDUARDO DIAZ GARCIA "/>
    <x v="2"/>
    <x v="5"/>
    <s v="BBVA"/>
    <e v="#NAME?"/>
    <x v="49"/>
    <n v="0.05"/>
    <x v="1"/>
    <s v="Mainframe"/>
    <m/>
    <e v="#NAME?"/>
    <e v="#NAME?"/>
    <e v="#NAME?"/>
    <m/>
    <m/>
    <m/>
    <m/>
    <m/>
    <m/>
  </r>
  <r>
    <s v="C341759"/>
    <s v="CHRISTIAN EDUARDO DIAZ GARCIA "/>
    <x v="2"/>
    <x v="5"/>
    <s v="BBVA"/>
    <e v="#NAME?"/>
    <x v="50"/>
    <n v="0.1"/>
    <x v="1"/>
    <s v="Mainframe"/>
    <m/>
    <e v="#NAME?"/>
    <e v="#NAME?"/>
    <e v="#NAME?"/>
    <m/>
    <m/>
    <m/>
    <m/>
    <m/>
    <m/>
  </r>
  <r>
    <s v="C341759"/>
    <s v="CHRISTIAN EDUARDO DIAZ GARCIA "/>
    <x v="2"/>
    <x v="5"/>
    <s v="BBVA"/>
    <e v="#NAME?"/>
    <x v="51"/>
    <n v="0.1"/>
    <x v="1"/>
    <s v="Mainframe"/>
    <m/>
    <e v="#NAME?"/>
    <e v="#NAME?"/>
    <e v="#NAME?"/>
    <m/>
    <m/>
    <m/>
    <m/>
    <m/>
    <m/>
  </r>
  <r>
    <s v="C341759"/>
    <s v="CHRISTIAN EDUARDO DIAZ GARCIA "/>
    <x v="2"/>
    <x v="5"/>
    <s v="BBVA"/>
    <e v="#NAME?"/>
    <x v="52"/>
    <n v="0.05"/>
    <x v="1"/>
    <s v="Mainframe"/>
    <m/>
    <e v="#NAME?"/>
    <e v="#NAME?"/>
    <e v="#NAME?"/>
    <m/>
    <m/>
    <m/>
    <m/>
    <m/>
    <m/>
  </r>
  <r>
    <s v="C341759"/>
    <s v="CHRISTIAN EDUARDO DIAZ GARCIA "/>
    <x v="2"/>
    <x v="5"/>
    <s v="BBVA"/>
    <e v="#NAME?"/>
    <x v="53"/>
    <n v="0.1"/>
    <x v="1"/>
    <s v="Mainframe"/>
    <m/>
    <e v="#NAME?"/>
    <e v="#NAME?"/>
    <e v="#NAME?"/>
    <m/>
    <m/>
    <m/>
    <m/>
    <m/>
    <m/>
  </r>
  <r>
    <s v="C341759"/>
    <s v="CHRISTIAN EDUARDO DIAZ GARCIA "/>
    <x v="2"/>
    <x v="5"/>
    <s v="BBVA"/>
    <e v="#NAME?"/>
    <x v="1"/>
    <n v="0.1"/>
    <x v="1"/>
    <s v="Mainframe"/>
    <m/>
    <e v="#NAME?"/>
    <e v="#NAME?"/>
    <e v="#NAME?"/>
    <m/>
    <m/>
    <m/>
    <m/>
    <m/>
    <m/>
  </r>
  <r>
    <s v="C341759"/>
    <s v="CHRISTIAN EDUARDO DIAZ GARCIA "/>
    <x v="2"/>
    <x v="5"/>
    <s v="BBVA"/>
    <e v="#NAME?"/>
    <x v="54"/>
    <n v="0.05"/>
    <x v="1"/>
    <s v="Mainframe"/>
    <m/>
    <e v="#NAME?"/>
    <e v="#NAME?"/>
    <e v="#NAME?"/>
    <m/>
    <m/>
    <m/>
    <m/>
    <m/>
    <m/>
  </r>
  <r>
    <s v="C341759"/>
    <s v="CHRISTIAN EDUARDO DIAZ GARCIA "/>
    <x v="2"/>
    <x v="5"/>
    <s v="BBVA"/>
    <e v="#NAME?"/>
    <x v="55"/>
    <n v="0.05"/>
    <x v="1"/>
    <s v="Mainframe"/>
    <m/>
    <e v="#NAME?"/>
    <e v="#NAME?"/>
    <e v="#NAME?"/>
    <m/>
    <m/>
    <m/>
    <m/>
    <m/>
    <m/>
  </r>
  <r>
    <s v="C341759"/>
    <s v="CHRISTIAN EDUARDO DIAZ GARCIA "/>
    <x v="2"/>
    <x v="5"/>
    <s v="BBVA"/>
    <e v="#NAME?"/>
    <x v="56"/>
    <n v="0.1"/>
    <x v="1"/>
    <s v="Mainframe"/>
    <m/>
    <e v="#NAME?"/>
    <e v="#NAME?"/>
    <e v="#NAME?"/>
    <m/>
    <m/>
    <m/>
    <m/>
    <m/>
    <m/>
  </r>
  <r>
    <s v="C341759"/>
    <s v="CHRISTIAN EDUARDO DIAZ GARCIA "/>
    <x v="2"/>
    <x v="5"/>
    <s v="BBVA"/>
    <e v="#NAME?"/>
    <x v="57"/>
    <n v="0.05"/>
    <x v="1"/>
    <s v="Mainframe"/>
    <m/>
    <e v="#NAME?"/>
    <e v="#NAME?"/>
    <e v="#NAME?"/>
    <m/>
    <m/>
    <m/>
    <m/>
    <m/>
    <m/>
  </r>
  <r>
    <s v="C341759"/>
    <s v="CHRISTIAN EDUARDO DIAZ GARCIA "/>
    <x v="2"/>
    <x v="5"/>
    <s v="BBVA"/>
    <e v="#NAME?"/>
    <x v="58"/>
    <n v="0.05"/>
    <x v="1"/>
    <s v="Mainframe"/>
    <s v="Tiene Staffing pero no se ha presentado en el WG"/>
    <e v="#NAME?"/>
    <e v="#NAME?"/>
    <e v="#NAME?"/>
    <m/>
    <m/>
    <m/>
    <m/>
    <m/>
    <m/>
  </r>
  <r>
    <s v="C341759"/>
    <s v="CHRISTIAN EDUARDO DIAZ GARCIA "/>
    <x v="2"/>
    <x v="5"/>
    <s v="BBVA"/>
    <e v="#NAME?"/>
    <x v="59"/>
    <n v="0.05"/>
    <x v="1"/>
    <s v="Mainframe"/>
    <m/>
    <e v="#NAME?"/>
    <e v="#NAME?"/>
    <e v="#NAME?"/>
    <m/>
    <m/>
    <m/>
    <m/>
    <m/>
    <m/>
  </r>
  <r>
    <s v="C341759"/>
    <s v="CHRISTIAN EDUARDO DIAZ GARCIA "/>
    <x v="2"/>
    <x v="5"/>
    <s v="BBVA"/>
    <e v="#NAME?"/>
    <x v="60"/>
    <n v="0.05"/>
    <x v="1"/>
    <s v="Mainframe"/>
    <s v="Tiene Staffing pero no se ha presentado en el WG"/>
    <e v="#NAME?"/>
    <e v="#NAME?"/>
    <e v="#NAME?"/>
    <m/>
    <m/>
    <m/>
    <m/>
    <m/>
    <m/>
  </r>
  <r>
    <s v="C341759"/>
    <s v="CHRISTIAN EDUARDO DIAZ GARCIA "/>
    <x v="2"/>
    <x v="5"/>
    <s v="BBVA"/>
    <e v="#NAME?"/>
    <x v="61"/>
    <n v="0.05"/>
    <x v="1"/>
    <s v="Mainframe"/>
    <m/>
    <e v="#NAME?"/>
    <e v="#NAME?"/>
    <e v="#NAME?"/>
    <m/>
    <m/>
    <m/>
    <m/>
    <m/>
    <m/>
  </r>
  <r>
    <s v="C341759"/>
    <s v="CHRISTIAN EDUARDO DIAZ GARCIA "/>
    <x v="2"/>
    <x v="5"/>
    <s v="BBVA"/>
    <e v="#NAME?"/>
    <x v="62"/>
    <n v="0.05"/>
    <x v="1"/>
    <s v="Mainframe"/>
    <m/>
    <e v="#NAME?"/>
    <e v="#NAME?"/>
    <e v="#NAME?"/>
    <m/>
    <m/>
    <m/>
    <m/>
    <m/>
    <m/>
  </r>
  <r>
    <s v="O001639"/>
    <s v="DAVID ANDRES RODRIGUEZ BAEZ"/>
    <x v="2"/>
    <x v="5"/>
    <s v="BBVA"/>
    <e v="#NAME?"/>
    <x v="48"/>
    <n v="0.25"/>
    <x v="0"/>
    <s v="Distribuido"/>
    <s v="Tiene Staffing pero no se ha presentado en el WG"/>
    <e v="#NAME?"/>
    <e v="#NAME?"/>
    <e v="#NAME?"/>
    <m/>
    <m/>
    <m/>
    <m/>
    <m/>
    <m/>
  </r>
  <r>
    <s v="O001639"/>
    <s v="DAVID ANDRES RODRIGUEZ BAEZ"/>
    <x v="2"/>
    <x v="5"/>
    <s v="BBVA"/>
    <e v="#NAME?"/>
    <x v="1"/>
    <n v="0.5"/>
    <x v="0"/>
    <s v="Distribuido"/>
    <m/>
    <e v="#NAME?"/>
    <e v="#NAME?"/>
    <e v="#NAME?"/>
    <m/>
    <m/>
    <m/>
    <m/>
    <m/>
    <m/>
  </r>
  <r>
    <s v="O001639"/>
    <s v="DAVID ANDRES RODRIGUEZ BAEZ"/>
    <x v="2"/>
    <x v="5"/>
    <s v="BBVA"/>
    <e v="#NAME?"/>
    <x v="56"/>
    <n v="0.25"/>
    <x v="0"/>
    <s v="Distribuido"/>
    <m/>
    <e v="#NAME?"/>
    <e v="#NAME?"/>
    <e v="#NAME?"/>
    <m/>
    <m/>
    <m/>
    <m/>
    <m/>
    <m/>
  </r>
  <r>
    <s v="C809546"/>
    <s v="GOMEZ CUADRADO JENNY PAOLA"/>
    <x v="2"/>
    <x v="5"/>
    <s v="BBVA"/>
    <e v="#NAME?"/>
    <x v="48"/>
    <n v="0.05"/>
    <x v="0"/>
    <s v="Mainframe"/>
    <s v="Tiene Staffing pero no se ha presentado en el WG"/>
    <e v="#NAME?"/>
    <e v="#NAME?"/>
    <e v="#NAME?"/>
    <m/>
    <m/>
    <m/>
    <m/>
    <m/>
    <m/>
  </r>
  <r>
    <s v="C809546"/>
    <s v="GOMEZ CUADRADO JENNY PAOLA"/>
    <x v="2"/>
    <x v="5"/>
    <s v="BBVA"/>
    <e v="#NAME?"/>
    <x v="54"/>
    <n v="0.05"/>
    <x v="0"/>
    <s v="Mainframe"/>
    <m/>
    <e v="#NAME?"/>
    <e v="#NAME?"/>
    <e v="#NAME?"/>
    <m/>
    <m/>
    <m/>
    <m/>
    <m/>
    <m/>
  </r>
  <r>
    <s v="C809546"/>
    <s v="GOMEZ CUADRADO JENNY PAOLA"/>
    <x v="2"/>
    <x v="5"/>
    <s v="BBVA"/>
    <e v="#NAME?"/>
    <x v="55"/>
    <n v="0.05"/>
    <x v="0"/>
    <s v="Mainframe"/>
    <m/>
    <e v="#NAME?"/>
    <e v="#NAME?"/>
    <e v="#NAME?"/>
    <m/>
    <m/>
    <m/>
    <m/>
    <m/>
    <m/>
  </r>
  <r>
    <s v="C809546"/>
    <s v="GOMEZ CUADRADO JENNY PAOLA"/>
    <x v="2"/>
    <x v="5"/>
    <s v="BBVA"/>
    <e v="#NAME?"/>
    <x v="53"/>
    <n v="0.05"/>
    <x v="0"/>
    <s v="Mainframe"/>
    <m/>
    <e v="#NAME?"/>
    <e v="#NAME?"/>
    <e v="#NAME?"/>
    <m/>
    <m/>
    <m/>
    <m/>
    <m/>
    <m/>
  </r>
  <r>
    <s v="C809546"/>
    <s v="GOMEZ CUADRADO JENNY PAOLA"/>
    <x v="2"/>
    <x v="5"/>
    <s v="BBVA"/>
    <e v="#NAME?"/>
    <x v="50"/>
    <n v="0.05"/>
    <x v="0"/>
    <s v="Mainframe"/>
    <m/>
    <e v="#NAME?"/>
    <e v="#NAME?"/>
    <e v="#NAME?"/>
    <m/>
    <m/>
    <m/>
    <m/>
    <m/>
    <m/>
  </r>
  <r>
    <s v="C809546"/>
    <s v="GOMEZ CUADRADO JENNY PAOLA"/>
    <x v="2"/>
    <x v="5"/>
    <s v="BBVA"/>
    <e v="#NAME?"/>
    <x v="57"/>
    <n v="0.75"/>
    <x v="0"/>
    <s v="Mainframe"/>
    <m/>
    <e v="#NAME?"/>
    <e v="#NAME?"/>
    <e v="#NAME?"/>
    <m/>
    <m/>
    <m/>
    <m/>
    <m/>
    <m/>
  </r>
  <r>
    <s v="C811405"/>
    <s v="JUAN DAVID MONTERO BOGOTA"/>
    <x v="2"/>
    <x v="5"/>
    <s v="BBVA"/>
    <e v="#NAME?"/>
    <x v="49"/>
    <n v="1"/>
    <x v="0"/>
    <s v="Distribuido"/>
    <m/>
    <e v="#NAME?"/>
    <e v="#NAME?"/>
    <e v="#NAME?"/>
    <m/>
    <m/>
    <m/>
    <m/>
    <m/>
    <m/>
  </r>
  <r>
    <s v="C804743"/>
    <s v="MILENA MARGARITA GONZALEZ PARRA "/>
    <x v="2"/>
    <x v="5"/>
    <s v="BBVA"/>
    <e v="#NAME?"/>
    <x v="61"/>
    <n v="0.05"/>
    <x v="0"/>
    <s v="Distribuido"/>
    <m/>
    <e v="#NAME?"/>
    <e v="#NAME?"/>
    <e v="#NAME?"/>
    <m/>
    <m/>
    <m/>
    <m/>
    <m/>
    <m/>
  </r>
  <r>
    <s v="C804743"/>
    <s v="MILENA MARGARITA GONZALEZ PARRA "/>
    <x v="2"/>
    <x v="5"/>
    <s v="BBVA"/>
    <e v="#NAME?"/>
    <x v="57"/>
    <n v="0.25"/>
    <x v="0"/>
    <s v="Distribuido"/>
    <m/>
    <e v="#NAME?"/>
    <e v="#NAME?"/>
    <e v="#NAME?"/>
    <m/>
    <m/>
    <m/>
    <m/>
    <m/>
    <m/>
  </r>
  <r>
    <s v="C804743"/>
    <s v="MILENA MARGARITA GONZALEZ PARRA "/>
    <x v="2"/>
    <x v="5"/>
    <s v="BBVA"/>
    <e v="#NAME?"/>
    <x v="49"/>
    <n v="0.7"/>
    <x v="0"/>
    <s v="Distribuido"/>
    <m/>
    <e v="#NAME?"/>
    <e v="#NAME?"/>
    <e v="#NAME?"/>
    <m/>
    <m/>
    <m/>
    <m/>
    <m/>
    <m/>
  </r>
  <r>
    <s v="C343619"/>
    <s v="REY GOMEZ ANDRES CAMILO"/>
    <x v="2"/>
    <x v="5"/>
    <s v="BBVA"/>
    <e v="#NAME?"/>
    <x v="51"/>
    <n v="0.25"/>
    <x v="0"/>
    <s v="Mainframe"/>
    <m/>
    <e v="#NAME?"/>
    <e v="#NAME?"/>
    <e v="#NAME?"/>
    <m/>
    <m/>
    <m/>
    <m/>
    <m/>
    <m/>
  </r>
  <r>
    <s v="C343619"/>
    <s v="REY GOMEZ ANDRES CAMILO"/>
    <x v="2"/>
    <x v="5"/>
    <s v="BBVA"/>
    <e v="#NAME?"/>
    <x v="50"/>
    <n v="0.25"/>
    <x v="0"/>
    <s v="Mainframe"/>
    <m/>
    <e v="#NAME?"/>
    <e v="#NAME?"/>
    <e v="#NAME?"/>
    <m/>
    <m/>
    <m/>
    <m/>
    <m/>
    <m/>
  </r>
  <r>
    <s v="C343619"/>
    <s v="REY GOMEZ ANDRES CAMILO"/>
    <x v="2"/>
    <x v="5"/>
    <s v="BBVA"/>
    <e v="#NAME?"/>
    <x v="52"/>
    <n v="0.25"/>
    <x v="0"/>
    <s v="Mainframe"/>
    <m/>
    <e v="#NAME?"/>
    <e v="#NAME?"/>
    <e v="#NAME?"/>
    <m/>
    <m/>
    <m/>
    <m/>
    <m/>
    <m/>
  </r>
  <r>
    <s v="C343619"/>
    <s v="REY GOMEZ ANDRES CAMILO"/>
    <x v="2"/>
    <x v="5"/>
    <s v="BBVA"/>
    <e v="#NAME?"/>
    <x v="53"/>
    <n v="0.25"/>
    <x v="0"/>
    <s v="Mainframe"/>
    <m/>
    <e v="#NAME?"/>
    <e v="#NAME?"/>
    <e v="#NAME?"/>
    <m/>
    <m/>
    <m/>
    <m/>
    <m/>
    <m/>
  </r>
  <r>
    <s v="O003311"/>
    <s v="VACA BERNAL JAIRO ALEXIS"/>
    <x v="2"/>
    <x v="5"/>
    <s v="BBVA"/>
    <e v="#NAME?"/>
    <x v="32"/>
    <n v="0.5"/>
    <x v="0"/>
    <s v="Mainframe"/>
    <m/>
    <e v="#NAME?"/>
    <e v="#NAME?"/>
    <e v="#NAME?"/>
    <m/>
    <m/>
    <m/>
    <m/>
    <m/>
    <m/>
  </r>
  <r>
    <s v="O003311"/>
    <s v="VACA BERNAL JAIRO ALEXIS"/>
    <x v="2"/>
    <x v="5"/>
    <s v="BBVA"/>
    <e v="#NAME?"/>
    <x v="60"/>
    <n v="0.05"/>
    <x v="0"/>
    <s v="Mainframe"/>
    <s v="Tiene Staffing pero no se ha presentado en el WG"/>
    <e v="#NAME?"/>
    <e v="#NAME?"/>
    <e v="#NAME?"/>
    <m/>
    <m/>
    <m/>
    <m/>
    <m/>
    <m/>
  </r>
  <r>
    <s v="O003311"/>
    <s v="VACA BERNAL JAIRO ALEXIS"/>
    <x v="2"/>
    <x v="5"/>
    <s v="BBVA"/>
    <e v="#NAME?"/>
    <x v="61"/>
    <n v="0.25"/>
    <x v="0"/>
    <s v="Mainframe"/>
    <m/>
    <e v="#NAME?"/>
    <e v="#NAME?"/>
    <e v="#NAME?"/>
    <m/>
    <m/>
    <m/>
    <m/>
    <m/>
    <m/>
  </r>
  <r>
    <s v="O003311"/>
    <s v="VACA BERNAL JAIRO ALEXIS"/>
    <x v="2"/>
    <x v="5"/>
    <s v="BBVA"/>
    <e v="#NAME?"/>
    <x v="62"/>
    <n v="0.2"/>
    <x v="0"/>
    <s v="Mainframe"/>
    <m/>
    <e v="#NAME?"/>
    <e v="#NAME?"/>
    <e v="#NAME?"/>
    <m/>
    <m/>
    <m/>
    <m/>
    <m/>
    <m/>
  </r>
  <r>
    <s v="C803834"/>
    <s v="VIVIANA ALARCON TORRES"/>
    <x v="2"/>
    <x v="5"/>
    <s v="BBVA"/>
    <e v="#NAME?"/>
    <x v="59"/>
    <n v="0.25"/>
    <x v="0"/>
    <s v="Distribuido"/>
    <s v="En revision con dominio por cuanto debe estar "/>
    <e v="#NAME?"/>
    <e v="#NAME?"/>
    <e v="#NAME?"/>
    <m/>
    <m/>
    <m/>
    <m/>
    <m/>
    <m/>
  </r>
  <r>
    <s v="C803834"/>
    <s v="VIVIANA ALARCON TORRES"/>
    <x v="2"/>
    <x v="5"/>
    <s v="BBVA"/>
    <e v="#NAME?"/>
    <x v="57"/>
    <n v="0.5"/>
    <x v="0"/>
    <s v="Distribuido"/>
    <m/>
    <e v="#NAME?"/>
    <e v="#NAME?"/>
    <e v="#NAME?"/>
    <m/>
    <m/>
    <m/>
    <m/>
    <m/>
    <m/>
  </r>
  <r>
    <s v="C803834"/>
    <s v="VIVIANA ALARCON TORRES"/>
    <x v="2"/>
    <x v="5"/>
    <s v="BBVA"/>
    <e v="#NAME?"/>
    <x v="32"/>
    <n v="0.15"/>
    <x v="0"/>
    <s v="Distribuido"/>
    <m/>
    <e v="#NAME?"/>
    <e v="#NAME?"/>
    <e v="#NAME?"/>
    <m/>
    <m/>
    <m/>
    <m/>
    <m/>
    <m/>
  </r>
  <r>
    <s v="C803834"/>
    <s v="VIVIANA ALARCON TORRES"/>
    <x v="2"/>
    <x v="5"/>
    <s v="BBVA"/>
    <e v="#NAME?"/>
    <x v="61"/>
    <n v="0.1"/>
    <x v="0"/>
    <s v="Distribuido"/>
    <m/>
    <e v="#NAME?"/>
    <e v="#NAME?"/>
    <e v="#NAME?"/>
    <m/>
    <m/>
    <m/>
    <m/>
    <m/>
    <m/>
  </r>
  <r>
    <s v="C808860"/>
    <s v="ZARATE PAVAS JOHN JAIRO"/>
    <x v="2"/>
    <x v="5"/>
    <s v="BBVA"/>
    <e v="#NAME?"/>
    <x v="53"/>
    <n v="0.1"/>
    <x v="0"/>
    <s v="Mainframe"/>
    <m/>
    <e v="#NAME?"/>
    <e v="#NAME?"/>
    <e v="#NAME?"/>
    <m/>
    <m/>
    <m/>
    <m/>
    <m/>
    <m/>
  </r>
  <r>
    <s v="C808860"/>
    <s v="ZARATE PAVAS JOHN JAIRO"/>
    <x v="2"/>
    <x v="5"/>
    <s v="BBVA"/>
    <e v="#NAME?"/>
    <x v="50"/>
    <n v="0.05"/>
    <x v="0"/>
    <s v="Mainframe"/>
    <m/>
    <e v="#NAME?"/>
    <e v="#NAME?"/>
    <e v="#NAME?"/>
    <m/>
    <m/>
    <m/>
    <m/>
    <m/>
    <m/>
  </r>
  <r>
    <s v="C808860"/>
    <s v="ZARATE PAVAS JOHN JAIRO"/>
    <x v="2"/>
    <x v="5"/>
    <s v="BBVA"/>
    <e v="#NAME?"/>
    <x v="51"/>
    <n v="0.5"/>
    <x v="0"/>
    <s v="Mainframe"/>
    <m/>
    <e v="#NAME?"/>
    <e v="#NAME?"/>
    <e v="#NAME?"/>
    <m/>
    <m/>
    <m/>
    <m/>
    <m/>
    <m/>
  </r>
  <r>
    <s v="C808860"/>
    <s v="ZARATE PAVAS JOHN JAIRO"/>
    <x v="2"/>
    <x v="5"/>
    <s v="BBVA"/>
    <e v="#NAME?"/>
    <x v="52"/>
    <n v="0.1"/>
    <x v="0"/>
    <s v="Mainframe"/>
    <m/>
    <e v="#NAME?"/>
    <e v="#NAME?"/>
    <e v="#NAME?"/>
    <m/>
    <m/>
    <m/>
    <m/>
    <m/>
    <m/>
  </r>
  <r>
    <s v="C808860"/>
    <s v="ZARATE PAVAS JOHN JAIRO"/>
    <x v="2"/>
    <x v="5"/>
    <s v="BBVA"/>
    <e v="#NAME?"/>
    <x v="1"/>
    <n v="0.25"/>
    <x v="0"/>
    <s v="Mainframe"/>
    <m/>
    <e v="#NAME?"/>
    <e v="#NAME?"/>
    <e v="#NAME?"/>
    <m/>
    <m/>
    <m/>
    <m/>
    <m/>
    <m/>
  </r>
  <r>
    <s v="C810765"/>
    <s v="ANGELA MARIA DIAZ PEÑA "/>
    <x v="2"/>
    <x v="5"/>
    <s v="BBVA"/>
    <e v="#NAME?"/>
    <x v="53"/>
    <n v="0.5"/>
    <x v="2"/>
    <s v="Mainframe"/>
    <s v="QC con otros equipos, por ejm Riesgos "/>
    <e v="#NAME?"/>
    <e v="#NAME?"/>
    <e v="#NAME?"/>
    <m/>
    <m/>
    <m/>
    <m/>
    <m/>
    <m/>
  </r>
  <r>
    <s v="C810765"/>
    <s v="ANGELA MARIA DIAZ PEÑA "/>
    <x v="2"/>
    <x v="8"/>
    <s v="BBVA"/>
    <e v="#NAME?"/>
    <x v="3"/>
    <n v="0.5"/>
    <x v="2"/>
    <s v="Mainframe"/>
    <m/>
    <e v="#NAME?"/>
    <e v="#NAME?"/>
    <e v="#NAME?"/>
    <m/>
    <m/>
    <m/>
    <m/>
    <m/>
    <m/>
  </r>
  <r>
    <s v="CE66053"/>
    <s v="Andres Francisco Duarte Sanchez"/>
    <x v="2"/>
    <x v="5"/>
    <s v="GGI / CMC"/>
    <e v="#NAME?"/>
    <x v="52"/>
    <n v="1"/>
    <x v="0"/>
    <s v="Distribuido"/>
    <m/>
    <e v="#NAME?"/>
    <e v="#NAME?"/>
    <e v="#NAME?"/>
    <m/>
    <m/>
    <m/>
    <m/>
    <m/>
    <m/>
  </r>
  <r>
    <s v="T005396"/>
    <s v="Andres Leonardo Ramirez Sanchez"/>
    <x v="2"/>
    <x v="5"/>
    <s v="GGI / CMC"/>
    <e v="#NAME?"/>
    <x v="53"/>
    <n v="1"/>
    <x v="0"/>
    <s v="Mainframe"/>
    <m/>
    <e v="#NAME?"/>
    <e v="#NAME?"/>
    <e v="#NAME?"/>
    <m/>
    <m/>
    <m/>
    <m/>
    <m/>
    <m/>
  </r>
  <r>
    <s v="T005394"/>
    <s v="Eder Alberto Niño Mora"/>
    <x v="2"/>
    <x v="5"/>
    <s v="GGI / CMC"/>
    <e v="#NAME?"/>
    <x v="53"/>
    <n v="1"/>
    <x v="0"/>
    <s v="Mainframe"/>
    <m/>
    <e v="#NAME?"/>
    <e v="#NAME?"/>
    <e v="#NAME?"/>
    <m/>
    <m/>
    <m/>
    <m/>
    <m/>
    <m/>
  </r>
  <r>
    <s v="CE69136"/>
    <s v="Jeisson Steven Rincon Mellizo"/>
    <x v="2"/>
    <x v="5"/>
    <s v="GGI / CMC"/>
    <e v="#NAME?"/>
    <x v="50"/>
    <n v="1"/>
    <x v="0"/>
    <s v="Mainframe"/>
    <m/>
    <e v="#NAME?"/>
    <e v="#NAME?"/>
    <e v="#NAME?"/>
    <m/>
    <m/>
    <m/>
    <m/>
    <m/>
    <m/>
  </r>
  <r>
    <s v="T005393"/>
    <s v="Juan Pablo Ahumada Avila"/>
    <x v="2"/>
    <x v="5"/>
    <s v="GGI / CMC"/>
    <e v="#NAME?"/>
    <x v="51"/>
    <n v="1"/>
    <x v="0"/>
    <s v="Distribuido"/>
    <m/>
    <e v="#NAME?"/>
    <e v="#NAME?"/>
    <e v="#NAME?"/>
    <m/>
    <m/>
    <m/>
    <m/>
    <m/>
    <m/>
  </r>
  <r>
    <s v="T005395"/>
    <s v="Leidy Johanna Ospina Rodriguez"/>
    <x v="2"/>
    <x v="5"/>
    <s v="GGI / CMC"/>
    <e v="#NAME?"/>
    <x v="52"/>
    <n v="1"/>
    <x v="0"/>
    <s v="Mainframe"/>
    <m/>
    <e v="#NAME?"/>
    <e v="#NAME?"/>
    <e v="#NAME?"/>
    <m/>
    <m/>
    <m/>
    <m/>
    <m/>
    <m/>
  </r>
  <r>
    <s v="CE70161"/>
    <s v="Luis Alberto Caldera Chavez"/>
    <x v="2"/>
    <x v="5"/>
    <s v="GGI / CMC"/>
    <e v="#NAME?"/>
    <x v="50"/>
    <n v="1"/>
    <x v="0"/>
    <s v="Mainframe"/>
    <m/>
    <e v="#NAME?"/>
    <e v="#NAME?"/>
    <e v="#NAME?"/>
    <m/>
    <m/>
    <m/>
    <m/>
    <m/>
    <m/>
  </r>
  <r>
    <s v="CE52035"/>
    <s v="Orlando Salvador Mora Andrade"/>
    <x v="2"/>
    <x v="5"/>
    <s v="GGI / CMC"/>
    <e v="#NAME?"/>
    <x v="50"/>
    <n v="0.25"/>
    <x v="1"/>
    <s v="Distribuido"/>
    <m/>
    <e v="#NAME?"/>
    <e v="#NAME?"/>
    <e v="#NAME?"/>
    <m/>
    <m/>
    <m/>
    <m/>
    <m/>
    <m/>
  </r>
  <r>
    <s v="CE52035"/>
    <s v="Orlando Salvador Mora Andrade"/>
    <x v="2"/>
    <x v="5"/>
    <s v="GGI / CMC"/>
    <e v="#NAME?"/>
    <x v="52"/>
    <n v="0.25"/>
    <x v="1"/>
    <s v="Mainframe"/>
    <m/>
    <e v="#NAME?"/>
    <e v="#NAME?"/>
    <e v="#NAME?"/>
    <m/>
    <m/>
    <m/>
    <m/>
    <m/>
    <m/>
  </r>
  <r>
    <s v="CE52035"/>
    <s v="Orlando Salvador Mora Andrade"/>
    <x v="2"/>
    <x v="5"/>
    <s v="GGI / CMC"/>
    <e v="#NAME?"/>
    <x v="53"/>
    <n v="0.25"/>
    <x v="1"/>
    <s v="Distribuido"/>
    <m/>
    <e v="#NAME?"/>
    <e v="#NAME?"/>
    <e v="#NAME?"/>
    <m/>
    <m/>
    <m/>
    <m/>
    <m/>
    <m/>
  </r>
  <r>
    <s v="CE52035"/>
    <s v="Orlando Salvador Mora Andrade"/>
    <x v="2"/>
    <x v="5"/>
    <s v="GGI / CMC"/>
    <e v="#NAME?"/>
    <x v="51"/>
    <n v="0.25"/>
    <x v="1"/>
    <s v="Mainframe"/>
    <m/>
    <e v="#NAME?"/>
    <e v="#NAME?"/>
    <e v="#NAME?"/>
    <m/>
    <m/>
    <m/>
    <m/>
    <m/>
    <m/>
  </r>
  <r>
    <s v="CE27209"/>
    <s v="Oscar Manuel Diaz Fique"/>
    <x v="2"/>
    <x v="5"/>
    <s v="GGI / CMC"/>
    <e v="#NAME?"/>
    <x v="53"/>
    <n v="1"/>
    <x v="0"/>
    <s v="Mainframe"/>
    <m/>
    <e v="#NAME?"/>
    <e v="#NAME?"/>
    <e v="#NAME?"/>
    <m/>
    <m/>
    <m/>
    <m/>
    <m/>
    <m/>
  </r>
  <r>
    <s v="CE58625"/>
    <s v="Ronald David Lara Hernandez"/>
    <x v="2"/>
    <x v="5"/>
    <s v="GGI / CMC"/>
    <e v="#NAME?"/>
    <x v="53"/>
    <n v="1"/>
    <x v="0"/>
    <s v="Mainframe"/>
    <m/>
    <e v="#NAME?"/>
    <e v="#NAME?"/>
    <e v="#NAME?"/>
    <m/>
    <m/>
    <m/>
    <m/>
    <m/>
    <m/>
  </r>
  <r>
    <s v="T004566"/>
    <s v="Walther Mauricio Guerrero"/>
    <x v="2"/>
    <x v="5"/>
    <s v="GGI / CMC"/>
    <e v="#NAME?"/>
    <x v="51"/>
    <n v="1"/>
    <x v="0"/>
    <s v="Mainframe"/>
    <m/>
    <e v="#NAME?"/>
    <e v="#NAME?"/>
    <e v="#NAME?"/>
    <m/>
    <m/>
    <m/>
    <m/>
    <m/>
    <m/>
  </r>
  <r>
    <s v="CE66458"/>
    <s v="ROBERTO CARLOS NIETO SUAREZ"/>
    <x v="2"/>
    <x v="5"/>
    <s v="Inetum"/>
    <e v="#NAME?"/>
    <x v="51"/>
    <n v="1"/>
    <x v="2"/>
    <s v="Mainframe"/>
    <m/>
    <e v="#NAME?"/>
    <e v="#NAME?"/>
    <e v="#NAME?"/>
    <m/>
    <m/>
    <m/>
    <m/>
    <m/>
    <m/>
  </r>
  <r>
    <s v="CE67101"/>
    <s v="IVETTE AYCHELL MONROY SUAREZ"/>
    <x v="2"/>
    <x v="5"/>
    <s v="Inetum"/>
    <e v="#NAME?"/>
    <x v="50"/>
    <n v="1"/>
    <x v="2"/>
    <s v="Mainframe"/>
    <m/>
    <e v="#NAME?"/>
    <e v="#NAME?"/>
    <e v="#NAME?"/>
    <m/>
    <m/>
    <m/>
    <m/>
    <m/>
    <m/>
  </r>
  <r>
    <s v="CE64507"/>
    <s v="DANIEL ESTEBAN MORENO CARRILLO"/>
    <x v="2"/>
    <x v="5"/>
    <s v="Inetum"/>
    <e v="#NAME?"/>
    <x v="52"/>
    <n v="1"/>
    <x v="2"/>
    <s v="Mainframe"/>
    <m/>
    <e v="#NAME?"/>
    <e v="#NAME?"/>
    <e v="#NAME?"/>
    <m/>
    <m/>
    <m/>
    <m/>
    <m/>
    <m/>
  </r>
  <r>
    <s v="CE59467"/>
    <s v="NORMA CECILIA MORENO GONZALEZ"/>
    <x v="2"/>
    <x v="5"/>
    <s v="Inetum"/>
    <e v="#NAME?"/>
    <x v="53"/>
    <n v="1"/>
    <x v="2"/>
    <s v="Mainframe"/>
    <m/>
    <e v="#NAME?"/>
    <e v="#NAME?"/>
    <e v="#NAME?"/>
    <m/>
    <m/>
    <m/>
    <m/>
    <m/>
    <m/>
  </r>
  <r>
    <s v="CE66798"/>
    <s v="ANGIE CAROLINA MORALES DUENAS"/>
    <x v="2"/>
    <x v="5"/>
    <s v="Choucair"/>
    <e v="#NAME?"/>
    <x v="53"/>
    <n v="1"/>
    <x v="2"/>
    <s v="Mainframe"/>
    <m/>
    <e v="#NAME?"/>
    <e v="#NAME?"/>
    <e v="#NAME?"/>
    <m/>
    <m/>
    <m/>
    <m/>
    <m/>
    <m/>
  </r>
  <r>
    <s v="T005931"/>
    <s v="DANIEL MAURICIO RIANO PEDRAZA_x000a_"/>
    <x v="2"/>
    <x v="5"/>
    <s v="GGI / CMC"/>
    <e v="#NAME?"/>
    <x v="49"/>
    <n v="0.1"/>
    <x v="2"/>
    <s v="Mainframe"/>
    <m/>
    <e v="#NAME?"/>
    <e v="#NAME?"/>
    <e v="#NAME?"/>
    <m/>
    <m/>
    <m/>
    <m/>
    <m/>
    <m/>
  </r>
  <r>
    <s v="T005931"/>
    <s v="DANIEL MAURICIO RIANO PEDRAZA_x000a_"/>
    <x v="2"/>
    <x v="5"/>
    <s v="GGI / CMC"/>
    <e v="#NAME?"/>
    <x v="32"/>
    <n v="0.1"/>
    <x v="2"/>
    <s v="Mainframe"/>
    <m/>
    <e v="#NAME?"/>
    <e v="#NAME?"/>
    <e v="#NAME?"/>
    <m/>
    <m/>
    <m/>
    <m/>
    <m/>
    <m/>
  </r>
  <r>
    <s v="T005931"/>
    <s v="DANIEL MAURICIO RIANO PEDRAZA_x000a_"/>
    <x v="2"/>
    <x v="5"/>
    <s v="GGI / CMC"/>
    <e v="#NAME?"/>
    <x v="61"/>
    <n v="0.1"/>
    <x v="2"/>
    <s v="Mainframe"/>
    <m/>
    <e v="#NAME?"/>
    <e v="#NAME?"/>
    <e v="#NAME?"/>
    <m/>
    <m/>
    <m/>
    <m/>
    <m/>
    <m/>
  </r>
  <r>
    <s v="T005931"/>
    <s v="DANIEL MAURICIO RIANO PEDRAZA_x000a_"/>
    <x v="2"/>
    <x v="5"/>
    <s v="GGI / CMC"/>
    <e v="#NAME?"/>
    <x v="57"/>
    <n v="0.1"/>
    <x v="2"/>
    <s v="Mainframe"/>
    <m/>
    <e v="#NAME?"/>
    <e v="#NAME?"/>
    <e v="#NAME?"/>
    <m/>
    <m/>
    <m/>
    <m/>
    <m/>
    <m/>
  </r>
  <r>
    <s v="T005931"/>
    <s v="DANIEL MAURICIO RIANO PEDRAZA_x000a_"/>
    <x v="2"/>
    <x v="5"/>
    <s v="GGI / CMC"/>
    <e v="#NAME?"/>
    <x v="1"/>
    <n v="0.1"/>
    <x v="2"/>
    <s v="Mainframe"/>
    <m/>
    <e v="#NAME?"/>
    <e v="#NAME?"/>
    <e v="#NAME?"/>
    <m/>
    <m/>
    <m/>
    <m/>
    <m/>
    <m/>
  </r>
  <r>
    <s v="CE68547"/>
    <s v="JOSE ROBERTO GONZALEZ MELO_x000a_"/>
    <x v="2"/>
    <x v="5"/>
    <s v="KRYPTO"/>
    <e v="#NAME?"/>
    <x v="49"/>
    <n v="0.1"/>
    <x v="2"/>
    <s v="Mainframe"/>
    <m/>
    <e v="#NAME?"/>
    <e v="#NAME?"/>
    <e v="#NAME?"/>
    <m/>
    <m/>
    <m/>
    <m/>
    <m/>
    <m/>
  </r>
  <r>
    <s v="CE68547"/>
    <s v="JOSE ROBERTO GONZALEZ MELO_x000a_"/>
    <x v="2"/>
    <x v="5"/>
    <s v="KRYPTO"/>
    <e v="#NAME?"/>
    <x v="32"/>
    <n v="0.1"/>
    <x v="2"/>
    <s v="Mainframe"/>
    <m/>
    <e v="#NAME?"/>
    <e v="#NAME?"/>
    <e v="#NAME?"/>
    <m/>
    <m/>
    <m/>
    <m/>
    <m/>
    <m/>
  </r>
  <r>
    <s v="CE68547"/>
    <s v="JOSE ROBERTO GONZALEZ MELO_x000a_"/>
    <x v="2"/>
    <x v="5"/>
    <s v="KRYPTO"/>
    <e v="#NAME?"/>
    <x v="61"/>
    <n v="0.1"/>
    <x v="2"/>
    <s v="Mainframe"/>
    <m/>
    <e v="#NAME?"/>
    <e v="#NAME?"/>
    <e v="#NAME?"/>
    <m/>
    <m/>
    <m/>
    <m/>
    <m/>
    <m/>
  </r>
  <r>
    <s v="CE68547"/>
    <s v="JOSE ROBERTO GONZALEZ MELO_x000a_"/>
    <x v="2"/>
    <x v="5"/>
    <s v="KRYPTO"/>
    <e v="#NAME?"/>
    <x v="57"/>
    <n v="0.1"/>
    <x v="2"/>
    <s v="Mainframe"/>
    <m/>
    <e v="#NAME?"/>
    <e v="#NAME?"/>
    <e v="#NAME?"/>
    <m/>
    <m/>
    <m/>
    <m/>
    <m/>
    <m/>
  </r>
  <r>
    <s v="CE68547"/>
    <s v="JOSE ROBERTO GONZALEZ MELO_x000a_"/>
    <x v="2"/>
    <x v="5"/>
    <s v="KRYPTO"/>
    <e v="#NAME?"/>
    <x v="1"/>
    <n v="0.1"/>
    <x v="2"/>
    <s v="Mainframe"/>
    <m/>
    <e v="#NAME?"/>
    <e v="#NAME?"/>
    <e v="#NAME?"/>
    <m/>
    <m/>
    <m/>
    <m/>
    <m/>
    <m/>
  </r>
  <r>
    <s v="CE52434"/>
    <s v="HAROLD HERNANDO REYES VARGAS_x000a_"/>
    <x v="2"/>
    <x v="5"/>
    <s v="Inetum"/>
    <e v="#NAME?"/>
    <x v="32"/>
    <n v="1"/>
    <x v="3"/>
    <s v="Mainframe"/>
    <m/>
    <e v="#NAME?"/>
    <e v="#NAME?"/>
    <e v="#NAME?"/>
    <m/>
    <m/>
    <m/>
    <m/>
    <m/>
    <m/>
  </r>
  <r>
    <s v="CE68712"/>
    <s v="EDWARD STIVEN RODRIGUEZ MORENO"/>
    <x v="2"/>
    <x v="5"/>
    <s v="BLUETAB"/>
    <e v="#NAME?"/>
    <x v="59"/>
    <n v="0.4"/>
    <x v="0"/>
    <s v="Distribuido"/>
    <s v="En revision con dominio por cuanto debe estar "/>
    <e v="#NAME?"/>
    <e v="#NAME?"/>
    <e v="#NAME?"/>
    <m/>
    <m/>
    <m/>
    <m/>
    <m/>
    <m/>
  </r>
  <r>
    <s v="CE57396"/>
    <s v="JUAN PABLO AREVALO MERCHAN"/>
    <x v="2"/>
    <x v="5"/>
    <s v="BLUETAB"/>
    <e v="#NAME?"/>
    <x v="32"/>
    <n v="0.25"/>
    <x v="0"/>
    <s v="Distribuido"/>
    <m/>
    <e v="#NAME?"/>
    <e v="#NAME?"/>
    <e v="#NAME?"/>
    <m/>
    <m/>
    <m/>
    <m/>
    <m/>
    <m/>
  </r>
  <r>
    <s v="CE57396"/>
    <s v="JUAN PABLO AREVALO MERCHAN"/>
    <x v="2"/>
    <x v="5"/>
    <s v="BLUETAB"/>
    <e v="#NAME?"/>
    <x v="61"/>
    <n v="0.25"/>
    <x v="0"/>
    <s v="Distribuido"/>
    <m/>
    <e v="#NAME?"/>
    <e v="#NAME?"/>
    <e v="#NAME?"/>
    <m/>
    <m/>
    <m/>
    <m/>
    <m/>
    <m/>
  </r>
  <r>
    <s v="CE56879"/>
    <s v="Victor Hans De La Cruz Quispe"/>
    <x v="2"/>
    <x v="5"/>
    <s v="BLUETAB"/>
    <e v="#NAME?"/>
    <x v="6"/>
    <n v="1"/>
    <x v="0"/>
    <s v="Distribuido"/>
    <m/>
    <e v="#NAME?"/>
    <e v="#NAME?"/>
    <e v="#NAME?"/>
    <m/>
    <m/>
    <m/>
    <m/>
    <m/>
    <m/>
  </r>
  <r>
    <s v="T005749"/>
    <s v="YESICA DANIELA VARGAS ESPITIA"/>
    <x v="2"/>
    <x v="5"/>
    <s v="BLUETAB"/>
    <e v="#NAME?"/>
    <x v="61"/>
    <n v="1"/>
    <x v="0"/>
    <s v="Distribuido"/>
    <m/>
    <e v="#NAME?"/>
    <e v="#NAME?"/>
    <e v="#NAME?"/>
    <m/>
    <m/>
    <m/>
    <m/>
    <m/>
    <m/>
  </r>
  <r>
    <s v="CE62380"/>
    <s v="LUIGUI SANTIAGO FAJARDO TOLOZA"/>
    <x v="2"/>
    <x v="5"/>
    <s v="ADENZA"/>
    <e v="#NAME?"/>
    <x v="49"/>
    <n v="1"/>
    <x v="0"/>
    <s v="Distribuido"/>
    <m/>
    <e v="#NAME?"/>
    <e v="#NAME?"/>
    <e v="#NAME?"/>
    <m/>
    <m/>
    <m/>
    <m/>
    <m/>
    <m/>
  </r>
  <r>
    <s v="CE62112"/>
    <s v="MARILUZ SANCHEZ MORENO"/>
    <x v="2"/>
    <x v="5"/>
    <s v="ADENZA"/>
    <e v="#NAME?"/>
    <x v="49"/>
    <n v="1"/>
    <x v="1"/>
    <s v="Distribuido"/>
    <m/>
    <e v="#NAME?"/>
    <e v="#NAME?"/>
    <e v="#NAME?"/>
    <m/>
    <m/>
    <m/>
    <m/>
    <m/>
    <m/>
  </r>
  <r>
    <s v="T007669"/>
    <s v="SANTIAGO GALLEGO BEDOYA_x000a_"/>
    <x v="2"/>
    <x v="5"/>
    <s v="Neoris"/>
    <e v="#NAME?"/>
    <x v="57"/>
    <n v="1"/>
    <x v="2"/>
    <s v="Mainframe"/>
    <m/>
    <e v="#NAME?"/>
    <e v="#NAME?"/>
    <e v="#NAME?"/>
    <m/>
    <m/>
    <m/>
    <m/>
    <m/>
    <m/>
  </r>
  <r>
    <s v="T011483"/>
    <s v="JUAN SEBASTIAN RODRIGUEZ PARRA"/>
    <x v="2"/>
    <x v="5"/>
    <s v="Inetum"/>
    <e v="#NAME?"/>
    <x v="49"/>
    <n v="1"/>
    <x v="3"/>
    <s v="Otras Tec."/>
    <m/>
    <e v="#NAME?"/>
    <e v="#NAME?"/>
    <e v="#NAME?"/>
    <m/>
    <m/>
    <m/>
    <m/>
    <m/>
    <m/>
  </r>
  <r>
    <s v="CE47497"/>
    <s v="ADOLFO ENRIQUE BERNAL RODRIGUEZ"/>
    <x v="3"/>
    <x v="9"/>
    <s v="SII"/>
    <e v="#NAME?"/>
    <x v="63"/>
    <n v="0.5"/>
    <x v="3"/>
    <s v="Mainframe"/>
    <m/>
    <e v="#NAME?"/>
    <e v="#NAME?"/>
    <e v="#NAME?"/>
    <m/>
    <m/>
    <m/>
    <m/>
    <m/>
    <n v="0"/>
  </r>
  <r>
    <s v="CE47497"/>
    <s v="ADOLFO ENRIQUE BERNAL RODRIGUEZ"/>
    <x v="3"/>
    <x v="9"/>
    <s v="SII"/>
    <e v="#NAME?"/>
    <x v="20"/>
    <n v="0.5"/>
    <x v="3"/>
    <s v="Mainframe"/>
    <m/>
    <e v="#NAME?"/>
    <e v="#NAME?"/>
    <e v="#NAME?"/>
    <m/>
    <m/>
    <m/>
    <m/>
    <m/>
    <n v="0"/>
  </r>
  <r>
    <s v="O002467"/>
    <s v="ALBA FABIOLA GOMEZ RODRIGUEZ"/>
    <x v="3"/>
    <x v="9"/>
    <s v="BBVA"/>
    <e v="#NAME?"/>
    <x v="64"/>
    <n v="1"/>
    <x v="0"/>
    <s v="Mainframe"/>
    <m/>
    <e v="#NAME?"/>
    <e v="#NAME?"/>
    <e v="#NAME?"/>
    <m/>
    <m/>
    <m/>
    <m/>
    <m/>
    <n v="0"/>
  </r>
  <r>
    <s v="O001638"/>
    <s v="ALEXANDER PLATA USCATEGUI"/>
    <x v="3"/>
    <x v="9"/>
    <s v="BBVA"/>
    <e v="#NAME?"/>
    <x v="64"/>
    <n v="1"/>
    <x v="0"/>
    <s v="Mainframe"/>
    <m/>
    <e v="#NAME?"/>
    <e v="#NAME?"/>
    <e v="#NAME?"/>
    <m/>
    <m/>
    <m/>
    <m/>
    <m/>
    <n v="0"/>
  </r>
  <r>
    <s v="C803933"/>
    <s v="CAMILO MONDRAGON"/>
    <x v="3"/>
    <x v="9"/>
    <s v="BBVA"/>
    <e v="#NAME?"/>
    <x v="63"/>
    <n v="0.75"/>
    <x v="0"/>
    <s v="Mainframe"/>
    <m/>
    <e v="#NAME?"/>
    <e v="#NAME?"/>
    <e v="#NAME?"/>
    <m/>
    <m/>
    <m/>
    <m/>
    <m/>
    <n v="1"/>
  </r>
  <r>
    <s v="C803933"/>
    <s v="CAMILO MONDRAGON"/>
    <x v="3"/>
    <x v="9"/>
    <s v="BBVA"/>
    <e v="#NAME?"/>
    <x v="65"/>
    <n v="0.25"/>
    <x v="0"/>
    <s v="Mainframe"/>
    <s v="Soporte a certificación"/>
    <e v="#NAME?"/>
    <e v="#NAME?"/>
    <e v="#NAME?"/>
    <m/>
    <m/>
    <m/>
    <m/>
    <m/>
    <n v="1"/>
  </r>
  <r>
    <s v="C811277"/>
    <s v="CARLOS ALBERTO GUERRERO MONTAÑA"/>
    <x v="3"/>
    <x v="9"/>
    <s v="BBVA"/>
    <e v="#NAME?"/>
    <x v="66"/>
    <n v="0.75"/>
    <x v="0"/>
    <s v="Mainframe"/>
    <m/>
    <e v="#NAME?"/>
    <e v="#NAME?"/>
    <e v="#NAME?"/>
    <m/>
    <m/>
    <m/>
    <m/>
    <m/>
    <n v="1"/>
  </r>
  <r>
    <s v="C811277"/>
    <s v="CARLOS ALBERTO GUERRERO MONTAÑA"/>
    <x v="3"/>
    <x v="9"/>
    <s v="BBVA"/>
    <e v="#NAME?"/>
    <x v="67"/>
    <n v="0.25"/>
    <x v="0"/>
    <s v="Mainframe"/>
    <m/>
    <e v="#NAME?"/>
    <e v="#NAME?"/>
    <e v="#NAME?"/>
    <m/>
    <m/>
    <m/>
    <m/>
    <m/>
    <n v="0"/>
  </r>
  <r>
    <s v="C811304"/>
    <s v="CARLOS EDUARDO YEPES ANGEL"/>
    <x v="3"/>
    <x v="9"/>
    <s v="BBVA"/>
    <e v="#NAME?"/>
    <x v="68"/>
    <n v="1"/>
    <x v="0"/>
    <s v="Mainframe"/>
    <m/>
    <e v="#NAME?"/>
    <e v="#NAME?"/>
    <e v="#NAME?"/>
    <m/>
    <m/>
    <m/>
    <m/>
    <m/>
    <n v="1"/>
  </r>
  <r>
    <s v="CE64217"/>
    <s v="CHRISTIAN CAMILO PERDOMO MEDINA"/>
    <x v="3"/>
    <x v="9"/>
    <s v="SII"/>
    <e v="#NAME?"/>
    <x v="3"/>
    <n v="1"/>
    <x v="0"/>
    <s v="Mainframe"/>
    <m/>
    <e v="#NAME?"/>
    <e v="#NAME?"/>
    <e v="#NAME?"/>
    <m/>
    <m/>
    <m/>
    <m/>
    <m/>
    <n v="1"/>
  </r>
  <r>
    <s v="C802128"/>
    <s v="DIANA MILENA SALAMANCA CHIQUILLO"/>
    <x v="3"/>
    <x v="9"/>
    <s v="BBVA"/>
    <e v="#NAME?"/>
    <x v="69"/>
    <n v="0.4"/>
    <x v="0"/>
    <s v="Mainframe"/>
    <s v="No se encuentra la SDATOOL-37344"/>
    <e v="#NAME?"/>
    <e v="#NAME?"/>
    <e v="#NAME?"/>
    <m/>
    <m/>
    <m/>
    <m/>
    <m/>
    <n v="1"/>
  </r>
  <r>
    <s v="C802128"/>
    <s v="DIANA MILENA SALAMANCA CHIQUILLO"/>
    <x v="3"/>
    <x v="9"/>
    <s v="BBVA"/>
    <e v="#NAME?"/>
    <x v="5"/>
    <n v="0.6"/>
    <x v="0"/>
    <s v="Mainframe"/>
    <m/>
    <e v="#NAME?"/>
    <e v="#NAME?"/>
    <e v="#NAME?"/>
    <m/>
    <m/>
    <m/>
    <m/>
    <m/>
    <n v="0"/>
  </r>
  <r>
    <s v="C797928"/>
    <s v="DIANA ROCIO GERENA HERRERA"/>
    <x v="3"/>
    <x v="9"/>
    <s v="BBVA"/>
    <e v="#NAME?"/>
    <x v="64"/>
    <n v="0.3"/>
    <x v="1"/>
    <s v="Mainframe"/>
    <m/>
    <e v="#NAME?"/>
    <e v="#NAME?"/>
    <e v="#NAME?"/>
    <m/>
    <m/>
    <m/>
    <m/>
    <m/>
    <n v="1"/>
  </r>
  <r>
    <s v="C797928"/>
    <s v="DIANA ROCIO GERENA HERRERA"/>
    <x v="3"/>
    <x v="9"/>
    <s v="BBVA"/>
    <e v="#NAME?"/>
    <x v="3"/>
    <n v="0.4"/>
    <x v="1"/>
    <s v="Mainframe"/>
    <m/>
    <e v="#NAME?"/>
    <e v="#NAME?"/>
    <e v="#NAME?"/>
    <m/>
    <m/>
    <m/>
    <m/>
    <m/>
    <n v="0"/>
  </r>
  <r>
    <s v="C797928"/>
    <s v="DIANA ROCIO GERENA HERRERA"/>
    <x v="3"/>
    <x v="9"/>
    <s v="BBVA"/>
    <e v="#NAME?"/>
    <x v="63"/>
    <n v="0.15"/>
    <x v="1"/>
    <s v="Mainframe"/>
    <m/>
    <e v="#NAME?"/>
    <e v="#NAME?"/>
    <e v="#NAME?"/>
    <m/>
    <m/>
    <m/>
    <m/>
    <m/>
    <n v="0"/>
  </r>
  <r>
    <s v="C797928"/>
    <s v="DIANA ROCIO GERENA HERRERA"/>
    <x v="3"/>
    <x v="9"/>
    <s v="BBVA"/>
    <e v="#NAME?"/>
    <x v="65"/>
    <n v="0.15"/>
    <x v="1"/>
    <s v="Mainframe"/>
    <m/>
    <e v="#NAME?"/>
    <e v="#NAME?"/>
    <e v="#NAME?"/>
    <m/>
    <m/>
    <m/>
    <m/>
    <m/>
    <n v="0"/>
  </r>
  <r>
    <s v="CE48051"/>
    <s v="EDGAR ANDRES GARZON"/>
    <x v="3"/>
    <x v="9"/>
    <s v="Novatec"/>
    <e v="#NAME?"/>
    <x v="67"/>
    <n v="0.25"/>
    <x v="0"/>
    <s v="Mainframe"/>
    <m/>
    <e v="#NAME?"/>
    <e v="#NAME?"/>
    <e v="#NAME?"/>
    <m/>
    <m/>
    <m/>
    <m/>
    <m/>
    <n v="1"/>
  </r>
  <r>
    <s v="CE48051"/>
    <s v="EDGAR ANDRES GARZON"/>
    <x v="3"/>
    <x v="9"/>
    <s v="Novatec"/>
    <e v="#NAME?"/>
    <x v="66"/>
    <n v="0.75"/>
    <x v="0"/>
    <s v="Mainframe"/>
    <m/>
    <e v="#NAME?"/>
    <e v="#NAME?"/>
    <e v="#NAME?"/>
    <m/>
    <m/>
    <m/>
    <m/>
    <m/>
    <n v="0"/>
  </r>
  <r>
    <s v="C343151"/>
    <s v="ESPERANZA DIAZ HERNANDEZ"/>
    <x v="3"/>
    <x v="9"/>
    <s v="BBVA"/>
    <e v="#NAME?"/>
    <x v="3"/>
    <n v="1"/>
    <x v="0"/>
    <s v="Mainframe"/>
    <m/>
    <e v="#NAME?"/>
    <e v="#NAME?"/>
    <e v="#NAME?"/>
    <m/>
    <m/>
    <m/>
    <m/>
    <m/>
    <n v="1"/>
  </r>
  <r>
    <s v="CE70143"/>
    <s v="EMMANUEL GERMAN FORSTER"/>
    <x v="3"/>
    <x v="9"/>
    <s v="Globant"/>
    <e v="#NAME?"/>
    <x v="68"/>
    <n v="1"/>
    <x v="0"/>
    <s v="ASO"/>
    <s v="Usuario en proceso de alta."/>
    <e v="#NAME?"/>
    <e v="#NAME?"/>
    <e v="#NAME?"/>
    <m/>
    <m/>
    <m/>
    <m/>
    <m/>
    <n v="1"/>
  </r>
  <r>
    <s v="C811389"/>
    <s v="FABER IVAN MAYORQUIN RESTREPO"/>
    <x v="3"/>
    <x v="9"/>
    <s v="BBVA"/>
    <e v="#NAME?"/>
    <x v="70"/>
    <n v="0.65"/>
    <x v="0"/>
    <s v="Mainframe"/>
    <m/>
    <e v="#NAME?"/>
    <e v="#NAME?"/>
    <e v="#NAME?"/>
    <m/>
    <m/>
    <m/>
    <m/>
    <m/>
    <n v="1"/>
  </r>
  <r>
    <s v="C811389"/>
    <s v="FABER IVAN MAYORQUIN RESTREPO"/>
    <x v="3"/>
    <x v="9"/>
    <s v="BBVA"/>
    <e v="#NAME?"/>
    <x v="20"/>
    <n v="0.2"/>
    <x v="0"/>
    <s v="Mainframe"/>
    <m/>
    <e v="#NAME?"/>
    <e v="#NAME?"/>
    <e v="#NAME?"/>
    <m/>
    <m/>
    <m/>
    <m/>
    <m/>
    <n v="0"/>
  </r>
  <r>
    <s v="C811389"/>
    <s v="FABER IVAN MAYORQUIN RESTREPO"/>
    <x v="3"/>
    <x v="9"/>
    <s v="BBVA"/>
    <e v="#NAME?"/>
    <x v="3"/>
    <n v="0.15"/>
    <x v="0"/>
    <s v="Mainframe"/>
    <m/>
    <e v="#NAME?"/>
    <e v="#NAME?"/>
    <e v="#NAME?"/>
    <m/>
    <m/>
    <m/>
    <m/>
    <m/>
    <n v="0"/>
  </r>
  <r>
    <s v="CE50117"/>
    <s v="JAIRO ANZOLA PLATA L"/>
    <x v="3"/>
    <x v="9"/>
    <s v="SII"/>
    <e v="#NAME?"/>
    <x v="64"/>
    <n v="0.4"/>
    <x v="0"/>
    <s v="Mainframe"/>
    <s v="Soporte a la certificación"/>
    <e v="#NAME?"/>
    <e v="#NAME?"/>
    <e v="#NAME?"/>
    <m/>
    <m/>
    <m/>
    <m/>
    <m/>
    <n v="1"/>
  </r>
  <r>
    <s v="CE42593"/>
    <s v="JENITH MARSELLA MANTILLA RODRIGUEZ"/>
    <x v="3"/>
    <x v="9"/>
    <s v="SII"/>
    <e v="#NAME?"/>
    <x v="3"/>
    <n v="1"/>
    <x v="1"/>
    <s v="Mainframe"/>
    <m/>
    <e v="#NAME?"/>
    <e v="#NAME?"/>
    <e v="#NAME?"/>
    <m/>
    <m/>
    <m/>
    <m/>
    <m/>
    <n v="1"/>
  </r>
  <r>
    <s v="C805565"/>
    <s v="JHON FREDY PACHECO AVELLA"/>
    <x v="3"/>
    <x v="9"/>
    <s v="BBVA"/>
    <e v="#NAME?"/>
    <x v="20"/>
    <n v="0.2"/>
    <x v="0"/>
    <s v="Mainframe"/>
    <m/>
    <e v="#NAME?"/>
    <e v="#NAME?"/>
    <e v="#NAME?"/>
    <m/>
    <m/>
    <m/>
    <m/>
    <m/>
    <n v="1"/>
  </r>
  <r>
    <s v="C805565"/>
    <s v="JHON FREDY PACHECO AVELLA"/>
    <x v="3"/>
    <x v="9"/>
    <s v="BBVA"/>
    <e v="#NAME?"/>
    <x v="71"/>
    <n v="0.5"/>
    <x v="0"/>
    <s v="Mainframe"/>
    <m/>
    <e v="#NAME?"/>
    <e v="#NAME?"/>
    <e v="#NAME?"/>
    <m/>
    <m/>
    <m/>
    <m/>
    <m/>
    <n v="0"/>
  </r>
  <r>
    <s v="C805565"/>
    <s v="JHON FREDY PACHECO AVELLA"/>
    <x v="3"/>
    <x v="9"/>
    <s v="BBVA"/>
    <e v="#NAME?"/>
    <x v="72"/>
    <n v="0.3"/>
    <x v="0"/>
    <s v="Mainframe"/>
    <m/>
    <e v="#NAME?"/>
    <e v="#NAME?"/>
    <e v="#NAME?"/>
    <m/>
    <m/>
    <m/>
    <m/>
    <m/>
    <n v="0"/>
  </r>
  <r>
    <s v="C809506"/>
    <s v="JHON FREDY PINZON PAEZ"/>
    <x v="3"/>
    <x v="9"/>
    <s v="BBVA"/>
    <e v="#NAME?"/>
    <x v="3"/>
    <n v="1"/>
    <x v="0"/>
    <s v="Mainframe"/>
    <m/>
    <e v="#NAME?"/>
    <e v="#NAME?"/>
    <e v="#NAME?"/>
    <m/>
    <m/>
    <m/>
    <m/>
    <m/>
    <n v="1"/>
  </r>
  <r>
    <s v="O001222"/>
    <s v="JIOVANNY SUAREZ GONZALEZ"/>
    <x v="3"/>
    <x v="9"/>
    <s v="BBVA"/>
    <e v="#NAME?"/>
    <x v="66"/>
    <n v="0.2"/>
    <x v="1"/>
    <s v="Otras Tec."/>
    <m/>
    <e v="#NAME?"/>
    <e v="#NAME?"/>
    <e v="#NAME?"/>
    <m/>
    <m/>
    <m/>
    <m/>
    <m/>
    <n v="1"/>
  </r>
  <r>
    <s v="O001222"/>
    <s v="JIOVANNY SUAREZ GONZALEZ"/>
    <x v="3"/>
    <x v="9"/>
    <s v="BBVA"/>
    <e v="#NAME?"/>
    <x v="67"/>
    <n v="0.2"/>
    <x v="1"/>
    <s v="Otras Tec."/>
    <m/>
    <e v="#NAME?"/>
    <e v="#NAME?"/>
    <e v="#NAME?"/>
    <m/>
    <m/>
    <m/>
    <m/>
    <m/>
    <n v="0"/>
  </r>
  <r>
    <s v="O001222"/>
    <s v="JIOVANNY SUAREZ GONZALEZ"/>
    <x v="3"/>
    <x v="9"/>
    <s v="BBVA"/>
    <e v="#NAME?"/>
    <x v="68"/>
    <n v="0.2"/>
    <x v="1"/>
    <s v="Otras Tec."/>
    <m/>
    <e v="#NAME?"/>
    <e v="#NAME?"/>
    <e v="#NAME?"/>
    <m/>
    <m/>
    <m/>
    <m/>
    <m/>
    <n v="0"/>
  </r>
  <r>
    <s v="O001222"/>
    <s v="JIOVANNY SUAREZ GONZALEZ"/>
    <x v="3"/>
    <x v="9"/>
    <s v="BBVA"/>
    <e v="#NAME?"/>
    <x v="73"/>
    <n v="0.2"/>
    <x v="1"/>
    <s v="Otras Tec."/>
    <m/>
    <e v="#NAME?"/>
    <e v="#NAME?"/>
    <e v="#NAME?"/>
    <m/>
    <m/>
    <m/>
    <m/>
    <m/>
    <n v="0"/>
  </r>
  <r>
    <s v="O001222"/>
    <s v="JIOVANNY SUAREZ GONZALEZ"/>
    <x v="3"/>
    <x v="9"/>
    <s v="BBVA"/>
    <e v="#NAME?"/>
    <x v="74"/>
    <n v="0.2"/>
    <x v="1"/>
    <s v="Otras Tec."/>
    <m/>
    <e v="#NAME?"/>
    <e v="#NAME?"/>
    <e v="#NAME?"/>
    <m/>
    <m/>
    <m/>
    <m/>
    <m/>
    <n v="0"/>
  </r>
  <r>
    <s v="C811332"/>
    <s v="JORGE LUIS SALAMANCA ORTIZ"/>
    <x v="3"/>
    <x v="9"/>
    <s v="BBVA"/>
    <e v="#NAME?"/>
    <x v="75"/>
    <n v="0.3"/>
    <x v="0"/>
    <s v="Mainframe"/>
    <m/>
    <e v="#NAME?"/>
    <e v="#NAME?"/>
    <e v="#NAME?"/>
    <m/>
    <m/>
    <m/>
    <m/>
    <m/>
    <n v="1"/>
  </r>
  <r>
    <s v="C811332"/>
    <s v="JORGE LUIS SALAMANCA ORTIZ"/>
    <x v="3"/>
    <x v="9"/>
    <s v="BBVA"/>
    <e v="#NAME?"/>
    <x v="5"/>
    <n v="0.7"/>
    <x v="0"/>
    <s v="Mainframe"/>
    <m/>
    <e v="#NAME?"/>
    <e v="#NAME?"/>
    <e v="#NAME?"/>
    <m/>
    <m/>
    <m/>
    <m/>
    <m/>
    <n v="0"/>
  </r>
  <r>
    <s v="CE03425"/>
    <s v="JORGE VICENTE SALAS PERILLA"/>
    <x v="3"/>
    <x v="9"/>
    <s v="KRYPTO"/>
    <e v="#NAME?"/>
    <x v="63"/>
    <n v="0.75"/>
    <x v="0"/>
    <s v="Mainframe"/>
    <m/>
    <e v="#NAME?"/>
    <e v="#NAME?"/>
    <e v="#NAME?"/>
    <m/>
    <m/>
    <m/>
    <m/>
    <m/>
    <n v="1"/>
  </r>
  <r>
    <s v="CE03425"/>
    <s v="JORGE VICENTE SALAS PERILLA"/>
    <x v="3"/>
    <x v="9"/>
    <s v="KRYPTO"/>
    <e v="#NAME?"/>
    <x v="65"/>
    <n v="0.25"/>
    <x v="0"/>
    <s v="Mainframe"/>
    <s v="Soporte a certficación y post-implantación"/>
    <e v="#NAME?"/>
    <e v="#NAME?"/>
    <e v="#NAME?"/>
    <m/>
    <m/>
    <m/>
    <m/>
    <m/>
    <n v="0"/>
  </r>
  <r>
    <s v="C805714"/>
    <s v="JUAN DAVID CELIS NUÑEZ"/>
    <x v="3"/>
    <x v="9"/>
    <s v="BBVA"/>
    <e v="#NAME?"/>
    <x v="76"/>
    <n v="0.7"/>
    <x v="0"/>
    <s v="ASO"/>
    <m/>
    <e v="#NAME?"/>
    <e v="#NAME?"/>
    <e v="#NAME?"/>
    <m/>
    <m/>
    <m/>
    <m/>
    <m/>
    <n v="1"/>
  </r>
  <r>
    <s v="C805714"/>
    <s v="JUAN DAVID CELIS NUÑEZ"/>
    <x v="3"/>
    <x v="9"/>
    <s v="BBVA"/>
    <e v="#NAME?"/>
    <x v="75"/>
    <n v="0.15"/>
    <x v="0"/>
    <s v="ASO"/>
    <m/>
    <e v="#NAME?"/>
    <e v="#NAME?"/>
    <e v="#NAME?"/>
    <m/>
    <m/>
    <m/>
    <m/>
    <m/>
    <n v="0"/>
  </r>
  <r>
    <s v="C805714"/>
    <s v="JUAN DAVID CELIS NUÑEZ"/>
    <x v="3"/>
    <x v="9"/>
    <s v="BBVA"/>
    <e v="#NAME?"/>
    <x v="3"/>
    <n v="0.15"/>
    <x v="0"/>
    <s v="ASO"/>
    <m/>
    <e v="#NAME?"/>
    <e v="#NAME?"/>
    <e v="#NAME?"/>
    <m/>
    <m/>
    <m/>
    <m/>
    <m/>
    <n v="0"/>
  </r>
  <r>
    <s v="CE65082"/>
    <s v="JULIAN CAMILO ESGUERRA PINEDA"/>
    <x v="3"/>
    <x v="9"/>
    <s v="SII"/>
    <e v="#NAME?"/>
    <x v="3"/>
    <n v="1"/>
    <x v="0"/>
    <s v="Mainframe"/>
    <m/>
    <e v="#NAME?"/>
    <e v="#NAME?"/>
    <e v="#NAME?"/>
    <m/>
    <m/>
    <m/>
    <m/>
    <m/>
    <n v="1"/>
  </r>
  <r>
    <s v="C805729"/>
    <s v="JULIANA FERNANDA BONILLA RODRIGUEZ"/>
    <x v="3"/>
    <x v="9"/>
    <s v="BBVA"/>
    <e v="#NAME?"/>
    <x v="3"/>
    <n v="1"/>
    <x v="3"/>
    <s v="Mainframe"/>
    <m/>
    <e v="#NAME?"/>
    <e v="#NAME?"/>
    <e v="#NAME?"/>
    <m/>
    <m/>
    <m/>
    <m/>
    <m/>
    <n v="1"/>
  </r>
  <r>
    <s v="CE66910"/>
    <s v="JULIO DIAZ PENAGOS "/>
    <x v="3"/>
    <x v="9"/>
    <s v="SII"/>
    <e v="#NAME?"/>
    <x v="74"/>
    <n v="1"/>
    <x v="0"/>
    <s v="ASO"/>
    <m/>
    <e v="#NAME?"/>
    <e v="#NAME?"/>
    <e v="#NAME?"/>
    <m/>
    <m/>
    <m/>
    <m/>
    <m/>
    <n v="1"/>
  </r>
  <r>
    <s v="C803062"/>
    <s v="KATERINE CRUZ SUAREZ"/>
    <x v="3"/>
    <x v="9"/>
    <s v="BBVA"/>
    <e v="#NAME?"/>
    <x v="3"/>
    <n v="1"/>
    <x v="0"/>
    <s v="Mainframe"/>
    <m/>
    <e v="#NAME?"/>
    <e v="#NAME?"/>
    <e v="#NAME?"/>
    <m/>
    <m/>
    <m/>
    <m/>
    <m/>
    <n v="1"/>
  </r>
  <r>
    <s v="C805939"/>
    <s v="LEISON FABIAN MEJIA GARCIA"/>
    <x v="3"/>
    <x v="9"/>
    <s v="BBVA"/>
    <e v="#NAME?"/>
    <x v="67"/>
    <n v="0.25"/>
    <x v="0"/>
    <s v="ASO"/>
    <m/>
    <e v="#NAME?"/>
    <e v="#NAME?"/>
    <e v="#NAME?"/>
    <m/>
    <m/>
    <m/>
    <m/>
    <m/>
    <n v="1"/>
  </r>
  <r>
    <s v="C805939"/>
    <s v="LEISON FABIAN MEJIA GARCIA"/>
    <x v="3"/>
    <x v="9"/>
    <s v="BBVA"/>
    <e v="#NAME?"/>
    <x v="66"/>
    <n v="0.5"/>
    <x v="0"/>
    <s v="ASO"/>
    <m/>
    <e v="#NAME?"/>
    <e v="#NAME?"/>
    <e v="#NAME?"/>
    <m/>
    <m/>
    <m/>
    <m/>
    <m/>
    <n v="0"/>
  </r>
  <r>
    <s v="C805939"/>
    <s v="LEISON FABIAN MEJIA GARCIA"/>
    <x v="3"/>
    <x v="9"/>
    <s v="BBVA"/>
    <e v="#NAME?"/>
    <x v="68"/>
    <n v="0.25"/>
    <x v="0"/>
    <s v="ASO"/>
    <m/>
    <e v="#NAME?"/>
    <e v="#NAME?"/>
    <e v="#NAME?"/>
    <m/>
    <m/>
    <m/>
    <m/>
    <m/>
    <n v="0"/>
  </r>
  <r>
    <s v="CE17711"/>
    <s v="LUIS FERNANDO RODRIGUEZ MEDINA"/>
    <x v="3"/>
    <x v="9"/>
    <s v="KRYPTO"/>
    <e v="#NAME?"/>
    <x v="3"/>
    <n v="1"/>
    <x v="2"/>
    <s v="Mainframe"/>
    <m/>
    <e v="#NAME?"/>
    <e v="#NAME?"/>
    <e v="#NAME?"/>
    <m/>
    <m/>
    <m/>
    <m/>
    <m/>
    <n v="1"/>
  </r>
  <r>
    <s v="CE61656"/>
    <s v="MARIA DEL PILAR GARCIA  GONZALES"/>
    <x v="3"/>
    <x v="9"/>
    <s v="KRYPTO"/>
    <e v="#NAME?"/>
    <x v="3"/>
    <n v="1"/>
    <x v="2"/>
    <s v="Mainframe"/>
    <m/>
    <e v="#NAME?"/>
    <e v="#NAME?"/>
    <e v="#NAME?"/>
    <m/>
    <m/>
    <m/>
    <m/>
    <m/>
    <n v="1"/>
  </r>
  <r>
    <s v="C804407"/>
    <s v="MARIO ALBERTO MORALES LEON"/>
    <x v="3"/>
    <x v="9"/>
    <s v="BBVA"/>
    <e v="#NAME?"/>
    <x v="74"/>
    <n v="0.25"/>
    <x v="0"/>
    <s v="Mainframe"/>
    <m/>
    <e v="#NAME?"/>
    <e v="#NAME?"/>
    <e v="#NAME?"/>
    <m/>
    <m/>
    <m/>
    <m/>
    <m/>
    <n v="1"/>
  </r>
  <r>
    <s v="C804407"/>
    <s v="MARIO ALBERTO MORALES LEON"/>
    <x v="3"/>
    <x v="9"/>
    <s v="BBVA"/>
    <e v="#NAME?"/>
    <x v="73"/>
    <n v="0.75"/>
    <x v="0"/>
    <s v="Mainframe"/>
    <m/>
    <e v="#NAME?"/>
    <e v="#NAME?"/>
    <e v="#NAME?"/>
    <m/>
    <m/>
    <m/>
    <m/>
    <m/>
    <n v="0"/>
  </r>
  <r>
    <s v="C809625"/>
    <s v="MAYERLY TATIANA NARVAEZ MARIN"/>
    <x v="3"/>
    <x v="9"/>
    <s v="BBVA"/>
    <e v="#NAME?"/>
    <x v="67"/>
    <n v="0.25"/>
    <x v="0"/>
    <s v="ASO"/>
    <m/>
    <e v="#NAME?"/>
    <e v="#NAME?"/>
    <e v="#NAME?"/>
    <m/>
    <m/>
    <m/>
    <m/>
    <m/>
    <n v="1"/>
  </r>
  <r>
    <s v="C809625"/>
    <s v="MAYERLY TATIANA NARVAEZ MARIN"/>
    <x v="3"/>
    <x v="9"/>
    <s v="BBVA"/>
    <e v="#NAME?"/>
    <x v="66"/>
    <n v="0.75"/>
    <x v="0"/>
    <s v="ASO"/>
    <m/>
    <e v="#NAME?"/>
    <e v="#NAME?"/>
    <e v="#NAME?"/>
    <m/>
    <m/>
    <m/>
    <m/>
    <m/>
    <n v="0"/>
  </r>
  <r>
    <s v="CE64687"/>
    <s v="MILLER FERNANDO CAMARGO AMADO"/>
    <x v="3"/>
    <x v="9"/>
    <s v="SII"/>
    <e v="#NAME?"/>
    <x v="3"/>
    <n v="1"/>
    <x v="0"/>
    <s v="Mainframe"/>
    <m/>
    <e v="#NAME?"/>
    <e v="#NAME?"/>
    <e v="#NAME?"/>
    <m/>
    <m/>
    <m/>
    <m/>
    <m/>
    <n v="1"/>
  </r>
  <r>
    <s v="C811233"/>
    <s v="NATALIA REYES LOPEZ"/>
    <x v="3"/>
    <x v="9"/>
    <s v="BBVA"/>
    <e v="#NAME?"/>
    <x v="3"/>
    <n v="1"/>
    <x v="2"/>
    <s v="Mainframe"/>
    <m/>
    <e v="#NAME?"/>
    <e v="#NAME?"/>
    <e v="#NAME?"/>
    <m/>
    <m/>
    <m/>
    <m/>
    <m/>
    <n v="1"/>
  </r>
  <r>
    <s v="CE59970"/>
    <s v="NICOLAS ALEXANDER ALDANA MENDOZA"/>
    <x v="3"/>
    <x v="9"/>
    <s v="SII"/>
    <e v="#NAME?"/>
    <x v="3"/>
    <n v="1"/>
    <x v="0"/>
    <s v="Mainframe"/>
    <m/>
    <e v="#NAME?"/>
    <e v="#NAME?"/>
    <e v="#NAME?"/>
    <m/>
    <m/>
    <m/>
    <m/>
    <m/>
    <n v="1"/>
  </r>
  <r>
    <s v="C804561"/>
    <s v="OSCAR ORLANDO ACEVEDO FERRER"/>
    <x v="3"/>
    <x v="9"/>
    <s v="BBVA"/>
    <e v="#NAME?"/>
    <x v="72"/>
    <n v="0.5"/>
    <x v="0"/>
    <s v="Mainframe"/>
    <m/>
    <e v="#NAME?"/>
    <e v="#NAME?"/>
    <e v="#NAME?"/>
    <m/>
    <m/>
    <m/>
    <m/>
    <m/>
    <n v="1"/>
  </r>
  <r>
    <s v="C804561"/>
    <s v="OSCAR ORLANDO ACEVEDO FERRER"/>
    <x v="3"/>
    <x v="9"/>
    <s v="BBVA"/>
    <e v="#NAME?"/>
    <x v="76"/>
    <n v="0.2"/>
    <x v="0"/>
    <s v="Mainframe"/>
    <m/>
    <e v="#NAME?"/>
    <e v="#NAME?"/>
    <e v="#NAME?"/>
    <m/>
    <m/>
    <m/>
    <m/>
    <m/>
    <n v="0"/>
  </r>
  <r>
    <s v="C804561"/>
    <s v="OSCAR ORLANDO ACEVEDO FERRER"/>
    <x v="3"/>
    <x v="9"/>
    <s v="BBVA"/>
    <e v="#NAME?"/>
    <x v="77"/>
    <n v="0.3"/>
    <x v="0"/>
    <s v="Mainframe"/>
    <m/>
    <e v="#NAME?"/>
    <e v="#NAME?"/>
    <e v="#NAME?"/>
    <m/>
    <m/>
    <m/>
    <m/>
    <m/>
    <n v="0"/>
  </r>
  <r>
    <s v="O002757"/>
    <s v="SUSANA ANDREA PARRA CABRERA"/>
    <x v="3"/>
    <x v="9"/>
    <s v="BBVA"/>
    <e v="#NAME?"/>
    <x v="76"/>
    <n v="0.2"/>
    <x v="0"/>
    <s v="APX"/>
    <m/>
    <e v="#NAME?"/>
    <e v="#NAME?"/>
    <e v="#NAME?"/>
    <m/>
    <m/>
    <m/>
    <m/>
    <m/>
    <n v="1"/>
  </r>
  <r>
    <s v="O002757"/>
    <s v="SUSANA ANDREA PARRA CABRERA"/>
    <x v="3"/>
    <x v="9"/>
    <s v="BBVA"/>
    <e v="#NAME?"/>
    <x v="73"/>
    <n v="0.4"/>
    <x v="0"/>
    <s v="APX"/>
    <m/>
    <e v="#NAME?"/>
    <e v="#NAME?"/>
    <e v="#NAME?"/>
    <m/>
    <m/>
    <m/>
    <m/>
    <m/>
    <n v="0"/>
  </r>
  <r>
    <s v="O002757"/>
    <s v="SUSANA ANDREA PARRA CABRERA"/>
    <x v="3"/>
    <x v="9"/>
    <s v="BBVA"/>
    <e v="#NAME?"/>
    <x v="74"/>
    <n v="0.4"/>
    <x v="0"/>
    <s v="APX"/>
    <m/>
    <e v="#NAME?"/>
    <e v="#NAME?"/>
    <e v="#NAME?"/>
    <m/>
    <m/>
    <m/>
    <m/>
    <m/>
    <n v="0"/>
  </r>
  <r>
    <s v="CE24417"/>
    <s v="VIVIAN JUALINY  ESPITIA BENITEZ"/>
    <x v="3"/>
    <x v="9"/>
    <s v="KRYPTO"/>
    <e v="#NAME?"/>
    <x v="3"/>
    <n v="1"/>
    <x v="2"/>
    <s v="Otras Tec."/>
    <m/>
    <e v="#NAME?"/>
    <e v="#NAME?"/>
    <e v="#NAME?"/>
    <m/>
    <m/>
    <m/>
    <m/>
    <m/>
    <n v="1"/>
  </r>
  <r>
    <s v="O003083"/>
    <s v="WILMAR ALBERTO ROMERO"/>
    <x v="3"/>
    <x v="9"/>
    <s v="BBVA"/>
    <e v="#NAME?"/>
    <x v="66"/>
    <n v="0.75"/>
    <x v="0"/>
    <s v="APX"/>
    <m/>
    <e v="#NAME?"/>
    <e v="#NAME?"/>
    <e v="#NAME?"/>
    <m/>
    <m/>
    <m/>
    <m/>
    <m/>
    <n v="1"/>
  </r>
  <r>
    <s v="O003083"/>
    <s v="WILMAR ALBERTO ROMERO"/>
    <x v="3"/>
    <x v="9"/>
    <s v="BBVA"/>
    <e v="#NAME?"/>
    <x v="67"/>
    <n v="0.25"/>
    <x v="0"/>
    <s v="APX"/>
    <m/>
    <e v="#NAME?"/>
    <e v="#NAME?"/>
    <e v="#NAME?"/>
    <m/>
    <m/>
    <m/>
    <m/>
    <m/>
    <n v="0"/>
  </r>
  <r>
    <s v="C811362"/>
    <s v="YIGLIANA ALVAREZ MENDOZA"/>
    <x v="3"/>
    <x v="9"/>
    <s v="BBVA"/>
    <e v="#NAME?"/>
    <x v="71"/>
    <n v="0.3"/>
    <x v="0"/>
    <s v="Mainframe"/>
    <m/>
    <e v="#NAME?"/>
    <e v="#NAME?"/>
    <e v="#NAME?"/>
    <m/>
    <m/>
    <m/>
    <m/>
    <m/>
    <n v="1"/>
  </r>
  <r>
    <s v="C811362"/>
    <s v="YIGLIANA ALVAREZ MENDOZA"/>
    <x v="3"/>
    <x v="9"/>
    <s v="BBVA"/>
    <e v="#NAME?"/>
    <x v="78"/>
    <n v="0.4"/>
    <x v="0"/>
    <s v="Mainframe"/>
    <m/>
    <e v="#NAME?"/>
    <e v="#NAME?"/>
    <e v="#NAME?"/>
    <m/>
    <m/>
    <m/>
    <m/>
    <m/>
    <n v="0"/>
  </r>
  <r>
    <s v="C811362"/>
    <s v="YIGLIANA ALVAREZ MENDOZA"/>
    <x v="3"/>
    <x v="9"/>
    <s v="BBVA"/>
    <e v="#NAME?"/>
    <x v="79"/>
    <n v="0.3"/>
    <x v="0"/>
    <s v="Mainframe"/>
    <m/>
    <e v="#NAME?"/>
    <e v="#NAME?"/>
    <e v="#NAME?"/>
    <m/>
    <m/>
    <m/>
    <m/>
    <m/>
    <n v="0"/>
  </r>
  <r>
    <s v="C802977"/>
    <s v="YULY MARCELA OVALLE GOMEZ"/>
    <x v="3"/>
    <x v="9"/>
    <s v="BBVA"/>
    <e v="#NAME?"/>
    <x v="20"/>
    <n v="0.1"/>
    <x v="1"/>
    <s v="Otras Tec."/>
    <m/>
    <e v="#NAME?"/>
    <e v="#NAME?"/>
    <e v="#NAME?"/>
    <m/>
    <m/>
    <m/>
    <m/>
    <m/>
    <n v="1"/>
  </r>
  <r>
    <s v="C802977"/>
    <s v="YULY MARCELA OVALLE GOMEZ"/>
    <x v="3"/>
    <x v="9"/>
    <s v="BBVA"/>
    <e v="#NAME?"/>
    <x v="72"/>
    <n v="0.15"/>
    <x v="1"/>
    <s v="Otras Tec."/>
    <m/>
    <e v="#NAME?"/>
    <e v="#NAME?"/>
    <e v="#NAME?"/>
    <m/>
    <m/>
    <m/>
    <m/>
    <m/>
    <n v="0"/>
  </r>
  <r>
    <s v="C802977"/>
    <s v="YULY MARCELA OVALLE GOMEZ"/>
    <x v="3"/>
    <x v="9"/>
    <s v="BBVA"/>
    <e v="#NAME?"/>
    <x v="70"/>
    <n v="0.1"/>
    <x v="1"/>
    <s v="Otras Tec."/>
    <m/>
    <e v="#NAME?"/>
    <e v="#NAME?"/>
    <e v="#NAME?"/>
    <m/>
    <m/>
    <m/>
    <m/>
    <m/>
    <n v="0"/>
  </r>
  <r>
    <s v="C802977"/>
    <s v="YULY MARCELA OVALLE GOMEZ"/>
    <x v="3"/>
    <x v="9"/>
    <s v="BBVA"/>
    <e v="#NAME?"/>
    <x v="76"/>
    <n v="0.15"/>
    <x v="1"/>
    <s v="Otras Tec."/>
    <m/>
    <e v="#NAME?"/>
    <e v="#NAME?"/>
    <e v="#NAME?"/>
    <m/>
    <m/>
    <m/>
    <m/>
    <m/>
    <n v="0"/>
  </r>
  <r>
    <s v="C802977"/>
    <s v="YULY MARCELA OVALLE GOMEZ"/>
    <x v="3"/>
    <x v="9"/>
    <s v="BBVA"/>
    <e v="#NAME?"/>
    <x v="5"/>
    <n v="0.1"/>
    <x v="1"/>
    <s v="Otras Tec."/>
    <m/>
    <e v="#NAME?"/>
    <e v="#NAME?"/>
    <e v="#NAME?"/>
    <m/>
    <m/>
    <m/>
    <m/>
    <m/>
    <n v="0"/>
  </r>
  <r>
    <s v="C802977"/>
    <s v="YULY MARCELA OVALLE GOMEZ"/>
    <x v="3"/>
    <x v="9"/>
    <s v="BBVA"/>
    <e v="#NAME?"/>
    <x v="78"/>
    <n v="0.1"/>
    <x v="1"/>
    <s v="Otras Tec."/>
    <m/>
    <e v="#NAME?"/>
    <e v="#NAME?"/>
    <e v="#NAME?"/>
    <m/>
    <m/>
    <m/>
    <m/>
    <m/>
    <n v="0"/>
  </r>
  <r>
    <s v="C802977"/>
    <s v="YULY MARCELA OVALLE GOMEZ"/>
    <x v="3"/>
    <x v="9"/>
    <s v="BBVA"/>
    <e v="#NAME?"/>
    <x v="77"/>
    <n v="0.1"/>
    <x v="1"/>
    <s v="Otras Tec."/>
    <m/>
    <e v="#NAME?"/>
    <e v="#NAME?"/>
    <e v="#NAME?"/>
    <m/>
    <m/>
    <m/>
    <m/>
    <m/>
    <n v="0"/>
  </r>
  <r>
    <s v="C802977"/>
    <s v="YULY MARCELA OVALLE GOMEZ"/>
    <x v="3"/>
    <x v="9"/>
    <s v="BBVA"/>
    <e v="#NAME?"/>
    <x v="71"/>
    <n v="0.1"/>
    <x v="1"/>
    <s v="Otras Tec."/>
    <m/>
    <e v="#NAME?"/>
    <e v="#NAME?"/>
    <e v="#NAME?"/>
    <m/>
    <m/>
    <m/>
    <m/>
    <m/>
    <n v="0"/>
  </r>
  <r>
    <s v="C802977"/>
    <s v="YULY MARCELA OVALLE GOMEZ"/>
    <x v="3"/>
    <x v="9"/>
    <s v="BBVA"/>
    <e v="#NAME?"/>
    <x v="79"/>
    <n v="0.1"/>
    <x v="1"/>
    <s v="Otras Tec."/>
    <m/>
    <e v="#NAME?"/>
    <e v="#NAME?"/>
    <e v="#NAME?"/>
    <m/>
    <m/>
    <m/>
    <m/>
    <m/>
    <n v="0"/>
  </r>
  <r>
    <s v="C811410"/>
    <s v="MICHAEL CESAR LLANES POLO"/>
    <x v="2"/>
    <x v="8"/>
    <s v="BBVA"/>
    <e v="#NAME?"/>
    <x v="80"/>
    <n v="1"/>
    <x v="0"/>
    <s v="Mainframe"/>
    <m/>
    <e v="#NAME?"/>
    <e v="#NAME?"/>
    <e v="#NAME?"/>
    <m/>
    <m/>
    <m/>
    <m/>
    <m/>
    <m/>
  </r>
  <r>
    <s v="O000100"/>
    <s v="LICETH YHOMARY GONZALEZ PENAGOS"/>
    <x v="2"/>
    <x v="8"/>
    <s v="BBVA"/>
    <e v="#NAME?"/>
    <x v="81"/>
    <n v="0.75"/>
    <x v="0"/>
    <s v="Mainframe"/>
    <m/>
    <e v="#NAME?"/>
    <e v="#NAME?"/>
    <e v="#NAME?"/>
    <m/>
    <m/>
    <m/>
    <m/>
    <m/>
    <m/>
  </r>
  <r>
    <s v="O000100"/>
    <s v="LICETH YHOMARY GONZALEZ PENAGOS"/>
    <x v="2"/>
    <x v="8"/>
    <s v="BBVA"/>
    <e v="#NAME?"/>
    <x v="3"/>
    <n v="0.25"/>
    <x v="0"/>
    <s v="Mainframe"/>
    <m/>
    <e v="#NAME?"/>
    <e v="#NAME?"/>
    <e v="#NAME?"/>
    <m/>
    <m/>
    <m/>
    <m/>
    <m/>
    <m/>
  </r>
  <r>
    <s v="O001421"/>
    <s v="JULIAN ALBERTO HERRERA SALAZAR"/>
    <x v="2"/>
    <x v="8"/>
    <s v="BBVA"/>
    <e v="#NAME?"/>
    <x v="81"/>
    <n v="0.5"/>
    <x v="0"/>
    <s v="Mainframe"/>
    <m/>
    <e v="#NAME?"/>
    <e v="#NAME?"/>
    <e v="#NAME?"/>
    <m/>
    <m/>
    <m/>
    <m/>
    <m/>
    <m/>
  </r>
  <r>
    <s v="O001421"/>
    <s v="JULIAN ALBERTO HERRERA SALAZAR"/>
    <x v="2"/>
    <x v="8"/>
    <s v="BBVA"/>
    <e v="#NAME?"/>
    <x v="80"/>
    <n v="0.25"/>
    <x v="0"/>
    <s v="Mainframe"/>
    <m/>
    <e v="#NAME?"/>
    <e v="#NAME?"/>
    <e v="#NAME?"/>
    <m/>
    <m/>
    <m/>
    <m/>
    <m/>
    <m/>
  </r>
  <r>
    <s v="O001421"/>
    <s v="JULIAN ALBERTO HERRERA SALAZAR"/>
    <x v="2"/>
    <x v="8"/>
    <s v="BBVA"/>
    <e v="#NAME?"/>
    <x v="3"/>
    <n v="0.25"/>
    <x v="0"/>
    <s v="Mainframe"/>
    <m/>
    <e v="#NAME?"/>
    <e v="#NAME?"/>
    <e v="#NAME?"/>
    <m/>
    <m/>
    <m/>
    <m/>
    <m/>
    <m/>
  </r>
  <r>
    <s v="O001720"/>
    <s v="JOHN FERNANDO AREVALO BERMUDEZ"/>
    <x v="2"/>
    <x v="8"/>
    <s v="BBVA"/>
    <e v="#NAME?"/>
    <x v="80"/>
    <n v="0.5"/>
    <x v="0"/>
    <s v="Mainframe"/>
    <m/>
    <e v="#NAME?"/>
    <e v="#NAME?"/>
    <e v="#NAME?"/>
    <m/>
    <m/>
    <m/>
    <m/>
    <m/>
    <m/>
  </r>
  <r>
    <s v="O001720"/>
    <s v="JOHN FERNANDO AREVALO BERMUDEZ"/>
    <x v="2"/>
    <x v="8"/>
    <s v="BBVA"/>
    <e v="#NAME?"/>
    <x v="3"/>
    <n v="0.25"/>
    <x v="0"/>
    <s v="Mainframe"/>
    <m/>
    <e v="#NAME?"/>
    <e v="#NAME?"/>
    <e v="#NAME?"/>
    <m/>
    <m/>
    <m/>
    <m/>
    <m/>
    <m/>
  </r>
  <r>
    <s v="O001720"/>
    <s v="JOHN FERNANDO AREVALO BERMUDEZ"/>
    <x v="2"/>
    <x v="8"/>
    <s v="BBVA"/>
    <e v="#NAME?"/>
    <x v="82"/>
    <n v="0.25"/>
    <x v="0"/>
    <s v="Mainframe"/>
    <m/>
    <e v="#NAME?"/>
    <e v="#NAME?"/>
    <e v="#NAME?"/>
    <m/>
    <m/>
    <m/>
    <m/>
    <m/>
    <m/>
  </r>
  <r>
    <s v="T003443"/>
    <s v="DANIELA ALEJANDRA ROMERO CANGREJO"/>
    <x v="2"/>
    <x v="8"/>
    <s v="Neoris"/>
    <e v="#NAME?"/>
    <x v="80"/>
    <n v="0.5"/>
    <x v="2"/>
    <s v="Mainframe"/>
    <m/>
    <e v="#NAME?"/>
    <e v="#NAME?"/>
    <e v="#NAME?"/>
    <m/>
    <m/>
    <m/>
    <m/>
    <m/>
    <m/>
  </r>
  <r>
    <s v="T003443"/>
    <s v="DANIELA ALEJANDRA ROMERO CANGREJO"/>
    <x v="2"/>
    <x v="8"/>
    <s v="Neoris"/>
    <e v="#NAME?"/>
    <x v="3"/>
    <n v="0.4"/>
    <x v="2"/>
    <s v="Mainframe"/>
    <m/>
    <e v="#NAME?"/>
    <e v="#NAME?"/>
    <e v="#NAME?"/>
    <m/>
    <m/>
    <m/>
    <m/>
    <m/>
    <m/>
  </r>
  <r>
    <s v="T003443"/>
    <s v="DANIELA ALEJANDRA ROMERO CANGREJO"/>
    <x v="2"/>
    <x v="8"/>
    <s v="Neoris"/>
    <e v="#NAME?"/>
    <x v="82"/>
    <n v="0.1"/>
    <x v="2"/>
    <s v="Mainframe"/>
    <m/>
    <e v="#NAME?"/>
    <e v="#NAME?"/>
    <e v="#NAME?"/>
    <m/>
    <m/>
    <m/>
    <m/>
    <m/>
    <m/>
  </r>
  <r>
    <s v="C811301"/>
    <s v="MARIANELLA FANDIÑO NIETO"/>
    <x v="2"/>
    <x v="8"/>
    <s v="BBVA"/>
    <e v="#NAME?"/>
    <x v="80"/>
    <n v="0.3"/>
    <x v="1"/>
    <s v="Mainframe"/>
    <m/>
    <e v="#NAME?"/>
    <e v="#NAME?"/>
    <e v="#NAME?"/>
    <m/>
    <m/>
    <m/>
    <m/>
    <m/>
    <m/>
  </r>
  <r>
    <s v="C811301"/>
    <s v="MARIANELLA FANDIÑO NIETO"/>
    <x v="2"/>
    <x v="8"/>
    <s v="BBVA"/>
    <e v="#NAME?"/>
    <x v="81"/>
    <n v="0.4"/>
    <x v="1"/>
    <s v="Mainframe"/>
    <m/>
    <e v="#NAME?"/>
    <e v="#NAME?"/>
    <e v="#NAME?"/>
    <m/>
    <m/>
    <m/>
    <m/>
    <m/>
    <m/>
  </r>
  <r>
    <s v="C811301"/>
    <s v="MARIANELLA FANDIÑO NIETO"/>
    <x v="2"/>
    <x v="8"/>
    <s v="BBVA"/>
    <e v="#NAME?"/>
    <x v="3"/>
    <n v="0.2"/>
    <x v="1"/>
    <s v="Mainframe"/>
    <m/>
    <e v="#NAME?"/>
    <e v="#NAME?"/>
    <e v="#NAME?"/>
    <m/>
    <m/>
    <m/>
    <m/>
    <m/>
    <m/>
  </r>
  <r>
    <s v="C811301"/>
    <s v="MARIANELLA FANDIÑO NIETO"/>
    <x v="2"/>
    <x v="8"/>
    <s v="BBVA"/>
    <e v="#NAME?"/>
    <x v="82"/>
    <n v="0.1"/>
    <x v="1"/>
    <s v="Mainframe"/>
    <m/>
    <e v="#NAME?"/>
    <e v="#NAME?"/>
    <e v="#NAME?"/>
    <m/>
    <m/>
    <m/>
    <m/>
    <m/>
    <m/>
  </r>
  <r>
    <s v="C804706"/>
    <s v="BAUTISTA MOLINA, LINA MARCELA"/>
    <x v="2"/>
    <x v="8"/>
    <s v="BBVA"/>
    <e v="#NAME?"/>
    <x v="71"/>
    <n v="0.8"/>
    <x v="0"/>
    <s v="Mainframe"/>
    <m/>
    <e v="#NAME?"/>
    <e v="#NAME?"/>
    <e v="#NAME?"/>
    <m/>
    <m/>
    <m/>
    <m/>
    <m/>
    <m/>
  </r>
  <r>
    <s v="C804706"/>
    <s v="BAUTISTA MOLINA, LINA MARCELA"/>
    <x v="2"/>
    <x v="8"/>
    <s v="BBVA"/>
    <e v="#NAME?"/>
    <x v="83"/>
    <n v="0.2"/>
    <x v="0"/>
    <s v="Mainframe"/>
    <m/>
    <e v="#NAME?"/>
    <e v="#NAME?"/>
    <e v="#NAME?"/>
    <m/>
    <m/>
    <m/>
    <m/>
    <m/>
    <m/>
  </r>
  <r>
    <s v="C808756"/>
    <s v="BUITRAGO GUALTEROS, ANDRES FELIPE"/>
    <x v="2"/>
    <x v="8"/>
    <s v="BBVA"/>
    <e v="#NAME?"/>
    <x v="84"/>
    <n v="0.2"/>
    <x v="0"/>
    <s v="Distribuido"/>
    <m/>
    <e v="#NAME?"/>
    <e v="#NAME?"/>
    <e v="#NAME?"/>
    <m/>
    <m/>
    <m/>
    <m/>
    <m/>
    <m/>
  </r>
  <r>
    <s v="C808756"/>
    <s v="BUITRAGO GUALTEROS, ANDRES FELIPE"/>
    <x v="2"/>
    <x v="8"/>
    <s v="BBVA"/>
    <e v="#NAME?"/>
    <x v="71"/>
    <n v="0.7"/>
    <x v="0"/>
    <s v="Distribuido"/>
    <m/>
    <e v="#NAME?"/>
    <e v="#NAME?"/>
    <e v="#NAME?"/>
    <m/>
    <m/>
    <m/>
    <m/>
    <m/>
    <m/>
  </r>
  <r>
    <s v="C808756"/>
    <s v="BUITRAGO GUALTEROS, ANDRES FELIPE"/>
    <x v="2"/>
    <x v="8"/>
    <s v="BBVA"/>
    <e v="#NAME?"/>
    <x v="85"/>
    <n v="0.1"/>
    <x v="0"/>
    <s v="Distribuido"/>
    <m/>
    <e v="#NAME?"/>
    <e v="#NAME?"/>
    <e v="#NAME?"/>
    <m/>
    <m/>
    <m/>
    <m/>
    <m/>
    <m/>
  </r>
  <r>
    <s v="C809517"/>
    <s v="VARGAS PEREZ, WENDY MARITZA"/>
    <x v="2"/>
    <x v="8"/>
    <s v="BBVA"/>
    <e v="#NAME?"/>
    <x v="84"/>
    <n v="0.8"/>
    <x v="0"/>
    <s v="Distribuido"/>
    <m/>
    <e v="#NAME?"/>
    <e v="#NAME?"/>
    <e v="#NAME?"/>
    <m/>
    <m/>
    <m/>
    <m/>
    <m/>
    <m/>
  </r>
  <r>
    <s v="C809517"/>
    <s v="VARGAS PEREZ, WENDY MARITZA"/>
    <x v="2"/>
    <x v="8"/>
    <s v="BBVA"/>
    <e v="#NAME?"/>
    <x v="86"/>
    <n v="0.2"/>
    <x v="0"/>
    <s v="Distribuido"/>
    <m/>
    <e v="#NAME?"/>
    <e v="#NAME?"/>
    <e v="#NAME?"/>
    <m/>
    <m/>
    <m/>
    <m/>
    <m/>
    <m/>
  </r>
  <r>
    <s v="C811315"/>
    <s v="LOZANO BELTRAN, WILLIAM EDUARDO"/>
    <x v="2"/>
    <x v="8"/>
    <s v="BBVA"/>
    <e v="#NAME?"/>
    <x v="86"/>
    <n v="0.8"/>
    <x v="0"/>
    <s v="Distribuido"/>
    <m/>
    <e v="#NAME?"/>
    <e v="#NAME?"/>
    <e v="#NAME?"/>
    <m/>
    <m/>
    <m/>
    <m/>
    <m/>
    <m/>
  </r>
  <r>
    <s v="C811315"/>
    <s v="LOZANO BELTRAN, WILLIAM EDUARDO"/>
    <x v="2"/>
    <x v="8"/>
    <s v="BBVA"/>
    <e v="#NAME?"/>
    <x v="3"/>
    <n v="0.2"/>
    <x v="0"/>
    <s v="Distribuido"/>
    <m/>
    <e v="#NAME?"/>
    <e v="#NAME?"/>
    <e v="#NAME?"/>
    <m/>
    <m/>
    <m/>
    <m/>
    <m/>
    <m/>
  </r>
  <r>
    <s v="CE66885"/>
    <s v="ROJAS VILLEGAS, ADRIAN"/>
    <x v="2"/>
    <x v="8"/>
    <s v="Meraki"/>
    <e v="#NAME?"/>
    <x v="84"/>
    <n v="0.5"/>
    <x v="0"/>
    <s v="Distribuido"/>
    <m/>
    <e v="#NAME?"/>
    <e v="#NAME?"/>
    <e v="#NAME?"/>
    <m/>
    <m/>
    <m/>
    <m/>
    <m/>
    <m/>
  </r>
  <r>
    <s v="CE57060"/>
    <s v="MORENO HERNANDEZ, KAREN ANDREA"/>
    <x v="2"/>
    <x v="8"/>
    <s v="GGI / CMC"/>
    <e v="#NAME?"/>
    <x v="71"/>
    <n v="0.5"/>
    <x v="2"/>
    <s v="Distribuido"/>
    <m/>
    <e v="#NAME?"/>
    <e v="#NAME?"/>
    <e v="#NAME?"/>
    <m/>
    <m/>
    <m/>
    <m/>
    <m/>
    <m/>
  </r>
  <r>
    <s v="CE57060"/>
    <s v="MORENO HERNANDEZ, KAREN ANDREA"/>
    <x v="2"/>
    <x v="8"/>
    <s v="GGI / CMC"/>
    <e v="#NAME?"/>
    <x v="84"/>
    <n v="0.5"/>
    <x v="2"/>
    <s v="Distribuido"/>
    <m/>
    <e v="#NAME?"/>
    <e v="#NAME?"/>
    <e v="#NAME?"/>
    <m/>
    <m/>
    <m/>
    <m/>
    <m/>
    <m/>
  </r>
  <r>
    <s v="T006700"/>
    <s v="VEGA ROZO, EMANUEL"/>
    <x v="2"/>
    <x v="8"/>
    <s v="Choucair"/>
    <e v="#NAME?"/>
    <x v="86"/>
    <n v="0.5"/>
    <x v="2"/>
    <s v="Distribuido"/>
    <m/>
    <e v="#NAME?"/>
    <e v="#NAME?"/>
    <e v="#NAME?"/>
    <m/>
    <m/>
    <m/>
    <m/>
    <m/>
    <m/>
  </r>
  <r>
    <s v="T006700"/>
    <s v="VEGA ROZO, EMANUEL"/>
    <x v="2"/>
    <x v="8"/>
    <s v="Choucair"/>
    <e v="#NAME?"/>
    <x v="71"/>
    <n v="0.5"/>
    <x v="2"/>
    <s v="Distribuido"/>
    <m/>
    <e v="#NAME?"/>
    <e v="#NAME?"/>
    <e v="#NAME?"/>
    <m/>
    <m/>
    <m/>
    <m/>
    <m/>
    <m/>
  </r>
  <r>
    <s v="C811280"/>
    <s v="SUAREZ RESTREPO, DIANA MARCELA"/>
    <x v="2"/>
    <x v="8"/>
    <s v="BBVA"/>
    <e v="#NAME?"/>
    <x v="84"/>
    <n v="0.25"/>
    <x v="1"/>
    <s v="Distribuido"/>
    <m/>
    <e v="#NAME?"/>
    <e v="#NAME?"/>
    <e v="#NAME?"/>
    <m/>
    <m/>
    <m/>
    <m/>
    <m/>
    <m/>
  </r>
  <r>
    <s v="C811280"/>
    <s v="SUAREZ RESTREPO, DIANA MARCELA"/>
    <x v="2"/>
    <x v="8"/>
    <s v="BBVA"/>
    <e v="#NAME?"/>
    <x v="71"/>
    <n v="0.4"/>
    <x v="1"/>
    <s v="Distribuido"/>
    <m/>
    <e v="#NAME?"/>
    <e v="#NAME?"/>
    <e v="#NAME?"/>
    <m/>
    <m/>
    <m/>
    <m/>
    <m/>
    <m/>
  </r>
  <r>
    <s v="C811280"/>
    <s v="SUAREZ RESTREPO, DIANA MARCELA"/>
    <x v="2"/>
    <x v="8"/>
    <s v="BBVA"/>
    <e v="#NAME?"/>
    <x v="86"/>
    <n v="0.25"/>
    <x v="1"/>
    <s v="Distribuido"/>
    <m/>
    <e v="#NAME?"/>
    <e v="#NAME?"/>
    <e v="#NAME?"/>
    <m/>
    <m/>
    <m/>
    <m/>
    <m/>
    <m/>
  </r>
  <r>
    <s v="C811280"/>
    <s v="SUAREZ RESTREPO, DIANA MARCELA"/>
    <x v="2"/>
    <x v="8"/>
    <s v="BBVA"/>
    <e v="#NAME?"/>
    <x v="85"/>
    <n v="0.1"/>
    <x v="1"/>
    <s v="Distribuido"/>
    <m/>
    <e v="#NAME?"/>
    <e v="#NAME?"/>
    <e v="#NAME?"/>
    <m/>
    <m/>
    <m/>
    <m/>
    <m/>
    <m/>
  </r>
  <r>
    <s v="O001828"/>
    <s v="GILDARDO AGUIRRE RIOS"/>
    <x v="2"/>
    <x v="8"/>
    <s v="BBVA"/>
    <e v="#NAME?"/>
    <x v="3"/>
    <n v="1"/>
    <x v="0"/>
    <s v="Mainframe"/>
    <m/>
    <e v="#NAME?"/>
    <e v="#NAME?"/>
    <e v="#NAME?"/>
    <m/>
    <m/>
    <m/>
    <m/>
    <m/>
    <m/>
  </r>
  <r>
    <s v="C811394"/>
    <s v="ANDRES FELIPE PADILLA ROJAS"/>
    <x v="2"/>
    <x v="8"/>
    <s v="BBVA"/>
    <e v="#NAME?"/>
    <x v="3"/>
    <n v="0.75"/>
    <x v="0"/>
    <s v="Mainframe"/>
    <m/>
    <e v="#NAME?"/>
    <e v="#NAME?"/>
    <e v="#NAME?"/>
    <m/>
    <m/>
    <m/>
    <m/>
    <m/>
    <m/>
  </r>
  <r>
    <s v="C811394"/>
    <s v="ANDRES FELIPE PADILLA ROJAS"/>
    <x v="2"/>
    <x v="8"/>
    <s v="BBVA"/>
    <e v="#NAME?"/>
    <x v="71"/>
    <n v="0.25"/>
    <x v="0"/>
    <s v="Mainframe"/>
    <m/>
    <e v="#NAME?"/>
    <e v="#NAME?"/>
    <e v="#NAME?"/>
    <m/>
    <m/>
    <m/>
    <m/>
    <m/>
    <m/>
  </r>
  <r>
    <s v="O002998"/>
    <s v="MARCO FABIAN ZABALA VILLANUEVA"/>
    <x v="2"/>
    <x v="8"/>
    <s v="BBVA"/>
    <e v="#NAME?"/>
    <x v="3"/>
    <n v="1"/>
    <x v="0"/>
    <s v="Distribuido"/>
    <m/>
    <e v="#NAME?"/>
    <e v="#NAME?"/>
    <e v="#NAME?"/>
    <m/>
    <m/>
    <m/>
    <m/>
    <m/>
    <m/>
  </r>
  <r>
    <s v="CE66758"/>
    <s v="JAIRO LEON ESPITIA BOTIA"/>
    <x v="2"/>
    <x v="8"/>
    <s v="Inetum"/>
    <e v="#NAME?"/>
    <x v="3"/>
    <n v="1"/>
    <x v="0"/>
    <s v="Mainframe"/>
    <m/>
    <e v="#NAME?"/>
    <e v="#NAME?"/>
    <e v="#NAME?"/>
    <m/>
    <m/>
    <m/>
    <m/>
    <m/>
    <m/>
  </r>
  <r>
    <s v="T004057"/>
    <s v="NANCY YASMIDA REATIGA CARVAJAL"/>
    <x v="2"/>
    <x v="8"/>
    <s v="Inetum"/>
    <e v="#NAME?"/>
    <x v="3"/>
    <n v="1"/>
    <x v="0"/>
    <s v="Distribuido"/>
    <m/>
    <e v="#NAME?"/>
    <e v="#NAME?"/>
    <e v="#NAME?"/>
    <m/>
    <m/>
    <m/>
    <m/>
    <m/>
    <m/>
  </r>
  <r>
    <s v="C811251"/>
    <s v="ANGELA LILIANA SAENZ FAJARDO"/>
    <x v="2"/>
    <x v="8"/>
    <s v="BBVA"/>
    <e v="#NAME?"/>
    <x v="3"/>
    <n v="1"/>
    <x v="1"/>
    <s v="Otras Tec."/>
    <m/>
    <e v="#NAME?"/>
    <e v="#NAME?"/>
    <e v="#NAME?"/>
    <m/>
    <m/>
    <m/>
    <m/>
    <m/>
    <m/>
  </r>
  <r>
    <s v="T007576"/>
    <s v="Juan camilo velasquez mantilla"/>
    <x v="2"/>
    <x v="8"/>
    <s v="Inetum"/>
    <e v="#NAME?"/>
    <x v="3"/>
    <n v="0.5"/>
    <x v="0"/>
    <s v="Distribuido"/>
    <m/>
    <e v="#NAME?"/>
    <e v="#NAME?"/>
    <e v="#NAME?"/>
    <m/>
    <m/>
    <m/>
    <m/>
    <m/>
    <m/>
  </r>
  <r>
    <s v="O001037"/>
    <s v="ANDRES CAMILO PARRA SUAREZ"/>
    <x v="2"/>
    <x v="8"/>
    <s v="BBVA"/>
    <e v="#NAME?"/>
    <x v="40"/>
    <n v="0.5"/>
    <x v="0"/>
    <s v="Distribuido"/>
    <m/>
    <e v="#NAME?"/>
    <e v="#NAME?"/>
    <e v="#NAME?"/>
    <m/>
    <m/>
    <m/>
    <m/>
    <m/>
    <m/>
  </r>
  <r>
    <s v="O001037"/>
    <s v="ANDRES CAMILO PARRA SUAREZ"/>
    <x v="2"/>
    <x v="8"/>
    <s v="BBVA"/>
    <e v="#NAME?"/>
    <x v="83"/>
    <n v="0.5"/>
    <x v="0"/>
    <s v="Distribuido"/>
    <m/>
    <e v="#NAME?"/>
    <e v="#NAME?"/>
    <e v="#NAME?"/>
    <m/>
    <m/>
    <m/>
    <m/>
    <m/>
    <m/>
  </r>
  <r>
    <s v="C805314"/>
    <s v="NELSON LEONEL FONSECA OCHOA"/>
    <x v="2"/>
    <x v="8"/>
    <s v="BBVA"/>
    <e v="#NAME?"/>
    <x v="82"/>
    <n v="0.9"/>
    <x v="0"/>
    <s v="Distribuido"/>
    <m/>
    <e v="#NAME?"/>
    <e v="#NAME?"/>
    <e v="#NAME?"/>
    <m/>
    <m/>
    <m/>
    <m/>
    <m/>
    <m/>
  </r>
  <r>
    <s v="C805314"/>
    <s v="NELSON LEONEL FONSECA OCHOA"/>
    <x v="2"/>
    <x v="8"/>
    <s v="BBVA"/>
    <e v="#NAME?"/>
    <x v="82"/>
    <n v="0.1"/>
    <x v="0"/>
    <s v="Distribuido"/>
    <m/>
    <e v="#NAME?"/>
    <e v="#NAME?"/>
    <e v="#NAME?"/>
    <m/>
    <m/>
    <m/>
    <m/>
    <m/>
    <m/>
  </r>
  <r>
    <s v="CE68712"/>
    <s v="EDWARD STIVEN RODRIGUEZ MORENO"/>
    <x v="2"/>
    <x v="8"/>
    <s v="BLUETAB"/>
    <e v="#NAME?"/>
    <x v="82"/>
    <n v="0.3"/>
    <x v="0"/>
    <s v="Otras Tec."/>
    <m/>
    <e v="#NAME?"/>
    <e v="#NAME?"/>
    <e v="#NAME?"/>
    <m/>
    <m/>
    <m/>
    <m/>
    <m/>
    <m/>
  </r>
  <r>
    <s v="CE57396"/>
    <s v="JUAN PABLO AREVALO MERCHAN"/>
    <x v="2"/>
    <x v="8"/>
    <s v="BLUETAB"/>
    <e v="#NAME?"/>
    <x v="82"/>
    <n v="0.3"/>
    <x v="0"/>
    <s v="Otras Tec."/>
    <m/>
    <e v="#NAME?"/>
    <e v="#NAME?"/>
    <e v="#NAME?"/>
    <m/>
    <m/>
    <m/>
    <m/>
    <m/>
    <m/>
  </r>
  <r>
    <s v="O002482"/>
    <s v="SERGIO ANDRES SEPULVEDA CRUZ"/>
    <x v="2"/>
    <x v="8"/>
    <s v="BBVA"/>
    <e v="#NAME?"/>
    <x v="86"/>
    <n v="0.5"/>
    <x v="0"/>
    <s v="Distribuido"/>
    <m/>
    <e v="#NAME?"/>
    <e v="#NAME?"/>
    <e v="#NAME?"/>
    <m/>
    <m/>
    <m/>
    <m/>
    <m/>
    <m/>
  </r>
  <r>
    <s v="O002482"/>
    <s v="SERGIO ANDRES SEPULVEDA CRUZ"/>
    <x v="2"/>
    <x v="8"/>
    <s v="BBVA"/>
    <e v="#NAME?"/>
    <x v="87"/>
    <n v="0.5"/>
    <x v="0"/>
    <s v="Distribuido"/>
    <m/>
    <e v="#NAME?"/>
    <e v="#NAME?"/>
    <e v="#NAME?"/>
    <m/>
    <m/>
    <m/>
    <m/>
    <m/>
    <m/>
  </r>
  <r>
    <s v="C811279"/>
    <s v="FREDY MAURICIO CELY HERNÁNDEZ"/>
    <x v="2"/>
    <x v="8"/>
    <s v="BBVA"/>
    <e v="#NAME?"/>
    <x v="40"/>
    <n v="0.3"/>
    <x v="1"/>
    <s v="Distribuido"/>
    <m/>
    <e v="#NAME?"/>
    <e v="#NAME?"/>
    <e v="#NAME?"/>
    <m/>
    <m/>
    <m/>
    <m/>
    <m/>
    <m/>
  </r>
  <r>
    <s v="C811279"/>
    <s v="FREDY MAURICIO CELY HERNÁNDEZ"/>
    <x v="2"/>
    <x v="8"/>
    <s v="BBVA"/>
    <e v="#NAME?"/>
    <x v="82"/>
    <n v="0.3"/>
    <x v="1"/>
    <s v="Distribuido"/>
    <m/>
    <e v="#NAME?"/>
    <e v="#NAME?"/>
    <e v="#NAME?"/>
    <m/>
    <m/>
    <m/>
    <m/>
    <m/>
    <m/>
  </r>
  <r>
    <s v="C811279"/>
    <s v="FREDY MAURICIO CELY HERNÁNDEZ"/>
    <x v="2"/>
    <x v="8"/>
    <s v="BBVA"/>
    <e v="#NAME?"/>
    <x v="86"/>
    <n v="0.3"/>
    <x v="1"/>
    <s v="Distribuido"/>
    <m/>
    <e v="#NAME?"/>
    <e v="#NAME?"/>
    <e v="#NAME?"/>
    <m/>
    <m/>
    <m/>
    <m/>
    <m/>
    <m/>
  </r>
  <r>
    <s v="C811279"/>
    <s v="FREDY MAURICIO CELY HERNÁNDEZ"/>
    <x v="2"/>
    <x v="8"/>
    <s v="BBVA"/>
    <e v="#NAME?"/>
    <x v="3"/>
    <n v="0.1"/>
    <x v="1"/>
    <s v="Distribuido"/>
    <m/>
    <e v="#NAME?"/>
    <e v="#NAME?"/>
    <e v="#NAME?"/>
    <m/>
    <m/>
    <m/>
    <m/>
    <m/>
    <m/>
  </r>
  <r>
    <s v="C805717"/>
    <s v="ANDRES CAMILO BOHORQUEZ CASTILLO"/>
    <x v="0"/>
    <x v="10"/>
    <s v="BBVA"/>
    <e v="#NAME?"/>
    <x v="88"/>
    <n v="1"/>
    <x v="0"/>
    <s v="ASO"/>
    <s v="Interno"/>
    <e v="#NAME?"/>
    <e v="#NAME?"/>
    <e v="#NAME?"/>
    <m/>
    <m/>
    <m/>
    <m/>
    <m/>
    <m/>
  </r>
  <r>
    <s v="C810865"/>
    <s v="AUGUSTO CARDONA GIRALDO"/>
    <x v="0"/>
    <x v="10"/>
    <s v="BBVA"/>
    <e v="#NAME?"/>
    <x v="89"/>
    <n v="1"/>
    <x v="0"/>
    <s v="Cells"/>
    <s v="Interno"/>
    <e v="#NAME?"/>
    <e v="#NAME?"/>
    <e v="#NAME?"/>
    <m/>
    <m/>
    <m/>
    <m/>
    <m/>
    <m/>
  </r>
  <r>
    <s v="CE68863"/>
    <s v="JUAN CAMILO CASTANO RAMIREZ"/>
    <x v="0"/>
    <x v="10"/>
    <s v="GGI / CMC"/>
    <e v="#NAME?"/>
    <x v="90"/>
    <n v="1"/>
    <x v="2"/>
    <s v="Distribuido"/>
    <s v="Externo"/>
    <e v="#NAME?"/>
    <e v="#NAME?"/>
    <e v="#NAME?"/>
    <m/>
    <m/>
    <m/>
    <m/>
    <m/>
    <m/>
  </r>
  <r>
    <s v="CE68333"/>
    <s v="DANIEL FERNANDO DIAZ CACERES"/>
    <x v="0"/>
    <x v="10"/>
    <s v="GGI / CMC"/>
    <e v="#NAME?"/>
    <x v="91"/>
    <n v="1"/>
    <x v="2"/>
    <s v="Distribuido"/>
    <s v="Externo"/>
    <e v="#NAME?"/>
    <e v="#NAME?"/>
    <e v="#NAME?"/>
    <m/>
    <m/>
    <m/>
    <m/>
    <m/>
    <m/>
  </r>
  <r>
    <s v="C811398"/>
    <s v="EDISSON ARMANDO BLANCO SALAMANCA"/>
    <x v="0"/>
    <x v="10"/>
    <s v="BBVA"/>
    <e v="#NAME?"/>
    <x v="88"/>
    <n v="1"/>
    <x v="0"/>
    <s v="Cells"/>
    <s v="Interno"/>
    <e v="#NAME?"/>
    <e v="#NAME?"/>
    <e v="#NAME?"/>
    <m/>
    <m/>
    <m/>
    <m/>
    <m/>
    <m/>
  </r>
  <r>
    <s v="CE48026"/>
    <s v="GIOVANNY ALEXANDER PEÑA GUTIÉRREZ"/>
    <x v="0"/>
    <x v="10"/>
    <s v="Novatec"/>
    <e v="#NAME?"/>
    <x v="88"/>
    <n v="1"/>
    <x v="0"/>
    <s v="ASO"/>
    <s v="Externo"/>
    <e v="#NAME?"/>
    <e v="#NAME?"/>
    <e v="#NAME?"/>
    <m/>
    <m/>
    <m/>
    <m/>
    <m/>
    <m/>
  </r>
  <r>
    <s v="CE62622"/>
    <s v="HERNAN DARIO RAMOS ORTIZ"/>
    <x v="0"/>
    <x v="10"/>
    <s v="Novatec"/>
    <e v="#NAME?"/>
    <x v="89"/>
    <n v="1"/>
    <x v="0"/>
    <s v="ASO"/>
    <s v="Externo"/>
    <e v="#NAME?"/>
    <e v="#NAME?"/>
    <e v="#NAME?"/>
    <m/>
    <m/>
    <m/>
    <m/>
    <m/>
    <m/>
  </r>
  <r>
    <s v="CE68193"/>
    <s v="JOAN FEDERICO MARIN RUIZ"/>
    <x v="0"/>
    <x v="10"/>
    <s v="Choucair"/>
    <e v="#NAME?"/>
    <x v="89"/>
    <n v="1"/>
    <x v="2"/>
    <s v="ASO"/>
    <s v="Externo"/>
    <e v="#NAME?"/>
    <e v="#NAME?"/>
    <e v="#NAME?"/>
    <m/>
    <m/>
    <m/>
    <m/>
    <m/>
    <m/>
  </r>
  <r>
    <s v="CE65559"/>
    <s v="JOHN MARLON NUÑEZ NIÑO"/>
    <x v="0"/>
    <x v="10"/>
    <s v="Neoris"/>
    <e v="#NAME?"/>
    <x v="91"/>
    <n v="1"/>
    <x v="0"/>
    <s v="ASO"/>
    <s v="Externo"/>
    <e v="#NAME?"/>
    <e v="#NAME?"/>
    <e v="#NAME?"/>
    <m/>
    <m/>
    <m/>
    <m/>
    <m/>
    <m/>
  </r>
  <r>
    <s v="C811355"/>
    <s v="JORGE ANDRES REINA ANGULO"/>
    <x v="0"/>
    <x v="10"/>
    <s v="BBVA"/>
    <e v="#NAME?"/>
    <x v="88"/>
    <n v="1"/>
    <x v="0"/>
    <s v="APX"/>
    <s v="Interno"/>
    <e v="#NAME?"/>
    <e v="#NAME?"/>
    <e v="#NAME?"/>
    <m/>
    <m/>
    <m/>
    <m/>
    <m/>
    <m/>
  </r>
  <r>
    <s v="T007488"/>
    <s v="JUAN ESTEBAN ALARCON MIRANDA"/>
    <x v="0"/>
    <x v="10"/>
    <s v="Indra"/>
    <e v="#NAME?"/>
    <x v="89"/>
    <n v="1"/>
    <x v="0"/>
    <s v="APX"/>
    <s v="Externo"/>
    <e v="#NAME?"/>
    <e v="#NAME?"/>
    <e v="#NAME?"/>
    <m/>
    <m/>
    <m/>
    <m/>
    <m/>
    <m/>
  </r>
  <r>
    <s v="CE57488"/>
    <s v="JULIAN FERNANDO MARTINEZ RODRIGUEZ"/>
    <x v="0"/>
    <x v="10"/>
    <s v="Indra"/>
    <e v="#NAME?"/>
    <x v="89"/>
    <n v="1"/>
    <x v="0"/>
    <s v="ASO"/>
    <s v="Externo"/>
    <e v="#NAME?"/>
    <e v="#NAME?"/>
    <e v="#NAME?"/>
    <m/>
    <m/>
    <m/>
    <m/>
    <m/>
    <m/>
  </r>
  <r>
    <s v="T011800"/>
    <s v="LEIDY CATERINE ARIZA BALLESTEROS"/>
    <x v="0"/>
    <x v="10"/>
    <s v="Novatec"/>
    <e v="#NAME?"/>
    <x v="92"/>
    <n v="1"/>
    <x v="0"/>
    <s v="Mainframe"/>
    <s v="Externo"/>
    <e v="#NAME?"/>
    <e v="#NAME?"/>
    <e v="#NAME?"/>
    <m/>
    <m/>
    <m/>
    <m/>
    <m/>
    <m/>
  </r>
  <r>
    <s v="T011110"/>
    <s v="LUIS ALEJANDRO BURGOS"/>
    <x v="0"/>
    <x v="10"/>
    <s v="Indra"/>
    <e v="#NAME?"/>
    <x v="89"/>
    <n v="1"/>
    <x v="0"/>
    <s v="Cells"/>
    <s v="Externo"/>
    <e v="#NAME?"/>
    <e v="#NAME?"/>
    <e v="#NAME?"/>
    <m/>
    <m/>
    <m/>
    <m/>
    <m/>
    <m/>
  </r>
  <r>
    <s v="CE29535"/>
    <s v="LUIS FERNANDO PEÑA CAICEDO"/>
    <x v="0"/>
    <x v="10"/>
    <s v="Inetum"/>
    <e v="#NAME?"/>
    <x v="88"/>
    <n v="1"/>
    <x v="0"/>
    <s v="Distribuido"/>
    <s v="Externo"/>
    <e v="#NAME?"/>
    <e v="#NAME?"/>
    <e v="#NAME?"/>
    <m/>
    <m/>
    <m/>
    <m/>
    <m/>
    <m/>
  </r>
  <r>
    <s v="C783731"/>
    <s v="MARCO JULIO GOMEZ AMADO"/>
    <x v="0"/>
    <x v="10"/>
    <s v="BBVA"/>
    <e v="#NAME?"/>
    <x v="88"/>
    <n v="0.5"/>
    <x v="1"/>
    <s v="Mainframe"/>
    <s v="Interno"/>
    <e v="#NAME?"/>
    <e v="#NAME?"/>
    <e v="#NAME?"/>
    <m/>
    <m/>
    <m/>
    <m/>
    <m/>
    <m/>
  </r>
  <r>
    <s v="C783731"/>
    <s v="MARCO JULIO GOMEZ AMADO"/>
    <x v="0"/>
    <x v="10"/>
    <s v="BBVA"/>
    <e v="#NAME?"/>
    <x v="90"/>
    <n v="0.5"/>
    <x v="1"/>
    <s v="Mainframe"/>
    <s v="Interno"/>
    <e v="#NAME?"/>
    <e v="#NAME?"/>
    <e v="#NAME?"/>
    <m/>
    <m/>
    <m/>
    <m/>
    <m/>
    <m/>
  </r>
  <r>
    <s v="CE30639"/>
    <s v="MARIO FERNANDO RAMIREZ LEGUIZAMON"/>
    <x v="0"/>
    <x v="10"/>
    <s v="GGI / CMC"/>
    <e v="#NAME?"/>
    <x v="92"/>
    <n v="0.5"/>
    <x v="2"/>
    <s v="Distribuido"/>
    <s v="Externo"/>
    <e v="#NAME?"/>
    <e v="#NAME?"/>
    <e v="#NAME?"/>
    <m/>
    <m/>
    <m/>
    <m/>
    <m/>
    <m/>
  </r>
  <r>
    <s v="CE30639"/>
    <s v="MARIO FERNANDO RAMIREZ LEGUIZAMON"/>
    <x v="0"/>
    <x v="10"/>
    <s v="GGI / CMC"/>
    <e v="#NAME?"/>
    <x v="91"/>
    <n v="0.5"/>
    <x v="2"/>
    <s v="Distribuido"/>
    <s v="Externo"/>
    <e v="#NAME?"/>
    <e v="#NAME?"/>
    <e v="#NAME?"/>
    <m/>
    <m/>
    <m/>
    <m/>
    <m/>
    <m/>
  </r>
  <r>
    <s v="XP60574"/>
    <s v="PEDRO MOLLEHUANCA TORRES"/>
    <x v="0"/>
    <x v="10"/>
    <s v="Indra"/>
    <e v="#NAME?"/>
    <x v="89"/>
    <n v="1"/>
    <x v="0"/>
    <s v="Cells"/>
    <s v="Externo"/>
    <e v="#NAME?"/>
    <e v="#NAME?"/>
    <e v="#NAME?"/>
    <m/>
    <m/>
    <m/>
    <m/>
    <m/>
    <m/>
  </r>
  <r>
    <s v="CE70178 "/>
    <s v="SERGIO ANDRES BRAVO ROMERO"/>
    <x v="0"/>
    <x v="10"/>
    <s v="Neoris"/>
    <e v="#NAME?"/>
    <x v="88"/>
    <n v="1"/>
    <x v="0"/>
    <s v="APX"/>
    <s v="Externo"/>
    <e v="#NAME?"/>
    <e v="#NAME?"/>
    <e v="#NAME?"/>
    <m/>
    <m/>
    <m/>
    <m/>
    <m/>
    <m/>
  </r>
  <r>
    <s v="T007666"/>
    <s v="TEDDY JEFERSON POVEDA SARAY"/>
    <x v="0"/>
    <x v="10"/>
    <s v="GGI / CMC"/>
    <e v="#NAME?"/>
    <x v="89"/>
    <n v="1"/>
    <x v="0"/>
    <s v="Distribuido"/>
    <s v="Externo"/>
    <e v="#NAME?"/>
    <e v="#NAME?"/>
    <e v="#NAME?"/>
    <m/>
    <m/>
    <m/>
    <m/>
    <m/>
    <m/>
  </r>
  <r>
    <s v="C811395"/>
    <s v="VICTOR MANUEL PEREZ CONTRERAS"/>
    <x v="0"/>
    <x v="10"/>
    <s v="BBVA"/>
    <e v="#NAME?"/>
    <x v="89"/>
    <n v="1"/>
    <x v="0"/>
    <s v="APX"/>
    <s v="Interno"/>
    <e v="#NAME?"/>
    <e v="#NAME?"/>
    <e v="#NAME?"/>
    <m/>
    <m/>
    <m/>
    <m/>
    <m/>
    <m/>
  </r>
  <r>
    <s v="C810827"/>
    <s v="WILLIAM CAMILO RUBIO QUINTERO"/>
    <x v="0"/>
    <x v="10"/>
    <s v="BBVA"/>
    <e v="#NAME?"/>
    <x v="89"/>
    <n v="1"/>
    <x v="1"/>
    <s v="ASO"/>
    <s v="Interno"/>
    <e v="#NAME?"/>
    <e v="#NAME?"/>
    <e v="#NAME?"/>
    <m/>
    <m/>
    <m/>
    <m/>
    <m/>
    <m/>
  </r>
  <r>
    <s v="C805746"/>
    <s v="LAURA NATHALY NIETO AMAYA"/>
    <x v="0"/>
    <x v="10"/>
    <s v="BBVA"/>
    <e v="#NAME?"/>
    <x v="92"/>
    <n v="1"/>
    <x v="1"/>
    <s v="Mainframe"/>
    <s v="Interno"/>
    <e v="#NAME?"/>
    <e v="#NAME?"/>
    <e v="#NAME?"/>
    <m/>
    <m/>
    <m/>
    <m/>
    <m/>
    <m/>
  </r>
  <r>
    <s v="C804121"/>
    <s v="HECTOR JESUS SISO JIMENEZ"/>
    <x v="0"/>
    <x v="10"/>
    <s v="BBVA"/>
    <e v="#NAME?"/>
    <x v="92"/>
    <n v="0.5"/>
    <x v="1"/>
    <s v="APX"/>
    <s v="Interno"/>
    <e v="#NAME?"/>
    <e v="#NAME?"/>
    <e v="#NAME?"/>
    <m/>
    <m/>
    <m/>
    <m/>
    <m/>
    <m/>
  </r>
  <r>
    <s v="C804121"/>
    <s v="HECTOR JESUS SISO JIMENEZ"/>
    <x v="0"/>
    <x v="10"/>
    <s v="BBVA"/>
    <e v="#NAME?"/>
    <x v="3"/>
    <n v="0.5"/>
    <x v="3"/>
    <s v="APX"/>
    <m/>
    <e v="#NAME?"/>
    <e v="#NAME?"/>
    <e v="#NAME?"/>
    <m/>
    <m/>
    <m/>
    <m/>
    <m/>
    <m/>
  </r>
  <r>
    <s v="C811232"/>
    <s v="CARLOS ANDRES SUAREZ"/>
    <x v="0"/>
    <x v="10"/>
    <s v="BBVA"/>
    <e v="#NAME?"/>
    <x v="90"/>
    <n v="1"/>
    <x v="0"/>
    <s v="Cells"/>
    <m/>
    <e v="#NAME?"/>
    <e v="#NAME?"/>
    <e v="#NAME?"/>
    <m/>
    <m/>
    <m/>
    <m/>
    <m/>
    <m/>
  </r>
  <r>
    <s v="C811390"/>
    <s v="WILMAR CRUZ MORA"/>
    <x v="0"/>
    <x v="10"/>
    <s v="BBVA"/>
    <e v="#NAME?"/>
    <x v="3"/>
    <n v="1"/>
    <x v="0"/>
    <s v="Mainframe"/>
    <m/>
    <e v="#NAME?"/>
    <e v="#NAME?"/>
    <e v="#NAME?"/>
    <m/>
    <m/>
    <m/>
    <m/>
    <m/>
    <m/>
  </r>
  <r>
    <s v="O002008"/>
    <s v="ANDRES ALBERTO ARIZA "/>
    <x v="0"/>
    <x v="10"/>
    <s v="BBVA"/>
    <e v="#NAME?"/>
    <x v="90"/>
    <n v="1"/>
    <x v="1"/>
    <s v="ASO"/>
    <m/>
    <e v="#NAME?"/>
    <e v="#NAME?"/>
    <e v="#NAME?"/>
    <m/>
    <m/>
    <m/>
    <m/>
    <m/>
    <m/>
  </r>
  <r>
    <s v="O001644"/>
    <s v="JOSE LUIS SARTA ALVAREZ"/>
    <x v="0"/>
    <x v="10"/>
    <s v="BBVA"/>
    <e v="#NAME?"/>
    <x v="3"/>
    <n v="1"/>
    <x v="0"/>
    <s v="Cells"/>
    <m/>
    <e v="#NAME?"/>
    <e v="#NAME?"/>
    <e v="#NAME?"/>
    <m/>
    <m/>
    <m/>
    <m/>
    <m/>
    <m/>
  </r>
  <r>
    <s v="O004968"/>
    <s v="DANIEL FERNANDO USECHE"/>
    <x v="0"/>
    <x v="10"/>
    <s v="BBVA"/>
    <e v="#NAME?"/>
    <x v="3"/>
    <n v="1"/>
    <x v="0"/>
    <s v="ASO"/>
    <m/>
    <e v="#NAME?"/>
    <e v="#NAME?"/>
    <e v="#NAME?"/>
    <m/>
    <m/>
    <m/>
    <m/>
    <m/>
    <m/>
  </r>
  <r>
    <s v="T011807"/>
    <s v="DARLY FERNANDA SANDOVAL PLAZAS"/>
    <x v="0"/>
    <x v="10"/>
    <s v="Novatec"/>
    <e v="#NAME?"/>
    <x v="92"/>
    <n v="0.1"/>
    <x v="3"/>
    <s v="Otras Tec."/>
    <m/>
    <e v="#NAME?"/>
    <e v="#NAME?"/>
    <e v="#NAME?"/>
    <m/>
    <m/>
    <m/>
    <m/>
    <m/>
    <m/>
  </r>
  <r>
    <s v="T011807"/>
    <s v="DARLY FERNANDA SANDOVAL PLAZAS"/>
    <x v="0"/>
    <x v="10"/>
    <s v="Novatec"/>
    <e v="#NAME?"/>
    <x v="89"/>
    <n v="0.15"/>
    <x v="3"/>
    <s v="Otras Tec."/>
    <m/>
    <e v="#NAME?"/>
    <e v="#NAME?"/>
    <e v="#NAME?"/>
    <m/>
    <m/>
    <m/>
    <m/>
    <m/>
    <m/>
  </r>
  <r>
    <s v="T011807"/>
    <s v="DARLY FERNANDA SANDOVAL PLAZAS"/>
    <x v="0"/>
    <x v="10"/>
    <s v="Novatec"/>
    <e v="#NAME?"/>
    <x v="88"/>
    <n v="0.15"/>
    <x v="3"/>
    <s v="Otras Tec."/>
    <m/>
    <e v="#NAME?"/>
    <e v="#NAME?"/>
    <e v="#NAME?"/>
    <m/>
    <m/>
    <m/>
    <m/>
    <m/>
    <m/>
  </r>
  <r>
    <s v="T011807"/>
    <s v="DARLY FERNANDA SANDOVAL PLAZAS"/>
    <x v="0"/>
    <x v="10"/>
    <s v="Novatec"/>
    <e v="#NAME?"/>
    <x v="90"/>
    <n v="0.15"/>
    <x v="3"/>
    <s v="Otras Tec."/>
    <m/>
    <e v="#NAME?"/>
    <e v="#NAME?"/>
    <e v="#NAME?"/>
    <m/>
    <m/>
    <m/>
    <m/>
    <m/>
    <m/>
  </r>
  <r>
    <s v="T011807"/>
    <s v="DARLY FERNANDA SANDOVAL PLAZAS"/>
    <x v="0"/>
    <x v="3"/>
    <s v="Novatec"/>
    <e v="#NAME?"/>
    <x v="93"/>
    <n v="0.15"/>
    <x v="3"/>
    <s v="Otras Tec."/>
    <m/>
    <e v="#NAME?"/>
    <e v="#NAME?"/>
    <e v="#NAME?"/>
    <m/>
    <m/>
    <m/>
    <m/>
    <m/>
    <m/>
  </r>
  <r>
    <s v="T011807"/>
    <s v="DARLY FERNANDA SANDOVAL PLAZAS"/>
    <x v="0"/>
    <x v="3"/>
    <s v="Novatec"/>
    <e v="#NAME?"/>
    <x v="22"/>
    <n v="0.15"/>
    <x v="3"/>
    <s v="Otras Tec."/>
    <m/>
    <e v="#NAME?"/>
    <e v="#NAME?"/>
    <e v="#NAME?"/>
    <m/>
    <m/>
    <m/>
    <m/>
    <m/>
    <m/>
  </r>
  <r>
    <s v="T011807"/>
    <s v="DARLY FERNANDA SANDOVAL PLAZAS"/>
    <x v="0"/>
    <x v="10"/>
    <s v="Novatec"/>
    <e v="#NAME?"/>
    <x v="94"/>
    <n v="0.15"/>
    <x v="3"/>
    <s v="Otras Tec."/>
    <m/>
    <e v="#NAME?"/>
    <e v="#NAME?"/>
    <e v="#NAME?"/>
    <m/>
    <m/>
    <m/>
    <m/>
    <m/>
    <m/>
  </r>
  <r>
    <s v="CE51863"/>
    <s v="EDNA ROCIO MONCADA"/>
    <x v="0"/>
    <x v="10"/>
    <s v="KRYPTO"/>
    <e v="#NAME?"/>
    <x v="92"/>
    <n v="7.0000000000000007E-2"/>
    <x v="2"/>
    <s v="Distribuido"/>
    <s v="QC"/>
    <e v="#NAME?"/>
    <e v="#NAME?"/>
    <e v="#NAME?"/>
    <e v="#N/A"/>
    <e v="#N/A"/>
    <e v="#REF!"/>
    <m/>
    <m/>
    <m/>
  </r>
  <r>
    <s v="CE51863"/>
    <s v="EDNA ROCIO MONCADA"/>
    <x v="0"/>
    <x v="10"/>
    <s v="KRYPTO"/>
    <e v="#NAME?"/>
    <x v="89"/>
    <n v="7.0000000000000007E-2"/>
    <x v="2"/>
    <s v="Distribuido"/>
    <s v="QC"/>
    <e v="#NAME?"/>
    <e v="#NAME?"/>
    <e v="#NAME?"/>
    <e v="#N/A"/>
    <e v="#N/A"/>
    <e v="#REF!"/>
    <m/>
    <m/>
    <m/>
  </r>
  <r>
    <s v="CE51863"/>
    <s v="EDNA ROCIO MONCADA"/>
    <x v="0"/>
    <x v="10"/>
    <s v="KRYPTO"/>
    <e v="#NAME?"/>
    <x v="88"/>
    <n v="7.0000000000000007E-2"/>
    <x v="2"/>
    <s v="Distribuido"/>
    <s v="QC"/>
    <e v="#NAME?"/>
    <e v="#NAME?"/>
    <e v="#NAME?"/>
    <e v="#N/A"/>
    <e v="#N/A"/>
    <e v="#REF!"/>
    <m/>
    <m/>
    <m/>
  </r>
  <r>
    <s v="CE51863"/>
    <s v="EDNA ROCIO MONCADA"/>
    <x v="0"/>
    <x v="10"/>
    <s v="KRYPTO"/>
    <e v="#NAME?"/>
    <x v="90"/>
    <n v="7.0000000000000007E-2"/>
    <x v="2"/>
    <s v="Distribuido"/>
    <s v="QC"/>
    <e v="#NAME?"/>
    <e v="#NAME?"/>
    <e v="#NAME?"/>
    <e v="#N/A"/>
    <e v="#N/A"/>
    <e v="#REF!"/>
    <m/>
    <m/>
    <m/>
  </r>
  <r>
    <s v="CE51863"/>
    <s v="EDNA ROCIO MONCADA"/>
    <x v="0"/>
    <x v="3"/>
    <s v="KRYPTO"/>
    <e v="#NAME?"/>
    <x v="93"/>
    <n v="7.0000000000000007E-2"/>
    <x v="2"/>
    <s v="Distribuido"/>
    <s v="QC"/>
    <e v="#NAME?"/>
    <e v="#NAME?"/>
    <e v="#NAME?"/>
    <e v="#N/A"/>
    <e v="#N/A"/>
    <e v="#REF!"/>
    <m/>
    <m/>
    <m/>
  </r>
  <r>
    <s v="CE51863"/>
    <s v="EDNA ROCIO MONCADA"/>
    <x v="0"/>
    <x v="3"/>
    <s v="KRYPTO"/>
    <e v="#NAME?"/>
    <x v="22"/>
    <n v="7.0000000000000007E-2"/>
    <x v="2"/>
    <s v="Distribuido"/>
    <s v="QC"/>
    <e v="#NAME?"/>
    <e v="#NAME?"/>
    <e v="#NAME?"/>
    <e v="#N/A"/>
    <e v="#N/A"/>
    <e v="#REF!"/>
    <m/>
    <m/>
    <m/>
  </r>
  <r>
    <s v="CE51863"/>
    <s v="EDNA ROCIO MONCADA"/>
    <x v="0"/>
    <x v="10"/>
    <s v="KRYPTO"/>
    <e v="#NAME?"/>
    <x v="94"/>
    <n v="7.0000000000000007E-2"/>
    <x v="2"/>
    <s v="Distribuido"/>
    <s v="QC"/>
    <e v="#NAME?"/>
    <e v="#NAME?"/>
    <e v="#NAME?"/>
    <e v="#N/A"/>
    <e v="#N/A"/>
    <e v="#REF!"/>
    <m/>
    <m/>
    <m/>
  </r>
  <r>
    <s v="CE65205"/>
    <s v="OSCAR JAVIER ALVAREZ CAMACHO"/>
    <x v="0"/>
    <x v="10"/>
    <s v="GGI / CMC"/>
    <e v="#NAME?"/>
    <x v="89"/>
    <n v="0.1"/>
    <x v="3"/>
    <s v="Distribuido"/>
    <s v="Despliegues"/>
    <e v="#NAME?"/>
    <e v="#NAME?"/>
    <e v="#NAME?"/>
    <m/>
    <m/>
    <m/>
    <m/>
    <m/>
    <m/>
  </r>
  <r>
    <s v="CE65205"/>
    <s v="OSCAR JAVIER ALVAREZ CAMACHO"/>
    <x v="0"/>
    <x v="10"/>
    <s v="GGI / CMC"/>
    <e v="#NAME?"/>
    <x v="92"/>
    <n v="0.15"/>
    <x v="3"/>
    <s v="Distribuido"/>
    <s v="Despliegues"/>
    <e v="#NAME?"/>
    <e v="#NAME?"/>
    <e v="#NAME?"/>
    <m/>
    <m/>
    <m/>
    <m/>
    <m/>
    <m/>
  </r>
  <r>
    <s v="CE65205"/>
    <s v="OSCAR JAVIER ALVAREZ CAMACHO"/>
    <x v="0"/>
    <x v="10"/>
    <s v="GGI / CMC"/>
    <e v="#NAME?"/>
    <x v="90"/>
    <n v="0.15"/>
    <x v="3"/>
    <s v="Distribuido"/>
    <s v="Despliegues"/>
    <e v="#NAME?"/>
    <e v="#NAME?"/>
    <e v="#NAME?"/>
    <m/>
    <m/>
    <m/>
    <m/>
    <m/>
    <m/>
  </r>
  <r>
    <s v="CE65205"/>
    <s v="OSCAR JAVIER ALVAREZ CAMACHO"/>
    <x v="0"/>
    <x v="10"/>
    <s v="GGI / CMC"/>
    <e v="#NAME?"/>
    <x v="88"/>
    <n v="0.15"/>
    <x v="3"/>
    <s v="Distribuido"/>
    <s v="Despliegues"/>
    <e v="#NAME?"/>
    <e v="#NAME?"/>
    <e v="#NAME?"/>
    <m/>
    <m/>
    <m/>
    <m/>
    <m/>
    <m/>
  </r>
  <r>
    <s v="CE65205"/>
    <s v="OSCAR JAVIER ALVAREZ CAMACHO"/>
    <x v="0"/>
    <x v="3"/>
    <s v="KRYPTO"/>
    <e v="#NAME?"/>
    <x v="93"/>
    <n v="0.15"/>
    <x v="3"/>
    <s v="Distribuido"/>
    <s v="Despliegues"/>
    <e v="#NAME?"/>
    <e v="#NAME?"/>
    <e v="#NAME?"/>
    <e v="#N/A"/>
    <e v="#N/A"/>
    <e v="#REF!"/>
    <m/>
    <m/>
    <m/>
  </r>
  <r>
    <s v="CE65205"/>
    <s v="OSCAR JAVIER ALVAREZ CAMACHO"/>
    <x v="0"/>
    <x v="3"/>
    <s v="KRYPTO"/>
    <e v="#NAME?"/>
    <x v="22"/>
    <n v="0.15"/>
    <x v="3"/>
    <s v="Distribuido"/>
    <s v="Despliegues"/>
    <e v="#NAME?"/>
    <e v="#NAME?"/>
    <e v="#NAME?"/>
    <e v="#N/A"/>
    <e v="#N/A"/>
    <e v="#REF!"/>
    <m/>
    <m/>
    <m/>
  </r>
  <r>
    <s v="CE65205"/>
    <s v="OSCAR JAVIER ALVAREZ CAMACHO"/>
    <x v="0"/>
    <x v="10"/>
    <s v="KRYPTO"/>
    <e v="#NAME?"/>
    <x v="94"/>
    <n v="0.15"/>
    <x v="3"/>
    <s v="Distribuido"/>
    <s v="Despliegues"/>
    <e v="#NAME?"/>
    <e v="#NAME?"/>
    <e v="#NAME?"/>
    <e v="#N/A"/>
    <e v="#N/A"/>
    <e v="#REF!"/>
    <m/>
    <m/>
    <m/>
  </r>
  <r>
    <s v="C811392"/>
    <s v="LEONARDO SIMBAQUEBA ESGUERRA"/>
    <x v="3"/>
    <x v="11"/>
    <s v="BBVA"/>
    <e v="#NAME?"/>
    <x v="3"/>
    <n v="1"/>
    <x v="0"/>
    <m/>
    <s v="Interno"/>
    <e v="#NAME?"/>
    <e v="#NAME?"/>
    <e v="#NAME?"/>
    <m/>
    <m/>
    <m/>
    <m/>
    <m/>
    <n v="1"/>
  </r>
  <r>
    <s v="C341681"/>
    <s v="RICARDO ALEXANDER CALVO JIMENEZ"/>
    <x v="2"/>
    <x v="8"/>
    <s v="BBVA"/>
    <e v="#NAME?"/>
    <x v="6"/>
    <n v="1"/>
    <x v="0"/>
    <s v="Otras Tec."/>
    <s v="Interno"/>
    <e v="#NAME?"/>
    <e v="#NAME?"/>
    <e v="#NAME?"/>
    <m/>
    <m/>
    <m/>
    <m/>
    <m/>
    <m/>
  </r>
  <r>
    <s v="C342316"/>
    <s v="ANA MILENA GARCIA COBO"/>
    <x v="2"/>
    <x v="8"/>
    <s v="BBVA"/>
    <e v="#NAME?"/>
    <x v="87"/>
    <n v="0.7"/>
    <x v="0"/>
    <s v="Distribuido"/>
    <s v="Interno"/>
    <e v="#NAME?"/>
    <e v="#NAME?"/>
    <e v="#NAME?"/>
    <m/>
    <m/>
    <m/>
    <m/>
    <m/>
    <m/>
  </r>
  <r>
    <s v="C342316"/>
    <s v="ANA MILENA GARCIA COBO"/>
    <x v="2"/>
    <x v="8"/>
    <s v="BBVA"/>
    <e v="#NAME?"/>
    <x v="71"/>
    <n v="0.3"/>
    <x v="0"/>
    <s v="Distribuido"/>
    <s v="Interno"/>
    <e v="#NAME?"/>
    <e v="#NAME?"/>
    <e v="#NAME?"/>
    <m/>
    <m/>
    <m/>
    <m/>
    <m/>
    <m/>
  </r>
  <r>
    <s v="C808875"/>
    <s v="YEIMY PAOLA PERDOMO"/>
    <x v="2"/>
    <x v="8"/>
    <s v="BBVA"/>
    <e v="#NAME?"/>
    <x v="87"/>
    <n v="1"/>
    <x v="0"/>
    <s v="Otras Tec."/>
    <s v="Interno"/>
    <e v="#NAME?"/>
    <e v="#NAME?"/>
    <e v="#NAME?"/>
    <m/>
    <m/>
    <m/>
    <m/>
    <m/>
    <m/>
  </r>
  <r>
    <s v="C809591"/>
    <s v="KEVIN ORLANDO OJEDA"/>
    <x v="2"/>
    <x v="8"/>
    <s v="BBVA"/>
    <e v="#NAME?"/>
    <x v="83"/>
    <n v="0.65"/>
    <x v="0"/>
    <s v="Otras Tec."/>
    <s v="Interno"/>
    <e v="#NAME?"/>
    <e v="#NAME?"/>
    <e v="#NAME?"/>
    <m/>
    <m/>
    <m/>
    <m/>
    <m/>
    <m/>
  </r>
  <r>
    <s v="C809591"/>
    <s v="KEVIN ORLANDO OJEDA"/>
    <x v="2"/>
    <x v="8"/>
    <s v="BBVA"/>
    <e v="#NAME?"/>
    <x v="71"/>
    <n v="0.25"/>
    <x v="0"/>
    <s v="Otras Tec."/>
    <s v="Interno"/>
    <e v="#NAME?"/>
    <e v="#NAME?"/>
    <e v="#NAME?"/>
    <m/>
    <m/>
    <m/>
    <m/>
    <m/>
    <m/>
  </r>
  <r>
    <s v="C809591"/>
    <s v="KEVIN ORLANDO OJEDA"/>
    <x v="2"/>
    <x v="8"/>
    <s v="BBVA"/>
    <e v="#NAME?"/>
    <x v="85"/>
    <n v="0.1"/>
    <x v="0"/>
    <s v="Otras Tec."/>
    <s v="Interno"/>
    <e v="#NAME?"/>
    <e v="#NAME?"/>
    <e v="#NAME?"/>
    <m/>
    <m/>
    <m/>
    <m/>
    <m/>
    <m/>
  </r>
  <r>
    <s v="C810959"/>
    <s v="MARCO HERNAN CASTELLANOS"/>
    <x v="2"/>
    <x v="8"/>
    <s v="BBVA"/>
    <e v="#NAME?"/>
    <x v="6"/>
    <n v="0.4"/>
    <x v="0"/>
    <s v="Otras Tec."/>
    <s v="Interno"/>
    <e v="#NAME?"/>
    <e v="#NAME?"/>
    <e v="#NAME?"/>
    <m/>
    <m/>
    <m/>
    <m/>
    <m/>
    <m/>
  </r>
  <r>
    <s v="C810959"/>
    <s v="MARCO HERNAN CASTELLANOS"/>
    <x v="2"/>
    <x v="8"/>
    <s v="BBVA"/>
    <e v="#NAME?"/>
    <x v="83"/>
    <n v="0.2"/>
    <x v="0"/>
    <s v="Otras Tec."/>
    <s v="Interno"/>
    <e v="#NAME?"/>
    <e v="#NAME?"/>
    <e v="#NAME?"/>
    <m/>
    <m/>
    <m/>
    <m/>
    <m/>
    <m/>
  </r>
  <r>
    <s v="C810959"/>
    <s v="MARCO HERNAN CASTELLANOS"/>
    <x v="2"/>
    <x v="8"/>
    <s v="BBVA"/>
    <e v="#NAME?"/>
    <x v="71"/>
    <n v="0.2"/>
    <x v="0"/>
    <s v="Otras Tec."/>
    <s v="Interno"/>
    <e v="#NAME?"/>
    <e v="#NAME?"/>
    <e v="#NAME?"/>
    <m/>
    <m/>
    <m/>
    <m/>
    <m/>
    <m/>
  </r>
  <r>
    <s v="C810959"/>
    <s v="MARCO HERNAN CASTELLANOS"/>
    <x v="2"/>
    <x v="8"/>
    <s v="BBVA"/>
    <e v="#NAME?"/>
    <x v="3"/>
    <n v="0.2"/>
    <x v="0"/>
    <s v="Otras Tec."/>
    <s v="Interno"/>
    <e v="#NAME?"/>
    <e v="#NAME?"/>
    <e v="#NAME?"/>
    <m/>
    <m/>
    <m/>
    <m/>
    <m/>
    <m/>
  </r>
  <r>
    <s v="CE66252"/>
    <s v="JORGE ENRIQUE CARRILLO DIAZ"/>
    <x v="2"/>
    <x v="8"/>
    <s v="GGI / CMC"/>
    <e v="#NAME?"/>
    <x v="87"/>
    <n v="0.5"/>
    <x v="2"/>
    <s v="Otras Tec."/>
    <s v="Externo"/>
    <e v="#NAME?"/>
    <e v="#NAME?"/>
    <e v="#NAME?"/>
    <m/>
    <m/>
    <m/>
    <m/>
    <m/>
    <m/>
  </r>
  <r>
    <s v="CE66252"/>
    <s v="JORGE ENRIQUE CARRILLO DIAZ"/>
    <x v="2"/>
    <x v="8"/>
    <s v="GGI / CMC"/>
    <e v="#NAME?"/>
    <x v="71"/>
    <n v="0.25"/>
    <x v="2"/>
    <s v="Otras Tec."/>
    <s v="Externo"/>
    <e v="#NAME?"/>
    <e v="#NAME?"/>
    <e v="#NAME?"/>
    <m/>
    <m/>
    <m/>
    <m/>
    <m/>
    <m/>
  </r>
  <r>
    <s v="CE66252"/>
    <s v="JORGE ENRIQUE CARRILLO DIAZ"/>
    <x v="2"/>
    <x v="8"/>
    <s v="GGI / CMC"/>
    <e v="#NAME?"/>
    <x v="6"/>
    <n v="0.25"/>
    <x v="2"/>
    <s v="Otras Tec."/>
    <s v="Externo"/>
    <e v="#NAME?"/>
    <e v="#NAME?"/>
    <e v="#NAME?"/>
    <m/>
    <m/>
    <m/>
    <m/>
    <m/>
    <m/>
  </r>
  <r>
    <s v="C783725"/>
    <s v="JAIRO FERNANDO TAMARA RUBIANO"/>
    <x v="2"/>
    <x v="8"/>
    <s v="BBVA"/>
    <e v="#NAME?"/>
    <x v="6"/>
    <n v="0.3"/>
    <x v="1"/>
    <s v="Otras Tec."/>
    <s v="Interno"/>
    <e v="#NAME?"/>
    <e v="#NAME?"/>
    <e v="#NAME?"/>
    <m/>
    <m/>
    <m/>
    <m/>
    <m/>
    <m/>
  </r>
  <r>
    <s v="C783725"/>
    <s v="JAIRO FERNANDO TAMARA RUBIANO"/>
    <x v="2"/>
    <x v="8"/>
    <s v="BBVA"/>
    <e v="#NAME?"/>
    <x v="87"/>
    <n v="0.3"/>
    <x v="1"/>
    <s v="Otras Tec."/>
    <s v="Interno"/>
    <e v="#NAME?"/>
    <e v="#NAME?"/>
    <e v="#NAME?"/>
    <m/>
    <m/>
    <m/>
    <m/>
    <m/>
    <m/>
  </r>
  <r>
    <s v="C783725"/>
    <s v="JAIRO FERNANDO TAMARA RUBIANO"/>
    <x v="2"/>
    <x v="8"/>
    <s v="BBVA"/>
    <e v="#NAME?"/>
    <x v="85"/>
    <n v="0.1"/>
    <x v="1"/>
    <s v="Otras Tec."/>
    <m/>
    <e v="#NAME?"/>
    <e v="#NAME?"/>
    <e v="#NAME?"/>
    <m/>
    <m/>
    <m/>
    <m/>
    <m/>
    <m/>
  </r>
  <r>
    <s v="C783725"/>
    <s v="JAIRO FERNANDO TAMARA RUBIANO"/>
    <x v="2"/>
    <x v="8"/>
    <s v="BBVA"/>
    <e v="#NAME?"/>
    <x v="71"/>
    <n v="0.3"/>
    <x v="1"/>
    <s v="Otras Tec."/>
    <s v="Interno"/>
    <e v="#NAME?"/>
    <e v="#NAME?"/>
    <e v="#NAME?"/>
    <m/>
    <m/>
    <m/>
    <m/>
    <m/>
    <m/>
  </r>
  <r>
    <s v="T006280"/>
    <s v="Fabian andres valbuena aragon"/>
    <x v="2"/>
    <x v="8"/>
    <s v="Inetum"/>
    <e v="#NAME?"/>
    <x v="3"/>
    <n v="0.5"/>
    <x v="0"/>
    <s v="Otras Tec."/>
    <s v="Externo"/>
    <e v="#NAME?"/>
    <e v="#NAME?"/>
    <e v="#NAME?"/>
    <m/>
    <m/>
    <m/>
    <m/>
    <m/>
    <m/>
  </r>
  <r>
    <s v="T006280"/>
    <s v="Fabian andres valbuena aragon"/>
    <x v="1"/>
    <x v="12"/>
    <s v="Inetum"/>
    <e v="#NAME?"/>
    <x v="3"/>
    <n v="0.5"/>
    <x v="0"/>
    <s v="Otras Tec."/>
    <s v="Externo"/>
    <e v="#NAME?"/>
    <e v="#NAME?"/>
    <e v="#NAME?"/>
    <m/>
    <m/>
    <m/>
    <m/>
    <m/>
    <m/>
  </r>
  <r>
    <s v="C811292"/>
    <s v="ANDRES GALVIS TRIVIÑO"/>
    <x v="1"/>
    <x v="12"/>
    <s v="BBVA"/>
    <e v="#NAME?"/>
    <x v="3"/>
    <n v="1"/>
    <x v="3"/>
    <m/>
    <m/>
    <e v="#NAME?"/>
    <e v="#NAME?"/>
    <e v="#NAME?"/>
    <m/>
    <m/>
    <m/>
    <m/>
    <m/>
    <m/>
  </r>
  <r>
    <s v="C805180"/>
    <s v="SEBASTIAN GOMEZ CORCHUELO"/>
    <x v="1"/>
    <x v="12"/>
    <s v="BBVA"/>
    <e v="#NAME?"/>
    <x v="95"/>
    <n v="0.25"/>
    <x v="2"/>
    <m/>
    <m/>
    <e v="#NAME?"/>
    <e v="#NAME?"/>
    <e v="#NAME?"/>
    <m/>
    <m/>
    <m/>
    <m/>
    <m/>
    <m/>
  </r>
  <r>
    <s v="C810847"/>
    <s v="JAIR DE JESUS MOLINA FORNARIS"/>
    <x v="1"/>
    <x v="12"/>
    <s v="BBVA"/>
    <e v="#NAME?"/>
    <x v="95"/>
    <n v="0.25"/>
    <x v="0"/>
    <m/>
    <m/>
    <e v="#NAME?"/>
    <e v="#NAME?"/>
    <e v="#NAME?"/>
    <m/>
    <m/>
    <m/>
    <m/>
    <m/>
    <m/>
  </r>
  <r>
    <s v="C810847"/>
    <s v="JAIR DE JESUS MOLINA FORNARIS"/>
    <x v="1"/>
    <x v="12"/>
    <s v="BBVA"/>
    <e v="#NAME?"/>
    <x v="3"/>
    <n v="0.75"/>
    <x v="0"/>
    <m/>
    <m/>
    <e v="#NAME?"/>
    <e v="#NAME?"/>
    <e v="#NAME?"/>
    <m/>
    <m/>
    <m/>
    <m/>
    <m/>
    <m/>
  </r>
  <r>
    <s v="O004617"/>
    <s v="ARLEX JULIAN RODRIGUEZ RINCON"/>
    <x v="1"/>
    <x v="12"/>
    <s v="BBVA"/>
    <e v="#NAME?"/>
    <x v="3"/>
    <n v="1"/>
    <x v="3"/>
    <m/>
    <m/>
    <e v="#NAME?"/>
    <e v="#NAME?"/>
    <e v="#NAME?"/>
    <m/>
    <m/>
    <m/>
    <m/>
    <m/>
    <m/>
  </r>
  <r>
    <s v="O004613 "/>
    <s v="CESAR AUGUSTO MONTERO HERNANDEZ"/>
    <x v="1"/>
    <x v="12"/>
    <s v="BBVA"/>
    <e v="#NAME?"/>
    <x v="3"/>
    <n v="1"/>
    <x v="3"/>
    <m/>
    <m/>
    <e v="#NAME?"/>
    <e v="#NAME?"/>
    <e v="#NAME?"/>
    <m/>
    <m/>
    <m/>
    <m/>
    <m/>
    <m/>
  </r>
  <r>
    <s v="C805180"/>
    <s v="SEBASTIAN GOMEZ CORCHUELO"/>
    <x v="1"/>
    <x v="12"/>
    <s v="BBVA"/>
    <e v="#NAME?"/>
    <x v="3"/>
    <n v="0.75"/>
    <x v="3"/>
    <m/>
    <m/>
    <e v="#NAME?"/>
    <e v="#NAME?"/>
    <e v="#NAME?"/>
    <m/>
    <m/>
    <m/>
    <m/>
    <m/>
    <m/>
  </r>
  <r>
    <s v="CE70350"/>
    <s v="HELDER HAROLD SOLANO SOLANO"/>
    <x v="1"/>
    <x v="12"/>
    <s v="Inetum"/>
    <e v="#NAME?"/>
    <x v="3"/>
    <n v="1"/>
    <x v="2"/>
    <s v="Otras Tec."/>
    <s v="Calidad"/>
    <e v="#NAME?"/>
    <e v="#NAME?"/>
    <e v="#NAME?"/>
    <m/>
    <m/>
    <m/>
    <m/>
    <m/>
    <m/>
  </r>
  <r>
    <s v="CV25017"/>
    <s v="ANDREA POLO KOCH"/>
    <x v="4"/>
    <x v="13"/>
    <s v="BBVA Seguros"/>
    <e v="#NAME?"/>
    <x v="96"/>
    <n v="0.25"/>
    <x v="0"/>
    <s v="ASO"/>
    <s v="LÍDER TÉCNICO"/>
    <e v="#NAME?"/>
    <e v="#NAME?"/>
    <e v="#NAME?"/>
    <m/>
    <m/>
    <m/>
    <m/>
    <m/>
    <m/>
  </r>
  <r>
    <s v="CV25017"/>
    <s v="ANDREA POLO KOCH"/>
    <x v="4"/>
    <x v="13"/>
    <s v="BBVA Seguros"/>
    <e v="#NAME?"/>
    <x v="97"/>
    <n v="0.75"/>
    <x v="0"/>
    <s v="ASO"/>
    <s v="LÍDER TÉCNICO"/>
    <e v="#NAME?"/>
    <e v="#NAME?"/>
    <e v="#NAME?"/>
    <m/>
    <m/>
    <m/>
    <m/>
    <m/>
    <m/>
  </r>
  <r>
    <s v="CE52603"/>
    <s v="CLARIBEL ABRIL VELASCO"/>
    <x v="4"/>
    <x v="13"/>
    <s v="Inetum"/>
    <e v="#NAME?"/>
    <x v="96"/>
    <n v="0.25"/>
    <x v="0"/>
    <s v="Mainframe"/>
    <m/>
    <e v="#NAME?"/>
    <e v="#NAME?"/>
    <e v="#NAME?"/>
    <m/>
    <m/>
    <m/>
    <m/>
    <m/>
    <m/>
  </r>
  <r>
    <s v="CE52603"/>
    <s v="CLARIBEL ABRIL VELASCO"/>
    <x v="4"/>
    <x v="13"/>
    <s v="Inetum"/>
    <e v="#NAME?"/>
    <x v="97"/>
    <n v="0.75"/>
    <x v="0"/>
    <s v="Mainframe"/>
    <m/>
    <e v="#NAME?"/>
    <e v="#NAME?"/>
    <e v="#NAME?"/>
    <m/>
    <m/>
    <m/>
    <m/>
    <m/>
    <m/>
  </r>
  <r>
    <s v="CV24943"/>
    <s v="JAIME JOSE ALFONSO COTES"/>
    <x v="4"/>
    <x v="13"/>
    <s v="BBVA Seguros"/>
    <e v="#NAME?"/>
    <x v="98"/>
    <n v="1"/>
    <x v="0"/>
    <s v="APX"/>
    <s v="LÍDER TÉCNICO"/>
    <e v="#NAME?"/>
    <e v="#NAME?"/>
    <e v="#NAME?"/>
    <m/>
    <m/>
    <m/>
    <m/>
    <m/>
    <m/>
  </r>
  <r>
    <s v="CV25056"/>
    <s v="JUAN CARLOS ALDANA MORENO"/>
    <x v="4"/>
    <x v="13"/>
    <s v="BBVA Seguros"/>
    <e v="#NAME?"/>
    <x v="96"/>
    <n v="0.25"/>
    <x v="0"/>
    <s v="Mainframe"/>
    <s v="LÍDER TÉCNICO"/>
    <e v="#NAME?"/>
    <e v="#NAME?"/>
    <e v="#NAME?"/>
    <m/>
    <m/>
    <m/>
    <m/>
    <m/>
    <m/>
  </r>
  <r>
    <s v="CV25056"/>
    <s v="JUAN CARLOS ALDANA MORENO"/>
    <x v="4"/>
    <x v="13"/>
    <s v="BBVA Seguros"/>
    <e v="#NAME?"/>
    <x v="97"/>
    <n v="0.75"/>
    <x v="0"/>
    <s v="Mainframe"/>
    <s v="LÍDER TÉCNICO"/>
    <e v="#NAME?"/>
    <e v="#NAME?"/>
    <e v="#NAME?"/>
    <m/>
    <m/>
    <m/>
    <m/>
    <m/>
    <m/>
  </r>
  <r>
    <s v="CE56274"/>
    <s v="JULIAN CAMILO QUINONES QUINTERO"/>
    <x v="4"/>
    <x v="13"/>
    <s v="SII"/>
    <e v="#NAME?"/>
    <x v="96"/>
    <n v="0.25"/>
    <x v="0"/>
    <s v="Mainframe"/>
    <m/>
    <e v="#NAME?"/>
    <e v="#NAME?"/>
    <e v="#NAME?"/>
    <m/>
    <m/>
    <m/>
    <m/>
    <m/>
    <m/>
  </r>
  <r>
    <s v="CE56274"/>
    <s v="JULIAN CAMILO QUINONES QUINTERO"/>
    <x v="4"/>
    <x v="13"/>
    <s v="SII"/>
    <e v="#NAME?"/>
    <x v="97"/>
    <n v="0.75"/>
    <x v="0"/>
    <s v="Mainframe"/>
    <m/>
    <e v="#NAME?"/>
    <e v="#NAME?"/>
    <e v="#NAME?"/>
    <m/>
    <m/>
    <m/>
    <m/>
    <m/>
    <m/>
  </r>
  <r>
    <s v="CE56445"/>
    <s v="LESIA MARGARITA VALERA CONTRERAS"/>
    <x v="4"/>
    <x v="13"/>
    <s v="SII"/>
    <e v="#NAME?"/>
    <x v="96"/>
    <n v="0.25"/>
    <x v="0"/>
    <s v="Mainframe"/>
    <m/>
    <e v="#NAME?"/>
    <e v="#NAME?"/>
    <e v="#NAME?"/>
    <m/>
    <m/>
    <m/>
    <m/>
    <m/>
    <m/>
  </r>
  <r>
    <s v="CE56445"/>
    <s v="LESIA MARGARITA VALERA CONTRERAS"/>
    <x v="4"/>
    <x v="13"/>
    <s v="SII"/>
    <e v="#NAME?"/>
    <x v="97"/>
    <n v="0.75"/>
    <x v="0"/>
    <s v="Mainframe"/>
    <m/>
    <e v="#NAME?"/>
    <e v="#NAME?"/>
    <e v="#NAME?"/>
    <m/>
    <m/>
    <m/>
    <m/>
    <m/>
    <m/>
  </r>
  <r>
    <s v="CV25065"/>
    <s v="OSCAR FABIAN MACANA GARNICA"/>
    <x v="4"/>
    <x v="13"/>
    <s v="BBVA Seguros"/>
    <e v="#NAME?"/>
    <x v="96"/>
    <n v="0.25"/>
    <x v="0"/>
    <s v="Mainframe"/>
    <s v="LÍDER TÉCNICO"/>
    <e v="#NAME?"/>
    <e v="#NAME?"/>
    <e v="#NAME?"/>
    <m/>
    <m/>
    <m/>
    <m/>
    <m/>
    <m/>
  </r>
  <r>
    <s v="CV25065"/>
    <s v="OSCAR FABIAN MACANA GARNICA"/>
    <x v="4"/>
    <x v="13"/>
    <s v="BBVA Seguros"/>
    <e v="#NAME?"/>
    <x v="97"/>
    <n v="0.75"/>
    <x v="0"/>
    <s v="Mainframe"/>
    <s v="LÍDER TÉCNICO"/>
    <e v="#NAME?"/>
    <e v="#NAME?"/>
    <e v="#NAME?"/>
    <m/>
    <m/>
    <m/>
    <m/>
    <m/>
    <m/>
  </r>
  <r>
    <s v="O004277"/>
    <s v="SERGIO ALEJANDRO DIAZ HOYOS"/>
    <x v="4"/>
    <x v="13"/>
    <s v="BBVA Seguros"/>
    <e v="#NAME?"/>
    <x v="97"/>
    <n v="1"/>
    <x v="0"/>
    <s v="Mainframe"/>
    <m/>
    <e v="#NAME?"/>
    <e v="#NAME?"/>
    <e v="#NAME?"/>
    <m/>
    <m/>
    <m/>
    <m/>
    <m/>
    <m/>
  </r>
  <r>
    <s v="CE42028"/>
    <s v="MARIA YOLANDA BRAND LEON"/>
    <x v="4"/>
    <x v="13"/>
    <s v="Inetum"/>
    <e v="#NAME?"/>
    <x v="99"/>
    <n v="1"/>
    <x v="0"/>
    <s v="Mainframe"/>
    <m/>
    <e v="#NAME?"/>
    <e v="#NAME?"/>
    <e v="#NAME?"/>
    <m/>
    <m/>
    <m/>
    <m/>
    <m/>
    <m/>
  </r>
  <r>
    <s v="CE59922"/>
    <s v="JOHAN SEBASTIAN LAGOS MORALES"/>
    <x v="4"/>
    <x v="13"/>
    <s v="Inetum"/>
    <e v="#NAME?"/>
    <x v="96"/>
    <n v="0.5"/>
    <x v="0"/>
    <s v="Mainframe"/>
    <m/>
    <e v="#NAME?"/>
    <e v="#NAME?"/>
    <e v="#NAME?"/>
    <m/>
    <m/>
    <m/>
    <m/>
    <m/>
    <m/>
  </r>
  <r>
    <s v="CE59922"/>
    <s v="JOHAN SEBASTIAN LAGOS MORALES"/>
    <x v="4"/>
    <x v="13"/>
    <s v="Inetum"/>
    <e v="#NAME?"/>
    <x v="97"/>
    <n v="0.5"/>
    <x v="0"/>
    <s v="Mainframe"/>
    <m/>
    <e v="#NAME?"/>
    <e v="#NAME?"/>
    <e v="#NAME?"/>
    <m/>
    <m/>
    <m/>
    <m/>
    <m/>
    <m/>
  </r>
  <r>
    <s v="CV24935"/>
    <s v="SANDRA PATRICIA RAMIREZ TRIANA"/>
    <x v="4"/>
    <x v="13"/>
    <s v="BBVA Seguros"/>
    <e v="#NAME?"/>
    <x v="96"/>
    <n v="0.4"/>
    <x v="1"/>
    <s v="Mainframe"/>
    <m/>
    <e v="#NAME?"/>
    <e v="#NAME?"/>
    <e v="#NAME?"/>
    <m/>
    <m/>
    <m/>
    <m/>
    <m/>
    <m/>
  </r>
  <r>
    <s v="CV24935"/>
    <s v="SANDRA PATRICIA RAMIREZ TRIANA"/>
    <x v="4"/>
    <x v="13"/>
    <s v="BBVA Seguros"/>
    <e v="#NAME?"/>
    <x v="97"/>
    <n v="0.3"/>
    <x v="1"/>
    <s v="Mainframe"/>
    <m/>
    <e v="#NAME?"/>
    <e v="#NAME?"/>
    <e v="#NAME?"/>
    <m/>
    <m/>
    <m/>
    <m/>
    <m/>
    <m/>
  </r>
  <r>
    <s v="CV24935"/>
    <s v="SANDRA PATRICIA RAMIREZ TRIANA"/>
    <x v="4"/>
    <x v="13"/>
    <s v="BBVA Seguros"/>
    <e v="#NAME?"/>
    <x v="99"/>
    <n v="0.3"/>
    <x v="1"/>
    <s v="Mainframe"/>
    <m/>
    <e v="#NAME?"/>
    <e v="#NAME?"/>
    <e v="#NAME?"/>
    <m/>
    <m/>
    <m/>
    <m/>
    <m/>
    <m/>
  </r>
  <r>
    <s v="CG22671"/>
    <s v="CARLOS ALBERTO GOMEZ GOMEZ"/>
    <x v="4"/>
    <x v="13"/>
    <s v="BBVA Seguros"/>
    <e v="#NAME?"/>
    <x v="100"/>
    <n v="0.25"/>
    <x v="0"/>
    <s v="Distribuido"/>
    <s v="LÍDER TÉCNICO"/>
    <e v="#NAME?"/>
    <e v="#NAME?"/>
    <e v="#NAME?"/>
    <m/>
    <m/>
    <m/>
    <m/>
    <m/>
    <m/>
  </r>
  <r>
    <s v="CG22671"/>
    <s v="CARLOS ALBERTO GOMEZ GOMEZ"/>
    <x v="4"/>
    <x v="13"/>
    <s v="BBVA Seguros"/>
    <e v="#NAME?"/>
    <x v="3"/>
    <n v="0.75"/>
    <x v="0"/>
    <s v="Distribuido"/>
    <s v="LÍDER TÉCNICO"/>
    <e v="#NAME?"/>
    <e v="#NAME?"/>
    <e v="#NAME?"/>
    <m/>
    <m/>
    <m/>
    <m/>
    <m/>
    <m/>
  </r>
  <r>
    <s v="CE38411"/>
    <s v="CAROLINA BARROS BERNAL"/>
    <x v="4"/>
    <x v="13"/>
    <s v="SII"/>
    <e v="#NAME?"/>
    <x v="101"/>
    <n v="0.75"/>
    <x v="0"/>
    <s v="Distribuido"/>
    <m/>
    <e v="#NAME?"/>
    <e v="#NAME?"/>
    <e v="#NAME?"/>
    <m/>
    <m/>
    <m/>
    <m/>
    <m/>
    <m/>
  </r>
  <r>
    <s v="CE38411"/>
    <s v="CAROLINA BARROS BERNAL"/>
    <x v="4"/>
    <x v="13"/>
    <s v="SII"/>
    <e v="#NAME?"/>
    <x v="102"/>
    <n v="0.25"/>
    <x v="0"/>
    <s v="Distribuido"/>
    <m/>
    <e v="#NAME?"/>
    <e v="#NAME?"/>
    <e v="#NAME?"/>
    <m/>
    <m/>
    <m/>
    <m/>
    <m/>
    <m/>
  </r>
  <r>
    <s v="CE68469"/>
    <s v="DIEGO ALEXANDER ALBA RODRÍGUEZ"/>
    <x v="4"/>
    <x v="13"/>
    <s v="SII"/>
    <e v="#NAME?"/>
    <x v="100"/>
    <n v="1"/>
    <x v="0"/>
    <s v="Distribuido"/>
    <m/>
    <e v="#NAME?"/>
    <e v="#NAME?"/>
    <e v="#NAME?"/>
    <m/>
    <m/>
    <m/>
    <m/>
    <m/>
    <m/>
  </r>
  <r>
    <s v="CV25060"/>
    <s v="JAIME ALEJANDRO ROJAS NIVIA"/>
    <x v="4"/>
    <x v="13"/>
    <s v="BBVA Seguros"/>
    <e v="#NAME?"/>
    <x v="101"/>
    <n v="0.5"/>
    <x v="0"/>
    <s v="Distribuido"/>
    <m/>
    <e v="#NAME?"/>
    <e v="#NAME?"/>
    <e v="#NAME?"/>
    <m/>
    <m/>
    <m/>
    <m/>
    <m/>
    <m/>
  </r>
  <r>
    <s v="CV25060"/>
    <s v="JAIME ALEJANDRO ROJAS NIVIA"/>
    <x v="4"/>
    <x v="13"/>
    <s v="BBVA Seguros"/>
    <e v="#NAME?"/>
    <x v="103"/>
    <n v="0.5"/>
    <x v="0"/>
    <s v="Distribuido"/>
    <m/>
    <e v="#NAME?"/>
    <e v="#NAME?"/>
    <e v="#NAME?"/>
    <m/>
    <m/>
    <m/>
    <m/>
    <m/>
    <m/>
  </r>
  <r>
    <s v="O002707"/>
    <s v="JOHN EDER IBAÑEZ LARA_x000a_"/>
    <x v="4"/>
    <x v="13"/>
    <s v="BBVA Seguros"/>
    <e v="#NAME?"/>
    <x v="100"/>
    <n v="1"/>
    <x v="0"/>
    <s v="Distribuido"/>
    <s v="LÍDER TÉCNICO"/>
    <e v="#NAME?"/>
    <e v="#NAME?"/>
    <e v="#NAME?"/>
    <m/>
    <m/>
    <m/>
    <m/>
    <m/>
    <m/>
  </r>
  <r>
    <s v="O004417"/>
    <s v="JULIAN CHAPARRO LATORRE"/>
    <x v="4"/>
    <x v="13"/>
    <s v="BBVA Seguros"/>
    <e v="#NAME?"/>
    <x v="100"/>
    <n v="1"/>
    <x v="0"/>
    <s v="Distribuido"/>
    <m/>
    <e v="#NAME?"/>
    <e v="#NAME?"/>
    <e v="#NAME?"/>
    <m/>
    <m/>
    <m/>
    <m/>
    <m/>
    <m/>
  </r>
  <r>
    <s v="CE48733"/>
    <s v="NELSON AUGUSTO SANABRIA ORTEGA"/>
    <x v="4"/>
    <x v="13"/>
    <s v="JARZSOFT"/>
    <e v="#NAME?"/>
    <x v="100"/>
    <n v="1"/>
    <x v="0"/>
    <s v="Distribuido"/>
    <m/>
    <e v="#NAME?"/>
    <e v="#NAME?"/>
    <e v="#NAME?"/>
    <m/>
    <m/>
    <m/>
    <m/>
    <m/>
    <m/>
  </r>
  <r>
    <s v="CE65494"/>
    <s v="OSCAR FABIAN PEDRAZA MONROY"/>
    <x v="4"/>
    <x v="13"/>
    <s v="Inetum"/>
    <e v="#NAME?"/>
    <x v="100"/>
    <n v="1"/>
    <x v="0"/>
    <s v="Distribuido"/>
    <m/>
    <e v="#NAME?"/>
    <e v="#NAME?"/>
    <e v="#NAME?"/>
    <m/>
    <m/>
    <m/>
    <m/>
    <m/>
    <m/>
  </r>
  <r>
    <s v="CE59730"/>
    <s v="JOSE AGUSTIN RODRIGUEZ ZORRO"/>
    <x v="4"/>
    <x v="13"/>
    <s v="JARZSOFT"/>
    <e v="#NAME?"/>
    <x v="100"/>
    <n v="1"/>
    <x v="1"/>
    <s v="Distribuido"/>
    <m/>
    <e v="#NAME?"/>
    <e v="#NAME?"/>
    <e v="#NAME?"/>
    <m/>
    <m/>
    <m/>
    <m/>
    <m/>
    <m/>
  </r>
  <r>
    <s v="CV25059"/>
    <s v="CREYCCE JOHANA HINCAPIE RODRIGUEZ"/>
    <x v="4"/>
    <x v="13"/>
    <s v="BBVA Seguros"/>
    <e v="#NAME?"/>
    <x v="104"/>
    <n v="1"/>
    <x v="0"/>
    <s v="Distribuido"/>
    <s v="LÍDER TÉCNICO"/>
    <e v="#NAME?"/>
    <e v="#NAME?"/>
    <e v="#NAME?"/>
    <m/>
    <m/>
    <m/>
    <m/>
    <m/>
    <m/>
  </r>
  <r>
    <s v="CV25087"/>
    <s v="CRISTIAN ANDRES SIERRA ESPINEL"/>
    <x v="4"/>
    <x v="13"/>
    <s v="BBVA Seguros"/>
    <e v="#NAME?"/>
    <x v="105"/>
    <n v="1"/>
    <x v="0"/>
    <s v="Distribuido"/>
    <s v="LÍDER TÉCNICO"/>
    <e v="#NAME?"/>
    <e v="#NAME?"/>
    <e v="#NAME?"/>
    <m/>
    <m/>
    <m/>
    <m/>
    <m/>
    <m/>
  </r>
  <r>
    <s v="CV25064"/>
    <s v="MARY LUZ RUALES GUZMAN"/>
    <x v="4"/>
    <x v="13"/>
    <s v="BBVA Seguros"/>
    <e v="#NAME?"/>
    <x v="106"/>
    <n v="0.75"/>
    <x v="0"/>
    <s v="Distribuido"/>
    <s v="LÍDER TÉCNICO"/>
    <e v="#NAME?"/>
    <e v="#NAME?"/>
    <e v="#NAME?"/>
    <m/>
    <m/>
    <m/>
    <m/>
    <m/>
    <m/>
  </r>
  <r>
    <s v="CV25064"/>
    <s v="MARY LUZ RUALES GUZMAN"/>
    <x v="4"/>
    <x v="13"/>
    <s v="BBVA Seguros"/>
    <e v="#NAME?"/>
    <x v="3"/>
    <n v="0.25"/>
    <x v="0"/>
    <s v="Distribuido"/>
    <s v="LÍDER TÉCNICO"/>
    <e v="#NAME?"/>
    <e v="#NAME?"/>
    <e v="#NAME?"/>
    <m/>
    <m/>
    <m/>
    <m/>
    <m/>
    <m/>
  </r>
  <r>
    <s v="O003561"/>
    <s v="JOSE MIGUEL PORTILLO ROJAS"/>
    <x v="4"/>
    <x v="13"/>
    <s v="BBVA Seguros"/>
    <e v="#NAME?"/>
    <x v="3"/>
    <n v="1"/>
    <x v="0"/>
    <s v="Distribuido"/>
    <s v="LÍDER TÉCNICO"/>
    <e v="#NAME?"/>
    <e v="#NAME?"/>
    <e v="#NAME?"/>
    <m/>
    <m/>
    <m/>
    <m/>
    <m/>
    <m/>
  </r>
  <r>
    <s v="CE48448"/>
    <s v="MICHAEL CECILIO SODIR REVETE"/>
    <x v="4"/>
    <x v="13"/>
    <s v="Inetum"/>
    <e v="#NAME?"/>
    <x v="102"/>
    <n v="0.5"/>
    <x v="0"/>
    <s v="Distribuido"/>
    <s v="LÍDER TÉCNICO"/>
    <e v="#NAME?"/>
    <e v="#NAME?"/>
    <e v="#NAME?"/>
    <m/>
    <m/>
    <m/>
    <m/>
    <m/>
    <m/>
  </r>
  <r>
    <s v="CE48448"/>
    <s v="MICHAEL CECILIO SODIR REVETE"/>
    <x v="4"/>
    <x v="13"/>
    <s v="Inetum"/>
    <e v="#NAME?"/>
    <x v="107"/>
    <n v="0.5"/>
    <x v="0"/>
    <s v="Distribuido"/>
    <s v="LÍDER TÉCNICO"/>
    <e v="#NAME?"/>
    <e v="#NAME?"/>
    <e v="#NAME?"/>
    <m/>
    <m/>
    <m/>
    <m/>
    <m/>
    <m/>
  </r>
  <r>
    <s v="CV24903"/>
    <s v="CARLOS ANDRES MORA MUÑOZ"/>
    <x v="4"/>
    <x v="13"/>
    <s v="BBVA Seguros"/>
    <e v="#NAME?"/>
    <x v="102"/>
    <n v="0.25"/>
    <x v="1"/>
    <s v="Distribuido"/>
    <m/>
    <e v="#NAME?"/>
    <e v="#NAME?"/>
    <e v="#NAME?"/>
    <m/>
    <m/>
    <m/>
    <m/>
    <m/>
    <m/>
  </r>
  <r>
    <s v="CV24903"/>
    <s v="CARLOS ANDRES MORA MUÑOZ"/>
    <x v="4"/>
    <x v="13"/>
    <s v="BBVA Seguros"/>
    <e v="#NAME?"/>
    <x v="3"/>
    <n v="0.25"/>
    <x v="1"/>
    <s v="Distribuido"/>
    <m/>
    <e v="#NAME?"/>
    <e v="#NAME?"/>
    <e v="#NAME?"/>
    <m/>
    <m/>
    <m/>
    <m/>
    <m/>
    <m/>
  </r>
  <r>
    <s v="CV24903"/>
    <s v="CARLOS ANDRES MORA MUÑOZ"/>
    <x v="4"/>
    <x v="13"/>
    <s v="BBVA Seguros"/>
    <e v="#NAME?"/>
    <x v="104"/>
    <n v="0.5"/>
    <x v="1"/>
    <s v="Distribuido"/>
    <m/>
    <e v="#NAME?"/>
    <e v="#NAME?"/>
    <e v="#NAME?"/>
    <m/>
    <m/>
    <m/>
    <m/>
    <m/>
    <m/>
  </r>
  <r>
    <s v="CE44928"/>
    <s v="DESIREE JOSELYN MARQUEZ DIAZ"/>
    <x v="4"/>
    <x v="13"/>
    <s v="VASS"/>
    <e v="#NAME?"/>
    <x v="106"/>
    <n v="0.5"/>
    <x v="0"/>
    <s v="Distribuido"/>
    <s v="LÍDER TÉCNICO"/>
    <e v="#NAME?"/>
    <e v="#NAME?"/>
    <e v="#NAME?"/>
    <m/>
    <m/>
    <m/>
    <m/>
    <m/>
    <m/>
  </r>
  <r>
    <s v="CE44928"/>
    <s v="DESIREE JOSELYN MARQUEZ DIAZ"/>
    <x v="4"/>
    <x v="13"/>
    <s v="VASS"/>
    <e v="#NAME?"/>
    <x v="108"/>
    <n v="0.5"/>
    <x v="0"/>
    <s v="Distribuido"/>
    <s v="LÍDER TÉCNICO"/>
    <e v="#NAME?"/>
    <e v="#NAME?"/>
    <e v="#NAME?"/>
    <m/>
    <m/>
    <m/>
    <m/>
    <m/>
    <m/>
  </r>
  <r>
    <s v="CV25067"/>
    <s v="FRANCINE NARVAEZ LONDOÑO"/>
    <x v="4"/>
    <x v="13"/>
    <s v="BBVA Seguros"/>
    <e v="#NAME?"/>
    <x v="102"/>
    <n v="0.75"/>
    <x v="0"/>
    <s v="Distribuido"/>
    <s v="LÍDER TÉCNICO"/>
    <e v="#NAME?"/>
    <e v="#NAME?"/>
    <e v="#NAME?"/>
    <m/>
    <m/>
    <m/>
    <m/>
    <m/>
    <m/>
  </r>
  <r>
    <s v="CV25067"/>
    <s v="FRANCINE NARVAEZ LONDOÑO"/>
    <x v="4"/>
    <x v="13"/>
    <s v="BBVA Seguros"/>
    <e v="#NAME?"/>
    <x v="3"/>
    <n v="0.25"/>
    <x v="0"/>
    <s v="Distribuido"/>
    <s v="LÍDER TÉCNICO"/>
    <e v="#NAME?"/>
    <e v="#NAME?"/>
    <e v="#NAME?"/>
    <m/>
    <m/>
    <m/>
    <m/>
    <m/>
    <m/>
  </r>
  <r>
    <s v="CV25084"/>
    <s v="JEISON IVAN GAMBA HASTAMORIR"/>
    <x v="4"/>
    <x v="13"/>
    <s v="BBVA Seguros"/>
    <e v="#NAME?"/>
    <x v="108"/>
    <n v="1"/>
    <x v="0"/>
    <s v="Distribuido"/>
    <s v="LÍDER TÉCNICO"/>
    <e v="#NAME?"/>
    <e v="#NAME?"/>
    <e v="#NAME?"/>
    <m/>
    <m/>
    <m/>
    <m/>
    <m/>
    <m/>
  </r>
  <r>
    <s v="CV25093"/>
    <s v="NANCY ESTEFANIA CASAS PERDOMO"/>
    <x v="4"/>
    <x v="13"/>
    <s v="BBVA Seguros"/>
    <e v="#NAME?"/>
    <x v="3"/>
    <n v="0.75"/>
    <x v="0"/>
    <s v="Distribuido"/>
    <s v="LÍDER TÉCNICO"/>
    <e v="#NAME?"/>
    <e v="#NAME?"/>
    <e v="#NAME?"/>
    <m/>
    <m/>
    <m/>
    <m/>
    <m/>
    <m/>
  </r>
  <r>
    <s v="CV25093"/>
    <s v="NANCY ESTEFANIA CASAS PERDOMO"/>
    <x v="4"/>
    <x v="13"/>
    <s v="BBVA Seguros"/>
    <e v="#NAME?"/>
    <x v="106"/>
    <n v="0.25"/>
    <x v="0"/>
    <s v="Distribuido"/>
    <s v="LÍDER TÉCNICO"/>
    <e v="#NAME?"/>
    <e v="#NAME?"/>
    <e v="#NAME?"/>
    <m/>
    <m/>
    <m/>
    <m/>
    <m/>
    <m/>
  </r>
  <r>
    <s v="CV25074"/>
    <s v="JOHAN SEBASTIAN DUEÑAS ARTUNDUAGA_x000a_"/>
    <x v="4"/>
    <x v="13"/>
    <s v="BBVA Seguros"/>
    <e v="#NAME?"/>
    <x v="102"/>
    <n v="1"/>
    <x v="0"/>
    <s v="Distribuido"/>
    <m/>
    <e v="#NAME?"/>
    <e v="#NAME?"/>
    <e v="#NAME?"/>
    <m/>
    <m/>
    <m/>
    <m/>
    <m/>
    <m/>
  </r>
  <r>
    <s v="CV25001"/>
    <s v="ELKIN FERNANDO BURBANO CORAL"/>
    <x v="4"/>
    <x v="13"/>
    <s v="BBVA Seguros"/>
    <e v="#NAME?"/>
    <x v="109"/>
    <n v="0.75"/>
    <x v="1"/>
    <s v="Distribuido"/>
    <m/>
    <e v="#NAME?"/>
    <e v="#NAME?"/>
    <e v="#NAME?"/>
    <m/>
    <m/>
    <m/>
    <m/>
    <m/>
    <m/>
  </r>
  <r>
    <s v="CV25001"/>
    <s v="ELKIN FERNANDO BURBANO CORAL"/>
    <x v="4"/>
    <x v="13"/>
    <s v="BBVA Seguros"/>
    <e v="#NAME?"/>
    <x v="102"/>
    <n v="0.25"/>
    <x v="1"/>
    <s v="Distribuido"/>
    <m/>
    <e v="#NAME?"/>
    <e v="#NAME?"/>
    <e v="#NAME?"/>
    <m/>
    <m/>
    <m/>
    <m/>
    <m/>
    <m/>
  </r>
  <r>
    <s v="CE66586"/>
    <s v="DANEY FELIPE MIRANDA MIRANDA"/>
    <x v="4"/>
    <x v="13"/>
    <s v="Inetum"/>
    <e v="#NAME?"/>
    <x v="96"/>
    <n v="1"/>
    <x v="2"/>
    <s v="Otras Tec."/>
    <s v="Altamira"/>
    <e v="#NAME?"/>
    <e v="#NAME?"/>
    <e v="#NAME?"/>
    <m/>
    <m/>
    <m/>
    <m/>
    <m/>
    <m/>
  </r>
  <r>
    <s v="T005668"/>
    <s v="ERICK SANTIAGO GUERRERO ROMERO"/>
    <x v="4"/>
    <x v="13"/>
    <s v="Inetum"/>
    <e v="#NAME?"/>
    <x v="96"/>
    <n v="1"/>
    <x v="2"/>
    <m/>
    <s v="Altamira"/>
    <e v="#NAME?"/>
    <e v="#NAME?"/>
    <e v="#NAME?"/>
    <m/>
    <m/>
    <m/>
    <m/>
    <m/>
    <m/>
  </r>
  <r>
    <s v="CE48941"/>
    <s v="CRISTHIAN ARMANDO DUEÑAS"/>
    <x v="4"/>
    <x v="13"/>
    <s v="Inetum"/>
    <e v="#NAME?"/>
    <x v="3"/>
    <n v="1"/>
    <x v="2"/>
    <s v="Distribuido"/>
    <m/>
    <e v="#NAME?"/>
    <e v="#NAME?"/>
    <e v="#NAME?"/>
    <m/>
    <m/>
    <m/>
    <m/>
    <m/>
    <m/>
  </r>
  <r>
    <s v="CE50178"/>
    <s v="PABLO ENRIQUE CALDERON DIAZ"/>
    <x v="4"/>
    <x v="13"/>
    <s v="Inetum"/>
    <e v="#NAME?"/>
    <x v="3"/>
    <n v="1"/>
    <x v="3"/>
    <m/>
    <s v="Técnico Despliegues Seguros / Altamira"/>
    <e v="#NAME?"/>
    <e v="#NAME?"/>
    <e v="#NAME?"/>
    <m/>
    <m/>
    <m/>
    <m/>
    <m/>
    <m/>
  </r>
  <r>
    <s v="CE69705"/>
    <s v="MIGUEL FAJARDO"/>
    <x v="4"/>
    <x v="13"/>
    <s v="Inetum"/>
    <e v="#NAME?"/>
    <x v="106"/>
    <n v="1"/>
    <x v="2"/>
    <s v="Distribuido"/>
    <m/>
    <e v="#NAME?"/>
    <e v="#NAME?"/>
    <e v="#NAME?"/>
    <m/>
    <m/>
    <m/>
    <m/>
    <m/>
    <m/>
  </r>
  <r>
    <s v="CE53945"/>
    <s v="GIOVANNI ALONSO PENARETE BUITRAGO"/>
    <x v="4"/>
    <x v="13"/>
    <s v="Inetum"/>
    <e v="#NAME?"/>
    <x v="96"/>
    <n v="1"/>
    <x v="2"/>
    <m/>
    <s v="Altamira"/>
    <e v="#NAME?"/>
    <e v="#NAME?"/>
    <e v="#NAME?"/>
    <m/>
    <m/>
    <m/>
    <m/>
    <m/>
    <m/>
  </r>
  <r>
    <s v="T008565"/>
    <s v="HENRY FABIAN ROJAS GALLEGO"/>
    <x v="4"/>
    <x v="13"/>
    <s v="Inetum"/>
    <e v="#NAME?"/>
    <x v="96"/>
    <n v="1"/>
    <x v="2"/>
    <m/>
    <s v="Altamira"/>
    <e v="#NAME?"/>
    <e v="#NAME?"/>
    <e v="#NAME?"/>
    <m/>
    <m/>
    <m/>
    <m/>
    <m/>
    <m/>
  </r>
  <r>
    <s v="T009692"/>
    <s v="SEBASTIAN FELIPE ROJAS"/>
    <x v="4"/>
    <x v="13"/>
    <s v="Inetum"/>
    <e v="#NAME?"/>
    <x v="3"/>
    <n v="1"/>
    <x v="3"/>
    <m/>
    <s v="Técnico Despliegues Seguros / Altamira"/>
    <e v="#NAME?"/>
    <e v="#NAME?"/>
    <e v="#NAME?"/>
    <m/>
    <m/>
    <m/>
    <m/>
    <m/>
    <m/>
  </r>
  <r>
    <s v="CE42004"/>
    <s v="CLARENA VALENCIA CALDERON"/>
    <x v="4"/>
    <x v="13"/>
    <s v="Inetum"/>
    <e v="#NAME?"/>
    <x v="96"/>
    <n v="1"/>
    <x v="2"/>
    <m/>
    <s v="Altamira"/>
    <e v="#NAME?"/>
    <e v="#NAME?"/>
    <e v="#NAME?"/>
    <m/>
    <m/>
    <m/>
    <m/>
    <m/>
    <m/>
  </r>
  <r>
    <n v="1032450219"/>
    <s v="JULIAN LEANDRO CASTRO"/>
    <x v="4"/>
    <x v="13"/>
    <s v="Inetum"/>
    <e v="#NAME?"/>
    <x v="99"/>
    <n v="1"/>
    <x v="2"/>
    <m/>
    <s v="Altamira"/>
    <e v="#NAME?"/>
    <e v="#NAME?"/>
    <e v="#NAME?"/>
    <m/>
    <m/>
    <m/>
    <m/>
    <m/>
    <m/>
  </r>
  <r>
    <s v="CE65204"/>
    <s v="KATHERINE GALINDO VARGAS"/>
    <x v="4"/>
    <x v="13"/>
    <s v="GGI / CMC"/>
    <e v="#NAME?"/>
    <x v="110"/>
    <n v="1"/>
    <x v="2"/>
    <s v="Distribuido"/>
    <m/>
    <e v="#NAME?"/>
    <e v="#NAME?"/>
    <e v="#NAME?"/>
    <m/>
    <m/>
    <m/>
    <m/>
    <m/>
    <m/>
  </r>
  <r>
    <s v="CE65203"/>
    <s v="NATALIA ALEJANDRA GRAJALES CARDONA"/>
    <x v="4"/>
    <x v="13"/>
    <s v="GGI / CMC"/>
    <e v="#NAME?"/>
    <x v="96"/>
    <n v="1"/>
    <x v="2"/>
    <s v="Distribuido"/>
    <m/>
    <e v="#NAME?"/>
    <e v="#NAME?"/>
    <e v="#NAME?"/>
    <m/>
    <m/>
    <m/>
    <m/>
    <m/>
    <m/>
  </r>
  <r>
    <s v="CE53475"/>
    <s v="ANDREA MARCELA RODRIGUEZ A"/>
    <x v="4"/>
    <x v="13"/>
    <s v="GGI / CMC"/>
    <e v="#NAME?"/>
    <x v="3"/>
    <n v="1"/>
    <x v="2"/>
    <m/>
    <s v="Altamira"/>
    <e v="#NAME?"/>
    <e v="#NAME?"/>
    <e v="#NAME?"/>
    <m/>
    <m/>
    <m/>
    <m/>
    <m/>
    <m/>
  </r>
  <r>
    <s v="CE60737"/>
    <s v="JAIRO JUNIOR HERNANDEZ TRILLOS"/>
    <x v="4"/>
    <x v="13"/>
    <s v="GGI / CMC"/>
    <e v="#NAME?"/>
    <x v="109"/>
    <n v="1"/>
    <x v="2"/>
    <s v="Distribuido"/>
    <m/>
    <e v="#NAME?"/>
    <e v="#NAME?"/>
    <e v="#NAME?"/>
    <m/>
    <m/>
    <m/>
    <m/>
    <m/>
    <m/>
  </r>
  <r>
    <s v="CE37757"/>
    <s v="ENOIDES MEJIA"/>
    <x v="4"/>
    <x v="13"/>
    <s v="GGI / CMC"/>
    <e v="#NAME?"/>
    <x v="3"/>
    <n v="1"/>
    <x v="3"/>
    <s v="Distribuido"/>
    <s v="Técnico Despliegues Seguros - Distribuido"/>
    <e v="#NAME?"/>
    <e v="#NAME?"/>
    <e v="#NAME?"/>
    <m/>
    <m/>
    <m/>
    <m/>
    <m/>
    <m/>
  </r>
  <r>
    <s v="CE69797"/>
    <s v="MARIA ALEJANDRA ZUÑIGA"/>
    <x v="4"/>
    <x v="13"/>
    <s v="Choucair"/>
    <e v="#NAME?"/>
    <x v="3"/>
    <n v="1"/>
    <x v="2"/>
    <m/>
    <s v="Altamira"/>
    <e v="#NAME?"/>
    <e v="#NAME?"/>
    <e v="#NAME?"/>
    <m/>
    <m/>
    <m/>
    <m/>
    <m/>
    <m/>
  </r>
  <r>
    <s v="CE66582"/>
    <s v="ANDREA CATERIN MUNOZ ACOSTA"/>
    <x v="4"/>
    <x v="13"/>
    <s v="KRYPTO"/>
    <e v="#NAME?"/>
    <x v="96"/>
    <n v="1"/>
    <x v="2"/>
    <m/>
    <s v="Altamira"/>
    <e v="#NAME?"/>
    <e v="#NAME?"/>
    <e v="#NAME?"/>
    <m/>
    <m/>
    <m/>
    <m/>
    <m/>
    <m/>
  </r>
  <r>
    <s v="CE55951"/>
    <s v="TANIA YULIETH PUENTES REAL"/>
    <x v="4"/>
    <x v="13"/>
    <s v="KRYPTO"/>
    <e v="#NAME?"/>
    <x v="96"/>
    <n v="1"/>
    <x v="2"/>
    <m/>
    <s v="Altamira"/>
    <e v="#NAME?"/>
    <e v="#NAME?"/>
    <e v="#NAME?"/>
    <m/>
    <m/>
    <m/>
    <m/>
    <m/>
    <m/>
  </r>
  <r>
    <s v="CE50906"/>
    <s v="EDGAR DANIEL CASTRO MUNOZ"/>
    <x v="4"/>
    <x v="13"/>
    <s v="KRYPTO"/>
    <e v="#NAME?"/>
    <x v="99"/>
    <n v="1"/>
    <x v="2"/>
    <m/>
    <s v="Altamira"/>
    <e v="#NAME?"/>
    <e v="#NAME?"/>
    <e v="#NAME?"/>
    <m/>
    <m/>
    <m/>
    <m/>
    <m/>
    <m/>
  </r>
  <r>
    <s v="CE34436"/>
    <s v="BERTHA GRACIELA LOPEZ RODRIGUEZ"/>
    <x v="4"/>
    <x v="13"/>
    <s v="VASS"/>
    <e v="#NAME?"/>
    <x v="106"/>
    <n v="1"/>
    <x v="2"/>
    <s v="Distribuido"/>
    <m/>
    <e v="#NAME?"/>
    <e v="#NAME?"/>
    <e v="#NAME?"/>
    <m/>
    <m/>
    <m/>
    <m/>
    <m/>
    <m/>
  </r>
  <r>
    <s v="CE68707"/>
    <s v="MIGUEL LEÓN"/>
    <x v="4"/>
    <x v="13"/>
    <s v="JARZSOFT"/>
    <e v="#NAME?"/>
    <x v="106"/>
    <n v="1"/>
    <x v="2"/>
    <s v="Distribuido"/>
    <m/>
    <e v="#NAME?"/>
    <e v="#NAME?"/>
    <e v="#NAME?"/>
    <m/>
    <m/>
    <m/>
    <m/>
    <m/>
    <m/>
  </r>
  <r>
    <s v="CV68710"/>
    <s v="JOHN FREDY MUNOZ MARTINEZ"/>
    <x v="4"/>
    <x v="13"/>
    <s v="SII"/>
    <e v="#NAME?"/>
    <x v="107"/>
    <n v="1"/>
    <x v="2"/>
    <s v="Distribuido"/>
    <m/>
    <e v="#NAME?"/>
    <e v="#NAME?"/>
    <e v="#NAME?"/>
    <m/>
    <m/>
    <m/>
    <m/>
    <m/>
    <m/>
  </r>
  <r>
    <s v="CV24905"/>
    <s v="ADRIANA IBARRA"/>
    <x v="4"/>
    <x v="13"/>
    <s v="BBVA Seguros"/>
    <e v="#NAME?"/>
    <x v="96"/>
    <n v="0.33"/>
    <x v="2"/>
    <m/>
    <s v="QC"/>
    <e v="#NAME?"/>
    <e v="#NAME?"/>
    <e v="#NAME?"/>
    <m/>
    <m/>
    <m/>
    <m/>
    <m/>
    <m/>
  </r>
  <r>
    <s v="CV24905"/>
    <s v="ADRIANA IBARRA"/>
    <x v="4"/>
    <x v="13"/>
    <s v="BBVA Seguros"/>
    <e v="#NAME?"/>
    <x v="97"/>
    <n v="0.33"/>
    <x v="2"/>
    <m/>
    <s v="QC"/>
    <e v="#NAME?"/>
    <e v="#NAME?"/>
    <e v="#NAME?"/>
    <m/>
    <m/>
    <m/>
    <m/>
    <m/>
    <m/>
  </r>
  <r>
    <s v="CV24905"/>
    <s v="ADRIANA IBARRA"/>
    <x v="4"/>
    <x v="13"/>
    <s v="BBVA Seguros"/>
    <e v="#NAME?"/>
    <x v="106"/>
    <n v="0.34"/>
    <x v="2"/>
    <m/>
    <s v="QC"/>
    <e v="#NAME?"/>
    <e v="#NAME?"/>
    <e v="#NAME?"/>
    <m/>
    <m/>
    <m/>
    <m/>
    <m/>
    <m/>
  </r>
  <r>
    <s v="O003129"/>
    <s v="DIEGO ARIEL RODRIGUEZ"/>
    <x v="4"/>
    <x v="13"/>
    <s v="BBVA Seguros"/>
    <e v="#NAME?"/>
    <x v="107"/>
    <n v="0.5"/>
    <x v="3"/>
    <m/>
    <m/>
    <e v="#NAME?"/>
    <e v="#NAME?"/>
    <e v="#NAME?"/>
    <m/>
    <m/>
    <m/>
    <m/>
    <m/>
    <m/>
  </r>
  <r>
    <s v="O003129"/>
    <s v="DIEGO ARIEL RODRIGUEZ"/>
    <x v="4"/>
    <x v="13"/>
    <s v="BBVA Seguros"/>
    <e v="#NAME?"/>
    <x v="3"/>
    <n v="0.5"/>
    <x v="3"/>
    <m/>
    <m/>
    <e v="#NAME?"/>
    <e v="#NAME?"/>
    <e v="#NAME?"/>
    <m/>
    <m/>
    <m/>
    <m/>
    <m/>
    <m/>
  </r>
  <r>
    <s v="T003707"/>
    <s v="Andres Camilo Ruiz Bravo"/>
    <x v="2"/>
    <x v="8"/>
    <s v="Neoris"/>
    <e v="#NAME?"/>
    <x v="111"/>
    <n v="0.25"/>
    <x v="0"/>
    <m/>
    <s v="Externo"/>
    <e v="#NAME?"/>
    <e v="#NAME?"/>
    <e v="#NAME?"/>
    <m/>
    <m/>
    <m/>
    <m/>
    <m/>
    <m/>
  </r>
  <r>
    <s v="T003707"/>
    <s v="Andres Camilo Ruiz Bravo"/>
    <x v="2"/>
    <x v="8"/>
    <s v="Neoris"/>
    <e v="#NAME?"/>
    <x v="87"/>
    <n v="0.1"/>
    <x v="0"/>
    <m/>
    <s v="Externo"/>
    <e v="#NAME?"/>
    <e v="#NAME?"/>
    <e v="#NAME?"/>
    <m/>
    <m/>
    <m/>
    <m/>
    <m/>
    <m/>
  </r>
  <r>
    <s v="T003707"/>
    <s v="Andres Camilo Ruiz Bravo"/>
    <x v="2"/>
    <x v="8"/>
    <s v="Neoris"/>
    <e v="#NAME?"/>
    <x v="112"/>
    <n v="0.45"/>
    <x v="0"/>
    <m/>
    <s v="Externo"/>
    <e v="#NAME?"/>
    <e v="#NAME?"/>
    <e v="#NAME?"/>
    <m/>
    <m/>
    <m/>
    <m/>
    <m/>
    <m/>
  </r>
  <r>
    <s v="T003707"/>
    <s v="Andres Camilo Ruiz Bravo"/>
    <x v="2"/>
    <x v="8"/>
    <s v="Neoris"/>
    <e v="#NAME?"/>
    <x v="113"/>
    <n v="0.2"/>
    <x v="0"/>
    <m/>
    <s v="Externo"/>
    <e v="#NAME?"/>
    <e v="#NAME?"/>
    <e v="#NAME?"/>
    <m/>
    <m/>
    <m/>
    <m/>
    <m/>
    <m/>
  </r>
  <r>
    <s v="CE54569"/>
    <s v="Danilo Cusba Pulido"/>
    <x v="2"/>
    <x v="8"/>
    <s v="Choucair"/>
    <e v="#NAME?"/>
    <x v="87"/>
    <n v="0.45"/>
    <x v="2"/>
    <m/>
    <s v="Externo"/>
    <e v="#NAME?"/>
    <e v="#NAME?"/>
    <e v="#NAME?"/>
    <m/>
    <m/>
    <m/>
    <m/>
    <m/>
    <m/>
  </r>
  <r>
    <s v="CE54569"/>
    <s v="Danilo Cusba Pulido"/>
    <x v="2"/>
    <x v="8"/>
    <s v="Choucair"/>
    <e v="#NAME?"/>
    <x v="112"/>
    <n v="0.3"/>
    <x v="2"/>
    <m/>
    <s v="Externo"/>
    <e v="#NAME?"/>
    <e v="#NAME?"/>
    <e v="#NAME?"/>
    <m/>
    <m/>
    <m/>
    <m/>
    <m/>
    <m/>
  </r>
  <r>
    <s v="CE54569"/>
    <s v="Danilo Cusba Pulido"/>
    <x v="2"/>
    <x v="8"/>
    <s v="Choucair"/>
    <e v="#NAME?"/>
    <x v="114"/>
    <n v="0.15"/>
    <x v="2"/>
    <m/>
    <s v="Externo"/>
    <e v="#NAME?"/>
    <e v="#NAME?"/>
    <e v="#NAME?"/>
    <m/>
    <m/>
    <m/>
    <m/>
    <m/>
    <m/>
  </r>
  <r>
    <s v="CE54569"/>
    <s v="Danilo Cusba Pulido"/>
    <x v="2"/>
    <x v="8"/>
    <s v="Choucair"/>
    <e v="#NAME?"/>
    <x v="113"/>
    <n v="0.1"/>
    <x v="2"/>
    <m/>
    <s v="Externo"/>
    <e v="#NAME?"/>
    <e v="#NAME?"/>
    <e v="#NAME?"/>
    <m/>
    <m/>
    <m/>
    <m/>
    <m/>
    <m/>
  </r>
  <r>
    <s v="T003442"/>
    <s v="DIDIER ALFREDO PASUY CASTANO"/>
    <x v="2"/>
    <x v="8"/>
    <s v="Neoris"/>
    <e v="#NAME?"/>
    <x v="112"/>
    <n v="0.25"/>
    <x v="0"/>
    <m/>
    <s v="Externo"/>
    <e v="#NAME?"/>
    <e v="#NAME?"/>
    <e v="#NAME?"/>
    <m/>
    <m/>
    <m/>
    <m/>
    <m/>
    <m/>
  </r>
  <r>
    <s v="T003442"/>
    <s v="DIDIER ALFREDO PASUY CASTANO"/>
    <x v="2"/>
    <x v="8"/>
    <s v="Neoris"/>
    <e v="#NAME?"/>
    <x v="113"/>
    <n v="0.25"/>
    <x v="0"/>
    <m/>
    <s v="Externo"/>
    <e v="#NAME?"/>
    <e v="#NAME?"/>
    <e v="#NAME?"/>
    <m/>
    <m/>
    <m/>
    <m/>
    <m/>
    <m/>
  </r>
  <r>
    <s v="T003442"/>
    <s v="DIDIER ALFREDO PASUY CASTANO"/>
    <x v="2"/>
    <x v="8"/>
    <s v="Neoris"/>
    <e v="#NAME?"/>
    <x v="111"/>
    <n v="0.25"/>
    <x v="0"/>
    <m/>
    <s v="Externo"/>
    <e v="#NAME?"/>
    <e v="#NAME?"/>
    <e v="#NAME?"/>
    <m/>
    <m/>
    <m/>
    <m/>
    <m/>
    <m/>
  </r>
  <r>
    <s v="T003442"/>
    <s v="DIDIER ALFREDO PASUY CASTANO"/>
    <x v="2"/>
    <x v="8"/>
    <s v="Neoris"/>
    <e v="#NAME?"/>
    <x v="111"/>
    <n v="0.25"/>
    <x v="0"/>
    <m/>
    <s v="Externo"/>
    <e v="#NAME?"/>
    <e v="#NAME?"/>
    <e v="#NAME?"/>
    <m/>
    <m/>
    <m/>
    <m/>
    <m/>
    <m/>
  </r>
  <r>
    <s v="C804037"/>
    <s v="Eddy Hernando Bogota Cangrejo"/>
    <x v="2"/>
    <x v="8"/>
    <s v="BBVA"/>
    <e v="#NAME?"/>
    <x v="113"/>
    <n v="0.25"/>
    <x v="1"/>
    <m/>
    <s v="Interno"/>
    <e v="#NAME?"/>
    <e v="#NAME?"/>
    <e v="#NAME?"/>
    <m/>
    <m/>
    <m/>
    <m/>
    <m/>
    <m/>
  </r>
  <r>
    <s v="C804037"/>
    <s v="Eddy Hernando Bogota Cangrejo"/>
    <x v="2"/>
    <x v="8"/>
    <s v="BBVA"/>
    <e v="#NAME?"/>
    <x v="114"/>
    <n v="0.2"/>
    <x v="1"/>
    <m/>
    <s v="Interno"/>
    <e v="#NAME?"/>
    <e v="#NAME?"/>
    <e v="#NAME?"/>
    <m/>
    <m/>
    <m/>
    <m/>
    <m/>
    <m/>
  </r>
  <r>
    <s v="C804037"/>
    <s v="Eddy Hernando Bogota Cangrejo"/>
    <x v="2"/>
    <x v="8"/>
    <s v="BBVA"/>
    <e v="#NAME?"/>
    <x v="111"/>
    <n v="0.2"/>
    <x v="1"/>
    <m/>
    <s v="Interno"/>
    <e v="#NAME?"/>
    <e v="#NAME?"/>
    <e v="#NAME?"/>
    <m/>
    <m/>
    <m/>
    <m/>
    <m/>
    <m/>
  </r>
  <r>
    <s v="C804037"/>
    <s v="Eddy Hernando Bogota Cangrejo"/>
    <x v="2"/>
    <x v="8"/>
    <s v="BBVA"/>
    <e v="#NAME?"/>
    <x v="112"/>
    <n v="0.2"/>
    <x v="1"/>
    <m/>
    <s v="Interno"/>
    <e v="#NAME?"/>
    <e v="#NAME?"/>
    <e v="#NAME?"/>
    <m/>
    <m/>
    <m/>
    <m/>
    <m/>
    <m/>
  </r>
  <r>
    <s v="C804037"/>
    <s v="Eddy Hernando Bogota Cangrejo"/>
    <x v="2"/>
    <x v="8"/>
    <s v="BBVA"/>
    <e v="#NAME?"/>
    <x v="3"/>
    <n v="0.15"/>
    <x v="1"/>
    <m/>
    <s v="Interno"/>
    <e v="#NAME?"/>
    <e v="#NAME?"/>
    <e v="#NAME?"/>
    <m/>
    <m/>
    <m/>
    <m/>
    <m/>
    <m/>
  </r>
  <r>
    <s v="C805749"/>
    <s v="Espitia Montilla William Ricardo"/>
    <x v="2"/>
    <x v="8"/>
    <s v="BBVA"/>
    <e v="#NAME?"/>
    <x v="112"/>
    <n v="0.5"/>
    <x v="0"/>
    <m/>
    <s v="Interno"/>
    <e v="#NAME?"/>
    <e v="#NAME?"/>
    <e v="#NAME?"/>
    <m/>
    <m/>
    <m/>
    <m/>
    <m/>
    <m/>
  </r>
  <r>
    <s v="C805749"/>
    <s v="Espitia Montilla William Ricardo"/>
    <x v="2"/>
    <x v="8"/>
    <s v="BBVA"/>
    <e v="#NAME?"/>
    <x v="111"/>
    <n v="0.4"/>
    <x v="0"/>
    <m/>
    <s v="Interno"/>
    <e v="#NAME?"/>
    <e v="#NAME?"/>
    <e v="#NAME?"/>
    <m/>
    <m/>
    <m/>
    <m/>
    <m/>
    <m/>
  </r>
  <r>
    <s v="C805749"/>
    <s v="Espitia Montilla William Ricardo"/>
    <x v="2"/>
    <x v="8"/>
    <s v="BBVA"/>
    <e v="#NAME?"/>
    <x v="113"/>
    <n v="0.1"/>
    <x v="0"/>
    <m/>
    <s v="Interno"/>
    <e v="#NAME?"/>
    <e v="#NAME?"/>
    <e v="#NAME?"/>
    <m/>
    <m/>
    <m/>
    <m/>
    <m/>
    <m/>
  </r>
  <r>
    <s v="C809505"/>
    <s v="Fuentes Rojas Jose David"/>
    <x v="2"/>
    <x v="8"/>
    <s v="BBVA"/>
    <e v="#NAME?"/>
    <x v="112"/>
    <n v="0.35"/>
    <x v="0"/>
    <m/>
    <s v="Interno"/>
    <e v="#NAME?"/>
    <e v="#NAME?"/>
    <e v="#NAME?"/>
    <m/>
    <m/>
    <m/>
    <m/>
    <m/>
    <m/>
  </r>
  <r>
    <s v="C809505"/>
    <s v="Fuentes Rojas Jose David"/>
    <x v="2"/>
    <x v="8"/>
    <s v="BBVA"/>
    <e v="#NAME?"/>
    <x v="113"/>
    <n v="0.3"/>
    <x v="0"/>
    <m/>
    <s v="Interno"/>
    <e v="#NAME?"/>
    <e v="#NAME?"/>
    <e v="#NAME?"/>
    <m/>
    <m/>
    <m/>
    <m/>
    <m/>
    <m/>
  </r>
  <r>
    <s v="C809505"/>
    <s v="Fuentes Rojas Jose David"/>
    <x v="2"/>
    <x v="8"/>
    <s v="BBVA"/>
    <e v="#NAME?"/>
    <x v="111"/>
    <n v="0.35"/>
    <x v="0"/>
    <m/>
    <s v="Interno"/>
    <e v="#NAME?"/>
    <e v="#NAME?"/>
    <e v="#NAME?"/>
    <m/>
    <m/>
    <m/>
    <m/>
    <m/>
    <m/>
  </r>
  <r>
    <s v="CE58926"/>
    <s v="HEYBER FERNANDO NINO GUANUME."/>
    <x v="2"/>
    <x v="8"/>
    <s v="Neoris"/>
    <e v="#NAME?"/>
    <x v="113"/>
    <n v="0.5"/>
    <x v="0"/>
    <m/>
    <s v="Externo"/>
    <e v="#NAME?"/>
    <e v="#NAME?"/>
    <e v="#NAME?"/>
    <m/>
    <m/>
    <m/>
    <m/>
    <m/>
    <m/>
  </r>
  <r>
    <s v="CE58926"/>
    <s v="HEYBER FERNANDO NINO GUANUME."/>
    <x v="2"/>
    <x v="8"/>
    <s v="Neoris"/>
    <e v="#NAME?"/>
    <x v="113"/>
    <n v="0.5"/>
    <x v="0"/>
    <m/>
    <s v="Externo"/>
    <e v="#NAME?"/>
    <e v="#NAME?"/>
    <e v="#NAME?"/>
    <m/>
    <m/>
    <m/>
    <m/>
    <m/>
    <m/>
  </r>
  <r>
    <s v="T002660"/>
    <s v="JUAN ALEJANDRO RIOS PEREZ"/>
    <x v="2"/>
    <x v="8"/>
    <s v="Choucair"/>
    <e v="#NAME?"/>
    <x v="112"/>
    <n v="0.3"/>
    <x v="2"/>
    <m/>
    <s v="Externo"/>
    <e v="#NAME?"/>
    <e v="#NAME?"/>
    <e v="#NAME?"/>
    <m/>
    <m/>
    <m/>
    <m/>
    <m/>
    <m/>
  </r>
  <r>
    <s v="T002660"/>
    <s v="JUAN ALEJANDRO RIOS PEREZ"/>
    <x v="2"/>
    <x v="8"/>
    <s v="Choucair"/>
    <e v="#NAME?"/>
    <x v="111"/>
    <n v="0.3"/>
    <x v="2"/>
    <m/>
    <s v="Externo"/>
    <e v="#NAME?"/>
    <e v="#NAME?"/>
    <e v="#NAME?"/>
    <m/>
    <m/>
    <m/>
    <m/>
    <m/>
    <m/>
  </r>
  <r>
    <s v="T002660"/>
    <s v="JUAN ALEJANDRO RIOS PEREZ"/>
    <x v="2"/>
    <x v="8"/>
    <s v="Choucair"/>
    <e v="#NAME?"/>
    <x v="113"/>
    <n v="0.4"/>
    <x v="2"/>
    <m/>
    <s v="Externo"/>
    <e v="#NAME?"/>
    <e v="#NAME?"/>
    <e v="#NAME?"/>
    <m/>
    <m/>
    <m/>
    <m/>
    <m/>
    <m/>
  </r>
  <r>
    <s v="T003439"/>
    <s v="Paula Janeth moreno Escobar"/>
    <x v="2"/>
    <x v="8"/>
    <s v="Neoris"/>
    <e v="#NAME?"/>
    <x v="112"/>
    <n v="0.5"/>
    <x v="0"/>
    <m/>
    <s v="Externo"/>
    <e v="#NAME?"/>
    <e v="#NAME?"/>
    <e v="#NAME?"/>
    <m/>
    <m/>
    <m/>
    <m/>
    <m/>
    <m/>
  </r>
  <r>
    <s v="T003439"/>
    <s v="Paula Janeth moreno Escobar"/>
    <x v="2"/>
    <x v="8"/>
    <s v="Neoris"/>
    <e v="#NAME?"/>
    <x v="111"/>
    <n v="0.1"/>
    <x v="0"/>
    <m/>
    <s v="Externo"/>
    <e v="#NAME?"/>
    <e v="#NAME?"/>
    <e v="#NAME?"/>
    <m/>
    <m/>
    <m/>
    <m/>
    <m/>
    <m/>
  </r>
  <r>
    <s v="T003439"/>
    <s v="Paula Janeth moreno Escobar"/>
    <x v="2"/>
    <x v="8"/>
    <s v="Neoris"/>
    <e v="#NAME?"/>
    <x v="113"/>
    <n v="0.4"/>
    <x v="0"/>
    <m/>
    <s v="Externo"/>
    <e v="#NAME?"/>
    <e v="#NAME?"/>
    <e v="#NAME?"/>
    <m/>
    <m/>
    <m/>
    <m/>
    <m/>
    <m/>
  </r>
  <r>
    <s v="C808793"/>
    <s v="Rey Orozco Cristian Ivan"/>
    <x v="2"/>
    <x v="8"/>
    <s v="BBVA"/>
    <e v="#NAME?"/>
    <x v="112"/>
    <n v="0.8"/>
    <x v="0"/>
    <m/>
    <s v="Interno"/>
    <e v="#NAME?"/>
    <e v="#NAME?"/>
    <e v="#NAME?"/>
    <m/>
    <m/>
    <m/>
    <m/>
    <m/>
    <m/>
  </r>
  <r>
    <s v="C808793"/>
    <s v="Rey Orozco Cristian Ivan"/>
    <x v="2"/>
    <x v="8"/>
    <s v="BBVA"/>
    <e v="#NAME?"/>
    <x v="111"/>
    <n v="0.2"/>
    <x v="0"/>
    <m/>
    <s v="Interno"/>
    <e v="#NAME?"/>
    <e v="#NAME?"/>
    <e v="#NAME?"/>
    <m/>
    <m/>
    <m/>
    <m/>
    <m/>
    <m/>
  </r>
  <r>
    <s v="C811305"/>
    <s v="Rigoberto Rios Hueso"/>
    <x v="2"/>
    <x v="8"/>
    <s v="BBVA"/>
    <e v="#NAME?"/>
    <x v="87"/>
    <n v="0.4"/>
    <x v="0"/>
    <m/>
    <s v="Interno"/>
    <e v="#NAME?"/>
    <e v="#NAME?"/>
    <e v="#NAME?"/>
    <m/>
    <m/>
    <m/>
    <m/>
    <m/>
    <m/>
  </r>
  <r>
    <s v="C811305"/>
    <s v="Rigoberto Rios Hueso"/>
    <x v="2"/>
    <x v="8"/>
    <s v="BBVA"/>
    <e v="#NAME?"/>
    <x v="114"/>
    <n v="0.6"/>
    <x v="0"/>
    <m/>
    <s v="Interno"/>
    <e v="#NAME?"/>
    <e v="#NAME?"/>
    <e v="#NAME?"/>
    <m/>
    <m/>
    <m/>
    <m/>
    <m/>
    <m/>
  </r>
  <r>
    <s v="T003924"/>
    <s v="Stefan Nicolas Aponte Murcia"/>
    <x v="2"/>
    <x v="8"/>
    <s v="GGI / CMC"/>
    <e v="#NAME?"/>
    <x v="112"/>
    <n v="0.6"/>
    <x v="0"/>
    <m/>
    <s v="Externo"/>
    <e v="#NAME?"/>
    <e v="#NAME?"/>
    <e v="#NAME?"/>
    <m/>
    <m/>
    <m/>
    <m/>
    <m/>
    <m/>
  </r>
  <r>
    <s v="T003924"/>
    <s v="Stefan Nicolas Aponte Murcia"/>
    <x v="2"/>
    <x v="8"/>
    <s v="GGI / CMC"/>
    <e v="#NAME?"/>
    <x v="111"/>
    <n v="0.4"/>
    <x v="0"/>
    <m/>
    <s v="Externo"/>
    <e v="#NAME?"/>
    <e v="#NAME?"/>
    <e v="#NAME?"/>
    <m/>
    <m/>
    <m/>
    <m/>
    <m/>
    <m/>
  </r>
  <r>
    <s v="T005244"/>
    <s v="TOVAR VELASQUEZ MEYER"/>
    <x v="2"/>
    <x v="8"/>
    <s v="Neoris"/>
    <e v="#NAME?"/>
    <x v="112"/>
    <n v="0.3"/>
    <x v="0"/>
    <m/>
    <s v="Externo"/>
    <e v="#NAME?"/>
    <e v="#NAME?"/>
    <e v="#NAME?"/>
    <m/>
    <m/>
    <m/>
    <m/>
    <m/>
    <m/>
  </r>
  <r>
    <s v="T005244"/>
    <s v="TOVAR VELASQUEZ MEYER"/>
    <x v="2"/>
    <x v="8"/>
    <s v="Neoris"/>
    <e v="#NAME?"/>
    <x v="111"/>
    <n v="0.4"/>
    <x v="0"/>
    <m/>
    <s v="Externo"/>
    <e v="#NAME?"/>
    <e v="#NAME?"/>
    <e v="#NAME?"/>
    <m/>
    <m/>
    <m/>
    <m/>
    <m/>
    <m/>
  </r>
  <r>
    <s v="T005244"/>
    <s v="TOVAR VELASQUEZ MEYER"/>
    <x v="2"/>
    <x v="8"/>
    <s v="Neoris"/>
    <e v="#NAME?"/>
    <x v="113"/>
    <n v="0.3"/>
    <x v="0"/>
    <m/>
    <s v="Externo"/>
    <e v="#NAME?"/>
    <e v="#NAME?"/>
    <e v="#NAME?"/>
    <m/>
    <m/>
    <m/>
    <m/>
    <m/>
    <m/>
  </r>
  <r>
    <s v="T004481"/>
    <s v="ACEVEDO SANCHEZ RUBEN DARIO"/>
    <x v="2"/>
    <x v="8"/>
    <s v="Neoris"/>
    <e v="#NAME?"/>
    <x v="112"/>
    <n v="0.5"/>
    <x v="0"/>
    <m/>
    <s v="Externo"/>
    <e v="#NAME?"/>
    <e v="#NAME?"/>
    <e v="#NAME?"/>
    <m/>
    <m/>
    <m/>
    <m/>
    <m/>
    <m/>
  </r>
  <r>
    <s v="T004481"/>
    <s v="ACEVEDO SANCHEZ RUBEN DARIO"/>
    <x v="2"/>
    <x v="8"/>
    <s v="Neoris"/>
    <e v="#NAME?"/>
    <x v="111"/>
    <n v="0.5"/>
    <x v="0"/>
    <m/>
    <s v="Externo"/>
    <e v="#NAME?"/>
    <e v="#NAME?"/>
    <e v="#NAME?"/>
    <m/>
    <m/>
    <m/>
    <m/>
    <m/>
    <m/>
  </r>
  <r>
    <s v="CE54975"/>
    <s v="Juan Carlos Pardo Hernandez"/>
    <x v="2"/>
    <x v="8"/>
    <s v="GGI / CMC"/>
    <e v="#NAME?"/>
    <x v="112"/>
    <n v="0.5"/>
    <x v="0"/>
    <m/>
    <s v="Externo"/>
    <e v="#NAME?"/>
    <e v="#NAME?"/>
    <e v="#NAME?"/>
    <m/>
    <m/>
    <m/>
    <m/>
    <m/>
    <m/>
  </r>
  <r>
    <s v="CE54975"/>
    <s v="Juan Carlos Pardo Hernandez"/>
    <x v="2"/>
    <x v="8"/>
    <s v="GGI / CMC"/>
    <e v="#NAME?"/>
    <x v="111"/>
    <n v="0.5"/>
    <x v="0"/>
    <m/>
    <s v="Externo"/>
    <e v="#NAME?"/>
    <e v="#NAME?"/>
    <e v="#NAME?"/>
    <m/>
    <m/>
    <m/>
    <m/>
    <m/>
    <m/>
  </r>
  <r>
    <s v="CE64571"/>
    <s v="Melissa Correa Rios"/>
    <x v="2"/>
    <x v="8"/>
    <s v="GGI / CMC"/>
    <e v="#NAME?"/>
    <x v="111"/>
    <n v="1"/>
    <x v="0"/>
    <m/>
    <s v="Externo"/>
    <e v="#NAME?"/>
    <e v="#NAME?"/>
    <e v="#NAME?"/>
    <m/>
    <m/>
    <m/>
    <m/>
    <m/>
    <m/>
  </r>
  <r>
    <s v="CE69336"/>
    <s v="Kleiver Joan Martinez Peña"/>
    <x v="2"/>
    <x v="8"/>
    <s v="Indra"/>
    <e v="#NAME?"/>
    <x v="113"/>
    <n v="1"/>
    <x v="0"/>
    <m/>
    <s v="Externo"/>
    <e v="#NAME?"/>
    <e v="#NAME?"/>
    <e v="#NAME?"/>
    <m/>
    <m/>
    <m/>
    <m/>
    <m/>
    <m/>
  </r>
  <r>
    <s v="CE50845"/>
    <s v="Jeferson Daniel Agudelo sierra"/>
    <x v="2"/>
    <x v="8"/>
    <s v="Neoris"/>
    <e v="#NAME?"/>
    <x v="111"/>
    <n v="0.5"/>
    <x v="0"/>
    <m/>
    <s v="Externo"/>
    <e v="#NAME?"/>
    <e v="#NAME?"/>
    <e v="#NAME?"/>
    <m/>
    <m/>
    <m/>
    <m/>
    <m/>
    <m/>
  </r>
  <r>
    <s v="CE50845"/>
    <s v="Jeferson Daniel Agudelo sierra"/>
    <x v="2"/>
    <x v="8"/>
    <s v="Neoris"/>
    <e v="#NAME?"/>
    <x v="113"/>
    <n v="0.3"/>
    <x v="0"/>
    <m/>
    <s v="Externo"/>
    <e v="#NAME?"/>
    <e v="#NAME?"/>
    <e v="#NAME?"/>
    <m/>
    <m/>
    <m/>
    <m/>
    <m/>
    <m/>
  </r>
  <r>
    <s v="CE50845"/>
    <s v="Jeferson Daniel Agudelo sierra"/>
    <x v="2"/>
    <x v="8"/>
    <s v="Neoris"/>
    <e v="#NAME?"/>
    <x v="112"/>
    <n v="0.2"/>
    <x v="0"/>
    <m/>
    <m/>
    <e v="#NAME?"/>
    <e v="#NAME?"/>
    <e v="#NAME?"/>
    <m/>
    <m/>
    <m/>
    <m/>
    <m/>
    <m/>
  </r>
  <r>
    <s v="CE67859"/>
    <s v="Andres Felipe Quintero Salazar"/>
    <x v="5"/>
    <x v="14"/>
    <s v="Accenture"/>
    <e v="#NAME?"/>
    <x v="115"/>
    <n v="0.5"/>
    <x v="0"/>
    <s v="ASO"/>
    <m/>
    <e v="#NAME?"/>
    <e v="#NAME?"/>
    <e v="#NAME?"/>
    <m/>
    <m/>
    <m/>
    <m/>
    <m/>
    <m/>
  </r>
  <r>
    <s v="CE51863"/>
    <s v="EDNA ROCIO MONCADA"/>
    <x v="5"/>
    <x v="14"/>
    <s v="KRYPTO"/>
    <e v="#NAME?"/>
    <x v="115"/>
    <n v="0.02"/>
    <x v="2"/>
    <s v="Otras Tec."/>
    <m/>
    <e v="#NAME?"/>
    <e v="#NAME?"/>
    <e v="#NAME?"/>
    <m/>
    <m/>
    <m/>
    <m/>
    <m/>
    <m/>
  </r>
  <r>
    <s v="O002593"/>
    <s v="TATIANA CAROLINA AVELLANEDA"/>
    <x v="5"/>
    <x v="14"/>
    <s v="BBVA"/>
    <e v="#NAME?"/>
    <x v="115"/>
    <n v="0.2"/>
    <x v="1"/>
    <s v="Otras Tec."/>
    <m/>
    <e v="#NAME?"/>
    <e v="#NAME?"/>
    <e v="#NAME?"/>
    <m/>
    <m/>
    <m/>
    <m/>
    <m/>
    <m/>
  </r>
  <r>
    <s v="O001659"/>
    <s v="CARLOS ARTURO PUENTES ZAMBRANO"/>
    <x v="5"/>
    <x v="14"/>
    <s v="BBVA"/>
    <e v="#NAME?"/>
    <x v="115"/>
    <n v="1"/>
    <x v="0"/>
    <s v="Mainframe"/>
    <m/>
    <e v="#NAME?"/>
    <e v="#NAME?"/>
    <e v="#NAME?"/>
    <m/>
    <m/>
    <m/>
    <m/>
    <m/>
    <m/>
  </r>
  <r>
    <s v="T004575"/>
    <s v="David Sandoval Arboleda"/>
    <x v="5"/>
    <x v="14"/>
    <s v="Accenture"/>
    <e v="#NAME?"/>
    <x v="115"/>
    <n v="1"/>
    <x v="0"/>
    <s v="Cells"/>
    <m/>
    <e v="#NAME?"/>
    <e v="#NAME?"/>
    <e v="#NAME?"/>
    <m/>
    <m/>
    <m/>
    <m/>
    <m/>
    <m/>
  </r>
  <r>
    <s v="O000959"/>
    <s v="JORGE ESTEBAN LLANOS"/>
    <x v="5"/>
    <x v="14"/>
    <s v="BBVA"/>
    <e v="#NAME?"/>
    <x v="115"/>
    <n v="1"/>
    <x v="0"/>
    <s v="APX"/>
    <m/>
    <e v="#NAME?"/>
    <e v="#NAME?"/>
    <e v="#NAME?"/>
    <m/>
    <m/>
    <m/>
    <m/>
    <m/>
    <m/>
  </r>
  <r>
    <s v="C811006"/>
    <s v="JULIAN ESTIC LAGOS GALINDO"/>
    <x v="5"/>
    <x v="14"/>
    <s v="BBVA"/>
    <e v="#NAME?"/>
    <x v="115"/>
    <n v="1"/>
    <x v="0"/>
    <s v="Cells"/>
    <m/>
    <e v="#NAME?"/>
    <e v="#NAME?"/>
    <e v="#NAME?"/>
    <m/>
    <m/>
    <m/>
    <m/>
    <m/>
    <m/>
  </r>
  <r>
    <s v="T004934"/>
    <s v="Luis Eduardo Fonseca Fajardo"/>
    <x v="5"/>
    <x v="14"/>
    <s v="Choucair"/>
    <e v="#NAME?"/>
    <x v="115"/>
    <n v="1"/>
    <x v="2"/>
    <s v="Otras Tec."/>
    <m/>
    <e v="#NAME?"/>
    <e v="#NAME?"/>
    <e v="#NAME?"/>
    <m/>
    <m/>
    <m/>
    <m/>
    <m/>
    <m/>
  </r>
  <r>
    <s v="CE70412"/>
    <s v="Angie Chiguasuque"/>
    <x v="5"/>
    <x v="14"/>
    <s v="Choucair"/>
    <e v="#NAME?"/>
    <x v="115"/>
    <n v="1"/>
    <x v="2"/>
    <s v="Otras Tec."/>
    <m/>
    <e v="#NAME?"/>
    <e v="#NAME?"/>
    <e v="#NAME?"/>
    <m/>
    <m/>
    <m/>
    <m/>
    <m/>
    <m/>
  </r>
  <r>
    <s v="CE51863"/>
    <s v="EDNA ROCIO MONCADA"/>
    <x v="5"/>
    <x v="14"/>
    <s v="KRYPTO"/>
    <e v="#NAME?"/>
    <x v="67"/>
    <n v="0.02"/>
    <x v="2"/>
    <s v="Otras Tec."/>
    <m/>
    <e v="#NAME?"/>
    <e v="#NAME?"/>
    <e v="#NAME?"/>
    <m/>
    <m/>
    <m/>
    <m/>
    <m/>
    <m/>
  </r>
  <r>
    <s v="O005003 "/>
    <s v="Ginna García Lara"/>
    <x v="5"/>
    <x v="14"/>
    <s v="BBVA"/>
    <e v="#NAME?"/>
    <x v="67"/>
    <n v="0.2"/>
    <x v="1"/>
    <s v="Otras Tec."/>
    <m/>
    <e v="#NAME?"/>
    <e v="#NAME?"/>
    <e v="#NAME?"/>
    <m/>
    <m/>
    <m/>
    <m/>
    <m/>
    <m/>
  </r>
  <r>
    <s v="T001903"/>
    <s v="David Santiago Quijano Ordoñez"/>
    <x v="5"/>
    <x v="14"/>
    <s v="Choucair"/>
    <e v="#NAME?"/>
    <x v="67"/>
    <n v="1"/>
    <x v="2"/>
    <s v="Otras Tec."/>
    <m/>
    <e v="#NAME?"/>
    <e v="#NAME?"/>
    <e v="#NAME?"/>
    <m/>
    <m/>
    <m/>
    <m/>
    <m/>
    <m/>
  </r>
  <r>
    <s v="CE48051"/>
    <s v="Edgar Andrés Garzon Rangel"/>
    <x v="5"/>
    <x v="14"/>
    <s v="Novatec"/>
    <e v="#NAME?"/>
    <x v="67"/>
    <n v="1"/>
    <x v="0"/>
    <s v="Mainframe"/>
    <m/>
    <e v="#NAME?"/>
    <e v="#NAME?"/>
    <e v="#NAME?"/>
    <m/>
    <m/>
    <m/>
    <m/>
    <m/>
    <m/>
  </r>
  <r>
    <s v="CE69994"/>
    <s v="Lautaro Nahuel Cuello"/>
    <x v="5"/>
    <x v="14"/>
    <s v="Globant"/>
    <e v="#NAME?"/>
    <x v="67"/>
    <n v="1"/>
    <x v="0"/>
    <s v="Cells"/>
    <m/>
    <e v="#NAME?"/>
    <e v="#NAME?"/>
    <e v="#NAME?"/>
    <m/>
    <m/>
    <m/>
    <m/>
    <m/>
    <m/>
  </r>
  <r>
    <s v="CE70000"/>
    <s v="Manuel Augusto Vilchez Maticorena"/>
    <x v="5"/>
    <x v="14"/>
    <s v="Globant"/>
    <e v="#NAME?"/>
    <x v="67"/>
    <n v="1"/>
    <x v="0"/>
    <s v="APX"/>
    <m/>
    <e v="#NAME?"/>
    <e v="#NAME?"/>
    <e v="#NAME?"/>
    <m/>
    <m/>
    <m/>
    <m/>
    <m/>
    <m/>
  </r>
  <r>
    <s v="C811282"/>
    <s v="Santiago Galindo Gutierrez"/>
    <x v="5"/>
    <x v="14"/>
    <s v="BBVA"/>
    <e v="#NAME?"/>
    <x v="67"/>
    <n v="1"/>
    <x v="0"/>
    <s v="Cells"/>
    <m/>
    <e v="#NAME?"/>
    <e v="#NAME?"/>
    <e v="#NAME?"/>
    <m/>
    <m/>
    <m/>
    <m/>
    <m/>
    <m/>
  </r>
  <r>
    <s v="CE69992"/>
    <s v="Stephany L Ceron Salas"/>
    <x v="5"/>
    <x v="14"/>
    <s v="Globant"/>
    <e v="#NAME?"/>
    <x v="67"/>
    <n v="1"/>
    <x v="0"/>
    <s v="Cells"/>
    <m/>
    <e v="#NAME?"/>
    <e v="#NAME?"/>
    <e v="#NAME?"/>
    <m/>
    <m/>
    <m/>
    <m/>
    <m/>
    <m/>
  </r>
  <r>
    <s v="CE51863"/>
    <s v="EDNA ROCIO MONCADA"/>
    <x v="5"/>
    <x v="14"/>
    <s v="KRYPTO"/>
    <e v="#NAME?"/>
    <x v="68"/>
    <n v="0.02"/>
    <x v="2"/>
    <s v="Otras Tec."/>
    <m/>
    <e v="#NAME?"/>
    <e v="#NAME?"/>
    <e v="#NAME?"/>
    <m/>
    <m/>
    <m/>
    <m/>
    <m/>
    <m/>
  </r>
  <r>
    <s v="O005003 "/>
    <s v="Ginna García Lara"/>
    <x v="5"/>
    <x v="14"/>
    <s v="BBVA"/>
    <e v="#NAME?"/>
    <x v="68"/>
    <n v="0.2"/>
    <x v="1"/>
    <s v="Otras Tec."/>
    <m/>
    <e v="#NAME?"/>
    <e v="#NAME?"/>
    <e v="#NAME?"/>
    <m/>
    <m/>
    <m/>
    <m/>
    <m/>
    <m/>
  </r>
  <r>
    <s v="C805527"/>
    <s v="FABIAN ALEJANDRO LOPEZ SUAREZ"/>
    <x v="5"/>
    <x v="14"/>
    <s v="BBVA"/>
    <e v="#NAME?"/>
    <x v="68"/>
    <n v="1"/>
    <x v="0"/>
    <s v="Cells"/>
    <m/>
    <e v="#NAME?"/>
    <e v="#NAME?"/>
    <e v="#NAME?"/>
    <m/>
    <m/>
    <m/>
    <m/>
    <m/>
    <m/>
  </r>
  <r>
    <s v="T006279"/>
    <s v="Jairo Andres Ochoa"/>
    <x v="5"/>
    <x v="14"/>
    <s v="Choucair"/>
    <e v="#NAME?"/>
    <x v="68"/>
    <n v="1"/>
    <x v="2"/>
    <s v="Otras Tec."/>
    <m/>
    <e v="#NAME?"/>
    <e v="#NAME?"/>
    <e v="#NAME?"/>
    <m/>
    <m/>
    <m/>
    <m/>
    <m/>
    <m/>
  </r>
  <r>
    <m/>
    <s v="Desarrollador Front"/>
    <x v="5"/>
    <x v="14"/>
    <s v="Accenture"/>
    <e v="#NAME?"/>
    <x v="68"/>
    <n v="1"/>
    <x v="0"/>
    <s v="Cells"/>
    <m/>
    <e v="#NAME?"/>
    <e v="#NAME?"/>
    <e v="#NAME?"/>
    <m/>
    <m/>
    <m/>
    <m/>
    <m/>
    <m/>
  </r>
  <r>
    <s v="O005003 "/>
    <s v="Ginna García Lara"/>
    <x v="5"/>
    <x v="14"/>
    <s v="BBVA"/>
    <e v="#NAME?"/>
    <x v="116"/>
    <n v="0.2"/>
    <x v="1"/>
    <s v="Otras Tec."/>
    <m/>
    <e v="#NAME?"/>
    <e v="#NAME?"/>
    <e v="#NAME?"/>
    <m/>
    <m/>
    <m/>
    <m/>
    <n v="2"/>
    <m/>
  </r>
  <r>
    <s v="T000210"/>
    <s v="Carlos Alberto Meneses Campohermoso"/>
    <x v="5"/>
    <x v="14"/>
    <s v="Indra"/>
    <e v="#NAME?"/>
    <x v="116"/>
    <n v="1"/>
    <x v="0"/>
    <s v="Cells"/>
    <m/>
    <e v="#NAME?"/>
    <e v="#NAME?"/>
    <e v="#NAME?"/>
    <m/>
    <m/>
    <m/>
    <m/>
    <n v="2"/>
    <m/>
  </r>
  <r>
    <s v="O002162"/>
    <s v="JUAN FELIPE MARTÍN PUERTO"/>
    <x v="5"/>
    <x v="14"/>
    <s v="BBVA"/>
    <e v="#NAME?"/>
    <x v="116"/>
    <n v="1"/>
    <x v="0"/>
    <s v="APX"/>
    <m/>
    <e v="#NAME?"/>
    <e v="#NAME?"/>
    <e v="#NAME?"/>
    <m/>
    <m/>
    <m/>
    <m/>
    <n v="2"/>
    <m/>
  </r>
  <r>
    <s v="CE69750"/>
    <s v="Lina Vanessa Rincón Prada"/>
    <x v="5"/>
    <x v="14"/>
    <s v="Choucair"/>
    <e v="#NAME?"/>
    <x v="116"/>
    <n v="1"/>
    <x v="2"/>
    <s v="Otras Tec."/>
    <m/>
    <e v="#NAME?"/>
    <e v="#NAME?"/>
    <e v="#NAME?"/>
    <m/>
    <m/>
    <m/>
    <m/>
    <n v="2"/>
    <m/>
  </r>
  <r>
    <s v="T001323"/>
    <s v="Martin Bournonville"/>
    <x v="5"/>
    <x v="14"/>
    <s v="Globant"/>
    <e v="#NAME?"/>
    <x v="116"/>
    <n v="1"/>
    <x v="0"/>
    <s v="Cells"/>
    <m/>
    <e v="#NAME?"/>
    <e v="#NAME?"/>
    <e v="#NAME?"/>
    <m/>
    <m/>
    <m/>
    <m/>
    <n v="2"/>
    <m/>
  </r>
  <r>
    <s v="CE55865"/>
    <s v="Santiago Pulido Calderon"/>
    <x v="5"/>
    <x v="14"/>
    <s v="GGI / CMC"/>
    <e v="#NAME?"/>
    <x v="116"/>
    <n v="1"/>
    <x v="0"/>
    <s v="Mainframe"/>
    <m/>
    <e v="#NAME?"/>
    <e v="#NAME?"/>
    <e v="#NAME?"/>
    <m/>
    <m/>
    <m/>
    <m/>
    <n v="2"/>
    <m/>
  </r>
  <r>
    <s v="C805937"/>
    <s v="SERGIO IVAN SANCHEZ PLAZAS"/>
    <x v="5"/>
    <x v="14"/>
    <s v="BBVA"/>
    <e v="#NAME?"/>
    <x v="116"/>
    <n v="1"/>
    <x v="0"/>
    <s v="Cells"/>
    <m/>
    <e v="#NAME?"/>
    <e v="#NAME?"/>
    <e v="#NAME?"/>
    <m/>
    <m/>
    <m/>
    <m/>
    <n v="2"/>
    <m/>
  </r>
  <r>
    <m/>
    <s v="Desarrollador Front 1"/>
    <x v="5"/>
    <x v="14"/>
    <s v="Indra"/>
    <e v="#NAME?"/>
    <x v="116"/>
    <n v="1"/>
    <x v="0"/>
    <s v="Cells"/>
    <m/>
    <e v="#NAME?"/>
    <e v="#NAME?"/>
    <e v="#NAME?"/>
    <m/>
    <m/>
    <m/>
    <m/>
    <n v="2"/>
    <m/>
  </r>
  <r>
    <m/>
    <s v="Desarrollador Front 2"/>
    <x v="5"/>
    <x v="14"/>
    <s v="Accenture"/>
    <e v="#NAME?"/>
    <x v="116"/>
    <n v="1"/>
    <x v="0"/>
    <s v="Cells"/>
    <m/>
    <e v="#NAME?"/>
    <e v="#NAME?"/>
    <e v="#NAME?"/>
    <m/>
    <m/>
    <m/>
    <m/>
    <n v="2"/>
    <m/>
  </r>
  <r>
    <m/>
    <s v="Desarrollador APX 1"/>
    <x v="5"/>
    <x v="14"/>
    <s v="Indra"/>
    <e v="#NAME?"/>
    <x v="116"/>
    <n v="1"/>
    <x v="0"/>
    <s v="APX"/>
    <m/>
    <e v="#NAME?"/>
    <e v="#NAME?"/>
    <e v="#NAME?"/>
    <m/>
    <m/>
    <m/>
    <m/>
    <n v="2"/>
    <m/>
  </r>
  <r>
    <m/>
    <s v="Desarrollador APX 2"/>
    <x v="5"/>
    <x v="14"/>
    <s v="Accenture"/>
    <e v="#NAME?"/>
    <x v="116"/>
    <n v="1"/>
    <x v="0"/>
    <s v="APX"/>
    <m/>
    <e v="#NAME?"/>
    <e v="#NAME?"/>
    <e v="#NAME?"/>
    <m/>
    <m/>
    <m/>
    <m/>
    <n v="2"/>
    <m/>
  </r>
  <r>
    <m/>
    <s v="Tester 1"/>
    <x v="5"/>
    <x v="14"/>
    <s v="Choucair"/>
    <e v="#NAME?"/>
    <x v="116"/>
    <n v="1"/>
    <x v="2"/>
    <s v="Otras Tec."/>
    <m/>
    <e v="#NAME?"/>
    <e v="#NAME?"/>
    <e v="#NAME?"/>
    <m/>
    <m/>
    <m/>
    <m/>
    <n v="2"/>
    <m/>
  </r>
  <r>
    <m/>
    <s v="Tester 2"/>
    <x v="5"/>
    <x v="14"/>
    <s v="Choucair"/>
    <e v="#NAME?"/>
    <x v="116"/>
    <n v="1"/>
    <x v="2"/>
    <s v="Otras Tec."/>
    <m/>
    <e v="#NAME?"/>
    <e v="#NAME?"/>
    <e v="#NAME?"/>
    <m/>
    <m/>
    <m/>
    <m/>
    <n v="2"/>
    <m/>
  </r>
  <r>
    <s v="CE67859"/>
    <s v="Andres Felipe Quintero Salazar"/>
    <x v="5"/>
    <x v="14"/>
    <s v="Accenture"/>
    <e v="#NAME?"/>
    <x v="16"/>
    <n v="0.5"/>
    <x v="0"/>
    <s v="ASO"/>
    <m/>
    <e v="#NAME?"/>
    <e v="#NAME?"/>
    <e v="#NAME?"/>
    <m/>
    <m/>
    <m/>
    <m/>
    <n v="2"/>
    <m/>
  </r>
  <r>
    <s v="CE51863"/>
    <s v="EDNA ROCIO MONCADA"/>
    <x v="5"/>
    <x v="14"/>
    <s v="KRYPTO"/>
    <e v="#NAME?"/>
    <x v="16"/>
    <n v="0.02"/>
    <x v="2"/>
    <s v="Otras Tec."/>
    <m/>
    <e v="#NAME?"/>
    <e v="#NAME?"/>
    <e v="#NAME?"/>
    <m/>
    <m/>
    <m/>
    <m/>
    <n v="2"/>
    <m/>
  </r>
  <r>
    <s v="T004295"/>
    <s v="Hayler Jair Caicedo"/>
    <x v="5"/>
    <x v="14"/>
    <s v="Accenture"/>
    <e v="#NAME?"/>
    <x v="16"/>
    <n v="1"/>
    <x v="0"/>
    <s v="Cells"/>
    <m/>
    <e v="#NAME?"/>
    <e v="#NAME?"/>
    <e v="#NAME?"/>
    <m/>
    <m/>
    <m/>
    <m/>
    <n v="2"/>
    <m/>
  </r>
  <r>
    <s v="C811281"/>
    <s v="JUAN PABLO VELEZ"/>
    <x v="5"/>
    <x v="14"/>
    <s v="BBVA"/>
    <e v="#NAME?"/>
    <x v="16"/>
    <n v="1"/>
    <x v="0"/>
    <s v="Cells"/>
    <m/>
    <e v="#NAME?"/>
    <e v="#NAME?"/>
    <e v="#NAME?"/>
    <m/>
    <m/>
    <m/>
    <m/>
    <n v="2"/>
    <m/>
  </r>
  <r>
    <s v="T007579"/>
    <s v="Nubia Sanchez"/>
    <x v="5"/>
    <x v="14"/>
    <s v="Neoris"/>
    <e v="#NAME?"/>
    <x v="16"/>
    <n v="1"/>
    <x v="0"/>
    <s v="Mainframe"/>
    <m/>
    <e v="#NAME?"/>
    <e v="#NAME?"/>
    <e v="#NAME?"/>
    <m/>
    <m/>
    <m/>
    <m/>
    <n v="2"/>
    <m/>
  </r>
  <r>
    <s v="O002593"/>
    <s v="TATIANA CAROLINA AVELLANEDA"/>
    <x v="5"/>
    <x v="14"/>
    <s v="BBVA"/>
    <e v="#NAME?"/>
    <x v="16"/>
    <n v="0.2"/>
    <x v="1"/>
    <s v="Otras Tec."/>
    <m/>
    <e v="#NAME?"/>
    <e v="#NAME?"/>
    <e v="#NAME?"/>
    <m/>
    <m/>
    <m/>
    <m/>
    <n v="2"/>
    <m/>
  </r>
  <r>
    <s v="O002593"/>
    <s v="TATIANA CAROLINA AVELLANEDA"/>
    <x v="5"/>
    <x v="14"/>
    <s v="BBVA"/>
    <e v="#NAME?"/>
    <x v="16"/>
    <n v="0.2"/>
    <x v="1"/>
    <s v="Otras Tec."/>
    <m/>
    <e v="#NAME?"/>
    <e v="#NAME?"/>
    <e v="#NAME?"/>
    <m/>
    <m/>
    <m/>
    <m/>
    <n v="2"/>
    <m/>
  </r>
  <r>
    <m/>
    <s v="Desarrollador ASO"/>
    <x v="5"/>
    <x v="14"/>
    <s v="Neoris"/>
    <e v="#NAME?"/>
    <x v="16"/>
    <n v="1"/>
    <x v="0"/>
    <s v="ASO"/>
    <m/>
    <e v="#NAME?"/>
    <e v="#NAME?"/>
    <e v="#NAME?"/>
    <m/>
    <m/>
    <m/>
    <m/>
    <n v="2"/>
    <m/>
  </r>
  <r>
    <m/>
    <s v="Desarrollador HOST"/>
    <x v="5"/>
    <x v="14"/>
    <s v="Accenture"/>
    <e v="#NAME?"/>
    <x v="16"/>
    <n v="1"/>
    <x v="0"/>
    <s v="Mainframe"/>
    <m/>
    <e v="#NAME?"/>
    <e v="#NAME?"/>
    <e v="#NAME?"/>
    <m/>
    <m/>
    <m/>
    <m/>
    <n v="2"/>
    <m/>
  </r>
  <r>
    <m/>
    <s v="Desarrollador Front"/>
    <x v="5"/>
    <x v="14"/>
    <s v="Accenture"/>
    <e v="#NAME?"/>
    <x v="16"/>
    <n v="1"/>
    <x v="0"/>
    <s v="Cells"/>
    <m/>
    <e v="#NAME?"/>
    <e v="#NAME?"/>
    <e v="#NAME?"/>
    <m/>
    <m/>
    <m/>
    <m/>
    <n v="2"/>
    <m/>
  </r>
  <r>
    <s v="CE51863"/>
    <s v="EDNA ROCIO MONCADA"/>
    <x v="5"/>
    <x v="14"/>
    <s v="KRYPTO"/>
    <e v="#NAME?"/>
    <x v="117"/>
    <n v="0.02"/>
    <x v="2"/>
    <s v="Otras Tec."/>
    <m/>
    <e v="#NAME?"/>
    <e v="#NAME?"/>
    <e v="#NAME?"/>
    <m/>
    <m/>
    <m/>
    <m/>
    <n v="2"/>
    <m/>
  </r>
  <r>
    <s v="O004043"/>
    <s v="Diego Alejandro Galeano garzon"/>
    <x v="5"/>
    <x v="14"/>
    <s v="BBVA"/>
    <e v="#NAME?"/>
    <x v="117"/>
    <n v="0.5"/>
    <x v="0"/>
    <s v="Cells"/>
    <m/>
    <e v="#NAME?"/>
    <e v="#NAME?"/>
    <e v="#NAME?"/>
    <m/>
    <m/>
    <m/>
    <m/>
    <n v="2"/>
    <m/>
  </r>
  <r>
    <s v="CE70114"/>
    <s v="Luz Carola Giraldo García"/>
    <x v="5"/>
    <x v="14"/>
    <s v="GGI / CMC"/>
    <e v="#NAME?"/>
    <x v="117"/>
    <n v="1"/>
    <x v="2"/>
    <s v="Otras Tec."/>
    <m/>
    <e v="#NAME?"/>
    <e v="#NAME?"/>
    <e v="#NAME?"/>
    <m/>
    <m/>
    <m/>
    <m/>
    <n v="2"/>
    <m/>
  </r>
  <r>
    <s v="O002593"/>
    <s v="TATIANA CAROLINA AVELLANEDA"/>
    <x v="5"/>
    <x v="14"/>
    <s v="BBVA"/>
    <e v="#NAME?"/>
    <x v="117"/>
    <n v="0.2"/>
    <x v="1"/>
    <s v="Otras Tec."/>
    <m/>
    <e v="#NAME?"/>
    <e v="#NAME?"/>
    <e v="#NAME?"/>
    <m/>
    <m/>
    <m/>
    <m/>
    <n v="2"/>
    <m/>
  </r>
  <r>
    <s v="T000410"/>
    <s v="Andrés Alejandro Fajardo Torres"/>
    <x v="5"/>
    <x v="14"/>
    <s v="Globant"/>
    <e v="#NAME?"/>
    <x v="118"/>
    <n v="1"/>
    <x v="0"/>
    <s v="Cells"/>
    <m/>
    <e v="#NAME?"/>
    <e v="#NAME?"/>
    <e v="#NAME?"/>
    <m/>
    <m/>
    <m/>
    <m/>
    <m/>
    <m/>
  </r>
  <r>
    <s v="CE51863"/>
    <s v="EDNA ROCIO MONCADA"/>
    <x v="5"/>
    <x v="14"/>
    <s v="KRYPTO"/>
    <e v="#NAME?"/>
    <x v="118"/>
    <n v="0.02"/>
    <x v="2"/>
    <s v="Otras Tec."/>
    <m/>
    <e v="#NAME?"/>
    <e v="#NAME?"/>
    <e v="#NAME?"/>
    <m/>
    <m/>
    <m/>
    <m/>
    <m/>
    <m/>
  </r>
  <r>
    <s v="C810668"/>
    <s v="YEISSON FABIAN GUALDRON VIVAS"/>
    <x v="5"/>
    <x v="14"/>
    <s v="BBVA"/>
    <e v="#NAME?"/>
    <x v="118"/>
    <n v="1"/>
    <x v="0"/>
    <s v="Cells"/>
    <m/>
    <e v="#NAME?"/>
    <e v="#NAME?"/>
    <e v="#NAME?"/>
    <m/>
    <m/>
    <m/>
    <m/>
    <m/>
    <m/>
  </r>
  <r>
    <s v="C342589"/>
    <s v="CAMILO ANDRES AGUIRRE"/>
    <x v="5"/>
    <x v="14"/>
    <s v="BBVA"/>
    <e v="#NAME?"/>
    <x v="118"/>
    <n v="0.3"/>
    <x v="1"/>
    <s v="Otras Tec."/>
    <m/>
    <e v="#NAME?"/>
    <e v="#NAME?"/>
    <e v="#NAME?"/>
    <m/>
    <m/>
    <m/>
    <m/>
    <m/>
    <m/>
  </r>
  <r>
    <s v="CE51863"/>
    <s v="EDNA ROCIO MONCADA"/>
    <x v="5"/>
    <x v="14"/>
    <s v="KRYPTO"/>
    <e v="#NAME?"/>
    <x v="3"/>
    <n v="0.02"/>
    <x v="2"/>
    <s v="Otras Tec."/>
    <m/>
    <e v="#NAME?"/>
    <e v="#NAME?"/>
    <e v="#NAME?"/>
    <m/>
    <m/>
    <m/>
    <m/>
    <m/>
    <m/>
  </r>
  <r>
    <s v="C342589"/>
    <s v="CAMILO ANDRES AGUIRRE"/>
    <x v="5"/>
    <x v="14"/>
    <s v="BBVA"/>
    <e v="#NAME?"/>
    <x v="3"/>
    <n v="0.7"/>
    <x v="1"/>
    <s v="Otras Tec."/>
    <m/>
    <e v="#NAME?"/>
    <e v="#NAME?"/>
    <e v="#NAME?"/>
    <m/>
    <m/>
    <m/>
    <m/>
    <m/>
    <m/>
  </r>
  <r>
    <s v="C809750"/>
    <s v="JEFFERSON JOSE ESQUEA SANCHEZ"/>
    <x v="5"/>
    <x v="14"/>
    <s v="BBVA"/>
    <e v="#NAME?"/>
    <x v="3"/>
    <n v="1"/>
    <x v="0"/>
    <s v="Cells"/>
    <m/>
    <e v="#NAME?"/>
    <e v="#NAME?"/>
    <e v="#NAME?"/>
    <m/>
    <m/>
    <m/>
    <m/>
    <m/>
    <m/>
  </r>
  <r>
    <s v="CE67868"/>
    <s v="Jhon Alexander Santana"/>
    <x v="5"/>
    <x v="14"/>
    <s v="Accenture"/>
    <e v="#NAME?"/>
    <x v="3"/>
    <n v="1"/>
    <x v="0"/>
    <s v="Cells"/>
    <m/>
    <e v="#NAME?"/>
    <e v="#NAME?"/>
    <e v="#NAME?"/>
    <m/>
    <m/>
    <m/>
    <m/>
    <m/>
    <m/>
  </r>
  <r>
    <s v="CE67314"/>
    <s v="Juliana Corredor"/>
    <x v="5"/>
    <x v="14"/>
    <s v="Accenture"/>
    <e v="#NAME?"/>
    <x v="3"/>
    <n v="1"/>
    <x v="0"/>
    <s v="APX"/>
    <m/>
    <e v="#NAME?"/>
    <e v="#NAME?"/>
    <e v="#NAME?"/>
    <m/>
    <m/>
    <m/>
    <m/>
    <m/>
    <m/>
  </r>
  <r>
    <s v="CE51863"/>
    <s v="EDNA ROCIO MONCADA"/>
    <x v="5"/>
    <x v="14"/>
    <s v="KRYPTO"/>
    <e v="#NAME?"/>
    <x v="116"/>
    <n v="0.02"/>
    <x v="2"/>
    <s v="Otras Tec."/>
    <m/>
    <e v="#NAME?"/>
    <e v="#NAME?"/>
    <e v="#NAME?"/>
    <m/>
    <m/>
    <m/>
    <m/>
    <m/>
    <m/>
  </r>
  <r>
    <s v="CE66714"/>
    <s v="Cristian Steven Abril"/>
    <x v="5"/>
    <x v="14"/>
    <s v="Novatec"/>
    <e v="#NAME?"/>
    <x v="84"/>
    <n v="1"/>
    <x v="0"/>
    <s v="Cells"/>
    <m/>
    <e v="#NAME?"/>
    <e v="#NAME?"/>
    <e v="#NAME?"/>
    <m/>
    <m/>
    <m/>
    <m/>
    <m/>
    <m/>
  </r>
  <r>
    <s v="O002593"/>
    <s v="TATIANA CAROLINA AVELLANEDA"/>
    <x v="5"/>
    <x v="14"/>
    <s v="BBVA"/>
    <e v="#NAME?"/>
    <x v="84"/>
    <n v="0.2"/>
    <x v="1"/>
    <s v="Otras Tec."/>
    <m/>
    <e v="#NAME?"/>
    <e v="#NAME?"/>
    <e v="#NAME?"/>
    <m/>
    <m/>
    <m/>
    <m/>
    <m/>
    <m/>
  </r>
  <r>
    <s v="O005003 "/>
    <s v="Ginna García Lara"/>
    <x v="5"/>
    <x v="14"/>
    <s v="BBVA"/>
    <e v="#NAME?"/>
    <x v="119"/>
    <n v="0.2"/>
    <x v="1"/>
    <s v="Otras Tec."/>
    <m/>
    <e v="#NAME?"/>
    <e v="#NAME?"/>
    <e v="#NAME?"/>
    <m/>
    <m/>
    <m/>
    <m/>
    <n v="2"/>
    <m/>
  </r>
  <r>
    <m/>
    <s v="Tester 1"/>
    <x v="5"/>
    <x v="14"/>
    <s v="Choucair"/>
    <e v="#NAME?"/>
    <x v="119"/>
    <n v="1"/>
    <x v="2"/>
    <s v="Otras Tec."/>
    <m/>
    <e v="#NAME?"/>
    <e v="#NAME?"/>
    <e v="#NAME?"/>
    <m/>
    <m/>
    <m/>
    <m/>
    <m/>
    <m/>
  </r>
  <r>
    <m/>
    <s v="Desarrollador Front 1"/>
    <x v="5"/>
    <x v="14"/>
    <s v="Accenture"/>
    <e v="#NAME?"/>
    <x v="119"/>
    <n v="1"/>
    <x v="0"/>
    <s v="Cells"/>
    <m/>
    <e v="#NAME?"/>
    <e v="#NAME?"/>
    <e v="#NAME?"/>
    <m/>
    <m/>
    <m/>
    <m/>
    <m/>
    <m/>
  </r>
  <r>
    <m/>
    <s v="Desarrollador Front 2"/>
    <x v="5"/>
    <x v="14"/>
    <s v="Accenture"/>
    <e v="#NAME?"/>
    <x v="119"/>
    <n v="1"/>
    <x v="0"/>
    <s v="Cells"/>
    <m/>
    <e v="#NAME?"/>
    <e v="#NAME?"/>
    <e v="#NAME?"/>
    <m/>
    <m/>
    <m/>
    <m/>
    <m/>
    <m/>
  </r>
  <r>
    <s v="O005003 "/>
    <s v="Ginna García Lara"/>
    <x v="5"/>
    <x v="14"/>
    <s v="BBVA"/>
    <e v="#NAME?"/>
    <x v="120"/>
    <n v="0.2"/>
    <x v="1"/>
    <s v="Otras Tec."/>
    <m/>
    <e v="#NAME?"/>
    <e v="#NAME?"/>
    <e v="#NAME?"/>
    <m/>
    <m/>
    <m/>
    <m/>
    <n v="2"/>
    <m/>
  </r>
  <r>
    <s v="O004043"/>
    <s v="Diego Alejandro Galeano garzon"/>
    <x v="5"/>
    <x v="14"/>
    <s v="BBVA"/>
    <e v="#NAME?"/>
    <x v="120"/>
    <n v="0.5"/>
    <x v="0"/>
    <s v="Cells"/>
    <m/>
    <e v="#NAME?"/>
    <e v="#NAME?"/>
    <e v="#NAME?"/>
    <m/>
    <m/>
    <m/>
    <m/>
    <n v="2"/>
    <m/>
  </r>
  <r>
    <s v="C797767"/>
    <s v="ANGELA RIVERA"/>
    <x v="3"/>
    <x v="15"/>
    <s v="BBVA"/>
    <e v="#NAME?"/>
    <x v="121"/>
    <n v="0.5"/>
    <x v="0"/>
    <s v="Mainframe"/>
    <m/>
    <e v="#NAME?"/>
    <e v="#NAME?"/>
    <e v="#NAME?"/>
    <m/>
    <m/>
    <m/>
    <m/>
    <m/>
    <n v="1"/>
  </r>
  <r>
    <s v="C797767"/>
    <s v="ANGELA RIVERA"/>
    <x v="3"/>
    <x v="15"/>
    <s v="BBVA"/>
    <e v="#NAME?"/>
    <x v="122"/>
    <n v="0.5"/>
    <x v="0"/>
    <s v="Mainframe"/>
    <m/>
    <e v="#NAME?"/>
    <e v="#NAME?"/>
    <e v="#NAME?"/>
    <m/>
    <m/>
    <m/>
    <m/>
    <m/>
    <n v="0"/>
  </r>
  <r>
    <s v="O001978"/>
    <s v="DANIEL ALIRIO ROA ARIZMENDI"/>
    <x v="3"/>
    <x v="15"/>
    <s v="BBVA"/>
    <e v="#NAME?"/>
    <x v="123"/>
    <n v="0.3"/>
    <x v="0"/>
    <s v="ASO"/>
    <m/>
    <e v="#NAME?"/>
    <e v="#NAME?"/>
    <e v="#NAME?"/>
    <m/>
    <m/>
    <m/>
    <m/>
    <m/>
    <n v="1"/>
  </r>
  <r>
    <s v="O001978"/>
    <s v="DANIEL ALIRIO ROA ARIZMENDI"/>
    <x v="3"/>
    <x v="15"/>
    <s v="BBVA"/>
    <e v="#NAME?"/>
    <x v="124"/>
    <n v="0.7"/>
    <x v="0"/>
    <s v="ASO"/>
    <m/>
    <e v="#NAME?"/>
    <e v="#NAME?"/>
    <e v="#NAME?"/>
    <m/>
    <m/>
    <m/>
    <m/>
    <m/>
    <n v="0"/>
  </r>
  <r>
    <s v="O001977"/>
    <s v="EDDY MAURICIO SUAREZ MOLINA"/>
    <x v="3"/>
    <x v="15"/>
    <s v="BBVA"/>
    <e v="#NAME?"/>
    <x v="121"/>
    <n v="0.5"/>
    <x v="0"/>
    <s v="Mainframe"/>
    <m/>
    <e v="#NAME?"/>
    <e v="#NAME?"/>
    <e v="#NAME?"/>
    <m/>
    <m/>
    <m/>
    <m/>
    <m/>
    <n v="1"/>
  </r>
  <r>
    <s v="O001977"/>
    <s v="EDDY MAURICIO SUAREZ MOLINA"/>
    <x v="3"/>
    <x v="15"/>
    <s v="BBVA"/>
    <e v="#NAME?"/>
    <x v="122"/>
    <n v="0.5"/>
    <x v="0"/>
    <s v="Mainframe"/>
    <m/>
    <e v="#NAME?"/>
    <e v="#NAME?"/>
    <e v="#NAME?"/>
    <m/>
    <m/>
    <m/>
    <m/>
    <m/>
    <n v="0"/>
  </r>
  <r>
    <s v="O000451"/>
    <s v="MAURICIO CORDOBA"/>
    <x v="3"/>
    <x v="15"/>
    <s v="BBVA"/>
    <e v="#NAME?"/>
    <x v="121"/>
    <n v="1"/>
    <x v="0"/>
    <s v="Mainframe"/>
    <m/>
    <e v="#NAME?"/>
    <e v="#NAME?"/>
    <e v="#NAME?"/>
    <m/>
    <m/>
    <m/>
    <m/>
    <m/>
    <n v="1"/>
  </r>
  <r>
    <s v="O001827"/>
    <s v="LEONOR AZUCENA GOMEZ RINCON"/>
    <x v="3"/>
    <x v="15"/>
    <s v="BBVA"/>
    <e v="#NAME?"/>
    <x v="121"/>
    <n v="0.5"/>
    <x v="1"/>
    <s v="Mainframe"/>
    <m/>
    <e v="#NAME?"/>
    <e v="#NAME?"/>
    <e v="#NAME?"/>
    <m/>
    <m/>
    <m/>
    <m/>
    <m/>
    <n v="1"/>
  </r>
  <r>
    <s v="O001827"/>
    <s v="LEONOR AZUCENA GOMEZ RINCON"/>
    <x v="3"/>
    <x v="15"/>
    <s v="BBVA"/>
    <e v="#NAME?"/>
    <x v="122"/>
    <n v="0.5"/>
    <x v="1"/>
    <s v="ASO"/>
    <m/>
    <e v="#NAME?"/>
    <e v="#NAME?"/>
    <e v="#NAME?"/>
    <m/>
    <m/>
    <m/>
    <m/>
    <m/>
    <n v="0"/>
  </r>
  <r>
    <s v="C805385"/>
    <s v="TATIANA SANCHEZ MONROY"/>
    <x v="3"/>
    <x v="15"/>
    <s v="BBVA"/>
    <e v="#NAME?"/>
    <x v="119"/>
    <n v="1"/>
    <x v="0"/>
    <s v="Mainframe"/>
    <m/>
    <e v="#NAME?"/>
    <e v="#NAME?"/>
    <e v="#NAME?"/>
    <m/>
    <m/>
    <m/>
    <m/>
    <m/>
    <n v="1"/>
  </r>
  <r>
    <s v="C810943"/>
    <s v="OSCAR DANIEL OÑATE CASTILLA"/>
    <x v="3"/>
    <x v="15"/>
    <s v="BBVA"/>
    <e v="#NAME?"/>
    <x v="125"/>
    <n v="1"/>
    <x v="0"/>
    <s v="Mainframe"/>
    <m/>
    <e v="#NAME?"/>
    <e v="#NAME?"/>
    <e v="#NAME?"/>
    <m/>
    <m/>
    <m/>
    <m/>
    <m/>
    <n v="1"/>
  </r>
  <r>
    <s v="C810846"/>
    <s v="ERIKA ZULEIMA MARTINEZ RODRIGUEZ"/>
    <x v="3"/>
    <x v="15"/>
    <s v="BBVA"/>
    <e v="#NAME?"/>
    <x v="126"/>
    <n v="1"/>
    <x v="0"/>
    <s v="Mainframe"/>
    <m/>
    <e v="#NAME?"/>
    <e v="#NAME?"/>
    <e v="#NAME?"/>
    <m/>
    <m/>
    <m/>
    <m/>
    <m/>
    <n v="1"/>
  </r>
  <r>
    <s v="C805379"/>
    <s v="MARTIN ROMERO ORTIZ"/>
    <x v="3"/>
    <x v="15"/>
    <s v="BBVA"/>
    <e v="#NAME?"/>
    <x v="119"/>
    <n v="0.25"/>
    <x v="0"/>
    <s v="ASO"/>
    <m/>
    <e v="#NAME?"/>
    <e v="#NAME?"/>
    <e v="#NAME?"/>
    <m/>
    <m/>
    <m/>
    <m/>
    <m/>
    <n v="1"/>
  </r>
  <r>
    <s v="C805379"/>
    <s v="MARTIN ROMERO ORTIZ"/>
    <x v="3"/>
    <x v="15"/>
    <s v="BBVA"/>
    <e v="#NAME?"/>
    <x v="86"/>
    <n v="0.75"/>
    <x v="0"/>
    <s v="ASO"/>
    <m/>
    <e v="#NAME?"/>
    <e v="#NAME?"/>
    <e v="#NAME?"/>
    <m/>
    <m/>
    <m/>
    <m/>
    <m/>
    <n v="0"/>
  </r>
  <r>
    <s v="C805988"/>
    <s v="NICOLAS MUÑOZ"/>
    <x v="3"/>
    <x v="15"/>
    <s v="BBVA"/>
    <e v="#NAME?"/>
    <x v="86"/>
    <n v="1"/>
    <x v="0"/>
    <s v="APX"/>
    <m/>
    <e v="#NAME?"/>
    <e v="#NAME?"/>
    <e v="#NAME?"/>
    <m/>
    <m/>
    <m/>
    <m/>
    <m/>
    <n v="1"/>
  </r>
  <r>
    <s v="C342057"/>
    <s v="CARLOS FABIAN GONZALEZ CORTES"/>
    <x v="3"/>
    <x v="15"/>
    <s v="BBVA"/>
    <e v="#NAME?"/>
    <x v="125"/>
    <n v="0.5"/>
    <x v="0"/>
    <s v="Mainframe"/>
    <m/>
    <e v="#NAME?"/>
    <e v="#NAME?"/>
    <e v="#NAME?"/>
    <m/>
    <m/>
    <m/>
    <m/>
    <m/>
    <n v="1"/>
  </r>
  <r>
    <s v="C342057"/>
    <s v="CARLOS FABIAN GONZALEZ CORTES"/>
    <x v="3"/>
    <x v="15"/>
    <s v="BBVA"/>
    <e v="#NAME?"/>
    <x v="119"/>
    <n v="0.2"/>
    <x v="0"/>
    <s v="Mainframe"/>
    <m/>
    <e v="#NAME?"/>
    <e v="#NAME?"/>
    <e v="#NAME?"/>
    <m/>
    <m/>
    <m/>
    <m/>
    <m/>
    <n v="0"/>
  </r>
  <r>
    <s v="C342057"/>
    <s v="CARLOS FABIAN GONZALEZ CORTES"/>
    <x v="3"/>
    <x v="15"/>
    <s v="BBVA"/>
    <e v="#NAME?"/>
    <x v="126"/>
    <n v="0.1"/>
    <x v="0"/>
    <s v="Mainframe"/>
    <m/>
    <e v="#NAME?"/>
    <e v="#NAME?"/>
    <e v="#NAME?"/>
    <m/>
    <m/>
    <m/>
    <m/>
    <m/>
    <n v="0"/>
  </r>
  <r>
    <s v="C342057"/>
    <s v="CARLOS FABIAN GONZALEZ CORTES"/>
    <x v="3"/>
    <x v="15"/>
    <s v="BBVA"/>
    <e v="#NAME?"/>
    <x v="123"/>
    <n v="0.2"/>
    <x v="0"/>
    <s v="Mainframe"/>
    <m/>
    <e v="#NAME?"/>
    <e v="#NAME?"/>
    <e v="#NAME?"/>
    <m/>
    <m/>
    <m/>
    <m/>
    <m/>
    <n v="0"/>
  </r>
  <r>
    <s v="C805964"/>
    <s v="ANDRES RODRIGO COMBARIZA"/>
    <x v="3"/>
    <x v="15"/>
    <s v="BBVA"/>
    <e v="#NAME?"/>
    <x v="123"/>
    <n v="1"/>
    <x v="0"/>
    <s v="ASO"/>
    <m/>
    <e v="#NAME?"/>
    <e v="#NAME?"/>
    <e v="#NAME?"/>
    <m/>
    <m/>
    <m/>
    <m/>
    <m/>
    <n v="1"/>
  </r>
  <r>
    <s v="O004843"/>
    <s v="WILSON ANDRES FRACON HERMIDA"/>
    <x v="3"/>
    <x v="15"/>
    <s v="BBVA"/>
    <e v="#NAME?"/>
    <x v="119"/>
    <n v="0.2"/>
    <x v="1"/>
    <s v="ASO"/>
    <m/>
    <e v="#NAME?"/>
    <e v="#NAME?"/>
    <e v="#NAME?"/>
    <m/>
    <m/>
    <m/>
    <m/>
    <m/>
    <n v="1"/>
  </r>
  <r>
    <s v="O004843"/>
    <s v="WILSON ANDRES FRACON HERMIDA"/>
    <x v="3"/>
    <x v="15"/>
    <s v="BBVA"/>
    <e v="#NAME?"/>
    <x v="86"/>
    <n v="0.2"/>
    <x v="1"/>
    <s v="APX"/>
    <m/>
    <e v="#NAME?"/>
    <e v="#NAME?"/>
    <e v="#NAME?"/>
    <m/>
    <m/>
    <m/>
    <m/>
    <m/>
    <n v="0"/>
  </r>
  <r>
    <s v="O004843"/>
    <s v="WILSON ANDRES FRACON HERMIDA"/>
    <x v="3"/>
    <x v="15"/>
    <s v="BBVA"/>
    <e v="#NAME?"/>
    <x v="123"/>
    <n v="0.2"/>
    <x v="1"/>
    <s v="APX"/>
    <m/>
    <e v="#NAME?"/>
    <e v="#NAME?"/>
    <e v="#NAME?"/>
    <m/>
    <m/>
    <m/>
    <m/>
    <m/>
    <n v="0"/>
  </r>
  <r>
    <s v="O004843"/>
    <s v="WILSON ANDRES FRACON HERMIDA"/>
    <x v="3"/>
    <x v="15"/>
    <s v="BBVA"/>
    <e v="#NAME?"/>
    <x v="126"/>
    <n v="0.2"/>
    <x v="1"/>
    <s v="Mainframe"/>
    <m/>
    <e v="#NAME?"/>
    <e v="#NAME?"/>
    <e v="#NAME?"/>
    <m/>
    <m/>
    <m/>
    <m/>
    <m/>
    <n v="0"/>
  </r>
  <r>
    <s v="O004843"/>
    <s v="WILSON ANDRES FRACON HERMIDA"/>
    <x v="3"/>
    <x v="15"/>
    <s v="BBVA"/>
    <e v="#NAME?"/>
    <x v="125"/>
    <n v="0.2"/>
    <x v="1"/>
    <s v="Mainframe"/>
    <m/>
    <e v="#NAME?"/>
    <e v="#NAME?"/>
    <e v="#NAME?"/>
    <m/>
    <m/>
    <m/>
    <m/>
    <m/>
    <n v="0"/>
  </r>
  <r>
    <s v="CE59519"/>
    <s v="JORGE DANILO BUITRAGO HERNANDEZ"/>
    <x v="3"/>
    <x v="15"/>
    <s v="Inetum"/>
    <e v="#NAME?"/>
    <x v="126"/>
    <n v="1"/>
    <x v="0"/>
    <s v="Mainframe"/>
    <m/>
    <e v="#NAME?"/>
    <e v="#NAME?"/>
    <e v="#NAME?"/>
    <m/>
    <m/>
    <m/>
    <m/>
    <m/>
    <n v="1"/>
  </r>
  <r>
    <s v="CE64394"/>
    <s v="ANDREI NICOLAS CASTRO MUÑOZ"/>
    <x v="3"/>
    <x v="15"/>
    <s v="KRYPTO"/>
    <e v="#NAME?"/>
    <x v="126"/>
    <n v="1"/>
    <x v="2"/>
    <s v="Mainframe"/>
    <m/>
    <e v="#NAME?"/>
    <e v="#NAME?"/>
    <e v="#NAME?"/>
    <m/>
    <m/>
    <m/>
    <m/>
    <m/>
    <n v="1"/>
  </r>
  <r>
    <s v="T007567"/>
    <s v="ERIKA LILIANA ESPINOSA DUQUE"/>
    <x v="3"/>
    <x v="15"/>
    <s v="Choucair"/>
    <e v="#NAME?"/>
    <x v="119"/>
    <n v="1"/>
    <x v="2"/>
    <s v="Mainframe"/>
    <m/>
    <e v="#NAME?"/>
    <e v="#NAME?"/>
    <e v="#NAME?"/>
    <m/>
    <m/>
    <m/>
    <m/>
    <m/>
    <n v="1"/>
  </r>
  <r>
    <s v="T004584"/>
    <s v="LYDI JOHANA MORENO LOPEZ"/>
    <x v="3"/>
    <x v="15"/>
    <s v="Choucair"/>
    <e v="#NAME?"/>
    <x v="119"/>
    <n v="1"/>
    <x v="2"/>
    <s v="Mainframe"/>
    <m/>
    <e v="#NAME?"/>
    <e v="#NAME?"/>
    <e v="#NAME?"/>
    <m/>
    <m/>
    <m/>
    <m/>
    <m/>
    <n v="1"/>
  </r>
  <r>
    <s v="T001314"/>
    <s v="JUAN DAVID GARZON"/>
    <x v="3"/>
    <x v="15"/>
    <s v="Choucair"/>
    <e v="#NAME?"/>
    <x v="86"/>
    <n v="1"/>
    <x v="2"/>
    <s v="Mainframe"/>
    <m/>
    <e v="#NAME?"/>
    <e v="#NAME?"/>
    <e v="#NAME?"/>
    <m/>
    <m/>
    <m/>
    <m/>
    <m/>
    <n v="1"/>
  </r>
  <r>
    <s v="CE69611"/>
    <s v="JESUS ROLDAN LAVERDE"/>
    <x v="3"/>
    <x v="15"/>
    <s v="Accenture"/>
    <e v="#NAME?"/>
    <x v="86"/>
    <n v="1"/>
    <x v="0"/>
    <s v="Mainframe"/>
    <m/>
    <e v="#NAME?"/>
    <e v="#NAME?"/>
    <e v="#NAME?"/>
    <m/>
    <m/>
    <m/>
    <m/>
    <m/>
    <n v="1"/>
  </r>
  <r>
    <s v="CE69612"/>
    <s v="DIEGO DIAZ VIVAS"/>
    <x v="3"/>
    <x v="15"/>
    <s v="Accenture"/>
    <e v="#NAME?"/>
    <x v="119"/>
    <n v="1"/>
    <x v="0"/>
    <s v="Cells"/>
    <m/>
    <e v="#NAME?"/>
    <e v="#NAME?"/>
    <e v="#NAME?"/>
    <m/>
    <m/>
    <m/>
    <m/>
    <m/>
    <n v="1"/>
  </r>
  <r>
    <s v="C342048"/>
    <s v="LUIS JAVIER RIVERA MORENO"/>
    <x v="3"/>
    <x v="15"/>
    <s v="BBVA"/>
    <e v="#NAME?"/>
    <x v="124"/>
    <n v="0.5"/>
    <x v="0"/>
    <s v="Mainframe"/>
    <m/>
    <e v="#NAME?"/>
    <e v="#NAME?"/>
    <e v="#NAME?"/>
    <m/>
    <m/>
    <m/>
    <m/>
    <m/>
    <n v="1"/>
  </r>
  <r>
    <s v="C342048"/>
    <s v="LUIS JAVIER RIVERA MORENO"/>
    <x v="3"/>
    <x v="15"/>
    <s v="BBVA"/>
    <e v="#NAME?"/>
    <x v="127"/>
    <n v="0.25"/>
    <x v="0"/>
    <s v="Mainframe"/>
    <m/>
    <e v="#NAME?"/>
    <e v="#NAME?"/>
    <e v="#NAME?"/>
    <m/>
    <m/>
    <m/>
    <m/>
    <m/>
    <n v="0"/>
  </r>
  <r>
    <s v="C342048"/>
    <s v="LUIS JAVIER RIVERA MORENO"/>
    <x v="3"/>
    <x v="15"/>
    <s v="BBVA"/>
    <e v="#NAME?"/>
    <x v="128"/>
    <n v="0.25"/>
    <x v="0"/>
    <s v="Mainframe"/>
    <m/>
    <e v="#NAME?"/>
    <e v="#NAME?"/>
    <e v="#NAME?"/>
    <m/>
    <m/>
    <m/>
    <m/>
    <m/>
    <n v="0"/>
  </r>
  <r>
    <s v="O000444"/>
    <s v="EDGAR VASQUEZ RUIZ"/>
    <x v="3"/>
    <x v="15"/>
    <s v="BBVA"/>
    <e v="#NAME?"/>
    <x v="124"/>
    <n v="0.9"/>
    <x v="0"/>
    <s v="Mainframe"/>
    <m/>
    <e v="#NAME?"/>
    <e v="#NAME?"/>
    <e v="#NAME?"/>
    <m/>
    <m/>
    <m/>
    <m/>
    <m/>
    <n v="1"/>
  </r>
  <r>
    <s v="O000444"/>
    <s v="EDGAR VASQUEZ RUIZ"/>
    <x v="3"/>
    <x v="15"/>
    <s v="BBVA"/>
    <e v="#NAME?"/>
    <x v="129"/>
    <n v="0.1"/>
    <x v="0"/>
    <s v="Mainframe"/>
    <m/>
    <e v="#NAME?"/>
    <e v="#NAME?"/>
    <e v="#NAME?"/>
    <m/>
    <m/>
    <m/>
    <m/>
    <m/>
    <n v="0"/>
  </r>
  <r>
    <s v="O000106"/>
    <s v="FELIPE ALEJANDO PEDRAZA ROBLES"/>
    <x v="3"/>
    <x v="15"/>
    <s v="BBVA"/>
    <e v="#NAME?"/>
    <x v="129"/>
    <n v="0.8"/>
    <x v="0"/>
    <s v="Mainframe"/>
    <m/>
    <e v="#NAME?"/>
    <e v="#NAME?"/>
    <e v="#NAME?"/>
    <m/>
    <m/>
    <m/>
    <m/>
    <m/>
    <n v="1"/>
  </r>
  <r>
    <s v="O000106"/>
    <s v="FELIPE ALEJANDO PEDRAZA ROBLES"/>
    <x v="3"/>
    <x v="15"/>
    <s v="BBVA"/>
    <e v="#NAME?"/>
    <x v="130"/>
    <n v="0.2"/>
    <x v="0"/>
    <s v="Mainframe"/>
    <m/>
    <e v="#NAME?"/>
    <e v="#NAME?"/>
    <e v="#NAME?"/>
    <m/>
    <m/>
    <m/>
    <m/>
    <m/>
    <n v="0"/>
  </r>
  <r>
    <s v="C810908"/>
    <s v="DIANA CAROLINA PEÑA PALOMINO"/>
    <x v="3"/>
    <x v="15"/>
    <s v="BBVA"/>
    <e v="#NAME?"/>
    <x v="123"/>
    <n v="0.5"/>
    <x v="0"/>
    <s v="Mainframe"/>
    <m/>
    <e v="#NAME?"/>
    <e v="#NAME?"/>
    <e v="#NAME?"/>
    <m/>
    <m/>
    <m/>
    <m/>
    <m/>
    <n v="1"/>
  </r>
  <r>
    <s v="C810908"/>
    <s v="DIANA CAROLINA PEÑA PALOMINO"/>
    <x v="3"/>
    <x v="15"/>
    <s v="BBVA"/>
    <e v="#NAME?"/>
    <x v="128"/>
    <n v="0.5"/>
    <x v="0"/>
    <s v="Mainframe"/>
    <m/>
    <e v="#NAME?"/>
    <e v="#NAME?"/>
    <e v="#NAME?"/>
    <m/>
    <m/>
    <m/>
    <m/>
    <m/>
    <n v="0"/>
  </r>
  <r>
    <s v="C810801"/>
    <s v="DIANA BARBOSA OSPINA"/>
    <x v="3"/>
    <x v="15"/>
    <s v="BBVA"/>
    <e v="#NAME?"/>
    <x v="131"/>
    <n v="0.1"/>
    <x v="0"/>
    <s v="Mainframe"/>
    <m/>
    <e v="#NAME?"/>
    <e v="#NAME?"/>
    <e v="#NAME?"/>
    <m/>
    <m/>
    <m/>
    <m/>
    <m/>
    <n v="1"/>
  </r>
  <r>
    <s v="C810801"/>
    <s v="DIANA BARBOSA OSPINA"/>
    <x v="3"/>
    <x v="15"/>
    <s v="BBVA"/>
    <e v="#NAME?"/>
    <x v="127"/>
    <n v="0.9"/>
    <x v="0"/>
    <s v="Mainframe"/>
    <m/>
    <e v="#NAME?"/>
    <e v="#NAME?"/>
    <e v="#NAME?"/>
    <m/>
    <m/>
    <m/>
    <m/>
    <m/>
    <n v="0"/>
  </r>
  <r>
    <s v="O003400"/>
    <s v="JUAN SEBASTIAN COLMENARES RODRIGUEZ"/>
    <x v="3"/>
    <x v="15"/>
    <s v="BBVA"/>
    <e v="#NAME?"/>
    <x v="127"/>
    <n v="1"/>
    <x v="0"/>
    <s v="Mainframe"/>
    <m/>
    <e v="#NAME?"/>
    <e v="#NAME?"/>
    <e v="#NAME?"/>
    <m/>
    <m/>
    <m/>
    <m/>
    <m/>
    <n v="1"/>
  </r>
  <r>
    <s v="O003461"/>
    <s v="CARLOS VICENTE SERRATO SERNA"/>
    <x v="3"/>
    <x v="15"/>
    <s v="BBVA"/>
    <e v="#NAME?"/>
    <x v="124"/>
    <n v="1"/>
    <x v="0"/>
    <s v="Mainframe"/>
    <m/>
    <e v="#NAME?"/>
    <e v="#NAME?"/>
    <e v="#NAME?"/>
    <m/>
    <m/>
    <m/>
    <m/>
    <m/>
    <n v="1"/>
  </r>
  <r>
    <s v="C808133"/>
    <s v="REMBERTO PRIOLO"/>
    <x v="3"/>
    <x v="15"/>
    <s v="BBVA"/>
    <e v="#NAME?"/>
    <x v="124"/>
    <n v="0.2"/>
    <x v="0"/>
    <s v="ASO"/>
    <m/>
    <e v="#NAME?"/>
    <e v="#NAME?"/>
    <e v="#NAME?"/>
    <m/>
    <m/>
    <m/>
    <m/>
    <m/>
    <n v="1"/>
  </r>
  <r>
    <s v="C808133"/>
    <s v="REMBERTO PRIOLO"/>
    <x v="3"/>
    <x v="15"/>
    <s v="BBVA"/>
    <e v="#NAME?"/>
    <x v="84"/>
    <n v="0.8"/>
    <x v="0"/>
    <s v="ASO"/>
    <m/>
    <e v="#NAME?"/>
    <e v="#NAME?"/>
    <e v="#NAME?"/>
    <m/>
    <m/>
    <m/>
    <m/>
    <m/>
    <n v="0"/>
  </r>
  <r>
    <s v="O000446"/>
    <s v="ANDRES FELIPE FUENTES GARAY"/>
    <x v="3"/>
    <x v="15"/>
    <s v="BBVA"/>
    <e v="#NAME?"/>
    <x v="124"/>
    <n v="0.2"/>
    <x v="1"/>
    <s v="ASO"/>
    <m/>
    <e v="#NAME?"/>
    <e v="#NAME?"/>
    <e v="#NAME?"/>
    <m/>
    <m/>
    <m/>
    <m/>
    <m/>
    <n v="1"/>
  </r>
  <r>
    <s v="O000446"/>
    <s v="ANDRES FELIPE FUENTES GARAY"/>
    <x v="3"/>
    <x v="15"/>
    <s v="BBVA"/>
    <e v="#NAME?"/>
    <x v="127"/>
    <n v="0.2"/>
    <x v="1"/>
    <s v="Mainframe"/>
    <m/>
    <e v="#NAME?"/>
    <e v="#NAME?"/>
    <e v="#NAME?"/>
    <m/>
    <m/>
    <m/>
    <m/>
    <m/>
    <n v="0"/>
  </r>
  <r>
    <s v="O000446"/>
    <s v="ANDRES FELIPE FUENTES GARAY"/>
    <x v="3"/>
    <x v="15"/>
    <s v="BBVA"/>
    <e v="#NAME?"/>
    <x v="128"/>
    <n v="0.2"/>
    <x v="1"/>
    <s v="ASO"/>
    <m/>
    <e v="#NAME?"/>
    <e v="#NAME?"/>
    <e v="#NAME?"/>
    <m/>
    <m/>
    <m/>
    <m/>
    <m/>
    <n v="0"/>
  </r>
  <r>
    <s v="O000446"/>
    <s v="ANDRES FELIPE FUENTES GARAY"/>
    <x v="3"/>
    <x v="15"/>
    <s v="BBVA"/>
    <e v="#NAME?"/>
    <x v="123"/>
    <n v="0.2"/>
    <x v="1"/>
    <s v="Mainframe"/>
    <m/>
    <e v="#NAME?"/>
    <e v="#NAME?"/>
    <e v="#NAME?"/>
    <m/>
    <m/>
    <m/>
    <m/>
    <m/>
    <n v="0"/>
  </r>
  <r>
    <s v="O000446"/>
    <s v="ANDRES FELIPE FUENTES GARAY"/>
    <x v="3"/>
    <x v="15"/>
    <s v="BBVA"/>
    <e v="#NAME?"/>
    <x v="129"/>
    <n v="0.2"/>
    <x v="1"/>
    <s v="Mainframe"/>
    <m/>
    <e v="#NAME?"/>
    <e v="#NAME?"/>
    <e v="#NAME?"/>
    <m/>
    <m/>
    <m/>
    <m/>
    <m/>
    <n v="0"/>
  </r>
  <r>
    <s v="CE57920"/>
    <s v="WILLIAM ARMANDO BONILLA ACUÑA"/>
    <x v="3"/>
    <x v="15"/>
    <s v="Inetum"/>
    <e v="#NAME?"/>
    <x v="124"/>
    <n v="1"/>
    <x v="2"/>
    <s v="Mainframe"/>
    <m/>
    <e v="#NAME?"/>
    <e v="#NAME?"/>
    <e v="#NAME?"/>
    <m/>
    <m/>
    <m/>
    <m/>
    <m/>
    <n v="1"/>
  </r>
  <r>
    <s v="C804828"/>
    <s v="MAIRA ALEJANDRA GUERRERO CAMARGO"/>
    <x v="3"/>
    <x v="15"/>
    <s v="BBVA"/>
    <e v="#NAME?"/>
    <x v="132"/>
    <n v="0.1"/>
    <x v="0"/>
    <s v="Mainframe"/>
    <m/>
    <e v="#NAME?"/>
    <e v="#NAME?"/>
    <e v="#NAME?"/>
    <m/>
    <m/>
    <m/>
    <m/>
    <m/>
    <n v="1"/>
  </r>
  <r>
    <s v="C804828"/>
    <s v="MAIRA ALEJANDRA GUERRERO CAMARGO"/>
    <x v="3"/>
    <x v="15"/>
    <s v="BBVA"/>
    <e v="#NAME?"/>
    <x v="6"/>
    <n v="0.9"/>
    <x v="0"/>
    <s v="Mainframe"/>
    <s v="Atiende dentro del programa BCBS239 3 proyectos"/>
    <e v="#NAME?"/>
    <e v="#NAME?"/>
    <e v="#NAME?"/>
    <m/>
    <m/>
    <m/>
    <m/>
    <m/>
    <n v="0"/>
  </r>
  <r>
    <s v="C343126"/>
    <s v="RUBERTH SAN MIGUEL PEREZ"/>
    <x v="3"/>
    <x v="15"/>
    <s v="BBVA"/>
    <e v="#NAME?"/>
    <x v="6"/>
    <n v="0.6"/>
    <x v="0"/>
    <s v="Mainframe"/>
    <m/>
    <e v="#NAME?"/>
    <e v="#NAME?"/>
    <e v="#NAME?"/>
    <m/>
    <m/>
    <m/>
    <m/>
    <m/>
    <n v="1"/>
  </r>
  <r>
    <s v="C343126"/>
    <s v="RUBERTH SAN MIGUEL PEREZ"/>
    <x v="3"/>
    <x v="15"/>
    <s v="BBVA"/>
    <e v="#NAME?"/>
    <x v="133"/>
    <n v="0.4"/>
    <x v="0"/>
    <s v="Mainframe"/>
    <m/>
    <e v="#NAME?"/>
    <e v="#NAME?"/>
    <e v="#NAME?"/>
    <m/>
    <m/>
    <m/>
    <m/>
    <m/>
    <n v="0"/>
  </r>
  <r>
    <s v="C809713"/>
    <s v="FABRICIO AUGUSTO LOZANO TORRES"/>
    <x v="3"/>
    <x v="15"/>
    <s v="BBVA"/>
    <e v="#NAME?"/>
    <x v="134"/>
    <n v="0.4"/>
    <x v="0"/>
    <s v="Mainframe"/>
    <m/>
    <e v="#NAME?"/>
    <e v="#NAME?"/>
    <e v="#NAME?"/>
    <m/>
    <m/>
    <m/>
    <m/>
    <m/>
    <n v="1"/>
  </r>
  <r>
    <s v="C809713"/>
    <s v="FABRICIO AUGUSTO LOZANO TORRES"/>
    <x v="3"/>
    <x v="15"/>
    <s v="BBVA"/>
    <e v="#NAME?"/>
    <x v="9"/>
    <n v="0.6"/>
    <x v="0"/>
    <s v="Mainframe"/>
    <m/>
    <e v="#NAME?"/>
    <e v="#NAME?"/>
    <e v="#NAME?"/>
    <m/>
    <m/>
    <m/>
    <m/>
    <m/>
    <n v="0"/>
  </r>
  <r>
    <s v="C367168"/>
    <s v="FLOR MIREYA GONZALEZ VASQUEZ"/>
    <x v="3"/>
    <x v="15"/>
    <s v="BBVA"/>
    <e v="#NAME?"/>
    <x v="6"/>
    <n v="0.4"/>
    <x v="1"/>
    <s v="Mainframe"/>
    <m/>
    <e v="#NAME?"/>
    <e v="#NAME?"/>
    <e v="#NAME?"/>
    <m/>
    <m/>
    <m/>
    <m/>
    <m/>
    <n v="1"/>
  </r>
  <r>
    <s v="C367168"/>
    <s v="FLOR MIREYA GONZALEZ VASQUEZ"/>
    <x v="3"/>
    <x v="15"/>
    <s v="BBVA"/>
    <e v="#NAME?"/>
    <x v="132"/>
    <n v="0.05"/>
    <x v="1"/>
    <s v="Mainframe"/>
    <m/>
    <e v="#NAME?"/>
    <e v="#NAME?"/>
    <e v="#NAME?"/>
    <m/>
    <m/>
    <m/>
    <m/>
    <m/>
    <n v="0"/>
  </r>
  <r>
    <s v="C367168"/>
    <s v="FLOR MIREYA GONZALEZ VASQUEZ"/>
    <x v="3"/>
    <x v="15"/>
    <s v="BBVA"/>
    <e v="#NAME?"/>
    <x v="134"/>
    <n v="0.2"/>
    <x v="1"/>
    <s v="Mainframe"/>
    <m/>
    <e v="#NAME?"/>
    <e v="#NAME?"/>
    <e v="#NAME?"/>
    <m/>
    <m/>
    <m/>
    <m/>
    <m/>
    <n v="0"/>
  </r>
  <r>
    <s v="C367168"/>
    <s v="FLOR MIREYA GONZALEZ VASQUEZ"/>
    <x v="3"/>
    <x v="15"/>
    <s v="BBVA"/>
    <e v="#NAME?"/>
    <x v="9"/>
    <n v="0.1"/>
    <x v="1"/>
    <s v="Mainframe"/>
    <m/>
    <e v="#NAME?"/>
    <e v="#NAME?"/>
    <e v="#NAME?"/>
    <m/>
    <m/>
    <m/>
    <m/>
    <m/>
    <n v="0"/>
  </r>
  <r>
    <s v="C367168"/>
    <s v="FLOR MIREYA GONZALEZ VASQUEZ"/>
    <x v="3"/>
    <x v="15"/>
    <s v="BBVA"/>
    <e v="#NAME?"/>
    <x v="133"/>
    <n v="0.25"/>
    <x v="1"/>
    <s v="Mainframe"/>
    <m/>
    <e v="#NAME?"/>
    <e v="#NAME?"/>
    <e v="#NAME?"/>
    <m/>
    <m/>
    <m/>
    <m/>
    <m/>
    <n v="0"/>
  </r>
  <r>
    <s v="CE51434"/>
    <s v="MICHAEL ALEXANDER PINZON CRISTANCHO"/>
    <x v="3"/>
    <x v="15"/>
    <s v="Inetum"/>
    <e v="#NAME?"/>
    <x v="134"/>
    <n v="0.5"/>
    <x v="2"/>
    <s v="Mainframe"/>
    <m/>
    <e v="#NAME?"/>
    <e v="#NAME?"/>
    <e v="#NAME?"/>
    <m/>
    <m/>
    <m/>
    <m/>
    <m/>
    <n v="1"/>
  </r>
  <r>
    <s v="CE51434"/>
    <s v="MICHAEL ALEXANDER PINZON CRISTANCHO"/>
    <x v="3"/>
    <x v="15"/>
    <s v="Inetum"/>
    <e v="#NAME?"/>
    <x v="6"/>
    <n v="0.5"/>
    <x v="2"/>
    <s v="Mainframe"/>
    <m/>
    <e v="#NAME?"/>
    <e v="#NAME?"/>
    <e v="#NAME?"/>
    <m/>
    <m/>
    <m/>
    <m/>
    <m/>
    <n v="0"/>
  </r>
  <r>
    <s v="C808227"/>
    <s v="MARIA PAULA ISAZA SANCHEZ"/>
    <x v="1"/>
    <x v="16"/>
    <s v="BBVA"/>
    <e v="#NAME?"/>
    <x v="135"/>
    <n v="1"/>
    <x v="0"/>
    <s v="Distribuido"/>
    <m/>
    <e v="#NAME?"/>
    <e v="#NAME?"/>
    <e v="#NAME?"/>
    <m/>
    <m/>
    <m/>
    <m/>
    <m/>
    <m/>
  </r>
  <r>
    <s v="C804032"/>
    <s v="CAMILO ANDRES MORENO HURTADO"/>
    <x v="1"/>
    <x v="16"/>
    <s v="BBVA"/>
    <e v="#NAME?"/>
    <x v="136"/>
    <n v="0.5"/>
    <x v="0"/>
    <s v="Distribuido"/>
    <m/>
    <e v="#NAME?"/>
    <e v="#NAME?"/>
    <e v="#NAME?"/>
    <m/>
    <m/>
    <m/>
    <m/>
    <m/>
    <m/>
  </r>
  <r>
    <s v="C804032"/>
    <s v="CAMILO ANDRES MORENO HURTADO"/>
    <x v="1"/>
    <x v="16"/>
    <s v="BBVA"/>
    <e v="#NAME?"/>
    <x v="137"/>
    <n v="0.5"/>
    <x v="0"/>
    <s v="Distribuido"/>
    <m/>
    <e v="#NAME?"/>
    <e v="#NAME?"/>
    <e v="#NAME?"/>
    <m/>
    <m/>
    <m/>
    <m/>
    <m/>
    <m/>
  </r>
  <r>
    <s v="C811284"/>
    <s v="CRISTIAN ARLEY AMORTEGUI AREVALO"/>
    <x v="1"/>
    <x v="16"/>
    <s v="BBVA"/>
    <e v="#NAME?"/>
    <x v="34"/>
    <n v="1"/>
    <x v="0"/>
    <s v="Mainframe"/>
    <m/>
    <e v="#NAME?"/>
    <e v="#NAME?"/>
    <e v="#NAME?"/>
    <m/>
    <m/>
    <m/>
    <m/>
    <m/>
    <m/>
  </r>
  <r>
    <s v="C808193"/>
    <s v="GILBERTO SANCHEZ RODRIGUEZ"/>
    <x v="1"/>
    <x v="16"/>
    <s v="BBVA"/>
    <e v="#NAME?"/>
    <x v="5"/>
    <n v="0.75"/>
    <x v="0"/>
    <s v="Mainframe"/>
    <m/>
    <e v="#NAME?"/>
    <e v="#NAME?"/>
    <e v="#NAME?"/>
    <m/>
    <m/>
    <m/>
    <m/>
    <m/>
    <m/>
  </r>
  <r>
    <s v="C808193"/>
    <s v="GILBERTO SANCHEZ RODRIGUEZ"/>
    <x v="1"/>
    <x v="16"/>
    <s v="BBVA"/>
    <e v="#NAME?"/>
    <x v="138"/>
    <n v="0.25"/>
    <x v="0"/>
    <s v="Mainframe"/>
    <m/>
    <e v="#NAME?"/>
    <e v="#NAME?"/>
    <e v="#NAME?"/>
    <m/>
    <m/>
    <m/>
    <m/>
    <m/>
    <m/>
  </r>
  <r>
    <s v="C782744"/>
    <s v="VICTOR WILSON AREVALO MARTIN"/>
    <x v="1"/>
    <x v="16"/>
    <s v="BBVA"/>
    <e v="#NAME?"/>
    <x v="138"/>
    <n v="0.25"/>
    <x v="0"/>
    <s v="Mainframe"/>
    <m/>
    <e v="#NAME?"/>
    <e v="#NAME?"/>
    <e v="#NAME?"/>
    <m/>
    <m/>
    <m/>
    <m/>
    <m/>
    <m/>
  </r>
  <r>
    <s v="C782744"/>
    <s v="VICTOR WILSON AREVALO MARTIN"/>
    <x v="1"/>
    <x v="16"/>
    <s v="BBVA"/>
    <e v="#NAME?"/>
    <x v="139"/>
    <n v="0.75"/>
    <x v="0"/>
    <s v="Distribuido"/>
    <m/>
    <e v="#NAME?"/>
    <e v="#NAME?"/>
    <e v="#NAME?"/>
    <m/>
    <m/>
    <m/>
    <m/>
    <m/>
    <m/>
  </r>
  <r>
    <s v="C805683"/>
    <s v="SERGIO LEONARDO MENDOZA GASCA"/>
    <x v="1"/>
    <x v="16"/>
    <s v="BBVA"/>
    <e v="#NAME?"/>
    <x v="139"/>
    <n v="0.5"/>
    <x v="0"/>
    <s v="Distribuido"/>
    <m/>
    <e v="#NAME?"/>
    <e v="#NAME?"/>
    <e v="#NAME?"/>
    <m/>
    <m/>
    <m/>
    <m/>
    <m/>
    <m/>
  </r>
  <r>
    <s v="C805683"/>
    <s v="SERGIO LEONARDO MENDOZA GASCA"/>
    <x v="1"/>
    <x v="16"/>
    <s v="BBVA"/>
    <e v="#NAME?"/>
    <x v="140"/>
    <n v="0.5"/>
    <x v="0"/>
    <s v="Distribuido"/>
    <m/>
    <e v="#NAME?"/>
    <e v="#NAME?"/>
    <e v="#NAME?"/>
    <m/>
    <m/>
    <m/>
    <m/>
    <m/>
    <m/>
  </r>
  <r>
    <s v="C805074"/>
    <s v="MARLON STUART SUAREZ ."/>
    <x v="1"/>
    <x v="16"/>
    <s v="BBVA"/>
    <e v="#NAME?"/>
    <x v="136"/>
    <n v="0.3"/>
    <x v="0"/>
    <s v="Distribuido"/>
    <m/>
    <e v="#NAME?"/>
    <e v="#NAME?"/>
    <e v="#NAME?"/>
    <m/>
    <m/>
    <m/>
    <m/>
    <m/>
    <m/>
  </r>
  <r>
    <s v="C805074"/>
    <s v="MARLON STUART SUAREZ ."/>
    <x v="1"/>
    <x v="16"/>
    <s v="BBVA"/>
    <e v="#NAME?"/>
    <x v="141"/>
    <n v="0.3"/>
    <x v="0"/>
    <s v="Distribuido"/>
    <m/>
    <e v="#NAME?"/>
    <e v="#NAME?"/>
    <e v="#NAME?"/>
    <m/>
    <m/>
    <m/>
    <m/>
    <m/>
    <m/>
  </r>
  <r>
    <s v="C805074"/>
    <s v="MARLON STUART SUAREZ ."/>
    <x v="1"/>
    <x v="16"/>
    <s v="BBVA"/>
    <e v="#NAME?"/>
    <x v="137"/>
    <n v="0.4"/>
    <x v="0"/>
    <s v="Distribuido"/>
    <m/>
    <e v="#NAME?"/>
    <e v="#NAME?"/>
    <e v="#NAME?"/>
    <m/>
    <m/>
    <m/>
    <m/>
    <m/>
    <m/>
  </r>
  <r>
    <s v="O001825"/>
    <s v="JONATHAN FABIAN PAEZ TORRES"/>
    <x v="1"/>
    <x v="16"/>
    <s v="BBVA"/>
    <e v="#NAME?"/>
    <x v="136"/>
    <n v="0.25"/>
    <x v="0"/>
    <s v="Distribuido"/>
    <m/>
    <e v="#NAME?"/>
    <e v="#NAME?"/>
    <e v="#NAME?"/>
    <m/>
    <m/>
    <m/>
    <m/>
    <m/>
    <m/>
  </r>
  <r>
    <s v="O001825"/>
    <s v="JONATHAN FABIAN PAEZ TORRES"/>
    <x v="1"/>
    <x v="16"/>
    <s v="BBVA"/>
    <e v="#NAME?"/>
    <x v="141"/>
    <n v="0.25"/>
    <x v="0"/>
    <s v="Distribuido"/>
    <m/>
    <e v="#NAME?"/>
    <e v="#NAME?"/>
    <e v="#NAME?"/>
    <m/>
    <m/>
    <m/>
    <m/>
    <m/>
    <m/>
  </r>
  <r>
    <s v="O001825"/>
    <s v="JONATHAN FABIAN PAEZ TORRES"/>
    <x v="1"/>
    <x v="16"/>
    <s v="BBVA"/>
    <e v="#NAME?"/>
    <x v="137"/>
    <n v="0.5"/>
    <x v="0"/>
    <s v="Distribuido"/>
    <m/>
    <e v="#NAME?"/>
    <e v="#NAME?"/>
    <e v="#NAME?"/>
    <m/>
    <m/>
    <m/>
    <m/>
    <m/>
    <m/>
  </r>
  <r>
    <s v="O003306"/>
    <s v="LEIDY JOHANA RODRIGUEZ GARCIA"/>
    <x v="1"/>
    <x v="16"/>
    <s v="BBVA"/>
    <e v="#NAME?"/>
    <x v="137"/>
    <n v="0.75"/>
    <x v="0"/>
    <s v="Distribuido"/>
    <m/>
    <e v="#NAME?"/>
    <e v="#NAME?"/>
    <e v="#NAME?"/>
    <m/>
    <m/>
    <m/>
    <m/>
    <m/>
    <m/>
  </r>
  <r>
    <s v="O003306"/>
    <s v="LEIDY JOHANA RODRIGUEZ GARCIA"/>
    <x v="1"/>
    <x v="16"/>
    <s v="BBVA"/>
    <e v="#NAME?"/>
    <x v="137"/>
    <n v="0.25"/>
    <x v="0"/>
    <s v="Distribuido"/>
    <m/>
    <e v="#NAME?"/>
    <e v="#NAME?"/>
    <e v="#NAME?"/>
    <m/>
    <m/>
    <m/>
    <m/>
    <m/>
    <m/>
  </r>
  <r>
    <s v="CE52611"/>
    <s v="GUSTAVO ADOLFO SALAZAR BERNAL"/>
    <x v="1"/>
    <x v="16"/>
    <s v="SII"/>
    <e v="#NAME?"/>
    <x v="5"/>
    <n v="0.5"/>
    <x v="0"/>
    <s v="Distribuido"/>
    <m/>
    <e v="#NAME?"/>
    <e v="#NAME?"/>
    <e v="#NAME?"/>
    <m/>
    <m/>
    <m/>
    <m/>
    <m/>
    <m/>
  </r>
  <r>
    <s v="CE52611"/>
    <s v="GUSTAVO ADOLFO SALAZAR BERNAL"/>
    <x v="1"/>
    <x v="16"/>
    <s v="SII"/>
    <e v="#NAME?"/>
    <x v="142"/>
    <n v="0.5"/>
    <x v="0"/>
    <s v="Distribuido"/>
    <m/>
    <e v="#NAME?"/>
    <e v="#NAME?"/>
    <e v="#NAME?"/>
    <m/>
    <m/>
    <m/>
    <m/>
    <m/>
    <m/>
  </r>
  <r>
    <s v="C804789"/>
    <s v="JHON ALEXANDER PINEDA ARIAS"/>
    <x v="1"/>
    <x v="16"/>
    <s v="BBVA"/>
    <e v="#NAME?"/>
    <x v="143"/>
    <n v="0.5"/>
    <x v="0"/>
    <s v="Mainframe"/>
    <m/>
    <e v="#NAME?"/>
    <e v="#NAME?"/>
    <e v="#NAME?"/>
    <m/>
    <m/>
    <m/>
    <m/>
    <m/>
    <m/>
  </r>
  <r>
    <s v="C804789"/>
    <s v="JHON ALEXANDER PINEDA ARIAS"/>
    <x v="1"/>
    <x v="16"/>
    <s v="BBVA"/>
    <e v="#NAME?"/>
    <x v="144"/>
    <n v="0.5"/>
    <x v="0"/>
    <s v="Mainframe"/>
    <m/>
    <e v="#NAME?"/>
    <e v="#NAME?"/>
    <e v="#NAME?"/>
    <m/>
    <m/>
    <m/>
    <m/>
    <m/>
    <m/>
  </r>
  <r>
    <s v="C810672"/>
    <s v="ALEJANDRA MARIA HINCAPIE AGUIRRE"/>
    <x v="1"/>
    <x v="16"/>
    <s v="BBVA"/>
    <e v="#NAME?"/>
    <x v="6"/>
    <n v="0.5"/>
    <x v="0"/>
    <s v="Distribuido"/>
    <m/>
    <e v="#NAME?"/>
    <e v="#NAME?"/>
    <e v="#NAME?"/>
    <m/>
    <m/>
    <m/>
    <m/>
    <m/>
    <m/>
  </r>
  <r>
    <s v="C810672"/>
    <s v="ALEJANDRA MARIA HINCAPIE AGUIRRE"/>
    <x v="1"/>
    <x v="16"/>
    <s v="BBVA"/>
    <e v="#NAME?"/>
    <x v="144"/>
    <n v="0.5"/>
    <x v="0"/>
    <s v="Distribuido"/>
    <m/>
    <e v="#NAME?"/>
    <e v="#NAME?"/>
    <e v="#NAME?"/>
    <m/>
    <m/>
    <m/>
    <m/>
    <m/>
    <m/>
  </r>
  <r>
    <s v="C804843"/>
    <s v="EDUAR DUBAN GONZALEZ JOYA"/>
    <x v="1"/>
    <x v="16"/>
    <s v="BBVA"/>
    <e v="#NAME?"/>
    <x v="6"/>
    <n v="0.5"/>
    <x v="0"/>
    <s v="Distribuido"/>
    <m/>
    <e v="#NAME?"/>
    <e v="#NAME?"/>
    <e v="#NAME?"/>
    <m/>
    <m/>
    <m/>
    <m/>
    <m/>
    <m/>
  </r>
  <r>
    <s v="C804843"/>
    <s v="EDUAR DUBAN GONZALEZ JOYA"/>
    <x v="1"/>
    <x v="16"/>
    <s v="BBVA"/>
    <e v="#NAME?"/>
    <x v="144"/>
    <n v="0.5"/>
    <x v="0"/>
    <s v="Distribuido"/>
    <m/>
    <e v="#NAME?"/>
    <e v="#NAME?"/>
    <e v="#NAME?"/>
    <m/>
    <m/>
    <m/>
    <m/>
    <m/>
    <m/>
  </r>
  <r>
    <s v="C805104"/>
    <s v="JEISSON SNEYDER GALLO RAMIREZ"/>
    <x v="1"/>
    <x v="16"/>
    <s v="BBVA"/>
    <e v="#NAME?"/>
    <x v="145"/>
    <n v="1"/>
    <x v="0"/>
    <s v="Mainframe"/>
    <m/>
    <e v="#NAME?"/>
    <e v="#NAME?"/>
    <e v="#NAME?"/>
    <m/>
    <m/>
    <m/>
    <m/>
    <m/>
    <m/>
  </r>
  <r>
    <s v="C810818"/>
    <s v="SERGIO ALEJANDRO NUÑEZ MENDIVELSO"/>
    <x v="1"/>
    <x v="16"/>
    <s v="BBVA"/>
    <e v="#NAME?"/>
    <x v="146"/>
    <n v="1"/>
    <x v="0"/>
    <s v="Mainframe"/>
    <m/>
    <e v="#NAME?"/>
    <e v="#NAME?"/>
    <e v="#NAME?"/>
    <m/>
    <m/>
    <m/>
    <m/>
    <m/>
    <m/>
  </r>
  <r>
    <s v="CE67855"/>
    <s v="ANDREY DAVID NINO GALVIS"/>
    <x v="1"/>
    <x v="16"/>
    <s v="Accenture"/>
    <e v="#NAME?"/>
    <x v="3"/>
    <n v="1"/>
    <x v="0"/>
    <s v="Distribuido"/>
    <m/>
    <e v="#NAME?"/>
    <e v="#NAME?"/>
    <e v="#NAME?"/>
    <m/>
    <m/>
    <m/>
    <m/>
    <m/>
    <m/>
  </r>
  <r>
    <s v="T007493"/>
    <s v="BRIAN LEONARDO PEREZ RUBIANO"/>
    <x v="1"/>
    <x v="16"/>
    <s v="GGI / CMC"/>
    <e v="#NAME?"/>
    <x v="137"/>
    <n v="0.5"/>
    <x v="2"/>
    <s v="Distribuido"/>
    <m/>
    <e v="#NAME?"/>
    <e v="#NAME?"/>
    <e v="#NAME?"/>
    <m/>
    <m/>
    <m/>
    <m/>
    <m/>
    <m/>
  </r>
  <r>
    <s v="C796462"/>
    <s v="CAMILO ANDRES TELLEZ PRIETO"/>
    <x v="1"/>
    <x v="16"/>
    <s v="BBVA"/>
    <e v="#NAME?"/>
    <x v="3"/>
    <n v="1"/>
    <x v="1"/>
    <s v="Mainframe"/>
    <m/>
    <e v="#NAME?"/>
    <e v="#NAME?"/>
    <e v="#NAME?"/>
    <m/>
    <m/>
    <m/>
    <m/>
    <m/>
    <m/>
  </r>
  <r>
    <s v="C342545"/>
    <s v="CARLOS ANDRES MARTINEZ BEDOYA"/>
    <x v="1"/>
    <x v="16"/>
    <s v="BBVA"/>
    <e v="#NAME?"/>
    <x v="3"/>
    <n v="1"/>
    <x v="0"/>
    <s v="Mainframe"/>
    <m/>
    <e v="#NAME?"/>
    <e v="#NAME?"/>
    <e v="#NAME?"/>
    <m/>
    <m/>
    <m/>
    <m/>
    <m/>
    <m/>
  </r>
  <r>
    <s v="CE69667"/>
    <s v="HAROLD ENRIQUE ROCANCIO JULIO"/>
    <x v="1"/>
    <x v="16"/>
    <s v="GGI / CMC"/>
    <e v="#NAME?"/>
    <x v="3"/>
    <n v="1"/>
    <x v="3"/>
    <s v="Distribuido"/>
    <m/>
    <e v="#NAME?"/>
    <e v="#NAME?"/>
    <e v="#NAME?"/>
    <m/>
    <m/>
    <m/>
    <m/>
    <m/>
    <m/>
  </r>
  <r>
    <s v="CE65485"/>
    <s v="HECTOR JAIRO LEGUIZAMON "/>
    <x v="1"/>
    <x v="16"/>
    <s v="Accenture"/>
    <e v="#NAME?"/>
    <x v="3"/>
    <n v="1"/>
    <x v="0"/>
    <s v="Distribuido"/>
    <m/>
    <e v="#NAME?"/>
    <e v="#NAME?"/>
    <e v="#NAME?"/>
    <m/>
    <m/>
    <m/>
    <m/>
    <m/>
    <m/>
  </r>
  <r>
    <s v="C809352"/>
    <s v="JOHAN GARZON PEDRAZA"/>
    <x v="1"/>
    <x v="16"/>
    <s v="BBVA"/>
    <e v="#NAME?"/>
    <x v="3"/>
    <n v="1"/>
    <x v="0"/>
    <s v="Mainframe"/>
    <m/>
    <e v="#NAME?"/>
    <e v="#NAME?"/>
    <e v="#NAME?"/>
    <m/>
    <m/>
    <m/>
    <m/>
    <m/>
    <m/>
  </r>
  <r>
    <s v="CE67103"/>
    <s v="KAREN ANDREA BELTRÁN SILVA"/>
    <x v="1"/>
    <x v="16"/>
    <s v="Accenture"/>
    <e v="#NAME?"/>
    <x v="3"/>
    <n v="1"/>
    <x v="0"/>
    <s v="Distribuido"/>
    <m/>
    <e v="#NAME?"/>
    <e v="#NAME?"/>
    <e v="#NAME?"/>
    <m/>
    <m/>
    <m/>
    <m/>
    <m/>
    <m/>
  </r>
  <r>
    <s v="CE66251"/>
    <s v="SANTIAGO A SANTOS ESTRADA"/>
    <x v="1"/>
    <x v="16"/>
    <s v="GGI / CMC"/>
    <e v="#NAME?"/>
    <x v="139"/>
    <n v="0.5"/>
    <x v="2"/>
    <s v="Distribuido"/>
    <m/>
    <e v="#NAME?"/>
    <e v="#NAME?"/>
    <e v="#NAME?"/>
    <m/>
    <m/>
    <m/>
    <m/>
    <m/>
    <m/>
  </r>
  <r>
    <s v="C811314"/>
    <s v="GONZALO CHAPARRO LOPEZ"/>
    <x v="0"/>
    <x v="17"/>
    <s v="BBVA"/>
    <e v="#NAME?"/>
    <x v="3"/>
    <n v="0.75"/>
    <x v="1"/>
    <s v="Distribuido"/>
    <m/>
    <e v="#NAME?"/>
    <e v="#NAME?"/>
    <e v="#NAME?"/>
    <m/>
    <m/>
    <m/>
    <m/>
    <m/>
    <m/>
  </r>
  <r>
    <s v="C811314"/>
    <s v="GONZALO CHAPARRO LOPEZ"/>
    <x v="0"/>
    <x v="17"/>
    <s v="BBVA"/>
    <e v="#NAME?"/>
    <x v="20"/>
    <n v="0.25"/>
    <x v="1"/>
    <s v="Distribuido"/>
    <m/>
    <e v="#NAME?"/>
    <e v="#NAME?"/>
    <e v="#NAME?"/>
    <m/>
    <m/>
    <m/>
    <m/>
    <m/>
    <m/>
  </r>
  <r>
    <s v="CE68481"/>
    <s v="PEREZ PAN WILLIAM STEVEN"/>
    <x v="0"/>
    <x v="17"/>
    <s v="GGI / CMC"/>
    <e v="#NAME?"/>
    <x v="3"/>
    <n v="1"/>
    <x v="2"/>
    <s v="Distribuido"/>
    <m/>
    <e v="#NAME?"/>
    <e v="#NAME?"/>
    <e v="#NAME?"/>
    <m/>
    <m/>
    <m/>
    <m/>
    <m/>
    <m/>
  </r>
  <r>
    <s v="T001858"/>
    <s v="AGREDO LLANTEN NESTOR RAUL"/>
    <x v="0"/>
    <x v="17"/>
    <s v="Neoris"/>
    <e v="#NAME?"/>
    <x v="40"/>
    <n v="1"/>
    <x v="0"/>
    <s v="Distribuido"/>
    <m/>
    <e v="#NAME?"/>
    <e v="#NAME?"/>
    <e v="#NAME?"/>
    <m/>
    <m/>
    <m/>
    <m/>
    <m/>
    <m/>
  </r>
  <r>
    <s v="CE66707"/>
    <s v="ALFONSO PUIN DANIEL FELIPE"/>
    <x v="0"/>
    <x v="17"/>
    <s v="GGI / CMC"/>
    <e v="#NAME?"/>
    <x v="40"/>
    <n v="1"/>
    <x v="0"/>
    <s v="Distribuido"/>
    <m/>
    <e v="#NAME?"/>
    <e v="#NAME?"/>
    <e v="#NAME?"/>
    <m/>
    <m/>
    <m/>
    <m/>
    <m/>
    <m/>
  </r>
  <r>
    <s v="C802984"/>
    <s v="ALVARADO URUETA AVELINO RAFAEL"/>
    <x v="0"/>
    <x v="17"/>
    <s v="BBVA"/>
    <e v="#NAME?"/>
    <x v="3"/>
    <n v="0.5"/>
    <x v="0"/>
    <s v="Distribuido"/>
    <m/>
    <e v="#NAME?"/>
    <e v="#NAME?"/>
    <e v="#NAME?"/>
    <m/>
    <m/>
    <m/>
    <m/>
    <m/>
    <m/>
  </r>
  <r>
    <s v="C802984"/>
    <s v="ALVARADO URUETA AVELINO RAFAEL"/>
    <x v="0"/>
    <x v="17"/>
    <s v="BBVA"/>
    <e v="#NAME?"/>
    <x v="40"/>
    <n v="0.5"/>
    <x v="0"/>
    <s v="Distribuido"/>
    <m/>
    <e v="#NAME?"/>
    <e v="#NAME?"/>
    <e v="#NAME?"/>
    <m/>
    <m/>
    <m/>
    <m/>
    <m/>
    <m/>
  </r>
  <r>
    <s v="CE30852"/>
    <s v="CAMELO MORA LADY KATHERINE"/>
    <x v="0"/>
    <x v="17"/>
    <s v="GGI / CMC"/>
    <e v="#NAME?"/>
    <x v="3"/>
    <n v="1"/>
    <x v="0"/>
    <s v="Distribuido"/>
    <m/>
    <e v="#NAME?"/>
    <e v="#NAME?"/>
    <e v="#NAME?"/>
    <m/>
    <m/>
    <m/>
    <m/>
    <m/>
    <m/>
  </r>
  <r>
    <s v="C804326"/>
    <s v="CARVAJAL ARRAIZ ANGELICA ALEJANDRA"/>
    <x v="0"/>
    <x v="17"/>
    <s v="BBVA"/>
    <e v="#NAME?"/>
    <x v="3"/>
    <n v="0.25"/>
    <x v="0"/>
    <s v="Distribuido"/>
    <m/>
    <e v="#NAME?"/>
    <e v="#NAME?"/>
    <e v="#NAME?"/>
    <m/>
    <m/>
    <m/>
    <m/>
    <m/>
    <m/>
  </r>
  <r>
    <s v="C804326"/>
    <s v="CARVAJAL ARRAIZ ANGELICA ALEJANDRA"/>
    <x v="0"/>
    <x v="17"/>
    <s v="BBVA"/>
    <e v="#NAME?"/>
    <x v="40"/>
    <n v="0.75"/>
    <x v="0"/>
    <s v="Distribuido"/>
    <m/>
    <e v="#NAME?"/>
    <e v="#NAME?"/>
    <e v="#NAME?"/>
    <m/>
    <m/>
    <m/>
    <m/>
    <m/>
    <m/>
  </r>
  <r>
    <s v="C811188"/>
    <s v="CASTRO PULIDO STEFANNY LIZETH"/>
    <x v="0"/>
    <x v="17"/>
    <s v="BBVA"/>
    <e v="#NAME?"/>
    <x v="3"/>
    <n v="1"/>
    <x v="3"/>
    <s v="Distribuido"/>
    <m/>
    <e v="#NAME?"/>
    <e v="#NAME?"/>
    <e v="#NAME?"/>
    <m/>
    <m/>
    <m/>
    <m/>
    <m/>
    <m/>
  </r>
  <r>
    <s v="CE57157"/>
    <s v="CHAVES ANGEL JOAN NICOLAS"/>
    <x v="0"/>
    <x v="17"/>
    <s v="GGI / CMC"/>
    <e v="#NAME?"/>
    <x v="3"/>
    <n v="1"/>
    <x v="0"/>
    <s v="Distribuido"/>
    <m/>
    <e v="#NAME?"/>
    <e v="#NAME?"/>
    <e v="#NAME?"/>
    <m/>
    <m/>
    <m/>
    <m/>
    <m/>
    <m/>
  </r>
  <r>
    <s v="T003701"/>
    <s v="CORREA HURTADO KEVIN ALEJANDRO"/>
    <x v="0"/>
    <x v="17"/>
    <s v="GGI / CMC"/>
    <e v="#NAME?"/>
    <x v="3"/>
    <n v="1"/>
    <x v="0"/>
    <s v="Distribuido"/>
    <m/>
    <e v="#NAME?"/>
    <e v="#NAME?"/>
    <e v="#NAME?"/>
    <m/>
    <m/>
    <m/>
    <m/>
    <m/>
    <m/>
  </r>
  <r>
    <s v="CE64257"/>
    <s v="DIAZ SALAZAR EDILBERTO"/>
    <x v="0"/>
    <x v="17"/>
    <s v="KRYPTO"/>
    <e v="#NAME?"/>
    <x v="3"/>
    <n v="1"/>
    <x v="3"/>
    <s v="Distribuido"/>
    <m/>
    <e v="#NAME?"/>
    <e v="#NAME?"/>
    <e v="#NAME?"/>
    <m/>
    <m/>
    <m/>
    <m/>
    <m/>
    <m/>
  </r>
  <r>
    <s v="C810910"/>
    <s v="OLIVOS FONSECA JONATHAN STEVEN"/>
    <x v="0"/>
    <x v="17"/>
    <s v="BBVA"/>
    <e v="#NAME?"/>
    <x v="3"/>
    <n v="0.5"/>
    <x v="0"/>
    <s v="Distribuido"/>
    <m/>
    <e v="#NAME?"/>
    <e v="#NAME?"/>
    <e v="#NAME?"/>
    <m/>
    <m/>
    <m/>
    <m/>
    <m/>
    <m/>
  </r>
  <r>
    <s v="C810910"/>
    <s v="OLIVOS FONSECA JONATHAN STEVEN"/>
    <x v="0"/>
    <x v="17"/>
    <s v="BBVA"/>
    <e v="#NAME?"/>
    <x v="20"/>
    <n v="0.5"/>
    <x v="0"/>
    <s v="Distribuido"/>
    <m/>
    <e v="#NAME?"/>
    <e v="#NAME?"/>
    <e v="#NAME?"/>
    <m/>
    <m/>
    <m/>
    <m/>
    <m/>
    <m/>
  </r>
  <r>
    <s v="T004577"/>
    <s v="PINEDA MAHECHA PABLO ENRIQUE"/>
    <x v="0"/>
    <x v="17"/>
    <s v="GGI / CMC"/>
    <e v="#NAME?"/>
    <x v="3"/>
    <n v="1"/>
    <x v="0"/>
    <s v="Distribuido"/>
    <m/>
    <e v="#NAME?"/>
    <e v="#NAME?"/>
    <e v="#NAME?"/>
    <m/>
    <m/>
    <m/>
    <m/>
    <m/>
    <m/>
  </r>
  <r>
    <s v="CE60509"/>
    <s v="RODRIGUEZ RIVERA ANDRES CAMILO"/>
    <x v="0"/>
    <x v="17"/>
    <s v="GGI / CMC"/>
    <e v="#NAME?"/>
    <x v="95"/>
    <n v="1"/>
    <x v="0"/>
    <s v="Distribuido"/>
    <m/>
    <e v="#NAME?"/>
    <e v="#NAME?"/>
    <e v="#NAME?"/>
    <m/>
    <m/>
    <m/>
    <m/>
    <m/>
    <m/>
  </r>
  <r>
    <s v="CE70171"/>
    <s v="CASALLAS LEGUIZAMON NELSON SEBASTIAN"/>
    <x v="0"/>
    <x v="17"/>
    <s v="GGI / CMC"/>
    <e v="#NAME?"/>
    <x v="3"/>
    <n v="1"/>
    <x v="0"/>
    <s v="Distribuido"/>
    <m/>
    <e v="#NAME?"/>
    <e v="#NAME?"/>
    <e v="#NAME?"/>
    <m/>
    <m/>
    <m/>
    <m/>
    <m/>
    <m/>
  </r>
  <r>
    <s v="C810855"/>
    <s v="PALACIO CHAVES ANDRES FELIPE"/>
    <x v="0"/>
    <x v="17"/>
    <s v="BBVA"/>
    <e v="#NAME?"/>
    <x v="147"/>
    <n v="1"/>
    <x v="0"/>
    <s v="Distribuido"/>
    <m/>
    <e v="#NAME?"/>
    <e v="#NAME?"/>
    <e v="#NAME?"/>
    <m/>
    <m/>
    <m/>
    <m/>
    <m/>
    <m/>
  </r>
  <r>
    <s v="C809514"/>
    <s v="MUÑOZ CEDANO LEONEL"/>
    <x v="0"/>
    <x v="17"/>
    <s v="BBVA"/>
    <e v="#NAME?"/>
    <x v="15"/>
    <n v="1"/>
    <x v="0"/>
    <s v="Distribuido"/>
    <m/>
    <e v="#NAME?"/>
    <e v="#NAME?"/>
    <e v="#NAME?"/>
    <m/>
    <m/>
    <m/>
    <m/>
    <m/>
    <m/>
  </r>
  <r>
    <s v="CE66043"/>
    <s v="QUINTERO GAITÁN CRISTIAN ALBERTO"/>
    <x v="0"/>
    <x v="17"/>
    <s v="GGI / CMC"/>
    <e v="#NAME?"/>
    <x v="147"/>
    <n v="0.5"/>
    <x v="0"/>
    <s v="Distribuido"/>
    <m/>
    <e v="#NAME?"/>
    <e v="#NAME?"/>
    <e v="#NAME?"/>
    <m/>
    <m/>
    <m/>
    <m/>
    <m/>
    <m/>
  </r>
  <r>
    <s v="CE66043"/>
    <s v="QUINTERO GAITÁN CRISTIAN ALBERTO"/>
    <x v="0"/>
    <x v="17"/>
    <s v="GGI / CMC"/>
    <e v="#NAME?"/>
    <x v="131"/>
    <n v="0.5"/>
    <x v="0"/>
    <s v="Distribuido"/>
    <m/>
    <e v="#NAME?"/>
    <e v="#NAME?"/>
    <e v="#NAME?"/>
    <m/>
    <m/>
    <m/>
    <m/>
    <m/>
    <m/>
  </r>
  <r>
    <s v="CE70945"/>
    <s v="PENA DIAZ EDGAR SEBASTIAN"/>
    <x v="0"/>
    <x v="17"/>
    <s v="GGI / CMC"/>
    <e v="#NAME?"/>
    <x v="147"/>
    <n v="0.5"/>
    <x v="0"/>
    <s v="Distribuido"/>
    <m/>
    <e v="#NAME?"/>
    <e v="#NAME?"/>
    <e v="#NAME?"/>
    <m/>
    <m/>
    <m/>
    <m/>
    <m/>
    <m/>
  </r>
  <r>
    <s v="CE70945"/>
    <s v="PENA DIAZ EDGAR SEBASTIAN"/>
    <x v="0"/>
    <x v="17"/>
    <s v="GGI / CMC"/>
    <e v="#NAME?"/>
    <x v="130"/>
    <n v="0.5"/>
    <x v="0"/>
    <s v="Cells"/>
    <m/>
    <e v="#NAME?"/>
    <e v="#NAME?"/>
    <e v="#NAME?"/>
    <m/>
    <m/>
    <m/>
    <m/>
    <m/>
    <m/>
  </r>
  <r>
    <s v="CE67424"/>
    <s v="JIMENEZ MUÑOZ ANA MARIA"/>
    <x v="0"/>
    <x v="17"/>
    <s v="GGI / CMC"/>
    <e v="#NAME?"/>
    <x v="147"/>
    <n v="0.5"/>
    <x v="2"/>
    <s v="Distribuido"/>
    <m/>
    <e v="#NAME?"/>
    <e v="#NAME?"/>
    <e v="#NAME?"/>
    <m/>
    <m/>
    <m/>
    <m/>
    <m/>
    <m/>
  </r>
  <r>
    <s v="CE67424"/>
    <s v="JIMENEZ MUÑOZ ANA MARIA"/>
    <x v="0"/>
    <x v="17"/>
    <s v="GGI / CMC"/>
    <e v="#NAME?"/>
    <x v="15"/>
    <n v="0.5"/>
    <x v="2"/>
    <s v="Distribuido"/>
    <m/>
    <e v="#NAME?"/>
    <e v="#NAME?"/>
    <e v="#NAME?"/>
    <m/>
    <m/>
    <m/>
    <m/>
    <m/>
    <m/>
  </r>
  <r>
    <s v="CE70844"/>
    <s v="CORONADO ALVARO FELIPE"/>
    <x v="0"/>
    <x v="17"/>
    <s v="GGI / CMC"/>
    <e v="#NAME?"/>
    <x v="147"/>
    <n v="1"/>
    <x v="0"/>
    <s v="Distribuido"/>
    <m/>
    <e v="#NAME?"/>
    <e v="#NAME?"/>
    <e v="#NAME?"/>
    <m/>
    <m/>
    <m/>
    <m/>
    <m/>
    <m/>
  </r>
  <r>
    <s v="CE70149"/>
    <s v="ALDANA ROJAS TIHAMER KARLOVICH"/>
    <x v="0"/>
    <x v="17"/>
    <s v="GGI / CMC"/>
    <e v="#NAME?"/>
    <x v="15"/>
    <n v="1"/>
    <x v="0"/>
    <s v="Distribuido"/>
    <m/>
    <e v="#NAME?"/>
    <e v="#NAME?"/>
    <e v="#NAME?"/>
    <m/>
    <m/>
    <m/>
    <m/>
    <m/>
    <m/>
  </r>
  <r>
    <s v="C811408"/>
    <s v="BENITEZ ATENCIA JAIME RAFAEL"/>
    <x v="0"/>
    <x v="17"/>
    <s v="BBVA"/>
    <e v="#NAME?"/>
    <x v="130"/>
    <n v="0.5"/>
    <x v="0"/>
    <s v="APX"/>
    <m/>
    <e v="#NAME?"/>
    <e v="#NAME?"/>
    <e v="#NAME?"/>
    <m/>
    <m/>
    <m/>
    <m/>
    <m/>
    <m/>
  </r>
  <r>
    <s v="C811408"/>
    <s v="BENITEZ ATENCIA JAIME RAFAEL"/>
    <x v="0"/>
    <x v="17"/>
    <s v="BBVA"/>
    <e v="#NAME?"/>
    <x v="147"/>
    <n v="0.5"/>
    <x v="0"/>
    <s v="APX"/>
    <m/>
    <e v="#NAME?"/>
    <e v="#NAME?"/>
    <e v="#NAME?"/>
    <m/>
    <m/>
    <m/>
    <m/>
    <m/>
    <m/>
  </r>
  <r>
    <s v="T005725"/>
    <s v="NARANJO WILMER FERNEY"/>
    <x v="0"/>
    <x v="17"/>
    <s v="GGI / CMC"/>
    <e v="#NAME?"/>
    <x v="147"/>
    <n v="1"/>
    <x v="0"/>
    <s v="APX"/>
    <m/>
    <e v="#NAME?"/>
    <e v="#NAME?"/>
    <e v="#NAME?"/>
    <m/>
    <m/>
    <m/>
    <m/>
    <m/>
    <m/>
  </r>
  <r>
    <s v="-"/>
    <s v="JERSON SANCHEZ"/>
    <x v="0"/>
    <x v="17"/>
    <s v="GGI / CMC"/>
    <e v="#NAME?"/>
    <x v="147"/>
    <n v="1"/>
    <x v="0"/>
    <s v="Otras Tec."/>
    <m/>
    <e v="#NAME?"/>
    <e v="#NAME?"/>
    <e v="#NAME?"/>
    <m/>
    <m/>
    <m/>
    <m/>
    <m/>
    <m/>
  </r>
  <r>
    <s v="CE58491"/>
    <s v="RICARDO AGUSTIN PACHON PIRAGAUTA"/>
    <x v="1"/>
    <x v="18"/>
    <s v="Inetum"/>
    <e v="#NAME?"/>
    <x v="148"/>
    <n v="0.5"/>
    <x v="3"/>
    <s v="Distribuido"/>
    <m/>
    <e v="#NAME?"/>
    <e v="#NAME?"/>
    <e v="#NAME?"/>
    <m/>
    <m/>
    <m/>
    <m/>
    <m/>
    <m/>
  </r>
  <r>
    <s v="O000083"/>
    <s v="Oscar Ivan Muñoz Alvarez"/>
    <x v="1"/>
    <x v="18"/>
    <s v="BBVA Fiduciaria"/>
    <e v="#NAME?"/>
    <x v="32"/>
    <n v="1"/>
    <x v="3"/>
    <s v="Distribuido"/>
    <m/>
    <e v="#NAME?"/>
    <e v="#NAME?"/>
    <e v="#NAME?"/>
    <m/>
    <m/>
    <m/>
    <m/>
    <m/>
    <m/>
  </r>
  <r>
    <s v="CI35435"/>
    <s v="Soraida Cujavante Sierra"/>
    <x v="1"/>
    <x v="18"/>
    <s v="BBVA Fiduciaria"/>
    <e v="#NAME?"/>
    <x v="3"/>
    <n v="0.75"/>
    <x v="3"/>
    <s v="Distribuido"/>
    <m/>
    <e v="#NAME?"/>
    <e v="#NAME?"/>
    <e v="#NAME?"/>
    <m/>
    <m/>
    <m/>
    <m/>
    <m/>
    <m/>
  </r>
  <r>
    <s v="CI35407"/>
    <s v="Elkin David Fuentes Rodríguez"/>
    <x v="1"/>
    <x v="18"/>
    <s v="BBVA Fiduciaria"/>
    <e v="#NAME?"/>
    <x v="3"/>
    <n v="0.75"/>
    <x v="3"/>
    <s v="Distribuido"/>
    <m/>
    <e v="#NAME?"/>
    <e v="#NAME?"/>
    <e v="#NAME?"/>
    <m/>
    <m/>
    <m/>
    <m/>
    <m/>
    <m/>
  </r>
  <r>
    <s v="CI01204"/>
    <s v="Celso Hernández Torres"/>
    <x v="1"/>
    <x v="18"/>
    <s v="BBVA Fiduciaria"/>
    <e v="#NAME?"/>
    <x v="3"/>
    <n v="0.75"/>
    <x v="1"/>
    <s v="Distribuido"/>
    <m/>
    <e v="#NAME?"/>
    <e v="#NAME?"/>
    <e v="#NAME?"/>
    <m/>
    <m/>
    <m/>
    <m/>
    <m/>
    <m/>
  </r>
  <r>
    <s v="CI01204"/>
    <s v="Celso Hernández Torres"/>
    <x v="1"/>
    <x v="18"/>
    <s v="BBVA Fiduciaria"/>
    <e v="#NAME?"/>
    <x v="149"/>
    <n v="0.25"/>
    <x v="1"/>
    <s v="Distribuido"/>
    <m/>
    <e v="#NAME?"/>
    <e v="#NAME?"/>
    <e v="#NAME?"/>
    <m/>
    <m/>
    <m/>
    <m/>
    <m/>
    <m/>
  </r>
  <r>
    <s v="CI35375"/>
    <s v="Luis Rodrigo Ulloa Marin"/>
    <x v="1"/>
    <x v="18"/>
    <s v="BBVA Fiduciaria"/>
    <e v="#NAME?"/>
    <x v="148"/>
    <n v="0.25"/>
    <x v="1"/>
    <s v="Distribuido"/>
    <m/>
    <e v="#NAME?"/>
    <e v="#NAME?"/>
    <e v="#NAME?"/>
    <m/>
    <m/>
    <m/>
    <m/>
    <m/>
    <m/>
  </r>
  <r>
    <s v="CI35375"/>
    <s v="Luis Rodrigo Ulloa Marin"/>
    <x v="1"/>
    <x v="18"/>
    <s v="BBVA Fiduciaria"/>
    <e v="#NAME?"/>
    <x v="3"/>
    <n v="0.25"/>
    <x v="1"/>
    <s v="Distribuido"/>
    <m/>
    <e v="#NAME?"/>
    <e v="#NAME?"/>
    <e v="#NAME?"/>
    <m/>
    <m/>
    <m/>
    <m/>
    <m/>
    <m/>
  </r>
  <r>
    <s v="CI35407"/>
    <s v="Elkin David Fuentes Rodríguez"/>
    <x v="1"/>
    <x v="18"/>
    <s v="BBVA Fiduciaria"/>
    <e v="#NAME?"/>
    <x v="150"/>
    <n v="0.25"/>
    <x v="3"/>
    <s v="Distribuido"/>
    <m/>
    <e v="#NAME?"/>
    <e v="#NAME?"/>
    <e v="#NAME?"/>
    <m/>
    <m/>
    <m/>
    <m/>
    <m/>
    <m/>
  </r>
  <r>
    <s v="CI35435"/>
    <s v="Soraida Cujavante Sierra"/>
    <x v="1"/>
    <x v="18"/>
    <s v="BBVA Fiduciaria"/>
    <e v="#NAME?"/>
    <x v="151"/>
    <n v="0.25"/>
    <x v="3"/>
    <s v="Distribuido"/>
    <m/>
    <e v="#NAME?"/>
    <e v="#NAME?"/>
    <e v="#NAME?"/>
    <m/>
    <m/>
    <m/>
    <m/>
    <m/>
    <m/>
  </r>
  <r>
    <s v="T011273"/>
    <s v="Brenda Liliana Sepúlveda Vega"/>
    <x v="1"/>
    <x v="18"/>
    <s v="BBVA Fiduciaria"/>
    <e v="#NAME?"/>
    <x v="151"/>
    <n v="1"/>
    <x v="3"/>
    <s v="Distribuido"/>
    <m/>
    <e v="#NAME?"/>
    <e v="#NAME?"/>
    <e v="#NAME?"/>
    <m/>
    <m/>
    <m/>
    <m/>
    <m/>
    <m/>
  </r>
  <r>
    <s v="CI35406"/>
    <s v="Jenny Martinez Lopez"/>
    <x v="1"/>
    <x v="18"/>
    <s v="BBVA Fiduciaria"/>
    <e v="#NAME?"/>
    <x v="152"/>
    <n v="0.25"/>
    <x v="1"/>
    <s v="Distribuido"/>
    <m/>
    <e v="#NAME?"/>
    <e v="#NAME?"/>
    <e v="#NAME?"/>
    <m/>
    <m/>
    <m/>
    <m/>
    <m/>
    <m/>
  </r>
  <r>
    <s v="CI35406"/>
    <s v="Jenny Martinez Lopez"/>
    <x v="1"/>
    <x v="18"/>
    <s v="BBVA Fiduciaria"/>
    <e v="#NAME?"/>
    <x v="3"/>
    <n v="0.75"/>
    <x v="3"/>
    <s v="Distribuido"/>
    <m/>
    <e v="#NAME?"/>
    <e v="#NAME?"/>
    <e v="#NAME?"/>
    <m/>
    <m/>
    <m/>
    <m/>
    <m/>
    <m/>
  </r>
  <r>
    <s v="CI35202"/>
    <s v="Hugo Ferney Prieto Posso"/>
    <x v="1"/>
    <x v="18"/>
    <s v="BBVA Fiduciaria"/>
    <e v="#NAME?"/>
    <x v="3"/>
    <n v="1"/>
    <x v="3"/>
    <s v="Distribuido"/>
    <m/>
    <e v="#NAME?"/>
    <e v="#NAME?"/>
    <e v="#NAME?"/>
    <m/>
    <m/>
    <m/>
    <m/>
    <m/>
    <m/>
  </r>
  <r>
    <s v="CI35375"/>
    <s v="Luis Rodrigo Ulloa Marin"/>
    <x v="1"/>
    <x v="18"/>
    <s v="BBVA Fiduciaria"/>
    <e v="#NAME?"/>
    <x v="153"/>
    <n v="0.16"/>
    <x v="1"/>
    <s v="Distribuido"/>
    <m/>
    <e v="#NAME?"/>
    <e v="#NAME?"/>
    <e v="#NAME?"/>
    <m/>
    <m/>
    <m/>
    <m/>
    <m/>
    <m/>
  </r>
  <r>
    <s v="CE68033"/>
    <s v="Donoban Ricardo Figueredo Piragauta"/>
    <x v="1"/>
    <x v="18"/>
    <s v="BBVA Fiduciaria"/>
    <e v="#NAME?"/>
    <x v="3"/>
    <n v="1"/>
    <x v="2"/>
    <s v="Distribuido"/>
    <m/>
    <e v="#NAME?"/>
    <e v="#NAME?"/>
    <e v="#NAME?"/>
    <m/>
    <m/>
    <m/>
    <m/>
    <m/>
    <m/>
  </r>
  <r>
    <s v="CE58491"/>
    <s v="RICARDO AGUSTIN PACHON PIRAGAUTA"/>
    <x v="1"/>
    <x v="18"/>
    <s v="Inetum"/>
    <e v="#NAME?"/>
    <x v="3"/>
    <n v="0.5"/>
    <x v="3"/>
    <m/>
    <m/>
    <e v="#NAME?"/>
    <e v="#NAME?"/>
    <e v="#NAME?"/>
    <m/>
    <m/>
    <m/>
    <m/>
    <m/>
    <m/>
  </r>
  <r>
    <s v="O001341"/>
    <s v="JOHN FREDDY JIMENEZ"/>
    <x v="5"/>
    <x v="19"/>
    <s v="BBVA"/>
    <e v="#NAME?"/>
    <x v="154"/>
    <n v="0.25"/>
    <x v="1"/>
    <s v="Mainframe"/>
    <s v="BlueSpring"/>
    <e v="#NAME?"/>
    <e v="#NAME?"/>
    <e v="#NAME?"/>
    <m/>
    <m/>
    <m/>
    <n v="3"/>
    <n v="15"/>
    <m/>
  </r>
  <r>
    <s v="O001341"/>
    <s v="JOHN FREDDY JIMENEZ"/>
    <x v="5"/>
    <x v="19"/>
    <s v="BBVA"/>
    <e v="#NAME?"/>
    <x v="155"/>
    <n v="0.3"/>
    <x v="1"/>
    <s v="Cells"/>
    <s v="ASO , APX"/>
    <e v="#NAME?"/>
    <e v="#NAME?"/>
    <e v="#NAME?"/>
    <m/>
    <m/>
    <m/>
    <n v="3"/>
    <n v="11"/>
    <m/>
  </r>
  <r>
    <s v="O001341"/>
    <s v="JOHN FREDDY JIMENEZ"/>
    <x v="5"/>
    <x v="19"/>
    <s v="BBVA"/>
    <e v="#NAME?"/>
    <x v="156"/>
    <n v="0.3"/>
    <x v="1"/>
    <s v="Cells"/>
    <s v="ASO , APX"/>
    <e v="#NAME?"/>
    <e v="#NAME?"/>
    <e v="#NAME?"/>
    <m/>
    <m/>
    <m/>
    <n v="1"/>
    <n v="12"/>
    <m/>
  </r>
  <r>
    <s v="O001341"/>
    <s v="JOHN FREDDY JIMENEZ"/>
    <x v="5"/>
    <x v="19"/>
    <s v="BBVA"/>
    <e v="#NAME?"/>
    <x v="3"/>
    <n v="0.1"/>
    <x v="1"/>
    <s v="Mainframe"/>
    <s v="BlueSpring"/>
    <e v="#NAME?"/>
    <e v="#NAME?"/>
    <e v="#NAME?"/>
    <m/>
    <m/>
    <m/>
    <m/>
    <m/>
    <m/>
  </r>
  <r>
    <s v="C805963"/>
    <s v="GORGETH MOSCARELLA MARTÍNEZ"/>
    <x v="5"/>
    <x v="19"/>
    <s v="BBVA"/>
    <e v="#NAME?"/>
    <x v="154"/>
    <n v="1"/>
    <x v="0"/>
    <s v="Mainframe"/>
    <m/>
    <e v="#NAME?"/>
    <e v="#NAME?"/>
    <e v="#NAME?"/>
    <m/>
    <m/>
    <m/>
    <m/>
    <m/>
    <m/>
  </r>
  <r>
    <s v="C805996"/>
    <s v="DANIEL ORLANDO GARZON"/>
    <x v="5"/>
    <x v="19"/>
    <s v="BBVA"/>
    <e v="#NAME?"/>
    <x v="155"/>
    <n v="1"/>
    <x v="0"/>
    <s v="Mainframe"/>
    <m/>
    <e v="#NAME?"/>
    <e v="#NAME?"/>
    <e v="#NAME?"/>
    <m/>
    <m/>
    <m/>
    <m/>
    <m/>
    <m/>
  </r>
  <r>
    <s v="C810813"/>
    <s v="RUBIANO MARIN WILLIAM EDUARDO"/>
    <x v="5"/>
    <x v="19"/>
    <s v="BBVA"/>
    <e v="#NAME?"/>
    <x v="154"/>
    <n v="0.8"/>
    <x v="0"/>
    <s v="ASO"/>
    <m/>
    <e v="#NAME?"/>
    <e v="#NAME?"/>
    <e v="#NAME?"/>
    <m/>
    <m/>
    <m/>
    <m/>
    <m/>
    <m/>
  </r>
  <r>
    <s v="C810813"/>
    <s v="RUBIANO MARIN WILLIAM EDUARDO"/>
    <x v="5"/>
    <x v="19"/>
    <s v="BBVA"/>
    <e v="#NAME?"/>
    <x v="3"/>
    <n v="0.2"/>
    <x v="0"/>
    <s v="ASO"/>
    <m/>
    <e v="#NAME?"/>
    <e v="#NAME?"/>
    <e v="#NAME?"/>
    <m/>
    <m/>
    <m/>
    <m/>
    <m/>
    <m/>
  </r>
  <r>
    <s v="C341736"/>
    <s v="GUEVARA CASTRO JUAN ANDRES"/>
    <x v="5"/>
    <x v="19"/>
    <s v="BBVA"/>
    <e v="#NAME?"/>
    <x v="154"/>
    <n v="0.8"/>
    <x v="0"/>
    <s v="Mainframe"/>
    <m/>
    <e v="#NAME?"/>
    <e v="#NAME?"/>
    <e v="#NAME?"/>
    <m/>
    <m/>
    <m/>
    <m/>
    <m/>
    <m/>
  </r>
  <r>
    <s v="C341736"/>
    <s v="GUEVARA CASTRO JUAN ANDRES"/>
    <x v="5"/>
    <x v="19"/>
    <s v="BBVA"/>
    <e v="#NAME?"/>
    <x v="3"/>
    <n v="0.2"/>
    <x v="0"/>
    <s v="Mainframe"/>
    <m/>
    <e v="#NAME?"/>
    <e v="#NAME?"/>
    <e v="#NAME?"/>
    <m/>
    <m/>
    <m/>
    <m/>
    <m/>
    <m/>
  </r>
  <r>
    <s v="CE69608"/>
    <s v="JULIETH ALEJANDRA BERMUDEZ BERNAL"/>
    <x v="5"/>
    <x v="19"/>
    <s v="Choucair"/>
    <e v="#NAME?"/>
    <x v="154"/>
    <n v="0.8"/>
    <x v="2"/>
    <s v="Distribuido"/>
    <m/>
    <e v="#NAME?"/>
    <e v="#NAME?"/>
    <e v="#NAME?"/>
    <m/>
    <m/>
    <m/>
    <m/>
    <m/>
    <m/>
  </r>
  <r>
    <s v="T007662"/>
    <s v="ADRIANA MARCELA RODRIGUEZ"/>
    <x v="5"/>
    <x v="19"/>
    <s v="Neoris"/>
    <e v="#NAME?"/>
    <x v="154"/>
    <n v="0.5"/>
    <x v="1"/>
    <s v="Distribuido"/>
    <m/>
    <e v="#NAME?"/>
    <e v="#NAME?"/>
    <e v="#NAME?"/>
    <m/>
    <m/>
    <m/>
    <m/>
    <m/>
    <m/>
  </r>
  <r>
    <s v="T007663"/>
    <s v="ANDRES ALBERTO SAENZ CORDERO"/>
    <x v="5"/>
    <x v="19"/>
    <s v="Neoris"/>
    <e v="#NAME?"/>
    <x v="154"/>
    <n v="1"/>
    <x v="0"/>
    <s v="Distribuido"/>
    <m/>
    <e v="#NAME?"/>
    <e v="#NAME?"/>
    <e v="#NAME?"/>
    <m/>
    <m/>
    <m/>
    <m/>
    <m/>
    <m/>
  </r>
  <r>
    <s v="CE71171"/>
    <s v="DIANA MARCELA MORENO ORTIZ"/>
    <x v="5"/>
    <x v="19"/>
    <s v="Neoris"/>
    <e v="#NAME?"/>
    <x v="154"/>
    <n v="1"/>
    <x v="0"/>
    <s v="Distribuido"/>
    <m/>
    <e v="#NAME?"/>
    <e v="#NAME?"/>
    <e v="#NAME?"/>
    <m/>
    <m/>
    <m/>
    <m/>
    <m/>
    <m/>
  </r>
  <r>
    <s v="T002801"/>
    <s v="DAVID GONZALO LARA DIAZ"/>
    <x v="5"/>
    <x v="19"/>
    <s v="Neoris"/>
    <e v="#NAME?"/>
    <x v="154"/>
    <n v="1"/>
    <x v="0"/>
    <s v="Distribuido"/>
    <m/>
    <e v="#NAME?"/>
    <e v="#NAME?"/>
    <e v="#NAME?"/>
    <m/>
    <m/>
    <m/>
    <m/>
    <m/>
    <m/>
  </r>
  <r>
    <s v="CE57066"/>
    <s v="LUIS EDIER BERMUDEZ RIOS"/>
    <x v="5"/>
    <x v="19"/>
    <s v="Neoris"/>
    <e v="#NAME?"/>
    <x v="154"/>
    <n v="1"/>
    <x v="0"/>
    <s v="Distribuido"/>
    <m/>
    <e v="#NAME?"/>
    <e v="#NAME?"/>
    <e v="#NAME?"/>
    <m/>
    <m/>
    <m/>
    <m/>
    <m/>
    <m/>
  </r>
  <r>
    <s v="T002010"/>
    <s v="SAIR GIOVANNY GARCIA BEJARANO"/>
    <x v="5"/>
    <x v="19"/>
    <s v="Neoris"/>
    <e v="#NAME?"/>
    <x v="154"/>
    <n v="1"/>
    <x v="0"/>
    <s v="Distribuido"/>
    <m/>
    <e v="#NAME?"/>
    <e v="#NAME?"/>
    <e v="#NAME?"/>
    <m/>
    <m/>
    <m/>
    <m/>
    <m/>
    <m/>
  </r>
  <r>
    <s v="NO TIENE"/>
    <s v="JAIR ERNESTO CABRA MENJURA-REEMPLAZO THALIA"/>
    <x v="5"/>
    <x v="19"/>
    <s v="Neoris"/>
    <e v="#NAME?"/>
    <x v="154"/>
    <n v="1"/>
    <x v="0"/>
    <s v="Distribuido"/>
    <m/>
    <e v="#NAME?"/>
    <e v="#NAME?"/>
    <e v="#NAME?"/>
    <m/>
    <m/>
    <m/>
    <m/>
    <m/>
    <m/>
  </r>
  <r>
    <s v="T008182"/>
    <s v="ALEXANDRA BARBARA QUINDE DIAZ"/>
    <x v="5"/>
    <x v="19"/>
    <s v="Neoris"/>
    <e v="#NAME?"/>
    <x v="154"/>
    <n v="1"/>
    <x v="0"/>
    <s v="Distribuido"/>
    <m/>
    <e v="#NAME?"/>
    <e v="#NAME?"/>
    <e v="#NAME?"/>
    <m/>
    <m/>
    <m/>
    <m/>
    <m/>
    <m/>
  </r>
  <r>
    <s v="T008150"/>
    <s v="BRIGGTTE ALMENDRA BARBOZA NIETO"/>
    <x v="5"/>
    <x v="19"/>
    <s v="Neoris"/>
    <e v="#NAME?"/>
    <x v="154"/>
    <n v="1"/>
    <x v="0"/>
    <s v="Distribuido"/>
    <m/>
    <e v="#NAME?"/>
    <e v="#NAME?"/>
    <e v="#NAME?"/>
    <m/>
    <m/>
    <m/>
    <m/>
    <m/>
    <m/>
  </r>
  <r>
    <s v="T008176"/>
    <s v="IRWIN WALTER ACOSTA CHAVARRI"/>
    <x v="5"/>
    <x v="19"/>
    <s v="Neoris"/>
    <e v="#NAME?"/>
    <x v="154"/>
    <n v="1"/>
    <x v="0"/>
    <s v="Distribuido"/>
    <m/>
    <e v="#NAME?"/>
    <e v="#NAME?"/>
    <e v="#NAME?"/>
    <m/>
    <m/>
    <m/>
    <m/>
    <m/>
    <m/>
  </r>
  <r>
    <s v="O000191"/>
    <s v="YELITZA ANDREA BOHORQUEZ BEDOYA"/>
    <x v="5"/>
    <x v="19"/>
    <s v="BBVA"/>
    <e v="#NAME?"/>
    <x v="155"/>
    <n v="1"/>
    <x v="0"/>
    <s v="Mainframe"/>
    <m/>
    <e v="#NAME?"/>
    <e v="#NAME?"/>
    <e v="#NAME?"/>
    <m/>
    <m/>
    <m/>
    <m/>
    <m/>
    <m/>
  </r>
  <r>
    <s v="O002496"/>
    <s v="JESUS HUMBERTO MORENO ROJAS"/>
    <x v="5"/>
    <x v="19"/>
    <s v="BBVA"/>
    <e v="#NAME?"/>
    <x v="155"/>
    <n v="0.95"/>
    <x v="0"/>
    <s v="Distribuido"/>
    <m/>
    <e v="#NAME?"/>
    <e v="#NAME?"/>
    <e v="#NAME?"/>
    <m/>
    <m/>
    <m/>
    <m/>
    <m/>
    <m/>
  </r>
  <r>
    <s v="CE69969"/>
    <s v="GUISELL DAYAN DIAZ BLANCO"/>
    <x v="5"/>
    <x v="19"/>
    <s v="Choucair"/>
    <e v="#NAME?"/>
    <x v="155"/>
    <n v="1"/>
    <x v="2"/>
    <s v="Distribuido"/>
    <m/>
    <e v="#NAME?"/>
    <e v="#NAME?"/>
    <e v="#NAME?"/>
    <m/>
    <m/>
    <m/>
    <m/>
    <m/>
    <m/>
  </r>
  <r>
    <s v="CE47376"/>
    <s v="RUBEN DARIO DIAZ"/>
    <x v="5"/>
    <x v="19"/>
    <s v="Neoris"/>
    <e v="#NAME?"/>
    <x v="155"/>
    <n v="1"/>
    <x v="0"/>
    <s v="Mainframe"/>
    <m/>
    <e v="#NAME?"/>
    <e v="#NAME?"/>
    <e v="#NAME?"/>
    <m/>
    <m/>
    <m/>
    <m/>
    <m/>
    <m/>
  </r>
  <r>
    <s v="CE66885"/>
    <s v="ADRIÁN RICARDO ROJAS VILLEGAS"/>
    <x v="5"/>
    <x v="19"/>
    <s v="Meraki"/>
    <e v="#NAME?"/>
    <x v="155"/>
    <n v="1"/>
    <x v="0"/>
    <s v="Mainframe"/>
    <m/>
    <e v="#NAME?"/>
    <e v="#NAME?"/>
    <e v="#NAME?"/>
    <m/>
    <m/>
    <m/>
    <m/>
    <m/>
    <m/>
  </r>
  <r>
    <s v="CE66884"/>
    <s v="FRANK NICOLAS HERRAN"/>
    <x v="5"/>
    <x v="19"/>
    <s v="Meraki"/>
    <e v="#NAME?"/>
    <x v="155"/>
    <n v="1"/>
    <x v="0"/>
    <s v="Mainframe"/>
    <m/>
    <e v="#NAME?"/>
    <e v="#NAME?"/>
    <e v="#NAME?"/>
    <m/>
    <m/>
    <m/>
    <m/>
    <m/>
    <m/>
  </r>
  <r>
    <s v="O001657"/>
    <s v="DUVAN ALEJANDRO RAMIREZ ROMERO"/>
    <x v="5"/>
    <x v="19"/>
    <s v="BBVA"/>
    <e v="#NAME?"/>
    <x v="156"/>
    <n v="1"/>
    <x v="0"/>
    <s v="ASO"/>
    <m/>
    <e v="#NAME?"/>
    <e v="#NAME?"/>
    <e v="#NAME?"/>
    <m/>
    <m/>
    <m/>
    <m/>
    <m/>
    <m/>
  </r>
  <r>
    <s v="O002419"/>
    <s v="JONATHAN GARZON PEÑA"/>
    <x v="5"/>
    <x v="19"/>
    <s v="BBVA"/>
    <e v="#NAME?"/>
    <x v="156"/>
    <n v="1"/>
    <x v="0"/>
    <s v="Distribuido"/>
    <m/>
    <e v="#NAME?"/>
    <e v="#NAME?"/>
    <e v="#NAME?"/>
    <m/>
    <m/>
    <m/>
    <m/>
    <m/>
    <m/>
  </r>
  <r>
    <s v="O001733"/>
    <s v="JUAN MANUEL FRAILE ROJAS"/>
    <x v="5"/>
    <x v="19"/>
    <s v="BBVA"/>
    <e v="#NAME?"/>
    <x v="156"/>
    <n v="1"/>
    <x v="0"/>
    <s v="Distribuido"/>
    <m/>
    <e v="#NAME?"/>
    <e v="#NAME?"/>
    <e v="#NAME?"/>
    <m/>
    <m/>
    <m/>
    <m/>
    <m/>
    <m/>
  </r>
  <r>
    <s v="CE68404"/>
    <s v="JORGE ARMANDO YANQUEN"/>
    <x v="5"/>
    <x v="19"/>
    <s v="Choucair"/>
    <e v="#NAME?"/>
    <x v="156"/>
    <n v="1"/>
    <x v="2"/>
    <s v="Otras Tec."/>
    <m/>
    <e v="#NAME?"/>
    <e v="#NAME?"/>
    <e v="#NAME?"/>
    <m/>
    <m/>
    <m/>
    <m/>
    <m/>
    <m/>
  </r>
  <r>
    <s v="O001341"/>
    <s v="JOHN FREDDY JIMENEZ"/>
    <x v="5"/>
    <x v="19"/>
    <s v="BBVA"/>
    <e v="#NAME?"/>
    <x v="86"/>
    <n v="0.05"/>
    <x v="1"/>
    <s v="Distribuido"/>
    <m/>
    <e v="#NAME?"/>
    <e v="#NAME?"/>
    <e v="#NAME?"/>
    <m/>
    <m/>
    <m/>
    <m/>
    <m/>
    <m/>
  </r>
  <r>
    <s v="CE69608"/>
    <s v="JULIETH ALEJANDRA BERMUDEZ BERNAL"/>
    <x v="5"/>
    <x v="19"/>
    <s v="Choucair"/>
    <e v="#NAME?"/>
    <x v="86"/>
    <n v="0.2"/>
    <x v="2"/>
    <s v="Distribuido"/>
    <s v="BlueSpring"/>
    <e v="#NAME?"/>
    <e v="#NAME?"/>
    <e v="#NAME?"/>
    <m/>
    <m/>
    <m/>
    <m/>
    <m/>
    <m/>
  </r>
  <r>
    <s v="O002496"/>
    <s v="JESUS HUMBERTO MORENO ROJAS"/>
    <x v="5"/>
    <x v="19"/>
    <s v="BBVA"/>
    <e v="#NAME?"/>
    <x v="86"/>
    <n v="0.05"/>
    <x v="0"/>
    <s v="Distribuido"/>
    <s v="BlueSpring"/>
    <e v="#NAME?"/>
    <e v="#NAME?"/>
    <e v="#NAME?"/>
    <m/>
    <m/>
    <m/>
    <m/>
    <m/>
    <m/>
  </r>
  <r>
    <s v="CE69858"/>
    <s v="JULIÁN DAVID CASTAÑEDA"/>
    <x v="5"/>
    <x v="19"/>
    <s v="Meraki"/>
    <e v="#NAME?"/>
    <x v="86"/>
    <n v="1"/>
    <x v="0"/>
    <s v="ASO"/>
    <s v="BlueSpring"/>
    <e v="#NAME?"/>
    <e v="#NAME?"/>
    <e v="#NAME?"/>
    <m/>
    <m/>
    <m/>
    <m/>
    <m/>
    <m/>
  </r>
  <r>
    <s v="CE52470"/>
    <s v="Diego Elejalde Cifuentes"/>
    <x v="5"/>
    <x v="19"/>
    <s v="SII"/>
    <e v="#NAME?"/>
    <x v="155"/>
    <n v="1"/>
    <x v="0"/>
    <s v="Mainframe"/>
    <m/>
    <e v="#NAME?"/>
    <e v="#NAME?"/>
    <e v="#NAME?"/>
    <m/>
    <m/>
    <m/>
    <m/>
    <m/>
    <m/>
  </r>
  <r>
    <s v="CE51863"/>
    <s v="EDNA ROCIO MONCADA"/>
    <x v="5"/>
    <x v="19"/>
    <s v="KRYPTO"/>
    <e v="#NAME?"/>
    <x v="155"/>
    <n v="0.02"/>
    <x v="2"/>
    <s v="Distribuido"/>
    <m/>
    <e v="#NAME?"/>
    <e v="#NAME?"/>
    <e v="#NAME?"/>
    <m/>
    <m/>
    <m/>
    <n v="2"/>
    <n v="2"/>
    <m/>
  </r>
  <r>
    <s v="CE51863"/>
    <s v="EDNA ROCIO MONCADA"/>
    <x v="5"/>
    <x v="19"/>
    <s v="KRYPTO"/>
    <e v="#NAME?"/>
    <x v="156"/>
    <n v="0.02"/>
    <x v="2"/>
    <s v="Distribuido"/>
    <m/>
    <e v="#NAME?"/>
    <e v="#NAME?"/>
    <e v="#NAME?"/>
    <m/>
    <m/>
    <m/>
    <n v="2"/>
    <n v="2"/>
    <m/>
  </r>
  <r>
    <s v="CE51863"/>
    <s v="EDNA ROCIO MONCADA"/>
    <x v="5"/>
    <x v="19"/>
    <s v="KRYPTO"/>
    <e v="#NAME?"/>
    <x v="154"/>
    <n v="0.02"/>
    <x v="2"/>
    <s v="Distribuido"/>
    <m/>
    <e v="#NAME?"/>
    <e v="#NAME?"/>
    <e v="#NAME?"/>
    <m/>
    <m/>
    <m/>
    <n v="2"/>
    <n v="2"/>
    <m/>
  </r>
  <r>
    <s v="CE51863"/>
    <s v="EDNA ROCIO MONCADA"/>
    <x v="5"/>
    <x v="19"/>
    <s v="KRYPTO"/>
    <e v="#NAME?"/>
    <x v="3"/>
    <n v="0.02"/>
    <x v="2"/>
    <s v="Distribuido"/>
    <m/>
    <e v="#NAME?"/>
    <e v="#NAME?"/>
    <e v="#NAME?"/>
    <m/>
    <m/>
    <m/>
    <n v="2"/>
    <n v="2"/>
    <m/>
  </r>
  <r>
    <s v="CE51863"/>
    <s v="EDNA ROCIO MONCADA"/>
    <x v="5"/>
    <x v="20"/>
    <s v="KRYPTO"/>
    <e v="#NAME?"/>
    <x v="3"/>
    <n v="0.02"/>
    <x v="2"/>
    <s v="Distribuido"/>
    <m/>
    <e v="#NAME?"/>
    <e v="#NAME?"/>
    <e v="#NAME?"/>
    <m/>
    <m/>
    <m/>
    <n v="2"/>
    <n v="2"/>
    <m/>
  </r>
  <r>
    <s v="CE51863"/>
    <s v="EDNA ROCIO MONCADA"/>
    <x v="5"/>
    <x v="20"/>
    <s v="KRYPTO"/>
    <e v="#NAME?"/>
    <x v="146"/>
    <n v="0.02"/>
    <x v="2"/>
    <s v="Otras Tec."/>
    <m/>
    <e v="#NAME?"/>
    <e v="#NAME?"/>
    <e v="#NAME?"/>
    <m/>
    <m/>
    <m/>
    <n v="1"/>
    <n v="1"/>
    <m/>
  </r>
  <r>
    <s v="CE51863"/>
    <s v="EDNA ROCIO MONCADA"/>
    <x v="5"/>
    <x v="20"/>
    <s v="KRYPTO"/>
    <e v="#NAME?"/>
    <x v="157"/>
    <n v="0.02"/>
    <x v="2"/>
    <s v="Otras Tec."/>
    <m/>
    <e v="#NAME?"/>
    <e v="#NAME?"/>
    <e v="#NAME?"/>
    <m/>
    <m/>
    <m/>
    <n v="1"/>
    <n v="1"/>
    <m/>
  </r>
  <r>
    <s v="CE51863"/>
    <s v="EDNA ROCIO MONCADA"/>
    <x v="5"/>
    <x v="20"/>
    <s v="KRYPTO"/>
    <e v="#NAME?"/>
    <x v="19"/>
    <n v="0.02"/>
    <x v="2"/>
    <s v="Otras Tec."/>
    <m/>
    <e v="#NAME?"/>
    <e v="#NAME?"/>
    <e v="#NAME?"/>
    <m/>
    <m/>
    <m/>
    <m/>
    <m/>
    <m/>
  </r>
  <r>
    <s v="CE54839"/>
    <s v="CARLOSFERNANDO SUAREZ"/>
    <x v="5"/>
    <x v="20"/>
    <s v="Inetum"/>
    <e v="#NAME?"/>
    <x v="3"/>
    <n v="0.5"/>
    <x v="2"/>
    <s v="Otras Tec."/>
    <m/>
    <e v="#NAME?"/>
    <e v="#NAME?"/>
    <e v="#NAME?"/>
    <m/>
    <m/>
    <m/>
    <m/>
    <m/>
    <m/>
  </r>
  <r>
    <s v="CE52336"/>
    <s v="Cely Gutierrez Anderson Sneider"/>
    <x v="5"/>
    <x v="20"/>
    <s v="Inetum"/>
    <e v="#NAME?"/>
    <x v="3"/>
    <n v="1"/>
    <x v="0"/>
    <s v="Distribuido"/>
    <m/>
    <e v="#NAME?"/>
    <e v="#NAME?"/>
    <e v="#NAME?"/>
    <m/>
    <m/>
    <m/>
    <m/>
    <m/>
    <m/>
  </r>
  <r>
    <s v="C805453"/>
    <s v="Cuervo Duran Francisco Hernan"/>
    <x v="5"/>
    <x v="20"/>
    <s v="BBVA"/>
    <e v="#NAME?"/>
    <x v="19"/>
    <n v="0.4"/>
    <x v="0"/>
    <s v="Otras Tec."/>
    <m/>
    <e v="#NAME?"/>
    <e v="#NAME?"/>
    <e v="#NAME?"/>
    <m/>
    <m/>
    <m/>
    <m/>
    <m/>
    <m/>
  </r>
  <r>
    <s v="T002003"/>
    <s v="DIEGO ALEJANDRO ASTAZIA"/>
    <x v="5"/>
    <x v="20"/>
    <s v="Choucair"/>
    <e v="#NAME?"/>
    <x v="19"/>
    <n v="0.5"/>
    <x v="2"/>
    <s v="Otras Tec."/>
    <m/>
    <e v="#NAME?"/>
    <e v="#NAME?"/>
    <e v="#NAME?"/>
    <m/>
    <m/>
    <m/>
    <m/>
    <m/>
    <m/>
  </r>
  <r>
    <s v="T002003"/>
    <s v="DIEGO ALEJANDRO ASTAZIA"/>
    <x v="5"/>
    <x v="20"/>
    <s v="Choucair"/>
    <e v="#NAME?"/>
    <x v="3"/>
    <n v="0.5"/>
    <x v="2"/>
    <s v="Distribuido"/>
    <m/>
    <e v="#NAME?"/>
    <e v="#NAME?"/>
    <e v="#NAME?"/>
    <m/>
    <m/>
    <m/>
    <m/>
    <m/>
    <m/>
  </r>
  <r>
    <s v="O001338"/>
    <s v="DIVER ANDREY SUATERNA"/>
    <x v="5"/>
    <x v="20"/>
    <s v="BBVA"/>
    <e v="#NAME?"/>
    <x v="157"/>
    <n v="1"/>
    <x v="0"/>
    <s v="ASO"/>
    <s v="apx"/>
    <e v="#NAME?"/>
    <e v="#NAME?"/>
    <e v="#NAME?"/>
    <m/>
    <m/>
    <m/>
    <m/>
    <m/>
    <m/>
  </r>
  <r>
    <s v="C811316"/>
    <s v="Gonzalez Cardenas Oscar"/>
    <x v="5"/>
    <x v="20"/>
    <s v="BBVA"/>
    <e v="#NAME?"/>
    <x v="158"/>
    <n v="0.5"/>
    <x v="0"/>
    <s v="Mainframe"/>
    <m/>
    <e v="#NAME?"/>
    <e v="#NAME?"/>
    <e v="#NAME?"/>
    <m/>
    <m/>
    <m/>
    <m/>
    <m/>
    <m/>
  </r>
  <r>
    <s v="C805978"/>
    <s v="Jimenez Garcia Ariel Andres"/>
    <x v="5"/>
    <x v="20"/>
    <s v="BBVA"/>
    <e v="#NAME?"/>
    <x v="157"/>
    <n v="1"/>
    <x v="0"/>
    <s v="Otras Tec."/>
    <m/>
    <e v="#NAME?"/>
    <e v="#NAME?"/>
    <e v="#NAME?"/>
    <m/>
    <m/>
    <m/>
    <m/>
    <m/>
    <m/>
  </r>
  <r>
    <s v="O001338"/>
    <s v="MARIAMM YULIETH ALVAREZ"/>
    <x v="5"/>
    <x v="20"/>
    <s v="BBVA"/>
    <e v="#NAME?"/>
    <x v="3"/>
    <n v="0.2"/>
    <x v="1"/>
    <s v="Otras Tec."/>
    <m/>
    <e v="#NAME?"/>
    <e v="#NAME?"/>
    <e v="#NAME?"/>
    <m/>
    <m/>
    <m/>
    <m/>
    <m/>
    <m/>
  </r>
  <r>
    <s v="O001338"/>
    <s v="MARIAMM YULIETH ALVAREZ"/>
    <x v="5"/>
    <x v="20"/>
    <s v="BBVA"/>
    <e v="#NAME?"/>
    <x v="146"/>
    <n v="0.2"/>
    <x v="1"/>
    <s v="Otras Tec."/>
    <m/>
    <e v="#NAME?"/>
    <e v="#NAME?"/>
    <e v="#NAME?"/>
    <m/>
    <m/>
    <m/>
    <m/>
    <m/>
    <m/>
  </r>
  <r>
    <s v="O001338"/>
    <s v="MARIAMM YULIETH ALVAREZ"/>
    <x v="5"/>
    <x v="20"/>
    <s v="BBVA"/>
    <e v="#NAME?"/>
    <x v="157"/>
    <n v="0.2"/>
    <x v="1"/>
    <s v="Otras Tec."/>
    <m/>
    <e v="#NAME?"/>
    <e v="#NAME?"/>
    <e v="#NAME?"/>
    <m/>
    <m/>
    <m/>
    <m/>
    <m/>
    <m/>
  </r>
  <r>
    <s v="O001338"/>
    <s v="MARIAMM YULIETH ALVAREZ"/>
    <x v="5"/>
    <x v="20"/>
    <s v="BBVA"/>
    <e v="#NAME?"/>
    <x v="20"/>
    <n v="0.05"/>
    <x v="1"/>
    <s v="Otras Tec."/>
    <m/>
    <e v="#NAME?"/>
    <e v="#NAME?"/>
    <e v="#NAME?"/>
    <m/>
    <m/>
    <m/>
    <m/>
    <m/>
    <m/>
  </r>
  <r>
    <s v="O001338"/>
    <s v="MARIAMM YULIETH ALVAREZ"/>
    <x v="5"/>
    <x v="20"/>
    <s v="BBVA"/>
    <e v="#NAME?"/>
    <x v="158"/>
    <n v="0.05"/>
    <x v="1"/>
    <s v="Otras Tec."/>
    <m/>
    <e v="#NAME?"/>
    <e v="#NAME?"/>
    <e v="#NAME?"/>
    <m/>
    <m/>
    <m/>
    <m/>
    <m/>
    <m/>
  </r>
  <r>
    <s v="O001338"/>
    <s v="MARIAMM YULIETH ALVAREZ"/>
    <x v="5"/>
    <x v="20"/>
    <s v="BBVA"/>
    <e v="#NAME?"/>
    <x v="19"/>
    <n v="0.2"/>
    <x v="1"/>
    <s v="Otras Tec."/>
    <m/>
    <e v="#NAME?"/>
    <e v="#NAME?"/>
    <e v="#NAME?"/>
    <m/>
    <m/>
    <m/>
    <m/>
    <m/>
    <m/>
  </r>
  <r>
    <s v="O001338"/>
    <s v="MARIAMM YULIETH ALVAREZ"/>
    <x v="5"/>
    <x v="20"/>
    <s v="BBVA"/>
    <e v="#NAME?"/>
    <x v="78"/>
    <n v="0.1"/>
    <x v="1"/>
    <s v="Otras Tec."/>
    <m/>
    <e v="#NAME?"/>
    <e v="#NAME?"/>
    <e v="#NAME?"/>
    <m/>
    <m/>
    <m/>
    <m/>
    <m/>
    <m/>
  </r>
  <r>
    <s v="C808471"/>
    <s v="Moreno Castellanos Omar Alfonso"/>
    <x v="5"/>
    <x v="20"/>
    <s v="BBVA"/>
    <e v="#NAME?"/>
    <x v="146"/>
    <n v="1"/>
    <x v="0"/>
    <s v="Mainframe"/>
    <m/>
    <e v="#NAME?"/>
    <e v="#NAME?"/>
    <e v="#NAME?"/>
    <m/>
    <m/>
    <m/>
    <m/>
    <m/>
    <m/>
  </r>
  <r>
    <s v="C342537"/>
    <s v="Navarro Torres Javier Dario"/>
    <x v="5"/>
    <x v="20"/>
    <s v="BBVA"/>
    <e v="#NAME?"/>
    <x v="19"/>
    <n v="0.5"/>
    <x v="0"/>
    <s v="Distribuido"/>
    <m/>
    <e v="#NAME?"/>
    <e v="#NAME?"/>
    <e v="#NAME?"/>
    <m/>
    <m/>
    <m/>
    <m/>
    <m/>
    <m/>
  </r>
  <r>
    <s v="C342537"/>
    <s v="Navarro Torres Javier Dario"/>
    <x v="5"/>
    <x v="20"/>
    <s v="BBVA"/>
    <e v="#NAME?"/>
    <x v="78"/>
    <n v="0.5"/>
    <x v="0"/>
    <s v="Distribuido"/>
    <m/>
    <e v="#NAME?"/>
    <e v="#NAME?"/>
    <e v="#NAME?"/>
    <m/>
    <m/>
    <m/>
    <m/>
    <m/>
    <m/>
  </r>
  <r>
    <s v="O002178"/>
    <s v="SAMIR DE JESUS QUICENO BERMUDEZ"/>
    <x v="5"/>
    <x v="20"/>
    <s v="BBVA"/>
    <e v="#NAME?"/>
    <x v="3"/>
    <n v="1"/>
    <x v="0"/>
    <s v="Mainframe"/>
    <m/>
    <e v="#NAME?"/>
    <e v="#NAME?"/>
    <e v="#NAME?"/>
    <m/>
    <m/>
    <m/>
    <m/>
    <m/>
    <m/>
  </r>
  <r>
    <s v="C811316"/>
    <s v="Gonzalez Cardenas Oscar"/>
    <x v="5"/>
    <x v="20"/>
    <s v="BBVA"/>
    <e v="#NAME?"/>
    <x v="3"/>
    <n v="0.5"/>
    <x v="0"/>
    <s v="Mainframe"/>
    <m/>
    <e v="#NAME?"/>
    <e v="#NAME?"/>
    <e v="#NAME?"/>
    <m/>
    <m/>
    <m/>
    <m/>
    <m/>
    <m/>
  </r>
  <r>
    <s v="C805453"/>
    <s v="Cuervo Duran Francisco Hernan"/>
    <x v="5"/>
    <x v="20"/>
    <s v="BBVA"/>
    <e v="#NAME?"/>
    <x v="20"/>
    <n v="0.5"/>
    <x v="0"/>
    <s v="Distribuido"/>
    <m/>
    <e v="#NAME?"/>
    <e v="#NAME?"/>
    <e v="#NAME?"/>
    <m/>
    <m/>
    <m/>
    <m/>
    <m/>
    <m/>
  </r>
  <r>
    <s v="C805453"/>
    <s v="Cuervo Duran Francisco Hernan"/>
    <x v="5"/>
    <x v="20"/>
    <s v="BBVA"/>
    <e v="#NAME?"/>
    <x v="3"/>
    <n v="0.1"/>
    <x v="0"/>
    <s v="Distribuido"/>
    <m/>
    <e v="#NAME?"/>
    <e v="#NAME?"/>
    <e v="#NAME?"/>
    <m/>
    <m/>
    <m/>
    <m/>
    <m/>
    <m/>
  </r>
  <r>
    <s v="CE54839"/>
    <s v="CARLOSFERNANDO SUAREZ"/>
    <x v="5"/>
    <x v="20"/>
    <s v="Inetum"/>
    <e v="#NAME?"/>
    <x v="19"/>
    <n v="0.5"/>
    <x v="2"/>
    <m/>
    <m/>
    <e v="#NAME?"/>
    <e v="#NAME?"/>
    <e v="#NAME?"/>
    <m/>
    <m/>
    <m/>
    <m/>
    <m/>
    <m/>
  </r>
  <r>
    <s v="E049846"/>
    <s v="PATRICIA ORRO"/>
    <x v="5"/>
    <x v="21"/>
    <s v="BBVA"/>
    <e v="#NAME?"/>
    <x v="159"/>
    <n v="0.2"/>
    <x v="1"/>
    <s v="Cells"/>
    <m/>
    <e v="#NAME?"/>
    <e v="#NAME?"/>
    <e v="#NAME?"/>
    <m/>
    <m/>
    <m/>
    <m/>
    <m/>
    <m/>
  </r>
  <r>
    <s v="C810952"/>
    <s v="Sebastian Ayala"/>
    <x v="5"/>
    <x v="21"/>
    <s v="BBVA"/>
    <e v="#NAME?"/>
    <x v="159"/>
    <n v="1"/>
    <x v="0"/>
    <s v="Distribuido"/>
    <m/>
    <e v="#NAME?"/>
    <e v="#NAME?"/>
    <e v="#NAME?"/>
    <m/>
    <m/>
    <m/>
    <m/>
    <m/>
    <m/>
  </r>
  <r>
    <s v="C802581"/>
    <s v="Daniel Antonio Aguilar"/>
    <x v="5"/>
    <x v="21"/>
    <s v="BBVA"/>
    <e v="#NAME?"/>
    <x v="159"/>
    <n v="0.4"/>
    <x v="0"/>
    <m/>
    <s v="Interno"/>
    <e v="#NAME?"/>
    <e v="#NAME?"/>
    <e v="#NAME?"/>
    <m/>
    <m/>
    <m/>
    <m/>
    <m/>
    <m/>
  </r>
  <r>
    <m/>
    <s v="DESARROLLADOR ASO"/>
    <x v="5"/>
    <x v="21"/>
    <s v="Accenture"/>
    <e v="#NAME?"/>
    <x v="159"/>
    <n v="1"/>
    <x v="0"/>
    <s v="ASO"/>
    <m/>
    <e v="#NAME?"/>
    <e v="#NAME?"/>
    <e v="#NAME?"/>
    <m/>
    <m/>
    <m/>
    <m/>
    <m/>
    <m/>
  </r>
  <r>
    <m/>
    <s v="DESARROLLADOR ASO"/>
    <x v="5"/>
    <x v="21"/>
    <s v="Accenture"/>
    <e v="#NAME?"/>
    <x v="159"/>
    <n v="1"/>
    <x v="0"/>
    <s v="ASO"/>
    <m/>
    <e v="#NAME?"/>
    <e v="#NAME?"/>
    <e v="#NAME?"/>
    <m/>
    <m/>
    <m/>
    <m/>
    <m/>
    <m/>
  </r>
  <r>
    <m/>
    <s v="DESARROLLADOR ASO"/>
    <x v="5"/>
    <x v="21"/>
    <s v="Accenture"/>
    <e v="#NAME?"/>
    <x v="159"/>
    <n v="1"/>
    <x v="0"/>
    <s v="ASO"/>
    <m/>
    <e v="#NAME?"/>
    <e v="#NAME?"/>
    <e v="#NAME?"/>
    <m/>
    <m/>
    <m/>
    <m/>
    <m/>
    <m/>
  </r>
  <r>
    <m/>
    <s v="DESARROLLADOR APX"/>
    <x v="5"/>
    <x v="21"/>
    <s v="Accenture"/>
    <e v="#NAME?"/>
    <x v="159"/>
    <n v="1"/>
    <x v="0"/>
    <s v="ASO"/>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APX"/>
    <x v="5"/>
    <x v="21"/>
    <s v="Accenture"/>
    <e v="#NAME?"/>
    <x v="159"/>
    <n v="0.33"/>
    <x v="0"/>
    <s v="APX"/>
    <m/>
    <e v="#NAME?"/>
    <e v="#NAME?"/>
    <e v="#NAME?"/>
    <m/>
    <m/>
    <m/>
    <m/>
    <m/>
    <m/>
  </r>
  <r>
    <s v="CE40475"/>
    <s v="NELSON FERRUCHO"/>
    <x v="5"/>
    <x v="21"/>
    <s v="SII"/>
    <e v="#NAME?"/>
    <x v="159"/>
    <n v="0.5"/>
    <x v="0"/>
    <s v="Mainframe"/>
    <m/>
    <e v="#NAME?"/>
    <e v="#NAME?"/>
    <e v="#NAME?"/>
    <m/>
    <m/>
    <m/>
    <m/>
    <m/>
    <m/>
  </r>
  <r>
    <s v="CE64988"/>
    <s v="Levi Becerra"/>
    <x v="5"/>
    <x v="21"/>
    <s v="SII"/>
    <e v="#NAME?"/>
    <x v="159"/>
    <n v="0.5"/>
    <x v="0"/>
    <m/>
    <m/>
    <e v="#NAME?"/>
    <e v="#NAME?"/>
    <e v="#NAME?"/>
    <m/>
    <m/>
    <m/>
    <m/>
    <m/>
    <m/>
  </r>
  <r>
    <m/>
    <s v="DESARROLLO HOST"/>
    <x v="5"/>
    <x v="21"/>
    <s v="Accenture"/>
    <e v="#NAME?"/>
    <x v="159"/>
    <n v="1"/>
    <x v="0"/>
    <s v="Mainframe"/>
    <m/>
    <e v="#NAME?"/>
    <e v="#NAME?"/>
    <e v="#NAME?"/>
    <m/>
    <m/>
    <m/>
    <m/>
    <m/>
    <m/>
  </r>
  <r>
    <m/>
    <s v="TESTER QA"/>
    <x v="5"/>
    <x v="21"/>
    <s v="Accenture"/>
    <e v="#NAME?"/>
    <x v="159"/>
    <n v="0.75"/>
    <x v="2"/>
    <s v="Otras Tec."/>
    <m/>
    <e v="#NAME?"/>
    <e v="#NAME?"/>
    <e v="#NAME?"/>
    <m/>
    <m/>
    <m/>
    <m/>
    <m/>
    <m/>
  </r>
  <r>
    <m/>
    <s v="TESTER QA"/>
    <x v="5"/>
    <x v="21"/>
    <s v="Accenture"/>
    <e v="#NAME?"/>
    <x v="159"/>
    <n v="0.75"/>
    <x v="2"/>
    <s v="Otras Tec."/>
    <m/>
    <e v="#NAME?"/>
    <e v="#NAME?"/>
    <e v="#NAME?"/>
    <m/>
    <m/>
    <m/>
    <m/>
    <m/>
    <m/>
  </r>
  <r>
    <m/>
    <s v="TESTER QA"/>
    <x v="5"/>
    <x v="21"/>
    <s v="Accenture"/>
    <e v="#NAME?"/>
    <x v="159"/>
    <n v="0.75"/>
    <x v="2"/>
    <s v="Otras Tec."/>
    <m/>
    <e v="#NAME?"/>
    <e v="#NAME?"/>
    <e v="#NAME?"/>
    <m/>
    <m/>
    <m/>
    <m/>
    <m/>
    <m/>
  </r>
  <r>
    <s v="C802581"/>
    <s v="Daniel Antonio Aguilar"/>
    <x v="5"/>
    <x v="21"/>
    <s v="BBVA"/>
    <e v="#NAME?"/>
    <x v="160"/>
    <n v="0.2"/>
    <x v="0"/>
    <m/>
    <s v="Interno"/>
    <e v="#NAME?"/>
    <e v="#NAME?"/>
    <e v="#NAME?"/>
    <m/>
    <m/>
    <m/>
    <m/>
    <m/>
    <m/>
  </r>
  <r>
    <s v="E049846"/>
    <s v="PATRICIA ORRO"/>
    <x v="5"/>
    <x v="21"/>
    <s v="BBVA"/>
    <e v="#NAME?"/>
    <x v="161"/>
    <n v="0.2"/>
    <x v="1"/>
    <s v="Cells"/>
    <m/>
    <e v="#NAME?"/>
    <e v="#NAME?"/>
    <e v="#NAME?"/>
    <m/>
    <m/>
    <m/>
    <m/>
    <m/>
    <m/>
  </r>
  <r>
    <m/>
    <s v="TESTER QA"/>
    <x v="5"/>
    <x v="21"/>
    <s v="Accenture"/>
    <e v="#NAME?"/>
    <x v="161"/>
    <n v="1"/>
    <x v="2"/>
    <s v="Otras Tec."/>
    <m/>
    <e v="#NAME?"/>
    <e v="#NAME?"/>
    <e v="#NAME?"/>
    <m/>
    <m/>
    <m/>
    <m/>
    <m/>
    <m/>
  </r>
  <r>
    <s v="E049846"/>
    <s v="PATRICIA ORRO"/>
    <x v="5"/>
    <x v="21"/>
    <s v="BBVA"/>
    <e v="#NAME?"/>
    <x v="162"/>
    <n v="0.2"/>
    <x v="1"/>
    <s v="Cells"/>
    <m/>
    <e v="#NAME?"/>
    <e v="#NAME?"/>
    <e v="#NAME?"/>
    <m/>
    <m/>
    <m/>
    <m/>
    <m/>
    <m/>
  </r>
  <r>
    <m/>
    <s v="DESARROLLO ASO"/>
    <x v="5"/>
    <x v="21"/>
    <s v="Accenture"/>
    <e v="#NAME?"/>
    <x v="162"/>
    <n v="1"/>
    <x v="0"/>
    <s v="ASO"/>
    <m/>
    <e v="#NAME?"/>
    <e v="#NAME?"/>
    <e v="#NAME?"/>
    <m/>
    <m/>
    <m/>
    <m/>
    <m/>
    <m/>
  </r>
  <r>
    <m/>
    <s v="DESARROLLO HOST"/>
    <x v="5"/>
    <x v="21"/>
    <s v="Accenture"/>
    <e v="#NAME?"/>
    <x v="162"/>
    <n v="1"/>
    <x v="0"/>
    <s v="Mainframe"/>
    <m/>
    <e v="#NAME?"/>
    <e v="#NAME?"/>
    <e v="#NAME?"/>
    <m/>
    <m/>
    <m/>
    <m/>
    <m/>
    <m/>
  </r>
  <r>
    <m/>
    <s v="TESTER QA"/>
    <x v="5"/>
    <x v="21"/>
    <s v="Accenture"/>
    <e v="#NAME?"/>
    <x v="162"/>
    <n v="1"/>
    <x v="2"/>
    <s v="Otras Tec."/>
    <m/>
    <e v="#NAME?"/>
    <e v="#NAME?"/>
    <e v="#NAME?"/>
    <m/>
    <m/>
    <m/>
    <m/>
    <m/>
    <m/>
  </r>
  <r>
    <s v="E049846"/>
    <s v="PATRICIA ORRO"/>
    <x v="5"/>
    <x v="21"/>
    <s v="BBVA"/>
    <e v="#NAME?"/>
    <x v="163"/>
    <n v="0.2"/>
    <x v="1"/>
    <s v="Cells"/>
    <m/>
    <e v="#NAME?"/>
    <e v="#NAME?"/>
    <e v="#NAME?"/>
    <m/>
    <m/>
    <m/>
    <m/>
    <m/>
    <m/>
  </r>
  <r>
    <s v="C803962"/>
    <s v="Esteban Linares"/>
    <x v="5"/>
    <x v="21"/>
    <s v="BBVA"/>
    <e v="#NAME?"/>
    <x v="66"/>
    <n v="0.7"/>
    <x v="1"/>
    <s v="Cells"/>
    <m/>
    <e v="#NAME?"/>
    <e v="#NAME?"/>
    <e v="#NAME?"/>
    <m/>
    <m/>
    <m/>
    <m/>
    <m/>
    <m/>
  </r>
  <r>
    <s v="C803962"/>
    <s v="Esteban Linares"/>
    <x v="5"/>
    <x v="21"/>
    <s v="BBVA"/>
    <e v="#NAME?"/>
    <x v="160"/>
    <n v="0.3"/>
    <x v="1"/>
    <s v="Cells"/>
    <m/>
    <e v="#NAME?"/>
    <e v="#NAME?"/>
    <e v="#NAME?"/>
    <m/>
    <m/>
    <m/>
    <m/>
    <m/>
    <m/>
  </r>
  <r>
    <s v="C802581"/>
    <s v="Daniel Antonio Aguilar"/>
    <x v="5"/>
    <x v="21"/>
    <s v="BBVA"/>
    <e v="#NAME?"/>
    <x v="159"/>
    <n v="0.2"/>
    <x v="0"/>
    <m/>
    <s v="Interno"/>
    <e v="#NAME?"/>
    <e v="#NAME?"/>
    <e v="#NAME?"/>
    <m/>
    <m/>
    <m/>
    <m/>
    <m/>
    <m/>
  </r>
  <r>
    <s v="E049846"/>
    <s v="PATRICIA ORRO"/>
    <x v="5"/>
    <x v="21"/>
    <s v="BBVA"/>
    <e v="#NAME?"/>
    <x v="66"/>
    <n v="0.2"/>
    <x v="0"/>
    <s v="Cells"/>
    <m/>
    <e v="#NAME?"/>
    <e v="#NAME?"/>
    <e v="#NAME?"/>
    <m/>
    <m/>
    <m/>
    <m/>
    <m/>
    <m/>
  </r>
  <r>
    <m/>
    <s v="DESARROLLADOR FRONT "/>
    <x v="5"/>
    <x v="21"/>
    <s v="Neoris"/>
    <e v="#NAME?"/>
    <x v="66"/>
    <n v="1"/>
    <x v="0"/>
    <s v="Cells"/>
    <m/>
    <e v="#NAME?"/>
    <e v="#NAME?"/>
    <e v="#NAME?"/>
    <m/>
    <m/>
    <m/>
    <m/>
    <m/>
    <m/>
  </r>
  <r>
    <m/>
    <s v="DESARROLLADOR FRONT "/>
    <x v="5"/>
    <x v="21"/>
    <s v="Neoris"/>
    <e v="#NAME?"/>
    <x v="66"/>
    <n v="1"/>
    <x v="0"/>
    <s v="Cells"/>
    <m/>
    <e v="#NAME?"/>
    <e v="#NAME?"/>
    <e v="#NAME?"/>
    <m/>
    <m/>
    <m/>
    <m/>
    <m/>
    <m/>
  </r>
  <r>
    <m/>
    <s v="TESTER QA"/>
    <x v="5"/>
    <x v="21"/>
    <s v="Accenture"/>
    <e v="#NAME?"/>
    <x v="66"/>
    <n v="1"/>
    <x v="2"/>
    <s v="Otras Tec."/>
    <m/>
    <e v="#NAME?"/>
    <e v="#NAME?"/>
    <e v="#NAME?"/>
    <m/>
    <m/>
    <m/>
    <m/>
    <m/>
    <m/>
  </r>
  <r>
    <m/>
    <s v="TESTER QA"/>
    <x v="5"/>
    <x v="21"/>
    <s v="Accenture"/>
    <e v="#NAME?"/>
    <x v="66"/>
    <n v="1"/>
    <x v="2"/>
    <s v="Otras Tec."/>
    <m/>
    <e v="#NAME?"/>
    <e v="#NAME?"/>
    <e v="#NAME?"/>
    <m/>
    <m/>
    <m/>
    <m/>
    <m/>
    <m/>
  </r>
  <r>
    <s v="C802581"/>
    <s v="Daniel Antonio Aguilar"/>
    <x v="5"/>
    <x v="21"/>
    <s v="BBVA"/>
    <e v="#NAME?"/>
    <x v="159"/>
    <n v="0.2"/>
    <x v="0"/>
    <m/>
    <s v="Interno"/>
    <e v="#NAME?"/>
    <e v="#NAME?"/>
    <e v="#NAME?"/>
    <m/>
    <m/>
    <m/>
    <m/>
    <m/>
    <m/>
  </r>
  <r>
    <m/>
    <s v="DESARROLLADOR FRONT "/>
    <x v="5"/>
    <x v="21"/>
    <s v="Neoris"/>
    <e v="#NAME?"/>
    <x v="164"/>
    <n v="1"/>
    <x v="0"/>
    <s v="Cells"/>
    <m/>
    <e v="#NAME?"/>
    <e v="#NAME?"/>
    <e v="#NAME?"/>
    <m/>
    <m/>
    <m/>
    <m/>
    <m/>
    <m/>
  </r>
  <r>
    <m/>
    <s v="DESARROLLADOR FRONT "/>
    <x v="5"/>
    <x v="21"/>
    <s v="Neoris"/>
    <e v="#NAME?"/>
    <x v="164"/>
    <n v="1"/>
    <x v="0"/>
    <s v="Cells"/>
    <m/>
    <e v="#NAME?"/>
    <e v="#NAME?"/>
    <e v="#NAME?"/>
    <m/>
    <m/>
    <m/>
    <m/>
    <m/>
    <m/>
  </r>
  <r>
    <m/>
    <s v="DESARROLLADOR ASO"/>
    <x v="5"/>
    <x v="21"/>
    <s v="Neoris"/>
    <e v="#NAME?"/>
    <x v="164"/>
    <n v="1"/>
    <x v="0"/>
    <s v="ASO"/>
    <m/>
    <e v="#NAME?"/>
    <e v="#NAME?"/>
    <e v="#NAME?"/>
    <m/>
    <m/>
    <m/>
    <m/>
    <m/>
    <m/>
  </r>
  <r>
    <m/>
    <s v="DESARROLLADOR APX"/>
    <x v="5"/>
    <x v="21"/>
    <s v="Neoris"/>
    <e v="#NAME?"/>
    <x v="164"/>
    <n v="1"/>
    <x v="0"/>
    <s v="APX"/>
    <m/>
    <e v="#NAME?"/>
    <e v="#NAME?"/>
    <e v="#NAME?"/>
    <m/>
    <m/>
    <m/>
    <m/>
    <m/>
    <m/>
  </r>
  <r>
    <m/>
    <s v="DESARROLLO HOST"/>
    <x v="5"/>
    <x v="21"/>
    <s v="Neoris"/>
    <e v="#NAME?"/>
    <x v="164"/>
    <n v="1"/>
    <x v="0"/>
    <s v="Mainframe"/>
    <m/>
    <e v="#NAME?"/>
    <e v="#NAME?"/>
    <e v="#NAME?"/>
    <m/>
    <m/>
    <m/>
    <m/>
    <m/>
    <m/>
  </r>
  <r>
    <m/>
    <s v="TESTER QA"/>
    <x v="5"/>
    <x v="21"/>
    <s v="Accenture"/>
    <e v="#NAME?"/>
    <x v="164"/>
    <n v="1"/>
    <x v="2"/>
    <s v="Otras Tec."/>
    <m/>
    <e v="#NAME?"/>
    <e v="#NAME?"/>
    <e v="#NAME?"/>
    <m/>
    <m/>
    <m/>
    <m/>
    <m/>
    <m/>
  </r>
  <r>
    <s v="C803799"/>
    <s v="ANDRES FELIPE CASTAÑEDA"/>
    <x v="5"/>
    <x v="21"/>
    <s v="BBVA"/>
    <e v="#NAME?"/>
    <x v="3"/>
    <n v="1"/>
    <x v="1"/>
    <s v="Cells"/>
    <m/>
    <e v="#NAME?"/>
    <e v="#NAME?"/>
    <e v="#NAME?"/>
    <m/>
    <m/>
    <m/>
    <m/>
    <m/>
    <m/>
  </r>
  <r>
    <s v="C805723"/>
    <s v="JUAN CAMILO JAIMES"/>
    <x v="5"/>
    <x v="21"/>
    <s v="BBVA"/>
    <e v="#NAME?"/>
    <x v="3"/>
    <n v="1"/>
    <x v="0"/>
    <s v="Cells"/>
    <m/>
    <e v="#NAME?"/>
    <e v="#NAME?"/>
    <e v="#NAME?"/>
    <m/>
    <m/>
    <m/>
    <m/>
    <m/>
    <m/>
  </r>
  <r>
    <s v="C805720"/>
    <s v="SANDRA REDONDO"/>
    <x v="5"/>
    <x v="21"/>
    <s v="BBVA"/>
    <e v="#NAME?"/>
    <x v="3"/>
    <n v="1"/>
    <x v="0"/>
    <s v="Cells"/>
    <m/>
    <e v="#NAME?"/>
    <e v="#NAME?"/>
    <e v="#NAME?"/>
    <m/>
    <m/>
    <m/>
    <m/>
    <m/>
    <m/>
  </r>
  <r>
    <s v="C810664"/>
    <s v="JONATHAN MARCELL GUTIERREZ RIAÑO"/>
    <x v="5"/>
    <x v="21"/>
    <s v="BBVA"/>
    <e v="#NAME?"/>
    <x v="3"/>
    <n v="1"/>
    <x v="0"/>
    <s v="APX"/>
    <m/>
    <e v="#NAME?"/>
    <e v="#NAME?"/>
    <e v="#NAME?"/>
    <m/>
    <m/>
    <m/>
    <m/>
    <m/>
    <m/>
  </r>
  <r>
    <s v="C805983"/>
    <s v="LUBER FANDIÑO"/>
    <x v="5"/>
    <x v="21"/>
    <s v="BBVA"/>
    <e v="#NAME?"/>
    <x v="3"/>
    <n v="1"/>
    <x v="0"/>
    <s v="Cells"/>
    <m/>
    <e v="#NAME?"/>
    <e v="#NAME?"/>
    <e v="#NAME?"/>
    <m/>
    <m/>
    <m/>
    <m/>
    <m/>
    <m/>
  </r>
  <r>
    <s v="C805933"/>
    <s v="Brayan Peña"/>
    <x v="5"/>
    <x v="21"/>
    <s v="BBVA"/>
    <e v="#NAME?"/>
    <x v="3"/>
    <n v="1"/>
    <x v="0"/>
    <s v="Cells"/>
    <m/>
    <e v="#NAME?"/>
    <e v="#NAME?"/>
    <e v="#NAME?"/>
    <m/>
    <m/>
    <m/>
    <m/>
    <m/>
    <m/>
  </r>
  <r>
    <s v="C809565"/>
    <s v="JOAN CHIVATA"/>
    <x v="5"/>
    <x v="21"/>
    <s v="BBVA"/>
    <e v="#NAME?"/>
    <x v="3"/>
    <n v="1"/>
    <x v="0"/>
    <s v="Cells"/>
    <m/>
    <e v="#NAME?"/>
    <e v="#NAME?"/>
    <e v="#NAME?"/>
    <m/>
    <m/>
    <m/>
    <m/>
    <m/>
    <m/>
  </r>
  <r>
    <s v="T004259"/>
    <s v="FAIBER RUEDA"/>
    <x v="5"/>
    <x v="21"/>
    <s v="Accenture"/>
    <e v="#NAME?"/>
    <x v="3"/>
    <n v="1"/>
    <x v="0"/>
    <s v="Cells"/>
    <m/>
    <e v="#NAME?"/>
    <e v="#NAME?"/>
    <e v="#NAME?"/>
    <m/>
    <m/>
    <m/>
    <m/>
    <m/>
    <m/>
  </r>
  <r>
    <s v="T004336"/>
    <s v="JUAN ROMERO"/>
    <x v="5"/>
    <x v="21"/>
    <s v="Accenture"/>
    <e v="#NAME?"/>
    <x v="3"/>
    <n v="1"/>
    <x v="0"/>
    <s v="Cells"/>
    <m/>
    <e v="#NAME?"/>
    <e v="#NAME?"/>
    <e v="#NAME?"/>
    <m/>
    <m/>
    <m/>
    <m/>
    <m/>
    <m/>
  </r>
  <r>
    <s v="CE69641"/>
    <s v="KEVIN SARMIENTO"/>
    <x v="5"/>
    <x v="21"/>
    <s v="Accenture"/>
    <e v="#NAME?"/>
    <x v="3"/>
    <n v="1"/>
    <x v="0"/>
    <s v="Cells"/>
    <m/>
    <e v="#NAME?"/>
    <e v="#NAME?"/>
    <e v="#NAME?"/>
    <m/>
    <m/>
    <m/>
    <m/>
    <m/>
    <m/>
  </r>
  <r>
    <m/>
    <s v="TBD - ANS"/>
    <x v="5"/>
    <x v="21"/>
    <s v="Accenture"/>
    <e v="#NAME?"/>
    <x v="3"/>
    <n v="1"/>
    <x v="0"/>
    <s v="Cells"/>
    <m/>
    <e v="#NAME?"/>
    <e v="#NAME?"/>
    <e v="#NAME?"/>
    <m/>
    <m/>
    <m/>
    <m/>
    <m/>
    <m/>
  </r>
  <r>
    <s v="T006642"/>
    <s v="CRISTIAN DAZA"/>
    <x v="5"/>
    <x v="21"/>
    <s v="Neoris"/>
    <e v="#NAME?"/>
    <x v="3"/>
    <n v="1"/>
    <x v="0"/>
    <s v="Cells"/>
    <m/>
    <e v="#NAME?"/>
    <e v="#NAME?"/>
    <e v="#NAME?"/>
    <m/>
    <m/>
    <m/>
    <m/>
    <m/>
    <m/>
  </r>
  <r>
    <s v="T006699"/>
    <s v="JUAN DUQUE"/>
    <x v="5"/>
    <x v="21"/>
    <s v="Neoris"/>
    <e v="#NAME?"/>
    <x v="3"/>
    <n v="1"/>
    <x v="0"/>
    <s v="Cells"/>
    <m/>
    <e v="#NAME?"/>
    <e v="#NAME?"/>
    <e v="#NAME?"/>
    <m/>
    <m/>
    <m/>
    <m/>
    <m/>
    <m/>
  </r>
  <r>
    <s v="T001732"/>
    <s v="Alejandro Cano"/>
    <x v="5"/>
    <x v="21"/>
    <s v="Indra"/>
    <e v="#NAME?"/>
    <x v="3"/>
    <n v="1"/>
    <x v="3"/>
    <s v="Cells"/>
    <m/>
    <e v="#NAME?"/>
    <e v="#NAME?"/>
    <e v="#NAME?"/>
    <m/>
    <m/>
    <m/>
    <m/>
    <m/>
    <m/>
  </r>
  <r>
    <s v="T006644"/>
    <s v="Rafael Bonet"/>
    <x v="5"/>
    <x v="21"/>
    <s v="Neoris"/>
    <e v="#NAME?"/>
    <x v="3"/>
    <n v="1"/>
    <x v="3"/>
    <s v="Otras Tec."/>
    <m/>
    <e v="#NAME?"/>
    <e v="#NAME?"/>
    <e v="#NAME?"/>
    <m/>
    <m/>
    <m/>
    <m/>
    <m/>
    <m/>
  </r>
  <r>
    <s v="T006637"/>
    <s v="Jhonathan Medina"/>
    <x v="5"/>
    <x v="21"/>
    <s v="Neoris"/>
    <e v="#NAME?"/>
    <x v="3"/>
    <n v="1"/>
    <x v="3"/>
    <s v="Otras Tec."/>
    <m/>
    <e v="#NAME?"/>
    <e v="#NAME?"/>
    <e v="#NAME?"/>
    <m/>
    <m/>
    <m/>
    <m/>
    <m/>
    <m/>
  </r>
  <r>
    <s v="T001731"/>
    <s v="John Zamora"/>
    <x v="5"/>
    <x v="21"/>
    <s v="Indra"/>
    <e v="#NAME?"/>
    <x v="3"/>
    <n v="1"/>
    <x v="3"/>
    <s v="Cells"/>
    <m/>
    <e v="#NAME?"/>
    <e v="#NAME?"/>
    <e v="#NAME?"/>
    <m/>
    <m/>
    <m/>
    <m/>
    <m/>
    <m/>
  </r>
  <r>
    <s v="CE67183"/>
    <s v="ALEXIS A GONZALEZ LANCHEROS"/>
    <x v="5"/>
    <x v="22"/>
    <s v="Choucair"/>
    <e v="#NAME?"/>
    <x v="165"/>
    <n v="0.2"/>
    <x v="2"/>
    <s v="Otras Tec."/>
    <m/>
    <e v="#NAME?"/>
    <e v="#NAME?"/>
    <e v="#NAME?"/>
    <m/>
    <m/>
    <m/>
    <m/>
    <m/>
    <m/>
  </r>
  <r>
    <s v="CE67183"/>
    <s v="ALEXIS A GONZALEZ LANCHEROS"/>
    <x v="5"/>
    <x v="22"/>
    <s v="Choucair"/>
    <e v="#NAME?"/>
    <x v="166"/>
    <n v="0.4"/>
    <x v="2"/>
    <s v="Otras Tec."/>
    <m/>
    <e v="#NAME?"/>
    <e v="#NAME?"/>
    <e v="#NAME?"/>
    <m/>
    <m/>
    <m/>
    <m/>
    <m/>
    <m/>
  </r>
  <r>
    <s v="CE67183"/>
    <s v="ALEXIS A GONZALEZ LANCHEROS"/>
    <x v="5"/>
    <x v="22"/>
    <s v="Choucair"/>
    <e v="#NAME?"/>
    <x v="167"/>
    <n v="0.4"/>
    <x v="2"/>
    <s v="Otras Tec."/>
    <m/>
    <e v="#NAME?"/>
    <e v="#NAME?"/>
    <e v="#NAME?"/>
    <m/>
    <m/>
    <m/>
    <m/>
    <m/>
    <m/>
  </r>
  <r>
    <s v="C804644"/>
    <s v="ANDRES FELIPE CALDERÓN NOVOA"/>
    <x v="5"/>
    <x v="23"/>
    <s v="BBVA"/>
    <e v="#NAME?"/>
    <x v="168"/>
    <n v="0.5"/>
    <x v="0"/>
    <s v="ASO"/>
    <m/>
    <e v="#NAME?"/>
    <e v="#NAME?"/>
    <e v="#NAME?"/>
    <m/>
    <m/>
    <m/>
    <m/>
    <m/>
    <m/>
  </r>
  <r>
    <s v="C804644"/>
    <s v="ANDRES FELIPE CALDERÓN NOVOA"/>
    <x v="5"/>
    <x v="23"/>
    <s v="BBVA"/>
    <e v="#NAME?"/>
    <x v="169"/>
    <n v="0.5"/>
    <x v="0"/>
    <s v="ASO"/>
    <m/>
    <e v="#NAME?"/>
    <e v="#NAME?"/>
    <e v="#NAME?"/>
    <m/>
    <m/>
    <m/>
    <m/>
    <m/>
    <m/>
  </r>
  <r>
    <s v="CE60329"/>
    <s v="ANDRÉS FELIPE MORA SANTANA"/>
    <x v="5"/>
    <x v="24"/>
    <s v="Novatec"/>
    <e v="#NAME?"/>
    <x v="170"/>
    <n v="1"/>
    <x v="0"/>
    <s v="Cells"/>
    <m/>
    <e v="#NAME?"/>
    <e v="#NAME?"/>
    <e v="#NAME?"/>
    <m/>
    <m/>
    <m/>
    <m/>
    <m/>
    <m/>
  </r>
  <r>
    <s v="C804832"/>
    <s v="ANTONY SUICA CUARTAS"/>
    <x v="5"/>
    <x v="23"/>
    <s v="BBVA"/>
    <e v="#NAME?"/>
    <x v="169"/>
    <n v="0.05"/>
    <x v="0"/>
    <s v="ASO"/>
    <m/>
    <e v="#NAME?"/>
    <e v="#NAME?"/>
    <e v="#NAME?"/>
    <m/>
    <m/>
    <m/>
    <m/>
    <m/>
    <m/>
  </r>
  <r>
    <s v="C804832"/>
    <s v="ANTONY SUICA CUARTAS"/>
    <x v="5"/>
    <x v="23"/>
    <s v="BBVA"/>
    <e v="#NAME?"/>
    <x v="168"/>
    <n v="0.8"/>
    <x v="0"/>
    <s v="Distribuido"/>
    <s v="SW JAM"/>
    <e v="#NAME?"/>
    <e v="#NAME?"/>
    <e v="#NAME?"/>
    <m/>
    <m/>
    <m/>
    <m/>
    <m/>
    <m/>
  </r>
  <r>
    <s v="C804832"/>
    <s v="ANTONY SUICA CUARTAS"/>
    <x v="5"/>
    <x v="23"/>
    <s v="BBVA"/>
    <e v="#NAME?"/>
    <x v="3"/>
    <n v="0.15"/>
    <x v="0"/>
    <s v="Distribuido"/>
    <s v="SW JAM, ASO, COBOL"/>
    <e v="#NAME?"/>
    <e v="#NAME?"/>
    <e v="#NAME?"/>
    <m/>
    <m/>
    <m/>
    <m/>
    <m/>
    <m/>
  </r>
  <r>
    <s v="O002934"/>
    <s v="BRIAN MAURICIO TEJEDOR VARGAS"/>
    <x v="5"/>
    <x v="25"/>
    <s v="BBVA"/>
    <e v="#NAME?"/>
    <x v="3"/>
    <n v="0.6"/>
    <x v="0"/>
    <s v="Distribuido"/>
    <s v="RPA Blue Prims"/>
    <e v="#NAME?"/>
    <e v="#NAME?"/>
    <e v="#NAME?"/>
    <m/>
    <m/>
    <m/>
    <m/>
    <m/>
    <m/>
  </r>
  <r>
    <s v="O002934"/>
    <s v="BRIAN MAURICIO TEJEDOR VARGAS"/>
    <x v="5"/>
    <x v="25"/>
    <s v="BBVA"/>
    <e v="#NAME?"/>
    <x v="61"/>
    <n v="0.4"/>
    <x v="0"/>
    <s v="Distribuido"/>
    <s v="RPA Blue Prims"/>
    <e v="#NAME?"/>
    <e v="#NAME?"/>
    <e v="#NAME?"/>
    <m/>
    <m/>
    <m/>
    <m/>
    <m/>
    <m/>
  </r>
  <r>
    <s v="CE51863"/>
    <s v="EDNA ROCIO MONCADA"/>
    <x v="5"/>
    <x v="23"/>
    <s v="KRYPTO"/>
    <e v="#NAME?"/>
    <x v="3"/>
    <n v="0.02"/>
    <x v="2"/>
    <s v="Otras Tec."/>
    <m/>
    <e v="#NAME?"/>
    <e v="#NAME?"/>
    <e v="#NAME?"/>
    <m/>
    <m/>
    <m/>
    <m/>
    <m/>
    <m/>
  </r>
  <r>
    <s v="CE51863"/>
    <s v="EDNA ROCIO MONCADA"/>
    <x v="5"/>
    <x v="22"/>
    <s v="KRYPTO"/>
    <e v="#NAME?"/>
    <x v="3"/>
    <n v="0.02"/>
    <x v="2"/>
    <s v="Otras Tec."/>
    <m/>
    <e v="#NAME?"/>
    <e v="#NAME?"/>
    <e v="#NAME?"/>
    <m/>
    <m/>
    <m/>
    <m/>
    <m/>
    <m/>
  </r>
  <r>
    <s v="CE51863"/>
    <s v="EDNA ROCIO MONCADA"/>
    <x v="5"/>
    <x v="25"/>
    <s v="KRYPTO"/>
    <e v="#NAME?"/>
    <x v="3"/>
    <n v="0.02"/>
    <x v="2"/>
    <s v="Otras Tec."/>
    <m/>
    <e v="#NAME?"/>
    <e v="#NAME?"/>
    <e v="#NAME?"/>
    <m/>
    <m/>
    <m/>
    <m/>
    <m/>
    <m/>
  </r>
  <r>
    <s v="CE51863"/>
    <s v="EDNA ROCIO MONCADA"/>
    <x v="5"/>
    <x v="24"/>
    <s v="KRYPTO"/>
    <e v="#NAME?"/>
    <x v="3"/>
    <n v="0.02"/>
    <x v="2"/>
    <s v="Otras Tec."/>
    <m/>
    <e v="#NAME?"/>
    <e v="#NAME?"/>
    <e v="#NAME?"/>
    <m/>
    <m/>
    <m/>
    <m/>
    <m/>
    <m/>
  </r>
  <r>
    <s v="CE51863"/>
    <s v="EDNA ROCIO MONCADA"/>
    <x v="5"/>
    <x v="23"/>
    <s v="KRYPTO"/>
    <e v="#NAME?"/>
    <x v="171"/>
    <n v="0.02"/>
    <x v="2"/>
    <s v="Otras Tec."/>
    <m/>
    <e v="#NAME?"/>
    <e v="#NAME?"/>
    <e v="#NAME?"/>
    <m/>
    <m/>
    <m/>
    <m/>
    <m/>
    <m/>
  </r>
  <r>
    <s v="CE51863"/>
    <s v="EDNA ROCIO MONCADA"/>
    <x v="5"/>
    <x v="23"/>
    <s v="KRYPTO"/>
    <e v="#NAME?"/>
    <x v="172"/>
    <n v="0.02"/>
    <x v="2"/>
    <s v="Otras Tec."/>
    <m/>
    <e v="#NAME?"/>
    <e v="#NAME?"/>
    <e v="#NAME?"/>
    <m/>
    <m/>
    <m/>
    <m/>
    <m/>
    <m/>
  </r>
  <r>
    <s v="CE51863"/>
    <s v="EDNA ROCIO MONCADA"/>
    <x v="5"/>
    <x v="24"/>
    <s v="KRYPTO"/>
    <e v="#NAME?"/>
    <x v="173"/>
    <n v="0.02"/>
    <x v="2"/>
    <s v="Otras Tec."/>
    <m/>
    <e v="#NAME?"/>
    <e v="#NAME?"/>
    <e v="#NAME?"/>
    <m/>
    <m/>
    <m/>
    <m/>
    <m/>
    <m/>
  </r>
  <r>
    <s v="CE51863"/>
    <s v="EDNA ROCIO MONCADA"/>
    <x v="5"/>
    <x v="24"/>
    <s v="KRYPTO"/>
    <e v="#NAME?"/>
    <x v="170"/>
    <n v="0.02"/>
    <x v="2"/>
    <s v="Otras Tec."/>
    <m/>
    <e v="#NAME?"/>
    <e v="#NAME?"/>
    <e v="#NAME?"/>
    <m/>
    <m/>
    <m/>
    <m/>
    <m/>
    <m/>
  </r>
  <r>
    <s v="CE51863"/>
    <s v="EDNA ROCIO MONCADA"/>
    <x v="5"/>
    <x v="22"/>
    <s v="KRYPTO"/>
    <e v="#NAME?"/>
    <x v="169"/>
    <n v="0.02"/>
    <x v="2"/>
    <s v="Otras Tec."/>
    <m/>
    <e v="#NAME?"/>
    <e v="#NAME?"/>
    <e v="#NAME?"/>
    <m/>
    <m/>
    <m/>
    <m/>
    <m/>
    <m/>
  </r>
  <r>
    <s v="CE51863"/>
    <s v="EDNA ROCIO MONCADA"/>
    <x v="5"/>
    <x v="22"/>
    <s v="KRYPTO"/>
    <e v="#NAME?"/>
    <x v="166"/>
    <n v="0.02"/>
    <x v="2"/>
    <s v="Otras Tec."/>
    <m/>
    <e v="#NAME?"/>
    <e v="#NAME?"/>
    <e v="#NAME?"/>
    <m/>
    <m/>
    <m/>
    <m/>
    <m/>
    <m/>
  </r>
  <r>
    <s v="CE51863"/>
    <s v="EDNA ROCIO MONCADA"/>
    <x v="5"/>
    <x v="22"/>
    <s v="KRYPTO"/>
    <e v="#NAME?"/>
    <x v="167"/>
    <n v="0.02"/>
    <x v="2"/>
    <s v="Otras Tec."/>
    <m/>
    <e v="#NAME?"/>
    <e v="#NAME?"/>
    <e v="#NAME?"/>
    <m/>
    <m/>
    <m/>
    <m/>
    <m/>
    <m/>
  </r>
  <r>
    <s v="CE51863"/>
    <s v="EDNA ROCIO MONCADA"/>
    <x v="5"/>
    <x v="22"/>
    <s v="KRYPTO"/>
    <e v="#NAME?"/>
    <x v="165"/>
    <n v="0.02"/>
    <x v="2"/>
    <s v="Otras Tec."/>
    <m/>
    <e v="#NAME?"/>
    <e v="#NAME?"/>
    <e v="#NAME?"/>
    <m/>
    <m/>
    <m/>
    <m/>
    <m/>
    <m/>
  </r>
  <r>
    <s v="C811170"/>
    <s v="CRISTIAN ANDREY ANTOLINEZ BOHORQUEZ"/>
    <x v="5"/>
    <x v="24"/>
    <s v="BBVA"/>
    <e v="#NAME?"/>
    <x v="173"/>
    <n v="1"/>
    <x v="0"/>
    <s v="Distribuido"/>
    <s v="SW Genesys"/>
    <e v="#NAME?"/>
    <e v="#NAME?"/>
    <e v="#NAME?"/>
    <m/>
    <m/>
    <m/>
    <m/>
    <m/>
    <m/>
  </r>
  <r>
    <s v="O003245"/>
    <s v="CRISTIAN RENE MENDEZ"/>
    <x v="5"/>
    <x v="23"/>
    <s v="BBVA"/>
    <e v="#NAME?"/>
    <x v="3"/>
    <n v="0.7"/>
    <x v="1"/>
    <s v="Otras Tec."/>
    <m/>
    <e v="#NAME?"/>
    <e v="#NAME?"/>
    <e v="#NAME?"/>
    <m/>
    <m/>
    <m/>
    <m/>
    <m/>
    <m/>
  </r>
  <r>
    <s v="O003245"/>
    <s v="CRISTIAN RENE MENDEZ"/>
    <x v="5"/>
    <x v="23"/>
    <s v="BBVA"/>
    <e v="#NAME?"/>
    <x v="172"/>
    <n v="0.1"/>
    <x v="1"/>
    <s v="Otras Tec."/>
    <m/>
    <e v="#NAME?"/>
    <e v="#NAME?"/>
    <e v="#NAME?"/>
    <m/>
    <m/>
    <m/>
    <m/>
    <m/>
    <m/>
  </r>
  <r>
    <s v="O003245"/>
    <s v="CRISTIAN RENE MENDEZ"/>
    <x v="5"/>
    <x v="24"/>
    <s v="BBVA"/>
    <e v="#NAME?"/>
    <x v="173"/>
    <n v="0.1"/>
    <x v="1"/>
    <s v="Otras Tec."/>
    <m/>
    <e v="#NAME?"/>
    <e v="#NAME?"/>
    <e v="#NAME?"/>
    <m/>
    <m/>
    <m/>
    <m/>
    <m/>
    <m/>
  </r>
  <r>
    <s v="O003245"/>
    <s v="CRISTIAN RENE MENDEZ"/>
    <x v="5"/>
    <x v="24"/>
    <s v="BBVA"/>
    <e v="#NAME?"/>
    <x v="170"/>
    <n v="0.1"/>
    <x v="1"/>
    <s v="Otras Tec."/>
    <m/>
    <e v="#NAME?"/>
    <e v="#NAME?"/>
    <e v="#NAME?"/>
    <m/>
    <m/>
    <m/>
    <m/>
    <m/>
    <m/>
  </r>
  <r>
    <s v="C342547"/>
    <s v="DAVID LEONARDO OBANDO CORTÉS"/>
    <x v="5"/>
    <x v="23"/>
    <s v="BBVA"/>
    <e v="#NAME?"/>
    <x v="3"/>
    <n v="0.25"/>
    <x v="0"/>
    <s v="Mainframe"/>
    <m/>
    <e v="#NAME?"/>
    <e v="#NAME?"/>
    <e v="#NAME?"/>
    <m/>
    <m/>
    <m/>
    <m/>
    <m/>
    <m/>
  </r>
  <r>
    <s v="C342547"/>
    <s v="DAVID LEONARDO OBANDO CORTÉS"/>
    <x v="5"/>
    <x v="23"/>
    <s v="BBVA"/>
    <e v="#NAME?"/>
    <x v="172"/>
    <n v="0.75"/>
    <x v="0"/>
    <s v="Mainframe"/>
    <m/>
    <e v="#NAME?"/>
    <e v="#NAME?"/>
    <e v="#NAME?"/>
    <m/>
    <m/>
    <m/>
    <m/>
    <m/>
    <m/>
  </r>
  <r>
    <s v="CE59507"/>
    <s v="DAVID RODRIGUEZ RANGEL"/>
    <x v="5"/>
    <x v="23"/>
    <s v="Inetum"/>
    <e v="#NAME?"/>
    <x v="172"/>
    <n v="1"/>
    <x v="0"/>
    <s v="Distribuido"/>
    <m/>
    <e v="#NAME?"/>
    <e v="#NAME?"/>
    <e v="#NAME?"/>
    <m/>
    <m/>
    <m/>
    <m/>
    <m/>
    <m/>
  </r>
  <r>
    <s v="C809616"/>
    <s v="DIEGO FERNANDO MONTEALEGRE ROZO"/>
    <x v="5"/>
    <x v="22"/>
    <s v="BBVA"/>
    <e v="#NAME?"/>
    <x v="3"/>
    <n v="0.25"/>
    <x v="0"/>
    <s v="Distribuido"/>
    <s v="DataPower"/>
    <e v="#NAME?"/>
    <e v="#NAME?"/>
    <e v="#NAME?"/>
    <m/>
    <m/>
    <m/>
    <m/>
    <m/>
    <m/>
  </r>
  <r>
    <s v="C809616"/>
    <s v="DIEGO FERNANDO MONTEALEGRE ROZO"/>
    <x v="5"/>
    <x v="22"/>
    <s v="BBVA"/>
    <e v="#NAME?"/>
    <x v="167"/>
    <n v="0.75"/>
    <x v="0"/>
    <s v="Distribuido"/>
    <s v="DataPower"/>
    <e v="#NAME?"/>
    <e v="#NAME?"/>
    <e v="#NAME?"/>
    <m/>
    <m/>
    <m/>
    <m/>
    <m/>
    <m/>
  </r>
  <r>
    <s v="C810674"/>
    <s v="EDWIN ARMANDO CASTRO MARTIN"/>
    <x v="5"/>
    <x v="24"/>
    <s v="BBVA"/>
    <e v="#NAME?"/>
    <x v="170"/>
    <n v="1"/>
    <x v="0"/>
    <s v="Cells"/>
    <m/>
    <e v="#NAME?"/>
    <e v="#NAME?"/>
    <e v="#NAME?"/>
    <m/>
    <m/>
    <m/>
    <m/>
    <m/>
    <m/>
  </r>
  <r>
    <s v="C803039"/>
    <s v="EVELIN LORENA PEDRAZA ROMERO"/>
    <x v="5"/>
    <x v="22"/>
    <s v="BBVA"/>
    <e v="#NAME?"/>
    <x v="3"/>
    <n v="0.5"/>
    <x v="0"/>
    <s v="ASO"/>
    <m/>
    <e v="#NAME?"/>
    <e v="#NAME?"/>
    <e v="#NAME?"/>
    <m/>
    <m/>
    <m/>
    <m/>
    <m/>
    <m/>
  </r>
  <r>
    <s v="C803039"/>
    <s v="EVELIN LORENA PEDRAZA ROMERO"/>
    <x v="5"/>
    <x v="22"/>
    <s v="BBVA"/>
    <e v="#NAME?"/>
    <x v="165"/>
    <n v="0.5"/>
    <x v="0"/>
    <s v="Mainframe"/>
    <m/>
    <e v="#NAME?"/>
    <e v="#NAME?"/>
    <e v="#NAME?"/>
    <m/>
    <m/>
    <m/>
    <m/>
    <m/>
    <m/>
  </r>
  <r>
    <s v="CE70580"/>
    <s v="FABIAN ARTURO RAMIREZ BROCHE"/>
    <x v="5"/>
    <x v="25"/>
    <s v="Inetum"/>
    <e v="#NAME?"/>
    <x v="3"/>
    <n v="1"/>
    <x v="0"/>
    <s v="Distribuido"/>
    <s v="RPA Blue Prims"/>
    <e v="#NAME?"/>
    <e v="#NAME?"/>
    <e v="#NAME?"/>
    <m/>
    <m/>
    <m/>
    <m/>
    <m/>
    <m/>
  </r>
  <r>
    <s v="C804602"/>
    <s v="JOAN DE JESUS SANCHEZ CANDANOZA"/>
    <x v="5"/>
    <x v="25"/>
    <s v="BBVA"/>
    <e v="#NAME?"/>
    <x v="3"/>
    <n v="1"/>
    <x v="0"/>
    <s v="Distribuido"/>
    <s v="RPA Blue Prims"/>
    <e v="#NAME?"/>
    <e v="#NAME?"/>
    <e v="#NAME?"/>
    <m/>
    <m/>
    <m/>
    <m/>
    <m/>
    <m/>
  </r>
  <r>
    <s v="CE70183"/>
    <s v="JOEL ANDRÉS CANTILLO NIETO"/>
    <x v="5"/>
    <x v="24"/>
    <s v="GGI / CMC"/>
    <e v="#NAME?"/>
    <x v="173"/>
    <n v="1"/>
    <x v="0"/>
    <s v="Mainframe"/>
    <m/>
    <e v="#NAME?"/>
    <e v="#NAME?"/>
    <e v="#NAME?"/>
    <m/>
    <m/>
    <m/>
    <m/>
    <m/>
    <m/>
  </r>
  <r>
    <s v="C805564"/>
    <s v="JOHN JAIRO CARDENAS SANABRIA"/>
    <x v="5"/>
    <x v="22"/>
    <s v="BBVA"/>
    <e v="#NAME?"/>
    <x v="166"/>
    <n v="0.6"/>
    <x v="0"/>
    <s v="Mainframe"/>
    <m/>
    <e v="#NAME?"/>
    <e v="#NAME?"/>
    <e v="#NAME?"/>
    <m/>
    <m/>
    <m/>
    <m/>
    <m/>
    <m/>
  </r>
  <r>
    <s v="C805564"/>
    <s v="JOHN JAIRO CARDENAS SANABRIA"/>
    <x v="5"/>
    <x v="22"/>
    <s v="BBVA"/>
    <e v="#NAME?"/>
    <x v="3"/>
    <n v="0.1"/>
    <x v="0"/>
    <s v="Distribuido"/>
    <m/>
    <e v="#NAME?"/>
    <e v="#NAME?"/>
    <e v="#NAME?"/>
    <m/>
    <m/>
    <m/>
    <m/>
    <m/>
    <m/>
  </r>
  <r>
    <s v="C805564"/>
    <s v="JOHN JAIRO CARDENAS SANABRIA"/>
    <x v="5"/>
    <x v="22"/>
    <s v="BBVA"/>
    <e v="#NAME?"/>
    <x v="167"/>
    <n v="0.3"/>
    <x v="0"/>
    <s v="Mainframe"/>
    <m/>
    <e v="#NAME?"/>
    <e v="#NAME?"/>
    <e v="#NAME?"/>
    <m/>
    <m/>
    <m/>
    <m/>
    <m/>
    <m/>
  </r>
  <r>
    <s v="C810669"/>
    <s v="JORGE ANDRES MANRIQUE MARTINEZ"/>
    <x v="5"/>
    <x v="24"/>
    <s v="BBVA"/>
    <e v="#NAME?"/>
    <x v="173"/>
    <n v="1"/>
    <x v="0"/>
    <s v="ASO"/>
    <m/>
    <e v="#NAME?"/>
    <e v="#NAME?"/>
    <e v="#NAME?"/>
    <m/>
    <m/>
    <m/>
    <m/>
    <m/>
    <m/>
  </r>
  <r>
    <s v="O002469"/>
    <s v="JOSE AGUSTIN PALOMINO PARDO"/>
    <x v="5"/>
    <x v="22"/>
    <s v="BBVA"/>
    <e v="#NAME?"/>
    <x v="3"/>
    <n v="1"/>
    <x v="0"/>
    <s v="ASO"/>
    <m/>
    <e v="#NAME?"/>
    <e v="#NAME?"/>
    <e v="#NAME?"/>
    <m/>
    <m/>
    <m/>
    <m/>
    <m/>
    <m/>
  </r>
  <r>
    <s v="O003310"/>
    <s v="KAREN MARGARITA ARENILLA TRIGOS"/>
    <x v="5"/>
    <x v="22"/>
    <s v="BBVA"/>
    <e v="#NAME?"/>
    <x v="3"/>
    <n v="1"/>
    <x v="0"/>
    <s v="APX"/>
    <s v="ASO/APX"/>
    <e v="#NAME?"/>
    <e v="#NAME?"/>
    <e v="#NAME?"/>
    <m/>
    <m/>
    <m/>
    <m/>
    <m/>
    <m/>
  </r>
  <r>
    <s v="O002599"/>
    <s v="LAURA VALENTINA SANDOVAL MARIN"/>
    <x v="5"/>
    <x v="24"/>
    <s v="BBVA"/>
    <e v="#NAME?"/>
    <x v="173"/>
    <n v="1"/>
    <x v="0"/>
    <s v="ASO"/>
    <m/>
    <e v="#NAME?"/>
    <e v="#NAME?"/>
    <e v="#NAME?"/>
    <m/>
    <m/>
    <m/>
    <m/>
    <m/>
    <m/>
  </r>
  <r>
    <s v="C808303"/>
    <s v="MARIA CAMILA BUITRAGO"/>
    <x v="5"/>
    <x v="22"/>
    <s v="BBVA"/>
    <e v="#NAME?"/>
    <x v="3"/>
    <n v="0.7"/>
    <x v="1"/>
    <s v="Otras Tec."/>
    <m/>
    <e v="#NAME?"/>
    <e v="#NAME?"/>
    <e v="#NAME?"/>
    <m/>
    <m/>
    <m/>
    <m/>
    <m/>
    <m/>
  </r>
  <r>
    <s v="C808303"/>
    <s v="MARIA CAMILA BUITRAGO"/>
    <x v="5"/>
    <x v="22"/>
    <s v="BBVA"/>
    <e v="#NAME?"/>
    <x v="169"/>
    <n v="0.1"/>
    <x v="1"/>
    <s v="Otras Tec."/>
    <m/>
    <e v="#NAME?"/>
    <e v="#NAME?"/>
    <e v="#NAME?"/>
    <m/>
    <m/>
    <m/>
    <m/>
    <m/>
    <m/>
  </r>
  <r>
    <s v="C808303"/>
    <s v="MARIA CAMILA BUITRAGO"/>
    <x v="5"/>
    <x v="22"/>
    <s v="BBVA"/>
    <e v="#NAME?"/>
    <x v="166"/>
    <n v="0.05"/>
    <x v="1"/>
    <s v="Otras Tec."/>
    <m/>
    <e v="#NAME?"/>
    <e v="#NAME?"/>
    <e v="#NAME?"/>
    <m/>
    <m/>
    <m/>
    <m/>
    <m/>
    <m/>
  </r>
  <r>
    <s v="C808303"/>
    <s v="MARIA CAMILA BUITRAGO"/>
    <x v="5"/>
    <x v="22"/>
    <s v="BBVA"/>
    <e v="#NAME?"/>
    <x v="167"/>
    <n v="0.05"/>
    <x v="1"/>
    <s v="Otras Tec."/>
    <m/>
    <e v="#NAME?"/>
    <e v="#NAME?"/>
    <e v="#NAME?"/>
    <m/>
    <m/>
    <m/>
    <m/>
    <m/>
    <m/>
  </r>
  <r>
    <s v="C808303"/>
    <s v="MARIA CAMILA BUITRAGO"/>
    <x v="5"/>
    <x v="22"/>
    <s v="BBVA"/>
    <e v="#NAME?"/>
    <x v="165"/>
    <n v="0.05"/>
    <x v="1"/>
    <s v="Otras Tec."/>
    <m/>
    <e v="#NAME?"/>
    <e v="#NAME?"/>
    <e v="#NAME?"/>
    <m/>
    <m/>
    <m/>
    <m/>
    <m/>
    <m/>
  </r>
  <r>
    <s v="C808303"/>
    <s v="MARIA CAMILA BUITRAGO"/>
    <x v="5"/>
    <x v="25"/>
    <s v="BBVA"/>
    <e v="#NAME?"/>
    <x v="61"/>
    <n v="0.05"/>
    <x v="1"/>
    <s v="Otras Tec."/>
    <m/>
    <e v="#NAME?"/>
    <e v="#NAME?"/>
    <e v="#NAME?"/>
    <m/>
    <m/>
    <m/>
    <m/>
    <m/>
    <m/>
  </r>
  <r>
    <s v="CE59254"/>
    <s v="MARLLY JAZMIN VARGAS GARZÓN"/>
    <x v="5"/>
    <x v="24"/>
    <s v="KRYPTO"/>
    <e v="#NAME?"/>
    <x v="170"/>
    <n v="1"/>
    <x v="2"/>
    <s v="Otras Tec."/>
    <m/>
    <e v="#NAME?"/>
    <e v="#NAME?"/>
    <e v="#NAME?"/>
    <m/>
    <m/>
    <m/>
    <m/>
    <m/>
    <m/>
  </r>
  <r>
    <s v="CE69603"/>
    <s v="MIGUEL ANGEL LUENGAS"/>
    <x v="5"/>
    <x v="23"/>
    <s v="Choucair"/>
    <e v="#NAME?"/>
    <x v="172"/>
    <n v="1"/>
    <x v="2"/>
    <s v="Otras Tec."/>
    <m/>
    <e v="#NAME?"/>
    <e v="#NAME?"/>
    <e v="#NAME?"/>
    <m/>
    <m/>
    <m/>
    <m/>
    <m/>
    <m/>
  </r>
  <r>
    <s v="T004574"/>
    <s v="NICOLÁS ENRIQUE BUITRAGO ARANGO"/>
    <x v="5"/>
    <x v="24"/>
    <s v="GGI / CMC"/>
    <e v="#NAME?"/>
    <x v="170"/>
    <n v="1"/>
    <x v="0"/>
    <s v="ASO"/>
    <m/>
    <e v="#NAME?"/>
    <e v="#NAME?"/>
    <e v="#NAME?"/>
    <m/>
    <m/>
    <m/>
    <m/>
    <m/>
    <m/>
  </r>
  <r>
    <s v="CE57586"/>
    <s v="OMAR ESTEBAN MATUK"/>
    <x v="5"/>
    <x v="22"/>
    <s v="GGI / CMC"/>
    <e v="#NAME?"/>
    <x v="167"/>
    <n v="0.2"/>
    <x v="0"/>
    <s v="Mainframe"/>
    <m/>
    <e v="#NAME?"/>
    <e v="#NAME?"/>
    <e v="#NAME?"/>
    <m/>
    <m/>
    <m/>
    <m/>
    <m/>
    <m/>
  </r>
  <r>
    <s v="CE57586"/>
    <s v="OMAR ESTEBAN MATUK"/>
    <x v="5"/>
    <x v="22"/>
    <s v="GGI / CMC"/>
    <e v="#NAME?"/>
    <x v="166"/>
    <n v="0.6"/>
    <x v="0"/>
    <s v="Mainframe"/>
    <m/>
    <e v="#NAME?"/>
    <e v="#NAME?"/>
    <e v="#NAME?"/>
    <m/>
    <m/>
    <m/>
    <m/>
    <m/>
    <m/>
  </r>
  <r>
    <s v="CE57586"/>
    <s v="OMAR ESTEBAN MATUK"/>
    <x v="5"/>
    <x v="22"/>
    <s v="GGI / CMC"/>
    <e v="#NAME?"/>
    <x v="165"/>
    <n v="0.2"/>
    <x v="0"/>
    <s v="Mainframe"/>
    <m/>
    <e v="#NAME?"/>
    <e v="#NAME?"/>
    <e v="#NAME?"/>
    <m/>
    <m/>
    <m/>
    <m/>
    <m/>
    <m/>
  </r>
  <r>
    <s v="CE59969"/>
    <s v="PABLO ANTONIO MARQUEZ"/>
    <x v="5"/>
    <x v="24"/>
    <s v="Novatec"/>
    <e v="#NAME?"/>
    <x v="170"/>
    <n v="1"/>
    <x v="0"/>
    <s v="Mainframe"/>
    <m/>
    <e v="#NAME?"/>
    <e v="#NAME?"/>
    <e v="#NAME?"/>
    <m/>
    <m/>
    <m/>
    <m/>
    <m/>
    <m/>
  </r>
  <r>
    <s v="CE43579"/>
    <s v="PLINIO EDUARDO MARTINEZ ESPITIA"/>
    <x v="5"/>
    <x v="23"/>
    <s v="GGI / CMC"/>
    <e v="#NAME?"/>
    <x v="160"/>
    <n v="0.1"/>
    <x v="2"/>
    <s v="Otras Tec."/>
    <m/>
    <e v="#NAME?"/>
    <e v="#NAME?"/>
    <e v="#NAME?"/>
    <m/>
    <m/>
    <m/>
    <m/>
    <m/>
    <m/>
  </r>
  <r>
    <s v="CE43579"/>
    <s v="PLINIO EDUARDO MARTINEZ ESPITIA"/>
    <x v="5"/>
    <x v="23"/>
    <s v="GGI / CMC"/>
    <e v="#NAME?"/>
    <x v="169"/>
    <n v="0.3"/>
    <x v="2"/>
    <s v="Otras Tec."/>
    <m/>
    <e v="#NAME?"/>
    <e v="#NAME?"/>
    <e v="#NAME?"/>
    <m/>
    <m/>
    <m/>
    <m/>
    <m/>
    <m/>
  </r>
  <r>
    <s v="CE43579"/>
    <s v="PLINIO EDUARDO MARTINEZ ESPITIA"/>
    <x v="5"/>
    <x v="23"/>
    <s v="GGI / CMC"/>
    <e v="#NAME?"/>
    <x v="168"/>
    <n v="0.3"/>
    <x v="2"/>
    <s v="Otras Tec."/>
    <m/>
    <e v="#NAME?"/>
    <e v="#NAME?"/>
    <e v="#NAME?"/>
    <m/>
    <m/>
    <m/>
    <m/>
    <m/>
    <m/>
  </r>
  <r>
    <s v="CE43579"/>
    <s v="PLINIO EDUARDO MARTINEZ ESPITIA"/>
    <x v="5"/>
    <x v="23"/>
    <s v="GGI / CMC"/>
    <e v="#NAME?"/>
    <x v="3"/>
    <n v="0.3"/>
    <x v="2"/>
    <s v="Otras Tec."/>
    <m/>
    <e v="#NAME?"/>
    <e v="#NAME?"/>
    <e v="#NAME?"/>
    <m/>
    <m/>
    <m/>
    <m/>
    <m/>
    <m/>
  </r>
  <r>
    <s v="C804684"/>
    <s v="WALTHER STIVENS ZAPATA TABERA"/>
    <x v="5"/>
    <x v="23"/>
    <s v="BBVA"/>
    <e v="#NAME?"/>
    <x v="169"/>
    <n v="0.5"/>
    <x v="0"/>
    <s v="Mainframe"/>
    <m/>
    <e v="#NAME?"/>
    <e v="#NAME?"/>
    <e v="#NAME?"/>
    <m/>
    <m/>
    <m/>
    <m/>
    <m/>
    <m/>
  </r>
  <r>
    <s v="C804684"/>
    <s v="WALTHER STIVENS ZAPATA TABERA"/>
    <x v="5"/>
    <x v="23"/>
    <s v="BBVA"/>
    <e v="#NAME?"/>
    <x v="168"/>
    <n v="0.1"/>
    <x v="0"/>
    <s v="Mainframe"/>
    <m/>
    <e v="#NAME?"/>
    <e v="#NAME?"/>
    <e v="#NAME?"/>
    <m/>
    <m/>
    <m/>
    <m/>
    <m/>
    <m/>
  </r>
  <r>
    <s v="C804684"/>
    <s v="WALTHER STIVENS ZAPATA TABERA"/>
    <x v="5"/>
    <x v="23"/>
    <s v="BBVA"/>
    <e v="#NAME?"/>
    <x v="3"/>
    <n v="0.4"/>
    <x v="0"/>
    <s v="Mainframe"/>
    <m/>
    <e v="#NAME?"/>
    <e v="#NAME?"/>
    <e v="#NAME?"/>
    <m/>
    <m/>
    <m/>
    <m/>
    <m/>
    <m/>
  </r>
  <r>
    <s v="CE68929"/>
    <s v="YENIFER ARANGO TABARES"/>
    <x v="5"/>
    <x v="24"/>
    <s v="Choucair"/>
    <e v="#NAME?"/>
    <x v="173"/>
    <n v="1"/>
    <x v="2"/>
    <s v="Otras Tec."/>
    <m/>
    <e v="#NAME?"/>
    <e v="#NAME?"/>
    <e v="#NAME?"/>
    <m/>
    <m/>
    <m/>
    <m/>
    <m/>
    <m/>
  </r>
  <r>
    <s v="CE61162"/>
    <s v="JOSE ANTONIO PERFECTO"/>
    <x v="5"/>
    <x v="24"/>
    <s v="Accenture"/>
    <e v="#NAME?"/>
    <x v="173"/>
    <n v="1"/>
    <x v="0"/>
    <s v="APX"/>
    <m/>
    <e v="#NAME?"/>
    <e v="#NAME?"/>
    <e v="#NAME?"/>
    <m/>
    <m/>
    <m/>
    <m/>
    <m/>
    <m/>
  </r>
  <r>
    <s v="O004597"/>
    <s v="LUIS FELIPE VILLEGAS SANCHEZ"/>
    <x v="5"/>
    <x v="23"/>
    <s v="BBVA"/>
    <e v="#NAME?"/>
    <x v="168"/>
    <n v="1"/>
    <x v="0"/>
    <s v="ASO"/>
    <m/>
    <e v="#NAME?"/>
    <e v="#NAME?"/>
    <e v="#NAME?"/>
    <m/>
    <m/>
    <m/>
    <m/>
    <m/>
    <m/>
  </r>
  <r>
    <s v="CE66885"/>
    <s v="ADRIAN ROJAS"/>
    <x v="3"/>
    <x v="11"/>
    <s v="Meraki"/>
    <e v="#NAME?"/>
    <x v="174"/>
    <n v="1"/>
    <x v="0"/>
    <s v="APX"/>
    <m/>
    <e v="#NAME?"/>
    <e v="#NAME?"/>
    <e v="#NAME?"/>
    <m/>
    <m/>
    <m/>
    <m/>
    <m/>
    <n v="1"/>
  </r>
  <r>
    <s v="CE70173"/>
    <s v="ADRIANA MAYERLY RAMIREZ"/>
    <x v="3"/>
    <x v="11"/>
    <s v="Choucair"/>
    <e v="#NAME?"/>
    <x v="175"/>
    <n v="1"/>
    <x v="2"/>
    <s v="Cells"/>
    <m/>
    <e v="#NAME?"/>
    <e v="#NAME?"/>
    <e v="#NAME?"/>
    <m/>
    <m/>
    <m/>
    <m/>
    <m/>
    <n v="1"/>
  </r>
  <r>
    <s v="CE17710"/>
    <s v="ANDREA MARIETA LOPEZ PARRA."/>
    <x v="3"/>
    <x v="11"/>
    <s v="Novatec"/>
    <e v="#NAME?"/>
    <x v="3"/>
    <n v="1"/>
    <x v="0"/>
    <s v="Mainframe"/>
    <m/>
    <e v="#NAME?"/>
    <e v="#NAME?"/>
    <e v="#NAME?"/>
    <m/>
    <m/>
    <m/>
    <m/>
    <m/>
    <n v="1"/>
  </r>
  <r>
    <s v="T004480"/>
    <s v="ANDRES DAVID ARIAS"/>
    <x v="3"/>
    <x v="11"/>
    <s v="Novatec"/>
    <e v="#NAME?"/>
    <x v="3"/>
    <n v="1"/>
    <x v="0"/>
    <s v="Mainframe"/>
    <m/>
    <e v="#NAME?"/>
    <e v="#NAME?"/>
    <e v="#NAME?"/>
    <m/>
    <m/>
    <m/>
    <m/>
    <m/>
    <n v="1"/>
  </r>
  <r>
    <s v="C805316"/>
    <s v="ANGELA MARIA BENITEZ"/>
    <x v="3"/>
    <x v="11"/>
    <s v="BBVA"/>
    <e v="#NAME?"/>
    <x v="176"/>
    <n v="1"/>
    <x v="0"/>
    <s v="Mainframe"/>
    <m/>
    <e v="#NAME?"/>
    <e v="#NAME?"/>
    <e v="#NAME?"/>
    <m/>
    <m/>
    <m/>
    <m/>
    <m/>
    <n v="1"/>
  </r>
  <r>
    <s v="C810793"/>
    <s v="CAMILO ERNESTO MUÑOZ LOVERA"/>
    <x v="3"/>
    <x v="11"/>
    <s v="BBVA"/>
    <e v="#NAME?"/>
    <x v="176"/>
    <n v="1"/>
    <x v="0"/>
    <s v="ASO"/>
    <m/>
    <e v="#NAME?"/>
    <e v="#NAME?"/>
    <e v="#NAME?"/>
    <m/>
    <m/>
    <m/>
    <m/>
    <m/>
    <n v="1"/>
  </r>
  <r>
    <s v="C811175"/>
    <s v="CIRO ALONSO RINCON HERNANDEZ"/>
    <x v="3"/>
    <x v="11"/>
    <s v="BBVA"/>
    <e v="#NAME?"/>
    <x v="177"/>
    <n v="0.2"/>
    <x v="0"/>
    <s v="Mainframe"/>
    <m/>
    <e v="#NAME?"/>
    <e v="#NAME?"/>
    <e v="#NAME?"/>
    <m/>
    <m/>
    <m/>
    <m/>
    <m/>
    <n v="1"/>
  </r>
  <r>
    <s v="C811175"/>
    <s v="CIRO ALONSO RINCON HERNANDEZ"/>
    <x v="3"/>
    <x v="11"/>
    <s v="BBVA"/>
    <e v="#NAME?"/>
    <x v="5"/>
    <n v="0.2"/>
    <x v="0"/>
    <s v="Mainframe"/>
    <m/>
    <e v="#NAME?"/>
    <e v="#NAME?"/>
    <e v="#NAME?"/>
    <m/>
    <m/>
    <m/>
    <m/>
    <m/>
    <n v="0"/>
  </r>
  <r>
    <s v="CE46835"/>
    <s v="CLAUDIA PALENCIA"/>
    <x v="3"/>
    <x v="11"/>
    <s v="KRYPTO"/>
    <e v="#NAME?"/>
    <x v="174"/>
    <n v="0.2"/>
    <x v="2"/>
    <s v="Openweb"/>
    <m/>
    <e v="#NAME?"/>
    <e v="#NAME?"/>
    <e v="#NAME?"/>
    <m/>
    <m/>
    <m/>
    <m/>
    <m/>
    <n v="1"/>
  </r>
  <r>
    <s v="CE46835"/>
    <s v="CLAUDIA PALENCIA"/>
    <x v="3"/>
    <x v="11"/>
    <s v="KRYPTO"/>
    <e v="#NAME?"/>
    <x v="175"/>
    <n v="0.5"/>
    <x v="2"/>
    <s v="Mainframe"/>
    <m/>
    <e v="#NAME?"/>
    <e v="#NAME?"/>
    <e v="#NAME?"/>
    <m/>
    <m/>
    <m/>
    <m/>
    <m/>
    <n v="0"/>
  </r>
  <r>
    <s v="CE46835"/>
    <s v="CLAUDIA PALENCIA"/>
    <x v="3"/>
    <x v="11"/>
    <s v="KRYPTO"/>
    <e v="#NAME?"/>
    <x v="3"/>
    <n v="0.3"/>
    <x v="2"/>
    <m/>
    <m/>
    <e v="#NAME?"/>
    <e v="#NAME?"/>
    <e v="#NAME?"/>
    <m/>
    <m/>
    <m/>
    <m/>
    <m/>
    <n v="0"/>
  </r>
  <r>
    <s v="CE69505"/>
    <s v="CLAUDIA YURANI TAQUEZ CHALAPUD"/>
    <x v="3"/>
    <x v="11"/>
    <s v="KRYPTO"/>
    <e v="#NAME?"/>
    <x v="174"/>
    <n v="0.2"/>
    <x v="2"/>
    <s v="Mainframe"/>
    <m/>
    <e v="#NAME?"/>
    <e v="#NAME?"/>
    <e v="#NAME?"/>
    <m/>
    <m/>
    <m/>
    <m/>
    <m/>
    <n v="1"/>
  </r>
  <r>
    <s v="CE69505"/>
    <s v="CLAUDIA YURANI TAQUEZ CHALAPUD"/>
    <x v="3"/>
    <x v="11"/>
    <s v="KRYPTO"/>
    <e v="#NAME?"/>
    <x v="3"/>
    <n v="0.3"/>
    <x v="2"/>
    <s v="Mainframe"/>
    <m/>
    <e v="#NAME?"/>
    <e v="#NAME?"/>
    <e v="#NAME?"/>
    <m/>
    <m/>
    <m/>
    <m/>
    <m/>
    <n v="0"/>
  </r>
  <r>
    <s v="CE69505"/>
    <s v="CLAUDIA YURANI TAQUEZ CHALAPUD"/>
    <x v="3"/>
    <x v="11"/>
    <s v="KRYPTO"/>
    <e v="#NAME?"/>
    <x v="175"/>
    <n v="0.5"/>
    <x v="2"/>
    <s v="Mainframe"/>
    <m/>
    <e v="#NAME?"/>
    <e v="#NAME?"/>
    <e v="#NAME?"/>
    <m/>
    <m/>
    <m/>
    <m/>
    <m/>
    <n v="0"/>
  </r>
  <r>
    <s v="O000988"/>
    <s v="CRISTIAN CAMILO RATIVA PARRA"/>
    <x v="3"/>
    <x v="11"/>
    <s v="BBVA"/>
    <e v="#NAME?"/>
    <x v="178"/>
    <n v="0.4"/>
    <x v="0"/>
    <s v="Mainframe"/>
    <m/>
    <e v="#NAME?"/>
    <e v="#NAME?"/>
    <e v="#NAME?"/>
    <m/>
    <m/>
    <m/>
    <m/>
    <m/>
    <n v="1"/>
  </r>
  <r>
    <s v="O000988"/>
    <s v="CRISTIAN CAMILO RATIVA PARRA"/>
    <x v="3"/>
    <x v="11"/>
    <s v="BBVA"/>
    <e v="#NAME?"/>
    <x v="165"/>
    <n v="0.4"/>
    <x v="0"/>
    <s v="Mainframe"/>
    <m/>
    <e v="#NAME?"/>
    <e v="#NAME?"/>
    <e v="#NAME?"/>
    <m/>
    <m/>
    <m/>
    <m/>
    <m/>
    <n v="0"/>
  </r>
  <r>
    <s v="O000988"/>
    <s v="CRISTIAN CAMILO RATIVA PARRA"/>
    <x v="3"/>
    <x v="11"/>
    <s v="BBVA"/>
    <e v="#NAME?"/>
    <x v="3"/>
    <n v="0.2"/>
    <x v="0"/>
    <s v="Mainframe"/>
    <m/>
    <e v="#NAME?"/>
    <e v="#NAME?"/>
    <e v="#NAME?"/>
    <m/>
    <m/>
    <m/>
    <m/>
    <m/>
    <n v="0"/>
  </r>
  <r>
    <s v="C805861"/>
    <s v="DANIEL SANTIAGO JARAMILLO"/>
    <x v="3"/>
    <x v="11"/>
    <s v="BBVA"/>
    <e v="#NAME?"/>
    <x v="175"/>
    <n v="1"/>
    <x v="0"/>
    <s v="Mainframe"/>
    <m/>
    <e v="#NAME?"/>
    <e v="#NAME?"/>
    <e v="#NAME?"/>
    <m/>
    <m/>
    <m/>
    <m/>
    <m/>
    <n v="1"/>
  </r>
  <r>
    <s v="CE58194"/>
    <s v="DIANA MAYERLY RAMIREZ"/>
    <x v="3"/>
    <x v="11"/>
    <s v="Inetum"/>
    <e v="#NAME?"/>
    <x v="174"/>
    <n v="1"/>
    <x v="2"/>
    <s v="Mainframe"/>
    <m/>
    <e v="#NAME?"/>
    <e v="#NAME?"/>
    <e v="#NAME?"/>
    <m/>
    <m/>
    <m/>
    <m/>
    <m/>
    <n v="1"/>
  </r>
  <r>
    <s v="O001722"/>
    <s v="EDWARD ALEXANDER DUQUE TAMAYO"/>
    <x v="3"/>
    <x v="11"/>
    <s v="BBVA"/>
    <e v="#NAME?"/>
    <x v="3"/>
    <n v="1"/>
    <x v="0"/>
    <s v="Mainframe"/>
    <m/>
    <e v="#NAME?"/>
    <e v="#NAME?"/>
    <e v="#NAME?"/>
    <m/>
    <m/>
    <m/>
    <m/>
    <m/>
    <n v="1"/>
  </r>
  <r>
    <s v="C809504"/>
    <s v="ELIEZER JOSUE CONEO VEGA"/>
    <x v="3"/>
    <x v="11"/>
    <s v="BBVA"/>
    <e v="#NAME?"/>
    <x v="177"/>
    <n v="0.2"/>
    <x v="0"/>
    <s v="Mainframe"/>
    <m/>
    <e v="#NAME?"/>
    <e v="#NAME?"/>
    <e v="#NAME?"/>
    <m/>
    <m/>
    <m/>
    <m/>
    <m/>
    <n v="1"/>
  </r>
  <r>
    <s v="C809504"/>
    <s v="ELIEZER JOSUE CONEO VEGA"/>
    <x v="3"/>
    <x v="11"/>
    <s v="BBVA"/>
    <e v="#NAME?"/>
    <x v="6"/>
    <n v="0.6"/>
    <x v="0"/>
    <s v="Mainframe"/>
    <m/>
    <e v="#NAME?"/>
    <e v="#NAME?"/>
    <e v="#NAME?"/>
    <m/>
    <m/>
    <m/>
    <m/>
    <m/>
    <n v="0"/>
  </r>
  <r>
    <s v="C809504"/>
    <s v="ELIEZER JOSUE CONEO VEGA"/>
    <x v="3"/>
    <x v="11"/>
    <s v="BBVA"/>
    <e v="#NAME?"/>
    <x v="3"/>
    <n v="0.2"/>
    <x v="0"/>
    <s v="Mainframe"/>
    <m/>
    <e v="#NAME?"/>
    <e v="#NAME?"/>
    <e v="#NAME?"/>
    <m/>
    <m/>
    <m/>
    <m/>
    <m/>
    <n v="0"/>
  </r>
  <r>
    <s v="O000962"/>
    <s v="ELIZABETH  TRIANA PRIETO"/>
    <x v="3"/>
    <x v="11"/>
    <s v="BBVA"/>
    <e v="#NAME?"/>
    <x v="174"/>
    <n v="1"/>
    <x v="1"/>
    <s v="Cells"/>
    <m/>
    <e v="#NAME?"/>
    <e v="#NAME?"/>
    <e v="#NAME?"/>
    <m/>
    <m/>
    <m/>
    <m/>
    <m/>
    <n v="1"/>
  </r>
  <r>
    <s v="CE66884"/>
    <s v="FRANK HERRAN GARZON"/>
    <x v="3"/>
    <x v="11"/>
    <s v="Meraki"/>
    <e v="#NAME?"/>
    <x v="174"/>
    <n v="1"/>
    <x v="0"/>
    <s v="APX"/>
    <m/>
    <e v="#NAME?"/>
    <e v="#NAME?"/>
    <e v="#NAME?"/>
    <m/>
    <m/>
    <m/>
    <m/>
    <m/>
    <n v="1"/>
  </r>
  <r>
    <s v="C810909"/>
    <s v="GUILIAN ANDREI TAFUR FUENTES"/>
    <x v="3"/>
    <x v="11"/>
    <s v="BBVA"/>
    <e v="#NAME?"/>
    <x v="175"/>
    <n v="1"/>
    <x v="0"/>
    <s v="APX"/>
    <m/>
    <e v="#NAME?"/>
    <e v="#NAME?"/>
    <e v="#NAME?"/>
    <m/>
    <m/>
    <m/>
    <m/>
    <m/>
    <n v="1"/>
  </r>
  <r>
    <s v="T002223"/>
    <s v="HERMES FERNANDO AMARIS"/>
    <x v="3"/>
    <x v="11"/>
    <s v="KRYPTO"/>
    <e v="#NAME?"/>
    <x v="3"/>
    <n v="1"/>
    <x v="2"/>
    <s v="Mainframe"/>
    <m/>
    <e v="#NAME?"/>
    <e v="#NAME?"/>
    <e v="#NAME?"/>
    <m/>
    <m/>
    <m/>
    <m/>
    <m/>
    <n v="1"/>
  </r>
  <r>
    <s v="CE56542"/>
    <s v="HUMBERTO MALAGON VARGAS"/>
    <x v="3"/>
    <x v="11"/>
    <s v="Novatec"/>
    <e v="#NAME?"/>
    <x v="3"/>
    <n v="0.5"/>
    <x v="0"/>
    <s v="APX"/>
    <m/>
    <e v="#NAME?"/>
    <e v="#NAME?"/>
    <e v="#NAME?"/>
    <m/>
    <m/>
    <m/>
    <m/>
    <m/>
    <n v="1"/>
  </r>
  <r>
    <s v="C342035"/>
    <s v="JENNIFER ALZATE"/>
    <x v="3"/>
    <x v="11"/>
    <s v="BBVA"/>
    <e v="#NAME?"/>
    <x v="174"/>
    <n v="1"/>
    <x v="0"/>
    <s v="Mainframe"/>
    <m/>
    <e v="#NAME?"/>
    <e v="#NAME?"/>
    <e v="#NAME?"/>
    <m/>
    <m/>
    <m/>
    <m/>
    <m/>
    <n v="1"/>
  </r>
  <r>
    <s v="C811264"/>
    <s v="JORGE LUIS URBINA"/>
    <x v="3"/>
    <x v="11"/>
    <s v="BBVA"/>
    <e v="#NAME?"/>
    <x v="174"/>
    <n v="0.2"/>
    <x v="0"/>
    <s v="Mainframe"/>
    <m/>
    <e v="#NAME?"/>
    <e v="#NAME?"/>
    <e v="#NAME?"/>
    <m/>
    <m/>
    <m/>
    <m/>
    <m/>
    <n v="1"/>
  </r>
  <r>
    <s v="C811264"/>
    <s v="JORGE LUIS URBINA"/>
    <x v="3"/>
    <x v="11"/>
    <s v="BBVA"/>
    <e v="#NAME?"/>
    <x v="3"/>
    <n v="0.3"/>
    <x v="0"/>
    <s v="Mainframe"/>
    <m/>
    <e v="#NAME?"/>
    <e v="#NAME?"/>
    <e v="#NAME?"/>
    <m/>
    <m/>
    <m/>
    <m/>
    <m/>
    <n v="0"/>
  </r>
  <r>
    <s v="C811264"/>
    <s v="JORGE LUIS URBINA"/>
    <x v="3"/>
    <x v="11"/>
    <s v="BBVA"/>
    <e v="#NAME?"/>
    <x v="179"/>
    <n v="0.5"/>
    <x v="0"/>
    <s v="Mainframe"/>
    <m/>
    <e v="#NAME?"/>
    <e v="#NAME?"/>
    <e v="#NAME?"/>
    <m/>
    <m/>
    <m/>
    <m/>
    <m/>
    <n v="0"/>
  </r>
  <r>
    <s v="C811393"/>
    <s v="JORGE NELSON GARCIA"/>
    <x v="3"/>
    <x v="11"/>
    <s v="BBVA"/>
    <e v="#NAME?"/>
    <x v="180"/>
    <n v="0.35"/>
    <x v="0"/>
    <s v="Mainframe"/>
    <m/>
    <e v="#NAME?"/>
    <e v="#NAME?"/>
    <e v="#NAME?"/>
    <m/>
    <m/>
    <m/>
    <m/>
    <m/>
    <n v="1"/>
  </r>
  <r>
    <s v="C811393"/>
    <s v="JORGE NELSON GARCIA"/>
    <x v="3"/>
    <x v="11"/>
    <s v="BBVA"/>
    <e v="#NAME?"/>
    <x v="181"/>
    <n v="0.35"/>
    <x v="0"/>
    <s v="Mainframe"/>
    <m/>
    <e v="#NAME?"/>
    <e v="#NAME?"/>
    <e v="#NAME?"/>
    <m/>
    <m/>
    <m/>
    <m/>
    <m/>
    <n v="0"/>
  </r>
  <r>
    <s v="C811393"/>
    <s v="JORGE NELSON GARCIA"/>
    <x v="3"/>
    <x v="11"/>
    <s v="BBVA"/>
    <e v="#NAME?"/>
    <x v="3"/>
    <n v="0.3"/>
    <x v="0"/>
    <s v="Mainframe"/>
    <m/>
    <e v="#NAME?"/>
    <e v="#NAME?"/>
    <e v="#NAME?"/>
    <m/>
    <m/>
    <m/>
    <m/>
    <m/>
    <n v="0"/>
  </r>
  <r>
    <s v="CE49917"/>
    <s v="JORGE TAUTIVA MELO"/>
    <x v="3"/>
    <x v="11"/>
    <s v="Novatec"/>
    <e v="#NAME?"/>
    <x v="175"/>
    <n v="0.5"/>
    <x v="0"/>
    <s v="APX"/>
    <m/>
    <e v="#NAME?"/>
    <e v="#NAME?"/>
    <e v="#NAME?"/>
    <m/>
    <m/>
    <m/>
    <m/>
    <m/>
    <n v="1"/>
  </r>
  <r>
    <s v="CE49917"/>
    <s v="JORGE TAUTIVA MELO"/>
    <x v="3"/>
    <x v="11"/>
    <s v="Novatec"/>
    <e v="#NAME?"/>
    <x v="176"/>
    <n v="0.5"/>
    <x v="0"/>
    <s v="APX"/>
    <m/>
    <e v="#NAME?"/>
    <e v="#NAME?"/>
    <e v="#NAME?"/>
    <m/>
    <m/>
    <m/>
    <m/>
    <m/>
    <n v="0"/>
  </r>
  <r>
    <s v="C804723"/>
    <s v="JOSE BLADIMIR INAMPUES TUTALCHA"/>
    <x v="3"/>
    <x v="11"/>
    <s v="BBVA"/>
    <e v="#NAME?"/>
    <x v="182"/>
    <n v="0.3"/>
    <x v="0"/>
    <s v="Mainframe"/>
    <m/>
    <e v="#NAME?"/>
    <e v="#NAME?"/>
    <e v="#NAME?"/>
    <m/>
    <m/>
    <m/>
    <m/>
    <m/>
    <n v="1"/>
  </r>
  <r>
    <s v="C804723"/>
    <s v="JOSE BLADIMIR INAMPUES TUTALCHA"/>
    <x v="3"/>
    <x v="11"/>
    <s v="BBVA"/>
    <e v="#NAME?"/>
    <x v="3"/>
    <n v="0.7"/>
    <x v="0"/>
    <s v="Mainframe"/>
    <m/>
    <e v="#NAME?"/>
    <e v="#NAME?"/>
    <e v="#NAME?"/>
    <m/>
    <m/>
    <m/>
    <m/>
    <m/>
    <n v="0"/>
  </r>
  <r>
    <s v="C341931"/>
    <s v="JOSE MIGUEL SANCHEZ BARRANTES"/>
    <x v="3"/>
    <x v="11"/>
    <s v="BBVA"/>
    <e v="#NAME?"/>
    <x v="176"/>
    <n v="0.5"/>
    <x v="1"/>
    <s v="Mainframe"/>
    <m/>
    <e v="#NAME?"/>
    <e v="#NAME?"/>
    <e v="#NAME?"/>
    <m/>
    <m/>
    <m/>
    <m/>
    <m/>
    <n v="1"/>
  </r>
  <r>
    <s v="C341931"/>
    <s v="JOSE MIGUEL SANCHEZ BARRANTES"/>
    <x v="3"/>
    <x v="11"/>
    <s v="BBVA"/>
    <e v="#NAME?"/>
    <x v="175"/>
    <n v="0.5"/>
    <x v="1"/>
    <s v="Mainframe"/>
    <m/>
    <e v="#NAME?"/>
    <e v="#NAME?"/>
    <e v="#NAME?"/>
    <m/>
    <m/>
    <m/>
    <m/>
    <m/>
    <n v="0"/>
  </r>
  <r>
    <s v="C811403"/>
    <s v="JUAN FELIPE FORERO"/>
    <x v="3"/>
    <x v="11"/>
    <s v="BBVA"/>
    <e v="#NAME?"/>
    <x v="183"/>
    <n v="0.15"/>
    <x v="1"/>
    <s v="Mainframe"/>
    <m/>
    <e v="#NAME?"/>
    <e v="#NAME?"/>
    <e v="#NAME?"/>
    <m/>
    <m/>
    <m/>
    <m/>
    <m/>
    <n v="1"/>
  </r>
  <r>
    <s v="C811403"/>
    <s v="JUAN FELIPE FORERO"/>
    <x v="3"/>
    <x v="11"/>
    <s v="BBVA"/>
    <e v="#NAME?"/>
    <x v="182"/>
    <n v="0.1"/>
    <x v="1"/>
    <s v="Mainframe"/>
    <m/>
    <e v="#NAME?"/>
    <e v="#NAME?"/>
    <e v="#NAME?"/>
    <m/>
    <m/>
    <m/>
    <m/>
    <m/>
    <n v="0"/>
  </r>
  <r>
    <s v="C811403"/>
    <s v="JUAN FELIPE FORERO"/>
    <x v="3"/>
    <x v="11"/>
    <s v="BBVA"/>
    <e v="#NAME?"/>
    <x v="177"/>
    <n v="0.05"/>
    <x v="1"/>
    <s v="Mainframe"/>
    <m/>
    <e v="#NAME?"/>
    <e v="#NAME?"/>
    <e v="#NAME?"/>
    <m/>
    <m/>
    <m/>
    <m/>
    <m/>
    <n v="0"/>
  </r>
  <r>
    <s v="C811403"/>
    <s v="JUAN FELIPE FORERO"/>
    <x v="3"/>
    <x v="11"/>
    <s v="BBVA"/>
    <e v="#NAME?"/>
    <x v="75"/>
    <n v="0.05"/>
    <x v="1"/>
    <s v="Mainframe"/>
    <m/>
    <e v="#NAME?"/>
    <e v="#NAME?"/>
    <e v="#NAME?"/>
    <m/>
    <m/>
    <m/>
    <m/>
    <m/>
    <n v="0"/>
  </r>
  <r>
    <s v="C811403"/>
    <s v="JUAN FELIPE FORERO"/>
    <x v="3"/>
    <x v="11"/>
    <s v="BBVA"/>
    <e v="#NAME?"/>
    <x v="6"/>
    <n v="0.15"/>
    <x v="1"/>
    <s v="Mainframe"/>
    <m/>
    <e v="#NAME?"/>
    <e v="#NAME?"/>
    <e v="#NAME?"/>
    <m/>
    <m/>
    <m/>
    <m/>
    <m/>
    <n v="0"/>
  </r>
  <r>
    <s v="C811403"/>
    <s v="JUAN FELIPE FORERO"/>
    <x v="3"/>
    <x v="11"/>
    <s v="BBVA"/>
    <e v="#NAME?"/>
    <x v="184"/>
    <n v="0.1"/>
    <x v="1"/>
    <s v="Mainframe"/>
    <m/>
    <e v="#NAME?"/>
    <e v="#NAME?"/>
    <e v="#NAME?"/>
    <m/>
    <m/>
    <m/>
    <m/>
    <m/>
    <n v="0"/>
  </r>
  <r>
    <s v="C811403"/>
    <s v="JUAN FELIPE FORERO"/>
    <x v="3"/>
    <x v="11"/>
    <s v="BBVA"/>
    <e v="#NAME?"/>
    <x v="9"/>
    <n v="0.1"/>
    <x v="1"/>
    <s v="Mainframe"/>
    <m/>
    <e v="#NAME?"/>
    <e v="#NAME?"/>
    <e v="#NAME?"/>
    <m/>
    <m/>
    <m/>
    <m/>
    <m/>
    <n v="0"/>
  </r>
  <r>
    <s v="C811403"/>
    <s v="JUAN FELIPE FORERO"/>
    <x v="3"/>
    <x v="11"/>
    <s v="BBVA"/>
    <e v="#NAME?"/>
    <x v="5"/>
    <n v="0.1"/>
    <x v="1"/>
    <s v="Mainframe"/>
    <m/>
    <e v="#NAME?"/>
    <e v="#NAME?"/>
    <e v="#NAME?"/>
    <m/>
    <m/>
    <m/>
    <m/>
    <m/>
    <n v="0"/>
  </r>
  <r>
    <s v="C811403"/>
    <s v="JUAN FELIPE FORERO"/>
    <x v="3"/>
    <x v="11"/>
    <s v="BBVA"/>
    <e v="#NAME?"/>
    <x v="3"/>
    <n v="0.2"/>
    <x v="1"/>
    <s v="Mainframe"/>
    <m/>
    <e v="#NAME?"/>
    <e v="#NAME?"/>
    <e v="#NAME?"/>
    <m/>
    <m/>
    <m/>
    <m/>
    <m/>
    <n v="0"/>
  </r>
  <r>
    <s v="T004374"/>
    <s v="JUAN SEBASTIAN MINA"/>
    <x v="3"/>
    <x v="11"/>
    <s v="KRYPTO"/>
    <e v="#NAME?"/>
    <x v="185"/>
    <n v="0.8"/>
    <x v="2"/>
    <s v="Mainframe"/>
    <m/>
    <e v="#NAME?"/>
    <e v="#NAME?"/>
    <e v="#NAME?"/>
    <m/>
    <m/>
    <m/>
    <m/>
    <m/>
    <n v="1"/>
  </r>
  <r>
    <s v="T004374"/>
    <s v="JUAN SEBASTIAN MINA"/>
    <x v="3"/>
    <x v="11"/>
    <s v="KRYPTO"/>
    <e v="#NAME?"/>
    <x v="3"/>
    <n v="0.2"/>
    <x v="2"/>
    <s v="Mainframe"/>
    <m/>
    <e v="#NAME?"/>
    <e v="#NAME?"/>
    <e v="#NAME?"/>
    <m/>
    <m/>
    <m/>
    <m/>
    <m/>
    <n v="0"/>
  </r>
  <r>
    <s v="T005122"/>
    <s v="JULIAN ANDRES ARENAS"/>
    <x v="3"/>
    <x v="11"/>
    <s v="Choucair"/>
    <e v="#NAME?"/>
    <x v="176"/>
    <n v="1"/>
    <x v="2"/>
    <s v="Distribuido"/>
    <m/>
    <e v="#NAME?"/>
    <e v="#NAME?"/>
    <e v="#NAME?"/>
    <m/>
    <m/>
    <m/>
    <m/>
    <m/>
    <n v="1"/>
  </r>
  <r>
    <s v="C343617"/>
    <s v="LEIDY NATALIA  GONZALEZ"/>
    <x v="3"/>
    <x v="11"/>
    <s v="BBVA"/>
    <e v="#NAME?"/>
    <x v="186"/>
    <n v="0.4"/>
    <x v="0"/>
    <s v="Otras Tec."/>
    <m/>
    <e v="#NAME?"/>
    <e v="#NAME?"/>
    <e v="#NAME?"/>
    <m/>
    <m/>
    <m/>
    <m/>
    <m/>
    <n v="1"/>
  </r>
  <r>
    <s v="C343617"/>
    <s v="LEIDY NATALIA  GONZALEZ"/>
    <x v="3"/>
    <x v="11"/>
    <s v="BBVA"/>
    <e v="#NAME?"/>
    <x v="3"/>
    <n v="0.6"/>
    <x v="0"/>
    <s v="Otras Tec."/>
    <m/>
    <e v="#NAME?"/>
    <e v="#NAME?"/>
    <e v="#NAME?"/>
    <m/>
    <m/>
    <m/>
    <m/>
    <m/>
    <n v="0"/>
  </r>
  <r>
    <s v="C811392"/>
    <s v="LEONARDO SIMBAQUEBA ESGUERRA"/>
    <x v="3"/>
    <x v="11"/>
    <s v="BBVA"/>
    <e v="#NAME?"/>
    <x v="187"/>
    <n v="0.4"/>
    <x v="0"/>
    <s v="Mainframe"/>
    <m/>
    <e v="#NAME?"/>
    <e v="#NAME?"/>
    <e v="#NAME?"/>
    <m/>
    <m/>
    <m/>
    <m/>
    <m/>
    <n v="1"/>
  </r>
  <r>
    <s v="C811392"/>
    <s v="LEONARDO SIMBAQUEBA ESGUERRA"/>
    <x v="3"/>
    <x v="11"/>
    <s v="BBVA"/>
    <e v="#NAME?"/>
    <x v="188"/>
    <n v="0.4"/>
    <x v="0"/>
    <s v="Mainframe"/>
    <m/>
    <e v="#NAME?"/>
    <e v="#NAME?"/>
    <e v="#NAME?"/>
    <m/>
    <m/>
    <m/>
    <m/>
    <m/>
    <n v="0"/>
  </r>
  <r>
    <s v="C811392"/>
    <s v="LEONARDO SIMBAQUEBA ESGUERRA"/>
    <x v="3"/>
    <x v="11"/>
    <s v="BBVA"/>
    <e v="#NAME?"/>
    <x v="88"/>
    <n v="0.2"/>
    <x v="0"/>
    <s v="Mainframe"/>
    <m/>
    <e v="#NAME?"/>
    <e v="#NAME?"/>
    <e v="#NAME?"/>
    <m/>
    <m/>
    <m/>
    <m/>
    <m/>
    <n v="0"/>
  </r>
  <r>
    <s v="T003366"/>
    <s v="LILIAN BEDUD RIOJAS GONZALEZ"/>
    <x v="3"/>
    <x v="11"/>
    <s v="Novatec"/>
    <e v="#NAME?"/>
    <x v="178"/>
    <n v="0.4"/>
    <x v="3"/>
    <s v="Mainframe"/>
    <m/>
    <e v="#NAME?"/>
    <e v="#NAME?"/>
    <e v="#NAME?"/>
    <m/>
    <m/>
    <m/>
    <m/>
    <m/>
    <n v="1"/>
  </r>
  <r>
    <s v="T003366"/>
    <s v="LILIAN BEDUD RIOJAS GONZALEZ"/>
    <x v="3"/>
    <x v="11"/>
    <s v="Novatec"/>
    <e v="#NAME?"/>
    <x v="181"/>
    <n v="0.3"/>
    <x v="3"/>
    <s v="Mainframe"/>
    <m/>
    <e v="#NAME?"/>
    <e v="#NAME?"/>
    <e v="#NAME?"/>
    <m/>
    <m/>
    <m/>
    <m/>
    <m/>
    <n v="0"/>
  </r>
  <r>
    <s v="T003366"/>
    <s v="LILIAN BEDUD RIOJAS GONZALEZ"/>
    <x v="3"/>
    <x v="11"/>
    <s v="Novatec"/>
    <e v="#NAME?"/>
    <x v="179"/>
    <n v="0.3"/>
    <x v="3"/>
    <s v="Mainframe"/>
    <m/>
    <e v="#NAME?"/>
    <e v="#NAME?"/>
    <e v="#NAME?"/>
    <m/>
    <m/>
    <m/>
    <m/>
    <m/>
    <n v="0"/>
  </r>
  <r>
    <s v="C811354"/>
    <s v="LIZET VANESSA VEGA BONILLA"/>
    <x v="3"/>
    <x v="11"/>
    <s v="BBVA"/>
    <e v="#NAME?"/>
    <x v="177"/>
    <n v="0.2"/>
    <x v="0"/>
    <s v="Mainframe"/>
    <m/>
    <e v="#NAME?"/>
    <e v="#NAME?"/>
    <e v="#NAME?"/>
    <m/>
    <m/>
    <m/>
    <m/>
    <m/>
    <n v="1"/>
  </r>
  <r>
    <s v="C811354"/>
    <s v="LIZET VANESSA VEGA BONILLA"/>
    <x v="3"/>
    <x v="11"/>
    <s v="BBVA"/>
    <e v="#NAME?"/>
    <x v="75"/>
    <n v="0.2"/>
    <x v="0"/>
    <s v="Mainframe"/>
    <m/>
    <e v="#NAME?"/>
    <e v="#NAME?"/>
    <e v="#NAME?"/>
    <m/>
    <m/>
    <m/>
    <m/>
    <m/>
    <n v="0"/>
  </r>
  <r>
    <s v="C811354"/>
    <s v="LIZET VANESSA VEGA BONILLA"/>
    <x v="3"/>
    <x v="11"/>
    <s v="BBVA"/>
    <e v="#NAME?"/>
    <x v="6"/>
    <n v="0.2"/>
    <x v="0"/>
    <s v="Mainframe"/>
    <m/>
    <e v="#NAME?"/>
    <e v="#NAME?"/>
    <e v="#NAME?"/>
    <m/>
    <m/>
    <m/>
    <m/>
    <m/>
    <n v="0"/>
  </r>
  <r>
    <s v="C811354"/>
    <s v="LIZET VANESSA VEGA BONILLA"/>
    <x v="3"/>
    <x v="11"/>
    <s v="BBVA"/>
    <e v="#NAME?"/>
    <x v="5"/>
    <n v="0.2"/>
    <x v="0"/>
    <s v="Mainframe"/>
    <m/>
    <e v="#NAME?"/>
    <e v="#NAME?"/>
    <e v="#NAME?"/>
    <m/>
    <m/>
    <m/>
    <m/>
    <m/>
    <n v="0"/>
  </r>
  <r>
    <s v="C811354"/>
    <s v="LIZET VANESSA VEGA BONILLA"/>
    <x v="3"/>
    <x v="11"/>
    <s v="BBVA"/>
    <e v="#NAME?"/>
    <x v="3"/>
    <n v="0.2"/>
    <x v="0"/>
    <s v="Mainframe"/>
    <m/>
    <e v="#NAME?"/>
    <e v="#NAME?"/>
    <e v="#NAME?"/>
    <m/>
    <m/>
    <m/>
    <m/>
    <m/>
    <n v="0"/>
  </r>
  <r>
    <s v="CE70711"/>
    <s v="LIZETH DAYANA RODRIGUEZ ACOSTA"/>
    <x v="3"/>
    <x v="11"/>
    <s v="Novatec"/>
    <e v="#NAME?"/>
    <x v="3"/>
    <n v="1"/>
    <x v="0"/>
    <s v="Mainframe"/>
    <m/>
    <e v="#NAME?"/>
    <e v="#NAME?"/>
    <e v="#NAME?"/>
    <m/>
    <m/>
    <m/>
    <m/>
    <m/>
    <n v="1"/>
  </r>
  <r>
    <s v="C811322"/>
    <s v="LUIS FERNANDO SABROSO"/>
    <x v="3"/>
    <x v="11"/>
    <s v="BBVA"/>
    <e v="#NAME?"/>
    <x v="174"/>
    <n v="1"/>
    <x v="0"/>
    <s v="ASO"/>
    <m/>
    <e v="#NAME?"/>
    <e v="#NAME?"/>
    <e v="#NAME?"/>
    <m/>
    <m/>
    <m/>
    <m/>
    <m/>
    <n v="1"/>
  </r>
  <r>
    <s v="CE66135"/>
    <s v="LUIS FERNANDO TORRES AVENDAÑO"/>
    <x v="3"/>
    <x v="11"/>
    <s v="Inetum"/>
    <e v="#NAME?"/>
    <x v="174"/>
    <n v="1"/>
    <x v="0"/>
    <s v="Mainframe"/>
    <m/>
    <e v="#NAME?"/>
    <e v="#NAME?"/>
    <e v="#NAME?"/>
    <m/>
    <m/>
    <m/>
    <m/>
    <m/>
    <n v="1"/>
  </r>
  <r>
    <s v="CE43328"/>
    <s v="LUZ ENEY ACEVEDO MATEUS"/>
    <x v="3"/>
    <x v="11"/>
    <s v="Novatec"/>
    <e v="#NAME?"/>
    <x v="3"/>
    <n v="1"/>
    <x v="0"/>
    <s v="Mainframe"/>
    <m/>
    <e v="#NAME?"/>
    <e v="#NAME?"/>
    <e v="#NAME?"/>
    <m/>
    <m/>
    <m/>
    <m/>
    <m/>
    <n v="1"/>
  </r>
  <r>
    <s v="C808232"/>
    <s v="MARIA FERNANDA RUSSI"/>
    <x v="3"/>
    <x v="11"/>
    <s v="BBVA"/>
    <e v="#NAME?"/>
    <x v="3"/>
    <n v="0.3"/>
    <x v="0"/>
    <s v="Mainframe"/>
    <m/>
    <e v="#NAME?"/>
    <e v="#NAME?"/>
    <e v="#NAME?"/>
    <m/>
    <m/>
    <m/>
    <m/>
    <m/>
    <n v="1"/>
  </r>
  <r>
    <s v="C808232"/>
    <s v="MARIA FERNANDA RUSSI"/>
    <x v="3"/>
    <x v="11"/>
    <s v="BBVA"/>
    <e v="#NAME?"/>
    <x v="189"/>
    <n v="0.7"/>
    <x v="0"/>
    <s v="Mainframe"/>
    <m/>
    <e v="#NAME?"/>
    <e v="#NAME?"/>
    <e v="#NAME?"/>
    <m/>
    <m/>
    <m/>
    <m/>
    <m/>
    <n v="0"/>
  </r>
  <r>
    <s v="T008491"/>
    <s v="MARITZA CASTILLO NAVARRO"/>
    <x v="3"/>
    <x v="11"/>
    <s v="Inetum"/>
    <e v="#NAME?"/>
    <x v="189"/>
    <n v="0.3"/>
    <x v="3"/>
    <s v="Mainframe"/>
    <m/>
    <e v="#NAME?"/>
    <e v="#NAME?"/>
    <e v="#NAME?"/>
    <m/>
    <m/>
    <m/>
    <m/>
    <m/>
    <n v="1"/>
  </r>
  <r>
    <s v="T008491"/>
    <s v="MARITZA CASTILLO NAVARRO"/>
    <x v="3"/>
    <x v="11"/>
    <s v="Inetum"/>
    <e v="#NAME?"/>
    <x v="185"/>
    <n v="0.3"/>
    <x v="3"/>
    <s v="Mainframe"/>
    <m/>
    <e v="#NAME?"/>
    <e v="#NAME?"/>
    <e v="#NAME?"/>
    <m/>
    <m/>
    <m/>
    <m/>
    <m/>
    <n v="0"/>
  </r>
  <r>
    <s v="T008491"/>
    <s v="MARITZA CASTILLO NAVARRO"/>
    <x v="3"/>
    <x v="11"/>
    <s v="Inetum"/>
    <e v="#NAME?"/>
    <x v="165"/>
    <n v="0.2"/>
    <x v="3"/>
    <s v="Mainframe"/>
    <m/>
    <e v="#NAME?"/>
    <e v="#NAME?"/>
    <e v="#NAME?"/>
    <m/>
    <m/>
    <m/>
    <m/>
    <m/>
    <n v="0"/>
  </r>
  <r>
    <s v="T008491"/>
    <s v="MARITZA CASTILLO NAVARRO"/>
    <x v="3"/>
    <x v="11"/>
    <s v="Inetum"/>
    <e v="#NAME?"/>
    <x v="9"/>
    <n v="0.2"/>
    <x v="3"/>
    <s v="Mainframe"/>
    <m/>
    <e v="#NAME?"/>
    <e v="#NAME?"/>
    <e v="#NAME?"/>
    <m/>
    <m/>
    <m/>
    <m/>
    <m/>
    <n v="0"/>
  </r>
  <r>
    <s v="C805863"/>
    <s v="MARTA PATRICIA VELANDIA SIZA"/>
    <x v="3"/>
    <x v="11"/>
    <s v="BBVA"/>
    <e v="#NAME?"/>
    <x v="176"/>
    <n v="1"/>
    <x v="0"/>
    <s v="Mainframe"/>
    <m/>
    <e v="#NAME?"/>
    <e v="#NAME?"/>
    <e v="#NAME?"/>
    <m/>
    <m/>
    <m/>
    <m/>
    <m/>
    <n v="1"/>
  </r>
  <r>
    <s v="O000190"/>
    <s v="MARTHA LILIANA RUSSY CHAVARRO"/>
    <x v="3"/>
    <x v="11"/>
    <s v="BBVA"/>
    <e v="#NAME?"/>
    <x v="190"/>
    <n v="0.5"/>
    <x v="0"/>
    <s v="Mainframe"/>
    <m/>
    <e v="#NAME?"/>
    <e v="#NAME?"/>
    <e v="#NAME?"/>
    <m/>
    <m/>
    <m/>
    <m/>
    <m/>
    <n v="1"/>
  </r>
  <r>
    <s v="O000190"/>
    <s v="MARTHA LILIANA RUSSY CHAVARRO"/>
    <x v="3"/>
    <x v="11"/>
    <s v="BBVA"/>
    <e v="#NAME?"/>
    <x v="3"/>
    <n v="0.5"/>
    <x v="0"/>
    <s v="Mainframe"/>
    <m/>
    <e v="#NAME?"/>
    <e v="#NAME?"/>
    <e v="#NAME?"/>
    <m/>
    <m/>
    <m/>
    <m/>
    <m/>
    <n v="0"/>
  </r>
  <r>
    <s v="CE18306"/>
    <s v="MARY LUZ RODRIGUEZ"/>
    <x v="3"/>
    <x v="11"/>
    <s v="Inetum"/>
    <e v="#NAME?"/>
    <x v="174"/>
    <n v="0.1"/>
    <x v="2"/>
    <s v="Mainframe"/>
    <m/>
    <e v="#NAME?"/>
    <e v="#NAME?"/>
    <e v="#NAME?"/>
    <m/>
    <m/>
    <m/>
    <m/>
    <m/>
    <n v="1"/>
  </r>
  <r>
    <s v="CE18306"/>
    <s v="MARY LUZ RODRIGUEZ"/>
    <x v="3"/>
    <x v="11"/>
    <s v="Inetum"/>
    <e v="#NAME?"/>
    <x v="3"/>
    <n v="0.6"/>
    <x v="2"/>
    <s v="Mainframe"/>
    <m/>
    <e v="#NAME?"/>
    <e v="#NAME?"/>
    <e v="#NAME?"/>
    <m/>
    <m/>
    <m/>
    <m/>
    <m/>
    <n v="0"/>
  </r>
  <r>
    <s v="CE18306"/>
    <s v="MARY LUZ RODRIGUEZ"/>
    <x v="3"/>
    <x v="11"/>
    <s v="Inetum"/>
    <e v="#NAME?"/>
    <x v="182"/>
    <n v="0.2"/>
    <x v="2"/>
    <s v="Mainframe"/>
    <m/>
    <e v="#NAME?"/>
    <e v="#NAME?"/>
    <e v="#NAME?"/>
    <m/>
    <m/>
    <m/>
    <m/>
    <m/>
    <n v="0"/>
  </r>
  <r>
    <s v="CE18306"/>
    <s v="MARY LUZ RODRIGUEZ"/>
    <x v="3"/>
    <x v="11"/>
    <s v="Inetum"/>
    <e v="#NAME?"/>
    <x v="175"/>
    <n v="0.1"/>
    <x v="2"/>
    <s v="Mainframe"/>
    <m/>
    <e v="#NAME?"/>
    <e v="#NAME?"/>
    <e v="#NAME?"/>
    <m/>
    <m/>
    <m/>
    <m/>
    <m/>
    <n v="0"/>
  </r>
  <r>
    <s v="C805726"/>
    <s v="MAURICIO ANDRES NUÑEZ ORTEGON"/>
    <x v="3"/>
    <x v="11"/>
    <s v="BBVA"/>
    <e v="#NAME?"/>
    <x v="177"/>
    <n v="0.6"/>
    <x v="0"/>
    <s v="Mainframe"/>
    <m/>
    <e v="#NAME?"/>
    <e v="#NAME?"/>
    <e v="#NAME?"/>
    <m/>
    <m/>
    <m/>
    <m/>
    <m/>
    <n v="1"/>
  </r>
  <r>
    <s v="C805726"/>
    <s v="MAURICIO ANDRES NUÑEZ ORTEGON"/>
    <x v="3"/>
    <x v="11"/>
    <s v="BBVA"/>
    <e v="#NAME?"/>
    <x v="6"/>
    <n v="0.4"/>
    <x v="0"/>
    <s v="Mainframe"/>
    <m/>
    <e v="#NAME?"/>
    <e v="#NAME?"/>
    <e v="#NAME?"/>
    <m/>
    <m/>
    <m/>
    <m/>
    <m/>
    <n v="0"/>
  </r>
  <r>
    <s v="C804381"/>
    <s v="MAYKER GUILLERMO LOPEZ"/>
    <x v="3"/>
    <x v="11"/>
    <s v="BBVA"/>
    <e v="#NAME?"/>
    <x v="187"/>
    <n v="0.25"/>
    <x v="0"/>
    <s v="Mainframe"/>
    <m/>
    <e v="#NAME?"/>
    <e v="#NAME?"/>
    <e v="#NAME?"/>
    <m/>
    <m/>
    <m/>
    <m/>
    <m/>
    <n v="1"/>
  </r>
  <r>
    <s v="C804381"/>
    <s v="MAYKER GUILLERMO LOPEZ"/>
    <x v="3"/>
    <x v="11"/>
    <s v="BBVA"/>
    <e v="#NAME?"/>
    <x v="191"/>
    <n v="0.25"/>
    <x v="0"/>
    <s v="Mainframe"/>
    <m/>
    <e v="#NAME?"/>
    <e v="#NAME?"/>
    <e v="#NAME?"/>
    <m/>
    <m/>
    <m/>
    <m/>
    <m/>
    <n v="0"/>
  </r>
  <r>
    <s v="C804381"/>
    <s v="MAYKER GUILLERMO LOPEZ"/>
    <x v="3"/>
    <x v="11"/>
    <s v="BBVA"/>
    <e v="#NAME?"/>
    <x v="188"/>
    <n v="0.25"/>
    <x v="0"/>
    <s v="Mainframe"/>
    <m/>
    <e v="#NAME?"/>
    <e v="#NAME?"/>
    <e v="#NAME?"/>
    <m/>
    <m/>
    <m/>
    <m/>
    <m/>
    <n v="0"/>
  </r>
  <r>
    <s v="C804381"/>
    <s v="MAYKER GUILLERMO LOPEZ"/>
    <x v="3"/>
    <x v="11"/>
    <s v="BBVA"/>
    <e v="#NAME?"/>
    <x v="192"/>
    <n v="0.25"/>
    <x v="0"/>
    <s v="Mainframe"/>
    <m/>
    <e v="#NAME?"/>
    <e v="#NAME?"/>
    <e v="#NAME?"/>
    <m/>
    <m/>
    <m/>
    <m/>
    <m/>
    <n v="0"/>
  </r>
  <r>
    <s v="C810789"/>
    <s v="MICHAEL JULIAN GARZON"/>
    <x v="3"/>
    <x v="11"/>
    <s v="BBVA"/>
    <e v="#NAME?"/>
    <x v="174"/>
    <n v="0.8"/>
    <x v="0"/>
    <s v="APX"/>
    <m/>
    <e v="#NAME?"/>
    <e v="#NAME?"/>
    <e v="#NAME?"/>
    <m/>
    <m/>
    <m/>
    <m/>
    <m/>
    <n v="1"/>
  </r>
  <r>
    <s v="C810789"/>
    <s v="MICHAEL JULIAN GARZON"/>
    <x v="3"/>
    <x v="11"/>
    <s v="BBVA"/>
    <e v="#NAME?"/>
    <x v="115"/>
    <n v="0.2"/>
    <x v="0"/>
    <s v="APX"/>
    <m/>
    <e v="#NAME?"/>
    <e v="#NAME?"/>
    <e v="#NAME?"/>
    <m/>
    <m/>
    <m/>
    <m/>
    <m/>
    <n v="0"/>
  </r>
  <r>
    <s v="C679763"/>
    <s v="MIGUEL ANGEL POLOCHE DIAZ"/>
    <x v="3"/>
    <x v="11"/>
    <s v="BBVA"/>
    <e v="#NAME?"/>
    <x v="186"/>
    <n v="0.15"/>
    <x v="1"/>
    <s v="Mainframe"/>
    <m/>
    <e v="#NAME?"/>
    <e v="#NAME?"/>
    <e v="#NAME?"/>
    <m/>
    <m/>
    <m/>
    <m/>
    <m/>
    <n v="1"/>
  </r>
  <r>
    <s v="C679763"/>
    <s v="MIGUEL ANGEL POLOCHE DIAZ"/>
    <x v="3"/>
    <x v="11"/>
    <s v="BBVA"/>
    <e v="#NAME?"/>
    <x v="3"/>
    <n v="0.1"/>
    <x v="1"/>
    <s v="Mainframe"/>
    <m/>
    <e v="#NAME?"/>
    <e v="#NAME?"/>
    <e v="#NAME?"/>
    <m/>
    <m/>
    <m/>
    <m/>
    <m/>
    <n v="0"/>
  </r>
  <r>
    <s v="C679763"/>
    <s v="MIGUEL ANGEL POLOCHE DIAZ"/>
    <x v="3"/>
    <x v="11"/>
    <s v="BBVA"/>
    <e v="#NAME?"/>
    <x v="187"/>
    <n v="0.15"/>
    <x v="1"/>
    <s v="Mainframe"/>
    <m/>
    <e v="#NAME?"/>
    <e v="#NAME?"/>
    <e v="#NAME?"/>
    <m/>
    <m/>
    <m/>
    <m/>
    <m/>
    <n v="0"/>
  </r>
  <r>
    <s v="C679763"/>
    <s v="MIGUEL ANGEL POLOCHE DIAZ"/>
    <x v="3"/>
    <x v="11"/>
    <s v="BBVA"/>
    <e v="#NAME?"/>
    <x v="191"/>
    <n v="0.15"/>
    <x v="1"/>
    <s v="Mainframe"/>
    <m/>
    <e v="#NAME?"/>
    <e v="#NAME?"/>
    <e v="#NAME?"/>
    <m/>
    <m/>
    <m/>
    <m/>
    <m/>
    <n v="0"/>
  </r>
  <r>
    <s v="C679763"/>
    <s v="MIGUEL ANGEL POLOCHE DIAZ"/>
    <x v="3"/>
    <x v="11"/>
    <s v="BBVA"/>
    <e v="#NAME?"/>
    <x v="188"/>
    <n v="0.15"/>
    <x v="1"/>
    <s v="Mainframe"/>
    <m/>
    <e v="#NAME?"/>
    <e v="#NAME?"/>
    <e v="#NAME?"/>
    <m/>
    <m/>
    <m/>
    <m/>
    <m/>
    <n v="0"/>
  </r>
  <r>
    <s v="C679763"/>
    <s v="MIGUEL ANGEL POLOCHE DIAZ"/>
    <x v="3"/>
    <x v="11"/>
    <s v="BBVA"/>
    <e v="#NAME?"/>
    <x v="192"/>
    <n v="0.15"/>
    <x v="1"/>
    <s v="Mainframe"/>
    <m/>
    <e v="#NAME?"/>
    <e v="#NAME?"/>
    <e v="#NAME?"/>
    <m/>
    <m/>
    <m/>
    <m/>
    <m/>
    <n v="0"/>
  </r>
  <r>
    <s v="C679763"/>
    <s v="MIGUEL ANGEL POLOCHE DIAZ"/>
    <x v="3"/>
    <x v="11"/>
    <s v="BBVA"/>
    <e v="#NAME?"/>
    <x v="88"/>
    <n v="0.15"/>
    <x v="1"/>
    <s v="Mainframe"/>
    <m/>
    <e v="#NAME?"/>
    <e v="#NAME?"/>
    <e v="#NAME?"/>
    <m/>
    <m/>
    <m/>
    <m/>
    <m/>
    <n v="0"/>
  </r>
  <r>
    <s v="C805989"/>
    <s v="NATALIA ANDREA SAMBONI"/>
    <x v="3"/>
    <x v="11"/>
    <s v="BBVA"/>
    <e v="#NAME?"/>
    <x v="182"/>
    <n v="0.4"/>
    <x v="3"/>
    <s v="Mainframe"/>
    <m/>
    <e v="#NAME?"/>
    <e v="#NAME?"/>
    <e v="#NAME?"/>
    <m/>
    <m/>
    <m/>
    <m/>
    <m/>
    <n v="1"/>
  </r>
  <r>
    <s v="C805989"/>
    <s v="NATALIA ANDREA SAMBONI"/>
    <x v="3"/>
    <x v="11"/>
    <s v="BBVA"/>
    <e v="#NAME?"/>
    <x v="183"/>
    <n v="0.3"/>
    <x v="3"/>
    <s v="Mainframe"/>
    <m/>
    <e v="#NAME?"/>
    <e v="#NAME?"/>
    <e v="#NAME?"/>
    <m/>
    <m/>
    <m/>
    <m/>
    <m/>
    <n v="0"/>
  </r>
  <r>
    <s v="C805989"/>
    <s v="NATALIA ANDREA SAMBONI"/>
    <x v="3"/>
    <x v="11"/>
    <s v="BBVA"/>
    <e v="#NAME?"/>
    <x v="3"/>
    <n v="0.3"/>
    <x v="3"/>
    <s v="Mainframe"/>
    <m/>
    <e v="#NAME?"/>
    <e v="#NAME?"/>
    <e v="#NAME?"/>
    <m/>
    <m/>
    <m/>
    <m/>
    <m/>
    <n v="0"/>
  </r>
  <r>
    <s v="C805958"/>
    <s v="NICO NIÑO VERGARA"/>
    <x v="3"/>
    <x v="11"/>
    <s v="BBVA"/>
    <e v="#NAME?"/>
    <x v="175"/>
    <n v="1"/>
    <x v="0"/>
    <s v="APX"/>
    <m/>
    <e v="#NAME?"/>
    <e v="#NAME?"/>
    <e v="#NAME?"/>
    <m/>
    <m/>
    <m/>
    <m/>
    <m/>
    <n v="1"/>
  </r>
  <r>
    <s v="C342042"/>
    <s v="RICARDO ANDRES CERRATO"/>
    <x v="3"/>
    <x v="11"/>
    <s v="BBVA"/>
    <e v="#NAME?"/>
    <x v="178"/>
    <n v="0.15"/>
    <x v="1"/>
    <s v="Mainframe"/>
    <m/>
    <e v="#NAME?"/>
    <e v="#NAME?"/>
    <e v="#NAME?"/>
    <m/>
    <m/>
    <m/>
    <m/>
    <m/>
    <n v="1"/>
  </r>
  <r>
    <s v="C342042"/>
    <s v="RICARDO ANDRES CERRATO"/>
    <x v="3"/>
    <x v="11"/>
    <s v="BBVA"/>
    <e v="#NAME?"/>
    <x v="189"/>
    <n v="0.2"/>
    <x v="1"/>
    <s v="Mainframe"/>
    <m/>
    <e v="#NAME?"/>
    <e v="#NAME?"/>
    <e v="#NAME?"/>
    <m/>
    <m/>
    <m/>
    <m/>
    <m/>
    <n v="0"/>
  </r>
  <r>
    <s v="C342042"/>
    <s v="RICARDO ANDRES CERRATO"/>
    <x v="3"/>
    <x v="11"/>
    <s v="BBVA"/>
    <e v="#NAME?"/>
    <x v="185"/>
    <n v="0.25"/>
    <x v="1"/>
    <s v="Mainframe"/>
    <m/>
    <e v="#NAME?"/>
    <e v="#NAME?"/>
    <e v="#NAME?"/>
    <m/>
    <m/>
    <m/>
    <m/>
    <m/>
    <n v="0"/>
  </r>
  <r>
    <s v="C342042"/>
    <s v="RICARDO ANDRES CERRATO"/>
    <x v="3"/>
    <x v="11"/>
    <s v="BBVA"/>
    <e v="#NAME?"/>
    <x v="181"/>
    <n v="0.15"/>
    <x v="1"/>
    <s v="Mainframe"/>
    <m/>
    <e v="#NAME?"/>
    <e v="#NAME?"/>
    <e v="#NAME?"/>
    <m/>
    <m/>
    <m/>
    <m/>
    <m/>
    <n v="0"/>
  </r>
  <r>
    <s v="C342042"/>
    <s v="RICARDO ANDRES CERRATO"/>
    <x v="3"/>
    <x v="11"/>
    <s v="BBVA"/>
    <e v="#NAME?"/>
    <x v="165"/>
    <n v="0.05"/>
    <x v="1"/>
    <s v="Mainframe"/>
    <m/>
    <e v="#NAME?"/>
    <e v="#NAME?"/>
    <e v="#NAME?"/>
    <m/>
    <m/>
    <m/>
    <m/>
    <m/>
    <n v="0"/>
  </r>
  <r>
    <s v="C342042"/>
    <s v="RICARDO ANDRES CERRATO"/>
    <x v="3"/>
    <x v="11"/>
    <s v="BBVA"/>
    <e v="#NAME?"/>
    <x v="179"/>
    <n v="0.1"/>
    <x v="1"/>
    <s v="Mainframe"/>
    <m/>
    <e v="#NAME?"/>
    <e v="#NAME?"/>
    <e v="#NAME?"/>
    <m/>
    <m/>
    <m/>
    <m/>
    <m/>
    <n v="0"/>
  </r>
  <r>
    <s v="C342042"/>
    <s v="RICARDO ANDRES CERRATO"/>
    <x v="3"/>
    <x v="11"/>
    <s v="BBVA"/>
    <e v="#NAME?"/>
    <x v="3"/>
    <n v="0.1"/>
    <x v="1"/>
    <s v="Mainframe"/>
    <m/>
    <e v="#NAME?"/>
    <e v="#NAME?"/>
    <e v="#NAME?"/>
    <m/>
    <m/>
    <m/>
    <m/>
    <m/>
    <n v="0"/>
  </r>
  <r>
    <s v="C810792"/>
    <s v="ROBER ESNEIDER PARRA POLANIA"/>
    <x v="3"/>
    <x v="11"/>
    <s v="BBVA"/>
    <e v="#NAME?"/>
    <x v="190"/>
    <n v="0.5"/>
    <x v="0"/>
    <s v="Mainframe"/>
    <m/>
    <e v="#NAME?"/>
    <e v="#NAME?"/>
    <e v="#NAME?"/>
    <m/>
    <m/>
    <m/>
    <m/>
    <m/>
    <n v="1"/>
  </r>
  <r>
    <s v="C810792"/>
    <s v="ROBER ESNEIDER PARRA POLANIA"/>
    <x v="3"/>
    <x v="11"/>
    <s v="BBVA"/>
    <e v="#NAME?"/>
    <x v="3"/>
    <n v="0.5"/>
    <x v="0"/>
    <s v="Mainframe"/>
    <m/>
    <e v="#NAME?"/>
    <e v="#NAME?"/>
    <e v="#NAME?"/>
    <m/>
    <m/>
    <m/>
    <m/>
    <m/>
    <n v="0"/>
  </r>
  <r>
    <s v="O000103"/>
    <s v="TATIANA  PAOLA PEREIRA RIOS"/>
    <x v="3"/>
    <x v="11"/>
    <s v="BBVA"/>
    <e v="#NAME?"/>
    <x v="182"/>
    <n v="0.1"/>
    <x v="0"/>
    <s v="Mainframe"/>
    <m/>
    <e v="#NAME?"/>
    <e v="#NAME?"/>
    <e v="#NAME?"/>
    <m/>
    <m/>
    <m/>
    <m/>
    <m/>
    <n v="1"/>
  </r>
  <r>
    <s v="O000103"/>
    <s v="TATIANA  PAOLA PEREIRA RIOS"/>
    <x v="3"/>
    <x v="11"/>
    <s v="BBVA"/>
    <e v="#NAME?"/>
    <x v="3"/>
    <n v="0.3"/>
    <x v="0"/>
    <s v="Mainframe"/>
    <m/>
    <e v="#NAME?"/>
    <e v="#NAME?"/>
    <e v="#NAME?"/>
    <m/>
    <m/>
    <m/>
    <m/>
    <m/>
    <n v="0"/>
  </r>
  <r>
    <s v="O000103"/>
    <s v="TATIANA  PAOLA PEREIRA RIOS"/>
    <x v="3"/>
    <x v="11"/>
    <s v="BBVA"/>
    <e v="#NAME?"/>
    <x v="183"/>
    <n v="0.3"/>
    <x v="0"/>
    <s v="Mainframe"/>
    <m/>
    <e v="#NAME?"/>
    <e v="#NAME?"/>
    <e v="#NAME?"/>
    <m/>
    <m/>
    <m/>
    <m/>
    <m/>
    <n v="0"/>
  </r>
  <r>
    <s v="O000103"/>
    <s v="TATIANA  PAOLA PEREIRA RIOS"/>
    <x v="3"/>
    <x v="11"/>
    <s v="BBVA"/>
    <e v="#NAME?"/>
    <x v="75"/>
    <n v="0.3"/>
    <x v="0"/>
    <s v="Mainframe"/>
    <m/>
    <e v="#NAME?"/>
    <e v="#NAME?"/>
    <e v="#NAME?"/>
    <m/>
    <m/>
    <m/>
    <m/>
    <m/>
    <n v="0"/>
  </r>
  <r>
    <s v="C808282"/>
    <s v="WBEIMAR MURILLO"/>
    <x v="3"/>
    <x v="11"/>
    <s v="BBVA"/>
    <e v="#NAME?"/>
    <x v="3"/>
    <n v="0.2"/>
    <x v="0"/>
    <s v="Mainframe"/>
    <m/>
    <e v="#NAME?"/>
    <e v="#NAME?"/>
    <e v="#NAME?"/>
    <m/>
    <m/>
    <m/>
    <m/>
    <m/>
    <n v="1"/>
  </r>
  <r>
    <s v="C808282"/>
    <s v="WBEIMAR MURILLO"/>
    <x v="3"/>
    <x v="11"/>
    <s v="BBVA"/>
    <e v="#NAME?"/>
    <x v="185"/>
    <n v="0.8"/>
    <x v="0"/>
    <s v="Mainframe"/>
    <m/>
    <e v="#NAME?"/>
    <e v="#NAME?"/>
    <e v="#NAME?"/>
    <m/>
    <m/>
    <m/>
    <m/>
    <m/>
    <n v="0"/>
  </r>
  <r>
    <s v="C343509"/>
    <s v="WILLIAM LEONARDO ESPITIA FRANCO"/>
    <x v="3"/>
    <x v="11"/>
    <s v="BBVA"/>
    <e v="#NAME?"/>
    <x v="183"/>
    <n v="0.6"/>
    <x v="0"/>
    <s v="Mainframe"/>
    <m/>
    <e v="#NAME?"/>
    <e v="#NAME?"/>
    <e v="#NAME?"/>
    <m/>
    <m/>
    <m/>
    <m/>
    <m/>
    <n v="1"/>
  </r>
  <r>
    <s v="C343509"/>
    <s v="WILLIAM LEONARDO ESPITIA FRANCO"/>
    <x v="3"/>
    <x v="11"/>
    <s v="BBVA"/>
    <e v="#NAME?"/>
    <x v="3"/>
    <n v="0.4"/>
    <x v="0"/>
    <s v="Mainframe"/>
    <m/>
    <e v="#NAME?"/>
    <e v="#NAME?"/>
    <e v="#NAME?"/>
    <m/>
    <m/>
    <m/>
    <m/>
    <m/>
    <n v="0"/>
  </r>
  <r>
    <s v="C811175"/>
    <s v="CIRO ALONSO RINCON HERNANDEZ"/>
    <x v="3"/>
    <x v="11"/>
    <s v="BBVA"/>
    <e v="#NAME?"/>
    <x v="9"/>
    <n v="0.6"/>
    <x v="0"/>
    <s v="Mainframe"/>
    <m/>
    <e v="#NAME?"/>
    <e v="#NAME?"/>
    <e v="#NAME?"/>
    <m/>
    <m/>
    <m/>
    <m/>
    <m/>
    <n v="1"/>
  </r>
  <r>
    <s v="C803916"/>
    <s v="SERGIO EDUARDO MARTINEZ LOPEZ"/>
    <x v="5"/>
    <x v="21"/>
    <s v="BBVA"/>
    <e v="#NAME?"/>
    <x v="3"/>
    <n v="0.25"/>
    <x v="1"/>
    <s v="Distribuido"/>
    <m/>
    <e v="#NAME?"/>
    <e v="#NAME?"/>
    <e v="#NAME?"/>
    <m/>
    <m/>
    <m/>
    <m/>
    <m/>
    <m/>
  </r>
  <r>
    <s v="C803916"/>
    <s v="SERGIO EDUARDO MARTINEZ LOPEZ"/>
    <x v="5"/>
    <x v="21"/>
    <s v="BBVA"/>
    <e v="#NAME?"/>
    <x v="193"/>
    <n v="0.75"/>
    <x v="1"/>
    <s v="Distribuido"/>
    <m/>
    <e v="#NAME?"/>
    <e v="#NAME?"/>
    <e v="#NAME?"/>
    <m/>
    <m/>
    <m/>
    <m/>
    <m/>
    <m/>
  </r>
  <r>
    <s v="C811189"/>
    <s v="JUAN PABLO MILLAN MORALES"/>
    <x v="5"/>
    <x v="21"/>
    <s v="BBVA"/>
    <e v="#NAME?"/>
    <x v="3"/>
    <n v="0.25"/>
    <x v="0"/>
    <s v="ASO"/>
    <m/>
    <e v="#NAME?"/>
    <e v="#NAME?"/>
    <e v="#NAME?"/>
    <m/>
    <m/>
    <m/>
    <m/>
    <m/>
    <m/>
  </r>
  <r>
    <s v="C811189"/>
    <s v="JUAN PABLO MILLAN MORALES"/>
    <x v="5"/>
    <x v="21"/>
    <s v="BBVA"/>
    <e v="#NAME?"/>
    <x v="193"/>
    <n v="0.75"/>
    <x v="0"/>
    <s v="ASO"/>
    <m/>
    <e v="#NAME?"/>
    <e v="#NAME?"/>
    <e v="#NAME?"/>
    <m/>
    <m/>
    <m/>
    <m/>
    <m/>
    <m/>
  </r>
  <r>
    <s v="C342045"/>
    <s v="NELSON JAVIER MONCADA GELVES"/>
    <x v="5"/>
    <x v="21"/>
    <s v="BBVA"/>
    <e v="#NAME?"/>
    <x v="193"/>
    <n v="0.75"/>
    <x v="0"/>
    <s v="Mainframe"/>
    <m/>
    <e v="#NAME?"/>
    <e v="#NAME?"/>
    <e v="#NAME?"/>
    <m/>
    <m/>
    <m/>
    <m/>
    <m/>
    <m/>
  </r>
  <r>
    <s v="C342045"/>
    <s v="NELSON JAVIER MONCADA GELVES"/>
    <x v="5"/>
    <x v="21"/>
    <s v="BBVA"/>
    <e v="#NAME?"/>
    <x v="160"/>
    <n v="0.25"/>
    <x v="0"/>
    <s v="Mainframe"/>
    <m/>
    <e v="#NAME?"/>
    <e v="#NAME?"/>
    <e v="#NAME?"/>
    <m/>
    <m/>
    <m/>
    <m/>
    <m/>
    <m/>
  </r>
  <r>
    <s v="C809565"/>
    <s v="JOAN CAMILO CHIVATA SANCHEZ"/>
    <x v="5"/>
    <x v="21"/>
    <s v="BBVA"/>
    <e v="#NAME?"/>
    <x v="3"/>
    <n v="1"/>
    <x v="0"/>
    <s v="Mainframe"/>
    <m/>
    <e v="#NAME?"/>
    <e v="#NAME?"/>
    <e v="#NAME?"/>
    <m/>
    <m/>
    <m/>
    <m/>
    <m/>
    <m/>
  </r>
  <r>
    <s v="C810952"/>
    <s v="JUAN SEBASTIAN AYALA RENDON"/>
    <x v="5"/>
    <x v="21"/>
    <s v="BBVA"/>
    <e v="#NAME?"/>
    <x v="3"/>
    <n v="1"/>
    <x v="0"/>
    <s v="ASO"/>
    <m/>
    <e v="#NAME?"/>
    <e v="#NAME?"/>
    <e v="#NAME?"/>
    <m/>
    <m/>
    <m/>
    <m/>
    <m/>
    <m/>
  </r>
  <r>
    <s v="C805933"/>
    <s v="BRAYAN NICOLAS PEÑA QUINTANA"/>
    <x v="5"/>
    <x v="21"/>
    <s v="BBVA"/>
    <e v="#NAME?"/>
    <x v="3"/>
    <n v="1"/>
    <x v="0"/>
    <s v="Distribuido"/>
    <m/>
    <e v="#NAME?"/>
    <e v="#NAME?"/>
    <e v="#NAME?"/>
    <m/>
    <m/>
    <m/>
    <m/>
    <m/>
    <m/>
  </r>
  <r>
    <s v="C804547"/>
    <s v="CARLOS MARIO BERNAL CASTRO"/>
    <x v="5"/>
    <x v="21"/>
    <s v="BBVA"/>
    <e v="#NAME?"/>
    <x v="193"/>
    <n v="0.5"/>
    <x v="1"/>
    <s v="ASO"/>
    <m/>
    <e v="#NAME?"/>
    <e v="#NAME?"/>
    <e v="#NAME?"/>
    <m/>
    <m/>
    <m/>
    <m/>
    <m/>
    <m/>
  </r>
  <r>
    <s v="C804547"/>
    <s v="CARLOS MARIO BERNAL CASTRO"/>
    <x v="5"/>
    <x v="21"/>
    <s v="BBVA"/>
    <e v="#NAME?"/>
    <x v="160"/>
    <n v="0.5"/>
    <x v="1"/>
    <s v="ASO"/>
    <m/>
    <e v="#NAME?"/>
    <e v="#NAME?"/>
    <e v="#NAME?"/>
    <m/>
    <m/>
    <m/>
    <m/>
    <m/>
    <m/>
  </r>
  <r>
    <s v="C802282"/>
    <s v="DIEGO SANTOS DUARTE CUELLAR"/>
    <x v="5"/>
    <x v="21"/>
    <s v="BBVA"/>
    <e v="#NAME?"/>
    <x v="160"/>
    <n v="1"/>
    <x v="0"/>
    <s v="Distribuido"/>
    <m/>
    <e v="#NAME?"/>
    <e v="#NAME?"/>
    <e v="#NAME?"/>
    <m/>
    <m/>
    <m/>
    <m/>
    <m/>
    <m/>
  </r>
  <r>
    <s v="C343114"/>
    <s v="VICTOR HUGO DIAZ CERON"/>
    <x v="5"/>
    <x v="21"/>
    <s v="BBVA"/>
    <e v="#NAME?"/>
    <x v="160"/>
    <n v="1"/>
    <x v="0"/>
    <s v="Distribuido"/>
    <m/>
    <e v="#NAME?"/>
    <e v="#NAME?"/>
    <e v="#NAME?"/>
    <m/>
    <m/>
    <m/>
    <m/>
    <m/>
    <m/>
  </r>
  <r>
    <s v="O002666"/>
    <s v="DAVID ESTEBAN ARAGON PEÑUELA"/>
    <x v="5"/>
    <x v="21"/>
    <s v="BBVA"/>
    <e v="#NAME?"/>
    <x v="193"/>
    <n v="1"/>
    <x v="0"/>
    <s v="ASO"/>
    <m/>
    <e v="#NAME?"/>
    <e v="#NAME?"/>
    <e v="#NAME?"/>
    <m/>
    <m/>
    <m/>
    <m/>
    <m/>
    <m/>
  </r>
  <r>
    <s v="C811379"/>
    <s v="CAMILO ANDRES MUÑOZ CAICEDO"/>
    <x v="5"/>
    <x v="21"/>
    <s v="BBVA"/>
    <e v="#NAME?"/>
    <x v="193"/>
    <n v="0.25"/>
    <x v="0"/>
    <s v="Distribuido"/>
    <m/>
    <e v="#NAME?"/>
    <e v="#NAME?"/>
    <e v="#NAME?"/>
    <m/>
    <m/>
    <m/>
    <m/>
    <m/>
    <m/>
  </r>
  <r>
    <s v="C811379"/>
    <s v="CAMILO ANDRES MUÑOZ CAICEDO"/>
    <x v="5"/>
    <x v="21"/>
    <s v="BBVA"/>
    <e v="#NAME?"/>
    <x v="160"/>
    <n v="0.75"/>
    <x v="0"/>
    <s v="Distribuido"/>
    <m/>
    <e v="#NAME?"/>
    <e v="#NAME?"/>
    <e v="#NAME?"/>
    <m/>
    <m/>
    <m/>
    <m/>
    <m/>
    <m/>
  </r>
  <r>
    <s v="C804782"/>
    <s v="DIEGO JAVIER MORENO RUSINQUE"/>
    <x v="5"/>
    <x v="21"/>
    <s v="BBVA"/>
    <e v="#NAME?"/>
    <x v="193"/>
    <n v="1"/>
    <x v="1"/>
    <s v="ASO"/>
    <m/>
    <e v="#NAME?"/>
    <e v="#NAME?"/>
    <e v="#NAME?"/>
    <m/>
    <m/>
    <m/>
    <m/>
    <m/>
    <m/>
  </r>
  <r>
    <s v="C811198"/>
    <s v="EDWIN DAVID TORO ECHEVERRIA"/>
    <x v="5"/>
    <x v="21"/>
    <s v="BBVA"/>
    <e v="#NAME?"/>
    <x v="160"/>
    <n v="1"/>
    <x v="0"/>
    <s v="APX"/>
    <m/>
    <e v="#NAME?"/>
    <e v="#NAME?"/>
    <e v="#NAME?"/>
    <m/>
    <m/>
    <m/>
    <m/>
    <m/>
    <m/>
  </r>
  <r>
    <s v="C805724"/>
    <s v="KATHERIN DANIELA AREVALO BARRERA"/>
    <x v="5"/>
    <x v="21"/>
    <s v="BBVA"/>
    <e v="#NAME?"/>
    <x v="160"/>
    <n v="1"/>
    <x v="3"/>
    <s v="Distribuido"/>
    <m/>
    <e v="#NAME?"/>
    <e v="#NAME?"/>
    <e v="#NAME?"/>
    <m/>
    <m/>
    <m/>
    <m/>
    <m/>
    <m/>
  </r>
  <r>
    <s v="C810833"/>
    <s v="FERNANDO JOSE BOLIVAR NAVARRO"/>
    <x v="5"/>
    <x v="21"/>
    <s v="BBVA"/>
    <e v="#NAME?"/>
    <x v="160"/>
    <n v="1"/>
    <x v="3"/>
    <s v="Distribuido"/>
    <m/>
    <e v="#NAME?"/>
    <e v="#NAME?"/>
    <e v="#NAME?"/>
    <m/>
    <m/>
    <m/>
    <m/>
    <m/>
    <m/>
  </r>
  <r>
    <s v="O003002"/>
    <s v="EDISSON IOVANNI RODRIGUEZ SOCHA"/>
    <x v="5"/>
    <x v="21"/>
    <s v="BBVA"/>
    <e v="#NAME?"/>
    <x v="193"/>
    <n v="1"/>
    <x v="0"/>
    <s v="Distribuido"/>
    <m/>
    <e v="#NAME?"/>
    <e v="#NAME?"/>
    <e v="#NAME?"/>
    <m/>
    <m/>
    <m/>
    <m/>
    <m/>
    <m/>
  </r>
  <r>
    <s v="CI35375"/>
    <s v="Luis Rodrigo Ulloa Marin"/>
    <x v="1"/>
    <x v="18"/>
    <s v="BBVA Fiduciaria"/>
    <e v="#NAME?"/>
    <x v="151"/>
    <n v="0.18"/>
    <x v="1"/>
    <s v="Distribuido"/>
    <s v="Interno"/>
    <e v="#NAME?"/>
    <e v="#NAME?"/>
    <e v="#NAME?"/>
    <m/>
    <m/>
    <m/>
    <m/>
    <m/>
    <m/>
  </r>
  <r>
    <s v="CI35375"/>
    <s v="Luis Rodrigo Ulloa Marin"/>
    <x v="1"/>
    <x v="18"/>
    <s v="BBVA Fiduciaria"/>
    <e v="#NAME?"/>
    <x v="153"/>
    <n v="0.16"/>
    <x v="1"/>
    <s v="Distribuido"/>
    <s v="Interno"/>
    <e v="#NAME?"/>
    <e v="#NAME?"/>
    <e v="#NAME?"/>
    <m/>
    <m/>
    <m/>
    <m/>
    <m/>
    <m/>
  </r>
  <r>
    <s v="CI35128"/>
    <s v="Cristian Camilo Rincon"/>
    <x v="1"/>
    <x v="18"/>
    <s v="BBVA Fiduciaria"/>
    <e v="#NAME?"/>
    <x v="194"/>
    <n v="0.25"/>
    <x v="1"/>
    <m/>
    <s v="Interno"/>
    <e v="#NAME?"/>
    <e v="#NAME?"/>
    <e v="#NAME?"/>
    <m/>
    <m/>
    <m/>
    <m/>
    <m/>
    <m/>
  </r>
  <r>
    <s v="CI08666"/>
    <s v="Jorge Anibal Blanco Meneses"/>
    <x v="1"/>
    <x v="18"/>
    <s v="BBVA Fiduciaria"/>
    <e v="#NAME?"/>
    <x v="194"/>
    <n v="0.3"/>
    <x v="1"/>
    <m/>
    <s v="Interno"/>
    <e v="#NAME?"/>
    <e v="#NAME?"/>
    <e v="#NAME?"/>
    <m/>
    <m/>
    <m/>
    <m/>
    <m/>
    <m/>
  </r>
  <r>
    <s v="CI35442"/>
    <s v="Juan Camilo Ladino Guezguan"/>
    <x v="1"/>
    <x v="18"/>
    <s v="BBVA Fiduciaria"/>
    <e v="#NAME?"/>
    <x v="194"/>
    <n v="0.3"/>
    <x v="0"/>
    <m/>
    <s v="Interno"/>
    <e v="#NAME?"/>
    <e v="#NAME?"/>
    <e v="#NAME?"/>
    <m/>
    <m/>
    <m/>
    <m/>
    <m/>
    <m/>
  </r>
  <r>
    <s v="O000087"/>
    <s v="Jayson Ricardo Becerra Gomez"/>
    <x v="1"/>
    <x v="18"/>
    <s v="BBVA Fiduciaria"/>
    <e v="#NAME?"/>
    <x v="195"/>
    <n v="0.5"/>
    <x v="1"/>
    <m/>
    <s v="Interno"/>
    <e v="#NAME?"/>
    <e v="#NAME?"/>
    <e v="#NAME?"/>
    <m/>
    <m/>
    <m/>
    <m/>
    <m/>
    <m/>
  </r>
  <r>
    <s v="O000087"/>
    <s v="Jayson Ricardo Becerra Gomez"/>
    <x v="1"/>
    <x v="18"/>
    <s v="BBVA Fiduciaria"/>
    <e v="#NAME?"/>
    <x v="196"/>
    <n v="0.5"/>
    <x v="1"/>
    <m/>
    <s v="Interno"/>
    <e v="#NAME?"/>
    <e v="#NAME?"/>
    <e v="#NAME?"/>
    <m/>
    <m/>
    <m/>
    <m/>
    <m/>
    <m/>
  </r>
  <r>
    <s v="O000150"/>
    <s v="Oscar Fernando Real Bautista"/>
    <x v="1"/>
    <x v="18"/>
    <s v="BBVA Fiduciaria"/>
    <e v="#NAME?"/>
    <x v="197"/>
    <n v="0.4"/>
    <x v="1"/>
    <m/>
    <s v="Interno"/>
    <e v="#NAME?"/>
    <e v="#NAME?"/>
    <e v="#NAME?"/>
    <m/>
    <m/>
    <m/>
    <m/>
    <m/>
    <m/>
  </r>
  <r>
    <s v="O000150"/>
    <s v="Oscar Fernando Real Bautista"/>
    <x v="1"/>
    <x v="18"/>
    <s v="BBVA Fiduciaria"/>
    <e v="#NAME?"/>
    <x v="150"/>
    <n v="0.4"/>
    <x v="1"/>
    <m/>
    <s v="Interno"/>
    <e v="#NAME?"/>
    <e v="#NAME?"/>
    <e v="#NAME?"/>
    <m/>
    <m/>
    <m/>
    <m/>
    <m/>
    <m/>
  </r>
  <r>
    <s v="CI35128"/>
    <s v="Cristian Camilo Rincon"/>
    <x v="1"/>
    <x v="18"/>
    <s v="BBVA Fiduciaria"/>
    <e v="#NAME?"/>
    <x v="152"/>
    <n v="0.25"/>
    <x v="1"/>
    <m/>
    <s v="Interno"/>
    <e v="#NAME?"/>
    <e v="#NAME?"/>
    <e v="#NAME?"/>
    <m/>
    <m/>
    <m/>
    <m/>
    <m/>
    <m/>
  </r>
  <r>
    <s v="CI08666"/>
    <s v="Jorge Anibal Blanco Meneses"/>
    <x v="1"/>
    <x v="18"/>
    <s v="BBVA Fiduciaria"/>
    <e v="#NAME?"/>
    <x v="152"/>
    <n v="0.3"/>
    <x v="1"/>
    <m/>
    <s v="Interno"/>
    <e v="#NAME?"/>
    <e v="#NAME?"/>
    <e v="#NAME?"/>
    <m/>
    <m/>
    <m/>
    <m/>
    <m/>
    <m/>
  </r>
  <r>
    <s v="CI35442"/>
    <s v="Juan Camilo Ladino Guezguan"/>
    <x v="1"/>
    <x v="18"/>
    <s v="BBVA Fiduciaria"/>
    <e v="#NAME?"/>
    <x v="152"/>
    <n v="0.3"/>
    <x v="0"/>
    <m/>
    <s v="Interno"/>
    <e v="#NAME?"/>
    <e v="#NAME?"/>
    <e v="#NAME?"/>
    <m/>
    <m/>
    <m/>
    <m/>
    <m/>
    <m/>
  </r>
  <r>
    <s v="CI35100"/>
    <s v="Alexander Lopez Fonseca"/>
    <x v="1"/>
    <x v="18"/>
    <s v="BBVA Fiduciaria"/>
    <e v="#NAME?"/>
    <x v="198"/>
    <n v="0.5"/>
    <x v="1"/>
    <m/>
    <s v="Interno"/>
    <e v="#NAME?"/>
    <e v="#NAME?"/>
    <e v="#NAME?"/>
    <m/>
    <m/>
    <m/>
    <m/>
    <m/>
    <m/>
  </r>
  <r>
    <s v="CE68033"/>
    <s v="Donoba Ricardo Figueredo"/>
    <x v="1"/>
    <x v="18"/>
    <s v="BBVA Fiduciaria"/>
    <e v="#NAME?"/>
    <x v="3"/>
    <n v="1"/>
    <x v="2"/>
    <s v="Distribuido"/>
    <s v="Externo"/>
    <e v="#NAME?"/>
    <e v="#NAME?"/>
    <e v="#NAME?"/>
    <m/>
    <m/>
    <m/>
    <m/>
    <m/>
    <m/>
  </r>
  <r>
    <s v="CE58491"/>
    <s v="Ricardo Pachon"/>
    <x v="1"/>
    <x v="18"/>
    <s v="BBVA Fiduciaria"/>
    <e v="#NAME?"/>
    <x v="151"/>
    <n v="1"/>
    <x v="2"/>
    <s v="Distribuido"/>
    <s v="Externo"/>
    <e v="#NAME?"/>
    <e v="#NAME?"/>
    <e v="#NAME?"/>
    <m/>
    <m/>
    <m/>
    <m/>
    <m/>
    <m/>
  </r>
  <r>
    <s v="CE68487"/>
    <s v="Diana Rubiano"/>
    <x v="1"/>
    <x v="18"/>
    <s v="BBVA Fiduciaria"/>
    <e v="#NAME?"/>
    <x v="151"/>
    <n v="1"/>
    <x v="2"/>
    <s v="Distribuido"/>
    <s v="Externo"/>
    <e v="#NAME?"/>
    <e v="#NAME?"/>
    <e v="#NAME?"/>
    <m/>
    <m/>
    <m/>
    <m/>
    <m/>
    <m/>
  </r>
  <r>
    <s v="CE57320"/>
    <s v="Maria Victoria Ruiz"/>
    <x v="1"/>
    <x v="18"/>
    <s v="BBVA Fiduciaria"/>
    <e v="#NAME?"/>
    <x v="151"/>
    <n v="1"/>
    <x v="2"/>
    <s v="Distribuido"/>
    <s v="Externo"/>
    <e v="#NAME?"/>
    <e v="#NAME?"/>
    <e v="#NAME?"/>
    <m/>
    <m/>
    <m/>
    <m/>
    <m/>
    <m/>
  </r>
  <r>
    <s v="CIXXXXXX"/>
    <s v="Adriana Yamile Rodriguez"/>
    <x v="1"/>
    <x v="18"/>
    <s v="SII"/>
    <e v="#NAME?"/>
    <x v="194"/>
    <n v="0.5"/>
    <x v="0"/>
    <s v="ASO"/>
    <s v="Externo"/>
    <e v="#NAME?"/>
    <e v="#NAME?"/>
    <e v="#NAME?"/>
    <m/>
    <m/>
    <m/>
    <m/>
    <m/>
    <m/>
  </r>
  <r>
    <s v="CIXXXXXX"/>
    <s v="Andres Felipe Mora"/>
    <x v="1"/>
    <x v="18"/>
    <s v="SII"/>
    <e v="#NAME?"/>
    <x v="194"/>
    <n v="0.5"/>
    <x v="0"/>
    <s v="ASO"/>
    <s v="Externo"/>
    <e v="#NAME?"/>
    <e v="#NAME?"/>
    <e v="#NAME?"/>
    <m/>
    <m/>
    <m/>
    <m/>
    <m/>
    <m/>
  </r>
  <r>
    <s v="CIXXXXXX"/>
    <s v="Jean paul patiño"/>
    <x v="1"/>
    <x v="18"/>
    <s v="SII"/>
    <e v="#NAME?"/>
    <x v="194"/>
    <n v="0.5"/>
    <x v="0"/>
    <s v="ASO"/>
    <s v="Externo"/>
    <e v="#NAME?"/>
    <e v="#NAME?"/>
    <e v="#NAME?"/>
    <m/>
    <m/>
    <m/>
    <m/>
    <m/>
    <m/>
  </r>
  <r>
    <s v="CIXXXXXX"/>
    <s v="Jhenny meneses"/>
    <x v="1"/>
    <x v="18"/>
    <s v="SII"/>
    <e v="#NAME?"/>
    <x v="194"/>
    <n v="0.5"/>
    <x v="0"/>
    <s v="ASO"/>
    <s v="Externo"/>
    <e v="#NAME?"/>
    <e v="#NAME?"/>
    <e v="#NAME?"/>
    <m/>
    <m/>
    <m/>
    <m/>
    <m/>
    <m/>
  </r>
  <r>
    <s v="CIXXXXXX"/>
    <s v="Juan stevens guzman"/>
    <x v="1"/>
    <x v="18"/>
    <s v="SII"/>
    <e v="#NAME?"/>
    <x v="194"/>
    <n v="0.5"/>
    <x v="0"/>
    <s v="ASO"/>
    <s v="Externo"/>
    <e v="#NAME?"/>
    <e v="#NAME?"/>
    <e v="#NAME?"/>
    <m/>
    <m/>
    <m/>
    <m/>
    <m/>
    <m/>
  </r>
  <r>
    <s v="CIXXXXXX"/>
    <s v="Michael escobar"/>
    <x v="1"/>
    <x v="18"/>
    <s v="SII"/>
    <e v="#NAME?"/>
    <x v="194"/>
    <n v="0.5"/>
    <x v="0"/>
    <s v="ASO"/>
    <s v="Externo"/>
    <e v="#NAME?"/>
    <e v="#NAME?"/>
    <e v="#NAME?"/>
    <m/>
    <m/>
    <m/>
    <m/>
    <m/>
    <m/>
  </r>
  <r>
    <s v="CIXXXXXX"/>
    <s v="Nestor Eduardo Torres Gonzalez"/>
    <x v="1"/>
    <x v="18"/>
    <s v="SII"/>
    <e v="#NAME?"/>
    <x v="194"/>
    <n v="0.5"/>
    <x v="0"/>
    <s v="ASO"/>
    <s v="Externo"/>
    <e v="#NAME?"/>
    <e v="#NAME?"/>
    <e v="#NAME?"/>
    <m/>
    <m/>
    <m/>
    <m/>
    <m/>
    <m/>
  </r>
  <r>
    <s v="CIXXXXXX"/>
    <s v="Jonathan Molina Fuentes"/>
    <x v="1"/>
    <x v="18"/>
    <s v="GGI / CMC"/>
    <e v="#NAME?"/>
    <x v="194"/>
    <n v="0.5"/>
    <x v="0"/>
    <s v="ASO"/>
    <s v="Externo"/>
    <e v="#NAME?"/>
    <e v="#NAME?"/>
    <e v="#NAME?"/>
    <m/>
    <m/>
    <m/>
    <m/>
    <m/>
    <m/>
  </r>
  <r>
    <s v="CIXXXXXX"/>
    <s v="Nicolas Moreno Arévalo"/>
    <x v="1"/>
    <x v="18"/>
    <s v="GGI / CMC"/>
    <e v="#NAME?"/>
    <x v="194"/>
    <n v="0.5"/>
    <x v="0"/>
    <s v="ASO"/>
    <s v="Externo"/>
    <e v="#NAME?"/>
    <e v="#NAME?"/>
    <e v="#NAME?"/>
    <m/>
    <m/>
    <m/>
    <m/>
    <m/>
    <m/>
  </r>
  <r>
    <s v="CIXXXXXX"/>
    <s v="Angie Natalia Gonzalez"/>
    <x v="1"/>
    <x v="18"/>
    <s v="GGI / CMC"/>
    <e v="#NAME?"/>
    <x v="194"/>
    <n v="0.5"/>
    <x v="0"/>
    <s v="ASO"/>
    <s v="Externo"/>
    <e v="#NAME?"/>
    <e v="#NAME?"/>
    <e v="#NAME?"/>
    <m/>
    <m/>
    <m/>
    <m/>
    <m/>
    <m/>
  </r>
  <r>
    <s v="CIXXXXXX"/>
    <s v="Adriana Yamile Rodriguez"/>
    <x v="1"/>
    <x v="18"/>
    <s v="SII"/>
    <e v="#NAME?"/>
    <x v="152"/>
    <n v="0.5"/>
    <x v="0"/>
    <s v="ASO"/>
    <s v="Externo"/>
    <e v="#NAME?"/>
    <e v="#NAME?"/>
    <e v="#NAME?"/>
    <m/>
    <m/>
    <m/>
    <m/>
    <m/>
    <m/>
  </r>
  <r>
    <s v="CIXXXXXX"/>
    <s v="Andres Felipe Mora"/>
    <x v="1"/>
    <x v="18"/>
    <s v="SII"/>
    <e v="#NAME?"/>
    <x v="152"/>
    <n v="0.5"/>
    <x v="0"/>
    <s v="ASO"/>
    <s v="Externo"/>
    <e v="#NAME?"/>
    <e v="#NAME?"/>
    <e v="#NAME?"/>
    <m/>
    <m/>
    <m/>
    <m/>
    <m/>
    <m/>
  </r>
  <r>
    <s v="CIXXXXXX"/>
    <s v="Jean paul patiño"/>
    <x v="1"/>
    <x v="18"/>
    <s v="SII"/>
    <e v="#NAME?"/>
    <x v="152"/>
    <n v="0.5"/>
    <x v="0"/>
    <s v="ASO"/>
    <s v="Externo"/>
    <e v="#NAME?"/>
    <e v="#NAME?"/>
    <e v="#NAME?"/>
    <m/>
    <m/>
    <m/>
    <m/>
    <m/>
    <m/>
  </r>
  <r>
    <s v="CIXXXXXX"/>
    <s v="Jhenny meneses"/>
    <x v="1"/>
    <x v="18"/>
    <s v="SII"/>
    <e v="#NAME?"/>
    <x v="152"/>
    <n v="0.5"/>
    <x v="0"/>
    <s v="ASO"/>
    <s v="Externo"/>
    <e v="#NAME?"/>
    <e v="#NAME?"/>
    <e v="#NAME?"/>
    <m/>
    <m/>
    <m/>
    <m/>
    <m/>
    <m/>
  </r>
  <r>
    <s v="CIXXXXXX"/>
    <s v="Juan stevens guzman"/>
    <x v="1"/>
    <x v="18"/>
    <s v="SII"/>
    <e v="#NAME?"/>
    <x v="152"/>
    <n v="0.5"/>
    <x v="0"/>
    <s v="ASO"/>
    <s v="Externo"/>
    <e v="#NAME?"/>
    <e v="#NAME?"/>
    <e v="#NAME?"/>
    <m/>
    <m/>
    <m/>
    <m/>
    <m/>
    <m/>
  </r>
  <r>
    <s v="CIXXXXXX"/>
    <s v="Michael escobar"/>
    <x v="1"/>
    <x v="18"/>
    <s v="SII"/>
    <e v="#NAME?"/>
    <x v="152"/>
    <n v="0.5"/>
    <x v="0"/>
    <s v="ASO"/>
    <s v="Externo"/>
    <e v="#NAME?"/>
    <e v="#NAME?"/>
    <e v="#NAME?"/>
    <m/>
    <m/>
    <m/>
    <m/>
    <m/>
    <m/>
  </r>
  <r>
    <s v="CIXXXXXX"/>
    <s v="Nestor Eduardo Torres Gonzalez"/>
    <x v="1"/>
    <x v="18"/>
    <s v="SII"/>
    <e v="#NAME?"/>
    <x v="152"/>
    <n v="0.5"/>
    <x v="0"/>
    <s v="ASO"/>
    <s v="Externo"/>
    <e v="#NAME?"/>
    <e v="#NAME?"/>
    <e v="#NAME?"/>
    <m/>
    <m/>
    <m/>
    <m/>
    <m/>
    <m/>
  </r>
  <r>
    <s v="CIXXXXXX"/>
    <s v="Jonathan Molina Fuentes"/>
    <x v="1"/>
    <x v="18"/>
    <s v="GGI / CMC"/>
    <e v="#NAME?"/>
    <x v="152"/>
    <n v="0.5"/>
    <x v="0"/>
    <s v="ASO"/>
    <s v="Externo"/>
    <e v="#NAME?"/>
    <e v="#NAME?"/>
    <e v="#NAME?"/>
    <m/>
    <m/>
    <m/>
    <m/>
    <m/>
    <m/>
  </r>
  <r>
    <s v="CIXXXXXX"/>
    <s v="Nicolas Moreno Arévalo"/>
    <x v="1"/>
    <x v="18"/>
    <s v="GGI / CMC"/>
    <e v="#NAME?"/>
    <x v="152"/>
    <n v="0.5"/>
    <x v="0"/>
    <s v="ASO"/>
    <s v="Externo"/>
    <e v="#NAME?"/>
    <e v="#NAME?"/>
    <e v="#NAME?"/>
    <m/>
    <m/>
    <m/>
    <m/>
    <m/>
    <m/>
  </r>
  <r>
    <s v="CIXXXXXX"/>
    <s v="Angie Natalia Gonzalez"/>
    <x v="1"/>
    <x v="18"/>
    <s v="GGI / CMC"/>
    <e v="#NAME?"/>
    <x v="152"/>
    <n v="0.5"/>
    <x v="0"/>
    <s v="ASO"/>
    <s v="Externo"/>
    <e v="#NAME?"/>
    <e v="#NAME?"/>
    <e v="#NAME?"/>
    <m/>
    <m/>
    <m/>
    <m/>
    <m/>
    <m/>
  </r>
  <r>
    <s v="CE69361"/>
    <s v="ANDERSON CAMILO APONTE CERVERA"/>
    <x v="5"/>
    <x v="26"/>
    <s v="Neoris"/>
    <e v="#NAME?"/>
    <x v="199"/>
    <n v="0.3"/>
    <x v="0"/>
    <s v="ASO"/>
    <m/>
    <e v="#NAME?"/>
    <e v="#NAME?"/>
    <e v="#NAME?"/>
    <m/>
    <m/>
    <m/>
    <m/>
    <m/>
    <m/>
  </r>
  <r>
    <s v="CE51863"/>
    <s v="EDNA ROCIO MONCADA"/>
    <x v="5"/>
    <x v="26"/>
    <s v="KRYPTO"/>
    <e v="#NAME?"/>
    <x v="199"/>
    <n v="0.02"/>
    <x v="2"/>
    <s v="Otras Tec."/>
    <m/>
    <e v="#NAME?"/>
    <e v="#NAME?"/>
    <e v="#NAME?"/>
    <m/>
    <m/>
    <m/>
    <m/>
    <m/>
    <m/>
  </r>
  <r>
    <s v="C810711"/>
    <s v="CRISTIAN ALEXANDER ROJAS AZA"/>
    <x v="5"/>
    <x v="26"/>
    <s v="BBVA"/>
    <e v="#NAME?"/>
    <x v="199"/>
    <n v="0.8"/>
    <x v="0"/>
    <s v="ASO"/>
    <m/>
    <e v="#NAME?"/>
    <e v="#NAME?"/>
    <e v="#NAME?"/>
    <m/>
    <m/>
    <m/>
    <m/>
    <m/>
    <m/>
  </r>
  <r>
    <s v="C810711"/>
    <s v="CRISTIAN ALEXANDER ROJAS AZA"/>
    <x v="5"/>
    <x v="26"/>
    <s v="BBVA"/>
    <e v="#NAME?"/>
    <x v="159"/>
    <n v="0.2"/>
    <x v="0"/>
    <s v="ASO"/>
    <m/>
    <e v="#NAME?"/>
    <e v="#NAME?"/>
    <e v="#NAME?"/>
    <m/>
    <m/>
    <m/>
    <m/>
    <m/>
    <n v="0"/>
  </r>
  <r>
    <s v="C985155"/>
    <s v="DIANA EDITH VILLEGAS RAMIREZ"/>
    <x v="5"/>
    <x v="26"/>
    <s v="BBVA"/>
    <e v="#NAME?"/>
    <x v="199"/>
    <n v="1"/>
    <x v="0"/>
    <s v="Otras Tec."/>
    <m/>
    <e v="#NAME?"/>
    <e v="#NAME?"/>
    <e v="#NAME?"/>
    <m/>
    <m/>
    <m/>
    <m/>
    <m/>
    <m/>
  </r>
  <r>
    <s v="C342595"/>
    <s v="EDGAR IVAN ARIAS MALDONADO"/>
    <x v="5"/>
    <x v="26"/>
    <s v="BBVA"/>
    <e v="#NAME?"/>
    <x v="199"/>
    <n v="1"/>
    <x v="0"/>
    <s v="ASO"/>
    <m/>
    <e v="#NAME?"/>
    <e v="#NAME?"/>
    <e v="#NAME?"/>
    <m/>
    <m/>
    <m/>
    <m/>
    <m/>
    <m/>
  </r>
  <r>
    <s v="C810708"/>
    <s v="HAROLD ANDRES CASTILLO CARVAJAL"/>
    <x v="5"/>
    <x v="26"/>
    <s v="BBVA"/>
    <e v="#NAME?"/>
    <x v="199"/>
    <n v="1"/>
    <x v="0"/>
    <s v="ASO"/>
    <m/>
    <e v="#NAME?"/>
    <e v="#NAME?"/>
    <e v="#NAME?"/>
    <m/>
    <m/>
    <m/>
    <m/>
    <m/>
    <m/>
  </r>
  <r>
    <s v="C342444"/>
    <s v="JOE ESTUPINAN MONTANO"/>
    <x v="5"/>
    <x v="26"/>
    <s v="BBVA"/>
    <e v="#NAME?"/>
    <x v="199"/>
    <n v="1"/>
    <x v="0"/>
    <s v="Mainframe"/>
    <m/>
    <e v="#NAME?"/>
    <e v="#NAME?"/>
    <e v="#NAME?"/>
    <m/>
    <m/>
    <m/>
    <m/>
    <m/>
    <m/>
  </r>
  <r>
    <s v="C810746"/>
    <s v="JUAN DAVID BAEZ RAMOS"/>
    <x v="5"/>
    <x v="26"/>
    <s v="BBVA"/>
    <e v="#NAME?"/>
    <x v="199"/>
    <n v="0.8"/>
    <x v="0"/>
    <s v="APX"/>
    <m/>
    <e v="#NAME?"/>
    <e v="#NAME?"/>
    <e v="#NAME?"/>
    <m/>
    <m/>
    <m/>
    <m/>
    <m/>
    <m/>
  </r>
  <r>
    <s v="C810746"/>
    <s v="JUAN DAVID BAEZ RAMOS"/>
    <x v="5"/>
    <x v="26"/>
    <s v="BBVA"/>
    <e v="#NAME?"/>
    <x v="159"/>
    <n v="0.2"/>
    <x v="0"/>
    <s v="APX"/>
    <m/>
    <e v="#NAME?"/>
    <e v="#NAME?"/>
    <e v="#NAME?"/>
    <m/>
    <m/>
    <m/>
    <m/>
    <m/>
    <n v="0"/>
  </r>
  <r>
    <s v="O001337"/>
    <s v="LEANDRO GOMEZ "/>
    <x v="5"/>
    <x v="26"/>
    <s v="BBVA"/>
    <e v="#NAME?"/>
    <x v="199"/>
    <n v="0.8"/>
    <x v="1"/>
    <s v="Otras Tec."/>
    <m/>
    <e v="#NAME?"/>
    <e v="#NAME?"/>
    <e v="#NAME?"/>
    <m/>
    <m/>
    <m/>
    <m/>
    <m/>
    <m/>
  </r>
  <r>
    <s v="O001337"/>
    <s v="LEANDRO GOMEZ "/>
    <x v="5"/>
    <x v="26"/>
    <s v="BBVA"/>
    <e v="#NAME?"/>
    <x v="159"/>
    <n v="0.2"/>
    <x v="1"/>
    <s v="Otras Tec."/>
    <m/>
    <e v="#NAME?"/>
    <e v="#NAME?"/>
    <e v="#NAME?"/>
    <m/>
    <m/>
    <m/>
    <m/>
    <m/>
    <n v="0"/>
  </r>
  <r>
    <s v="CE55339"/>
    <s v="LENIN RAFAEL DIAZ QUINTERO"/>
    <x v="5"/>
    <x v="26"/>
    <s v="SII"/>
    <e v="#NAME?"/>
    <x v="199"/>
    <n v="0.3"/>
    <x v="0"/>
    <s v="Mainframe"/>
    <m/>
    <e v="#NAME?"/>
    <e v="#NAME?"/>
    <e v="#NAME?"/>
    <m/>
    <m/>
    <m/>
    <m/>
    <m/>
    <m/>
  </r>
  <r>
    <s v="T000166"/>
    <s v="LEONARDO ALBERTO JIMENEZ RINCON"/>
    <x v="5"/>
    <x v="26"/>
    <s v="Choucair"/>
    <e v="#NAME?"/>
    <x v="199"/>
    <n v="1"/>
    <x v="2"/>
    <s v="Otras Tec."/>
    <m/>
    <e v="#NAME?"/>
    <e v="#NAME?"/>
    <e v="#NAME?"/>
    <m/>
    <m/>
    <m/>
    <m/>
    <m/>
    <m/>
  </r>
  <r>
    <s v="T004935"/>
    <s v="MARIA CAMILA MOLINA ALBA"/>
    <x v="5"/>
    <x v="26"/>
    <s v="Choucair"/>
    <e v="#NAME?"/>
    <x v="199"/>
    <n v="1"/>
    <x v="2"/>
    <s v="Otras Tec."/>
    <m/>
    <e v="#NAME?"/>
    <e v="#NAME?"/>
    <e v="#NAME?"/>
    <m/>
    <m/>
    <m/>
    <m/>
    <m/>
    <m/>
  </r>
  <r>
    <s v="T000274"/>
    <s v="NICOLAS BOHORQUEZ LEGUIZAMO"/>
    <x v="5"/>
    <x v="26"/>
    <s v="GGI / CMC"/>
    <e v="#NAME?"/>
    <x v="199"/>
    <n v="0.3"/>
    <x v="0"/>
    <s v="Cells"/>
    <m/>
    <e v="#NAME?"/>
    <e v="#NAME?"/>
    <e v="#NAME?"/>
    <m/>
    <m/>
    <m/>
    <m/>
    <m/>
    <m/>
  </r>
  <r>
    <s v="C796552"/>
    <s v="YADIRA COBOS ROMERO"/>
    <x v="5"/>
    <x v="26"/>
    <s v="BBVA"/>
    <e v="#NAME?"/>
    <x v="3"/>
    <n v="0.65"/>
    <x v="1"/>
    <s v="Otras Tec."/>
    <m/>
    <e v="#NAME?"/>
    <e v="#NAME?"/>
    <e v="#NAME?"/>
    <m/>
    <m/>
    <m/>
    <m/>
    <m/>
    <m/>
  </r>
  <r>
    <s v="C796552"/>
    <s v="YADIRA COBOS ROMERO"/>
    <x v="5"/>
    <x v="26"/>
    <s v="BBVA"/>
    <e v="#NAME?"/>
    <x v="200"/>
    <n v="0.05"/>
    <x v="1"/>
    <s v="Otras Tec."/>
    <m/>
    <e v="#NAME?"/>
    <e v="#NAME?"/>
    <e v="#NAME?"/>
    <m/>
    <m/>
    <m/>
    <m/>
    <m/>
    <m/>
  </r>
  <r>
    <s v="C796552"/>
    <s v="YADIRA COBOS ROMERO"/>
    <x v="5"/>
    <x v="26"/>
    <s v="BBVA"/>
    <e v="#NAME?"/>
    <x v="20"/>
    <n v="0.05"/>
    <x v="1"/>
    <s v="Otras Tec."/>
    <m/>
    <e v="#NAME?"/>
    <e v="#NAME?"/>
    <e v="#NAME?"/>
    <m/>
    <m/>
    <m/>
    <m/>
    <m/>
    <m/>
  </r>
  <r>
    <s v="C796552"/>
    <s v="YADIRA COBOS ROMERO"/>
    <x v="5"/>
    <x v="26"/>
    <s v="BBVA"/>
    <e v="#NAME?"/>
    <x v="201"/>
    <n v="0.05"/>
    <x v="1"/>
    <s v="Otras Tec."/>
    <m/>
    <e v="#NAME?"/>
    <e v="#NAME?"/>
    <e v="#NAME?"/>
    <m/>
    <m/>
    <m/>
    <m/>
    <m/>
    <m/>
  </r>
  <r>
    <s v="C796552"/>
    <s v="YADIRA COBOS ROMERO"/>
    <x v="5"/>
    <x v="26"/>
    <s v="BBVA"/>
    <e v="#NAME?"/>
    <x v="95"/>
    <n v="0.05"/>
    <x v="1"/>
    <s v="Otras Tec."/>
    <m/>
    <e v="#NAME?"/>
    <e v="#NAME?"/>
    <e v="#NAME?"/>
    <m/>
    <m/>
    <m/>
    <m/>
    <m/>
    <m/>
  </r>
  <r>
    <s v="C796552"/>
    <s v="YADIRA COBOS ROMERO"/>
    <x v="5"/>
    <x v="26"/>
    <s v="BBVA"/>
    <e v="#NAME?"/>
    <x v="160"/>
    <n v="0.15"/>
    <x v="1"/>
    <s v="Otras Tec."/>
    <m/>
    <e v="#NAME?"/>
    <e v="#NAME?"/>
    <e v="#NAME?"/>
    <m/>
    <m/>
    <m/>
    <m/>
    <m/>
    <m/>
  </r>
  <r>
    <s v="C808359"/>
    <s v="ARLEM CHINCHIA"/>
    <x v="5"/>
    <x v="26"/>
    <s v="BBVA"/>
    <e v="#NAME?"/>
    <x v="3"/>
    <n v="1"/>
    <x v="0"/>
    <s v="Cells"/>
    <m/>
    <e v="#NAME?"/>
    <e v="#NAME?"/>
    <e v="#NAME?"/>
    <m/>
    <m/>
    <m/>
    <m/>
    <m/>
    <m/>
  </r>
  <r>
    <s v="CE51863"/>
    <s v="EDNA ROCIO MONCADA"/>
    <x v="5"/>
    <x v="26"/>
    <s v="KRYPTO"/>
    <e v="#NAME?"/>
    <x v="3"/>
    <n v="0.02"/>
    <x v="2"/>
    <s v="Otras Tec."/>
    <m/>
    <e v="#NAME?"/>
    <e v="#NAME?"/>
    <e v="#NAME?"/>
    <m/>
    <m/>
    <m/>
    <m/>
    <m/>
    <m/>
  </r>
  <r>
    <s v="CE51863"/>
    <s v="EDNA ROCIO MONCADA"/>
    <x v="5"/>
    <x v="26"/>
    <s v="KRYPTO"/>
    <e v="#NAME?"/>
    <x v="200"/>
    <n v="0.02"/>
    <x v="2"/>
    <s v="Otras Tec."/>
    <m/>
    <e v="#NAME?"/>
    <e v="#NAME?"/>
    <e v="#NAME?"/>
    <m/>
    <m/>
    <m/>
    <m/>
    <m/>
    <m/>
  </r>
  <r>
    <s v="CE51863"/>
    <s v="EDNA ROCIO MONCADA"/>
    <x v="5"/>
    <x v="26"/>
    <s v="KRYPTO"/>
    <e v="#NAME?"/>
    <x v="160"/>
    <n v="0.02"/>
    <x v="2"/>
    <s v="Otras Tec."/>
    <m/>
    <e v="#NAME?"/>
    <e v="#NAME?"/>
    <e v="#NAME?"/>
    <m/>
    <m/>
    <m/>
    <m/>
    <m/>
    <m/>
  </r>
  <r>
    <s v="CE51863"/>
    <s v="EDNA ROCIO MONCADA"/>
    <x v="5"/>
    <x v="26"/>
    <s v="KRYPTO"/>
    <e v="#NAME?"/>
    <x v="20"/>
    <n v="0.02"/>
    <x v="2"/>
    <s v="Otras Tec."/>
    <m/>
    <e v="#NAME?"/>
    <e v="#NAME?"/>
    <e v="#NAME?"/>
    <m/>
    <m/>
    <m/>
    <m/>
    <m/>
    <m/>
  </r>
  <r>
    <s v="CE51863"/>
    <s v="EDNA ROCIO MONCADA"/>
    <x v="5"/>
    <x v="26"/>
    <s v="KRYPTO"/>
    <e v="#NAME?"/>
    <x v="95"/>
    <n v="0.02"/>
    <x v="2"/>
    <s v="Otras Tec."/>
    <m/>
    <e v="#NAME?"/>
    <e v="#NAME?"/>
    <e v="#NAME?"/>
    <m/>
    <m/>
    <m/>
    <m/>
    <m/>
    <m/>
  </r>
  <r>
    <s v="CE70177"/>
    <s v="ADRIANA MERCEDES GOMEZ"/>
    <x v="5"/>
    <x v="26"/>
    <s v="Choucair"/>
    <e v="#NAME?"/>
    <x v="95"/>
    <n v="0.9"/>
    <x v="2"/>
    <s v="Otras Tec."/>
    <m/>
    <e v="#NAME?"/>
    <e v="#NAME?"/>
    <e v="#NAME?"/>
    <m/>
    <m/>
    <m/>
    <m/>
    <m/>
    <m/>
  </r>
  <r>
    <s v="C941085"/>
    <s v="CARLOS FRANCISCO TOVAR LOSADA"/>
    <x v="5"/>
    <x v="26"/>
    <s v="BBVA"/>
    <e v="#NAME?"/>
    <x v="3"/>
    <n v="1"/>
    <x v="0"/>
    <s v="Otras Tec."/>
    <m/>
    <e v="#NAME?"/>
    <e v="#NAME?"/>
    <e v="#NAME?"/>
    <m/>
    <m/>
    <m/>
    <m/>
    <m/>
    <m/>
  </r>
  <r>
    <s v="T008622  "/>
    <s v="CAROLINA GARZÓN"/>
    <x v="5"/>
    <x v="26"/>
    <s v="GGI / CMC"/>
    <e v="#NAME?"/>
    <x v="3"/>
    <n v="1"/>
    <x v="0"/>
    <s v="Otras Tec."/>
    <m/>
    <e v="#NAME?"/>
    <e v="#NAME?"/>
    <e v="#NAME?"/>
    <m/>
    <m/>
    <m/>
    <m/>
    <m/>
    <m/>
  </r>
  <r>
    <s v="T000288"/>
    <s v="DAVID FERNANDO MENDIETA"/>
    <x v="5"/>
    <x v="26"/>
    <s v="GGI / CMC"/>
    <e v="#NAME?"/>
    <x v="3"/>
    <n v="1"/>
    <x v="0"/>
    <s v="ASO"/>
    <m/>
    <e v="#NAME?"/>
    <e v="#NAME?"/>
    <e v="#NAME?"/>
    <m/>
    <m/>
    <m/>
    <m/>
    <m/>
    <m/>
  </r>
  <r>
    <s v="C985155"/>
    <s v="DIANA CAROLINA ARTEAGA"/>
    <x v="5"/>
    <x v="26"/>
    <s v="BBVA"/>
    <e v="#NAME?"/>
    <x v="3"/>
    <n v="1"/>
    <x v="0"/>
    <s v="Distribuido"/>
    <m/>
    <e v="#NAME?"/>
    <e v="#NAME?"/>
    <e v="#NAME?"/>
    <m/>
    <m/>
    <m/>
    <m/>
    <m/>
    <m/>
  </r>
  <r>
    <s v="O001647"/>
    <s v="EDISON RAMÍREZ"/>
    <x v="5"/>
    <x v="26"/>
    <s v="BBVA"/>
    <e v="#NAME?"/>
    <x v="160"/>
    <n v="0.8"/>
    <x v="0"/>
    <s v="Distribuido"/>
    <m/>
    <e v="#NAME?"/>
    <e v="#NAME?"/>
    <e v="#NAME?"/>
    <m/>
    <m/>
    <m/>
    <m/>
    <m/>
    <m/>
  </r>
  <r>
    <s v="O001647"/>
    <s v="EDISON RAMÍREZ"/>
    <x v="5"/>
    <x v="26"/>
    <s v="BBVA"/>
    <e v="#NAME?"/>
    <x v="3"/>
    <n v="0.2"/>
    <x v="0"/>
    <s v="Distribuido"/>
    <m/>
    <e v="#NAME?"/>
    <e v="#NAME?"/>
    <e v="#NAME?"/>
    <m/>
    <m/>
    <m/>
    <m/>
    <m/>
    <m/>
  </r>
  <r>
    <s v="C821589"/>
    <s v="EDWARD MORENO"/>
    <x v="5"/>
    <x v="26"/>
    <s v="BBVA"/>
    <e v="#NAME?"/>
    <x v="20"/>
    <n v="1"/>
    <x v="0"/>
    <s v="Mainframe"/>
    <m/>
    <e v="#NAME?"/>
    <e v="#NAME?"/>
    <e v="#NAME?"/>
    <m/>
    <m/>
    <m/>
    <m/>
    <m/>
    <m/>
  </r>
  <r>
    <s v="T009381"/>
    <s v="JAIBER DAIVISON NOVA"/>
    <x v="5"/>
    <x v="26"/>
    <s v="GGI / CMC"/>
    <e v="#NAME?"/>
    <x v="3"/>
    <n v="1"/>
    <x v="0"/>
    <s v="Distribuido"/>
    <m/>
    <e v="#NAME?"/>
    <e v="#NAME?"/>
    <e v="#NAME?"/>
    <m/>
    <m/>
    <m/>
    <m/>
    <m/>
    <m/>
  </r>
  <r>
    <s v="CE57299"/>
    <s v="JENNIFER ZAMORA"/>
    <x v="5"/>
    <x v="26"/>
    <s v="GGI / CMC"/>
    <e v="#NAME?"/>
    <x v="200"/>
    <n v="1"/>
    <x v="0"/>
    <s v="Mainframe"/>
    <m/>
    <e v="#NAME?"/>
    <e v="#NAME?"/>
    <e v="#NAME?"/>
    <m/>
    <m/>
    <m/>
    <m/>
    <m/>
    <m/>
  </r>
  <r>
    <s v="T007581"/>
    <s v="FHERNEY ANDRIAN SILVA"/>
    <x v="5"/>
    <x v="26"/>
    <s v="Novatec"/>
    <e v="#NAME?"/>
    <x v="200"/>
    <n v="1"/>
    <x v="0"/>
    <s v="ASO"/>
    <m/>
    <e v="#NAME?"/>
    <e v="#NAME?"/>
    <e v="#NAME?"/>
    <m/>
    <m/>
    <m/>
    <m/>
    <m/>
    <m/>
  </r>
  <r>
    <s v="CE61541"/>
    <s v="JESUS ANDRÉS CARDENAS"/>
    <x v="5"/>
    <x v="26"/>
    <s v="GGI / CMC"/>
    <e v="#NAME?"/>
    <x v="160"/>
    <n v="0.9"/>
    <x v="2"/>
    <s v="Otras Tec."/>
    <m/>
    <e v="#NAME?"/>
    <e v="#NAME?"/>
    <e v="#NAME?"/>
    <m/>
    <m/>
    <m/>
    <m/>
    <m/>
    <m/>
  </r>
  <r>
    <s v="CE69109"/>
    <s v="LUIS FELIPE GONZÁLEZ"/>
    <x v="5"/>
    <x v="26"/>
    <s v="GGI / CMC"/>
    <e v="#NAME?"/>
    <x v="3"/>
    <n v="1"/>
    <x v="0"/>
    <s v="Mainframe"/>
    <m/>
    <e v="#NAME?"/>
    <e v="#NAME?"/>
    <e v="#NAME?"/>
    <m/>
    <m/>
    <m/>
    <m/>
    <m/>
    <m/>
  </r>
  <r>
    <s v="CE17709"/>
    <s v="LUZ  STELLA MARTINEZ"/>
    <x v="5"/>
    <x v="26"/>
    <s v="KRYPTO"/>
    <e v="#NAME?"/>
    <x v="200"/>
    <n v="1"/>
    <x v="2"/>
    <s v="Otras Tec."/>
    <m/>
    <e v="#NAME?"/>
    <e v="#NAME?"/>
    <e v="#NAME?"/>
    <m/>
    <m/>
    <m/>
    <m/>
    <m/>
    <m/>
  </r>
  <r>
    <s v="CE51863"/>
    <s v="EDNA ROCIO MONCADA"/>
    <x v="5"/>
    <x v="26"/>
    <s v="KRYPTO"/>
    <e v="#NAME?"/>
    <x v="200"/>
    <n v="0.02"/>
    <x v="2"/>
    <s v="Otras Tec."/>
    <m/>
    <e v="#NAME?"/>
    <e v="#NAME?"/>
    <e v="#NAME?"/>
    <m/>
    <m/>
    <m/>
    <m/>
    <m/>
    <m/>
  </r>
  <r>
    <s v="C810755"/>
    <s v="MARÍA ALEJANDRA VARÓN"/>
    <x v="5"/>
    <x v="26"/>
    <s v="BBVA"/>
    <e v="#NAME?"/>
    <x v="20"/>
    <n v="0.5"/>
    <x v="0"/>
    <s v="Cells"/>
    <m/>
    <e v="#NAME?"/>
    <e v="#NAME?"/>
    <e v="#NAME?"/>
    <m/>
    <m/>
    <m/>
    <m/>
    <m/>
    <m/>
  </r>
  <r>
    <s v="C810755"/>
    <s v="MARÍA ALEJANDRA VARÓN"/>
    <x v="5"/>
    <x v="26"/>
    <s v="BBVA"/>
    <e v="#NAME?"/>
    <x v="3"/>
    <n v="0.5"/>
    <x v="0"/>
    <s v="Cells"/>
    <m/>
    <e v="#NAME?"/>
    <e v="#NAME?"/>
    <e v="#NAME?"/>
    <m/>
    <m/>
    <m/>
    <m/>
    <m/>
    <m/>
  </r>
  <r>
    <s v="CE66887"/>
    <s v="NICOLAS BOLIVAR BATTLE"/>
    <x v="5"/>
    <x v="26"/>
    <s v="KRYPTO"/>
    <e v="#NAME?"/>
    <x v="200"/>
    <n v="1"/>
    <x v="2"/>
    <s v="Otras Tec."/>
    <m/>
    <e v="#NAME?"/>
    <e v="#NAME?"/>
    <e v="#NAME?"/>
    <m/>
    <m/>
    <m/>
    <m/>
    <m/>
    <m/>
  </r>
  <r>
    <s v="C805907"/>
    <s v="OSCAR DARIO VELÁSQUEZ"/>
    <x v="5"/>
    <x v="26"/>
    <s v="BBVA"/>
    <e v="#NAME?"/>
    <x v="20"/>
    <n v="0.25"/>
    <x v="0"/>
    <s v="Cells"/>
    <m/>
    <e v="#NAME?"/>
    <e v="#NAME?"/>
    <e v="#NAME?"/>
    <m/>
    <m/>
    <m/>
    <m/>
    <m/>
    <m/>
  </r>
  <r>
    <s v="C805907"/>
    <s v="OSCAR DARIO VELÁSQUEZ"/>
    <x v="5"/>
    <x v="26"/>
    <s v="BBVA"/>
    <e v="#NAME?"/>
    <x v="160"/>
    <n v="0.75"/>
    <x v="0"/>
    <s v="Cells"/>
    <m/>
    <e v="#NAME?"/>
    <e v="#NAME?"/>
    <e v="#NAME?"/>
    <m/>
    <m/>
    <m/>
    <m/>
    <m/>
    <m/>
  </r>
  <r>
    <s v="CE61541"/>
    <s v="JESUS ANDRÉS CARDENAS"/>
    <x v="5"/>
    <x v="26"/>
    <s v="GGI / CMC"/>
    <e v="#NAME?"/>
    <x v="160"/>
    <n v="0.1"/>
    <x v="2"/>
    <s v="Otras Tec."/>
    <m/>
    <e v="#NAME?"/>
    <e v="#NAME?"/>
    <e v="#NAME?"/>
    <m/>
    <m/>
    <m/>
    <m/>
    <m/>
    <m/>
  </r>
  <r>
    <s v="CE67019"/>
    <s v="REINALDO CUARIN"/>
    <x v="5"/>
    <x v="26"/>
    <s v="GGI / CMC"/>
    <e v="#NAME?"/>
    <x v="95"/>
    <n v="1"/>
    <x v="0"/>
    <s v="APX"/>
    <m/>
    <e v="#NAME?"/>
    <e v="#NAME?"/>
    <e v="#NAME?"/>
    <m/>
    <m/>
    <m/>
    <m/>
    <m/>
    <m/>
  </r>
  <r>
    <s v="CE69265"/>
    <s v="SANTIAGO MARTINEZ"/>
    <x v="5"/>
    <x v="26"/>
    <s v="Choucair"/>
    <e v="#NAME?"/>
    <x v="160"/>
    <n v="1"/>
    <x v="2"/>
    <s v="Otras Tec."/>
    <m/>
    <e v="#NAME?"/>
    <e v="#NAME?"/>
    <e v="#NAME?"/>
    <m/>
    <m/>
    <m/>
    <m/>
    <m/>
    <m/>
  </r>
  <r>
    <s v="O001980"/>
    <s v="YESID ALEXANDER ROA VEGA"/>
    <x v="5"/>
    <x v="26"/>
    <s v="BBVA"/>
    <e v="#NAME?"/>
    <x v="3"/>
    <n v="0.7"/>
    <x v="0"/>
    <s v="Otras Tec."/>
    <m/>
    <e v="#NAME?"/>
    <e v="#NAME?"/>
    <e v="#NAME?"/>
    <m/>
    <m/>
    <m/>
    <m/>
    <m/>
    <m/>
  </r>
  <r>
    <s v="O001980"/>
    <s v="YESID ALEXANDER ROA VEGA"/>
    <x v="5"/>
    <x v="26"/>
    <s v="BBVA"/>
    <e v="#NAME?"/>
    <x v="200"/>
    <n v="0.3"/>
    <x v="0"/>
    <s v="Otras Tec."/>
    <m/>
    <e v="#NAME?"/>
    <e v="#NAME?"/>
    <e v="#NAME?"/>
    <m/>
    <m/>
    <m/>
    <m/>
    <m/>
    <m/>
  </r>
  <r>
    <s v="O001850"/>
    <s v="ANDERSSON SALINAS"/>
    <x v="5"/>
    <x v="26"/>
    <s v="BBVA"/>
    <e v="#NAME?"/>
    <x v="201"/>
    <n v="0.5"/>
    <x v="0"/>
    <s v="Cells"/>
    <m/>
    <e v="#NAME?"/>
    <e v="#NAME?"/>
    <e v="#NAME?"/>
    <m/>
    <m/>
    <m/>
    <m/>
    <m/>
    <m/>
  </r>
  <r>
    <s v="O001850"/>
    <s v="ANDERSSON SALINAS"/>
    <x v="5"/>
    <x v="26"/>
    <s v="BBVA"/>
    <e v="#NAME?"/>
    <x v="3"/>
    <n v="0.5"/>
    <x v="0"/>
    <s v="Cells"/>
    <m/>
    <e v="#NAME?"/>
    <e v="#NAME?"/>
    <e v="#NAME?"/>
    <m/>
    <m/>
    <m/>
    <m/>
    <m/>
    <m/>
  </r>
  <r>
    <s v="CE67484"/>
    <s v="JUAN CARLOS SALDAÑA"/>
    <x v="1"/>
    <x v="16"/>
    <s v="Accenture"/>
    <e v="#NAME?"/>
    <x v="139"/>
    <n v="0.25"/>
    <x v="0"/>
    <s v="Distribuido"/>
    <m/>
    <e v="#NAME?"/>
    <e v="#NAME?"/>
    <e v="#NAME?"/>
    <m/>
    <m/>
    <m/>
    <m/>
    <m/>
    <m/>
  </r>
  <r>
    <s v="CE61162"/>
    <s v="JOSE PERFECTO"/>
    <x v="1"/>
    <x v="16"/>
    <s v="Accenture"/>
    <e v="#NAME?"/>
    <x v="139"/>
    <n v="0.3"/>
    <x v="0"/>
    <s v="Distribuido"/>
    <m/>
    <e v="#NAME?"/>
    <e v="#NAME?"/>
    <e v="#NAME?"/>
    <m/>
    <m/>
    <m/>
    <m/>
    <m/>
    <m/>
  </r>
  <r>
    <s v="T003696"/>
    <s v="LUIS LOZANO"/>
    <x v="1"/>
    <x v="16"/>
    <s v="Accenture"/>
    <e v="#NAME?"/>
    <x v="139"/>
    <n v="0.2"/>
    <x v="0"/>
    <s v="Distribuido"/>
    <m/>
    <e v="#NAME?"/>
    <e v="#NAME?"/>
    <e v="#NAME?"/>
    <m/>
    <m/>
    <m/>
    <m/>
    <m/>
    <m/>
  </r>
  <r>
    <s v="CE42052"/>
    <s v="SAMUEL ANDRES JIMENEZ RODRIGUEZ"/>
    <x v="1"/>
    <x v="16"/>
    <s v="GGI / CMC"/>
    <e v="#NAME?"/>
    <x v="139"/>
    <n v="0.1"/>
    <x v="0"/>
    <s v="Distribuido"/>
    <m/>
    <e v="#NAME?"/>
    <e v="#NAME?"/>
    <e v="#NAME?"/>
    <m/>
    <m/>
    <m/>
    <m/>
    <m/>
    <m/>
  </r>
  <r>
    <s v="T003497"/>
    <s v="ADRIAN DUCUARA BENITEZ"/>
    <x v="3"/>
    <x v="15"/>
    <s v="Accenture"/>
    <e v="#NAME?"/>
    <x v="202"/>
    <n v="1"/>
    <x v="0"/>
    <s v="Cells"/>
    <m/>
    <e v="#NAME?"/>
    <e v="#NAME?"/>
    <e v="#NAME?"/>
    <m/>
    <m/>
    <m/>
    <m/>
    <m/>
    <n v="1"/>
  </r>
  <r>
    <s v="T000410"/>
    <s v="ANDRES ALEJANDRO FAJARDO TORRES"/>
    <x v="3"/>
    <x v="15"/>
    <s v="Globant"/>
    <e v="#NAME?"/>
    <x v="118"/>
    <n v="0.7"/>
    <x v="0"/>
    <s v="Cells"/>
    <m/>
    <e v="#NAME?"/>
    <e v="#NAME?"/>
    <e v="#NAME?"/>
    <m/>
    <m/>
    <m/>
    <m/>
    <m/>
    <n v="1"/>
  </r>
  <r>
    <s v="T000410"/>
    <s v="ANDRES ALEJANDRO FAJARDO TORRES"/>
    <x v="3"/>
    <x v="15"/>
    <s v="Globant"/>
    <e v="#NAME?"/>
    <x v="86"/>
    <n v="0.3"/>
    <x v="0"/>
    <s v="Cells"/>
    <m/>
    <e v="#NAME?"/>
    <e v="#NAME?"/>
    <e v="#NAME?"/>
    <m/>
    <m/>
    <m/>
    <m/>
    <m/>
    <n v="0"/>
  </r>
  <r>
    <s v="CE67848"/>
    <s v="ANDRES ALFONSO VARELO SILGADO"/>
    <x v="3"/>
    <x v="15"/>
    <s v="Accenture"/>
    <e v="#NAME?"/>
    <x v="203"/>
    <n v="0.1"/>
    <x v="0"/>
    <s v="APX"/>
    <m/>
    <e v="#NAME?"/>
    <e v="#NAME?"/>
    <e v="#NAME?"/>
    <m/>
    <m/>
    <m/>
    <m/>
    <m/>
    <n v="1"/>
  </r>
  <r>
    <s v="CE67848"/>
    <s v="ANDRES ALFONSO VARELO SILGADO"/>
    <x v="3"/>
    <x v="15"/>
    <s v="Accenture"/>
    <e v="#NAME?"/>
    <x v="84"/>
    <n v="0.7"/>
    <x v="0"/>
    <s v="APX"/>
    <m/>
    <e v="#NAME?"/>
    <e v="#NAME?"/>
    <e v="#NAME?"/>
    <m/>
    <m/>
    <m/>
    <m/>
    <m/>
    <n v="0"/>
  </r>
  <r>
    <s v="CE67848"/>
    <s v="ANDRES ALFONSO VARELO SILGADO"/>
    <x v="3"/>
    <x v="15"/>
    <s v="Accenture"/>
    <e v="#NAME?"/>
    <x v="86"/>
    <n v="0.2"/>
    <x v="0"/>
    <s v="APX"/>
    <m/>
    <e v="#NAME?"/>
    <e v="#NAME?"/>
    <e v="#NAME?"/>
    <m/>
    <m/>
    <m/>
    <m/>
    <m/>
    <n v="0"/>
  </r>
  <r>
    <s v="T004062"/>
    <s v="ANDRES FELIPE FANDINO QUECANA"/>
    <x v="3"/>
    <x v="15"/>
    <s v="Choucair"/>
    <e v="#NAME?"/>
    <x v="204"/>
    <n v="1"/>
    <x v="2"/>
    <s v="Distribuido"/>
    <m/>
    <e v="#NAME?"/>
    <e v="#NAME?"/>
    <e v="#NAME?"/>
    <m/>
    <m/>
    <m/>
    <m/>
    <m/>
    <n v="1"/>
  </r>
  <r>
    <s v="T008459"/>
    <s v="ANDRÉS FELIPE FORERO"/>
    <x v="3"/>
    <x v="15"/>
    <s v="Neoris"/>
    <e v="#NAME?"/>
    <x v="3"/>
    <n v="1"/>
    <x v="0"/>
    <s v="Mainframe"/>
    <m/>
    <e v="#NAME?"/>
    <e v="#NAME?"/>
    <e v="#NAME?"/>
    <m/>
    <m/>
    <m/>
    <m/>
    <m/>
    <n v="1"/>
  </r>
  <r>
    <s v="CE70621"/>
    <s v="BRANDON AVILA"/>
    <x v="3"/>
    <x v="15"/>
    <s v="Inetum"/>
    <e v="#NAME?"/>
    <x v="3"/>
    <n v="1"/>
    <x v="2"/>
    <s v="Mainframe"/>
    <m/>
    <e v="#NAME?"/>
    <e v="#NAME?"/>
    <e v="#NAME?"/>
    <m/>
    <m/>
    <m/>
    <m/>
    <m/>
    <n v="1"/>
  </r>
  <r>
    <s v="CE69709"/>
    <s v="BRAYAN CAMILO VALCARCEL RIANO"/>
    <x v="3"/>
    <x v="15"/>
    <s v="Choucair"/>
    <e v="#NAME?"/>
    <x v="118"/>
    <n v="0.5"/>
    <x v="2"/>
    <s v="Distribuido"/>
    <m/>
    <e v="#NAME?"/>
    <e v="#NAME?"/>
    <e v="#NAME?"/>
    <m/>
    <m/>
    <m/>
    <m/>
    <m/>
    <n v="1"/>
  </r>
  <r>
    <s v="CE69709"/>
    <s v="BRAYAN CAMILO VALCARCEL RIANO"/>
    <x v="3"/>
    <x v="15"/>
    <s v="Choucair"/>
    <e v="#NAME?"/>
    <x v="86"/>
    <n v="0.5"/>
    <x v="2"/>
    <s v="Distribuido"/>
    <m/>
    <e v="#NAME?"/>
    <e v="#NAME?"/>
    <e v="#NAME?"/>
    <m/>
    <m/>
    <m/>
    <m/>
    <m/>
    <n v="0"/>
  </r>
  <r>
    <s v="T000159"/>
    <s v="BRYAN SMITH PATIÑO"/>
    <x v="3"/>
    <x v="15"/>
    <s v="Choucair"/>
    <e v="#NAME?"/>
    <x v="205"/>
    <n v="1"/>
    <x v="2"/>
    <s v="Mainframe"/>
    <m/>
    <e v="#NAME?"/>
    <e v="#NAME?"/>
    <e v="#NAME?"/>
    <m/>
    <m/>
    <m/>
    <m/>
    <m/>
    <n v="1"/>
  </r>
  <r>
    <s v="P009920"/>
    <s v="CAMILO ABELLA"/>
    <x v="3"/>
    <x v="15"/>
    <s v="Accenture"/>
    <e v="#NAME?"/>
    <x v="203"/>
    <n v="1"/>
    <x v="0"/>
    <s v="Cells"/>
    <m/>
    <e v="#NAME?"/>
    <e v="#NAME?"/>
    <e v="#NAME?"/>
    <m/>
    <m/>
    <m/>
    <m/>
    <m/>
    <n v="1"/>
  </r>
  <r>
    <s v="O001869"/>
    <s v="CAMILO CABRA"/>
    <x v="3"/>
    <x v="15"/>
    <s v="BBVA"/>
    <e v="#NAME?"/>
    <x v="205"/>
    <n v="0.1"/>
    <x v="1"/>
    <s v="Mainframe"/>
    <m/>
    <e v="#NAME?"/>
    <e v="#NAME?"/>
    <e v="#NAME?"/>
    <m/>
    <m/>
    <m/>
    <m/>
    <m/>
    <n v="1"/>
  </r>
  <r>
    <s v="O001869"/>
    <s v="CAMILO CABRA"/>
    <x v="3"/>
    <x v="15"/>
    <s v="BBVA"/>
    <e v="#NAME?"/>
    <x v="1"/>
    <n v="0.05"/>
    <x v="1"/>
    <s v="Otras Tec."/>
    <m/>
    <e v="#NAME?"/>
    <e v="#NAME?"/>
    <e v="#NAME?"/>
    <m/>
    <m/>
    <m/>
    <m/>
    <m/>
    <n v="0"/>
  </r>
  <r>
    <s v="O001869"/>
    <s v="CAMILO CABRA"/>
    <x v="3"/>
    <x v="15"/>
    <s v="BBVA"/>
    <e v="#NAME?"/>
    <x v="6"/>
    <n v="0.05"/>
    <x v="1"/>
    <s v="Otras Tec."/>
    <m/>
    <e v="#NAME?"/>
    <e v="#NAME?"/>
    <e v="#NAME?"/>
    <m/>
    <m/>
    <m/>
    <m/>
    <m/>
    <n v="0"/>
  </r>
  <r>
    <s v="O001869"/>
    <s v="CAMILO CABRA"/>
    <x v="3"/>
    <x v="15"/>
    <s v="BBVA"/>
    <e v="#NAME?"/>
    <x v="202"/>
    <n v="0.15"/>
    <x v="1"/>
    <s v="Otras Tec."/>
    <m/>
    <e v="#NAME?"/>
    <e v="#NAME?"/>
    <e v="#NAME?"/>
    <m/>
    <m/>
    <m/>
    <m/>
    <m/>
    <n v="0"/>
  </r>
  <r>
    <s v="O001869"/>
    <s v="CAMILO CABRA"/>
    <x v="3"/>
    <x v="15"/>
    <s v="BBVA"/>
    <e v="#NAME?"/>
    <x v="206"/>
    <n v="0.05"/>
    <x v="1"/>
    <s v="Otras Tec."/>
    <m/>
    <e v="#NAME?"/>
    <e v="#NAME?"/>
    <e v="#NAME?"/>
    <m/>
    <m/>
    <m/>
    <m/>
    <m/>
    <n v="0"/>
  </r>
  <r>
    <s v="O001869"/>
    <s v="CAMILO CABRA"/>
    <x v="3"/>
    <x v="15"/>
    <s v="BBVA"/>
    <e v="#NAME?"/>
    <x v="207"/>
    <n v="0.2"/>
    <x v="1"/>
    <s v="Otras Tec."/>
    <m/>
    <e v="#NAME?"/>
    <e v="#NAME?"/>
    <e v="#NAME?"/>
    <m/>
    <m/>
    <m/>
    <m/>
    <m/>
    <n v="0"/>
  </r>
  <r>
    <s v="O001869"/>
    <s v="CAMILO CABRA"/>
    <x v="3"/>
    <x v="15"/>
    <s v="BBVA"/>
    <e v="#NAME?"/>
    <x v="208"/>
    <n v="0.15"/>
    <x v="1"/>
    <s v="Otras Tec."/>
    <m/>
    <e v="#NAME?"/>
    <e v="#NAME?"/>
    <e v="#NAME?"/>
    <m/>
    <m/>
    <m/>
    <m/>
    <m/>
    <n v="0"/>
  </r>
  <r>
    <s v="O001869"/>
    <s v="CAMILO CABRA"/>
    <x v="3"/>
    <x v="15"/>
    <s v="BBVA"/>
    <e v="#NAME?"/>
    <x v="209"/>
    <n v="0.1"/>
    <x v="1"/>
    <s v="Otras Tec."/>
    <m/>
    <e v="#NAME?"/>
    <e v="#NAME?"/>
    <e v="#NAME?"/>
    <m/>
    <m/>
    <m/>
    <m/>
    <m/>
    <n v="0"/>
  </r>
  <r>
    <s v="O001869"/>
    <s v="CAMILO CABRA"/>
    <x v="3"/>
    <x v="15"/>
    <s v="BBVA"/>
    <e v="#NAME?"/>
    <x v="53"/>
    <n v="0.05"/>
    <x v="1"/>
    <s v="Otras Tec."/>
    <m/>
    <e v="#NAME?"/>
    <e v="#NAME?"/>
    <e v="#NAME?"/>
    <m/>
    <m/>
    <m/>
    <m/>
    <m/>
    <n v="0"/>
  </r>
  <r>
    <s v="O001869"/>
    <s v="CAMILO CABRA"/>
    <x v="3"/>
    <x v="15"/>
    <s v="BBVA"/>
    <e v="#NAME?"/>
    <x v="3"/>
    <n v="0.1"/>
    <x v="1"/>
    <s v="Otras Tec."/>
    <m/>
    <e v="#NAME?"/>
    <e v="#NAME?"/>
    <e v="#NAME?"/>
    <m/>
    <m/>
    <m/>
    <m/>
    <m/>
    <n v="0"/>
  </r>
  <r>
    <s v="CE30638"/>
    <s v="CESAR AUGUSTO MOLANO RUEDA"/>
    <x v="3"/>
    <x v="15"/>
    <s v="Inetum"/>
    <e v="#NAME?"/>
    <x v="118"/>
    <n v="1"/>
    <x v="0"/>
    <s v="Mainframe"/>
    <m/>
    <e v="#NAME?"/>
    <e v="#NAME?"/>
    <e v="#NAME?"/>
    <m/>
    <m/>
    <m/>
    <m/>
    <m/>
    <n v="1"/>
  </r>
  <r>
    <s v="C805965"/>
    <s v="CRISTIAN ESNEIDER VELASQUEZ"/>
    <x v="3"/>
    <x v="15"/>
    <s v="BBVA"/>
    <e v="#NAME?"/>
    <x v="202"/>
    <n v="0.1"/>
    <x v="0"/>
    <s v="APX"/>
    <m/>
    <e v="#NAME?"/>
    <e v="#NAME?"/>
    <e v="#NAME?"/>
    <m/>
    <m/>
    <m/>
    <m/>
    <m/>
    <n v="1"/>
  </r>
  <r>
    <s v="C805965"/>
    <s v="CRISTIAN ESNEIDER VELASQUEZ"/>
    <x v="3"/>
    <x v="15"/>
    <s v="BBVA"/>
    <e v="#NAME?"/>
    <x v="202"/>
    <n v="0.1"/>
    <x v="0"/>
    <s v="APX"/>
    <m/>
    <e v="#NAME?"/>
    <e v="#NAME?"/>
    <e v="#NAME?"/>
    <m/>
    <m/>
    <m/>
    <m/>
    <m/>
    <n v="0"/>
  </r>
  <r>
    <s v="C805965"/>
    <s v="CRISTIAN ESNEIDER VELASQUEZ"/>
    <x v="3"/>
    <x v="15"/>
    <s v="BBVA"/>
    <e v="#NAME?"/>
    <x v="207"/>
    <n v="0.8"/>
    <x v="0"/>
    <s v="APX"/>
    <m/>
    <e v="#NAME?"/>
    <e v="#NAME?"/>
    <e v="#NAME?"/>
    <m/>
    <m/>
    <m/>
    <m/>
    <m/>
    <n v="0"/>
  </r>
  <r>
    <s v="C342543"/>
    <s v="CRISTIAN FRANCISCO FERNANDEZ"/>
    <x v="3"/>
    <x v="15"/>
    <s v="BBVA"/>
    <e v="#NAME?"/>
    <x v="1"/>
    <n v="0.1"/>
    <x v="0"/>
    <s v="Mainframe"/>
    <m/>
    <e v="#NAME?"/>
    <e v="#NAME?"/>
    <e v="#NAME?"/>
    <m/>
    <m/>
    <m/>
    <m/>
    <m/>
    <n v="1"/>
  </r>
  <r>
    <s v="C342543"/>
    <s v="CRISTIAN FRANCISCO FERNANDEZ"/>
    <x v="3"/>
    <x v="15"/>
    <s v="BBVA"/>
    <e v="#NAME?"/>
    <x v="6"/>
    <n v="0.1"/>
    <x v="0"/>
    <s v="Mainframe"/>
    <m/>
    <e v="#NAME?"/>
    <e v="#NAME?"/>
    <e v="#NAME?"/>
    <m/>
    <m/>
    <m/>
    <m/>
    <m/>
    <n v="0"/>
  </r>
  <r>
    <s v="C342543"/>
    <s v="CRISTIAN FRANCISCO FERNANDEZ"/>
    <x v="3"/>
    <x v="15"/>
    <s v="BBVA"/>
    <e v="#NAME?"/>
    <x v="209"/>
    <n v="0.1"/>
    <x v="0"/>
    <s v="Mainframe"/>
    <m/>
    <e v="#NAME?"/>
    <e v="#NAME?"/>
    <e v="#NAME?"/>
    <m/>
    <m/>
    <m/>
    <m/>
    <m/>
    <n v="0"/>
  </r>
  <r>
    <s v="C342543"/>
    <s v="CRISTIAN FRANCISCO FERNANDEZ"/>
    <x v="3"/>
    <x v="15"/>
    <s v="BBVA"/>
    <e v="#NAME?"/>
    <x v="118"/>
    <n v="0.1"/>
    <x v="0"/>
    <s v="Mainframe"/>
    <m/>
    <e v="#NAME?"/>
    <e v="#NAME?"/>
    <e v="#NAME?"/>
    <m/>
    <m/>
    <m/>
    <m/>
    <m/>
    <n v="0"/>
  </r>
  <r>
    <s v="C342543"/>
    <s v="CRISTIAN FRANCISCO FERNANDEZ"/>
    <x v="3"/>
    <x v="15"/>
    <s v="BBVA"/>
    <e v="#NAME?"/>
    <x v="208"/>
    <n v="0.1"/>
    <x v="0"/>
    <s v="Mainframe"/>
    <m/>
    <e v="#NAME?"/>
    <e v="#NAME?"/>
    <e v="#NAME?"/>
    <m/>
    <m/>
    <m/>
    <m/>
    <m/>
    <n v="0"/>
  </r>
  <r>
    <s v="C342543"/>
    <s v="CRISTIAN FRANCISCO FERNANDEZ"/>
    <x v="3"/>
    <x v="15"/>
    <s v="BBVA"/>
    <e v="#NAME?"/>
    <x v="210"/>
    <n v="0.1"/>
    <x v="0"/>
    <s v="Mainframe"/>
    <m/>
    <e v="#NAME?"/>
    <e v="#NAME?"/>
    <e v="#NAME?"/>
    <m/>
    <m/>
    <m/>
    <m/>
    <m/>
    <n v="0"/>
  </r>
  <r>
    <s v="C342543"/>
    <s v="CRISTIAN FRANCISCO FERNANDEZ"/>
    <x v="3"/>
    <x v="15"/>
    <s v="BBVA"/>
    <e v="#NAME?"/>
    <x v="3"/>
    <n v="0.4"/>
    <x v="0"/>
    <s v="Mainframe"/>
    <m/>
    <e v="#NAME?"/>
    <e v="#NAME?"/>
    <e v="#NAME?"/>
    <m/>
    <m/>
    <m/>
    <m/>
    <m/>
    <n v="0"/>
  </r>
  <r>
    <s v="CE66714"/>
    <s v="CRISTIAN STEVEN ABRIL ALDANA"/>
    <x v="3"/>
    <x v="15"/>
    <s v="Novatec"/>
    <e v="#NAME?"/>
    <x v="203"/>
    <n v="0.35"/>
    <x v="0"/>
    <s v="Cells"/>
    <m/>
    <e v="#NAME?"/>
    <e v="#NAME?"/>
    <e v="#NAME?"/>
    <m/>
    <m/>
    <m/>
    <m/>
    <m/>
    <n v="1"/>
  </r>
  <r>
    <s v="CE66714"/>
    <s v="CRISTIAN STEVEN ABRIL ALDANA"/>
    <x v="3"/>
    <x v="15"/>
    <s v="Novatec"/>
    <e v="#NAME?"/>
    <x v="84"/>
    <n v="0.3"/>
    <x v="0"/>
    <s v="Cells"/>
    <m/>
    <e v="#NAME?"/>
    <e v="#NAME?"/>
    <e v="#NAME?"/>
    <m/>
    <m/>
    <m/>
    <m/>
    <m/>
    <n v="0"/>
  </r>
  <r>
    <s v="CE66714"/>
    <s v="CRISTIAN STEVEN ABRIL ALDANA"/>
    <x v="3"/>
    <x v="15"/>
    <s v="Novatec"/>
    <e v="#NAME?"/>
    <x v="86"/>
    <n v="0.35"/>
    <x v="0"/>
    <s v="Cells"/>
    <m/>
    <e v="#NAME?"/>
    <e v="#NAME?"/>
    <e v="#NAME?"/>
    <m/>
    <m/>
    <m/>
    <m/>
    <m/>
    <n v="0"/>
  </r>
  <r>
    <s v="CE67847"/>
    <s v="CRISTIAN STIVEN SÀNCHEZ RUBIO"/>
    <x v="3"/>
    <x v="15"/>
    <s v="Inetum"/>
    <e v="#NAME?"/>
    <x v="84"/>
    <n v="1"/>
    <x v="0"/>
    <s v="ASO"/>
    <m/>
    <e v="#NAME?"/>
    <e v="#NAME?"/>
    <e v="#NAME?"/>
    <m/>
    <m/>
    <m/>
    <m/>
    <m/>
    <n v="1"/>
  </r>
  <r>
    <s v="P002414"/>
    <s v="DANIEL BERNAL"/>
    <x v="3"/>
    <x v="15"/>
    <s v="Novatec"/>
    <e v="#NAME?"/>
    <x v="203"/>
    <n v="1"/>
    <x v="0"/>
    <s v="Cells"/>
    <m/>
    <e v="#NAME?"/>
    <e v="#NAME?"/>
    <e v="#NAME?"/>
    <m/>
    <m/>
    <m/>
    <m/>
    <m/>
    <n v="1"/>
  </r>
  <r>
    <s v="CE65598"/>
    <s v="DAVID GERMAN TORRES MOLANO"/>
    <x v="3"/>
    <x v="15"/>
    <s v="KRYPTO"/>
    <e v="#NAME?"/>
    <x v="203"/>
    <n v="0.3"/>
    <x v="2"/>
    <s v="Distribuido"/>
    <m/>
    <e v="#NAME?"/>
    <e v="#NAME?"/>
    <e v="#NAME?"/>
    <m/>
    <m/>
    <m/>
    <m/>
    <m/>
    <n v="1"/>
  </r>
  <r>
    <s v="CE65598"/>
    <s v="DAVID GERMAN TORRES MOLANO"/>
    <x v="3"/>
    <x v="15"/>
    <s v="KRYPTO"/>
    <e v="#NAME?"/>
    <x v="84"/>
    <n v="0.3"/>
    <x v="2"/>
    <s v="Distribuido"/>
    <m/>
    <e v="#NAME?"/>
    <e v="#NAME?"/>
    <e v="#NAME?"/>
    <m/>
    <m/>
    <m/>
    <m/>
    <m/>
    <n v="0"/>
  </r>
  <r>
    <s v="CE65598"/>
    <s v="DAVID GERMAN TORRES MOLANO"/>
    <x v="3"/>
    <x v="15"/>
    <s v="KRYPTO"/>
    <e v="#NAME?"/>
    <x v="86"/>
    <n v="0.4"/>
    <x v="2"/>
    <s v="Distribuido"/>
    <m/>
    <e v="#NAME?"/>
    <e v="#NAME?"/>
    <e v="#NAME?"/>
    <m/>
    <m/>
    <m/>
    <m/>
    <m/>
    <n v="0"/>
  </r>
  <r>
    <s v="C342598"/>
    <s v="DEISON COLMENARES"/>
    <x v="3"/>
    <x v="15"/>
    <s v="BBVA"/>
    <e v="#NAME?"/>
    <x v="203"/>
    <n v="0.1"/>
    <x v="0"/>
    <s v="Mainframe"/>
    <m/>
    <e v="#NAME?"/>
    <e v="#NAME?"/>
    <e v="#NAME?"/>
    <m/>
    <m/>
    <m/>
    <m/>
    <m/>
    <n v="1"/>
  </r>
  <r>
    <s v="C342598"/>
    <s v="DEISON COLMENARES"/>
    <x v="3"/>
    <x v="15"/>
    <s v="BBVA"/>
    <e v="#NAME?"/>
    <x v="84"/>
    <n v="0.15"/>
    <x v="0"/>
    <s v="Mainframe"/>
    <m/>
    <e v="#NAME?"/>
    <e v="#NAME?"/>
    <e v="#NAME?"/>
    <m/>
    <m/>
    <m/>
    <m/>
    <m/>
    <n v="0"/>
  </r>
  <r>
    <s v="C342598"/>
    <s v="DEISON COLMENARES"/>
    <x v="3"/>
    <x v="15"/>
    <s v="BBVA"/>
    <e v="#NAME?"/>
    <x v="86"/>
    <n v="0.2"/>
    <x v="0"/>
    <s v="Mainframe"/>
    <m/>
    <e v="#NAME?"/>
    <e v="#NAME?"/>
    <e v="#NAME?"/>
    <m/>
    <m/>
    <m/>
    <m/>
    <m/>
    <n v="0"/>
  </r>
  <r>
    <s v="C342598"/>
    <s v="DEISON COLMENARES"/>
    <x v="3"/>
    <x v="15"/>
    <s v="BBVA"/>
    <e v="#NAME?"/>
    <x v="211"/>
    <n v="0.2"/>
    <x v="0"/>
    <s v="Mainframe"/>
    <m/>
    <e v="#NAME?"/>
    <e v="#NAME?"/>
    <e v="#NAME?"/>
    <m/>
    <m/>
    <m/>
    <m/>
    <m/>
    <n v="0"/>
  </r>
  <r>
    <s v="C342598"/>
    <s v="DEISON COLMENARES"/>
    <x v="3"/>
    <x v="15"/>
    <s v="BBVA"/>
    <e v="#NAME?"/>
    <x v="204"/>
    <n v="0.15"/>
    <x v="0"/>
    <s v="Mainframe"/>
    <m/>
    <e v="#NAME?"/>
    <e v="#NAME?"/>
    <e v="#NAME?"/>
    <m/>
    <m/>
    <m/>
    <m/>
    <m/>
    <n v="0"/>
  </r>
  <r>
    <s v="C342598"/>
    <s v="DEISON COLMENARES"/>
    <x v="3"/>
    <x v="15"/>
    <s v="BBVA"/>
    <e v="#NAME?"/>
    <x v="118"/>
    <n v="0.2"/>
    <x v="0"/>
    <s v="Mainframe"/>
    <m/>
    <e v="#NAME?"/>
    <e v="#NAME?"/>
    <e v="#NAME?"/>
    <m/>
    <m/>
    <m/>
    <m/>
    <m/>
    <n v="0"/>
  </r>
  <r>
    <s v="CE68302"/>
    <s v="DIANA GRANADA"/>
    <x v="3"/>
    <x v="15"/>
    <s v="Choucair"/>
    <e v="#NAME?"/>
    <x v="202"/>
    <n v="1"/>
    <x v="2"/>
    <s v="Distribuido"/>
    <m/>
    <e v="#NAME?"/>
    <e v="#NAME?"/>
    <e v="#NAME?"/>
    <m/>
    <m/>
    <m/>
    <m/>
    <m/>
    <n v="1"/>
  </r>
  <r>
    <s v="C811057"/>
    <s v="DIEGO CALLEJAS"/>
    <x v="3"/>
    <x v="15"/>
    <s v="BBVA"/>
    <e v="#NAME?"/>
    <x v="3"/>
    <n v="1"/>
    <x v="0"/>
    <s v="Mainframe"/>
    <m/>
    <e v="#NAME?"/>
    <e v="#NAME?"/>
    <e v="#NAME?"/>
    <m/>
    <m/>
    <m/>
    <m/>
    <m/>
    <n v="1"/>
  </r>
  <r>
    <s v="CE69094"/>
    <s v="DUVAN ALEJANDRO BERNATE PIAMBA"/>
    <x v="3"/>
    <x v="15"/>
    <s v="KRYPTO"/>
    <e v="#NAME?"/>
    <x v="203"/>
    <n v="0.5"/>
    <x v="2"/>
    <s v="Distribuido"/>
    <m/>
    <e v="#NAME?"/>
    <e v="#NAME?"/>
    <e v="#NAME?"/>
    <m/>
    <m/>
    <m/>
    <m/>
    <m/>
    <n v="1"/>
  </r>
  <r>
    <s v="CE69094"/>
    <s v="DUVAN ALEJANDRO BERNATE PIAMBA"/>
    <x v="3"/>
    <x v="15"/>
    <s v="KRYPTO"/>
    <e v="#NAME?"/>
    <x v="84"/>
    <n v="0.5"/>
    <x v="2"/>
    <s v="Distribuido"/>
    <m/>
    <e v="#NAME?"/>
    <e v="#NAME?"/>
    <e v="#NAME?"/>
    <m/>
    <m/>
    <m/>
    <m/>
    <m/>
    <n v="0"/>
  </r>
  <r>
    <s v="C796415"/>
    <s v="EDGAR REY"/>
    <x v="3"/>
    <x v="15"/>
    <s v="BBVA"/>
    <e v="#NAME?"/>
    <x v="3"/>
    <n v="1"/>
    <x v="1"/>
    <s v="Mainframe"/>
    <m/>
    <e v="#NAME?"/>
    <e v="#NAME?"/>
    <e v="#NAME?"/>
    <m/>
    <m/>
    <m/>
    <m/>
    <m/>
    <n v="1"/>
  </r>
  <r>
    <s v="O000448"/>
    <s v="EDUAR BOLAÑOS"/>
    <x v="3"/>
    <x v="15"/>
    <s v="BBVA"/>
    <e v="#NAME?"/>
    <x v="84"/>
    <n v="0.5"/>
    <x v="0"/>
    <s v="APX"/>
    <m/>
    <e v="#NAME?"/>
    <e v="#NAME?"/>
    <e v="#NAME?"/>
    <m/>
    <m/>
    <m/>
    <m/>
    <m/>
    <n v="1"/>
  </r>
  <r>
    <s v="O000448"/>
    <s v="EDUAR BOLAÑOS"/>
    <x v="3"/>
    <x v="15"/>
    <s v="BBVA"/>
    <e v="#NAME?"/>
    <x v="203"/>
    <n v="0.2"/>
    <x v="0"/>
    <s v="APX"/>
    <m/>
    <e v="#NAME?"/>
    <e v="#NAME?"/>
    <e v="#NAME?"/>
    <m/>
    <m/>
    <m/>
    <m/>
    <m/>
    <n v="0"/>
  </r>
  <r>
    <s v="O000448"/>
    <s v="EDUAR BOLAÑOS"/>
    <x v="3"/>
    <x v="15"/>
    <s v="BBVA"/>
    <e v="#NAME?"/>
    <x v="86"/>
    <n v="0.3"/>
    <x v="0"/>
    <s v="APX"/>
    <m/>
    <e v="#NAME?"/>
    <e v="#NAME?"/>
    <e v="#NAME?"/>
    <m/>
    <m/>
    <m/>
    <m/>
    <m/>
    <n v="0"/>
  </r>
  <r>
    <s v="C805991"/>
    <s v="FABIANI LOZANO"/>
    <x v="3"/>
    <x v="15"/>
    <s v="BBVA"/>
    <e v="#NAME?"/>
    <x v="118"/>
    <n v="0.2"/>
    <x v="0"/>
    <s v="ASO"/>
    <m/>
    <e v="#NAME?"/>
    <e v="#NAME?"/>
    <e v="#NAME?"/>
    <m/>
    <m/>
    <m/>
    <m/>
    <m/>
    <n v="1"/>
  </r>
  <r>
    <s v="C805991"/>
    <s v="FABIANI LOZANO"/>
    <x v="3"/>
    <x v="15"/>
    <s v="BBVA"/>
    <e v="#NAME?"/>
    <x v="86"/>
    <n v="0.3"/>
    <x v="0"/>
    <s v="ASO"/>
    <m/>
    <e v="#NAME?"/>
    <e v="#NAME?"/>
    <e v="#NAME?"/>
    <m/>
    <m/>
    <m/>
    <m/>
    <m/>
    <n v="0"/>
  </r>
  <r>
    <s v="C805991"/>
    <s v="FABIANI LOZANO"/>
    <x v="3"/>
    <x v="15"/>
    <s v="BBVA"/>
    <e v="#NAME?"/>
    <x v="118"/>
    <n v="0.3"/>
    <x v="0"/>
    <s v="ASO"/>
    <m/>
    <e v="#NAME?"/>
    <e v="#NAME?"/>
    <e v="#NAME?"/>
    <m/>
    <m/>
    <m/>
    <m/>
    <m/>
    <n v="0"/>
  </r>
  <r>
    <s v="C805991"/>
    <s v="FABIANI LOZANO"/>
    <x v="3"/>
    <x v="15"/>
    <s v="BBVA"/>
    <e v="#NAME?"/>
    <x v="3"/>
    <n v="0.2"/>
    <x v="0"/>
    <s v="ASO"/>
    <s v="Se esta revisando la mejora del Validate Products"/>
    <e v="#NAME?"/>
    <e v="#NAME?"/>
    <e v="#NAME?"/>
    <m/>
    <m/>
    <m/>
    <m/>
    <m/>
    <n v="0"/>
  </r>
  <r>
    <s v="O001038"/>
    <s v="FLOR ALICIA GALAN"/>
    <x v="3"/>
    <x v="15"/>
    <s v="BBVA"/>
    <e v="#NAME?"/>
    <x v="3"/>
    <n v="1"/>
    <x v="0"/>
    <s v="Mainframe"/>
    <m/>
    <e v="#NAME?"/>
    <e v="#NAME?"/>
    <e v="#NAME?"/>
    <m/>
    <m/>
    <m/>
    <m/>
    <m/>
    <n v="1"/>
  </r>
  <r>
    <s v="CE50152"/>
    <s v="FRANKLIN MEDINA"/>
    <x v="3"/>
    <x v="15"/>
    <s v="Inetum"/>
    <e v="#NAME?"/>
    <x v="3"/>
    <n v="1"/>
    <x v="2"/>
    <s v="Mainframe"/>
    <m/>
    <e v="#NAME?"/>
    <e v="#NAME?"/>
    <e v="#NAME?"/>
    <m/>
    <m/>
    <m/>
    <m/>
    <m/>
    <n v="1"/>
  </r>
  <r>
    <s v="CE60769"/>
    <s v="HECTOR FERNANDO JARAMILLO"/>
    <x v="3"/>
    <x v="15"/>
    <s v="Inetum"/>
    <e v="#NAME?"/>
    <x v="84"/>
    <n v="1"/>
    <x v="0"/>
    <s v="Mainframe"/>
    <m/>
    <e v="#NAME?"/>
    <e v="#NAME?"/>
    <e v="#NAME?"/>
    <m/>
    <m/>
    <m/>
    <m/>
    <m/>
    <n v="1"/>
  </r>
  <r>
    <s v="CE52097"/>
    <s v="IVAN DE JESÚS RAMOS OSORIO"/>
    <x v="3"/>
    <x v="15"/>
    <s v="Neoris"/>
    <e v="#NAME?"/>
    <x v="3"/>
    <n v="1"/>
    <x v="0"/>
    <s v="Mainframe"/>
    <m/>
    <e v="#NAME?"/>
    <e v="#NAME?"/>
    <e v="#NAME?"/>
    <m/>
    <m/>
    <m/>
    <m/>
    <m/>
    <n v="1"/>
  </r>
  <r>
    <s v="CE61638"/>
    <s v="JAVIER CORDOBA"/>
    <x v="3"/>
    <x v="15"/>
    <s v="KRYPTO"/>
    <e v="#NAME?"/>
    <x v="205"/>
    <n v="1"/>
    <x v="2"/>
    <s v="Mainframe"/>
    <m/>
    <e v="#NAME?"/>
    <e v="#NAME?"/>
    <e v="#NAME?"/>
    <m/>
    <m/>
    <m/>
    <m/>
    <m/>
    <n v="1"/>
  </r>
  <r>
    <s v="O001111"/>
    <s v="JENNIFER HAILINTH MORENO"/>
    <x v="3"/>
    <x v="15"/>
    <s v="BBVA"/>
    <e v="#NAME?"/>
    <x v="118"/>
    <n v="1"/>
    <x v="0"/>
    <s v="Mainframe"/>
    <m/>
    <e v="#NAME?"/>
    <e v="#NAME?"/>
    <e v="#NAME?"/>
    <m/>
    <m/>
    <m/>
    <m/>
    <m/>
    <n v="1"/>
  </r>
  <r>
    <s v="CE66153"/>
    <s v="JHON EDWIN MENDOZA DAZA"/>
    <x v="3"/>
    <x v="15"/>
    <s v="Novatec"/>
    <e v="#NAME?"/>
    <x v="84"/>
    <n v="0.7"/>
    <x v="0"/>
    <s v="Cells"/>
    <m/>
    <e v="#NAME?"/>
    <e v="#NAME?"/>
    <e v="#NAME?"/>
    <m/>
    <m/>
    <m/>
    <m/>
    <m/>
    <n v="1"/>
  </r>
  <r>
    <s v="CE66153"/>
    <s v="JHON EDWIN MENDOZA DAZA"/>
    <x v="3"/>
    <x v="15"/>
    <s v="Novatec"/>
    <e v="#NAME?"/>
    <x v="86"/>
    <n v="0.3"/>
    <x v="0"/>
    <s v="Cells"/>
    <m/>
    <e v="#NAME?"/>
    <e v="#NAME?"/>
    <e v="#NAME?"/>
    <m/>
    <m/>
    <m/>
    <m/>
    <m/>
    <n v="0"/>
  </r>
  <r>
    <s v="C811329"/>
    <s v="JHON MARIO FORERO"/>
    <x v="3"/>
    <x v="15"/>
    <s v="BBVA"/>
    <e v="#NAME?"/>
    <x v="3"/>
    <n v="1"/>
    <x v="0"/>
    <s v="Mainframe"/>
    <m/>
    <e v="#NAME?"/>
    <e v="#NAME?"/>
    <e v="#NAME?"/>
    <m/>
    <m/>
    <m/>
    <m/>
    <m/>
    <n v="1"/>
  </r>
  <r>
    <s v="CE61687"/>
    <s v="JHONATAN STIV CUADROS CARDENAS"/>
    <x v="3"/>
    <x v="15"/>
    <s v="Accenture"/>
    <e v="#NAME?"/>
    <x v="118"/>
    <n v="0.7"/>
    <x v="0"/>
    <s v="APX"/>
    <m/>
    <e v="#NAME?"/>
    <e v="#NAME?"/>
    <e v="#NAME?"/>
    <m/>
    <m/>
    <m/>
    <m/>
    <m/>
    <n v="1"/>
  </r>
  <r>
    <s v="CE61687"/>
    <s v="JHONATAN STIV CUADROS CARDENAS"/>
    <x v="3"/>
    <x v="15"/>
    <s v="Accenture"/>
    <e v="#NAME?"/>
    <x v="86"/>
    <n v="0.3"/>
    <x v="0"/>
    <s v="APX"/>
    <m/>
    <e v="#NAME?"/>
    <e v="#NAME?"/>
    <e v="#NAME?"/>
    <m/>
    <m/>
    <m/>
    <m/>
    <m/>
    <n v="0"/>
  </r>
  <r>
    <s v="C808819"/>
    <s v="JOSEPH ALEANDER ROJAS"/>
    <x v="3"/>
    <x v="15"/>
    <s v="BBVA"/>
    <e v="#NAME?"/>
    <x v="203"/>
    <n v="0.4"/>
    <x v="0"/>
    <s v="Mainframe"/>
    <m/>
    <e v="#NAME?"/>
    <e v="#NAME?"/>
    <e v="#NAME?"/>
    <m/>
    <m/>
    <m/>
    <m/>
    <m/>
    <n v="1"/>
  </r>
  <r>
    <s v="C808819"/>
    <s v="JOSEPH ALEANDER ROJAS"/>
    <x v="3"/>
    <x v="15"/>
    <s v="BBVA"/>
    <e v="#NAME?"/>
    <x v="84"/>
    <n v="0.6"/>
    <x v="0"/>
    <s v="Mainframe"/>
    <m/>
    <e v="#NAME?"/>
    <e v="#NAME?"/>
    <e v="#NAME?"/>
    <m/>
    <m/>
    <m/>
    <m/>
    <m/>
    <n v="0"/>
  </r>
  <r>
    <s v="CE64753"/>
    <s v="JUAN CARLOS PULIDO"/>
    <x v="3"/>
    <x v="15"/>
    <s v="KRYPTO"/>
    <e v="#NAME?"/>
    <x v="3"/>
    <n v="1"/>
    <x v="2"/>
    <s v="Mainframe"/>
    <m/>
    <e v="#NAME?"/>
    <e v="#NAME?"/>
    <e v="#NAME?"/>
    <m/>
    <m/>
    <m/>
    <m/>
    <m/>
    <n v="1"/>
  </r>
  <r>
    <s v="C804405"/>
    <s v="JUAN SALAZAR"/>
    <x v="3"/>
    <x v="15"/>
    <s v="BBVA"/>
    <e v="#NAME?"/>
    <x v="3"/>
    <n v="0.3"/>
    <x v="0"/>
    <s v="Mainframe"/>
    <m/>
    <e v="#NAME?"/>
    <e v="#NAME?"/>
    <e v="#NAME?"/>
    <m/>
    <m/>
    <m/>
    <m/>
    <m/>
    <n v="1"/>
  </r>
  <r>
    <s v="C804405"/>
    <s v="JUAN SALAZAR"/>
    <x v="3"/>
    <x v="15"/>
    <s v="BBVA"/>
    <e v="#NAME?"/>
    <x v="209"/>
    <n v="0.7"/>
    <x v="0"/>
    <s v="Mainframe"/>
    <m/>
    <e v="#NAME?"/>
    <e v="#NAME?"/>
    <e v="#NAME?"/>
    <m/>
    <m/>
    <m/>
    <m/>
    <m/>
    <n v="0"/>
  </r>
  <r>
    <s v="C809507"/>
    <s v="JULIE PAULETTE GARAVITO"/>
    <x v="3"/>
    <x v="15"/>
    <s v="BBVA"/>
    <e v="#NAME?"/>
    <x v="205"/>
    <n v="1"/>
    <x v="0"/>
    <s v="Mainframe"/>
    <m/>
    <e v="#NAME?"/>
    <e v="#NAME?"/>
    <e v="#NAME?"/>
    <m/>
    <m/>
    <m/>
    <m/>
    <m/>
    <n v="1"/>
  </r>
  <r>
    <s v="C808802"/>
    <s v="KAREN MARGARITA ANGULO"/>
    <x v="3"/>
    <x v="15"/>
    <s v="BBVA"/>
    <e v="#NAME?"/>
    <x v="210"/>
    <n v="0.8"/>
    <x v="0"/>
    <s v="Mainframe"/>
    <m/>
    <e v="#NAME?"/>
    <e v="#NAME?"/>
    <e v="#NAME?"/>
    <m/>
    <m/>
    <m/>
    <m/>
    <m/>
    <n v="1"/>
  </r>
  <r>
    <s v="C808802"/>
    <s v="KAREN MARGARITA ANGULO"/>
    <x v="3"/>
    <x v="15"/>
    <s v="BBVA"/>
    <e v="#NAME?"/>
    <x v="3"/>
    <n v="0.2"/>
    <x v="0"/>
    <s v="Mainframe"/>
    <m/>
    <e v="#NAME?"/>
    <e v="#NAME?"/>
    <e v="#NAME?"/>
    <m/>
    <m/>
    <m/>
    <m/>
    <m/>
    <n v="0"/>
  </r>
  <r>
    <s v="C809507"/>
    <s v="LEYDI CAMARGO"/>
    <x v="3"/>
    <x v="15"/>
    <s v="BBVA"/>
    <e v="#NAME?"/>
    <x v="3"/>
    <n v="0.5"/>
    <x v="0"/>
    <s v="Distribuido"/>
    <m/>
    <e v="#NAME?"/>
    <e v="#NAME?"/>
    <e v="#NAME?"/>
    <m/>
    <m/>
    <m/>
    <m/>
    <m/>
    <n v="1"/>
  </r>
  <r>
    <s v="C809507"/>
    <s v="LEYDI CAMARGO"/>
    <x v="3"/>
    <x v="15"/>
    <s v="BBVA"/>
    <e v="#NAME?"/>
    <x v="207"/>
    <n v="0.5"/>
    <x v="0"/>
    <s v="Distribuido"/>
    <m/>
    <e v="#NAME?"/>
    <e v="#NAME?"/>
    <e v="#NAME?"/>
    <m/>
    <m/>
    <m/>
    <m/>
    <m/>
    <n v="0"/>
  </r>
  <r>
    <s v="T001910"/>
    <s v="LIDA VIVIANA PINEDA"/>
    <x v="3"/>
    <x v="15"/>
    <s v="Neoris"/>
    <e v="#NAME?"/>
    <x v="3"/>
    <n v="1"/>
    <x v="0"/>
    <s v="Mainframe"/>
    <m/>
    <e v="#NAME?"/>
    <e v="#NAME?"/>
    <e v="#NAME?"/>
    <m/>
    <m/>
    <m/>
    <m/>
    <m/>
    <n v="1"/>
  </r>
  <r>
    <s v="C808648"/>
    <s v="LUIS JAVIER SANDON"/>
    <x v="3"/>
    <x v="15"/>
    <s v="BBVA"/>
    <e v="#NAME?"/>
    <x v="208"/>
    <n v="1"/>
    <x v="0"/>
    <s v="Mainframe"/>
    <m/>
    <e v="#NAME?"/>
    <e v="#NAME?"/>
    <e v="#NAME?"/>
    <m/>
    <m/>
    <m/>
    <m/>
    <m/>
    <n v="1"/>
  </r>
  <r>
    <s v="C343564"/>
    <s v="LUZ ESTELLA ORTEGA"/>
    <x v="3"/>
    <x v="15"/>
    <s v="BBVA"/>
    <e v="#NAME?"/>
    <x v="202"/>
    <n v="0.1"/>
    <x v="0"/>
    <s v="Mainframe"/>
    <m/>
    <e v="#NAME?"/>
    <e v="#NAME?"/>
    <e v="#NAME?"/>
    <m/>
    <m/>
    <m/>
    <m/>
    <m/>
    <n v="1"/>
  </r>
  <r>
    <s v="C343564"/>
    <s v="LUZ ESTELLA ORTEGA"/>
    <x v="3"/>
    <x v="15"/>
    <s v="BBVA"/>
    <e v="#NAME?"/>
    <x v="202"/>
    <n v="0.1"/>
    <x v="0"/>
    <s v="Mainframe"/>
    <m/>
    <e v="#NAME?"/>
    <e v="#NAME?"/>
    <e v="#NAME?"/>
    <m/>
    <m/>
    <m/>
    <m/>
    <m/>
    <n v="0"/>
  </r>
  <r>
    <s v="C343564"/>
    <s v="LUZ ESTELLA ORTEGA"/>
    <x v="3"/>
    <x v="15"/>
    <s v="BBVA"/>
    <e v="#NAME?"/>
    <x v="207"/>
    <n v="0.8"/>
    <x v="0"/>
    <s v="Mainframe"/>
    <m/>
    <e v="#NAME?"/>
    <e v="#NAME?"/>
    <e v="#NAME?"/>
    <m/>
    <m/>
    <m/>
    <m/>
    <m/>
    <n v="0"/>
  </r>
  <r>
    <s v="C805926"/>
    <s v="MAICOL STIVEN PEREZ"/>
    <x v="3"/>
    <x v="15"/>
    <s v="BBVA"/>
    <e v="#NAME?"/>
    <x v="84"/>
    <n v="1"/>
    <x v="0"/>
    <s v="ASO"/>
    <m/>
    <e v="#NAME?"/>
    <e v="#NAME?"/>
    <e v="#NAME?"/>
    <m/>
    <m/>
    <m/>
    <m/>
    <m/>
    <n v="1"/>
  </r>
  <r>
    <s v="O000197"/>
    <s v="MARIA ESTELA SUAREZ"/>
    <x v="3"/>
    <x v="15"/>
    <s v="BBVA"/>
    <e v="#NAME?"/>
    <x v="203"/>
    <n v="0.1"/>
    <x v="1"/>
    <s v="Otras Tec."/>
    <m/>
    <e v="#NAME?"/>
    <e v="#NAME?"/>
    <e v="#NAME?"/>
    <m/>
    <m/>
    <m/>
    <m/>
    <m/>
    <n v="1"/>
  </r>
  <r>
    <s v="O000197"/>
    <s v="MARIA ESTELA SUAREZ"/>
    <x v="3"/>
    <x v="15"/>
    <s v="BBVA"/>
    <e v="#NAME?"/>
    <x v="84"/>
    <n v="0.3"/>
    <x v="1"/>
    <s v="Otras Tec."/>
    <m/>
    <e v="#NAME?"/>
    <e v="#NAME?"/>
    <e v="#NAME?"/>
    <m/>
    <m/>
    <m/>
    <m/>
    <m/>
    <n v="0"/>
  </r>
  <r>
    <s v="O000197"/>
    <s v="MARIA ESTELA SUAREZ"/>
    <x v="3"/>
    <x v="15"/>
    <s v="BBVA"/>
    <e v="#NAME?"/>
    <x v="86"/>
    <n v="0.1"/>
    <x v="1"/>
    <s v="Otras Tec."/>
    <m/>
    <e v="#NAME?"/>
    <e v="#NAME?"/>
    <e v="#NAME?"/>
    <m/>
    <m/>
    <m/>
    <m/>
    <m/>
    <n v="0"/>
  </r>
  <r>
    <s v="O000197"/>
    <s v="MARIA ESTELA SUAREZ"/>
    <x v="3"/>
    <x v="15"/>
    <s v="BBVA"/>
    <e v="#NAME?"/>
    <x v="211"/>
    <n v="0.05"/>
    <x v="1"/>
    <s v="Otras Tec."/>
    <m/>
    <e v="#NAME?"/>
    <e v="#NAME?"/>
    <e v="#NAME?"/>
    <m/>
    <m/>
    <m/>
    <m/>
    <m/>
    <n v="0"/>
  </r>
  <r>
    <s v="O000197"/>
    <s v="MARIA ESTELA SUAREZ"/>
    <x v="3"/>
    <x v="15"/>
    <s v="BBVA"/>
    <e v="#NAME?"/>
    <x v="204"/>
    <n v="0.05"/>
    <x v="1"/>
    <s v="Otras Tec."/>
    <m/>
    <e v="#NAME?"/>
    <e v="#NAME?"/>
    <e v="#NAME?"/>
    <m/>
    <m/>
    <m/>
    <m/>
    <m/>
    <n v="0"/>
  </r>
  <r>
    <s v="O000197"/>
    <s v="MARIA ESTELA SUAREZ"/>
    <x v="3"/>
    <x v="15"/>
    <s v="BBVA"/>
    <e v="#NAME?"/>
    <x v="118"/>
    <n v="0.3"/>
    <x v="1"/>
    <s v="Otras Tec."/>
    <m/>
    <e v="#NAME?"/>
    <e v="#NAME?"/>
    <e v="#NAME?"/>
    <m/>
    <m/>
    <m/>
    <m/>
    <m/>
    <n v="0"/>
  </r>
  <r>
    <s v="O000197"/>
    <s v="MARIA ESTELA SUAREZ"/>
    <x v="3"/>
    <x v="15"/>
    <s v="BBVA"/>
    <e v="#NAME?"/>
    <x v="3"/>
    <n v="0.1"/>
    <x v="1"/>
    <s v="Otras Tec."/>
    <m/>
    <e v="#NAME?"/>
    <e v="#NAME?"/>
    <e v="#NAME?"/>
    <m/>
    <m/>
    <m/>
    <m/>
    <m/>
    <n v="0"/>
  </r>
  <r>
    <s v="O000158"/>
    <s v="MAURICIO RAMIREZ"/>
    <x v="3"/>
    <x v="15"/>
    <s v="BBVA"/>
    <e v="#NAME?"/>
    <x v="3"/>
    <n v="1"/>
    <x v="0"/>
    <s v="Mainframe"/>
    <m/>
    <e v="#NAME?"/>
    <e v="#NAME?"/>
    <e v="#NAME?"/>
    <m/>
    <m/>
    <m/>
    <m/>
    <m/>
    <n v="1"/>
  </r>
  <r>
    <s v="CE47926"/>
    <s v="MELANIE QUIROZ"/>
    <x v="3"/>
    <x v="15"/>
    <s v="Neoris"/>
    <e v="#NAME?"/>
    <x v="3"/>
    <n v="1"/>
    <x v="0"/>
    <s v="Mainframe"/>
    <m/>
    <e v="#NAME?"/>
    <e v="#NAME?"/>
    <e v="#NAME?"/>
    <m/>
    <m/>
    <m/>
    <m/>
    <m/>
    <n v="1"/>
  </r>
  <r>
    <s v="C811205"/>
    <s v="MIRYANI VARGAS"/>
    <x v="3"/>
    <x v="15"/>
    <s v="BBVA"/>
    <e v="#NAME?"/>
    <x v="3"/>
    <n v="1"/>
    <x v="0"/>
    <s v="Mainframe"/>
    <m/>
    <e v="#NAME?"/>
    <e v="#NAME?"/>
    <e v="#NAME?"/>
    <m/>
    <m/>
    <m/>
    <m/>
    <m/>
    <n v="1"/>
  </r>
  <r>
    <s v="O002661"/>
    <s v="NANCY CATHERINE HERNANDEZ"/>
    <x v="3"/>
    <x v="15"/>
    <s v="BBVA"/>
    <e v="#NAME?"/>
    <x v="202"/>
    <n v="0.25"/>
    <x v="2"/>
    <s v="Distribuido"/>
    <m/>
    <e v="#NAME?"/>
    <e v="#NAME?"/>
    <e v="#NAME?"/>
    <m/>
    <m/>
    <m/>
    <m/>
    <m/>
    <n v="1"/>
  </r>
  <r>
    <s v="O002661"/>
    <s v="NANCY CATHERINE HERNANDEZ"/>
    <x v="3"/>
    <x v="15"/>
    <s v="BBVA"/>
    <e v="#NAME?"/>
    <x v="118"/>
    <n v="0.25"/>
    <x v="2"/>
    <s v="Distribuido"/>
    <m/>
    <e v="#NAME?"/>
    <e v="#NAME?"/>
    <e v="#NAME?"/>
    <m/>
    <m/>
    <m/>
    <m/>
    <m/>
    <n v="0"/>
  </r>
  <r>
    <s v="O002661"/>
    <s v="NANCY CATHERINE HERNANDEZ"/>
    <x v="3"/>
    <x v="15"/>
    <s v="BBVA"/>
    <e v="#NAME?"/>
    <x v="203"/>
    <n v="0.25"/>
    <x v="2"/>
    <s v="Distribuido"/>
    <m/>
    <e v="#NAME?"/>
    <e v="#NAME?"/>
    <e v="#NAME?"/>
    <m/>
    <m/>
    <m/>
    <m/>
    <m/>
    <n v="0"/>
  </r>
  <r>
    <s v="O002661"/>
    <s v="NANCY CATHERINE HERNANDEZ"/>
    <x v="3"/>
    <x v="15"/>
    <s v="BBVA"/>
    <e v="#NAME?"/>
    <x v="119"/>
    <n v="0.25"/>
    <x v="2"/>
    <s v="Distribuido"/>
    <m/>
    <e v="#NAME?"/>
    <e v="#NAME?"/>
    <e v="#NAME?"/>
    <m/>
    <m/>
    <m/>
    <m/>
    <m/>
    <n v="0"/>
  </r>
  <r>
    <s v="CE56109"/>
    <s v="OMAR FERNANDO ORTEGÓN VARGAS"/>
    <x v="3"/>
    <x v="15"/>
    <s v="Neoris"/>
    <e v="#NAME?"/>
    <x v="3"/>
    <n v="1"/>
    <x v="0"/>
    <s v="Mainframe"/>
    <m/>
    <e v="#NAME?"/>
    <e v="#NAME?"/>
    <e v="#NAME?"/>
    <m/>
    <m/>
    <m/>
    <m/>
    <m/>
    <n v="1"/>
  </r>
  <r>
    <s v="T000361"/>
    <s v="RODRIGO BARBIERI PEREZ"/>
    <x v="3"/>
    <x v="15"/>
    <s v="Globant"/>
    <e v="#NAME?"/>
    <x v="118"/>
    <n v="0.7"/>
    <x v="0"/>
    <s v="Cells"/>
    <m/>
    <e v="#NAME?"/>
    <e v="#NAME?"/>
    <e v="#NAME?"/>
    <m/>
    <m/>
    <m/>
    <m/>
    <m/>
    <n v="1"/>
  </r>
  <r>
    <s v="T000361"/>
    <s v="RODRIGO BARBIERI PEREZ"/>
    <x v="3"/>
    <x v="15"/>
    <s v="Globant"/>
    <e v="#NAME?"/>
    <x v="86"/>
    <n v="0.3"/>
    <x v="0"/>
    <s v="Cells"/>
    <m/>
    <e v="#NAME?"/>
    <e v="#NAME?"/>
    <e v="#NAME?"/>
    <m/>
    <m/>
    <m/>
    <m/>
    <m/>
    <n v="0"/>
  </r>
  <r>
    <s v="CI35128"/>
    <s v="Cristian Camilo Rincon"/>
    <x v="1"/>
    <x v="18"/>
    <s v="BBVA Fiduciaria"/>
    <e v="#NAME?"/>
    <x v="3"/>
    <n v="0.5"/>
    <x v="1"/>
    <m/>
    <s v="Interno"/>
    <e v="#NAME?"/>
    <e v="#NAME?"/>
    <e v="#NAME?"/>
    <m/>
    <m/>
    <m/>
    <m/>
    <m/>
    <m/>
  </r>
  <r>
    <s v="CI35442"/>
    <s v="Juan Camilo Ladino Guezguan"/>
    <x v="1"/>
    <x v="18"/>
    <s v="BBVA Fiduciaria"/>
    <e v="#NAME?"/>
    <x v="3"/>
    <n v="0.4"/>
    <x v="0"/>
    <m/>
    <s v="Interno"/>
    <e v="#NAME?"/>
    <e v="#NAME?"/>
    <e v="#NAME?"/>
    <m/>
    <m/>
    <m/>
    <m/>
    <m/>
    <m/>
  </r>
  <r>
    <s v="O000150"/>
    <s v="Oscar Fernando Real Bautista"/>
    <x v="1"/>
    <x v="18"/>
    <s v="BBVA Fiduciaria"/>
    <e v="#NAME?"/>
    <x v="3"/>
    <n v="0.2"/>
    <x v="1"/>
    <m/>
    <s v="Interno"/>
    <e v="#NAME?"/>
    <e v="#NAME?"/>
    <e v="#NAME?"/>
    <m/>
    <m/>
    <m/>
    <m/>
    <m/>
    <m/>
  </r>
  <r>
    <s v="CI35100"/>
    <s v="Alexander Lopez Fonseca"/>
    <x v="1"/>
    <x v="18"/>
    <s v="BBVA Fiduciaria"/>
    <e v="#NAME?"/>
    <x v="3"/>
    <n v="0.5"/>
    <x v="1"/>
    <m/>
    <s v="Interno"/>
    <e v="#NAME?"/>
    <e v="#NAME?"/>
    <e v="#NAME?"/>
    <m/>
    <m/>
    <m/>
    <m/>
    <m/>
    <m/>
  </r>
  <r>
    <s v="CE67865"/>
    <s v="Alejandra Barrios"/>
    <x v="5"/>
    <x v="21"/>
    <s v="Accenture"/>
    <e v="#NAME?"/>
    <x v="160"/>
    <n v="1"/>
    <x v="2"/>
    <s v="Otras Tec."/>
    <m/>
    <e v="#NAME?"/>
    <e v="#NAME?"/>
    <e v="#NAME?"/>
    <m/>
    <m/>
    <m/>
    <m/>
    <m/>
    <m/>
  </r>
  <r>
    <s v="CE71119"/>
    <s v="Alvaro Alvarez"/>
    <x v="5"/>
    <x v="21"/>
    <s v="Accenture"/>
    <e v="#NAME?"/>
    <x v="160"/>
    <n v="1"/>
    <x v="2"/>
    <s v="Otras Tec."/>
    <m/>
    <e v="#NAME?"/>
    <e v="#NAME?"/>
    <e v="#NAME?"/>
    <m/>
    <m/>
    <m/>
    <m/>
    <m/>
    <m/>
  </r>
  <r>
    <s v="CE66576"/>
    <s v="Anderson Fabian Camelo"/>
    <x v="5"/>
    <x v="21"/>
    <s v="GGI / CMC"/>
    <e v="#NAME?"/>
    <x v="160"/>
    <n v="1"/>
    <x v="2"/>
    <s v="Otras Tec."/>
    <m/>
    <e v="#NAME?"/>
    <e v="#NAME?"/>
    <e v="#NAME?"/>
    <m/>
    <m/>
    <m/>
    <m/>
    <m/>
    <m/>
  </r>
  <r>
    <s v="CE67220"/>
    <s v="Carlos Arturo Rodriguez Castañeda"/>
    <x v="5"/>
    <x v="21"/>
    <s v="Neoris"/>
    <e v="#NAME?"/>
    <x v="193"/>
    <n v="1"/>
    <x v="0"/>
    <s v="ASO"/>
    <m/>
    <e v="#NAME?"/>
    <e v="#NAME?"/>
    <e v="#NAME?"/>
    <m/>
    <m/>
    <m/>
    <m/>
    <m/>
    <m/>
  </r>
  <r>
    <s v="CE70202"/>
    <s v="Cesar Augusto Valbuena"/>
    <x v="5"/>
    <x v="21"/>
    <s v="Neoris"/>
    <e v="#NAME?"/>
    <x v="160"/>
    <n v="1"/>
    <x v="2"/>
    <s v="Otras Tec."/>
    <m/>
    <e v="#NAME?"/>
    <e v="#NAME?"/>
    <e v="#NAME?"/>
    <m/>
    <m/>
    <m/>
    <m/>
    <m/>
    <m/>
  </r>
  <r>
    <s v="CE67309"/>
    <s v="Cristian Camilo Duarte"/>
    <x v="5"/>
    <x v="21"/>
    <s v="GGI / CMC"/>
    <e v="#NAME?"/>
    <x v="193"/>
    <n v="0.5"/>
    <x v="2"/>
    <s v="Otras Tec."/>
    <m/>
    <e v="#NAME?"/>
    <e v="#NAME?"/>
    <e v="#NAME?"/>
    <m/>
    <m/>
    <m/>
    <m/>
    <m/>
    <m/>
  </r>
  <r>
    <s v="CE67309"/>
    <s v="Cristian Camilo Duarte"/>
    <x v="5"/>
    <x v="21"/>
    <s v="GGI / CMC"/>
    <e v="#NAME?"/>
    <x v="160"/>
    <n v="0.5"/>
    <x v="2"/>
    <s v="Otras Tec."/>
    <m/>
    <e v="#NAME?"/>
    <e v="#NAME?"/>
    <e v="#NAME?"/>
    <m/>
    <m/>
    <m/>
    <m/>
    <m/>
    <m/>
  </r>
  <r>
    <s v="CE69445"/>
    <s v="Cristian Fernando Hernandez Angarita"/>
    <x v="5"/>
    <x v="21"/>
    <s v="Neoris"/>
    <e v="#NAME?"/>
    <x v="193"/>
    <n v="1"/>
    <x v="0"/>
    <s v="Mainframe"/>
    <m/>
    <e v="#NAME?"/>
    <e v="#NAME?"/>
    <e v="#NAME?"/>
    <m/>
    <m/>
    <m/>
    <m/>
    <m/>
    <m/>
  </r>
  <r>
    <s v="CE69821"/>
    <s v="David Garrido"/>
    <x v="5"/>
    <x v="21"/>
    <s v="Globant"/>
    <e v="#NAME?"/>
    <x v="160"/>
    <n v="1"/>
    <x v="0"/>
    <s v="APX"/>
    <m/>
    <e v="#NAME?"/>
    <e v="#NAME?"/>
    <e v="#NAME?"/>
    <m/>
    <m/>
    <m/>
    <m/>
    <m/>
    <m/>
  </r>
  <r>
    <s v="CE70245"/>
    <s v="Diana Duarte"/>
    <x v="5"/>
    <x v="21"/>
    <s v="Accenture"/>
    <e v="#NAME?"/>
    <x v="160"/>
    <n v="1"/>
    <x v="2"/>
    <s v="Otras Tec."/>
    <m/>
    <e v="#NAME?"/>
    <e v="#NAME?"/>
    <e v="#NAME?"/>
    <m/>
    <m/>
    <m/>
    <m/>
    <m/>
    <m/>
  </r>
  <r>
    <s v="T001912"/>
    <s v="Diego Alejandro Parra Nuñez"/>
    <x v="5"/>
    <x v="21"/>
    <s v="Neoris"/>
    <e v="#NAME?"/>
    <x v="160"/>
    <n v="1"/>
    <x v="2"/>
    <s v="Otras Tec."/>
    <m/>
    <e v="#NAME?"/>
    <e v="#NAME?"/>
    <e v="#NAME?"/>
    <m/>
    <m/>
    <m/>
    <m/>
    <m/>
    <m/>
  </r>
  <r>
    <s v="CE71116"/>
    <s v="Dina Luz Perez"/>
    <x v="5"/>
    <x v="21"/>
    <s v="Accenture"/>
    <e v="#NAME?"/>
    <x v="160"/>
    <n v="1"/>
    <x v="2"/>
    <s v="Otras Tec."/>
    <m/>
    <e v="#NAME?"/>
    <e v="#NAME?"/>
    <e v="#NAME?"/>
    <m/>
    <m/>
    <m/>
    <m/>
    <m/>
    <m/>
  </r>
  <r>
    <s v="CE67846"/>
    <s v="Edson Suarez"/>
    <x v="5"/>
    <x v="21"/>
    <s v="Accenture"/>
    <e v="#NAME?"/>
    <x v="160"/>
    <n v="1"/>
    <x v="2"/>
    <s v="Otras Tec."/>
    <m/>
    <e v="#NAME?"/>
    <e v="#NAME?"/>
    <e v="#NAME?"/>
    <m/>
    <m/>
    <m/>
    <m/>
    <m/>
    <m/>
  </r>
  <r>
    <s v="CE71118"/>
    <s v="Erick Bermejo"/>
    <x v="5"/>
    <x v="21"/>
    <s v="Accenture"/>
    <e v="#NAME?"/>
    <x v="160"/>
    <n v="1"/>
    <x v="2"/>
    <s v="Otras Tec."/>
    <m/>
    <e v="#NAME?"/>
    <e v="#NAME?"/>
    <e v="#NAME?"/>
    <m/>
    <m/>
    <m/>
    <m/>
    <m/>
    <m/>
  </r>
  <r>
    <s v="XEA0692"/>
    <s v="Esperanza Ortega"/>
    <x v="5"/>
    <x v="21"/>
    <s v="Accenture"/>
    <e v="#NAME?"/>
    <x v="160"/>
    <n v="1"/>
    <x v="0"/>
    <s v="Cells"/>
    <m/>
    <e v="#NAME?"/>
    <e v="#NAME?"/>
    <e v="#NAME?"/>
    <m/>
    <m/>
    <m/>
    <m/>
    <m/>
    <m/>
  </r>
  <r>
    <s v="CE67849"/>
    <s v="Henry Cortes"/>
    <x v="5"/>
    <x v="21"/>
    <s v="Accenture"/>
    <e v="#NAME?"/>
    <x v="160"/>
    <n v="1"/>
    <x v="0"/>
    <s v="Cells"/>
    <m/>
    <e v="#NAME?"/>
    <e v="#NAME?"/>
    <e v="#NAME?"/>
    <m/>
    <m/>
    <m/>
    <m/>
    <m/>
    <m/>
  </r>
  <r>
    <s v="CE69249"/>
    <s v="Hernan Gabriel Fernandez"/>
    <x v="5"/>
    <x v="21"/>
    <s v="Neoris"/>
    <e v="#NAME?"/>
    <x v="193"/>
    <n v="1"/>
    <x v="0"/>
    <s v="ASO"/>
    <m/>
    <e v="#NAME?"/>
    <e v="#NAME?"/>
    <e v="#NAME?"/>
    <m/>
    <m/>
    <m/>
    <m/>
    <m/>
    <m/>
  </r>
  <r>
    <s v="CE56568"/>
    <s v="Jesus Wellman"/>
    <x v="5"/>
    <x v="21"/>
    <s v="Novatec"/>
    <e v="#NAME?"/>
    <x v="193"/>
    <n v="1"/>
    <x v="0"/>
    <s v="Mainframe"/>
    <m/>
    <e v="#NAME?"/>
    <e v="#NAME?"/>
    <e v="#NAME?"/>
    <m/>
    <m/>
    <m/>
    <m/>
    <m/>
    <m/>
  </r>
  <r>
    <s v="CE56092"/>
    <s v="Johan Sebastian Forero"/>
    <x v="5"/>
    <x v="21"/>
    <s v="GGI / CMC"/>
    <e v="#NAME?"/>
    <x v="160"/>
    <n v="1"/>
    <x v="2"/>
    <s v="Otras Tec."/>
    <m/>
    <e v="#NAME?"/>
    <e v="#NAME?"/>
    <e v="#NAME?"/>
    <m/>
    <m/>
    <m/>
    <m/>
    <m/>
    <m/>
  </r>
  <r>
    <s v="CE53474"/>
    <s v="Josue David Fernandez Reyes"/>
    <x v="5"/>
    <x v="21"/>
    <s v="Neoris"/>
    <e v="#NAME?"/>
    <x v="160"/>
    <n v="0.75"/>
    <x v="0"/>
    <s v="Mainframe"/>
    <m/>
    <e v="#NAME?"/>
    <e v="#NAME?"/>
    <e v="#NAME?"/>
    <m/>
    <m/>
    <m/>
    <m/>
    <m/>
    <m/>
  </r>
  <r>
    <s v="CE53474"/>
    <s v="Josue David Fernandez Reyes"/>
    <x v="5"/>
    <x v="21"/>
    <s v="Neoris"/>
    <e v="#NAME?"/>
    <x v="193"/>
    <n v="0.25"/>
    <x v="0"/>
    <s v="Mainframe"/>
    <m/>
    <e v="#NAME?"/>
    <e v="#NAME?"/>
    <e v="#NAME?"/>
    <m/>
    <m/>
    <m/>
    <m/>
    <m/>
    <m/>
  </r>
  <r>
    <s v="CE65053"/>
    <s v="Juan David Rodriguez Ariza"/>
    <x v="5"/>
    <x v="21"/>
    <s v="Globant"/>
    <e v="#NAME?"/>
    <x v="160"/>
    <n v="1"/>
    <x v="0"/>
    <s v="Cells"/>
    <m/>
    <e v="#NAME?"/>
    <e v="#NAME?"/>
    <e v="#NAME?"/>
    <m/>
    <m/>
    <m/>
    <m/>
    <m/>
    <m/>
  </r>
  <r>
    <s v="CE59993"/>
    <s v="Juan David Velasquez"/>
    <x v="5"/>
    <x v="21"/>
    <s v="Inetum"/>
    <e v="#NAME?"/>
    <x v="160"/>
    <n v="1"/>
    <x v="0"/>
    <s v="Cells"/>
    <m/>
    <e v="#NAME?"/>
    <e v="#NAME?"/>
    <e v="#NAME?"/>
    <m/>
    <m/>
    <m/>
    <m/>
    <m/>
    <m/>
  </r>
  <r>
    <s v="CE47925"/>
    <s v="Karen Juliete Mahecha Rey"/>
    <x v="5"/>
    <x v="21"/>
    <s v="Neoris"/>
    <e v="#NAME?"/>
    <x v="160"/>
    <n v="0.75"/>
    <x v="0"/>
    <s v="Mainframe"/>
    <m/>
    <e v="#NAME?"/>
    <e v="#NAME?"/>
    <e v="#NAME?"/>
    <m/>
    <m/>
    <m/>
    <m/>
    <m/>
    <m/>
  </r>
  <r>
    <s v="CE47925"/>
    <s v="Karen Juliete Mahecha Rey"/>
    <x v="5"/>
    <x v="21"/>
    <s v="Neoris"/>
    <e v="#NAME?"/>
    <x v="193"/>
    <n v="0.25"/>
    <x v="0"/>
    <s v="Mainframe"/>
    <m/>
    <e v="#NAME?"/>
    <e v="#NAME?"/>
    <e v="#NAME?"/>
    <m/>
    <m/>
    <m/>
    <m/>
    <m/>
    <m/>
  </r>
  <r>
    <s v="CE70650"/>
    <s v="Karol Melissa Gómez Colmenares"/>
    <x v="5"/>
    <x v="21"/>
    <s v="Neoris"/>
    <e v="#NAME?"/>
    <x v="160"/>
    <n v="1"/>
    <x v="2"/>
    <s v="Otras Tec."/>
    <m/>
    <e v="#NAME?"/>
    <e v="#NAME?"/>
    <e v="#NAME?"/>
    <m/>
    <m/>
    <m/>
    <m/>
    <m/>
    <m/>
  </r>
  <r>
    <s v="CE63473"/>
    <s v="Katherine Santana"/>
    <x v="5"/>
    <x v="21"/>
    <s v="SII"/>
    <e v="#NAME?"/>
    <x v="160"/>
    <n v="1"/>
    <x v="2"/>
    <s v="Otras Tec."/>
    <m/>
    <e v="#NAME?"/>
    <e v="#NAME?"/>
    <e v="#NAME?"/>
    <m/>
    <m/>
    <m/>
    <m/>
    <m/>
    <m/>
  </r>
  <r>
    <s v="T000595"/>
    <s v="Laura Milena Duarte"/>
    <x v="5"/>
    <x v="21"/>
    <s v="Novatec"/>
    <e v="#NAME?"/>
    <x v="193"/>
    <n v="1"/>
    <x v="0"/>
    <s v="Mainframe"/>
    <m/>
    <e v="#NAME?"/>
    <e v="#NAME?"/>
    <e v="#NAME?"/>
    <m/>
    <m/>
    <m/>
    <m/>
    <m/>
    <m/>
  </r>
  <r>
    <s v="CE67221"/>
    <s v="LAURA STEFANY ROMERO TRUJILLO"/>
    <x v="5"/>
    <x v="21"/>
    <s v="Neoris"/>
    <e v="#NAME?"/>
    <x v="160"/>
    <n v="1"/>
    <x v="0"/>
    <s v="Cells"/>
    <m/>
    <e v="#NAME?"/>
    <e v="#NAME?"/>
    <e v="#NAME?"/>
    <m/>
    <m/>
    <m/>
    <m/>
    <m/>
    <m/>
  </r>
  <r>
    <s v="CE64988"/>
    <s v="Levi Becerra"/>
    <x v="5"/>
    <x v="21"/>
    <s v="Accenture"/>
    <e v="#NAME?"/>
    <x v="160"/>
    <n v="0.5"/>
    <x v="0"/>
    <s v="Mainframe"/>
    <m/>
    <e v="#NAME?"/>
    <e v="#NAME?"/>
    <e v="#NAME?"/>
    <m/>
    <m/>
    <m/>
    <m/>
    <m/>
    <m/>
  </r>
  <r>
    <s v="T007048"/>
    <s v="Mario Perilla"/>
    <x v="5"/>
    <x v="21"/>
    <s v="Accenture"/>
    <e v="#NAME?"/>
    <x v="160"/>
    <n v="1"/>
    <x v="2"/>
    <s v="Otras Tec."/>
    <m/>
    <e v="#NAME?"/>
    <e v="#NAME?"/>
    <e v="#NAME?"/>
    <m/>
    <m/>
    <m/>
    <m/>
    <m/>
    <m/>
  </r>
  <r>
    <s v="CE66364"/>
    <s v="Martin Theiler"/>
    <x v="5"/>
    <x v="21"/>
    <s v="Globant"/>
    <e v="#NAME?"/>
    <x v="160"/>
    <n v="1"/>
    <x v="0"/>
    <s v="ASO"/>
    <m/>
    <e v="#NAME?"/>
    <e v="#NAME?"/>
    <e v="#NAME?"/>
    <m/>
    <m/>
    <m/>
    <m/>
    <m/>
    <m/>
  </r>
  <r>
    <s v="CE55340"/>
    <s v="Miller Gomez"/>
    <x v="5"/>
    <x v="21"/>
    <s v="SII"/>
    <e v="#NAME?"/>
    <x v="160"/>
    <n v="0.5"/>
    <x v="0"/>
    <s v="Mainframe"/>
    <m/>
    <e v="#NAME?"/>
    <e v="#NAME?"/>
    <e v="#NAME?"/>
    <m/>
    <m/>
    <m/>
    <m/>
    <m/>
    <m/>
  </r>
  <r>
    <s v="CE55340"/>
    <s v="Miller Gomez"/>
    <x v="5"/>
    <x v="21"/>
    <s v="SII"/>
    <e v="#NAME?"/>
    <x v="193"/>
    <n v="0.5"/>
    <x v="0"/>
    <s v="Mainframe"/>
    <m/>
    <e v="#NAME?"/>
    <e v="#NAME?"/>
    <e v="#NAME?"/>
    <m/>
    <m/>
    <m/>
    <m/>
    <m/>
    <m/>
  </r>
  <r>
    <s v="CE70907"/>
    <s v="Nicolas Bedoya Montealegre"/>
    <x v="5"/>
    <x v="21"/>
    <s v="Neoris"/>
    <e v="#NAME?"/>
    <x v="193"/>
    <n v="1"/>
    <x v="0"/>
    <s v="ASO"/>
    <m/>
    <e v="#NAME?"/>
    <e v="#NAME?"/>
    <e v="#NAME?"/>
    <m/>
    <m/>
    <m/>
    <m/>
    <m/>
    <m/>
  </r>
  <r>
    <s v="CE61633"/>
    <s v="Nicolas Eduardo Loaiza"/>
    <x v="5"/>
    <x v="21"/>
    <s v="GGI / CMC"/>
    <e v="#NAME?"/>
    <x v="160"/>
    <n v="1"/>
    <x v="2"/>
    <s v="Otras Tec."/>
    <m/>
    <e v="#NAME?"/>
    <e v="#NAME?"/>
    <e v="#NAME?"/>
    <m/>
    <m/>
    <m/>
    <m/>
    <m/>
    <m/>
  </r>
  <r>
    <s v="CE68502"/>
    <s v="Nydia Forero"/>
    <x v="5"/>
    <x v="21"/>
    <s v="SII"/>
    <e v="#NAME?"/>
    <x v="160"/>
    <n v="1"/>
    <x v="2"/>
    <s v="Otras Tec."/>
    <m/>
    <e v="#NAME?"/>
    <e v="#NAME?"/>
    <e v="#NAME?"/>
    <m/>
    <m/>
    <m/>
    <m/>
    <m/>
    <m/>
  </r>
  <r>
    <s v="T000607"/>
    <s v="Oscar Andres Bernal Quiroz"/>
    <x v="5"/>
    <x v="21"/>
    <s v="Neoris"/>
    <e v="#NAME?"/>
    <x v="193"/>
    <n v="1"/>
    <x v="0"/>
    <s v="Mainframe"/>
    <m/>
    <e v="#NAME?"/>
    <e v="#NAME?"/>
    <e v="#NAME?"/>
    <m/>
    <m/>
    <m/>
    <m/>
    <m/>
    <m/>
  </r>
  <r>
    <s v="CE70651"/>
    <s v="Oscar Freddy Roncancio Zea"/>
    <x v="5"/>
    <x v="21"/>
    <s v="Neoris"/>
    <e v="#NAME?"/>
    <x v="160"/>
    <n v="1"/>
    <x v="2"/>
    <s v="Otras Tec."/>
    <m/>
    <e v="#NAME?"/>
    <e v="#NAME?"/>
    <e v="#NAME?"/>
    <m/>
    <m/>
    <m/>
    <m/>
    <m/>
    <m/>
  </r>
  <r>
    <s v="CE67312"/>
    <s v="Oscar Mauricio Lozano"/>
    <x v="5"/>
    <x v="21"/>
    <s v="GGI / CMC"/>
    <e v="#NAME?"/>
    <x v="193"/>
    <n v="1"/>
    <x v="2"/>
    <s v="Otras Tec."/>
    <m/>
    <e v="#NAME?"/>
    <e v="#NAME?"/>
    <e v="#NAME?"/>
    <m/>
    <m/>
    <m/>
    <m/>
    <m/>
    <m/>
  </r>
  <r>
    <s v="CE47927"/>
    <s v="Rafael Eduardo Martinez Caceres"/>
    <x v="5"/>
    <x v="21"/>
    <s v="Neoris"/>
    <e v="#NAME?"/>
    <x v="160"/>
    <n v="0.5"/>
    <x v="0"/>
    <s v="Mainframe"/>
    <m/>
    <e v="#NAME?"/>
    <e v="#NAME?"/>
    <e v="#NAME?"/>
    <m/>
    <m/>
    <m/>
    <m/>
    <m/>
    <m/>
  </r>
  <r>
    <s v="CE47927"/>
    <s v="Rafael Eduardo Martinez Caceres"/>
    <x v="5"/>
    <x v="21"/>
    <s v="Neoris"/>
    <e v="#NAME?"/>
    <x v="193"/>
    <n v="0.5"/>
    <x v="0"/>
    <s v="Mainframe"/>
    <m/>
    <e v="#NAME?"/>
    <e v="#NAME?"/>
    <e v="#NAME?"/>
    <m/>
    <m/>
    <m/>
    <m/>
    <m/>
    <m/>
  </r>
  <r>
    <s v="T002010"/>
    <s v="Sair Giovanny Bejarano Garcia"/>
    <x v="5"/>
    <x v="21"/>
    <s v="Neoris"/>
    <e v="#NAME?"/>
    <x v="193"/>
    <n v="1"/>
    <x v="0"/>
    <s v="APX"/>
    <m/>
    <e v="#NAME?"/>
    <e v="#NAME?"/>
    <e v="#NAME?"/>
    <m/>
    <m/>
    <m/>
    <m/>
    <m/>
    <m/>
  </r>
  <r>
    <s v="CE71170"/>
    <s v="Pedro Luis Melo Robayo"/>
    <x v="5"/>
    <x v="21"/>
    <s v="Novatec"/>
    <e v="#NAME?"/>
    <x v="193"/>
    <n v="1"/>
    <x v="0"/>
    <s v="Mainframe"/>
    <s v="Externo"/>
    <e v="#NAME?"/>
    <e v="#NAME?"/>
    <e v="#NAME?"/>
    <m/>
    <m/>
    <m/>
    <m/>
    <m/>
    <m/>
  </r>
  <r>
    <s v="CE65214"/>
    <s v="Roger Arias"/>
    <x v="5"/>
    <x v="21"/>
    <s v="SII"/>
    <e v="#NAME?"/>
    <x v="160"/>
    <n v="1"/>
    <x v="0"/>
    <s v="Cells"/>
    <m/>
    <e v="#NAME?"/>
    <e v="#NAME?"/>
    <e v="#NAME?"/>
    <m/>
    <m/>
    <m/>
    <m/>
    <m/>
    <m/>
  </r>
  <r>
    <s v="CE66579"/>
    <s v="Santiago Molina"/>
    <x v="5"/>
    <x v="21"/>
    <s v="GGI / CMC"/>
    <e v="#NAME?"/>
    <x v="160"/>
    <n v="1"/>
    <x v="2"/>
    <s v="Cells"/>
    <m/>
    <e v="#NAME?"/>
    <e v="#NAME?"/>
    <e v="#NAME?"/>
    <m/>
    <m/>
    <m/>
    <m/>
    <m/>
    <m/>
  </r>
  <r>
    <s v="CE71120"/>
    <s v="Santiago Montoya"/>
    <x v="5"/>
    <x v="21"/>
    <s v="Accenture"/>
    <e v="#NAME?"/>
    <x v="160"/>
    <n v="1"/>
    <x v="0"/>
    <s v="Cells"/>
    <m/>
    <e v="#NAME?"/>
    <e v="#NAME?"/>
    <e v="#NAME?"/>
    <m/>
    <m/>
    <m/>
    <m/>
    <m/>
    <m/>
  </r>
  <r>
    <s v="CE67850"/>
    <s v="Sergio Mercado"/>
    <x v="5"/>
    <x v="21"/>
    <s v="Accenture"/>
    <e v="#NAME?"/>
    <x v="160"/>
    <n v="1"/>
    <x v="2"/>
    <s v="Cells"/>
    <m/>
    <e v="#NAME?"/>
    <e v="#NAME?"/>
    <e v="#NAME?"/>
    <m/>
    <m/>
    <m/>
    <m/>
    <m/>
    <m/>
  </r>
  <r>
    <s v="Pend"/>
    <s v="Stiven Carrillo"/>
    <x v="5"/>
    <x v="21"/>
    <s v="SII"/>
    <e v="#NAME?"/>
    <x v="193"/>
    <n v="1"/>
    <x v="0"/>
    <s v="Cells"/>
    <m/>
    <e v="#NAME?"/>
    <e v="#NAME?"/>
    <e v="#NAME?"/>
    <m/>
    <m/>
    <m/>
    <m/>
    <m/>
    <m/>
  </r>
  <r>
    <s v="XP66159"/>
    <s v="ANDRES FELIPE GUTIERREZ BAÑOL"/>
    <x v="0"/>
    <x v="3"/>
    <s v="Neoris"/>
    <e v="#NAME?"/>
    <x v="22"/>
    <n v="1"/>
    <x v="0"/>
    <s v="APX"/>
    <m/>
    <e v="#NAME?"/>
    <e v="#NAME?"/>
    <e v="#NAME?"/>
    <m/>
    <m/>
    <m/>
    <m/>
    <m/>
    <m/>
  </r>
  <r>
    <s v="T009376"/>
    <s v="CESAR LEANDRO PESTANA ROMERO"/>
    <x v="0"/>
    <x v="3"/>
    <s v="Novatec"/>
    <e v="#NAME?"/>
    <x v="22"/>
    <n v="1"/>
    <x v="0"/>
    <s v="Mainframe"/>
    <m/>
    <e v="#NAME?"/>
    <e v="#NAME?"/>
    <e v="#NAME?"/>
    <m/>
    <m/>
    <m/>
    <m/>
    <m/>
    <m/>
  </r>
  <r>
    <s v="T002696"/>
    <s v="JEANN CARLOS SEQUEA MENDEZ "/>
    <x v="0"/>
    <x v="3"/>
    <s v="Accenture"/>
    <e v="#NAME?"/>
    <x v="93"/>
    <n v="1"/>
    <x v="0"/>
    <s v="Cells"/>
    <m/>
    <e v="#NAME?"/>
    <e v="#NAME?"/>
    <e v="#NAME?"/>
    <m/>
    <m/>
    <m/>
    <m/>
    <m/>
    <m/>
  </r>
  <r>
    <s v="T011814"/>
    <s v="JOHANA KATHERIN VASQUEZ QUEVEDO "/>
    <x v="0"/>
    <x v="3"/>
    <s v="GGI / CMC"/>
    <e v="#NAME?"/>
    <x v="93"/>
    <n v="1"/>
    <x v="0"/>
    <s v="Distribuido"/>
    <m/>
    <e v="#NAME?"/>
    <e v="#NAME?"/>
    <e v="#NAME?"/>
    <m/>
    <m/>
    <m/>
    <m/>
    <m/>
    <m/>
  </r>
  <r>
    <s v="CE70220"/>
    <s v="JULIAN FELIPE VEGA HERNANDEZ "/>
    <x v="0"/>
    <x v="3"/>
    <s v="Accenture"/>
    <e v="#NAME?"/>
    <x v="93"/>
    <n v="1"/>
    <x v="0"/>
    <s v="APX"/>
    <m/>
    <e v="#NAME?"/>
    <e v="#NAME?"/>
    <e v="#NAME?"/>
    <m/>
    <m/>
    <m/>
    <m/>
    <m/>
    <m/>
  </r>
  <r>
    <s v="CE67866"/>
    <s v="NATALIA ORTIZ MALDONADO "/>
    <x v="0"/>
    <x v="3"/>
    <s v="Accenture"/>
    <e v="#NAME?"/>
    <x v="93"/>
    <n v="1"/>
    <x v="0"/>
    <s v="ASO"/>
    <m/>
    <e v="#NAME?"/>
    <e v="#NAME?"/>
    <e v="#NAME?"/>
    <m/>
    <m/>
    <m/>
    <m/>
    <m/>
    <m/>
  </r>
  <r>
    <s v="CE69818"/>
    <s v="NICOLAS  MORENO AREVALO"/>
    <x v="0"/>
    <x v="3"/>
    <s v="GGI / CMC"/>
    <e v="#NAME?"/>
    <x v="22"/>
    <n v="1"/>
    <x v="0"/>
    <s v="Cells"/>
    <m/>
    <e v="#NAME?"/>
    <e v="#NAME?"/>
    <e v="#NAME?"/>
    <m/>
    <m/>
    <m/>
    <m/>
    <m/>
    <m/>
  </r>
  <r>
    <s v="CE59964"/>
    <s v="OSCAR YECID  SANCHEZ ZAMORA"/>
    <x v="0"/>
    <x v="3"/>
    <s v="Neoris"/>
    <e v="#NAME?"/>
    <x v="22"/>
    <n v="1"/>
    <x v="0"/>
    <s v="ASO"/>
    <m/>
    <e v="#NAME?"/>
    <e v="#NAME?"/>
    <e v="#NAME?"/>
    <m/>
    <m/>
    <m/>
    <m/>
    <m/>
    <m/>
  </r>
  <r>
    <s v="C809501"/>
    <s v="RONALD ANTONIO ROMERO MONSALVE"/>
    <x v="0"/>
    <x v="3"/>
    <s v="BBVA"/>
    <e v="#NAME?"/>
    <x v="22"/>
    <n v="1"/>
    <x v="0"/>
    <s v="Distribuido"/>
    <m/>
    <e v="#NAME?"/>
    <e v="#NAME?"/>
    <e v="#NAME?"/>
    <m/>
    <m/>
    <m/>
    <m/>
    <m/>
    <m/>
  </r>
  <r>
    <s v="CE68026"/>
    <s v="MIGUEL LEONARDO AVILA AREVALO"/>
    <x v="0"/>
    <x v="3"/>
    <s v="GGI / CMC"/>
    <e v="#NAME?"/>
    <x v="93"/>
    <n v="1"/>
    <x v="2"/>
    <s v="Distribuido"/>
    <m/>
    <e v="#NAME?"/>
    <e v="#NAME?"/>
    <e v="#NAME?"/>
    <m/>
    <m/>
    <m/>
    <m/>
    <m/>
    <m/>
  </r>
  <r>
    <s v="T009939"/>
    <s v="THALIA VALENTINA MANRIQUE BELLO"/>
    <x v="0"/>
    <x v="3"/>
    <s v="Neoris"/>
    <e v="#NAME?"/>
    <x v="22"/>
    <n v="1"/>
    <x v="0"/>
    <s v="APX"/>
    <m/>
    <e v="#NAME?"/>
    <e v="#NAME?"/>
    <e v="#NAME?"/>
    <m/>
    <m/>
    <m/>
    <m/>
    <m/>
    <m/>
  </r>
  <r>
    <s v="O000110"/>
    <s v="YINETH SANEY FRANCO HERNANDEZ "/>
    <x v="0"/>
    <x v="3"/>
    <s v="BBVA"/>
    <e v="#NAME?"/>
    <x v="93"/>
    <n v="1"/>
    <x v="0"/>
    <s v="ASO"/>
    <m/>
    <e v="#NAME?"/>
    <e v="#NAME?"/>
    <e v="#NAME?"/>
    <m/>
    <m/>
    <m/>
    <m/>
    <m/>
    <m/>
  </r>
  <r>
    <s v="T009396"/>
    <s v="ZULMA ZORAYA  PENAGOS TAVERA"/>
    <x v="0"/>
    <x v="3"/>
    <s v="Novatec"/>
    <e v="#NAME?"/>
    <x v="22"/>
    <n v="1"/>
    <x v="0"/>
    <s v="Mainframe"/>
    <m/>
    <e v="#NAME?"/>
    <e v="#NAME?"/>
    <e v="#NAME?"/>
    <m/>
    <m/>
    <m/>
    <m/>
    <m/>
    <m/>
  </r>
  <r>
    <s v="C811372"/>
    <s v="TORRES CASTILLO JOAN SEBASTIÁN"/>
    <x v="0"/>
    <x v="17"/>
    <s v="BBVA"/>
    <e v="#NAME?"/>
    <x v="130"/>
    <n v="0.5"/>
    <x v="0"/>
    <s v="Distribuido"/>
    <m/>
    <e v="#NAME?"/>
    <e v="#NAME?"/>
    <e v="#NAME?"/>
    <m/>
    <m/>
    <m/>
    <m/>
    <m/>
    <m/>
  </r>
  <r>
    <s v="C811372"/>
    <s v="TORRES CASTILLO JOAN SEBASTIÁN"/>
    <x v="0"/>
    <x v="17"/>
    <s v="BBVA"/>
    <e v="#NAME?"/>
    <x v="212"/>
    <n v="0.5"/>
    <x v="0"/>
    <s v="Distribuido"/>
    <m/>
    <e v="#NAME?"/>
    <e v="#NAME?"/>
    <e v="#NAME?"/>
    <m/>
    <m/>
    <m/>
    <m/>
    <m/>
    <m/>
  </r>
  <r>
    <s v="CE66039"/>
    <s v="OCAMPO RODRIGUEZ JOHN JAILER"/>
    <x v="0"/>
    <x v="17"/>
    <s v="GGI / CMC"/>
    <e v="#NAME?"/>
    <x v="212"/>
    <n v="1"/>
    <x v="0"/>
    <s v="Distribuido"/>
    <m/>
    <e v="#NAME?"/>
    <e v="#NAME?"/>
    <e v="#NAME?"/>
    <m/>
    <m/>
    <m/>
    <m/>
    <m/>
    <m/>
  </r>
  <r>
    <s v="C804101"/>
    <s v="FUQUENE CONTRERAS ADRIANA"/>
    <x v="0"/>
    <x v="17"/>
    <s v="BBVA"/>
    <e v="#NAME?"/>
    <x v="212"/>
    <n v="0.5"/>
    <x v="1"/>
    <s v="Distribuido"/>
    <m/>
    <e v="#NAME?"/>
    <e v="#NAME?"/>
    <e v="#NAME?"/>
    <m/>
    <m/>
    <m/>
    <m/>
    <m/>
    <m/>
  </r>
  <r>
    <s v="C804101"/>
    <s v="FUQUENE CONTRERAS ADRIANA"/>
    <x v="0"/>
    <x v="17"/>
    <s v="BBVA"/>
    <e v="#NAME?"/>
    <x v="131"/>
    <n v="0.25"/>
    <x v="1"/>
    <s v="Distribuido"/>
    <m/>
    <e v="#NAME?"/>
    <e v="#NAME?"/>
    <e v="#NAME?"/>
    <m/>
    <m/>
    <m/>
    <m/>
    <m/>
    <m/>
  </r>
  <r>
    <s v="C804101"/>
    <s v="FUQUENE CONTRERAS ADRIANA"/>
    <x v="0"/>
    <x v="17"/>
    <s v="BBVA"/>
    <e v="#NAME?"/>
    <x v="130"/>
    <n v="0.25"/>
    <x v="1"/>
    <s v="Distribuido"/>
    <m/>
    <e v="#NAME?"/>
    <e v="#NAME?"/>
    <e v="#NAME?"/>
    <m/>
    <m/>
    <m/>
    <m/>
    <m/>
    <m/>
  </r>
  <r>
    <s v="C810885"/>
    <s v="GARCIA HERRERA MONICA LILIANA"/>
    <x v="0"/>
    <x v="17"/>
    <s v="BBVA"/>
    <e v="#NAME?"/>
    <x v="15"/>
    <n v="0.25"/>
    <x v="1"/>
    <m/>
    <m/>
    <e v="#NAME?"/>
    <e v="#NAME?"/>
    <e v="#NAME?"/>
    <m/>
    <m/>
    <m/>
    <m/>
    <m/>
    <m/>
  </r>
  <r>
    <s v="C810885"/>
    <s v="GARCIA HERRERA MONICA LILIANA"/>
    <x v="0"/>
    <x v="17"/>
    <s v="BBVA"/>
    <e v="#NAME?"/>
    <x v="130"/>
    <n v="0.25"/>
    <x v="1"/>
    <m/>
    <m/>
    <e v="#NAME?"/>
    <e v="#NAME?"/>
    <e v="#NAME?"/>
    <m/>
    <m/>
    <m/>
    <m/>
    <m/>
    <m/>
  </r>
  <r>
    <s v="C810885"/>
    <s v="GARCIA HERRERA MONICA LILIANA"/>
    <x v="0"/>
    <x v="17"/>
    <s v="BBVA"/>
    <e v="#NAME?"/>
    <x v="147"/>
    <n v="0.5"/>
    <x v="1"/>
    <m/>
    <m/>
    <e v="#NAME?"/>
    <e v="#NAME?"/>
    <e v="#NAME?"/>
    <m/>
    <m/>
    <m/>
    <m/>
    <m/>
    <m/>
  </r>
  <r>
    <s v="CE65938"/>
    <s v="AREVALO MORENO DEINA ALEJANDRA"/>
    <x v="0"/>
    <x v="17"/>
    <s v="GGI / CMC"/>
    <e v="#NAME?"/>
    <x v="212"/>
    <n v="1"/>
    <x v="0"/>
    <s v="Distribuido"/>
    <m/>
    <e v="#NAME?"/>
    <e v="#NAME?"/>
    <e v="#NAME?"/>
    <m/>
    <m/>
    <m/>
    <m/>
    <m/>
    <m/>
  </r>
  <r>
    <s v="T006284"/>
    <s v="ROMERO LITSY DAYANA"/>
    <x v="0"/>
    <x v="17"/>
    <s v="GGI / CMC"/>
    <e v="#NAME?"/>
    <x v="212"/>
    <n v="1"/>
    <x v="2"/>
    <s v="Distribuido"/>
    <m/>
    <e v="#NAME?"/>
    <e v="#NAME?"/>
    <e v="#NAME?"/>
    <m/>
    <m/>
    <m/>
    <m/>
    <m/>
    <m/>
  </r>
  <r>
    <s v="T011667"/>
    <s v="MARTINEZ RODRIGUEZ ENRIQUE"/>
    <x v="0"/>
    <x v="17"/>
    <s v="GGI / CMC"/>
    <e v="#NAME?"/>
    <x v="212"/>
    <n v="1"/>
    <x v="0"/>
    <s v="Distribuido"/>
    <m/>
    <e v="#NAME?"/>
    <e v="#NAME?"/>
    <e v="#NAME?"/>
    <m/>
    <m/>
    <m/>
    <m/>
    <m/>
    <m/>
  </r>
  <r>
    <s v="C811005"/>
    <s v="OTALORA LEIVA LUIS FERNANDO"/>
    <x v="0"/>
    <x v="17"/>
    <s v="BBVA"/>
    <e v="#NAME?"/>
    <x v="131"/>
    <n v="0.75"/>
    <x v="0"/>
    <s v="Distribuido"/>
    <m/>
    <e v="#NAME?"/>
    <e v="#NAME?"/>
    <e v="#NAME?"/>
    <m/>
    <m/>
    <m/>
    <m/>
    <m/>
    <m/>
  </r>
  <r>
    <s v="C811005"/>
    <s v="OTALORA LEIVA LUIS FERNANDO"/>
    <x v="0"/>
    <x v="17"/>
    <s v="BBVA"/>
    <e v="#NAME?"/>
    <x v="130"/>
    <n v="0.25"/>
    <x v="0"/>
    <s v="Mainframe"/>
    <m/>
    <e v="#NAME?"/>
    <e v="#NAME?"/>
    <e v="#NAME?"/>
    <m/>
    <m/>
    <m/>
    <m/>
    <m/>
    <m/>
  </r>
  <r>
    <s v="C810684"/>
    <s v="CACERES CRISTANCHO JUAN SEBASTIAN"/>
    <x v="0"/>
    <x v="17"/>
    <s v="BBVA"/>
    <e v="#NAME?"/>
    <x v="130"/>
    <n v="1"/>
    <x v="0"/>
    <s v="Distribuido"/>
    <m/>
    <e v="#NAME?"/>
    <e v="#NAME?"/>
    <e v="#NAME?"/>
    <m/>
    <m/>
    <m/>
    <m/>
    <m/>
    <m/>
  </r>
  <r>
    <s v="CE66581"/>
    <s v="POLANCO DANIEL LEONARDO"/>
    <x v="0"/>
    <x v="17"/>
    <s v="GGI / CMC"/>
    <e v="#NAME?"/>
    <x v="130"/>
    <n v="1"/>
    <x v="2"/>
    <s v="Distribuido"/>
    <m/>
    <e v="#NAME?"/>
    <e v="#NAME?"/>
    <e v="#NAME?"/>
    <m/>
    <m/>
    <m/>
    <m/>
    <m/>
    <m/>
  </r>
  <r>
    <s v="T003697"/>
    <s v="BALLEN GAMBOA CRISTIAN"/>
    <x v="0"/>
    <x v="17"/>
    <s v="GGI / CMC"/>
    <e v="#NAME?"/>
    <x v="131"/>
    <n v="1"/>
    <x v="0"/>
    <s v="Distribuido"/>
    <m/>
    <e v="#NAME?"/>
    <e v="#NAME?"/>
    <e v="#NAME?"/>
    <m/>
    <m/>
    <m/>
    <m/>
    <m/>
    <m/>
  </r>
  <r>
    <s v="CE65226"/>
    <s v="AMAYA CAMPOS SANTIAGO"/>
    <x v="0"/>
    <x v="17"/>
    <s v="GGI / CMC"/>
    <e v="#NAME?"/>
    <x v="131"/>
    <n v="0.5"/>
    <x v="0"/>
    <s v="ASO"/>
    <m/>
    <e v="#NAME?"/>
    <e v="#NAME?"/>
    <e v="#NAME?"/>
    <m/>
    <m/>
    <m/>
    <m/>
    <m/>
    <m/>
  </r>
  <r>
    <s v="CE65226"/>
    <s v="AMAYA CAMPOS SANTIAGO"/>
    <x v="0"/>
    <x v="17"/>
    <s v="GGI / CMC"/>
    <e v="#NAME?"/>
    <x v="130"/>
    <n v="0.5"/>
    <x v="0"/>
    <s v="APX"/>
    <m/>
    <e v="#NAME?"/>
    <e v="#NAME?"/>
    <e v="#NAME?"/>
    <m/>
    <m/>
    <m/>
    <m/>
    <m/>
    <m/>
  </r>
  <r>
    <s v="O002003"/>
    <s v="MORENO ANGEL HEYDEN AUGUSTO"/>
    <x v="0"/>
    <x v="17"/>
    <s v="BBVA"/>
    <e v="#NAME?"/>
    <x v="131"/>
    <n v="1"/>
    <x v="0"/>
    <s v="Distribuido"/>
    <m/>
    <e v="#NAME?"/>
    <e v="#NAME?"/>
    <e v="#NAME?"/>
    <m/>
    <m/>
    <m/>
    <m/>
    <m/>
    <m/>
  </r>
  <r>
    <s v="T009653"/>
    <s v="MEJIA PAULA VALENTINA"/>
    <x v="0"/>
    <x v="17"/>
    <s v="GGI / CMC"/>
    <e v="#NAME?"/>
    <x v="131"/>
    <n v="1"/>
    <x v="2"/>
    <s v="Distribuido"/>
    <m/>
    <e v="#NAME?"/>
    <e v="#NAME?"/>
    <e v="#NAME?"/>
    <m/>
    <m/>
    <m/>
    <m/>
    <m/>
    <m/>
  </r>
  <r>
    <s v="CE58814"/>
    <s v="PINZON VANEGAS MIGUEL ANGEL"/>
    <x v="0"/>
    <x v="17"/>
    <s v="Inetum"/>
    <e v="#NAME?"/>
    <x v="130"/>
    <n v="1"/>
    <x v="0"/>
    <s v="Mainframe"/>
    <m/>
    <e v="#NAME?"/>
    <e v="#NAME?"/>
    <e v="#NAME?"/>
    <m/>
    <m/>
    <m/>
    <m/>
    <m/>
    <m/>
  </r>
  <r>
    <s v="T007566"/>
    <s v="PINEDA GALLEGO ZAMIR ALEJANDRO"/>
    <x v="0"/>
    <x v="17"/>
    <s v="Inetum"/>
    <e v="#NAME?"/>
    <x v="130"/>
    <n v="1"/>
    <x v="0"/>
    <s v="APX"/>
    <m/>
    <e v="#NAME?"/>
    <e v="#NAME?"/>
    <e v="#NAME?"/>
    <m/>
    <m/>
    <m/>
    <m/>
    <m/>
    <m/>
  </r>
  <r>
    <s v="T007886"/>
    <s v="SILVA ROMERO JULIAN DAVID"/>
    <x v="0"/>
    <x v="17"/>
    <s v="Inetum"/>
    <e v="#NAME?"/>
    <x v="130"/>
    <n v="1"/>
    <x v="0"/>
    <s v="APX"/>
    <m/>
    <e v="#NAME?"/>
    <e v="#NAME?"/>
    <e v="#NAME?"/>
    <m/>
    <m/>
    <m/>
    <m/>
    <m/>
    <m/>
  </r>
  <r>
    <s v="CE66910"/>
    <s v="PENAGOS JULIO CESAR"/>
    <x v="0"/>
    <x v="17"/>
    <s v="GGI / CMC"/>
    <e v="#NAME?"/>
    <x v="130"/>
    <n v="1"/>
    <x v="0"/>
    <s v="ASO"/>
    <m/>
    <e v="#NAME?"/>
    <e v="#NAME?"/>
    <e v="#NAME?"/>
    <m/>
    <m/>
    <m/>
    <m/>
    <m/>
    <m/>
  </r>
  <r>
    <s v="CE61320"/>
    <s v="CASTILLO ALONSO GILBERTO"/>
    <x v="0"/>
    <x v="17"/>
    <s v="Novatec"/>
    <e v="#NAME?"/>
    <x v="130"/>
    <n v="1"/>
    <x v="0"/>
    <s v="ASO"/>
    <m/>
    <e v="#NAME?"/>
    <e v="#NAME?"/>
    <e v="#NAME?"/>
    <m/>
    <m/>
    <m/>
    <m/>
    <m/>
    <m/>
  </r>
  <r>
    <s v="CE66764"/>
    <s v="FORERO RUIZ JOSE ANTONIO"/>
    <x v="0"/>
    <x v="17"/>
    <s v="GGI / CMC"/>
    <e v="#NAME?"/>
    <x v="130"/>
    <n v="1"/>
    <x v="0"/>
    <s v="Cells"/>
    <m/>
    <e v="#NAME?"/>
    <e v="#NAME?"/>
    <e v="#NAME?"/>
    <m/>
    <m/>
    <m/>
    <m/>
    <m/>
    <m/>
  </r>
  <r>
    <s v="CE70407"/>
    <s v="BARRIOS ASPRILLA BREINER I"/>
    <x v="0"/>
    <x v="17"/>
    <s v="KRYPTO"/>
    <e v="#NAME?"/>
    <x v="3"/>
    <n v="1"/>
    <x v="3"/>
    <s v="Distribuido"/>
    <m/>
    <e v="#NAME?"/>
    <e v="#NAME?"/>
    <e v="#NAME?"/>
    <m/>
    <m/>
    <m/>
    <m/>
    <m/>
    <m/>
  </r>
  <r>
    <s v="T005929"/>
    <s v="CAVIEDES JIMENEZ JULIAN FELIPE"/>
    <x v="0"/>
    <x v="17"/>
    <s v="GGI / CMC"/>
    <e v="#NAME?"/>
    <x v="3"/>
    <n v="1"/>
    <x v="3"/>
    <s v="Distribuido"/>
    <m/>
    <e v="#NAME?"/>
    <e v="#NAME?"/>
    <e v="#NAME?"/>
    <m/>
    <m/>
    <m/>
    <m/>
    <m/>
    <m/>
  </r>
  <r>
    <s v="CE51848"/>
    <s v="GORDO BELTRAN DANIEL FERNANDO"/>
    <x v="0"/>
    <x v="17"/>
    <s v="Inetum"/>
    <e v="#NAME?"/>
    <x v="3"/>
    <n v="0.5"/>
    <x v="3"/>
    <s v="Distribuido"/>
    <m/>
    <e v="#NAME?"/>
    <e v="#NAME?"/>
    <e v="#NAME?"/>
    <m/>
    <m/>
    <m/>
    <m/>
    <m/>
    <m/>
  </r>
  <r>
    <s v="T004335"/>
    <s v="MANCIPE JUAN DAVID"/>
    <x v="0"/>
    <x v="17"/>
    <s v="GGI / CMC"/>
    <e v="#NAME?"/>
    <x v="130"/>
    <n v="1"/>
    <x v="0"/>
    <s v="Cells"/>
    <m/>
    <e v="#NAME?"/>
    <e v="#NAME?"/>
    <e v="#NAME?"/>
    <m/>
    <m/>
    <m/>
    <m/>
    <m/>
    <m/>
  </r>
  <r>
    <s v="CI08666"/>
    <s v="Jorge Anibal Blanco Meneses"/>
    <x v="1"/>
    <x v="18"/>
    <s v="BBVA Fiduciaria"/>
    <e v="#NAME?"/>
    <x v="3"/>
    <n v="0.4"/>
    <x v="1"/>
    <m/>
    <s v="Interno"/>
    <e v="#NAME?"/>
    <e v="#NAME?"/>
    <e v="#NAME?"/>
    <m/>
    <m/>
    <m/>
    <m/>
    <m/>
    <m/>
  </r>
  <r>
    <s v="CE34456"/>
    <s v="JOHN EDUAR LUNA SANCHEZ"/>
    <x v="1"/>
    <x v="16"/>
    <s v="GGI / CMC"/>
    <e v="#NAME?"/>
    <x v="146"/>
    <n v="0.25"/>
    <x v="2"/>
    <s v="Otras Tec."/>
    <m/>
    <e v="#NAME?"/>
    <e v="#NAME?"/>
    <e v="#NAME?"/>
    <m/>
    <m/>
    <m/>
    <m/>
    <m/>
    <m/>
  </r>
  <r>
    <s v="CE34456"/>
    <s v="JOHN EDUAR LUNA SANCHEZ"/>
    <x v="1"/>
    <x v="16"/>
    <s v="GGI / CMC"/>
    <e v="#NAME?"/>
    <x v="143"/>
    <n v="0.25"/>
    <x v="2"/>
    <s v="Otras Tec."/>
    <m/>
    <e v="#NAME?"/>
    <e v="#NAME?"/>
    <e v="#NAME?"/>
    <m/>
    <m/>
    <m/>
    <m/>
    <m/>
    <m/>
  </r>
  <r>
    <s v="CE34456"/>
    <s v="JOHN EDUAR LUNA SANCHEZ"/>
    <x v="1"/>
    <x v="16"/>
    <s v="GGI / CMC"/>
    <e v="#NAME?"/>
    <x v="3"/>
    <n v="0.5"/>
    <x v="2"/>
    <s v="Otras Tec."/>
    <m/>
    <e v="#NAME?"/>
    <e v="#NAME?"/>
    <e v="#NAME?"/>
    <m/>
    <m/>
    <m/>
    <m/>
    <m/>
    <m/>
  </r>
  <r>
    <s v="CE41784"/>
    <s v="JORGE HUMBERTO MARTINEZ MARIN"/>
    <x v="1"/>
    <x v="16"/>
    <s v="Novatec"/>
    <e v="#NAME?"/>
    <x v="145"/>
    <n v="1"/>
    <x v="0"/>
    <s v="Mainframe"/>
    <m/>
    <e v="#NAME?"/>
    <e v="#NAME?"/>
    <e v="#NAME?"/>
    <m/>
    <m/>
    <m/>
    <m/>
    <m/>
    <m/>
  </r>
  <r>
    <s v="CE57264"/>
    <s v="LUCIO RAMIRO TAPIA VARGAS"/>
    <x v="1"/>
    <x v="16"/>
    <s v="Novatec"/>
    <e v="#NAME?"/>
    <x v="145"/>
    <n v="1"/>
    <x v="0"/>
    <s v="Mainframe"/>
    <m/>
    <e v="#NAME?"/>
    <e v="#NAME?"/>
    <e v="#NAME?"/>
    <m/>
    <m/>
    <m/>
    <m/>
    <m/>
    <m/>
  </r>
  <r>
    <s v="T007049"/>
    <s v="ALVARO ARENAS SANCHEZ"/>
    <x v="1"/>
    <x v="16"/>
    <s v="Accenture"/>
    <e v="#NAME?"/>
    <x v="3"/>
    <n v="1"/>
    <x v="0"/>
    <s v="Distribuido"/>
    <m/>
    <e v="#NAME?"/>
    <e v="#NAME?"/>
    <e v="#NAME?"/>
    <m/>
    <m/>
    <m/>
    <m/>
    <m/>
    <m/>
  </r>
  <r>
    <s v="CE69613"/>
    <s v="MARTÍN RODRIGUEZ"/>
    <x v="1"/>
    <x v="16"/>
    <s v="Accenture"/>
    <e v="#NAME?"/>
    <x v="137"/>
    <n v="0.2"/>
    <x v="0"/>
    <s v="Distribuido"/>
    <m/>
    <e v="#NAME?"/>
    <e v="#NAME?"/>
    <e v="#NAME?"/>
    <m/>
    <m/>
    <m/>
    <m/>
    <m/>
    <m/>
  </r>
  <r>
    <s v="CE67315"/>
    <s v="YEFERSON OCHOA"/>
    <x v="1"/>
    <x v="16"/>
    <s v="Accenture"/>
    <e v="#NAME?"/>
    <x v="137"/>
    <n v="0.2"/>
    <x v="0"/>
    <s v="Distribuido"/>
    <m/>
    <e v="#NAME?"/>
    <e v="#NAME?"/>
    <e v="#NAME?"/>
    <m/>
    <m/>
    <m/>
    <m/>
    <m/>
    <m/>
  </r>
  <r>
    <s v="T003696"/>
    <s v="LUIS LOZANO"/>
    <x v="1"/>
    <x v="16"/>
    <s v="Accenture"/>
    <e v="#NAME?"/>
    <x v="137"/>
    <n v="0.2"/>
    <x v="0"/>
    <s v="Distribuido"/>
    <m/>
    <e v="#NAME?"/>
    <e v="#NAME?"/>
    <e v="#NAME?"/>
    <m/>
    <m/>
    <m/>
    <m/>
    <m/>
    <m/>
  </r>
  <r>
    <s v="CE66251"/>
    <s v="SANTIAGO A SANTOS ESTRADA"/>
    <x v="1"/>
    <x v="16"/>
    <s v="GGI / CMC"/>
    <e v="#NAME?"/>
    <x v="3"/>
    <n v="0.5"/>
    <x v="2"/>
    <s v="Distribuido"/>
    <m/>
    <e v="#NAME?"/>
    <e v="#NAME?"/>
    <e v="#NAME?"/>
    <m/>
    <m/>
    <m/>
    <m/>
    <m/>
    <m/>
  </r>
  <r>
    <s v="CE66251"/>
    <s v="BRIAN LEONARDO PEREZ RUBIANO"/>
    <x v="1"/>
    <x v="16"/>
    <s v="GGI / CMC"/>
    <e v="#NAME?"/>
    <x v="3"/>
    <n v="0.5"/>
    <x v="2"/>
    <s v="Distribuido"/>
    <m/>
    <e v="#NAME?"/>
    <e v="#NAME?"/>
    <e v="#NAME?"/>
    <m/>
    <m/>
    <m/>
    <m/>
    <m/>
    <m/>
  </r>
  <r>
    <s v="C811378"/>
    <s v="ANDRES FELIPE GOMEZ"/>
    <x v="3"/>
    <x v="27"/>
    <s v="BBVA"/>
    <e v="#NAME?"/>
    <x v="213"/>
    <n v="1"/>
    <x v="0"/>
    <s v="ASO"/>
    <s v="[GDG] - Habilitador Gestor Documental EMC1"/>
    <e v="#NAME?"/>
    <e v="#NAME?"/>
    <e v="#NAME?"/>
    <m/>
    <m/>
    <m/>
    <m/>
    <m/>
    <e v="#REF!"/>
  </r>
  <r>
    <s v="O002144"/>
    <s v="JEISON EDUARDO HERNANDEZ"/>
    <x v="3"/>
    <x v="27"/>
    <s v="BBVA"/>
    <e v="#NAME?"/>
    <x v="213"/>
    <n v="1"/>
    <x v="0"/>
    <s v="APX"/>
    <s v="[GDG] - Habilitador Gestor Documental EMC1"/>
    <e v="#NAME?"/>
    <e v="#NAME?"/>
    <e v="#NAME?"/>
    <m/>
    <m/>
    <m/>
    <m/>
    <m/>
    <n v="1"/>
  </r>
  <r>
    <s v="C804805"/>
    <s v="STEFANY CAROLINA MEDINA VILLADIENGO"/>
    <x v="3"/>
    <x v="27"/>
    <s v="BBVA"/>
    <e v="#NAME?"/>
    <x v="213"/>
    <n v="1"/>
    <x v="0"/>
    <s v="APX"/>
    <s v="[GDG] - Habilitador Gestor Documental EMC1"/>
    <e v="#NAME?"/>
    <e v="#NAME?"/>
    <e v="#NAME?"/>
    <m/>
    <m/>
    <m/>
    <m/>
    <m/>
    <n v="1"/>
  </r>
  <r>
    <s v="O004614"/>
    <s v="ALEXANDER GONZALEZ PEÑA"/>
    <x v="3"/>
    <x v="27"/>
    <s v="BBVA"/>
    <e v="#NAME?"/>
    <x v="95"/>
    <n v="0.8"/>
    <x v="0"/>
    <s v="Distribuido"/>
    <s v="[WIMEB] - Inclusión Extractos Producto de Valores"/>
    <e v="#NAME?"/>
    <e v="#NAME?"/>
    <e v="#NAME?"/>
    <m/>
    <m/>
    <m/>
    <m/>
    <m/>
    <n v="1"/>
  </r>
  <r>
    <s v="O004614"/>
    <s v="ALEXANDER GONZALEZ PEÑA"/>
    <x v="3"/>
    <x v="27"/>
    <s v="BBVA"/>
    <e v="#NAME?"/>
    <x v="3"/>
    <n v="0.1"/>
    <x v="0"/>
    <s v="Distribuido"/>
    <s v="[WIMEB] - Soporte Produccion"/>
    <e v="#NAME?"/>
    <e v="#NAME?"/>
    <e v="#NAME?"/>
    <m/>
    <m/>
    <m/>
    <m/>
    <m/>
    <n v="0"/>
  </r>
  <r>
    <s v="O004614"/>
    <s v="ALEXANDER GONZALEZ PEÑA"/>
    <x v="3"/>
    <x v="27"/>
    <s v="BBVA"/>
    <e v="#NAME?"/>
    <x v="3"/>
    <n v="0.1"/>
    <x v="0"/>
    <s v="Distribuido"/>
    <s v="[WIMEB] - Carta de bienvenida Libranza"/>
    <e v="#NAME?"/>
    <e v="#NAME?"/>
    <e v="#NAME?"/>
    <m/>
    <m/>
    <m/>
    <m/>
    <m/>
    <n v="0"/>
  </r>
  <r>
    <s v="C809712"/>
    <s v="MIGUEL ANGEL ALBARRACIN"/>
    <x v="3"/>
    <x v="27"/>
    <s v="BBVA"/>
    <e v="#NAME?"/>
    <x v="75"/>
    <n v="0.7"/>
    <x v="0"/>
    <s v="ASO"/>
    <s v="[IDP] - COLWSBPE-115 - Definiciones a nivel técnico "/>
    <e v="#NAME?"/>
    <e v="#NAME?"/>
    <e v="#NAME?"/>
    <m/>
    <m/>
    <m/>
    <m/>
    <m/>
    <n v="1"/>
  </r>
  <r>
    <s v="C809712"/>
    <s v="MIGUEL ANGEL ALBARRACIN"/>
    <x v="3"/>
    <x v="27"/>
    <s v="BBVA"/>
    <e v="#NAME?"/>
    <x v="205"/>
    <n v="0.2"/>
    <x v="0"/>
    <s v="Distribuido"/>
    <s v="[WIMEB] - Carta de bienvenida consumo"/>
    <e v="#NAME?"/>
    <e v="#NAME?"/>
    <e v="#NAME?"/>
    <m/>
    <m/>
    <m/>
    <m/>
    <m/>
    <n v="0"/>
  </r>
  <r>
    <s v="C809712"/>
    <s v="MIGUEL ANGEL ALBARRACIN"/>
    <x v="3"/>
    <x v="27"/>
    <s v="BBVA"/>
    <e v="#NAME?"/>
    <x v="3"/>
    <n v="0.1"/>
    <x v="0"/>
    <s v="Distribuido"/>
    <s v="[WIMEB] - INICIDENCIA   Consulta de Extractos"/>
    <e v="#NAME?"/>
    <e v="#NAME?"/>
    <e v="#NAME?"/>
    <m/>
    <m/>
    <m/>
    <m/>
    <m/>
    <n v="0"/>
  </r>
  <r>
    <s v="C804845"/>
    <s v="DIEGO ANDRES JIMENEZ PABUENA"/>
    <x v="3"/>
    <x v="27"/>
    <s v="BBVA"/>
    <e v="#NAME?"/>
    <x v="124"/>
    <n v="0.5"/>
    <x v="0"/>
    <s v="Distribuido"/>
    <s v="[PNB] - Proyecto : Gestión de Ingresos - Períodos de Gracia Libranzas"/>
    <e v="#NAME?"/>
    <e v="#NAME?"/>
    <e v="#NAME?"/>
    <m/>
    <m/>
    <m/>
    <m/>
    <m/>
    <n v="1"/>
  </r>
  <r>
    <s v="C804845"/>
    <s v="DIEGO ANDRES JIMENEZ PABUENA"/>
    <x v="3"/>
    <x v="27"/>
    <s v="BBVA"/>
    <e v="#NAME?"/>
    <x v="3"/>
    <n v="0.1"/>
    <x v="0"/>
    <s v="Distribuido"/>
    <s v="[FARO] - Revisión documentos pendientes por migrar"/>
    <e v="#NAME?"/>
    <e v="#NAME?"/>
    <e v="#NAME?"/>
    <m/>
    <m/>
    <m/>
    <m/>
    <m/>
    <n v="0"/>
  </r>
  <r>
    <s v="C804845"/>
    <s v="DIEGO ANDRES JIMENEZ PABUENA"/>
    <x v="3"/>
    <x v="27"/>
    <s v="BBVA"/>
    <e v="#NAME?"/>
    <x v="3"/>
    <n v="0.05"/>
    <x v="0"/>
    <s v="Distribuido"/>
    <s v="[Firmas Valuadoras] - Dia a Dia / Firmas valuadoras. Creación usuarios"/>
    <e v="#NAME?"/>
    <e v="#NAME?"/>
    <e v="#NAME?"/>
    <m/>
    <m/>
    <m/>
    <m/>
    <m/>
    <n v="0"/>
  </r>
  <r>
    <s v="C804845"/>
    <s v="DIEGO ANDRES JIMENEZ PABUENA"/>
    <x v="3"/>
    <x v="27"/>
    <s v="BBVA"/>
    <e v="#NAME?"/>
    <x v="3"/>
    <n v="0.1"/>
    <x v="0"/>
    <s v="Distribuido"/>
    <s v="[PNB] - Atención solicitudes de actualización"/>
    <e v="#NAME?"/>
    <e v="#NAME?"/>
    <e v="#NAME?"/>
    <m/>
    <m/>
    <m/>
    <m/>
    <m/>
    <n v="0"/>
  </r>
  <r>
    <s v="C804845"/>
    <s v="DIEGO ANDRES JIMENEZ PABUENA"/>
    <x v="3"/>
    <x v="27"/>
    <s v="BBVA"/>
    <e v="#NAME?"/>
    <x v="3"/>
    <n v="0.1"/>
    <x v="0"/>
    <s v="Distribuido"/>
    <s v="[Lotus-Khronos] - Validación ejecución de Momentos, Ajustes, reporcesos dependiendo de casuisitica"/>
    <e v="#NAME?"/>
    <e v="#NAME?"/>
    <e v="#NAME?"/>
    <m/>
    <m/>
    <m/>
    <m/>
    <m/>
    <n v="0"/>
  </r>
  <r>
    <s v="C804845"/>
    <s v="DIEGO ANDRES JIMENEZ PABUENA"/>
    <x v="3"/>
    <x v="27"/>
    <s v="BBVA"/>
    <e v="#NAME?"/>
    <x v="40"/>
    <n v="0.1"/>
    <x v="0"/>
    <s v="Distribuido"/>
    <s v="[GranNet] - Migración modulos AdminPlan"/>
    <e v="#NAME?"/>
    <e v="#NAME?"/>
    <e v="#NAME?"/>
    <m/>
    <m/>
    <m/>
    <m/>
    <m/>
    <n v="0"/>
  </r>
  <r>
    <s v="C804845"/>
    <s v="DIEGO ANDRES JIMENEZ PABUENA"/>
    <x v="3"/>
    <x v="27"/>
    <s v="BBVA"/>
    <e v="#NAME?"/>
    <x v="214"/>
    <n v="0.05"/>
    <x v="0"/>
    <s v="Distribuido"/>
    <s v="[GranNet] - Modulo de liquidación de comisiones"/>
    <e v="#NAME?"/>
    <e v="#NAME?"/>
    <e v="#NAME?"/>
    <m/>
    <m/>
    <m/>
    <m/>
    <m/>
    <n v="0"/>
  </r>
  <r>
    <s v="O002373"/>
    <s v="ESTEBAN ARIAS CARACAS"/>
    <x v="3"/>
    <x v="27"/>
    <s v="BBVA"/>
    <e v="#NAME?"/>
    <x v="215"/>
    <n v="1"/>
    <x v="0"/>
    <s v="Distribuido"/>
    <m/>
    <e v="#NAME?"/>
    <e v="#NAME?"/>
    <e v="#NAME?"/>
    <m/>
    <m/>
    <m/>
    <m/>
    <m/>
    <e v="#REF!"/>
  </r>
  <r>
    <s v="O000471"/>
    <s v="RONAL ALBERTO TABORDA MORENO"/>
    <x v="3"/>
    <x v="27"/>
    <s v="BBVA"/>
    <e v="#NAME?"/>
    <x v="215"/>
    <n v="1"/>
    <x v="0"/>
    <s v="Distribuido"/>
    <m/>
    <e v="#NAME?"/>
    <e v="#NAME?"/>
    <e v="#NAME?"/>
    <m/>
    <m/>
    <m/>
    <m/>
    <m/>
    <n v="1"/>
  </r>
  <r>
    <s v="C805945"/>
    <s v="PAULO CESAR SALDARRIAGA"/>
    <x v="3"/>
    <x v="28"/>
    <s v="BBVA"/>
    <e v="#NAME?"/>
    <x v="216"/>
    <n v="0.9"/>
    <x v="0"/>
    <s v="LRBA"/>
    <m/>
    <e v="#NAME?"/>
    <e v="#NAME?"/>
    <e v="#NAME?"/>
    <m/>
    <m/>
    <m/>
    <m/>
    <m/>
    <n v="1"/>
  </r>
  <r>
    <s v="C805945"/>
    <s v="PAULO CESAR SALDARRIAGA"/>
    <x v="3"/>
    <x v="28"/>
    <s v="BBVA"/>
    <e v="#NAME?"/>
    <x v="3"/>
    <n v="0.1"/>
    <x v="0"/>
    <s v="LRBA"/>
    <m/>
    <e v="#NAME?"/>
    <e v="#NAME?"/>
    <e v="#NAME?"/>
    <m/>
    <m/>
    <m/>
    <m/>
    <m/>
    <n v="0"/>
  </r>
  <r>
    <s v="CE60804"/>
    <s v="ALVARO IVAN BARRIOS PINEDA"/>
    <x v="3"/>
    <x v="28"/>
    <s v="Indra"/>
    <e v="#NAME?"/>
    <x v="3"/>
    <n v="0.5"/>
    <x v="0"/>
    <s v="Mainframe"/>
    <m/>
    <e v="#NAME?"/>
    <e v="#NAME?"/>
    <e v="#NAME?"/>
    <m/>
    <m/>
    <m/>
    <m/>
    <m/>
    <n v="1"/>
  </r>
  <r>
    <s v="CE64752"/>
    <s v="NIDIA CONTRERAS HERNANDEZ"/>
    <x v="3"/>
    <x v="28"/>
    <s v="KRYPTO"/>
    <e v="#NAME?"/>
    <x v="3"/>
    <n v="0.5"/>
    <x v="2"/>
    <s v="Otras Tec."/>
    <m/>
    <e v="#NAME?"/>
    <e v="#NAME?"/>
    <e v="#NAME?"/>
    <m/>
    <m/>
    <m/>
    <m/>
    <m/>
    <n v="1"/>
  </r>
  <r>
    <s v="CE71176"/>
    <s v="IVAN YESID REYES CALCETERO"/>
    <x v="3"/>
    <x v="28"/>
    <s v="KRYPTO"/>
    <e v="#NAME?"/>
    <x v="216"/>
    <n v="0.5"/>
    <x v="2"/>
    <s v="Otras Tec."/>
    <m/>
    <e v="#NAME?"/>
    <e v="#NAME?"/>
    <e v="#NAME?"/>
    <m/>
    <m/>
    <m/>
    <m/>
    <m/>
    <n v="1"/>
  </r>
  <r>
    <s v="O000437"/>
    <s v="EDISON TRONCOSO PARADA"/>
    <x v="3"/>
    <x v="28"/>
    <s v="BBVA"/>
    <e v="#NAME?"/>
    <x v="3"/>
    <n v="0.15"/>
    <x v="0"/>
    <s v="Mainframe"/>
    <m/>
    <e v="#NAME?"/>
    <e v="#NAME?"/>
    <e v="#NAME?"/>
    <m/>
    <m/>
    <m/>
    <m/>
    <m/>
    <n v="1"/>
  </r>
  <r>
    <s v="O000437"/>
    <s v="EDISON TRONCOSO PARADA"/>
    <x v="3"/>
    <x v="28"/>
    <s v="BBVA"/>
    <e v="#NAME?"/>
    <x v="216"/>
    <n v="0.4"/>
    <x v="0"/>
    <s v="Mainframe"/>
    <m/>
    <e v="#NAME?"/>
    <e v="#NAME?"/>
    <e v="#NAME?"/>
    <m/>
    <m/>
    <m/>
    <m/>
    <m/>
    <n v="0"/>
  </r>
  <r>
    <s v="O000437"/>
    <s v="EDISON TRONCOSO PARADA"/>
    <x v="3"/>
    <x v="28"/>
    <s v="BBVA"/>
    <e v="#NAME?"/>
    <x v="20"/>
    <n v="0.05"/>
    <x v="0"/>
    <s v="Mainframe"/>
    <m/>
    <e v="#NAME?"/>
    <e v="#NAME?"/>
    <e v="#NAME?"/>
    <m/>
    <m/>
    <m/>
    <m/>
    <m/>
    <n v="0"/>
  </r>
  <r>
    <s v="O000437"/>
    <s v="EDISON TRONCOSO PARADA"/>
    <x v="3"/>
    <x v="28"/>
    <s v="BBVA"/>
    <e v="#NAME?"/>
    <x v="217"/>
    <n v="0.25"/>
    <x v="0"/>
    <s v="Mainframe"/>
    <m/>
    <e v="#NAME?"/>
    <e v="#NAME?"/>
    <e v="#NAME?"/>
    <m/>
    <m/>
    <m/>
    <m/>
    <m/>
    <n v="0"/>
  </r>
  <r>
    <s v="O000443"/>
    <s v="OSCAR BARBOSA OSPINA"/>
    <x v="3"/>
    <x v="28"/>
    <s v="BBVA"/>
    <e v="#NAME?"/>
    <x v="216"/>
    <n v="0.2"/>
    <x v="1"/>
    <s v="Mainframe"/>
    <m/>
    <e v="#NAME?"/>
    <e v="#NAME?"/>
    <e v="#NAME?"/>
    <m/>
    <m/>
    <m/>
    <m/>
    <m/>
    <n v="1"/>
  </r>
  <r>
    <s v="O001817"/>
    <s v="ALEX EDWIN TOSCANO MAESTRE"/>
    <x v="3"/>
    <x v="28"/>
    <s v="BBVA"/>
    <e v="#NAME?"/>
    <x v="3"/>
    <n v="0.08"/>
    <x v="0"/>
    <s v="Mainframe"/>
    <m/>
    <e v="#NAME?"/>
    <e v="#NAME?"/>
    <e v="#NAME?"/>
    <m/>
    <m/>
    <m/>
    <m/>
    <m/>
    <n v="1"/>
  </r>
  <r>
    <s v="O001817"/>
    <s v="ALEX EDWIN TOSCANO MAESTRE"/>
    <x v="3"/>
    <x v="28"/>
    <s v="BBVA"/>
    <e v="#NAME?"/>
    <x v="216"/>
    <n v="0.35"/>
    <x v="0"/>
    <s v="Mainframe"/>
    <m/>
    <e v="#NAME?"/>
    <e v="#NAME?"/>
    <e v="#NAME?"/>
    <m/>
    <m/>
    <m/>
    <m/>
    <m/>
    <n v="0"/>
  </r>
  <r>
    <s v="O001817"/>
    <s v="ALEX EDWIN TOSCANO MAESTRE"/>
    <x v="3"/>
    <x v="28"/>
    <s v="BBVA"/>
    <e v="#NAME?"/>
    <x v="3"/>
    <n v="0.03"/>
    <x v="0"/>
    <s v="Mainframe"/>
    <m/>
    <e v="#NAME?"/>
    <e v="#NAME?"/>
    <e v="#NAME?"/>
    <m/>
    <m/>
    <m/>
    <m/>
    <m/>
    <n v="0"/>
  </r>
  <r>
    <s v="O001975"/>
    <s v="FELIPE ANDRES QUINTERO HIGUITA"/>
    <x v="3"/>
    <x v="28"/>
    <s v="BBVA"/>
    <e v="#NAME?"/>
    <x v="216"/>
    <n v="0.9"/>
    <x v="0"/>
    <s v="LRBA"/>
    <m/>
    <e v="#NAME?"/>
    <e v="#NAME?"/>
    <e v="#NAME?"/>
    <m/>
    <m/>
    <m/>
    <m/>
    <m/>
    <n v="1"/>
  </r>
  <r>
    <s v="O001975"/>
    <s v="FELIPE ANDRES QUINTERO HIGUITA"/>
    <x v="3"/>
    <x v="28"/>
    <s v="BBVA"/>
    <e v="#NAME?"/>
    <x v="3"/>
    <n v="0.1"/>
    <x v="0"/>
    <s v="LRBA"/>
    <m/>
    <e v="#NAME?"/>
    <e v="#NAME?"/>
    <e v="#NAME?"/>
    <m/>
    <m/>
    <m/>
    <m/>
    <m/>
    <n v="0"/>
  </r>
  <r>
    <s v="O001976"/>
    <s v="OSCAR ANDRES CARDOZA OLANO"/>
    <x v="3"/>
    <x v="28"/>
    <s v="BBVA"/>
    <e v="#NAME?"/>
    <x v="216"/>
    <n v="0.9"/>
    <x v="0"/>
    <s v="APX"/>
    <m/>
    <e v="#NAME?"/>
    <e v="#NAME?"/>
    <e v="#NAME?"/>
    <m/>
    <m/>
    <m/>
    <m/>
    <m/>
    <n v="1"/>
  </r>
  <r>
    <s v="O001976"/>
    <s v="OSCAR ANDRES CARDOZA OLANO"/>
    <x v="3"/>
    <x v="28"/>
    <s v="BBVA"/>
    <e v="#NAME?"/>
    <x v="3"/>
    <n v="0.1"/>
    <x v="0"/>
    <s v="APX"/>
    <m/>
    <e v="#NAME?"/>
    <e v="#NAME?"/>
    <e v="#NAME?"/>
    <m/>
    <m/>
    <m/>
    <m/>
    <m/>
    <n v="0"/>
  </r>
  <r>
    <s v="O003809"/>
    <s v="DIEGO ANDRES GUTIERREZ MESA"/>
    <x v="3"/>
    <x v="28"/>
    <s v="BBVA"/>
    <e v="#NAME?"/>
    <x v="216"/>
    <n v="1"/>
    <x v="1"/>
    <s v="LRBA"/>
    <m/>
    <e v="#NAME?"/>
    <e v="#NAME?"/>
    <e v="#NAME?"/>
    <m/>
    <m/>
    <m/>
    <m/>
    <m/>
    <n v="1"/>
  </r>
  <r>
    <s v="O001817"/>
    <s v="ALEX EDWIN TOSCANO MAESTRE"/>
    <x v="3"/>
    <x v="28"/>
    <s v="BBVA"/>
    <e v="#NAME?"/>
    <x v="3"/>
    <n v="0.03"/>
    <x v="0"/>
    <s v="Mainframe"/>
    <m/>
    <e v="#NAME?"/>
    <e v="#NAME?"/>
    <e v="#NAME?"/>
    <m/>
    <m/>
    <m/>
    <m/>
    <m/>
    <n v="1"/>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0443"/>
    <s v="OSCAR BARBOSA OSPINA"/>
    <x v="3"/>
    <x v="28"/>
    <s v="BBVA"/>
    <e v="#NAME?"/>
    <x v="3"/>
    <n v="0.03"/>
    <x v="0"/>
    <s v="Mainframe"/>
    <m/>
    <e v="#NAME?"/>
    <e v="#NAME?"/>
    <e v="#NAME?"/>
    <m/>
    <m/>
    <m/>
    <m/>
    <m/>
    <n v="1"/>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1817"/>
    <s v="ALEX EDWIN TOSCANO MAESTRE"/>
    <x v="3"/>
    <x v="28"/>
    <s v="BBVA"/>
    <e v="#NAME?"/>
    <x v="3"/>
    <n v="0.2"/>
    <x v="0"/>
    <s v="Mainframe"/>
    <m/>
    <e v="#NAME?"/>
    <e v="#NAME?"/>
    <e v="#NAME?"/>
    <m/>
    <m/>
    <m/>
    <m/>
    <m/>
    <n v="1"/>
  </r>
  <r>
    <s v="O000443"/>
    <s v="OSCAR BARBOSA OSPINA"/>
    <x v="3"/>
    <x v="28"/>
    <s v="BBVA"/>
    <e v="#NAME?"/>
    <x v="3"/>
    <n v="0.03"/>
    <x v="1"/>
    <s v="Mainframe"/>
    <m/>
    <e v="#NAME?"/>
    <e v="#NAME?"/>
    <e v="#NAME?"/>
    <m/>
    <m/>
    <m/>
    <m/>
    <m/>
    <n v="1"/>
  </r>
  <r>
    <s v="O000437"/>
    <s v="EDISON TRONCOSO PARADA"/>
    <x v="3"/>
    <x v="28"/>
    <s v="BBVA"/>
    <e v="#NAME?"/>
    <x v="3"/>
    <n v="0.05"/>
    <x v="0"/>
    <s v="Mainframe"/>
    <m/>
    <e v="#NAME?"/>
    <e v="#NAME?"/>
    <e v="#NAME?"/>
    <m/>
    <m/>
    <m/>
    <m/>
    <m/>
    <n v="1"/>
  </r>
  <r>
    <s v="O000443"/>
    <s v="OSCAR BARBOSA OSPINA"/>
    <x v="3"/>
    <x v="28"/>
    <s v="BBVA"/>
    <e v="#NAME?"/>
    <x v="3"/>
    <n v="0.03"/>
    <x v="1"/>
    <s v="Mainframe"/>
    <m/>
    <e v="#NAME?"/>
    <e v="#NAME?"/>
    <e v="#NAME?"/>
    <m/>
    <m/>
    <m/>
    <m/>
    <m/>
    <n v="1"/>
  </r>
  <r>
    <s v="O001817"/>
    <s v="ALEX EDWIN TOSCANO MAESTRE"/>
    <x v="3"/>
    <x v="28"/>
    <s v="BBVA"/>
    <e v="#NAME?"/>
    <x v="3"/>
    <n v="0.05"/>
    <x v="0"/>
    <s v="Mainframe"/>
    <m/>
    <e v="#NAME?"/>
    <e v="#NAME?"/>
    <e v="#NAME?"/>
    <m/>
    <m/>
    <m/>
    <m/>
    <m/>
    <n v="1"/>
  </r>
  <r>
    <s v="O000437"/>
    <s v="EDISON TRONCOSO PARADA"/>
    <x v="3"/>
    <x v="28"/>
    <s v="BBVA"/>
    <e v="#NAME?"/>
    <x v="3"/>
    <n v="0.05"/>
    <x v="0"/>
    <s v="Mainframe"/>
    <m/>
    <e v="#NAME?"/>
    <e v="#NAME?"/>
    <e v="#NAME?"/>
    <m/>
    <m/>
    <m/>
    <m/>
    <m/>
    <n v="1"/>
  </r>
  <r>
    <s v="O001817"/>
    <s v="ALEX EDWIN TOSCANO MAESTRE"/>
    <x v="3"/>
    <x v="28"/>
    <s v="BBVA"/>
    <e v="#NAME?"/>
    <x v="3"/>
    <n v="0.05"/>
    <x v="0"/>
    <s v="Mainframe"/>
    <m/>
    <e v="#NAME?"/>
    <e v="#NAME?"/>
    <e v="#NAME?"/>
    <m/>
    <m/>
    <m/>
    <m/>
    <m/>
    <n v="1"/>
  </r>
  <r>
    <s v="O000443"/>
    <s v="OSCAR BARBOSA OSPINA"/>
    <x v="3"/>
    <x v="28"/>
    <s v="BBVA"/>
    <e v="#NAME?"/>
    <x v="3"/>
    <n v="0.05"/>
    <x v="1"/>
    <s v="Mainframe"/>
    <m/>
    <e v="#NAME?"/>
    <e v="#NAME?"/>
    <e v="#NAME?"/>
    <m/>
    <m/>
    <m/>
    <m/>
    <m/>
    <n v="1"/>
  </r>
  <r>
    <s v="O000437"/>
    <s v="EDISON TRONCOSO PARADA"/>
    <x v="3"/>
    <x v="28"/>
    <s v="BBVA"/>
    <e v="#NAME?"/>
    <x v="3"/>
    <n v="0.05"/>
    <x v="0"/>
    <s v="Mainframe"/>
    <m/>
    <e v="#NAME?"/>
    <e v="#NAME?"/>
    <e v="#NAME?"/>
    <m/>
    <m/>
    <m/>
    <m/>
    <m/>
    <n v="1"/>
  </r>
  <r>
    <s v="O000443"/>
    <s v="OSCAR BARBOSA OSPINA"/>
    <x v="3"/>
    <x v="28"/>
    <s v="BBVA"/>
    <e v="#NAME?"/>
    <x v="3"/>
    <n v="0.25"/>
    <x v="1"/>
    <s v="Mainframe"/>
    <m/>
    <e v="#NAME?"/>
    <e v="#NAME?"/>
    <e v="#NAME?"/>
    <m/>
    <m/>
    <m/>
    <m/>
    <m/>
    <n v="1"/>
  </r>
  <r>
    <s v="O000443"/>
    <s v="OSCAR BARBOSA OSPINA"/>
    <x v="3"/>
    <x v="28"/>
    <s v="BBVA"/>
    <e v="#NAME?"/>
    <x v="217"/>
    <n v="0.1"/>
    <x v="1"/>
    <s v="Mainframe"/>
    <m/>
    <e v="#NAME?"/>
    <e v="#NAME?"/>
    <e v="#NAME?"/>
    <m/>
    <m/>
    <m/>
    <m/>
    <m/>
    <n v="0"/>
  </r>
  <r>
    <s v="O000443"/>
    <s v="OSCAR BARBOSA OSPINA"/>
    <x v="3"/>
    <x v="28"/>
    <s v="BBVA"/>
    <e v="#NAME?"/>
    <x v="53"/>
    <n v="0.1"/>
    <x v="1"/>
    <s v="Mainframe"/>
    <m/>
    <e v="#NAME?"/>
    <e v="#NAME?"/>
    <e v="#NAME?"/>
    <m/>
    <m/>
    <m/>
    <m/>
    <m/>
    <n v="0"/>
  </r>
  <r>
    <s v="O005000"/>
    <s v="ALEJANDRO LARA MONTANO"/>
    <x v="3"/>
    <x v="28"/>
    <s v="BBVA"/>
    <e v="#NAME?"/>
    <x v="53"/>
    <n v="0.2"/>
    <x v="0"/>
    <s v="Mainframe"/>
    <m/>
    <e v="#NAME?"/>
    <e v="#NAME?"/>
    <e v="#NAME?"/>
    <m/>
    <m/>
    <m/>
    <m/>
    <m/>
    <n v="1"/>
  </r>
  <r>
    <s v="O005000"/>
    <s v="ALEJANDRO LARA MONTANO"/>
    <x v="3"/>
    <x v="28"/>
    <s v="BBVA"/>
    <e v="#NAME?"/>
    <x v="3"/>
    <n v="0.7"/>
    <x v="0"/>
    <s v="Mainframe"/>
    <m/>
    <e v="#NAME?"/>
    <e v="#NAME?"/>
    <e v="#NAME?"/>
    <m/>
    <m/>
    <m/>
    <m/>
    <m/>
    <n v="0"/>
  </r>
  <r>
    <s v="O005000"/>
    <s v="ALEJANDRO LARA MONTANO"/>
    <x v="3"/>
    <x v="28"/>
    <s v="BBVA"/>
    <e v="#NAME?"/>
    <x v="216"/>
    <n v="0.1"/>
    <x v="0"/>
    <s v="Mainframe"/>
    <m/>
    <e v="#NAME?"/>
    <e v="#NAME?"/>
    <e v="#NAME?"/>
    <m/>
    <m/>
    <m/>
    <m/>
    <m/>
    <e v="#REF!"/>
  </r>
  <r>
    <s v="CE56248"/>
    <s v="Andres Jimenez Molina"/>
    <x v="3"/>
    <x v="29"/>
    <s v="Accenture"/>
    <e v="#NAME?"/>
    <x v="3"/>
    <n v="0.5"/>
    <x v="2"/>
    <s v="Distribuido"/>
    <s v="Bonita 7 y Bonita 5 "/>
    <e v="#NAME?"/>
    <e v="#NAME?"/>
    <e v="#NAME?"/>
    <m/>
    <m/>
    <m/>
    <m/>
    <m/>
    <e v="#REF!"/>
  </r>
  <r>
    <s v="CE56248"/>
    <s v="Andres Jimenez Molina"/>
    <x v="3"/>
    <x v="29"/>
    <s v="Accenture"/>
    <e v="#NAME?"/>
    <x v="124"/>
    <n v="0.5"/>
    <x v="2"/>
    <s v="Distribuido"/>
    <s v="pruebas unitarias en desarrollo"/>
    <e v="#NAME?"/>
    <e v="#NAME?"/>
    <e v="#NAME?"/>
    <m/>
    <m/>
    <m/>
    <m/>
    <m/>
    <n v="0"/>
  </r>
  <r>
    <s v="C808271"/>
    <s v="CRISTIAN CAMILO APONTE QUIROGA"/>
    <x v="3"/>
    <x v="29"/>
    <s v="BBVA"/>
    <e v="#NAME?"/>
    <x v="218"/>
    <n v="0.8"/>
    <x v="0"/>
    <s v="Otras Tec."/>
    <s v="desarrollos F8; Postimplantación F5,6 y 7"/>
    <e v="#NAME?"/>
    <e v="#NAME?"/>
    <e v="#NAME?"/>
    <m/>
    <m/>
    <m/>
    <m/>
    <m/>
    <n v="1"/>
  </r>
  <r>
    <s v="C805770"/>
    <s v="Edward Enrique Vaca"/>
    <x v="3"/>
    <x v="29"/>
    <s v="BBVA"/>
    <e v="#NAME?"/>
    <x v="218"/>
    <n v="0.1"/>
    <x v="0"/>
    <s v="Otras Tec."/>
    <s v="desarrollos F7,8; Postimplantación F5 y6"/>
    <e v="#NAME?"/>
    <e v="#NAME?"/>
    <e v="#NAME?"/>
    <m/>
    <m/>
    <m/>
    <m/>
    <m/>
    <n v="1"/>
  </r>
  <r>
    <s v="C808271"/>
    <s v="CRISTIAN CAMILO APONTE QUIROGA"/>
    <x v="3"/>
    <x v="29"/>
    <s v="BBVA"/>
    <e v="#NAME?"/>
    <x v="219"/>
    <n v="0.2"/>
    <x v="0"/>
    <s v="Otras Tec."/>
    <s v="Diseño de front transversal,  maqueta, formación BPMaaS"/>
    <e v="#NAME?"/>
    <e v="#NAME?"/>
    <e v="#NAME?"/>
    <m/>
    <m/>
    <m/>
    <m/>
    <m/>
    <n v="1"/>
  </r>
  <r>
    <s v="O002375"/>
    <s v="Cristian David Beltran Barrantes"/>
    <x v="3"/>
    <x v="29"/>
    <s v="BBVA"/>
    <e v="#NAME?"/>
    <x v="3"/>
    <n v="1"/>
    <x v="0"/>
    <s v="Otras Tec."/>
    <s v="Arandas, producción y backlog mantenimientos menores"/>
    <e v="#NAME?"/>
    <e v="#NAME?"/>
    <e v="#NAME?"/>
    <m/>
    <m/>
    <m/>
    <m/>
    <m/>
    <n v="1"/>
  </r>
  <r>
    <s v="T007650"/>
    <s v="DANNY CAMILO BERNAL BERNAL"/>
    <x v="3"/>
    <x v="29"/>
    <s v="TRYCORE"/>
    <e v="#NAME?"/>
    <x v="124"/>
    <n v="1"/>
    <x v="0"/>
    <s v="Otras Tec."/>
    <s v="desarrollos en curso, envio a QA S3 de bril"/>
    <e v="#NAME?"/>
    <e v="#NAME?"/>
    <e v="#NAME?"/>
    <m/>
    <m/>
    <m/>
    <m/>
    <m/>
    <n v="1"/>
  </r>
  <r>
    <s v="C343334"/>
    <s v="Edison Jovanny Castillo"/>
    <x v="3"/>
    <x v="29"/>
    <s v="BBVA"/>
    <e v="#NAME?"/>
    <x v="3"/>
    <n v="0.75"/>
    <x v="0"/>
    <s v="Otras Tec."/>
    <s v="MN-2091 Reingenieria proceso cancelacion de garantias, desarrollos con entrega a QA S3 agosto"/>
    <e v="#NAME?"/>
    <e v="#NAME?"/>
    <e v="#NAME?"/>
    <m/>
    <m/>
    <m/>
    <m/>
    <m/>
    <n v="1"/>
  </r>
  <r>
    <s v="C343334"/>
    <s v="Edison Jovanny Castillo"/>
    <x v="3"/>
    <x v="29"/>
    <s v="BBVA"/>
    <e v="#NAME?"/>
    <x v="3"/>
    <n v="0.1"/>
    <x v="0"/>
    <s v="Otras Tec."/>
    <s v="Analisis y Diseño Tecnico conexion IDM con Bonita 7"/>
    <e v="#NAME?"/>
    <e v="#NAME?"/>
    <e v="#NAME?"/>
    <m/>
    <m/>
    <m/>
    <m/>
    <m/>
    <n v="0"/>
  </r>
  <r>
    <s v="C343334"/>
    <s v="Edison Jovanny Castillo"/>
    <x v="3"/>
    <x v="29"/>
    <s v="BBVA"/>
    <e v="#NAME?"/>
    <x v="3"/>
    <n v="0.05"/>
    <x v="0"/>
    <s v="Otras Tec."/>
    <s v="Prioridad Alta Bandeja de entrada B7Prioridad Alta Bandeja de entrada B7"/>
    <e v="#NAME?"/>
    <e v="#NAME?"/>
    <e v="#NAME?"/>
    <m/>
    <m/>
    <m/>
    <m/>
    <m/>
    <n v="0"/>
  </r>
  <r>
    <s v="C343334"/>
    <s v="Edison Jovanny Castillo"/>
    <x v="3"/>
    <x v="29"/>
    <s v="BBVA"/>
    <e v="#NAME?"/>
    <x v="219"/>
    <n v="0.1"/>
    <x v="0"/>
    <s v="Otras Tec."/>
    <s v="Diseño de front transversal,  maqueta, formación BPMaaS"/>
    <e v="#NAME?"/>
    <e v="#NAME?"/>
    <e v="#NAME?"/>
    <m/>
    <m/>
    <m/>
    <m/>
    <m/>
    <n v="0"/>
  </r>
  <r>
    <s v="C805770"/>
    <s v="Edward Enrique Vaca"/>
    <x v="3"/>
    <x v="29"/>
    <s v="BBVA"/>
    <e v="#NAME?"/>
    <x v="124"/>
    <n v="0.5"/>
    <x v="0"/>
    <s v="Otras Tec."/>
    <s v="Lider tecnico para BPM , envio a QA S3 abril"/>
    <e v="#NAME?"/>
    <e v="#NAME?"/>
    <e v="#NAME?"/>
    <m/>
    <m/>
    <m/>
    <m/>
    <m/>
    <n v="1"/>
  </r>
  <r>
    <s v="C805770"/>
    <s v="Edward Enrique Vaca"/>
    <x v="3"/>
    <x v="29"/>
    <s v="BBVA"/>
    <e v="#NAME?"/>
    <x v="3"/>
    <n v="0.35"/>
    <x v="0"/>
    <s v="Otras Tec."/>
    <s v="MN-2091 Reingenieria proceso cancelacion de garantias, desarrollos con entrega a QA S3 agosto"/>
    <e v="#NAME?"/>
    <e v="#NAME?"/>
    <e v="#NAME?"/>
    <m/>
    <m/>
    <m/>
    <m/>
    <m/>
    <n v="0"/>
  </r>
  <r>
    <s v="C805770"/>
    <s v="Edward Enrique Vaca"/>
    <x v="3"/>
    <x v="29"/>
    <s v="BBVA"/>
    <e v="#NAME?"/>
    <x v="3"/>
    <n v="0.05"/>
    <x v="0"/>
    <s v="Otras Tec."/>
    <s v="Prioridad Alta Bandeja de entrada B7Prioridad Alta Bandeja de entrada B7"/>
    <e v="#NAME?"/>
    <e v="#NAME?"/>
    <e v="#NAME?"/>
    <m/>
    <m/>
    <m/>
    <m/>
    <m/>
    <n v="0"/>
  </r>
  <r>
    <s v="C804325"/>
    <s v="Edwin Giovanny Cetina Pinzón."/>
    <x v="3"/>
    <x v="29"/>
    <s v="BBVA"/>
    <e v="#NAME?"/>
    <x v="124"/>
    <n v="0.2"/>
    <x v="0"/>
    <s v="Otras Tec."/>
    <s v="finaliza desarrollos la S3 Abril"/>
    <e v="#NAME?"/>
    <e v="#NAME?"/>
    <e v="#NAME?"/>
    <m/>
    <m/>
    <m/>
    <m/>
    <m/>
    <n v="1"/>
  </r>
  <r>
    <s v="C804325"/>
    <s v="Edwin Giovanny Cetina Pinzón."/>
    <x v="3"/>
    <x v="29"/>
    <s v="BBVA"/>
    <e v="#NAME?"/>
    <x v="220"/>
    <n v="0.1"/>
    <x v="0"/>
    <s v="Otras Tec."/>
    <s v="Gestión con Meraki para atención de mejora en visualizacion  de documentos"/>
    <e v="#NAME?"/>
    <e v="#NAME?"/>
    <e v="#NAME?"/>
    <m/>
    <m/>
    <m/>
    <m/>
    <m/>
    <n v="0"/>
  </r>
  <r>
    <s v="C804325"/>
    <s v="Edwin Giovanny Cetina Pinzón."/>
    <x v="3"/>
    <x v="29"/>
    <s v="BBVA"/>
    <e v="#NAME?"/>
    <x v="221"/>
    <n v="0"/>
    <x v="0"/>
    <s v="Otras Tec."/>
    <s v="apoyo postimplantación"/>
    <e v="#NAME?"/>
    <e v="#NAME?"/>
    <e v="#NAME?"/>
    <m/>
    <m/>
    <m/>
    <m/>
    <m/>
    <n v="0"/>
  </r>
  <r>
    <s v="C804325"/>
    <s v="Edwin Giovanny Cetina Pinzón."/>
    <x v="3"/>
    <x v="29"/>
    <s v="BBVA"/>
    <e v="#NAME?"/>
    <x v="3"/>
    <n v="0.05"/>
    <x v="0"/>
    <s v="Otras Tec."/>
    <s v="CAP Retail atencion de arandas entrega a equipo de operación"/>
    <e v="#NAME?"/>
    <e v="#NAME?"/>
    <e v="#NAME?"/>
    <m/>
    <m/>
    <m/>
    <m/>
    <m/>
    <n v="0"/>
  </r>
  <r>
    <s v="C804325"/>
    <s v="Edwin Giovanny Cetina Pinzón."/>
    <x v="3"/>
    <x v="29"/>
    <s v="BBVA"/>
    <e v="#NAME?"/>
    <x v="75"/>
    <n v="0.65"/>
    <x v="0"/>
    <s v="Otras Tec."/>
    <s v="Formación en BPMaaS y COLWSBPE-115 Optimización de proceso de contratación de tarjetas en fábrica (IDP)- Fase I"/>
    <e v="#NAME?"/>
    <e v="#NAME?"/>
    <e v="#NAME?"/>
    <m/>
    <m/>
    <m/>
    <m/>
    <m/>
    <n v="0"/>
  </r>
  <r>
    <s v="O002418"/>
    <s v="Faiber Orlando Camelo Romero"/>
    <x v="3"/>
    <x v="29"/>
    <s v="BBVA"/>
    <e v="#NAME?"/>
    <x v="222"/>
    <n v="0.05"/>
    <x v="0"/>
    <s v="Otras Tec."/>
    <s v="compromiso S1 abril en produccion"/>
    <e v="#NAME?"/>
    <e v="#NAME?"/>
    <e v="#NAME?"/>
    <m/>
    <m/>
    <m/>
    <m/>
    <m/>
    <n v="1"/>
  </r>
  <r>
    <s v="O002418"/>
    <s v="Faiber Orlando Camelo Romero"/>
    <x v="3"/>
    <x v="29"/>
    <s v="BBVA"/>
    <e v="#NAME?"/>
    <x v="219"/>
    <n v="0.2"/>
    <x v="0"/>
    <s v="Otras Tec."/>
    <s v="Diseño de front transversal,  maqueta, formación BPMaaS"/>
    <e v="#NAME?"/>
    <e v="#NAME?"/>
    <e v="#NAME?"/>
    <m/>
    <m/>
    <m/>
    <m/>
    <m/>
    <n v="0"/>
  </r>
  <r>
    <s v="O002418"/>
    <s v="Faiber Orlando Camelo Romero"/>
    <x v="3"/>
    <x v="29"/>
    <s v="BBVA"/>
    <e v="#NAME?"/>
    <x v="75"/>
    <n v="0.75"/>
    <x v="0"/>
    <s v="Otras Tec."/>
    <s v="Formación en Aso y Apx y COLWSBPE-115 Optimización de proceso de contratación de tarjetas en fábrica (IDP)- Fase I"/>
    <e v="#NAME?"/>
    <e v="#NAME?"/>
    <e v="#NAME?"/>
    <m/>
    <m/>
    <m/>
    <m/>
    <m/>
    <n v="0"/>
  </r>
  <r>
    <s v="T007646"/>
    <s v="John Edwin Riascos Castillo"/>
    <x v="3"/>
    <x v="29"/>
    <s v="TRYCORE"/>
    <e v="#NAME?"/>
    <x v="3"/>
    <n v="1"/>
    <x v="0"/>
    <s v="Otras Tec."/>
    <s v="apoyo estabilizacion poduccion equipo operacion"/>
    <e v="#NAME?"/>
    <e v="#NAME?"/>
    <e v="#NAME?"/>
    <m/>
    <m/>
    <m/>
    <m/>
    <m/>
    <n v="1"/>
  </r>
  <r>
    <s v="O002495"/>
    <s v="Juan Daniel Bernal Marin"/>
    <x v="3"/>
    <x v="29"/>
    <s v="BBVA"/>
    <e v="#NAME?"/>
    <x v="3"/>
    <n v="0.9"/>
    <x v="0"/>
    <s v="Otras Tec."/>
    <s v="MN-2091 Reingenieria proceso de CG apoyo a desarrollos"/>
    <e v="#NAME?"/>
    <e v="#NAME?"/>
    <e v="#NAME?"/>
    <m/>
    <m/>
    <m/>
    <m/>
    <m/>
    <n v="1"/>
  </r>
  <r>
    <s v="C801604"/>
    <s v="Jualian Alberto Rodriguez"/>
    <x v="3"/>
    <x v="29"/>
    <s v="BBVA"/>
    <e v="#NAME?"/>
    <x v="3"/>
    <n v="1"/>
    <x v="1"/>
    <s v="Otras Tec."/>
    <s v="Arandas, producción y backlog mantenimientos menores"/>
    <e v="#NAME?"/>
    <e v="#NAME?"/>
    <e v="#NAME?"/>
    <m/>
    <m/>
    <m/>
    <m/>
    <m/>
    <n v="1"/>
  </r>
  <r>
    <s v="O002495"/>
    <s v="Juan Daniel Bernal Marin"/>
    <x v="3"/>
    <x v="29"/>
    <s v="BBVA"/>
    <e v="#NAME?"/>
    <x v="3"/>
    <n v="0.05"/>
    <x v="0"/>
    <s v="Otras Tec."/>
    <s v="Prioridad Alta Bandeja de entrada B7Prioridad Alta Bandeja de entrada B7"/>
    <e v="#NAME?"/>
    <e v="#NAME?"/>
    <e v="#NAME?"/>
    <m/>
    <m/>
    <m/>
    <m/>
    <m/>
    <n v="1"/>
  </r>
  <r>
    <s v="O002495"/>
    <s v="Juan Daniel Bernal Marin"/>
    <x v="3"/>
    <x v="29"/>
    <s v="BBVA"/>
    <e v="#NAME?"/>
    <x v="75"/>
    <n v="0.05"/>
    <x v="0"/>
    <s v="Otras Tec."/>
    <s v="seguimiento post implantación Wizard"/>
    <e v="#NAME?"/>
    <e v="#NAME?"/>
    <e v="#NAME?"/>
    <m/>
    <m/>
    <m/>
    <m/>
    <m/>
    <n v="0"/>
  </r>
  <r>
    <s v="CE55472"/>
    <s v="Kevin Danilo López Clopatofsky"/>
    <x v="3"/>
    <x v="29"/>
    <s v="TRYCORE"/>
    <e v="#NAME?"/>
    <x v="218"/>
    <n v="1"/>
    <x v="0"/>
    <s v="Otras Tec."/>
    <s v="desarrollos F7,8; Postimplantación F5 y6"/>
    <e v="#NAME?"/>
    <e v="#NAME?"/>
    <e v="#NAME?"/>
    <m/>
    <m/>
    <m/>
    <m/>
    <m/>
    <n v="1"/>
  </r>
  <r>
    <s v="CE56948"/>
    <s v="Leandro Augusto Chiguasuque"/>
    <x v="3"/>
    <x v="29"/>
    <s v="TRYCORE"/>
    <e v="#NAME?"/>
    <x v="3"/>
    <n v="1"/>
    <x v="0"/>
    <s v="Otras Tec."/>
    <s v="Arandas, producción y backlog mantenimientos menores"/>
    <e v="#NAME?"/>
    <e v="#NAME?"/>
    <e v="#NAME?"/>
    <m/>
    <m/>
    <m/>
    <m/>
    <m/>
    <n v="1"/>
  </r>
  <r>
    <s v="CE64615"/>
    <s v="Martha Lucia Aguirre"/>
    <x v="3"/>
    <x v="29"/>
    <s v="GGI / CMC"/>
    <e v="#NAME?"/>
    <x v="3"/>
    <n v="0.4"/>
    <x v="2"/>
    <s v="Otras Tec."/>
    <s v="MN-2091 Reingenieria proceso de CG pruebas en desarrollo"/>
    <e v="#NAME?"/>
    <e v="#NAME?"/>
    <e v="#NAME?"/>
    <m/>
    <m/>
    <m/>
    <m/>
    <m/>
    <n v="1"/>
  </r>
  <r>
    <s v="CE64615"/>
    <s v="Martha Lucia Aguirre"/>
    <x v="3"/>
    <x v="29"/>
    <s v="GGI / CMC"/>
    <e v="#NAME?"/>
    <x v="3"/>
    <n v="0.1"/>
    <x v="2"/>
    <s v="Otras Tec."/>
    <s v="CAP Pymes GD, Bonita 7 y Bonita 5 "/>
    <e v="#NAME?"/>
    <e v="#NAME?"/>
    <e v="#NAME?"/>
    <m/>
    <m/>
    <m/>
    <m/>
    <m/>
    <n v="0"/>
  </r>
  <r>
    <s v="CE64615"/>
    <s v="Martha Lucia Aguirre"/>
    <x v="3"/>
    <x v="29"/>
    <s v="GGI / CMC"/>
    <e v="#NAME?"/>
    <x v="222"/>
    <n v="0.5"/>
    <x v="2"/>
    <s v="Otras Tec."/>
    <s v="pruebas unitarias en desarrollo"/>
    <e v="#NAME?"/>
    <e v="#NAME?"/>
    <e v="#NAME?"/>
    <m/>
    <m/>
    <m/>
    <m/>
    <m/>
    <n v="0"/>
  </r>
  <r>
    <s v="C341738"/>
    <s v="Jose Mauricio Peña"/>
    <x v="3"/>
    <x v="29"/>
    <s v="BBVA"/>
    <e v="#NAME?"/>
    <x v="222"/>
    <n v="0.1"/>
    <x v="0"/>
    <s v="Otras Tec."/>
    <s v="compromiso S1 abril en produccion"/>
    <e v="#NAME?"/>
    <e v="#NAME?"/>
    <e v="#NAME?"/>
    <m/>
    <m/>
    <m/>
    <m/>
    <m/>
    <n v="1"/>
  </r>
  <r>
    <s v="C341738"/>
    <s v="Jose Mauricio Peña"/>
    <x v="3"/>
    <x v="29"/>
    <s v="BBVA"/>
    <e v="#NAME?"/>
    <x v="3"/>
    <n v="0.9"/>
    <x v="0"/>
    <s v="Otras Tec."/>
    <s v="Apoyo estabilizacion  purga casos activos,"/>
    <e v="#NAME?"/>
    <e v="#NAME?"/>
    <e v="#NAME?"/>
    <m/>
    <m/>
    <m/>
    <m/>
    <m/>
    <n v="0"/>
  </r>
  <r>
    <s v="C805239"/>
    <s v="Paola Marcela Moreno Sanabria"/>
    <x v="3"/>
    <x v="29"/>
    <s v="BBVA"/>
    <e v="#NAME?"/>
    <x v="75"/>
    <n v="0.75"/>
    <x v="0"/>
    <s v="Otras Tec."/>
    <s v="Formación en BPMaaS y COLWSBPE-115 Optimización de proceso de contratación de tarjetas en fábrica (IDP)- Fase I"/>
    <e v="#NAME?"/>
    <e v="#NAME?"/>
    <e v="#NAME?"/>
    <m/>
    <m/>
    <m/>
    <m/>
    <m/>
    <n v="1"/>
  </r>
  <r>
    <s v="C805239"/>
    <s v="Paola Marcela Moreno Sanabria"/>
    <x v="3"/>
    <x v="29"/>
    <s v="BBVA"/>
    <e v="#NAME?"/>
    <x v="3"/>
    <n v="0.25"/>
    <x v="0"/>
    <s v="Otras Tec."/>
    <s v="MN-2091 Reingenieria proceso de CG desarrollos S2 Junio entrega"/>
    <e v="#NAME?"/>
    <e v="#NAME?"/>
    <e v="#NAME?"/>
    <m/>
    <m/>
    <m/>
    <m/>
    <m/>
    <n v="0"/>
  </r>
  <r>
    <s v="C811371"/>
    <s v="Wilson Daniel Bulla Martinez"/>
    <x v="3"/>
    <x v="29"/>
    <s v="BBVA"/>
    <e v="#NAME?"/>
    <x v="3"/>
    <n v="1"/>
    <x v="0"/>
    <s v="Otras Tec."/>
    <s v="Arandas, producción y backlog mantenimientos menores"/>
    <e v="#NAME?"/>
    <e v="#NAME?"/>
    <e v="#NAME?"/>
    <m/>
    <m/>
    <m/>
    <m/>
    <m/>
    <n v="1"/>
  </r>
  <r>
    <s v="C811159"/>
    <s v="ALEX FERNEY MARTINEZ SERPA"/>
    <x v="3"/>
    <x v="30"/>
    <s v="BBVA"/>
    <e v="#NAME?"/>
    <x v="3"/>
    <n v="0.2"/>
    <x v="0"/>
    <s v="Distribuido"/>
    <s v="Soporte Aplicativo "/>
    <e v="#NAME?"/>
    <e v="#NAME?"/>
    <e v="#NAME?"/>
    <m/>
    <m/>
    <m/>
    <m/>
    <m/>
    <n v="1"/>
  </r>
  <r>
    <s v="C811159"/>
    <s v="ALEX FERNEY MARTINEZ SERPA"/>
    <x v="3"/>
    <x v="30"/>
    <s v="BBVA"/>
    <e v="#NAME?"/>
    <x v="75"/>
    <n v="0.5"/>
    <x v="0"/>
    <s v="Distribuido"/>
    <s v="Evolutivo de mejoras a Ux, a partir de 16 febrero post-implantación "/>
    <e v="#NAME?"/>
    <e v="#NAME?"/>
    <e v="#NAME?"/>
    <m/>
    <m/>
    <m/>
    <m/>
    <m/>
    <n v="0"/>
  </r>
  <r>
    <s v="C811159"/>
    <s v="ALEX FERNEY MARTINEZ SERPA"/>
    <x v="3"/>
    <x v="30"/>
    <s v="BBVA"/>
    <e v="#NAME?"/>
    <x v="86"/>
    <n v="0.3"/>
    <x v="0"/>
    <s v="Distribuido"/>
    <m/>
    <e v="#NAME?"/>
    <e v="#NAME?"/>
    <e v="#NAME?"/>
    <m/>
    <m/>
    <m/>
    <m/>
    <m/>
    <n v="0"/>
  </r>
  <r>
    <s v="O001036_x000a_"/>
    <s v="ANGEL JAVIER BADEL GASCA"/>
    <x v="3"/>
    <x v="30"/>
    <s v="BBVA"/>
    <e v="#NAME?"/>
    <x v="218"/>
    <n v="0.2"/>
    <x v="0"/>
    <s v="Distribuido"/>
    <s v="Desarrollo a  EMC8"/>
    <e v="#NAME?"/>
    <e v="#NAME?"/>
    <e v="#NAME?"/>
    <m/>
    <m/>
    <m/>
    <m/>
    <m/>
    <n v="1"/>
  </r>
  <r>
    <s v="O001036_x000a_"/>
    <s v="ANGEL JAVIER BADEL GASCA"/>
    <x v="3"/>
    <x v="30"/>
    <s v="BBVA"/>
    <e v="#NAME?"/>
    <x v="3"/>
    <n v="0.8"/>
    <x v="0"/>
    <s v="Distribuido"/>
    <s v="Soporte Aplicativo , versionardor CAP"/>
    <e v="#NAME?"/>
    <e v="#NAME?"/>
    <e v="#NAME?"/>
    <m/>
    <m/>
    <m/>
    <m/>
    <m/>
    <n v="0"/>
  </r>
  <r>
    <s v="C805866"/>
    <s v="CARLOS ENRIQUE FAJARDO FAJARDO "/>
    <x v="3"/>
    <x v="30"/>
    <s v="BBVA"/>
    <e v="#NAME?"/>
    <x v="223"/>
    <n v="0.9"/>
    <x v="1"/>
    <s v="Otras Tec."/>
    <s v="Liderazgo  proyecto oferta proactiva D+0 "/>
    <e v="#NAME?"/>
    <e v="#NAME?"/>
    <e v="#NAME?"/>
    <m/>
    <m/>
    <m/>
    <m/>
    <m/>
    <n v="1"/>
  </r>
  <r>
    <s v="C805866"/>
    <s v="CARLOS ENRIQUE FAJARDO FAJARDO "/>
    <x v="3"/>
    <x v="30"/>
    <s v="BBVA"/>
    <e v="#NAME?"/>
    <x v="3"/>
    <n v="0.1"/>
    <x v="1"/>
    <s v="Otras Tec."/>
    <s v="Soporte Aplicativo"/>
    <e v="#NAME?"/>
    <e v="#NAME?"/>
    <e v="#NAME?"/>
    <m/>
    <m/>
    <m/>
    <m/>
    <m/>
    <n v="0"/>
  </r>
  <r>
    <s v="C810754_x000a_"/>
    <s v="DEIVIS JAVIER MIRANDA RAMOS "/>
    <x v="3"/>
    <x v="30"/>
    <s v="BBVA"/>
    <e v="#NAME?"/>
    <x v="223"/>
    <n v="1"/>
    <x v="0"/>
    <s v="Distribuido"/>
    <s v="Análisis, diseño y desarrollo CAP Proyecto Oferta D+0"/>
    <e v="#NAME?"/>
    <e v="#NAME?"/>
    <e v="#NAME?"/>
    <m/>
    <m/>
    <m/>
    <m/>
    <m/>
    <n v="1"/>
  </r>
  <r>
    <s v="CE69111"/>
    <s v="EDNA YURANI GIL"/>
    <x v="3"/>
    <x v="30"/>
    <s v="Choucair"/>
    <e v="#NAME?"/>
    <x v="224"/>
    <n v="0.2"/>
    <x v="2"/>
    <s v="Otras Tec."/>
    <s v="Analálisis, diseño y pruebas a mejoras CAP "/>
    <e v="#NAME?"/>
    <e v="#NAME?"/>
    <e v="#NAME?"/>
    <m/>
    <m/>
    <m/>
    <m/>
    <m/>
    <n v="1"/>
  </r>
  <r>
    <s v="CE69111"/>
    <s v="EDNA YURANI GIL"/>
    <x v="3"/>
    <x v="30"/>
    <s v="Choucair"/>
    <e v="#NAME?"/>
    <x v="124"/>
    <n v="0.3"/>
    <x v="2"/>
    <s v="Otras Tec."/>
    <m/>
    <e v="#NAME?"/>
    <e v="#NAME?"/>
    <e v="#NAME?"/>
    <m/>
    <m/>
    <m/>
    <m/>
    <m/>
    <n v="0"/>
  </r>
  <r>
    <s v="CE69111"/>
    <s v="EDNA YURANI GIL"/>
    <x v="3"/>
    <x v="30"/>
    <s v="Choucair"/>
    <e v="#NAME?"/>
    <x v="86"/>
    <n v="0.5"/>
    <x v="2"/>
    <s v="Otras Tec."/>
    <m/>
    <e v="#NAME?"/>
    <e v="#NAME?"/>
    <e v="#NAME?"/>
    <m/>
    <m/>
    <m/>
    <m/>
    <m/>
    <n v="0"/>
  </r>
  <r>
    <s v="O002373_x000a_"/>
    <s v="ESTEBAN ARIAS CARACAS "/>
    <x v="3"/>
    <x v="30"/>
    <s v="BBVA"/>
    <e v="#NAME?"/>
    <x v="215"/>
    <n v="1"/>
    <x v="0"/>
    <s v="APX"/>
    <s v="Desarrollador dedicado a la tecnología APX, y para el 1Q realizará actividades de análisis, diseño e implementación de la iniciativa."/>
    <e v="#NAME?"/>
    <e v="#NAME?"/>
    <e v="#NAME?"/>
    <m/>
    <m/>
    <m/>
    <m/>
    <m/>
    <n v="1"/>
  </r>
  <r>
    <s v="C604380"/>
    <s v="JAVIER FRANCISCO OSPINA RAMIREZ"/>
    <x v="3"/>
    <x v="30"/>
    <s v="BBVA"/>
    <e v="#NAME?"/>
    <x v="224"/>
    <n v="1"/>
    <x v="2"/>
    <s v="Otras Tec."/>
    <s v="Pruebas a mejoras CAP retail y pruebas a roda la no afectación CAP"/>
    <e v="#NAME?"/>
    <e v="#NAME?"/>
    <e v="#NAME?"/>
    <m/>
    <m/>
    <m/>
    <m/>
    <m/>
    <n v="1"/>
  </r>
  <r>
    <s v="T003428_x000a_"/>
    <s v="JUAN PABLO MORA "/>
    <x v="3"/>
    <x v="30"/>
    <s v="Choucair"/>
    <e v="#NAME?"/>
    <x v="218"/>
    <n v="1"/>
    <x v="2"/>
    <s v="Otras Tec."/>
    <s v="Analálisis, diseño y pruebas a mejoras CAP "/>
    <e v="#NAME?"/>
    <e v="#NAME?"/>
    <e v="#NAME?"/>
    <m/>
    <m/>
    <m/>
    <m/>
    <m/>
    <n v="1"/>
  </r>
  <r>
    <s v="T007157"/>
    <s v="JUAN SEBASTIAN BUSTOS"/>
    <x v="3"/>
    <x v="30"/>
    <s v="Choucair"/>
    <e v="#NAME?"/>
    <x v="223"/>
    <n v="1"/>
    <x v="0"/>
    <s v="Distribuido"/>
    <s v="Análisis, diseño y desarrollo CAP Proyecto Oferta D+0"/>
    <e v="#NAME?"/>
    <e v="#NAME?"/>
    <e v="#NAME?"/>
    <m/>
    <m/>
    <m/>
    <m/>
    <m/>
    <n v="1"/>
  </r>
  <r>
    <s v="C810787"/>
    <s v="JUAN SEBASTÍAN RODRIGUEZ TOVAR"/>
    <x v="3"/>
    <x v="30"/>
    <s v="BBVA"/>
    <e v="#NAME?"/>
    <x v="224"/>
    <n v="0.6"/>
    <x v="0"/>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n v="1"/>
  </r>
  <r>
    <s v="C810787"/>
    <s v="JUAN SEBASTÍAN RODRIGUEZ TOVAR"/>
    <x v="3"/>
    <x v="30"/>
    <s v="BBVA"/>
    <e v="#NAME?"/>
    <x v="124"/>
    <n v="0.2"/>
    <x v="0"/>
    <s v="Distribuido"/>
    <s v="-Seguimiento a contratación de SW cuota segura con Meraki, aprobación diseño técnico, sanción técnica de software y acompañamiento en calidad para la certificación"/>
    <e v="#NAME?"/>
    <e v="#NAME?"/>
    <e v="#NAME?"/>
    <m/>
    <m/>
    <m/>
    <m/>
    <m/>
    <n v="0"/>
  </r>
  <r>
    <s v="C810787"/>
    <s v="JUAN SEBASTÍAN RODRIGUEZ TOVAR"/>
    <x v="3"/>
    <x v="30"/>
    <s v="BBVA"/>
    <e v="#NAME?"/>
    <x v="3"/>
    <n v="0.2"/>
    <x v="0"/>
    <s v="Distribuido"/>
    <s v="Soporte Aplicativo "/>
    <e v="#NAME?"/>
    <e v="#NAME?"/>
    <e v="#NAME?"/>
    <m/>
    <m/>
    <m/>
    <m/>
    <m/>
    <n v="0"/>
  </r>
  <r>
    <s v="CE70176"/>
    <s v="JULIANA BALCERO "/>
    <x v="3"/>
    <x v="30"/>
    <s v="Choucair"/>
    <e v="#NAME?"/>
    <x v="223"/>
    <n v="1"/>
    <x v="2"/>
    <s v="Otras Tec."/>
    <s v="Análisis, diseño y pruebas CAP Proyecto Oferta D+0"/>
    <e v="#NAME?"/>
    <e v="#NAME?"/>
    <e v="#NAME?"/>
    <m/>
    <m/>
    <m/>
    <m/>
    <m/>
    <n v="1"/>
  </r>
  <r>
    <s v="T007470"/>
    <s v="KAREN ANGELICA ANDRADE"/>
    <x v="3"/>
    <x v="30"/>
    <s v="Inetum"/>
    <e v="#NAME?"/>
    <x v="3"/>
    <n v="1"/>
    <x v="3"/>
    <s v="Otras Tec."/>
    <s v="Soporte Aranda, apoyo administrativo "/>
    <e v="#NAME?"/>
    <e v="#NAME?"/>
    <e v="#NAME?"/>
    <m/>
    <m/>
    <m/>
    <m/>
    <m/>
    <n v="1"/>
  </r>
  <r>
    <s v="C809512"/>
    <s v="MARTHA BEATRIZ GALLEGO MARIN "/>
    <x v="3"/>
    <x v="30"/>
    <s v="BBVA"/>
    <e v="#NAME?"/>
    <x v="215"/>
    <n v="0.8"/>
    <x v="1"/>
    <s v="APX"/>
    <s v="Análisis, Diseño y Seguimiento Construcción Proyecto"/>
    <e v="#NAME?"/>
    <e v="#NAME?"/>
    <e v="#NAME?"/>
    <m/>
    <m/>
    <m/>
    <m/>
    <m/>
    <n v="1"/>
  </r>
  <r>
    <s v="C809512"/>
    <s v="MARTHA BEATRIZ GALLEGO MARIN "/>
    <x v="3"/>
    <x v="30"/>
    <s v="BBVA"/>
    <e v="#NAME?"/>
    <x v="225"/>
    <n v="0.2"/>
    <x v="1"/>
    <s v="APX"/>
    <s v="Análisis , Diseño, Pruebas e implemenación."/>
    <e v="#NAME?"/>
    <e v="#NAME?"/>
    <e v="#NAME?"/>
    <m/>
    <m/>
    <m/>
    <m/>
    <m/>
    <n v="0"/>
  </r>
  <r>
    <s v="C810957"/>
    <s v="MATEO ECHEVERRY PELAEZ"/>
    <x v="3"/>
    <x v="30"/>
    <s v="BBVA"/>
    <e v="#NAME?"/>
    <x v="223"/>
    <n v="1"/>
    <x v="0"/>
    <s v="Distribuido"/>
    <s v="Análisis, diseño y desarrollo CAP Proyecto Oferta D+0"/>
    <e v="#NAME?"/>
    <e v="#NAME?"/>
    <e v="#NAME?"/>
    <m/>
    <m/>
    <m/>
    <m/>
    <m/>
    <n v="1"/>
  </r>
  <r>
    <s v="O003458"/>
    <s v="MOISES ABRAHAM LUNA MOJICA"/>
    <x v="3"/>
    <x v="30"/>
    <s v="BBVA"/>
    <e v="#NAME?"/>
    <x v="215"/>
    <n v="1"/>
    <x v="0"/>
    <s v="ASO"/>
    <s v="Desarrollador dedicado a la tecnología ASO, y para el 1Q realizará actividades de análisis, diseño e implementación de la iniciativa."/>
    <e v="#NAME?"/>
    <e v="#NAME?"/>
    <e v="#NAME?"/>
    <m/>
    <m/>
    <m/>
    <m/>
    <m/>
    <n v="1"/>
  </r>
  <r>
    <s v="O000471"/>
    <s v="RONAL ALBERTO TABORDA MORENO "/>
    <x v="3"/>
    <x v="30"/>
    <s v="BBVA"/>
    <e v="#NAME?"/>
    <x v="215"/>
    <n v="1"/>
    <x v="0"/>
    <s v="Distribuido"/>
    <s v="Desarrollador dedicado a la tecnología APX, y para el 1Q realizará actividades de análisis, diseño e implementación de la iniciativa."/>
    <e v="#NAME?"/>
    <e v="#NAME?"/>
    <e v="#NAME?"/>
    <m/>
    <m/>
    <m/>
    <m/>
    <m/>
    <n v="1"/>
  </r>
  <r>
    <s v="CE51433"/>
    <s v="SERGIO OSWALDO ROJAS BERNAL  "/>
    <x v="3"/>
    <x v="30"/>
    <s v="Choucair"/>
    <e v="#NAME?"/>
    <x v="223"/>
    <n v="1"/>
    <x v="0"/>
    <s v="Mainframe"/>
    <s v="Análisis, diseño y desarrollo CAP Proyecto Oferta D+0"/>
    <e v="#NAME?"/>
    <e v="#NAME?"/>
    <e v="#NAME?"/>
    <m/>
    <m/>
    <m/>
    <m/>
    <m/>
    <n v="1"/>
  </r>
  <r>
    <s v="C342041"/>
    <s v="YANETH MORENO AGUILAR"/>
    <x v="1"/>
    <x v="16"/>
    <s v="BBVA"/>
    <e v="#NAME?"/>
    <x v="3"/>
    <n v="0.25"/>
    <x v="2"/>
    <s v="Distribuido"/>
    <m/>
    <e v="#NAME?"/>
    <e v="#NAME?"/>
    <e v="#NAME?"/>
    <m/>
    <m/>
    <m/>
    <m/>
    <m/>
    <m/>
  </r>
  <r>
    <s v="C342041"/>
    <s v="YANETH MORENO AGUILAR"/>
    <x v="1"/>
    <x v="1"/>
    <s v="BBVA"/>
    <e v="#NAME?"/>
    <x v="3"/>
    <n v="0.25"/>
    <x v="2"/>
    <s v="Distribuido"/>
    <m/>
    <e v="#NAME?"/>
    <e v="#NAME?"/>
    <e v="#NAME?"/>
    <m/>
    <m/>
    <m/>
    <m/>
    <m/>
    <m/>
  </r>
  <r>
    <s v="C342041"/>
    <s v="YANETH MORENO AGUILAR"/>
    <x v="1"/>
    <x v="12"/>
    <s v="BBVA"/>
    <e v="#NAME?"/>
    <x v="3"/>
    <n v="0.25"/>
    <x v="2"/>
    <s v="Distribuido"/>
    <m/>
    <e v="#NAME?"/>
    <e v="#NAME?"/>
    <e v="#NAME?"/>
    <m/>
    <m/>
    <m/>
    <m/>
    <m/>
    <m/>
  </r>
  <r>
    <s v="C342041"/>
    <s v="YANETH MORENO AGUILAR"/>
    <x v="1"/>
    <x v="18"/>
    <s v="BBVA"/>
    <e v="#NAME?"/>
    <x v="3"/>
    <n v="0.25"/>
    <x v="2"/>
    <s v="Distribuido"/>
    <m/>
    <e v="#NAME?"/>
    <e v="#NAME?"/>
    <e v="#NAME?"/>
    <m/>
    <m/>
    <m/>
    <m/>
    <m/>
    <m/>
  </r>
  <r>
    <s v="CE69277"/>
    <s v="JULIAN I BECERRA BAUTISTA"/>
    <x v="1"/>
    <x v="16"/>
    <s v="GGI / CMC"/>
    <e v="#NAME?"/>
    <x v="3"/>
    <n v="0.5"/>
    <x v="3"/>
    <s v="Distribuido"/>
    <m/>
    <e v="#NAME?"/>
    <e v="#NAME?"/>
    <e v="#NAME?"/>
    <m/>
    <m/>
    <m/>
    <m/>
    <m/>
    <m/>
  </r>
  <r>
    <s v="CE69277"/>
    <s v="JULIAN I BECERRA BAUTISTA"/>
    <x v="1"/>
    <x v="1"/>
    <s v="GGI / CMC"/>
    <e v="#NAME?"/>
    <x v="3"/>
    <n v="0.5"/>
    <x v="3"/>
    <s v="Distribuido"/>
    <m/>
    <e v="#NAME?"/>
    <e v="#NAME?"/>
    <e v="#NAME?"/>
    <m/>
    <m/>
    <m/>
    <m/>
    <m/>
    <m/>
  </r>
  <r>
    <s v="C811308"/>
    <s v="JOSMAN ALEXANDER KOOP SANTA"/>
    <x v="0"/>
    <x v="10"/>
    <s v="BBVA"/>
    <e v="#NAME?"/>
    <x v="226"/>
    <n v="0.25"/>
    <x v="1"/>
    <s v="Cells"/>
    <m/>
    <e v="#NAME?"/>
    <e v="#NAME?"/>
    <e v="#NAME?"/>
    <m/>
    <m/>
    <m/>
    <m/>
    <m/>
    <m/>
  </r>
  <r>
    <s v="C811308"/>
    <s v="JOSMAN ALEXANDER KOOP SANTA"/>
    <x v="0"/>
    <x v="10"/>
    <s v="BBVA"/>
    <e v="#NAME?"/>
    <x v="88"/>
    <n v="0.25"/>
    <x v="1"/>
    <s v="Cells"/>
    <m/>
    <e v="#NAME?"/>
    <e v="#NAME?"/>
    <e v="#NAME?"/>
    <m/>
    <m/>
    <m/>
    <m/>
    <m/>
    <m/>
  </r>
  <r>
    <s v="C811308"/>
    <s v="JOSMAN ALEXANDER KOOP SANTA"/>
    <x v="0"/>
    <x v="10"/>
    <s v="BBVA"/>
    <e v="#NAME?"/>
    <x v="90"/>
    <n v="0.25"/>
    <x v="1"/>
    <s v="Cells"/>
    <m/>
    <e v="#NAME?"/>
    <e v="#NAME?"/>
    <e v="#NAME?"/>
    <m/>
    <m/>
    <m/>
    <m/>
    <m/>
    <m/>
  </r>
  <r>
    <s v="C811308"/>
    <s v="JOSMAN ALEXANDER KOOP SANTA"/>
    <x v="0"/>
    <x v="10"/>
    <s v="BBVA"/>
    <e v="#NAME?"/>
    <x v="3"/>
    <n v="0.25"/>
    <x v="1"/>
    <s v="Cells"/>
    <m/>
    <e v="#NAME?"/>
    <e v="#NAME?"/>
    <e v="#NAME?"/>
    <m/>
    <m/>
    <m/>
    <m/>
    <m/>
    <m/>
  </r>
  <r>
    <s v="C342040"/>
    <s v="ANDRES FERMIN PITRE JIMENEZ"/>
    <x v="0"/>
    <x v="3"/>
    <s v="BBVA"/>
    <e v="#NAME?"/>
    <x v="93"/>
    <n v="1"/>
    <x v="1"/>
    <s v="Distribuido"/>
    <m/>
    <e v="#NAME?"/>
    <e v="#NAME?"/>
    <e v="#NAME?"/>
    <m/>
    <m/>
    <m/>
    <m/>
    <m/>
    <m/>
  </r>
  <r>
    <s v="C804047"/>
    <s v="OSCAR EDILBERTO MESA TRUJILLO"/>
    <x v="0"/>
    <x v="3"/>
    <s v="BBVA"/>
    <e v="#NAME?"/>
    <x v="22"/>
    <n v="1"/>
    <x v="1"/>
    <s v="Mainframe"/>
    <m/>
    <e v="#NAME?"/>
    <e v="#NAME?"/>
    <e v="#NAME?"/>
    <m/>
    <m/>
    <m/>
    <m/>
    <m/>
    <m/>
  </r>
  <r>
    <s v="C811356"/>
    <s v="JEFFERSON CAMILO ROZO CASTILLO"/>
    <x v="0"/>
    <x v="10"/>
    <s v="BBVA"/>
    <e v="#NAME?"/>
    <x v="90"/>
    <n v="1"/>
    <x v="1"/>
    <s v="Distribuido"/>
    <m/>
    <e v="#NAME?"/>
    <e v="#NAME?"/>
    <e v="#NAME?"/>
    <m/>
    <m/>
    <m/>
    <m/>
    <m/>
    <m/>
  </r>
  <r>
    <s v="CE40475"/>
    <s v="NELSON FERRUCHO"/>
    <x v="5"/>
    <x v="21"/>
    <s v="SII"/>
    <e v="#NAME?"/>
    <x v="3"/>
    <n v="0.5"/>
    <x v="0"/>
    <s v="Mainframe"/>
    <m/>
    <e v="#NAME?"/>
    <e v="#NAME?"/>
    <e v="#NAME?"/>
    <m/>
    <m/>
    <m/>
    <m/>
    <m/>
    <m/>
  </r>
  <r>
    <s v="C811397"/>
    <s v="CRISTHIAN CAMILO FIGUEROA ENRIQUEZ"/>
    <x v="0"/>
    <x v="3"/>
    <s v="BBVA"/>
    <e v="#NAME?"/>
    <x v="93"/>
    <n v="1"/>
    <x v="0"/>
    <s v="ASO"/>
    <m/>
    <e v="#NAME?"/>
    <e v="#NAME?"/>
    <e v="#NAME?"/>
    <m/>
    <m/>
    <m/>
    <m/>
    <m/>
    <m/>
  </r>
  <r>
    <s v="C805187"/>
    <s v="DIEGO ALEJANDRO QUINTERO VARGAS"/>
    <x v="0"/>
    <x v="3"/>
    <s v="BBVA"/>
    <e v="#NAME?"/>
    <x v="22"/>
    <n v="1"/>
    <x v="0"/>
    <s v="APX"/>
    <m/>
    <e v="#NAME?"/>
    <e v="#NAME?"/>
    <e v="#NAME?"/>
    <m/>
    <m/>
    <m/>
    <m/>
    <m/>
    <m/>
  </r>
  <r>
    <s v="CE67846"/>
    <s v="EDSON DANIEL SUAREZ HERNANDEZ"/>
    <x v="0"/>
    <x v="3"/>
    <s v="Accenture"/>
    <e v="#NAME?"/>
    <x v="22"/>
    <n v="1"/>
    <x v="2"/>
    <s v="Distribuido"/>
    <m/>
    <e v="#NAME?"/>
    <e v="#NAME?"/>
    <e v="#NAME?"/>
    <m/>
    <m/>
    <m/>
    <m/>
    <m/>
    <m/>
  </r>
  <r>
    <s v="O003991"/>
    <s v="CRISTHIAN CAMILO TORRES CASTRO"/>
    <x v="3"/>
    <x v="27"/>
    <s v="BBVA"/>
    <e v="#NAME?"/>
    <x v="3"/>
    <n v="0.3"/>
    <x v="0"/>
    <s v="APX"/>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4">
  <r>
    <s v="C804055"/>
    <s v="QUIROGA VASQUEZ YOAN LEONARDO"/>
    <x v="0"/>
    <x v="0"/>
    <s v="BBVA"/>
    <e v="#NAME?"/>
    <x v="0"/>
    <n v="0.05"/>
    <s v="Desarrollador"/>
    <s v="Distribuido"/>
    <m/>
    <e v="#NAME?"/>
    <e v="#NAME?"/>
    <e v="#NAME?"/>
    <m/>
    <m/>
    <m/>
    <m/>
    <m/>
  </r>
  <r>
    <s v="C804055"/>
    <s v="QUIROGA VASQUEZ YOAN LEONARDO"/>
    <x v="0"/>
    <x v="0"/>
    <s v="BBVA"/>
    <e v="#NAME?"/>
    <x v="1"/>
    <n v="0.05"/>
    <s v="Desarrollador"/>
    <s v="Distribuido"/>
    <m/>
    <e v="#NAME?"/>
    <e v="#NAME?"/>
    <e v="#NAME?"/>
    <m/>
    <m/>
    <m/>
    <m/>
    <m/>
  </r>
  <r>
    <s v="C804055"/>
    <s v="QUIROGA VASQUEZ YOAN LEONARDO"/>
    <x v="0"/>
    <x v="0"/>
    <s v="BBVA"/>
    <e v="#NAME?"/>
    <x v="2"/>
    <n v="0.05"/>
    <s v="Desarrollador"/>
    <s v="Distribuido"/>
    <m/>
    <e v="#NAME?"/>
    <e v="#NAME?"/>
    <e v="#NAME?"/>
    <m/>
    <m/>
    <m/>
    <m/>
    <m/>
  </r>
  <r>
    <s v="C804055"/>
    <s v="QUIROGA VASQUEZ YOAN LEONARDO"/>
    <x v="0"/>
    <x v="0"/>
    <s v="BBVA"/>
    <e v="#NAME?"/>
    <x v="3"/>
    <n v="0.05"/>
    <s v="Desarrollador"/>
    <s v="Distribuido"/>
    <m/>
    <e v="#NAME?"/>
    <e v="#NAME?"/>
    <e v="#NAME?"/>
    <m/>
    <m/>
    <m/>
    <m/>
    <m/>
  </r>
  <r>
    <s v="C804055"/>
    <s v="QUIROGA VASQUEZ YOAN LEONARDO"/>
    <x v="0"/>
    <x v="0"/>
    <s v="BBVA"/>
    <e v="#NAME?"/>
    <x v="4"/>
    <n v="0.05"/>
    <s v="Desarrollador"/>
    <s v="Distribuido"/>
    <m/>
    <e v="#NAME?"/>
    <e v="#NAME?"/>
    <e v="#NAME?"/>
    <m/>
    <m/>
    <m/>
    <m/>
    <m/>
  </r>
  <r>
    <s v="C804055"/>
    <s v="QUIROGA VASQUEZ YOAN LEONARDO"/>
    <x v="0"/>
    <x v="0"/>
    <s v="BBVA"/>
    <e v="#NAME?"/>
    <x v="5"/>
    <n v="0.6"/>
    <s v="Desarrollador"/>
    <s v="Distribuido"/>
    <m/>
    <e v="#NAME?"/>
    <e v="#NAME?"/>
    <e v="#NAME?"/>
    <m/>
    <m/>
    <m/>
    <m/>
    <m/>
  </r>
  <r>
    <s v="C804055"/>
    <s v="QUIROGA VASQUEZ YOAN LEONARDO"/>
    <x v="0"/>
    <x v="0"/>
    <s v="BBVA"/>
    <e v="#NAME?"/>
    <x v="6"/>
    <n v="0.1"/>
    <s v="Desarrollador"/>
    <s v="Distribuido"/>
    <m/>
    <e v="#NAME?"/>
    <e v="#NAME?"/>
    <e v="#NAME?"/>
    <m/>
    <m/>
    <m/>
    <m/>
    <m/>
  </r>
  <r>
    <s v="C804055"/>
    <s v="QUIROGA VASQUEZ YOAN LEONARDO"/>
    <x v="0"/>
    <x v="0"/>
    <s v="BBVA"/>
    <e v="#NAME?"/>
    <x v="7"/>
    <n v="0.05"/>
    <s v="Desarrollador"/>
    <s v="Distribuido"/>
    <m/>
    <e v="#NAME?"/>
    <e v="#NAME?"/>
    <e v="#NAME?"/>
    <m/>
    <m/>
    <m/>
    <m/>
    <m/>
  </r>
  <r>
    <s v="C342600"/>
    <s v="DIANA PATRICIA BARRANTES PEREZ"/>
    <x v="0"/>
    <x v="0"/>
    <s v="BBVA"/>
    <e v="#NAME?"/>
    <x v="1"/>
    <n v="0.15"/>
    <s v="Tech Manager/Líder"/>
    <s v="Distribuido"/>
    <m/>
    <e v="#NAME?"/>
    <e v="#NAME?"/>
    <e v="#NAME?"/>
    <m/>
    <m/>
    <m/>
    <m/>
    <m/>
  </r>
  <r>
    <s v="C342600"/>
    <s v="DIANA PATRICIA BARRANTES PEREZ"/>
    <x v="0"/>
    <x v="0"/>
    <s v="BBVA"/>
    <e v="#NAME?"/>
    <x v="2"/>
    <n v="0.1"/>
    <s v="Tech Manager/Líder"/>
    <s v="Distribuido"/>
    <m/>
    <e v="#NAME?"/>
    <e v="#NAME?"/>
    <e v="#NAME?"/>
    <m/>
    <m/>
    <m/>
    <m/>
    <m/>
  </r>
  <r>
    <s v="C342600"/>
    <s v="DIANA PATRICIA BARRANTES PEREZ"/>
    <x v="0"/>
    <x v="0"/>
    <s v="BBVA"/>
    <e v="#NAME?"/>
    <x v="8"/>
    <n v="0.2"/>
    <s v="Tech Manager/Líder"/>
    <s v="Distribuido"/>
    <m/>
    <e v="#NAME?"/>
    <e v="#NAME?"/>
    <e v="#NAME?"/>
    <m/>
    <m/>
    <m/>
    <m/>
    <m/>
  </r>
  <r>
    <s v="C342600"/>
    <s v="DIANA PATRICIA BARRANTES PEREZ"/>
    <x v="0"/>
    <x v="0"/>
    <s v="BBVA"/>
    <e v="#NAME?"/>
    <x v="4"/>
    <n v="0.15"/>
    <s v="Tech Manager/Líder"/>
    <s v="Distribuido"/>
    <m/>
    <e v="#NAME?"/>
    <e v="#NAME?"/>
    <e v="#NAME?"/>
    <m/>
    <m/>
    <m/>
    <m/>
    <m/>
  </r>
  <r>
    <s v="C342600"/>
    <s v="DIANA PATRICIA BARRANTES PEREZ"/>
    <x v="0"/>
    <x v="0"/>
    <s v="BBVA"/>
    <e v="#NAME?"/>
    <x v="5"/>
    <n v="0.2"/>
    <s v="Tech Manager/Líder"/>
    <s v="Distribuido"/>
    <m/>
    <e v="#NAME?"/>
    <e v="#NAME?"/>
    <e v="#NAME?"/>
    <m/>
    <m/>
    <m/>
    <m/>
    <m/>
  </r>
  <r>
    <s v="C342600"/>
    <s v="DIANA PATRICIA BARRANTES PEREZ"/>
    <x v="0"/>
    <x v="0"/>
    <s v="BBVA"/>
    <e v="#NAME?"/>
    <x v="6"/>
    <n v="0.1"/>
    <s v="Tech Manager/Líder"/>
    <s v="Distribuido"/>
    <m/>
    <e v="#NAME?"/>
    <e v="#NAME?"/>
    <e v="#NAME?"/>
    <m/>
    <m/>
    <m/>
    <m/>
    <m/>
  </r>
  <r>
    <s v="C342600"/>
    <s v="DIANA PATRICIA BARRANTES PEREZ"/>
    <x v="0"/>
    <x v="0"/>
    <s v="BBVA"/>
    <e v="#NAME?"/>
    <x v="7"/>
    <n v="0.1"/>
    <s v="Tech Manager/Líder"/>
    <s v="Distribuido"/>
    <m/>
    <e v="#NAME?"/>
    <e v="#NAME?"/>
    <e v="#NAME?"/>
    <m/>
    <m/>
    <m/>
    <m/>
    <m/>
  </r>
  <r>
    <s v="C808267"/>
    <s v="GUAQUETA ROMERO DEISY YOLIMA"/>
    <x v="0"/>
    <x v="0"/>
    <s v="BBVA"/>
    <e v="#NAME?"/>
    <x v="4"/>
    <n v="0.7"/>
    <s v="Desarrollador"/>
    <s v="Distribuido"/>
    <m/>
    <e v="#NAME?"/>
    <e v="#NAME?"/>
    <e v="#NAME?"/>
    <m/>
    <m/>
    <m/>
    <m/>
    <m/>
  </r>
  <r>
    <s v="C808267"/>
    <s v="GUAQUETA ROMERO DEISY YOLIMA"/>
    <x v="0"/>
    <x v="0"/>
    <s v="BBVA"/>
    <e v="#NAME?"/>
    <x v="3"/>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08683"/>
    <s v="EDISON YESID GONZALEZ LANCHEROS"/>
    <x v="0"/>
    <x v="0"/>
    <s v="BBVA"/>
    <e v="#NAME?"/>
    <x v="1"/>
    <n v="0.1"/>
    <s v="Desarrollador"/>
    <s v="Distribuido"/>
    <m/>
    <e v="#NAME?"/>
    <e v="#NAME?"/>
    <e v="#NAME?"/>
    <m/>
    <m/>
    <m/>
    <m/>
    <m/>
  </r>
  <r>
    <s v="C808683"/>
    <s v="EDISON YESID GONZALEZ LANCHEROS"/>
    <x v="0"/>
    <x v="0"/>
    <s v="BBVA"/>
    <e v="#NAME?"/>
    <x v="5"/>
    <n v="0.8"/>
    <s v="Desarrollador"/>
    <s v="Distribuido"/>
    <m/>
    <e v="#NAME?"/>
    <e v="#NAME?"/>
    <e v="#NAME?"/>
    <m/>
    <m/>
    <m/>
    <m/>
    <m/>
  </r>
  <r>
    <s v="C808683"/>
    <s v="EDISON YESID GONZALEZ LANCHEROS"/>
    <x v="0"/>
    <x v="0"/>
    <s v="BBVA"/>
    <e v="#NAME?"/>
    <x v="0"/>
    <n v="0.1"/>
    <s v="Desarrollador"/>
    <s v="Distribuido"/>
    <m/>
    <e v="#NAME?"/>
    <e v="#NAME?"/>
    <e v="#NAME?"/>
    <m/>
    <m/>
    <m/>
    <m/>
    <m/>
  </r>
  <r>
    <s v="C811296"/>
    <s v="QUINTERO CASTILLO DIANA MARCELA"/>
    <x v="0"/>
    <x v="0"/>
    <s v="BBVA"/>
    <e v="#NAME?"/>
    <x v="5"/>
    <n v="0.75"/>
    <s v="Desarrollador"/>
    <s v="Distribuido"/>
    <m/>
    <e v="#NAME?"/>
    <e v="#NAME?"/>
    <e v="#NAME?"/>
    <m/>
    <m/>
    <m/>
    <m/>
    <m/>
  </r>
  <r>
    <s v="C811296"/>
    <s v="QUINTERO CASTILLO DIANA MARCELA"/>
    <x v="0"/>
    <x v="0"/>
    <s v="BBVA"/>
    <e v="#NAME?"/>
    <x v="7"/>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11302"/>
    <s v="RAMIREZ MONTANO CARLOS JULIO"/>
    <x v="0"/>
    <x v="0"/>
    <s v="BBVA"/>
    <e v="#NAME?"/>
    <x v="9"/>
    <n v="1"/>
    <s v="Desarrollador"/>
    <s v="Distribuido"/>
    <m/>
    <e v="#NAME?"/>
    <e v="#NAME?"/>
    <e v="#NAME?"/>
    <m/>
    <m/>
    <m/>
    <m/>
    <m/>
  </r>
  <r>
    <s v="C811321"/>
    <s v="OTTO JADIR SAGUIT SANTOS ALBARRACIN"/>
    <x v="0"/>
    <x v="0"/>
    <s v="BBVA"/>
    <e v="#NAME?"/>
    <x v="9"/>
    <n v="1"/>
    <s v="Desarrollador"/>
    <s v="Distribuido"/>
    <m/>
    <e v="#NAME?"/>
    <e v="#NAME?"/>
    <e v="#NAME?"/>
    <m/>
    <m/>
    <m/>
    <m/>
    <m/>
  </r>
  <r>
    <s v="CE57093"/>
    <s v="NATALIA CANAS YATE"/>
    <x v="0"/>
    <x v="0"/>
    <s v="Choucair"/>
    <e v="#NAME?"/>
    <x v="4"/>
    <n v="0.5"/>
    <s v="QA"/>
    <s v="Distribuido"/>
    <m/>
    <e v="#NAME?"/>
    <e v="#NAME?"/>
    <e v="#NAME?"/>
    <m/>
    <m/>
    <m/>
    <m/>
    <m/>
  </r>
  <r>
    <s v="CE57093"/>
    <s v="NATALIA CANAS YATE"/>
    <x v="0"/>
    <x v="0"/>
    <s v="Choucair"/>
    <e v="#NAME?"/>
    <x v="5"/>
    <n v="0.5"/>
    <s v="QA"/>
    <s v="Distribuido"/>
    <m/>
    <e v="#NAME?"/>
    <e v="#NAME?"/>
    <e v="#NAME?"/>
    <m/>
    <m/>
    <m/>
    <m/>
    <m/>
  </r>
  <r>
    <s v="CE69112"/>
    <s v="LUZ DARY PATINO PINTOR "/>
    <x v="0"/>
    <x v="0"/>
    <s v="Choucair"/>
    <e v="#NAME?"/>
    <x v="7"/>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r>
  <r>
    <s v="CE54816"/>
    <s v="LINA MARCELA SANABRIA BERNAL"/>
    <x v="0"/>
    <x v="0"/>
    <s v="Choucair"/>
    <e v="#NAME?"/>
    <x v="1"/>
    <n v="1"/>
    <s v="QA"/>
    <s v="Distribuido"/>
    <m/>
    <e v="#NAME?"/>
    <e v="#NAME?"/>
    <e v="#NAME?"/>
    <m/>
    <m/>
    <m/>
    <m/>
    <m/>
  </r>
  <r>
    <s v="CE69341"/>
    <s v="PAULA MARCELA MOLINA LEGUIZAMO"/>
    <x v="0"/>
    <x v="0"/>
    <s v="Choucair"/>
    <e v="#NAME?"/>
    <x v="7"/>
    <n v="0.5"/>
    <s v="QA"/>
    <s v="Distribuido"/>
    <s v="MLJ 22mar:  Nancy Pineda nos comentó dejarlo en este mientras se organiza lo del presupuesto._x000a_XXX mar:  No se encuentra el proyecto: SDATOOL-37914 Soporte y mantenimiento servicios tecnológicos 2022 - CEL (PSE)"/>
    <e v="#NAME?"/>
    <e v="#NAME?"/>
    <e v="#NAME?"/>
    <m/>
    <m/>
    <m/>
    <m/>
    <m/>
  </r>
  <r>
    <s v="CE69341"/>
    <s v="PAULA MARCELA MOLINA LEGUIZAMO"/>
    <x v="0"/>
    <x v="0"/>
    <s v="Choucair"/>
    <e v="#NAME?"/>
    <x v="5"/>
    <n v="0.5"/>
    <s v="QA"/>
    <s v="Distribuido"/>
    <m/>
    <e v="#NAME?"/>
    <e v="#NAME?"/>
    <e v="#NAME?"/>
    <m/>
    <m/>
    <m/>
    <m/>
    <m/>
  </r>
  <r>
    <s v="CE70380"/>
    <s v="MISAEL ARLEY TELLEZ SERRANO"/>
    <x v="0"/>
    <x v="0"/>
    <s v="Choucair"/>
    <e v="#NAME?"/>
    <x v="3"/>
    <n v="1"/>
    <s v="QA"/>
    <s v="Distribuido"/>
    <s v="MLJ 22mar:  Nancy Pineda nos comentó dejarlo en este mientras se organiza lo del presupuesto._x000a_XXX mar:  No se encuentra el proyecto: SDATOOL-37914 Soporte y mantenimiento servicios tecnológicos 2022 - CEL (PSE)"/>
    <e v="#NAME?"/>
    <e v="#NAME?"/>
    <e v="#NAME?"/>
    <m/>
    <m/>
    <m/>
    <m/>
    <m/>
  </r>
  <r>
    <s v="T004725"/>
    <s v="DANIEL ALEJANDRO ROA ACERO "/>
    <x v="0"/>
    <x v="0"/>
    <s v="Choucair"/>
    <e v="#NAME?"/>
    <x v="1"/>
    <n v="1"/>
    <s v="QA"/>
    <s v="Distribuido"/>
    <m/>
    <e v="#NAME?"/>
    <e v="#NAME?"/>
    <e v="#NAME?"/>
    <m/>
    <m/>
    <m/>
    <m/>
    <m/>
  </r>
  <r>
    <s v="CE70382"/>
    <s v="JOHN JAIRO RIVERA PENA "/>
    <x v="0"/>
    <x v="0"/>
    <s v="Choucair"/>
    <e v="#NAME?"/>
    <x v="1"/>
    <n v="1"/>
    <s v="QA"/>
    <s v="Distribuido"/>
    <m/>
    <e v="#NAME?"/>
    <e v="#NAME?"/>
    <e v="#NAME?"/>
    <m/>
    <m/>
    <m/>
    <m/>
    <m/>
  </r>
  <r>
    <s v="CE69031"/>
    <s v="WILLIAM ROBERTO MORA BERNAL"/>
    <x v="0"/>
    <x v="0"/>
    <s v="KRYPTO"/>
    <e v="#NAME?"/>
    <x v="5"/>
    <n v="7.0000000000000007E-2"/>
    <s v="Otros"/>
    <s v="Distribuido"/>
    <m/>
    <e v="#NAME?"/>
    <e v="#NAME?"/>
    <e v="#NAME?"/>
    <m/>
    <m/>
    <m/>
    <m/>
    <m/>
  </r>
  <r>
    <s v="CE69031"/>
    <s v="WILLIAM ROBERTO MORA BERNAL"/>
    <x v="0"/>
    <x v="0"/>
    <s v="KRYPTO"/>
    <e v="#NAME?"/>
    <x v="4"/>
    <n v="0.1"/>
    <s v="Otros"/>
    <s v="Distribuido"/>
    <m/>
    <e v="#NAME?"/>
    <e v="#NAME?"/>
    <e v="#NAME?"/>
    <m/>
    <m/>
    <m/>
    <m/>
    <m/>
  </r>
  <r>
    <s v="CE69031"/>
    <s v="WILLIAM ROBERTO MORA BERNAL"/>
    <x v="0"/>
    <x v="0"/>
    <s v="KRYPTO"/>
    <e v="#NAME?"/>
    <x v="3"/>
    <n v="0.08"/>
    <s v="Otros"/>
    <s v="Distribuido"/>
    <m/>
    <e v="#NAME?"/>
    <e v="#NAME?"/>
    <e v="#NAME?"/>
    <m/>
    <m/>
    <m/>
    <m/>
    <m/>
  </r>
  <r>
    <s v="C804844"/>
    <s v="MATEO OLAYA OSORIO"/>
    <x v="1"/>
    <x v="1"/>
    <s v="BBVA"/>
    <e v="#NAME?"/>
    <x v="10"/>
    <n v="0.75"/>
    <s v="Desarrollador"/>
    <s v="Otras Tec."/>
    <s v="Lenguaje de prog.  JAVA."/>
    <e v="#NAME?"/>
    <e v="#NAME?"/>
    <e v="#NAME?"/>
    <m/>
    <m/>
    <m/>
    <m/>
    <m/>
  </r>
  <r>
    <s v="C804844"/>
    <s v="MATEO OLAYA OSORIO"/>
    <x v="1"/>
    <x v="1"/>
    <s v="BBVA"/>
    <e v="#NAME?"/>
    <x v="11"/>
    <n v="0.25"/>
    <s v="Desarrollador"/>
    <s v="Otras Tec."/>
    <s v="Lenguaje de prog.  JAVA."/>
    <e v="#NAME?"/>
    <e v="#NAME?"/>
    <e v="#NAME?"/>
    <m/>
    <m/>
    <m/>
    <m/>
    <m/>
  </r>
  <r>
    <s v="T003920"/>
    <s v="ANA MARIA MORENO RAMIREZ"/>
    <x v="1"/>
    <x v="1"/>
    <s v="SII"/>
    <e v="#NAME?"/>
    <x v="10"/>
    <n v="1"/>
    <s v="Otros"/>
    <s v="Otras Tec."/>
    <s v=" "/>
    <e v="#NAME?"/>
    <e v="#NAME?"/>
    <e v="#NAME?"/>
    <m/>
    <m/>
    <m/>
    <m/>
    <m/>
  </r>
  <r>
    <s v="C805179"/>
    <s v="JEISON VISBAL"/>
    <x v="1"/>
    <x v="1"/>
    <s v="BBVA"/>
    <e v="#NAME?"/>
    <x v="10"/>
    <n v="0.75"/>
    <s v="Desarrollador"/>
    <s v="Otras Tec."/>
    <s v="Lenguaje de prog.  JAVA."/>
    <e v="#NAME?"/>
    <e v="#NAME?"/>
    <e v="#NAME?"/>
    <m/>
    <m/>
    <m/>
    <m/>
    <m/>
  </r>
  <r>
    <s v="C805179"/>
    <s v="JEISON VISBAL"/>
    <x v="1"/>
    <x v="1"/>
    <s v="BBVA"/>
    <e v="#NAME?"/>
    <x v="11"/>
    <n v="0.25"/>
    <s v="Desarrollador"/>
    <s v="Otras Tec."/>
    <s v="Lenguaje de prog.  JAVA."/>
    <e v="#NAME?"/>
    <e v="#NAME?"/>
    <e v="#NAME?"/>
    <m/>
    <m/>
    <m/>
    <m/>
    <m/>
  </r>
  <r>
    <s v="CE14662"/>
    <s v="WILMER AUGUSTO PEREZ NIÑO"/>
    <x v="1"/>
    <x v="1"/>
    <s v="Tecnoevolución"/>
    <e v="#NAME?"/>
    <x v="3"/>
    <n v="1"/>
    <s v="Desarrollador"/>
    <s v="Otras Tec."/>
    <s v="Tecnología Legacy: Power -Builder "/>
    <e v="#NAME?"/>
    <e v="#NAME?"/>
    <e v="#NAME?"/>
    <m/>
    <m/>
    <m/>
    <m/>
    <m/>
  </r>
  <r>
    <s v="CE63123"/>
    <s v="DIEGO ARISTOBULO DIAZ PLATA"/>
    <x v="1"/>
    <x v="1"/>
    <s v="Tecnoevolución"/>
    <e v="#NAME?"/>
    <x v="3"/>
    <n v="1"/>
    <s v="Desarrollador"/>
    <s v="Otras Tec."/>
    <s v="Tecnología Legacy: Power -Builder "/>
    <e v="#NAME?"/>
    <e v="#NAME?"/>
    <e v="#NAME?"/>
    <m/>
    <m/>
    <m/>
    <m/>
    <m/>
  </r>
  <r>
    <s v="C808223"/>
    <s v="DILAN ANDRES LOPEZ MENA"/>
    <x v="1"/>
    <x v="1"/>
    <s v="BBVA"/>
    <e v="#NAME?"/>
    <x v="3"/>
    <n v="1"/>
    <s v="Otros"/>
    <s v="Otras Tec."/>
    <s v="Tecnología Legacy: Power -Builder "/>
    <e v="#NAME?"/>
    <e v="#NAME?"/>
    <e v="#NAME?"/>
    <m/>
    <m/>
    <m/>
    <m/>
    <m/>
  </r>
  <r>
    <s v="C808132"/>
    <s v="JONNATHAN ARMANDO ASTROZ MARIN"/>
    <x v="1"/>
    <x v="1"/>
    <s v="BBVA"/>
    <e v="#NAME?"/>
    <x v="3"/>
    <n v="1"/>
    <s v="Otros"/>
    <s v="Otras Tec."/>
    <s v="Tecnología Legacy: Power -Builder "/>
    <e v="#NAME?"/>
    <e v="#NAME?"/>
    <e v="#NAME?"/>
    <m/>
    <m/>
    <m/>
    <m/>
    <m/>
  </r>
  <r>
    <s v="CE61903"/>
    <s v="KELLY JOHANA VANEGAS"/>
    <x v="1"/>
    <x v="1"/>
    <s v="Tecnoevolución"/>
    <e v="#NAME?"/>
    <x v="3"/>
    <n v="0.25"/>
    <s v="Otros"/>
    <s v="Otras Tec."/>
    <s v="Tecnología Legacy: Power -Builder "/>
    <e v="#NAME?"/>
    <e v="#NAME?"/>
    <e v="#NAME?"/>
    <m/>
    <m/>
    <m/>
    <m/>
    <m/>
  </r>
  <r>
    <s v="CE61903"/>
    <s v="KELLY JOHANA VANEGAS"/>
    <x v="1"/>
    <x v="1"/>
    <s v="Tecnoevolución"/>
    <e v="#NAME?"/>
    <x v="12"/>
    <n v="0.5"/>
    <s v="Otros"/>
    <s v="Otras Tec."/>
    <s v="Tecnología Legacy: Power -Builder "/>
    <e v="#NAME?"/>
    <e v="#NAME?"/>
    <e v="#NAME?"/>
    <m/>
    <m/>
    <m/>
    <m/>
    <m/>
  </r>
  <r>
    <s v="C811297"/>
    <s v="BETZY PAOLA JARAMILLO LASTRA"/>
    <x v="0"/>
    <x v="2"/>
    <s v="BBVA"/>
    <e v="#NAME?"/>
    <x v="13"/>
    <n v="0.25"/>
    <s v="Desarrollador"/>
    <s v="Mainframe"/>
    <m/>
    <e v="#NAME?"/>
    <e v="#NAME?"/>
    <e v="#NAME?"/>
    <m/>
    <m/>
    <m/>
    <m/>
    <m/>
  </r>
  <r>
    <s v="C811297"/>
    <s v="BETZY PAOLA JARAMILLO LASTRA"/>
    <x v="0"/>
    <x v="2"/>
    <s v="BBVA"/>
    <e v="#NAME?"/>
    <x v="3"/>
    <n v="0.25"/>
    <s v="Desarrollador"/>
    <s v="Mainframe"/>
    <m/>
    <e v="#NAME?"/>
    <e v="#NAME?"/>
    <e v="#NAME?"/>
    <m/>
    <m/>
    <m/>
    <m/>
    <m/>
  </r>
  <r>
    <s v="C811297"/>
    <s v="BETZY PAOLA JARAMILLO LASTRA"/>
    <x v="0"/>
    <x v="2"/>
    <s v="BBVA"/>
    <e v="#NAME?"/>
    <x v="14"/>
    <n v="0.25"/>
    <s v="Desarrollador"/>
    <s v="Mainframe"/>
    <m/>
    <e v="#NAME?"/>
    <e v="#NAME?"/>
    <e v="#NAME?"/>
    <m/>
    <m/>
    <m/>
    <m/>
    <m/>
  </r>
  <r>
    <s v="C811297"/>
    <s v="BETZY PAOLA JARAMILLO LASTRA"/>
    <x v="0"/>
    <x v="2"/>
    <s v="BBVA"/>
    <e v="#NAME?"/>
    <x v="15"/>
    <n v="0.25"/>
    <s v="Desarrollador"/>
    <s v="Distribuido"/>
    <m/>
    <e v="#NAME?"/>
    <e v="#NAME?"/>
    <e v="#NAME?"/>
    <m/>
    <m/>
    <m/>
    <m/>
    <m/>
  </r>
  <r>
    <s v="C808771"/>
    <s v="DAVID FEILPE CIFUENTES"/>
    <x v="0"/>
    <x v="2"/>
    <s v="BBVA"/>
    <e v="#NAME?"/>
    <x v="13"/>
    <n v="0.75"/>
    <s v="Desarrollador"/>
    <s v="Mainframe"/>
    <m/>
    <e v="#NAME?"/>
    <e v="#NAME?"/>
    <e v="#NAME?"/>
    <m/>
    <m/>
    <m/>
    <m/>
    <m/>
  </r>
  <r>
    <s v="C808771"/>
    <s v="DAVID FEILPE CIFUENTES"/>
    <x v="0"/>
    <x v="2"/>
    <s v="BBVA"/>
    <e v="#NAME?"/>
    <x v="3"/>
    <n v="0.25"/>
    <s v="Desarrollador"/>
    <s v="Mainframe"/>
    <m/>
    <e v="#NAME?"/>
    <e v="#NAME?"/>
    <e v="#NAME?"/>
    <m/>
    <m/>
    <m/>
    <m/>
    <m/>
  </r>
  <r>
    <s v="O000111"/>
    <s v="FERNANDO TIBADUIZA GUTIERREZ"/>
    <x v="0"/>
    <x v="2"/>
    <s v="BBVA"/>
    <e v="#NAME?"/>
    <x v="13"/>
    <n v="0.75"/>
    <s v="Desarrollador"/>
    <s v="Mainframe"/>
    <m/>
    <e v="#NAME?"/>
    <e v="#NAME?"/>
    <e v="#NAME?"/>
    <m/>
    <m/>
    <m/>
    <m/>
    <m/>
  </r>
  <r>
    <s v="O000111"/>
    <s v="FERNANDO TIBADUIZA GUTIERREZ"/>
    <x v="0"/>
    <x v="2"/>
    <s v="BBVA"/>
    <e v="#NAME?"/>
    <x v="3"/>
    <n v="0.25"/>
    <s v="Desarrollador"/>
    <s v="Mainframe"/>
    <m/>
    <e v="#NAME?"/>
    <e v="#NAME?"/>
    <e v="#NAME?"/>
    <m/>
    <m/>
    <m/>
    <m/>
    <m/>
  </r>
  <r>
    <s v="C810784"/>
    <s v="LENIN QUINTERO MUÑOZ"/>
    <x v="0"/>
    <x v="2"/>
    <s v="BBVA"/>
    <e v="#NAME?"/>
    <x v="15"/>
    <n v="1"/>
    <s v="Desarrollador"/>
    <s v="Distribuido"/>
    <m/>
    <e v="#NAME?"/>
    <e v="#NAME?"/>
    <e v="#NAME?"/>
    <m/>
    <m/>
    <m/>
    <m/>
    <m/>
  </r>
  <r>
    <s v="CE70413"/>
    <s v="RICARDO AMAYA VIANCHA (QA)"/>
    <x v="0"/>
    <x v="2"/>
    <s v="KRYPTO"/>
    <e v="#NAME?"/>
    <x v="3"/>
    <n v="0.5"/>
    <s v="Desarrollador"/>
    <s v="Otras Tec."/>
    <m/>
    <e v="#NAME?"/>
    <e v="#NAME?"/>
    <e v="#NAME?"/>
    <m/>
    <m/>
    <m/>
    <m/>
    <m/>
  </r>
  <r>
    <s v="CE70413"/>
    <s v="RICARDO AMAYA VIANCHA (QA)"/>
    <x v="0"/>
    <x v="2"/>
    <s v="KRYPTO"/>
    <e v="#NAME?"/>
    <x v="13"/>
    <n v="0.5"/>
    <s v="Desarrollador"/>
    <s v="Otras Tec."/>
    <m/>
    <e v="#NAME?"/>
    <e v="#NAME?"/>
    <e v="#NAME?"/>
    <m/>
    <m/>
    <m/>
    <m/>
    <m/>
  </r>
  <r>
    <s v="C342062"/>
    <s v="JAVIER CALDERON LOPEZ"/>
    <x v="0"/>
    <x v="2"/>
    <s v="BBVA"/>
    <e v="#NAME?"/>
    <x v="16"/>
    <n v="0.75"/>
    <s v="Desarrollador"/>
    <s v="Mainframe"/>
    <m/>
    <e v="#NAME?"/>
    <e v="#NAME?"/>
    <e v="#NAME?"/>
    <m/>
    <m/>
    <m/>
    <m/>
    <m/>
  </r>
  <r>
    <s v="C342062"/>
    <s v="JAVIER CALDERON LOPEZ"/>
    <x v="0"/>
    <x v="2"/>
    <s v="BBVA"/>
    <e v="#NAME?"/>
    <x v="3"/>
    <n v="0.25"/>
    <s v="Desarrollador"/>
    <s v="Mainframe"/>
    <m/>
    <e v="#NAME?"/>
    <e v="#NAME?"/>
    <e v="#NAME?"/>
    <m/>
    <m/>
    <m/>
    <m/>
    <m/>
  </r>
  <r>
    <s v="C808392"/>
    <s v="JHON FREDDY ZAPATA MUÑOZ"/>
    <x v="0"/>
    <x v="2"/>
    <s v="BBVA"/>
    <e v="#NAME?"/>
    <x v="17"/>
    <n v="0.75"/>
    <s v="Desarrollador"/>
    <s v="Distribuido"/>
    <m/>
    <e v="#NAME?"/>
    <e v="#NAME?"/>
    <e v="#NAME?"/>
    <m/>
    <m/>
    <m/>
    <m/>
    <m/>
  </r>
  <r>
    <s v="C808392"/>
    <s v="JHON FREDDY ZAPATA MUÑOZ"/>
    <x v="0"/>
    <x v="2"/>
    <s v="BBVA"/>
    <e v="#NAME?"/>
    <x v="3"/>
    <n v="0.25"/>
    <s v="Desarrollador"/>
    <s v="Distribuido"/>
    <m/>
    <e v="#NAME?"/>
    <e v="#NAME?"/>
    <e v="#NAME?"/>
    <m/>
    <m/>
    <m/>
    <m/>
    <m/>
  </r>
  <r>
    <s v="CE63313"/>
    <s v="CESAR LEONEL MARTIN CASTILLO (QA)"/>
    <x v="0"/>
    <x v="2"/>
    <s v="Inetum"/>
    <e v="#NAME?"/>
    <x v="17"/>
    <n v="0.5"/>
    <s v="QA"/>
    <s v="Otras Tec."/>
    <m/>
    <e v="#NAME?"/>
    <e v="#NAME?"/>
    <e v="#NAME?"/>
    <m/>
    <m/>
    <m/>
    <m/>
    <m/>
  </r>
  <r>
    <s v="CE63313"/>
    <s v="CESAR LEONEL MARTIN CASTILLO (QA)"/>
    <x v="0"/>
    <x v="2"/>
    <s v="Inetum"/>
    <e v="#NAME?"/>
    <x v="3"/>
    <n v="0.5"/>
    <s v="QA"/>
    <s v="Otras Tec."/>
    <m/>
    <e v="#NAME?"/>
    <e v="#NAME?"/>
    <e v="#NAME?"/>
    <m/>
    <m/>
    <m/>
    <m/>
    <m/>
  </r>
  <r>
    <s v="C808164"/>
    <s v="JORGE SEBASTIAN RODRIGUEZ MORA"/>
    <x v="0"/>
    <x v="2"/>
    <s v="BBVA"/>
    <e v="#NAME?"/>
    <x v="18"/>
    <n v="1"/>
    <s v="Desarrollador"/>
    <s v="Mainframe"/>
    <m/>
    <e v="#NAME?"/>
    <e v="#NAME?"/>
    <e v="#NAME?"/>
    <m/>
    <m/>
    <m/>
    <m/>
    <m/>
  </r>
  <r>
    <s v="O002304"/>
    <s v="WILVER MARTINEZ ALVARADO"/>
    <x v="0"/>
    <x v="2"/>
    <s v="BBVA"/>
    <e v="#NAME?"/>
    <x v="18"/>
    <n v="1"/>
    <s v="Desarrollador"/>
    <s v="Mainframe"/>
    <m/>
    <e v="#NAME?"/>
    <e v="#NAME?"/>
    <e v="#NAME?"/>
    <m/>
    <m/>
    <m/>
    <m/>
    <m/>
  </r>
  <r>
    <s v="CE43229"/>
    <s v="CARLOS MAURICIO AGUIRRE TOVAR"/>
    <x v="0"/>
    <x v="2"/>
    <s v="Inetum"/>
    <e v="#NAME?"/>
    <x v="18"/>
    <n v="1"/>
    <s v="Desarrollador"/>
    <s v="Mainframe"/>
    <m/>
    <e v="#NAME?"/>
    <e v="#NAME?"/>
    <e v="#NAME?"/>
    <m/>
    <m/>
    <m/>
    <m/>
    <m/>
  </r>
  <r>
    <s v="CE68369"/>
    <s v="JUAN DAVID ACOSTA OBANDO (QA)"/>
    <x v="0"/>
    <x v="2"/>
    <s v="KRYPTO"/>
    <e v="#NAME?"/>
    <x v="18"/>
    <n v="1"/>
    <s v="QA"/>
    <s v="Otras Tec."/>
    <m/>
    <e v="#NAME?"/>
    <e v="#NAME?"/>
    <e v="#NAME?"/>
    <m/>
    <m/>
    <m/>
    <m/>
    <m/>
  </r>
  <r>
    <s v="C784494"/>
    <s v="CARLOS IVAN CHOCONTA"/>
    <x v="0"/>
    <x v="2"/>
    <s v="BBVA"/>
    <e v="#NAME?"/>
    <x v="19"/>
    <n v="0.75"/>
    <s v="Desarrollador"/>
    <s v="Mainframe"/>
    <m/>
    <e v="#NAME?"/>
    <e v="#NAME?"/>
    <e v="#NAME?"/>
    <m/>
    <m/>
    <m/>
    <m/>
    <m/>
  </r>
  <r>
    <s v="C784494"/>
    <s v="CARLOS IVAN CHOCONTA"/>
    <x v="0"/>
    <x v="2"/>
    <s v="BBVA"/>
    <e v="#NAME?"/>
    <x v="3"/>
    <n v="0.25"/>
    <s v="Desarrollador"/>
    <s v="Mainframe"/>
    <m/>
    <e v="#NAME?"/>
    <e v="#NAME?"/>
    <e v="#NAME?"/>
    <m/>
    <m/>
    <m/>
    <m/>
    <m/>
  </r>
  <r>
    <s v="C808842"/>
    <s v="CARLOS ALBERTO PARDO"/>
    <x v="0"/>
    <x v="2"/>
    <s v="BBVA"/>
    <e v="#NAME?"/>
    <x v="20"/>
    <n v="0.75"/>
    <s v="Desarrollador"/>
    <s v="Mainframe"/>
    <m/>
    <e v="#NAME?"/>
    <e v="#NAME?"/>
    <e v="#NAME?"/>
    <m/>
    <m/>
    <m/>
    <m/>
    <m/>
  </r>
  <r>
    <s v="C808842"/>
    <s v="CARLOS ALBERTO PARDO"/>
    <x v="0"/>
    <x v="2"/>
    <s v="BBVA"/>
    <e v="#NAME?"/>
    <x v="3"/>
    <n v="0.25"/>
    <s v="Desarrollador"/>
    <s v="Mainframe"/>
    <m/>
    <e v="#NAME?"/>
    <e v="#NAME?"/>
    <e v="#NAME?"/>
    <m/>
    <m/>
    <m/>
    <m/>
    <m/>
  </r>
  <r>
    <s v="C808856"/>
    <s v="YEHIN STIVEN PATIÑO"/>
    <x v="0"/>
    <x v="2"/>
    <s v="BBVA"/>
    <e v="#NAME?"/>
    <x v="21"/>
    <n v="0.5"/>
    <s v="Desarrollador"/>
    <s v="Mainframe"/>
    <m/>
    <e v="#NAME?"/>
    <e v="#NAME?"/>
    <e v="#NAME?"/>
    <m/>
    <m/>
    <m/>
    <m/>
    <m/>
  </r>
  <r>
    <s v="C808856"/>
    <s v="YEHIN STIVEN PATIÑO"/>
    <x v="0"/>
    <x v="3"/>
    <s v="BBVA"/>
    <e v="#NAME?"/>
    <x v="22"/>
    <n v="0.5"/>
    <s v="Desarrollador"/>
    <s v="Mainframe"/>
    <m/>
    <e v="#NAME?"/>
    <e v="#NAME?"/>
    <e v="#NAME?"/>
    <m/>
    <m/>
    <m/>
    <m/>
    <m/>
  </r>
  <r>
    <s v="C342171"/>
    <s v="CAROLINA BERNAL"/>
    <x v="0"/>
    <x v="2"/>
    <s v="BBVA"/>
    <e v="#NAME?"/>
    <x v="20"/>
    <n v="0.25"/>
    <s v="Otros"/>
    <s v="Otras Tec."/>
    <m/>
    <e v="#NAME?"/>
    <e v="#NAME?"/>
    <e v="#NAME?"/>
    <m/>
    <m/>
    <m/>
    <m/>
    <m/>
  </r>
  <r>
    <s v="C342171"/>
    <s v="CAROLINA BERNAL"/>
    <x v="0"/>
    <x v="2"/>
    <s v="BBVA"/>
    <e v="#NAME?"/>
    <x v="19"/>
    <n v="0.25"/>
    <s v="Otros"/>
    <s v="Otras Tec."/>
    <m/>
    <e v="#NAME?"/>
    <e v="#NAME?"/>
    <e v="#NAME?"/>
    <m/>
    <m/>
    <m/>
    <m/>
    <m/>
  </r>
  <r>
    <s v="C342171"/>
    <s v="CAROLINA BERNAL"/>
    <x v="0"/>
    <x v="2"/>
    <s v="BBVA"/>
    <e v="#NAME?"/>
    <x v="21"/>
    <n v="0.25"/>
    <s v="Otros"/>
    <s v="Otras Tec."/>
    <m/>
    <e v="#NAME?"/>
    <e v="#NAME?"/>
    <e v="#NAME?"/>
    <m/>
    <m/>
    <m/>
    <m/>
    <m/>
  </r>
  <r>
    <s v="C342171"/>
    <s v="CAROLINA BERNAL"/>
    <x v="0"/>
    <x v="2"/>
    <s v="BBVA"/>
    <e v="#NAME?"/>
    <x v="23"/>
    <n v="0.25"/>
    <s v="Otros"/>
    <s v="Otras Tec."/>
    <m/>
    <e v="#NAME?"/>
    <e v="#NAME?"/>
    <e v="#NAME?"/>
    <m/>
    <m/>
    <m/>
    <m/>
    <m/>
  </r>
  <r>
    <s v="CE56542"/>
    <s v="HUMBERTO MALAGON VARGAS (Torre)"/>
    <x v="0"/>
    <x v="2"/>
    <s v="Novatec"/>
    <e v="#NAME?"/>
    <x v="3"/>
    <n v="0.5"/>
    <s v="Desarrollador"/>
    <s v="Mainframe"/>
    <m/>
    <e v="#NAME?"/>
    <e v="#NAME?"/>
    <e v="#NAME?"/>
    <m/>
    <m/>
    <m/>
    <m/>
    <m/>
  </r>
  <r>
    <s v="CE57635"/>
    <s v="JAIRO ARTURO BELTAN (Torre)"/>
    <x v="0"/>
    <x v="2"/>
    <s v="Novatec"/>
    <e v="#NAME?"/>
    <x v="3"/>
    <n v="1"/>
    <s v="Desarrollador"/>
    <s v="Mainframe"/>
    <m/>
    <e v="#NAME?"/>
    <e v="#NAME?"/>
    <e v="#NAME?"/>
    <m/>
    <m/>
    <m/>
    <m/>
    <m/>
  </r>
  <r>
    <s v="CE66612"/>
    <s v="JOHN ANDRES DIAZ AYALA (Torre)"/>
    <x v="0"/>
    <x v="2"/>
    <s v="Novatec"/>
    <e v="#NAME?"/>
    <x v="3"/>
    <n v="1"/>
    <s v="Desarrollador"/>
    <s v="Mainframe"/>
    <m/>
    <e v="#NAME?"/>
    <e v="#NAME?"/>
    <e v="#NAME?"/>
    <m/>
    <m/>
    <m/>
    <m/>
    <m/>
  </r>
  <r>
    <m/>
    <s v="MARISOL VEGA JOYA (QA)"/>
    <x v="0"/>
    <x v="2"/>
    <s v="Inetum"/>
    <e v="#NAME?"/>
    <x v="21"/>
    <n v="0.5"/>
    <s v="QA"/>
    <s v="Otras Tec."/>
    <m/>
    <e v="#NAME?"/>
    <e v="#NAME?"/>
    <e v="#NAME?"/>
    <m/>
    <m/>
    <m/>
    <m/>
    <m/>
  </r>
  <r>
    <m/>
    <s v="MARISOL VEGA JOYA (QA)"/>
    <x v="0"/>
    <x v="2"/>
    <s v="Inetum"/>
    <e v="#NAME?"/>
    <x v="3"/>
    <n v="0.5"/>
    <s v="QA"/>
    <s v="Otras Tec."/>
    <m/>
    <e v="#NAME?"/>
    <e v="#NAME?"/>
    <e v="#NAME?"/>
    <m/>
    <m/>
    <m/>
    <m/>
    <m/>
  </r>
  <r>
    <s v="C343581"/>
    <s v="WILLIAM JAVIER VILLAMIL ZAPATA "/>
    <x v="0"/>
    <x v="2"/>
    <s v="BBVA"/>
    <e v="#NAME?"/>
    <x v="24"/>
    <n v="0.25"/>
    <s v="Tech Manager/Líder"/>
    <s v="ASO"/>
    <m/>
    <e v="#NAME?"/>
    <e v="#NAME?"/>
    <e v="#NAME?"/>
    <m/>
    <m/>
    <m/>
    <m/>
    <m/>
  </r>
  <r>
    <s v="C343581"/>
    <s v="WILLIAM JAVIER VILLAMIL ZAPATA "/>
    <x v="0"/>
    <x v="2"/>
    <s v="BBVA"/>
    <e v="#NAME?"/>
    <x v="25"/>
    <n v="0.25"/>
    <s v="Tech Manager/Líder"/>
    <s v="ASO"/>
    <m/>
    <e v="#NAME?"/>
    <e v="#NAME?"/>
    <e v="#NAME?"/>
    <m/>
    <m/>
    <m/>
    <m/>
    <m/>
  </r>
  <r>
    <s v="C343581"/>
    <s v="WILLIAM JAVIER VILLAMIL ZAPATA "/>
    <x v="0"/>
    <x v="2"/>
    <s v="BBVA"/>
    <e v="#NAME?"/>
    <x v="3"/>
    <n v="0.5"/>
    <s v="Tech Manager/Líder"/>
    <s v="ASO"/>
    <m/>
    <e v="#NAME?"/>
    <e v="#NAME?"/>
    <e v="#NAME?"/>
    <m/>
    <m/>
    <m/>
    <m/>
    <m/>
  </r>
  <r>
    <s v="C810947"/>
    <s v="LAURA PULIDO DIAZ"/>
    <x v="0"/>
    <x v="2"/>
    <s v="BBVA"/>
    <e v="#NAME?"/>
    <x v="24"/>
    <n v="1"/>
    <s v="Desarrollador"/>
    <s v="APX"/>
    <m/>
    <e v="#NAME?"/>
    <e v="#NAME?"/>
    <e v="#NAME?"/>
    <m/>
    <m/>
    <m/>
    <m/>
    <m/>
  </r>
  <r>
    <s v="C809749"/>
    <s v="DEIMER DAVID JIMENEZ MAESTRE"/>
    <x v="0"/>
    <x v="2"/>
    <s v="BBVA"/>
    <e v="#NAME?"/>
    <x v="24"/>
    <n v="1"/>
    <s v="Desarrollador"/>
    <s v="Mainframe"/>
    <m/>
    <e v="#NAME?"/>
    <e v="#NAME?"/>
    <e v="#NAME?"/>
    <m/>
    <m/>
    <m/>
    <m/>
    <m/>
  </r>
  <r>
    <s v="T002859"/>
    <s v="ANGIE DANIELA PERDOMO RAMIREZ (QA)"/>
    <x v="0"/>
    <x v="2"/>
    <s v="Inetum"/>
    <e v="#NAME?"/>
    <x v="24"/>
    <n v="1"/>
    <s v="QA"/>
    <s v="Otras Tec."/>
    <m/>
    <e v="#NAME?"/>
    <e v="#NAME?"/>
    <e v="#NAME?"/>
    <m/>
    <m/>
    <m/>
    <m/>
    <m/>
  </r>
  <r>
    <s v="C808769"/>
    <s v="WILLIAM FERNANDO ALARCON"/>
    <x v="0"/>
    <x v="2"/>
    <s v="BBVA"/>
    <e v="#NAME?"/>
    <x v="25"/>
    <n v="0.75"/>
    <s v="Desarrollador"/>
    <s v="ASO"/>
    <m/>
    <e v="#NAME?"/>
    <e v="#NAME?"/>
    <e v="#NAME?"/>
    <m/>
    <m/>
    <m/>
    <m/>
    <m/>
  </r>
  <r>
    <s v="C808769"/>
    <s v="WILLIAM FERNANDO ALARCON"/>
    <x v="0"/>
    <x v="2"/>
    <s v="BBVA"/>
    <e v="#NAME?"/>
    <x v="3"/>
    <n v="0.25"/>
    <s v="Desarrollador"/>
    <s v="ASO"/>
    <m/>
    <e v="#NAME?"/>
    <e v="#NAME?"/>
    <e v="#NAME?"/>
    <m/>
    <m/>
    <m/>
    <m/>
    <m/>
  </r>
  <r>
    <s v="C811207"/>
    <s v="LUIS FERNANDO GUTIERREZ PRADO"/>
    <x v="0"/>
    <x v="2"/>
    <s v="BBVA"/>
    <e v="#NAME?"/>
    <x v="25"/>
    <n v="1"/>
    <s v="Desarrollador"/>
    <s v="ASO"/>
    <m/>
    <e v="#NAME?"/>
    <e v="#NAME?"/>
    <e v="#NAME?"/>
    <m/>
    <m/>
    <m/>
    <m/>
    <m/>
  </r>
  <r>
    <s v="O004611"/>
    <s v="ANDRES ARTURO QUINTERO"/>
    <x v="0"/>
    <x v="2"/>
    <s v="BBVA"/>
    <e v="#NAME?"/>
    <x v="24"/>
    <n v="1"/>
    <s v="Desarrollador"/>
    <s v="APX"/>
    <m/>
    <e v="#NAME?"/>
    <e v="#NAME?"/>
    <e v="#NAME?"/>
    <m/>
    <m/>
    <m/>
    <m/>
    <m/>
  </r>
  <r>
    <s v="T009935"/>
    <s v="JORGE LUIS MONTEJO (Torre)"/>
    <x v="0"/>
    <x v="2"/>
    <s v="Novatec"/>
    <e v="#NAME?"/>
    <x v="3"/>
    <n v="0.5"/>
    <s v="Desarrollador"/>
    <s v="Mainframe"/>
    <m/>
    <e v="#NAME?"/>
    <e v="#NAME?"/>
    <e v="#NAME?"/>
    <m/>
    <m/>
    <m/>
    <m/>
    <m/>
  </r>
  <r>
    <s v="CE68693"/>
    <s v="MANUEL ALEJANDRO MARENCO (Torre)"/>
    <x v="0"/>
    <x v="2"/>
    <s v="Novatec"/>
    <e v="#NAME?"/>
    <x v="3"/>
    <n v="1"/>
    <s v="Desarrollador"/>
    <s v="Mainframe"/>
    <m/>
    <e v="#NAME?"/>
    <e v="#NAME?"/>
    <e v="#NAME?"/>
    <m/>
    <m/>
    <m/>
    <m/>
    <m/>
  </r>
  <r>
    <s v="T009914"/>
    <s v="MARIELA CUBIDES  VILLAQUIRAN (Torre)"/>
    <x v="0"/>
    <x v="2"/>
    <s v="Novatec"/>
    <e v="#NAME?"/>
    <x v="3"/>
    <n v="1"/>
    <s v="Desarrollador"/>
    <s v="Mainframe"/>
    <m/>
    <e v="#NAME?"/>
    <e v="#NAME?"/>
    <e v="#NAME?"/>
    <m/>
    <m/>
    <m/>
    <m/>
    <m/>
  </r>
  <r>
    <s v="C801829"/>
    <s v="LUISA FERNANDA CASTRILLON"/>
    <x v="0"/>
    <x v="2"/>
    <s v="BBVA"/>
    <e v="#NAME?"/>
    <x v="24"/>
    <n v="0.25"/>
    <s v="Desarrollador"/>
    <s v="Distribuido"/>
    <m/>
    <e v="#NAME?"/>
    <e v="#NAME?"/>
    <e v="#NAME?"/>
    <m/>
    <m/>
    <m/>
    <m/>
    <m/>
  </r>
  <r>
    <s v="C801829"/>
    <s v="LUISA FERNANDA CASTRILLON"/>
    <x v="0"/>
    <x v="2"/>
    <s v="BBVA"/>
    <e v="#NAME?"/>
    <x v="26"/>
    <n v="0.25"/>
    <s v="Desarrollador"/>
    <s v="Distribuido"/>
    <m/>
    <e v="#NAME?"/>
    <e v="#NAME?"/>
    <e v="#NAME?"/>
    <m/>
    <m/>
    <m/>
    <m/>
    <m/>
  </r>
  <r>
    <s v="C801829"/>
    <s v="LUISA FERNANDA CASTRILLON"/>
    <x v="0"/>
    <x v="2"/>
    <s v="BBVA"/>
    <e v="#NAME?"/>
    <x v="27"/>
    <n v="0.25"/>
    <s v="Desarrollador"/>
    <s v="Distribuido"/>
    <m/>
    <e v="#NAME?"/>
    <e v="#NAME?"/>
    <e v="#NAME?"/>
    <m/>
    <m/>
    <m/>
    <m/>
    <m/>
  </r>
  <r>
    <s v="C801829"/>
    <s v="LUISA FERNANDA CASTRILLON"/>
    <x v="0"/>
    <x v="2"/>
    <s v="BBVA"/>
    <e v="#NAME?"/>
    <x v="27"/>
    <n v="0.25"/>
    <s v="Desarrollador"/>
    <s v="Distribuido"/>
    <m/>
    <e v="#NAME?"/>
    <e v="#NAME?"/>
    <e v="#NAME?"/>
    <m/>
    <m/>
    <m/>
    <m/>
    <m/>
  </r>
  <r>
    <s v="O000393"/>
    <s v="DANIEL FELIPE ZAPATA"/>
    <x v="0"/>
    <x v="2"/>
    <s v="BBVA"/>
    <e v="#NAME?"/>
    <x v="26"/>
    <n v="1"/>
    <s v="Desarrollador"/>
    <s v="ASO"/>
    <m/>
    <e v="#NAME?"/>
    <e v="#NAME?"/>
    <e v="#NAME?"/>
    <m/>
    <m/>
    <m/>
    <m/>
    <m/>
  </r>
  <r>
    <s v="O004836"/>
    <s v="JUANITA GARCIA CONTRERAS"/>
    <x v="0"/>
    <x v="2"/>
    <s v="BBVA"/>
    <e v="#NAME?"/>
    <x v="24"/>
    <n v="1"/>
    <s v="Desarrollador"/>
    <s v="Distribuido"/>
    <m/>
    <e v="#NAME?"/>
    <e v="#NAME?"/>
    <e v="#NAME?"/>
    <m/>
    <m/>
    <m/>
    <m/>
    <m/>
  </r>
  <r>
    <s v="O004612"/>
    <s v="JUAN DAVID PRECIADO AGUILAR "/>
    <x v="0"/>
    <x v="2"/>
    <s v="BBVA"/>
    <e v="#NAME?"/>
    <x v="24"/>
    <n v="1"/>
    <s v="Desarrollador"/>
    <s v="Distribuido"/>
    <m/>
    <e v="#NAME?"/>
    <e v="#NAME?"/>
    <e v="#NAME?"/>
    <m/>
    <m/>
    <m/>
    <m/>
    <m/>
  </r>
  <r>
    <s v="T005391"/>
    <s v="YINET CATALINA TORRES (QA)"/>
    <x v="0"/>
    <x v="2"/>
    <s v="Inetum"/>
    <e v="#NAME?"/>
    <x v="3"/>
    <n v="1"/>
    <s v="QA"/>
    <s v="Otras Tec."/>
    <m/>
    <e v="#NAME?"/>
    <e v="#NAME?"/>
    <e v="#NAME?"/>
    <m/>
    <m/>
    <m/>
    <m/>
    <m/>
  </r>
  <r>
    <s v="C808646"/>
    <s v="DAVID CAMILO CORREDOR RODRIGUEZ"/>
    <x v="0"/>
    <x v="4"/>
    <s v="BBVA"/>
    <e v="#NAME?"/>
    <x v="28"/>
    <n v="1"/>
    <s v="Desarrollador"/>
    <s v="Mainframe"/>
    <m/>
    <e v="#NAME?"/>
    <e v="#NAME?"/>
    <e v="#NAME?"/>
    <m/>
    <m/>
    <m/>
    <m/>
    <m/>
  </r>
  <r>
    <s v="O001334"/>
    <s v="ELKIN FERNANDO RIVERA GOMEZ"/>
    <x v="0"/>
    <x v="4"/>
    <s v="BBVA"/>
    <e v="#NAME?"/>
    <x v="28"/>
    <n v="0.5"/>
    <s v="Otros"/>
    <s v="Distribuido"/>
    <m/>
    <e v="#NAME?"/>
    <e v="#NAME?"/>
    <e v="#NAME?"/>
    <m/>
    <m/>
    <m/>
    <m/>
    <m/>
  </r>
  <r>
    <s v="O001334"/>
    <s v="ELKIN FERNANDO RIVERA GOMEZ"/>
    <x v="0"/>
    <x v="4"/>
    <s v="BBVA"/>
    <e v="#NAME?"/>
    <x v="29"/>
    <n v="0.25"/>
    <s v="Otros"/>
    <s v="Distribuido"/>
    <m/>
    <e v="#NAME?"/>
    <e v="#NAME?"/>
    <e v="#NAME?"/>
    <m/>
    <m/>
    <m/>
    <m/>
    <m/>
  </r>
  <r>
    <s v="O001334"/>
    <s v="ELKIN FERNANDO RIVERA GOMEZ"/>
    <x v="0"/>
    <x v="4"/>
    <s v="BBVA"/>
    <e v="#NAME?"/>
    <x v="5"/>
    <n v="0.25"/>
    <s v="Otros"/>
    <s v="Distribuido"/>
    <m/>
    <e v="#NAME?"/>
    <e v="#NAME?"/>
    <e v="#NAME?"/>
    <m/>
    <m/>
    <m/>
    <m/>
    <m/>
  </r>
  <r>
    <s v="C810881"/>
    <s v="JOHN MAICOL NUÑEZ SANTA"/>
    <x v="0"/>
    <x v="4"/>
    <s v="BBVA"/>
    <e v="#NAME?"/>
    <x v="30"/>
    <n v="0.75"/>
    <s v="Desarrollador"/>
    <s v="Distribuido"/>
    <m/>
    <e v="#NAME?"/>
    <e v="#NAME?"/>
    <e v="#NAME?"/>
    <m/>
    <m/>
    <m/>
    <m/>
    <m/>
  </r>
  <r>
    <s v="C810881"/>
    <s v="JOHN MAICOL NUÑEZ SANTA"/>
    <x v="0"/>
    <x v="4"/>
    <s v="BBVA"/>
    <e v="#NAME?"/>
    <x v="5"/>
    <n v="0.25"/>
    <s v="Desarrollador"/>
    <s v="Distribuido"/>
    <m/>
    <e v="#NAME?"/>
    <e v="#NAME?"/>
    <e v="#NAME?"/>
    <m/>
    <m/>
    <m/>
    <m/>
    <m/>
  </r>
  <r>
    <s v="C805972"/>
    <s v="JORGE ARMANDO MILLAN GOMEZ"/>
    <x v="0"/>
    <x v="4"/>
    <s v="BBVA"/>
    <e v="#NAME?"/>
    <x v="28"/>
    <n v="1"/>
    <s v="Desarrollador"/>
    <s v="Distribuido"/>
    <m/>
    <e v="#NAME?"/>
    <e v="#NAME?"/>
    <e v="#NAME?"/>
    <m/>
    <m/>
    <m/>
    <m/>
    <m/>
  </r>
  <r>
    <s v="C805323"/>
    <s v="JOSE MIGUEL PARDO"/>
    <x v="0"/>
    <x v="4"/>
    <s v="BBVA"/>
    <e v="#NAME?"/>
    <x v="31"/>
    <n v="1"/>
    <s v="Desarrollador"/>
    <s v="Distribuido"/>
    <m/>
    <e v="#NAME?"/>
    <e v="#NAME?"/>
    <e v="#NAME?"/>
    <m/>
    <m/>
    <m/>
    <m/>
    <m/>
  </r>
  <r>
    <s v="C804103"/>
    <s v="MAIRON STIVENS JIMENEZ QUIROGA"/>
    <x v="0"/>
    <x v="4"/>
    <s v="BBVA"/>
    <e v="#NAME?"/>
    <x v="31"/>
    <n v="0.5"/>
    <s v="Desarrollador"/>
    <s v="Distribuido"/>
    <m/>
    <e v="#NAME?"/>
    <e v="#NAME?"/>
    <e v="#NAME?"/>
    <m/>
    <m/>
    <m/>
    <m/>
    <m/>
  </r>
  <r>
    <s v="C804103"/>
    <s v="MAIRON STIVENS JIMENEZ QUIROGA"/>
    <x v="0"/>
    <x v="4"/>
    <s v="BBVA"/>
    <e v="#NAME?"/>
    <x v="29"/>
    <n v="0.5"/>
    <s v="Desarrollador"/>
    <s v="Distribuido"/>
    <m/>
    <e v="#NAME?"/>
    <e v="#NAME?"/>
    <e v="#NAME?"/>
    <m/>
    <m/>
    <m/>
    <m/>
    <m/>
  </r>
  <r>
    <s v="C805973"/>
    <s v="JESUS DAVID TELLO ARISTIZABAL"/>
    <x v="0"/>
    <x v="4"/>
    <s v="BBVA"/>
    <e v="#NAME?"/>
    <x v="30"/>
    <n v="1"/>
    <s v="Desarrollador"/>
    <s v="Mainframe"/>
    <m/>
    <e v="#NAME?"/>
    <e v="#NAME?"/>
    <e v="#NAME?"/>
    <m/>
    <m/>
    <m/>
    <m/>
    <m/>
  </r>
  <r>
    <s v="C805925"/>
    <s v="GUSTAVO ANDRES CAMARGO"/>
    <x v="0"/>
    <x v="4"/>
    <s v="BBVA"/>
    <e v="#NAME?"/>
    <x v="28"/>
    <n v="0.25"/>
    <s v="Desarrollador"/>
    <s v="Mainframe"/>
    <m/>
    <e v="#NAME?"/>
    <e v="#NAME?"/>
    <e v="#NAME?"/>
    <m/>
    <m/>
    <m/>
    <m/>
    <m/>
  </r>
  <r>
    <s v="O004604"/>
    <s v="DARREN NICOLAS DURAN JAMAICA"/>
    <x v="0"/>
    <x v="4"/>
    <s v="BBVA"/>
    <e v="#NAME?"/>
    <x v="3"/>
    <n v="1"/>
    <s v="Desarrollador"/>
    <s v="Mainframe"/>
    <m/>
    <e v="#NAME?"/>
    <e v="#NAME?"/>
    <e v="#NAME?"/>
    <m/>
    <m/>
    <m/>
    <m/>
    <m/>
  </r>
  <r>
    <s v="O000159"/>
    <s v="CAROL VIVIANA CARVAJALNAGLES"/>
    <x v="0"/>
    <x v="4"/>
    <s v="BBVA"/>
    <e v="#NAME?"/>
    <x v="28"/>
    <n v="0.5"/>
    <s v="Tech Manager/Líder"/>
    <s v="Distribuido"/>
    <m/>
    <e v="#NAME?"/>
    <e v="#NAME?"/>
    <e v="#NAME?"/>
    <m/>
    <m/>
    <m/>
    <m/>
    <m/>
  </r>
  <r>
    <s v="O000159"/>
    <s v="CAROL VIVIANA CARVAJALNAGLES"/>
    <x v="0"/>
    <x v="4"/>
    <s v="BBVA"/>
    <e v="#NAME?"/>
    <x v="31"/>
    <n v="0.25"/>
    <s v="Tech Manager/Líder"/>
    <s v="Distribuido"/>
    <m/>
    <e v="#NAME?"/>
    <e v="#NAME?"/>
    <e v="#NAME?"/>
    <m/>
    <m/>
    <m/>
    <m/>
    <m/>
  </r>
  <r>
    <s v="O000159"/>
    <s v="CAROL VIVIANA CARVAJALNAGLES"/>
    <x v="0"/>
    <x v="4"/>
    <s v="BBVA"/>
    <e v="#NAME?"/>
    <x v="29"/>
    <n v="0.15"/>
    <s v="Tech Manager/Líder"/>
    <s v="Distribuido"/>
    <m/>
    <e v="#NAME?"/>
    <e v="#NAME?"/>
    <e v="#NAME?"/>
    <m/>
    <m/>
    <m/>
    <m/>
    <m/>
  </r>
  <r>
    <s v="O000159"/>
    <s v="CAROL VIVIANA CARVAJALNAGLES"/>
    <x v="0"/>
    <x v="4"/>
    <s v="BBVA"/>
    <e v="#NAME?"/>
    <x v="5"/>
    <n v="0.1"/>
    <s v="Tech Manager/Líder"/>
    <s v="Distribuido"/>
    <m/>
    <e v="#NAME?"/>
    <e v="#NAME?"/>
    <e v="#NAME?"/>
    <m/>
    <m/>
    <m/>
    <m/>
    <m/>
  </r>
  <r>
    <s v="T005152"/>
    <s v="ANGELICA MARINA CASTILLA RENDON"/>
    <x v="0"/>
    <x v="4"/>
    <s v="Inetum"/>
    <e v="#NAME?"/>
    <x v="28"/>
    <n v="0.9"/>
    <s v="QA"/>
    <s v="Mainframe"/>
    <m/>
    <e v="#NAME?"/>
    <e v="#NAME?"/>
    <e v="#NAME?"/>
    <m/>
    <m/>
    <m/>
    <m/>
    <m/>
  </r>
  <r>
    <s v="T005152"/>
    <s v="ANGELICA MARINA CASTILLA RENDON"/>
    <x v="0"/>
    <x v="4"/>
    <s v="Inetum"/>
    <e v="#NAME?"/>
    <x v="29"/>
    <n v="0.1"/>
    <s v="QA"/>
    <s v="Distribuido"/>
    <m/>
    <e v="#NAME?"/>
    <e v="#NAME?"/>
    <e v="#NAME?"/>
    <m/>
    <m/>
    <m/>
    <m/>
    <m/>
  </r>
  <r>
    <s v="CE68432"/>
    <s v="ANGELY JOHANA GONZALEZ VILLAMIL"/>
    <x v="0"/>
    <x v="4"/>
    <s v="Choucair"/>
    <e v="#NAME?"/>
    <x v="31"/>
    <n v="1"/>
    <s v="QA"/>
    <s v="Distribuido"/>
    <m/>
    <e v="#NAME?"/>
    <e v="#NAME?"/>
    <e v="#NAME?"/>
    <m/>
    <m/>
    <m/>
    <m/>
    <m/>
  </r>
  <r>
    <s v="CE60767"/>
    <s v="JEIMMY ALEJANDRA SANCHEZ LOPEZ"/>
    <x v="0"/>
    <x v="4"/>
    <s v="Choucair"/>
    <e v="#NAME?"/>
    <x v="31"/>
    <n v="1"/>
    <s v="QA"/>
    <s v="Distribuido"/>
    <m/>
    <e v="#NAME?"/>
    <e v="#NAME?"/>
    <e v="#NAME?"/>
    <m/>
    <m/>
    <m/>
    <m/>
    <m/>
  </r>
  <r>
    <s v="T002011"/>
    <s v="YEIMY TATIANA ZAMORA GUEVARA"/>
    <x v="0"/>
    <x v="4"/>
    <s v="Choucair"/>
    <e v="#NAME?"/>
    <x v="31"/>
    <n v="1"/>
    <s v="QA"/>
    <s v="Distribuido"/>
    <m/>
    <e v="#NAME?"/>
    <e v="#NAME?"/>
    <e v="#NAME?"/>
    <m/>
    <m/>
    <m/>
    <m/>
    <m/>
  </r>
  <r>
    <s v="CE65276"/>
    <s v="JOHANA IDALY GARZON RUIZ"/>
    <x v="0"/>
    <x v="4"/>
    <s v="Choucair"/>
    <e v="#NAME?"/>
    <x v="31"/>
    <n v="1"/>
    <s v="QA"/>
    <s v="Distribuido"/>
    <m/>
    <e v="#NAME?"/>
    <e v="#NAME?"/>
    <e v="#NAME?"/>
    <m/>
    <m/>
    <m/>
    <m/>
    <m/>
  </r>
  <r>
    <s v="CE51577"/>
    <s v="LINA JULIETH REDONDO SOLER"/>
    <x v="0"/>
    <x v="4"/>
    <s v="Choucair"/>
    <e v="#NAME?"/>
    <x v="28"/>
    <n v="1"/>
    <s v="QA"/>
    <s v="Mainframe"/>
    <m/>
    <e v="#NAME?"/>
    <e v="#NAME?"/>
    <e v="#NAME?"/>
    <m/>
    <m/>
    <m/>
    <m/>
    <m/>
  </r>
  <r>
    <s v="CE68565"/>
    <s v="JELBER STIBEN LOZANO PRADA"/>
    <x v="0"/>
    <x v="4"/>
    <s v="Choucair"/>
    <e v="#NAME?"/>
    <x v="28"/>
    <n v="1"/>
    <s v="QA"/>
    <s v="Distribuido"/>
    <m/>
    <e v="#NAME?"/>
    <e v="#NAME?"/>
    <e v="#NAME?"/>
    <m/>
    <m/>
    <m/>
    <m/>
    <m/>
  </r>
  <r>
    <s v="CE66305"/>
    <s v="LADY JOHANNA ARDILA ABELLO"/>
    <x v="0"/>
    <x v="4"/>
    <s v="Choucair"/>
    <e v="#NAME?"/>
    <x v="28"/>
    <n v="1"/>
    <s v="QA"/>
    <s v="Mainframe"/>
    <m/>
    <e v="#NAME?"/>
    <e v="#NAME?"/>
    <e v="#NAME?"/>
    <m/>
    <m/>
    <m/>
    <m/>
    <m/>
  </r>
  <r>
    <s v="CE67889"/>
    <s v="YEIMY PATRICIA PELAEZ ARENAS"/>
    <x v="0"/>
    <x v="4"/>
    <s v="Choucair"/>
    <e v="#NAME?"/>
    <x v="28"/>
    <n v="1"/>
    <s v="QA"/>
    <s v="Distribuido"/>
    <m/>
    <e v="#NAME?"/>
    <e v="#NAME?"/>
    <e v="#NAME?"/>
    <m/>
    <m/>
    <m/>
    <m/>
    <m/>
  </r>
  <r>
    <s v="T010295"/>
    <s v="KAREN JULIETH VASQUEZ ROMERO"/>
    <x v="0"/>
    <x v="4"/>
    <s v="Choucair"/>
    <e v="#NAME?"/>
    <x v="28"/>
    <n v="1"/>
    <s v="QA"/>
    <s v="Mainframe"/>
    <m/>
    <e v="#NAME?"/>
    <e v="#NAME?"/>
    <e v="#NAME?"/>
    <m/>
    <m/>
    <m/>
    <m/>
    <m/>
  </r>
  <r>
    <s v="CE51510"/>
    <s v="JULY VANESSA TORRES ZARATE"/>
    <x v="0"/>
    <x v="4"/>
    <s v="Choucair"/>
    <e v="#NAME?"/>
    <x v="28"/>
    <n v="1"/>
    <s v="QA"/>
    <s v="Distribuido"/>
    <m/>
    <e v="#NAME?"/>
    <e v="#NAME?"/>
    <e v="#NAME?"/>
    <m/>
    <m/>
    <m/>
    <m/>
    <m/>
  </r>
  <r>
    <s v="CE68432"/>
    <s v="PAUL JONATHAN VALENCIA MUÑOZ"/>
    <x v="0"/>
    <x v="4"/>
    <s v="Choucair"/>
    <e v="#NAME?"/>
    <x v="28"/>
    <n v="1"/>
    <s v="QA"/>
    <s v="Distribuido"/>
    <m/>
    <e v="#NAME?"/>
    <e v="#NAME?"/>
    <e v="#NAME?"/>
    <m/>
    <m/>
    <m/>
    <m/>
    <m/>
  </r>
  <r>
    <s v=" T011816"/>
    <s v="JENNY PAOLA LOSADA VELASCO"/>
    <x v="0"/>
    <x v="4"/>
    <s v="Choucair"/>
    <e v="#NAME?"/>
    <x v="28"/>
    <n v="1"/>
    <s v="QA"/>
    <s v="Distribuido"/>
    <m/>
    <e v="#NAME?"/>
    <e v="#NAME?"/>
    <e v="#NAME?"/>
    <m/>
    <m/>
    <m/>
    <m/>
    <m/>
  </r>
  <r>
    <s v="T012212"/>
    <s v="MONICA ALEJANDRA QUINTERO PEREZ"/>
    <x v="0"/>
    <x v="4"/>
    <s v="Choucair"/>
    <e v="#NAME?"/>
    <x v="28"/>
    <n v="1"/>
    <s v="QA"/>
    <s v="Distribuido"/>
    <m/>
    <e v="#NAME?"/>
    <e v="#NAME?"/>
    <e v="#NAME?"/>
    <m/>
    <m/>
    <m/>
    <m/>
    <m/>
  </r>
  <r>
    <s v="CE30318"/>
    <s v="ROBERTO ANTONIO MARTINEZ"/>
    <x v="0"/>
    <x v="4"/>
    <s v="KRYPTO"/>
    <e v="#NAME?"/>
    <x v="28"/>
    <n v="0.1"/>
    <s v="QA"/>
    <s v="Mainframe"/>
    <m/>
    <e v="#NAME?"/>
    <e v="#NAME?"/>
    <e v="#NAME?"/>
    <m/>
    <m/>
    <m/>
    <m/>
    <m/>
  </r>
  <r>
    <s v="CE30318"/>
    <s v="ROBERTO ANTONIO MARTINEZ"/>
    <x v="0"/>
    <x v="4"/>
    <s v="KRYPTO"/>
    <e v="#NAME?"/>
    <x v="31"/>
    <n v="0.1"/>
    <s v="QA"/>
    <s v="Distribuido"/>
    <m/>
    <e v="#NAME?"/>
    <e v="#NAME?"/>
    <e v="#NAME?"/>
    <m/>
    <m/>
    <m/>
    <m/>
    <m/>
  </r>
  <r>
    <s v="CE30318"/>
    <s v="ROBERTO ANTONIO MARTINEZ"/>
    <x v="0"/>
    <x v="4"/>
    <s v="KRYPTO"/>
    <e v="#NAME?"/>
    <x v="29"/>
    <n v="0.05"/>
    <s v="QA"/>
    <s v="Distribuido"/>
    <m/>
    <e v="#NAME?"/>
    <e v="#NAME?"/>
    <e v="#NAME?"/>
    <m/>
    <m/>
    <m/>
    <m/>
    <m/>
  </r>
  <r>
    <s v="CE41979"/>
    <s v="DILSON PARDO SANTANA"/>
    <x v="0"/>
    <x v="0"/>
    <s v="Inetum"/>
    <e v="#NAME?"/>
    <x v="5"/>
    <n v="7.0000000000000007E-2"/>
    <s v="QA"/>
    <s v="Distribuido"/>
    <m/>
    <e v="#NAME?"/>
    <e v="#NAME?"/>
    <e v="#NAME?"/>
    <m/>
    <m/>
    <m/>
    <m/>
    <m/>
  </r>
  <r>
    <s v="CE41979"/>
    <s v="DILSON PARDO SANTANA"/>
    <x v="0"/>
    <x v="0"/>
    <s v="Inetum"/>
    <e v="#NAME?"/>
    <x v="3"/>
    <n v="0.1"/>
    <s v="QA"/>
    <s v="Distribuido"/>
    <m/>
    <e v="#NAME?"/>
    <e v="#NAME?"/>
    <e v="#NAME?"/>
    <m/>
    <m/>
    <m/>
    <m/>
    <m/>
  </r>
  <r>
    <s v="CE41979"/>
    <s v="DILSON PARDO SANTANA"/>
    <x v="0"/>
    <x v="0"/>
    <s v="Inetum"/>
    <e v="#NAME?"/>
    <x v="4"/>
    <n v="0.08"/>
    <s v="QA"/>
    <s v="Distribuido"/>
    <m/>
    <e v="#NAME?"/>
    <e v="#NAME?"/>
    <e v="#NAME?"/>
    <m/>
    <m/>
    <m/>
    <m/>
    <m/>
  </r>
  <r>
    <s v="CE30318"/>
    <s v="ROBERTO ANTONIO MARTINEZ"/>
    <x v="0"/>
    <x v="4"/>
    <s v="KRYPTO"/>
    <e v="#NAME?"/>
    <x v="3"/>
    <n v="0.25"/>
    <s v="QA"/>
    <s v="Distribuido"/>
    <m/>
    <e v="#NAME?"/>
    <e v="#NAME?"/>
    <e v="#NAME?"/>
    <m/>
    <m/>
    <m/>
    <m/>
    <m/>
  </r>
  <r>
    <s v="CE41979"/>
    <s v="DILSON PARDO SANTANA"/>
    <x v="0"/>
    <x v="0"/>
    <s v="Inetum"/>
    <e v="#NAME?"/>
    <x v="3"/>
    <n v="0.25"/>
    <s v="QA"/>
    <s v="Distribuido"/>
    <m/>
    <e v="#NAME?"/>
    <e v="#NAME?"/>
    <e v="#NAME?"/>
    <m/>
    <m/>
    <m/>
    <m/>
    <m/>
  </r>
  <r>
    <s v="CE69031"/>
    <s v="WILLIAM ROBERTO MORA BERNAL"/>
    <x v="0"/>
    <x v="0"/>
    <s v="KRYPTO"/>
    <e v="#NAME?"/>
    <x v="3"/>
    <n v="0.25"/>
    <s v="Otros"/>
    <s v="Distribuido"/>
    <m/>
    <e v="#NAME?"/>
    <e v="#NAME?"/>
    <e v="#NAME?"/>
    <m/>
    <m/>
    <m/>
    <m/>
    <m/>
  </r>
  <r>
    <s v="CE30318"/>
    <s v="ROBERTO ANTONIO MARTINEZ"/>
    <x v="0"/>
    <x v="0"/>
    <s v="KRYPTO"/>
    <e v="#NAME?"/>
    <x v="3"/>
    <n v="7.0000000000000007E-2"/>
    <s v="QA"/>
    <s v="Distribuido"/>
    <m/>
    <e v="#NAME?"/>
    <e v="#NAME?"/>
    <e v="#NAME?"/>
    <m/>
    <m/>
    <m/>
    <m/>
    <m/>
  </r>
  <r>
    <s v="CE41979"/>
    <s v="DILSON PARDO SANTANA"/>
    <x v="0"/>
    <x v="4"/>
    <s v="Inetum"/>
    <e v="#NAME?"/>
    <x v="28"/>
    <n v="0.1"/>
    <s v="QA"/>
    <s v="Distribuido"/>
    <m/>
    <e v="#NAME?"/>
    <e v="#NAME?"/>
    <e v="#NAME?"/>
    <m/>
    <m/>
    <m/>
    <m/>
    <m/>
  </r>
  <r>
    <s v="CE41979"/>
    <s v="DILSON PARDO SANTANA"/>
    <x v="0"/>
    <x v="4"/>
    <s v="Inetum"/>
    <e v="#NAME?"/>
    <x v="31"/>
    <n v="0.1"/>
    <s v="QA"/>
    <s v="Distribuido"/>
    <m/>
    <e v="#NAME?"/>
    <e v="#NAME?"/>
    <e v="#NAME?"/>
    <m/>
    <m/>
    <m/>
    <m/>
    <m/>
  </r>
  <r>
    <s v="CE41979"/>
    <s v="DILSON PARDO SANTANA"/>
    <x v="0"/>
    <x v="4"/>
    <s v="Inetum"/>
    <e v="#NAME?"/>
    <x v="29"/>
    <n v="0.05"/>
    <s v="QA"/>
    <s v="Distribuido"/>
    <m/>
    <e v="#NAME?"/>
    <e v="#NAME?"/>
    <e v="#NAME?"/>
    <m/>
    <m/>
    <m/>
    <m/>
    <m/>
  </r>
  <r>
    <s v="CE41979"/>
    <s v="DILSON PARDO SANTANA"/>
    <x v="0"/>
    <x v="4"/>
    <s v="Inetum"/>
    <e v="#NAME?"/>
    <x v="3"/>
    <n v="0.25"/>
    <s v="QA"/>
    <s v="Distribuido"/>
    <m/>
    <e v="#NAME?"/>
    <e v="#NAME?"/>
    <e v="#NAME?"/>
    <m/>
    <m/>
    <m/>
    <m/>
    <m/>
  </r>
  <r>
    <s v="CE69031"/>
    <s v="WILLIAM ROBERTO MORA BERNAL"/>
    <x v="0"/>
    <x v="4"/>
    <s v="KRYPTO"/>
    <e v="#NAME?"/>
    <x v="3"/>
    <n v="0.25"/>
    <s v="Otros"/>
    <s v="Distribuido"/>
    <m/>
    <e v="#NAME?"/>
    <e v="#NAME?"/>
    <e v="#NAME?"/>
    <m/>
    <m/>
    <m/>
    <m/>
    <m/>
  </r>
  <r>
    <s v="CE69031"/>
    <s v="WILLIAM ROBERTO MORA BERNAL"/>
    <x v="0"/>
    <x v="4"/>
    <s v="KRYPTO"/>
    <e v="#NAME?"/>
    <x v="28"/>
    <n v="0.1"/>
    <s v="Otros"/>
    <s v="Mainframe"/>
    <m/>
    <e v="#NAME?"/>
    <e v="#NAME?"/>
    <e v="#NAME?"/>
    <m/>
    <m/>
    <m/>
    <m/>
    <m/>
  </r>
  <r>
    <s v="CE69031"/>
    <s v="WILLIAM ROBERTO MORA BERNAL"/>
    <x v="0"/>
    <x v="4"/>
    <s v="KRYPTO"/>
    <e v="#NAME?"/>
    <x v="31"/>
    <n v="0.1"/>
    <s v="Otros"/>
    <s v="Distribuido"/>
    <m/>
    <e v="#NAME?"/>
    <e v="#NAME?"/>
    <e v="#NAME?"/>
    <m/>
    <m/>
    <m/>
    <m/>
    <m/>
  </r>
  <r>
    <s v="CE69031"/>
    <s v="WILLIAM ROBERTO MORA BERNAL"/>
    <x v="0"/>
    <x v="4"/>
    <s v="KRYPTO"/>
    <e v="#NAME?"/>
    <x v="29"/>
    <n v="0.05"/>
    <s v="Otros"/>
    <s v="Distribuido"/>
    <m/>
    <e v="#NAME?"/>
    <e v="#NAME?"/>
    <e v="#NAME?"/>
    <m/>
    <m/>
    <m/>
    <m/>
    <m/>
  </r>
  <r>
    <s v="O000108"/>
    <s v="FELIPE ALONSO SOTO CABALLERO"/>
    <x v="1"/>
    <x v="1"/>
    <s v="BBVA"/>
    <e v="#NAME?"/>
    <x v="12"/>
    <n v="0.7"/>
    <s v="Desarrollador"/>
    <s v="Otras Tec."/>
    <s v="Legacy :power Builder"/>
    <e v="#NAME?"/>
    <e v="#NAME?"/>
    <e v="#NAME?"/>
    <m/>
    <m/>
    <m/>
    <m/>
    <m/>
  </r>
  <r>
    <s v="O000108"/>
    <s v="FELIPE ALONSO SOTO CABALLERO"/>
    <x v="1"/>
    <x v="1"/>
    <s v="BBVA"/>
    <e v="#NAME?"/>
    <x v="32"/>
    <n v="0.3"/>
    <s v="Desarrollador"/>
    <s v="Otras Tec."/>
    <s v="Legacy :power Builder"/>
    <e v="#NAME?"/>
    <e v="#NAME?"/>
    <e v="#NAME?"/>
    <m/>
    <m/>
    <m/>
    <m/>
    <m/>
  </r>
  <r>
    <s v="CE30318"/>
    <s v="ROBERTO ANTONIO MARTINEZ"/>
    <x v="0"/>
    <x v="0"/>
    <s v="KRYPTO"/>
    <e v="#NAME?"/>
    <x v="5"/>
    <n v="0.1"/>
    <s v="QA"/>
    <s v="Distribuido"/>
    <m/>
    <e v="#NAME?"/>
    <e v="#NAME?"/>
    <e v="#NAME?"/>
    <m/>
    <m/>
    <m/>
    <m/>
    <m/>
  </r>
  <r>
    <s v="CE30318"/>
    <s v="ROBERTO ANTONIO MARTINEZ"/>
    <x v="0"/>
    <x v="0"/>
    <s v="KRYPTO"/>
    <e v="#NAME?"/>
    <x v="4"/>
    <n v="0.08"/>
    <s v="QA"/>
    <s v="Distribuido"/>
    <m/>
    <e v="#NAME?"/>
    <e v="#NAME?"/>
    <e v="#NAME?"/>
    <m/>
    <m/>
    <m/>
    <m/>
    <m/>
  </r>
  <r>
    <s v="CE30318"/>
    <s v="ROBERTO ANTONIO MARTINEZ"/>
    <x v="0"/>
    <x v="0"/>
    <s v="KRYPTO"/>
    <e v="#NAME?"/>
    <x v="3"/>
    <n v="0.25"/>
    <s v="QA"/>
    <s v="Distribuido"/>
    <m/>
    <e v="#NAME?"/>
    <e v="#NAME?"/>
    <e v="#NAME?"/>
    <m/>
    <m/>
    <m/>
    <m/>
    <m/>
  </r>
  <r>
    <s v="C801586"/>
    <s v="SANDRA LILIANA SANCHEZ PULIDO"/>
    <x v="0"/>
    <x v="0"/>
    <s v="BBVA"/>
    <e v="#NAME?"/>
    <x v="3"/>
    <n v="1"/>
    <s v="Tech Manager/Líder"/>
    <s v="Mainframe"/>
    <m/>
    <e v="#NAME?"/>
    <e v="#NAME?"/>
    <e v="#NAME?"/>
    <m/>
    <m/>
    <m/>
    <m/>
    <m/>
  </r>
  <r>
    <s v="CE59142"/>
    <s v="MARTHA LUCIA PORRAS"/>
    <x v="0"/>
    <x v="0"/>
    <s v="Inetum"/>
    <e v="#NAME?"/>
    <x v="3"/>
    <n v="1"/>
    <s v="Otros"/>
    <s v="Mainframe"/>
    <m/>
    <e v="#NAME?"/>
    <e v="#NAME?"/>
    <e v="#NAME?"/>
    <m/>
    <m/>
    <m/>
    <m/>
    <m/>
  </r>
  <r>
    <s v="CE66182"/>
    <s v="JUAN MARTIN UMAÑA"/>
    <x v="0"/>
    <x v="0"/>
    <s v="Inetum"/>
    <e v="#NAME?"/>
    <x v="3"/>
    <n v="1"/>
    <s v="Desarrollador"/>
    <s v="Mainframe"/>
    <m/>
    <e v="#NAME?"/>
    <e v="#NAME?"/>
    <e v="#NAME?"/>
    <m/>
    <m/>
    <m/>
    <m/>
    <m/>
  </r>
  <r>
    <s v="CE52790"/>
    <s v="GERMAN ZARRIA MENDEZ"/>
    <x v="0"/>
    <x v="0"/>
    <s v="Inetum"/>
    <e v="#NAME?"/>
    <x v="3"/>
    <n v="1"/>
    <s v="Desarrollador"/>
    <s v="Mainframe"/>
    <m/>
    <e v="#NAME?"/>
    <e v="#NAME?"/>
    <e v="#NAME?"/>
    <m/>
    <m/>
    <m/>
    <m/>
    <m/>
  </r>
  <r>
    <s v="CE50160"/>
    <s v="CONSUELO MOLINA GUERRERO"/>
    <x v="0"/>
    <x v="0"/>
    <s v="Inetum"/>
    <e v="#NAME?"/>
    <x v="3"/>
    <n v="1"/>
    <s v="Desarrollador"/>
    <s v="Mainframe"/>
    <m/>
    <e v="#NAME?"/>
    <e v="#NAME?"/>
    <e v="#NAME?"/>
    <m/>
    <m/>
    <m/>
    <m/>
    <m/>
  </r>
  <r>
    <s v="CE57567"/>
    <s v="GIOVANNI ESGUERRA VELANDIA"/>
    <x v="0"/>
    <x v="0"/>
    <s v="Inetum"/>
    <e v="#NAME?"/>
    <x v="3"/>
    <n v="1"/>
    <s v="Desarrollador"/>
    <s v="Mainframe"/>
    <m/>
    <e v="#NAME?"/>
    <e v="#NAME?"/>
    <e v="#NAME?"/>
    <m/>
    <m/>
    <m/>
    <m/>
    <m/>
  </r>
  <r>
    <s v="CE63508"/>
    <s v="DANNA VALERIA MESA ALFONSO"/>
    <x v="0"/>
    <x v="0"/>
    <s v="Inetum"/>
    <e v="#NAME?"/>
    <x v="3"/>
    <n v="1"/>
    <s v="QA"/>
    <s v="Mainframe"/>
    <m/>
    <e v="#NAME?"/>
    <e v="#NAME?"/>
    <e v="#NAME?"/>
    <m/>
    <m/>
    <m/>
    <m/>
    <m/>
  </r>
  <r>
    <s v="C802316"/>
    <s v="CAMILO ALBERTO GARCES BELTRAN"/>
    <x v="1"/>
    <x v="1"/>
    <s v="BBVA"/>
    <e v="#NAME?"/>
    <x v="33"/>
    <n v="0.7"/>
    <s v="Desarrollador"/>
    <s v="Otras Tec."/>
    <s v="Legacy :power Builder"/>
    <e v="#NAME?"/>
    <e v="#NAME?"/>
    <e v="#NAME?"/>
    <m/>
    <m/>
    <m/>
    <m/>
    <m/>
  </r>
  <r>
    <s v="C802316"/>
    <s v="CAMILO ALBERTO GARCES BELTRAN"/>
    <x v="1"/>
    <x v="1"/>
    <s v="BBVA"/>
    <e v="#NAME?"/>
    <x v="34"/>
    <n v="0.3"/>
    <s v="Desarrollador"/>
    <s v="Otras Tec."/>
    <s v="Legacy :power Builder"/>
    <e v="#NAME?"/>
    <e v="#NAME?"/>
    <e v="#NAME?"/>
    <m/>
    <m/>
    <m/>
    <m/>
    <m/>
  </r>
  <r>
    <s v="C782982"/>
    <s v="ANA CONSUELO TRASLAVIÑA"/>
    <x v="1"/>
    <x v="1"/>
    <s v="BBVA"/>
    <e v="#NAME?"/>
    <x v="33"/>
    <n v="0.3"/>
    <s v="Tech Manager/Líder"/>
    <s v="Otras Tec."/>
    <s v="Legacy :power Builder"/>
    <e v="#NAME?"/>
    <e v="#NAME?"/>
    <e v="#NAME?"/>
    <m/>
    <m/>
    <m/>
    <m/>
    <m/>
  </r>
  <r>
    <s v="C782982"/>
    <s v="ANA CONSUELO TRASLAVIÑA"/>
    <x v="1"/>
    <x v="1"/>
    <s v="BBVA"/>
    <e v="#NAME?"/>
    <x v="34"/>
    <n v="0.3"/>
    <s v="Tech Manager/Líder"/>
    <s v="Otras Tec."/>
    <s v="Legacy :power Builder"/>
    <e v="#NAME?"/>
    <e v="#NAME?"/>
    <e v="#NAME?"/>
    <m/>
    <m/>
    <m/>
    <m/>
    <m/>
  </r>
  <r>
    <s v="C782982"/>
    <s v="ANA CONSUELO TRASLAVIÑA"/>
    <x v="1"/>
    <x v="1"/>
    <s v="BBVA"/>
    <e v="#NAME?"/>
    <x v="12"/>
    <n v="0.3"/>
    <s v="Tech Manager/Líder"/>
    <s v="Otras Tec."/>
    <s v="Legacy :power Builder"/>
    <e v="#NAME?"/>
    <e v="#NAME?"/>
    <e v="#NAME?"/>
    <m/>
    <m/>
    <m/>
    <m/>
    <m/>
  </r>
  <r>
    <s v="C782982"/>
    <s v="ANA CONSUELO TRASLAVIÑA"/>
    <x v="1"/>
    <x v="1"/>
    <s v="BBVA"/>
    <e v="#NAME?"/>
    <x v="32"/>
    <n v="0.1"/>
    <s v="Tech Manager/Líder"/>
    <s v="Otras Tec."/>
    <s v="Legacy :power Builder"/>
    <e v="#NAME?"/>
    <e v="#NAME?"/>
    <e v="#NAME?"/>
    <m/>
    <m/>
    <m/>
    <m/>
    <m/>
  </r>
  <r>
    <s v="CE43166"/>
    <s v="DEYSON EMIR MURILLO MORENO"/>
    <x v="1"/>
    <x v="1"/>
    <s v="Tecnoevolución"/>
    <e v="#NAME?"/>
    <x v="32"/>
    <n v="0.25"/>
    <s v="Tech Manager/Líder"/>
    <s v="Otras Tec."/>
    <s v="Legacy :power Builder"/>
    <e v="#NAME?"/>
    <e v="#NAME?"/>
    <e v="#NAME?"/>
    <m/>
    <m/>
    <m/>
    <m/>
    <m/>
  </r>
  <r>
    <s v="CE43166"/>
    <s v="DEYSON EMIR MURILLO MORENO"/>
    <x v="1"/>
    <x v="1"/>
    <s v="Tecnoevolución"/>
    <e v="#NAME?"/>
    <x v="12"/>
    <n v="0.25"/>
    <s v="Tech Manager/Líder"/>
    <s v="Otras Tec."/>
    <s v="Legacy :power Builder"/>
    <e v="#NAME?"/>
    <e v="#NAME?"/>
    <e v="#NAME?"/>
    <m/>
    <m/>
    <m/>
    <m/>
    <m/>
  </r>
  <r>
    <s v="CE69376"/>
    <s v="_x0009_LIZETH DUEÑAS"/>
    <x v="1"/>
    <x v="1"/>
    <s v="Tecnoevolución"/>
    <e v="#NAME?"/>
    <x v="32"/>
    <n v="0.25"/>
    <s v="Otros"/>
    <s v="Otras Tec."/>
    <s v="Legacy :power Builder"/>
    <e v="#NAME?"/>
    <e v="#NAME?"/>
    <e v="#NAME?"/>
    <m/>
    <m/>
    <m/>
    <m/>
    <m/>
  </r>
  <r>
    <s v="CE69376"/>
    <s v="_x0009_LIZETH DUEÑAS"/>
    <x v="1"/>
    <x v="1"/>
    <s v="Tecnoevolución"/>
    <e v="#NAME?"/>
    <x v="12"/>
    <n v="0.25"/>
    <s v="Otros"/>
    <s v="Otras Tec."/>
    <s v="Legacy :power Builder"/>
    <e v="#NAME?"/>
    <e v="#NAME?"/>
    <e v="#NAME?"/>
    <m/>
    <m/>
    <m/>
    <m/>
    <m/>
  </r>
  <r>
    <s v="CE69380"/>
    <s v="_x0009_DIOCLECIANO LOPÉZ"/>
    <x v="1"/>
    <x v="1"/>
    <s v="Tecnoevolución"/>
    <e v="#NAME?"/>
    <x v="12"/>
    <n v="0.5"/>
    <s v="Desarrollador"/>
    <s v="Otras Tec."/>
    <s v="Legacy :power Builder"/>
    <e v="#NAME?"/>
    <e v="#NAME?"/>
    <e v="#NAME?"/>
    <m/>
    <m/>
    <m/>
    <m/>
    <m/>
  </r>
  <r>
    <s v="CE69380"/>
    <s v="_x0009_DIOCLECIANO LOPÉZ"/>
    <x v="1"/>
    <x v="1"/>
    <s v="Tecnoevolución"/>
    <e v="#NAME?"/>
    <x v="34"/>
    <n v="0.3"/>
    <s v="Desarrollador"/>
    <s v="Otras Tec."/>
    <s v="Legacy :power Builder"/>
    <e v="#NAME?"/>
    <e v="#NAME?"/>
    <e v="#NAME?"/>
    <m/>
    <m/>
    <m/>
    <m/>
    <m/>
  </r>
  <r>
    <s v="CE69377"/>
    <s v="CESAR EUCLIDES MURILLO CAICEDO"/>
    <x v="1"/>
    <x v="1"/>
    <s v="Tecnoevolución"/>
    <e v="#NAME?"/>
    <x v="12"/>
    <n v="0.4"/>
    <s v="Desarrollador"/>
    <s v="Otras Tec."/>
    <s v="Legacy :power Builder"/>
    <e v="#NAME?"/>
    <e v="#NAME?"/>
    <e v="#NAME?"/>
    <m/>
    <m/>
    <m/>
    <m/>
    <m/>
  </r>
  <r>
    <s v="CE64877"/>
    <s v="LUIS GUILLERMO SANCHEZ"/>
    <x v="1"/>
    <x v="1"/>
    <s v="Tecnoevolución"/>
    <e v="#NAME?"/>
    <x v="32"/>
    <n v="0.3"/>
    <s v="Desarrollador"/>
    <s v="Otras Tec."/>
    <s v="Legacy :power Builder"/>
    <e v="#NAME?"/>
    <e v="#NAME?"/>
    <e v="#NAME?"/>
    <m/>
    <m/>
    <m/>
    <m/>
    <m/>
  </r>
  <r>
    <s v="CE64378"/>
    <s v="SANTIAGO ALEJANDRO CORREDOR"/>
    <x v="1"/>
    <x v="1"/>
    <s v="Tecnoevolución"/>
    <e v="#NAME?"/>
    <x v="33"/>
    <n v="0.25"/>
    <s v="Tech Manager/Líder"/>
    <s v="Otras Tec."/>
    <s v="Legacy :power Builder"/>
    <e v="#NAME?"/>
    <e v="#NAME?"/>
    <e v="#NAME?"/>
    <m/>
    <m/>
    <m/>
    <m/>
    <m/>
  </r>
  <r>
    <s v="CE64378"/>
    <s v="SANTIAGO ALEJANDRO CORREDOR"/>
    <x v="1"/>
    <x v="1"/>
    <s v="Tecnoevolución"/>
    <e v="#NAME?"/>
    <x v="34"/>
    <n v="0.25"/>
    <s v="Tech Manager/Líder"/>
    <s v="Otras Tec."/>
    <s v="Legacy :power Builder"/>
    <e v="#NAME?"/>
    <e v="#NAME?"/>
    <e v="#NAME?"/>
    <m/>
    <m/>
    <m/>
    <m/>
    <m/>
  </r>
  <r>
    <s v="CE55477"/>
    <s v="LIZZETH PAOLA FORERO"/>
    <x v="0"/>
    <x v="4"/>
    <s v="Choucair"/>
    <e v="#NAME?"/>
    <x v="3"/>
    <n v="1"/>
    <s v="QA"/>
    <s v="Distribuido"/>
    <m/>
    <e v="#NAME?"/>
    <e v="#NAME?"/>
    <e v="#NAME?"/>
    <m/>
    <m/>
    <m/>
    <m/>
    <m/>
  </r>
  <r>
    <s v="T002794"/>
    <s v="OSVALDO JAVIER LOPEZ CASTILLO"/>
    <x v="0"/>
    <x v="4"/>
    <s v="DIMENSION"/>
    <e v="#NAME?"/>
    <x v="3"/>
    <n v="1"/>
    <s v="Desarrollador"/>
    <s v="Distribuido"/>
    <m/>
    <e v="#NAME?"/>
    <e v="#NAME?"/>
    <e v="#NAME?"/>
    <m/>
    <m/>
    <m/>
    <m/>
    <m/>
  </r>
  <r>
    <s v="CE69114"/>
    <s v="SERGIO LUIS DIAZ TORO"/>
    <x v="0"/>
    <x v="4"/>
    <s v="DIMENSION"/>
    <e v="#NAME?"/>
    <x v="3"/>
    <n v="1"/>
    <s v="Desarrollador"/>
    <s v="Distribuido"/>
    <m/>
    <e v="#NAME?"/>
    <e v="#NAME?"/>
    <e v="#NAME?"/>
    <m/>
    <m/>
    <m/>
    <m/>
    <m/>
  </r>
  <r>
    <s v="O001973"/>
    <s v="MANUEL ESTEBAN MORENO"/>
    <x v="0"/>
    <x v="4"/>
    <s v="BBVA"/>
    <e v="#NAME?"/>
    <x v="3"/>
    <n v="1"/>
    <s v="Desarrollador"/>
    <s v="Distribuido"/>
    <m/>
    <e v="#NAME?"/>
    <e v="#NAME?"/>
    <e v="#NAME?"/>
    <m/>
    <m/>
    <m/>
    <m/>
    <m/>
  </r>
  <r>
    <s v="C805971"/>
    <s v="CARLOS EDUARDO BELLO"/>
    <x v="0"/>
    <x v="4"/>
    <s v="BBVA"/>
    <e v="#NAME?"/>
    <x v="3"/>
    <n v="1"/>
    <s v="Desarrollador"/>
    <s v="Distribuido"/>
    <m/>
    <e v="#NAME?"/>
    <e v="#NAME?"/>
    <e v="#NAME?"/>
    <m/>
    <m/>
    <m/>
    <m/>
    <m/>
  </r>
  <r>
    <s v="C805925"/>
    <s v="GUSTAVO ANDRES CAMARGO"/>
    <x v="0"/>
    <x v="4"/>
    <s v="BBVA"/>
    <e v="#NAME?"/>
    <x v="3"/>
    <n v="0.75"/>
    <s v="Desarrollador"/>
    <s v="Otras Tec."/>
    <m/>
    <e v="#NAME?"/>
    <e v="#NAME?"/>
    <e v="#NAME?"/>
    <m/>
    <m/>
    <m/>
    <m/>
    <m/>
  </r>
  <r>
    <s v="C810899"/>
    <s v="BRAYAN JOSE VIVAS GOMEZ"/>
    <x v="0"/>
    <x v="4"/>
    <s v="BBVA"/>
    <e v="#NAME?"/>
    <x v="3"/>
    <n v="1"/>
    <s v="Tech Manager/Líder"/>
    <s v="Distribuido"/>
    <m/>
    <e v="#NAME?"/>
    <e v="#NAME?"/>
    <e v="#NAME?"/>
    <m/>
    <m/>
    <m/>
    <m/>
    <m/>
  </r>
  <r>
    <s v="C802949"/>
    <s v="NESTOR EDUARDO SILVA VERGARA "/>
    <x v="2"/>
    <x v="5"/>
    <s v="BBVA"/>
    <e v="#NAME?"/>
    <x v="3"/>
    <n v="1"/>
    <s v="Tech Manager/Líder"/>
    <s v="Mainframe"/>
    <m/>
    <e v="#NAME?"/>
    <e v="#NAME?"/>
    <e v="#NAME?"/>
    <m/>
    <m/>
    <m/>
    <m/>
    <m/>
  </r>
  <r>
    <s v="O000118"/>
    <s v="JONATHAN ANGEL MURCIA"/>
    <x v="2"/>
    <x v="5"/>
    <s v="BBVA"/>
    <e v="#NAME?"/>
    <x v="3"/>
    <n v="1"/>
    <s v="Desarrollador"/>
    <s v="Distribuido"/>
    <m/>
    <e v="#NAME?"/>
    <e v="#NAME?"/>
    <e v="#NAME?"/>
    <m/>
    <m/>
    <m/>
    <m/>
    <m/>
  </r>
  <r>
    <s v="O001384"/>
    <s v="JUAN DAVID GONZALEZ MONROY"/>
    <x v="2"/>
    <x v="5"/>
    <s v="BBVA"/>
    <e v="#NAME?"/>
    <x v="3"/>
    <n v="1"/>
    <s v="Desarrollador"/>
    <s v="Mainframe"/>
    <m/>
    <e v="#NAME?"/>
    <e v="#NAME?"/>
    <e v="#NAME?"/>
    <m/>
    <m/>
    <m/>
    <m/>
    <m/>
  </r>
  <r>
    <s v="T002204"/>
    <s v="CARLOS ANDRES BETANCUR MARIN"/>
    <x v="2"/>
    <x v="5"/>
    <s v="Indra"/>
    <e v="#NAME?"/>
    <x v="3"/>
    <n v="1"/>
    <s v="Tech Manager/Líder"/>
    <s v="Mainframe"/>
    <m/>
    <e v="#NAME?"/>
    <e v="#NAME?"/>
    <e v="#NAME?"/>
    <m/>
    <m/>
    <m/>
    <m/>
    <m/>
  </r>
  <r>
    <s v="CE64919"/>
    <s v="MYRIAM GARCIA HERNANDEZ"/>
    <x v="2"/>
    <x v="5"/>
    <s v="Indra"/>
    <e v="#NAME?"/>
    <x v="3"/>
    <n v="1"/>
    <s v="Desarrollador"/>
    <s v="Mainframe"/>
    <m/>
    <e v="#NAME?"/>
    <e v="#NAME?"/>
    <e v="#NAME?"/>
    <m/>
    <m/>
    <m/>
    <m/>
    <m/>
  </r>
  <r>
    <s v="CE68692"/>
    <s v="JORGE ROBINSON MENESES GUTIERREZ"/>
    <x v="2"/>
    <x v="5"/>
    <s v="Indra"/>
    <e v="#NAME?"/>
    <x v="3"/>
    <n v="1"/>
    <s v="Desarrollador"/>
    <s v="Distribuido"/>
    <m/>
    <e v="#NAME?"/>
    <e v="#NAME?"/>
    <e v="#NAME?"/>
    <m/>
    <m/>
    <m/>
    <m/>
    <m/>
  </r>
  <r>
    <s v="CE62655"/>
    <s v="DIEGO FRANCISCO FLORES DIAZ"/>
    <x v="2"/>
    <x v="5"/>
    <s v="Indra"/>
    <e v="#NAME?"/>
    <x v="3"/>
    <n v="1"/>
    <s v="Desarrollador"/>
    <s v="Distribuido"/>
    <m/>
    <e v="#NAME?"/>
    <e v="#NAME?"/>
    <e v="#NAME?"/>
    <m/>
    <m/>
    <m/>
    <m/>
    <m/>
  </r>
  <r>
    <s v="CE60804"/>
    <s v="ALVARO IVAN BARRIOS PINEDA"/>
    <x v="2"/>
    <x v="5"/>
    <s v="Indra"/>
    <e v="#NAME?"/>
    <x v="3"/>
    <n v="0.5"/>
    <s v="Desarrollador"/>
    <s v="Mainframe"/>
    <s v="Se comparte con Torre de Analitycs "/>
    <e v="#NAME?"/>
    <e v="#NAME?"/>
    <e v="#NAME?"/>
    <m/>
    <m/>
    <m/>
    <m/>
    <m/>
  </r>
  <r>
    <s v="CE66288"/>
    <s v="LAURA VALENTINA RINCON RODRIGUEZ"/>
    <x v="2"/>
    <x v="5"/>
    <s v="GGI / CMC"/>
    <e v="#NAME?"/>
    <x v="3"/>
    <n v="1"/>
    <s v="QA"/>
    <s v="Mainframe"/>
    <m/>
    <e v="#NAME?"/>
    <e v="#NAME?"/>
    <e v="#NAME?"/>
    <m/>
    <m/>
    <m/>
    <m/>
    <m/>
  </r>
  <r>
    <s v="O003229"/>
    <s v="ARMANDO RAFAEL VASQUEZ ALTAMAR"/>
    <x v="2"/>
    <x v="6"/>
    <s v="BBVA"/>
    <e v="#NAME?"/>
    <x v="35"/>
    <n v="0.1"/>
    <s v="Tech Manager/Líder"/>
    <s v="Otras Tec."/>
    <m/>
    <e v="#NAME?"/>
    <e v="#NAME?"/>
    <e v="#NAME?"/>
    <m/>
    <m/>
    <m/>
    <m/>
    <m/>
  </r>
  <r>
    <s v="O003229"/>
    <s v="ARMANDO RAFAEL VASQUEZ ALTAMAR"/>
    <x v="2"/>
    <x v="6"/>
    <s v="BBVA"/>
    <e v="#NAME?"/>
    <x v="36"/>
    <n v="0.1"/>
    <s v="Tech Manager/Líder"/>
    <s v="Otras Tec."/>
    <m/>
    <e v="#NAME?"/>
    <e v="#NAME?"/>
    <e v="#NAME?"/>
    <m/>
    <m/>
    <m/>
    <m/>
    <m/>
  </r>
  <r>
    <s v="O003229"/>
    <s v="ARMANDO RAFAEL VASQUEZ ALTAMAR"/>
    <x v="2"/>
    <x v="6"/>
    <s v="BBVA"/>
    <e v="#NAME?"/>
    <x v="37"/>
    <n v="0.1"/>
    <s v="Tech Manager/Líder"/>
    <s v="Otras Tec."/>
    <m/>
    <e v="#NAME?"/>
    <e v="#NAME?"/>
    <e v="#NAME?"/>
    <m/>
    <m/>
    <m/>
    <m/>
    <m/>
  </r>
  <r>
    <s v="O003229"/>
    <s v="ARMANDO RAFAEL VASQUEZ ALTAMAR"/>
    <x v="2"/>
    <x v="6"/>
    <s v="BBVA"/>
    <e v="#NAME?"/>
    <x v="38"/>
    <n v="0.25"/>
    <s v="Tech Manager/Líder"/>
    <s v="Otras Tec."/>
    <m/>
    <e v="#NAME?"/>
    <e v="#NAME?"/>
    <e v="#NAME?"/>
    <m/>
    <m/>
    <m/>
    <m/>
    <m/>
  </r>
  <r>
    <s v="O003230"/>
    <s v="ARMANDO RAFAEL VASQUEZ ALTAMAR"/>
    <x v="2"/>
    <x v="6"/>
    <s v="BBVA"/>
    <e v="#NAME?"/>
    <x v="39"/>
    <n v="0.25"/>
    <s v="Tech Manager/Líder"/>
    <s v="Otras Tec."/>
    <m/>
    <e v="#NAME?"/>
    <e v="#NAME?"/>
    <e v="#NAME?"/>
    <m/>
    <m/>
    <m/>
    <m/>
    <m/>
  </r>
  <r>
    <s v="O003231"/>
    <s v="ARMANDO RAFAEL VASQUEZ ALTAMAR"/>
    <x v="2"/>
    <x v="6"/>
    <s v="BBVA"/>
    <e v="#NAME?"/>
    <x v="40"/>
    <n v="0.1"/>
    <s v="Tech Manager/Líder"/>
    <s v="Otras Tec."/>
    <m/>
    <e v="#NAME?"/>
    <e v="#NAME?"/>
    <e v="#NAME?"/>
    <m/>
    <m/>
    <m/>
    <m/>
    <m/>
  </r>
  <r>
    <s v="O003232"/>
    <s v="ARMANDO RAFAEL VASQUEZ ALTAMAR"/>
    <x v="2"/>
    <x v="6"/>
    <s v="BBVA"/>
    <e v="#NAME?"/>
    <x v="41"/>
    <n v="0.1"/>
    <s v="Tech Manager/Líder"/>
    <s v="Otras Tec."/>
    <m/>
    <e v="#NAME?"/>
    <e v="#NAME?"/>
    <e v="#NAME?"/>
    <m/>
    <m/>
    <m/>
    <m/>
    <m/>
  </r>
  <r>
    <s v="C811263"/>
    <s v="Cardozo Castro Diana Carolina"/>
    <x v="2"/>
    <x v="6"/>
    <s v="BBVA"/>
    <e v="#NAME?"/>
    <x v="38"/>
    <n v="0.5"/>
    <s v="Desarrollador"/>
    <s v="Otras Tec."/>
    <m/>
    <e v="#NAME?"/>
    <e v="#NAME?"/>
    <e v="#NAME?"/>
    <m/>
    <m/>
    <m/>
    <m/>
    <m/>
  </r>
  <r>
    <s v="C811263"/>
    <s v="Cardozo Castro Diana Carolina"/>
    <x v="2"/>
    <x v="6"/>
    <s v="BBVA"/>
    <e v="#NAME?"/>
    <x v="39"/>
    <n v="0.5"/>
    <s v="Desarrollador"/>
    <s v="Otras Tec."/>
    <m/>
    <e v="#NAME?"/>
    <e v="#NAME?"/>
    <e v="#NAME?"/>
    <m/>
    <m/>
    <m/>
    <m/>
    <m/>
  </r>
  <r>
    <s v="T010294"/>
    <s v="Carlos Andres De la pava Jimenez"/>
    <x v="2"/>
    <x v="6"/>
    <s v="Novatec"/>
    <e v="#NAME?"/>
    <x v="35"/>
    <n v="1"/>
    <s v="Desarrollador"/>
    <s v="Otras Tec."/>
    <s v="Este Proyecto contiene  ASO, APX, CELLS, GCP"/>
    <e v="#NAME?"/>
    <e v="#NAME?"/>
    <e v="#NAME?"/>
    <m/>
    <m/>
    <m/>
    <m/>
    <m/>
  </r>
  <r>
    <s v="C341767"/>
    <s v="Cipagauta Rodriguez Edwin Guillermo"/>
    <x v="2"/>
    <x v="6"/>
    <s v="BBVA"/>
    <e v="#NAME?"/>
    <x v="37"/>
    <n v="0.5"/>
    <s v="Desarrollador"/>
    <s v="Otras Tec."/>
    <m/>
    <e v="#NAME?"/>
    <e v="#NAME?"/>
    <e v="#NAME?"/>
    <m/>
    <m/>
    <m/>
    <m/>
    <m/>
  </r>
  <r>
    <s v="C341767"/>
    <s v="Cipagauta Rodriguez Edwin Guillermo"/>
    <x v="2"/>
    <x v="6"/>
    <s v="BBVA"/>
    <e v="#NAME?"/>
    <x v="41"/>
    <n v="0.25"/>
    <s v="Desarrollador"/>
    <s v="Otras Tec."/>
    <m/>
    <e v="#NAME?"/>
    <e v="#NAME?"/>
    <e v="#NAME?"/>
    <m/>
    <m/>
    <m/>
    <m/>
    <m/>
  </r>
  <r>
    <s v="C341767"/>
    <s v="Cipagauta Rodriguez Edwin Guillermo"/>
    <x v="2"/>
    <x v="6"/>
    <s v="BBVA"/>
    <e v="#NAME?"/>
    <x v="40"/>
    <n v="0.25"/>
    <s v="Otros"/>
    <s v="Otras Tec."/>
    <m/>
    <e v="#NAME?"/>
    <e v="#NAME?"/>
    <e v="#NAME?"/>
    <m/>
    <m/>
    <m/>
    <m/>
    <m/>
  </r>
  <r>
    <s v="T002802"/>
    <s v="Diego Andrés Mateus Triana"/>
    <x v="2"/>
    <x v="6"/>
    <s v="Novatec"/>
    <e v="#NAME?"/>
    <x v="35"/>
    <n v="1"/>
    <s v="Desarrollador"/>
    <s v="Otras Tec."/>
    <s v="Este Proyecto contiene  ASO, APX, CELLS, GCP"/>
    <e v="#NAME?"/>
    <e v="#NAME?"/>
    <e v="#NAME?"/>
    <m/>
    <m/>
    <m/>
    <m/>
    <m/>
  </r>
  <r>
    <s v="T010289"/>
    <s v="Ever Alexander Bravo Vergara"/>
    <x v="2"/>
    <x v="6"/>
    <s v="Novatec"/>
    <e v="#NAME?"/>
    <x v="35"/>
    <n v="1"/>
    <s v="Desarrollador"/>
    <s v="Otras Tec."/>
    <s v="Este Proyecto contiene  ASO, APX, CELLS, GCP"/>
    <e v="#NAME?"/>
    <e v="#NAME?"/>
    <e v="#NAME?"/>
    <m/>
    <m/>
    <m/>
    <m/>
    <m/>
  </r>
  <r>
    <s v="CE70901"/>
    <s v="JUAN SEBASTIAN SANCHEZ"/>
    <x v="2"/>
    <x v="6"/>
    <s v="Novatec"/>
    <e v="#NAME?"/>
    <x v="35"/>
    <n v="1"/>
    <s v="Desarrollador"/>
    <s v="Otras Tec."/>
    <s v="Este Proyecto contiene  ASO, APX, CELLS, GCP"/>
    <e v="#NAME?"/>
    <e v="#NAME?"/>
    <e v="#NAME?"/>
    <m/>
    <m/>
    <m/>
    <m/>
    <m/>
  </r>
  <r>
    <s v="T002449"/>
    <s v="Manuel Camilo Sanchez Sevilla"/>
    <x v="2"/>
    <x v="6"/>
    <s v="Novatec"/>
    <e v="#NAME?"/>
    <x v="35"/>
    <n v="1"/>
    <s v="Desarrollador"/>
    <s v="Otras Tec."/>
    <s v="Este Proyecto contiene  ASO, APX, CELLS, GCP"/>
    <e v="#NAME?"/>
    <e v="#NAME?"/>
    <e v="#NAME?"/>
    <m/>
    <m/>
    <m/>
    <m/>
    <m/>
  </r>
  <r>
    <s v="C811290"/>
    <s v="Montana Castro Camilo Arturo"/>
    <x v="2"/>
    <x v="6"/>
    <s v="BBVA"/>
    <e v="#NAME?"/>
    <x v="36"/>
    <n v="1"/>
    <s v="Desarrollador"/>
    <s v="Otras Tec."/>
    <s v="Proyecto con dos feature"/>
    <e v="#NAME?"/>
    <e v="#NAME?"/>
    <e v="#NAME?"/>
    <m/>
    <m/>
    <m/>
    <m/>
    <m/>
  </r>
  <r>
    <s v="C804221"/>
    <s v="Quiroz Munoz Bryan Antonio"/>
    <x v="2"/>
    <x v="6"/>
    <s v="BBVA"/>
    <e v="#NAME?"/>
    <x v="35"/>
    <n v="1"/>
    <s v="Desarrollador"/>
    <s v="Otras Tec."/>
    <s v="Este proyecto contiene  ASO, APX, CELLS, GCP_x000a_Proyecto con 2 feature"/>
    <e v="#NAME?"/>
    <e v="#NAME?"/>
    <e v="#NAME?"/>
    <m/>
    <m/>
    <m/>
    <m/>
    <m/>
  </r>
  <r>
    <s v="CE66796"/>
    <s v="SANTIAGO SALAS CARRERA"/>
    <x v="2"/>
    <x v="6"/>
    <s v="Novatec"/>
    <e v="#NAME?"/>
    <x v="35"/>
    <n v="1"/>
    <s v="Desarrollador"/>
    <s v="Otras Tec."/>
    <s v="Este Proyecto contiene  ASO, APX, CELLS, GCP"/>
    <e v="#NAME?"/>
    <e v="#NAME?"/>
    <e v="#NAME?"/>
    <m/>
    <m/>
    <m/>
    <m/>
    <m/>
  </r>
  <r>
    <s v="C805333"/>
    <s v="Torres Laguado Juan Sebastian"/>
    <x v="2"/>
    <x v="6"/>
    <s v="BBVA"/>
    <e v="#NAME?"/>
    <x v="35"/>
    <n v="1"/>
    <s v="Desarrollador"/>
    <s v="Otras Tec."/>
    <s v="Este proyecto contiene  ASO, APX, CELLS, GCP_x000a_Proyecto con 2 feature"/>
    <e v="#NAME?"/>
    <e v="#NAME?"/>
    <e v="#NAME?"/>
    <m/>
    <m/>
    <m/>
    <m/>
    <m/>
  </r>
  <r>
    <s v="T010288"/>
    <s v="yeison andres consuegra vega"/>
    <x v="2"/>
    <x v="6"/>
    <s v="Novatec"/>
    <e v="#NAME?"/>
    <x v="35"/>
    <n v="1"/>
    <s v="Desarrollador"/>
    <s v="Otras Tec."/>
    <s v="Este Proyecto contiene  ASO, APX, CELLS, GCP"/>
    <e v="#NAME?"/>
    <e v="#NAME?"/>
    <e v="#NAME?"/>
    <m/>
    <m/>
    <m/>
    <m/>
    <m/>
  </r>
  <r>
    <s v="T003286"/>
    <s v="YURI VALENTINA MUÑOZ"/>
    <x v="2"/>
    <x v="6"/>
    <s v="Novatec"/>
    <e v="#NAME?"/>
    <x v="35"/>
    <n v="1"/>
    <s v="Desarrollador"/>
    <s v="Otras Tec."/>
    <s v="Este Proyecto contiene  ASO, APX, CELLS, GCP"/>
    <e v="#NAME?"/>
    <e v="#NAME?"/>
    <e v="#NAME?"/>
    <m/>
    <m/>
    <m/>
    <m/>
    <m/>
  </r>
  <r>
    <s v="C783729"/>
    <s v="MIGUEL ANTONIO GUIO ESPINOSA "/>
    <x v="2"/>
    <x v="7"/>
    <s v="BBVA"/>
    <e v="#NAME?"/>
    <x v="42"/>
    <n v="0.4"/>
    <s v="Tech Manager/Líder"/>
    <s v="Otras Tec."/>
    <m/>
    <e v="#NAME?"/>
    <e v="#NAME?"/>
    <e v="#NAME?"/>
    <m/>
    <m/>
    <m/>
    <m/>
    <m/>
  </r>
  <r>
    <s v="C783729"/>
    <s v="MIGUEL ANTONIO GUIO ESPINOSA "/>
    <x v="2"/>
    <x v="7"/>
    <s v="BBVA"/>
    <e v="#NAME?"/>
    <x v="43"/>
    <n v="0.1"/>
    <s v="Tech Manager/Líder"/>
    <s v="Otras Tec."/>
    <s v="Usuario  lo presentara en el WG del 30/03/2023"/>
    <e v="#NAME?"/>
    <e v="#NAME?"/>
    <e v="#NAME?"/>
    <m/>
    <m/>
    <m/>
    <m/>
    <m/>
  </r>
  <r>
    <s v="C783729"/>
    <s v="MIGUEL ANTONIO GUIO ESPINOSA "/>
    <x v="2"/>
    <x v="7"/>
    <s v="BBVA"/>
    <e v="#NAME?"/>
    <x v="44"/>
    <n v="0.1"/>
    <s v="Tech Manager/Líder"/>
    <s v="Otras Tec."/>
    <m/>
    <e v="#NAME?"/>
    <e v="#NAME?"/>
    <e v="#NAME?"/>
    <m/>
    <m/>
    <m/>
    <m/>
    <m/>
  </r>
  <r>
    <s v="C783729"/>
    <s v="MIGUEL ANTONIO GUIO ESPINOSA "/>
    <x v="2"/>
    <x v="7"/>
    <s v="BBVA"/>
    <e v="#NAME?"/>
    <x v="45"/>
    <n v="0.2"/>
    <s v="Tech Manager/Líder"/>
    <s v="Otras Tec."/>
    <m/>
    <e v="#NAME?"/>
    <e v="#NAME?"/>
    <e v="#NAME?"/>
    <m/>
    <m/>
    <m/>
    <m/>
    <m/>
  </r>
  <r>
    <s v="C783729"/>
    <s v="MIGUEL ANTONIO GUIO ESPINOSA "/>
    <x v="2"/>
    <x v="7"/>
    <s v="BBVA"/>
    <e v="#NAME?"/>
    <x v="46"/>
    <n v="0.1"/>
    <s v="Tech Manager/Líder"/>
    <s v="Otras Tec."/>
    <m/>
    <e v="#NAME?"/>
    <e v="#NAME?"/>
    <e v="#NAME?"/>
    <m/>
    <m/>
    <m/>
    <m/>
    <m/>
  </r>
  <r>
    <s v="C783729"/>
    <s v="MIGUEL ANTONIO GUIO ESPINOSA "/>
    <x v="2"/>
    <x v="7"/>
    <s v="BBVA"/>
    <e v="#NAME?"/>
    <x v="47"/>
    <n v="0.1"/>
    <s v="Tech Manager/Líder"/>
    <s v="Otras Tec."/>
    <m/>
    <e v="#NAME?"/>
    <e v="#NAME?"/>
    <e v="#NAME?"/>
    <m/>
    <m/>
    <m/>
    <m/>
    <m/>
  </r>
  <r>
    <s v="C808788"/>
    <s v="Pena Agudelo Rosario Elena"/>
    <x v="2"/>
    <x v="7"/>
    <s v="BBVA"/>
    <e v="#NAME?"/>
    <x v="42"/>
    <n v="0.4"/>
    <s v="Desarrollador"/>
    <s v="Distribuido"/>
    <m/>
    <e v="#NAME?"/>
    <e v="#NAME?"/>
    <e v="#NAME?"/>
    <m/>
    <m/>
    <m/>
    <m/>
    <m/>
  </r>
  <r>
    <s v="C808788"/>
    <s v="Pena Agudelo Rosario Elena"/>
    <x v="2"/>
    <x v="7"/>
    <s v="BBVA"/>
    <e v="#NAME?"/>
    <x v="43"/>
    <n v="0.1"/>
    <s v="Desarrollador"/>
    <s v="Distribuido"/>
    <s v="Usuario  lo presentara en el WG del 30/03/2023"/>
    <e v="#NAME?"/>
    <e v="#NAME?"/>
    <e v="#NAME?"/>
    <m/>
    <m/>
    <m/>
    <m/>
    <m/>
  </r>
  <r>
    <s v="C808788"/>
    <s v="Pena Agudelo Rosario Elena"/>
    <x v="2"/>
    <x v="7"/>
    <s v="BBVA"/>
    <e v="#NAME?"/>
    <x v="44"/>
    <n v="0.1"/>
    <s v="Desarrollador"/>
    <s v="Distribuido"/>
    <m/>
    <e v="#NAME?"/>
    <e v="#NAME?"/>
    <e v="#NAME?"/>
    <m/>
    <m/>
    <m/>
    <m/>
    <m/>
  </r>
  <r>
    <s v="C808788"/>
    <s v="Pena Agudelo Rosario Elena"/>
    <x v="2"/>
    <x v="7"/>
    <s v="BBVA"/>
    <e v="#NAME?"/>
    <x v="45"/>
    <n v="0.4"/>
    <s v="Desarrollador"/>
    <s v="Distribuido"/>
    <m/>
    <e v="#NAME?"/>
    <e v="#NAME?"/>
    <e v="#NAME?"/>
    <m/>
    <m/>
    <m/>
    <m/>
    <m/>
  </r>
  <r>
    <s v="C809493"/>
    <s v="Guzman Gonzalez Jorge Enrique"/>
    <x v="2"/>
    <x v="7"/>
    <s v="BBVA"/>
    <e v="#NAME?"/>
    <x v="42"/>
    <n v="0.3"/>
    <s v="Desarrollador"/>
    <s v="Mainframe"/>
    <m/>
    <e v="#NAME?"/>
    <e v="#NAME?"/>
    <e v="#NAME?"/>
    <m/>
    <m/>
    <m/>
    <m/>
    <m/>
  </r>
  <r>
    <s v="C809493"/>
    <s v="Guzman Gonzalez Jorge Enrique"/>
    <x v="2"/>
    <x v="7"/>
    <s v="BBVA"/>
    <e v="#NAME?"/>
    <x v="47"/>
    <n v="0.1"/>
    <s v="Desarrollador"/>
    <s v="Mainframe"/>
    <m/>
    <e v="#NAME?"/>
    <e v="#NAME?"/>
    <e v="#NAME?"/>
    <m/>
    <m/>
    <m/>
    <m/>
    <m/>
  </r>
  <r>
    <s v="C809493"/>
    <s v="Guzman Gonzalez Jorge Enrique"/>
    <x v="2"/>
    <x v="7"/>
    <s v="BBVA"/>
    <e v="#NAME?"/>
    <x v="45"/>
    <n v="0.5"/>
    <s v="Desarrollador"/>
    <s v="Mainframe"/>
    <m/>
    <e v="#NAME?"/>
    <e v="#NAME?"/>
    <e v="#NAME?"/>
    <m/>
    <m/>
    <m/>
    <m/>
    <m/>
  </r>
  <r>
    <s v="C809493"/>
    <s v="Guzman Gonzalez Jorge Enrique"/>
    <x v="2"/>
    <x v="7"/>
    <s v="BBVA"/>
    <e v="#NAME?"/>
    <x v="46"/>
    <n v="0.1"/>
    <s v="Desarrollador"/>
    <s v="Mainframe"/>
    <m/>
    <e v="#NAME?"/>
    <e v="#NAME?"/>
    <e v="#NAME?"/>
    <m/>
    <m/>
    <m/>
    <m/>
    <m/>
  </r>
  <r>
    <s v="O002594"/>
    <s v="CRISTIAN DAVID VARGAS SIERRA"/>
    <x v="2"/>
    <x v="7"/>
    <s v="BBVA"/>
    <e v="#NAME?"/>
    <x v="45"/>
    <n v="0.4"/>
    <s v="Desarrollador"/>
    <s v="Mainframe"/>
    <m/>
    <e v="#NAME?"/>
    <e v="#NAME?"/>
    <e v="#NAME?"/>
    <m/>
    <m/>
    <m/>
    <m/>
    <m/>
  </r>
  <r>
    <s v="O002594"/>
    <s v="CRISTIAN DAVID VARGAS SIERRA"/>
    <x v="2"/>
    <x v="7"/>
    <s v="BBVA"/>
    <e v="#NAME?"/>
    <x v="46"/>
    <n v="0.3"/>
    <s v="Desarrollador"/>
    <s v="Mainframe"/>
    <m/>
    <e v="#NAME?"/>
    <e v="#NAME?"/>
    <e v="#NAME?"/>
    <m/>
    <m/>
    <m/>
    <m/>
    <m/>
  </r>
  <r>
    <s v="O002594"/>
    <s v="CRISTIAN DAVID VARGAS SIERRA"/>
    <x v="2"/>
    <x v="7"/>
    <s v="BBVA"/>
    <e v="#NAME?"/>
    <x v="47"/>
    <n v="0.3"/>
    <s v="Desarrollador"/>
    <s v="Mainframe"/>
    <m/>
    <e v="#NAME?"/>
    <e v="#NAME?"/>
    <e v="#NAME?"/>
    <m/>
    <m/>
    <m/>
    <m/>
    <m/>
  </r>
  <r>
    <s v="CE63761"/>
    <s v="Carlos Andres Cely Vergara"/>
    <x v="2"/>
    <x v="7"/>
    <s v="MS"/>
    <e v="#NAME?"/>
    <x v="42"/>
    <n v="1"/>
    <s v="Desarrollador"/>
    <s v="Distribuido"/>
    <m/>
    <e v="#NAME?"/>
    <e v="#NAME?"/>
    <e v="#NAME?"/>
    <m/>
    <m/>
    <m/>
    <m/>
    <m/>
  </r>
  <r>
    <s v="T002735"/>
    <s v="CASTELLANOS RODRIGUEZ EDUARDO"/>
    <x v="2"/>
    <x v="7"/>
    <s v="CAPGEMINI"/>
    <e v="#NAME?"/>
    <x v="42"/>
    <n v="1"/>
    <s v="Desarrollador"/>
    <s v="Distribuido"/>
    <m/>
    <e v="#NAME?"/>
    <e v="#NAME?"/>
    <e v="#NAME?"/>
    <m/>
    <m/>
    <m/>
    <m/>
    <m/>
  </r>
  <r>
    <s v="T005769"/>
    <s v="Cesar Argenis Ruano Hernandez"/>
    <x v="2"/>
    <x v="7"/>
    <s v="CAPGEMINI"/>
    <e v="#NAME?"/>
    <x v="42"/>
    <n v="1"/>
    <s v="Desarrollador"/>
    <s v="Distribuido"/>
    <m/>
    <e v="#NAME?"/>
    <e v="#NAME?"/>
    <e v="#NAME?"/>
    <m/>
    <m/>
    <m/>
    <m/>
    <m/>
  </r>
  <r>
    <s v="CE62655"/>
    <s v="Diego Francisco Florez Diaz"/>
    <x v="2"/>
    <x v="7"/>
    <s v="Indra"/>
    <e v="#NAME?"/>
    <x v="48"/>
    <n v="0.5"/>
    <s v="Desarrollador"/>
    <s v="Distribuido"/>
    <m/>
    <e v="#NAME?"/>
    <e v="#NAME?"/>
    <e v="#NAME?"/>
    <m/>
    <m/>
    <m/>
    <m/>
    <m/>
  </r>
  <r>
    <s v="T005766"/>
    <s v="Iván Jonathan Romero Medina"/>
    <x v="2"/>
    <x v="7"/>
    <s v="CAPGEMINI"/>
    <e v="#NAME?"/>
    <x v="42"/>
    <n v="1"/>
    <s v="Desarrollador"/>
    <s v="Distribuido"/>
    <m/>
    <e v="#NAME?"/>
    <e v="#NAME?"/>
    <e v="#NAME?"/>
    <m/>
    <m/>
    <m/>
    <m/>
    <m/>
  </r>
  <r>
    <s v="CE56090"/>
    <s v="Jeisson Andres Tequia Rincon"/>
    <x v="2"/>
    <x v="7"/>
    <s v="MS"/>
    <e v="#NAME?"/>
    <x v="42"/>
    <n v="1"/>
    <s v="Desarrollador"/>
    <s v="Distribuido"/>
    <m/>
    <e v="#NAME?"/>
    <e v="#NAME?"/>
    <e v="#NAME?"/>
    <m/>
    <m/>
    <m/>
    <m/>
    <m/>
  </r>
  <r>
    <s v="T002734"/>
    <s v="MORENO MUNOZ EMMANUEL"/>
    <x v="2"/>
    <x v="7"/>
    <s v="CAPGEMINI"/>
    <e v="#NAME?"/>
    <x v="42"/>
    <n v="1"/>
    <s v="Desarrollador"/>
    <s v="Distribuido"/>
    <m/>
    <e v="#NAME?"/>
    <e v="#NAME?"/>
    <e v="#NAME?"/>
    <m/>
    <m/>
    <m/>
    <m/>
    <m/>
  </r>
  <r>
    <s v="T005765"/>
    <s v="Niteen Kumar Kanaiya"/>
    <x v="2"/>
    <x v="7"/>
    <s v="CAPGEMINI"/>
    <e v="#NAME?"/>
    <x v="42"/>
    <n v="1"/>
    <s v="Desarrollador"/>
    <s v="Distribuido"/>
    <m/>
    <e v="#NAME?"/>
    <e v="#NAME?"/>
    <e v="#NAME?"/>
    <m/>
    <m/>
    <m/>
    <m/>
    <m/>
  </r>
  <r>
    <s v="T005931"/>
    <s v="DANIEL MAURICIO RIANO PEDRAZA_x000a_"/>
    <x v="2"/>
    <x v="7"/>
    <s v="GGI / CMC"/>
    <e v="#NAME?"/>
    <x v="42"/>
    <n v="0.1"/>
    <s v="QA"/>
    <s v="Mainframe"/>
    <m/>
    <e v="#NAME?"/>
    <e v="#NAME?"/>
    <e v="#NAME?"/>
    <m/>
    <m/>
    <m/>
    <m/>
    <m/>
  </r>
  <r>
    <s v="T005931"/>
    <s v="DANIEL MAURICIO RIANO PEDRAZA_x000a_"/>
    <x v="2"/>
    <x v="7"/>
    <s v="GGI / CMC"/>
    <e v="#NAME?"/>
    <x v="43"/>
    <n v="0.1"/>
    <s v="QA"/>
    <s v="Mainframe"/>
    <s v="Usuario  lo presentara en el WG del 30/03/2023"/>
    <e v="#NAME?"/>
    <e v="#NAME?"/>
    <e v="#NAME?"/>
    <m/>
    <m/>
    <m/>
    <m/>
    <m/>
  </r>
  <r>
    <s v="T005931"/>
    <s v="DANIEL MAURICIO RIANO PEDRAZA_x000a_"/>
    <x v="2"/>
    <x v="7"/>
    <s v="GGI / CMC"/>
    <e v="#NAME?"/>
    <x v="45"/>
    <n v="0.1"/>
    <s v="QA"/>
    <s v="Mainframe"/>
    <m/>
    <e v="#NAME?"/>
    <e v="#NAME?"/>
    <e v="#NAME?"/>
    <m/>
    <m/>
    <m/>
    <m/>
    <m/>
  </r>
  <r>
    <s v="T005931"/>
    <s v="DANIEL MAURICIO RIANO PEDRAZA_x000a_"/>
    <x v="2"/>
    <x v="7"/>
    <s v="GGI / CMC"/>
    <e v="#NAME?"/>
    <x v="46"/>
    <n v="0.1"/>
    <s v="QA"/>
    <s v="Mainframe"/>
    <m/>
    <e v="#NAME?"/>
    <e v="#NAME?"/>
    <e v="#NAME?"/>
    <m/>
    <m/>
    <m/>
    <m/>
    <m/>
  </r>
  <r>
    <s v="CE68547"/>
    <s v="JOSE ROBERTO GONZALEZ MELO_x000a_"/>
    <x v="2"/>
    <x v="7"/>
    <s v="KRYPTO"/>
    <e v="#NAME?"/>
    <x v="42"/>
    <n v="0.1"/>
    <s v="QA"/>
    <s v="Mainframe"/>
    <m/>
    <e v="#NAME?"/>
    <e v="#NAME?"/>
    <e v="#NAME?"/>
    <m/>
    <m/>
    <m/>
    <m/>
    <m/>
  </r>
  <r>
    <s v="CE68547"/>
    <s v="JOSE ROBERTO GONZALEZ MELO_x000a_"/>
    <x v="2"/>
    <x v="7"/>
    <s v="KRYPTO"/>
    <e v="#NAME?"/>
    <x v="43"/>
    <n v="0.1"/>
    <s v="QA"/>
    <s v="Mainframe"/>
    <s v="Usuario  lo presentara en el WG del 30/03/2023"/>
    <e v="#NAME?"/>
    <e v="#NAME?"/>
    <e v="#NAME?"/>
    <m/>
    <m/>
    <m/>
    <m/>
    <m/>
  </r>
  <r>
    <s v="CE68547"/>
    <s v="JOSE ROBERTO GONZALEZ MELO_x000a_"/>
    <x v="2"/>
    <x v="7"/>
    <s v="KRYPTO"/>
    <e v="#NAME?"/>
    <x v="45"/>
    <n v="0.1"/>
    <s v="QA"/>
    <s v="Mainframe"/>
    <m/>
    <e v="#NAME?"/>
    <e v="#NAME?"/>
    <e v="#NAME?"/>
    <m/>
    <m/>
    <m/>
    <m/>
    <m/>
  </r>
  <r>
    <s v="CE68547"/>
    <s v="JOSE ROBERTO GONZALEZ MELO_x000a_"/>
    <x v="2"/>
    <x v="7"/>
    <s v="KRYPTO"/>
    <e v="#NAME?"/>
    <x v="46"/>
    <n v="0.1"/>
    <s v="QA"/>
    <s v="Mainframe"/>
    <m/>
    <e v="#NAME?"/>
    <e v="#NAME?"/>
    <e v="#NAME?"/>
    <m/>
    <m/>
    <m/>
    <m/>
    <m/>
  </r>
  <r>
    <s v="CE46213"/>
    <s v="DANIEL ANTONIO CAMACHO ARIZA"/>
    <x v="2"/>
    <x v="7"/>
    <s v="Neoris"/>
    <e v="#NAME?"/>
    <x v="45"/>
    <n v="1"/>
    <s v="Desarrollador"/>
    <s v="Mainframe"/>
    <m/>
    <e v="#NAME?"/>
    <e v="#NAME?"/>
    <e v="#NAME?"/>
    <m/>
    <m/>
    <m/>
    <m/>
    <m/>
  </r>
  <r>
    <s v="T000603"/>
    <s v="JEISSON ANDRES RUIZ MARTINEZ"/>
    <x v="2"/>
    <x v="7"/>
    <s v="Neoris"/>
    <e v="#NAME?"/>
    <x v="45"/>
    <n v="1"/>
    <s v="Desarrollador"/>
    <s v="Mainframe"/>
    <m/>
    <e v="#NAME?"/>
    <e v="#NAME?"/>
    <e v="#NAME?"/>
    <m/>
    <m/>
    <m/>
    <m/>
    <m/>
  </r>
  <r>
    <s v="CE70371"/>
    <s v="DANEL PULECIO GONZALEZ "/>
    <x v="2"/>
    <x v="7"/>
    <s v="Neoris"/>
    <e v="#NAME?"/>
    <x v="45"/>
    <n v="1"/>
    <s v="Desarrollador"/>
    <s v="Mainframe"/>
    <m/>
    <e v="#NAME?"/>
    <e v="#NAME?"/>
    <e v="#NAME?"/>
    <m/>
    <m/>
    <m/>
    <m/>
    <m/>
  </r>
  <r>
    <s v="C341759"/>
    <s v="CHRISTIAN EDUARDO DIAZ GARCIA "/>
    <x v="2"/>
    <x v="5"/>
    <s v="BBVA"/>
    <e v="#NAME?"/>
    <x v="49"/>
    <n v="0.05"/>
    <s v="Tech Manager/Líder"/>
    <s v="Mainframe"/>
    <m/>
    <e v="#NAME?"/>
    <e v="#NAME?"/>
    <e v="#NAME?"/>
    <m/>
    <m/>
    <m/>
    <m/>
    <m/>
  </r>
  <r>
    <s v="C341759"/>
    <s v="CHRISTIAN EDUARDO DIAZ GARCIA "/>
    <x v="2"/>
    <x v="5"/>
    <s v="BBVA"/>
    <e v="#NAME?"/>
    <x v="50"/>
    <n v="0.1"/>
    <s v="Tech Manager/Líder"/>
    <s v="Mainframe"/>
    <m/>
    <e v="#NAME?"/>
    <e v="#NAME?"/>
    <e v="#NAME?"/>
    <m/>
    <m/>
    <m/>
    <m/>
    <m/>
  </r>
  <r>
    <s v="C341759"/>
    <s v="CHRISTIAN EDUARDO DIAZ GARCIA "/>
    <x v="2"/>
    <x v="5"/>
    <s v="BBVA"/>
    <e v="#NAME?"/>
    <x v="51"/>
    <n v="0.1"/>
    <s v="Tech Manager/Líder"/>
    <s v="Mainframe"/>
    <m/>
    <e v="#NAME?"/>
    <e v="#NAME?"/>
    <e v="#NAME?"/>
    <m/>
    <m/>
    <m/>
    <m/>
    <m/>
  </r>
  <r>
    <s v="C341759"/>
    <s v="CHRISTIAN EDUARDO DIAZ GARCIA "/>
    <x v="2"/>
    <x v="5"/>
    <s v="BBVA"/>
    <e v="#NAME?"/>
    <x v="52"/>
    <n v="0.05"/>
    <s v="Tech Manager/Líder"/>
    <s v="Mainframe"/>
    <m/>
    <e v="#NAME?"/>
    <e v="#NAME?"/>
    <e v="#NAME?"/>
    <m/>
    <m/>
    <m/>
    <m/>
    <m/>
  </r>
  <r>
    <s v="C341759"/>
    <s v="CHRISTIAN EDUARDO DIAZ GARCIA "/>
    <x v="2"/>
    <x v="5"/>
    <s v="BBVA"/>
    <e v="#NAME?"/>
    <x v="53"/>
    <n v="0.1"/>
    <s v="Tech Manager/Líder"/>
    <s v="Mainframe"/>
    <m/>
    <e v="#NAME?"/>
    <e v="#NAME?"/>
    <e v="#NAME?"/>
    <m/>
    <m/>
    <m/>
    <m/>
    <m/>
  </r>
  <r>
    <s v="C341759"/>
    <s v="CHRISTIAN EDUARDO DIAZ GARCIA "/>
    <x v="2"/>
    <x v="5"/>
    <s v="BBVA"/>
    <e v="#NAME?"/>
    <x v="1"/>
    <n v="0.1"/>
    <s v="Tech Manager/Líder"/>
    <s v="Mainframe"/>
    <m/>
    <e v="#NAME?"/>
    <e v="#NAME?"/>
    <e v="#NAME?"/>
    <m/>
    <m/>
    <m/>
    <m/>
    <m/>
  </r>
  <r>
    <s v="C341759"/>
    <s v="CHRISTIAN EDUARDO DIAZ GARCIA "/>
    <x v="2"/>
    <x v="5"/>
    <s v="BBVA"/>
    <e v="#NAME?"/>
    <x v="54"/>
    <n v="0.05"/>
    <s v="Tech Manager/Líder"/>
    <s v="Mainframe"/>
    <m/>
    <e v="#NAME?"/>
    <e v="#NAME?"/>
    <e v="#NAME?"/>
    <m/>
    <m/>
    <m/>
    <m/>
    <m/>
  </r>
  <r>
    <s v="C341759"/>
    <s v="CHRISTIAN EDUARDO DIAZ GARCIA "/>
    <x v="2"/>
    <x v="5"/>
    <s v="BBVA"/>
    <e v="#NAME?"/>
    <x v="55"/>
    <n v="0.05"/>
    <s v="Tech Manager/Líder"/>
    <s v="Mainframe"/>
    <m/>
    <e v="#NAME?"/>
    <e v="#NAME?"/>
    <e v="#NAME?"/>
    <m/>
    <m/>
    <m/>
    <m/>
    <m/>
  </r>
  <r>
    <s v="C341759"/>
    <s v="CHRISTIAN EDUARDO DIAZ GARCIA "/>
    <x v="2"/>
    <x v="5"/>
    <s v="BBVA"/>
    <e v="#NAME?"/>
    <x v="56"/>
    <n v="0.1"/>
    <s v="Tech Manager/Líder"/>
    <s v="Mainframe"/>
    <m/>
    <e v="#NAME?"/>
    <e v="#NAME?"/>
    <e v="#NAME?"/>
    <m/>
    <m/>
    <m/>
    <m/>
    <m/>
  </r>
  <r>
    <s v="C341759"/>
    <s v="CHRISTIAN EDUARDO DIAZ GARCIA "/>
    <x v="2"/>
    <x v="5"/>
    <s v="BBVA"/>
    <e v="#NAME?"/>
    <x v="57"/>
    <n v="0.05"/>
    <s v="Tech Manager/Líder"/>
    <s v="Mainframe"/>
    <m/>
    <e v="#NAME?"/>
    <e v="#NAME?"/>
    <e v="#NAME?"/>
    <m/>
    <m/>
    <m/>
    <m/>
    <m/>
  </r>
  <r>
    <s v="C341759"/>
    <s v="CHRISTIAN EDUARDO DIAZ GARCIA "/>
    <x v="2"/>
    <x v="5"/>
    <s v="BBVA"/>
    <e v="#NAME?"/>
    <x v="58"/>
    <n v="0.05"/>
    <s v="Tech Manager/Líder"/>
    <s v="Mainframe"/>
    <s v="Tiene Staffing pero no se ha presentado en el WG"/>
    <e v="#NAME?"/>
    <e v="#NAME?"/>
    <e v="#NAME?"/>
    <m/>
    <m/>
    <m/>
    <m/>
    <m/>
  </r>
  <r>
    <s v="C341759"/>
    <s v="CHRISTIAN EDUARDO DIAZ GARCIA "/>
    <x v="2"/>
    <x v="5"/>
    <s v="BBVA"/>
    <e v="#NAME?"/>
    <x v="59"/>
    <n v="0.05"/>
    <s v="Tech Manager/Líder"/>
    <s v="Mainframe"/>
    <m/>
    <e v="#NAME?"/>
    <e v="#NAME?"/>
    <e v="#NAME?"/>
    <m/>
    <m/>
    <m/>
    <m/>
    <m/>
  </r>
  <r>
    <s v="C341759"/>
    <s v="CHRISTIAN EDUARDO DIAZ GARCIA "/>
    <x v="2"/>
    <x v="5"/>
    <s v="BBVA"/>
    <e v="#NAME?"/>
    <x v="60"/>
    <n v="0.05"/>
    <s v="Tech Manager/Líder"/>
    <s v="Mainframe"/>
    <s v="Tiene Staffing pero no se ha presentado en el WG"/>
    <e v="#NAME?"/>
    <e v="#NAME?"/>
    <e v="#NAME?"/>
    <m/>
    <m/>
    <m/>
    <m/>
    <m/>
  </r>
  <r>
    <s v="C341759"/>
    <s v="CHRISTIAN EDUARDO DIAZ GARCIA "/>
    <x v="2"/>
    <x v="5"/>
    <s v="BBVA"/>
    <e v="#NAME?"/>
    <x v="61"/>
    <n v="0.05"/>
    <s v="Tech Manager/Líder"/>
    <s v="Mainframe"/>
    <m/>
    <e v="#NAME?"/>
    <e v="#NAME?"/>
    <e v="#NAME?"/>
    <m/>
    <m/>
    <m/>
    <m/>
    <m/>
  </r>
  <r>
    <s v="C341759"/>
    <s v="CHRISTIAN EDUARDO DIAZ GARCIA "/>
    <x v="2"/>
    <x v="5"/>
    <s v="BBVA"/>
    <e v="#NAME?"/>
    <x v="62"/>
    <n v="0.05"/>
    <s v="Tech Manager/Líder"/>
    <s v="Mainframe"/>
    <m/>
    <e v="#NAME?"/>
    <e v="#NAME?"/>
    <e v="#NAME?"/>
    <m/>
    <m/>
    <m/>
    <m/>
    <m/>
  </r>
  <r>
    <s v="O001639"/>
    <s v="DAVID ANDRES RODRIGUEZ BAEZ"/>
    <x v="2"/>
    <x v="5"/>
    <s v="BBVA"/>
    <e v="#NAME?"/>
    <x v="48"/>
    <n v="0.25"/>
    <s v="Desarrollador"/>
    <s v="Distribuido"/>
    <s v="Tiene Staffing pero no se ha presentado en el WG"/>
    <e v="#NAME?"/>
    <e v="#NAME?"/>
    <e v="#NAME?"/>
    <m/>
    <m/>
    <m/>
    <m/>
    <m/>
  </r>
  <r>
    <s v="O001639"/>
    <s v="DAVID ANDRES RODRIGUEZ BAEZ"/>
    <x v="2"/>
    <x v="5"/>
    <s v="BBVA"/>
    <e v="#NAME?"/>
    <x v="1"/>
    <n v="0.5"/>
    <s v="Desarrollador"/>
    <s v="Distribuido"/>
    <m/>
    <e v="#NAME?"/>
    <e v="#NAME?"/>
    <e v="#NAME?"/>
    <m/>
    <m/>
    <m/>
    <m/>
    <m/>
  </r>
  <r>
    <s v="O001639"/>
    <s v="DAVID ANDRES RODRIGUEZ BAEZ"/>
    <x v="2"/>
    <x v="5"/>
    <s v="BBVA"/>
    <e v="#NAME?"/>
    <x v="56"/>
    <n v="0.25"/>
    <s v="Desarrollador"/>
    <s v="Distribuido"/>
    <m/>
    <e v="#NAME?"/>
    <e v="#NAME?"/>
    <e v="#NAME?"/>
    <m/>
    <m/>
    <m/>
    <m/>
    <m/>
  </r>
  <r>
    <s v="C809546"/>
    <s v="GOMEZ CUADRADO JENNY PAOLA"/>
    <x v="2"/>
    <x v="5"/>
    <s v="BBVA"/>
    <e v="#NAME?"/>
    <x v="48"/>
    <n v="0.05"/>
    <s v="Desarrollador"/>
    <s v="Mainframe"/>
    <s v="Tiene Staffing pero no se ha presentado en el WG"/>
    <e v="#NAME?"/>
    <e v="#NAME?"/>
    <e v="#NAME?"/>
    <m/>
    <m/>
    <m/>
    <m/>
    <m/>
  </r>
  <r>
    <s v="C809546"/>
    <s v="GOMEZ CUADRADO JENNY PAOLA"/>
    <x v="2"/>
    <x v="5"/>
    <s v="BBVA"/>
    <e v="#NAME?"/>
    <x v="54"/>
    <n v="0.05"/>
    <s v="Desarrollador"/>
    <s v="Mainframe"/>
    <m/>
    <e v="#NAME?"/>
    <e v="#NAME?"/>
    <e v="#NAME?"/>
    <m/>
    <m/>
    <m/>
    <m/>
    <m/>
  </r>
  <r>
    <s v="C809546"/>
    <s v="GOMEZ CUADRADO JENNY PAOLA"/>
    <x v="2"/>
    <x v="5"/>
    <s v="BBVA"/>
    <e v="#NAME?"/>
    <x v="55"/>
    <n v="0.05"/>
    <s v="Desarrollador"/>
    <s v="Mainframe"/>
    <m/>
    <e v="#NAME?"/>
    <e v="#NAME?"/>
    <e v="#NAME?"/>
    <m/>
    <m/>
    <m/>
    <m/>
    <m/>
  </r>
  <r>
    <s v="C809546"/>
    <s v="GOMEZ CUADRADO JENNY PAOLA"/>
    <x v="2"/>
    <x v="5"/>
    <s v="BBVA"/>
    <e v="#NAME?"/>
    <x v="53"/>
    <n v="0.05"/>
    <s v="Desarrollador"/>
    <s v="Mainframe"/>
    <m/>
    <e v="#NAME?"/>
    <e v="#NAME?"/>
    <e v="#NAME?"/>
    <m/>
    <m/>
    <m/>
    <m/>
    <m/>
  </r>
  <r>
    <s v="C809546"/>
    <s v="GOMEZ CUADRADO JENNY PAOLA"/>
    <x v="2"/>
    <x v="5"/>
    <s v="BBVA"/>
    <e v="#NAME?"/>
    <x v="50"/>
    <n v="0.05"/>
    <s v="Desarrollador"/>
    <s v="Mainframe"/>
    <m/>
    <e v="#NAME?"/>
    <e v="#NAME?"/>
    <e v="#NAME?"/>
    <m/>
    <m/>
    <m/>
    <m/>
    <m/>
  </r>
  <r>
    <s v="C809546"/>
    <s v="GOMEZ CUADRADO JENNY PAOLA"/>
    <x v="2"/>
    <x v="5"/>
    <s v="BBVA"/>
    <e v="#NAME?"/>
    <x v="57"/>
    <n v="0.75"/>
    <s v="Desarrollador"/>
    <s v="Mainframe"/>
    <m/>
    <e v="#NAME?"/>
    <e v="#NAME?"/>
    <e v="#NAME?"/>
    <m/>
    <m/>
    <m/>
    <m/>
    <m/>
  </r>
  <r>
    <s v="C811405"/>
    <s v="JUAN DAVID MONTERO BOGOTA"/>
    <x v="2"/>
    <x v="5"/>
    <s v="BBVA"/>
    <e v="#NAME?"/>
    <x v="49"/>
    <n v="1"/>
    <s v="Desarrollador"/>
    <s v="Distribuido"/>
    <m/>
    <e v="#NAME?"/>
    <e v="#NAME?"/>
    <e v="#NAME?"/>
    <m/>
    <m/>
    <m/>
    <m/>
    <m/>
  </r>
  <r>
    <s v="C804743"/>
    <s v="MILENA MARGARITA GONZALEZ PARRA "/>
    <x v="2"/>
    <x v="5"/>
    <s v="BBVA"/>
    <e v="#NAME?"/>
    <x v="61"/>
    <n v="0.05"/>
    <s v="Desarrollador"/>
    <s v="Distribuido"/>
    <m/>
    <e v="#NAME?"/>
    <e v="#NAME?"/>
    <e v="#NAME?"/>
    <m/>
    <m/>
    <m/>
    <m/>
    <m/>
  </r>
  <r>
    <s v="C804743"/>
    <s v="MILENA MARGARITA GONZALEZ PARRA "/>
    <x v="2"/>
    <x v="5"/>
    <s v="BBVA"/>
    <e v="#NAME?"/>
    <x v="57"/>
    <n v="0.25"/>
    <s v="Desarrollador"/>
    <s v="Distribuido"/>
    <m/>
    <e v="#NAME?"/>
    <e v="#NAME?"/>
    <e v="#NAME?"/>
    <m/>
    <m/>
    <m/>
    <m/>
    <m/>
  </r>
  <r>
    <s v="C804743"/>
    <s v="MILENA MARGARITA GONZALEZ PARRA "/>
    <x v="2"/>
    <x v="5"/>
    <s v="BBVA"/>
    <e v="#NAME?"/>
    <x v="49"/>
    <n v="0.7"/>
    <s v="Desarrollador"/>
    <s v="Distribuido"/>
    <m/>
    <e v="#NAME?"/>
    <e v="#NAME?"/>
    <e v="#NAME?"/>
    <m/>
    <m/>
    <m/>
    <m/>
    <m/>
  </r>
  <r>
    <s v="C343619"/>
    <s v="REY GOMEZ ANDRES CAMILO"/>
    <x v="2"/>
    <x v="5"/>
    <s v="BBVA"/>
    <e v="#NAME?"/>
    <x v="51"/>
    <n v="0.25"/>
    <s v="Desarrollador"/>
    <s v="Mainframe"/>
    <m/>
    <e v="#NAME?"/>
    <e v="#NAME?"/>
    <e v="#NAME?"/>
    <m/>
    <m/>
    <m/>
    <m/>
    <m/>
  </r>
  <r>
    <s v="C343619"/>
    <s v="REY GOMEZ ANDRES CAMILO"/>
    <x v="2"/>
    <x v="5"/>
    <s v="BBVA"/>
    <e v="#NAME?"/>
    <x v="50"/>
    <n v="0.25"/>
    <s v="Desarrollador"/>
    <s v="Mainframe"/>
    <m/>
    <e v="#NAME?"/>
    <e v="#NAME?"/>
    <e v="#NAME?"/>
    <m/>
    <m/>
    <m/>
    <m/>
    <m/>
  </r>
  <r>
    <s v="C343619"/>
    <s v="REY GOMEZ ANDRES CAMILO"/>
    <x v="2"/>
    <x v="5"/>
    <s v="BBVA"/>
    <e v="#NAME?"/>
    <x v="52"/>
    <n v="0.25"/>
    <s v="Desarrollador"/>
    <s v="Mainframe"/>
    <m/>
    <e v="#NAME?"/>
    <e v="#NAME?"/>
    <e v="#NAME?"/>
    <m/>
    <m/>
    <m/>
    <m/>
    <m/>
  </r>
  <r>
    <s v="C343619"/>
    <s v="REY GOMEZ ANDRES CAMILO"/>
    <x v="2"/>
    <x v="5"/>
    <s v="BBVA"/>
    <e v="#NAME?"/>
    <x v="53"/>
    <n v="0.25"/>
    <s v="Desarrollador"/>
    <s v="Mainframe"/>
    <m/>
    <e v="#NAME?"/>
    <e v="#NAME?"/>
    <e v="#NAME?"/>
    <m/>
    <m/>
    <m/>
    <m/>
    <m/>
  </r>
  <r>
    <s v="O003311"/>
    <s v="VACA BERNAL JAIRO ALEXIS"/>
    <x v="2"/>
    <x v="5"/>
    <s v="BBVA"/>
    <e v="#NAME?"/>
    <x v="32"/>
    <n v="0.5"/>
    <s v="Desarrollador"/>
    <s v="Mainframe"/>
    <m/>
    <e v="#NAME?"/>
    <e v="#NAME?"/>
    <e v="#NAME?"/>
    <m/>
    <m/>
    <m/>
    <m/>
    <m/>
  </r>
  <r>
    <s v="O003311"/>
    <s v="VACA BERNAL JAIRO ALEXIS"/>
    <x v="2"/>
    <x v="5"/>
    <s v="BBVA"/>
    <e v="#NAME?"/>
    <x v="60"/>
    <n v="0.05"/>
    <s v="Desarrollador"/>
    <s v="Mainframe"/>
    <s v="Tiene Staffing pero no se ha presentado en el WG"/>
    <e v="#NAME?"/>
    <e v="#NAME?"/>
    <e v="#NAME?"/>
    <m/>
    <m/>
    <m/>
    <m/>
    <m/>
  </r>
  <r>
    <s v="O003311"/>
    <s v="VACA BERNAL JAIRO ALEXIS"/>
    <x v="2"/>
    <x v="5"/>
    <s v="BBVA"/>
    <e v="#NAME?"/>
    <x v="61"/>
    <n v="0.25"/>
    <s v="Desarrollador"/>
    <s v="Mainframe"/>
    <m/>
    <e v="#NAME?"/>
    <e v="#NAME?"/>
    <e v="#NAME?"/>
    <m/>
    <m/>
    <m/>
    <m/>
    <m/>
  </r>
  <r>
    <s v="O003311"/>
    <s v="VACA BERNAL JAIRO ALEXIS"/>
    <x v="2"/>
    <x v="5"/>
    <s v="BBVA"/>
    <e v="#NAME?"/>
    <x v="62"/>
    <n v="0.2"/>
    <s v="Desarrollador"/>
    <s v="Mainframe"/>
    <m/>
    <e v="#NAME?"/>
    <e v="#NAME?"/>
    <e v="#NAME?"/>
    <m/>
    <m/>
    <m/>
    <m/>
    <m/>
  </r>
  <r>
    <s v="C803834"/>
    <s v="VIVIANA ALARCON TORRES"/>
    <x v="2"/>
    <x v="5"/>
    <s v="BBVA"/>
    <e v="#NAME?"/>
    <x v="59"/>
    <n v="0.25"/>
    <s v="Desarrollador"/>
    <s v="Distribuido"/>
    <s v="En revision con dominio por cuanto debe estar "/>
    <e v="#NAME?"/>
    <e v="#NAME?"/>
    <e v="#NAME?"/>
    <m/>
    <m/>
    <m/>
    <m/>
    <m/>
  </r>
  <r>
    <s v="C803834"/>
    <s v="VIVIANA ALARCON TORRES"/>
    <x v="2"/>
    <x v="5"/>
    <s v="BBVA"/>
    <e v="#NAME?"/>
    <x v="57"/>
    <n v="0.5"/>
    <s v="Desarrollador"/>
    <s v="Distribuido"/>
    <m/>
    <e v="#NAME?"/>
    <e v="#NAME?"/>
    <e v="#NAME?"/>
    <m/>
    <m/>
    <m/>
    <m/>
    <m/>
  </r>
  <r>
    <s v="C803834"/>
    <s v="VIVIANA ALARCON TORRES"/>
    <x v="2"/>
    <x v="5"/>
    <s v="BBVA"/>
    <e v="#NAME?"/>
    <x v="32"/>
    <n v="0.15"/>
    <s v="Desarrollador"/>
    <s v="Distribuido"/>
    <m/>
    <e v="#NAME?"/>
    <e v="#NAME?"/>
    <e v="#NAME?"/>
    <m/>
    <m/>
    <m/>
    <m/>
    <m/>
  </r>
  <r>
    <s v="C803834"/>
    <s v="VIVIANA ALARCON TORRES"/>
    <x v="2"/>
    <x v="5"/>
    <s v="BBVA"/>
    <e v="#NAME?"/>
    <x v="61"/>
    <n v="0.1"/>
    <s v="Desarrollador"/>
    <s v="Distribuido"/>
    <m/>
    <e v="#NAME?"/>
    <e v="#NAME?"/>
    <e v="#NAME?"/>
    <m/>
    <m/>
    <m/>
    <m/>
    <m/>
  </r>
  <r>
    <s v="C808860"/>
    <s v="ZARATE PAVAS JOHN JAIRO"/>
    <x v="2"/>
    <x v="5"/>
    <s v="BBVA"/>
    <e v="#NAME?"/>
    <x v="53"/>
    <n v="0.1"/>
    <s v="Desarrollador"/>
    <s v="Mainframe"/>
    <m/>
    <e v="#NAME?"/>
    <e v="#NAME?"/>
    <e v="#NAME?"/>
    <m/>
    <m/>
    <m/>
    <m/>
    <m/>
  </r>
  <r>
    <s v="C808860"/>
    <s v="ZARATE PAVAS JOHN JAIRO"/>
    <x v="2"/>
    <x v="5"/>
    <s v="BBVA"/>
    <e v="#NAME?"/>
    <x v="50"/>
    <n v="0.05"/>
    <s v="Desarrollador"/>
    <s v="Mainframe"/>
    <m/>
    <e v="#NAME?"/>
    <e v="#NAME?"/>
    <e v="#NAME?"/>
    <m/>
    <m/>
    <m/>
    <m/>
    <m/>
  </r>
  <r>
    <s v="C808860"/>
    <s v="ZARATE PAVAS JOHN JAIRO"/>
    <x v="2"/>
    <x v="5"/>
    <s v="BBVA"/>
    <e v="#NAME?"/>
    <x v="51"/>
    <n v="0.5"/>
    <s v="Desarrollador"/>
    <s v="Mainframe"/>
    <m/>
    <e v="#NAME?"/>
    <e v="#NAME?"/>
    <e v="#NAME?"/>
    <m/>
    <m/>
    <m/>
    <m/>
    <m/>
  </r>
  <r>
    <s v="C808860"/>
    <s v="ZARATE PAVAS JOHN JAIRO"/>
    <x v="2"/>
    <x v="5"/>
    <s v="BBVA"/>
    <e v="#NAME?"/>
    <x v="52"/>
    <n v="0.1"/>
    <s v="Desarrollador"/>
    <s v="Mainframe"/>
    <m/>
    <e v="#NAME?"/>
    <e v="#NAME?"/>
    <e v="#NAME?"/>
    <m/>
    <m/>
    <m/>
    <m/>
    <m/>
  </r>
  <r>
    <s v="C808860"/>
    <s v="ZARATE PAVAS JOHN JAIRO"/>
    <x v="2"/>
    <x v="5"/>
    <s v="BBVA"/>
    <e v="#NAME?"/>
    <x v="1"/>
    <n v="0.25"/>
    <s v="Desarrollador"/>
    <s v="Mainframe"/>
    <m/>
    <e v="#NAME?"/>
    <e v="#NAME?"/>
    <e v="#NAME?"/>
    <m/>
    <m/>
    <m/>
    <m/>
    <m/>
  </r>
  <r>
    <s v="C810765"/>
    <s v="ANGELA MARIA DIAZ PEÑA "/>
    <x v="2"/>
    <x v="5"/>
    <s v="BBVA"/>
    <e v="#NAME?"/>
    <x v="53"/>
    <n v="0.5"/>
    <s v="QA"/>
    <s v="Mainframe"/>
    <s v="QC con otros equipos, por ejm Riesgos "/>
    <e v="#NAME?"/>
    <e v="#NAME?"/>
    <e v="#NAME?"/>
    <m/>
    <m/>
    <m/>
    <m/>
    <m/>
  </r>
  <r>
    <s v="C810765"/>
    <s v="ANGELA MARIA DIAZ PEÑA "/>
    <x v="2"/>
    <x v="8"/>
    <s v="BBVA"/>
    <e v="#NAME?"/>
    <x v="3"/>
    <n v="0.5"/>
    <s v="QA"/>
    <s v="Mainframe"/>
    <m/>
    <e v="#NAME?"/>
    <e v="#NAME?"/>
    <e v="#NAME?"/>
    <m/>
    <m/>
    <m/>
    <m/>
    <m/>
  </r>
  <r>
    <s v="CE66053"/>
    <s v="Andres Francisco Duarte Sanchez"/>
    <x v="2"/>
    <x v="5"/>
    <s v="GGI / CMC"/>
    <e v="#NAME?"/>
    <x v="52"/>
    <n v="1"/>
    <s v="Desarrollador"/>
    <s v="Distribuido"/>
    <m/>
    <e v="#NAME?"/>
    <e v="#NAME?"/>
    <e v="#NAME?"/>
    <m/>
    <m/>
    <m/>
    <m/>
    <m/>
  </r>
  <r>
    <s v="T005396"/>
    <s v="Andres Leonardo Ramirez Sanchez"/>
    <x v="2"/>
    <x v="5"/>
    <s v="GGI / CMC"/>
    <e v="#NAME?"/>
    <x v="53"/>
    <n v="1"/>
    <s v="Desarrollador"/>
    <s v="Mainframe"/>
    <m/>
    <e v="#NAME?"/>
    <e v="#NAME?"/>
    <e v="#NAME?"/>
    <m/>
    <m/>
    <m/>
    <m/>
    <m/>
  </r>
  <r>
    <s v="T005394"/>
    <s v="Eder Alberto Niño Mora"/>
    <x v="2"/>
    <x v="5"/>
    <s v="GGI / CMC"/>
    <e v="#NAME?"/>
    <x v="53"/>
    <n v="1"/>
    <s v="Desarrollador"/>
    <s v="Mainframe"/>
    <m/>
    <e v="#NAME?"/>
    <e v="#NAME?"/>
    <e v="#NAME?"/>
    <m/>
    <m/>
    <m/>
    <m/>
    <m/>
  </r>
  <r>
    <s v="CE69136"/>
    <s v="Jeisson Steven Rincon Mellizo"/>
    <x v="2"/>
    <x v="5"/>
    <s v="GGI / CMC"/>
    <e v="#NAME?"/>
    <x v="50"/>
    <n v="1"/>
    <s v="Desarrollador"/>
    <s v="Mainframe"/>
    <m/>
    <e v="#NAME?"/>
    <e v="#NAME?"/>
    <e v="#NAME?"/>
    <m/>
    <m/>
    <m/>
    <m/>
    <m/>
  </r>
  <r>
    <s v="T005393"/>
    <s v="Juan Pablo Ahumada Avila"/>
    <x v="2"/>
    <x v="5"/>
    <s v="GGI / CMC"/>
    <e v="#NAME?"/>
    <x v="51"/>
    <n v="1"/>
    <s v="Desarrollador"/>
    <s v="Distribuido"/>
    <m/>
    <e v="#NAME?"/>
    <e v="#NAME?"/>
    <e v="#NAME?"/>
    <m/>
    <m/>
    <m/>
    <m/>
    <m/>
  </r>
  <r>
    <s v="T005395"/>
    <s v="Leidy Johanna Ospina Rodriguez"/>
    <x v="2"/>
    <x v="5"/>
    <s v="GGI / CMC"/>
    <e v="#NAME?"/>
    <x v="52"/>
    <n v="1"/>
    <s v="Desarrollador"/>
    <s v="Mainframe"/>
    <m/>
    <e v="#NAME?"/>
    <e v="#NAME?"/>
    <e v="#NAME?"/>
    <m/>
    <m/>
    <m/>
    <m/>
    <m/>
  </r>
  <r>
    <s v="CE70161"/>
    <s v="Luis Alberto Caldera Chavez"/>
    <x v="2"/>
    <x v="5"/>
    <s v="GGI / CMC"/>
    <e v="#NAME?"/>
    <x v="50"/>
    <n v="1"/>
    <s v="Desarrollador"/>
    <s v="Mainframe"/>
    <m/>
    <e v="#NAME?"/>
    <e v="#NAME?"/>
    <e v="#NAME?"/>
    <m/>
    <m/>
    <m/>
    <m/>
    <m/>
  </r>
  <r>
    <s v="CE52035"/>
    <s v="Orlando Salvador Mora Andrade"/>
    <x v="2"/>
    <x v="5"/>
    <s v="GGI / CMC"/>
    <e v="#NAME?"/>
    <x v="50"/>
    <n v="0.25"/>
    <s v="Tech Manager/Líder"/>
    <s v="Distribuido"/>
    <m/>
    <e v="#NAME?"/>
    <e v="#NAME?"/>
    <e v="#NAME?"/>
    <m/>
    <m/>
    <m/>
    <m/>
    <m/>
  </r>
  <r>
    <s v="CE52035"/>
    <s v="Orlando Salvador Mora Andrade"/>
    <x v="2"/>
    <x v="5"/>
    <s v="GGI / CMC"/>
    <e v="#NAME?"/>
    <x v="52"/>
    <n v="0.25"/>
    <s v="Tech Manager/Líder"/>
    <s v="Mainframe"/>
    <m/>
    <e v="#NAME?"/>
    <e v="#NAME?"/>
    <e v="#NAME?"/>
    <m/>
    <m/>
    <m/>
    <m/>
    <m/>
  </r>
  <r>
    <s v="CE52035"/>
    <s v="Orlando Salvador Mora Andrade"/>
    <x v="2"/>
    <x v="5"/>
    <s v="GGI / CMC"/>
    <e v="#NAME?"/>
    <x v="53"/>
    <n v="0.25"/>
    <s v="Tech Manager/Líder"/>
    <s v="Distribuido"/>
    <m/>
    <e v="#NAME?"/>
    <e v="#NAME?"/>
    <e v="#NAME?"/>
    <m/>
    <m/>
    <m/>
    <m/>
    <m/>
  </r>
  <r>
    <s v="CE52035"/>
    <s v="Orlando Salvador Mora Andrade"/>
    <x v="2"/>
    <x v="5"/>
    <s v="GGI / CMC"/>
    <e v="#NAME?"/>
    <x v="51"/>
    <n v="0.25"/>
    <s v="Tech Manager/Líder"/>
    <s v="Mainframe"/>
    <m/>
    <e v="#NAME?"/>
    <e v="#NAME?"/>
    <e v="#NAME?"/>
    <m/>
    <m/>
    <m/>
    <m/>
    <m/>
  </r>
  <r>
    <s v="CE27209"/>
    <s v="Oscar Manuel Diaz Fique"/>
    <x v="2"/>
    <x v="5"/>
    <s v="GGI / CMC"/>
    <e v="#NAME?"/>
    <x v="53"/>
    <n v="1"/>
    <s v="Desarrollador"/>
    <s v="Mainframe"/>
    <m/>
    <e v="#NAME?"/>
    <e v="#NAME?"/>
    <e v="#NAME?"/>
    <m/>
    <m/>
    <m/>
    <m/>
    <m/>
  </r>
  <r>
    <s v="CE58625"/>
    <s v="Ronald David Lara Hernandez"/>
    <x v="2"/>
    <x v="5"/>
    <s v="GGI / CMC"/>
    <e v="#NAME?"/>
    <x v="53"/>
    <n v="1"/>
    <s v="Desarrollador"/>
    <s v="Mainframe"/>
    <m/>
    <e v="#NAME?"/>
    <e v="#NAME?"/>
    <e v="#NAME?"/>
    <m/>
    <m/>
    <m/>
    <m/>
    <m/>
  </r>
  <r>
    <s v="T004566"/>
    <s v="Walther Mauricio Guerrero"/>
    <x v="2"/>
    <x v="5"/>
    <s v="GGI / CMC"/>
    <e v="#NAME?"/>
    <x v="51"/>
    <n v="1"/>
    <s v="Desarrollador"/>
    <s v="Mainframe"/>
    <m/>
    <e v="#NAME?"/>
    <e v="#NAME?"/>
    <e v="#NAME?"/>
    <m/>
    <m/>
    <m/>
    <m/>
    <m/>
  </r>
  <r>
    <s v="CE66458"/>
    <s v="ROBERTO CARLOS NIETO SUAREZ"/>
    <x v="2"/>
    <x v="5"/>
    <s v="Inetum"/>
    <e v="#NAME?"/>
    <x v="51"/>
    <n v="1"/>
    <s v="QA"/>
    <s v="Mainframe"/>
    <m/>
    <e v="#NAME?"/>
    <e v="#NAME?"/>
    <e v="#NAME?"/>
    <m/>
    <m/>
    <m/>
    <m/>
    <m/>
  </r>
  <r>
    <s v="CE67101"/>
    <s v="IVETTE AYCHELL MONROY SUAREZ"/>
    <x v="2"/>
    <x v="5"/>
    <s v="Inetum"/>
    <e v="#NAME?"/>
    <x v="50"/>
    <n v="1"/>
    <s v="QA"/>
    <s v="Mainframe"/>
    <m/>
    <e v="#NAME?"/>
    <e v="#NAME?"/>
    <e v="#NAME?"/>
    <m/>
    <m/>
    <m/>
    <m/>
    <m/>
  </r>
  <r>
    <s v="CE64507"/>
    <s v="DANIEL ESTEBAN MORENO CARRILLO"/>
    <x v="2"/>
    <x v="5"/>
    <s v="Inetum"/>
    <e v="#NAME?"/>
    <x v="52"/>
    <n v="1"/>
    <s v="QA"/>
    <s v="Mainframe"/>
    <m/>
    <e v="#NAME?"/>
    <e v="#NAME?"/>
    <e v="#NAME?"/>
    <m/>
    <m/>
    <m/>
    <m/>
    <m/>
  </r>
  <r>
    <s v="CE59467"/>
    <s v="NORMA CECILIA MORENO GONZALEZ"/>
    <x v="2"/>
    <x v="5"/>
    <s v="Inetum"/>
    <e v="#NAME?"/>
    <x v="53"/>
    <n v="1"/>
    <s v="QA"/>
    <s v="Mainframe"/>
    <m/>
    <e v="#NAME?"/>
    <e v="#NAME?"/>
    <e v="#NAME?"/>
    <m/>
    <m/>
    <m/>
    <m/>
    <m/>
  </r>
  <r>
    <s v="CE66798"/>
    <s v="ANGIE CAROLINA MORALES DUENAS"/>
    <x v="2"/>
    <x v="5"/>
    <s v="Choucair"/>
    <e v="#NAME?"/>
    <x v="53"/>
    <n v="1"/>
    <s v="QA"/>
    <s v="Mainframe"/>
    <m/>
    <e v="#NAME?"/>
    <e v="#NAME?"/>
    <e v="#NAME?"/>
    <m/>
    <m/>
    <m/>
    <m/>
    <m/>
  </r>
  <r>
    <s v="T005931"/>
    <s v="DANIEL MAURICIO RIANO PEDRAZA_x000a_"/>
    <x v="2"/>
    <x v="5"/>
    <s v="GGI / CMC"/>
    <e v="#NAME?"/>
    <x v="49"/>
    <n v="0.1"/>
    <s v="QA"/>
    <s v="Mainframe"/>
    <m/>
    <e v="#NAME?"/>
    <e v="#NAME?"/>
    <e v="#NAME?"/>
    <m/>
    <m/>
    <m/>
    <m/>
    <m/>
  </r>
  <r>
    <s v="T005931"/>
    <s v="DANIEL MAURICIO RIANO PEDRAZA_x000a_"/>
    <x v="2"/>
    <x v="5"/>
    <s v="GGI / CMC"/>
    <e v="#NAME?"/>
    <x v="32"/>
    <n v="0.1"/>
    <s v="QA"/>
    <s v="Mainframe"/>
    <m/>
    <e v="#NAME?"/>
    <e v="#NAME?"/>
    <e v="#NAME?"/>
    <m/>
    <m/>
    <m/>
    <m/>
    <m/>
  </r>
  <r>
    <s v="T005931"/>
    <s v="DANIEL MAURICIO RIANO PEDRAZA_x000a_"/>
    <x v="2"/>
    <x v="5"/>
    <s v="GGI / CMC"/>
    <e v="#NAME?"/>
    <x v="61"/>
    <n v="0.1"/>
    <s v="QA"/>
    <s v="Mainframe"/>
    <m/>
    <e v="#NAME?"/>
    <e v="#NAME?"/>
    <e v="#NAME?"/>
    <m/>
    <m/>
    <m/>
    <m/>
    <m/>
  </r>
  <r>
    <s v="T005931"/>
    <s v="DANIEL MAURICIO RIANO PEDRAZA_x000a_"/>
    <x v="2"/>
    <x v="5"/>
    <s v="GGI / CMC"/>
    <e v="#NAME?"/>
    <x v="57"/>
    <n v="0.1"/>
    <s v="QA"/>
    <s v="Mainframe"/>
    <m/>
    <e v="#NAME?"/>
    <e v="#NAME?"/>
    <e v="#NAME?"/>
    <m/>
    <m/>
    <m/>
    <m/>
    <m/>
  </r>
  <r>
    <s v="T005931"/>
    <s v="DANIEL MAURICIO RIANO PEDRAZA_x000a_"/>
    <x v="2"/>
    <x v="5"/>
    <s v="GGI / CMC"/>
    <e v="#NAME?"/>
    <x v="1"/>
    <n v="0.1"/>
    <s v="QA"/>
    <s v="Mainframe"/>
    <m/>
    <e v="#NAME?"/>
    <e v="#NAME?"/>
    <e v="#NAME?"/>
    <m/>
    <m/>
    <m/>
    <m/>
    <m/>
  </r>
  <r>
    <s v="CE68547"/>
    <s v="JOSE ROBERTO GONZALEZ MELO_x000a_"/>
    <x v="2"/>
    <x v="5"/>
    <s v="KRYPTO"/>
    <e v="#NAME?"/>
    <x v="49"/>
    <n v="0.1"/>
    <s v="QA"/>
    <s v="Mainframe"/>
    <m/>
    <e v="#NAME?"/>
    <e v="#NAME?"/>
    <e v="#NAME?"/>
    <m/>
    <m/>
    <m/>
    <m/>
    <m/>
  </r>
  <r>
    <s v="CE68547"/>
    <s v="JOSE ROBERTO GONZALEZ MELO_x000a_"/>
    <x v="2"/>
    <x v="5"/>
    <s v="KRYPTO"/>
    <e v="#NAME?"/>
    <x v="32"/>
    <n v="0.1"/>
    <s v="QA"/>
    <s v="Mainframe"/>
    <m/>
    <e v="#NAME?"/>
    <e v="#NAME?"/>
    <e v="#NAME?"/>
    <m/>
    <m/>
    <m/>
    <m/>
    <m/>
  </r>
  <r>
    <s v="CE68547"/>
    <s v="JOSE ROBERTO GONZALEZ MELO_x000a_"/>
    <x v="2"/>
    <x v="5"/>
    <s v="KRYPTO"/>
    <e v="#NAME?"/>
    <x v="61"/>
    <n v="0.1"/>
    <s v="QA"/>
    <s v="Mainframe"/>
    <m/>
    <e v="#NAME?"/>
    <e v="#NAME?"/>
    <e v="#NAME?"/>
    <m/>
    <m/>
    <m/>
    <m/>
    <m/>
  </r>
  <r>
    <s v="CE68547"/>
    <s v="JOSE ROBERTO GONZALEZ MELO_x000a_"/>
    <x v="2"/>
    <x v="5"/>
    <s v="KRYPTO"/>
    <e v="#NAME?"/>
    <x v="57"/>
    <n v="0.1"/>
    <s v="QA"/>
    <s v="Mainframe"/>
    <m/>
    <e v="#NAME?"/>
    <e v="#NAME?"/>
    <e v="#NAME?"/>
    <m/>
    <m/>
    <m/>
    <m/>
    <m/>
  </r>
  <r>
    <s v="CE68547"/>
    <s v="JOSE ROBERTO GONZALEZ MELO_x000a_"/>
    <x v="2"/>
    <x v="5"/>
    <s v="KRYPTO"/>
    <e v="#NAME?"/>
    <x v="1"/>
    <n v="0.1"/>
    <s v="QA"/>
    <s v="Mainframe"/>
    <m/>
    <e v="#NAME?"/>
    <e v="#NAME?"/>
    <e v="#NAME?"/>
    <m/>
    <m/>
    <m/>
    <m/>
    <m/>
  </r>
  <r>
    <s v="CE52434"/>
    <s v="HAROLD HERNANDO REYES VARGAS_x000a_"/>
    <x v="2"/>
    <x v="5"/>
    <s v="Inetum"/>
    <e v="#NAME?"/>
    <x v="32"/>
    <n v="1"/>
    <s v="Otros"/>
    <s v="Mainframe"/>
    <m/>
    <e v="#NAME?"/>
    <e v="#NAME?"/>
    <e v="#NAME?"/>
    <m/>
    <m/>
    <m/>
    <m/>
    <m/>
  </r>
  <r>
    <s v="CE68712"/>
    <s v="EDWARD STIVEN RODRIGUEZ MORENO"/>
    <x v="2"/>
    <x v="5"/>
    <s v="BLUETAB"/>
    <e v="#NAME?"/>
    <x v="59"/>
    <n v="0.4"/>
    <s v="Desarrollador"/>
    <s v="Distribuido"/>
    <s v="En revision con dominio por cuanto debe estar "/>
    <e v="#NAME?"/>
    <e v="#NAME?"/>
    <e v="#NAME?"/>
    <m/>
    <m/>
    <m/>
    <m/>
    <m/>
  </r>
  <r>
    <s v="CE57396"/>
    <s v="JUAN PABLO AREVALO MERCHAN"/>
    <x v="2"/>
    <x v="5"/>
    <s v="BLUETAB"/>
    <e v="#NAME?"/>
    <x v="32"/>
    <n v="0.25"/>
    <s v="Desarrollador"/>
    <s v="Distribuido"/>
    <m/>
    <e v="#NAME?"/>
    <e v="#NAME?"/>
    <e v="#NAME?"/>
    <m/>
    <m/>
    <m/>
    <m/>
    <m/>
  </r>
  <r>
    <s v="CE57396"/>
    <s v="JUAN PABLO AREVALO MERCHAN"/>
    <x v="2"/>
    <x v="5"/>
    <s v="BLUETAB"/>
    <e v="#NAME?"/>
    <x v="61"/>
    <n v="0.25"/>
    <s v="Desarrollador"/>
    <s v="Distribuido"/>
    <m/>
    <e v="#NAME?"/>
    <e v="#NAME?"/>
    <e v="#NAME?"/>
    <m/>
    <m/>
    <m/>
    <m/>
    <m/>
  </r>
  <r>
    <s v="CE56879"/>
    <s v="Victor Hans De La Cruz Quispe"/>
    <x v="2"/>
    <x v="5"/>
    <s v="BLUETAB"/>
    <e v="#NAME?"/>
    <x v="6"/>
    <n v="1"/>
    <s v="Desarrollador"/>
    <s v="Distribuido"/>
    <m/>
    <e v="#NAME?"/>
    <e v="#NAME?"/>
    <e v="#NAME?"/>
    <m/>
    <m/>
    <m/>
    <m/>
    <m/>
  </r>
  <r>
    <s v="T005749"/>
    <s v="YESICA DANIELA VARGAS ESPITIA"/>
    <x v="2"/>
    <x v="5"/>
    <s v="BLUETAB"/>
    <e v="#NAME?"/>
    <x v="61"/>
    <n v="1"/>
    <s v="Desarrollador"/>
    <s v="Distribuido"/>
    <m/>
    <e v="#NAME?"/>
    <e v="#NAME?"/>
    <e v="#NAME?"/>
    <m/>
    <m/>
    <m/>
    <m/>
    <m/>
  </r>
  <r>
    <s v="CE62380"/>
    <s v="LUIGUI SANTIAGO FAJARDO TOLOZA"/>
    <x v="2"/>
    <x v="5"/>
    <s v="ADENZA"/>
    <e v="#NAME?"/>
    <x v="49"/>
    <n v="1"/>
    <s v="Desarrollador"/>
    <s v="Distribuido"/>
    <m/>
    <e v="#NAME?"/>
    <e v="#NAME?"/>
    <e v="#NAME?"/>
    <m/>
    <m/>
    <m/>
    <m/>
    <m/>
  </r>
  <r>
    <s v="CE62112"/>
    <s v="MARILUZ SANCHEZ MORENO"/>
    <x v="2"/>
    <x v="5"/>
    <s v="ADENZA"/>
    <e v="#NAME?"/>
    <x v="49"/>
    <n v="1"/>
    <s v="Tech Manager/Líder"/>
    <s v="Distribuido"/>
    <m/>
    <e v="#NAME?"/>
    <e v="#NAME?"/>
    <e v="#NAME?"/>
    <m/>
    <m/>
    <m/>
    <m/>
    <m/>
  </r>
  <r>
    <s v="T007669"/>
    <s v="SANTIAGO GALLEGO BEDOYA_x000a_"/>
    <x v="2"/>
    <x v="5"/>
    <s v="Neoris"/>
    <e v="#NAME?"/>
    <x v="57"/>
    <n v="1"/>
    <s v="QA"/>
    <s v="Mainframe"/>
    <m/>
    <e v="#NAME?"/>
    <e v="#NAME?"/>
    <e v="#NAME?"/>
    <m/>
    <m/>
    <m/>
    <m/>
    <m/>
  </r>
  <r>
    <s v="T011483"/>
    <s v="JUAN SEBASTIAN RODRIGUEZ PARRA"/>
    <x v="2"/>
    <x v="5"/>
    <s v="Inetum"/>
    <e v="#NAME?"/>
    <x v="49"/>
    <n v="1"/>
    <s v="Otros"/>
    <s v="Otras Tec."/>
    <m/>
    <e v="#NAME?"/>
    <e v="#NAME?"/>
    <e v="#NAME?"/>
    <m/>
    <m/>
    <m/>
    <m/>
    <m/>
  </r>
  <r>
    <s v="CE47497"/>
    <s v="ADOLFO ENRIQUE BERNAL RODRIGUEZ"/>
    <x v="3"/>
    <x v="9"/>
    <s v="SII"/>
    <e v="#NAME?"/>
    <x v="63"/>
    <n v="0.5"/>
    <s v="Otros"/>
    <s v="Mainframe"/>
    <m/>
    <e v="#NAME?"/>
    <e v="#NAME?"/>
    <e v="#NAME?"/>
    <m/>
    <m/>
    <m/>
    <m/>
    <m/>
  </r>
  <r>
    <s v="CE47497"/>
    <s v="ADOLFO ENRIQUE BERNAL RODRIGUEZ"/>
    <x v="3"/>
    <x v="9"/>
    <s v="SII"/>
    <e v="#NAME?"/>
    <x v="20"/>
    <n v="0.5"/>
    <s v="Otros"/>
    <s v="Mainframe"/>
    <m/>
    <e v="#NAME?"/>
    <e v="#NAME?"/>
    <e v="#NAME?"/>
    <m/>
    <m/>
    <m/>
    <m/>
    <m/>
  </r>
  <r>
    <s v="O002467"/>
    <s v="ALBA FABIOLA GOMEZ RODRIGUEZ"/>
    <x v="3"/>
    <x v="9"/>
    <s v="BBVA"/>
    <e v="#NAME?"/>
    <x v="64"/>
    <n v="1"/>
    <s v="Desarrollador"/>
    <s v="Mainframe"/>
    <m/>
    <e v="#NAME?"/>
    <e v="#NAME?"/>
    <e v="#NAME?"/>
    <m/>
    <m/>
    <m/>
    <m/>
    <m/>
  </r>
  <r>
    <s v="O001638"/>
    <s v="ALEXANDER PLATA USCATEGUI"/>
    <x v="3"/>
    <x v="9"/>
    <s v="BBVA"/>
    <e v="#NAME?"/>
    <x v="64"/>
    <n v="1"/>
    <s v="Desarrollador"/>
    <s v="Mainframe"/>
    <m/>
    <e v="#NAME?"/>
    <e v="#NAME?"/>
    <e v="#NAME?"/>
    <m/>
    <m/>
    <m/>
    <m/>
    <m/>
  </r>
  <r>
    <s v="C803933"/>
    <s v="CAMILO MONDRAGON"/>
    <x v="3"/>
    <x v="9"/>
    <s v="BBVA"/>
    <e v="#NAME?"/>
    <x v="63"/>
    <n v="0.75"/>
    <s v="Desarrollador"/>
    <s v="Mainframe"/>
    <m/>
    <e v="#NAME?"/>
    <e v="#NAME?"/>
    <e v="#NAME?"/>
    <m/>
    <m/>
    <m/>
    <m/>
    <m/>
  </r>
  <r>
    <s v="C803933"/>
    <s v="CAMILO MONDRAGON"/>
    <x v="3"/>
    <x v="9"/>
    <s v="BBVA"/>
    <e v="#NAME?"/>
    <x v="65"/>
    <n v="0.25"/>
    <s v="Desarrollador"/>
    <s v="Mainframe"/>
    <s v="Soporte a certificación"/>
    <e v="#NAME?"/>
    <e v="#NAME?"/>
    <e v="#NAME?"/>
    <m/>
    <m/>
    <m/>
    <m/>
    <m/>
  </r>
  <r>
    <s v="C811277"/>
    <s v="CARLOS ALBERTO GUERRERO MONTAÑA"/>
    <x v="3"/>
    <x v="9"/>
    <s v="BBVA"/>
    <e v="#NAME?"/>
    <x v="66"/>
    <n v="0.75"/>
    <s v="Desarrollador"/>
    <s v="Mainframe"/>
    <m/>
    <e v="#NAME?"/>
    <e v="#NAME?"/>
    <e v="#NAME?"/>
    <m/>
    <m/>
    <m/>
    <m/>
    <m/>
  </r>
  <r>
    <s v="C811277"/>
    <s v="CARLOS ALBERTO GUERRERO MONTAÑA"/>
    <x v="3"/>
    <x v="9"/>
    <s v="BBVA"/>
    <e v="#NAME?"/>
    <x v="67"/>
    <n v="0.25"/>
    <s v="Desarrollador"/>
    <s v="Mainframe"/>
    <m/>
    <e v="#NAME?"/>
    <e v="#NAME?"/>
    <e v="#NAME?"/>
    <m/>
    <m/>
    <m/>
    <m/>
    <m/>
  </r>
  <r>
    <s v="C811304"/>
    <s v="CARLOS EDUARDO YEPES ANGEL"/>
    <x v="3"/>
    <x v="9"/>
    <s v="BBVA"/>
    <e v="#NAME?"/>
    <x v="68"/>
    <n v="1"/>
    <s v="Desarrollador"/>
    <s v="Mainframe"/>
    <m/>
    <e v="#NAME?"/>
    <e v="#NAME?"/>
    <e v="#NAME?"/>
    <m/>
    <m/>
    <m/>
    <m/>
    <m/>
  </r>
  <r>
    <s v="CE64217"/>
    <s v="CHRISTIAN CAMILO PERDOMO MEDINA"/>
    <x v="3"/>
    <x v="9"/>
    <s v="SII"/>
    <e v="#NAME?"/>
    <x v="3"/>
    <n v="1"/>
    <s v="Desarrollador"/>
    <s v="Mainframe"/>
    <m/>
    <e v="#NAME?"/>
    <e v="#NAME?"/>
    <e v="#NAME?"/>
    <m/>
    <m/>
    <m/>
    <m/>
    <m/>
  </r>
  <r>
    <s v="C802128"/>
    <s v="DIANA MILENA SALAMANCA CHIQUILLO"/>
    <x v="3"/>
    <x v="9"/>
    <s v="BBVA"/>
    <e v="#NAME?"/>
    <x v="69"/>
    <n v="0.4"/>
    <s v="Desarrollador"/>
    <s v="Mainframe"/>
    <s v="No se encuentra la SDATOOL-37344"/>
    <e v="#NAME?"/>
    <e v="#NAME?"/>
    <e v="#NAME?"/>
    <m/>
    <m/>
    <m/>
    <m/>
    <m/>
  </r>
  <r>
    <s v="C802128"/>
    <s v="DIANA MILENA SALAMANCA CHIQUILLO"/>
    <x v="3"/>
    <x v="9"/>
    <s v="BBVA"/>
    <e v="#NAME?"/>
    <x v="5"/>
    <n v="0.6"/>
    <s v="Desarrollador"/>
    <s v="Mainframe"/>
    <m/>
    <e v="#NAME?"/>
    <e v="#NAME?"/>
    <e v="#NAME?"/>
    <m/>
    <m/>
    <m/>
    <m/>
    <m/>
  </r>
  <r>
    <s v="C797928"/>
    <s v="DIANA ROCIO GERENA HERRERA"/>
    <x v="3"/>
    <x v="9"/>
    <s v="BBVA"/>
    <e v="#NAME?"/>
    <x v="64"/>
    <n v="0.3"/>
    <s v="Tech Manager/Líder"/>
    <s v="Mainframe"/>
    <m/>
    <e v="#NAME?"/>
    <e v="#NAME?"/>
    <e v="#NAME?"/>
    <m/>
    <m/>
    <m/>
    <m/>
    <m/>
  </r>
  <r>
    <s v="C797928"/>
    <s v="DIANA ROCIO GERENA HERRERA"/>
    <x v="3"/>
    <x v="9"/>
    <s v="BBVA"/>
    <e v="#NAME?"/>
    <x v="3"/>
    <n v="0.4"/>
    <s v="Tech Manager/Líder"/>
    <s v="Mainframe"/>
    <m/>
    <e v="#NAME?"/>
    <e v="#NAME?"/>
    <e v="#NAME?"/>
    <m/>
    <m/>
    <m/>
    <m/>
    <m/>
  </r>
  <r>
    <s v="C797928"/>
    <s v="DIANA ROCIO GERENA HERRERA"/>
    <x v="3"/>
    <x v="9"/>
    <s v="BBVA"/>
    <e v="#NAME?"/>
    <x v="63"/>
    <n v="0.15"/>
    <s v="Tech Manager/Líder"/>
    <s v="Mainframe"/>
    <m/>
    <e v="#NAME?"/>
    <e v="#NAME?"/>
    <e v="#NAME?"/>
    <m/>
    <m/>
    <m/>
    <m/>
    <m/>
  </r>
  <r>
    <s v="C797928"/>
    <s v="DIANA ROCIO GERENA HERRERA"/>
    <x v="3"/>
    <x v="9"/>
    <s v="BBVA"/>
    <e v="#NAME?"/>
    <x v="65"/>
    <n v="0.15"/>
    <s v="Tech Manager/Líder"/>
    <s v="Mainframe"/>
    <m/>
    <e v="#NAME?"/>
    <e v="#NAME?"/>
    <e v="#NAME?"/>
    <m/>
    <m/>
    <m/>
    <m/>
    <m/>
  </r>
  <r>
    <s v="CE48051"/>
    <s v="EDGAR ANDRES GARZON"/>
    <x v="3"/>
    <x v="9"/>
    <s v="Novatec"/>
    <e v="#NAME?"/>
    <x v="67"/>
    <n v="0.25"/>
    <s v="Desarrollador"/>
    <s v="Mainframe"/>
    <m/>
    <e v="#NAME?"/>
    <e v="#NAME?"/>
    <e v="#NAME?"/>
    <m/>
    <m/>
    <m/>
    <m/>
    <m/>
  </r>
  <r>
    <s v="CE48051"/>
    <s v="EDGAR ANDRES GARZON"/>
    <x v="3"/>
    <x v="9"/>
    <s v="Novatec"/>
    <e v="#NAME?"/>
    <x v="66"/>
    <n v="0.75"/>
    <s v="Desarrollador"/>
    <s v="Mainframe"/>
    <m/>
    <e v="#NAME?"/>
    <e v="#NAME?"/>
    <e v="#NAME?"/>
    <m/>
    <m/>
    <m/>
    <m/>
    <m/>
  </r>
  <r>
    <s v="C343151"/>
    <s v="ESPERANZA DIAZ HERNANDEZ"/>
    <x v="3"/>
    <x v="9"/>
    <s v="BBVA"/>
    <e v="#NAME?"/>
    <x v="3"/>
    <n v="1"/>
    <s v="Desarrollador"/>
    <s v="Mainframe"/>
    <m/>
    <e v="#NAME?"/>
    <e v="#NAME?"/>
    <e v="#NAME?"/>
    <m/>
    <m/>
    <m/>
    <m/>
    <m/>
  </r>
  <r>
    <s v="CE70143"/>
    <s v="EMMANUEL GERMAN FORSTER"/>
    <x v="3"/>
    <x v="9"/>
    <s v="Globant"/>
    <e v="#NAME?"/>
    <x v="68"/>
    <n v="1"/>
    <s v="Desarrollador"/>
    <s v="ASO"/>
    <s v="Usuario en proceso de alta."/>
    <e v="#NAME?"/>
    <e v="#NAME?"/>
    <e v="#NAME?"/>
    <m/>
    <m/>
    <m/>
    <m/>
    <m/>
  </r>
  <r>
    <s v="C811389"/>
    <s v="FABER IVAN MAYORQUIN RESTREPO"/>
    <x v="3"/>
    <x v="9"/>
    <s v="BBVA"/>
    <e v="#NAME?"/>
    <x v="70"/>
    <n v="0.65"/>
    <s v="Desarrollador"/>
    <s v="Mainframe"/>
    <m/>
    <e v="#NAME?"/>
    <e v="#NAME?"/>
    <e v="#NAME?"/>
    <m/>
    <m/>
    <m/>
    <m/>
    <m/>
  </r>
  <r>
    <s v="C811389"/>
    <s v="FABER IVAN MAYORQUIN RESTREPO"/>
    <x v="3"/>
    <x v="9"/>
    <s v="BBVA"/>
    <e v="#NAME?"/>
    <x v="20"/>
    <n v="0.2"/>
    <s v="Desarrollador"/>
    <s v="Mainframe"/>
    <m/>
    <e v="#NAME?"/>
    <e v="#NAME?"/>
    <e v="#NAME?"/>
    <m/>
    <m/>
    <m/>
    <m/>
    <m/>
  </r>
  <r>
    <s v="C811389"/>
    <s v="FABER IVAN MAYORQUIN RESTREPO"/>
    <x v="3"/>
    <x v="9"/>
    <s v="BBVA"/>
    <e v="#NAME?"/>
    <x v="3"/>
    <n v="0.15"/>
    <s v="Desarrollador"/>
    <s v="Mainframe"/>
    <m/>
    <e v="#NAME?"/>
    <e v="#NAME?"/>
    <e v="#NAME?"/>
    <m/>
    <m/>
    <m/>
    <m/>
    <m/>
  </r>
  <r>
    <s v="CE50117"/>
    <s v="JAIRO ANZOLA PLATA L"/>
    <x v="3"/>
    <x v="9"/>
    <s v="SII"/>
    <e v="#NAME?"/>
    <x v="64"/>
    <n v="0.4"/>
    <s v="Desarrollador"/>
    <s v="Mainframe"/>
    <s v="Soporte a la certificación"/>
    <e v="#NAME?"/>
    <e v="#NAME?"/>
    <e v="#NAME?"/>
    <m/>
    <m/>
    <m/>
    <m/>
    <m/>
  </r>
  <r>
    <s v="CE42593"/>
    <s v="JENITH MARSELLA MANTILLA RODRIGUEZ"/>
    <x v="3"/>
    <x v="9"/>
    <s v="SII"/>
    <e v="#NAME?"/>
    <x v="3"/>
    <n v="1"/>
    <s v="Tech Manager/Líder"/>
    <s v="Mainframe"/>
    <m/>
    <e v="#NAME?"/>
    <e v="#NAME?"/>
    <e v="#NAME?"/>
    <m/>
    <m/>
    <m/>
    <m/>
    <m/>
  </r>
  <r>
    <s v="C805565"/>
    <s v="JHON FREDY PACHECO AVELLA"/>
    <x v="3"/>
    <x v="9"/>
    <s v="BBVA"/>
    <e v="#NAME?"/>
    <x v="20"/>
    <n v="0.2"/>
    <s v="Desarrollador"/>
    <s v="Mainframe"/>
    <m/>
    <e v="#NAME?"/>
    <e v="#NAME?"/>
    <e v="#NAME?"/>
    <m/>
    <m/>
    <m/>
    <m/>
    <m/>
  </r>
  <r>
    <s v="C805565"/>
    <s v="JHON FREDY PACHECO AVELLA"/>
    <x v="3"/>
    <x v="9"/>
    <s v="BBVA"/>
    <e v="#NAME?"/>
    <x v="71"/>
    <n v="0.5"/>
    <s v="Desarrollador"/>
    <s v="Mainframe"/>
    <m/>
    <e v="#NAME?"/>
    <e v="#NAME?"/>
    <e v="#NAME?"/>
    <m/>
    <m/>
    <m/>
    <m/>
    <m/>
  </r>
  <r>
    <s v="C805565"/>
    <s v="JHON FREDY PACHECO AVELLA"/>
    <x v="3"/>
    <x v="9"/>
    <s v="BBVA"/>
    <e v="#NAME?"/>
    <x v="72"/>
    <n v="0.3"/>
    <s v="Desarrollador"/>
    <s v="Mainframe"/>
    <m/>
    <e v="#NAME?"/>
    <e v="#NAME?"/>
    <e v="#NAME?"/>
    <m/>
    <m/>
    <m/>
    <m/>
    <m/>
  </r>
  <r>
    <s v="C809506"/>
    <s v="JHON FREDY PINZON PAEZ"/>
    <x v="3"/>
    <x v="9"/>
    <s v="BBVA"/>
    <e v="#NAME?"/>
    <x v="3"/>
    <n v="1"/>
    <s v="Desarrollador"/>
    <s v="Mainframe"/>
    <m/>
    <e v="#NAME?"/>
    <e v="#NAME?"/>
    <e v="#NAME?"/>
    <m/>
    <m/>
    <m/>
    <m/>
    <m/>
  </r>
  <r>
    <s v="O001222"/>
    <s v="JIOVANNY SUAREZ GONZALEZ"/>
    <x v="3"/>
    <x v="9"/>
    <s v="BBVA"/>
    <e v="#NAME?"/>
    <x v="66"/>
    <n v="0.2"/>
    <s v="Tech Manager/Líder"/>
    <s v="Otras Tec."/>
    <m/>
    <e v="#NAME?"/>
    <e v="#NAME?"/>
    <e v="#NAME?"/>
    <m/>
    <m/>
    <m/>
    <m/>
    <m/>
  </r>
  <r>
    <s v="O001222"/>
    <s v="JIOVANNY SUAREZ GONZALEZ"/>
    <x v="3"/>
    <x v="9"/>
    <s v="BBVA"/>
    <e v="#NAME?"/>
    <x v="67"/>
    <n v="0.2"/>
    <s v="Tech Manager/Líder"/>
    <s v="Otras Tec."/>
    <m/>
    <e v="#NAME?"/>
    <e v="#NAME?"/>
    <e v="#NAME?"/>
    <m/>
    <m/>
    <m/>
    <m/>
    <m/>
  </r>
  <r>
    <s v="O001222"/>
    <s v="JIOVANNY SUAREZ GONZALEZ"/>
    <x v="3"/>
    <x v="9"/>
    <s v="BBVA"/>
    <e v="#NAME?"/>
    <x v="68"/>
    <n v="0.2"/>
    <s v="Tech Manager/Líder"/>
    <s v="Otras Tec."/>
    <m/>
    <e v="#NAME?"/>
    <e v="#NAME?"/>
    <e v="#NAME?"/>
    <m/>
    <m/>
    <m/>
    <m/>
    <m/>
  </r>
  <r>
    <s v="O001222"/>
    <s v="JIOVANNY SUAREZ GONZALEZ"/>
    <x v="3"/>
    <x v="9"/>
    <s v="BBVA"/>
    <e v="#NAME?"/>
    <x v="73"/>
    <n v="0.2"/>
    <s v="Tech Manager/Líder"/>
    <s v="Otras Tec."/>
    <m/>
    <e v="#NAME?"/>
    <e v="#NAME?"/>
    <e v="#NAME?"/>
    <m/>
    <m/>
    <m/>
    <m/>
    <m/>
  </r>
  <r>
    <s v="O001222"/>
    <s v="JIOVANNY SUAREZ GONZALEZ"/>
    <x v="3"/>
    <x v="9"/>
    <s v="BBVA"/>
    <e v="#NAME?"/>
    <x v="74"/>
    <n v="0.2"/>
    <s v="Tech Manager/Líder"/>
    <s v="Otras Tec."/>
    <m/>
    <e v="#NAME?"/>
    <e v="#NAME?"/>
    <e v="#NAME?"/>
    <m/>
    <m/>
    <m/>
    <m/>
    <m/>
  </r>
  <r>
    <s v="C811332"/>
    <s v="JORGE LUIS SALAMANCA ORTIZ"/>
    <x v="3"/>
    <x v="9"/>
    <s v="BBVA"/>
    <e v="#NAME?"/>
    <x v="75"/>
    <n v="0.3"/>
    <s v="Desarrollador"/>
    <s v="Mainframe"/>
    <m/>
    <e v="#NAME?"/>
    <e v="#NAME?"/>
    <e v="#NAME?"/>
    <m/>
    <m/>
    <m/>
    <m/>
    <m/>
  </r>
  <r>
    <s v="C811332"/>
    <s v="JORGE LUIS SALAMANCA ORTIZ"/>
    <x v="3"/>
    <x v="9"/>
    <s v="BBVA"/>
    <e v="#NAME?"/>
    <x v="5"/>
    <n v="0.7"/>
    <s v="Desarrollador"/>
    <s v="Mainframe"/>
    <m/>
    <e v="#NAME?"/>
    <e v="#NAME?"/>
    <e v="#NAME?"/>
    <m/>
    <m/>
    <m/>
    <m/>
    <m/>
  </r>
  <r>
    <s v="CE03425"/>
    <s v="JORGE VICENTE SALAS PERILLA"/>
    <x v="3"/>
    <x v="9"/>
    <s v="KRYPTO"/>
    <e v="#NAME?"/>
    <x v="63"/>
    <n v="0.75"/>
    <s v="Desarrollador"/>
    <s v="Mainframe"/>
    <m/>
    <e v="#NAME?"/>
    <e v="#NAME?"/>
    <e v="#NAME?"/>
    <m/>
    <m/>
    <m/>
    <m/>
    <m/>
  </r>
  <r>
    <s v="CE03425"/>
    <s v="JORGE VICENTE SALAS PERILLA"/>
    <x v="3"/>
    <x v="9"/>
    <s v="KRYPTO"/>
    <e v="#NAME?"/>
    <x v="65"/>
    <n v="0.25"/>
    <s v="Desarrollador"/>
    <s v="Mainframe"/>
    <s v="Soporte a certficación y post-implantación"/>
    <e v="#NAME?"/>
    <e v="#NAME?"/>
    <e v="#NAME?"/>
    <m/>
    <m/>
    <m/>
    <m/>
    <m/>
  </r>
  <r>
    <s v="C805714"/>
    <s v="JUAN DAVID CELIS NUÑEZ"/>
    <x v="3"/>
    <x v="9"/>
    <s v="BBVA"/>
    <e v="#NAME?"/>
    <x v="76"/>
    <n v="0.7"/>
    <s v="Desarrollador"/>
    <s v="ASO"/>
    <m/>
    <e v="#NAME?"/>
    <e v="#NAME?"/>
    <e v="#NAME?"/>
    <m/>
    <m/>
    <m/>
    <m/>
    <m/>
  </r>
  <r>
    <s v="C805714"/>
    <s v="JUAN DAVID CELIS NUÑEZ"/>
    <x v="3"/>
    <x v="9"/>
    <s v="BBVA"/>
    <e v="#NAME?"/>
    <x v="75"/>
    <n v="0.15"/>
    <s v="Desarrollador"/>
    <s v="ASO"/>
    <m/>
    <e v="#NAME?"/>
    <e v="#NAME?"/>
    <e v="#NAME?"/>
    <m/>
    <m/>
    <m/>
    <m/>
    <m/>
  </r>
  <r>
    <s v="C805714"/>
    <s v="JUAN DAVID CELIS NUÑEZ"/>
    <x v="3"/>
    <x v="9"/>
    <s v="BBVA"/>
    <e v="#NAME?"/>
    <x v="3"/>
    <n v="0.15"/>
    <s v="Desarrollador"/>
    <s v="ASO"/>
    <m/>
    <e v="#NAME?"/>
    <e v="#NAME?"/>
    <e v="#NAME?"/>
    <m/>
    <m/>
    <m/>
    <m/>
    <m/>
  </r>
  <r>
    <s v="CE65082"/>
    <s v="JULIAN CAMILO ESGUERRA PINEDA"/>
    <x v="3"/>
    <x v="9"/>
    <s v="SII"/>
    <e v="#NAME?"/>
    <x v="3"/>
    <n v="1"/>
    <s v="Desarrollador"/>
    <s v="Mainframe"/>
    <m/>
    <e v="#NAME?"/>
    <e v="#NAME?"/>
    <e v="#NAME?"/>
    <m/>
    <m/>
    <m/>
    <m/>
    <m/>
  </r>
  <r>
    <s v="C805729"/>
    <s v="JULIANA FERNANDA BONILLA RODRIGUEZ"/>
    <x v="3"/>
    <x v="9"/>
    <s v="BBVA"/>
    <e v="#NAME?"/>
    <x v="3"/>
    <n v="1"/>
    <s v="Otros"/>
    <s v="Mainframe"/>
    <m/>
    <e v="#NAME?"/>
    <e v="#NAME?"/>
    <e v="#NAME?"/>
    <m/>
    <m/>
    <m/>
    <m/>
    <m/>
  </r>
  <r>
    <s v="CE66910"/>
    <s v="JULIO DIAZ PENAGOS "/>
    <x v="3"/>
    <x v="9"/>
    <s v="SII"/>
    <e v="#NAME?"/>
    <x v="74"/>
    <n v="1"/>
    <s v="Desarrollador"/>
    <s v="ASO"/>
    <m/>
    <e v="#NAME?"/>
    <e v="#NAME?"/>
    <e v="#NAME?"/>
    <m/>
    <m/>
    <m/>
    <m/>
    <m/>
  </r>
  <r>
    <s v="C803062"/>
    <s v="KATERINE CRUZ SUAREZ"/>
    <x v="3"/>
    <x v="9"/>
    <s v="BBVA"/>
    <e v="#NAME?"/>
    <x v="3"/>
    <n v="1"/>
    <s v="Desarrollador"/>
    <s v="Mainframe"/>
    <m/>
    <e v="#NAME?"/>
    <e v="#NAME?"/>
    <e v="#NAME?"/>
    <m/>
    <m/>
    <m/>
    <m/>
    <m/>
  </r>
  <r>
    <s v="C805939"/>
    <s v="LEISON FABIAN MEJIA GARCIA"/>
    <x v="3"/>
    <x v="9"/>
    <s v="BBVA"/>
    <e v="#NAME?"/>
    <x v="67"/>
    <n v="0.25"/>
    <s v="Desarrollador"/>
    <s v="ASO"/>
    <m/>
    <e v="#NAME?"/>
    <e v="#NAME?"/>
    <e v="#NAME?"/>
    <m/>
    <m/>
    <m/>
    <m/>
    <m/>
  </r>
  <r>
    <s v="C805939"/>
    <s v="LEISON FABIAN MEJIA GARCIA"/>
    <x v="3"/>
    <x v="9"/>
    <s v="BBVA"/>
    <e v="#NAME?"/>
    <x v="66"/>
    <n v="0.5"/>
    <s v="Desarrollador"/>
    <s v="ASO"/>
    <m/>
    <e v="#NAME?"/>
    <e v="#NAME?"/>
    <e v="#NAME?"/>
    <m/>
    <m/>
    <m/>
    <m/>
    <m/>
  </r>
  <r>
    <s v="C805939"/>
    <s v="LEISON FABIAN MEJIA GARCIA"/>
    <x v="3"/>
    <x v="9"/>
    <s v="BBVA"/>
    <e v="#NAME?"/>
    <x v="68"/>
    <n v="0.25"/>
    <s v="Desarrollador"/>
    <s v="ASO"/>
    <m/>
    <e v="#NAME?"/>
    <e v="#NAME?"/>
    <e v="#NAME?"/>
    <m/>
    <m/>
    <m/>
    <m/>
    <m/>
  </r>
  <r>
    <s v="CE17711"/>
    <s v="LUIS FERNANDO RODRIGUEZ MEDINA"/>
    <x v="3"/>
    <x v="9"/>
    <s v="KRYPTO"/>
    <e v="#NAME?"/>
    <x v="3"/>
    <n v="1"/>
    <s v="QA"/>
    <s v="Mainframe"/>
    <m/>
    <e v="#NAME?"/>
    <e v="#NAME?"/>
    <e v="#NAME?"/>
    <m/>
    <m/>
    <m/>
    <m/>
    <m/>
  </r>
  <r>
    <s v="CE61656"/>
    <s v="MARIA DEL PILAR GARCIA  GONZALES"/>
    <x v="3"/>
    <x v="9"/>
    <s v="KRYPTO"/>
    <e v="#NAME?"/>
    <x v="3"/>
    <n v="1"/>
    <s v="QA"/>
    <s v="Mainframe"/>
    <m/>
    <e v="#NAME?"/>
    <e v="#NAME?"/>
    <e v="#NAME?"/>
    <m/>
    <m/>
    <m/>
    <m/>
    <m/>
  </r>
  <r>
    <s v="C804407"/>
    <s v="MARIO ALBERTO MORALES LEON"/>
    <x v="3"/>
    <x v="9"/>
    <s v="BBVA"/>
    <e v="#NAME?"/>
    <x v="74"/>
    <n v="0.25"/>
    <s v="Desarrollador"/>
    <s v="Mainframe"/>
    <m/>
    <e v="#NAME?"/>
    <e v="#NAME?"/>
    <e v="#NAME?"/>
    <m/>
    <m/>
    <m/>
    <m/>
    <m/>
  </r>
  <r>
    <s v="C804407"/>
    <s v="MARIO ALBERTO MORALES LEON"/>
    <x v="3"/>
    <x v="9"/>
    <s v="BBVA"/>
    <e v="#NAME?"/>
    <x v="73"/>
    <n v="0.75"/>
    <s v="Desarrollador"/>
    <s v="Mainframe"/>
    <m/>
    <e v="#NAME?"/>
    <e v="#NAME?"/>
    <e v="#NAME?"/>
    <m/>
    <m/>
    <m/>
    <m/>
    <m/>
  </r>
  <r>
    <s v="C809625"/>
    <s v="MAYERLY TATIANA NARVAEZ MARIN"/>
    <x v="3"/>
    <x v="9"/>
    <s v="BBVA"/>
    <e v="#NAME?"/>
    <x v="67"/>
    <n v="0.25"/>
    <s v="Desarrollador"/>
    <s v="ASO"/>
    <m/>
    <e v="#NAME?"/>
    <e v="#NAME?"/>
    <e v="#NAME?"/>
    <m/>
    <m/>
    <m/>
    <m/>
    <m/>
  </r>
  <r>
    <s v="C809625"/>
    <s v="MAYERLY TATIANA NARVAEZ MARIN"/>
    <x v="3"/>
    <x v="9"/>
    <s v="BBVA"/>
    <e v="#NAME?"/>
    <x v="66"/>
    <n v="0.75"/>
    <s v="Desarrollador"/>
    <s v="ASO"/>
    <m/>
    <e v="#NAME?"/>
    <e v="#NAME?"/>
    <e v="#NAME?"/>
    <m/>
    <m/>
    <m/>
    <m/>
    <m/>
  </r>
  <r>
    <s v="CE64687"/>
    <s v="MILLER FERNANDO CAMARGO AMADO"/>
    <x v="3"/>
    <x v="9"/>
    <s v="SII"/>
    <e v="#NAME?"/>
    <x v="3"/>
    <n v="1"/>
    <s v="Desarrollador"/>
    <s v="Mainframe"/>
    <m/>
    <e v="#NAME?"/>
    <e v="#NAME?"/>
    <e v="#NAME?"/>
    <m/>
    <m/>
    <m/>
    <m/>
    <m/>
  </r>
  <r>
    <s v="C811233"/>
    <s v="NATALIA REYES LOPEZ"/>
    <x v="3"/>
    <x v="9"/>
    <s v="BBVA"/>
    <e v="#NAME?"/>
    <x v="3"/>
    <n v="1"/>
    <s v="QA"/>
    <s v="Mainframe"/>
    <m/>
    <e v="#NAME?"/>
    <e v="#NAME?"/>
    <e v="#NAME?"/>
    <m/>
    <m/>
    <m/>
    <m/>
    <m/>
  </r>
  <r>
    <s v="CE59970"/>
    <s v="NICOLAS ALEXANDER ALDANA MENDOZA"/>
    <x v="3"/>
    <x v="9"/>
    <s v="SII"/>
    <e v="#NAME?"/>
    <x v="3"/>
    <n v="1"/>
    <s v="Desarrollador"/>
    <s v="Mainframe"/>
    <m/>
    <e v="#NAME?"/>
    <e v="#NAME?"/>
    <e v="#NAME?"/>
    <m/>
    <m/>
    <m/>
    <m/>
    <m/>
  </r>
  <r>
    <s v="C804561"/>
    <s v="OSCAR ORLANDO ACEVEDO FERRER"/>
    <x v="3"/>
    <x v="9"/>
    <s v="BBVA"/>
    <e v="#NAME?"/>
    <x v="72"/>
    <n v="0.5"/>
    <s v="Desarrollador"/>
    <s v="Mainframe"/>
    <m/>
    <e v="#NAME?"/>
    <e v="#NAME?"/>
    <e v="#NAME?"/>
    <m/>
    <m/>
    <m/>
    <m/>
    <m/>
  </r>
  <r>
    <s v="C804561"/>
    <s v="OSCAR ORLANDO ACEVEDO FERRER"/>
    <x v="3"/>
    <x v="9"/>
    <s v="BBVA"/>
    <e v="#NAME?"/>
    <x v="76"/>
    <n v="0.2"/>
    <s v="Desarrollador"/>
    <s v="Mainframe"/>
    <m/>
    <e v="#NAME?"/>
    <e v="#NAME?"/>
    <e v="#NAME?"/>
    <m/>
    <m/>
    <m/>
    <m/>
    <m/>
  </r>
  <r>
    <s v="C804561"/>
    <s v="OSCAR ORLANDO ACEVEDO FERRER"/>
    <x v="3"/>
    <x v="9"/>
    <s v="BBVA"/>
    <e v="#NAME?"/>
    <x v="77"/>
    <n v="0.3"/>
    <s v="Desarrollador"/>
    <s v="Mainframe"/>
    <m/>
    <e v="#NAME?"/>
    <e v="#NAME?"/>
    <e v="#NAME?"/>
    <m/>
    <m/>
    <m/>
    <m/>
    <m/>
  </r>
  <r>
    <s v="O002757"/>
    <s v="SUSANA ANDREA PARRA CABRERA"/>
    <x v="3"/>
    <x v="9"/>
    <s v="BBVA"/>
    <e v="#NAME?"/>
    <x v="76"/>
    <n v="0.2"/>
    <s v="Desarrollador"/>
    <s v="APX"/>
    <m/>
    <e v="#NAME?"/>
    <e v="#NAME?"/>
    <e v="#NAME?"/>
    <m/>
    <m/>
    <m/>
    <m/>
    <m/>
  </r>
  <r>
    <s v="O002757"/>
    <s v="SUSANA ANDREA PARRA CABRERA"/>
    <x v="3"/>
    <x v="9"/>
    <s v="BBVA"/>
    <e v="#NAME?"/>
    <x v="73"/>
    <n v="0.4"/>
    <s v="Desarrollador"/>
    <s v="APX"/>
    <m/>
    <e v="#NAME?"/>
    <e v="#NAME?"/>
    <e v="#NAME?"/>
    <m/>
    <m/>
    <m/>
    <m/>
    <m/>
  </r>
  <r>
    <s v="O002757"/>
    <s v="SUSANA ANDREA PARRA CABRERA"/>
    <x v="3"/>
    <x v="9"/>
    <s v="BBVA"/>
    <e v="#NAME?"/>
    <x v="74"/>
    <n v="0.4"/>
    <s v="Desarrollador"/>
    <s v="APX"/>
    <m/>
    <e v="#NAME?"/>
    <e v="#NAME?"/>
    <e v="#NAME?"/>
    <m/>
    <m/>
    <m/>
    <m/>
    <m/>
  </r>
  <r>
    <s v="CE24417"/>
    <s v="VIVIAN JUALINY  ESPITIA BENITEZ"/>
    <x v="3"/>
    <x v="9"/>
    <s v="KRYPTO"/>
    <e v="#NAME?"/>
    <x v="3"/>
    <n v="1"/>
    <s v="QA"/>
    <s v="Otras Tec."/>
    <m/>
    <e v="#NAME?"/>
    <e v="#NAME?"/>
    <e v="#NAME?"/>
    <m/>
    <m/>
    <m/>
    <m/>
    <m/>
  </r>
  <r>
    <s v="O003083"/>
    <s v="WILMAR ALBERTO ROMERO"/>
    <x v="3"/>
    <x v="9"/>
    <s v="BBVA"/>
    <e v="#NAME?"/>
    <x v="66"/>
    <n v="0.75"/>
    <s v="Desarrollador"/>
    <s v="APX"/>
    <m/>
    <e v="#NAME?"/>
    <e v="#NAME?"/>
    <e v="#NAME?"/>
    <m/>
    <m/>
    <m/>
    <m/>
    <m/>
  </r>
  <r>
    <s v="O003083"/>
    <s v="WILMAR ALBERTO ROMERO"/>
    <x v="3"/>
    <x v="9"/>
    <s v="BBVA"/>
    <e v="#NAME?"/>
    <x v="67"/>
    <n v="0.25"/>
    <s v="Desarrollador"/>
    <s v="APX"/>
    <m/>
    <e v="#NAME?"/>
    <e v="#NAME?"/>
    <e v="#NAME?"/>
    <m/>
    <m/>
    <m/>
    <m/>
    <m/>
  </r>
  <r>
    <s v="C811362"/>
    <s v="YIGLIANA ALVAREZ MENDOZA"/>
    <x v="3"/>
    <x v="9"/>
    <s v="BBVA"/>
    <e v="#NAME?"/>
    <x v="71"/>
    <n v="0.3"/>
    <s v="Desarrollador"/>
    <s v="Mainframe"/>
    <m/>
    <e v="#NAME?"/>
    <e v="#NAME?"/>
    <e v="#NAME?"/>
    <m/>
    <m/>
    <m/>
    <m/>
    <m/>
  </r>
  <r>
    <s v="C811362"/>
    <s v="YIGLIANA ALVAREZ MENDOZA"/>
    <x v="3"/>
    <x v="9"/>
    <s v="BBVA"/>
    <e v="#NAME?"/>
    <x v="78"/>
    <n v="0.4"/>
    <s v="Desarrollador"/>
    <s v="Mainframe"/>
    <m/>
    <e v="#NAME?"/>
    <e v="#NAME?"/>
    <e v="#NAME?"/>
    <m/>
    <m/>
    <m/>
    <m/>
    <m/>
  </r>
  <r>
    <s v="C811362"/>
    <s v="YIGLIANA ALVAREZ MENDOZA"/>
    <x v="3"/>
    <x v="9"/>
    <s v="BBVA"/>
    <e v="#NAME?"/>
    <x v="79"/>
    <n v="0.3"/>
    <s v="Desarrollador"/>
    <s v="Mainframe"/>
    <m/>
    <e v="#NAME?"/>
    <e v="#NAME?"/>
    <e v="#NAME?"/>
    <m/>
    <m/>
    <m/>
    <m/>
    <m/>
  </r>
  <r>
    <s v="C802977"/>
    <s v="YULY MARCELA OVALLE GOMEZ"/>
    <x v="3"/>
    <x v="9"/>
    <s v="BBVA"/>
    <e v="#NAME?"/>
    <x v="20"/>
    <n v="0.1"/>
    <s v="Tech Manager/Líder"/>
    <s v="Otras Tec."/>
    <m/>
    <e v="#NAME?"/>
    <e v="#NAME?"/>
    <e v="#NAME?"/>
    <m/>
    <m/>
    <m/>
    <m/>
    <m/>
  </r>
  <r>
    <s v="C802977"/>
    <s v="YULY MARCELA OVALLE GOMEZ"/>
    <x v="3"/>
    <x v="9"/>
    <s v="BBVA"/>
    <e v="#NAME?"/>
    <x v="72"/>
    <n v="0.15"/>
    <s v="Tech Manager/Líder"/>
    <s v="Otras Tec."/>
    <m/>
    <e v="#NAME?"/>
    <e v="#NAME?"/>
    <e v="#NAME?"/>
    <m/>
    <m/>
    <m/>
    <m/>
    <m/>
  </r>
  <r>
    <s v="C802977"/>
    <s v="YULY MARCELA OVALLE GOMEZ"/>
    <x v="3"/>
    <x v="9"/>
    <s v="BBVA"/>
    <e v="#NAME?"/>
    <x v="70"/>
    <n v="0.1"/>
    <s v="Tech Manager/Líder"/>
    <s v="Otras Tec."/>
    <m/>
    <e v="#NAME?"/>
    <e v="#NAME?"/>
    <e v="#NAME?"/>
    <m/>
    <m/>
    <m/>
    <m/>
    <m/>
  </r>
  <r>
    <s v="C802977"/>
    <s v="YULY MARCELA OVALLE GOMEZ"/>
    <x v="3"/>
    <x v="9"/>
    <s v="BBVA"/>
    <e v="#NAME?"/>
    <x v="76"/>
    <n v="0.15"/>
    <s v="Tech Manager/Líder"/>
    <s v="Otras Tec."/>
    <m/>
    <e v="#NAME?"/>
    <e v="#NAME?"/>
    <e v="#NAME?"/>
    <m/>
    <m/>
    <m/>
    <m/>
    <m/>
  </r>
  <r>
    <s v="C802977"/>
    <s v="YULY MARCELA OVALLE GOMEZ"/>
    <x v="3"/>
    <x v="9"/>
    <s v="BBVA"/>
    <e v="#NAME?"/>
    <x v="5"/>
    <n v="0.1"/>
    <s v="Tech Manager/Líder"/>
    <s v="Otras Tec."/>
    <m/>
    <e v="#NAME?"/>
    <e v="#NAME?"/>
    <e v="#NAME?"/>
    <m/>
    <m/>
    <m/>
    <m/>
    <m/>
  </r>
  <r>
    <s v="C802977"/>
    <s v="YULY MARCELA OVALLE GOMEZ"/>
    <x v="3"/>
    <x v="9"/>
    <s v="BBVA"/>
    <e v="#NAME?"/>
    <x v="78"/>
    <n v="0.1"/>
    <s v="Tech Manager/Líder"/>
    <s v="Otras Tec."/>
    <m/>
    <e v="#NAME?"/>
    <e v="#NAME?"/>
    <e v="#NAME?"/>
    <m/>
    <m/>
    <m/>
    <m/>
    <m/>
  </r>
  <r>
    <s v="C802977"/>
    <s v="YULY MARCELA OVALLE GOMEZ"/>
    <x v="3"/>
    <x v="9"/>
    <s v="BBVA"/>
    <e v="#NAME?"/>
    <x v="77"/>
    <n v="0.1"/>
    <s v="Tech Manager/Líder"/>
    <s v="Otras Tec."/>
    <m/>
    <e v="#NAME?"/>
    <e v="#NAME?"/>
    <e v="#NAME?"/>
    <m/>
    <m/>
    <m/>
    <m/>
    <m/>
  </r>
  <r>
    <s v="C802977"/>
    <s v="YULY MARCELA OVALLE GOMEZ"/>
    <x v="3"/>
    <x v="9"/>
    <s v="BBVA"/>
    <e v="#NAME?"/>
    <x v="71"/>
    <n v="0.1"/>
    <s v="Tech Manager/Líder"/>
    <s v="Otras Tec."/>
    <m/>
    <e v="#NAME?"/>
    <e v="#NAME?"/>
    <e v="#NAME?"/>
    <m/>
    <m/>
    <m/>
    <m/>
    <m/>
  </r>
  <r>
    <s v="C802977"/>
    <s v="YULY MARCELA OVALLE GOMEZ"/>
    <x v="3"/>
    <x v="9"/>
    <s v="BBVA"/>
    <e v="#NAME?"/>
    <x v="79"/>
    <n v="0.1"/>
    <s v="Tech Manager/Líder"/>
    <s v="Otras Tec."/>
    <m/>
    <e v="#NAME?"/>
    <e v="#NAME?"/>
    <e v="#NAME?"/>
    <m/>
    <m/>
    <m/>
    <m/>
    <m/>
  </r>
  <r>
    <s v="C811410"/>
    <s v="MICHAEL CESAR LLANES POLO"/>
    <x v="2"/>
    <x v="8"/>
    <s v="BBVA"/>
    <e v="#NAME?"/>
    <x v="80"/>
    <n v="1"/>
    <s v="Desarrollador"/>
    <s v="Mainframe"/>
    <m/>
    <e v="#NAME?"/>
    <e v="#NAME?"/>
    <e v="#NAME?"/>
    <m/>
    <m/>
    <m/>
    <m/>
    <m/>
  </r>
  <r>
    <s v="O000100"/>
    <s v="LICETH YHOMARY GONZALEZ PENAGOS"/>
    <x v="2"/>
    <x v="8"/>
    <s v="BBVA"/>
    <e v="#NAME?"/>
    <x v="81"/>
    <n v="0.75"/>
    <s v="Desarrollador"/>
    <s v="Mainframe"/>
    <m/>
    <e v="#NAME?"/>
    <e v="#NAME?"/>
    <e v="#NAME?"/>
    <m/>
    <m/>
    <m/>
    <m/>
    <m/>
  </r>
  <r>
    <s v="O000100"/>
    <s v="LICETH YHOMARY GONZALEZ PENAGOS"/>
    <x v="2"/>
    <x v="8"/>
    <s v="BBVA"/>
    <e v="#NAME?"/>
    <x v="3"/>
    <n v="0.25"/>
    <s v="Desarrollador"/>
    <s v="Mainframe"/>
    <m/>
    <e v="#NAME?"/>
    <e v="#NAME?"/>
    <e v="#NAME?"/>
    <m/>
    <m/>
    <m/>
    <m/>
    <m/>
  </r>
  <r>
    <s v="O001421"/>
    <s v="JULIAN ALBERTO HERRERA SALAZAR"/>
    <x v="2"/>
    <x v="8"/>
    <s v="BBVA"/>
    <e v="#NAME?"/>
    <x v="81"/>
    <n v="0.5"/>
    <s v="Desarrollador"/>
    <s v="Mainframe"/>
    <m/>
    <e v="#NAME?"/>
    <e v="#NAME?"/>
    <e v="#NAME?"/>
    <m/>
    <m/>
    <m/>
    <m/>
    <m/>
  </r>
  <r>
    <s v="O001421"/>
    <s v="JULIAN ALBERTO HERRERA SALAZAR"/>
    <x v="2"/>
    <x v="8"/>
    <s v="BBVA"/>
    <e v="#NAME?"/>
    <x v="80"/>
    <n v="0.25"/>
    <s v="Desarrollador"/>
    <s v="Mainframe"/>
    <m/>
    <e v="#NAME?"/>
    <e v="#NAME?"/>
    <e v="#NAME?"/>
    <m/>
    <m/>
    <m/>
    <m/>
    <m/>
  </r>
  <r>
    <s v="O001421"/>
    <s v="JULIAN ALBERTO HERRERA SALAZAR"/>
    <x v="2"/>
    <x v="8"/>
    <s v="BBVA"/>
    <e v="#NAME?"/>
    <x v="3"/>
    <n v="0.25"/>
    <s v="Desarrollador"/>
    <s v="Mainframe"/>
    <m/>
    <e v="#NAME?"/>
    <e v="#NAME?"/>
    <e v="#NAME?"/>
    <m/>
    <m/>
    <m/>
    <m/>
    <m/>
  </r>
  <r>
    <s v="O001720"/>
    <s v="JOHN FERNANDO AREVALO BERMUDEZ"/>
    <x v="2"/>
    <x v="8"/>
    <s v="BBVA"/>
    <e v="#NAME?"/>
    <x v="80"/>
    <n v="0.5"/>
    <s v="Desarrollador"/>
    <s v="Mainframe"/>
    <m/>
    <e v="#NAME?"/>
    <e v="#NAME?"/>
    <e v="#NAME?"/>
    <m/>
    <m/>
    <m/>
    <m/>
    <m/>
  </r>
  <r>
    <s v="O001720"/>
    <s v="JOHN FERNANDO AREVALO BERMUDEZ"/>
    <x v="2"/>
    <x v="8"/>
    <s v="BBVA"/>
    <e v="#NAME?"/>
    <x v="3"/>
    <n v="0.25"/>
    <s v="Desarrollador"/>
    <s v="Mainframe"/>
    <m/>
    <e v="#NAME?"/>
    <e v="#NAME?"/>
    <e v="#NAME?"/>
    <m/>
    <m/>
    <m/>
    <m/>
    <m/>
  </r>
  <r>
    <s v="O001720"/>
    <s v="JOHN FERNANDO AREVALO BERMUDEZ"/>
    <x v="2"/>
    <x v="8"/>
    <s v="BBVA"/>
    <e v="#NAME?"/>
    <x v="82"/>
    <n v="0.25"/>
    <s v="Desarrollador"/>
    <s v="Mainframe"/>
    <m/>
    <e v="#NAME?"/>
    <e v="#NAME?"/>
    <e v="#NAME?"/>
    <m/>
    <m/>
    <m/>
    <m/>
    <m/>
  </r>
  <r>
    <s v="T003443"/>
    <s v="DANIELA ALEJANDRA ROMERO CANGREJO"/>
    <x v="2"/>
    <x v="8"/>
    <s v="Neoris"/>
    <e v="#NAME?"/>
    <x v="80"/>
    <n v="0.5"/>
    <s v="QA"/>
    <s v="Mainframe"/>
    <m/>
    <e v="#NAME?"/>
    <e v="#NAME?"/>
    <e v="#NAME?"/>
    <m/>
    <m/>
    <m/>
    <m/>
    <m/>
  </r>
  <r>
    <s v="T003443"/>
    <s v="DANIELA ALEJANDRA ROMERO CANGREJO"/>
    <x v="2"/>
    <x v="8"/>
    <s v="Neoris"/>
    <e v="#NAME?"/>
    <x v="3"/>
    <n v="0.4"/>
    <s v="QA"/>
    <s v="Mainframe"/>
    <m/>
    <e v="#NAME?"/>
    <e v="#NAME?"/>
    <e v="#NAME?"/>
    <m/>
    <m/>
    <m/>
    <m/>
    <m/>
  </r>
  <r>
    <s v="T003443"/>
    <s v="DANIELA ALEJANDRA ROMERO CANGREJO"/>
    <x v="2"/>
    <x v="8"/>
    <s v="Neoris"/>
    <e v="#NAME?"/>
    <x v="82"/>
    <n v="0.1"/>
    <s v="QA"/>
    <s v="Mainframe"/>
    <m/>
    <e v="#NAME?"/>
    <e v="#NAME?"/>
    <e v="#NAME?"/>
    <m/>
    <m/>
    <m/>
    <m/>
    <m/>
  </r>
  <r>
    <s v="C811301"/>
    <s v="MARIANELLA FANDIÑO NIETO"/>
    <x v="2"/>
    <x v="8"/>
    <s v="BBVA"/>
    <e v="#NAME?"/>
    <x v="80"/>
    <n v="0.3"/>
    <s v="Tech Manager/Líder"/>
    <s v="Mainframe"/>
    <m/>
    <e v="#NAME?"/>
    <e v="#NAME?"/>
    <e v="#NAME?"/>
    <m/>
    <m/>
    <m/>
    <m/>
    <m/>
  </r>
  <r>
    <s v="C811301"/>
    <s v="MARIANELLA FANDIÑO NIETO"/>
    <x v="2"/>
    <x v="8"/>
    <s v="BBVA"/>
    <e v="#NAME?"/>
    <x v="81"/>
    <n v="0.4"/>
    <s v="Tech Manager/Líder"/>
    <s v="Mainframe"/>
    <m/>
    <e v="#NAME?"/>
    <e v="#NAME?"/>
    <e v="#NAME?"/>
    <m/>
    <m/>
    <m/>
    <m/>
    <m/>
  </r>
  <r>
    <s v="C811301"/>
    <s v="MARIANELLA FANDIÑO NIETO"/>
    <x v="2"/>
    <x v="8"/>
    <s v="BBVA"/>
    <e v="#NAME?"/>
    <x v="3"/>
    <n v="0.2"/>
    <s v="Tech Manager/Líder"/>
    <s v="Mainframe"/>
    <m/>
    <e v="#NAME?"/>
    <e v="#NAME?"/>
    <e v="#NAME?"/>
    <m/>
    <m/>
    <m/>
    <m/>
    <m/>
  </r>
  <r>
    <s v="C811301"/>
    <s v="MARIANELLA FANDIÑO NIETO"/>
    <x v="2"/>
    <x v="8"/>
    <s v="BBVA"/>
    <e v="#NAME?"/>
    <x v="82"/>
    <n v="0.1"/>
    <s v="Tech Manager/Líder"/>
    <s v="Mainframe"/>
    <m/>
    <e v="#NAME?"/>
    <e v="#NAME?"/>
    <e v="#NAME?"/>
    <m/>
    <m/>
    <m/>
    <m/>
    <m/>
  </r>
  <r>
    <s v="C804706"/>
    <s v="BAUTISTA MOLINA, LINA MARCELA"/>
    <x v="2"/>
    <x v="8"/>
    <s v="BBVA"/>
    <e v="#NAME?"/>
    <x v="71"/>
    <n v="0.8"/>
    <s v="Desarrollador"/>
    <s v="Mainframe"/>
    <m/>
    <e v="#NAME?"/>
    <e v="#NAME?"/>
    <e v="#NAME?"/>
    <m/>
    <m/>
    <m/>
    <m/>
    <m/>
  </r>
  <r>
    <s v="C804706"/>
    <s v="BAUTISTA MOLINA, LINA MARCELA"/>
    <x v="2"/>
    <x v="8"/>
    <s v="BBVA"/>
    <e v="#NAME?"/>
    <x v="83"/>
    <n v="0.2"/>
    <s v="Desarrollador"/>
    <s v="Mainframe"/>
    <m/>
    <e v="#NAME?"/>
    <e v="#NAME?"/>
    <e v="#NAME?"/>
    <m/>
    <m/>
    <m/>
    <m/>
    <m/>
  </r>
  <r>
    <s v="C808756"/>
    <s v="BUITRAGO GUALTEROS, ANDRES FELIPE"/>
    <x v="2"/>
    <x v="8"/>
    <s v="BBVA"/>
    <e v="#NAME?"/>
    <x v="84"/>
    <n v="0.2"/>
    <s v="Desarrollador"/>
    <s v="Distribuido"/>
    <m/>
    <e v="#NAME?"/>
    <e v="#NAME?"/>
    <e v="#NAME?"/>
    <m/>
    <m/>
    <m/>
    <m/>
    <m/>
  </r>
  <r>
    <s v="C808756"/>
    <s v="BUITRAGO GUALTEROS, ANDRES FELIPE"/>
    <x v="2"/>
    <x v="8"/>
    <s v="BBVA"/>
    <e v="#NAME?"/>
    <x v="71"/>
    <n v="0.7"/>
    <s v="Desarrollador"/>
    <s v="Distribuido"/>
    <m/>
    <e v="#NAME?"/>
    <e v="#NAME?"/>
    <e v="#NAME?"/>
    <m/>
    <m/>
    <m/>
    <m/>
    <m/>
  </r>
  <r>
    <s v="C808756"/>
    <s v="BUITRAGO GUALTEROS, ANDRES FELIPE"/>
    <x v="2"/>
    <x v="8"/>
    <s v="BBVA"/>
    <e v="#NAME?"/>
    <x v="85"/>
    <n v="0.1"/>
    <s v="Desarrollador"/>
    <s v="Distribuido"/>
    <m/>
    <e v="#NAME?"/>
    <e v="#NAME?"/>
    <e v="#NAME?"/>
    <m/>
    <m/>
    <m/>
    <m/>
    <m/>
  </r>
  <r>
    <s v="C809517"/>
    <s v="VARGAS PEREZ, WENDY MARITZA"/>
    <x v="2"/>
    <x v="8"/>
    <s v="BBVA"/>
    <e v="#NAME?"/>
    <x v="84"/>
    <n v="0.8"/>
    <s v="Desarrollador"/>
    <s v="Distribuido"/>
    <m/>
    <e v="#NAME?"/>
    <e v="#NAME?"/>
    <e v="#NAME?"/>
    <m/>
    <m/>
    <m/>
    <m/>
    <m/>
  </r>
  <r>
    <s v="C809517"/>
    <s v="VARGAS PEREZ, WENDY MARITZA"/>
    <x v="2"/>
    <x v="8"/>
    <s v="BBVA"/>
    <e v="#NAME?"/>
    <x v="86"/>
    <n v="0.2"/>
    <s v="Desarrollador"/>
    <s v="Distribuido"/>
    <m/>
    <e v="#NAME?"/>
    <e v="#NAME?"/>
    <e v="#NAME?"/>
    <m/>
    <m/>
    <m/>
    <m/>
    <m/>
  </r>
  <r>
    <s v="C811315"/>
    <s v="LOZANO BELTRAN, WILLIAM EDUARDO"/>
    <x v="2"/>
    <x v="8"/>
    <s v="BBVA"/>
    <e v="#NAME?"/>
    <x v="86"/>
    <n v="0.8"/>
    <s v="Desarrollador"/>
    <s v="Distribuido"/>
    <m/>
    <e v="#NAME?"/>
    <e v="#NAME?"/>
    <e v="#NAME?"/>
    <m/>
    <m/>
    <m/>
    <m/>
    <m/>
  </r>
  <r>
    <s v="C811315"/>
    <s v="LOZANO BELTRAN, WILLIAM EDUARDO"/>
    <x v="2"/>
    <x v="8"/>
    <s v="BBVA"/>
    <e v="#NAME?"/>
    <x v="3"/>
    <n v="0.2"/>
    <s v="Desarrollador"/>
    <s v="Distribuido"/>
    <m/>
    <e v="#NAME?"/>
    <e v="#NAME?"/>
    <e v="#NAME?"/>
    <m/>
    <m/>
    <m/>
    <m/>
    <m/>
  </r>
  <r>
    <s v="CE66885"/>
    <s v="ROJAS VILLEGAS, ADRIAN"/>
    <x v="2"/>
    <x v="8"/>
    <s v="Meraki"/>
    <e v="#NAME?"/>
    <x v="84"/>
    <n v="0.5"/>
    <s v="Desarrollador"/>
    <s v="Distribuido"/>
    <m/>
    <e v="#NAME?"/>
    <e v="#NAME?"/>
    <e v="#NAME?"/>
    <m/>
    <m/>
    <m/>
    <m/>
    <m/>
  </r>
  <r>
    <s v="CE57060"/>
    <s v="MORENO HERNANDEZ, KAREN ANDREA"/>
    <x v="2"/>
    <x v="8"/>
    <s v="GGI / CMC"/>
    <e v="#NAME?"/>
    <x v="71"/>
    <n v="0.5"/>
    <s v="QA"/>
    <s v="Distribuido"/>
    <m/>
    <e v="#NAME?"/>
    <e v="#NAME?"/>
    <e v="#NAME?"/>
    <m/>
    <m/>
    <m/>
    <m/>
    <m/>
  </r>
  <r>
    <s v="CE57060"/>
    <s v="MORENO HERNANDEZ, KAREN ANDREA"/>
    <x v="2"/>
    <x v="8"/>
    <s v="GGI / CMC"/>
    <e v="#NAME?"/>
    <x v="84"/>
    <n v="0.5"/>
    <s v="QA"/>
    <s v="Distribuido"/>
    <m/>
    <e v="#NAME?"/>
    <e v="#NAME?"/>
    <e v="#NAME?"/>
    <m/>
    <m/>
    <m/>
    <m/>
    <m/>
  </r>
  <r>
    <s v="T006700"/>
    <s v="VEGA ROZO, EMANUEL"/>
    <x v="2"/>
    <x v="8"/>
    <s v="Choucair"/>
    <e v="#NAME?"/>
    <x v="86"/>
    <n v="0.5"/>
    <s v="QA"/>
    <s v="Distribuido"/>
    <m/>
    <e v="#NAME?"/>
    <e v="#NAME?"/>
    <e v="#NAME?"/>
    <m/>
    <m/>
    <m/>
    <m/>
    <m/>
  </r>
  <r>
    <s v="T006700"/>
    <s v="VEGA ROZO, EMANUEL"/>
    <x v="2"/>
    <x v="8"/>
    <s v="Choucair"/>
    <e v="#NAME?"/>
    <x v="71"/>
    <n v="0.5"/>
    <s v="QA"/>
    <s v="Distribuido"/>
    <m/>
    <e v="#NAME?"/>
    <e v="#NAME?"/>
    <e v="#NAME?"/>
    <m/>
    <m/>
    <m/>
    <m/>
    <m/>
  </r>
  <r>
    <s v="C811280"/>
    <s v="SUAREZ RESTREPO, DIANA MARCELA"/>
    <x v="2"/>
    <x v="8"/>
    <s v="BBVA"/>
    <e v="#NAME?"/>
    <x v="84"/>
    <n v="0.25"/>
    <s v="Tech Manager/Líder"/>
    <s v="Distribuido"/>
    <m/>
    <e v="#NAME?"/>
    <e v="#NAME?"/>
    <e v="#NAME?"/>
    <m/>
    <m/>
    <m/>
    <m/>
    <m/>
  </r>
  <r>
    <s v="C811280"/>
    <s v="SUAREZ RESTREPO, DIANA MARCELA"/>
    <x v="2"/>
    <x v="8"/>
    <s v="BBVA"/>
    <e v="#NAME?"/>
    <x v="71"/>
    <n v="0.4"/>
    <s v="Tech Manager/Líder"/>
    <s v="Distribuido"/>
    <m/>
    <e v="#NAME?"/>
    <e v="#NAME?"/>
    <e v="#NAME?"/>
    <m/>
    <m/>
    <m/>
    <m/>
    <m/>
  </r>
  <r>
    <s v="C811280"/>
    <s v="SUAREZ RESTREPO, DIANA MARCELA"/>
    <x v="2"/>
    <x v="8"/>
    <s v="BBVA"/>
    <e v="#NAME?"/>
    <x v="86"/>
    <n v="0.25"/>
    <s v="Tech Manager/Líder"/>
    <s v="Distribuido"/>
    <m/>
    <e v="#NAME?"/>
    <e v="#NAME?"/>
    <e v="#NAME?"/>
    <m/>
    <m/>
    <m/>
    <m/>
    <m/>
  </r>
  <r>
    <s v="C811280"/>
    <s v="SUAREZ RESTREPO, DIANA MARCELA"/>
    <x v="2"/>
    <x v="8"/>
    <s v="BBVA"/>
    <e v="#NAME?"/>
    <x v="85"/>
    <n v="0.1"/>
    <s v="Tech Manager/Líder"/>
    <s v="Distribuido"/>
    <m/>
    <e v="#NAME?"/>
    <e v="#NAME?"/>
    <e v="#NAME?"/>
    <m/>
    <m/>
    <m/>
    <m/>
    <m/>
  </r>
  <r>
    <s v="O001828"/>
    <s v="GILDARDO AGUIRRE RIOS"/>
    <x v="2"/>
    <x v="8"/>
    <s v="BBVA"/>
    <e v="#NAME?"/>
    <x v="3"/>
    <n v="1"/>
    <s v="Desarrollador"/>
    <s v="Mainframe"/>
    <m/>
    <e v="#NAME?"/>
    <e v="#NAME?"/>
    <e v="#NAME?"/>
    <m/>
    <m/>
    <m/>
    <m/>
    <m/>
  </r>
  <r>
    <s v="C811394"/>
    <s v="ANDRES FELIPE PADILLA ROJAS"/>
    <x v="2"/>
    <x v="8"/>
    <s v="BBVA"/>
    <e v="#NAME?"/>
    <x v="3"/>
    <n v="0.75"/>
    <s v="Desarrollador"/>
    <s v="Mainframe"/>
    <m/>
    <e v="#NAME?"/>
    <e v="#NAME?"/>
    <e v="#NAME?"/>
    <m/>
    <m/>
    <m/>
    <m/>
    <m/>
  </r>
  <r>
    <s v="C811394"/>
    <s v="ANDRES FELIPE PADILLA ROJAS"/>
    <x v="2"/>
    <x v="8"/>
    <s v="BBVA"/>
    <e v="#NAME?"/>
    <x v="71"/>
    <n v="0.25"/>
    <s v="Desarrollador"/>
    <s v="Mainframe"/>
    <m/>
    <e v="#NAME?"/>
    <e v="#NAME?"/>
    <e v="#NAME?"/>
    <m/>
    <m/>
    <m/>
    <m/>
    <m/>
  </r>
  <r>
    <s v="O002998"/>
    <s v="MARCO FABIAN ZABALA VILLANUEVA"/>
    <x v="2"/>
    <x v="8"/>
    <s v="BBVA"/>
    <e v="#NAME?"/>
    <x v="3"/>
    <n v="1"/>
    <s v="Desarrollador"/>
    <s v="Distribuido"/>
    <m/>
    <e v="#NAME?"/>
    <e v="#NAME?"/>
    <e v="#NAME?"/>
    <m/>
    <m/>
    <m/>
    <m/>
    <m/>
  </r>
  <r>
    <s v="CE66758"/>
    <s v="JAIRO LEON ESPITIA BOTIA"/>
    <x v="2"/>
    <x v="8"/>
    <s v="Inetum"/>
    <e v="#NAME?"/>
    <x v="3"/>
    <n v="1"/>
    <s v="Desarrollador"/>
    <s v="Mainframe"/>
    <m/>
    <e v="#NAME?"/>
    <e v="#NAME?"/>
    <e v="#NAME?"/>
    <m/>
    <m/>
    <m/>
    <m/>
    <m/>
  </r>
  <r>
    <s v="T004057"/>
    <s v="NANCY YASMIDA REATIGA CARVAJAL"/>
    <x v="2"/>
    <x v="8"/>
    <s v="Inetum"/>
    <e v="#NAME?"/>
    <x v="3"/>
    <n v="1"/>
    <s v="Desarrollador"/>
    <s v="Distribuido"/>
    <m/>
    <e v="#NAME?"/>
    <e v="#NAME?"/>
    <e v="#NAME?"/>
    <m/>
    <m/>
    <m/>
    <m/>
    <m/>
  </r>
  <r>
    <s v="C811251"/>
    <s v="ANGELA LILIANA SAENZ FAJARDO"/>
    <x v="2"/>
    <x v="8"/>
    <s v="BBVA"/>
    <e v="#NAME?"/>
    <x v="3"/>
    <n v="1"/>
    <s v="Tech Manager/Líder"/>
    <s v="Otras Tec."/>
    <m/>
    <e v="#NAME?"/>
    <e v="#NAME?"/>
    <e v="#NAME?"/>
    <m/>
    <m/>
    <m/>
    <m/>
    <m/>
  </r>
  <r>
    <s v="T007576"/>
    <s v="Juan camilo velasquez mantilla"/>
    <x v="2"/>
    <x v="8"/>
    <s v="Inetum"/>
    <e v="#NAME?"/>
    <x v="3"/>
    <n v="0.5"/>
    <s v="Desarrollador"/>
    <s v="Distribuido"/>
    <m/>
    <e v="#NAME?"/>
    <e v="#NAME?"/>
    <e v="#NAME?"/>
    <m/>
    <m/>
    <m/>
    <m/>
    <m/>
  </r>
  <r>
    <s v="O001037"/>
    <s v="ANDRES CAMILO PARRA SUAREZ"/>
    <x v="2"/>
    <x v="8"/>
    <s v="BBVA"/>
    <e v="#NAME?"/>
    <x v="40"/>
    <n v="0.5"/>
    <s v="Desarrollador"/>
    <s v="Distribuido"/>
    <m/>
    <e v="#NAME?"/>
    <e v="#NAME?"/>
    <e v="#NAME?"/>
    <m/>
    <m/>
    <m/>
    <m/>
    <m/>
  </r>
  <r>
    <s v="O001037"/>
    <s v="ANDRES CAMILO PARRA SUAREZ"/>
    <x v="2"/>
    <x v="8"/>
    <s v="BBVA"/>
    <e v="#NAME?"/>
    <x v="83"/>
    <n v="0.5"/>
    <s v="Desarrollador"/>
    <s v="Distribuido"/>
    <m/>
    <e v="#NAME?"/>
    <e v="#NAME?"/>
    <e v="#NAME?"/>
    <m/>
    <m/>
    <m/>
    <m/>
    <m/>
  </r>
  <r>
    <s v="C805314"/>
    <s v="NELSON LEONEL FONSECA OCHOA"/>
    <x v="2"/>
    <x v="8"/>
    <s v="BBVA"/>
    <e v="#NAME?"/>
    <x v="82"/>
    <n v="0.9"/>
    <s v="Desarrollador"/>
    <s v="Distribuido"/>
    <m/>
    <e v="#NAME?"/>
    <e v="#NAME?"/>
    <e v="#NAME?"/>
    <m/>
    <m/>
    <m/>
    <m/>
    <m/>
  </r>
  <r>
    <s v="C805314"/>
    <s v="NELSON LEONEL FONSECA OCHOA"/>
    <x v="2"/>
    <x v="8"/>
    <s v="BBVA"/>
    <e v="#NAME?"/>
    <x v="82"/>
    <n v="0.1"/>
    <s v="Desarrollador"/>
    <s v="Distribuido"/>
    <m/>
    <e v="#NAME?"/>
    <e v="#NAME?"/>
    <e v="#NAME?"/>
    <m/>
    <m/>
    <m/>
    <m/>
    <m/>
  </r>
  <r>
    <s v="CE68712"/>
    <s v="EDWARD STIVEN RODRIGUEZ MORENO"/>
    <x v="2"/>
    <x v="8"/>
    <s v="BLUETAB"/>
    <e v="#NAME?"/>
    <x v="82"/>
    <n v="0.3"/>
    <s v="Desarrollador"/>
    <s v="Otras Tec."/>
    <m/>
    <e v="#NAME?"/>
    <e v="#NAME?"/>
    <e v="#NAME?"/>
    <m/>
    <m/>
    <m/>
    <m/>
    <m/>
  </r>
  <r>
    <s v="CE57396"/>
    <s v="JUAN PABLO AREVALO MERCHAN"/>
    <x v="2"/>
    <x v="8"/>
    <s v="BLUETAB"/>
    <e v="#NAME?"/>
    <x v="82"/>
    <n v="0.3"/>
    <s v="Desarrollador"/>
    <s v="Otras Tec."/>
    <m/>
    <e v="#NAME?"/>
    <e v="#NAME?"/>
    <e v="#NAME?"/>
    <m/>
    <m/>
    <m/>
    <m/>
    <m/>
  </r>
  <r>
    <s v="O002482"/>
    <s v="SERGIO ANDRES SEPULVEDA CRUZ"/>
    <x v="2"/>
    <x v="8"/>
    <s v="BBVA"/>
    <e v="#NAME?"/>
    <x v="86"/>
    <n v="0.5"/>
    <s v="Desarrollador"/>
    <s v="Distribuido"/>
    <m/>
    <e v="#NAME?"/>
    <e v="#NAME?"/>
    <e v="#NAME?"/>
    <m/>
    <m/>
    <m/>
    <m/>
    <m/>
  </r>
  <r>
    <s v="O002482"/>
    <s v="SERGIO ANDRES SEPULVEDA CRUZ"/>
    <x v="2"/>
    <x v="8"/>
    <s v="BBVA"/>
    <e v="#NAME?"/>
    <x v="87"/>
    <n v="0.5"/>
    <s v="Desarrollador"/>
    <s v="Distribuido"/>
    <m/>
    <e v="#NAME?"/>
    <e v="#NAME?"/>
    <e v="#NAME?"/>
    <m/>
    <m/>
    <m/>
    <m/>
    <m/>
  </r>
  <r>
    <s v="C811279"/>
    <s v="FREDY MAURICIO CELY HERNÁNDEZ"/>
    <x v="2"/>
    <x v="8"/>
    <s v="BBVA"/>
    <e v="#NAME?"/>
    <x v="40"/>
    <n v="0.3"/>
    <s v="Tech Manager/Líder"/>
    <s v="Distribuido"/>
    <m/>
    <e v="#NAME?"/>
    <e v="#NAME?"/>
    <e v="#NAME?"/>
    <m/>
    <m/>
    <m/>
    <m/>
    <m/>
  </r>
  <r>
    <s v="C811279"/>
    <s v="FREDY MAURICIO CELY HERNÁNDEZ"/>
    <x v="2"/>
    <x v="8"/>
    <s v="BBVA"/>
    <e v="#NAME?"/>
    <x v="82"/>
    <n v="0.3"/>
    <s v="Tech Manager/Líder"/>
    <s v="Distribuido"/>
    <m/>
    <e v="#NAME?"/>
    <e v="#NAME?"/>
    <e v="#NAME?"/>
    <m/>
    <m/>
    <m/>
    <m/>
    <m/>
  </r>
  <r>
    <s v="C811279"/>
    <s v="FREDY MAURICIO CELY HERNÁNDEZ"/>
    <x v="2"/>
    <x v="8"/>
    <s v="BBVA"/>
    <e v="#NAME?"/>
    <x v="86"/>
    <n v="0.3"/>
    <s v="Tech Manager/Líder"/>
    <s v="Distribuido"/>
    <m/>
    <e v="#NAME?"/>
    <e v="#NAME?"/>
    <e v="#NAME?"/>
    <m/>
    <m/>
    <m/>
    <m/>
    <m/>
  </r>
  <r>
    <s v="C811279"/>
    <s v="FREDY MAURICIO CELY HERNÁNDEZ"/>
    <x v="2"/>
    <x v="8"/>
    <s v="BBVA"/>
    <e v="#NAME?"/>
    <x v="3"/>
    <n v="0.1"/>
    <s v="Tech Manager/Líder"/>
    <s v="Distribuido"/>
    <m/>
    <e v="#NAME?"/>
    <e v="#NAME?"/>
    <e v="#NAME?"/>
    <m/>
    <m/>
    <m/>
    <m/>
    <m/>
  </r>
  <r>
    <s v="C805717"/>
    <s v="ANDRES CAMILO BOHORQUEZ CASTILLO"/>
    <x v="0"/>
    <x v="10"/>
    <s v="BBVA"/>
    <e v="#NAME?"/>
    <x v="88"/>
    <n v="1"/>
    <s v="Desarrollador"/>
    <s v="ASO"/>
    <s v="Interno"/>
    <e v="#NAME?"/>
    <e v="#NAME?"/>
    <e v="#NAME?"/>
    <m/>
    <m/>
    <m/>
    <m/>
    <m/>
  </r>
  <r>
    <s v="C810865"/>
    <s v="AUGUSTO CARDONA GIRALDO"/>
    <x v="0"/>
    <x v="10"/>
    <s v="BBVA"/>
    <e v="#NAME?"/>
    <x v="89"/>
    <n v="1"/>
    <s v="Desarrollador"/>
    <s v="Cells"/>
    <s v="Interno"/>
    <e v="#NAME?"/>
    <e v="#NAME?"/>
    <e v="#NAME?"/>
    <m/>
    <m/>
    <m/>
    <m/>
    <m/>
  </r>
  <r>
    <s v="CE68863"/>
    <s v="JUAN CAMILO CASTANO RAMIREZ"/>
    <x v="0"/>
    <x v="10"/>
    <s v="GGI / CMC"/>
    <e v="#NAME?"/>
    <x v="90"/>
    <n v="1"/>
    <s v="QA"/>
    <s v="Distribuido"/>
    <s v="Externo"/>
    <e v="#NAME?"/>
    <e v="#NAME?"/>
    <e v="#NAME?"/>
    <m/>
    <m/>
    <m/>
    <m/>
    <m/>
  </r>
  <r>
    <s v="CE68333"/>
    <s v="DANIEL FERNANDO DIAZ CACERES"/>
    <x v="0"/>
    <x v="10"/>
    <s v="GGI / CMC"/>
    <e v="#NAME?"/>
    <x v="91"/>
    <n v="1"/>
    <s v="QA"/>
    <s v="Distribuido"/>
    <s v="Externo"/>
    <e v="#NAME?"/>
    <e v="#NAME?"/>
    <e v="#NAME?"/>
    <m/>
    <m/>
    <m/>
    <m/>
    <m/>
  </r>
  <r>
    <s v="C811398"/>
    <s v="EDISSON ARMANDO BLANCO SALAMANCA"/>
    <x v="0"/>
    <x v="10"/>
    <s v="BBVA"/>
    <e v="#NAME?"/>
    <x v="88"/>
    <n v="1"/>
    <s v="Desarrollador"/>
    <s v="Cells"/>
    <s v="Interno"/>
    <e v="#NAME?"/>
    <e v="#NAME?"/>
    <e v="#NAME?"/>
    <m/>
    <m/>
    <m/>
    <m/>
    <m/>
  </r>
  <r>
    <s v="CE48026"/>
    <s v="GIOVANNY ALEXANDER PEÑA GUTIÉRREZ"/>
    <x v="0"/>
    <x v="10"/>
    <s v="Novatec"/>
    <e v="#NAME?"/>
    <x v="88"/>
    <n v="1"/>
    <s v="Desarrollador"/>
    <s v="ASO"/>
    <s v="Externo"/>
    <e v="#NAME?"/>
    <e v="#NAME?"/>
    <e v="#NAME?"/>
    <m/>
    <m/>
    <m/>
    <m/>
    <m/>
  </r>
  <r>
    <s v="CE62622"/>
    <s v="HERNAN DARIO RAMOS ORTIZ"/>
    <x v="0"/>
    <x v="10"/>
    <s v="Novatec"/>
    <e v="#NAME?"/>
    <x v="89"/>
    <n v="1"/>
    <s v="Desarrollador"/>
    <s v="ASO"/>
    <s v="Externo"/>
    <e v="#NAME?"/>
    <e v="#NAME?"/>
    <e v="#NAME?"/>
    <m/>
    <m/>
    <m/>
    <m/>
    <m/>
  </r>
  <r>
    <s v="CE68193"/>
    <s v="JOAN FEDERICO MARIN RUIZ"/>
    <x v="0"/>
    <x v="10"/>
    <s v="Choucair"/>
    <e v="#NAME?"/>
    <x v="89"/>
    <n v="1"/>
    <s v="QA"/>
    <s v="ASO"/>
    <s v="Externo"/>
    <e v="#NAME?"/>
    <e v="#NAME?"/>
    <e v="#NAME?"/>
    <m/>
    <m/>
    <m/>
    <m/>
    <m/>
  </r>
  <r>
    <s v="CE65559"/>
    <s v="JOHN MARLON NUÑEZ NIÑO"/>
    <x v="0"/>
    <x v="10"/>
    <s v="Neoris"/>
    <e v="#NAME?"/>
    <x v="91"/>
    <n v="1"/>
    <s v="Desarrollador"/>
    <s v="ASO"/>
    <s v="Externo"/>
    <e v="#NAME?"/>
    <e v="#NAME?"/>
    <e v="#NAME?"/>
    <m/>
    <m/>
    <m/>
    <m/>
    <m/>
  </r>
  <r>
    <s v="C811355"/>
    <s v="JORGE ANDRES REINA ANGULO"/>
    <x v="0"/>
    <x v="10"/>
    <s v="BBVA"/>
    <e v="#NAME?"/>
    <x v="88"/>
    <n v="1"/>
    <s v="Desarrollador"/>
    <s v="APX"/>
    <s v="Interno"/>
    <e v="#NAME?"/>
    <e v="#NAME?"/>
    <e v="#NAME?"/>
    <m/>
    <m/>
    <m/>
    <m/>
    <m/>
  </r>
  <r>
    <s v="T007488"/>
    <s v="JUAN ESTEBAN ALARCON MIRANDA"/>
    <x v="0"/>
    <x v="10"/>
    <s v="Indra"/>
    <e v="#NAME?"/>
    <x v="89"/>
    <n v="1"/>
    <s v="Desarrollador"/>
    <s v="APX"/>
    <s v="Externo"/>
    <e v="#NAME?"/>
    <e v="#NAME?"/>
    <e v="#NAME?"/>
    <m/>
    <m/>
    <m/>
    <m/>
    <m/>
  </r>
  <r>
    <s v="CE57488"/>
    <s v="JULIAN FERNANDO MARTINEZ RODRIGUEZ"/>
    <x v="0"/>
    <x v="10"/>
    <s v="Indra"/>
    <e v="#NAME?"/>
    <x v="89"/>
    <n v="1"/>
    <s v="Desarrollador"/>
    <s v="ASO"/>
    <s v="Externo"/>
    <e v="#NAME?"/>
    <e v="#NAME?"/>
    <e v="#NAME?"/>
    <m/>
    <m/>
    <m/>
    <m/>
    <m/>
  </r>
  <r>
    <s v="T011800"/>
    <s v="LEIDY CATERINE ARIZA BALLESTEROS"/>
    <x v="0"/>
    <x v="10"/>
    <s v="Novatec"/>
    <e v="#NAME?"/>
    <x v="92"/>
    <n v="1"/>
    <s v="Desarrollador"/>
    <s v="Mainframe"/>
    <s v="Externo"/>
    <e v="#NAME?"/>
    <e v="#NAME?"/>
    <e v="#NAME?"/>
    <m/>
    <m/>
    <m/>
    <m/>
    <m/>
  </r>
  <r>
    <s v="T011110"/>
    <s v="LUIS ALEJANDRO BURGOS"/>
    <x v="0"/>
    <x v="10"/>
    <s v="Indra"/>
    <e v="#NAME?"/>
    <x v="89"/>
    <n v="1"/>
    <s v="Desarrollador"/>
    <s v="Cells"/>
    <s v="Externo"/>
    <e v="#NAME?"/>
    <e v="#NAME?"/>
    <e v="#NAME?"/>
    <m/>
    <m/>
    <m/>
    <m/>
    <m/>
  </r>
  <r>
    <s v="CE29535"/>
    <s v="LUIS FERNANDO PEÑA CAICEDO"/>
    <x v="0"/>
    <x v="10"/>
    <s v="Inetum"/>
    <e v="#NAME?"/>
    <x v="88"/>
    <n v="1"/>
    <s v="Desarrollador"/>
    <s v="Distribuido"/>
    <s v="Externo"/>
    <e v="#NAME?"/>
    <e v="#NAME?"/>
    <e v="#NAME?"/>
    <m/>
    <m/>
    <m/>
    <m/>
    <m/>
  </r>
  <r>
    <s v="C783731"/>
    <s v="MARCO JULIO GOMEZ AMADO"/>
    <x v="0"/>
    <x v="10"/>
    <s v="BBVA"/>
    <e v="#NAME?"/>
    <x v="88"/>
    <n v="0.5"/>
    <s v="Tech Manager/Líder"/>
    <s v="Mainframe"/>
    <s v="Interno"/>
    <e v="#NAME?"/>
    <e v="#NAME?"/>
    <e v="#NAME?"/>
    <m/>
    <m/>
    <m/>
    <m/>
    <m/>
  </r>
  <r>
    <s v="C783731"/>
    <s v="MARCO JULIO GOMEZ AMADO"/>
    <x v="0"/>
    <x v="10"/>
    <s v="BBVA"/>
    <e v="#NAME?"/>
    <x v="90"/>
    <n v="0.5"/>
    <s v="Tech Manager/Líder"/>
    <s v="Mainframe"/>
    <s v="Interno"/>
    <e v="#NAME?"/>
    <e v="#NAME?"/>
    <e v="#NAME?"/>
    <m/>
    <m/>
    <m/>
    <m/>
    <m/>
  </r>
  <r>
    <s v="CE30639"/>
    <s v="MARIO FERNANDO RAMIREZ LEGUIZAMON"/>
    <x v="0"/>
    <x v="10"/>
    <s v="GGI / CMC"/>
    <e v="#NAME?"/>
    <x v="92"/>
    <n v="0.5"/>
    <s v="QA"/>
    <s v="Distribuido"/>
    <s v="Externo"/>
    <e v="#NAME?"/>
    <e v="#NAME?"/>
    <e v="#NAME?"/>
    <m/>
    <m/>
    <m/>
    <m/>
    <m/>
  </r>
  <r>
    <s v="CE30639"/>
    <s v="MARIO FERNANDO RAMIREZ LEGUIZAMON"/>
    <x v="0"/>
    <x v="10"/>
    <s v="GGI / CMC"/>
    <e v="#NAME?"/>
    <x v="91"/>
    <n v="0.5"/>
    <s v="QA"/>
    <s v="Distribuido"/>
    <s v="Externo"/>
    <e v="#NAME?"/>
    <e v="#NAME?"/>
    <e v="#NAME?"/>
    <m/>
    <m/>
    <m/>
    <m/>
    <m/>
  </r>
  <r>
    <s v="XP60574"/>
    <s v="PEDRO MOLLEHUANCA TORRES"/>
    <x v="0"/>
    <x v="10"/>
    <s v="Indra"/>
    <e v="#NAME?"/>
    <x v="89"/>
    <n v="1"/>
    <s v="Desarrollador"/>
    <s v="Cells"/>
    <s v="Externo"/>
    <e v="#NAME?"/>
    <e v="#NAME?"/>
    <e v="#NAME?"/>
    <m/>
    <m/>
    <m/>
    <m/>
    <m/>
  </r>
  <r>
    <s v="CE70178 "/>
    <s v="SERGIO ANDRES BRAVO ROMERO"/>
    <x v="0"/>
    <x v="10"/>
    <s v="Neoris"/>
    <e v="#NAME?"/>
    <x v="88"/>
    <n v="1"/>
    <s v="Desarrollador"/>
    <s v="APX"/>
    <s v="Externo"/>
    <e v="#NAME?"/>
    <e v="#NAME?"/>
    <e v="#NAME?"/>
    <m/>
    <m/>
    <m/>
    <m/>
    <m/>
  </r>
  <r>
    <s v="T007666"/>
    <s v="TEDDY JEFERSON POVEDA SARAY"/>
    <x v="0"/>
    <x v="10"/>
    <s v="GGI / CMC"/>
    <e v="#NAME?"/>
    <x v="89"/>
    <n v="1"/>
    <s v="Desarrollador"/>
    <s v="Distribuido"/>
    <s v="Externo"/>
    <e v="#NAME?"/>
    <e v="#NAME?"/>
    <e v="#NAME?"/>
    <m/>
    <m/>
    <m/>
    <m/>
    <m/>
  </r>
  <r>
    <s v="C811395"/>
    <s v="VICTOR MANUEL PEREZ CONTRERAS"/>
    <x v="0"/>
    <x v="10"/>
    <s v="BBVA"/>
    <e v="#NAME?"/>
    <x v="89"/>
    <n v="1"/>
    <s v="Desarrollador"/>
    <s v="APX"/>
    <s v="Interno"/>
    <e v="#NAME?"/>
    <e v="#NAME?"/>
    <e v="#NAME?"/>
    <m/>
    <m/>
    <m/>
    <m/>
    <m/>
  </r>
  <r>
    <s v="C810827"/>
    <s v="WILLIAM CAMILO RUBIO QUINTERO"/>
    <x v="0"/>
    <x v="10"/>
    <s v="BBVA"/>
    <e v="#NAME?"/>
    <x v="89"/>
    <n v="1"/>
    <s v="Tech Manager/Líder"/>
    <s v="ASO"/>
    <s v="Interno"/>
    <e v="#NAME?"/>
    <e v="#NAME?"/>
    <e v="#NAME?"/>
    <m/>
    <m/>
    <m/>
    <m/>
    <m/>
  </r>
  <r>
    <s v="C805746"/>
    <s v="LAURA NATHALY NIETO AMAYA"/>
    <x v="0"/>
    <x v="10"/>
    <s v="BBVA"/>
    <e v="#NAME?"/>
    <x v="92"/>
    <n v="1"/>
    <s v="Tech Manager/Líder"/>
    <s v="Mainframe"/>
    <s v="Interno"/>
    <e v="#NAME?"/>
    <e v="#NAME?"/>
    <e v="#NAME?"/>
    <m/>
    <m/>
    <m/>
    <m/>
    <m/>
  </r>
  <r>
    <s v="C804121"/>
    <s v="HECTOR JESUS SISO JIMENEZ"/>
    <x v="0"/>
    <x v="10"/>
    <s v="BBVA"/>
    <e v="#NAME?"/>
    <x v="92"/>
    <n v="0.5"/>
    <s v="Tech Manager/Líder"/>
    <s v="APX"/>
    <s v="Interno"/>
    <e v="#NAME?"/>
    <e v="#NAME?"/>
    <e v="#NAME?"/>
    <m/>
    <m/>
    <m/>
    <m/>
    <m/>
  </r>
  <r>
    <s v="C804121"/>
    <s v="HECTOR JESUS SISO JIMENEZ"/>
    <x v="0"/>
    <x v="10"/>
    <s v="BBVA"/>
    <e v="#NAME?"/>
    <x v="3"/>
    <n v="0.5"/>
    <s v="Otros"/>
    <s v="APX"/>
    <m/>
    <e v="#NAME?"/>
    <e v="#NAME?"/>
    <e v="#NAME?"/>
    <m/>
    <m/>
    <m/>
    <m/>
    <m/>
  </r>
  <r>
    <s v="C811232"/>
    <s v="CARLOS ANDRES SUAREZ"/>
    <x v="0"/>
    <x v="10"/>
    <s v="BBVA"/>
    <e v="#NAME?"/>
    <x v="90"/>
    <n v="1"/>
    <s v="Desarrollador"/>
    <s v="Cells"/>
    <m/>
    <e v="#NAME?"/>
    <e v="#NAME?"/>
    <e v="#NAME?"/>
    <m/>
    <m/>
    <m/>
    <m/>
    <m/>
  </r>
  <r>
    <s v="C811390"/>
    <s v="WILMAR CRUZ MORA"/>
    <x v="0"/>
    <x v="10"/>
    <s v="BBVA"/>
    <e v="#NAME?"/>
    <x v="3"/>
    <n v="1"/>
    <s v="Desarrollador"/>
    <s v="Mainframe"/>
    <m/>
    <e v="#NAME?"/>
    <e v="#NAME?"/>
    <e v="#NAME?"/>
    <m/>
    <m/>
    <m/>
    <m/>
    <m/>
  </r>
  <r>
    <s v="O002008"/>
    <s v="ANDRES ALBERTO ARIZA "/>
    <x v="0"/>
    <x v="10"/>
    <s v="BBVA"/>
    <e v="#NAME?"/>
    <x v="90"/>
    <n v="1"/>
    <s v="Tech Manager/Líder"/>
    <s v="ASO"/>
    <m/>
    <e v="#NAME?"/>
    <e v="#NAME?"/>
    <e v="#NAME?"/>
    <m/>
    <m/>
    <m/>
    <m/>
    <m/>
  </r>
  <r>
    <s v="O001644"/>
    <s v="JOSE LUIS SARTA ALVAREZ"/>
    <x v="0"/>
    <x v="10"/>
    <s v="BBVA"/>
    <e v="#NAME?"/>
    <x v="3"/>
    <n v="1"/>
    <s v="Desarrollador"/>
    <s v="Cells"/>
    <m/>
    <e v="#NAME?"/>
    <e v="#NAME?"/>
    <e v="#NAME?"/>
    <m/>
    <m/>
    <m/>
    <m/>
    <m/>
  </r>
  <r>
    <s v="O004968"/>
    <s v="DANIEL FERNANDO USECHE"/>
    <x v="0"/>
    <x v="10"/>
    <s v="BBVA"/>
    <e v="#NAME?"/>
    <x v="3"/>
    <n v="1"/>
    <s v="Desarrollador"/>
    <s v="ASO"/>
    <m/>
    <e v="#NAME?"/>
    <e v="#NAME?"/>
    <e v="#NAME?"/>
    <m/>
    <m/>
    <m/>
    <m/>
    <m/>
  </r>
  <r>
    <s v="T011807"/>
    <s v="DARLY FERNANDA SANDOVAL PLAZAS"/>
    <x v="0"/>
    <x v="10"/>
    <s v="Novatec"/>
    <e v="#NAME?"/>
    <x v="92"/>
    <n v="0.1"/>
    <s v="Otros"/>
    <s v="Otras Tec."/>
    <m/>
    <e v="#NAME?"/>
    <e v="#NAME?"/>
    <e v="#NAME?"/>
    <m/>
    <m/>
    <m/>
    <m/>
    <m/>
  </r>
  <r>
    <s v="T011807"/>
    <s v="DARLY FERNANDA SANDOVAL PLAZAS"/>
    <x v="0"/>
    <x v="10"/>
    <s v="Novatec"/>
    <e v="#NAME?"/>
    <x v="89"/>
    <n v="0.15"/>
    <s v="Otros"/>
    <s v="Otras Tec."/>
    <m/>
    <e v="#NAME?"/>
    <e v="#NAME?"/>
    <e v="#NAME?"/>
    <m/>
    <m/>
    <m/>
    <m/>
    <m/>
  </r>
  <r>
    <s v="T011807"/>
    <s v="DARLY FERNANDA SANDOVAL PLAZAS"/>
    <x v="0"/>
    <x v="10"/>
    <s v="Novatec"/>
    <e v="#NAME?"/>
    <x v="88"/>
    <n v="0.15"/>
    <s v="Otros"/>
    <s v="Otras Tec."/>
    <m/>
    <e v="#NAME?"/>
    <e v="#NAME?"/>
    <e v="#NAME?"/>
    <m/>
    <m/>
    <m/>
    <m/>
    <m/>
  </r>
  <r>
    <s v="T011807"/>
    <s v="DARLY FERNANDA SANDOVAL PLAZAS"/>
    <x v="0"/>
    <x v="10"/>
    <s v="Novatec"/>
    <e v="#NAME?"/>
    <x v="90"/>
    <n v="0.15"/>
    <s v="Otros"/>
    <s v="Otras Tec."/>
    <m/>
    <e v="#NAME?"/>
    <e v="#NAME?"/>
    <e v="#NAME?"/>
    <m/>
    <m/>
    <m/>
    <m/>
    <m/>
  </r>
  <r>
    <s v="T011807"/>
    <s v="DARLY FERNANDA SANDOVAL PLAZAS"/>
    <x v="0"/>
    <x v="3"/>
    <s v="Novatec"/>
    <e v="#NAME?"/>
    <x v="93"/>
    <n v="0.15"/>
    <s v="Otros"/>
    <s v="Otras Tec."/>
    <m/>
    <e v="#NAME?"/>
    <e v="#NAME?"/>
    <e v="#NAME?"/>
    <m/>
    <m/>
    <m/>
    <m/>
    <m/>
  </r>
  <r>
    <s v="T011807"/>
    <s v="DARLY FERNANDA SANDOVAL PLAZAS"/>
    <x v="0"/>
    <x v="3"/>
    <s v="Novatec"/>
    <e v="#NAME?"/>
    <x v="22"/>
    <n v="0.15"/>
    <s v="Otros"/>
    <s v="Otras Tec."/>
    <m/>
    <e v="#NAME?"/>
    <e v="#NAME?"/>
    <e v="#NAME?"/>
    <m/>
    <m/>
    <m/>
    <m/>
    <m/>
  </r>
  <r>
    <s v="T011807"/>
    <s v="DARLY FERNANDA SANDOVAL PLAZAS"/>
    <x v="0"/>
    <x v="10"/>
    <s v="Novatec"/>
    <e v="#NAME?"/>
    <x v="94"/>
    <n v="0.15"/>
    <s v="Otros"/>
    <s v="Otras Tec."/>
    <m/>
    <e v="#NAME?"/>
    <e v="#NAME?"/>
    <e v="#NAME?"/>
    <m/>
    <m/>
    <m/>
    <m/>
    <m/>
  </r>
  <r>
    <s v="CE51863"/>
    <s v="EDNA ROCIO MONCADA"/>
    <x v="0"/>
    <x v="10"/>
    <s v="KRYPTO"/>
    <e v="#NAME?"/>
    <x v="92"/>
    <n v="7.0000000000000007E-2"/>
    <s v="QA"/>
    <s v="Distribuido"/>
    <s v="QC"/>
    <e v="#NAME?"/>
    <e v="#NAME?"/>
    <e v="#NAME?"/>
    <e v="#N/A"/>
    <e v="#N/A"/>
    <e v="#REF!"/>
    <m/>
    <m/>
  </r>
  <r>
    <s v="CE51863"/>
    <s v="EDNA ROCIO MONCADA"/>
    <x v="0"/>
    <x v="10"/>
    <s v="KRYPTO"/>
    <e v="#NAME?"/>
    <x v="89"/>
    <n v="7.0000000000000007E-2"/>
    <s v="QA"/>
    <s v="Distribuido"/>
    <s v="QC"/>
    <e v="#NAME?"/>
    <e v="#NAME?"/>
    <e v="#NAME?"/>
    <e v="#N/A"/>
    <e v="#N/A"/>
    <e v="#REF!"/>
    <m/>
    <m/>
  </r>
  <r>
    <s v="CE51863"/>
    <s v="EDNA ROCIO MONCADA"/>
    <x v="0"/>
    <x v="10"/>
    <s v="KRYPTO"/>
    <e v="#NAME?"/>
    <x v="88"/>
    <n v="7.0000000000000007E-2"/>
    <s v="QA"/>
    <s v="Distribuido"/>
    <s v="QC"/>
    <e v="#NAME?"/>
    <e v="#NAME?"/>
    <e v="#NAME?"/>
    <e v="#N/A"/>
    <e v="#N/A"/>
    <e v="#REF!"/>
    <m/>
    <m/>
  </r>
  <r>
    <s v="CE51863"/>
    <s v="EDNA ROCIO MONCADA"/>
    <x v="0"/>
    <x v="10"/>
    <s v="KRYPTO"/>
    <e v="#NAME?"/>
    <x v="90"/>
    <n v="7.0000000000000007E-2"/>
    <s v="QA"/>
    <s v="Distribuido"/>
    <s v="QC"/>
    <e v="#NAME?"/>
    <e v="#NAME?"/>
    <e v="#NAME?"/>
    <e v="#N/A"/>
    <e v="#N/A"/>
    <e v="#REF!"/>
    <m/>
    <m/>
  </r>
  <r>
    <s v="CE51863"/>
    <s v="EDNA ROCIO MONCADA"/>
    <x v="0"/>
    <x v="3"/>
    <s v="KRYPTO"/>
    <e v="#NAME?"/>
    <x v="93"/>
    <n v="7.0000000000000007E-2"/>
    <s v="QA"/>
    <s v="Distribuido"/>
    <s v="QC"/>
    <e v="#NAME?"/>
    <e v="#NAME?"/>
    <e v="#NAME?"/>
    <e v="#N/A"/>
    <e v="#N/A"/>
    <e v="#REF!"/>
    <m/>
    <m/>
  </r>
  <r>
    <s v="CE51863"/>
    <s v="EDNA ROCIO MONCADA"/>
    <x v="0"/>
    <x v="3"/>
    <s v="KRYPTO"/>
    <e v="#NAME?"/>
    <x v="22"/>
    <n v="7.0000000000000007E-2"/>
    <s v="QA"/>
    <s v="Distribuido"/>
    <s v="QC"/>
    <e v="#NAME?"/>
    <e v="#NAME?"/>
    <e v="#NAME?"/>
    <e v="#N/A"/>
    <e v="#N/A"/>
    <e v="#REF!"/>
    <m/>
    <m/>
  </r>
  <r>
    <s v="CE51863"/>
    <s v="EDNA ROCIO MONCADA"/>
    <x v="0"/>
    <x v="10"/>
    <s v="KRYPTO"/>
    <e v="#NAME?"/>
    <x v="94"/>
    <n v="7.0000000000000007E-2"/>
    <s v="QA"/>
    <s v="Distribuido"/>
    <s v="QC"/>
    <e v="#NAME?"/>
    <e v="#NAME?"/>
    <e v="#NAME?"/>
    <e v="#N/A"/>
    <e v="#N/A"/>
    <e v="#REF!"/>
    <m/>
    <m/>
  </r>
  <r>
    <s v="CE65205"/>
    <s v="OSCAR JAVIER ALVAREZ CAMACHO"/>
    <x v="0"/>
    <x v="10"/>
    <s v="GGI / CMC"/>
    <e v="#NAME?"/>
    <x v="89"/>
    <n v="0.1"/>
    <s v="Otros"/>
    <s v="Distribuido"/>
    <s v="Despliegues"/>
    <e v="#NAME?"/>
    <e v="#NAME?"/>
    <e v="#NAME?"/>
    <m/>
    <m/>
    <m/>
    <m/>
    <m/>
  </r>
  <r>
    <s v="CE65205"/>
    <s v="OSCAR JAVIER ALVAREZ CAMACHO"/>
    <x v="0"/>
    <x v="10"/>
    <s v="GGI / CMC"/>
    <e v="#NAME?"/>
    <x v="92"/>
    <n v="0.15"/>
    <s v="Otros"/>
    <s v="Distribuido"/>
    <s v="Despliegues"/>
    <e v="#NAME?"/>
    <e v="#NAME?"/>
    <e v="#NAME?"/>
    <m/>
    <m/>
    <m/>
    <m/>
    <m/>
  </r>
  <r>
    <s v="CE65205"/>
    <s v="OSCAR JAVIER ALVAREZ CAMACHO"/>
    <x v="0"/>
    <x v="10"/>
    <s v="GGI / CMC"/>
    <e v="#NAME?"/>
    <x v="90"/>
    <n v="0.15"/>
    <s v="Otros"/>
    <s v="Distribuido"/>
    <s v="Despliegues"/>
    <e v="#NAME?"/>
    <e v="#NAME?"/>
    <e v="#NAME?"/>
    <m/>
    <m/>
    <m/>
    <m/>
    <m/>
  </r>
  <r>
    <s v="CE65205"/>
    <s v="OSCAR JAVIER ALVAREZ CAMACHO"/>
    <x v="0"/>
    <x v="10"/>
    <s v="GGI / CMC"/>
    <e v="#NAME?"/>
    <x v="88"/>
    <n v="0.15"/>
    <s v="Otros"/>
    <s v="Distribuido"/>
    <s v="Despliegues"/>
    <e v="#NAME?"/>
    <e v="#NAME?"/>
    <e v="#NAME?"/>
    <m/>
    <m/>
    <m/>
    <m/>
    <m/>
  </r>
  <r>
    <s v="CE65205"/>
    <s v="OSCAR JAVIER ALVAREZ CAMACHO"/>
    <x v="0"/>
    <x v="3"/>
    <s v="KRYPTO"/>
    <e v="#NAME?"/>
    <x v="93"/>
    <n v="0.15"/>
    <s v="Otros"/>
    <s v="Distribuido"/>
    <s v="Despliegues"/>
    <e v="#NAME?"/>
    <e v="#NAME?"/>
    <e v="#NAME?"/>
    <e v="#N/A"/>
    <e v="#N/A"/>
    <e v="#REF!"/>
    <m/>
    <m/>
  </r>
  <r>
    <s v="CE65205"/>
    <s v="OSCAR JAVIER ALVAREZ CAMACHO"/>
    <x v="0"/>
    <x v="3"/>
    <s v="KRYPTO"/>
    <e v="#NAME?"/>
    <x v="22"/>
    <n v="0.15"/>
    <s v="Otros"/>
    <s v="Distribuido"/>
    <s v="Despliegues"/>
    <e v="#NAME?"/>
    <e v="#NAME?"/>
    <e v="#NAME?"/>
    <e v="#N/A"/>
    <e v="#N/A"/>
    <e v="#REF!"/>
    <m/>
    <m/>
  </r>
  <r>
    <s v="CE65205"/>
    <s v="OSCAR JAVIER ALVAREZ CAMACHO"/>
    <x v="0"/>
    <x v="10"/>
    <s v="KRYPTO"/>
    <e v="#NAME?"/>
    <x v="94"/>
    <n v="0.15"/>
    <s v="Otros"/>
    <s v="Distribuido"/>
    <s v="Despliegues"/>
    <e v="#NAME?"/>
    <e v="#NAME?"/>
    <e v="#NAME?"/>
    <e v="#N/A"/>
    <e v="#N/A"/>
    <e v="#REF!"/>
    <m/>
    <m/>
  </r>
  <r>
    <s v="C811392"/>
    <s v="LEONARDO SIMBAQUEBA ESGUERRA"/>
    <x v="3"/>
    <x v="11"/>
    <s v="BBVA"/>
    <e v="#NAME?"/>
    <x v="3"/>
    <n v="1"/>
    <s v="Desarrollador"/>
    <m/>
    <s v="Interno"/>
    <e v="#NAME?"/>
    <e v="#NAME?"/>
    <e v="#NAME?"/>
    <m/>
    <m/>
    <m/>
    <m/>
    <m/>
  </r>
  <r>
    <s v="C341681"/>
    <s v="RICARDO ALEXANDER CALVO JIMENEZ"/>
    <x v="2"/>
    <x v="8"/>
    <s v="BBVA"/>
    <e v="#NAME?"/>
    <x v="6"/>
    <n v="1"/>
    <s v="Desarrollador"/>
    <s v="Otras Tec."/>
    <s v="Interno"/>
    <e v="#NAME?"/>
    <e v="#NAME?"/>
    <e v="#NAME?"/>
    <m/>
    <m/>
    <m/>
    <m/>
    <m/>
  </r>
  <r>
    <s v="C342316"/>
    <s v="ANA MILENA GARCIA COBO"/>
    <x v="2"/>
    <x v="8"/>
    <s v="BBVA"/>
    <e v="#NAME?"/>
    <x v="87"/>
    <n v="0.7"/>
    <s v="Desarrollador"/>
    <s v="Distribuido"/>
    <s v="Interno"/>
    <e v="#NAME?"/>
    <e v="#NAME?"/>
    <e v="#NAME?"/>
    <m/>
    <m/>
    <m/>
    <m/>
    <m/>
  </r>
  <r>
    <s v="C342316"/>
    <s v="ANA MILENA GARCIA COBO"/>
    <x v="2"/>
    <x v="8"/>
    <s v="BBVA"/>
    <e v="#NAME?"/>
    <x v="71"/>
    <n v="0.3"/>
    <s v="Desarrollador"/>
    <s v="Distribuido"/>
    <s v="Interno"/>
    <e v="#NAME?"/>
    <e v="#NAME?"/>
    <e v="#NAME?"/>
    <m/>
    <m/>
    <m/>
    <m/>
    <m/>
  </r>
  <r>
    <s v="C808875"/>
    <s v="YEIMY PAOLA PERDOMO"/>
    <x v="2"/>
    <x v="8"/>
    <s v="BBVA"/>
    <e v="#NAME?"/>
    <x v="87"/>
    <n v="1"/>
    <s v="Desarrollador"/>
    <s v="Otras Tec."/>
    <s v="Interno"/>
    <e v="#NAME?"/>
    <e v="#NAME?"/>
    <e v="#NAME?"/>
    <m/>
    <m/>
    <m/>
    <m/>
    <m/>
  </r>
  <r>
    <s v="C809591"/>
    <s v="KEVIN ORLANDO OJEDA"/>
    <x v="2"/>
    <x v="8"/>
    <s v="BBVA"/>
    <e v="#NAME?"/>
    <x v="83"/>
    <n v="0.65"/>
    <s v="Desarrollador"/>
    <s v="Otras Tec."/>
    <s v="Interno"/>
    <e v="#NAME?"/>
    <e v="#NAME?"/>
    <e v="#NAME?"/>
    <m/>
    <m/>
    <m/>
    <m/>
    <m/>
  </r>
  <r>
    <s v="C809591"/>
    <s v="KEVIN ORLANDO OJEDA"/>
    <x v="2"/>
    <x v="8"/>
    <s v="BBVA"/>
    <e v="#NAME?"/>
    <x v="71"/>
    <n v="0.25"/>
    <s v="Desarrollador"/>
    <s v="Otras Tec."/>
    <s v="Interno"/>
    <e v="#NAME?"/>
    <e v="#NAME?"/>
    <e v="#NAME?"/>
    <m/>
    <m/>
    <m/>
    <m/>
    <m/>
  </r>
  <r>
    <s v="C809591"/>
    <s v="KEVIN ORLANDO OJEDA"/>
    <x v="2"/>
    <x v="8"/>
    <s v="BBVA"/>
    <e v="#NAME?"/>
    <x v="85"/>
    <n v="0.1"/>
    <s v="Desarrollador"/>
    <s v="Otras Tec."/>
    <s v="Interno"/>
    <e v="#NAME?"/>
    <e v="#NAME?"/>
    <e v="#NAME?"/>
    <m/>
    <m/>
    <m/>
    <m/>
    <m/>
  </r>
  <r>
    <s v="C810959"/>
    <s v="MARCO HERNAN CASTELLANOS"/>
    <x v="2"/>
    <x v="8"/>
    <s v="BBVA"/>
    <e v="#NAME?"/>
    <x v="6"/>
    <n v="0.4"/>
    <s v="Desarrollador"/>
    <s v="Otras Tec."/>
    <s v="Interno"/>
    <e v="#NAME?"/>
    <e v="#NAME?"/>
    <e v="#NAME?"/>
    <m/>
    <m/>
    <m/>
    <m/>
    <m/>
  </r>
  <r>
    <s v="C810959"/>
    <s v="MARCO HERNAN CASTELLANOS"/>
    <x v="2"/>
    <x v="8"/>
    <s v="BBVA"/>
    <e v="#NAME?"/>
    <x v="83"/>
    <n v="0.2"/>
    <s v="Desarrollador"/>
    <s v="Otras Tec."/>
    <s v="Interno"/>
    <e v="#NAME?"/>
    <e v="#NAME?"/>
    <e v="#NAME?"/>
    <m/>
    <m/>
    <m/>
    <m/>
    <m/>
  </r>
  <r>
    <s v="C810959"/>
    <s v="MARCO HERNAN CASTELLANOS"/>
    <x v="2"/>
    <x v="8"/>
    <s v="BBVA"/>
    <e v="#NAME?"/>
    <x v="71"/>
    <n v="0.2"/>
    <s v="Desarrollador"/>
    <s v="Otras Tec."/>
    <s v="Interno"/>
    <e v="#NAME?"/>
    <e v="#NAME?"/>
    <e v="#NAME?"/>
    <m/>
    <m/>
    <m/>
    <m/>
    <m/>
  </r>
  <r>
    <s v="C810959"/>
    <s v="MARCO HERNAN CASTELLANOS"/>
    <x v="2"/>
    <x v="8"/>
    <s v="BBVA"/>
    <e v="#NAME?"/>
    <x v="3"/>
    <n v="0.2"/>
    <s v="Desarrollador"/>
    <s v="Otras Tec."/>
    <s v="Interno"/>
    <e v="#NAME?"/>
    <e v="#NAME?"/>
    <e v="#NAME?"/>
    <m/>
    <m/>
    <m/>
    <m/>
    <m/>
  </r>
  <r>
    <s v="CE66252"/>
    <s v="JORGE ENRIQUE CARRILLO DIAZ"/>
    <x v="2"/>
    <x v="8"/>
    <s v="GGI / CMC"/>
    <e v="#NAME?"/>
    <x v="87"/>
    <n v="0.5"/>
    <s v="QA"/>
    <s v="Otras Tec."/>
    <s v="Externo"/>
    <e v="#NAME?"/>
    <e v="#NAME?"/>
    <e v="#NAME?"/>
    <m/>
    <m/>
    <m/>
    <m/>
    <m/>
  </r>
  <r>
    <s v="CE66252"/>
    <s v="JORGE ENRIQUE CARRILLO DIAZ"/>
    <x v="2"/>
    <x v="8"/>
    <s v="GGI / CMC"/>
    <e v="#NAME?"/>
    <x v="71"/>
    <n v="0.25"/>
    <s v="QA"/>
    <s v="Otras Tec."/>
    <s v="Externo"/>
    <e v="#NAME?"/>
    <e v="#NAME?"/>
    <e v="#NAME?"/>
    <m/>
    <m/>
    <m/>
    <m/>
    <m/>
  </r>
  <r>
    <s v="CE66252"/>
    <s v="JORGE ENRIQUE CARRILLO DIAZ"/>
    <x v="2"/>
    <x v="8"/>
    <s v="GGI / CMC"/>
    <e v="#NAME?"/>
    <x v="6"/>
    <n v="0.25"/>
    <s v="QA"/>
    <s v="Otras Tec."/>
    <s v="Externo"/>
    <e v="#NAME?"/>
    <e v="#NAME?"/>
    <e v="#NAME?"/>
    <m/>
    <m/>
    <m/>
    <m/>
    <m/>
  </r>
  <r>
    <s v="C783725"/>
    <s v="JAIRO FERNANDO TAMARA RUBIANO"/>
    <x v="2"/>
    <x v="8"/>
    <s v="BBVA"/>
    <e v="#NAME?"/>
    <x v="6"/>
    <n v="0.3"/>
    <s v="Tech Manager/Líder"/>
    <s v="Otras Tec."/>
    <s v="Interno"/>
    <e v="#NAME?"/>
    <e v="#NAME?"/>
    <e v="#NAME?"/>
    <m/>
    <m/>
    <m/>
    <m/>
    <m/>
  </r>
  <r>
    <s v="C783725"/>
    <s v="JAIRO FERNANDO TAMARA RUBIANO"/>
    <x v="2"/>
    <x v="8"/>
    <s v="BBVA"/>
    <e v="#NAME?"/>
    <x v="87"/>
    <n v="0.3"/>
    <s v="Tech Manager/Líder"/>
    <s v="Otras Tec."/>
    <s v="Interno"/>
    <e v="#NAME?"/>
    <e v="#NAME?"/>
    <e v="#NAME?"/>
    <m/>
    <m/>
    <m/>
    <m/>
    <m/>
  </r>
  <r>
    <s v="C783725"/>
    <s v="JAIRO FERNANDO TAMARA RUBIANO"/>
    <x v="2"/>
    <x v="8"/>
    <s v="BBVA"/>
    <e v="#NAME?"/>
    <x v="85"/>
    <n v="0.1"/>
    <s v="Tech Manager/Líder"/>
    <s v="Otras Tec."/>
    <m/>
    <e v="#NAME?"/>
    <e v="#NAME?"/>
    <e v="#NAME?"/>
    <m/>
    <m/>
    <m/>
    <m/>
    <m/>
  </r>
  <r>
    <s v="C783725"/>
    <s v="JAIRO FERNANDO TAMARA RUBIANO"/>
    <x v="2"/>
    <x v="8"/>
    <s v="BBVA"/>
    <e v="#NAME?"/>
    <x v="71"/>
    <n v="0.3"/>
    <s v="Tech Manager/Líder"/>
    <s v="Otras Tec."/>
    <s v="Interno"/>
    <e v="#NAME?"/>
    <e v="#NAME?"/>
    <e v="#NAME?"/>
    <m/>
    <m/>
    <m/>
    <m/>
    <m/>
  </r>
  <r>
    <s v="T006280"/>
    <s v="Fabian andres valbuena aragon"/>
    <x v="2"/>
    <x v="8"/>
    <s v="Inetum"/>
    <e v="#NAME?"/>
    <x v="3"/>
    <n v="0.5"/>
    <s v="Desarrollador"/>
    <s v="Otras Tec."/>
    <s v="Externo"/>
    <e v="#NAME?"/>
    <e v="#NAME?"/>
    <e v="#NAME?"/>
    <m/>
    <m/>
    <m/>
    <m/>
    <m/>
  </r>
  <r>
    <s v="T006280"/>
    <s v="Fabian andres valbuena aragon"/>
    <x v="1"/>
    <x v="12"/>
    <s v="Inetum"/>
    <e v="#NAME?"/>
    <x v="3"/>
    <n v="0.5"/>
    <s v="Desarrollador"/>
    <s v="Otras Tec."/>
    <s v="Externo"/>
    <e v="#NAME?"/>
    <e v="#NAME?"/>
    <e v="#NAME?"/>
    <m/>
    <m/>
    <m/>
    <m/>
    <m/>
  </r>
  <r>
    <s v="C811292"/>
    <s v="ANDRES GALVIS TRIVIÑO"/>
    <x v="1"/>
    <x v="12"/>
    <s v="BBVA"/>
    <e v="#NAME?"/>
    <x v="3"/>
    <n v="1"/>
    <s v="Otros"/>
    <m/>
    <m/>
    <e v="#NAME?"/>
    <e v="#NAME?"/>
    <e v="#NAME?"/>
    <m/>
    <m/>
    <m/>
    <m/>
    <m/>
  </r>
  <r>
    <s v="C805180"/>
    <s v="SEBASTIAN GOMEZ CORCHUELO"/>
    <x v="1"/>
    <x v="12"/>
    <s v="BBVA"/>
    <e v="#NAME?"/>
    <x v="95"/>
    <n v="0.25"/>
    <s v="QA"/>
    <m/>
    <m/>
    <e v="#NAME?"/>
    <e v="#NAME?"/>
    <e v="#NAME?"/>
    <m/>
    <m/>
    <m/>
    <m/>
    <m/>
  </r>
  <r>
    <s v="C810847"/>
    <s v="JAIR DE JESUS MOLINA FORNARIS"/>
    <x v="1"/>
    <x v="12"/>
    <s v="BBVA"/>
    <e v="#NAME?"/>
    <x v="95"/>
    <n v="0.25"/>
    <s v="Desarrollador"/>
    <m/>
    <m/>
    <e v="#NAME?"/>
    <e v="#NAME?"/>
    <e v="#NAME?"/>
    <m/>
    <m/>
    <m/>
    <m/>
    <m/>
  </r>
  <r>
    <s v="C810847"/>
    <s v="JAIR DE JESUS MOLINA FORNARIS"/>
    <x v="1"/>
    <x v="12"/>
    <s v="BBVA"/>
    <e v="#NAME?"/>
    <x v="3"/>
    <n v="0.75"/>
    <s v="Desarrollador"/>
    <m/>
    <m/>
    <e v="#NAME?"/>
    <e v="#NAME?"/>
    <e v="#NAME?"/>
    <m/>
    <m/>
    <m/>
    <m/>
    <m/>
  </r>
  <r>
    <s v="O004617"/>
    <s v="ARLEX JULIAN RODRIGUEZ RINCON"/>
    <x v="1"/>
    <x v="12"/>
    <s v="BBVA"/>
    <e v="#NAME?"/>
    <x v="3"/>
    <n v="1"/>
    <s v="Otros"/>
    <m/>
    <m/>
    <e v="#NAME?"/>
    <e v="#NAME?"/>
    <e v="#NAME?"/>
    <m/>
    <m/>
    <m/>
    <m/>
    <m/>
  </r>
  <r>
    <s v="O004613 "/>
    <s v="CESAR AUGUSTO MONTERO HERNANDEZ"/>
    <x v="1"/>
    <x v="12"/>
    <s v="BBVA"/>
    <e v="#NAME?"/>
    <x v="3"/>
    <n v="1"/>
    <s v="Otros"/>
    <m/>
    <m/>
    <e v="#NAME?"/>
    <e v="#NAME?"/>
    <e v="#NAME?"/>
    <m/>
    <m/>
    <m/>
    <m/>
    <m/>
  </r>
  <r>
    <s v="C805180"/>
    <s v="SEBASTIAN GOMEZ CORCHUELO"/>
    <x v="1"/>
    <x v="12"/>
    <s v="BBVA"/>
    <e v="#NAME?"/>
    <x v="3"/>
    <n v="0.75"/>
    <s v="Otros"/>
    <m/>
    <m/>
    <e v="#NAME?"/>
    <e v="#NAME?"/>
    <e v="#NAME?"/>
    <m/>
    <m/>
    <m/>
    <m/>
    <m/>
  </r>
  <r>
    <s v="CE70350"/>
    <s v="HELDER HAROLD SOLANO SOLANO"/>
    <x v="1"/>
    <x v="12"/>
    <s v="Inetum"/>
    <e v="#NAME?"/>
    <x v="3"/>
    <n v="1"/>
    <s v="QA"/>
    <s v="Otras Tec."/>
    <s v="Calidad"/>
    <e v="#NAME?"/>
    <e v="#NAME?"/>
    <e v="#NAME?"/>
    <m/>
    <m/>
    <m/>
    <m/>
    <m/>
  </r>
  <r>
    <s v="CV25017"/>
    <s v="ANDREA POLO KOCH"/>
    <x v="4"/>
    <x v="13"/>
    <s v="BBVA Seguros"/>
    <e v="#NAME?"/>
    <x v="96"/>
    <n v="0.25"/>
    <s v="Desarrollador"/>
    <s v="ASO"/>
    <s v="LÍDER TÉCNICO"/>
    <e v="#NAME?"/>
    <e v="#NAME?"/>
    <e v="#NAME?"/>
    <m/>
    <m/>
    <m/>
    <m/>
    <m/>
  </r>
  <r>
    <s v="CV25017"/>
    <s v="ANDREA POLO KOCH"/>
    <x v="4"/>
    <x v="13"/>
    <s v="BBVA Seguros"/>
    <e v="#NAME?"/>
    <x v="97"/>
    <n v="0.75"/>
    <s v="Desarrollador"/>
    <s v="ASO"/>
    <s v="LÍDER TÉCNICO"/>
    <e v="#NAME?"/>
    <e v="#NAME?"/>
    <e v="#NAME?"/>
    <m/>
    <m/>
    <m/>
    <m/>
    <m/>
  </r>
  <r>
    <s v="CE52603"/>
    <s v="CLARIBEL ABRIL VELASCO"/>
    <x v="4"/>
    <x v="13"/>
    <s v="Inetum"/>
    <e v="#NAME?"/>
    <x v="96"/>
    <n v="0.25"/>
    <s v="Desarrollador"/>
    <s v="Mainframe"/>
    <m/>
    <e v="#NAME?"/>
    <e v="#NAME?"/>
    <e v="#NAME?"/>
    <m/>
    <m/>
    <m/>
    <m/>
    <m/>
  </r>
  <r>
    <s v="CE52603"/>
    <s v="CLARIBEL ABRIL VELASCO"/>
    <x v="4"/>
    <x v="13"/>
    <s v="Inetum"/>
    <e v="#NAME?"/>
    <x v="97"/>
    <n v="0.75"/>
    <s v="Desarrollador"/>
    <s v="Mainframe"/>
    <m/>
    <e v="#NAME?"/>
    <e v="#NAME?"/>
    <e v="#NAME?"/>
    <m/>
    <m/>
    <m/>
    <m/>
    <m/>
  </r>
  <r>
    <s v="CV24943"/>
    <s v="JAIME JOSE ALFONSO COTES"/>
    <x v="4"/>
    <x v="13"/>
    <s v="BBVA Seguros"/>
    <e v="#NAME?"/>
    <x v="98"/>
    <n v="1"/>
    <s v="Desarrollador"/>
    <s v="APX"/>
    <s v="LÍDER TÉCNICO"/>
    <e v="#NAME?"/>
    <e v="#NAME?"/>
    <e v="#NAME?"/>
    <m/>
    <m/>
    <m/>
    <m/>
    <m/>
  </r>
  <r>
    <s v="CV25056"/>
    <s v="JUAN CARLOS ALDANA MORENO"/>
    <x v="4"/>
    <x v="13"/>
    <s v="BBVA Seguros"/>
    <e v="#NAME?"/>
    <x v="96"/>
    <n v="0.25"/>
    <s v="Desarrollador"/>
    <s v="Mainframe"/>
    <s v="LÍDER TÉCNICO"/>
    <e v="#NAME?"/>
    <e v="#NAME?"/>
    <e v="#NAME?"/>
    <m/>
    <m/>
    <m/>
    <m/>
    <m/>
  </r>
  <r>
    <s v="CV25056"/>
    <s v="JUAN CARLOS ALDANA MORENO"/>
    <x v="4"/>
    <x v="13"/>
    <s v="BBVA Seguros"/>
    <e v="#NAME?"/>
    <x v="97"/>
    <n v="0.75"/>
    <s v="Desarrollador"/>
    <s v="Mainframe"/>
    <s v="LÍDER TÉCNICO"/>
    <e v="#NAME?"/>
    <e v="#NAME?"/>
    <e v="#NAME?"/>
    <m/>
    <m/>
    <m/>
    <m/>
    <m/>
  </r>
  <r>
    <s v="CE56274"/>
    <s v="JULIAN CAMILO QUINONES QUINTERO"/>
    <x v="4"/>
    <x v="13"/>
    <s v="SII"/>
    <e v="#NAME?"/>
    <x v="96"/>
    <n v="0.25"/>
    <s v="Desarrollador"/>
    <s v="Mainframe"/>
    <m/>
    <e v="#NAME?"/>
    <e v="#NAME?"/>
    <e v="#NAME?"/>
    <m/>
    <m/>
    <m/>
    <m/>
    <m/>
  </r>
  <r>
    <s v="CE56274"/>
    <s v="JULIAN CAMILO QUINONES QUINTERO"/>
    <x v="4"/>
    <x v="13"/>
    <s v="SII"/>
    <e v="#NAME?"/>
    <x v="97"/>
    <n v="0.75"/>
    <s v="Desarrollador"/>
    <s v="Mainframe"/>
    <m/>
    <e v="#NAME?"/>
    <e v="#NAME?"/>
    <e v="#NAME?"/>
    <m/>
    <m/>
    <m/>
    <m/>
    <m/>
  </r>
  <r>
    <s v="CE56445"/>
    <s v="LESIA MARGARITA VALERA CONTRERAS"/>
    <x v="4"/>
    <x v="13"/>
    <s v="SII"/>
    <e v="#NAME?"/>
    <x v="96"/>
    <n v="0.25"/>
    <s v="Desarrollador"/>
    <s v="Mainframe"/>
    <m/>
    <e v="#NAME?"/>
    <e v="#NAME?"/>
    <e v="#NAME?"/>
    <m/>
    <m/>
    <m/>
    <m/>
    <m/>
  </r>
  <r>
    <s v="CE56445"/>
    <s v="LESIA MARGARITA VALERA CONTRERAS"/>
    <x v="4"/>
    <x v="13"/>
    <s v="SII"/>
    <e v="#NAME?"/>
    <x v="97"/>
    <n v="0.75"/>
    <s v="Desarrollador"/>
    <s v="Mainframe"/>
    <m/>
    <e v="#NAME?"/>
    <e v="#NAME?"/>
    <e v="#NAME?"/>
    <m/>
    <m/>
    <m/>
    <m/>
    <m/>
  </r>
  <r>
    <s v="CV25065"/>
    <s v="OSCAR FABIAN MACANA GARNICA"/>
    <x v="4"/>
    <x v="13"/>
    <s v="BBVA Seguros"/>
    <e v="#NAME?"/>
    <x v="96"/>
    <n v="0.25"/>
    <s v="Desarrollador"/>
    <s v="Mainframe"/>
    <s v="LÍDER TÉCNICO"/>
    <e v="#NAME?"/>
    <e v="#NAME?"/>
    <e v="#NAME?"/>
    <m/>
    <m/>
    <m/>
    <m/>
    <m/>
  </r>
  <r>
    <s v="CV25065"/>
    <s v="OSCAR FABIAN MACANA GARNICA"/>
    <x v="4"/>
    <x v="13"/>
    <s v="BBVA Seguros"/>
    <e v="#NAME?"/>
    <x v="97"/>
    <n v="0.75"/>
    <s v="Desarrollador"/>
    <s v="Mainframe"/>
    <s v="LÍDER TÉCNICO"/>
    <e v="#NAME?"/>
    <e v="#NAME?"/>
    <e v="#NAME?"/>
    <m/>
    <m/>
    <m/>
    <m/>
    <m/>
  </r>
  <r>
    <s v="O004277"/>
    <s v="SERGIO ALEJANDRO DIAZ HOYOS"/>
    <x v="4"/>
    <x v="13"/>
    <s v="BBVA Seguros"/>
    <e v="#NAME?"/>
    <x v="97"/>
    <n v="1"/>
    <s v="Desarrollador"/>
    <s v="Mainframe"/>
    <m/>
    <e v="#NAME?"/>
    <e v="#NAME?"/>
    <e v="#NAME?"/>
    <m/>
    <m/>
    <m/>
    <m/>
    <m/>
  </r>
  <r>
    <s v="CE42028"/>
    <s v="MARIA YOLANDA BRAND LEON"/>
    <x v="4"/>
    <x v="13"/>
    <s v="Inetum"/>
    <e v="#NAME?"/>
    <x v="99"/>
    <n v="1"/>
    <s v="Desarrollador"/>
    <s v="Mainframe"/>
    <m/>
    <e v="#NAME?"/>
    <e v="#NAME?"/>
    <e v="#NAME?"/>
    <m/>
    <m/>
    <m/>
    <m/>
    <m/>
  </r>
  <r>
    <s v="CE59922"/>
    <s v="JOHAN SEBASTIAN LAGOS MORALES"/>
    <x v="4"/>
    <x v="13"/>
    <s v="Inetum"/>
    <e v="#NAME?"/>
    <x v="96"/>
    <n v="0.5"/>
    <s v="Desarrollador"/>
    <s v="Mainframe"/>
    <m/>
    <e v="#NAME?"/>
    <e v="#NAME?"/>
    <e v="#NAME?"/>
    <m/>
    <m/>
    <m/>
    <m/>
    <m/>
  </r>
  <r>
    <s v="CE59922"/>
    <s v="JOHAN SEBASTIAN LAGOS MORALES"/>
    <x v="4"/>
    <x v="13"/>
    <s v="Inetum"/>
    <e v="#NAME?"/>
    <x v="97"/>
    <n v="0.5"/>
    <s v="Desarrollador"/>
    <s v="Mainframe"/>
    <m/>
    <e v="#NAME?"/>
    <e v="#NAME?"/>
    <e v="#NAME?"/>
    <m/>
    <m/>
    <m/>
    <m/>
    <m/>
  </r>
  <r>
    <s v="CV24935"/>
    <s v="SANDRA PATRICIA RAMIREZ TRIANA"/>
    <x v="4"/>
    <x v="13"/>
    <s v="BBVA Seguros"/>
    <e v="#NAME?"/>
    <x v="96"/>
    <n v="0.4"/>
    <s v="Tech Manager/Líder"/>
    <s v="Mainframe"/>
    <m/>
    <e v="#NAME?"/>
    <e v="#NAME?"/>
    <e v="#NAME?"/>
    <m/>
    <m/>
    <m/>
    <m/>
    <m/>
  </r>
  <r>
    <s v="CV24935"/>
    <s v="SANDRA PATRICIA RAMIREZ TRIANA"/>
    <x v="4"/>
    <x v="13"/>
    <s v="BBVA Seguros"/>
    <e v="#NAME?"/>
    <x v="97"/>
    <n v="0.3"/>
    <s v="Tech Manager/Líder"/>
    <s v="Mainframe"/>
    <m/>
    <e v="#NAME?"/>
    <e v="#NAME?"/>
    <e v="#NAME?"/>
    <m/>
    <m/>
    <m/>
    <m/>
    <m/>
  </r>
  <r>
    <s v="CV24935"/>
    <s v="SANDRA PATRICIA RAMIREZ TRIANA"/>
    <x v="4"/>
    <x v="13"/>
    <s v="BBVA Seguros"/>
    <e v="#NAME?"/>
    <x v="99"/>
    <n v="0.3"/>
    <s v="Tech Manager/Líder"/>
    <s v="Mainframe"/>
    <m/>
    <e v="#NAME?"/>
    <e v="#NAME?"/>
    <e v="#NAME?"/>
    <m/>
    <m/>
    <m/>
    <m/>
    <m/>
  </r>
  <r>
    <s v="CG22671"/>
    <s v="CARLOS ALBERTO GOMEZ GOMEZ"/>
    <x v="4"/>
    <x v="13"/>
    <s v="BBVA Seguros"/>
    <e v="#NAME?"/>
    <x v="100"/>
    <n v="0.25"/>
    <s v="Desarrollador"/>
    <s v="Distribuido"/>
    <s v="LÍDER TÉCNICO"/>
    <e v="#NAME?"/>
    <e v="#NAME?"/>
    <e v="#NAME?"/>
    <m/>
    <m/>
    <m/>
    <m/>
    <m/>
  </r>
  <r>
    <s v="CG22671"/>
    <s v="CARLOS ALBERTO GOMEZ GOMEZ"/>
    <x v="4"/>
    <x v="13"/>
    <s v="BBVA Seguros"/>
    <e v="#NAME?"/>
    <x v="3"/>
    <n v="0.75"/>
    <s v="Desarrollador"/>
    <s v="Distribuido"/>
    <s v="LÍDER TÉCNICO"/>
    <e v="#NAME?"/>
    <e v="#NAME?"/>
    <e v="#NAME?"/>
    <m/>
    <m/>
    <m/>
    <m/>
    <m/>
  </r>
  <r>
    <s v="CE38411"/>
    <s v="CAROLINA BARROS BERNAL"/>
    <x v="4"/>
    <x v="13"/>
    <s v="SII"/>
    <e v="#NAME?"/>
    <x v="101"/>
    <n v="0.75"/>
    <s v="Desarrollador"/>
    <s v="Distribuido"/>
    <m/>
    <e v="#NAME?"/>
    <e v="#NAME?"/>
    <e v="#NAME?"/>
    <m/>
    <m/>
    <m/>
    <m/>
    <m/>
  </r>
  <r>
    <s v="CE38411"/>
    <s v="CAROLINA BARROS BERNAL"/>
    <x v="4"/>
    <x v="13"/>
    <s v="SII"/>
    <e v="#NAME?"/>
    <x v="102"/>
    <n v="0.25"/>
    <s v="Desarrollador"/>
    <s v="Distribuido"/>
    <m/>
    <e v="#NAME?"/>
    <e v="#NAME?"/>
    <e v="#NAME?"/>
    <m/>
    <m/>
    <m/>
    <m/>
    <m/>
  </r>
  <r>
    <s v="CE68469"/>
    <s v="DIEGO ALEXANDER ALBA RODRÍGUEZ"/>
    <x v="4"/>
    <x v="13"/>
    <s v="SII"/>
    <e v="#NAME?"/>
    <x v="100"/>
    <n v="1"/>
    <s v="Desarrollador"/>
    <s v="Distribuido"/>
    <m/>
    <e v="#NAME?"/>
    <e v="#NAME?"/>
    <e v="#NAME?"/>
    <m/>
    <m/>
    <m/>
    <m/>
    <m/>
  </r>
  <r>
    <s v="CV25060"/>
    <s v="JAIME ALEJANDRO ROJAS NIVIA"/>
    <x v="4"/>
    <x v="13"/>
    <s v="BBVA Seguros"/>
    <e v="#NAME?"/>
    <x v="101"/>
    <n v="0.5"/>
    <s v="Desarrollador"/>
    <s v="Distribuido"/>
    <m/>
    <e v="#NAME?"/>
    <e v="#NAME?"/>
    <e v="#NAME?"/>
    <m/>
    <m/>
    <m/>
    <m/>
    <m/>
  </r>
  <r>
    <s v="CV25060"/>
    <s v="JAIME ALEJANDRO ROJAS NIVIA"/>
    <x v="4"/>
    <x v="13"/>
    <s v="BBVA Seguros"/>
    <e v="#NAME?"/>
    <x v="103"/>
    <n v="0.5"/>
    <s v="Desarrollador"/>
    <s v="Distribuido"/>
    <m/>
    <e v="#NAME?"/>
    <e v="#NAME?"/>
    <e v="#NAME?"/>
    <m/>
    <m/>
    <m/>
    <m/>
    <m/>
  </r>
  <r>
    <s v="O002707"/>
    <s v="JOHN EDER IBAÑEZ LARA_x000a_"/>
    <x v="4"/>
    <x v="13"/>
    <s v="BBVA Seguros"/>
    <e v="#NAME?"/>
    <x v="100"/>
    <n v="1"/>
    <s v="Desarrollador"/>
    <s v="Distribuido"/>
    <s v="LÍDER TÉCNICO"/>
    <e v="#NAME?"/>
    <e v="#NAME?"/>
    <e v="#NAME?"/>
    <m/>
    <m/>
    <m/>
    <m/>
    <m/>
  </r>
  <r>
    <s v="O004417"/>
    <s v="JULIAN CHAPARRO LATORRE"/>
    <x v="4"/>
    <x v="13"/>
    <s v="BBVA Seguros"/>
    <e v="#NAME?"/>
    <x v="100"/>
    <n v="1"/>
    <s v="Desarrollador"/>
    <s v="Distribuido"/>
    <m/>
    <e v="#NAME?"/>
    <e v="#NAME?"/>
    <e v="#NAME?"/>
    <m/>
    <m/>
    <m/>
    <m/>
    <m/>
  </r>
  <r>
    <s v="CE48733"/>
    <s v="NELSON AUGUSTO SANABRIA ORTEGA"/>
    <x v="4"/>
    <x v="13"/>
    <s v="JARZSOFT"/>
    <e v="#NAME?"/>
    <x v="100"/>
    <n v="1"/>
    <s v="Desarrollador"/>
    <s v="Distribuido"/>
    <m/>
    <e v="#NAME?"/>
    <e v="#NAME?"/>
    <e v="#NAME?"/>
    <m/>
    <m/>
    <m/>
    <m/>
    <m/>
  </r>
  <r>
    <s v="CE65494"/>
    <s v="OSCAR FABIAN PEDRAZA MONROY"/>
    <x v="4"/>
    <x v="13"/>
    <s v="Inetum"/>
    <e v="#NAME?"/>
    <x v="100"/>
    <n v="1"/>
    <s v="Desarrollador"/>
    <s v="Distribuido"/>
    <m/>
    <e v="#NAME?"/>
    <e v="#NAME?"/>
    <e v="#NAME?"/>
    <m/>
    <m/>
    <m/>
    <m/>
    <m/>
  </r>
  <r>
    <s v="CE59730"/>
    <s v="JOSE AGUSTIN RODRIGUEZ ZORRO"/>
    <x v="4"/>
    <x v="13"/>
    <s v="JARZSOFT"/>
    <e v="#NAME?"/>
    <x v="100"/>
    <n v="1"/>
    <s v="Tech Manager/Líder"/>
    <s v="Distribuido"/>
    <m/>
    <e v="#NAME?"/>
    <e v="#NAME?"/>
    <e v="#NAME?"/>
    <m/>
    <m/>
    <m/>
    <m/>
    <m/>
  </r>
  <r>
    <s v="CV25059"/>
    <s v="CREYCCE JOHANA HINCAPIE RODRIGUEZ"/>
    <x v="4"/>
    <x v="13"/>
    <s v="BBVA Seguros"/>
    <e v="#NAME?"/>
    <x v="104"/>
    <n v="1"/>
    <s v="Desarrollador"/>
    <s v="Distribuido"/>
    <s v="LÍDER TÉCNICO"/>
    <e v="#NAME?"/>
    <e v="#NAME?"/>
    <e v="#NAME?"/>
    <m/>
    <m/>
    <m/>
    <m/>
    <m/>
  </r>
  <r>
    <s v="CV25087"/>
    <s v="CRISTIAN ANDRES SIERRA ESPINEL"/>
    <x v="4"/>
    <x v="13"/>
    <s v="BBVA Seguros"/>
    <e v="#NAME?"/>
    <x v="105"/>
    <n v="1"/>
    <s v="Desarrollador"/>
    <s v="Distribuido"/>
    <s v="LÍDER TÉCNICO"/>
    <e v="#NAME?"/>
    <e v="#NAME?"/>
    <e v="#NAME?"/>
    <m/>
    <m/>
    <m/>
    <m/>
    <m/>
  </r>
  <r>
    <s v="CV25064"/>
    <s v="MARY LUZ RUALES GUZMAN"/>
    <x v="4"/>
    <x v="13"/>
    <s v="BBVA Seguros"/>
    <e v="#NAME?"/>
    <x v="106"/>
    <n v="0.75"/>
    <s v="Desarrollador"/>
    <s v="Distribuido"/>
    <s v="LÍDER TÉCNICO"/>
    <e v="#NAME?"/>
    <e v="#NAME?"/>
    <e v="#NAME?"/>
    <m/>
    <m/>
    <m/>
    <m/>
    <m/>
  </r>
  <r>
    <s v="CV25064"/>
    <s v="MARY LUZ RUALES GUZMAN"/>
    <x v="4"/>
    <x v="13"/>
    <s v="BBVA Seguros"/>
    <e v="#NAME?"/>
    <x v="3"/>
    <n v="0.25"/>
    <s v="Desarrollador"/>
    <s v="Distribuido"/>
    <s v="LÍDER TÉCNICO"/>
    <e v="#NAME?"/>
    <e v="#NAME?"/>
    <e v="#NAME?"/>
    <m/>
    <m/>
    <m/>
    <m/>
    <m/>
  </r>
  <r>
    <s v="O003561"/>
    <s v="JOSE MIGUEL PORTILLO ROJAS"/>
    <x v="4"/>
    <x v="13"/>
    <s v="BBVA Seguros"/>
    <e v="#NAME?"/>
    <x v="3"/>
    <n v="1"/>
    <s v="Desarrollador"/>
    <s v="Distribuido"/>
    <s v="LÍDER TÉCNICO"/>
    <e v="#NAME?"/>
    <e v="#NAME?"/>
    <e v="#NAME?"/>
    <m/>
    <m/>
    <m/>
    <m/>
    <m/>
  </r>
  <r>
    <s v="CE48448"/>
    <s v="MICHAEL CECILIO SODIR REVETE"/>
    <x v="4"/>
    <x v="13"/>
    <s v="Inetum"/>
    <e v="#NAME?"/>
    <x v="102"/>
    <n v="0.5"/>
    <s v="Desarrollador"/>
    <s v="Distribuido"/>
    <s v="LÍDER TÉCNICO"/>
    <e v="#NAME?"/>
    <e v="#NAME?"/>
    <e v="#NAME?"/>
    <m/>
    <m/>
    <m/>
    <m/>
    <m/>
  </r>
  <r>
    <s v="CE48448"/>
    <s v="MICHAEL CECILIO SODIR REVETE"/>
    <x v="4"/>
    <x v="13"/>
    <s v="Inetum"/>
    <e v="#NAME?"/>
    <x v="107"/>
    <n v="0.5"/>
    <s v="Desarrollador"/>
    <s v="Distribuido"/>
    <s v="LÍDER TÉCNICO"/>
    <e v="#NAME?"/>
    <e v="#NAME?"/>
    <e v="#NAME?"/>
    <m/>
    <m/>
    <m/>
    <m/>
    <m/>
  </r>
  <r>
    <s v="CV24903"/>
    <s v="CARLOS ANDRES MORA MUÑOZ"/>
    <x v="4"/>
    <x v="13"/>
    <s v="BBVA Seguros"/>
    <e v="#NAME?"/>
    <x v="102"/>
    <n v="0.25"/>
    <s v="Tech Manager/Líder"/>
    <s v="Distribuido"/>
    <m/>
    <e v="#NAME?"/>
    <e v="#NAME?"/>
    <e v="#NAME?"/>
    <m/>
    <m/>
    <m/>
    <m/>
    <m/>
  </r>
  <r>
    <s v="CV24903"/>
    <s v="CARLOS ANDRES MORA MUÑOZ"/>
    <x v="4"/>
    <x v="13"/>
    <s v="BBVA Seguros"/>
    <e v="#NAME?"/>
    <x v="3"/>
    <n v="0.25"/>
    <s v="Tech Manager/Líder"/>
    <s v="Distribuido"/>
    <m/>
    <e v="#NAME?"/>
    <e v="#NAME?"/>
    <e v="#NAME?"/>
    <m/>
    <m/>
    <m/>
    <m/>
    <m/>
  </r>
  <r>
    <s v="CV24903"/>
    <s v="CARLOS ANDRES MORA MUÑOZ"/>
    <x v="4"/>
    <x v="13"/>
    <s v="BBVA Seguros"/>
    <e v="#NAME?"/>
    <x v="104"/>
    <n v="0.5"/>
    <s v="Tech Manager/Líder"/>
    <s v="Distribuido"/>
    <m/>
    <e v="#NAME?"/>
    <e v="#NAME?"/>
    <e v="#NAME?"/>
    <m/>
    <m/>
    <m/>
    <m/>
    <m/>
  </r>
  <r>
    <s v="CE44928"/>
    <s v="DESIREE JOSELYN MARQUEZ DIAZ"/>
    <x v="4"/>
    <x v="13"/>
    <s v="VASS"/>
    <e v="#NAME?"/>
    <x v="106"/>
    <n v="0.5"/>
    <s v="Desarrollador"/>
    <s v="Distribuido"/>
    <s v="LÍDER TÉCNICO"/>
    <e v="#NAME?"/>
    <e v="#NAME?"/>
    <e v="#NAME?"/>
    <m/>
    <m/>
    <m/>
    <m/>
    <m/>
  </r>
  <r>
    <s v="CE44928"/>
    <s v="DESIREE JOSELYN MARQUEZ DIAZ"/>
    <x v="4"/>
    <x v="13"/>
    <s v="VASS"/>
    <e v="#NAME?"/>
    <x v="108"/>
    <n v="0.5"/>
    <s v="Desarrollador"/>
    <s v="Distribuido"/>
    <s v="LÍDER TÉCNICO"/>
    <e v="#NAME?"/>
    <e v="#NAME?"/>
    <e v="#NAME?"/>
    <m/>
    <m/>
    <m/>
    <m/>
    <m/>
  </r>
  <r>
    <s v="CV25067"/>
    <s v="FRANCINE NARVAEZ LONDOÑO"/>
    <x v="4"/>
    <x v="13"/>
    <s v="BBVA Seguros"/>
    <e v="#NAME?"/>
    <x v="102"/>
    <n v="0.75"/>
    <s v="Desarrollador"/>
    <s v="Distribuido"/>
    <s v="LÍDER TÉCNICO"/>
    <e v="#NAME?"/>
    <e v="#NAME?"/>
    <e v="#NAME?"/>
    <m/>
    <m/>
    <m/>
    <m/>
    <m/>
  </r>
  <r>
    <s v="CV25067"/>
    <s v="FRANCINE NARVAEZ LONDOÑO"/>
    <x v="4"/>
    <x v="13"/>
    <s v="BBVA Seguros"/>
    <e v="#NAME?"/>
    <x v="3"/>
    <n v="0.25"/>
    <s v="Desarrollador"/>
    <s v="Distribuido"/>
    <s v="LÍDER TÉCNICO"/>
    <e v="#NAME?"/>
    <e v="#NAME?"/>
    <e v="#NAME?"/>
    <m/>
    <m/>
    <m/>
    <m/>
    <m/>
  </r>
  <r>
    <s v="CV25084"/>
    <s v="JEISON IVAN GAMBA HASTAMORIR"/>
    <x v="4"/>
    <x v="13"/>
    <s v="BBVA Seguros"/>
    <e v="#NAME?"/>
    <x v="108"/>
    <n v="1"/>
    <s v="Desarrollador"/>
    <s v="Distribuido"/>
    <s v="LÍDER TÉCNICO"/>
    <e v="#NAME?"/>
    <e v="#NAME?"/>
    <e v="#NAME?"/>
    <m/>
    <m/>
    <m/>
    <m/>
    <m/>
  </r>
  <r>
    <s v="CV25093"/>
    <s v="NANCY ESTEFANIA CASAS PERDOMO"/>
    <x v="4"/>
    <x v="13"/>
    <s v="BBVA Seguros"/>
    <e v="#NAME?"/>
    <x v="3"/>
    <n v="0.75"/>
    <s v="Desarrollador"/>
    <s v="Distribuido"/>
    <s v="LÍDER TÉCNICO"/>
    <e v="#NAME?"/>
    <e v="#NAME?"/>
    <e v="#NAME?"/>
    <m/>
    <m/>
    <m/>
    <m/>
    <m/>
  </r>
  <r>
    <s v="CV25093"/>
    <s v="NANCY ESTEFANIA CASAS PERDOMO"/>
    <x v="4"/>
    <x v="13"/>
    <s v="BBVA Seguros"/>
    <e v="#NAME?"/>
    <x v="106"/>
    <n v="0.25"/>
    <s v="Desarrollador"/>
    <s v="Distribuido"/>
    <s v="LÍDER TÉCNICO"/>
    <e v="#NAME?"/>
    <e v="#NAME?"/>
    <e v="#NAME?"/>
    <m/>
    <m/>
    <m/>
    <m/>
    <m/>
  </r>
  <r>
    <s v="CV25074"/>
    <s v="JOHAN SEBASTIAN DUEÑAS ARTUNDUAGA_x000a_"/>
    <x v="4"/>
    <x v="13"/>
    <s v="BBVA Seguros"/>
    <e v="#NAME?"/>
    <x v="102"/>
    <n v="1"/>
    <s v="Desarrollador"/>
    <s v="Distribuido"/>
    <m/>
    <e v="#NAME?"/>
    <e v="#NAME?"/>
    <e v="#NAME?"/>
    <m/>
    <m/>
    <m/>
    <m/>
    <m/>
  </r>
  <r>
    <s v="CV25001"/>
    <s v="ELKIN FERNANDO BURBANO CORAL"/>
    <x v="4"/>
    <x v="13"/>
    <s v="BBVA Seguros"/>
    <e v="#NAME?"/>
    <x v="109"/>
    <n v="0.75"/>
    <s v="Tech Manager/Líder"/>
    <s v="Distribuido"/>
    <m/>
    <e v="#NAME?"/>
    <e v="#NAME?"/>
    <e v="#NAME?"/>
    <m/>
    <m/>
    <m/>
    <m/>
    <m/>
  </r>
  <r>
    <s v="CV25001"/>
    <s v="ELKIN FERNANDO BURBANO CORAL"/>
    <x v="4"/>
    <x v="13"/>
    <s v="BBVA Seguros"/>
    <e v="#NAME?"/>
    <x v="102"/>
    <n v="0.25"/>
    <s v="Tech Manager/Líder"/>
    <s v="Distribuido"/>
    <m/>
    <e v="#NAME?"/>
    <e v="#NAME?"/>
    <e v="#NAME?"/>
    <m/>
    <m/>
    <m/>
    <m/>
    <m/>
  </r>
  <r>
    <s v="CE66586"/>
    <s v="DANEY FELIPE MIRANDA MIRANDA"/>
    <x v="4"/>
    <x v="13"/>
    <s v="Inetum"/>
    <e v="#NAME?"/>
    <x v="96"/>
    <n v="1"/>
    <s v="QA"/>
    <s v="Otras Tec."/>
    <s v="Altamira"/>
    <e v="#NAME?"/>
    <e v="#NAME?"/>
    <e v="#NAME?"/>
    <m/>
    <m/>
    <m/>
    <m/>
    <m/>
  </r>
  <r>
    <s v="T005668"/>
    <s v="ERICK SANTIAGO GUERRERO ROMERO"/>
    <x v="4"/>
    <x v="13"/>
    <s v="Inetum"/>
    <e v="#NAME?"/>
    <x v="96"/>
    <n v="1"/>
    <s v="QA"/>
    <m/>
    <s v="Altamira"/>
    <e v="#NAME?"/>
    <e v="#NAME?"/>
    <e v="#NAME?"/>
    <m/>
    <m/>
    <m/>
    <m/>
    <m/>
  </r>
  <r>
    <s v="CE48941"/>
    <s v="CRISTHIAN ARMANDO DUEÑAS"/>
    <x v="4"/>
    <x v="13"/>
    <s v="Inetum"/>
    <e v="#NAME?"/>
    <x v="3"/>
    <n v="1"/>
    <s v="QA"/>
    <s v="Distribuido"/>
    <m/>
    <e v="#NAME?"/>
    <e v="#NAME?"/>
    <e v="#NAME?"/>
    <m/>
    <m/>
    <m/>
    <m/>
    <m/>
  </r>
  <r>
    <s v="CE50178"/>
    <s v="PABLO ENRIQUE CALDERON DIAZ"/>
    <x v="4"/>
    <x v="13"/>
    <s v="Inetum"/>
    <e v="#NAME?"/>
    <x v="3"/>
    <n v="1"/>
    <s v="Otros"/>
    <m/>
    <s v="Técnico Despliegues Seguros / Altamira"/>
    <e v="#NAME?"/>
    <e v="#NAME?"/>
    <e v="#NAME?"/>
    <m/>
    <m/>
    <m/>
    <m/>
    <m/>
  </r>
  <r>
    <s v="CE69705"/>
    <s v="MIGUEL FAJARDO"/>
    <x v="4"/>
    <x v="13"/>
    <s v="Inetum"/>
    <e v="#NAME?"/>
    <x v="106"/>
    <n v="1"/>
    <s v="QA"/>
    <s v="Distribuido"/>
    <m/>
    <e v="#NAME?"/>
    <e v="#NAME?"/>
    <e v="#NAME?"/>
    <m/>
    <m/>
    <m/>
    <m/>
    <m/>
  </r>
  <r>
    <s v="CE53945"/>
    <s v="GIOVANNI ALONSO PENARETE BUITRAGO"/>
    <x v="4"/>
    <x v="13"/>
    <s v="Inetum"/>
    <e v="#NAME?"/>
    <x v="96"/>
    <n v="1"/>
    <s v="QA"/>
    <m/>
    <s v="Altamira"/>
    <e v="#NAME?"/>
    <e v="#NAME?"/>
    <e v="#NAME?"/>
    <m/>
    <m/>
    <m/>
    <m/>
    <m/>
  </r>
  <r>
    <s v="T008565"/>
    <s v="HENRY FABIAN ROJAS GALLEGO"/>
    <x v="4"/>
    <x v="13"/>
    <s v="Inetum"/>
    <e v="#NAME?"/>
    <x v="96"/>
    <n v="1"/>
    <s v="QA"/>
    <m/>
    <s v="Altamira"/>
    <e v="#NAME?"/>
    <e v="#NAME?"/>
    <e v="#NAME?"/>
    <m/>
    <m/>
    <m/>
    <m/>
    <m/>
  </r>
  <r>
    <s v="T009692"/>
    <s v="SEBASTIAN FELIPE ROJAS"/>
    <x v="4"/>
    <x v="13"/>
    <s v="Inetum"/>
    <e v="#NAME?"/>
    <x v="3"/>
    <n v="1"/>
    <s v="Otros"/>
    <m/>
    <s v="Técnico Despliegues Seguros / Altamira"/>
    <e v="#NAME?"/>
    <e v="#NAME?"/>
    <e v="#NAME?"/>
    <m/>
    <m/>
    <m/>
    <m/>
    <m/>
  </r>
  <r>
    <s v="CE42004"/>
    <s v="CLARENA VALENCIA CALDERON"/>
    <x v="4"/>
    <x v="13"/>
    <s v="Inetum"/>
    <e v="#NAME?"/>
    <x v="96"/>
    <n v="1"/>
    <s v="QA"/>
    <m/>
    <s v="Altamira"/>
    <e v="#NAME?"/>
    <e v="#NAME?"/>
    <e v="#NAME?"/>
    <m/>
    <m/>
    <m/>
    <m/>
    <m/>
  </r>
  <r>
    <n v="1032450219"/>
    <s v="JULIAN LEANDRO CASTRO"/>
    <x v="4"/>
    <x v="13"/>
    <s v="Inetum"/>
    <e v="#NAME?"/>
    <x v="99"/>
    <n v="1"/>
    <s v="QA"/>
    <m/>
    <s v="Altamira"/>
    <e v="#NAME?"/>
    <e v="#NAME?"/>
    <e v="#NAME?"/>
    <m/>
    <m/>
    <m/>
    <m/>
    <m/>
  </r>
  <r>
    <s v="CE65204"/>
    <s v="KATHERINE GALINDO VARGAS"/>
    <x v="4"/>
    <x v="13"/>
    <s v="GGI / CMC"/>
    <e v="#NAME?"/>
    <x v="110"/>
    <n v="1"/>
    <s v="QA"/>
    <s v="Distribuido"/>
    <m/>
    <e v="#NAME?"/>
    <e v="#NAME?"/>
    <e v="#NAME?"/>
    <m/>
    <m/>
    <m/>
    <m/>
    <m/>
  </r>
  <r>
    <s v="CE65203"/>
    <s v="NATALIA ALEJANDRA GRAJALES CARDONA"/>
    <x v="4"/>
    <x v="13"/>
    <s v="GGI / CMC"/>
    <e v="#NAME?"/>
    <x v="96"/>
    <n v="1"/>
    <s v="QA"/>
    <s v="Distribuido"/>
    <m/>
    <e v="#NAME?"/>
    <e v="#NAME?"/>
    <e v="#NAME?"/>
    <m/>
    <m/>
    <m/>
    <m/>
    <m/>
  </r>
  <r>
    <s v="CE53475"/>
    <s v="ANDREA MARCELA RODRIGUEZ A"/>
    <x v="4"/>
    <x v="13"/>
    <s v="GGI / CMC"/>
    <e v="#NAME?"/>
    <x v="3"/>
    <n v="1"/>
    <s v="QA"/>
    <m/>
    <s v="Altamira"/>
    <e v="#NAME?"/>
    <e v="#NAME?"/>
    <e v="#NAME?"/>
    <m/>
    <m/>
    <m/>
    <m/>
    <m/>
  </r>
  <r>
    <s v="CE60737"/>
    <s v="JAIRO JUNIOR HERNANDEZ TRILLOS"/>
    <x v="4"/>
    <x v="13"/>
    <s v="GGI / CMC"/>
    <e v="#NAME?"/>
    <x v="109"/>
    <n v="1"/>
    <s v="QA"/>
    <s v="Distribuido"/>
    <m/>
    <e v="#NAME?"/>
    <e v="#NAME?"/>
    <e v="#NAME?"/>
    <m/>
    <m/>
    <m/>
    <m/>
    <m/>
  </r>
  <r>
    <s v="CE37757"/>
    <s v="ENOIDES MEJIA"/>
    <x v="4"/>
    <x v="13"/>
    <s v="GGI / CMC"/>
    <e v="#NAME?"/>
    <x v="3"/>
    <n v="1"/>
    <s v="Otros"/>
    <s v="Distribuido"/>
    <s v="Técnico Despliegues Seguros - Distribuido"/>
    <e v="#NAME?"/>
    <e v="#NAME?"/>
    <e v="#NAME?"/>
    <m/>
    <m/>
    <m/>
    <m/>
    <m/>
  </r>
  <r>
    <s v="CE69797"/>
    <s v="MARIA ALEJANDRA ZUÑIGA"/>
    <x v="4"/>
    <x v="13"/>
    <s v="Choucair"/>
    <e v="#NAME?"/>
    <x v="3"/>
    <n v="1"/>
    <s v="QA"/>
    <m/>
    <s v="Altamira"/>
    <e v="#NAME?"/>
    <e v="#NAME?"/>
    <e v="#NAME?"/>
    <m/>
    <m/>
    <m/>
    <m/>
    <m/>
  </r>
  <r>
    <s v="CE66582"/>
    <s v="ANDREA CATERIN MUNOZ ACOSTA"/>
    <x v="4"/>
    <x v="13"/>
    <s v="KRYPTO"/>
    <e v="#NAME?"/>
    <x v="96"/>
    <n v="1"/>
    <s v="QA"/>
    <m/>
    <s v="Altamira"/>
    <e v="#NAME?"/>
    <e v="#NAME?"/>
    <e v="#NAME?"/>
    <m/>
    <m/>
    <m/>
    <m/>
    <m/>
  </r>
  <r>
    <s v="CE55951"/>
    <s v="TANIA YULIETH PUENTES REAL"/>
    <x v="4"/>
    <x v="13"/>
    <s v="KRYPTO"/>
    <e v="#NAME?"/>
    <x v="96"/>
    <n v="1"/>
    <s v="QA"/>
    <m/>
    <s v="Altamira"/>
    <e v="#NAME?"/>
    <e v="#NAME?"/>
    <e v="#NAME?"/>
    <m/>
    <m/>
    <m/>
    <m/>
    <m/>
  </r>
  <r>
    <s v="CE50906"/>
    <s v="EDGAR DANIEL CASTRO MUNOZ"/>
    <x v="4"/>
    <x v="13"/>
    <s v="KRYPTO"/>
    <e v="#NAME?"/>
    <x v="99"/>
    <n v="1"/>
    <s v="QA"/>
    <m/>
    <s v="Altamira"/>
    <e v="#NAME?"/>
    <e v="#NAME?"/>
    <e v="#NAME?"/>
    <m/>
    <m/>
    <m/>
    <m/>
    <m/>
  </r>
  <r>
    <s v="CE34436"/>
    <s v="BERTHA GRACIELA LOPEZ RODRIGUEZ"/>
    <x v="4"/>
    <x v="13"/>
    <s v="VASS"/>
    <e v="#NAME?"/>
    <x v="106"/>
    <n v="1"/>
    <s v="QA"/>
    <s v="Distribuido"/>
    <m/>
    <e v="#NAME?"/>
    <e v="#NAME?"/>
    <e v="#NAME?"/>
    <m/>
    <m/>
    <m/>
    <m/>
    <m/>
  </r>
  <r>
    <s v="CE68707"/>
    <s v="MIGUEL LEÓN"/>
    <x v="4"/>
    <x v="13"/>
    <s v="JARZSOFT"/>
    <e v="#NAME?"/>
    <x v="106"/>
    <n v="1"/>
    <s v="QA"/>
    <s v="Distribuido"/>
    <m/>
    <e v="#NAME?"/>
    <e v="#NAME?"/>
    <e v="#NAME?"/>
    <m/>
    <m/>
    <m/>
    <m/>
    <m/>
  </r>
  <r>
    <s v="CV68710"/>
    <s v="JOHN FREDY MUNOZ MARTINEZ"/>
    <x v="4"/>
    <x v="13"/>
    <s v="SII"/>
    <e v="#NAME?"/>
    <x v="107"/>
    <n v="1"/>
    <s v="QA"/>
    <s v="Distribuido"/>
    <m/>
    <e v="#NAME?"/>
    <e v="#NAME?"/>
    <e v="#NAME?"/>
    <m/>
    <m/>
    <m/>
    <m/>
    <m/>
  </r>
  <r>
    <s v="CV24905"/>
    <s v="ADRIANA IBARRA"/>
    <x v="4"/>
    <x v="13"/>
    <s v="BBVA Seguros"/>
    <e v="#NAME?"/>
    <x v="96"/>
    <n v="0.33"/>
    <s v="QA"/>
    <m/>
    <s v="QC"/>
    <e v="#NAME?"/>
    <e v="#NAME?"/>
    <e v="#NAME?"/>
    <m/>
    <m/>
    <m/>
    <m/>
    <m/>
  </r>
  <r>
    <s v="CV24905"/>
    <s v="ADRIANA IBARRA"/>
    <x v="4"/>
    <x v="13"/>
    <s v="BBVA Seguros"/>
    <e v="#NAME?"/>
    <x v="97"/>
    <n v="0.33"/>
    <s v="QA"/>
    <m/>
    <s v="QC"/>
    <e v="#NAME?"/>
    <e v="#NAME?"/>
    <e v="#NAME?"/>
    <m/>
    <m/>
    <m/>
    <m/>
    <m/>
  </r>
  <r>
    <s v="CV24905"/>
    <s v="ADRIANA IBARRA"/>
    <x v="4"/>
    <x v="13"/>
    <s v="BBVA Seguros"/>
    <e v="#NAME?"/>
    <x v="106"/>
    <n v="0.34"/>
    <s v="QA"/>
    <m/>
    <s v="QC"/>
    <e v="#NAME?"/>
    <e v="#NAME?"/>
    <e v="#NAME?"/>
    <m/>
    <m/>
    <m/>
    <m/>
    <m/>
  </r>
  <r>
    <s v="O003129"/>
    <s v="DIEGO ARIEL RODRIGUEZ"/>
    <x v="4"/>
    <x v="13"/>
    <s v="BBVA Seguros"/>
    <e v="#NAME?"/>
    <x v="107"/>
    <n v="0.5"/>
    <s v="Otros"/>
    <m/>
    <m/>
    <e v="#NAME?"/>
    <e v="#NAME?"/>
    <e v="#NAME?"/>
    <m/>
    <m/>
    <m/>
    <m/>
    <m/>
  </r>
  <r>
    <s v="O003129"/>
    <s v="DIEGO ARIEL RODRIGUEZ"/>
    <x v="4"/>
    <x v="13"/>
    <s v="BBVA Seguros"/>
    <e v="#NAME?"/>
    <x v="3"/>
    <n v="0.5"/>
    <s v="Otros"/>
    <m/>
    <m/>
    <e v="#NAME?"/>
    <e v="#NAME?"/>
    <e v="#NAME?"/>
    <m/>
    <m/>
    <m/>
    <m/>
    <m/>
  </r>
  <r>
    <s v="T003707"/>
    <s v="Andres Camilo Ruiz Bravo"/>
    <x v="2"/>
    <x v="8"/>
    <s v="Neoris"/>
    <e v="#NAME?"/>
    <x v="111"/>
    <n v="0.25"/>
    <s v="Desarrollador"/>
    <m/>
    <s v="Externo"/>
    <e v="#NAME?"/>
    <e v="#NAME?"/>
    <e v="#NAME?"/>
    <m/>
    <m/>
    <m/>
    <m/>
    <m/>
  </r>
  <r>
    <s v="T003707"/>
    <s v="Andres Camilo Ruiz Bravo"/>
    <x v="2"/>
    <x v="8"/>
    <s v="Neoris"/>
    <e v="#NAME?"/>
    <x v="87"/>
    <n v="0.1"/>
    <s v="Desarrollador"/>
    <m/>
    <s v="Externo"/>
    <e v="#NAME?"/>
    <e v="#NAME?"/>
    <e v="#NAME?"/>
    <m/>
    <m/>
    <m/>
    <m/>
    <m/>
  </r>
  <r>
    <s v="T003707"/>
    <s v="Andres Camilo Ruiz Bravo"/>
    <x v="2"/>
    <x v="8"/>
    <s v="Neoris"/>
    <e v="#NAME?"/>
    <x v="112"/>
    <n v="0.45"/>
    <s v="Desarrollador"/>
    <m/>
    <s v="Externo"/>
    <e v="#NAME?"/>
    <e v="#NAME?"/>
    <e v="#NAME?"/>
    <m/>
    <m/>
    <m/>
    <m/>
    <m/>
  </r>
  <r>
    <s v="T003707"/>
    <s v="Andres Camilo Ruiz Bravo"/>
    <x v="2"/>
    <x v="8"/>
    <s v="Neoris"/>
    <e v="#NAME?"/>
    <x v="113"/>
    <n v="0.2"/>
    <s v="Desarrollador"/>
    <m/>
    <s v="Externo"/>
    <e v="#NAME?"/>
    <e v="#NAME?"/>
    <e v="#NAME?"/>
    <m/>
    <m/>
    <m/>
    <m/>
    <m/>
  </r>
  <r>
    <s v="CE54569"/>
    <s v="Danilo Cusba Pulido"/>
    <x v="2"/>
    <x v="8"/>
    <s v="Choucair"/>
    <e v="#NAME?"/>
    <x v="87"/>
    <n v="0.45"/>
    <s v="QA"/>
    <m/>
    <s v="Externo"/>
    <e v="#NAME?"/>
    <e v="#NAME?"/>
    <e v="#NAME?"/>
    <m/>
    <m/>
    <m/>
    <m/>
    <m/>
  </r>
  <r>
    <s v="CE54569"/>
    <s v="Danilo Cusba Pulido"/>
    <x v="2"/>
    <x v="8"/>
    <s v="Choucair"/>
    <e v="#NAME?"/>
    <x v="112"/>
    <n v="0.3"/>
    <s v="QA"/>
    <m/>
    <s v="Externo"/>
    <e v="#NAME?"/>
    <e v="#NAME?"/>
    <e v="#NAME?"/>
    <m/>
    <m/>
    <m/>
    <m/>
    <m/>
  </r>
  <r>
    <s v="CE54569"/>
    <s v="Danilo Cusba Pulido"/>
    <x v="2"/>
    <x v="8"/>
    <s v="Choucair"/>
    <e v="#NAME?"/>
    <x v="114"/>
    <n v="0.15"/>
    <s v="QA"/>
    <m/>
    <s v="Externo"/>
    <e v="#NAME?"/>
    <e v="#NAME?"/>
    <e v="#NAME?"/>
    <m/>
    <m/>
    <m/>
    <m/>
    <m/>
  </r>
  <r>
    <s v="CE54569"/>
    <s v="Danilo Cusba Pulido"/>
    <x v="2"/>
    <x v="8"/>
    <s v="Choucair"/>
    <e v="#NAME?"/>
    <x v="113"/>
    <n v="0.1"/>
    <s v="QA"/>
    <m/>
    <s v="Externo"/>
    <e v="#NAME?"/>
    <e v="#NAME?"/>
    <e v="#NAME?"/>
    <m/>
    <m/>
    <m/>
    <m/>
    <m/>
  </r>
  <r>
    <s v="T003442"/>
    <s v="DIDIER ALFREDO PASUY CASTANO"/>
    <x v="2"/>
    <x v="8"/>
    <s v="Neoris"/>
    <e v="#NAME?"/>
    <x v="112"/>
    <n v="0.25"/>
    <s v="Desarrollador"/>
    <m/>
    <s v="Externo"/>
    <e v="#NAME?"/>
    <e v="#NAME?"/>
    <e v="#NAME?"/>
    <m/>
    <m/>
    <m/>
    <m/>
    <m/>
  </r>
  <r>
    <s v="T003442"/>
    <s v="DIDIER ALFREDO PASUY CASTANO"/>
    <x v="2"/>
    <x v="8"/>
    <s v="Neoris"/>
    <e v="#NAME?"/>
    <x v="113"/>
    <n v="0.25"/>
    <s v="Desarrollador"/>
    <m/>
    <s v="Externo"/>
    <e v="#NAME?"/>
    <e v="#NAME?"/>
    <e v="#NAME?"/>
    <m/>
    <m/>
    <m/>
    <m/>
    <m/>
  </r>
  <r>
    <s v="T003442"/>
    <s v="DIDIER ALFREDO PASUY CASTANO"/>
    <x v="2"/>
    <x v="8"/>
    <s v="Neoris"/>
    <e v="#NAME?"/>
    <x v="111"/>
    <n v="0.25"/>
    <s v="Desarrollador"/>
    <m/>
    <s v="Externo"/>
    <e v="#NAME?"/>
    <e v="#NAME?"/>
    <e v="#NAME?"/>
    <m/>
    <m/>
    <m/>
    <m/>
    <m/>
  </r>
  <r>
    <s v="T003442"/>
    <s v="DIDIER ALFREDO PASUY CASTANO"/>
    <x v="2"/>
    <x v="8"/>
    <s v="Neoris"/>
    <e v="#NAME?"/>
    <x v="111"/>
    <n v="0.25"/>
    <s v="Desarrollador"/>
    <m/>
    <s v="Externo"/>
    <e v="#NAME?"/>
    <e v="#NAME?"/>
    <e v="#NAME?"/>
    <m/>
    <m/>
    <m/>
    <m/>
    <m/>
  </r>
  <r>
    <s v="C804037"/>
    <s v="Eddy Hernando Bogota Cangrejo"/>
    <x v="2"/>
    <x v="8"/>
    <s v="BBVA"/>
    <e v="#NAME?"/>
    <x v="113"/>
    <n v="0.25"/>
    <s v="Tech Manager/Líder"/>
    <m/>
    <s v="Interno"/>
    <e v="#NAME?"/>
    <e v="#NAME?"/>
    <e v="#NAME?"/>
    <m/>
    <m/>
    <m/>
    <m/>
    <m/>
  </r>
  <r>
    <s v="C804037"/>
    <s v="Eddy Hernando Bogota Cangrejo"/>
    <x v="2"/>
    <x v="8"/>
    <s v="BBVA"/>
    <e v="#NAME?"/>
    <x v="114"/>
    <n v="0.2"/>
    <s v="Tech Manager/Líder"/>
    <m/>
    <s v="Interno"/>
    <e v="#NAME?"/>
    <e v="#NAME?"/>
    <e v="#NAME?"/>
    <m/>
    <m/>
    <m/>
    <m/>
    <m/>
  </r>
  <r>
    <s v="C804037"/>
    <s v="Eddy Hernando Bogota Cangrejo"/>
    <x v="2"/>
    <x v="8"/>
    <s v="BBVA"/>
    <e v="#NAME?"/>
    <x v="111"/>
    <n v="0.2"/>
    <s v="Tech Manager/Líder"/>
    <m/>
    <s v="Interno"/>
    <e v="#NAME?"/>
    <e v="#NAME?"/>
    <e v="#NAME?"/>
    <m/>
    <m/>
    <m/>
    <m/>
    <m/>
  </r>
  <r>
    <s v="C804037"/>
    <s v="Eddy Hernando Bogota Cangrejo"/>
    <x v="2"/>
    <x v="8"/>
    <s v="BBVA"/>
    <e v="#NAME?"/>
    <x v="112"/>
    <n v="0.2"/>
    <s v="Tech Manager/Líder"/>
    <m/>
    <s v="Interno"/>
    <e v="#NAME?"/>
    <e v="#NAME?"/>
    <e v="#NAME?"/>
    <m/>
    <m/>
    <m/>
    <m/>
    <m/>
  </r>
  <r>
    <s v="C804037"/>
    <s v="Eddy Hernando Bogota Cangrejo"/>
    <x v="2"/>
    <x v="8"/>
    <s v="BBVA"/>
    <e v="#NAME?"/>
    <x v="3"/>
    <n v="0.15"/>
    <s v="Tech Manager/Líder"/>
    <m/>
    <s v="Interno"/>
    <e v="#NAME?"/>
    <e v="#NAME?"/>
    <e v="#NAME?"/>
    <m/>
    <m/>
    <m/>
    <m/>
    <m/>
  </r>
  <r>
    <s v="C805749"/>
    <s v="Espitia Montilla William Ricardo"/>
    <x v="2"/>
    <x v="8"/>
    <s v="BBVA"/>
    <e v="#NAME?"/>
    <x v="112"/>
    <n v="0.5"/>
    <s v="Desarrollador"/>
    <m/>
    <s v="Interno"/>
    <e v="#NAME?"/>
    <e v="#NAME?"/>
    <e v="#NAME?"/>
    <m/>
    <m/>
    <m/>
    <m/>
    <m/>
  </r>
  <r>
    <s v="C805749"/>
    <s v="Espitia Montilla William Ricardo"/>
    <x v="2"/>
    <x v="8"/>
    <s v="BBVA"/>
    <e v="#NAME?"/>
    <x v="111"/>
    <n v="0.4"/>
    <s v="Desarrollador"/>
    <m/>
    <s v="Interno"/>
    <e v="#NAME?"/>
    <e v="#NAME?"/>
    <e v="#NAME?"/>
    <m/>
    <m/>
    <m/>
    <m/>
    <m/>
  </r>
  <r>
    <s v="C805749"/>
    <s v="Espitia Montilla William Ricardo"/>
    <x v="2"/>
    <x v="8"/>
    <s v="BBVA"/>
    <e v="#NAME?"/>
    <x v="113"/>
    <n v="0.1"/>
    <s v="Desarrollador"/>
    <m/>
    <s v="Interno"/>
    <e v="#NAME?"/>
    <e v="#NAME?"/>
    <e v="#NAME?"/>
    <m/>
    <m/>
    <m/>
    <m/>
    <m/>
  </r>
  <r>
    <s v="C809505"/>
    <s v="Fuentes Rojas Jose David"/>
    <x v="2"/>
    <x v="8"/>
    <s v="BBVA"/>
    <e v="#NAME?"/>
    <x v="112"/>
    <n v="0.35"/>
    <s v="Desarrollador"/>
    <m/>
    <s v="Interno"/>
    <e v="#NAME?"/>
    <e v="#NAME?"/>
    <e v="#NAME?"/>
    <m/>
    <m/>
    <m/>
    <m/>
    <m/>
  </r>
  <r>
    <s v="C809505"/>
    <s v="Fuentes Rojas Jose David"/>
    <x v="2"/>
    <x v="8"/>
    <s v="BBVA"/>
    <e v="#NAME?"/>
    <x v="113"/>
    <n v="0.3"/>
    <s v="Desarrollador"/>
    <m/>
    <s v="Interno"/>
    <e v="#NAME?"/>
    <e v="#NAME?"/>
    <e v="#NAME?"/>
    <m/>
    <m/>
    <m/>
    <m/>
    <m/>
  </r>
  <r>
    <s v="C809505"/>
    <s v="Fuentes Rojas Jose David"/>
    <x v="2"/>
    <x v="8"/>
    <s v="BBVA"/>
    <e v="#NAME?"/>
    <x v="111"/>
    <n v="0.35"/>
    <s v="Desarrollador"/>
    <m/>
    <s v="Interno"/>
    <e v="#NAME?"/>
    <e v="#NAME?"/>
    <e v="#NAME?"/>
    <m/>
    <m/>
    <m/>
    <m/>
    <m/>
  </r>
  <r>
    <s v="CE58926"/>
    <s v="HEYBER FERNANDO NINO GUANUME."/>
    <x v="2"/>
    <x v="8"/>
    <s v="Neoris"/>
    <e v="#NAME?"/>
    <x v="113"/>
    <n v="0.5"/>
    <s v="Desarrollador"/>
    <m/>
    <s v="Externo"/>
    <e v="#NAME?"/>
    <e v="#NAME?"/>
    <e v="#NAME?"/>
    <m/>
    <m/>
    <m/>
    <m/>
    <m/>
  </r>
  <r>
    <s v="CE58926"/>
    <s v="HEYBER FERNANDO NINO GUANUME."/>
    <x v="2"/>
    <x v="8"/>
    <s v="Neoris"/>
    <e v="#NAME?"/>
    <x v="113"/>
    <n v="0.5"/>
    <s v="Desarrollador"/>
    <m/>
    <s v="Externo"/>
    <e v="#NAME?"/>
    <e v="#NAME?"/>
    <e v="#NAME?"/>
    <m/>
    <m/>
    <m/>
    <m/>
    <m/>
  </r>
  <r>
    <s v="T002660"/>
    <s v="JUAN ALEJANDRO RIOS PEREZ"/>
    <x v="2"/>
    <x v="8"/>
    <s v="Choucair"/>
    <e v="#NAME?"/>
    <x v="112"/>
    <n v="0.3"/>
    <s v="QA"/>
    <m/>
    <s v="Externo"/>
    <e v="#NAME?"/>
    <e v="#NAME?"/>
    <e v="#NAME?"/>
    <m/>
    <m/>
    <m/>
    <m/>
    <m/>
  </r>
  <r>
    <s v="T002660"/>
    <s v="JUAN ALEJANDRO RIOS PEREZ"/>
    <x v="2"/>
    <x v="8"/>
    <s v="Choucair"/>
    <e v="#NAME?"/>
    <x v="111"/>
    <n v="0.3"/>
    <s v="QA"/>
    <m/>
    <s v="Externo"/>
    <e v="#NAME?"/>
    <e v="#NAME?"/>
    <e v="#NAME?"/>
    <m/>
    <m/>
    <m/>
    <m/>
    <m/>
  </r>
  <r>
    <s v="T002660"/>
    <s v="JUAN ALEJANDRO RIOS PEREZ"/>
    <x v="2"/>
    <x v="8"/>
    <s v="Choucair"/>
    <e v="#NAME?"/>
    <x v="113"/>
    <n v="0.4"/>
    <s v="QA"/>
    <m/>
    <s v="Externo"/>
    <e v="#NAME?"/>
    <e v="#NAME?"/>
    <e v="#NAME?"/>
    <m/>
    <m/>
    <m/>
    <m/>
    <m/>
  </r>
  <r>
    <s v="T003439"/>
    <s v="Paula Janeth moreno Escobar"/>
    <x v="2"/>
    <x v="8"/>
    <s v="Neoris"/>
    <e v="#NAME?"/>
    <x v="112"/>
    <n v="0.5"/>
    <s v="Desarrollador"/>
    <m/>
    <s v="Externo"/>
    <e v="#NAME?"/>
    <e v="#NAME?"/>
    <e v="#NAME?"/>
    <m/>
    <m/>
    <m/>
    <m/>
    <m/>
  </r>
  <r>
    <s v="T003439"/>
    <s v="Paula Janeth moreno Escobar"/>
    <x v="2"/>
    <x v="8"/>
    <s v="Neoris"/>
    <e v="#NAME?"/>
    <x v="111"/>
    <n v="0.1"/>
    <s v="Desarrollador"/>
    <m/>
    <s v="Externo"/>
    <e v="#NAME?"/>
    <e v="#NAME?"/>
    <e v="#NAME?"/>
    <m/>
    <m/>
    <m/>
    <m/>
    <m/>
  </r>
  <r>
    <s v="T003439"/>
    <s v="Paula Janeth moreno Escobar"/>
    <x v="2"/>
    <x v="8"/>
    <s v="Neoris"/>
    <e v="#NAME?"/>
    <x v="113"/>
    <n v="0.4"/>
    <s v="Desarrollador"/>
    <m/>
    <s v="Externo"/>
    <e v="#NAME?"/>
    <e v="#NAME?"/>
    <e v="#NAME?"/>
    <m/>
    <m/>
    <m/>
    <m/>
    <m/>
  </r>
  <r>
    <s v="C808793"/>
    <s v="Rey Orozco Cristian Ivan"/>
    <x v="2"/>
    <x v="8"/>
    <s v="BBVA"/>
    <e v="#NAME?"/>
    <x v="112"/>
    <n v="0.8"/>
    <s v="Desarrollador"/>
    <m/>
    <s v="Interno"/>
    <e v="#NAME?"/>
    <e v="#NAME?"/>
    <e v="#NAME?"/>
    <m/>
    <m/>
    <m/>
    <m/>
    <m/>
  </r>
  <r>
    <s v="C808793"/>
    <s v="Rey Orozco Cristian Ivan"/>
    <x v="2"/>
    <x v="8"/>
    <s v="BBVA"/>
    <e v="#NAME?"/>
    <x v="111"/>
    <n v="0.2"/>
    <s v="Desarrollador"/>
    <m/>
    <s v="Interno"/>
    <e v="#NAME?"/>
    <e v="#NAME?"/>
    <e v="#NAME?"/>
    <m/>
    <m/>
    <m/>
    <m/>
    <m/>
  </r>
  <r>
    <s v="C811305"/>
    <s v="Rigoberto Rios Hueso"/>
    <x v="2"/>
    <x v="8"/>
    <s v="BBVA"/>
    <e v="#NAME?"/>
    <x v="87"/>
    <n v="0.4"/>
    <s v="Desarrollador"/>
    <m/>
    <s v="Interno"/>
    <e v="#NAME?"/>
    <e v="#NAME?"/>
    <e v="#NAME?"/>
    <m/>
    <m/>
    <m/>
    <m/>
    <m/>
  </r>
  <r>
    <s v="C811305"/>
    <s v="Rigoberto Rios Hueso"/>
    <x v="2"/>
    <x v="8"/>
    <s v="BBVA"/>
    <e v="#NAME?"/>
    <x v="114"/>
    <n v="0.6"/>
    <s v="Desarrollador"/>
    <m/>
    <s v="Interno"/>
    <e v="#NAME?"/>
    <e v="#NAME?"/>
    <e v="#NAME?"/>
    <m/>
    <m/>
    <m/>
    <m/>
    <m/>
  </r>
  <r>
    <s v="T003924"/>
    <s v="Stefan Nicolas Aponte Murcia"/>
    <x v="2"/>
    <x v="8"/>
    <s v="GGI / CMC"/>
    <e v="#NAME?"/>
    <x v="112"/>
    <n v="0.6"/>
    <s v="Desarrollador"/>
    <m/>
    <s v="Externo"/>
    <e v="#NAME?"/>
    <e v="#NAME?"/>
    <e v="#NAME?"/>
    <m/>
    <m/>
    <m/>
    <m/>
    <m/>
  </r>
  <r>
    <s v="T003924"/>
    <s v="Stefan Nicolas Aponte Murcia"/>
    <x v="2"/>
    <x v="8"/>
    <s v="GGI / CMC"/>
    <e v="#NAME?"/>
    <x v="111"/>
    <n v="0.4"/>
    <s v="Desarrollador"/>
    <m/>
    <s v="Externo"/>
    <e v="#NAME?"/>
    <e v="#NAME?"/>
    <e v="#NAME?"/>
    <m/>
    <m/>
    <m/>
    <m/>
    <m/>
  </r>
  <r>
    <s v="T005244"/>
    <s v="TOVAR VELASQUEZ MEYER"/>
    <x v="2"/>
    <x v="8"/>
    <s v="Neoris"/>
    <e v="#NAME?"/>
    <x v="112"/>
    <n v="0.3"/>
    <s v="Desarrollador"/>
    <m/>
    <s v="Externo"/>
    <e v="#NAME?"/>
    <e v="#NAME?"/>
    <e v="#NAME?"/>
    <m/>
    <m/>
    <m/>
    <m/>
    <m/>
  </r>
  <r>
    <s v="T005244"/>
    <s v="TOVAR VELASQUEZ MEYER"/>
    <x v="2"/>
    <x v="8"/>
    <s v="Neoris"/>
    <e v="#NAME?"/>
    <x v="111"/>
    <n v="0.4"/>
    <s v="Desarrollador"/>
    <m/>
    <s v="Externo"/>
    <e v="#NAME?"/>
    <e v="#NAME?"/>
    <e v="#NAME?"/>
    <m/>
    <m/>
    <m/>
    <m/>
    <m/>
  </r>
  <r>
    <s v="T005244"/>
    <s v="TOVAR VELASQUEZ MEYER"/>
    <x v="2"/>
    <x v="8"/>
    <s v="Neoris"/>
    <e v="#NAME?"/>
    <x v="113"/>
    <n v="0.3"/>
    <s v="Desarrollador"/>
    <m/>
    <s v="Externo"/>
    <e v="#NAME?"/>
    <e v="#NAME?"/>
    <e v="#NAME?"/>
    <m/>
    <m/>
    <m/>
    <m/>
    <m/>
  </r>
  <r>
    <s v="T004481"/>
    <s v="ACEVEDO SANCHEZ RUBEN DARIO"/>
    <x v="2"/>
    <x v="8"/>
    <s v="Neoris"/>
    <e v="#NAME?"/>
    <x v="112"/>
    <n v="0.5"/>
    <s v="Desarrollador"/>
    <m/>
    <s v="Externo"/>
    <e v="#NAME?"/>
    <e v="#NAME?"/>
    <e v="#NAME?"/>
    <m/>
    <m/>
    <m/>
    <m/>
    <m/>
  </r>
  <r>
    <s v="T004481"/>
    <s v="ACEVEDO SANCHEZ RUBEN DARIO"/>
    <x v="2"/>
    <x v="8"/>
    <s v="Neoris"/>
    <e v="#NAME?"/>
    <x v="111"/>
    <n v="0.5"/>
    <s v="Desarrollador"/>
    <m/>
    <s v="Externo"/>
    <e v="#NAME?"/>
    <e v="#NAME?"/>
    <e v="#NAME?"/>
    <m/>
    <m/>
    <m/>
    <m/>
    <m/>
  </r>
  <r>
    <s v="CE54975"/>
    <s v="Juan Carlos Pardo Hernandez"/>
    <x v="2"/>
    <x v="8"/>
    <s v="GGI / CMC"/>
    <e v="#NAME?"/>
    <x v="112"/>
    <n v="0.5"/>
    <s v="Desarrollador"/>
    <m/>
    <s v="Externo"/>
    <e v="#NAME?"/>
    <e v="#NAME?"/>
    <e v="#NAME?"/>
    <m/>
    <m/>
    <m/>
    <m/>
    <m/>
  </r>
  <r>
    <s v="CE54975"/>
    <s v="Juan Carlos Pardo Hernandez"/>
    <x v="2"/>
    <x v="8"/>
    <s v="GGI / CMC"/>
    <e v="#NAME?"/>
    <x v="111"/>
    <n v="0.5"/>
    <s v="Desarrollador"/>
    <m/>
    <s v="Externo"/>
    <e v="#NAME?"/>
    <e v="#NAME?"/>
    <e v="#NAME?"/>
    <m/>
    <m/>
    <m/>
    <m/>
    <m/>
  </r>
  <r>
    <s v="CE64571"/>
    <s v="Melissa Correa Rios"/>
    <x v="2"/>
    <x v="8"/>
    <s v="GGI / CMC"/>
    <e v="#NAME?"/>
    <x v="111"/>
    <n v="1"/>
    <s v="Desarrollador"/>
    <m/>
    <s v="Externo"/>
    <e v="#NAME?"/>
    <e v="#NAME?"/>
    <e v="#NAME?"/>
    <m/>
    <m/>
    <m/>
    <m/>
    <m/>
  </r>
  <r>
    <s v="CE69336"/>
    <s v="Kleiver Joan Martinez Peña"/>
    <x v="2"/>
    <x v="8"/>
    <s v="Indra"/>
    <e v="#NAME?"/>
    <x v="113"/>
    <n v="1"/>
    <s v="Desarrollador"/>
    <m/>
    <s v="Externo"/>
    <e v="#NAME?"/>
    <e v="#NAME?"/>
    <e v="#NAME?"/>
    <m/>
    <m/>
    <m/>
    <m/>
    <m/>
  </r>
  <r>
    <s v="CE50845"/>
    <s v="Jeferson Daniel Agudelo sierra"/>
    <x v="2"/>
    <x v="8"/>
    <s v="Neoris"/>
    <e v="#NAME?"/>
    <x v="111"/>
    <n v="0.5"/>
    <s v="Desarrollador"/>
    <m/>
    <s v="Externo"/>
    <e v="#NAME?"/>
    <e v="#NAME?"/>
    <e v="#NAME?"/>
    <m/>
    <m/>
    <m/>
    <m/>
    <m/>
  </r>
  <r>
    <s v="CE50845"/>
    <s v="Jeferson Daniel Agudelo sierra"/>
    <x v="2"/>
    <x v="8"/>
    <s v="Neoris"/>
    <e v="#NAME?"/>
    <x v="113"/>
    <n v="0.3"/>
    <s v="Desarrollador"/>
    <m/>
    <s v="Externo"/>
    <e v="#NAME?"/>
    <e v="#NAME?"/>
    <e v="#NAME?"/>
    <m/>
    <m/>
    <m/>
    <m/>
    <m/>
  </r>
  <r>
    <s v="CE50845"/>
    <s v="Jeferson Daniel Agudelo sierra"/>
    <x v="2"/>
    <x v="8"/>
    <s v="Neoris"/>
    <e v="#NAME?"/>
    <x v="112"/>
    <n v="0.2"/>
    <s v="Desarrollador"/>
    <m/>
    <m/>
    <e v="#NAME?"/>
    <e v="#NAME?"/>
    <e v="#NAME?"/>
    <m/>
    <m/>
    <m/>
    <m/>
    <m/>
  </r>
  <r>
    <s v="CE67859"/>
    <s v="Andres Felipe Quintero Salazar"/>
    <x v="5"/>
    <x v="14"/>
    <s v="Accenture"/>
    <e v="#NAME?"/>
    <x v="115"/>
    <n v="0.5"/>
    <s v="Desarrollador"/>
    <s v="ASO"/>
    <m/>
    <e v="#NAME?"/>
    <e v="#NAME?"/>
    <e v="#NAME?"/>
    <m/>
    <m/>
    <m/>
    <m/>
    <m/>
  </r>
  <r>
    <s v="CE51863"/>
    <s v="EDNA ROCIO MONCADA"/>
    <x v="5"/>
    <x v="14"/>
    <s v="KRYPTO"/>
    <e v="#NAME?"/>
    <x v="115"/>
    <n v="0.02"/>
    <s v="QA"/>
    <s v="Otras Tec."/>
    <m/>
    <e v="#NAME?"/>
    <e v="#NAME?"/>
    <e v="#NAME?"/>
    <m/>
    <m/>
    <m/>
    <m/>
    <m/>
  </r>
  <r>
    <s v="O002593"/>
    <s v="TATIANA CAROLINA AVELLANEDA"/>
    <x v="5"/>
    <x v="14"/>
    <s v="BBVA"/>
    <e v="#NAME?"/>
    <x v="115"/>
    <n v="0.2"/>
    <s v="Tech Manager/Líder"/>
    <s v="Otras Tec."/>
    <m/>
    <e v="#NAME?"/>
    <e v="#NAME?"/>
    <e v="#NAME?"/>
    <m/>
    <m/>
    <m/>
    <m/>
    <m/>
  </r>
  <r>
    <s v="O001659"/>
    <s v="CARLOS ARTURO PUENTES ZAMBRANO"/>
    <x v="5"/>
    <x v="14"/>
    <s v="BBVA"/>
    <e v="#NAME?"/>
    <x v="115"/>
    <n v="1"/>
    <s v="Desarrollador"/>
    <s v="Mainframe"/>
    <m/>
    <e v="#NAME?"/>
    <e v="#NAME?"/>
    <e v="#NAME?"/>
    <m/>
    <m/>
    <m/>
    <m/>
    <m/>
  </r>
  <r>
    <s v="T004575"/>
    <s v="David Sandoval Arboleda"/>
    <x v="5"/>
    <x v="14"/>
    <s v="Accenture"/>
    <e v="#NAME?"/>
    <x v="115"/>
    <n v="1"/>
    <s v="Desarrollador"/>
    <s v="Cells"/>
    <m/>
    <e v="#NAME?"/>
    <e v="#NAME?"/>
    <e v="#NAME?"/>
    <m/>
    <m/>
    <m/>
    <m/>
    <m/>
  </r>
  <r>
    <s v="O000959"/>
    <s v="JORGE ESTEBAN LLANOS"/>
    <x v="5"/>
    <x v="14"/>
    <s v="BBVA"/>
    <e v="#NAME?"/>
    <x v="115"/>
    <n v="1"/>
    <s v="Desarrollador"/>
    <s v="APX"/>
    <m/>
    <e v="#NAME?"/>
    <e v="#NAME?"/>
    <e v="#NAME?"/>
    <m/>
    <m/>
    <m/>
    <m/>
    <m/>
  </r>
  <r>
    <s v="C811006"/>
    <s v="JULIAN ESTIC LAGOS GALINDO"/>
    <x v="5"/>
    <x v="14"/>
    <s v="BBVA"/>
    <e v="#NAME?"/>
    <x v="115"/>
    <n v="1"/>
    <s v="Desarrollador"/>
    <s v="Cells"/>
    <m/>
    <e v="#NAME?"/>
    <e v="#NAME?"/>
    <e v="#NAME?"/>
    <m/>
    <m/>
    <m/>
    <m/>
    <m/>
  </r>
  <r>
    <s v="T004934"/>
    <s v="Luis Eduardo Fonseca Fajardo"/>
    <x v="5"/>
    <x v="14"/>
    <s v="Choucair"/>
    <e v="#NAME?"/>
    <x v="115"/>
    <n v="1"/>
    <s v="QA"/>
    <s v="Otras Tec."/>
    <m/>
    <e v="#NAME?"/>
    <e v="#NAME?"/>
    <e v="#NAME?"/>
    <m/>
    <m/>
    <m/>
    <m/>
    <m/>
  </r>
  <r>
    <s v="CE70412"/>
    <s v="Angie Chiguasuque"/>
    <x v="5"/>
    <x v="14"/>
    <s v="Choucair"/>
    <e v="#NAME?"/>
    <x v="115"/>
    <n v="1"/>
    <s v="QA"/>
    <s v="Otras Tec."/>
    <m/>
    <e v="#NAME?"/>
    <e v="#NAME?"/>
    <e v="#NAME?"/>
    <m/>
    <m/>
    <m/>
    <m/>
    <m/>
  </r>
  <r>
    <s v="CE51863"/>
    <s v="EDNA ROCIO MONCADA"/>
    <x v="5"/>
    <x v="14"/>
    <s v="KRYPTO"/>
    <e v="#NAME?"/>
    <x v="67"/>
    <n v="0.02"/>
    <s v="QA"/>
    <s v="Otras Tec."/>
    <m/>
    <e v="#NAME?"/>
    <e v="#NAME?"/>
    <e v="#NAME?"/>
    <m/>
    <m/>
    <m/>
    <m/>
    <m/>
  </r>
  <r>
    <s v="O005003 "/>
    <s v="Ginna García Lara"/>
    <x v="5"/>
    <x v="14"/>
    <s v="BBVA"/>
    <e v="#NAME?"/>
    <x v="67"/>
    <n v="0.2"/>
    <s v="Tech Manager/Líder"/>
    <s v="Otras Tec."/>
    <m/>
    <e v="#NAME?"/>
    <e v="#NAME?"/>
    <e v="#NAME?"/>
    <m/>
    <m/>
    <m/>
    <m/>
    <m/>
  </r>
  <r>
    <s v="T001903"/>
    <s v="David Santiago Quijano Ordoñez"/>
    <x v="5"/>
    <x v="14"/>
    <s v="Choucair"/>
    <e v="#NAME?"/>
    <x v="67"/>
    <n v="1"/>
    <s v="QA"/>
    <s v="Otras Tec."/>
    <m/>
    <e v="#NAME?"/>
    <e v="#NAME?"/>
    <e v="#NAME?"/>
    <m/>
    <m/>
    <m/>
    <m/>
    <m/>
  </r>
  <r>
    <s v="CE48051"/>
    <s v="Edgar Andrés Garzon Rangel"/>
    <x v="5"/>
    <x v="14"/>
    <s v="Novatec"/>
    <e v="#NAME?"/>
    <x v="67"/>
    <n v="1"/>
    <s v="Desarrollador"/>
    <s v="Mainframe"/>
    <m/>
    <e v="#NAME?"/>
    <e v="#NAME?"/>
    <e v="#NAME?"/>
    <m/>
    <m/>
    <m/>
    <m/>
    <m/>
  </r>
  <r>
    <s v="CE69994"/>
    <s v="Lautaro Nahuel Cuello"/>
    <x v="5"/>
    <x v="14"/>
    <s v="Globant"/>
    <e v="#NAME?"/>
    <x v="67"/>
    <n v="1"/>
    <s v="Desarrollador"/>
    <s v="Cells"/>
    <m/>
    <e v="#NAME?"/>
    <e v="#NAME?"/>
    <e v="#NAME?"/>
    <m/>
    <m/>
    <m/>
    <m/>
    <m/>
  </r>
  <r>
    <s v="CE70000"/>
    <s v="Manuel Augusto Vilchez Maticorena"/>
    <x v="5"/>
    <x v="14"/>
    <s v="Globant"/>
    <e v="#NAME?"/>
    <x v="67"/>
    <n v="1"/>
    <s v="Desarrollador"/>
    <s v="APX"/>
    <m/>
    <e v="#NAME?"/>
    <e v="#NAME?"/>
    <e v="#NAME?"/>
    <m/>
    <m/>
    <m/>
    <m/>
    <m/>
  </r>
  <r>
    <s v="C811282"/>
    <s v="Santiago Galindo Gutierrez"/>
    <x v="5"/>
    <x v="14"/>
    <s v="BBVA"/>
    <e v="#NAME?"/>
    <x v="67"/>
    <n v="1"/>
    <s v="Desarrollador"/>
    <s v="Cells"/>
    <m/>
    <e v="#NAME?"/>
    <e v="#NAME?"/>
    <e v="#NAME?"/>
    <m/>
    <m/>
    <m/>
    <m/>
    <m/>
  </r>
  <r>
    <s v="CE69992"/>
    <s v="Stephany L Ceron Salas"/>
    <x v="5"/>
    <x v="14"/>
    <s v="Globant"/>
    <e v="#NAME?"/>
    <x v="67"/>
    <n v="1"/>
    <s v="Desarrollador"/>
    <s v="Cells"/>
    <m/>
    <e v="#NAME?"/>
    <e v="#NAME?"/>
    <e v="#NAME?"/>
    <m/>
    <m/>
    <m/>
    <m/>
    <m/>
  </r>
  <r>
    <s v="CE51863"/>
    <s v="EDNA ROCIO MONCADA"/>
    <x v="5"/>
    <x v="14"/>
    <s v="KRYPTO"/>
    <e v="#NAME?"/>
    <x v="68"/>
    <n v="0.02"/>
    <s v="QA"/>
    <s v="Otras Tec."/>
    <m/>
    <e v="#NAME?"/>
    <e v="#NAME?"/>
    <e v="#NAME?"/>
    <m/>
    <m/>
    <m/>
    <m/>
    <m/>
  </r>
  <r>
    <s v="O005003 "/>
    <s v="Ginna García Lara"/>
    <x v="5"/>
    <x v="14"/>
    <s v="BBVA"/>
    <e v="#NAME?"/>
    <x v="68"/>
    <n v="0.2"/>
    <s v="Tech Manager/Líder"/>
    <s v="Otras Tec."/>
    <m/>
    <e v="#NAME?"/>
    <e v="#NAME?"/>
    <e v="#NAME?"/>
    <m/>
    <m/>
    <m/>
    <m/>
    <m/>
  </r>
  <r>
    <s v="C805527"/>
    <s v="FABIAN ALEJANDRO LOPEZ SUAREZ"/>
    <x v="5"/>
    <x v="14"/>
    <s v="BBVA"/>
    <e v="#NAME?"/>
    <x v="68"/>
    <n v="1"/>
    <s v="Desarrollador"/>
    <s v="Cells"/>
    <m/>
    <e v="#NAME?"/>
    <e v="#NAME?"/>
    <e v="#NAME?"/>
    <m/>
    <m/>
    <m/>
    <m/>
    <m/>
  </r>
  <r>
    <s v="T006279"/>
    <s v="Jairo Andres Ochoa"/>
    <x v="5"/>
    <x v="14"/>
    <s v="Choucair"/>
    <e v="#NAME?"/>
    <x v="68"/>
    <n v="1"/>
    <s v="QA"/>
    <s v="Otras Tec."/>
    <m/>
    <e v="#NAME?"/>
    <e v="#NAME?"/>
    <e v="#NAME?"/>
    <m/>
    <m/>
    <m/>
    <m/>
    <m/>
  </r>
  <r>
    <m/>
    <s v="Desarrollador Front"/>
    <x v="5"/>
    <x v="14"/>
    <s v="Accenture"/>
    <e v="#NAME?"/>
    <x v="68"/>
    <n v="1"/>
    <s v="Desarrollador"/>
    <s v="Cells"/>
    <m/>
    <e v="#NAME?"/>
    <e v="#NAME?"/>
    <e v="#NAME?"/>
    <m/>
    <m/>
    <m/>
    <m/>
    <m/>
  </r>
  <r>
    <s v="O005003 "/>
    <s v="Ginna García Lara"/>
    <x v="5"/>
    <x v="14"/>
    <s v="BBVA"/>
    <e v="#NAME?"/>
    <x v="116"/>
    <n v="0.2"/>
    <s v="Tech Manager/Líder"/>
    <s v="Otras Tec."/>
    <m/>
    <e v="#NAME?"/>
    <e v="#NAME?"/>
    <e v="#NAME?"/>
    <m/>
    <m/>
    <m/>
    <m/>
    <n v="2"/>
  </r>
  <r>
    <s v="T000210"/>
    <s v="Carlos Alberto Meneses Campohermoso"/>
    <x v="5"/>
    <x v="14"/>
    <s v="Indra"/>
    <e v="#NAME?"/>
    <x v="116"/>
    <n v="1"/>
    <s v="Desarrollador"/>
    <s v="Cells"/>
    <m/>
    <e v="#NAME?"/>
    <e v="#NAME?"/>
    <e v="#NAME?"/>
    <m/>
    <m/>
    <m/>
    <m/>
    <n v="2"/>
  </r>
  <r>
    <s v="O002162"/>
    <s v="JUAN FELIPE MARTÍN PUERTO"/>
    <x v="5"/>
    <x v="14"/>
    <s v="BBVA"/>
    <e v="#NAME?"/>
    <x v="116"/>
    <n v="1"/>
    <s v="Desarrollador"/>
    <s v="APX"/>
    <m/>
    <e v="#NAME?"/>
    <e v="#NAME?"/>
    <e v="#NAME?"/>
    <m/>
    <m/>
    <m/>
    <m/>
    <n v="2"/>
  </r>
  <r>
    <s v="CE69750"/>
    <s v="Lina Vanessa Rincón Prada"/>
    <x v="5"/>
    <x v="14"/>
    <s v="Choucair"/>
    <e v="#NAME?"/>
    <x v="116"/>
    <n v="1"/>
    <s v="QA"/>
    <s v="Otras Tec."/>
    <m/>
    <e v="#NAME?"/>
    <e v="#NAME?"/>
    <e v="#NAME?"/>
    <m/>
    <m/>
    <m/>
    <m/>
    <n v="2"/>
  </r>
  <r>
    <s v="T001323"/>
    <s v="Martin Bournonville"/>
    <x v="5"/>
    <x v="14"/>
    <s v="Globant"/>
    <e v="#NAME?"/>
    <x v="116"/>
    <n v="1"/>
    <s v="Desarrollador"/>
    <s v="Cells"/>
    <m/>
    <e v="#NAME?"/>
    <e v="#NAME?"/>
    <e v="#NAME?"/>
    <m/>
    <m/>
    <m/>
    <m/>
    <n v="2"/>
  </r>
  <r>
    <s v="CE55865"/>
    <s v="Santiago Pulido Calderon"/>
    <x v="5"/>
    <x v="14"/>
    <s v="GGI / CMC"/>
    <e v="#NAME?"/>
    <x v="116"/>
    <n v="1"/>
    <s v="Desarrollador"/>
    <s v="Mainframe"/>
    <m/>
    <e v="#NAME?"/>
    <e v="#NAME?"/>
    <e v="#NAME?"/>
    <m/>
    <m/>
    <m/>
    <m/>
    <n v="2"/>
  </r>
  <r>
    <s v="C805937"/>
    <s v="SERGIO IVAN SANCHEZ PLAZAS"/>
    <x v="5"/>
    <x v="14"/>
    <s v="BBVA"/>
    <e v="#NAME?"/>
    <x v="116"/>
    <n v="1"/>
    <s v="Desarrollador"/>
    <s v="Cells"/>
    <m/>
    <e v="#NAME?"/>
    <e v="#NAME?"/>
    <e v="#NAME?"/>
    <m/>
    <m/>
    <m/>
    <m/>
    <n v="2"/>
  </r>
  <r>
    <m/>
    <s v="Desarrollador Front 1"/>
    <x v="5"/>
    <x v="14"/>
    <s v="Indra"/>
    <e v="#NAME?"/>
    <x v="116"/>
    <n v="1"/>
    <s v="Desarrollador"/>
    <s v="Cells"/>
    <m/>
    <e v="#NAME?"/>
    <e v="#NAME?"/>
    <e v="#NAME?"/>
    <m/>
    <m/>
    <m/>
    <m/>
    <n v="2"/>
  </r>
  <r>
    <m/>
    <s v="Desarrollador Front 2"/>
    <x v="5"/>
    <x v="14"/>
    <s v="Accenture"/>
    <e v="#NAME?"/>
    <x v="116"/>
    <n v="1"/>
    <s v="Desarrollador"/>
    <s v="Cells"/>
    <m/>
    <e v="#NAME?"/>
    <e v="#NAME?"/>
    <e v="#NAME?"/>
    <m/>
    <m/>
    <m/>
    <m/>
    <n v="2"/>
  </r>
  <r>
    <m/>
    <s v="Desarrollador APX 1"/>
    <x v="5"/>
    <x v="14"/>
    <s v="Indra"/>
    <e v="#NAME?"/>
    <x v="116"/>
    <n v="1"/>
    <s v="Desarrollador"/>
    <s v="APX"/>
    <m/>
    <e v="#NAME?"/>
    <e v="#NAME?"/>
    <e v="#NAME?"/>
    <m/>
    <m/>
    <m/>
    <m/>
    <n v="2"/>
  </r>
  <r>
    <m/>
    <s v="Desarrollador APX 2"/>
    <x v="5"/>
    <x v="14"/>
    <s v="Accenture"/>
    <e v="#NAME?"/>
    <x v="116"/>
    <n v="1"/>
    <s v="Desarrollador"/>
    <s v="APX"/>
    <m/>
    <e v="#NAME?"/>
    <e v="#NAME?"/>
    <e v="#NAME?"/>
    <m/>
    <m/>
    <m/>
    <m/>
    <n v="2"/>
  </r>
  <r>
    <m/>
    <s v="Tester 1"/>
    <x v="5"/>
    <x v="14"/>
    <s v="Choucair"/>
    <e v="#NAME?"/>
    <x v="116"/>
    <n v="1"/>
    <s v="QA"/>
    <s v="Otras Tec."/>
    <m/>
    <e v="#NAME?"/>
    <e v="#NAME?"/>
    <e v="#NAME?"/>
    <m/>
    <m/>
    <m/>
    <m/>
    <n v="2"/>
  </r>
  <r>
    <m/>
    <s v="Tester 2"/>
    <x v="5"/>
    <x v="14"/>
    <s v="Choucair"/>
    <e v="#NAME?"/>
    <x v="116"/>
    <n v="1"/>
    <s v="QA"/>
    <s v="Otras Tec."/>
    <m/>
    <e v="#NAME?"/>
    <e v="#NAME?"/>
    <e v="#NAME?"/>
    <m/>
    <m/>
    <m/>
    <m/>
    <n v="2"/>
  </r>
  <r>
    <s v="CE67859"/>
    <s v="Andres Felipe Quintero Salazar"/>
    <x v="5"/>
    <x v="14"/>
    <s v="Accenture"/>
    <e v="#NAME?"/>
    <x v="16"/>
    <n v="0.5"/>
    <s v="Desarrollador"/>
    <s v="ASO"/>
    <m/>
    <e v="#NAME?"/>
    <e v="#NAME?"/>
    <e v="#NAME?"/>
    <m/>
    <m/>
    <m/>
    <m/>
    <n v="2"/>
  </r>
  <r>
    <s v="CE51863"/>
    <s v="EDNA ROCIO MONCADA"/>
    <x v="5"/>
    <x v="14"/>
    <s v="KRYPTO"/>
    <e v="#NAME?"/>
    <x v="16"/>
    <n v="0.02"/>
    <s v="QA"/>
    <s v="Otras Tec."/>
    <m/>
    <e v="#NAME?"/>
    <e v="#NAME?"/>
    <e v="#NAME?"/>
    <m/>
    <m/>
    <m/>
    <m/>
    <n v="2"/>
  </r>
  <r>
    <s v="T004295"/>
    <s v="Hayler Jair Caicedo"/>
    <x v="5"/>
    <x v="14"/>
    <s v="Accenture"/>
    <e v="#NAME?"/>
    <x v="16"/>
    <n v="1"/>
    <s v="Desarrollador"/>
    <s v="Cells"/>
    <m/>
    <e v="#NAME?"/>
    <e v="#NAME?"/>
    <e v="#NAME?"/>
    <m/>
    <m/>
    <m/>
    <m/>
    <n v="2"/>
  </r>
  <r>
    <s v="C811281"/>
    <s v="JUAN PABLO VELEZ"/>
    <x v="5"/>
    <x v="14"/>
    <s v="BBVA"/>
    <e v="#NAME?"/>
    <x v="16"/>
    <n v="1"/>
    <s v="Desarrollador"/>
    <s v="Cells"/>
    <m/>
    <e v="#NAME?"/>
    <e v="#NAME?"/>
    <e v="#NAME?"/>
    <m/>
    <m/>
    <m/>
    <m/>
    <n v="2"/>
  </r>
  <r>
    <s v="T007579"/>
    <s v="Nubia Sanchez"/>
    <x v="5"/>
    <x v="14"/>
    <s v="Neoris"/>
    <e v="#NAME?"/>
    <x v="16"/>
    <n v="1"/>
    <s v="Desarrollador"/>
    <s v="Mainframe"/>
    <m/>
    <e v="#NAME?"/>
    <e v="#NAME?"/>
    <e v="#NAME?"/>
    <m/>
    <m/>
    <m/>
    <m/>
    <n v="2"/>
  </r>
  <r>
    <s v="O002593"/>
    <s v="TATIANA CAROLINA AVELLANEDA"/>
    <x v="5"/>
    <x v="14"/>
    <s v="BBVA"/>
    <e v="#NAME?"/>
    <x v="16"/>
    <n v="0.2"/>
    <s v="Tech Manager/Líder"/>
    <s v="Otras Tec."/>
    <m/>
    <e v="#NAME?"/>
    <e v="#NAME?"/>
    <e v="#NAME?"/>
    <m/>
    <m/>
    <m/>
    <m/>
    <n v="2"/>
  </r>
  <r>
    <s v="O002593"/>
    <s v="TATIANA CAROLINA AVELLANEDA"/>
    <x v="5"/>
    <x v="14"/>
    <s v="BBVA"/>
    <e v="#NAME?"/>
    <x v="16"/>
    <n v="0.2"/>
    <s v="Tech Manager/Líder"/>
    <s v="Otras Tec."/>
    <m/>
    <e v="#NAME?"/>
    <e v="#NAME?"/>
    <e v="#NAME?"/>
    <m/>
    <m/>
    <m/>
    <m/>
    <n v="2"/>
  </r>
  <r>
    <m/>
    <s v="Desarrollador ASO"/>
    <x v="5"/>
    <x v="14"/>
    <s v="Neoris"/>
    <e v="#NAME?"/>
    <x v="16"/>
    <n v="1"/>
    <s v="Desarrollador"/>
    <s v="ASO"/>
    <m/>
    <e v="#NAME?"/>
    <e v="#NAME?"/>
    <e v="#NAME?"/>
    <m/>
    <m/>
    <m/>
    <m/>
    <n v="2"/>
  </r>
  <r>
    <m/>
    <s v="Desarrollador HOST"/>
    <x v="5"/>
    <x v="14"/>
    <s v="Accenture"/>
    <e v="#NAME?"/>
    <x v="16"/>
    <n v="1"/>
    <s v="Desarrollador"/>
    <s v="Mainframe"/>
    <m/>
    <e v="#NAME?"/>
    <e v="#NAME?"/>
    <e v="#NAME?"/>
    <m/>
    <m/>
    <m/>
    <m/>
    <n v="2"/>
  </r>
  <r>
    <m/>
    <s v="Desarrollador Front"/>
    <x v="5"/>
    <x v="14"/>
    <s v="Accenture"/>
    <e v="#NAME?"/>
    <x v="16"/>
    <n v="1"/>
    <s v="Desarrollador"/>
    <s v="Cells"/>
    <m/>
    <e v="#NAME?"/>
    <e v="#NAME?"/>
    <e v="#NAME?"/>
    <m/>
    <m/>
    <m/>
    <m/>
    <n v="2"/>
  </r>
  <r>
    <s v="CE51863"/>
    <s v="EDNA ROCIO MONCADA"/>
    <x v="5"/>
    <x v="14"/>
    <s v="KRYPTO"/>
    <e v="#NAME?"/>
    <x v="117"/>
    <n v="0.02"/>
    <s v="QA"/>
    <s v="Otras Tec."/>
    <m/>
    <e v="#NAME?"/>
    <e v="#NAME?"/>
    <e v="#NAME?"/>
    <m/>
    <m/>
    <m/>
    <m/>
    <n v="2"/>
  </r>
  <r>
    <s v="O004043"/>
    <s v="Diego Alejandro Galeano garzon"/>
    <x v="5"/>
    <x v="14"/>
    <s v="BBVA"/>
    <e v="#NAME?"/>
    <x v="117"/>
    <n v="0.5"/>
    <s v="Desarrollador"/>
    <s v="Cells"/>
    <m/>
    <e v="#NAME?"/>
    <e v="#NAME?"/>
    <e v="#NAME?"/>
    <m/>
    <m/>
    <m/>
    <m/>
    <n v="2"/>
  </r>
  <r>
    <s v="CE70114"/>
    <s v="Luz Carola Giraldo García"/>
    <x v="5"/>
    <x v="14"/>
    <s v="GGI / CMC"/>
    <e v="#NAME?"/>
    <x v="117"/>
    <n v="1"/>
    <s v="QA"/>
    <s v="Otras Tec."/>
    <m/>
    <e v="#NAME?"/>
    <e v="#NAME?"/>
    <e v="#NAME?"/>
    <m/>
    <m/>
    <m/>
    <m/>
    <n v="2"/>
  </r>
  <r>
    <s v="O002593"/>
    <s v="TATIANA CAROLINA AVELLANEDA"/>
    <x v="5"/>
    <x v="14"/>
    <s v="BBVA"/>
    <e v="#NAME?"/>
    <x v="117"/>
    <n v="0.2"/>
    <s v="Tech Manager/Líder"/>
    <s v="Otras Tec."/>
    <m/>
    <e v="#NAME?"/>
    <e v="#NAME?"/>
    <e v="#NAME?"/>
    <m/>
    <m/>
    <m/>
    <m/>
    <n v="2"/>
  </r>
  <r>
    <s v="T000410"/>
    <s v="Andrés Alejandro Fajardo Torres"/>
    <x v="5"/>
    <x v="14"/>
    <s v="Globant"/>
    <e v="#NAME?"/>
    <x v="118"/>
    <n v="1"/>
    <s v="Desarrollador"/>
    <s v="Cells"/>
    <m/>
    <e v="#NAME?"/>
    <e v="#NAME?"/>
    <e v="#NAME?"/>
    <m/>
    <m/>
    <m/>
    <m/>
    <m/>
  </r>
  <r>
    <s v="CE51863"/>
    <s v="EDNA ROCIO MONCADA"/>
    <x v="5"/>
    <x v="14"/>
    <s v="KRYPTO"/>
    <e v="#NAME?"/>
    <x v="118"/>
    <n v="0.02"/>
    <s v="QA"/>
    <s v="Otras Tec."/>
    <m/>
    <e v="#NAME?"/>
    <e v="#NAME?"/>
    <e v="#NAME?"/>
    <m/>
    <m/>
    <m/>
    <m/>
    <m/>
  </r>
  <r>
    <s v="C810668"/>
    <s v="YEISSON FABIAN GUALDRON VIVAS"/>
    <x v="5"/>
    <x v="14"/>
    <s v="BBVA"/>
    <e v="#NAME?"/>
    <x v="118"/>
    <n v="1"/>
    <s v="Desarrollador"/>
    <s v="Cells"/>
    <m/>
    <e v="#NAME?"/>
    <e v="#NAME?"/>
    <e v="#NAME?"/>
    <m/>
    <m/>
    <m/>
    <m/>
    <m/>
  </r>
  <r>
    <s v="C342589"/>
    <s v="CAMILO ANDRES AGUIRRE"/>
    <x v="5"/>
    <x v="14"/>
    <s v="BBVA"/>
    <e v="#NAME?"/>
    <x v="118"/>
    <n v="0.3"/>
    <s v="Tech Manager/Líder"/>
    <s v="Otras Tec."/>
    <m/>
    <e v="#NAME?"/>
    <e v="#NAME?"/>
    <e v="#NAME?"/>
    <m/>
    <m/>
    <m/>
    <m/>
    <m/>
  </r>
  <r>
    <s v="CE51863"/>
    <s v="EDNA ROCIO MONCADA"/>
    <x v="5"/>
    <x v="14"/>
    <s v="KRYPTO"/>
    <e v="#NAME?"/>
    <x v="3"/>
    <n v="0.02"/>
    <s v="QA"/>
    <s v="Otras Tec."/>
    <m/>
    <e v="#NAME?"/>
    <e v="#NAME?"/>
    <e v="#NAME?"/>
    <m/>
    <m/>
    <m/>
    <m/>
    <m/>
  </r>
  <r>
    <s v="C342589"/>
    <s v="CAMILO ANDRES AGUIRRE"/>
    <x v="5"/>
    <x v="14"/>
    <s v="BBVA"/>
    <e v="#NAME?"/>
    <x v="3"/>
    <n v="0.7"/>
    <s v="Tech Manager/Líder"/>
    <s v="Otras Tec."/>
    <m/>
    <e v="#NAME?"/>
    <e v="#NAME?"/>
    <e v="#NAME?"/>
    <m/>
    <m/>
    <m/>
    <m/>
    <m/>
  </r>
  <r>
    <s v="C809750"/>
    <s v="JEFFERSON JOSE ESQUEA SANCHEZ"/>
    <x v="5"/>
    <x v="14"/>
    <s v="BBVA"/>
    <e v="#NAME?"/>
    <x v="3"/>
    <n v="1"/>
    <s v="Desarrollador"/>
    <s v="Cells"/>
    <m/>
    <e v="#NAME?"/>
    <e v="#NAME?"/>
    <e v="#NAME?"/>
    <m/>
    <m/>
    <m/>
    <m/>
    <m/>
  </r>
  <r>
    <s v="CE67868"/>
    <s v="Jhon Alexander Santana"/>
    <x v="5"/>
    <x v="14"/>
    <s v="Accenture"/>
    <e v="#NAME?"/>
    <x v="3"/>
    <n v="1"/>
    <s v="Desarrollador"/>
    <s v="Cells"/>
    <m/>
    <e v="#NAME?"/>
    <e v="#NAME?"/>
    <e v="#NAME?"/>
    <m/>
    <m/>
    <m/>
    <m/>
    <m/>
  </r>
  <r>
    <s v="CE67314"/>
    <s v="Juliana Corredor"/>
    <x v="5"/>
    <x v="14"/>
    <s v="Accenture"/>
    <e v="#NAME?"/>
    <x v="3"/>
    <n v="1"/>
    <s v="Desarrollador"/>
    <s v="APX"/>
    <m/>
    <e v="#NAME?"/>
    <e v="#NAME?"/>
    <e v="#NAME?"/>
    <m/>
    <m/>
    <m/>
    <m/>
    <m/>
  </r>
  <r>
    <s v="CE51863"/>
    <s v="EDNA ROCIO MONCADA"/>
    <x v="5"/>
    <x v="14"/>
    <s v="KRYPTO"/>
    <e v="#NAME?"/>
    <x v="116"/>
    <n v="0.02"/>
    <s v="QA"/>
    <s v="Otras Tec."/>
    <m/>
    <e v="#NAME?"/>
    <e v="#NAME?"/>
    <e v="#NAME?"/>
    <m/>
    <m/>
    <m/>
    <m/>
    <m/>
  </r>
  <r>
    <s v="CE66714"/>
    <s v="Cristian Steven Abril"/>
    <x v="5"/>
    <x v="14"/>
    <s v="Novatec"/>
    <e v="#NAME?"/>
    <x v="84"/>
    <n v="1"/>
    <s v="Desarrollador"/>
    <s v="Cells"/>
    <m/>
    <e v="#NAME?"/>
    <e v="#NAME?"/>
    <e v="#NAME?"/>
    <m/>
    <m/>
    <m/>
    <m/>
    <m/>
  </r>
  <r>
    <s v="O002593"/>
    <s v="TATIANA CAROLINA AVELLANEDA"/>
    <x v="5"/>
    <x v="14"/>
    <s v="BBVA"/>
    <e v="#NAME?"/>
    <x v="84"/>
    <n v="0.2"/>
    <s v="Tech Manager/Líder"/>
    <s v="Otras Tec."/>
    <m/>
    <e v="#NAME?"/>
    <e v="#NAME?"/>
    <e v="#NAME?"/>
    <m/>
    <m/>
    <m/>
    <m/>
    <m/>
  </r>
  <r>
    <s v="O005003 "/>
    <s v="Ginna García Lara"/>
    <x v="5"/>
    <x v="14"/>
    <s v="BBVA"/>
    <e v="#NAME?"/>
    <x v="119"/>
    <n v="0.2"/>
    <s v="Tech Manager/Líder"/>
    <s v="Otras Tec."/>
    <m/>
    <e v="#NAME?"/>
    <e v="#NAME?"/>
    <e v="#NAME?"/>
    <m/>
    <m/>
    <m/>
    <m/>
    <n v="2"/>
  </r>
  <r>
    <m/>
    <s v="Tester 1"/>
    <x v="5"/>
    <x v="14"/>
    <s v="Choucair"/>
    <e v="#NAME?"/>
    <x v="119"/>
    <n v="1"/>
    <s v="QA"/>
    <s v="Otras Tec."/>
    <m/>
    <e v="#NAME?"/>
    <e v="#NAME?"/>
    <e v="#NAME?"/>
    <m/>
    <m/>
    <m/>
    <m/>
    <m/>
  </r>
  <r>
    <m/>
    <s v="Desarrollador Front 1"/>
    <x v="5"/>
    <x v="14"/>
    <s v="Accenture"/>
    <e v="#NAME?"/>
    <x v="119"/>
    <n v="1"/>
    <s v="Desarrollador"/>
    <s v="Cells"/>
    <m/>
    <e v="#NAME?"/>
    <e v="#NAME?"/>
    <e v="#NAME?"/>
    <m/>
    <m/>
    <m/>
    <m/>
    <m/>
  </r>
  <r>
    <m/>
    <s v="Desarrollador Front 2"/>
    <x v="5"/>
    <x v="14"/>
    <s v="Accenture"/>
    <e v="#NAME?"/>
    <x v="119"/>
    <n v="1"/>
    <s v="Desarrollador"/>
    <s v="Cells"/>
    <m/>
    <e v="#NAME?"/>
    <e v="#NAME?"/>
    <e v="#NAME?"/>
    <m/>
    <m/>
    <m/>
    <m/>
    <m/>
  </r>
  <r>
    <s v="O005003 "/>
    <s v="Ginna García Lara"/>
    <x v="5"/>
    <x v="14"/>
    <s v="BBVA"/>
    <e v="#NAME?"/>
    <x v="120"/>
    <n v="0.2"/>
    <s v="Tech Manager/Líder"/>
    <s v="Otras Tec."/>
    <m/>
    <e v="#NAME?"/>
    <e v="#NAME?"/>
    <e v="#NAME?"/>
    <m/>
    <m/>
    <m/>
    <m/>
    <n v="2"/>
  </r>
  <r>
    <s v="O004043"/>
    <s v="Diego Alejandro Galeano garzon"/>
    <x v="5"/>
    <x v="14"/>
    <s v="BBVA"/>
    <e v="#NAME?"/>
    <x v="120"/>
    <n v="0.5"/>
    <s v="Desarrollador"/>
    <s v="Cells"/>
    <m/>
    <e v="#NAME?"/>
    <e v="#NAME?"/>
    <e v="#NAME?"/>
    <m/>
    <m/>
    <m/>
    <m/>
    <n v="2"/>
  </r>
  <r>
    <s v="C797767"/>
    <s v="ANGELA RIVERA"/>
    <x v="3"/>
    <x v="15"/>
    <s v="BBVA"/>
    <e v="#NAME?"/>
    <x v="121"/>
    <n v="0.5"/>
    <s v="Desarrollador"/>
    <s v="Mainframe"/>
    <m/>
    <e v="#NAME?"/>
    <e v="#NAME?"/>
    <e v="#NAME?"/>
    <m/>
    <m/>
    <m/>
    <m/>
    <m/>
  </r>
  <r>
    <s v="C797767"/>
    <s v="ANGELA RIVERA"/>
    <x v="3"/>
    <x v="15"/>
    <s v="BBVA"/>
    <e v="#NAME?"/>
    <x v="122"/>
    <n v="0.5"/>
    <s v="Desarrollador"/>
    <s v="Mainframe"/>
    <m/>
    <e v="#NAME?"/>
    <e v="#NAME?"/>
    <e v="#NAME?"/>
    <m/>
    <m/>
    <m/>
    <m/>
    <m/>
  </r>
  <r>
    <s v="O001978"/>
    <s v="DANIEL ALIRIO ROA ARIZMENDI"/>
    <x v="3"/>
    <x v="15"/>
    <s v="BBVA"/>
    <e v="#NAME?"/>
    <x v="123"/>
    <n v="0.3"/>
    <s v="Desarrollador"/>
    <s v="ASO"/>
    <m/>
    <e v="#NAME?"/>
    <e v="#NAME?"/>
    <e v="#NAME?"/>
    <m/>
    <m/>
    <m/>
    <m/>
    <m/>
  </r>
  <r>
    <s v="O001978"/>
    <s v="DANIEL ALIRIO ROA ARIZMENDI"/>
    <x v="3"/>
    <x v="15"/>
    <s v="BBVA"/>
    <e v="#NAME?"/>
    <x v="124"/>
    <n v="0.7"/>
    <s v="Desarrollador"/>
    <s v="ASO"/>
    <m/>
    <e v="#NAME?"/>
    <e v="#NAME?"/>
    <e v="#NAME?"/>
    <m/>
    <m/>
    <m/>
    <m/>
    <m/>
  </r>
  <r>
    <s v="O001977"/>
    <s v="EDDY MAURICIO SUAREZ MOLINA"/>
    <x v="3"/>
    <x v="15"/>
    <s v="BBVA"/>
    <e v="#NAME?"/>
    <x v="121"/>
    <n v="0.5"/>
    <s v="Desarrollador"/>
    <s v="Mainframe"/>
    <m/>
    <e v="#NAME?"/>
    <e v="#NAME?"/>
    <e v="#NAME?"/>
    <m/>
    <m/>
    <m/>
    <m/>
    <m/>
  </r>
  <r>
    <s v="O001977"/>
    <s v="EDDY MAURICIO SUAREZ MOLINA"/>
    <x v="3"/>
    <x v="15"/>
    <s v="BBVA"/>
    <e v="#NAME?"/>
    <x v="122"/>
    <n v="0.5"/>
    <s v="Desarrollador"/>
    <s v="Mainframe"/>
    <m/>
    <e v="#NAME?"/>
    <e v="#NAME?"/>
    <e v="#NAME?"/>
    <m/>
    <m/>
    <m/>
    <m/>
    <m/>
  </r>
  <r>
    <s v="O000451"/>
    <s v="MAURICIO CORDOBA"/>
    <x v="3"/>
    <x v="15"/>
    <s v="BBVA"/>
    <e v="#NAME?"/>
    <x v="121"/>
    <n v="1"/>
    <s v="Desarrollador"/>
    <s v="Mainframe"/>
    <m/>
    <e v="#NAME?"/>
    <e v="#NAME?"/>
    <e v="#NAME?"/>
    <m/>
    <m/>
    <m/>
    <m/>
    <m/>
  </r>
  <r>
    <s v="O001827"/>
    <s v="LEONOR AZUCENA GOMEZ RINCON"/>
    <x v="3"/>
    <x v="15"/>
    <s v="BBVA"/>
    <e v="#NAME?"/>
    <x v="121"/>
    <n v="0.5"/>
    <s v="Tech Manager/Líder"/>
    <s v="Mainframe"/>
    <m/>
    <e v="#NAME?"/>
    <e v="#NAME?"/>
    <e v="#NAME?"/>
    <m/>
    <m/>
    <m/>
    <m/>
    <m/>
  </r>
  <r>
    <s v="O001827"/>
    <s v="LEONOR AZUCENA GOMEZ RINCON"/>
    <x v="3"/>
    <x v="15"/>
    <s v="BBVA"/>
    <e v="#NAME?"/>
    <x v="122"/>
    <n v="0.5"/>
    <s v="Tech Manager/Líder"/>
    <s v="ASO"/>
    <m/>
    <e v="#NAME?"/>
    <e v="#NAME?"/>
    <e v="#NAME?"/>
    <m/>
    <m/>
    <m/>
    <m/>
    <m/>
  </r>
  <r>
    <s v="C805385"/>
    <s v="TATIANA SANCHEZ MONROY"/>
    <x v="3"/>
    <x v="15"/>
    <s v="BBVA"/>
    <e v="#NAME?"/>
    <x v="119"/>
    <n v="1"/>
    <s v="Desarrollador"/>
    <s v="Mainframe"/>
    <m/>
    <e v="#NAME?"/>
    <e v="#NAME?"/>
    <e v="#NAME?"/>
    <m/>
    <m/>
    <m/>
    <m/>
    <m/>
  </r>
  <r>
    <s v="C810943"/>
    <s v="OSCAR DANIEL OÑATE CASTILLA"/>
    <x v="3"/>
    <x v="15"/>
    <s v="BBVA"/>
    <e v="#NAME?"/>
    <x v="125"/>
    <n v="1"/>
    <s v="Desarrollador"/>
    <s v="Mainframe"/>
    <m/>
    <e v="#NAME?"/>
    <e v="#NAME?"/>
    <e v="#NAME?"/>
    <m/>
    <m/>
    <m/>
    <m/>
    <m/>
  </r>
  <r>
    <s v="C810846"/>
    <s v="ERIKA ZULEIMA MARTINEZ RODRIGUEZ"/>
    <x v="3"/>
    <x v="15"/>
    <s v="BBVA"/>
    <e v="#NAME?"/>
    <x v="126"/>
    <n v="1"/>
    <s v="Desarrollador"/>
    <s v="Mainframe"/>
    <m/>
    <e v="#NAME?"/>
    <e v="#NAME?"/>
    <e v="#NAME?"/>
    <m/>
    <m/>
    <m/>
    <m/>
    <m/>
  </r>
  <r>
    <s v="C805379"/>
    <s v="MARTIN ROMERO ORTIZ"/>
    <x v="3"/>
    <x v="15"/>
    <s v="BBVA"/>
    <e v="#NAME?"/>
    <x v="119"/>
    <n v="0.25"/>
    <s v="Desarrollador"/>
    <s v="ASO"/>
    <m/>
    <e v="#NAME?"/>
    <e v="#NAME?"/>
    <e v="#NAME?"/>
    <m/>
    <m/>
    <m/>
    <m/>
    <m/>
  </r>
  <r>
    <s v="C805379"/>
    <s v="MARTIN ROMERO ORTIZ"/>
    <x v="3"/>
    <x v="15"/>
    <s v="BBVA"/>
    <e v="#NAME?"/>
    <x v="86"/>
    <n v="0.75"/>
    <s v="Desarrollador"/>
    <s v="ASO"/>
    <m/>
    <e v="#NAME?"/>
    <e v="#NAME?"/>
    <e v="#NAME?"/>
    <m/>
    <m/>
    <m/>
    <m/>
    <m/>
  </r>
  <r>
    <s v="C805988"/>
    <s v="NICOLAS MUÑOZ"/>
    <x v="3"/>
    <x v="15"/>
    <s v="BBVA"/>
    <e v="#NAME?"/>
    <x v="86"/>
    <n v="1"/>
    <s v="Desarrollador"/>
    <s v="APX"/>
    <m/>
    <e v="#NAME?"/>
    <e v="#NAME?"/>
    <e v="#NAME?"/>
    <m/>
    <m/>
    <m/>
    <m/>
    <m/>
  </r>
  <r>
    <s v="C342057"/>
    <s v="CARLOS FABIAN GONZALEZ CORTES"/>
    <x v="3"/>
    <x v="15"/>
    <s v="BBVA"/>
    <e v="#NAME?"/>
    <x v="125"/>
    <n v="0.5"/>
    <s v="Desarrollador"/>
    <s v="Mainframe"/>
    <m/>
    <e v="#NAME?"/>
    <e v="#NAME?"/>
    <e v="#NAME?"/>
    <m/>
    <m/>
    <m/>
    <m/>
    <m/>
  </r>
  <r>
    <s v="C342057"/>
    <s v="CARLOS FABIAN GONZALEZ CORTES"/>
    <x v="3"/>
    <x v="15"/>
    <s v="BBVA"/>
    <e v="#NAME?"/>
    <x v="119"/>
    <n v="0.2"/>
    <s v="Desarrollador"/>
    <s v="Mainframe"/>
    <m/>
    <e v="#NAME?"/>
    <e v="#NAME?"/>
    <e v="#NAME?"/>
    <m/>
    <m/>
    <m/>
    <m/>
    <m/>
  </r>
  <r>
    <s v="C342057"/>
    <s v="CARLOS FABIAN GONZALEZ CORTES"/>
    <x v="3"/>
    <x v="15"/>
    <s v="BBVA"/>
    <e v="#NAME?"/>
    <x v="126"/>
    <n v="0.1"/>
    <s v="Desarrollador"/>
    <s v="Mainframe"/>
    <m/>
    <e v="#NAME?"/>
    <e v="#NAME?"/>
    <e v="#NAME?"/>
    <m/>
    <m/>
    <m/>
    <m/>
    <m/>
  </r>
  <r>
    <s v="C342057"/>
    <s v="CARLOS FABIAN GONZALEZ CORTES"/>
    <x v="3"/>
    <x v="15"/>
    <s v="BBVA"/>
    <e v="#NAME?"/>
    <x v="123"/>
    <n v="0.2"/>
    <s v="Desarrollador"/>
    <s v="Mainframe"/>
    <m/>
    <e v="#NAME?"/>
    <e v="#NAME?"/>
    <e v="#NAME?"/>
    <m/>
    <m/>
    <m/>
    <m/>
    <m/>
  </r>
  <r>
    <s v="C805964"/>
    <s v="ANDRES RODRIGO COMBARIZA"/>
    <x v="3"/>
    <x v="15"/>
    <s v="BBVA"/>
    <e v="#NAME?"/>
    <x v="123"/>
    <n v="1"/>
    <s v="Desarrollador"/>
    <s v="ASO"/>
    <m/>
    <e v="#NAME?"/>
    <e v="#NAME?"/>
    <e v="#NAME?"/>
    <m/>
    <m/>
    <m/>
    <m/>
    <m/>
  </r>
  <r>
    <s v="O004843"/>
    <s v="WILSON ANDRES FRACON HERMIDA"/>
    <x v="3"/>
    <x v="15"/>
    <s v="BBVA"/>
    <e v="#NAME?"/>
    <x v="119"/>
    <n v="0.2"/>
    <s v="Tech Manager/Líder"/>
    <s v="ASO"/>
    <m/>
    <e v="#NAME?"/>
    <e v="#NAME?"/>
    <e v="#NAME?"/>
    <m/>
    <m/>
    <m/>
    <m/>
    <m/>
  </r>
  <r>
    <s v="O004843"/>
    <s v="WILSON ANDRES FRACON HERMIDA"/>
    <x v="3"/>
    <x v="15"/>
    <s v="BBVA"/>
    <e v="#NAME?"/>
    <x v="86"/>
    <n v="0.2"/>
    <s v="Tech Manager/Líder"/>
    <s v="APX"/>
    <m/>
    <e v="#NAME?"/>
    <e v="#NAME?"/>
    <e v="#NAME?"/>
    <m/>
    <m/>
    <m/>
    <m/>
    <m/>
  </r>
  <r>
    <s v="O004843"/>
    <s v="WILSON ANDRES FRACON HERMIDA"/>
    <x v="3"/>
    <x v="15"/>
    <s v="BBVA"/>
    <e v="#NAME?"/>
    <x v="123"/>
    <n v="0.2"/>
    <s v="Tech Manager/Líder"/>
    <s v="APX"/>
    <m/>
    <e v="#NAME?"/>
    <e v="#NAME?"/>
    <e v="#NAME?"/>
    <m/>
    <m/>
    <m/>
    <m/>
    <m/>
  </r>
  <r>
    <s v="O004843"/>
    <s v="WILSON ANDRES FRACON HERMIDA"/>
    <x v="3"/>
    <x v="15"/>
    <s v="BBVA"/>
    <e v="#NAME?"/>
    <x v="126"/>
    <n v="0.2"/>
    <s v="Tech Manager/Líder"/>
    <s v="Mainframe"/>
    <m/>
    <e v="#NAME?"/>
    <e v="#NAME?"/>
    <e v="#NAME?"/>
    <m/>
    <m/>
    <m/>
    <m/>
    <m/>
  </r>
  <r>
    <s v="O004843"/>
    <s v="WILSON ANDRES FRACON HERMIDA"/>
    <x v="3"/>
    <x v="15"/>
    <s v="BBVA"/>
    <e v="#NAME?"/>
    <x v="125"/>
    <n v="0.2"/>
    <s v="Tech Manager/Líder"/>
    <s v="Mainframe"/>
    <m/>
    <e v="#NAME?"/>
    <e v="#NAME?"/>
    <e v="#NAME?"/>
    <m/>
    <m/>
    <m/>
    <m/>
    <m/>
  </r>
  <r>
    <s v="CE59519"/>
    <s v="JORGE DANILO BUITRAGO HERNANDEZ"/>
    <x v="3"/>
    <x v="15"/>
    <s v="Inetum"/>
    <e v="#NAME?"/>
    <x v="126"/>
    <n v="1"/>
    <s v="Desarrollador"/>
    <s v="Mainframe"/>
    <m/>
    <e v="#NAME?"/>
    <e v="#NAME?"/>
    <e v="#NAME?"/>
    <m/>
    <m/>
    <m/>
    <m/>
    <m/>
  </r>
  <r>
    <s v="CE64394"/>
    <s v="ANDREI NICOLAS CASTRO MUÑOZ"/>
    <x v="3"/>
    <x v="15"/>
    <s v="KRYPTO"/>
    <e v="#NAME?"/>
    <x v="126"/>
    <n v="1"/>
    <s v="QA"/>
    <s v="Mainframe"/>
    <m/>
    <e v="#NAME?"/>
    <e v="#NAME?"/>
    <e v="#NAME?"/>
    <m/>
    <m/>
    <m/>
    <m/>
    <m/>
  </r>
  <r>
    <s v="T007567"/>
    <s v="ERIKA LILIANA ESPINOSA DUQUE"/>
    <x v="3"/>
    <x v="15"/>
    <s v="Choucair"/>
    <e v="#NAME?"/>
    <x v="119"/>
    <n v="1"/>
    <s v="QA"/>
    <s v="Mainframe"/>
    <m/>
    <e v="#NAME?"/>
    <e v="#NAME?"/>
    <e v="#NAME?"/>
    <m/>
    <m/>
    <m/>
    <m/>
    <m/>
  </r>
  <r>
    <s v="T004584"/>
    <s v="LYDI JOHANA MORENO LOPEZ"/>
    <x v="3"/>
    <x v="15"/>
    <s v="Choucair"/>
    <e v="#NAME?"/>
    <x v="119"/>
    <n v="1"/>
    <s v="QA"/>
    <s v="Mainframe"/>
    <m/>
    <e v="#NAME?"/>
    <e v="#NAME?"/>
    <e v="#NAME?"/>
    <m/>
    <m/>
    <m/>
    <m/>
    <m/>
  </r>
  <r>
    <s v="T001314"/>
    <s v="JUAN DAVID GARZON"/>
    <x v="3"/>
    <x v="15"/>
    <s v="Choucair"/>
    <e v="#NAME?"/>
    <x v="86"/>
    <n v="1"/>
    <s v="QA"/>
    <s v="Mainframe"/>
    <m/>
    <e v="#NAME?"/>
    <e v="#NAME?"/>
    <e v="#NAME?"/>
    <m/>
    <m/>
    <m/>
    <m/>
    <m/>
  </r>
  <r>
    <s v="CE69611"/>
    <s v="JESUS ROLDAN LAVERDE"/>
    <x v="3"/>
    <x v="15"/>
    <s v="Accenture"/>
    <e v="#NAME?"/>
    <x v="86"/>
    <n v="1"/>
    <s v="Desarrollador"/>
    <s v="Mainframe"/>
    <m/>
    <e v="#NAME?"/>
    <e v="#NAME?"/>
    <e v="#NAME?"/>
    <m/>
    <m/>
    <m/>
    <m/>
    <m/>
  </r>
  <r>
    <s v="CE69612"/>
    <s v="DIEGO DIAZ VIVAS"/>
    <x v="3"/>
    <x v="15"/>
    <s v="Accenture"/>
    <e v="#NAME?"/>
    <x v="119"/>
    <n v="1"/>
    <s v="Desarrollador"/>
    <s v="Cells"/>
    <m/>
    <e v="#NAME?"/>
    <e v="#NAME?"/>
    <e v="#NAME?"/>
    <m/>
    <m/>
    <m/>
    <m/>
    <m/>
  </r>
  <r>
    <s v="C342048"/>
    <s v="LUIS JAVIER RIVERA MORENO"/>
    <x v="3"/>
    <x v="15"/>
    <s v="BBVA"/>
    <e v="#NAME?"/>
    <x v="124"/>
    <n v="0.5"/>
    <s v="Desarrollador"/>
    <s v="Mainframe"/>
    <m/>
    <e v="#NAME?"/>
    <e v="#NAME?"/>
    <e v="#NAME?"/>
    <m/>
    <m/>
    <m/>
    <m/>
    <m/>
  </r>
  <r>
    <s v="C342048"/>
    <s v="LUIS JAVIER RIVERA MORENO"/>
    <x v="3"/>
    <x v="15"/>
    <s v="BBVA"/>
    <e v="#NAME?"/>
    <x v="127"/>
    <n v="0.25"/>
    <s v="Desarrollador"/>
    <s v="Mainframe"/>
    <m/>
    <e v="#NAME?"/>
    <e v="#NAME?"/>
    <e v="#NAME?"/>
    <m/>
    <m/>
    <m/>
    <m/>
    <m/>
  </r>
  <r>
    <s v="C342048"/>
    <s v="LUIS JAVIER RIVERA MORENO"/>
    <x v="3"/>
    <x v="15"/>
    <s v="BBVA"/>
    <e v="#NAME?"/>
    <x v="128"/>
    <n v="0.25"/>
    <s v="Desarrollador"/>
    <s v="Mainframe"/>
    <m/>
    <e v="#NAME?"/>
    <e v="#NAME?"/>
    <e v="#NAME?"/>
    <m/>
    <m/>
    <m/>
    <m/>
    <m/>
  </r>
  <r>
    <s v="O000444"/>
    <s v="EDGAR VASQUEZ RUIZ"/>
    <x v="3"/>
    <x v="15"/>
    <s v="BBVA"/>
    <e v="#NAME?"/>
    <x v="124"/>
    <n v="0.9"/>
    <s v="Desarrollador"/>
    <s v="Mainframe"/>
    <m/>
    <e v="#NAME?"/>
    <e v="#NAME?"/>
    <e v="#NAME?"/>
    <m/>
    <m/>
    <m/>
    <m/>
    <m/>
  </r>
  <r>
    <s v="O000444"/>
    <s v="EDGAR VASQUEZ RUIZ"/>
    <x v="3"/>
    <x v="15"/>
    <s v="BBVA"/>
    <e v="#NAME?"/>
    <x v="129"/>
    <n v="0.1"/>
    <s v="Desarrollador"/>
    <s v="Mainframe"/>
    <m/>
    <e v="#NAME?"/>
    <e v="#NAME?"/>
    <e v="#NAME?"/>
    <m/>
    <m/>
    <m/>
    <m/>
    <m/>
  </r>
  <r>
    <s v="O000106"/>
    <s v="FELIPE ALEJANDO PEDRAZA ROBLES"/>
    <x v="3"/>
    <x v="15"/>
    <s v="BBVA"/>
    <e v="#NAME?"/>
    <x v="129"/>
    <n v="0.8"/>
    <s v="Desarrollador"/>
    <s v="Mainframe"/>
    <m/>
    <e v="#NAME?"/>
    <e v="#NAME?"/>
    <e v="#NAME?"/>
    <m/>
    <m/>
    <m/>
    <m/>
    <m/>
  </r>
  <r>
    <s v="O000106"/>
    <s v="FELIPE ALEJANDO PEDRAZA ROBLES"/>
    <x v="3"/>
    <x v="15"/>
    <s v="BBVA"/>
    <e v="#NAME?"/>
    <x v="130"/>
    <n v="0.2"/>
    <s v="Desarrollador"/>
    <s v="Mainframe"/>
    <m/>
    <e v="#NAME?"/>
    <e v="#NAME?"/>
    <e v="#NAME?"/>
    <m/>
    <m/>
    <m/>
    <m/>
    <m/>
  </r>
  <r>
    <s v="C810908"/>
    <s v="DIANA CAROLINA PEÑA PALOMINO"/>
    <x v="3"/>
    <x v="15"/>
    <s v="BBVA"/>
    <e v="#NAME?"/>
    <x v="123"/>
    <n v="0.5"/>
    <s v="Desarrollador"/>
    <s v="Mainframe"/>
    <m/>
    <e v="#NAME?"/>
    <e v="#NAME?"/>
    <e v="#NAME?"/>
    <m/>
    <m/>
    <m/>
    <m/>
    <m/>
  </r>
  <r>
    <s v="C810908"/>
    <s v="DIANA CAROLINA PEÑA PALOMINO"/>
    <x v="3"/>
    <x v="15"/>
    <s v="BBVA"/>
    <e v="#NAME?"/>
    <x v="128"/>
    <n v="0.5"/>
    <s v="Desarrollador"/>
    <s v="Mainframe"/>
    <m/>
    <e v="#NAME?"/>
    <e v="#NAME?"/>
    <e v="#NAME?"/>
    <m/>
    <m/>
    <m/>
    <m/>
    <m/>
  </r>
  <r>
    <s v="C810801"/>
    <s v="DIANA BARBOSA OSPINA"/>
    <x v="3"/>
    <x v="15"/>
    <s v="BBVA"/>
    <e v="#NAME?"/>
    <x v="131"/>
    <n v="0.1"/>
    <s v="Desarrollador"/>
    <s v="Mainframe"/>
    <m/>
    <e v="#NAME?"/>
    <e v="#NAME?"/>
    <e v="#NAME?"/>
    <m/>
    <m/>
    <m/>
    <m/>
    <m/>
  </r>
  <r>
    <s v="C810801"/>
    <s v="DIANA BARBOSA OSPINA"/>
    <x v="3"/>
    <x v="15"/>
    <s v="BBVA"/>
    <e v="#NAME?"/>
    <x v="127"/>
    <n v="0.9"/>
    <s v="Desarrollador"/>
    <s v="Mainframe"/>
    <m/>
    <e v="#NAME?"/>
    <e v="#NAME?"/>
    <e v="#NAME?"/>
    <m/>
    <m/>
    <m/>
    <m/>
    <m/>
  </r>
  <r>
    <s v="O003400"/>
    <s v="JUAN SEBASTIAN COLMENARES RODRIGUEZ"/>
    <x v="3"/>
    <x v="15"/>
    <s v="BBVA"/>
    <e v="#NAME?"/>
    <x v="127"/>
    <n v="1"/>
    <s v="Desarrollador"/>
    <s v="Mainframe"/>
    <m/>
    <e v="#NAME?"/>
    <e v="#NAME?"/>
    <e v="#NAME?"/>
    <m/>
    <m/>
    <m/>
    <m/>
    <m/>
  </r>
  <r>
    <s v="O003461"/>
    <s v="CARLOS VICENTE SERRATO SERNA"/>
    <x v="3"/>
    <x v="15"/>
    <s v="BBVA"/>
    <e v="#NAME?"/>
    <x v="124"/>
    <n v="1"/>
    <s v="Desarrollador"/>
    <s v="Mainframe"/>
    <m/>
    <e v="#NAME?"/>
    <e v="#NAME?"/>
    <e v="#NAME?"/>
    <m/>
    <m/>
    <m/>
    <m/>
    <m/>
  </r>
  <r>
    <s v="C808133"/>
    <s v="REMBERTO PRIOLO"/>
    <x v="3"/>
    <x v="15"/>
    <s v="BBVA"/>
    <e v="#NAME?"/>
    <x v="124"/>
    <n v="0.2"/>
    <s v="Desarrollador"/>
    <s v="ASO"/>
    <m/>
    <e v="#NAME?"/>
    <e v="#NAME?"/>
    <e v="#NAME?"/>
    <m/>
    <m/>
    <m/>
    <m/>
    <m/>
  </r>
  <r>
    <s v="C808133"/>
    <s v="REMBERTO PRIOLO"/>
    <x v="3"/>
    <x v="15"/>
    <s v="BBVA"/>
    <e v="#NAME?"/>
    <x v="84"/>
    <n v="0.8"/>
    <s v="Desarrollador"/>
    <s v="ASO"/>
    <m/>
    <e v="#NAME?"/>
    <e v="#NAME?"/>
    <e v="#NAME?"/>
    <m/>
    <m/>
    <m/>
    <m/>
    <m/>
  </r>
  <r>
    <s v="O000446"/>
    <s v="ANDRES FELIPE FUENTES GARAY"/>
    <x v="3"/>
    <x v="15"/>
    <s v="BBVA"/>
    <e v="#NAME?"/>
    <x v="124"/>
    <n v="0.2"/>
    <s v="Tech Manager/Líder"/>
    <s v="ASO"/>
    <m/>
    <e v="#NAME?"/>
    <e v="#NAME?"/>
    <e v="#NAME?"/>
    <m/>
    <m/>
    <m/>
    <m/>
    <m/>
  </r>
  <r>
    <s v="O000446"/>
    <s v="ANDRES FELIPE FUENTES GARAY"/>
    <x v="3"/>
    <x v="15"/>
    <s v="BBVA"/>
    <e v="#NAME?"/>
    <x v="127"/>
    <n v="0.2"/>
    <s v="Tech Manager/Líder"/>
    <s v="Mainframe"/>
    <m/>
    <e v="#NAME?"/>
    <e v="#NAME?"/>
    <e v="#NAME?"/>
    <m/>
    <m/>
    <m/>
    <m/>
    <m/>
  </r>
  <r>
    <s v="O000446"/>
    <s v="ANDRES FELIPE FUENTES GARAY"/>
    <x v="3"/>
    <x v="15"/>
    <s v="BBVA"/>
    <e v="#NAME?"/>
    <x v="128"/>
    <n v="0.2"/>
    <s v="Tech Manager/Líder"/>
    <s v="ASO"/>
    <m/>
    <e v="#NAME?"/>
    <e v="#NAME?"/>
    <e v="#NAME?"/>
    <m/>
    <m/>
    <m/>
    <m/>
    <m/>
  </r>
  <r>
    <s v="O000446"/>
    <s v="ANDRES FELIPE FUENTES GARAY"/>
    <x v="3"/>
    <x v="15"/>
    <s v="BBVA"/>
    <e v="#NAME?"/>
    <x v="123"/>
    <n v="0.2"/>
    <s v="Tech Manager/Líder"/>
    <s v="Mainframe"/>
    <m/>
    <e v="#NAME?"/>
    <e v="#NAME?"/>
    <e v="#NAME?"/>
    <m/>
    <m/>
    <m/>
    <m/>
    <m/>
  </r>
  <r>
    <s v="O000446"/>
    <s v="ANDRES FELIPE FUENTES GARAY"/>
    <x v="3"/>
    <x v="15"/>
    <s v="BBVA"/>
    <e v="#NAME?"/>
    <x v="129"/>
    <n v="0.2"/>
    <s v="Tech Manager/Líder"/>
    <s v="Mainframe"/>
    <m/>
    <e v="#NAME?"/>
    <e v="#NAME?"/>
    <e v="#NAME?"/>
    <m/>
    <m/>
    <m/>
    <m/>
    <m/>
  </r>
  <r>
    <s v="CE57920"/>
    <s v="WILLIAM ARMANDO BONILLA ACUÑA"/>
    <x v="3"/>
    <x v="15"/>
    <s v="Inetum"/>
    <e v="#NAME?"/>
    <x v="124"/>
    <n v="1"/>
    <s v="QA"/>
    <s v="Mainframe"/>
    <m/>
    <e v="#NAME?"/>
    <e v="#NAME?"/>
    <e v="#NAME?"/>
    <m/>
    <m/>
    <m/>
    <m/>
    <m/>
  </r>
  <r>
    <s v="C804828"/>
    <s v="MAIRA ALEJANDRA GUERRERO CAMARGO"/>
    <x v="3"/>
    <x v="15"/>
    <s v="BBVA"/>
    <e v="#NAME?"/>
    <x v="132"/>
    <n v="0.1"/>
    <s v="Desarrollador"/>
    <s v="Mainframe"/>
    <m/>
    <e v="#NAME?"/>
    <e v="#NAME?"/>
    <e v="#NAME?"/>
    <m/>
    <m/>
    <m/>
    <m/>
    <m/>
  </r>
  <r>
    <s v="C804828"/>
    <s v="MAIRA ALEJANDRA GUERRERO CAMARGO"/>
    <x v="3"/>
    <x v="15"/>
    <s v="BBVA"/>
    <e v="#NAME?"/>
    <x v="6"/>
    <n v="0.9"/>
    <s v="Desarrollador"/>
    <s v="Mainframe"/>
    <s v="Atiende dentro del programa BCBS239 3 proyectos"/>
    <e v="#NAME?"/>
    <e v="#NAME?"/>
    <e v="#NAME?"/>
    <m/>
    <m/>
    <m/>
    <m/>
    <m/>
  </r>
  <r>
    <s v="C343126"/>
    <s v="RUBERTH SAN MIGUEL PEREZ"/>
    <x v="3"/>
    <x v="15"/>
    <s v="BBVA"/>
    <e v="#NAME?"/>
    <x v="6"/>
    <n v="0.6"/>
    <s v="Desarrollador"/>
    <s v="Mainframe"/>
    <m/>
    <e v="#NAME?"/>
    <e v="#NAME?"/>
    <e v="#NAME?"/>
    <m/>
    <m/>
    <m/>
    <m/>
    <m/>
  </r>
  <r>
    <s v="C343126"/>
    <s v="RUBERTH SAN MIGUEL PEREZ"/>
    <x v="3"/>
    <x v="15"/>
    <s v="BBVA"/>
    <e v="#NAME?"/>
    <x v="133"/>
    <n v="0.4"/>
    <s v="Desarrollador"/>
    <s v="Mainframe"/>
    <m/>
    <e v="#NAME?"/>
    <e v="#NAME?"/>
    <e v="#NAME?"/>
    <m/>
    <m/>
    <m/>
    <m/>
    <m/>
  </r>
  <r>
    <s v="C809713"/>
    <s v="FABRICIO AUGUSTO LOZANO TORRES"/>
    <x v="3"/>
    <x v="15"/>
    <s v="BBVA"/>
    <e v="#NAME?"/>
    <x v="134"/>
    <n v="0.4"/>
    <s v="Desarrollador"/>
    <s v="Mainframe"/>
    <m/>
    <e v="#NAME?"/>
    <e v="#NAME?"/>
    <e v="#NAME?"/>
    <m/>
    <m/>
    <m/>
    <m/>
    <m/>
  </r>
  <r>
    <s v="C809713"/>
    <s v="FABRICIO AUGUSTO LOZANO TORRES"/>
    <x v="3"/>
    <x v="15"/>
    <s v="BBVA"/>
    <e v="#NAME?"/>
    <x v="9"/>
    <n v="0.6"/>
    <s v="Desarrollador"/>
    <s v="Mainframe"/>
    <m/>
    <e v="#NAME?"/>
    <e v="#NAME?"/>
    <e v="#NAME?"/>
    <m/>
    <m/>
    <m/>
    <m/>
    <m/>
  </r>
  <r>
    <s v="C367168"/>
    <s v="FLOR MIREYA GONZALEZ VASQUEZ"/>
    <x v="3"/>
    <x v="15"/>
    <s v="BBVA"/>
    <e v="#NAME?"/>
    <x v="6"/>
    <n v="0.4"/>
    <s v="Tech Manager/Líder"/>
    <s v="Mainframe"/>
    <m/>
    <e v="#NAME?"/>
    <e v="#NAME?"/>
    <e v="#NAME?"/>
    <m/>
    <m/>
    <m/>
    <m/>
    <m/>
  </r>
  <r>
    <s v="C367168"/>
    <s v="FLOR MIREYA GONZALEZ VASQUEZ"/>
    <x v="3"/>
    <x v="15"/>
    <s v="BBVA"/>
    <e v="#NAME?"/>
    <x v="132"/>
    <n v="0.05"/>
    <s v="Tech Manager/Líder"/>
    <s v="Mainframe"/>
    <m/>
    <e v="#NAME?"/>
    <e v="#NAME?"/>
    <e v="#NAME?"/>
    <m/>
    <m/>
    <m/>
    <m/>
    <m/>
  </r>
  <r>
    <s v="C367168"/>
    <s v="FLOR MIREYA GONZALEZ VASQUEZ"/>
    <x v="3"/>
    <x v="15"/>
    <s v="BBVA"/>
    <e v="#NAME?"/>
    <x v="134"/>
    <n v="0.2"/>
    <s v="Tech Manager/Líder"/>
    <s v="Mainframe"/>
    <m/>
    <e v="#NAME?"/>
    <e v="#NAME?"/>
    <e v="#NAME?"/>
    <m/>
    <m/>
    <m/>
    <m/>
    <m/>
  </r>
  <r>
    <s v="C367168"/>
    <s v="FLOR MIREYA GONZALEZ VASQUEZ"/>
    <x v="3"/>
    <x v="15"/>
    <s v="BBVA"/>
    <e v="#NAME?"/>
    <x v="9"/>
    <n v="0.1"/>
    <s v="Tech Manager/Líder"/>
    <s v="Mainframe"/>
    <m/>
    <e v="#NAME?"/>
    <e v="#NAME?"/>
    <e v="#NAME?"/>
    <m/>
    <m/>
    <m/>
    <m/>
    <m/>
  </r>
  <r>
    <s v="C367168"/>
    <s v="FLOR MIREYA GONZALEZ VASQUEZ"/>
    <x v="3"/>
    <x v="15"/>
    <s v="BBVA"/>
    <e v="#NAME?"/>
    <x v="133"/>
    <n v="0.25"/>
    <s v="Tech Manager/Líder"/>
    <s v="Mainframe"/>
    <m/>
    <e v="#NAME?"/>
    <e v="#NAME?"/>
    <e v="#NAME?"/>
    <m/>
    <m/>
    <m/>
    <m/>
    <m/>
  </r>
  <r>
    <s v="CE51434"/>
    <s v="MICHAEL ALEXANDER PINZON CRISTANCHO"/>
    <x v="3"/>
    <x v="15"/>
    <s v="Inetum"/>
    <e v="#NAME?"/>
    <x v="134"/>
    <n v="0.5"/>
    <s v="QA"/>
    <s v="Mainframe"/>
    <m/>
    <e v="#NAME?"/>
    <e v="#NAME?"/>
    <e v="#NAME?"/>
    <m/>
    <m/>
    <m/>
    <m/>
    <m/>
  </r>
  <r>
    <s v="CE51434"/>
    <s v="MICHAEL ALEXANDER PINZON CRISTANCHO"/>
    <x v="3"/>
    <x v="15"/>
    <s v="Inetum"/>
    <e v="#NAME?"/>
    <x v="6"/>
    <n v="0.5"/>
    <s v="QA"/>
    <s v="Mainframe"/>
    <m/>
    <e v="#NAME?"/>
    <e v="#NAME?"/>
    <e v="#NAME?"/>
    <m/>
    <m/>
    <m/>
    <m/>
    <m/>
  </r>
  <r>
    <s v="C808227"/>
    <s v="MARIA PAULA ISAZA SANCHEZ"/>
    <x v="1"/>
    <x v="16"/>
    <s v="BBVA"/>
    <e v="#NAME?"/>
    <x v="135"/>
    <n v="1"/>
    <s v="Desarrollador"/>
    <s v="Distribuido"/>
    <m/>
    <e v="#NAME?"/>
    <e v="#NAME?"/>
    <e v="#NAME?"/>
    <m/>
    <m/>
    <m/>
    <m/>
    <m/>
  </r>
  <r>
    <s v="C804032"/>
    <s v="CAMILO ANDRES MORENO HURTADO"/>
    <x v="1"/>
    <x v="16"/>
    <s v="BBVA"/>
    <e v="#NAME?"/>
    <x v="136"/>
    <n v="0.5"/>
    <s v="Desarrollador"/>
    <s v="Distribuido"/>
    <m/>
    <e v="#NAME?"/>
    <e v="#NAME?"/>
    <e v="#NAME?"/>
    <m/>
    <m/>
    <m/>
    <m/>
    <m/>
  </r>
  <r>
    <s v="C804032"/>
    <s v="CAMILO ANDRES MORENO HURTADO"/>
    <x v="1"/>
    <x v="16"/>
    <s v="BBVA"/>
    <e v="#NAME?"/>
    <x v="137"/>
    <n v="0.5"/>
    <s v="Desarrollador"/>
    <s v="Distribuido"/>
    <m/>
    <e v="#NAME?"/>
    <e v="#NAME?"/>
    <e v="#NAME?"/>
    <m/>
    <m/>
    <m/>
    <m/>
    <m/>
  </r>
  <r>
    <s v="C811284"/>
    <s v="CRISTIAN ARLEY AMORTEGUI AREVALO"/>
    <x v="1"/>
    <x v="16"/>
    <s v="BBVA"/>
    <e v="#NAME?"/>
    <x v="34"/>
    <n v="1"/>
    <s v="Desarrollador"/>
    <s v="Mainframe"/>
    <m/>
    <e v="#NAME?"/>
    <e v="#NAME?"/>
    <e v="#NAME?"/>
    <m/>
    <m/>
    <m/>
    <m/>
    <m/>
  </r>
  <r>
    <s v="C808193"/>
    <s v="GILBERTO SANCHEZ RODRIGUEZ"/>
    <x v="1"/>
    <x v="16"/>
    <s v="BBVA"/>
    <e v="#NAME?"/>
    <x v="5"/>
    <n v="0.75"/>
    <s v="Desarrollador"/>
    <s v="Mainframe"/>
    <m/>
    <e v="#NAME?"/>
    <e v="#NAME?"/>
    <e v="#NAME?"/>
    <m/>
    <m/>
    <m/>
    <m/>
    <m/>
  </r>
  <r>
    <s v="C808193"/>
    <s v="GILBERTO SANCHEZ RODRIGUEZ"/>
    <x v="1"/>
    <x v="16"/>
    <s v="BBVA"/>
    <e v="#NAME?"/>
    <x v="138"/>
    <n v="0.25"/>
    <s v="Desarrollador"/>
    <s v="Mainframe"/>
    <m/>
    <e v="#NAME?"/>
    <e v="#NAME?"/>
    <e v="#NAME?"/>
    <m/>
    <m/>
    <m/>
    <m/>
    <m/>
  </r>
  <r>
    <s v="C782744"/>
    <s v="VICTOR WILSON AREVALO MARTIN"/>
    <x v="1"/>
    <x v="16"/>
    <s v="BBVA"/>
    <e v="#NAME?"/>
    <x v="138"/>
    <n v="0.25"/>
    <s v="Desarrollador"/>
    <s v="Mainframe"/>
    <m/>
    <e v="#NAME?"/>
    <e v="#NAME?"/>
    <e v="#NAME?"/>
    <m/>
    <m/>
    <m/>
    <m/>
    <m/>
  </r>
  <r>
    <s v="C782744"/>
    <s v="VICTOR WILSON AREVALO MARTIN"/>
    <x v="1"/>
    <x v="16"/>
    <s v="BBVA"/>
    <e v="#NAME?"/>
    <x v="139"/>
    <n v="0.75"/>
    <s v="Desarrollador"/>
    <s v="Distribuido"/>
    <m/>
    <e v="#NAME?"/>
    <e v="#NAME?"/>
    <e v="#NAME?"/>
    <m/>
    <m/>
    <m/>
    <m/>
    <m/>
  </r>
  <r>
    <s v="C805683"/>
    <s v="SERGIO LEONARDO MENDOZA GASCA"/>
    <x v="1"/>
    <x v="16"/>
    <s v="BBVA"/>
    <e v="#NAME?"/>
    <x v="139"/>
    <n v="0.5"/>
    <s v="Desarrollador"/>
    <s v="Distribuido"/>
    <m/>
    <e v="#NAME?"/>
    <e v="#NAME?"/>
    <e v="#NAME?"/>
    <m/>
    <m/>
    <m/>
    <m/>
    <m/>
  </r>
  <r>
    <s v="C805683"/>
    <s v="SERGIO LEONARDO MENDOZA GASCA"/>
    <x v="1"/>
    <x v="16"/>
    <s v="BBVA"/>
    <e v="#NAME?"/>
    <x v="140"/>
    <n v="0.5"/>
    <s v="Desarrollador"/>
    <s v="Distribuido"/>
    <m/>
    <e v="#NAME?"/>
    <e v="#NAME?"/>
    <e v="#NAME?"/>
    <m/>
    <m/>
    <m/>
    <m/>
    <m/>
  </r>
  <r>
    <s v="C805074"/>
    <s v="MARLON STUART SUAREZ ."/>
    <x v="1"/>
    <x v="16"/>
    <s v="BBVA"/>
    <e v="#NAME?"/>
    <x v="136"/>
    <n v="0.3"/>
    <s v="Desarrollador"/>
    <s v="Distribuido"/>
    <m/>
    <e v="#NAME?"/>
    <e v="#NAME?"/>
    <e v="#NAME?"/>
    <m/>
    <m/>
    <m/>
    <m/>
    <m/>
  </r>
  <r>
    <s v="C805074"/>
    <s v="MARLON STUART SUAREZ ."/>
    <x v="1"/>
    <x v="16"/>
    <s v="BBVA"/>
    <e v="#NAME?"/>
    <x v="141"/>
    <n v="0.3"/>
    <s v="Desarrollador"/>
    <s v="Distribuido"/>
    <m/>
    <e v="#NAME?"/>
    <e v="#NAME?"/>
    <e v="#NAME?"/>
    <m/>
    <m/>
    <m/>
    <m/>
    <m/>
  </r>
  <r>
    <s v="C805074"/>
    <s v="MARLON STUART SUAREZ ."/>
    <x v="1"/>
    <x v="16"/>
    <s v="BBVA"/>
    <e v="#NAME?"/>
    <x v="137"/>
    <n v="0.4"/>
    <s v="Desarrollador"/>
    <s v="Distribuido"/>
    <m/>
    <e v="#NAME?"/>
    <e v="#NAME?"/>
    <e v="#NAME?"/>
    <m/>
    <m/>
    <m/>
    <m/>
    <m/>
  </r>
  <r>
    <s v="O001825"/>
    <s v="JONATHAN FABIAN PAEZ TORRES"/>
    <x v="1"/>
    <x v="16"/>
    <s v="BBVA"/>
    <e v="#NAME?"/>
    <x v="136"/>
    <n v="0.25"/>
    <s v="Desarrollador"/>
    <s v="Distribuido"/>
    <m/>
    <e v="#NAME?"/>
    <e v="#NAME?"/>
    <e v="#NAME?"/>
    <m/>
    <m/>
    <m/>
    <m/>
    <m/>
  </r>
  <r>
    <s v="O001825"/>
    <s v="JONATHAN FABIAN PAEZ TORRES"/>
    <x v="1"/>
    <x v="16"/>
    <s v="BBVA"/>
    <e v="#NAME?"/>
    <x v="141"/>
    <n v="0.25"/>
    <s v="Desarrollador"/>
    <s v="Distribuido"/>
    <m/>
    <e v="#NAME?"/>
    <e v="#NAME?"/>
    <e v="#NAME?"/>
    <m/>
    <m/>
    <m/>
    <m/>
    <m/>
  </r>
  <r>
    <s v="O001825"/>
    <s v="JONATHAN FABIAN PAEZ TORRES"/>
    <x v="1"/>
    <x v="16"/>
    <s v="BBVA"/>
    <e v="#NAME?"/>
    <x v="137"/>
    <n v="0.5"/>
    <s v="Desarrollador"/>
    <s v="Distribuido"/>
    <m/>
    <e v="#NAME?"/>
    <e v="#NAME?"/>
    <e v="#NAME?"/>
    <m/>
    <m/>
    <m/>
    <m/>
    <m/>
  </r>
  <r>
    <s v="O003306"/>
    <s v="LEIDY JOHANA RODRIGUEZ GARCIA"/>
    <x v="1"/>
    <x v="16"/>
    <s v="BBVA"/>
    <e v="#NAME?"/>
    <x v="137"/>
    <n v="0.75"/>
    <s v="Desarrollador"/>
    <s v="Distribuido"/>
    <m/>
    <e v="#NAME?"/>
    <e v="#NAME?"/>
    <e v="#NAME?"/>
    <m/>
    <m/>
    <m/>
    <m/>
    <m/>
  </r>
  <r>
    <s v="O003306"/>
    <s v="LEIDY JOHANA RODRIGUEZ GARCIA"/>
    <x v="1"/>
    <x v="16"/>
    <s v="BBVA"/>
    <e v="#NAME?"/>
    <x v="137"/>
    <n v="0.25"/>
    <s v="Desarrollador"/>
    <s v="Distribuido"/>
    <m/>
    <e v="#NAME?"/>
    <e v="#NAME?"/>
    <e v="#NAME?"/>
    <m/>
    <m/>
    <m/>
    <m/>
    <m/>
  </r>
  <r>
    <s v="CE52611"/>
    <s v="GUSTAVO ADOLFO SALAZAR BERNAL"/>
    <x v="1"/>
    <x v="16"/>
    <s v="SII"/>
    <e v="#NAME?"/>
    <x v="5"/>
    <n v="0.5"/>
    <s v="Desarrollador"/>
    <s v="Distribuido"/>
    <m/>
    <e v="#NAME?"/>
    <e v="#NAME?"/>
    <e v="#NAME?"/>
    <m/>
    <m/>
    <m/>
    <m/>
    <m/>
  </r>
  <r>
    <s v="CE52611"/>
    <s v="GUSTAVO ADOLFO SALAZAR BERNAL"/>
    <x v="1"/>
    <x v="16"/>
    <s v="SII"/>
    <e v="#NAME?"/>
    <x v="142"/>
    <n v="0.5"/>
    <s v="Desarrollador"/>
    <s v="Distribuido"/>
    <m/>
    <e v="#NAME?"/>
    <e v="#NAME?"/>
    <e v="#NAME?"/>
    <m/>
    <m/>
    <m/>
    <m/>
    <m/>
  </r>
  <r>
    <s v="C804789"/>
    <s v="JHON ALEXANDER PINEDA ARIAS"/>
    <x v="1"/>
    <x v="16"/>
    <s v="BBVA"/>
    <e v="#NAME?"/>
    <x v="143"/>
    <n v="0.5"/>
    <s v="Desarrollador"/>
    <s v="Mainframe"/>
    <m/>
    <e v="#NAME?"/>
    <e v="#NAME?"/>
    <e v="#NAME?"/>
    <m/>
    <m/>
    <m/>
    <m/>
    <m/>
  </r>
  <r>
    <s v="C804789"/>
    <s v="JHON ALEXANDER PINEDA ARIAS"/>
    <x v="1"/>
    <x v="16"/>
    <s v="BBVA"/>
    <e v="#NAME?"/>
    <x v="144"/>
    <n v="0.5"/>
    <s v="Desarrollador"/>
    <s v="Mainframe"/>
    <m/>
    <e v="#NAME?"/>
    <e v="#NAME?"/>
    <e v="#NAME?"/>
    <m/>
    <m/>
    <m/>
    <m/>
    <m/>
  </r>
  <r>
    <s v="C810672"/>
    <s v="ALEJANDRA MARIA HINCAPIE AGUIRRE"/>
    <x v="1"/>
    <x v="16"/>
    <s v="BBVA"/>
    <e v="#NAME?"/>
    <x v="6"/>
    <n v="0.5"/>
    <s v="Desarrollador"/>
    <s v="Distribuido"/>
    <m/>
    <e v="#NAME?"/>
    <e v="#NAME?"/>
    <e v="#NAME?"/>
    <m/>
    <m/>
    <m/>
    <m/>
    <m/>
  </r>
  <r>
    <s v="C810672"/>
    <s v="ALEJANDRA MARIA HINCAPIE AGUIRRE"/>
    <x v="1"/>
    <x v="16"/>
    <s v="BBVA"/>
    <e v="#NAME?"/>
    <x v="144"/>
    <n v="0.5"/>
    <s v="Desarrollador"/>
    <s v="Distribuido"/>
    <m/>
    <e v="#NAME?"/>
    <e v="#NAME?"/>
    <e v="#NAME?"/>
    <m/>
    <m/>
    <m/>
    <m/>
    <m/>
  </r>
  <r>
    <s v="C804843"/>
    <s v="EDUAR DUBAN GONZALEZ JOYA"/>
    <x v="1"/>
    <x v="16"/>
    <s v="BBVA"/>
    <e v="#NAME?"/>
    <x v="6"/>
    <n v="0.5"/>
    <s v="Desarrollador"/>
    <s v="Distribuido"/>
    <m/>
    <e v="#NAME?"/>
    <e v="#NAME?"/>
    <e v="#NAME?"/>
    <m/>
    <m/>
    <m/>
    <m/>
    <m/>
  </r>
  <r>
    <s v="C804843"/>
    <s v="EDUAR DUBAN GONZALEZ JOYA"/>
    <x v="1"/>
    <x v="16"/>
    <s v="BBVA"/>
    <e v="#NAME?"/>
    <x v="144"/>
    <n v="0.5"/>
    <s v="Desarrollador"/>
    <s v="Distribuido"/>
    <m/>
    <e v="#NAME?"/>
    <e v="#NAME?"/>
    <e v="#NAME?"/>
    <m/>
    <m/>
    <m/>
    <m/>
    <m/>
  </r>
  <r>
    <s v="C805104"/>
    <s v="JEISSON SNEYDER GALLO RAMIREZ"/>
    <x v="1"/>
    <x v="16"/>
    <s v="BBVA"/>
    <e v="#NAME?"/>
    <x v="145"/>
    <n v="1"/>
    <s v="Desarrollador"/>
    <s v="Mainframe"/>
    <m/>
    <e v="#NAME?"/>
    <e v="#NAME?"/>
    <e v="#NAME?"/>
    <m/>
    <m/>
    <m/>
    <m/>
    <m/>
  </r>
  <r>
    <s v="C810818"/>
    <s v="SERGIO ALEJANDRO NUÑEZ MENDIVELSO"/>
    <x v="1"/>
    <x v="16"/>
    <s v="BBVA"/>
    <e v="#NAME?"/>
    <x v="146"/>
    <n v="1"/>
    <s v="Desarrollador"/>
    <s v="Mainframe"/>
    <m/>
    <e v="#NAME?"/>
    <e v="#NAME?"/>
    <e v="#NAME?"/>
    <m/>
    <m/>
    <m/>
    <m/>
    <m/>
  </r>
  <r>
    <s v="CE67855"/>
    <s v="ANDREY DAVID NINO GALVIS"/>
    <x v="1"/>
    <x v="16"/>
    <s v="Accenture"/>
    <e v="#NAME?"/>
    <x v="3"/>
    <n v="1"/>
    <s v="Desarrollador"/>
    <s v="Distribuido"/>
    <m/>
    <e v="#NAME?"/>
    <e v="#NAME?"/>
    <e v="#NAME?"/>
    <m/>
    <m/>
    <m/>
    <m/>
    <m/>
  </r>
  <r>
    <s v="T007493"/>
    <s v="BRIAN LEONARDO PEREZ RUBIANO"/>
    <x v="1"/>
    <x v="16"/>
    <s v="GGI / CMC"/>
    <e v="#NAME?"/>
    <x v="137"/>
    <n v="0.5"/>
    <s v="QA"/>
    <s v="Distribuido"/>
    <m/>
    <e v="#NAME?"/>
    <e v="#NAME?"/>
    <e v="#NAME?"/>
    <m/>
    <m/>
    <m/>
    <m/>
    <m/>
  </r>
  <r>
    <s v="C796462"/>
    <s v="CAMILO ANDRES TELLEZ PRIETO"/>
    <x v="1"/>
    <x v="16"/>
    <s v="BBVA"/>
    <e v="#NAME?"/>
    <x v="3"/>
    <n v="1"/>
    <s v="Tech Manager/Líder"/>
    <s v="Mainframe"/>
    <m/>
    <e v="#NAME?"/>
    <e v="#NAME?"/>
    <e v="#NAME?"/>
    <m/>
    <m/>
    <m/>
    <m/>
    <m/>
  </r>
  <r>
    <s v="C342545"/>
    <s v="CARLOS ANDRES MARTINEZ BEDOYA"/>
    <x v="1"/>
    <x v="16"/>
    <s v="BBVA"/>
    <e v="#NAME?"/>
    <x v="3"/>
    <n v="1"/>
    <s v="Desarrollador"/>
    <s v="Mainframe"/>
    <m/>
    <e v="#NAME?"/>
    <e v="#NAME?"/>
    <e v="#NAME?"/>
    <m/>
    <m/>
    <m/>
    <m/>
    <m/>
  </r>
  <r>
    <s v="CE69667"/>
    <s v="HAROLD ENRIQUE ROCANCIO JULIO"/>
    <x v="1"/>
    <x v="16"/>
    <s v="GGI / CMC"/>
    <e v="#NAME?"/>
    <x v="3"/>
    <n v="1"/>
    <s v="Otros"/>
    <s v="Distribuido"/>
    <m/>
    <e v="#NAME?"/>
    <e v="#NAME?"/>
    <e v="#NAME?"/>
    <m/>
    <m/>
    <m/>
    <m/>
    <m/>
  </r>
  <r>
    <s v="CE65485"/>
    <s v="HECTOR JAIRO LEGUIZAMON "/>
    <x v="1"/>
    <x v="16"/>
    <s v="Accenture"/>
    <e v="#NAME?"/>
    <x v="3"/>
    <n v="1"/>
    <s v="Desarrollador"/>
    <s v="Distribuido"/>
    <m/>
    <e v="#NAME?"/>
    <e v="#NAME?"/>
    <e v="#NAME?"/>
    <m/>
    <m/>
    <m/>
    <m/>
    <m/>
  </r>
  <r>
    <s v="C809352"/>
    <s v="JOHAN GARZON PEDRAZA"/>
    <x v="1"/>
    <x v="16"/>
    <s v="BBVA"/>
    <e v="#NAME?"/>
    <x v="3"/>
    <n v="1"/>
    <s v="Desarrollador"/>
    <s v="Mainframe"/>
    <m/>
    <e v="#NAME?"/>
    <e v="#NAME?"/>
    <e v="#NAME?"/>
    <m/>
    <m/>
    <m/>
    <m/>
    <m/>
  </r>
  <r>
    <s v="CE67103"/>
    <s v="KAREN ANDREA BELTRÁN SILVA"/>
    <x v="1"/>
    <x v="16"/>
    <s v="Accenture"/>
    <e v="#NAME?"/>
    <x v="3"/>
    <n v="1"/>
    <s v="Desarrollador"/>
    <s v="Distribuido"/>
    <m/>
    <e v="#NAME?"/>
    <e v="#NAME?"/>
    <e v="#NAME?"/>
    <m/>
    <m/>
    <m/>
    <m/>
    <m/>
  </r>
  <r>
    <s v="CE66251"/>
    <s v="SANTIAGO A SANTOS ESTRADA"/>
    <x v="1"/>
    <x v="16"/>
    <s v="GGI / CMC"/>
    <e v="#NAME?"/>
    <x v="139"/>
    <n v="0.5"/>
    <s v="QA"/>
    <s v="Distribuido"/>
    <m/>
    <e v="#NAME?"/>
    <e v="#NAME?"/>
    <e v="#NAME?"/>
    <m/>
    <m/>
    <m/>
    <m/>
    <m/>
  </r>
  <r>
    <s v="C811314"/>
    <s v="GONZALO CHAPARRO LOPEZ"/>
    <x v="0"/>
    <x v="17"/>
    <s v="BBVA"/>
    <e v="#NAME?"/>
    <x v="3"/>
    <n v="0.75"/>
    <s v="Tech Manager/Líder"/>
    <s v="Distribuido"/>
    <m/>
    <e v="#NAME?"/>
    <e v="#NAME?"/>
    <e v="#NAME?"/>
    <m/>
    <m/>
    <m/>
    <m/>
    <m/>
  </r>
  <r>
    <s v="C811314"/>
    <s v="GONZALO CHAPARRO LOPEZ"/>
    <x v="0"/>
    <x v="17"/>
    <s v="BBVA"/>
    <e v="#NAME?"/>
    <x v="20"/>
    <n v="0.25"/>
    <s v="Tech Manager/Líder"/>
    <s v="Distribuido"/>
    <m/>
    <e v="#NAME?"/>
    <e v="#NAME?"/>
    <e v="#NAME?"/>
    <m/>
    <m/>
    <m/>
    <m/>
    <m/>
  </r>
  <r>
    <s v="CE68481"/>
    <s v="PEREZ PAN WILLIAM STEVEN"/>
    <x v="0"/>
    <x v="17"/>
    <s v="GGI / CMC"/>
    <e v="#NAME?"/>
    <x v="3"/>
    <n v="1"/>
    <s v="QA"/>
    <s v="Distribuido"/>
    <m/>
    <e v="#NAME?"/>
    <e v="#NAME?"/>
    <e v="#NAME?"/>
    <m/>
    <m/>
    <m/>
    <m/>
    <m/>
  </r>
  <r>
    <s v="T001858"/>
    <s v="AGREDO LLANTEN NESTOR RAUL"/>
    <x v="0"/>
    <x v="17"/>
    <s v="Neoris"/>
    <e v="#NAME?"/>
    <x v="40"/>
    <n v="1"/>
    <s v="Desarrollador"/>
    <s v="Distribuido"/>
    <m/>
    <e v="#NAME?"/>
    <e v="#NAME?"/>
    <e v="#NAME?"/>
    <m/>
    <m/>
    <m/>
    <m/>
    <m/>
  </r>
  <r>
    <s v="CE66707"/>
    <s v="ALFONSO PUIN DANIEL FELIPE"/>
    <x v="0"/>
    <x v="17"/>
    <s v="GGI / CMC"/>
    <e v="#NAME?"/>
    <x v="40"/>
    <n v="1"/>
    <s v="Desarrollador"/>
    <s v="Distribuido"/>
    <m/>
    <e v="#NAME?"/>
    <e v="#NAME?"/>
    <e v="#NAME?"/>
    <m/>
    <m/>
    <m/>
    <m/>
    <m/>
  </r>
  <r>
    <s v="C802984"/>
    <s v="ALVARADO URUETA AVELINO RAFAEL"/>
    <x v="0"/>
    <x v="17"/>
    <s v="BBVA"/>
    <e v="#NAME?"/>
    <x v="3"/>
    <n v="0.5"/>
    <s v="Desarrollador"/>
    <s v="Distribuido"/>
    <m/>
    <e v="#NAME?"/>
    <e v="#NAME?"/>
    <e v="#NAME?"/>
    <m/>
    <m/>
    <m/>
    <m/>
    <m/>
  </r>
  <r>
    <s v="C802984"/>
    <s v="ALVARADO URUETA AVELINO RAFAEL"/>
    <x v="0"/>
    <x v="17"/>
    <s v="BBVA"/>
    <e v="#NAME?"/>
    <x v="40"/>
    <n v="0.5"/>
    <s v="Desarrollador"/>
    <s v="Distribuido"/>
    <m/>
    <e v="#NAME?"/>
    <e v="#NAME?"/>
    <e v="#NAME?"/>
    <m/>
    <m/>
    <m/>
    <m/>
    <m/>
  </r>
  <r>
    <s v="CE30852"/>
    <s v="CAMELO MORA LADY KATHERINE"/>
    <x v="0"/>
    <x v="17"/>
    <s v="GGI / CMC"/>
    <e v="#NAME?"/>
    <x v="3"/>
    <n v="1"/>
    <s v="Desarrollador"/>
    <s v="Distribuido"/>
    <m/>
    <e v="#NAME?"/>
    <e v="#NAME?"/>
    <e v="#NAME?"/>
    <m/>
    <m/>
    <m/>
    <m/>
    <m/>
  </r>
  <r>
    <s v="C804326"/>
    <s v="CARVAJAL ARRAIZ ANGELICA ALEJANDRA"/>
    <x v="0"/>
    <x v="17"/>
    <s v="BBVA"/>
    <e v="#NAME?"/>
    <x v="3"/>
    <n v="0.25"/>
    <s v="Desarrollador"/>
    <s v="Distribuido"/>
    <m/>
    <e v="#NAME?"/>
    <e v="#NAME?"/>
    <e v="#NAME?"/>
    <m/>
    <m/>
    <m/>
    <m/>
    <m/>
  </r>
  <r>
    <s v="C804326"/>
    <s v="CARVAJAL ARRAIZ ANGELICA ALEJANDRA"/>
    <x v="0"/>
    <x v="17"/>
    <s v="BBVA"/>
    <e v="#NAME?"/>
    <x v="40"/>
    <n v="0.75"/>
    <s v="Desarrollador"/>
    <s v="Distribuido"/>
    <m/>
    <e v="#NAME?"/>
    <e v="#NAME?"/>
    <e v="#NAME?"/>
    <m/>
    <m/>
    <m/>
    <m/>
    <m/>
  </r>
  <r>
    <s v="C811188"/>
    <s v="CASTRO PULIDO STEFANNY LIZETH"/>
    <x v="0"/>
    <x v="17"/>
    <s v="BBVA"/>
    <e v="#NAME?"/>
    <x v="3"/>
    <n v="1"/>
    <s v="Otros"/>
    <s v="Distribuido"/>
    <m/>
    <e v="#NAME?"/>
    <e v="#NAME?"/>
    <e v="#NAME?"/>
    <m/>
    <m/>
    <m/>
    <m/>
    <m/>
  </r>
  <r>
    <s v="CE57157"/>
    <s v="CHAVES ANGEL JOAN NICOLAS"/>
    <x v="0"/>
    <x v="17"/>
    <s v="GGI / CMC"/>
    <e v="#NAME?"/>
    <x v="3"/>
    <n v="1"/>
    <s v="Desarrollador"/>
    <s v="Distribuido"/>
    <m/>
    <e v="#NAME?"/>
    <e v="#NAME?"/>
    <e v="#NAME?"/>
    <m/>
    <m/>
    <m/>
    <m/>
    <m/>
  </r>
  <r>
    <s v="T003701"/>
    <s v="CORREA HURTADO KEVIN ALEJANDRO"/>
    <x v="0"/>
    <x v="17"/>
    <s v="GGI / CMC"/>
    <e v="#NAME?"/>
    <x v="3"/>
    <n v="1"/>
    <s v="Desarrollador"/>
    <s v="Distribuido"/>
    <m/>
    <e v="#NAME?"/>
    <e v="#NAME?"/>
    <e v="#NAME?"/>
    <m/>
    <m/>
    <m/>
    <m/>
    <m/>
  </r>
  <r>
    <s v="CE64257"/>
    <s v="DIAZ SALAZAR EDILBERTO"/>
    <x v="0"/>
    <x v="17"/>
    <s v="KRYPTO"/>
    <e v="#NAME?"/>
    <x v="3"/>
    <n v="1"/>
    <s v="Otros"/>
    <s v="Distribuido"/>
    <m/>
    <e v="#NAME?"/>
    <e v="#NAME?"/>
    <e v="#NAME?"/>
    <m/>
    <m/>
    <m/>
    <m/>
    <m/>
  </r>
  <r>
    <s v="C810910"/>
    <s v="OLIVOS FONSECA JONATHAN STEVEN"/>
    <x v="0"/>
    <x v="17"/>
    <s v="BBVA"/>
    <e v="#NAME?"/>
    <x v="3"/>
    <n v="0.5"/>
    <s v="Desarrollador"/>
    <s v="Distribuido"/>
    <m/>
    <e v="#NAME?"/>
    <e v="#NAME?"/>
    <e v="#NAME?"/>
    <m/>
    <m/>
    <m/>
    <m/>
    <m/>
  </r>
  <r>
    <s v="C810910"/>
    <s v="OLIVOS FONSECA JONATHAN STEVEN"/>
    <x v="0"/>
    <x v="17"/>
    <s v="BBVA"/>
    <e v="#NAME?"/>
    <x v="20"/>
    <n v="0.5"/>
    <s v="Desarrollador"/>
    <s v="Distribuido"/>
    <m/>
    <e v="#NAME?"/>
    <e v="#NAME?"/>
    <e v="#NAME?"/>
    <m/>
    <m/>
    <m/>
    <m/>
    <m/>
  </r>
  <r>
    <s v="T004577"/>
    <s v="PINEDA MAHECHA PABLO ENRIQUE"/>
    <x v="0"/>
    <x v="17"/>
    <s v="GGI / CMC"/>
    <e v="#NAME?"/>
    <x v="3"/>
    <n v="1"/>
    <s v="Desarrollador"/>
    <s v="Distribuido"/>
    <m/>
    <e v="#NAME?"/>
    <e v="#NAME?"/>
    <e v="#NAME?"/>
    <m/>
    <m/>
    <m/>
    <m/>
    <m/>
  </r>
  <r>
    <s v="CE60509"/>
    <s v="RODRIGUEZ RIVERA ANDRES CAMILO"/>
    <x v="0"/>
    <x v="17"/>
    <s v="GGI / CMC"/>
    <e v="#NAME?"/>
    <x v="95"/>
    <n v="1"/>
    <s v="Desarrollador"/>
    <s v="Distribuido"/>
    <m/>
    <e v="#NAME?"/>
    <e v="#NAME?"/>
    <e v="#NAME?"/>
    <m/>
    <m/>
    <m/>
    <m/>
    <m/>
  </r>
  <r>
    <s v="CE70171"/>
    <s v="CASALLAS LEGUIZAMON NELSON SEBASTIAN"/>
    <x v="0"/>
    <x v="17"/>
    <s v="GGI / CMC"/>
    <e v="#NAME?"/>
    <x v="3"/>
    <n v="1"/>
    <s v="Desarrollador"/>
    <s v="Distribuido"/>
    <m/>
    <e v="#NAME?"/>
    <e v="#NAME?"/>
    <e v="#NAME?"/>
    <m/>
    <m/>
    <m/>
    <m/>
    <m/>
  </r>
  <r>
    <s v="C810855"/>
    <s v="PALACIO CHAVES ANDRES FELIPE"/>
    <x v="0"/>
    <x v="17"/>
    <s v="BBVA"/>
    <e v="#NAME?"/>
    <x v="147"/>
    <n v="1"/>
    <s v="Desarrollador"/>
    <s v="Distribuido"/>
    <m/>
    <e v="#NAME?"/>
    <e v="#NAME?"/>
    <e v="#NAME?"/>
    <m/>
    <m/>
    <m/>
    <m/>
    <m/>
  </r>
  <r>
    <s v="C809514"/>
    <s v="MUÑOZ CEDANO LEONEL"/>
    <x v="0"/>
    <x v="17"/>
    <s v="BBVA"/>
    <e v="#NAME?"/>
    <x v="15"/>
    <n v="1"/>
    <s v="Desarrollador"/>
    <s v="Distribuido"/>
    <m/>
    <e v="#NAME?"/>
    <e v="#NAME?"/>
    <e v="#NAME?"/>
    <m/>
    <m/>
    <m/>
    <m/>
    <m/>
  </r>
  <r>
    <s v="CE66043"/>
    <s v="QUINTERO GAITÁN CRISTIAN ALBERTO"/>
    <x v="0"/>
    <x v="17"/>
    <s v="GGI / CMC"/>
    <e v="#NAME?"/>
    <x v="147"/>
    <n v="0.5"/>
    <s v="Desarrollador"/>
    <s v="Distribuido"/>
    <m/>
    <e v="#NAME?"/>
    <e v="#NAME?"/>
    <e v="#NAME?"/>
    <m/>
    <m/>
    <m/>
    <m/>
    <m/>
  </r>
  <r>
    <s v="CE66043"/>
    <s v="QUINTERO GAITÁN CRISTIAN ALBERTO"/>
    <x v="0"/>
    <x v="17"/>
    <s v="GGI / CMC"/>
    <e v="#NAME?"/>
    <x v="131"/>
    <n v="0.5"/>
    <s v="Desarrollador"/>
    <s v="Distribuido"/>
    <m/>
    <e v="#NAME?"/>
    <e v="#NAME?"/>
    <e v="#NAME?"/>
    <m/>
    <m/>
    <m/>
    <m/>
    <m/>
  </r>
  <r>
    <s v="CE70945"/>
    <s v="PENA DIAZ EDGAR SEBASTIAN"/>
    <x v="0"/>
    <x v="17"/>
    <s v="GGI / CMC"/>
    <e v="#NAME?"/>
    <x v="147"/>
    <n v="0.5"/>
    <s v="Desarrollador"/>
    <s v="Distribuido"/>
    <m/>
    <e v="#NAME?"/>
    <e v="#NAME?"/>
    <e v="#NAME?"/>
    <m/>
    <m/>
    <m/>
    <m/>
    <m/>
  </r>
  <r>
    <s v="CE70945"/>
    <s v="PENA DIAZ EDGAR SEBASTIAN"/>
    <x v="0"/>
    <x v="17"/>
    <s v="GGI / CMC"/>
    <e v="#NAME?"/>
    <x v="130"/>
    <n v="0.5"/>
    <s v="Desarrollador"/>
    <s v="Cells"/>
    <m/>
    <e v="#NAME?"/>
    <e v="#NAME?"/>
    <e v="#NAME?"/>
    <m/>
    <m/>
    <m/>
    <m/>
    <m/>
  </r>
  <r>
    <s v="CE67424"/>
    <s v="JIMENEZ MUÑOZ ANA MARIA"/>
    <x v="0"/>
    <x v="17"/>
    <s v="GGI / CMC"/>
    <e v="#NAME?"/>
    <x v="147"/>
    <n v="0.5"/>
    <s v="QA"/>
    <s v="Distribuido"/>
    <m/>
    <e v="#NAME?"/>
    <e v="#NAME?"/>
    <e v="#NAME?"/>
    <m/>
    <m/>
    <m/>
    <m/>
    <m/>
  </r>
  <r>
    <s v="CE67424"/>
    <s v="JIMENEZ MUÑOZ ANA MARIA"/>
    <x v="0"/>
    <x v="17"/>
    <s v="GGI / CMC"/>
    <e v="#NAME?"/>
    <x v="15"/>
    <n v="0.5"/>
    <s v="QA"/>
    <s v="Distribuido"/>
    <m/>
    <e v="#NAME?"/>
    <e v="#NAME?"/>
    <e v="#NAME?"/>
    <m/>
    <m/>
    <m/>
    <m/>
    <m/>
  </r>
  <r>
    <s v="CE70844"/>
    <s v="CORONADO ALVARO FELIPE"/>
    <x v="0"/>
    <x v="17"/>
    <s v="GGI / CMC"/>
    <e v="#NAME?"/>
    <x v="147"/>
    <n v="1"/>
    <s v="Desarrollador"/>
    <s v="Distribuido"/>
    <m/>
    <e v="#NAME?"/>
    <e v="#NAME?"/>
    <e v="#NAME?"/>
    <m/>
    <m/>
    <m/>
    <m/>
    <m/>
  </r>
  <r>
    <s v="CE70149"/>
    <s v="ALDANA ROJAS TIHAMER KARLOVICH"/>
    <x v="0"/>
    <x v="17"/>
    <s v="GGI / CMC"/>
    <e v="#NAME?"/>
    <x v="15"/>
    <n v="1"/>
    <s v="Desarrollador"/>
    <s v="Distribuido"/>
    <m/>
    <e v="#NAME?"/>
    <e v="#NAME?"/>
    <e v="#NAME?"/>
    <m/>
    <m/>
    <m/>
    <m/>
    <m/>
  </r>
  <r>
    <s v="C811408"/>
    <s v="BENITEZ ATENCIA JAIME RAFAEL"/>
    <x v="0"/>
    <x v="17"/>
    <s v="BBVA"/>
    <e v="#NAME?"/>
    <x v="130"/>
    <n v="0.5"/>
    <s v="Desarrollador"/>
    <s v="APX"/>
    <m/>
    <e v="#NAME?"/>
    <e v="#NAME?"/>
    <e v="#NAME?"/>
    <m/>
    <m/>
    <m/>
    <m/>
    <m/>
  </r>
  <r>
    <s v="C811408"/>
    <s v="BENITEZ ATENCIA JAIME RAFAEL"/>
    <x v="0"/>
    <x v="17"/>
    <s v="BBVA"/>
    <e v="#NAME?"/>
    <x v="147"/>
    <n v="0.5"/>
    <s v="Desarrollador"/>
    <s v="APX"/>
    <m/>
    <e v="#NAME?"/>
    <e v="#NAME?"/>
    <e v="#NAME?"/>
    <m/>
    <m/>
    <m/>
    <m/>
    <m/>
  </r>
  <r>
    <s v="T005725"/>
    <s v="NARANJO WILMER FERNEY"/>
    <x v="0"/>
    <x v="17"/>
    <s v="GGI / CMC"/>
    <e v="#NAME?"/>
    <x v="147"/>
    <n v="1"/>
    <s v="Desarrollador"/>
    <s v="APX"/>
    <m/>
    <e v="#NAME?"/>
    <e v="#NAME?"/>
    <e v="#NAME?"/>
    <m/>
    <m/>
    <m/>
    <m/>
    <m/>
  </r>
  <r>
    <s v="-"/>
    <s v="JERSON SANCHEZ"/>
    <x v="0"/>
    <x v="17"/>
    <s v="GGI / CMC"/>
    <e v="#NAME?"/>
    <x v="147"/>
    <n v="1"/>
    <s v="Desarrollador"/>
    <s v="Otras Tec."/>
    <m/>
    <e v="#NAME?"/>
    <e v="#NAME?"/>
    <e v="#NAME?"/>
    <m/>
    <m/>
    <m/>
    <m/>
    <m/>
  </r>
  <r>
    <s v="CE58491"/>
    <s v="RICARDO AGUSTIN PACHON PIRAGAUTA"/>
    <x v="1"/>
    <x v="18"/>
    <s v="Inetum"/>
    <e v="#NAME?"/>
    <x v="148"/>
    <n v="0.5"/>
    <s v="Otros"/>
    <s v="Distribuido"/>
    <m/>
    <e v="#NAME?"/>
    <e v="#NAME?"/>
    <e v="#NAME?"/>
    <m/>
    <m/>
    <m/>
    <m/>
    <m/>
  </r>
  <r>
    <s v="O000083"/>
    <s v="Oscar Ivan Muñoz Alvarez"/>
    <x v="1"/>
    <x v="18"/>
    <s v="BBVA Fiduciaria"/>
    <e v="#NAME?"/>
    <x v="32"/>
    <n v="1"/>
    <s v="Otros"/>
    <s v="Distribuido"/>
    <m/>
    <e v="#NAME?"/>
    <e v="#NAME?"/>
    <e v="#NAME?"/>
    <m/>
    <m/>
    <m/>
    <m/>
    <m/>
  </r>
  <r>
    <s v="CI35435"/>
    <s v="Soraida Cujavante Sierra"/>
    <x v="1"/>
    <x v="18"/>
    <s v="BBVA Fiduciaria"/>
    <e v="#NAME?"/>
    <x v="3"/>
    <n v="0.75"/>
    <s v="Otros"/>
    <s v="Distribuido"/>
    <m/>
    <e v="#NAME?"/>
    <e v="#NAME?"/>
    <e v="#NAME?"/>
    <m/>
    <m/>
    <m/>
    <m/>
    <m/>
  </r>
  <r>
    <s v="CI35407"/>
    <s v="Elkin David Fuentes Rodríguez"/>
    <x v="1"/>
    <x v="18"/>
    <s v="BBVA Fiduciaria"/>
    <e v="#NAME?"/>
    <x v="3"/>
    <n v="0.75"/>
    <s v="Otros"/>
    <s v="Distribuido"/>
    <m/>
    <e v="#NAME?"/>
    <e v="#NAME?"/>
    <e v="#NAME?"/>
    <m/>
    <m/>
    <m/>
    <m/>
    <m/>
  </r>
  <r>
    <s v="CI01204"/>
    <s v="Celso Hernández Torres"/>
    <x v="1"/>
    <x v="18"/>
    <s v="BBVA Fiduciaria"/>
    <e v="#NAME?"/>
    <x v="3"/>
    <n v="0.75"/>
    <s v="Tech Manager/Líder"/>
    <s v="Distribuido"/>
    <m/>
    <e v="#NAME?"/>
    <e v="#NAME?"/>
    <e v="#NAME?"/>
    <m/>
    <m/>
    <m/>
    <m/>
    <m/>
  </r>
  <r>
    <s v="CI01204"/>
    <s v="Celso Hernández Torres"/>
    <x v="1"/>
    <x v="18"/>
    <s v="BBVA Fiduciaria"/>
    <e v="#NAME?"/>
    <x v="149"/>
    <n v="0.25"/>
    <s v="Tech Manager/Líder"/>
    <s v="Distribuido"/>
    <m/>
    <e v="#NAME?"/>
    <e v="#NAME?"/>
    <e v="#NAME?"/>
    <m/>
    <m/>
    <m/>
    <m/>
    <m/>
  </r>
  <r>
    <s v="CI35375"/>
    <s v="Luis Rodrigo Ulloa Marin"/>
    <x v="1"/>
    <x v="18"/>
    <s v="BBVA Fiduciaria"/>
    <e v="#NAME?"/>
    <x v="148"/>
    <n v="0.25"/>
    <s v="Tech Manager/Líder"/>
    <s v="Distribuido"/>
    <m/>
    <e v="#NAME?"/>
    <e v="#NAME?"/>
    <e v="#NAME?"/>
    <m/>
    <m/>
    <m/>
    <m/>
    <m/>
  </r>
  <r>
    <s v="CI35375"/>
    <s v="Luis Rodrigo Ulloa Marin"/>
    <x v="1"/>
    <x v="18"/>
    <s v="BBVA Fiduciaria"/>
    <e v="#NAME?"/>
    <x v="3"/>
    <n v="0.25"/>
    <s v="Tech Manager/Líder"/>
    <s v="Distribuido"/>
    <m/>
    <e v="#NAME?"/>
    <e v="#NAME?"/>
    <e v="#NAME?"/>
    <m/>
    <m/>
    <m/>
    <m/>
    <m/>
  </r>
  <r>
    <s v="CI35407"/>
    <s v="Elkin David Fuentes Rodríguez"/>
    <x v="1"/>
    <x v="18"/>
    <s v="BBVA Fiduciaria"/>
    <e v="#NAME?"/>
    <x v="150"/>
    <n v="0.25"/>
    <s v="Otros"/>
    <s v="Distribuido"/>
    <m/>
    <e v="#NAME?"/>
    <e v="#NAME?"/>
    <e v="#NAME?"/>
    <m/>
    <m/>
    <m/>
    <m/>
    <m/>
  </r>
  <r>
    <s v="CI35435"/>
    <s v="Soraida Cujavante Sierra"/>
    <x v="1"/>
    <x v="18"/>
    <s v="BBVA Fiduciaria"/>
    <e v="#NAME?"/>
    <x v="151"/>
    <n v="0.25"/>
    <s v="Otros"/>
    <s v="Distribuido"/>
    <m/>
    <e v="#NAME?"/>
    <e v="#NAME?"/>
    <e v="#NAME?"/>
    <m/>
    <m/>
    <m/>
    <m/>
    <m/>
  </r>
  <r>
    <s v="T011273"/>
    <s v="Brenda Liliana Sepúlveda Vega"/>
    <x v="1"/>
    <x v="18"/>
    <s v="BBVA Fiduciaria"/>
    <e v="#NAME?"/>
    <x v="151"/>
    <n v="1"/>
    <s v="Otros"/>
    <s v="Distribuido"/>
    <m/>
    <e v="#NAME?"/>
    <e v="#NAME?"/>
    <e v="#NAME?"/>
    <m/>
    <m/>
    <m/>
    <m/>
    <m/>
  </r>
  <r>
    <s v="CI35406"/>
    <s v="Jenny Martinez Lopez"/>
    <x v="1"/>
    <x v="18"/>
    <s v="BBVA Fiduciaria"/>
    <e v="#NAME?"/>
    <x v="152"/>
    <n v="0.25"/>
    <s v="Tech Manager/Líder"/>
    <s v="Distribuido"/>
    <m/>
    <e v="#NAME?"/>
    <e v="#NAME?"/>
    <e v="#NAME?"/>
    <m/>
    <m/>
    <m/>
    <m/>
    <m/>
  </r>
  <r>
    <s v="CI35406"/>
    <s v="Jenny Martinez Lopez"/>
    <x v="1"/>
    <x v="18"/>
    <s v="BBVA Fiduciaria"/>
    <e v="#NAME?"/>
    <x v="3"/>
    <n v="0.75"/>
    <s v="Otros"/>
    <s v="Distribuido"/>
    <m/>
    <e v="#NAME?"/>
    <e v="#NAME?"/>
    <e v="#NAME?"/>
    <m/>
    <m/>
    <m/>
    <m/>
    <m/>
  </r>
  <r>
    <s v="CI35202"/>
    <s v="Hugo Ferney Prieto Posso"/>
    <x v="1"/>
    <x v="18"/>
    <s v="BBVA Fiduciaria"/>
    <e v="#NAME?"/>
    <x v="3"/>
    <n v="1"/>
    <s v="Otros"/>
    <s v="Distribuido"/>
    <m/>
    <e v="#NAME?"/>
    <e v="#NAME?"/>
    <e v="#NAME?"/>
    <m/>
    <m/>
    <m/>
    <m/>
    <m/>
  </r>
  <r>
    <s v="CI35375"/>
    <s v="Luis Rodrigo Ulloa Marin"/>
    <x v="1"/>
    <x v="18"/>
    <s v="BBVA Fiduciaria"/>
    <e v="#NAME?"/>
    <x v="153"/>
    <n v="0.16"/>
    <s v="Tech Manager/Líder"/>
    <s v="Distribuido"/>
    <m/>
    <e v="#NAME?"/>
    <e v="#NAME?"/>
    <e v="#NAME?"/>
    <m/>
    <m/>
    <m/>
    <m/>
    <m/>
  </r>
  <r>
    <s v="CE68033"/>
    <s v="Donoban Ricardo Figueredo Piragauta"/>
    <x v="1"/>
    <x v="18"/>
    <s v="BBVA Fiduciaria"/>
    <e v="#NAME?"/>
    <x v="3"/>
    <n v="1"/>
    <s v="QA"/>
    <s v="Distribuido"/>
    <m/>
    <e v="#NAME?"/>
    <e v="#NAME?"/>
    <e v="#NAME?"/>
    <m/>
    <m/>
    <m/>
    <m/>
    <m/>
  </r>
  <r>
    <s v="CE58491"/>
    <s v="RICARDO AGUSTIN PACHON PIRAGAUTA"/>
    <x v="1"/>
    <x v="18"/>
    <s v="Inetum"/>
    <e v="#NAME?"/>
    <x v="3"/>
    <n v="0.5"/>
    <s v="Otros"/>
    <m/>
    <m/>
    <e v="#NAME?"/>
    <e v="#NAME?"/>
    <e v="#NAME?"/>
    <m/>
    <m/>
    <m/>
    <m/>
    <m/>
  </r>
  <r>
    <s v="O001341"/>
    <s v="JOHN FREDDY JIMENEZ"/>
    <x v="5"/>
    <x v="19"/>
    <s v="BBVA"/>
    <e v="#NAME?"/>
    <x v="154"/>
    <n v="0.25"/>
    <s v="Tech Manager/Líder"/>
    <s v="Mainframe"/>
    <s v="BlueSpring"/>
    <e v="#NAME?"/>
    <e v="#NAME?"/>
    <e v="#NAME?"/>
    <m/>
    <m/>
    <m/>
    <n v="3"/>
    <n v="15"/>
  </r>
  <r>
    <s v="O001341"/>
    <s v="JOHN FREDDY JIMENEZ"/>
    <x v="5"/>
    <x v="19"/>
    <s v="BBVA"/>
    <e v="#NAME?"/>
    <x v="155"/>
    <n v="0.3"/>
    <s v="Tech Manager/Líder"/>
    <s v="Cells"/>
    <s v="ASO , APX"/>
    <e v="#NAME?"/>
    <e v="#NAME?"/>
    <e v="#NAME?"/>
    <m/>
    <m/>
    <m/>
    <n v="3"/>
    <n v="11"/>
  </r>
  <r>
    <s v="O001341"/>
    <s v="JOHN FREDDY JIMENEZ"/>
    <x v="5"/>
    <x v="19"/>
    <s v="BBVA"/>
    <e v="#NAME?"/>
    <x v="156"/>
    <n v="0.3"/>
    <s v="Tech Manager/Líder"/>
    <s v="Cells"/>
    <s v="ASO , APX"/>
    <e v="#NAME?"/>
    <e v="#NAME?"/>
    <e v="#NAME?"/>
    <m/>
    <m/>
    <m/>
    <n v="1"/>
    <n v="12"/>
  </r>
  <r>
    <s v="O001341"/>
    <s v="JOHN FREDDY JIMENEZ"/>
    <x v="5"/>
    <x v="19"/>
    <s v="BBVA"/>
    <e v="#NAME?"/>
    <x v="3"/>
    <n v="0.1"/>
    <s v="Tech Manager/Líder"/>
    <s v="Mainframe"/>
    <s v="BlueSpring"/>
    <e v="#NAME?"/>
    <e v="#NAME?"/>
    <e v="#NAME?"/>
    <m/>
    <m/>
    <m/>
    <m/>
    <m/>
  </r>
  <r>
    <s v="C805963"/>
    <s v="GORGETH MOSCARELLA MARTÍNEZ"/>
    <x v="5"/>
    <x v="19"/>
    <s v="BBVA"/>
    <e v="#NAME?"/>
    <x v="154"/>
    <n v="1"/>
    <s v="Desarrollador"/>
    <s v="Mainframe"/>
    <m/>
    <e v="#NAME?"/>
    <e v="#NAME?"/>
    <e v="#NAME?"/>
    <m/>
    <m/>
    <m/>
    <m/>
    <m/>
  </r>
  <r>
    <s v="C805996"/>
    <s v="DANIEL ORLANDO GARZON"/>
    <x v="5"/>
    <x v="19"/>
    <s v="BBVA"/>
    <e v="#NAME?"/>
    <x v="155"/>
    <n v="1"/>
    <s v="Desarrollador"/>
    <s v="Mainframe"/>
    <m/>
    <e v="#NAME?"/>
    <e v="#NAME?"/>
    <e v="#NAME?"/>
    <m/>
    <m/>
    <m/>
    <m/>
    <m/>
  </r>
  <r>
    <s v="C810813"/>
    <s v="RUBIANO MARIN WILLIAM EDUARDO"/>
    <x v="5"/>
    <x v="19"/>
    <s v="BBVA"/>
    <e v="#NAME?"/>
    <x v="154"/>
    <n v="0.8"/>
    <s v="Desarrollador"/>
    <s v="ASO"/>
    <m/>
    <e v="#NAME?"/>
    <e v="#NAME?"/>
    <e v="#NAME?"/>
    <m/>
    <m/>
    <m/>
    <m/>
    <m/>
  </r>
  <r>
    <s v="C810813"/>
    <s v="RUBIANO MARIN WILLIAM EDUARDO"/>
    <x v="5"/>
    <x v="19"/>
    <s v="BBVA"/>
    <e v="#NAME?"/>
    <x v="3"/>
    <n v="0.2"/>
    <s v="Desarrollador"/>
    <s v="ASO"/>
    <m/>
    <e v="#NAME?"/>
    <e v="#NAME?"/>
    <e v="#NAME?"/>
    <m/>
    <m/>
    <m/>
    <m/>
    <m/>
  </r>
  <r>
    <s v="C341736"/>
    <s v="GUEVARA CASTRO JUAN ANDRES"/>
    <x v="5"/>
    <x v="19"/>
    <s v="BBVA"/>
    <e v="#NAME?"/>
    <x v="154"/>
    <n v="0.8"/>
    <s v="Desarrollador"/>
    <s v="Mainframe"/>
    <m/>
    <e v="#NAME?"/>
    <e v="#NAME?"/>
    <e v="#NAME?"/>
    <m/>
    <m/>
    <m/>
    <m/>
    <m/>
  </r>
  <r>
    <s v="C341736"/>
    <s v="GUEVARA CASTRO JUAN ANDRES"/>
    <x v="5"/>
    <x v="19"/>
    <s v="BBVA"/>
    <e v="#NAME?"/>
    <x v="3"/>
    <n v="0.2"/>
    <s v="Desarrollador"/>
    <s v="Mainframe"/>
    <m/>
    <e v="#NAME?"/>
    <e v="#NAME?"/>
    <e v="#NAME?"/>
    <m/>
    <m/>
    <m/>
    <m/>
    <m/>
  </r>
  <r>
    <s v="CE69608"/>
    <s v="JULIETH ALEJANDRA BERMUDEZ BERNAL"/>
    <x v="5"/>
    <x v="19"/>
    <s v="Choucair"/>
    <e v="#NAME?"/>
    <x v="154"/>
    <n v="0.8"/>
    <s v="QA"/>
    <s v="Distribuido"/>
    <m/>
    <e v="#NAME?"/>
    <e v="#NAME?"/>
    <e v="#NAME?"/>
    <m/>
    <m/>
    <m/>
    <m/>
    <m/>
  </r>
  <r>
    <s v="T007662"/>
    <s v="ADRIANA MARCELA RODRIGUEZ"/>
    <x v="5"/>
    <x v="19"/>
    <s v="Neoris"/>
    <e v="#NAME?"/>
    <x v="154"/>
    <n v="0.5"/>
    <s v="Tech Manager/Líder"/>
    <s v="Distribuido"/>
    <m/>
    <e v="#NAME?"/>
    <e v="#NAME?"/>
    <e v="#NAME?"/>
    <m/>
    <m/>
    <m/>
    <m/>
    <m/>
  </r>
  <r>
    <s v="T007663"/>
    <s v="ANDRES ALBERTO SAENZ CORDERO"/>
    <x v="5"/>
    <x v="19"/>
    <s v="Neoris"/>
    <e v="#NAME?"/>
    <x v="154"/>
    <n v="1"/>
    <s v="Desarrollador"/>
    <s v="Distribuido"/>
    <m/>
    <e v="#NAME?"/>
    <e v="#NAME?"/>
    <e v="#NAME?"/>
    <m/>
    <m/>
    <m/>
    <m/>
    <m/>
  </r>
  <r>
    <s v="CE71171"/>
    <s v="DIANA MARCELA MORENO ORTIZ"/>
    <x v="5"/>
    <x v="19"/>
    <s v="Neoris"/>
    <e v="#NAME?"/>
    <x v="154"/>
    <n v="1"/>
    <s v="Desarrollador"/>
    <s v="Distribuido"/>
    <m/>
    <e v="#NAME?"/>
    <e v="#NAME?"/>
    <e v="#NAME?"/>
    <m/>
    <m/>
    <m/>
    <m/>
    <m/>
  </r>
  <r>
    <s v="T002801"/>
    <s v="DAVID GONZALO LARA DIAZ"/>
    <x v="5"/>
    <x v="19"/>
    <s v="Neoris"/>
    <e v="#NAME?"/>
    <x v="154"/>
    <n v="1"/>
    <s v="Desarrollador"/>
    <s v="Distribuido"/>
    <m/>
    <e v="#NAME?"/>
    <e v="#NAME?"/>
    <e v="#NAME?"/>
    <m/>
    <m/>
    <m/>
    <m/>
    <m/>
  </r>
  <r>
    <s v="CE57066"/>
    <s v="LUIS EDIER BERMUDEZ RIOS"/>
    <x v="5"/>
    <x v="19"/>
    <s v="Neoris"/>
    <e v="#NAME?"/>
    <x v="154"/>
    <n v="1"/>
    <s v="Desarrollador"/>
    <s v="Distribuido"/>
    <m/>
    <e v="#NAME?"/>
    <e v="#NAME?"/>
    <e v="#NAME?"/>
    <m/>
    <m/>
    <m/>
    <m/>
    <m/>
  </r>
  <r>
    <s v="T002010"/>
    <s v="SAIR GIOVANNY GARCIA BEJARANO"/>
    <x v="5"/>
    <x v="19"/>
    <s v="Neoris"/>
    <e v="#NAME?"/>
    <x v="154"/>
    <n v="1"/>
    <s v="Desarrollador"/>
    <s v="Distribuido"/>
    <m/>
    <e v="#NAME?"/>
    <e v="#NAME?"/>
    <e v="#NAME?"/>
    <m/>
    <m/>
    <m/>
    <m/>
    <m/>
  </r>
  <r>
    <s v="NO TIENE"/>
    <s v="JAIR ERNESTO CABRA MENJURA-REEMPLAZO THALIA"/>
    <x v="5"/>
    <x v="19"/>
    <s v="Neoris"/>
    <e v="#NAME?"/>
    <x v="154"/>
    <n v="1"/>
    <s v="Desarrollador"/>
    <s v="Distribuido"/>
    <m/>
    <e v="#NAME?"/>
    <e v="#NAME?"/>
    <e v="#NAME?"/>
    <m/>
    <m/>
    <m/>
    <m/>
    <m/>
  </r>
  <r>
    <s v="T008182"/>
    <s v="ALEXANDRA BARBARA QUINDE DIAZ"/>
    <x v="5"/>
    <x v="19"/>
    <s v="Neoris"/>
    <e v="#NAME?"/>
    <x v="154"/>
    <n v="1"/>
    <s v="Desarrollador"/>
    <s v="Distribuido"/>
    <m/>
    <e v="#NAME?"/>
    <e v="#NAME?"/>
    <e v="#NAME?"/>
    <m/>
    <m/>
    <m/>
    <m/>
    <m/>
  </r>
  <r>
    <s v="T008150"/>
    <s v="BRIGGTTE ALMENDRA BARBOZA NIETO"/>
    <x v="5"/>
    <x v="19"/>
    <s v="Neoris"/>
    <e v="#NAME?"/>
    <x v="154"/>
    <n v="1"/>
    <s v="Desarrollador"/>
    <s v="Distribuido"/>
    <m/>
    <e v="#NAME?"/>
    <e v="#NAME?"/>
    <e v="#NAME?"/>
    <m/>
    <m/>
    <m/>
    <m/>
    <m/>
  </r>
  <r>
    <s v="T008176"/>
    <s v="IRWIN WALTER ACOSTA CHAVARRI"/>
    <x v="5"/>
    <x v="19"/>
    <s v="Neoris"/>
    <e v="#NAME?"/>
    <x v="154"/>
    <n v="1"/>
    <s v="Desarrollador"/>
    <s v="Distribuido"/>
    <m/>
    <e v="#NAME?"/>
    <e v="#NAME?"/>
    <e v="#NAME?"/>
    <m/>
    <m/>
    <m/>
    <m/>
    <m/>
  </r>
  <r>
    <s v="O000191"/>
    <s v="YELITZA ANDREA BOHORQUEZ BEDOYA"/>
    <x v="5"/>
    <x v="19"/>
    <s v="BBVA"/>
    <e v="#NAME?"/>
    <x v="155"/>
    <n v="1"/>
    <s v="Desarrollador"/>
    <s v="Mainframe"/>
    <m/>
    <e v="#NAME?"/>
    <e v="#NAME?"/>
    <e v="#NAME?"/>
    <m/>
    <m/>
    <m/>
    <m/>
    <m/>
  </r>
  <r>
    <s v="O002496"/>
    <s v="JESUS HUMBERTO MORENO ROJAS"/>
    <x v="5"/>
    <x v="19"/>
    <s v="BBVA"/>
    <e v="#NAME?"/>
    <x v="155"/>
    <n v="0.95"/>
    <s v="Desarrollador"/>
    <s v="Distribuido"/>
    <m/>
    <e v="#NAME?"/>
    <e v="#NAME?"/>
    <e v="#NAME?"/>
    <m/>
    <m/>
    <m/>
    <m/>
    <m/>
  </r>
  <r>
    <s v="CE69969"/>
    <s v="GUISELL DAYAN DIAZ BLANCO"/>
    <x v="5"/>
    <x v="19"/>
    <s v="Choucair"/>
    <e v="#NAME?"/>
    <x v="155"/>
    <n v="1"/>
    <s v="QA"/>
    <s v="Distribuido"/>
    <m/>
    <e v="#NAME?"/>
    <e v="#NAME?"/>
    <e v="#NAME?"/>
    <m/>
    <m/>
    <m/>
    <m/>
    <m/>
  </r>
  <r>
    <s v="CE47376"/>
    <s v="RUBEN DARIO DIAZ"/>
    <x v="5"/>
    <x v="19"/>
    <s v="Neoris"/>
    <e v="#NAME?"/>
    <x v="155"/>
    <n v="1"/>
    <s v="Desarrollador"/>
    <s v="Mainframe"/>
    <m/>
    <e v="#NAME?"/>
    <e v="#NAME?"/>
    <e v="#NAME?"/>
    <m/>
    <m/>
    <m/>
    <m/>
    <m/>
  </r>
  <r>
    <s v="CE66885"/>
    <s v="ADRIÁN RICARDO ROJAS VILLEGAS"/>
    <x v="5"/>
    <x v="19"/>
    <s v="Meraki"/>
    <e v="#NAME?"/>
    <x v="155"/>
    <n v="1"/>
    <s v="Desarrollador"/>
    <s v="Mainframe"/>
    <m/>
    <e v="#NAME?"/>
    <e v="#NAME?"/>
    <e v="#NAME?"/>
    <m/>
    <m/>
    <m/>
    <m/>
    <m/>
  </r>
  <r>
    <s v="CE66884"/>
    <s v="FRANK NICOLAS HERRAN"/>
    <x v="5"/>
    <x v="19"/>
    <s v="Meraki"/>
    <e v="#NAME?"/>
    <x v="155"/>
    <n v="1"/>
    <s v="Desarrollador"/>
    <s v="Mainframe"/>
    <m/>
    <e v="#NAME?"/>
    <e v="#NAME?"/>
    <e v="#NAME?"/>
    <m/>
    <m/>
    <m/>
    <m/>
    <m/>
  </r>
  <r>
    <s v="O001657"/>
    <s v="DUVAN ALEJANDRO RAMIREZ ROMERO"/>
    <x v="5"/>
    <x v="19"/>
    <s v="BBVA"/>
    <e v="#NAME?"/>
    <x v="156"/>
    <n v="1"/>
    <s v="Desarrollador"/>
    <s v="ASO"/>
    <m/>
    <e v="#NAME?"/>
    <e v="#NAME?"/>
    <e v="#NAME?"/>
    <m/>
    <m/>
    <m/>
    <m/>
    <m/>
  </r>
  <r>
    <s v="O002419"/>
    <s v="JONATHAN GARZON PEÑA"/>
    <x v="5"/>
    <x v="19"/>
    <s v="BBVA"/>
    <e v="#NAME?"/>
    <x v="156"/>
    <n v="1"/>
    <s v="Desarrollador"/>
    <s v="Distribuido"/>
    <m/>
    <e v="#NAME?"/>
    <e v="#NAME?"/>
    <e v="#NAME?"/>
    <m/>
    <m/>
    <m/>
    <m/>
    <m/>
  </r>
  <r>
    <s v="O001733"/>
    <s v="JUAN MANUEL FRAILE ROJAS"/>
    <x v="5"/>
    <x v="19"/>
    <s v="BBVA"/>
    <e v="#NAME?"/>
    <x v="156"/>
    <n v="1"/>
    <s v="Desarrollador"/>
    <s v="Distribuido"/>
    <m/>
    <e v="#NAME?"/>
    <e v="#NAME?"/>
    <e v="#NAME?"/>
    <m/>
    <m/>
    <m/>
    <m/>
    <m/>
  </r>
  <r>
    <s v="CE68404"/>
    <s v="JORGE ARMANDO YANQUEN"/>
    <x v="5"/>
    <x v="19"/>
    <s v="Choucair"/>
    <e v="#NAME?"/>
    <x v="156"/>
    <n v="1"/>
    <s v="QA"/>
    <s v="Otras Tec."/>
    <m/>
    <e v="#NAME?"/>
    <e v="#NAME?"/>
    <e v="#NAME?"/>
    <m/>
    <m/>
    <m/>
    <m/>
    <m/>
  </r>
  <r>
    <s v="O001341"/>
    <s v="JOHN FREDDY JIMENEZ"/>
    <x v="5"/>
    <x v="19"/>
    <s v="BBVA"/>
    <e v="#NAME?"/>
    <x v="86"/>
    <n v="0.05"/>
    <s v="Tech Manager/Líder"/>
    <s v="Distribuido"/>
    <m/>
    <e v="#NAME?"/>
    <e v="#NAME?"/>
    <e v="#NAME?"/>
    <m/>
    <m/>
    <m/>
    <m/>
    <m/>
  </r>
  <r>
    <s v="CE69608"/>
    <s v="JULIETH ALEJANDRA BERMUDEZ BERNAL"/>
    <x v="5"/>
    <x v="19"/>
    <s v="Choucair"/>
    <e v="#NAME?"/>
    <x v="86"/>
    <n v="0.2"/>
    <s v="QA"/>
    <s v="Distribuido"/>
    <s v="BlueSpring"/>
    <e v="#NAME?"/>
    <e v="#NAME?"/>
    <e v="#NAME?"/>
    <m/>
    <m/>
    <m/>
    <m/>
    <m/>
  </r>
  <r>
    <s v="O002496"/>
    <s v="JESUS HUMBERTO MORENO ROJAS"/>
    <x v="5"/>
    <x v="19"/>
    <s v="BBVA"/>
    <e v="#NAME?"/>
    <x v="86"/>
    <n v="0.05"/>
    <s v="Desarrollador"/>
    <s v="Distribuido"/>
    <s v="BlueSpring"/>
    <e v="#NAME?"/>
    <e v="#NAME?"/>
    <e v="#NAME?"/>
    <m/>
    <m/>
    <m/>
    <m/>
    <m/>
  </r>
  <r>
    <s v="CE69858"/>
    <s v="JULIÁN DAVID CASTAÑEDA"/>
    <x v="5"/>
    <x v="19"/>
    <s v="Meraki"/>
    <e v="#NAME?"/>
    <x v="86"/>
    <n v="1"/>
    <s v="Desarrollador"/>
    <s v="ASO"/>
    <s v="BlueSpring"/>
    <e v="#NAME?"/>
    <e v="#NAME?"/>
    <e v="#NAME?"/>
    <m/>
    <m/>
    <m/>
    <m/>
    <m/>
  </r>
  <r>
    <s v="CE52470"/>
    <s v="Diego Elejalde Cifuentes"/>
    <x v="5"/>
    <x v="19"/>
    <s v="SII"/>
    <e v="#NAME?"/>
    <x v="155"/>
    <n v="1"/>
    <s v="Desarrollador"/>
    <s v="Mainframe"/>
    <m/>
    <e v="#NAME?"/>
    <e v="#NAME?"/>
    <e v="#NAME?"/>
    <m/>
    <m/>
    <m/>
    <m/>
    <m/>
  </r>
  <r>
    <s v="CE51863"/>
    <s v="EDNA ROCIO MONCADA"/>
    <x v="5"/>
    <x v="19"/>
    <s v="KRYPTO"/>
    <e v="#NAME?"/>
    <x v="155"/>
    <n v="0.02"/>
    <s v="QA"/>
    <s v="Distribuido"/>
    <m/>
    <e v="#NAME?"/>
    <e v="#NAME?"/>
    <e v="#NAME?"/>
    <m/>
    <m/>
    <m/>
    <n v="2"/>
    <n v="2"/>
  </r>
  <r>
    <s v="CE51863"/>
    <s v="EDNA ROCIO MONCADA"/>
    <x v="5"/>
    <x v="19"/>
    <s v="KRYPTO"/>
    <e v="#NAME?"/>
    <x v="156"/>
    <n v="0.02"/>
    <s v="QA"/>
    <s v="Distribuido"/>
    <m/>
    <e v="#NAME?"/>
    <e v="#NAME?"/>
    <e v="#NAME?"/>
    <m/>
    <m/>
    <m/>
    <n v="2"/>
    <n v="2"/>
  </r>
  <r>
    <s v="CE51863"/>
    <s v="EDNA ROCIO MONCADA"/>
    <x v="5"/>
    <x v="19"/>
    <s v="KRYPTO"/>
    <e v="#NAME?"/>
    <x v="154"/>
    <n v="0.02"/>
    <s v="QA"/>
    <s v="Distribuido"/>
    <m/>
    <e v="#NAME?"/>
    <e v="#NAME?"/>
    <e v="#NAME?"/>
    <m/>
    <m/>
    <m/>
    <n v="2"/>
    <n v="2"/>
  </r>
  <r>
    <s v="CE51863"/>
    <s v="EDNA ROCIO MONCADA"/>
    <x v="5"/>
    <x v="19"/>
    <s v="KRYPTO"/>
    <e v="#NAME?"/>
    <x v="3"/>
    <n v="0.02"/>
    <s v="QA"/>
    <s v="Distribuido"/>
    <m/>
    <e v="#NAME?"/>
    <e v="#NAME?"/>
    <e v="#NAME?"/>
    <m/>
    <m/>
    <m/>
    <n v="2"/>
    <n v="2"/>
  </r>
  <r>
    <s v="CE51863"/>
    <s v="EDNA ROCIO MONCADA"/>
    <x v="5"/>
    <x v="20"/>
    <s v="KRYPTO"/>
    <e v="#NAME?"/>
    <x v="3"/>
    <n v="0.02"/>
    <s v="QA"/>
    <s v="Distribuido"/>
    <m/>
    <e v="#NAME?"/>
    <e v="#NAME?"/>
    <e v="#NAME?"/>
    <m/>
    <m/>
    <m/>
    <n v="2"/>
    <n v="2"/>
  </r>
  <r>
    <s v="CE51863"/>
    <s v="EDNA ROCIO MONCADA"/>
    <x v="5"/>
    <x v="20"/>
    <s v="KRYPTO"/>
    <e v="#NAME?"/>
    <x v="146"/>
    <n v="0.02"/>
    <s v="QA"/>
    <s v="Otras Tec."/>
    <m/>
    <e v="#NAME?"/>
    <e v="#NAME?"/>
    <e v="#NAME?"/>
    <m/>
    <m/>
    <m/>
    <n v="1"/>
    <n v="1"/>
  </r>
  <r>
    <s v="CE51863"/>
    <s v="EDNA ROCIO MONCADA"/>
    <x v="5"/>
    <x v="20"/>
    <s v="KRYPTO"/>
    <e v="#NAME?"/>
    <x v="157"/>
    <n v="0.02"/>
    <s v="QA"/>
    <s v="Otras Tec."/>
    <m/>
    <e v="#NAME?"/>
    <e v="#NAME?"/>
    <e v="#NAME?"/>
    <m/>
    <m/>
    <m/>
    <n v="1"/>
    <n v="1"/>
  </r>
  <r>
    <s v="CE51863"/>
    <s v="EDNA ROCIO MONCADA"/>
    <x v="5"/>
    <x v="20"/>
    <s v="KRYPTO"/>
    <e v="#NAME?"/>
    <x v="19"/>
    <n v="0.02"/>
    <s v="QA"/>
    <s v="Otras Tec."/>
    <m/>
    <e v="#NAME?"/>
    <e v="#NAME?"/>
    <e v="#NAME?"/>
    <m/>
    <m/>
    <m/>
    <m/>
    <m/>
  </r>
  <r>
    <s v="CE54839"/>
    <s v="CARLOSFERNANDO SUAREZ"/>
    <x v="5"/>
    <x v="20"/>
    <s v="Inetum"/>
    <e v="#NAME?"/>
    <x v="3"/>
    <n v="0.5"/>
    <s v="QA"/>
    <s v="Otras Tec."/>
    <m/>
    <e v="#NAME?"/>
    <e v="#NAME?"/>
    <e v="#NAME?"/>
    <m/>
    <m/>
    <m/>
    <m/>
    <m/>
  </r>
  <r>
    <s v="CE52336"/>
    <s v="Cely Gutierrez Anderson Sneider"/>
    <x v="5"/>
    <x v="20"/>
    <s v="Inetum"/>
    <e v="#NAME?"/>
    <x v="3"/>
    <n v="1"/>
    <s v="Desarrollador"/>
    <s v="Distribuido"/>
    <m/>
    <e v="#NAME?"/>
    <e v="#NAME?"/>
    <e v="#NAME?"/>
    <m/>
    <m/>
    <m/>
    <m/>
    <m/>
  </r>
  <r>
    <s v="C805453"/>
    <s v="Cuervo Duran Francisco Hernan"/>
    <x v="5"/>
    <x v="20"/>
    <s v="BBVA"/>
    <e v="#NAME?"/>
    <x v="19"/>
    <n v="0.4"/>
    <s v="Desarrollador"/>
    <s v="Otras Tec."/>
    <m/>
    <e v="#NAME?"/>
    <e v="#NAME?"/>
    <e v="#NAME?"/>
    <m/>
    <m/>
    <m/>
    <m/>
    <m/>
  </r>
  <r>
    <s v="T002003"/>
    <s v="DIEGO ALEJANDRO ASTAZIA"/>
    <x v="5"/>
    <x v="20"/>
    <s v="Choucair"/>
    <e v="#NAME?"/>
    <x v="19"/>
    <n v="0.5"/>
    <s v="QA"/>
    <s v="Otras Tec."/>
    <m/>
    <e v="#NAME?"/>
    <e v="#NAME?"/>
    <e v="#NAME?"/>
    <m/>
    <m/>
    <m/>
    <m/>
    <m/>
  </r>
  <r>
    <s v="T002003"/>
    <s v="DIEGO ALEJANDRO ASTAZIA"/>
    <x v="5"/>
    <x v="20"/>
    <s v="Choucair"/>
    <e v="#NAME?"/>
    <x v="3"/>
    <n v="0.5"/>
    <s v="QA"/>
    <s v="Distribuido"/>
    <m/>
    <e v="#NAME?"/>
    <e v="#NAME?"/>
    <e v="#NAME?"/>
    <m/>
    <m/>
    <m/>
    <m/>
    <m/>
  </r>
  <r>
    <s v="O001338"/>
    <s v="DIVER ANDREY SUATERNA"/>
    <x v="5"/>
    <x v="20"/>
    <s v="BBVA"/>
    <e v="#NAME?"/>
    <x v="157"/>
    <n v="1"/>
    <s v="Desarrollador"/>
    <s v="ASO"/>
    <s v="apx"/>
    <e v="#NAME?"/>
    <e v="#NAME?"/>
    <e v="#NAME?"/>
    <m/>
    <m/>
    <m/>
    <m/>
    <m/>
  </r>
  <r>
    <s v="C811316"/>
    <s v="Gonzalez Cardenas Oscar"/>
    <x v="5"/>
    <x v="20"/>
    <s v="BBVA"/>
    <e v="#NAME?"/>
    <x v="158"/>
    <n v="0.5"/>
    <s v="Desarrollador"/>
    <s v="Mainframe"/>
    <m/>
    <e v="#NAME?"/>
    <e v="#NAME?"/>
    <e v="#NAME?"/>
    <m/>
    <m/>
    <m/>
    <m/>
    <m/>
  </r>
  <r>
    <s v="C805978"/>
    <s v="Jimenez Garcia Ariel Andres"/>
    <x v="5"/>
    <x v="20"/>
    <s v="BBVA"/>
    <e v="#NAME?"/>
    <x v="157"/>
    <n v="1"/>
    <s v="Desarrollador"/>
    <s v="Otras Tec."/>
    <m/>
    <e v="#NAME?"/>
    <e v="#NAME?"/>
    <e v="#NAME?"/>
    <m/>
    <m/>
    <m/>
    <m/>
    <m/>
  </r>
  <r>
    <s v="O001338"/>
    <s v="MARIAMM YULIETH ALVAREZ"/>
    <x v="5"/>
    <x v="20"/>
    <s v="BBVA"/>
    <e v="#NAME?"/>
    <x v="3"/>
    <n v="0.2"/>
    <s v="Tech Manager/Líder"/>
    <s v="Otras Tec."/>
    <m/>
    <e v="#NAME?"/>
    <e v="#NAME?"/>
    <e v="#NAME?"/>
    <m/>
    <m/>
    <m/>
    <m/>
    <m/>
  </r>
  <r>
    <s v="O001338"/>
    <s v="MARIAMM YULIETH ALVAREZ"/>
    <x v="5"/>
    <x v="20"/>
    <s v="BBVA"/>
    <e v="#NAME?"/>
    <x v="146"/>
    <n v="0.2"/>
    <s v="Tech Manager/Líder"/>
    <s v="Otras Tec."/>
    <m/>
    <e v="#NAME?"/>
    <e v="#NAME?"/>
    <e v="#NAME?"/>
    <m/>
    <m/>
    <m/>
    <m/>
    <m/>
  </r>
  <r>
    <s v="O001338"/>
    <s v="MARIAMM YULIETH ALVAREZ"/>
    <x v="5"/>
    <x v="20"/>
    <s v="BBVA"/>
    <e v="#NAME?"/>
    <x v="157"/>
    <n v="0.2"/>
    <s v="Tech Manager/Líder"/>
    <s v="Otras Tec."/>
    <m/>
    <e v="#NAME?"/>
    <e v="#NAME?"/>
    <e v="#NAME?"/>
    <m/>
    <m/>
    <m/>
    <m/>
    <m/>
  </r>
  <r>
    <s v="O001338"/>
    <s v="MARIAMM YULIETH ALVAREZ"/>
    <x v="5"/>
    <x v="20"/>
    <s v="BBVA"/>
    <e v="#NAME?"/>
    <x v="20"/>
    <n v="0.05"/>
    <s v="Tech Manager/Líder"/>
    <s v="Otras Tec."/>
    <m/>
    <e v="#NAME?"/>
    <e v="#NAME?"/>
    <e v="#NAME?"/>
    <m/>
    <m/>
    <m/>
    <m/>
    <m/>
  </r>
  <r>
    <s v="O001338"/>
    <s v="MARIAMM YULIETH ALVAREZ"/>
    <x v="5"/>
    <x v="20"/>
    <s v="BBVA"/>
    <e v="#NAME?"/>
    <x v="158"/>
    <n v="0.05"/>
    <s v="Tech Manager/Líder"/>
    <s v="Otras Tec."/>
    <m/>
    <e v="#NAME?"/>
    <e v="#NAME?"/>
    <e v="#NAME?"/>
    <m/>
    <m/>
    <m/>
    <m/>
    <m/>
  </r>
  <r>
    <s v="O001338"/>
    <s v="MARIAMM YULIETH ALVAREZ"/>
    <x v="5"/>
    <x v="20"/>
    <s v="BBVA"/>
    <e v="#NAME?"/>
    <x v="19"/>
    <n v="0.2"/>
    <s v="Tech Manager/Líder"/>
    <s v="Otras Tec."/>
    <m/>
    <e v="#NAME?"/>
    <e v="#NAME?"/>
    <e v="#NAME?"/>
    <m/>
    <m/>
    <m/>
    <m/>
    <m/>
  </r>
  <r>
    <s v="O001338"/>
    <s v="MARIAMM YULIETH ALVAREZ"/>
    <x v="5"/>
    <x v="20"/>
    <s v="BBVA"/>
    <e v="#NAME?"/>
    <x v="78"/>
    <n v="0.1"/>
    <s v="Tech Manager/Líder"/>
    <s v="Otras Tec."/>
    <m/>
    <e v="#NAME?"/>
    <e v="#NAME?"/>
    <e v="#NAME?"/>
    <m/>
    <m/>
    <m/>
    <m/>
    <m/>
  </r>
  <r>
    <s v="C808471"/>
    <s v="Moreno Castellanos Omar Alfonso"/>
    <x v="5"/>
    <x v="20"/>
    <s v="BBVA"/>
    <e v="#NAME?"/>
    <x v="146"/>
    <n v="1"/>
    <s v="Desarrollador"/>
    <s v="Mainframe"/>
    <m/>
    <e v="#NAME?"/>
    <e v="#NAME?"/>
    <e v="#NAME?"/>
    <m/>
    <m/>
    <m/>
    <m/>
    <m/>
  </r>
  <r>
    <s v="C342537"/>
    <s v="Navarro Torres Javier Dario"/>
    <x v="5"/>
    <x v="20"/>
    <s v="BBVA"/>
    <e v="#NAME?"/>
    <x v="19"/>
    <n v="0.5"/>
    <s v="Desarrollador"/>
    <s v="Distribuido"/>
    <m/>
    <e v="#NAME?"/>
    <e v="#NAME?"/>
    <e v="#NAME?"/>
    <m/>
    <m/>
    <m/>
    <m/>
    <m/>
  </r>
  <r>
    <s v="C342537"/>
    <s v="Navarro Torres Javier Dario"/>
    <x v="5"/>
    <x v="20"/>
    <s v="BBVA"/>
    <e v="#NAME?"/>
    <x v="78"/>
    <n v="0.5"/>
    <s v="Desarrollador"/>
    <s v="Distribuido"/>
    <m/>
    <e v="#NAME?"/>
    <e v="#NAME?"/>
    <e v="#NAME?"/>
    <m/>
    <m/>
    <m/>
    <m/>
    <m/>
  </r>
  <r>
    <s v="O002178"/>
    <s v="SAMIR DE JESUS QUICENO BERMUDEZ"/>
    <x v="5"/>
    <x v="20"/>
    <s v="BBVA"/>
    <e v="#NAME?"/>
    <x v="3"/>
    <n v="1"/>
    <s v="Desarrollador"/>
    <s v="Mainframe"/>
    <m/>
    <e v="#NAME?"/>
    <e v="#NAME?"/>
    <e v="#NAME?"/>
    <m/>
    <m/>
    <m/>
    <m/>
    <m/>
  </r>
  <r>
    <s v="C811316"/>
    <s v="Gonzalez Cardenas Oscar"/>
    <x v="5"/>
    <x v="20"/>
    <s v="BBVA"/>
    <e v="#NAME?"/>
    <x v="3"/>
    <n v="0.5"/>
    <s v="Desarrollador"/>
    <s v="Mainframe"/>
    <m/>
    <e v="#NAME?"/>
    <e v="#NAME?"/>
    <e v="#NAME?"/>
    <m/>
    <m/>
    <m/>
    <m/>
    <m/>
  </r>
  <r>
    <s v="C805453"/>
    <s v="Cuervo Duran Francisco Hernan"/>
    <x v="5"/>
    <x v="20"/>
    <s v="BBVA"/>
    <e v="#NAME?"/>
    <x v="20"/>
    <n v="0.5"/>
    <s v="Desarrollador"/>
    <s v="Distribuido"/>
    <m/>
    <e v="#NAME?"/>
    <e v="#NAME?"/>
    <e v="#NAME?"/>
    <m/>
    <m/>
    <m/>
    <m/>
    <m/>
  </r>
  <r>
    <s v="C805453"/>
    <s v="Cuervo Duran Francisco Hernan"/>
    <x v="5"/>
    <x v="20"/>
    <s v="BBVA"/>
    <e v="#NAME?"/>
    <x v="3"/>
    <n v="0.1"/>
    <s v="Desarrollador"/>
    <s v="Distribuido"/>
    <m/>
    <e v="#NAME?"/>
    <e v="#NAME?"/>
    <e v="#NAME?"/>
    <m/>
    <m/>
    <m/>
    <m/>
    <m/>
  </r>
  <r>
    <s v="CE54839"/>
    <s v="CARLOSFERNANDO SUAREZ"/>
    <x v="5"/>
    <x v="20"/>
    <s v="Inetum"/>
    <e v="#NAME?"/>
    <x v="19"/>
    <n v="0.5"/>
    <s v="QA"/>
    <m/>
    <m/>
    <e v="#NAME?"/>
    <e v="#NAME?"/>
    <e v="#NAME?"/>
    <m/>
    <m/>
    <m/>
    <m/>
    <m/>
  </r>
  <r>
    <s v="E049846"/>
    <s v="PATRICIA ORRO"/>
    <x v="5"/>
    <x v="21"/>
    <s v="BBVA"/>
    <e v="#NAME?"/>
    <x v="159"/>
    <n v="0.2"/>
    <s v="Tech Manager/Líder"/>
    <s v="Cells"/>
    <m/>
    <e v="#NAME?"/>
    <e v="#NAME?"/>
    <e v="#NAME?"/>
    <m/>
    <m/>
    <m/>
    <m/>
    <m/>
  </r>
  <r>
    <s v="C810952"/>
    <s v="Sebastian Ayala"/>
    <x v="5"/>
    <x v="21"/>
    <s v="BBVA"/>
    <e v="#NAME?"/>
    <x v="159"/>
    <n v="1"/>
    <s v="Desarrollador"/>
    <s v="Distribuido"/>
    <m/>
    <e v="#NAME?"/>
    <e v="#NAME?"/>
    <e v="#NAME?"/>
    <m/>
    <m/>
    <m/>
    <m/>
    <m/>
  </r>
  <r>
    <s v="C802581"/>
    <s v="Daniel Antonio Aguilar"/>
    <x v="5"/>
    <x v="21"/>
    <s v="BBVA"/>
    <e v="#NAME?"/>
    <x v="159"/>
    <n v="0.4"/>
    <s v="Desarrollador"/>
    <m/>
    <s v="Interno"/>
    <e v="#NAME?"/>
    <e v="#NAME?"/>
    <e v="#NAME?"/>
    <m/>
    <m/>
    <m/>
    <m/>
    <m/>
  </r>
  <r>
    <m/>
    <s v="DESARROLLADOR ASO"/>
    <x v="5"/>
    <x v="21"/>
    <s v="Accenture"/>
    <e v="#NAME?"/>
    <x v="159"/>
    <n v="1"/>
    <s v="Desarrollador"/>
    <s v="ASO"/>
    <m/>
    <e v="#NAME?"/>
    <e v="#NAME?"/>
    <e v="#NAME?"/>
    <m/>
    <m/>
    <m/>
    <m/>
    <m/>
  </r>
  <r>
    <m/>
    <s v="DESARROLLADOR ASO"/>
    <x v="5"/>
    <x v="21"/>
    <s v="Accenture"/>
    <e v="#NAME?"/>
    <x v="159"/>
    <n v="1"/>
    <s v="Desarrollador"/>
    <s v="ASO"/>
    <m/>
    <e v="#NAME?"/>
    <e v="#NAME?"/>
    <e v="#NAME?"/>
    <m/>
    <m/>
    <m/>
    <m/>
    <m/>
  </r>
  <r>
    <m/>
    <s v="DESARROLLADOR ASO"/>
    <x v="5"/>
    <x v="21"/>
    <s v="Accenture"/>
    <e v="#NAME?"/>
    <x v="159"/>
    <n v="1"/>
    <s v="Desarrollador"/>
    <s v="ASO"/>
    <m/>
    <e v="#NAME?"/>
    <e v="#NAME?"/>
    <e v="#NAME?"/>
    <m/>
    <m/>
    <m/>
    <m/>
    <m/>
  </r>
  <r>
    <m/>
    <s v="DESARROLLADOR APX"/>
    <x v="5"/>
    <x v="21"/>
    <s v="Accenture"/>
    <e v="#NAME?"/>
    <x v="159"/>
    <n v="1"/>
    <s v="Desarrollador"/>
    <s v="ASO"/>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APX"/>
    <x v="5"/>
    <x v="21"/>
    <s v="Accenture"/>
    <e v="#NAME?"/>
    <x v="159"/>
    <n v="0.33"/>
    <s v="Desarrollador"/>
    <s v="APX"/>
    <m/>
    <e v="#NAME?"/>
    <e v="#NAME?"/>
    <e v="#NAME?"/>
    <m/>
    <m/>
    <m/>
    <m/>
    <m/>
  </r>
  <r>
    <s v="CE40475"/>
    <s v="NELSON FERRUCHO"/>
    <x v="5"/>
    <x v="21"/>
    <s v="SII"/>
    <e v="#NAME?"/>
    <x v="159"/>
    <n v="0.5"/>
    <s v="Desarrollador"/>
    <s v="Mainframe"/>
    <m/>
    <e v="#NAME?"/>
    <e v="#NAME?"/>
    <e v="#NAME?"/>
    <m/>
    <m/>
    <m/>
    <m/>
    <m/>
  </r>
  <r>
    <s v="CE64988"/>
    <s v="Levi Becerra"/>
    <x v="5"/>
    <x v="21"/>
    <s v="SII"/>
    <e v="#NAME?"/>
    <x v="159"/>
    <n v="0.5"/>
    <s v="Desarrollador"/>
    <m/>
    <m/>
    <e v="#NAME?"/>
    <e v="#NAME?"/>
    <e v="#NAME?"/>
    <m/>
    <m/>
    <m/>
    <m/>
    <m/>
  </r>
  <r>
    <m/>
    <s v="DESARROLLO HOST"/>
    <x v="5"/>
    <x v="21"/>
    <s v="Accenture"/>
    <e v="#NAME?"/>
    <x v="159"/>
    <n v="1"/>
    <s v="Desarrollador"/>
    <s v="Mainframe"/>
    <m/>
    <e v="#NAME?"/>
    <e v="#NAME?"/>
    <e v="#NAME?"/>
    <m/>
    <m/>
    <m/>
    <m/>
    <m/>
  </r>
  <r>
    <m/>
    <s v="TESTER QA"/>
    <x v="5"/>
    <x v="21"/>
    <s v="Accenture"/>
    <e v="#NAME?"/>
    <x v="159"/>
    <n v="0.75"/>
    <s v="QA"/>
    <s v="Otras Tec."/>
    <m/>
    <e v="#NAME?"/>
    <e v="#NAME?"/>
    <e v="#NAME?"/>
    <m/>
    <m/>
    <m/>
    <m/>
    <m/>
  </r>
  <r>
    <m/>
    <s v="TESTER QA"/>
    <x v="5"/>
    <x v="21"/>
    <s v="Accenture"/>
    <e v="#NAME?"/>
    <x v="159"/>
    <n v="0.75"/>
    <s v="QA"/>
    <s v="Otras Tec."/>
    <m/>
    <e v="#NAME?"/>
    <e v="#NAME?"/>
    <e v="#NAME?"/>
    <m/>
    <m/>
    <m/>
    <m/>
    <m/>
  </r>
  <r>
    <m/>
    <s v="TESTER QA"/>
    <x v="5"/>
    <x v="21"/>
    <s v="Accenture"/>
    <e v="#NAME?"/>
    <x v="159"/>
    <n v="0.75"/>
    <s v="QA"/>
    <s v="Otras Tec."/>
    <m/>
    <e v="#NAME?"/>
    <e v="#NAME?"/>
    <e v="#NAME?"/>
    <m/>
    <m/>
    <m/>
    <m/>
    <m/>
  </r>
  <r>
    <s v="C802581"/>
    <s v="Daniel Antonio Aguilar"/>
    <x v="5"/>
    <x v="21"/>
    <s v="BBVA"/>
    <e v="#NAME?"/>
    <x v="160"/>
    <n v="0.2"/>
    <s v="Desarrollador"/>
    <m/>
    <s v="Interno"/>
    <e v="#NAME?"/>
    <e v="#NAME?"/>
    <e v="#NAME?"/>
    <m/>
    <m/>
    <m/>
    <m/>
    <m/>
  </r>
  <r>
    <s v="E049846"/>
    <s v="PATRICIA ORRO"/>
    <x v="5"/>
    <x v="21"/>
    <s v="BBVA"/>
    <e v="#NAME?"/>
    <x v="161"/>
    <n v="0.2"/>
    <s v="Tech Manager/Líder"/>
    <s v="Cells"/>
    <m/>
    <e v="#NAME?"/>
    <e v="#NAME?"/>
    <e v="#NAME?"/>
    <m/>
    <m/>
    <m/>
    <m/>
    <m/>
  </r>
  <r>
    <m/>
    <s v="TESTER QA"/>
    <x v="5"/>
    <x v="21"/>
    <s v="Accenture"/>
    <e v="#NAME?"/>
    <x v="161"/>
    <n v="1"/>
    <s v="QA"/>
    <s v="Otras Tec."/>
    <m/>
    <e v="#NAME?"/>
    <e v="#NAME?"/>
    <e v="#NAME?"/>
    <m/>
    <m/>
    <m/>
    <m/>
    <m/>
  </r>
  <r>
    <s v="E049846"/>
    <s v="PATRICIA ORRO"/>
    <x v="5"/>
    <x v="21"/>
    <s v="BBVA"/>
    <e v="#NAME?"/>
    <x v="162"/>
    <n v="0.2"/>
    <s v="Tech Manager/Líder"/>
    <s v="Cells"/>
    <m/>
    <e v="#NAME?"/>
    <e v="#NAME?"/>
    <e v="#NAME?"/>
    <m/>
    <m/>
    <m/>
    <m/>
    <m/>
  </r>
  <r>
    <m/>
    <s v="DESARROLLO ASO"/>
    <x v="5"/>
    <x v="21"/>
    <s v="Accenture"/>
    <e v="#NAME?"/>
    <x v="162"/>
    <n v="1"/>
    <s v="Desarrollador"/>
    <s v="ASO"/>
    <m/>
    <e v="#NAME?"/>
    <e v="#NAME?"/>
    <e v="#NAME?"/>
    <m/>
    <m/>
    <m/>
    <m/>
    <m/>
  </r>
  <r>
    <m/>
    <s v="DESARROLLO HOST"/>
    <x v="5"/>
    <x v="21"/>
    <s v="Accenture"/>
    <e v="#NAME?"/>
    <x v="162"/>
    <n v="1"/>
    <s v="Desarrollador"/>
    <s v="Mainframe"/>
    <m/>
    <e v="#NAME?"/>
    <e v="#NAME?"/>
    <e v="#NAME?"/>
    <m/>
    <m/>
    <m/>
    <m/>
    <m/>
  </r>
  <r>
    <m/>
    <s v="TESTER QA"/>
    <x v="5"/>
    <x v="21"/>
    <s v="Accenture"/>
    <e v="#NAME?"/>
    <x v="162"/>
    <n v="1"/>
    <s v="QA"/>
    <s v="Otras Tec."/>
    <m/>
    <e v="#NAME?"/>
    <e v="#NAME?"/>
    <e v="#NAME?"/>
    <m/>
    <m/>
    <m/>
    <m/>
    <m/>
  </r>
  <r>
    <s v="E049846"/>
    <s v="PATRICIA ORRO"/>
    <x v="5"/>
    <x v="21"/>
    <s v="BBVA"/>
    <e v="#NAME?"/>
    <x v="163"/>
    <n v="0.2"/>
    <s v="Tech Manager/Líder"/>
    <s v="Cells"/>
    <m/>
    <e v="#NAME?"/>
    <e v="#NAME?"/>
    <e v="#NAME?"/>
    <m/>
    <m/>
    <m/>
    <m/>
    <m/>
  </r>
  <r>
    <s v="C803962"/>
    <s v="Esteban Linares"/>
    <x v="5"/>
    <x v="21"/>
    <s v="BBVA"/>
    <e v="#NAME?"/>
    <x v="66"/>
    <n v="0.7"/>
    <s v="Tech Manager/Líder"/>
    <s v="Cells"/>
    <m/>
    <e v="#NAME?"/>
    <e v="#NAME?"/>
    <e v="#NAME?"/>
    <m/>
    <m/>
    <m/>
    <m/>
    <m/>
  </r>
  <r>
    <s v="C803962"/>
    <s v="Esteban Linares"/>
    <x v="5"/>
    <x v="21"/>
    <s v="BBVA"/>
    <e v="#NAME?"/>
    <x v="160"/>
    <n v="0.3"/>
    <s v="Tech Manager/Líder"/>
    <s v="Cells"/>
    <m/>
    <e v="#NAME?"/>
    <e v="#NAME?"/>
    <e v="#NAME?"/>
    <m/>
    <m/>
    <m/>
    <m/>
    <m/>
  </r>
  <r>
    <s v="C802581"/>
    <s v="Daniel Antonio Aguilar"/>
    <x v="5"/>
    <x v="21"/>
    <s v="BBVA"/>
    <e v="#NAME?"/>
    <x v="159"/>
    <n v="0.2"/>
    <s v="Desarrollador"/>
    <m/>
    <s v="Interno"/>
    <e v="#NAME?"/>
    <e v="#NAME?"/>
    <e v="#NAME?"/>
    <m/>
    <m/>
    <m/>
    <m/>
    <m/>
  </r>
  <r>
    <s v="E049846"/>
    <s v="PATRICIA ORRO"/>
    <x v="5"/>
    <x v="21"/>
    <s v="BBVA"/>
    <e v="#NAME?"/>
    <x v="66"/>
    <n v="0.2"/>
    <s v="Desarrollador"/>
    <s v="Cells"/>
    <m/>
    <e v="#NAME?"/>
    <e v="#NAME?"/>
    <e v="#NAME?"/>
    <m/>
    <m/>
    <m/>
    <m/>
    <m/>
  </r>
  <r>
    <m/>
    <s v="DESARROLLADOR FRONT "/>
    <x v="5"/>
    <x v="21"/>
    <s v="Neoris"/>
    <e v="#NAME?"/>
    <x v="66"/>
    <n v="1"/>
    <s v="Desarrollador"/>
    <s v="Cells"/>
    <m/>
    <e v="#NAME?"/>
    <e v="#NAME?"/>
    <e v="#NAME?"/>
    <m/>
    <m/>
    <m/>
    <m/>
    <m/>
  </r>
  <r>
    <m/>
    <s v="DESARROLLADOR FRONT "/>
    <x v="5"/>
    <x v="21"/>
    <s v="Neoris"/>
    <e v="#NAME?"/>
    <x v="66"/>
    <n v="1"/>
    <s v="Desarrollador"/>
    <s v="Cells"/>
    <m/>
    <e v="#NAME?"/>
    <e v="#NAME?"/>
    <e v="#NAME?"/>
    <m/>
    <m/>
    <m/>
    <m/>
    <m/>
  </r>
  <r>
    <m/>
    <s v="TESTER QA"/>
    <x v="5"/>
    <x v="21"/>
    <s v="Accenture"/>
    <e v="#NAME?"/>
    <x v="66"/>
    <n v="1"/>
    <s v="QA"/>
    <s v="Otras Tec."/>
    <m/>
    <e v="#NAME?"/>
    <e v="#NAME?"/>
    <e v="#NAME?"/>
    <m/>
    <m/>
    <m/>
    <m/>
    <m/>
  </r>
  <r>
    <m/>
    <s v="TESTER QA"/>
    <x v="5"/>
    <x v="21"/>
    <s v="Accenture"/>
    <e v="#NAME?"/>
    <x v="66"/>
    <n v="1"/>
    <s v="QA"/>
    <s v="Otras Tec."/>
    <m/>
    <e v="#NAME?"/>
    <e v="#NAME?"/>
    <e v="#NAME?"/>
    <m/>
    <m/>
    <m/>
    <m/>
    <m/>
  </r>
  <r>
    <s v="C802581"/>
    <s v="Daniel Antonio Aguilar"/>
    <x v="5"/>
    <x v="21"/>
    <s v="BBVA"/>
    <e v="#NAME?"/>
    <x v="159"/>
    <n v="0.2"/>
    <s v="Desarrollador"/>
    <m/>
    <s v="Interno"/>
    <e v="#NAME?"/>
    <e v="#NAME?"/>
    <e v="#NAME?"/>
    <m/>
    <m/>
    <m/>
    <m/>
    <m/>
  </r>
  <r>
    <m/>
    <s v="DESARROLLADOR FRONT "/>
    <x v="5"/>
    <x v="21"/>
    <s v="Neoris"/>
    <e v="#NAME?"/>
    <x v="164"/>
    <n v="1"/>
    <s v="Desarrollador"/>
    <s v="Cells"/>
    <m/>
    <e v="#NAME?"/>
    <e v="#NAME?"/>
    <e v="#NAME?"/>
    <m/>
    <m/>
    <m/>
    <m/>
    <m/>
  </r>
  <r>
    <m/>
    <s v="DESARROLLADOR FRONT "/>
    <x v="5"/>
    <x v="21"/>
    <s v="Neoris"/>
    <e v="#NAME?"/>
    <x v="164"/>
    <n v="1"/>
    <s v="Desarrollador"/>
    <s v="Cells"/>
    <m/>
    <e v="#NAME?"/>
    <e v="#NAME?"/>
    <e v="#NAME?"/>
    <m/>
    <m/>
    <m/>
    <m/>
    <m/>
  </r>
  <r>
    <m/>
    <s v="DESARROLLADOR ASO"/>
    <x v="5"/>
    <x v="21"/>
    <s v="Neoris"/>
    <e v="#NAME?"/>
    <x v="164"/>
    <n v="1"/>
    <s v="Desarrollador"/>
    <s v="ASO"/>
    <m/>
    <e v="#NAME?"/>
    <e v="#NAME?"/>
    <e v="#NAME?"/>
    <m/>
    <m/>
    <m/>
    <m/>
    <m/>
  </r>
  <r>
    <m/>
    <s v="DESARROLLADOR APX"/>
    <x v="5"/>
    <x v="21"/>
    <s v="Neoris"/>
    <e v="#NAME?"/>
    <x v="164"/>
    <n v="1"/>
    <s v="Desarrollador"/>
    <s v="APX"/>
    <m/>
    <e v="#NAME?"/>
    <e v="#NAME?"/>
    <e v="#NAME?"/>
    <m/>
    <m/>
    <m/>
    <m/>
    <m/>
  </r>
  <r>
    <m/>
    <s v="DESARROLLO HOST"/>
    <x v="5"/>
    <x v="21"/>
    <s v="Neoris"/>
    <e v="#NAME?"/>
    <x v="164"/>
    <n v="1"/>
    <s v="Desarrollador"/>
    <s v="Mainframe"/>
    <m/>
    <e v="#NAME?"/>
    <e v="#NAME?"/>
    <e v="#NAME?"/>
    <m/>
    <m/>
    <m/>
    <m/>
    <m/>
  </r>
  <r>
    <m/>
    <s v="TESTER QA"/>
    <x v="5"/>
    <x v="21"/>
    <s v="Accenture"/>
    <e v="#NAME?"/>
    <x v="164"/>
    <n v="1"/>
    <s v="QA"/>
    <s v="Otras Tec."/>
    <m/>
    <e v="#NAME?"/>
    <e v="#NAME?"/>
    <e v="#NAME?"/>
    <m/>
    <m/>
    <m/>
    <m/>
    <m/>
  </r>
  <r>
    <s v="C803799"/>
    <s v="ANDRES FELIPE CASTAÑEDA"/>
    <x v="5"/>
    <x v="21"/>
    <s v="BBVA"/>
    <e v="#NAME?"/>
    <x v="3"/>
    <n v="1"/>
    <s v="Tech Manager/Líder"/>
    <s v="Cells"/>
    <m/>
    <e v="#NAME?"/>
    <e v="#NAME?"/>
    <e v="#NAME?"/>
    <m/>
    <m/>
    <m/>
    <m/>
    <m/>
  </r>
  <r>
    <s v="C805723"/>
    <s v="JUAN CAMILO JAIMES"/>
    <x v="5"/>
    <x v="21"/>
    <s v="BBVA"/>
    <e v="#NAME?"/>
    <x v="3"/>
    <n v="1"/>
    <s v="Desarrollador"/>
    <s v="Cells"/>
    <m/>
    <e v="#NAME?"/>
    <e v="#NAME?"/>
    <e v="#NAME?"/>
    <m/>
    <m/>
    <m/>
    <m/>
    <m/>
  </r>
  <r>
    <s v="C805720"/>
    <s v="SANDRA REDONDO"/>
    <x v="5"/>
    <x v="21"/>
    <s v="BBVA"/>
    <e v="#NAME?"/>
    <x v="3"/>
    <n v="1"/>
    <s v="Desarrollador"/>
    <s v="Cells"/>
    <m/>
    <e v="#NAME?"/>
    <e v="#NAME?"/>
    <e v="#NAME?"/>
    <m/>
    <m/>
    <m/>
    <m/>
    <m/>
  </r>
  <r>
    <s v="C810664"/>
    <s v="JONATHAN MARCELL GUTIERREZ RIAÑO"/>
    <x v="5"/>
    <x v="21"/>
    <s v="BBVA"/>
    <e v="#NAME?"/>
    <x v="3"/>
    <n v="1"/>
    <s v="Desarrollador"/>
    <s v="APX"/>
    <m/>
    <e v="#NAME?"/>
    <e v="#NAME?"/>
    <e v="#NAME?"/>
    <m/>
    <m/>
    <m/>
    <m/>
    <m/>
  </r>
  <r>
    <s v="C805983"/>
    <s v="LUBER FANDIÑO"/>
    <x v="5"/>
    <x v="21"/>
    <s v="BBVA"/>
    <e v="#NAME?"/>
    <x v="3"/>
    <n v="1"/>
    <s v="Desarrollador"/>
    <s v="Cells"/>
    <m/>
    <e v="#NAME?"/>
    <e v="#NAME?"/>
    <e v="#NAME?"/>
    <m/>
    <m/>
    <m/>
    <m/>
    <m/>
  </r>
  <r>
    <s v="C805933"/>
    <s v="Brayan Peña"/>
    <x v="5"/>
    <x v="21"/>
    <s v="BBVA"/>
    <e v="#NAME?"/>
    <x v="3"/>
    <n v="1"/>
    <s v="Desarrollador"/>
    <s v="Cells"/>
    <m/>
    <e v="#NAME?"/>
    <e v="#NAME?"/>
    <e v="#NAME?"/>
    <m/>
    <m/>
    <m/>
    <m/>
    <m/>
  </r>
  <r>
    <s v="C809565"/>
    <s v="JOAN CHIVATA"/>
    <x v="5"/>
    <x v="21"/>
    <s v="BBVA"/>
    <e v="#NAME?"/>
    <x v="3"/>
    <n v="1"/>
    <s v="Desarrollador"/>
    <s v="Cells"/>
    <m/>
    <e v="#NAME?"/>
    <e v="#NAME?"/>
    <e v="#NAME?"/>
    <m/>
    <m/>
    <m/>
    <m/>
    <m/>
  </r>
  <r>
    <s v="T004259"/>
    <s v="FAIBER RUEDA"/>
    <x v="5"/>
    <x v="21"/>
    <s v="Accenture"/>
    <e v="#NAME?"/>
    <x v="3"/>
    <n v="1"/>
    <s v="Desarrollador"/>
    <s v="Cells"/>
    <m/>
    <e v="#NAME?"/>
    <e v="#NAME?"/>
    <e v="#NAME?"/>
    <m/>
    <m/>
    <m/>
    <m/>
    <m/>
  </r>
  <r>
    <s v="T004336"/>
    <s v="JUAN ROMERO"/>
    <x v="5"/>
    <x v="21"/>
    <s v="Accenture"/>
    <e v="#NAME?"/>
    <x v="3"/>
    <n v="1"/>
    <s v="Desarrollador"/>
    <s v="Cells"/>
    <m/>
    <e v="#NAME?"/>
    <e v="#NAME?"/>
    <e v="#NAME?"/>
    <m/>
    <m/>
    <m/>
    <m/>
    <m/>
  </r>
  <r>
    <s v="CE69641"/>
    <s v="KEVIN SARMIENTO"/>
    <x v="5"/>
    <x v="21"/>
    <s v="Accenture"/>
    <e v="#NAME?"/>
    <x v="3"/>
    <n v="1"/>
    <s v="Desarrollador"/>
    <s v="Cells"/>
    <m/>
    <e v="#NAME?"/>
    <e v="#NAME?"/>
    <e v="#NAME?"/>
    <m/>
    <m/>
    <m/>
    <m/>
    <m/>
  </r>
  <r>
    <m/>
    <s v="TBD - ANS"/>
    <x v="5"/>
    <x v="21"/>
    <s v="Accenture"/>
    <e v="#NAME?"/>
    <x v="3"/>
    <n v="1"/>
    <s v="Desarrollador"/>
    <s v="Cells"/>
    <m/>
    <e v="#NAME?"/>
    <e v="#NAME?"/>
    <e v="#NAME?"/>
    <m/>
    <m/>
    <m/>
    <m/>
    <m/>
  </r>
  <r>
    <s v="T006642"/>
    <s v="CRISTIAN DAZA"/>
    <x v="5"/>
    <x v="21"/>
    <s v="Neoris"/>
    <e v="#NAME?"/>
    <x v="3"/>
    <n v="1"/>
    <s v="Desarrollador"/>
    <s v="Cells"/>
    <m/>
    <e v="#NAME?"/>
    <e v="#NAME?"/>
    <e v="#NAME?"/>
    <m/>
    <m/>
    <m/>
    <m/>
    <m/>
  </r>
  <r>
    <s v="T006699"/>
    <s v="JUAN DUQUE"/>
    <x v="5"/>
    <x v="21"/>
    <s v="Neoris"/>
    <e v="#NAME?"/>
    <x v="3"/>
    <n v="1"/>
    <s v="Desarrollador"/>
    <s v="Cells"/>
    <m/>
    <e v="#NAME?"/>
    <e v="#NAME?"/>
    <e v="#NAME?"/>
    <m/>
    <m/>
    <m/>
    <m/>
    <m/>
  </r>
  <r>
    <s v="T001732"/>
    <s v="Alejandro Cano"/>
    <x v="5"/>
    <x v="21"/>
    <s v="Indra"/>
    <e v="#NAME?"/>
    <x v="3"/>
    <n v="1"/>
    <s v="Otros"/>
    <s v="Cells"/>
    <m/>
    <e v="#NAME?"/>
    <e v="#NAME?"/>
    <e v="#NAME?"/>
    <m/>
    <m/>
    <m/>
    <m/>
    <m/>
  </r>
  <r>
    <s v="T006644"/>
    <s v="Rafael Bonet"/>
    <x v="5"/>
    <x v="21"/>
    <s v="Neoris"/>
    <e v="#NAME?"/>
    <x v="3"/>
    <n v="1"/>
    <s v="Otros"/>
    <s v="Otras Tec."/>
    <m/>
    <e v="#NAME?"/>
    <e v="#NAME?"/>
    <e v="#NAME?"/>
    <m/>
    <m/>
    <m/>
    <m/>
    <m/>
  </r>
  <r>
    <s v="T006637"/>
    <s v="Jhonathan Medina"/>
    <x v="5"/>
    <x v="21"/>
    <s v="Neoris"/>
    <e v="#NAME?"/>
    <x v="3"/>
    <n v="1"/>
    <s v="Otros"/>
    <s v="Otras Tec."/>
    <m/>
    <e v="#NAME?"/>
    <e v="#NAME?"/>
    <e v="#NAME?"/>
    <m/>
    <m/>
    <m/>
    <m/>
    <m/>
  </r>
  <r>
    <s v="T001731"/>
    <s v="John Zamora"/>
    <x v="5"/>
    <x v="21"/>
    <s v="Indra"/>
    <e v="#NAME?"/>
    <x v="3"/>
    <n v="1"/>
    <s v="Otros"/>
    <s v="Cells"/>
    <m/>
    <e v="#NAME?"/>
    <e v="#NAME?"/>
    <e v="#NAME?"/>
    <m/>
    <m/>
    <m/>
    <m/>
    <m/>
  </r>
  <r>
    <s v="CE67183"/>
    <s v="ALEXIS A GONZALEZ LANCHEROS"/>
    <x v="5"/>
    <x v="22"/>
    <s v="Choucair"/>
    <e v="#NAME?"/>
    <x v="165"/>
    <n v="0.2"/>
    <s v="QA"/>
    <s v="Otras Tec."/>
    <m/>
    <e v="#NAME?"/>
    <e v="#NAME?"/>
    <e v="#NAME?"/>
    <m/>
    <m/>
    <m/>
    <m/>
    <m/>
  </r>
  <r>
    <s v="CE67183"/>
    <s v="ALEXIS A GONZALEZ LANCHEROS"/>
    <x v="5"/>
    <x v="22"/>
    <s v="Choucair"/>
    <e v="#NAME?"/>
    <x v="166"/>
    <n v="0.4"/>
    <s v="QA"/>
    <s v="Otras Tec."/>
    <m/>
    <e v="#NAME?"/>
    <e v="#NAME?"/>
    <e v="#NAME?"/>
    <m/>
    <m/>
    <m/>
    <m/>
    <m/>
  </r>
  <r>
    <s v="CE67183"/>
    <s v="ALEXIS A GONZALEZ LANCHEROS"/>
    <x v="5"/>
    <x v="22"/>
    <s v="Choucair"/>
    <e v="#NAME?"/>
    <x v="167"/>
    <n v="0.4"/>
    <s v="QA"/>
    <s v="Otras Tec."/>
    <m/>
    <e v="#NAME?"/>
    <e v="#NAME?"/>
    <e v="#NAME?"/>
    <m/>
    <m/>
    <m/>
    <m/>
    <m/>
  </r>
  <r>
    <s v="C804644"/>
    <s v="ANDRES FELIPE CALDERÓN NOVOA"/>
    <x v="5"/>
    <x v="23"/>
    <s v="BBVA"/>
    <e v="#NAME?"/>
    <x v="168"/>
    <n v="0.5"/>
    <s v="Desarrollador"/>
    <s v="ASO"/>
    <m/>
    <e v="#NAME?"/>
    <e v="#NAME?"/>
    <e v="#NAME?"/>
    <m/>
    <m/>
    <m/>
    <m/>
    <m/>
  </r>
  <r>
    <s v="C804644"/>
    <s v="ANDRES FELIPE CALDERÓN NOVOA"/>
    <x v="5"/>
    <x v="23"/>
    <s v="BBVA"/>
    <e v="#NAME?"/>
    <x v="169"/>
    <n v="0.5"/>
    <s v="Desarrollador"/>
    <s v="ASO"/>
    <m/>
    <e v="#NAME?"/>
    <e v="#NAME?"/>
    <e v="#NAME?"/>
    <m/>
    <m/>
    <m/>
    <m/>
    <m/>
  </r>
  <r>
    <s v="CE60329"/>
    <s v="ANDRÉS FELIPE MORA SANTANA"/>
    <x v="5"/>
    <x v="24"/>
    <s v="Novatec"/>
    <e v="#NAME?"/>
    <x v="170"/>
    <n v="1"/>
    <s v="Desarrollador"/>
    <s v="Cells"/>
    <m/>
    <e v="#NAME?"/>
    <e v="#NAME?"/>
    <e v="#NAME?"/>
    <m/>
    <m/>
    <m/>
    <m/>
    <m/>
  </r>
  <r>
    <s v="C804832"/>
    <s v="ANTONY SUICA CUARTAS"/>
    <x v="5"/>
    <x v="23"/>
    <s v="BBVA"/>
    <e v="#NAME?"/>
    <x v="169"/>
    <n v="0.05"/>
    <s v="Desarrollador"/>
    <s v="ASO"/>
    <m/>
    <e v="#NAME?"/>
    <e v="#NAME?"/>
    <e v="#NAME?"/>
    <m/>
    <m/>
    <m/>
    <m/>
    <m/>
  </r>
  <r>
    <s v="C804832"/>
    <s v="ANTONY SUICA CUARTAS"/>
    <x v="5"/>
    <x v="23"/>
    <s v="BBVA"/>
    <e v="#NAME?"/>
    <x v="168"/>
    <n v="0.8"/>
    <s v="Desarrollador"/>
    <s v="Distribuido"/>
    <s v="SW JAM"/>
    <e v="#NAME?"/>
    <e v="#NAME?"/>
    <e v="#NAME?"/>
    <m/>
    <m/>
    <m/>
    <m/>
    <m/>
  </r>
  <r>
    <s v="C804832"/>
    <s v="ANTONY SUICA CUARTAS"/>
    <x v="5"/>
    <x v="23"/>
    <s v="BBVA"/>
    <e v="#NAME?"/>
    <x v="3"/>
    <n v="0.15"/>
    <s v="Desarrollador"/>
    <s v="Distribuido"/>
    <s v="SW JAM, ASO, COBOL"/>
    <e v="#NAME?"/>
    <e v="#NAME?"/>
    <e v="#NAME?"/>
    <m/>
    <m/>
    <m/>
    <m/>
    <m/>
  </r>
  <r>
    <s v="O002934"/>
    <s v="BRIAN MAURICIO TEJEDOR VARGAS"/>
    <x v="5"/>
    <x v="25"/>
    <s v="BBVA"/>
    <e v="#NAME?"/>
    <x v="3"/>
    <n v="0.6"/>
    <s v="Desarrollador"/>
    <s v="Distribuido"/>
    <s v="RPA Blue Prims"/>
    <e v="#NAME?"/>
    <e v="#NAME?"/>
    <e v="#NAME?"/>
    <m/>
    <m/>
    <m/>
    <m/>
    <m/>
  </r>
  <r>
    <s v="O002934"/>
    <s v="BRIAN MAURICIO TEJEDOR VARGAS"/>
    <x v="5"/>
    <x v="25"/>
    <s v="BBVA"/>
    <e v="#NAME?"/>
    <x v="61"/>
    <n v="0.4"/>
    <s v="Desarrollador"/>
    <s v="Distribuido"/>
    <s v="RPA Blue Prims"/>
    <e v="#NAME?"/>
    <e v="#NAME?"/>
    <e v="#NAME?"/>
    <m/>
    <m/>
    <m/>
    <m/>
    <m/>
  </r>
  <r>
    <s v="CE51863"/>
    <s v="EDNA ROCIO MONCADA"/>
    <x v="5"/>
    <x v="23"/>
    <s v="KRYPTO"/>
    <e v="#NAME?"/>
    <x v="3"/>
    <n v="0.02"/>
    <s v="QA"/>
    <s v="Otras Tec."/>
    <m/>
    <e v="#NAME?"/>
    <e v="#NAME?"/>
    <e v="#NAME?"/>
    <m/>
    <m/>
    <m/>
    <m/>
    <m/>
  </r>
  <r>
    <s v="CE51863"/>
    <s v="EDNA ROCIO MONCADA"/>
    <x v="5"/>
    <x v="22"/>
    <s v="KRYPTO"/>
    <e v="#NAME?"/>
    <x v="3"/>
    <n v="0.02"/>
    <s v="QA"/>
    <s v="Otras Tec."/>
    <m/>
    <e v="#NAME?"/>
    <e v="#NAME?"/>
    <e v="#NAME?"/>
    <m/>
    <m/>
    <m/>
    <m/>
    <m/>
  </r>
  <r>
    <s v="CE51863"/>
    <s v="EDNA ROCIO MONCADA"/>
    <x v="5"/>
    <x v="25"/>
    <s v="KRYPTO"/>
    <e v="#NAME?"/>
    <x v="3"/>
    <n v="0.02"/>
    <s v="QA"/>
    <s v="Otras Tec."/>
    <m/>
    <e v="#NAME?"/>
    <e v="#NAME?"/>
    <e v="#NAME?"/>
    <m/>
    <m/>
    <m/>
    <m/>
    <m/>
  </r>
  <r>
    <s v="CE51863"/>
    <s v="EDNA ROCIO MONCADA"/>
    <x v="5"/>
    <x v="24"/>
    <s v="KRYPTO"/>
    <e v="#NAME?"/>
    <x v="3"/>
    <n v="0.02"/>
    <s v="QA"/>
    <s v="Otras Tec."/>
    <m/>
    <e v="#NAME?"/>
    <e v="#NAME?"/>
    <e v="#NAME?"/>
    <m/>
    <m/>
    <m/>
    <m/>
    <m/>
  </r>
  <r>
    <s v="CE51863"/>
    <s v="EDNA ROCIO MONCADA"/>
    <x v="5"/>
    <x v="23"/>
    <s v="KRYPTO"/>
    <e v="#NAME?"/>
    <x v="171"/>
    <n v="0.02"/>
    <s v="QA"/>
    <s v="Otras Tec."/>
    <m/>
    <e v="#NAME?"/>
    <e v="#NAME?"/>
    <e v="#NAME?"/>
    <m/>
    <m/>
    <m/>
    <m/>
    <m/>
  </r>
  <r>
    <s v="CE51863"/>
    <s v="EDNA ROCIO MONCADA"/>
    <x v="5"/>
    <x v="23"/>
    <s v="KRYPTO"/>
    <e v="#NAME?"/>
    <x v="172"/>
    <n v="0.02"/>
    <s v="QA"/>
    <s v="Otras Tec."/>
    <m/>
    <e v="#NAME?"/>
    <e v="#NAME?"/>
    <e v="#NAME?"/>
    <m/>
    <m/>
    <m/>
    <m/>
    <m/>
  </r>
  <r>
    <s v="CE51863"/>
    <s v="EDNA ROCIO MONCADA"/>
    <x v="5"/>
    <x v="24"/>
    <s v="KRYPTO"/>
    <e v="#NAME?"/>
    <x v="173"/>
    <n v="0.02"/>
    <s v="QA"/>
    <s v="Otras Tec."/>
    <m/>
    <e v="#NAME?"/>
    <e v="#NAME?"/>
    <e v="#NAME?"/>
    <m/>
    <m/>
    <m/>
    <m/>
    <m/>
  </r>
  <r>
    <s v="CE51863"/>
    <s v="EDNA ROCIO MONCADA"/>
    <x v="5"/>
    <x v="24"/>
    <s v="KRYPTO"/>
    <e v="#NAME?"/>
    <x v="170"/>
    <n v="0.02"/>
    <s v="QA"/>
    <s v="Otras Tec."/>
    <m/>
    <e v="#NAME?"/>
    <e v="#NAME?"/>
    <e v="#NAME?"/>
    <m/>
    <m/>
    <m/>
    <m/>
    <m/>
  </r>
  <r>
    <s v="CE51863"/>
    <s v="EDNA ROCIO MONCADA"/>
    <x v="5"/>
    <x v="22"/>
    <s v="KRYPTO"/>
    <e v="#NAME?"/>
    <x v="169"/>
    <n v="0.02"/>
    <s v="QA"/>
    <s v="Otras Tec."/>
    <m/>
    <e v="#NAME?"/>
    <e v="#NAME?"/>
    <e v="#NAME?"/>
    <m/>
    <m/>
    <m/>
    <m/>
    <m/>
  </r>
  <r>
    <s v="CE51863"/>
    <s v="EDNA ROCIO MONCADA"/>
    <x v="5"/>
    <x v="22"/>
    <s v="KRYPTO"/>
    <e v="#NAME?"/>
    <x v="166"/>
    <n v="0.02"/>
    <s v="QA"/>
    <s v="Otras Tec."/>
    <m/>
    <e v="#NAME?"/>
    <e v="#NAME?"/>
    <e v="#NAME?"/>
    <m/>
    <m/>
    <m/>
    <m/>
    <m/>
  </r>
  <r>
    <s v="CE51863"/>
    <s v="EDNA ROCIO MONCADA"/>
    <x v="5"/>
    <x v="22"/>
    <s v="KRYPTO"/>
    <e v="#NAME?"/>
    <x v="167"/>
    <n v="0.02"/>
    <s v="QA"/>
    <s v="Otras Tec."/>
    <m/>
    <e v="#NAME?"/>
    <e v="#NAME?"/>
    <e v="#NAME?"/>
    <m/>
    <m/>
    <m/>
    <m/>
    <m/>
  </r>
  <r>
    <s v="CE51863"/>
    <s v="EDNA ROCIO MONCADA"/>
    <x v="5"/>
    <x v="22"/>
    <s v="KRYPTO"/>
    <e v="#NAME?"/>
    <x v="165"/>
    <n v="0.02"/>
    <s v="QA"/>
    <s v="Otras Tec."/>
    <m/>
    <e v="#NAME?"/>
    <e v="#NAME?"/>
    <e v="#NAME?"/>
    <m/>
    <m/>
    <m/>
    <m/>
    <m/>
  </r>
  <r>
    <s v="C811170"/>
    <s v="CRISTIAN ANDREY ANTOLINEZ BOHORQUEZ"/>
    <x v="5"/>
    <x v="24"/>
    <s v="BBVA"/>
    <e v="#NAME?"/>
    <x v="173"/>
    <n v="1"/>
    <s v="Desarrollador"/>
    <s v="Distribuido"/>
    <s v="SW Genesys"/>
    <e v="#NAME?"/>
    <e v="#NAME?"/>
    <e v="#NAME?"/>
    <m/>
    <m/>
    <m/>
    <m/>
    <m/>
  </r>
  <r>
    <s v="O003245"/>
    <s v="CRISTIAN RENE MENDEZ"/>
    <x v="5"/>
    <x v="23"/>
    <s v="BBVA"/>
    <e v="#NAME?"/>
    <x v="3"/>
    <n v="0.7"/>
    <s v="Tech Manager/Líder"/>
    <s v="Otras Tec."/>
    <m/>
    <e v="#NAME?"/>
    <e v="#NAME?"/>
    <e v="#NAME?"/>
    <m/>
    <m/>
    <m/>
    <m/>
    <m/>
  </r>
  <r>
    <s v="O003245"/>
    <s v="CRISTIAN RENE MENDEZ"/>
    <x v="5"/>
    <x v="23"/>
    <s v="BBVA"/>
    <e v="#NAME?"/>
    <x v="172"/>
    <n v="0.1"/>
    <s v="Tech Manager/Líder"/>
    <s v="Otras Tec."/>
    <m/>
    <e v="#NAME?"/>
    <e v="#NAME?"/>
    <e v="#NAME?"/>
    <m/>
    <m/>
    <m/>
    <m/>
    <m/>
  </r>
  <r>
    <s v="O003245"/>
    <s v="CRISTIAN RENE MENDEZ"/>
    <x v="5"/>
    <x v="24"/>
    <s v="BBVA"/>
    <e v="#NAME?"/>
    <x v="173"/>
    <n v="0.1"/>
    <s v="Tech Manager/Líder"/>
    <s v="Otras Tec."/>
    <m/>
    <e v="#NAME?"/>
    <e v="#NAME?"/>
    <e v="#NAME?"/>
    <m/>
    <m/>
    <m/>
    <m/>
    <m/>
  </r>
  <r>
    <s v="O003245"/>
    <s v="CRISTIAN RENE MENDEZ"/>
    <x v="5"/>
    <x v="24"/>
    <s v="BBVA"/>
    <e v="#NAME?"/>
    <x v="170"/>
    <n v="0.1"/>
    <s v="Tech Manager/Líder"/>
    <s v="Otras Tec."/>
    <m/>
    <e v="#NAME?"/>
    <e v="#NAME?"/>
    <e v="#NAME?"/>
    <m/>
    <m/>
    <m/>
    <m/>
    <m/>
  </r>
  <r>
    <s v="C342547"/>
    <s v="DAVID LEONARDO OBANDO CORTÉS"/>
    <x v="5"/>
    <x v="23"/>
    <s v="BBVA"/>
    <e v="#NAME?"/>
    <x v="3"/>
    <n v="0.25"/>
    <s v="Desarrollador"/>
    <s v="Mainframe"/>
    <m/>
    <e v="#NAME?"/>
    <e v="#NAME?"/>
    <e v="#NAME?"/>
    <m/>
    <m/>
    <m/>
    <m/>
    <m/>
  </r>
  <r>
    <s v="C342547"/>
    <s v="DAVID LEONARDO OBANDO CORTÉS"/>
    <x v="5"/>
    <x v="23"/>
    <s v="BBVA"/>
    <e v="#NAME?"/>
    <x v="172"/>
    <n v="0.75"/>
    <s v="Desarrollador"/>
    <s v="Mainframe"/>
    <m/>
    <e v="#NAME?"/>
    <e v="#NAME?"/>
    <e v="#NAME?"/>
    <m/>
    <m/>
    <m/>
    <m/>
    <m/>
  </r>
  <r>
    <s v="CE59507"/>
    <s v="DAVID RODRIGUEZ RANGEL"/>
    <x v="5"/>
    <x v="23"/>
    <s v="Inetum"/>
    <e v="#NAME?"/>
    <x v="172"/>
    <n v="1"/>
    <s v="Desarrollador"/>
    <s v="Distribuido"/>
    <m/>
    <e v="#NAME?"/>
    <e v="#NAME?"/>
    <e v="#NAME?"/>
    <m/>
    <m/>
    <m/>
    <m/>
    <m/>
  </r>
  <r>
    <s v="C809616"/>
    <s v="DIEGO FERNANDO MONTEALEGRE ROZO"/>
    <x v="5"/>
    <x v="22"/>
    <s v="BBVA"/>
    <e v="#NAME?"/>
    <x v="3"/>
    <n v="0.25"/>
    <s v="Desarrollador"/>
    <s v="Distribuido"/>
    <s v="DataPower"/>
    <e v="#NAME?"/>
    <e v="#NAME?"/>
    <e v="#NAME?"/>
    <m/>
    <m/>
    <m/>
    <m/>
    <m/>
  </r>
  <r>
    <s v="C809616"/>
    <s v="DIEGO FERNANDO MONTEALEGRE ROZO"/>
    <x v="5"/>
    <x v="22"/>
    <s v="BBVA"/>
    <e v="#NAME?"/>
    <x v="167"/>
    <n v="0.75"/>
    <s v="Desarrollador"/>
    <s v="Distribuido"/>
    <s v="DataPower"/>
    <e v="#NAME?"/>
    <e v="#NAME?"/>
    <e v="#NAME?"/>
    <m/>
    <m/>
    <m/>
    <m/>
    <m/>
  </r>
  <r>
    <s v="C810674"/>
    <s v="EDWIN ARMANDO CASTRO MARTIN"/>
    <x v="5"/>
    <x v="24"/>
    <s v="BBVA"/>
    <e v="#NAME?"/>
    <x v="170"/>
    <n v="1"/>
    <s v="Desarrollador"/>
    <s v="Cells"/>
    <m/>
    <e v="#NAME?"/>
    <e v="#NAME?"/>
    <e v="#NAME?"/>
    <m/>
    <m/>
    <m/>
    <m/>
    <m/>
  </r>
  <r>
    <s v="C803039"/>
    <s v="EVELIN LORENA PEDRAZA ROMERO"/>
    <x v="5"/>
    <x v="22"/>
    <s v="BBVA"/>
    <e v="#NAME?"/>
    <x v="3"/>
    <n v="0.5"/>
    <s v="Desarrollador"/>
    <s v="ASO"/>
    <m/>
    <e v="#NAME?"/>
    <e v="#NAME?"/>
    <e v="#NAME?"/>
    <m/>
    <m/>
    <m/>
    <m/>
    <m/>
  </r>
  <r>
    <s v="C803039"/>
    <s v="EVELIN LORENA PEDRAZA ROMERO"/>
    <x v="5"/>
    <x v="22"/>
    <s v="BBVA"/>
    <e v="#NAME?"/>
    <x v="165"/>
    <n v="0.5"/>
    <s v="Desarrollador"/>
    <s v="Mainframe"/>
    <m/>
    <e v="#NAME?"/>
    <e v="#NAME?"/>
    <e v="#NAME?"/>
    <m/>
    <m/>
    <m/>
    <m/>
    <m/>
  </r>
  <r>
    <s v="CE70580"/>
    <s v="FABIAN ARTURO RAMIREZ BROCHE"/>
    <x v="5"/>
    <x v="25"/>
    <s v="Inetum"/>
    <e v="#NAME?"/>
    <x v="3"/>
    <n v="1"/>
    <s v="Desarrollador"/>
    <s v="Distribuido"/>
    <s v="RPA Blue Prims"/>
    <e v="#NAME?"/>
    <e v="#NAME?"/>
    <e v="#NAME?"/>
    <m/>
    <m/>
    <m/>
    <m/>
    <m/>
  </r>
  <r>
    <s v="C804602"/>
    <s v="JOAN DE JESUS SANCHEZ CANDANOZA"/>
    <x v="5"/>
    <x v="25"/>
    <s v="BBVA"/>
    <e v="#NAME?"/>
    <x v="3"/>
    <n v="1"/>
    <s v="Desarrollador"/>
    <s v="Distribuido"/>
    <s v="RPA Blue Prims"/>
    <e v="#NAME?"/>
    <e v="#NAME?"/>
    <e v="#NAME?"/>
    <m/>
    <m/>
    <m/>
    <m/>
    <m/>
  </r>
  <r>
    <s v="CE70183"/>
    <s v="JOEL ANDRÉS CANTILLO NIETO"/>
    <x v="5"/>
    <x v="24"/>
    <s v="GGI / CMC"/>
    <e v="#NAME?"/>
    <x v="173"/>
    <n v="1"/>
    <s v="Desarrollador"/>
    <s v="Mainframe"/>
    <m/>
    <e v="#NAME?"/>
    <e v="#NAME?"/>
    <e v="#NAME?"/>
    <m/>
    <m/>
    <m/>
    <m/>
    <m/>
  </r>
  <r>
    <s v="C805564"/>
    <s v="JOHN JAIRO CARDENAS SANABRIA"/>
    <x v="5"/>
    <x v="22"/>
    <s v="BBVA"/>
    <e v="#NAME?"/>
    <x v="166"/>
    <n v="0.6"/>
    <s v="Desarrollador"/>
    <s v="Mainframe"/>
    <m/>
    <e v="#NAME?"/>
    <e v="#NAME?"/>
    <e v="#NAME?"/>
    <m/>
    <m/>
    <m/>
    <m/>
    <m/>
  </r>
  <r>
    <s v="C805564"/>
    <s v="JOHN JAIRO CARDENAS SANABRIA"/>
    <x v="5"/>
    <x v="22"/>
    <s v="BBVA"/>
    <e v="#NAME?"/>
    <x v="3"/>
    <n v="0.1"/>
    <s v="Desarrollador"/>
    <s v="Distribuido"/>
    <m/>
    <e v="#NAME?"/>
    <e v="#NAME?"/>
    <e v="#NAME?"/>
    <m/>
    <m/>
    <m/>
    <m/>
    <m/>
  </r>
  <r>
    <s v="C805564"/>
    <s v="JOHN JAIRO CARDENAS SANABRIA"/>
    <x v="5"/>
    <x v="22"/>
    <s v="BBVA"/>
    <e v="#NAME?"/>
    <x v="167"/>
    <n v="0.3"/>
    <s v="Desarrollador"/>
    <s v="Mainframe"/>
    <m/>
    <e v="#NAME?"/>
    <e v="#NAME?"/>
    <e v="#NAME?"/>
    <m/>
    <m/>
    <m/>
    <m/>
    <m/>
  </r>
  <r>
    <s v="C810669"/>
    <s v="JORGE ANDRES MANRIQUE MARTINEZ"/>
    <x v="5"/>
    <x v="24"/>
    <s v="BBVA"/>
    <e v="#NAME?"/>
    <x v="173"/>
    <n v="1"/>
    <s v="Desarrollador"/>
    <s v="ASO"/>
    <m/>
    <e v="#NAME?"/>
    <e v="#NAME?"/>
    <e v="#NAME?"/>
    <m/>
    <m/>
    <m/>
    <m/>
    <m/>
  </r>
  <r>
    <s v="O002469"/>
    <s v="JOSE AGUSTIN PALOMINO PARDO"/>
    <x v="5"/>
    <x v="22"/>
    <s v="BBVA"/>
    <e v="#NAME?"/>
    <x v="3"/>
    <n v="1"/>
    <s v="Desarrollador"/>
    <s v="ASO"/>
    <m/>
    <e v="#NAME?"/>
    <e v="#NAME?"/>
    <e v="#NAME?"/>
    <m/>
    <m/>
    <m/>
    <m/>
    <m/>
  </r>
  <r>
    <s v="O003310"/>
    <s v="KAREN MARGARITA ARENILLA TRIGOS"/>
    <x v="5"/>
    <x v="22"/>
    <s v="BBVA"/>
    <e v="#NAME?"/>
    <x v="3"/>
    <n v="1"/>
    <s v="Desarrollador"/>
    <s v="APX"/>
    <s v="ASO/APX"/>
    <e v="#NAME?"/>
    <e v="#NAME?"/>
    <e v="#NAME?"/>
    <m/>
    <m/>
    <m/>
    <m/>
    <m/>
  </r>
  <r>
    <s v="O002599"/>
    <s v="LAURA VALENTINA SANDOVAL MARIN"/>
    <x v="5"/>
    <x v="24"/>
    <s v="BBVA"/>
    <e v="#NAME?"/>
    <x v="173"/>
    <n v="1"/>
    <s v="Desarrollador"/>
    <s v="ASO"/>
    <m/>
    <e v="#NAME?"/>
    <e v="#NAME?"/>
    <e v="#NAME?"/>
    <m/>
    <m/>
    <m/>
    <m/>
    <m/>
  </r>
  <r>
    <s v="C808303"/>
    <s v="MARIA CAMILA BUITRAGO"/>
    <x v="5"/>
    <x v="22"/>
    <s v="BBVA"/>
    <e v="#NAME?"/>
    <x v="3"/>
    <n v="0.7"/>
    <s v="Tech Manager/Líder"/>
    <s v="Otras Tec."/>
    <m/>
    <e v="#NAME?"/>
    <e v="#NAME?"/>
    <e v="#NAME?"/>
    <m/>
    <m/>
    <m/>
    <m/>
    <m/>
  </r>
  <r>
    <s v="C808303"/>
    <s v="MARIA CAMILA BUITRAGO"/>
    <x v="5"/>
    <x v="22"/>
    <s v="BBVA"/>
    <e v="#NAME?"/>
    <x v="169"/>
    <n v="0.1"/>
    <s v="Tech Manager/Líder"/>
    <s v="Otras Tec."/>
    <m/>
    <e v="#NAME?"/>
    <e v="#NAME?"/>
    <e v="#NAME?"/>
    <m/>
    <m/>
    <m/>
    <m/>
    <m/>
  </r>
  <r>
    <s v="C808303"/>
    <s v="MARIA CAMILA BUITRAGO"/>
    <x v="5"/>
    <x v="22"/>
    <s v="BBVA"/>
    <e v="#NAME?"/>
    <x v="166"/>
    <n v="0.05"/>
    <s v="Tech Manager/Líder"/>
    <s v="Otras Tec."/>
    <m/>
    <e v="#NAME?"/>
    <e v="#NAME?"/>
    <e v="#NAME?"/>
    <m/>
    <m/>
    <m/>
    <m/>
    <m/>
  </r>
  <r>
    <s v="C808303"/>
    <s v="MARIA CAMILA BUITRAGO"/>
    <x v="5"/>
    <x v="22"/>
    <s v="BBVA"/>
    <e v="#NAME?"/>
    <x v="167"/>
    <n v="0.05"/>
    <s v="Tech Manager/Líder"/>
    <s v="Otras Tec."/>
    <m/>
    <e v="#NAME?"/>
    <e v="#NAME?"/>
    <e v="#NAME?"/>
    <m/>
    <m/>
    <m/>
    <m/>
    <m/>
  </r>
  <r>
    <s v="C808303"/>
    <s v="MARIA CAMILA BUITRAGO"/>
    <x v="5"/>
    <x v="22"/>
    <s v="BBVA"/>
    <e v="#NAME?"/>
    <x v="165"/>
    <n v="0.05"/>
    <s v="Tech Manager/Líder"/>
    <s v="Otras Tec."/>
    <m/>
    <e v="#NAME?"/>
    <e v="#NAME?"/>
    <e v="#NAME?"/>
    <m/>
    <m/>
    <m/>
    <m/>
    <m/>
  </r>
  <r>
    <s v="C808303"/>
    <s v="MARIA CAMILA BUITRAGO"/>
    <x v="5"/>
    <x v="25"/>
    <s v="BBVA"/>
    <e v="#NAME?"/>
    <x v="61"/>
    <n v="0.05"/>
    <s v="Tech Manager/Líder"/>
    <s v="Otras Tec."/>
    <m/>
    <e v="#NAME?"/>
    <e v="#NAME?"/>
    <e v="#NAME?"/>
    <m/>
    <m/>
    <m/>
    <m/>
    <m/>
  </r>
  <r>
    <s v="CE59254"/>
    <s v="MARLLY JAZMIN VARGAS GARZÓN"/>
    <x v="5"/>
    <x v="24"/>
    <s v="KRYPTO"/>
    <e v="#NAME?"/>
    <x v="170"/>
    <n v="1"/>
    <s v="QA"/>
    <s v="Otras Tec."/>
    <m/>
    <e v="#NAME?"/>
    <e v="#NAME?"/>
    <e v="#NAME?"/>
    <m/>
    <m/>
    <m/>
    <m/>
    <m/>
  </r>
  <r>
    <s v="CE69603"/>
    <s v="MIGUEL ANGEL LUENGAS"/>
    <x v="5"/>
    <x v="23"/>
    <s v="Choucair"/>
    <e v="#NAME?"/>
    <x v="172"/>
    <n v="1"/>
    <s v="QA"/>
    <s v="Otras Tec."/>
    <m/>
    <e v="#NAME?"/>
    <e v="#NAME?"/>
    <e v="#NAME?"/>
    <m/>
    <m/>
    <m/>
    <m/>
    <m/>
  </r>
  <r>
    <s v="T004574"/>
    <s v="NICOLÁS ENRIQUE BUITRAGO ARANGO"/>
    <x v="5"/>
    <x v="24"/>
    <s v="GGI / CMC"/>
    <e v="#NAME?"/>
    <x v="170"/>
    <n v="1"/>
    <s v="Desarrollador"/>
    <s v="ASO"/>
    <m/>
    <e v="#NAME?"/>
    <e v="#NAME?"/>
    <e v="#NAME?"/>
    <m/>
    <m/>
    <m/>
    <m/>
    <m/>
  </r>
  <r>
    <s v="CE57586"/>
    <s v="OMAR ESTEBAN MATUK"/>
    <x v="5"/>
    <x v="22"/>
    <s v="GGI / CMC"/>
    <e v="#NAME?"/>
    <x v="167"/>
    <n v="0.2"/>
    <s v="Desarrollador"/>
    <s v="Mainframe"/>
    <m/>
    <e v="#NAME?"/>
    <e v="#NAME?"/>
    <e v="#NAME?"/>
    <m/>
    <m/>
    <m/>
    <m/>
    <m/>
  </r>
  <r>
    <s v="CE57586"/>
    <s v="OMAR ESTEBAN MATUK"/>
    <x v="5"/>
    <x v="22"/>
    <s v="GGI / CMC"/>
    <e v="#NAME?"/>
    <x v="166"/>
    <n v="0.6"/>
    <s v="Desarrollador"/>
    <s v="Mainframe"/>
    <m/>
    <e v="#NAME?"/>
    <e v="#NAME?"/>
    <e v="#NAME?"/>
    <m/>
    <m/>
    <m/>
    <m/>
    <m/>
  </r>
  <r>
    <s v="CE57586"/>
    <s v="OMAR ESTEBAN MATUK"/>
    <x v="5"/>
    <x v="22"/>
    <s v="GGI / CMC"/>
    <e v="#NAME?"/>
    <x v="165"/>
    <n v="0.2"/>
    <s v="Desarrollador"/>
    <s v="Mainframe"/>
    <m/>
    <e v="#NAME?"/>
    <e v="#NAME?"/>
    <e v="#NAME?"/>
    <m/>
    <m/>
    <m/>
    <m/>
    <m/>
  </r>
  <r>
    <s v="CE59969"/>
    <s v="PABLO ANTONIO MARQUEZ"/>
    <x v="5"/>
    <x v="24"/>
    <s v="Novatec"/>
    <e v="#NAME?"/>
    <x v="170"/>
    <n v="1"/>
    <s v="Desarrollador"/>
    <s v="Mainframe"/>
    <m/>
    <e v="#NAME?"/>
    <e v="#NAME?"/>
    <e v="#NAME?"/>
    <m/>
    <m/>
    <m/>
    <m/>
    <m/>
  </r>
  <r>
    <s v="CE43579"/>
    <s v="PLINIO EDUARDO MARTINEZ ESPITIA"/>
    <x v="5"/>
    <x v="23"/>
    <s v="GGI / CMC"/>
    <e v="#NAME?"/>
    <x v="160"/>
    <n v="0.1"/>
    <s v="QA"/>
    <s v="Otras Tec."/>
    <m/>
    <e v="#NAME?"/>
    <e v="#NAME?"/>
    <e v="#NAME?"/>
    <m/>
    <m/>
    <m/>
    <m/>
    <m/>
  </r>
  <r>
    <s v="CE43579"/>
    <s v="PLINIO EDUARDO MARTINEZ ESPITIA"/>
    <x v="5"/>
    <x v="23"/>
    <s v="GGI / CMC"/>
    <e v="#NAME?"/>
    <x v="169"/>
    <n v="0.3"/>
    <s v="QA"/>
    <s v="Otras Tec."/>
    <m/>
    <e v="#NAME?"/>
    <e v="#NAME?"/>
    <e v="#NAME?"/>
    <m/>
    <m/>
    <m/>
    <m/>
    <m/>
  </r>
  <r>
    <s v="CE43579"/>
    <s v="PLINIO EDUARDO MARTINEZ ESPITIA"/>
    <x v="5"/>
    <x v="23"/>
    <s v="GGI / CMC"/>
    <e v="#NAME?"/>
    <x v="168"/>
    <n v="0.3"/>
    <s v="QA"/>
    <s v="Otras Tec."/>
    <m/>
    <e v="#NAME?"/>
    <e v="#NAME?"/>
    <e v="#NAME?"/>
    <m/>
    <m/>
    <m/>
    <m/>
    <m/>
  </r>
  <r>
    <s v="CE43579"/>
    <s v="PLINIO EDUARDO MARTINEZ ESPITIA"/>
    <x v="5"/>
    <x v="23"/>
    <s v="GGI / CMC"/>
    <e v="#NAME?"/>
    <x v="3"/>
    <n v="0.3"/>
    <s v="QA"/>
    <s v="Otras Tec."/>
    <m/>
    <e v="#NAME?"/>
    <e v="#NAME?"/>
    <e v="#NAME?"/>
    <m/>
    <m/>
    <m/>
    <m/>
    <m/>
  </r>
  <r>
    <s v="C804684"/>
    <s v="WALTHER STIVENS ZAPATA TABERA"/>
    <x v="5"/>
    <x v="23"/>
    <s v="BBVA"/>
    <e v="#NAME?"/>
    <x v="169"/>
    <n v="0.5"/>
    <s v="Desarrollador"/>
    <s v="Mainframe"/>
    <m/>
    <e v="#NAME?"/>
    <e v="#NAME?"/>
    <e v="#NAME?"/>
    <m/>
    <m/>
    <m/>
    <m/>
    <m/>
  </r>
  <r>
    <s v="C804684"/>
    <s v="WALTHER STIVENS ZAPATA TABERA"/>
    <x v="5"/>
    <x v="23"/>
    <s v="BBVA"/>
    <e v="#NAME?"/>
    <x v="168"/>
    <n v="0.1"/>
    <s v="Desarrollador"/>
    <s v="Mainframe"/>
    <m/>
    <e v="#NAME?"/>
    <e v="#NAME?"/>
    <e v="#NAME?"/>
    <m/>
    <m/>
    <m/>
    <m/>
    <m/>
  </r>
  <r>
    <s v="C804684"/>
    <s v="WALTHER STIVENS ZAPATA TABERA"/>
    <x v="5"/>
    <x v="23"/>
    <s v="BBVA"/>
    <e v="#NAME?"/>
    <x v="3"/>
    <n v="0.4"/>
    <s v="Desarrollador"/>
    <s v="Mainframe"/>
    <m/>
    <e v="#NAME?"/>
    <e v="#NAME?"/>
    <e v="#NAME?"/>
    <m/>
    <m/>
    <m/>
    <m/>
    <m/>
  </r>
  <r>
    <s v="CE68929"/>
    <s v="YENIFER ARANGO TABARES"/>
    <x v="5"/>
    <x v="24"/>
    <s v="Choucair"/>
    <e v="#NAME?"/>
    <x v="173"/>
    <n v="1"/>
    <s v="QA"/>
    <s v="Otras Tec."/>
    <m/>
    <e v="#NAME?"/>
    <e v="#NAME?"/>
    <e v="#NAME?"/>
    <m/>
    <m/>
    <m/>
    <m/>
    <m/>
  </r>
  <r>
    <s v="CE61162"/>
    <s v="JOSE ANTONIO PERFECTO"/>
    <x v="5"/>
    <x v="24"/>
    <s v="Accenture"/>
    <e v="#NAME?"/>
    <x v="173"/>
    <n v="1"/>
    <s v="Desarrollador"/>
    <s v="APX"/>
    <m/>
    <e v="#NAME?"/>
    <e v="#NAME?"/>
    <e v="#NAME?"/>
    <m/>
    <m/>
    <m/>
    <m/>
    <m/>
  </r>
  <r>
    <s v="O004597"/>
    <s v="LUIS FELIPE VILLEGAS SANCHEZ"/>
    <x v="5"/>
    <x v="23"/>
    <s v="BBVA"/>
    <e v="#NAME?"/>
    <x v="168"/>
    <n v="1"/>
    <s v="Desarrollador"/>
    <s v="ASO"/>
    <m/>
    <e v="#NAME?"/>
    <e v="#NAME?"/>
    <e v="#NAME?"/>
    <m/>
    <m/>
    <m/>
    <m/>
    <m/>
  </r>
  <r>
    <s v="CE66885"/>
    <s v="ADRIAN ROJAS"/>
    <x v="3"/>
    <x v="11"/>
    <s v="Meraki"/>
    <e v="#NAME?"/>
    <x v="174"/>
    <n v="1"/>
    <s v="Desarrollador"/>
    <s v="APX"/>
    <m/>
    <e v="#NAME?"/>
    <e v="#NAME?"/>
    <e v="#NAME?"/>
    <m/>
    <m/>
    <m/>
    <m/>
    <m/>
  </r>
  <r>
    <s v="CE70173"/>
    <s v="ADRIANA MAYERLY RAMIREZ"/>
    <x v="3"/>
    <x v="11"/>
    <s v="Choucair"/>
    <e v="#NAME?"/>
    <x v="175"/>
    <n v="1"/>
    <s v="QA"/>
    <s v="Cells"/>
    <m/>
    <e v="#NAME?"/>
    <e v="#NAME?"/>
    <e v="#NAME?"/>
    <m/>
    <m/>
    <m/>
    <m/>
    <m/>
  </r>
  <r>
    <s v="CE17710"/>
    <s v="ANDREA MARIETA LOPEZ PARRA."/>
    <x v="3"/>
    <x v="11"/>
    <s v="Novatec"/>
    <e v="#NAME?"/>
    <x v="3"/>
    <n v="1"/>
    <s v="Desarrollador"/>
    <s v="Mainframe"/>
    <m/>
    <e v="#NAME?"/>
    <e v="#NAME?"/>
    <e v="#NAME?"/>
    <m/>
    <m/>
    <m/>
    <m/>
    <m/>
  </r>
  <r>
    <s v="T004480"/>
    <s v="ANDRES DAVID ARIAS"/>
    <x v="3"/>
    <x v="11"/>
    <s v="Novatec"/>
    <e v="#NAME?"/>
    <x v="3"/>
    <n v="1"/>
    <s v="Desarrollador"/>
    <s v="Mainframe"/>
    <m/>
    <e v="#NAME?"/>
    <e v="#NAME?"/>
    <e v="#NAME?"/>
    <m/>
    <m/>
    <m/>
    <m/>
    <m/>
  </r>
  <r>
    <s v="C805316"/>
    <s v="ANGELA MARIA BENITEZ"/>
    <x v="3"/>
    <x v="11"/>
    <s v="BBVA"/>
    <e v="#NAME?"/>
    <x v="176"/>
    <n v="1"/>
    <s v="Desarrollador"/>
    <s v="Mainframe"/>
    <m/>
    <e v="#NAME?"/>
    <e v="#NAME?"/>
    <e v="#NAME?"/>
    <m/>
    <m/>
    <m/>
    <m/>
    <m/>
  </r>
  <r>
    <s v="C810793"/>
    <s v="CAMILO ERNESTO MUÑOZ LOVERA"/>
    <x v="3"/>
    <x v="11"/>
    <s v="BBVA"/>
    <e v="#NAME?"/>
    <x v="176"/>
    <n v="1"/>
    <s v="Desarrollador"/>
    <s v="ASO"/>
    <m/>
    <e v="#NAME?"/>
    <e v="#NAME?"/>
    <e v="#NAME?"/>
    <m/>
    <m/>
    <m/>
    <m/>
    <m/>
  </r>
  <r>
    <s v="C811175"/>
    <s v="CIRO ALONSO RINCON HERNANDEZ"/>
    <x v="3"/>
    <x v="11"/>
    <s v="BBVA"/>
    <e v="#NAME?"/>
    <x v="177"/>
    <n v="0.2"/>
    <s v="Desarrollador"/>
    <s v="Mainframe"/>
    <m/>
    <e v="#NAME?"/>
    <e v="#NAME?"/>
    <e v="#NAME?"/>
    <m/>
    <m/>
    <m/>
    <m/>
    <m/>
  </r>
  <r>
    <s v="C811175"/>
    <s v="CIRO ALONSO RINCON HERNANDEZ"/>
    <x v="3"/>
    <x v="11"/>
    <s v="BBVA"/>
    <e v="#NAME?"/>
    <x v="5"/>
    <n v="0.2"/>
    <s v="Desarrollador"/>
    <s v="Mainframe"/>
    <m/>
    <e v="#NAME?"/>
    <e v="#NAME?"/>
    <e v="#NAME?"/>
    <m/>
    <m/>
    <m/>
    <m/>
    <m/>
  </r>
  <r>
    <s v="CE46835"/>
    <s v="CLAUDIA PALENCIA"/>
    <x v="3"/>
    <x v="11"/>
    <s v="KRYPTO"/>
    <e v="#NAME?"/>
    <x v="174"/>
    <n v="0.2"/>
    <s v="QA"/>
    <s v="Openweb"/>
    <m/>
    <e v="#NAME?"/>
    <e v="#NAME?"/>
    <e v="#NAME?"/>
    <m/>
    <m/>
    <m/>
    <m/>
    <m/>
  </r>
  <r>
    <s v="CE46835"/>
    <s v="CLAUDIA PALENCIA"/>
    <x v="3"/>
    <x v="11"/>
    <s v="KRYPTO"/>
    <e v="#NAME?"/>
    <x v="175"/>
    <n v="0.5"/>
    <s v="QA"/>
    <s v="Mainframe"/>
    <m/>
    <e v="#NAME?"/>
    <e v="#NAME?"/>
    <e v="#NAME?"/>
    <m/>
    <m/>
    <m/>
    <m/>
    <m/>
  </r>
  <r>
    <s v="CE46835"/>
    <s v="CLAUDIA PALENCIA"/>
    <x v="3"/>
    <x v="11"/>
    <s v="KRYPTO"/>
    <e v="#NAME?"/>
    <x v="3"/>
    <n v="0.3"/>
    <s v="QA"/>
    <m/>
    <m/>
    <e v="#NAME?"/>
    <e v="#NAME?"/>
    <e v="#NAME?"/>
    <m/>
    <m/>
    <m/>
    <m/>
    <m/>
  </r>
  <r>
    <s v="CE69505"/>
    <s v="CLAUDIA YURANI TAQUEZ CHALAPUD"/>
    <x v="3"/>
    <x v="11"/>
    <s v="KRYPTO"/>
    <e v="#NAME?"/>
    <x v="174"/>
    <n v="0.2"/>
    <s v="QA"/>
    <s v="Mainframe"/>
    <m/>
    <e v="#NAME?"/>
    <e v="#NAME?"/>
    <e v="#NAME?"/>
    <m/>
    <m/>
    <m/>
    <m/>
    <m/>
  </r>
  <r>
    <s v="CE69505"/>
    <s v="CLAUDIA YURANI TAQUEZ CHALAPUD"/>
    <x v="3"/>
    <x v="11"/>
    <s v="KRYPTO"/>
    <e v="#NAME?"/>
    <x v="3"/>
    <n v="0.3"/>
    <s v="QA"/>
    <s v="Mainframe"/>
    <m/>
    <e v="#NAME?"/>
    <e v="#NAME?"/>
    <e v="#NAME?"/>
    <m/>
    <m/>
    <m/>
    <m/>
    <m/>
  </r>
  <r>
    <s v="CE69505"/>
    <s v="CLAUDIA YURANI TAQUEZ CHALAPUD"/>
    <x v="3"/>
    <x v="11"/>
    <s v="KRYPTO"/>
    <e v="#NAME?"/>
    <x v="175"/>
    <n v="0.5"/>
    <s v="QA"/>
    <s v="Mainframe"/>
    <m/>
    <e v="#NAME?"/>
    <e v="#NAME?"/>
    <e v="#NAME?"/>
    <m/>
    <m/>
    <m/>
    <m/>
    <m/>
  </r>
  <r>
    <s v="O000988"/>
    <s v="CRISTIAN CAMILO RATIVA PARRA"/>
    <x v="3"/>
    <x v="11"/>
    <s v="BBVA"/>
    <e v="#NAME?"/>
    <x v="178"/>
    <n v="0.4"/>
    <s v="Desarrollador"/>
    <s v="Mainframe"/>
    <m/>
    <e v="#NAME?"/>
    <e v="#NAME?"/>
    <e v="#NAME?"/>
    <m/>
    <m/>
    <m/>
    <m/>
    <m/>
  </r>
  <r>
    <s v="O000988"/>
    <s v="CRISTIAN CAMILO RATIVA PARRA"/>
    <x v="3"/>
    <x v="11"/>
    <s v="BBVA"/>
    <e v="#NAME?"/>
    <x v="165"/>
    <n v="0.4"/>
    <s v="Desarrollador"/>
    <s v="Mainframe"/>
    <m/>
    <e v="#NAME?"/>
    <e v="#NAME?"/>
    <e v="#NAME?"/>
    <m/>
    <m/>
    <m/>
    <m/>
    <m/>
  </r>
  <r>
    <s v="O000988"/>
    <s v="CRISTIAN CAMILO RATIVA PARRA"/>
    <x v="3"/>
    <x v="11"/>
    <s v="BBVA"/>
    <e v="#NAME?"/>
    <x v="3"/>
    <n v="0.2"/>
    <s v="Desarrollador"/>
    <s v="Mainframe"/>
    <m/>
    <e v="#NAME?"/>
    <e v="#NAME?"/>
    <e v="#NAME?"/>
    <m/>
    <m/>
    <m/>
    <m/>
    <m/>
  </r>
  <r>
    <s v="C805861"/>
    <s v="DANIEL SANTIAGO JARAMILLO"/>
    <x v="3"/>
    <x v="11"/>
    <s v="BBVA"/>
    <e v="#NAME?"/>
    <x v="175"/>
    <n v="1"/>
    <s v="Desarrollador"/>
    <s v="Mainframe"/>
    <m/>
    <e v="#NAME?"/>
    <e v="#NAME?"/>
    <e v="#NAME?"/>
    <m/>
    <m/>
    <m/>
    <m/>
    <m/>
  </r>
  <r>
    <s v="CE58194"/>
    <s v="DIANA MAYERLY RAMIREZ"/>
    <x v="3"/>
    <x v="11"/>
    <s v="Inetum"/>
    <e v="#NAME?"/>
    <x v="174"/>
    <n v="1"/>
    <s v="QA"/>
    <s v="Mainframe"/>
    <m/>
    <e v="#NAME?"/>
    <e v="#NAME?"/>
    <e v="#NAME?"/>
    <m/>
    <m/>
    <m/>
    <m/>
    <m/>
  </r>
  <r>
    <s v="O001722"/>
    <s v="EDWARD ALEXANDER DUQUE TAMAYO"/>
    <x v="3"/>
    <x v="11"/>
    <s v="BBVA"/>
    <e v="#NAME?"/>
    <x v="3"/>
    <n v="1"/>
    <s v="Desarrollador"/>
    <s v="Mainframe"/>
    <m/>
    <e v="#NAME?"/>
    <e v="#NAME?"/>
    <e v="#NAME?"/>
    <m/>
    <m/>
    <m/>
    <m/>
    <m/>
  </r>
  <r>
    <s v="C809504"/>
    <s v="ELIEZER JOSUE CONEO VEGA"/>
    <x v="3"/>
    <x v="11"/>
    <s v="BBVA"/>
    <e v="#NAME?"/>
    <x v="177"/>
    <n v="0.2"/>
    <s v="Desarrollador"/>
    <s v="Mainframe"/>
    <m/>
    <e v="#NAME?"/>
    <e v="#NAME?"/>
    <e v="#NAME?"/>
    <m/>
    <m/>
    <m/>
    <m/>
    <m/>
  </r>
  <r>
    <s v="C809504"/>
    <s v="ELIEZER JOSUE CONEO VEGA"/>
    <x v="3"/>
    <x v="11"/>
    <s v="BBVA"/>
    <e v="#NAME?"/>
    <x v="6"/>
    <n v="0.6"/>
    <s v="Desarrollador"/>
    <s v="Mainframe"/>
    <m/>
    <e v="#NAME?"/>
    <e v="#NAME?"/>
    <e v="#NAME?"/>
    <m/>
    <m/>
    <m/>
    <m/>
    <m/>
  </r>
  <r>
    <s v="C809504"/>
    <s v="ELIEZER JOSUE CONEO VEGA"/>
    <x v="3"/>
    <x v="11"/>
    <s v="BBVA"/>
    <e v="#NAME?"/>
    <x v="3"/>
    <n v="0.2"/>
    <s v="Desarrollador"/>
    <s v="Mainframe"/>
    <m/>
    <e v="#NAME?"/>
    <e v="#NAME?"/>
    <e v="#NAME?"/>
    <m/>
    <m/>
    <m/>
    <m/>
    <m/>
  </r>
  <r>
    <s v="O000962"/>
    <s v="ELIZABETH  TRIANA PRIETO"/>
    <x v="3"/>
    <x v="11"/>
    <s v="BBVA"/>
    <e v="#NAME?"/>
    <x v="174"/>
    <n v="1"/>
    <s v="Tech Manager/Líder"/>
    <s v="Cells"/>
    <m/>
    <e v="#NAME?"/>
    <e v="#NAME?"/>
    <e v="#NAME?"/>
    <m/>
    <m/>
    <m/>
    <m/>
    <m/>
  </r>
  <r>
    <s v="CE66884"/>
    <s v="FRANK HERRAN GARZON"/>
    <x v="3"/>
    <x v="11"/>
    <s v="Meraki"/>
    <e v="#NAME?"/>
    <x v="174"/>
    <n v="1"/>
    <s v="Desarrollador"/>
    <s v="APX"/>
    <m/>
    <e v="#NAME?"/>
    <e v="#NAME?"/>
    <e v="#NAME?"/>
    <m/>
    <m/>
    <m/>
    <m/>
    <m/>
  </r>
  <r>
    <s v="C810909"/>
    <s v="GUILIAN ANDREI TAFUR FUENTES"/>
    <x v="3"/>
    <x v="11"/>
    <s v="BBVA"/>
    <e v="#NAME?"/>
    <x v="175"/>
    <n v="1"/>
    <s v="Desarrollador"/>
    <s v="APX"/>
    <m/>
    <e v="#NAME?"/>
    <e v="#NAME?"/>
    <e v="#NAME?"/>
    <m/>
    <m/>
    <m/>
    <m/>
    <m/>
  </r>
  <r>
    <s v="T002223"/>
    <s v="HERMES FERNANDO AMARIS"/>
    <x v="3"/>
    <x v="11"/>
    <s v="KRYPTO"/>
    <e v="#NAME?"/>
    <x v="3"/>
    <n v="1"/>
    <s v="QA"/>
    <s v="Mainframe"/>
    <m/>
    <e v="#NAME?"/>
    <e v="#NAME?"/>
    <e v="#NAME?"/>
    <m/>
    <m/>
    <m/>
    <m/>
    <m/>
  </r>
  <r>
    <s v="CE56542"/>
    <s v="HUMBERTO MALAGON VARGAS"/>
    <x v="3"/>
    <x v="11"/>
    <s v="Novatec"/>
    <e v="#NAME?"/>
    <x v="3"/>
    <n v="0.5"/>
    <s v="Desarrollador"/>
    <s v="APX"/>
    <m/>
    <e v="#NAME?"/>
    <e v="#NAME?"/>
    <e v="#NAME?"/>
    <m/>
    <m/>
    <m/>
    <m/>
    <m/>
  </r>
  <r>
    <s v="C342035"/>
    <s v="JENNIFER ALZATE"/>
    <x v="3"/>
    <x v="11"/>
    <s v="BBVA"/>
    <e v="#NAME?"/>
    <x v="174"/>
    <n v="1"/>
    <s v="Desarrollador"/>
    <s v="Mainframe"/>
    <m/>
    <e v="#NAME?"/>
    <e v="#NAME?"/>
    <e v="#NAME?"/>
    <m/>
    <m/>
    <m/>
    <m/>
    <m/>
  </r>
  <r>
    <s v="C811264"/>
    <s v="JORGE LUIS URBINA"/>
    <x v="3"/>
    <x v="11"/>
    <s v="BBVA"/>
    <e v="#NAME?"/>
    <x v="174"/>
    <n v="0.2"/>
    <s v="Desarrollador"/>
    <s v="Mainframe"/>
    <m/>
    <e v="#NAME?"/>
    <e v="#NAME?"/>
    <e v="#NAME?"/>
    <m/>
    <m/>
    <m/>
    <m/>
    <m/>
  </r>
  <r>
    <s v="C811264"/>
    <s v="JORGE LUIS URBINA"/>
    <x v="3"/>
    <x v="11"/>
    <s v="BBVA"/>
    <e v="#NAME?"/>
    <x v="3"/>
    <n v="0.3"/>
    <s v="Desarrollador"/>
    <s v="Mainframe"/>
    <m/>
    <e v="#NAME?"/>
    <e v="#NAME?"/>
    <e v="#NAME?"/>
    <m/>
    <m/>
    <m/>
    <m/>
    <m/>
  </r>
  <r>
    <s v="C811264"/>
    <s v="JORGE LUIS URBINA"/>
    <x v="3"/>
    <x v="11"/>
    <s v="BBVA"/>
    <e v="#NAME?"/>
    <x v="179"/>
    <n v="0.5"/>
    <s v="Desarrollador"/>
    <s v="Mainframe"/>
    <m/>
    <e v="#NAME?"/>
    <e v="#NAME?"/>
    <e v="#NAME?"/>
    <m/>
    <m/>
    <m/>
    <m/>
    <m/>
  </r>
  <r>
    <s v="C811393"/>
    <s v="JORGE NELSON GARCIA"/>
    <x v="3"/>
    <x v="11"/>
    <s v="BBVA"/>
    <e v="#NAME?"/>
    <x v="180"/>
    <n v="0.35"/>
    <s v="Desarrollador"/>
    <s v="Mainframe"/>
    <m/>
    <e v="#NAME?"/>
    <e v="#NAME?"/>
    <e v="#NAME?"/>
    <m/>
    <m/>
    <m/>
    <m/>
    <m/>
  </r>
  <r>
    <s v="C811393"/>
    <s v="JORGE NELSON GARCIA"/>
    <x v="3"/>
    <x v="11"/>
    <s v="BBVA"/>
    <e v="#NAME?"/>
    <x v="181"/>
    <n v="0.35"/>
    <s v="Desarrollador"/>
    <s v="Mainframe"/>
    <m/>
    <e v="#NAME?"/>
    <e v="#NAME?"/>
    <e v="#NAME?"/>
    <m/>
    <m/>
    <m/>
    <m/>
    <m/>
  </r>
  <r>
    <s v="C811393"/>
    <s v="JORGE NELSON GARCIA"/>
    <x v="3"/>
    <x v="11"/>
    <s v="BBVA"/>
    <e v="#NAME?"/>
    <x v="3"/>
    <n v="0.3"/>
    <s v="Desarrollador"/>
    <s v="Mainframe"/>
    <m/>
    <e v="#NAME?"/>
    <e v="#NAME?"/>
    <e v="#NAME?"/>
    <m/>
    <m/>
    <m/>
    <m/>
    <m/>
  </r>
  <r>
    <s v="CE49917"/>
    <s v="JORGE TAUTIVA MELO"/>
    <x v="3"/>
    <x v="11"/>
    <s v="Novatec"/>
    <e v="#NAME?"/>
    <x v="175"/>
    <n v="0.5"/>
    <s v="Desarrollador"/>
    <s v="APX"/>
    <m/>
    <e v="#NAME?"/>
    <e v="#NAME?"/>
    <e v="#NAME?"/>
    <m/>
    <m/>
    <m/>
    <m/>
    <m/>
  </r>
  <r>
    <s v="CE49917"/>
    <s v="JORGE TAUTIVA MELO"/>
    <x v="3"/>
    <x v="11"/>
    <s v="Novatec"/>
    <e v="#NAME?"/>
    <x v="176"/>
    <n v="0.5"/>
    <s v="Desarrollador"/>
    <s v="APX"/>
    <m/>
    <e v="#NAME?"/>
    <e v="#NAME?"/>
    <e v="#NAME?"/>
    <m/>
    <m/>
    <m/>
    <m/>
    <m/>
  </r>
  <r>
    <s v="C804723"/>
    <s v="JOSE BLADIMIR INAMPUES TUTALCHA"/>
    <x v="3"/>
    <x v="11"/>
    <s v="BBVA"/>
    <e v="#NAME?"/>
    <x v="182"/>
    <n v="0.3"/>
    <s v="Desarrollador"/>
    <s v="Mainframe"/>
    <m/>
    <e v="#NAME?"/>
    <e v="#NAME?"/>
    <e v="#NAME?"/>
    <m/>
    <m/>
    <m/>
    <m/>
    <m/>
  </r>
  <r>
    <s v="C804723"/>
    <s v="JOSE BLADIMIR INAMPUES TUTALCHA"/>
    <x v="3"/>
    <x v="11"/>
    <s v="BBVA"/>
    <e v="#NAME?"/>
    <x v="3"/>
    <n v="0.7"/>
    <s v="Desarrollador"/>
    <s v="Mainframe"/>
    <m/>
    <e v="#NAME?"/>
    <e v="#NAME?"/>
    <e v="#NAME?"/>
    <m/>
    <m/>
    <m/>
    <m/>
    <m/>
  </r>
  <r>
    <s v="C341931"/>
    <s v="JOSE MIGUEL SANCHEZ BARRANTES"/>
    <x v="3"/>
    <x v="11"/>
    <s v="BBVA"/>
    <e v="#NAME?"/>
    <x v="176"/>
    <n v="0.5"/>
    <s v="Tech Manager/Líder"/>
    <s v="Mainframe"/>
    <m/>
    <e v="#NAME?"/>
    <e v="#NAME?"/>
    <e v="#NAME?"/>
    <m/>
    <m/>
    <m/>
    <m/>
    <m/>
  </r>
  <r>
    <s v="C341931"/>
    <s v="JOSE MIGUEL SANCHEZ BARRANTES"/>
    <x v="3"/>
    <x v="11"/>
    <s v="BBVA"/>
    <e v="#NAME?"/>
    <x v="175"/>
    <n v="0.5"/>
    <s v="Tech Manager/Líder"/>
    <s v="Mainframe"/>
    <m/>
    <e v="#NAME?"/>
    <e v="#NAME?"/>
    <e v="#NAME?"/>
    <m/>
    <m/>
    <m/>
    <m/>
    <m/>
  </r>
  <r>
    <s v="C811403"/>
    <s v="JUAN FELIPE FORERO"/>
    <x v="3"/>
    <x v="11"/>
    <s v="BBVA"/>
    <e v="#NAME?"/>
    <x v="183"/>
    <n v="0.15"/>
    <s v="Tech Manager/Líder"/>
    <s v="Mainframe"/>
    <m/>
    <e v="#NAME?"/>
    <e v="#NAME?"/>
    <e v="#NAME?"/>
    <m/>
    <m/>
    <m/>
    <m/>
    <m/>
  </r>
  <r>
    <s v="C811403"/>
    <s v="JUAN FELIPE FORERO"/>
    <x v="3"/>
    <x v="11"/>
    <s v="BBVA"/>
    <e v="#NAME?"/>
    <x v="182"/>
    <n v="0.1"/>
    <s v="Tech Manager/Líder"/>
    <s v="Mainframe"/>
    <m/>
    <e v="#NAME?"/>
    <e v="#NAME?"/>
    <e v="#NAME?"/>
    <m/>
    <m/>
    <m/>
    <m/>
    <m/>
  </r>
  <r>
    <s v="C811403"/>
    <s v="JUAN FELIPE FORERO"/>
    <x v="3"/>
    <x v="11"/>
    <s v="BBVA"/>
    <e v="#NAME?"/>
    <x v="177"/>
    <n v="0.05"/>
    <s v="Tech Manager/Líder"/>
    <s v="Mainframe"/>
    <m/>
    <e v="#NAME?"/>
    <e v="#NAME?"/>
    <e v="#NAME?"/>
    <m/>
    <m/>
    <m/>
    <m/>
    <m/>
  </r>
  <r>
    <s v="C811403"/>
    <s v="JUAN FELIPE FORERO"/>
    <x v="3"/>
    <x v="11"/>
    <s v="BBVA"/>
    <e v="#NAME?"/>
    <x v="75"/>
    <n v="0.05"/>
    <s v="Tech Manager/Líder"/>
    <s v="Mainframe"/>
    <m/>
    <e v="#NAME?"/>
    <e v="#NAME?"/>
    <e v="#NAME?"/>
    <m/>
    <m/>
    <m/>
    <m/>
    <m/>
  </r>
  <r>
    <s v="C811403"/>
    <s v="JUAN FELIPE FORERO"/>
    <x v="3"/>
    <x v="11"/>
    <s v="BBVA"/>
    <e v="#NAME?"/>
    <x v="6"/>
    <n v="0.15"/>
    <s v="Tech Manager/Líder"/>
    <s v="Mainframe"/>
    <m/>
    <e v="#NAME?"/>
    <e v="#NAME?"/>
    <e v="#NAME?"/>
    <m/>
    <m/>
    <m/>
    <m/>
    <m/>
  </r>
  <r>
    <s v="C811403"/>
    <s v="JUAN FELIPE FORERO"/>
    <x v="3"/>
    <x v="11"/>
    <s v="BBVA"/>
    <e v="#NAME?"/>
    <x v="184"/>
    <n v="0.1"/>
    <s v="Tech Manager/Líder"/>
    <s v="Mainframe"/>
    <m/>
    <e v="#NAME?"/>
    <e v="#NAME?"/>
    <e v="#NAME?"/>
    <m/>
    <m/>
    <m/>
    <m/>
    <m/>
  </r>
  <r>
    <s v="C811403"/>
    <s v="JUAN FELIPE FORERO"/>
    <x v="3"/>
    <x v="11"/>
    <s v="BBVA"/>
    <e v="#NAME?"/>
    <x v="9"/>
    <n v="0.1"/>
    <s v="Tech Manager/Líder"/>
    <s v="Mainframe"/>
    <m/>
    <e v="#NAME?"/>
    <e v="#NAME?"/>
    <e v="#NAME?"/>
    <m/>
    <m/>
    <m/>
    <m/>
    <m/>
  </r>
  <r>
    <s v="C811403"/>
    <s v="JUAN FELIPE FORERO"/>
    <x v="3"/>
    <x v="11"/>
    <s v="BBVA"/>
    <e v="#NAME?"/>
    <x v="5"/>
    <n v="0.1"/>
    <s v="Tech Manager/Líder"/>
    <s v="Mainframe"/>
    <m/>
    <e v="#NAME?"/>
    <e v="#NAME?"/>
    <e v="#NAME?"/>
    <m/>
    <m/>
    <m/>
    <m/>
    <m/>
  </r>
  <r>
    <s v="C811403"/>
    <s v="JUAN FELIPE FORERO"/>
    <x v="3"/>
    <x v="11"/>
    <s v="BBVA"/>
    <e v="#NAME?"/>
    <x v="3"/>
    <n v="0.2"/>
    <s v="Tech Manager/Líder"/>
    <s v="Mainframe"/>
    <m/>
    <e v="#NAME?"/>
    <e v="#NAME?"/>
    <e v="#NAME?"/>
    <m/>
    <m/>
    <m/>
    <m/>
    <m/>
  </r>
  <r>
    <s v="T004374"/>
    <s v="JUAN SEBASTIAN MINA"/>
    <x v="3"/>
    <x v="11"/>
    <s v="KRYPTO"/>
    <e v="#NAME?"/>
    <x v="185"/>
    <n v="0.8"/>
    <s v="QA"/>
    <s v="Mainframe"/>
    <m/>
    <e v="#NAME?"/>
    <e v="#NAME?"/>
    <e v="#NAME?"/>
    <m/>
    <m/>
    <m/>
    <m/>
    <m/>
  </r>
  <r>
    <s v="T004374"/>
    <s v="JUAN SEBASTIAN MINA"/>
    <x v="3"/>
    <x v="11"/>
    <s v="KRYPTO"/>
    <e v="#NAME?"/>
    <x v="3"/>
    <n v="0.2"/>
    <s v="QA"/>
    <s v="Mainframe"/>
    <m/>
    <e v="#NAME?"/>
    <e v="#NAME?"/>
    <e v="#NAME?"/>
    <m/>
    <m/>
    <m/>
    <m/>
    <m/>
  </r>
  <r>
    <s v="T005122"/>
    <s v="JULIAN ANDRES ARENAS"/>
    <x v="3"/>
    <x v="11"/>
    <s v="Choucair"/>
    <e v="#NAME?"/>
    <x v="176"/>
    <n v="1"/>
    <s v="QA"/>
    <s v="Distribuido"/>
    <m/>
    <e v="#NAME?"/>
    <e v="#NAME?"/>
    <e v="#NAME?"/>
    <m/>
    <m/>
    <m/>
    <m/>
    <m/>
  </r>
  <r>
    <s v="C343617"/>
    <s v="LEIDY NATALIA  GONZALEZ"/>
    <x v="3"/>
    <x v="11"/>
    <s v="BBVA"/>
    <e v="#NAME?"/>
    <x v="186"/>
    <n v="0.4"/>
    <s v="Desarrollador"/>
    <s v="Otras Tec."/>
    <m/>
    <e v="#NAME?"/>
    <e v="#NAME?"/>
    <e v="#NAME?"/>
    <m/>
    <m/>
    <m/>
    <m/>
    <m/>
  </r>
  <r>
    <s v="C343617"/>
    <s v="LEIDY NATALIA  GONZALEZ"/>
    <x v="3"/>
    <x v="11"/>
    <s v="BBVA"/>
    <e v="#NAME?"/>
    <x v="3"/>
    <n v="0.6"/>
    <s v="Desarrollador"/>
    <s v="Otras Tec."/>
    <m/>
    <e v="#NAME?"/>
    <e v="#NAME?"/>
    <e v="#NAME?"/>
    <m/>
    <m/>
    <m/>
    <m/>
    <m/>
  </r>
  <r>
    <s v="C811392"/>
    <s v="LEONARDO SIMBAQUEBA ESGUERRA"/>
    <x v="3"/>
    <x v="11"/>
    <s v="BBVA"/>
    <e v="#NAME?"/>
    <x v="187"/>
    <n v="0.4"/>
    <s v="Desarrollador"/>
    <s v="Mainframe"/>
    <m/>
    <e v="#NAME?"/>
    <e v="#NAME?"/>
    <e v="#NAME?"/>
    <m/>
    <m/>
    <m/>
    <m/>
    <m/>
  </r>
  <r>
    <s v="C811392"/>
    <s v="LEONARDO SIMBAQUEBA ESGUERRA"/>
    <x v="3"/>
    <x v="11"/>
    <s v="BBVA"/>
    <e v="#NAME?"/>
    <x v="188"/>
    <n v="0.4"/>
    <s v="Desarrollador"/>
    <s v="Mainframe"/>
    <m/>
    <e v="#NAME?"/>
    <e v="#NAME?"/>
    <e v="#NAME?"/>
    <m/>
    <m/>
    <m/>
    <m/>
    <m/>
  </r>
  <r>
    <s v="C811392"/>
    <s v="LEONARDO SIMBAQUEBA ESGUERRA"/>
    <x v="3"/>
    <x v="11"/>
    <s v="BBVA"/>
    <e v="#NAME?"/>
    <x v="88"/>
    <n v="0.2"/>
    <s v="Desarrollador"/>
    <s v="Mainframe"/>
    <m/>
    <e v="#NAME?"/>
    <e v="#NAME?"/>
    <e v="#NAME?"/>
    <m/>
    <m/>
    <m/>
    <m/>
    <m/>
  </r>
  <r>
    <s v="T003366"/>
    <s v="LILIAN BEDUD RIOJAS GONZALEZ"/>
    <x v="3"/>
    <x v="11"/>
    <s v="Novatec"/>
    <e v="#NAME?"/>
    <x v="178"/>
    <n v="0.4"/>
    <s v="Otros"/>
    <s v="Mainframe"/>
    <m/>
    <e v="#NAME?"/>
    <e v="#NAME?"/>
    <e v="#NAME?"/>
    <m/>
    <m/>
    <m/>
    <m/>
    <m/>
  </r>
  <r>
    <s v="T003366"/>
    <s v="LILIAN BEDUD RIOJAS GONZALEZ"/>
    <x v="3"/>
    <x v="11"/>
    <s v="Novatec"/>
    <e v="#NAME?"/>
    <x v="181"/>
    <n v="0.3"/>
    <s v="Otros"/>
    <s v="Mainframe"/>
    <m/>
    <e v="#NAME?"/>
    <e v="#NAME?"/>
    <e v="#NAME?"/>
    <m/>
    <m/>
    <m/>
    <m/>
    <m/>
  </r>
  <r>
    <s v="T003366"/>
    <s v="LILIAN BEDUD RIOJAS GONZALEZ"/>
    <x v="3"/>
    <x v="11"/>
    <s v="Novatec"/>
    <e v="#NAME?"/>
    <x v="179"/>
    <n v="0.3"/>
    <s v="Otros"/>
    <s v="Mainframe"/>
    <m/>
    <e v="#NAME?"/>
    <e v="#NAME?"/>
    <e v="#NAME?"/>
    <m/>
    <m/>
    <m/>
    <m/>
    <m/>
  </r>
  <r>
    <s v="C811354"/>
    <s v="LIZET VANESSA VEGA BONILLA"/>
    <x v="3"/>
    <x v="11"/>
    <s v="BBVA"/>
    <e v="#NAME?"/>
    <x v="177"/>
    <n v="0.2"/>
    <s v="Desarrollador"/>
    <s v="Mainframe"/>
    <m/>
    <e v="#NAME?"/>
    <e v="#NAME?"/>
    <e v="#NAME?"/>
    <m/>
    <m/>
    <m/>
    <m/>
    <m/>
  </r>
  <r>
    <s v="C811354"/>
    <s v="LIZET VANESSA VEGA BONILLA"/>
    <x v="3"/>
    <x v="11"/>
    <s v="BBVA"/>
    <e v="#NAME?"/>
    <x v="75"/>
    <n v="0.2"/>
    <s v="Desarrollador"/>
    <s v="Mainframe"/>
    <m/>
    <e v="#NAME?"/>
    <e v="#NAME?"/>
    <e v="#NAME?"/>
    <m/>
    <m/>
    <m/>
    <m/>
    <m/>
  </r>
  <r>
    <s v="C811354"/>
    <s v="LIZET VANESSA VEGA BONILLA"/>
    <x v="3"/>
    <x v="11"/>
    <s v="BBVA"/>
    <e v="#NAME?"/>
    <x v="6"/>
    <n v="0.2"/>
    <s v="Desarrollador"/>
    <s v="Mainframe"/>
    <m/>
    <e v="#NAME?"/>
    <e v="#NAME?"/>
    <e v="#NAME?"/>
    <m/>
    <m/>
    <m/>
    <m/>
    <m/>
  </r>
  <r>
    <s v="C811354"/>
    <s v="LIZET VANESSA VEGA BONILLA"/>
    <x v="3"/>
    <x v="11"/>
    <s v="BBVA"/>
    <e v="#NAME?"/>
    <x v="5"/>
    <n v="0.2"/>
    <s v="Desarrollador"/>
    <s v="Mainframe"/>
    <m/>
    <e v="#NAME?"/>
    <e v="#NAME?"/>
    <e v="#NAME?"/>
    <m/>
    <m/>
    <m/>
    <m/>
    <m/>
  </r>
  <r>
    <s v="C811354"/>
    <s v="LIZET VANESSA VEGA BONILLA"/>
    <x v="3"/>
    <x v="11"/>
    <s v="BBVA"/>
    <e v="#NAME?"/>
    <x v="3"/>
    <n v="0.2"/>
    <s v="Desarrollador"/>
    <s v="Mainframe"/>
    <m/>
    <e v="#NAME?"/>
    <e v="#NAME?"/>
    <e v="#NAME?"/>
    <m/>
    <m/>
    <m/>
    <m/>
    <m/>
  </r>
  <r>
    <s v="CE70711"/>
    <s v="LIZETH DAYANA RODRIGUEZ ACOSTA"/>
    <x v="3"/>
    <x v="11"/>
    <s v="Novatec"/>
    <e v="#NAME?"/>
    <x v="3"/>
    <n v="1"/>
    <s v="Desarrollador"/>
    <s v="Mainframe"/>
    <m/>
    <e v="#NAME?"/>
    <e v="#NAME?"/>
    <e v="#NAME?"/>
    <m/>
    <m/>
    <m/>
    <m/>
    <m/>
  </r>
  <r>
    <s v="C811322"/>
    <s v="LUIS FERNANDO SABROSO"/>
    <x v="3"/>
    <x v="11"/>
    <s v="BBVA"/>
    <e v="#NAME?"/>
    <x v="174"/>
    <n v="1"/>
    <s v="Desarrollador"/>
    <s v="ASO"/>
    <m/>
    <e v="#NAME?"/>
    <e v="#NAME?"/>
    <e v="#NAME?"/>
    <m/>
    <m/>
    <m/>
    <m/>
    <m/>
  </r>
  <r>
    <s v="CE66135"/>
    <s v="LUIS FERNANDO TORRES AVENDAÑO"/>
    <x v="3"/>
    <x v="11"/>
    <s v="Inetum"/>
    <e v="#NAME?"/>
    <x v="174"/>
    <n v="1"/>
    <s v="Desarrollador"/>
    <s v="Mainframe"/>
    <m/>
    <e v="#NAME?"/>
    <e v="#NAME?"/>
    <e v="#NAME?"/>
    <m/>
    <m/>
    <m/>
    <m/>
    <m/>
  </r>
  <r>
    <s v="CE43328"/>
    <s v="LUZ ENEY ACEVEDO MATEUS"/>
    <x v="3"/>
    <x v="11"/>
    <s v="Novatec"/>
    <e v="#NAME?"/>
    <x v="3"/>
    <n v="1"/>
    <s v="Desarrollador"/>
    <s v="Mainframe"/>
    <m/>
    <e v="#NAME?"/>
    <e v="#NAME?"/>
    <e v="#NAME?"/>
    <m/>
    <m/>
    <m/>
    <m/>
    <m/>
  </r>
  <r>
    <s v="C808232"/>
    <s v="MARIA FERNANDA RUSSI"/>
    <x v="3"/>
    <x v="11"/>
    <s v="BBVA"/>
    <e v="#NAME?"/>
    <x v="3"/>
    <n v="0.3"/>
    <s v="Desarrollador"/>
    <s v="Mainframe"/>
    <m/>
    <e v="#NAME?"/>
    <e v="#NAME?"/>
    <e v="#NAME?"/>
    <m/>
    <m/>
    <m/>
    <m/>
    <m/>
  </r>
  <r>
    <s v="C808232"/>
    <s v="MARIA FERNANDA RUSSI"/>
    <x v="3"/>
    <x v="11"/>
    <s v="BBVA"/>
    <e v="#NAME?"/>
    <x v="189"/>
    <n v="0.7"/>
    <s v="Desarrollador"/>
    <s v="Mainframe"/>
    <m/>
    <e v="#NAME?"/>
    <e v="#NAME?"/>
    <e v="#NAME?"/>
    <m/>
    <m/>
    <m/>
    <m/>
    <m/>
  </r>
  <r>
    <s v="T008491"/>
    <s v="MARITZA CASTILLO NAVARRO"/>
    <x v="3"/>
    <x v="11"/>
    <s v="Inetum"/>
    <e v="#NAME?"/>
    <x v="189"/>
    <n v="0.3"/>
    <s v="Otros"/>
    <s v="Mainframe"/>
    <m/>
    <e v="#NAME?"/>
    <e v="#NAME?"/>
    <e v="#NAME?"/>
    <m/>
    <m/>
    <m/>
    <m/>
    <m/>
  </r>
  <r>
    <s v="T008491"/>
    <s v="MARITZA CASTILLO NAVARRO"/>
    <x v="3"/>
    <x v="11"/>
    <s v="Inetum"/>
    <e v="#NAME?"/>
    <x v="185"/>
    <n v="0.3"/>
    <s v="Otros"/>
    <s v="Mainframe"/>
    <m/>
    <e v="#NAME?"/>
    <e v="#NAME?"/>
    <e v="#NAME?"/>
    <m/>
    <m/>
    <m/>
    <m/>
    <m/>
  </r>
  <r>
    <s v="T008491"/>
    <s v="MARITZA CASTILLO NAVARRO"/>
    <x v="3"/>
    <x v="11"/>
    <s v="Inetum"/>
    <e v="#NAME?"/>
    <x v="165"/>
    <n v="0.2"/>
    <s v="Otros"/>
    <s v="Mainframe"/>
    <m/>
    <e v="#NAME?"/>
    <e v="#NAME?"/>
    <e v="#NAME?"/>
    <m/>
    <m/>
    <m/>
    <m/>
    <m/>
  </r>
  <r>
    <s v="T008491"/>
    <s v="MARITZA CASTILLO NAVARRO"/>
    <x v="3"/>
    <x v="11"/>
    <s v="Inetum"/>
    <e v="#NAME?"/>
    <x v="9"/>
    <n v="0.2"/>
    <s v="Otros"/>
    <s v="Mainframe"/>
    <m/>
    <e v="#NAME?"/>
    <e v="#NAME?"/>
    <e v="#NAME?"/>
    <m/>
    <m/>
    <m/>
    <m/>
    <m/>
  </r>
  <r>
    <s v="C805863"/>
    <s v="MARTA PATRICIA VELANDIA SIZA"/>
    <x v="3"/>
    <x v="11"/>
    <s v="BBVA"/>
    <e v="#NAME?"/>
    <x v="176"/>
    <n v="1"/>
    <s v="Desarrollador"/>
    <s v="Mainframe"/>
    <m/>
    <e v="#NAME?"/>
    <e v="#NAME?"/>
    <e v="#NAME?"/>
    <m/>
    <m/>
    <m/>
    <m/>
    <m/>
  </r>
  <r>
    <s v="O000190"/>
    <s v="MARTHA LILIANA RUSSY CHAVARRO"/>
    <x v="3"/>
    <x v="11"/>
    <s v="BBVA"/>
    <e v="#NAME?"/>
    <x v="190"/>
    <n v="0.5"/>
    <s v="Desarrollador"/>
    <s v="Mainframe"/>
    <m/>
    <e v="#NAME?"/>
    <e v="#NAME?"/>
    <e v="#NAME?"/>
    <m/>
    <m/>
    <m/>
    <m/>
    <m/>
  </r>
  <r>
    <s v="O000190"/>
    <s v="MARTHA LILIANA RUSSY CHAVARRO"/>
    <x v="3"/>
    <x v="11"/>
    <s v="BBVA"/>
    <e v="#NAME?"/>
    <x v="3"/>
    <n v="0.5"/>
    <s v="Desarrollador"/>
    <s v="Mainframe"/>
    <m/>
    <e v="#NAME?"/>
    <e v="#NAME?"/>
    <e v="#NAME?"/>
    <m/>
    <m/>
    <m/>
    <m/>
    <m/>
  </r>
  <r>
    <s v="CE18306"/>
    <s v="MARY LUZ RODRIGUEZ"/>
    <x v="3"/>
    <x v="11"/>
    <s v="Inetum"/>
    <e v="#NAME?"/>
    <x v="174"/>
    <n v="0.1"/>
    <s v="QA"/>
    <s v="Mainframe"/>
    <m/>
    <e v="#NAME?"/>
    <e v="#NAME?"/>
    <e v="#NAME?"/>
    <m/>
    <m/>
    <m/>
    <m/>
    <m/>
  </r>
  <r>
    <s v="CE18306"/>
    <s v="MARY LUZ RODRIGUEZ"/>
    <x v="3"/>
    <x v="11"/>
    <s v="Inetum"/>
    <e v="#NAME?"/>
    <x v="3"/>
    <n v="0.6"/>
    <s v="QA"/>
    <s v="Mainframe"/>
    <m/>
    <e v="#NAME?"/>
    <e v="#NAME?"/>
    <e v="#NAME?"/>
    <m/>
    <m/>
    <m/>
    <m/>
    <m/>
  </r>
  <r>
    <s v="CE18306"/>
    <s v="MARY LUZ RODRIGUEZ"/>
    <x v="3"/>
    <x v="11"/>
    <s v="Inetum"/>
    <e v="#NAME?"/>
    <x v="182"/>
    <n v="0.2"/>
    <s v="QA"/>
    <s v="Mainframe"/>
    <m/>
    <e v="#NAME?"/>
    <e v="#NAME?"/>
    <e v="#NAME?"/>
    <m/>
    <m/>
    <m/>
    <m/>
    <m/>
  </r>
  <r>
    <s v="CE18306"/>
    <s v="MARY LUZ RODRIGUEZ"/>
    <x v="3"/>
    <x v="11"/>
    <s v="Inetum"/>
    <e v="#NAME?"/>
    <x v="175"/>
    <n v="0.1"/>
    <s v="QA"/>
    <s v="Mainframe"/>
    <m/>
    <e v="#NAME?"/>
    <e v="#NAME?"/>
    <e v="#NAME?"/>
    <m/>
    <m/>
    <m/>
    <m/>
    <m/>
  </r>
  <r>
    <s v="C805726"/>
    <s v="MAURICIO ANDRES NUÑEZ ORTEGON"/>
    <x v="3"/>
    <x v="11"/>
    <s v="BBVA"/>
    <e v="#NAME?"/>
    <x v="177"/>
    <n v="0.6"/>
    <s v="Desarrollador"/>
    <s v="Mainframe"/>
    <m/>
    <e v="#NAME?"/>
    <e v="#NAME?"/>
    <e v="#NAME?"/>
    <m/>
    <m/>
    <m/>
    <m/>
    <m/>
  </r>
  <r>
    <s v="C805726"/>
    <s v="MAURICIO ANDRES NUÑEZ ORTEGON"/>
    <x v="3"/>
    <x v="11"/>
    <s v="BBVA"/>
    <e v="#NAME?"/>
    <x v="6"/>
    <n v="0.4"/>
    <s v="Desarrollador"/>
    <s v="Mainframe"/>
    <m/>
    <e v="#NAME?"/>
    <e v="#NAME?"/>
    <e v="#NAME?"/>
    <m/>
    <m/>
    <m/>
    <m/>
    <m/>
  </r>
  <r>
    <s v="C804381"/>
    <s v="MAYKER GUILLERMO LOPEZ"/>
    <x v="3"/>
    <x v="11"/>
    <s v="BBVA"/>
    <e v="#NAME?"/>
    <x v="187"/>
    <n v="0.25"/>
    <s v="Desarrollador"/>
    <s v="Mainframe"/>
    <m/>
    <e v="#NAME?"/>
    <e v="#NAME?"/>
    <e v="#NAME?"/>
    <m/>
    <m/>
    <m/>
    <m/>
    <m/>
  </r>
  <r>
    <s v="C804381"/>
    <s v="MAYKER GUILLERMO LOPEZ"/>
    <x v="3"/>
    <x v="11"/>
    <s v="BBVA"/>
    <e v="#NAME?"/>
    <x v="191"/>
    <n v="0.25"/>
    <s v="Desarrollador"/>
    <s v="Mainframe"/>
    <m/>
    <e v="#NAME?"/>
    <e v="#NAME?"/>
    <e v="#NAME?"/>
    <m/>
    <m/>
    <m/>
    <m/>
    <m/>
  </r>
  <r>
    <s v="C804381"/>
    <s v="MAYKER GUILLERMO LOPEZ"/>
    <x v="3"/>
    <x v="11"/>
    <s v="BBVA"/>
    <e v="#NAME?"/>
    <x v="188"/>
    <n v="0.25"/>
    <s v="Desarrollador"/>
    <s v="Mainframe"/>
    <m/>
    <e v="#NAME?"/>
    <e v="#NAME?"/>
    <e v="#NAME?"/>
    <m/>
    <m/>
    <m/>
    <m/>
    <m/>
  </r>
  <r>
    <s v="C804381"/>
    <s v="MAYKER GUILLERMO LOPEZ"/>
    <x v="3"/>
    <x v="11"/>
    <s v="BBVA"/>
    <e v="#NAME?"/>
    <x v="192"/>
    <n v="0.25"/>
    <s v="Desarrollador"/>
    <s v="Mainframe"/>
    <m/>
    <e v="#NAME?"/>
    <e v="#NAME?"/>
    <e v="#NAME?"/>
    <m/>
    <m/>
    <m/>
    <m/>
    <m/>
  </r>
  <r>
    <s v="C810789"/>
    <s v="MICHAEL JULIAN GARZON"/>
    <x v="3"/>
    <x v="11"/>
    <s v="BBVA"/>
    <e v="#NAME?"/>
    <x v="174"/>
    <n v="0.8"/>
    <s v="Desarrollador"/>
    <s v="APX"/>
    <m/>
    <e v="#NAME?"/>
    <e v="#NAME?"/>
    <e v="#NAME?"/>
    <m/>
    <m/>
    <m/>
    <m/>
    <m/>
  </r>
  <r>
    <s v="C810789"/>
    <s v="MICHAEL JULIAN GARZON"/>
    <x v="3"/>
    <x v="11"/>
    <s v="BBVA"/>
    <e v="#NAME?"/>
    <x v="115"/>
    <n v="0.2"/>
    <s v="Desarrollador"/>
    <s v="APX"/>
    <m/>
    <e v="#NAME?"/>
    <e v="#NAME?"/>
    <e v="#NAME?"/>
    <m/>
    <m/>
    <m/>
    <m/>
    <m/>
  </r>
  <r>
    <s v="C679763"/>
    <s v="MIGUEL ANGEL POLOCHE DIAZ"/>
    <x v="3"/>
    <x v="11"/>
    <s v="BBVA"/>
    <e v="#NAME?"/>
    <x v="186"/>
    <n v="0.15"/>
    <s v="Tech Manager/Líder"/>
    <s v="Mainframe"/>
    <m/>
    <e v="#NAME?"/>
    <e v="#NAME?"/>
    <e v="#NAME?"/>
    <m/>
    <m/>
    <m/>
    <m/>
    <m/>
  </r>
  <r>
    <s v="C679763"/>
    <s v="MIGUEL ANGEL POLOCHE DIAZ"/>
    <x v="3"/>
    <x v="11"/>
    <s v="BBVA"/>
    <e v="#NAME?"/>
    <x v="3"/>
    <n v="0.1"/>
    <s v="Tech Manager/Líder"/>
    <s v="Mainframe"/>
    <m/>
    <e v="#NAME?"/>
    <e v="#NAME?"/>
    <e v="#NAME?"/>
    <m/>
    <m/>
    <m/>
    <m/>
    <m/>
  </r>
  <r>
    <s v="C679763"/>
    <s v="MIGUEL ANGEL POLOCHE DIAZ"/>
    <x v="3"/>
    <x v="11"/>
    <s v="BBVA"/>
    <e v="#NAME?"/>
    <x v="187"/>
    <n v="0.15"/>
    <s v="Tech Manager/Líder"/>
    <s v="Mainframe"/>
    <m/>
    <e v="#NAME?"/>
    <e v="#NAME?"/>
    <e v="#NAME?"/>
    <m/>
    <m/>
    <m/>
    <m/>
    <m/>
  </r>
  <r>
    <s v="C679763"/>
    <s v="MIGUEL ANGEL POLOCHE DIAZ"/>
    <x v="3"/>
    <x v="11"/>
    <s v="BBVA"/>
    <e v="#NAME?"/>
    <x v="191"/>
    <n v="0.15"/>
    <s v="Tech Manager/Líder"/>
    <s v="Mainframe"/>
    <m/>
    <e v="#NAME?"/>
    <e v="#NAME?"/>
    <e v="#NAME?"/>
    <m/>
    <m/>
    <m/>
    <m/>
    <m/>
  </r>
  <r>
    <s v="C679763"/>
    <s v="MIGUEL ANGEL POLOCHE DIAZ"/>
    <x v="3"/>
    <x v="11"/>
    <s v="BBVA"/>
    <e v="#NAME?"/>
    <x v="188"/>
    <n v="0.15"/>
    <s v="Tech Manager/Líder"/>
    <s v="Mainframe"/>
    <m/>
    <e v="#NAME?"/>
    <e v="#NAME?"/>
    <e v="#NAME?"/>
    <m/>
    <m/>
    <m/>
    <m/>
    <m/>
  </r>
  <r>
    <s v="C679763"/>
    <s v="MIGUEL ANGEL POLOCHE DIAZ"/>
    <x v="3"/>
    <x v="11"/>
    <s v="BBVA"/>
    <e v="#NAME?"/>
    <x v="192"/>
    <n v="0.15"/>
    <s v="Tech Manager/Líder"/>
    <s v="Mainframe"/>
    <m/>
    <e v="#NAME?"/>
    <e v="#NAME?"/>
    <e v="#NAME?"/>
    <m/>
    <m/>
    <m/>
    <m/>
    <m/>
  </r>
  <r>
    <s v="C679763"/>
    <s v="MIGUEL ANGEL POLOCHE DIAZ"/>
    <x v="3"/>
    <x v="11"/>
    <s v="BBVA"/>
    <e v="#NAME?"/>
    <x v="88"/>
    <n v="0.15"/>
    <s v="Tech Manager/Líder"/>
    <s v="Mainframe"/>
    <m/>
    <e v="#NAME?"/>
    <e v="#NAME?"/>
    <e v="#NAME?"/>
    <m/>
    <m/>
    <m/>
    <m/>
    <m/>
  </r>
  <r>
    <s v="C805989"/>
    <s v="NATALIA ANDREA SAMBONI"/>
    <x v="3"/>
    <x v="11"/>
    <s v="BBVA"/>
    <e v="#NAME?"/>
    <x v="182"/>
    <n v="0.4"/>
    <s v="Otros"/>
    <s v="Mainframe"/>
    <m/>
    <e v="#NAME?"/>
    <e v="#NAME?"/>
    <e v="#NAME?"/>
    <m/>
    <m/>
    <m/>
    <m/>
    <m/>
  </r>
  <r>
    <s v="C805989"/>
    <s v="NATALIA ANDREA SAMBONI"/>
    <x v="3"/>
    <x v="11"/>
    <s v="BBVA"/>
    <e v="#NAME?"/>
    <x v="183"/>
    <n v="0.3"/>
    <s v="Otros"/>
    <s v="Mainframe"/>
    <m/>
    <e v="#NAME?"/>
    <e v="#NAME?"/>
    <e v="#NAME?"/>
    <m/>
    <m/>
    <m/>
    <m/>
    <m/>
  </r>
  <r>
    <s v="C805989"/>
    <s v="NATALIA ANDREA SAMBONI"/>
    <x v="3"/>
    <x v="11"/>
    <s v="BBVA"/>
    <e v="#NAME?"/>
    <x v="3"/>
    <n v="0.3"/>
    <s v="Otros"/>
    <s v="Mainframe"/>
    <m/>
    <e v="#NAME?"/>
    <e v="#NAME?"/>
    <e v="#NAME?"/>
    <m/>
    <m/>
    <m/>
    <m/>
    <m/>
  </r>
  <r>
    <s v="C805958"/>
    <s v="NICO NIÑO VERGARA"/>
    <x v="3"/>
    <x v="11"/>
    <s v="BBVA"/>
    <e v="#NAME?"/>
    <x v="175"/>
    <n v="1"/>
    <s v="Desarrollador"/>
    <s v="APX"/>
    <m/>
    <e v="#NAME?"/>
    <e v="#NAME?"/>
    <e v="#NAME?"/>
    <m/>
    <m/>
    <m/>
    <m/>
    <m/>
  </r>
  <r>
    <s v="C342042"/>
    <s v="RICARDO ANDRES CERRATO"/>
    <x v="3"/>
    <x v="11"/>
    <s v="BBVA"/>
    <e v="#NAME?"/>
    <x v="178"/>
    <n v="0.15"/>
    <s v="Tech Manager/Líder"/>
    <s v="Mainframe"/>
    <m/>
    <e v="#NAME?"/>
    <e v="#NAME?"/>
    <e v="#NAME?"/>
    <m/>
    <m/>
    <m/>
    <m/>
    <m/>
  </r>
  <r>
    <s v="C342042"/>
    <s v="RICARDO ANDRES CERRATO"/>
    <x v="3"/>
    <x v="11"/>
    <s v="BBVA"/>
    <e v="#NAME?"/>
    <x v="189"/>
    <n v="0.2"/>
    <s v="Tech Manager/Líder"/>
    <s v="Mainframe"/>
    <m/>
    <e v="#NAME?"/>
    <e v="#NAME?"/>
    <e v="#NAME?"/>
    <m/>
    <m/>
    <m/>
    <m/>
    <m/>
  </r>
  <r>
    <s v="C342042"/>
    <s v="RICARDO ANDRES CERRATO"/>
    <x v="3"/>
    <x v="11"/>
    <s v="BBVA"/>
    <e v="#NAME?"/>
    <x v="185"/>
    <n v="0.25"/>
    <s v="Tech Manager/Líder"/>
    <s v="Mainframe"/>
    <m/>
    <e v="#NAME?"/>
    <e v="#NAME?"/>
    <e v="#NAME?"/>
    <m/>
    <m/>
    <m/>
    <m/>
    <m/>
  </r>
  <r>
    <s v="C342042"/>
    <s v="RICARDO ANDRES CERRATO"/>
    <x v="3"/>
    <x v="11"/>
    <s v="BBVA"/>
    <e v="#NAME?"/>
    <x v="181"/>
    <n v="0.15"/>
    <s v="Tech Manager/Líder"/>
    <s v="Mainframe"/>
    <m/>
    <e v="#NAME?"/>
    <e v="#NAME?"/>
    <e v="#NAME?"/>
    <m/>
    <m/>
    <m/>
    <m/>
    <m/>
  </r>
  <r>
    <s v="C342042"/>
    <s v="RICARDO ANDRES CERRATO"/>
    <x v="3"/>
    <x v="11"/>
    <s v="BBVA"/>
    <e v="#NAME?"/>
    <x v="165"/>
    <n v="0.05"/>
    <s v="Tech Manager/Líder"/>
    <s v="Mainframe"/>
    <m/>
    <e v="#NAME?"/>
    <e v="#NAME?"/>
    <e v="#NAME?"/>
    <m/>
    <m/>
    <m/>
    <m/>
    <m/>
  </r>
  <r>
    <s v="C342042"/>
    <s v="RICARDO ANDRES CERRATO"/>
    <x v="3"/>
    <x v="11"/>
    <s v="BBVA"/>
    <e v="#NAME?"/>
    <x v="179"/>
    <n v="0.1"/>
    <s v="Tech Manager/Líder"/>
    <s v="Mainframe"/>
    <m/>
    <e v="#NAME?"/>
    <e v="#NAME?"/>
    <e v="#NAME?"/>
    <m/>
    <m/>
    <m/>
    <m/>
    <m/>
  </r>
  <r>
    <s v="C342042"/>
    <s v="RICARDO ANDRES CERRATO"/>
    <x v="3"/>
    <x v="11"/>
    <s v="BBVA"/>
    <e v="#NAME?"/>
    <x v="3"/>
    <n v="0.1"/>
    <s v="Tech Manager/Líder"/>
    <s v="Mainframe"/>
    <m/>
    <e v="#NAME?"/>
    <e v="#NAME?"/>
    <e v="#NAME?"/>
    <m/>
    <m/>
    <m/>
    <m/>
    <m/>
  </r>
  <r>
    <s v="C810792"/>
    <s v="ROBER ESNEIDER PARRA POLANIA"/>
    <x v="3"/>
    <x v="11"/>
    <s v="BBVA"/>
    <e v="#NAME?"/>
    <x v="190"/>
    <n v="0.5"/>
    <s v="Desarrollador"/>
    <s v="Mainframe"/>
    <m/>
    <e v="#NAME?"/>
    <e v="#NAME?"/>
    <e v="#NAME?"/>
    <m/>
    <m/>
    <m/>
    <m/>
    <m/>
  </r>
  <r>
    <s v="C810792"/>
    <s v="ROBER ESNEIDER PARRA POLANIA"/>
    <x v="3"/>
    <x v="11"/>
    <s v="BBVA"/>
    <e v="#NAME?"/>
    <x v="3"/>
    <n v="0.5"/>
    <s v="Desarrollador"/>
    <s v="Mainframe"/>
    <m/>
    <e v="#NAME?"/>
    <e v="#NAME?"/>
    <e v="#NAME?"/>
    <m/>
    <m/>
    <m/>
    <m/>
    <m/>
  </r>
  <r>
    <s v="O000103"/>
    <s v="TATIANA  PAOLA PEREIRA RIOS"/>
    <x v="3"/>
    <x v="11"/>
    <s v="BBVA"/>
    <e v="#NAME?"/>
    <x v="182"/>
    <n v="0.1"/>
    <s v="Desarrollador"/>
    <s v="Mainframe"/>
    <m/>
    <e v="#NAME?"/>
    <e v="#NAME?"/>
    <e v="#NAME?"/>
    <m/>
    <m/>
    <m/>
    <m/>
    <m/>
  </r>
  <r>
    <s v="O000103"/>
    <s v="TATIANA  PAOLA PEREIRA RIOS"/>
    <x v="3"/>
    <x v="11"/>
    <s v="BBVA"/>
    <e v="#NAME?"/>
    <x v="3"/>
    <n v="0.3"/>
    <s v="Desarrollador"/>
    <s v="Mainframe"/>
    <m/>
    <e v="#NAME?"/>
    <e v="#NAME?"/>
    <e v="#NAME?"/>
    <m/>
    <m/>
    <m/>
    <m/>
    <m/>
  </r>
  <r>
    <s v="O000103"/>
    <s v="TATIANA  PAOLA PEREIRA RIOS"/>
    <x v="3"/>
    <x v="11"/>
    <s v="BBVA"/>
    <e v="#NAME?"/>
    <x v="183"/>
    <n v="0.3"/>
    <s v="Desarrollador"/>
    <s v="Mainframe"/>
    <m/>
    <e v="#NAME?"/>
    <e v="#NAME?"/>
    <e v="#NAME?"/>
    <m/>
    <m/>
    <m/>
    <m/>
    <m/>
  </r>
  <r>
    <s v="O000103"/>
    <s v="TATIANA  PAOLA PEREIRA RIOS"/>
    <x v="3"/>
    <x v="11"/>
    <s v="BBVA"/>
    <e v="#NAME?"/>
    <x v="75"/>
    <n v="0.3"/>
    <s v="Desarrollador"/>
    <s v="Mainframe"/>
    <m/>
    <e v="#NAME?"/>
    <e v="#NAME?"/>
    <e v="#NAME?"/>
    <m/>
    <m/>
    <m/>
    <m/>
    <m/>
  </r>
  <r>
    <s v="C808282"/>
    <s v="WBEIMAR MURILLO"/>
    <x v="3"/>
    <x v="11"/>
    <s v="BBVA"/>
    <e v="#NAME?"/>
    <x v="3"/>
    <n v="0.2"/>
    <s v="Desarrollador"/>
    <s v="Mainframe"/>
    <m/>
    <e v="#NAME?"/>
    <e v="#NAME?"/>
    <e v="#NAME?"/>
    <m/>
    <m/>
    <m/>
    <m/>
    <m/>
  </r>
  <r>
    <s v="C808282"/>
    <s v="WBEIMAR MURILLO"/>
    <x v="3"/>
    <x v="11"/>
    <s v="BBVA"/>
    <e v="#NAME?"/>
    <x v="185"/>
    <n v="0.8"/>
    <s v="Desarrollador"/>
    <s v="Mainframe"/>
    <m/>
    <e v="#NAME?"/>
    <e v="#NAME?"/>
    <e v="#NAME?"/>
    <m/>
    <m/>
    <m/>
    <m/>
    <m/>
  </r>
  <r>
    <s v="C343509"/>
    <s v="WILLIAM LEONARDO ESPITIA FRANCO"/>
    <x v="3"/>
    <x v="11"/>
    <s v="BBVA"/>
    <e v="#NAME?"/>
    <x v="183"/>
    <n v="0.6"/>
    <s v="Desarrollador"/>
    <s v="Mainframe"/>
    <m/>
    <e v="#NAME?"/>
    <e v="#NAME?"/>
    <e v="#NAME?"/>
    <m/>
    <m/>
    <m/>
    <m/>
    <m/>
  </r>
  <r>
    <s v="C343509"/>
    <s v="WILLIAM LEONARDO ESPITIA FRANCO"/>
    <x v="3"/>
    <x v="11"/>
    <s v="BBVA"/>
    <e v="#NAME?"/>
    <x v="3"/>
    <n v="0.4"/>
    <s v="Desarrollador"/>
    <s v="Mainframe"/>
    <m/>
    <e v="#NAME?"/>
    <e v="#NAME?"/>
    <e v="#NAME?"/>
    <m/>
    <m/>
    <m/>
    <m/>
    <m/>
  </r>
  <r>
    <s v="C811175"/>
    <s v="CIRO ALONSO RINCON HERNANDEZ"/>
    <x v="3"/>
    <x v="11"/>
    <s v="BBVA"/>
    <e v="#NAME?"/>
    <x v="9"/>
    <n v="0.6"/>
    <s v="Desarrollador"/>
    <s v="Mainframe"/>
    <m/>
    <e v="#NAME?"/>
    <e v="#NAME?"/>
    <e v="#NAME?"/>
    <m/>
    <m/>
    <m/>
    <m/>
    <m/>
  </r>
  <r>
    <s v="C803916"/>
    <s v="SERGIO EDUARDO MARTINEZ LOPEZ"/>
    <x v="5"/>
    <x v="21"/>
    <s v="BBVA"/>
    <e v="#NAME?"/>
    <x v="3"/>
    <n v="0.25"/>
    <s v="Tech Manager/Líder"/>
    <s v="Distribuido"/>
    <m/>
    <e v="#NAME?"/>
    <e v="#NAME?"/>
    <e v="#NAME?"/>
    <m/>
    <m/>
    <m/>
    <m/>
    <m/>
  </r>
  <r>
    <s v="C803916"/>
    <s v="SERGIO EDUARDO MARTINEZ LOPEZ"/>
    <x v="5"/>
    <x v="21"/>
    <s v="BBVA"/>
    <e v="#NAME?"/>
    <x v="193"/>
    <n v="0.75"/>
    <s v="Tech Manager/Líder"/>
    <s v="Distribuido"/>
    <m/>
    <e v="#NAME?"/>
    <e v="#NAME?"/>
    <e v="#NAME?"/>
    <m/>
    <m/>
    <m/>
    <m/>
    <m/>
  </r>
  <r>
    <s v="C811189"/>
    <s v="JUAN PABLO MILLAN MORALES"/>
    <x v="5"/>
    <x v="21"/>
    <s v="BBVA"/>
    <e v="#NAME?"/>
    <x v="3"/>
    <n v="0.25"/>
    <s v="Desarrollador"/>
    <s v="ASO"/>
    <m/>
    <e v="#NAME?"/>
    <e v="#NAME?"/>
    <e v="#NAME?"/>
    <m/>
    <m/>
    <m/>
    <m/>
    <m/>
  </r>
  <r>
    <s v="C811189"/>
    <s v="JUAN PABLO MILLAN MORALES"/>
    <x v="5"/>
    <x v="21"/>
    <s v="BBVA"/>
    <e v="#NAME?"/>
    <x v="193"/>
    <n v="0.75"/>
    <s v="Desarrollador"/>
    <s v="ASO"/>
    <m/>
    <e v="#NAME?"/>
    <e v="#NAME?"/>
    <e v="#NAME?"/>
    <m/>
    <m/>
    <m/>
    <m/>
    <m/>
  </r>
  <r>
    <s v="C342045"/>
    <s v="NELSON JAVIER MONCADA GELVES"/>
    <x v="5"/>
    <x v="21"/>
    <s v="BBVA"/>
    <e v="#NAME?"/>
    <x v="193"/>
    <n v="0.75"/>
    <s v="Desarrollador"/>
    <s v="Mainframe"/>
    <m/>
    <e v="#NAME?"/>
    <e v="#NAME?"/>
    <e v="#NAME?"/>
    <m/>
    <m/>
    <m/>
    <m/>
    <m/>
  </r>
  <r>
    <s v="C342045"/>
    <s v="NELSON JAVIER MONCADA GELVES"/>
    <x v="5"/>
    <x v="21"/>
    <s v="BBVA"/>
    <e v="#NAME?"/>
    <x v="160"/>
    <n v="0.25"/>
    <s v="Desarrollador"/>
    <s v="Mainframe"/>
    <m/>
    <e v="#NAME?"/>
    <e v="#NAME?"/>
    <e v="#NAME?"/>
    <m/>
    <m/>
    <m/>
    <m/>
    <m/>
  </r>
  <r>
    <s v="C809565"/>
    <s v="JOAN CAMILO CHIVATA SANCHEZ"/>
    <x v="5"/>
    <x v="21"/>
    <s v="BBVA"/>
    <e v="#NAME?"/>
    <x v="3"/>
    <n v="1"/>
    <s v="Desarrollador"/>
    <s v="Mainframe"/>
    <m/>
    <e v="#NAME?"/>
    <e v="#NAME?"/>
    <e v="#NAME?"/>
    <m/>
    <m/>
    <m/>
    <m/>
    <m/>
  </r>
  <r>
    <s v="C810952"/>
    <s v="JUAN SEBASTIAN AYALA RENDON"/>
    <x v="5"/>
    <x v="21"/>
    <s v="BBVA"/>
    <e v="#NAME?"/>
    <x v="3"/>
    <n v="1"/>
    <s v="Desarrollador"/>
    <s v="ASO"/>
    <m/>
    <e v="#NAME?"/>
    <e v="#NAME?"/>
    <e v="#NAME?"/>
    <m/>
    <m/>
    <m/>
    <m/>
    <m/>
  </r>
  <r>
    <s v="C805933"/>
    <s v="BRAYAN NICOLAS PEÑA QUINTANA"/>
    <x v="5"/>
    <x v="21"/>
    <s v="BBVA"/>
    <e v="#NAME?"/>
    <x v="3"/>
    <n v="1"/>
    <s v="Desarrollador"/>
    <s v="Distribuido"/>
    <m/>
    <e v="#NAME?"/>
    <e v="#NAME?"/>
    <e v="#NAME?"/>
    <m/>
    <m/>
    <m/>
    <m/>
    <m/>
  </r>
  <r>
    <s v="C804547"/>
    <s v="CARLOS MARIO BERNAL CASTRO"/>
    <x v="5"/>
    <x v="21"/>
    <s v="BBVA"/>
    <e v="#NAME?"/>
    <x v="193"/>
    <n v="0.5"/>
    <s v="Tech Manager/Líder"/>
    <s v="ASO"/>
    <m/>
    <e v="#NAME?"/>
    <e v="#NAME?"/>
    <e v="#NAME?"/>
    <m/>
    <m/>
    <m/>
    <m/>
    <m/>
  </r>
  <r>
    <s v="C804547"/>
    <s v="CARLOS MARIO BERNAL CASTRO"/>
    <x v="5"/>
    <x v="21"/>
    <s v="BBVA"/>
    <e v="#NAME?"/>
    <x v="160"/>
    <n v="0.5"/>
    <s v="Tech Manager/Líder"/>
    <s v="ASO"/>
    <m/>
    <e v="#NAME?"/>
    <e v="#NAME?"/>
    <e v="#NAME?"/>
    <m/>
    <m/>
    <m/>
    <m/>
    <m/>
  </r>
  <r>
    <s v="C802282"/>
    <s v="DIEGO SANTOS DUARTE CUELLAR"/>
    <x v="5"/>
    <x v="21"/>
    <s v="BBVA"/>
    <e v="#NAME?"/>
    <x v="160"/>
    <n v="1"/>
    <s v="Desarrollador"/>
    <s v="Distribuido"/>
    <m/>
    <e v="#NAME?"/>
    <e v="#NAME?"/>
    <e v="#NAME?"/>
    <m/>
    <m/>
    <m/>
    <m/>
    <m/>
  </r>
  <r>
    <s v="C343114"/>
    <s v="VICTOR HUGO DIAZ CERON"/>
    <x v="5"/>
    <x v="21"/>
    <s v="BBVA"/>
    <e v="#NAME?"/>
    <x v="160"/>
    <n v="1"/>
    <s v="Desarrollador"/>
    <s v="Distribuido"/>
    <m/>
    <e v="#NAME?"/>
    <e v="#NAME?"/>
    <e v="#NAME?"/>
    <m/>
    <m/>
    <m/>
    <m/>
    <m/>
  </r>
  <r>
    <s v="O002666"/>
    <s v="DAVID ESTEBAN ARAGON PEÑUELA"/>
    <x v="5"/>
    <x v="21"/>
    <s v="BBVA"/>
    <e v="#NAME?"/>
    <x v="193"/>
    <n v="1"/>
    <s v="Desarrollador"/>
    <s v="ASO"/>
    <m/>
    <e v="#NAME?"/>
    <e v="#NAME?"/>
    <e v="#NAME?"/>
    <m/>
    <m/>
    <m/>
    <m/>
    <m/>
  </r>
  <r>
    <s v="C811379"/>
    <s v="CAMILO ANDRES MUÑOZ CAICEDO"/>
    <x v="5"/>
    <x v="21"/>
    <s v="BBVA"/>
    <e v="#NAME?"/>
    <x v="193"/>
    <n v="0.25"/>
    <s v="Desarrollador"/>
    <s v="Distribuido"/>
    <m/>
    <e v="#NAME?"/>
    <e v="#NAME?"/>
    <e v="#NAME?"/>
    <m/>
    <m/>
    <m/>
    <m/>
    <m/>
  </r>
  <r>
    <s v="C811379"/>
    <s v="CAMILO ANDRES MUÑOZ CAICEDO"/>
    <x v="5"/>
    <x v="21"/>
    <s v="BBVA"/>
    <e v="#NAME?"/>
    <x v="160"/>
    <n v="0.75"/>
    <s v="Desarrollador"/>
    <s v="Distribuido"/>
    <m/>
    <e v="#NAME?"/>
    <e v="#NAME?"/>
    <e v="#NAME?"/>
    <m/>
    <m/>
    <m/>
    <m/>
    <m/>
  </r>
  <r>
    <s v="C804782"/>
    <s v="DIEGO JAVIER MORENO RUSINQUE"/>
    <x v="5"/>
    <x v="21"/>
    <s v="BBVA"/>
    <e v="#NAME?"/>
    <x v="193"/>
    <n v="1"/>
    <s v="Tech Manager/Líder"/>
    <s v="ASO"/>
    <m/>
    <e v="#NAME?"/>
    <e v="#NAME?"/>
    <e v="#NAME?"/>
    <m/>
    <m/>
    <m/>
    <m/>
    <m/>
  </r>
  <r>
    <s v="C811198"/>
    <s v="EDWIN DAVID TORO ECHEVERRIA"/>
    <x v="5"/>
    <x v="21"/>
    <s v="BBVA"/>
    <e v="#NAME?"/>
    <x v="160"/>
    <n v="1"/>
    <s v="Desarrollador"/>
    <s v="APX"/>
    <m/>
    <e v="#NAME?"/>
    <e v="#NAME?"/>
    <e v="#NAME?"/>
    <m/>
    <m/>
    <m/>
    <m/>
    <m/>
  </r>
  <r>
    <s v="C805724"/>
    <s v="KATHERIN DANIELA AREVALO BARRERA"/>
    <x v="5"/>
    <x v="21"/>
    <s v="BBVA"/>
    <e v="#NAME?"/>
    <x v="160"/>
    <n v="1"/>
    <s v="Otros"/>
    <s v="Distribuido"/>
    <m/>
    <e v="#NAME?"/>
    <e v="#NAME?"/>
    <e v="#NAME?"/>
    <m/>
    <m/>
    <m/>
    <m/>
    <m/>
  </r>
  <r>
    <s v="C810833"/>
    <s v="FERNANDO JOSE BOLIVAR NAVARRO"/>
    <x v="5"/>
    <x v="21"/>
    <s v="BBVA"/>
    <e v="#NAME?"/>
    <x v="160"/>
    <n v="1"/>
    <s v="Otros"/>
    <s v="Distribuido"/>
    <m/>
    <e v="#NAME?"/>
    <e v="#NAME?"/>
    <e v="#NAME?"/>
    <m/>
    <m/>
    <m/>
    <m/>
    <m/>
  </r>
  <r>
    <s v="O003002"/>
    <s v="EDISSON IOVANNI RODRIGUEZ SOCHA"/>
    <x v="5"/>
    <x v="21"/>
    <s v="BBVA"/>
    <e v="#NAME?"/>
    <x v="193"/>
    <n v="1"/>
    <s v="Desarrollador"/>
    <s v="Distribuido"/>
    <m/>
    <e v="#NAME?"/>
    <e v="#NAME?"/>
    <e v="#NAME?"/>
    <m/>
    <m/>
    <m/>
    <m/>
    <m/>
  </r>
  <r>
    <s v="CI35375"/>
    <s v="Luis Rodrigo Ulloa Marin"/>
    <x v="1"/>
    <x v="18"/>
    <s v="BBVA Fiduciaria"/>
    <e v="#NAME?"/>
    <x v="151"/>
    <n v="0.18"/>
    <s v="Tech Manager/Líder"/>
    <s v="Distribuido"/>
    <s v="Interno"/>
    <e v="#NAME?"/>
    <e v="#NAME?"/>
    <e v="#NAME?"/>
    <m/>
    <m/>
    <m/>
    <m/>
    <m/>
  </r>
  <r>
    <s v="CI35375"/>
    <s v="Luis Rodrigo Ulloa Marin"/>
    <x v="1"/>
    <x v="18"/>
    <s v="BBVA Fiduciaria"/>
    <e v="#NAME?"/>
    <x v="153"/>
    <n v="0.16"/>
    <s v="Tech Manager/Líder"/>
    <s v="Distribuido"/>
    <s v="Interno"/>
    <e v="#NAME?"/>
    <e v="#NAME?"/>
    <e v="#NAME?"/>
    <m/>
    <m/>
    <m/>
    <m/>
    <m/>
  </r>
  <r>
    <s v="CI35128"/>
    <s v="Cristian Camilo Rincon"/>
    <x v="1"/>
    <x v="18"/>
    <s v="BBVA Fiduciaria"/>
    <e v="#NAME?"/>
    <x v="194"/>
    <n v="0.25"/>
    <s v="Tech Manager/Líder"/>
    <m/>
    <s v="Interno"/>
    <e v="#NAME?"/>
    <e v="#NAME?"/>
    <e v="#NAME?"/>
    <m/>
    <m/>
    <m/>
    <m/>
    <m/>
  </r>
  <r>
    <s v="CI08666"/>
    <s v="Jorge Anibal Blanco Meneses"/>
    <x v="1"/>
    <x v="18"/>
    <s v="BBVA Fiduciaria"/>
    <e v="#NAME?"/>
    <x v="194"/>
    <n v="0.3"/>
    <s v="Tech Manager/Líder"/>
    <m/>
    <s v="Interno"/>
    <e v="#NAME?"/>
    <e v="#NAME?"/>
    <e v="#NAME?"/>
    <m/>
    <m/>
    <m/>
    <m/>
    <m/>
  </r>
  <r>
    <s v="CI35442"/>
    <s v="Juan Camilo Ladino Guezguan"/>
    <x v="1"/>
    <x v="18"/>
    <s v="BBVA Fiduciaria"/>
    <e v="#NAME?"/>
    <x v="194"/>
    <n v="0.3"/>
    <s v="Desarrollador"/>
    <m/>
    <s v="Interno"/>
    <e v="#NAME?"/>
    <e v="#NAME?"/>
    <e v="#NAME?"/>
    <m/>
    <m/>
    <m/>
    <m/>
    <m/>
  </r>
  <r>
    <s v="O000087"/>
    <s v="Jayson Ricardo Becerra Gomez"/>
    <x v="1"/>
    <x v="18"/>
    <s v="BBVA Fiduciaria"/>
    <e v="#NAME?"/>
    <x v="195"/>
    <n v="0.5"/>
    <s v="Tech Manager/Líder"/>
    <m/>
    <s v="Interno"/>
    <e v="#NAME?"/>
    <e v="#NAME?"/>
    <e v="#NAME?"/>
    <m/>
    <m/>
    <m/>
    <m/>
    <m/>
  </r>
  <r>
    <s v="O000087"/>
    <s v="Jayson Ricardo Becerra Gomez"/>
    <x v="1"/>
    <x v="18"/>
    <s v="BBVA Fiduciaria"/>
    <e v="#NAME?"/>
    <x v="196"/>
    <n v="0.5"/>
    <s v="Tech Manager/Líder"/>
    <m/>
    <s v="Interno"/>
    <e v="#NAME?"/>
    <e v="#NAME?"/>
    <e v="#NAME?"/>
    <m/>
    <m/>
    <m/>
    <m/>
    <m/>
  </r>
  <r>
    <s v="O000150"/>
    <s v="Oscar Fernando Real Bautista"/>
    <x v="1"/>
    <x v="18"/>
    <s v="BBVA Fiduciaria"/>
    <e v="#NAME?"/>
    <x v="197"/>
    <n v="0.4"/>
    <s v="Tech Manager/Líder"/>
    <m/>
    <s v="Interno"/>
    <e v="#NAME?"/>
    <e v="#NAME?"/>
    <e v="#NAME?"/>
    <m/>
    <m/>
    <m/>
    <m/>
    <m/>
  </r>
  <r>
    <s v="O000150"/>
    <s v="Oscar Fernando Real Bautista"/>
    <x v="1"/>
    <x v="18"/>
    <s v="BBVA Fiduciaria"/>
    <e v="#NAME?"/>
    <x v="150"/>
    <n v="0.4"/>
    <s v="Tech Manager/Líder"/>
    <m/>
    <s v="Interno"/>
    <e v="#NAME?"/>
    <e v="#NAME?"/>
    <e v="#NAME?"/>
    <m/>
    <m/>
    <m/>
    <m/>
    <m/>
  </r>
  <r>
    <s v="CI35128"/>
    <s v="Cristian Camilo Rincon"/>
    <x v="1"/>
    <x v="18"/>
    <s v="BBVA Fiduciaria"/>
    <e v="#NAME?"/>
    <x v="152"/>
    <n v="0.25"/>
    <s v="Tech Manager/Líder"/>
    <m/>
    <s v="Interno"/>
    <e v="#NAME?"/>
    <e v="#NAME?"/>
    <e v="#NAME?"/>
    <m/>
    <m/>
    <m/>
    <m/>
    <m/>
  </r>
  <r>
    <s v="CI08666"/>
    <s v="Jorge Anibal Blanco Meneses"/>
    <x v="1"/>
    <x v="18"/>
    <s v="BBVA Fiduciaria"/>
    <e v="#NAME?"/>
    <x v="152"/>
    <n v="0.3"/>
    <s v="Tech Manager/Líder"/>
    <m/>
    <s v="Interno"/>
    <e v="#NAME?"/>
    <e v="#NAME?"/>
    <e v="#NAME?"/>
    <m/>
    <m/>
    <m/>
    <m/>
    <m/>
  </r>
  <r>
    <s v="CI35442"/>
    <s v="Juan Camilo Ladino Guezguan"/>
    <x v="1"/>
    <x v="18"/>
    <s v="BBVA Fiduciaria"/>
    <e v="#NAME?"/>
    <x v="152"/>
    <n v="0.3"/>
    <s v="Desarrollador"/>
    <m/>
    <s v="Interno"/>
    <e v="#NAME?"/>
    <e v="#NAME?"/>
    <e v="#NAME?"/>
    <m/>
    <m/>
    <m/>
    <m/>
    <m/>
  </r>
  <r>
    <s v="CI35100"/>
    <s v="Alexander Lopez Fonseca"/>
    <x v="1"/>
    <x v="18"/>
    <s v="BBVA Fiduciaria"/>
    <e v="#NAME?"/>
    <x v="198"/>
    <n v="0.5"/>
    <s v="Tech Manager/Líder"/>
    <m/>
    <s v="Interno"/>
    <e v="#NAME?"/>
    <e v="#NAME?"/>
    <e v="#NAME?"/>
    <m/>
    <m/>
    <m/>
    <m/>
    <m/>
  </r>
  <r>
    <s v="CE68033"/>
    <s v="Donoba Ricardo Figueredo"/>
    <x v="1"/>
    <x v="18"/>
    <s v="BBVA Fiduciaria"/>
    <e v="#NAME?"/>
    <x v="3"/>
    <n v="1"/>
    <s v="QA"/>
    <s v="Distribuido"/>
    <s v="Externo"/>
    <e v="#NAME?"/>
    <e v="#NAME?"/>
    <e v="#NAME?"/>
    <m/>
    <m/>
    <m/>
    <m/>
    <m/>
  </r>
  <r>
    <s v="CE58491"/>
    <s v="Ricardo Pachon"/>
    <x v="1"/>
    <x v="18"/>
    <s v="BBVA Fiduciaria"/>
    <e v="#NAME?"/>
    <x v="151"/>
    <n v="1"/>
    <s v="QA"/>
    <s v="Distribuido"/>
    <s v="Externo"/>
    <e v="#NAME?"/>
    <e v="#NAME?"/>
    <e v="#NAME?"/>
    <m/>
    <m/>
    <m/>
    <m/>
    <m/>
  </r>
  <r>
    <s v="CE68487"/>
    <s v="Diana Rubiano"/>
    <x v="1"/>
    <x v="18"/>
    <s v="BBVA Fiduciaria"/>
    <e v="#NAME?"/>
    <x v="151"/>
    <n v="1"/>
    <s v="QA"/>
    <s v="Distribuido"/>
    <s v="Externo"/>
    <e v="#NAME?"/>
    <e v="#NAME?"/>
    <e v="#NAME?"/>
    <m/>
    <m/>
    <m/>
    <m/>
    <m/>
  </r>
  <r>
    <s v="CE57320"/>
    <s v="Maria Victoria Ruiz"/>
    <x v="1"/>
    <x v="18"/>
    <s v="BBVA Fiduciaria"/>
    <e v="#NAME?"/>
    <x v="151"/>
    <n v="1"/>
    <s v="QA"/>
    <s v="Distribuido"/>
    <s v="Externo"/>
    <e v="#NAME?"/>
    <e v="#NAME?"/>
    <e v="#NAME?"/>
    <m/>
    <m/>
    <m/>
    <m/>
    <m/>
  </r>
  <r>
    <s v="CIXXXXXX"/>
    <s v="Adriana Yamile Rodriguez"/>
    <x v="1"/>
    <x v="18"/>
    <s v="SII"/>
    <e v="#NAME?"/>
    <x v="194"/>
    <n v="0.5"/>
    <s v="Desarrollador"/>
    <s v="ASO"/>
    <s v="Externo"/>
    <e v="#NAME?"/>
    <e v="#NAME?"/>
    <e v="#NAME?"/>
    <m/>
    <m/>
    <m/>
    <m/>
    <m/>
  </r>
  <r>
    <s v="CIXXXXXX"/>
    <s v="Andres Felipe Mora"/>
    <x v="1"/>
    <x v="18"/>
    <s v="SII"/>
    <e v="#NAME?"/>
    <x v="194"/>
    <n v="0.5"/>
    <s v="Desarrollador"/>
    <s v="ASO"/>
    <s v="Externo"/>
    <e v="#NAME?"/>
    <e v="#NAME?"/>
    <e v="#NAME?"/>
    <m/>
    <m/>
    <m/>
    <m/>
    <m/>
  </r>
  <r>
    <s v="CIXXXXXX"/>
    <s v="Jean paul patiño"/>
    <x v="1"/>
    <x v="18"/>
    <s v="SII"/>
    <e v="#NAME?"/>
    <x v="194"/>
    <n v="0.5"/>
    <s v="Desarrollador"/>
    <s v="ASO"/>
    <s v="Externo"/>
    <e v="#NAME?"/>
    <e v="#NAME?"/>
    <e v="#NAME?"/>
    <m/>
    <m/>
    <m/>
    <m/>
    <m/>
  </r>
  <r>
    <s v="CIXXXXXX"/>
    <s v="Jhenny meneses"/>
    <x v="1"/>
    <x v="18"/>
    <s v="SII"/>
    <e v="#NAME?"/>
    <x v="194"/>
    <n v="0.5"/>
    <s v="Desarrollador"/>
    <s v="ASO"/>
    <s v="Externo"/>
    <e v="#NAME?"/>
    <e v="#NAME?"/>
    <e v="#NAME?"/>
    <m/>
    <m/>
    <m/>
    <m/>
    <m/>
  </r>
  <r>
    <s v="CIXXXXXX"/>
    <s v="Juan stevens guzman"/>
    <x v="1"/>
    <x v="18"/>
    <s v="SII"/>
    <e v="#NAME?"/>
    <x v="194"/>
    <n v="0.5"/>
    <s v="Desarrollador"/>
    <s v="ASO"/>
    <s v="Externo"/>
    <e v="#NAME?"/>
    <e v="#NAME?"/>
    <e v="#NAME?"/>
    <m/>
    <m/>
    <m/>
    <m/>
    <m/>
  </r>
  <r>
    <s v="CIXXXXXX"/>
    <s v="Michael escobar"/>
    <x v="1"/>
    <x v="18"/>
    <s v="SII"/>
    <e v="#NAME?"/>
    <x v="194"/>
    <n v="0.5"/>
    <s v="Desarrollador"/>
    <s v="ASO"/>
    <s v="Externo"/>
    <e v="#NAME?"/>
    <e v="#NAME?"/>
    <e v="#NAME?"/>
    <m/>
    <m/>
    <m/>
    <m/>
    <m/>
  </r>
  <r>
    <s v="CIXXXXXX"/>
    <s v="Nestor Eduardo Torres Gonzalez"/>
    <x v="1"/>
    <x v="18"/>
    <s v="SII"/>
    <e v="#NAME?"/>
    <x v="194"/>
    <n v="0.5"/>
    <s v="Desarrollador"/>
    <s v="ASO"/>
    <s v="Externo"/>
    <e v="#NAME?"/>
    <e v="#NAME?"/>
    <e v="#NAME?"/>
    <m/>
    <m/>
    <m/>
    <m/>
    <m/>
  </r>
  <r>
    <s v="CIXXXXXX"/>
    <s v="Jonathan Molina Fuentes"/>
    <x v="1"/>
    <x v="18"/>
    <s v="GGI / CMC"/>
    <e v="#NAME?"/>
    <x v="194"/>
    <n v="0.5"/>
    <s v="Desarrollador"/>
    <s v="ASO"/>
    <s v="Externo"/>
    <e v="#NAME?"/>
    <e v="#NAME?"/>
    <e v="#NAME?"/>
    <m/>
    <m/>
    <m/>
    <m/>
    <m/>
  </r>
  <r>
    <s v="CIXXXXXX"/>
    <s v="Nicolas Moreno Arévalo"/>
    <x v="1"/>
    <x v="18"/>
    <s v="GGI / CMC"/>
    <e v="#NAME?"/>
    <x v="194"/>
    <n v="0.5"/>
    <s v="Desarrollador"/>
    <s v="ASO"/>
    <s v="Externo"/>
    <e v="#NAME?"/>
    <e v="#NAME?"/>
    <e v="#NAME?"/>
    <m/>
    <m/>
    <m/>
    <m/>
    <m/>
  </r>
  <r>
    <s v="CIXXXXXX"/>
    <s v="Angie Natalia Gonzalez"/>
    <x v="1"/>
    <x v="18"/>
    <s v="GGI / CMC"/>
    <e v="#NAME?"/>
    <x v="194"/>
    <n v="0.5"/>
    <s v="Desarrollador"/>
    <s v="ASO"/>
    <s v="Externo"/>
    <e v="#NAME?"/>
    <e v="#NAME?"/>
    <e v="#NAME?"/>
    <m/>
    <m/>
    <m/>
    <m/>
    <m/>
  </r>
  <r>
    <s v="CIXXXXXX"/>
    <s v="Adriana Yamile Rodriguez"/>
    <x v="1"/>
    <x v="18"/>
    <s v="SII"/>
    <e v="#NAME?"/>
    <x v="152"/>
    <n v="0.5"/>
    <s v="Desarrollador"/>
    <s v="ASO"/>
    <s v="Externo"/>
    <e v="#NAME?"/>
    <e v="#NAME?"/>
    <e v="#NAME?"/>
    <m/>
    <m/>
    <m/>
    <m/>
    <m/>
  </r>
  <r>
    <s v="CIXXXXXX"/>
    <s v="Andres Felipe Mora"/>
    <x v="1"/>
    <x v="18"/>
    <s v="SII"/>
    <e v="#NAME?"/>
    <x v="152"/>
    <n v="0.5"/>
    <s v="Desarrollador"/>
    <s v="ASO"/>
    <s v="Externo"/>
    <e v="#NAME?"/>
    <e v="#NAME?"/>
    <e v="#NAME?"/>
    <m/>
    <m/>
    <m/>
    <m/>
    <m/>
  </r>
  <r>
    <s v="CIXXXXXX"/>
    <s v="Jean paul patiño"/>
    <x v="1"/>
    <x v="18"/>
    <s v="SII"/>
    <e v="#NAME?"/>
    <x v="152"/>
    <n v="0.5"/>
    <s v="Desarrollador"/>
    <s v="ASO"/>
    <s v="Externo"/>
    <e v="#NAME?"/>
    <e v="#NAME?"/>
    <e v="#NAME?"/>
    <m/>
    <m/>
    <m/>
    <m/>
    <m/>
  </r>
  <r>
    <s v="CIXXXXXX"/>
    <s v="Jhenny meneses"/>
    <x v="1"/>
    <x v="18"/>
    <s v="SII"/>
    <e v="#NAME?"/>
    <x v="152"/>
    <n v="0.5"/>
    <s v="Desarrollador"/>
    <s v="ASO"/>
    <s v="Externo"/>
    <e v="#NAME?"/>
    <e v="#NAME?"/>
    <e v="#NAME?"/>
    <m/>
    <m/>
    <m/>
    <m/>
    <m/>
  </r>
  <r>
    <s v="CIXXXXXX"/>
    <s v="Juan stevens guzman"/>
    <x v="1"/>
    <x v="18"/>
    <s v="SII"/>
    <e v="#NAME?"/>
    <x v="152"/>
    <n v="0.5"/>
    <s v="Desarrollador"/>
    <s v="ASO"/>
    <s v="Externo"/>
    <e v="#NAME?"/>
    <e v="#NAME?"/>
    <e v="#NAME?"/>
    <m/>
    <m/>
    <m/>
    <m/>
    <m/>
  </r>
  <r>
    <s v="CIXXXXXX"/>
    <s v="Michael escobar"/>
    <x v="1"/>
    <x v="18"/>
    <s v="SII"/>
    <e v="#NAME?"/>
    <x v="152"/>
    <n v="0.5"/>
    <s v="Desarrollador"/>
    <s v="ASO"/>
    <s v="Externo"/>
    <e v="#NAME?"/>
    <e v="#NAME?"/>
    <e v="#NAME?"/>
    <m/>
    <m/>
    <m/>
    <m/>
    <m/>
  </r>
  <r>
    <s v="CIXXXXXX"/>
    <s v="Nestor Eduardo Torres Gonzalez"/>
    <x v="1"/>
    <x v="18"/>
    <s v="SII"/>
    <e v="#NAME?"/>
    <x v="152"/>
    <n v="0.5"/>
    <s v="Desarrollador"/>
    <s v="ASO"/>
    <s v="Externo"/>
    <e v="#NAME?"/>
    <e v="#NAME?"/>
    <e v="#NAME?"/>
    <m/>
    <m/>
    <m/>
    <m/>
    <m/>
  </r>
  <r>
    <s v="CIXXXXXX"/>
    <s v="Jonathan Molina Fuentes"/>
    <x v="1"/>
    <x v="18"/>
    <s v="GGI / CMC"/>
    <e v="#NAME?"/>
    <x v="152"/>
    <n v="0.5"/>
    <s v="Desarrollador"/>
    <s v="ASO"/>
    <s v="Externo"/>
    <e v="#NAME?"/>
    <e v="#NAME?"/>
    <e v="#NAME?"/>
    <m/>
    <m/>
    <m/>
    <m/>
    <m/>
  </r>
  <r>
    <s v="CIXXXXXX"/>
    <s v="Nicolas Moreno Arévalo"/>
    <x v="1"/>
    <x v="18"/>
    <s v="GGI / CMC"/>
    <e v="#NAME?"/>
    <x v="152"/>
    <n v="0.5"/>
    <s v="Desarrollador"/>
    <s v="ASO"/>
    <s v="Externo"/>
    <e v="#NAME?"/>
    <e v="#NAME?"/>
    <e v="#NAME?"/>
    <m/>
    <m/>
    <m/>
    <m/>
    <m/>
  </r>
  <r>
    <s v="CIXXXXXX"/>
    <s v="Angie Natalia Gonzalez"/>
    <x v="1"/>
    <x v="18"/>
    <s v="GGI / CMC"/>
    <e v="#NAME?"/>
    <x v="152"/>
    <n v="0.5"/>
    <s v="Desarrollador"/>
    <s v="ASO"/>
    <s v="Externo"/>
    <e v="#NAME?"/>
    <e v="#NAME?"/>
    <e v="#NAME?"/>
    <m/>
    <m/>
    <m/>
    <m/>
    <m/>
  </r>
  <r>
    <s v="CE69361"/>
    <s v="ANDERSON CAMILO APONTE CERVERA"/>
    <x v="5"/>
    <x v="26"/>
    <s v="Neoris"/>
    <e v="#NAME?"/>
    <x v="199"/>
    <n v="0.3"/>
    <s v="Desarrollador"/>
    <s v="ASO"/>
    <m/>
    <e v="#NAME?"/>
    <e v="#NAME?"/>
    <e v="#NAME?"/>
    <m/>
    <m/>
    <m/>
    <m/>
    <m/>
  </r>
  <r>
    <s v="CE51863"/>
    <s v="EDNA ROCIO MONCADA"/>
    <x v="5"/>
    <x v="26"/>
    <s v="KRYPTO"/>
    <e v="#NAME?"/>
    <x v="199"/>
    <n v="0.02"/>
    <s v="QA"/>
    <s v="Otras Tec."/>
    <m/>
    <e v="#NAME?"/>
    <e v="#NAME?"/>
    <e v="#NAME?"/>
    <m/>
    <m/>
    <m/>
    <m/>
    <m/>
  </r>
  <r>
    <s v="C810711"/>
    <s v="CRISTIAN ALEXANDER ROJAS AZA"/>
    <x v="5"/>
    <x v="26"/>
    <s v="BBVA"/>
    <e v="#NAME?"/>
    <x v="199"/>
    <n v="0.8"/>
    <s v="Desarrollador"/>
    <s v="ASO"/>
    <m/>
    <e v="#NAME?"/>
    <e v="#NAME?"/>
    <e v="#NAME?"/>
    <m/>
    <m/>
    <m/>
    <m/>
    <m/>
  </r>
  <r>
    <s v="C810711"/>
    <s v="CRISTIAN ALEXANDER ROJAS AZA"/>
    <x v="5"/>
    <x v="26"/>
    <s v="BBVA"/>
    <e v="#NAME?"/>
    <x v="159"/>
    <n v="0.2"/>
    <s v="Desarrollador"/>
    <s v="ASO"/>
    <m/>
    <e v="#NAME?"/>
    <e v="#NAME?"/>
    <e v="#NAME?"/>
    <m/>
    <m/>
    <m/>
    <m/>
    <m/>
  </r>
  <r>
    <s v="C985155"/>
    <s v="DIANA EDITH VILLEGAS RAMIREZ"/>
    <x v="5"/>
    <x v="26"/>
    <s v="BBVA"/>
    <e v="#NAME?"/>
    <x v="199"/>
    <n v="1"/>
    <s v="Desarrollador"/>
    <s v="Otras Tec."/>
    <m/>
    <e v="#NAME?"/>
    <e v="#NAME?"/>
    <e v="#NAME?"/>
    <m/>
    <m/>
    <m/>
    <m/>
    <m/>
  </r>
  <r>
    <s v="C342595"/>
    <s v="EDGAR IVAN ARIAS MALDONADO"/>
    <x v="5"/>
    <x v="26"/>
    <s v="BBVA"/>
    <e v="#NAME?"/>
    <x v="199"/>
    <n v="1"/>
    <s v="Desarrollador"/>
    <s v="ASO"/>
    <m/>
    <e v="#NAME?"/>
    <e v="#NAME?"/>
    <e v="#NAME?"/>
    <m/>
    <m/>
    <m/>
    <m/>
    <m/>
  </r>
  <r>
    <s v="C810708"/>
    <s v="HAROLD ANDRES CASTILLO CARVAJAL"/>
    <x v="5"/>
    <x v="26"/>
    <s v="BBVA"/>
    <e v="#NAME?"/>
    <x v="199"/>
    <n v="1"/>
    <s v="Desarrollador"/>
    <s v="ASO"/>
    <m/>
    <e v="#NAME?"/>
    <e v="#NAME?"/>
    <e v="#NAME?"/>
    <m/>
    <m/>
    <m/>
    <m/>
    <m/>
  </r>
  <r>
    <s v="C342444"/>
    <s v="JOE ESTUPINAN MONTANO"/>
    <x v="5"/>
    <x v="26"/>
    <s v="BBVA"/>
    <e v="#NAME?"/>
    <x v="199"/>
    <n v="1"/>
    <s v="Desarrollador"/>
    <s v="Mainframe"/>
    <m/>
    <e v="#NAME?"/>
    <e v="#NAME?"/>
    <e v="#NAME?"/>
    <m/>
    <m/>
    <m/>
    <m/>
    <m/>
  </r>
  <r>
    <s v="C810746"/>
    <s v="JUAN DAVID BAEZ RAMOS"/>
    <x v="5"/>
    <x v="26"/>
    <s v="BBVA"/>
    <e v="#NAME?"/>
    <x v="199"/>
    <n v="0.8"/>
    <s v="Desarrollador"/>
    <s v="APX"/>
    <m/>
    <e v="#NAME?"/>
    <e v="#NAME?"/>
    <e v="#NAME?"/>
    <m/>
    <m/>
    <m/>
    <m/>
    <m/>
  </r>
  <r>
    <s v="C810746"/>
    <s v="JUAN DAVID BAEZ RAMOS"/>
    <x v="5"/>
    <x v="26"/>
    <s v="BBVA"/>
    <e v="#NAME?"/>
    <x v="159"/>
    <n v="0.2"/>
    <s v="Desarrollador"/>
    <s v="APX"/>
    <m/>
    <e v="#NAME?"/>
    <e v="#NAME?"/>
    <e v="#NAME?"/>
    <m/>
    <m/>
    <m/>
    <m/>
    <m/>
  </r>
  <r>
    <s v="O001337"/>
    <s v="LEANDRO GOMEZ "/>
    <x v="5"/>
    <x v="26"/>
    <s v="BBVA"/>
    <e v="#NAME?"/>
    <x v="199"/>
    <n v="0.8"/>
    <s v="Tech Manager/Líder"/>
    <s v="Otras Tec."/>
    <m/>
    <e v="#NAME?"/>
    <e v="#NAME?"/>
    <e v="#NAME?"/>
    <m/>
    <m/>
    <m/>
    <m/>
    <m/>
  </r>
  <r>
    <s v="O001337"/>
    <s v="LEANDRO GOMEZ "/>
    <x v="5"/>
    <x v="26"/>
    <s v="BBVA"/>
    <e v="#NAME?"/>
    <x v="159"/>
    <n v="0.2"/>
    <s v="Tech Manager/Líder"/>
    <s v="Otras Tec."/>
    <m/>
    <e v="#NAME?"/>
    <e v="#NAME?"/>
    <e v="#NAME?"/>
    <m/>
    <m/>
    <m/>
    <m/>
    <m/>
  </r>
  <r>
    <s v="CE55339"/>
    <s v="LENIN RAFAEL DIAZ QUINTERO"/>
    <x v="5"/>
    <x v="26"/>
    <s v="SII"/>
    <e v="#NAME?"/>
    <x v="199"/>
    <n v="0.3"/>
    <s v="Desarrollador"/>
    <s v="Mainframe"/>
    <m/>
    <e v="#NAME?"/>
    <e v="#NAME?"/>
    <e v="#NAME?"/>
    <m/>
    <m/>
    <m/>
    <m/>
    <m/>
  </r>
  <r>
    <s v="T000166"/>
    <s v="LEONARDO ALBERTO JIMENEZ RINCON"/>
    <x v="5"/>
    <x v="26"/>
    <s v="Choucair"/>
    <e v="#NAME?"/>
    <x v="199"/>
    <n v="1"/>
    <s v="QA"/>
    <s v="Otras Tec."/>
    <m/>
    <e v="#NAME?"/>
    <e v="#NAME?"/>
    <e v="#NAME?"/>
    <m/>
    <m/>
    <m/>
    <m/>
    <m/>
  </r>
  <r>
    <s v="T004935"/>
    <s v="MARIA CAMILA MOLINA ALBA"/>
    <x v="5"/>
    <x v="26"/>
    <s v="Choucair"/>
    <e v="#NAME?"/>
    <x v="199"/>
    <n v="1"/>
    <s v="QA"/>
    <s v="Otras Tec."/>
    <m/>
    <e v="#NAME?"/>
    <e v="#NAME?"/>
    <e v="#NAME?"/>
    <m/>
    <m/>
    <m/>
    <m/>
    <m/>
  </r>
  <r>
    <s v="T000274"/>
    <s v="NICOLAS BOHORQUEZ LEGUIZAMO"/>
    <x v="5"/>
    <x v="26"/>
    <s v="GGI / CMC"/>
    <e v="#NAME?"/>
    <x v="199"/>
    <n v="0.3"/>
    <s v="Desarrollador"/>
    <s v="Cells"/>
    <m/>
    <e v="#NAME?"/>
    <e v="#NAME?"/>
    <e v="#NAME?"/>
    <m/>
    <m/>
    <m/>
    <m/>
    <m/>
  </r>
  <r>
    <s v="C796552"/>
    <s v="YADIRA COBOS ROMERO"/>
    <x v="5"/>
    <x v="26"/>
    <s v="BBVA"/>
    <e v="#NAME?"/>
    <x v="3"/>
    <n v="0.65"/>
    <s v="Tech Manager/Líder"/>
    <s v="Otras Tec."/>
    <m/>
    <e v="#NAME?"/>
    <e v="#NAME?"/>
    <e v="#NAME?"/>
    <m/>
    <m/>
    <m/>
    <m/>
    <m/>
  </r>
  <r>
    <s v="C796552"/>
    <s v="YADIRA COBOS ROMERO"/>
    <x v="5"/>
    <x v="26"/>
    <s v="BBVA"/>
    <e v="#NAME?"/>
    <x v="200"/>
    <n v="0.05"/>
    <s v="Tech Manager/Líder"/>
    <s v="Otras Tec."/>
    <m/>
    <e v="#NAME?"/>
    <e v="#NAME?"/>
    <e v="#NAME?"/>
    <m/>
    <m/>
    <m/>
    <m/>
    <m/>
  </r>
  <r>
    <s v="C796552"/>
    <s v="YADIRA COBOS ROMERO"/>
    <x v="5"/>
    <x v="26"/>
    <s v="BBVA"/>
    <e v="#NAME?"/>
    <x v="20"/>
    <n v="0.05"/>
    <s v="Tech Manager/Líder"/>
    <s v="Otras Tec."/>
    <m/>
    <e v="#NAME?"/>
    <e v="#NAME?"/>
    <e v="#NAME?"/>
    <m/>
    <m/>
    <m/>
    <m/>
    <m/>
  </r>
  <r>
    <s v="C796552"/>
    <s v="YADIRA COBOS ROMERO"/>
    <x v="5"/>
    <x v="26"/>
    <s v="BBVA"/>
    <e v="#NAME?"/>
    <x v="201"/>
    <n v="0.05"/>
    <s v="Tech Manager/Líder"/>
    <s v="Otras Tec."/>
    <m/>
    <e v="#NAME?"/>
    <e v="#NAME?"/>
    <e v="#NAME?"/>
    <m/>
    <m/>
    <m/>
    <m/>
    <m/>
  </r>
  <r>
    <s v="C796552"/>
    <s v="YADIRA COBOS ROMERO"/>
    <x v="5"/>
    <x v="26"/>
    <s v="BBVA"/>
    <e v="#NAME?"/>
    <x v="95"/>
    <n v="0.05"/>
    <s v="Tech Manager/Líder"/>
    <s v="Otras Tec."/>
    <m/>
    <e v="#NAME?"/>
    <e v="#NAME?"/>
    <e v="#NAME?"/>
    <m/>
    <m/>
    <m/>
    <m/>
    <m/>
  </r>
  <r>
    <s v="C796552"/>
    <s v="YADIRA COBOS ROMERO"/>
    <x v="5"/>
    <x v="26"/>
    <s v="BBVA"/>
    <e v="#NAME?"/>
    <x v="160"/>
    <n v="0.15"/>
    <s v="Tech Manager/Líder"/>
    <s v="Otras Tec."/>
    <m/>
    <e v="#NAME?"/>
    <e v="#NAME?"/>
    <e v="#NAME?"/>
    <m/>
    <m/>
    <m/>
    <m/>
    <m/>
  </r>
  <r>
    <s v="C808359"/>
    <s v="ARLEM CHINCHIA"/>
    <x v="5"/>
    <x v="26"/>
    <s v="BBVA"/>
    <e v="#NAME?"/>
    <x v="3"/>
    <n v="1"/>
    <s v="Desarrollador"/>
    <s v="Cells"/>
    <m/>
    <e v="#NAME?"/>
    <e v="#NAME?"/>
    <e v="#NAME?"/>
    <m/>
    <m/>
    <m/>
    <m/>
    <m/>
  </r>
  <r>
    <s v="CE51863"/>
    <s v="EDNA ROCIO MONCADA"/>
    <x v="5"/>
    <x v="26"/>
    <s v="KRYPTO"/>
    <e v="#NAME?"/>
    <x v="3"/>
    <n v="0.02"/>
    <s v="QA"/>
    <s v="Otras Tec."/>
    <m/>
    <e v="#NAME?"/>
    <e v="#NAME?"/>
    <e v="#NAME?"/>
    <m/>
    <m/>
    <m/>
    <m/>
    <m/>
  </r>
  <r>
    <s v="CE51863"/>
    <s v="EDNA ROCIO MONCADA"/>
    <x v="5"/>
    <x v="26"/>
    <s v="KRYPTO"/>
    <e v="#NAME?"/>
    <x v="200"/>
    <n v="0.02"/>
    <s v="QA"/>
    <s v="Otras Tec."/>
    <m/>
    <e v="#NAME?"/>
    <e v="#NAME?"/>
    <e v="#NAME?"/>
    <m/>
    <m/>
    <m/>
    <m/>
    <m/>
  </r>
  <r>
    <s v="CE51863"/>
    <s v="EDNA ROCIO MONCADA"/>
    <x v="5"/>
    <x v="26"/>
    <s v="KRYPTO"/>
    <e v="#NAME?"/>
    <x v="160"/>
    <n v="0.02"/>
    <s v="QA"/>
    <s v="Otras Tec."/>
    <m/>
    <e v="#NAME?"/>
    <e v="#NAME?"/>
    <e v="#NAME?"/>
    <m/>
    <m/>
    <m/>
    <m/>
    <m/>
  </r>
  <r>
    <s v="CE51863"/>
    <s v="EDNA ROCIO MONCADA"/>
    <x v="5"/>
    <x v="26"/>
    <s v="KRYPTO"/>
    <e v="#NAME?"/>
    <x v="20"/>
    <n v="0.02"/>
    <s v="QA"/>
    <s v="Otras Tec."/>
    <m/>
    <e v="#NAME?"/>
    <e v="#NAME?"/>
    <e v="#NAME?"/>
    <m/>
    <m/>
    <m/>
    <m/>
    <m/>
  </r>
  <r>
    <s v="CE51863"/>
    <s v="EDNA ROCIO MONCADA"/>
    <x v="5"/>
    <x v="26"/>
    <s v="KRYPTO"/>
    <e v="#NAME?"/>
    <x v="95"/>
    <n v="0.02"/>
    <s v="QA"/>
    <s v="Otras Tec."/>
    <m/>
    <e v="#NAME?"/>
    <e v="#NAME?"/>
    <e v="#NAME?"/>
    <m/>
    <m/>
    <m/>
    <m/>
    <m/>
  </r>
  <r>
    <s v="CE70177"/>
    <s v="ADRIANA MERCEDES GOMEZ"/>
    <x v="5"/>
    <x v="26"/>
    <s v="Choucair"/>
    <e v="#NAME?"/>
    <x v="95"/>
    <n v="0.9"/>
    <s v="QA"/>
    <s v="Otras Tec."/>
    <m/>
    <e v="#NAME?"/>
    <e v="#NAME?"/>
    <e v="#NAME?"/>
    <m/>
    <m/>
    <m/>
    <m/>
    <m/>
  </r>
  <r>
    <s v="C941085"/>
    <s v="CARLOS FRANCISCO TOVAR LOSADA"/>
    <x v="5"/>
    <x v="26"/>
    <s v="BBVA"/>
    <e v="#NAME?"/>
    <x v="3"/>
    <n v="1"/>
    <s v="Desarrollador"/>
    <s v="Otras Tec."/>
    <m/>
    <e v="#NAME?"/>
    <e v="#NAME?"/>
    <e v="#NAME?"/>
    <m/>
    <m/>
    <m/>
    <m/>
    <m/>
  </r>
  <r>
    <s v="T008622  "/>
    <s v="CAROLINA GARZÓN"/>
    <x v="5"/>
    <x v="26"/>
    <s v="GGI / CMC"/>
    <e v="#NAME?"/>
    <x v="3"/>
    <n v="1"/>
    <s v="Desarrollador"/>
    <s v="Otras Tec."/>
    <m/>
    <e v="#NAME?"/>
    <e v="#NAME?"/>
    <e v="#NAME?"/>
    <m/>
    <m/>
    <m/>
    <m/>
    <m/>
  </r>
  <r>
    <s v="T000288"/>
    <s v="DAVID FERNANDO MENDIETA"/>
    <x v="5"/>
    <x v="26"/>
    <s v="GGI / CMC"/>
    <e v="#NAME?"/>
    <x v="3"/>
    <n v="1"/>
    <s v="Desarrollador"/>
    <s v="ASO"/>
    <m/>
    <e v="#NAME?"/>
    <e v="#NAME?"/>
    <e v="#NAME?"/>
    <m/>
    <m/>
    <m/>
    <m/>
    <m/>
  </r>
  <r>
    <s v="C985155"/>
    <s v="DIANA CAROLINA ARTEAGA"/>
    <x v="5"/>
    <x v="26"/>
    <s v="BBVA"/>
    <e v="#NAME?"/>
    <x v="3"/>
    <n v="1"/>
    <s v="Desarrollador"/>
    <s v="Distribuido"/>
    <m/>
    <e v="#NAME?"/>
    <e v="#NAME?"/>
    <e v="#NAME?"/>
    <m/>
    <m/>
    <m/>
    <m/>
    <m/>
  </r>
  <r>
    <s v="O001647"/>
    <s v="EDISON RAMÍREZ"/>
    <x v="5"/>
    <x v="26"/>
    <s v="BBVA"/>
    <e v="#NAME?"/>
    <x v="160"/>
    <n v="0.8"/>
    <s v="Desarrollador"/>
    <s v="Distribuido"/>
    <m/>
    <e v="#NAME?"/>
    <e v="#NAME?"/>
    <e v="#NAME?"/>
    <m/>
    <m/>
    <m/>
    <m/>
    <m/>
  </r>
  <r>
    <s v="O001647"/>
    <s v="EDISON RAMÍREZ"/>
    <x v="5"/>
    <x v="26"/>
    <s v="BBVA"/>
    <e v="#NAME?"/>
    <x v="3"/>
    <n v="0.2"/>
    <s v="Desarrollador"/>
    <s v="Distribuido"/>
    <m/>
    <e v="#NAME?"/>
    <e v="#NAME?"/>
    <e v="#NAME?"/>
    <m/>
    <m/>
    <m/>
    <m/>
    <m/>
  </r>
  <r>
    <s v="C821589"/>
    <s v="EDWARD MORENO"/>
    <x v="5"/>
    <x v="26"/>
    <s v="BBVA"/>
    <e v="#NAME?"/>
    <x v="20"/>
    <n v="1"/>
    <s v="Desarrollador"/>
    <s v="Mainframe"/>
    <m/>
    <e v="#NAME?"/>
    <e v="#NAME?"/>
    <e v="#NAME?"/>
    <m/>
    <m/>
    <m/>
    <m/>
    <m/>
  </r>
  <r>
    <s v="T009381"/>
    <s v="JAIBER DAIVISON NOVA"/>
    <x v="5"/>
    <x v="26"/>
    <s v="GGI / CMC"/>
    <e v="#NAME?"/>
    <x v="3"/>
    <n v="1"/>
    <s v="Desarrollador"/>
    <s v="Distribuido"/>
    <m/>
    <e v="#NAME?"/>
    <e v="#NAME?"/>
    <e v="#NAME?"/>
    <m/>
    <m/>
    <m/>
    <m/>
    <m/>
  </r>
  <r>
    <s v="CE57299"/>
    <s v="JENNIFER ZAMORA"/>
    <x v="5"/>
    <x v="26"/>
    <s v="GGI / CMC"/>
    <e v="#NAME?"/>
    <x v="200"/>
    <n v="1"/>
    <s v="Desarrollador"/>
    <s v="Mainframe"/>
    <m/>
    <e v="#NAME?"/>
    <e v="#NAME?"/>
    <e v="#NAME?"/>
    <m/>
    <m/>
    <m/>
    <m/>
    <m/>
  </r>
  <r>
    <s v="T007581"/>
    <s v="FHERNEY ANDRIAN SILVA"/>
    <x v="5"/>
    <x v="26"/>
    <s v="Novatec"/>
    <e v="#NAME?"/>
    <x v="200"/>
    <n v="1"/>
    <s v="Desarrollador"/>
    <s v="ASO"/>
    <m/>
    <e v="#NAME?"/>
    <e v="#NAME?"/>
    <e v="#NAME?"/>
    <m/>
    <m/>
    <m/>
    <m/>
    <m/>
  </r>
  <r>
    <s v="CE61541"/>
    <s v="JESUS ANDRÉS CARDENAS"/>
    <x v="5"/>
    <x v="26"/>
    <s v="GGI / CMC"/>
    <e v="#NAME?"/>
    <x v="160"/>
    <n v="0.9"/>
    <s v="QA"/>
    <s v="Otras Tec."/>
    <m/>
    <e v="#NAME?"/>
    <e v="#NAME?"/>
    <e v="#NAME?"/>
    <m/>
    <m/>
    <m/>
    <m/>
    <m/>
  </r>
  <r>
    <s v="CE69109"/>
    <s v="LUIS FELIPE GONZÁLEZ"/>
    <x v="5"/>
    <x v="26"/>
    <s v="GGI / CMC"/>
    <e v="#NAME?"/>
    <x v="3"/>
    <n v="1"/>
    <s v="Desarrollador"/>
    <s v="Mainframe"/>
    <m/>
    <e v="#NAME?"/>
    <e v="#NAME?"/>
    <e v="#NAME?"/>
    <m/>
    <m/>
    <m/>
    <m/>
    <m/>
  </r>
  <r>
    <s v="CE17709"/>
    <s v="LUZ  STELLA MARTINEZ"/>
    <x v="5"/>
    <x v="26"/>
    <s v="KRYPTO"/>
    <e v="#NAME?"/>
    <x v="200"/>
    <n v="1"/>
    <s v="QA"/>
    <s v="Otras Tec."/>
    <m/>
    <e v="#NAME?"/>
    <e v="#NAME?"/>
    <e v="#NAME?"/>
    <m/>
    <m/>
    <m/>
    <m/>
    <m/>
  </r>
  <r>
    <s v="CE51863"/>
    <s v="EDNA ROCIO MONCADA"/>
    <x v="5"/>
    <x v="26"/>
    <s v="KRYPTO"/>
    <e v="#NAME?"/>
    <x v="200"/>
    <n v="0.02"/>
    <s v="QA"/>
    <s v="Otras Tec."/>
    <m/>
    <e v="#NAME?"/>
    <e v="#NAME?"/>
    <e v="#NAME?"/>
    <m/>
    <m/>
    <m/>
    <m/>
    <m/>
  </r>
  <r>
    <s v="C810755"/>
    <s v="MARÍA ALEJANDRA VARÓN"/>
    <x v="5"/>
    <x v="26"/>
    <s v="BBVA"/>
    <e v="#NAME?"/>
    <x v="20"/>
    <n v="0.5"/>
    <s v="Desarrollador"/>
    <s v="Cells"/>
    <m/>
    <e v="#NAME?"/>
    <e v="#NAME?"/>
    <e v="#NAME?"/>
    <m/>
    <m/>
    <m/>
    <m/>
    <m/>
  </r>
  <r>
    <s v="C810755"/>
    <s v="MARÍA ALEJANDRA VARÓN"/>
    <x v="5"/>
    <x v="26"/>
    <s v="BBVA"/>
    <e v="#NAME?"/>
    <x v="3"/>
    <n v="0.5"/>
    <s v="Desarrollador"/>
    <s v="Cells"/>
    <m/>
    <e v="#NAME?"/>
    <e v="#NAME?"/>
    <e v="#NAME?"/>
    <m/>
    <m/>
    <m/>
    <m/>
    <m/>
  </r>
  <r>
    <s v="CE66887"/>
    <s v="NICOLAS BOLIVAR BATTLE"/>
    <x v="5"/>
    <x v="26"/>
    <s v="KRYPTO"/>
    <e v="#NAME?"/>
    <x v="200"/>
    <n v="1"/>
    <s v="QA"/>
    <s v="Otras Tec."/>
    <m/>
    <e v="#NAME?"/>
    <e v="#NAME?"/>
    <e v="#NAME?"/>
    <m/>
    <m/>
    <m/>
    <m/>
    <m/>
  </r>
  <r>
    <s v="C805907"/>
    <s v="OSCAR DARIO VELÁSQUEZ"/>
    <x v="5"/>
    <x v="26"/>
    <s v="BBVA"/>
    <e v="#NAME?"/>
    <x v="20"/>
    <n v="0.25"/>
    <s v="Desarrollador"/>
    <s v="Cells"/>
    <m/>
    <e v="#NAME?"/>
    <e v="#NAME?"/>
    <e v="#NAME?"/>
    <m/>
    <m/>
    <m/>
    <m/>
    <m/>
  </r>
  <r>
    <s v="C805907"/>
    <s v="OSCAR DARIO VELÁSQUEZ"/>
    <x v="5"/>
    <x v="26"/>
    <s v="BBVA"/>
    <e v="#NAME?"/>
    <x v="160"/>
    <n v="0.75"/>
    <s v="Desarrollador"/>
    <s v="Cells"/>
    <m/>
    <e v="#NAME?"/>
    <e v="#NAME?"/>
    <e v="#NAME?"/>
    <m/>
    <m/>
    <m/>
    <m/>
    <m/>
  </r>
  <r>
    <s v="CE61541"/>
    <s v="JESUS ANDRÉS CARDENAS"/>
    <x v="5"/>
    <x v="26"/>
    <s v="GGI / CMC"/>
    <e v="#NAME?"/>
    <x v="160"/>
    <n v="0.1"/>
    <s v="QA"/>
    <s v="Otras Tec."/>
    <m/>
    <e v="#NAME?"/>
    <e v="#NAME?"/>
    <e v="#NAME?"/>
    <m/>
    <m/>
    <m/>
    <m/>
    <m/>
  </r>
  <r>
    <s v="CE67019"/>
    <s v="REINALDO CUARIN"/>
    <x v="5"/>
    <x v="26"/>
    <s v="GGI / CMC"/>
    <e v="#NAME?"/>
    <x v="95"/>
    <n v="1"/>
    <s v="Desarrollador"/>
    <s v="APX"/>
    <m/>
    <e v="#NAME?"/>
    <e v="#NAME?"/>
    <e v="#NAME?"/>
    <m/>
    <m/>
    <m/>
    <m/>
    <m/>
  </r>
  <r>
    <s v="CE69265"/>
    <s v="SANTIAGO MARTINEZ"/>
    <x v="5"/>
    <x v="26"/>
    <s v="Choucair"/>
    <e v="#NAME?"/>
    <x v="160"/>
    <n v="1"/>
    <s v="QA"/>
    <s v="Otras Tec."/>
    <m/>
    <e v="#NAME?"/>
    <e v="#NAME?"/>
    <e v="#NAME?"/>
    <m/>
    <m/>
    <m/>
    <m/>
    <m/>
  </r>
  <r>
    <s v="O001980"/>
    <s v="YESID ALEXANDER ROA VEGA"/>
    <x v="5"/>
    <x v="26"/>
    <s v="BBVA"/>
    <e v="#NAME?"/>
    <x v="3"/>
    <n v="0.7"/>
    <s v="Desarrollador"/>
    <s v="Otras Tec."/>
    <m/>
    <e v="#NAME?"/>
    <e v="#NAME?"/>
    <e v="#NAME?"/>
    <m/>
    <m/>
    <m/>
    <m/>
    <m/>
  </r>
  <r>
    <s v="O001980"/>
    <s v="YESID ALEXANDER ROA VEGA"/>
    <x v="5"/>
    <x v="26"/>
    <s v="BBVA"/>
    <e v="#NAME?"/>
    <x v="200"/>
    <n v="0.3"/>
    <s v="Desarrollador"/>
    <s v="Otras Tec."/>
    <m/>
    <e v="#NAME?"/>
    <e v="#NAME?"/>
    <e v="#NAME?"/>
    <m/>
    <m/>
    <m/>
    <m/>
    <m/>
  </r>
  <r>
    <s v="O001850"/>
    <s v="ANDERSSON SALINAS"/>
    <x v="5"/>
    <x v="26"/>
    <s v="BBVA"/>
    <e v="#NAME?"/>
    <x v="201"/>
    <n v="0.5"/>
    <s v="Desarrollador"/>
    <s v="Cells"/>
    <m/>
    <e v="#NAME?"/>
    <e v="#NAME?"/>
    <e v="#NAME?"/>
    <m/>
    <m/>
    <m/>
    <m/>
    <m/>
  </r>
  <r>
    <s v="O001850"/>
    <s v="ANDERSSON SALINAS"/>
    <x v="5"/>
    <x v="26"/>
    <s v="BBVA"/>
    <e v="#NAME?"/>
    <x v="3"/>
    <n v="0.5"/>
    <s v="Desarrollador"/>
    <s v="Cells"/>
    <m/>
    <e v="#NAME?"/>
    <e v="#NAME?"/>
    <e v="#NAME?"/>
    <m/>
    <m/>
    <m/>
    <m/>
    <m/>
  </r>
  <r>
    <s v="CE67484"/>
    <s v="JUAN CARLOS SALDAÑA"/>
    <x v="1"/>
    <x v="16"/>
    <s v="Accenture"/>
    <e v="#NAME?"/>
    <x v="139"/>
    <n v="0.25"/>
    <s v="Desarrollador"/>
    <s v="Distribuido"/>
    <m/>
    <e v="#NAME?"/>
    <e v="#NAME?"/>
    <e v="#NAME?"/>
    <m/>
    <m/>
    <m/>
    <m/>
    <m/>
  </r>
  <r>
    <s v="CE61162"/>
    <s v="JOSE PERFECTO"/>
    <x v="1"/>
    <x v="16"/>
    <s v="Accenture"/>
    <e v="#NAME?"/>
    <x v="139"/>
    <n v="0.3"/>
    <s v="Desarrollador"/>
    <s v="Distribuido"/>
    <m/>
    <e v="#NAME?"/>
    <e v="#NAME?"/>
    <e v="#NAME?"/>
    <m/>
    <m/>
    <m/>
    <m/>
    <m/>
  </r>
  <r>
    <s v="T003696"/>
    <s v="LUIS LOZANO"/>
    <x v="1"/>
    <x v="16"/>
    <s v="Accenture"/>
    <e v="#NAME?"/>
    <x v="139"/>
    <n v="0.2"/>
    <s v="Desarrollador"/>
    <s v="Distribuido"/>
    <m/>
    <e v="#NAME?"/>
    <e v="#NAME?"/>
    <e v="#NAME?"/>
    <m/>
    <m/>
    <m/>
    <m/>
    <m/>
  </r>
  <r>
    <s v="CE42052"/>
    <s v="SAMUEL ANDRES JIMENEZ RODRIGUEZ"/>
    <x v="1"/>
    <x v="16"/>
    <s v="GGI / CMC"/>
    <e v="#NAME?"/>
    <x v="139"/>
    <n v="0.1"/>
    <s v="Desarrollador"/>
    <s v="Distribuido"/>
    <m/>
    <e v="#NAME?"/>
    <e v="#NAME?"/>
    <e v="#NAME?"/>
    <m/>
    <m/>
    <m/>
    <m/>
    <m/>
  </r>
  <r>
    <s v="T003497"/>
    <s v="ADRIAN DUCUARA BENITEZ"/>
    <x v="3"/>
    <x v="15"/>
    <s v="Accenture"/>
    <e v="#NAME?"/>
    <x v="202"/>
    <n v="1"/>
    <s v="Desarrollador"/>
    <s v="Cells"/>
    <m/>
    <e v="#NAME?"/>
    <e v="#NAME?"/>
    <e v="#NAME?"/>
    <m/>
    <m/>
    <m/>
    <m/>
    <m/>
  </r>
  <r>
    <s v="T000410"/>
    <s v="ANDRES ALEJANDRO FAJARDO TORRES"/>
    <x v="3"/>
    <x v="15"/>
    <s v="Globant"/>
    <e v="#NAME?"/>
    <x v="118"/>
    <n v="0.7"/>
    <s v="Desarrollador"/>
    <s v="Cells"/>
    <m/>
    <e v="#NAME?"/>
    <e v="#NAME?"/>
    <e v="#NAME?"/>
    <m/>
    <m/>
    <m/>
    <m/>
    <m/>
  </r>
  <r>
    <s v="T000410"/>
    <s v="ANDRES ALEJANDRO FAJARDO TORRES"/>
    <x v="3"/>
    <x v="15"/>
    <s v="Globant"/>
    <e v="#NAME?"/>
    <x v="86"/>
    <n v="0.3"/>
    <s v="Desarrollador"/>
    <s v="Cells"/>
    <m/>
    <e v="#NAME?"/>
    <e v="#NAME?"/>
    <e v="#NAME?"/>
    <m/>
    <m/>
    <m/>
    <m/>
    <m/>
  </r>
  <r>
    <s v="CE67848"/>
    <s v="ANDRES ALFONSO VARELO SILGADO"/>
    <x v="3"/>
    <x v="15"/>
    <s v="Accenture"/>
    <e v="#NAME?"/>
    <x v="203"/>
    <n v="0.1"/>
    <s v="Desarrollador"/>
    <s v="APX"/>
    <m/>
    <e v="#NAME?"/>
    <e v="#NAME?"/>
    <e v="#NAME?"/>
    <m/>
    <m/>
    <m/>
    <m/>
    <m/>
  </r>
  <r>
    <s v="CE67848"/>
    <s v="ANDRES ALFONSO VARELO SILGADO"/>
    <x v="3"/>
    <x v="15"/>
    <s v="Accenture"/>
    <e v="#NAME?"/>
    <x v="84"/>
    <n v="0.7"/>
    <s v="Desarrollador"/>
    <s v="APX"/>
    <m/>
    <e v="#NAME?"/>
    <e v="#NAME?"/>
    <e v="#NAME?"/>
    <m/>
    <m/>
    <m/>
    <m/>
    <m/>
  </r>
  <r>
    <s v="CE67848"/>
    <s v="ANDRES ALFONSO VARELO SILGADO"/>
    <x v="3"/>
    <x v="15"/>
    <s v="Accenture"/>
    <e v="#NAME?"/>
    <x v="86"/>
    <n v="0.2"/>
    <s v="Desarrollador"/>
    <s v="APX"/>
    <m/>
    <e v="#NAME?"/>
    <e v="#NAME?"/>
    <e v="#NAME?"/>
    <m/>
    <m/>
    <m/>
    <m/>
    <m/>
  </r>
  <r>
    <s v="T004062"/>
    <s v="ANDRES FELIPE FANDINO QUECANA"/>
    <x v="3"/>
    <x v="15"/>
    <s v="Choucair"/>
    <e v="#NAME?"/>
    <x v="204"/>
    <n v="1"/>
    <s v="QA"/>
    <s v="Distribuido"/>
    <m/>
    <e v="#NAME?"/>
    <e v="#NAME?"/>
    <e v="#NAME?"/>
    <m/>
    <m/>
    <m/>
    <m/>
    <m/>
  </r>
  <r>
    <s v="T008459"/>
    <s v="ANDRÉS FELIPE FORERO"/>
    <x v="3"/>
    <x v="15"/>
    <s v="Neoris"/>
    <e v="#NAME?"/>
    <x v="3"/>
    <n v="1"/>
    <s v="Desarrollador"/>
    <s v="Mainframe"/>
    <m/>
    <e v="#NAME?"/>
    <e v="#NAME?"/>
    <e v="#NAME?"/>
    <m/>
    <m/>
    <m/>
    <m/>
    <m/>
  </r>
  <r>
    <s v="CE70621"/>
    <s v="BRANDON AVILA"/>
    <x v="3"/>
    <x v="15"/>
    <s v="Inetum"/>
    <e v="#NAME?"/>
    <x v="3"/>
    <n v="1"/>
    <s v="QA"/>
    <s v="Mainframe"/>
    <m/>
    <e v="#NAME?"/>
    <e v="#NAME?"/>
    <e v="#NAME?"/>
    <m/>
    <m/>
    <m/>
    <m/>
    <m/>
  </r>
  <r>
    <s v="CE69709"/>
    <s v="BRAYAN CAMILO VALCARCEL RIANO"/>
    <x v="3"/>
    <x v="15"/>
    <s v="Choucair"/>
    <e v="#NAME?"/>
    <x v="118"/>
    <n v="0.5"/>
    <s v="QA"/>
    <s v="Distribuido"/>
    <m/>
    <e v="#NAME?"/>
    <e v="#NAME?"/>
    <e v="#NAME?"/>
    <m/>
    <m/>
    <m/>
    <m/>
    <m/>
  </r>
  <r>
    <s v="CE69709"/>
    <s v="BRAYAN CAMILO VALCARCEL RIANO"/>
    <x v="3"/>
    <x v="15"/>
    <s v="Choucair"/>
    <e v="#NAME?"/>
    <x v="86"/>
    <n v="0.5"/>
    <s v="QA"/>
    <s v="Distribuido"/>
    <m/>
    <e v="#NAME?"/>
    <e v="#NAME?"/>
    <e v="#NAME?"/>
    <m/>
    <m/>
    <m/>
    <m/>
    <m/>
  </r>
  <r>
    <s v="T000159"/>
    <s v="BRYAN SMITH PATIÑO"/>
    <x v="3"/>
    <x v="15"/>
    <s v="Choucair"/>
    <e v="#NAME?"/>
    <x v="205"/>
    <n v="1"/>
    <s v="QA"/>
    <s v="Mainframe"/>
    <m/>
    <e v="#NAME?"/>
    <e v="#NAME?"/>
    <e v="#NAME?"/>
    <m/>
    <m/>
    <m/>
    <m/>
    <m/>
  </r>
  <r>
    <s v="P009920"/>
    <s v="CAMILO ABELLA"/>
    <x v="3"/>
    <x v="15"/>
    <s v="Accenture"/>
    <e v="#NAME?"/>
    <x v="203"/>
    <n v="1"/>
    <s v="Desarrollador"/>
    <s v="Cells"/>
    <m/>
    <e v="#NAME?"/>
    <e v="#NAME?"/>
    <e v="#NAME?"/>
    <m/>
    <m/>
    <m/>
    <m/>
    <m/>
  </r>
  <r>
    <s v="O001869"/>
    <s v="CAMILO CABRA"/>
    <x v="3"/>
    <x v="15"/>
    <s v="BBVA"/>
    <e v="#NAME?"/>
    <x v="205"/>
    <n v="0.1"/>
    <s v="Tech Manager/Líder"/>
    <s v="Mainframe"/>
    <m/>
    <e v="#NAME?"/>
    <e v="#NAME?"/>
    <e v="#NAME?"/>
    <m/>
    <m/>
    <m/>
    <m/>
    <m/>
  </r>
  <r>
    <s v="O001869"/>
    <s v="CAMILO CABRA"/>
    <x v="3"/>
    <x v="15"/>
    <s v="BBVA"/>
    <e v="#NAME?"/>
    <x v="1"/>
    <n v="0.05"/>
    <s v="Tech Manager/Líder"/>
    <s v="Otras Tec."/>
    <m/>
    <e v="#NAME?"/>
    <e v="#NAME?"/>
    <e v="#NAME?"/>
    <m/>
    <m/>
    <m/>
    <m/>
    <m/>
  </r>
  <r>
    <s v="O001869"/>
    <s v="CAMILO CABRA"/>
    <x v="3"/>
    <x v="15"/>
    <s v="BBVA"/>
    <e v="#NAME?"/>
    <x v="6"/>
    <n v="0.05"/>
    <s v="Tech Manager/Líder"/>
    <s v="Otras Tec."/>
    <m/>
    <e v="#NAME?"/>
    <e v="#NAME?"/>
    <e v="#NAME?"/>
    <m/>
    <m/>
    <m/>
    <m/>
    <m/>
  </r>
  <r>
    <s v="O001869"/>
    <s v="CAMILO CABRA"/>
    <x v="3"/>
    <x v="15"/>
    <s v="BBVA"/>
    <e v="#NAME?"/>
    <x v="202"/>
    <n v="0.15"/>
    <s v="Tech Manager/Líder"/>
    <s v="Otras Tec."/>
    <m/>
    <e v="#NAME?"/>
    <e v="#NAME?"/>
    <e v="#NAME?"/>
    <m/>
    <m/>
    <m/>
    <m/>
    <m/>
  </r>
  <r>
    <s v="O001869"/>
    <s v="CAMILO CABRA"/>
    <x v="3"/>
    <x v="15"/>
    <s v="BBVA"/>
    <e v="#NAME?"/>
    <x v="206"/>
    <n v="0.05"/>
    <s v="Tech Manager/Líder"/>
    <s v="Otras Tec."/>
    <m/>
    <e v="#NAME?"/>
    <e v="#NAME?"/>
    <e v="#NAME?"/>
    <m/>
    <m/>
    <m/>
    <m/>
    <m/>
  </r>
  <r>
    <s v="O001869"/>
    <s v="CAMILO CABRA"/>
    <x v="3"/>
    <x v="15"/>
    <s v="BBVA"/>
    <e v="#NAME?"/>
    <x v="207"/>
    <n v="0.2"/>
    <s v="Tech Manager/Líder"/>
    <s v="Otras Tec."/>
    <m/>
    <e v="#NAME?"/>
    <e v="#NAME?"/>
    <e v="#NAME?"/>
    <m/>
    <m/>
    <m/>
    <m/>
    <m/>
  </r>
  <r>
    <s v="O001869"/>
    <s v="CAMILO CABRA"/>
    <x v="3"/>
    <x v="15"/>
    <s v="BBVA"/>
    <e v="#NAME?"/>
    <x v="208"/>
    <n v="0.15"/>
    <s v="Tech Manager/Líder"/>
    <s v="Otras Tec."/>
    <m/>
    <e v="#NAME?"/>
    <e v="#NAME?"/>
    <e v="#NAME?"/>
    <m/>
    <m/>
    <m/>
    <m/>
    <m/>
  </r>
  <r>
    <s v="O001869"/>
    <s v="CAMILO CABRA"/>
    <x v="3"/>
    <x v="15"/>
    <s v="BBVA"/>
    <e v="#NAME?"/>
    <x v="209"/>
    <n v="0.1"/>
    <s v="Tech Manager/Líder"/>
    <s v="Otras Tec."/>
    <m/>
    <e v="#NAME?"/>
    <e v="#NAME?"/>
    <e v="#NAME?"/>
    <m/>
    <m/>
    <m/>
    <m/>
    <m/>
  </r>
  <r>
    <s v="O001869"/>
    <s v="CAMILO CABRA"/>
    <x v="3"/>
    <x v="15"/>
    <s v="BBVA"/>
    <e v="#NAME?"/>
    <x v="53"/>
    <n v="0.05"/>
    <s v="Tech Manager/Líder"/>
    <s v="Otras Tec."/>
    <m/>
    <e v="#NAME?"/>
    <e v="#NAME?"/>
    <e v="#NAME?"/>
    <m/>
    <m/>
    <m/>
    <m/>
    <m/>
  </r>
  <r>
    <s v="O001869"/>
    <s v="CAMILO CABRA"/>
    <x v="3"/>
    <x v="15"/>
    <s v="BBVA"/>
    <e v="#NAME?"/>
    <x v="3"/>
    <n v="0.1"/>
    <s v="Tech Manager/Líder"/>
    <s v="Otras Tec."/>
    <m/>
    <e v="#NAME?"/>
    <e v="#NAME?"/>
    <e v="#NAME?"/>
    <m/>
    <m/>
    <m/>
    <m/>
    <m/>
  </r>
  <r>
    <s v="CE30638"/>
    <s v="CESAR AUGUSTO MOLANO RUEDA"/>
    <x v="3"/>
    <x v="15"/>
    <s v="Inetum"/>
    <e v="#NAME?"/>
    <x v="118"/>
    <n v="1"/>
    <s v="Desarrollador"/>
    <s v="Mainframe"/>
    <m/>
    <e v="#NAME?"/>
    <e v="#NAME?"/>
    <e v="#NAME?"/>
    <m/>
    <m/>
    <m/>
    <m/>
    <m/>
  </r>
  <r>
    <s v="C805965"/>
    <s v="CRISTIAN ESNEIDER VELASQUEZ"/>
    <x v="3"/>
    <x v="15"/>
    <s v="BBVA"/>
    <e v="#NAME?"/>
    <x v="202"/>
    <n v="0.1"/>
    <s v="Desarrollador"/>
    <s v="APX"/>
    <m/>
    <e v="#NAME?"/>
    <e v="#NAME?"/>
    <e v="#NAME?"/>
    <m/>
    <m/>
    <m/>
    <m/>
    <m/>
  </r>
  <r>
    <s v="C805965"/>
    <s v="CRISTIAN ESNEIDER VELASQUEZ"/>
    <x v="3"/>
    <x v="15"/>
    <s v="BBVA"/>
    <e v="#NAME?"/>
    <x v="202"/>
    <n v="0.1"/>
    <s v="Desarrollador"/>
    <s v="APX"/>
    <m/>
    <e v="#NAME?"/>
    <e v="#NAME?"/>
    <e v="#NAME?"/>
    <m/>
    <m/>
    <m/>
    <m/>
    <m/>
  </r>
  <r>
    <s v="C805965"/>
    <s v="CRISTIAN ESNEIDER VELASQUEZ"/>
    <x v="3"/>
    <x v="15"/>
    <s v="BBVA"/>
    <e v="#NAME?"/>
    <x v="207"/>
    <n v="0.8"/>
    <s v="Desarrollador"/>
    <s v="APX"/>
    <m/>
    <e v="#NAME?"/>
    <e v="#NAME?"/>
    <e v="#NAME?"/>
    <m/>
    <m/>
    <m/>
    <m/>
    <m/>
  </r>
  <r>
    <s v="C342543"/>
    <s v="CRISTIAN FRANCISCO FERNANDEZ"/>
    <x v="3"/>
    <x v="15"/>
    <s v="BBVA"/>
    <e v="#NAME?"/>
    <x v="1"/>
    <n v="0.1"/>
    <s v="Desarrollador"/>
    <s v="Mainframe"/>
    <m/>
    <e v="#NAME?"/>
    <e v="#NAME?"/>
    <e v="#NAME?"/>
    <m/>
    <m/>
    <m/>
    <m/>
    <m/>
  </r>
  <r>
    <s v="C342543"/>
    <s v="CRISTIAN FRANCISCO FERNANDEZ"/>
    <x v="3"/>
    <x v="15"/>
    <s v="BBVA"/>
    <e v="#NAME?"/>
    <x v="6"/>
    <n v="0.1"/>
    <s v="Desarrollador"/>
    <s v="Mainframe"/>
    <m/>
    <e v="#NAME?"/>
    <e v="#NAME?"/>
    <e v="#NAME?"/>
    <m/>
    <m/>
    <m/>
    <m/>
    <m/>
  </r>
  <r>
    <s v="C342543"/>
    <s v="CRISTIAN FRANCISCO FERNANDEZ"/>
    <x v="3"/>
    <x v="15"/>
    <s v="BBVA"/>
    <e v="#NAME?"/>
    <x v="209"/>
    <n v="0.1"/>
    <s v="Desarrollador"/>
    <s v="Mainframe"/>
    <m/>
    <e v="#NAME?"/>
    <e v="#NAME?"/>
    <e v="#NAME?"/>
    <m/>
    <m/>
    <m/>
    <m/>
    <m/>
  </r>
  <r>
    <s v="C342543"/>
    <s v="CRISTIAN FRANCISCO FERNANDEZ"/>
    <x v="3"/>
    <x v="15"/>
    <s v="BBVA"/>
    <e v="#NAME?"/>
    <x v="118"/>
    <n v="0.1"/>
    <s v="Desarrollador"/>
    <s v="Mainframe"/>
    <m/>
    <e v="#NAME?"/>
    <e v="#NAME?"/>
    <e v="#NAME?"/>
    <m/>
    <m/>
    <m/>
    <m/>
    <m/>
  </r>
  <r>
    <s v="C342543"/>
    <s v="CRISTIAN FRANCISCO FERNANDEZ"/>
    <x v="3"/>
    <x v="15"/>
    <s v="BBVA"/>
    <e v="#NAME?"/>
    <x v="208"/>
    <n v="0.1"/>
    <s v="Desarrollador"/>
    <s v="Mainframe"/>
    <m/>
    <e v="#NAME?"/>
    <e v="#NAME?"/>
    <e v="#NAME?"/>
    <m/>
    <m/>
    <m/>
    <m/>
    <m/>
  </r>
  <r>
    <s v="C342543"/>
    <s v="CRISTIAN FRANCISCO FERNANDEZ"/>
    <x v="3"/>
    <x v="15"/>
    <s v="BBVA"/>
    <e v="#NAME?"/>
    <x v="210"/>
    <n v="0.1"/>
    <s v="Desarrollador"/>
    <s v="Mainframe"/>
    <m/>
    <e v="#NAME?"/>
    <e v="#NAME?"/>
    <e v="#NAME?"/>
    <m/>
    <m/>
    <m/>
    <m/>
    <m/>
  </r>
  <r>
    <s v="C342543"/>
    <s v="CRISTIAN FRANCISCO FERNANDEZ"/>
    <x v="3"/>
    <x v="15"/>
    <s v="BBVA"/>
    <e v="#NAME?"/>
    <x v="3"/>
    <n v="0.4"/>
    <s v="Desarrollador"/>
    <s v="Mainframe"/>
    <m/>
    <e v="#NAME?"/>
    <e v="#NAME?"/>
    <e v="#NAME?"/>
    <m/>
    <m/>
    <m/>
    <m/>
    <m/>
  </r>
  <r>
    <s v="CE66714"/>
    <s v="CRISTIAN STEVEN ABRIL ALDANA"/>
    <x v="3"/>
    <x v="15"/>
    <s v="Novatec"/>
    <e v="#NAME?"/>
    <x v="203"/>
    <n v="0.35"/>
    <s v="Desarrollador"/>
    <s v="Cells"/>
    <m/>
    <e v="#NAME?"/>
    <e v="#NAME?"/>
    <e v="#NAME?"/>
    <m/>
    <m/>
    <m/>
    <m/>
    <m/>
  </r>
  <r>
    <s v="CE66714"/>
    <s v="CRISTIAN STEVEN ABRIL ALDANA"/>
    <x v="3"/>
    <x v="15"/>
    <s v="Novatec"/>
    <e v="#NAME?"/>
    <x v="84"/>
    <n v="0.3"/>
    <s v="Desarrollador"/>
    <s v="Cells"/>
    <m/>
    <e v="#NAME?"/>
    <e v="#NAME?"/>
    <e v="#NAME?"/>
    <m/>
    <m/>
    <m/>
    <m/>
    <m/>
  </r>
  <r>
    <s v="CE66714"/>
    <s v="CRISTIAN STEVEN ABRIL ALDANA"/>
    <x v="3"/>
    <x v="15"/>
    <s v="Novatec"/>
    <e v="#NAME?"/>
    <x v="86"/>
    <n v="0.35"/>
    <s v="Desarrollador"/>
    <s v="Cells"/>
    <m/>
    <e v="#NAME?"/>
    <e v="#NAME?"/>
    <e v="#NAME?"/>
    <m/>
    <m/>
    <m/>
    <m/>
    <m/>
  </r>
  <r>
    <s v="CE67847"/>
    <s v="CRISTIAN STIVEN SÀNCHEZ RUBIO"/>
    <x v="3"/>
    <x v="15"/>
    <s v="Inetum"/>
    <e v="#NAME?"/>
    <x v="84"/>
    <n v="1"/>
    <s v="Desarrollador"/>
    <s v="ASO"/>
    <m/>
    <e v="#NAME?"/>
    <e v="#NAME?"/>
    <e v="#NAME?"/>
    <m/>
    <m/>
    <m/>
    <m/>
    <m/>
  </r>
  <r>
    <s v="P002414"/>
    <s v="DANIEL BERNAL"/>
    <x v="3"/>
    <x v="15"/>
    <s v="Novatec"/>
    <e v="#NAME?"/>
    <x v="203"/>
    <n v="1"/>
    <s v="Desarrollador"/>
    <s v="Cells"/>
    <m/>
    <e v="#NAME?"/>
    <e v="#NAME?"/>
    <e v="#NAME?"/>
    <m/>
    <m/>
    <m/>
    <m/>
    <m/>
  </r>
  <r>
    <s v="CE65598"/>
    <s v="DAVID GERMAN TORRES MOLANO"/>
    <x v="3"/>
    <x v="15"/>
    <s v="KRYPTO"/>
    <e v="#NAME?"/>
    <x v="203"/>
    <n v="0.3"/>
    <s v="QA"/>
    <s v="Distribuido"/>
    <m/>
    <e v="#NAME?"/>
    <e v="#NAME?"/>
    <e v="#NAME?"/>
    <m/>
    <m/>
    <m/>
    <m/>
    <m/>
  </r>
  <r>
    <s v="CE65598"/>
    <s v="DAVID GERMAN TORRES MOLANO"/>
    <x v="3"/>
    <x v="15"/>
    <s v="KRYPTO"/>
    <e v="#NAME?"/>
    <x v="84"/>
    <n v="0.3"/>
    <s v="QA"/>
    <s v="Distribuido"/>
    <m/>
    <e v="#NAME?"/>
    <e v="#NAME?"/>
    <e v="#NAME?"/>
    <m/>
    <m/>
    <m/>
    <m/>
    <m/>
  </r>
  <r>
    <s v="CE65598"/>
    <s v="DAVID GERMAN TORRES MOLANO"/>
    <x v="3"/>
    <x v="15"/>
    <s v="KRYPTO"/>
    <e v="#NAME?"/>
    <x v="86"/>
    <n v="0.4"/>
    <s v="QA"/>
    <s v="Distribuido"/>
    <m/>
    <e v="#NAME?"/>
    <e v="#NAME?"/>
    <e v="#NAME?"/>
    <m/>
    <m/>
    <m/>
    <m/>
    <m/>
  </r>
  <r>
    <s v="C342598"/>
    <s v="DEISON COLMENARES"/>
    <x v="3"/>
    <x v="15"/>
    <s v="BBVA"/>
    <e v="#NAME?"/>
    <x v="203"/>
    <n v="0.1"/>
    <s v="Desarrollador"/>
    <s v="Mainframe"/>
    <m/>
    <e v="#NAME?"/>
    <e v="#NAME?"/>
    <e v="#NAME?"/>
    <m/>
    <m/>
    <m/>
    <m/>
    <m/>
  </r>
  <r>
    <s v="C342598"/>
    <s v="DEISON COLMENARES"/>
    <x v="3"/>
    <x v="15"/>
    <s v="BBVA"/>
    <e v="#NAME?"/>
    <x v="84"/>
    <n v="0.15"/>
    <s v="Desarrollador"/>
    <s v="Mainframe"/>
    <m/>
    <e v="#NAME?"/>
    <e v="#NAME?"/>
    <e v="#NAME?"/>
    <m/>
    <m/>
    <m/>
    <m/>
    <m/>
  </r>
  <r>
    <s v="C342598"/>
    <s v="DEISON COLMENARES"/>
    <x v="3"/>
    <x v="15"/>
    <s v="BBVA"/>
    <e v="#NAME?"/>
    <x v="86"/>
    <n v="0.2"/>
    <s v="Desarrollador"/>
    <s v="Mainframe"/>
    <m/>
    <e v="#NAME?"/>
    <e v="#NAME?"/>
    <e v="#NAME?"/>
    <m/>
    <m/>
    <m/>
    <m/>
    <m/>
  </r>
  <r>
    <s v="C342598"/>
    <s v="DEISON COLMENARES"/>
    <x v="3"/>
    <x v="15"/>
    <s v="BBVA"/>
    <e v="#NAME?"/>
    <x v="211"/>
    <n v="0.2"/>
    <s v="Desarrollador"/>
    <s v="Mainframe"/>
    <m/>
    <e v="#NAME?"/>
    <e v="#NAME?"/>
    <e v="#NAME?"/>
    <m/>
    <m/>
    <m/>
    <m/>
    <m/>
  </r>
  <r>
    <s v="C342598"/>
    <s v="DEISON COLMENARES"/>
    <x v="3"/>
    <x v="15"/>
    <s v="BBVA"/>
    <e v="#NAME?"/>
    <x v="204"/>
    <n v="0.15"/>
    <s v="Desarrollador"/>
    <s v="Mainframe"/>
    <m/>
    <e v="#NAME?"/>
    <e v="#NAME?"/>
    <e v="#NAME?"/>
    <m/>
    <m/>
    <m/>
    <m/>
    <m/>
  </r>
  <r>
    <s v="C342598"/>
    <s v="DEISON COLMENARES"/>
    <x v="3"/>
    <x v="15"/>
    <s v="BBVA"/>
    <e v="#NAME?"/>
    <x v="118"/>
    <n v="0.2"/>
    <s v="Desarrollador"/>
    <s v="Mainframe"/>
    <m/>
    <e v="#NAME?"/>
    <e v="#NAME?"/>
    <e v="#NAME?"/>
    <m/>
    <m/>
    <m/>
    <m/>
    <m/>
  </r>
  <r>
    <s v="CE68302"/>
    <s v="DIANA GRANADA"/>
    <x v="3"/>
    <x v="15"/>
    <s v="Choucair"/>
    <e v="#NAME?"/>
    <x v="202"/>
    <n v="1"/>
    <s v="QA"/>
    <s v="Distribuido"/>
    <m/>
    <e v="#NAME?"/>
    <e v="#NAME?"/>
    <e v="#NAME?"/>
    <m/>
    <m/>
    <m/>
    <m/>
    <m/>
  </r>
  <r>
    <s v="C811057"/>
    <s v="DIEGO CALLEJAS"/>
    <x v="3"/>
    <x v="15"/>
    <s v="BBVA"/>
    <e v="#NAME?"/>
    <x v="3"/>
    <n v="1"/>
    <s v="Desarrollador"/>
    <s v="Mainframe"/>
    <m/>
    <e v="#NAME?"/>
    <e v="#NAME?"/>
    <e v="#NAME?"/>
    <m/>
    <m/>
    <m/>
    <m/>
    <m/>
  </r>
  <r>
    <s v="CE69094"/>
    <s v="DUVAN ALEJANDRO BERNATE PIAMBA"/>
    <x v="3"/>
    <x v="15"/>
    <s v="KRYPTO"/>
    <e v="#NAME?"/>
    <x v="203"/>
    <n v="0.5"/>
    <s v="QA"/>
    <s v="Distribuido"/>
    <m/>
    <e v="#NAME?"/>
    <e v="#NAME?"/>
    <e v="#NAME?"/>
    <m/>
    <m/>
    <m/>
    <m/>
    <m/>
  </r>
  <r>
    <s v="CE69094"/>
    <s v="DUVAN ALEJANDRO BERNATE PIAMBA"/>
    <x v="3"/>
    <x v="15"/>
    <s v="KRYPTO"/>
    <e v="#NAME?"/>
    <x v="84"/>
    <n v="0.5"/>
    <s v="QA"/>
    <s v="Distribuido"/>
    <m/>
    <e v="#NAME?"/>
    <e v="#NAME?"/>
    <e v="#NAME?"/>
    <m/>
    <m/>
    <m/>
    <m/>
    <m/>
  </r>
  <r>
    <s v="C796415"/>
    <s v="EDGAR REY"/>
    <x v="3"/>
    <x v="15"/>
    <s v="BBVA"/>
    <e v="#NAME?"/>
    <x v="3"/>
    <n v="1"/>
    <s v="Tech Manager/Líder"/>
    <s v="Mainframe"/>
    <m/>
    <e v="#NAME?"/>
    <e v="#NAME?"/>
    <e v="#NAME?"/>
    <m/>
    <m/>
    <m/>
    <m/>
    <m/>
  </r>
  <r>
    <s v="O000448"/>
    <s v="EDUAR BOLAÑOS"/>
    <x v="3"/>
    <x v="15"/>
    <s v="BBVA"/>
    <e v="#NAME?"/>
    <x v="84"/>
    <n v="0.5"/>
    <s v="Desarrollador"/>
    <s v="APX"/>
    <m/>
    <e v="#NAME?"/>
    <e v="#NAME?"/>
    <e v="#NAME?"/>
    <m/>
    <m/>
    <m/>
    <m/>
    <m/>
  </r>
  <r>
    <s v="O000448"/>
    <s v="EDUAR BOLAÑOS"/>
    <x v="3"/>
    <x v="15"/>
    <s v="BBVA"/>
    <e v="#NAME?"/>
    <x v="203"/>
    <n v="0.2"/>
    <s v="Desarrollador"/>
    <s v="APX"/>
    <m/>
    <e v="#NAME?"/>
    <e v="#NAME?"/>
    <e v="#NAME?"/>
    <m/>
    <m/>
    <m/>
    <m/>
    <m/>
  </r>
  <r>
    <s v="O000448"/>
    <s v="EDUAR BOLAÑOS"/>
    <x v="3"/>
    <x v="15"/>
    <s v="BBVA"/>
    <e v="#NAME?"/>
    <x v="86"/>
    <n v="0.3"/>
    <s v="Desarrollador"/>
    <s v="APX"/>
    <m/>
    <e v="#NAME?"/>
    <e v="#NAME?"/>
    <e v="#NAME?"/>
    <m/>
    <m/>
    <m/>
    <m/>
    <m/>
  </r>
  <r>
    <s v="C805991"/>
    <s v="FABIANI LOZANO"/>
    <x v="3"/>
    <x v="15"/>
    <s v="BBVA"/>
    <e v="#NAME?"/>
    <x v="118"/>
    <n v="0.2"/>
    <s v="Desarrollador"/>
    <s v="ASO"/>
    <m/>
    <e v="#NAME?"/>
    <e v="#NAME?"/>
    <e v="#NAME?"/>
    <m/>
    <m/>
    <m/>
    <m/>
    <m/>
  </r>
  <r>
    <s v="C805991"/>
    <s v="FABIANI LOZANO"/>
    <x v="3"/>
    <x v="15"/>
    <s v="BBVA"/>
    <e v="#NAME?"/>
    <x v="86"/>
    <n v="0.3"/>
    <s v="Desarrollador"/>
    <s v="ASO"/>
    <m/>
    <e v="#NAME?"/>
    <e v="#NAME?"/>
    <e v="#NAME?"/>
    <m/>
    <m/>
    <m/>
    <m/>
    <m/>
  </r>
  <r>
    <s v="C805991"/>
    <s v="FABIANI LOZANO"/>
    <x v="3"/>
    <x v="15"/>
    <s v="BBVA"/>
    <e v="#NAME?"/>
    <x v="118"/>
    <n v="0.3"/>
    <s v="Desarrollador"/>
    <s v="ASO"/>
    <m/>
    <e v="#NAME?"/>
    <e v="#NAME?"/>
    <e v="#NAME?"/>
    <m/>
    <m/>
    <m/>
    <m/>
    <m/>
  </r>
  <r>
    <s v="C805991"/>
    <s v="FABIANI LOZANO"/>
    <x v="3"/>
    <x v="15"/>
    <s v="BBVA"/>
    <e v="#NAME?"/>
    <x v="3"/>
    <n v="0.2"/>
    <s v="Desarrollador"/>
    <s v="ASO"/>
    <s v="Se esta revisando la mejora del Validate Products"/>
    <e v="#NAME?"/>
    <e v="#NAME?"/>
    <e v="#NAME?"/>
    <m/>
    <m/>
    <m/>
    <m/>
    <m/>
  </r>
  <r>
    <s v="O001038"/>
    <s v="FLOR ALICIA GALAN"/>
    <x v="3"/>
    <x v="15"/>
    <s v="BBVA"/>
    <e v="#NAME?"/>
    <x v="3"/>
    <n v="1"/>
    <s v="Desarrollador"/>
    <s v="Mainframe"/>
    <m/>
    <e v="#NAME?"/>
    <e v="#NAME?"/>
    <e v="#NAME?"/>
    <m/>
    <m/>
    <m/>
    <m/>
    <m/>
  </r>
  <r>
    <s v="CE50152"/>
    <s v="FRANKLIN MEDINA"/>
    <x v="3"/>
    <x v="15"/>
    <s v="Inetum"/>
    <e v="#NAME?"/>
    <x v="3"/>
    <n v="1"/>
    <s v="QA"/>
    <s v="Mainframe"/>
    <m/>
    <e v="#NAME?"/>
    <e v="#NAME?"/>
    <e v="#NAME?"/>
    <m/>
    <m/>
    <m/>
    <m/>
    <m/>
  </r>
  <r>
    <s v="CE60769"/>
    <s v="HECTOR FERNANDO JARAMILLO"/>
    <x v="3"/>
    <x v="15"/>
    <s v="Inetum"/>
    <e v="#NAME?"/>
    <x v="84"/>
    <n v="1"/>
    <s v="Desarrollador"/>
    <s v="Mainframe"/>
    <m/>
    <e v="#NAME?"/>
    <e v="#NAME?"/>
    <e v="#NAME?"/>
    <m/>
    <m/>
    <m/>
    <m/>
    <m/>
  </r>
  <r>
    <s v="CE52097"/>
    <s v="IVAN DE JESÚS RAMOS OSORIO"/>
    <x v="3"/>
    <x v="15"/>
    <s v="Neoris"/>
    <e v="#NAME?"/>
    <x v="3"/>
    <n v="1"/>
    <s v="Desarrollador"/>
    <s v="Mainframe"/>
    <m/>
    <e v="#NAME?"/>
    <e v="#NAME?"/>
    <e v="#NAME?"/>
    <m/>
    <m/>
    <m/>
    <m/>
    <m/>
  </r>
  <r>
    <s v="CE61638"/>
    <s v="JAVIER CORDOBA"/>
    <x v="3"/>
    <x v="15"/>
    <s v="KRYPTO"/>
    <e v="#NAME?"/>
    <x v="205"/>
    <n v="1"/>
    <s v="QA"/>
    <s v="Mainframe"/>
    <m/>
    <e v="#NAME?"/>
    <e v="#NAME?"/>
    <e v="#NAME?"/>
    <m/>
    <m/>
    <m/>
    <m/>
    <m/>
  </r>
  <r>
    <s v="O001111"/>
    <s v="JENNIFER HAILINTH MORENO"/>
    <x v="3"/>
    <x v="15"/>
    <s v="BBVA"/>
    <e v="#NAME?"/>
    <x v="118"/>
    <n v="1"/>
    <s v="Desarrollador"/>
    <s v="Mainframe"/>
    <m/>
    <e v="#NAME?"/>
    <e v="#NAME?"/>
    <e v="#NAME?"/>
    <m/>
    <m/>
    <m/>
    <m/>
    <m/>
  </r>
  <r>
    <s v="CE66153"/>
    <s v="JHON EDWIN MENDOZA DAZA"/>
    <x v="3"/>
    <x v="15"/>
    <s v="Novatec"/>
    <e v="#NAME?"/>
    <x v="84"/>
    <n v="0.7"/>
    <s v="Desarrollador"/>
    <s v="Cells"/>
    <m/>
    <e v="#NAME?"/>
    <e v="#NAME?"/>
    <e v="#NAME?"/>
    <m/>
    <m/>
    <m/>
    <m/>
    <m/>
  </r>
  <r>
    <s v="CE66153"/>
    <s v="JHON EDWIN MENDOZA DAZA"/>
    <x v="3"/>
    <x v="15"/>
    <s v="Novatec"/>
    <e v="#NAME?"/>
    <x v="86"/>
    <n v="0.3"/>
    <s v="Desarrollador"/>
    <s v="Cells"/>
    <m/>
    <e v="#NAME?"/>
    <e v="#NAME?"/>
    <e v="#NAME?"/>
    <m/>
    <m/>
    <m/>
    <m/>
    <m/>
  </r>
  <r>
    <s v="C811329"/>
    <s v="JHON MARIO FORERO"/>
    <x v="3"/>
    <x v="15"/>
    <s v="BBVA"/>
    <e v="#NAME?"/>
    <x v="3"/>
    <n v="1"/>
    <s v="Desarrollador"/>
    <s v="Mainframe"/>
    <m/>
    <e v="#NAME?"/>
    <e v="#NAME?"/>
    <e v="#NAME?"/>
    <m/>
    <m/>
    <m/>
    <m/>
    <m/>
  </r>
  <r>
    <s v="CE61687"/>
    <s v="JHONATAN STIV CUADROS CARDENAS"/>
    <x v="3"/>
    <x v="15"/>
    <s v="Accenture"/>
    <e v="#NAME?"/>
    <x v="118"/>
    <n v="0.7"/>
    <s v="Desarrollador"/>
    <s v="APX"/>
    <m/>
    <e v="#NAME?"/>
    <e v="#NAME?"/>
    <e v="#NAME?"/>
    <m/>
    <m/>
    <m/>
    <m/>
    <m/>
  </r>
  <r>
    <s v="CE61687"/>
    <s v="JHONATAN STIV CUADROS CARDENAS"/>
    <x v="3"/>
    <x v="15"/>
    <s v="Accenture"/>
    <e v="#NAME?"/>
    <x v="86"/>
    <n v="0.3"/>
    <s v="Desarrollador"/>
    <s v="APX"/>
    <m/>
    <e v="#NAME?"/>
    <e v="#NAME?"/>
    <e v="#NAME?"/>
    <m/>
    <m/>
    <m/>
    <m/>
    <m/>
  </r>
  <r>
    <s v="C808819"/>
    <s v="JOSEPH ALEANDER ROJAS"/>
    <x v="3"/>
    <x v="15"/>
    <s v="BBVA"/>
    <e v="#NAME?"/>
    <x v="203"/>
    <n v="0.4"/>
    <s v="Desarrollador"/>
    <s v="Mainframe"/>
    <m/>
    <e v="#NAME?"/>
    <e v="#NAME?"/>
    <e v="#NAME?"/>
    <m/>
    <m/>
    <m/>
    <m/>
    <m/>
  </r>
  <r>
    <s v="C808819"/>
    <s v="JOSEPH ALEANDER ROJAS"/>
    <x v="3"/>
    <x v="15"/>
    <s v="BBVA"/>
    <e v="#NAME?"/>
    <x v="84"/>
    <n v="0.6"/>
    <s v="Desarrollador"/>
    <s v="Mainframe"/>
    <m/>
    <e v="#NAME?"/>
    <e v="#NAME?"/>
    <e v="#NAME?"/>
    <m/>
    <m/>
    <m/>
    <m/>
    <m/>
  </r>
  <r>
    <s v="CE64753"/>
    <s v="JUAN CARLOS PULIDO"/>
    <x v="3"/>
    <x v="15"/>
    <s v="KRYPTO"/>
    <e v="#NAME?"/>
    <x v="3"/>
    <n v="1"/>
    <s v="QA"/>
    <s v="Mainframe"/>
    <m/>
    <e v="#NAME?"/>
    <e v="#NAME?"/>
    <e v="#NAME?"/>
    <m/>
    <m/>
    <m/>
    <m/>
    <m/>
  </r>
  <r>
    <s v="C804405"/>
    <s v="JUAN SALAZAR"/>
    <x v="3"/>
    <x v="15"/>
    <s v="BBVA"/>
    <e v="#NAME?"/>
    <x v="3"/>
    <n v="0.3"/>
    <s v="Desarrollador"/>
    <s v="Mainframe"/>
    <m/>
    <e v="#NAME?"/>
    <e v="#NAME?"/>
    <e v="#NAME?"/>
    <m/>
    <m/>
    <m/>
    <m/>
    <m/>
  </r>
  <r>
    <s v="C804405"/>
    <s v="JUAN SALAZAR"/>
    <x v="3"/>
    <x v="15"/>
    <s v="BBVA"/>
    <e v="#NAME?"/>
    <x v="209"/>
    <n v="0.7"/>
    <s v="Desarrollador"/>
    <s v="Mainframe"/>
    <m/>
    <e v="#NAME?"/>
    <e v="#NAME?"/>
    <e v="#NAME?"/>
    <m/>
    <m/>
    <m/>
    <m/>
    <m/>
  </r>
  <r>
    <s v="C809507"/>
    <s v="JULIE PAULETTE GARAVITO"/>
    <x v="3"/>
    <x v="15"/>
    <s v="BBVA"/>
    <e v="#NAME?"/>
    <x v="205"/>
    <n v="1"/>
    <s v="Desarrollador"/>
    <s v="Mainframe"/>
    <m/>
    <e v="#NAME?"/>
    <e v="#NAME?"/>
    <e v="#NAME?"/>
    <m/>
    <m/>
    <m/>
    <m/>
    <m/>
  </r>
  <r>
    <s v="C808802"/>
    <s v="KAREN MARGARITA ANGULO"/>
    <x v="3"/>
    <x v="15"/>
    <s v="BBVA"/>
    <e v="#NAME?"/>
    <x v="210"/>
    <n v="0.8"/>
    <s v="Desarrollador"/>
    <s v="Mainframe"/>
    <m/>
    <e v="#NAME?"/>
    <e v="#NAME?"/>
    <e v="#NAME?"/>
    <m/>
    <m/>
    <m/>
    <m/>
    <m/>
  </r>
  <r>
    <s v="C808802"/>
    <s v="KAREN MARGARITA ANGULO"/>
    <x v="3"/>
    <x v="15"/>
    <s v="BBVA"/>
    <e v="#NAME?"/>
    <x v="3"/>
    <n v="0.2"/>
    <s v="Desarrollador"/>
    <s v="Mainframe"/>
    <m/>
    <e v="#NAME?"/>
    <e v="#NAME?"/>
    <e v="#NAME?"/>
    <m/>
    <m/>
    <m/>
    <m/>
    <m/>
  </r>
  <r>
    <s v="C809507"/>
    <s v="LEYDI CAMARGO"/>
    <x v="3"/>
    <x v="15"/>
    <s v="BBVA"/>
    <e v="#NAME?"/>
    <x v="3"/>
    <n v="0.5"/>
    <s v="Desarrollador"/>
    <s v="Distribuido"/>
    <m/>
    <e v="#NAME?"/>
    <e v="#NAME?"/>
    <e v="#NAME?"/>
    <m/>
    <m/>
    <m/>
    <m/>
    <m/>
  </r>
  <r>
    <s v="C809507"/>
    <s v="LEYDI CAMARGO"/>
    <x v="3"/>
    <x v="15"/>
    <s v="BBVA"/>
    <e v="#NAME?"/>
    <x v="207"/>
    <n v="0.5"/>
    <s v="Desarrollador"/>
    <s v="Distribuido"/>
    <m/>
    <e v="#NAME?"/>
    <e v="#NAME?"/>
    <e v="#NAME?"/>
    <m/>
    <m/>
    <m/>
    <m/>
    <m/>
  </r>
  <r>
    <s v="T001910"/>
    <s v="LIDA VIVIANA PINEDA"/>
    <x v="3"/>
    <x v="15"/>
    <s v="Neoris"/>
    <e v="#NAME?"/>
    <x v="3"/>
    <n v="1"/>
    <s v="Desarrollador"/>
    <s v="Mainframe"/>
    <m/>
    <e v="#NAME?"/>
    <e v="#NAME?"/>
    <e v="#NAME?"/>
    <m/>
    <m/>
    <m/>
    <m/>
    <m/>
  </r>
  <r>
    <s v="C808648"/>
    <s v="LUIS JAVIER SANDON"/>
    <x v="3"/>
    <x v="15"/>
    <s v="BBVA"/>
    <e v="#NAME?"/>
    <x v="208"/>
    <n v="1"/>
    <s v="Desarrollador"/>
    <s v="Mainframe"/>
    <m/>
    <e v="#NAME?"/>
    <e v="#NAME?"/>
    <e v="#NAME?"/>
    <m/>
    <m/>
    <m/>
    <m/>
    <m/>
  </r>
  <r>
    <s v="C343564"/>
    <s v="LUZ ESTELLA ORTEGA"/>
    <x v="3"/>
    <x v="15"/>
    <s v="BBVA"/>
    <e v="#NAME?"/>
    <x v="202"/>
    <n v="0.1"/>
    <s v="Desarrollador"/>
    <s v="Mainframe"/>
    <m/>
    <e v="#NAME?"/>
    <e v="#NAME?"/>
    <e v="#NAME?"/>
    <m/>
    <m/>
    <m/>
    <m/>
    <m/>
  </r>
  <r>
    <s v="C343564"/>
    <s v="LUZ ESTELLA ORTEGA"/>
    <x v="3"/>
    <x v="15"/>
    <s v="BBVA"/>
    <e v="#NAME?"/>
    <x v="202"/>
    <n v="0.1"/>
    <s v="Desarrollador"/>
    <s v="Mainframe"/>
    <m/>
    <e v="#NAME?"/>
    <e v="#NAME?"/>
    <e v="#NAME?"/>
    <m/>
    <m/>
    <m/>
    <m/>
    <m/>
  </r>
  <r>
    <s v="C343564"/>
    <s v="LUZ ESTELLA ORTEGA"/>
    <x v="3"/>
    <x v="15"/>
    <s v="BBVA"/>
    <e v="#NAME?"/>
    <x v="207"/>
    <n v="0.8"/>
    <s v="Desarrollador"/>
    <s v="Mainframe"/>
    <m/>
    <e v="#NAME?"/>
    <e v="#NAME?"/>
    <e v="#NAME?"/>
    <m/>
    <m/>
    <m/>
    <m/>
    <m/>
  </r>
  <r>
    <s v="C805926"/>
    <s v="MAICOL STIVEN PEREZ"/>
    <x v="3"/>
    <x v="15"/>
    <s v="BBVA"/>
    <e v="#NAME?"/>
    <x v="84"/>
    <n v="1"/>
    <s v="Desarrollador"/>
    <s v="ASO"/>
    <m/>
    <e v="#NAME?"/>
    <e v="#NAME?"/>
    <e v="#NAME?"/>
    <m/>
    <m/>
    <m/>
    <m/>
    <m/>
  </r>
  <r>
    <s v="O000197"/>
    <s v="MARIA ESTELA SUAREZ"/>
    <x v="3"/>
    <x v="15"/>
    <s v="BBVA"/>
    <e v="#NAME?"/>
    <x v="203"/>
    <n v="0.1"/>
    <s v="Tech Manager/Líder"/>
    <s v="Otras Tec."/>
    <m/>
    <e v="#NAME?"/>
    <e v="#NAME?"/>
    <e v="#NAME?"/>
    <m/>
    <m/>
    <m/>
    <m/>
    <m/>
  </r>
  <r>
    <s v="O000197"/>
    <s v="MARIA ESTELA SUAREZ"/>
    <x v="3"/>
    <x v="15"/>
    <s v="BBVA"/>
    <e v="#NAME?"/>
    <x v="84"/>
    <n v="0.3"/>
    <s v="Tech Manager/Líder"/>
    <s v="Otras Tec."/>
    <m/>
    <e v="#NAME?"/>
    <e v="#NAME?"/>
    <e v="#NAME?"/>
    <m/>
    <m/>
    <m/>
    <m/>
    <m/>
  </r>
  <r>
    <s v="O000197"/>
    <s v="MARIA ESTELA SUAREZ"/>
    <x v="3"/>
    <x v="15"/>
    <s v="BBVA"/>
    <e v="#NAME?"/>
    <x v="86"/>
    <n v="0.1"/>
    <s v="Tech Manager/Líder"/>
    <s v="Otras Tec."/>
    <m/>
    <e v="#NAME?"/>
    <e v="#NAME?"/>
    <e v="#NAME?"/>
    <m/>
    <m/>
    <m/>
    <m/>
    <m/>
  </r>
  <r>
    <s v="O000197"/>
    <s v="MARIA ESTELA SUAREZ"/>
    <x v="3"/>
    <x v="15"/>
    <s v="BBVA"/>
    <e v="#NAME?"/>
    <x v="211"/>
    <n v="0.05"/>
    <s v="Tech Manager/Líder"/>
    <s v="Otras Tec."/>
    <m/>
    <e v="#NAME?"/>
    <e v="#NAME?"/>
    <e v="#NAME?"/>
    <m/>
    <m/>
    <m/>
    <m/>
    <m/>
  </r>
  <r>
    <s v="O000197"/>
    <s v="MARIA ESTELA SUAREZ"/>
    <x v="3"/>
    <x v="15"/>
    <s v="BBVA"/>
    <e v="#NAME?"/>
    <x v="204"/>
    <n v="0.05"/>
    <s v="Tech Manager/Líder"/>
    <s v="Otras Tec."/>
    <m/>
    <e v="#NAME?"/>
    <e v="#NAME?"/>
    <e v="#NAME?"/>
    <m/>
    <m/>
    <m/>
    <m/>
    <m/>
  </r>
  <r>
    <s v="O000197"/>
    <s v="MARIA ESTELA SUAREZ"/>
    <x v="3"/>
    <x v="15"/>
    <s v="BBVA"/>
    <e v="#NAME?"/>
    <x v="118"/>
    <n v="0.3"/>
    <s v="Tech Manager/Líder"/>
    <s v="Otras Tec."/>
    <m/>
    <e v="#NAME?"/>
    <e v="#NAME?"/>
    <e v="#NAME?"/>
    <m/>
    <m/>
    <m/>
    <m/>
    <m/>
  </r>
  <r>
    <s v="O000197"/>
    <s v="MARIA ESTELA SUAREZ"/>
    <x v="3"/>
    <x v="15"/>
    <s v="BBVA"/>
    <e v="#NAME?"/>
    <x v="3"/>
    <n v="0.1"/>
    <s v="Tech Manager/Líder"/>
    <s v="Otras Tec."/>
    <m/>
    <e v="#NAME?"/>
    <e v="#NAME?"/>
    <e v="#NAME?"/>
    <m/>
    <m/>
    <m/>
    <m/>
    <m/>
  </r>
  <r>
    <s v="O000158"/>
    <s v="MAURICIO RAMIREZ"/>
    <x v="3"/>
    <x v="15"/>
    <s v="BBVA"/>
    <e v="#NAME?"/>
    <x v="3"/>
    <n v="1"/>
    <s v="Desarrollador"/>
    <s v="Mainframe"/>
    <m/>
    <e v="#NAME?"/>
    <e v="#NAME?"/>
    <e v="#NAME?"/>
    <m/>
    <m/>
    <m/>
    <m/>
    <m/>
  </r>
  <r>
    <s v="CE47926"/>
    <s v="MELANIE QUIROZ"/>
    <x v="3"/>
    <x v="15"/>
    <s v="Neoris"/>
    <e v="#NAME?"/>
    <x v="3"/>
    <n v="1"/>
    <s v="Desarrollador"/>
    <s v="Mainframe"/>
    <m/>
    <e v="#NAME?"/>
    <e v="#NAME?"/>
    <e v="#NAME?"/>
    <m/>
    <m/>
    <m/>
    <m/>
    <m/>
  </r>
  <r>
    <s v="C811205"/>
    <s v="MIRYANI VARGAS"/>
    <x v="3"/>
    <x v="15"/>
    <s v="BBVA"/>
    <e v="#NAME?"/>
    <x v="3"/>
    <n v="1"/>
    <s v="Desarrollador"/>
    <s v="Mainframe"/>
    <m/>
    <e v="#NAME?"/>
    <e v="#NAME?"/>
    <e v="#NAME?"/>
    <m/>
    <m/>
    <m/>
    <m/>
    <m/>
  </r>
  <r>
    <s v="O002661"/>
    <s v="NANCY CATHERINE HERNANDEZ"/>
    <x v="3"/>
    <x v="15"/>
    <s v="BBVA"/>
    <e v="#NAME?"/>
    <x v="202"/>
    <n v="0.25"/>
    <s v="QA"/>
    <s v="Distribuido"/>
    <m/>
    <e v="#NAME?"/>
    <e v="#NAME?"/>
    <e v="#NAME?"/>
    <m/>
    <m/>
    <m/>
    <m/>
    <m/>
  </r>
  <r>
    <s v="O002661"/>
    <s v="NANCY CATHERINE HERNANDEZ"/>
    <x v="3"/>
    <x v="15"/>
    <s v="BBVA"/>
    <e v="#NAME?"/>
    <x v="118"/>
    <n v="0.25"/>
    <s v="QA"/>
    <s v="Distribuido"/>
    <m/>
    <e v="#NAME?"/>
    <e v="#NAME?"/>
    <e v="#NAME?"/>
    <m/>
    <m/>
    <m/>
    <m/>
    <m/>
  </r>
  <r>
    <s v="O002661"/>
    <s v="NANCY CATHERINE HERNANDEZ"/>
    <x v="3"/>
    <x v="15"/>
    <s v="BBVA"/>
    <e v="#NAME?"/>
    <x v="203"/>
    <n v="0.25"/>
    <s v="QA"/>
    <s v="Distribuido"/>
    <m/>
    <e v="#NAME?"/>
    <e v="#NAME?"/>
    <e v="#NAME?"/>
    <m/>
    <m/>
    <m/>
    <m/>
    <m/>
  </r>
  <r>
    <s v="O002661"/>
    <s v="NANCY CATHERINE HERNANDEZ"/>
    <x v="3"/>
    <x v="15"/>
    <s v="BBVA"/>
    <e v="#NAME?"/>
    <x v="119"/>
    <n v="0.25"/>
    <s v="QA"/>
    <s v="Distribuido"/>
    <m/>
    <e v="#NAME?"/>
    <e v="#NAME?"/>
    <e v="#NAME?"/>
    <m/>
    <m/>
    <m/>
    <m/>
    <m/>
  </r>
  <r>
    <s v="CE56109"/>
    <s v="OMAR FERNANDO ORTEGÓN VARGAS"/>
    <x v="3"/>
    <x v="15"/>
    <s v="Neoris"/>
    <e v="#NAME?"/>
    <x v="3"/>
    <n v="1"/>
    <s v="Desarrollador"/>
    <s v="Mainframe"/>
    <m/>
    <e v="#NAME?"/>
    <e v="#NAME?"/>
    <e v="#NAME?"/>
    <m/>
    <m/>
    <m/>
    <m/>
    <m/>
  </r>
  <r>
    <s v="T000361"/>
    <s v="RODRIGO BARBIERI PEREZ"/>
    <x v="3"/>
    <x v="15"/>
    <s v="Globant"/>
    <e v="#NAME?"/>
    <x v="118"/>
    <n v="0.7"/>
    <s v="Desarrollador"/>
    <s v="Cells"/>
    <m/>
    <e v="#NAME?"/>
    <e v="#NAME?"/>
    <e v="#NAME?"/>
    <m/>
    <m/>
    <m/>
    <m/>
    <m/>
  </r>
  <r>
    <s v="T000361"/>
    <s v="RODRIGO BARBIERI PEREZ"/>
    <x v="3"/>
    <x v="15"/>
    <s v="Globant"/>
    <e v="#NAME?"/>
    <x v="86"/>
    <n v="0.3"/>
    <s v="Desarrollador"/>
    <s v="Cells"/>
    <m/>
    <e v="#NAME?"/>
    <e v="#NAME?"/>
    <e v="#NAME?"/>
    <m/>
    <m/>
    <m/>
    <m/>
    <m/>
  </r>
  <r>
    <s v="CI35128"/>
    <s v="Cristian Camilo Rincon"/>
    <x v="1"/>
    <x v="18"/>
    <s v="BBVA Fiduciaria"/>
    <e v="#NAME?"/>
    <x v="3"/>
    <n v="0.5"/>
    <s v="Tech Manager/Líder"/>
    <m/>
    <s v="Interno"/>
    <e v="#NAME?"/>
    <e v="#NAME?"/>
    <e v="#NAME?"/>
    <m/>
    <m/>
    <m/>
    <m/>
    <m/>
  </r>
  <r>
    <s v="CI35442"/>
    <s v="Juan Camilo Ladino Guezguan"/>
    <x v="1"/>
    <x v="18"/>
    <s v="BBVA Fiduciaria"/>
    <e v="#NAME?"/>
    <x v="3"/>
    <n v="0.4"/>
    <s v="Desarrollador"/>
    <m/>
    <s v="Interno"/>
    <e v="#NAME?"/>
    <e v="#NAME?"/>
    <e v="#NAME?"/>
    <m/>
    <m/>
    <m/>
    <m/>
    <m/>
  </r>
  <r>
    <s v="O000150"/>
    <s v="Oscar Fernando Real Bautista"/>
    <x v="1"/>
    <x v="18"/>
    <s v="BBVA Fiduciaria"/>
    <e v="#NAME?"/>
    <x v="3"/>
    <n v="0.2"/>
    <s v="Tech Manager/Líder"/>
    <m/>
    <s v="Interno"/>
    <e v="#NAME?"/>
    <e v="#NAME?"/>
    <e v="#NAME?"/>
    <m/>
    <m/>
    <m/>
    <m/>
    <m/>
  </r>
  <r>
    <s v="CI35100"/>
    <s v="Alexander Lopez Fonseca"/>
    <x v="1"/>
    <x v="18"/>
    <s v="BBVA Fiduciaria"/>
    <e v="#NAME?"/>
    <x v="3"/>
    <n v="0.5"/>
    <s v="Tech Manager/Líder"/>
    <m/>
    <s v="Interno"/>
    <e v="#NAME?"/>
    <e v="#NAME?"/>
    <e v="#NAME?"/>
    <m/>
    <m/>
    <m/>
    <m/>
    <m/>
  </r>
  <r>
    <s v="CE67865"/>
    <s v="Alejandra Barrios"/>
    <x v="5"/>
    <x v="21"/>
    <s v="Accenture"/>
    <e v="#NAME?"/>
    <x v="160"/>
    <n v="1"/>
    <s v="QA"/>
    <s v="Otras Tec."/>
    <m/>
    <e v="#NAME?"/>
    <e v="#NAME?"/>
    <e v="#NAME?"/>
    <m/>
    <m/>
    <m/>
    <m/>
    <m/>
  </r>
  <r>
    <s v="CE71119"/>
    <s v="Alvaro Alvarez"/>
    <x v="5"/>
    <x v="21"/>
    <s v="Accenture"/>
    <e v="#NAME?"/>
    <x v="160"/>
    <n v="1"/>
    <s v="QA"/>
    <s v="Otras Tec."/>
    <m/>
    <e v="#NAME?"/>
    <e v="#NAME?"/>
    <e v="#NAME?"/>
    <m/>
    <m/>
    <m/>
    <m/>
    <m/>
  </r>
  <r>
    <s v="CE66576"/>
    <s v="Anderson Fabian Camelo"/>
    <x v="5"/>
    <x v="21"/>
    <s v="GGI / CMC"/>
    <e v="#NAME?"/>
    <x v="160"/>
    <n v="1"/>
    <s v="QA"/>
    <s v="Otras Tec."/>
    <m/>
    <e v="#NAME?"/>
    <e v="#NAME?"/>
    <e v="#NAME?"/>
    <m/>
    <m/>
    <m/>
    <m/>
    <m/>
  </r>
  <r>
    <s v="CE67220"/>
    <s v="Carlos Arturo Rodriguez Castañeda"/>
    <x v="5"/>
    <x v="21"/>
    <s v="Neoris"/>
    <e v="#NAME?"/>
    <x v="193"/>
    <n v="1"/>
    <s v="Desarrollador"/>
    <s v="ASO"/>
    <m/>
    <e v="#NAME?"/>
    <e v="#NAME?"/>
    <e v="#NAME?"/>
    <m/>
    <m/>
    <m/>
    <m/>
    <m/>
  </r>
  <r>
    <s v="CE70202"/>
    <s v="Cesar Augusto Valbuena"/>
    <x v="5"/>
    <x v="21"/>
    <s v="Neoris"/>
    <e v="#NAME?"/>
    <x v="160"/>
    <n v="1"/>
    <s v="QA"/>
    <s v="Otras Tec."/>
    <m/>
    <e v="#NAME?"/>
    <e v="#NAME?"/>
    <e v="#NAME?"/>
    <m/>
    <m/>
    <m/>
    <m/>
    <m/>
  </r>
  <r>
    <s v="CE67309"/>
    <s v="Cristian Camilo Duarte"/>
    <x v="5"/>
    <x v="21"/>
    <s v="GGI / CMC"/>
    <e v="#NAME?"/>
    <x v="193"/>
    <n v="0.5"/>
    <s v="QA"/>
    <s v="Otras Tec."/>
    <m/>
    <e v="#NAME?"/>
    <e v="#NAME?"/>
    <e v="#NAME?"/>
    <m/>
    <m/>
    <m/>
    <m/>
    <m/>
  </r>
  <r>
    <s v="CE67309"/>
    <s v="Cristian Camilo Duarte"/>
    <x v="5"/>
    <x v="21"/>
    <s v="GGI / CMC"/>
    <e v="#NAME?"/>
    <x v="160"/>
    <n v="0.5"/>
    <s v="QA"/>
    <s v="Otras Tec."/>
    <m/>
    <e v="#NAME?"/>
    <e v="#NAME?"/>
    <e v="#NAME?"/>
    <m/>
    <m/>
    <m/>
    <m/>
    <m/>
  </r>
  <r>
    <s v="CE69445"/>
    <s v="Cristian Fernando Hernandez Angarita"/>
    <x v="5"/>
    <x v="21"/>
    <s v="Neoris"/>
    <e v="#NAME?"/>
    <x v="193"/>
    <n v="1"/>
    <s v="Desarrollador"/>
    <s v="Mainframe"/>
    <m/>
    <e v="#NAME?"/>
    <e v="#NAME?"/>
    <e v="#NAME?"/>
    <m/>
    <m/>
    <m/>
    <m/>
    <m/>
  </r>
  <r>
    <s v="CE69821"/>
    <s v="David Garrido"/>
    <x v="5"/>
    <x v="21"/>
    <s v="Globant"/>
    <e v="#NAME?"/>
    <x v="160"/>
    <n v="1"/>
    <s v="Desarrollador"/>
    <s v="APX"/>
    <m/>
    <e v="#NAME?"/>
    <e v="#NAME?"/>
    <e v="#NAME?"/>
    <m/>
    <m/>
    <m/>
    <m/>
    <m/>
  </r>
  <r>
    <s v="CE70245"/>
    <s v="Diana Duarte"/>
    <x v="5"/>
    <x v="21"/>
    <s v="Accenture"/>
    <e v="#NAME?"/>
    <x v="160"/>
    <n v="1"/>
    <s v="QA"/>
    <s v="Otras Tec."/>
    <m/>
    <e v="#NAME?"/>
    <e v="#NAME?"/>
    <e v="#NAME?"/>
    <m/>
    <m/>
    <m/>
    <m/>
    <m/>
  </r>
  <r>
    <s v="T001912"/>
    <s v="Diego Alejandro Parra Nuñez"/>
    <x v="5"/>
    <x v="21"/>
    <s v="Neoris"/>
    <e v="#NAME?"/>
    <x v="160"/>
    <n v="1"/>
    <s v="QA"/>
    <s v="Otras Tec."/>
    <m/>
    <e v="#NAME?"/>
    <e v="#NAME?"/>
    <e v="#NAME?"/>
    <m/>
    <m/>
    <m/>
    <m/>
    <m/>
  </r>
  <r>
    <s v="CE71116"/>
    <s v="Dina Luz Perez"/>
    <x v="5"/>
    <x v="21"/>
    <s v="Accenture"/>
    <e v="#NAME?"/>
    <x v="160"/>
    <n v="1"/>
    <s v="QA"/>
    <s v="Otras Tec."/>
    <m/>
    <e v="#NAME?"/>
    <e v="#NAME?"/>
    <e v="#NAME?"/>
    <m/>
    <m/>
    <m/>
    <m/>
    <m/>
  </r>
  <r>
    <s v="CE67846"/>
    <s v="Edson Suarez"/>
    <x v="5"/>
    <x v="21"/>
    <s v="Accenture"/>
    <e v="#NAME?"/>
    <x v="160"/>
    <n v="1"/>
    <s v="QA"/>
    <s v="Otras Tec."/>
    <m/>
    <e v="#NAME?"/>
    <e v="#NAME?"/>
    <e v="#NAME?"/>
    <m/>
    <m/>
    <m/>
    <m/>
    <m/>
  </r>
  <r>
    <s v="CE71118"/>
    <s v="Erick Bermejo"/>
    <x v="5"/>
    <x v="21"/>
    <s v="Accenture"/>
    <e v="#NAME?"/>
    <x v="160"/>
    <n v="1"/>
    <s v="QA"/>
    <s v="Otras Tec."/>
    <m/>
    <e v="#NAME?"/>
    <e v="#NAME?"/>
    <e v="#NAME?"/>
    <m/>
    <m/>
    <m/>
    <m/>
    <m/>
  </r>
  <r>
    <s v="XEA0692"/>
    <s v="Esperanza Ortega"/>
    <x v="5"/>
    <x v="21"/>
    <s v="Accenture"/>
    <e v="#NAME?"/>
    <x v="160"/>
    <n v="1"/>
    <s v="Desarrollador"/>
    <s v="Cells"/>
    <m/>
    <e v="#NAME?"/>
    <e v="#NAME?"/>
    <e v="#NAME?"/>
    <m/>
    <m/>
    <m/>
    <m/>
    <m/>
  </r>
  <r>
    <s v="CE67849"/>
    <s v="Henry Cortes"/>
    <x v="5"/>
    <x v="21"/>
    <s v="Accenture"/>
    <e v="#NAME?"/>
    <x v="160"/>
    <n v="1"/>
    <s v="Desarrollador"/>
    <s v="Cells"/>
    <m/>
    <e v="#NAME?"/>
    <e v="#NAME?"/>
    <e v="#NAME?"/>
    <m/>
    <m/>
    <m/>
    <m/>
    <m/>
  </r>
  <r>
    <s v="CE69249"/>
    <s v="Hernan Gabriel Fernandez"/>
    <x v="5"/>
    <x v="21"/>
    <s v="Neoris"/>
    <e v="#NAME?"/>
    <x v="193"/>
    <n v="1"/>
    <s v="Desarrollador"/>
    <s v="ASO"/>
    <m/>
    <e v="#NAME?"/>
    <e v="#NAME?"/>
    <e v="#NAME?"/>
    <m/>
    <m/>
    <m/>
    <m/>
    <m/>
  </r>
  <r>
    <s v="CE56568"/>
    <s v="Jesus Wellman"/>
    <x v="5"/>
    <x v="21"/>
    <s v="Novatec"/>
    <e v="#NAME?"/>
    <x v="193"/>
    <n v="1"/>
    <s v="Desarrollador"/>
    <s v="Mainframe"/>
    <m/>
    <e v="#NAME?"/>
    <e v="#NAME?"/>
    <e v="#NAME?"/>
    <m/>
    <m/>
    <m/>
    <m/>
    <m/>
  </r>
  <r>
    <s v="CE56092"/>
    <s v="Johan Sebastian Forero"/>
    <x v="5"/>
    <x v="21"/>
    <s v="GGI / CMC"/>
    <e v="#NAME?"/>
    <x v="160"/>
    <n v="1"/>
    <s v="QA"/>
    <s v="Otras Tec."/>
    <m/>
    <e v="#NAME?"/>
    <e v="#NAME?"/>
    <e v="#NAME?"/>
    <m/>
    <m/>
    <m/>
    <m/>
    <m/>
  </r>
  <r>
    <s v="CE53474"/>
    <s v="Josue David Fernandez Reyes"/>
    <x v="5"/>
    <x v="21"/>
    <s v="Neoris"/>
    <e v="#NAME?"/>
    <x v="160"/>
    <n v="0.75"/>
    <s v="Desarrollador"/>
    <s v="Mainframe"/>
    <m/>
    <e v="#NAME?"/>
    <e v="#NAME?"/>
    <e v="#NAME?"/>
    <m/>
    <m/>
    <m/>
    <m/>
    <m/>
  </r>
  <r>
    <s v="CE53474"/>
    <s v="Josue David Fernandez Reyes"/>
    <x v="5"/>
    <x v="21"/>
    <s v="Neoris"/>
    <e v="#NAME?"/>
    <x v="193"/>
    <n v="0.25"/>
    <s v="Desarrollador"/>
    <s v="Mainframe"/>
    <m/>
    <e v="#NAME?"/>
    <e v="#NAME?"/>
    <e v="#NAME?"/>
    <m/>
    <m/>
    <m/>
    <m/>
    <m/>
  </r>
  <r>
    <s v="CE65053"/>
    <s v="Juan David Rodriguez Ariza"/>
    <x v="5"/>
    <x v="21"/>
    <s v="Globant"/>
    <e v="#NAME?"/>
    <x v="160"/>
    <n v="1"/>
    <s v="Desarrollador"/>
    <s v="Cells"/>
    <m/>
    <e v="#NAME?"/>
    <e v="#NAME?"/>
    <e v="#NAME?"/>
    <m/>
    <m/>
    <m/>
    <m/>
    <m/>
  </r>
  <r>
    <s v="CE59993"/>
    <s v="Juan David Velasquez"/>
    <x v="5"/>
    <x v="21"/>
    <s v="Inetum"/>
    <e v="#NAME?"/>
    <x v="160"/>
    <n v="1"/>
    <s v="Desarrollador"/>
    <s v="Cells"/>
    <m/>
    <e v="#NAME?"/>
    <e v="#NAME?"/>
    <e v="#NAME?"/>
    <m/>
    <m/>
    <m/>
    <m/>
    <m/>
  </r>
  <r>
    <s v="CE47925"/>
    <s v="Karen Juliete Mahecha Rey"/>
    <x v="5"/>
    <x v="21"/>
    <s v="Neoris"/>
    <e v="#NAME?"/>
    <x v="160"/>
    <n v="0.75"/>
    <s v="Desarrollador"/>
    <s v="Mainframe"/>
    <m/>
    <e v="#NAME?"/>
    <e v="#NAME?"/>
    <e v="#NAME?"/>
    <m/>
    <m/>
    <m/>
    <m/>
    <m/>
  </r>
  <r>
    <s v="CE47925"/>
    <s v="Karen Juliete Mahecha Rey"/>
    <x v="5"/>
    <x v="21"/>
    <s v="Neoris"/>
    <e v="#NAME?"/>
    <x v="193"/>
    <n v="0.25"/>
    <s v="Desarrollador"/>
    <s v="Mainframe"/>
    <m/>
    <e v="#NAME?"/>
    <e v="#NAME?"/>
    <e v="#NAME?"/>
    <m/>
    <m/>
    <m/>
    <m/>
    <m/>
  </r>
  <r>
    <s v="CE70650"/>
    <s v="Karol Melissa Gómez Colmenares"/>
    <x v="5"/>
    <x v="21"/>
    <s v="Neoris"/>
    <e v="#NAME?"/>
    <x v="160"/>
    <n v="1"/>
    <s v="QA"/>
    <s v="Otras Tec."/>
    <m/>
    <e v="#NAME?"/>
    <e v="#NAME?"/>
    <e v="#NAME?"/>
    <m/>
    <m/>
    <m/>
    <m/>
    <m/>
  </r>
  <r>
    <s v="CE63473"/>
    <s v="Katherine Santana"/>
    <x v="5"/>
    <x v="21"/>
    <s v="SII"/>
    <e v="#NAME?"/>
    <x v="160"/>
    <n v="1"/>
    <s v="QA"/>
    <s v="Otras Tec."/>
    <m/>
    <e v="#NAME?"/>
    <e v="#NAME?"/>
    <e v="#NAME?"/>
    <m/>
    <m/>
    <m/>
    <m/>
    <m/>
  </r>
  <r>
    <s v="T000595"/>
    <s v="Laura Milena Duarte"/>
    <x v="5"/>
    <x v="21"/>
    <s v="Novatec"/>
    <e v="#NAME?"/>
    <x v="193"/>
    <n v="1"/>
    <s v="Desarrollador"/>
    <s v="Mainframe"/>
    <m/>
    <e v="#NAME?"/>
    <e v="#NAME?"/>
    <e v="#NAME?"/>
    <m/>
    <m/>
    <m/>
    <m/>
    <m/>
  </r>
  <r>
    <s v="CE67221"/>
    <s v="LAURA STEFANY ROMERO TRUJILLO"/>
    <x v="5"/>
    <x v="21"/>
    <s v="Neoris"/>
    <e v="#NAME?"/>
    <x v="160"/>
    <n v="1"/>
    <s v="Desarrollador"/>
    <s v="Cells"/>
    <m/>
    <e v="#NAME?"/>
    <e v="#NAME?"/>
    <e v="#NAME?"/>
    <m/>
    <m/>
    <m/>
    <m/>
    <m/>
  </r>
  <r>
    <s v="CE64988"/>
    <s v="Levi Becerra"/>
    <x v="5"/>
    <x v="21"/>
    <s v="Accenture"/>
    <e v="#NAME?"/>
    <x v="160"/>
    <n v="0.5"/>
    <s v="Desarrollador"/>
    <s v="Mainframe"/>
    <m/>
    <e v="#NAME?"/>
    <e v="#NAME?"/>
    <e v="#NAME?"/>
    <m/>
    <m/>
    <m/>
    <m/>
    <m/>
  </r>
  <r>
    <s v="T007048"/>
    <s v="Mario Perilla"/>
    <x v="5"/>
    <x v="21"/>
    <s v="Accenture"/>
    <e v="#NAME?"/>
    <x v="160"/>
    <n v="1"/>
    <s v="QA"/>
    <s v="Otras Tec."/>
    <m/>
    <e v="#NAME?"/>
    <e v="#NAME?"/>
    <e v="#NAME?"/>
    <m/>
    <m/>
    <m/>
    <m/>
    <m/>
  </r>
  <r>
    <s v="CE66364"/>
    <s v="Martin Theiler"/>
    <x v="5"/>
    <x v="21"/>
    <s v="Globant"/>
    <e v="#NAME?"/>
    <x v="160"/>
    <n v="1"/>
    <s v="Desarrollador"/>
    <s v="ASO"/>
    <m/>
    <e v="#NAME?"/>
    <e v="#NAME?"/>
    <e v="#NAME?"/>
    <m/>
    <m/>
    <m/>
    <m/>
    <m/>
  </r>
  <r>
    <s v="CE55340"/>
    <s v="Miller Gomez"/>
    <x v="5"/>
    <x v="21"/>
    <s v="SII"/>
    <e v="#NAME?"/>
    <x v="160"/>
    <n v="0.5"/>
    <s v="Desarrollador"/>
    <s v="Mainframe"/>
    <m/>
    <e v="#NAME?"/>
    <e v="#NAME?"/>
    <e v="#NAME?"/>
    <m/>
    <m/>
    <m/>
    <m/>
    <m/>
  </r>
  <r>
    <s v="CE55340"/>
    <s v="Miller Gomez"/>
    <x v="5"/>
    <x v="21"/>
    <s v="SII"/>
    <e v="#NAME?"/>
    <x v="193"/>
    <n v="0.5"/>
    <s v="Desarrollador"/>
    <s v="Mainframe"/>
    <m/>
    <e v="#NAME?"/>
    <e v="#NAME?"/>
    <e v="#NAME?"/>
    <m/>
    <m/>
    <m/>
    <m/>
    <m/>
  </r>
  <r>
    <s v="CE70907"/>
    <s v="Nicolas Bedoya Montealegre"/>
    <x v="5"/>
    <x v="21"/>
    <s v="Neoris"/>
    <e v="#NAME?"/>
    <x v="193"/>
    <n v="1"/>
    <s v="Desarrollador"/>
    <s v="ASO"/>
    <m/>
    <e v="#NAME?"/>
    <e v="#NAME?"/>
    <e v="#NAME?"/>
    <m/>
    <m/>
    <m/>
    <m/>
    <m/>
  </r>
  <r>
    <s v="CE61633"/>
    <s v="Nicolas Eduardo Loaiza"/>
    <x v="5"/>
    <x v="21"/>
    <s v="GGI / CMC"/>
    <e v="#NAME?"/>
    <x v="160"/>
    <n v="1"/>
    <s v="QA"/>
    <s v="Otras Tec."/>
    <m/>
    <e v="#NAME?"/>
    <e v="#NAME?"/>
    <e v="#NAME?"/>
    <m/>
    <m/>
    <m/>
    <m/>
    <m/>
  </r>
  <r>
    <s v="CE68502"/>
    <s v="Nydia Forero"/>
    <x v="5"/>
    <x v="21"/>
    <s v="SII"/>
    <e v="#NAME?"/>
    <x v="160"/>
    <n v="1"/>
    <s v="QA"/>
    <s v="Otras Tec."/>
    <m/>
    <e v="#NAME?"/>
    <e v="#NAME?"/>
    <e v="#NAME?"/>
    <m/>
    <m/>
    <m/>
    <m/>
    <m/>
  </r>
  <r>
    <s v="T000607"/>
    <s v="Oscar Andres Bernal Quiroz"/>
    <x v="5"/>
    <x v="21"/>
    <s v="Neoris"/>
    <e v="#NAME?"/>
    <x v="193"/>
    <n v="1"/>
    <s v="Desarrollador"/>
    <s v="Mainframe"/>
    <m/>
    <e v="#NAME?"/>
    <e v="#NAME?"/>
    <e v="#NAME?"/>
    <m/>
    <m/>
    <m/>
    <m/>
    <m/>
  </r>
  <r>
    <s v="CE70651"/>
    <s v="Oscar Freddy Roncancio Zea"/>
    <x v="5"/>
    <x v="21"/>
    <s v="Neoris"/>
    <e v="#NAME?"/>
    <x v="160"/>
    <n v="1"/>
    <s v="QA"/>
    <s v="Otras Tec."/>
    <m/>
    <e v="#NAME?"/>
    <e v="#NAME?"/>
    <e v="#NAME?"/>
    <m/>
    <m/>
    <m/>
    <m/>
    <m/>
  </r>
  <r>
    <s v="CE67312"/>
    <s v="Oscar Mauricio Lozano"/>
    <x v="5"/>
    <x v="21"/>
    <s v="GGI / CMC"/>
    <e v="#NAME?"/>
    <x v="193"/>
    <n v="1"/>
    <s v="QA"/>
    <s v="Otras Tec."/>
    <m/>
    <e v="#NAME?"/>
    <e v="#NAME?"/>
    <e v="#NAME?"/>
    <m/>
    <m/>
    <m/>
    <m/>
    <m/>
  </r>
  <r>
    <s v="CE47927"/>
    <s v="Rafael Eduardo Martinez Caceres"/>
    <x v="5"/>
    <x v="21"/>
    <s v="Neoris"/>
    <e v="#NAME?"/>
    <x v="160"/>
    <n v="0.5"/>
    <s v="Desarrollador"/>
    <s v="Mainframe"/>
    <m/>
    <e v="#NAME?"/>
    <e v="#NAME?"/>
    <e v="#NAME?"/>
    <m/>
    <m/>
    <m/>
    <m/>
    <m/>
  </r>
  <r>
    <s v="CE47927"/>
    <s v="Rafael Eduardo Martinez Caceres"/>
    <x v="5"/>
    <x v="21"/>
    <s v="Neoris"/>
    <e v="#NAME?"/>
    <x v="193"/>
    <n v="0.5"/>
    <s v="Desarrollador"/>
    <s v="Mainframe"/>
    <m/>
    <e v="#NAME?"/>
    <e v="#NAME?"/>
    <e v="#NAME?"/>
    <m/>
    <m/>
    <m/>
    <m/>
    <m/>
  </r>
  <r>
    <s v="T002010"/>
    <s v="Sair Giovanny Bejarano Garcia"/>
    <x v="5"/>
    <x v="21"/>
    <s v="Neoris"/>
    <e v="#NAME?"/>
    <x v="193"/>
    <n v="1"/>
    <s v="Desarrollador"/>
    <s v="APX"/>
    <m/>
    <e v="#NAME?"/>
    <e v="#NAME?"/>
    <e v="#NAME?"/>
    <m/>
    <m/>
    <m/>
    <m/>
    <m/>
  </r>
  <r>
    <s v="CE71170"/>
    <s v="Pedro Luis Melo Robayo"/>
    <x v="5"/>
    <x v="21"/>
    <s v="Novatec"/>
    <e v="#NAME?"/>
    <x v="193"/>
    <n v="1"/>
    <s v="Desarrollador"/>
    <s v="Mainframe"/>
    <s v="Externo"/>
    <e v="#NAME?"/>
    <e v="#NAME?"/>
    <e v="#NAME?"/>
    <m/>
    <m/>
    <m/>
    <m/>
    <m/>
  </r>
  <r>
    <s v="CE65214"/>
    <s v="Roger Arias"/>
    <x v="5"/>
    <x v="21"/>
    <s v="SII"/>
    <e v="#NAME?"/>
    <x v="160"/>
    <n v="1"/>
    <s v="Desarrollador"/>
    <s v="Cells"/>
    <m/>
    <e v="#NAME?"/>
    <e v="#NAME?"/>
    <e v="#NAME?"/>
    <m/>
    <m/>
    <m/>
    <m/>
    <m/>
  </r>
  <r>
    <s v="CE66579"/>
    <s v="Santiago Molina"/>
    <x v="5"/>
    <x v="21"/>
    <s v="GGI / CMC"/>
    <e v="#NAME?"/>
    <x v="160"/>
    <n v="1"/>
    <s v="QA"/>
    <s v="Cells"/>
    <m/>
    <e v="#NAME?"/>
    <e v="#NAME?"/>
    <e v="#NAME?"/>
    <m/>
    <m/>
    <m/>
    <m/>
    <m/>
  </r>
  <r>
    <s v="CE71120"/>
    <s v="Santiago Montoya"/>
    <x v="5"/>
    <x v="21"/>
    <s v="Accenture"/>
    <e v="#NAME?"/>
    <x v="160"/>
    <n v="1"/>
    <s v="Desarrollador"/>
    <s v="Cells"/>
    <m/>
    <e v="#NAME?"/>
    <e v="#NAME?"/>
    <e v="#NAME?"/>
    <m/>
    <m/>
    <m/>
    <m/>
    <m/>
  </r>
  <r>
    <s v="CE67850"/>
    <s v="Sergio Mercado"/>
    <x v="5"/>
    <x v="21"/>
    <s v="Accenture"/>
    <e v="#NAME?"/>
    <x v="160"/>
    <n v="1"/>
    <s v="QA"/>
    <s v="Cells"/>
    <m/>
    <e v="#NAME?"/>
    <e v="#NAME?"/>
    <e v="#NAME?"/>
    <m/>
    <m/>
    <m/>
    <m/>
    <m/>
  </r>
  <r>
    <s v="Pend"/>
    <s v="Stiven Carrillo"/>
    <x v="5"/>
    <x v="21"/>
    <s v="SII"/>
    <e v="#NAME?"/>
    <x v="193"/>
    <n v="1"/>
    <s v="Desarrollador"/>
    <s v="Cells"/>
    <m/>
    <e v="#NAME?"/>
    <e v="#NAME?"/>
    <e v="#NAME?"/>
    <m/>
    <m/>
    <m/>
    <m/>
    <m/>
  </r>
  <r>
    <s v="XP66159"/>
    <s v="ANDRES FELIPE GUTIERREZ BAÑOL"/>
    <x v="0"/>
    <x v="3"/>
    <s v="Neoris"/>
    <e v="#NAME?"/>
    <x v="22"/>
    <n v="1"/>
    <s v="Desarrollador"/>
    <s v="APX"/>
    <m/>
    <e v="#NAME?"/>
    <e v="#NAME?"/>
    <e v="#NAME?"/>
    <m/>
    <m/>
    <m/>
    <m/>
    <m/>
  </r>
  <r>
    <s v="T009376"/>
    <s v="CESAR LEANDRO PESTANA ROMERO"/>
    <x v="0"/>
    <x v="3"/>
    <s v="Novatec"/>
    <e v="#NAME?"/>
    <x v="22"/>
    <n v="1"/>
    <s v="Desarrollador"/>
    <s v="Mainframe"/>
    <m/>
    <e v="#NAME?"/>
    <e v="#NAME?"/>
    <e v="#NAME?"/>
    <m/>
    <m/>
    <m/>
    <m/>
    <m/>
  </r>
  <r>
    <s v="T002696"/>
    <s v="JEANN CARLOS SEQUEA MENDEZ "/>
    <x v="0"/>
    <x v="3"/>
    <s v="Accenture"/>
    <e v="#NAME?"/>
    <x v="93"/>
    <n v="1"/>
    <s v="Desarrollador"/>
    <s v="Cells"/>
    <m/>
    <e v="#NAME?"/>
    <e v="#NAME?"/>
    <e v="#NAME?"/>
    <m/>
    <m/>
    <m/>
    <m/>
    <m/>
  </r>
  <r>
    <s v="T011814"/>
    <s v="JOHANA KATHERIN VASQUEZ QUEVEDO "/>
    <x v="0"/>
    <x v="3"/>
    <s v="GGI / CMC"/>
    <e v="#NAME?"/>
    <x v="93"/>
    <n v="1"/>
    <s v="Desarrollador"/>
    <s v="Distribuido"/>
    <m/>
    <e v="#NAME?"/>
    <e v="#NAME?"/>
    <e v="#NAME?"/>
    <m/>
    <m/>
    <m/>
    <m/>
    <m/>
  </r>
  <r>
    <s v="CE70220"/>
    <s v="JULIAN FELIPE VEGA HERNANDEZ "/>
    <x v="0"/>
    <x v="3"/>
    <s v="Accenture"/>
    <e v="#NAME?"/>
    <x v="93"/>
    <n v="1"/>
    <s v="Desarrollador"/>
    <s v="APX"/>
    <m/>
    <e v="#NAME?"/>
    <e v="#NAME?"/>
    <e v="#NAME?"/>
    <m/>
    <m/>
    <m/>
    <m/>
    <m/>
  </r>
  <r>
    <s v="CE67866"/>
    <s v="NATALIA ORTIZ MALDONADO "/>
    <x v="0"/>
    <x v="3"/>
    <s v="Accenture"/>
    <e v="#NAME?"/>
    <x v="93"/>
    <n v="1"/>
    <s v="Desarrollador"/>
    <s v="ASO"/>
    <m/>
    <e v="#NAME?"/>
    <e v="#NAME?"/>
    <e v="#NAME?"/>
    <m/>
    <m/>
    <m/>
    <m/>
    <m/>
  </r>
  <r>
    <s v="CE69818"/>
    <s v="NICOLAS  MORENO AREVALO"/>
    <x v="0"/>
    <x v="3"/>
    <s v="GGI / CMC"/>
    <e v="#NAME?"/>
    <x v="22"/>
    <n v="1"/>
    <s v="Desarrollador"/>
    <s v="Cells"/>
    <m/>
    <e v="#NAME?"/>
    <e v="#NAME?"/>
    <e v="#NAME?"/>
    <m/>
    <m/>
    <m/>
    <m/>
    <m/>
  </r>
  <r>
    <s v="CE59964"/>
    <s v="OSCAR YECID  SANCHEZ ZAMORA"/>
    <x v="0"/>
    <x v="3"/>
    <s v="Neoris"/>
    <e v="#NAME?"/>
    <x v="22"/>
    <n v="1"/>
    <s v="Desarrollador"/>
    <s v="ASO"/>
    <m/>
    <e v="#NAME?"/>
    <e v="#NAME?"/>
    <e v="#NAME?"/>
    <m/>
    <m/>
    <m/>
    <m/>
    <m/>
  </r>
  <r>
    <s v="C809501"/>
    <s v="RONALD ANTONIO ROMERO MONSALVE"/>
    <x v="0"/>
    <x v="3"/>
    <s v="BBVA"/>
    <e v="#NAME?"/>
    <x v="22"/>
    <n v="1"/>
    <s v="Desarrollador"/>
    <s v="Distribuido"/>
    <m/>
    <e v="#NAME?"/>
    <e v="#NAME?"/>
    <e v="#NAME?"/>
    <m/>
    <m/>
    <m/>
    <m/>
    <m/>
  </r>
  <r>
    <s v="CE68026"/>
    <s v="MIGUEL LEONARDO AVILA AREVALO"/>
    <x v="0"/>
    <x v="3"/>
    <s v="GGI / CMC"/>
    <e v="#NAME?"/>
    <x v="93"/>
    <n v="1"/>
    <s v="QA"/>
    <s v="Distribuido"/>
    <m/>
    <e v="#NAME?"/>
    <e v="#NAME?"/>
    <e v="#NAME?"/>
    <m/>
    <m/>
    <m/>
    <m/>
    <m/>
  </r>
  <r>
    <s v="T009939"/>
    <s v="THALIA VALENTINA MANRIQUE BELLO"/>
    <x v="0"/>
    <x v="3"/>
    <s v="Neoris"/>
    <e v="#NAME?"/>
    <x v="22"/>
    <n v="1"/>
    <s v="Desarrollador"/>
    <s v="APX"/>
    <m/>
    <e v="#NAME?"/>
    <e v="#NAME?"/>
    <e v="#NAME?"/>
    <m/>
    <m/>
    <m/>
    <m/>
    <m/>
  </r>
  <r>
    <s v="O000110"/>
    <s v="YINETH SANEY FRANCO HERNANDEZ "/>
    <x v="0"/>
    <x v="3"/>
    <s v="BBVA"/>
    <e v="#NAME?"/>
    <x v="93"/>
    <n v="1"/>
    <s v="Desarrollador"/>
    <s v="ASO"/>
    <m/>
    <e v="#NAME?"/>
    <e v="#NAME?"/>
    <e v="#NAME?"/>
    <m/>
    <m/>
    <m/>
    <m/>
    <m/>
  </r>
  <r>
    <s v="T009396"/>
    <s v="ZULMA ZORAYA  PENAGOS TAVERA"/>
    <x v="0"/>
    <x v="3"/>
    <s v="Novatec"/>
    <e v="#NAME?"/>
    <x v="22"/>
    <n v="1"/>
    <s v="Desarrollador"/>
    <s v="Mainframe"/>
    <m/>
    <e v="#NAME?"/>
    <e v="#NAME?"/>
    <e v="#NAME?"/>
    <m/>
    <m/>
    <m/>
    <m/>
    <m/>
  </r>
  <r>
    <s v="C811372"/>
    <s v="TORRES CASTILLO JOAN SEBASTIÁN"/>
    <x v="0"/>
    <x v="17"/>
    <s v="BBVA"/>
    <e v="#NAME?"/>
    <x v="130"/>
    <n v="0.5"/>
    <s v="Desarrollador"/>
    <s v="Distribuido"/>
    <m/>
    <e v="#NAME?"/>
    <e v="#NAME?"/>
    <e v="#NAME?"/>
    <m/>
    <m/>
    <m/>
    <m/>
    <m/>
  </r>
  <r>
    <s v="C811372"/>
    <s v="TORRES CASTILLO JOAN SEBASTIÁN"/>
    <x v="0"/>
    <x v="17"/>
    <s v="BBVA"/>
    <e v="#NAME?"/>
    <x v="212"/>
    <n v="0.5"/>
    <s v="Desarrollador"/>
    <s v="Distribuido"/>
    <m/>
    <e v="#NAME?"/>
    <e v="#NAME?"/>
    <e v="#NAME?"/>
    <m/>
    <m/>
    <m/>
    <m/>
    <m/>
  </r>
  <r>
    <s v="CE66039"/>
    <s v="OCAMPO RODRIGUEZ JOHN JAILER"/>
    <x v="0"/>
    <x v="17"/>
    <s v="GGI / CMC"/>
    <e v="#NAME?"/>
    <x v="212"/>
    <n v="1"/>
    <s v="Desarrollador"/>
    <s v="Distribuido"/>
    <m/>
    <e v="#NAME?"/>
    <e v="#NAME?"/>
    <e v="#NAME?"/>
    <m/>
    <m/>
    <m/>
    <m/>
    <m/>
  </r>
  <r>
    <s v="C804101"/>
    <s v="FUQUENE CONTRERAS ADRIANA"/>
    <x v="0"/>
    <x v="17"/>
    <s v="BBVA"/>
    <e v="#NAME?"/>
    <x v="212"/>
    <n v="0.5"/>
    <s v="Tech Manager/Líder"/>
    <s v="Distribuido"/>
    <m/>
    <e v="#NAME?"/>
    <e v="#NAME?"/>
    <e v="#NAME?"/>
    <m/>
    <m/>
    <m/>
    <m/>
    <m/>
  </r>
  <r>
    <s v="C804101"/>
    <s v="FUQUENE CONTRERAS ADRIANA"/>
    <x v="0"/>
    <x v="17"/>
    <s v="BBVA"/>
    <e v="#NAME?"/>
    <x v="131"/>
    <n v="0.25"/>
    <s v="Tech Manager/Líder"/>
    <s v="Distribuido"/>
    <m/>
    <e v="#NAME?"/>
    <e v="#NAME?"/>
    <e v="#NAME?"/>
    <m/>
    <m/>
    <m/>
    <m/>
    <m/>
  </r>
  <r>
    <s v="C804101"/>
    <s v="FUQUENE CONTRERAS ADRIANA"/>
    <x v="0"/>
    <x v="17"/>
    <s v="BBVA"/>
    <e v="#NAME?"/>
    <x v="130"/>
    <n v="0.25"/>
    <s v="Tech Manager/Líder"/>
    <s v="Distribuido"/>
    <m/>
    <e v="#NAME?"/>
    <e v="#NAME?"/>
    <e v="#NAME?"/>
    <m/>
    <m/>
    <m/>
    <m/>
    <m/>
  </r>
  <r>
    <s v="C810885"/>
    <s v="GARCIA HERRERA MONICA LILIANA"/>
    <x v="0"/>
    <x v="17"/>
    <s v="BBVA"/>
    <e v="#NAME?"/>
    <x v="15"/>
    <n v="0.25"/>
    <s v="Tech Manager/Líder"/>
    <m/>
    <m/>
    <e v="#NAME?"/>
    <e v="#NAME?"/>
    <e v="#NAME?"/>
    <m/>
    <m/>
    <m/>
    <m/>
    <m/>
  </r>
  <r>
    <s v="C810885"/>
    <s v="GARCIA HERRERA MONICA LILIANA"/>
    <x v="0"/>
    <x v="17"/>
    <s v="BBVA"/>
    <e v="#NAME?"/>
    <x v="130"/>
    <n v="0.25"/>
    <s v="Tech Manager/Líder"/>
    <m/>
    <m/>
    <e v="#NAME?"/>
    <e v="#NAME?"/>
    <e v="#NAME?"/>
    <m/>
    <m/>
    <m/>
    <m/>
    <m/>
  </r>
  <r>
    <s v="C810885"/>
    <s v="GARCIA HERRERA MONICA LILIANA"/>
    <x v="0"/>
    <x v="17"/>
    <s v="BBVA"/>
    <e v="#NAME?"/>
    <x v="147"/>
    <n v="0.5"/>
    <s v="Tech Manager/Líder"/>
    <m/>
    <m/>
    <e v="#NAME?"/>
    <e v="#NAME?"/>
    <e v="#NAME?"/>
    <m/>
    <m/>
    <m/>
    <m/>
    <m/>
  </r>
  <r>
    <s v="CE65938"/>
    <s v="AREVALO MORENO DEINA ALEJANDRA"/>
    <x v="0"/>
    <x v="17"/>
    <s v="GGI / CMC"/>
    <e v="#NAME?"/>
    <x v="212"/>
    <n v="1"/>
    <s v="Desarrollador"/>
    <s v="Distribuido"/>
    <m/>
    <e v="#NAME?"/>
    <e v="#NAME?"/>
    <e v="#NAME?"/>
    <m/>
    <m/>
    <m/>
    <m/>
    <m/>
  </r>
  <r>
    <s v="T006284"/>
    <s v="ROMERO LITSY DAYANA"/>
    <x v="0"/>
    <x v="17"/>
    <s v="GGI / CMC"/>
    <e v="#NAME?"/>
    <x v="212"/>
    <n v="1"/>
    <s v="QA"/>
    <s v="Distribuido"/>
    <m/>
    <e v="#NAME?"/>
    <e v="#NAME?"/>
    <e v="#NAME?"/>
    <m/>
    <m/>
    <m/>
    <m/>
    <m/>
  </r>
  <r>
    <s v="T011667"/>
    <s v="MARTINEZ RODRIGUEZ ENRIQUE"/>
    <x v="0"/>
    <x v="17"/>
    <s v="GGI / CMC"/>
    <e v="#NAME?"/>
    <x v="212"/>
    <n v="1"/>
    <s v="Desarrollador"/>
    <s v="Distribuido"/>
    <m/>
    <e v="#NAME?"/>
    <e v="#NAME?"/>
    <e v="#NAME?"/>
    <m/>
    <m/>
    <m/>
    <m/>
    <m/>
  </r>
  <r>
    <s v="C811005"/>
    <s v="OTALORA LEIVA LUIS FERNANDO"/>
    <x v="0"/>
    <x v="17"/>
    <s v="BBVA"/>
    <e v="#NAME?"/>
    <x v="131"/>
    <n v="0.75"/>
    <s v="Desarrollador"/>
    <s v="Distribuido"/>
    <m/>
    <e v="#NAME?"/>
    <e v="#NAME?"/>
    <e v="#NAME?"/>
    <m/>
    <m/>
    <m/>
    <m/>
    <m/>
  </r>
  <r>
    <s v="C811005"/>
    <s v="OTALORA LEIVA LUIS FERNANDO"/>
    <x v="0"/>
    <x v="17"/>
    <s v="BBVA"/>
    <e v="#NAME?"/>
    <x v="130"/>
    <n v="0.25"/>
    <s v="Desarrollador"/>
    <s v="Mainframe"/>
    <m/>
    <e v="#NAME?"/>
    <e v="#NAME?"/>
    <e v="#NAME?"/>
    <m/>
    <m/>
    <m/>
    <m/>
    <m/>
  </r>
  <r>
    <s v="C810684"/>
    <s v="CACERES CRISTANCHO JUAN SEBASTIAN"/>
    <x v="0"/>
    <x v="17"/>
    <s v="BBVA"/>
    <e v="#NAME?"/>
    <x v="130"/>
    <n v="1"/>
    <s v="Desarrollador"/>
    <s v="Distribuido"/>
    <m/>
    <e v="#NAME?"/>
    <e v="#NAME?"/>
    <e v="#NAME?"/>
    <m/>
    <m/>
    <m/>
    <m/>
    <m/>
  </r>
  <r>
    <s v="CE66581"/>
    <s v="POLANCO DANIEL LEONARDO"/>
    <x v="0"/>
    <x v="17"/>
    <s v="GGI / CMC"/>
    <e v="#NAME?"/>
    <x v="130"/>
    <n v="1"/>
    <s v="QA"/>
    <s v="Distribuido"/>
    <m/>
    <e v="#NAME?"/>
    <e v="#NAME?"/>
    <e v="#NAME?"/>
    <m/>
    <m/>
    <m/>
    <m/>
    <m/>
  </r>
  <r>
    <s v="T003697"/>
    <s v="BALLEN GAMBOA CRISTIAN"/>
    <x v="0"/>
    <x v="17"/>
    <s v="GGI / CMC"/>
    <e v="#NAME?"/>
    <x v="131"/>
    <n v="1"/>
    <s v="Desarrollador"/>
    <s v="Distribuido"/>
    <m/>
    <e v="#NAME?"/>
    <e v="#NAME?"/>
    <e v="#NAME?"/>
    <m/>
    <m/>
    <m/>
    <m/>
    <m/>
  </r>
  <r>
    <s v="CE65226"/>
    <s v="AMAYA CAMPOS SANTIAGO"/>
    <x v="0"/>
    <x v="17"/>
    <s v="GGI / CMC"/>
    <e v="#NAME?"/>
    <x v="131"/>
    <n v="0.5"/>
    <s v="Desarrollador"/>
    <s v="ASO"/>
    <m/>
    <e v="#NAME?"/>
    <e v="#NAME?"/>
    <e v="#NAME?"/>
    <m/>
    <m/>
    <m/>
    <m/>
    <m/>
  </r>
  <r>
    <s v="CE65226"/>
    <s v="AMAYA CAMPOS SANTIAGO"/>
    <x v="0"/>
    <x v="17"/>
    <s v="GGI / CMC"/>
    <e v="#NAME?"/>
    <x v="130"/>
    <n v="0.5"/>
    <s v="Desarrollador"/>
    <s v="APX"/>
    <m/>
    <e v="#NAME?"/>
    <e v="#NAME?"/>
    <e v="#NAME?"/>
    <m/>
    <m/>
    <m/>
    <m/>
    <m/>
  </r>
  <r>
    <s v="O002003"/>
    <s v="MORENO ANGEL HEYDEN AUGUSTO"/>
    <x v="0"/>
    <x v="17"/>
    <s v="BBVA"/>
    <e v="#NAME?"/>
    <x v="131"/>
    <n v="1"/>
    <s v="Desarrollador"/>
    <s v="Distribuido"/>
    <m/>
    <e v="#NAME?"/>
    <e v="#NAME?"/>
    <e v="#NAME?"/>
    <m/>
    <m/>
    <m/>
    <m/>
    <m/>
  </r>
  <r>
    <s v="T009653"/>
    <s v="MEJIA PAULA VALENTINA"/>
    <x v="0"/>
    <x v="17"/>
    <s v="GGI / CMC"/>
    <e v="#NAME?"/>
    <x v="131"/>
    <n v="1"/>
    <s v="QA"/>
    <s v="Distribuido"/>
    <m/>
    <e v="#NAME?"/>
    <e v="#NAME?"/>
    <e v="#NAME?"/>
    <m/>
    <m/>
    <m/>
    <m/>
    <m/>
  </r>
  <r>
    <s v="CE58814"/>
    <s v="PINZON VANEGAS MIGUEL ANGEL"/>
    <x v="0"/>
    <x v="17"/>
    <s v="Inetum"/>
    <e v="#NAME?"/>
    <x v="130"/>
    <n v="1"/>
    <s v="Desarrollador"/>
    <s v="Mainframe"/>
    <m/>
    <e v="#NAME?"/>
    <e v="#NAME?"/>
    <e v="#NAME?"/>
    <m/>
    <m/>
    <m/>
    <m/>
    <m/>
  </r>
  <r>
    <s v="T007566"/>
    <s v="PINEDA GALLEGO ZAMIR ALEJANDRO"/>
    <x v="0"/>
    <x v="17"/>
    <s v="Inetum"/>
    <e v="#NAME?"/>
    <x v="130"/>
    <n v="1"/>
    <s v="Desarrollador"/>
    <s v="APX"/>
    <m/>
    <e v="#NAME?"/>
    <e v="#NAME?"/>
    <e v="#NAME?"/>
    <m/>
    <m/>
    <m/>
    <m/>
    <m/>
  </r>
  <r>
    <s v="T007886"/>
    <s v="SILVA ROMERO JULIAN DAVID"/>
    <x v="0"/>
    <x v="17"/>
    <s v="Inetum"/>
    <e v="#NAME?"/>
    <x v="130"/>
    <n v="1"/>
    <s v="Desarrollador"/>
    <s v="APX"/>
    <m/>
    <e v="#NAME?"/>
    <e v="#NAME?"/>
    <e v="#NAME?"/>
    <m/>
    <m/>
    <m/>
    <m/>
    <m/>
  </r>
  <r>
    <s v="CE66910"/>
    <s v="PENAGOS JULIO CESAR"/>
    <x v="0"/>
    <x v="17"/>
    <s v="GGI / CMC"/>
    <e v="#NAME?"/>
    <x v="130"/>
    <n v="1"/>
    <s v="Desarrollador"/>
    <s v="ASO"/>
    <m/>
    <e v="#NAME?"/>
    <e v="#NAME?"/>
    <e v="#NAME?"/>
    <m/>
    <m/>
    <m/>
    <m/>
    <m/>
  </r>
  <r>
    <s v="CE61320"/>
    <s v="CASTILLO ALONSO GILBERTO"/>
    <x v="0"/>
    <x v="17"/>
    <s v="Novatec"/>
    <e v="#NAME?"/>
    <x v="130"/>
    <n v="1"/>
    <s v="Desarrollador"/>
    <s v="ASO"/>
    <m/>
    <e v="#NAME?"/>
    <e v="#NAME?"/>
    <e v="#NAME?"/>
    <m/>
    <m/>
    <m/>
    <m/>
    <m/>
  </r>
  <r>
    <s v="CE66764"/>
    <s v="FORERO RUIZ JOSE ANTONIO"/>
    <x v="0"/>
    <x v="17"/>
    <s v="GGI / CMC"/>
    <e v="#NAME?"/>
    <x v="130"/>
    <n v="1"/>
    <s v="Desarrollador"/>
    <s v="Cells"/>
    <m/>
    <e v="#NAME?"/>
    <e v="#NAME?"/>
    <e v="#NAME?"/>
    <m/>
    <m/>
    <m/>
    <m/>
    <m/>
  </r>
  <r>
    <s v="CE70407"/>
    <s v="BARRIOS ASPRILLA BREINER I"/>
    <x v="0"/>
    <x v="17"/>
    <s v="KRYPTO"/>
    <e v="#NAME?"/>
    <x v="3"/>
    <n v="1"/>
    <s v="Otros"/>
    <s v="Distribuido"/>
    <m/>
    <e v="#NAME?"/>
    <e v="#NAME?"/>
    <e v="#NAME?"/>
    <m/>
    <m/>
    <m/>
    <m/>
    <m/>
  </r>
  <r>
    <s v="T005929"/>
    <s v="CAVIEDES JIMENEZ JULIAN FELIPE"/>
    <x v="0"/>
    <x v="17"/>
    <s v="GGI / CMC"/>
    <e v="#NAME?"/>
    <x v="3"/>
    <n v="1"/>
    <s v="Otros"/>
    <s v="Distribuido"/>
    <m/>
    <e v="#NAME?"/>
    <e v="#NAME?"/>
    <e v="#NAME?"/>
    <m/>
    <m/>
    <m/>
    <m/>
    <m/>
  </r>
  <r>
    <s v="CE51848"/>
    <s v="GORDO BELTRAN DANIEL FERNANDO"/>
    <x v="0"/>
    <x v="17"/>
    <s v="Inetum"/>
    <e v="#NAME?"/>
    <x v="3"/>
    <n v="0.5"/>
    <s v="Otros"/>
    <s v="Distribuido"/>
    <m/>
    <e v="#NAME?"/>
    <e v="#NAME?"/>
    <e v="#NAME?"/>
    <m/>
    <m/>
    <m/>
    <m/>
    <m/>
  </r>
  <r>
    <s v="T004335"/>
    <s v="MANCIPE JUAN DAVID"/>
    <x v="0"/>
    <x v="17"/>
    <s v="GGI / CMC"/>
    <e v="#NAME?"/>
    <x v="130"/>
    <n v="1"/>
    <s v="Desarrollador"/>
    <s v="Cells"/>
    <m/>
    <e v="#NAME?"/>
    <e v="#NAME?"/>
    <e v="#NAME?"/>
    <m/>
    <m/>
    <m/>
    <m/>
    <m/>
  </r>
  <r>
    <s v="CI08666"/>
    <s v="Jorge Anibal Blanco Meneses"/>
    <x v="1"/>
    <x v="18"/>
    <s v="BBVA Fiduciaria"/>
    <e v="#NAME?"/>
    <x v="3"/>
    <n v="0.4"/>
    <s v="Tech Manager/Líder"/>
    <m/>
    <s v="Interno"/>
    <e v="#NAME?"/>
    <e v="#NAME?"/>
    <e v="#NAME?"/>
    <m/>
    <m/>
    <m/>
    <m/>
    <m/>
  </r>
  <r>
    <s v="CE34456"/>
    <s v="JOHN EDUAR LUNA SANCHEZ"/>
    <x v="1"/>
    <x v="16"/>
    <s v="GGI / CMC"/>
    <e v="#NAME?"/>
    <x v="146"/>
    <n v="0.25"/>
    <s v="QA"/>
    <s v="Otras Tec."/>
    <m/>
    <e v="#NAME?"/>
    <e v="#NAME?"/>
    <e v="#NAME?"/>
    <m/>
    <m/>
    <m/>
    <m/>
    <m/>
  </r>
  <r>
    <s v="CE34456"/>
    <s v="JOHN EDUAR LUNA SANCHEZ"/>
    <x v="1"/>
    <x v="16"/>
    <s v="GGI / CMC"/>
    <e v="#NAME?"/>
    <x v="143"/>
    <n v="0.25"/>
    <s v="QA"/>
    <s v="Otras Tec."/>
    <m/>
    <e v="#NAME?"/>
    <e v="#NAME?"/>
    <e v="#NAME?"/>
    <m/>
    <m/>
    <m/>
    <m/>
    <m/>
  </r>
  <r>
    <s v="CE34456"/>
    <s v="JOHN EDUAR LUNA SANCHEZ"/>
    <x v="1"/>
    <x v="16"/>
    <s v="GGI / CMC"/>
    <e v="#NAME?"/>
    <x v="3"/>
    <n v="0.5"/>
    <s v="QA"/>
    <s v="Otras Tec."/>
    <m/>
    <e v="#NAME?"/>
    <e v="#NAME?"/>
    <e v="#NAME?"/>
    <m/>
    <m/>
    <m/>
    <m/>
    <m/>
  </r>
  <r>
    <s v="CE41784"/>
    <s v="JORGE HUMBERTO MARTINEZ MARIN"/>
    <x v="1"/>
    <x v="16"/>
    <s v="Novatec"/>
    <e v="#NAME?"/>
    <x v="145"/>
    <n v="1"/>
    <s v="Desarrollador"/>
    <s v="Mainframe"/>
    <m/>
    <e v="#NAME?"/>
    <e v="#NAME?"/>
    <e v="#NAME?"/>
    <m/>
    <m/>
    <m/>
    <m/>
    <m/>
  </r>
  <r>
    <s v="CE57264"/>
    <s v="LUCIO RAMIRO TAPIA VARGAS"/>
    <x v="1"/>
    <x v="16"/>
    <s v="Novatec"/>
    <e v="#NAME?"/>
    <x v="145"/>
    <n v="1"/>
    <s v="Desarrollador"/>
    <s v="Mainframe"/>
    <m/>
    <e v="#NAME?"/>
    <e v="#NAME?"/>
    <e v="#NAME?"/>
    <m/>
    <m/>
    <m/>
    <m/>
    <m/>
  </r>
  <r>
    <s v="T007049"/>
    <s v="ALVARO ARENAS SANCHEZ"/>
    <x v="1"/>
    <x v="16"/>
    <s v="Accenture"/>
    <e v="#NAME?"/>
    <x v="3"/>
    <n v="1"/>
    <s v="Desarrollador"/>
    <s v="Distribuido"/>
    <m/>
    <e v="#NAME?"/>
    <e v="#NAME?"/>
    <e v="#NAME?"/>
    <m/>
    <m/>
    <m/>
    <m/>
    <m/>
  </r>
  <r>
    <s v="CE69613"/>
    <s v="MARTÍN RODRIGUEZ"/>
    <x v="1"/>
    <x v="16"/>
    <s v="Accenture"/>
    <e v="#NAME?"/>
    <x v="137"/>
    <n v="0.2"/>
    <s v="Desarrollador"/>
    <s v="Distribuido"/>
    <m/>
    <e v="#NAME?"/>
    <e v="#NAME?"/>
    <e v="#NAME?"/>
    <m/>
    <m/>
    <m/>
    <m/>
    <m/>
  </r>
  <r>
    <s v="CE67315"/>
    <s v="YEFERSON OCHOA"/>
    <x v="1"/>
    <x v="16"/>
    <s v="Accenture"/>
    <e v="#NAME?"/>
    <x v="137"/>
    <n v="0.2"/>
    <s v="Desarrollador"/>
    <s v="Distribuido"/>
    <m/>
    <e v="#NAME?"/>
    <e v="#NAME?"/>
    <e v="#NAME?"/>
    <m/>
    <m/>
    <m/>
    <m/>
    <m/>
  </r>
  <r>
    <s v="T003696"/>
    <s v="LUIS LOZANO"/>
    <x v="1"/>
    <x v="16"/>
    <s v="Accenture"/>
    <e v="#NAME?"/>
    <x v="137"/>
    <n v="0.2"/>
    <s v="Desarrollador"/>
    <s v="Distribuido"/>
    <m/>
    <e v="#NAME?"/>
    <e v="#NAME?"/>
    <e v="#NAME?"/>
    <m/>
    <m/>
    <m/>
    <m/>
    <m/>
  </r>
  <r>
    <s v="CE66251"/>
    <s v="SANTIAGO A SANTOS ESTRADA"/>
    <x v="1"/>
    <x v="16"/>
    <s v="GGI / CMC"/>
    <e v="#NAME?"/>
    <x v="3"/>
    <n v="0.5"/>
    <s v="QA"/>
    <s v="Distribuido"/>
    <m/>
    <e v="#NAME?"/>
    <e v="#NAME?"/>
    <e v="#NAME?"/>
    <m/>
    <m/>
    <m/>
    <m/>
    <m/>
  </r>
  <r>
    <s v="CE66251"/>
    <s v="BRIAN LEONARDO PEREZ RUBIANO"/>
    <x v="1"/>
    <x v="16"/>
    <s v="GGI / CMC"/>
    <e v="#NAME?"/>
    <x v="3"/>
    <n v="0.5"/>
    <s v="QA"/>
    <s v="Distribuido"/>
    <m/>
    <e v="#NAME?"/>
    <e v="#NAME?"/>
    <e v="#NAME?"/>
    <m/>
    <m/>
    <m/>
    <m/>
    <m/>
  </r>
  <r>
    <s v="C811378"/>
    <s v="ANDRES FELIPE GOMEZ"/>
    <x v="3"/>
    <x v="27"/>
    <s v="BBVA"/>
    <e v="#NAME?"/>
    <x v="213"/>
    <n v="1"/>
    <s v="Desarrollador"/>
    <s v="ASO"/>
    <s v="[GDG] - Habilitador Gestor Documental EMC1"/>
    <e v="#NAME?"/>
    <e v="#NAME?"/>
    <e v="#NAME?"/>
    <m/>
    <m/>
    <m/>
    <m/>
    <m/>
  </r>
  <r>
    <s v="O002144"/>
    <s v="JEISON EDUARDO HERNANDEZ"/>
    <x v="3"/>
    <x v="27"/>
    <s v="BBVA"/>
    <e v="#NAME?"/>
    <x v="213"/>
    <n v="1"/>
    <s v="Desarrollador"/>
    <s v="APX"/>
    <s v="[GDG] - Habilitador Gestor Documental EMC1"/>
    <e v="#NAME?"/>
    <e v="#NAME?"/>
    <e v="#NAME?"/>
    <m/>
    <m/>
    <m/>
    <m/>
    <m/>
  </r>
  <r>
    <s v="C804805"/>
    <s v="STEFANY CAROLINA MEDINA VILLADIENGO"/>
    <x v="3"/>
    <x v="27"/>
    <s v="BBVA"/>
    <e v="#NAME?"/>
    <x v="213"/>
    <n v="1"/>
    <s v="Desarrollador"/>
    <s v="APX"/>
    <s v="[GDG] - Habilitador Gestor Documental EMC1"/>
    <e v="#NAME?"/>
    <e v="#NAME?"/>
    <e v="#NAME?"/>
    <m/>
    <m/>
    <m/>
    <m/>
    <m/>
  </r>
  <r>
    <s v="O004614"/>
    <s v="ALEXANDER GONZALEZ PEÑA"/>
    <x v="3"/>
    <x v="27"/>
    <s v="BBVA"/>
    <e v="#NAME?"/>
    <x v="95"/>
    <n v="0.8"/>
    <s v="Desarrollador"/>
    <s v="Distribuido"/>
    <s v="[WIMEB] - Inclusión Extractos Producto de Valores"/>
    <e v="#NAME?"/>
    <e v="#NAME?"/>
    <e v="#NAME?"/>
    <m/>
    <m/>
    <m/>
    <m/>
    <m/>
  </r>
  <r>
    <s v="O004614"/>
    <s v="ALEXANDER GONZALEZ PEÑA"/>
    <x v="3"/>
    <x v="27"/>
    <s v="BBVA"/>
    <e v="#NAME?"/>
    <x v="3"/>
    <n v="0.1"/>
    <s v="Desarrollador"/>
    <s v="Distribuido"/>
    <s v="[WIMEB] - Soporte Produccion"/>
    <e v="#NAME?"/>
    <e v="#NAME?"/>
    <e v="#NAME?"/>
    <m/>
    <m/>
    <m/>
    <m/>
    <m/>
  </r>
  <r>
    <s v="O004614"/>
    <s v="ALEXANDER GONZALEZ PEÑA"/>
    <x v="3"/>
    <x v="27"/>
    <s v="BBVA"/>
    <e v="#NAME?"/>
    <x v="3"/>
    <n v="0.1"/>
    <s v="Desarrollador"/>
    <s v="Distribuido"/>
    <s v="[WIMEB] - Carta de bienvenida Libranza"/>
    <e v="#NAME?"/>
    <e v="#NAME?"/>
    <e v="#NAME?"/>
    <m/>
    <m/>
    <m/>
    <m/>
    <m/>
  </r>
  <r>
    <s v="C809712"/>
    <s v="MIGUEL ANGEL ALBARRACIN"/>
    <x v="3"/>
    <x v="27"/>
    <s v="BBVA"/>
    <e v="#NAME?"/>
    <x v="75"/>
    <n v="0.7"/>
    <s v="Desarrollador"/>
    <s v="ASO"/>
    <s v="[IDP] - COLWSBPE-115 - Definiciones a nivel técnico "/>
    <e v="#NAME?"/>
    <e v="#NAME?"/>
    <e v="#NAME?"/>
    <m/>
    <m/>
    <m/>
    <m/>
    <m/>
  </r>
  <r>
    <s v="C809712"/>
    <s v="MIGUEL ANGEL ALBARRACIN"/>
    <x v="3"/>
    <x v="27"/>
    <s v="BBVA"/>
    <e v="#NAME?"/>
    <x v="205"/>
    <n v="0.2"/>
    <s v="Desarrollador"/>
    <s v="Distribuido"/>
    <s v="[WIMEB] - Carta de bienvenida consumo"/>
    <e v="#NAME?"/>
    <e v="#NAME?"/>
    <e v="#NAME?"/>
    <m/>
    <m/>
    <m/>
    <m/>
    <m/>
  </r>
  <r>
    <s v="C809712"/>
    <s v="MIGUEL ANGEL ALBARRACIN"/>
    <x v="3"/>
    <x v="27"/>
    <s v="BBVA"/>
    <e v="#NAME?"/>
    <x v="3"/>
    <n v="0.1"/>
    <s v="Desarrollador"/>
    <s v="Distribuido"/>
    <s v="[WIMEB] - INICIDENCIA   Consulta de Extractos"/>
    <e v="#NAME?"/>
    <e v="#NAME?"/>
    <e v="#NAME?"/>
    <m/>
    <m/>
    <m/>
    <m/>
    <m/>
  </r>
  <r>
    <s v="C804845"/>
    <s v="DIEGO ANDRES JIMENEZ PABUENA"/>
    <x v="3"/>
    <x v="27"/>
    <s v="BBVA"/>
    <e v="#NAME?"/>
    <x v="124"/>
    <n v="0.5"/>
    <s v="Desarrollador"/>
    <s v="Distribuido"/>
    <s v="[PNB] - Proyecto : Gestión de Ingresos - Períodos de Gracia Libranzas"/>
    <e v="#NAME?"/>
    <e v="#NAME?"/>
    <e v="#NAME?"/>
    <m/>
    <m/>
    <m/>
    <m/>
    <m/>
  </r>
  <r>
    <s v="C804845"/>
    <s v="DIEGO ANDRES JIMENEZ PABUENA"/>
    <x v="3"/>
    <x v="27"/>
    <s v="BBVA"/>
    <e v="#NAME?"/>
    <x v="3"/>
    <n v="0.1"/>
    <s v="Desarrollador"/>
    <s v="Distribuido"/>
    <s v="[FARO] - Revisión documentos pendientes por migrar"/>
    <e v="#NAME?"/>
    <e v="#NAME?"/>
    <e v="#NAME?"/>
    <m/>
    <m/>
    <m/>
    <m/>
    <m/>
  </r>
  <r>
    <s v="C804845"/>
    <s v="DIEGO ANDRES JIMENEZ PABUENA"/>
    <x v="3"/>
    <x v="27"/>
    <s v="BBVA"/>
    <e v="#NAME?"/>
    <x v="3"/>
    <n v="0.05"/>
    <s v="Desarrollador"/>
    <s v="Distribuido"/>
    <s v="[Firmas Valuadoras] - Dia a Dia / Firmas valuadoras. Creación usuarios"/>
    <e v="#NAME?"/>
    <e v="#NAME?"/>
    <e v="#NAME?"/>
    <m/>
    <m/>
    <m/>
    <m/>
    <m/>
  </r>
  <r>
    <s v="C804845"/>
    <s v="DIEGO ANDRES JIMENEZ PABUENA"/>
    <x v="3"/>
    <x v="27"/>
    <s v="BBVA"/>
    <e v="#NAME?"/>
    <x v="3"/>
    <n v="0.1"/>
    <s v="Desarrollador"/>
    <s v="Distribuido"/>
    <s v="[PNB] - Atención solicitudes de actualización"/>
    <e v="#NAME?"/>
    <e v="#NAME?"/>
    <e v="#NAME?"/>
    <m/>
    <m/>
    <m/>
    <m/>
    <m/>
  </r>
  <r>
    <s v="C804845"/>
    <s v="DIEGO ANDRES JIMENEZ PABUENA"/>
    <x v="3"/>
    <x v="27"/>
    <s v="BBVA"/>
    <e v="#NAME?"/>
    <x v="3"/>
    <n v="0.1"/>
    <s v="Desarrollador"/>
    <s v="Distribuido"/>
    <s v="[Lotus-Khronos] - Validación ejecución de Momentos, Ajustes, reporcesos dependiendo de casuisitica"/>
    <e v="#NAME?"/>
    <e v="#NAME?"/>
    <e v="#NAME?"/>
    <m/>
    <m/>
    <m/>
    <m/>
    <m/>
  </r>
  <r>
    <s v="C804845"/>
    <s v="DIEGO ANDRES JIMENEZ PABUENA"/>
    <x v="3"/>
    <x v="27"/>
    <s v="BBVA"/>
    <e v="#NAME?"/>
    <x v="40"/>
    <n v="0.1"/>
    <s v="Desarrollador"/>
    <s v="Distribuido"/>
    <s v="[GranNet] - Migración modulos AdminPlan"/>
    <e v="#NAME?"/>
    <e v="#NAME?"/>
    <e v="#NAME?"/>
    <m/>
    <m/>
    <m/>
    <m/>
    <m/>
  </r>
  <r>
    <s v="C804845"/>
    <s v="DIEGO ANDRES JIMENEZ PABUENA"/>
    <x v="3"/>
    <x v="27"/>
    <s v="BBVA"/>
    <e v="#NAME?"/>
    <x v="214"/>
    <n v="0.05"/>
    <s v="Desarrollador"/>
    <s v="Distribuido"/>
    <s v="[GranNet] - Modulo de liquidación de comisiones"/>
    <e v="#NAME?"/>
    <e v="#NAME?"/>
    <e v="#NAME?"/>
    <m/>
    <m/>
    <m/>
    <m/>
    <m/>
  </r>
  <r>
    <s v="O002373"/>
    <s v="ESTEBAN ARIAS CARACAS"/>
    <x v="3"/>
    <x v="27"/>
    <s v="BBVA"/>
    <e v="#NAME?"/>
    <x v="215"/>
    <n v="1"/>
    <s v="Desarrollador"/>
    <s v="Distribuido"/>
    <m/>
    <e v="#NAME?"/>
    <e v="#NAME?"/>
    <e v="#NAME?"/>
    <m/>
    <m/>
    <m/>
    <m/>
    <m/>
  </r>
  <r>
    <s v="O000471"/>
    <s v="RONAL ALBERTO TABORDA MORENO"/>
    <x v="3"/>
    <x v="27"/>
    <s v="BBVA"/>
    <e v="#NAME?"/>
    <x v="215"/>
    <n v="1"/>
    <s v="Desarrollador"/>
    <s v="Distribuido"/>
    <m/>
    <e v="#NAME?"/>
    <e v="#NAME?"/>
    <e v="#NAME?"/>
    <m/>
    <m/>
    <m/>
    <m/>
    <m/>
  </r>
  <r>
    <s v="C805945"/>
    <s v="PAULO CESAR SALDARRIAGA"/>
    <x v="3"/>
    <x v="28"/>
    <s v="BBVA"/>
    <e v="#NAME?"/>
    <x v="216"/>
    <n v="0.9"/>
    <s v="Desarrollador"/>
    <s v="LRBA"/>
    <m/>
    <e v="#NAME?"/>
    <e v="#NAME?"/>
    <e v="#NAME?"/>
    <m/>
    <m/>
    <m/>
    <m/>
    <m/>
  </r>
  <r>
    <s v="C805945"/>
    <s v="PAULO CESAR SALDARRIAGA"/>
    <x v="3"/>
    <x v="28"/>
    <s v="BBVA"/>
    <e v="#NAME?"/>
    <x v="3"/>
    <n v="0.1"/>
    <s v="Desarrollador"/>
    <s v="LRBA"/>
    <m/>
    <e v="#NAME?"/>
    <e v="#NAME?"/>
    <e v="#NAME?"/>
    <m/>
    <m/>
    <m/>
    <m/>
    <m/>
  </r>
  <r>
    <s v="CE60804"/>
    <s v="ALVARO IVAN BARRIOS PINEDA"/>
    <x v="3"/>
    <x v="28"/>
    <s v="Indra"/>
    <e v="#NAME?"/>
    <x v="3"/>
    <n v="0.5"/>
    <s v="Desarrollador"/>
    <s v="Mainframe"/>
    <m/>
    <e v="#NAME?"/>
    <e v="#NAME?"/>
    <e v="#NAME?"/>
    <m/>
    <m/>
    <m/>
    <m/>
    <m/>
  </r>
  <r>
    <s v="CE64752"/>
    <s v="NIDIA CONTRERAS HERNANDEZ"/>
    <x v="3"/>
    <x v="28"/>
    <s v="KRYPTO"/>
    <e v="#NAME?"/>
    <x v="3"/>
    <n v="0.5"/>
    <s v="QA"/>
    <s v="Otras Tec."/>
    <m/>
    <e v="#NAME?"/>
    <e v="#NAME?"/>
    <e v="#NAME?"/>
    <m/>
    <m/>
    <m/>
    <m/>
    <m/>
  </r>
  <r>
    <s v="CE71176"/>
    <s v="IVAN YESID REYES CALCETERO"/>
    <x v="3"/>
    <x v="28"/>
    <s v="KRYPTO"/>
    <e v="#NAME?"/>
    <x v="216"/>
    <n v="0.5"/>
    <s v="QA"/>
    <s v="Otras Tec."/>
    <m/>
    <e v="#NAME?"/>
    <e v="#NAME?"/>
    <e v="#NAME?"/>
    <m/>
    <m/>
    <m/>
    <m/>
    <m/>
  </r>
  <r>
    <s v="O000437"/>
    <s v="EDISON TRONCOSO PARADA"/>
    <x v="3"/>
    <x v="28"/>
    <s v="BBVA"/>
    <e v="#NAME?"/>
    <x v="3"/>
    <n v="0.15"/>
    <s v="Desarrollador"/>
    <s v="Mainframe"/>
    <m/>
    <e v="#NAME?"/>
    <e v="#NAME?"/>
    <e v="#NAME?"/>
    <m/>
    <m/>
    <m/>
    <m/>
    <m/>
  </r>
  <r>
    <s v="O000437"/>
    <s v="EDISON TRONCOSO PARADA"/>
    <x v="3"/>
    <x v="28"/>
    <s v="BBVA"/>
    <e v="#NAME?"/>
    <x v="216"/>
    <n v="0.4"/>
    <s v="Desarrollador"/>
    <s v="Mainframe"/>
    <m/>
    <e v="#NAME?"/>
    <e v="#NAME?"/>
    <e v="#NAME?"/>
    <m/>
    <m/>
    <m/>
    <m/>
    <m/>
  </r>
  <r>
    <s v="O000437"/>
    <s v="EDISON TRONCOSO PARADA"/>
    <x v="3"/>
    <x v="28"/>
    <s v="BBVA"/>
    <e v="#NAME?"/>
    <x v="20"/>
    <n v="0.05"/>
    <s v="Desarrollador"/>
    <s v="Mainframe"/>
    <m/>
    <e v="#NAME?"/>
    <e v="#NAME?"/>
    <e v="#NAME?"/>
    <m/>
    <m/>
    <m/>
    <m/>
    <m/>
  </r>
  <r>
    <s v="O000437"/>
    <s v="EDISON TRONCOSO PARADA"/>
    <x v="3"/>
    <x v="28"/>
    <s v="BBVA"/>
    <e v="#NAME?"/>
    <x v="217"/>
    <n v="0.25"/>
    <s v="Desarrollador"/>
    <s v="Mainframe"/>
    <m/>
    <e v="#NAME?"/>
    <e v="#NAME?"/>
    <e v="#NAME?"/>
    <m/>
    <m/>
    <m/>
    <m/>
    <m/>
  </r>
  <r>
    <s v="O000443"/>
    <s v="OSCAR BARBOSA OSPINA"/>
    <x v="3"/>
    <x v="28"/>
    <s v="BBVA"/>
    <e v="#NAME?"/>
    <x v="216"/>
    <n v="0.2"/>
    <s v="Tech Manager/Líder"/>
    <s v="Mainframe"/>
    <m/>
    <e v="#NAME?"/>
    <e v="#NAME?"/>
    <e v="#NAME?"/>
    <m/>
    <m/>
    <m/>
    <m/>
    <m/>
  </r>
  <r>
    <s v="O001817"/>
    <s v="ALEX EDWIN TOSCANO MAESTRE"/>
    <x v="3"/>
    <x v="28"/>
    <s v="BBVA"/>
    <e v="#NAME?"/>
    <x v="3"/>
    <n v="0.08"/>
    <s v="Desarrollador"/>
    <s v="Mainframe"/>
    <m/>
    <e v="#NAME?"/>
    <e v="#NAME?"/>
    <e v="#NAME?"/>
    <m/>
    <m/>
    <m/>
    <m/>
    <m/>
  </r>
  <r>
    <s v="O001817"/>
    <s v="ALEX EDWIN TOSCANO MAESTRE"/>
    <x v="3"/>
    <x v="28"/>
    <s v="BBVA"/>
    <e v="#NAME?"/>
    <x v="216"/>
    <n v="0.35"/>
    <s v="Desarrollador"/>
    <s v="Mainframe"/>
    <m/>
    <e v="#NAME?"/>
    <e v="#NAME?"/>
    <e v="#NAME?"/>
    <m/>
    <m/>
    <m/>
    <m/>
    <m/>
  </r>
  <r>
    <s v="O001817"/>
    <s v="ALEX EDWIN TOSCANO MAESTRE"/>
    <x v="3"/>
    <x v="28"/>
    <s v="BBVA"/>
    <e v="#NAME?"/>
    <x v="3"/>
    <n v="0.03"/>
    <s v="Desarrollador"/>
    <s v="Mainframe"/>
    <m/>
    <e v="#NAME?"/>
    <e v="#NAME?"/>
    <e v="#NAME?"/>
    <m/>
    <m/>
    <m/>
    <m/>
    <m/>
  </r>
  <r>
    <s v="O001975"/>
    <s v="FELIPE ANDRES QUINTERO HIGUITA"/>
    <x v="3"/>
    <x v="28"/>
    <s v="BBVA"/>
    <e v="#NAME?"/>
    <x v="216"/>
    <n v="0.9"/>
    <s v="Desarrollador"/>
    <s v="LRBA"/>
    <m/>
    <e v="#NAME?"/>
    <e v="#NAME?"/>
    <e v="#NAME?"/>
    <m/>
    <m/>
    <m/>
    <m/>
    <m/>
  </r>
  <r>
    <s v="O001975"/>
    <s v="FELIPE ANDRES QUINTERO HIGUITA"/>
    <x v="3"/>
    <x v="28"/>
    <s v="BBVA"/>
    <e v="#NAME?"/>
    <x v="3"/>
    <n v="0.1"/>
    <s v="Desarrollador"/>
    <s v="LRBA"/>
    <m/>
    <e v="#NAME?"/>
    <e v="#NAME?"/>
    <e v="#NAME?"/>
    <m/>
    <m/>
    <m/>
    <m/>
    <m/>
  </r>
  <r>
    <s v="O001976"/>
    <s v="OSCAR ANDRES CARDOZA OLANO"/>
    <x v="3"/>
    <x v="28"/>
    <s v="BBVA"/>
    <e v="#NAME?"/>
    <x v="216"/>
    <n v="0.9"/>
    <s v="Desarrollador"/>
    <s v="APX"/>
    <m/>
    <e v="#NAME?"/>
    <e v="#NAME?"/>
    <e v="#NAME?"/>
    <m/>
    <m/>
    <m/>
    <m/>
    <m/>
  </r>
  <r>
    <s v="O001976"/>
    <s v="OSCAR ANDRES CARDOZA OLANO"/>
    <x v="3"/>
    <x v="28"/>
    <s v="BBVA"/>
    <e v="#NAME?"/>
    <x v="3"/>
    <n v="0.1"/>
    <s v="Desarrollador"/>
    <s v="APX"/>
    <m/>
    <e v="#NAME?"/>
    <e v="#NAME?"/>
    <e v="#NAME?"/>
    <m/>
    <m/>
    <m/>
    <m/>
    <m/>
  </r>
  <r>
    <s v="O003809"/>
    <s v="DIEGO ANDRES GUTIERREZ MESA"/>
    <x v="3"/>
    <x v="28"/>
    <s v="BBVA"/>
    <e v="#NAME?"/>
    <x v="216"/>
    <n v="1"/>
    <s v="Tech Manager/Líder"/>
    <s v="LRBA"/>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0443"/>
    <s v="OSCAR BARBOSA OSPINA"/>
    <x v="3"/>
    <x v="28"/>
    <s v="BBVA"/>
    <e v="#NAME?"/>
    <x v="3"/>
    <n v="0.03"/>
    <s v="Desarrollado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1817"/>
    <s v="ALEX EDWIN TOSCANO MAESTRE"/>
    <x v="3"/>
    <x v="28"/>
    <s v="BBVA"/>
    <e v="#NAME?"/>
    <x v="3"/>
    <n v="0.2"/>
    <s v="Desarrollador"/>
    <s v="Mainframe"/>
    <m/>
    <e v="#NAME?"/>
    <e v="#NAME?"/>
    <e v="#NAME?"/>
    <m/>
    <m/>
    <m/>
    <m/>
    <m/>
  </r>
  <r>
    <s v="O000443"/>
    <s v="OSCAR BARBOSA OSPINA"/>
    <x v="3"/>
    <x v="28"/>
    <s v="BBVA"/>
    <e v="#NAME?"/>
    <x v="3"/>
    <n v="0.03"/>
    <s v="Tech Manager/Líder"/>
    <s v="Mainframe"/>
    <m/>
    <e v="#NAME?"/>
    <e v="#NAME?"/>
    <e v="#NAME?"/>
    <m/>
    <m/>
    <m/>
    <m/>
    <m/>
  </r>
  <r>
    <s v="O000437"/>
    <s v="EDISON TRONCOSO PARADA"/>
    <x v="3"/>
    <x v="28"/>
    <s v="BBVA"/>
    <e v="#NAME?"/>
    <x v="3"/>
    <n v="0.05"/>
    <s v="Desarrollador"/>
    <s v="Mainframe"/>
    <m/>
    <e v="#NAME?"/>
    <e v="#NAME?"/>
    <e v="#NAME?"/>
    <m/>
    <m/>
    <m/>
    <m/>
    <m/>
  </r>
  <r>
    <s v="O000443"/>
    <s v="OSCAR BARBOSA OSPINA"/>
    <x v="3"/>
    <x v="28"/>
    <s v="BBVA"/>
    <e v="#NAME?"/>
    <x v="3"/>
    <n v="0.03"/>
    <s v="Tech Manager/Líder"/>
    <s v="Mainframe"/>
    <m/>
    <e v="#NAME?"/>
    <e v="#NAME?"/>
    <e v="#NAME?"/>
    <m/>
    <m/>
    <m/>
    <m/>
    <m/>
  </r>
  <r>
    <s v="O001817"/>
    <s v="ALEX EDWIN TOSCANO MAESTRE"/>
    <x v="3"/>
    <x v="28"/>
    <s v="BBVA"/>
    <e v="#NAME?"/>
    <x v="3"/>
    <n v="0.05"/>
    <s v="Desarrollador"/>
    <s v="Mainframe"/>
    <m/>
    <e v="#NAME?"/>
    <e v="#NAME?"/>
    <e v="#NAME?"/>
    <m/>
    <m/>
    <m/>
    <m/>
    <m/>
  </r>
  <r>
    <s v="O000437"/>
    <s v="EDISON TRONCOSO PARADA"/>
    <x v="3"/>
    <x v="28"/>
    <s v="BBVA"/>
    <e v="#NAME?"/>
    <x v="3"/>
    <n v="0.05"/>
    <s v="Desarrollador"/>
    <s v="Mainframe"/>
    <m/>
    <e v="#NAME?"/>
    <e v="#NAME?"/>
    <e v="#NAME?"/>
    <m/>
    <m/>
    <m/>
    <m/>
    <m/>
  </r>
  <r>
    <s v="O001817"/>
    <s v="ALEX EDWIN TOSCANO MAESTRE"/>
    <x v="3"/>
    <x v="28"/>
    <s v="BBVA"/>
    <e v="#NAME?"/>
    <x v="3"/>
    <n v="0.05"/>
    <s v="Desarrollador"/>
    <s v="Mainframe"/>
    <m/>
    <e v="#NAME?"/>
    <e v="#NAME?"/>
    <e v="#NAME?"/>
    <m/>
    <m/>
    <m/>
    <m/>
    <m/>
  </r>
  <r>
    <s v="O000443"/>
    <s v="OSCAR BARBOSA OSPINA"/>
    <x v="3"/>
    <x v="28"/>
    <s v="BBVA"/>
    <e v="#NAME?"/>
    <x v="3"/>
    <n v="0.05"/>
    <s v="Tech Manager/Líder"/>
    <s v="Mainframe"/>
    <m/>
    <e v="#NAME?"/>
    <e v="#NAME?"/>
    <e v="#NAME?"/>
    <m/>
    <m/>
    <m/>
    <m/>
    <m/>
  </r>
  <r>
    <s v="O000437"/>
    <s v="EDISON TRONCOSO PARADA"/>
    <x v="3"/>
    <x v="28"/>
    <s v="BBVA"/>
    <e v="#NAME?"/>
    <x v="3"/>
    <n v="0.05"/>
    <s v="Desarrollador"/>
    <s v="Mainframe"/>
    <m/>
    <e v="#NAME?"/>
    <e v="#NAME?"/>
    <e v="#NAME?"/>
    <m/>
    <m/>
    <m/>
    <m/>
    <m/>
  </r>
  <r>
    <s v="O000443"/>
    <s v="OSCAR BARBOSA OSPINA"/>
    <x v="3"/>
    <x v="28"/>
    <s v="BBVA"/>
    <e v="#NAME?"/>
    <x v="3"/>
    <n v="0.25"/>
    <s v="Tech Manager/Líder"/>
    <s v="Mainframe"/>
    <m/>
    <e v="#NAME?"/>
    <e v="#NAME?"/>
    <e v="#NAME?"/>
    <m/>
    <m/>
    <m/>
    <m/>
    <m/>
  </r>
  <r>
    <s v="O000443"/>
    <s v="OSCAR BARBOSA OSPINA"/>
    <x v="3"/>
    <x v="28"/>
    <s v="BBVA"/>
    <e v="#NAME?"/>
    <x v="217"/>
    <n v="0.1"/>
    <s v="Tech Manager/Líder"/>
    <s v="Mainframe"/>
    <m/>
    <e v="#NAME?"/>
    <e v="#NAME?"/>
    <e v="#NAME?"/>
    <m/>
    <m/>
    <m/>
    <m/>
    <m/>
  </r>
  <r>
    <s v="O000443"/>
    <s v="OSCAR BARBOSA OSPINA"/>
    <x v="3"/>
    <x v="28"/>
    <s v="BBVA"/>
    <e v="#NAME?"/>
    <x v="53"/>
    <n v="0.1"/>
    <s v="Tech Manager/Líder"/>
    <s v="Mainframe"/>
    <m/>
    <e v="#NAME?"/>
    <e v="#NAME?"/>
    <e v="#NAME?"/>
    <m/>
    <m/>
    <m/>
    <m/>
    <m/>
  </r>
  <r>
    <s v="O005000"/>
    <s v="ALEJANDRO LARA MONTANO"/>
    <x v="3"/>
    <x v="28"/>
    <s v="BBVA"/>
    <e v="#NAME?"/>
    <x v="53"/>
    <n v="0.2"/>
    <s v="Desarrollador"/>
    <s v="Mainframe"/>
    <m/>
    <e v="#NAME?"/>
    <e v="#NAME?"/>
    <e v="#NAME?"/>
    <m/>
    <m/>
    <m/>
    <m/>
    <m/>
  </r>
  <r>
    <s v="O005000"/>
    <s v="ALEJANDRO LARA MONTANO"/>
    <x v="3"/>
    <x v="28"/>
    <s v="BBVA"/>
    <e v="#NAME?"/>
    <x v="3"/>
    <n v="0.7"/>
    <s v="Desarrollador"/>
    <s v="Mainframe"/>
    <m/>
    <e v="#NAME?"/>
    <e v="#NAME?"/>
    <e v="#NAME?"/>
    <m/>
    <m/>
    <m/>
    <m/>
    <m/>
  </r>
  <r>
    <s v="O005000"/>
    <s v="ALEJANDRO LARA MONTANO"/>
    <x v="3"/>
    <x v="28"/>
    <s v="BBVA"/>
    <e v="#NAME?"/>
    <x v="216"/>
    <n v="0.1"/>
    <s v="Desarrollador"/>
    <s v="Mainframe"/>
    <m/>
    <e v="#NAME?"/>
    <e v="#NAME?"/>
    <e v="#NAME?"/>
    <m/>
    <m/>
    <m/>
    <m/>
    <m/>
  </r>
  <r>
    <s v="CE56248"/>
    <s v="Andres Jimenez Molina"/>
    <x v="3"/>
    <x v="29"/>
    <s v="Accenture"/>
    <e v="#NAME?"/>
    <x v="3"/>
    <n v="0.5"/>
    <s v="QA"/>
    <s v="Distribuido"/>
    <s v="Bonita 7 y Bonita 5 "/>
    <e v="#NAME?"/>
    <e v="#NAME?"/>
    <e v="#NAME?"/>
    <m/>
    <m/>
    <m/>
    <m/>
    <m/>
  </r>
  <r>
    <s v="CE56248"/>
    <s v="Andres Jimenez Molina"/>
    <x v="3"/>
    <x v="29"/>
    <s v="Accenture"/>
    <e v="#NAME?"/>
    <x v="124"/>
    <n v="0.5"/>
    <s v="QA"/>
    <s v="Distribuido"/>
    <s v="pruebas unitarias en desarrollo"/>
    <e v="#NAME?"/>
    <e v="#NAME?"/>
    <e v="#NAME?"/>
    <m/>
    <m/>
    <m/>
    <m/>
    <m/>
  </r>
  <r>
    <s v="C808271"/>
    <s v="CRISTIAN CAMILO APONTE QUIROGA"/>
    <x v="3"/>
    <x v="29"/>
    <s v="BBVA"/>
    <e v="#NAME?"/>
    <x v="218"/>
    <n v="0.8"/>
    <s v="Desarrollador"/>
    <s v="Otras Tec."/>
    <s v="desarrollos F8; Postimplantación F5,6 y 7"/>
    <e v="#NAME?"/>
    <e v="#NAME?"/>
    <e v="#NAME?"/>
    <m/>
    <m/>
    <m/>
    <m/>
    <m/>
  </r>
  <r>
    <s v="C805770"/>
    <s v="Edward Enrique Vaca"/>
    <x v="3"/>
    <x v="29"/>
    <s v="BBVA"/>
    <e v="#NAME?"/>
    <x v="218"/>
    <n v="0.1"/>
    <s v="Desarrollador"/>
    <s v="Otras Tec."/>
    <s v="desarrollos F7,8; Postimplantación F5 y6"/>
    <e v="#NAME?"/>
    <e v="#NAME?"/>
    <e v="#NAME?"/>
    <m/>
    <m/>
    <m/>
    <m/>
    <m/>
  </r>
  <r>
    <s v="C808271"/>
    <s v="CRISTIAN CAMILO APONTE QUIROGA"/>
    <x v="3"/>
    <x v="29"/>
    <s v="BBVA"/>
    <e v="#NAME?"/>
    <x v="219"/>
    <n v="0.2"/>
    <s v="Desarrollador"/>
    <s v="Otras Tec."/>
    <s v="Diseño de front transversal,  maqueta, formación BPMaaS"/>
    <e v="#NAME?"/>
    <e v="#NAME?"/>
    <e v="#NAME?"/>
    <m/>
    <m/>
    <m/>
    <m/>
    <m/>
  </r>
  <r>
    <s v="O002375"/>
    <s v="Cristian David Beltran Barrantes"/>
    <x v="3"/>
    <x v="29"/>
    <s v="BBVA"/>
    <e v="#NAME?"/>
    <x v="3"/>
    <n v="1"/>
    <s v="Desarrollador"/>
    <s v="Otras Tec."/>
    <s v="Arandas, producción y backlog mantenimientos menores"/>
    <e v="#NAME?"/>
    <e v="#NAME?"/>
    <e v="#NAME?"/>
    <m/>
    <m/>
    <m/>
    <m/>
    <m/>
  </r>
  <r>
    <s v="T007650"/>
    <s v="DANNY CAMILO BERNAL BERNAL"/>
    <x v="3"/>
    <x v="29"/>
    <s v="TRYCORE"/>
    <e v="#NAME?"/>
    <x v="124"/>
    <n v="1"/>
    <s v="Desarrollador"/>
    <s v="Otras Tec."/>
    <s v="desarrollos en curso, envio a QA S3 de bril"/>
    <e v="#NAME?"/>
    <e v="#NAME?"/>
    <e v="#NAME?"/>
    <m/>
    <m/>
    <m/>
    <m/>
    <m/>
  </r>
  <r>
    <s v="C343334"/>
    <s v="Edison Jovanny Castillo"/>
    <x v="3"/>
    <x v="29"/>
    <s v="BBVA"/>
    <e v="#NAME?"/>
    <x v="3"/>
    <n v="0.75"/>
    <s v="Desarrollador"/>
    <s v="Otras Tec."/>
    <s v="MN-2091 Reingenieria proceso cancelacion de garantias, desarrollos con entrega a QA S3 agosto"/>
    <e v="#NAME?"/>
    <e v="#NAME?"/>
    <e v="#NAME?"/>
    <m/>
    <m/>
    <m/>
    <m/>
    <m/>
  </r>
  <r>
    <s v="C343334"/>
    <s v="Edison Jovanny Castillo"/>
    <x v="3"/>
    <x v="29"/>
    <s v="BBVA"/>
    <e v="#NAME?"/>
    <x v="3"/>
    <n v="0.1"/>
    <s v="Desarrollador"/>
    <s v="Otras Tec."/>
    <s v="Analisis y Diseño Tecnico conexion IDM con Bonita 7"/>
    <e v="#NAME?"/>
    <e v="#NAME?"/>
    <e v="#NAME?"/>
    <m/>
    <m/>
    <m/>
    <m/>
    <m/>
  </r>
  <r>
    <s v="C343334"/>
    <s v="Edison Jovanny Castillo"/>
    <x v="3"/>
    <x v="29"/>
    <s v="BBVA"/>
    <e v="#NAME?"/>
    <x v="3"/>
    <n v="0.05"/>
    <s v="Desarrollador"/>
    <s v="Otras Tec."/>
    <s v="Prioridad Alta Bandeja de entrada B7Prioridad Alta Bandeja de entrada B7"/>
    <e v="#NAME?"/>
    <e v="#NAME?"/>
    <e v="#NAME?"/>
    <m/>
    <m/>
    <m/>
    <m/>
    <m/>
  </r>
  <r>
    <s v="C343334"/>
    <s v="Edison Jovanny Castillo"/>
    <x v="3"/>
    <x v="29"/>
    <s v="BBVA"/>
    <e v="#NAME?"/>
    <x v="219"/>
    <n v="0.1"/>
    <s v="Desarrollador"/>
    <s v="Otras Tec."/>
    <s v="Diseño de front transversal,  maqueta, formación BPMaaS"/>
    <e v="#NAME?"/>
    <e v="#NAME?"/>
    <e v="#NAME?"/>
    <m/>
    <m/>
    <m/>
    <m/>
    <m/>
  </r>
  <r>
    <s v="C805770"/>
    <s v="Edward Enrique Vaca"/>
    <x v="3"/>
    <x v="29"/>
    <s v="BBVA"/>
    <e v="#NAME?"/>
    <x v="124"/>
    <n v="0.5"/>
    <s v="Desarrollador"/>
    <s v="Otras Tec."/>
    <s v="Lider tecnico para BPM , envio a QA S3 abril"/>
    <e v="#NAME?"/>
    <e v="#NAME?"/>
    <e v="#NAME?"/>
    <m/>
    <m/>
    <m/>
    <m/>
    <m/>
  </r>
  <r>
    <s v="C805770"/>
    <s v="Edward Enrique Vaca"/>
    <x v="3"/>
    <x v="29"/>
    <s v="BBVA"/>
    <e v="#NAME?"/>
    <x v="3"/>
    <n v="0.35"/>
    <s v="Desarrollador"/>
    <s v="Otras Tec."/>
    <s v="MN-2091 Reingenieria proceso cancelacion de garantias, desarrollos con entrega a QA S3 agosto"/>
    <e v="#NAME?"/>
    <e v="#NAME?"/>
    <e v="#NAME?"/>
    <m/>
    <m/>
    <m/>
    <m/>
    <m/>
  </r>
  <r>
    <s v="C805770"/>
    <s v="Edward Enrique Vaca"/>
    <x v="3"/>
    <x v="29"/>
    <s v="BBVA"/>
    <e v="#NAME?"/>
    <x v="3"/>
    <n v="0.05"/>
    <s v="Desarrollador"/>
    <s v="Otras Tec."/>
    <s v="Prioridad Alta Bandeja de entrada B7Prioridad Alta Bandeja de entrada B7"/>
    <e v="#NAME?"/>
    <e v="#NAME?"/>
    <e v="#NAME?"/>
    <m/>
    <m/>
    <m/>
    <m/>
    <m/>
  </r>
  <r>
    <s v="C804325"/>
    <s v="Edwin Giovanny Cetina Pinzón."/>
    <x v="3"/>
    <x v="29"/>
    <s v="BBVA"/>
    <e v="#NAME?"/>
    <x v="124"/>
    <n v="0.2"/>
    <s v="Desarrollador"/>
    <s v="Otras Tec."/>
    <s v="finaliza desarrollos la S3 Abril"/>
    <e v="#NAME?"/>
    <e v="#NAME?"/>
    <e v="#NAME?"/>
    <m/>
    <m/>
    <m/>
    <m/>
    <m/>
  </r>
  <r>
    <s v="C804325"/>
    <s v="Edwin Giovanny Cetina Pinzón."/>
    <x v="3"/>
    <x v="29"/>
    <s v="BBVA"/>
    <e v="#NAME?"/>
    <x v="220"/>
    <n v="0.1"/>
    <s v="Desarrollador"/>
    <s v="Otras Tec."/>
    <s v="Gestión con Meraki para atención de mejora en visualizacion  de documentos"/>
    <e v="#NAME?"/>
    <e v="#NAME?"/>
    <e v="#NAME?"/>
    <m/>
    <m/>
    <m/>
    <m/>
    <m/>
  </r>
  <r>
    <s v="C804325"/>
    <s v="Edwin Giovanny Cetina Pinzón."/>
    <x v="3"/>
    <x v="29"/>
    <s v="BBVA"/>
    <e v="#NAME?"/>
    <x v="221"/>
    <n v="0"/>
    <s v="Desarrollador"/>
    <s v="Otras Tec."/>
    <s v="apoyo postimplantación"/>
    <e v="#NAME?"/>
    <e v="#NAME?"/>
    <e v="#NAME?"/>
    <m/>
    <m/>
    <m/>
    <m/>
    <m/>
  </r>
  <r>
    <s v="C804325"/>
    <s v="Edwin Giovanny Cetina Pinzón."/>
    <x v="3"/>
    <x v="29"/>
    <s v="BBVA"/>
    <e v="#NAME?"/>
    <x v="3"/>
    <n v="0.05"/>
    <s v="Desarrollador"/>
    <s v="Otras Tec."/>
    <s v="CAP Retail atencion de arandas entrega a equipo de operación"/>
    <e v="#NAME?"/>
    <e v="#NAME?"/>
    <e v="#NAME?"/>
    <m/>
    <m/>
    <m/>
    <m/>
    <m/>
  </r>
  <r>
    <s v="C804325"/>
    <s v="Edwin Giovanny Cetina Pinzón."/>
    <x v="3"/>
    <x v="29"/>
    <s v="BBVA"/>
    <e v="#NAME?"/>
    <x v="75"/>
    <n v="0.65"/>
    <s v="Desarrollador"/>
    <s v="Otras Tec."/>
    <s v="Formación en BPMaaS y COLWSBPE-115 Optimización de proceso de contratación de tarjetas en fábrica (IDP)- Fase I"/>
    <e v="#NAME?"/>
    <e v="#NAME?"/>
    <e v="#NAME?"/>
    <m/>
    <m/>
    <m/>
    <m/>
    <m/>
  </r>
  <r>
    <s v="O002418"/>
    <s v="Faiber Orlando Camelo Romero"/>
    <x v="3"/>
    <x v="29"/>
    <s v="BBVA"/>
    <e v="#NAME?"/>
    <x v="222"/>
    <n v="0.05"/>
    <s v="Desarrollador"/>
    <s v="Otras Tec."/>
    <s v="compromiso S1 abril en produccion"/>
    <e v="#NAME?"/>
    <e v="#NAME?"/>
    <e v="#NAME?"/>
    <m/>
    <m/>
    <m/>
    <m/>
    <m/>
  </r>
  <r>
    <s v="O002418"/>
    <s v="Faiber Orlando Camelo Romero"/>
    <x v="3"/>
    <x v="29"/>
    <s v="BBVA"/>
    <e v="#NAME?"/>
    <x v="219"/>
    <n v="0.2"/>
    <s v="Desarrollador"/>
    <s v="Otras Tec."/>
    <s v="Diseño de front transversal,  maqueta, formación BPMaaS"/>
    <e v="#NAME?"/>
    <e v="#NAME?"/>
    <e v="#NAME?"/>
    <m/>
    <m/>
    <m/>
    <m/>
    <m/>
  </r>
  <r>
    <s v="O002418"/>
    <s v="Faiber Orlando Camelo Romero"/>
    <x v="3"/>
    <x v="29"/>
    <s v="BBVA"/>
    <e v="#NAME?"/>
    <x v="75"/>
    <n v="0.75"/>
    <s v="Desarrollador"/>
    <s v="Otras Tec."/>
    <s v="Formación en Aso y Apx y COLWSBPE-115 Optimización de proceso de contratación de tarjetas en fábrica (IDP)- Fase I"/>
    <e v="#NAME?"/>
    <e v="#NAME?"/>
    <e v="#NAME?"/>
    <m/>
    <m/>
    <m/>
    <m/>
    <m/>
  </r>
  <r>
    <s v="T007646"/>
    <s v="John Edwin Riascos Castillo"/>
    <x v="3"/>
    <x v="29"/>
    <s v="TRYCORE"/>
    <e v="#NAME?"/>
    <x v="3"/>
    <n v="1"/>
    <s v="Desarrollador"/>
    <s v="Otras Tec."/>
    <s v="apoyo estabilizacion poduccion equipo operacion"/>
    <e v="#NAME?"/>
    <e v="#NAME?"/>
    <e v="#NAME?"/>
    <m/>
    <m/>
    <m/>
    <m/>
    <m/>
  </r>
  <r>
    <s v="O002495"/>
    <s v="Juan Daniel Bernal Marin"/>
    <x v="3"/>
    <x v="29"/>
    <s v="BBVA"/>
    <e v="#NAME?"/>
    <x v="3"/>
    <n v="0.9"/>
    <s v="Desarrollador"/>
    <s v="Otras Tec."/>
    <s v="MN-2091 Reingenieria proceso de CG apoyo a desarrollos"/>
    <e v="#NAME?"/>
    <e v="#NAME?"/>
    <e v="#NAME?"/>
    <m/>
    <m/>
    <m/>
    <m/>
    <m/>
  </r>
  <r>
    <s v="C801604"/>
    <s v="Jualian Alberto Rodriguez"/>
    <x v="3"/>
    <x v="29"/>
    <s v="BBVA"/>
    <e v="#NAME?"/>
    <x v="3"/>
    <n v="1"/>
    <s v="Tech Manager/Líder"/>
    <s v="Otras Tec."/>
    <s v="Arandas, producción y backlog mantenimientos menores"/>
    <e v="#NAME?"/>
    <e v="#NAME?"/>
    <e v="#NAME?"/>
    <m/>
    <m/>
    <m/>
    <m/>
    <m/>
  </r>
  <r>
    <s v="O002495"/>
    <s v="Juan Daniel Bernal Marin"/>
    <x v="3"/>
    <x v="29"/>
    <s v="BBVA"/>
    <e v="#NAME?"/>
    <x v="3"/>
    <n v="0.05"/>
    <s v="Desarrollador"/>
    <s v="Otras Tec."/>
    <s v="Prioridad Alta Bandeja de entrada B7Prioridad Alta Bandeja de entrada B7"/>
    <e v="#NAME?"/>
    <e v="#NAME?"/>
    <e v="#NAME?"/>
    <m/>
    <m/>
    <m/>
    <m/>
    <m/>
  </r>
  <r>
    <s v="O002495"/>
    <s v="Juan Daniel Bernal Marin"/>
    <x v="3"/>
    <x v="29"/>
    <s v="BBVA"/>
    <e v="#NAME?"/>
    <x v="75"/>
    <n v="0.05"/>
    <s v="Desarrollador"/>
    <s v="Otras Tec."/>
    <s v="seguimiento post implantación Wizard"/>
    <e v="#NAME?"/>
    <e v="#NAME?"/>
    <e v="#NAME?"/>
    <m/>
    <m/>
    <m/>
    <m/>
    <m/>
  </r>
  <r>
    <s v="CE55472"/>
    <s v="Kevin Danilo López Clopatofsky"/>
    <x v="3"/>
    <x v="29"/>
    <s v="TRYCORE"/>
    <e v="#NAME?"/>
    <x v="218"/>
    <n v="1"/>
    <s v="Desarrollador"/>
    <s v="Otras Tec."/>
    <s v="desarrollos F7,8; Postimplantación F5 y6"/>
    <e v="#NAME?"/>
    <e v="#NAME?"/>
    <e v="#NAME?"/>
    <m/>
    <m/>
    <m/>
    <m/>
    <m/>
  </r>
  <r>
    <s v="CE56948"/>
    <s v="Leandro Augusto Chiguasuque"/>
    <x v="3"/>
    <x v="29"/>
    <s v="TRYCORE"/>
    <e v="#NAME?"/>
    <x v="3"/>
    <n v="1"/>
    <s v="Desarrollador"/>
    <s v="Otras Tec."/>
    <s v="Arandas, producción y backlog mantenimientos menores"/>
    <e v="#NAME?"/>
    <e v="#NAME?"/>
    <e v="#NAME?"/>
    <m/>
    <m/>
    <m/>
    <m/>
    <m/>
  </r>
  <r>
    <s v="CE64615"/>
    <s v="Martha Lucia Aguirre"/>
    <x v="3"/>
    <x v="29"/>
    <s v="GGI / CMC"/>
    <e v="#NAME?"/>
    <x v="3"/>
    <n v="0.4"/>
    <s v="QA"/>
    <s v="Otras Tec."/>
    <s v="MN-2091 Reingenieria proceso de CG pruebas en desarrollo"/>
    <e v="#NAME?"/>
    <e v="#NAME?"/>
    <e v="#NAME?"/>
    <m/>
    <m/>
    <m/>
    <m/>
    <m/>
  </r>
  <r>
    <s v="CE64615"/>
    <s v="Martha Lucia Aguirre"/>
    <x v="3"/>
    <x v="29"/>
    <s v="GGI / CMC"/>
    <e v="#NAME?"/>
    <x v="3"/>
    <n v="0.1"/>
    <s v="QA"/>
    <s v="Otras Tec."/>
    <s v="CAP Pymes GD, Bonita 7 y Bonita 5 "/>
    <e v="#NAME?"/>
    <e v="#NAME?"/>
    <e v="#NAME?"/>
    <m/>
    <m/>
    <m/>
    <m/>
    <m/>
  </r>
  <r>
    <s v="CE64615"/>
    <s v="Martha Lucia Aguirre"/>
    <x v="3"/>
    <x v="29"/>
    <s v="GGI / CMC"/>
    <e v="#NAME?"/>
    <x v="222"/>
    <n v="0.5"/>
    <s v="QA"/>
    <s v="Otras Tec."/>
    <s v="pruebas unitarias en desarrollo"/>
    <e v="#NAME?"/>
    <e v="#NAME?"/>
    <e v="#NAME?"/>
    <m/>
    <m/>
    <m/>
    <m/>
    <m/>
  </r>
  <r>
    <s v="C341738"/>
    <s v="Jose Mauricio Peña"/>
    <x v="3"/>
    <x v="29"/>
    <s v="BBVA"/>
    <e v="#NAME?"/>
    <x v="222"/>
    <n v="0.1"/>
    <s v="Desarrollador"/>
    <s v="Otras Tec."/>
    <s v="compromiso S1 abril en produccion"/>
    <e v="#NAME?"/>
    <e v="#NAME?"/>
    <e v="#NAME?"/>
    <m/>
    <m/>
    <m/>
    <m/>
    <m/>
  </r>
  <r>
    <s v="C341738"/>
    <s v="Jose Mauricio Peña"/>
    <x v="3"/>
    <x v="29"/>
    <s v="BBVA"/>
    <e v="#NAME?"/>
    <x v="3"/>
    <n v="0.9"/>
    <s v="Desarrollador"/>
    <s v="Otras Tec."/>
    <s v="Apoyo estabilizacion  purga casos activos,"/>
    <e v="#NAME?"/>
    <e v="#NAME?"/>
    <e v="#NAME?"/>
    <m/>
    <m/>
    <m/>
    <m/>
    <m/>
  </r>
  <r>
    <s v="C805239"/>
    <s v="Paola Marcela Moreno Sanabria"/>
    <x v="3"/>
    <x v="29"/>
    <s v="BBVA"/>
    <e v="#NAME?"/>
    <x v="75"/>
    <n v="0.75"/>
    <s v="Desarrollador"/>
    <s v="Otras Tec."/>
    <s v="Formación en BPMaaS y COLWSBPE-115 Optimización de proceso de contratación de tarjetas en fábrica (IDP)- Fase I"/>
    <e v="#NAME?"/>
    <e v="#NAME?"/>
    <e v="#NAME?"/>
    <m/>
    <m/>
    <m/>
    <m/>
    <m/>
  </r>
  <r>
    <s v="C805239"/>
    <s v="Paola Marcela Moreno Sanabria"/>
    <x v="3"/>
    <x v="29"/>
    <s v="BBVA"/>
    <e v="#NAME?"/>
    <x v="3"/>
    <n v="0.25"/>
    <s v="Desarrollador"/>
    <s v="Otras Tec."/>
    <s v="MN-2091 Reingenieria proceso de CG desarrollos S2 Junio entrega"/>
    <e v="#NAME?"/>
    <e v="#NAME?"/>
    <e v="#NAME?"/>
    <m/>
    <m/>
    <m/>
    <m/>
    <m/>
  </r>
  <r>
    <s v="C811371"/>
    <s v="Wilson Daniel Bulla Martinez"/>
    <x v="3"/>
    <x v="29"/>
    <s v="BBVA"/>
    <e v="#NAME?"/>
    <x v="3"/>
    <n v="1"/>
    <s v="Desarrollador"/>
    <s v="Otras Tec."/>
    <s v="Arandas, producción y backlog mantenimientos menores"/>
    <e v="#NAME?"/>
    <e v="#NAME?"/>
    <e v="#NAME?"/>
    <m/>
    <m/>
    <m/>
    <m/>
    <m/>
  </r>
  <r>
    <s v="C811159"/>
    <s v="ALEX FERNEY MARTINEZ SERPA"/>
    <x v="3"/>
    <x v="30"/>
    <s v="BBVA"/>
    <e v="#NAME?"/>
    <x v="3"/>
    <n v="0.2"/>
    <s v="Desarrollador"/>
    <s v="Distribuido"/>
    <s v="Soporte Aplicativo "/>
    <e v="#NAME?"/>
    <e v="#NAME?"/>
    <e v="#NAME?"/>
    <m/>
    <m/>
    <m/>
    <m/>
    <m/>
  </r>
  <r>
    <s v="C811159"/>
    <s v="ALEX FERNEY MARTINEZ SERPA"/>
    <x v="3"/>
    <x v="30"/>
    <s v="BBVA"/>
    <e v="#NAME?"/>
    <x v="75"/>
    <n v="0.5"/>
    <s v="Desarrollador"/>
    <s v="Distribuido"/>
    <s v="Evolutivo de mejoras a Ux, a partir de 16 febrero post-implantación "/>
    <e v="#NAME?"/>
    <e v="#NAME?"/>
    <e v="#NAME?"/>
    <m/>
    <m/>
    <m/>
    <m/>
    <m/>
  </r>
  <r>
    <s v="C811159"/>
    <s v="ALEX FERNEY MARTINEZ SERPA"/>
    <x v="3"/>
    <x v="30"/>
    <s v="BBVA"/>
    <e v="#NAME?"/>
    <x v="86"/>
    <n v="0.3"/>
    <s v="Desarrollador"/>
    <s v="Distribuido"/>
    <m/>
    <e v="#NAME?"/>
    <e v="#NAME?"/>
    <e v="#NAME?"/>
    <m/>
    <m/>
    <m/>
    <m/>
    <m/>
  </r>
  <r>
    <s v="O001036_x000a_"/>
    <s v="ANGEL JAVIER BADEL GASCA"/>
    <x v="3"/>
    <x v="30"/>
    <s v="BBVA"/>
    <e v="#NAME?"/>
    <x v="218"/>
    <n v="0.2"/>
    <s v="Desarrollador"/>
    <s v="Distribuido"/>
    <s v="Desarrollo a  EMC8"/>
    <e v="#NAME?"/>
    <e v="#NAME?"/>
    <e v="#NAME?"/>
    <m/>
    <m/>
    <m/>
    <m/>
    <m/>
  </r>
  <r>
    <s v="O001036_x000a_"/>
    <s v="ANGEL JAVIER BADEL GASCA"/>
    <x v="3"/>
    <x v="30"/>
    <s v="BBVA"/>
    <e v="#NAME?"/>
    <x v="3"/>
    <n v="0.8"/>
    <s v="Desarrollador"/>
    <s v="Distribuido"/>
    <s v="Soporte Aplicativo , versionardor CAP"/>
    <e v="#NAME?"/>
    <e v="#NAME?"/>
    <e v="#NAME?"/>
    <m/>
    <m/>
    <m/>
    <m/>
    <m/>
  </r>
  <r>
    <s v="C805866"/>
    <s v="CARLOS ENRIQUE FAJARDO FAJARDO "/>
    <x v="3"/>
    <x v="30"/>
    <s v="BBVA"/>
    <e v="#NAME?"/>
    <x v="223"/>
    <n v="0.9"/>
    <s v="Tech Manager/Líder"/>
    <s v="Otras Tec."/>
    <s v="Liderazgo  proyecto oferta proactiva D+0 "/>
    <e v="#NAME?"/>
    <e v="#NAME?"/>
    <e v="#NAME?"/>
    <m/>
    <m/>
    <m/>
    <m/>
    <m/>
  </r>
  <r>
    <s v="C805866"/>
    <s v="CARLOS ENRIQUE FAJARDO FAJARDO "/>
    <x v="3"/>
    <x v="30"/>
    <s v="BBVA"/>
    <e v="#NAME?"/>
    <x v="3"/>
    <n v="0.1"/>
    <s v="Tech Manager/Líder"/>
    <s v="Otras Tec."/>
    <s v="Soporte Aplicativo"/>
    <e v="#NAME?"/>
    <e v="#NAME?"/>
    <e v="#NAME?"/>
    <m/>
    <m/>
    <m/>
    <m/>
    <m/>
  </r>
  <r>
    <s v="C810754_x000a_"/>
    <s v="DEIVIS JAVIER MIRANDA RAMOS "/>
    <x v="3"/>
    <x v="30"/>
    <s v="BBVA"/>
    <e v="#NAME?"/>
    <x v="223"/>
    <n v="1"/>
    <s v="Desarrollador"/>
    <s v="Distribuido"/>
    <s v="Análisis, diseño y desarrollo CAP Proyecto Oferta D+0"/>
    <e v="#NAME?"/>
    <e v="#NAME?"/>
    <e v="#NAME?"/>
    <m/>
    <m/>
    <m/>
    <m/>
    <m/>
  </r>
  <r>
    <s v="CE69111"/>
    <s v="EDNA YURANI GIL"/>
    <x v="3"/>
    <x v="30"/>
    <s v="Choucair"/>
    <e v="#NAME?"/>
    <x v="224"/>
    <n v="0.2"/>
    <s v="QA"/>
    <s v="Otras Tec."/>
    <s v="Analálisis, diseño y pruebas a mejoras CAP "/>
    <e v="#NAME?"/>
    <e v="#NAME?"/>
    <e v="#NAME?"/>
    <m/>
    <m/>
    <m/>
    <m/>
    <m/>
  </r>
  <r>
    <s v="CE69111"/>
    <s v="EDNA YURANI GIL"/>
    <x v="3"/>
    <x v="30"/>
    <s v="Choucair"/>
    <e v="#NAME?"/>
    <x v="124"/>
    <n v="0.3"/>
    <s v="QA"/>
    <s v="Otras Tec."/>
    <m/>
    <e v="#NAME?"/>
    <e v="#NAME?"/>
    <e v="#NAME?"/>
    <m/>
    <m/>
    <m/>
    <m/>
    <m/>
  </r>
  <r>
    <s v="CE69111"/>
    <s v="EDNA YURANI GIL"/>
    <x v="3"/>
    <x v="30"/>
    <s v="Choucair"/>
    <e v="#NAME?"/>
    <x v="86"/>
    <n v="0.5"/>
    <s v="QA"/>
    <s v="Otras Tec."/>
    <m/>
    <e v="#NAME?"/>
    <e v="#NAME?"/>
    <e v="#NAME?"/>
    <m/>
    <m/>
    <m/>
    <m/>
    <m/>
  </r>
  <r>
    <s v="O002373_x000a_"/>
    <s v="ESTEBAN ARIAS CARACAS "/>
    <x v="3"/>
    <x v="30"/>
    <s v="BBVA"/>
    <e v="#NAME?"/>
    <x v="215"/>
    <n v="1"/>
    <s v="Desarrollador"/>
    <s v="APX"/>
    <s v="Desarrollador dedicado a la tecnología APX, y para el 1Q realizará actividades de análisis, diseño e implementación de la iniciativa."/>
    <e v="#NAME?"/>
    <e v="#NAME?"/>
    <e v="#NAME?"/>
    <m/>
    <m/>
    <m/>
    <m/>
    <m/>
  </r>
  <r>
    <s v="C604380"/>
    <s v="JAVIER FRANCISCO OSPINA RAMIREZ"/>
    <x v="3"/>
    <x v="30"/>
    <s v="BBVA"/>
    <e v="#NAME?"/>
    <x v="224"/>
    <n v="1"/>
    <s v="QA"/>
    <s v="Otras Tec."/>
    <s v="Pruebas a mejoras CAP retail y pruebas a roda la no afectación CAP"/>
    <e v="#NAME?"/>
    <e v="#NAME?"/>
    <e v="#NAME?"/>
    <m/>
    <m/>
    <m/>
    <m/>
    <m/>
  </r>
  <r>
    <s v="T003428_x000a_"/>
    <s v="JUAN PABLO MORA "/>
    <x v="3"/>
    <x v="30"/>
    <s v="Choucair"/>
    <e v="#NAME?"/>
    <x v="218"/>
    <n v="1"/>
    <s v="QA"/>
    <s v="Otras Tec."/>
    <s v="Analálisis, diseño y pruebas a mejoras CAP "/>
    <e v="#NAME?"/>
    <e v="#NAME?"/>
    <e v="#NAME?"/>
    <m/>
    <m/>
    <m/>
    <m/>
    <m/>
  </r>
  <r>
    <s v="T007157"/>
    <s v="JUAN SEBASTIAN BUSTOS"/>
    <x v="3"/>
    <x v="30"/>
    <s v="Choucair"/>
    <e v="#NAME?"/>
    <x v="223"/>
    <n v="1"/>
    <s v="Desarrollador"/>
    <s v="Distribuido"/>
    <s v="Análisis, diseño y desarrollo CAP Proyecto Oferta D+0"/>
    <e v="#NAME?"/>
    <e v="#NAME?"/>
    <e v="#NAME?"/>
    <m/>
    <m/>
    <m/>
    <m/>
    <m/>
  </r>
  <r>
    <s v="C810787"/>
    <s v="JUAN SEBASTÍAN RODRIGUEZ TOVAR"/>
    <x v="3"/>
    <x v="30"/>
    <s v="BBVA"/>
    <e v="#NAME?"/>
    <x v="224"/>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r>
  <r>
    <s v="C810787"/>
    <s v="JUAN SEBASTÍAN RODRIGUEZ TOVAR"/>
    <x v="3"/>
    <x v="30"/>
    <s v="BBVA"/>
    <e v="#NAME?"/>
    <x v="124"/>
    <n v="0.2"/>
    <s v="Desarrollador"/>
    <s v="Distribuido"/>
    <s v="-Seguimiento a contratación de SW cuota segura con Meraki, aprobación diseño técnico, sanción técnica de software y acompañamiento en calidad para la certificación"/>
    <e v="#NAME?"/>
    <e v="#NAME?"/>
    <e v="#NAME?"/>
    <m/>
    <m/>
    <m/>
    <m/>
    <m/>
  </r>
  <r>
    <s v="C810787"/>
    <s v="JUAN SEBASTÍAN RODRIGUEZ TOVAR"/>
    <x v="3"/>
    <x v="30"/>
    <s v="BBVA"/>
    <e v="#NAME?"/>
    <x v="3"/>
    <n v="0.2"/>
    <s v="Desarrollador"/>
    <s v="Distribuido"/>
    <s v="Soporte Aplicativo "/>
    <e v="#NAME?"/>
    <e v="#NAME?"/>
    <e v="#NAME?"/>
    <m/>
    <m/>
    <m/>
    <m/>
    <m/>
  </r>
  <r>
    <s v="CE70176"/>
    <s v="JULIANA BALCERO "/>
    <x v="3"/>
    <x v="30"/>
    <s v="Choucair"/>
    <e v="#NAME?"/>
    <x v="223"/>
    <n v="1"/>
    <s v="QA"/>
    <s v="Otras Tec."/>
    <s v="Análisis, diseño y pruebas CAP Proyecto Oferta D+0"/>
    <e v="#NAME?"/>
    <e v="#NAME?"/>
    <e v="#NAME?"/>
    <m/>
    <m/>
    <m/>
    <m/>
    <m/>
  </r>
  <r>
    <s v="T007470"/>
    <s v="KAREN ANGELICA ANDRADE"/>
    <x v="3"/>
    <x v="30"/>
    <s v="Inetum"/>
    <e v="#NAME?"/>
    <x v="3"/>
    <n v="1"/>
    <s v="Otros"/>
    <s v="Otras Tec."/>
    <s v="Soporte Aranda, apoyo administrativo "/>
    <e v="#NAME?"/>
    <e v="#NAME?"/>
    <e v="#NAME?"/>
    <m/>
    <m/>
    <m/>
    <m/>
    <m/>
  </r>
  <r>
    <s v="C809512"/>
    <s v="MARTHA BEATRIZ GALLEGO MARIN "/>
    <x v="3"/>
    <x v="30"/>
    <s v="BBVA"/>
    <e v="#NAME?"/>
    <x v="215"/>
    <n v="0.8"/>
    <s v="Tech Manager/Líder"/>
    <s v="APX"/>
    <s v="Análisis, Diseño y Seguimiento Construcción Proyecto"/>
    <e v="#NAME?"/>
    <e v="#NAME?"/>
    <e v="#NAME?"/>
    <m/>
    <m/>
    <m/>
    <m/>
    <m/>
  </r>
  <r>
    <s v="C809512"/>
    <s v="MARTHA BEATRIZ GALLEGO MARIN "/>
    <x v="3"/>
    <x v="30"/>
    <s v="BBVA"/>
    <e v="#NAME?"/>
    <x v="225"/>
    <n v="0.2"/>
    <s v="Tech Manager/Líder"/>
    <s v="APX"/>
    <s v="Análisis , Diseño, Pruebas e implemenación."/>
    <e v="#NAME?"/>
    <e v="#NAME?"/>
    <e v="#NAME?"/>
    <m/>
    <m/>
    <m/>
    <m/>
    <m/>
  </r>
  <r>
    <s v="C810957"/>
    <s v="MATEO ECHEVERRY PELAEZ"/>
    <x v="3"/>
    <x v="30"/>
    <s v="BBVA"/>
    <e v="#NAME?"/>
    <x v="223"/>
    <n v="1"/>
    <s v="Desarrollador"/>
    <s v="Distribuido"/>
    <s v="Análisis, diseño y desarrollo CAP Proyecto Oferta D+0"/>
    <e v="#NAME?"/>
    <e v="#NAME?"/>
    <e v="#NAME?"/>
    <m/>
    <m/>
    <m/>
    <m/>
    <m/>
  </r>
  <r>
    <s v="O003458"/>
    <s v="MOISES ABRAHAM LUNA MOJICA"/>
    <x v="3"/>
    <x v="30"/>
    <s v="BBVA"/>
    <e v="#NAME?"/>
    <x v="215"/>
    <n v="1"/>
    <s v="Desarrollador"/>
    <s v="ASO"/>
    <s v="Desarrollador dedicado a la tecnología ASO, y para el 1Q realizará actividades de análisis, diseño e implementación de la iniciativa."/>
    <e v="#NAME?"/>
    <e v="#NAME?"/>
    <e v="#NAME?"/>
    <m/>
    <m/>
    <m/>
    <m/>
    <m/>
  </r>
  <r>
    <s v="O000471"/>
    <s v="RONAL ALBERTO TABORDA MORENO "/>
    <x v="3"/>
    <x v="30"/>
    <s v="BBVA"/>
    <e v="#NAME?"/>
    <x v="215"/>
    <n v="1"/>
    <s v="Desarrollador"/>
    <s v="Distribuido"/>
    <s v="Desarrollador dedicado a la tecnología APX, y para el 1Q realizará actividades de análisis, diseño e implementación de la iniciativa."/>
    <e v="#NAME?"/>
    <e v="#NAME?"/>
    <e v="#NAME?"/>
    <m/>
    <m/>
    <m/>
    <m/>
    <m/>
  </r>
  <r>
    <s v="CE51433"/>
    <s v="SERGIO OSWALDO ROJAS BERNAL  "/>
    <x v="3"/>
    <x v="30"/>
    <s v="Choucair"/>
    <e v="#NAME?"/>
    <x v="223"/>
    <n v="1"/>
    <s v="Desarrollador"/>
    <s v="Mainframe"/>
    <s v="Análisis, diseño y desarrollo CAP Proyecto Oferta D+0"/>
    <e v="#NAME?"/>
    <e v="#NAME?"/>
    <e v="#NAME?"/>
    <m/>
    <m/>
    <m/>
    <m/>
    <m/>
  </r>
  <r>
    <s v="C342041"/>
    <s v="YANETH MORENO AGUILAR"/>
    <x v="1"/>
    <x v="16"/>
    <s v="BBVA"/>
    <e v="#NAME?"/>
    <x v="3"/>
    <n v="0.25"/>
    <s v="QA"/>
    <s v="Distribuido"/>
    <m/>
    <e v="#NAME?"/>
    <e v="#NAME?"/>
    <e v="#NAME?"/>
    <m/>
    <m/>
    <m/>
    <m/>
    <m/>
  </r>
  <r>
    <s v="C342041"/>
    <s v="YANETH MORENO AGUILAR"/>
    <x v="1"/>
    <x v="1"/>
    <s v="BBVA"/>
    <e v="#NAME?"/>
    <x v="3"/>
    <n v="0.25"/>
    <s v="QA"/>
    <s v="Distribuido"/>
    <m/>
    <e v="#NAME?"/>
    <e v="#NAME?"/>
    <e v="#NAME?"/>
    <m/>
    <m/>
    <m/>
    <m/>
    <m/>
  </r>
  <r>
    <s v="C342041"/>
    <s v="YANETH MORENO AGUILAR"/>
    <x v="1"/>
    <x v="12"/>
    <s v="BBVA"/>
    <e v="#NAME?"/>
    <x v="3"/>
    <n v="0.25"/>
    <s v="QA"/>
    <s v="Distribuido"/>
    <m/>
    <e v="#NAME?"/>
    <e v="#NAME?"/>
    <e v="#NAME?"/>
    <m/>
    <m/>
    <m/>
    <m/>
    <m/>
  </r>
  <r>
    <s v="C342041"/>
    <s v="YANETH MORENO AGUILAR"/>
    <x v="1"/>
    <x v="18"/>
    <s v="BBVA"/>
    <e v="#NAME?"/>
    <x v="3"/>
    <n v="0.25"/>
    <s v="QA"/>
    <s v="Distribuido"/>
    <m/>
    <e v="#NAME?"/>
    <e v="#NAME?"/>
    <e v="#NAME?"/>
    <m/>
    <m/>
    <m/>
    <m/>
    <m/>
  </r>
  <r>
    <s v="CE69277"/>
    <s v="JULIAN I BECERRA BAUTISTA"/>
    <x v="1"/>
    <x v="16"/>
    <s v="GGI / CMC"/>
    <e v="#NAME?"/>
    <x v="3"/>
    <n v="0.5"/>
    <s v="Otros"/>
    <s v="Distribuido"/>
    <m/>
    <e v="#NAME?"/>
    <e v="#NAME?"/>
    <e v="#NAME?"/>
    <m/>
    <m/>
    <m/>
    <m/>
    <m/>
  </r>
  <r>
    <s v="CE69277"/>
    <s v="JULIAN I BECERRA BAUTISTA"/>
    <x v="1"/>
    <x v="1"/>
    <s v="GGI / CMC"/>
    <e v="#NAME?"/>
    <x v="3"/>
    <n v="0.5"/>
    <s v="Otros"/>
    <s v="Distribuido"/>
    <m/>
    <e v="#NAME?"/>
    <e v="#NAME?"/>
    <e v="#NAME?"/>
    <m/>
    <m/>
    <m/>
    <m/>
    <m/>
  </r>
  <r>
    <s v="C811308"/>
    <s v="JOSMAN ALEXANDER KOOP SANTA"/>
    <x v="0"/>
    <x v="10"/>
    <s v="BBVA"/>
    <e v="#NAME?"/>
    <x v="226"/>
    <n v="0.25"/>
    <s v="Tech Manager/Líder"/>
    <s v="Cells"/>
    <m/>
    <e v="#NAME?"/>
    <e v="#NAME?"/>
    <e v="#NAME?"/>
    <m/>
    <m/>
    <m/>
    <m/>
    <m/>
  </r>
  <r>
    <s v="C811308"/>
    <s v="JOSMAN ALEXANDER KOOP SANTA"/>
    <x v="0"/>
    <x v="10"/>
    <s v="BBVA"/>
    <e v="#NAME?"/>
    <x v="88"/>
    <n v="0.25"/>
    <s v="Tech Manager/Líder"/>
    <s v="Cells"/>
    <m/>
    <e v="#NAME?"/>
    <e v="#NAME?"/>
    <e v="#NAME?"/>
    <m/>
    <m/>
    <m/>
    <m/>
    <m/>
  </r>
  <r>
    <s v="C811308"/>
    <s v="JOSMAN ALEXANDER KOOP SANTA"/>
    <x v="0"/>
    <x v="10"/>
    <s v="BBVA"/>
    <e v="#NAME?"/>
    <x v="90"/>
    <n v="0.25"/>
    <s v="Tech Manager/Líder"/>
    <s v="Cells"/>
    <m/>
    <e v="#NAME?"/>
    <e v="#NAME?"/>
    <e v="#NAME?"/>
    <m/>
    <m/>
    <m/>
    <m/>
    <m/>
  </r>
  <r>
    <s v="C811308"/>
    <s v="JOSMAN ALEXANDER KOOP SANTA"/>
    <x v="0"/>
    <x v="10"/>
    <s v="BBVA"/>
    <e v="#NAME?"/>
    <x v="3"/>
    <n v="0.25"/>
    <s v="Tech Manager/Líder"/>
    <s v="Cells"/>
    <m/>
    <e v="#NAME?"/>
    <e v="#NAME?"/>
    <e v="#NAME?"/>
    <m/>
    <m/>
    <m/>
    <m/>
    <m/>
  </r>
  <r>
    <s v="C342040"/>
    <s v="ANDRES FERMIN PITRE JIMENEZ"/>
    <x v="0"/>
    <x v="3"/>
    <s v="BBVA"/>
    <e v="#NAME?"/>
    <x v="93"/>
    <n v="1"/>
    <s v="Tech Manager/Líder"/>
    <s v="Distribuido"/>
    <m/>
    <e v="#NAME?"/>
    <e v="#NAME?"/>
    <e v="#NAME?"/>
    <m/>
    <m/>
    <m/>
    <m/>
    <m/>
  </r>
  <r>
    <s v="C804047"/>
    <s v="OSCAR EDILBERTO MESA TRUJILLO"/>
    <x v="0"/>
    <x v="3"/>
    <s v="BBVA"/>
    <e v="#NAME?"/>
    <x v="22"/>
    <n v="1"/>
    <s v="Tech Manager/Líder"/>
    <s v="Mainframe"/>
    <m/>
    <e v="#NAME?"/>
    <e v="#NAME?"/>
    <e v="#NAME?"/>
    <m/>
    <m/>
    <m/>
    <m/>
    <m/>
  </r>
  <r>
    <s v="C811356"/>
    <s v="JEFFERSON CAMILO ROZO CASTILLO"/>
    <x v="0"/>
    <x v="10"/>
    <s v="BBVA"/>
    <e v="#NAME?"/>
    <x v="90"/>
    <n v="1"/>
    <s v="Tech Manager/Líder"/>
    <s v="Distribuido"/>
    <m/>
    <e v="#NAME?"/>
    <e v="#NAME?"/>
    <e v="#NAME?"/>
    <m/>
    <m/>
    <m/>
    <m/>
    <m/>
  </r>
  <r>
    <s v="CE40475"/>
    <s v="NELSON FERRUCHO"/>
    <x v="5"/>
    <x v="21"/>
    <s v="SII"/>
    <e v="#NAME?"/>
    <x v="3"/>
    <n v="0.5"/>
    <s v="Desarrollador"/>
    <s v="Mainframe"/>
    <m/>
    <e v="#NAME?"/>
    <e v="#NAME?"/>
    <e v="#NAME?"/>
    <m/>
    <m/>
    <m/>
    <m/>
    <m/>
  </r>
  <r>
    <s v="C811397"/>
    <s v="CRISTHIAN CAMILO FIGUEROA ENRIQUEZ"/>
    <x v="0"/>
    <x v="3"/>
    <s v="BBVA"/>
    <e v="#NAME?"/>
    <x v="93"/>
    <n v="1"/>
    <s v="Desarrollador"/>
    <s v="ASO"/>
    <m/>
    <e v="#NAME?"/>
    <e v="#NAME?"/>
    <e v="#NAME?"/>
    <m/>
    <m/>
    <m/>
    <m/>
    <m/>
  </r>
  <r>
    <s v="C805187"/>
    <s v="DIEGO ALEJANDRO QUINTERO VARGAS"/>
    <x v="0"/>
    <x v="3"/>
    <s v="BBVA"/>
    <e v="#NAME?"/>
    <x v="22"/>
    <n v="1"/>
    <s v="Desarrollador"/>
    <s v="APX"/>
    <m/>
    <e v="#NAME?"/>
    <e v="#NAME?"/>
    <e v="#NAME?"/>
    <m/>
    <m/>
    <m/>
    <m/>
    <m/>
  </r>
  <r>
    <s v="CE67846"/>
    <s v="EDSON DANIEL SUAREZ HERNANDEZ"/>
    <x v="0"/>
    <x v="3"/>
    <s v="Accenture"/>
    <e v="#NAME?"/>
    <x v="22"/>
    <n v="1"/>
    <s v="QA"/>
    <s v="Distribuido"/>
    <m/>
    <e v="#NAME?"/>
    <e v="#NAME?"/>
    <e v="#NAME?"/>
    <m/>
    <m/>
    <m/>
    <m/>
    <m/>
  </r>
  <r>
    <s v="O003991"/>
    <s v="CRISTHIAN CAMILO TORRES CASTRO"/>
    <x v="3"/>
    <x v="27"/>
    <s v="BBVA"/>
    <e v="#NAME?"/>
    <x v="3"/>
    <n v="0.3"/>
    <s v="Desarrollador"/>
    <s v="APX"/>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4">
  <r>
    <s v="CE54816"/>
    <s v=" LINA MARCELA SANABRIA BERNAL"/>
    <x v="0"/>
    <x v="0"/>
    <s v="Choucair"/>
    <e v="#NAME?"/>
    <s v="SDATOOL-27703 $ Fixed Income Digital Cross Selling - COL"/>
    <n v="1"/>
    <s v="QA"/>
    <m/>
    <x v="0"/>
    <e v="#NAME?"/>
    <m/>
    <m/>
    <m/>
    <m/>
    <m/>
  </r>
  <r>
    <s v="T004481"/>
    <s v="ACEVEDO SANCHEZ RUBEN DARIO"/>
    <x v="1"/>
    <x v="1"/>
    <s v="Neoris"/>
    <e v="#NAME?"/>
    <s v="SDATOOL-40710 $ GRM Col - Cronos - Plan Ascenso - Mejoras CAP Pymes Fase II"/>
    <n v="0.55000000000000004"/>
    <s v="Desarrollador"/>
    <m/>
    <x v="0"/>
    <e v="#NAME?"/>
    <m/>
    <m/>
    <m/>
    <m/>
    <m/>
  </r>
  <r>
    <s v="T004481"/>
    <s v="ACEVEDO SANCHEZ RUBEN DARIO"/>
    <x v="1"/>
    <x v="1"/>
    <s v="Neoris"/>
    <e v="#NAME?"/>
    <s v="SDATOOL-39826 $ GRM Col- Plan Ascenso - Mejoras en CAP Pymes y disponibilización HdC"/>
    <n v="0.45"/>
    <s v="Desarrollador"/>
    <m/>
    <x v="0"/>
    <e v="#NAME?"/>
    <m/>
    <m/>
    <m/>
    <m/>
    <m/>
  </r>
  <r>
    <s v="CE47497"/>
    <s v="ADOLFO ENRIQUE BERNAL RODRIGUEZ"/>
    <x v="2"/>
    <x v="2"/>
    <s v="SII"/>
    <e v="#NAME?"/>
    <s v="SDATOOL-39246 $ Nuevo tipo de identificación para extranjeros"/>
    <n v="0.4"/>
    <s v="Desarrollador"/>
    <m/>
    <x v="0"/>
    <e v="#NAME?"/>
    <m/>
    <m/>
    <m/>
    <m/>
    <m/>
  </r>
  <r>
    <m/>
    <s v="ADOLFO ENRIQUE BERNAL RODRIGUEZ"/>
    <x v="2"/>
    <x v="2"/>
    <s v="SII"/>
    <e v="#NAME?"/>
    <s v="SDATOOL-37111 $ Cuenta Maestra Adres"/>
    <n v="0.6"/>
    <s v="Desarrollador"/>
    <m/>
    <x v="0"/>
    <e v="#NAME?"/>
    <m/>
    <m/>
    <m/>
    <m/>
    <m/>
  </r>
  <r>
    <s v="T003497"/>
    <s v="ADRIAN DUCUARA BENITEZ"/>
    <x v="2"/>
    <x v="3"/>
    <s v="Accenture"/>
    <e v="#NAME?"/>
    <s v="SDATOOL-34157 $ Evolutivo Parthnership - Crédito en punto de venta de Aliados"/>
    <n v="1"/>
    <s v="Desarrollador"/>
    <m/>
    <x v="0"/>
    <e v="#NAME?"/>
    <m/>
    <m/>
    <m/>
    <m/>
    <m/>
  </r>
  <r>
    <m/>
    <s v="Adrián Ricardo Rojas Villegas"/>
    <x v="3"/>
    <x v="4"/>
    <s v="Meraki"/>
    <e v="#NAME?"/>
    <s v="SDATOOL-40690 $ Plan CRM: Mejoras AUG (Banca Comercial y CSF) Equipo B"/>
    <n v="0.5"/>
    <s v="Desarrollador"/>
    <m/>
    <x v="0"/>
    <e v="#NAME?"/>
    <m/>
    <m/>
    <m/>
    <m/>
    <m/>
  </r>
  <r>
    <s v="CE66885"/>
    <s v="ADRIAN ROJAS"/>
    <x v="2"/>
    <x v="5"/>
    <s v="Meraki"/>
    <e v="#NAME?"/>
    <s v="SDATOOL-36556 $ Parthnerships - Tarjeta de crédito en punto de venta físico  aliados"/>
    <n v="1"/>
    <s v="Desarrollador"/>
    <m/>
    <x v="0"/>
    <e v="#NAME?"/>
    <m/>
    <m/>
    <m/>
    <m/>
    <m/>
  </r>
  <r>
    <s v="C811370"/>
    <s v="ADRIANA ARANGO GIRALDO"/>
    <x v="3"/>
    <x v="6"/>
    <s v="BBVA"/>
    <e v="#NAME?"/>
    <s v="SDATOOL-9053 $ GloMo Colombia"/>
    <n v="1"/>
    <s v="QA"/>
    <m/>
    <x v="1"/>
    <e v="#NAME?"/>
    <m/>
    <m/>
    <m/>
    <m/>
    <m/>
  </r>
  <r>
    <s v="T007662"/>
    <s v="ADRIANA MARCELA RODRIGUEZ"/>
    <x v="3"/>
    <x v="4"/>
    <s v="Neoris"/>
    <e v="#NAME?"/>
    <s v="SDATOOL-40672 $ Plan CRM: Mejoras AUG (Banca Comercial y CSF) Equipo A"/>
    <n v="1"/>
    <s v="Desarrollador"/>
    <m/>
    <x v="0"/>
    <e v="#NAME?"/>
    <m/>
    <m/>
    <m/>
    <m/>
    <m/>
  </r>
  <r>
    <s v="CE70173"/>
    <s v="ADRIANA MAYERLY RAMIREZ"/>
    <x v="2"/>
    <x v="5"/>
    <s v="Choucair"/>
    <e v="#NAME?"/>
    <s v="SDATOOL-37057 $ Pagos QR - Entre cuentas Redeban - Plan Ascenso Mercurio"/>
    <n v="1"/>
    <s v="QA"/>
    <m/>
    <x v="0"/>
    <e v="#NAME?"/>
    <m/>
    <m/>
    <m/>
    <m/>
    <m/>
  </r>
  <r>
    <s v="CE70177"/>
    <s v="Adriana Mercedes Gómez"/>
    <x v="3"/>
    <x v="7"/>
    <s v="Choucair"/>
    <e v="#NAME?"/>
    <s v="SDATOOL-9053 $ GloMo Colombia"/>
    <n v="1"/>
    <s v="QA"/>
    <m/>
    <x v="0"/>
    <e v="#NAME?"/>
    <m/>
    <m/>
    <m/>
    <m/>
    <m/>
  </r>
  <r>
    <s v="CE70177"/>
    <s v="Adriana Mercedez Gómez Monroy"/>
    <x v="3"/>
    <x v="7"/>
    <s v="Choucair"/>
    <e v="#NAME?"/>
    <s v="SDATOOL-36558 $ Transfiya:Transferencias interbancarias inmediatas - Plan Ascenso Privado"/>
    <n v="1"/>
    <s v="QA"/>
    <m/>
    <x v="0"/>
    <e v="#NAME?"/>
    <m/>
    <m/>
    <m/>
    <m/>
    <m/>
  </r>
  <r>
    <s v="T001858"/>
    <s v="AGREDO LLANTEN NESTOR RAUL"/>
    <x v="0"/>
    <x v="8"/>
    <s v="Neoris"/>
    <e v="#NAME?"/>
    <s v="SDATOOL-39255 $ OBSOLESCENCIA APLICATIVA 2022"/>
    <n v="1"/>
    <s v="Desarrollador"/>
    <m/>
    <x v="0"/>
    <e v="#NAME?"/>
    <m/>
    <m/>
    <m/>
    <m/>
    <m/>
  </r>
  <r>
    <s v="O002467"/>
    <s v="ALBA FABIOLA GOMEZ RODRIGUEZ"/>
    <x v="2"/>
    <x v="2"/>
    <s v="BBVA"/>
    <e v="#NAME?"/>
    <s v="SDATOOL-38481 $ Pricing Pasivos (optimización portafolio) - Plan Ascenso Cross Sell"/>
    <n v="1"/>
    <s v="Desarrollador"/>
    <m/>
    <x v="1"/>
    <e v="#NAME?"/>
    <m/>
    <m/>
    <m/>
    <m/>
    <m/>
  </r>
  <r>
    <s v="CE70149"/>
    <s v="ALDANA ROJAS TIHAMER KARLOVICH"/>
    <x v="0"/>
    <x v="8"/>
    <s v="GGI / CMC"/>
    <e v="#NAME?"/>
    <s v="SDATOOL-40555 $ ADELANTO DE VENTA EN GEMA"/>
    <n v="0.5"/>
    <s v="Desarrollador"/>
    <m/>
    <x v="0"/>
    <e v="#NAME?"/>
    <m/>
    <m/>
    <m/>
    <m/>
    <m/>
  </r>
  <r>
    <s v="CE70149"/>
    <s v="ALDANA ROJAS TIHAMER KARLOVICH"/>
    <x v="0"/>
    <x v="8"/>
    <s v="GGI / CMC"/>
    <e v="#NAME?"/>
    <s v="SDATOOL-37425 $ Recaudo DIAN Tarjetas de Crédito Propio Banco través del Botón de pagos PSE para los canales Banca Personas y Banca de Empresas"/>
    <n v="0.5"/>
    <s v="Desarrollador"/>
    <m/>
    <x v="0"/>
    <e v="#NAME?"/>
    <m/>
    <m/>
    <m/>
    <m/>
    <m/>
  </r>
  <r>
    <s v="CE67865"/>
    <s v="Alejandra Barrios"/>
    <x v="3"/>
    <x v="6"/>
    <s v="Accenture"/>
    <e v="#NAME?"/>
    <s v="SDATOOL-9053 $ GloMo Colombia"/>
    <n v="1"/>
    <s v="QA"/>
    <m/>
    <x v="0"/>
    <e v="#NAME?"/>
    <m/>
    <m/>
    <m/>
    <m/>
    <m/>
  </r>
  <r>
    <s v="C810672"/>
    <s v="ALEJANDRA MARIA HINCAPIE AGUIRRE"/>
    <x v="4"/>
    <x v="9"/>
    <s v="BBVA"/>
    <e v="#NAME?"/>
    <s v="SDATOOL-37342 $ SWIFT ISO20022  Ajuste de mensajes Swift a la nueva estructura"/>
    <n v="0.75"/>
    <s v="Desarrollador"/>
    <m/>
    <x v="1"/>
    <e v="#NAME?"/>
    <m/>
    <m/>
    <m/>
    <m/>
    <m/>
  </r>
  <r>
    <s v="C810672"/>
    <s v="ALEJANDRA MARIA HINCAPIE AGUIRRE"/>
    <x v="4"/>
    <x v="9"/>
    <s v="BBVA"/>
    <e v="#NAME?"/>
    <s v="SDATOOL-36047 $ Bloqueo Sobregiro para Pago Capital e Intereses"/>
    <n v="0.25"/>
    <s v="Desarrollador"/>
    <m/>
    <x v="1"/>
    <e v="#NAME?"/>
    <m/>
    <m/>
    <m/>
    <m/>
    <m/>
  </r>
  <r>
    <s v="T001732"/>
    <s v="Alejandro Cano"/>
    <x v="3"/>
    <x v="6"/>
    <s v="Indra"/>
    <e v="#NAME?"/>
    <s v="SDATOOL-9053 $ GloMo Colombia"/>
    <n v="1"/>
    <s v="Desarrollador"/>
    <m/>
    <x v="0"/>
    <e v="#NAME?"/>
    <m/>
    <m/>
    <m/>
    <m/>
    <m/>
  </r>
  <r>
    <s v="CE64519"/>
    <s v="Alejandro Lara Montano"/>
    <x v="1"/>
    <x v="10"/>
    <s v="GGI / CMC"/>
    <e v="#NAME?"/>
    <s v="SDATOOL-37681 $ Ciclo 2 - Resolución 0098 de Octubre 28 de 2020 - Reportes información Exógena Base Impuestos"/>
    <n v="1"/>
    <s v="Desarrollador"/>
    <m/>
    <x v="0"/>
    <e v="#NAME?"/>
    <m/>
    <m/>
    <m/>
    <m/>
    <m/>
  </r>
  <r>
    <s v="O001817"/>
    <s v="ALEX EDWIN TOSCANO MAESTRE"/>
    <x v="2"/>
    <x v="11"/>
    <s v="BBVA"/>
    <e v="#NAME?"/>
    <s v="NOSDA- BAU $ BAU (Mantenimiento y peq. evolutivos)"/>
    <n v="0.6"/>
    <s v="Desarrollador"/>
    <m/>
    <x v="1"/>
    <e v="#NAME?"/>
    <m/>
    <m/>
    <m/>
    <m/>
    <m/>
  </r>
  <r>
    <s v="O001817"/>
    <s v="ALEX EDWIN TOSCANO MAESTRE"/>
    <x v="2"/>
    <x v="11"/>
    <s v="BBVA"/>
    <e v="#NAME?"/>
    <s v="SDATOOL-41171 $ CBS Core Banking Strategy Convivencia Clients and Contracts"/>
    <n v="0.25"/>
    <s v="Desarrollador"/>
    <m/>
    <x v="1"/>
    <e v="#NAME?"/>
    <m/>
    <m/>
    <m/>
    <m/>
    <m/>
  </r>
  <r>
    <s v="O001817"/>
    <s v="ALEX EDWIN TOSCANO MAESTRE"/>
    <x v="2"/>
    <x v="11"/>
    <s v="BBVA"/>
    <e v="#NAME?"/>
    <s v="SDATOOL-37406 $ DECRETO 830 DE 2021 - (PEP)"/>
    <n v="0.15"/>
    <s v="Desarrollador"/>
    <m/>
    <x v="1"/>
    <e v="#NAME?"/>
    <m/>
    <m/>
    <m/>
    <m/>
    <m/>
  </r>
  <r>
    <s v="C811159"/>
    <s v="ALEX FERNEY MARTINEZ SERPA"/>
    <x v="2"/>
    <x v="12"/>
    <s v="BBVA"/>
    <e v="#NAME?"/>
    <s v="NOSDA- BAU $ BAU (Mantenimiento y peq. evolutivos)"/>
    <n v="0.2"/>
    <s v="Desarrollador"/>
    <s v="Soporte Aplicativo "/>
    <x v="1"/>
    <e v="#NAME?"/>
    <m/>
    <m/>
    <m/>
    <m/>
    <m/>
  </r>
  <r>
    <s v="C811159"/>
    <s v="ALEX FERNEY MARTINEZ SERPA"/>
    <x v="2"/>
    <x v="12"/>
    <s v="BBVA"/>
    <e v="#NAME?"/>
    <s v="SDATOOL-38091 $ Higiénicos Plataforma Digital de Oficinas CAP"/>
    <n v="0.2"/>
    <s v="Desarrollador"/>
    <m/>
    <x v="1"/>
    <e v="#NAME?"/>
    <m/>
    <m/>
    <m/>
    <m/>
    <m/>
  </r>
  <r>
    <s v="C811159"/>
    <s v="ALEX FERNEY MARTINEZ SERPA"/>
    <x v="2"/>
    <x v="12"/>
    <s v="BBVA"/>
    <e v="#NAME?"/>
    <s v="SDATOOL-31326 $ Legalización Hipotecario"/>
    <n v="0.5"/>
    <s v="Desarrollador"/>
    <m/>
    <x v="1"/>
    <e v="#NAME?"/>
    <m/>
    <m/>
    <m/>
    <m/>
    <m/>
  </r>
  <r>
    <s v="C811159"/>
    <s v="ALEX FERNEY MARTINEZ SERPA"/>
    <x v="2"/>
    <x v="12"/>
    <s v="BBVA"/>
    <e v="#NAME?"/>
    <s v="SDATOOL-39272 $ GRM-Col-Cambio servicio APL (Aportes en línea)"/>
    <n v="0.1"/>
    <s v="Desarrollador"/>
    <m/>
    <x v="1"/>
    <e v="#NAME?"/>
    <m/>
    <m/>
    <m/>
    <m/>
    <m/>
  </r>
  <r>
    <s v="O001638"/>
    <s v="ALEXANDER PLATA USCATEGUI"/>
    <x v="2"/>
    <x v="2"/>
    <s v="BBVA"/>
    <e v="#NAME?"/>
    <s v="SDATOOL-38481 $ Pricing Pasivos (optimización portafolio) - Plan Ascenso Cross Sell"/>
    <n v="1"/>
    <s v="Desarrollador"/>
    <m/>
    <x v="1"/>
    <e v="#NAME?"/>
    <m/>
    <m/>
    <m/>
    <m/>
    <m/>
  </r>
  <r>
    <s v="T008182"/>
    <s v="ALEXANDRA BARBARA QUINDE DIAZ"/>
    <x v="3"/>
    <x v="4"/>
    <s v="Neoris"/>
    <e v="#NAME?"/>
    <s v="SDATOOL-40672 $ Plan CRM: Mejoras AUG (Banca Comercial y CSF) Equipo A"/>
    <n v="1"/>
    <s v="Desarrollador"/>
    <m/>
    <x v="0"/>
    <e v="#NAME?"/>
    <m/>
    <m/>
    <m/>
    <m/>
    <m/>
  </r>
  <r>
    <s v="CE43419  "/>
    <s v="Alexandra Forero"/>
    <x v="3"/>
    <x v="7"/>
    <s v="GGI / CMC"/>
    <e v="#NAME?"/>
    <s v="NOSDA- BAU $ BAU (Mantenimiento y peq. evolutivos)"/>
    <n v="1"/>
    <s v="Desarrollador"/>
    <m/>
    <x v="0"/>
    <e v="#NAME?"/>
    <m/>
    <m/>
    <m/>
    <m/>
    <m/>
  </r>
  <r>
    <s v="CE67183"/>
    <s v="Alexis A Gonzalez Lancheros"/>
    <x v="3"/>
    <x v="13"/>
    <s v="Choucair"/>
    <e v="#NAME?"/>
    <s v="SDATOOL-41709 $ Fraccionamiento de transacciones en CBs"/>
    <n v="0.4"/>
    <s v="QA"/>
    <m/>
    <x v="0"/>
    <e v="#NAME?"/>
    <m/>
    <m/>
    <m/>
    <m/>
    <m/>
  </r>
  <r>
    <s v="CE67183"/>
    <s v="Alexis A Gonzalez Lancheros"/>
    <x v="3"/>
    <x v="13"/>
    <s v="Choucair"/>
    <e v="#NAME?"/>
    <s v="SDATOOL-39871 $ Cbs Gelsa Paga todo"/>
    <n v="0.4"/>
    <s v="QA"/>
    <m/>
    <x v="0"/>
    <e v="#NAME?"/>
    <m/>
    <m/>
    <m/>
    <m/>
    <m/>
  </r>
  <r>
    <s v="CE67183"/>
    <s v="Alexis A Gonzalez Lancheros"/>
    <x v="3"/>
    <x v="13"/>
    <s v="Choucair"/>
    <e v="#NAME?"/>
    <s v="SDATOOL-40581 $ Corresponsal Bancario Ya Ganaste"/>
    <n v="0.2"/>
    <s v="QA"/>
    <m/>
    <x v="0"/>
    <e v="#NAME?"/>
    <m/>
    <m/>
    <m/>
    <m/>
    <m/>
  </r>
  <r>
    <s v="CE66707"/>
    <s v="ALFONSO PUIN DANIEL FELIPE"/>
    <x v="0"/>
    <x v="8"/>
    <s v="GGI / CMC"/>
    <e v="#NAME?"/>
    <s v="SDATOOL-39255 $ OBSOLESCENCIA APLICATIVA 2022"/>
    <n v="1"/>
    <s v="Desarrollador"/>
    <m/>
    <x v="0"/>
    <e v="#NAME?"/>
    <m/>
    <m/>
    <m/>
    <m/>
    <m/>
  </r>
  <r>
    <s v="C802984"/>
    <s v="ALVARADO URUETA AVELINO RAFAEL"/>
    <x v="0"/>
    <x v="8"/>
    <s v="BBVA"/>
    <e v="#NAME?"/>
    <s v="SDATOOL-39255 $ OBSOLESCENCIA APLICATIVA 2022"/>
    <n v="0.25"/>
    <s v="Desarrollador"/>
    <m/>
    <x v="1"/>
    <e v="#NAME?"/>
    <m/>
    <m/>
    <m/>
    <m/>
    <m/>
  </r>
  <r>
    <s v="C802984"/>
    <s v="ALVARADO URUETA AVELINO RAFAEL"/>
    <x v="0"/>
    <x v="8"/>
    <s v="BBVA"/>
    <e v="#NAME?"/>
    <s v="NOSDA- BAU $ BAU (Mantenimiento y peq. evolutivos)"/>
    <n v="0.75"/>
    <s v="Desarrollador"/>
    <m/>
    <x v="1"/>
    <e v="#NAME?"/>
    <m/>
    <m/>
    <m/>
    <m/>
    <m/>
  </r>
  <r>
    <s v="CE71119"/>
    <s v="Alvaro Alvarez"/>
    <x v="3"/>
    <x v="6"/>
    <s v="Accenture"/>
    <e v="#NAME?"/>
    <s v="SDATOOL-9053 $ GloMo Colombia"/>
    <n v="1"/>
    <s v="Desarrollador"/>
    <m/>
    <x v="0"/>
    <e v="#NAME?"/>
    <m/>
    <m/>
    <m/>
    <m/>
    <m/>
  </r>
  <r>
    <s v="CE60804"/>
    <s v="ALVARO IVAN BARRIOS PINEDA"/>
    <x v="1"/>
    <x v="10"/>
    <s v="Indra"/>
    <e v="#NAME?"/>
    <s v="NOSDA- BAU $ BAU (Mantenimiento y peq. evolutivos)"/>
    <n v="0.5"/>
    <s v="Desarrollador"/>
    <m/>
    <x v="0"/>
    <e v="#NAME?"/>
    <m/>
    <m/>
    <m/>
    <m/>
    <m/>
  </r>
  <r>
    <s v="CE60804"/>
    <s v="ALVARO IVAN BARRIOS PINEDA"/>
    <x v="2"/>
    <x v="11"/>
    <s v="Indra"/>
    <e v="#NAME?"/>
    <s v="NOSDA- BAU $ BAU (Mantenimiento y peq. evolutivos)"/>
    <n v="1"/>
    <s v="Desarrollador"/>
    <m/>
    <x v="0"/>
    <e v="#NAME?"/>
    <m/>
    <m/>
    <m/>
    <m/>
    <m/>
  </r>
  <r>
    <s v="CE65226"/>
    <s v="AMAYA CAMPOS SANTIAGO"/>
    <x v="0"/>
    <x v="8"/>
    <s v="GGI / CMC"/>
    <e v="#NAME?"/>
    <s v="SDATOOL-39358 $ Crédito Virtual"/>
    <n v="1"/>
    <s v="Desarrollador"/>
    <m/>
    <x v="0"/>
    <e v="#NAME?"/>
    <m/>
    <m/>
    <m/>
    <m/>
    <m/>
  </r>
  <r>
    <s v="O001365"/>
    <s v="AMED ESTEBAN VANEGAS GUZMAN"/>
    <x v="1"/>
    <x v="1"/>
    <s v="BBVA"/>
    <e v="#NAME?"/>
    <s v="SDATOOL-39463 $ GRM Col - Actualización Versión Power Curve."/>
    <n v="0.4"/>
    <s v="Desarrollador"/>
    <m/>
    <x v="1"/>
    <e v="#NAME?"/>
    <m/>
    <m/>
    <m/>
    <m/>
    <m/>
  </r>
  <r>
    <s v="O001365"/>
    <s v="AMED ESTEBAN VANEGAS GUZMAN"/>
    <x v="1"/>
    <x v="1"/>
    <s v="BBVA"/>
    <e v="#NAME?"/>
    <s v="SDATOOL-40545 $ GRM Col - Mejoras Evolutivas de Aplicativos y Herramientas de Riesgos 2023"/>
    <n v="0.25"/>
    <s v="Desarrollador"/>
    <m/>
    <x v="1"/>
    <e v="#NAME?"/>
    <m/>
    <m/>
    <m/>
    <m/>
    <m/>
  </r>
  <r>
    <s v="O001365"/>
    <s v="AMED ESTEBAN VANEGAS GUZMAN"/>
    <x v="1"/>
    <x v="1"/>
    <s v="BBVA"/>
    <e v="#NAME?"/>
    <s v="SDATOOL-39826 $ GRM Col- Plan Ascenso - Mejoras en CAP Pymes y disponibilización HdC"/>
    <n v="0.3"/>
    <s v="Desarrollador"/>
    <m/>
    <x v="1"/>
    <e v="#NAME?"/>
    <m/>
    <m/>
    <m/>
    <m/>
    <m/>
  </r>
  <r>
    <s v="O001365"/>
    <s v="AMED ESTEBAN VANEGAS GUZMAN"/>
    <x v="1"/>
    <x v="1"/>
    <s v="BBVA"/>
    <e v="#NAME?"/>
    <s v="SDATOOL-41153 $ Cronos - Plan Ascenso - Cap Pymes Transformación circuito admisión"/>
    <n v="0.05"/>
    <s v="Desarrollador"/>
    <m/>
    <x v="1"/>
    <e v="#NAME?"/>
    <m/>
    <m/>
    <m/>
    <m/>
    <m/>
  </r>
  <r>
    <s v="CE70145  "/>
    <s v="Ana Carolina Funes"/>
    <x v="3"/>
    <x v="7"/>
    <s v="GGI / CMC"/>
    <e v="#NAME?"/>
    <s v="NOSDA- BAU $ BAU (Mantenimiento y peq. evolutivos)"/>
    <n v="1"/>
    <s v="Desarrollador"/>
    <m/>
    <x v="0"/>
    <e v="#NAME?"/>
    <m/>
    <m/>
    <m/>
    <m/>
    <m/>
  </r>
  <r>
    <s v="C782982"/>
    <s v="ANA CONSUELO TRASLAVINA RIVAS"/>
    <x v="4"/>
    <x v="14"/>
    <s v="BBVA"/>
    <e v="#NAME?"/>
    <s v="SDATOOL-33907 $ Manejo Fiscal Prima o Descuento Renta Fija"/>
    <n v="0.2"/>
    <s v="Tech Manager/Líder"/>
    <m/>
    <x v="1"/>
    <e v="#NAME?"/>
    <m/>
    <m/>
    <m/>
    <m/>
    <m/>
  </r>
  <r>
    <s v="C782982"/>
    <s v="ANA CONSUELO TRASLAVINA RIVAS"/>
    <x v="4"/>
    <x v="14"/>
    <s v="BBVA"/>
    <e v="#NAME?"/>
    <s v="SDATOOL-40529 $ Aplicativos Finanzas - 2023"/>
    <n v="0.25"/>
    <s v="Tech Manager/Líder"/>
    <m/>
    <x v="1"/>
    <e v="#NAME?"/>
    <m/>
    <m/>
    <m/>
    <m/>
    <m/>
  </r>
  <r>
    <s v="C782982"/>
    <s v="ANA CONSUELO TRASLAVINA RIVAS"/>
    <x v="4"/>
    <x v="14"/>
    <s v="BBVA"/>
    <e v="#NAME?"/>
    <s v="SDATOOL-40545 $ GRM Col - Mejoras Evolutivas de Aplicativos y Herramientas de Riesgos 2023"/>
    <n v="0.1"/>
    <s v="Tech Manager/Líder"/>
    <m/>
    <x v="1"/>
    <e v="#NAME?"/>
    <m/>
    <m/>
    <m/>
    <m/>
    <m/>
  </r>
  <r>
    <s v="C782982"/>
    <s v="ANA CONSUELO TRASLAVINA RIVAS"/>
    <x v="4"/>
    <x v="14"/>
    <s v="BBVA"/>
    <e v="#NAME?"/>
    <s v="SDATOOL-35621 $ DOCUMENTO SOPORTE FASE II - DIALOGO"/>
    <n v="0.2"/>
    <s v="Tech Manager/Líder"/>
    <m/>
    <x v="1"/>
    <e v="#NAME?"/>
    <m/>
    <m/>
    <m/>
    <m/>
    <m/>
  </r>
  <r>
    <s v="C782982"/>
    <s v="ANA CONSUELO TRASLAVINA RIVAS"/>
    <x v="4"/>
    <x v="14"/>
    <s v="BBVA"/>
    <e v="#NAME?"/>
    <s v="SDATOOL-38642 $ CUPON INTERMEDIO"/>
    <n v="0.2"/>
    <s v="Tech Manager/Líder"/>
    <m/>
    <x v="1"/>
    <e v="#NAME?"/>
    <m/>
    <m/>
    <m/>
    <m/>
    <m/>
  </r>
  <r>
    <s v="C782982"/>
    <s v="ANA CONSUELO TRASLAVINA RIVAS"/>
    <x v="4"/>
    <x v="14"/>
    <s v="BBVA"/>
    <e v="#NAME?"/>
    <s v="SDATOOL-41308 $ Aplicativos Tesorería 2023"/>
    <n v="0.05"/>
    <s v="Tech Manager/Líder"/>
    <m/>
    <x v="1"/>
    <e v="#NAME?"/>
    <m/>
    <m/>
    <m/>
    <m/>
    <m/>
  </r>
  <r>
    <s v="T003920"/>
    <s v="ANA MARIA MORENO"/>
    <x v="4"/>
    <x v="14"/>
    <s v="SII"/>
    <e v="#NAME?"/>
    <s v="SDATOOL-42061 $ Murex Limit Control Intradía EOD"/>
    <n v="0.5"/>
    <s v="Otros"/>
    <m/>
    <x v="0"/>
    <e v="#NAME?"/>
    <m/>
    <m/>
    <m/>
    <m/>
    <m/>
  </r>
  <r>
    <s v="T003920"/>
    <s v="ANA MARIA MORENO"/>
    <x v="4"/>
    <x v="14"/>
    <s v="SII"/>
    <e v="#NAME?"/>
    <s v="SDATOOL-42081 $ Evolutivos Migración Murex 3"/>
    <n v="0.5"/>
    <s v="Otros"/>
    <m/>
    <x v="0"/>
    <e v="#NAME?"/>
    <m/>
    <m/>
    <m/>
    <m/>
    <m/>
  </r>
  <r>
    <s v="CE69361"/>
    <s v="Anderson Camilo Aponte Cervera"/>
    <x v="3"/>
    <x v="7"/>
    <s v="Neoris"/>
    <e v="#NAME?"/>
    <s v="SDATOOL-36558 $ Transfiya:Transferencias interbancarias inmediatas - Plan Ascenso Privado"/>
    <n v="1"/>
    <s v="Desarrollador"/>
    <m/>
    <x v="0"/>
    <e v="#NAME?"/>
    <m/>
    <m/>
    <m/>
    <m/>
    <m/>
  </r>
  <r>
    <s v="CE66576"/>
    <s v="Anderson Fabian Camelo"/>
    <x v="3"/>
    <x v="6"/>
    <s v="GGI / CMC"/>
    <e v="#NAME?"/>
    <s v="SDATOOL-9053 $ GloMo Colombia"/>
    <n v="1"/>
    <s v="QA"/>
    <m/>
    <x v="0"/>
    <e v="#NAME?"/>
    <m/>
    <m/>
    <m/>
    <m/>
    <m/>
  </r>
  <r>
    <s v="O001850"/>
    <s v="Andersson Salinas"/>
    <x v="3"/>
    <x v="7"/>
    <s v="BBVA"/>
    <e v="#NAME?"/>
    <s v="SDATOOL-39834 $ Recaudo en Línea Secretaría de Hacienda Distrital - Fase II:  Solución paramétrica de recaudos para la inclusión de 7 formularios tributarios en Canales electrónicos Web y Corresponsal Bancario."/>
    <n v="0.75"/>
    <s v="Desarrollador"/>
    <m/>
    <x v="1"/>
    <e v="#NAME?"/>
    <m/>
    <m/>
    <m/>
    <m/>
    <m/>
  </r>
  <r>
    <s v="O001850"/>
    <s v="Andersson Salinas"/>
    <x v="3"/>
    <x v="7"/>
    <s v="BBVA"/>
    <e v="#NAME?"/>
    <s v="NOSDA- BAU $ BAU (Mantenimiento y peq. evolutivos)"/>
    <n v="0.25"/>
    <s v="Desarrollador"/>
    <m/>
    <x v="1"/>
    <e v="#NAME?"/>
    <m/>
    <m/>
    <m/>
    <m/>
    <m/>
  </r>
  <r>
    <s v="CE17710"/>
    <s v="ANDREA MARIETA LOPEZ PARRA."/>
    <x v="2"/>
    <x v="5"/>
    <s v="Novatec"/>
    <e v="#NAME?"/>
    <s v="NOSDA- BAU $ BAU (Mantenimiento y peq. evolutivos)"/>
    <n v="1"/>
    <s v="Desarrollador"/>
    <m/>
    <x v="0"/>
    <e v="#NAME?"/>
    <m/>
    <m/>
    <m/>
    <m/>
    <m/>
  </r>
  <r>
    <s v="CE64394"/>
    <s v="ANDREI NICOLAS CASTRO MUÑOZ"/>
    <x v="2"/>
    <x v="3"/>
    <s v="KRYPTO"/>
    <e v="#NAME?"/>
    <s v="SDATOOL-36560 $ Pricing de libranza - Plan Ascenso Open Market"/>
    <n v="1"/>
    <s v="QA"/>
    <m/>
    <x v="0"/>
    <e v="#NAME?"/>
    <m/>
    <m/>
    <m/>
    <m/>
    <m/>
  </r>
  <r>
    <s v="O002008"/>
    <s v="ANDRES ALBERTO ARIZA MANTILLA"/>
    <x v="0"/>
    <x v="15"/>
    <s v="BBVA"/>
    <e v="#NAME?"/>
    <s v="SDATOOL-39353 $ Redirección Mobile POS"/>
    <n v="0.75"/>
    <s v="Desarrollador"/>
    <m/>
    <x v="1"/>
    <e v="#NAME?"/>
    <m/>
    <m/>
    <m/>
    <m/>
    <m/>
  </r>
  <r>
    <s v="O002008"/>
    <s v="ANDRES ALBERTO ARIZA MANTILLA"/>
    <x v="0"/>
    <x v="15"/>
    <s v="BBVA"/>
    <e v="#NAME?"/>
    <s v="SDATOOL-40676 $ Contratación y uso de mPOS desde APPs BBVA"/>
    <n v="0.25"/>
    <s v="Desarrollador"/>
    <m/>
    <x v="1"/>
    <e v="#NAME?"/>
    <m/>
    <m/>
    <m/>
    <m/>
    <m/>
  </r>
  <r>
    <s v="T007663"/>
    <s v="ANDRES ALBERTO SAENZ CORDERO"/>
    <x v="3"/>
    <x v="4"/>
    <s v="Neoris"/>
    <e v="#NAME?"/>
    <s v="SDATOOL-40672 $ Plan CRM: Mejoras AUG (Banca Comercial y CSF) Equipo A"/>
    <n v="1"/>
    <s v="Desarrollador"/>
    <m/>
    <x v="0"/>
    <e v="#NAME?"/>
    <m/>
    <m/>
    <m/>
    <m/>
    <m/>
  </r>
  <r>
    <s v="T000410"/>
    <s v="ANDRES ALEJANDRO FAJARDO TORRES"/>
    <x v="2"/>
    <x v="3"/>
    <s v="Globant"/>
    <e v="#NAME?"/>
    <s v="SDATOOL-36548 $ Optimización consumo web - Plan ascenso Open Market"/>
    <n v="0.7"/>
    <s v="Desarrollador"/>
    <m/>
    <x v="0"/>
    <e v="#NAME?"/>
    <m/>
    <m/>
    <m/>
    <m/>
    <m/>
  </r>
  <r>
    <s v="T000410"/>
    <s v="ANDRES ALEJANDRO FAJARDO TORRES"/>
    <x v="2"/>
    <x v="3"/>
    <s v="Globant"/>
    <e v="#NAME?"/>
    <s v="SDATOOL-39272 $ GRM-Col-Cambio servicio APL (Aportes en línea)"/>
    <n v="0.3"/>
    <s v="Desarrollador"/>
    <m/>
    <x v="0"/>
    <e v="#NAME?"/>
    <m/>
    <m/>
    <m/>
    <m/>
    <m/>
  </r>
  <r>
    <s v="T000410"/>
    <s v="Andrés Alejandro Fajardo Torres"/>
    <x v="3"/>
    <x v="16"/>
    <s v="Globant"/>
    <e v="#NAME?"/>
    <s v="SDATOOL-36548 $ Optimización consumo web - Plan ascenso Open Market"/>
    <n v="1"/>
    <s v="Desarrollador"/>
    <m/>
    <x v="0"/>
    <e v="#NAME?"/>
    <m/>
    <m/>
    <m/>
    <m/>
    <m/>
  </r>
  <r>
    <s v="CE67848"/>
    <s v="ANDRES ALFONSO VARELO SILGADO"/>
    <x v="2"/>
    <x v="3"/>
    <s v="Accenture"/>
    <e v="#NAME?"/>
    <s v="SDATOOL-34887 $ Vivienda Digital Open Market"/>
    <n v="0.1"/>
    <s v="Desarrollador"/>
    <m/>
    <x v="0"/>
    <e v="#NAME?"/>
    <m/>
    <m/>
    <m/>
    <m/>
    <m/>
  </r>
  <r>
    <s v="CE67848"/>
    <s v="ANDRES ALFONSO VARELO SILGADO"/>
    <x v="2"/>
    <x v="3"/>
    <s v="Accenture"/>
    <e v="#NAME?"/>
    <s v="SDATOOL-39836 $ Vivienda digital fase III"/>
    <n v="0.7"/>
    <s v="Desarrollador"/>
    <m/>
    <x v="0"/>
    <e v="#NAME?"/>
    <m/>
    <m/>
    <m/>
    <m/>
    <m/>
  </r>
  <r>
    <s v="CE67848"/>
    <s v="ANDRES ALFONSO VARELO SILGADO"/>
    <x v="2"/>
    <x v="3"/>
    <s v="Accenture"/>
    <e v="#NAME?"/>
    <s v="SDATOOL-39272 $ GRM-Col-Cambio servicio APL (Aportes en línea)"/>
    <n v="0.2"/>
    <s v="Desarrollador"/>
    <m/>
    <x v="0"/>
    <e v="#NAME?"/>
    <m/>
    <m/>
    <m/>
    <m/>
    <m/>
  </r>
  <r>
    <s v="C805717"/>
    <s v="ANDRES CAMILO BOHORQUEZ CASTILLO"/>
    <x v="0"/>
    <x v="15"/>
    <s v="BBVA"/>
    <e v="#NAME?"/>
    <s v="SDATOOL-32905 $ Global Enterprises Mobile App (GEMA)"/>
    <n v="1"/>
    <s v="Desarrollador"/>
    <m/>
    <x v="1"/>
    <e v="#NAME?"/>
    <m/>
    <m/>
    <m/>
    <m/>
    <m/>
  </r>
  <r>
    <s v="O001037"/>
    <s v="ANDRES CAMILO PARRA SUAREZ"/>
    <x v="1"/>
    <x v="1"/>
    <s v="BBVA"/>
    <e v="#NAME?"/>
    <s v="SDATOOL-41457 $ NGA - Colombia. EWS (ARCE)"/>
    <n v="0.05"/>
    <s v="Desarrollador"/>
    <m/>
    <x v="1"/>
    <e v="#NAME?"/>
    <m/>
    <m/>
    <m/>
    <m/>
    <m/>
  </r>
  <r>
    <s v="O001037"/>
    <s v="ANDRES CAMILO PARRA SUAREZ"/>
    <x v="1"/>
    <x v="1"/>
    <s v="BBVA"/>
    <e v="#NAME?"/>
    <s v="SDATOOL-41452 $ NGA - Colombia. Proactivo Cliente (CRONOS)"/>
    <n v="0.05"/>
    <s v="Desarrollador"/>
    <m/>
    <x v="1"/>
    <e v="#NAME?"/>
    <m/>
    <m/>
    <m/>
    <m/>
    <m/>
  </r>
  <r>
    <s v="O001037"/>
    <s v="ANDRES CAMILO PARRA SUAREZ"/>
    <x v="1"/>
    <x v="1"/>
    <s v="BBVA"/>
    <e v="#NAME?"/>
    <s v="SDATOOL-41203 $ Obsolescencia Aplicativa 2023"/>
    <n v="0.45"/>
    <s v="Desarrollador"/>
    <m/>
    <x v="1"/>
    <e v="#NAME?"/>
    <m/>
    <m/>
    <m/>
    <m/>
    <m/>
  </r>
  <r>
    <s v="O001037"/>
    <s v="ANDRES CAMILO PARRA SUAREZ"/>
    <x v="1"/>
    <x v="1"/>
    <s v="BBVA"/>
    <e v="#NAME?"/>
    <s v="SDATOOL-35656 $ Cupos y límites"/>
    <n v="0.45"/>
    <s v="Desarrollador"/>
    <m/>
    <x v="1"/>
    <e v="#NAME?"/>
    <m/>
    <m/>
    <m/>
    <m/>
    <m/>
  </r>
  <r>
    <s v="T003707"/>
    <s v="Andres Camilo Ruiz Bravo"/>
    <x v="1"/>
    <x v="1"/>
    <s v="Neoris"/>
    <e v="#NAME?"/>
    <s v="SDATOOL-39463 $ GRM Col - Actualización Versión Power Curve."/>
    <n v="0.35"/>
    <s v="Desarrollador"/>
    <m/>
    <x v="0"/>
    <e v="#NAME?"/>
    <m/>
    <m/>
    <m/>
    <m/>
    <m/>
  </r>
  <r>
    <s v="T003707"/>
    <s v="Andres Camilo Ruiz Bravo"/>
    <x v="1"/>
    <x v="1"/>
    <s v="Neoris"/>
    <e v="#NAME?"/>
    <s v="SDATOOL-40710 $ GRM Col - Cronos - Plan Ascenso - Mejoras CAP Pymes Fase II"/>
    <n v="0.45"/>
    <s v="Desarrollador"/>
    <m/>
    <x v="0"/>
    <e v="#NAME?"/>
    <m/>
    <m/>
    <m/>
    <m/>
    <m/>
  </r>
  <r>
    <s v="T003707"/>
    <s v="Andres Camilo Ruiz Bravo"/>
    <x v="1"/>
    <x v="1"/>
    <s v="Neoris"/>
    <e v="#NAME?"/>
    <s v="SDATOOL-38443 $ Arce Empresas Colombia"/>
    <n v="0.2"/>
    <s v="Desarrollador"/>
    <m/>
    <x v="0"/>
    <e v="#NAME?"/>
    <m/>
    <m/>
    <m/>
    <m/>
    <m/>
  </r>
  <r>
    <s v="T004480"/>
    <s v="ANDRES DAVID ARIAS"/>
    <x v="2"/>
    <x v="5"/>
    <s v="Novatec"/>
    <e v="#NAME?"/>
    <s v="NOSDA- BAU $ BAU (Mantenimiento y peq. evolutivos)"/>
    <n v="1"/>
    <s v="Desarrollador"/>
    <m/>
    <x v="0"/>
    <e v="#NAME?"/>
    <m/>
    <m/>
    <m/>
    <m/>
    <m/>
  </r>
  <r>
    <s v="C808756"/>
    <s v="Andrés Felipe Buitrago"/>
    <x v="1"/>
    <x v="1"/>
    <s v="BBVA"/>
    <e v="#NAME?"/>
    <s v="SDATOOL-39836 $ Vivienda digital fase III"/>
    <n v="1"/>
    <s v="Desarrollador"/>
    <m/>
    <x v="1"/>
    <e v="#NAME?"/>
    <m/>
    <m/>
    <m/>
    <m/>
    <m/>
  </r>
  <r>
    <s v="C804644"/>
    <s v="ANDRES FELIPE CALDERÓN NOVOA"/>
    <x v="3"/>
    <x v="13"/>
    <s v="BBVA"/>
    <e v="#NAME?"/>
    <s v="SDATOOL-40506 $ Disponibilidad de canales físicos en móvil y página blanca"/>
    <n v="0.5"/>
    <s v="Desarrollador"/>
    <m/>
    <x v="1"/>
    <e v="#NAME?"/>
    <m/>
    <m/>
    <m/>
    <m/>
    <m/>
  </r>
  <r>
    <s v="C804644"/>
    <s v="ANDRES FELIPE CALDERÓN NOVOA"/>
    <x v="3"/>
    <x v="13"/>
    <s v="BBVA"/>
    <e v="#NAME?"/>
    <s v="SDATOOL-33947 $ Sinergias Bancamia"/>
    <n v="0.5"/>
    <s v="Desarrollador"/>
    <m/>
    <x v="1"/>
    <e v="#NAME?"/>
    <m/>
    <m/>
    <m/>
    <m/>
    <m/>
  </r>
  <r>
    <s v="C803799"/>
    <s v="Andres Felipe Castañeda Sanchez"/>
    <x v="3"/>
    <x v="6"/>
    <s v="BBVA"/>
    <e v="#NAME?"/>
    <s v="NOSDA- BAU $ BAU (Mantenimiento y peq. evolutivos)"/>
    <n v="1"/>
    <s v="Desarrollador"/>
    <m/>
    <x v="1"/>
    <e v="#NAME?"/>
    <m/>
    <m/>
    <m/>
    <m/>
    <m/>
  </r>
  <r>
    <s v="T004062"/>
    <s v="ANDRES FELIPE FANDINO QUECANA"/>
    <x v="2"/>
    <x v="3"/>
    <s v="Choucair"/>
    <e v="#NAME?"/>
    <s v="SDATOOL-41752 $ Consumo Openmk con Biometría Obligatoria por Nácar para desembolsar"/>
    <n v="1"/>
    <s v="QA"/>
    <m/>
    <x v="0"/>
    <e v="#NAME?"/>
    <m/>
    <m/>
    <m/>
    <m/>
    <m/>
  </r>
  <r>
    <s v="T008459"/>
    <s v="ANDRÉS FELIPE FORERO"/>
    <x v="2"/>
    <x v="3"/>
    <s v="Neoris"/>
    <e v="#NAME?"/>
    <s v="NOSDA- BAU $ BAU (Mantenimiento y peq. evolutivos)"/>
    <n v="1"/>
    <s v="Desarrollador"/>
    <m/>
    <x v="0"/>
    <e v="#NAME?"/>
    <m/>
    <m/>
    <m/>
    <m/>
    <m/>
  </r>
  <r>
    <s v="O000446"/>
    <s v="ANDRES FELIPE FUENTES GARAY"/>
    <x v="2"/>
    <x v="3"/>
    <s v="BBVA"/>
    <e v="#NAME?"/>
    <s v="SDATOOL-40435 $ Cuota Segura créditos de libranza"/>
    <n v="0.25"/>
    <s v="Tech Manager/Líder"/>
    <m/>
    <x v="1"/>
    <e v="#NAME?"/>
    <m/>
    <m/>
    <m/>
    <m/>
    <m/>
  </r>
  <r>
    <s v="O000446"/>
    <s v="ANDRES FELIPE FUENTES GARAY"/>
    <x v="2"/>
    <x v="3"/>
    <s v="BBVA"/>
    <e v="#NAME?"/>
    <s v="SDATOOL-39358 $ Crédito Virtual"/>
    <n v="0.25"/>
    <s v="Tech Manager/Líder"/>
    <m/>
    <x v="1"/>
    <e v="#NAME?"/>
    <m/>
    <m/>
    <m/>
    <m/>
    <m/>
  </r>
  <r>
    <s v="O000446"/>
    <s v="ANDRES FELIPE FUENTES GARAY"/>
    <x v="2"/>
    <x v="3"/>
    <s v="BBVA"/>
    <e v="#NAME?"/>
    <s v="SDATOOL-40555 $ ADELANTO DE VENTA EN GEMA"/>
    <n v="0.2"/>
    <s v="Tech Manager/Líder"/>
    <m/>
    <x v="1"/>
    <e v="#NAME?"/>
    <m/>
    <m/>
    <m/>
    <m/>
    <m/>
  </r>
  <r>
    <s v="O000446"/>
    <s v="ANDRES FELIPE FUENTES GARAY"/>
    <x v="2"/>
    <x v="3"/>
    <s v="BBVA"/>
    <e v="#NAME?"/>
    <s v="SDATOOL-40670 $ Plan CRM: Mejoras DWP Jurídicos (Pymes, Empresas,Gobiernos)"/>
    <n v="0.1"/>
    <s v="Tech Manager/Líder"/>
    <m/>
    <x v="1"/>
    <e v="#NAME?"/>
    <m/>
    <m/>
    <m/>
    <m/>
    <m/>
  </r>
  <r>
    <s v="O000446"/>
    <s v="ANDRES FELIPE FUENTES GARAY"/>
    <x v="2"/>
    <x v="3"/>
    <s v="BBVA"/>
    <e v="#NAME?"/>
    <s v="SDATOOL-39786 $ Sostenibilidad Colombia Fase 2"/>
    <n v="0.1"/>
    <s v="Tech Manager/Líder"/>
    <m/>
    <x v="1"/>
    <e v="#NAME?"/>
    <m/>
    <m/>
    <m/>
    <m/>
    <m/>
  </r>
  <r>
    <s v="O000446"/>
    <s v="ANDRES FELIPE FUENTES GARAY"/>
    <x v="2"/>
    <x v="3"/>
    <s v="BBVA"/>
    <e v="#NAME?"/>
    <s v="SDATOOL-35771 $ Pricing enterprises products - Plan Ascenso Autónomos"/>
    <n v="0.1"/>
    <s v="Tech Manager/Líder"/>
    <m/>
    <x v="1"/>
    <e v="#NAME?"/>
    <m/>
    <m/>
    <m/>
    <m/>
    <m/>
  </r>
  <r>
    <s v="C811378"/>
    <s v="ANDRES FELIPE GOMEZ"/>
    <x v="2"/>
    <x v="17"/>
    <s v="BBVA"/>
    <e v="#NAME?"/>
    <s v="SDATOOL-38742 $ Gestor Documental Retail"/>
    <n v="1"/>
    <s v="Desarrollador"/>
    <m/>
    <x v="1"/>
    <e v="#NAME?"/>
    <m/>
    <m/>
    <m/>
    <m/>
    <m/>
  </r>
  <r>
    <s v="XP66159"/>
    <s v="ANDRES FELIPE GUTIERREZ BAÑOL"/>
    <x v="0"/>
    <x v="18"/>
    <s v="Neoris"/>
    <e v="#NAME?"/>
    <s v="SDATOOL-40528 $ ETPB - SENDA PAGOS"/>
    <n v="1"/>
    <s v="Desarrollador"/>
    <m/>
    <x v="0"/>
    <e v="#NAME?"/>
    <m/>
    <m/>
    <m/>
    <m/>
    <m/>
  </r>
  <r>
    <s v="CE60329"/>
    <s v="Andrés Felipe Mora Santana"/>
    <x v="3"/>
    <x v="19"/>
    <s v="Novatec"/>
    <e v="#NAME?"/>
    <s v="SDATOOL-39870 $ Front - Unificación de pantallas Contac Center"/>
    <n v="1"/>
    <s v="Desarrollador"/>
    <m/>
    <x v="0"/>
    <e v="#NAME?"/>
    <m/>
    <m/>
    <m/>
    <m/>
    <m/>
  </r>
  <r>
    <s v="C811394"/>
    <s v="Andres Felipe Padilla Rojas"/>
    <x v="1"/>
    <x v="1"/>
    <s v="BBVA"/>
    <e v="#NAME?"/>
    <s v="NOSDA- BAU $ BAU (Mantenimiento y peq. evolutivos)"/>
    <n v="1"/>
    <s v="Desarrollador"/>
    <m/>
    <x v="1"/>
    <e v="#NAME?"/>
    <m/>
    <m/>
    <m/>
    <m/>
    <m/>
  </r>
  <r>
    <s v="CE67859"/>
    <s v="Andres Felipe Quintero Salazar"/>
    <x v="3"/>
    <x v="16"/>
    <s v="Accenture"/>
    <e v="#NAME?"/>
    <s v="SDATOOL-37055 $ Cash in- PSE - Plan Ascenso Privado"/>
    <n v="0.5"/>
    <s v="Desarrollador"/>
    <m/>
    <x v="0"/>
    <e v="#NAME?"/>
    <m/>
    <m/>
    <m/>
    <m/>
    <m/>
  </r>
  <r>
    <s v="CE67859"/>
    <s v="Andres Felipe Quintero Salazar"/>
    <x v="3"/>
    <x v="16"/>
    <s v="Accenture"/>
    <e v="#NAME?"/>
    <s v="SDATOOL-39348 $ tarjeta de crédito Open Market Fallback product"/>
    <n v="0.5"/>
    <s v="Desarrollador"/>
    <m/>
    <x v="0"/>
    <e v="#NAME?"/>
    <m/>
    <m/>
    <m/>
    <m/>
    <m/>
  </r>
  <r>
    <s v="C342040"/>
    <s v="ANDRES FERMIN PITRE JIMENEZ"/>
    <x v="0"/>
    <x v="18"/>
    <s v="BBVA"/>
    <e v="#NAME?"/>
    <s v="SDATOOL-40457 $ SENDA (Base)"/>
    <n v="1"/>
    <s v="Tech Manager/Líder"/>
    <m/>
    <x v="1"/>
    <e v="#NAME?"/>
    <m/>
    <m/>
    <m/>
    <m/>
    <m/>
  </r>
  <r>
    <s v="CE66053"/>
    <s v="Andres Francisco Duarte Sanchez"/>
    <x v="1"/>
    <x v="10"/>
    <s v="GGI / CMC"/>
    <e v="#NAME?"/>
    <s v="SDATOOL-40003 $ Resolución 0124 DIAN 2021 - Créditos Hipotecarios para remodelación de Vivienda"/>
    <n v="1"/>
    <s v="Desarrollador"/>
    <m/>
    <x v="0"/>
    <e v="#NAME?"/>
    <m/>
    <m/>
    <m/>
    <m/>
    <m/>
  </r>
  <r>
    <s v="CE56248"/>
    <s v="Andres Jimenez Molina"/>
    <x v="2"/>
    <x v="20"/>
    <s v="Accenture"/>
    <e v="#NAME?"/>
    <s v="NOSDA- BAU $ BAU (Mantenimiento y peq. evolutivos)"/>
    <n v="0.5"/>
    <s v="QA"/>
    <s v="Bonita 7 y Bonita 5 "/>
    <x v="0"/>
    <e v="#NAME?"/>
    <m/>
    <m/>
    <m/>
    <m/>
    <m/>
  </r>
  <r>
    <s v="CE56248"/>
    <s v="Andres Jimenez Molina"/>
    <x v="2"/>
    <x v="20"/>
    <s v="Accenture"/>
    <e v="#NAME?"/>
    <s v="SDATOOL-34910 $ Libranza Digital"/>
    <n v="0.2"/>
    <s v="QA"/>
    <s v="seguimiento Post-implantación"/>
    <x v="0"/>
    <e v="#NAME?"/>
    <m/>
    <m/>
    <m/>
    <m/>
    <m/>
  </r>
  <r>
    <s v="CE56248"/>
    <s v="Andres Jimenez Molina"/>
    <x v="2"/>
    <x v="20"/>
    <s v="Accenture"/>
    <e v="#NAME?"/>
    <s v="SDATOOL-40435 $ Cuota Segura créditos de libranza"/>
    <n v="0.3"/>
    <s v="QA"/>
    <s v="seguimiento Post-implantación"/>
    <x v="0"/>
    <e v="#NAME?"/>
    <m/>
    <m/>
    <m/>
    <m/>
    <m/>
  </r>
  <r>
    <s v="T005396"/>
    <s v="Andres Leonardo Ramirez Sanchez"/>
    <x v="1"/>
    <x v="10"/>
    <s v="GGI / CMC"/>
    <e v="#NAME?"/>
    <s v="SDATOOL-40225 $ Resolución 0124 Dian - 2021 - Ajustes para Reporte de Información Exógena año gravable 2022 - Ciclo 1"/>
    <n v="1"/>
    <s v="Desarrollador"/>
    <m/>
    <x v="0"/>
    <e v="#NAME?"/>
    <m/>
    <m/>
    <m/>
    <m/>
    <m/>
  </r>
  <r>
    <s v="C805964"/>
    <s v="ANDRES RODRIGO COMBARIZA"/>
    <x v="2"/>
    <x v="3"/>
    <s v="BBVA"/>
    <e v="#NAME?"/>
    <s v="SDATOOL-34910 $ Libranza Digital"/>
    <n v="0.25"/>
    <s v="Desarrollador"/>
    <m/>
    <x v="1"/>
    <e v="#NAME?"/>
    <m/>
    <m/>
    <m/>
    <m/>
    <m/>
  </r>
  <r>
    <s v="C805964"/>
    <s v="ANDRES RODRIGO COMBARIZA"/>
    <x v="2"/>
    <x v="3"/>
    <s v="BBVA"/>
    <e v="#NAME?"/>
    <s v="SDATOOL-40670 $ Plan CRM: Mejoras DWP Jurídicos (Pymes, Empresas,Gobiernos)"/>
    <n v="0.75"/>
    <s v="Desarrollador"/>
    <m/>
    <x v="1"/>
    <e v="#NAME?"/>
    <m/>
    <m/>
    <m/>
    <m/>
    <m/>
  </r>
  <r>
    <s v="CE67855"/>
    <s v="ANDREY DAVID NINO GALVIS"/>
    <x v="4"/>
    <x v="9"/>
    <s v="Accenture"/>
    <e v="#NAME?"/>
    <s v="NOSDA- BAU $ BAU (Mantenimiento y peq. evolutivos)"/>
    <n v="1"/>
    <s v="Desarrollador"/>
    <m/>
    <x v="0"/>
    <e v="#NAME?"/>
    <m/>
    <m/>
    <m/>
    <m/>
    <m/>
  </r>
  <r>
    <s v="O001036_x000a_"/>
    <s v="ANGEL JAVIER BADEL GASCA"/>
    <x v="2"/>
    <x v="12"/>
    <s v="BBVA"/>
    <e v="#NAME?"/>
    <s v="SDATOOL-31326 $ Legalización Hipotecario"/>
    <n v="0.75"/>
    <s v="Desarrollador"/>
    <m/>
    <x v="1"/>
    <e v="#NAME?"/>
    <m/>
    <m/>
    <m/>
    <m/>
    <m/>
  </r>
  <r>
    <s v="O001036_x000a_"/>
    <s v="ANGEL JAVIER BADEL GASCA"/>
    <x v="2"/>
    <x v="12"/>
    <s v="BBVA"/>
    <e v="#NAME?"/>
    <s v="NOSDA- BAU $ BAU (Mantenimiento y peq. evolutivos)"/>
    <n v="0.25"/>
    <s v="Desarrollador"/>
    <s v="Soporte Aplicativo "/>
    <x v="1"/>
    <e v="#NAME?"/>
    <m/>
    <m/>
    <m/>
    <m/>
    <m/>
  </r>
  <r>
    <s v="CE54191"/>
    <s v="ANGELA ANDREA BARRETO PRIETO"/>
    <x v="2"/>
    <x v="2"/>
    <s v="Novatec"/>
    <e v="#NAME?"/>
    <s v="SDATOOL-39246 $ Nuevo tipo de identificación para extranjeros"/>
    <n v="0.2"/>
    <s v="Desarrollador"/>
    <s v="Líder Fábrica"/>
    <x v="0"/>
    <e v="#NAME?"/>
    <m/>
    <m/>
    <m/>
    <m/>
    <m/>
  </r>
  <r>
    <s v="C811251"/>
    <s v="Angela Liliana Saenz Fajardo"/>
    <x v="1"/>
    <x v="1"/>
    <s v="BBVA"/>
    <e v="#NAME?"/>
    <s v="NOSDA- BAU $ BAU (Mantenimiento y peq. evolutivos)"/>
    <n v="1"/>
    <s v="Desarrollador"/>
    <m/>
    <x v="1"/>
    <e v="#NAME?"/>
    <m/>
    <m/>
    <m/>
    <m/>
    <m/>
  </r>
  <r>
    <s v="C805316"/>
    <s v="ANGELA MARIA BENITEZ"/>
    <x v="2"/>
    <x v="5"/>
    <s v="BBVA"/>
    <e v="#NAME?"/>
    <s v="SDATOOL-37061 $ Plan de Lealtad Comecios -Plan Ascenso Autónomos"/>
    <n v="1"/>
    <s v="Desarrollador"/>
    <m/>
    <x v="1"/>
    <e v="#NAME?"/>
    <m/>
    <m/>
    <m/>
    <m/>
    <m/>
  </r>
  <r>
    <s v="C810765"/>
    <s v="Angela Maria Diaz"/>
    <x v="1"/>
    <x v="1"/>
    <s v="BBVA"/>
    <e v="#NAME?"/>
    <s v="NOSDA- BAU $ BAU (Mantenimiento y peq. evolutivos)"/>
    <n v="0.5"/>
    <s v="QA"/>
    <s v="Nuestra QC tranversal todo pasa por ella"/>
    <x v="1"/>
    <e v="#NAME?"/>
    <m/>
    <m/>
    <m/>
    <m/>
    <m/>
  </r>
  <r>
    <s v="C797767"/>
    <s v="ANGELA RIVERA"/>
    <x v="2"/>
    <x v="3"/>
    <s v="BBVA"/>
    <e v="#NAME?"/>
    <s v="SDATOOL-39384 $ Abonos a préstamos por canales"/>
    <n v="0.5"/>
    <s v="Desarrollador"/>
    <m/>
    <x v="1"/>
    <e v="#NAME?"/>
    <m/>
    <m/>
    <m/>
    <m/>
    <m/>
  </r>
  <r>
    <s v="C797767"/>
    <s v="ANGELA RIVERA"/>
    <x v="2"/>
    <x v="3"/>
    <s v="BBVA"/>
    <e v="#NAME?"/>
    <s v="SDATOOL-28278 $ GRM Col - TMP Cobranzas - Pago en Canales Alternos"/>
    <n v="0.25"/>
    <s v="Desarrollador"/>
    <m/>
    <x v="1"/>
    <e v="#NAME?"/>
    <m/>
    <m/>
    <m/>
    <m/>
    <m/>
  </r>
  <r>
    <s v="C797767"/>
    <s v="ANGELA RIVERA"/>
    <x v="2"/>
    <x v="3"/>
    <s v="BBVA"/>
    <e v="#NAME?"/>
    <s v="SDATOOL-37136 $ Conexión simulador vía API Vehículo digital"/>
    <n v="0.25"/>
    <s v="Desarrollador"/>
    <m/>
    <x v="1"/>
    <e v="#NAME?"/>
    <m/>
    <m/>
    <m/>
    <m/>
    <m/>
  </r>
  <r>
    <s v="T005152"/>
    <s v="ANGELICA MARINA CASTILLA RENDON"/>
    <x v="0"/>
    <x v="0"/>
    <s v="Inetum"/>
    <e v="#NAME?"/>
    <s v="SDATOOL-36547 $ PLAN MAYOR -PLAN MENOR. Plan ascenso Open Market"/>
    <n v="0.75"/>
    <s v="QA"/>
    <m/>
    <x v="0"/>
    <e v="#NAME?"/>
    <m/>
    <m/>
    <m/>
    <m/>
    <m/>
  </r>
  <r>
    <s v="T005152"/>
    <s v="ANGELICA MARINA CASTILLA RENDON"/>
    <x v="0"/>
    <x v="0"/>
    <s v="Inetum"/>
    <e v="#NAME?"/>
    <s v="SDATOOL-40438 $ CIRCULAR 032 del 2021 - REQUERIMIENTO FISCALIA GENERAL DE LA NACION"/>
    <n v="0.25"/>
    <s v="QA"/>
    <m/>
    <x v="0"/>
    <e v="#NAME?"/>
    <m/>
    <m/>
    <m/>
    <m/>
    <m/>
  </r>
  <r>
    <s v="CE68432"/>
    <s v="ANGELY JOHANA GONZALEZ VILLAMIL"/>
    <x v="0"/>
    <x v="0"/>
    <s v="Choucair"/>
    <e v="#NAME?"/>
    <s v="SDATOOL-37125 $ Factoring - IBR"/>
    <n v="1"/>
    <s v="QA"/>
    <m/>
    <x v="0"/>
    <e v="#NAME?"/>
    <m/>
    <m/>
    <m/>
    <m/>
    <m/>
  </r>
  <r>
    <s v="CE66798"/>
    <s v="Angie Carolina Morales"/>
    <x v="1"/>
    <x v="21"/>
    <s v="Choucair"/>
    <e v="#NAME?"/>
    <s v="SDATOOL-33847 $ Resolución 0042 DIAN Documento Soporte"/>
    <n v="1"/>
    <s v="QA"/>
    <m/>
    <x v="0"/>
    <e v="#NAME?"/>
    <m/>
    <m/>
    <m/>
    <m/>
    <m/>
  </r>
  <r>
    <s v="CE70412"/>
    <s v="Angie Chiguasuque"/>
    <x v="3"/>
    <x v="16"/>
    <s v="Choucair"/>
    <e v="#NAME?"/>
    <s v="SDATOOL-38419 $ Contratación cuenta en línea en Glomo"/>
    <n v="1"/>
    <s v="QA"/>
    <m/>
    <x v="0"/>
    <e v="#NAME?"/>
    <m/>
    <m/>
    <m/>
    <m/>
    <m/>
  </r>
  <r>
    <s v="T002859"/>
    <s v="ANGIE DANIELA PERDOMO RAMIREZ (QA)"/>
    <x v="0"/>
    <x v="22"/>
    <s v="Inetum"/>
    <e v="#NAME?"/>
    <s v="SDATOOL-37130 $ Pago y domiciliación de recaudo"/>
    <n v="1"/>
    <s v="QA"/>
    <m/>
    <x v="0"/>
    <e v="#NAME?"/>
    <m/>
    <m/>
    <m/>
    <m/>
    <m/>
  </r>
  <r>
    <s v="C804832"/>
    <s v="ANTONY SUICA CUARTAS"/>
    <x v="3"/>
    <x v="23"/>
    <s v="BBVA"/>
    <e v="#NAME?"/>
    <s v="SDATOOL-9053 $ GloMo Colombia"/>
    <n v="0.2"/>
    <s v="Desarrollador"/>
    <m/>
    <x v="1"/>
    <e v="#NAME?"/>
    <m/>
    <m/>
    <m/>
    <m/>
    <m/>
  </r>
  <r>
    <s v="C804832"/>
    <s v="ANTONY SUICA CUARTAS"/>
    <x v="3"/>
    <x v="23"/>
    <s v="BBVA"/>
    <e v="#NAME?"/>
    <s v="SDATOOL-9053 $ GloMo Colombia"/>
    <n v="0.2"/>
    <s v="Desarrollador"/>
    <m/>
    <x v="1"/>
    <e v="#NAME?"/>
    <m/>
    <m/>
    <m/>
    <m/>
    <m/>
  </r>
  <r>
    <s v="C804832"/>
    <s v="ANTONY SUICA CUARTAS"/>
    <x v="3"/>
    <x v="23"/>
    <s v="BBVA"/>
    <e v="#NAME?"/>
    <s v="SDATOOL-36903 $ ATM's recicladores: Homologación y funcionalidad EtapaII"/>
    <n v="0.2"/>
    <s v="Desarrollador"/>
    <m/>
    <x v="1"/>
    <e v="#NAME?"/>
    <m/>
    <m/>
    <m/>
    <m/>
    <m/>
  </r>
  <r>
    <s v="C804832"/>
    <s v="ANTONY SUICA CUARTAS"/>
    <x v="3"/>
    <x v="23"/>
    <s v="BBVA"/>
    <e v="#NAME?"/>
    <s v="NOSDA- BAU $ BAU (Mantenimiento y peq. evolutivos)"/>
    <n v="0.2"/>
    <s v="Desarrollador"/>
    <m/>
    <x v="1"/>
    <e v="#NAME?"/>
    <m/>
    <m/>
    <m/>
    <m/>
    <m/>
  </r>
  <r>
    <s v="C804832"/>
    <s v="ANTONY SUICA CUARTAS"/>
    <x v="3"/>
    <x v="23"/>
    <s v="BBVA"/>
    <e v="#NAME?"/>
    <s v="NOSDA- BAU $ BAU (Mantenimiento y peq. evolutivos)"/>
    <n v="0.2"/>
    <s v="Desarrollador"/>
    <m/>
    <x v="1"/>
    <e v="#NAME?"/>
    <m/>
    <m/>
    <m/>
    <m/>
    <m/>
  </r>
  <r>
    <s v="CE68936"/>
    <s v="ANYIE VIVIANA GALINDO"/>
    <x v="2"/>
    <x v="2"/>
    <s v="SII"/>
    <e v="#NAME?"/>
    <s v="NOSDA- BAU $ BAU (Mantenimiento y peq. evolutivos)"/>
    <n v="1"/>
    <s v="Desarrollador"/>
    <s v="Semillero"/>
    <x v="0"/>
    <e v="#NAME?"/>
    <m/>
    <m/>
    <m/>
    <m/>
    <m/>
  </r>
  <r>
    <s v="CE65938"/>
    <s v="AREVALO MORENO DEINA ALEJANDRA"/>
    <x v="0"/>
    <x v="8"/>
    <s v="GGI / CMC"/>
    <e v="#NAME?"/>
    <s v="SDATOOL-37169 $ EGS: Salto país y softoken"/>
    <n v="1"/>
    <s v="Desarrollador"/>
    <m/>
    <x v="0"/>
    <e v="#NAME?"/>
    <m/>
    <m/>
    <m/>
    <m/>
    <m/>
  </r>
  <r>
    <s v="C808359"/>
    <s v="Arlem Chinchia"/>
    <x v="3"/>
    <x v="7"/>
    <s v="BBVA"/>
    <e v="#NAME?"/>
    <s v="NOSDA- BAU $ BAU (Mantenimiento y peq. evolutivos)"/>
    <n v="1"/>
    <s v="Desarrollador"/>
    <m/>
    <x v="1"/>
    <e v="#NAME?"/>
    <m/>
    <m/>
    <m/>
    <m/>
    <m/>
  </r>
  <r>
    <s v="O003229"/>
    <s v="ARMANDO RAFAEL VASQUEZ ALTAMAR"/>
    <x v="1"/>
    <x v="21"/>
    <s v="BBVA"/>
    <e v="#NAME?"/>
    <s v="SDATOOL-38487 $ Mensualización Prima"/>
    <n v="0.1"/>
    <s v="Tech Manager/Líder"/>
    <m/>
    <x v="1"/>
    <e v="#NAME?"/>
    <m/>
    <m/>
    <m/>
    <m/>
    <m/>
  </r>
  <r>
    <s v="O003229"/>
    <s v="ARMANDO RAFAEL VASQUEZ ALTAMAR"/>
    <x v="1"/>
    <x v="21"/>
    <s v="BBVA"/>
    <e v="#NAME?"/>
    <s v="SDATOOL-40546 $ Mejoras Experiencia de Usuario TBM"/>
    <n v="0.2"/>
    <s v="Tech Manager/Líder"/>
    <m/>
    <x v="1"/>
    <e v="#NAME?"/>
    <m/>
    <m/>
    <m/>
    <m/>
    <m/>
  </r>
  <r>
    <s v="O003229"/>
    <s v="ARMANDO RAFAEL VASQUEZ ALTAMAR"/>
    <x v="1"/>
    <x v="21"/>
    <s v="BBVA"/>
    <e v="#NAME?"/>
    <s v="SDATOOL-33847 $ Resolución 0042 DIAN Documento Soporte"/>
    <n v="0.15"/>
    <s v="Tech Manager/Líder"/>
    <m/>
    <x v="1"/>
    <e v="#NAME?"/>
    <m/>
    <m/>
    <m/>
    <m/>
    <m/>
  </r>
  <r>
    <s v="O003229"/>
    <s v="ARMANDO RAFAEL VASQUEZ ALTAMAR"/>
    <x v="1"/>
    <x v="21"/>
    <s v="BBVA"/>
    <e v="#NAME?"/>
    <s v="SDATOOL-28728 $ Contratación electrónica/digital de empleados y Carpeta Virtual 2.0"/>
    <n v="0.3"/>
    <s v="Tech Manager/Líder"/>
    <m/>
    <x v="1"/>
    <e v="#NAME?"/>
    <m/>
    <m/>
    <m/>
    <m/>
    <m/>
  </r>
  <r>
    <s v="O003230"/>
    <s v="ARMANDO RAFAEL VASQUEZ ALTAMAR"/>
    <x v="1"/>
    <x v="21"/>
    <s v="BBVA"/>
    <e v="#NAME?"/>
    <s v="SDATOOL-40706 $ Validaciones en Captura de Terceros Aplicativo TBM"/>
    <n v="0.1"/>
    <s v="Tech Manager/Líder"/>
    <m/>
    <x v="1"/>
    <e v="#NAME?"/>
    <m/>
    <m/>
    <m/>
    <m/>
    <m/>
  </r>
  <r>
    <s v="O003231"/>
    <s v="ARMANDO RAFAEL VASQUEZ ALTAMAR"/>
    <x v="1"/>
    <x v="21"/>
    <s v="BBVA"/>
    <e v="#NAME?"/>
    <s v="SDATOOL-35775 $ (Work Day)  Nueva Plataforma Core Colombia- Impacto en Terceros"/>
    <n v="0.05"/>
    <s v="Tech Manager/Líder"/>
    <m/>
    <x v="1"/>
    <e v="#NAME?"/>
    <m/>
    <m/>
    <m/>
    <m/>
    <m/>
  </r>
  <r>
    <s v="O003232"/>
    <s v="ARMANDO RAFAEL VASQUEZ ALTAMAR"/>
    <x v="1"/>
    <x v="21"/>
    <s v="BBVA"/>
    <e v="#NAME?"/>
    <s v="SDATOOL-40406 $ Plan Mejora recobro de incapacidades"/>
    <n v="0.05"/>
    <s v="Tech Manager/Líder"/>
    <m/>
    <x v="1"/>
    <e v="#NAME?"/>
    <m/>
    <m/>
    <m/>
    <m/>
    <m/>
  </r>
  <r>
    <s v="O003233"/>
    <s v="ARMANDO RAFAEL VASQUEZ ALTAMAR"/>
    <x v="1"/>
    <x v="21"/>
    <s v="BBVA"/>
    <e v="#NAME?"/>
    <s v="SDATOOL-38487 $ Mensualización Prima"/>
    <n v="0.05"/>
    <s v="Tech Manager/Líder"/>
    <m/>
    <x v="1"/>
    <e v="#NAME?"/>
    <m/>
    <m/>
    <m/>
    <m/>
    <m/>
  </r>
  <r>
    <s v="C810865"/>
    <s v="AUGUSTO CARDONA GIRALDO"/>
    <x v="0"/>
    <x v="15"/>
    <s v="BBVA"/>
    <e v="#NAME?"/>
    <s v="SDATOOL-32905 $ Global Enterprises Mobile App (GEMA)"/>
    <n v="1"/>
    <s v="Desarrollador"/>
    <m/>
    <x v="1"/>
    <e v="#NAME?"/>
    <m/>
    <m/>
    <m/>
    <m/>
    <m/>
  </r>
  <r>
    <s v="CE46833"/>
    <s v="AYALA LUIS ALFONSO"/>
    <x v="0"/>
    <x v="8"/>
    <s v="BBVA"/>
    <e v="#NAME?"/>
    <s v="SDATOOL-40482 $ Incluir tasa ponderada en Adquirencia Onboarding digital - Netcash"/>
    <n v="1"/>
    <s v="Desarrollador"/>
    <m/>
    <x v="1"/>
    <e v="#NAME?"/>
    <m/>
    <m/>
    <m/>
    <m/>
    <m/>
  </r>
  <r>
    <s v="T003697"/>
    <s v="BALLEN GAMBOA CRISTIAN"/>
    <x v="0"/>
    <x v="8"/>
    <s v="GGI / CMC"/>
    <e v="#NAME?"/>
    <s v="SDATOOL-39358 $ Crédito Virtual"/>
    <n v="1"/>
    <s v="Desarrollador"/>
    <m/>
    <x v="0"/>
    <e v="#NAME?"/>
    <m/>
    <m/>
    <m/>
    <m/>
    <m/>
  </r>
  <r>
    <s v="C804706"/>
    <s v="Bautista Molina Lina Marcela"/>
    <x v="1"/>
    <x v="1"/>
    <s v="BBVA"/>
    <e v="#NAME?"/>
    <s v="SDATOOL-40545 $ GRM Col - Mejoras Evolutivas de Aplicativos y Herramientas de Riesgos 2023"/>
    <n v="1"/>
    <s v="Desarrollador"/>
    <s v="Endeudamiento paralelo"/>
    <x v="1"/>
    <e v="#NAME?"/>
    <m/>
    <m/>
    <m/>
    <m/>
    <m/>
  </r>
  <r>
    <s v="CE69113"/>
    <s v="BAYRON JEAN PIERRE ARRIAGADA BECERRA"/>
    <x v="0"/>
    <x v="0"/>
    <s v="DIMENSION"/>
    <e v="#NAME?"/>
    <s v="NOSDA- BAU $ BAU (Mantenimiento y peq. evolutivos)"/>
    <n v="1"/>
    <s v="Desarrollador"/>
    <m/>
    <x v="0"/>
    <e v="#NAME?"/>
    <m/>
    <m/>
    <m/>
    <m/>
    <m/>
  </r>
  <r>
    <s v="C811408"/>
    <s v="BENITEZ ATENCIA JAIME RAFAEL"/>
    <x v="0"/>
    <x v="8"/>
    <s v="BBVA"/>
    <e v="#NAME?"/>
    <s v="SDATOOL-40555 $ ADELANTO DE VENTA EN GEMA"/>
    <n v="0.75"/>
    <s v="Desarrollador"/>
    <m/>
    <x v="1"/>
    <e v="#NAME?"/>
    <m/>
    <m/>
    <m/>
    <m/>
    <m/>
  </r>
  <r>
    <s v="C811408"/>
    <s v="BENITEZ ATENCIA JAIME RAFAEL"/>
    <x v="0"/>
    <x v="8"/>
    <s v="BBVA"/>
    <e v="#NAME?"/>
    <s v="SDATOOL-37130 $ Pago y domiciliación de recaudo"/>
    <n v="0.25"/>
    <s v="Desarrollador"/>
    <m/>
    <x v="1"/>
    <e v="#NAME?"/>
    <m/>
    <m/>
    <m/>
    <m/>
    <m/>
  </r>
  <r>
    <s v="C811297"/>
    <s v="BETZY PAOLA JARAMILLO LASTRA"/>
    <x v="0"/>
    <x v="22"/>
    <s v="BBVA"/>
    <e v="#NAME?"/>
    <s v="SDATOOL-35327 $ Impuestos 2021"/>
    <n v="0.5"/>
    <s v="Tech Manager/Líder"/>
    <m/>
    <x v="1"/>
    <e v="#NAME?"/>
    <m/>
    <m/>
    <m/>
    <m/>
    <m/>
  </r>
  <r>
    <s v="C811297"/>
    <s v="BETZY PAOLA JARAMILLO LASTRA"/>
    <x v="0"/>
    <x v="22"/>
    <s v="BBVA"/>
    <e v="#NAME?"/>
    <s v="SDATOOL-37425 $ Recaudo DIAN Tarjetas de Crédito Propio Banco través del Botón de pagos PSE para los canales Banca Personas y Banca de Empresas"/>
    <n v="0.25"/>
    <s v="Tech Manager/Líder"/>
    <m/>
    <x v="1"/>
    <e v="#NAME?"/>
    <m/>
    <m/>
    <m/>
    <m/>
    <m/>
  </r>
  <r>
    <s v="C811297"/>
    <s v="BETZY PAOLA JARAMILLO LASTRA"/>
    <x v="0"/>
    <x v="22"/>
    <s v="BBVA"/>
    <e v="#NAME?"/>
    <s v="SDATOOL-33408 $ Biocatch"/>
    <n v="0.25"/>
    <s v="Tech Manager/Líder"/>
    <m/>
    <x v="1"/>
    <e v="#NAME?"/>
    <m/>
    <m/>
    <m/>
    <m/>
    <m/>
  </r>
  <r>
    <s v="CE70621"/>
    <s v="BRANDON AVILA"/>
    <x v="2"/>
    <x v="3"/>
    <s v="Inetum"/>
    <e v="#NAME?"/>
    <s v="NOSDA- BAU $ BAU (Mantenimiento y peq. evolutivos)"/>
    <n v="1"/>
    <s v="QA"/>
    <m/>
    <x v="0"/>
    <e v="#NAME?"/>
    <m/>
    <m/>
    <m/>
    <m/>
    <m/>
  </r>
  <r>
    <s v="CE69709"/>
    <s v="BRAYAN CAMILO VALCARCEL RIANO"/>
    <x v="2"/>
    <x v="3"/>
    <s v="Choucair"/>
    <e v="#NAME?"/>
    <s v="SDATOOL-36548 $ Optimización consumo web - Plan ascenso Open Market"/>
    <n v="0.5"/>
    <s v="QA"/>
    <m/>
    <x v="0"/>
    <e v="#NAME?"/>
    <m/>
    <m/>
    <m/>
    <m/>
    <m/>
  </r>
  <r>
    <s v="CE69709"/>
    <s v="BRAYAN CAMILO VALCARCEL RIANO"/>
    <x v="2"/>
    <x v="3"/>
    <s v="Choucair"/>
    <e v="#NAME?"/>
    <s v="SDATOOL-39272 $ GRM-Col-Cambio servicio APL (Aportes en línea)"/>
    <n v="0.5"/>
    <s v="QA"/>
    <m/>
    <x v="0"/>
    <e v="#NAME?"/>
    <m/>
    <m/>
    <m/>
    <m/>
    <m/>
  </r>
  <r>
    <s v="C810899"/>
    <s v="BRAYAN JOSE VIVAS GOMEZ"/>
    <x v="0"/>
    <x v="0"/>
    <s v="BBVA"/>
    <e v="#NAME?"/>
    <s v="NOSDA- BAU $ BAU (Mantenimiento y peq. evolutivos)"/>
    <n v="1"/>
    <s v="Tech Manager/Líder"/>
    <m/>
    <x v="1"/>
    <e v="#NAME?"/>
    <m/>
    <m/>
    <m/>
    <m/>
    <m/>
  </r>
  <r>
    <s v="C805933"/>
    <s v="Brayan Peña"/>
    <x v="3"/>
    <x v="6"/>
    <s v="BBVA"/>
    <e v="#NAME?"/>
    <s v="NOSDA- BAU $ BAU (Mantenimiento y peq. evolutivos)"/>
    <n v="1"/>
    <s v="Desarrollador"/>
    <m/>
    <x v="1"/>
    <e v="#NAME?"/>
    <m/>
    <m/>
    <m/>
    <m/>
    <m/>
  </r>
  <r>
    <s v="T007493"/>
    <s v="BRIAN LEONARDO PEREZ RUBIANO"/>
    <x v="4"/>
    <x v="9"/>
    <s v="GGI / CMC"/>
    <e v="#NAME?"/>
    <s v="NOSDA- BAU $ BAU (Mantenimiento y peq. evolutivos)"/>
    <n v="1"/>
    <s v="QA"/>
    <m/>
    <x v="0"/>
    <e v="#NAME?"/>
    <m/>
    <m/>
    <m/>
    <m/>
    <m/>
  </r>
  <r>
    <s v="O002934"/>
    <s v="BRIAN MAURICIO TEJEDOR VARGAS"/>
    <x v="3"/>
    <x v="24"/>
    <s v="BBVA"/>
    <e v="#NAME?"/>
    <s v="NOSDA- BAU $ BAU (Mantenimiento y peq. evolutivos)"/>
    <n v="0.4"/>
    <s v="Desarrollador"/>
    <m/>
    <x v="1"/>
    <e v="#NAME?"/>
    <m/>
    <m/>
    <m/>
    <m/>
    <m/>
  </r>
  <r>
    <s v="O002934"/>
    <s v="BRIAN MAURICIO TEJEDOR VARGAS"/>
    <x v="3"/>
    <x v="24"/>
    <s v="BBVA"/>
    <e v="#NAME?"/>
    <s v="SDATOOL-40529 $ Aplicativos Finanzas - 2023"/>
    <n v="0.4"/>
    <s v="Desarrollador"/>
    <m/>
    <x v="1"/>
    <e v="#NAME?"/>
    <m/>
    <m/>
    <m/>
    <m/>
    <m/>
  </r>
  <r>
    <s v="O002934"/>
    <s v="BRIAN MAURICIO TEJEDOR VARGAS"/>
    <x v="3"/>
    <x v="24"/>
    <s v="BBVA"/>
    <e v="#NAME?"/>
    <s v="NOSDA- BAU $ BAU (Mantenimiento y peq. evolutivos)"/>
    <n v="0.2"/>
    <s v="Desarrollador"/>
    <m/>
    <x v="1"/>
    <e v="#NAME?"/>
    <m/>
    <m/>
    <m/>
    <m/>
    <m/>
  </r>
  <r>
    <s v="CE51863"/>
    <s v="EDNA ROCIO MONCADA"/>
    <x v="3"/>
    <x v="23"/>
    <s v="KRYPTO"/>
    <e v="#NAME?"/>
    <s v="NOSDA- BAU $ BAU (Mantenimiento y peq. evolutivos)"/>
    <n v="0.02"/>
    <s v="QA"/>
    <m/>
    <x v="0"/>
    <e v="#NAME?"/>
    <m/>
    <m/>
    <m/>
    <m/>
    <m/>
  </r>
  <r>
    <s v="CE51863"/>
    <s v="EDNA ROCIO MONCADA"/>
    <x v="3"/>
    <x v="13"/>
    <s v="KRYPTO"/>
    <e v="#NAME?"/>
    <s v="NOSDA- BAU $ BAU (Mantenimiento y peq. evolutivos)"/>
    <n v="0.02"/>
    <s v="QA"/>
    <m/>
    <x v="0"/>
    <e v="#NAME?"/>
    <m/>
    <m/>
    <m/>
    <m/>
    <m/>
  </r>
  <r>
    <s v="CE51863"/>
    <s v="EDNA ROCIO MONCADA"/>
    <x v="3"/>
    <x v="24"/>
    <s v="KRYPTO"/>
    <e v="#NAME?"/>
    <s v="NOSDA- BAU $ BAU (Mantenimiento y peq. evolutivos)"/>
    <n v="0.02"/>
    <s v="QA"/>
    <m/>
    <x v="0"/>
    <e v="#NAME?"/>
    <m/>
    <m/>
    <m/>
    <m/>
    <m/>
  </r>
  <r>
    <s v="CE51863"/>
    <s v="EDNA ROCIO MONCADA"/>
    <x v="3"/>
    <x v="19"/>
    <s v="KRYPTO"/>
    <e v="#NAME?"/>
    <s v="NOSDA- BAU $ BAU (Mantenimiento y peq. evolutivos)"/>
    <n v="0.02"/>
    <s v="QA"/>
    <m/>
    <x v="0"/>
    <e v="#NAME?"/>
    <m/>
    <m/>
    <m/>
    <m/>
    <m/>
  </r>
  <r>
    <s v="CE51863"/>
    <s v="EDNA ROCIO MONCADA"/>
    <x v="3"/>
    <x v="7"/>
    <s v="KRYPTO"/>
    <e v="#NAME?"/>
    <s v="NOSDA- BAU $ BAU (Mantenimiento y peq. evolutivos)"/>
    <n v="0.02"/>
    <s v="QA"/>
    <m/>
    <x v="0"/>
    <e v="#NAME?"/>
    <m/>
    <m/>
    <m/>
    <m/>
    <m/>
  </r>
  <r>
    <s v="CE51863"/>
    <s v="EDNA ROCIO MONCADA"/>
    <x v="3"/>
    <x v="25"/>
    <s v="KRYPTO"/>
    <e v="#NAME?"/>
    <s v="NOSDA- BAU $ BAU (Mantenimiento y peq. evolutivos)"/>
    <n v="0.02"/>
    <s v="QA"/>
    <m/>
    <x v="0"/>
    <e v="#NAME?"/>
    <m/>
    <m/>
    <m/>
    <m/>
    <m/>
  </r>
  <r>
    <s v="CE51863"/>
    <s v="EDNA ROCIO MONCADA"/>
    <x v="3"/>
    <x v="16"/>
    <s v="KRYPTO"/>
    <e v="#NAME?"/>
    <s v="NOSDA- BAU $ BAU (Mantenimiento y peq. evolutivos)"/>
    <n v="0.02"/>
    <s v="QA"/>
    <m/>
    <x v="0"/>
    <e v="#NAME?"/>
    <m/>
    <m/>
    <m/>
    <m/>
    <m/>
  </r>
  <r>
    <s v="CE51863"/>
    <s v="EDNA ROCIO MONCADA"/>
    <x v="3"/>
    <x v="4"/>
    <s v="KRYPTO"/>
    <e v="#NAME?"/>
    <s v="NOSDA- BAU $ BAU (Mantenimiento y peq. evolutivos)"/>
    <n v="0.02"/>
    <s v="QA"/>
    <m/>
    <x v="0"/>
    <e v="#NAME?"/>
    <m/>
    <m/>
    <m/>
    <m/>
    <m/>
  </r>
  <r>
    <s v="CE51863"/>
    <s v="EDNA ROCIO MONCADA"/>
    <x v="3"/>
    <x v="23"/>
    <s v="KRYPTO"/>
    <e v="#NAME?"/>
    <s v="SDATOOL-32991 $ Comisión de Acceso a ATM's"/>
    <n v="0.02"/>
    <s v="QA"/>
    <m/>
    <x v="0"/>
    <e v="#NAME?"/>
    <m/>
    <m/>
    <m/>
    <m/>
    <m/>
  </r>
  <r>
    <s v="CE51863"/>
    <s v="EDNA ROCIO MONCADA"/>
    <x v="3"/>
    <x v="23"/>
    <s v="KRYPTO"/>
    <e v="#NAME?"/>
    <s v="SDATOOL-36903 $ ATM's recicladores: Homologación y funcionalidad EtapaII"/>
    <n v="0.02"/>
    <s v="QA"/>
    <m/>
    <x v="0"/>
    <e v="#NAME?"/>
    <m/>
    <m/>
    <m/>
    <m/>
    <m/>
  </r>
  <r>
    <s v="CE51863"/>
    <s v="EDNA ROCIO MONCADA"/>
    <x v="3"/>
    <x v="23"/>
    <s v="KRYPTO"/>
    <e v="#NAME?"/>
    <s v="SDATOOL-40515 $ Acción de auditoria de Cobro de Comisiones"/>
    <n v="0.02"/>
    <s v="QA"/>
    <m/>
    <x v="0"/>
    <e v="#NAME?"/>
    <m/>
    <m/>
    <m/>
    <m/>
    <m/>
  </r>
  <r>
    <s v="CE51863"/>
    <s v="EDNA ROCIO MONCADA"/>
    <x v="3"/>
    <x v="16"/>
    <s v="KRYPTO"/>
    <e v="#NAME?"/>
    <s v="SDATOOL-39197 $ Tealeaf SaaS"/>
    <n v="0.02"/>
    <s v="QA"/>
    <m/>
    <x v="0"/>
    <e v="#NAME?"/>
    <m/>
    <m/>
    <m/>
    <m/>
    <m/>
  </r>
  <r>
    <s v="CE51863"/>
    <s v="EDNA ROCIO MONCADA"/>
    <x v="3"/>
    <x v="19"/>
    <s v="KRYPTO"/>
    <e v="#NAME?"/>
    <s v="SDATOOL-37100 $ Soluciones de voz/Internalización del IVR - Plan Ascenso Privado"/>
    <n v="0.02"/>
    <s v="QA"/>
    <m/>
    <x v="0"/>
    <e v="#NAME?"/>
    <m/>
    <m/>
    <m/>
    <m/>
    <m/>
  </r>
  <r>
    <s v="CE51863"/>
    <s v="EDNA ROCIO MONCADA"/>
    <x v="3"/>
    <x v="19"/>
    <s v="KRYPTO"/>
    <e v="#NAME?"/>
    <s v="SDATOOL-39870 $ Front - Unificación de pantallas Contac Center"/>
    <n v="0.02"/>
    <s v="QA"/>
    <m/>
    <x v="0"/>
    <e v="#NAME?"/>
    <m/>
    <m/>
    <m/>
    <m/>
    <m/>
  </r>
  <r>
    <s v="CE51863"/>
    <s v="EDNA ROCIO MONCADA"/>
    <x v="3"/>
    <x v="13"/>
    <s v="KRYPTO"/>
    <e v="#NAME?"/>
    <s v="SDATOOL-33947 $ Sinergias Bancamia"/>
    <n v="0.02"/>
    <s v="QA"/>
    <m/>
    <x v="0"/>
    <e v="#NAME?"/>
    <m/>
    <m/>
    <m/>
    <m/>
    <m/>
  </r>
  <r>
    <s v="CE51863"/>
    <s v="EDNA ROCIO MONCADA"/>
    <x v="3"/>
    <x v="13"/>
    <s v="KRYPTO"/>
    <e v="#NAME?"/>
    <s v="SDATOOL-38729 $ Mi CB Liviano 2022"/>
    <n v="0.02"/>
    <s v="QA"/>
    <m/>
    <x v="0"/>
    <e v="#NAME?"/>
    <m/>
    <m/>
    <m/>
    <m/>
    <m/>
  </r>
  <r>
    <s v="CE51863"/>
    <s v="EDNA ROCIO MONCADA"/>
    <x v="3"/>
    <x v="13"/>
    <s v="KRYPTO"/>
    <e v="#NAME?"/>
    <s v="SDATOOL-39871 $ Cbs Gelsa Paga todo"/>
    <n v="0.02"/>
    <s v="QA"/>
    <m/>
    <x v="0"/>
    <e v="#NAME?"/>
    <m/>
    <m/>
    <m/>
    <m/>
    <m/>
  </r>
  <r>
    <s v="CE51863"/>
    <s v="EDNA ROCIO MONCADA"/>
    <x v="3"/>
    <x v="23"/>
    <s v="KRYPTO"/>
    <e v="#NAME?"/>
    <s v="SDATOOL-40506 $ Disponibilidad de canales físicos en móvil y página blanca"/>
    <n v="0.02"/>
    <s v="QA"/>
    <m/>
    <x v="0"/>
    <e v="#NAME?"/>
    <m/>
    <m/>
    <m/>
    <m/>
    <m/>
  </r>
  <r>
    <s v="CE51863"/>
    <s v="EDNA ROCIO MONCADA"/>
    <x v="3"/>
    <x v="13"/>
    <s v="KRYPTO"/>
    <e v="#NAME?"/>
    <s v="SDATOOL-40581 $ Corresponsal Bancario Ya Ganaste"/>
    <n v="0.02"/>
    <s v="QA"/>
    <m/>
    <x v="0"/>
    <e v="#NAME?"/>
    <m/>
    <m/>
    <m/>
    <m/>
    <m/>
  </r>
  <r>
    <s v="CE51863"/>
    <s v="EDNA ROCIO MONCADA"/>
    <x v="3"/>
    <x v="13"/>
    <s v="KRYPTO"/>
    <e v="#NAME?"/>
    <s v="SDATOOL-41709 $ Fraccionamiento de transacciones en CBs"/>
    <n v="0.02"/>
    <s v="QA"/>
    <m/>
    <x v="0"/>
    <e v="#NAME?"/>
    <m/>
    <m/>
    <m/>
    <m/>
    <m/>
  </r>
  <r>
    <s v="CE51863"/>
    <s v="EDNA ROCIO MONCADA"/>
    <x v="3"/>
    <x v="24"/>
    <s v="KRYPTO"/>
    <e v="#NAME?"/>
    <s v="SDATOOL-37750 $ Robotics 2022"/>
    <n v="0.02"/>
    <s v="QA"/>
    <m/>
    <x v="0"/>
    <e v="#NAME?"/>
    <m/>
    <m/>
    <m/>
    <m/>
    <m/>
  </r>
  <r>
    <s v="CE51863"/>
    <s v="EDNA ROCIO MONCADA"/>
    <x v="3"/>
    <x v="23"/>
    <s v="KRYPTO"/>
    <e v="#NAME?"/>
    <s v="SDATOOL-40529 $ Aplicativos Finanzas - 2023"/>
    <n v="0.02"/>
    <s v="QA"/>
    <m/>
    <x v="0"/>
    <e v="#NAME?"/>
    <m/>
    <m/>
    <m/>
    <m/>
    <m/>
  </r>
  <r>
    <s v="CE51863"/>
    <s v="EDNA ROCIO MONCADA"/>
    <x v="3"/>
    <x v="4"/>
    <s v="KRYPTO"/>
    <e v="#NAME?"/>
    <s v="SDATOOL-37121 $ Plan CRM: Seguimiento al pipeline"/>
    <n v="0.02"/>
    <s v="QA"/>
    <m/>
    <x v="0"/>
    <e v="#NAME?"/>
    <m/>
    <m/>
    <m/>
    <m/>
    <m/>
  </r>
  <r>
    <s v="CE51863"/>
    <s v="EDNA ROCIO MONCADA"/>
    <x v="3"/>
    <x v="4"/>
    <s v="KRYPTO"/>
    <e v="#NAME?"/>
    <s v="SDATOOL-39272 $ Cambio servicio APL (Aportes en línea)- Integración AUG con nuevo motor laboral (OVI)"/>
    <n v="0.02"/>
    <s v="QA"/>
    <m/>
    <x v="0"/>
    <e v="#NAME?"/>
    <m/>
    <m/>
    <m/>
    <m/>
    <m/>
  </r>
  <r>
    <s v="CE51863"/>
    <s v="EDNA ROCIO MONCADA"/>
    <x v="3"/>
    <x v="4"/>
    <s v="KRYPTO"/>
    <e v="#NAME?"/>
    <s v="SDATOOL-40690 $ Plan CRM: Mejoras AUG (Banca Comercial y CSF) Equipo B"/>
    <n v="0.02"/>
    <s v="QA"/>
    <m/>
    <x v="0"/>
    <e v="#NAME?"/>
    <m/>
    <m/>
    <m/>
    <m/>
    <m/>
  </r>
  <r>
    <s v="CE51863"/>
    <s v="EDNA ROCIO MONCADA"/>
    <x v="3"/>
    <x v="4"/>
    <s v="KRYPTO"/>
    <e v="#NAME?"/>
    <s v="SDATOOL-40672 $ Plan CRM: Mejoras AUG (Banca Comercial y CSF) Equipo A"/>
    <n v="0.02"/>
    <s v="QA"/>
    <m/>
    <x v="0"/>
    <e v="#NAME?"/>
    <m/>
    <m/>
    <m/>
    <m/>
    <m/>
  </r>
  <r>
    <s v="CE51863"/>
    <s v="EDNA ROCIO MONCADA"/>
    <x v="3"/>
    <x v="7"/>
    <s v="KRYPTO"/>
    <e v="#NAME?"/>
    <s v="SDATOOL-36558 $ Transfiya:Transferencias interbancarias inmediatas - Plan Ascenso Privado"/>
    <n v="0.03"/>
    <s v="QA"/>
    <m/>
    <x v="0"/>
    <e v="#NAME?"/>
    <m/>
    <m/>
    <m/>
    <m/>
    <m/>
  </r>
  <r>
    <s v="CE51863"/>
    <s v="EDNA ROCIO MONCADA"/>
    <x v="3"/>
    <x v="7"/>
    <s v="KRYPTO"/>
    <e v="#NAME?"/>
    <s v="SDATOOL-38527 $ Pagaré Electrónico en flujos de Contratación digital"/>
    <n v="0.03"/>
    <s v="QA"/>
    <m/>
    <x v="0"/>
    <e v="#NAME?"/>
    <m/>
    <m/>
    <m/>
    <m/>
    <m/>
  </r>
  <r>
    <s v="CE51863"/>
    <s v="EDNA ROCIO MONCADA"/>
    <x v="3"/>
    <x v="7"/>
    <s v="KRYPTO"/>
    <e v="#NAME?"/>
    <s v="SDATOOL-39246 $ Nuevo tipo de identificación para extranjeros"/>
    <n v="0.03"/>
    <s v="QA"/>
    <m/>
    <x v="0"/>
    <e v="#NAME?"/>
    <m/>
    <m/>
    <m/>
    <m/>
    <m/>
  </r>
  <r>
    <s v="CE51863"/>
    <s v="EDNA ROCIO MONCADA"/>
    <x v="3"/>
    <x v="7"/>
    <s v="KRYPTO"/>
    <e v="#NAME?"/>
    <s v="SDATOOL-39834 $ Recaudo en Línea Secretaría de Hacienda Distrital - Fase II:  Solución paramétrica de recaudos para la inclusión de 7 formularios tributarios en Canales electrónicos Web y Corresponsal Bancario."/>
    <n v="0.03"/>
    <s v="QA"/>
    <m/>
    <x v="0"/>
    <e v="#NAME?"/>
    <m/>
    <m/>
    <m/>
    <m/>
    <m/>
  </r>
  <r>
    <s v="CE51863"/>
    <s v="EDNA ROCIO MONCADA"/>
    <x v="3"/>
    <x v="7"/>
    <s v="KRYPTO"/>
    <e v="#NAME?"/>
    <s v="SDATOOL-39840 $ BBVA Valores en Canales (Net Cash / Net)"/>
    <n v="0.03"/>
    <s v="QA"/>
    <m/>
    <x v="0"/>
    <e v="#NAME?"/>
    <m/>
    <m/>
    <m/>
    <m/>
    <m/>
  </r>
  <r>
    <s v="CE51863"/>
    <s v="EDNA ROCIO MONCADA"/>
    <x v="3"/>
    <x v="25"/>
    <s v="KRYPTO"/>
    <e v="#NAME?"/>
    <s v="SDATOL-40269 $ Formularios cambio moneda extranjera Nacar"/>
    <n v="0.03"/>
    <s v="QA"/>
    <m/>
    <x v="0"/>
    <e v="#NAME?"/>
    <m/>
    <m/>
    <m/>
    <m/>
    <m/>
  </r>
  <r>
    <s v="CE51863"/>
    <s v="EDNA ROCIO MONCADA"/>
    <x v="3"/>
    <x v="25"/>
    <s v="KRYPTO"/>
    <e v="#NAME?"/>
    <s v="SDATOOL-35350 $ Lean Office (Biblioteca Transaccional y Nuevo Modelo de Impresión)"/>
    <n v="0.03"/>
    <s v="QA"/>
    <m/>
    <x v="0"/>
    <e v="#NAME?"/>
    <m/>
    <m/>
    <m/>
    <m/>
    <m/>
  </r>
  <r>
    <s v="CE51863"/>
    <s v="EDNA ROCIO MONCADA"/>
    <x v="3"/>
    <x v="25"/>
    <s v="KRYPTO"/>
    <e v="#NAME?"/>
    <s v="SDATOOL-37294 $ Gestión de Tráfico en Oficinas"/>
    <n v="0.03"/>
    <s v="QA"/>
    <m/>
    <x v="0"/>
    <e v="#NAME?"/>
    <m/>
    <m/>
    <m/>
    <m/>
    <m/>
  </r>
  <r>
    <s v="CE51863"/>
    <s v="EDNA ROCIO MONCADA"/>
    <x v="3"/>
    <x v="25"/>
    <s v="KRYPTO"/>
    <e v="#NAME?"/>
    <s v="SDATOOL-37761 $ Plan transformación de procesos"/>
    <n v="0.03"/>
    <s v="QA"/>
    <m/>
    <x v="0"/>
    <e v="#NAME?"/>
    <m/>
    <m/>
    <m/>
    <m/>
    <m/>
  </r>
  <r>
    <s v="CE51863"/>
    <s v="EDNA ROCIO MONCADA"/>
    <x v="3"/>
    <x v="25"/>
    <s v="KRYPTO"/>
    <e v="#NAME?"/>
    <s v="SDATOOL-36048 $ Repositorio flujos  ventas digitales flujos - Plan Ascenso Open Market"/>
    <n v="0.03"/>
    <s v="QA"/>
    <m/>
    <x v="0"/>
    <e v="#NAME?"/>
    <m/>
    <m/>
    <m/>
    <m/>
    <m/>
  </r>
  <r>
    <s v="CE51863"/>
    <s v="EDNA ROCIO MONCADA"/>
    <x v="3"/>
    <x v="16"/>
    <s v="KRYPTO"/>
    <e v="#NAME?"/>
    <s v="SDATOOL-36548 $ Optimización consumo web - Plan ascenso Open Market"/>
    <n v="0.03"/>
    <s v="QA"/>
    <m/>
    <x v="0"/>
    <e v="#NAME?"/>
    <m/>
    <m/>
    <m/>
    <m/>
    <m/>
  </r>
  <r>
    <s v="CE51863"/>
    <s v="EDNA ROCIO MONCADA"/>
    <x v="3"/>
    <x v="16"/>
    <s v="KRYPTO"/>
    <e v="#NAME?"/>
    <s v="SDATOOL-37055 $ Cash In - Recarga PSE en cuenta de ahorro, cuenta corriente y dinero móvil"/>
    <n v="0.03"/>
    <s v="QA"/>
    <m/>
    <x v="0"/>
    <e v="#NAME?"/>
    <m/>
    <m/>
    <m/>
    <m/>
    <m/>
  </r>
  <r>
    <s v="CE51863"/>
    <s v="EDNA ROCIO MONCADA"/>
    <x v="3"/>
    <x v="16"/>
    <s v="KRYPTO"/>
    <e v="#NAME?"/>
    <s v="SDATOOL-37136 $ Conexión simulador vía API Vehículo digital"/>
    <n v="0.03"/>
    <s v="QA"/>
    <m/>
    <x v="0"/>
    <e v="#NAME?"/>
    <m/>
    <m/>
    <m/>
    <m/>
    <m/>
  </r>
  <r>
    <s v="CE51863"/>
    <s v="EDNA ROCIO MONCADA"/>
    <x v="3"/>
    <x v="16"/>
    <s v="KRYPTO"/>
    <e v="#NAME?"/>
    <s v="SDATOOL-38419 $ Contratación cuenta en línea en Glomo"/>
    <n v="0.03"/>
    <s v="QA"/>
    <m/>
    <x v="0"/>
    <e v="#NAME?"/>
    <m/>
    <m/>
    <m/>
    <m/>
    <m/>
  </r>
  <r>
    <s v="CE51863"/>
    <s v="EDNA ROCIO MONCADA"/>
    <x v="3"/>
    <x v="16"/>
    <s v="KRYPTO"/>
    <e v="#NAME?"/>
    <s v="SDATOOL-39348 $ tarjeta de crédito Open Market Fallback product"/>
    <n v="0.03"/>
    <s v="QA"/>
    <m/>
    <x v="0"/>
    <e v="#NAME?"/>
    <m/>
    <m/>
    <m/>
    <m/>
    <m/>
  </r>
  <r>
    <s v="CE51863"/>
    <s v="EDNA ROCIO MONCADA"/>
    <x v="3"/>
    <x v="16"/>
    <s v="KRYPTO"/>
    <e v="#NAME?"/>
    <s v="SDATOOL-39836 $ Vivienda digital fase III"/>
    <n v="0.03"/>
    <s v="QA"/>
    <m/>
    <x v="0"/>
    <e v="#NAME?"/>
    <m/>
    <m/>
    <m/>
    <m/>
    <m/>
  </r>
  <r>
    <s v="T008150"/>
    <s v="BRIGGTTE ALMENDRA BARBOZA NIETO"/>
    <x v="3"/>
    <x v="4"/>
    <s v="Neoris"/>
    <e v="#NAME?"/>
    <s v="SDATOOL-40672 $ Plan CRM: Mejoras AUG (Banca Comercial y CSF) Equipo A"/>
    <n v="1"/>
    <s v="Desarrollador"/>
    <m/>
    <x v="0"/>
    <e v="#NAME?"/>
    <m/>
    <m/>
    <m/>
    <m/>
    <m/>
  </r>
  <r>
    <s v="T000159"/>
    <s v="BRYAN SMITH PATIÑO"/>
    <x v="2"/>
    <x v="3"/>
    <s v="Choucair"/>
    <e v="#NAME?"/>
    <s v="SDATOOL-35463 $ Gestión de Ingresos - Períodos de Gracia Libranzas"/>
    <n v="0.5"/>
    <s v="QA"/>
    <m/>
    <x v="0"/>
    <e v="#NAME?"/>
    <m/>
    <m/>
    <m/>
    <m/>
    <m/>
  </r>
  <r>
    <s v="C810684"/>
    <s v="CACERES CRISTANCHO JUAN SEBASTIAN"/>
    <x v="0"/>
    <x v="8"/>
    <s v="BBVA"/>
    <e v="#NAME?"/>
    <s v="SDATOOL-40555 $ ADELANTO DE VENTA EN GEMA"/>
    <n v="1"/>
    <s v="Desarrollador"/>
    <m/>
    <x v="1"/>
    <e v="#NAME?"/>
    <m/>
    <m/>
    <m/>
    <m/>
    <m/>
  </r>
  <r>
    <s v="CE30852"/>
    <s v="CAMELO MORA LADY KATHERINE"/>
    <x v="0"/>
    <x v="8"/>
    <s v="GGI / CMC"/>
    <e v="#NAME?"/>
    <s v="NOSDA- BAU $ BAU (Mantenimiento y peq. evolutivos)"/>
    <n v="1"/>
    <s v="Desarrollador"/>
    <m/>
    <x v="0"/>
    <e v="#NAME?"/>
    <m/>
    <m/>
    <m/>
    <m/>
    <m/>
  </r>
  <r>
    <s v="C802316"/>
    <s v="CAMILO ALBERTO GARCES BELTRAN"/>
    <x v="4"/>
    <x v="14"/>
    <s v="BBVA"/>
    <e v="#NAME?"/>
    <s v="SDATOOL-33907 $ Manejo Fiscal Prima o Descuento Renta Fija"/>
    <n v="0.25"/>
    <s v="Desarrollador"/>
    <m/>
    <x v="1"/>
    <e v="#NAME?"/>
    <m/>
    <m/>
    <m/>
    <m/>
    <m/>
  </r>
  <r>
    <s v="C802316"/>
    <s v="CAMILO ALBERTO GARCES BELTRAN"/>
    <x v="4"/>
    <x v="14"/>
    <s v="BBVA"/>
    <e v="#NAME?"/>
    <s v="SDATOOL-40529 $ Aplicativos Finanzas - 2023"/>
    <n v="0.5"/>
    <s v="Desarrollador"/>
    <m/>
    <x v="1"/>
    <e v="#NAME?"/>
    <m/>
    <m/>
    <m/>
    <m/>
    <m/>
  </r>
  <r>
    <s v="C802316"/>
    <s v="CAMILO ALBERTO GARCES BELTRAN"/>
    <x v="4"/>
    <x v="14"/>
    <s v="BBVA"/>
    <e v="#NAME?"/>
    <s v="SDATOOL-40545 $ GRM Col - Mejoras Evolutivas de Aplicativos y Herramientas de Riesgos 2023"/>
    <n v="0.25"/>
    <s v="Desarrollador"/>
    <m/>
    <x v="1"/>
    <e v="#NAME?"/>
    <m/>
    <m/>
    <m/>
    <m/>
    <m/>
  </r>
  <r>
    <s v="C342589"/>
    <s v="CAMILO ANDRES AGUIRRE"/>
    <x v="3"/>
    <x v="16"/>
    <s v="BBVA"/>
    <e v="#NAME?"/>
    <s v="NOSDA- BAU $ BAU (Mantenimiento y peq. evolutivos)"/>
    <n v="0.25"/>
    <s v="Tech Manager/Líder"/>
    <m/>
    <x v="1"/>
    <e v="#NAME?"/>
    <m/>
    <m/>
    <m/>
    <m/>
    <m/>
  </r>
  <r>
    <s v="C342589"/>
    <s v="CAMILO ANDRES AGUIRRE"/>
    <x v="3"/>
    <x v="16"/>
    <s v="BBVA"/>
    <e v="#NAME?"/>
    <s v="SDATOOL-36048 $ Repositorio flujos  ventas digitales flujos - Plan Ascenso Open Market"/>
    <n v="0.25"/>
    <s v="Tech Manager/Líder"/>
    <m/>
    <x v="1"/>
    <e v="#NAME?"/>
    <m/>
    <m/>
    <m/>
    <m/>
    <m/>
  </r>
  <r>
    <s v="C342589"/>
    <s v="CAMILO ANDRES AGUIRRE"/>
    <x v="3"/>
    <x v="16"/>
    <s v="BBVA"/>
    <e v="#NAME?"/>
    <s v="SDATOOL-37136 $ Conexión simulador vía API Vehículo digital"/>
    <n v="0.25"/>
    <s v="Tech Manager/Líder"/>
    <m/>
    <x v="1"/>
    <e v="#NAME?"/>
    <m/>
    <m/>
    <m/>
    <m/>
    <m/>
  </r>
  <r>
    <s v="C342589"/>
    <s v="CAMILO ANDRES AGUIRRE"/>
    <x v="3"/>
    <x v="16"/>
    <s v="BBVA"/>
    <e v="#NAME?"/>
    <s v="SDATOOL-39348 $ tarjeta de crédito Open Market Fallback product"/>
    <n v="0.25"/>
    <s v="Tech Manager/Líder"/>
    <m/>
    <x v="1"/>
    <e v="#NAME?"/>
    <m/>
    <m/>
    <m/>
    <m/>
    <m/>
  </r>
  <r>
    <s v="C804032"/>
    <s v="CAMILO ANDRES MORENO HURTADO"/>
    <x v="4"/>
    <x v="9"/>
    <s v="BBVA"/>
    <e v="#NAME?"/>
    <s v="SDATOOL-39217 $ Aplicativos Tesorería 2022"/>
    <n v="0.75"/>
    <s v="Desarrollador"/>
    <m/>
    <x v="1"/>
    <e v="#NAME?"/>
    <m/>
    <m/>
    <m/>
    <m/>
    <m/>
  </r>
  <r>
    <s v="C804032"/>
    <s v="CAMILO ANDRES MORENO HURTADO"/>
    <x v="4"/>
    <x v="9"/>
    <s v="BBVA"/>
    <e v="#NAME?"/>
    <s v="SDATOOL-41308 $ Aplicativos Tesorería 2023"/>
    <n v="0.25"/>
    <s v="Desarrollador"/>
    <m/>
    <x v="1"/>
    <e v="#NAME?"/>
    <m/>
    <m/>
    <m/>
    <m/>
    <m/>
  </r>
  <r>
    <s v="C796462"/>
    <s v="CAMILO ANDRES TELLEZ PRIETO"/>
    <x v="4"/>
    <x v="9"/>
    <s v="BBVA"/>
    <e v="#NAME?"/>
    <s v="NOSDA- BAU $ BAU (Mantenimiento y peq. evolutivos)"/>
    <n v="1"/>
    <s v="Tech Manager/Líder"/>
    <s v="Gerente con asignación a torres"/>
    <x v="1"/>
    <e v="#NAME?"/>
    <m/>
    <m/>
    <m/>
    <m/>
    <m/>
  </r>
  <r>
    <s v="O001869"/>
    <s v="CAMILO CABRA"/>
    <x v="2"/>
    <x v="3"/>
    <s v="BBVA"/>
    <e v="#NAME?"/>
    <s v="SDATOOL-35463 $ Gestión de Ingresos - Períodos de Gracia Libranzas"/>
    <n v="0.1"/>
    <s v="Tech Manager/Líder"/>
    <m/>
    <x v="1"/>
    <e v="#NAME?"/>
    <m/>
    <m/>
    <m/>
    <m/>
    <m/>
  </r>
  <r>
    <s v="O001869"/>
    <s v="CAMILO CABRA"/>
    <x v="2"/>
    <x v="3"/>
    <s v="BBVA"/>
    <e v="#NAME?"/>
    <s v="SDATOOL-33847 $ Resolución 0042 DIAN Documento Soporte"/>
    <n v="0.05"/>
    <s v="Tech Manager/Líder"/>
    <m/>
    <x v="1"/>
    <e v="#NAME?"/>
    <m/>
    <m/>
    <m/>
    <m/>
    <m/>
  </r>
  <r>
    <s v="O001869"/>
    <s v="CAMILO CABRA"/>
    <x v="2"/>
    <x v="3"/>
    <s v="BBVA"/>
    <e v="#NAME?"/>
    <s v="NOSDA- BAU $ BAU (Mantenimiento y peq. evolutivos)"/>
    <n v="0.1"/>
    <s v="Tech Manager/Líder"/>
    <m/>
    <x v="1"/>
    <e v="#NAME?"/>
    <m/>
    <m/>
    <m/>
    <m/>
    <m/>
  </r>
  <r>
    <s v="O001869"/>
    <s v="CAMILO CABRA"/>
    <x v="2"/>
    <x v="3"/>
    <s v="BBVA"/>
    <e v="#NAME?"/>
    <s v="SDATOOL-33846 $ SREP Data Quality- BCBS239 - Colombia"/>
    <n v="0.05"/>
    <s v="Tech Manager/Líder"/>
    <m/>
    <x v="1"/>
    <e v="#NAME?"/>
    <m/>
    <m/>
    <m/>
    <m/>
    <m/>
  </r>
  <r>
    <s v="O001869"/>
    <s v="CAMILO CABRA"/>
    <x v="2"/>
    <x v="3"/>
    <s v="BBVA"/>
    <e v="#NAME?"/>
    <s v="SDATOOL-34157 $ Evolutivo Parthnership - Crédito en punto de venta de Aliados"/>
    <n v="0.15"/>
    <s v="Tech Manager/Líder"/>
    <m/>
    <x v="1"/>
    <e v="#NAME?"/>
    <m/>
    <m/>
    <m/>
    <m/>
    <m/>
  </r>
  <r>
    <s v="O001869"/>
    <s v="CAMILO CABRA"/>
    <x v="2"/>
    <x v="3"/>
    <s v="BBVA"/>
    <e v="#NAME?"/>
    <s v="SDATOOL-40877 $ Centralización Garantías Especiales"/>
    <n v="0.05"/>
    <s v="Tech Manager/Líder"/>
    <m/>
    <x v="1"/>
    <e v="#NAME?"/>
    <m/>
    <m/>
    <m/>
    <m/>
    <m/>
  </r>
  <r>
    <s v="O001869"/>
    <s v="CAMILO CABRA"/>
    <x v="2"/>
    <x v="3"/>
    <s v="BBVA"/>
    <e v="#NAME?"/>
    <s v="SDATOOL-40062 $ Implementación FGA en flujos de contratación digital"/>
    <n v="0.2"/>
    <s v="Tech Manager/Líder"/>
    <m/>
    <x v="1"/>
    <e v="#NAME?"/>
    <m/>
    <m/>
    <m/>
    <m/>
    <m/>
  </r>
  <r>
    <s v="O001869"/>
    <s v="CAMILO CABRA"/>
    <x v="2"/>
    <x v="3"/>
    <s v="BBVA"/>
    <e v="#NAME?"/>
    <s v="SDATOOL-40466 $ Garantía FAG"/>
    <n v="0.15"/>
    <s v="Tech Manager/Líder"/>
    <m/>
    <x v="1"/>
    <e v="#NAME?"/>
    <m/>
    <m/>
    <m/>
    <m/>
    <m/>
  </r>
  <r>
    <s v="O001869"/>
    <s v="CAMILO CABRA"/>
    <x v="2"/>
    <x v="3"/>
    <s v="BBVA"/>
    <e v="#NAME?"/>
    <s v="SDATOOL-41729 $ SEGUNDA LIBRANZA - APLICACION PAGOS Y VoBo PAGADOR"/>
    <n v="0.1"/>
    <s v="Tech Manager/Líder"/>
    <m/>
    <x v="1"/>
    <e v="#NAME?"/>
    <m/>
    <m/>
    <m/>
    <m/>
    <m/>
  </r>
  <r>
    <s v="O001869"/>
    <s v="CAMILO CABRA"/>
    <x v="2"/>
    <x v="3"/>
    <s v="BBVA"/>
    <e v="#NAME?"/>
    <s v="SDATOOL-40225 $ Resolución 0124 Dian - 2021 - Ajustes para Reporte de Información Exógena año gravable 2022 - Ciclo 1"/>
    <n v="0.05"/>
    <s v="Tech Manager/Líder"/>
    <m/>
    <x v="1"/>
    <e v="#NAME?"/>
    <m/>
    <m/>
    <m/>
    <m/>
    <m/>
  </r>
  <r>
    <s v="C810793"/>
    <s v="CAMILO ERNESTO MUÑOZ LOVERA"/>
    <x v="2"/>
    <x v="5"/>
    <s v="BBVA"/>
    <e v="#NAME?"/>
    <s v="SDATOOL-37061 $ Plan de Lealtad Comecios -Plan Ascenso Autónomos"/>
    <n v="1"/>
    <s v="Desarrollador"/>
    <m/>
    <x v="1"/>
    <e v="#NAME?"/>
    <m/>
    <m/>
    <m/>
    <m/>
    <m/>
  </r>
  <r>
    <s v="C803933"/>
    <s v="CAMILO MONDRAGON"/>
    <x v="2"/>
    <x v="2"/>
    <s v="BBVA"/>
    <e v="#NAME?"/>
    <s v="SDATOOL-37111 $ Cuenta Maestra Adres"/>
    <n v="0.5"/>
    <s v="Desarrollador"/>
    <m/>
    <x v="1"/>
    <e v="#NAME?"/>
    <m/>
    <m/>
    <m/>
    <m/>
    <m/>
  </r>
  <r>
    <s v="C803933"/>
    <s v="CAMILO MONDRAGON"/>
    <x v="2"/>
    <x v="2"/>
    <s v="BBVA"/>
    <e v="#NAME?"/>
    <s v="SDATOOL-40771 $ Resolución Cuentas Maestras y Cuentas Maestras para Pagos Electrónicos (PSE): Anexo Técnico - Nuevo reporte de información"/>
    <n v="0.5"/>
    <s v="Desarrollador"/>
    <m/>
    <x v="1"/>
    <e v="#NAME?"/>
    <m/>
    <m/>
    <m/>
    <m/>
    <m/>
  </r>
  <r>
    <s v="C811379"/>
    <s v="Camilo Muñoz"/>
    <x v="3"/>
    <x v="6"/>
    <s v="BBVA"/>
    <e v="#NAME?"/>
    <s v="NOSDA- BAU $ BAU (Mantenimiento y peq. evolutivos)"/>
    <n v="1"/>
    <s v="Desarrollador"/>
    <m/>
    <x v="1"/>
    <e v="#NAME?"/>
    <m/>
    <m/>
    <m/>
    <m/>
    <m/>
  </r>
  <r>
    <s v="C811263"/>
    <s v="Cardozo Castro Diana Carolina"/>
    <x v="1"/>
    <x v="21"/>
    <s v="BBVA"/>
    <e v="#NAME?"/>
    <s v="SDATOOL-33847 $ Resolución 0042 DIAN Documento Soporte"/>
    <n v="0.3"/>
    <s v="Desarrollador"/>
    <m/>
    <x v="1"/>
    <e v="#NAME?"/>
    <m/>
    <m/>
    <m/>
    <m/>
    <m/>
  </r>
  <r>
    <s v="C811263"/>
    <s v="Cardozo Castro Diana Carolina"/>
    <x v="1"/>
    <x v="21"/>
    <s v="BBVA"/>
    <e v="#NAME?"/>
    <s v="SDATOOL-40706 $ Validaciones en Captura de Terceros Aplicativo TBM"/>
    <n v="0.35"/>
    <s v="Desarrollador"/>
    <m/>
    <x v="1"/>
    <e v="#NAME?"/>
    <m/>
    <m/>
    <m/>
    <m/>
    <m/>
  </r>
  <r>
    <s v="C811263"/>
    <s v="Cardozo Castro Diana Carolina"/>
    <x v="1"/>
    <x v="21"/>
    <s v="BBVA"/>
    <e v="#NAME?"/>
    <s v="SDATOOL-40546 $ Mejoras Experiencia de Usuario TBM"/>
    <n v="0.35"/>
    <s v="Desarrollador"/>
    <m/>
    <x v="1"/>
    <e v="#NAME?"/>
    <m/>
    <m/>
    <m/>
    <m/>
    <m/>
  </r>
  <r>
    <s v="C811277"/>
    <s v="CARLOS ALBERTO GUERRERO MONTAÑA"/>
    <x v="2"/>
    <x v="2"/>
    <s v="BBVA"/>
    <e v="#NAME?"/>
    <s v="SDATOOL-38419 $ Contratación cuenta en línea en Glomo"/>
    <n v="1"/>
    <s v="Desarrollador"/>
    <m/>
    <x v="1"/>
    <e v="#NAME?"/>
    <m/>
    <m/>
    <m/>
    <m/>
    <m/>
  </r>
  <r>
    <s v="T000210"/>
    <s v="Carlos Alberto Meneses Campohermoso"/>
    <x v="3"/>
    <x v="16"/>
    <s v="Indra"/>
    <e v="#NAME?"/>
    <s v="SDATOOL-36048 $ Repositorio flujos  ventas digitales flujos - Plan Ascenso Open Market"/>
    <n v="1"/>
    <s v="Desarrollador"/>
    <m/>
    <x v="0"/>
    <e v="#NAME?"/>
    <m/>
    <m/>
    <m/>
    <m/>
    <m/>
  </r>
  <r>
    <s v="C808842"/>
    <s v="CARLOS ALBERTO PARDO"/>
    <x v="0"/>
    <x v="22"/>
    <s v="BBVA"/>
    <e v="#NAME?"/>
    <s v="SDATOOL-37116 $ Colpensiones - Incluir en la estructura del archivo de ORDENES DE NO PAGO dos nuevas causales de rechazo"/>
    <n v="0.5"/>
    <s v="Desarrollador"/>
    <m/>
    <x v="1"/>
    <e v="#NAME?"/>
    <m/>
    <m/>
    <m/>
    <m/>
    <m/>
  </r>
  <r>
    <s v="C808842"/>
    <s v="CARLOS ALBERTO PARDO"/>
    <x v="0"/>
    <x v="22"/>
    <s v="BBVA"/>
    <e v="#NAME?"/>
    <s v="NOSDA- BAU $ BAU (Mantenimiento y peq. evolutivos)"/>
    <n v="0.25"/>
    <s v="Desarrollador"/>
    <m/>
    <x v="1"/>
    <e v="#NAME?"/>
    <m/>
    <m/>
    <m/>
    <m/>
    <m/>
  </r>
  <r>
    <s v="C808842"/>
    <s v="CARLOS ALBERTO PARDO"/>
    <x v="0"/>
    <x v="22"/>
    <s v="BBVA"/>
    <e v="#NAME?"/>
    <s v="NOSDA- BAU $ BAU (Mantenimiento y peq. evolutivos)"/>
    <n v="0.25"/>
    <s v="Desarrollador"/>
    <m/>
    <x v="1"/>
    <e v="#NAME?"/>
    <m/>
    <m/>
    <m/>
    <m/>
    <m/>
  </r>
  <r>
    <s v="CE63761"/>
    <s v="Carlos Andres Cely Vergara"/>
    <x v="1"/>
    <x v="26"/>
    <s v="MS"/>
    <e v="#NAME?"/>
    <s v="SDATOOL-29998 $ Despliegue SAS AML en BBVA CO"/>
    <n v="1"/>
    <s v="Desarrollador"/>
    <m/>
    <x v="0"/>
    <e v="#NAME?"/>
    <m/>
    <m/>
    <m/>
    <m/>
    <m/>
  </r>
  <r>
    <s v="T010294"/>
    <s v="Carlos Andres De la pava Jimenez"/>
    <x v="1"/>
    <x v="21"/>
    <s v="Novatec"/>
    <e v="#NAME?"/>
    <s v="SDATOOL-28728 $ Contratación electrónica/digital de empleados y Carpeta Virtual 2.0"/>
    <n v="1"/>
    <s v="Desarrollador"/>
    <m/>
    <x v="0"/>
    <e v="#NAME?"/>
    <m/>
    <m/>
    <m/>
    <m/>
    <m/>
  </r>
  <r>
    <s v="T005584"/>
    <s v="CARLOS ANDRES FLOREZ GODOY"/>
    <x v="3"/>
    <x v="4"/>
    <s v="Neoris"/>
    <e v="#NAME?"/>
    <s v="SDATOOL-40672 $ Plan CRM: Mejoras AUG (Banca Comercial y CSF) Equipo A"/>
    <n v="0.25"/>
    <s v="Desarrollador"/>
    <m/>
    <x v="0"/>
    <e v="#NAME?"/>
    <m/>
    <m/>
    <m/>
    <m/>
    <m/>
  </r>
  <r>
    <s v="C342545"/>
    <s v="CARLOS ANDRES MARTINEZ BEDOYA"/>
    <x v="4"/>
    <x v="9"/>
    <s v="BBVA"/>
    <e v="#NAME?"/>
    <s v="NOSDA- BAU $ BAU (Mantenimiento y peq. evolutivos)"/>
    <n v="1"/>
    <s v="Desarrollador"/>
    <m/>
    <x v="1"/>
    <e v="#NAME?"/>
    <m/>
    <m/>
    <m/>
    <m/>
    <m/>
  </r>
  <r>
    <s v="C811232"/>
    <s v="CARLOS ANDRES SUAREZ SALAZAR"/>
    <x v="0"/>
    <x v="15"/>
    <s v="BBVA"/>
    <e v="#NAME?"/>
    <s v="SDATOOL-39353 $ Redirección Mobile POS"/>
    <n v="0.75"/>
    <s v="Desarrollador"/>
    <m/>
    <x v="1"/>
    <e v="#NAME?"/>
    <m/>
    <m/>
    <m/>
    <m/>
    <m/>
  </r>
  <r>
    <s v="C811232"/>
    <s v="CARLOS ANDRES SUAREZ SALAZAR"/>
    <x v="0"/>
    <x v="15"/>
    <s v="BBVA"/>
    <e v="#NAME?"/>
    <s v="SDATOOL-40676 $ Contratación y uso de mPOS desde APPs BBVA"/>
    <n v="0.25"/>
    <s v="Desarrollador"/>
    <m/>
    <x v="1"/>
    <e v="#NAME?"/>
    <m/>
    <m/>
    <m/>
    <m/>
    <m/>
  </r>
  <r>
    <s v="O001659"/>
    <s v="CARLOS ARTURO PUENTES ZAMBRANO"/>
    <x v="3"/>
    <x v="16"/>
    <s v="BBVA"/>
    <e v="#NAME?"/>
    <s v="SDATOOL-39348 $ tarjeta de crédito Open Market Fallback product"/>
    <n v="1"/>
    <s v="Desarrollador"/>
    <m/>
    <x v="1"/>
    <e v="#NAME?"/>
    <m/>
    <m/>
    <m/>
    <m/>
    <m/>
  </r>
  <r>
    <s v="CE67220"/>
    <s v="Carlos Arturo Rodriguez Castañeda"/>
    <x v="3"/>
    <x v="6"/>
    <s v="Neoris"/>
    <e v="#NAME?"/>
    <s v="SDATOOL-38489 $ Horizon BTGR - Colombia"/>
    <n v="1"/>
    <s v="Desarrollador"/>
    <m/>
    <x v="0"/>
    <e v="#NAME?"/>
    <m/>
    <m/>
    <m/>
    <m/>
    <m/>
  </r>
  <r>
    <s v="C805971"/>
    <s v="CARLOS EDUARDO BELLO"/>
    <x v="0"/>
    <x v="0"/>
    <s v="BBVA"/>
    <e v="#NAME?"/>
    <s v="NOSDA- BAU $ BAU (Mantenimiento y peq. evolutivos)"/>
    <n v="1"/>
    <s v="Desarrollador"/>
    <m/>
    <x v="1"/>
    <e v="#NAME?"/>
    <m/>
    <m/>
    <m/>
    <m/>
    <m/>
  </r>
  <r>
    <s v="C811304"/>
    <s v="CARLOS EDUARDO YEPES ANGEL"/>
    <x v="2"/>
    <x v="2"/>
    <s v="BBVA"/>
    <e v="#NAME?"/>
    <s v="SDATOOL-41797 $ Optimización Cuenta en línea Web"/>
    <n v="1"/>
    <s v="Desarrollador"/>
    <m/>
    <x v="1"/>
    <e v="#NAME?"/>
    <m/>
    <m/>
    <m/>
    <m/>
    <m/>
  </r>
  <r>
    <s v="C805866"/>
    <s v="CARLOS ENRIQUE FAJARDO FAJARDO "/>
    <x v="2"/>
    <x v="12"/>
    <s v="BBVA"/>
    <e v="#NAME?"/>
    <s v="SDATOOL-37134 $ Oferta proactiva de segundo producto desde el momento cero - Plan Ascenso Cross Sell"/>
    <n v="0.9"/>
    <s v="Tech Manager/Líder"/>
    <m/>
    <x v="1"/>
    <e v="#NAME?"/>
    <m/>
    <m/>
    <m/>
    <m/>
    <m/>
  </r>
  <r>
    <s v="C805866"/>
    <s v="CARLOS ENRIQUE FAJARDO FAJARDO "/>
    <x v="2"/>
    <x v="12"/>
    <s v="BBVA"/>
    <e v="#NAME?"/>
    <s v="NOSDA- BAU $ BAU (Mantenimiento y peq. evolutivos)"/>
    <n v="0.1"/>
    <s v="Tech Manager/Líder"/>
    <s v="Soporte Aplicativo"/>
    <x v="1"/>
    <e v="#NAME?"/>
    <m/>
    <m/>
    <m/>
    <m/>
    <m/>
  </r>
  <r>
    <s v="C342057"/>
    <s v="CARLOS FABIAN GONZALEZ CORTES"/>
    <x v="2"/>
    <x v="3"/>
    <s v="BBVA"/>
    <e v="#NAME?"/>
    <s v="SDATOOL-36522 $ Libranza E2E digital Fase III - Plan Ascenso Privado"/>
    <n v="0.5"/>
    <s v="Desarrollador"/>
    <m/>
    <x v="1"/>
    <e v="#NAME?"/>
    <m/>
    <m/>
    <m/>
    <m/>
    <m/>
  </r>
  <r>
    <s v="C342057"/>
    <s v="CARLOS FABIAN GONZALEZ CORTES"/>
    <x v="2"/>
    <x v="3"/>
    <s v="BBVA"/>
    <e v="#NAME?"/>
    <s v="SDATOOL-34910 $ Libranza Digital"/>
    <n v="0.2"/>
    <s v="Desarrollador"/>
    <m/>
    <x v="1"/>
    <e v="#NAME?"/>
    <m/>
    <m/>
    <m/>
    <m/>
    <m/>
  </r>
  <r>
    <s v="C342057"/>
    <s v="CARLOS FABIAN GONZALEZ CORTES"/>
    <x v="2"/>
    <x v="3"/>
    <s v="BBVA"/>
    <e v="#NAME?"/>
    <s v="SDATOOL-36560 $ Pricing de libranza - Plan Ascenso Open Market"/>
    <n v="0.1"/>
    <s v="Desarrollador"/>
    <m/>
    <x v="1"/>
    <e v="#NAME?"/>
    <m/>
    <m/>
    <m/>
    <m/>
    <m/>
  </r>
  <r>
    <s v="C342057"/>
    <s v="CARLOS FABIAN GONZALEZ CORTES"/>
    <x v="2"/>
    <x v="3"/>
    <s v="BBVA"/>
    <e v="#NAME?"/>
    <s v="SDATOOL-40670 $ Plan CRM: Mejoras DWP Jurídicos (Pymes, Empresas,Gobiernos)"/>
    <n v="0.2"/>
    <s v="Desarrollador"/>
    <m/>
    <x v="1"/>
    <e v="#NAME?"/>
    <m/>
    <m/>
    <m/>
    <m/>
    <m/>
  </r>
  <r>
    <s v="C941085"/>
    <s v="CARLOS FRANCISCO TOVAR LOSADA"/>
    <x v="3"/>
    <x v="7"/>
    <s v="BBVA"/>
    <e v="#NAME?"/>
    <s v="NOSDA- BAU $ BAU (Mantenimiento y peq. evolutivos)"/>
    <n v="1"/>
    <s v="Desarrollador"/>
    <m/>
    <x v="1"/>
    <e v="#NAME?"/>
    <m/>
    <m/>
    <m/>
    <m/>
    <m/>
  </r>
  <r>
    <s v="C784494"/>
    <s v="CARLOS IVAN CHOCONTA"/>
    <x v="0"/>
    <x v="22"/>
    <s v="BBVA"/>
    <e v="#NAME?"/>
    <s v="SDATOOL-37761 $ Plan transformación de procesos"/>
    <n v="0.75"/>
    <s v="Desarrollador"/>
    <m/>
    <x v="1"/>
    <e v="#NAME?"/>
    <m/>
    <m/>
    <m/>
    <m/>
    <m/>
  </r>
  <r>
    <s v="C784494"/>
    <s v="CARLOS IVAN CHOCONTA"/>
    <x v="0"/>
    <x v="22"/>
    <s v="BBVA"/>
    <e v="#NAME?"/>
    <s v="NOSDA- BAU $ BAU (Mantenimiento y peq. evolutivos)"/>
    <n v="0.25"/>
    <s v="Desarrollador"/>
    <m/>
    <x v="1"/>
    <e v="#NAME?"/>
    <m/>
    <m/>
    <m/>
    <m/>
    <m/>
  </r>
  <r>
    <s v="C811302"/>
    <s v="CARLOS JULIO RAMIREZ MONTANO "/>
    <x v="0"/>
    <x v="27"/>
    <s v="BBVA"/>
    <e v="#NAME?"/>
    <s v="SDATOOL-39334 $ GRM Col Reg - CE016-19 Modificados, reestructurados e incumplidos Leasing"/>
    <n v="1"/>
    <s v="Desarrollador"/>
    <m/>
    <x v="1"/>
    <e v="#NAME?"/>
    <m/>
    <m/>
    <m/>
    <m/>
    <m/>
  </r>
  <r>
    <s v="C804547"/>
    <s v="CARLOS MARIO BERNAL"/>
    <x v="3"/>
    <x v="6"/>
    <s v="BBVA"/>
    <e v="#NAME?"/>
    <s v="NOSDA- BAU $ BAU (Mantenimiento y peq. evolutivos)"/>
    <n v="0.25"/>
    <s v="Tech Manager/Líder"/>
    <m/>
    <x v="1"/>
    <e v="#NAME?"/>
    <m/>
    <m/>
    <m/>
    <m/>
    <m/>
  </r>
  <r>
    <s v="C804547"/>
    <s v="CARLOS MARIO BERNAL"/>
    <x v="3"/>
    <x v="6"/>
    <s v="BBVA"/>
    <e v="#NAME?"/>
    <s v="SDATOOL-9053 $ GloMo Colombia"/>
    <n v="0.75"/>
    <s v="Tech Manager/Líder"/>
    <m/>
    <x v="1"/>
    <e v="#NAME?"/>
    <m/>
    <m/>
    <m/>
    <m/>
    <m/>
  </r>
  <r>
    <s v="CE43229"/>
    <s v="CARLOS MAURICIO AGUIRRE TOVAR"/>
    <x v="0"/>
    <x v="22"/>
    <s v="Inetum"/>
    <e v="#NAME?"/>
    <s v="SDATOOL-38770 $ Marcación y cobro de comisiones PSE"/>
    <n v="1"/>
    <s v="Desarrollador"/>
    <m/>
    <x v="0"/>
    <e v="#NAME?"/>
    <m/>
    <m/>
    <m/>
    <m/>
    <m/>
  </r>
  <r>
    <s v="O003461"/>
    <s v="CARLOS VICENTE SERRATO SERNA"/>
    <x v="2"/>
    <x v="3"/>
    <s v="BBVA"/>
    <e v="#NAME?"/>
    <s v="SDATOOL-40435 $ Cuota Segura créditos de libranza"/>
    <n v="1"/>
    <s v="Desarrollador"/>
    <m/>
    <x v="1"/>
    <e v="#NAME?"/>
    <m/>
    <m/>
    <m/>
    <m/>
    <m/>
  </r>
  <r>
    <s v="CE54839"/>
    <s v="CARLOSFERNANDO SUAREZ"/>
    <x v="3"/>
    <x v="25"/>
    <s v="Inetum"/>
    <e v="#NAME?"/>
    <s v="NOSDA- BAU $ BAU (Mantenimiento y peq. evolutivos)"/>
    <n v="1"/>
    <s v="Desarrollador"/>
    <s v="Tester"/>
    <x v="0"/>
    <e v="#NAME?"/>
    <m/>
    <m/>
    <m/>
    <m/>
    <m/>
  </r>
  <r>
    <s v="O000159"/>
    <s v="CAROL VIVIANA CARVAJALNAGLES"/>
    <x v="0"/>
    <x v="0"/>
    <s v="BBVA"/>
    <e v="#NAME?"/>
    <s v="SDATOOL-37125 $ Factoring - IBR"/>
    <n v="0.35"/>
    <s v="Tech Manager/Líder"/>
    <m/>
    <x v="1"/>
    <e v="#NAME?"/>
    <m/>
    <m/>
    <m/>
    <m/>
    <m/>
  </r>
  <r>
    <s v="O000159"/>
    <s v="CAROL VIVIANA CARVAJALNAGLES"/>
    <x v="0"/>
    <x v="0"/>
    <s v="BBVA"/>
    <e v="#NAME?"/>
    <s v="SDATOOL-37086 $ Factura electrónica (radian)"/>
    <n v="0.1"/>
    <s v="Tech Manager/Líder"/>
    <m/>
    <x v="1"/>
    <e v="#NAME?"/>
    <m/>
    <m/>
    <m/>
    <m/>
    <m/>
  </r>
  <r>
    <s v="O000159"/>
    <s v="CAROL VIVIANA CARVAJALNAGLES"/>
    <x v="0"/>
    <x v="0"/>
    <s v="BBVA"/>
    <e v="#NAME?"/>
    <s v="SDATOOL-40438 $ CIRCULAR 032 del 2021 - REQUERIMIENTO FISCALIA GENERAL DE LA NACION"/>
    <n v="0.1"/>
    <s v="Tech Manager/Líder"/>
    <m/>
    <x v="1"/>
    <e v="#NAME?"/>
    <m/>
    <m/>
    <m/>
    <m/>
    <m/>
  </r>
  <r>
    <s v="O000159"/>
    <s v="CAROL VIVIANA CARVAJALNAGLES"/>
    <x v="0"/>
    <x v="0"/>
    <s v="BBVA"/>
    <e v="#NAME?"/>
    <s v="SDATOOL-42106 $ Emisión Certificados Tributarios a  proveedores en  Operaciones Sin Recurso (Proyecto Normativo)"/>
    <n v="0.1"/>
    <s v="Tech Manager/Líder"/>
    <m/>
    <x v="1"/>
    <e v="#NAME?"/>
    <m/>
    <m/>
    <m/>
    <m/>
    <m/>
  </r>
  <r>
    <s v="O000159"/>
    <s v="CAROL VIVIANA CARVAJALNAGLES"/>
    <x v="0"/>
    <x v="0"/>
    <s v="BBVA"/>
    <e v="#NAME?"/>
    <s v="SDATOOL-36547 $ PLAN MAYOR -PLAN MENOR. Plan ascenso Open Market"/>
    <n v="0.35"/>
    <s v="Tech Manager/Líder"/>
    <m/>
    <x v="1"/>
    <e v="#NAME?"/>
    <m/>
    <m/>
    <m/>
    <m/>
    <m/>
  </r>
  <r>
    <s v="C342171"/>
    <s v="CAROLINA BERNAL"/>
    <x v="0"/>
    <x v="22"/>
    <s v="BBVA"/>
    <e v="#NAME?"/>
    <s v="SDATOOL-38427 $ Servicios transaccionales 2022"/>
    <n v="0.25"/>
    <s v="Desarrollador"/>
    <m/>
    <x v="1"/>
    <e v="#NAME?"/>
    <m/>
    <m/>
    <m/>
    <m/>
    <m/>
  </r>
  <r>
    <s v="C342171"/>
    <s v="CAROLINA BERNAL"/>
    <x v="0"/>
    <x v="22"/>
    <s v="BBVA"/>
    <e v="#NAME?"/>
    <s v="SDATOOL-37761 $ Plan transformación de procesos"/>
    <n v="0.25"/>
    <s v="Desarrollador"/>
    <m/>
    <x v="1"/>
    <e v="#NAME?"/>
    <m/>
    <m/>
    <m/>
    <m/>
    <m/>
  </r>
  <r>
    <s v="C342171"/>
    <s v="CAROLINA BERNAL"/>
    <x v="0"/>
    <x v="22"/>
    <s v="BBVA"/>
    <e v="#NAME?"/>
    <s v="SDATOOL-31340 $ Intercambio Electrónico de Archivos ACH y Cenit"/>
    <n v="0.25"/>
    <s v="Desarrollador"/>
    <m/>
    <x v="1"/>
    <e v="#NAME?"/>
    <m/>
    <m/>
    <m/>
    <m/>
    <m/>
  </r>
  <r>
    <s v="C342171"/>
    <s v="CAROLINA BERNAL"/>
    <x v="0"/>
    <x v="22"/>
    <s v="BBVA"/>
    <e v="#NAME?"/>
    <s v="SDATOOL-37116 $ Colpensiones - Incluir en la estructura del archivo de ORDENES DE NO PAGO dos nuevas causales de rechazo"/>
    <n v="0.25"/>
    <s v="Desarrollador"/>
    <m/>
    <x v="1"/>
    <e v="#NAME?"/>
    <m/>
    <m/>
    <m/>
    <m/>
    <m/>
  </r>
  <r>
    <s v="T008622  "/>
    <s v="Carolina Garzón"/>
    <x v="3"/>
    <x v="7"/>
    <s v="GGI / CMC"/>
    <e v="#NAME?"/>
    <s v="NOSDA- BAU $ BAU (Mantenimiento y peq. evolutivos)"/>
    <n v="1"/>
    <s v="Desarrollador"/>
    <m/>
    <x v="0"/>
    <e v="#NAME?"/>
    <m/>
    <m/>
    <m/>
    <m/>
    <m/>
  </r>
  <r>
    <s v="C804326"/>
    <s v="CARVAJAL ARRAIZ ANGELICA ALEJANDRA"/>
    <x v="0"/>
    <x v="8"/>
    <s v="BBVA"/>
    <e v="#NAME?"/>
    <s v="SDATOOL-39255 $ OBSOLESCENCIA APLICATIVA 2022"/>
    <n v="0.75"/>
    <s v="Desarrollador"/>
    <m/>
    <x v="1"/>
    <e v="#NAME?"/>
    <m/>
    <m/>
    <m/>
    <m/>
    <m/>
  </r>
  <r>
    <s v="C804326"/>
    <s v="CARVAJAL ARRAIZ ANGELICA ALEJANDRA"/>
    <x v="0"/>
    <x v="8"/>
    <s v="BBVA"/>
    <e v="#NAME?"/>
    <s v="NOSDA- BAU $ BAU (Mantenimiento y peq. evolutivos)"/>
    <n v="0.25"/>
    <s v="Desarrollador"/>
    <m/>
    <x v="1"/>
    <e v="#NAME?"/>
    <m/>
    <m/>
    <m/>
    <m/>
    <m/>
  </r>
  <r>
    <s v="T009658"/>
    <s v="CARVAJAL LUIS FELIPE"/>
    <x v="0"/>
    <x v="8"/>
    <s v="GGI / CMC"/>
    <e v="#NAME?"/>
    <s v="SDATOOL-37169 $ EGS: Salto país y softoken"/>
    <n v="1"/>
    <s v="Desarrollador"/>
    <m/>
    <x v="0"/>
    <e v="#NAME?"/>
    <m/>
    <m/>
    <m/>
    <m/>
    <m/>
  </r>
  <r>
    <s v="CE70171"/>
    <s v="CASALLAS LEGUIZAMON NELSON SEBASTIAN"/>
    <x v="0"/>
    <x v="8"/>
    <s v="GGI / CMC"/>
    <e v="#NAME?"/>
    <s v="NOSDA- BAU $ BAU (Mantenimiento y peq. evolutivos)"/>
    <n v="1"/>
    <s v="Desarrollador"/>
    <m/>
    <x v="0"/>
    <e v="#NAME?"/>
    <m/>
    <m/>
    <m/>
    <m/>
    <m/>
  </r>
  <r>
    <s v="C810959"/>
    <s v="Castellanos Caicedo Marco Hernan"/>
    <x v="1"/>
    <x v="1"/>
    <s v="BBVA"/>
    <e v="#NAME?"/>
    <s v="SDATOOL-30053 $ GRM Col Reg - CE016-19 Modificados, reestructurados e incumplidos RV"/>
    <n v="0.35"/>
    <s v="Desarrollador"/>
    <m/>
    <x v="1"/>
    <e v="#NAME?"/>
    <m/>
    <m/>
    <m/>
    <m/>
    <m/>
  </r>
  <r>
    <s v="C810959"/>
    <s v="Castellanos Caicedo Marco Hernan"/>
    <x v="1"/>
    <x v="1"/>
    <s v="BBVA"/>
    <e v="#NAME?"/>
    <s v="SDATOOL-42098 $ GRM Col CRONOS Batch - Campañas SMeS"/>
    <n v="0.25"/>
    <s v="Desarrollador"/>
    <m/>
    <x v="1"/>
    <e v="#NAME?"/>
    <m/>
    <m/>
    <m/>
    <m/>
    <m/>
  </r>
  <r>
    <s v="C810959"/>
    <s v="Castellanos Caicedo Marco Hernan"/>
    <x v="1"/>
    <x v="1"/>
    <s v="BBVA"/>
    <e v="#NAME?"/>
    <s v="SDATOOL-42098 $ GRM Col CRONOS Batch - Campañas SMeS"/>
    <n v="0.05"/>
    <s v="Desarrollador"/>
    <m/>
    <x v="1"/>
    <e v="#NAME?"/>
    <m/>
    <m/>
    <m/>
    <m/>
    <m/>
  </r>
  <r>
    <s v="C810959"/>
    <s v="Castellanos Caicedo Marco Hernan"/>
    <x v="1"/>
    <x v="1"/>
    <s v="BBVA"/>
    <e v="#NAME?"/>
    <s v="SDATOOL-33846 $ SREP Data Quality- BCBS239 - Colombia"/>
    <n v="0.35"/>
    <s v="Desarrollador"/>
    <m/>
    <x v="1"/>
    <e v="#NAME?"/>
    <m/>
    <m/>
    <m/>
    <m/>
    <m/>
  </r>
  <r>
    <s v="T002735"/>
    <s v="CASTELLANOS RODRIGUEZ EDUARDO"/>
    <x v="1"/>
    <x v="26"/>
    <s v="MS"/>
    <e v="#NAME?"/>
    <s v="SDATOOL-29998 $ Despliegue SAS AML en BBVA CO"/>
    <n v="1"/>
    <s v="Desarrollador"/>
    <m/>
    <x v="0"/>
    <e v="#NAME?"/>
    <m/>
    <m/>
    <m/>
    <m/>
    <m/>
  </r>
  <r>
    <s v="CE61320"/>
    <s v="CASTILLO ALONSO GILBERTO"/>
    <x v="0"/>
    <x v="8"/>
    <s v="GGI / CMC"/>
    <e v="#NAME?"/>
    <s v="SDATOOL-40555 $ ADELANTO DE VENTA EN GEMA"/>
    <n v="1"/>
    <s v="Desarrollador"/>
    <m/>
    <x v="0"/>
    <e v="#NAME?"/>
    <m/>
    <m/>
    <m/>
    <m/>
    <m/>
  </r>
  <r>
    <s v="C811188"/>
    <s v="CASTRO PULIDO STEFANNY LIZETH"/>
    <x v="0"/>
    <x v="8"/>
    <s v="BBVA"/>
    <e v="#NAME?"/>
    <s v="NOSDA- BAU $ BAU (Mantenimiento y peq. evolutivos)"/>
    <n v="1"/>
    <s v="Otros"/>
    <m/>
    <x v="1"/>
    <e v="#NAME?"/>
    <m/>
    <m/>
    <m/>
    <m/>
    <m/>
  </r>
  <r>
    <s v="CE52336"/>
    <s v="Cely Gutierrez Anderson Sneider"/>
    <x v="3"/>
    <x v="25"/>
    <s v="Inetum"/>
    <e v="#NAME?"/>
    <s v="NOSDA- BAU $ BAU (Mantenimiento y peq. evolutivos)"/>
    <n v="1"/>
    <s v="Desarrollador"/>
    <m/>
    <x v="0"/>
    <e v="#NAME?"/>
    <m/>
    <m/>
    <m/>
    <m/>
    <m/>
  </r>
  <r>
    <s v="T005769"/>
    <s v="Cesar Argenis Ruano Hernandez"/>
    <x v="1"/>
    <x v="26"/>
    <s v="CAPGEMINI"/>
    <e v="#NAME?"/>
    <s v="SDATOOL-29998 $ Despliegue SAS AML en BBVA CO"/>
    <n v="1"/>
    <s v="Desarrollador"/>
    <m/>
    <x v="0"/>
    <e v="#NAME?"/>
    <m/>
    <m/>
    <m/>
    <m/>
    <m/>
  </r>
  <r>
    <s v="CE30638"/>
    <s v="CESAR AUGUSTO MOLANO RUEDA"/>
    <x v="2"/>
    <x v="3"/>
    <s v="Inetum"/>
    <e v="#NAME?"/>
    <s v="SDATOOL-36548 $ Optimización consumo web - Plan ascenso Open Market"/>
    <n v="1"/>
    <s v="Desarrollador"/>
    <m/>
    <x v="0"/>
    <e v="#NAME?"/>
    <m/>
    <m/>
    <m/>
    <m/>
    <m/>
  </r>
  <r>
    <s v="CE70202"/>
    <s v="Cesar Augusto Valbuena"/>
    <x v="3"/>
    <x v="6"/>
    <s v="Neoris"/>
    <e v="#NAME?"/>
    <s v="SDATOOL-9053 $ GloMo Colombia"/>
    <n v="1"/>
    <s v="QA"/>
    <m/>
    <x v="0"/>
    <e v="#NAME?"/>
    <m/>
    <m/>
    <m/>
    <m/>
    <m/>
  </r>
  <r>
    <s v="T009376"/>
    <s v="CESAR LEANDRO PESTANA ROMERO"/>
    <x v="0"/>
    <x v="18"/>
    <s v="Novatec"/>
    <e v="#NAME?"/>
    <s v="SDATOOL-40528 $ ETPB - SENDA PAGOS"/>
    <n v="1"/>
    <s v="Desarrollador"/>
    <m/>
    <x v="0"/>
    <e v="#NAME?"/>
    <m/>
    <m/>
    <m/>
    <m/>
    <m/>
  </r>
  <r>
    <s v="CE63313"/>
    <s v="CESAR LEONEL MARTIN CASTILLO (QA)"/>
    <x v="0"/>
    <x v="22"/>
    <s v="Inetum"/>
    <e v="#NAME?"/>
    <s v="SDATOOL-35041 $ Obsolescencia aplicativa 2021 -PSE Comercio"/>
    <n v="0.5"/>
    <s v="QA"/>
    <m/>
    <x v="0"/>
    <e v="#NAME?"/>
    <m/>
    <m/>
    <m/>
    <m/>
    <m/>
  </r>
  <r>
    <s v="CE63313"/>
    <s v="CESAR LEONEL MARTIN CASTILLO (QA)"/>
    <x v="0"/>
    <x v="22"/>
    <s v="Inetum"/>
    <e v="#NAME?"/>
    <s v="SDATOOL-38427 $ Servicios transaccionales 2022"/>
    <n v="0.5"/>
    <s v="QA"/>
    <m/>
    <x v="0"/>
    <e v="#NAME?"/>
    <m/>
    <m/>
    <m/>
    <m/>
    <m/>
  </r>
  <r>
    <s v="C811314"/>
    <s v="CHAPARRO LOPEZ GONZALO"/>
    <x v="0"/>
    <x v="8"/>
    <s v="BBVA"/>
    <e v="#NAME?"/>
    <s v="SDATOOL-33408 $ Biocatch"/>
    <n v="0.2"/>
    <s v="Tech Manager/Líder"/>
    <m/>
    <x v="1"/>
    <e v="#NAME?"/>
    <m/>
    <m/>
    <m/>
    <m/>
    <m/>
  </r>
  <r>
    <s v="C811314"/>
    <s v="CHAPARRO LOPEZ GONZALO"/>
    <x v="0"/>
    <x v="8"/>
    <s v="BBVA"/>
    <e v="#NAME?"/>
    <s v="SDATOOL-39255 $ OBSOLESCENCIA APLICATIVA 2022"/>
    <n v="0.2"/>
    <s v="Tech Manager/Líder"/>
    <m/>
    <x v="1"/>
    <e v="#NAME?"/>
    <m/>
    <m/>
    <m/>
    <m/>
    <m/>
  </r>
  <r>
    <s v="C811314"/>
    <s v="CHAPARRO LOPEZ GONZALO"/>
    <x v="0"/>
    <x v="8"/>
    <s v="BBVA"/>
    <e v="#NAME?"/>
    <s v="SDATOOL-39840 $ BBVA Valores en Canales (Net Cash / Net)"/>
    <n v="0.2"/>
    <s v="Tech Manager/Líder"/>
    <m/>
    <x v="1"/>
    <e v="#NAME?"/>
    <m/>
    <m/>
    <m/>
    <m/>
    <m/>
  </r>
  <r>
    <s v="C811314"/>
    <s v="CHAPARRO LOPEZ GONZALO"/>
    <x v="0"/>
    <x v="8"/>
    <s v="BBVA"/>
    <e v="#NAME?"/>
    <s v="SDATOOL-38731 $ Prenotificaciones Canales Directos"/>
    <n v="0.1"/>
    <s v="Tech Manager/Líder"/>
    <m/>
    <x v="1"/>
    <e v="#NAME?"/>
    <m/>
    <m/>
    <m/>
    <m/>
    <m/>
  </r>
  <r>
    <s v="C811314"/>
    <s v="CHAPARRO LOPEZ GONZALO"/>
    <x v="0"/>
    <x v="8"/>
    <s v="BBVA"/>
    <e v="#NAME?"/>
    <s v="NOSDA- BAU $ BAU (Mantenimiento y peq. evolutivos)"/>
    <n v="0.2"/>
    <s v="Tech Manager/Líder"/>
    <m/>
    <x v="1"/>
    <e v="#NAME?"/>
    <m/>
    <m/>
    <m/>
    <m/>
    <m/>
  </r>
  <r>
    <s v="C811314"/>
    <s v="CHAPARRO LOPEZ GONZALO"/>
    <x v="0"/>
    <x v="8"/>
    <s v="BBVA"/>
    <e v="#NAME?"/>
    <s v="SDATOOL-39246 $ NETCASH /CANAL GLOBAL - DISPERSIÓN DE NÓMINA -ID PPT"/>
    <n v="0.1"/>
    <s v="Tech Manager/Líder"/>
    <m/>
    <x v="1"/>
    <e v="#NAME?"/>
    <m/>
    <m/>
    <m/>
    <m/>
    <m/>
  </r>
  <r>
    <s v="CE57157"/>
    <s v="CHAVES ANGEL JOAN NICOLAS"/>
    <x v="0"/>
    <x v="8"/>
    <s v="GGI / CMC"/>
    <e v="#NAME?"/>
    <s v="NOSDA- BAU $ BAU (Mantenimiento y peq. evolutivos)"/>
    <n v="1"/>
    <s v="Desarrollador"/>
    <m/>
    <x v="0"/>
    <e v="#NAME?"/>
    <m/>
    <m/>
    <m/>
    <m/>
    <m/>
  </r>
  <r>
    <s v="CE64217"/>
    <s v="CHRISTIAN CAMILO PERDOMO MEDINA"/>
    <x v="2"/>
    <x v="2"/>
    <s v="SII"/>
    <e v="#NAME?"/>
    <s v="NOSDA- BAU $ BAU (Mantenimiento y peq. evolutivos)"/>
    <n v="1"/>
    <s v="Desarrollador"/>
    <m/>
    <x v="0"/>
    <e v="#NAME?"/>
    <m/>
    <m/>
    <m/>
    <m/>
    <m/>
  </r>
  <r>
    <s v="C341759"/>
    <s v="CHRISTIAN EDUARDO DIAZ GARCIA "/>
    <x v="1"/>
    <x v="10"/>
    <s v="BBVA"/>
    <e v="#NAME?"/>
    <s v="SDATOOL-23176 $ ORION"/>
    <n v="0.05"/>
    <s v="Tech Manager/Líder"/>
    <m/>
    <x v="1"/>
    <e v="#NAME?"/>
    <m/>
    <m/>
    <m/>
    <m/>
    <m/>
  </r>
  <r>
    <s v="C341759"/>
    <s v="CHRISTIAN EDUARDO DIAZ GARCIA "/>
    <x v="1"/>
    <x v="10"/>
    <s v="BBVA"/>
    <e v="#NAME?"/>
    <s v="SDATOOL-32520 $ CDD Based Reporting - Colombia"/>
    <n v="0.08"/>
    <s v="Tech Manager/Líder"/>
    <m/>
    <x v="1"/>
    <e v="#NAME?"/>
    <m/>
    <m/>
    <m/>
    <m/>
    <m/>
  </r>
  <r>
    <s v="C341759"/>
    <s v="CHRISTIAN EDUARDO DIAZ GARCIA "/>
    <x v="1"/>
    <x v="10"/>
    <s v="BBVA"/>
    <e v="#NAME?"/>
    <s v="SDATOOL-36918 $ Conciliación Automática del Aplicativo Módulo de Notas Contables  - CKR1"/>
    <n v="0.05"/>
    <s v="Tech Manager/Líder"/>
    <m/>
    <x v="1"/>
    <e v="#NAME?"/>
    <m/>
    <m/>
    <m/>
    <m/>
    <m/>
  </r>
  <r>
    <s v="C341759"/>
    <s v="CHRISTIAN EDUARDO DIAZ GARCIA "/>
    <x v="1"/>
    <x v="10"/>
    <s v="BBVA"/>
    <e v="#NAME?"/>
    <s v="SDATOOL-33846 $ SREP Data Quality- BCBS239 - Colombia"/>
    <n v="0.02"/>
    <s v="Tech Manager/Líder"/>
    <m/>
    <x v="1"/>
    <e v="#NAME?"/>
    <m/>
    <m/>
    <m/>
    <m/>
    <m/>
  </r>
  <r>
    <s v="C341759"/>
    <s v="CHRISTIAN EDUARDO DIAZ GARCIA "/>
    <x v="1"/>
    <x v="10"/>
    <s v="BBVA"/>
    <e v="#NAME?"/>
    <s v="SDATOOL-36929 $ Ciclo 1 - Resolución 098 de 2020 DIAN - Reportes de Información Exogena"/>
    <n v="0.1"/>
    <s v="Tech Manager/Líder"/>
    <m/>
    <x v="1"/>
    <e v="#NAME?"/>
    <m/>
    <m/>
    <m/>
    <m/>
    <m/>
  </r>
  <r>
    <s v="C341759"/>
    <s v="CHRISTIAN EDUARDO DIAZ GARCIA "/>
    <x v="1"/>
    <x v="10"/>
    <s v="BBVA"/>
    <e v="#NAME?"/>
    <s v="SDATOOL-37483 $ Aplicativos Finanzas - 2022"/>
    <n v="0.1"/>
    <s v="Tech Manager/Líder"/>
    <m/>
    <x v="1"/>
    <e v="#NAME?"/>
    <m/>
    <m/>
    <m/>
    <m/>
    <m/>
  </r>
  <r>
    <s v="C341759"/>
    <s v="CHRISTIAN EDUARDO DIAZ GARCIA "/>
    <x v="1"/>
    <x v="10"/>
    <s v="BBVA"/>
    <e v="#NAME?"/>
    <s v="SDATOOL-37681 $ Ciclo 2 - Resolución 0098 de Octubre 28 de 2020 - Reportes información Exógena Base Impuestos"/>
    <n v="0.1"/>
    <s v="Tech Manager/Líder"/>
    <m/>
    <x v="1"/>
    <e v="#NAME?"/>
    <m/>
    <m/>
    <m/>
    <m/>
    <m/>
  </r>
  <r>
    <s v="C341759"/>
    <s v="CHRISTIAN EDUARDO DIAZ GARCIA "/>
    <x v="1"/>
    <x v="10"/>
    <s v="BBVA"/>
    <e v="#NAME?"/>
    <s v="SDATOOL-38583 $ FUSIONES Y ACTUALIZACION DE IDENTIFICACIONES"/>
    <n v="0.1"/>
    <s v="Tech Manager/Líder"/>
    <m/>
    <x v="1"/>
    <e v="#NAME?"/>
    <m/>
    <m/>
    <m/>
    <m/>
    <m/>
  </r>
  <r>
    <s v="C341759"/>
    <s v="CHRISTIAN EDUARDO DIAZ GARCIA "/>
    <x v="1"/>
    <x v="10"/>
    <s v="BBVA"/>
    <e v="#NAME?"/>
    <s v="SDATOOL-40003 $ Resolución 0124 DIAN 2021 - Créditos Hipotecarios para remodelación de Vivienda"/>
    <n v="0.05"/>
    <s v="Tech Manager/Líder"/>
    <m/>
    <x v="1"/>
    <e v="#NAME?"/>
    <m/>
    <m/>
    <m/>
    <m/>
    <m/>
  </r>
  <r>
    <s v="C341759"/>
    <s v="CHRISTIAN EDUARDO DIAZ GARCIA "/>
    <x v="1"/>
    <x v="10"/>
    <s v="BBVA"/>
    <e v="#NAME?"/>
    <s v="SDATOOL-40225 $ Resolución 0124 Dian - 2021 - Ajustes para Reporte de Información Exógena año gravable 2022 - Ciclo 1"/>
    <n v="0.1"/>
    <s v="Tech Manager/Líder"/>
    <m/>
    <x v="1"/>
    <e v="#NAME?"/>
    <m/>
    <m/>
    <m/>
    <m/>
    <m/>
  </r>
  <r>
    <s v="C341759"/>
    <s v="CHRISTIAN EDUARDO DIAZ GARCIA "/>
    <x v="1"/>
    <x v="10"/>
    <s v="BBVA"/>
    <e v="#NAME?"/>
    <s v="SDATOOL-40529 $ Aplicativos Finanzas - 2023"/>
    <n v="0.1"/>
    <s v="Tech Manager/Líder"/>
    <m/>
    <x v="1"/>
    <e v="#NAME?"/>
    <m/>
    <m/>
    <m/>
    <m/>
    <m/>
  </r>
  <r>
    <s v="C341759"/>
    <s v="CHRISTIAN EDUARDO DIAZ GARCIA "/>
    <x v="1"/>
    <x v="10"/>
    <s v="BBVA"/>
    <e v="#NAME?"/>
    <s v="SDATOOL-40274 $ CIRCULAR 033 de 2021-SFC"/>
    <n v="0.05"/>
    <s v="Tech Manager/Líder"/>
    <m/>
    <x v="1"/>
    <e v="#NAME?"/>
    <m/>
    <m/>
    <m/>
    <m/>
    <m/>
  </r>
  <r>
    <s v="C341759"/>
    <s v="CHRISTIAN EDUARDO DIAZ GARCIA "/>
    <x v="1"/>
    <x v="10"/>
    <s v="BBVA"/>
    <e v="#NAME?"/>
    <s v="SDATOOL-33847 $ Resolución 0042 DIAN Documento Soporte"/>
    <n v="7.0000000000000007E-2"/>
    <s v="Tech Manager/Líder"/>
    <m/>
    <x v="1"/>
    <e v="#NAME?"/>
    <m/>
    <m/>
    <m/>
    <m/>
    <m/>
  </r>
  <r>
    <s v="C341759"/>
    <s v="CHRISTIAN EDUARDO DIAZ GARCIA "/>
    <x v="1"/>
    <x v="10"/>
    <s v="BBVA"/>
    <e v="#NAME?"/>
    <s v="SDATOOL-33862 $ NDoD Accounting"/>
    <n v="0.03"/>
    <s v="Tech Manager/Líder"/>
    <m/>
    <x v="1"/>
    <e v="#NAME?"/>
    <m/>
    <m/>
    <m/>
    <m/>
    <m/>
  </r>
  <r>
    <s v="C341767"/>
    <s v="Cipagauta Rodriguez Edwin Guillermo"/>
    <x v="1"/>
    <x v="21"/>
    <s v="BBVA"/>
    <e v="#NAME?"/>
    <s v="SDATOOL-35775 $ (Work Day)  Nueva Plataforma Core Colombia- Impacto en Terceros"/>
    <n v="0.3"/>
    <s v="Desarrollador"/>
    <m/>
    <x v="1"/>
    <e v="#NAME?"/>
    <m/>
    <m/>
    <m/>
    <m/>
    <m/>
  </r>
  <r>
    <s v="C341767"/>
    <s v="Cipagauta Rodriguez Edwin Guillermo"/>
    <x v="1"/>
    <x v="21"/>
    <s v="BBVA"/>
    <e v="#NAME?"/>
    <s v="SDATOOL-40406 $ Plan Mejora recobro de incapacidades"/>
    <n v="0.35"/>
    <s v="Desarrollador"/>
    <m/>
    <x v="1"/>
    <e v="#NAME?"/>
    <m/>
    <m/>
    <m/>
    <m/>
    <m/>
  </r>
  <r>
    <s v="C341767"/>
    <s v="Cipagauta Rodriguez Edwin Guillermo"/>
    <x v="1"/>
    <x v="21"/>
    <s v="BBVA"/>
    <e v="#NAME?"/>
    <s v="SDATOOL-37765 $ Optimización operativa S&amp;C"/>
    <n v="0.35"/>
    <s v="Desarrollador"/>
    <m/>
    <x v="1"/>
    <e v="#NAME?"/>
    <m/>
    <m/>
    <m/>
    <m/>
    <m/>
  </r>
  <r>
    <s v="C811175"/>
    <s v="CIRO ALONSO RINCON HERNANDEZ"/>
    <x v="2"/>
    <x v="5"/>
    <s v="BBVA"/>
    <e v="#NAME?"/>
    <s v="SDATOOL-38447 $ GRM Col - Condonación y bajas automáticas en Medios de Pago"/>
    <n v="0.2"/>
    <s v="Desarrollador"/>
    <m/>
    <x v="1"/>
    <e v="#NAME?"/>
    <m/>
    <m/>
    <m/>
    <m/>
    <m/>
  </r>
  <r>
    <s v="C811175"/>
    <s v="CIRO ALONSO RINCON HERNANDEZ"/>
    <x v="2"/>
    <x v="5"/>
    <s v="BBVA"/>
    <e v="#NAME?"/>
    <s v="SDATOOL-40438 $ CIRCULAR 032 del 2021 - REQUERIMIENTO FISCALIA GENERAL DE LA NACION"/>
    <n v="0.8"/>
    <s v="Desarrollador"/>
    <m/>
    <x v="1"/>
    <e v="#NAME?"/>
    <m/>
    <m/>
    <m/>
    <m/>
    <m/>
  </r>
  <r>
    <s v="CE46835"/>
    <s v="CLAUDIA PALENCIA"/>
    <x v="2"/>
    <x v="5"/>
    <s v="KRYPTO"/>
    <e v="#NAME?"/>
    <s v="SDATOOL-36556 $ Parthnerships - Tarjeta de crédito en punto de venta físico  aliados"/>
    <n v="0.2"/>
    <s v="QA"/>
    <m/>
    <x v="0"/>
    <e v="#NAME?"/>
    <m/>
    <m/>
    <m/>
    <m/>
    <m/>
  </r>
  <r>
    <s v="CE46835"/>
    <s v="CLAUDIA PALENCIA"/>
    <x v="2"/>
    <x v="5"/>
    <s v="KRYPTO"/>
    <e v="#NAME?"/>
    <s v="SDATOOL-37057 $ Pagos QR - Entre cuentas Redeban - Plan Ascenso Mercurio"/>
    <n v="0.5"/>
    <s v="QA"/>
    <m/>
    <x v="0"/>
    <e v="#NAME?"/>
    <m/>
    <m/>
    <m/>
    <m/>
    <m/>
  </r>
  <r>
    <s v="CE46835"/>
    <s v="CLAUDIA PALENCIA"/>
    <x v="2"/>
    <x v="5"/>
    <s v="KRYPTO"/>
    <e v="#NAME?"/>
    <s v="NOSDA- BAU $ BAU (Mantenimiento y peq. evolutivos)"/>
    <n v="0.3"/>
    <s v="QA"/>
    <m/>
    <x v="0"/>
    <e v="#NAME?"/>
    <m/>
    <m/>
    <m/>
    <m/>
    <m/>
  </r>
  <r>
    <s v="CE69505"/>
    <s v="CLAUDIA YURANI TAQUEZ CHALAPUD"/>
    <x v="2"/>
    <x v="5"/>
    <s v="KRYPTO"/>
    <e v="#NAME?"/>
    <s v="SDATOOL-36556 $ Parthnerships - Tarjeta de crédito en punto de venta físico  aliados"/>
    <n v="0.2"/>
    <s v="QA"/>
    <m/>
    <x v="0"/>
    <e v="#NAME?"/>
    <m/>
    <m/>
    <m/>
    <m/>
    <m/>
  </r>
  <r>
    <s v="CE69505"/>
    <s v="CLAUDIA YURANI TAQUEZ CHALAPUD"/>
    <x v="2"/>
    <x v="5"/>
    <s v="KRYPTO"/>
    <e v="#NAME?"/>
    <s v="NOSDA- BAU $ BAU (Mantenimiento y peq. evolutivos)"/>
    <n v="0.3"/>
    <s v="QA"/>
    <m/>
    <x v="0"/>
    <e v="#NAME?"/>
    <m/>
    <m/>
    <m/>
    <m/>
    <m/>
  </r>
  <r>
    <s v="CE69505"/>
    <s v="CLAUDIA YURANI TAQUEZ CHALAPUD"/>
    <x v="2"/>
    <x v="5"/>
    <s v="KRYPTO"/>
    <e v="#NAME?"/>
    <s v="SDATOOL-37057 $ Pagos QR - Entre cuentas Redeban - Plan Ascenso Mercurio"/>
    <n v="0.5"/>
    <s v="QA"/>
    <m/>
    <x v="0"/>
    <e v="#NAME?"/>
    <m/>
    <m/>
    <m/>
    <m/>
    <m/>
  </r>
  <r>
    <s v="CE50160"/>
    <s v="Consuelo Molina Guerrero"/>
    <x v="0"/>
    <x v="27"/>
    <s v="Inetum"/>
    <e v="#NAME?"/>
    <s v="NOSDA- BAU $ BAU (Mantenimiento y peq. evolutivos)"/>
    <n v="1"/>
    <s v="Desarrollador"/>
    <m/>
    <x v="0"/>
    <e v="#NAME?"/>
    <m/>
    <m/>
    <m/>
    <m/>
    <m/>
  </r>
  <r>
    <s v="CE70844"/>
    <s v="CORONADO ALVARO FELIPE"/>
    <x v="0"/>
    <x v="8"/>
    <s v="BBVA"/>
    <e v="#NAME?"/>
    <s v="SDATOOL-40482 $ Incluir tasa ponderada en Adquirencia Onboarding digital - Netcash"/>
    <n v="1"/>
    <s v="Desarrollador"/>
    <m/>
    <x v="1"/>
    <e v="#NAME?"/>
    <m/>
    <m/>
    <m/>
    <m/>
    <m/>
  </r>
  <r>
    <s v="T003701"/>
    <s v="CORREA HURTADO KEVIN ALEJANDRO"/>
    <x v="0"/>
    <x v="8"/>
    <s v="GGI / CMC"/>
    <e v="#NAME?"/>
    <s v="NOSDA- BAU $ BAU (Mantenimiento y peq. evolutivos)"/>
    <n v="1"/>
    <s v="Desarrollador"/>
    <m/>
    <x v="0"/>
    <e v="#NAME?"/>
    <m/>
    <m/>
    <m/>
    <m/>
    <m/>
  </r>
  <r>
    <s v="C811397"/>
    <s v="CRISTHIAN CAMILO FIGUEROA ENRIQUEZ"/>
    <x v="0"/>
    <x v="15"/>
    <s v="BBVA"/>
    <e v="#NAME?"/>
    <s v="NOSDA- BAU $ BAU (Mantenimiento y peq. evolutivos)"/>
    <n v="1"/>
    <s v="Desarrollador"/>
    <m/>
    <x v="1"/>
    <e v="#NAME?"/>
    <m/>
    <m/>
    <m/>
    <m/>
    <m/>
  </r>
  <r>
    <s v="C810711"/>
    <s v="CRISTIAN ALEXANDER ROJAS AZA"/>
    <x v="3"/>
    <x v="7"/>
    <s v="BBVA"/>
    <e v="#NAME?"/>
    <s v="SDATOOL-36558 $ Transfiya:Transferencias interbancarias inmediatas - Plan Ascenso Privado"/>
    <n v="1"/>
    <s v="Desarrollador"/>
    <m/>
    <x v="1"/>
    <e v="#NAME?"/>
    <m/>
    <m/>
    <m/>
    <m/>
    <m/>
  </r>
  <r>
    <s v="C811170"/>
    <s v="CRISTIAN ANDREY ANTOLINEZ BOHORQUEZ"/>
    <x v="3"/>
    <x v="19"/>
    <s v="BBVA"/>
    <e v="#NAME?"/>
    <s v="SDATOOL-37100 $ Soluciones de voz/Internalización del IVR - Plan Ascenso Privado"/>
    <n v="1"/>
    <s v="Desarrollador"/>
    <m/>
    <x v="1"/>
    <e v="#NAME?"/>
    <m/>
    <m/>
    <m/>
    <m/>
    <m/>
  </r>
  <r>
    <s v="C811284"/>
    <s v="CRISTIAN ARLEY AMORTEGUI AREVALO"/>
    <x v="4"/>
    <x v="9"/>
    <s v="BBVA"/>
    <e v="#NAME?"/>
    <s v="SDATOOL-35663 $ Capacidades FX GM"/>
    <n v="0.5"/>
    <s v="Desarrollador"/>
    <m/>
    <x v="1"/>
    <e v="#NAME?"/>
    <m/>
    <m/>
    <m/>
    <m/>
    <m/>
  </r>
  <r>
    <s v="C811284"/>
    <s v="CRISTIAN ARLEY AMORTEGUI AREVALO"/>
    <x v="4"/>
    <x v="9"/>
    <s v="BBVA"/>
    <e v="#NAME?"/>
    <s v="SDATOOL-37114 $ Actualización Botón pagos PSE versión 2.0"/>
    <n v="0.25"/>
    <s v="Desarrollador"/>
    <m/>
    <x v="1"/>
    <e v="#NAME?"/>
    <m/>
    <m/>
    <m/>
    <m/>
    <m/>
  </r>
  <r>
    <s v="C811284"/>
    <s v="CRISTIAN ARLEY AMORTEGUI AREVALO"/>
    <x v="4"/>
    <x v="9"/>
    <s v="BBVA"/>
    <e v="#NAME?"/>
    <s v="SDATOOL-41207 $ Derivados implícitos ( Triadas)"/>
    <n v="0.25"/>
    <s v="Desarrollador"/>
    <m/>
    <x v="1"/>
    <e v="#NAME?"/>
    <m/>
    <m/>
    <m/>
    <m/>
    <m/>
  </r>
  <r>
    <s v="C808271"/>
    <s v="CRISTIAN CAMILO APONTE QUIROGA"/>
    <x v="2"/>
    <x v="20"/>
    <s v="BBVA"/>
    <e v="#NAME?"/>
    <s v="SDATOOL-31326 $ Legalización Hipotecario"/>
    <n v="0.4"/>
    <s v="Desarrollador"/>
    <s v="desarrollos F7,8; Postimplantación F5 y6"/>
    <x v="1"/>
    <e v="#NAME?"/>
    <m/>
    <m/>
    <m/>
    <m/>
    <m/>
  </r>
  <r>
    <s v="C808271"/>
    <s v="CRISTIAN CAMILO APONTE QUIROGA"/>
    <x v="2"/>
    <x v="20"/>
    <s v="BBVA"/>
    <e v="#NAME?"/>
    <s v="SDATOOL-36509 $ Centralización de la formalización de desembolsos Pymes"/>
    <n v="0.4"/>
    <s v="Desarrollador"/>
    <s v="apoyo en desarrollos, pasa a QA marzo 6"/>
    <x v="1"/>
    <e v="#NAME?"/>
    <m/>
    <m/>
    <m/>
    <m/>
    <m/>
  </r>
  <r>
    <s v="C808271"/>
    <s v="CRISTIAN CAMILO APONTE QUIROGA"/>
    <x v="2"/>
    <x v="20"/>
    <s v="BBVA"/>
    <e v="#NAME?"/>
    <s v="NOSDA- BAU $ BAU (Mantenimiento y peq. evolutivos)"/>
    <n v="0.2"/>
    <s v="Desarrollador"/>
    <s v="apoyo equipo operacion"/>
    <x v="1"/>
    <e v="#NAME?"/>
    <m/>
    <m/>
    <m/>
    <m/>
    <m/>
  </r>
  <r>
    <s v="CE67309"/>
    <s v="Cristian Camilo Duarte"/>
    <x v="3"/>
    <x v="6"/>
    <s v="GGI / CMC"/>
    <e v="#NAME?"/>
    <s v="SDATOOL-9053 $ GloMo Colombia"/>
    <n v="1"/>
    <s v="QA"/>
    <m/>
    <x v="0"/>
    <e v="#NAME?"/>
    <m/>
    <m/>
    <m/>
    <m/>
    <m/>
  </r>
  <r>
    <s v="O000988"/>
    <s v="CRISTIAN CAMILO RATIVA PARRA"/>
    <x v="2"/>
    <x v="5"/>
    <s v="BBVA"/>
    <e v="#NAME?"/>
    <s v="SDATOOL-41757 $ AJUSTE AUTOMATIZACION CONCILIACION ARA"/>
    <n v="0.4"/>
    <s v="Desarrollador"/>
    <m/>
    <x v="1"/>
    <e v="#NAME?"/>
    <m/>
    <m/>
    <m/>
    <m/>
    <m/>
  </r>
  <r>
    <s v="O000988"/>
    <s v="CRISTIAN CAMILO RATIVA PARRA"/>
    <x v="2"/>
    <x v="5"/>
    <s v="BBVA"/>
    <e v="#NAME?"/>
    <s v="SDATOOL-41709 $ Fraccionamiento de transacciones en CBs"/>
    <n v="0.4"/>
    <s v="Desarrollador"/>
    <m/>
    <x v="1"/>
    <e v="#NAME?"/>
    <m/>
    <m/>
    <m/>
    <m/>
    <m/>
  </r>
  <r>
    <s v="O000988"/>
    <s v="CRISTIAN CAMILO RATIVA PARRA"/>
    <x v="2"/>
    <x v="5"/>
    <s v="BBVA"/>
    <e v="#NAME?"/>
    <s v="NOSDA- BAU $ BAU (Mantenimiento y peq. evolutivos)"/>
    <n v="0.2"/>
    <s v="Desarrollador"/>
    <m/>
    <x v="1"/>
    <e v="#NAME?"/>
    <m/>
    <m/>
    <m/>
    <m/>
    <m/>
  </r>
  <r>
    <s v="O002375"/>
    <s v="CRISTIAN DAVID BELTRAN BARRANTES"/>
    <x v="2"/>
    <x v="20"/>
    <s v="BBVA"/>
    <e v="#NAME?"/>
    <s v="NOSDA- BAU $ BAU (Mantenimiento y peq. evolutivos)"/>
    <n v="1"/>
    <s v="Desarrollador"/>
    <s v="Arandas, producción y backlog mantenimientos menores"/>
    <x v="1"/>
    <e v="#NAME?"/>
    <m/>
    <m/>
    <m/>
    <m/>
    <m/>
  </r>
  <r>
    <s v="O002594"/>
    <s v="CRISTIAN DAVID VARGAS SIERRA"/>
    <x v="1"/>
    <x v="26"/>
    <s v="BBVA"/>
    <e v="#NAME?"/>
    <s v="SDATOOL-39265 $ Migración Operaciones Fircosoft"/>
    <n v="0.1"/>
    <s v="Desarrollador"/>
    <m/>
    <x v="1"/>
    <e v="#NAME?"/>
    <m/>
    <m/>
    <m/>
    <m/>
    <m/>
  </r>
  <r>
    <s v="O002594"/>
    <s v="CRISTIAN DAVID VARGAS SIERRA"/>
    <x v="1"/>
    <x v="26"/>
    <s v="BBVA"/>
    <e v="#NAME?"/>
    <s v="SDATOOL-39473 $ Actualización de Was 8 a was 9. RBA"/>
    <n v="0.1"/>
    <s v="Desarrollador"/>
    <m/>
    <x v="1"/>
    <e v="#NAME?"/>
    <m/>
    <m/>
    <m/>
    <m/>
    <m/>
  </r>
  <r>
    <s v="O002594"/>
    <s v="CRISTIAN DAVID VARGAS SIERRA"/>
    <x v="1"/>
    <x v="26"/>
    <s v="BBVA"/>
    <e v="#NAME?"/>
    <s v="SDATOOL-40984 $ Proyecto - Identificación e ingesta de las tablas necesarias en datio y la construcción del caso de uso para la identificación de vínculos - Colombia"/>
    <n v="0.2"/>
    <s v="Desarrollador"/>
    <m/>
    <x v="1"/>
    <e v="#NAME?"/>
    <m/>
    <m/>
    <m/>
    <m/>
    <m/>
  </r>
  <r>
    <s v="O002594"/>
    <s v="CRISTIAN DAVID VARGAS SIERRA"/>
    <x v="1"/>
    <x v="26"/>
    <s v="BBVA"/>
    <e v="#NAME?"/>
    <s v="SDATOOL-41031 $ Proyecto - Shadow IT - Migración a un nuevo aplicativo de la herramienta SIGLAFT"/>
    <n v="0.6"/>
    <s v="Desarrollador"/>
    <m/>
    <x v="1"/>
    <e v="#NAME?"/>
    <m/>
    <m/>
    <m/>
    <m/>
    <m/>
  </r>
  <r>
    <s v="T006642"/>
    <s v="Cristian Daza"/>
    <x v="3"/>
    <x v="6"/>
    <s v="Neoris"/>
    <e v="#NAME?"/>
    <s v="SDATOOL-9053 $ GloMo Colombia"/>
    <n v="1"/>
    <s v="Desarrollador"/>
    <m/>
    <x v="0"/>
    <e v="#NAME?"/>
    <m/>
    <m/>
    <m/>
    <m/>
    <m/>
  </r>
  <r>
    <s v="C805965"/>
    <s v="CRISTIAN ESNEIDER VELASQUEZ"/>
    <x v="2"/>
    <x v="3"/>
    <s v="BBVA"/>
    <e v="#NAME?"/>
    <s v="SDATOOL-34157 $ Evolutivo Parthnership - Crédito en punto de venta de Aliados"/>
    <n v="0.1"/>
    <s v="Desarrollador"/>
    <m/>
    <x v="1"/>
    <e v="#NAME?"/>
    <m/>
    <m/>
    <m/>
    <m/>
    <m/>
  </r>
  <r>
    <s v="C805965"/>
    <s v="CRISTIAN ESNEIDER VELASQUEZ"/>
    <x v="2"/>
    <x v="3"/>
    <s v="BBVA"/>
    <e v="#NAME?"/>
    <s v="SDATOOL-34157 $ Evolutivo Parthnership - Crédito en punto de venta de Aliados"/>
    <n v="0.1"/>
    <s v="Desarrollador"/>
    <m/>
    <x v="1"/>
    <e v="#NAME?"/>
    <m/>
    <m/>
    <m/>
    <m/>
    <m/>
  </r>
  <r>
    <s v="C805965"/>
    <s v="CRISTIAN ESNEIDER VELASQUEZ"/>
    <x v="2"/>
    <x v="3"/>
    <s v="BBVA"/>
    <e v="#NAME?"/>
    <s v="SDATOOL-40062 $ Implementación FGA en flujos de contratación digital"/>
    <n v="0.8"/>
    <s v="Desarrollador"/>
    <m/>
    <x v="1"/>
    <e v="#NAME?"/>
    <m/>
    <m/>
    <m/>
    <m/>
    <m/>
  </r>
  <r>
    <s v="CE69445"/>
    <s v="Cristian Fernando Hernandez Angarita"/>
    <x v="3"/>
    <x v="6"/>
    <s v="Neoris"/>
    <e v="#NAME?"/>
    <s v="SDATOOL-9053 $ GloMo Colombia"/>
    <n v="1"/>
    <s v="Desarrollador"/>
    <m/>
    <x v="0"/>
    <e v="#NAME?"/>
    <m/>
    <m/>
    <m/>
    <m/>
    <m/>
  </r>
  <r>
    <s v="C342543"/>
    <s v="CRISTIAN FRANCISCO FERNANDEZ"/>
    <x v="2"/>
    <x v="3"/>
    <s v="BBVA"/>
    <e v="#NAME?"/>
    <s v="SDATOOL-33847 $ Resolución 0042 DIAN Documento Soporte"/>
    <n v="0.1"/>
    <s v="Desarrollador"/>
    <m/>
    <x v="1"/>
    <e v="#NAME?"/>
    <m/>
    <m/>
    <m/>
    <m/>
    <m/>
  </r>
  <r>
    <s v="C342543"/>
    <s v="CRISTIAN FRANCISCO FERNANDEZ"/>
    <x v="2"/>
    <x v="3"/>
    <s v="BBVA"/>
    <e v="#NAME?"/>
    <s v="NOSDA- BAU $ BAU (Mantenimiento y peq. evolutivos)"/>
    <n v="0.4"/>
    <s v="Desarrollador"/>
    <m/>
    <x v="1"/>
    <e v="#NAME?"/>
    <m/>
    <m/>
    <m/>
    <m/>
    <m/>
  </r>
  <r>
    <s v="C342543"/>
    <s v="CRISTIAN FRANCISCO FERNANDEZ"/>
    <x v="2"/>
    <x v="3"/>
    <s v="BBVA"/>
    <e v="#NAME?"/>
    <s v="SDATOOL-33846 $ SREP Data Quality- BCBS239 - Colombia"/>
    <n v="0.1"/>
    <s v="Desarrollador"/>
    <m/>
    <x v="1"/>
    <e v="#NAME?"/>
    <m/>
    <m/>
    <m/>
    <m/>
    <m/>
  </r>
  <r>
    <s v="C342543"/>
    <s v="CRISTIAN FRANCISCO FERNANDEZ"/>
    <x v="2"/>
    <x v="3"/>
    <s v="BBVA"/>
    <e v="#NAME?"/>
    <s v="SDATOOL-40062 $ Implementación FGA en flujos de contratación digital"/>
    <n v="0.1"/>
    <s v="Desarrollador"/>
    <m/>
    <x v="1"/>
    <e v="#NAME?"/>
    <m/>
    <m/>
    <m/>
    <m/>
    <m/>
  </r>
  <r>
    <s v="C342543"/>
    <s v="CRISTIAN FRANCISCO FERNANDEZ"/>
    <x v="2"/>
    <x v="3"/>
    <s v="BBVA"/>
    <e v="#NAME?"/>
    <s v="SDATOOL-36548 $ Optimización consumo web - Plan ascenso Open Market"/>
    <n v="0.1"/>
    <s v="Desarrollador"/>
    <m/>
    <x v="1"/>
    <e v="#NAME?"/>
    <m/>
    <m/>
    <m/>
    <m/>
    <m/>
  </r>
  <r>
    <s v="C342543"/>
    <s v="CRISTIAN FRANCISCO FERNANDEZ"/>
    <x v="2"/>
    <x v="3"/>
    <s v="BBVA"/>
    <e v="#NAME?"/>
    <s v="SDATOOL-41729 $ SEGUNDA LIBRANZA - APLICACION PAGOS Y VoBo PAGADOR"/>
    <n v="0.1"/>
    <s v="Desarrollador"/>
    <m/>
    <x v="1"/>
    <e v="#NAME?"/>
    <m/>
    <m/>
    <m/>
    <m/>
    <m/>
  </r>
  <r>
    <s v="C342543"/>
    <s v="CRISTIAN FRANCISCO FERNANDEZ"/>
    <x v="2"/>
    <x v="3"/>
    <s v="BBVA"/>
    <e v="#NAME?"/>
    <s v="SDATOOL-35463 $ Gestión de Ingresos - Períodos de Gracia Libranzas"/>
    <n v="0.1"/>
    <s v="Desarrollador"/>
    <m/>
    <x v="1"/>
    <e v="#NAME?"/>
    <m/>
    <m/>
    <m/>
    <m/>
    <m/>
  </r>
  <r>
    <s v="O003245"/>
    <s v="CRISTIAN RENE MENDEZ"/>
    <x v="3"/>
    <x v="23"/>
    <s v="BBVA"/>
    <e v="#NAME?"/>
    <s v="NOSDA- BAU $ BAU (Mantenimiento y peq. evolutivos)"/>
    <n v="0.1"/>
    <s v="Tech Manager/Líder"/>
    <m/>
    <x v="1"/>
    <e v="#NAME?"/>
    <m/>
    <m/>
    <m/>
    <m/>
    <m/>
  </r>
  <r>
    <s v="O003245"/>
    <s v="CRISTIAN RENE MENDEZ"/>
    <x v="3"/>
    <x v="23"/>
    <s v="BBVA"/>
    <e v="#NAME?"/>
    <s v="SDATOOL-32991 $ Comisión de Acceso a ATM's"/>
    <n v="0.2"/>
    <s v="Tech Manager/Líder"/>
    <m/>
    <x v="1"/>
    <e v="#NAME?"/>
    <m/>
    <m/>
    <m/>
    <m/>
    <m/>
  </r>
  <r>
    <s v="O003245"/>
    <s v="CRISTIAN RENE MENDEZ"/>
    <x v="3"/>
    <x v="23"/>
    <s v="BBVA"/>
    <e v="#NAME?"/>
    <s v="SDATOOL-36903 $ ATM's recicladores: Homologación y funcionalidad EtapaII"/>
    <n v="0.2"/>
    <s v="Tech Manager/Líder"/>
    <m/>
    <x v="1"/>
    <e v="#NAME?"/>
    <m/>
    <m/>
    <m/>
    <m/>
    <m/>
  </r>
  <r>
    <s v="O003245"/>
    <s v="CRISTIAN RENE MENDEZ"/>
    <x v="3"/>
    <x v="23"/>
    <s v="BBVA"/>
    <e v="#NAME?"/>
    <s v="SDATOOL-40515 $ Acción de auditoria de Cobro de Comisiones"/>
    <n v="0.1"/>
    <s v="Tech Manager/Líder"/>
    <m/>
    <x v="1"/>
    <e v="#NAME?"/>
    <m/>
    <m/>
    <m/>
    <m/>
    <m/>
  </r>
  <r>
    <s v="O003245"/>
    <s v="CRISTIAN RENE MENDEZ"/>
    <x v="3"/>
    <x v="23"/>
    <s v="BBVA"/>
    <e v="#NAME?"/>
    <s v="SDATOOL-9053 $ GloMo Colombia"/>
    <n v="0.1"/>
    <s v="Tech Manager/Líder"/>
    <m/>
    <x v="1"/>
    <e v="#NAME?"/>
    <m/>
    <m/>
    <m/>
    <m/>
    <m/>
  </r>
  <r>
    <s v="O003245"/>
    <s v="CRISTIAN RENE MENDEZ"/>
    <x v="3"/>
    <x v="19"/>
    <s v="BBVA"/>
    <e v="#NAME?"/>
    <s v="NOSDA- BAU $ BAU (Mantenimiento y peq. evolutivos)"/>
    <n v="0.1"/>
    <s v="Tech Manager/Líder"/>
    <m/>
    <x v="1"/>
    <e v="#NAME?"/>
    <m/>
    <m/>
    <m/>
    <m/>
    <m/>
  </r>
  <r>
    <s v="O003245"/>
    <s v="CRISTIAN RENE MENDEZ"/>
    <x v="3"/>
    <x v="19"/>
    <s v="BBVA"/>
    <e v="#NAME?"/>
    <s v="SDATOOL-37100 $ Soluciones de voz/Internalización del IVR - Plan Ascenso Privado"/>
    <n v="0.1"/>
    <s v="Tech Manager/Líder"/>
    <m/>
    <x v="1"/>
    <e v="#NAME?"/>
    <m/>
    <m/>
    <m/>
    <m/>
    <m/>
  </r>
  <r>
    <s v="O003245"/>
    <s v="CRISTIAN RENE MENDEZ"/>
    <x v="3"/>
    <x v="19"/>
    <s v="BBVA"/>
    <e v="#NAME?"/>
    <s v="SDATOOL-39870 $ Front - Unificación de pantallas Contac Center"/>
    <n v="0.1"/>
    <s v="Tech Manager/Líder"/>
    <m/>
    <x v="1"/>
    <e v="#NAME?"/>
    <m/>
    <m/>
    <m/>
    <m/>
    <m/>
  </r>
  <r>
    <s v="CE66714"/>
    <s v="Cristian Steven Abril"/>
    <x v="3"/>
    <x v="16"/>
    <s v="Novatec"/>
    <e v="#NAME?"/>
    <s v="SDATOOL-39836 $ Vivienda digital fase III"/>
    <n v="1"/>
    <s v="Desarrollador"/>
    <m/>
    <x v="0"/>
    <e v="#NAME?"/>
    <m/>
    <m/>
    <m/>
    <m/>
    <m/>
  </r>
  <r>
    <s v="CE66714"/>
    <s v="CRISTIAN STEVEN ABRIL ALDANA"/>
    <x v="2"/>
    <x v="3"/>
    <s v="Novatec"/>
    <e v="#NAME?"/>
    <s v="SDATOOL-34887 $ Vivienda Digital Open Market"/>
    <n v="0.35"/>
    <s v="Desarrollador"/>
    <m/>
    <x v="0"/>
    <e v="#NAME?"/>
    <m/>
    <m/>
    <m/>
    <m/>
    <m/>
  </r>
  <r>
    <s v="CE66714"/>
    <s v="CRISTIAN STEVEN ABRIL ALDANA"/>
    <x v="2"/>
    <x v="3"/>
    <s v="Novatec"/>
    <e v="#NAME?"/>
    <s v="SDATOOL-39836 $ Vivienda digital fase III"/>
    <n v="0.3"/>
    <s v="Desarrollador"/>
    <m/>
    <x v="0"/>
    <e v="#NAME?"/>
    <m/>
    <m/>
    <m/>
    <m/>
    <m/>
  </r>
  <r>
    <s v="CE66714"/>
    <s v="CRISTIAN STEVEN ABRIL ALDANA"/>
    <x v="2"/>
    <x v="3"/>
    <s v="Novatec"/>
    <e v="#NAME?"/>
    <s v="SDATOOL-39272 $ GRM-Col-Cambio servicio APL (Aportes en línea)"/>
    <n v="0.35"/>
    <s v="Desarrollador"/>
    <m/>
    <x v="0"/>
    <e v="#NAME?"/>
    <m/>
    <m/>
    <m/>
    <m/>
    <m/>
  </r>
  <r>
    <s v="CE67847"/>
    <s v="CRISTIAN STIVEN SÀNCHEZ RUBIO"/>
    <x v="2"/>
    <x v="3"/>
    <s v="Inetum"/>
    <e v="#NAME?"/>
    <s v="SDATOOL-39836 $ Vivienda digital fase III"/>
    <n v="1"/>
    <s v="Desarrollador"/>
    <m/>
    <x v="0"/>
    <e v="#NAME?"/>
    <m/>
    <m/>
    <m/>
    <m/>
    <m/>
  </r>
  <r>
    <s v="C805453"/>
    <s v="Cuervo Duran Francisco Hernan"/>
    <x v="3"/>
    <x v="25"/>
    <s v="BBVA"/>
    <e v="#NAME?"/>
    <s v="SDATOOL-37761 $ Plan transformación de procesos"/>
    <n v="1"/>
    <s v="Desarrollador"/>
    <m/>
    <x v="1"/>
    <e v="#NAME?"/>
    <m/>
    <m/>
    <m/>
    <m/>
    <m/>
  </r>
  <r>
    <s v="T006646"/>
    <s v="Dallana Paola Hernandez Gaviria"/>
    <x v="3"/>
    <x v="16"/>
    <s v="Neoris"/>
    <e v="#NAME?"/>
    <s v="SDATOOL-39197 $ Tealeaf SaaS"/>
    <n v="1"/>
    <s v="QA"/>
    <m/>
    <x v="0"/>
    <e v="#NAME?"/>
    <m/>
    <m/>
    <m/>
    <m/>
    <m/>
  </r>
  <r>
    <s v="CE53530"/>
    <s v="DANEL PULECIO GONZALEZ"/>
    <x v="3"/>
    <x v="4"/>
    <s v="Neoris"/>
    <e v="#NAME?"/>
    <s v="SDATOOL-40672 $ Plan CRM: Mejoras AUG (Banca Comercial y CSF) Equipo A"/>
    <n v="0.25"/>
    <s v="Desarrollador"/>
    <m/>
    <x v="0"/>
    <e v="#NAME?"/>
    <m/>
    <m/>
    <m/>
    <m/>
    <m/>
  </r>
  <r>
    <s v="T004725"/>
    <s v="DANIEL ALEJANDRO ROA ACERO "/>
    <x v="0"/>
    <x v="27"/>
    <s v="Inetum"/>
    <e v="#NAME?"/>
    <s v="SDATOOL-33847 $ Resolución 0042 DIAN Documento Soporte"/>
    <n v="1"/>
    <s v="QA"/>
    <m/>
    <x v="0"/>
    <e v="#NAME?"/>
    <m/>
    <m/>
    <m/>
    <m/>
    <m/>
  </r>
  <r>
    <s v="O001978"/>
    <s v="DANIEL ALIRIO ROA ARIZMENDI"/>
    <x v="2"/>
    <x v="3"/>
    <s v="BBVA"/>
    <e v="#NAME?"/>
    <s v="SDATOOL-39384 $ Abonos a préstamos por canales"/>
    <n v="0.25"/>
    <s v="Desarrollador"/>
    <m/>
    <x v="1"/>
    <e v="#NAME?"/>
    <m/>
    <m/>
    <m/>
    <m/>
    <m/>
  </r>
  <r>
    <s v="O001978"/>
    <s v="DANIEL ALIRIO ROA ARIZMENDI"/>
    <x v="2"/>
    <x v="3"/>
    <s v="BBVA"/>
    <e v="#NAME?"/>
    <s v="SDATOOL-40435 $ Cuota Segura créditos de libranza"/>
    <n v="0.75"/>
    <s v="Desarrollador"/>
    <m/>
    <x v="1"/>
    <e v="#NAME?"/>
    <m/>
    <m/>
    <m/>
    <m/>
    <m/>
  </r>
  <r>
    <s v="T002414"/>
    <s v="Daniel Andres Bernal Valencia"/>
    <x v="3"/>
    <x v="7"/>
    <s v="GGI / CMC"/>
    <e v="#NAME?"/>
    <s v="SDATOOL-36558 $ Transfiya:Transferencias interbancarias inmediatas - Plan Ascenso Privado"/>
    <n v="1"/>
    <s v="Desarrollador"/>
    <m/>
    <x v="0"/>
    <e v="#NAME?"/>
    <m/>
    <m/>
    <m/>
    <m/>
    <m/>
  </r>
  <r>
    <s v="C802581"/>
    <s v="Daniel Antonio Aguilar"/>
    <x v="3"/>
    <x v="6"/>
    <s v="BBVA"/>
    <e v="#NAME?"/>
    <s v="SDATOOL-9053 $ GloMo Colombia"/>
    <n v="1"/>
    <s v="Desarrollador"/>
    <m/>
    <x v="1"/>
    <e v="#NAME?"/>
    <m/>
    <m/>
    <m/>
    <m/>
    <m/>
  </r>
  <r>
    <s v="CE46213"/>
    <s v="Daniel Antonio Camacho Ariza"/>
    <x v="3"/>
    <x v="6"/>
    <s v="Neoris"/>
    <e v="#NAME?"/>
    <s v="SDATOOL-9053 $ GloMo Colombia"/>
    <n v="1"/>
    <s v="Desarrollador"/>
    <m/>
    <x v="0"/>
    <e v="#NAME?"/>
    <m/>
    <m/>
    <m/>
    <m/>
    <m/>
  </r>
  <r>
    <s v="O000393"/>
    <s v="DANIEL FELIPE ZAPATA"/>
    <x v="0"/>
    <x v="22"/>
    <s v="BBVA"/>
    <e v="#NAME?"/>
    <s v="SDATOOL-33408 $ Biocatch"/>
    <n v="0.25"/>
    <s v="Desarrollador"/>
    <m/>
    <x v="1"/>
    <e v="#NAME?"/>
    <m/>
    <m/>
    <m/>
    <m/>
    <m/>
  </r>
  <r>
    <s v="O000393"/>
    <s v="DANIEL FELIPE ZAPATA"/>
    <x v="0"/>
    <x v="22"/>
    <s v="BBVA"/>
    <e v="#NAME?"/>
    <s v="SDATOOL-38427 $ Servicios transaccionales 2022"/>
    <n v="0.5"/>
    <s v="Desarrollador"/>
    <m/>
    <x v="1"/>
    <e v="#NAME?"/>
    <m/>
    <m/>
    <m/>
    <m/>
    <m/>
  </r>
  <r>
    <s v="O000393"/>
    <s v="DANIEL FELIPE ZAPATA"/>
    <x v="0"/>
    <x v="22"/>
    <s v="BBVA"/>
    <e v="#NAME?"/>
    <s v="SDATOOL-41980 $ Modelo API´S Recaudo (CB´s)"/>
    <n v="0.25"/>
    <s v="Desarrollador"/>
    <m/>
    <x v="1"/>
    <e v="#NAME?"/>
    <m/>
    <m/>
    <m/>
    <m/>
    <m/>
  </r>
  <r>
    <s v="CE68333"/>
    <s v="DANIEL FERNANDO DIAZ CACERES"/>
    <x v="0"/>
    <x v="15"/>
    <s v="GGI / CMC"/>
    <e v="#NAME?"/>
    <s v="SDATOOL-32905 $ Global Enterprises Mobile App (GEMA)"/>
    <n v="1"/>
    <s v="QA"/>
    <m/>
    <x v="0"/>
    <e v="#NAME?"/>
    <m/>
    <m/>
    <m/>
    <m/>
    <m/>
  </r>
  <r>
    <s v="CE70911"/>
    <s v="DANIEL FERNANDO VELASQUEZ MORENO"/>
    <x v="4"/>
    <x v="9"/>
    <s v="GGI / CMC"/>
    <e v="#NAME?"/>
    <s v="SDATOOL-36047 $ Bloqueo Sobregiro para Pago Capital e Intereses"/>
    <n v="0.75"/>
    <s v="QA"/>
    <m/>
    <x v="0"/>
    <e v="#NAME?"/>
    <m/>
    <m/>
    <m/>
    <m/>
    <m/>
  </r>
  <r>
    <s v="CE70911"/>
    <s v="DANIEL FERNANDO VELASQUEZ MORENO"/>
    <x v="4"/>
    <x v="9"/>
    <s v="GGI / CMC"/>
    <e v="#NAME?"/>
    <s v="NOSDA- BAU $ BAU (Mantenimiento y peq. evolutivos)"/>
    <n v="0.25"/>
    <s v="QA"/>
    <m/>
    <x v="0"/>
    <e v="#NAME?"/>
    <m/>
    <m/>
    <m/>
    <m/>
    <m/>
  </r>
  <r>
    <s v="C805996"/>
    <s v="Daniel Orlando Garzon"/>
    <x v="3"/>
    <x v="4"/>
    <s v="BBVA"/>
    <e v="#NAME?"/>
    <s v="SDATOOL-40672 $ Plan CRM: Mejoras AUG (Banca Comercial y CSF) Equipo A"/>
    <n v="1"/>
    <s v="Desarrollador"/>
    <m/>
    <x v="1"/>
    <e v="#NAME?"/>
    <m/>
    <m/>
    <m/>
    <m/>
    <m/>
  </r>
  <r>
    <s v="C805861"/>
    <s v="DANIEL SANTIAGO JARAMILLO"/>
    <x v="2"/>
    <x v="5"/>
    <s v="BBVA"/>
    <e v="#NAME?"/>
    <s v="SDATOOL-37057 $ Pagos QR - Entre cuentas Redeban - Plan Ascenso Mercurio"/>
    <n v="1"/>
    <s v="Desarrollador"/>
    <m/>
    <x v="1"/>
    <e v="#NAME?"/>
    <m/>
    <m/>
    <m/>
    <m/>
    <m/>
  </r>
  <r>
    <s v="T003443"/>
    <s v="Daniela Alejandra Romero Cangrejo"/>
    <x v="1"/>
    <x v="1"/>
    <s v="Neoris"/>
    <e v="#NAME?"/>
    <s v="SDATOOL-28473 $ GRM Col - TMP Cobranzas - Módulo control acuerdos de pago"/>
    <n v="1"/>
    <s v="QA"/>
    <m/>
    <x v="0"/>
    <e v="#NAME?"/>
    <m/>
    <m/>
    <m/>
    <m/>
    <m/>
  </r>
  <r>
    <s v="C805724"/>
    <s v="Daniela Arevalo"/>
    <x v="3"/>
    <x v="6"/>
    <s v="BBVA"/>
    <e v="#NAME?"/>
    <s v="NOSDA- BAU $ BAU (Mantenimiento y peq. evolutivos)"/>
    <n v="1"/>
    <s v="Desarrollador"/>
    <m/>
    <x v="1"/>
    <e v="#NAME?"/>
    <m/>
    <m/>
    <m/>
    <m/>
    <m/>
  </r>
  <r>
    <s v="CE54569"/>
    <s v="Danilo Cusba Pulido"/>
    <x v="1"/>
    <x v="1"/>
    <s v="Choucair"/>
    <e v="#NAME?"/>
    <s v="SDATOOL-39463 $ GRM Col - Actualización Versión Power Curve."/>
    <n v="0.45"/>
    <s v="QA"/>
    <m/>
    <x v="0"/>
    <e v="#NAME?"/>
    <m/>
    <m/>
    <m/>
    <m/>
    <m/>
  </r>
  <r>
    <s v="CE54569"/>
    <s v="Danilo Cusba Pulido"/>
    <x v="1"/>
    <x v="1"/>
    <s v="Choucair"/>
    <e v="#NAME?"/>
    <s v="SDATOOL-40710 $ GRM Col - Cronos - Plan Ascenso - Mejoras CAP Pymes Fase II"/>
    <n v="0.3"/>
    <s v="QA"/>
    <m/>
    <x v="0"/>
    <e v="#NAME?"/>
    <m/>
    <m/>
    <m/>
    <m/>
    <m/>
  </r>
  <r>
    <s v="CE54569"/>
    <s v="Danilo Cusba Pulido"/>
    <x v="1"/>
    <x v="1"/>
    <s v="Choucair"/>
    <e v="#NAME?"/>
    <s v="SDATOOL-39826 $ GRM Col- Plan Ascenso - Mejoras en CAP Pymes y disponibilización HdC"/>
    <n v="0.15"/>
    <s v="QA"/>
    <m/>
    <x v="0"/>
    <e v="#NAME?"/>
    <m/>
    <m/>
    <m/>
    <m/>
    <m/>
  </r>
  <r>
    <s v="CE54569"/>
    <s v="Danilo Cusba Pulido"/>
    <x v="1"/>
    <x v="1"/>
    <s v="Choucair"/>
    <e v="#NAME?"/>
    <s v="SDATOOL-38443 $ Arce Empresas Colombia"/>
    <n v="0.1"/>
    <s v="QA"/>
    <m/>
    <x v="0"/>
    <e v="#NAME?"/>
    <m/>
    <m/>
    <m/>
    <m/>
    <m/>
  </r>
  <r>
    <s v="CE63508"/>
    <s v="Danna Valeria Mesa Alfonso"/>
    <x v="0"/>
    <x v="27"/>
    <s v="Inetum"/>
    <e v="#NAME?"/>
    <s v="NOSDA- BAU $ BAU (Mantenimiento y peq. evolutivos)"/>
    <n v="1"/>
    <s v="QA"/>
    <m/>
    <x v="0"/>
    <e v="#NAME?"/>
    <m/>
    <m/>
    <m/>
    <m/>
    <m/>
  </r>
  <r>
    <s v="T007650"/>
    <s v="DANNY CAMILO BERNAL BERNAL"/>
    <x v="2"/>
    <x v="20"/>
    <s v="TRYCORE"/>
    <e v="#NAME?"/>
    <s v="SDATOOL-40435 $ Cuota Segura créditos de libranza"/>
    <n v="1"/>
    <s v="Desarrollador"/>
    <s v="desarrollos en curso, envio a QA S3 de bril"/>
    <x v="0"/>
    <e v="#NAME?"/>
    <m/>
    <m/>
    <m/>
    <m/>
    <m/>
  </r>
  <r>
    <s v="O001639"/>
    <s v="DAVID ANDRES RODRIGUEZ BAEZ"/>
    <x v="1"/>
    <x v="10"/>
    <s v="BBVA"/>
    <e v="#NAME?"/>
    <s v="SDATOOL-40599 $ Proyecto - Circular 025"/>
    <n v="0.2"/>
    <s v="Desarrollador"/>
    <m/>
    <x v="1"/>
    <e v="#NAME?"/>
    <m/>
    <m/>
    <m/>
    <m/>
    <m/>
  </r>
  <r>
    <s v="O001639"/>
    <s v="DAVID ANDRES RODRIGUEZ BAEZ"/>
    <x v="1"/>
    <x v="10"/>
    <s v="BBVA"/>
    <e v="#NAME?"/>
    <s v="SDATOOL-33847 $ Resolución 0042 DIAN Documento Soporte"/>
    <n v="0.3"/>
    <s v="Desarrollador"/>
    <m/>
    <x v="1"/>
    <e v="#NAME?"/>
    <m/>
    <m/>
    <m/>
    <m/>
    <m/>
  </r>
  <r>
    <s v="O001639"/>
    <s v="DAVID ANDRES RODRIGUEZ BAEZ"/>
    <x v="1"/>
    <x v="10"/>
    <s v="BBVA"/>
    <e v="#NAME?"/>
    <s v="SDATOOL-36918 $ Conciliación Automática del Aplicativo Módulo de Notas Contables  - CKR1"/>
    <n v="0.1"/>
    <s v="Desarrollador"/>
    <m/>
    <x v="1"/>
    <e v="#NAME?"/>
    <m/>
    <m/>
    <m/>
    <m/>
    <m/>
  </r>
  <r>
    <s v="O001639"/>
    <s v="DAVID ANDRES RODRIGUEZ BAEZ"/>
    <x v="1"/>
    <x v="10"/>
    <s v="BBVA"/>
    <e v="#NAME?"/>
    <s v="SDATOOL-37184 $ Actualizaciones Aplicativo ADA V2"/>
    <n v="0.2"/>
    <s v="Desarrollador"/>
    <m/>
    <x v="1"/>
    <e v="#NAME?"/>
    <m/>
    <m/>
    <m/>
    <m/>
    <m/>
  </r>
  <r>
    <s v="O001639"/>
    <s v="DAVID ANDRES RODRIGUEZ BAEZ"/>
    <x v="1"/>
    <x v="10"/>
    <s v="BBVA"/>
    <e v="#NAME?"/>
    <s v="SDATOOL-40256 $ Auditoría Apuntes Manuales Contables Logs Notas Contables C-015"/>
    <n v="0.2"/>
    <s v="Desarrollador"/>
    <m/>
    <x v="1"/>
    <e v="#NAME?"/>
    <m/>
    <m/>
    <m/>
    <m/>
    <m/>
  </r>
  <r>
    <s v="C808646"/>
    <s v="DAVID CAMILO CORREDOR RODRIGUEZ"/>
    <x v="0"/>
    <x v="0"/>
    <s v="BBVA"/>
    <e v="#NAME?"/>
    <s v="NOSDA- BAU $ BAU (Mantenimiento y peq. evolutivos)"/>
    <n v="0.5"/>
    <s v="Desarrollador"/>
    <m/>
    <x v="1"/>
    <e v="#NAME?"/>
    <m/>
    <m/>
    <m/>
    <m/>
    <m/>
  </r>
  <r>
    <s v="C808646"/>
    <s v="DAVID CAMILO CORREDOR RODRIGUEZ"/>
    <x v="0"/>
    <x v="0"/>
    <s v="BBVA"/>
    <e v="#NAME?"/>
    <s v="SDATOOL-36547 $ PLAN MAYOR -PLAN MENOR. Plan ascenso Open Market"/>
    <n v="0.5"/>
    <s v="Desarrollador"/>
    <m/>
    <x v="1"/>
    <e v="#NAME?"/>
    <m/>
    <m/>
    <m/>
    <m/>
    <m/>
  </r>
  <r>
    <s v="O002666"/>
    <s v="David Esteban Aragón Peñuela"/>
    <x v="3"/>
    <x v="6"/>
    <s v="BBVA"/>
    <e v="#NAME?"/>
    <s v="SDATOOL-38489 $ Horizon BTGR - Colombia"/>
    <n v="1"/>
    <s v="Desarrollador"/>
    <m/>
    <x v="1"/>
    <e v="#NAME?"/>
    <m/>
    <m/>
    <m/>
    <m/>
    <m/>
  </r>
  <r>
    <s v="C808771"/>
    <s v="DAVID FEILPE CIFUENTES"/>
    <x v="0"/>
    <x v="22"/>
    <s v="BBVA"/>
    <e v="#NAME?"/>
    <s v="SDATOOL-35327 $ Impuestos 2021"/>
    <n v="0.5"/>
    <s v="Desarrollador"/>
    <m/>
    <x v="1"/>
    <e v="#NAME?"/>
    <m/>
    <m/>
    <m/>
    <m/>
    <m/>
  </r>
  <r>
    <s v="C808771"/>
    <s v="DAVID FEILPE CIFUENTES"/>
    <x v="0"/>
    <x v="22"/>
    <s v="BBVA"/>
    <e v="#NAME?"/>
    <s v="SDATOOL-37425 $ Recaudo DIAN Tarjetas de Crédito Propio Banco través del Botón de pagos PSE para los canales Banca Personas y Banca de Empresas"/>
    <n v="0.25"/>
    <s v="Desarrollador"/>
    <m/>
    <x v="1"/>
    <e v="#NAME?"/>
    <m/>
    <m/>
    <m/>
    <m/>
    <m/>
  </r>
  <r>
    <s v="C808771"/>
    <s v="DAVID FEILPE CIFUENTES"/>
    <x v="0"/>
    <x v="22"/>
    <s v="BBVA"/>
    <e v="#NAME?"/>
    <s v="NOSDA- BAU $ BAU (Mantenimiento y peq. evolutivos)"/>
    <n v="0.25"/>
    <s v="Desarrollador"/>
    <m/>
    <x v="1"/>
    <e v="#NAME?"/>
    <m/>
    <m/>
    <m/>
    <m/>
    <m/>
  </r>
  <r>
    <s v="T000288"/>
    <s v="David Fernando Mendieta"/>
    <x v="3"/>
    <x v="7"/>
    <s v="GGI / CMC"/>
    <e v="#NAME?"/>
    <s v="NOSDA- BAU $ BAU (Mantenimiento y peq. evolutivos)"/>
    <n v="1"/>
    <s v="Desarrollador"/>
    <m/>
    <x v="0"/>
    <e v="#NAME?"/>
    <m/>
    <m/>
    <m/>
    <m/>
    <m/>
  </r>
  <r>
    <s v="CE69821"/>
    <s v="David Garrido"/>
    <x v="3"/>
    <x v="6"/>
    <s v="Globant"/>
    <e v="#NAME?"/>
    <s v="SDATOOL-9053 $ GloMo Colombia"/>
    <n v="1"/>
    <s v="Desarrollador"/>
    <m/>
    <x v="0"/>
    <e v="#NAME?"/>
    <m/>
    <m/>
    <m/>
    <m/>
    <m/>
  </r>
  <r>
    <s v="CE65598"/>
    <s v="DAVID GERMAN TORRES MOLANO"/>
    <x v="2"/>
    <x v="3"/>
    <s v="KRYPTO"/>
    <e v="#NAME?"/>
    <s v="SDATOOL-34887 $ Vivienda Digital Open Market"/>
    <n v="0.3"/>
    <s v="QA"/>
    <m/>
    <x v="0"/>
    <e v="#NAME?"/>
    <m/>
    <m/>
    <m/>
    <m/>
    <m/>
  </r>
  <r>
    <s v="CE65598"/>
    <s v="DAVID GERMAN TORRES MOLANO"/>
    <x v="2"/>
    <x v="3"/>
    <s v="KRYPTO"/>
    <e v="#NAME?"/>
    <s v="SDATOOL-39836 $ Vivienda digital fase III"/>
    <n v="0.3"/>
    <s v="QA"/>
    <m/>
    <x v="0"/>
    <e v="#NAME?"/>
    <m/>
    <m/>
    <m/>
    <m/>
    <m/>
  </r>
  <r>
    <s v="CE65598"/>
    <s v="DAVID GERMAN TORRES MOLANO"/>
    <x v="2"/>
    <x v="3"/>
    <s v="KRYPTO"/>
    <e v="#NAME?"/>
    <s v="SDATOOL-39272 $ GRM-Col-Cambio servicio APL (Aportes en línea)"/>
    <n v="0.4"/>
    <s v="QA"/>
    <m/>
    <x v="0"/>
    <e v="#NAME?"/>
    <m/>
    <m/>
    <m/>
    <m/>
    <m/>
  </r>
  <r>
    <s v="T002801"/>
    <s v="DAVID GONZALO LARA DIAZ"/>
    <x v="3"/>
    <x v="4"/>
    <s v="Neoris"/>
    <e v="#NAME?"/>
    <s v="SDATOOL-40672 $ Plan CRM: Mejoras AUG (Banca Comercial y CSF) Equipo A"/>
    <n v="1"/>
    <s v="Desarrollador"/>
    <m/>
    <x v="0"/>
    <e v="#NAME?"/>
    <m/>
    <m/>
    <m/>
    <m/>
    <m/>
  </r>
  <r>
    <s v="C342547"/>
    <s v="DAVID LEONARDO OBANDO CORTÉS"/>
    <x v="3"/>
    <x v="23"/>
    <s v="BBVA"/>
    <e v="#NAME?"/>
    <s v="SDATOOL-32991 $ Comisión de Acceso a ATM's"/>
    <n v="0.75"/>
    <s v="Desarrollador"/>
    <m/>
    <x v="1"/>
    <e v="#NAME?"/>
    <m/>
    <m/>
    <m/>
    <m/>
    <m/>
  </r>
  <r>
    <s v="C342547"/>
    <s v="DAVID LEONARDO OBANDO CORTÉS"/>
    <x v="3"/>
    <x v="23"/>
    <s v="BBVA"/>
    <e v="#NAME?"/>
    <s v="SDATOOL-40515 $ Acción de auditoria de Cobro de Comisiones"/>
    <n v="0.25"/>
    <s v="Desarrollador"/>
    <m/>
    <x v="1"/>
    <e v="#NAME?"/>
    <m/>
    <m/>
    <m/>
    <m/>
    <m/>
  </r>
  <r>
    <s v="CE59507"/>
    <s v="David Rodriguez Rangel"/>
    <x v="3"/>
    <x v="23"/>
    <s v="Inetum"/>
    <e v="#NAME?"/>
    <s v="SDATOOL-32991 $ Comisión de Acceso a ATM's"/>
    <n v="0.75"/>
    <s v="Desarrollador"/>
    <m/>
    <x v="0"/>
    <e v="#NAME?"/>
    <m/>
    <m/>
    <m/>
    <m/>
    <m/>
  </r>
  <r>
    <s v="CE59507"/>
    <s v="David Rodriguez Rangel"/>
    <x v="3"/>
    <x v="23"/>
    <s v="Inetum"/>
    <e v="#NAME?"/>
    <s v="SDATOOL-40515 $ Acción de auditoria de Cobro de Comisiones"/>
    <n v="0.25"/>
    <s v="Desarrollador"/>
    <m/>
    <x v="0"/>
    <e v="#NAME?"/>
    <m/>
    <m/>
    <m/>
    <m/>
    <m/>
  </r>
  <r>
    <s v="T004575"/>
    <s v="David Sandoval Arboleda"/>
    <x v="3"/>
    <x v="16"/>
    <s v="Accenture"/>
    <e v="#NAME?"/>
    <s v="SDATOOL-39348 $ tarjeta de crédito Open Market Fallback product"/>
    <n v="1"/>
    <s v="Desarrollador"/>
    <m/>
    <x v="0"/>
    <e v="#NAME?"/>
    <m/>
    <m/>
    <m/>
    <m/>
    <m/>
  </r>
  <r>
    <s v="T001903"/>
    <s v="David Santiago Quijano Ordoñez"/>
    <x v="3"/>
    <x v="16"/>
    <s v="Choucair"/>
    <e v="#NAME?"/>
    <s v="SDATOOL-38419 $ Contratación cuenta en línea en Glomo"/>
    <n v="1"/>
    <s v="QA"/>
    <m/>
    <x v="0"/>
    <e v="#NAME?"/>
    <m/>
    <m/>
    <m/>
    <m/>
    <m/>
  </r>
  <r>
    <s v="C809749"/>
    <s v="DEIMER DAVID JIMENEZ MAESTRE"/>
    <x v="0"/>
    <x v="22"/>
    <s v="BBVA"/>
    <e v="#NAME?"/>
    <s v="SDATOOL-37130 $ Pago y domiciliación de recaudo"/>
    <n v="1"/>
    <s v="Desarrollador"/>
    <m/>
    <x v="1"/>
    <e v="#NAME?"/>
    <m/>
    <m/>
    <m/>
    <m/>
    <m/>
  </r>
  <r>
    <s v="C342598"/>
    <s v="DEISON COLMENARES"/>
    <x v="2"/>
    <x v="3"/>
    <s v="BBVA"/>
    <e v="#NAME?"/>
    <s v="SDATOOL-34887 $ Vivienda Digital Open Market"/>
    <n v="0.1"/>
    <s v="Desarrollador"/>
    <m/>
    <x v="1"/>
    <e v="#NAME?"/>
    <m/>
    <m/>
    <m/>
    <m/>
    <m/>
  </r>
  <r>
    <s v="C342598"/>
    <s v="DEISON COLMENARES"/>
    <x v="2"/>
    <x v="3"/>
    <s v="BBVA"/>
    <e v="#NAME?"/>
    <s v="SDATOOL-39836 $ Vivienda digital fase III"/>
    <n v="0.25"/>
    <s v="Desarrollador"/>
    <m/>
    <x v="1"/>
    <e v="#NAME?"/>
    <m/>
    <m/>
    <m/>
    <m/>
    <m/>
  </r>
  <r>
    <s v="C342598"/>
    <s v="DEISON COLMENARES"/>
    <x v="2"/>
    <x v="3"/>
    <s v="BBVA"/>
    <e v="#NAME?"/>
    <s v="SDATOOL-39272 $ GRM-Col-Cambio servicio APL (Aportes en línea)"/>
    <n v="0.2"/>
    <s v="Desarrollador"/>
    <m/>
    <x v="1"/>
    <e v="#NAME?"/>
    <m/>
    <m/>
    <m/>
    <m/>
    <m/>
  </r>
  <r>
    <s v="C342598"/>
    <s v="DEISON COLMENARES"/>
    <x v="2"/>
    <x v="3"/>
    <s v="BBVA"/>
    <e v="#NAME?"/>
    <s v="SDATOOL-37136 $ Conexión simulador vía API Vehículo digital"/>
    <n v="0.1"/>
    <s v="Desarrollador"/>
    <m/>
    <x v="1"/>
    <e v="#NAME?"/>
    <m/>
    <m/>
    <m/>
    <m/>
    <m/>
  </r>
  <r>
    <s v="C342598"/>
    <s v="DEISON COLMENARES"/>
    <x v="2"/>
    <x v="3"/>
    <s v="BBVA"/>
    <e v="#NAME?"/>
    <s v="SDATOOL-41752 $ Consumo Openmk con Biometría Obligatoria por Nácar para desembolsar"/>
    <n v="0.1"/>
    <s v="Desarrollador"/>
    <m/>
    <x v="1"/>
    <e v="#NAME?"/>
    <m/>
    <m/>
    <m/>
    <m/>
    <m/>
  </r>
  <r>
    <s v="C342598"/>
    <s v="DEISON COLMENARES"/>
    <x v="2"/>
    <x v="3"/>
    <s v="BBVA"/>
    <e v="#NAME?"/>
    <s v="SDATOOL-36548 $ Optimización consumo web - Plan ascenso Open Market"/>
    <n v="0.25"/>
    <s v="Desarrollador"/>
    <m/>
    <x v="1"/>
    <e v="#NAME?"/>
    <m/>
    <m/>
    <m/>
    <m/>
    <m/>
  </r>
  <r>
    <s v="C808267"/>
    <s v="DEISY YOLIMA GUAQUETA ROMERO "/>
    <x v="0"/>
    <x v="27"/>
    <s v="BBVA"/>
    <e v="#NAME?"/>
    <s v="SDATOOL-40466 $ Garantía FAG"/>
    <n v="0.05"/>
    <s v="Desarrollador"/>
    <m/>
    <x v="1"/>
    <e v="#NAME?"/>
    <m/>
    <m/>
    <m/>
    <m/>
    <m/>
  </r>
  <r>
    <s v="C808267"/>
    <s v="DEISY YOLIMA GUAQUETA ROMERO "/>
    <x v="0"/>
    <x v="27"/>
    <s v="BBVA"/>
    <e v="#NAME?"/>
    <s v="NOSDA- BAU $ BAU (Mantenimiento y peq. evolutivos)"/>
    <n v="0.25"/>
    <s v="Desarrollador"/>
    <m/>
    <x v="1"/>
    <e v="#NAME?"/>
    <m/>
    <m/>
    <m/>
    <m/>
    <m/>
  </r>
  <r>
    <s v="C808267"/>
    <s v="DEISY YOLIMA GUAQUETA ROMERO "/>
    <x v="0"/>
    <x v="27"/>
    <s v="BBVA"/>
    <e v="#NAME?"/>
    <s v="SDATOOL-41941 $ INTEGRACIÓN DE AS400 Y HOST Y  ESTABILIZACIÓN Y RESTABLECIMIENTO  DE lOS ENTORNOS DE LEASING AS400  DE DESARROLLO Y CALIDAD&quot;"/>
    <n v="0.7"/>
    <s v="Desarrollador"/>
    <m/>
    <x v="1"/>
    <e v="#NAME?"/>
    <m/>
    <m/>
    <m/>
    <m/>
    <m/>
  </r>
  <r>
    <s v="C810754_x000a_"/>
    <s v="DEIVIS JAVIER MIRANDA RAMOS "/>
    <x v="2"/>
    <x v="12"/>
    <s v="BBVA"/>
    <e v="#NAME?"/>
    <s v="SDATOOL-37134 $ Oferta proactiva de segundo producto desde el momento cero - Plan Ascenso Cross Sell"/>
    <n v="1"/>
    <s v="Desarrollador"/>
    <m/>
    <x v="1"/>
    <e v="#NAME?"/>
    <m/>
    <m/>
    <m/>
    <m/>
    <m/>
  </r>
  <r>
    <s v="CE43166"/>
    <s v="Deyson Emir Murillo Moreno"/>
    <x v="4"/>
    <x v="14"/>
    <s v="Tecnoevolución"/>
    <e v="#NAME?"/>
    <s v="SDATOOL-38642 $ CUPON INTERMEDIO"/>
    <n v="0.5"/>
    <s v="Tech Manager/Líder"/>
    <m/>
    <x v="0"/>
    <e v="#NAME?"/>
    <m/>
    <m/>
    <m/>
    <m/>
    <m/>
  </r>
  <r>
    <s v="CE43166"/>
    <s v="Deyson Emir Murillo Moreno"/>
    <x v="4"/>
    <x v="14"/>
    <s v="Tecnoevolución"/>
    <e v="#NAME?"/>
    <s v="SDATOOL-35621 $ DOCUMENTO SOPORTE FASE II - DIALOGO"/>
    <n v="0.5"/>
    <s v="Tech Manager/Líder"/>
    <m/>
    <x v="0"/>
    <e v="#NAME?"/>
    <m/>
    <m/>
    <m/>
    <m/>
    <m/>
  </r>
  <r>
    <s v="C810801"/>
    <s v="DIANA BARBOSA OSPINA"/>
    <x v="2"/>
    <x v="3"/>
    <s v="BBVA"/>
    <e v="#NAME?"/>
    <s v="SDATOOL-39358 $ Crédito Virtual"/>
    <n v="1"/>
    <s v="Desarrollador"/>
    <m/>
    <x v="1"/>
    <e v="#NAME?"/>
    <m/>
    <m/>
    <m/>
    <m/>
    <m/>
  </r>
  <r>
    <s v="C985155"/>
    <s v="Diana Carolina Arteaga"/>
    <x v="3"/>
    <x v="7"/>
    <s v="BBVA"/>
    <e v="#NAME?"/>
    <s v="NOSDA- BAU $ BAU (Mantenimiento y peq. evolutivos)"/>
    <n v="1"/>
    <s v="Desarrollador"/>
    <m/>
    <x v="1"/>
    <e v="#NAME?"/>
    <m/>
    <m/>
    <m/>
    <m/>
    <m/>
  </r>
  <r>
    <s v="C810908"/>
    <s v="DIANA CAROLINA PEÑA PALOMINO"/>
    <x v="2"/>
    <x v="3"/>
    <s v="BBVA"/>
    <e v="#NAME?"/>
    <s v="SDATOOL-35771 $ Pricing enterprises products - Plan Ascenso Autónomos"/>
    <n v="0.75"/>
    <s v="Desarrollador"/>
    <m/>
    <x v="1"/>
    <e v="#NAME?"/>
    <m/>
    <m/>
    <m/>
    <m/>
    <m/>
  </r>
  <r>
    <s v="C810908"/>
    <s v="DIANA CAROLINA PEÑA PALOMINO"/>
    <x v="2"/>
    <x v="3"/>
    <s v="BBVA"/>
    <e v="#NAME?"/>
    <s v="SDATOOL-40670 $ Plan CRM: Mejoras DWP Jurídicos (Pymes, Empresas,Gobiernos)"/>
    <n v="0.25"/>
    <s v="Desarrollador"/>
    <m/>
    <x v="1"/>
    <e v="#NAME?"/>
    <m/>
    <m/>
    <m/>
    <m/>
    <m/>
  </r>
  <r>
    <s v="CE70245"/>
    <s v="Diana Duarte"/>
    <x v="3"/>
    <x v="6"/>
    <s v="Accenture"/>
    <e v="#NAME?"/>
    <s v="SDATOOL-9053 $ GloMo Colombia"/>
    <n v="1"/>
    <s v="Desarrollador"/>
    <m/>
    <x v="0"/>
    <e v="#NAME?"/>
    <m/>
    <m/>
    <m/>
    <m/>
    <m/>
  </r>
  <r>
    <s v="C985155"/>
    <s v="DIANA EDITH VILLEGAS RAMIREZ"/>
    <x v="3"/>
    <x v="7"/>
    <s v="BBVA"/>
    <e v="#NAME?"/>
    <s v="SDATOOL-36558 $ Transfiya:Transferencias interbancarias inmediatas - Plan Ascenso Privado"/>
    <n v="1"/>
    <s v="Desarrollador"/>
    <m/>
    <x v="1"/>
    <e v="#NAME?"/>
    <m/>
    <m/>
    <m/>
    <m/>
    <m/>
  </r>
  <r>
    <s v="CE68302"/>
    <s v="DIANA GRANADA"/>
    <x v="2"/>
    <x v="3"/>
    <s v="Choucair"/>
    <e v="#NAME?"/>
    <s v="SDATOOL-34157 $ Evolutivo Parthnership - Crédito en punto de venta de Aliados"/>
    <n v="1"/>
    <s v="QA"/>
    <m/>
    <x v="0"/>
    <e v="#NAME?"/>
    <m/>
    <m/>
    <m/>
    <m/>
    <m/>
  </r>
  <r>
    <s v="CE71171"/>
    <s v="DIANA MARCELA MORENO ORTIZ"/>
    <x v="3"/>
    <x v="4"/>
    <s v="Neoris"/>
    <e v="#NAME?"/>
    <s v="SDATOOL-40672 $ Plan CRM: Mejoras AUG (Banca Comercial y CSF) Equipo A"/>
    <n v="1"/>
    <s v="Desarrollador"/>
    <m/>
    <x v="0"/>
    <e v="#NAME?"/>
    <m/>
    <m/>
    <m/>
    <m/>
    <m/>
  </r>
  <r>
    <s v="C811296"/>
    <s v="DIANA MARCELA QUINTERO CASTILLO "/>
    <x v="0"/>
    <x v="27"/>
    <s v="BBVA"/>
    <e v="#NAME?"/>
    <s v="SDATOOL-39783 $ Resolución 0124 de 2021 - Captura del base de Operaciones Anuladas en Leasing - Aplic. Leasing"/>
    <n v="0.75"/>
    <s v="Desarrollador"/>
    <m/>
    <x v="1"/>
    <e v="#NAME?"/>
    <m/>
    <m/>
    <m/>
    <m/>
    <m/>
  </r>
  <r>
    <s v="C811296"/>
    <s v="DIANA MARCELA QUINTERO CASTILLO "/>
    <x v="0"/>
    <x v="27"/>
    <s v="BBVA"/>
    <e v="#NAME?"/>
    <s v="SDATOOL-40438 $ CIRCULAR 032 del 2021 - REQUERIMIENTO FISCALIA GENERAL DE LA NACION"/>
    <n v="0.25"/>
    <s v="Desarrollador"/>
    <m/>
    <x v="1"/>
    <e v="#NAME?"/>
    <m/>
    <m/>
    <m/>
    <m/>
    <m/>
  </r>
  <r>
    <s v="C811280"/>
    <s v="Diana Marcela Suarez Restrero"/>
    <x v="1"/>
    <x v="1"/>
    <s v="BBVA"/>
    <e v="#NAME?"/>
    <s v="SDATOOL-39836 $ Vivienda digital fase III"/>
    <n v="0.2"/>
    <s v="Tech Manager/Líder"/>
    <m/>
    <x v="1"/>
    <e v="#NAME?"/>
    <m/>
    <m/>
    <m/>
    <m/>
    <m/>
  </r>
  <r>
    <s v="C811280"/>
    <s v="Diana Marcela Suarez Restrero"/>
    <x v="1"/>
    <x v="1"/>
    <s v="BBVA"/>
    <e v="#NAME?"/>
    <s v="SDATOOL-39246 $ Nuevo tipo de identificación para extranjeros"/>
    <n v="0.15"/>
    <s v="Tech Manager/Líder"/>
    <m/>
    <x v="1"/>
    <e v="#NAME?"/>
    <m/>
    <m/>
    <m/>
    <m/>
    <m/>
  </r>
  <r>
    <s v="C811280"/>
    <s v="Diana Marcela Suarez Restrero"/>
    <x v="1"/>
    <x v="1"/>
    <s v="BBVA"/>
    <e v="#NAME?"/>
    <s v="SDATOOL-40545 $ GRM Col - Mejoras Evolutivas de Aplicativos y Herramientas de Riesgos 2023"/>
    <n v="0.3"/>
    <s v="Tech Manager/Líder"/>
    <s v="Endeudamiento paralelo"/>
    <x v="1"/>
    <e v="#NAME?"/>
    <m/>
    <m/>
    <m/>
    <m/>
    <m/>
  </r>
  <r>
    <s v="C811280"/>
    <s v="Diana Marcela Suarez Restrero"/>
    <x v="1"/>
    <x v="1"/>
    <s v="BBVA"/>
    <e v="#NAME?"/>
    <s v="SDATOOL-42098 $ GRM Col CRONOS Batch - Campañas SMeS"/>
    <n v="0.15"/>
    <s v="Tech Manager/Líder"/>
    <m/>
    <x v="1"/>
    <e v="#NAME?"/>
    <m/>
    <m/>
    <m/>
    <m/>
    <m/>
  </r>
  <r>
    <s v="C811280"/>
    <s v="Diana Marcela Suarez Restrero"/>
    <x v="1"/>
    <x v="1"/>
    <s v="BBVA"/>
    <e v="#NAME?"/>
    <s v="SDATOOL-40545 $ GRM Col - Mejoras Evolutivas de Aplicativos y Herramientas de Riesgos 2023"/>
    <n v="0.2"/>
    <s v="Tech Manager/Líder"/>
    <s v="Actualizacion servicios aso evolutivos lineamientos de arquitectura, Optimizaciones next gen"/>
    <x v="1"/>
    <e v="#NAME?"/>
    <m/>
    <m/>
    <m/>
    <m/>
    <m/>
  </r>
  <r>
    <s v="CE58194"/>
    <s v="DIANA MAYERLY RAMIREZ"/>
    <x v="2"/>
    <x v="5"/>
    <s v="Inetum"/>
    <e v="#NAME?"/>
    <s v="SDATOOL-40455 $ Comisión porcentaje compras internacionales Mastercard y Visa Fase 2"/>
    <n v="1"/>
    <s v="QA"/>
    <m/>
    <x v="0"/>
    <e v="#NAME?"/>
    <m/>
    <m/>
    <m/>
    <m/>
    <m/>
  </r>
  <r>
    <s v="C802128"/>
    <s v="DIANA MILENA SALAMANCA CHIQUILLO"/>
    <x v="2"/>
    <x v="2"/>
    <s v="BBVA"/>
    <e v="#NAME?"/>
    <s v="SDATOOL-37344 $ Automatización Operaciones en Efectivo"/>
    <n v="0.5"/>
    <s v="Desarrollador"/>
    <m/>
    <x v="1"/>
    <e v="#NAME?"/>
    <m/>
    <m/>
    <m/>
    <m/>
    <m/>
  </r>
  <r>
    <s v="C802128"/>
    <s v="DIANA MILENA SALAMANCA CHIQUILLO"/>
    <x v="2"/>
    <x v="2"/>
    <s v="BBVA"/>
    <e v="#NAME?"/>
    <s v="SDATOOL-40438 $ CIRCULAR 032 del 2021 - REQUERIMIENTO FISCALIA GENERAL DE LA NACION"/>
    <n v="0.5"/>
    <s v="Desarrollador"/>
    <m/>
    <x v="1"/>
    <e v="#NAME?"/>
    <m/>
    <m/>
    <m/>
    <m/>
    <m/>
  </r>
  <r>
    <s v="C342600"/>
    <s v="DIANA PATRICIA BARRANTES PEREZ"/>
    <x v="0"/>
    <x v="27"/>
    <s v="BBVA"/>
    <e v="#NAME?"/>
    <s v="SDATOOL-40466 $ Garantía FAG"/>
    <n v="0.05"/>
    <s v="Tech Manager/Líder"/>
    <m/>
    <x v="1"/>
    <e v="#NAME?"/>
    <m/>
    <m/>
    <m/>
    <m/>
    <m/>
  </r>
  <r>
    <s v="C342600"/>
    <s v="DIANA PATRICIA BARRANTES PEREZ"/>
    <x v="0"/>
    <x v="27"/>
    <s v="BBVA"/>
    <e v="#NAME?"/>
    <s v="SDATOOL-36358 $ Pagos por Terceros (Mandato y/o Administración) - Información exógena DIAN - Resolución 0098 DIAN"/>
    <n v="0.2"/>
    <s v="Tech Manager/Líder"/>
    <m/>
    <x v="1"/>
    <e v="#NAME?"/>
    <m/>
    <m/>
    <m/>
    <m/>
    <m/>
  </r>
  <r>
    <s v="C342600"/>
    <s v="DIANA PATRICIA BARRANTES PEREZ"/>
    <x v="0"/>
    <x v="27"/>
    <s v="BBVA"/>
    <e v="#NAME?"/>
    <s v="SDATOOL-33847 $ Resolución 0042 DIAN Documento Soporte"/>
    <n v="0.15"/>
    <s v="Tech Manager/Líder"/>
    <m/>
    <x v="1"/>
    <e v="#NAME?"/>
    <m/>
    <m/>
    <m/>
    <m/>
    <m/>
  </r>
  <r>
    <s v="C342600"/>
    <s v="DIANA PATRICIA BARRANTES PEREZ"/>
    <x v="0"/>
    <x v="27"/>
    <s v="BBVA"/>
    <e v="#NAME?"/>
    <s v="SDATOOL-39334 $ GRM Col Reg - CE016-19 Modificados, reestructurados e incumplidos Leasing"/>
    <n v="0.1"/>
    <s v="Tech Manager/Líder"/>
    <m/>
    <x v="1"/>
    <e v="#NAME?"/>
    <m/>
    <m/>
    <m/>
    <m/>
    <m/>
  </r>
  <r>
    <s v="C342600"/>
    <s v="DIANA PATRICIA BARRANTES PEREZ"/>
    <x v="0"/>
    <x v="27"/>
    <s v="BBVA"/>
    <e v="#NAME?"/>
    <s v="NOSDA- BAU $ BAU (Mantenimiento y peq. evolutivos)"/>
    <n v="0.1"/>
    <s v="Tech Manager/Líder"/>
    <m/>
    <x v="1"/>
    <e v="#NAME?"/>
    <m/>
    <m/>
    <m/>
    <m/>
    <m/>
  </r>
  <r>
    <s v="C342600"/>
    <s v="DIANA PATRICIA BARRANTES PEREZ"/>
    <x v="0"/>
    <x v="27"/>
    <s v="BBVA"/>
    <e v="#NAME?"/>
    <s v="SDATOOL-41941 $ INTEGRACIÓN DE AS400 Y HOST Y  ESTABILIZACIÓN Y RESTABLECIMIENTO  DE lOS ENTORNOS DE LEASING AS400  DE DESARROLLO Y CALIDAD&quot;"/>
    <n v="0.1"/>
    <s v="Tech Manager/Líder"/>
    <m/>
    <x v="1"/>
    <e v="#NAME?"/>
    <m/>
    <m/>
    <m/>
    <m/>
    <m/>
  </r>
  <r>
    <s v="C342600"/>
    <s v="DIANA PATRICIA BARRANTES PEREZ"/>
    <x v="0"/>
    <x v="27"/>
    <s v="BBVA"/>
    <e v="#NAME?"/>
    <s v="SDATOOL-40438 $ CIRCULAR 032 del 2021 - REQUERIMIENTO FISCALIA GENERAL DE LA NACION"/>
    <n v="0.1"/>
    <s v="Tech Manager/Líder"/>
    <m/>
    <x v="1"/>
    <e v="#NAME?"/>
    <m/>
    <m/>
    <m/>
    <m/>
    <m/>
  </r>
  <r>
    <s v="C342600"/>
    <s v="DIANA PATRICIA BARRANTES PEREZ"/>
    <x v="0"/>
    <x v="27"/>
    <s v="BBVA"/>
    <e v="#NAME?"/>
    <s v="SDATOOL-33846 $ SREP Data Quality- BCBS239 - Colombia"/>
    <n v="0.1"/>
    <s v="Tech Manager/Líder"/>
    <m/>
    <x v="1"/>
    <e v="#NAME?"/>
    <m/>
    <m/>
    <m/>
    <m/>
    <m/>
  </r>
  <r>
    <s v="C342600"/>
    <s v="DIANA PATRICIA BARRANTES PEREZ"/>
    <x v="0"/>
    <x v="27"/>
    <s v="BBVA"/>
    <e v="#NAME?"/>
    <s v="SDATOOL-39783 $ Resolución 0124 de 2021 - Captura del base de Operaciones Anuladas en Leasing - Aplic. Leasing"/>
    <n v="0.1"/>
    <s v="Tech Manager/Líder"/>
    <m/>
    <x v="1"/>
    <e v="#NAME?"/>
    <m/>
    <m/>
    <m/>
    <m/>
    <m/>
  </r>
  <r>
    <s v="C797928"/>
    <s v="DIANA ROCIO GERENA HERRERA"/>
    <x v="2"/>
    <x v="2"/>
    <s v="BBVA"/>
    <e v="#NAME?"/>
    <s v="NOSDA- BAU $ BAU (Mantenimiento y peq. evolutivos)"/>
    <n v="0.4"/>
    <s v="Tech Manager/Líder"/>
    <m/>
    <x v="1"/>
    <e v="#NAME?"/>
    <m/>
    <m/>
    <m/>
    <m/>
    <m/>
  </r>
  <r>
    <s v="C797928"/>
    <s v="DIANA ROCIO GERENA HERRERA"/>
    <x v="2"/>
    <x v="2"/>
    <s v="BBVA"/>
    <e v="#NAME?"/>
    <s v="SDATOOL-37111 $ Cuenta Maestra Adres"/>
    <n v="0.15"/>
    <s v="Tech Manager/Líder"/>
    <m/>
    <x v="1"/>
    <e v="#NAME?"/>
    <m/>
    <m/>
    <m/>
    <m/>
    <m/>
  </r>
  <r>
    <s v="C797928"/>
    <s v="DIANA ROCIO GERENA HERRERA"/>
    <x v="2"/>
    <x v="2"/>
    <s v="BBVA"/>
    <e v="#NAME?"/>
    <s v="SDATOOL-40771 $ Resolución Cuentas Maestras y Cuentas Maestras para Pagos Electrónicos (PSE): Anexo Técnico - Nuevo reporte de información"/>
    <n v="0.15"/>
    <s v="Tech Manager/Líder"/>
    <m/>
    <x v="1"/>
    <e v="#NAME?"/>
    <m/>
    <m/>
    <m/>
    <m/>
    <m/>
  </r>
  <r>
    <s v="C797928"/>
    <s v="DIANA ROCIO GERENA HERRERA"/>
    <x v="2"/>
    <x v="2"/>
    <s v="BBVA"/>
    <e v="#NAME?"/>
    <s v="SDATOOL-38481 $ Pricing Pasivos (optimización portafolio) - Plan Ascenso Cross Sell"/>
    <n v="0.3"/>
    <s v="Tech Manager/Líder"/>
    <m/>
    <x v="1"/>
    <e v="#NAME?"/>
    <m/>
    <m/>
    <m/>
    <m/>
    <m/>
  </r>
  <r>
    <s v="CE64257"/>
    <s v="DIAZ SALAZAR EDILBERTO"/>
    <x v="0"/>
    <x v="8"/>
    <s v="KRYPTO"/>
    <e v="#NAME?"/>
    <s v="NOSDA- BAU $ BAU (Mantenimiento y peq. evolutivos)"/>
    <n v="1"/>
    <s v="Otros"/>
    <m/>
    <x v="0"/>
    <e v="#NAME?"/>
    <m/>
    <m/>
    <m/>
    <m/>
    <m/>
  </r>
  <r>
    <s v="T003442"/>
    <s v="DIDIER ALFREDO PASUY CASTANO"/>
    <x v="1"/>
    <x v="1"/>
    <s v="Neoris"/>
    <e v="#NAME?"/>
    <s v="SDATOOL-40710 $ GRM Col - Cronos - Plan Ascenso - Mejoras CAP Pymes Fase II"/>
    <n v="0.4"/>
    <s v="Desarrollador"/>
    <m/>
    <x v="0"/>
    <e v="#NAME?"/>
    <m/>
    <m/>
    <m/>
    <m/>
    <m/>
  </r>
  <r>
    <s v="T003442"/>
    <s v="DIDIER ALFREDO PASUY CASTANO"/>
    <x v="1"/>
    <x v="1"/>
    <s v="Neoris"/>
    <e v="#NAME?"/>
    <s v="SDATOOL-38443 $ Arce Empresas Colombia"/>
    <n v="0.3"/>
    <s v="Desarrollador"/>
    <m/>
    <x v="0"/>
    <e v="#NAME?"/>
    <m/>
    <m/>
    <m/>
    <m/>
    <m/>
  </r>
  <r>
    <s v="T003442"/>
    <s v="DIDIER ALFREDO PASUY CASTANO"/>
    <x v="1"/>
    <x v="1"/>
    <s v="Neoris"/>
    <e v="#NAME?"/>
    <s v="SDATOOL-39830 $ GRM Col - Plan Ascenso - Mejoras CAP Pymes"/>
    <n v="0.3"/>
    <s v="Desarrollador"/>
    <m/>
    <x v="0"/>
    <e v="#NAME?"/>
    <m/>
    <m/>
    <m/>
    <m/>
    <m/>
  </r>
  <r>
    <s v="CE69625"/>
    <s v="DIEGO ALBERTO NÚÑEZ SÁNCHEZ"/>
    <x v="4"/>
    <x v="9"/>
    <s v="Accenture"/>
    <e v="#NAME?"/>
    <s v="SDATOOL-39217 $ Aplicativos Tesorería 2022"/>
    <n v="0.5"/>
    <s v="Tech Manager/Líder"/>
    <m/>
    <x v="0"/>
    <e v="#NAME?"/>
    <m/>
    <m/>
    <m/>
    <m/>
    <m/>
  </r>
  <r>
    <s v="T002003"/>
    <s v="DIEGO ALEJANDRO ASTAZIA"/>
    <x v="3"/>
    <x v="25"/>
    <s v="Choucair"/>
    <e v="#NAME?"/>
    <s v="SDATOOL-37761 $ Plan transformación de procesos"/>
    <n v="0.5"/>
    <s v="QA"/>
    <s v="Tester"/>
    <x v="0"/>
    <e v="#NAME?"/>
    <m/>
    <m/>
    <m/>
    <m/>
    <m/>
  </r>
  <r>
    <s v="T002003"/>
    <s v="DIEGO ALEJANDRO ASTAZIA"/>
    <x v="3"/>
    <x v="25"/>
    <s v="Choucair"/>
    <e v="#NAME?"/>
    <s v="NOSDA- BAU $ BAU (Mantenimiento y peq. evolutivos)"/>
    <n v="0.5"/>
    <s v="QA"/>
    <s v="Tester"/>
    <x v="0"/>
    <e v="#NAME?"/>
    <m/>
    <m/>
    <m/>
    <m/>
    <m/>
  </r>
  <r>
    <s v="O004043"/>
    <s v="Diego Alejandro Galeano garzon"/>
    <x v="3"/>
    <x v="16"/>
    <s v="BBVA"/>
    <e v="#NAME?"/>
    <s v="SDATOOL-39197 $ Tealeaf SaaS"/>
    <n v="1"/>
    <s v="Desarrollador"/>
    <m/>
    <x v="1"/>
    <e v="#NAME?"/>
    <m/>
    <m/>
    <m/>
    <m/>
    <m/>
  </r>
  <r>
    <s v="T001912"/>
    <s v="Diego Alejandro Parra Nuñez"/>
    <x v="3"/>
    <x v="6"/>
    <s v="Neoris"/>
    <e v="#NAME?"/>
    <s v="SDATOOL-9053 $ GloMo Colombia"/>
    <n v="1"/>
    <s v="QA"/>
    <m/>
    <x v="0"/>
    <e v="#NAME?"/>
    <m/>
    <m/>
    <m/>
    <m/>
    <m/>
  </r>
  <r>
    <s v="O003809"/>
    <s v="DIEGO ANDRES GUTIERREZ MESA"/>
    <x v="2"/>
    <x v="11"/>
    <s v="BBVA"/>
    <e v="#NAME?"/>
    <s v="SDATOOL-41171 $ CBS Core Banking Strategy Convivencia Clients and Contracts"/>
    <n v="1"/>
    <s v="Tech Manager/Líder"/>
    <m/>
    <x v="1"/>
    <e v="#NAME?"/>
    <m/>
    <m/>
    <m/>
    <m/>
    <m/>
  </r>
  <r>
    <s v="C804845"/>
    <s v="DIEGO ANDRES JIMENEZ PABUENA"/>
    <x v="2"/>
    <x v="17"/>
    <s v="BBVA"/>
    <e v="#NAME?"/>
    <s v="SDATOOL-35329 $ Activo Particular 2021"/>
    <n v="0.3"/>
    <s v="Desarrollador"/>
    <m/>
    <x v="1"/>
    <e v="#NAME?"/>
    <m/>
    <m/>
    <m/>
    <m/>
    <m/>
  </r>
  <r>
    <s v="C804845"/>
    <s v="DIEGO ANDRES JIMENEZ PABUENA"/>
    <x v="2"/>
    <x v="17"/>
    <s v="BBVA"/>
    <e v="#NAME?"/>
    <s v="SDATOOL-40435 $ Cuota Segura créditos de libranza"/>
    <n v="0.5"/>
    <s v="Desarrollador"/>
    <m/>
    <x v="1"/>
    <e v="#NAME?"/>
    <m/>
    <m/>
    <m/>
    <m/>
    <m/>
  </r>
  <r>
    <s v="C804845"/>
    <s v="DIEGO ANDRES JIMENEZ PABUENA"/>
    <x v="2"/>
    <x v="17"/>
    <s v="BBVA"/>
    <e v="#NAME?"/>
    <s v="NOSDA- BAU $ BAU (Mantenimiento y peq. evolutivos)"/>
    <n v="0.2"/>
    <s v="Desarrollador"/>
    <s v="Operación"/>
    <x v="1"/>
    <e v="#NAME?"/>
    <m/>
    <m/>
    <m/>
    <m/>
    <m/>
  </r>
  <r>
    <s v="T002802"/>
    <s v="Diego Andrés Mateus Triana"/>
    <x v="1"/>
    <x v="21"/>
    <s v="Novatec"/>
    <e v="#NAME?"/>
    <s v="SDATOOL-28728 $ Contratación electrónica/digital de empleados y Carpeta Virtual 2.0"/>
    <n v="1"/>
    <s v="Desarrollador"/>
    <m/>
    <x v="0"/>
    <e v="#NAME?"/>
    <m/>
    <m/>
    <m/>
    <m/>
    <m/>
  </r>
  <r>
    <s v="CE63123"/>
    <s v="DIEGO ARISTOBULO DIAZ PLATA"/>
    <x v="4"/>
    <x v="14"/>
    <s v="Tecnoevolución"/>
    <e v="#NAME?"/>
    <s v="NOSDA- BAU $ BAU (Mantenimiento y peq. evolutivos)"/>
    <n v="1"/>
    <s v="Desarrollador"/>
    <m/>
    <x v="0"/>
    <e v="#NAME?"/>
    <m/>
    <m/>
    <m/>
    <m/>
    <m/>
  </r>
  <r>
    <s v="C811057"/>
    <s v="DIEGO CALLEJAS"/>
    <x v="2"/>
    <x v="3"/>
    <s v="BBVA"/>
    <e v="#NAME?"/>
    <s v="NOSDA- BAU $ BAU (Mantenimiento y peq. evolutivos)"/>
    <n v="1"/>
    <s v="Desarrollador"/>
    <m/>
    <x v="1"/>
    <e v="#NAME?"/>
    <m/>
    <m/>
    <m/>
    <m/>
    <m/>
  </r>
  <r>
    <s v="CE69612"/>
    <s v="DIEGO DIAZ VIVAS"/>
    <x v="2"/>
    <x v="3"/>
    <s v="Accenture"/>
    <e v="#NAME?"/>
    <s v="SDATOOL-34910 $ Libranza Digital"/>
    <n v="1"/>
    <s v="Desarrollador"/>
    <m/>
    <x v="0"/>
    <e v="#NAME?"/>
    <m/>
    <m/>
    <m/>
    <m/>
    <m/>
  </r>
  <r>
    <s v="CE52470"/>
    <s v="Diego Elejalde Cifuentes"/>
    <x v="3"/>
    <x v="25"/>
    <s v="SII"/>
    <e v="#NAME?"/>
    <s v="SDATOOL-35350 $ Lean Office (Biblioteca Transaccional y Nuevo Modelo de Impresión)"/>
    <n v="1"/>
    <s v="Desarrollador"/>
    <m/>
    <x v="0"/>
    <e v="#NAME?"/>
    <m/>
    <m/>
    <m/>
    <m/>
    <m/>
  </r>
  <r>
    <s v="C809616"/>
    <s v="DIEGO FERNANDO MONTEALEGRE ROZO"/>
    <x v="3"/>
    <x v="13"/>
    <s v="BBVA"/>
    <e v="#NAME?"/>
    <s v="NOSDA- BAU $ BAU (Mantenimiento y peq. evolutivos)"/>
    <n v="0.1"/>
    <s v="Desarrollador"/>
    <m/>
    <x v="1"/>
    <e v="#NAME?"/>
    <m/>
    <m/>
    <m/>
    <m/>
    <m/>
  </r>
  <r>
    <s v="C809616"/>
    <s v="DIEGO FERNANDO MONTEALEGRE ROZO"/>
    <x v="3"/>
    <x v="13"/>
    <s v="BBVA"/>
    <e v="#NAME?"/>
    <s v="SDATOOL-40581 $ Corresponsal Bancario Ya Ganaste"/>
    <n v="0.6"/>
    <s v="Desarrollador"/>
    <m/>
    <x v="1"/>
    <e v="#NAME?"/>
    <m/>
    <m/>
    <m/>
    <m/>
    <m/>
  </r>
  <r>
    <s v="C809616"/>
    <s v="DIEGO FERNANDO MONTEALEGRE ROZO"/>
    <x v="3"/>
    <x v="13"/>
    <s v="BBVA"/>
    <e v="#NAME?"/>
    <s v="SDATOOL-33947 $ Sinergias Bancamia"/>
    <n v="0.3"/>
    <s v="Desarrollador"/>
    <m/>
    <x v="1"/>
    <e v="#NAME?"/>
    <m/>
    <m/>
    <m/>
    <m/>
    <m/>
  </r>
  <r>
    <s v="CE62655"/>
    <s v="DIEGO FRANCISCO FLORES DIAZ"/>
    <x v="1"/>
    <x v="10"/>
    <s v="Indra"/>
    <e v="#NAME?"/>
    <s v="NOSDA- BAU $ BAU (Mantenimiento y peq. evolutivos)"/>
    <n v="0.5"/>
    <s v="Desarrollador"/>
    <m/>
    <x v="0"/>
    <e v="#NAME?"/>
    <m/>
    <m/>
    <m/>
    <m/>
    <m/>
  </r>
  <r>
    <s v="CE62655"/>
    <s v="Diego Francisco Florez Diaz"/>
    <x v="1"/>
    <x v="26"/>
    <s v="Indra"/>
    <e v="#NAME?"/>
    <s v="SDATOOL-40599 $ Proyecto - Circular 025"/>
    <n v="0.5"/>
    <s v="Desarrollador"/>
    <m/>
    <x v="0"/>
    <e v="#NAME?"/>
    <m/>
    <m/>
    <m/>
    <m/>
    <m/>
  </r>
  <r>
    <s v="C804782"/>
    <s v="DIEGO JAVIER MORENO"/>
    <x v="3"/>
    <x v="6"/>
    <s v="BBVA"/>
    <e v="#NAME?"/>
    <s v="NOSDA- BAU $ BAU (Mantenimiento y peq. evolutivos)"/>
    <n v="0.2"/>
    <s v="Tech Manager/Líder"/>
    <m/>
    <x v="1"/>
    <e v="#NAME?"/>
    <m/>
    <m/>
    <m/>
    <m/>
    <m/>
  </r>
  <r>
    <s v="C804782"/>
    <s v="DIEGO JAVIER MORENO"/>
    <x v="3"/>
    <x v="6"/>
    <s v="BBVA"/>
    <e v="#NAME?"/>
    <s v="SDATOOL-9053 $ GloMo Colombia"/>
    <n v="0.6"/>
    <s v="Tech Manager/Líder"/>
    <m/>
    <x v="1"/>
    <e v="#NAME?"/>
    <m/>
    <m/>
    <m/>
    <m/>
    <m/>
  </r>
  <r>
    <s v="C804782"/>
    <s v="DIEGO JAVIER MORENO"/>
    <x v="3"/>
    <x v="6"/>
    <s v="BBVA"/>
    <e v="#NAME?"/>
    <s v="SDATOOL-38489 $ Horizon BTGR - Colombia"/>
    <n v="0.2"/>
    <s v="Tech Manager/Líder"/>
    <m/>
    <x v="1"/>
    <e v="#NAME?"/>
    <m/>
    <m/>
    <m/>
    <m/>
    <m/>
  </r>
  <r>
    <s v="C802282"/>
    <s v="DIEGO SANTOS DUARTE CUELLAR"/>
    <x v="3"/>
    <x v="6"/>
    <s v="BBVA"/>
    <e v="#NAME?"/>
    <s v="SDATOOL-9053 $ GloMo Colombia"/>
    <n v="1"/>
    <s v="Desarrollador"/>
    <m/>
    <x v="1"/>
    <e v="#NAME?"/>
    <m/>
    <m/>
    <m/>
    <m/>
    <m/>
  </r>
  <r>
    <s v="C808223"/>
    <s v="DILAN ANDRES LOPEZ MENA"/>
    <x v="4"/>
    <x v="14"/>
    <s v="BBVA"/>
    <e v="#NAME?"/>
    <s v="NOSDA- BAU $ BAU (Mantenimiento y peq. evolutivos)"/>
    <n v="1"/>
    <s v="Desarrollador"/>
    <m/>
    <x v="1"/>
    <e v="#NAME?"/>
    <m/>
    <m/>
    <m/>
    <m/>
    <m/>
  </r>
  <r>
    <s v="CE41979"/>
    <s v="DILSON PARDO SANTANA"/>
    <x v="0"/>
    <x v="27"/>
    <s v="Inetum"/>
    <e v="#NAME?"/>
    <s v="SDATOOL-33847 $ Resolución 0042 DIAN Documento Soporte"/>
    <n v="0.125"/>
    <s v="QA"/>
    <m/>
    <x v="0"/>
    <e v="#NAME?"/>
    <m/>
    <m/>
    <m/>
    <m/>
    <m/>
  </r>
  <r>
    <s v="CE41979"/>
    <s v="DILSON PARDO SANTANA"/>
    <x v="0"/>
    <x v="27"/>
    <s v="Inetum"/>
    <e v="#NAME?"/>
    <s v="SDATOOL-36358 $ Pagos por Terceros (Mandato y/o Administración) - Información exógena DIAN - Resolución 0098 DIAN"/>
    <n v="0.125"/>
    <s v="QA"/>
    <m/>
    <x v="0"/>
    <e v="#NAME?"/>
    <m/>
    <m/>
    <m/>
    <m/>
    <m/>
  </r>
  <r>
    <s v="CE41979"/>
    <s v="DILSON PARDO SANTANA"/>
    <x v="0"/>
    <x v="0"/>
    <s v="Inetum"/>
    <e v="#NAME?"/>
    <s v="SDATOOL-36547 $ PLAN MAYOR -PLAN MENOR. Plan ascenso Open Market"/>
    <n v="0.15"/>
    <s v="QA"/>
    <m/>
    <x v="0"/>
    <e v="#NAME?"/>
    <m/>
    <m/>
    <m/>
    <m/>
    <m/>
  </r>
  <r>
    <s v="CE41979"/>
    <s v="DILSON PARDO SANTANA"/>
    <x v="0"/>
    <x v="0"/>
    <s v="Inetum"/>
    <e v="#NAME?"/>
    <s v="SDATOOL-37125 $ Factoring - IBR"/>
    <n v="0.1"/>
    <s v="QA"/>
    <m/>
    <x v="0"/>
    <e v="#NAME?"/>
    <m/>
    <m/>
    <m/>
    <m/>
    <m/>
  </r>
  <r>
    <s v="CE41979"/>
    <s v="DILSON PARDO SANTANA"/>
    <x v="0"/>
    <x v="27"/>
    <s v="Inetum"/>
    <e v="#NAME?"/>
    <s v="NOSDA- BAU $ BAU (Mantenimiento y peq. evolutivos)"/>
    <n v="0.25"/>
    <s v="QA"/>
    <m/>
    <x v="0"/>
    <e v="#NAME?"/>
    <m/>
    <m/>
    <m/>
    <m/>
    <m/>
  </r>
  <r>
    <s v="CE41979"/>
    <s v="DILSON PARDO SANTANA"/>
    <x v="0"/>
    <x v="0"/>
    <s v="Inetum"/>
    <e v="#NAME?"/>
    <s v="NOSDA- BAU $ BAU (Mantenimiento y peq. evolutivos)"/>
    <n v="0.25"/>
    <s v="QA"/>
    <m/>
    <x v="0"/>
    <e v="#NAME?"/>
    <m/>
    <m/>
    <m/>
    <m/>
    <m/>
  </r>
  <r>
    <s v="CE71116"/>
    <s v="Dina Luz Perez"/>
    <x v="3"/>
    <x v="6"/>
    <s v="Accenture"/>
    <e v="#NAME?"/>
    <s v="SDATOOL-9053 $ GloMo Colombia"/>
    <n v="1"/>
    <s v="QA"/>
    <m/>
    <x v="0"/>
    <e v="#NAME?"/>
    <m/>
    <m/>
    <m/>
    <m/>
    <m/>
  </r>
  <r>
    <s v="CE69380"/>
    <s v="Diocleciano López Carbono"/>
    <x v="4"/>
    <x v="14"/>
    <s v="Tecnoevolución"/>
    <e v="#NAME?"/>
    <s v="SDATOOL-33907 $ Manejo Fiscal Prima o Descuento Renta Fija"/>
    <n v="1"/>
    <s v="Desarrollador"/>
    <m/>
    <x v="0"/>
    <e v="#NAME?"/>
    <m/>
    <m/>
    <m/>
    <m/>
    <m/>
  </r>
  <r>
    <s v="O001338"/>
    <s v="DIVER ANDREY SUATERNA"/>
    <x v="3"/>
    <x v="25"/>
    <s v="BBVA"/>
    <e v="#NAME?"/>
    <s v="SDATOOL-35350 $ Lean Office (Biblioteca Transaccional y Nuevo Modelo de Impresión)"/>
    <n v="1"/>
    <s v="Desarrollador"/>
    <m/>
    <x v="1"/>
    <e v="#NAME?"/>
    <m/>
    <m/>
    <m/>
    <m/>
    <m/>
  </r>
  <r>
    <s v="C809592"/>
    <s v="DOUGLAS ROLANDO OVIES PULIDO"/>
    <x v="0"/>
    <x v="0"/>
    <s v="BBVA"/>
    <e v="#NAME?"/>
    <s v="SDATOOL-36547 $ PLAN MAYOR -PLAN MENOR. Plan ascenso Open Market"/>
    <n v="0.25"/>
    <s v="Desarrollador"/>
    <m/>
    <x v="1"/>
    <e v="#NAME?"/>
    <m/>
    <m/>
    <m/>
    <m/>
    <m/>
  </r>
  <r>
    <s v="C809592"/>
    <s v="DOUGLAS ROLANDO OVIES PULIDO"/>
    <x v="0"/>
    <x v="0"/>
    <s v="BBVA"/>
    <e v="#NAME?"/>
    <s v="NOSDA- BAU $ BAU (Mantenimiento y peq. evolutivos)"/>
    <n v="0.75"/>
    <s v="Desarrollador"/>
    <m/>
    <x v="1"/>
    <e v="#NAME?"/>
    <m/>
    <m/>
    <m/>
    <m/>
    <m/>
  </r>
  <r>
    <s v="T000273"/>
    <s v="Dubán Felipe Guarín"/>
    <x v="3"/>
    <x v="7"/>
    <s v="GGI / CMC"/>
    <e v="#NAME?"/>
    <s v="SDATOOL-9053 $ GloMo Colombia"/>
    <n v="1"/>
    <s v="Desarrollador"/>
    <m/>
    <x v="0"/>
    <e v="#NAME?"/>
    <m/>
    <m/>
    <m/>
    <m/>
    <m/>
  </r>
  <r>
    <s v="CE69094"/>
    <s v="DUVAN ALEJANDRO BERNATE PIAMBA "/>
    <x v="2"/>
    <x v="3"/>
    <s v="KRYPTO"/>
    <e v="#NAME?"/>
    <s v="SDATOOL-34887 $ Vivienda Digital Open Market"/>
    <n v="0.5"/>
    <s v="QA"/>
    <m/>
    <x v="0"/>
    <e v="#NAME?"/>
    <m/>
    <m/>
    <m/>
    <m/>
    <m/>
  </r>
  <r>
    <s v="CE69094"/>
    <s v="DUVAN ALEJANDRO BERNATE PIAMBA "/>
    <x v="2"/>
    <x v="3"/>
    <s v="KRYPTO"/>
    <e v="#NAME?"/>
    <s v="SDATOOL-39836 $ Vivienda digital fase III"/>
    <n v="0.5"/>
    <s v="QA"/>
    <m/>
    <x v="0"/>
    <e v="#NAME?"/>
    <m/>
    <m/>
    <m/>
    <m/>
    <m/>
  </r>
  <r>
    <s v="O001657"/>
    <s v="Duvan Alejandro Ramirez"/>
    <x v="3"/>
    <x v="4"/>
    <s v="BBVA"/>
    <e v="#NAME?"/>
    <s v="SDATOOL-37121 $ Plan CRM: Seguimiento al pipeline"/>
    <n v="1"/>
    <s v="Desarrollador"/>
    <m/>
    <x v="1"/>
    <e v="#NAME?"/>
    <m/>
    <m/>
    <m/>
    <m/>
    <m/>
  </r>
  <r>
    <s v="C804037"/>
    <s v="Eddy Hernando Bogota Cangrejo"/>
    <x v="1"/>
    <x v="1"/>
    <s v="BBVA"/>
    <e v="#NAME?"/>
    <s v="SDATOOL-38443 $ Arce Empresas Colombia"/>
    <n v="0.15"/>
    <s v="Tech Manager/Líder"/>
    <m/>
    <x v="1"/>
    <e v="#NAME?"/>
    <m/>
    <m/>
    <m/>
    <m/>
    <m/>
  </r>
  <r>
    <s v="C804037"/>
    <s v="Eddy Hernando Bogota Cangrejo"/>
    <x v="1"/>
    <x v="1"/>
    <s v="BBVA"/>
    <e v="#NAME?"/>
    <s v="SDATOOL-39826 $ GRM Col- Plan Ascenso - Mejoras en CAP Pymes y disponibilización HdC"/>
    <n v="0.15"/>
    <s v="Tech Manager/Líder"/>
    <m/>
    <x v="1"/>
    <e v="#NAME?"/>
    <m/>
    <m/>
    <m/>
    <m/>
    <m/>
  </r>
  <r>
    <s v="C804037"/>
    <s v="Eddy Hernando Bogota Cangrejo"/>
    <x v="1"/>
    <x v="1"/>
    <s v="BBVA"/>
    <e v="#NAME?"/>
    <s v="SDATOOL-39830 $ GRM Col - Plan Ascenso - Mejoras CAP Pymes"/>
    <n v="0.15"/>
    <s v="Tech Manager/Líder"/>
    <m/>
    <x v="1"/>
    <e v="#NAME?"/>
    <m/>
    <m/>
    <m/>
    <m/>
    <m/>
  </r>
  <r>
    <s v="C804037"/>
    <s v="Eddy Hernando Bogota Cangrejo"/>
    <x v="1"/>
    <x v="1"/>
    <s v="BBVA"/>
    <e v="#NAME?"/>
    <s v="SDATOOL-35656 $ Cupos y límites"/>
    <n v="0.15"/>
    <s v="Tech Manager/Líder"/>
    <m/>
    <x v="1"/>
    <e v="#NAME?"/>
    <m/>
    <m/>
    <m/>
    <m/>
    <m/>
  </r>
  <r>
    <s v="C804037"/>
    <s v="Eddy Hernando Bogota Cangrejo"/>
    <x v="1"/>
    <x v="1"/>
    <s v="BBVA"/>
    <e v="#NAME?"/>
    <s v="SDATOOL-40710 $ GRM Col - Cronos - Plan Ascenso - Mejoras CAP Pymes Fase II"/>
    <n v="0.15"/>
    <s v="Tech Manager/Líder"/>
    <m/>
    <x v="1"/>
    <e v="#NAME?"/>
    <m/>
    <m/>
    <m/>
    <m/>
    <m/>
  </r>
  <r>
    <s v="C804037"/>
    <s v="Eddy Hernando Bogota Cangrejo"/>
    <x v="1"/>
    <x v="1"/>
    <s v="BBVA"/>
    <e v="#NAME?"/>
    <s v="SDATOOL-42098 $ GRM Col CRONOS Batch - Campañas SMeS"/>
    <n v="0.15"/>
    <s v="Tech Manager/Líder"/>
    <m/>
    <x v="1"/>
    <e v="#NAME?"/>
    <m/>
    <m/>
    <m/>
    <m/>
    <m/>
  </r>
  <r>
    <s v="C804037"/>
    <s v="Eddy Hernando Bogota Cangrejo"/>
    <x v="1"/>
    <x v="1"/>
    <s v="BBVA"/>
    <e v="#NAME?"/>
    <s v="NOSDA- BAU $ BAU (Mantenimiento y peq. evolutivos)"/>
    <n v="0.1"/>
    <s v="Tech Manager/Líder"/>
    <m/>
    <x v="1"/>
    <e v="#NAME?"/>
    <m/>
    <m/>
    <m/>
    <m/>
    <m/>
  </r>
  <r>
    <s v="O001977"/>
    <s v="EDDY MAURICIO SUAREZ MOLINA"/>
    <x v="2"/>
    <x v="3"/>
    <s v="BBVA"/>
    <e v="#NAME?"/>
    <s v="SDATOOL-39384 $ Abonos a préstamos por canales"/>
    <n v="0.25"/>
    <s v="Desarrollador"/>
    <m/>
    <x v="1"/>
    <e v="#NAME?"/>
    <m/>
    <m/>
    <m/>
    <m/>
    <m/>
  </r>
  <r>
    <s v="O001977"/>
    <s v="EDDY MAURICIO SUAREZ MOLINA"/>
    <x v="2"/>
    <x v="3"/>
    <s v="BBVA"/>
    <e v="#NAME?"/>
    <s v="SDATOOL-28278 $ GRM Col - TMP Cobranzas - Pago en Canales Alternos"/>
    <n v="0.75"/>
    <s v="Desarrollador"/>
    <m/>
    <x v="1"/>
    <e v="#NAME?"/>
    <m/>
    <m/>
    <m/>
    <m/>
    <m/>
  </r>
  <r>
    <s v="T005394"/>
    <s v="Eder Alberto Niño Mora"/>
    <x v="1"/>
    <x v="10"/>
    <s v="GGI / CMC"/>
    <e v="#NAME?"/>
    <s v="SDATOOL-40225 $ Resolución 0124 Dian - 2021 - Ajustes para Reporte de Información Exógena año gravable 2022 - Ciclo 1"/>
    <n v="1"/>
    <s v="Desarrollador"/>
    <m/>
    <x v="0"/>
    <e v="#NAME?"/>
    <m/>
    <m/>
    <m/>
    <m/>
    <m/>
  </r>
  <r>
    <s v="CE48051"/>
    <s v="EDGAR ANDRES GARZON"/>
    <x v="2"/>
    <x v="2"/>
    <s v="Novatec"/>
    <e v="#NAME?"/>
    <s v="SDATOOL-38419 $ Contratación cuenta en línea en Glomo"/>
    <n v="1"/>
    <s v="Desarrollador"/>
    <m/>
    <x v="0"/>
    <e v="#NAME?"/>
    <m/>
    <m/>
    <m/>
    <m/>
    <m/>
  </r>
  <r>
    <s v="CE48051"/>
    <s v="Edgar Andrés Garzon Rangel"/>
    <x v="3"/>
    <x v="16"/>
    <s v="Novatec"/>
    <e v="#NAME?"/>
    <s v="SDATOOL-38419 $ Contratación cuenta en línea en Glomo"/>
    <n v="1"/>
    <s v="Desarrollador"/>
    <m/>
    <x v="0"/>
    <e v="#NAME?"/>
    <m/>
    <m/>
    <m/>
    <m/>
    <m/>
  </r>
  <r>
    <s v="C342595"/>
    <s v="EDGAR IVAN ARIAS MALDONADO"/>
    <x v="3"/>
    <x v="7"/>
    <s v="BBVA"/>
    <e v="#NAME?"/>
    <s v="SDATOOL-36558 $ Transfiya:Transferencias interbancarias inmediatas - Plan Ascenso Privado"/>
    <n v="1"/>
    <s v="Desarrollador"/>
    <m/>
    <x v="1"/>
    <e v="#NAME?"/>
    <m/>
    <m/>
    <m/>
    <m/>
    <m/>
  </r>
  <r>
    <s v="C796415"/>
    <s v="EDGAR REY"/>
    <x v="2"/>
    <x v="3"/>
    <s v="BBVA"/>
    <e v="#NAME?"/>
    <s v="NOSDA- BAU $ BAU (Mantenimiento y peq. evolutivos)"/>
    <n v="1"/>
    <s v="Tech Manager/Líder"/>
    <m/>
    <x v="1"/>
    <e v="#NAME?"/>
    <m/>
    <m/>
    <m/>
    <m/>
    <m/>
  </r>
  <r>
    <s v="O000444"/>
    <s v="EDGAR VASQUEZ RUIZ"/>
    <x v="2"/>
    <x v="3"/>
    <s v="BBVA"/>
    <e v="#NAME?"/>
    <s v="SDATOOL-40435 $ Cuota Segura créditos de libranza"/>
    <n v="1"/>
    <s v="Desarrollador"/>
    <m/>
    <x v="1"/>
    <e v="#NAME?"/>
    <m/>
    <m/>
    <m/>
    <m/>
    <m/>
  </r>
  <r>
    <s v="C343334"/>
    <s v="Edison Jovanny Castillo"/>
    <x v="2"/>
    <x v="20"/>
    <s v="BBVA"/>
    <e v="#NAME?"/>
    <s v="NOSDA- BAU $ BAU (Mantenimiento y peq. evolutivos)"/>
    <n v="0.75"/>
    <s v="Desarrollador"/>
    <s v="MN-cancelacion garantias"/>
    <x v="1"/>
    <e v="#NAME?"/>
    <m/>
    <m/>
    <m/>
    <m/>
    <m/>
  </r>
  <r>
    <s v="C343334"/>
    <s v="Edison Jovanny Castillo"/>
    <x v="2"/>
    <x v="20"/>
    <s v="BBVA"/>
    <e v="#NAME?"/>
    <s v="SDATOOL-41877 $ Apagado Bonita 5 Community e impulsar JBPM Corporativa"/>
    <n v="0.25"/>
    <s v="Desarrollador"/>
    <s v="MN-cancelacion garantias"/>
    <x v="1"/>
    <e v="#NAME?"/>
    <m/>
    <m/>
    <m/>
    <m/>
    <m/>
  </r>
  <r>
    <s v="O001647"/>
    <s v="Edison Ramírez"/>
    <x v="3"/>
    <x v="7"/>
    <s v="BBVA"/>
    <e v="#NAME?"/>
    <s v="SDATOOL-39246 $ Nuevo tipo de identificación para extranjeros"/>
    <n v="1"/>
    <s v="Desarrollador"/>
    <m/>
    <x v="1"/>
    <e v="#NAME?"/>
    <m/>
    <m/>
    <m/>
    <m/>
    <m/>
  </r>
  <r>
    <s v="O000437"/>
    <s v="EDISON TRONCOSO PARADA"/>
    <x v="2"/>
    <x v="11"/>
    <s v="BBVA"/>
    <e v="#NAME?"/>
    <s v="NOSDA- BAU $ BAU (Mantenimiento y peq. evolutivos)"/>
    <n v="0.5"/>
    <s v="Desarrollador"/>
    <m/>
    <x v="1"/>
    <e v="#NAME?"/>
    <m/>
    <m/>
    <m/>
    <m/>
    <m/>
  </r>
  <r>
    <s v="O000437"/>
    <s v="EDISON TRONCOSO PARADA"/>
    <x v="2"/>
    <x v="11"/>
    <s v="BBVA"/>
    <e v="#NAME?"/>
    <s v="SDATOOL-41171 $ CBS Core Banking Strategy Convivencia Clients and Contracts"/>
    <n v="0.3"/>
    <s v="Desarrollador"/>
    <m/>
    <x v="1"/>
    <e v="#NAME?"/>
    <m/>
    <m/>
    <m/>
    <m/>
    <m/>
  </r>
  <r>
    <s v="O000437"/>
    <s v="EDISON TRONCOSO PARADA"/>
    <x v="2"/>
    <x v="11"/>
    <s v="BBVA"/>
    <e v="#NAME?"/>
    <s v="SDATOOL-39246 $ Nuevo tipo de identificación para extranjeros"/>
    <n v="0.1"/>
    <s v="Desarrollador"/>
    <m/>
    <x v="1"/>
    <e v="#NAME?"/>
    <m/>
    <m/>
    <m/>
    <m/>
    <m/>
  </r>
  <r>
    <s v="O000437"/>
    <s v="EDISON TRONCOSO PARADA"/>
    <x v="2"/>
    <x v="11"/>
    <s v="BBVA"/>
    <e v="#NAME?"/>
    <s v="SDATOOL-41202 $ GRM Col - Ajustes Asset Allocation y Riesgo de Concentración"/>
    <n v="0.1"/>
    <s v="Desarrollador"/>
    <m/>
    <x v="1"/>
    <e v="#NAME?"/>
    <m/>
    <m/>
    <m/>
    <m/>
    <m/>
  </r>
  <r>
    <s v="C808683"/>
    <s v="EDISON YESID GONZALEZ LANCHEROS"/>
    <x v="0"/>
    <x v="27"/>
    <s v="BBVA"/>
    <e v="#NAME?"/>
    <s v="SDATOOL-36358 $ Pagos por Terceros (Mandato y/o Administración) - Información exógena DIAN - Resolución 0098 DIAN"/>
    <n v="0.1"/>
    <s v="Desarrollador"/>
    <m/>
    <x v="1"/>
    <e v="#NAME?"/>
    <m/>
    <m/>
    <m/>
    <m/>
    <m/>
  </r>
  <r>
    <s v="C808683"/>
    <s v="EDISON YESID GONZALEZ LANCHEROS"/>
    <x v="0"/>
    <x v="27"/>
    <s v="BBVA"/>
    <e v="#NAME?"/>
    <s v="SDATOOL-33847 $ Resolución 0042 DIAN Documento Soporte"/>
    <n v="0.85"/>
    <s v="Desarrollador"/>
    <m/>
    <x v="1"/>
    <e v="#NAME?"/>
    <m/>
    <m/>
    <m/>
    <m/>
    <m/>
  </r>
  <r>
    <s v="C808683"/>
    <s v="EDISON YESID GONZALEZ LANCHEROS"/>
    <x v="0"/>
    <x v="27"/>
    <s v="BBVA"/>
    <e v="#NAME?"/>
    <s v="SDATOOL-40466 $ Garantía FAG"/>
    <n v="0.05"/>
    <s v="Desarrollador"/>
    <m/>
    <x v="1"/>
    <e v="#NAME?"/>
    <m/>
    <m/>
    <m/>
    <m/>
    <m/>
  </r>
  <r>
    <s v="C811398"/>
    <s v="EDISSON ARMANDO BLANCO SALAMANCA"/>
    <x v="0"/>
    <x v="15"/>
    <s v="BBVA"/>
    <e v="#NAME?"/>
    <s v="SDATOOL-39354 $ My business Open Pay - Plan Ascenso Mercurio"/>
    <n v="1"/>
    <s v="Desarrollador"/>
    <m/>
    <x v="1"/>
    <e v="#NAME?"/>
    <m/>
    <m/>
    <m/>
    <m/>
    <m/>
  </r>
  <r>
    <s v="O003002"/>
    <s v="Edisson Iovani Rodriguez Socha"/>
    <x v="3"/>
    <x v="6"/>
    <s v="BBVA"/>
    <e v="#NAME?"/>
    <s v="SDATOOL-38489 $ Horizon BTGR - Colombia"/>
    <n v="1"/>
    <s v="Desarrollador"/>
    <m/>
    <x v="1"/>
    <e v="#NAME?"/>
    <m/>
    <m/>
    <m/>
    <m/>
    <m/>
  </r>
  <r>
    <s v="CE51863"/>
    <s v="EDNA ROCIO MONCADA"/>
    <x v="0"/>
    <x v="7"/>
    <s v="KRYPTO"/>
    <e v="#NAME?"/>
    <s v="SDATOOL-32905 $ Global Enterprises Mobile App (GEMA)"/>
    <n v="0.5"/>
    <s v="QA"/>
    <m/>
    <x v="0"/>
    <e v="#NAME?"/>
    <m/>
    <m/>
    <m/>
    <m/>
    <m/>
  </r>
  <r>
    <s v="CE69111"/>
    <s v="EDNA YURANI GIL"/>
    <x v="2"/>
    <x v="12"/>
    <s v="Choucair"/>
    <e v="#NAME?"/>
    <s v="SDATOOL-38091 $ Higiénicos Plataforma Digital de Oficinas CAP"/>
    <n v="1"/>
    <s v="QA"/>
    <m/>
    <x v="0"/>
    <e v="#NAME?"/>
    <m/>
    <m/>
    <m/>
    <m/>
    <m/>
  </r>
  <r>
    <s v="CE67846"/>
    <s v="Edson Suarez"/>
    <x v="3"/>
    <x v="6"/>
    <s v="Accenture"/>
    <e v="#NAME?"/>
    <s v="SDATOOL-9053 $ GloMo Colombia"/>
    <n v="1"/>
    <s v="QA"/>
    <m/>
    <x v="0"/>
    <e v="#NAME?"/>
    <m/>
    <m/>
    <m/>
    <m/>
    <m/>
  </r>
  <r>
    <s v="O000448"/>
    <s v="EDUAR BOLAÑOS"/>
    <x v="2"/>
    <x v="3"/>
    <s v="BBVA"/>
    <e v="#NAME?"/>
    <s v="SDATOOL-39836 $ Vivienda digital fase III"/>
    <n v="0.5"/>
    <s v="Desarrollador"/>
    <m/>
    <x v="1"/>
    <e v="#NAME?"/>
    <m/>
    <m/>
    <m/>
    <m/>
    <m/>
  </r>
  <r>
    <s v="O000448"/>
    <s v="EDUAR BOLAÑOS"/>
    <x v="2"/>
    <x v="3"/>
    <s v="BBVA"/>
    <e v="#NAME?"/>
    <s v="SDATOOL-34887 $ Vivienda Digital Open Market"/>
    <n v="0.2"/>
    <s v="Desarrollador"/>
    <m/>
    <x v="1"/>
    <e v="#NAME?"/>
    <m/>
    <m/>
    <m/>
    <m/>
    <m/>
  </r>
  <r>
    <s v="O000448"/>
    <s v="EDUAR BOLAÑOS"/>
    <x v="2"/>
    <x v="3"/>
    <s v="BBVA"/>
    <e v="#NAME?"/>
    <s v="SDATOOL-39272 $ GRM-Col-Cambio servicio APL (Aportes en línea)"/>
    <n v="0.3"/>
    <s v="Desarrollador"/>
    <m/>
    <x v="1"/>
    <e v="#NAME?"/>
    <m/>
    <m/>
    <m/>
    <m/>
    <m/>
  </r>
  <r>
    <s v="C804843"/>
    <s v="EDUAR DUBAN GONZALEZ JOYA"/>
    <x v="4"/>
    <x v="9"/>
    <s v="BBVA"/>
    <e v="#NAME?"/>
    <s v="SDATOOL-27736 $ Proyecto Plan de Transformación de Datos (PTD)"/>
    <n v="0.5"/>
    <s v="Desarrollador"/>
    <m/>
    <x v="1"/>
    <e v="#NAME?"/>
    <m/>
    <m/>
    <m/>
    <m/>
    <m/>
  </r>
  <r>
    <s v="C804843"/>
    <s v="EDUAR DUBAN GONZALEZ JOYA"/>
    <x v="4"/>
    <x v="9"/>
    <s v="BBVA"/>
    <e v="#NAME?"/>
    <s v="SDATOOL-40269 $ Actualización y transmisión Declaraciones de Cambio – Banco de la República Abril 2022."/>
    <n v="0.25"/>
    <s v="Desarrollador"/>
    <m/>
    <x v="1"/>
    <e v="#NAME?"/>
    <m/>
    <m/>
    <m/>
    <m/>
    <m/>
  </r>
  <r>
    <s v="C804843"/>
    <s v="EDUAR DUBAN GONZALEZ JOYA"/>
    <x v="4"/>
    <x v="9"/>
    <s v="BBVA"/>
    <e v="#NAME?"/>
    <s v="NOSDA- BAU $ BAU (Mantenimiento y peq. evolutivos)"/>
    <n v="0.25"/>
    <s v="Desarrollador"/>
    <m/>
    <x v="1"/>
    <e v="#NAME?"/>
    <m/>
    <m/>
    <m/>
    <m/>
    <m/>
  </r>
  <r>
    <s v="O001722"/>
    <s v="EDWARD ALEXANDER DUQUE TAMAYO"/>
    <x v="2"/>
    <x v="5"/>
    <s v="BBVA"/>
    <e v="#NAME?"/>
    <s v="NOSDA- BAU $ BAU (Mantenimiento y peq. evolutivos)"/>
    <n v="1"/>
    <s v="Desarrollador"/>
    <m/>
    <x v="1"/>
    <e v="#NAME?"/>
    <m/>
    <m/>
    <m/>
    <m/>
    <m/>
  </r>
  <r>
    <s v="C805770"/>
    <s v="Edward Enrique Vaca"/>
    <x v="2"/>
    <x v="20"/>
    <s v="BBVA"/>
    <e v="#NAME?"/>
    <s v="SDATOOL-40435 $ Cuota Segura créditos de libranza"/>
    <n v="0.5"/>
    <s v="Desarrollador"/>
    <s v="Lider tecnico para BPM "/>
    <x v="1"/>
    <e v="#NAME?"/>
    <m/>
    <m/>
    <m/>
    <m/>
    <m/>
  </r>
  <r>
    <s v="C805770"/>
    <s v="Edward Enrique Vaca"/>
    <x v="2"/>
    <x v="20"/>
    <s v="BBVA"/>
    <e v="#NAME?"/>
    <s v="NOSDA- BAU $ BAU (Mantenimiento y peq. evolutivos)"/>
    <n v="0.5"/>
    <s v="Desarrollador"/>
    <s v="MN-2091 Reingenieria proceso cancelacion de garantias, desarrollos con entrega a QA S3 agosto"/>
    <x v="1"/>
    <e v="#NAME?"/>
    <m/>
    <m/>
    <m/>
    <m/>
    <m/>
  </r>
  <r>
    <s v="C821589"/>
    <s v="Edward Moreno"/>
    <x v="3"/>
    <x v="7"/>
    <s v="BBVA"/>
    <e v="#NAME?"/>
    <s v="SDATOOL-39246 $ Nuevo tipo de identificación para extranjeros"/>
    <n v="1"/>
    <s v="Desarrollador"/>
    <m/>
    <x v="1"/>
    <e v="#NAME?"/>
    <m/>
    <m/>
    <m/>
    <m/>
    <m/>
  </r>
  <r>
    <s v="CE68712"/>
    <s v="EDWARD STIVEN RODRIGUEZ MORENO"/>
    <x v="1"/>
    <x v="10"/>
    <s v="BLUETAB"/>
    <e v="#NAME?"/>
    <s v="SDATOOL-33862 $ NDoD Accounting"/>
    <n v="0.4"/>
    <s v="Desarrollador"/>
    <m/>
    <x v="0"/>
    <e v="#NAME?"/>
    <m/>
    <m/>
    <m/>
    <m/>
    <m/>
  </r>
  <r>
    <s v="CE68712"/>
    <s v="Edward Stiven Rodriguez Moreno"/>
    <x v="1"/>
    <x v="1"/>
    <s v="BLUETAB"/>
    <e v="#NAME?"/>
    <s v="SDATOOL-29029 $ EBA Guidelines (NDoD/PD/LGD) - Colombia"/>
    <n v="0.6"/>
    <s v="Desarrollador"/>
    <m/>
    <x v="0"/>
    <e v="#NAME?"/>
    <m/>
    <m/>
    <m/>
    <m/>
    <m/>
  </r>
  <r>
    <s v="C810674"/>
    <s v="EDWIN ARMANDO CASTRO MARTIN"/>
    <x v="3"/>
    <x v="19"/>
    <s v="BBVA"/>
    <e v="#NAME?"/>
    <s v="SDATOOL-39870 $ Front - Unificación de pantallas Contac Center"/>
    <n v="1"/>
    <s v="Desarrollador"/>
    <m/>
    <x v="1"/>
    <e v="#NAME?"/>
    <m/>
    <m/>
    <m/>
    <m/>
    <m/>
  </r>
  <r>
    <s v="C811198"/>
    <s v="EDWIN DAVID TORO ECHEVERRIA"/>
    <x v="3"/>
    <x v="6"/>
    <s v="BBVA"/>
    <e v="#NAME?"/>
    <s v="SDATOOL-38489 $ Horizon BTGR - Colombia"/>
    <n v="1"/>
    <s v="Desarrollador"/>
    <m/>
    <x v="1"/>
    <e v="#NAME?"/>
    <m/>
    <m/>
    <m/>
    <m/>
    <m/>
  </r>
  <r>
    <s v="C804325"/>
    <s v="Edwin Giovanny Cetina Pinzón."/>
    <x v="2"/>
    <x v="20"/>
    <s v="BBVA"/>
    <e v="#NAME?"/>
    <s v="SDATOOL-40435 $ Cuota Segura créditos de libranza"/>
    <n v="0.4"/>
    <s v="Desarrollador"/>
    <m/>
    <x v="1"/>
    <e v="#NAME?"/>
    <m/>
    <m/>
    <m/>
    <m/>
    <m/>
  </r>
  <r>
    <s v="C804325"/>
    <s v="Edwin Giovanny Cetina Pinzón."/>
    <x v="2"/>
    <x v="20"/>
    <s v="BBVA"/>
    <e v="#NAME?"/>
    <s v="SDATOOL-35384 $ Gestión Documental Pyme Admisión"/>
    <n v="0.05"/>
    <s v="Desarrollador"/>
    <m/>
    <x v="1"/>
    <e v="#NAME?"/>
    <m/>
    <m/>
    <m/>
    <m/>
    <m/>
  </r>
  <r>
    <s v="C804325"/>
    <s v="Edwin Giovanny Cetina Pinzón."/>
    <x v="2"/>
    <x v="20"/>
    <s v="BBVA"/>
    <e v="#NAME?"/>
    <s v="SDATOOL-34782 $ Solicitud de cupo DIY"/>
    <n v="0.05"/>
    <s v="Desarrollador"/>
    <m/>
    <x v="1"/>
    <e v="#NAME?"/>
    <m/>
    <m/>
    <m/>
    <m/>
    <m/>
  </r>
  <r>
    <s v="C804325"/>
    <s v="Edwin Giovanny Cetina Pinzón."/>
    <x v="2"/>
    <x v="20"/>
    <s v="BBVA"/>
    <e v="#NAME?"/>
    <s v="NOSDA- BAU $ BAU (Mantenimiento y peq. evolutivos)"/>
    <n v="0.5"/>
    <s v="Desarrollador"/>
    <s v="CAP Retail"/>
    <x v="1"/>
    <e v="#NAME?"/>
    <m/>
    <m/>
    <m/>
    <m/>
    <m/>
  </r>
  <r>
    <s v="C809504"/>
    <s v="ELIEZER JOSUE CONEO VEGA"/>
    <x v="2"/>
    <x v="5"/>
    <s v="BBVA"/>
    <e v="#NAME?"/>
    <s v="SDATOOL-38447 $ GRM Col - Condonación y bajas automáticas en Medios de Pago"/>
    <n v="0.2"/>
    <s v="Desarrollador"/>
    <m/>
    <x v="1"/>
    <e v="#NAME?"/>
    <m/>
    <m/>
    <m/>
    <m/>
    <m/>
  </r>
  <r>
    <s v="C809504"/>
    <s v="ELIEZER JOSUE CONEO VEGA"/>
    <x v="2"/>
    <x v="5"/>
    <s v="BBVA"/>
    <e v="#NAME?"/>
    <s v="SDATOOL-33846 $ SREP Data Quality- BCBS239 - Colombia"/>
    <n v="0.6"/>
    <s v="Desarrollador"/>
    <m/>
    <x v="1"/>
    <e v="#NAME?"/>
    <m/>
    <m/>
    <m/>
    <m/>
    <m/>
  </r>
  <r>
    <s v="C809504"/>
    <s v="ELIEZER JOSUE CONEO VEGA"/>
    <x v="2"/>
    <x v="5"/>
    <s v="BBVA"/>
    <e v="#NAME?"/>
    <s v="NOSDA- BAU $ BAU (Mantenimiento y peq. evolutivos)"/>
    <n v="0.2"/>
    <s v="Desarrollador"/>
    <m/>
    <x v="1"/>
    <e v="#NAME?"/>
    <m/>
    <m/>
    <m/>
    <m/>
    <m/>
  </r>
  <r>
    <s v="O000962"/>
    <s v="ELIZABETH  TRIANA PRIETO"/>
    <x v="2"/>
    <x v="5"/>
    <s v="BBVA"/>
    <e v="#NAME?"/>
    <s v="SDATOOL-36556 $ Parthnerships - Tarjeta de crédito en punto de venta físico  aliados"/>
    <n v="1"/>
    <s v="Tech Manager/Líder"/>
    <m/>
    <x v="1"/>
    <e v="#NAME?"/>
    <m/>
    <m/>
    <m/>
    <m/>
    <m/>
  </r>
  <r>
    <s v="O001334"/>
    <s v="ELKIN FERNANDO RIVERA GOMEZ"/>
    <x v="0"/>
    <x v="0"/>
    <s v="BBVA"/>
    <e v="#NAME?"/>
    <s v="SDATOOL-36547 $ PLAN MAYOR -PLAN MENOR. Plan ascenso Open Market"/>
    <n v="0.5"/>
    <s v="Otros"/>
    <m/>
    <x v="1"/>
    <e v="#NAME?"/>
    <m/>
    <m/>
    <m/>
    <m/>
    <m/>
  </r>
  <r>
    <s v="O001334"/>
    <s v="ELKIN FERNANDO RIVERA GOMEZ"/>
    <x v="0"/>
    <x v="0"/>
    <s v="BBVA"/>
    <e v="#NAME?"/>
    <s v="SDATOOL-40438 $ CIRCULAR 032 del 2021 - REQUERIMIENTO FISCALIA GENERAL DE LA NACION"/>
    <n v="0.25"/>
    <s v="Otros"/>
    <m/>
    <x v="1"/>
    <e v="#NAME?"/>
    <m/>
    <m/>
    <m/>
    <m/>
    <m/>
  </r>
  <r>
    <s v="O001334"/>
    <s v="ELKIN FERNANDO RIVERA GOMEZ"/>
    <x v="0"/>
    <x v="0"/>
    <s v="BBVA"/>
    <e v="#NAME?"/>
    <s v="SDATOOL-42106 $ Emisión Certificados Tributarios a  proveedores en  Operaciones Sin Recurso (Proyecto Normativo)"/>
    <n v="0.25"/>
    <s v="Otros"/>
    <m/>
    <x v="1"/>
    <e v="#NAME?"/>
    <m/>
    <m/>
    <m/>
    <m/>
    <m/>
  </r>
  <r>
    <s v="C809600"/>
    <s v="EMMA YADIRA CASTIBLANCO"/>
    <x v="3"/>
    <x v="6"/>
    <s v="BBVA"/>
    <e v="#NAME?"/>
    <s v="SDATOOL-9053 $ GloMo Colombia"/>
    <n v="1"/>
    <s v="QA"/>
    <m/>
    <x v="1"/>
    <e v="#NAME?"/>
    <m/>
    <m/>
    <m/>
    <m/>
    <m/>
  </r>
  <r>
    <s v="CE71118"/>
    <s v="Erick Bermejo"/>
    <x v="3"/>
    <x v="6"/>
    <s v="Accenture"/>
    <e v="#NAME?"/>
    <s v="SDATOOL-9053 $ GloMo Colombia"/>
    <n v="1"/>
    <s v="QA"/>
    <m/>
    <x v="0"/>
    <e v="#NAME?"/>
    <m/>
    <m/>
    <m/>
    <m/>
    <m/>
  </r>
  <r>
    <s v="T007567"/>
    <s v="ERIKA LILIANA ESPINOSA DUQUE"/>
    <x v="2"/>
    <x v="3"/>
    <s v="Choucair"/>
    <e v="#NAME?"/>
    <s v="SDATOOL-34910 $ Libranza Digital"/>
    <n v="1"/>
    <s v="QA"/>
    <m/>
    <x v="0"/>
    <e v="#NAME?"/>
    <m/>
    <m/>
    <m/>
    <m/>
    <m/>
  </r>
  <r>
    <s v="C810846"/>
    <s v="ERIKA ZULEIMA MARTINEZ RODRIGUEZ"/>
    <x v="2"/>
    <x v="3"/>
    <s v="BBVA"/>
    <e v="#NAME?"/>
    <s v="SDATOOL-36560 $ Pricing de libranza - Plan Ascenso Open Market"/>
    <n v="1"/>
    <s v="Desarrollador"/>
    <m/>
    <x v="1"/>
    <e v="#NAME?"/>
    <m/>
    <m/>
    <m/>
    <m/>
    <m/>
  </r>
  <r>
    <s v="C343151"/>
    <s v="ESPERANZA DIAZ HERNANDEZ"/>
    <x v="2"/>
    <x v="2"/>
    <s v="BBVA"/>
    <e v="#NAME?"/>
    <s v="NOSDA- BAU $ BAU (Mantenimiento y peq. evolutivos)"/>
    <n v="1"/>
    <s v="Desarrollador"/>
    <m/>
    <x v="1"/>
    <e v="#NAME?"/>
    <m/>
    <m/>
    <m/>
    <m/>
    <m/>
  </r>
  <r>
    <s v="XEA0692"/>
    <s v="Esperanza Ortega"/>
    <x v="3"/>
    <x v="6"/>
    <s v="Accenture"/>
    <e v="#NAME?"/>
    <s v="SDATOOL-9053 $ GloMo Colombia"/>
    <n v="1"/>
    <s v="Desarrollador"/>
    <m/>
    <x v="0"/>
    <e v="#NAME?"/>
    <m/>
    <m/>
    <m/>
    <m/>
    <m/>
  </r>
  <r>
    <s v="C805749"/>
    <s v="Espitia Montilla William Ricardo"/>
    <x v="1"/>
    <x v="1"/>
    <s v="BBVA"/>
    <e v="#NAME?"/>
    <s v="SDATOOL-40710 $ GRM Col - Cronos - Plan Ascenso - Mejoras CAP Pymes Fase II"/>
    <n v="0.5"/>
    <s v="Desarrollador"/>
    <m/>
    <x v="1"/>
    <e v="#NAME?"/>
    <m/>
    <m/>
    <m/>
    <m/>
    <m/>
  </r>
  <r>
    <s v="C805749"/>
    <s v="Espitia Montilla William Ricardo"/>
    <x v="1"/>
    <x v="1"/>
    <s v="BBVA"/>
    <e v="#NAME?"/>
    <s v="SDATOOL-35656 $ Cupos y límites"/>
    <n v="0.4"/>
    <s v="Desarrollador"/>
    <m/>
    <x v="1"/>
    <e v="#NAME?"/>
    <m/>
    <m/>
    <m/>
    <m/>
    <m/>
  </r>
  <r>
    <s v="C805749"/>
    <s v="Espitia Montilla William Ricardo"/>
    <x v="1"/>
    <x v="1"/>
    <s v="BBVA"/>
    <e v="#NAME?"/>
    <s v="SDATOOL-38443 $ Arce Empresas Colombia"/>
    <n v="0.1"/>
    <s v="Desarrollador"/>
    <m/>
    <x v="1"/>
    <e v="#NAME?"/>
    <m/>
    <m/>
    <m/>
    <m/>
    <m/>
  </r>
  <r>
    <s v="O002373_x000a_"/>
    <s v="ESTEBAN ARIAS CARACAS "/>
    <x v="2"/>
    <x v="12"/>
    <s v="BBVA"/>
    <e v="#NAME?"/>
    <s v="SDATOOL-38757 $ Modelo administrativo de oficina - Omnicanalidad"/>
    <n v="1"/>
    <s v="Desarrollador"/>
    <m/>
    <x v="1"/>
    <e v="#NAME?"/>
    <m/>
    <m/>
    <m/>
    <m/>
    <m/>
  </r>
  <r>
    <s v="C803962"/>
    <s v="Esteban Linares"/>
    <x v="3"/>
    <x v="6"/>
    <s v="BBVA"/>
    <e v="#NAME?"/>
    <s v="SDATOOL-9053 $ GloMo Colombia"/>
    <n v="1"/>
    <s v="Desarrollador"/>
    <m/>
    <x v="1"/>
    <e v="#NAME?"/>
    <m/>
    <m/>
    <m/>
    <m/>
    <m/>
  </r>
  <r>
    <s v="C803039"/>
    <s v="EVELIN LORENA PEDRAZA ROMERO"/>
    <x v="3"/>
    <x v="13"/>
    <s v="BBVA"/>
    <e v="#NAME?"/>
    <s v="NOSDA- BAU $ BAU (Mantenimiento y peq. evolutivos)"/>
    <n v="0.3"/>
    <s v="Desarrollador"/>
    <m/>
    <x v="1"/>
    <e v="#NAME?"/>
    <m/>
    <m/>
    <m/>
    <m/>
    <m/>
  </r>
  <r>
    <s v="C803039"/>
    <s v="EVELIN LORENA PEDRAZA ROMERO"/>
    <x v="3"/>
    <x v="13"/>
    <s v="BBVA"/>
    <e v="#NAME?"/>
    <s v="SDATOOL-38729 $ Mi CB Liviano 2022"/>
    <n v="0.4"/>
    <s v="Desarrollador"/>
    <m/>
    <x v="1"/>
    <e v="#NAME?"/>
    <m/>
    <m/>
    <m/>
    <m/>
    <m/>
  </r>
  <r>
    <s v="C803039"/>
    <s v="EVELIN LORENA PEDRAZA ROMERO"/>
    <x v="3"/>
    <x v="13"/>
    <s v="BBVA"/>
    <e v="#NAME?"/>
    <s v="SDATOOL-41709 $ Fraccionamiento de transacciones en CBs"/>
    <n v="0.3"/>
    <s v="Desarrollador"/>
    <m/>
    <x v="1"/>
    <e v="#NAME?"/>
    <m/>
    <m/>
    <m/>
    <m/>
    <m/>
  </r>
  <r>
    <s v="T010289"/>
    <s v="Ever Alexander Bravo Vergara"/>
    <x v="1"/>
    <x v="21"/>
    <s v="Novatec"/>
    <e v="#NAME?"/>
    <s v="SDATOOL-28728 $ Contratación electrónica/digital de empleados y Carpeta Virtual 2.0"/>
    <n v="1"/>
    <s v="Desarrollador"/>
    <m/>
    <x v="0"/>
    <e v="#NAME?"/>
    <m/>
    <m/>
    <m/>
    <m/>
    <m/>
  </r>
  <r>
    <s v="C811389"/>
    <s v="FABER IVAN MAYORQUIN RESTREPO"/>
    <x v="2"/>
    <x v="2"/>
    <s v="BBVA"/>
    <e v="#NAME?"/>
    <s v="SDATOOL-39383 $ AJUSTES HIGIENICOS DE PORTAFOLIO + REPORTE CENTRALIZADO DE NÓMINA"/>
    <n v="0.6"/>
    <s v="Desarrollador"/>
    <m/>
    <x v="1"/>
    <e v="#NAME?"/>
    <m/>
    <m/>
    <m/>
    <m/>
    <m/>
  </r>
  <r>
    <s v="C811389"/>
    <s v="FABER IVAN MAYORQUIN RESTREPO"/>
    <x v="2"/>
    <x v="2"/>
    <s v="BBVA"/>
    <e v="#NAME?"/>
    <s v="SDATOOL-39457 $ Generación MT940 Fines de Semana y Festivos"/>
    <n v="0.2"/>
    <s v="Desarrollador"/>
    <m/>
    <x v="1"/>
    <e v="#NAME?"/>
    <m/>
    <m/>
    <m/>
    <m/>
    <m/>
  </r>
  <r>
    <s v="C811389"/>
    <s v="FABER IVAN MAYORQUIN RESTREPO"/>
    <x v="2"/>
    <x v="2"/>
    <s v="BBVA"/>
    <e v="#NAME?"/>
    <s v="SDATOOL-39246 $ Nuevo tipo de identificación para extranjeros"/>
    <n v="0.2"/>
    <s v="Desarrollador"/>
    <m/>
    <x v="1"/>
    <e v="#NAME?"/>
    <m/>
    <m/>
    <m/>
    <m/>
    <m/>
  </r>
  <r>
    <s v="C805527"/>
    <s v="FABIAN ALEJANDRO LOPEZ SUAREZ"/>
    <x v="3"/>
    <x v="16"/>
    <s v="BBVA"/>
    <e v="#NAME?"/>
    <s v="SDATOOL-37136 $ Conexión simulador vía API Vehículo digital"/>
    <n v="1"/>
    <s v="Desarrollador"/>
    <m/>
    <x v="1"/>
    <e v="#NAME?"/>
    <m/>
    <m/>
    <m/>
    <m/>
    <m/>
  </r>
  <r>
    <s v="T006280"/>
    <s v="Fabian andres valbuena aragon"/>
    <x v="1"/>
    <x v="1"/>
    <s v="Inetum"/>
    <e v="#NAME?"/>
    <s v="NOSDA- BAU $ BAU (Mantenimiento y peq. evolutivos)"/>
    <n v="1"/>
    <s v="Desarrollador"/>
    <m/>
    <x v="0"/>
    <e v="#NAME?"/>
    <m/>
    <m/>
    <m/>
    <m/>
    <m/>
  </r>
  <r>
    <s v="CE70580"/>
    <s v="Fabian Arturo Ramirez Broche"/>
    <x v="3"/>
    <x v="24"/>
    <s v="Inetum"/>
    <e v="#NAME?"/>
    <s v="SDATOOL-37750 $ Robotics 2022"/>
    <n v="0.5"/>
    <s v="Desarrollador"/>
    <m/>
    <x v="0"/>
    <e v="#NAME?"/>
    <m/>
    <m/>
    <m/>
    <m/>
    <m/>
  </r>
  <r>
    <s v="CE70580"/>
    <s v="Fabian Arturo Ramirez Broche"/>
    <x v="3"/>
    <x v="24"/>
    <s v="Inetum"/>
    <e v="#NAME?"/>
    <s v="NOSDA- BAU $ BAU (Mantenimiento y peq. evolutivos)"/>
    <n v="0.5"/>
    <s v="Desarrollador"/>
    <m/>
    <x v="0"/>
    <e v="#NAME?"/>
    <m/>
    <m/>
    <m/>
    <m/>
    <m/>
  </r>
  <r>
    <s v="C805991"/>
    <s v="FABIANI LOZANO"/>
    <x v="2"/>
    <x v="3"/>
    <s v="BBVA"/>
    <e v="#NAME?"/>
    <s v="SDATOOL-36548 $ Optimización consumo web - Plan ascenso Open Market"/>
    <n v="0.2"/>
    <s v="Desarrollador"/>
    <m/>
    <x v="1"/>
    <e v="#NAME?"/>
    <m/>
    <m/>
    <m/>
    <m/>
    <m/>
  </r>
  <r>
    <s v="C805991"/>
    <s v="FABIANI LOZANO"/>
    <x v="2"/>
    <x v="3"/>
    <s v="BBVA"/>
    <e v="#NAME?"/>
    <s v="SDATOOL-39272 $ GRM-Col-Cambio servicio APL (Aportes en línea)"/>
    <n v="0.3"/>
    <s v="Desarrollador"/>
    <m/>
    <x v="1"/>
    <e v="#NAME?"/>
    <m/>
    <m/>
    <m/>
    <m/>
    <m/>
  </r>
  <r>
    <s v="C805991"/>
    <s v="FABIANI LOZANO"/>
    <x v="2"/>
    <x v="3"/>
    <s v="BBVA"/>
    <e v="#NAME?"/>
    <s v="SDATOOL-36548 $ Optimización consumo web - Plan ascenso Open Market"/>
    <n v="0.3"/>
    <s v="Desarrollador"/>
    <m/>
    <x v="1"/>
    <e v="#NAME?"/>
    <m/>
    <m/>
    <m/>
    <m/>
    <m/>
  </r>
  <r>
    <s v="C805991"/>
    <s v="FABIANI LOZANO"/>
    <x v="2"/>
    <x v="3"/>
    <s v="BBVA"/>
    <e v="#NAME?"/>
    <s v="NOSDA- BAU $ BAU (Mantenimiento y peq. evolutivos)"/>
    <n v="0.2"/>
    <s v="Desarrollador"/>
    <s v="Se esta revisando la mejora del Validate Products"/>
    <x v="1"/>
    <e v="#NAME?"/>
    <m/>
    <m/>
    <m/>
    <m/>
    <m/>
  </r>
  <r>
    <s v="C809713"/>
    <s v="FABRICIO AUGUSTO LOZANO TORRES"/>
    <x v="2"/>
    <x v="3"/>
    <s v="BBVA"/>
    <e v="#NAME?"/>
    <s v="SDATOOL-35697 $ GRM - Garantías Hipotecarias - Ingesta de Datos"/>
    <n v="1"/>
    <s v="Desarrollador"/>
    <m/>
    <x v="1"/>
    <e v="#NAME?"/>
    <m/>
    <m/>
    <m/>
    <m/>
    <m/>
  </r>
  <r>
    <s v="O002418"/>
    <s v="Faiber Orlando Camelo Romero"/>
    <x v="2"/>
    <x v="20"/>
    <s v="BBVA"/>
    <e v="#NAME?"/>
    <s v="SDATOOL-36509 $ Centralización de la formalización de desembolsos Pymes"/>
    <n v="1"/>
    <s v="Desarrollador"/>
    <m/>
    <x v="1"/>
    <e v="#NAME?"/>
    <m/>
    <m/>
    <m/>
    <m/>
    <m/>
  </r>
  <r>
    <s v="T004259"/>
    <s v="Faiber Rueda"/>
    <x v="3"/>
    <x v="6"/>
    <s v="Accenture"/>
    <e v="#NAME?"/>
    <s v="SDATOOL-9053 $ GloMo Colombia"/>
    <n v="1"/>
    <s v="Desarrollador"/>
    <m/>
    <x v="0"/>
    <e v="#NAME?"/>
    <m/>
    <m/>
    <m/>
    <m/>
    <m/>
  </r>
  <r>
    <s v="O000106"/>
    <s v="FELIPE ALEJANDO PEDRAZA ROBLES"/>
    <x v="2"/>
    <x v="3"/>
    <s v="BBVA"/>
    <e v="#NAME?"/>
    <s v="SDATOOL-40555 $ ADELANTO DE VENTA EN GEMA"/>
    <n v="0.5"/>
    <s v="Desarrollador"/>
    <m/>
    <x v="1"/>
    <e v="#NAME?"/>
    <m/>
    <m/>
    <m/>
    <m/>
    <m/>
  </r>
  <r>
    <s v="O000106"/>
    <s v="FELIPE ALEJANDO PEDRAZA ROBLES"/>
    <x v="2"/>
    <x v="3"/>
    <s v="BBVA"/>
    <e v="#NAME?"/>
    <s v="SDATOOL-39786 $ Sostenibilidad Colombia Fase 2"/>
    <n v="0.5"/>
    <s v="Desarrollador"/>
    <m/>
    <x v="1"/>
    <e v="#NAME?"/>
    <m/>
    <m/>
    <m/>
    <m/>
    <m/>
  </r>
  <r>
    <s v="O000108"/>
    <s v="FELIPE ALONSO SOTO CABALLERO"/>
    <x v="4"/>
    <x v="14"/>
    <s v="BBVA"/>
    <e v="#NAME?"/>
    <s v="SDATOOL-35621 $ DOCUMENTO SOPORTE FASE II - DIALOGO"/>
    <n v="0.5"/>
    <s v="Desarrollador"/>
    <m/>
    <x v="1"/>
    <e v="#NAME?"/>
    <m/>
    <m/>
    <m/>
    <m/>
    <m/>
  </r>
  <r>
    <s v="O000108"/>
    <s v="FELIPE ALONSO SOTO CABALLERO"/>
    <x v="4"/>
    <x v="14"/>
    <s v="BBVA"/>
    <e v="#NAME?"/>
    <s v="SDATOOL-38642 $ CUPON INTERMEDIO"/>
    <n v="0.4"/>
    <s v="Desarrollador"/>
    <m/>
    <x v="1"/>
    <e v="#NAME?"/>
    <m/>
    <m/>
    <m/>
    <m/>
    <m/>
  </r>
  <r>
    <s v="O000108"/>
    <s v="FELIPE ALONSO SOTO CABALLERO"/>
    <x v="4"/>
    <x v="14"/>
    <s v="BBVA"/>
    <e v="#NAME?"/>
    <s v="SDATOOL-32520 $ CDD Based Reporting - Colombia"/>
    <n v="0.1"/>
    <s v="Desarrollador"/>
    <m/>
    <x v="1"/>
    <e v="#NAME?"/>
    <m/>
    <m/>
    <m/>
    <m/>
    <m/>
  </r>
  <r>
    <s v="O001975"/>
    <s v="FELIPE ANDRES QUINTERO HIGUITA"/>
    <x v="2"/>
    <x v="11"/>
    <s v="BBVA"/>
    <e v="#NAME?"/>
    <s v="SDATOOL-41171 $ CBS Core Banking Strategy Convivencia Clients and Contracts"/>
    <n v="0.9"/>
    <s v="Desarrollador"/>
    <m/>
    <x v="1"/>
    <e v="#NAME?"/>
    <m/>
    <m/>
    <m/>
    <m/>
    <m/>
  </r>
  <r>
    <s v="O001975"/>
    <s v="FELIPE ANDRES QUINTERO HIGUITA"/>
    <x v="2"/>
    <x v="11"/>
    <s v="BBVA"/>
    <e v="#NAME?"/>
    <s v="NOSDA- BAU $ BAU (Mantenimiento y peq. evolutivos)"/>
    <n v="0.1"/>
    <s v="Desarrollador"/>
    <m/>
    <x v="1"/>
    <e v="#NAME?"/>
    <m/>
    <m/>
    <m/>
    <m/>
    <m/>
  </r>
  <r>
    <s v="C805720"/>
    <s v="Fernando Bolivar"/>
    <x v="3"/>
    <x v="6"/>
    <s v="BBVA"/>
    <e v="#NAME?"/>
    <s v="NOSDA- BAU $ BAU (Mantenimiento y peq. evolutivos)"/>
    <n v="1"/>
    <s v="Desarrollador"/>
    <m/>
    <x v="1"/>
    <e v="#NAME?"/>
    <m/>
    <m/>
    <m/>
    <m/>
    <m/>
  </r>
  <r>
    <s v="O000111"/>
    <s v="FERNANDO TIBADUIZA GUTIERREZ"/>
    <x v="0"/>
    <x v="22"/>
    <s v="BBVA"/>
    <e v="#NAME?"/>
    <s v="SDATOOL-35327 $ Impuestos 2021"/>
    <n v="0.75"/>
    <s v="Desarrollador"/>
    <m/>
    <x v="1"/>
    <e v="#NAME?"/>
    <m/>
    <m/>
    <m/>
    <m/>
    <m/>
  </r>
  <r>
    <s v="O000111"/>
    <s v="FERNANDO TIBADUIZA GUTIERREZ"/>
    <x v="0"/>
    <x v="22"/>
    <s v="BBVA"/>
    <e v="#NAME?"/>
    <s v="NOSDA- BAU $ BAU (Mantenimiento y peq. evolutivos)"/>
    <n v="0.25"/>
    <s v="Desarrollador"/>
    <m/>
    <x v="1"/>
    <e v="#NAME?"/>
    <m/>
    <m/>
    <m/>
    <m/>
    <m/>
  </r>
  <r>
    <s v="O001038"/>
    <s v="FLOR ALICIA GALAN"/>
    <x v="2"/>
    <x v="3"/>
    <s v="BBVA"/>
    <e v="#NAME?"/>
    <s v="NOSDA- BAU $ BAU (Mantenimiento y peq. evolutivos)"/>
    <n v="1"/>
    <s v="Desarrollador"/>
    <m/>
    <x v="1"/>
    <e v="#NAME?"/>
    <m/>
    <m/>
    <m/>
    <m/>
    <m/>
  </r>
  <r>
    <s v="C367168"/>
    <s v="FLOR MIREYA GONZALEZ VASQUEZ"/>
    <x v="2"/>
    <x v="3"/>
    <s v="BBVA"/>
    <e v="#NAME?"/>
    <s v="SDATOOL-33846 $ SREP Data Quality- BCBS239 - Colombia"/>
    <n v="0.3"/>
    <s v="Tech Manager/Líder"/>
    <m/>
    <x v="1"/>
    <e v="#NAME?"/>
    <m/>
    <m/>
    <m/>
    <m/>
    <m/>
  </r>
  <r>
    <s v="C367168"/>
    <s v="FLOR MIREYA GONZALEZ VASQUEZ"/>
    <x v="2"/>
    <x v="3"/>
    <s v="BBVA"/>
    <e v="#NAME?"/>
    <s v="SDATOOL-37483 $ Aplicativos Finanzas - 2022"/>
    <n v="0.3"/>
    <s v="Tech Manager/Líder"/>
    <m/>
    <x v="1"/>
    <e v="#NAME?"/>
    <m/>
    <m/>
    <m/>
    <m/>
    <m/>
  </r>
  <r>
    <s v="C367168"/>
    <s v="FLOR MIREYA GONZALEZ VASQUEZ"/>
    <x v="2"/>
    <x v="3"/>
    <s v="BBVA"/>
    <e v="#NAME?"/>
    <s v="SDATOOL-35697 $ GRM - Garantías Hipotecarias - Ingesta de Datos"/>
    <n v="0.4"/>
    <s v="Tech Manager/Líder"/>
    <m/>
    <x v="1"/>
    <e v="#NAME?"/>
    <m/>
    <m/>
    <m/>
    <m/>
    <m/>
  </r>
  <r>
    <s v="C805314"/>
    <s v="Fonseca Ochoa Nelson Leonel"/>
    <x v="1"/>
    <x v="1"/>
    <s v="BBVA"/>
    <e v="#NAME?"/>
    <s v="SDATOOL-29029 $ EBA Guidelines (NDoD/PD/LGD) - Colombia"/>
    <n v="0.7"/>
    <s v="Desarrollador"/>
    <m/>
    <x v="1"/>
    <e v="#NAME?"/>
    <m/>
    <m/>
    <m/>
    <m/>
    <m/>
  </r>
  <r>
    <s v="C805314"/>
    <s v="Fonseca Ochoa Nelson Leonel"/>
    <x v="1"/>
    <x v="1"/>
    <s v="BBVA"/>
    <e v="#NAME?"/>
    <s v="SDATOOL-33862 $ NDoD Accounting"/>
    <n v="0.3"/>
    <s v="Desarrollador"/>
    <m/>
    <x v="1"/>
    <e v="#NAME?"/>
    <m/>
    <m/>
    <m/>
    <m/>
    <m/>
  </r>
  <r>
    <s v="CE66764"/>
    <s v="FORERO RUIZ JOSE ANTONIO"/>
    <x v="0"/>
    <x v="8"/>
    <s v="GGI / CMC"/>
    <e v="#NAME?"/>
    <s v="SDATOOL-40555 $ ADELANTO DE VENTA EN GEMA"/>
    <n v="1"/>
    <s v="Desarrollador"/>
    <m/>
    <x v="0"/>
    <e v="#NAME?"/>
    <m/>
    <m/>
    <m/>
    <m/>
    <m/>
  </r>
  <r>
    <s v="CE66884"/>
    <s v="FRANK HERRAN GARZON"/>
    <x v="2"/>
    <x v="5"/>
    <s v="Meraki"/>
    <e v="#NAME?"/>
    <s v="SDATOOL-36556 $ Parthnerships - Tarjeta de crédito en punto de venta físico  aliados"/>
    <n v="1"/>
    <s v="Desarrollador"/>
    <m/>
    <x v="0"/>
    <e v="#NAME?"/>
    <m/>
    <m/>
    <m/>
    <m/>
    <m/>
  </r>
  <r>
    <s v="CE66884"/>
    <s v="Frank Nicolas Herran"/>
    <x v="3"/>
    <x v="4"/>
    <s v="Meraki"/>
    <e v="#NAME?"/>
    <s v="SDATOOL-40690 $ Plan CRM: Mejoras AUG (Banca Comercial y CSF) Equipo B"/>
    <n v="0.5"/>
    <s v="Desarrollador"/>
    <m/>
    <x v="0"/>
    <e v="#NAME?"/>
    <m/>
    <m/>
    <m/>
    <m/>
    <m/>
  </r>
  <r>
    <s v="CE50152"/>
    <s v="FRANKLIN MEDINA"/>
    <x v="2"/>
    <x v="3"/>
    <s v="Inetum"/>
    <e v="#NAME?"/>
    <s v="NOSDA- BAU $ BAU (Mantenimiento y peq. evolutivos)"/>
    <n v="1"/>
    <s v="QA"/>
    <m/>
    <x v="0"/>
    <e v="#NAME?"/>
    <m/>
    <m/>
    <m/>
    <m/>
    <m/>
  </r>
  <r>
    <s v="C811279"/>
    <s v="Fredy Mauricio Cely Hernandez"/>
    <x v="1"/>
    <x v="1"/>
    <s v="BBVA"/>
    <e v="#NAME?"/>
    <s v="SDATOOL-39272 $ GRM-Col-Cambio servicio APL (Aportes en línea)"/>
    <n v="0.3"/>
    <s v="Tech Manager/Líder"/>
    <m/>
    <x v="1"/>
    <e v="#NAME?"/>
    <m/>
    <m/>
    <m/>
    <m/>
    <m/>
  </r>
  <r>
    <s v="C811279"/>
    <s v="Fredy Mauricio Cely Hernandez"/>
    <x v="1"/>
    <x v="1"/>
    <s v="BBVA"/>
    <e v="#NAME?"/>
    <s v="SDATOOL-33862 $ NDoD Accounting"/>
    <n v="0.15"/>
    <s v="Tech Manager/Líder"/>
    <m/>
    <x v="1"/>
    <e v="#NAME?"/>
    <m/>
    <m/>
    <m/>
    <m/>
    <m/>
  </r>
  <r>
    <s v="C811279"/>
    <s v="Fredy Mauricio Cely Hernandez"/>
    <x v="1"/>
    <x v="1"/>
    <s v="BBVA"/>
    <e v="#NAME?"/>
    <s v="SDATOOL-33862 $ NDoD Accounting"/>
    <n v="0.15"/>
    <s v="Tech Manager/Líder"/>
    <m/>
    <x v="1"/>
    <e v="#NAME?"/>
    <m/>
    <m/>
    <m/>
    <m/>
    <m/>
  </r>
  <r>
    <s v="C811279"/>
    <s v="Fredy Mauricio Cely Hernandez"/>
    <x v="1"/>
    <x v="1"/>
    <s v="BBVA"/>
    <e v="#NAME?"/>
    <s v="SDATOOL-41457 $ NGA - Colombia. EWS (ARCE)"/>
    <n v="0.2"/>
    <s v="Tech Manager/Líder"/>
    <m/>
    <x v="1"/>
    <e v="#NAME?"/>
    <m/>
    <m/>
    <m/>
    <m/>
    <m/>
  </r>
  <r>
    <s v="C811279"/>
    <s v="Fredy Mauricio Cely Hernandez"/>
    <x v="1"/>
    <x v="1"/>
    <s v="BBVA"/>
    <e v="#NAME?"/>
    <s v="SDATOOL-41452 $ NGA - Colombia. Proactivo Cliente (CRONOS)"/>
    <n v="0.2"/>
    <s v="Tech Manager/Líder"/>
    <m/>
    <x v="1"/>
    <e v="#NAME?"/>
    <m/>
    <m/>
    <m/>
    <m/>
    <m/>
  </r>
  <r>
    <s v="C809505"/>
    <s v="Fuentes Rojas Jose David"/>
    <x v="1"/>
    <x v="1"/>
    <s v="BBVA"/>
    <e v="#NAME?"/>
    <s v="SDATOOL-40710 $ GRM Col - Cronos - Plan Ascenso - Mejoras CAP Pymes Fase II"/>
    <n v="0.3"/>
    <s v="Desarrollador"/>
    <m/>
    <x v="1"/>
    <e v="#NAME?"/>
    <m/>
    <m/>
    <m/>
    <m/>
    <m/>
  </r>
  <r>
    <s v="C809505"/>
    <s v="Fuentes Rojas Jose David"/>
    <x v="1"/>
    <x v="1"/>
    <s v="BBVA"/>
    <e v="#NAME?"/>
    <s v="SDATOOL-38443 $ Arce Empresas Colombia"/>
    <n v="0.3"/>
    <s v="Desarrollador"/>
    <m/>
    <x v="1"/>
    <e v="#NAME?"/>
    <m/>
    <m/>
    <m/>
    <m/>
    <m/>
  </r>
  <r>
    <s v="C809505"/>
    <s v="Fuentes Rojas Jose David"/>
    <x v="1"/>
    <x v="1"/>
    <s v="BBVA"/>
    <e v="#NAME?"/>
    <s v="SDATOOL-41153 $ Cronos - Plan Ascenso - Cap Pymes Transformación circuito admisión"/>
    <n v="0.05"/>
    <s v="Desarrollador"/>
    <m/>
    <x v="1"/>
    <e v="#NAME?"/>
    <m/>
    <m/>
    <m/>
    <m/>
    <m/>
  </r>
  <r>
    <s v="C809505"/>
    <s v="Fuentes Rojas Jose David"/>
    <x v="1"/>
    <x v="1"/>
    <s v="BBVA"/>
    <e v="#NAME?"/>
    <s v="SDATOOL-39830 $ GRM Col - Plan Ascenso - Mejoras CAP Pymes"/>
    <n v="0.35"/>
    <s v="Desarrollador"/>
    <m/>
    <x v="1"/>
    <e v="#NAME?"/>
    <m/>
    <m/>
    <m/>
    <m/>
    <m/>
  </r>
  <r>
    <s v="C804101"/>
    <s v="FUQUENE CONTRERAS ADRIANA"/>
    <x v="0"/>
    <x v="8"/>
    <s v="BBVA"/>
    <e v="#NAME?"/>
    <s v="SDATOOL-39358 $ Crédito Virtual"/>
    <n v="0.2"/>
    <s v="Tech Manager/Líder"/>
    <m/>
    <x v="1"/>
    <e v="#NAME?"/>
    <m/>
    <m/>
    <m/>
    <m/>
    <m/>
  </r>
  <r>
    <s v="C804101"/>
    <s v="FUQUENE CONTRERAS ADRIANA"/>
    <x v="0"/>
    <x v="8"/>
    <s v="BBVA"/>
    <e v="#NAME?"/>
    <s v="SDATOOL-40482 $ Incluir tasa ponderada en Adquirencia Onboarding digital - Netcash"/>
    <n v="0.1"/>
    <s v="Tech Manager/Líder"/>
    <m/>
    <x v="1"/>
    <e v="#NAME?"/>
    <m/>
    <m/>
    <m/>
    <m/>
    <m/>
  </r>
  <r>
    <s v="C804101"/>
    <s v="FUQUENE CONTRERAS ADRIANA"/>
    <x v="0"/>
    <x v="8"/>
    <s v="BBVA"/>
    <e v="#NAME?"/>
    <s v="SDATOOL-37169 $ EGS: Salto país y softoken"/>
    <n v="0.2"/>
    <s v="Tech Manager/Líder"/>
    <m/>
    <x v="1"/>
    <e v="#NAME?"/>
    <m/>
    <m/>
    <m/>
    <m/>
    <m/>
  </r>
  <r>
    <s v="C804101"/>
    <s v="FUQUENE CONTRERAS ADRIANA"/>
    <x v="0"/>
    <x v="8"/>
    <s v="BBVA"/>
    <e v="#NAME?"/>
    <s v="SDATOOL-40555 $ ADELANTO DE VENTA EN GEMA"/>
    <n v="0.5"/>
    <s v="Tech Manager/Líder"/>
    <m/>
    <x v="1"/>
    <e v="#NAME?"/>
    <m/>
    <m/>
    <m/>
    <m/>
    <m/>
  </r>
  <r>
    <s v="C342316"/>
    <s v="GARCIA COBO ANA MILENA"/>
    <x v="1"/>
    <x v="1"/>
    <s v="BBVA"/>
    <e v="#NAME?"/>
    <s v="SDATOOL-39463 $ GRM Col - Actualización Versión Power Curve."/>
    <n v="0.7"/>
    <s v="Desarrollador"/>
    <m/>
    <x v="1"/>
    <e v="#NAME?"/>
    <m/>
    <m/>
    <m/>
    <m/>
    <m/>
  </r>
  <r>
    <s v="C342316"/>
    <s v="Garcia Cobo Ana Milena"/>
    <x v="1"/>
    <x v="1"/>
    <s v="BBVA"/>
    <e v="#NAME?"/>
    <s v="SDATOOL-40545 $ GRM Col - Mejoras Evolutivas de Aplicativos y Herramientas de Riesgos 2023"/>
    <n v="0.3"/>
    <s v="Desarrollador"/>
    <m/>
    <x v="1"/>
    <e v="#NAME?"/>
    <m/>
    <m/>
    <m/>
    <m/>
    <m/>
  </r>
  <r>
    <s v="C810885"/>
    <s v="GARCIA HERRERA MONICA LILIANA"/>
    <x v="0"/>
    <x v="8"/>
    <s v="BBVA"/>
    <e v="#NAME?"/>
    <s v="SDATOOL-37425 $ Recaudo DIAN Tarjetas de Crédito Propio Banco través del Botón de pagos PSE para los canales Banca Personas y Banca de Empresas"/>
    <n v="0.2"/>
    <s v="Tech Manager/Líder"/>
    <m/>
    <x v="1"/>
    <e v="#NAME?"/>
    <m/>
    <m/>
    <m/>
    <m/>
    <m/>
  </r>
  <r>
    <s v="C810885"/>
    <s v="GARCIA HERRERA MONICA LILIANA"/>
    <x v="0"/>
    <x v="8"/>
    <s v="BBVA"/>
    <e v="#NAME?"/>
    <s v="SDATOOL-37130 $ Pago y domiciliación de recaudo"/>
    <n v="0.2"/>
    <s v="Tech Manager/Líder"/>
    <m/>
    <x v="1"/>
    <e v="#NAME?"/>
    <m/>
    <m/>
    <m/>
    <m/>
    <m/>
  </r>
  <r>
    <s v="C810885"/>
    <s v="GARCIA HERRERA MONICA LILIANA"/>
    <x v="0"/>
    <x v="8"/>
    <s v="BBVA"/>
    <e v="#NAME?"/>
    <s v="SDATOOL-40555 $ ADELANTO DE VENTA EN GEMA"/>
    <n v="0.2"/>
    <s v="Tech Manager/Líder"/>
    <m/>
    <x v="1"/>
    <e v="#NAME?"/>
    <m/>
    <m/>
    <m/>
    <m/>
    <m/>
  </r>
  <r>
    <s v="C810885"/>
    <s v="GARCIA HERRERA MONICA LILIANA"/>
    <x v="0"/>
    <x v="8"/>
    <s v="BBVA"/>
    <e v="#NAME?"/>
    <s v="SDATOOL-40482 $ Incluir tasa ponderada en Adquirencia Onboarding digital - Netcash"/>
    <n v="0.2"/>
    <s v="Tech Manager/Líder"/>
    <m/>
    <x v="1"/>
    <e v="#NAME?"/>
    <m/>
    <m/>
    <m/>
    <m/>
    <m/>
  </r>
  <r>
    <s v="C810885"/>
    <s v="GARCIA HERRERA MONICA LILIANA"/>
    <x v="0"/>
    <x v="8"/>
    <s v="BBVA"/>
    <e v="#NAME?"/>
    <s v="SDATOOL-34782 $ Solicitud de cupo DIY"/>
    <n v="0.2"/>
    <s v="Tech Manager/Líder"/>
    <m/>
    <x v="1"/>
    <e v="#NAME?"/>
    <m/>
    <m/>
    <m/>
    <m/>
    <m/>
  </r>
  <r>
    <s v="CE52790"/>
    <s v="German Zarria Mendez"/>
    <x v="0"/>
    <x v="27"/>
    <s v="Inetum"/>
    <e v="#NAME?"/>
    <s v="NOSDA- BAU $ BAU (Mantenimiento y peq. evolutivos)"/>
    <n v="1"/>
    <s v="Desarrollador"/>
    <m/>
    <x v="0"/>
    <e v="#NAME?"/>
    <m/>
    <m/>
    <m/>
    <m/>
    <m/>
  </r>
  <r>
    <s v="C808193"/>
    <s v="GILBERTO SANCHEZ RODRIGUEZ"/>
    <x v="4"/>
    <x v="9"/>
    <s v="BBVA"/>
    <e v="#NAME?"/>
    <s v="SDATOOL-40438 $ CIRCULAR 032 del 2021 - REQUERIMIENTO FISCALIA GENERAL DE LA NACION"/>
    <n v="0.75"/>
    <s v="Desarrollador"/>
    <m/>
    <x v="1"/>
    <e v="#NAME?"/>
    <m/>
    <m/>
    <m/>
    <m/>
    <m/>
  </r>
  <r>
    <s v="C808193"/>
    <s v="GILBERTO SANCHEZ RODRIGUEZ"/>
    <x v="4"/>
    <x v="9"/>
    <s v="BBVA"/>
    <e v="#NAME?"/>
    <s v="SDATOOL-37114 $ Actualización Botón pagos PSE versión 2.0"/>
    <n v="0.25"/>
    <s v="Desarrollador"/>
    <m/>
    <x v="1"/>
    <e v="#NAME?"/>
    <m/>
    <m/>
    <m/>
    <m/>
    <m/>
  </r>
  <r>
    <s v="O001828"/>
    <s v="GILDARDO AGUIRRE RIOS"/>
    <x v="1"/>
    <x v="1"/>
    <s v="BBVA"/>
    <e v="#NAME?"/>
    <s v="NOSDA- BAU $ BAU (Mantenimiento y peq. evolutivos)"/>
    <n v="1"/>
    <s v="Desarrollador"/>
    <m/>
    <x v="1"/>
    <e v="#NAME?"/>
    <m/>
    <m/>
    <m/>
    <m/>
    <m/>
  </r>
  <r>
    <s v="CE57567"/>
    <s v="Giovanni Esguerra Velandia"/>
    <x v="0"/>
    <x v="27"/>
    <s v="Inetum"/>
    <e v="#NAME?"/>
    <s v="NOSDA- BAU $ BAU (Mantenimiento y peq. evolutivos)"/>
    <n v="1"/>
    <s v="Desarrollador"/>
    <m/>
    <x v="0"/>
    <e v="#NAME?"/>
    <m/>
    <m/>
    <m/>
    <m/>
    <m/>
  </r>
  <r>
    <s v="CE64878"/>
    <s v="Giovanny  Francisco Alayón"/>
    <x v="4"/>
    <x v="14"/>
    <s v="Tecnoevolución"/>
    <e v="#NAME?"/>
    <s v="SDATOOL-38642 $ CUPON INTERMEDIO"/>
    <n v="0.1"/>
    <s v="Desarrollador"/>
    <m/>
    <x v="0"/>
    <e v="#NAME?"/>
    <m/>
    <m/>
    <m/>
    <m/>
    <m/>
  </r>
  <r>
    <m/>
    <s v="GIOVANNY ALEXANDER PEÑA GUTIÉRREZ"/>
    <x v="0"/>
    <x v="15"/>
    <s v="Novatec"/>
    <e v="#NAME?"/>
    <s v="SDATOOL-39354 $ My business Open Pay - Plan Ascenso Mercurio"/>
    <n v="1"/>
    <s v="Desarrollador"/>
    <m/>
    <x v="0"/>
    <e v="#NAME?"/>
    <m/>
    <m/>
    <m/>
    <m/>
    <m/>
  </r>
  <r>
    <s v="CE57088"/>
    <s v="GLENDA RAQUEL LOPEZ GARCIA"/>
    <x v="2"/>
    <x v="2"/>
    <s v="SII"/>
    <e v="#NAME?"/>
    <s v="SDATOOL-40771 $ Resolución Cuentas Maestras y Cuentas Maestras para Pagos Electrónicos (PSE): Anexo Técnico - Nuevo reporte de información"/>
    <n v="0.4"/>
    <s v="Desarrollador"/>
    <s v="Líder Fábrica"/>
    <x v="0"/>
    <e v="#NAME?"/>
    <m/>
    <m/>
    <m/>
    <m/>
    <m/>
  </r>
  <r>
    <s v="C809546"/>
    <s v="GOMEZ CUADRADO JENNY PAOLA"/>
    <x v="1"/>
    <x v="10"/>
    <s v="BBVA"/>
    <e v="#NAME?"/>
    <s v="SDATOOL-40599 $ Proyecto - Circular 025"/>
    <n v="0.15"/>
    <s v="Desarrollador"/>
    <m/>
    <x v="1"/>
    <e v="#NAME?"/>
    <m/>
    <m/>
    <m/>
    <m/>
    <m/>
  </r>
  <r>
    <s v="C809546"/>
    <s v="GOMEZ CUADRADO JENNY PAOLA"/>
    <x v="1"/>
    <x v="10"/>
    <s v="BBVA"/>
    <e v="#NAME?"/>
    <s v="SDATOOL-36918 $ Conciliación Automática del Aplicativo Módulo de Notas Contables  - CKR1"/>
    <n v="0.1"/>
    <s v="Desarrollador"/>
    <m/>
    <x v="1"/>
    <e v="#NAME?"/>
    <m/>
    <m/>
    <m/>
    <m/>
    <m/>
  </r>
  <r>
    <s v="C809546"/>
    <s v="GOMEZ CUADRADO JENNY PAOLA"/>
    <x v="1"/>
    <x v="10"/>
    <s v="BBVA"/>
    <e v="#NAME?"/>
    <s v="SDATOOL-36929 $ Ciclo 1 - Resolución 098 de 2020 DIAN - Reportes de Información Exogena"/>
    <n v="0.1"/>
    <s v="Desarrollador"/>
    <m/>
    <x v="1"/>
    <e v="#NAME?"/>
    <m/>
    <m/>
    <m/>
    <m/>
    <m/>
  </r>
  <r>
    <s v="C809546"/>
    <s v="GOMEZ CUADRADO JENNY PAOLA"/>
    <x v="1"/>
    <x v="10"/>
    <s v="BBVA"/>
    <e v="#NAME?"/>
    <s v="SDATOOL-39823 $ REPORTERIA PROVISIONES _ S1, S2, S3, SA y CxP en Divisa"/>
    <n v="0.05"/>
    <s v="Desarrollador"/>
    <m/>
    <x v="1"/>
    <e v="#NAME?"/>
    <m/>
    <m/>
    <m/>
    <m/>
    <m/>
  </r>
  <r>
    <s v="C809546"/>
    <s v="GOMEZ CUADRADO JENNY PAOLA"/>
    <x v="1"/>
    <x v="10"/>
    <s v="BBVA"/>
    <e v="#NAME?"/>
    <s v="SDATOOL-40191 $ Ajuste apuntes manuales CC0112 – GPS"/>
    <n v="0.05"/>
    <s v="Desarrollador"/>
    <m/>
    <x v="1"/>
    <e v="#NAME?"/>
    <m/>
    <m/>
    <m/>
    <m/>
    <m/>
  </r>
  <r>
    <s v="C809546"/>
    <s v="GOMEZ CUADRADO JENNY PAOLA"/>
    <x v="1"/>
    <x v="10"/>
    <s v="BBVA"/>
    <e v="#NAME?"/>
    <s v="SDATOOL-40225 $ Resolución 0124 Dian - 2021 - Ajustes para Reporte de Información Exógena año gravable 2022 - Ciclo 1"/>
    <n v="0.25"/>
    <s v="Desarrollador"/>
    <m/>
    <x v="1"/>
    <e v="#NAME?"/>
    <m/>
    <m/>
    <m/>
    <m/>
    <m/>
  </r>
  <r>
    <s v="C809546"/>
    <s v="GOMEZ CUADRADO JENNY PAOLA"/>
    <x v="1"/>
    <x v="10"/>
    <s v="BBVA"/>
    <e v="#NAME?"/>
    <s v="SDATOOL-40736 $ Curvas de Fondeo por Producto (ALM)"/>
    <n v="0.05"/>
    <s v="Desarrollador"/>
    <m/>
    <x v="1"/>
    <e v="#NAME?"/>
    <m/>
    <m/>
    <m/>
    <m/>
    <m/>
  </r>
  <r>
    <s v="C809546"/>
    <s v="GOMEZ CUADRADO JENNY PAOLA"/>
    <x v="1"/>
    <x v="10"/>
    <s v="BBVA"/>
    <e v="#NAME?"/>
    <s v="SDATOOL-37681 $ Ciclo 2 - Resolución 0098 de Octubre 28 de 2020 - Reportes información Exógena Base Impuestos"/>
    <n v="0.1"/>
    <s v="Desarrollador"/>
    <m/>
    <x v="1"/>
    <e v="#NAME?"/>
    <m/>
    <m/>
    <m/>
    <m/>
    <m/>
  </r>
  <r>
    <s v="C809546"/>
    <s v="GOMEZ CUADRADO JENNY PAOLA"/>
    <x v="1"/>
    <x v="10"/>
    <s v="BBVA"/>
    <e v="#NAME?"/>
    <s v="SDATOOL-40274 $ CIRCULAR 033 de 2021-SFC"/>
    <n v="0.15"/>
    <s v="Desarrollador"/>
    <m/>
    <x v="1"/>
    <e v="#NAME?"/>
    <m/>
    <m/>
    <m/>
    <m/>
    <m/>
  </r>
  <r>
    <s v="C811316"/>
    <s v="Gonzalez Cardenas Oscar"/>
    <x v="3"/>
    <x v="25"/>
    <s v="BBVA"/>
    <e v="#NAME?"/>
    <s v="SDATOOL-35350 $ Lean Office (Biblioteca Transaccional y Nuevo Modelo de Impresión)"/>
    <n v="1"/>
    <s v="Desarrollador"/>
    <m/>
    <x v="1"/>
    <e v="#NAME?"/>
    <m/>
    <m/>
    <m/>
    <m/>
    <m/>
  </r>
  <r>
    <s v="CE51848"/>
    <s v="GORDO BELTRAN DANIEL FERNANDO"/>
    <x v="0"/>
    <x v="8"/>
    <s v="Inetum"/>
    <e v="#NAME?"/>
    <s v="NOSDA- BAU $ BAU (Mantenimiento y peq. evolutivos)"/>
    <n v="0.5"/>
    <s v="QA"/>
    <m/>
    <x v="0"/>
    <e v="#NAME?"/>
    <m/>
    <m/>
    <m/>
    <m/>
    <m/>
  </r>
  <r>
    <s v="C805963"/>
    <s v="Gorgeth Moscarella Martínez"/>
    <x v="3"/>
    <x v="4"/>
    <s v="BBVA"/>
    <e v="#NAME?"/>
    <s v="SDATOOL-40672 $ Plan CRM: Mejoras AUG (Banca Comercial y CSF) Equipo A"/>
    <n v="1"/>
    <s v="Desarrollador"/>
    <m/>
    <x v="1"/>
    <e v="#NAME?"/>
    <m/>
    <m/>
    <m/>
    <m/>
    <m/>
  </r>
  <r>
    <s v="C341736"/>
    <s v="Guevara Castro Juan Andres"/>
    <x v="3"/>
    <x v="4"/>
    <s v="BBVA"/>
    <e v="#NAME?"/>
    <s v="NOSDA- BAU $ BAU (Mantenimiento y peq. evolutivos)"/>
    <n v="0.1"/>
    <s v="Desarrollador"/>
    <m/>
    <x v="1"/>
    <e v="#NAME?"/>
    <m/>
    <m/>
    <m/>
    <m/>
    <m/>
  </r>
  <r>
    <s v="C810909"/>
    <s v="GUILIAN ANDREI TAFUR FUENTES"/>
    <x v="2"/>
    <x v="5"/>
    <s v="BBVA"/>
    <e v="#NAME?"/>
    <s v="SDATOOL-37057 $ Pagos QR - Entre cuentas Redeban - Plan Ascenso Mercurio"/>
    <n v="1"/>
    <s v="Desarrollador"/>
    <m/>
    <x v="1"/>
    <e v="#NAME?"/>
    <m/>
    <m/>
    <m/>
    <m/>
    <m/>
  </r>
  <r>
    <s v="CE69969"/>
    <s v="Guisell Dayan Diaz Blanco"/>
    <x v="3"/>
    <x v="4"/>
    <s v="Choucair"/>
    <e v="#NAME?"/>
    <s v="SDATOOL-40690 $ Plan CRM: Mejoras AUG (Banca Comercial y CSF) Equipo B"/>
    <n v="1"/>
    <s v="QA"/>
    <m/>
    <x v="0"/>
    <e v="#NAME?"/>
    <m/>
    <m/>
    <m/>
    <m/>
    <m/>
  </r>
  <r>
    <s v="CE52611"/>
    <s v="GUSTAVO ADOLFO SALAZAR BERNAL"/>
    <x v="4"/>
    <x v="9"/>
    <s v="SII"/>
    <e v="#NAME?"/>
    <s v="SDATOOL-40438 $ CIRCULAR 032 del 2021 - REQUERIMIENTO FISCALIA GENERAL DE LA NACION"/>
    <n v="0.5"/>
    <s v="Otros"/>
    <m/>
    <x v="0"/>
    <e v="#NAME?"/>
    <m/>
    <m/>
    <m/>
    <m/>
    <m/>
  </r>
  <r>
    <s v="CE52611"/>
    <s v="GUSTAVO ADOLFO SALAZAR BERNAL"/>
    <x v="4"/>
    <x v="9"/>
    <s v="SII"/>
    <e v="#NAME?"/>
    <s v="SDATOOL-37114 $ Actualización Botón pagos PSE versión 2.0"/>
    <n v="0.25"/>
    <s v="Otros"/>
    <m/>
    <x v="0"/>
    <e v="#NAME?"/>
    <m/>
    <m/>
    <m/>
    <m/>
    <m/>
  </r>
  <r>
    <s v="CE52611"/>
    <s v="GUSTAVO ADOLFO SALAZAR BERNAL"/>
    <x v="4"/>
    <x v="9"/>
    <s v="SII"/>
    <e v="#NAME?"/>
    <s v="SDATOOL-41205 $ Tagging Netcash, Net, e-markets"/>
    <n v="0.25"/>
    <s v="Otros"/>
    <m/>
    <x v="0"/>
    <e v="#NAME?"/>
    <m/>
    <m/>
    <m/>
    <m/>
    <m/>
  </r>
  <r>
    <s v="C805925"/>
    <s v="GUSTAVO ANDRES CAMARGO"/>
    <x v="0"/>
    <x v="0"/>
    <s v="BBVA"/>
    <e v="#NAME?"/>
    <s v="SDATOOL-36547 $ PLAN MAYOR -PLAN MENOR. Plan ascenso Open Market"/>
    <n v="0.25"/>
    <s v="Desarrollador"/>
    <m/>
    <x v="1"/>
    <e v="#NAME?"/>
    <m/>
    <m/>
    <m/>
    <m/>
    <m/>
  </r>
  <r>
    <s v="C805925"/>
    <s v="GUSTAVO ANDRES CAMARGO"/>
    <x v="0"/>
    <x v="0"/>
    <s v="BBVA"/>
    <e v="#NAME?"/>
    <s v="NOSDA- BAU $ BAU (Mantenimiento y peq. evolutivos)"/>
    <n v="0.75"/>
    <s v="Desarrollador"/>
    <m/>
    <x v="1"/>
    <e v="#NAME?"/>
    <m/>
    <m/>
    <m/>
    <m/>
    <m/>
  </r>
  <r>
    <s v="C809493"/>
    <s v="Guzman Gonzalez Jorge Enrique"/>
    <x v="1"/>
    <x v="26"/>
    <s v="BBVA"/>
    <e v="#NAME?"/>
    <s v="SDATOOL-29998 $ Despliegue SAS AML en BBVA CO"/>
    <n v="0.4"/>
    <s v="Desarrollador"/>
    <m/>
    <x v="1"/>
    <e v="#NAME?"/>
    <m/>
    <m/>
    <m/>
    <m/>
    <m/>
  </r>
  <r>
    <s v="C809493"/>
    <s v="Guzman Gonzalez Jorge Enrique"/>
    <x v="1"/>
    <x v="26"/>
    <s v="BBVA"/>
    <e v="#NAME?"/>
    <s v="SDATOOL-39265 $ Migración Operaciones Fircosoft"/>
    <n v="0.1"/>
    <s v="Desarrollador"/>
    <m/>
    <x v="1"/>
    <e v="#NAME?"/>
    <m/>
    <m/>
    <m/>
    <m/>
    <m/>
  </r>
  <r>
    <s v="C809493"/>
    <s v="Guzman Gonzalez Jorge Enrique"/>
    <x v="1"/>
    <x v="26"/>
    <s v="BBVA"/>
    <e v="#NAME?"/>
    <s v="SDATOOL-39473 $ Actualización de Was 8 a was 9. RBA"/>
    <n v="0.1"/>
    <s v="Desarrollador"/>
    <m/>
    <x v="1"/>
    <e v="#NAME?"/>
    <m/>
    <m/>
    <m/>
    <m/>
    <m/>
  </r>
  <r>
    <s v="C809493"/>
    <s v="Guzman Gonzalez Jorge Enrique"/>
    <x v="1"/>
    <x v="26"/>
    <s v="BBVA"/>
    <e v="#NAME?"/>
    <s v="SDATOOL-39888 $ Proyecto - Evolutivo Sarlaft - Mejoras controles aplicativos"/>
    <n v="0.1"/>
    <s v="Desarrollador"/>
    <m/>
    <x v="1"/>
    <e v="#NAME?"/>
    <m/>
    <m/>
    <m/>
    <m/>
    <m/>
  </r>
  <r>
    <s v="C809493"/>
    <s v="Guzman Gonzalez Jorge Enrique"/>
    <x v="1"/>
    <x v="26"/>
    <s v="BBVA"/>
    <e v="#NAME?"/>
    <s v="SDATOOL-40984 $ Proyecto - Identificación e ingesta de las tablas necesarias en datio y la construcción del caso de uso para la identificación de vínculos - Colombia"/>
    <n v="0.3"/>
    <s v="Desarrollador"/>
    <m/>
    <x v="1"/>
    <e v="#NAME?"/>
    <m/>
    <m/>
    <m/>
    <m/>
    <m/>
  </r>
  <r>
    <s v="C810708"/>
    <s v="HAROLD ANDRES CASTILLO CARVAJAL"/>
    <x v="3"/>
    <x v="7"/>
    <s v="BBVA"/>
    <e v="#NAME?"/>
    <s v="SDATOOL-36558 $ Transfiya:Transferencias interbancarias inmediatas - Plan Ascenso Privado"/>
    <n v="1"/>
    <s v="Desarrollador"/>
    <m/>
    <x v="1"/>
    <e v="#NAME?"/>
    <m/>
    <m/>
    <m/>
    <m/>
    <m/>
  </r>
  <r>
    <s v="CE69667"/>
    <s v="HAROLD ENRIQUE ROCANCIO JULIO"/>
    <x v="4"/>
    <x v="9"/>
    <s v="GGI / CMC"/>
    <e v="#NAME?"/>
    <s v="SDATOOL-37342 $ SWIFT ISO20022  Ajuste de mensajes Swift a la nueva estructura"/>
    <n v="0.75"/>
    <s v="Otros"/>
    <m/>
    <x v="0"/>
    <e v="#NAME?"/>
    <m/>
    <m/>
    <m/>
    <m/>
    <m/>
  </r>
  <r>
    <s v="CE69667"/>
    <s v="HAROLD ENRIQUE ROCANCIO JULIO"/>
    <x v="4"/>
    <x v="9"/>
    <s v="GGI / CMC"/>
    <e v="#NAME?"/>
    <s v="NOSDA- BAU $ BAU (Mantenimiento y peq. evolutivos)"/>
    <n v="0.25"/>
    <s v="Otros"/>
    <m/>
    <x v="0"/>
    <e v="#NAME?"/>
    <m/>
    <m/>
    <m/>
    <m/>
    <m/>
  </r>
  <r>
    <s v="T004295"/>
    <s v="Hayler Jair Caicedo"/>
    <x v="3"/>
    <x v="16"/>
    <s v="Accenture"/>
    <e v="#NAME?"/>
    <s v="SDATOOL-37055 $ Cash in- PSE - Plan Ascenso Privado"/>
    <n v="1"/>
    <s v="Desarrollador"/>
    <m/>
    <x v="0"/>
    <e v="#NAME?"/>
    <m/>
    <m/>
    <m/>
    <m/>
    <m/>
  </r>
  <r>
    <s v="CE60769"/>
    <s v="HECTOR FERNANDO JARAMILLO"/>
    <x v="2"/>
    <x v="3"/>
    <s v="Inetum"/>
    <e v="#NAME?"/>
    <s v="SDATOOL-39836 $ Vivienda digital fase III"/>
    <n v="1"/>
    <s v="Desarrollador"/>
    <m/>
    <x v="0"/>
    <e v="#NAME?"/>
    <m/>
    <m/>
    <m/>
    <m/>
    <m/>
  </r>
  <r>
    <s v="CE65485"/>
    <s v="HECTOR JAIRO LEGUIZAMON "/>
    <x v="4"/>
    <x v="9"/>
    <s v="Accenture"/>
    <e v="#NAME?"/>
    <s v="NOSDA- BAU $ BAU (Mantenimiento y peq. evolutivos)"/>
    <n v="1"/>
    <s v="Desarrollador"/>
    <m/>
    <x v="0"/>
    <e v="#NAME?"/>
    <m/>
    <m/>
    <m/>
    <m/>
    <m/>
  </r>
  <r>
    <s v="C804121"/>
    <s v="HECTOR JESUS SISO JIMENEZ"/>
    <x v="0"/>
    <x v="15"/>
    <s v="BBVA"/>
    <e v="#NAME?"/>
    <s v="NOSDA- BAU $ BAU (Mantenimiento y peq. evolutivos)"/>
    <n v="1"/>
    <s v="Tech Manager/Líder"/>
    <m/>
    <x v="1"/>
    <e v="#NAME?"/>
    <m/>
    <m/>
    <m/>
    <m/>
    <m/>
  </r>
  <r>
    <s v="CE67849"/>
    <s v="Henry Cortes"/>
    <x v="3"/>
    <x v="6"/>
    <s v="Accenture"/>
    <e v="#NAME?"/>
    <s v="SDATOOL-9053 $ GloMo Colombia"/>
    <n v="1"/>
    <s v="Desarrollador"/>
    <m/>
    <x v="0"/>
    <e v="#NAME?"/>
    <m/>
    <m/>
    <m/>
    <m/>
    <m/>
  </r>
  <r>
    <s v="T002223"/>
    <s v="HERMES FERNANDO AMARIS"/>
    <x v="2"/>
    <x v="5"/>
    <s v="KRYPTO"/>
    <e v="#NAME?"/>
    <s v="NOSDA- BAU $ BAU (Mantenimiento y peq. evolutivos)"/>
    <n v="1"/>
    <s v="QA"/>
    <m/>
    <x v="0"/>
    <e v="#NAME?"/>
    <m/>
    <m/>
    <m/>
    <m/>
    <m/>
  </r>
  <r>
    <s v="CE62622"/>
    <s v="HERNAN DARIO RAMOS ORTIZ"/>
    <x v="0"/>
    <x v="15"/>
    <s v="Novatec"/>
    <e v="#NAME?"/>
    <s v="SDATOOL-32905 $ Global Enterprises Mobile App (GEMA)"/>
    <n v="1"/>
    <s v="Desarrollador"/>
    <m/>
    <x v="0"/>
    <e v="#NAME?"/>
    <m/>
    <m/>
    <m/>
    <m/>
    <m/>
  </r>
  <r>
    <s v="CE69249"/>
    <s v="Hernan Gabriel Fernandez"/>
    <x v="3"/>
    <x v="6"/>
    <s v="Neoris"/>
    <e v="#NAME?"/>
    <s v="SDATOOL-9053 $ GloMo Colombia"/>
    <n v="1"/>
    <s v="Desarrollador"/>
    <m/>
    <x v="0"/>
    <e v="#NAME?"/>
    <m/>
    <m/>
    <m/>
    <m/>
    <m/>
  </r>
  <r>
    <s v="CE58926"/>
    <s v="HEYBER FERNANDO NINO GUANUME."/>
    <x v="1"/>
    <x v="1"/>
    <s v="Neoris"/>
    <e v="#NAME?"/>
    <s v="SDATOOL-38443 $ Arce Empresas Colombia"/>
    <n v="1"/>
    <s v="Desarrollador"/>
    <m/>
    <x v="0"/>
    <e v="#NAME?"/>
    <m/>
    <m/>
    <m/>
    <m/>
    <m/>
  </r>
  <r>
    <s v="CE56542"/>
    <s v="HUMBERTO MALAGON VARGAS"/>
    <x v="2"/>
    <x v="5"/>
    <s v="Novatec"/>
    <e v="#NAME?"/>
    <s v="NOSDA- BAU $ BAU (Mantenimiento y peq. evolutivos)"/>
    <n v="0.8"/>
    <s v="Desarrollador"/>
    <m/>
    <x v="0"/>
    <e v="#NAME?"/>
    <m/>
    <m/>
    <m/>
    <m/>
    <m/>
  </r>
  <r>
    <s v="CE56542"/>
    <s v="HUMBERTO MALAGON VARGAS (Torre)"/>
    <x v="0"/>
    <x v="22"/>
    <s v="Novatec"/>
    <e v="#NAME?"/>
    <s v="NOSDA- BAU $ BAU (Mantenimiento y peq. evolutivos)"/>
    <n v="0.2"/>
    <s v="Otros"/>
    <s v="CyA"/>
    <x v="0"/>
    <e v="#NAME?"/>
    <m/>
    <m/>
    <m/>
    <m/>
    <m/>
  </r>
  <r>
    <s v="C811300"/>
    <s v="INGRID JOHANNA PARRA CAICEDO"/>
    <x v="2"/>
    <x v="5"/>
    <s v="BBVA"/>
    <e v="#NAME?"/>
    <s v="SDATOOL-40384 $ Cobrar intereses corrientes entre la transacción y la pre-cancelación"/>
    <n v="0.8"/>
    <s v="Desarrollador"/>
    <m/>
    <x v="1"/>
    <e v="#NAME?"/>
    <m/>
    <m/>
    <m/>
    <m/>
    <m/>
  </r>
  <r>
    <s v="C811300"/>
    <s v="INGRID JOHANNA PARRA CAICEDO"/>
    <x v="2"/>
    <x v="5"/>
    <s v="BBVA"/>
    <e v="#NAME?"/>
    <s v="SDATOOL-37753 $ Plan de transformación de operaciones 2022"/>
    <n v="0.2"/>
    <s v="Desarrollador"/>
    <m/>
    <x v="1"/>
    <e v="#NAME?"/>
    <m/>
    <m/>
    <m/>
    <m/>
    <m/>
  </r>
  <r>
    <s v="CE68851"/>
    <s v="INGRID NATALIA SUESCUN CARVAJAL"/>
    <x v="0"/>
    <x v="0"/>
    <s v="Choucair"/>
    <e v="#NAME?"/>
    <s v="NOSDA- BAU $ BAU (Mantenimiento y peq. evolutivos)"/>
    <n v="0.75"/>
    <s v="QA"/>
    <m/>
    <x v="0"/>
    <e v="#NAME?"/>
    <m/>
    <m/>
    <m/>
    <m/>
    <m/>
  </r>
  <r>
    <s v="CE68432"/>
    <s v="INGRID NATALIA SUESCUN CARVAJAL"/>
    <x v="0"/>
    <x v="0"/>
    <s v="Choucair"/>
    <e v="#NAME?"/>
    <s v="SDATOOL-36547 $ PLAN MAYOR -PLAN MENOR. Plan ascenso Open Market"/>
    <n v="0.25"/>
    <s v="QA"/>
    <m/>
    <x v="0"/>
    <e v="#NAME?"/>
    <m/>
    <m/>
    <m/>
    <m/>
    <m/>
  </r>
  <r>
    <s v="T008176"/>
    <s v="IRWIN WALTER ACOSTA CHAVARRI"/>
    <x v="3"/>
    <x v="4"/>
    <s v="Neoris"/>
    <e v="#NAME?"/>
    <s v="SDATOOL-40672 $ Plan CRM: Mejoras AUG (Banca Comercial y CSF) Equipo A"/>
    <n v="1"/>
    <s v="Desarrollador"/>
    <m/>
    <x v="0"/>
    <e v="#NAME?"/>
    <m/>
    <m/>
    <m/>
    <m/>
    <m/>
  </r>
  <r>
    <s v="CE52097"/>
    <s v="IVAN DE JESÚS RAMOS OSORIO"/>
    <x v="2"/>
    <x v="3"/>
    <s v="Neoris"/>
    <e v="#NAME?"/>
    <s v="NOSDA- BAU $ BAU (Mantenimiento y peq. evolutivos)"/>
    <n v="1"/>
    <s v="Desarrollador"/>
    <m/>
    <x v="0"/>
    <e v="#NAME?"/>
    <m/>
    <m/>
    <m/>
    <m/>
    <m/>
  </r>
  <r>
    <s v="T005766"/>
    <s v="Iván Jonathan Romero Medina"/>
    <x v="1"/>
    <x v="26"/>
    <s v="CAPGEMINI"/>
    <e v="#NAME?"/>
    <s v="SDATOOL-29998 $ Despliegue SAS AML en BBVA CO"/>
    <n v="1"/>
    <s v="Desarrollador"/>
    <m/>
    <x v="0"/>
    <e v="#NAME?"/>
    <m/>
    <m/>
    <m/>
    <m/>
    <m/>
  </r>
  <r>
    <s v="CE71176"/>
    <s v="IVAN YESID REYES CALCETERO"/>
    <x v="2"/>
    <x v="11"/>
    <s v="KRYPTO"/>
    <e v="#NAME?"/>
    <s v="SDATOOL-41171 $ CBS Core Banking Strategy Convivencia Clients and Contracts"/>
    <n v="0.5"/>
    <s v="QA"/>
    <m/>
    <x v="0"/>
    <e v="#NAME?"/>
    <m/>
    <m/>
    <m/>
    <m/>
    <m/>
  </r>
  <r>
    <s v="T009381"/>
    <s v="Jaiber Daivison Nova"/>
    <x v="3"/>
    <x v="7"/>
    <s v="GGI / CMC"/>
    <e v="#NAME?"/>
    <s v="NOSDA- BAU $ BAU (Mantenimiento y peq. evolutivos)"/>
    <n v="1"/>
    <s v="Desarrollador"/>
    <m/>
    <x v="0"/>
    <e v="#NAME?"/>
    <m/>
    <m/>
    <m/>
    <m/>
    <m/>
  </r>
  <r>
    <s v="T002704"/>
    <s v="JAIME OSORIO"/>
    <x v="4"/>
    <x v="9"/>
    <s v="Accenture"/>
    <e v="#NAME?"/>
    <s v="SDATOOL-41308 $ Aplicativos Tesorería 2023"/>
    <n v="0.9"/>
    <s v="Desarrollador"/>
    <m/>
    <x v="0"/>
    <e v="#NAME?"/>
    <m/>
    <m/>
    <m/>
    <m/>
    <m/>
  </r>
  <r>
    <s v="CE54753"/>
    <s v="Jaime Ricardo Leon "/>
    <x v="4"/>
    <x v="14"/>
    <s v="Tecnoevolución"/>
    <e v="#NAME?"/>
    <s v="SDATOOL-35621 $ DOCUMENTO SOPORTE FASE II - DIALOGO"/>
    <n v="1"/>
    <s v="Desarrollador"/>
    <m/>
    <x v="0"/>
    <e v="#NAME?"/>
    <m/>
    <m/>
    <m/>
    <m/>
    <m/>
  </r>
  <r>
    <s v="CE54753"/>
    <s v="JAIME RICARDO LEON HERNANDEZ"/>
    <x v="4"/>
    <x v="14"/>
    <s v="Tecnoevolución"/>
    <e v="#NAME?"/>
    <s v="SDATOOL-37186 $ Migración Murex 3 Colombia (Servicios restantes MX3 -Fase 1)"/>
    <n v="1"/>
    <s v="Desarrollador"/>
    <m/>
    <x v="0"/>
    <e v="#NAME?"/>
    <m/>
    <m/>
    <m/>
    <m/>
    <m/>
  </r>
  <r>
    <s v="NO TIENE"/>
    <s v="JAIR ERNESTO CABRA MENJURA-reemplazo Thalia"/>
    <x v="3"/>
    <x v="4"/>
    <s v="Neoris"/>
    <e v="#NAME?"/>
    <s v="SDATOOL-40672 $ Plan CRM: Mejoras AUG (Banca Comercial y CSF) Equipo A"/>
    <n v="1"/>
    <s v="Desarrollador"/>
    <m/>
    <x v="0"/>
    <e v="#NAME?"/>
    <m/>
    <m/>
    <m/>
    <m/>
    <m/>
  </r>
  <r>
    <s v="T006279"/>
    <s v="Jairo Andres Ochoa"/>
    <x v="3"/>
    <x v="16"/>
    <s v="Choucair"/>
    <e v="#NAME?"/>
    <s v="SDATOOL-37136 $ Conexión simulador vía API Vehículo digital"/>
    <n v="1"/>
    <s v="QA"/>
    <m/>
    <x v="0"/>
    <e v="#NAME?"/>
    <m/>
    <m/>
    <m/>
    <m/>
    <m/>
  </r>
  <r>
    <s v="CE50117"/>
    <s v="JAIRO ANZOLA PLATA L"/>
    <x v="2"/>
    <x v="2"/>
    <s v="SII"/>
    <e v="#NAME?"/>
    <s v="SDATOOL-38481 $ Pricing Pasivos (optimización portafolio) - Plan Ascenso Cross Sell"/>
    <n v="1"/>
    <s v="Desarrollador"/>
    <m/>
    <x v="0"/>
    <e v="#NAME?"/>
    <m/>
    <m/>
    <m/>
    <m/>
    <m/>
  </r>
  <r>
    <s v="CE57635"/>
    <s v="JAIRO ARTURO BELTAN (Torre)"/>
    <x v="0"/>
    <x v="22"/>
    <s v="Novatec"/>
    <e v="#NAME?"/>
    <s v="NOSDA- BAU $ BAU (Mantenimiento y peq. evolutivos)"/>
    <n v="1"/>
    <s v="Desarrollador"/>
    <s v="CyA"/>
    <x v="0"/>
    <e v="#NAME?"/>
    <m/>
    <m/>
    <m/>
    <m/>
    <m/>
  </r>
  <r>
    <s v="C783725"/>
    <s v="Jairo Fernando Tamara Rubiano"/>
    <x v="1"/>
    <x v="1"/>
    <s v="BBVA"/>
    <e v="#NAME?"/>
    <s v="SDATOOL-33846 $ SREP Data Quality- BCBS239 - Colombia"/>
    <n v="0.2"/>
    <s v="Tech Manager/Líder"/>
    <m/>
    <x v="1"/>
    <e v="#NAME?"/>
    <m/>
    <m/>
    <m/>
    <m/>
    <m/>
  </r>
  <r>
    <s v="C783725"/>
    <s v="Jairo Fernando Tamara Rubiano"/>
    <x v="1"/>
    <x v="1"/>
    <s v="BBVA"/>
    <e v="#NAME?"/>
    <s v="SDATOOL-30053 $ GRM Col Reg - CE016-19 Modificados, reestructurados e incumplidos RV"/>
    <n v="0.2"/>
    <s v="Tech Manager/Líder"/>
    <m/>
    <x v="1"/>
    <e v="#NAME?"/>
    <m/>
    <m/>
    <m/>
    <m/>
    <m/>
  </r>
  <r>
    <s v="C783725"/>
    <s v="Jairo Fernando Tamara Rubiano"/>
    <x v="1"/>
    <x v="1"/>
    <s v="BBVA"/>
    <e v="#NAME?"/>
    <s v="SDATOOL-39463 $ GRM Col - Actualización Versión Power Curve."/>
    <n v="0.3"/>
    <s v="Tech Manager/Líder"/>
    <m/>
    <x v="1"/>
    <e v="#NAME?"/>
    <m/>
    <m/>
    <m/>
    <m/>
    <m/>
  </r>
  <r>
    <s v="C783725"/>
    <s v="Jairo Fernando Tamara Rubiano"/>
    <x v="1"/>
    <x v="1"/>
    <s v="BBVA"/>
    <e v="#NAME?"/>
    <s v="NOSDA- BAU $ BAU (Mantenimiento y peq. evolutivos)"/>
    <n v="0.2"/>
    <s v="Tech Manager/Líder"/>
    <m/>
    <x v="1"/>
    <e v="#NAME?"/>
    <m/>
    <m/>
    <m/>
    <m/>
    <m/>
  </r>
  <r>
    <s v="C783725"/>
    <s v="Jairo Fernando Tamara Rubiano"/>
    <x v="1"/>
    <x v="1"/>
    <s v="BBVA"/>
    <e v="#NAME?"/>
    <s v="SDATOOL-39923 $ MIGRO FASE II. TRANSFORMACIÓN DE LOS CIRCUITOS DE CAPTURA Y TRATAMIENTO DE LAS PÉRDIDAS OPERACIONALES - COLOMBIA"/>
    <n v="0.1"/>
    <s v="Desarrollador"/>
    <m/>
    <x v="1"/>
    <e v="#NAME?"/>
    <m/>
    <m/>
    <m/>
    <m/>
    <m/>
  </r>
  <r>
    <s v="CE66758"/>
    <s v="Jairo Leon Espitia Botia"/>
    <x v="1"/>
    <x v="1"/>
    <s v="Inetum"/>
    <e v="#NAME?"/>
    <s v="NOSDA- BAU $ BAU (Mantenimiento y peq. evolutivos)"/>
    <n v="1"/>
    <s v="Desarrollador"/>
    <m/>
    <x v="0"/>
    <e v="#NAME?"/>
    <m/>
    <m/>
    <m/>
    <m/>
    <m/>
  </r>
  <r>
    <s v="C342062"/>
    <s v="JAVIER CALDERON LOPEZ"/>
    <x v="0"/>
    <x v="22"/>
    <s v="BBVA"/>
    <e v="#NAME?"/>
    <s v="SDATOOL-35041 $ Obsolescencia aplicativa 2021 -PSE Comercio"/>
    <n v="0.5"/>
    <s v="Desarrollador"/>
    <m/>
    <x v="1"/>
    <e v="#NAME?"/>
    <m/>
    <m/>
    <m/>
    <m/>
    <m/>
  </r>
  <r>
    <s v="C342062"/>
    <s v="JAVIER CALDERON LOPEZ"/>
    <x v="0"/>
    <x v="22"/>
    <s v="BBVA"/>
    <e v="#NAME?"/>
    <s v="SDATOOL-37055 $ Cash in- PSE - Plan Ascenso Privado"/>
    <n v="0.25"/>
    <s v="Desarrollador"/>
    <m/>
    <x v="1"/>
    <e v="#NAME?"/>
    <m/>
    <m/>
    <m/>
    <m/>
    <m/>
  </r>
  <r>
    <s v="C342062"/>
    <s v="JAVIER CALDERON LOPEZ"/>
    <x v="0"/>
    <x v="22"/>
    <s v="BBVA"/>
    <e v="#NAME?"/>
    <s v="NOSDA- BAU $ BAU (Mantenimiento y peq. evolutivos)"/>
    <n v="0.25"/>
    <s v="Desarrollador"/>
    <m/>
    <x v="1"/>
    <e v="#NAME?"/>
    <m/>
    <m/>
    <m/>
    <m/>
    <m/>
  </r>
  <r>
    <s v="CE61638"/>
    <s v="JAVIER CORDOBA"/>
    <x v="2"/>
    <x v="3"/>
    <s v="KRYPTO"/>
    <e v="#NAME?"/>
    <s v="SDATOOL-35463 $ Gestión de Ingresos - Períodos de Gracia Libranzas"/>
    <n v="1"/>
    <s v="QA"/>
    <m/>
    <x v="0"/>
    <e v="#NAME?"/>
    <m/>
    <m/>
    <m/>
    <m/>
    <m/>
  </r>
  <r>
    <s v="C604380"/>
    <s v="JAVIER FRANCISCO OSPINA RAMIREZ"/>
    <x v="2"/>
    <x v="12"/>
    <s v="BBVA"/>
    <e v="#NAME?"/>
    <s v="SDATOOL-38091 $ Higiénicos Plataforma Digital de Oficinas CAP"/>
    <n v="1"/>
    <s v="QA"/>
    <m/>
    <x v="1"/>
    <e v="#NAME?"/>
    <m/>
    <m/>
    <m/>
    <m/>
    <m/>
  </r>
  <r>
    <s v="T002696"/>
    <s v="JEANN CARLOS SEQUEA MENDEZ "/>
    <x v="0"/>
    <x v="18"/>
    <s v="Accenture"/>
    <e v="#NAME?"/>
    <s v="SDATOOL-40457 $ SENDA (Base)"/>
    <n v="1"/>
    <s v="Desarrollador"/>
    <m/>
    <x v="0"/>
    <e v="#NAME?"/>
    <m/>
    <m/>
    <m/>
    <m/>
    <m/>
  </r>
  <r>
    <s v="C811356"/>
    <s v="JEFFERSON CAMILO ROZO CASTILLO"/>
    <x v="0"/>
    <x v="15"/>
    <s v="BBVA"/>
    <e v="#NAME?"/>
    <s v="NOSDA- BAU $ BAU (Mantenimiento y peq. evolutivos)"/>
    <n v="0.5"/>
    <s v="Tech Manager/Líder"/>
    <m/>
    <x v="1"/>
    <e v="#NAME?"/>
    <m/>
    <m/>
    <m/>
    <m/>
    <m/>
  </r>
  <r>
    <s v="C811356"/>
    <s v="JEFFERSON CAMILO ROZO CASTILLO"/>
    <x v="0"/>
    <x v="15"/>
    <s v="BBVA"/>
    <e v="#NAME?"/>
    <s v="SDATOOL-39353 $ Redirección Mobile POS"/>
    <n v="0.25"/>
    <s v="Tech Manager/Líder"/>
    <m/>
    <x v="1"/>
    <e v="#NAME?"/>
    <m/>
    <m/>
    <m/>
    <m/>
    <m/>
  </r>
  <r>
    <s v="C811356"/>
    <s v="JEFFERSON CAMILO ROZO CASTILLO"/>
    <x v="0"/>
    <x v="15"/>
    <s v="BBVA"/>
    <e v="#NAME?"/>
    <s v="SDATOOL-40676 $ Contratación y uso de mPOS desde APPs BBVA"/>
    <n v="0.25"/>
    <s v="Tech Manager/Líder"/>
    <m/>
    <x v="1"/>
    <e v="#NAME?"/>
    <m/>
    <m/>
    <m/>
    <m/>
    <m/>
  </r>
  <r>
    <s v="C809750"/>
    <s v="JEFFERSON JOSE ESQUEA SANCHEZ"/>
    <x v="3"/>
    <x v="16"/>
    <s v="BBVA"/>
    <e v="#NAME?"/>
    <s v="NOSDA- BAU $ BAU (Mantenimiento y peq. evolutivos)"/>
    <n v="1"/>
    <s v="Desarrollador"/>
    <m/>
    <x v="1"/>
    <e v="#NAME?"/>
    <m/>
    <m/>
    <m/>
    <m/>
    <m/>
  </r>
  <r>
    <s v="CE60767"/>
    <s v="JEIMMY ALEJANDRA SANCHEZ LOPEZ"/>
    <x v="0"/>
    <x v="0"/>
    <s v="Choucair"/>
    <e v="#NAME?"/>
    <s v="SDATOOL-37125 $ Factoring - IBR"/>
    <n v="1"/>
    <s v="QA"/>
    <m/>
    <x v="0"/>
    <e v="#NAME?"/>
    <m/>
    <m/>
    <m/>
    <m/>
    <m/>
  </r>
  <r>
    <s v="C805179"/>
    <s v="JEISON ANDRES VISBAL GOMEZ"/>
    <x v="4"/>
    <x v="14"/>
    <s v="BBVA"/>
    <e v="#NAME?"/>
    <s v="SDATOOL-42061 $ Murex Limit Control Intradía EOD"/>
    <n v="0.5"/>
    <s v="Desarrollador"/>
    <m/>
    <x v="1"/>
    <e v="#NAME?"/>
    <m/>
    <m/>
    <m/>
    <m/>
    <m/>
  </r>
  <r>
    <s v="C805179"/>
    <s v="JEISON ANDRES VISBAL GOMEZ"/>
    <x v="4"/>
    <x v="14"/>
    <s v="BBVA"/>
    <e v="#NAME?"/>
    <s v="SDATOOL-42081 $ Evolutivos Migración Murex 3"/>
    <n v="0.5"/>
    <s v="Desarrollador"/>
    <m/>
    <x v="1"/>
    <e v="#NAME?"/>
    <m/>
    <m/>
    <m/>
    <m/>
    <m/>
  </r>
  <r>
    <s v="O002144"/>
    <s v="JEISON EDUARDO HERNANDEZ"/>
    <x v="2"/>
    <x v="17"/>
    <s v="BBVA"/>
    <e v="#NAME?"/>
    <s v="SDATOOL-38742 $ Gestor Documental Retail"/>
    <n v="1"/>
    <s v="Desarrollador"/>
    <m/>
    <x v="1"/>
    <e v="#NAME?"/>
    <m/>
    <m/>
    <m/>
    <m/>
    <m/>
  </r>
  <r>
    <s v="CE56090"/>
    <s v="Jeisson Andres Tequia Rincon"/>
    <x v="1"/>
    <x v="26"/>
    <s v="MS"/>
    <e v="#NAME?"/>
    <s v="SDATOOL-29998 $ Despliegue SAS AML en BBVA CO"/>
    <n v="1"/>
    <s v="Desarrollador"/>
    <m/>
    <x v="0"/>
    <e v="#NAME?"/>
    <m/>
    <m/>
    <m/>
    <m/>
    <m/>
  </r>
  <r>
    <s v="C805104"/>
    <s v="JEISSON SNEYDER GALLO RAMIREZ"/>
    <x v="4"/>
    <x v="9"/>
    <s v="BBVA"/>
    <e v="#NAME?"/>
    <s v="SDATOOL-36047 $ Bloqueo Sobregiro para Pago Capital e Intereses"/>
    <n v="1"/>
    <s v="Desarrollador"/>
    <m/>
    <x v="1"/>
    <e v="#NAME?"/>
    <m/>
    <m/>
    <m/>
    <m/>
    <m/>
  </r>
  <r>
    <s v="CE69136"/>
    <s v="Jeisson Steven Rincon Mellizo"/>
    <x v="1"/>
    <x v="10"/>
    <s v="GGI / CMC"/>
    <e v="#NAME?"/>
    <s v="SDATOOL-37681 $ Ciclo 2 - Resolución 0098 de Octubre 28 de 2020 - Reportes información Exógena Base Impuestos"/>
    <n v="1"/>
    <s v="Desarrollador"/>
    <m/>
    <x v="0"/>
    <e v="#NAME?"/>
    <m/>
    <m/>
    <m/>
    <m/>
    <m/>
  </r>
  <r>
    <s v="CE68565"/>
    <s v="JELBER STIBEN LOZANO PRADA"/>
    <x v="0"/>
    <x v="0"/>
    <s v="Choucair"/>
    <e v="#NAME?"/>
    <s v="SDATOOL-36547 $ PLAN MAYOR -PLAN MENOR. Plan ascenso Open Market"/>
    <n v="1"/>
    <s v="QA"/>
    <m/>
    <x v="0"/>
    <e v="#NAME?"/>
    <m/>
    <m/>
    <m/>
    <m/>
    <m/>
  </r>
  <r>
    <s v="CE42593"/>
    <s v="JENITH MARSELLA MANTILLA RODRIGUEZ"/>
    <x v="2"/>
    <x v="2"/>
    <s v="SII"/>
    <e v="#NAME?"/>
    <s v="NOSDA- BAU $ BAU (Mantenimiento y peq. evolutivos)"/>
    <n v="1"/>
    <s v="Desarrollador"/>
    <m/>
    <x v="0"/>
    <e v="#NAME?"/>
    <m/>
    <m/>
    <m/>
    <m/>
    <m/>
  </r>
  <r>
    <s v="C342035"/>
    <s v="JENNIFER ALZATE"/>
    <x v="2"/>
    <x v="5"/>
    <s v="BBVA"/>
    <e v="#NAME?"/>
    <s v="SDATOOL-36556 $ Parthnerships - Tarjeta de crédito en punto de venta físico  aliados"/>
    <n v="1"/>
    <s v="Desarrollador"/>
    <m/>
    <x v="1"/>
    <e v="#NAME?"/>
    <m/>
    <m/>
    <m/>
    <m/>
    <m/>
  </r>
  <r>
    <s v="O001111"/>
    <s v="JENNIFER HAILINTH MORENO"/>
    <x v="2"/>
    <x v="3"/>
    <s v="BBVA"/>
    <e v="#NAME?"/>
    <s v="SDATOOL-36548 $ Optimización consumo web - Plan ascenso Open Market"/>
    <n v="1"/>
    <s v="Desarrollador"/>
    <m/>
    <x v="1"/>
    <e v="#NAME?"/>
    <m/>
    <m/>
    <m/>
    <m/>
    <m/>
  </r>
  <r>
    <s v="CE57299"/>
    <s v="Jennifer Zamora"/>
    <x v="3"/>
    <x v="7"/>
    <s v="GGI / CMC"/>
    <e v="#NAME?"/>
    <s v="SDATOOL-38527 $ Pagaré Electrónico en flujos de Contratación digital"/>
    <n v="1"/>
    <s v="Desarrollador"/>
    <m/>
    <x v="0"/>
    <e v="#NAME?"/>
    <m/>
    <m/>
    <m/>
    <m/>
    <m/>
  </r>
  <r>
    <s v="CE61541"/>
    <s v="Jesus Andrés Cardenas"/>
    <x v="3"/>
    <x v="7"/>
    <s v="GGI / CMC"/>
    <e v="#NAME?"/>
    <s v="SDATOOL-9053 $ GloMo Colombia"/>
    <n v="1"/>
    <s v="Desarrollador"/>
    <m/>
    <x v="0"/>
    <e v="#NAME?"/>
    <m/>
    <m/>
    <m/>
    <m/>
    <m/>
  </r>
  <r>
    <s v="C805973"/>
    <s v="JESUS DAVID TELLO ARISTIZABAL"/>
    <x v="0"/>
    <x v="0"/>
    <s v="BBVA"/>
    <e v="#NAME?"/>
    <s v="SDATOOL-37086 $ Factura electrónica (radian)"/>
    <n v="0.25"/>
    <s v="Desarrollador"/>
    <m/>
    <x v="1"/>
    <e v="#NAME?"/>
    <m/>
    <m/>
    <m/>
    <m/>
    <m/>
  </r>
  <r>
    <s v="C805973"/>
    <s v="JESUS DAVID TELLO ARISTIZABAL"/>
    <x v="0"/>
    <x v="0"/>
    <s v="BBVA"/>
    <e v="#NAME?"/>
    <s v="NOSDA- BAU $ BAU (Mantenimiento y peq. evolutivos)"/>
    <n v="0.75"/>
    <s v="Desarrollador"/>
    <m/>
    <x v="1"/>
    <e v="#NAME?"/>
    <m/>
    <m/>
    <m/>
    <m/>
    <m/>
  </r>
  <r>
    <s v="O002496"/>
    <s v="Jesus Humberto Moreno "/>
    <x v="3"/>
    <x v="4"/>
    <s v="BBVA"/>
    <e v="#NAME?"/>
    <s v="SDATOOL-40690 $ Plan CRM: Mejoras AUG (Banca Comercial y CSF) Equipo B"/>
    <n v="1"/>
    <s v="Desarrollador"/>
    <m/>
    <x v="1"/>
    <e v="#NAME?"/>
    <m/>
    <m/>
    <m/>
    <m/>
    <m/>
  </r>
  <r>
    <s v="CE69611"/>
    <s v="JESUS ROLDAN LAVERDE"/>
    <x v="2"/>
    <x v="3"/>
    <s v="Accenture"/>
    <e v="#NAME?"/>
    <s v="SDATOOL-39272 $ GRM-Col-Cambio servicio APL (Aportes en línea)"/>
    <n v="1"/>
    <s v="Desarrollador"/>
    <m/>
    <x v="0"/>
    <e v="#NAME?"/>
    <m/>
    <m/>
    <m/>
    <m/>
    <m/>
  </r>
  <r>
    <s v="CE56568"/>
    <s v="Jesus Wellman"/>
    <x v="3"/>
    <x v="6"/>
    <s v="Novatec"/>
    <e v="#NAME?"/>
    <s v="SDATOOL-38489 $ Horizon BTGR - Colombia"/>
    <n v="1"/>
    <s v="Desarrollador"/>
    <m/>
    <x v="0"/>
    <e v="#NAME?"/>
    <m/>
    <m/>
    <m/>
    <m/>
    <m/>
  </r>
  <r>
    <s v="C804789"/>
    <s v="JHON ALEXANDER PINEDA ARIAS"/>
    <x v="4"/>
    <x v="9"/>
    <s v="BBVA"/>
    <e v="#NAME?"/>
    <s v="SDATOOL-37342 $ SWIFT ISO20022  Ajuste de mensajes Swift a la nueva estructura"/>
    <n v="0.5"/>
    <s v="Desarrollador"/>
    <m/>
    <x v="1"/>
    <e v="#NAME?"/>
    <m/>
    <m/>
    <m/>
    <m/>
    <m/>
  </r>
  <r>
    <s v="C804789"/>
    <s v="JHON ALEXANDER PINEDA ARIAS"/>
    <x v="4"/>
    <x v="9"/>
    <s v="BBVA"/>
    <e v="#NAME?"/>
    <s v="SDATOOL-41737 $ Moneda Extranjera - Inclusión en SIGDOC"/>
    <n v="0.25"/>
    <s v="Desarrollador"/>
    <m/>
    <x v="1"/>
    <e v="#NAME?"/>
    <m/>
    <m/>
    <m/>
    <m/>
    <m/>
  </r>
  <r>
    <s v="C804789"/>
    <s v="JHON ALEXANDER PINEDA ARIAS"/>
    <x v="4"/>
    <x v="9"/>
    <s v="BBVA"/>
    <e v="#NAME?"/>
    <s v="SDATOOL-40438 $ CIRCULAR 032 del 2021 - REQUERIMIENTO FISCALIA GENERAL DE LA NACION"/>
    <n v="0.25"/>
    <s v="Desarrollador"/>
    <m/>
    <x v="1"/>
    <e v="#NAME?"/>
    <m/>
    <m/>
    <m/>
    <m/>
    <m/>
  </r>
  <r>
    <s v="CE67868"/>
    <s v="Jhon Alexander Santana"/>
    <x v="3"/>
    <x v="16"/>
    <s v="Accenture"/>
    <e v="#NAME?"/>
    <s v="NOSDA- BAU $ BAU (Mantenimiento y peq. evolutivos)"/>
    <n v="1"/>
    <s v="Desarrollador"/>
    <m/>
    <x v="0"/>
    <e v="#NAME?"/>
    <m/>
    <m/>
    <m/>
    <m/>
    <m/>
  </r>
  <r>
    <s v="CE66153"/>
    <s v="JHON EDWIN MENDOZA DAZA"/>
    <x v="2"/>
    <x v="3"/>
    <s v="Novatec"/>
    <e v="#NAME?"/>
    <s v="SDATOOL-39836 $ Vivienda digital fase III"/>
    <n v="0.7"/>
    <s v="Desarrollador"/>
    <m/>
    <x v="0"/>
    <e v="#NAME?"/>
    <m/>
    <m/>
    <m/>
    <m/>
    <m/>
  </r>
  <r>
    <s v="CE66153"/>
    <s v="JHON EDWIN MENDOZA DAZA"/>
    <x v="2"/>
    <x v="3"/>
    <s v="Novatec"/>
    <e v="#NAME?"/>
    <s v="SDATOOL-39272 $ GRM-Col-Cambio servicio APL (Aportes en línea)"/>
    <n v="0.3"/>
    <s v="Desarrollador"/>
    <m/>
    <x v="0"/>
    <e v="#NAME?"/>
    <m/>
    <m/>
    <m/>
    <m/>
    <m/>
  </r>
  <r>
    <s v="C808392"/>
    <s v="JHON FREDDY ZAPATA MUÑOZ"/>
    <x v="0"/>
    <x v="22"/>
    <s v="BBVA"/>
    <e v="#NAME?"/>
    <s v="SDATOOL-35041 $ Obsolescencia aplicativa 2021 -PSE Comercio"/>
    <n v="1"/>
    <s v="Desarrollador"/>
    <m/>
    <x v="1"/>
    <e v="#NAME?"/>
    <m/>
    <m/>
    <m/>
    <m/>
    <m/>
  </r>
  <r>
    <s v="C805565"/>
    <s v="JHON FREDY PACHECO AVELLA"/>
    <x v="2"/>
    <x v="2"/>
    <s v="BBVA"/>
    <e v="#NAME?"/>
    <s v="SDATOOL-40589 $ Ajuste longitud de cuentas problema 7 digitos"/>
    <n v="0.8"/>
    <s v="Desarrollador"/>
    <m/>
    <x v="1"/>
    <e v="#NAME?"/>
    <m/>
    <m/>
    <m/>
    <m/>
    <m/>
  </r>
  <r>
    <s v="C805565"/>
    <s v="JHON FREDY PACHECO AVELLA"/>
    <x v="2"/>
    <x v="2"/>
    <s v="BBVA"/>
    <e v="#NAME?"/>
    <s v="SDATOOL-39246 $ Nuevo tipo de identificación para extranjeros"/>
    <n v="0.2"/>
    <s v="Desarrollador"/>
    <m/>
    <x v="1"/>
    <e v="#NAME?"/>
    <m/>
    <m/>
    <m/>
    <m/>
    <m/>
  </r>
  <r>
    <s v="C809506"/>
    <s v="JHON FREDY PINZON PAEZ"/>
    <x v="2"/>
    <x v="2"/>
    <s v="BBVA"/>
    <e v="#NAME?"/>
    <s v="NOSDA- BAU $ BAU (Mantenimiento y peq. evolutivos)"/>
    <n v="1"/>
    <s v="Desarrollador"/>
    <m/>
    <x v="1"/>
    <e v="#NAME?"/>
    <m/>
    <m/>
    <m/>
    <m/>
    <m/>
  </r>
  <r>
    <s v="C811329"/>
    <s v="JHON MARIO FORERO"/>
    <x v="2"/>
    <x v="3"/>
    <s v="BBVA"/>
    <e v="#NAME?"/>
    <s v="NOSDA- BAU $ BAU (Mantenimiento y peq. evolutivos)"/>
    <n v="1"/>
    <s v="Desarrollador"/>
    <m/>
    <x v="1"/>
    <e v="#NAME?"/>
    <m/>
    <m/>
    <m/>
    <m/>
    <m/>
  </r>
  <r>
    <s v="CE61687"/>
    <s v="JHONATAN STIV CUADROS CARDENAS"/>
    <x v="2"/>
    <x v="3"/>
    <s v="Accenture"/>
    <e v="#NAME?"/>
    <s v="SDATOOL-36548 $ Optimización consumo web - Plan ascenso Open Market"/>
    <n v="0.7"/>
    <s v="Desarrollador"/>
    <m/>
    <x v="0"/>
    <e v="#NAME?"/>
    <m/>
    <m/>
    <m/>
    <m/>
    <m/>
  </r>
  <r>
    <s v="CE61687"/>
    <s v="JHONATAN STIV CUADROS CARDENAS"/>
    <x v="2"/>
    <x v="3"/>
    <s v="Accenture"/>
    <e v="#NAME?"/>
    <s v="SDATOOL-39272 $ GRM-Col-Cambio servicio APL (Aportes en línea)"/>
    <n v="0.3"/>
    <s v="Desarrollador"/>
    <m/>
    <x v="0"/>
    <e v="#NAME?"/>
    <m/>
    <m/>
    <m/>
    <m/>
    <m/>
  </r>
  <r>
    <s v="T006637"/>
    <s v="Jhonathan Medina"/>
    <x v="3"/>
    <x v="6"/>
    <s v="Neoris"/>
    <e v="#NAME?"/>
    <s v="SDATOOL-9053 $ GloMo Colombia"/>
    <n v="1"/>
    <s v="Desarrollador"/>
    <m/>
    <x v="0"/>
    <e v="#NAME?"/>
    <m/>
    <m/>
    <m/>
    <m/>
    <m/>
  </r>
  <r>
    <s v="CE70146"/>
    <s v="JHONNY ALEXANDER LABRADOR SILGADO"/>
    <x v="4"/>
    <x v="9"/>
    <s v="GGI / CMC"/>
    <e v="#NAME?"/>
    <s v="SDATOOL-35663 $ Capacidades FX GM"/>
    <n v="1"/>
    <s v="Desarrollador"/>
    <m/>
    <x v="0"/>
    <e v="#NAME?"/>
    <m/>
    <m/>
    <m/>
    <m/>
    <m/>
  </r>
  <r>
    <s v="C805978"/>
    <s v="Jimenez Garcia Ariel Andres"/>
    <x v="3"/>
    <x v="25"/>
    <s v="BBVA"/>
    <e v="#NAME?"/>
    <s v="SDATOOL-35350 $ Lean Office (Biblioteca Transaccional y Nuevo Modelo de Impresión)"/>
    <n v="0.5"/>
    <s v="Desarrollador"/>
    <m/>
    <x v="1"/>
    <e v="#NAME?"/>
    <m/>
    <m/>
    <m/>
    <m/>
    <m/>
  </r>
  <r>
    <s v="C805978"/>
    <s v="Jimenez Garcia Ariel Andres"/>
    <x v="3"/>
    <x v="25"/>
    <s v="BBVA"/>
    <e v="#NAME?"/>
    <s v="SDATOOL-37294 $ Gestión de Tráfico en Oficinas"/>
    <n v="0.5"/>
    <s v="Desarrollador"/>
    <m/>
    <x v="1"/>
    <e v="#NAME?"/>
    <m/>
    <m/>
    <m/>
    <m/>
    <m/>
  </r>
  <r>
    <s v="CE67424"/>
    <s v="JIMENEZ MUÑOZ ANA MARIA"/>
    <x v="0"/>
    <x v="8"/>
    <s v="GGI / CMC"/>
    <e v="#NAME?"/>
    <s v="SDATOOL-37130 $ Pago y domiciliación de recaudo"/>
    <n v="1"/>
    <s v="Desarrollador"/>
    <m/>
    <x v="0"/>
    <e v="#NAME?"/>
    <m/>
    <m/>
    <m/>
    <m/>
    <m/>
  </r>
  <r>
    <s v="O001222"/>
    <s v="JIOVANNY SUAREZ GONZALEZ"/>
    <x v="2"/>
    <x v="2"/>
    <s v="BBVA"/>
    <e v="#NAME?"/>
    <s v="SDATOOL-37344 $ Automatización Operaciones en Efectivo"/>
    <n v="0.2"/>
    <s v="Tech Manager/Líder"/>
    <m/>
    <x v="1"/>
    <e v="#NAME?"/>
    <m/>
    <m/>
    <m/>
    <m/>
    <m/>
  </r>
  <r>
    <s v="O001222"/>
    <s v="JIOVANNY SUAREZ GONZALEZ"/>
    <x v="2"/>
    <x v="2"/>
    <s v="BBVA"/>
    <e v="#NAME?"/>
    <s v="SDATOOL-37753 $ Plan de transformación de operaciones 2022"/>
    <n v="0.2"/>
    <s v="Tech Manager/Líder"/>
    <m/>
    <x v="1"/>
    <e v="#NAME?"/>
    <m/>
    <m/>
    <m/>
    <m/>
    <m/>
  </r>
  <r>
    <s v="O001222"/>
    <s v="JIOVANNY SUAREZ GONZALEZ"/>
    <x v="2"/>
    <x v="2"/>
    <s v="BBVA"/>
    <e v="#NAME?"/>
    <s v="SDATOOL-38419 $ Contratación cuenta en línea en Glomo"/>
    <n v="0.2"/>
    <s v="Tech Manager/Líder"/>
    <m/>
    <x v="1"/>
    <e v="#NAME?"/>
    <m/>
    <m/>
    <m/>
    <m/>
    <m/>
  </r>
  <r>
    <s v="O001222"/>
    <s v="JIOVANNY SUAREZ GONZALEZ"/>
    <x v="2"/>
    <x v="2"/>
    <s v="BBVA"/>
    <e v="#NAME?"/>
    <s v="SDATOOL-41950 $ Migracion GMF-MQ Series"/>
    <n v="0.2"/>
    <s v="Tech Manager/Líder"/>
    <m/>
    <x v="1"/>
    <e v="#NAME?"/>
    <m/>
    <m/>
    <m/>
    <m/>
    <m/>
  </r>
  <r>
    <s v="O001222"/>
    <s v="JIOVANNY SUAREZ GONZALEZ"/>
    <x v="2"/>
    <x v="2"/>
    <s v="BBVA"/>
    <e v="#NAME?"/>
    <s v="SDATOOL-41797 $ Optimización Cuenta en línea Web"/>
    <n v="0.2"/>
    <s v="Tech Manager/Líder"/>
    <m/>
    <x v="1"/>
    <e v="#NAME?"/>
    <m/>
    <m/>
    <m/>
    <m/>
    <m/>
  </r>
  <r>
    <s v="C809565"/>
    <s v="Joan Chivata"/>
    <x v="3"/>
    <x v="6"/>
    <s v="BBVA"/>
    <e v="#NAME?"/>
    <s v="NOSDA- BAU $ BAU (Mantenimiento y peq. evolutivos)"/>
    <n v="1"/>
    <s v="Desarrollador"/>
    <m/>
    <x v="1"/>
    <e v="#NAME?"/>
    <m/>
    <m/>
    <m/>
    <m/>
    <m/>
  </r>
  <r>
    <s v="C804602"/>
    <s v="JOAN DE JESUS SANCHEZ CANDANOZA"/>
    <x v="3"/>
    <x v="24"/>
    <s v="BBVA"/>
    <e v="#NAME?"/>
    <s v="NOSDA- BAU $ BAU (Mantenimiento y peq. evolutivos)"/>
    <n v="0.3"/>
    <s v="Desarrollador"/>
    <m/>
    <x v="1"/>
    <e v="#NAME?"/>
    <m/>
    <m/>
    <m/>
    <m/>
    <m/>
  </r>
  <r>
    <s v="C804602"/>
    <s v="JOAN DE JESUS SANCHEZ CANDANOZA"/>
    <x v="3"/>
    <x v="24"/>
    <s v="BBVA"/>
    <e v="#NAME?"/>
    <s v="NOSDA- BAU $ BAU (Mantenimiento y peq. evolutivos)"/>
    <n v="0.5"/>
    <s v="Desarrollador"/>
    <m/>
    <x v="1"/>
    <e v="#NAME?"/>
    <m/>
    <m/>
    <m/>
    <m/>
    <m/>
  </r>
  <r>
    <s v="C804602"/>
    <s v="JOAN DE JESUS SANCHEZ CANDANOZA"/>
    <x v="3"/>
    <x v="24"/>
    <s v="BBVA"/>
    <e v="#NAME?"/>
    <s v="SDATOOL-37750 $ Robotics 2022"/>
    <n v="0.2"/>
    <s v="Desarrollador"/>
    <m/>
    <x v="1"/>
    <e v="#NAME?"/>
    <m/>
    <m/>
    <m/>
    <m/>
    <m/>
  </r>
  <r>
    <s v="CE68193"/>
    <s v="JOAN FEDERICO MARIN RUIZ"/>
    <x v="0"/>
    <x v="15"/>
    <s v="Choucair"/>
    <e v="#NAME?"/>
    <s v="SDATOOL-32905 $ Global Enterprises Mobile App (GEMA)"/>
    <n v="1"/>
    <s v="QA"/>
    <m/>
    <x v="0"/>
    <e v="#NAME?"/>
    <m/>
    <m/>
    <m/>
    <m/>
    <m/>
  </r>
  <r>
    <s v="C342444"/>
    <s v="JOE ESTUPINAN MONTANO"/>
    <x v="3"/>
    <x v="7"/>
    <s v="BBVA"/>
    <e v="#NAME?"/>
    <s v="SDATOOL-36558 $ Transfiya:Transferencias interbancarias inmediatas - Plan Ascenso Privado"/>
    <n v="1"/>
    <s v="Desarrollador"/>
    <m/>
    <x v="1"/>
    <e v="#NAME?"/>
    <m/>
    <m/>
    <m/>
    <m/>
    <m/>
  </r>
  <r>
    <s v="CE70183"/>
    <s v="Joel Andrés Cantillo Nieto"/>
    <x v="3"/>
    <x v="19"/>
    <s v="GGI / CMC"/>
    <e v="#NAME?"/>
    <s v="SDATOOL-37100 $ Soluciones de voz/Internalización del IVR - Plan Ascenso Privado"/>
    <n v="1"/>
    <s v="Desarrollador"/>
    <m/>
    <x v="0"/>
    <e v="#NAME?"/>
    <m/>
    <m/>
    <m/>
    <m/>
    <m/>
  </r>
  <r>
    <s v="C809352"/>
    <s v="JOHAN GARZON PEDRAZA"/>
    <x v="4"/>
    <x v="9"/>
    <s v="BBVA"/>
    <e v="#NAME?"/>
    <s v="NOSDA- BAU $ BAU (Mantenimiento y peq. evolutivos)"/>
    <n v="1"/>
    <s v="Desarrollador"/>
    <m/>
    <x v="1"/>
    <e v="#NAME?"/>
    <m/>
    <m/>
    <m/>
    <m/>
    <m/>
  </r>
  <r>
    <s v="CE56092"/>
    <s v="Johan Sebastian Forero"/>
    <x v="3"/>
    <x v="6"/>
    <s v="GGI / CMC"/>
    <e v="#NAME?"/>
    <s v="SDATOOL-9053 $ GloMo Colombia"/>
    <n v="1"/>
    <s v="QA"/>
    <m/>
    <x v="0"/>
    <e v="#NAME?"/>
    <m/>
    <m/>
    <m/>
    <m/>
    <m/>
  </r>
  <r>
    <s v="CE65276"/>
    <s v="JOHANA IDALY GARZON RUIZ"/>
    <x v="0"/>
    <x v="0"/>
    <s v="Choucair"/>
    <e v="#NAME?"/>
    <s v="SDATOOL-37125 $ Factoring - IBR"/>
    <n v="1"/>
    <s v="QA"/>
    <m/>
    <x v="0"/>
    <e v="#NAME?"/>
    <m/>
    <m/>
    <m/>
    <m/>
    <m/>
  </r>
  <r>
    <m/>
    <s v="JOHANA KATHERIN VASQUEZ QUEVEDO "/>
    <x v="0"/>
    <x v="18"/>
    <s v="GGI / CMC"/>
    <e v="#NAME?"/>
    <s v="SDATOOL-40457 $ SENDA (Base)"/>
    <n v="1"/>
    <s v="Desarrollador"/>
    <m/>
    <x v="0"/>
    <e v="#NAME?"/>
    <m/>
    <m/>
    <m/>
    <m/>
    <m/>
  </r>
  <r>
    <s v="CE66612"/>
    <s v="JOHN ANDRES DIAZ AYALA (Torre)"/>
    <x v="0"/>
    <x v="22"/>
    <s v="Novatec"/>
    <e v="#NAME?"/>
    <s v="NOSDA- BAU $ BAU (Mantenimiento y peq. evolutivos)"/>
    <n v="1"/>
    <s v="Desarrollador"/>
    <s v="CyA"/>
    <x v="0"/>
    <e v="#NAME?"/>
    <m/>
    <m/>
    <m/>
    <m/>
    <m/>
  </r>
  <r>
    <s v="CE34456"/>
    <s v="JOHN EDUAR LUNA SANCHEZ"/>
    <x v="4"/>
    <x v="9"/>
    <s v="GGI / CMC"/>
    <e v="#NAME?"/>
    <s v="SDATOOL-37342 $ SWIFT ISO20022  Ajuste de mensajes Swift a la nueva estructura"/>
    <n v="0.5"/>
    <s v="QA"/>
    <m/>
    <x v="0"/>
    <e v="#NAME?"/>
    <m/>
    <m/>
    <m/>
    <m/>
    <m/>
  </r>
  <r>
    <s v="CE34456"/>
    <s v="JOHN EDUAR LUNA SANCHEZ"/>
    <x v="4"/>
    <x v="9"/>
    <s v="GGI / CMC"/>
    <e v="#NAME?"/>
    <s v="SDATOOL-40269 $ Actualización y transmisión Declaraciones de Cambio – Banco de la República Abril 2022."/>
    <n v="0.25"/>
    <s v="QA"/>
    <m/>
    <x v="0"/>
    <e v="#NAME?"/>
    <m/>
    <m/>
    <m/>
    <m/>
    <m/>
  </r>
  <r>
    <s v="CE34456"/>
    <s v="JOHN EDUAR LUNA SANCHEZ"/>
    <x v="4"/>
    <x v="9"/>
    <s v="GGI / CMC"/>
    <e v="#NAME?"/>
    <s v="NOSDA- BAU $ BAU (Mantenimiento y peq. evolutivos)"/>
    <n v="0.25"/>
    <s v="QA"/>
    <m/>
    <x v="0"/>
    <e v="#NAME?"/>
    <m/>
    <m/>
    <m/>
    <m/>
    <m/>
  </r>
  <r>
    <s v="T007646"/>
    <s v="John Edwin Riascos Castillo"/>
    <x v="2"/>
    <x v="20"/>
    <s v="TRYCORE"/>
    <e v="#NAME?"/>
    <s v="SDATOOL-36509 $ Centralización de la formalización de desembolsos Pymes"/>
    <n v="1"/>
    <s v="Desarrollador"/>
    <m/>
    <x v="0"/>
    <e v="#NAME?"/>
    <m/>
    <m/>
    <m/>
    <m/>
    <m/>
  </r>
  <r>
    <s v="O001720"/>
    <s v="John Fernando Arevalo Bermudez"/>
    <x v="1"/>
    <x v="1"/>
    <s v="BBVA"/>
    <e v="#NAME?"/>
    <s v="SDATOOL-40658 $ GRM Col - Cronos Collections - Estrategia"/>
    <n v="0.5"/>
    <s v="Desarrollador"/>
    <m/>
    <x v="1"/>
    <e v="#NAME?"/>
    <m/>
    <m/>
    <m/>
    <m/>
    <m/>
  </r>
  <r>
    <s v="O001720"/>
    <s v="John Fernando Arevalo Bermudez"/>
    <x v="1"/>
    <x v="1"/>
    <s v="BBVA"/>
    <e v="#NAME?"/>
    <s v="NOSDA- BAU $ BAU (Mantenimiento y peq. evolutivos)"/>
    <n v="0.2"/>
    <s v="Desarrollador"/>
    <m/>
    <x v="1"/>
    <e v="#NAME?"/>
    <m/>
    <m/>
    <m/>
    <m/>
    <m/>
  </r>
  <r>
    <s v="O001720"/>
    <s v="John Fernando Arevalo Bermudez"/>
    <x v="1"/>
    <x v="1"/>
    <s v="BBVA"/>
    <e v="#NAME?"/>
    <s v="SDATOOL-42098 $ GRM Col CRONOS Batch - Campañas SMeS"/>
    <n v="0.3"/>
    <s v="Desarrollador"/>
    <m/>
    <x v="1"/>
    <e v="#NAME?"/>
    <m/>
    <m/>
    <m/>
    <m/>
    <m/>
  </r>
  <r>
    <s v="C342550"/>
    <s v="JOHN FREDDY JIMENEZ"/>
    <x v="3"/>
    <x v="4"/>
    <s v="BBVA"/>
    <e v="#NAME?"/>
    <s v="NOSDA- BAU $ BAU (Mantenimiento y peq. evolutivos)"/>
    <n v="0.2"/>
    <s v="Tech Manager/Líder"/>
    <m/>
    <x v="1"/>
    <e v="#NAME?"/>
    <m/>
    <m/>
    <m/>
    <m/>
    <m/>
  </r>
  <r>
    <s v="C342550"/>
    <s v="JOHN FREDDY JIMENEZ"/>
    <x v="3"/>
    <x v="4"/>
    <s v="BBVA"/>
    <e v="#NAME?"/>
    <s v="SDATOOL-37121 $ Plan CRM: Seguimiento al pipeline"/>
    <n v="0.2"/>
    <s v="Tech Manager/Líder"/>
    <m/>
    <x v="1"/>
    <e v="#NAME?"/>
    <m/>
    <m/>
    <m/>
    <m/>
    <m/>
  </r>
  <r>
    <s v="C342550"/>
    <s v="JOHN FREDDY JIMENEZ"/>
    <x v="3"/>
    <x v="4"/>
    <s v="BBVA"/>
    <e v="#NAME?"/>
    <s v="SDATOOL-39272 $ Cambio servicio APL (Aportes en línea)- Integración AUG con nuevo motor laboral (OVI)"/>
    <n v="0.2"/>
    <s v="Tech Manager/Líder"/>
    <m/>
    <x v="1"/>
    <e v="#NAME?"/>
    <m/>
    <m/>
    <m/>
    <m/>
    <m/>
  </r>
  <r>
    <s v="C342550"/>
    <s v="JOHN FREDDY JIMENEZ"/>
    <x v="3"/>
    <x v="4"/>
    <s v="BBVA"/>
    <e v="#NAME?"/>
    <s v="SDATOOL-40672 $ Plan CRM: Mejoras AUG (Banca Comercial y CSF) Equipo A"/>
    <n v="0.2"/>
    <s v="Tech Manager/Líder"/>
    <m/>
    <x v="1"/>
    <e v="#NAME?"/>
    <m/>
    <m/>
    <m/>
    <m/>
    <m/>
  </r>
  <r>
    <s v="C342550"/>
    <s v="JOHN FREDDY JIMENEZ"/>
    <x v="3"/>
    <x v="4"/>
    <s v="BBVA"/>
    <e v="#NAME?"/>
    <s v="SDATOOL-40690 $ Plan CRM: Mejoras AUG (Banca Comercial y CSF) Equipo B"/>
    <n v="0.2"/>
    <s v="Tech Manager/Líder"/>
    <m/>
    <x v="1"/>
    <e v="#NAME?"/>
    <m/>
    <m/>
    <m/>
    <m/>
    <m/>
  </r>
  <r>
    <s v="CE56244"/>
    <s v="JOHN HERRERA J"/>
    <x v="2"/>
    <x v="2"/>
    <s v="SII"/>
    <e v="#NAME?"/>
    <s v="SDATOOL-37344 $ Automatización Operaciones en Efectivo"/>
    <n v="0.3"/>
    <s v="Desarrollador"/>
    <s v="Líder Fábrica"/>
    <x v="0"/>
    <e v="#NAME?"/>
    <m/>
    <m/>
    <m/>
    <m/>
    <m/>
  </r>
  <r>
    <s v="C805564"/>
    <s v="JOHN JAIRO CARDENAS SANABRIA"/>
    <x v="3"/>
    <x v="13"/>
    <s v="BBVA"/>
    <e v="#NAME?"/>
    <s v="SDATOOL-39871 $ Cbs Gelsa Paga todo"/>
    <n v="0.6"/>
    <s v="Desarrollador"/>
    <m/>
    <x v="1"/>
    <e v="#NAME?"/>
    <m/>
    <m/>
    <m/>
    <m/>
    <m/>
  </r>
  <r>
    <s v="C805564"/>
    <s v="JOHN JAIRO CARDENAS SANABRIA"/>
    <x v="3"/>
    <x v="13"/>
    <s v="BBVA"/>
    <e v="#NAME?"/>
    <s v="NOSDA- BAU $ BAU (Mantenimiento y peq. evolutivos)"/>
    <n v="0.1"/>
    <s v="Desarrollador"/>
    <m/>
    <x v="1"/>
    <e v="#NAME?"/>
    <m/>
    <m/>
    <m/>
    <m/>
    <m/>
  </r>
  <r>
    <s v="C805564"/>
    <s v="JOHN JAIRO CARDENAS SANABRIA"/>
    <x v="3"/>
    <x v="13"/>
    <s v="BBVA"/>
    <e v="#NAME?"/>
    <s v="SDATOOL-40581 $ Corresponsal Bancario Ya Ganaste"/>
    <n v="0.3"/>
    <s v="Desarrollador"/>
    <m/>
    <x v="1"/>
    <e v="#NAME?"/>
    <m/>
    <m/>
    <m/>
    <m/>
    <m/>
  </r>
  <r>
    <s v="CE70382"/>
    <s v="JOHN JAIRO RIVERA PENA "/>
    <x v="0"/>
    <x v="27"/>
    <s v="Choucair"/>
    <e v="#NAME?"/>
    <s v="SDATOOL-33847 $ Resolución 0042 DIAN Documento Soporte"/>
    <n v="1"/>
    <s v="QA"/>
    <m/>
    <x v="0"/>
    <e v="#NAME?"/>
    <m/>
    <m/>
    <m/>
    <m/>
    <m/>
  </r>
  <r>
    <s v="C810881"/>
    <s v="JOHN MAICOL NUÑEZ SANTA"/>
    <x v="0"/>
    <x v="0"/>
    <s v="BBVA"/>
    <e v="#NAME?"/>
    <s v="SDATOOL-37086 $ Factura electrónica (radian)"/>
    <n v="0.25"/>
    <s v="Desarrollador"/>
    <m/>
    <x v="1"/>
    <e v="#NAME?"/>
    <m/>
    <m/>
    <m/>
    <m/>
    <m/>
  </r>
  <r>
    <s v="C810881"/>
    <s v="JOHN MAICOL NUÑEZ SANTA"/>
    <x v="0"/>
    <x v="0"/>
    <s v="BBVA"/>
    <e v="#NAME?"/>
    <s v="SDATOOL-40438 $ CIRCULAR 032 del 2021 - REQUERIMIENTO FISCALIA GENERAL DE LA NACION"/>
    <n v="0.75"/>
    <s v="Desarrollador"/>
    <m/>
    <x v="1"/>
    <e v="#NAME?"/>
    <m/>
    <m/>
    <m/>
    <m/>
    <m/>
  </r>
  <r>
    <s v="CE65559"/>
    <s v="JOHN MARLON NUÑEZ NIÑO"/>
    <x v="0"/>
    <x v="15"/>
    <s v="Neoris"/>
    <e v="#NAME?"/>
    <s v="SDATOOL-32905 $ Global Enterprises Mobile App (GEMA)"/>
    <n v="1"/>
    <s v="Desarrollador"/>
    <m/>
    <x v="0"/>
    <e v="#NAME?"/>
    <m/>
    <m/>
    <m/>
    <m/>
    <m/>
  </r>
  <r>
    <s v="T001731"/>
    <s v="John Zamora"/>
    <x v="3"/>
    <x v="6"/>
    <s v="Indra"/>
    <e v="#NAME?"/>
    <s v="SDATOOL-9053 $ GloMo Colombia"/>
    <n v="1"/>
    <s v="Desarrollador"/>
    <m/>
    <x v="0"/>
    <e v="#NAME?"/>
    <m/>
    <m/>
    <m/>
    <m/>
    <m/>
  </r>
  <r>
    <s v="CE69624"/>
    <s v="JONATHAN ALVARADO CHACON"/>
    <x v="2"/>
    <x v="3"/>
    <s v="Accenture"/>
    <e v="#NAME?"/>
    <s v="SDATOOL-34910 $ Libranza Digital"/>
    <n v="1"/>
    <s v="Desarrollador"/>
    <m/>
    <x v="0"/>
    <e v="#NAME?"/>
    <m/>
    <m/>
    <m/>
    <m/>
    <m/>
  </r>
  <r>
    <s v="O000118"/>
    <s v="Jonathan Angel Murcia    "/>
    <x v="1"/>
    <x v="10"/>
    <s v="BBVA"/>
    <e v="#NAME?"/>
    <s v="NOSDA- BAU $ BAU (Mantenimiento y peq. evolutivos)"/>
    <n v="1"/>
    <s v="Desarrollador"/>
    <m/>
    <x v="1"/>
    <e v="#NAME?"/>
    <m/>
    <m/>
    <m/>
    <m/>
    <m/>
  </r>
  <r>
    <s v="O001825"/>
    <s v="JONATHAN FABIAN PAEZ TORRES"/>
    <x v="4"/>
    <x v="9"/>
    <s v="BBVA"/>
    <e v="#NAME?"/>
    <s v="SDATOOL-39217 $ Aplicativos Tesorería 2022"/>
    <n v="0.5"/>
    <s v="Desarrollador"/>
    <m/>
    <x v="1"/>
    <e v="#NAME?"/>
    <m/>
    <m/>
    <m/>
    <m/>
    <m/>
  </r>
  <r>
    <s v="O001825"/>
    <s v="JONATHAN FABIAN PAEZ TORRES"/>
    <x v="4"/>
    <x v="9"/>
    <s v="BBVA"/>
    <e v="#NAME?"/>
    <s v="SDATOOL-31461 $ Liquidación Swaps Cross Crurrency Delivery"/>
    <n v="0.25"/>
    <s v="Desarrollador"/>
    <m/>
    <x v="1"/>
    <e v="#NAME?"/>
    <m/>
    <m/>
    <m/>
    <m/>
    <m/>
  </r>
  <r>
    <s v="O001825"/>
    <s v="JONATHAN FABIAN PAEZ TORRES"/>
    <x v="4"/>
    <x v="9"/>
    <s v="BBVA"/>
    <e v="#NAME?"/>
    <s v="SDATOOL-41308 $ Aplicativos Tesorería 2023"/>
    <n v="0.25"/>
    <s v="Desarrollador"/>
    <m/>
    <x v="1"/>
    <e v="#NAME?"/>
    <m/>
    <m/>
    <m/>
    <m/>
    <m/>
  </r>
  <r>
    <s v="O002419"/>
    <s v="Jonathan Garzon Peña"/>
    <x v="3"/>
    <x v="4"/>
    <s v="BBVA"/>
    <e v="#NAME?"/>
    <s v="SDATOOL-37121 $ Plan CRM: Seguimiento al pipeline"/>
    <n v="1"/>
    <s v="Desarrollador"/>
    <m/>
    <x v="1"/>
    <e v="#NAME?"/>
    <m/>
    <m/>
    <m/>
    <m/>
    <m/>
  </r>
  <r>
    <s v="C810664"/>
    <s v="Jonathan Marcell Gutierrez Riaño"/>
    <x v="3"/>
    <x v="6"/>
    <s v="BBVA"/>
    <e v="#NAME?"/>
    <s v="NOSDA- BAU $ BAU (Mantenimiento y peq. evolutivos)"/>
    <n v="1"/>
    <s v="Desarrollador"/>
    <m/>
    <x v="1"/>
    <e v="#NAME?"/>
    <m/>
    <m/>
    <m/>
    <m/>
    <m/>
  </r>
  <r>
    <s v="C808132"/>
    <s v="JONNATHAN ARMANDO ASTROZ MARIN"/>
    <x v="4"/>
    <x v="14"/>
    <s v="BBVA"/>
    <e v="#NAME?"/>
    <s v="NOSDA- BAU $ BAU (Mantenimiento y peq. evolutivos)"/>
    <n v="1"/>
    <s v="Desarrollador"/>
    <m/>
    <x v="1"/>
    <e v="#NAME?"/>
    <m/>
    <m/>
    <m/>
    <m/>
    <m/>
  </r>
  <r>
    <s v="C810669"/>
    <s v="JORGE ANDRES MANRIQUE MARTINEZ"/>
    <x v="3"/>
    <x v="19"/>
    <s v="BBVA"/>
    <e v="#NAME?"/>
    <s v="SDATOOL-37100 $ Soluciones de voz/Internalización del IVR - Plan Ascenso Privado"/>
    <n v="1"/>
    <s v="Desarrollador"/>
    <m/>
    <x v="1"/>
    <e v="#NAME?"/>
    <m/>
    <m/>
    <m/>
    <m/>
    <m/>
  </r>
  <r>
    <s v="C811355"/>
    <s v="JORGE ANDRES REINA ANGULO"/>
    <x v="0"/>
    <x v="15"/>
    <s v="BBVA"/>
    <e v="#NAME?"/>
    <s v="SDATOOL-39354 $ My business Open Pay - Plan Ascenso Mercurio"/>
    <n v="1"/>
    <s v="Desarrollador"/>
    <m/>
    <x v="1"/>
    <e v="#NAME?"/>
    <m/>
    <m/>
    <m/>
    <m/>
    <m/>
  </r>
  <r>
    <s v="C805972"/>
    <s v="JORGE ARMANDO MILLAN GOMEZ"/>
    <x v="0"/>
    <x v="0"/>
    <s v="BBVA"/>
    <e v="#NAME?"/>
    <s v="SDATOOL-36547 $ PLAN MAYOR -PLAN MENOR. Plan ascenso Open Market"/>
    <n v="1"/>
    <s v="Desarrollador"/>
    <m/>
    <x v="1"/>
    <e v="#NAME?"/>
    <m/>
    <m/>
    <m/>
    <m/>
    <m/>
  </r>
  <r>
    <s v="CE68404"/>
    <s v="JORGE ARMANDO YANQUEN YANQUEN"/>
    <x v="2"/>
    <x v="3"/>
    <s v="Choucair"/>
    <e v="#NAME?"/>
    <s v="SDATOOL-36522 $ Libranza E2E digital Fase III - Plan Ascenso Privado"/>
    <n v="1"/>
    <s v="QA"/>
    <m/>
    <x v="0"/>
    <e v="#NAME?"/>
    <m/>
    <m/>
    <m/>
    <m/>
    <m/>
  </r>
  <r>
    <s v="CE59519"/>
    <s v="JORGE DANILO BUITRAGO HERNANDEZ"/>
    <x v="2"/>
    <x v="3"/>
    <s v="Inetum"/>
    <e v="#NAME?"/>
    <s v="SDATOOL-36560 $ Pricing de libranza - Plan Ascenso Open Market"/>
    <n v="1"/>
    <s v="Desarrollador"/>
    <m/>
    <x v="0"/>
    <e v="#NAME?"/>
    <m/>
    <m/>
    <m/>
    <m/>
    <m/>
  </r>
  <r>
    <s v="CE66252"/>
    <s v="Jorge Enrique Carrillo Diaz"/>
    <x v="1"/>
    <x v="1"/>
    <s v="GGI / CMC"/>
    <e v="#NAME?"/>
    <s v="SDATOOL-39463 $ GRM Col - Actualización Versión Power Curve."/>
    <n v="0.7"/>
    <s v="QA"/>
    <m/>
    <x v="0"/>
    <e v="#NAME?"/>
    <m/>
    <m/>
    <m/>
    <m/>
    <m/>
  </r>
  <r>
    <s v="CE66252"/>
    <s v="Jorge Enrique Carrillo Diaz"/>
    <x v="1"/>
    <x v="1"/>
    <s v="GGI / CMC"/>
    <e v="#NAME?"/>
    <s v="SDATOOL-40545 $ GRM Col - Mejoras Evolutivas de Aplicativos y Herramientas de Riesgos 2023"/>
    <n v="0.3"/>
    <s v="QA"/>
    <m/>
    <x v="0"/>
    <e v="#NAME?"/>
    <m/>
    <m/>
    <m/>
    <m/>
    <m/>
  </r>
  <r>
    <s v="O000959"/>
    <s v="JORGE ESTEBAN LLANOS"/>
    <x v="3"/>
    <x v="16"/>
    <s v="BBVA"/>
    <e v="#NAME?"/>
    <s v="SDATOOL-39348 $ tarjeta de crédito Open Market Fallback product"/>
    <n v="1"/>
    <s v="Desarrollador"/>
    <m/>
    <x v="1"/>
    <e v="#NAME?"/>
    <m/>
    <m/>
    <m/>
    <m/>
    <m/>
  </r>
  <r>
    <s v="CE41784"/>
    <s v="JORGE HUMBERTO MARTINEZ MARIN"/>
    <x v="4"/>
    <x v="9"/>
    <s v="Novatec"/>
    <e v="#NAME?"/>
    <s v="SDATOOL-40269 $ Actualización y transmisión Declaraciones de Cambio – Banco de la República Abril 2022."/>
    <n v="1"/>
    <s v="Desarrollador"/>
    <m/>
    <x v="0"/>
    <e v="#NAME?"/>
    <m/>
    <m/>
    <m/>
    <m/>
    <m/>
  </r>
  <r>
    <s v="T009935"/>
    <s v="JORGE LUIS MONTEJO (Torre)"/>
    <x v="0"/>
    <x v="22"/>
    <s v="Novatec"/>
    <e v="#NAME?"/>
    <s v="NOSDA- BAU $ BAU (Mantenimiento y peq. evolutivos)"/>
    <n v="0.5"/>
    <s v="Desarrollador"/>
    <s v="Recaudos"/>
    <x v="0"/>
    <e v="#NAME?"/>
    <m/>
    <m/>
    <m/>
    <m/>
    <m/>
  </r>
  <r>
    <s v="C811332"/>
    <s v="JORGE LUIS SALAMANCA ORTIZ"/>
    <x v="2"/>
    <x v="2"/>
    <s v="BBVA"/>
    <e v="#NAME?"/>
    <s v="SDATOOL-37753 $ Plan de transformación de operaciones 2022"/>
    <n v="0.5"/>
    <s v="Desarrollador"/>
    <m/>
    <x v="1"/>
    <e v="#NAME?"/>
    <m/>
    <m/>
    <m/>
    <m/>
    <m/>
  </r>
  <r>
    <s v="C811332"/>
    <s v="JORGE LUIS SALAMANCA ORTIZ"/>
    <x v="2"/>
    <x v="2"/>
    <s v="BBVA"/>
    <e v="#NAME?"/>
    <s v="SDATOOL-40438 $ CIRCULAR 032 del 2021 - REQUERIMIENTO FISCALIA GENERAL DE LA NACION"/>
    <n v="0.5"/>
    <s v="Desarrollador"/>
    <m/>
    <x v="1"/>
    <e v="#NAME?"/>
    <m/>
    <m/>
    <m/>
    <m/>
    <m/>
  </r>
  <r>
    <s v="C811264"/>
    <s v="JORGE LUIS URBINA"/>
    <x v="2"/>
    <x v="5"/>
    <s v="BBVA"/>
    <e v="#NAME?"/>
    <s v="SDATOOL-36556 $ Parthnerships - Tarjeta de crédito en punto de venta físico  aliados"/>
    <n v="0.2"/>
    <s v="Desarrollador"/>
    <m/>
    <x v="1"/>
    <e v="#NAME?"/>
    <m/>
    <m/>
    <m/>
    <m/>
    <m/>
  </r>
  <r>
    <s v="C811264"/>
    <s v="JORGE LUIS URBINA"/>
    <x v="2"/>
    <x v="5"/>
    <s v="BBVA"/>
    <e v="#NAME?"/>
    <s v="NOSDA- BAU $ BAU (Mantenimiento y peq. evolutivos)"/>
    <n v="0.3"/>
    <s v="Desarrollador"/>
    <m/>
    <x v="1"/>
    <e v="#NAME?"/>
    <m/>
    <m/>
    <m/>
    <m/>
    <m/>
  </r>
  <r>
    <s v="C811264"/>
    <s v="JORGE LUIS URBINA"/>
    <x v="2"/>
    <x v="5"/>
    <s v="BBVA"/>
    <e v="#NAME?"/>
    <s v="SDATOOL-40613 $ Códigos MAC"/>
    <n v="0.5"/>
    <s v="Desarrollador"/>
    <m/>
    <x v="1"/>
    <e v="#NAME?"/>
    <m/>
    <m/>
    <m/>
    <m/>
    <m/>
  </r>
  <r>
    <s v="CE68692"/>
    <s v="JORGE MENESES"/>
    <x v="1"/>
    <x v="10"/>
    <s v="Indra"/>
    <e v="#NAME?"/>
    <s v="NOSDA- BAU $ BAU (Mantenimiento y peq. evolutivos)"/>
    <n v="1"/>
    <s v="Desarrollador"/>
    <m/>
    <x v="0"/>
    <e v="#NAME?"/>
    <m/>
    <m/>
    <m/>
    <m/>
    <m/>
  </r>
  <r>
    <s v="C811393"/>
    <s v="JORGE NELSON GARCIA"/>
    <x v="2"/>
    <x v="5"/>
    <s v="BBVA"/>
    <e v="#NAME?"/>
    <s v="SDATOOL-38589 $ Mandatorio tokenización"/>
    <n v="0.3"/>
    <s v="Desarrollador"/>
    <m/>
    <x v="1"/>
    <e v="#NAME?"/>
    <m/>
    <m/>
    <m/>
    <m/>
    <m/>
  </r>
  <r>
    <s v="C811393"/>
    <s v="JORGE NELSON GARCIA"/>
    <x v="2"/>
    <x v="5"/>
    <s v="BBVA"/>
    <e v="#NAME?"/>
    <s v="SDATOOL-40442 $ M4M - Tokenización Mastercard"/>
    <n v="0.25"/>
    <s v="Desarrollador"/>
    <m/>
    <x v="1"/>
    <e v="#NAME?"/>
    <m/>
    <m/>
    <m/>
    <m/>
    <m/>
  </r>
  <r>
    <s v="C811393"/>
    <s v="JORGE NELSON GARCIA"/>
    <x v="2"/>
    <x v="5"/>
    <s v="BBVA"/>
    <e v="#NAME?"/>
    <s v="SDATOOL-41726 $ EXTRACUPO TARJETA DE CREDITO"/>
    <n v="0.3"/>
    <s v="Desarrollador"/>
    <m/>
    <x v="1"/>
    <e v="#NAME?"/>
    <m/>
    <m/>
    <m/>
    <m/>
    <m/>
  </r>
  <r>
    <s v="C811393"/>
    <s v="JORGE NELSON GARCIA"/>
    <x v="2"/>
    <x v="5"/>
    <s v="BBVA"/>
    <e v="#NAME?"/>
    <s v="NOSDA- BAU $ BAU (Mantenimiento y peq. evolutivos)"/>
    <n v="0.15"/>
    <s v="Desarrollador"/>
    <m/>
    <x v="1"/>
    <e v="#NAME?"/>
    <m/>
    <m/>
    <m/>
    <m/>
    <m/>
  </r>
  <r>
    <s v="C808164"/>
    <s v="JORGE SEBASTIAN RODRIGUEZ MORA"/>
    <x v="0"/>
    <x v="22"/>
    <s v="BBVA"/>
    <e v="#NAME?"/>
    <s v="SDATOOL-38770 $ Marcación y cobro de comisiones PSE"/>
    <n v="1"/>
    <s v="Desarrollador"/>
    <m/>
    <x v="1"/>
    <e v="#NAME?"/>
    <m/>
    <m/>
    <m/>
    <m/>
    <m/>
  </r>
  <r>
    <s v="CE49917"/>
    <s v="JORGE TAUTIVA MELO"/>
    <x v="2"/>
    <x v="5"/>
    <s v="Novatec"/>
    <e v="#NAME?"/>
    <s v="SDATOOL-37057 $ Pagos QR - Entre cuentas Redeban - Plan Ascenso Mercurio"/>
    <n v="0.5"/>
    <s v="Desarrollador"/>
    <m/>
    <x v="0"/>
    <e v="#NAME?"/>
    <m/>
    <m/>
    <m/>
    <m/>
    <m/>
  </r>
  <r>
    <s v="CE49917"/>
    <s v="JORGE TAUTIVA MELO"/>
    <x v="2"/>
    <x v="5"/>
    <s v="Novatec"/>
    <e v="#NAME?"/>
    <s v="SDATOOL-37061 $ Plan de Lealtad Comecios -Plan Ascenso Autónomos"/>
    <n v="0.5"/>
    <s v="Desarrollador"/>
    <m/>
    <x v="0"/>
    <e v="#NAME?"/>
    <m/>
    <m/>
    <m/>
    <m/>
    <m/>
  </r>
  <r>
    <s v="CE67104"/>
    <s v="JORGE TORRES"/>
    <x v="4"/>
    <x v="9"/>
    <s v="Accenture"/>
    <e v="#NAME?"/>
    <s v="SDATOOL-39217 $ Aplicativos Tesorería 2022"/>
    <n v="1"/>
    <s v="Desarrollador"/>
    <m/>
    <x v="0"/>
    <e v="#NAME?"/>
    <m/>
    <m/>
    <m/>
    <m/>
    <m/>
  </r>
  <r>
    <s v="CE03425"/>
    <s v="JORGE VICENTE SALAS PERILLA"/>
    <x v="2"/>
    <x v="2"/>
    <s v="KRYPTO"/>
    <e v="#NAME?"/>
    <s v="SDATOOL-40589 $ Ajuste longitud de cuentas problema 7 digitos"/>
    <n v="0.2"/>
    <s v="Desarrollador"/>
    <m/>
    <x v="0"/>
    <e v="#NAME?"/>
    <m/>
    <m/>
    <m/>
    <m/>
    <m/>
  </r>
  <r>
    <s v="CE03425"/>
    <s v="JORGE VICENTE SALAS PERILLA"/>
    <x v="2"/>
    <x v="2"/>
    <s v="KRYPTO"/>
    <e v="#NAME?"/>
    <s v="SDATOOL-37111 $ Cuenta Maestra Adres"/>
    <n v="0.4"/>
    <s v="Desarrollador"/>
    <m/>
    <x v="0"/>
    <e v="#NAME?"/>
    <m/>
    <m/>
    <m/>
    <m/>
    <m/>
  </r>
  <r>
    <s v="CE03425"/>
    <s v="JORGE VICENTE SALAS PERILLA"/>
    <x v="2"/>
    <x v="2"/>
    <s v="KRYPTO"/>
    <e v="#NAME?"/>
    <s v="SDATOOL-40771 $ Resolución Cuentas Maestras y Cuentas Maestras para Pagos Electrónicos (PSE): Anexo Técnico - Nuevo reporte de información"/>
    <n v="0.4"/>
    <s v="Desarrollador"/>
    <m/>
    <x v="0"/>
    <e v="#NAME?"/>
    <m/>
    <m/>
    <m/>
    <m/>
    <m/>
  </r>
  <r>
    <s v="O002469"/>
    <s v="JOSE AGUSTIN PALOMINO PARDO"/>
    <x v="3"/>
    <x v="13"/>
    <s v="BBVA"/>
    <e v="#NAME?"/>
    <s v="NOSDA- BAU $ BAU (Mantenimiento y peq. evolutivos)"/>
    <n v="0.75"/>
    <s v="Desarrollador"/>
    <m/>
    <x v="1"/>
    <e v="#NAME?"/>
    <m/>
    <m/>
    <m/>
    <m/>
    <m/>
  </r>
  <r>
    <s v="O002469"/>
    <s v="JOSE AGUSTIN PALOMINO PARDO"/>
    <x v="3"/>
    <x v="13"/>
    <s v="BBVA"/>
    <e v="#NAME?"/>
    <s v="SDATOOL-40581 $ Corresponsal Bancario Ya Ganaste"/>
    <n v="0.25"/>
    <s v="Desarrollador"/>
    <m/>
    <x v="1"/>
    <e v="#NAME?"/>
    <m/>
    <m/>
    <m/>
    <m/>
    <m/>
  </r>
  <r>
    <s v="T000865 "/>
    <s v="JOSE ALEXIS CASTRILLON ESPINOSA "/>
    <x v="1"/>
    <x v="10"/>
    <s v="Indra"/>
    <e v="#NAME?"/>
    <s v="NOSDA- BAU $ BAU (Mantenimiento y peq. evolutivos)"/>
    <n v="1"/>
    <s v="Desarrollador"/>
    <m/>
    <x v="0"/>
    <e v="#NAME?"/>
    <m/>
    <m/>
    <m/>
    <m/>
    <m/>
  </r>
  <r>
    <s v="C804723"/>
    <s v="JOSE BLADIMIR INAMPUES TUTALCHA"/>
    <x v="2"/>
    <x v="5"/>
    <s v="BBVA"/>
    <e v="#NAME?"/>
    <s v="SDATOOL-40455 $ Comisión porcentaje compras internacionales Mastercard y Visa Fase 2"/>
    <n v="0.3"/>
    <s v="Desarrollador"/>
    <m/>
    <x v="1"/>
    <e v="#NAME?"/>
    <m/>
    <m/>
    <m/>
    <m/>
    <m/>
  </r>
  <r>
    <s v="C804723"/>
    <s v="JOSE BLADIMIR INAMPUES TUTALCHA"/>
    <x v="2"/>
    <x v="5"/>
    <s v="BBVA"/>
    <e v="#NAME?"/>
    <s v="NOSDA- BAU $ BAU (Mantenimiento y peq. evolutivos)"/>
    <n v="0.7"/>
    <s v="Desarrollador"/>
    <m/>
    <x v="1"/>
    <e v="#NAME?"/>
    <m/>
    <m/>
    <m/>
    <m/>
    <m/>
  </r>
  <r>
    <s v="CE56755"/>
    <s v="JOSE DANIEL TORRES ANZOLA"/>
    <x v="2"/>
    <x v="2"/>
    <s v="SII"/>
    <e v="#NAME?"/>
    <s v="SDATOOL-38481 $ Pricing Pasivos (optimización portafolio) - Plan Ascenso Cross Sell"/>
    <n v="0.3"/>
    <s v="Desarrollador"/>
    <m/>
    <x v="0"/>
    <e v="#NAME?"/>
    <m/>
    <m/>
    <m/>
    <m/>
    <m/>
  </r>
  <r>
    <s v="CE68579"/>
    <s v="JOSE DOMENICO MEJIAS SAAVEDRA"/>
    <x v="2"/>
    <x v="2"/>
    <s v="SII"/>
    <e v="#NAME?"/>
    <s v="SDATOOL-38481 $ Pricing Pasivos (optimización portafolio) - Plan Ascenso Cross Sell"/>
    <n v="1"/>
    <s v="Desarrollador"/>
    <m/>
    <x v="0"/>
    <e v="#NAME?"/>
    <m/>
    <m/>
    <m/>
    <m/>
    <m/>
  </r>
  <r>
    <s v="O001644"/>
    <s v="JOSE LUIS SARTA ALVAREZ"/>
    <x v="0"/>
    <x v="15"/>
    <s v="BBVA"/>
    <e v="#NAME?"/>
    <s v="NOSDA- BAU $ BAU (Mantenimiento y peq. evolutivos)"/>
    <n v="1"/>
    <s v="Desarrollador"/>
    <m/>
    <x v="1"/>
    <e v="#NAME?"/>
    <m/>
    <m/>
    <m/>
    <m/>
    <m/>
  </r>
  <r>
    <s v="C805323"/>
    <s v="JOSE MIGUEL PARDO"/>
    <x v="0"/>
    <x v="0"/>
    <s v="BBVA"/>
    <e v="#NAME?"/>
    <s v="SDATOOL-37125 $ Factoring - IBR"/>
    <n v="1"/>
    <s v="Desarrollador"/>
    <m/>
    <x v="1"/>
    <e v="#NAME?"/>
    <m/>
    <m/>
    <m/>
    <m/>
    <m/>
  </r>
  <r>
    <s v="C341931"/>
    <s v="JOSE MIGUEL SANCHEZ BARRANTES"/>
    <x v="2"/>
    <x v="5"/>
    <s v="BBVA"/>
    <e v="#NAME?"/>
    <s v="SDATOOL-37061 $ Plan de Lealtad Comecios -Plan Ascenso Autónomos"/>
    <n v="0.5"/>
    <s v="Tech Manager/Líder"/>
    <m/>
    <x v="1"/>
    <e v="#NAME?"/>
    <m/>
    <m/>
    <m/>
    <m/>
    <m/>
  </r>
  <r>
    <s v="C341931"/>
    <s v="JOSE MIGUEL SANCHEZ BARRANTES"/>
    <x v="2"/>
    <x v="5"/>
    <s v="BBVA"/>
    <e v="#NAME?"/>
    <s v="SDATOOL-37057 $ Pagos QR - Entre cuentas Redeban - Plan Ascenso Mercurio"/>
    <n v="0.5"/>
    <s v="Tech Manager/Líder"/>
    <m/>
    <x v="1"/>
    <e v="#NAME?"/>
    <m/>
    <m/>
    <m/>
    <m/>
    <m/>
  </r>
  <r>
    <s v="CE61162"/>
    <s v="JOSE PERFECTO"/>
    <x v="4"/>
    <x v="9"/>
    <s v="Accenture"/>
    <e v="#NAME?"/>
    <s v="SDATOOL-38735 $ Dynamic Pricing"/>
    <n v="0.4"/>
    <s v="Tech Manager/Líder"/>
    <m/>
    <x v="0"/>
    <e v="#NAME?"/>
    <m/>
    <m/>
    <m/>
    <m/>
    <m/>
  </r>
  <r>
    <s v="CE61162"/>
    <s v="JOSE PERFECTO"/>
    <x v="4"/>
    <x v="9"/>
    <s v="Accenture"/>
    <e v="#NAME?"/>
    <s v="SDATOOL-31461 $ Liquidación Swaps Cross Crurrency Delivery"/>
    <n v="0.6"/>
    <s v="Tech Manager/Líder"/>
    <m/>
    <x v="0"/>
    <e v="#NAME?"/>
    <m/>
    <m/>
    <m/>
    <m/>
    <m/>
  </r>
  <r>
    <s v="CE55773"/>
    <s v="JOSE SANCHEZ"/>
    <x v="2"/>
    <x v="2"/>
    <s v="Novatec"/>
    <e v="#NAME?"/>
    <s v="SDATOOL-39246 $ Nuevo tipo de identificación para extranjeros"/>
    <n v="1"/>
    <s v="Desarrollador"/>
    <m/>
    <x v="0"/>
    <e v="#NAME?"/>
    <m/>
    <m/>
    <m/>
    <m/>
    <m/>
  </r>
  <r>
    <s v="C808819"/>
    <s v="JOSEPH ALEANDER ROJAS"/>
    <x v="2"/>
    <x v="3"/>
    <s v="BBVA"/>
    <e v="#NAME?"/>
    <s v="SDATOOL-34887 $ Vivienda Digital Open Market"/>
    <n v="0.4"/>
    <s v="Desarrollador"/>
    <m/>
    <x v="1"/>
    <e v="#NAME?"/>
    <m/>
    <m/>
    <m/>
    <m/>
    <m/>
  </r>
  <r>
    <s v="C808819"/>
    <s v="JOSEPH ALEANDER ROJAS"/>
    <x v="2"/>
    <x v="3"/>
    <s v="BBVA"/>
    <e v="#NAME?"/>
    <s v="SDATOOL-39836 $ Vivienda digital fase III"/>
    <n v="0.6"/>
    <s v="Desarrollador"/>
    <m/>
    <x v="1"/>
    <e v="#NAME?"/>
    <m/>
    <m/>
    <m/>
    <m/>
    <m/>
  </r>
  <r>
    <s v="C811308"/>
    <s v="JOSMAN ALEXANDER KOOP SANTA"/>
    <x v="0"/>
    <x v="15"/>
    <s v="BBVA"/>
    <e v="#NAME?"/>
    <s v="SDATOOL-32905 $ Global Enterprises Mobile App (GEMA)"/>
    <n v="0.25"/>
    <s v="Tech Manager/Líder"/>
    <m/>
    <x v="1"/>
    <e v="#NAME?"/>
    <m/>
    <m/>
    <m/>
    <m/>
    <m/>
  </r>
  <r>
    <s v="C811308"/>
    <s v="JOSMAN ALEXANDER KOOP SANTA"/>
    <x v="0"/>
    <x v="15"/>
    <s v="BBVA"/>
    <e v="#NAME?"/>
    <s v="SDATOOL-41750 $ Single APP"/>
    <n v="0.25"/>
    <s v="Tech Manager/Líder"/>
    <m/>
    <x v="1"/>
    <e v="#NAME?"/>
    <m/>
    <m/>
    <m/>
    <m/>
    <m/>
  </r>
  <r>
    <s v="C811308"/>
    <s v="JOSMAN ALEXANDER KOOP SANTA"/>
    <x v="0"/>
    <x v="15"/>
    <s v="BBVA"/>
    <e v="#NAME?"/>
    <s v="SDATOOL-39354 $ My business Open Pay - Plan Ascenso Mercurio"/>
    <n v="0.25"/>
    <s v="Tech Manager/Líder"/>
    <m/>
    <x v="1"/>
    <e v="#NAME?"/>
    <m/>
    <m/>
    <m/>
    <m/>
    <m/>
  </r>
  <r>
    <s v="C811308"/>
    <s v="JOSMAN ALEXANDER KOOP SANTA"/>
    <x v="0"/>
    <x v="15"/>
    <s v="BBVA"/>
    <e v="#NAME?"/>
    <s v="SDATOOL-41448 $ Compra de divisas mediante APP Empresas GEMA"/>
    <n v="0.25"/>
    <s v="Tech Manager/Líder"/>
    <m/>
    <x v="1"/>
    <e v="#NAME?"/>
    <m/>
    <m/>
    <m/>
    <m/>
    <m/>
  </r>
  <r>
    <s v="CE53474"/>
    <s v="Josue David Fernandez Reyes"/>
    <x v="3"/>
    <x v="6"/>
    <s v="Neoris"/>
    <e v="#NAME?"/>
    <s v="SDATOOL-9053 $ GloMo Colombia"/>
    <n v="1"/>
    <s v="Desarrollador"/>
    <m/>
    <x v="0"/>
    <e v="#NAME?"/>
    <m/>
    <m/>
    <m/>
    <m/>
    <m/>
  </r>
  <r>
    <s v="T002660"/>
    <s v="JUAN ALEJANDRO RIOS PEREZ"/>
    <x v="1"/>
    <x v="1"/>
    <s v="Choucair"/>
    <e v="#NAME?"/>
    <s v="SDATOOL-40710 $ GRM Col - Cronos - Plan Ascenso - Mejoras CAP Pymes Fase II"/>
    <n v="0.3"/>
    <s v="QA"/>
    <m/>
    <x v="0"/>
    <e v="#NAME?"/>
    <m/>
    <m/>
    <m/>
    <m/>
    <m/>
  </r>
  <r>
    <s v="T002660"/>
    <s v="JUAN ALEJANDRO RIOS PEREZ"/>
    <x v="1"/>
    <x v="1"/>
    <s v="Choucair"/>
    <e v="#NAME?"/>
    <s v="SDATOOL-39826 $ GRM Col- Plan Ascenso - Mejoras en CAP Pymes y disponibilización HdC"/>
    <n v="0.3"/>
    <s v="QA"/>
    <m/>
    <x v="0"/>
    <e v="#NAME?"/>
    <m/>
    <m/>
    <m/>
    <m/>
    <m/>
  </r>
  <r>
    <s v="T002660"/>
    <s v="JUAN ALEJANDRO RIOS PEREZ"/>
    <x v="1"/>
    <x v="1"/>
    <s v="Choucair"/>
    <e v="#NAME?"/>
    <s v="SDATOOL-38443 $ Arce Empresas Colombia"/>
    <n v="0.4"/>
    <s v="QA"/>
    <m/>
    <x v="0"/>
    <e v="#NAME?"/>
    <m/>
    <m/>
    <m/>
    <m/>
    <m/>
  </r>
  <r>
    <s v="C341736"/>
    <s v="Guevara Castro Juan Andres"/>
    <x v="3"/>
    <x v="4"/>
    <s v="BBVA"/>
    <e v="#NAME?"/>
    <s v="SDATOOL-40690 $ Plan CRM: Mejoras AUG (Banca Comercial y CSF) Equipo B"/>
    <n v="0.9"/>
    <s v="Desarrollador"/>
    <m/>
    <x v="1"/>
    <e v="#NAME?"/>
    <m/>
    <m/>
    <m/>
    <m/>
    <m/>
  </r>
  <r>
    <s v="CE68863"/>
    <s v="JUAN CAMILO CASTANO RAMIREZ"/>
    <x v="0"/>
    <x v="15"/>
    <s v="GGI / CMC"/>
    <e v="#NAME?"/>
    <s v="SDATOOL-39353 $ Redirección Mobile POS"/>
    <n v="1"/>
    <s v="QA"/>
    <m/>
    <x v="0"/>
    <e v="#NAME?"/>
    <m/>
    <m/>
    <m/>
    <m/>
    <m/>
  </r>
  <r>
    <s v="C805723"/>
    <s v="JUAN CAMILO JAIMES CORREDOR"/>
    <x v="3"/>
    <x v="6"/>
    <s v="BBVA"/>
    <e v="#NAME?"/>
    <s v="NOSDA- BAU $ BAU (Mantenimiento y peq. evolutivos)"/>
    <n v="1"/>
    <s v="Desarrollador"/>
    <m/>
    <x v="1"/>
    <e v="#NAME?"/>
    <m/>
    <m/>
    <m/>
    <m/>
    <m/>
  </r>
  <r>
    <s v="T007576"/>
    <s v="Juan camilo velasquez mantilla"/>
    <x v="1"/>
    <x v="1"/>
    <s v="Inetum"/>
    <e v="#NAME?"/>
    <s v="NOSDA- BAU $ BAU (Mantenimiento y peq. evolutivos)"/>
    <n v="1"/>
    <s v="Desarrollador"/>
    <m/>
    <x v="0"/>
    <e v="#NAME?"/>
    <m/>
    <m/>
    <m/>
    <m/>
    <m/>
  </r>
  <r>
    <s v="CE64753"/>
    <s v="JUAN CARLOS PULIDO"/>
    <x v="2"/>
    <x v="3"/>
    <s v="KRYPTO"/>
    <e v="#NAME?"/>
    <s v="NOSDA- BAU $ BAU (Mantenimiento y peq. evolutivos)"/>
    <n v="1"/>
    <s v="QA"/>
    <m/>
    <x v="0"/>
    <e v="#NAME?"/>
    <m/>
    <m/>
    <m/>
    <m/>
    <m/>
  </r>
  <r>
    <s v="CE67484"/>
    <s v="JUAN CARLOS SALDAÑA"/>
    <x v="4"/>
    <x v="9"/>
    <s v="Accenture"/>
    <e v="#NAME?"/>
    <s v="SDATOOL-39217 $ Aplicativos Tesorería 2022"/>
    <n v="0.1"/>
    <s v="Tech Manager/Líder"/>
    <m/>
    <x v="0"/>
    <e v="#NAME?"/>
    <m/>
    <m/>
    <m/>
    <m/>
    <m/>
  </r>
  <r>
    <s v="CE67484"/>
    <s v="JUAN CARLOS SALDAÑA"/>
    <x v="4"/>
    <x v="9"/>
    <s v="Accenture"/>
    <e v="#NAME?"/>
    <s v="SDATOOL-38735 $ Dynamic Pricing"/>
    <n v="0.15"/>
    <s v="Tech Manager/Líder"/>
    <m/>
    <x v="0"/>
    <e v="#NAME?"/>
    <m/>
    <m/>
    <m/>
    <m/>
    <m/>
  </r>
  <r>
    <s v="CE67484"/>
    <s v="JUAN CARLOS SALDAÑA"/>
    <x v="4"/>
    <x v="9"/>
    <s v="Accenture"/>
    <e v="#NAME?"/>
    <s v="SDATOOL-31461 $ Liquidación Swaps Cross Crurrency Delivery"/>
    <n v="0.15"/>
    <s v="Tech Manager/Líder"/>
    <m/>
    <x v="0"/>
    <e v="#NAME?"/>
    <m/>
    <m/>
    <m/>
    <m/>
    <m/>
  </r>
  <r>
    <s v="CE67484"/>
    <s v="JUAN CARLOS SALDAÑA"/>
    <x v="4"/>
    <x v="9"/>
    <s v="Accenture"/>
    <e v="#NAME?"/>
    <s v="SDATOOL-41308 $ Aplicativos Tesorería 2023"/>
    <n v="0.15"/>
    <s v="Tech Manager/Líder"/>
    <m/>
    <x v="0"/>
    <e v="#NAME?"/>
    <m/>
    <m/>
    <m/>
    <m/>
    <m/>
  </r>
  <r>
    <s v="O002495"/>
    <s v="Juan Daniel Bernal Marin"/>
    <x v="2"/>
    <x v="20"/>
    <s v="BBVA"/>
    <e v="#NAME?"/>
    <s v="NOSDA- BAU $ BAU (Mantenimiento y peq. evolutivos)"/>
    <n v="1"/>
    <s v="Desarrollador"/>
    <s v="MN-Cancelación de garantias"/>
    <x v="1"/>
    <e v="#NAME?"/>
    <m/>
    <m/>
    <m/>
    <m/>
    <m/>
  </r>
  <r>
    <s v="CE68369"/>
    <s v="JUAN DAVID ACOSTA OBANDO (QA)"/>
    <x v="0"/>
    <x v="22"/>
    <s v="Inetum"/>
    <e v="#NAME?"/>
    <s v="SDATOOL-38770 $ Marcación y cobro de comisiones PSE"/>
    <n v="1"/>
    <s v="QA"/>
    <m/>
    <x v="0"/>
    <e v="#NAME?"/>
    <m/>
    <m/>
    <m/>
    <m/>
    <m/>
  </r>
  <r>
    <s v="C810746"/>
    <s v="JUAN DAVID BAEZ RAMOS"/>
    <x v="3"/>
    <x v="7"/>
    <s v="BBVA"/>
    <e v="#NAME?"/>
    <s v="SDATOOL-36558 $ Transfiya:Transferencias interbancarias inmediatas - Plan Ascenso Privado"/>
    <n v="1"/>
    <s v="Desarrollador"/>
    <m/>
    <x v="1"/>
    <e v="#NAME?"/>
    <m/>
    <m/>
    <m/>
    <m/>
    <m/>
  </r>
  <r>
    <s v="C805714"/>
    <s v="JUAN DAVID CELIS NUÑEZ"/>
    <x v="2"/>
    <x v="2"/>
    <s v="BBVA"/>
    <e v="#NAME?"/>
    <s v="SDATOOL-33065 $ Remesas BTS"/>
    <n v="0.8"/>
    <s v="Desarrollador"/>
    <m/>
    <x v="1"/>
    <e v="#NAME?"/>
    <m/>
    <m/>
    <m/>
    <m/>
    <m/>
  </r>
  <r>
    <s v="C805714"/>
    <s v="JUAN DAVID CELIS NUÑEZ"/>
    <x v="2"/>
    <x v="2"/>
    <s v="BBVA"/>
    <e v="#NAME?"/>
    <s v="SDATOOL-37753 $ Plan de transformación de operaciones 2022"/>
    <n v="0.2"/>
    <s v="Desarrollador"/>
    <m/>
    <x v="1"/>
    <e v="#NAME?"/>
    <m/>
    <m/>
    <m/>
    <m/>
    <m/>
  </r>
  <r>
    <s v="O001384"/>
    <s v="Juan David Gonzalez Monroy   "/>
    <x v="1"/>
    <x v="10"/>
    <s v="BBVA"/>
    <e v="#NAME?"/>
    <s v="NOSDA- BAU $ BAU (Mantenimiento y peq. evolutivos)"/>
    <n v="1"/>
    <s v="Desarrollador"/>
    <m/>
    <x v="1"/>
    <e v="#NAME?"/>
    <m/>
    <m/>
    <m/>
    <m/>
    <m/>
  </r>
  <r>
    <s v="C811405"/>
    <s v="JUAN DAVID MONTERO BOGOTA"/>
    <x v="1"/>
    <x v="10"/>
    <s v="BBVA"/>
    <e v="#NAME?"/>
    <s v="SDATOOL-23176 $ ORION"/>
    <n v="0.3"/>
    <s v="Desarrollador"/>
    <m/>
    <x v="1"/>
    <e v="#NAME?"/>
    <m/>
    <m/>
    <m/>
    <m/>
    <m/>
  </r>
  <r>
    <s v="C811405"/>
    <s v="JUAN DAVID MONTERO BOGOTA"/>
    <x v="1"/>
    <x v="10"/>
    <s v="BBVA"/>
    <e v="#NAME?"/>
    <s v="SDATOOL-37411 $ Infraestructura reportes regulatorios"/>
    <n v="0.7"/>
    <s v="Desarrollador"/>
    <m/>
    <x v="1"/>
    <e v="#NAME?"/>
    <m/>
    <m/>
    <m/>
    <m/>
    <m/>
  </r>
  <r>
    <s v="CE65053"/>
    <s v="Juan David Rodriguez Ariza"/>
    <x v="3"/>
    <x v="6"/>
    <s v="Globant"/>
    <e v="#NAME?"/>
    <s v="SDATOOL-9053 $ GloMo Colombia"/>
    <n v="1"/>
    <s v="Desarrollador"/>
    <m/>
    <x v="0"/>
    <e v="#NAME?"/>
    <m/>
    <m/>
    <m/>
    <m/>
    <m/>
  </r>
  <r>
    <s v="CE59993"/>
    <s v="Juan David Velasquez"/>
    <x v="3"/>
    <x v="6"/>
    <s v="Inetum"/>
    <e v="#NAME?"/>
    <s v="SDATOOL-9053 $ GloMo Colombia"/>
    <n v="1"/>
    <s v="Desarrollador"/>
    <m/>
    <x v="0"/>
    <e v="#NAME?"/>
    <m/>
    <m/>
    <m/>
    <m/>
    <m/>
  </r>
  <r>
    <s v="C810712"/>
    <s v="JUAN DIEGO TROCHEZ MONTOYA"/>
    <x v="3"/>
    <x v="6"/>
    <s v="BBVA"/>
    <e v="#NAME?"/>
    <s v="SDATOOL-38489 $ Horizon BTGR - Colombia"/>
    <n v="1"/>
    <s v="Desarrollador"/>
    <m/>
    <x v="1"/>
    <e v="#NAME?"/>
    <m/>
    <m/>
    <m/>
    <m/>
    <m/>
  </r>
  <r>
    <s v="T006699"/>
    <s v="Juan Duque"/>
    <x v="3"/>
    <x v="6"/>
    <s v="Neoris"/>
    <e v="#NAME?"/>
    <s v="SDATOOL-9053 $ GloMo Colombia"/>
    <n v="1"/>
    <s v="Desarrollador"/>
    <m/>
    <x v="0"/>
    <e v="#NAME?"/>
    <m/>
    <m/>
    <m/>
    <m/>
    <m/>
  </r>
  <r>
    <s v="T007488"/>
    <s v="JUAN ESTEBAN ALARCON MIRANDA"/>
    <x v="0"/>
    <x v="15"/>
    <s v="Indra"/>
    <e v="#NAME?"/>
    <s v="SDATOOL-32905 $ Global Enterprises Mobile App (GEMA)"/>
    <n v="1"/>
    <s v="Desarrollador"/>
    <m/>
    <x v="0"/>
    <e v="#NAME?"/>
    <m/>
    <m/>
    <m/>
    <m/>
    <m/>
  </r>
  <r>
    <s v="C811403"/>
    <s v="JUAN FELIPE FORERO"/>
    <x v="2"/>
    <x v="5"/>
    <s v="BBVA"/>
    <e v="#NAME?"/>
    <s v="SDATOOL-40384 $ Cobrar intereses corrientes entre la transacción y la pre-cancelación"/>
    <n v="0.15"/>
    <s v="Tech Manager/Líder"/>
    <m/>
    <x v="1"/>
    <e v="#NAME?"/>
    <m/>
    <m/>
    <m/>
    <m/>
    <m/>
  </r>
  <r>
    <s v="C811403"/>
    <s v="JUAN FELIPE FORERO"/>
    <x v="2"/>
    <x v="5"/>
    <s v="BBVA"/>
    <e v="#NAME?"/>
    <s v="SDATOOL-40455 $ Comisión porcentaje compras internacionales Mastercard y Visa Fase 2"/>
    <n v="0.1"/>
    <s v="Tech Manager/Líder"/>
    <m/>
    <x v="1"/>
    <e v="#NAME?"/>
    <m/>
    <m/>
    <m/>
    <m/>
    <m/>
  </r>
  <r>
    <s v="C811403"/>
    <s v="JUAN FELIPE FORERO"/>
    <x v="2"/>
    <x v="5"/>
    <s v="BBVA"/>
    <e v="#NAME?"/>
    <s v="SDATOOL-38447 $ GRM Col - Condonación y bajas automáticas en Medios de Pago"/>
    <n v="0.05"/>
    <s v="Tech Manager/Líder"/>
    <m/>
    <x v="1"/>
    <e v="#NAME?"/>
    <m/>
    <m/>
    <m/>
    <m/>
    <m/>
  </r>
  <r>
    <s v="C811403"/>
    <s v="JUAN FELIPE FORERO"/>
    <x v="2"/>
    <x v="5"/>
    <s v="BBVA"/>
    <e v="#NAME?"/>
    <s v="SDATOOL-37753 $ Plan de transformación de operaciones 2022"/>
    <n v="0.05"/>
    <s v="Tech Manager/Líder"/>
    <m/>
    <x v="1"/>
    <e v="#NAME?"/>
    <m/>
    <m/>
    <m/>
    <m/>
    <m/>
  </r>
  <r>
    <s v="C811403"/>
    <s v="JUAN FELIPE FORERO"/>
    <x v="2"/>
    <x v="5"/>
    <s v="BBVA"/>
    <e v="#NAME?"/>
    <s v="SDATOOL-33846 $ SREP Data Quality- BCBS239 - Colombia"/>
    <n v="0.15"/>
    <s v="Tech Manager/Líder"/>
    <m/>
    <x v="1"/>
    <e v="#NAME?"/>
    <m/>
    <m/>
    <m/>
    <m/>
    <m/>
  </r>
  <r>
    <s v="C811403"/>
    <s v="JUAN FELIPE FORERO"/>
    <x v="2"/>
    <x v="5"/>
    <s v="BBVA"/>
    <e v="#NAME?"/>
    <s v="SDATOOL-40382 $ NUEVA Eliminar el PAN ( Orange 1.0)"/>
    <n v="0.1"/>
    <s v="Tech Manager/Líder"/>
    <m/>
    <x v="1"/>
    <e v="#NAME?"/>
    <m/>
    <m/>
    <m/>
    <m/>
    <m/>
  </r>
  <r>
    <s v="C811403"/>
    <s v="JUAN FELIPE FORERO"/>
    <x v="2"/>
    <x v="5"/>
    <s v="BBVA"/>
    <e v="#NAME?"/>
    <s v="SDATOOL-40438 $ CIRCULAR 032 del 2021 - REQUERIMIENTO FISCALIA GENERAL DE LA NACION"/>
    <n v="0.1"/>
    <s v="Tech Manager/Líder"/>
    <m/>
    <x v="1"/>
    <e v="#NAME?"/>
    <m/>
    <m/>
    <m/>
    <m/>
    <m/>
  </r>
  <r>
    <s v="C811403"/>
    <s v="JUAN FELIPE FORERO"/>
    <x v="2"/>
    <x v="5"/>
    <s v="BBVA"/>
    <e v="#NAME?"/>
    <s v="NOSDA- BAU $ BAU (Mantenimiento y peq. evolutivos)"/>
    <n v="0.3"/>
    <s v="Tech Manager/Líder"/>
    <m/>
    <x v="1"/>
    <e v="#NAME?"/>
    <m/>
    <m/>
    <m/>
    <m/>
    <m/>
  </r>
  <r>
    <s v="O002162"/>
    <s v="JUAN FELIPE MARTÍN PUERTO"/>
    <x v="3"/>
    <x v="16"/>
    <s v="BBVA"/>
    <e v="#NAME?"/>
    <s v="SDATOOL-36048 $ Repositorio flujos  ventas digitales flujos - Plan Ascenso Open Market"/>
    <n v="1"/>
    <s v="Desarrollador"/>
    <m/>
    <x v="1"/>
    <e v="#NAME?"/>
    <m/>
    <m/>
    <m/>
    <m/>
    <m/>
  </r>
  <r>
    <s v="O001733"/>
    <s v="Juan Manuel Fraile "/>
    <x v="3"/>
    <x v="4"/>
    <s v="BBVA"/>
    <e v="#NAME?"/>
    <s v="SDATOOL-37121 $ Plan CRM: Seguimiento al pipeline"/>
    <n v="1"/>
    <s v="Desarrollador"/>
    <m/>
    <x v="1"/>
    <e v="#NAME?"/>
    <m/>
    <m/>
    <m/>
    <m/>
    <m/>
  </r>
  <r>
    <s v="T005393"/>
    <s v="Juan Pablo Ahumada Avila"/>
    <x v="1"/>
    <x v="10"/>
    <s v="GGI / CMC"/>
    <e v="#NAME?"/>
    <s v="SDATOOL-38583 $ FUSIONES Y ACTUALIZACION DE IDENTIFICACIONES"/>
    <n v="1"/>
    <s v="Desarrollador"/>
    <m/>
    <x v="0"/>
    <e v="#NAME?"/>
    <m/>
    <m/>
    <m/>
    <m/>
    <m/>
  </r>
  <r>
    <s v="CE57396"/>
    <s v="JUAN PABLO AREVALO MERCHAN"/>
    <x v="1"/>
    <x v="10"/>
    <s v="BLUETAB"/>
    <e v="#NAME?"/>
    <s v="SDATOOL-32520 $ CDD Based Reporting - Colombia"/>
    <n v="0.25"/>
    <s v="Desarrollador"/>
    <m/>
    <x v="0"/>
    <e v="#NAME?"/>
    <m/>
    <m/>
    <m/>
    <m/>
    <m/>
  </r>
  <r>
    <s v="CE57396"/>
    <s v="JUAN PABLO AREVALO MERCHAN"/>
    <x v="1"/>
    <x v="10"/>
    <s v="BLUETAB"/>
    <e v="#NAME?"/>
    <s v="SDATOOL-40529 $ Aplicativos Finanzas - 2023"/>
    <n v="0.25"/>
    <s v="Desarrollador"/>
    <m/>
    <x v="0"/>
    <e v="#NAME?"/>
    <m/>
    <m/>
    <m/>
    <m/>
    <m/>
  </r>
  <r>
    <s v="CE57396"/>
    <s v="Juan Pablo Arevalo Merchan"/>
    <x v="1"/>
    <x v="1"/>
    <s v="BLUETAB"/>
    <e v="#NAME?"/>
    <s v="SDATOOL-29029 $ EBA Guidelines (NDoD/PD/LGD) - Colombia"/>
    <n v="0.5"/>
    <s v="Desarrollador"/>
    <m/>
    <x v="0"/>
    <e v="#NAME?"/>
    <m/>
    <m/>
    <m/>
    <m/>
    <m/>
  </r>
  <r>
    <s v="C811189"/>
    <s v="Juan Pablo Millan"/>
    <x v="3"/>
    <x v="6"/>
    <s v="BBVA"/>
    <e v="#NAME?"/>
    <s v="NOSDA- BAU $ BAU (Mantenimiento y peq. evolutivos)"/>
    <n v="1"/>
    <s v="Desarrollador"/>
    <m/>
    <x v="1"/>
    <e v="#NAME?"/>
    <m/>
    <m/>
    <m/>
    <m/>
    <m/>
  </r>
  <r>
    <s v="T003428_x000a_"/>
    <s v="JUAN PABLO MORA "/>
    <x v="2"/>
    <x v="12"/>
    <s v="Choucair"/>
    <e v="#NAME?"/>
    <s v="SDATOOL-31326 $ Legalización Hipotecario"/>
    <n v="1"/>
    <s v="QA"/>
    <m/>
    <x v="0"/>
    <e v="#NAME?"/>
    <m/>
    <m/>
    <m/>
    <m/>
    <m/>
  </r>
  <r>
    <s v="C811281"/>
    <s v="JUAN PABLO VELEZ"/>
    <x v="3"/>
    <x v="16"/>
    <s v="BBVA"/>
    <e v="#NAME?"/>
    <s v="SDATOOL-37055 $ Cash in- PSE - Plan Ascenso Privado"/>
    <n v="1"/>
    <s v="Desarrollador"/>
    <m/>
    <x v="1"/>
    <e v="#NAME?"/>
    <m/>
    <m/>
    <m/>
    <m/>
    <m/>
  </r>
  <r>
    <s v="T004336"/>
    <s v="Juan Romero"/>
    <x v="3"/>
    <x v="6"/>
    <s v="Accenture"/>
    <e v="#NAME?"/>
    <s v="SDATOOL-9053 $ GloMo Colombia"/>
    <n v="1"/>
    <s v="Desarrollador"/>
    <m/>
    <x v="0"/>
    <e v="#NAME?"/>
    <m/>
    <m/>
    <m/>
    <m/>
    <m/>
  </r>
  <r>
    <s v="C804405"/>
    <s v="JUAN SALAZAR"/>
    <x v="2"/>
    <x v="3"/>
    <s v="BBVA"/>
    <e v="#NAME?"/>
    <s v="SDATOOL-41729 $ SEGUNDA LIBRANZA - APLICACION PAGOS Y VoBo PAGADOR"/>
    <n v="0.8"/>
    <s v="Desarrollador"/>
    <m/>
    <x v="1"/>
    <e v="#NAME?"/>
    <m/>
    <m/>
    <m/>
    <m/>
    <m/>
  </r>
  <r>
    <s v="C804405"/>
    <s v="JUAN SALAZAR"/>
    <x v="2"/>
    <x v="3"/>
    <s v="BBVA"/>
    <e v="#NAME?"/>
    <s v="NOSDA- BAU $ BAU (Mantenimiento y peq. evolutivos)"/>
    <n v="0.2"/>
    <s v="Desarrollador"/>
    <m/>
    <x v="1"/>
    <e v="#NAME?"/>
    <m/>
    <m/>
    <m/>
    <m/>
    <m/>
  </r>
  <r>
    <s v="C810952"/>
    <s v="Juan Sebastian Ayala"/>
    <x v="3"/>
    <x v="6"/>
    <s v="BBVA"/>
    <e v="#NAME?"/>
    <s v="NOSDA- BAU $ BAU (Mantenimiento y peq. evolutivos)"/>
    <n v="1"/>
    <s v="Desarrollador"/>
    <m/>
    <x v="1"/>
    <e v="#NAME?"/>
    <m/>
    <m/>
    <m/>
    <m/>
    <m/>
  </r>
  <r>
    <s v="T007157"/>
    <s v="JUAN SEBASTIAN BUSTOS"/>
    <x v="2"/>
    <x v="12"/>
    <s v="Choucair"/>
    <e v="#NAME?"/>
    <s v="SDATOOL-37134 $ Oferta proactiva de segundo producto desde el momento cero - Plan Ascenso Cross Sell"/>
    <n v="1"/>
    <s v="QA"/>
    <m/>
    <x v="0"/>
    <e v="#NAME?"/>
    <m/>
    <m/>
    <m/>
    <m/>
    <m/>
  </r>
  <r>
    <s v="O003400"/>
    <s v="JUAN SEBASTIAN COLMENARES RODRIGUEZ"/>
    <x v="2"/>
    <x v="3"/>
    <s v="BBVA"/>
    <e v="#NAME?"/>
    <s v="SDATOOL-39358 $ Crédito Virtual"/>
    <n v="1"/>
    <s v="Desarrollador"/>
    <m/>
    <x v="1"/>
    <e v="#NAME?"/>
    <m/>
    <m/>
    <m/>
    <m/>
    <m/>
  </r>
  <r>
    <s v="T004374"/>
    <s v="JUAN SEBASTIAN MINA"/>
    <x v="2"/>
    <x v="5"/>
    <s v="KRYPTO"/>
    <e v="#NAME?"/>
    <s v="SDATOOL-40442 $ M4M - Tokenización Mastercard"/>
    <n v="0.8"/>
    <s v="QA"/>
    <m/>
    <x v="0"/>
    <e v="#NAME?"/>
    <m/>
    <m/>
    <m/>
    <m/>
    <m/>
  </r>
  <r>
    <s v="T004374"/>
    <s v="JUAN SEBASTIAN MINA"/>
    <x v="2"/>
    <x v="5"/>
    <s v="KRYPTO"/>
    <e v="#NAME?"/>
    <s v="NOSDA- BAU $ BAU (Mantenimiento y peq. evolutivos)"/>
    <n v="0.2"/>
    <s v="QA"/>
    <m/>
    <x v="0"/>
    <e v="#NAME?"/>
    <m/>
    <m/>
    <m/>
    <m/>
    <m/>
  </r>
  <r>
    <s v="C810787"/>
    <s v="JUAN SEBASTÍAN RODRIGUEZ TOVAR"/>
    <x v="2"/>
    <x v="12"/>
    <s v="BBVA"/>
    <e v="#NAME?"/>
    <s v="SDATOOL-38091 $ Higiénicos Plataforma Digital de Oficinas CAP"/>
    <n v="0.6"/>
    <s v="Desarrollador"/>
    <m/>
    <x v="1"/>
    <e v="#NAME?"/>
    <m/>
    <m/>
    <m/>
    <m/>
    <m/>
  </r>
  <r>
    <s v="C810787"/>
    <s v="JUAN SEBASTÍAN RODRIGUEZ TOVAR"/>
    <x v="2"/>
    <x v="12"/>
    <s v="BBVA"/>
    <e v="#NAME?"/>
    <s v="SDATOOL-40435 $ Cuota Segura créditos de libranza"/>
    <n v="0.2"/>
    <s v="Desarrollador"/>
    <m/>
    <x v="1"/>
    <e v="#NAME?"/>
    <m/>
    <m/>
    <m/>
    <m/>
    <m/>
  </r>
  <r>
    <s v="C810787"/>
    <s v="JUAN SEBASTÍAN RODRIGUEZ TOVAR"/>
    <x v="2"/>
    <x v="12"/>
    <s v="BBVA"/>
    <e v="#NAME?"/>
    <s v="NOSDA- BAU $ BAU (Mantenimiento y peq. evolutivos)"/>
    <n v="0.2"/>
    <s v="Desarrollador"/>
    <s v="Soporte Aplicativo "/>
    <x v="1"/>
    <e v="#NAME?"/>
    <m/>
    <m/>
    <m/>
    <m/>
    <m/>
  </r>
  <r>
    <s v="CE70901"/>
    <s v="JUAN SEBASTIAN SANCHEZ"/>
    <x v="1"/>
    <x v="21"/>
    <s v="Novatec"/>
    <e v="#NAME?"/>
    <s v="SDATOOL-28728 $ Contratación electrónica/digital de empleados y Carpeta Virtual 2.0"/>
    <n v="1"/>
    <s v="Desarrollador"/>
    <m/>
    <x v="0"/>
    <e v="#NAME?"/>
    <m/>
    <m/>
    <m/>
    <m/>
    <m/>
  </r>
  <r>
    <s v="CE67122"/>
    <s v="Juanita Garcia"/>
    <x v="3"/>
    <x v="25"/>
    <s v="GGI / CMC"/>
    <e v="#NAME?"/>
    <s v="SDATOOL-35350 $ Lean Office (Biblioteca Transaccional y Nuevo Modelo de Impresión)"/>
    <n v="1"/>
    <s v="Desarrollador"/>
    <s v="Tester"/>
    <x v="0"/>
    <e v="#NAME?"/>
    <m/>
    <m/>
    <m/>
    <m/>
    <m/>
  </r>
  <r>
    <s v="O001421"/>
    <s v="JULIAN ALBERTO HERRERA SALAZAR"/>
    <x v="1"/>
    <x v="1"/>
    <s v="BBVA"/>
    <e v="#NAME?"/>
    <s v="SDATOOL-28473 $ GRM Col - TMP Cobranzas - Módulo control acuerdos de pago"/>
    <n v="0.5"/>
    <s v="Desarrollador"/>
    <m/>
    <x v="1"/>
    <e v="#NAME?"/>
    <m/>
    <m/>
    <m/>
    <m/>
    <m/>
  </r>
  <r>
    <s v="O001421"/>
    <s v="JULIAN ALBERTO HERRERA SALAZAR"/>
    <x v="1"/>
    <x v="1"/>
    <s v="BBVA"/>
    <e v="#NAME?"/>
    <s v="SDATOOL-40658 $ GRM Col - Cronos Collections - Estrategia"/>
    <n v="0.4"/>
    <s v="Desarrollador"/>
    <m/>
    <x v="1"/>
    <e v="#NAME?"/>
    <m/>
    <m/>
    <m/>
    <m/>
    <m/>
  </r>
  <r>
    <s v="O001421"/>
    <s v="JULIAN ALBERTO HERRERA SALAZAR"/>
    <x v="1"/>
    <x v="1"/>
    <s v="BBVA"/>
    <e v="#NAME?"/>
    <s v="NOSDA- BAU $ BAU (Mantenimiento y peq. evolutivos)"/>
    <n v="0.1"/>
    <s v="Desarrollador"/>
    <m/>
    <x v="1"/>
    <e v="#NAME?"/>
    <m/>
    <m/>
    <m/>
    <m/>
    <m/>
  </r>
  <r>
    <s v="C801604"/>
    <s v="JULIAN ALBERTO RODRIGUEZ"/>
    <x v="2"/>
    <x v="20"/>
    <s v="BBVA"/>
    <e v="#NAME?"/>
    <s v="NOSDA- BAU $ BAU (Mantenimiento y peq. evolutivos)"/>
    <n v="1"/>
    <s v="Tech Manager/Líder"/>
    <s v="Operación"/>
    <x v="1"/>
    <e v="#NAME?"/>
    <m/>
    <m/>
    <m/>
    <m/>
    <m/>
  </r>
  <r>
    <s v="T005122"/>
    <s v="JULIAN ANDRES ARENAS"/>
    <x v="2"/>
    <x v="5"/>
    <s v="Choucair"/>
    <e v="#NAME?"/>
    <s v="SDATOOL-37061 $ Plan de Lealtad Comecios -Plan Ascenso Autónomos"/>
    <n v="1"/>
    <s v="QA"/>
    <m/>
    <x v="0"/>
    <e v="#NAME?"/>
    <m/>
    <m/>
    <m/>
    <m/>
    <m/>
  </r>
  <r>
    <s v="CE65082"/>
    <s v="JULIAN CAMILO ESGUERRA PINEDA"/>
    <x v="2"/>
    <x v="2"/>
    <s v="SII"/>
    <e v="#NAME?"/>
    <s v="NOSDA- BAU $ BAU (Mantenimiento y peq. evolutivos)"/>
    <n v="1"/>
    <s v="Desarrollador"/>
    <m/>
    <x v="0"/>
    <e v="#NAME?"/>
    <m/>
    <m/>
    <m/>
    <m/>
    <m/>
  </r>
  <r>
    <s v="CE69858"/>
    <s v="Julián David Castañeda"/>
    <x v="3"/>
    <x v="4"/>
    <s v="Meraki"/>
    <e v="#NAME?"/>
    <s v="SDATOOL-39272 $ Cambio servicio APL (Aportes en línea)- Integración AUG con nuevo motor laboral (OVI)"/>
    <n v="1"/>
    <s v="Desarrollador"/>
    <m/>
    <x v="0"/>
    <e v="#NAME?"/>
    <m/>
    <m/>
    <m/>
    <m/>
    <m/>
  </r>
  <r>
    <s v="C811006"/>
    <s v="JULIAN ESTIC LAGOS GALINDO"/>
    <x v="3"/>
    <x v="16"/>
    <s v="BBVA"/>
    <e v="#NAME?"/>
    <s v="SDATOOL-39348 $ tarjeta de crédito Open Market Fallback product"/>
    <n v="1"/>
    <s v="Desarrollador"/>
    <m/>
    <x v="1"/>
    <e v="#NAME?"/>
    <m/>
    <m/>
    <m/>
    <m/>
    <m/>
  </r>
  <r>
    <s v="CE70220"/>
    <s v="JULIAN FELIPE VEGA HERNANDEZ "/>
    <x v="0"/>
    <x v="18"/>
    <s v="Accenture"/>
    <e v="#NAME?"/>
    <s v="SDATOOL-40457 $ SENDA (Base)"/>
    <n v="1"/>
    <s v="Desarrollador"/>
    <m/>
    <x v="0"/>
    <e v="#NAME?"/>
    <m/>
    <m/>
    <m/>
    <m/>
    <m/>
  </r>
  <r>
    <s v="CE57488"/>
    <s v="JULIAN FERNANDO MARTINEZ RODRIGUEZ"/>
    <x v="0"/>
    <x v="15"/>
    <s v="Novatec"/>
    <e v="#NAME?"/>
    <s v="SDATOOL-32905 $ Global Enterprises Mobile App (GEMA)"/>
    <n v="1"/>
    <s v="Desarrollador"/>
    <m/>
    <x v="0"/>
    <e v="#NAME?"/>
    <m/>
    <m/>
    <m/>
    <m/>
    <m/>
  </r>
  <r>
    <s v="CE70176"/>
    <s v="JULIANA BALCERO "/>
    <x v="2"/>
    <x v="12"/>
    <s v="Choucair"/>
    <e v="#NAME?"/>
    <s v="SDATOOL-37134 $ Oferta proactiva de segundo producto desde el momento cero - Plan Ascenso Cross Sell"/>
    <n v="1"/>
    <s v="QA"/>
    <m/>
    <x v="0"/>
    <e v="#NAME?"/>
    <m/>
    <m/>
    <m/>
    <m/>
    <m/>
  </r>
  <r>
    <s v="CE67314"/>
    <s v="Juliana Corredor"/>
    <x v="3"/>
    <x v="16"/>
    <s v="Accenture"/>
    <e v="#NAME?"/>
    <s v="NOSDA- BAU $ BAU (Mantenimiento y peq. evolutivos)"/>
    <n v="1"/>
    <s v="Desarrollador"/>
    <m/>
    <x v="0"/>
    <e v="#NAME?"/>
    <m/>
    <m/>
    <m/>
    <m/>
    <m/>
  </r>
  <r>
    <s v="C805729"/>
    <s v="JULIANA FERNANDA BONILLA RODRIGUEZ"/>
    <x v="2"/>
    <x v="2"/>
    <s v="BBVA"/>
    <e v="#NAME?"/>
    <s v="NOSDA- BAU $ BAU (Mantenimiento y peq. evolutivos)"/>
    <n v="1"/>
    <s v="Desarrollador"/>
    <m/>
    <x v="1"/>
    <e v="#NAME?"/>
    <m/>
    <m/>
    <m/>
    <m/>
    <m/>
  </r>
  <r>
    <s v="C809507"/>
    <s v="JULIE PAULETTE GARAVITO"/>
    <x v="2"/>
    <x v="3"/>
    <s v="BBVA"/>
    <e v="#NAME?"/>
    <s v="SDATOOL-35463 $ Gestión de Ingresos - Períodos de Gracia Libranzas"/>
    <n v="1"/>
    <s v="Desarrollador"/>
    <m/>
    <x v="1"/>
    <e v="#NAME?"/>
    <m/>
    <m/>
    <m/>
    <m/>
    <m/>
  </r>
  <r>
    <s v="CE69608"/>
    <s v="Julieth Alejandra Bermudez Bernal"/>
    <x v="3"/>
    <x v="4"/>
    <s v="Choucair"/>
    <e v="#NAME?"/>
    <s v="SDATOOL-40672 $ Plan CRM: Mejoras AUG (Banca Comercial y CSF) Equipo A"/>
    <n v="1"/>
    <s v="QA"/>
    <m/>
    <x v="0"/>
    <e v="#NAME?"/>
    <m/>
    <m/>
    <m/>
    <m/>
    <m/>
  </r>
  <r>
    <s v="CE66910"/>
    <s v="JULIO DIAZ PENAGOS "/>
    <x v="2"/>
    <x v="2"/>
    <s v="SII"/>
    <e v="#NAME?"/>
    <s v="SDATOOL-33065 $ Remesas BTS"/>
    <n v="0.7"/>
    <s v="Desarrollador"/>
    <m/>
    <x v="0"/>
    <e v="#NAME?"/>
    <m/>
    <m/>
    <m/>
    <m/>
    <m/>
  </r>
  <r>
    <s v="CE66910"/>
    <s v="JULIO DIAZ PENAGOS "/>
    <x v="2"/>
    <x v="2"/>
    <s v="SII"/>
    <e v="#NAME?"/>
    <s v="SDATOOL-41950 $ Migracion GMF-MQ Series"/>
    <n v="0.3"/>
    <s v="Desarrollador"/>
    <m/>
    <x v="0"/>
    <e v="#NAME?"/>
    <m/>
    <m/>
    <m/>
    <m/>
    <m/>
  </r>
  <r>
    <s v="CE51510"/>
    <s v="JULY VANESSA TORRES ZARATE"/>
    <x v="0"/>
    <x v="0"/>
    <s v="Choucair"/>
    <e v="#NAME?"/>
    <s v="SDATOOL-37125 $ Factoring - IBR"/>
    <n v="0.25"/>
    <s v="QA"/>
    <m/>
    <x v="0"/>
    <e v="#NAME?"/>
    <m/>
    <m/>
    <m/>
    <m/>
    <m/>
  </r>
  <r>
    <s v="CE51510"/>
    <s v="JULY VANESSA TORRES ZARATE"/>
    <x v="0"/>
    <x v="0"/>
    <s v="Choucair"/>
    <e v="#NAME?"/>
    <s v="SDATOOL-36547 $ PLAN MAYOR -PLAN MENOR. Plan ascenso Open Market"/>
    <n v="0.75"/>
    <s v="QA"/>
    <m/>
    <x v="0"/>
    <e v="#NAME?"/>
    <m/>
    <m/>
    <m/>
    <m/>
    <m/>
  </r>
  <r>
    <s v="CE67103"/>
    <s v="KAREN ANDREA BELTRÁN SILVA"/>
    <x v="4"/>
    <x v="9"/>
    <s v="Accenture"/>
    <e v="#NAME?"/>
    <s v="NOSDA- BAU $ BAU (Mantenimiento y peq. evolutivos)"/>
    <n v="1"/>
    <s v="Desarrollador"/>
    <m/>
    <x v="0"/>
    <e v="#NAME?"/>
    <m/>
    <m/>
    <m/>
    <m/>
    <m/>
  </r>
  <r>
    <s v="CE57060"/>
    <s v="Karen Andrea Moreno Hernandez"/>
    <x v="1"/>
    <x v="1"/>
    <s v="GGI / CMC"/>
    <e v="#NAME?"/>
    <s v="SDATOOL-40545 $ GRM Col - Mejoras Evolutivas de Aplicativos y Herramientas de Riesgos 2023"/>
    <n v="1"/>
    <s v="QA"/>
    <m/>
    <x v="0"/>
    <e v="#NAME?"/>
    <m/>
    <m/>
    <m/>
    <m/>
    <m/>
  </r>
  <r>
    <s v="T007470"/>
    <s v="KAREN ANGELICA ANDRADE"/>
    <x v="2"/>
    <x v="12"/>
    <s v="Inetum"/>
    <e v="#NAME?"/>
    <s v="NOSDA- BAU $ BAU (Mantenimiento y peq. evolutivos)"/>
    <n v="1"/>
    <s v="Otros"/>
    <s v="Soporte Aranda"/>
    <x v="0"/>
    <e v="#NAME?"/>
    <m/>
    <m/>
    <m/>
    <m/>
    <m/>
  </r>
  <r>
    <s v="CE47925"/>
    <s v="Karen Juliete Mahecha Rey"/>
    <x v="3"/>
    <x v="6"/>
    <s v="Neoris"/>
    <e v="#NAME?"/>
    <s v="SDATOOL-9053 $ GloMo Colombia"/>
    <n v="1"/>
    <s v="Desarrollador"/>
    <m/>
    <x v="0"/>
    <e v="#NAME?"/>
    <m/>
    <m/>
    <m/>
    <m/>
    <m/>
  </r>
  <r>
    <s v="C808802"/>
    <s v="KAREN MARGARITA ANGULO"/>
    <x v="2"/>
    <x v="3"/>
    <s v="BBVA"/>
    <e v="#NAME?"/>
    <s v="NOSDA- BAU $ BAU (Mantenimiento y peq. evolutivos)"/>
    <n v="0.9"/>
    <s v="Desarrollador"/>
    <m/>
    <x v="1"/>
    <e v="#NAME?"/>
    <m/>
    <m/>
    <m/>
    <m/>
    <m/>
  </r>
  <r>
    <s v="C808802"/>
    <s v="KAREN MARGARITA ANGULO"/>
    <x v="2"/>
    <x v="3"/>
    <s v="BBVA"/>
    <e v="#NAME?"/>
    <s v="SDATOOL-36548 $ Optimización consumo web - Plan ascenso Open Market"/>
    <n v="0.1"/>
    <s v="Desarrollador"/>
    <m/>
    <x v="1"/>
    <e v="#NAME?"/>
    <m/>
    <m/>
    <m/>
    <m/>
    <m/>
  </r>
  <r>
    <s v="O003310"/>
    <s v="KAREN MARGARITA ARENILLA TRIGOS"/>
    <x v="3"/>
    <x v="13"/>
    <s v="BBVA"/>
    <e v="#NAME?"/>
    <s v="NOSDA- BAU $ BAU (Mantenimiento y peq. evolutivos)"/>
    <n v="0.8"/>
    <s v="Desarrollador"/>
    <m/>
    <x v="1"/>
    <e v="#NAME?"/>
    <m/>
    <m/>
    <m/>
    <m/>
    <m/>
  </r>
  <r>
    <s v="O003310"/>
    <s v="KAREN MARGARITA ARENILLA TRIGOS"/>
    <x v="3"/>
    <x v="13"/>
    <s v="BBVA"/>
    <e v="#NAME?"/>
    <s v="SDATOOL-40581 $ Corresponsal Bancario Ya Ganaste"/>
    <n v="0.2"/>
    <s v="Desarrollador"/>
    <m/>
    <x v="1"/>
    <e v="#NAME?"/>
    <m/>
    <m/>
    <m/>
    <m/>
    <m/>
  </r>
  <r>
    <s v="CE70650"/>
    <s v="Karol Melissa Gómez Colmenares"/>
    <x v="3"/>
    <x v="6"/>
    <s v="Neoris"/>
    <e v="#NAME?"/>
    <s v="SDATOOL-9053 $ GloMo Colombia"/>
    <n v="1"/>
    <s v="QA"/>
    <m/>
    <x v="0"/>
    <e v="#NAME?"/>
    <m/>
    <m/>
    <m/>
    <m/>
    <m/>
  </r>
  <r>
    <s v="C803062"/>
    <s v="KATERINE CRUZ SUAREZ"/>
    <x v="2"/>
    <x v="2"/>
    <s v="BBVA"/>
    <e v="#NAME?"/>
    <s v="NOSDA- BAU $ BAU (Mantenimiento y peq. evolutivos)"/>
    <n v="1"/>
    <s v="Desarrollador"/>
    <m/>
    <x v="1"/>
    <e v="#NAME?"/>
    <m/>
    <m/>
    <m/>
    <m/>
    <m/>
  </r>
  <r>
    <s v="CE63473"/>
    <s v="Katherine Santana"/>
    <x v="3"/>
    <x v="6"/>
    <s v="SII"/>
    <e v="#NAME?"/>
    <s v="SDATOOL-9053 $ GloMo Colombia"/>
    <n v="1"/>
    <s v="QA"/>
    <m/>
    <x v="0"/>
    <e v="#NAME?"/>
    <m/>
    <m/>
    <m/>
    <m/>
    <m/>
  </r>
  <r>
    <s v="CE61903"/>
    <s v="Kelly Johanna Vanegas"/>
    <x v="4"/>
    <x v="14"/>
    <s v="Tecnoevolución"/>
    <e v="#NAME?"/>
    <s v="SDATOOL-33907 $ Manejo Fiscal Prima o Descuento Renta Fija"/>
    <n v="0.1"/>
    <s v="Tech Manager/Líder"/>
    <m/>
    <x v="0"/>
    <e v="#NAME?"/>
    <m/>
    <m/>
    <m/>
    <m/>
    <m/>
  </r>
  <r>
    <s v="CE61903"/>
    <s v="Kelly Johanna Vanegas"/>
    <x v="4"/>
    <x v="14"/>
    <s v="Tecnoevolución"/>
    <e v="#NAME?"/>
    <s v="SDATOOL-38642 $ CUPON INTERMEDIO"/>
    <n v="0.1"/>
    <s v="Tech Manager/Líder"/>
    <m/>
    <x v="0"/>
    <e v="#NAME?"/>
    <m/>
    <m/>
    <m/>
    <m/>
    <m/>
  </r>
  <r>
    <s v="CE61903"/>
    <s v="Kelly Johanna Vanegas"/>
    <x v="4"/>
    <x v="14"/>
    <s v="Tecnoevolución"/>
    <e v="#NAME?"/>
    <s v="SDATOOL-35621 $ DOCUMENTO SOPORTE FASE II - DIALOGO"/>
    <n v="0.1"/>
    <s v="Tech Manager/Líder"/>
    <m/>
    <x v="0"/>
    <e v="#NAME?"/>
    <m/>
    <m/>
    <m/>
    <m/>
    <m/>
  </r>
  <r>
    <s v="CE61903"/>
    <s v="Kelly Johanna Vanegas"/>
    <x v="4"/>
    <x v="14"/>
    <s v="Tecnoevolución"/>
    <e v="#NAME?"/>
    <s v="SDATOOL-40545 $ GRM Col - Mejoras Evolutivas de Aplicativos y Herramientas de Riesgos 2023"/>
    <n v="0.1"/>
    <s v="Tech Manager/Líder"/>
    <m/>
    <x v="0"/>
    <e v="#NAME?"/>
    <m/>
    <m/>
    <m/>
    <m/>
    <m/>
  </r>
  <r>
    <s v="CE55472"/>
    <s v="Kevin Danilo López Clopatofsky"/>
    <x v="2"/>
    <x v="20"/>
    <s v="TRYCORE"/>
    <e v="#NAME?"/>
    <s v="SDATOOL-31326 $ Legalización Hipotecario"/>
    <n v="1"/>
    <s v="Desarrollador"/>
    <m/>
    <x v="0"/>
    <e v="#NAME?"/>
    <m/>
    <m/>
    <m/>
    <m/>
    <m/>
  </r>
  <r>
    <s v="CE69641"/>
    <s v="Kevin Sarmiento"/>
    <x v="3"/>
    <x v="6"/>
    <s v="Accenture"/>
    <e v="#NAME?"/>
    <s v="SDATOOL-9053 $ GloMo Colombia"/>
    <n v="1"/>
    <s v="Desarrollador"/>
    <m/>
    <x v="0"/>
    <e v="#NAME?"/>
    <m/>
    <m/>
    <m/>
    <m/>
    <m/>
  </r>
  <r>
    <s v="CE66305"/>
    <s v="LADY JOHANNA ARDILA ABELLO"/>
    <x v="0"/>
    <x v="0"/>
    <s v="Choucair"/>
    <e v="#NAME?"/>
    <s v="SDATOOL-36547 $ PLAN MAYOR -PLAN MENOR. Plan ascenso Open Market"/>
    <n v="1"/>
    <s v="QA"/>
    <m/>
    <x v="0"/>
    <e v="#NAME?"/>
    <m/>
    <m/>
    <m/>
    <m/>
    <m/>
  </r>
  <r>
    <s v="T000595"/>
    <s v="Laura Milena Duarte"/>
    <x v="3"/>
    <x v="6"/>
    <s v="Novatec"/>
    <e v="#NAME?"/>
    <s v="SDATOOL-38489 $ Horizon BTGR - Colombia"/>
    <n v="1"/>
    <s v="Desarrollador"/>
    <m/>
    <x v="0"/>
    <e v="#NAME?"/>
    <m/>
    <m/>
    <m/>
    <m/>
    <m/>
  </r>
  <r>
    <s v="C805746"/>
    <s v="LAURA NATHALY NIETO AMAYA"/>
    <x v="0"/>
    <x v="15"/>
    <s v="BBVA"/>
    <e v="#NAME?"/>
    <s v="NOSDA- BAU $ BAU (Mantenimiento y peq. evolutivos)"/>
    <n v="1"/>
    <s v="Desarrollador"/>
    <m/>
    <x v="1"/>
    <e v="#NAME?"/>
    <m/>
    <m/>
    <m/>
    <m/>
    <m/>
  </r>
  <r>
    <s v="C810947"/>
    <s v="LAURA PULIDO DIAZ"/>
    <x v="0"/>
    <x v="22"/>
    <s v="BBVA"/>
    <e v="#NAME?"/>
    <s v="SDATOOL-37130 $ Pago y domiciliación de recaudo"/>
    <n v="1"/>
    <s v="Desarrollador"/>
    <m/>
    <x v="1"/>
    <e v="#NAME?"/>
    <m/>
    <m/>
    <m/>
    <m/>
    <m/>
  </r>
  <r>
    <s v="CE67221"/>
    <s v="LAURA STEFANY ROMERO TRUJILLO"/>
    <x v="3"/>
    <x v="6"/>
    <s v="Neoris"/>
    <e v="#NAME?"/>
    <s v="SDATOOL-9053 $ GloMo Colombia"/>
    <n v="1"/>
    <s v="Desarrollador"/>
    <m/>
    <x v="0"/>
    <e v="#NAME?"/>
    <m/>
    <m/>
    <m/>
    <m/>
    <m/>
  </r>
  <r>
    <s v="O002599"/>
    <s v="LAURA VALENTINA SANDOVAL MARIN"/>
    <x v="3"/>
    <x v="19"/>
    <s v="BBVA"/>
    <e v="#NAME?"/>
    <s v="SDATOOL-37100 $ Soluciones de voz/Internalización del IVR - Plan Ascenso Privado"/>
    <n v="1"/>
    <s v="Desarrollador"/>
    <m/>
    <x v="1"/>
    <e v="#NAME?"/>
    <m/>
    <m/>
    <m/>
    <m/>
    <m/>
  </r>
  <r>
    <s v="CE69994"/>
    <s v="Lautaro Nahuel Cuello"/>
    <x v="3"/>
    <x v="16"/>
    <s v="Globant"/>
    <e v="#NAME?"/>
    <s v="SDATOOL-38419 $ Contratación cuenta en línea en Glomo"/>
    <n v="1"/>
    <s v="Desarrollador"/>
    <m/>
    <x v="0"/>
    <e v="#NAME?"/>
    <m/>
    <m/>
    <m/>
    <m/>
    <m/>
  </r>
  <r>
    <s v="CE56948"/>
    <s v="LEANDRO AUGUSTO CHIGUASUQUE I."/>
    <x v="2"/>
    <x v="20"/>
    <s v="TRYCORE"/>
    <e v="#NAME?"/>
    <s v="NOSDA- BAU $ BAU (Mantenimiento y peq. evolutivos)"/>
    <n v="1"/>
    <s v="Desarrollador"/>
    <s v="sopor prod"/>
    <x v="0"/>
    <e v="#NAME?"/>
    <m/>
    <m/>
    <m/>
    <m/>
    <m/>
  </r>
  <r>
    <s v="O001337"/>
    <s v="LEANDRO GOMEZ "/>
    <x v="3"/>
    <x v="7"/>
    <s v="BBVA"/>
    <e v="#NAME?"/>
    <s v="SDATOOL-36558 $ Transfiya:Transferencias interbancarias inmediatas - Plan Ascenso Privado"/>
    <n v="1"/>
    <s v="Tech Manager/Líder"/>
    <m/>
    <x v="1"/>
    <e v="#NAME?"/>
    <m/>
    <m/>
    <m/>
    <m/>
    <m/>
  </r>
  <r>
    <s v="O003306"/>
    <s v="LEIDY JOHANA RODRIGUEZ GARCIA"/>
    <x v="4"/>
    <x v="9"/>
    <s v="BBVA"/>
    <e v="#NAME?"/>
    <s v="SDATOOL-31461 $ Liquidación Swaps Cross Crurrency Delivery"/>
    <n v="0.5"/>
    <s v="Desarrollador"/>
    <m/>
    <x v="1"/>
    <e v="#NAME?"/>
    <m/>
    <m/>
    <m/>
    <m/>
    <m/>
  </r>
  <r>
    <s v="O003306"/>
    <s v="LEIDY JOHANA RODRIGUEZ GARCIA"/>
    <x v="4"/>
    <x v="9"/>
    <s v="BBVA"/>
    <e v="#NAME?"/>
    <s v="SDATOOL-39217 $ Aplicativos Tesorería 2022"/>
    <n v="0.25"/>
    <s v="Desarrollador"/>
    <m/>
    <x v="1"/>
    <e v="#NAME?"/>
    <m/>
    <m/>
    <m/>
    <m/>
    <m/>
  </r>
  <r>
    <s v="O003306"/>
    <s v="LEIDY JOHANA RODRIGUEZ GARCIA"/>
    <x v="4"/>
    <x v="9"/>
    <s v="BBVA"/>
    <e v="#NAME?"/>
    <s v="SDATOOL-41308 $ Aplicativos Tesorería 2023"/>
    <n v="0.25"/>
    <s v="Desarrollador"/>
    <m/>
    <x v="1"/>
    <e v="#NAME?"/>
    <m/>
    <m/>
    <m/>
    <m/>
    <m/>
  </r>
  <r>
    <s v="T005395"/>
    <s v="Leidy Johanna Ospina Rodriguez"/>
    <x v="1"/>
    <x v="10"/>
    <s v="GGI / CMC"/>
    <e v="#NAME?"/>
    <s v="SDATOOL-40003 $ Resolución 0124 DIAN 2021 - Créditos Hipotecarios para remodelación de Vivienda"/>
    <n v="1"/>
    <s v="Desarrollador"/>
    <m/>
    <x v="0"/>
    <e v="#NAME?"/>
    <m/>
    <m/>
    <m/>
    <m/>
    <m/>
  </r>
  <r>
    <s v="C343617"/>
    <s v="LEIDY NATALIA  GONZALEZ"/>
    <x v="2"/>
    <x v="5"/>
    <s v="BBVA"/>
    <e v="#NAME?"/>
    <s v="SDATOOL-37427 $ Adquirencia Premium"/>
    <n v="0.4"/>
    <s v="Desarrollador"/>
    <m/>
    <x v="1"/>
    <e v="#NAME?"/>
    <m/>
    <m/>
    <m/>
    <m/>
    <m/>
  </r>
  <r>
    <s v="C343617"/>
    <s v="LEIDY NATALIA  GONZALEZ"/>
    <x v="2"/>
    <x v="5"/>
    <s v="BBVA"/>
    <e v="#NAME?"/>
    <s v="NOSDA- BAU $ BAU (Mantenimiento y peq. evolutivos)"/>
    <n v="0.6"/>
    <s v="Desarrollador"/>
    <m/>
    <x v="1"/>
    <e v="#NAME?"/>
    <m/>
    <m/>
    <m/>
    <m/>
    <m/>
  </r>
  <r>
    <s v="C805939"/>
    <s v="LEISON FABIAN MEJIA GARCIA"/>
    <x v="2"/>
    <x v="2"/>
    <s v="BBVA"/>
    <e v="#NAME?"/>
    <s v="SDATOOL-38419 $ Contratación cuenta en línea en Glomo"/>
    <n v="1"/>
    <s v="Desarrollador"/>
    <m/>
    <x v="1"/>
    <e v="#NAME?"/>
    <m/>
    <m/>
    <m/>
    <m/>
    <m/>
  </r>
  <r>
    <s v="C810784"/>
    <s v="LENIN QUINTERO MUÑOZ"/>
    <x v="0"/>
    <x v="22"/>
    <s v="BBVA"/>
    <e v="#NAME?"/>
    <s v="SDATOOL-37425 $ Recaudo DIAN Tarjetas de Crédito Propio Banco través del Botón de pagos PSE para los canales Banca Personas y Banca de Empresas"/>
    <n v="1"/>
    <s v="Desarrollador"/>
    <m/>
    <x v="1"/>
    <e v="#NAME?"/>
    <m/>
    <m/>
    <m/>
    <m/>
    <m/>
  </r>
  <r>
    <s v="CE55339"/>
    <s v="Lenin Rafael Diaz Quintero"/>
    <x v="3"/>
    <x v="7"/>
    <s v="SII"/>
    <e v="#NAME?"/>
    <s v="SDATOOL-36558 $ Transfiya:Transferencias interbancarias inmediatas - Plan Ascenso Privado"/>
    <n v="1"/>
    <s v="Desarrollador"/>
    <m/>
    <x v="0"/>
    <e v="#NAME?"/>
    <m/>
    <m/>
    <m/>
    <m/>
    <m/>
  </r>
  <r>
    <s v="T000166"/>
    <s v="Leonardo Alberto Jimenez Rincon"/>
    <x v="3"/>
    <x v="7"/>
    <s v="Choucair"/>
    <e v="#NAME?"/>
    <s v="SDATOOL-36558 $ Transfiya:Transferencias interbancarias inmediatas - Plan Ascenso Privado"/>
    <n v="1"/>
    <s v="QA"/>
    <m/>
    <x v="0"/>
    <e v="#NAME?"/>
    <m/>
    <m/>
    <m/>
    <m/>
    <m/>
  </r>
  <r>
    <s v="C811392"/>
    <s v="LEONARDO SIMBAQUEBA ESGUERRA"/>
    <x v="2"/>
    <x v="5"/>
    <s v="BBVA"/>
    <e v="#NAME?"/>
    <s v="NOSDA- BAU $ BAU (Mantenimiento y peq. evolutivos)"/>
    <n v="0.6"/>
    <s v="Desarrollador"/>
    <m/>
    <x v="1"/>
    <e v="#NAME?"/>
    <m/>
    <m/>
    <m/>
    <m/>
    <m/>
  </r>
  <r>
    <s v="C811392"/>
    <s v="LEONARDO SIMBAQUEBA ESGUERRA"/>
    <x v="2"/>
    <x v="5"/>
    <s v="BBVA"/>
    <e v="#NAME?"/>
    <s v="SDATOOL-40469 $ Reversión reintegros parciales Adquirencia - Ajustes de comercio LATAM"/>
    <n v="0.2"/>
    <s v="Desarrollador"/>
    <m/>
    <x v="1"/>
    <e v="#NAME?"/>
    <m/>
    <m/>
    <m/>
    <m/>
    <m/>
  </r>
  <r>
    <s v="C811392"/>
    <s v="LEONARDO SIMBAQUEBA ESGUERRA"/>
    <x v="2"/>
    <x v="5"/>
    <s v="BBVA"/>
    <e v="#NAME?"/>
    <s v="SDATOOL-39354 $ My business Open Pay - Plan Ascenso Mercurio"/>
    <n v="0.2"/>
    <s v="Desarrollador"/>
    <m/>
    <x v="1"/>
    <e v="#NAME?"/>
    <m/>
    <m/>
    <m/>
    <m/>
    <m/>
  </r>
  <r>
    <s v="O001827"/>
    <s v="LEONOR AZUCENA GOMEZ RINCON"/>
    <x v="2"/>
    <x v="3"/>
    <s v="BBVA"/>
    <e v="#NAME?"/>
    <s v="SDATOOL-34910 $ Libranza Digital"/>
    <n v="0.25"/>
    <s v="Tech Manager/Líder"/>
    <m/>
    <x v="1"/>
    <e v="#NAME?"/>
    <m/>
    <m/>
    <m/>
    <m/>
    <m/>
  </r>
  <r>
    <s v="O001827"/>
    <s v="LEONOR AZUCENA GOMEZ RINCON"/>
    <x v="2"/>
    <x v="3"/>
    <s v="BBVA"/>
    <e v="#NAME?"/>
    <s v="SDATOOL-36522 $ Libranza E2E digital Fase III - Plan Ascenso Privado"/>
    <n v="0.25"/>
    <s v="Tech Manager/Líder"/>
    <m/>
    <x v="1"/>
    <e v="#NAME?"/>
    <m/>
    <m/>
    <m/>
    <m/>
    <m/>
  </r>
  <r>
    <s v="O001827"/>
    <s v="LEONOR AZUCENA GOMEZ RINCON"/>
    <x v="2"/>
    <x v="3"/>
    <s v="BBVA"/>
    <e v="#NAME?"/>
    <s v="SDATOOL-36560 $ Pricing de libranza - Plan Ascenso Open Market"/>
    <n v="0.1"/>
    <s v="Tech Manager/Líder"/>
    <m/>
    <x v="1"/>
    <e v="#NAME?"/>
    <m/>
    <m/>
    <m/>
    <m/>
    <m/>
  </r>
  <r>
    <s v="O001827"/>
    <s v="LEONOR AZUCENA GOMEZ RINCON"/>
    <x v="2"/>
    <x v="3"/>
    <s v="BBVA"/>
    <e v="#NAME?"/>
    <s v="SDATOOL-39384 $ Abonos a préstamos por canales"/>
    <n v="0.1"/>
    <s v="Tech Manager/Líder"/>
    <m/>
    <x v="1"/>
    <e v="#NAME?"/>
    <m/>
    <m/>
    <m/>
    <m/>
    <m/>
  </r>
  <r>
    <s v="O001827"/>
    <s v="LEONOR AZUCENA GOMEZ RINCON"/>
    <x v="2"/>
    <x v="3"/>
    <s v="BBVA"/>
    <e v="#NAME?"/>
    <s v="SDATOOL-28278 $ GRM Col - TMP Cobranzas - Pago en Canales Alternos"/>
    <n v="0.1"/>
    <s v="Tech Manager/Líder"/>
    <m/>
    <x v="1"/>
    <e v="#NAME?"/>
    <m/>
    <m/>
    <m/>
    <m/>
    <m/>
  </r>
  <r>
    <s v="O001827"/>
    <s v="LEONOR AZUCENA GOMEZ RINCON"/>
    <x v="2"/>
    <x v="3"/>
    <s v="BBVA"/>
    <e v="#NAME?"/>
    <s v="SDATOOL-40670 $ Plan CRM: Mejoras DWP Jurídicos (Pymes, Empresas,Gobiernos)"/>
    <n v="0.1"/>
    <s v="Tech Manager/Líder"/>
    <m/>
    <x v="1"/>
    <e v="#NAME?"/>
    <m/>
    <m/>
    <m/>
    <m/>
    <m/>
  </r>
  <r>
    <s v="O001827"/>
    <s v="LEONOR AZUCENA GOMEZ RINCON"/>
    <x v="2"/>
    <x v="3"/>
    <s v="BBVA"/>
    <e v="#NAME?"/>
    <s v="SDATOOL-39272 $ GRM-Col-Cambio servicio APL (Aportes en línea)"/>
    <n v="0.1"/>
    <s v="Tech Manager/Líder"/>
    <m/>
    <x v="1"/>
    <e v="#NAME?"/>
    <m/>
    <m/>
    <m/>
    <m/>
    <m/>
  </r>
  <r>
    <s v="CE64988"/>
    <s v="Levi Becerra"/>
    <x v="3"/>
    <x v="6"/>
    <s v="Accenture"/>
    <e v="#NAME?"/>
    <s v="SDATOOL-9053 $ GloMo Colombia"/>
    <n v="1"/>
    <s v="Desarrollador"/>
    <m/>
    <x v="0"/>
    <e v="#NAME?"/>
    <m/>
    <m/>
    <m/>
    <m/>
    <m/>
  </r>
  <r>
    <s v="C809507"/>
    <s v="LEYDI CAMARGO"/>
    <x v="2"/>
    <x v="3"/>
    <s v="BBVA"/>
    <e v="#NAME?"/>
    <s v="NOSDA- BAU $ BAU (Mantenimiento y peq. evolutivos)"/>
    <n v="0.8"/>
    <s v="Desarrollador"/>
    <m/>
    <x v="1"/>
    <e v="#NAME?"/>
    <m/>
    <m/>
    <m/>
    <m/>
    <m/>
  </r>
  <r>
    <s v="C809507"/>
    <s v="LEYDI CAMARGO"/>
    <x v="2"/>
    <x v="3"/>
    <s v="BBVA"/>
    <e v="#NAME?"/>
    <s v="SDATOOL-34157 $ Evolutivo Parthnership - Crédito en punto de venta de Aliados"/>
    <n v="0.2"/>
    <s v="Desarrollador"/>
    <m/>
    <x v="1"/>
    <e v="#NAME?"/>
    <m/>
    <m/>
    <m/>
    <m/>
    <m/>
  </r>
  <r>
    <s v="O000100"/>
    <s v="Liceth Yhomary Gonzalez Penagos"/>
    <x v="1"/>
    <x v="1"/>
    <s v="BBVA"/>
    <e v="#NAME?"/>
    <s v="SDATOOL-28473 $ GRM Col - TMP Cobranzas - Módulo control acuerdos de pago"/>
    <n v="0.3"/>
    <s v="Desarrollador"/>
    <m/>
    <x v="1"/>
    <e v="#NAME?"/>
    <m/>
    <m/>
    <m/>
    <m/>
    <m/>
  </r>
  <r>
    <s v="O000100"/>
    <s v="Liceth Yhomary Gonzalez Penagos"/>
    <x v="1"/>
    <x v="1"/>
    <s v="BBVA"/>
    <e v="#NAME?"/>
    <s v="SDATOOL-40658 $ GRM Col - Cronos Collections - Estrategia"/>
    <n v="0.5"/>
    <s v="Desarrollador"/>
    <m/>
    <x v="1"/>
    <e v="#NAME?"/>
    <m/>
    <m/>
    <m/>
    <m/>
    <m/>
  </r>
  <r>
    <s v="O000100"/>
    <s v="Liceth Yhomary Gonzalez Penagos"/>
    <x v="1"/>
    <x v="1"/>
    <s v="BBVA"/>
    <e v="#NAME?"/>
    <s v="NOSDA- BAU $ BAU (Mantenimiento y peq. evolutivos)"/>
    <n v="0.2"/>
    <s v="Desarrollador"/>
    <m/>
    <x v="1"/>
    <e v="#NAME?"/>
    <m/>
    <m/>
    <m/>
    <m/>
    <m/>
  </r>
  <r>
    <s v="T001910"/>
    <s v="LIDA VIVIANA PINEDA"/>
    <x v="2"/>
    <x v="3"/>
    <s v="Neoris"/>
    <e v="#NAME?"/>
    <s v="NOSDA- BAU $ BAU (Mantenimiento y peq. evolutivos)"/>
    <n v="1"/>
    <s v="Desarrollador"/>
    <m/>
    <x v="0"/>
    <e v="#NAME?"/>
    <m/>
    <m/>
    <m/>
    <m/>
    <m/>
  </r>
  <r>
    <s v="T003366"/>
    <s v="LILIAN BEDUD RIOJAS GONZALEZ"/>
    <x v="2"/>
    <x v="5"/>
    <s v="Novatec"/>
    <e v="#NAME?"/>
    <s v="SDATOOL-41757 $ AJUSTE AUTOMATIZACION CONCILIACION ARA"/>
    <n v="0.1"/>
    <s v="Otros"/>
    <m/>
    <x v="0"/>
    <e v="#NAME?"/>
    <m/>
    <m/>
    <m/>
    <m/>
    <m/>
  </r>
  <r>
    <s v="T003366"/>
    <s v="LILIAN BEDUD RIOJAS GONZALEZ"/>
    <x v="2"/>
    <x v="5"/>
    <s v="Novatec"/>
    <e v="#NAME?"/>
    <s v="SDATOOL-40295 $ Tokenización COF"/>
    <n v="0.3"/>
    <s v="Otros"/>
    <m/>
    <x v="0"/>
    <e v="#NAME?"/>
    <m/>
    <m/>
    <m/>
    <m/>
    <m/>
  </r>
  <r>
    <s v="T003366"/>
    <s v="LILIAN BEDUD RIOJAS GONZALEZ"/>
    <x v="2"/>
    <x v="5"/>
    <s v="Novatec"/>
    <e v="#NAME?"/>
    <s v="SDATOOL-40442 $ M4M - Tokenización Mastercard"/>
    <n v="0.3"/>
    <s v="Otros"/>
    <m/>
    <x v="0"/>
    <e v="#NAME?"/>
    <m/>
    <m/>
    <m/>
    <m/>
    <m/>
  </r>
  <r>
    <s v="T003366"/>
    <s v="LILIAN BEDUD RIOJAS GONZALEZ"/>
    <x v="2"/>
    <x v="5"/>
    <s v="Novatec"/>
    <e v="#NAME?"/>
    <s v="SDATOOL-41726 $ EXTRACUPO TARJETA DE CREDITO"/>
    <n v="0.15"/>
    <s v="Otros"/>
    <m/>
    <x v="0"/>
    <e v="#NAME?"/>
    <m/>
    <m/>
    <m/>
    <m/>
    <m/>
  </r>
  <r>
    <s v="T003366"/>
    <s v="LILIAN BEDUD RIOJAS GONZALEZ"/>
    <x v="2"/>
    <x v="5"/>
    <s v="Novatec"/>
    <e v="#NAME?"/>
    <s v="SDATOOL-40613 $ Códigos MAC"/>
    <n v="0.15"/>
    <s v="Otros"/>
    <m/>
    <x v="0"/>
    <e v="#NAME?"/>
    <m/>
    <m/>
    <m/>
    <m/>
    <m/>
  </r>
  <r>
    <s v="CE51577"/>
    <s v="LINA JULIETH REDONDO SOLER"/>
    <x v="0"/>
    <x v="0"/>
    <s v="Choucair"/>
    <e v="#NAME?"/>
    <s v="SDATOOL-36547 $ PLAN MAYOR -PLAN MENOR. Plan ascenso Open Market"/>
    <n v="1"/>
    <s v="QA"/>
    <m/>
    <x v="0"/>
    <e v="#NAME?"/>
    <m/>
    <m/>
    <m/>
    <m/>
    <m/>
  </r>
  <r>
    <s v="CE69750"/>
    <s v="Lina Vanessa Rincón Prada"/>
    <x v="3"/>
    <x v="16"/>
    <s v="Choucair"/>
    <e v="#NAME?"/>
    <s v="SDATOOL-36048 $ Repositorio flujos  ventas digitales flujos - Plan Ascenso Open Market"/>
    <n v="1"/>
    <s v="QA"/>
    <m/>
    <x v="0"/>
    <e v="#NAME?"/>
    <m/>
    <m/>
    <m/>
    <m/>
    <m/>
  </r>
  <r>
    <s v="C811354"/>
    <s v="LIZET VANESSA VEGA BONILLA"/>
    <x v="2"/>
    <x v="5"/>
    <s v="BBVA"/>
    <e v="#NAME?"/>
    <s v="SDATOOL-38447 $ GRM Col - Condonación y bajas automáticas en Medios de Pago"/>
    <n v="0.2"/>
    <s v="Desarrollador"/>
    <m/>
    <x v="1"/>
    <e v="#NAME?"/>
    <m/>
    <m/>
    <m/>
    <m/>
    <m/>
  </r>
  <r>
    <s v="C811354"/>
    <s v="LIZET VANESSA VEGA BONILLA"/>
    <x v="2"/>
    <x v="5"/>
    <s v="BBVA"/>
    <e v="#NAME?"/>
    <s v="SDATOOL-37753 $ Plan de transformación de operaciones 2022"/>
    <n v="0.2"/>
    <s v="Desarrollador"/>
    <m/>
    <x v="1"/>
    <e v="#NAME?"/>
    <m/>
    <m/>
    <m/>
    <m/>
    <m/>
  </r>
  <r>
    <s v="C811354"/>
    <s v="LIZET VANESSA VEGA BONILLA"/>
    <x v="2"/>
    <x v="5"/>
    <s v="BBVA"/>
    <e v="#NAME?"/>
    <s v="SDATOOL-33846 $ SREP Data Quality- BCBS239 - Colombia"/>
    <n v="0.2"/>
    <s v="Desarrollador"/>
    <m/>
    <x v="1"/>
    <e v="#NAME?"/>
    <m/>
    <m/>
    <m/>
    <m/>
    <m/>
  </r>
  <r>
    <s v="C811354"/>
    <s v="LIZET VANESSA VEGA BONILLA"/>
    <x v="2"/>
    <x v="5"/>
    <s v="BBVA"/>
    <e v="#NAME?"/>
    <s v="SDATOOL-40438 $ CIRCULAR 032 del 2021 - REQUERIMIENTO FISCALIA GENERAL DE LA NACION"/>
    <n v="0.2"/>
    <s v="Desarrollador"/>
    <m/>
    <x v="1"/>
    <e v="#NAME?"/>
    <m/>
    <m/>
    <m/>
    <m/>
    <m/>
  </r>
  <r>
    <s v="C811354"/>
    <s v="LIZET VANESSA VEGA BONILLA"/>
    <x v="2"/>
    <x v="5"/>
    <s v="BBVA"/>
    <e v="#NAME?"/>
    <s v="NOSDA- BAU $ BAU (Mantenimiento y peq. evolutivos)"/>
    <n v="0.2"/>
    <s v="Desarrollador"/>
    <m/>
    <x v="1"/>
    <e v="#NAME?"/>
    <m/>
    <m/>
    <m/>
    <m/>
    <m/>
  </r>
  <r>
    <s v="CE70711"/>
    <s v="LIZETH DAYANA RODRIGUEZ ACOSTA"/>
    <x v="2"/>
    <x v="5"/>
    <s v="Novatec"/>
    <e v="#NAME?"/>
    <s v="NOSDA- BAU $ BAU (Mantenimiento y peq. evolutivos)"/>
    <n v="1"/>
    <s v="Desarrollador"/>
    <m/>
    <x v="0"/>
    <e v="#NAME?"/>
    <m/>
    <m/>
    <m/>
    <m/>
    <m/>
  </r>
  <r>
    <s v="CE69376"/>
    <s v="Lizeth Dueñas"/>
    <x v="4"/>
    <x v="14"/>
    <s v="Tecnoevolución"/>
    <e v="#NAME?"/>
    <s v="SDATOOL-35621 $ DOCUMENTO SOPORTE FASE II - DIALOGO"/>
    <n v="0.5"/>
    <s v="Desarrollador"/>
    <m/>
    <x v="0"/>
    <e v="#NAME?"/>
    <m/>
    <m/>
    <m/>
    <m/>
    <m/>
  </r>
  <r>
    <s v="CE69376"/>
    <s v="Lizeth Dueñas"/>
    <x v="4"/>
    <x v="14"/>
    <s v="Tecnoevolución"/>
    <e v="#NAME?"/>
    <s v="SDATOOL-38642 $ CUPON INTERMEDIO"/>
    <n v="0.5"/>
    <s v="Desarrollador"/>
    <m/>
    <x v="0"/>
    <e v="#NAME?"/>
    <m/>
    <m/>
    <m/>
    <m/>
    <m/>
  </r>
  <r>
    <s v="CE55477"/>
    <s v="LIZZETH PAOLA FORERO"/>
    <x v="0"/>
    <x v="0"/>
    <s v="Choucair"/>
    <e v="#NAME?"/>
    <s v="NOSDA- BAU $ BAU (Mantenimiento y peq. evolutivos)"/>
    <n v="1"/>
    <s v="QA"/>
    <m/>
    <x v="0"/>
    <e v="#NAME?"/>
    <m/>
    <m/>
    <m/>
    <m/>
    <m/>
  </r>
  <r>
    <s v="C811410"/>
    <s v="Llanes Polo Michael Cesar"/>
    <x v="1"/>
    <x v="1"/>
    <s v="BBVA"/>
    <e v="#NAME?"/>
    <s v="SDATOOL-28473 $ GRM Col - TMP Cobranzas - Módulo control acuerdos de pago"/>
    <n v="0.7"/>
    <s v="Desarrollador"/>
    <m/>
    <x v="1"/>
    <e v="#NAME?"/>
    <m/>
    <m/>
    <m/>
    <m/>
    <m/>
  </r>
  <r>
    <s v="C811410"/>
    <s v="Llanes Polo Michael Cesar"/>
    <x v="1"/>
    <x v="1"/>
    <s v="BBVA"/>
    <e v="#NAME?"/>
    <s v="NOSDA- BAU $ BAU (Mantenimiento y peq. evolutivos)"/>
    <n v="0.3"/>
    <s v="Desarrollador"/>
    <m/>
    <x v="1"/>
    <e v="#NAME?"/>
    <m/>
    <m/>
    <m/>
    <m/>
    <m/>
  </r>
  <r>
    <s v="C782660"/>
    <s v="LUBDIVIA BARBOSA CASTILLO"/>
    <x v="2"/>
    <x v="5"/>
    <s v="BBVA"/>
    <e v="#NAME?"/>
    <s v="NOSDA- BAU $ BAU (Mantenimiento y peq. evolutivos)"/>
    <n v="1"/>
    <s v="Otros"/>
    <s v="INCAPACIDAD"/>
    <x v="1"/>
    <e v="#NAME?"/>
    <m/>
    <m/>
    <m/>
    <m/>
    <m/>
  </r>
  <r>
    <s v="C805983"/>
    <s v="Luber Fandiño Chito"/>
    <x v="3"/>
    <x v="6"/>
    <s v="BBVA"/>
    <e v="#NAME?"/>
    <s v="NOSDA- BAU $ BAU (Mantenimiento y peq. evolutivos)"/>
    <n v="1"/>
    <s v="Desarrollador"/>
    <m/>
    <x v="1"/>
    <e v="#NAME?"/>
    <m/>
    <m/>
    <m/>
    <m/>
    <m/>
  </r>
  <r>
    <s v="CE57264"/>
    <s v="LUCIO RAMIRO TAPIA VARGAS"/>
    <x v="4"/>
    <x v="9"/>
    <s v="Novatec"/>
    <e v="#NAME?"/>
    <s v="SDATOOL-40269 $ Actualización y transmisión Declaraciones de Cambio – Banco de la República Abril 2022."/>
    <n v="1"/>
    <s v="Desarrollador"/>
    <m/>
    <x v="0"/>
    <e v="#NAME?"/>
    <m/>
    <m/>
    <m/>
    <m/>
    <m/>
  </r>
  <r>
    <s v="CE62380"/>
    <s v="LUIGUI SANTIAGO FAJARDO TOLOZA"/>
    <x v="1"/>
    <x v="10"/>
    <s v="ADENZA"/>
    <e v="#NAME?"/>
    <s v="SDATOOL-37411 $ Infraestructura reportes regulatorios"/>
    <n v="1"/>
    <s v="Desarrollador"/>
    <m/>
    <x v="0"/>
    <e v="#NAME?"/>
    <m/>
    <m/>
    <m/>
    <m/>
    <m/>
  </r>
  <r>
    <s v="CE70161"/>
    <s v="Luis Alberto Caldera Chavez"/>
    <x v="1"/>
    <x v="10"/>
    <s v="GGI / CMC"/>
    <e v="#NAME?"/>
    <s v="SDATOOL-36929 $ Ciclo 1 - Resolución 098 de 2020 DIAN - Reportes de Información Exogena"/>
    <n v="1"/>
    <s v="Desarrollador"/>
    <m/>
    <x v="0"/>
    <e v="#NAME?"/>
    <m/>
    <m/>
    <m/>
    <m/>
    <m/>
  </r>
  <r>
    <m/>
    <s v="LUIS ALEJANDRO BURGOS"/>
    <x v="0"/>
    <x v="15"/>
    <s v="Indra"/>
    <e v="#NAME?"/>
    <s v="SDATOOL-32905 $ Global Enterprises Mobile App (GEMA)"/>
    <n v="1"/>
    <s v="Desarrollador"/>
    <m/>
    <x v="0"/>
    <e v="#NAME?"/>
    <m/>
    <m/>
    <m/>
    <m/>
    <m/>
  </r>
  <r>
    <s v="CE57066"/>
    <s v="LUIS EDIER BERMUDEZ RIOS"/>
    <x v="3"/>
    <x v="4"/>
    <s v="Neoris"/>
    <e v="#NAME?"/>
    <s v="SDATOOL-40672 $ Plan CRM: Mejoras AUG (Banca Comercial y CSF) Equipo A"/>
    <n v="1"/>
    <s v="Desarrollador"/>
    <m/>
    <x v="0"/>
    <e v="#NAME?"/>
    <m/>
    <m/>
    <m/>
    <m/>
    <m/>
  </r>
  <r>
    <s v="T004934"/>
    <s v="Luis Eduardo Fonseca Fajardo"/>
    <x v="3"/>
    <x v="16"/>
    <s v="Choucair"/>
    <e v="#NAME?"/>
    <s v="SDATOOL-39348 $ tarjeta de crédito Open Market Fallback product"/>
    <n v="1"/>
    <s v="QA"/>
    <m/>
    <x v="0"/>
    <e v="#NAME?"/>
    <m/>
    <m/>
    <m/>
    <m/>
    <m/>
  </r>
  <r>
    <s v="CE69109"/>
    <s v="Luis Felipe González"/>
    <x v="3"/>
    <x v="7"/>
    <s v="GGI / CMC"/>
    <e v="#NAME?"/>
    <s v="NOSDA- BAU $ BAU (Mantenimiento y peq. evolutivos)"/>
    <n v="1"/>
    <s v="Desarrollador"/>
    <m/>
    <x v="0"/>
    <e v="#NAME?"/>
    <m/>
    <m/>
    <m/>
    <m/>
    <m/>
  </r>
  <r>
    <s v="C811207"/>
    <s v="LUIS FERNANDO GUTIERREZ PRADO"/>
    <x v="0"/>
    <x v="22"/>
    <s v="BBVA"/>
    <e v="#NAME?"/>
    <s v="SDATOOL-37129 $ Conciliación Recaudo PSE"/>
    <n v="1"/>
    <s v="Desarrollador"/>
    <m/>
    <x v="1"/>
    <e v="#NAME?"/>
    <m/>
    <m/>
    <m/>
    <m/>
    <m/>
  </r>
  <r>
    <s v="CE29535"/>
    <s v="LUIS FERNANDO PEÑA CAICEDO"/>
    <x v="0"/>
    <x v="15"/>
    <s v="Inetum"/>
    <e v="#NAME?"/>
    <s v="SDATOOL-39354 $ My business Open Pay - Plan Ascenso Mercurio"/>
    <n v="1"/>
    <s v="Desarrollador"/>
    <m/>
    <x v="0"/>
    <e v="#NAME?"/>
    <m/>
    <m/>
    <m/>
    <m/>
    <m/>
  </r>
  <r>
    <s v="CE17711"/>
    <s v="LUIS FERNANDO RODRIGUEZ MEDINA"/>
    <x v="2"/>
    <x v="2"/>
    <s v="KRYPTO"/>
    <e v="#NAME?"/>
    <s v="NOSDA- BAU $ BAU (Mantenimiento y peq. evolutivos)"/>
    <n v="0.5"/>
    <s v="QA"/>
    <s v="Tester/Planificador"/>
    <x v="0"/>
    <e v="#NAME?"/>
    <m/>
    <m/>
    <m/>
    <m/>
    <m/>
  </r>
  <r>
    <s v="CE17711"/>
    <s v="LUIS FERNANDO RODRIGUEZ MEDINA"/>
    <x v="2"/>
    <x v="2"/>
    <s v="KRYPTO"/>
    <e v="#NAME?"/>
    <s v="SDATOOL-39457 $ Generación MT940 Fines de Semana y Festivos"/>
    <n v="0.5"/>
    <s v="QA"/>
    <s v="Tester/Planificador"/>
    <x v="0"/>
    <e v="#NAME?"/>
    <m/>
    <m/>
    <m/>
    <m/>
    <m/>
  </r>
  <r>
    <s v="C811322"/>
    <s v="LUIS FERNANDO SABROSO"/>
    <x v="2"/>
    <x v="5"/>
    <s v="BBVA"/>
    <e v="#NAME?"/>
    <s v="SDATOOL-36556 $ Parthnerships - Tarjeta de crédito en punto de venta físico  aliados"/>
    <n v="1"/>
    <s v="Desarrollador"/>
    <m/>
    <x v="1"/>
    <e v="#NAME?"/>
    <m/>
    <m/>
    <m/>
    <m/>
    <m/>
  </r>
  <r>
    <s v="CE66135"/>
    <s v="LUIS FERNANDO TORRES AVENDAÑO"/>
    <x v="2"/>
    <x v="5"/>
    <s v="Inetum"/>
    <e v="#NAME?"/>
    <s v="SDATOOL-36556 $ Parthnerships - Tarjeta de crédito en punto de venta físico  aliados"/>
    <n v="1"/>
    <s v="Desarrollador"/>
    <m/>
    <x v="0"/>
    <e v="#NAME?"/>
    <m/>
    <m/>
    <m/>
    <m/>
    <m/>
  </r>
  <r>
    <s v="CE64877"/>
    <s v="Luis Guillermo Sanchez"/>
    <x v="4"/>
    <x v="14"/>
    <s v="Tecnoevolución"/>
    <e v="#NAME?"/>
    <s v="SDATOOL-38642 $ CUPON INTERMEDIO"/>
    <n v="0.1"/>
    <s v="Desarrollador"/>
    <m/>
    <x v="0"/>
    <e v="#NAME?"/>
    <m/>
    <m/>
    <m/>
    <m/>
    <m/>
  </r>
  <r>
    <s v="C342048"/>
    <s v="LUIS JAVIER RIVERA MORENO"/>
    <x v="2"/>
    <x v="3"/>
    <s v="BBVA"/>
    <e v="#NAME?"/>
    <s v="SDATOOL-40435 $ Cuota Segura créditos de libranza"/>
    <n v="0.75"/>
    <s v="Desarrollador"/>
    <m/>
    <x v="1"/>
    <e v="#NAME?"/>
    <m/>
    <m/>
    <m/>
    <m/>
    <m/>
  </r>
  <r>
    <s v="C342048"/>
    <s v="LUIS JAVIER RIVERA MORENO"/>
    <x v="2"/>
    <x v="3"/>
    <s v="BBVA"/>
    <e v="#NAME?"/>
    <s v="SDATOOL-39358 $ Crédito Virtual"/>
    <n v="0.25"/>
    <s v="Desarrollador"/>
    <m/>
    <x v="1"/>
    <e v="#NAME?"/>
    <m/>
    <m/>
    <m/>
    <m/>
    <m/>
  </r>
  <r>
    <s v="C808648"/>
    <s v="LUIS JAVIER SANDON"/>
    <x v="2"/>
    <x v="3"/>
    <s v="BBVA"/>
    <e v="#NAME?"/>
    <s v="SDATOOL-40466 $ Garantía FAG"/>
    <n v="0.7"/>
    <s v="Desarrollador"/>
    <m/>
    <x v="1"/>
    <e v="#NAME?"/>
    <m/>
    <m/>
    <m/>
    <m/>
    <m/>
  </r>
  <r>
    <s v="C808648"/>
    <s v="LUIS JAVIER SANDON"/>
    <x v="2"/>
    <x v="3"/>
    <s v="BBVA"/>
    <e v="#NAME?"/>
    <s v="NOSDA- BAU $ BAU (Mantenimiento y peq. evolutivos)"/>
    <n v="0.3"/>
    <s v="Desarrollador"/>
    <m/>
    <x v="1"/>
    <e v="#NAME?"/>
    <m/>
    <m/>
    <m/>
    <m/>
    <m/>
  </r>
  <r>
    <s v="T003696"/>
    <s v="LUIS LOZANO"/>
    <x v="4"/>
    <x v="9"/>
    <s v="Accenture"/>
    <e v="#NAME?"/>
    <s v="SDATOOL-38735 $ Dynamic Pricing"/>
    <n v="7.0000000000000007E-2"/>
    <s v="Desarrollador"/>
    <m/>
    <x v="0"/>
    <e v="#NAME?"/>
    <m/>
    <m/>
    <m/>
    <m/>
    <m/>
  </r>
  <r>
    <s v="C801829"/>
    <s v="LUISA FERNANDA CASTRILLON"/>
    <x v="0"/>
    <x v="22"/>
    <s v="BBVA"/>
    <e v="#NAME?"/>
    <s v="SDATOOL-38427 $ Servicios transaccionales 2022"/>
    <n v="0.25"/>
    <s v="Tech Manager/Líder"/>
    <m/>
    <x v="1"/>
    <e v="#NAME?"/>
    <m/>
    <m/>
    <m/>
    <m/>
    <m/>
  </r>
  <r>
    <s v="C801829"/>
    <s v="LUISA FERNANDA CASTRILLON"/>
    <x v="0"/>
    <x v="22"/>
    <s v="BBVA"/>
    <e v="#NAME?"/>
    <s v="SDATOOL-41980 $ Modelo API´S Recaudo (CB´s)"/>
    <n v="0.25"/>
    <s v="Desarrollador"/>
    <m/>
    <x v="1"/>
    <e v="#NAME?"/>
    <m/>
    <m/>
    <m/>
    <m/>
    <m/>
  </r>
  <r>
    <s v="C801829"/>
    <s v="LUISA FERNANDA CASTRILLON"/>
    <x v="0"/>
    <x v="22"/>
    <s v="BBVA"/>
    <e v="#NAME?"/>
    <s v="SDATOOL-42040 $ In House Bavaria"/>
    <n v="0.25"/>
    <s v="Desarrollador"/>
    <m/>
    <x v="1"/>
    <e v="#NAME?"/>
    <m/>
    <m/>
    <m/>
    <m/>
    <m/>
  </r>
  <r>
    <s v="C801829"/>
    <s v="LUISA FERNANDA CASTRILLON"/>
    <x v="0"/>
    <x v="22"/>
    <s v="BBVA"/>
    <e v="#NAME?"/>
    <s v="SDATOOL-42044 $ In House Sierracol"/>
    <n v="0.25"/>
    <s v="Desarrollador"/>
    <m/>
    <x v="1"/>
    <e v="#NAME?"/>
    <m/>
    <m/>
    <m/>
    <m/>
    <m/>
  </r>
  <r>
    <s v="CE17709"/>
    <s v="LUZ  STELLA MARTINEZ"/>
    <x v="3"/>
    <x v="7"/>
    <s v="KRYPTO"/>
    <e v="#NAME?"/>
    <s v="SDATOOL-38527 $ Pagaré Electrónico en flujos de Contratación digital"/>
    <n v="1"/>
    <s v="QA"/>
    <m/>
    <x v="0"/>
    <e v="#NAME?"/>
    <m/>
    <m/>
    <m/>
    <m/>
    <m/>
  </r>
  <r>
    <s v="T003502"/>
    <s v="LUZ ANGELA BATTE NOVOA"/>
    <x v="2"/>
    <x v="2"/>
    <s v="KRYPTO"/>
    <e v="#NAME?"/>
    <s v="NOSDA- BAU $ BAU (Mantenimiento y peq. evolutivos)"/>
    <n v="0.5"/>
    <s v="QA"/>
    <s v="Tester"/>
    <x v="0"/>
    <e v="#NAME?"/>
    <m/>
    <m/>
    <m/>
    <m/>
    <m/>
  </r>
  <r>
    <s v="T003502"/>
    <s v="LUZ ANGELA BATTE NOVOA"/>
    <x v="2"/>
    <x v="2"/>
    <s v="KRYPTO"/>
    <e v="#NAME?"/>
    <s v="SDATOOL-37753 $ Plan de transformación de operaciones 2022"/>
    <n v="0.5"/>
    <s v="QA"/>
    <s v="Tester"/>
    <x v="0"/>
    <e v="#NAME?"/>
    <m/>
    <m/>
    <m/>
    <m/>
    <m/>
  </r>
  <r>
    <s v="CE70114"/>
    <s v="Luz Carola Giraldo García"/>
    <x v="3"/>
    <x v="16"/>
    <s v="GGI / CMC"/>
    <e v="#NAME?"/>
    <s v="SDATOOL-39197 $ Tealeaf SaaS"/>
    <n v="1"/>
    <s v="QA"/>
    <m/>
    <x v="0"/>
    <e v="#NAME?"/>
    <m/>
    <m/>
    <m/>
    <m/>
    <m/>
  </r>
  <r>
    <s v="CE69112"/>
    <s v="LUZ DARY PATINO PINTOR "/>
    <x v="0"/>
    <x v="27"/>
    <s v="Choucair"/>
    <e v="#NAME?"/>
    <s v="SDATOOL-36358 $ Pagos por Terceros (Mandato y/o Administración) - Información exógena DIAN - Resolución 0098 DIAN"/>
    <n v="1"/>
    <s v="QA"/>
    <m/>
    <x v="0"/>
    <e v="#NAME?"/>
    <m/>
    <m/>
    <m/>
    <m/>
    <m/>
  </r>
  <r>
    <s v="CE43328"/>
    <s v="LUZ ENEY ACEVEDO MATEUS"/>
    <x v="2"/>
    <x v="5"/>
    <s v="Novatec"/>
    <e v="#NAME?"/>
    <s v="NOSDA- BAU $ BAU (Mantenimiento y peq. evolutivos)"/>
    <n v="1"/>
    <s v="Desarrollador"/>
    <m/>
    <x v="0"/>
    <e v="#NAME?"/>
    <m/>
    <m/>
    <m/>
    <m/>
    <m/>
  </r>
  <r>
    <s v="C343564"/>
    <s v="LUZ ESTELLA ORTEGA"/>
    <x v="2"/>
    <x v="3"/>
    <s v="BBVA"/>
    <e v="#NAME?"/>
    <s v="SDATOOL-34157 $ Evolutivo Parthnership - Crédito en punto de venta de Aliados"/>
    <n v="0.1"/>
    <s v="Desarrollador"/>
    <m/>
    <x v="1"/>
    <e v="#NAME?"/>
    <m/>
    <m/>
    <m/>
    <m/>
    <m/>
  </r>
  <r>
    <s v="C343564"/>
    <s v="LUZ ESTELLA ORTEGA"/>
    <x v="2"/>
    <x v="3"/>
    <s v="BBVA"/>
    <e v="#NAME?"/>
    <s v="SDATOOL-34157 $ Evolutivo Parthnership - Crédito en punto de venta de Aliados"/>
    <n v="0.1"/>
    <s v="Desarrollador"/>
    <m/>
    <x v="1"/>
    <e v="#NAME?"/>
    <m/>
    <m/>
    <m/>
    <m/>
    <m/>
  </r>
  <r>
    <s v="C343564"/>
    <s v="LUZ ESTELLA ORTEGA"/>
    <x v="2"/>
    <x v="3"/>
    <s v="BBVA"/>
    <e v="#NAME?"/>
    <s v="SDATOOL-40062 $ Implementación FGA en flujos de contratación digital"/>
    <n v="0.8"/>
    <s v="Desarrollador"/>
    <m/>
    <x v="1"/>
    <e v="#NAME?"/>
    <m/>
    <m/>
    <m/>
    <m/>
    <m/>
  </r>
  <r>
    <s v="C805926"/>
    <s v="MAICOL STIVEN PEREZ"/>
    <x v="2"/>
    <x v="3"/>
    <s v="BBVA"/>
    <e v="#NAME?"/>
    <s v="SDATOOL-39836 $ Vivienda digital fase III"/>
    <n v="1"/>
    <s v="Desarrollador"/>
    <m/>
    <x v="1"/>
    <e v="#NAME?"/>
    <m/>
    <m/>
    <m/>
    <m/>
    <m/>
  </r>
  <r>
    <s v="C804828"/>
    <s v="MAIRA ALEJANDRA GUERRERO CAMARGO"/>
    <x v="2"/>
    <x v="3"/>
    <s v="BBVA"/>
    <e v="#NAME?"/>
    <s v="SDATOOL-37483 $ Aplicativos Finanzas - 2022"/>
    <n v="0.5"/>
    <s v="Desarrollador"/>
    <m/>
    <x v="1"/>
    <e v="#NAME?"/>
    <m/>
    <m/>
    <m/>
    <m/>
    <m/>
  </r>
  <r>
    <s v="C804828"/>
    <s v="MAIRA ALEJANDRA GUERRERO CAMARGO"/>
    <x v="2"/>
    <x v="3"/>
    <s v="BBVA"/>
    <e v="#NAME?"/>
    <s v="SDATOOL-33846 $ SREP Data Quality- BCBS239 - Colombia"/>
    <n v="0.5"/>
    <s v="Desarrollador"/>
    <m/>
    <x v="1"/>
    <e v="#NAME?"/>
    <m/>
    <m/>
    <m/>
    <m/>
    <m/>
  </r>
  <r>
    <s v="C804103"/>
    <s v="MAIRON STIVENS JIMENEZ QUIROGA"/>
    <x v="0"/>
    <x v="0"/>
    <s v="BBVA"/>
    <e v="#NAME?"/>
    <s v="SDATOOL-37125 $ Factoring - IBR"/>
    <n v="0.75"/>
    <s v="Desarrollador"/>
    <m/>
    <x v="1"/>
    <e v="#NAME?"/>
    <m/>
    <m/>
    <m/>
    <m/>
    <m/>
  </r>
  <r>
    <s v="C804103"/>
    <s v="MAIRON STIVENS JIMENEZ QUIROGA"/>
    <x v="0"/>
    <x v="0"/>
    <s v="BBVA"/>
    <e v="#NAME?"/>
    <s v="SDATOOL-42106 $ Emisión Certificados Tributarios a  proveedores en  Operaciones Sin Recurso (Proyecto Normativo)"/>
    <n v="0.25"/>
    <s v="Desarrollador"/>
    <m/>
    <x v="1"/>
    <e v="#NAME?"/>
    <m/>
    <m/>
    <m/>
    <m/>
    <m/>
  </r>
  <r>
    <s v="T004335"/>
    <s v="MANCIPE JUAN DAVID"/>
    <x v="0"/>
    <x v="8"/>
    <s v="GGI / CMC"/>
    <e v="#NAME?"/>
    <s v="SDATOOL-40555 $ ADELANTO DE VENTA EN GEMA"/>
    <n v="1"/>
    <s v="Desarrollador"/>
    <m/>
    <x v="0"/>
    <e v="#NAME?"/>
    <m/>
    <m/>
    <m/>
    <m/>
    <m/>
  </r>
  <r>
    <s v="CE68849"/>
    <s v="Manuel Alberto Gil Isaziga"/>
    <x v="3"/>
    <x v="6"/>
    <s v="Neoris"/>
    <e v="#NAME?"/>
    <s v="SDATOOL-9053 $ GloMo Colombia"/>
    <n v="1"/>
    <s v="Desarrollador"/>
    <m/>
    <x v="0"/>
    <e v="#NAME?"/>
    <m/>
    <m/>
    <m/>
    <m/>
    <m/>
  </r>
  <r>
    <s v="CE68693"/>
    <s v="MANUEL ALEJANDRO MARENCO (Torre)"/>
    <x v="0"/>
    <x v="22"/>
    <s v="Novatec"/>
    <e v="#NAME?"/>
    <s v="NOSDA- BAU $ BAU (Mantenimiento y peq. evolutivos)"/>
    <n v="1"/>
    <s v="Desarrollador"/>
    <s v="Recaudos"/>
    <x v="0"/>
    <e v="#NAME?"/>
    <m/>
    <m/>
    <m/>
    <m/>
    <m/>
  </r>
  <r>
    <s v="CE70000"/>
    <s v="Manuel Augusto Vilchez Maticorena"/>
    <x v="3"/>
    <x v="16"/>
    <s v="Globant"/>
    <e v="#NAME?"/>
    <s v="SDATOOL-38419 $ Contratación cuenta en línea en Glomo"/>
    <n v="1"/>
    <s v="Desarrollador"/>
    <m/>
    <x v="0"/>
    <e v="#NAME?"/>
    <m/>
    <m/>
    <m/>
    <m/>
    <m/>
  </r>
  <r>
    <s v="T002449"/>
    <s v="Manuel Camilo Sanchez Sevilla"/>
    <x v="1"/>
    <x v="21"/>
    <s v="Novatec"/>
    <e v="#NAME?"/>
    <s v="SDATOOL-28728 $ Contratación electrónica/digital de empleados y Carpeta Virtual 2.0"/>
    <n v="1"/>
    <s v="Desarrollador"/>
    <m/>
    <x v="0"/>
    <e v="#NAME?"/>
    <m/>
    <m/>
    <m/>
    <m/>
    <m/>
  </r>
  <r>
    <s v="O001973"/>
    <s v="MANUEL ESTEBAN MORENO"/>
    <x v="0"/>
    <x v="0"/>
    <s v="BBVA"/>
    <e v="#NAME?"/>
    <s v="NOSDA- BAU $ BAU (Mantenimiento y peq. evolutivos)"/>
    <n v="1"/>
    <s v="Desarrollador"/>
    <m/>
    <x v="1"/>
    <e v="#NAME?"/>
    <m/>
    <m/>
    <m/>
    <m/>
    <m/>
  </r>
  <r>
    <s v="O002730"/>
    <s v="MARCELA LASSO"/>
    <x v="3"/>
    <x v="6"/>
    <s v="BBVA"/>
    <e v="#NAME?"/>
    <s v="SDATOOL-9053 $ GloMo Colombia"/>
    <n v="1"/>
    <s v="QA"/>
    <m/>
    <x v="1"/>
    <e v="#NAME?"/>
    <m/>
    <m/>
    <m/>
    <m/>
    <m/>
  </r>
  <r>
    <s v="O002998"/>
    <s v="Marco Fabian Zabala Villanueva"/>
    <x v="1"/>
    <x v="1"/>
    <s v="BBVA"/>
    <e v="#NAME?"/>
    <s v="NOSDA- BAU $ BAU (Mantenimiento y peq. evolutivos)"/>
    <n v="1"/>
    <s v="Desarrollador"/>
    <m/>
    <x v="1"/>
    <e v="#NAME?"/>
    <m/>
    <m/>
    <m/>
    <m/>
    <m/>
  </r>
  <r>
    <s v="C783731"/>
    <s v="MARCO JULIO GOMEZ AMADO"/>
    <x v="0"/>
    <x v="15"/>
    <s v="BBVA"/>
    <e v="#NAME?"/>
    <s v="SDATOOL-32905 $ Global Enterprises Mobile App (GEMA)"/>
    <n v="0.75"/>
    <s v="Tech Manager/Líder"/>
    <m/>
    <x v="1"/>
    <e v="#NAME?"/>
    <m/>
    <m/>
    <m/>
    <m/>
    <m/>
  </r>
  <r>
    <s v="C783731"/>
    <s v="MARCO JULIO GOMEZ AMADO"/>
    <x v="0"/>
    <x v="15"/>
    <s v="BBVA"/>
    <e v="#NAME?"/>
    <s v="SDATOOL-41750 $ Single APP"/>
    <n v="0.25"/>
    <s v="Tech Manager/Líder"/>
    <m/>
    <x v="1"/>
    <e v="#NAME?"/>
    <m/>
    <m/>
    <m/>
    <m/>
    <m/>
  </r>
  <r>
    <s v="C810755"/>
    <s v="María Alejandra Varón"/>
    <x v="3"/>
    <x v="7"/>
    <s v="BBVA"/>
    <e v="#NAME?"/>
    <s v="SDATOOL-39246 $ Nuevo tipo de identificación para extranjeros"/>
    <n v="1"/>
    <s v="Desarrollador"/>
    <m/>
    <x v="1"/>
    <e v="#NAME?"/>
    <m/>
    <m/>
    <m/>
    <m/>
    <m/>
  </r>
  <r>
    <s v="C808303"/>
    <s v="MARIA CAMILA BUITRAGO"/>
    <x v="3"/>
    <x v="13"/>
    <s v="BBVA"/>
    <e v="#NAME?"/>
    <s v="NOSDA- BAU $ BAU (Mantenimiento y peq. evolutivos)"/>
    <n v="0.1"/>
    <s v="Tech Manager/Líder"/>
    <m/>
    <x v="1"/>
    <e v="#NAME?"/>
    <m/>
    <m/>
    <m/>
    <m/>
    <m/>
  </r>
  <r>
    <s v="C808303"/>
    <s v="MARIA CAMILA BUITRAGO"/>
    <x v="3"/>
    <x v="13"/>
    <s v="BBVA"/>
    <e v="#NAME?"/>
    <s v="SDATOOL-33947 $ Sinergias Bancamia"/>
    <n v="0.1"/>
    <s v="Tech Manager/Líder"/>
    <m/>
    <x v="1"/>
    <e v="#NAME?"/>
    <m/>
    <m/>
    <m/>
    <m/>
    <m/>
  </r>
  <r>
    <s v="C808303"/>
    <s v="MARIA CAMILA BUITRAGO"/>
    <x v="3"/>
    <x v="13"/>
    <s v="BBVA"/>
    <e v="#NAME?"/>
    <s v="SDATOOL-38729 $ Mi CB Liviano 2022"/>
    <n v="0.1"/>
    <s v="Tech Manager/Líder"/>
    <m/>
    <x v="1"/>
    <e v="#NAME?"/>
    <m/>
    <m/>
    <m/>
    <m/>
    <m/>
  </r>
  <r>
    <s v="C808303"/>
    <s v="MARIA CAMILA BUITRAGO"/>
    <x v="3"/>
    <x v="13"/>
    <s v="BBVA"/>
    <e v="#NAME?"/>
    <s v="SDATOOL-39871 $ Cbs Gelsa Paga todo"/>
    <n v="0.1"/>
    <s v="Tech Manager/Líder"/>
    <m/>
    <x v="1"/>
    <e v="#NAME?"/>
    <m/>
    <m/>
    <m/>
    <m/>
    <m/>
  </r>
  <r>
    <s v="C808303"/>
    <s v="MARIA CAMILA BUITRAGO"/>
    <x v="3"/>
    <x v="13"/>
    <s v="BBVA"/>
    <e v="#NAME?"/>
    <s v="SDATOOL-40506 $ Disponibilidad de canales físicos en móvil y página blanca"/>
    <n v="0.1"/>
    <s v="Tech Manager/Líder"/>
    <m/>
    <x v="1"/>
    <e v="#NAME?"/>
    <m/>
    <m/>
    <m/>
    <m/>
    <m/>
  </r>
  <r>
    <s v="C808303"/>
    <s v="MARIA CAMILA BUITRAGO"/>
    <x v="3"/>
    <x v="13"/>
    <s v="BBVA"/>
    <e v="#NAME?"/>
    <s v="SDATOOL-40581 $ Corresponsal Bancario Ya Ganaste"/>
    <n v="0.1"/>
    <s v="Tech Manager/Líder"/>
    <m/>
    <x v="1"/>
    <e v="#NAME?"/>
    <m/>
    <m/>
    <m/>
    <m/>
    <m/>
  </r>
  <r>
    <s v="C808303"/>
    <s v="MARIA CAMILA BUITRAGO"/>
    <x v="3"/>
    <x v="13"/>
    <s v="BBVA"/>
    <e v="#NAME?"/>
    <s v="SDATOOL-41709 $ Fraccionamiento de transacciones en CBs"/>
    <n v="0.1"/>
    <s v="Tech Manager/Líder"/>
    <m/>
    <x v="1"/>
    <e v="#NAME?"/>
    <m/>
    <m/>
    <m/>
    <m/>
    <m/>
  </r>
  <r>
    <s v="C808303"/>
    <s v="MARIA CAMILA BUITRAGO"/>
    <x v="3"/>
    <x v="24"/>
    <s v="BBVA"/>
    <e v="#NAME?"/>
    <s v="NOSDA- BAU $ BAU (Mantenimiento y peq. evolutivos)"/>
    <n v="0.1"/>
    <s v="Tech Manager/Líder"/>
    <m/>
    <x v="1"/>
    <e v="#NAME?"/>
    <m/>
    <m/>
    <m/>
    <m/>
    <m/>
  </r>
  <r>
    <s v="C808303"/>
    <s v="MARIA CAMILA BUITRAGO"/>
    <x v="3"/>
    <x v="24"/>
    <s v="BBVA"/>
    <e v="#NAME?"/>
    <s v="SDATOOL-37750 $ Robotics 2022"/>
    <n v="0.1"/>
    <s v="Tech Manager/Líder"/>
    <m/>
    <x v="1"/>
    <e v="#NAME?"/>
    <m/>
    <m/>
    <m/>
    <m/>
    <m/>
  </r>
  <r>
    <s v="C808303"/>
    <s v="MARIA CAMILA BUITRAGO"/>
    <x v="3"/>
    <x v="24"/>
    <s v="BBVA"/>
    <e v="#NAME?"/>
    <s v="SDATOOL-40529 $ Aplicativos Finanzas - 2023"/>
    <n v="0.1"/>
    <s v="Tech Manager/Líder"/>
    <m/>
    <x v="1"/>
    <e v="#NAME?"/>
    <m/>
    <m/>
    <m/>
    <m/>
    <m/>
  </r>
  <r>
    <s v="T004935"/>
    <s v="Maria Camila Molina Alba"/>
    <x v="3"/>
    <x v="7"/>
    <s v="Choucair"/>
    <e v="#NAME?"/>
    <s v="SDATOOL-36558 $ Transfiya:Transferencias interbancarias inmediatas - Plan Ascenso Privado"/>
    <n v="1"/>
    <s v="QA"/>
    <m/>
    <x v="0"/>
    <e v="#NAME?"/>
    <m/>
    <m/>
    <m/>
    <m/>
    <m/>
  </r>
  <r>
    <s v="CE61656"/>
    <s v="MARIA DEL PILAR GARCIA  GONZALES"/>
    <x v="2"/>
    <x v="2"/>
    <s v="KRYPTO"/>
    <e v="#NAME?"/>
    <s v="NOSDA- BAU $ BAU (Mantenimiento y peq. evolutivos)"/>
    <n v="1"/>
    <s v="QA"/>
    <s v="Vacaciones /Tester"/>
    <x v="0"/>
    <e v="#NAME?"/>
    <m/>
    <m/>
    <m/>
    <m/>
    <m/>
  </r>
  <r>
    <s v="O000197"/>
    <s v="MARIA ESTELA SUAREZ"/>
    <x v="2"/>
    <x v="3"/>
    <s v="BBVA"/>
    <e v="#NAME?"/>
    <s v="SDATOOL-34887 $ Vivienda Digital Open Market"/>
    <n v="0.1"/>
    <s v="QA"/>
    <m/>
    <x v="1"/>
    <e v="#NAME?"/>
    <m/>
    <m/>
    <m/>
    <m/>
    <m/>
  </r>
  <r>
    <s v="O000197"/>
    <s v="MARIA ESTELA SUAREZ"/>
    <x v="2"/>
    <x v="3"/>
    <s v="BBVA"/>
    <e v="#NAME?"/>
    <s v="SDATOOL-39836 $ Vivienda digital fase III"/>
    <n v="0.3"/>
    <s v="Tech Manager/Líder"/>
    <m/>
    <x v="1"/>
    <e v="#NAME?"/>
    <m/>
    <m/>
    <m/>
    <m/>
    <m/>
  </r>
  <r>
    <s v="O000197"/>
    <s v="MARIA ESTELA SUAREZ"/>
    <x v="2"/>
    <x v="3"/>
    <s v="BBVA"/>
    <e v="#NAME?"/>
    <s v="SDATOOL-39272 $ GRM-Col-Cambio servicio APL (Aportes en línea)"/>
    <n v="0.1"/>
    <s v="Tech Manager/Líder"/>
    <m/>
    <x v="1"/>
    <e v="#NAME?"/>
    <m/>
    <m/>
    <m/>
    <m/>
    <m/>
  </r>
  <r>
    <s v="O000197"/>
    <s v="MARIA ESTELA SUAREZ"/>
    <x v="2"/>
    <x v="3"/>
    <s v="BBVA"/>
    <e v="#NAME?"/>
    <s v="SDATOOL-37136 $ Conexión simulador vía API Vehículo digital"/>
    <n v="0.05"/>
    <s v="Tech Manager/Líder"/>
    <m/>
    <x v="1"/>
    <e v="#NAME?"/>
    <m/>
    <m/>
    <m/>
    <m/>
    <m/>
  </r>
  <r>
    <s v="O000197"/>
    <s v="MARIA ESTELA SUAREZ"/>
    <x v="2"/>
    <x v="3"/>
    <s v="BBVA"/>
    <e v="#NAME?"/>
    <s v="SDATOOL-41752 $ Consumo Openmk con Biometría Obligatoria por Nácar para desembolsar"/>
    <n v="0.05"/>
    <s v="Tech Manager/Líder"/>
    <m/>
    <x v="1"/>
    <e v="#NAME?"/>
    <m/>
    <m/>
    <m/>
    <m/>
    <m/>
  </r>
  <r>
    <s v="O000197"/>
    <s v="MARIA ESTELA SUAREZ"/>
    <x v="2"/>
    <x v="3"/>
    <s v="BBVA"/>
    <e v="#NAME?"/>
    <s v="SDATOOL-36548 $ Optimización consumo web - Plan ascenso Open Market"/>
    <n v="0.3"/>
    <s v="Tech Manager/Líder"/>
    <m/>
    <x v="1"/>
    <e v="#NAME?"/>
    <m/>
    <m/>
    <m/>
    <m/>
    <m/>
  </r>
  <r>
    <s v="O000197"/>
    <s v="MARIA ESTELA SUAREZ"/>
    <x v="2"/>
    <x v="3"/>
    <s v="BBVA"/>
    <e v="#NAME?"/>
    <s v="NOSDA- BAU $ BAU (Mantenimiento y peq. evolutivos)"/>
    <n v="0.1"/>
    <s v="Tech Manager/Líder"/>
    <m/>
    <x v="1"/>
    <e v="#NAME?"/>
    <m/>
    <m/>
    <m/>
    <m/>
    <m/>
  </r>
  <r>
    <s v="C808232"/>
    <s v="MARIA FERNANDA RUSSI"/>
    <x v="2"/>
    <x v="5"/>
    <s v="BBVA"/>
    <e v="#NAME?"/>
    <s v="NOSDA- BAU $ BAU (Mantenimiento y peq. evolutivos)"/>
    <n v="0.3"/>
    <s v="Desarrollador"/>
    <m/>
    <x v="1"/>
    <e v="#NAME?"/>
    <m/>
    <m/>
    <m/>
    <m/>
    <m/>
  </r>
  <r>
    <s v="C808232"/>
    <s v="MARIA FERNANDA RUSSI"/>
    <x v="2"/>
    <x v="5"/>
    <s v="BBVA"/>
    <e v="#NAME?"/>
    <s v="SDATOOL-40295 $ Tokenización COF"/>
    <n v="0.7"/>
    <s v="Desarrollador"/>
    <m/>
    <x v="1"/>
    <e v="#NAME?"/>
    <m/>
    <m/>
    <m/>
    <m/>
    <m/>
  </r>
  <r>
    <s v="C808227"/>
    <s v="MARIA PAULA ISAZA SANCHEZ"/>
    <x v="4"/>
    <x v="9"/>
    <s v="BBVA"/>
    <e v="#NAME?"/>
    <s v="SDATOOL-38736 $ Creación Tercero Miembro No Liquidador CRCC"/>
    <n v="1"/>
    <s v="Desarrollador"/>
    <m/>
    <x v="1"/>
    <e v="#NAME?"/>
    <m/>
    <m/>
    <m/>
    <m/>
    <m/>
  </r>
  <r>
    <s v="O001338"/>
    <s v="MARIAMM YULIETH ALVAREZ"/>
    <x v="3"/>
    <x v="25"/>
    <s v="BBVA"/>
    <e v="#NAME?"/>
    <s v="NOSDA- BAU $ BAU (Mantenimiento y peq. evolutivos)"/>
    <n v="0.2"/>
    <s v="Tech Manager/Líder"/>
    <m/>
    <x v="1"/>
    <e v="#NAME?"/>
    <m/>
    <m/>
    <m/>
    <m/>
    <m/>
  </r>
  <r>
    <s v="O001338"/>
    <s v="MARIAMM YULIETH ALVAREZ"/>
    <x v="3"/>
    <x v="25"/>
    <s v="BBVA"/>
    <e v="#NAME?"/>
    <s v="SDATOL-40269 $ Formularios cambio moneda extranjera Nacar"/>
    <n v="0.2"/>
    <s v="Tech Manager/Líder"/>
    <m/>
    <x v="1"/>
    <e v="#NAME?"/>
    <m/>
    <m/>
    <m/>
    <m/>
    <m/>
  </r>
  <r>
    <s v="O001338"/>
    <s v="MARIAMM YULIETH ALVAREZ"/>
    <x v="3"/>
    <x v="25"/>
    <s v="BBVA"/>
    <e v="#NAME?"/>
    <s v="SDATOOL-35350 $ Lean Office (Biblioteca Transaccional y Nuevo Modelo de Impresión)"/>
    <n v="0.2"/>
    <s v="Tech Manager/Líder"/>
    <m/>
    <x v="1"/>
    <e v="#NAME?"/>
    <m/>
    <m/>
    <m/>
    <m/>
    <m/>
  </r>
  <r>
    <s v="O001338"/>
    <s v="MARIAMM YULIETH ALVAREZ"/>
    <x v="3"/>
    <x v="25"/>
    <s v="BBVA"/>
    <e v="#NAME?"/>
    <s v="SDATOOL-37294 $ Gestión de Tráfico en Oficinas"/>
    <n v="0.2"/>
    <s v="Tech Manager/Líder"/>
    <m/>
    <x v="1"/>
    <e v="#NAME?"/>
    <m/>
    <m/>
    <m/>
    <m/>
    <m/>
  </r>
  <r>
    <s v="O001338"/>
    <s v="MARIAMM YULIETH ALVAREZ"/>
    <x v="3"/>
    <x v="25"/>
    <s v="BBVA"/>
    <e v="#NAME?"/>
    <s v="SDATOOL-37761 $ Plan transformación de procesos"/>
    <n v="0.2"/>
    <s v="Tech Manager/Líder"/>
    <m/>
    <x v="1"/>
    <e v="#NAME?"/>
    <m/>
    <m/>
    <m/>
    <m/>
    <m/>
  </r>
  <r>
    <s v="C811301"/>
    <s v="Marianella Fandiño Nieto"/>
    <x v="1"/>
    <x v="1"/>
    <s v="BBVA"/>
    <e v="#NAME?"/>
    <s v="SDATOOL-28278 $ GRM Col - TMP Cobranzas - Pago en Canales Alternos"/>
    <n v="0.1"/>
    <s v="Tech Manager/Líder"/>
    <m/>
    <x v="1"/>
    <e v="#NAME?"/>
    <m/>
    <m/>
    <m/>
    <m/>
    <m/>
  </r>
  <r>
    <s v="C811301"/>
    <s v="Marianella Fandiño Nieto"/>
    <x v="1"/>
    <x v="1"/>
    <s v="BBVA"/>
    <e v="#NAME?"/>
    <s v="SDATOOL-28473 $ GRM Col - TMP Cobranzas - Módulo control acuerdos de pago"/>
    <n v="0.15"/>
    <s v="Tech Manager/Líder"/>
    <m/>
    <x v="1"/>
    <e v="#NAME?"/>
    <m/>
    <m/>
    <m/>
    <m/>
    <m/>
  </r>
  <r>
    <s v="C811301"/>
    <s v="Marianella Fandiño Nieto"/>
    <x v="1"/>
    <x v="1"/>
    <s v="BBVA"/>
    <e v="#NAME?"/>
    <s v="SDATOOL-29029 $ EBA Guidelines (NDoD/PD/LGD) - Colombia"/>
    <n v="0.15"/>
    <s v="Tech Manager/Líder"/>
    <m/>
    <x v="1"/>
    <e v="#NAME?"/>
    <m/>
    <m/>
    <m/>
    <m/>
    <m/>
  </r>
  <r>
    <s v="C811301"/>
    <s v="Marianella Fandiño Nieto"/>
    <x v="1"/>
    <x v="1"/>
    <s v="BBVA"/>
    <e v="#NAME?"/>
    <s v="SDATOOL-40658 $ GRM Col - Cronos Collections - Estrategia"/>
    <n v="0.3"/>
    <s v="Tech Manager/Líder"/>
    <m/>
    <x v="1"/>
    <e v="#NAME?"/>
    <m/>
    <m/>
    <m/>
    <m/>
    <m/>
  </r>
  <r>
    <s v="C811301"/>
    <s v="Marianella Fandiño Nieto"/>
    <x v="1"/>
    <x v="1"/>
    <s v="BBVA"/>
    <e v="#NAME?"/>
    <s v="SDATOOL-39408 $ GRM COL - Cronos Collections - Herramienta recuperaciones"/>
    <n v="0.15"/>
    <s v="Tech Manager/Líder"/>
    <m/>
    <x v="1"/>
    <e v="#NAME?"/>
    <m/>
    <m/>
    <m/>
    <m/>
    <m/>
  </r>
  <r>
    <s v="C811301"/>
    <s v="Marianella Fandiño Nieto"/>
    <x v="1"/>
    <x v="1"/>
    <s v="BBVA"/>
    <e v="#NAME?"/>
    <s v="NOSDA- BAU $ BAU (Mantenimiento y peq. evolutivos)"/>
    <n v="0.15"/>
    <s v="Tech Manager/Líder"/>
    <s v="Optimizaciones host de largo alcance"/>
    <x v="1"/>
    <e v="#NAME?"/>
    <m/>
    <m/>
    <m/>
    <m/>
    <m/>
  </r>
  <r>
    <s v="T009914"/>
    <s v="MARIELA CUBIDES  VILLAQUIRAN (Torre)"/>
    <x v="0"/>
    <x v="22"/>
    <s v="Novatec"/>
    <e v="#NAME?"/>
    <s v="NOSDA- BAU $ BAU (Mantenimiento y peq. evolutivos)"/>
    <n v="1"/>
    <s v="Desarrollador"/>
    <s v="Impuetos"/>
    <x v="0"/>
    <e v="#NAME?"/>
    <m/>
    <m/>
    <m/>
    <m/>
    <m/>
  </r>
  <r>
    <s v="CE62112"/>
    <s v="MARILUZ SANCHEZ MORENO"/>
    <x v="1"/>
    <x v="10"/>
    <s v="ADENZA"/>
    <e v="#NAME?"/>
    <s v="SDATOOL-23176 $ ORION"/>
    <n v="1"/>
    <s v="Tech Manager/Líder"/>
    <m/>
    <x v="0"/>
    <e v="#NAME?"/>
    <m/>
    <m/>
    <m/>
    <m/>
    <m/>
  </r>
  <r>
    <s v="C804407"/>
    <s v="MARIO ALBERTO MORALES LEON"/>
    <x v="2"/>
    <x v="2"/>
    <s v="BBVA"/>
    <e v="#NAME?"/>
    <s v="SDATOOL-41950 $ Migracion GMF-MQ Series"/>
    <n v="1"/>
    <s v="Desarrollador"/>
    <m/>
    <x v="1"/>
    <e v="#NAME?"/>
    <m/>
    <m/>
    <m/>
    <m/>
    <m/>
  </r>
  <r>
    <s v="CE30639"/>
    <s v="MARIO FERNANDO RAMIREZ LEGUIZAMON"/>
    <x v="0"/>
    <x v="15"/>
    <s v="GGI / CMC"/>
    <e v="#NAME?"/>
    <s v="SDATOOL-32905 $ Global Enterprises Mobile App (GEMA)"/>
    <n v="1"/>
    <s v="QA"/>
    <m/>
    <x v="0"/>
    <e v="#NAME?"/>
    <m/>
    <m/>
    <m/>
    <m/>
    <m/>
  </r>
  <r>
    <s v="T007048"/>
    <s v="Mario Perilla"/>
    <x v="3"/>
    <x v="6"/>
    <s v="Accenture"/>
    <e v="#NAME?"/>
    <s v="SDATOOL-9053 $ GloMo Colombia"/>
    <n v="1"/>
    <s v="QA"/>
    <m/>
    <x v="0"/>
    <e v="#NAME?"/>
    <m/>
    <m/>
    <m/>
    <m/>
    <m/>
  </r>
  <r>
    <m/>
    <s v="MARISOL VEGA JOYA (QA)"/>
    <x v="0"/>
    <x v="22"/>
    <s v="GGI / CMC"/>
    <e v="#NAME?"/>
    <s v="SDATOOL-35327 $ Impuestos 2021"/>
    <n v="0.25"/>
    <s v="QA"/>
    <m/>
    <x v="0"/>
    <e v="#NAME?"/>
    <m/>
    <m/>
    <m/>
    <m/>
    <m/>
  </r>
  <r>
    <m/>
    <s v="MARISOL VEGA JOYA (QA)"/>
    <x v="0"/>
    <x v="22"/>
    <s v="GGI / CMC"/>
    <e v="#NAME?"/>
    <s v="SDATOOL-37425 $ Recaudo DIAN Tarjetas de Crédito Propio Banco través del Botón de pagos PSE para los canales Banca Personas y Banca de Empresas"/>
    <n v="0.25"/>
    <s v="QA"/>
    <m/>
    <x v="0"/>
    <e v="#NAME?"/>
    <m/>
    <m/>
    <m/>
    <m/>
    <m/>
  </r>
  <r>
    <m/>
    <s v="MARISOL VEGA JOYA (QA)"/>
    <x v="0"/>
    <x v="22"/>
    <s v="GGI / CMC"/>
    <e v="#NAME?"/>
    <s v="NOSDA- BAU $ BAU (Mantenimiento y peq. evolutivos)"/>
    <n v="0.25"/>
    <s v="QA"/>
    <m/>
    <x v="0"/>
    <e v="#NAME?"/>
    <m/>
    <m/>
    <m/>
    <m/>
    <m/>
  </r>
  <r>
    <m/>
    <s v="MARISOL VEGA JOYA (QA)"/>
    <x v="0"/>
    <x v="22"/>
    <s v="GGI / CMC"/>
    <e v="#NAME?"/>
    <s v="SDATOOL-37116 $ Colpensiones - Incluir en la estructura del archivo de ORDENES DE NO PAGO dos nuevas causales de rechazo"/>
    <n v="0.25"/>
    <s v="QA"/>
    <m/>
    <x v="0"/>
    <e v="#NAME?"/>
    <m/>
    <m/>
    <m/>
    <m/>
    <m/>
  </r>
  <r>
    <s v="T008491"/>
    <s v="MARITZA CASTILLO NAVARRO"/>
    <x v="2"/>
    <x v="5"/>
    <s v="Inetum"/>
    <e v="#NAME?"/>
    <s v="SDATOOL-40295 $ Tokenización COF"/>
    <n v="0.4"/>
    <s v="Otros"/>
    <m/>
    <x v="0"/>
    <e v="#NAME?"/>
    <m/>
    <m/>
    <m/>
    <m/>
    <m/>
  </r>
  <r>
    <s v="T008491"/>
    <s v="MARITZA CASTILLO NAVARRO"/>
    <x v="2"/>
    <x v="5"/>
    <s v="Inetum"/>
    <e v="#NAME?"/>
    <s v="SDATOOL-40442 $ M4M - Tokenización Mastercard"/>
    <n v="0.4"/>
    <s v="Otros"/>
    <m/>
    <x v="0"/>
    <e v="#NAME?"/>
    <m/>
    <m/>
    <m/>
    <m/>
    <m/>
  </r>
  <r>
    <s v="T008491"/>
    <s v="MARITZA CASTILLO NAVARRO"/>
    <x v="2"/>
    <x v="5"/>
    <s v="Inetum"/>
    <e v="#NAME?"/>
    <s v="SDATOOL-41709 $ Fraccionamiento de transacciones en CBs"/>
    <n v="0.2"/>
    <s v="Otros"/>
    <m/>
    <x v="0"/>
    <e v="#NAME?"/>
    <m/>
    <m/>
    <m/>
    <m/>
    <m/>
  </r>
  <r>
    <s v="CE59254"/>
    <s v="Marlly Jazmin Vargas Garzón"/>
    <x v="3"/>
    <x v="19"/>
    <s v="KRYPTO"/>
    <e v="#NAME?"/>
    <s v="SDATOOL-39870 $ Front - Unificación de pantallas Contac Center"/>
    <n v="1"/>
    <s v="QA"/>
    <m/>
    <x v="0"/>
    <e v="#NAME?"/>
    <m/>
    <m/>
    <m/>
    <m/>
    <m/>
  </r>
  <r>
    <s v="C805074"/>
    <s v="MARLON STUART SUAREZ ."/>
    <x v="4"/>
    <x v="9"/>
    <s v="BBVA"/>
    <e v="#NAME?"/>
    <s v="SDATOOL-39217 $ Aplicativos Tesorería 2022"/>
    <n v="0.5"/>
    <s v="Desarrollador"/>
    <m/>
    <x v="1"/>
    <e v="#NAME?"/>
    <m/>
    <m/>
    <m/>
    <m/>
    <m/>
  </r>
  <r>
    <s v="C805074"/>
    <s v="MARLON STUART SUAREZ ."/>
    <x v="4"/>
    <x v="9"/>
    <s v="BBVA"/>
    <e v="#NAME?"/>
    <s v="SDATOOL-31461 $ Liquidación Swaps Cross Crurrency Delivery"/>
    <n v="0.5"/>
    <s v="Desarrollador"/>
    <m/>
    <x v="1"/>
    <e v="#NAME?"/>
    <m/>
    <m/>
    <m/>
    <m/>
    <m/>
  </r>
  <r>
    <s v="C805863"/>
    <s v="MARTA PATRICIA VELANDIA SIZA"/>
    <x v="2"/>
    <x v="5"/>
    <s v="BBVA"/>
    <e v="#NAME?"/>
    <s v="SDATOOL-37061 $ Plan de Lealtad Comecios -Plan Ascenso Autónomos"/>
    <n v="1"/>
    <s v="Desarrollador"/>
    <m/>
    <x v="1"/>
    <e v="#NAME?"/>
    <m/>
    <m/>
    <m/>
    <m/>
    <m/>
  </r>
  <r>
    <s v="C809512"/>
    <s v="MARTHA BEATRIZ GALLEGO MARIN "/>
    <x v="2"/>
    <x v="12"/>
    <s v="BBVA"/>
    <e v="#NAME?"/>
    <s v="SDATOOL-38757 $ Modelo administrativo de oficina - Omnicanalidad"/>
    <n v="0.8"/>
    <s v="Tech Manager/Líder"/>
    <m/>
    <x v="1"/>
    <e v="#NAME?"/>
    <m/>
    <m/>
    <m/>
    <m/>
    <m/>
  </r>
  <r>
    <s v="C809512"/>
    <s v="MARTHA BEATRIZ GALLEGO MARIN "/>
    <x v="2"/>
    <x v="12"/>
    <s v="BBVA"/>
    <e v="#NAME?"/>
    <s v="SDATOOL-41839 $ POSTULACIÓN DE GENERACIÓN NUEVOS EMPLEOS"/>
    <n v="0.2"/>
    <s v="Tech Manager/Líder"/>
    <m/>
    <x v="1"/>
    <e v="#NAME?"/>
    <m/>
    <m/>
    <m/>
    <m/>
    <m/>
  </r>
  <r>
    <s v="O000190"/>
    <s v="MARTHA LILIANA RUSSY CHAVARRO"/>
    <x v="2"/>
    <x v="5"/>
    <s v="BBVA"/>
    <e v="#NAME?"/>
    <s v="SDATOOL-39785 $ Segmentación contratos ADN"/>
    <n v="0.2"/>
    <s v="Desarrollador"/>
    <m/>
    <x v="1"/>
    <e v="#NAME?"/>
    <m/>
    <m/>
    <m/>
    <m/>
    <m/>
  </r>
  <r>
    <s v="O000190"/>
    <s v="MARTHA LILIANA RUSSY CHAVARRO"/>
    <x v="2"/>
    <x v="5"/>
    <s v="BBVA"/>
    <e v="#NAME?"/>
    <s v="NOSDA- BAU $ BAU (Mantenimiento y peq. evolutivos)"/>
    <n v="0.8"/>
    <s v="Desarrollador"/>
    <m/>
    <x v="1"/>
    <e v="#NAME?"/>
    <m/>
    <m/>
    <m/>
    <m/>
    <m/>
  </r>
  <r>
    <s v="CE64615"/>
    <s v="Martha Lucia Aguirre"/>
    <x v="2"/>
    <x v="20"/>
    <s v="GGI / CMC"/>
    <e v="#NAME?"/>
    <s v="NOSDA- BAU $ BAU (Mantenimiento y peq. evolutivos)"/>
    <n v="0.75"/>
    <s v="QA"/>
    <s v="Bonita y CAP Pymes Gestor Documental"/>
    <x v="0"/>
    <e v="#NAME?"/>
    <m/>
    <m/>
    <m/>
    <m/>
    <m/>
  </r>
  <r>
    <s v="CE64615"/>
    <s v="Martha Lucia Aguirre"/>
    <x v="2"/>
    <x v="20"/>
    <s v="GGI / CMC"/>
    <e v="#NAME?"/>
    <s v="SDATOOL-36509 $ Centralización de la formalización de desembolsos Pymes"/>
    <n v="0.25"/>
    <s v="QA"/>
    <m/>
    <x v="0"/>
    <e v="#NAME?"/>
    <m/>
    <m/>
    <m/>
    <m/>
    <m/>
  </r>
  <r>
    <s v="CE59142"/>
    <s v="Martha Lucia Porras Guanga"/>
    <x v="0"/>
    <x v="27"/>
    <s v="Inetum"/>
    <e v="#NAME?"/>
    <s v="NOSDA- BAU $ BAU (Mantenimiento y peq. evolutivos)"/>
    <n v="1"/>
    <s v="Otros"/>
    <m/>
    <x v="0"/>
    <e v="#NAME?"/>
    <m/>
    <m/>
    <m/>
    <m/>
    <m/>
  </r>
  <r>
    <s v="T001323"/>
    <s v="Martin Bournonville"/>
    <x v="3"/>
    <x v="16"/>
    <s v="Globant"/>
    <e v="#NAME?"/>
    <s v="SDATOOL-36048 $ Repositorio flujos  ventas digitales flujos - Plan Ascenso Open Market"/>
    <n v="1"/>
    <s v="Desarrollador"/>
    <m/>
    <x v="0"/>
    <e v="#NAME?"/>
    <m/>
    <m/>
    <m/>
    <m/>
    <m/>
  </r>
  <r>
    <s v="CE69613"/>
    <s v="MARTÍN RODRIGUEZ"/>
    <x v="4"/>
    <x v="9"/>
    <s v="Accenture"/>
    <e v="#NAME?"/>
    <s v="SDATOOL-31461 $ Liquidación Swaps Cross Crurrency Delivery"/>
    <n v="0.1"/>
    <s v="Desarrollador"/>
    <m/>
    <x v="0"/>
    <e v="#NAME?"/>
    <m/>
    <m/>
    <m/>
    <m/>
    <m/>
  </r>
  <r>
    <s v="C805379"/>
    <s v="MARTIN ROMERO ORTIZ"/>
    <x v="2"/>
    <x v="3"/>
    <s v="BBVA"/>
    <e v="#NAME?"/>
    <s v="SDATOOL-34910 $ Libranza Digital"/>
    <n v="0.75"/>
    <s v="Desarrollador"/>
    <m/>
    <x v="1"/>
    <e v="#NAME?"/>
    <m/>
    <m/>
    <m/>
    <m/>
    <m/>
  </r>
  <r>
    <s v="C805379"/>
    <s v="MARTIN ROMERO ORTIZ"/>
    <x v="2"/>
    <x v="3"/>
    <s v="BBVA"/>
    <e v="#NAME?"/>
    <s v="SDATOOL-36522 $ Libranza E2E digital Fase III - Plan Ascenso Privado"/>
    <n v="0.25"/>
    <s v="Desarrollador"/>
    <m/>
    <x v="1"/>
    <e v="#NAME?"/>
    <m/>
    <m/>
    <m/>
    <m/>
    <m/>
  </r>
  <r>
    <s v="CE66364"/>
    <s v="Martin Theiler"/>
    <x v="3"/>
    <x v="6"/>
    <s v="Globant"/>
    <e v="#NAME?"/>
    <s v="SDATOOL-9053 $ GloMo Colombia"/>
    <n v="1"/>
    <s v="Desarrollador"/>
    <m/>
    <x v="0"/>
    <e v="#NAME?"/>
    <m/>
    <m/>
    <m/>
    <m/>
    <m/>
  </r>
  <r>
    <s v="CE18306"/>
    <s v="MARY LUZ RODRIGUEZ"/>
    <x v="2"/>
    <x v="5"/>
    <s v="Inetum"/>
    <e v="#NAME?"/>
    <s v="SDATOOL-36556 $ Parthnerships - Tarjeta de crédito en punto de venta físico  aliados"/>
    <n v="0.1"/>
    <s v="QA"/>
    <m/>
    <x v="0"/>
    <e v="#NAME?"/>
    <m/>
    <m/>
    <m/>
    <m/>
    <m/>
  </r>
  <r>
    <s v="CE18306"/>
    <s v="MARY LUZ RODRIGUEZ"/>
    <x v="2"/>
    <x v="5"/>
    <s v="Inetum"/>
    <e v="#NAME?"/>
    <s v="NOSDA- BAU $ BAU (Mantenimiento y peq. evolutivos)"/>
    <n v="0.6"/>
    <s v="QA"/>
    <m/>
    <x v="0"/>
    <e v="#NAME?"/>
    <m/>
    <m/>
    <m/>
    <m/>
    <m/>
  </r>
  <r>
    <s v="CE18306"/>
    <s v="MARY LUZ RODRIGUEZ"/>
    <x v="2"/>
    <x v="5"/>
    <s v="Inetum"/>
    <e v="#NAME?"/>
    <s v="SDATOOL-40455 $ Comisión porcentaje compras internacionales Mastercard y Visa Fase 2"/>
    <n v="0.2"/>
    <s v="QA"/>
    <m/>
    <x v="0"/>
    <e v="#NAME?"/>
    <m/>
    <m/>
    <m/>
    <m/>
    <m/>
  </r>
  <r>
    <s v="CE18306"/>
    <s v="MARY LUZ RODRIGUEZ"/>
    <x v="2"/>
    <x v="5"/>
    <s v="Inetum"/>
    <e v="#NAME?"/>
    <s v="SDATOOL-37057 $ Pagos QR - Entre cuentas Redeban - Plan Ascenso Mercurio"/>
    <n v="0.1"/>
    <s v="QA"/>
    <m/>
    <x v="0"/>
    <e v="#NAME?"/>
    <m/>
    <m/>
    <m/>
    <m/>
    <m/>
  </r>
  <r>
    <s v="O002790"/>
    <s v="MARYITH MOSQUERA LISCANO"/>
    <x v="2"/>
    <x v="5"/>
    <s v="BBVA"/>
    <e v="#NAME?"/>
    <s v="SDATOOL-37427 $ Adquirencia Premium"/>
    <n v="0.3"/>
    <s v="Desarrollador"/>
    <m/>
    <x v="1"/>
    <e v="#NAME?"/>
    <m/>
    <m/>
    <m/>
    <m/>
    <m/>
  </r>
  <r>
    <s v="O002790"/>
    <s v="MARYITH MOSQUERA LISCANO"/>
    <x v="2"/>
    <x v="5"/>
    <s v="BBVA"/>
    <e v="#NAME?"/>
    <s v="NOSDA- BAU $ BAU (Mantenimiento y peq. evolutivos)"/>
    <n v="0.7"/>
    <s v="Desarrollador"/>
    <m/>
    <x v="1"/>
    <e v="#NAME?"/>
    <m/>
    <m/>
    <m/>
    <m/>
    <m/>
  </r>
  <r>
    <s v="C810957"/>
    <s v="MATEO ECHEVERRY PELAEZ"/>
    <x v="2"/>
    <x v="12"/>
    <s v="BBVA"/>
    <e v="#NAME?"/>
    <s v="SDATOOL-37134 $ Oferta proactiva de segundo producto desde el momento cero - Plan Ascenso Cross Sell"/>
    <n v="1"/>
    <s v="Desarrollador"/>
    <m/>
    <x v="1"/>
    <e v="#NAME?"/>
    <m/>
    <m/>
    <m/>
    <m/>
    <m/>
  </r>
  <r>
    <s v="C804844"/>
    <s v="MATEO OLAYA OSORIO"/>
    <x v="4"/>
    <x v="14"/>
    <s v="BBVA"/>
    <e v="#NAME?"/>
    <s v="SDATOOL-42061 $ Murex Limit Control Intradía EOD"/>
    <n v="0.5"/>
    <s v="Desarrollador"/>
    <m/>
    <x v="1"/>
    <e v="#NAME?"/>
    <m/>
    <m/>
    <m/>
    <m/>
    <m/>
  </r>
  <r>
    <s v="C804844"/>
    <s v="MATEO OLAYA OSORIO"/>
    <x v="4"/>
    <x v="14"/>
    <s v="BBVA"/>
    <e v="#NAME?"/>
    <s v="SDATOOL-42081 $ Evolutivos Migración Murex 3"/>
    <n v="0.5"/>
    <s v="Desarrollador"/>
    <m/>
    <x v="1"/>
    <e v="#NAME?"/>
    <m/>
    <m/>
    <m/>
    <m/>
    <m/>
  </r>
  <r>
    <s v="C805726"/>
    <s v="MAURICIO ANDRES NUÑEZ ORTEGON"/>
    <x v="2"/>
    <x v="5"/>
    <s v="BBVA"/>
    <e v="#NAME?"/>
    <s v="SDATOOL-38447 $ GRM Col - Condonación y bajas automáticas en Medios de Pago"/>
    <n v="0.6"/>
    <s v="Desarrollador"/>
    <m/>
    <x v="1"/>
    <e v="#NAME?"/>
    <m/>
    <m/>
    <m/>
    <m/>
    <m/>
  </r>
  <r>
    <s v="C805726"/>
    <s v="MAURICIO ANDRES NUÑEZ ORTEGON"/>
    <x v="2"/>
    <x v="5"/>
    <s v="BBVA"/>
    <e v="#NAME?"/>
    <s v="SDATOOL-33846 $ SREP Data Quality- BCBS239 - Colombia"/>
    <n v="0.4"/>
    <s v="Desarrollador"/>
    <m/>
    <x v="1"/>
    <e v="#NAME?"/>
    <m/>
    <m/>
    <m/>
    <m/>
    <m/>
  </r>
  <r>
    <s v="O000451"/>
    <s v="MAURICIO CORDOBA"/>
    <x v="2"/>
    <x v="3"/>
    <s v="BBVA"/>
    <e v="#NAME?"/>
    <s v="SDATOOL-39384 $ Abonos a préstamos por canales"/>
    <n v="1"/>
    <s v="Desarrollador"/>
    <m/>
    <x v="1"/>
    <e v="#NAME?"/>
    <m/>
    <m/>
    <m/>
    <m/>
    <m/>
  </r>
  <r>
    <s v="C341738"/>
    <s v="MAURICIO PEÑA"/>
    <x v="2"/>
    <x v="20"/>
    <s v="BBVA"/>
    <e v="#NAME?"/>
    <s v="SDATOOL-36509 $ Centralización de la formalización de desembolsos Pymes"/>
    <n v="0.75"/>
    <s v="Desarrollador"/>
    <m/>
    <x v="1"/>
    <e v="#NAME?"/>
    <m/>
    <m/>
    <m/>
    <m/>
    <m/>
  </r>
  <r>
    <s v="C341738"/>
    <s v="MAURICIO PEÑA"/>
    <x v="2"/>
    <x v="20"/>
    <s v="BBVA"/>
    <e v="#NAME?"/>
    <s v="NOSDA- BAU $ BAU (Mantenimiento y peq. evolutivos)"/>
    <n v="0.1"/>
    <s v="Desarrollador"/>
    <s v="sopor prod"/>
    <x v="1"/>
    <e v="#NAME?"/>
    <m/>
    <m/>
    <m/>
    <m/>
    <m/>
  </r>
  <r>
    <s v="C341738"/>
    <s v="MAURICIO PEÑA"/>
    <x v="2"/>
    <x v="20"/>
    <s v="BBVA"/>
    <e v="#NAME?"/>
    <s v="SDATOOL-34910 $ Libranza Digital"/>
    <n v="0.15"/>
    <s v="Desarrollador"/>
    <m/>
    <x v="1"/>
    <e v="#NAME?"/>
    <m/>
    <m/>
    <m/>
    <m/>
    <m/>
  </r>
  <r>
    <s v="O000158"/>
    <s v="MAURICIO RAMIREZ"/>
    <x v="2"/>
    <x v="3"/>
    <s v="BBVA"/>
    <e v="#NAME?"/>
    <s v="NOSDA- BAU $ BAU (Mantenimiento y peq. evolutivos)"/>
    <n v="1"/>
    <s v="Desarrollador"/>
    <m/>
    <x v="1"/>
    <e v="#NAME?"/>
    <m/>
    <m/>
    <m/>
    <m/>
    <m/>
  </r>
  <r>
    <s v="C809625"/>
    <s v="MAYERLY TATIANA NARVAEZ MARIN"/>
    <x v="2"/>
    <x v="2"/>
    <s v="BBVA"/>
    <e v="#NAME?"/>
    <s v="SDATOOL-38419 $ Contratación cuenta en línea en Glomo"/>
    <n v="1"/>
    <s v="Desarrollador"/>
    <m/>
    <x v="1"/>
    <e v="#NAME?"/>
    <m/>
    <m/>
    <m/>
    <m/>
    <m/>
  </r>
  <r>
    <s v="C804381"/>
    <s v="MAYKER GUILLERMO LOPEZ"/>
    <x v="2"/>
    <x v="5"/>
    <s v="BBVA"/>
    <e v="#NAME?"/>
    <s v="SDATOOL-40468 $ Mapa de comercios adquirencia - Fase 2"/>
    <n v="0.4"/>
    <s v="Desarrollador"/>
    <m/>
    <x v="1"/>
    <e v="#NAME?"/>
    <m/>
    <m/>
    <m/>
    <m/>
    <m/>
  </r>
  <r>
    <s v="C804381"/>
    <s v="MAYKER GUILLERMO LOPEZ"/>
    <x v="2"/>
    <x v="5"/>
    <s v="BBVA"/>
    <e v="#NAME?"/>
    <s v="SDATOOL-40414 $ Conciliación adquirencia plus"/>
    <n v="0.2"/>
    <s v="Desarrollador"/>
    <m/>
    <x v="1"/>
    <e v="#NAME?"/>
    <m/>
    <m/>
    <m/>
    <m/>
    <m/>
  </r>
  <r>
    <s v="C804381"/>
    <s v="MAYKER GUILLERMO LOPEZ"/>
    <x v="2"/>
    <x v="5"/>
    <s v="BBVA"/>
    <e v="#NAME?"/>
    <s v="SDATOOL-40469 $ Reversión reintegros parciales Adquirencia - Ajustes de comercio LATAM"/>
    <n v="0.1"/>
    <s v="Desarrollador"/>
    <m/>
    <x v="1"/>
    <e v="#NAME?"/>
    <m/>
    <m/>
    <m/>
    <m/>
    <m/>
  </r>
  <r>
    <s v="C804381"/>
    <s v="MAYKER GUILLERMO LOPEZ"/>
    <x v="2"/>
    <x v="5"/>
    <s v="BBVA"/>
    <e v="#NAME?"/>
    <s v="NOSDA- BAU $ BAU (Mantenimiento y peq. evolutivos)"/>
    <n v="0.3"/>
    <s v="Desarrollador"/>
    <m/>
    <x v="1"/>
    <e v="#NAME?"/>
    <m/>
    <m/>
    <m/>
    <m/>
    <m/>
  </r>
  <r>
    <s v="T009653"/>
    <s v="MEJIA PAULA VALENTINA"/>
    <x v="0"/>
    <x v="8"/>
    <s v="GGI / CMC"/>
    <e v="#NAME?"/>
    <s v="SDATOOL-39358 $ Crédito Virtual"/>
    <n v="1"/>
    <s v="Desarrollador"/>
    <m/>
    <x v="0"/>
    <e v="#NAME?"/>
    <m/>
    <m/>
    <m/>
    <m/>
    <m/>
  </r>
  <r>
    <s v="CE47926"/>
    <s v="MELANIE QUIROZ"/>
    <x v="2"/>
    <x v="3"/>
    <s v="Neoris"/>
    <e v="#NAME?"/>
    <s v="NOSDA- BAU $ BAU (Mantenimiento y peq. evolutivos)"/>
    <n v="1"/>
    <s v="Desarrollador"/>
    <m/>
    <x v="0"/>
    <e v="#NAME?"/>
    <m/>
    <m/>
    <m/>
    <m/>
    <m/>
  </r>
  <r>
    <s v="CE51434"/>
    <s v="MICHAEL ALEXANDER PINZON CRISTANCHO"/>
    <x v="2"/>
    <x v="3"/>
    <s v="Inetum"/>
    <e v="#NAME?"/>
    <s v="SDATOOL-35697 $ GRM - Garantías Hipotecarias - Ingesta de Datos"/>
    <n v="0.75"/>
    <s v="QA"/>
    <m/>
    <x v="0"/>
    <e v="#NAME?"/>
    <m/>
    <m/>
    <m/>
    <m/>
    <m/>
  </r>
  <r>
    <s v="CE51434"/>
    <s v="MICHAEL ALEXANDER PINZON CRISTANCHO"/>
    <x v="2"/>
    <x v="3"/>
    <s v="Inetum"/>
    <e v="#NAME?"/>
    <s v="SDATOOL-37483 $ Aplicativos Finanzas - 2022"/>
    <n v="0.25"/>
    <s v="QA"/>
    <m/>
    <x v="0"/>
    <e v="#NAME?"/>
    <m/>
    <m/>
    <m/>
    <m/>
    <m/>
  </r>
  <r>
    <s v="C810789"/>
    <s v="MICHAEL JULIAN GARZON"/>
    <x v="2"/>
    <x v="5"/>
    <s v="BBVA"/>
    <e v="#NAME?"/>
    <s v="SDATOOL-36556 $ Parthnerships - Tarjeta de crédito en punto de venta físico  aliados"/>
    <n v="0.8"/>
    <s v="Desarrollador"/>
    <m/>
    <x v="1"/>
    <e v="#NAME?"/>
    <m/>
    <m/>
    <m/>
    <m/>
    <m/>
  </r>
  <r>
    <s v="C810789"/>
    <s v="MICHAEL JULIAN GARZON"/>
    <x v="2"/>
    <x v="5"/>
    <s v="BBVA"/>
    <e v="#NAME?"/>
    <s v="SDATOOL-39348 $ tarjeta de crédito Open Market Fallback product"/>
    <n v="0.2"/>
    <s v="Desarrollador"/>
    <m/>
    <x v="1"/>
    <e v="#NAME?"/>
    <m/>
    <m/>
    <m/>
    <m/>
    <m/>
  </r>
  <r>
    <s v="C809712"/>
    <s v="MIGUEL ANGEL ALBARRACIN"/>
    <x v="2"/>
    <x v="17"/>
    <s v="BBVA"/>
    <e v="#NAME?"/>
    <s v="NOSDA- BAU $ BAU (Mantenimiento y peq. evolutivos)"/>
    <n v="1"/>
    <s v="Desarrollador"/>
    <s v="MN-2165 Se debe poder quitar los problemas que tiene el aplicativo en el uso de los logs y los temporales, MN-2542  Se debe disponibilizar las cartas de bienvenida para el producto de préstamos"/>
    <x v="1"/>
    <e v="#NAME?"/>
    <m/>
    <m/>
    <m/>
    <m/>
    <m/>
  </r>
  <r>
    <s v="CE69603"/>
    <s v="Miguel Angel Luengas"/>
    <x v="3"/>
    <x v="23"/>
    <s v="Choucair"/>
    <e v="#NAME?"/>
    <s v="SDATOOL-32991 $ Comisión de Acceso a ATM's"/>
    <n v="0.75"/>
    <s v="QA"/>
    <m/>
    <x v="0"/>
    <e v="#NAME?"/>
    <m/>
    <m/>
    <m/>
    <m/>
    <m/>
  </r>
  <r>
    <s v="CE69603"/>
    <s v="Miguel Angel Luengas"/>
    <x v="3"/>
    <x v="23"/>
    <s v="Choucair"/>
    <e v="#NAME?"/>
    <s v="SDATOOL-40515 $ Acción de auditoria de Cobro de Comisiones"/>
    <n v="0.25"/>
    <s v="QA"/>
    <m/>
    <x v="0"/>
    <e v="#NAME?"/>
    <m/>
    <m/>
    <m/>
    <m/>
    <m/>
  </r>
  <r>
    <s v="C679763"/>
    <s v="MIGUEL ANGEL POLOCHE DIAZ"/>
    <x v="2"/>
    <x v="5"/>
    <s v="BBVA"/>
    <e v="#NAME?"/>
    <s v="SDATOOL-37427 $ Adquirencia Premium"/>
    <n v="0.1"/>
    <s v="Tech Manager/Líder"/>
    <m/>
    <x v="1"/>
    <e v="#NAME?"/>
    <m/>
    <m/>
    <m/>
    <m/>
    <m/>
  </r>
  <r>
    <s v="C679763"/>
    <s v="MIGUEL ANGEL POLOCHE DIAZ"/>
    <x v="2"/>
    <x v="5"/>
    <s v="BBVA"/>
    <e v="#NAME?"/>
    <s v="NOSDA- BAU $ BAU (Mantenimiento y peq. evolutivos)"/>
    <n v="0.4"/>
    <s v="Tech Manager/Líder"/>
    <m/>
    <x v="1"/>
    <e v="#NAME?"/>
    <m/>
    <m/>
    <m/>
    <m/>
    <m/>
  </r>
  <r>
    <s v="C679763"/>
    <s v="MIGUEL ANGEL POLOCHE DIAZ"/>
    <x v="2"/>
    <x v="5"/>
    <s v="BBVA"/>
    <e v="#NAME?"/>
    <s v="SDATOOL-40468 $ Mapa de comercios adquirencia - Fase 2"/>
    <n v="0.1"/>
    <s v="Tech Manager/Líder"/>
    <m/>
    <x v="1"/>
    <e v="#NAME?"/>
    <m/>
    <m/>
    <m/>
    <m/>
    <m/>
  </r>
  <r>
    <s v="C679763"/>
    <s v="MIGUEL ANGEL POLOCHE DIAZ"/>
    <x v="2"/>
    <x v="5"/>
    <s v="BBVA"/>
    <e v="#NAME?"/>
    <s v="SDATOOL-40414 $ Conciliación adquirencia plus"/>
    <n v="0.1"/>
    <s v="Tech Manager/Líder"/>
    <m/>
    <x v="1"/>
    <e v="#NAME?"/>
    <m/>
    <m/>
    <m/>
    <m/>
    <m/>
  </r>
  <r>
    <s v="C679763"/>
    <s v="MIGUEL ANGEL POLOCHE DIAZ"/>
    <x v="2"/>
    <x v="5"/>
    <s v="BBVA"/>
    <e v="#NAME?"/>
    <s v="SDATOOL-40469 $ Reversión reintegros parciales Adquirencia - Ajustes de comercio LATAM"/>
    <n v="0.1"/>
    <s v="Tech Manager/Líder"/>
    <m/>
    <x v="1"/>
    <e v="#NAME?"/>
    <m/>
    <m/>
    <m/>
    <m/>
    <m/>
  </r>
  <r>
    <s v="C679763"/>
    <s v="MIGUEL ANGEL POLOCHE DIAZ"/>
    <x v="2"/>
    <x v="5"/>
    <s v="BBVA"/>
    <e v="#NAME?"/>
    <s v="SDATOOL-39785 $ Segmentación contratos ADN"/>
    <n v="0.1"/>
    <s v="Tech Manager/Líder"/>
    <m/>
    <x v="1"/>
    <e v="#NAME?"/>
    <m/>
    <m/>
    <m/>
    <m/>
    <m/>
  </r>
  <r>
    <s v="C679763"/>
    <s v="MIGUEL ANGEL POLOCHE DIAZ"/>
    <x v="2"/>
    <x v="5"/>
    <s v="BBVA"/>
    <e v="#NAME?"/>
    <s v="SDATOOL-39354 $ My business Open Pay - Plan Ascenso Mercurio"/>
    <n v="0.1"/>
    <s v="Tech Manager/Líder"/>
    <m/>
    <x v="1"/>
    <e v="#NAME?"/>
    <m/>
    <m/>
    <m/>
    <m/>
    <m/>
  </r>
  <r>
    <s v="C783729"/>
    <s v="MIGUEL ANTONIO GUIO ESPINOSA "/>
    <x v="1"/>
    <x v="26"/>
    <s v="BBVA"/>
    <e v="#NAME?"/>
    <s v="SDATOOL-29998 $ Despliegue SAS AML en BBVA CO"/>
    <n v="0.4"/>
    <s v="Tech Manager/Líder"/>
    <m/>
    <x v="1"/>
    <e v="#NAME?"/>
    <m/>
    <m/>
    <m/>
    <m/>
    <m/>
  </r>
  <r>
    <s v="C783729"/>
    <s v="MIGUEL ANTONIO GUIO ESPINOSA "/>
    <x v="1"/>
    <x v="26"/>
    <s v="BBVA"/>
    <e v="#NAME?"/>
    <s v="SDATOOL-39265 $ Migración Operaciones Fircosoft"/>
    <n v="0.1"/>
    <s v="Tech Manager/Líder"/>
    <m/>
    <x v="1"/>
    <e v="#NAME?"/>
    <m/>
    <m/>
    <m/>
    <m/>
    <m/>
  </r>
  <r>
    <s v="C783729"/>
    <s v="MIGUEL ANTONIO GUIO ESPINOSA "/>
    <x v="1"/>
    <x v="26"/>
    <s v="BBVA"/>
    <e v="#NAME?"/>
    <s v="SDATOOL-39473 $ Actualización de Was 8 a was 9. RBA"/>
    <n v="0.1"/>
    <s v="Tech Manager/Líder"/>
    <m/>
    <x v="1"/>
    <e v="#NAME?"/>
    <m/>
    <m/>
    <m/>
    <m/>
    <m/>
  </r>
  <r>
    <s v="C783729"/>
    <s v="MIGUEL ANTONIO GUIO ESPINOSA "/>
    <x v="1"/>
    <x v="26"/>
    <s v="BBVA"/>
    <e v="#NAME?"/>
    <s v="SDATOOL-39888 $ Proyecto - Evolutivo Sarlaft - Mejoras controles aplicativos"/>
    <n v="0.2"/>
    <s v="Tech Manager/Líder"/>
    <m/>
    <x v="1"/>
    <e v="#NAME?"/>
    <m/>
    <m/>
    <m/>
    <m/>
    <m/>
  </r>
  <r>
    <s v="C783729"/>
    <s v="MIGUEL ANTONIO GUIO ESPINOSA "/>
    <x v="1"/>
    <x v="26"/>
    <s v="BBVA"/>
    <e v="#NAME?"/>
    <s v="SDATOOL-40984 $ Proyecto - Identificación e ingesta de las tablas necesarias en datio y la construcción del caso de uso para la identificación de vínculos - Colombia"/>
    <n v="0.1"/>
    <s v="Tech Manager/Líder"/>
    <m/>
    <x v="1"/>
    <e v="#NAME?"/>
    <m/>
    <m/>
    <m/>
    <m/>
    <m/>
  </r>
  <r>
    <s v="C783729"/>
    <s v="MIGUEL ANTONIO GUIO ESPINOSA "/>
    <x v="1"/>
    <x v="26"/>
    <s v="BBVA"/>
    <e v="#NAME?"/>
    <s v="SDATOOL-41031 $ Proyecto - Shadow IT - Migración a un nuevo aplicativo de la herramienta SIGLAFT"/>
    <n v="0.1"/>
    <s v="Tech Manager/Líder"/>
    <m/>
    <x v="1"/>
    <e v="#NAME?"/>
    <m/>
    <m/>
    <m/>
    <m/>
    <m/>
  </r>
  <r>
    <s v="T004690"/>
    <s v="MIGUEL ORTE MORENO"/>
    <x v="2"/>
    <x v="3"/>
    <s v="Accenture"/>
    <e v="#NAME?"/>
    <s v="SDATOOL-34910 $ Libranza Digital"/>
    <n v="1"/>
    <s v="Desarrollador"/>
    <m/>
    <x v="0"/>
    <e v="#NAME?"/>
    <m/>
    <m/>
    <m/>
    <m/>
    <m/>
  </r>
  <r>
    <s v="C804743"/>
    <s v="MILENA MARGARITA GONZALEZ PARRA "/>
    <x v="1"/>
    <x v="10"/>
    <s v="BBVA"/>
    <e v="#NAME?"/>
    <s v="SDATOOL-23176 $ ORION"/>
    <n v="0.3"/>
    <s v="Desarrollador"/>
    <m/>
    <x v="1"/>
    <e v="#NAME?"/>
    <m/>
    <m/>
    <m/>
    <m/>
    <m/>
  </r>
  <r>
    <s v="C804743"/>
    <s v="MILENA MARGARITA GONZALEZ PARRA "/>
    <x v="1"/>
    <x v="10"/>
    <s v="BBVA"/>
    <e v="#NAME?"/>
    <s v="SDATOOL-37411 $ Infraestructura reportes regulatorios"/>
    <n v="0.7"/>
    <s v="Desarrollador"/>
    <m/>
    <x v="1"/>
    <e v="#NAME?"/>
    <m/>
    <m/>
    <m/>
    <m/>
    <m/>
  </r>
  <r>
    <s v="CE64687"/>
    <s v="MILLER FERNANDO CAMARGO AMADO"/>
    <x v="2"/>
    <x v="2"/>
    <s v="SII"/>
    <e v="#NAME?"/>
    <s v="NOSDA- BAU $ BAU (Mantenimiento y peq. evolutivos)"/>
    <n v="1"/>
    <s v="Desarrollador"/>
    <m/>
    <x v="0"/>
    <e v="#NAME?"/>
    <m/>
    <m/>
    <m/>
    <m/>
    <m/>
  </r>
  <r>
    <s v="CE55340"/>
    <s v="Miller Gomez"/>
    <x v="3"/>
    <x v="6"/>
    <s v="SII"/>
    <e v="#NAME?"/>
    <s v="SDATOOL-9053 $ GloMo Colombia"/>
    <n v="1"/>
    <s v="Desarrollador"/>
    <m/>
    <x v="0"/>
    <e v="#NAME?"/>
    <m/>
    <m/>
    <m/>
    <m/>
    <m/>
  </r>
  <r>
    <s v="C811205"/>
    <s v="MIRYANI VARGAS"/>
    <x v="2"/>
    <x v="3"/>
    <s v="BBVA"/>
    <e v="#NAME?"/>
    <s v="NOSDA- BAU $ BAU (Mantenimiento y peq. evolutivos)"/>
    <n v="1"/>
    <s v="Desarrollador"/>
    <m/>
    <x v="1"/>
    <e v="#NAME?"/>
    <m/>
    <m/>
    <m/>
    <m/>
    <m/>
  </r>
  <r>
    <s v="CE70380"/>
    <s v="MISAEL ARLEY TELLEZ SERRANO "/>
    <x v="0"/>
    <x v="27"/>
    <s v="Choucair"/>
    <e v="#NAME?"/>
    <s v="SDATOOL-36358 $ Pagos por Terceros (Mandato y/o Administración) - Información exógena DIAN - Resolución 0098 DIAN"/>
    <n v="1"/>
    <s v="QA"/>
    <m/>
    <x v="0"/>
    <e v="#NAME?"/>
    <m/>
    <m/>
    <m/>
    <m/>
    <m/>
  </r>
  <r>
    <s v="O003458"/>
    <s v="MOISES ABRAHAM LUNA MOJICA"/>
    <x v="2"/>
    <x v="12"/>
    <s v="BBVA"/>
    <e v="#NAME?"/>
    <s v="SDATOOL-38757 $ Modelo administrativo de oficina - Omnicanalidad"/>
    <n v="1"/>
    <s v="Desarrollador"/>
    <m/>
    <x v="1"/>
    <e v="#NAME?"/>
    <m/>
    <m/>
    <m/>
    <m/>
    <m/>
  </r>
  <r>
    <s v="C811290"/>
    <s v="Montana Castro Camilo Arturo"/>
    <x v="1"/>
    <x v="21"/>
    <s v="BBVA"/>
    <e v="#NAME?"/>
    <s v="SDATOOL-28728 $ Contratación electrónica/digital de empleados y Carpeta Virtual 2.0"/>
    <n v="0.7"/>
    <s v="Desarrollador"/>
    <m/>
    <x v="1"/>
    <e v="#NAME?"/>
    <m/>
    <m/>
    <m/>
    <m/>
    <m/>
  </r>
  <r>
    <s v="C811290"/>
    <s v="Montana Castro Camilo Arturo"/>
    <x v="1"/>
    <x v="21"/>
    <s v="BBVA"/>
    <e v="#NAME?"/>
    <s v="SDATOOL-38487 $ Mensualización Prima"/>
    <n v="0.3"/>
    <s v="Desarrollador"/>
    <m/>
    <x v="1"/>
    <e v="#NAME?"/>
    <m/>
    <m/>
    <m/>
    <m/>
    <m/>
  </r>
  <r>
    <s v="O002003"/>
    <s v="MORENO ANGEL HEYDEN AUGUSTO"/>
    <x v="0"/>
    <x v="8"/>
    <s v="BBVA"/>
    <e v="#NAME?"/>
    <s v="SDATOOL-39358 $ Crédito Virtual"/>
    <n v="0.75"/>
    <s v="Desarrollador"/>
    <m/>
    <x v="1"/>
    <e v="#NAME?"/>
    <m/>
    <m/>
    <m/>
    <m/>
    <m/>
  </r>
  <r>
    <s v="O002003"/>
    <s v="MORENO ANGEL HEYDEN AUGUSTO"/>
    <x v="0"/>
    <x v="8"/>
    <s v="BBVA"/>
    <e v="#NAME?"/>
    <s v="SDATOOL-40555 $ ADELANTO DE VENTA EN GEMA"/>
    <n v="0.25"/>
    <s v="Desarrollador"/>
    <m/>
    <x v="1"/>
    <e v="#NAME?"/>
    <m/>
    <m/>
    <m/>
    <m/>
    <m/>
  </r>
  <r>
    <s v="C808471"/>
    <s v="Moreno Castellanos Omar Alfonso"/>
    <x v="3"/>
    <x v="25"/>
    <s v="BBVA"/>
    <e v="#NAME?"/>
    <s v="SDATOOL-35350 $ Lean Office (Biblioteca Transaccional y Nuevo Modelo de Impresión)"/>
    <n v="0.5"/>
    <s v="Desarrollador"/>
    <m/>
    <x v="1"/>
    <e v="#NAME?"/>
    <m/>
    <m/>
    <m/>
    <m/>
    <m/>
  </r>
  <r>
    <s v="C808471"/>
    <s v="Moreno Castellanos Omar Alfonso"/>
    <x v="3"/>
    <x v="25"/>
    <s v="BBVA"/>
    <e v="#NAME?"/>
    <s v="NOSDA- BAU $ BAU (Mantenimiento y peq. evolutivos)"/>
    <n v="0.25"/>
    <s v="Desarrollador"/>
    <m/>
    <x v="1"/>
    <e v="#NAME?"/>
    <m/>
    <m/>
    <m/>
    <m/>
    <m/>
  </r>
  <r>
    <s v="C808471"/>
    <s v="Moreno Castellanos Omar Alfonso"/>
    <x v="3"/>
    <x v="25"/>
    <s v="BBVA"/>
    <e v="#NAME?"/>
    <s v="SDATOL-40269 $ Formularios cambio moneda extranjera Nacar"/>
    <n v="0.25"/>
    <s v="Desarrollador"/>
    <m/>
    <x v="1"/>
    <e v="#NAME?"/>
    <m/>
    <m/>
    <m/>
    <m/>
    <m/>
  </r>
  <r>
    <s v="T002734"/>
    <s v="MORENO MUNOZ EMMANUEL"/>
    <x v="1"/>
    <x v="26"/>
    <s v="CAPGEMINI"/>
    <e v="#NAME?"/>
    <s v="SDATOOL-29998 $ Despliegue SAS AML en BBVA CO"/>
    <n v="1"/>
    <s v="Desarrollador"/>
    <m/>
    <x v="0"/>
    <e v="#NAME?"/>
    <m/>
    <m/>
    <m/>
    <m/>
    <m/>
  </r>
  <r>
    <s v="C809514"/>
    <s v="MUÑOZ CEDANO LEONEL"/>
    <x v="0"/>
    <x v="8"/>
    <s v="BBVA"/>
    <e v="#NAME?"/>
    <s v="SDATOOL-37130 $ Pago y domiciliación de recaudo"/>
    <n v="0.75"/>
    <s v="Desarrollador"/>
    <m/>
    <x v="1"/>
    <e v="#NAME?"/>
    <m/>
    <m/>
    <m/>
    <m/>
    <m/>
  </r>
  <r>
    <s v="C809514"/>
    <s v="MUÑOZ CEDANO LEONEL"/>
    <x v="0"/>
    <x v="8"/>
    <s v="BBVA"/>
    <e v="#NAME?"/>
    <s v="SDATOOL-38770 $ Marcación y cobro de comisiones PSE"/>
    <n v="0.25"/>
    <s v="Desarrollador"/>
    <m/>
    <x v="1"/>
    <e v="#NAME?"/>
    <m/>
    <m/>
    <m/>
    <m/>
    <m/>
  </r>
  <r>
    <s v="CE64919"/>
    <s v="MYRIAM GARCIA HERNANDEZ"/>
    <x v="1"/>
    <x v="10"/>
    <s v="Indra"/>
    <e v="#NAME?"/>
    <s v="NOSDA- BAU $ BAU (Mantenimiento y peq. evolutivos)"/>
    <n v="1"/>
    <s v="Desarrollador"/>
    <m/>
    <x v="0"/>
    <e v="#NAME?"/>
    <m/>
    <m/>
    <m/>
    <m/>
    <m/>
  </r>
  <r>
    <s v="O002661"/>
    <s v="NANCY CATHERINE HERNANDEZ"/>
    <x v="2"/>
    <x v="3"/>
    <s v="BBVA"/>
    <e v="#NAME?"/>
    <s v="SDATOOL-34157 $ Evolutivo Parthnership - Crédito en punto de venta de Aliados"/>
    <n v="0.25"/>
    <s v="QA"/>
    <m/>
    <x v="1"/>
    <e v="#NAME?"/>
    <m/>
    <m/>
    <m/>
    <m/>
    <m/>
  </r>
  <r>
    <s v="O002661"/>
    <s v="NANCY CATHERINE HERNANDEZ"/>
    <x v="2"/>
    <x v="3"/>
    <s v="BBVA"/>
    <e v="#NAME?"/>
    <s v="SDATOOL-36548 $ Optimización consumo web - Plan ascenso Open Market"/>
    <n v="0.25"/>
    <s v="QA"/>
    <m/>
    <x v="1"/>
    <e v="#NAME?"/>
    <m/>
    <m/>
    <m/>
    <m/>
    <m/>
  </r>
  <r>
    <s v="O002661"/>
    <s v="NANCY CATHERINE HERNANDEZ"/>
    <x v="2"/>
    <x v="3"/>
    <s v="BBVA"/>
    <e v="#NAME?"/>
    <s v="SDATOOL-39836 $ Vivienda digital fase III"/>
    <n v="0.25"/>
    <s v="QA"/>
    <m/>
    <x v="1"/>
    <e v="#NAME?"/>
    <m/>
    <m/>
    <m/>
    <m/>
    <m/>
  </r>
  <r>
    <s v="O002661"/>
    <s v="NANCY CATHERINE HERNANDEZ"/>
    <x v="2"/>
    <x v="3"/>
    <s v="BBVA"/>
    <e v="#NAME?"/>
    <s v="SDATOOL-34910 $ Libranza Digital"/>
    <n v="0.25"/>
    <s v="QA"/>
    <m/>
    <x v="1"/>
    <e v="#NAME?"/>
    <m/>
    <m/>
    <m/>
    <m/>
    <m/>
  </r>
  <r>
    <s v="T004057"/>
    <s v="Nancy Yasmid Reatiga Carvajal"/>
    <x v="1"/>
    <x v="1"/>
    <s v="Inetum"/>
    <e v="#NAME?"/>
    <s v="NOSDA- BAU $ BAU (Mantenimiento y peq. evolutivos)"/>
    <n v="1"/>
    <s v="Desarrollador"/>
    <m/>
    <x v="0"/>
    <e v="#NAME?"/>
    <m/>
    <m/>
    <m/>
    <m/>
    <m/>
  </r>
  <r>
    <s v="T005725"/>
    <s v="NARANJO WILMER FERNEY"/>
    <x v="0"/>
    <x v="8"/>
    <s v="GGI / CMC"/>
    <e v="#NAME?"/>
    <s v="SDATOOL-40482 $ Incluir tasa ponderada en Adquirencia Onboarding digital - Netcash"/>
    <n v="0.5"/>
    <s v="Desarrollador"/>
    <m/>
    <x v="0"/>
    <e v="#NAME?"/>
    <m/>
    <m/>
    <m/>
    <m/>
    <m/>
  </r>
  <r>
    <s v="T005725"/>
    <s v="NARANJO WILMER FERNEY"/>
    <x v="0"/>
    <x v="8"/>
    <s v="GGI / CMC"/>
    <e v="#NAME?"/>
    <s v="SDATOOL-40555 $ ADELANTO DE VENTA EN GEMA"/>
    <n v="0.5"/>
    <s v="Desarrollador"/>
    <m/>
    <x v="0"/>
    <e v="#NAME?"/>
    <m/>
    <m/>
    <m/>
    <m/>
    <m/>
  </r>
  <r>
    <s v="C805989"/>
    <s v="NATALIA ANDREA SAMBONI"/>
    <x v="2"/>
    <x v="5"/>
    <s v="BBVA"/>
    <e v="#NAME?"/>
    <s v="SDATOOL-40455 $ Comisión porcentaje compras internacionales Mastercard y Visa Fase 2"/>
    <n v="0.6"/>
    <s v="Otros"/>
    <m/>
    <x v="1"/>
    <e v="#NAME?"/>
    <m/>
    <m/>
    <m/>
    <m/>
    <m/>
  </r>
  <r>
    <s v="C805989"/>
    <s v="NATALIA ANDREA SAMBONI"/>
    <x v="2"/>
    <x v="5"/>
    <s v="BBVA"/>
    <e v="#NAME?"/>
    <s v="SDATOOL-40384 $ Cobrar intereses corrientes entre la transacción y la pre-cancelación"/>
    <n v="0.3"/>
    <s v="Otros"/>
    <m/>
    <x v="1"/>
    <e v="#NAME?"/>
    <m/>
    <m/>
    <m/>
    <m/>
    <m/>
  </r>
  <r>
    <s v="C805989"/>
    <s v="NATALIA ANDREA SAMBONI"/>
    <x v="2"/>
    <x v="5"/>
    <s v="BBVA"/>
    <e v="#NAME?"/>
    <s v="NOSDA- BAU $ BAU (Mantenimiento y peq. evolutivos)"/>
    <n v="0.1"/>
    <s v="Otros"/>
    <m/>
    <x v="1"/>
    <e v="#NAME?"/>
    <m/>
    <m/>
    <m/>
    <m/>
    <m/>
  </r>
  <r>
    <s v="CE57093"/>
    <s v="NATALIA CANAS YATE "/>
    <x v="0"/>
    <x v="27"/>
    <s v="Choucair"/>
    <e v="#NAME?"/>
    <s v="SDATOOL-36358 $ Pagos por Terceros (Mandato y/o Administración) - Información exógena DIAN - Resolución 0098 DIAN"/>
    <n v="0.5"/>
    <s v="QA"/>
    <m/>
    <x v="0"/>
    <e v="#NAME?"/>
    <m/>
    <m/>
    <m/>
    <m/>
    <m/>
  </r>
  <r>
    <s v="CE57093"/>
    <s v="NATALIA CANAS YATE "/>
    <x v="0"/>
    <x v="27"/>
    <s v="Choucair"/>
    <e v="#NAME?"/>
    <s v="SDATOOL-33847 $ Resolución 0042 DIAN Documento Soporte"/>
    <n v="0.5"/>
    <s v="QA"/>
    <m/>
    <x v="0"/>
    <e v="#NAME?"/>
    <m/>
    <m/>
    <m/>
    <m/>
    <m/>
  </r>
  <r>
    <s v="CE67866"/>
    <s v="NATALIA ORTIZ MALDONADO "/>
    <x v="0"/>
    <x v="18"/>
    <s v="Accenture"/>
    <e v="#NAME?"/>
    <s v="SDATOOL-40457 $ SENDA (Base)"/>
    <n v="1"/>
    <s v="Desarrollador"/>
    <m/>
    <x v="0"/>
    <e v="#NAME?"/>
    <m/>
    <m/>
    <m/>
    <m/>
    <m/>
  </r>
  <r>
    <s v="C811233"/>
    <s v="NATALIA REYES LOPEZ"/>
    <x v="2"/>
    <x v="2"/>
    <s v="BBVA"/>
    <e v="#NAME?"/>
    <s v="NOSDA- BAU $ BAU (Mantenimiento y peq. evolutivos)"/>
    <n v="0.5"/>
    <s v="QA"/>
    <s v="Tester"/>
    <x v="1"/>
    <e v="#NAME?"/>
    <m/>
    <m/>
    <m/>
    <m/>
    <m/>
  </r>
  <r>
    <s v="C811233"/>
    <s v="NATALIA REYES LOPEZ"/>
    <x v="2"/>
    <x v="2"/>
    <s v="BBVA"/>
    <e v="#NAME?"/>
    <s v="SDATOOL-39506 $ Cuenta Sostenible"/>
    <n v="0.5"/>
    <s v="QA"/>
    <s v="Tester"/>
    <x v="1"/>
    <e v="#NAME?"/>
    <m/>
    <m/>
    <m/>
    <m/>
    <m/>
  </r>
  <r>
    <s v="C342537"/>
    <s v="Navarro Torres Javier Dario"/>
    <x v="3"/>
    <x v="25"/>
    <s v="BBVA"/>
    <e v="#NAME?"/>
    <s v="SDATOOL-37761 $ Plan transformación de procesos"/>
    <n v="0.5"/>
    <s v="Desarrollador"/>
    <m/>
    <x v="1"/>
    <e v="#NAME?"/>
    <m/>
    <m/>
    <m/>
    <m/>
    <m/>
  </r>
  <r>
    <s v="C342537"/>
    <s v="Navarro Torres Javier Dario"/>
    <x v="3"/>
    <x v="25"/>
    <s v="BBVA"/>
    <e v="#NAME?"/>
    <s v="SDATOOL-35350 $ Lean Office (Biblioteca Transaccional y Nuevo Modelo de Impresión)"/>
    <n v="0.5"/>
    <s v="Desarrollador"/>
    <m/>
    <x v="1"/>
    <e v="#NAME?"/>
    <m/>
    <m/>
    <m/>
    <m/>
    <m/>
  </r>
  <r>
    <s v="CE40475"/>
    <s v="Nelson Ferrucho"/>
    <x v="3"/>
    <x v="7"/>
    <s v="SII"/>
    <e v="#NAME?"/>
    <s v="SDATOOL-38527 $ Pagaré Electrónico en flujos de Contratación digital"/>
    <n v="1"/>
    <s v="Desarrollador"/>
    <m/>
    <x v="0"/>
    <e v="#NAME?"/>
    <m/>
    <m/>
    <m/>
    <m/>
    <m/>
  </r>
  <r>
    <s v="C342045"/>
    <s v="NELSON JAVIER MONCADA GELVES"/>
    <x v="3"/>
    <x v="6"/>
    <s v="BBVA"/>
    <e v="#NAME?"/>
    <s v="SDATOOL-9053 $ GloMo Colombia"/>
    <n v="1"/>
    <s v="Desarrollador"/>
    <m/>
    <x v="1"/>
    <e v="#NAME?"/>
    <m/>
    <m/>
    <m/>
    <m/>
    <m/>
  </r>
  <r>
    <s v="C802949"/>
    <s v="NESTOR EDUARDO SILVA VERGARA "/>
    <x v="1"/>
    <x v="10"/>
    <s v="BBVA"/>
    <e v="#NAME?"/>
    <s v="NOSDA- BAU $ BAU (Mantenimiento y peq. evolutivos)"/>
    <n v="1"/>
    <s v="Tech Manager/Líder"/>
    <m/>
    <x v="1"/>
    <e v="#NAME?"/>
    <m/>
    <m/>
    <m/>
    <m/>
    <m/>
  </r>
  <r>
    <s v="C805958"/>
    <s v="NICO NIÑO VERGARA"/>
    <x v="2"/>
    <x v="5"/>
    <s v="BBVA"/>
    <e v="#NAME?"/>
    <s v="SDATOOL-37057 $ Pagos QR - Entre cuentas Redeban - Plan Ascenso Mercurio"/>
    <n v="1"/>
    <s v="Desarrollador"/>
    <m/>
    <x v="1"/>
    <e v="#NAME?"/>
    <m/>
    <m/>
    <m/>
    <m/>
    <m/>
  </r>
  <r>
    <s v="CE69818"/>
    <s v="NICOLAS  MORENO AREVALO"/>
    <x v="0"/>
    <x v="18"/>
    <s v="GGI / CMC"/>
    <e v="#NAME?"/>
    <s v="SDATOOL-40528 $ ETPB - SENDA PAGOS"/>
    <n v="1"/>
    <s v="Desarrollador"/>
    <m/>
    <x v="0"/>
    <e v="#NAME?"/>
    <m/>
    <m/>
    <m/>
    <m/>
    <m/>
  </r>
  <r>
    <s v="CE59970"/>
    <s v="NICOLAS ALEXANDER ALDANA MENDOZA"/>
    <x v="2"/>
    <x v="2"/>
    <s v="SII"/>
    <e v="#NAME?"/>
    <s v="NOSDA- BAU $ BAU (Mantenimiento y peq. evolutivos)"/>
    <n v="1"/>
    <s v="Desarrollador"/>
    <m/>
    <x v="0"/>
    <e v="#NAME?"/>
    <m/>
    <m/>
    <m/>
    <m/>
    <m/>
  </r>
  <r>
    <s v="CE70907"/>
    <s v="Nicolas Bedoya Montealegre"/>
    <x v="3"/>
    <x v="6"/>
    <s v="Neoris"/>
    <e v="#NAME?"/>
    <s v="SDATOOL-38489 $ Horizon BTGR - Colombia"/>
    <n v="1"/>
    <s v="Desarrollador"/>
    <m/>
    <x v="0"/>
    <e v="#NAME?"/>
    <m/>
    <m/>
    <m/>
    <m/>
    <m/>
  </r>
  <r>
    <s v="T000274"/>
    <s v="Nicolas Bohorquez Leguizamo"/>
    <x v="3"/>
    <x v="7"/>
    <s v="GGI / CMC"/>
    <e v="#NAME?"/>
    <s v="SDATOOL-36558 $ Transfiya:Transferencias interbancarias inmediatas - Plan Ascenso Privado"/>
    <n v="1"/>
    <s v="Desarrollador"/>
    <m/>
    <x v="0"/>
    <e v="#NAME?"/>
    <m/>
    <m/>
    <m/>
    <m/>
    <m/>
  </r>
  <r>
    <s v="CE66887"/>
    <s v="Nicolas Bolivar Battle"/>
    <x v="3"/>
    <x v="7"/>
    <s v="KRYPTO"/>
    <e v="#NAME?"/>
    <s v="SDATOOL-38527 $ Pagaré Electrónico en flujos de Contratación digital"/>
    <n v="1"/>
    <s v="QA"/>
    <m/>
    <x v="0"/>
    <e v="#NAME?"/>
    <m/>
    <m/>
    <m/>
    <m/>
    <m/>
  </r>
  <r>
    <s v="CE61633"/>
    <s v="Nicolas Eduardo Loaiza"/>
    <x v="3"/>
    <x v="6"/>
    <s v="GGI / CMC"/>
    <e v="#NAME?"/>
    <s v="SDATOOL-9053 $ GloMo Colombia"/>
    <n v="1"/>
    <s v="QA"/>
    <m/>
    <x v="0"/>
    <e v="#NAME?"/>
    <m/>
    <m/>
    <m/>
    <m/>
    <m/>
  </r>
  <r>
    <s v="T004574"/>
    <s v="Nicolás Enrique Arango Buitrago"/>
    <x v="3"/>
    <x v="19"/>
    <s v="GGI / CMC"/>
    <e v="#NAME?"/>
    <s v="SDATOOL-39870 $ Front - Unificación de pantallas Contac Center"/>
    <n v="1"/>
    <s v="Desarrollador"/>
    <m/>
    <x v="0"/>
    <e v="#NAME?"/>
    <m/>
    <m/>
    <m/>
    <m/>
    <m/>
  </r>
  <r>
    <s v="C805988"/>
    <s v="NICOLAS MUÑOZ"/>
    <x v="2"/>
    <x v="3"/>
    <s v="BBVA"/>
    <e v="#NAME?"/>
    <s v="SDATOOL-36522 $ Libranza E2E digital Fase III - Plan Ascenso Privado"/>
    <n v="0.75"/>
    <s v="Desarrollador"/>
    <m/>
    <x v="1"/>
    <e v="#NAME?"/>
    <m/>
    <m/>
    <m/>
    <m/>
    <m/>
  </r>
  <r>
    <s v="C805988"/>
    <s v="NICOLAS MUÑOZ"/>
    <x v="2"/>
    <x v="3"/>
    <s v="BBVA"/>
    <e v="#NAME?"/>
    <s v="SDATOOL-39272 $ GRM-Col-Cambio servicio APL (Aportes en línea)"/>
    <n v="0.25"/>
    <s v="Desarrollador"/>
    <m/>
    <x v="1"/>
    <e v="#NAME?"/>
    <m/>
    <m/>
    <m/>
    <m/>
    <m/>
  </r>
  <r>
    <s v="CE64752"/>
    <s v="NIDIA CONTRERAS HERNANDEZ"/>
    <x v="2"/>
    <x v="11"/>
    <s v="KRYPTO"/>
    <e v="#NAME?"/>
    <s v="NOSDA- BAU $ BAU (Mantenimiento y peq. evolutivos)"/>
    <n v="0.5"/>
    <s v="QA"/>
    <m/>
    <x v="0"/>
    <e v="#NAME?"/>
    <m/>
    <m/>
    <m/>
    <m/>
    <m/>
  </r>
  <r>
    <s v="T005765"/>
    <s v="Niteen Kumar Kanaiya"/>
    <x v="1"/>
    <x v="26"/>
    <s v="CAPGEMINI"/>
    <e v="#NAME?"/>
    <s v="SDATOOL-29998 $ Despliegue SAS AML en BBVA CO"/>
    <n v="1"/>
    <s v="Desarrollador"/>
    <m/>
    <x v="0"/>
    <e v="#NAME?"/>
    <m/>
    <m/>
    <m/>
    <m/>
    <m/>
  </r>
  <r>
    <s v="T007579"/>
    <s v="Nubia Sanchez"/>
    <x v="3"/>
    <x v="16"/>
    <s v="Neoris"/>
    <e v="#NAME?"/>
    <s v="SDATOOL-37055 $ Cash in- PSE - Plan Ascenso Privado"/>
    <n v="1"/>
    <s v="Desarrollador"/>
    <m/>
    <x v="0"/>
    <e v="#NAME?"/>
    <m/>
    <m/>
    <m/>
    <m/>
    <m/>
  </r>
  <r>
    <s v="CE68502"/>
    <s v="Nydia Forero"/>
    <x v="3"/>
    <x v="6"/>
    <s v="SII"/>
    <e v="#NAME?"/>
    <s v="SDATOOL-9053 $ GloMo Colombia"/>
    <n v="1"/>
    <s v="QA"/>
    <m/>
    <x v="0"/>
    <e v="#NAME?"/>
    <m/>
    <m/>
    <m/>
    <m/>
    <m/>
  </r>
  <r>
    <s v="CE66039"/>
    <s v="OCAMPO RODRIGUEZ JOHN JAILER"/>
    <x v="0"/>
    <x v="8"/>
    <s v="GGI / CMC"/>
    <e v="#NAME?"/>
    <s v="SDATOOL-37169 $ EGS: Salto país y softoken"/>
    <n v="1"/>
    <s v="Desarrollador"/>
    <m/>
    <x v="0"/>
    <e v="#NAME?"/>
    <m/>
    <m/>
    <m/>
    <m/>
    <m/>
  </r>
  <r>
    <s v="C809591"/>
    <s v="Ojeda Alvarez Kevin Orlando"/>
    <x v="1"/>
    <x v="1"/>
    <s v="BBVA"/>
    <e v="#NAME?"/>
    <s v="SDATOOL-39463 $ GRM Col - Actualización Versión Power Curve."/>
    <n v="0.5"/>
    <s v="Desarrollador"/>
    <m/>
    <x v="1"/>
    <e v="#NAME?"/>
    <m/>
    <m/>
    <m/>
    <m/>
    <m/>
  </r>
  <r>
    <s v="C809591"/>
    <s v="Ojeda Alvarez Kevin Orlando"/>
    <x v="1"/>
    <x v="1"/>
    <s v="BBVA"/>
    <e v="#NAME?"/>
    <s v="SDATOOL-41203 $ Obsolescencia Aplicativa 2023"/>
    <n v="0.15"/>
    <s v="Desarrollador"/>
    <m/>
    <x v="1"/>
    <e v="#NAME?"/>
    <m/>
    <m/>
    <m/>
    <m/>
    <m/>
  </r>
  <r>
    <s v="C809591"/>
    <s v="Ojeda Alvarez Kevin Orlando"/>
    <x v="1"/>
    <x v="1"/>
    <s v="BBVA"/>
    <e v="#NAME?"/>
    <s v="SDATOOL-33846 $ SREP Data Quality- BCBS239 - Colombia"/>
    <n v="0.35"/>
    <s v="Desarrollador"/>
    <m/>
    <x v="1"/>
    <e v="#NAME?"/>
    <m/>
    <m/>
    <m/>
    <m/>
    <m/>
  </r>
  <r>
    <s v="C810910"/>
    <s v="OLIVOS FONSECA JONATHAN STEVEN"/>
    <x v="0"/>
    <x v="8"/>
    <s v="BBVA"/>
    <e v="#NAME?"/>
    <s v="SDATOOL-38731 $ Prenotificaciones Canales Directos"/>
    <n v="0.25"/>
    <s v="Desarrollador"/>
    <m/>
    <x v="1"/>
    <e v="#NAME?"/>
    <m/>
    <m/>
    <m/>
    <m/>
    <m/>
  </r>
  <r>
    <s v="C810910"/>
    <s v="OLIVOS FONSECA JONATHAN STEVEN"/>
    <x v="0"/>
    <x v="8"/>
    <s v="BBVA"/>
    <e v="#NAME?"/>
    <s v="NOSDA- BAU $ BAU (Mantenimiento y peq. evolutivos)"/>
    <n v="0.75"/>
    <s v="Desarrollador"/>
    <m/>
    <x v="1"/>
    <e v="#NAME?"/>
    <m/>
    <m/>
    <m/>
    <m/>
    <m/>
  </r>
  <r>
    <s v="CE57586"/>
    <s v="Omar Esteban Matuk"/>
    <x v="3"/>
    <x v="13"/>
    <s v="GGI / CMC"/>
    <e v="#NAME?"/>
    <s v="SDATOOL-40581 $ Corresponsal Bancario Ya Ganaste"/>
    <n v="0.5"/>
    <s v="Desarrollador"/>
    <m/>
    <x v="0"/>
    <e v="#NAME?"/>
    <m/>
    <m/>
    <m/>
    <m/>
    <m/>
  </r>
  <r>
    <s v="CE57586"/>
    <s v="Omar Esteban Matuk"/>
    <x v="3"/>
    <x v="13"/>
    <s v="GGI / CMC"/>
    <e v="#NAME?"/>
    <s v="SDATOOL-39871 $ Cbs Gelsa Paga todo"/>
    <n v="0.25"/>
    <s v="Desarrollador"/>
    <m/>
    <x v="0"/>
    <e v="#NAME?"/>
    <m/>
    <m/>
    <m/>
    <m/>
    <m/>
  </r>
  <r>
    <s v="CE57586"/>
    <s v="Omar Esteban Matuk"/>
    <x v="3"/>
    <x v="13"/>
    <s v="GGI / CMC"/>
    <e v="#NAME?"/>
    <s v="SDATOOL-41709 $ Fraccionamiento de transacciones en CBs"/>
    <n v="0.25"/>
    <s v="Desarrollador"/>
    <m/>
    <x v="0"/>
    <e v="#NAME?"/>
    <m/>
    <m/>
    <m/>
    <m/>
    <m/>
  </r>
  <r>
    <s v="CE56109"/>
    <s v="OMAR FERNANDO ORTEGÓN VARGAS"/>
    <x v="2"/>
    <x v="3"/>
    <s v="Neoris"/>
    <e v="#NAME?"/>
    <s v="NOSDA- BAU $ BAU (Mantenimiento y peq. evolutivos)"/>
    <n v="1"/>
    <s v="Desarrollador"/>
    <m/>
    <x v="0"/>
    <e v="#NAME?"/>
    <m/>
    <m/>
    <m/>
    <m/>
    <m/>
  </r>
  <r>
    <s v="CE52035"/>
    <s v="Orlando Salvador Mora Andrade"/>
    <x v="1"/>
    <x v="10"/>
    <s v="GGI / CMC"/>
    <e v="#NAME?"/>
    <s v="SDATOOL-36929 $ Ciclo 1 - Resolución 098 de 2020 DIAN - Reportes de Información Exogena"/>
    <n v="0.2"/>
    <s v="Tech Manager/Líder"/>
    <m/>
    <x v="0"/>
    <e v="#NAME?"/>
    <m/>
    <m/>
    <m/>
    <m/>
    <m/>
  </r>
  <r>
    <s v="CE52035"/>
    <s v="Orlando Salvador Mora Andrade"/>
    <x v="1"/>
    <x v="10"/>
    <s v="GGI / CMC"/>
    <e v="#NAME?"/>
    <s v="SDATOOL-37681 $ Ciclo 2 - Resolución 0098 de Octubre 28 de 2020 - Reportes información Exógena Base Impuestos"/>
    <n v="0.2"/>
    <s v="Tech Manager/Líder"/>
    <m/>
    <x v="0"/>
    <e v="#NAME?"/>
    <m/>
    <m/>
    <m/>
    <m/>
    <m/>
  </r>
  <r>
    <s v="CE52035"/>
    <s v="Orlando Salvador Mora Andrade"/>
    <x v="1"/>
    <x v="10"/>
    <s v="GGI / CMC"/>
    <e v="#NAME?"/>
    <s v="SDATOOL-40003 $ Resolución 0124 DIAN 2021 - Créditos Hipotecarios para remodelación de Vivienda"/>
    <n v="0.2"/>
    <s v="Tech Manager/Líder"/>
    <m/>
    <x v="0"/>
    <e v="#NAME?"/>
    <m/>
    <m/>
    <m/>
    <m/>
    <m/>
  </r>
  <r>
    <s v="CE52035"/>
    <s v="Orlando Salvador Mora Andrade"/>
    <x v="1"/>
    <x v="10"/>
    <s v="GGI / CMC"/>
    <e v="#NAME?"/>
    <s v="SDATOOL-40225 $ Resolución 0124 Dian - 2021 - Ajustes para Reporte de Información Exógena año gravable 2022 - Ciclo 1"/>
    <n v="0.2"/>
    <s v="Tech Manager/Líder"/>
    <m/>
    <x v="0"/>
    <e v="#NAME?"/>
    <m/>
    <m/>
    <m/>
    <m/>
    <m/>
  </r>
  <r>
    <s v="CE52035"/>
    <s v="Orlando Salvador Mora Andrade"/>
    <x v="1"/>
    <x v="10"/>
    <s v="GGI / CMC"/>
    <e v="#NAME?"/>
    <s v="SDATOOL-38583 $ FUSIONES Y ACTUALIZACION DE IDENTIFICACIONES"/>
    <n v="0.2"/>
    <s v="Tech Manager/Líder"/>
    <m/>
    <x v="0"/>
    <e v="#NAME?"/>
    <m/>
    <m/>
    <m/>
    <m/>
    <m/>
  </r>
  <r>
    <s v="T003450"/>
    <s v="OSCAR ALBERTO SALAMANCA CHACON"/>
    <x v="2"/>
    <x v="3"/>
    <s v="Globant"/>
    <e v="#NAME?"/>
    <s v="SDATOOL-34910 $ Libranza Digital"/>
    <n v="1"/>
    <s v="Desarrollador"/>
    <m/>
    <x v="0"/>
    <e v="#NAME?"/>
    <m/>
    <m/>
    <m/>
    <m/>
    <m/>
  </r>
  <r>
    <s v="T000607"/>
    <s v="Oscar Andres Bernal Quiroz"/>
    <x v="3"/>
    <x v="6"/>
    <s v="Neoris"/>
    <e v="#NAME?"/>
    <s v="SDATOOL-38489 $ Horizon BTGR - Colombia"/>
    <n v="1"/>
    <s v="Desarrollador"/>
    <m/>
    <x v="0"/>
    <e v="#NAME?"/>
    <m/>
    <m/>
    <m/>
    <m/>
    <m/>
  </r>
  <r>
    <s v="O001976"/>
    <s v="OSCAR ANDRES CARDOZA OLANO"/>
    <x v="2"/>
    <x v="11"/>
    <s v="BBVA"/>
    <e v="#NAME?"/>
    <s v="SDATOOL-41171 $ CBS Core Banking Strategy Convivencia Clients and Contracts"/>
    <n v="0.9"/>
    <s v="Desarrollador"/>
    <m/>
    <x v="1"/>
    <e v="#NAME?"/>
    <m/>
    <m/>
    <m/>
    <m/>
    <m/>
  </r>
  <r>
    <s v="O001976"/>
    <s v="OSCAR ANDRES CARDOZA OLANO"/>
    <x v="2"/>
    <x v="11"/>
    <s v="BBVA"/>
    <e v="#NAME?"/>
    <s v="NOSDA- BAU $ BAU (Mantenimiento y peq. evolutivos)"/>
    <n v="0.1"/>
    <s v="Desarrollador"/>
    <m/>
    <x v="1"/>
    <e v="#NAME?"/>
    <m/>
    <m/>
    <m/>
    <m/>
    <m/>
  </r>
  <r>
    <s v="O000443"/>
    <s v="OSCAR BARBOSA OSPINA"/>
    <x v="2"/>
    <x v="11"/>
    <s v="BBVA"/>
    <e v="#NAME?"/>
    <s v="SDATOOL-28728 $ Contratación electrónica/digital de empleados y Carpeta Virtual 2.0"/>
    <n v="1"/>
    <s v="Tech Manager/Líder"/>
    <m/>
    <x v="1"/>
    <e v="#NAME?"/>
    <m/>
    <m/>
    <m/>
    <m/>
    <m/>
  </r>
  <r>
    <s v="C810943"/>
    <s v="OSCAR DANIEL OÑATE CASTILLA"/>
    <x v="2"/>
    <x v="3"/>
    <s v="BBVA"/>
    <e v="#NAME?"/>
    <s v="SDATOOL-36522 $ Libranza E2E digital Fase III - Plan Ascenso Privado"/>
    <n v="1"/>
    <s v="Desarrollador"/>
    <m/>
    <x v="1"/>
    <e v="#NAME?"/>
    <m/>
    <m/>
    <m/>
    <m/>
    <m/>
  </r>
  <r>
    <s v="C805907"/>
    <s v="Oscar Dario Velásquez"/>
    <x v="3"/>
    <x v="7"/>
    <s v="BBVA"/>
    <e v="#NAME?"/>
    <s v="SDATOOL-39246 $ Nuevo tipo de identificación para extranjeros"/>
    <n v="0.25"/>
    <s v="Desarrollador"/>
    <m/>
    <x v="1"/>
    <e v="#NAME?"/>
    <m/>
    <m/>
    <m/>
    <m/>
    <m/>
  </r>
  <r>
    <s v="C805907"/>
    <s v="Oscar Dario Velásquez"/>
    <x v="3"/>
    <x v="7"/>
    <s v="BBVA"/>
    <e v="#NAME?"/>
    <s v="SDATOOL-9053 $ GloMo Colombia"/>
    <n v="0.75"/>
    <s v="Desarrollador"/>
    <m/>
    <x v="1"/>
    <e v="#NAME?"/>
    <m/>
    <m/>
    <m/>
    <m/>
    <m/>
  </r>
  <r>
    <s v="C804047"/>
    <s v="OSCAR EDILBERTO MESA TRUJILLO"/>
    <x v="0"/>
    <x v="18"/>
    <s v="BBVA"/>
    <e v="#NAME?"/>
    <s v="SDATOOL-40528 $ ETPB - SENDA PAGOS"/>
    <n v="1"/>
    <s v="Tech Manager/Líder"/>
    <m/>
    <x v="1"/>
    <e v="#NAME?"/>
    <m/>
    <m/>
    <m/>
    <m/>
    <m/>
  </r>
  <r>
    <s v="CE70651"/>
    <s v="Oscar Freddy Roncancio Zea"/>
    <x v="3"/>
    <x v="6"/>
    <s v="Neoris"/>
    <e v="#NAME?"/>
    <s v="SDATOOL-9053 $ GloMo Colombia"/>
    <n v="1"/>
    <s v="QA"/>
    <m/>
    <x v="0"/>
    <e v="#NAME?"/>
    <m/>
    <m/>
    <m/>
    <m/>
    <m/>
  </r>
  <r>
    <s v="CE65205"/>
    <s v="OSCAR JAVIER ALVAREZ CAMACHO"/>
    <x v="0"/>
    <x v="15"/>
    <s v="GGI / CMC"/>
    <e v="#NAME?"/>
    <s v="SDATOOL-32905 $ Global Enterprises Mobile App (GEMA)"/>
    <n v="1"/>
    <s v="Otros"/>
    <m/>
    <x v="0"/>
    <e v="#NAME?"/>
    <m/>
    <m/>
    <m/>
    <m/>
    <m/>
  </r>
  <r>
    <s v="CE27209"/>
    <s v="Oscar Manuel Diaz Fique"/>
    <x v="1"/>
    <x v="10"/>
    <s v="GGI / CMC"/>
    <e v="#NAME?"/>
    <s v="SDATOOL-40225 $ Resolución 0124 Dian - 2021 - Ajustes para Reporte de Información Exógena año gravable 2022 - Ciclo 1"/>
    <n v="1"/>
    <s v="Desarrollador"/>
    <m/>
    <x v="0"/>
    <e v="#NAME?"/>
    <m/>
    <m/>
    <m/>
    <m/>
    <m/>
  </r>
  <r>
    <s v="CE67312"/>
    <s v="Oscar Mauricio Lozano"/>
    <x v="3"/>
    <x v="6"/>
    <s v="GGI / CMC"/>
    <e v="#NAME?"/>
    <s v="SDATOOL-9053 $ GloMo Colombia"/>
    <n v="1"/>
    <s v="QA"/>
    <m/>
    <x v="0"/>
    <e v="#NAME?"/>
    <m/>
    <m/>
    <m/>
    <m/>
    <m/>
  </r>
  <r>
    <s v="C804561"/>
    <s v="OSCAR ORLANDO ACEVEDO FERRER"/>
    <x v="2"/>
    <x v="2"/>
    <s v="BBVA"/>
    <e v="#NAME?"/>
    <s v="SDATOOL-33065 $ Remesas BTS"/>
    <n v="0.15"/>
    <s v="Desarrollador"/>
    <m/>
    <x v="1"/>
    <e v="#NAME?"/>
    <m/>
    <m/>
    <m/>
    <m/>
    <m/>
  </r>
  <r>
    <s v="C804561"/>
    <s v="OSCAR ORLANDO ACEVEDO FERRER"/>
    <x v="2"/>
    <x v="2"/>
    <s v="BBVA"/>
    <e v="#NAME?"/>
    <s v="SDATOOL-39457 $ Generación MT940 Fines de Semana y Festivos"/>
    <n v="0.15"/>
    <s v="Desarrollador"/>
    <m/>
    <x v="1"/>
    <e v="#NAME?"/>
    <m/>
    <m/>
    <m/>
    <m/>
    <m/>
  </r>
  <r>
    <s v="C804561"/>
    <s v="OSCAR ORLANDO ACEVEDO FERRER"/>
    <x v="2"/>
    <x v="2"/>
    <s v="BBVA"/>
    <e v="#NAME?"/>
    <s v="SDATOOL-40653 $ GRM Col - Calibración de factores para el cálculo del Coeficiente de Fondeo Estable Neto"/>
    <n v="0.5"/>
    <s v="Desarrollador"/>
    <m/>
    <x v="1"/>
    <e v="#NAME?"/>
    <m/>
    <m/>
    <m/>
    <m/>
    <m/>
  </r>
  <r>
    <s v="C804561"/>
    <s v="OSCAR ORLANDO ACEVEDO FERRER"/>
    <x v="2"/>
    <x v="2"/>
    <s v="BBVA"/>
    <e v="#NAME?"/>
    <s v="NOSDA- BAU $ BAU (Mantenimiento y peq. evolutivos)"/>
    <n v="0.2"/>
    <s v="Desarrollador"/>
    <m/>
    <x v="1"/>
    <e v="#NAME?"/>
    <m/>
    <m/>
    <m/>
    <m/>
    <m/>
  </r>
  <r>
    <s v="CE59964"/>
    <s v="OSCAR YECID  SANCHEZ ZAMORA"/>
    <x v="0"/>
    <x v="18"/>
    <s v="Neoris"/>
    <e v="#NAME?"/>
    <s v="SDATOOL-40528 $ ETPB - SENDA PAGOS"/>
    <n v="1"/>
    <s v="Desarrollador"/>
    <m/>
    <x v="0"/>
    <e v="#NAME?"/>
    <m/>
    <m/>
    <m/>
    <m/>
    <m/>
  </r>
  <r>
    <s v="T002794"/>
    <s v="OSVALDO JAVIER LOPEZ CASTILLO"/>
    <x v="0"/>
    <x v="0"/>
    <s v="DIMENSION"/>
    <e v="#NAME?"/>
    <s v="NOSDA- BAU $ BAU (Mantenimiento y peq. evolutivos)"/>
    <n v="1"/>
    <s v="Desarrollador"/>
    <m/>
    <x v="0"/>
    <e v="#NAME?"/>
    <m/>
    <m/>
    <m/>
    <m/>
    <m/>
  </r>
  <r>
    <s v="C811005"/>
    <s v="OTALORA LEIVA LUIS FERNANDO"/>
    <x v="0"/>
    <x v="8"/>
    <s v="BBVA"/>
    <e v="#NAME?"/>
    <s v="SDATOOL-39358 $ Crédito Virtual"/>
    <n v="0.75"/>
    <s v="Desarrollador"/>
    <m/>
    <x v="1"/>
    <e v="#NAME?"/>
    <m/>
    <m/>
    <m/>
    <m/>
    <m/>
  </r>
  <r>
    <s v="C811005"/>
    <s v="OTALORA LEIVA LUIS FERNANDO"/>
    <x v="0"/>
    <x v="8"/>
    <s v="BBVA"/>
    <e v="#NAME?"/>
    <s v="SDATOOL-40555 $ ADELANTO DE VENTA EN GEMA"/>
    <n v="0.25"/>
    <s v="Desarrollador"/>
    <m/>
    <x v="1"/>
    <e v="#NAME?"/>
    <m/>
    <m/>
    <m/>
    <m/>
    <m/>
  </r>
  <r>
    <s v="C811321"/>
    <s v="OTTO JADIR SAGUIT SANTOS ALBARRACIN"/>
    <x v="0"/>
    <x v="27"/>
    <s v="BBVA"/>
    <e v="#NAME?"/>
    <s v="SDATOOL-39334 $ GRM Col Reg - CE016-19 Modificados, reestructurados e incumplidos Leasing"/>
    <n v="1"/>
    <s v="Desarrollador"/>
    <m/>
    <x v="1"/>
    <e v="#NAME?"/>
    <m/>
    <m/>
    <m/>
    <m/>
    <m/>
  </r>
  <r>
    <s v="CE59969"/>
    <s v="Pablo Antonio Marquez"/>
    <x v="3"/>
    <x v="19"/>
    <s v="Novatec"/>
    <e v="#NAME?"/>
    <s v="SDATOOL-39870 $ Front - Unificación de pantallas Contac Center"/>
    <n v="1"/>
    <s v="Desarrollador"/>
    <m/>
    <x v="0"/>
    <e v="#NAME?"/>
    <m/>
    <m/>
    <m/>
    <m/>
    <m/>
  </r>
  <r>
    <s v="C810855"/>
    <s v="PALACIO CHAVES ANDRES FELIPE"/>
    <x v="0"/>
    <x v="8"/>
    <s v="BBVA"/>
    <e v="#NAME?"/>
    <s v="SDATOOL-40555 $ ADELANTO DE VENTA EN GEMA"/>
    <n v="0.25"/>
    <s v="Desarrollador"/>
    <m/>
    <x v="1"/>
    <e v="#NAME?"/>
    <m/>
    <m/>
    <m/>
    <m/>
    <m/>
  </r>
  <r>
    <s v="C810855"/>
    <s v="PALACIO CHAVES ANDRES FELIPE"/>
    <x v="0"/>
    <x v="8"/>
    <s v="BBVA"/>
    <e v="#NAME?"/>
    <s v="SDATOOL-40482 $ Incluir tasa ponderada en Adquirencia Onboarding digital - Netcash"/>
    <n v="0.5"/>
    <s v="Desarrollador"/>
    <m/>
    <x v="1"/>
    <e v="#NAME?"/>
    <m/>
    <m/>
    <m/>
    <m/>
    <m/>
  </r>
  <r>
    <s v="C810855"/>
    <s v="PALACIO CHAVES ANDRES FELIPE"/>
    <x v="0"/>
    <x v="8"/>
    <s v="BBVA"/>
    <e v="#NAME?"/>
    <s v="SDATOOL-37130 $ Pago y domiciliación de recaudo"/>
    <n v="0.25"/>
    <s v="Desarrollador"/>
    <m/>
    <x v="1"/>
    <e v="#NAME?"/>
    <m/>
    <m/>
    <m/>
    <m/>
    <m/>
  </r>
  <r>
    <s v="C805239"/>
    <s v="Paola Marcela Moreno Sanabria"/>
    <x v="2"/>
    <x v="20"/>
    <s v="BBVA"/>
    <e v="#NAME?"/>
    <s v="NOSDA- BAU $ BAU (Mantenimiento y peq. evolutivos)"/>
    <n v="0.95"/>
    <s v="Desarrollador"/>
    <s v="MN-Cancelacion de garatias"/>
    <x v="1"/>
    <e v="#NAME?"/>
    <m/>
    <m/>
    <m/>
    <m/>
    <m/>
  </r>
  <r>
    <s v="C805239"/>
    <s v="Paola Marcela Moreno Sanabria"/>
    <x v="2"/>
    <x v="20"/>
    <s v="BBVA"/>
    <e v="#NAME?"/>
    <s v="SDATOOL-37753 $ Plan de transformación de operaciones 2022"/>
    <n v="0.05"/>
    <s v="Desarrollador"/>
    <s v="Wizard"/>
    <x v="1"/>
    <e v="#NAME?"/>
    <m/>
    <m/>
    <m/>
    <m/>
    <m/>
  </r>
  <r>
    <s v="CE68432"/>
    <s v="PAUL JONATHAN VALENCIA MUÑOZ"/>
    <x v="0"/>
    <x v="0"/>
    <s v="Choucair"/>
    <e v="#NAME?"/>
    <s v="SDATOOL-36547 $ PLAN MAYOR -PLAN MENOR. Plan ascenso Open Market"/>
    <n v="1"/>
    <s v="QA"/>
    <m/>
    <x v="0"/>
    <e v="#NAME?"/>
    <m/>
    <m/>
    <m/>
    <m/>
    <m/>
  </r>
  <r>
    <s v="T003439"/>
    <s v="Paula Janeth moreno Escobar"/>
    <x v="1"/>
    <x v="1"/>
    <s v="Neoris"/>
    <e v="#NAME?"/>
    <s v="SDATOOL-40710 $ GRM Col - Cronos - Plan Ascenso - Mejoras CAP Pymes Fase II"/>
    <n v="0.5"/>
    <s v="Desarrollador"/>
    <m/>
    <x v="0"/>
    <e v="#NAME?"/>
    <m/>
    <m/>
    <m/>
    <m/>
    <m/>
  </r>
  <r>
    <s v="T003439"/>
    <s v="Paula Janeth moreno Escobar"/>
    <x v="1"/>
    <x v="1"/>
    <s v="Neoris"/>
    <e v="#NAME?"/>
    <s v="SDATOOL-39830 $ GRM Col - Plan Ascenso - Mejoras CAP Pymes"/>
    <n v="0.1"/>
    <s v="Desarrollador"/>
    <m/>
    <x v="0"/>
    <e v="#NAME?"/>
    <m/>
    <m/>
    <m/>
    <m/>
    <m/>
  </r>
  <r>
    <s v="T003439"/>
    <s v="Paula Janeth moreno Escobar"/>
    <x v="1"/>
    <x v="1"/>
    <s v="Neoris"/>
    <e v="#NAME?"/>
    <s v="SDATOOL-38443 $ Arce Empresas Colombia"/>
    <n v="0.4"/>
    <s v="Desarrollador"/>
    <m/>
    <x v="0"/>
    <e v="#NAME?"/>
    <m/>
    <m/>
    <m/>
    <m/>
    <m/>
  </r>
  <r>
    <s v="CE69341"/>
    <s v="PAULA MARCELA MOLINA LEGUIZAMO "/>
    <x v="0"/>
    <x v="27"/>
    <s v="Choucair"/>
    <e v="#NAME?"/>
    <s v="SDATOOL-36358 $ Pagos por Terceros (Mandato y/o Administración) - Información exógena DIAN - Resolución 0098 DIAN"/>
    <n v="1"/>
    <s v="QA"/>
    <m/>
    <x v="0"/>
    <e v="#NAME?"/>
    <m/>
    <m/>
    <m/>
    <m/>
    <m/>
  </r>
  <r>
    <s v="C805945"/>
    <s v="PAULO CESAR SALDARRIAGA"/>
    <x v="2"/>
    <x v="11"/>
    <s v="BBVA"/>
    <e v="#NAME?"/>
    <s v="SDATOOL-41171 $ CBS Core Banking Strategy Convivencia Clients and Contracts"/>
    <n v="1"/>
    <s v="Desarrollador"/>
    <m/>
    <x v="1"/>
    <e v="#NAME?"/>
    <m/>
    <m/>
    <m/>
    <m/>
    <m/>
  </r>
  <r>
    <s v="CE71170"/>
    <s v="Pedro Luis Melo Robayo"/>
    <x v="3"/>
    <x v="6"/>
    <s v="Novatec"/>
    <e v="#NAME?"/>
    <s v="SDATOOL-38489 $ Horizon BTGR - Colombia"/>
    <n v="1"/>
    <s v="Desarrollador"/>
    <m/>
    <x v="0"/>
    <e v="#NAME?"/>
    <m/>
    <m/>
    <m/>
    <m/>
    <m/>
  </r>
  <r>
    <s v="XP60574"/>
    <s v="PEDRO MOLLEHUANCA TORRES"/>
    <x v="0"/>
    <x v="15"/>
    <s v="Indra"/>
    <e v="#NAME?"/>
    <s v="SDATOOL-32905 $ Global Enterprises Mobile App (GEMA)"/>
    <n v="1"/>
    <s v="Desarrollador"/>
    <m/>
    <x v="0"/>
    <e v="#NAME?"/>
    <m/>
    <m/>
    <m/>
    <m/>
    <m/>
  </r>
  <r>
    <s v="C808788"/>
    <s v="Pena Agudelo Rosario Elena"/>
    <x v="1"/>
    <x v="26"/>
    <s v="BBVA"/>
    <e v="#NAME?"/>
    <s v="SDATOOL-29998 $ Despliegue SAS AML en BBVA CO"/>
    <n v="0.4"/>
    <s v="Desarrollador"/>
    <m/>
    <x v="1"/>
    <e v="#NAME?"/>
    <m/>
    <m/>
    <m/>
    <m/>
    <m/>
  </r>
  <r>
    <s v="C808788"/>
    <s v="Pena Agudelo Rosario Elena"/>
    <x v="1"/>
    <x v="26"/>
    <s v="BBVA"/>
    <e v="#NAME?"/>
    <s v="SDATOOL-39265 $ Migración Operaciones Fircosoft"/>
    <n v="0.25"/>
    <s v="Desarrollador"/>
    <m/>
    <x v="1"/>
    <e v="#NAME?"/>
    <m/>
    <m/>
    <m/>
    <m/>
    <m/>
  </r>
  <r>
    <s v="C808788"/>
    <s v="Pena Agudelo Rosario Elena"/>
    <x v="1"/>
    <x v="26"/>
    <s v="BBVA"/>
    <e v="#NAME?"/>
    <s v="SDATOOL-39473 $ Actualización de Was 8 a was 9. RBA"/>
    <n v="0.1"/>
    <s v="Desarrollador"/>
    <m/>
    <x v="1"/>
    <e v="#NAME?"/>
    <m/>
    <m/>
    <m/>
    <m/>
    <m/>
  </r>
  <r>
    <s v="C808788"/>
    <s v="Pena Agudelo Rosario Elena"/>
    <x v="1"/>
    <x v="26"/>
    <s v="BBVA"/>
    <e v="#NAME?"/>
    <s v="SDATOOL-39888 $ Proyecto - Evolutivo Sarlaft - Mejoras controles aplicativos"/>
    <n v="0.25"/>
    <s v="Desarrollador"/>
    <m/>
    <x v="1"/>
    <e v="#NAME?"/>
    <m/>
    <m/>
    <m/>
    <m/>
    <m/>
  </r>
  <r>
    <s v="CE70945"/>
    <s v="PENA DIAZ EDGAR SEBASTIAN"/>
    <x v="0"/>
    <x v="8"/>
    <s v="GGI / CMC"/>
    <e v="#NAME?"/>
    <s v="SDATOOL-40482 $ Incluir tasa ponderada en Adquirencia Onboarding digital - Netcash"/>
    <n v="1"/>
    <s v="Desarrollador"/>
    <m/>
    <x v="0"/>
    <e v="#NAME?"/>
    <m/>
    <m/>
    <m/>
    <m/>
    <m/>
  </r>
  <r>
    <s v="CE66910"/>
    <s v="PENAGOS JULIO CESAR"/>
    <x v="0"/>
    <x v="8"/>
    <s v="GGI / CMC"/>
    <e v="#NAME?"/>
    <s v="SDATOOL-40555 $ ADELANTO DE VENTA EN GEMA"/>
    <n v="1"/>
    <s v="Desarrollador"/>
    <m/>
    <x v="0"/>
    <e v="#NAME?"/>
    <m/>
    <m/>
    <m/>
    <m/>
    <m/>
  </r>
  <r>
    <s v="C808875"/>
    <s v="PERDOMO HOYOS YEIMY PAOLA"/>
    <x v="1"/>
    <x v="1"/>
    <s v="BBVA"/>
    <e v="#NAME?"/>
    <s v="SDATOOL-39463 $ GRM Col - Actualización Versión Power Curve."/>
    <n v="1"/>
    <s v="Desarrollador"/>
    <m/>
    <x v="1"/>
    <e v="#NAME?"/>
    <m/>
    <m/>
    <m/>
    <m/>
    <m/>
  </r>
  <r>
    <s v="T007566"/>
    <s v="PINEDA GALLEGO ZAMIR ALEJANDRO"/>
    <x v="0"/>
    <x v="8"/>
    <s v="GGI / CMC"/>
    <e v="#NAME?"/>
    <s v="SDATOOL-40555 $ ADELANTO DE VENTA EN GEMA"/>
    <n v="0.5"/>
    <s v="Desarrollador"/>
    <m/>
    <x v="0"/>
    <e v="#NAME?"/>
    <m/>
    <m/>
    <m/>
    <m/>
    <m/>
  </r>
  <r>
    <s v="T007566"/>
    <s v="PINEDA GALLEGO ZAMIR ALEJANDRO"/>
    <x v="0"/>
    <x v="8"/>
    <s v="GGI / CMC"/>
    <e v="#NAME?"/>
    <s v="SDATOOL-39358 $ Crédito Virtual"/>
    <n v="0.5"/>
    <s v="Desarrollador"/>
    <m/>
    <x v="0"/>
    <e v="#NAME?"/>
    <m/>
    <m/>
    <m/>
    <m/>
    <m/>
  </r>
  <r>
    <s v="T004577"/>
    <s v="PINEDA MAHECHA PABLO ENRIQUE"/>
    <x v="0"/>
    <x v="8"/>
    <s v="GGI / CMC"/>
    <e v="#NAME?"/>
    <s v="NOSDA- BAU $ BAU (Mantenimiento y peq. evolutivos)"/>
    <n v="1"/>
    <s v="Desarrollador"/>
    <m/>
    <x v="0"/>
    <e v="#NAME?"/>
    <m/>
    <m/>
    <m/>
    <m/>
    <m/>
  </r>
  <r>
    <s v="CE58814"/>
    <s v="PINZON VANEGAS MIGUEL ANGEL"/>
    <x v="0"/>
    <x v="8"/>
    <s v="Inetum"/>
    <e v="#NAME?"/>
    <s v="SDATOOL-37169 $ EGS: Salto país y softoken"/>
    <n v="0.25"/>
    <s v="Desarrollador"/>
    <m/>
    <x v="0"/>
    <e v="#NAME?"/>
    <m/>
    <m/>
    <m/>
    <m/>
    <m/>
  </r>
  <r>
    <s v="CE58814"/>
    <s v="PINZON VANEGAS MIGUEL ANGEL"/>
    <x v="0"/>
    <x v="8"/>
    <s v="Inetum"/>
    <e v="#NAME?"/>
    <s v="SDATOOL-40555 $ ADELANTO DE VENTA EN GEMA"/>
    <n v="0.5"/>
    <s v="Desarrollador"/>
    <m/>
    <x v="0"/>
    <e v="#NAME?"/>
    <m/>
    <m/>
    <m/>
    <m/>
    <m/>
  </r>
  <r>
    <s v="CE58814"/>
    <s v="PINZON VANEGAS MIGUEL ANGEL"/>
    <x v="0"/>
    <x v="8"/>
    <s v="Inetum"/>
    <e v="#NAME?"/>
    <s v="SDATOOL-39358 $ Crédito Virtual"/>
    <n v="0.25"/>
    <s v="Desarrollador"/>
    <m/>
    <x v="0"/>
    <e v="#NAME?"/>
    <m/>
    <m/>
    <m/>
    <m/>
    <m/>
  </r>
  <r>
    <s v="CE43579"/>
    <s v="Plinio Eduardo Martinez Espitia"/>
    <x v="3"/>
    <x v="23"/>
    <s v="GGI / CMC"/>
    <e v="#NAME?"/>
    <s v="SDATOOL-9053 $ GloMo Colombia"/>
    <n v="0.5"/>
    <s v="QA"/>
    <m/>
    <x v="0"/>
    <e v="#NAME?"/>
    <m/>
    <m/>
    <m/>
    <m/>
    <m/>
  </r>
  <r>
    <s v="CE43579"/>
    <s v="Plinio Eduardo Martinez Espitia"/>
    <x v="3"/>
    <x v="23"/>
    <s v="GGI / CMC"/>
    <e v="#NAME?"/>
    <s v="NOSDA- BAU $ BAU (Mantenimiento y peq. evolutivos)"/>
    <n v="0.5"/>
    <s v="QA"/>
    <m/>
    <x v="0"/>
    <e v="#NAME?"/>
    <m/>
    <m/>
    <m/>
    <m/>
    <m/>
  </r>
  <r>
    <s v="CE66581"/>
    <s v="POLANCO DANIEL LEONARDO"/>
    <x v="0"/>
    <x v="8"/>
    <s v="GGI / CMC"/>
    <e v="#NAME?"/>
    <s v="SDATOOL-40555 $ ADELANTO DE VENTA EN GEMA"/>
    <n v="1"/>
    <s v="Desarrollador"/>
    <m/>
    <x v="0"/>
    <e v="#NAME?"/>
    <m/>
    <m/>
    <m/>
    <m/>
    <m/>
  </r>
  <r>
    <s v="CE66043"/>
    <s v="QUINTERO GAITÁN CRISTIAN ALBERTO"/>
    <x v="0"/>
    <x v="8"/>
    <s v="GGI / CMC"/>
    <e v="#NAME?"/>
    <s v="SDATOOL-39358 $ Crédito Virtual"/>
    <n v="0.5"/>
    <s v="Desarrollador"/>
    <m/>
    <x v="0"/>
    <e v="#NAME?"/>
    <m/>
    <m/>
    <m/>
    <m/>
    <m/>
  </r>
  <r>
    <s v="CE66043"/>
    <s v="QUINTERO GAITÁN CRISTIAN ALBERTO"/>
    <x v="0"/>
    <x v="8"/>
    <s v="GGI / CMC"/>
    <e v="#NAME?"/>
    <s v="SDATOOL-40482 $ Incluir tasa ponderada en Adquirencia Onboarding digital - Netcash"/>
    <n v="0.5"/>
    <s v="Desarrollador"/>
    <m/>
    <x v="0"/>
    <e v="#NAME?"/>
    <m/>
    <m/>
    <m/>
    <m/>
    <m/>
  </r>
  <r>
    <s v="C804221"/>
    <s v="Quiroz Munoz Bryan Antonio"/>
    <x v="1"/>
    <x v="21"/>
    <s v="BBVA"/>
    <e v="#NAME?"/>
    <s v="SDATOOL-28728 $ Contratación electrónica/digital de empleados y Carpeta Virtual 2.0"/>
    <n v="0.6"/>
    <s v="Desarrollador"/>
    <m/>
    <x v="1"/>
    <e v="#NAME?"/>
    <m/>
    <m/>
    <m/>
    <m/>
    <m/>
  </r>
  <r>
    <s v="C804221"/>
    <s v="Quiroz Munoz Bryan Antonio"/>
    <x v="1"/>
    <x v="21"/>
    <s v="BBVA"/>
    <e v="#NAME?"/>
    <s v="SDATOOL-38487 $ Mensualización Prima"/>
    <n v="0.4"/>
    <s v="Desarrollador"/>
    <m/>
    <x v="1"/>
    <e v="#NAME?"/>
    <m/>
    <m/>
    <m/>
    <m/>
    <m/>
  </r>
  <r>
    <s v="T006644"/>
    <s v="Rafael Bonet"/>
    <x v="3"/>
    <x v="6"/>
    <s v="Neoris"/>
    <e v="#NAME?"/>
    <s v="SDATOOL-9053 $ GloMo Colombia"/>
    <n v="1"/>
    <s v="QA"/>
    <m/>
    <x v="0"/>
    <e v="#NAME?"/>
    <m/>
    <m/>
    <m/>
    <m/>
    <m/>
  </r>
  <r>
    <s v="CE47927"/>
    <s v="Rafael Eduardo Martinez Caceres"/>
    <x v="3"/>
    <x v="6"/>
    <s v="Neoris"/>
    <e v="#NAME?"/>
    <s v="SDATOOL-9053 $ GloMo Colombia"/>
    <n v="1"/>
    <s v="Desarrollador"/>
    <m/>
    <x v="0"/>
    <e v="#NAME?"/>
    <m/>
    <m/>
    <m/>
    <m/>
    <m/>
  </r>
  <r>
    <s v="CE67019"/>
    <s v="Reinaldo Guarin"/>
    <x v="3"/>
    <x v="7"/>
    <s v="GGI / CMC"/>
    <e v="#NAME?"/>
    <s v="SDATOOL-39840 $ BBVA Valores en Canales (Net Cash / Net)"/>
    <n v="1"/>
    <s v="Desarrollador"/>
    <m/>
    <x v="0"/>
    <e v="#NAME?"/>
    <m/>
    <m/>
    <m/>
    <m/>
    <m/>
  </r>
  <r>
    <s v="C808133"/>
    <s v="REMBERTO PRIOLO"/>
    <x v="2"/>
    <x v="3"/>
    <s v="BBVA"/>
    <e v="#NAME?"/>
    <s v="SDATOOL-40555 $ ADELANTO DE VENTA EN GEMA"/>
    <n v="1"/>
    <s v="Desarrollador"/>
    <m/>
    <x v="1"/>
    <e v="#NAME?"/>
    <m/>
    <m/>
    <m/>
    <m/>
    <m/>
  </r>
  <r>
    <s v="C343619"/>
    <s v="REY GOMEZ ANDRES CAMILO"/>
    <x v="1"/>
    <x v="10"/>
    <s v="BBVA"/>
    <e v="#NAME?"/>
    <s v="SDATOOL-36929 $ Ciclo 1 - Resolución 098 de 2020 DIAN - Reportes de Información Exogena"/>
    <n v="0.1"/>
    <s v="Desarrollador"/>
    <m/>
    <x v="1"/>
    <e v="#NAME?"/>
    <m/>
    <m/>
    <m/>
    <m/>
    <m/>
  </r>
  <r>
    <s v="C343619"/>
    <s v="REY GOMEZ ANDRES CAMILO"/>
    <x v="1"/>
    <x v="10"/>
    <s v="BBVA"/>
    <e v="#NAME?"/>
    <s v="SDATOOL-37681 $ Ciclo 2 - Resolución 0098 de Octubre 28 de 2020 - Reportes información Exógena Base Impuestos"/>
    <n v="0.3"/>
    <s v="Desarrollador"/>
    <m/>
    <x v="1"/>
    <e v="#NAME?"/>
    <m/>
    <m/>
    <m/>
    <m/>
    <m/>
  </r>
  <r>
    <s v="C343619"/>
    <s v="REY GOMEZ ANDRES CAMILO"/>
    <x v="1"/>
    <x v="10"/>
    <s v="BBVA"/>
    <e v="#NAME?"/>
    <s v="SDATOOL-40003 $ Resolución 0124 DIAN 2021 - Créditos Hipotecarios para remodelación de Vivienda"/>
    <n v="0.3"/>
    <s v="Desarrollador"/>
    <m/>
    <x v="1"/>
    <e v="#NAME?"/>
    <m/>
    <m/>
    <m/>
    <m/>
    <m/>
  </r>
  <r>
    <s v="C343619"/>
    <s v="REY GOMEZ ANDRES CAMILO"/>
    <x v="1"/>
    <x v="10"/>
    <s v="BBVA"/>
    <e v="#NAME?"/>
    <s v="SDATOOL-40225 $ Resolución 0124 Dian - 2021 - Ajustes para Reporte de Información Exógena año gravable 2022 - Ciclo 1"/>
    <n v="0.3"/>
    <s v="Desarrollador"/>
    <m/>
    <x v="1"/>
    <e v="#NAME?"/>
    <m/>
    <m/>
    <m/>
    <m/>
    <m/>
  </r>
  <r>
    <s v="C808793"/>
    <s v="Rey Orozco Cristian Ivan"/>
    <x v="1"/>
    <x v="1"/>
    <s v="BBVA"/>
    <e v="#NAME?"/>
    <s v="SDATOOL-40710 $ GRM Col - Cronos - Plan Ascenso - Mejoras CAP Pymes Fase II"/>
    <n v="0.8"/>
    <s v="Desarrollador"/>
    <m/>
    <x v="1"/>
    <e v="#NAME?"/>
    <m/>
    <m/>
    <m/>
    <m/>
    <m/>
  </r>
  <r>
    <s v="C808793"/>
    <s v="Rey Orozco Cristian Ivan"/>
    <x v="1"/>
    <x v="1"/>
    <s v="BBVA"/>
    <e v="#NAME?"/>
    <s v="SDATOOL-39826 $ GRM Col- Plan Ascenso - Mejoras en CAP Pymes y disponibilización HdC"/>
    <n v="0.2"/>
    <s v="Desarrollador"/>
    <m/>
    <x v="1"/>
    <e v="#NAME?"/>
    <m/>
    <m/>
    <m/>
    <m/>
    <m/>
  </r>
  <r>
    <s v="C341681"/>
    <s v="RICARDO ALEXANDER CALVO JIMENEZ"/>
    <x v="1"/>
    <x v="1"/>
    <s v="BBVA"/>
    <e v="#NAME?"/>
    <s v="SDATOOL-33846 $ SREP Data Quality- BCBS239 - Colombia"/>
    <n v="1"/>
    <s v="Desarrollador"/>
    <m/>
    <x v="1"/>
    <e v="#NAME?"/>
    <m/>
    <m/>
    <m/>
    <m/>
    <m/>
  </r>
  <r>
    <s v="CE70413"/>
    <s v="RICARDO AMAYA VIANCHA (QA)"/>
    <x v="0"/>
    <x v="22"/>
    <s v="GGI / CMC"/>
    <e v="#NAME?"/>
    <s v="SDATOOL-35327 $ Impuestos 2021"/>
    <n v="0.5"/>
    <s v="QA"/>
    <m/>
    <x v="0"/>
    <e v="#NAME?"/>
    <m/>
    <m/>
    <m/>
    <m/>
    <m/>
  </r>
  <r>
    <s v="CE70413"/>
    <s v="RICARDO AMAYA VIANCHA (QA)"/>
    <x v="0"/>
    <x v="22"/>
    <s v="GGI / CMC"/>
    <e v="#NAME?"/>
    <s v="SDATOOL-37425 $ Recaudo DIAN Tarjetas de Crédito Propio Banco través del Botón de pagos PSE para los canales Banca Personas y Banca de Empresas"/>
    <n v="0.5"/>
    <s v="QA"/>
    <m/>
    <x v="0"/>
    <e v="#NAME?"/>
    <m/>
    <m/>
    <m/>
    <m/>
    <m/>
  </r>
  <r>
    <s v="C342042"/>
    <s v="RICARDO ANDRES CERRATO"/>
    <x v="2"/>
    <x v="5"/>
    <s v="BBVA"/>
    <e v="#NAME?"/>
    <s v="SDATOOL-41757 $ AJUSTE AUTOMATIZACION CONCILIACION ARA"/>
    <n v="0.05"/>
    <s v="Tech Manager/Líder"/>
    <m/>
    <x v="1"/>
    <e v="#NAME?"/>
    <m/>
    <m/>
    <m/>
    <m/>
    <m/>
  </r>
  <r>
    <s v="C342042"/>
    <s v="RICARDO ANDRES CERRATO"/>
    <x v="2"/>
    <x v="5"/>
    <s v="BBVA"/>
    <e v="#NAME?"/>
    <s v="SDATOOL-40295 $ Tokenización COF"/>
    <n v="0.3"/>
    <s v="Tech Manager/Líder"/>
    <m/>
    <x v="1"/>
    <e v="#NAME?"/>
    <m/>
    <m/>
    <m/>
    <m/>
    <m/>
  </r>
  <r>
    <s v="C342042"/>
    <s v="RICARDO ANDRES CERRATO"/>
    <x v="2"/>
    <x v="5"/>
    <s v="BBVA"/>
    <e v="#NAME?"/>
    <s v="SDATOOL-40442 $ M4M - Tokenización Mastercard"/>
    <n v="0.35"/>
    <s v="Tech Manager/Líder"/>
    <m/>
    <x v="1"/>
    <e v="#NAME?"/>
    <m/>
    <m/>
    <m/>
    <m/>
    <m/>
  </r>
  <r>
    <s v="C342042"/>
    <s v="RICARDO ANDRES CERRATO"/>
    <x v="2"/>
    <x v="5"/>
    <s v="BBVA"/>
    <e v="#NAME?"/>
    <s v="SDATOOL-41726 $ EXTRACUPO TARJETA DE CREDITO"/>
    <n v="0.05"/>
    <s v="Tech Manager/Líder"/>
    <m/>
    <x v="1"/>
    <e v="#NAME?"/>
    <m/>
    <m/>
    <m/>
    <m/>
    <m/>
  </r>
  <r>
    <s v="C342042"/>
    <s v="RICARDO ANDRES CERRATO"/>
    <x v="2"/>
    <x v="5"/>
    <s v="BBVA"/>
    <e v="#NAME?"/>
    <s v="SDATOOL-41709 $ Fraccionamiento de transacciones en CBs"/>
    <n v="0.05"/>
    <s v="Tech Manager/Líder"/>
    <m/>
    <x v="1"/>
    <e v="#NAME?"/>
    <m/>
    <m/>
    <m/>
    <m/>
    <m/>
  </r>
  <r>
    <s v="C342042"/>
    <s v="RICARDO ANDRES CERRATO"/>
    <x v="2"/>
    <x v="5"/>
    <s v="BBVA"/>
    <e v="#NAME?"/>
    <s v="SDATOOL-40613 $ Códigos MAC"/>
    <n v="0.1"/>
    <s v="Tech Manager/Líder"/>
    <m/>
    <x v="1"/>
    <e v="#NAME?"/>
    <m/>
    <m/>
    <m/>
    <m/>
    <m/>
  </r>
  <r>
    <s v="C342042"/>
    <s v="RICARDO ANDRES CERRATO"/>
    <x v="2"/>
    <x v="5"/>
    <s v="BBVA"/>
    <e v="#NAME?"/>
    <s v="NOSDA- BAU $ BAU (Mantenimiento y peq. evolutivos)"/>
    <n v="0.1"/>
    <s v="Tech Manager/Líder"/>
    <m/>
    <x v="1"/>
    <e v="#NAME?"/>
    <m/>
    <m/>
    <m/>
    <m/>
    <m/>
  </r>
  <r>
    <s v="C811305"/>
    <s v="Rigoberto Rios Hueso"/>
    <x v="1"/>
    <x v="1"/>
    <s v="BBVA"/>
    <e v="#NAME?"/>
    <s v="SDATOOL-39463 $ GRM Col - Actualización Versión Power Curve."/>
    <n v="0.4"/>
    <s v="Desarrollador"/>
    <m/>
    <x v="1"/>
    <e v="#NAME?"/>
    <m/>
    <m/>
    <m/>
    <m/>
    <m/>
  </r>
  <r>
    <s v="C811305"/>
    <s v="Rigoberto Rios Hueso"/>
    <x v="1"/>
    <x v="1"/>
    <s v="BBVA"/>
    <e v="#NAME?"/>
    <s v="SDATOOL-39826 $ GRM Col- Plan Ascenso - Mejoras en CAP Pymes y disponibilización HdC"/>
    <n v="0.6"/>
    <s v="Desarrollador"/>
    <m/>
    <x v="1"/>
    <e v="#NAME?"/>
    <m/>
    <m/>
    <m/>
    <m/>
    <m/>
  </r>
  <r>
    <s v="C810792"/>
    <s v="ROBER ESNEIDER PARRA POLANIA"/>
    <x v="2"/>
    <x v="5"/>
    <s v="BBVA"/>
    <e v="#NAME?"/>
    <s v="NOSDA- BAU $ BAU (Mantenimiento y peq. evolutivos)"/>
    <n v="0.6"/>
    <s v="Desarrollador"/>
    <m/>
    <x v="1"/>
    <e v="#NAME?"/>
    <m/>
    <m/>
    <m/>
    <m/>
    <m/>
  </r>
  <r>
    <s v="C810792"/>
    <s v="ROBER ESNEIDER PARRA POLANIA"/>
    <x v="2"/>
    <x v="5"/>
    <s v="BBVA"/>
    <e v="#NAME?"/>
    <s v="SDATOOL-39785 $ Segmentación contratos ADN"/>
    <n v="0.4"/>
    <s v="Desarrollador"/>
    <m/>
    <x v="1"/>
    <e v="#NAME?"/>
    <m/>
    <m/>
    <m/>
    <m/>
    <m/>
  </r>
  <r>
    <s v="CE30318"/>
    <s v="ROBERTO ANTONIO MARTINEZ"/>
    <x v="0"/>
    <x v="27"/>
    <s v="KRYPTO"/>
    <e v="#NAME?"/>
    <s v="SDATOOL-36358 $ Pagos por Terceros (Mandato y/o Administración) - Información exógena DIAN - Resolución 0098 DIAN"/>
    <n v="0.25"/>
    <s v="QA"/>
    <m/>
    <x v="0"/>
    <e v="#NAME?"/>
    <m/>
    <m/>
    <m/>
    <m/>
    <m/>
  </r>
  <r>
    <s v="CE30318"/>
    <s v="ROBERTO ANTONIO MARTINEZ"/>
    <x v="0"/>
    <x v="27"/>
    <s v="KRYPTO"/>
    <e v="#NAME?"/>
    <s v="SDATOOL-33847 $ Resolución 0042 DIAN Documento Soporte"/>
    <n v="0.25"/>
    <s v="QA"/>
    <m/>
    <x v="0"/>
    <e v="#NAME?"/>
    <m/>
    <m/>
    <m/>
    <m/>
    <m/>
  </r>
  <r>
    <s v="CE30318"/>
    <s v="ROBERTO ANTONIO MARTINEZ"/>
    <x v="0"/>
    <x v="0"/>
    <s v="KRYPTO"/>
    <e v="#NAME?"/>
    <s v="SDATOOL-37125 $ Factoring - IBR"/>
    <n v="0.1"/>
    <s v="QA"/>
    <m/>
    <x v="0"/>
    <e v="#NAME?"/>
    <m/>
    <m/>
    <m/>
    <m/>
    <m/>
  </r>
  <r>
    <s v="CE30318"/>
    <s v="ROBERTO ANTONIO MARTINEZ"/>
    <x v="0"/>
    <x v="0"/>
    <s v="KRYPTO"/>
    <e v="#NAME?"/>
    <s v="SDATOOL-36547 $ PLAN MAYOR -PLAN MENOR. Plan ascenso Open Market"/>
    <n v="0.15"/>
    <s v="QA"/>
    <m/>
    <x v="0"/>
    <e v="#NAME?"/>
    <m/>
    <m/>
    <m/>
    <m/>
    <m/>
  </r>
  <r>
    <s v="CE30318"/>
    <s v="ROBERTO ANTONIO MARTINEZ"/>
    <x v="0"/>
    <x v="0"/>
    <s v="KRYPTO"/>
    <e v="#NAME?"/>
    <s v="NOSDA- BAU $ BAU (Mantenimiento y peq. evolutivos)"/>
    <n v="0.25"/>
    <s v="QA"/>
    <m/>
    <x v="0"/>
    <e v="#NAME?"/>
    <m/>
    <m/>
    <m/>
    <m/>
    <m/>
  </r>
  <r>
    <s v="T000361"/>
    <s v="RODRIGO BARBIERI PEREZ"/>
    <x v="2"/>
    <x v="3"/>
    <s v="Globant"/>
    <e v="#NAME?"/>
    <s v="SDATOOL-36548 $ Optimización consumo web - Plan ascenso Open Market"/>
    <n v="0.7"/>
    <s v="Desarrollador"/>
    <m/>
    <x v="0"/>
    <e v="#NAME?"/>
    <m/>
    <m/>
    <m/>
    <m/>
    <m/>
  </r>
  <r>
    <s v="T000361"/>
    <s v="RODRIGO BARBIERI PEREZ"/>
    <x v="2"/>
    <x v="3"/>
    <s v="Globant"/>
    <e v="#NAME?"/>
    <s v="SDATOOL-39272 $ GRM-Col-Cambio servicio APL (Aportes en línea)"/>
    <n v="0.3"/>
    <s v="Desarrollador"/>
    <m/>
    <x v="0"/>
    <e v="#NAME?"/>
    <m/>
    <m/>
    <m/>
    <m/>
    <m/>
  </r>
  <r>
    <s v="CE60509"/>
    <s v="RODRIGUEZ RIVERA ANDRES CAMILO"/>
    <x v="0"/>
    <x v="8"/>
    <s v="GGI / CMC"/>
    <e v="#NAME?"/>
    <s v="SDATOOL-40516 $ Filial Valores - BBVA Valores en Canales (Net Cash / Net)"/>
    <n v="1"/>
    <s v="Desarrollador"/>
    <m/>
    <x v="0"/>
    <e v="#NAME?"/>
    <m/>
    <m/>
    <m/>
    <m/>
    <m/>
  </r>
  <r>
    <s v="CE65214"/>
    <s v="Roger Arias"/>
    <x v="3"/>
    <x v="6"/>
    <s v="SII"/>
    <e v="#NAME?"/>
    <s v="SDATOOL-9053 $ GloMo Colombia"/>
    <n v="1"/>
    <s v="Desarrollador"/>
    <m/>
    <x v="0"/>
    <e v="#NAME?"/>
    <m/>
    <m/>
    <m/>
    <m/>
    <m/>
  </r>
  <r>
    <s v="O000471"/>
    <s v="RONAL ALBERTO TABORDA MORENO "/>
    <x v="2"/>
    <x v="12"/>
    <s v="BBVA"/>
    <e v="#NAME?"/>
    <s v="SDATOOL-38757 $ Modelo administrativo de oficina - Omnicanalidad"/>
    <n v="1"/>
    <s v="Desarrollador"/>
    <m/>
    <x v="1"/>
    <e v="#NAME?"/>
    <m/>
    <m/>
    <m/>
    <m/>
    <m/>
  </r>
  <r>
    <s v="C809501"/>
    <s v="RONALD ANTONIO ROMERO MONSALVE"/>
    <x v="0"/>
    <x v="18"/>
    <s v="BBVA"/>
    <e v="#NAME?"/>
    <s v="SDATOOL-40528 $ ETPB - SENDA PAGOS"/>
    <n v="1"/>
    <s v="Desarrollador"/>
    <m/>
    <x v="1"/>
    <e v="#NAME?"/>
    <m/>
    <m/>
    <m/>
    <m/>
    <m/>
  </r>
  <r>
    <s v="CE58625"/>
    <s v="Ronald David Lara Hernandez"/>
    <x v="1"/>
    <x v="10"/>
    <s v="GGI / CMC"/>
    <e v="#NAME?"/>
    <s v="SDATOOL-40225 $ Resolución 0124 Dian - 2021 - Ajustes para Reporte de Información Exógena año gravable 2022 - Ciclo 1"/>
    <n v="1"/>
    <s v="Desarrollador"/>
    <m/>
    <x v="0"/>
    <e v="#NAME?"/>
    <m/>
    <m/>
    <m/>
    <m/>
    <m/>
  </r>
  <r>
    <s v="CE47376"/>
    <s v="RUBEN DARIO DIAZ"/>
    <x v="3"/>
    <x v="4"/>
    <s v="Neoris"/>
    <e v="#NAME?"/>
    <s v="SDATOOL-40690 $ Plan CRM: Mejoras AUG (Banca Comercial y CSF) Equipo B"/>
    <n v="1"/>
    <s v="Desarrollador"/>
    <m/>
    <x v="0"/>
    <e v="#NAME?"/>
    <m/>
    <m/>
    <m/>
    <m/>
    <m/>
  </r>
  <r>
    <s v="CE47376"/>
    <s v="RUBEN DARIO DIAZ"/>
    <x v="3"/>
    <x v="4"/>
    <s v="Neoris"/>
    <e v="#NAME?"/>
    <s v="NOSDA- BAU $ BAU (Mantenimiento y peq. evolutivos)"/>
    <n v="0.1"/>
    <s v="Desarrollador"/>
    <m/>
    <x v="0"/>
    <e v="#NAME?"/>
    <m/>
    <m/>
    <m/>
    <m/>
    <m/>
  </r>
  <r>
    <s v="C343126"/>
    <s v="RUBERTH SAN MIGUEL PEREZ"/>
    <x v="2"/>
    <x v="3"/>
    <s v="BBVA"/>
    <e v="#NAME?"/>
    <s v="SDATOOL-33846 $ SREP Data Quality- BCBS239 - Colombia"/>
    <n v="1"/>
    <s v="Desarrollador"/>
    <m/>
    <x v="1"/>
    <e v="#NAME?"/>
    <m/>
    <m/>
    <m/>
    <m/>
    <m/>
  </r>
  <r>
    <s v="C810813"/>
    <s v="Rubiano Marin William Eduardo"/>
    <x v="3"/>
    <x v="4"/>
    <s v="BBVA"/>
    <e v="#NAME?"/>
    <s v="SDATOOL-40672 $ Plan CRM: Mejoras AUG (Banca Comercial y CSF) Equipo A"/>
    <n v="0.7"/>
    <s v="Desarrollador"/>
    <m/>
    <x v="1"/>
    <e v="#NAME?"/>
    <m/>
    <m/>
    <m/>
    <m/>
    <m/>
  </r>
  <r>
    <s v="C810813"/>
    <s v="Rubiano Marin William Eduardo"/>
    <x v="3"/>
    <x v="4"/>
    <s v="BBVA"/>
    <e v="#NAME?"/>
    <s v="NOSDA- BAU $ BAU (Mantenimiento y peq. evolutivos)"/>
    <n v="0.2"/>
    <s v="Desarrollador"/>
    <m/>
    <x v="1"/>
    <e v="#NAME?"/>
    <m/>
    <m/>
    <m/>
    <m/>
    <m/>
  </r>
  <r>
    <s v="C810813"/>
    <s v="Rubiano Marin William Eduardo"/>
    <x v="3"/>
    <x v="4"/>
    <s v="BBVA"/>
    <e v="#NAME?"/>
    <s v="SDATOOL-39272 $ Cambio servicio APL (Aportes en línea)- Integración AUG con nuevo motor laboral (OVI)"/>
    <n v="0.1"/>
    <s v="Desarrollador"/>
    <m/>
    <x v="1"/>
    <e v="#NAME?"/>
    <m/>
    <m/>
    <m/>
    <m/>
    <m/>
  </r>
  <r>
    <s v="T002010"/>
    <s v="SAIR GIOVANNY GARCIA BEJARANO"/>
    <x v="3"/>
    <x v="4"/>
    <s v="Neoris"/>
    <e v="#NAME?"/>
    <s v="SDATOOL-40672 $ Plan CRM: Mejoras AUG (Banca Comercial y CSF) Equipo A"/>
    <n v="1"/>
    <s v="Desarrollador"/>
    <m/>
    <x v="0"/>
    <e v="#NAME?"/>
    <m/>
    <m/>
    <m/>
    <m/>
    <m/>
  </r>
  <r>
    <s v="O002178"/>
    <s v="SAMIR DE JESUS QUICENO BERMUDEZ"/>
    <x v="3"/>
    <x v="25"/>
    <s v="BBVA"/>
    <e v="#NAME?"/>
    <s v="NOSDA- BAU $ BAU (Mantenimiento y peq. evolutivos)"/>
    <n v="1"/>
    <s v="Desarrollador"/>
    <m/>
    <x v="1"/>
    <e v="#NAME?"/>
    <m/>
    <m/>
    <m/>
    <m/>
    <m/>
  </r>
  <r>
    <s v="CE62617"/>
    <s v="SANCHEZ RUBIO CRISTIAN STIVEN"/>
    <x v="0"/>
    <x v="8"/>
    <s v="GGI / CMC"/>
    <e v="#NAME?"/>
    <s v="SDATOOL-40555 $ ADELANTO DE VENTA EN GEMA"/>
    <n v="1"/>
    <s v="Desarrollador"/>
    <m/>
    <x v="0"/>
    <e v="#NAME?"/>
    <m/>
    <m/>
    <m/>
    <m/>
    <m/>
  </r>
  <r>
    <s v="C801586"/>
    <s v="Sandra Liliana Sanchez Pulido"/>
    <x v="0"/>
    <x v="27"/>
    <s v="BBVA"/>
    <e v="#NAME?"/>
    <s v="NOSDA- BAU $ BAU (Mantenimiento y peq. evolutivos)"/>
    <n v="1"/>
    <s v="Tech Manager/Líder"/>
    <m/>
    <x v="1"/>
    <e v="#NAME?"/>
    <m/>
    <m/>
    <m/>
    <m/>
    <m/>
  </r>
  <r>
    <s v="C805720"/>
    <s v="Sandra Patricia Redondo Huertas"/>
    <x v="3"/>
    <x v="6"/>
    <s v="BBVA"/>
    <e v="#NAME?"/>
    <s v="NOSDA- BAU $ BAU (Mantenimiento y peq. evolutivos)"/>
    <n v="1"/>
    <s v="Desarrollador"/>
    <m/>
    <x v="1"/>
    <e v="#NAME?"/>
    <m/>
    <m/>
    <m/>
    <m/>
    <m/>
  </r>
  <r>
    <s v="CE66251"/>
    <s v="SANTIAGO A SANTOS ESTRADA"/>
    <x v="4"/>
    <x v="9"/>
    <s v="GGI / CMC"/>
    <e v="#NAME?"/>
    <s v="SDATOOL-38735 $ Dynamic Pricing"/>
    <n v="0.5"/>
    <s v="QA"/>
    <m/>
    <x v="0"/>
    <e v="#NAME?"/>
    <m/>
    <m/>
    <m/>
    <m/>
    <m/>
  </r>
  <r>
    <s v="CE66251"/>
    <s v="SANTIAGO A SANTOS ESTRADA"/>
    <x v="4"/>
    <x v="9"/>
    <s v="GGI / CMC"/>
    <e v="#NAME?"/>
    <s v="NOSDA- BAU $ BAU (Mantenimiento y peq. evolutivos)"/>
    <n v="0.5"/>
    <s v="QA"/>
    <m/>
    <x v="0"/>
    <e v="#NAME?"/>
    <m/>
    <m/>
    <m/>
    <m/>
    <m/>
  </r>
  <r>
    <s v="CE64378"/>
    <s v="Santiago Alejandro Corredor "/>
    <x v="4"/>
    <x v="14"/>
    <s v="Tecnoevolución"/>
    <e v="#NAME?"/>
    <s v="SDATOOL-33907 $ Manejo Fiscal Prima o Descuento Renta Fija"/>
    <n v="0.9"/>
    <s v="Desarrollador"/>
    <m/>
    <x v="0"/>
    <e v="#NAME?"/>
    <m/>
    <m/>
    <m/>
    <m/>
    <m/>
  </r>
  <r>
    <s v="CE64378"/>
    <s v="Santiago Alejandro Corredor "/>
    <x v="4"/>
    <x v="14"/>
    <s v="Tecnoevolución"/>
    <e v="#NAME?"/>
    <s v="SDATOOL-40545 $ GRM Col - Mejoras Evolutivas de Aplicativos y Herramientas de Riesgos 2023"/>
    <n v="0.1"/>
    <s v="Desarrollador"/>
    <m/>
    <x v="0"/>
    <e v="#NAME?"/>
    <m/>
    <m/>
    <m/>
    <m/>
    <m/>
  </r>
  <r>
    <s v="C811282"/>
    <s v="Santiago Galindo Gutierrez"/>
    <x v="3"/>
    <x v="16"/>
    <s v="BBVA"/>
    <e v="#NAME?"/>
    <s v="SDATOOL-38419 $ Contratación cuenta en línea en Glomo"/>
    <n v="1"/>
    <s v="Desarrollador"/>
    <m/>
    <x v="1"/>
    <e v="#NAME?"/>
    <m/>
    <m/>
    <m/>
    <m/>
    <m/>
  </r>
  <r>
    <s v="CE69265"/>
    <s v="Santiago Martinez"/>
    <x v="3"/>
    <x v="7"/>
    <s v="Choucair"/>
    <e v="#NAME?"/>
    <s v="SDATOOL-9053 $ GloMo Colombia"/>
    <n v="1"/>
    <s v="QA"/>
    <m/>
    <x v="0"/>
    <e v="#NAME?"/>
    <m/>
    <m/>
    <m/>
    <m/>
    <m/>
  </r>
  <r>
    <s v="CE66579"/>
    <s v="Santiago Molina"/>
    <x v="3"/>
    <x v="6"/>
    <s v="GGI / CMC"/>
    <e v="#NAME?"/>
    <s v="SDATOOL-9053 $ GloMo Colombia"/>
    <n v="1"/>
    <s v="QA"/>
    <m/>
    <x v="0"/>
    <e v="#NAME?"/>
    <m/>
    <m/>
    <m/>
    <m/>
    <m/>
  </r>
  <r>
    <s v="CE71120"/>
    <s v="Santiago Montoya"/>
    <x v="3"/>
    <x v="6"/>
    <s v="Accenture"/>
    <e v="#NAME?"/>
    <s v="SDATOOL-9053 $ GloMo Colombia"/>
    <n v="1"/>
    <s v="Desarrollador"/>
    <m/>
    <x v="0"/>
    <e v="#NAME?"/>
    <m/>
    <m/>
    <m/>
    <m/>
    <m/>
  </r>
  <r>
    <s v="CE55865"/>
    <s v="Santiago Pulido Calderon"/>
    <x v="3"/>
    <x v="16"/>
    <s v="GGI / CMC"/>
    <e v="#NAME?"/>
    <s v="SDATOOL-36048 $ Repositorio flujos  ventas digitales flujos - Plan Ascenso Open Market"/>
    <n v="1"/>
    <s v="Desarrollador"/>
    <m/>
    <x v="0"/>
    <e v="#NAME?"/>
    <m/>
    <m/>
    <m/>
    <m/>
    <m/>
  </r>
  <r>
    <s v="CE66796"/>
    <s v="SANTIAGO SALAS CARRERA"/>
    <x v="1"/>
    <x v="21"/>
    <s v="Novatec"/>
    <e v="#NAME?"/>
    <s v="SDATOOL-28728 $ Contratación electrónica/digital de empleados y Carpeta Virtual 2.0"/>
    <n v="0.8"/>
    <s v="Desarrollador"/>
    <m/>
    <x v="0"/>
    <e v="#NAME?"/>
    <m/>
    <m/>
    <m/>
    <m/>
    <m/>
  </r>
  <r>
    <s v="CE66796"/>
    <s v="SANTIAGO SALAS CARRERA"/>
    <x v="2"/>
    <x v="2"/>
    <s v="SII"/>
    <e v="#NAME?"/>
    <s v="SDATOOL-33065 $ Remesas BTS"/>
    <n v="0.2"/>
    <s v="Desarrollador"/>
    <m/>
    <x v="0"/>
    <e v="#NAME?"/>
    <m/>
    <m/>
    <m/>
    <m/>
    <m/>
  </r>
  <r>
    <s v="CE68026"/>
    <s v="SDATOOL-27736 $ Proyecto Plan de Transformación de Datos (PTD)se"/>
    <x v="0"/>
    <x v="18"/>
    <s v="GGI / CMC"/>
    <e v="#NAME?"/>
    <s v="SDATOOL-40457 $ SENDA (Base)"/>
    <n v="1"/>
    <s v="Desarrollador"/>
    <m/>
    <x v="0"/>
    <e v="#NAME?"/>
    <m/>
    <m/>
    <m/>
    <m/>
    <m/>
  </r>
  <r>
    <s v="C810818"/>
    <s v="SERGIO ALEJANDRO NUÑEZ MENDIVELSO"/>
    <x v="4"/>
    <x v="9"/>
    <s v="BBVA"/>
    <e v="#NAME?"/>
    <s v="SDATOOL-40269 $ Actualización y transmisión Declaraciones de Cambio – Banco de la República Abril 2022."/>
    <n v="1"/>
    <s v="Desarrollador"/>
    <m/>
    <x v="1"/>
    <e v="#NAME?"/>
    <m/>
    <m/>
    <m/>
    <m/>
    <m/>
  </r>
  <r>
    <s v="CE70178 "/>
    <s v="SERGIO ANDRES BRAVO ROMERO"/>
    <x v="0"/>
    <x v="15"/>
    <s v="Neoris"/>
    <e v="#NAME?"/>
    <s v="SDATOOL-39354 $ My business Open Pay - Plan Ascenso Mercurio"/>
    <n v="1"/>
    <s v="Desarrollador"/>
    <m/>
    <x v="0"/>
    <e v="#NAME?"/>
    <m/>
    <m/>
    <m/>
    <m/>
    <m/>
  </r>
  <r>
    <s v="O002482"/>
    <s v="SERGIO ANDRES SEPULVEDA CRUZ"/>
    <x v="1"/>
    <x v="1"/>
    <s v="BBVA"/>
    <e v="#NAME?"/>
    <s v="SDATOOL-39272 $ GRM-Col-Cambio servicio APL (Aportes en línea)"/>
    <n v="0.3"/>
    <s v="Desarrollador"/>
    <m/>
    <x v="1"/>
    <e v="#NAME?"/>
    <m/>
    <m/>
    <m/>
    <m/>
    <m/>
  </r>
  <r>
    <s v="O002482"/>
    <s v="SERGIO ANDRES SEPULVEDA CRUZ"/>
    <x v="1"/>
    <x v="1"/>
    <s v="BBVA"/>
    <e v="#NAME?"/>
    <s v="SDATOOL-33862 $ NDoD Accounting"/>
    <n v="0.4"/>
    <s v="Desarrollador"/>
    <m/>
    <x v="1"/>
    <e v="#NAME?"/>
    <m/>
    <m/>
    <m/>
    <m/>
    <m/>
  </r>
  <r>
    <s v="O002482"/>
    <s v="SERGIO ANDRES SEPULVEDA CRUZ"/>
    <x v="1"/>
    <x v="1"/>
    <s v="BBVA"/>
    <e v="#NAME?"/>
    <s v="SDATOOL-41203 $ Obsolescencia Aplicativa 2023"/>
    <n v="0.3"/>
    <s v="Desarrollador"/>
    <m/>
    <x v="1"/>
    <e v="#NAME?"/>
    <m/>
    <m/>
    <m/>
    <m/>
    <m/>
  </r>
  <r>
    <s v="C803916"/>
    <s v="SERGIO EDUARDO MARTINEZ"/>
    <x v="3"/>
    <x v="6"/>
    <s v="BBVA"/>
    <e v="#NAME?"/>
    <s v="NOSDA- BAU $ BAU (Mantenimiento y peq. evolutivos)"/>
    <n v="0.25"/>
    <s v="Tech Manager/Líder"/>
    <m/>
    <x v="1"/>
    <e v="#NAME?"/>
    <m/>
    <m/>
    <m/>
    <m/>
    <m/>
  </r>
  <r>
    <s v="C803916"/>
    <s v="SERGIO EDUARDO MARTINEZ"/>
    <x v="3"/>
    <x v="6"/>
    <s v="BBVA"/>
    <e v="#NAME?"/>
    <s v="SDATOOL-9053 $ GloMo Colombia"/>
    <n v="0.75"/>
    <s v="Tech Manager/Líder"/>
    <m/>
    <x v="1"/>
    <e v="#NAME?"/>
    <m/>
    <m/>
    <m/>
    <m/>
    <m/>
  </r>
  <r>
    <s v="C805937"/>
    <s v="SERGIO IVAN SANCHEZ PLAZAS"/>
    <x v="3"/>
    <x v="16"/>
    <s v="BBVA"/>
    <e v="#NAME?"/>
    <s v="SDATOOL-36048 $ Repositorio flujos  ventas digitales flujos - Plan Ascenso Open Market"/>
    <n v="1"/>
    <s v="Desarrollador"/>
    <m/>
    <x v="1"/>
    <e v="#NAME?"/>
    <m/>
    <m/>
    <m/>
    <m/>
    <m/>
  </r>
  <r>
    <s v="C805683"/>
    <s v="SERGIO LEONARDO MENDOZA GASCA"/>
    <x v="4"/>
    <x v="9"/>
    <s v="BBVA"/>
    <e v="#NAME?"/>
    <s v="SDATOOL-38735 $ Dynamic Pricing"/>
    <n v="1"/>
    <s v="Desarrollador"/>
    <m/>
    <x v="1"/>
    <e v="#NAME?"/>
    <m/>
    <m/>
    <m/>
    <m/>
    <m/>
  </r>
  <r>
    <s v="CE69114"/>
    <s v="SERGIO LUIS DIAZ TORO"/>
    <x v="0"/>
    <x v="0"/>
    <s v="DIMENSION"/>
    <e v="#NAME?"/>
    <s v="NOSDA- BAU $ BAU (Mantenimiento y peq. evolutivos)"/>
    <n v="1"/>
    <s v="Desarrollador"/>
    <m/>
    <x v="0"/>
    <e v="#NAME?"/>
    <m/>
    <m/>
    <m/>
    <m/>
    <m/>
  </r>
  <r>
    <s v="CE67850"/>
    <s v="Sergio Mercado"/>
    <x v="3"/>
    <x v="6"/>
    <s v="Accenture"/>
    <e v="#NAME?"/>
    <s v="SDATOOL-9053 $ GloMo Colombia"/>
    <n v="1"/>
    <s v="QA"/>
    <m/>
    <x v="0"/>
    <e v="#NAME?"/>
    <m/>
    <m/>
    <m/>
    <m/>
    <m/>
  </r>
  <r>
    <s v="CE51433"/>
    <s v="SERGIO OSWALDO ROJAS BERNAL  "/>
    <x v="2"/>
    <x v="12"/>
    <s v="Choucair"/>
    <e v="#NAME?"/>
    <s v="SDATOOL-37134 $ Oferta proactiva de segundo producto desde el momento cero - Plan Ascenso Cross Sell"/>
    <n v="1"/>
    <s v="Desarrollador"/>
    <m/>
    <x v="0"/>
    <e v="#NAME?"/>
    <m/>
    <m/>
    <m/>
    <m/>
    <m/>
  </r>
  <r>
    <s v="T007886"/>
    <s v="SILVA ROMERO JULIAN DAVID"/>
    <x v="0"/>
    <x v="8"/>
    <s v="GGI / CMC"/>
    <e v="#NAME?"/>
    <s v="SDATOOL-40555 $ ADELANTO DE VENTA EN GEMA"/>
    <n v="1"/>
    <s v="Desarrollador"/>
    <m/>
    <x v="0"/>
    <e v="#NAME?"/>
    <m/>
    <m/>
    <m/>
    <m/>
    <m/>
  </r>
  <r>
    <s v="T003924"/>
    <s v="Stefan Nicolas Aponte Murcia"/>
    <x v="1"/>
    <x v="1"/>
    <s v="GGI / CMC"/>
    <e v="#NAME?"/>
    <s v="SDATOOL-40710 $ GRM Col - Cronos - Plan Ascenso - Mejoras CAP Pymes Fase II"/>
    <n v="0.6"/>
    <s v="Desarrollador"/>
    <m/>
    <x v="0"/>
    <e v="#NAME?"/>
    <m/>
    <m/>
    <m/>
    <m/>
    <m/>
  </r>
  <r>
    <s v="T003924"/>
    <s v="Stefan Nicolas Aponte Murcia"/>
    <x v="1"/>
    <x v="1"/>
    <s v="GGI / CMC"/>
    <e v="#NAME?"/>
    <s v="SDATOOL-39830 $ GRM Col - Plan Ascenso - Mejoras CAP Pymes"/>
    <n v="0.4"/>
    <s v="Desarrollador"/>
    <m/>
    <x v="0"/>
    <e v="#NAME?"/>
    <m/>
    <m/>
    <m/>
    <m/>
    <m/>
  </r>
  <r>
    <s v="C804805"/>
    <s v="STEFANY CAROLINA MEDINA VILLADIENGO"/>
    <x v="2"/>
    <x v="17"/>
    <s v="BBVA"/>
    <e v="#NAME?"/>
    <s v="SDATOOL-38742 $ Gestor Documental Retail"/>
    <n v="1"/>
    <s v="Desarrollador"/>
    <m/>
    <x v="1"/>
    <e v="#NAME?"/>
    <m/>
    <m/>
    <m/>
    <m/>
    <m/>
  </r>
  <r>
    <s v="CE69992"/>
    <s v="Stephany L Ceron Salas"/>
    <x v="3"/>
    <x v="16"/>
    <s v="Globant"/>
    <e v="#NAME?"/>
    <s v="SDATOOL-38419 $ Contratación cuenta en línea en Glomo"/>
    <n v="1"/>
    <s v="Desarrollador"/>
    <m/>
    <x v="0"/>
    <e v="#NAME?"/>
    <m/>
    <m/>
    <m/>
    <m/>
    <m/>
  </r>
  <r>
    <s v="Pend"/>
    <s v="Stiven Carrillo"/>
    <x v="3"/>
    <x v="6"/>
    <s v="SII"/>
    <e v="#NAME?"/>
    <s v="SDATOOL-9053 $ GloMo Colombia"/>
    <n v="1"/>
    <s v="Desarrollador"/>
    <m/>
    <x v="0"/>
    <e v="#NAME?"/>
    <m/>
    <m/>
    <m/>
    <m/>
    <m/>
  </r>
  <r>
    <s v="O002757"/>
    <s v="SUSANA ANDREA PARRA CABRERA"/>
    <x v="2"/>
    <x v="2"/>
    <s v="BBVA"/>
    <e v="#NAME?"/>
    <s v="SDATOOL-33065 $ Remesas BTS"/>
    <n v="0.5"/>
    <s v="Desarrollador"/>
    <m/>
    <x v="1"/>
    <e v="#NAME?"/>
    <m/>
    <m/>
    <m/>
    <m/>
    <m/>
  </r>
  <r>
    <s v="O002757"/>
    <s v="SUSANA ANDREA PARRA CABRERA"/>
    <x v="2"/>
    <x v="2"/>
    <s v="BBVA"/>
    <e v="#NAME?"/>
    <s v="SDATOOL-41950 $ Migracion GMF-MQ Series"/>
    <n v="0.5"/>
    <s v="Desarrollador"/>
    <m/>
    <x v="1"/>
    <e v="#NAME?"/>
    <m/>
    <m/>
    <m/>
    <m/>
    <m/>
  </r>
  <r>
    <s v="O000103"/>
    <s v="TATIANA  PAOLA PEREIRA RIOS"/>
    <x v="2"/>
    <x v="5"/>
    <s v="BBVA"/>
    <e v="#NAME?"/>
    <s v="SDATOOL-40455 $ Comisión porcentaje compras internacionales Mastercard y Visa Fase 2"/>
    <n v="0.5"/>
    <s v="Desarrollador"/>
    <m/>
    <x v="1"/>
    <e v="#NAME?"/>
    <m/>
    <m/>
    <m/>
    <m/>
    <m/>
  </r>
  <r>
    <s v="O000103"/>
    <s v="TATIANA  PAOLA PEREIRA RIOS"/>
    <x v="2"/>
    <x v="5"/>
    <s v="BBVA"/>
    <e v="#NAME?"/>
    <s v="NOSDA- BAU $ BAU (Mantenimiento y peq. evolutivos)"/>
    <n v="0.5"/>
    <s v="Desarrollador"/>
    <m/>
    <x v="1"/>
    <e v="#NAME?"/>
    <m/>
    <m/>
    <m/>
    <m/>
    <m/>
  </r>
  <r>
    <s v="O002593"/>
    <s v="TATIANA CAROLINA AVELLANEDA"/>
    <x v="3"/>
    <x v="16"/>
    <s v="BBVA"/>
    <e v="#NAME?"/>
    <s v="SDATOOL-37055 $ Cash In - Recarga PSE en cuenta de ahorro, cuenta corriente y dinero móvil"/>
    <n v="0.6"/>
    <s v="Tech Manager/Líder"/>
    <m/>
    <x v="1"/>
    <e v="#NAME?"/>
    <m/>
    <m/>
    <m/>
    <m/>
    <m/>
  </r>
  <r>
    <s v="O002593"/>
    <s v="TATIANA CAROLINA AVELLANEDA"/>
    <x v="3"/>
    <x v="16"/>
    <s v="BBVA"/>
    <e v="#NAME?"/>
    <s v="SDATOOL-39197 $ Tealeaf SaaS"/>
    <n v="0.3"/>
    <s v="Tech Manager/Líder"/>
    <m/>
    <x v="1"/>
    <e v="#NAME?"/>
    <m/>
    <m/>
    <m/>
    <m/>
    <m/>
  </r>
  <r>
    <s v="O002593"/>
    <s v="TATIANA CAROLINA AVELLANEDA"/>
    <x v="3"/>
    <x v="16"/>
    <s v="BBVA"/>
    <e v="#NAME?"/>
    <s v="NOSDA- BAU $ BAU (Mantenimiento y peq. evolutivos)"/>
    <n v="0.1"/>
    <s v="Tech Manager/Líder"/>
    <m/>
    <x v="1"/>
    <e v="#NAME?"/>
    <m/>
    <m/>
    <m/>
    <m/>
    <m/>
  </r>
  <r>
    <s v="C805385"/>
    <s v="TATIANA SANCHEZ MONROY"/>
    <x v="2"/>
    <x v="3"/>
    <s v="BBVA"/>
    <e v="#NAME?"/>
    <s v="SDATOOL-34910 $ Libranza Digital"/>
    <n v="1"/>
    <s v="Desarrollador"/>
    <m/>
    <x v="1"/>
    <e v="#NAME?"/>
    <m/>
    <m/>
    <m/>
    <m/>
    <m/>
  </r>
  <r>
    <s v="T007666"/>
    <s v="TEDDY JEFERSON POVEDA SARAY"/>
    <x v="0"/>
    <x v="15"/>
    <s v="GGI / CMC"/>
    <e v="#NAME?"/>
    <s v="SDATOOL-32905 $ Global Enterprises Mobile App (GEMA)"/>
    <n v="1"/>
    <s v="Desarrollador"/>
    <m/>
    <x v="0"/>
    <e v="#NAME?"/>
    <m/>
    <m/>
    <m/>
    <m/>
    <m/>
  </r>
  <r>
    <s v="T009939"/>
    <s v="THALIA VALENTINA MANRIQUE BELLO"/>
    <x v="0"/>
    <x v="18"/>
    <s v="Neoris"/>
    <e v="#NAME?"/>
    <s v="SDATOOL-40528 $ ETPB - SENDA PAGOS"/>
    <n v="1"/>
    <s v="Desarrollador"/>
    <m/>
    <x v="0"/>
    <e v="#NAME?"/>
    <m/>
    <m/>
    <m/>
    <m/>
    <m/>
  </r>
  <r>
    <s v="C811372"/>
    <s v="TORRES CASTILLO JOAN SEBASTIÁN"/>
    <x v="0"/>
    <x v="8"/>
    <s v="BBVA"/>
    <e v="#NAME?"/>
    <s v="SDATOOL-40555 $ ADELANTO DE VENTA EN GEMA"/>
    <n v="0.25"/>
    <s v="Desarrollador"/>
    <m/>
    <x v="1"/>
    <e v="#NAME?"/>
    <m/>
    <m/>
    <m/>
    <m/>
    <m/>
  </r>
  <r>
    <s v="C811372"/>
    <s v="TORRES CASTILLO JOAN SEBASTIÁN"/>
    <x v="0"/>
    <x v="8"/>
    <s v="BBVA"/>
    <e v="#NAME?"/>
    <s v="SDATOOL-37169 $ EGS: Salto país y softoken"/>
    <n v="0.5"/>
    <s v="Desarrollador"/>
    <m/>
    <x v="1"/>
    <e v="#NAME?"/>
    <m/>
    <m/>
    <m/>
    <m/>
    <m/>
  </r>
  <r>
    <s v="C811372"/>
    <s v="TORRES CASTILLO JOAN SEBASTIÁN"/>
    <x v="0"/>
    <x v="8"/>
    <s v="BBVA"/>
    <e v="#NAME?"/>
    <s v="SDATOOL-40482 $ Incluir tasa ponderada en Adquirencia Onboarding digital - Netcash"/>
    <n v="0.25"/>
    <s v="Desarrollador"/>
    <m/>
    <x v="1"/>
    <e v="#NAME?"/>
    <m/>
    <m/>
    <m/>
    <m/>
    <m/>
  </r>
  <r>
    <s v="C805333"/>
    <s v="Torres Laguado Juan Sebastian"/>
    <x v="1"/>
    <x v="21"/>
    <s v="BBVA"/>
    <e v="#NAME?"/>
    <s v="SDATOOL-28728 $ Contratación electrónica/digital de empleados y Carpeta Virtual 2.0"/>
    <n v="0.8"/>
    <s v="Desarrollador"/>
    <m/>
    <x v="1"/>
    <e v="#NAME?"/>
    <m/>
    <m/>
    <m/>
    <m/>
    <m/>
  </r>
  <r>
    <s v="C805333"/>
    <s v="Torres Laguado Juan Sebastian"/>
    <x v="1"/>
    <x v="21"/>
    <s v="BBVA"/>
    <e v="#NAME?"/>
    <s v="SDATOOL-37765 $ Optimización operativa S&amp;C"/>
    <n v="0.2"/>
    <s v="Desarrollador"/>
    <m/>
    <x v="1"/>
    <e v="#NAME?"/>
    <m/>
    <m/>
    <m/>
    <m/>
    <m/>
  </r>
  <r>
    <s v="T005244"/>
    <s v="TOVAR VELASQUEZ MEYER"/>
    <x v="1"/>
    <x v="1"/>
    <s v="Neoris"/>
    <e v="#NAME?"/>
    <s v="SDATOOL-40710 $ GRM Col - Cronos - Plan Ascenso - Mejoras CAP Pymes Fase II"/>
    <n v="0.45"/>
    <s v="Desarrollador"/>
    <m/>
    <x v="0"/>
    <e v="#NAME?"/>
    <m/>
    <m/>
    <m/>
    <m/>
    <m/>
  </r>
  <r>
    <s v="T005244"/>
    <s v="TOVAR VELASQUEZ MEYER"/>
    <x v="1"/>
    <x v="1"/>
    <s v="Neoris"/>
    <e v="#NAME?"/>
    <s v="SDATOOL-39830 $ GRM Col - Plan Ascenso - Mejoras CAP Pymes"/>
    <n v="0.15"/>
    <s v="Desarrollador"/>
    <m/>
    <x v="0"/>
    <e v="#NAME?"/>
    <m/>
    <m/>
    <m/>
    <m/>
    <m/>
  </r>
  <r>
    <s v="T005244"/>
    <s v="TOVAR VELASQUEZ MEYER"/>
    <x v="1"/>
    <x v="1"/>
    <s v="Neoris"/>
    <e v="#NAME?"/>
    <s v="SDATOOL-39826 $ GRM Col- Plan Ascenso - Mejoras en CAP Pymes y disponibilización HdC"/>
    <n v="0.2"/>
    <s v="Desarrollador"/>
    <m/>
    <x v="0"/>
    <e v="#NAME?"/>
    <m/>
    <m/>
    <m/>
    <m/>
    <m/>
  </r>
  <r>
    <s v="T005244"/>
    <s v="TOVAR VELASQUEZ MEYER"/>
    <x v="1"/>
    <x v="1"/>
    <s v="Neoris"/>
    <e v="#NAME?"/>
    <s v="SDATOOL-38443 $ Arce Empresas Colombia"/>
    <n v="0.2"/>
    <s v="Desarrollador"/>
    <m/>
    <x v="0"/>
    <e v="#NAME?"/>
    <m/>
    <m/>
    <m/>
    <m/>
    <m/>
  </r>
  <r>
    <s v="CE66182"/>
    <s v="Umaña Montenegro Juan Martin"/>
    <x v="0"/>
    <x v="27"/>
    <s v="Inetum"/>
    <e v="#NAME?"/>
    <s v="NOSDA- BAU $ BAU (Mantenimiento y peq. evolutivos)"/>
    <n v="1"/>
    <s v="Desarrollador"/>
    <m/>
    <x v="0"/>
    <e v="#NAME?"/>
    <m/>
    <m/>
    <m/>
    <m/>
    <m/>
  </r>
  <r>
    <s v="O003311"/>
    <s v="VACA BERNAL JAIRO ALEXIS"/>
    <x v="1"/>
    <x v="10"/>
    <s v="BBVA"/>
    <e v="#NAME?"/>
    <s v="SDATOOL-32520 $ CDD Based Reporting - Colombia"/>
    <n v="0.65"/>
    <s v="Desarrollador"/>
    <m/>
    <x v="1"/>
    <e v="#NAME?"/>
    <m/>
    <m/>
    <m/>
    <m/>
    <m/>
  </r>
  <r>
    <s v="O003311"/>
    <s v="VACA BERNAL JAIRO ALEXIS"/>
    <x v="1"/>
    <x v="10"/>
    <s v="BBVA"/>
    <e v="#NAME?"/>
    <s v="SDATOOL-40869 $ Herramientas Regulatorias Regionales (FINREP/AE y Liquidez) 2023"/>
    <n v="0.05"/>
    <s v="Desarrollador"/>
    <m/>
    <x v="1"/>
    <e v="#NAME?"/>
    <m/>
    <m/>
    <m/>
    <m/>
    <m/>
  </r>
  <r>
    <s v="O003311"/>
    <s v="VACA BERNAL JAIRO ALEXIS"/>
    <x v="1"/>
    <x v="10"/>
    <s v="BBVA"/>
    <e v="#NAME?"/>
    <s v="SDATOOL-40529 $ Aplicativos Finanzas - 2023"/>
    <n v="0.25"/>
    <s v="Desarrollador"/>
    <m/>
    <x v="1"/>
    <e v="#NAME?"/>
    <m/>
    <m/>
    <m/>
    <m/>
    <m/>
  </r>
  <r>
    <s v="O003311"/>
    <s v="VACA BERNAL JAIRO ALEXIS"/>
    <x v="1"/>
    <x v="10"/>
    <s v="BBVA"/>
    <e v="#NAME?"/>
    <s v="SDATOOL-40694 $ Marca PYMES consumo APRS"/>
    <n v="0.05"/>
    <s v="Desarrollador"/>
    <m/>
    <x v="1"/>
    <e v="#NAME?"/>
    <m/>
    <m/>
    <m/>
    <m/>
    <m/>
  </r>
  <r>
    <s v="C809517"/>
    <s v="Vargas Perez Wendy Maritza"/>
    <x v="1"/>
    <x v="1"/>
    <s v="BBVA"/>
    <e v="#NAME?"/>
    <s v="SDATOOL-40545 $ GRM Col - Mejoras Evolutivas de Aplicativos y Herramientas de Riesgos 2023"/>
    <n v="0.5"/>
    <s v="Desarrollador"/>
    <s v="Endeudamiento paralelo"/>
    <x v="1"/>
    <e v="#NAME?"/>
    <m/>
    <m/>
    <m/>
    <m/>
    <m/>
  </r>
  <r>
    <s v="C809517"/>
    <s v="Vargas Perez Wendy Maritza"/>
    <x v="1"/>
    <x v="1"/>
    <s v="BBVA"/>
    <e v="#NAME?"/>
    <s v="SDATOOL-39836 $ Vivienda digital fase III"/>
    <n v="0.5"/>
    <s v="Desarrollador"/>
    <m/>
    <x v="1"/>
    <e v="#NAME?"/>
    <m/>
    <m/>
    <m/>
    <m/>
    <m/>
  </r>
  <r>
    <s v="CE56879"/>
    <s v="Victor Hans De La Cruz Quispe"/>
    <x v="1"/>
    <x v="10"/>
    <s v="BLUETAB"/>
    <e v="#NAME?"/>
    <s v="SDATOOL-33846 $ SREP Data Quality- BCBS239 - Colombia"/>
    <n v="1"/>
    <s v="Desarrollador"/>
    <m/>
    <x v="0"/>
    <e v="#NAME?"/>
    <m/>
    <m/>
    <m/>
    <m/>
    <m/>
  </r>
  <r>
    <s v="C343114"/>
    <s v="VICTOR HUGO DIAZ CERON"/>
    <x v="3"/>
    <x v="6"/>
    <s v="BBVA"/>
    <e v="#NAME?"/>
    <s v="SDATOOL-9053 $ GloMo Colombia"/>
    <n v="1"/>
    <s v="Desarrollador"/>
    <m/>
    <x v="1"/>
    <e v="#NAME?"/>
    <m/>
    <m/>
    <m/>
    <m/>
    <m/>
  </r>
  <r>
    <s v="C811395"/>
    <s v="VICTOR MANUEL PEREZ CONTRERAS"/>
    <x v="0"/>
    <x v="15"/>
    <s v="BBVA"/>
    <e v="#NAME?"/>
    <s v="SDATOOL-32905 $ Global Enterprises Mobile App (GEMA)"/>
    <n v="1"/>
    <s v="Desarrollador"/>
    <m/>
    <x v="1"/>
    <e v="#NAME?"/>
    <m/>
    <m/>
    <m/>
    <m/>
    <m/>
  </r>
  <r>
    <s v="C782744"/>
    <s v="VICTOR WILSON AREVALO MARTIN"/>
    <x v="4"/>
    <x v="9"/>
    <s v="BBVA"/>
    <e v="#NAME?"/>
    <s v="SDATOOL-41206 $ Ordenes de pago recibidas (OPR)"/>
    <n v="0.5"/>
    <s v="Desarrollador"/>
    <m/>
    <x v="1"/>
    <e v="#NAME?"/>
    <m/>
    <m/>
    <m/>
    <m/>
    <m/>
  </r>
  <r>
    <s v="C782744"/>
    <s v="VICTOR WILSON AREVALO MARTIN"/>
    <x v="4"/>
    <x v="9"/>
    <s v="BBVA"/>
    <e v="#NAME?"/>
    <s v="SDATOOL-37114 $ Actualización Botón pagos PSE versión 2.0"/>
    <n v="0.5"/>
    <s v="Desarrollador"/>
    <m/>
    <x v="1"/>
    <e v="#NAME?"/>
    <m/>
    <m/>
    <m/>
    <m/>
    <m/>
  </r>
  <r>
    <s v="CE24417"/>
    <s v="VIVIAN JUALINY  ESPITIA BENITEZ"/>
    <x v="2"/>
    <x v="2"/>
    <s v="KRYPTO"/>
    <e v="#NAME?"/>
    <s v="SDATOOL-37344 $ Automatización Operaciones en Efectivo"/>
    <n v="0.5"/>
    <s v="QA"/>
    <s v="Tester"/>
    <x v="0"/>
    <e v="#NAME?"/>
    <m/>
    <m/>
    <m/>
    <m/>
    <m/>
  </r>
  <r>
    <s v="CE24417"/>
    <s v="VIVIAN JUALINY  ESPITIA BENITEZ"/>
    <x v="2"/>
    <x v="2"/>
    <s v="KRYPTO"/>
    <e v="#NAME?"/>
    <s v="NOSDA- BAU $ BAU (Mantenimiento y peq. evolutivos)"/>
    <n v="0.5"/>
    <s v="QA"/>
    <s v="Tester"/>
    <x v="0"/>
    <e v="#NAME?"/>
    <m/>
    <m/>
    <m/>
    <m/>
    <m/>
  </r>
  <r>
    <s v="C803834"/>
    <s v="VIVIANA ALARCON TORRES"/>
    <x v="1"/>
    <x v="10"/>
    <s v="BBVA"/>
    <e v="#NAME?"/>
    <s v="SDATOOL-33862 $ NDoD Accounting"/>
    <n v="0.4"/>
    <s v="Desarrollador"/>
    <m/>
    <x v="1"/>
    <e v="#NAME?"/>
    <m/>
    <m/>
    <m/>
    <m/>
    <m/>
  </r>
  <r>
    <s v="C803834"/>
    <s v="VIVIANA ALARCON TORRES"/>
    <x v="1"/>
    <x v="10"/>
    <s v="BBVA"/>
    <e v="#NAME?"/>
    <s v="SDATOOL-37483 $ Aplicativos Finanzas - 2022"/>
    <n v="0.2"/>
    <s v="Desarrollador"/>
    <s v="ALM"/>
    <x v="1"/>
    <e v="#NAME?"/>
    <m/>
    <m/>
    <m/>
    <m/>
    <m/>
  </r>
  <r>
    <s v="C803834"/>
    <s v="VIVIANA ALARCON TORRES"/>
    <x v="1"/>
    <x v="10"/>
    <s v="BBVA"/>
    <e v="#NAME?"/>
    <s v="SDATOOL-32520 $ CDD Based Reporting - Colombia"/>
    <n v="0.2"/>
    <s v="Desarrollador"/>
    <s v="Pilar III"/>
    <x v="1"/>
    <e v="#NAME?"/>
    <m/>
    <m/>
    <m/>
    <m/>
    <m/>
  </r>
  <r>
    <s v="C803834"/>
    <s v="VIVIANA ALARCON TORRES"/>
    <x v="1"/>
    <x v="10"/>
    <s v="BBVA"/>
    <e v="#NAME?"/>
    <s v="SDATOOL-40529 $ Aplicativos Finanzas - 2023"/>
    <n v="0.2"/>
    <s v="Desarrollador"/>
    <s v="Nexus"/>
    <x v="1"/>
    <e v="#NAME?"/>
    <m/>
    <m/>
    <m/>
    <m/>
    <m/>
  </r>
  <r>
    <s v="T004566"/>
    <s v="Walther Mauricio Guerrero"/>
    <x v="1"/>
    <x v="10"/>
    <s v="GGI / CMC"/>
    <e v="#NAME?"/>
    <s v="SDATOOL-38583 $ FUSIONES Y ACTUALIZACION DE IDENTIFICACIONES"/>
    <n v="1"/>
    <s v="Desarrollador"/>
    <m/>
    <x v="0"/>
    <e v="#NAME?"/>
    <m/>
    <m/>
    <m/>
    <m/>
    <m/>
  </r>
  <r>
    <s v="C804684"/>
    <s v="WALTHER STIVENS ZAPATA TABERA"/>
    <x v="3"/>
    <x v="23"/>
    <s v="BBVA"/>
    <e v="#NAME?"/>
    <s v="NOSDA- BAU $ BAU (Mantenimiento y peq. evolutivos)"/>
    <n v="1"/>
    <s v="Desarrollador"/>
    <m/>
    <x v="1"/>
    <e v="#NAME?"/>
    <m/>
    <m/>
    <m/>
    <m/>
    <m/>
  </r>
  <r>
    <s v="C808282"/>
    <s v="WBEIMAR MURILLO"/>
    <x v="2"/>
    <x v="5"/>
    <s v="BBVA"/>
    <e v="#NAME?"/>
    <s v="NOSDA- BAU $ BAU (Mantenimiento y peq. evolutivos)"/>
    <n v="0.2"/>
    <s v="Desarrollador"/>
    <m/>
    <x v="1"/>
    <e v="#NAME?"/>
    <m/>
    <m/>
    <m/>
    <m/>
    <m/>
  </r>
  <r>
    <s v="C808282"/>
    <s v="WBEIMAR MURILLO"/>
    <x v="2"/>
    <x v="5"/>
    <s v="BBVA"/>
    <e v="#NAME?"/>
    <s v="SDATOOL-40442 $ M4M - Tokenización Mastercard"/>
    <n v="0.8"/>
    <s v="Desarrollador"/>
    <m/>
    <x v="1"/>
    <e v="#NAME?"/>
    <m/>
    <m/>
    <m/>
    <m/>
    <m/>
  </r>
  <r>
    <s v="C811315"/>
    <s v="Wilian Eduardo Lozano Beltran"/>
    <x v="1"/>
    <x v="1"/>
    <s v="BBVA"/>
    <e v="#NAME?"/>
    <s v="SDATOOL-39272 $ GRM-Col-Cambio servicio APL (Aportes en línea)"/>
    <n v="0.3"/>
    <s v="Desarrollador"/>
    <m/>
    <x v="1"/>
    <e v="#NAME?"/>
    <m/>
    <m/>
    <m/>
    <m/>
    <m/>
  </r>
  <r>
    <s v="C811315"/>
    <s v="Wilian Eduardo Lozano Beltran"/>
    <x v="1"/>
    <x v="1"/>
    <s v="BBVA"/>
    <e v="#NAME?"/>
    <s v="SDATOOL-39836 $ Vivienda digital fase III"/>
    <n v="0.25"/>
    <s v="Desarrollador"/>
    <m/>
    <x v="1"/>
    <e v="#NAME?"/>
    <m/>
    <m/>
    <m/>
    <m/>
    <m/>
  </r>
  <r>
    <s v="C811315"/>
    <s v="Wilian Eduardo Lozano Beltran"/>
    <x v="1"/>
    <x v="1"/>
    <s v="BBVA"/>
    <e v="#NAME?"/>
    <s v="SDATOOL-42098 $ GRM Col CRONOS Batch - Campañas SMeS"/>
    <n v="0.05"/>
    <s v="Desarrollador"/>
    <m/>
    <x v="1"/>
    <e v="#NAME?"/>
    <m/>
    <m/>
    <m/>
    <m/>
    <m/>
  </r>
  <r>
    <s v="C811315"/>
    <s v="Wilian Eduardo Lozano Beltran"/>
    <x v="1"/>
    <x v="1"/>
    <s v="BBVA"/>
    <e v="#NAME?"/>
    <s v="SDATOOL-41203 $ Obsolescencia Aplicativa 2023"/>
    <n v="0.4"/>
    <s v="Desarrollador"/>
    <m/>
    <x v="1"/>
    <e v="#NAME?"/>
    <m/>
    <m/>
    <m/>
    <m/>
    <m/>
  </r>
  <r>
    <s v="CE57920"/>
    <s v="WILLIAM ARMANDO BONILLA ACUÑA"/>
    <x v="2"/>
    <x v="3"/>
    <s v="Inetum"/>
    <e v="#NAME?"/>
    <s v="SDATOOL-39786 $ Sostenibilidad Colombia Fase 2"/>
    <n v="1"/>
    <s v="QA"/>
    <m/>
    <x v="0"/>
    <e v="#NAME?"/>
    <m/>
    <m/>
    <m/>
    <m/>
    <m/>
  </r>
  <r>
    <s v="C810827"/>
    <s v="WILLIAM CAMILO RUBIO QUINTERO"/>
    <x v="0"/>
    <x v="15"/>
    <s v="BBVA"/>
    <e v="#NAME?"/>
    <s v="SDATOOL-32905 $ Global Enterprises Mobile App (GEMA)"/>
    <n v="0.5"/>
    <s v="Tech Manager/Líder"/>
    <m/>
    <x v="1"/>
    <e v="#NAME?"/>
    <m/>
    <m/>
    <m/>
    <m/>
    <m/>
  </r>
  <r>
    <s v="C810827"/>
    <s v="WILLIAM CAMILO RUBIO QUINTERO"/>
    <x v="0"/>
    <x v="15"/>
    <s v="BBVA"/>
    <e v="#NAME?"/>
    <s v="SDATOOL-41448 $ Compra de divisas mediante APP Empresas GEMA"/>
    <n v="0.5"/>
    <s v="Tech Manager/Líder"/>
    <m/>
    <x v="1"/>
    <e v="#NAME?"/>
    <m/>
    <m/>
    <m/>
    <m/>
    <m/>
  </r>
  <r>
    <s v="C808769"/>
    <s v="WILLIAM FERNANDO ALARCON"/>
    <x v="0"/>
    <x v="22"/>
    <s v="BBVA"/>
    <e v="#NAME?"/>
    <s v="SDATOOL-37129 $ Conciliación Recaudo PSE"/>
    <n v="1"/>
    <s v="Desarrollador"/>
    <m/>
    <x v="1"/>
    <e v="#NAME?"/>
    <m/>
    <m/>
    <m/>
    <m/>
    <m/>
  </r>
  <r>
    <s v="C343581"/>
    <s v="WILLIAM JAVIER VILLAMIL ZAPATA "/>
    <x v="0"/>
    <x v="22"/>
    <s v="BBVA"/>
    <e v="#NAME?"/>
    <s v="SDATOOL-37130 $ Pago y domiciliación de recaudo"/>
    <n v="0.75"/>
    <s v="Desarrollador"/>
    <m/>
    <x v="1"/>
    <e v="#NAME?"/>
    <m/>
    <m/>
    <m/>
    <m/>
    <m/>
  </r>
  <r>
    <s v="C343581"/>
    <s v="WILLIAM JAVIER VILLAMIL ZAPATA "/>
    <x v="0"/>
    <x v="22"/>
    <s v="BBVA"/>
    <e v="#NAME?"/>
    <s v="NOSDA- BAU $ BAU (Mantenimiento y peq. evolutivos)"/>
    <n v="0.25"/>
    <s v="Desarrollador"/>
    <m/>
    <x v="1"/>
    <e v="#NAME?"/>
    <m/>
    <m/>
    <m/>
    <m/>
    <m/>
  </r>
  <r>
    <s v="C343509"/>
    <s v="WILLIAM LEONARDO ESPITIA FRANCO"/>
    <x v="2"/>
    <x v="5"/>
    <s v="BBVA"/>
    <e v="#NAME?"/>
    <s v="SDATOOL-40384 $ Cobrar intereses corrientes entre la transacción y la pre-cancelación"/>
    <n v="1"/>
    <s v="Desarrollador"/>
    <m/>
    <x v="1"/>
    <e v="#NAME?"/>
    <m/>
    <m/>
    <m/>
    <m/>
    <m/>
  </r>
  <r>
    <s v="CE69031"/>
    <s v="WILLIAM ROBERTO MORA BERNAL"/>
    <x v="0"/>
    <x v="27"/>
    <s v="KRYPTO"/>
    <e v="#NAME?"/>
    <s v="SDATOOL-36358 $ Pagos por Terceros (Mandato y/o Administración) - Información exógena DIAN - Resolución 0098 DIAN"/>
    <n v="0.125"/>
    <s v="QA"/>
    <m/>
    <x v="0"/>
    <e v="#NAME?"/>
    <m/>
    <m/>
    <m/>
    <m/>
    <m/>
  </r>
  <r>
    <s v="CE69031"/>
    <s v="WILLIAM ROBERTO MORA BERNAL"/>
    <x v="0"/>
    <x v="27"/>
    <s v="KRYPTO"/>
    <e v="#NAME?"/>
    <s v="SDATOOL-33847 $ Resolución 0042 DIAN Documento Soporte"/>
    <n v="0.125"/>
    <s v="QA"/>
    <m/>
    <x v="0"/>
    <e v="#NAME?"/>
    <m/>
    <m/>
    <m/>
    <m/>
    <m/>
  </r>
  <r>
    <s v="CE69031"/>
    <s v="WILLIAM ROBERTO MORA BERNAL"/>
    <x v="0"/>
    <x v="0"/>
    <s v="KRYPTO"/>
    <e v="#NAME?"/>
    <s v="SDATOOL-36547 $ PLAN MAYOR -PLAN MENOR. Plan ascenso Open Market"/>
    <n v="0.25"/>
    <s v="QA"/>
    <m/>
    <x v="0"/>
    <e v="#NAME?"/>
    <m/>
    <m/>
    <m/>
    <m/>
    <m/>
  </r>
  <r>
    <s v="CE69031"/>
    <s v="WILLIAM ROBERTO MORA BERNAL"/>
    <x v="0"/>
    <x v="27"/>
    <s v="KRYPTO"/>
    <e v="#NAME?"/>
    <s v="NOSDA- BAU $ BAU (Mantenimiento y peq. evolutivos)"/>
    <n v="0.25"/>
    <s v="QA"/>
    <m/>
    <x v="0"/>
    <e v="#NAME?"/>
    <m/>
    <m/>
    <m/>
    <m/>
    <m/>
  </r>
  <r>
    <s v="CE69031"/>
    <s v="WILLIAM ROBERTO MORA BERNAL"/>
    <x v="0"/>
    <x v="0"/>
    <s v="KRYPTO"/>
    <e v="#NAME?"/>
    <s v="NOSDA- BAU $ BAU (Mantenimiento y peq. evolutivos)"/>
    <n v="0.25"/>
    <s v="QA"/>
    <m/>
    <x v="0"/>
    <e v="#NAME?"/>
    <m/>
    <m/>
    <m/>
    <m/>
    <m/>
  </r>
  <r>
    <s v="O003083"/>
    <s v="WILMAR ALBERTO ROMERO"/>
    <x v="2"/>
    <x v="2"/>
    <s v="BBVA"/>
    <e v="#NAME?"/>
    <s v="SDATOOL-38419 $ Contratación cuenta en línea en Glomo"/>
    <n v="1"/>
    <s v="Desarrollador"/>
    <m/>
    <x v="1"/>
    <e v="#NAME?"/>
    <m/>
    <m/>
    <m/>
    <m/>
    <m/>
  </r>
  <r>
    <s v="C811390"/>
    <s v="WILMAR CRUZ MORA"/>
    <x v="0"/>
    <x v="15"/>
    <s v="BBVA"/>
    <e v="#NAME?"/>
    <s v="NOSDA- BAU $ BAU (Mantenimiento y peq. evolutivos)"/>
    <n v="1"/>
    <s v="Desarrollador"/>
    <m/>
    <x v="1"/>
    <e v="#NAME?"/>
    <m/>
    <m/>
    <m/>
    <m/>
    <m/>
  </r>
  <r>
    <s v="CE14662"/>
    <s v="WILMER AUGUSTO PEREZ NIÑO"/>
    <x v="4"/>
    <x v="14"/>
    <s v="Tecnoevolución"/>
    <e v="#NAME?"/>
    <s v="NOSDA- BAU $ BAU (Mantenimiento y peq. evolutivos)"/>
    <n v="1"/>
    <s v="Desarrollador"/>
    <m/>
    <x v="0"/>
    <e v="#NAME?"/>
    <m/>
    <m/>
    <m/>
    <m/>
    <m/>
  </r>
  <r>
    <s v="C811371"/>
    <s v="Wilson Daniel Bulla Martinez"/>
    <x v="2"/>
    <x v="20"/>
    <s v="BBVA"/>
    <e v="#NAME?"/>
    <s v="NOSDA- BAU $ BAU (Mantenimiento y peq. evolutivos)"/>
    <n v="1"/>
    <s v="Desarrollador"/>
    <s v="operación"/>
    <x v="1"/>
    <e v="#NAME?"/>
    <m/>
    <m/>
    <m/>
    <m/>
    <m/>
  </r>
  <r>
    <s v="CE53295"/>
    <s v="WILSON DELFIN MONDRAGON AMAYA"/>
    <x v="2"/>
    <x v="2"/>
    <s v="SII"/>
    <e v="#NAME?"/>
    <s v="NOSDA- BAU $ BAU (Mantenimiento y peq. evolutivos)"/>
    <n v="0.2"/>
    <s v="Desarrollador"/>
    <s v="Líder Fábrica"/>
    <x v="0"/>
    <e v="#NAME?"/>
    <m/>
    <m/>
    <m/>
    <m/>
    <m/>
  </r>
  <r>
    <s v="O002304"/>
    <s v="WILVER MARTINEZ ALVARADO"/>
    <x v="0"/>
    <x v="22"/>
    <s v="BBVA"/>
    <e v="#NAME?"/>
    <s v="SDATOOL-38770 $ Marcación y cobro de comisiones PSE"/>
    <n v="1"/>
    <s v="Desarrollador"/>
    <m/>
    <x v="1"/>
    <e v="#NAME?"/>
    <m/>
    <m/>
    <m/>
    <m/>
    <m/>
  </r>
  <r>
    <s v="C796552"/>
    <s v="YADIRA COBOS ROMERO"/>
    <x v="3"/>
    <x v="7"/>
    <s v="BBVA"/>
    <e v="#NAME?"/>
    <s v="NOSDA- BAU $ BAU (Mantenimiento y peq. evolutivos)"/>
    <n v="0.2"/>
    <s v="Tech Manager/Líder"/>
    <m/>
    <x v="1"/>
    <e v="#NAME?"/>
    <m/>
    <m/>
    <m/>
    <m/>
    <m/>
  </r>
  <r>
    <s v="C796552"/>
    <s v="YADIRA COBOS ROMERO"/>
    <x v="3"/>
    <x v="7"/>
    <s v="BBVA"/>
    <e v="#NAME?"/>
    <s v="SDATOOL-38527 $ Pagaré Electrónico en flujos de Contratación digital"/>
    <n v="0.2"/>
    <s v="Tech Manager/Líder"/>
    <m/>
    <x v="1"/>
    <e v="#NAME?"/>
    <m/>
    <m/>
    <m/>
    <m/>
    <m/>
  </r>
  <r>
    <s v="C796552"/>
    <s v="YADIRA COBOS ROMERO"/>
    <x v="3"/>
    <x v="7"/>
    <s v="BBVA"/>
    <e v="#NAME?"/>
    <s v="SDATOOL-39246 $ Nuevo tipo de identificación para extranjeros"/>
    <n v="0.2"/>
    <s v="Tech Manager/Líder"/>
    <m/>
    <x v="1"/>
    <e v="#NAME?"/>
    <m/>
    <m/>
    <m/>
    <m/>
    <m/>
  </r>
  <r>
    <s v="C796552"/>
    <s v="YADIRA COBOS ROMERO"/>
    <x v="3"/>
    <x v="7"/>
    <s v="BBVA"/>
    <e v="#NAME?"/>
    <s v="SDATOOL-39834 $ Recaudo en Línea Secretaría de Hacienda Distrital - Fase II:  Solución paramétrica de recaudos para la inclusión de 7 formularios tributarios en Canales electrónicos Web y Corresponsal Bancario."/>
    <n v="0.2"/>
    <s v="Tech Manager/Líder"/>
    <m/>
    <x v="1"/>
    <e v="#NAME?"/>
    <m/>
    <m/>
    <m/>
    <m/>
    <m/>
  </r>
  <r>
    <s v="C796552"/>
    <s v="YADIRA COBOS ROMERO"/>
    <x v="3"/>
    <x v="7"/>
    <s v="BBVA"/>
    <e v="#NAME?"/>
    <s v="SDATOOL-39840 $ BBVA Valores en Canales (Net Cash / Net)"/>
    <n v="0.2"/>
    <s v="Tech Manager/Líder"/>
    <m/>
    <x v="1"/>
    <e v="#NAME?"/>
    <m/>
    <m/>
    <m/>
    <m/>
    <m/>
  </r>
  <r>
    <s v="C796552"/>
    <s v="YADIRA COBOS ROMERO"/>
    <x v="3"/>
    <x v="7"/>
    <s v="BBVA"/>
    <e v="#NAME?"/>
    <s v="SDATOOL-9053 $ GloMo Colombia"/>
    <n v="0.2"/>
    <s v="Tech Manager/Líder"/>
    <m/>
    <x v="1"/>
    <e v="#NAME?"/>
    <m/>
    <m/>
    <m/>
    <m/>
    <m/>
  </r>
  <r>
    <s v="CE67315"/>
    <s v="YEFERSON OCHOA"/>
    <x v="4"/>
    <x v="9"/>
    <s v="Accenture"/>
    <e v="#NAME?"/>
    <s v="SDATOOL-39217 $ Aplicativos Tesorería 2022"/>
    <n v="1"/>
    <s v="Desarrollador"/>
    <m/>
    <x v="0"/>
    <e v="#NAME?"/>
    <m/>
    <m/>
    <m/>
    <m/>
    <m/>
  </r>
  <r>
    <s v="C808856"/>
    <s v="YEHIN STIVEN PATIÑO"/>
    <x v="0"/>
    <x v="22"/>
    <s v="BBVA"/>
    <e v="#NAME?"/>
    <s v="SDATOOL-31340 $ Intercambio Electrónico de Archivos ACH y Cenit"/>
    <n v="0.5"/>
    <s v="Desarrollador"/>
    <m/>
    <x v="1"/>
    <e v="#NAME?"/>
    <m/>
    <m/>
    <m/>
    <m/>
    <m/>
  </r>
  <r>
    <s v="C808856"/>
    <s v="YEHIN STIVEN PATIÑO"/>
    <x v="0"/>
    <x v="22"/>
    <s v="BBVA"/>
    <e v="#NAME?"/>
    <s v="SDATOOL-40528 $ ETPB - SENDA PAGOS"/>
    <n v="0.5"/>
    <s v="Desarrollador"/>
    <m/>
    <x v="1"/>
    <e v="#NAME?"/>
    <m/>
    <m/>
    <m/>
    <m/>
    <m/>
  </r>
  <r>
    <s v="CE67889"/>
    <s v="YEIMY PATRICIA PELAEZ ARENAS"/>
    <x v="0"/>
    <x v="0"/>
    <s v="Choucair"/>
    <e v="#NAME?"/>
    <s v="SDATOOL-36547 $ PLAN MAYOR -PLAN MENOR. Plan ascenso Open Market"/>
    <n v="0.75"/>
    <s v="QA"/>
    <m/>
    <x v="0"/>
    <e v="#NAME?"/>
    <m/>
    <m/>
    <m/>
    <m/>
    <m/>
  </r>
  <r>
    <s v="CE67889"/>
    <s v="YEIMY PATRICIA PELAEZ ARENAS"/>
    <x v="0"/>
    <x v="0"/>
    <s v="Choucair"/>
    <e v="#NAME?"/>
    <s v="SDATOOL-37125 $ Factoring - IBR"/>
    <n v="0.25"/>
    <s v="QA"/>
    <m/>
    <x v="0"/>
    <e v="#NAME?"/>
    <m/>
    <m/>
    <m/>
    <m/>
    <m/>
  </r>
  <r>
    <s v="T002011"/>
    <s v="YEIMY TATIANA ZAMORA GUEVARA"/>
    <x v="0"/>
    <x v="0"/>
    <s v="Choucair"/>
    <e v="#NAME?"/>
    <s v="SDATOOL-37125 $ Factoring - IBR"/>
    <n v="1"/>
    <s v="QA"/>
    <m/>
    <x v="0"/>
    <e v="#NAME?"/>
    <m/>
    <m/>
    <m/>
    <m/>
    <m/>
  </r>
  <r>
    <s v="T010288"/>
    <s v="yeison andres consuegra vega"/>
    <x v="1"/>
    <x v="21"/>
    <s v="Novatec"/>
    <e v="#NAME?"/>
    <s v="SDATOOL-28728 $ Contratación electrónica/digital de empleados y Carpeta Virtual 2.0"/>
    <n v="1"/>
    <s v="Desarrollador"/>
    <m/>
    <x v="0"/>
    <e v="#NAME?"/>
    <m/>
    <m/>
    <m/>
    <m/>
    <m/>
  </r>
  <r>
    <s v="C810668"/>
    <s v="YEISSON FABIAN GUALDRON VIVAS"/>
    <x v="3"/>
    <x v="16"/>
    <s v="BBVA"/>
    <e v="#NAME?"/>
    <s v="SDATOOL-36548 $ Optimización consumo web - Plan ascenso Open Market"/>
    <n v="1"/>
    <s v="Desarrollador"/>
    <m/>
    <x v="1"/>
    <e v="#NAME?"/>
    <m/>
    <m/>
    <m/>
    <m/>
    <m/>
  </r>
  <r>
    <s v="O000191"/>
    <s v="Yelitza Andrea Bohorquez Bedoya"/>
    <x v="3"/>
    <x v="4"/>
    <s v="BBVA"/>
    <e v="#NAME?"/>
    <s v="SDATOOL-40690 $ Plan CRM: Mejoras AUG (Banca Comercial y CSF) Equipo B"/>
    <n v="1"/>
    <s v="Desarrollador"/>
    <m/>
    <x v="1"/>
    <e v="#NAME?"/>
    <m/>
    <m/>
    <m/>
    <m/>
    <m/>
  </r>
  <r>
    <s v="CE68929"/>
    <s v="Yenifer Arango Tabares"/>
    <x v="3"/>
    <x v="19"/>
    <s v="Choucair"/>
    <e v="#NAME?"/>
    <s v="SDATOOL-37100 $ Soluciones de voz/Internalización del IVR - Plan Ascenso Privado"/>
    <n v="1"/>
    <s v="QA"/>
    <m/>
    <x v="0"/>
    <e v="#NAME?"/>
    <m/>
    <m/>
    <m/>
    <m/>
    <m/>
  </r>
  <r>
    <s v="T005749"/>
    <s v="YESICA DANIELA VARGAS ESPITIA"/>
    <x v="1"/>
    <x v="10"/>
    <s v="BLUETAB"/>
    <e v="#NAME?"/>
    <s v="SDATOOL-37483 $ Aplicativos Finanzas - 2022"/>
    <n v="1"/>
    <s v="Desarrollador"/>
    <m/>
    <x v="0"/>
    <e v="#NAME?"/>
    <m/>
    <m/>
    <m/>
    <m/>
    <m/>
  </r>
  <r>
    <s v="O001980"/>
    <s v="YESID ALEXANDER ROA VEGA"/>
    <x v="3"/>
    <x v="7"/>
    <s v="BBVA"/>
    <e v="#NAME?"/>
    <s v="NOSDA- BAU $ BAU (Mantenimiento y peq. evolutivos)"/>
    <n v="1"/>
    <s v="Desarrollador"/>
    <m/>
    <x v="1"/>
    <e v="#NAME?"/>
    <m/>
    <m/>
    <m/>
    <m/>
    <m/>
  </r>
  <r>
    <s v="C811362"/>
    <s v="YIGLIANA ALVAREZ MENDOZA"/>
    <x v="2"/>
    <x v="2"/>
    <s v="BBVA"/>
    <e v="#NAME?"/>
    <s v="SDATOOL-39506 $ Cuenta Sostenible"/>
    <n v="0.3"/>
    <s v="Desarrollador"/>
    <m/>
    <x v="1"/>
    <e v="#NAME?"/>
    <m/>
    <m/>
    <m/>
    <m/>
    <m/>
  </r>
  <r>
    <s v="C811362"/>
    <s v="YIGLIANA ALVAREZ MENDOZA"/>
    <x v="2"/>
    <x v="2"/>
    <s v="BBVA"/>
    <e v="#NAME?"/>
    <s v="SDATOOL-39436 $ COLPENSIONES ONP: llevar el control cuándo llega más de una mesada para un mismo cliente."/>
    <n v="0.35"/>
    <s v="Desarrollador"/>
    <m/>
    <x v="1"/>
    <e v="#NAME?"/>
    <m/>
    <m/>
    <m/>
    <m/>
    <m/>
  </r>
  <r>
    <s v="C811362"/>
    <s v="YIGLIANA ALVAREZ MENDOZA"/>
    <x v="2"/>
    <x v="2"/>
    <s v="BBVA"/>
    <e v="#NAME?"/>
    <s v="SDATOOL-39385 $ COLPENSIONES - ONP MEJORA FECHA PRIMER RETIRO DEL PENSIONADO FALLECIDO"/>
    <n v="0.35"/>
    <s v="Desarrollador"/>
    <m/>
    <x v="1"/>
    <e v="#NAME?"/>
    <m/>
    <m/>
    <m/>
    <m/>
    <m/>
  </r>
  <r>
    <s v="T005391"/>
    <s v="YINET CATALINA TORRES (QA)"/>
    <x v="0"/>
    <x v="22"/>
    <s v="Inetum"/>
    <e v="#NAME?"/>
    <s v="SDATOOL-37130 $ Pago y domiciliación de recaudo"/>
    <n v="0.5"/>
    <s v="QA"/>
    <m/>
    <x v="0"/>
    <e v="#NAME?"/>
    <m/>
    <m/>
    <m/>
    <m/>
    <m/>
  </r>
  <r>
    <s v="T005391"/>
    <s v="YINET CATALINA TORRES (QA)"/>
    <x v="0"/>
    <x v="22"/>
    <s v="Inetum"/>
    <e v="#NAME?"/>
    <s v="NOSDA- BAU $ BAU (Mantenimiento y peq. evolutivos)"/>
    <n v="0.5"/>
    <s v="QA"/>
    <m/>
    <x v="0"/>
    <e v="#NAME?"/>
    <m/>
    <m/>
    <m/>
    <m/>
    <m/>
  </r>
  <r>
    <s v="O000110"/>
    <s v="YINETH SANEY FRANCO HERNANDEZ "/>
    <x v="0"/>
    <x v="18"/>
    <s v="BBVA"/>
    <e v="#NAME?"/>
    <s v="SDATOOL-40457 $ SENDA (Base)"/>
    <n v="1"/>
    <s v="Desarrollador"/>
    <m/>
    <x v="1"/>
    <e v="#NAME?"/>
    <m/>
    <m/>
    <m/>
    <m/>
    <m/>
  </r>
  <r>
    <s v="C804055"/>
    <s v="YOAN LEONARDO QUIROGA VASQUEZ "/>
    <x v="0"/>
    <x v="27"/>
    <s v="BBVA"/>
    <e v="#NAME?"/>
    <s v="SDATOOL-40466 $ Garantía FAG"/>
    <n v="0.05"/>
    <s v="Desarrollador"/>
    <m/>
    <x v="1"/>
    <e v="#NAME?"/>
    <m/>
    <m/>
    <m/>
    <m/>
    <m/>
  </r>
  <r>
    <s v="C804055"/>
    <s v="YOAN LEONARDO QUIROGA VASQUEZ "/>
    <x v="0"/>
    <x v="27"/>
    <s v="BBVA"/>
    <e v="#NAME?"/>
    <s v="SDATOOL-36358 $ Pagos por Terceros (Mandato y/o Administración) - Información exógena DIAN - Resolución 0098 DIAN"/>
    <n v="0.05"/>
    <s v="Desarrollador"/>
    <m/>
    <x v="1"/>
    <e v="#NAME?"/>
    <m/>
    <m/>
    <m/>
    <m/>
    <m/>
  </r>
  <r>
    <s v="C804055"/>
    <s v="YOAN LEONARDO QUIROGA VASQUEZ "/>
    <x v="0"/>
    <x v="27"/>
    <s v="BBVA"/>
    <e v="#NAME?"/>
    <s v="SDATOOL-33847 $ Resolución 0042 DIAN Documento Soporte"/>
    <n v="0.5"/>
    <s v="Desarrollador"/>
    <m/>
    <x v="1"/>
    <e v="#NAME?"/>
    <m/>
    <m/>
    <m/>
    <m/>
    <m/>
  </r>
  <r>
    <s v="C804055"/>
    <s v="YOAN LEONARDO QUIROGA VASQUEZ "/>
    <x v="0"/>
    <x v="27"/>
    <s v="BBVA"/>
    <e v="#NAME?"/>
    <s v="SDATOOL-39334 $ GRM Col Reg - CE016-19 Modificados, reestructurados e incumplidos Leasing"/>
    <n v="0.05"/>
    <s v="Desarrollador"/>
    <m/>
    <x v="1"/>
    <e v="#NAME?"/>
    <m/>
    <m/>
    <m/>
    <m/>
    <m/>
  </r>
  <r>
    <s v="C804055"/>
    <s v="YOAN LEONARDO QUIROGA VASQUEZ "/>
    <x v="0"/>
    <x v="27"/>
    <s v="BBVA"/>
    <e v="#NAME?"/>
    <s v="NOSDA- BAU $ BAU (Mantenimiento y peq. evolutivos)"/>
    <n v="0.05"/>
    <s v="Desarrollador"/>
    <m/>
    <x v="1"/>
    <e v="#NAME?"/>
    <m/>
    <m/>
    <m/>
    <m/>
    <m/>
  </r>
  <r>
    <s v="C804055"/>
    <s v="YOAN LEONARDO QUIROGA VASQUEZ "/>
    <x v="0"/>
    <x v="27"/>
    <s v="BBVA"/>
    <e v="#NAME?"/>
    <s v="SDATOOL-41941 $ INTEGRACIÓN DE AS400 Y HOST Y  ESTABILIZACIÓN Y RESTABLECIMIENTO  DE lOS ENTORNOS DE LEASING AS400  DE DESARROLLO Y CALIDAD&quot;"/>
    <n v="0.05"/>
    <s v="Desarrollador"/>
    <m/>
    <x v="1"/>
    <e v="#NAME?"/>
    <m/>
    <m/>
    <m/>
    <m/>
    <m/>
  </r>
  <r>
    <s v="C804055"/>
    <s v="YOAN LEONARDO QUIROGA VASQUEZ "/>
    <x v="0"/>
    <x v="27"/>
    <s v="BBVA"/>
    <e v="#NAME?"/>
    <s v="SDATOOL-40438 $ CIRCULAR 032 del 2021 - REQUERIMIENTO FISCALIA GENERAL DE LA NACION"/>
    <n v="0.1"/>
    <s v="Desarrollador"/>
    <m/>
    <x v="1"/>
    <e v="#NAME?"/>
    <m/>
    <m/>
    <m/>
    <m/>
    <m/>
  </r>
  <r>
    <s v="C804055"/>
    <s v="YOAN LEONARDO QUIROGA VASQUEZ "/>
    <x v="0"/>
    <x v="27"/>
    <s v="BBVA"/>
    <e v="#NAME?"/>
    <s v="SDATOOL-33846 $ SREP Data Quality- BCBS239 - Colombia"/>
    <n v="0.1"/>
    <s v="Desarrollador"/>
    <m/>
    <x v="1"/>
    <e v="#NAME?"/>
    <m/>
    <m/>
    <m/>
    <m/>
    <m/>
  </r>
  <r>
    <s v="C804055"/>
    <s v="YOAN LEONARDO QUIROGA VASQUEZ "/>
    <x v="0"/>
    <x v="27"/>
    <s v="BBVA"/>
    <e v="#NAME?"/>
    <s v="SDATOOL-39783 $ Resolución 0124 de 2021 - Captura del base de Operaciones Anuladas en Leasing - Aplic. Leasing"/>
    <n v="0.05"/>
    <s v="Desarrollador"/>
    <m/>
    <x v="1"/>
    <e v="#NAME?"/>
    <m/>
    <m/>
    <m/>
    <m/>
    <m/>
  </r>
  <r>
    <s v="C802977"/>
    <s v="YULY MARCELA OVALLE GOMEZ"/>
    <x v="2"/>
    <x v="2"/>
    <s v="BBVA"/>
    <e v="#NAME?"/>
    <s v="SDATOOL-39246 $ Nuevo tipo de identificación para extranjeros"/>
    <n v="0.05"/>
    <s v="Tech Manager/Líder"/>
    <m/>
    <x v="1"/>
    <e v="#NAME?"/>
    <m/>
    <m/>
    <m/>
    <m/>
    <m/>
  </r>
  <r>
    <s v="C802977"/>
    <s v="YULY MARCELA OVALLE GOMEZ"/>
    <x v="2"/>
    <x v="2"/>
    <s v="BBVA"/>
    <e v="#NAME?"/>
    <s v="SDATOOL-40656 $ GRM Col - Recuperación sobre  cuentas pensionales"/>
    <n v="0.05"/>
    <s v="Tech Manager/Líder"/>
    <m/>
    <x v="1"/>
    <e v="#NAME?"/>
    <m/>
    <m/>
    <m/>
    <m/>
    <m/>
  </r>
  <r>
    <s v="C802977"/>
    <s v="YULY MARCELA OVALLE GOMEZ"/>
    <x v="2"/>
    <x v="2"/>
    <s v="BBVA"/>
    <e v="#NAME?"/>
    <s v="SDATOOL-39383 $ AJUSTES HIGIENICOS DE PORTAFOLIO + REPORTE CENTRALIZADO DE NÓMINA"/>
    <n v="0.1"/>
    <s v="Tech Manager/Líder"/>
    <m/>
    <x v="1"/>
    <e v="#NAME?"/>
    <m/>
    <m/>
    <m/>
    <m/>
    <m/>
  </r>
  <r>
    <s v="C802977"/>
    <s v="YULY MARCELA OVALLE GOMEZ"/>
    <x v="2"/>
    <x v="2"/>
    <s v="BBVA"/>
    <e v="#NAME?"/>
    <s v="SDATOOL-39457 $ Generación MT940 Fines de Semana y Festivos"/>
    <n v="0.1"/>
    <s v="Tech Manager/Líder"/>
    <m/>
    <x v="1"/>
    <e v="#NAME?"/>
    <m/>
    <m/>
    <m/>
    <m/>
    <m/>
  </r>
  <r>
    <s v="C802977"/>
    <s v="YULY MARCELA OVALLE GOMEZ"/>
    <x v="2"/>
    <x v="2"/>
    <s v="BBVA"/>
    <e v="#NAME?"/>
    <s v="SDATOOL-33065 $ Remesas BTS"/>
    <n v="0.15"/>
    <s v="Tech Manager/Líder"/>
    <m/>
    <x v="1"/>
    <e v="#NAME?"/>
    <m/>
    <m/>
    <m/>
    <m/>
    <m/>
  </r>
  <r>
    <s v="C802977"/>
    <s v="YULY MARCELA OVALLE GOMEZ"/>
    <x v="2"/>
    <x v="2"/>
    <s v="BBVA"/>
    <e v="#NAME?"/>
    <s v="SDATOOL-40653 $ GRM Col - Calibración de factores para el cálculo del Coeficiente de Fondeo Estable Neto"/>
    <n v="0.05"/>
    <s v="Tech Manager/Líder"/>
    <m/>
    <x v="1"/>
    <e v="#NAME?"/>
    <m/>
    <m/>
    <m/>
    <m/>
    <m/>
  </r>
  <r>
    <s v="C802977"/>
    <s v="YULY MARCELA OVALLE GOMEZ"/>
    <x v="2"/>
    <x v="2"/>
    <s v="BBVA"/>
    <e v="#NAME?"/>
    <s v="SDATOOL-39506 $ Cuenta Sostenible"/>
    <n v="0.05"/>
    <s v="Tech Manager/Líder"/>
    <m/>
    <x v="1"/>
    <e v="#NAME?"/>
    <m/>
    <m/>
    <m/>
    <m/>
    <m/>
  </r>
  <r>
    <s v="C802977"/>
    <s v="YULY MARCELA OVALLE GOMEZ"/>
    <x v="2"/>
    <x v="2"/>
    <s v="BBVA"/>
    <e v="#NAME?"/>
    <s v="SDATOOL-39436 $ COLPENSIONES ONP: llevar el control cuándo llega más de una mesada para un mismo cliente."/>
    <n v="0.1"/>
    <s v="Tech Manager/Líder"/>
    <m/>
    <x v="1"/>
    <e v="#NAME?"/>
    <m/>
    <m/>
    <m/>
    <m/>
    <m/>
  </r>
  <r>
    <s v="C802977"/>
    <s v="YULY MARCELA OVALLE GOMEZ"/>
    <x v="2"/>
    <x v="2"/>
    <s v="BBVA"/>
    <e v="#NAME?"/>
    <s v="SDATOOL-39385 $ COLPENSIONES - ONP MEJORA FECHA PRIMER RETIRO DEL PENSIONADO FALLECIDO"/>
    <n v="0.1"/>
    <s v="Tech Manager/Líder"/>
    <m/>
    <x v="1"/>
    <e v="#NAME?"/>
    <m/>
    <m/>
    <m/>
    <m/>
    <m/>
  </r>
  <r>
    <s v="C802977"/>
    <s v="YULY MARCELA OVALLE GOMEZ"/>
    <x v="2"/>
    <x v="2"/>
    <s v="BBVA"/>
    <e v="#NAME?"/>
    <s v="SDATOOL-40438 $ CIRCULAR 032 del 2021 - REQUERIMIENTO FISCALIA GENERAL DE LA NACION"/>
    <n v="0.1"/>
    <s v="Tech Manager/Líder"/>
    <m/>
    <x v="1"/>
    <e v="#NAME?"/>
    <m/>
    <m/>
    <m/>
    <m/>
    <m/>
  </r>
  <r>
    <s v="C802977"/>
    <s v="YULY MARCELA OVALLE GOMEZ"/>
    <x v="2"/>
    <x v="2"/>
    <s v="BBVA"/>
    <e v="#NAME?"/>
    <s v="SDATOOL-40589 $ Ajuste longitud de cuentas problema 7 digitos"/>
    <n v="0.15"/>
    <s v="Tech Manager/Líder"/>
    <m/>
    <x v="1"/>
    <e v="#NAME?"/>
    <m/>
    <m/>
    <m/>
    <m/>
    <m/>
  </r>
  <r>
    <s v="T003286"/>
    <s v="YURI VALENTINA MUÑOZ"/>
    <x v="1"/>
    <x v="21"/>
    <s v="Novatec"/>
    <e v="#NAME?"/>
    <s v="SDATOOL-28728 $ Contratación electrónica/digital de empleados y Carpeta Virtual 2.0"/>
    <n v="1"/>
    <s v="Desarrollador"/>
    <m/>
    <x v="0"/>
    <e v="#NAME?"/>
    <m/>
    <m/>
    <m/>
    <m/>
    <m/>
  </r>
  <r>
    <s v="C808860"/>
    <s v="ZARATE PAVAS JOHN JAIRO"/>
    <x v="1"/>
    <x v="10"/>
    <s v="BBVA"/>
    <e v="#NAME?"/>
    <s v="SDATOOL-40225 $ Resolución 0124 Dian - 2021 - Ajustes para Reporte de Información Exógena año gravable 2022 - Ciclo 1"/>
    <n v="0.15"/>
    <s v="Desarrollador"/>
    <m/>
    <x v="1"/>
    <e v="#NAME?"/>
    <m/>
    <m/>
    <m/>
    <m/>
    <m/>
  </r>
  <r>
    <s v="C808860"/>
    <s v="ZARATE PAVAS JOHN JAIRO"/>
    <x v="1"/>
    <x v="10"/>
    <s v="BBVA"/>
    <e v="#NAME?"/>
    <s v="SDATOOL-37681 $ Ciclo 2 - Resolución 0098 de Octubre 28 de 2020 - Reportes información Exógena Base Impuestos"/>
    <n v="0.25"/>
    <s v="Desarrollador"/>
    <m/>
    <x v="1"/>
    <e v="#NAME?"/>
    <m/>
    <m/>
    <m/>
    <m/>
    <m/>
  </r>
  <r>
    <s v="C808860"/>
    <s v="ZARATE PAVAS JOHN JAIRO"/>
    <x v="1"/>
    <x v="10"/>
    <s v="BBVA"/>
    <e v="#NAME?"/>
    <s v="SDATOOL-38583 $ FUSIONES Y ACTUALIZACION DE IDENTIFICACIONES"/>
    <n v="0.25"/>
    <s v="Desarrollador"/>
    <m/>
    <x v="1"/>
    <e v="#NAME?"/>
    <m/>
    <m/>
    <m/>
    <m/>
    <m/>
  </r>
  <r>
    <s v="C808860"/>
    <s v="ZARATE PAVAS JOHN JAIRO"/>
    <x v="1"/>
    <x v="10"/>
    <s v="BBVA"/>
    <e v="#NAME?"/>
    <s v="SDATOOL-35621 $ DOCUMENTO SOPORTE FASE II - DIALOGO"/>
    <n v="0.25"/>
    <s v="Desarrollador"/>
    <m/>
    <x v="1"/>
    <e v="#NAME?"/>
    <m/>
    <m/>
    <m/>
    <m/>
    <m/>
  </r>
  <r>
    <s v="C808860"/>
    <s v="ZARATE PAVAS JOHN JAIRO"/>
    <x v="1"/>
    <x v="10"/>
    <s v="BBVA"/>
    <e v="#NAME?"/>
    <s v="SDATOOL-33847 $ Resolución 0042 DIAN Documento Soporte"/>
    <n v="0.1"/>
    <s v="Desarrollador"/>
    <m/>
    <x v="1"/>
    <e v="#NAME?"/>
    <m/>
    <m/>
    <m/>
    <m/>
    <m/>
  </r>
  <r>
    <s v="T009396"/>
    <s v="ZULMA ZORAYA  PENAGOS TAVERA"/>
    <x v="0"/>
    <x v="18"/>
    <s v="Novatec"/>
    <e v="#NAME?"/>
    <s v="SDATOOL-40528 $ ETPB - SENDA PAGOS"/>
    <n v="1"/>
    <s v="Desarrollador"/>
    <m/>
    <x v="0"/>
    <e v="#NAME?"/>
    <m/>
    <m/>
    <m/>
    <m/>
    <m/>
  </r>
  <r>
    <s v="CE66458"/>
    <s v="ROBERTO CARLOS NIETO SUAREZ"/>
    <x v="1"/>
    <x v="10"/>
    <s v="Inetum"/>
    <e v="#NAME?"/>
    <s v="SDATOOL-36929 $ Ciclo 1 - Resolución 098 de 2020 DIAN - Reportes de Información Exogena"/>
    <n v="1"/>
    <s v="QA"/>
    <m/>
    <x v="0"/>
    <e v="#NAME?"/>
    <m/>
    <m/>
    <m/>
    <m/>
    <m/>
  </r>
  <r>
    <s v="CE67101"/>
    <s v="IVETTE AYCHELL MONROY SUAREZ"/>
    <x v="1"/>
    <x v="10"/>
    <s v="Inetum"/>
    <e v="#NAME?"/>
    <s v="SDATOOL-37681 $ Ciclo 2 - Resolución 0098 de Octubre 28 de 2020 - Reportes información Exógena Base Impuestos"/>
    <n v="1"/>
    <s v="QA"/>
    <m/>
    <x v="0"/>
    <e v="#NAME?"/>
    <m/>
    <m/>
    <m/>
    <m/>
    <m/>
  </r>
  <r>
    <s v="CE64507"/>
    <s v="DANIEL ESTEBAN MORENO CARRILLO"/>
    <x v="1"/>
    <x v="10"/>
    <s v="Inetum"/>
    <e v="#NAME?"/>
    <s v="SDATOOL-40003 $ Resolución 0124 DIAN 2021 - Créditos Hipotecarios para remodelación de Vivienda"/>
    <n v="1"/>
    <s v="QA"/>
    <m/>
    <x v="0"/>
    <e v="#NAME?"/>
    <m/>
    <m/>
    <m/>
    <m/>
    <m/>
  </r>
  <r>
    <s v="CE59467"/>
    <s v="NORMA CECILIA MORENO GONZALEZ"/>
    <x v="1"/>
    <x v="10"/>
    <s v="Inetum"/>
    <e v="#NAME?"/>
    <s v="SDATOOL-40225 $ Resolución 0124 Dian - 2021 - Ajustes para Reporte de Información Exógena año gravable 2022 - Ciclo 1"/>
    <n v="1"/>
    <s v="QA"/>
    <m/>
    <x v="0"/>
    <e v="#NAME?"/>
    <m/>
    <m/>
    <m/>
    <m/>
    <m/>
  </r>
  <r>
    <s v="CE69363"/>
    <s v="CAROLINA AMAYA GUAYACAN_x000a_"/>
    <x v="1"/>
    <x v="10"/>
    <s v="Choucair"/>
    <e v="#NAME?"/>
    <s v="NOSDA- BAU $ BAU (Mantenimiento y peq. evolutivos)"/>
    <n v="1"/>
    <s v="QA"/>
    <m/>
    <x v="0"/>
    <e v="#NAME?"/>
    <m/>
    <m/>
    <m/>
    <m/>
    <m/>
  </r>
  <r>
    <s v="T007669"/>
    <s v="SANTIAGO GALLEGO BEDOYA_x000a_"/>
    <x v="1"/>
    <x v="10"/>
    <s v="Neoris"/>
    <e v="#NAME?"/>
    <s v="SDATOOL-40274 $ CIRCULAR 033 de 2021-SFC"/>
    <n v="1"/>
    <s v="QA"/>
    <m/>
    <x v="0"/>
    <e v="#NAME?"/>
    <m/>
    <m/>
    <m/>
    <m/>
    <m/>
  </r>
  <r>
    <s v="T005931"/>
    <s v="DANIEL MAURICIO RIANO PEDRAZA_x000a_"/>
    <x v="1"/>
    <x v="10"/>
    <s v="GGI / CMC"/>
    <e v="#NAME?"/>
    <s v="SDATOOL-32520 $ CDD Based Reporting - Colombia"/>
    <n v="0.1"/>
    <s v="QA"/>
    <m/>
    <x v="0"/>
    <e v="#NAME?"/>
    <m/>
    <m/>
    <m/>
    <m/>
    <m/>
  </r>
  <r>
    <s v="T005931"/>
    <s v="DANIEL MAURICIO RIANO PEDRAZA_x000a_"/>
    <x v="1"/>
    <x v="10"/>
    <s v="GGI / CMC"/>
    <e v="#NAME?"/>
    <s v="SDATOOL-37483 $ Aplicativos Finanzas - 2022"/>
    <n v="0.1"/>
    <s v="QA"/>
    <m/>
    <x v="0"/>
    <e v="#NAME?"/>
    <m/>
    <m/>
    <m/>
    <m/>
    <m/>
  </r>
  <r>
    <s v="T005931"/>
    <s v="DANIEL MAURICIO RIANO PEDRAZA_x000a_"/>
    <x v="1"/>
    <x v="10"/>
    <s v="GGI / CMC"/>
    <e v="#NAME?"/>
    <s v="SDATOOL-40529 $ Aplicativos Finanzas - 2023"/>
    <n v="0.1"/>
    <s v="QA"/>
    <m/>
    <x v="0"/>
    <e v="#NAME?"/>
    <m/>
    <m/>
    <m/>
    <m/>
    <m/>
  </r>
  <r>
    <s v="T005931"/>
    <s v="DANIEL MAURICIO RIANO PEDRAZA_x000a_"/>
    <x v="1"/>
    <x v="10"/>
    <s v="GGI / CMC"/>
    <e v="#NAME?"/>
    <s v="SDATOOL-40274 $ CIRCULAR 033 de 2021-SFC"/>
    <n v="0.1"/>
    <s v="QA"/>
    <m/>
    <x v="0"/>
    <e v="#NAME?"/>
    <m/>
    <m/>
    <m/>
    <m/>
    <m/>
  </r>
  <r>
    <s v="T005931"/>
    <s v="DANIEL MAURICIO RIANO PEDRAZA_x000a_"/>
    <x v="1"/>
    <x v="10"/>
    <s v="GGI / CMC"/>
    <e v="#NAME?"/>
    <s v="SDATOOL-33847 $ Resolución 0042 DIAN Documento Soporte"/>
    <n v="0.1"/>
    <s v="QA"/>
    <m/>
    <x v="0"/>
    <e v="#NAME?"/>
    <m/>
    <m/>
    <m/>
    <m/>
    <m/>
  </r>
  <r>
    <s v="T005931"/>
    <s v="DANIEL MAURICIO RIANO PEDRAZA_x000a_"/>
    <x v="1"/>
    <x v="10"/>
    <s v="GGI / CMC"/>
    <e v="#NAME?"/>
    <s v="SDATOOL-33862 $ NDoD Accounting"/>
    <n v="0.1"/>
    <s v="QA"/>
    <m/>
    <x v="0"/>
    <e v="#NAME?"/>
    <m/>
    <m/>
    <m/>
    <m/>
    <m/>
  </r>
  <r>
    <s v="T005931"/>
    <s v="DANIEL MAURICIO RIANO PEDRAZA_x000a_"/>
    <x v="1"/>
    <x v="26"/>
    <s v="GGI / CMC"/>
    <e v="#NAME?"/>
    <s v="SDATOOL-29998 $ Despliegue SAS AML en BBVA CO"/>
    <n v="0.1"/>
    <s v="QA"/>
    <m/>
    <x v="0"/>
    <e v="#NAME?"/>
    <m/>
    <m/>
    <m/>
    <m/>
    <m/>
  </r>
  <r>
    <s v="T005931"/>
    <s v="DANIEL MAURICIO RIANO PEDRAZA_x000a_"/>
    <x v="1"/>
    <x v="26"/>
    <s v="GGI / CMC"/>
    <e v="#NAME?"/>
    <s v="SDATOOL-39265 $ Migración Operaciones Fircosoft"/>
    <n v="0.1"/>
    <s v="QA"/>
    <m/>
    <x v="0"/>
    <e v="#NAME?"/>
    <m/>
    <m/>
    <m/>
    <m/>
    <m/>
  </r>
  <r>
    <s v="T005931"/>
    <s v="DANIEL MAURICIO RIANO PEDRAZA_x000a_"/>
    <x v="1"/>
    <x v="26"/>
    <s v="GGI / CMC"/>
    <e v="#NAME?"/>
    <s v="SDATOOL-39888 $ Proyecto - Evolutivo Sarlaft - Mejoras controles aplicativos"/>
    <n v="0.1"/>
    <s v="QA"/>
    <m/>
    <x v="0"/>
    <e v="#NAME?"/>
    <m/>
    <m/>
    <m/>
    <m/>
    <m/>
  </r>
  <r>
    <s v="T005931"/>
    <s v="DANIEL MAURICIO RIANO PEDRAZA_x000a_"/>
    <x v="1"/>
    <x v="26"/>
    <s v="GGI / CMC"/>
    <e v="#NAME?"/>
    <s v="SDATOOL-40984 $ Proyecto - Identificación e ingesta de las tablas necesarias en datio y la construcción del caso de uso para la identificación de vínculos - Colombia"/>
    <n v="0.1"/>
    <s v="QA"/>
    <m/>
    <x v="0"/>
    <e v="#NAME?"/>
    <m/>
    <m/>
    <m/>
    <m/>
    <m/>
  </r>
  <r>
    <s v="CE68547"/>
    <s v="JOSE ROBERTO GONZALEZ MELO_x000a_"/>
    <x v="1"/>
    <x v="10"/>
    <s v="KRYPTO"/>
    <e v="#NAME?"/>
    <s v="SDATOOL-32520 $ CDD Based Reporting - Colombia"/>
    <n v="0.1"/>
    <s v="QA"/>
    <m/>
    <x v="0"/>
    <e v="#NAME?"/>
    <m/>
    <m/>
    <m/>
    <m/>
    <m/>
  </r>
  <r>
    <s v="CE68547"/>
    <s v="JOSE ROBERTO GONZALEZ MELO_x000a_"/>
    <x v="1"/>
    <x v="10"/>
    <s v="KRYPTO"/>
    <e v="#NAME?"/>
    <s v="SDATOOL-37483 $ Aplicativos Finanzas - 2022"/>
    <n v="0.1"/>
    <s v="QA"/>
    <m/>
    <x v="0"/>
    <e v="#NAME?"/>
    <m/>
    <m/>
    <m/>
    <m/>
    <m/>
  </r>
  <r>
    <s v="CE68547"/>
    <s v="JOSE ROBERTO GONZALEZ MELO_x000a_"/>
    <x v="1"/>
    <x v="10"/>
    <s v="KRYPTO"/>
    <e v="#NAME?"/>
    <s v="SDATOOL-40529 $ Aplicativos Finanzas - 2023"/>
    <n v="0.1"/>
    <s v="QA"/>
    <m/>
    <x v="0"/>
    <e v="#NAME?"/>
    <m/>
    <m/>
    <m/>
    <m/>
    <m/>
  </r>
  <r>
    <s v="CE68547"/>
    <s v="JOSE ROBERTO GONZALEZ MELO_x000a_"/>
    <x v="1"/>
    <x v="10"/>
    <s v="KRYPTO"/>
    <e v="#NAME?"/>
    <s v="SDATOOL-40274 $ CIRCULAR 033 de 2021-SFC"/>
    <n v="0.1"/>
    <s v="QA"/>
    <m/>
    <x v="0"/>
    <e v="#NAME?"/>
    <m/>
    <m/>
    <m/>
    <m/>
    <m/>
  </r>
  <r>
    <s v="CE68547"/>
    <s v="JOSE ROBERTO GONZALEZ MELO_x000a_"/>
    <x v="1"/>
    <x v="10"/>
    <s v="KRYPTO"/>
    <e v="#NAME?"/>
    <s v="SDATOOL-33847 $ Resolución 0042 DIAN Documento Soporte"/>
    <n v="0.1"/>
    <s v="QA"/>
    <m/>
    <x v="0"/>
    <e v="#NAME?"/>
    <m/>
    <m/>
    <m/>
    <m/>
    <m/>
  </r>
  <r>
    <s v="CE68547"/>
    <s v="JOSE ROBERTO GONZALEZ MELO_x000a_"/>
    <x v="1"/>
    <x v="10"/>
    <s v="KRYPTO"/>
    <e v="#NAME?"/>
    <s v="SDATOOL-33862 $ NDoD Accounting"/>
    <n v="0.1"/>
    <s v="QA"/>
    <m/>
    <x v="0"/>
    <e v="#NAME?"/>
    <m/>
    <m/>
    <m/>
    <m/>
    <m/>
  </r>
  <r>
    <s v="CE68547"/>
    <s v="JOSE ROBERTO GONZALEZ MELO_x000a_"/>
    <x v="1"/>
    <x v="26"/>
    <s v="KRYPTO"/>
    <e v="#NAME?"/>
    <s v="SDATOOL-29998 $ Despliegue SAS AML en BBVA CO"/>
    <n v="0.1"/>
    <s v="QA"/>
    <m/>
    <x v="0"/>
    <e v="#NAME?"/>
    <m/>
    <m/>
    <m/>
    <m/>
    <m/>
  </r>
  <r>
    <s v="CE68547"/>
    <s v="JOSE ROBERTO GONZALEZ MELO_x000a_"/>
    <x v="1"/>
    <x v="26"/>
    <s v="KRYPTO"/>
    <e v="#NAME?"/>
    <s v="SDATOOL-39265 $ Migración Operaciones Fircosoft"/>
    <n v="0.1"/>
    <s v="QA"/>
    <m/>
    <x v="0"/>
    <e v="#NAME?"/>
    <m/>
    <m/>
    <m/>
    <m/>
    <m/>
  </r>
  <r>
    <s v="CE68547"/>
    <s v="JOSE ROBERTO GONZALEZ MELO_x000a_"/>
    <x v="1"/>
    <x v="26"/>
    <s v="KRYPTO"/>
    <e v="#NAME?"/>
    <s v="SDATOOL-39888 $ Proyecto - Evolutivo Sarlaft - Mejoras controles aplicativos"/>
    <n v="0.1"/>
    <s v="QA"/>
    <m/>
    <x v="0"/>
    <e v="#NAME?"/>
    <m/>
    <m/>
    <m/>
    <m/>
    <m/>
  </r>
  <r>
    <s v="CE68547"/>
    <s v="JOSE ROBERTO GONZALEZ MELO_x000a_"/>
    <x v="1"/>
    <x v="26"/>
    <s v="KRYPTO"/>
    <e v="#NAME?"/>
    <s v="SDATOOL-40984 $ Proyecto - Identificación e ingesta de las tablas necesarias en datio y la construcción del caso de uso para la identificación de vínculos - Colombia"/>
    <n v="0.1"/>
    <s v="QA"/>
    <m/>
    <x v="0"/>
    <e v="#NAME?"/>
    <m/>
    <m/>
    <m/>
    <m/>
    <m/>
  </r>
  <r>
    <s v="CE52434"/>
    <s v="HAROLD HERNANDO REYES VARGAS_x000a_"/>
    <x v="1"/>
    <x v="10"/>
    <s v="Inetum"/>
    <e v="#NAME?"/>
    <s v="SDATOOL-32520 $ CDD Based Reporting - Colombia"/>
    <n v="1"/>
    <s v="Otros"/>
    <m/>
    <x v="0"/>
    <e v="#NAME?"/>
    <m/>
    <m/>
    <m/>
    <m/>
    <m/>
  </r>
  <r>
    <s v="C810765"/>
    <s v="ANGELA MARIA DIAZ PEÑA "/>
    <x v="1"/>
    <x v="10"/>
    <s v="BBVA"/>
    <e v="#NAME?"/>
    <s v="SDATOOL-40225 $ Resolución 0124 Dian - 2021 - Ajustes para Reporte de Información Exógena año gravable 2022 - Ciclo 1"/>
    <n v="0.5"/>
    <s v="QA"/>
    <s v="QC del Equipo "/>
    <x v="1"/>
    <e v="#NAME?"/>
    <m/>
    <m/>
    <m/>
    <m/>
    <m/>
  </r>
  <r>
    <s v="CE51848"/>
    <s v="GORDO BELTRAN DANIEL FERNANDO"/>
    <x v="0"/>
    <x v="22"/>
    <s v="Inetum"/>
    <e v="#NAME?"/>
    <s v="NOSDA- BAU $ BAU (Mantenimiento y peq. evolutivos)"/>
    <n v="0.5"/>
    <s v="QA"/>
    <m/>
    <x v="0"/>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7">
  <r>
    <s v="C804055"/>
    <s v="QUIROGA VASQUEZ YOAN LEONARDO"/>
    <x v="0"/>
    <x v="0"/>
    <s v="BBVA"/>
    <e v="#NAME?"/>
    <s v="SDATOOL-36358 $ Pagos por Terceros (Mandato y/o Administración) - Información exógena DIAN - Resolución 0098 DIAN"/>
    <n v="0.05"/>
    <s v="Desarrollador"/>
    <s v="Distribuido"/>
    <m/>
    <e v="#NAME?"/>
    <e v="#NAME?"/>
    <e v="#NAME?"/>
    <m/>
    <m/>
    <m/>
    <m/>
    <m/>
    <m/>
    <m/>
    <m/>
    <m/>
  </r>
  <r>
    <s v="C804055"/>
    <s v="QUIROGA VASQUEZ YOAN LEONARDO"/>
    <x v="0"/>
    <x v="0"/>
    <s v="BBVA"/>
    <e v="#NAME?"/>
    <s v="SDATOOL-33847 $ Resolución 0042 DIAN Documento Soporte"/>
    <n v="0.05"/>
    <s v="Desarrollador"/>
    <s v="Distribuido"/>
    <m/>
    <e v="#NAME?"/>
    <e v="#NAME?"/>
    <e v="#NAME?"/>
    <m/>
    <m/>
    <m/>
    <m/>
    <m/>
    <m/>
    <m/>
    <m/>
    <m/>
  </r>
  <r>
    <s v="C804055"/>
    <s v="QUIROGA VASQUEZ YOAN LEONARDO"/>
    <x v="0"/>
    <x v="0"/>
    <s v="BBVA"/>
    <e v="#NAME?"/>
    <s v="SDATOOL-39334 $ GRM Col Reg - CE016-19 Modificados, reestructurados e incumplidos Leasing"/>
    <n v="0.05"/>
    <s v="Desarrollador"/>
    <s v="Distribuido"/>
    <m/>
    <e v="#NAME?"/>
    <e v="#NAME?"/>
    <e v="#NAME?"/>
    <m/>
    <m/>
    <m/>
    <m/>
    <m/>
    <m/>
    <m/>
    <m/>
    <m/>
  </r>
  <r>
    <s v="C804055"/>
    <s v="QUIROGA VASQUEZ YOAN LEONARDO"/>
    <x v="0"/>
    <x v="0"/>
    <s v="BBVA"/>
    <e v="#NAME?"/>
    <s v="NOSDA $ BAU (Mantenimiento y peq. evolutivos)"/>
    <n v="0.05"/>
    <s v="Desarrollador"/>
    <s v="Distribuido"/>
    <m/>
    <e v="#NAME?"/>
    <e v="#NAME?"/>
    <e v="#NAME?"/>
    <m/>
    <m/>
    <m/>
    <m/>
    <m/>
    <m/>
    <m/>
    <m/>
    <m/>
  </r>
  <r>
    <s v="C804055"/>
    <s v="QUIROGA VASQUEZ YOAN LEONARDO"/>
    <x v="0"/>
    <x v="0"/>
    <s v="BBVA"/>
    <e v="#NAME?"/>
    <s v="SDATOOL-41941 $ INTEGRACIÓN DE AS400 Y HOST Y ESTABILIZACIÓN Y RESTABLECIMIENTO DE lOS ENTORNOS DE LEASING AS400 DE DESARROLLO Y CALIDAD&quot;"/>
    <n v="0.05"/>
    <s v="Desarrollador"/>
    <s v="Distribuido"/>
    <m/>
    <e v="#NAME?"/>
    <e v="#NAME?"/>
    <e v="#NAME?"/>
    <m/>
    <m/>
    <m/>
    <m/>
    <m/>
    <m/>
    <m/>
    <m/>
    <m/>
  </r>
  <r>
    <s v="C804055"/>
    <s v="QUIROGA VASQUEZ YOAN LEONARDO"/>
    <x v="0"/>
    <x v="0"/>
    <s v="BBVA"/>
    <e v="#NAME?"/>
    <s v="SDATOOL-40438 $ CIRCULAR 032 del 2021 - REQUERIMIENTO FISCALIA GENERAL DE LA NACION"/>
    <n v="0.6"/>
    <s v="Desarrollador"/>
    <s v="Distribuido"/>
    <m/>
    <e v="#NAME?"/>
    <e v="#NAME?"/>
    <e v="#NAME?"/>
    <m/>
    <m/>
    <m/>
    <m/>
    <m/>
    <m/>
    <m/>
    <m/>
    <m/>
  </r>
  <r>
    <s v="C804055"/>
    <s v="QUIROGA VASQUEZ YOAN LEONARDO"/>
    <x v="0"/>
    <x v="0"/>
    <s v="BBVA"/>
    <e v="#NAME?"/>
    <s v="SDATOOL-33846 $ SREP Data Quality- BCBS239 - Colombia"/>
    <n v="0.1"/>
    <s v="Desarrollador"/>
    <s v="Distribuido"/>
    <m/>
    <e v="#NAME?"/>
    <e v="#NAME?"/>
    <e v="#NAME?"/>
    <m/>
    <m/>
    <m/>
    <m/>
    <m/>
    <m/>
    <m/>
    <m/>
    <m/>
  </r>
  <r>
    <s v="C804055"/>
    <s v="QUIROGA VASQUEZ YOAN LEONARDO"/>
    <x v="0"/>
    <x v="0"/>
    <s v="BBVA"/>
    <e v="#NAME?"/>
    <s v="SDATOOL-39783 $ Resolución 0124 de 2021 - Captura del base de Operaciones Anuladas en Leasing - Aplic. Leasing"/>
    <n v="0.05"/>
    <s v="Desarrollador"/>
    <s v="Distribuido"/>
    <m/>
    <e v="#NAME?"/>
    <e v="#NAME?"/>
    <e v="#NAME?"/>
    <m/>
    <m/>
    <m/>
    <m/>
    <m/>
    <m/>
    <m/>
    <m/>
    <m/>
  </r>
  <r>
    <s v="C342600"/>
    <s v="DIANA PATRICIA BARRANTES PEREZ"/>
    <x v="0"/>
    <x v="0"/>
    <s v="BBVA"/>
    <e v="#NAME?"/>
    <s v="SDATOOL-33847 $ Resolución 0042 DIAN Documento Soporte"/>
    <n v="0.15"/>
    <s v="Tech Manager/Líder"/>
    <s v="Distribuido"/>
    <m/>
    <e v="#NAME?"/>
    <e v="#NAME?"/>
    <e v="#NAME?"/>
    <m/>
    <m/>
    <m/>
    <m/>
    <m/>
    <m/>
    <m/>
    <m/>
    <m/>
  </r>
  <r>
    <s v="C342600"/>
    <s v="DIANA PATRICIA BARRANTES PEREZ"/>
    <x v="0"/>
    <x v="0"/>
    <s v="BBVA"/>
    <e v="#NAME?"/>
    <s v="SDATOOL-39334 $ GRM Col Reg - CE016-19 Modificados, reestructurados e incumplidos Leasing"/>
    <n v="0.1"/>
    <s v="Tech Manager/Líder"/>
    <s v="Distribuido"/>
    <m/>
    <e v="#NAME?"/>
    <e v="#NAME?"/>
    <e v="#NAME?"/>
    <m/>
    <m/>
    <m/>
    <m/>
    <m/>
    <m/>
    <m/>
    <m/>
    <m/>
  </r>
  <r>
    <s v="C342600"/>
    <s v="DIANA PATRICIA BARRANTES PEREZ"/>
    <x v="0"/>
    <x v="0"/>
    <s v="BBVA"/>
    <e v="#NAME?"/>
    <s v="SDATOOL-7269 $ Core Data &amp; Gobierno de Datos"/>
    <n v="0.2"/>
    <s v="Tech Manager/Líder"/>
    <s v="Distribuido"/>
    <m/>
    <e v="#NAME?"/>
    <e v="#NAME?"/>
    <e v="#NAME?"/>
    <m/>
    <m/>
    <m/>
    <m/>
    <m/>
    <m/>
    <m/>
    <m/>
    <m/>
  </r>
  <r>
    <s v="C342600"/>
    <s v="DIANA PATRICIA BARRANTES PEREZ"/>
    <x v="0"/>
    <x v="0"/>
    <s v="BBVA"/>
    <e v="#NAME?"/>
    <s v="SDATOOL-41941 $ INTEGRACIÓN DE AS400 Y HOST Y ESTABILIZACIÓN Y RESTABLECIMIENTO DE lOS ENTORNOS DE LEASING AS400 DE DESARROLLO Y CALIDAD&quot;"/>
    <n v="0.15"/>
    <s v="Tech Manager/Líder"/>
    <s v="Distribuido"/>
    <m/>
    <e v="#NAME?"/>
    <e v="#NAME?"/>
    <e v="#NAME?"/>
    <m/>
    <m/>
    <m/>
    <m/>
    <m/>
    <m/>
    <m/>
    <m/>
    <m/>
  </r>
  <r>
    <s v="C342600"/>
    <s v="DIANA PATRICIA BARRANTES PEREZ"/>
    <x v="0"/>
    <x v="0"/>
    <s v="BBVA"/>
    <e v="#NAME?"/>
    <s v="SDATOOL-40438 $ CIRCULAR 032 del 2021 - REQUERIMIENTO FISCALIA GENERAL DE LA NACION"/>
    <n v="0.2"/>
    <s v="Tech Manager/Líder"/>
    <s v="Distribuido"/>
    <m/>
    <e v="#NAME?"/>
    <e v="#NAME?"/>
    <e v="#NAME?"/>
    <m/>
    <m/>
    <m/>
    <m/>
    <m/>
    <m/>
    <m/>
    <m/>
    <m/>
  </r>
  <r>
    <s v="C342600"/>
    <s v="DIANA PATRICIA BARRANTES PEREZ"/>
    <x v="0"/>
    <x v="0"/>
    <s v="BBVA"/>
    <e v="#NAME?"/>
    <s v="SDATOOL-33846 $ SREP Data Quality- BCBS239 - Colombia"/>
    <n v="0.1"/>
    <s v="Tech Manager/Líder"/>
    <s v="Distribuido"/>
    <m/>
    <e v="#NAME?"/>
    <e v="#NAME?"/>
    <e v="#NAME?"/>
    <m/>
    <m/>
    <m/>
    <m/>
    <m/>
    <m/>
    <m/>
    <m/>
    <m/>
  </r>
  <r>
    <s v="C342600"/>
    <s v="DIANA PATRICIA BARRANTES PEREZ"/>
    <x v="0"/>
    <x v="0"/>
    <s v="BBVA"/>
    <e v="#NAME?"/>
    <s v="SDATOOL-39783 $ Resolución 0124 de 2021 - Captura del base de Operaciones Anuladas en Leasing - Aplic. Leasing"/>
    <n v="0.1"/>
    <s v="Tech Manager/Líder"/>
    <s v="Distribuido"/>
    <m/>
    <e v="#NAME?"/>
    <e v="#NAME?"/>
    <e v="#NAME?"/>
    <m/>
    <m/>
    <m/>
    <m/>
    <m/>
    <m/>
    <m/>
    <m/>
    <m/>
  </r>
  <r>
    <s v="C808267"/>
    <s v="GUAQUETA ROMERO DEISY YOLIMA"/>
    <x v="0"/>
    <x v="0"/>
    <s v="BBVA"/>
    <e v="#NAME?"/>
    <s v="SDATOOL-41941 $ INTEGRACIÓN DE AS400 Y HOST Y ESTABILIZACIÓN Y RESTABLECIMIENTO DE lOS ENTORNOS DE LEASING AS400 DE DESARROLLO Y CALIDAD&quot;"/>
    <n v="0.7"/>
    <s v="Desarrollador"/>
    <s v="Distribuido"/>
    <m/>
    <e v="#NAME?"/>
    <e v="#NAME?"/>
    <e v="#NAME?"/>
    <m/>
    <m/>
    <m/>
    <m/>
    <m/>
    <m/>
    <m/>
    <m/>
    <m/>
  </r>
  <r>
    <s v="C808267"/>
    <s v="GUAQUETA ROMERO DEISY YOLIMA"/>
    <x v="0"/>
    <x v="0"/>
    <s v="BBVA"/>
    <e v="#NAME?"/>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08683"/>
    <s v="EDISON YESID GONZALEZ LANCHEROS"/>
    <x v="0"/>
    <x v="0"/>
    <s v="BBVA"/>
    <e v="#NAME?"/>
    <s v="SDATOOL-33847 $ Resolución 0042 DIAN Documento Soporte"/>
    <n v="0.1"/>
    <s v="Desarrollador"/>
    <s v="Distribuido"/>
    <m/>
    <e v="#NAME?"/>
    <e v="#NAME?"/>
    <e v="#NAME?"/>
    <m/>
    <m/>
    <m/>
    <m/>
    <m/>
    <m/>
    <m/>
    <m/>
    <m/>
  </r>
  <r>
    <s v="C808683"/>
    <s v="EDISON YESID GONZALEZ LANCHEROS"/>
    <x v="0"/>
    <x v="0"/>
    <s v="BBVA"/>
    <e v="#NAME?"/>
    <s v="SDATOOL-40438 $ CIRCULAR 032 del 2021 - REQUERIMIENTO FISCALIA GENERAL DE LA NACION"/>
    <n v="0.8"/>
    <s v="Desarrollador"/>
    <s v="Distribuido"/>
    <m/>
    <e v="#NAME?"/>
    <e v="#NAME?"/>
    <e v="#NAME?"/>
    <m/>
    <m/>
    <m/>
    <m/>
    <m/>
    <m/>
    <m/>
    <m/>
    <m/>
  </r>
  <r>
    <s v="C808683"/>
    <s v="EDISON YESID GONZALEZ LANCHEROS"/>
    <x v="0"/>
    <x v="0"/>
    <s v="BBVA"/>
    <e v="#NAME?"/>
    <s v="SDATOOL-36358 $ Pagos por Terceros (Mandato y/o Administración) - Información exógena DIAN - Resolución 0098 DIAN"/>
    <n v="0.1"/>
    <s v="Desarrollador"/>
    <s v="Distribuido"/>
    <m/>
    <e v="#NAME?"/>
    <e v="#NAME?"/>
    <e v="#NAME?"/>
    <m/>
    <m/>
    <m/>
    <m/>
    <m/>
    <m/>
    <m/>
    <m/>
    <m/>
  </r>
  <r>
    <s v="C811296"/>
    <s v="QUINTERO CASTILLO DIANA MARCELA"/>
    <x v="0"/>
    <x v="0"/>
    <s v="BBVA"/>
    <e v="#NAME?"/>
    <s v="SDATOOL-40438 $ CIRCULAR 032 del 2021 - REQUERIMIENTO FISCALIA GENERAL DE LA NACION"/>
    <n v="0.75"/>
    <s v="Desarrollador"/>
    <s v="Distribuido"/>
    <m/>
    <e v="#NAME?"/>
    <e v="#NAME?"/>
    <e v="#NAME?"/>
    <m/>
    <m/>
    <m/>
    <m/>
    <m/>
    <m/>
    <m/>
    <m/>
    <m/>
  </r>
  <r>
    <s v="C811296"/>
    <s v="QUINTERO CASTILLO DIANA MARCELA"/>
    <x v="0"/>
    <x v="0"/>
    <s v="BBVA"/>
    <e v="#NAME?"/>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11302"/>
    <s v="RAMIREZ MONTANO CARLOS JULIO"/>
    <x v="0"/>
    <x v="0"/>
    <s v="BBVA"/>
    <e v="#NAME?"/>
    <s v="SDATOOL-41938 $ GRM Col Reg - Ajuste Calificación Escalera"/>
    <n v="1"/>
    <s v="Desarrollador"/>
    <s v="Distribuido"/>
    <m/>
    <e v="#NAME?"/>
    <e v="#NAME?"/>
    <e v="#NAME?"/>
    <m/>
    <m/>
    <m/>
    <m/>
    <m/>
    <m/>
    <m/>
    <m/>
    <m/>
  </r>
  <r>
    <s v="C811321"/>
    <s v="OTTO JADIR SAGUIT SANTOS ALBARRACIN"/>
    <x v="0"/>
    <x v="0"/>
    <s v="BBVA"/>
    <e v="#NAME?"/>
    <s v="SDATOOL-41938 $ GRM Col Reg - Ajuste Calificación Escalera"/>
    <n v="1"/>
    <s v="Desarrollador"/>
    <s v="Distribuido"/>
    <m/>
    <e v="#NAME?"/>
    <e v="#NAME?"/>
    <e v="#NAME?"/>
    <m/>
    <m/>
    <m/>
    <m/>
    <m/>
    <m/>
    <m/>
    <m/>
    <m/>
  </r>
  <r>
    <s v="CE57093"/>
    <s v="NATALIA CANAS YATE"/>
    <x v="0"/>
    <x v="0"/>
    <s v="Choucair"/>
    <e v="#NAME?"/>
    <s v="SDATOOL-41941 $ INTEGRACIÓN DE AS400 Y HOST Y ESTABILIZACIÓN Y RESTABLECIMIENTO DE lOS ENTORNOS DE LEASING AS400 DE DESARROLLO Y CALIDAD&quot;"/>
    <n v="0.5"/>
    <s v="QA"/>
    <s v="Distribuido"/>
    <m/>
    <e v="#NAME?"/>
    <e v="#NAME?"/>
    <e v="#NAME?"/>
    <m/>
    <m/>
    <m/>
    <m/>
    <m/>
    <m/>
    <m/>
    <m/>
    <m/>
  </r>
  <r>
    <s v="CE57093"/>
    <s v="NATALIA CANAS YATE"/>
    <x v="0"/>
    <x v="0"/>
    <s v="Choucair"/>
    <e v="#NAME?"/>
    <s v="SDATOOL-40438 $ CIRCULAR 032 del 2021 - REQUERIMIENTO FISCALIA GENERAL DE LA NACION"/>
    <n v="0.5"/>
    <s v="QA"/>
    <s v="Distribuido"/>
    <m/>
    <e v="#NAME?"/>
    <e v="#NAME?"/>
    <e v="#NAME?"/>
    <m/>
    <m/>
    <m/>
    <m/>
    <m/>
    <m/>
    <m/>
    <m/>
    <m/>
  </r>
  <r>
    <s v="CE69112"/>
    <s v="LUZ DARY PATINO PINTOR "/>
    <x v="0"/>
    <x v="0"/>
    <s v="Choucair"/>
    <e v="#NAME?"/>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m/>
    <m/>
    <m/>
  </r>
  <r>
    <s v="CE54816"/>
    <s v="LINA MARCELA SANABRIA BERNAL"/>
    <x v="0"/>
    <x v="0"/>
    <s v="Choucair"/>
    <e v="#NAME?"/>
    <s v="SDATOOL-33847 $ Resolución 0042 DIAN Documento Soporte"/>
    <n v="1"/>
    <s v="QA"/>
    <s v="Distribuido"/>
    <m/>
    <e v="#NAME?"/>
    <e v="#NAME?"/>
    <e v="#NAME?"/>
    <m/>
    <m/>
    <m/>
    <m/>
    <m/>
    <m/>
    <m/>
    <m/>
    <m/>
  </r>
  <r>
    <s v="CE69341"/>
    <s v="PAULA MARCELA MOLINA LEGUIZAMO"/>
    <x v="0"/>
    <x v="0"/>
    <s v="Choucair"/>
    <e v="#NAME?"/>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CE69341"/>
    <s v="PAULA MARCELA MOLINA LEGUIZAMO"/>
    <x v="0"/>
    <x v="0"/>
    <s v="Choucair"/>
    <e v="#NAME?"/>
    <s v="SDATOOL-40438 $ CIRCULAR 032 del 2021 - REQUERIMIENTO FISCALIA GENERAL DE LA NACION"/>
    <n v="0.5"/>
    <s v="QA"/>
    <s v="Distribuido"/>
    <m/>
    <e v="#NAME?"/>
    <e v="#NAME?"/>
    <e v="#NAME?"/>
    <m/>
    <m/>
    <m/>
    <m/>
    <m/>
    <m/>
    <m/>
    <m/>
    <m/>
  </r>
  <r>
    <s v="CE70380"/>
    <s v="MISAEL ARLEY TELLEZ SERRANO"/>
    <x v="0"/>
    <x v="0"/>
    <s v="Choucair"/>
    <e v="#NAME?"/>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T004725"/>
    <s v="DANIEL ALEJANDRO ROA ACERO "/>
    <x v="0"/>
    <x v="0"/>
    <s v="Choucair"/>
    <e v="#NAME?"/>
    <s v="SDATOOL-33847 $ Resolución 0042 DIAN Documento Soporte"/>
    <n v="1"/>
    <s v="QA"/>
    <s v="Distribuido"/>
    <m/>
    <e v="#NAME?"/>
    <e v="#NAME?"/>
    <e v="#NAME?"/>
    <m/>
    <m/>
    <m/>
    <m/>
    <m/>
    <m/>
    <m/>
    <m/>
    <m/>
  </r>
  <r>
    <s v="CE70382"/>
    <s v="JOHN JAIRO RIVERA PENA "/>
    <x v="0"/>
    <x v="0"/>
    <s v="Choucair"/>
    <e v="#NAME?"/>
    <s v="SDATOOL-33847 $ Resolución 0042 DIAN Documento Soporte"/>
    <n v="1"/>
    <s v="QA"/>
    <s v="Distribuido"/>
    <m/>
    <e v="#NAME?"/>
    <e v="#NAME?"/>
    <e v="#NAME?"/>
    <m/>
    <m/>
    <m/>
    <m/>
    <m/>
    <m/>
    <m/>
    <m/>
    <m/>
  </r>
  <r>
    <s v="CE69031"/>
    <s v="WILLIAM ROBERTO MORA BERNAL"/>
    <x v="0"/>
    <x v="0"/>
    <s v="KRYPTO"/>
    <e v="#NAME?"/>
    <s v="SDATOOL-40438 $ CIRCULAR 032 del 2021 - REQUERIMIENTO FISCALIA GENERAL DE LA NACION"/>
    <n v="7.0000000000000007E-2"/>
    <s v="Otros"/>
    <s v="Distribuido"/>
    <m/>
    <e v="#NAME?"/>
    <e v="#NAME?"/>
    <e v="#NAME?"/>
    <m/>
    <m/>
    <m/>
    <m/>
    <m/>
    <m/>
    <m/>
    <m/>
    <m/>
  </r>
  <r>
    <s v="CE69031"/>
    <s v="WILLIAM ROBERTO MORA BERNAL"/>
    <x v="0"/>
    <x v="0"/>
    <s v="KRYPTO"/>
    <e v="#NAME?"/>
    <s v="SDATOOL-41941 $ INTEGRACIÓN DE AS400 Y HOST Y ESTABILIZACIÓN Y RESTABLECIMIENTO DE lOS ENTORNOS DE LEASING AS400 DE DESARROLLO Y CALIDAD&quot;"/>
    <n v="0.1"/>
    <s v="Otros"/>
    <s v="Distribuido"/>
    <m/>
    <e v="#NAME?"/>
    <e v="#NAME?"/>
    <e v="#NAME?"/>
    <m/>
    <m/>
    <m/>
    <m/>
    <m/>
    <m/>
    <m/>
    <m/>
    <m/>
  </r>
  <r>
    <s v="CE69031"/>
    <s v="WILLIAM ROBERTO MORA BERNAL"/>
    <x v="0"/>
    <x v="0"/>
    <s v="KRYPTO"/>
    <e v="#NAME?"/>
    <s v="NOSDA $ BAU (Mantenimiento y peq. evolutivos)"/>
    <n v="0.08"/>
    <s v="Otros"/>
    <s v="Distribuido"/>
    <m/>
    <e v="#NAME?"/>
    <e v="#NAME?"/>
    <e v="#NAME?"/>
    <m/>
    <m/>
    <m/>
    <m/>
    <m/>
    <m/>
    <m/>
    <m/>
    <m/>
  </r>
  <r>
    <s v="C804844"/>
    <s v="MATEO OLAYA OSORIO"/>
    <x v="1"/>
    <x v="1"/>
    <s v="BBVA"/>
    <e v="#NAME?"/>
    <s v="SDATOOL-42061 $ Murex Limit Control Intradía EOD"/>
    <n v="0.75"/>
    <s v="Desarrollador"/>
    <s v="Otras Tec."/>
    <s v="Lenguaje de prog.  JAVA."/>
    <e v="#NAME?"/>
    <e v="#NAME?"/>
    <e v="#NAME?"/>
    <m/>
    <m/>
    <m/>
    <m/>
    <m/>
    <m/>
    <m/>
    <m/>
    <m/>
  </r>
  <r>
    <s v="C804844"/>
    <s v="MATEO OLAYA OSORIO"/>
    <x v="1"/>
    <x v="1"/>
    <s v="BBVA"/>
    <e v="#NAME?"/>
    <s v="SDATOOL-42081 $ Evolutivos Migración Murex 3"/>
    <n v="0.25"/>
    <s v="Desarrollador"/>
    <s v="Otras Tec."/>
    <s v="Lenguaje de prog.  JAVA."/>
    <e v="#NAME?"/>
    <e v="#NAME?"/>
    <e v="#NAME?"/>
    <m/>
    <m/>
    <m/>
    <m/>
    <m/>
    <m/>
    <m/>
    <m/>
    <m/>
  </r>
  <r>
    <s v="T003920"/>
    <s v="ANA MARIA MORENO RAMIREZ"/>
    <x v="1"/>
    <x v="1"/>
    <s v="SII"/>
    <e v="#NAME?"/>
    <s v="SDATOOL-42061 $ Murex Limit Control Intradía EOD"/>
    <n v="1"/>
    <s v="Otros"/>
    <s v="Otras Tec."/>
    <s v=" "/>
    <e v="#NAME?"/>
    <e v="#NAME?"/>
    <e v="#NAME?"/>
    <m/>
    <m/>
    <m/>
    <m/>
    <m/>
    <m/>
    <m/>
    <m/>
    <m/>
  </r>
  <r>
    <s v="C805179"/>
    <s v="JEISON VISBAL"/>
    <x v="1"/>
    <x v="1"/>
    <s v="BBVA"/>
    <e v="#NAME?"/>
    <s v="SDATOOL-42061 $ Murex Limit Control Intradía EOD"/>
    <n v="0.75"/>
    <s v="Desarrollador"/>
    <s v="Otras Tec."/>
    <s v="Lenguaje de prog.  JAVA."/>
    <e v="#NAME?"/>
    <e v="#NAME?"/>
    <e v="#NAME?"/>
    <m/>
    <m/>
    <m/>
    <m/>
    <m/>
    <m/>
    <m/>
    <m/>
    <m/>
  </r>
  <r>
    <s v="C805179"/>
    <s v="JEISON VISBAL"/>
    <x v="1"/>
    <x v="1"/>
    <s v="BBVA"/>
    <e v="#NAME?"/>
    <s v="SDATOOL-42081 $ Evolutivos Migración Murex 3"/>
    <n v="0.25"/>
    <s v="Desarrollador"/>
    <s v="Otras Tec."/>
    <s v="Lenguaje de prog.  JAVA."/>
    <e v="#NAME?"/>
    <e v="#NAME?"/>
    <e v="#NAME?"/>
    <m/>
    <m/>
    <m/>
    <m/>
    <m/>
    <m/>
    <m/>
    <m/>
    <m/>
  </r>
  <r>
    <s v="CE14662"/>
    <s v="WILMER AUGUSTO PEREZ NIÑO"/>
    <x v="1"/>
    <x v="1"/>
    <s v="Tecnoevolución"/>
    <e v="#NAME?"/>
    <s v="NOSDA $ BAU (Mantenimiento y peq. evolutivos)"/>
    <n v="1"/>
    <s v="Desarrollador"/>
    <s v="Otras Tec."/>
    <s v="Tecnología Legacy: Power -Builder "/>
    <e v="#NAME?"/>
    <e v="#NAME?"/>
    <e v="#NAME?"/>
    <m/>
    <m/>
    <m/>
    <m/>
    <m/>
    <m/>
    <m/>
    <m/>
    <m/>
  </r>
  <r>
    <s v="CE63123"/>
    <s v="DIEGO ARISTOBULO DIAZ PLATA"/>
    <x v="1"/>
    <x v="1"/>
    <s v="Tecnoevolución"/>
    <e v="#NAME?"/>
    <s v="NOSDA $ BAU (Mantenimiento y peq. evolutivos)"/>
    <n v="1"/>
    <s v="Desarrollador"/>
    <s v="Otras Tec."/>
    <s v="Tecnología Legacy: Power -Builder "/>
    <e v="#NAME?"/>
    <e v="#NAME?"/>
    <e v="#NAME?"/>
    <m/>
    <m/>
    <m/>
    <m/>
    <m/>
    <m/>
    <m/>
    <m/>
    <m/>
  </r>
  <r>
    <s v="C808223"/>
    <s v="DILAN ANDRES LOPEZ MENA"/>
    <x v="1"/>
    <x v="1"/>
    <s v="BBVA"/>
    <e v="#NAME?"/>
    <s v="NOSDA $ BAU (Mantenimiento y peq. evolutivos)"/>
    <n v="1"/>
    <s v="Otros"/>
    <s v="Otras Tec."/>
    <s v="Tecnología Legacy: Power -Builder "/>
    <e v="#NAME?"/>
    <e v="#NAME?"/>
    <e v="#NAME?"/>
    <m/>
    <m/>
    <m/>
    <m/>
    <m/>
    <m/>
    <m/>
    <m/>
    <m/>
  </r>
  <r>
    <s v="C808132"/>
    <s v="JONNATHAN ARMANDO ASTROZ MARIN"/>
    <x v="1"/>
    <x v="1"/>
    <s v="BBVA"/>
    <e v="#NAME?"/>
    <s v="NOSDA $ BAU (Mantenimiento y peq. evolutivos)"/>
    <n v="1"/>
    <s v="Otros"/>
    <s v="Otras Tec."/>
    <s v="Tecnología Legacy: Power -Builder "/>
    <e v="#NAME?"/>
    <e v="#NAME?"/>
    <e v="#NAME?"/>
    <m/>
    <m/>
    <m/>
    <m/>
    <m/>
    <m/>
    <m/>
    <m/>
    <m/>
  </r>
  <r>
    <s v="CE61903"/>
    <s v="KELLY JOHANA VANEGAS"/>
    <x v="1"/>
    <x v="1"/>
    <s v="Tecnoevolución"/>
    <e v="#NAME?"/>
    <s v="NOSDA $ BAU (Mantenimiento y peq. evolutivos)"/>
    <n v="0.25"/>
    <s v="Otros"/>
    <s v="Otras Tec."/>
    <s v="Tecnología Legacy: Power -Builder "/>
    <e v="#NAME?"/>
    <e v="#NAME?"/>
    <e v="#NAME?"/>
    <m/>
    <m/>
    <m/>
    <m/>
    <m/>
    <m/>
    <m/>
    <m/>
    <m/>
  </r>
  <r>
    <s v="CE61903"/>
    <s v="KELLY JOHANA VANEGAS"/>
    <x v="1"/>
    <x v="1"/>
    <s v="Tecnoevolución"/>
    <e v="#NAME?"/>
    <s v="SDATOOL-38642 $ CUPON INTERMEDIO"/>
    <n v="0.5"/>
    <s v="Otros"/>
    <s v="Otras Tec."/>
    <s v="Tecnología Legacy: Power -Builder "/>
    <e v="#NAME?"/>
    <e v="#NAME?"/>
    <e v="#NAME?"/>
    <m/>
    <m/>
    <m/>
    <m/>
    <m/>
    <m/>
    <m/>
    <m/>
    <m/>
  </r>
  <r>
    <s v="C811297"/>
    <s v="BETZY PAOLA JARAMILLO LASTRA"/>
    <x v="0"/>
    <x v="2"/>
    <s v="BBVA"/>
    <e v="#NAME?"/>
    <s v="SDATOOL-42213 $ Creación nuevos conceptos recaudo impuestos DIAN - Ley 2277 del 2022 MinHacienda"/>
    <n v="0.25"/>
    <s v="Desarrollador"/>
    <s v="Mainframe"/>
    <m/>
    <e v="#NAME?"/>
    <e v="#NAME?"/>
    <e v="#NAME?"/>
    <m/>
    <m/>
    <m/>
    <m/>
    <m/>
    <m/>
    <m/>
    <m/>
    <m/>
  </r>
  <r>
    <s v="C811297"/>
    <s v="BETZY PAOLA JARAMILLO LASTRA"/>
    <x v="0"/>
    <x v="2"/>
    <s v="BBVA"/>
    <e v="#NAME?"/>
    <s v="NOSDA $ BAU (Mantenimiento y peq. evolutivos)"/>
    <n v="0.25"/>
    <s v="Desarrollador"/>
    <s v="Mainframe"/>
    <m/>
    <e v="#NAME?"/>
    <e v="#NAME?"/>
    <e v="#NAME?"/>
    <m/>
    <m/>
    <m/>
    <m/>
    <m/>
    <m/>
    <m/>
    <m/>
    <m/>
  </r>
  <r>
    <s v="C811297"/>
    <s v="BETZY PAOLA JARAMILLO LASTRA"/>
    <x v="0"/>
    <x v="2"/>
    <s v="BBVA"/>
    <e v="#NAME?"/>
    <s v="SDATOOL-35327 $ Impuestos 2021"/>
    <n v="0.25"/>
    <s v="Desarrollador"/>
    <s v="Mainframe"/>
    <m/>
    <e v="#NAME?"/>
    <e v="#NAME?"/>
    <e v="#NAME?"/>
    <m/>
    <m/>
    <m/>
    <m/>
    <m/>
    <m/>
    <m/>
    <m/>
    <m/>
  </r>
  <r>
    <s v="C811297"/>
    <s v="BETZY PAOLA JARAMILLO LASTRA"/>
    <x v="0"/>
    <x v="2"/>
    <s v="BBVA"/>
    <e v="#NAME?"/>
    <s v="SDATOOL-37425 $ Recaudo DIAN Tarjetas de Crédito Propio Banco través del Botón de pagos PSE para los canales Banca Personas y Banca de Empresas"/>
    <n v="0.25"/>
    <s v="Desarrollador"/>
    <s v="Distribuido"/>
    <m/>
    <e v="#NAME?"/>
    <e v="#NAME?"/>
    <e v="#NAME?"/>
    <m/>
    <m/>
    <m/>
    <m/>
    <m/>
    <m/>
    <m/>
    <m/>
    <m/>
  </r>
  <r>
    <s v="C808771"/>
    <s v="DAVID FEILPE CIFUENTES"/>
    <x v="0"/>
    <x v="2"/>
    <s v="BBVA"/>
    <e v="#NAME?"/>
    <s v="SDATOOL-42213 $ Creación nuevos conceptos recaudo impuestos DIAN - Ley 2277 del 2022 MinHacienda"/>
    <n v="0.75"/>
    <s v="Desarrollador"/>
    <s v="Mainframe"/>
    <m/>
    <e v="#NAME?"/>
    <e v="#NAME?"/>
    <e v="#NAME?"/>
    <m/>
    <m/>
    <m/>
    <m/>
    <m/>
    <m/>
    <m/>
    <m/>
    <m/>
  </r>
  <r>
    <s v="C808771"/>
    <s v="DAVID FEILPE CIFUENTES"/>
    <x v="0"/>
    <x v="2"/>
    <s v="BBVA"/>
    <e v="#NAME?"/>
    <s v="NOSDA $ BAU (Mantenimiento y peq. evolutivos)"/>
    <n v="0.25"/>
    <s v="Desarrollador"/>
    <s v="Mainframe"/>
    <m/>
    <e v="#NAME?"/>
    <e v="#NAME?"/>
    <e v="#NAME?"/>
    <m/>
    <m/>
    <m/>
    <m/>
    <m/>
    <m/>
    <m/>
    <m/>
    <m/>
  </r>
  <r>
    <s v="O000111"/>
    <s v="FERNANDO TIBADUIZA GUTIERREZ"/>
    <x v="0"/>
    <x v="2"/>
    <s v="BBVA"/>
    <e v="#NAME?"/>
    <s v="SDATOOL-42213 $ Creación nuevos conceptos recaudo impuestos DIAN - Ley 2277 del 2022 MinHacienda"/>
    <n v="0.75"/>
    <s v="Desarrollador"/>
    <s v="Mainframe"/>
    <m/>
    <e v="#NAME?"/>
    <e v="#NAME?"/>
    <e v="#NAME?"/>
    <m/>
    <m/>
    <m/>
    <m/>
    <m/>
    <m/>
    <m/>
    <m/>
    <m/>
  </r>
  <r>
    <s v="O000111"/>
    <s v="FERNANDO TIBADUIZA GUTIERREZ"/>
    <x v="0"/>
    <x v="2"/>
    <s v="BBVA"/>
    <e v="#NAME?"/>
    <s v="NOSDA $ BAU (Mantenimiento y peq. evolutivos)"/>
    <n v="0.25"/>
    <s v="Desarrollador"/>
    <s v="Mainframe"/>
    <m/>
    <e v="#NAME?"/>
    <e v="#NAME?"/>
    <e v="#NAME?"/>
    <m/>
    <m/>
    <m/>
    <m/>
    <m/>
    <m/>
    <m/>
    <m/>
    <m/>
  </r>
  <r>
    <s v="C810784"/>
    <s v="LENIN QUINTERO MUÑOZ"/>
    <x v="0"/>
    <x v="2"/>
    <s v="BBVA"/>
    <e v="#NAME?"/>
    <s v="SDATOOL-37425 $ Recaudo DIAN Tarjetas de Crédito Propio Banco través del Botón de pagos PSE para los canales Banca Personas y Banca de Empresas"/>
    <n v="1"/>
    <s v="Desarrollador"/>
    <s v="Distribuido"/>
    <m/>
    <e v="#NAME?"/>
    <e v="#NAME?"/>
    <e v="#NAME?"/>
    <m/>
    <m/>
    <m/>
    <m/>
    <m/>
    <m/>
    <m/>
    <m/>
    <m/>
  </r>
  <r>
    <s v="CE70413"/>
    <s v="RICARDO AMAYA VIANCHA (QA)"/>
    <x v="0"/>
    <x v="2"/>
    <s v="KRYPTO"/>
    <e v="#NAME?"/>
    <s v="NOSDA $ BAU (Mantenimiento y peq. evolutivos)"/>
    <n v="0.5"/>
    <s v="Desarrollador"/>
    <s v="Otras Tec."/>
    <m/>
    <e v="#NAME?"/>
    <e v="#NAME?"/>
    <e v="#NAME?"/>
    <m/>
    <m/>
    <m/>
    <m/>
    <m/>
    <m/>
    <m/>
    <m/>
    <m/>
  </r>
  <r>
    <s v="CE70413"/>
    <s v="RICARDO AMAYA VIANCHA (QA)"/>
    <x v="0"/>
    <x v="2"/>
    <s v="KRYPTO"/>
    <e v="#NAME?"/>
    <s v="SDATOOL-42213 $ Creación nuevos conceptos recaudo impuestos DIAN - Ley 2277 del 2022 MinHacienda"/>
    <n v="0.5"/>
    <s v="Desarrollador"/>
    <s v="Otras Tec."/>
    <m/>
    <e v="#NAME?"/>
    <e v="#NAME?"/>
    <e v="#NAME?"/>
    <m/>
    <m/>
    <m/>
    <m/>
    <m/>
    <m/>
    <m/>
    <m/>
    <m/>
  </r>
  <r>
    <s v="C342062"/>
    <s v="JAVIER CALDERON LOPEZ"/>
    <x v="0"/>
    <x v="2"/>
    <s v="BBVA"/>
    <e v="#NAME?"/>
    <s v="SDATOOL-37055 $ Cash in- PSE - Plan Ascenso Privado"/>
    <n v="0.75"/>
    <s v="Desarrollador"/>
    <s v="Mainframe"/>
    <m/>
    <e v="#NAME?"/>
    <e v="#NAME?"/>
    <e v="#NAME?"/>
    <m/>
    <m/>
    <m/>
    <m/>
    <m/>
    <m/>
    <m/>
    <m/>
    <m/>
  </r>
  <r>
    <s v="C342062"/>
    <s v="JAVIER CALDERON LOPEZ"/>
    <x v="0"/>
    <x v="2"/>
    <s v="BBVA"/>
    <e v="#NAME?"/>
    <s v="NOSDA $ BAU (Mantenimiento y peq. evolutivos)"/>
    <n v="0.25"/>
    <s v="Desarrollador"/>
    <s v="Mainframe"/>
    <m/>
    <e v="#NAME?"/>
    <e v="#NAME?"/>
    <e v="#NAME?"/>
    <m/>
    <m/>
    <m/>
    <m/>
    <m/>
    <m/>
    <m/>
    <m/>
    <m/>
  </r>
  <r>
    <s v="C808392"/>
    <s v="JHON FREDDY ZAPATA MUÑOZ"/>
    <x v="0"/>
    <x v="2"/>
    <s v="BBVA"/>
    <e v="#NAME?"/>
    <s v="SDATOOL-33408 $ Biocatch"/>
    <n v="0.75"/>
    <s v="Desarrollador"/>
    <s v="Distribuido"/>
    <m/>
    <e v="#NAME?"/>
    <e v="#NAME?"/>
    <e v="#NAME?"/>
    <m/>
    <m/>
    <m/>
    <m/>
    <m/>
    <m/>
    <m/>
    <m/>
    <m/>
  </r>
  <r>
    <s v="C808392"/>
    <s v="JHON FREDDY ZAPATA MUÑOZ"/>
    <x v="0"/>
    <x v="2"/>
    <s v="BBVA"/>
    <e v="#NAME?"/>
    <s v="NOSDA $ BAU (Mantenimiento y peq. evolutivos)"/>
    <n v="0.25"/>
    <s v="Desarrollador"/>
    <s v="Distribuido"/>
    <m/>
    <e v="#NAME?"/>
    <e v="#NAME?"/>
    <e v="#NAME?"/>
    <m/>
    <m/>
    <m/>
    <m/>
    <m/>
    <m/>
    <m/>
    <m/>
    <m/>
  </r>
  <r>
    <s v="CE63313"/>
    <s v="CESAR LEONEL MARTIN CASTILLO (QA)"/>
    <x v="0"/>
    <x v="2"/>
    <s v="Inetum"/>
    <e v="#NAME?"/>
    <s v="SDATOOL-33408 $ Biocatch"/>
    <n v="0.5"/>
    <s v="QA"/>
    <s v="Otras Tec."/>
    <m/>
    <e v="#NAME?"/>
    <e v="#NAME?"/>
    <e v="#NAME?"/>
    <m/>
    <m/>
    <m/>
    <m/>
    <m/>
    <m/>
    <m/>
    <m/>
    <m/>
  </r>
  <r>
    <s v="CE63313"/>
    <s v="CESAR LEONEL MARTIN CASTILLO (QA)"/>
    <x v="0"/>
    <x v="2"/>
    <s v="Inetum"/>
    <e v="#NAME?"/>
    <s v="NOSDA $ BAU (Mantenimiento y peq. evolutivos)"/>
    <n v="0.5"/>
    <s v="QA"/>
    <s v="Otras Tec."/>
    <m/>
    <e v="#NAME?"/>
    <e v="#NAME?"/>
    <e v="#NAME?"/>
    <m/>
    <m/>
    <m/>
    <m/>
    <m/>
    <m/>
    <m/>
    <m/>
    <m/>
  </r>
  <r>
    <s v="C808164"/>
    <s v="JORGE SEBASTIAN RODRIGUEZ MORA"/>
    <x v="0"/>
    <x v="2"/>
    <s v="BBVA"/>
    <e v="#NAME?"/>
    <s v="SDATOOL-38770 $ Marcación y cobro de comisiones PSE"/>
    <n v="1"/>
    <s v="Desarrollador"/>
    <s v="Mainframe"/>
    <m/>
    <e v="#NAME?"/>
    <e v="#NAME?"/>
    <e v="#NAME?"/>
    <m/>
    <m/>
    <m/>
    <m/>
    <m/>
    <m/>
    <m/>
    <m/>
    <m/>
  </r>
  <r>
    <s v="O002304"/>
    <s v="WILVER MARTINEZ ALVARADO"/>
    <x v="0"/>
    <x v="2"/>
    <s v="BBVA"/>
    <e v="#NAME?"/>
    <s v="SDATOOL-38770 $ Marcación y cobro de comisiones PSE"/>
    <n v="1"/>
    <s v="Desarrollador"/>
    <s v="Mainframe"/>
    <m/>
    <e v="#NAME?"/>
    <e v="#NAME?"/>
    <e v="#NAME?"/>
    <m/>
    <m/>
    <m/>
    <m/>
    <m/>
    <m/>
    <m/>
    <m/>
    <m/>
  </r>
  <r>
    <s v="CE43229"/>
    <s v="CARLOS MAURICIO AGUIRRE TOVAR"/>
    <x v="0"/>
    <x v="2"/>
    <s v="Inetum"/>
    <e v="#NAME?"/>
    <s v="SDATOOL-38770 $ Marcación y cobro de comisiones PSE"/>
    <n v="1"/>
    <s v="Desarrollador"/>
    <s v="Mainframe"/>
    <m/>
    <e v="#NAME?"/>
    <e v="#NAME?"/>
    <e v="#NAME?"/>
    <m/>
    <m/>
    <m/>
    <m/>
    <m/>
    <m/>
    <m/>
    <m/>
    <m/>
  </r>
  <r>
    <s v="CE68369"/>
    <s v="JUAN DAVID ACOSTA OBANDO (QA)"/>
    <x v="0"/>
    <x v="2"/>
    <s v="KRYPTO"/>
    <e v="#NAME?"/>
    <s v="SDATOOL-38770 $ Marcación y cobro de comisiones PSE"/>
    <n v="1"/>
    <s v="QA"/>
    <s v="Otras Tec."/>
    <m/>
    <e v="#NAME?"/>
    <e v="#NAME?"/>
    <e v="#NAME?"/>
    <m/>
    <m/>
    <m/>
    <m/>
    <m/>
    <m/>
    <m/>
    <m/>
    <m/>
  </r>
  <r>
    <s v="C784494"/>
    <s v="CARLOS IVAN CHOCONTA"/>
    <x v="0"/>
    <x v="2"/>
    <s v="BBVA"/>
    <e v="#NAME?"/>
    <s v="SDATOOL-37761 $ Plan transformación de procesos"/>
    <n v="0.75"/>
    <s v="Desarrollador"/>
    <s v="Mainframe"/>
    <m/>
    <e v="#NAME?"/>
    <e v="#NAME?"/>
    <e v="#NAME?"/>
    <m/>
    <m/>
    <m/>
    <m/>
    <m/>
    <m/>
    <m/>
    <m/>
    <m/>
  </r>
  <r>
    <s v="C784494"/>
    <s v="CARLOS IVAN CHOCONTA"/>
    <x v="0"/>
    <x v="2"/>
    <s v="BBVA"/>
    <e v="#NAME?"/>
    <s v="NOSDA $ BAU (Mantenimiento y peq. evolutivos)"/>
    <n v="0.25"/>
    <s v="Desarrollador"/>
    <s v="Mainframe"/>
    <m/>
    <e v="#NAME?"/>
    <e v="#NAME?"/>
    <e v="#NAME?"/>
    <m/>
    <m/>
    <m/>
    <m/>
    <m/>
    <m/>
    <m/>
    <m/>
    <m/>
  </r>
  <r>
    <s v="C808842"/>
    <s v="CARLOS ALBERTO PARDO"/>
    <x v="0"/>
    <x v="2"/>
    <s v="BBVA"/>
    <e v="#NAME?"/>
    <s v="SDATOOL-39246 $ Nuevo tipo de identificación para extranjeros"/>
    <n v="0.75"/>
    <s v="Desarrollador"/>
    <s v="Mainframe"/>
    <m/>
    <e v="#NAME?"/>
    <e v="#NAME?"/>
    <e v="#NAME?"/>
    <m/>
    <m/>
    <m/>
    <m/>
    <m/>
    <m/>
    <m/>
    <m/>
    <m/>
  </r>
  <r>
    <s v="C808842"/>
    <s v="CARLOS ALBERTO PARDO"/>
    <x v="0"/>
    <x v="2"/>
    <s v="BBVA"/>
    <e v="#NAME?"/>
    <s v="NOSDA $ BAU (Mantenimiento y peq. evolutivos)"/>
    <n v="0.25"/>
    <s v="Desarrollador"/>
    <s v="Mainframe"/>
    <m/>
    <e v="#NAME?"/>
    <e v="#NAME?"/>
    <e v="#NAME?"/>
    <m/>
    <m/>
    <m/>
    <m/>
    <m/>
    <m/>
    <m/>
    <m/>
    <m/>
  </r>
  <r>
    <s v="C808856"/>
    <s v="YEHIN STIVEN PATIÑO"/>
    <x v="0"/>
    <x v="2"/>
    <s v="BBVA"/>
    <e v="#NAME?"/>
    <s v="SDATOOL-31340 $ Intercambio Electrónico de Archivos ACH y Cenit"/>
    <n v="0.5"/>
    <s v="Desarrollador"/>
    <s v="Mainframe"/>
    <m/>
    <e v="#NAME?"/>
    <e v="#NAME?"/>
    <e v="#NAME?"/>
    <m/>
    <m/>
    <m/>
    <m/>
    <m/>
    <m/>
    <m/>
    <m/>
    <m/>
  </r>
  <r>
    <s v="C808856"/>
    <s v="YEHIN STIVEN PATIÑO"/>
    <x v="0"/>
    <x v="3"/>
    <s v="BBVA"/>
    <e v="#NAME?"/>
    <s v="SDATOOL-40528 $ ETPB - SENDA PAGOS"/>
    <n v="0.5"/>
    <s v="Desarrollador"/>
    <s v="Mainframe"/>
    <m/>
    <e v="#NAME?"/>
    <e v="#NAME?"/>
    <e v="#NAME?"/>
    <m/>
    <m/>
    <m/>
    <m/>
    <m/>
    <m/>
    <m/>
    <m/>
    <m/>
  </r>
  <r>
    <s v="C342171"/>
    <s v="CAROLINA BERNAL"/>
    <x v="0"/>
    <x v="2"/>
    <s v="BBVA"/>
    <e v="#NAME?"/>
    <s v="SDATOOL-39246 $ Nuevo tipo de identificación para extranjeros"/>
    <n v="0.25"/>
    <s v="Otros"/>
    <s v="Otras Tec."/>
    <m/>
    <e v="#NAME?"/>
    <e v="#NAME?"/>
    <e v="#NAME?"/>
    <m/>
    <m/>
    <m/>
    <m/>
    <m/>
    <m/>
    <m/>
    <m/>
    <m/>
  </r>
  <r>
    <s v="C342171"/>
    <s v="CAROLINA BERNAL"/>
    <x v="0"/>
    <x v="2"/>
    <s v="BBVA"/>
    <e v="#NAME?"/>
    <s v="SDATOOL-37761 $ Plan transformación de procesos"/>
    <n v="0.25"/>
    <s v="Otros"/>
    <s v="Otras Tec."/>
    <m/>
    <e v="#NAME?"/>
    <e v="#NAME?"/>
    <e v="#NAME?"/>
    <m/>
    <m/>
    <m/>
    <m/>
    <m/>
    <m/>
    <m/>
    <m/>
    <m/>
  </r>
  <r>
    <s v="C342171"/>
    <s v="CAROLINA BERNAL"/>
    <x v="0"/>
    <x v="2"/>
    <s v="BBVA"/>
    <e v="#NAME?"/>
    <s v="SDATOOL-31340 $ Intercambio Electrónico de Archivos ACH y Cenit"/>
    <n v="0.25"/>
    <s v="Otros"/>
    <s v="Otras Tec."/>
    <m/>
    <e v="#NAME?"/>
    <e v="#NAME?"/>
    <e v="#NAME?"/>
    <m/>
    <m/>
    <m/>
    <m/>
    <m/>
    <m/>
    <m/>
    <m/>
    <m/>
  </r>
  <r>
    <s v="C342171"/>
    <s v="CAROLINA BERNAL"/>
    <x v="0"/>
    <x v="2"/>
    <s v="BBVA"/>
    <e v="#NAME?"/>
    <s v="SDATOOL-37116 $ COLPENSIONES ESTRUCTURA ONP"/>
    <n v="0.25"/>
    <s v="Otros"/>
    <s v="Otras Tec."/>
    <m/>
    <e v="#NAME?"/>
    <e v="#NAME?"/>
    <e v="#NAME?"/>
    <m/>
    <m/>
    <m/>
    <m/>
    <m/>
    <m/>
    <m/>
    <m/>
    <m/>
  </r>
  <r>
    <s v="CE56542"/>
    <s v="HUMBERTO MALAGON VARGAS (Torre)"/>
    <x v="0"/>
    <x v="2"/>
    <s v="Novatec"/>
    <e v="#NAME?"/>
    <s v="NOSDA $ BAU (Mantenimiento y peq. evolutivos)"/>
    <n v="0.5"/>
    <s v="Desarrollador"/>
    <s v="Mainframe"/>
    <m/>
    <e v="#NAME?"/>
    <e v="#NAME?"/>
    <e v="#NAME?"/>
    <m/>
    <m/>
    <m/>
    <m/>
    <m/>
    <m/>
    <m/>
    <m/>
    <m/>
  </r>
  <r>
    <s v="CE57635"/>
    <s v="JAIRO ARTURO BELTAN (Torre)"/>
    <x v="0"/>
    <x v="2"/>
    <s v="Novatec"/>
    <e v="#NAME?"/>
    <s v="NOSDA $ BAU (Mantenimiento y peq. evolutivos)"/>
    <n v="1"/>
    <s v="Desarrollador"/>
    <s v="Mainframe"/>
    <m/>
    <e v="#NAME?"/>
    <e v="#NAME?"/>
    <e v="#NAME?"/>
    <m/>
    <m/>
    <m/>
    <m/>
    <m/>
    <m/>
    <m/>
    <m/>
    <m/>
  </r>
  <r>
    <s v="CE66612"/>
    <s v="JOHN ANDRES DIAZ AYALA (Torre)"/>
    <x v="0"/>
    <x v="2"/>
    <s v="Novatec"/>
    <e v="#NAME?"/>
    <s v="NOSDA $ BAU (Mantenimiento y peq. evolutivos)"/>
    <n v="1"/>
    <s v="Desarrollador"/>
    <s v="Mainframe"/>
    <m/>
    <e v="#NAME?"/>
    <e v="#NAME?"/>
    <e v="#NAME?"/>
    <m/>
    <m/>
    <m/>
    <m/>
    <m/>
    <m/>
    <m/>
    <m/>
    <m/>
  </r>
  <r>
    <m/>
    <s v="MARISOL VEGA JOYA (QA)"/>
    <x v="0"/>
    <x v="2"/>
    <s v="Inetum"/>
    <e v="#NAME?"/>
    <s v="SDATOOL-31340 $ Intercambio Electrónico de Archivos ACH y Cenit"/>
    <n v="0.5"/>
    <s v="QA"/>
    <s v="Otras Tec."/>
    <m/>
    <e v="#NAME?"/>
    <e v="#NAME?"/>
    <e v="#NAME?"/>
    <m/>
    <m/>
    <m/>
    <m/>
    <m/>
    <m/>
    <m/>
    <m/>
    <m/>
  </r>
  <r>
    <m/>
    <s v="MARISOL VEGA JOYA (QA)"/>
    <x v="0"/>
    <x v="2"/>
    <s v="Inetum"/>
    <e v="#NAME?"/>
    <s v="NOSDA $ BAU (Mantenimiento y peq. evolutivos)"/>
    <n v="0.5"/>
    <s v="QA"/>
    <s v="Otras Tec."/>
    <m/>
    <e v="#NAME?"/>
    <e v="#NAME?"/>
    <e v="#NAME?"/>
    <m/>
    <m/>
    <m/>
    <m/>
    <m/>
    <m/>
    <m/>
    <m/>
    <m/>
  </r>
  <r>
    <s v="C343581"/>
    <s v="WILLIAM JAVIER VILLAMIL ZAPATA "/>
    <x v="0"/>
    <x v="2"/>
    <s v="BBVA"/>
    <e v="#NAME?"/>
    <s v="SDATOOL-41553 $ Servicios transaccionales 2023"/>
    <n v="0.25"/>
    <s v="Tech Manager/Líder"/>
    <s v="ASO"/>
    <m/>
    <e v="#NAME?"/>
    <e v="#NAME?"/>
    <e v="#NAME?"/>
    <m/>
    <m/>
    <m/>
    <m/>
    <m/>
    <m/>
    <m/>
    <m/>
    <m/>
  </r>
  <r>
    <s v="C343581"/>
    <s v="WILLIAM JAVIER VILLAMIL ZAPATA "/>
    <x v="0"/>
    <x v="2"/>
    <s v="BBVA"/>
    <e v="#NAME?"/>
    <s v="SDATOOL-37129 $ Conciliación Recaudo PSE"/>
    <n v="0.25"/>
    <s v="Tech Manager/Líder"/>
    <s v="ASO"/>
    <m/>
    <e v="#NAME?"/>
    <e v="#NAME?"/>
    <e v="#NAME?"/>
    <m/>
    <m/>
    <m/>
    <m/>
    <m/>
    <m/>
    <m/>
    <m/>
    <m/>
  </r>
  <r>
    <s v="C343581"/>
    <s v="WILLIAM JAVIER VILLAMIL ZAPATA "/>
    <x v="0"/>
    <x v="2"/>
    <s v="BBVA"/>
    <e v="#NAME?"/>
    <s v="NOSDA $ BAU (Mantenimiento y peq. evolutivos)"/>
    <n v="0.5"/>
    <s v="Tech Manager/Líder"/>
    <s v="ASO"/>
    <m/>
    <e v="#NAME?"/>
    <e v="#NAME?"/>
    <e v="#NAME?"/>
    <m/>
    <m/>
    <m/>
    <m/>
    <m/>
    <m/>
    <m/>
    <m/>
    <m/>
  </r>
  <r>
    <s v="C810947"/>
    <s v="LAURA PULIDO DIAZ"/>
    <x v="0"/>
    <x v="2"/>
    <s v="BBVA"/>
    <e v="#NAME?"/>
    <s v="SDATOOL-41553 $ Servicios transaccionales 2023"/>
    <n v="1"/>
    <s v="Desarrollador"/>
    <s v="APX"/>
    <m/>
    <e v="#NAME?"/>
    <e v="#NAME?"/>
    <e v="#NAME?"/>
    <m/>
    <m/>
    <m/>
    <m/>
    <m/>
    <m/>
    <m/>
    <m/>
    <m/>
  </r>
  <r>
    <s v="C809749"/>
    <s v="DEIMER DAVID JIMENEZ MAESTRE"/>
    <x v="0"/>
    <x v="2"/>
    <s v="BBVA"/>
    <e v="#NAME?"/>
    <s v="SDATOOL-41553 $ Servicios transaccionales 2023"/>
    <n v="1"/>
    <s v="Desarrollador"/>
    <s v="Mainframe"/>
    <m/>
    <e v="#NAME?"/>
    <e v="#NAME?"/>
    <e v="#NAME?"/>
    <m/>
    <m/>
    <m/>
    <m/>
    <m/>
    <m/>
    <m/>
    <m/>
    <m/>
  </r>
  <r>
    <s v="T002859"/>
    <s v="ANGIE DANIELA PERDOMO RAMIREZ (QA)"/>
    <x v="0"/>
    <x v="2"/>
    <s v="Inetum"/>
    <e v="#NAME?"/>
    <s v="SDATOOL-41553 $ Servicios transaccionales 2023"/>
    <n v="1"/>
    <s v="QA"/>
    <s v="Otras Tec."/>
    <m/>
    <e v="#NAME?"/>
    <e v="#NAME?"/>
    <e v="#NAME?"/>
    <m/>
    <m/>
    <m/>
    <m/>
    <m/>
    <m/>
    <m/>
    <m/>
    <m/>
  </r>
  <r>
    <s v="C808769"/>
    <s v="WILLIAM FERNANDO ALARCON"/>
    <x v="0"/>
    <x v="2"/>
    <s v="BBVA"/>
    <e v="#NAME?"/>
    <s v="SDATOOL-37129 $ Conciliación Recaudo PSE"/>
    <n v="0.75"/>
    <s v="Desarrollador"/>
    <s v="ASO"/>
    <m/>
    <e v="#NAME?"/>
    <e v="#NAME?"/>
    <e v="#NAME?"/>
    <m/>
    <m/>
    <m/>
    <m/>
    <m/>
    <m/>
    <m/>
    <m/>
    <m/>
  </r>
  <r>
    <s v="C808769"/>
    <s v="WILLIAM FERNANDO ALARCON"/>
    <x v="0"/>
    <x v="2"/>
    <s v="BBVA"/>
    <e v="#NAME?"/>
    <s v="NOSDA $ BAU (Mantenimiento y peq. evolutivos)"/>
    <n v="0.25"/>
    <s v="Desarrollador"/>
    <s v="ASO"/>
    <m/>
    <e v="#NAME?"/>
    <e v="#NAME?"/>
    <e v="#NAME?"/>
    <m/>
    <m/>
    <m/>
    <m/>
    <m/>
    <m/>
    <m/>
    <m/>
    <m/>
  </r>
  <r>
    <s v="C811207"/>
    <s v="LUIS FERNANDO GUTIERREZ PRADO"/>
    <x v="0"/>
    <x v="2"/>
    <s v="BBVA"/>
    <e v="#NAME?"/>
    <s v="SDATOOL-37129 $ Conciliación Recaudo PSE"/>
    <n v="1"/>
    <s v="Desarrollador"/>
    <s v="ASO"/>
    <m/>
    <e v="#NAME?"/>
    <e v="#NAME?"/>
    <e v="#NAME?"/>
    <m/>
    <m/>
    <m/>
    <m/>
    <m/>
    <m/>
    <m/>
    <m/>
    <m/>
  </r>
  <r>
    <s v="O004611"/>
    <s v="ANDRES ARTURO QUINTERO"/>
    <x v="0"/>
    <x v="2"/>
    <s v="BBVA"/>
    <e v="#NAME?"/>
    <s v="SDATOOL-41553 $ Servicios transaccionales 2023"/>
    <n v="1"/>
    <s v="Desarrollador"/>
    <s v="APX"/>
    <m/>
    <e v="#NAME?"/>
    <e v="#NAME?"/>
    <e v="#NAME?"/>
    <m/>
    <m/>
    <m/>
    <m/>
    <m/>
    <m/>
    <m/>
    <m/>
    <m/>
  </r>
  <r>
    <s v="T009935"/>
    <s v="JORGE LUIS MONTEJO (Torre)"/>
    <x v="0"/>
    <x v="2"/>
    <s v="Novatec"/>
    <e v="#NAME?"/>
    <s v="NOSDA $ BAU (Mantenimiento y peq. evolutivos)"/>
    <n v="0.5"/>
    <s v="Desarrollador"/>
    <s v="Mainframe"/>
    <m/>
    <e v="#NAME?"/>
    <e v="#NAME?"/>
    <e v="#NAME?"/>
    <m/>
    <m/>
    <m/>
    <m/>
    <m/>
    <m/>
    <m/>
    <m/>
    <m/>
  </r>
  <r>
    <s v="CE68693"/>
    <s v="MANUEL ALEJANDRO MARENCO (Torre)"/>
    <x v="0"/>
    <x v="2"/>
    <s v="Novatec"/>
    <e v="#NAME?"/>
    <s v="NOSDA $ BAU (Mantenimiento y peq. evolutivos)"/>
    <n v="1"/>
    <s v="Desarrollador"/>
    <s v="Mainframe"/>
    <m/>
    <e v="#NAME?"/>
    <e v="#NAME?"/>
    <e v="#NAME?"/>
    <m/>
    <m/>
    <m/>
    <m/>
    <m/>
    <m/>
    <m/>
    <m/>
    <m/>
  </r>
  <r>
    <s v="T009914"/>
    <s v="MARIELA CUBIDES  VILLAQUIRAN (Torre)"/>
    <x v="0"/>
    <x v="2"/>
    <s v="Novatec"/>
    <e v="#NAME?"/>
    <s v="NOSDA $ BAU (Mantenimiento y peq. evolutivos)"/>
    <n v="1"/>
    <s v="Desarrollador"/>
    <s v="Mainframe"/>
    <m/>
    <e v="#NAME?"/>
    <e v="#NAME?"/>
    <e v="#NAME?"/>
    <m/>
    <m/>
    <m/>
    <m/>
    <m/>
    <m/>
    <m/>
    <m/>
    <m/>
  </r>
  <r>
    <s v="C801829"/>
    <s v="LUISA FERNANDA CASTRILLON"/>
    <x v="0"/>
    <x v="2"/>
    <s v="BBVA"/>
    <e v="#NAME?"/>
    <s v="SDATOOL-41553 $ Servicios transaccionales 2023"/>
    <n v="0.25"/>
    <s v="Desarrollador"/>
    <s v="Distribuido"/>
    <m/>
    <e v="#NAME?"/>
    <e v="#NAME?"/>
    <e v="#NAME?"/>
    <m/>
    <m/>
    <m/>
    <m/>
    <m/>
    <m/>
    <m/>
    <m/>
    <m/>
  </r>
  <r>
    <s v="C801829"/>
    <s v="LUISA FERNANDA CASTRILLON"/>
    <x v="0"/>
    <x v="2"/>
    <s v="BBVA"/>
    <e v="#NAME?"/>
    <s v="SDATOOL-41980 $ Modelo API´S Recaudo (CB´s)"/>
    <n v="0.25"/>
    <s v="Desarrollador"/>
    <s v="Distribuido"/>
    <m/>
    <e v="#NAME?"/>
    <e v="#NAME?"/>
    <e v="#NAME?"/>
    <m/>
    <m/>
    <m/>
    <m/>
    <m/>
    <m/>
    <m/>
    <m/>
    <m/>
  </r>
  <r>
    <s v="C801829"/>
    <s v="LUISA FERNANDA CASTRILLON"/>
    <x v="0"/>
    <x v="2"/>
    <s v="BBVA"/>
    <e v="#NAME?"/>
    <s v="SDATOOL-42040 $ In House Bavaria"/>
    <n v="0.25"/>
    <s v="Desarrollador"/>
    <s v="Distribuido"/>
    <m/>
    <e v="#NAME?"/>
    <e v="#NAME?"/>
    <e v="#NAME?"/>
    <m/>
    <m/>
    <m/>
    <m/>
    <m/>
    <m/>
    <m/>
    <m/>
    <m/>
  </r>
  <r>
    <s v="C801829"/>
    <s v="LUISA FERNANDA CASTRILLON"/>
    <x v="0"/>
    <x v="2"/>
    <s v="BBVA"/>
    <e v="#NAME?"/>
    <s v="SDATOOL-42040 $ In House Bavaria"/>
    <n v="0.25"/>
    <s v="Desarrollador"/>
    <s v="Distribuido"/>
    <m/>
    <e v="#NAME?"/>
    <e v="#NAME?"/>
    <e v="#NAME?"/>
    <m/>
    <m/>
    <m/>
    <m/>
    <m/>
    <m/>
    <m/>
    <m/>
    <m/>
  </r>
  <r>
    <s v="O000393"/>
    <s v="DANIEL FELIPE ZAPATA"/>
    <x v="0"/>
    <x v="2"/>
    <s v="BBVA"/>
    <e v="#NAME?"/>
    <s v="SDATOOL-41980 $ Modelo API´S Recaudo (CB´s)"/>
    <n v="1"/>
    <s v="Desarrollador"/>
    <s v="ASO"/>
    <m/>
    <e v="#NAME?"/>
    <e v="#NAME?"/>
    <e v="#NAME?"/>
    <m/>
    <m/>
    <m/>
    <m/>
    <m/>
    <m/>
    <m/>
    <m/>
    <m/>
  </r>
  <r>
    <s v="O004836"/>
    <s v="JUANITA GARCIA CONTRERAS"/>
    <x v="0"/>
    <x v="2"/>
    <s v="BBVA"/>
    <e v="#NAME?"/>
    <s v="SDATOOL-41553 $ Servicios transaccionales 2023"/>
    <n v="1"/>
    <s v="Desarrollador"/>
    <s v="Distribuido"/>
    <m/>
    <e v="#NAME?"/>
    <e v="#NAME?"/>
    <e v="#NAME?"/>
    <m/>
    <m/>
    <m/>
    <m/>
    <m/>
    <m/>
    <m/>
    <m/>
    <m/>
  </r>
  <r>
    <s v="O004612"/>
    <s v="JUAN DAVID PRECIADO AGUILAR "/>
    <x v="0"/>
    <x v="2"/>
    <s v="BBVA"/>
    <e v="#NAME?"/>
    <s v="SDATOOL-41553 $ Servicios transaccionales 2023"/>
    <n v="1"/>
    <s v="Desarrollador"/>
    <s v="Distribuido"/>
    <m/>
    <e v="#NAME?"/>
    <e v="#NAME?"/>
    <e v="#NAME?"/>
    <m/>
    <m/>
    <m/>
    <m/>
    <m/>
    <m/>
    <m/>
    <m/>
    <m/>
  </r>
  <r>
    <s v="T005391"/>
    <s v="YINET CATALINA TORRES (QA)"/>
    <x v="0"/>
    <x v="2"/>
    <s v="Inetum"/>
    <e v="#NAME?"/>
    <s v="NOSDA $ BAU (Mantenimiento y peq. evolutivos)"/>
    <n v="1"/>
    <s v="QA"/>
    <s v="Otras Tec."/>
    <m/>
    <e v="#NAME?"/>
    <e v="#NAME?"/>
    <e v="#NAME?"/>
    <m/>
    <m/>
    <m/>
    <m/>
    <m/>
    <m/>
    <m/>
    <m/>
    <m/>
  </r>
  <r>
    <s v="C808646"/>
    <s v="DAVID CAMILO CORREDOR RODRIGUEZ"/>
    <x v="0"/>
    <x v="4"/>
    <s v="BBVA"/>
    <e v="#NAME?"/>
    <s v="SDATOOL-36547 $ PLAN MAYOR -PLAN MENOR. Plan ascenso Open Market"/>
    <n v="1"/>
    <s v="Desarrollador"/>
    <s v="Mainframe"/>
    <m/>
    <e v="#NAME?"/>
    <e v="#NAME?"/>
    <e v="#NAME?"/>
    <m/>
    <m/>
    <m/>
    <m/>
    <m/>
    <m/>
    <m/>
    <m/>
    <m/>
  </r>
  <r>
    <s v="O001334"/>
    <s v="ELKIN FERNANDO RIVERA GOMEZ"/>
    <x v="0"/>
    <x v="4"/>
    <s v="BBVA"/>
    <e v="#NAME?"/>
    <s v="SDATOOL-36547 $ PLAN MAYOR -PLAN MENOR. Plan ascenso Open Market"/>
    <n v="0.5"/>
    <s v="Otros"/>
    <s v="Distribuido"/>
    <m/>
    <e v="#NAME?"/>
    <e v="#NAME?"/>
    <e v="#NAME?"/>
    <m/>
    <m/>
    <m/>
    <m/>
    <m/>
    <m/>
    <m/>
    <m/>
    <m/>
  </r>
  <r>
    <s v="O001334"/>
    <s v="ELKIN FERNANDO RIVERA GOMEZ"/>
    <x v="0"/>
    <x v="4"/>
    <s v="BBVA"/>
    <e v="#NAME?"/>
    <s v="SDATOOL-42106 $ Emisión Certificados Tributarios a proveedores en Operaciones Sin Recurso (Proyecto Normativo)"/>
    <n v="0.25"/>
    <s v="Otros"/>
    <s v="Distribuido"/>
    <m/>
    <e v="#NAME?"/>
    <e v="#NAME?"/>
    <e v="#NAME?"/>
    <m/>
    <m/>
    <m/>
    <m/>
    <m/>
    <m/>
    <m/>
    <m/>
    <m/>
  </r>
  <r>
    <s v="O001334"/>
    <s v="ELKIN FERNANDO RIVERA GOMEZ"/>
    <x v="0"/>
    <x v="4"/>
    <s v="BBVA"/>
    <e v="#NAME?"/>
    <s v="SDATOOL-40438 $ CIRCULAR 032 del 2021 - REQUERIMIENTO FISCALIA GENERAL DE LA NACION"/>
    <n v="0.25"/>
    <s v="Otros"/>
    <s v="Distribuido"/>
    <m/>
    <e v="#NAME?"/>
    <e v="#NAME?"/>
    <e v="#NAME?"/>
    <m/>
    <m/>
    <m/>
    <m/>
    <m/>
    <m/>
    <m/>
    <m/>
    <m/>
  </r>
  <r>
    <s v="C810881"/>
    <s v="JOHN MAICOL NUÑEZ SANTA"/>
    <x v="0"/>
    <x v="4"/>
    <s v="BBVA"/>
    <e v="#NAME?"/>
    <s v="SDATOOL-37086 $ Factura electrónica (radian)"/>
    <n v="0.75"/>
    <s v="Desarrollador"/>
    <s v="Distribuido"/>
    <m/>
    <e v="#NAME?"/>
    <e v="#NAME?"/>
    <e v="#NAME?"/>
    <m/>
    <m/>
    <m/>
    <m/>
    <m/>
    <m/>
    <m/>
    <m/>
    <m/>
  </r>
  <r>
    <s v="C810881"/>
    <s v="JOHN MAICOL NUÑEZ SANTA"/>
    <x v="0"/>
    <x v="4"/>
    <s v="BBVA"/>
    <e v="#NAME?"/>
    <s v="SDATOOL-40438 $ CIRCULAR 032 del 2021 - REQUERIMIENTO FISCALIA GENERAL DE LA NACION"/>
    <n v="0.25"/>
    <s v="Desarrollador"/>
    <s v="Distribuido"/>
    <m/>
    <e v="#NAME?"/>
    <e v="#NAME?"/>
    <e v="#NAME?"/>
    <m/>
    <m/>
    <m/>
    <m/>
    <m/>
    <m/>
    <m/>
    <m/>
    <m/>
  </r>
  <r>
    <s v="C805972"/>
    <s v="JORGE ARMANDO MILLAN GOMEZ"/>
    <x v="0"/>
    <x v="4"/>
    <s v="BBVA"/>
    <e v="#NAME?"/>
    <s v="SDATOOL-36547 $ PLAN MAYOR -PLAN MENOR. Plan ascenso Open Market"/>
    <n v="1"/>
    <s v="Desarrollador"/>
    <s v="Distribuido"/>
    <m/>
    <e v="#NAME?"/>
    <e v="#NAME?"/>
    <e v="#NAME?"/>
    <m/>
    <m/>
    <m/>
    <m/>
    <m/>
    <m/>
    <m/>
    <m/>
    <m/>
  </r>
  <r>
    <s v="C805323"/>
    <s v="JOSE MIGUEL PARDO"/>
    <x v="0"/>
    <x v="4"/>
    <s v="BBVA"/>
    <e v="#NAME?"/>
    <s v="SDATOOL-37125 $ Factoring - IBR"/>
    <n v="1"/>
    <s v="Desarrollador"/>
    <s v="Distribuido"/>
    <m/>
    <e v="#NAME?"/>
    <e v="#NAME?"/>
    <e v="#NAME?"/>
    <m/>
    <m/>
    <m/>
    <m/>
    <m/>
    <m/>
    <m/>
    <m/>
    <m/>
  </r>
  <r>
    <s v="C804103"/>
    <s v="MAIRON STIVENS JIMENEZ QUIROGA"/>
    <x v="0"/>
    <x v="4"/>
    <s v="BBVA"/>
    <e v="#NAME?"/>
    <s v="SDATOOL-37125 $ Factoring - IBR"/>
    <n v="0.5"/>
    <s v="Desarrollador"/>
    <s v="Distribuido"/>
    <m/>
    <e v="#NAME?"/>
    <e v="#NAME?"/>
    <e v="#NAME?"/>
    <m/>
    <m/>
    <m/>
    <m/>
    <m/>
    <m/>
    <m/>
    <m/>
    <m/>
  </r>
  <r>
    <s v="C804103"/>
    <s v="MAIRON STIVENS JIMENEZ QUIROGA"/>
    <x v="0"/>
    <x v="4"/>
    <s v="BBVA"/>
    <e v="#NAME?"/>
    <s v="SDATOOL-42106 $ Emisión Certificados Tributarios a proveedores en Operaciones Sin Recurso (Proyecto Normativo)"/>
    <n v="0.5"/>
    <s v="Desarrollador"/>
    <s v="Distribuido"/>
    <m/>
    <e v="#NAME?"/>
    <e v="#NAME?"/>
    <e v="#NAME?"/>
    <m/>
    <m/>
    <m/>
    <m/>
    <m/>
    <m/>
    <m/>
    <m/>
    <m/>
  </r>
  <r>
    <s v="C805973"/>
    <s v="JESUS DAVID TELLO ARISTIZABAL"/>
    <x v="0"/>
    <x v="4"/>
    <s v="BBVA"/>
    <e v="#NAME?"/>
    <s v="SDATOOL-37086 $ Factura electrónica (radian)"/>
    <n v="1"/>
    <s v="Desarrollador"/>
    <s v="Mainframe"/>
    <m/>
    <e v="#NAME?"/>
    <e v="#NAME?"/>
    <e v="#NAME?"/>
    <m/>
    <m/>
    <m/>
    <m/>
    <m/>
    <m/>
    <m/>
    <m/>
    <m/>
  </r>
  <r>
    <s v="C805925"/>
    <s v="GUSTAVO ANDRES CAMARGO"/>
    <x v="0"/>
    <x v="4"/>
    <s v="BBVA"/>
    <e v="#NAME?"/>
    <s v="SDATOOL-36547 $ PLAN MAYOR -PLAN MENOR. Plan ascenso Open Market"/>
    <n v="0.25"/>
    <s v="Desarrollador"/>
    <s v="Mainframe"/>
    <m/>
    <e v="#NAME?"/>
    <e v="#NAME?"/>
    <e v="#NAME?"/>
    <m/>
    <m/>
    <m/>
    <m/>
    <m/>
    <m/>
    <m/>
    <m/>
    <m/>
  </r>
  <r>
    <s v="O004604"/>
    <s v="DARREN NICOLAS DURAN JAMAICA"/>
    <x v="0"/>
    <x v="4"/>
    <s v="BBVA"/>
    <e v="#NAME?"/>
    <s v="NOSDA $ BAU (Mantenimiento y peq. evolutivos)"/>
    <n v="1"/>
    <s v="Desarrollador"/>
    <s v="Mainframe"/>
    <m/>
    <e v="#NAME?"/>
    <e v="#NAME?"/>
    <e v="#NAME?"/>
    <m/>
    <m/>
    <m/>
    <m/>
    <m/>
    <m/>
    <m/>
    <m/>
    <m/>
  </r>
  <r>
    <s v="O000159"/>
    <s v="CAROL VIVIANA CARVAJALNAGLES"/>
    <x v="0"/>
    <x v="4"/>
    <s v="BBVA"/>
    <e v="#NAME?"/>
    <s v="SDATOOL-36547 $ PLAN MAYOR -PLAN MENOR. Plan ascenso Open Market"/>
    <n v="0.5"/>
    <s v="Tech Manager/Líder"/>
    <s v="Distribuido"/>
    <m/>
    <e v="#NAME?"/>
    <e v="#NAME?"/>
    <e v="#NAME?"/>
    <m/>
    <m/>
    <m/>
    <m/>
    <m/>
    <m/>
    <m/>
    <m/>
    <m/>
  </r>
  <r>
    <s v="O000159"/>
    <s v="CAROL VIVIANA CARVAJALNAGLES"/>
    <x v="0"/>
    <x v="4"/>
    <s v="BBVA"/>
    <e v="#NAME?"/>
    <s v="SDATOOL-37125 $ Factoring - IBR"/>
    <n v="0.25"/>
    <s v="Tech Manager/Líder"/>
    <s v="Distribuido"/>
    <m/>
    <e v="#NAME?"/>
    <e v="#NAME?"/>
    <e v="#NAME?"/>
    <m/>
    <m/>
    <m/>
    <m/>
    <m/>
    <m/>
    <m/>
    <m/>
    <m/>
  </r>
  <r>
    <s v="O000159"/>
    <s v="CAROL VIVIANA CARVAJALNAGLES"/>
    <x v="0"/>
    <x v="4"/>
    <s v="BBVA"/>
    <e v="#NAME?"/>
    <s v="SDATOOL-42106 $ Emisión Certificados Tributarios a proveedores en Operaciones Sin Recurso (Proyecto Normativo)"/>
    <n v="0.15"/>
    <s v="Tech Manager/Líder"/>
    <s v="Distribuido"/>
    <m/>
    <e v="#NAME?"/>
    <e v="#NAME?"/>
    <e v="#NAME?"/>
    <m/>
    <m/>
    <m/>
    <m/>
    <m/>
    <m/>
    <m/>
    <m/>
    <m/>
  </r>
  <r>
    <s v="O000159"/>
    <s v="CAROL VIVIANA CARVAJALNAGLES"/>
    <x v="0"/>
    <x v="4"/>
    <s v="BBVA"/>
    <e v="#NAME?"/>
    <s v="SDATOOL-40438 $ CIRCULAR 032 del 2021 - REQUERIMIENTO FISCALIA GENERAL DE LA NACION"/>
    <n v="0.1"/>
    <s v="Tech Manager/Líder"/>
    <s v="Distribuido"/>
    <m/>
    <e v="#NAME?"/>
    <e v="#NAME?"/>
    <e v="#NAME?"/>
    <m/>
    <m/>
    <m/>
    <m/>
    <m/>
    <m/>
    <m/>
    <m/>
    <m/>
  </r>
  <r>
    <s v="T005152"/>
    <s v="ANGELICA MARINA CASTILLA RENDON"/>
    <x v="0"/>
    <x v="4"/>
    <s v="Inetum"/>
    <e v="#NAME?"/>
    <s v="SDATOOL-36547 $ PLAN MAYOR -PLAN MENOR. Plan ascenso Open Market"/>
    <n v="0.9"/>
    <s v="QA"/>
    <s v="Mainframe"/>
    <m/>
    <e v="#NAME?"/>
    <e v="#NAME?"/>
    <e v="#NAME?"/>
    <m/>
    <m/>
    <m/>
    <m/>
    <m/>
    <m/>
    <m/>
    <m/>
    <m/>
  </r>
  <r>
    <s v="T005152"/>
    <s v="ANGELICA MARINA CASTILLA RENDON"/>
    <x v="0"/>
    <x v="4"/>
    <s v="Inetum"/>
    <e v="#NAME?"/>
    <s v="SDATOOL-42106 $ Emisión Certificados Tributarios a proveedores en Operaciones Sin Recurso (Proyecto Normativo)"/>
    <n v="0.1"/>
    <s v="QA"/>
    <s v="Distribuido"/>
    <m/>
    <e v="#NAME?"/>
    <e v="#NAME?"/>
    <e v="#NAME?"/>
    <m/>
    <m/>
    <m/>
    <m/>
    <m/>
    <m/>
    <m/>
    <m/>
    <m/>
  </r>
  <r>
    <s v="CE68432"/>
    <s v="ANGELY JOHANA GONZALEZ VILLAMIL"/>
    <x v="0"/>
    <x v="4"/>
    <s v="Choucair"/>
    <e v="#NAME?"/>
    <s v="SDATOOL-37125 $ Factoring - IBR"/>
    <n v="1"/>
    <s v="QA"/>
    <s v="Distribuido"/>
    <m/>
    <e v="#NAME?"/>
    <e v="#NAME?"/>
    <e v="#NAME?"/>
    <m/>
    <m/>
    <m/>
    <m/>
    <m/>
    <m/>
    <m/>
    <m/>
    <m/>
  </r>
  <r>
    <s v="CE60767"/>
    <s v="JEIMMY ALEJANDRA SANCHEZ LOPEZ"/>
    <x v="0"/>
    <x v="4"/>
    <s v="Choucair"/>
    <e v="#NAME?"/>
    <s v="SDATOOL-37125 $ Factoring - IBR"/>
    <n v="1"/>
    <s v="QA"/>
    <s v="Distribuido"/>
    <m/>
    <e v="#NAME?"/>
    <e v="#NAME?"/>
    <e v="#NAME?"/>
    <m/>
    <m/>
    <m/>
    <m/>
    <m/>
    <m/>
    <m/>
    <m/>
    <m/>
  </r>
  <r>
    <s v="T002011"/>
    <s v="YEIMY TATIANA ZAMORA GUEVARA"/>
    <x v="0"/>
    <x v="4"/>
    <s v="Choucair"/>
    <e v="#NAME?"/>
    <s v="SDATOOL-37125 $ Factoring - IBR"/>
    <n v="1"/>
    <s v="QA"/>
    <s v="Distribuido"/>
    <m/>
    <e v="#NAME?"/>
    <e v="#NAME?"/>
    <e v="#NAME?"/>
    <m/>
    <m/>
    <m/>
    <m/>
    <m/>
    <m/>
    <m/>
    <m/>
    <m/>
  </r>
  <r>
    <s v="CE65276"/>
    <s v="JOHANA IDALY GARZON RUIZ"/>
    <x v="0"/>
    <x v="4"/>
    <s v="Choucair"/>
    <e v="#NAME?"/>
    <s v="SDATOOL-37125 $ Factoring - IBR"/>
    <n v="1"/>
    <s v="QA"/>
    <s v="Distribuido"/>
    <m/>
    <e v="#NAME?"/>
    <e v="#NAME?"/>
    <e v="#NAME?"/>
    <m/>
    <m/>
    <m/>
    <m/>
    <m/>
    <m/>
    <m/>
    <m/>
    <m/>
  </r>
  <r>
    <s v="CE51577"/>
    <s v="LINA JULIETH REDONDO SOLER"/>
    <x v="0"/>
    <x v="4"/>
    <s v="Choucair"/>
    <e v="#NAME?"/>
    <s v="SDATOOL-36547 $ PLAN MAYOR -PLAN MENOR. Plan ascenso Open Market"/>
    <n v="1"/>
    <s v="QA"/>
    <s v="Mainframe"/>
    <m/>
    <e v="#NAME?"/>
    <e v="#NAME?"/>
    <e v="#NAME?"/>
    <m/>
    <m/>
    <m/>
    <m/>
    <m/>
    <m/>
    <m/>
    <m/>
    <m/>
  </r>
  <r>
    <s v="CE68565"/>
    <s v="JELBER STIBEN LOZANO PRADA"/>
    <x v="0"/>
    <x v="4"/>
    <s v="Choucair"/>
    <e v="#NAME?"/>
    <s v="SDATOOL-36547 $ PLAN MAYOR -PLAN MENOR. Plan ascenso Open Market"/>
    <n v="1"/>
    <s v="QA"/>
    <s v="Distribuido"/>
    <m/>
    <e v="#NAME?"/>
    <e v="#NAME?"/>
    <e v="#NAME?"/>
    <m/>
    <m/>
    <m/>
    <m/>
    <m/>
    <m/>
    <m/>
    <m/>
    <m/>
  </r>
  <r>
    <s v="CE66305"/>
    <s v="LADY JOHANNA ARDILA ABELLO"/>
    <x v="0"/>
    <x v="4"/>
    <s v="Choucair"/>
    <e v="#NAME?"/>
    <s v="SDATOOL-36547 $ PLAN MAYOR -PLAN MENOR. Plan ascenso Open Market"/>
    <n v="1"/>
    <s v="QA"/>
    <s v="Mainframe"/>
    <m/>
    <e v="#NAME?"/>
    <e v="#NAME?"/>
    <e v="#NAME?"/>
    <m/>
    <m/>
    <m/>
    <m/>
    <m/>
    <m/>
    <m/>
    <m/>
    <m/>
  </r>
  <r>
    <s v="CE67889"/>
    <s v="YEIMY PATRICIA PELAEZ ARENAS"/>
    <x v="0"/>
    <x v="4"/>
    <s v="Choucair"/>
    <e v="#NAME?"/>
    <s v="SDATOOL-36547 $ PLAN MAYOR -PLAN MENOR. Plan ascenso Open Market"/>
    <n v="1"/>
    <s v="QA"/>
    <s v="Distribuido"/>
    <m/>
    <e v="#NAME?"/>
    <e v="#NAME?"/>
    <e v="#NAME?"/>
    <m/>
    <m/>
    <m/>
    <m/>
    <m/>
    <m/>
    <m/>
    <m/>
    <m/>
  </r>
  <r>
    <s v="T010295"/>
    <s v="KAREN JULIETH VASQUEZ ROMERO"/>
    <x v="0"/>
    <x v="4"/>
    <s v="Choucair"/>
    <e v="#NAME?"/>
    <s v="SDATOOL-36547 $ PLAN MAYOR -PLAN MENOR. Plan ascenso Open Market"/>
    <n v="1"/>
    <s v="QA"/>
    <s v="Mainframe"/>
    <m/>
    <e v="#NAME?"/>
    <e v="#NAME?"/>
    <e v="#NAME?"/>
    <m/>
    <m/>
    <m/>
    <m/>
    <m/>
    <m/>
    <m/>
    <m/>
    <m/>
  </r>
  <r>
    <s v="CE51510"/>
    <s v="JULY VANESSA TORRES ZARATE"/>
    <x v="0"/>
    <x v="4"/>
    <s v="Choucair"/>
    <e v="#NAME?"/>
    <s v="SDATOOL-36547 $ PLAN MAYOR -PLAN MENOR. Plan ascenso Open Market"/>
    <n v="1"/>
    <s v="QA"/>
    <s v="Distribuido"/>
    <m/>
    <e v="#NAME?"/>
    <e v="#NAME?"/>
    <e v="#NAME?"/>
    <m/>
    <m/>
    <m/>
    <m/>
    <m/>
    <m/>
    <m/>
    <m/>
    <m/>
  </r>
  <r>
    <s v="CE68432"/>
    <s v="PAUL JONATHAN VALENCIA MUÑOZ"/>
    <x v="0"/>
    <x v="4"/>
    <s v="Choucair"/>
    <e v="#NAME?"/>
    <s v="SDATOOL-36547 $ PLAN MAYOR -PLAN MENOR. Plan ascenso Open Market"/>
    <n v="1"/>
    <s v="QA"/>
    <s v="Distribuido"/>
    <m/>
    <e v="#NAME?"/>
    <e v="#NAME?"/>
    <e v="#NAME?"/>
    <m/>
    <m/>
    <m/>
    <m/>
    <m/>
    <m/>
    <m/>
    <m/>
    <m/>
  </r>
  <r>
    <s v=" T011816"/>
    <s v="JENNY PAOLA LOSADA VELASCO"/>
    <x v="0"/>
    <x v="4"/>
    <s v="Choucair"/>
    <e v="#NAME?"/>
    <s v="SDATOOL-36547 $ PLAN MAYOR -PLAN MENOR. Plan ascenso Open Market"/>
    <n v="1"/>
    <s v="QA"/>
    <s v="Distribuido"/>
    <m/>
    <e v="#NAME?"/>
    <e v="#NAME?"/>
    <e v="#NAME?"/>
    <m/>
    <m/>
    <m/>
    <m/>
    <m/>
    <m/>
    <m/>
    <m/>
    <m/>
  </r>
  <r>
    <s v="T012212"/>
    <s v="MONICA ALEJANDRA QUINTERO PEREZ"/>
    <x v="0"/>
    <x v="4"/>
    <s v="Choucair"/>
    <e v="#NAME?"/>
    <s v="SDATOOL-36547 $ PLAN MAYOR -PLAN MENOR. Plan ascenso Open Market"/>
    <n v="1"/>
    <s v="QA"/>
    <s v="Distribuido"/>
    <m/>
    <e v="#NAME?"/>
    <e v="#NAME?"/>
    <e v="#NAME?"/>
    <m/>
    <m/>
    <m/>
    <m/>
    <m/>
    <m/>
    <m/>
    <m/>
    <m/>
  </r>
  <r>
    <s v="CE30318"/>
    <s v="ROBERTO ANTONIO MARTINEZ"/>
    <x v="0"/>
    <x v="4"/>
    <s v="KRYPTO"/>
    <e v="#NAME?"/>
    <s v="SDATOOL-36547 $ PLAN MAYOR -PLAN MENOR. Plan ascenso Open Market"/>
    <n v="0.1"/>
    <s v="QA"/>
    <s v="Mainframe"/>
    <m/>
    <e v="#NAME?"/>
    <e v="#NAME?"/>
    <e v="#NAME?"/>
    <m/>
    <m/>
    <m/>
    <m/>
    <m/>
    <m/>
    <m/>
    <m/>
    <m/>
  </r>
  <r>
    <s v="CE30318"/>
    <s v="ROBERTO ANTONIO MARTINEZ"/>
    <x v="0"/>
    <x v="4"/>
    <s v="KRYPTO"/>
    <e v="#NAME?"/>
    <s v="SDATOOL-37125 $ Factoring - IBR"/>
    <n v="0.1"/>
    <s v="QA"/>
    <s v="Distribuido"/>
    <m/>
    <e v="#NAME?"/>
    <e v="#NAME?"/>
    <e v="#NAME?"/>
    <m/>
    <m/>
    <m/>
    <m/>
    <m/>
    <m/>
    <m/>
    <m/>
    <m/>
  </r>
  <r>
    <s v="CE30318"/>
    <s v="ROBERTO ANTONIO MARTINEZ"/>
    <x v="0"/>
    <x v="4"/>
    <s v="KRYPTO"/>
    <e v="#NAME?"/>
    <s v="SDATOOL-42106 $ Emisión Certificados Tributarios a proveedores en Operaciones Sin Recurso (Proyecto Normativo)"/>
    <n v="0.05"/>
    <s v="QA"/>
    <s v="Distribuido"/>
    <m/>
    <e v="#NAME?"/>
    <e v="#NAME?"/>
    <e v="#NAME?"/>
    <m/>
    <m/>
    <m/>
    <m/>
    <m/>
    <m/>
    <m/>
    <m/>
    <m/>
  </r>
  <r>
    <s v="CE41979"/>
    <s v="DILSON PARDO SANTANA"/>
    <x v="0"/>
    <x v="0"/>
    <s v="Inetum"/>
    <e v="#NAME?"/>
    <s v="SDATOOL-40438 $ CIRCULAR 032 del 2021 - REQUERIMIENTO FISCALIA GENERAL DE LA NACION"/>
    <n v="7.0000000000000007E-2"/>
    <s v="QA"/>
    <s v="Distribuido"/>
    <m/>
    <e v="#NAME?"/>
    <e v="#NAME?"/>
    <e v="#NAME?"/>
    <m/>
    <m/>
    <m/>
    <m/>
    <m/>
    <m/>
    <m/>
    <m/>
    <m/>
  </r>
  <r>
    <s v="CE41979"/>
    <s v="DILSON PARDO SANTANA"/>
    <x v="0"/>
    <x v="0"/>
    <s v="Inetum"/>
    <e v="#NAME?"/>
    <s v="NOSDA $ BAU (Mantenimiento y peq. evolutivos)"/>
    <n v="0.1"/>
    <s v="QA"/>
    <s v="Distribuido"/>
    <m/>
    <e v="#NAME?"/>
    <e v="#NAME?"/>
    <e v="#NAME?"/>
    <m/>
    <m/>
    <m/>
    <m/>
    <m/>
    <m/>
    <m/>
    <m/>
    <m/>
  </r>
  <r>
    <s v="CE41979"/>
    <s v="DILSON PARDO SANTANA"/>
    <x v="0"/>
    <x v="0"/>
    <s v="Inetum"/>
    <e v="#NAME?"/>
    <s v="SDATOOL-41941 $ INTEGRACIÓN DE AS400 Y HOST Y ESTABILIZACIÓN Y RESTABLECIMIENTO DE lOS ENTORNOS DE LEASING AS400 DE DESARROLLO Y CALIDAD&quot;"/>
    <n v="0.08"/>
    <s v="QA"/>
    <s v="Distribuido"/>
    <m/>
    <e v="#NAME?"/>
    <e v="#NAME?"/>
    <e v="#NAME?"/>
    <m/>
    <m/>
    <m/>
    <m/>
    <m/>
    <m/>
    <m/>
    <m/>
    <m/>
  </r>
  <r>
    <s v="CE30318"/>
    <s v="ROBERTO ANTONIO MARTINEZ"/>
    <x v="0"/>
    <x v="4"/>
    <s v="KRYPTO"/>
    <e v="#NAME?"/>
    <s v="NOSDA $ BAU (Mantenimiento y peq. evolutivos)"/>
    <n v="0.25"/>
    <s v="QA"/>
    <s v="Distribuido"/>
    <m/>
    <e v="#NAME?"/>
    <e v="#NAME?"/>
    <e v="#NAME?"/>
    <m/>
    <m/>
    <m/>
    <m/>
    <m/>
    <m/>
    <m/>
    <m/>
    <m/>
  </r>
  <r>
    <s v="CE41979"/>
    <s v="DILSON PARDO SANTANA"/>
    <x v="0"/>
    <x v="0"/>
    <s v="Inetum"/>
    <e v="#NAME?"/>
    <s v="NOSDA $ BAU (Mantenimiento y peq. evolutivos)"/>
    <n v="0.25"/>
    <s v="QA"/>
    <s v="Distribuido"/>
    <m/>
    <e v="#NAME?"/>
    <e v="#NAME?"/>
    <e v="#NAME?"/>
    <m/>
    <m/>
    <m/>
    <m/>
    <m/>
    <m/>
    <m/>
    <m/>
    <m/>
  </r>
  <r>
    <s v="CE69031"/>
    <s v="WILLIAM ROBERTO MORA BERNAL"/>
    <x v="0"/>
    <x v="0"/>
    <s v="KRYPTO"/>
    <e v="#NAME?"/>
    <s v="NOSDA $ BAU (Mantenimiento y peq. evolutivos)"/>
    <n v="0.25"/>
    <s v="Otros"/>
    <s v="Distribuido"/>
    <m/>
    <e v="#NAME?"/>
    <e v="#NAME?"/>
    <e v="#NAME?"/>
    <m/>
    <m/>
    <m/>
    <m/>
    <m/>
    <m/>
    <m/>
    <m/>
    <m/>
  </r>
  <r>
    <s v="CE30318"/>
    <s v="ROBERTO ANTONIO MARTINEZ"/>
    <x v="0"/>
    <x v="0"/>
    <s v="KRYPTO"/>
    <e v="#NAME?"/>
    <s v="NOSDA $ BAU (Mantenimiento y peq. evolutivos)"/>
    <n v="7.0000000000000007E-2"/>
    <s v="QA"/>
    <s v="Distribuido"/>
    <m/>
    <e v="#NAME?"/>
    <e v="#NAME?"/>
    <e v="#NAME?"/>
    <m/>
    <m/>
    <m/>
    <m/>
    <m/>
    <m/>
    <m/>
    <m/>
    <m/>
  </r>
  <r>
    <s v="CE41979"/>
    <s v="DILSON PARDO SANTANA"/>
    <x v="0"/>
    <x v="4"/>
    <s v="Inetum"/>
    <e v="#NAME?"/>
    <s v="SDATOOL-36547 $ PLAN MAYOR -PLAN MENOR. Plan ascenso Open Market"/>
    <n v="0.1"/>
    <s v="QA"/>
    <s v="Distribuido"/>
    <m/>
    <e v="#NAME?"/>
    <e v="#NAME?"/>
    <e v="#NAME?"/>
    <m/>
    <m/>
    <m/>
    <m/>
    <m/>
    <m/>
    <m/>
    <m/>
    <m/>
  </r>
  <r>
    <s v="CE41979"/>
    <s v="DILSON PARDO SANTANA"/>
    <x v="0"/>
    <x v="4"/>
    <s v="Inetum"/>
    <e v="#NAME?"/>
    <s v="SDATOOL-37125 $ Factoring - IBR"/>
    <n v="0.1"/>
    <s v="QA"/>
    <s v="Distribuido"/>
    <m/>
    <e v="#NAME?"/>
    <e v="#NAME?"/>
    <e v="#NAME?"/>
    <m/>
    <m/>
    <m/>
    <m/>
    <m/>
    <m/>
    <m/>
    <m/>
    <m/>
  </r>
  <r>
    <s v="CE41979"/>
    <s v="DILSON PARDO SANTANA"/>
    <x v="0"/>
    <x v="4"/>
    <s v="Inetum"/>
    <e v="#NAME?"/>
    <s v="SDATOOL-42106 $ Emisión Certificados Tributarios a proveedores en Operaciones Sin Recurso (Proyecto Normativo)"/>
    <n v="0.05"/>
    <s v="QA"/>
    <s v="Distribuido"/>
    <m/>
    <e v="#NAME?"/>
    <e v="#NAME?"/>
    <e v="#NAME?"/>
    <m/>
    <m/>
    <m/>
    <m/>
    <m/>
    <m/>
    <m/>
    <m/>
    <m/>
  </r>
  <r>
    <s v="CE41979"/>
    <s v="DILSON PARDO SANTANA"/>
    <x v="0"/>
    <x v="4"/>
    <s v="Inetum"/>
    <e v="#NAME?"/>
    <s v="NOSDA $ BAU (Mantenimiento y peq. evolutivos)"/>
    <n v="0.25"/>
    <s v="QA"/>
    <s v="Distribuido"/>
    <m/>
    <e v="#NAME?"/>
    <e v="#NAME?"/>
    <e v="#NAME?"/>
    <m/>
    <m/>
    <m/>
    <m/>
    <m/>
    <m/>
    <m/>
    <m/>
    <m/>
  </r>
  <r>
    <s v="CE69031"/>
    <s v="WILLIAM ROBERTO MORA BERNAL"/>
    <x v="0"/>
    <x v="4"/>
    <s v="KRYPTO"/>
    <e v="#NAME?"/>
    <s v="NOSDA $ BAU (Mantenimiento y peq. evolutivos)"/>
    <n v="0.25"/>
    <s v="Otros"/>
    <s v="Distribuido"/>
    <m/>
    <e v="#NAME?"/>
    <e v="#NAME?"/>
    <e v="#NAME?"/>
    <m/>
    <m/>
    <m/>
    <m/>
    <m/>
    <m/>
    <m/>
    <m/>
    <m/>
  </r>
  <r>
    <s v="CE69031"/>
    <s v="WILLIAM ROBERTO MORA BERNAL"/>
    <x v="0"/>
    <x v="4"/>
    <s v="KRYPTO"/>
    <e v="#NAME?"/>
    <s v="SDATOOL-36547 $ PLAN MAYOR -PLAN MENOR. Plan ascenso Open Market"/>
    <n v="0.1"/>
    <s v="Otros"/>
    <s v="Mainframe"/>
    <m/>
    <e v="#NAME?"/>
    <e v="#NAME?"/>
    <e v="#NAME?"/>
    <m/>
    <m/>
    <m/>
    <m/>
    <m/>
    <m/>
    <m/>
    <m/>
    <m/>
  </r>
  <r>
    <s v="CE69031"/>
    <s v="WILLIAM ROBERTO MORA BERNAL"/>
    <x v="0"/>
    <x v="4"/>
    <s v="KRYPTO"/>
    <e v="#NAME?"/>
    <s v="SDATOOL-37125 $ Factoring - IBR"/>
    <n v="0.1"/>
    <s v="Otros"/>
    <s v="Distribuido"/>
    <m/>
    <e v="#NAME?"/>
    <e v="#NAME?"/>
    <e v="#NAME?"/>
    <m/>
    <m/>
    <m/>
    <m/>
    <m/>
    <m/>
    <m/>
    <m/>
    <m/>
  </r>
  <r>
    <s v="CE69031"/>
    <s v="WILLIAM ROBERTO MORA BERNAL"/>
    <x v="0"/>
    <x v="4"/>
    <s v="KRYPTO"/>
    <e v="#NAME?"/>
    <s v="SDATOOL-42106 $ Emisión Certificados Tributarios a proveedores en Operaciones Sin Recurso (Proyecto Normativo)"/>
    <n v="0.05"/>
    <s v="Otros"/>
    <s v="Distribuido"/>
    <m/>
    <e v="#NAME?"/>
    <e v="#NAME?"/>
    <e v="#NAME?"/>
    <m/>
    <m/>
    <m/>
    <m/>
    <m/>
    <m/>
    <m/>
    <m/>
    <m/>
  </r>
  <r>
    <s v="O000108"/>
    <s v="FELIPE ALONSO SOTO CABALLERO"/>
    <x v="1"/>
    <x v="1"/>
    <s v="BBVA"/>
    <e v="#NAME?"/>
    <s v="SDATOOL-38642 $ CUPON INTERMEDIO"/>
    <n v="0.7"/>
    <s v="Desarrollador"/>
    <s v="Otras Tec."/>
    <s v="Legacy :power Builder"/>
    <e v="#NAME?"/>
    <e v="#NAME?"/>
    <e v="#NAME?"/>
    <m/>
    <m/>
    <m/>
    <m/>
    <m/>
    <m/>
    <m/>
    <m/>
    <m/>
  </r>
  <r>
    <s v="O000108"/>
    <s v="FELIPE ALONSO SOTO CABALLERO"/>
    <x v="1"/>
    <x v="1"/>
    <s v="BBVA"/>
    <e v="#NAME?"/>
    <s v="SDATOOL-32520 $ CDD Based Reporting - Colombia"/>
    <n v="0.3"/>
    <s v="Desarrollador"/>
    <s v="Otras Tec."/>
    <s v="Legacy :power Builder"/>
    <e v="#NAME?"/>
    <e v="#NAME?"/>
    <e v="#NAME?"/>
    <m/>
    <m/>
    <m/>
    <m/>
    <m/>
    <m/>
    <m/>
    <m/>
    <m/>
  </r>
  <r>
    <s v="CE30318"/>
    <s v="ROBERTO ANTONIO MARTINEZ"/>
    <x v="0"/>
    <x v="0"/>
    <s v="KRYPTO"/>
    <e v="#NAME?"/>
    <s v="SDATOOL-40438 $ CIRCULAR 032 del 2021 - REQUERIMIENTO FISCALIA GENERAL DE LA NACION"/>
    <n v="0.1"/>
    <s v="QA"/>
    <s v="Distribuido"/>
    <m/>
    <e v="#NAME?"/>
    <e v="#NAME?"/>
    <e v="#NAME?"/>
    <m/>
    <m/>
    <m/>
    <m/>
    <m/>
    <m/>
    <m/>
    <m/>
    <m/>
  </r>
  <r>
    <s v="CE30318"/>
    <s v="ROBERTO ANTONIO MARTINEZ"/>
    <x v="0"/>
    <x v="0"/>
    <s v="KRYPTO"/>
    <e v="#NAME?"/>
    <s v="SDATOOL-41941 $ INTEGRACIÓN DE AS400 Y HOST Y ESTABILIZACIÓN Y RESTABLECIMIENTO DE lOS ENTORNOS DE LEASING AS400 DE DESARROLLO Y CALIDAD&quot;"/>
    <n v="0.08"/>
    <s v="QA"/>
    <s v="Distribuido"/>
    <m/>
    <e v="#NAME?"/>
    <e v="#NAME?"/>
    <e v="#NAME?"/>
    <m/>
    <m/>
    <m/>
    <m/>
    <m/>
    <m/>
    <m/>
    <m/>
    <m/>
  </r>
  <r>
    <s v="CE30318"/>
    <s v="ROBERTO ANTONIO MARTINEZ"/>
    <x v="0"/>
    <x v="0"/>
    <s v="KRYPTO"/>
    <e v="#NAME?"/>
    <s v="NOSDA $ BAU (Mantenimiento y peq. evolutivos)"/>
    <n v="0.25"/>
    <s v="QA"/>
    <s v="Distribuido"/>
    <m/>
    <e v="#NAME?"/>
    <e v="#NAME?"/>
    <e v="#NAME?"/>
    <m/>
    <m/>
    <m/>
    <m/>
    <m/>
    <m/>
    <m/>
    <m/>
    <m/>
  </r>
  <r>
    <s v="C801586"/>
    <s v="SANDRA LILIANA SANCHEZ PULIDO"/>
    <x v="0"/>
    <x v="0"/>
    <s v="BBVA"/>
    <e v="#NAME?"/>
    <s v="NOSDA $ BAU (Mantenimiento y peq. evolutivos)"/>
    <n v="1"/>
    <s v="Tech Manager/Líder"/>
    <s v="Mainframe"/>
    <m/>
    <e v="#NAME?"/>
    <e v="#NAME?"/>
    <e v="#NAME?"/>
    <m/>
    <m/>
    <m/>
    <m/>
    <m/>
    <m/>
    <m/>
    <m/>
    <m/>
  </r>
  <r>
    <s v="CE59142"/>
    <s v="MARTHA LUCIA PORRAS"/>
    <x v="0"/>
    <x v="0"/>
    <s v="Inetum"/>
    <e v="#NAME?"/>
    <s v="NOSDA $ BAU (Mantenimiento y peq. evolutivos)"/>
    <n v="1"/>
    <s v="Otros"/>
    <s v="Mainframe"/>
    <m/>
    <e v="#NAME?"/>
    <e v="#NAME?"/>
    <e v="#NAME?"/>
    <m/>
    <m/>
    <m/>
    <m/>
    <m/>
    <m/>
    <m/>
    <m/>
    <m/>
  </r>
  <r>
    <s v="CE66182"/>
    <s v="JUAN MARTIN UMAÑA"/>
    <x v="0"/>
    <x v="0"/>
    <s v="Inetum"/>
    <e v="#NAME?"/>
    <s v="NOSDA $ BAU (Mantenimiento y peq. evolutivos)"/>
    <n v="1"/>
    <s v="Desarrollador"/>
    <s v="Mainframe"/>
    <m/>
    <e v="#NAME?"/>
    <e v="#NAME?"/>
    <e v="#NAME?"/>
    <m/>
    <m/>
    <m/>
    <m/>
    <m/>
    <m/>
    <m/>
    <m/>
    <m/>
  </r>
  <r>
    <s v="CE52790"/>
    <s v="GERMAN ZARRIA MENDEZ"/>
    <x v="0"/>
    <x v="0"/>
    <s v="Inetum"/>
    <e v="#NAME?"/>
    <s v="NOSDA $ BAU (Mantenimiento y peq. evolutivos)"/>
    <n v="1"/>
    <s v="Desarrollador"/>
    <s v="Mainframe"/>
    <m/>
    <e v="#NAME?"/>
    <e v="#NAME?"/>
    <e v="#NAME?"/>
    <m/>
    <m/>
    <m/>
    <m/>
    <m/>
    <m/>
    <m/>
    <m/>
    <m/>
  </r>
  <r>
    <s v="CE50160"/>
    <s v="CONSUELO MOLINA GUERRERO"/>
    <x v="0"/>
    <x v="0"/>
    <s v="Inetum"/>
    <e v="#NAME?"/>
    <s v="NOSDA $ BAU (Mantenimiento y peq. evolutivos)"/>
    <n v="1"/>
    <s v="Desarrollador"/>
    <s v="Mainframe"/>
    <m/>
    <e v="#NAME?"/>
    <e v="#NAME?"/>
    <e v="#NAME?"/>
    <m/>
    <m/>
    <m/>
    <m/>
    <m/>
    <m/>
    <m/>
    <m/>
    <m/>
  </r>
  <r>
    <s v="CE57567"/>
    <s v="GIOVANNI ESGUERRA VELANDIA"/>
    <x v="0"/>
    <x v="0"/>
    <s v="Inetum"/>
    <e v="#NAME?"/>
    <s v="NOSDA $ BAU (Mantenimiento y peq. evolutivos)"/>
    <n v="1"/>
    <s v="Desarrollador"/>
    <s v="Mainframe"/>
    <m/>
    <e v="#NAME?"/>
    <e v="#NAME?"/>
    <e v="#NAME?"/>
    <m/>
    <m/>
    <m/>
    <m/>
    <m/>
    <m/>
    <m/>
    <m/>
    <m/>
  </r>
  <r>
    <s v="CE63508"/>
    <s v="DANNA VALERIA MESA ALFONSO"/>
    <x v="0"/>
    <x v="0"/>
    <s v="Inetum"/>
    <e v="#NAME?"/>
    <s v="NOSDA $ BAU (Mantenimiento y peq. evolutivos)"/>
    <n v="1"/>
    <s v="QA"/>
    <s v="Mainframe"/>
    <m/>
    <e v="#NAME?"/>
    <e v="#NAME?"/>
    <e v="#NAME?"/>
    <m/>
    <m/>
    <m/>
    <m/>
    <m/>
    <m/>
    <m/>
    <m/>
    <m/>
  </r>
  <r>
    <s v="C802316"/>
    <s v="CAMILO ALBERTO GARCES BELTRAN"/>
    <x v="1"/>
    <x v="1"/>
    <s v="BBVA"/>
    <e v="#NAME?"/>
    <s v="SDATOOL-33907 $ Manejo Fiscal Prima o Descuento Renta Fija"/>
    <n v="0.7"/>
    <s v="Desarrollador"/>
    <s v="Otras Tec."/>
    <s v="Legacy :power Builder"/>
    <e v="#NAME?"/>
    <e v="#NAME?"/>
    <e v="#NAME?"/>
    <m/>
    <m/>
    <m/>
    <m/>
    <m/>
    <m/>
    <m/>
    <m/>
    <m/>
  </r>
  <r>
    <s v="C802316"/>
    <s v="CAMILO ALBERTO GARCES BELTRAN"/>
    <x v="1"/>
    <x v="1"/>
    <s v="BBVA"/>
    <e v="#NAME?"/>
    <s v="SDATOOL-35663 $ Capacidades FX GM"/>
    <n v="0.3"/>
    <s v="Desarrollador"/>
    <s v="Otras Tec."/>
    <s v="Legacy :power Builder"/>
    <e v="#NAME?"/>
    <e v="#NAME?"/>
    <e v="#NAME?"/>
    <m/>
    <m/>
    <m/>
    <m/>
    <m/>
    <m/>
    <m/>
    <m/>
    <m/>
  </r>
  <r>
    <s v="C782982"/>
    <s v="ANA CONSUELO TRASLAVIÑA"/>
    <x v="1"/>
    <x v="1"/>
    <s v="BBVA"/>
    <e v="#NAME?"/>
    <s v="SDATOOL-33907 $ Manejo Fiscal Prima o Descuento Renta Fija"/>
    <n v="0.3"/>
    <s v="Tech Manager/Líder"/>
    <s v="Otras Tec."/>
    <s v="Legacy :power Builder"/>
    <e v="#NAME?"/>
    <e v="#NAME?"/>
    <e v="#NAME?"/>
    <m/>
    <m/>
    <m/>
    <m/>
    <m/>
    <m/>
    <m/>
    <m/>
    <m/>
  </r>
  <r>
    <s v="C782982"/>
    <s v="ANA CONSUELO TRASLAVIÑA"/>
    <x v="1"/>
    <x v="1"/>
    <s v="BBVA"/>
    <e v="#NAME?"/>
    <s v="SDATOOL-35663 $ Capacidades FX GM"/>
    <n v="0.3"/>
    <s v="Tech Manager/Líder"/>
    <s v="Otras Tec."/>
    <s v="Legacy :power Builder"/>
    <e v="#NAME?"/>
    <e v="#NAME?"/>
    <e v="#NAME?"/>
    <m/>
    <m/>
    <m/>
    <m/>
    <m/>
    <m/>
    <m/>
    <m/>
    <m/>
  </r>
  <r>
    <s v="C782982"/>
    <s v="ANA CONSUELO TRASLAVIÑA"/>
    <x v="1"/>
    <x v="1"/>
    <s v="BBVA"/>
    <e v="#NAME?"/>
    <s v="SDATOOL-38642 $ CUPON INTERMEDIO"/>
    <n v="0.3"/>
    <s v="Tech Manager/Líder"/>
    <s v="Otras Tec."/>
    <s v="Legacy :power Builder"/>
    <e v="#NAME?"/>
    <e v="#NAME?"/>
    <e v="#NAME?"/>
    <m/>
    <m/>
    <m/>
    <m/>
    <m/>
    <m/>
    <m/>
    <m/>
    <m/>
  </r>
  <r>
    <s v="C782982"/>
    <s v="ANA CONSUELO TRASLAVIÑA"/>
    <x v="1"/>
    <x v="1"/>
    <s v="BBVA"/>
    <e v="#NAME?"/>
    <s v="SDATOOL-32520 $ CDD Based Reporting - Colombia"/>
    <n v="0.1"/>
    <s v="Tech Manager/Líder"/>
    <s v="Otras Tec."/>
    <s v="Legacy :power Builder"/>
    <e v="#NAME?"/>
    <e v="#NAME?"/>
    <e v="#NAME?"/>
    <m/>
    <m/>
    <m/>
    <m/>
    <m/>
    <m/>
    <m/>
    <m/>
    <m/>
  </r>
  <r>
    <s v="CE43166"/>
    <s v="DEYSON EMIR MURILLO MORENO"/>
    <x v="1"/>
    <x v="1"/>
    <s v="Tecnoevolución"/>
    <e v="#NAME?"/>
    <s v="SDATOOL-32520 $ CDD Based Reporting - Colombia"/>
    <n v="0.25"/>
    <s v="Tech Manager/Líder"/>
    <s v="Otras Tec."/>
    <s v="Legacy :power Builder"/>
    <e v="#NAME?"/>
    <e v="#NAME?"/>
    <e v="#NAME?"/>
    <m/>
    <m/>
    <m/>
    <m/>
    <m/>
    <m/>
    <m/>
    <m/>
    <m/>
  </r>
  <r>
    <s v="CE43166"/>
    <s v="DEYSON EMIR MURILLO MORENO"/>
    <x v="1"/>
    <x v="1"/>
    <s v="Tecnoevolución"/>
    <e v="#NAME?"/>
    <s v="SDATOOL-38642 $ CUPON INTERMEDIO"/>
    <n v="0.25"/>
    <s v="Tech Manager/Líder"/>
    <s v="Otras Tec."/>
    <s v="Legacy :power Builder"/>
    <e v="#NAME?"/>
    <e v="#NAME?"/>
    <e v="#NAME?"/>
    <m/>
    <m/>
    <m/>
    <m/>
    <m/>
    <m/>
    <m/>
    <m/>
    <m/>
  </r>
  <r>
    <s v="CE69376"/>
    <s v="_x0009_LIZETH DUEÑAS"/>
    <x v="1"/>
    <x v="1"/>
    <s v="Tecnoevolución"/>
    <e v="#NAME?"/>
    <s v="SDATOOL-32520 $ CDD Based Reporting - Colombia"/>
    <n v="0.25"/>
    <s v="Otros"/>
    <s v="Otras Tec."/>
    <s v="Legacy :power Builder"/>
    <e v="#NAME?"/>
    <e v="#NAME?"/>
    <e v="#NAME?"/>
    <m/>
    <m/>
    <m/>
    <m/>
    <m/>
    <m/>
    <m/>
    <m/>
    <m/>
  </r>
  <r>
    <s v="CE69376"/>
    <s v="_x0009_LIZETH DUEÑAS"/>
    <x v="1"/>
    <x v="1"/>
    <s v="Tecnoevolución"/>
    <e v="#NAME?"/>
    <s v="SDATOOL-38642 $ CUPON INTERMEDIO"/>
    <n v="0.25"/>
    <s v="Otros"/>
    <s v="Otras Tec."/>
    <s v="Legacy :power Builder"/>
    <e v="#NAME?"/>
    <e v="#NAME?"/>
    <e v="#NAME?"/>
    <m/>
    <m/>
    <m/>
    <m/>
    <m/>
    <m/>
    <m/>
    <m/>
    <m/>
  </r>
  <r>
    <s v="CE69380"/>
    <s v="_x0009_DIOCLECIANO LOPÉZ"/>
    <x v="1"/>
    <x v="1"/>
    <s v="Tecnoevolución"/>
    <e v="#NAME?"/>
    <s v="SDATOOL-38642 $ CUPON INTERMEDIO"/>
    <n v="0.5"/>
    <s v="Desarrollador"/>
    <s v="Otras Tec."/>
    <s v="Legacy :power Builder"/>
    <e v="#NAME?"/>
    <e v="#NAME?"/>
    <e v="#NAME?"/>
    <m/>
    <m/>
    <m/>
    <m/>
    <m/>
    <m/>
    <m/>
    <m/>
    <m/>
  </r>
  <r>
    <s v="CE69380"/>
    <s v="_x0009_DIOCLECIANO LOPÉZ"/>
    <x v="1"/>
    <x v="1"/>
    <s v="Tecnoevolución"/>
    <e v="#NAME?"/>
    <s v="SDATOOL-35663 $ Capacidades FX GM"/>
    <n v="0.3"/>
    <s v="Desarrollador"/>
    <s v="Otras Tec."/>
    <s v="Legacy :power Builder"/>
    <e v="#NAME?"/>
    <e v="#NAME?"/>
    <e v="#NAME?"/>
    <m/>
    <m/>
    <m/>
    <m/>
    <m/>
    <m/>
    <m/>
    <m/>
    <m/>
  </r>
  <r>
    <s v="CE69377"/>
    <s v="CESAR EUCLIDES MURILLO CAICEDO"/>
    <x v="1"/>
    <x v="1"/>
    <s v="Tecnoevolución"/>
    <e v="#NAME?"/>
    <s v="SDATOOL-38642 $ CUPON INTERMEDIO"/>
    <n v="0.4"/>
    <s v="Desarrollador"/>
    <s v="Otras Tec."/>
    <s v="Legacy :power Builder"/>
    <e v="#NAME?"/>
    <e v="#NAME?"/>
    <e v="#NAME?"/>
    <m/>
    <m/>
    <m/>
    <m/>
    <m/>
    <m/>
    <m/>
    <m/>
    <m/>
  </r>
  <r>
    <s v="CE64877"/>
    <s v="LUIS GUILLERMO SANCHEZ"/>
    <x v="1"/>
    <x v="1"/>
    <s v="Tecnoevolución"/>
    <e v="#NAME?"/>
    <s v="SDATOOL-32520 $ CDD Based Reporting - Colombia"/>
    <n v="0.3"/>
    <s v="Desarrollador"/>
    <s v="Otras Tec."/>
    <s v="Legacy :power Builder"/>
    <e v="#NAME?"/>
    <e v="#NAME?"/>
    <e v="#NAME?"/>
    <m/>
    <m/>
    <m/>
    <m/>
    <m/>
    <m/>
    <m/>
    <m/>
    <m/>
  </r>
  <r>
    <s v="CE64378"/>
    <s v="SANTIAGO ALEJANDRO CORREDOR"/>
    <x v="1"/>
    <x v="1"/>
    <s v="Tecnoevolución"/>
    <e v="#NAME?"/>
    <s v="SDATOOL-33907 $ Manejo Fiscal Prima o Descuento Renta Fija"/>
    <n v="0.25"/>
    <s v="Tech Manager/Líder"/>
    <s v="Otras Tec."/>
    <s v="Legacy :power Builder"/>
    <e v="#NAME?"/>
    <e v="#NAME?"/>
    <e v="#NAME?"/>
    <m/>
    <m/>
    <m/>
    <m/>
    <m/>
    <m/>
    <m/>
    <m/>
    <m/>
  </r>
  <r>
    <s v="CE64378"/>
    <s v="SANTIAGO ALEJANDRO CORREDOR"/>
    <x v="1"/>
    <x v="1"/>
    <s v="Tecnoevolución"/>
    <e v="#NAME?"/>
    <s v="SDATOOL-35663 $ Capacidades FX GM"/>
    <n v="0.25"/>
    <s v="Tech Manager/Líder"/>
    <s v="Otras Tec."/>
    <s v="Legacy :power Builder"/>
    <e v="#NAME?"/>
    <e v="#NAME?"/>
    <e v="#NAME?"/>
    <m/>
    <m/>
    <m/>
    <m/>
    <m/>
    <m/>
    <m/>
    <m/>
    <m/>
  </r>
  <r>
    <s v="CE55477"/>
    <s v="LIZZETH PAOLA FORERO"/>
    <x v="0"/>
    <x v="4"/>
    <s v="Choucair"/>
    <e v="#NAME?"/>
    <s v="NOSDA $ BAU (Mantenimiento y peq. evolutivos)"/>
    <n v="1"/>
    <s v="QA"/>
    <s v="Distribuido"/>
    <m/>
    <e v="#NAME?"/>
    <e v="#NAME?"/>
    <e v="#NAME?"/>
    <m/>
    <m/>
    <m/>
    <m/>
    <m/>
    <m/>
    <m/>
    <m/>
    <m/>
  </r>
  <r>
    <s v="T002794"/>
    <s v="OSVALDO JAVIER LOPEZ CASTILLO"/>
    <x v="0"/>
    <x v="4"/>
    <s v="DIMENSION"/>
    <e v="#NAME?"/>
    <s v="NOSDA $ BAU (Mantenimiento y peq. evolutivos)"/>
    <n v="1"/>
    <s v="Desarrollador"/>
    <s v="Distribuido"/>
    <m/>
    <e v="#NAME?"/>
    <e v="#NAME?"/>
    <e v="#NAME?"/>
    <m/>
    <m/>
    <m/>
    <m/>
    <m/>
    <m/>
    <m/>
    <m/>
    <m/>
  </r>
  <r>
    <s v="CE69114"/>
    <s v="SERGIO LUIS DIAZ TORO"/>
    <x v="0"/>
    <x v="4"/>
    <s v="DIMENSION"/>
    <e v="#NAME?"/>
    <s v="NOSDA $ BAU (Mantenimiento y peq. evolutivos)"/>
    <n v="1"/>
    <s v="Desarrollador"/>
    <s v="Distribuido"/>
    <m/>
    <e v="#NAME?"/>
    <e v="#NAME?"/>
    <e v="#NAME?"/>
    <m/>
    <m/>
    <m/>
    <m/>
    <m/>
    <m/>
    <m/>
    <m/>
    <m/>
  </r>
  <r>
    <s v="O001973"/>
    <s v="MANUEL ESTEBAN MORENO"/>
    <x v="0"/>
    <x v="4"/>
    <s v="BBVA"/>
    <e v="#NAME?"/>
    <s v="NOSDA $ BAU (Mantenimiento y peq. evolutivos)"/>
    <n v="1"/>
    <s v="Desarrollador"/>
    <s v="Distribuido"/>
    <m/>
    <e v="#NAME?"/>
    <e v="#NAME?"/>
    <e v="#NAME?"/>
    <m/>
    <m/>
    <m/>
    <m/>
    <m/>
    <m/>
    <m/>
    <m/>
    <m/>
  </r>
  <r>
    <s v="C805971"/>
    <s v="CARLOS EDUARDO BELLO"/>
    <x v="0"/>
    <x v="4"/>
    <s v="BBVA"/>
    <e v="#NAME?"/>
    <s v="NOSDA $ BAU (Mantenimiento y peq. evolutivos)"/>
    <n v="1"/>
    <s v="Desarrollador"/>
    <s v="Distribuido"/>
    <m/>
    <e v="#NAME?"/>
    <e v="#NAME?"/>
    <e v="#NAME?"/>
    <m/>
    <m/>
    <m/>
    <m/>
    <m/>
    <m/>
    <m/>
    <m/>
    <m/>
  </r>
  <r>
    <s v="C805925"/>
    <s v="GUSTAVO ANDRES CAMARGO"/>
    <x v="0"/>
    <x v="4"/>
    <s v="BBVA"/>
    <e v="#NAME?"/>
    <s v="NOSDA $ BAU (Mantenimiento y peq. evolutivos)"/>
    <n v="0.75"/>
    <s v="Desarrollador"/>
    <s v="Otras Tec."/>
    <m/>
    <e v="#NAME?"/>
    <e v="#NAME?"/>
    <e v="#NAME?"/>
    <m/>
    <m/>
    <m/>
    <m/>
    <m/>
    <m/>
    <m/>
    <m/>
    <m/>
  </r>
  <r>
    <s v="C810899"/>
    <s v="BRAYAN JOSE VIVAS GOMEZ"/>
    <x v="0"/>
    <x v="4"/>
    <s v="BBVA"/>
    <e v="#NAME?"/>
    <s v="NOSDA $ BAU (Mantenimiento y peq. evolutivos)"/>
    <n v="1"/>
    <s v="Tech Manager/Líder"/>
    <s v="Distribuido"/>
    <m/>
    <e v="#NAME?"/>
    <e v="#NAME?"/>
    <e v="#NAME?"/>
    <m/>
    <m/>
    <m/>
    <m/>
    <m/>
    <m/>
    <m/>
    <m/>
    <m/>
  </r>
  <r>
    <s v="C802949"/>
    <s v="NESTOR EDUARDO SILVA VERGARA "/>
    <x v="2"/>
    <x v="5"/>
    <s v="BBVA"/>
    <e v="#NAME?"/>
    <s v="NOSDA $ BAU (Mantenimiento y peq. evolutivos)"/>
    <n v="1"/>
    <s v="Tech Manager/Líder"/>
    <s v="Mainframe"/>
    <m/>
    <e v="#NAME?"/>
    <e v="#NAME?"/>
    <e v="#NAME?"/>
    <m/>
    <m/>
    <m/>
    <m/>
    <m/>
    <m/>
    <m/>
    <m/>
    <m/>
  </r>
  <r>
    <s v="O000118"/>
    <s v="JONATHAN ANGEL MURCIA"/>
    <x v="2"/>
    <x v="5"/>
    <s v="BBVA"/>
    <e v="#NAME?"/>
    <s v="NOSDA $ BAU (Mantenimiento y peq. evolutivos)"/>
    <n v="1"/>
    <s v="Desarrollador"/>
    <s v="Distribuido"/>
    <m/>
    <e v="#NAME?"/>
    <e v="#NAME?"/>
    <e v="#NAME?"/>
    <m/>
    <m/>
    <m/>
    <m/>
    <m/>
    <m/>
    <m/>
    <m/>
    <m/>
  </r>
  <r>
    <s v="O001384"/>
    <s v="JUAN DAVID GONZALEZ MONROY"/>
    <x v="2"/>
    <x v="5"/>
    <s v="BBVA"/>
    <e v="#NAME?"/>
    <s v="NOSDA $ BAU (Mantenimiento y peq. evolutivos)"/>
    <n v="1"/>
    <s v="Desarrollador"/>
    <s v="Mainframe"/>
    <m/>
    <e v="#NAME?"/>
    <e v="#NAME?"/>
    <e v="#NAME?"/>
    <m/>
    <m/>
    <m/>
    <m/>
    <m/>
    <m/>
    <m/>
    <m/>
    <m/>
  </r>
  <r>
    <s v="T002204"/>
    <s v="CARLOS ANDRES BETANCUR MARIN"/>
    <x v="2"/>
    <x v="5"/>
    <s v="Indra"/>
    <e v="#NAME?"/>
    <s v="NOSDA $ BAU (Mantenimiento y peq. evolutivos)"/>
    <n v="1"/>
    <s v="Tech Manager/Líder"/>
    <s v="Mainframe"/>
    <m/>
    <e v="#NAME?"/>
    <e v="#NAME?"/>
    <e v="#NAME?"/>
    <m/>
    <m/>
    <m/>
    <m/>
    <m/>
    <m/>
    <m/>
    <m/>
    <m/>
  </r>
  <r>
    <s v="CE64919"/>
    <s v="MYRIAM GARCIA HERNANDEZ"/>
    <x v="2"/>
    <x v="5"/>
    <s v="Indra"/>
    <e v="#NAME?"/>
    <s v="NOSDA $ BAU (Mantenimiento y peq. evolutivos)"/>
    <n v="1"/>
    <s v="Desarrollador"/>
    <s v="Mainframe"/>
    <m/>
    <e v="#NAME?"/>
    <e v="#NAME?"/>
    <e v="#NAME?"/>
    <m/>
    <m/>
    <m/>
    <m/>
    <m/>
    <m/>
    <m/>
    <m/>
    <m/>
  </r>
  <r>
    <s v="CE68692"/>
    <s v="JORGE ROBINSON MENESES GUTIERREZ"/>
    <x v="2"/>
    <x v="5"/>
    <s v="Indra"/>
    <e v="#NAME?"/>
    <s v="NOSDA $ BAU (Mantenimiento y peq. evolutivos)"/>
    <n v="1"/>
    <s v="Desarrollador"/>
    <s v="Distribuido"/>
    <m/>
    <e v="#NAME?"/>
    <e v="#NAME?"/>
    <e v="#NAME?"/>
    <m/>
    <m/>
    <m/>
    <m/>
    <m/>
    <m/>
    <m/>
    <m/>
    <m/>
  </r>
  <r>
    <s v="CE62655"/>
    <s v="DIEGO FRANCISCO FLORES DIAZ"/>
    <x v="2"/>
    <x v="5"/>
    <s v="Indra"/>
    <e v="#NAME?"/>
    <s v="NOSDA $ BAU (Mantenimiento y peq. evolutivos)"/>
    <n v="1"/>
    <s v="Desarrollador"/>
    <s v="Distribuido"/>
    <m/>
    <e v="#NAME?"/>
    <e v="#NAME?"/>
    <e v="#NAME?"/>
    <m/>
    <m/>
    <m/>
    <m/>
    <m/>
    <m/>
    <m/>
    <m/>
    <m/>
  </r>
  <r>
    <s v="CE60804"/>
    <s v="ALVARO IVAN BARRIOS PINEDA"/>
    <x v="2"/>
    <x v="5"/>
    <s v="Indra"/>
    <e v="#NAME?"/>
    <s v="NOSDA $ BAU (Mantenimiento y peq. evolutivos)"/>
    <n v="0.5"/>
    <s v="Desarrollador"/>
    <s v="Mainframe"/>
    <s v="Se comparte con Torre de Analitycs "/>
    <e v="#NAME?"/>
    <e v="#NAME?"/>
    <e v="#NAME?"/>
    <m/>
    <m/>
    <m/>
    <m/>
    <m/>
    <m/>
    <m/>
    <m/>
    <m/>
  </r>
  <r>
    <s v="CE66288"/>
    <s v="LAURA VALENTINA RINCON RODRIGUEZ"/>
    <x v="2"/>
    <x v="5"/>
    <s v="GGI / CMC"/>
    <e v="#NAME?"/>
    <s v="NOSDA $ BAU (Mantenimiento y peq. evolutivos)"/>
    <n v="1"/>
    <s v="QA"/>
    <s v="Mainframe"/>
    <m/>
    <e v="#NAME?"/>
    <e v="#NAME?"/>
    <e v="#NAME?"/>
    <m/>
    <m/>
    <m/>
    <m/>
    <m/>
    <m/>
    <m/>
    <m/>
    <m/>
  </r>
  <r>
    <s v="O003229"/>
    <s v="ARMANDO RAFAEL VASQUEZ ALTAMAR"/>
    <x v="2"/>
    <x v="6"/>
    <s v="BBVA"/>
    <e v="#NAME?"/>
    <s v="SDATOOL-28728 $ Contratación electrónica/digital de empleados y Carpeta Virtual 2.0"/>
    <n v="0.1"/>
    <s v="Tech Manager/Líder"/>
    <s v="Otras Tec."/>
    <m/>
    <e v="#NAME?"/>
    <e v="#NAME?"/>
    <e v="#NAME?"/>
    <m/>
    <m/>
    <m/>
    <m/>
    <m/>
    <m/>
    <m/>
    <m/>
    <m/>
  </r>
  <r>
    <s v="O003229"/>
    <s v="ARMANDO RAFAEL VASQUEZ ALTAMAR"/>
    <x v="2"/>
    <x v="6"/>
    <s v="BBVA"/>
    <e v="#NAME?"/>
    <s v="SDATOOL-40407 $ Envío de información sensible entes internos y externos"/>
    <n v="0.1"/>
    <s v="Tech Manager/Líder"/>
    <s v="Otras Tec."/>
    <m/>
    <e v="#NAME?"/>
    <e v="#NAME?"/>
    <e v="#NAME?"/>
    <m/>
    <m/>
    <m/>
    <m/>
    <m/>
    <m/>
    <m/>
    <m/>
    <m/>
  </r>
  <r>
    <s v="O003229"/>
    <s v="ARMANDO RAFAEL VASQUEZ ALTAMAR"/>
    <x v="2"/>
    <x v="6"/>
    <s v="BBVA"/>
    <e v="#NAME?"/>
    <s v="SDATOOL-40406 $ Plan Mejora recobro de incapacidades"/>
    <n v="0.1"/>
    <s v="Tech Manager/Líder"/>
    <s v="Otras Tec."/>
    <m/>
    <e v="#NAME?"/>
    <e v="#NAME?"/>
    <e v="#NAME?"/>
    <m/>
    <m/>
    <m/>
    <m/>
    <m/>
    <m/>
    <m/>
    <m/>
    <m/>
  </r>
  <r>
    <s v="O003229"/>
    <s v="ARMANDO RAFAEL VASQUEZ ALTAMAR"/>
    <x v="2"/>
    <x v="6"/>
    <s v="BBVA"/>
    <e v="#NAME?"/>
    <s v="SDATOOL-40706 $ Validaciones en Captura de Terceros Aplicativo TBM"/>
    <n v="0.25"/>
    <s v="Tech Manager/Líder"/>
    <s v="Otras Tec."/>
    <m/>
    <e v="#NAME?"/>
    <e v="#NAME?"/>
    <e v="#NAME?"/>
    <m/>
    <m/>
    <m/>
    <m/>
    <m/>
    <m/>
    <m/>
    <m/>
    <m/>
  </r>
  <r>
    <s v="O003230"/>
    <s v="ARMANDO RAFAEL VASQUEZ ALTAMAR"/>
    <x v="2"/>
    <x v="6"/>
    <s v="BBVA"/>
    <e v="#NAME?"/>
    <s v="SDATOOL-40546 $ Mejoras Experiencia de Usuario TBM"/>
    <n v="0.25"/>
    <s v="Tech Manager/Líder"/>
    <s v="Otras Tec."/>
    <m/>
    <e v="#NAME?"/>
    <e v="#NAME?"/>
    <e v="#NAME?"/>
    <m/>
    <m/>
    <m/>
    <m/>
    <m/>
    <m/>
    <m/>
    <m/>
    <m/>
  </r>
  <r>
    <s v="O003231"/>
    <s v="ARMANDO RAFAEL VASQUEZ ALTAMAR"/>
    <x v="2"/>
    <x v="6"/>
    <s v="BBVA"/>
    <e v="#NAME?"/>
    <s v="SDATOOL-41203 $ Obsolescencia Aplicativa 2023"/>
    <n v="0.1"/>
    <s v="Tech Manager/Líder"/>
    <s v="Otras Tec."/>
    <m/>
    <e v="#NAME?"/>
    <e v="#NAME?"/>
    <e v="#NAME?"/>
    <m/>
    <m/>
    <m/>
    <m/>
    <m/>
    <m/>
    <m/>
    <m/>
    <m/>
  </r>
  <r>
    <s v="O003232"/>
    <s v="ARMANDO RAFAEL VASQUEZ ALTAMAR"/>
    <x v="2"/>
    <x v="6"/>
    <s v="BBVA"/>
    <e v="#NAME?"/>
    <s v="SDATOOL-37765 $ Optimización operativa S&amp;C"/>
    <n v="0.1"/>
    <s v="Tech Manager/Líder"/>
    <s v="Otras Tec."/>
    <m/>
    <e v="#NAME?"/>
    <e v="#NAME?"/>
    <e v="#NAME?"/>
    <m/>
    <m/>
    <m/>
    <m/>
    <m/>
    <m/>
    <m/>
    <m/>
    <m/>
  </r>
  <r>
    <s v="C811263"/>
    <s v="Cardozo Castro Diana Carolina"/>
    <x v="2"/>
    <x v="6"/>
    <s v="BBVA"/>
    <e v="#NAME?"/>
    <s v="SDATOOL-40706 $ Validaciones en Captura de Terceros Aplicativo TBM"/>
    <n v="0.5"/>
    <s v="Desarrollador"/>
    <s v="Otras Tec."/>
    <m/>
    <e v="#NAME?"/>
    <e v="#NAME?"/>
    <e v="#NAME?"/>
    <m/>
    <m/>
    <m/>
    <m/>
    <m/>
    <m/>
    <m/>
    <m/>
    <m/>
  </r>
  <r>
    <s v="C811263"/>
    <s v="Cardozo Castro Diana Carolina"/>
    <x v="2"/>
    <x v="6"/>
    <s v="BBVA"/>
    <e v="#NAME?"/>
    <s v="SDATOOL-40546 $ Mejoras Experiencia de Usuario TBM"/>
    <n v="0.5"/>
    <s v="Desarrollador"/>
    <s v="Otras Tec."/>
    <m/>
    <e v="#NAME?"/>
    <e v="#NAME?"/>
    <e v="#NAME?"/>
    <m/>
    <m/>
    <m/>
    <m/>
    <m/>
    <m/>
    <m/>
    <m/>
    <m/>
  </r>
  <r>
    <s v="T010294"/>
    <s v="Carlos Andres De la pava Jimenez"/>
    <x v="2"/>
    <x v="6"/>
    <s v="Novatec"/>
    <e v="#NAME?"/>
    <s v="SDATOOL-28728 $ Contratación electrónica/digital de empleados y Carpeta Virtual 2.0"/>
    <n v="1"/>
    <s v="Desarrollador"/>
    <s v="Otras Tec."/>
    <s v="Este Proyecto contiene  ASO, APX, CELLS, GCP"/>
    <e v="#NAME?"/>
    <e v="#NAME?"/>
    <e v="#NAME?"/>
    <m/>
    <m/>
    <m/>
    <m/>
    <m/>
    <m/>
    <m/>
    <m/>
    <m/>
  </r>
  <r>
    <s v="C341767"/>
    <s v="Cipagauta Rodriguez Edwin Guillermo"/>
    <x v="2"/>
    <x v="6"/>
    <s v="BBVA"/>
    <e v="#NAME?"/>
    <s v="SDATOOL-40406 $ Plan Mejora recobro de incapacidades"/>
    <n v="0.5"/>
    <s v="Desarrollador"/>
    <s v="Otras Tec."/>
    <m/>
    <e v="#NAME?"/>
    <e v="#NAME?"/>
    <e v="#NAME?"/>
    <m/>
    <m/>
    <m/>
    <m/>
    <m/>
    <m/>
    <m/>
    <m/>
    <m/>
  </r>
  <r>
    <s v="C341767"/>
    <s v="Cipagauta Rodriguez Edwin Guillermo"/>
    <x v="2"/>
    <x v="6"/>
    <s v="BBVA"/>
    <e v="#NAME?"/>
    <s v="SDATOOL-37765 $ Optimización operativa S&amp;C"/>
    <n v="0.25"/>
    <s v="Desarrollador"/>
    <s v="Otras Tec."/>
    <m/>
    <e v="#NAME?"/>
    <e v="#NAME?"/>
    <e v="#NAME?"/>
    <m/>
    <m/>
    <m/>
    <m/>
    <m/>
    <m/>
    <m/>
    <m/>
    <m/>
  </r>
  <r>
    <s v="C341767"/>
    <s v="Cipagauta Rodriguez Edwin Guillermo"/>
    <x v="2"/>
    <x v="6"/>
    <s v="BBVA"/>
    <e v="#NAME?"/>
    <s v="SDATOOL-41203 $ Obsolescencia Aplicativa 2023"/>
    <n v="0.25"/>
    <s v="Otros"/>
    <s v="Otras Tec."/>
    <m/>
    <e v="#NAME?"/>
    <e v="#NAME?"/>
    <e v="#NAME?"/>
    <m/>
    <m/>
    <m/>
    <m/>
    <m/>
    <m/>
    <m/>
    <m/>
    <m/>
  </r>
  <r>
    <s v="T002802"/>
    <s v="Diego Andrés Mateus Triana"/>
    <x v="2"/>
    <x v="6"/>
    <s v="Novatec"/>
    <e v="#NAME?"/>
    <s v="SDATOOL-28728 $ Contratación electrónica/digital de empleados y Carpeta Virtual 2.0"/>
    <n v="1"/>
    <s v="Desarrollador"/>
    <s v="Otras Tec."/>
    <s v="Este Proyecto contiene  ASO, APX, CELLS, GCP"/>
    <e v="#NAME?"/>
    <e v="#NAME?"/>
    <e v="#NAME?"/>
    <m/>
    <m/>
    <m/>
    <m/>
    <m/>
    <m/>
    <m/>
    <m/>
    <m/>
  </r>
  <r>
    <s v="T010289"/>
    <s v="Ever Alexander Bravo Vergara"/>
    <x v="2"/>
    <x v="6"/>
    <s v="Novatec"/>
    <e v="#NAME?"/>
    <s v="SDATOOL-28728 $ Contratación electrónica/digital de empleados y Carpeta Virtual 2.0"/>
    <n v="1"/>
    <s v="Desarrollador"/>
    <s v="Otras Tec."/>
    <s v="Este Proyecto contiene  ASO, APX, CELLS, GCP"/>
    <e v="#NAME?"/>
    <e v="#NAME?"/>
    <e v="#NAME?"/>
    <m/>
    <m/>
    <m/>
    <m/>
    <m/>
    <m/>
    <m/>
    <m/>
    <m/>
  </r>
  <r>
    <s v="CE70901"/>
    <s v="JUAN SEBASTIAN SANCHEZ"/>
    <x v="2"/>
    <x v="6"/>
    <s v="Novatec"/>
    <e v="#NAME?"/>
    <s v="SDATOOL-28728 $ Contratación electrónica/digital de empleados y Carpeta Virtual 2.0"/>
    <n v="1"/>
    <s v="Desarrollador"/>
    <s v="Otras Tec."/>
    <s v="Este Proyecto contiene  ASO, APX, CELLS, GCP"/>
    <e v="#NAME?"/>
    <e v="#NAME?"/>
    <e v="#NAME?"/>
    <m/>
    <m/>
    <m/>
    <m/>
    <m/>
    <m/>
    <m/>
    <m/>
    <m/>
  </r>
  <r>
    <s v="T002449"/>
    <s v="Manuel Camilo Sanchez Sevilla"/>
    <x v="2"/>
    <x v="6"/>
    <s v="Novatec"/>
    <e v="#NAME?"/>
    <s v="SDATOOL-28728 $ Contratación electrónica/digital de empleados y Carpeta Virtual 2.0"/>
    <n v="1"/>
    <s v="Desarrollador"/>
    <s v="Otras Tec."/>
    <s v="Este Proyecto contiene  ASO, APX, CELLS, GCP"/>
    <e v="#NAME?"/>
    <e v="#NAME?"/>
    <e v="#NAME?"/>
    <m/>
    <m/>
    <m/>
    <m/>
    <m/>
    <m/>
    <m/>
    <m/>
    <m/>
  </r>
  <r>
    <s v="C811290"/>
    <s v="Montana Castro Camilo Arturo"/>
    <x v="2"/>
    <x v="6"/>
    <s v="BBVA"/>
    <e v="#NAME?"/>
    <s v="SDATOOL-40407 $ Envío de información sensible entes internos y externos"/>
    <n v="1"/>
    <s v="Desarrollador"/>
    <s v="Otras Tec."/>
    <s v="Proyecto con dos feature"/>
    <e v="#NAME?"/>
    <e v="#NAME?"/>
    <e v="#NAME?"/>
    <m/>
    <m/>
    <m/>
    <m/>
    <m/>
    <m/>
    <m/>
    <m/>
    <m/>
  </r>
  <r>
    <s v="C804221"/>
    <s v="Quiroz Munoz Bryan Antonio"/>
    <x v="2"/>
    <x v="6"/>
    <s v="BBVA"/>
    <e v="#NAME?"/>
    <s v="SDATOOL-28728 $ Contratación electrónica/digital de empleados y Carpeta Virtual 2.0"/>
    <n v="1"/>
    <s v="Desarrollador"/>
    <s v="Otras Tec."/>
    <s v="Este proyecto contiene  ASO, APX, CELLS, GCP_x000a_Proyecto con 2 feature"/>
    <e v="#NAME?"/>
    <e v="#NAME?"/>
    <e v="#NAME?"/>
    <m/>
    <m/>
    <m/>
    <m/>
    <m/>
    <m/>
    <m/>
    <m/>
    <m/>
  </r>
  <r>
    <s v="CE66796"/>
    <s v="SANTIAGO SALAS CARRERA"/>
    <x v="2"/>
    <x v="6"/>
    <s v="Novatec"/>
    <e v="#NAME?"/>
    <s v="SDATOOL-28728 $ Contratación electrónica/digital de empleados y Carpeta Virtual 2.0"/>
    <n v="1"/>
    <s v="Desarrollador"/>
    <s v="Otras Tec."/>
    <s v="Este Proyecto contiene  ASO, APX, CELLS, GCP"/>
    <e v="#NAME?"/>
    <e v="#NAME?"/>
    <e v="#NAME?"/>
    <m/>
    <m/>
    <m/>
    <m/>
    <m/>
    <m/>
    <m/>
    <m/>
    <m/>
  </r>
  <r>
    <s v="C805333"/>
    <s v="Torres Laguado Juan Sebastian"/>
    <x v="2"/>
    <x v="6"/>
    <s v="BBVA"/>
    <e v="#NAME?"/>
    <s v="SDATOOL-28728 $ Contratación electrónica/digital de empleados y Carpeta Virtual 2.0"/>
    <n v="1"/>
    <s v="Desarrollador"/>
    <s v="Otras Tec."/>
    <s v="Este proyecto contiene  ASO, APX, CELLS, GCP_x000a_Proyecto con 2 feature"/>
    <e v="#NAME?"/>
    <e v="#NAME?"/>
    <e v="#NAME?"/>
    <m/>
    <m/>
    <m/>
    <m/>
    <m/>
    <m/>
    <m/>
    <m/>
    <m/>
  </r>
  <r>
    <s v="T010288"/>
    <s v="yeison andres consuegra vega"/>
    <x v="2"/>
    <x v="6"/>
    <s v="Novatec"/>
    <e v="#NAME?"/>
    <s v="SDATOOL-28728 $ Contratación electrónica/digital de empleados y Carpeta Virtual 2.0"/>
    <n v="1"/>
    <s v="Desarrollador"/>
    <s v="Otras Tec."/>
    <s v="Este Proyecto contiene  ASO, APX, CELLS, GCP"/>
    <e v="#NAME?"/>
    <e v="#NAME?"/>
    <e v="#NAME?"/>
    <m/>
    <m/>
    <m/>
    <m/>
    <m/>
    <m/>
    <m/>
    <m/>
    <m/>
  </r>
  <r>
    <s v="T003286"/>
    <s v="YURI VALENTINA MUÑOZ"/>
    <x v="2"/>
    <x v="6"/>
    <s v="Novatec"/>
    <e v="#NAME?"/>
    <s v="SDATOOL-28728 $ Contratación electrónica/digital de empleados y Carpeta Virtual 2.0"/>
    <n v="1"/>
    <s v="Desarrollador"/>
    <s v="Otras Tec."/>
    <s v="Este Proyecto contiene  ASO, APX, CELLS, GCP"/>
    <e v="#NAME?"/>
    <e v="#NAME?"/>
    <e v="#NAME?"/>
    <m/>
    <m/>
    <m/>
    <m/>
    <m/>
    <m/>
    <m/>
    <m/>
    <m/>
  </r>
  <r>
    <s v="C783729"/>
    <s v="MIGUEL ANTONIO GUIO ESPINOSA "/>
    <x v="2"/>
    <x v="7"/>
    <s v="BBVA"/>
    <e v="#NAME?"/>
    <s v="SDATOOL-29998 $ Despliegue SAS AML en BBVA CO"/>
    <n v="0.4"/>
    <s v="Tech Manager/Líder"/>
    <s v="Otras Tec."/>
    <m/>
    <e v="#NAME?"/>
    <e v="#NAME?"/>
    <e v="#NAME?"/>
    <m/>
    <m/>
    <m/>
    <m/>
    <m/>
    <m/>
    <m/>
    <m/>
    <m/>
  </r>
  <r>
    <s v="C783729"/>
    <s v="MIGUEL ANTONIO GUIO ESPINOSA "/>
    <x v="2"/>
    <x v="7"/>
    <s v="BBVA"/>
    <e v="#NAME?"/>
    <s v="SDATOOL-39265 $ Migración Operaciones Fircosoft"/>
    <n v="0.1"/>
    <s v="Tech Manager/Líder"/>
    <s v="Otras Tec."/>
    <s v="Usuario  lo presentara en el WG del 30/03/2023"/>
    <e v="#NAME?"/>
    <e v="#NAME?"/>
    <e v="#NAME?"/>
    <m/>
    <m/>
    <m/>
    <m/>
    <m/>
    <m/>
    <m/>
    <m/>
    <m/>
  </r>
  <r>
    <s v="C783729"/>
    <s v="MIGUEL ANTONIO GUIO ESPINOSA "/>
    <x v="2"/>
    <x v="7"/>
    <s v="BBVA"/>
    <e v="#NAME?"/>
    <s v="SDATOOL-39473 $ Actualización de Was 8 a was 9. RBA"/>
    <n v="0.1"/>
    <s v="Tech Manager/Líder"/>
    <s v="Otras Tec."/>
    <m/>
    <e v="#NAME?"/>
    <e v="#NAME?"/>
    <e v="#NAME?"/>
    <m/>
    <m/>
    <m/>
    <m/>
    <m/>
    <m/>
    <m/>
    <m/>
    <m/>
  </r>
  <r>
    <s v="C783729"/>
    <s v="MIGUEL ANTONIO GUIO ESPINOSA "/>
    <x v="2"/>
    <x v="7"/>
    <s v="BBVA"/>
    <e v="#NAME?"/>
    <s v="SDATOOL-39888 $ Proyecto - Evolutivo Sarlaft - Mejoras controles aplicativos"/>
    <n v="0.2"/>
    <s v="Tech Manager/Líder"/>
    <s v="Otras Tec."/>
    <m/>
    <e v="#NAME?"/>
    <e v="#NAME?"/>
    <e v="#NAME?"/>
    <m/>
    <m/>
    <m/>
    <m/>
    <m/>
    <m/>
    <m/>
    <m/>
    <m/>
  </r>
  <r>
    <s v="C783729"/>
    <s v="MIGUEL ANTONIO GUIO ESPINOSA "/>
    <x v="2"/>
    <x v="7"/>
    <s v="BBVA"/>
    <e v="#NAME?"/>
    <s v="SDATOOL-40984 $ Proyecto - Identificación e ingesta de las tablas necesarias en datio y la construcción del caso de uso para la identificación de vínculos - Colombia"/>
    <n v="0.1"/>
    <s v="Tech Manager/Líder"/>
    <s v="Otras Tec."/>
    <m/>
    <e v="#NAME?"/>
    <e v="#NAME?"/>
    <e v="#NAME?"/>
    <m/>
    <m/>
    <m/>
    <m/>
    <m/>
    <m/>
    <m/>
    <m/>
    <m/>
  </r>
  <r>
    <s v="C783729"/>
    <s v="MIGUEL ANTONIO GUIO ESPINOSA "/>
    <x v="2"/>
    <x v="7"/>
    <s v="BBVA"/>
    <e v="#NAME?"/>
    <s v="SDATOOL-41031 $ Proyecto - Shadow IT - Migración a un nuevo aplicativo de la herramienta SIGLAFT"/>
    <n v="0.1"/>
    <s v="Tech Manager/Líder"/>
    <s v="Otras Tec."/>
    <m/>
    <e v="#NAME?"/>
    <e v="#NAME?"/>
    <e v="#NAME?"/>
    <m/>
    <m/>
    <m/>
    <m/>
    <m/>
    <m/>
    <m/>
    <m/>
    <m/>
  </r>
  <r>
    <s v="C808788"/>
    <s v="Pena Agudelo Rosario Elena"/>
    <x v="2"/>
    <x v="7"/>
    <s v="BBVA"/>
    <e v="#NAME?"/>
    <s v="SDATOOL-29998 $ Despliegue SAS AML en BBVA CO"/>
    <n v="0.4"/>
    <s v="Desarrollador"/>
    <s v="Distribuido"/>
    <m/>
    <e v="#NAME?"/>
    <e v="#NAME?"/>
    <e v="#NAME?"/>
    <m/>
    <m/>
    <m/>
    <m/>
    <m/>
    <m/>
    <m/>
    <m/>
    <m/>
  </r>
  <r>
    <s v="C808788"/>
    <s v="Pena Agudelo Rosario Elena"/>
    <x v="2"/>
    <x v="7"/>
    <s v="BBVA"/>
    <e v="#NAME?"/>
    <s v="SDATOOL-39265 $ Migración Operaciones Fircosoft"/>
    <n v="0.1"/>
    <s v="Desarrollador"/>
    <s v="Distribuido"/>
    <s v="Usuario  lo presentara en el WG del 30/03/2023"/>
    <e v="#NAME?"/>
    <e v="#NAME?"/>
    <e v="#NAME?"/>
    <m/>
    <m/>
    <m/>
    <m/>
    <m/>
    <m/>
    <m/>
    <m/>
    <m/>
  </r>
  <r>
    <s v="C808788"/>
    <s v="Pena Agudelo Rosario Elena"/>
    <x v="2"/>
    <x v="7"/>
    <s v="BBVA"/>
    <e v="#NAME?"/>
    <s v="SDATOOL-39473 $ Actualización de Was 8 a was 9. RBA"/>
    <n v="0.1"/>
    <s v="Desarrollador"/>
    <s v="Distribuido"/>
    <m/>
    <e v="#NAME?"/>
    <e v="#NAME?"/>
    <e v="#NAME?"/>
    <m/>
    <m/>
    <m/>
    <m/>
    <m/>
    <m/>
    <m/>
    <m/>
    <m/>
  </r>
  <r>
    <s v="C808788"/>
    <s v="Pena Agudelo Rosario Elena"/>
    <x v="2"/>
    <x v="7"/>
    <s v="BBVA"/>
    <e v="#NAME?"/>
    <s v="SDATOOL-39888 $ Proyecto - Evolutivo Sarlaft - Mejoras controles aplicativos"/>
    <n v="0.4"/>
    <s v="Desarrollador"/>
    <s v="Distribuido"/>
    <m/>
    <e v="#NAME?"/>
    <e v="#NAME?"/>
    <e v="#NAME?"/>
    <m/>
    <m/>
    <m/>
    <m/>
    <m/>
    <m/>
    <m/>
    <m/>
    <m/>
  </r>
  <r>
    <s v="C809493"/>
    <s v="Guzman Gonzalez Jorge Enrique"/>
    <x v="2"/>
    <x v="7"/>
    <s v="BBVA"/>
    <e v="#NAME?"/>
    <s v="SDATOOL-29998 $ Despliegue SAS AML en BBVA CO"/>
    <n v="0.3"/>
    <s v="Desarrollador"/>
    <s v="Mainframe"/>
    <m/>
    <e v="#NAME?"/>
    <e v="#NAME?"/>
    <e v="#NAME?"/>
    <m/>
    <m/>
    <m/>
    <m/>
    <m/>
    <m/>
    <m/>
    <m/>
    <m/>
  </r>
  <r>
    <s v="C809493"/>
    <s v="Guzman Gonzalez Jorge Enrique"/>
    <x v="2"/>
    <x v="7"/>
    <s v="BBVA"/>
    <e v="#NAME?"/>
    <s v="SDATOOL-41031 $ Proyecto - Shadow IT - Migración a un nuevo aplicativo de la herramienta SIGLAFT"/>
    <n v="0.1"/>
    <s v="Desarrollador"/>
    <s v="Mainframe"/>
    <m/>
    <e v="#NAME?"/>
    <e v="#NAME?"/>
    <e v="#NAME?"/>
    <m/>
    <m/>
    <m/>
    <m/>
    <m/>
    <m/>
    <m/>
    <m/>
    <m/>
  </r>
  <r>
    <s v="C809493"/>
    <s v="Guzman Gonzalez Jorge Enrique"/>
    <x v="2"/>
    <x v="7"/>
    <s v="BBVA"/>
    <e v="#NAME?"/>
    <s v="SDATOOL-39888 $ Proyecto - Evolutivo Sarlaft - Mejoras controles aplicativos"/>
    <n v="0.5"/>
    <s v="Desarrollador"/>
    <s v="Mainframe"/>
    <m/>
    <e v="#NAME?"/>
    <e v="#NAME?"/>
    <e v="#NAME?"/>
    <m/>
    <m/>
    <m/>
    <m/>
    <m/>
    <m/>
    <m/>
    <m/>
    <m/>
  </r>
  <r>
    <s v="C809493"/>
    <s v="Guzman Gonzalez Jorge Enrique"/>
    <x v="2"/>
    <x v="7"/>
    <s v="BBVA"/>
    <e v="#NAME?"/>
    <s v="SDATOOL-40984 $ Proyecto - Identificación e ingesta de las tablas necesarias en datio y la construcción del caso de uso para la identificación de vínculos - Colombia"/>
    <n v="0.1"/>
    <s v="Desarrollador"/>
    <s v="Mainframe"/>
    <m/>
    <e v="#NAME?"/>
    <e v="#NAME?"/>
    <e v="#NAME?"/>
    <m/>
    <m/>
    <m/>
    <m/>
    <m/>
    <m/>
    <m/>
    <m/>
    <m/>
  </r>
  <r>
    <s v="O002594"/>
    <s v="CRISTIAN DAVID VARGAS SIERRA"/>
    <x v="2"/>
    <x v="7"/>
    <s v="BBVA"/>
    <e v="#NAME?"/>
    <s v="SDATOOL-39888 $ Proyecto - Evolutivo Sarlaft - Mejoras controles aplicativos"/>
    <n v="0.4"/>
    <s v="Desarrollador"/>
    <s v="Mainframe"/>
    <m/>
    <e v="#NAME?"/>
    <e v="#NAME?"/>
    <e v="#NAME?"/>
    <m/>
    <m/>
    <m/>
    <m/>
    <m/>
    <m/>
    <m/>
    <m/>
    <m/>
  </r>
  <r>
    <s v="O002594"/>
    <s v="CRISTIAN DAVID VARGAS SIERRA"/>
    <x v="2"/>
    <x v="7"/>
    <s v="BBVA"/>
    <e v="#NAME?"/>
    <s v="SDATOOL-40984 $ Proyecto - Identificación e ingesta de las tablas necesarias en datio y la construcción del caso de uso para la identificación de vínculos - Colombia"/>
    <n v="0.3"/>
    <s v="Desarrollador"/>
    <s v="Mainframe"/>
    <m/>
    <e v="#NAME?"/>
    <e v="#NAME?"/>
    <e v="#NAME?"/>
    <m/>
    <m/>
    <m/>
    <m/>
    <m/>
    <m/>
    <m/>
    <m/>
    <m/>
  </r>
  <r>
    <s v="O002594"/>
    <s v="CRISTIAN DAVID VARGAS SIERRA"/>
    <x v="2"/>
    <x v="7"/>
    <s v="BBVA"/>
    <e v="#NAME?"/>
    <s v="SDATOOL-41031 $ Proyecto - Shadow IT - Migración a un nuevo aplicativo de la herramienta SIGLAFT"/>
    <n v="0.3"/>
    <s v="Desarrollador"/>
    <s v="Mainframe"/>
    <m/>
    <e v="#NAME?"/>
    <e v="#NAME?"/>
    <e v="#NAME?"/>
    <m/>
    <m/>
    <m/>
    <m/>
    <m/>
    <m/>
    <m/>
    <m/>
    <m/>
  </r>
  <r>
    <s v="CE63761"/>
    <s v="Carlos Andres Cely Vergara"/>
    <x v="2"/>
    <x v="7"/>
    <s v="MS"/>
    <e v="#NAME?"/>
    <s v="SDATOOL-29998 $ Despliegue SAS AML en BBVA CO"/>
    <n v="1"/>
    <s v="Desarrollador"/>
    <s v="Distribuido"/>
    <m/>
    <e v="#NAME?"/>
    <e v="#NAME?"/>
    <e v="#NAME?"/>
    <m/>
    <m/>
    <m/>
    <m/>
    <m/>
    <m/>
    <m/>
    <m/>
    <m/>
  </r>
  <r>
    <s v="T002735"/>
    <s v="CASTELLANOS RODRIGUEZ EDUARDO"/>
    <x v="2"/>
    <x v="7"/>
    <s v="CAPGEMINI"/>
    <e v="#NAME?"/>
    <s v="SDATOOL-29998 $ Despliegue SAS AML en BBVA CO"/>
    <n v="1"/>
    <s v="Desarrollador"/>
    <s v="Distribuido"/>
    <m/>
    <e v="#NAME?"/>
    <e v="#NAME?"/>
    <e v="#NAME?"/>
    <m/>
    <m/>
    <m/>
    <m/>
    <m/>
    <m/>
    <m/>
    <m/>
    <m/>
  </r>
  <r>
    <s v="T005769"/>
    <s v="Cesar Argenis Ruano Hernandez"/>
    <x v="2"/>
    <x v="7"/>
    <s v="CAPGEMINI"/>
    <e v="#NAME?"/>
    <s v="SDATOOL-29998 $ Despliegue SAS AML en BBVA CO"/>
    <n v="1"/>
    <s v="Desarrollador"/>
    <s v="Distribuido"/>
    <m/>
    <e v="#NAME?"/>
    <e v="#NAME?"/>
    <e v="#NAME?"/>
    <m/>
    <m/>
    <m/>
    <m/>
    <m/>
    <m/>
    <m/>
    <m/>
    <m/>
  </r>
  <r>
    <s v="CE62655"/>
    <s v="Diego Francisco Florez Diaz"/>
    <x v="2"/>
    <x v="7"/>
    <s v="Indra"/>
    <e v="#NAME?"/>
    <s v="SDATOOL-40599 $ Proyecto - Circular 025"/>
    <n v="0.5"/>
    <s v="Desarrollador"/>
    <s v="Distribuido"/>
    <m/>
    <e v="#NAME?"/>
    <e v="#NAME?"/>
    <e v="#NAME?"/>
    <m/>
    <m/>
    <m/>
    <m/>
    <m/>
    <m/>
    <m/>
    <m/>
    <m/>
  </r>
  <r>
    <s v="T005766"/>
    <s v="Iván Jonathan Romero Medina"/>
    <x v="2"/>
    <x v="7"/>
    <s v="CAPGEMINI"/>
    <e v="#NAME?"/>
    <s v="SDATOOL-29998 $ Despliegue SAS AML en BBVA CO"/>
    <n v="1"/>
    <s v="Desarrollador"/>
    <s v="Distribuido"/>
    <m/>
    <e v="#NAME?"/>
    <e v="#NAME?"/>
    <e v="#NAME?"/>
    <m/>
    <m/>
    <m/>
    <m/>
    <m/>
    <m/>
    <m/>
    <m/>
    <m/>
  </r>
  <r>
    <s v="CE56090"/>
    <s v="Jeisson Andres Tequia Rincon"/>
    <x v="2"/>
    <x v="7"/>
    <s v="MS"/>
    <e v="#NAME?"/>
    <s v="SDATOOL-29998 $ Despliegue SAS AML en BBVA CO"/>
    <n v="1"/>
    <s v="Desarrollador"/>
    <s v="Distribuido"/>
    <m/>
    <e v="#NAME?"/>
    <e v="#NAME?"/>
    <e v="#NAME?"/>
    <m/>
    <m/>
    <m/>
    <m/>
    <m/>
    <m/>
    <m/>
    <m/>
    <m/>
  </r>
  <r>
    <s v="T002734"/>
    <s v="MORENO MUNOZ EMMANUEL"/>
    <x v="2"/>
    <x v="7"/>
    <s v="CAPGEMINI"/>
    <e v="#NAME?"/>
    <s v="SDATOOL-29998 $ Despliegue SAS AML en BBVA CO"/>
    <n v="1"/>
    <s v="Desarrollador"/>
    <s v="Distribuido"/>
    <m/>
    <e v="#NAME?"/>
    <e v="#NAME?"/>
    <e v="#NAME?"/>
    <m/>
    <m/>
    <m/>
    <m/>
    <m/>
    <m/>
    <m/>
    <m/>
    <m/>
  </r>
  <r>
    <s v="T005765"/>
    <s v="Niteen Kumar Kanaiya"/>
    <x v="2"/>
    <x v="7"/>
    <s v="CAPGEMINI"/>
    <e v="#NAME?"/>
    <s v="SDATOOL-29998 $ Despliegue SAS AML en BBVA CO"/>
    <n v="1"/>
    <s v="Desarrollador"/>
    <s v="Distribuido"/>
    <m/>
    <e v="#NAME?"/>
    <e v="#NAME?"/>
    <e v="#NAME?"/>
    <m/>
    <m/>
    <m/>
    <m/>
    <m/>
    <m/>
    <m/>
    <m/>
    <m/>
  </r>
  <r>
    <s v="T005931"/>
    <s v="DANIEL MAURICIO RIANO PEDRAZA_x000a_"/>
    <x v="2"/>
    <x v="7"/>
    <s v="GGI / CMC"/>
    <e v="#NAME?"/>
    <s v="SDATOOL-29998 $ Despliegue SAS AML en BBVA CO"/>
    <n v="0.1"/>
    <s v="QA"/>
    <s v="Mainframe"/>
    <m/>
    <e v="#NAME?"/>
    <e v="#NAME?"/>
    <e v="#NAME?"/>
    <m/>
    <m/>
    <m/>
    <m/>
    <m/>
    <m/>
    <m/>
    <m/>
    <m/>
  </r>
  <r>
    <s v="T005931"/>
    <s v="DANIEL MAURICIO RIANO PEDRAZA_x000a_"/>
    <x v="2"/>
    <x v="7"/>
    <s v="GGI / CMC"/>
    <e v="#NAME?"/>
    <s v="SDATOOL-39265 $ Migración Operaciones Fircosoft"/>
    <n v="0.1"/>
    <s v="QA"/>
    <s v="Mainframe"/>
    <s v="Usuario  lo presentara en el WG del 30/03/2023"/>
    <e v="#NAME?"/>
    <e v="#NAME?"/>
    <e v="#NAME?"/>
    <m/>
    <m/>
    <m/>
    <m/>
    <m/>
    <m/>
    <m/>
    <m/>
    <m/>
  </r>
  <r>
    <s v="T005931"/>
    <s v="DANIEL MAURICIO RIANO PEDRAZA_x000a_"/>
    <x v="2"/>
    <x v="7"/>
    <s v="GGI / CMC"/>
    <e v="#NAME?"/>
    <s v="SDATOOL-39888 $ Proyecto - Evolutivo Sarlaft - Mejoras controles aplicativos"/>
    <n v="0.1"/>
    <s v="QA"/>
    <s v="Mainframe"/>
    <m/>
    <e v="#NAME?"/>
    <e v="#NAME?"/>
    <e v="#NAME?"/>
    <m/>
    <m/>
    <m/>
    <m/>
    <m/>
    <m/>
    <m/>
    <m/>
    <m/>
  </r>
  <r>
    <s v="T005931"/>
    <s v="DANIEL MAURICIO RIANO PEDRAZA_x000a_"/>
    <x v="2"/>
    <x v="7"/>
    <s v="GGI / CMC"/>
    <e v="#NAME?"/>
    <s v="SDATOOL-40984 $ Proyecto - Identificación e ingesta de las tablas necesarias en datio y la construcción del caso de uso para la identificación de vínculos - Colombia"/>
    <n v="0.1"/>
    <s v="QA"/>
    <s v="Mainframe"/>
    <m/>
    <e v="#NAME?"/>
    <e v="#NAME?"/>
    <e v="#NAME?"/>
    <m/>
    <m/>
    <m/>
    <m/>
    <m/>
    <m/>
    <m/>
    <m/>
    <m/>
  </r>
  <r>
    <s v="CE68547"/>
    <s v="JOSE ROBERTO GONZALEZ MELO_x000a_"/>
    <x v="2"/>
    <x v="7"/>
    <s v="KRYPTO"/>
    <e v="#NAME?"/>
    <s v="SDATOOL-29998 $ Despliegue SAS AML en BBVA CO"/>
    <n v="0.1"/>
    <s v="QA"/>
    <s v="Mainframe"/>
    <m/>
    <e v="#NAME?"/>
    <e v="#NAME?"/>
    <e v="#NAME?"/>
    <m/>
    <m/>
    <m/>
    <m/>
    <m/>
    <m/>
    <m/>
    <m/>
    <m/>
  </r>
  <r>
    <s v="CE68547"/>
    <s v="JOSE ROBERTO GONZALEZ MELO_x000a_"/>
    <x v="2"/>
    <x v="7"/>
    <s v="KRYPTO"/>
    <e v="#NAME?"/>
    <s v="SDATOOL-39265 $ Migración Operaciones Fircosoft"/>
    <n v="0.1"/>
    <s v="QA"/>
    <s v="Mainframe"/>
    <s v="Usuario  lo presentara en el WG del 30/03/2023"/>
    <e v="#NAME?"/>
    <e v="#NAME?"/>
    <e v="#NAME?"/>
    <m/>
    <m/>
    <m/>
    <m/>
    <m/>
    <m/>
    <m/>
    <m/>
    <m/>
  </r>
  <r>
    <s v="CE68547"/>
    <s v="JOSE ROBERTO GONZALEZ MELO_x000a_"/>
    <x v="2"/>
    <x v="7"/>
    <s v="KRYPTO"/>
    <e v="#NAME?"/>
    <s v="SDATOOL-39888 $ Proyecto - Evolutivo Sarlaft - Mejoras controles aplicativos"/>
    <n v="0.1"/>
    <s v="QA"/>
    <s v="Mainframe"/>
    <m/>
    <e v="#NAME?"/>
    <e v="#NAME?"/>
    <e v="#NAME?"/>
    <m/>
    <m/>
    <m/>
    <m/>
    <m/>
    <m/>
    <m/>
    <m/>
    <m/>
  </r>
  <r>
    <s v="CE68547"/>
    <s v="JOSE ROBERTO GONZALEZ MELO_x000a_"/>
    <x v="2"/>
    <x v="7"/>
    <s v="KRYPTO"/>
    <e v="#NAME?"/>
    <s v="SDATOOL-40984 $ Proyecto - Identificación e ingesta de las tablas necesarias en datio y la construcción del caso de uso para la identificación de vínculos - Colombia"/>
    <n v="0.1"/>
    <s v="QA"/>
    <s v="Mainframe"/>
    <m/>
    <e v="#NAME?"/>
    <e v="#NAME?"/>
    <e v="#NAME?"/>
    <m/>
    <m/>
    <m/>
    <m/>
    <m/>
    <m/>
    <m/>
    <m/>
    <m/>
  </r>
  <r>
    <s v="CE46213"/>
    <s v="DANIEL ANTONIO CAMACHO ARIZA"/>
    <x v="2"/>
    <x v="7"/>
    <s v="Neoris"/>
    <e v="#NAME?"/>
    <s v="SDATOOL-39888 $ Proyecto - Evolutivo Sarlaft - Mejoras controles aplicativos"/>
    <n v="1"/>
    <s v="Desarrollador"/>
    <s v="Mainframe"/>
    <m/>
    <e v="#NAME?"/>
    <e v="#NAME?"/>
    <e v="#NAME?"/>
    <m/>
    <m/>
    <m/>
    <m/>
    <m/>
    <m/>
    <m/>
    <m/>
    <m/>
  </r>
  <r>
    <s v="T000603"/>
    <s v="JEISSON ANDRES RUIZ MARTINEZ"/>
    <x v="2"/>
    <x v="7"/>
    <s v="Neoris"/>
    <e v="#NAME?"/>
    <s v="SDATOOL-39888 $ Proyecto - Evolutivo Sarlaft - Mejoras controles aplicativos"/>
    <n v="1"/>
    <s v="Desarrollador"/>
    <s v="Mainframe"/>
    <m/>
    <e v="#NAME?"/>
    <e v="#NAME?"/>
    <e v="#NAME?"/>
    <m/>
    <m/>
    <m/>
    <m/>
    <m/>
    <m/>
    <m/>
    <m/>
    <m/>
  </r>
  <r>
    <s v="CE70371"/>
    <s v="DANEL PULECIO GONZALEZ "/>
    <x v="2"/>
    <x v="7"/>
    <s v="Neoris"/>
    <e v="#NAME?"/>
    <s v="SDATOOL-39888 $ Proyecto - Evolutivo Sarlaft - Mejoras controles aplicativos"/>
    <n v="1"/>
    <s v="Desarrollador"/>
    <s v="Mainframe"/>
    <m/>
    <e v="#NAME?"/>
    <e v="#NAME?"/>
    <e v="#NAME?"/>
    <m/>
    <m/>
    <m/>
    <m/>
    <m/>
    <m/>
    <m/>
    <m/>
    <m/>
  </r>
  <r>
    <s v="C341759"/>
    <s v="CHRISTIAN EDUARDO DIAZ GARCIA "/>
    <x v="2"/>
    <x v="5"/>
    <s v="BBVA"/>
    <e v="#NAME?"/>
    <s v="SDATOOL-37411 $ Infraestructura reportes regulatorios"/>
    <n v="0.05"/>
    <s v="Tech Manager/Líder"/>
    <s v="Mainframe"/>
    <m/>
    <e v="#NAME?"/>
    <e v="#NAME?"/>
    <e v="#NAME?"/>
    <m/>
    <m/>
    <m/>
    <m/>
    <m/>
    <m/>
    <m/>
    <m/>
    <m/>
  </r>
  <r>
    <s v="C341759"/>
    <s v="CHRISTIAN EDUARDO DIAZ GARCIA "/>
    <x v="2"/>
    <x v="5"/>
    <s v="BBVA"/>
    <e v="#NAME?"/>
    <s v="SDATOOL-37681 $ Ciclo 2 - Resolución 0098 de Octubre 28 de 2020 - Reportes información Exógena Base Impuestos"/>
    <n v="0.1"/>
    <s v="Tech Manager/Líder"/>
    <s v="Mainframe"/>
    <m/>
    <e v="#NAME?"/>
    <e v="#NAME?"/>
    <e v="#NAME?"/>
    <m/>
    <m/>
    <m/>
    <m/>
    <m/>
    <m/>
    <m/>
    <m/>
    <m/>
  </r>
  <r>
    <s v="C341759"/>
    <s v="CHRISTIAN EDUARDO DIAZ GARCIA "/>
    <x v="2"/>
    <x v="5"/>
    <s v="BBVA"/>
    <e v="#NAME?"/>
    <s v="SDATOOL-38583 $ FUSIONES Y ACTUALIZACION DE IDENTIFICACIONES"/>
    <n v="0.1"/>
    <s v="Tech Manager/Líder"/>
    <s v="Mainframe"/>
    <m/>
    <e v="#NAME?"/>
    <e v="#NAME?"/>
    <e v="#NAME?"/>
    <m/>
    <m/>
    <m/>
    <m/>
    <m/>
    <m/>
    <m/>
    <m/>
    <m/>
  </r>
  <r>
    <s v="C341759"/>
    <s v="CHRISTIAN EDUARDO DIAZ GARCIA "/>
    <x v="2"/>
    <x v="5"/>
    <s v="BBVA"/>
    <e v="#NAME?"/>
    <s v="SDATOOL-40003 $ Resolución 0124 DIAN 2021 - Créditos Hipotecarios para remodelación de Vivienda"/>
    <n v="0.05"/>
    <s v="Tech Manager/Líder"/>
    <s v="Mainframe"/>
    <m/>
    <e v="#NAME?"/>
    <e v="#NAME?"/>
    <e v="#NAME?"/>
    <m/>
    <m/>
    <m/>
    <m/>
    <m/>
    <m/>
    <m/>
    <m/>
    <m/>
  </r>
  <r>
    <s v="C341759"/>
    <s v="CHRISTIAN EDUARDO DIAZ GARCIA "/>
    <x v="2"/>
    <x v="5"/>
    <s v="BBVA"/>
    <e v="#NAME?"/>
    <s v="SDATOOL-40225 $ Resolución 0124 Dian - 2021 - Ajustes para Reporte de Información Exógena año gravable 2022 - Ciclo 1"/>
    <n v="0.1"/>
    <s v="Tech Manager/Líder"/>
    <s v="Mainframe"/>
    <m/>
    <e v="#NAME?"/>
    <e v="#NAME?"/>
    <e v="#NAME?"/>
    <m/>
    <m/>
    <m/>
    <m/>
    <m/>
    <m/>
    <m/>
    <m/>
    <m/>
  </r>
  <r>
    <s v="C341759"/>
    <s v="CHRISTIAN EDUARDO DIAZ GARCIA "/>
    <x v="2"/>
    <x v="5"/>
    <s v="BBVA"/>
    <e v="#NAME?"/>
    <s v="SDATOOL-33847 $ Resolución 0042 DIAN Documento Soporte"/>
    <n v="0.1"/>
    <s v="Tech Manager/Líder"/>
    <s v="Mainframe"/>
    <m/>
    <e v="#NAME?"/>
    <e v="#NAME?"/>
    <e v="#NAME?"/>
    <m/>
    <m/>
    <m/>
    <m/>
    <m/>
    <m/>
    <m/>
    <m/>
    <m/>
  </r>
  <r>
    <s v="C341759"/>
    <s v="CHRISTIAN EDUARDO DIAZ GARCIA "/>
    <x v="2"/>
    <x v="5"/>
    <s v="BBVA"/>
    <e v="#NAME?"/>
    <s v="SDATOOL-39823 $ REPORTERIA PROVISIONES _ S1, S2, S3, SA y CxP en Divisa"/>
    <n v="0.05"/>
    <s v="Tech Manager/Líder"/>
    <s v="Mainframe"/>
    <m/>
    <e v="#NAME?"/>
    <e v="#NAME?"/>
    <e v="#NAME?"/>
    <m/>
    <m/>
    <m/>
    <m/>
    <m/>
    <m/>
    <m/>
    <m/>
    <m/>
  </r>
  <r>
    <s v="C341759"/>
    <s v="CHRISTIAN EDUARDO DIAZ GARCIA "/>
    <x v="2"/>
    <x v="5"/>
    <s v="BBVA"/>
    <e v="#NAME?"/>
    <s v="SDATOOL-40191 $ Ajuste apuntes manuales CC0112 – GPS"/>
    <n v="0.05"/>
    <s v="Tech Manager/Líder"/>
    <s v="Mainframe"/>
    <m/>
    <e v="#NAME?"/>
    <e v="#NAME?"/>
    <e v="#NAME?"/>
    <m/>
    <m/>
    <m/>
    <m/>
    <m/>
    <m/>
    <m/>
    <m/>
    <m/>
  </r>
  <r>
    <s v="C341759"/>
    <s v="CHRISTIAN EDUARDO DIAZ GARCIA "/>
    <x v="2"/>
    <x v="5"/>
    <s v="BBVA"/>
    <e v="#NAME?"/>
    <s v="SDATOOL-37184 $ Actualizaciones Aplicativo ADA V2"/>
    <n v="0.1"/>
    <s v="Tech Manager/Líder"/>
    <s v="Mainframe"/>
    <m/>
    <e v="#NAME?"/>
    <e v="#NAME?"/>
    <e v="#NAME?"/>
    <m/>
    <m/>
    <m/>
    <m/>
    <m/>
    <m/>
    <m/>
    <m/>
    <m/>
  </r>
  <r>
    <s v="C341759"/>
    <s v="CHRISTIAN EDUARDO DIAZ GARCIA "/>
    <x v="2"/>
    <x v="5"/>
    <s v="BBVA"/>
    <e v="#NAME?"/>
    <s v="SDATOOL-40274 $ CIRCULAR 033 de 2021-SFC"/>
    <n v="0.05"/>
    <s v="Tech Manager/Líder"/>
    <s v="Mainframe"/>
    <m/>
    <e v="#NAME?"/>
    <e v="#NAME?"/>
    <e v="#NAME?"/>
    <m/>
    <m/>
    <m/>
    <m/>
    <m/>
    <m/>
    <m/>
    <m/>
    <m/>
  </r>
  <r>
    <s v="C341759"/>
    <s v="CHRISTIAN EDUARDO DIAZ GARCIA "/>
    <x v="2"/>
    <x v="5"/>
    <s v="BBVA"/>
    <e v="#NAME?"/>
    <s v="SDATOOL-42059 $ Arrendamiento tecnológico Real State - GPS"/>
    <n v="0.05"/>
    <s v="Tech Manager/Líder"/>
    <s v="Mainframe"/>
    <s v="Tiene Staffing pero no se ha presentado en el WG"/>
    <e v="#NAME?"/>
    <e v="#NAME?"/>
    <e v="#NAME?"/>
    <m/>
    <m/>
    <m/>
    <m/>
    <m/>
    <m/>
    <m/>
    <m/>
    <m/>
  </r>
  <r>
    <s v="C341759"/>
    <s v="CHRISTIAN EDUARDO DIAZ GARCIA "/>
    <x v="2"/>
    <x v="5"/>
    <s v="BBVA"/>
    <e v="#NAME?"/>
    <s v="SDATOOL-33862 $ NDoD Accounting"/>
    <n v="0.05"/>
    <s v="Tech Manager/Líder"/>
    <s v="Mainframe"/>
    <m/>
    <e v="#NAME?"/>
    <e v="#NAME?"/>
    <e v="#NAME?"/>
    <m/>
    <m/>
    <m/>
    <m/>
    <m/>
    <m/>
    <m/>
    <m/>
    <m/>
  </r>
  <r>
    <s v="C341759"/>
    <s v="CHRISTIAN EDUARDO DIAZ GARCIA "/>
    <x v="2"/>
    <x v="5"/>
    <s v="BBVA"/>
    <e v="#NAME?"/>
    <s v="SDATOOL-40869 $ Herramientas Regulatorias Regionales (FINREP/AE y Liquidez) 2023"/>
    <n v="0.05"/>
    <s v="Tech Manager/Líder"/>
    <s v="Mainframe"/>
    <s v="Tiene Staffing pero no se ha presentado en el WG"/>
    <e v="#NAME?"/>
    <e v="#NAME?"/>
    <e v="#NAME?"/>
    <m/>
    <m/>
    <m/>
    <m/>
    <m/>
    <m/>
    <m/>
    <m/>
    <m/>
  </r>
  <r>
    <s v="C341759"/>
    <s v="CHRISTIAN EDUARDO DIAZ GARCIA "/>
    <x v="2"/>
    <x v="5"/>
    <s v="BBVA"/>
    <e v="#NAME?"/>
    <s v="SDATOOL-40529 $ Aplicativos Finanzas - 2023"/>
    <n v="0.05"/>
    <s v="Tech Manager/Líder"/>
    <s v="Mainframe"/>
    <m/>
    <e v="#NAME?"/>
    <e v="#NAME?"/>
    <e v="#NAME?"/>
    <m/>
    <m/>
    <m/>
    <m/>
    <m/>
    <m/>
    <m/>
    <m/>
    <m/>
  </r>
  <r>
    <s v="C341759"/>
    <s v="CHRISTIAN EDUARDO DIAZ GARCIA "/>
    <x v="2"/>
    <x v="5"/>
    <s v="BBVA"/>
    <e v="#NAME?"/>
    <s v="SDATOOL-40736 $ Curvas de Fondeo por Producto (ALM)"/>
    <n v="0.05"/>
    <s v="Tech Manager/Líder"/>
    <s v="Mainframe"/>
    <m/>
    <e v="#NAME?"/>
    <e v="#NAME?"/>
    <e v="#NAME?"/>
    <m/>
    <m/>
    <m/>
    <m/>
    <m/>
    <m/>
    <m/>
    <m/>
    <m/>
  </r>
  <r>
    <s v="O001639"/>
    <s v="DAVID ANDRES RODRIGUEZ BAEZ"/>
    <x v="2"/>
    <x v="5"/>
    <s v="BBVA"/>
    <e v="#NAME?"/>
    <s v="SDATOOL-40599 $ Proyecto - Circular 025"/>
    <n v="0.25"/>
    <s v="Desarrollador"/>
    <s v="Distribuido"/>
    <s v="Tiene Staffing pero no se ha presentado en el WG"/>
    <e v="#NAME?"/>
    <e v="#NAME?"/>
    <e v="#NAME?"/>
    <m/>
    <m/>
    <m/>
    <m/>
    <m/>
    <m/>
    <m/>
    <m/>
    <m/>
  </r>
  <r>
    <s v="O001639"/>
    <s v="DAVID ANDRES RODRIGUEZ BAEZ"/>
    <x v="2"/>
    <x v="5"/>
    <s v="BBVA"/>
    <e v="#NAME?"/>
    <s v="SDATOOL-33847 $ Resolución 0042 DIAN Documento Soporte"/>
    <n v="0.5"/>
    <s v="Desarrollador"/>
    <s v="Distribuido"/>
    <m/>
    <e v="#NAME?"/>
    <e v="#NAME?"/>
    <e v="#NAME?"/>
    <m/>
    <m/>
    <m/>
    <m/>
    <m/>
    <m/>
    <m/>
    <m/>
    <m/>
  </r>
  <r>
    <s v="O001639"/>
    <s v="DAVID ANDRES RODRIGUEZ BAEZ"/>
    <x v="2"/>
    <x v="5"/>
    <s v="BBVA"/>
    <e v="#NAME?"/>
    <s v="SDATOOL-37184 $ Actualizaciones Aplicativo ADA V2"/>
    <n v="0.25"/>
    <s v="Desarrollador"/>
    <s v="Distribuido"/>
    <m/>
    <e v="#NAME?"/>
    <e v="#NAME?"/>
    <e v="#NAME?"/>
    <m/>
    <m/>
    <m/>
    <m/>
    <m/>
    <m/>
    <m/>
    <m/>
    <m/>
  </r>
  <r>
    <s v="C809546"/>
    <s v="GOMEZ CUADRADO JENNY PAOLA"/>
    <x v="2"/>
    <x v="5"/>
    <s v="BBVA"/>
    <e v="#NAME?"/>
    <s v="SDATOOL-40599 $ Proyecto - Circular 025"/>
    <n v="0.05"/>
    <s v="Desarrollador"/>
    <s v="Mainframe"/>
    <s v="Tiene Staffing pero no se ha presentado en el WG"/>
    <e v="#NAME?"/>
    <e v="#NAME?"/>
    <e v="#NAME?"/>
    <m/>
    <m/>
    <m/>
    <m/>
    <m/>
    <m/>
    <m/>
    <m/>
    <m/>
  </r>
  <r>
    <s v="C809546"/>
    <s v="GOMEZ CUADRADO JENNY PAOLA"/>
    <x v="2"/>
    <x v="5"/>
    <s v="BBVA"/>
    <e v="#NAME?"/>
    <s v="SDATOOL-39823 $ REPORTERIA PROVISIONES _ S1, S2, S3, SA y CxP en Divisa"/>
    <n v="0.05"/>
    <s v="Desarrollador"/>
    <s v="Mainframe"/>
    <m/>
    <e v="#NAME?"/>
    <e v="#NAME?"/>
    <e v="#NAME?"/>
    <m/>
    <m/>
    <m/>
    <m/>
    <m/>
    <m/>
    <m/>
    <m/>
    <m/>
  </r>
  <r>
    <s v="C809546"/>
    <s v="GOMEZ CUADRADO JENNY PAOLA"/>
    <x v="2"/>
    <x v="5"/>
    <s v="BBVA"/>
    <e v="#NAME?"/>
    <s v="SDATOOL-40191 $ Ajuste apuntes manuales CC0112 – GPS"/>
    <n v="0.05"/>
    <s v="Desarrollador"/>
    <s v="Mainframe"/>
    <m/>
    <e v="#NAME?"/>
    <e v="#NAME?"/>
    <e v="#NAME?"/>
    <m/>
    <m/>
    <m/>
    <m/>
    <m/>
    <m/>
    <m/>
    <m/>
    <m/>
  </r>
  <r>
    <s v="C809546"/>
    <s v="GOMEZ CUADRADO JENNY PAOLA"/>
    <x v="2"/>
    <x v="5"/>
    <s v="BBVA"/>
    <e v="#NAME?"/>
    <s v="SDATOOL-40225 $ Resolución 0124 Dian - 2021 - Ajustes para Reporte de Información Exógena año gravable 2022 - Ciclo 1"/>
    <n v="0.05"/>
    <s v="Desarrollador"/>
    <s v="Mainframe"/>
    <m/>
    <e v="#NAME?"/>
    <e v="#NAME?"/>
    <e v="#NAME?"/>
    <m/>
    <m/>
    <m/>
    <m/>
    <m/>
    <m/>
    <m/>
    <m/>
    <m/>
  </r>
  <r>
    <s v="C809546"/>
    <s v="GOMEZ CUADRADO JENNY PAOLA"/>
    <x v="2"/>
    <x v="5"/>
    <s v="BBVA"/>
    <e v="#NAME?"/>
    <s v="SDATOOL-37681 $ Ciclo 2 - Resolución 0098 de Octubre 28 de 2020 - Reportes información Exógena Base Impuestos"/>
    <n v="0.05"/>
    <s v="Desarrollador"/>
    <s v="Mainframe"/>
    <m/>
    <e v="#NAME?"/>
    <e v="#NAME?"/>
    <e v="#NAME?"/>
    <m/>
    <m/>
    <m/>
    <m/>
    <m/>
    <m/>
    <m/>
    <m/>
    <m/>
  </r>
  <r>
    <s v="C809546"/>
    <s v="GOMEZ CUADRADO JENNY PAOLA"/>
    <x v="2"/>
    <x v="5"/>
    <s v="BBVA"/>
    <e v="#NAME?"/>
    <s v="SDATOOL-40274 $ CIRCULAR 033 de 2021-SFC"/>
    <n v="0.75"/>
    <s v="Desarrollador"/>
    <s v="Mainframe"/>
    <m/>
    <e v="#NAME?"/>
    <e v="#NAME?"/>
    <e v="#NAME?"/>
    <m/>
    <m/>
    <m/>
    <m/>
    <m/>
    <m/>
    <m/>
    <m/>
    <m/>
  </r>
  <r>
    <s v="C811405"/>
    <s v="JUAN DAVID MONTERO BOGOTA"/>
    <x v="2"/>
    <x v="5"/>
    <s v="BBVA"/>
    <e v="#NAME?"/>
    <s v="SDATOOL-37411 $ Infraestructura reportes regulatorios"/>
    <n v="1"/>
    <s v="Desarrollador"/>
    <s v="Distribuido"/>
    <m/>
    <e v="#NAME?"/>
    <e v="#NAME?"/>
    <e v="#NAME?"/>
    <m/>
    <m/>
    <m/>
    <m/>
    <m/>
    <m/>
    <m/>
    <m/>
    <m/>
  </r>
  <r>
    <s v="C804743"/>
    <s v="MILENA MARGARITA GONZALEZ PARRA "/>
    <x v="2"/>
    <x v="5"/>
    <s v="BBVA"/>
    <e v="#NAME?"/>
    <s v="SDATOOL-40529 $ Aplicativos Finanzas - 2023"/>
    <n v="0.05"/>
    <s v="Desarrollador"/>
    <s v="Distribuido"/>
    <m/>
    <e v="#NAME?"/>
    <e v="#NAME?"/>
    <e v="#NAME?"/>
    <m/>
    <m/>
    <m/>
    <m/>
    <m/>
    <m/>
    <m/>
    <m/>
    <m/>
  </r>
  <r>
    <s v="C804743"/>
    <s v="MILENA MARGARITA GONZALEZ PARRA "/>
    <x v="2"/>
    <x v="5"/>
    <s v="BBVA"/>
    <e v="#NAME?"/>
    <s v="SDATOOL-40274 $ CIRCULAR 033 de 2021-SFC"/>
    <n v="0.25"/>
    <s v="Desarrollador"/>
    <s v="Distribuido"/>
    <m/>
    <e v="#NAME?"/>
    <e v="#NAME?"/>
    <e v="#NAME?"/>
    <m/>
    <m/>
    <m/>
    <m/>
    <m/>
    <m/>
    <m/>
    <m/>
    <m/>
  </r>
  <r>
    <s v="C804743"/>
    <s v="MILENA MARGARITA GONZALEZ PARRA "/>
    <x v="2"/>
    <x v="5"/>
    <s v="BBVA"/>
    <e v="#NAME?"/>
    <s v="SDATOOL-37411 $ Infraestructura reportes regulatorios"/>
    <n v="0.7"/>
    <s v="Desarrollador"/>
    <s v="Distribuido"/>
    <m/>
    <e v="#NAME?"/>
    <e v="#NAME?"/>
    <e v="#NAME?"/>
    <m/>
    <m/>
    <m/>
    <m/>
    <m/>
    <m/>
    <m/>
    <m/>
    <m/>
  </r>
  <r>
    <s v="C343619"/>
    <s v="REY GOMEZ ANDRES CAMILO"/>
    <x v="2"/>
    <x v="5"/>
    <s v="BBVA"/>
    <e v="#NAME?"/>
    <s v="SDATOOL-38583 $ FUSIONES Y ACTUALIZACION DE IDENTIFICACIONES"/>
    <n v="0.25"/>
    <s v="Desarrollador"/>
    <s v="Mainframe"/>
    <m/>
    <e v="#NAME?"/>
    <e v="#NAME?"/>
    <e v="#NAME?"/>
    <m/>
    <m/>
    <m/>
    <m/>
    <m/>
    <m/>
    <m/>
    <m/>
    <m/>
  </r>
  <r>
    <s v="C343619"/>
    <s v="REY GOMEZ ANDRES CAMILO"/>
    <x v="2"/>
    <x v="5"/>
    <s v="BBVA"/>
    <e v="#NAME?"/>
    <s v="SDATOOL-37681 $ Ciclo 2 - Resolución 0098 de Octubre 28 de 2020 - Reportes información Exógena Base Impuestos"/>
    <n v="0.25"/>
    <s v="Desarrollador"/>
    <s v="Mainframe"/>
    <m/>
    <e v="#NAME?"/>
    <e v="#NAME?"/>
    <e v="#NAME?"/>
    <m/>
    <m/>
    <m/>
    <m/>
    <m/>
    <m/>
    <m/>
    <m/>
    <m/>
  </r>
  <r>
    <s v="C343619"/>
    <s v="REY GOMEZ ANDRES CAMILO"/>
    <x v="2"/>
    <x v="5"/>
    <s v="BBVA"/>
    <e v="#NAME?"/>
    <s v="SDATOOL-40003 $ Resolución 0124 DIAN 2021 - Créditos Hipotecarios para remodelación de Vivienda"/>
    <n v="0.25"/>
    <s v="Desarrollador"/>
    <s v="Mainframe"/>
    <m/>
    <e v="#NAME?"/>
    <e v="#NAME?"/>
    <e v="#NAME?"/>
    <m/>
    <m/>
    <m/>
    <m/>
    <m/>
    <m/>
    <m/>
    <m/>
    <m/>
  </r>
  <r>
    <s v="C343619"/>
    <s v="REY GOMEZ ANDRES CAMILO"/>
    <x v="2"/>
    <x v="5"/>
    <s v="BBVA"/>
    <e v="#NAME?"/>
    <s v="SDATOOL-40225 $ Resolución 0124 Dian - 2021 - Ajustes para Reporte de Información Exógena año gravable 2022 - Ciclo 1"/>
    <n v="0.25"/>
    <s v="Desarrollador"/>
    <s v="Mainframe"/>
    <m/>
    <e v="#NAME?"/>
    <e v="#NAME?"/>
    <e v="#NAME?"/>
    <m/>
    <m/>
    <m/>
    <m/>
    <m/>
    <m/>
    <m/>
    <m/>
    <m/>
  </r>
  <r>
    <s v="O003311"/>
    <s v="VACA BERNAL JAIRO ALEXIS"/>
    <x v="2"/>
    <x v="5"/>
    <s v="BBVA"/>
    <e v="#NAME?"/>
    <s v="SDATOOL-32520 $ CDD Based Reporting - Colombia"/>
    <n v="0.5"/>
    <s v="Desarrollador"/>
    <s v="Mainframe"/>
    <m/>
    <e v="#NAME?"/>
    <e v="#NAME?"/>
    <e v="#NAME?"/>
    <m/>
    <m/>
    <m/>
    <m/>
    <m/>
    <m/>
    <m/>
    <m/>
    <m/>
  </r>
  <r>
    <s v="O003311"/>
    <s v="VACA BERNAL JAIRO ALEXIS"/>
    <x v="2"/>
    <x v="5"/>
    <s v="BBVA"/>
    <e v="#NAME?"/>
    <s v="SDATOOL-40869 $ Herramientas Regulatorias Regionales (FINREP/AE y Liquidez) 2023"/>
    <n v="0.05"/>
    <s v="Desarrollador"/>
    <s v="Mainframe"/>
    <s v="Tiene Staffing pero no se ha presentado en el WG"/>
    <e v="#NAME?"/>
    <e v="#NAME?"/>
    <e v="#NAME?"/>
    <m/>
    <m/>
    <m/>
    <m/>
    <m/>
    <m/>
    <m/>
    <m/>
    <m/>
  </r>
  <r>
    <s v="O003311"/>
    <s v="VACA BERNAL JAIRO ALEXIS"/>
    <x v="2"/>
    <x v="5"/>
    <s v="BBVA"/>
    <e v="#NAME?"/>
    <s v="SDATOOL-40529 $ Aplicativos Finanzas - 2023"/>
    <n v="0.25"/>
    <s v="Desarrollador"/>
    <s v="Mainframe"/>
    <m/>
    <e v="#NAME?"/>
    <e v="#NAME?"/>
    <e v="#NAME?"/>
    <m/>
    <m/>
    <m/>
    <m/>
    <m/>
    <m/>
    <m/>
    <m/>
    <m/>
  </r>
  <r>
    <s v="O003311"/>
    <s v="VACA BERNAL JAIRO ALEXIS"/>
    <x v="2"/>
    <x v="5"/>
    <s v="BBVA"/>
    <e v="#NAME?"/>
    <s v="SDATOOL-40736 $ Curvas de Fondeo por Producto (ALM)"/>
    <n v="0.2"/>
    <s v="Desarrollador"/>
    <s v="Mainframe"/>
    <m/>
    <e v="#NAME?"/>
    <e v="#NAME?"/>
    <e v="#NAME?"/>
    <m/>
    <m/>
    <m/>
    <m/>
    <m/>
    <m/>
    <m/>
    <m/>
    <m/>
  </r>
  <r>
    <s v="C803834"/>
    <s v="VIVIANA ALARCON TORRES"/>
    <x v="2"/>
    <x v="5"/>
    <s v="BBVA"/>
    <e v="#NAME?"/>
    <s v="SDATOOL-33862 $ NDoD Accounting"/>
    <n v="0.25"/>
    <s v="Desarrollador"/>
    <s v="Distribuido"/>
    <s v="En revision con dominio por cuanto debe estar "/>
    <e v="#NAME?"/>
    <e v="#NAME?"/>
    <e v="#NAME?"/>
    <m/>
    <m/>
    <m/>
    <m/>
    <m/>
    <m/>
    <m/>
    <m/>
    <m/>
  </r>
  <r>
    <s v="C803834"/>
    <s v="VIVIANA ALARCON TORRES"/>
    <x v="2"/>
    <x v="5"/>
    <s v="BBVA"/>
    <e v="#NAME?"/>
    <s v="SDATOOL-40274 $ CIRCULAR 033 de 2021-SFC"/>
    <n v="0.5"/>
    <s v="Desarrollador"/>
    <s v="Distribuido"/>
    <m/>
    <e v="#NAME?"/>
    <e v="#NAME?"/>
    <e v="#NAME?"/>
    <m/>
    <m/>
    <m/>
    <m/>
    <m/>
    <m/>
    <m/>
    <m/>
    <m/>
  </r>
  <r>
    <s v="C803834"/>
    <s v="VIVIANA ALARCON TORRES"/>
    <x v="2"/>
    <x v="5"/>
    <s v="BBVA"/>
    <e v="#NAME?"/>
    <s v="SDATOOL-32520 $ CDD Based Reporting - Colombia"/>
    <n v="0.15"/>
    <s v="Desarrollador"/>
    <s v="Distribuido"/>
    <m/>
    <e v="#NAME?"/>
    <e v="#NAME?"/>
    <e v="#NAME?"/>
    <m/>
    <m/>
    <m/>
    <m/>
    <m/>
    <m/>
    <m/>
    <m/>
    <m/>
  </r>
  <r>
    <s v="C803834"/>
    <s v="VIVIANA ALARCON TORRES"/>
    <x v="2"/>
    <x v="5"/>
    <s v="BBVA"/>
    <e v="#NAME?"/>
    <s v="SDATOOL-40529 $ Aplicativos Finanzas - 2023"/>
    <n v="0.1"/>
    <s v="Desarrollador"/>
    <s v="Distribuido"/>
    <m/>
    <e v="#NAME?"/>
    <e v="#NAME?"/>
    <e v="#NAME?"/>
    <m/>
    <m/>
    <m/>
    <m/>
    <m/>
    <m/>
    <m/>
    <m/>
    <m/>
  </r>
  <r>
    <s v="C808860"/>
    <s v="ZARATE PAVAS JOHN JAIRO"/>
    <x v="2"/>
    <x v="5"/>
    <s v="BBVA"/>
    <e v="#NAME?"/>
    <s v="SDATOOL-40225 $ Resolución 0124 Dian - 2021 - Ajustes para Reporte de Información Exógena año gravable 2022 - Ciclo 1"/>
    <n v="0.1"/>
    <s v="Desarrollador"/>
    <s v="Mainframe"/>
    <m/>
    <e v="#NAME?"/>
    <e v="#NAME?"/>
    <e v="#NAME?"/>
    <m/>
    <m/>
    <m/>
    <m/>
    <m/>
    <m/>
    <m/>
    <m/>
    <m/>
  </r>
  <r>
    <s v="C808860"/>
    <s v="ZARATE PAVAS JOHN JAIRO"/>
    <x v="2"/>
    <x v="5"/>
    <s v="BBVA"/>
    <e v="#NAME?"/>
    <s v="SDATOOL-37681 $ Ciclo 2 - Resolución 0098 de Octubre 28 de 2020 - Reportes información Exógena Base Impuestos"/>
    <n v="0.05"/>
    <s v="Desarrollador"/>
    <s v="Mainframe"/>
    <m/>
    <e v="#NAME?"/>
    <e v="#NAME?"/>
    <e v="#NAME?"/>
    <m/>
    <m/>
    <m/>
    <m/>
    <m/>
    <m/>
    <m/>
    <m/>
    <m/>
  </r>
  <r>
    <s v="C808860"/>
    <s v="ZARATE PAVAS JOHN JAIRO"/>
    <x v="2"/>
    <x v="5"/>
    <s v="BBVA"/>
    <e v="#NAME?"/>
    <s v="SDATOOL-38583 $ FUSIONES Y ACTUALIZACION DE IDENTIFICACIONES"/>
    <n v="0.5"/>
    <s v="Desarrollador"/>
    <s v="Mainframe"/>
    <m/>
    <e v="#NAME?"/>
    <e v="#NAME?"/>
    <e v="#NAME?"/>
    <m/>
    <m/>
    <m/>
    <m/>
    <m/>
    <m/>
    <m/>
    <m/>
    <m/>
  </r>
  <r>
    <s v="C808860"/>
    <s v="ZARATE PAVAS JOHN JAIRO"/>
    <x v="2"/>
    <x v="5"/>
    <s v="BBVA"/>
    <e v="#NAME?"/>
    <s v="SDATOOL-40003 $ Resolución 0124 DIAN 2021 - Créditos Hipotecarios para remodelación de Vivienda"/>
    <n v="0.1"/>
    <s v="Desarrollador"/>
    <s v="Mainframe"/>
    <m/>
    <e v="#NAME?"/>
    <e v="#NAME?"/>
    <e v="#NAME?"/>
    <m/>
    <m/>
    <m/>
    <m/>
    <m/>
    <m/>
    <m/>
    <m/>
    <m/>
  </r>
  <r>
    <s v="C808860"/>
    <s v="ZARATE PAVAS JOHN JAIRO"/>
    <x v="2"/>
    <x v="5"/>
    <s v="BBVA"/>
    <e v="#NAME?"/>
    <s v="SDATOOL-33847 $ Resolución 0042 DIAN Documento Soporte"/>
    <n v="0.25"/>
    <s v="Desarrollador"/>
    <s v="Mainframe"/>
    <m/>
    <e v="#NAME?"/>
    <e v="#NAME?"/>
    <e v="#NAME?"/>
    <m/>
    <m/>
    <m/>
    <m/>
    <m/>
    <m/>
    <m/>
    <m/>
    <m/>
  </r>
  <r>
    <s v="C810765"/>
    <s v="ANGELA MARIA DIAZ PEÑA "/>
    <x v="2"/>
    <x v="5"/>
    <s v="BBVA"/>
    <e v="#NAME?"/>
    <s v="SDATOOL-40225 $ Resolución 0124 Dian - 2021 - Ajustes para Reporte de Información Exógena año gravable 2022 - Ciclo 1"/>
    <n v="0.5"/>
    <s v="QA"/>
    <s v="Mainframe"/>
    <s v="QC con otros equipos, por ejm Riesgos "/>
    <e v="#NAME?"/>
    <e v="#NAME?"/>
    <e v="#NAME?"/>
    <m/>
    <m/>
    <m/>
    <m/>
    <m/>
    <m/>
    <m/>
    <m/>
    <m/>
  </r>
  <r>
    <s v="C810765"/>
    <s v="ANGELA MARIA DIAZ PEÑA "/>
    <x v="2"/>
    <x v="8"/>
    <s v="BBVA"/>
    <e v="#NAME?"/>
    <s v="NOSDA $ BAU (Mantenimiento y peq. evolutivos)"/>
    <n v="0.5"/>
    <s v="QA"/>
    <s v="Mainframe"/>
    <m/>
    <e v="#NAME?"/>
    <e v="#NAME?"/>
    <e v="#NAME?"/>
    <m/>
    <m/>
    <m/>
    <m/>
    <m/>
    <m/>
    <m/>
    <m/>
    <m/>
  </r>
  <r>
    <s v="CE66053"/>
    <s v="Andres Francisco Duarte Sanchez"/>
    <x v="2"/>
    <x v="5"/>
    <s v="GGI / CMC"/>
    <e v="#NAME?"/>
    <s v="SDATOOL-40003 $ Resolución 0124 DIAN 2021 - Créditos Hipotecarios para remodelación de Vivienda"/>
    <n v="1"/>
    <s v="Desarrollador"/>
    <s v="Distribuido"/>
    <m/>
    <e v="#NAME?"/>
    <e v="#NAME?"/>
    <e v="#NAME?"/>
    <m/>
    <m/>
    <m/>
    <m/>
    <m/>
    <m/>
    <m/>
    <m/>
    <m/>
  </r>
  <r>
    <s v="T005396"/>
    <s v="Andres Leonardo Ramirez Sanchez"/>
    <x v="2"/>
    <x v="5"/>
    <s v="GGI / CMC"/>
    <e v="#NAME?"/>
    <s v="SDATOOL-40225 $ Resolución 0124 Dian - 2021 - Ajustes para Reporte de Información Exógena año gravable 2022 - Ciclo 1"/>
    <n v="1"/>
    <s v="Desarrollador"/>
    <s v="Mainframe"/>
    <m/>
    <e v="#NAME?"/>
    <e v="#NAME?"/>
    <e v="#NAME?"/>
    <m/>
    <m/>
    <m/>
    <m/>
    <m/>
    <m/>
    <m/>
    <m/>
    <m/>
  </r>
  <r>
    <s v="T005394"/>
    <s v="Eder Alberto Niño Mora"/>
    <x v="2"/>
    <x v="5"/>
    <s v="GGI / CMC"/>
    <e v="#NAME?"/>
    <s v="SDATOOL-40225 $ Resolución 0124 Dian - 2021 - Ajustes para Reporte de Información Exógena año gravable 2022 - Ciclo 1"/>
    <n v="1"/>
    <s v="Desarrollador"/>
    <s v="Mainframe"/>
    <m/>
    <e v="#NAME?"/>
    <e v="#NAME?"/>
    <e v="#NAME?"/>
    <m/>
    <m/>
    <m/>
    <m/>
    <m/>
    <m/>
    <m/>
    <m/>
    <m/>
  </r>
  <r>
    <s v="CE69136"/>
    <s v="Jeisson Steven Rincon Mellizo"/>
    <x v="2"/>
    <x v="5"/>
    <s v="GGI / CMC"/>
    <e v="#NAME?"/>
    <s v="SDATOOL-37681 $ Ciclo 2 - Resolución 0098 de Octubre 28 de 2020 - Reportes información Exógena Base Impuestos"/>
    <n v="1"/>
    <s v="Desarrollador"/>
    <s v="Mainframe"/>
    <m/>
    <e v="#NAME?"/>
    <e v="#NAME?"/>
    <e v="#NAME?"/>
    <m/>
    <m/>
    <m/>
    <m/>
    <m/>
    <m/>
    <m/>
    <m/>
    <m/>
  </r>
  <r>
    <s v="T005393"/>
    <s v="Juan Pablo Ahumada Avila"/>
    <x v="2"/>
    <x v="5"/>
    <s v="GGI / CMC"/>
    <e v="#NAME?"/>
    <s v="SDATOOL-38583 $ FUSIONES Y ACTUALIZACION DE IDENTIFICACIONES"/>
    <n v="1"/>
    <s v="Desarrollador"/>
    <s v="Distribuido"/>
    <m/>
    <e v="#NAME?"/>
    <e v="#NAME?"/>
    <e v="#NAME?"/>
    <m/>
    <m/>
    <m/>
    <m/>
    <m/>
    <m/>
    <m/>
    <m/>
    <m/>
  </r>
  <r>
    <s v="T005395"/>
    <s v="Leidy Johanna Ospina Rodriguez"/>
    <x v="2"/>
    <x v="5"/>
    <s v="GGI / CMC"/>
    <e v="#NAME?"/>
    <s v="SDATOOL-40003 $ Resolución 0124 DIAN 2021 - Créditos Hipotecarios para remodelación de Vivienda"/>
    <n v="1"/>
    <s v="Desarrollador"/>
    <s v="Mainframe"/>
    <m/>
    <e v="#NAME?"/>
    <e v="#NAME?"/>
    <e v="#NAME?"/>
    <m/>
    <m/>
    <m/>
    <m/>
    <m/>
    <m/>
    <m/>
    <m/>
    <m/>
  </r>
  <r>
    <s v="CE70161"/>
    <s v="Luis Alberto Caldera Chavez"/>
    <x v="2"/>
    <x v="5"/>
    <s v="GGI / CMC"/>
    <e v="#NAME?"/>
    <s v="SDATOOL-37681 $ Ciclo 2 - Resolución 0098 de Octubre 28 de 2020 - Reportes información Exógena Base Impuestos"/>
    <n v="1"/>
    <s v="Desarrollador"/>
    <s v="Mainframe"/>
    <m/>
    <e v="#NAME?"/>
    <e v="#NAME?"/>
    <e v="#NAME?"/>
    <m/>
    <m/>
    <m/>
    <m/>
    <m/>
    <m/>
    <m/>
    <m/>
    <m/>
  </r>
  <r>
    <s v="CE52035"/>
    <s v="Orlando Salvador Mora Andrade"/>
    <x v="2"/>
    <x v="5"/>
    <s v="GGI / CMC"/>
    <e v="#NAME?"/>
    <s v="SDATOOL-37681 $ Ciclo 2 - Resolución 0098 de Octubre 28 de 2020 - Reportes información Exógena Base Impuestos"/>
    <n v="0.25"/>
    <s v="Tech Manager/Líder"/>
    <s v="Distribuido"/>
    <m/>
    <e v="#NAME?"/>
    <e v="#NAME?"/>
    <e v="#NAME?"/>
    <m/>
    <m/>
    <m/>
    <m/>
    <m/>
    <m/>
    <m/>
    <m/>
    <m/>
  </r>
  <r>
    <s v="CE52035"/>
    <s v="Orlando Salvador Mora Andrade"/>
    <x v="2"/>
    <x v="5"/>
    <s v="GGI / CMC"/>
    <e v="#NAME?"/>
    <s v="SDATOOL-40003 $ Resolución 0124 DIAN 2021 - Créditos Hipotecarios para remodelación de Vivienda"/>
    <n v="0.25"/>
    <s v="Tech Manager/Líder"/>
    <s v="Mainframe"/>
    <m/>
    <e v="#NAME?"/>
    <e v="#NAME?"/>
    <e v="#NAME?"/>
    <m/>
    <m/>
    <m/>
    <m/>
    <m/>
    <m/>
    <m/>
    <m/>
    <m/>
  </r>
  <r>
    <s v="CE52035"/>
    <s v="Orlando Salvador Mora Andrade"/>
    <x v="2"/>
    <x v="5"/>
    <s v="GGI / CMC"/>
    <e v="#NAME?"/>
    <s v="SDATOOL-40225 $ Resolución 0124 Dian - 2021 - Ajustes para Reporte de Información Exógena año gravable 2022 - Ciclo 1"/>
    <n v="0.25"/>
    <s v="Tech Manager/Líder"/>
    <s v="Distribuido"/>
    <m/>
    <e v="#NAME?"/>
    <e v="#NAME?"/>
    <e v="#NAME?"/>
    <m/>
    <m/>
    <m/>
    <m/>
    <m/>
    <m/>
    <m/>
    <m/>
    <m/>
  </r>
  <r>
    <s v="CE52035"/>
    <s v="Orlando Salvador Mora Andrade"/>
    <x v="2"/>
    <x v="5"/>
    <s v="GGI / CMC"/>
    <e v="#NAME?"/>
    <s v="SDATOOL-38583 $ FUSIONES Y ACTUALIZACION DE IDENTIFICACIONES"/>
    <n v="0.25"/>
    <s v="Tech Manager/Líder"/>
    <s v="Mainframe"/>
    <m/>
    <e v="#NAME?"/>
    <e v="#NAME?"/>
    <e v="#NAME?"/>
    <m/>
    <m/>
    <m/>
    <m/>
    <m/>
    <m/>
    <m/>
    <m/>
    <m/>
  </r>
  <r>
    <s v="CE27209"/>
    <s v="Oscar Manuel Diaz Fique"/>
    <x v="2"/>
    <x v="5"/>
    <s v="GGI / CMC"/>
    <e v="#NAME?"/>
    <s v="SDATOOL-40225 $ Resolución 0124 Dian - 2021 - Ajustes para Reporte de Información Exógena año gravable 2022 - Ciclo 1"/>
    <n v="1"/>
    <s v="Desarrollador"/>
    <s v="Mainframe"/>
    <m/>
    <e v="#NAME?"/>
    <e v="#NAME?"/>
    <e v="#NAME?"/>
    <m/>
    <m/>
    <m/>
    <m/>
    <m/>
    <m/>
    <m/>
    <m/>
    <m/>
  </r>
  <r>
    <s v="CE58625"/>
    <s v="Ronald David Lara Hernandez"/>
    <x v="2"/>
    <x v="5"/>
    <s v="GGI / CMC"/>
    <e v="#NAME?"/>
    <s v="SDATOOL-40225 $ Resolución 0124 Dian - 2021 - Ajustes para Reporte de Información Exógena año gravable 2022 - Ciclo 1"/>
    <n v="1"/>
    <s v="Desarrollador"/>
    <s v="Mainframe"/>
    <m/>
    <e v="#NAME?"/>
    <e v="#NAME?"/>
    <e v="#NAME?"/>
    <m/>
    <m/>
    <m/>
    <m/>
    <m/>
    <m/>
    <m/>
    <m/>
    <m/>
  </r>
  <r>
    <s v="T004566"/>
    <s v="Walther Mauricio Guerrero"/>
    <x v="2"/>
    <x v="5"/>
    <s v="GGI / CMC"/>
    <e v="#NAME?"/>
    <s v="SDATOOL-38583 $ FUSIONES Y ACTUALIZACION DE IDENTIFICACIONES"/>
    <n v="1"/>
    <s v="Desarrollador"/>
    <s v="Mainframe"/>
    <m/>
    <e v="#NAME?"/>
    <e v="#NAME?"/>
    <e v="#NAME?"/>
    <m/>
    <m/>
    <m/>
    <m/>
    <m/>
    <m/>
    <m/>
    <m/>
    <m/>
  </r>
  <r>
    <s v="CE66458"/>
    <s v="ROBERTO CARLOS NIETO SUAREZ"/>
    <x v="2"/>
    <x v="5"/>
    <s v="Inetum"/>
    <e v="#NAME?"/>
    <s v="SDATOOL-38583 $ FUSIONES Y ACTUALIZACION DE IDENTIFICACIONES"/>
    <n v="1"/>
    <s v="QA"/>
    <s v="Mainframe"/>
    <m/>
    <e v="#NAME?"/>
    <e v="#NAME?"/>
    <e v="#NAME?"/>
    <m/>
    <m/>
    <m/>
    <m/>
    <m/>
    <m/>
    <m/>
    <m/>
    <m/>
  </r>
  <r>
    <s v="CE67101"/>
    <s v="IVETTE AYCHELL MONROY SUAREZ"/>
    <x v="2"/>
    <x v="5"/>
    <s v="Inetum"/>
    <e v="#NAME?"/>
    <s v="SDATOOL-37681 $ Ciclo 2 - Resolución 0098 de Octubre 28 de 2020 - Reportes información Exógena Base Impuestos"/>
    <n v="1"/>
    <s v="QA"/>
    <s v="Mainframe"/>
    <m/>
    <e v="#NAME?"/>
    <e v="#NAME?"/>
    <e v="#NAME?"/>
    <m/>
    <m/>
    <m/>
    <m/>
    <m/>
    <m/>
    <m/>
    <m/>
    <m/>
  </r>
  <r>
    <s v="CE64507"/>
    <s v="DANIEL ESTEBAN MORENO CARRILLO"/>
    <x v="2"/>
    <x v="5"/>
    <s v="Inetum"/>
    <e v="#NAME?"/>
    <s v="SDATOOL-40003 $ Resolución 0124 DIAN 2021 - Créditos Hipotecarios para remodelación de Vivienda"/>
    <n v="1"/>
    <s v="QA"/>
    <s v="Mainframe"/>
    <m/>
    <e v="#NAME?"/>
    <e v="#NAME?"/>
    <e v="#NAME?"/>
    <m/>
    <m/>
    <m/>
    <m/>
    <m/>
    <m/>
    <m/>
    <m/>
    <m/>
  </r>
  <r>
    <s v="CE59467"/>
    <s v="NORMA CECILIA MORENO GONZALEZ"/>
    <x v="2"/>
    <x v="5"/>
    <s v="Inetum"/>
    <e v="#NAME?"/>
    <s v="SDATOOL-40225 $ Resolución 0124 Dian - 2021 - Ajustes para Reporte de Información Exógena año gravable 2022 - Ciclo 1"/>
    <n v="1"/>
    <s v="QA"/>
    <s v="Mainframe"/>
    <m/>
    <e v="#NAME?"/>
    <e v="#NAME?"/>
    <e v="#NAME?"/>
    <m/>
    <m/>
    <m/>
    <m/>
    <m/>
    <m/>
    <m/>
    <m/>
    <m/>
  </r>
  <r>
    <s v="CE66798"/>
    <s v="ANGIE CAROLINA MORALES DUENAS"/>
    <x v="2"/>
    <x v="5"/>
    <s v="Choucair"/>
    <e v="#NAME?"/>
    <s v="SDATOOL-40225 $ Resolución 0124 Dian - 2021 - Ajustes para Reporte de Información Exógena año gravable 2022 - Ciclo 1"/>
    <n v="1"/>
    <s v="QA"/>
    <s v="Mainframe"/>
    <m/>
    <e v="#NAME?"/>
    <e v="#NAME?"/>
    <e v="#NAME?"/>
    <m/>
    <m/>
    <m/>
    <m/>
    <m/>
    <m/>
    <m/>
    <m/>
    <m/>
  </r>
  <r>
    <s v="T005931"/>
    <s v="DANIEL MAURICIO RIANO PEDRAZA_x000a_"/>
    <x v="2"/>
    <x v="5"/>
    <s v="GGI / CMC"/>
    <e v="#NAME?"/>
    <s v="SDATOOL-37411 $ Infraestructura reportes regulatorios"/>
    <n v="0.1"/>
    <s v="QA"/>
    <s v="Mainframe"/>
    <m/>
    <e v="#NAME?"/>
    <e v="#NAME?"/>
    <e v="#NAME?"/>
    <m/>
    <m/>
    <m/>
    <m/>
    <m/>
    <m/>
    <m/>
    <m/>
    <m/>
  </r>
  <r>
    <s v="T005931"/>
    <s v="DANIEL MAURICIO RIANO PEDRAZA_x000a_"/>
    <x v="2"/>
    <x v="5"/>
    <s v="GGI / CMC"/>
    <e v="#NAME?"/>
    <s v="SDATOOL-32520 $ CDD Based Reporting - Colombia"/>
    <n v="0.1"/>
    <s v="QA"/>
    <s v="Mainframe"/>
    <m/>
    <e v="#NAME?"/>
    <e v="#NAME?"/>
    <e v="#NAME?"/>
    <m/>
    <m/>
    <m/>
    <m/>
    <m/>
    <m/>
    <m/>
    <m/>
    <m/>
  </r>
  <r>
    <s v="T005931"/>
    <s v="DANIEL MAURICIO RIANO PEDRAZA_x000a_"/>
    <x v="2"/>
    <x v="5"/>
    <s v="GGI / CMC"/>
    <e v="#NAME?"/>
    <s v="SDATOOL-40529 $ Aplicativos Finanzas - 2023"/>
    <n v="0.1"/>
    <s v="QA"/>
    <s v="Mainframe"/>
    <m/>
    <e v="#NAME?"/>
    <e v="#NAME?"/>
    <e v="#NAME?"/>
    <m/>
    <m/>
    <m/>
    <m/>
    <m/>
    <m/>
    <m/>
    <m/>
    <m/>
  </r>
  <r>
    <s v="T005931"/>
    <s v="DANIEL MAURICIO RIANO PEDRAZA_x000a_"/>
    <x v="2"/>
    <x v="5"/>
    <s v="GGI / CMC"/>
    <e v="#NAME?"/>
    <s v="SDATOOL-40274 $ CIRCULAR 033 de 2021-SFC"/>
    <n v="0.1"/>
    <s v="QA"/>
    <s v="Mainframe"/>
    <m/>
    <e v="#NAME?"/>
    <e v="#NAME?"/>
    <e v="#NAME?"/>
    <m/>
    <m/>
    <m/>
    <m/>
    <m/>
    <m/>
    <m/>
    <m/>
    <m/>
  </r>
  <r>
    <s v="T005931"/>
    <s v="DANIEL MAURICIO RIANO PEDRAZA_x000a_"/>
    <x v="2"/>
    <x v="5"/>
    <s v="GGI / CMC"/>
    <e v="#NAME?"/>
    <s v="SDATOOL-33847 $ Resolución 0042 DIAN Documento Soporte"/>
    <n v="0.1"/>
    <s v="QA"/>
    <s v="Mainframe"/>
    <m/>
    <e v="#NAME?"/>
    <e v="#NAME?"/>
    <e v="#NAME?"/>
    <m/>
    <m/>
    <m/>
    <m/>
    <m/>
    <m/>
    <m/>
    <m/>
    <m/>
  </r>
  <r>
    <s v="CE68547"/>
    <s v="JOSE ROBERTO GONZALEZ MELO_x000a_"/>
    <x v="2"/>
    <x v="5"/>
    <s v="KRYPTO"/>
    <e v="#NAME?"/>
    <s v="SDATOOL-37411 $ Infraestructura reportes regulatorios"/>
    <n v="0.1"/>
    <s v="QA"/>
    <s v="Mainframe"/>
    <m/>
    <e v="#NAME?"/>
    <e v="#NAME?"/>
    <e v="#NAME?"/>
    <m/>
    <m/>
    <m/>
    <m/>
    <m/>
    <m/>
    <m/>
    <m/>
    <m/>
  </r>
  <r>
    <s v="CE68547"/>
    <s v="JOSE ROBERTO GONZALEZ MELO_x000a_"/>
    <x v="2"/>
    <x v="5"/>
    <s v="KRYPTO"/>
    <e v="#NAME?"/>
    <s v="SDATOOL-32520 $ CDD Based Reporting - Colombia"/>
    <n v="0.1"/>
    <s v="QA"/>
    <s v="Mainframe"/>
    <m/>
    <e v="#NAME?"/>
    <e v="#NAME?"/>
    <e v="#NAME?"/>
    <m/>
    <m/>
    <m/>
    <m/>
    <m/>
    <m/>
    <m/>
    <m/>
    <m/>
  </r>
  <r>
    <s v="CE68547"/>
    <s v="JOSE ROBERTO GONZALEZ MELO_x000a_"/>
    <x v="2"/>
    <x v="5"/>
    <s v="KRYPTO"/>
    <e v="#NAME?"/>
    <s v="SDATOOL-40529 $ Aplicativos Finanzas - 2023"/>
    <n v="0.1"/>
    <s v="QA"/>
    <s v="Mainframe"/>
    <m/>
    <e v="#NAME?"/>
    <e v="#NAME?"/>
    <e v="#NAME?"/>
    <m/>
    <m/>
    <m/>
    <m/>
    <m/>
    <m/>
    <m/>
    <m/>
    <m/>
  </r>
  <r>
    <s v="CE68547"/>
    <s v="JOSE ROBERTO GONZALEZ MELO_x000a_"/>
    <x v="2"/>
    <x v="5"/>
    <s v="KRYPTO"/>
    <e v="#NAME?"/>
    <s v="SDATOOL-40274 $ CIRCULAR 033 de 2021-SFC"/>
    <n v="0.1"/>
    <s v="QA"/>
    <s v="Mainframe"/>
    <m/>
    <e v="#NAME?"/>
    <e v="#NAME?"/>
    <e v="#NAME?"/>
    <m/>
    <m/>
    <m/>
    <m/>
    <m/>
    <m/>
    <m/>
    <m/>
    <m/>
  </r>
  <r>
    <s v="CE68547"/>
    <s v="JOSE ROBERTO GONZALEZ MELO_x000a_"/>
    <x v="2"/>
    <x v="5"/>
    <s v="KRYPTO"/>
    <e v="#NAME?"/>
    <s v="SDATOOL-33847 $ Resolución 0042 DIAN Documento Soporte"/>
    <n v="0.1"/>
    <s v="QA"/>
    <s v="Mainframe"/>
    <m/>
    <e v="#NAME?"/>
    <e v="#NAME?"/>
    <e v="#NAME?"/>
    <m/>
    <m/>
    <m/>
    <m/>
    <m/>
    <m/>
    <m/>
    <m/>
    <m/>
  </r>
  <r>
    <s v="CE52434"/>
    <s v="HAROLD HERNANDO REYES VARGAS_x000a_"/>
    <x v="2"/>
    <x v="5"/>
    <s v="Inetum"/>
    <e v="#NAME?"/>
    <s v="SDATOOL-32520 $ CDD Based Reporting - Colombia"/>
    <n v="1"/>
    <s v="Otros"/>
    <s v="Mainframe"/>
    <m/>
    <e v="#NAME?"/>
    <e v="#NAME?"/>
    <e v="#NAME?"/>
    <m/>
    <m/>
    <m/>
    <m/>
    <m/>
    <m/>
    <m/>
    <m/>
    <m/>
  </r>
  <r>
    <s v="CE68712"/>
    <s v="EDWARD STIVEN RODRIGUEZ MORENO"/>
    <x v="2"/>
    <x v="5"/>
    <s v="BLUETAB"/>
    <e v="#NAME?"/>
    <s v="SDATOOL-33862 $ NDoD Accounting"/>
    <n v="0.4"/>
    <s v="Desarrollador"/>
    <s v="Distribuido"/>
    <s v="En revision con dominio por cuanto debe estar "/>
    <e v="#NAME?"/>
    <e v="#NAME?"/>
    <e v="#NAME?"/>
    <m/>
    <m/>
    <m/>
    <m/>
    <m/>
    <m/>
    <m/>
    <m/>
    <m/>
  </r>
  <r>
    <s v="CE57396"/>
    <s v="JUAN PABLO AREVALO MERCHAN"/>
    <x v="2"/>
    <x v="5"/>
    <s v="BLUETAB"/>
    <e v="#NAME?"/>
    <s v="SDATOOL-32520 $ CDD Based Reporting - Colombia"/>
    <n v="0.25"/>
    <s v="Desarrollador"/>
    <s v="Distribuido"/>
    <m/>
    <e v="#NAME?"/>
    <e v="#NAME?"/>
    <e v="#NAME?"/>
    <m/>
    <m/>
    <m/>
    <m/>
    <m/>
    <m/>
    <m/>
    <m/>
    <m/>
  </r>
  <r>
    <s v="CE57396"/>
    <s v="JUAN PABLO AREVALO MERCHAN"/>
    <x v="2"/>
    <x v="5"/>
    <s v="BLUETAB"/>
    <e v="#NAME?"/>
    <s v="SDATOOL-40529 $ Aplicativos Finanzas - 2023"/>
    <n v="0.25"/>
    <s v="Desarrollador"/>
    <s v="Distribuido"/>
    <m/>
    <e v="#NAME?"/>
    <e v="#NAME?"/>
    <e v="#NAME?"/>
    <m/>
    <m/>
    <m/>
    <m/>
    <m/>
    <m/>
    <m/>
    <m/>
    <m/>
  </r>
  <r>
    <s v="CE56879"/>
    <s v="Victor Hans De La Cruz Quispe"/>
    <x v="2"/>
    <x v="5"/>
    <s v="BLUETAB"/>
    <e v="#NAME?"/>
    <s v="SDATOOL-33846 $ SREP Data Quality- BCBS239 - Colombia"/>
    <n v="1"/>
    <s v="Desarrollador"/>
    <s v="Distribuido"/>
    <m/>
    <e v="#NAME?"/>
    <e v="#NAME?"/>
    <e v="#NAME?"/>
    <m/>
    <m/>
    <m/>
    <m/>
    <m/>
    <m/>
    <m/>
    <m/>
    <m/>
  </r>
  <r>
    <s v="T005749"/>
    <s v="YESICA DANIELA VARGAS ESPITIA"/>
    <x v="2"/>
    <x v="5"/>
    <s v="BLUETAB"/>
    <e v="#NAME?"/>
    <s v="SDATOOL-40529 $ Aplicativos Finanzas - 2023"/>
    <n v="1"/>
    <s v="Desarrollador"/>
    <s v="Distribuido"/>
    <m/>
    <e v="#NAME?"/>
    <e v="#NAME?"/>
    <e v="#NAME?"/>
    <m/>
    <m/>
    <m/>
    <m/>
    <m/>
    <m/>
    <m/>
    <m/>
    <m/>
  </r>
  <r>
    <s v="CE62380"/>
    <s v="LUIGUI SANTIAGO FAJARDO TOLOZA"/>
    <x v="2"/>
    <x v="5"/>
    <s v="ADENZA"/>
    <e v="#NAME?"/>
    <s v="SDATOOL-37411 $ Infraestructura reportes regulatorios"/>
    <n v="1"/>
    <s v="Desarrollador"/>
    <s v="Distribuido"/>
    <m/>
    <e v="#NAME?"/>
    <e v="#NAME?"/>
    <e v="#NAME?"/>
    <m/>
    <m/>
    <m/>
    <m/>
    <m/>
    <m/>
    <m/>
    <m/>
    <m/>
  </r>
  <r>
    <s v="CE62112"/>
    <s v="MARILUZ SANCHEZ MORENO"/>
    <x v="2"/>
    <x v="5"/>
    <s v="ADENZA"/>
    <e v="#NAME?"/>
    <s v="SDATOOL-37411 $ Infraestructura reportes regulatorios"/>
    <n v="1"/>
    <s v="Tech Manager/Líder"/>
    <s v="Distribuido"/>
    <m/>
    <e v="#NAME?"/>
    <e v="#NAME?"/>
    <e v="#NAME?"/>
    <m/>
    <m/>
    <m/>
    <m/>
    <m/>
    <m/>
    <m/>
    <m/>
    <m/>
  </r>
  <r>
    <s v="T007669"/>
    <s v="SANTIAGO GALLEGO BEDOYA_x000a_"/>
    <x v="2"/>
    <x v="5"/>
    <s v="Neoris"/>
    <e v="#NAME?"/>
    <s v="SDATOOL-40274 $ CIRCULAR 033 de 2021-SFC"/>
    <n v="1"/>
    <s v="QA"/>
    <s v="Mainframe"/>
    <m/>
    <e v="#NAME?"/>
    <e v="#NAME?"/>
    <e v="#NAME?"/>
    <m/>
    <m/>
    <m/>
    <m/>
    <m/>
    <m/>
    <m/>
    <m/>
    <m/>
  </r>
  <r>
    <s v="T011483"/>
    <s v="JUAN SEBASTIAN RODRIGUEZ PARRA"/>
    <x v="2"/>
    <x v="5"/>
    <s v="Inetum"/>
    <e v="#NAME?"/>
    <s v="SDATOOL-37411 $ Infraestructura reportes regulatorios"/>
    <n v="1"/>
    <s v="Otros"/>
    <s v="Otras Tec."/>
    <m/>
    <e v="#NAME?"/>
    <e v="#NAME?"/>
    <e v="#NAME?"/>
    <m/>
    <m/>
    <m/>
    <m/>
    <m/>
    <m/>
    <m/>
    <m/>
    <m/>
  </r>
  <r>
    <s v="CE47497"/>
    <s v="ADOLFO ENRIQUE BERNAL RODRIGUEZ"/>
    <x v="3"/>
    <x v="9"/>
    <s v="SII"/>
    <e v="#NAME?"/>
    <s v="SDATOOL-37111 $ Cuenta Maestra Adres"/>
    <n v="0.5"/>
    <s v="Otros"/>
    <s v="Mainframe"/>
    <m/>
    <e v="#NAME?"/>
    <e v="#NAME?"/>
    <e v="#NAME?"/>
    <m/>
    <m/>
    <m/>
    <m/>
    <m/>
    <n v="0"/>
    <m/>
    <m/>
    <m/>
  </r>
  <r>
    <s v="CE47497"/>
    <s v="ADOLFO ENRIQUE BERNAL RODRIGUEZ"/>
    <x v="3"/>
    <x v="9"/>
    <s v="SII"/>
    <e v="#NAME?"/>
    <s v="SDATOOL-39246 $ Nuevo tipo de identificación para extranjeros"/>
    <n v="0.5"/>
    <s v="Otros"/>
    <s v="Mainframe"/>
    <m/>
    <e v="#NAME?"/>
    <e v="#NAME?"/>
    <e v="#NAME?"/>
    <m/>
    <m/>
    <m/>
    <m/>
    <m/>
    <n v="0"/>
    <m/>
    <m/>
    <m/>
  </r>
  <r>
    <s v="O002467"/>
    <s v="ALBA FABIOLA GOMEZ RODRIGUEZ"/>
    <x v="3"/>
    <x v="9"/>
    <s v="BBVA"/>
    <e v="#NAME?"/>
    <s v="SDATOOL-38481 $ Pricing Pasivos (optimización portafolio) - Plan Ascenso Cross Sell"/>
    <n v="1"/>
    <s v="Desarrollador"/>
    <s v="Mainframe"/>
    <m/>
    <e v="#NAME?"/>
    <e v="#NAME?"/>
    <e v="#NAME?"/>
    <m/>
    <m/>
    <m/>
    <m/>
    <m/>
    <n v="0"/>
    <m/>
    <m/>
    <m/>
  </r>
  <r>
    <s v="O001638"/>
    <s v="ALEXANDER PLATA USCATEGUI"/>
    <x v="3"/>
    <x v="9"/>
    <s v="BBVA"/>
    <e v="#NAME?"/>
    <s v="SDATOOL-38481 $ Pricing Pasivos (optimización portafolio) - Plan Ascenso Cross Sell"/>
    <n v="1"/>
    <s v="Desarrollador"/>
    <s v="Mainframe"/>
    <m/>
    <e v="#NAME?"/>
    <e v="#NAME?"/>
    <e v="#NAME?"/>
    <m/>
    <m/>
    <m/>
    <m/>
    <m/>
    <n v="0"/>
    <m/>
    <m/>
    <m/>
  </r>
  <r>
    <s v="C803933"/>
    <s v="CAMILO MONDRAGON"/>
    <x v="3"/>
    <x v="9"/>
    <s v="BBVA"/>
    <e v="#NAME?"/>
    <s v="SDATOOL-37111 $ Cuenta Maestra Adres"/>
    <n v="0.75"/>
    <s v="Desarrollador"/>
    <s v="Mainframe"/>
    <m/>
    <e v="#NAME?"/>
    <e v="#NAME?"/>
    <e v="#NAME?"/>
    <m/>
    <m/>
    <m/>
    <m/>
    <m/>
    <n v="1"/>
    <m/>
    <m/>
    <m/>
  </r>
  <r>
    <s v="C803933"/>
    <s v="CAMILO MONDRAGON"/>
    <x v="3"/>
    <x v="9"/>
    <s v="BBVA"/>
    <e v="#NAME?"/>
    <s v="SDATOOL-40771 $ Resolución Cuentas Maestras y Cuentas Maestras para Pagos Electrónicos (PSE): Anexo Técnico - Nuevo reporte de información"/>
    <n v="0.25"/>
    <s v="Desarrollador"/>
    <s v="Mainframe"/>
    <s v="Soporte a certificación"/>
    <e v="#NAME?"/>
    <e v="#NAME?"/>
    <e v="#NAME?"/>
    <m/>
    <m/>
    <m/>
    <m/>
    <m/>
    <n v="1"/>
    <m/>
    <m/>
    <m/>
  </r>
  <r>
    <s v="C811277"/>
    <s v="CARLOS ALBERTO GUERRERO MONTAÑA"/>
    <x v="3"/>
    <x v="9"/>
    <s v="BBVA"/>
    <e v="#NAME?"/>
    <s v="SDATOOL-42039 $ Cuenta digital pensional"/>
    <n v="0.75"/>
    <s v="Desarrollador"/>
    <s v="Mainframe"/>
    <m/>
    <e v="#NAME?"/>
    <e v="#NAME?"/>
    <e v="#NAME?"/>
    <m/>
    <m/>
    <m/>
    <m/>
    <m/>
    <n v="1"/>
    <m/>
    <m/>
    <m/>
  </r>
  <r>
    <s v="C811277"/>
    <s v="CARLOS ALBERTO GUERRERO MONTAÑA"/>
    <x v="3"/>
    <x v="9"/>
    <s v="BBVA"/>
    <e v="#NAME?"/>
    <s v="SDATOOL-38419 $ Contratación cuenta en línea en Glomo"/>
    <n v="0.25"/>
    <s v="Desarrollador"/>
    <s v="Mainframe"/>
    <m/>
    <e v="#NAME?"/>
    <e v="#NAME?"/>
    <e v="#NAME?"/>
    <m/>
    <m/>
    <m/>
    <m/>
    <m/>
    <n v="0"/>
    <m/>
    <m/>
    <m/>
  </r>
  <r>
    <s v="C811304"/>
    <s v="CARLOS EDUARDO YEPES ANGEL"/>
    <x v="3"/>
    <x v="9"/>
    <s v="BBVA"/>
    <e v="#NAME?"/>
    <s v="SDATOOL-41797 $ Optimización Cuenta en línea Web"/>
    <n v="1"/>
    <s v="Desarrollador"/>
    <s v="Mainframe"/>
    <m/>
    <e v="#NAME?"/>
    <e v="#NAME?"/>
    <e v="#NAME?"/>
    <m/>
    <m/>
    <m/>
    <m/>
    <m/>
    <n v="1"/>
    <m/>
    <m/>
    <m/>
  </r>
  <r>
    <s v="CE64217"/>
    <s v="CHRISTIAN CAMILO PERDOMO MEDINA"/>
    <x v="3"/>
    <x v="9"/>
    <s v="SII"/>
    <e v="#NAME?"/>
    <s v="NOSDA $ BAU (Mantenimiento y peq. evolutivos)"/>
    <n v="1"/>
    <s v="Desarrollador"/>
    <s v="Mainframe"/>
    <m/>
    <e v="#NAME?"/>
    <e v="#NAME?"/>
    <e v="#NAME?"/>
    <m/>
    <m/>
    <m/>
    <m/>
    <m/>
    <n v="1"/>
    <m/>
    <m/>
    <m/>
  </r>
  <r>
    <s v="C802128"/>
    <s v="DIANA MILENA SALAMANCA CHIQUILLO"/>
    <x v="3"/>
    <x v="9"/>
    <s v="BBVA"/>
    <e v="#NAME?"/>
    <s v="SDATOOL-37344 $ Automatización Operaciones en Efectivo"/>
    <n v="0.4"/>
    <s v="Desarrollador"/>
    <s v="Mainframe"/>
    <s v="No se encuentra la SDATOOL-37344"/>
    <e v="#NAME?"/>
    <e v="#NAME?"/>
    <e v="#NAME?"/>
    <m/>
    <m/>
    <m/>
    <m/>
    <m/>
    <n v="1"/>
    <m/>
    <m/>
    <m/>
  </r>
  <r>
    <s v="C802128"/>
    <s v="DIANA MILENA SALAMANCA CHIQUILLO"/>
    <x v="3"/>
    <x v="9"/>
    <s v="BBVA"/>
    <e v="#NAME?"/>
    <s v="SDATOOL-40438 $ CIRCULAR 032 del 2021 - REQUERIMIENTO FISCALIA GENERAL DE LA NACION"/>
    <n v="0.6"/>
    <s v="Desarrollador"/>
    <s v="Mainframe"/>
    <m/>
    <e v="#NAME?"/>
    <e v="#NAME?"/>
    <e v="#NAME?"/>
    <m/>
    <m/>
    <m/>
    <m/>
    <m/>
    <n v="0"/>
    <m/>
    <m/>
    <m/>
  </r>
  <r>
    <s v="C797928"/>
    <s v="DIANA ROCIO GERENA HERRERA"/>
    <x v="3"/>
    <x v="9"/>
    <s v="BBVA"/>
    <e v="#NAME?"/>
    <s v="SDATOOL-38481 $ Pricing Pasivos (optimización portafolio) - Plan Ascenso Cross Sell"/>
    <n v="0.3"/>
    <s v="Tech Manager/Líder"/>
    <s v="Mainframe"/>
    <m/>
    <e v="#NAME?"/>
    <e v="#NAME?"/>
    <e v="#NAME?"/>
    <m/>
    <m/>
    <m/>
    <m/>
    <m/>
    <n v="1"/>
    <m/>
    <m/>
    <m/>
  </r>
  <r>
    <s v="C797928"/>
    <s v="DIANA ROCIO GERENA HERRERA"/>
    <x v="3"/>
    <x v="9"/>
    <s v="BBVA"/>
    <e v="#NAME?"/>
    <s v="NOSDA $ BAU (Mantenimiento y peq. evolutivos)"/>
    <n v="0.4"/>
    <s v="Tech Manager/Líder"/>
    <s v="Mainframe"/>
    <m/>
    <e v="#NAME?"/>
    <e v="#NAME?"/>
    <e v="#NAME?"/>
    <m/>
    <m/>
    <m/>
    <m/>
    <m/>
    <n v="0"/>
    <m/>
    <m/>
    <m/>
  </r>
  <r>
    <s v="C797928"/>
    <s v="DIANA ROCIO GERENA HERRERA"/>
    <x v="3"/>
    <x v="9"/>
    <s v="BBVA"/>
    <e v="#NAME?"/>
    <s v="SDATOOL-37111 $ Cuenta Maestra Adres"/>
    <n v="0.15"/>
    <s v="Tech Manager/Líder"/>
    <s v="Mainframe"/>
    <m/>
    <e v="#NAME?"/>
    <e v="#NAME?"/>
    <e v="#NAME?"/>
    <m/>
    <m/>
    <m/>
    <m/>
    <m/>
    <n v="0"/>
    <m/>
    <m/>
    <m/>
  </r>
  <r>
    <s v="C797928"/>
    <s v="DIANA ROCIO GERENA HERRERA"/>
    <x v="3"/>
    <x v="9"/>
    <s v="BBVA"/>
    <e v="#NAME?"/>
    <s v="SDATOOL-40771 $ Resolución Cuentas Maestras y Cuentas Maestras para Pagos Electrónicos (PSE): Anexo Técnico - Nuevo reporte de información"/>
    <n v="0.15"/>
    <s v="Tech Manager/Líder"/>
    <s v="Mainframe"/>
    <m/>
    <e v="#NAME?"/>
    <e v="#NAME?"/>
    <e v="#NAME?"/>
    <m/>
    <m/>
    <m/>
    <m/>
    <m/>
    <n v="0"/>
    <m/>
    <m/>
    <m/>
  </r>
  <r>
    <s v="CE48051"/>
    <s v="EDGAR ANDRES GARZON"/>
    <x v="3"/>
    <x v="9"/>
    <s v="Novatec"/>
    <e v="#NAME?"/>
    <s v="SDATOOL-38419 $ Contratación cuenta en línea en Glomo"/>
    <n v="0.25"/>
    <s v="Desarrollador"/>
    <s v="Mainframe"/>
    <m/>
    <e v="#NAME?"/>
    <e v="#NAME?"/>
    <e v="#NAME?"/>
    <m/>
    <m/>
    <m/>
    <m/>
    <m/>
    <n v="1"/>
    <m/>
    <m/>
    <m/>
  </r>
  <r>
    <s v="CE48051"/>
    <s v="EDGAR ANDRES GARZON"/>
    <x v="3"/>
    <x v="9"/>
    <s v="Novatec"/>
    <e v="#NAME?"/>
    <s v="SDATOOL-42039 $ Cuenta digital pensional"/>
    <n v="0.75"/>
    <s v="Desarrollador"/>
    <s v="Mainframe"/>
    <m/>
    <e v="#NAME?"/>
    <e v="#NAME?"/>
    <e v="#NAME?"/>
    <m/>
    <m/>
    <m/>
    <m/>
    <m/>
    <n v="0"/>
    <m/>
    <m/>
    <m/>
  </r>
  <r>
    <s v="C343151"/>
    <s v="ESPERANZA DIAZ HERNANDEZ"/>
    <x v="3"/>
    <x v="9"/>
    <s v="BBVA"/>
    <e v="#NAME?"/>
    <s v="NOSDA $ BAU (Mantenimiento y peq. evolutivos)"/>
    <n v="1"/>
    <s v="Desarrollador"/>
    <s v="Mainframe"/>
    <m/>
    <e v="#NAME?"/>
    <e v="#NAME?"/>
    <e v="#NAME?"/>
    <m/>
    <m/>
    <m/>
    <m/>
    <m/>
    <n v="1"/>
    <m/>
    <m/>
    <m/>
  </r>
  <r>
    <s v="CE70143"/>
    <s v="EMMANUEL GERMAN FORSTER"/>
    <x v="3"/>
    <x v="9"/>
    <s v="Globant"/>
    <e v="#NAME?"/>
    <s v="SDATOOL-41797 $ Optimización Cuenta en línea Web"/>
    <n v="1"/>
    <s v="Desarrollador"/>
    <s v="ASO"/>
    <s v="Usuario en proceso de alta."/>
    <e v="#NAME?"/>
    <e v="#NAME?"/>
    <e v="#NAME?"/>
    <m/>
    <m/>
    <m/>
    <m/>
    <m/>
    <n v="1"/>
    <m/>
    <m/>
    <m/>
  </r>
  <r>
    <s v="C811389"/>
    <s v="FABER IVAN MAYORQUIN RESTREPO"/>
    <x v="3"/>
    <x v="9"/>
    <s v="BBVA"/>
    <e v="#NAME?"/>
    <s v="SDATOOL-39383 $ AJUSTES HIGIENICOS DE PORTAFOLIO + REPORTE CENTRALIZADO DE NÓMINA"/>
    <n v="0.65"/>
    <s v="Desarrollador"/>
    <s v="Mainframe"/>
    <m/>
    <e v="#NAME?"/>
    <e v="#NAME?"/>
    <e v="#NAME?"/>
    <m/>
    <m/>
    <m/>
    <m/>
    <m/>
    <n v="1"/>
    <m/>
    <m/>
    <m/>
  </r>
  <r>
    <s v="C811389"/>
    <s v="FABER IVAN MAYORQUIN RESTREPO"/>
    <x v="3"/>
    <x v="9"/>
    <s v="BBVA"/>
    <e v="#NAME?"/>
    <s v="SDATOOL-39246 $ Nuevo tipo de identificación para extranjeros"/>
    <n v="0.2"/>
    <s v="Desarrollador"/>
    <s v="Mainframe"/>
    <m/>
    <e v="#NAME?"/>
    <e v="#NAME?"/>
    <e v="#NAME?"/>
    <m/>
    <m/>
    <m/>
    <m/>
    <m/>
    <n v="0"/>
    <m/>
    <m/>
    <m/>
  </r>
  <r>
    <s v="C811389"/>
    <s v="FABER IVAN MAYORQUIN RESTREPO"/>
    <x v="3"/>
    <x v="9"/>
    <s v="BBVA"/>
    <e v="#NAME?"/>
    <s v="NOSDA $ BAU (Mantenimiento y peq. evolutivos)"/>
    <n v="0.15"/>
    <s v="Desarrollador"/>
    <s v="Mainframe"/>
    <m/>
    <e v="#NAME?"/>
    <e v="#NAME?"/>
    <e v="#NAME?"/>
    <m/>
    <m/>
    <m/>
    <m/>
    <m/>
    <n v="0"/>
    <m/>
    <m/>
    <m/>
  </r>
  <r>
    <s v="CE50117"/>
    <s v="JAIRO ANZOLA PLATA L"/>
    <x v="3"/>
    <x v="9"/>
    <s v="SII"/>
    <e v="#NAME?"/>
    <s v="SDATOOL-38481 $ Pricing Pasivos (optimización portafolio) - Plan Ascenso Cross Sell"/>
    <n v="0.4"/>
    <s v="Desarrollador"/>
    <s v="Mainframe"/>
    <s v="Soporte a la certificación"/>
    <e v="#NAME?"/>
    <e v="#NAME?"/>
    <e v="#NAME?"/>
    <m/>
    <m/>
    <m/>
    <m/>
    <m/>
    <n v="1"/>
    <m/>
    <m/>
    <m/>
  </r>
  <r>
    <s v="CE42593"/>
    <s v="JENITH MARSELLA MANTILLA RODRIGUEZ"/>
    <x v="3"/>
    <x v="9"/>
    <s v="SII"/>
    <e v="#NAME?"/>
    <s v="NOSDA $ BAU (Mantenimiento y peq. evolutivos)"/>
    <n v="1"/>
    <s v="Tech Manager/Líder"/>
    <s v="Mainframe"/>
    <m/>
    <e v="#NAME?"/>
    <e v="#NAME?"/>
    <e v="#NAME?"/>
    <m/>
    <m/>
    <m/>
    <m/>
    <m/>
    <n v="1"/>
    <m/>
    <m/>
    <m/>
  </r>
  <r>
    <s v="C805565"/>
    <s v="JHON FREDY PACHECO AVELLA"/>
    <x v="3"/>
    <x v="9"/>
    <s v="BBVA"/>
    <e v="#NAME?"/>
    <s v="SDATOOL-39246 $ Nuevo tipo de identificación para extranjeros"/>
    <n v="0.2"/>
    <s v="Desarrollador"/>
    <s v="Mainframe"/>
    <m/>
    <e v="#NAME?"/>
    <e v="#NAME?"/>
    <e v="#NAME?"/>
    <m/>
    <m/>
    <m/>
    <m/>
    <m/>
    <n v="1"/>
    <m/>
    <m/>
    <m/>
  </r>
  <r>
    <s v="C805565"/>
    <s v="JHON FREDY PACHECO AVELLA"/>
    <x v="3"/>
    <x v="9"/>
    <s v="BBVA"/>
    <e v="#NAME?"/>
    <s v="SDATOOL-40545 $ GRM Col - Mejoras Evolutivas de Aplicativos y Herramientas de Riesgos 2023"/>
    <n v="0.5"/>
    <s v="Desarrollador"/>
    <s v="Mainframe"/>
    <m/>
    <e v="#NAME?"/>
    <e v="#NAME?"/>
    <e v="#NAME?"/>
    <m/>
    <m/>
    <m/>
    <m/>
    <m/>
    <n v="0"/>
    <m/>
    <m/>
    <m/>
  </r>
  <r>
    <s v="C805565"/>
    <s v="JHON FREDY PACHECO AVELLA"/>
    <x v="3"/>
    <x v="9"/>
    <s v="BBVA"/>
    <e v="#NAME?"/>
    <s v="SDATOOL-40656 $ GRM Col - Recuperación sobre cuentas pensionales"/>
    <n v="0.3"/>
    <s v="Desarrollador"/>
    <s v="Mainframe"/>
    <m/>
    <e v="#NAME?"/>
    <e v="#NAME?"/>
    <e v="#NAME?"/>
    <m/>
    <m/>
    <m/>
    <m/>
    <m/>
    <n v="0"/>
    <m/>
    <m/>
    <m/>
  </r>
  <r>
    <s v="C809506"/>
    <s v="JHON FREDY PINZON PAEZ"/>
    <x v="3"/>
    <x v="9"/>
    <s v="BBVA"/>
    <e v="#NAME?"/>
    <s v="NOSDA $ BAU (Mantenimiento y peq. evolutivos)"/>
    <n v="1"/>
    <s v="Desarrollador"/>
    <s v="Mainframe"/>
    <m/>
    <e v="#NAME?"/>
    <e v="#NAME?"/>
    <e v="#NAME?"/>
    <m/>
    <m/>
    <m/>
    <m/>
    <m/>
    <n v="1"/>
    <m/>
    <m/>
    <m/>
  </r>
  <r>
    <s v="O001222"/>
    <s v="JIOVANNY SUAREZ GONZALEZ"/>
    <x v="3"/>
    <x v="9"/>
    <s v="BBVA"/>
    <e v="#NAME?"/>
    <s v="SDATOOL-42039 $ Cuenta digital pensional"/>
    <n v="0.2"/>
    <s v="Tech Manager/Líder"/>
    <s v="Otras Tec."/>
    <m/>
    <e v="#NAME?"/>
    <e v="#NAME?"/>
    <e v="#NAME?"/>
    <m/>
    <m/>
    <m/>
    <m/>
    <m/>
    <n v="1"/>
    <m/>
    <m/>
    <m/>
  </r>
  <r>
    <s v="O001222"/>
    <s v="JIOVANNY SUAREZ GONZALEZ"/>
    <x v="3"/>
    <x v="9"/>
    <s v="BBVA"/>
    <e v="#NAME?"/>
    <s v="SDATOOL-38419 $ Contratación cuenta en línea en Glomo"/>
    <n v="0.2"/>
    <s v="Tech Manager/Líder"/>
    <s v="Otras Tec."/>
    <m/>
    <e v="#NAME?"/>
    <e v="#NAME?"/>
    <e v="#NAME?"/>
    <m/>
    <m/>
    <m/>
    <m/>
    <m/>
    <n v="0"/>
    <m/>
    <m/>
    <m/>
  </r>
  <r>
    <s v="O001222"/>
    <s v="JIOVANNY SUAREZ GONZALEZ"/>
    <x v="3"/>
    <x v="9"/>
    <s v="BBVA"/>
    <e v="#NAME?"/>
    <s v="SDATOOL-41797 $ Optimización Cuenta en línea Web"/>
    <n v="0.2"/>
    <s v="Tech Manager/Líder"/>
    <s v="Otras Tec."/>
    <m/>
    <e v="#NAME?"/>
    <e v="#NAME?"/>
    <e v="#NAME?"/>
    <m/>
    <m/>
    <m/>
    <m/>
    <m/>
    <n v="0"/>
    <m/>
    <m/>
    <m/>
  </r>
  <r>
    <s v="O001222"/>
    <s v="JIOVANNY SUAREZ GONZALEZ"/>
    <x v="3"/>
    <x v="9"/>
    <s v="BBVA"/>
    <e v="#NAME?"/>
    <s v="SDATOOL-42393 $ Ahorro Fijo Digital Clientes"/>
    <n v="0.2"/>
    <s v="Tech Manager/Líder"/>
    <s v="Otras Tec."/>
    <m/>
    <e v="#NAME?"/>
    <e v="#NAME?"/>
    <e v="#NAME?"/>
    <m/>
    <m/>
    <m/>
    <m/>
    <m/>
    <n v="0"/>
    <m/>
    <m/>
    <m/>
  </r>
  <r>
    <s v="O001222"/>
    <s v="JIOVANNY SUAREZ GONZALEZ"/>
    <x v="3"/>
    <x v="9"/>
    <s v="BBVA"/>
    <e v="#NAME?"/>
    <s v="SDATOOL-41950 $ Migracion GMF-MQ Series"/>
    <n v="0.2"/>
    <s v="Tech Manager/Líder"/>
    <s v="Otras Tec."/>
    <m/>
    <e v="#NAME?"/>
    <e v="#NAME?"/>
    <e v="#NAME?"/>
    <m/>
    <m/>
    <m/>
    <m/>
    <m/>
    <n v="0"/>
    <m/>
    <m/>
    <m/>
  </r>
  <r>
    <s v="C811332"/>
    <s v="JORGE LUIS SALAMANCA ORTIZ"/>
    <x v="3"/>
    <x v="9"/>
    <s v="BBVA"/>
    <e v="#NAME?"/>
    <s v="SDATOOL-37753 $ Plan de transformación de operaciones 2022"/>
    <n v="0.3"/>
    <s v="Desarrollador"/>
    <s v="Mainframe"/>
    <m/>
    <e v="#NAME?"/>
    <e v="#NAME?"/>
    <e v="#NAME?"/>
    <m/>
    <m/>
    <m/>
    <m/>
    <m/>
    <n v="1"/>
    <m/>
    <m/>
    <m/>
  </r>
  <r>
    <s v="C811332"/>
    <s v="JORGE LUIS SALAMANCA ORTIZ"/>
    <x v="3"/>
    <x v="9"/>
    <s v="BBVA"/>
    <e v="#NAME?"/>
    <s v="SDATOOL-40438 $ CIRCULAR 032 del 2021 - REQUERIMIENTO FISCALIA GENERAL DE LA NACION"/>
    <n v="0.7"/>
    <s v="Desarrollador"/>
    <s v="Mainframe"/>
    <m/>
    <e v="#NAME?"/>
    <e v="#NAME?"/>
    <e v="#NAME?"/>
    <m/>
    <m/>
    <m/>
    <m/>
    <m/>
    <n v="0"/>
    <m/>
    <m/>
    <m/>
  </r>
  <r>
    <s v="CE03425"/>
    <s v="JORGE VICENTE SALAS PERILLA"/>
    <x v="3"/>
    <x v="9"/>
    <s v="KRYPTO"/>
    <e v="#NAME?"/>
    <s v="SDATOOL-37111 $ Cuenta Maestra Adres"/>
    <n v="0.75"/>
    <s v="Desarrollador"/>
    <s v="Mainframe"/>
    <m/>
    <e v="#NAME?"/>
    <e v="#NAME?"/>
    <e v="#NAME?"/>
    <m/>
    <m/>
    <m/>
    <m/>
    <m/>
    <n v="1"/>
    <m/>
    <m/>
    <m/>
  </r>
  <r>
    <s v="CE03425"/>
    <s v="JORGE VICENTE SALAS PERILLA"/>
    <x v="3"/>
    <x v="9"/>
    <s v="KRYPTO"/>
    <e v="#NAME?"/>
    <s v="SDATOOL-40771 $ Resolución Cuentas Maestras y Cuentas Maestras para Pagos Electrónicos (PSE): Anexo Técnico - Nuevo reporte de información"/>
    <n v="0.25"/>
    <s v="Desarrollador"/>
    <s v="Mainframe"/>
    <s v="Soporte a certficación y post-implantación"/>
    <e v="#NAME?"/>
    <e v="#NAME?"/>
    <e v="#NAME?"/>
    <m/>
    <m/>
    <m/>
    <m/>
    <m/>
    <n v="0"/>
    <m/>
    <m/>
    <m/>
  </r>
  <r>
    <s v="C805714"/>
    <s v="JUAN DAVID CELIS NUÑEZ"/>
    <x v="3"/>
    <x v="9"/>
    <s v="BBVA"/>
    <e v="#NAME?"/>
    <s v="SDATOOL-33065 $ Remesas BTS"/>
    <n v="0.7"/>
    <s v="Desarrollador"/>
    <s v="ASO"/>
    <m/>
    <e v="#NAME?"/>
    <e v="#NAME?"/>
    <e v="#NAME?"/>
    <m/>
    <m/>
    <m/>
    <m/>
    <m/>
    <n v="1"/>
    <m/>
    <m/>
    <m/>
  </r>
  <r>
    <s v="C805714"/>
    <s v="JUAN DAVID CELIS NUÑEZ"/>
    <x v="3"/>
    <x v="9"/>
    <s v="BBVA"/>
    <e v="#NAME?"/>
    <s v="SDATOOL-37753 $ Plan de transformación de operaciones 2022"/>
    <n v="0.15"/>
    <s v="Desarrollador"/>
    <s v="ASO"/>
    <m/>
    <e v="#NAME?"/>
    <e v="#NAME?"/>
    <e v="#NAME?"/>
    <m/>
    <m/>
    <m/>
    <m/>
    <m/>
    <n v="0"/>
    <m/>
    <m/>
    <m/>
  </r>
  <r>
    <s v="C805714"/>
    <s v="JUAN DAVID CELIS NUÑEZ"/>
    <x v="3"/>
    <x v="9"/>
    <s v="BBVA"/>
    <e v="#NAME?"/>
    <s v="NOSDA $ BAU (Mantenimiento y peq. evolutivos)"/>
    <n v="0.15"/>
    <s v="Desarrollador"/>
    <s v="ASO"/>
    <m/>
    <e v="#NAME?"/>
    <e v="#NAME?"/>
    <e v="#NAME?"/>
    <m/>
    <m/>
    <m/>
    <m/>
    <m/>
    <n v="0"/>
    <m/>
    <m/>
    <m/>
  </r>
  <r>
    <s v="CE65082"/>
    <s v="JULIAN CAMILO ESGUERRA PINEDA"/>
    <x v="3"/>
    <x v="9"/>
    <s v="SII"/>
    <e v="#NAME?"/>
    <s v="NOSDA $ BAU (Mantenimiento y peq. evolutivos)"/>
    <n v="1"/>
    <s v="Desarrollador"/>
    <s v="Mainframe"/>
    <m/>
    <e v="#NAME?"/>
    <e v="#NAME?"/>
    <e v="#NAME?"/>
    <m/>
    <m/>
    <m/>
    <m/>
    <m/>
    <n v="1"/>
    <m/>
    <m/>
    <m/>
  </r>
  <r>
    <s v="C805729"/>
    <s v="JULIANA FERNANDA BONILLA RODRIGUEZ"/>
    <x v="3"/>
    <x v="9"/>
    <s v="BBVA"/>
    <e v="#NAME?"/>
    <s v="NOSDA $ BAU (Mantenimiento y peq. evolutivos)"/>
    <n v="1"/>
    <s v="Otros"/>
    <s v="Mainframe"/>
    <m/>
    <e v="#NAME?"/>
    <e v="#NAME?"/>
    <e v="#NAME?"/>
    <m/>
    <m/>
    <m/>
    <m/>
    <m/>
    <n v="1"/>
    <m/>
    <m/>
    <m/>
  </r>
  <r>
    <s v="CE66910"/>
    <s v="JULIO DIAZ PENAGOS "/>
    <x v="3"/>
    <x v="9"/>
    <s v="SII"/>
    <e v="#NAME?"/>
    <s v="SDATOOL-41950 $ Migracion GMF-MQ Series"/>
    <n v="1"/>
    <s v="Desarrollador"/>
    <s v="ASO"/>
    <m/>
    <e v="#NAME?"/>
    <e v="#NAME?"/>
    <e v="#NAME?"/>
    <m/>
    <m/>
    <m/>
    <m/>
    <m/>
    <n v="1"/>
    <m/>
    <m/>
    <m/>
  </r>
  <r>
    <s v="C803062"/>
    <s v="KATERINE CRUZ SUAREZ"/>
    <x v="3"/>
    <x v="9"/>
    <s v="BBVA"/>
    <e v="#NAME?"/>
    <s v="NOSDA $ BAU (Mantenimiento y peq. evolutivos)"/>
    <n v="1"/>
    <s v="Desarrollador"/>
    <s v="Mainframe"/>
    <m/>
    <e v="#NAME?"/>
    <e v="#NAME?"/>
    <e v="#NAME?"/>
    <m/>
    <m/>
    <m/>
    <m/>
    <m/>
    <n v="1"/>
    <m/>
    <m/>
    <m/>
  </r>
  <r>
    <s v="C805939"/>
    <s v="LEISON FABIAN MEJIA GARCIA"/>
    <x v="3"/>
    <x v="9"/>
    <s v="BBVA"/>
    <e v="#NAME?"/>
    <s v="SDATOOL-38419 $ Contratación cuenta en línea en Glomo"/>
    <n v="0.25"/>
    <s v="Desarrollador"/>
    <s v="ASO"/>
    <m/>
    <e v="#NAME?"/>
    <e v="#NAME?"/>
    <e v="#NAME?"/>
    <m/>
    <m/>
    <m/>
    <m/>
    <m/>
    <n v="1"/>
    <m/>
    <m/>
    <m/>
  </r>
  <r>
    <s v="C805939"/>
    <s v="LEISON FABIAN MEJIA GARCIA"/>
    <x v="3"/>
    <x v="9"/>
    <s v="BBVA"/>
    <e v="#NAME?"/>
    <s v="SDATOOL-42039 $ Cuenta digital pensional"/>
    <n v="0.5"/>
    <s v="Desarrollador"/>
    <s v="ASO"/>
    <m/>
    <e v="#NAME?"/>
    <e v="#NAME?"/>
    <e v="#NAME?"/>
    <m/>
    <m/>
    <m/>
    <m/>
    <m/>
    <n v="0"/>
    <m/>
    <m/>
    <m/>
  </r>
  <r>
    <s v="C805939"/>
    <s v="LEISON FABIAN MEJIA GARCIA"/>
    <x v="3"/>
    <x v="9"/>
    <s v="BBVA"/>
    <e v="#NAME?"/>
    <s v="SDATOOL-41797 $ Optimización Cuenta en línea Web"/>
    <n v="0.25"/>
    <s v="Desarrollador"/>
    <s v="ASO"/>
    <m/>
    <e v="#NAME?"/>
    <e v="#NAME?"/>
    <e v="#NAME?"/>
    <m/>
    <m/>
    <m/>
    <m/>
    <m/>
    <n v="0"/>
    <m/>
    <m/>
    <m/>
  </r>
  <r>
    <s v="CE17711"/>
    <s v="LUIS FERNANDO RODRIGUEZ MEDINA"/>
    <x v="3"/>
    <x v="9"/>
    <s v="KRYPTO"/>
    <e v="#NAME?"/>
    <s v="NOSDA $ BAU (Mantenimiento y peq. evolutivos)"/>
    <n v="1"/>
    <s v="QA"/>
    <s v="Mainframe"/>
    <m/>
    <e v="#NAME?"/>
    <e v="#NAME?"/>
    <e v="#NAME?"/>
    <m/>
    <m/>
    <m/>
    <m/>
    <m/>
    <n v="1"/>
    <m/>
    <m/>
    <m/>
  </r>
  <r>
    <s v="CE61656"/>
    <s v="MARIA DEL PILAR GARCIA  GONZALES"/>
    <x v="3"/>
    <x v="9"/>
    <s v="KRYPTO"/>
    <e v="#NAME?"/>
    <s v="NOSDA $ BAU (Mantenimiento y peq. evolutivos)"/>
    <n v="1"/>
    <s v="QA"/>
    <s v="Mainframe"/>
    <m/>
    <e v="#NAME?"/>
    <e v="#NAME?"/>
    <e v="#NAME?"/>
    <m/>
    <m/>
    <m/>
    <m/>
    <m/>
    <n v="1"/>
    <m/>
    <m/>
    <m/>
  </r>
  <r>
    <s v="C804407"/>
    <s v="MARIO ALBERTO MORALES LEON"/>
    <x v="3"/>
    <x v="9"/>
    <s v="BBVA"/>
    <e v="#NAME?"/>
    <s v="SDATOOL-41950 $ Migracion GMF-MQ Series"/>
    <n v="0.25"/>
    <s v="Desarrollador"/>
    <s v="Mainframe"/>
    <m/>
    <e v="#NAME?"/>
    <e v="#NAME?"/>
    <e v="#NAME?"/>
    <m/>
    <m/>
    <m/>
    <m/>
    <m/>
    <n v="1"/>
    <m/>
    <m/>
    <m/>
  </r>
  <r>
    <s v="C804407"/>
    <s v="MARIO ALBERTO MORALES LEON"/>
    <x v="3"/>
    <x v="9"/>
    <s v="BBVA"/>
    <e v="#NAME?"/>
    <s v="SDATOOL-42393 $ Ahorro Fijo Digital Clientes"/>
    <n v="0.75"/>
    <s v="Desarrollador"/>
    <s v="Mainframe"/>
    <m/>
    <e v="#NAME?"/>
    <e v="#NAME?"/>
    <e v="#NAME?"/>
    <m/>
    <m/>
    <m/>
    <m/>
    <m/>
    <n v="0"/>
    <m/>
    <m/>
    <m/>
  </r>
  <r>
    <s v="C809625"/>
    <s v="MAYERLY TATIANA NARVAEZ MARIN"/>
    <x v="3"/>
    <x v="9"/>
    <s v="BBVA"/>
    <e v="#NAME?"/>
    <s v="SDATOOL-38419 $ Contratación cuenta en línea en Glomo"/>
    <n v="0.25"/>
    <s v="Desarrollador"/>
    <s v="ASO"/>
    <m/>
    <e v="#NAME?"/>
    <e v="#NAME?"/>
    <e v="#NAME?"/>
    <m/>
    <m/>
    <m/>
    <m/>
    <m/>
    <n v="1"/>
    <m/>
    <m/>
    <m/>
  </r>
  <r>
    <s v="C809625"/>
    <s v="MAYERLY TATIANA NARVAEZ MARIN"/>
    <x v="3"/>
    <x v="9"/>
    <s v="BBVA"/>
    <e v="#NAME?"/>
    <s v="SDATOOL-42039 $ Cuenta digital pensional"/>
    <n v="0.75"/>
    <s v="Desarrollador"/>
    <s v="ASO"/>
    <m/>
    <e v="#NAME?"/>
    <e v="#NAME?"/>
    <e v="#NAME?"/>
    <m/>
    <m/>
    <m/>
    <m/>
    <m/>
    <n v="0"/>
    <m/>
    <m/>
    <m/>
  </r>
  <r>
    <s v="CE64687"/>
    <s v="MILLER FERNANDO CAMARGO AMADO"/>
    <x v="3"/>
    <x v="9"/>
    <s v="SII"/>
    <e v="#NAME?"/>
    <s v="NOSDA $ BAU (Mantenimiento y peq. evolutivos)"/>
    <n v="1"/>
    <s v="Desarrollador"/>
    <s v="Mainframe"/>
    <m/>
    <e v="#NAME?"/>
    <e v="#NAME?"/>
    <e v="#NAME?"/>
    <m/>
    <m/>
    <m/>
    <m/>
    <m/>
    <n v="1"/>
    <m/>
    <m/>
    <m/>
  </r>
  <r>
    <s v="C811233"/>
    <s v="NATALIA REYES LOPEZ"/>
    <x v="3"/>
    <x v="9"/>
    <s v="BBVA"/>
    <e v="#NAME?"/>
    <s v="NOSDA $ BAU (Mantenimiento y peq. evolutivos)"/>
    <n v="1"/>
    <s v="QA"/>
    <s v="Mainframe"/>
    <m/>
    <e v="#NAME?"/>
    <e v="#NAME?"/>
    <e v="#NAME?"/>
    <m/>
    <m/>
    <m/>
    <m/>
    <m/>
    <n v="1"/>
    <m/>
    <m/>
    <m/>
  </r>
  <r>
    <s v="CE59970"/>
    <s v="NICOLAS ALEXANDER ALDANA MENDOZA"/>
    <x v="3"/>
    <x v="9"/>
    <s v="SII"/>
    <e v="#NAME?"/>
    <s v="NOSDA $ BAU (Mantenimiento y peq. evolutivos)"/>
    <n v="1"/>
    <s v="Desarrollador"/>
    <s v="Mainframe"/>
    <m/>
    <e v="#NAME?"/>
    <e v="#NAME?"/>
    <e v="#NAME?"/>
    <m/>
    <m/>
    <m/>
    <m/>
    <m/>
    <n v="1"/>
    <m/>
    <m/>
    <m/>
  </r>
  <r>
    <s v="C804561"/>
    <s v="OSCAR ORLANDO ACEVEDO FERRER"/>
    <x v="3"/>
    <x v="9"/>
    <s v="BBVA"/>
    <e v="#NAME?"/>
    <s v="SDATOOL-40656 $ GRM Col - Recuperación sobre cuentas pensionales"/>
    <n v="0.5"/>
    <s v="Desarrollador"/>
    <s v="Mainframe"/>
    <m/>
    <e v="#NAME?"/>
    <e v="#NAME?"/>
    <e v="#NAME?"/>
    <m/>
    <m/>
    <m/>
    <m/>
    <m/>
    <n v="1"/>
    <m/>
    <m/>
    <m/>
  </r>
  <r>
    <s v="C804561"/>
    <s v="OSCAR ORLANDO ACEVEDO FERRER"/>
    <x v="3"/>
    <x v="9"/>
    <s v="BBVA"/>
    <e v="#NAME?"/>
    <s v="SDATOOL-33065 $ Remesas BTS"/>
    <n v="0.2"/>
    <s v="Desarrollador"/>
    <s v="Mainframe"/>
    <m/>
    <e v="#NAME?"/>
    <e v="#NAME?"/>
    <e v="#NAME?"/>
    <m/>
    <m/>
    <m/>
    <m/>
    <m/>
    <n v="0"/>
    <m/>
    <m/>
    <m/>
  </r>
  <r>
    <s v="C804561"/>
    <s v="OSCAR ORLANDO ACEVEDO FERRER"/>
    <x v="3"/>
    <x v="9"/>
    <s v="BBVA"/>
    <e v="#NAME?"/>
    <s v="SDATOOL-41029 $ IATAPAY"/>
    <n v="0.3"/>
    <s v="Desarrollador"/>
    <s v="Mainframe"/>
    <m/>
    <e v="#NAME?"/>
    <e v="#NAME?"/>
    <e v="#NAME?"/>
    <m/>
    <m/>
    <m/>
    <m/>
    <m/>
    <n v="0"/>
    <m/>
    <m/>
    <m/>
  </r>
  <r>
    <s v="O002757"/>
    <s v="SUSANA ANDREA PARRA CABRERA"/>
    <x v="3"/>
    <x v="9"/>
    <s v="BBVA"/>
    <e v="#NAME?"/>
    <s v="SDATOOL-33065 $ Remesas BTS"/>
    <n v="0.2"/>
    <s v="Desarrollador"/>
    <s v="APX"/>
    <m/>
    <e v="#NAME?"/>
    <e v="#NAME?"/>
    <e v="#NAME?"/>
    <m/>
    <m/>
    <m/>
    <m/>
    <m/>
    <n v="1"/>
    <m/>
    <m/>
    <m/>
  </r>
  <r>
    <s v="O002757"/>
    <s v="SUSANA ANDREA PARRA CABRERA"/>
    <x v="3"/>
    <x v="9"/>
    <s v="BBVA"/>
    <e v="#NAME?"/>
    <s v="SDATOOL-42393 $ Ahorro Fijo Digital Clientes"/>
    <n v="0.4"/>
    <s v="Desarrollador"/>
    <s v="APX"/>
    <m/>
    <e v="#NAME?"/>
    <e v="#NAME?"/>
    <e v="#NAME?"/>
    <m/>
    <m/>
    <m/>
    <m/>
    <m/>
    <n v="0"/>
    <m/>
    <m/>
    <m/>
  </r>
  <r>
    <s v="O002757"/>
    <s v="SUSANA ANDREA PARRA CABRERA"/>
    <x v="3"/>
    <x v="9"/>
    <s v="BBVA"/>
    <e v="#NAME?"/>
    <s v="SDATOOL-41950 $ Migracion GMF-MQ Series"/>
    <n v="0.4"/>
    <s v="Desarrollador"/>
    <s v="APX"/>
    <m/>
    <e v="#NAME?"/>
    <e v="#NAME?"/>
    <e v="#NAME?"/>
    <m/>
    <m/>
    <m/>
    <m/>
    <m/>
    <n v="0"/>
    <m/>
    <m/>
    <m/>
  </r>
  <r>
    <s v="CE24417"/>
    <s v="VIVIAN JUALINY  ESPITIA BENITEZ"/>
    <x v="3"/>
    <x v="9"/>
    <s v="KRYPTO"/>
    <e v="#NAME?"/>
    <s v="NOSDA $ BAU (Mantenimiento y peq. evolutivos)"/>
    <n v="1"/>
    <s v="QA"/>
    <s v="Otras Tec."/>
    <m/>
    <e v="#NAME?"/>
    <e v="#NAME?"/>
    <e v="#NAME?"/>
    <m/>
    <m/>
    <m/>
    <m/>
    <m/>
    <n v="1"/>
    <m/>
    <m/>
    <m/>
  </r>
  <r>
    <s v="O003083"/>
    <s v="WILMAR ALBERTO ROMERO"/>
    <x v="3"/>
    <x v="9"/>
    <s v="BBVA"/>
    <e v="#NAME?"/>
    <s v="SDATOOL-42039 $ Cuenta digital pensional"/>
    <n v="0.75"/>
    <s v="Desarrollador"/>
    <s v="APX"/>
    <m/>
    <e v="#NAME?"/>
    <e v="#NAME?"/>
    <e v="#NAME?"/>
    <m/>
    <m/>
    <m/>
    <m/>
    <m/>
    <n v="1"/>
    <m/>
    <m/>
    <m/>
  </r>
  <r>
    <s v="O003083"/>
    <s v="WILMAR ALBERTO ROMERO"/>
    <x v="3"/>
    <x v="9"/>
    <s v="BBVA"/>
    <e v="#NAME?"/>
    <s v="SDATOOL-38419 $ Contratación cuenta en línea en Glomo"/>
    <n v="0.25"/>
    <s v="Desarrollador"/>
    <s v="APX"/>
    <m/>
    <e v="#NAME?"/>
    <e v="#NAME?"/>
    <e v="#NAME?"/>
    <m/>
    <m/>
    <m/>
    <m/>
    <m/>
    <n v="0"/>
    <m/>
    <m/>
    <m/>
  </r>
  <r>
    <s v="C811362"/>
    <s v="YIGLIANA ALVAREZ MENDOZA"/>
    <x v="3"/>
    <x v="9"/>
    <s v="BBVA"/>
    <e v="#NAME?"/>
    <s v="SDATOOL-40545 $ GRM Col - Mejoras Evolutivas de Aplicativos y Herramientas de Riesgos 2023"/>
    <n v="0.3"/>
    <s v="Desarrollador"/>
    <s v="Mainframe"/>
    <m/>
    <e v="#NAME?"/>
    <e v="#NAME?"/>
    <e v="#NAME?"/>
    <m/>
    <m/>
    <m/>
    <m/>
    <m/>
    <n v="1"/>
    <m/>
    <m/>
    <m/>
  </r>
  <r>
    <s v="C811362"/>
    <s v="YIGLIANA ALVAREZ MENDOZA"/>
    <x v="3"/>
    <x v="9"/>
    <s v="BBVA"/>
    <e v="#NAME?"/>
    <s v="SDATOOL-41766 $ DUALIDAD CUENTAS AFC NÁCAR HOST Y CANALES DIGITALES"/>
    <n v="0.4"/>
    <s v="Desarrollador"/>
    <s v="Mainframe"/>
    <m/>
    <e v="#NAME?"/>
    <e v="#NAME?"/>
    <e v="#NAME?"/>
    <m/>
    <m/>
    <m/>
    <m/>
    <m/>
    <n v="0"/>
    <m/>
    <m/>
    <m/>
  </r>
  <r>
    <s v="C811362"/>
    <s v="YIGLIANA ALVAREZ MENDOZA"/>
    <x v="3"/>
    <x v="9"/>
    <s v="BBVA"/>
    <e v="#NAME?"/>
    <s v="SDATOOL-39506 $ Cuenta Sostenible"/>
    <n v="0.3"/>
    <s v="Desarrollador"/>
    <s v="Mainframe"/>
    <m/>
    <e v="#NAME?"/>
    <e v="#NAME?"/>
    <e v="#NAME?"/>
    <m/>
    <m/>
    <m/>
    <m/>
    <m/>
    <n v="0"/>
    <m/>
    <m/>
    <m/>
  </r>
  <r>
    <s v="C802977"/>
    <s v="YULY MARCELA OVALLE GOMEZ"/>
    <x v="3"/>
    <x v="9"/>
    <s v="BBVA"/>
    <e v="#NAME?"/>
    <s v="SDATOOL-39246 $ Nuevo tipo de identificación para extranjeros"/>
    <n v="0.1"/>
    <s v="Tech Manager/Líder"/>
    <s v="Otras Tec."/>
    <m/>
    <e v="#NAME?"/>
    <e v="#NAME?"/>
    <e v="#NAME?"/>
    <m/>
    <m/>
    <m/>
    <m/>
    <m/>
    <n v="1"/>
    <m/>
    <m/>
    <m/>
  </r>
  <r>
    <s v="C802977"/>
    <s v="YULY MARCELA OVALLE GOMEZ"/>
    <x v="3"/>
    <x v="9"/>
    <s v="BBVA"/>
    <e v="#NAME?"/>
    <s v="SDATOOL-40656 $ GRM Col - Recuperación sobre cuentas pensionales"/>
    <n v="0.15"/>
    <s v="Tech Manager/Líder"/>
    <s v="Otras Tec."/>
    <m/>
    <e v="#NAME?"/>
    <e v="#NAME?"/>
    <e v="#NAME?"/>
    <m/>
    <m/>
    <m/>
    <m/>
    <m/>
    <n v="0"/>
    <m/>
    <m/>
    <m/>
  </r>
  <r>
    <s v="C802977"/>
    <s v="YULY MARCELA OVALLE GOMEZ"/>
    <x v="3"/>
    <x v="9"/>
    <s v="BBVA"/>
    <e v="#NAME?"/>
    <s v="SDATOOL-39383 $ AJUSTES HIGIENICOS DE PORTAFOLIO + REPORTE CENTRALIZADO DE NÓMINA"/>
    <n v="0.1"/>
    <s v="Tech Manager/Líder"/>
    <s v="Otras Tec."/>
    <m/>
    <e v="#NAME?"/>
    <e v="#NAME?"/>
    <e v="#NAME?"/>
    <m/>
    <m/>
    <m/>
    <m/>
    <m/>
    <n v="0"/>
    <m/>
    <m/>
    <m/>
  </r>
  <r>
    <s v="C802977"/>
    <s v="YULY MARCELA OVALLE GOMEZ"/>
    <x v="3"/>
    <x v="9"/>
    <s v="BBVA"/>
    <e v="#NAME?"/>
    <s v="SDATOOL-33065 $ Remesas BTS"/>
    <n v="0.15"/>
    <s v="Tech Manager/Líder"/>
    <s v="Otras Tec."/>
    <m/>
    <e v="#NAME?"/>
    <e v="#NAME?"/>
    <e v="#NAME?"/>
    <m/>
    <m/>
    <m/>
    <m/>
    <m/>
    <n v="0"/>
    <m/>
    <m/>
    <m/>
  </r>
  <r>
    <s v="C802977"/>
    <s v="YULY MARCELA OVALLE GOMEZ"/>
    <x v="3"/>
    <x v="9"/>
    <s v="BBVA"/>
    <e v="#NAME?"/>
    <s v="SDATOOL-40438 $ CIRCULAR 032 del 2021 - REQUERIMIENTO FISCALIA GENERAL DE LA NACION"/>
    <n v="0.1"/>
    <s v="Tech Manager/Líder"/>
    <s v="Otras Tec."/>
    <m/>
    <e v="#NAME?"/>
    <e v="#NAME?"/>
    <e v="#NAME?"/>
    <m/>
    <m/>
    <m/>
    <m/>
    <m/>
    <n v="0"/>
    <m/>
    <m/>
    <m/>
  </r>
  <r>
    <s v="C802977"/>
    <s v="YULY MARCELA OVALLE GOMEZ"/>
    <x v="3"/>
    <x v="9"/>
    <s v="BBVA"/>
    <e v="#NAME?"/>
    <s v="SDATOOL-41766 $ DUALIDAD CUENTAS AFC NÁCAR HOST Y CANALES DIGITALES"/>
    <n v="0.1"/>
    <s v="Tech Manager/Líder"/>
    <s v="Otras Tec."/>
    <m/>
    <e v="#NAME?"/>
    <e v="#NAME?"/>
    <e v="#NAME?"/>
    <m/>
    <m/>
    <m/>
    <m/>
    <m/>
    <n v="0"/>
    <m/>
    <m/>
    <m/>
  </r>
  <r>
    <s v="C802977"/>
    <s v="YULY MARCELA OVALLE GOMEZ"/>
    <x v="3"/>
    <x v="9"/>
    <s v="BBVA"/>
    <e v="#NAME?"/>
    <s v="SDATOOL-41029 $ IATAPAY"/>
    <n v="0.1"/>
    <s v="Tech Manager/Líder"/>
    <s v="Otras Tec."/>
    <m/>
    <e v="#NAME?"/>
    <e v="#NAME?"/>
    <e v="#NAME?"/>
    <m/>
    <m/>
    <m/>
    <m/>
    <m/>
    <n v="0"/>
    <m/>
    <m/>
    <m/>
  </r>
  <r>
    <s v="C802977"/>
    <s v="YULY MARCELA OVALLE GOMEZ"/>
    <x v="3"/>
    <x v="9"/>
    <s v="BBVA"/>
    <e v="#NAME?"/>
    <s v="SDATOOL-40545 $ GRM Col - Mejoras Evolutivas de Aplicativos y Herramientas de Riesgos 2023"/>
    <n v="0.1"/>
    <s v="Tech Manager/Líder"/>
    <s v="Otras Tec."/>
    <m/>
    <e v="#NAME?"/>
    <e v="#NAME?"/>
    <e v="#NAME?"/>
    <m/>
    <m/>
    <m/>
    <m/>
    <m/>
    <n v="0"/>
    <m/>
    <m/>
    <m/>
  </r>
  <r>
    <s v="C802977"/>
    <s v="YULY MARCELA OVALLE GOMEZ"/>
    <x v="3"/>
    <x v="9"/>
    <s v="BBVA"/>
    <e v="#NAME?"/>
    <s v="SDATOOL-39506 $ Cuenta Sostenible"/>
    <n v="0.1"/>
    <s v="Tech Manager/Líder"/>
    <s v="Otras Tec."/>
    <m/>
    <e v="#NAME?"/>
    <e v="#NAME?"/>
    <e v="#NAME?"/>
    <m/>
    <m/>
    <m/>
    <m/>
    <m/>
    <n v="0"/>
    <m/>
    <m/>
    <m/>
  </r>
  <r>
    <s v="C811410"/>
    <s v="MICHAEL CESAR LLANES POLO"/>
    <x v="2"/>
    <x v="8"/>
    <s v="BBVA"/>
    <e v="#NAME?"/>
    <s v="SDATOOL-28473 $ GRM Col - TMP Cobranzas - Módulo control acuerdos de pago"/>
    <n v="1"/>
    <s v="Desarrollador"/>
    <s v="Mainframe"/>
    <m/>
    <e v="#NAME?"/>
    <e v="#NAME?"/>
    <e v="#NAME?"/>
    <m/>
    <m/>
    <m/>
    <m/>
    <m/>
    <m/>
    <m/>
    <m/>
    <m/>
  </r>
  <r>
    <s v="O000100"/>
    <s v="LICETH YHOMARY GONZALEZ PENAGOS"/>
    <x v="2"/>
    <x v="8"/>
    <s v="BBVA"/>
    <e v="#NAME?"/>
    <s v="SDATOOL-40658 $ GRM Col - Cronos Collections - Estrategia"/>
    <n v="0.75"/>
    <s v="Desarrollador"/>
    <s v="Mainframe"/>
    <m/>
    <e v="#NAME?"/>
    <e v="#NAME?"/>
    <e v="#NAME?"/>
    <m/>
    <m/>
    <m/>
    <m/>
    <m/>
    <m/>
    <m/>
    <m/>
    <m/>
  </r>
  <r>
    <s v="O000100"/>
    <s v="LICETH YHOMARY GONZALEZ PENAGOS"/>
    <x v="2"/>
    <x v="8"/>
    <s v="BBVA"/>
    <e v="#NAME?"/>
    <s v="NOSDA $ BAU (Mantenimiento y peq. evolutivos)"/>
    <n v="0.25"/>
    <s v="Desarrollador"/>
    <s v="Mainframe"/>
    <m/>
    <e v="#NAME?"/>
    <e v="#NAME?"/>
    <e v="#NAME?"/>
    <m/>
    <m/>
    <m/>
    <m/>
    <m/>
    <m/>
    <m/>
    <m/>
    <m/>
  </r>
  <r>
    <s v="O001421"/>
    <s v="JULIAN ALBERTO HERRERA SALAZAR"/>
    <x v="2"/>
    <x v="8"/>
    <s v="BBVA"/>
    <e v="#NAME?"/>
    <s v="SDATOOL-40658 $ GRM Col - Cronos Collections - Estrategia"/>
    <n v="0.5"/>
    <s v="Desarrollador"/>
    <s v="Mainframe"/>
    <m/>
    <e v="#NAME?"/>
    <e v="#NAME?"/>
    <e v="#NAME?"/>
    <m/>
    <m/>
    <m/>
    <m/>
    <m/>
    <m/>
    <m/>
    <m/>
    <m/>
  </r>
  <r>
    <s v="O001421"/>
    <s v="JULIAN ALBERTO HERRERA SALAZAR"/>
    <x v="2"/>
    <x v="8"/>
    <s v="BBVA"/>
    <e v="#NAME?"/>
    <s v="SDATOOL-28473 $ GRM Col - TMP Cobranzas - Módulo control acuerdos de pago"/>
    <n v="0.25"/>
    <s v="Desarrollador"/>
    <s v="Mainframe"/>
    <m/>
    <e v="#NAME?"/>
    <e v="#NAME?"/>
    <e v="#NAME?"/>
    <m/>
    <m/>
    <m/>
    <m/>
    <m/>
    <m/>
    <m/>
    <m/>
    <m/>
  </r>
  <r>
    <s v="O001421"/>
    <s v="JULIAN ALBERTO HERRERA SALAZAR"/>
    <x v="2"/>
    <x v="8"/>
    <s v="BBVA"/>
    <e v="#NAME?"/>
    <s v="NOSDA $ BAU (Mantenimiento y peq. evolutivos)"/>
    <n v="0.25"/>
    <s v="Desarrollador"/>
    <s v="Mainframe"/>
    <m/>
    <e v="#NAME?"/>
    <e v="#NAME?"/>
    <e v="#NAME?"/>
    <m/>
    <m/>
    <m/>
    <m/>
    <m/>
    <m/>
    <m/>
    <m/>
    <m/>
  </r>
  <r>
    <s v="O001720"/>
    <s v="JOHN FERNANDO AREVALO BERMUDEZ"/>
    <x v="2"/>
    <x v="8"/>
    <s v="BBVA"/>
    <e v="#NAME?"/>
    <s v="SDATOOL-28473 $ GRM Col - TMP Cobranzas - Módulo control acuerdos de pago"/>
    <n v="0.5"/>
    <s v="Desarrollador"/>
    <s v="Mainframe"/>
    <m/>
    <e v="#NAME?"/>
    <e v="#NAME?"/>
    <e v="#NAME?"/>
    <m/>
    <m/>
    <m/>
    <m/>
    <m/>
    <m/>
    <m/>
    <m/>
    <m/>
  </r>
  <r>
    <s v="O001720"/>
    <s v="JOHN FERNANDO AREVALO BERMUDEZ"/>
    <x v="2"/>
    <x v="8"/>
    <s v="BBVA"/>
    <e v="#NAME?"/>
    <s v="NOSDA $ BAU (Mantenimiento y peq. evolutivos)"/>
    <n v="0.25"/>
    <s v="Desarrollador"/>
    <s v="Mainframe"/>
    <m/>
    <e v="#NAME?"/>
    <e v="#NAME?"/>
    <e v="#NAME?"/>
    <m/>
    <m/>
    <m/>
    <m/>
    <m/>
    <m/>
    <m/>
    <m/>
    <m/>
  </r>
  <r>
    <s v="O001720"/>
    <s v="JOHN FERNANDO AREVALO BERMUDEZ"/>
    <x v="2"/>
    <x v="8"/>
    <s v="BBVA"/>
    <e v="#NAME?"/>
    <s v="SDATOOL-29029 $ EBA Guidelines (NDoD/PD/LGD) - Colombia"/>
    <n v="0.25"/>
    <s v="Desarrollador"/>
    <s v="Mainframe"/>
    <m/>
    <e v="#NAME?"/>
    <e v="#NAME?"/>
    <e v="#NAME?"/>
    <m/>
    <m/>
    <m/>
    <m/>
    <m/>
    <m/>
    <m/>
    <m/>
    <m/>
  </r>
  <r>
    <s v="T003443"/>
    <s v="DANIELA ALEJANDRA ROMERO CANGREJO"/>
    <x v="2"/>
    <x v="8"/>
    <s v="Neoris"/>
    <e v="#NAME?"/>
    <s v="SDATOOL-28473 $ GRM Col - TMP Cobranzas - Módulo control acuerdos de pago"/>
    <n v="0.5"/>
    <s v="QA"/>
    <s v="Mainframe"/>
    <m/>
    <e v="#NAME?"/>
    <e v="#NAME?"/>
    <e v="#NAME?"/>
    <m/>
    <m/>
    <m/>
    <m/>
    <m/>
    <m/>
    <m/>
    <m/>
    <m/>
  </r>
  <r>
    <s v="T003443"/>
    <s v="DANIELA ALEJANDRA ROMERO CANGREJO"/>
    <x v="2"/>
    <x v="8"/>
    <s v="Neoris"/>
    <e v="#NAME?"/>
    <s v="NOSDA $ BAU (Mantenimiento y peq. evolutivos)"/>
    <n v="0.4"/>
    <s v="QA"/>
    <s v="Mainframe"/>
    <m/>
    <e v="#NAME?"/>
    <e v="#NAME?"/>
    <e v="#NAME?"/>
    <m/>
    <m/>
    <m/>
    <m/>
    <m/>
    <m/>
    <m/>
    <m/>
    <m/>
  </r>
  <r>
    <s v="T003443"/>
    <s v="DANIELA ALEJANDRA ROMERO CANGREJO"/>
    <x v="2"/>
    <x v="8"/>
    <s v="Neoris"/>
    <e v="#NAME?"/>
    <s v="SDATOOL-29029 $ EBA Guidelines (NDoD/PD/LGD) - Colombia"/>
    <n v="0.1"/>
    <s v="QA"/>
    <s v="Mainframe"/>
    <m/>
    <e v="#NAME?"/>
    <e v="#NAME?"/>
    <e v="#NAME?"/>
    <m/>
    <m/>
    <m/>
    <m/>
    <m/>
    <m/>
    <m/>
    <m/>
    <m/>
  </r>
  <r>
    <s v="C811301"/>
    <s v="MARIANELLA FANDIÑO NIETO"/>
    <x v="2"/>
    <x v="8"/>
    <s v="BBVA"/>
    <e v="#NAME?"/>
    <s v="SDATOOL-28473 $ GRM Col - TMP Cobranzas - Módulo control acuerdos de pago"/>
    <n v="0.3"/>
    <s v="Tech Manager/Líder"/>
    <s v="Mainframe"/>
    <m/>
    <e v="#NAME?"/>
    <e v="#NAME?"/>
    <e v="#NAME?"/>
    <m/>
    <m/>
    <m/>
    <m/>
    <m/>
    <m/>
    <m/>
    <m/>
    <m/>
  </r>
  <r>
    <s v="C811301"/>
    <s v="MARIANELLA FANDIÑO NIETO"/>
    <x v="2"/>
    <x v="8"/>
    <s v="BBVA"/>
    <e v="#NAME?"/>
    <s v="SDATOOL-40658 $ GRM Col - Cronos Collections - Estrategia"/>
    <n v="0.4"/>
    <s v="Tech Manager/Líder"/>
    <s v="Mainframe"/>
    <m/>
    <e v="#NAME?"/>
    <e v="#NAME?"/>
    <e v="#NAME?"/>
    <m/>
    <m/>
    <m/>
    <m/>
    <m/>
    <m/>
    <m/>
    <m/>
    <m/>
  </r>
  <r>
    <s v="C811301"/>
    <s v="MARIANELLA FANDIÑO NIETO"/>
    <x v="2"/>
    <x v="8"/>
    <s v="BBVA"/>
    <e v="#NAME?"/>
    <s v="NOSDA $ BAU (Mantenimiento y peq. evolutivos)"/>
    <n v="0.2"/>
    <s v="Tech Manager/Líder"/>
    <s v="Mainframe"/>
    <m/>
    <e v="#NAME?"/>
    <e v="#NAME?"/>
    <e v="#NAME?"/>
    <m/>
    <m/>
    <m/>
    <m/>
    <m/>
    <m/>
    <m/>
    <m/>
    <m/>
  </r>
  <r>
    <s v="C811301"/>
    <s v="MARIANELLA FANDIÑO NIETO"/>
    <x v="2"/>
    <x v="8"/>
    <s v="BBVA"/>
    <e v="#NAME?"/>
    <s v="SDATOOL-29029 $ EBA Guidelines (NDoD/PD/LGD) - Colombia"/>
    <n v="0.1"/>
    <s v="Tech Manager/Líder"/>
    <s v="Mainframe"/>
    <m/>
    <e v="#NAME?"/>
    <e v="#NAME?"/>
    <e v="#NAME?"/>
    <m/>
    <m/>
    <m/>
    <m/>
    <m/>
    <m/>
    <m/>
    <m/>
    <m/>
  </r>
  <r>
    <s v="C804706"/>
    <s v="BAUTISTA MOLINA, LINA MARCELA"/>
    <x v="2"/>
    <x v="8"/>
    <s v="BBVA"/>
    <e v="#NAME?"/>
    <s v="SDATOOL-40545 $ GRM Col - Mejoras Evolutivas de Aplicativos y Herramientas de Riesgos 2023"/>
    <n v="0.8"/>
    <s v="Desarrollador"/>
    <s v="Mainframe"/>
    <m/>
    <e v="#NAME?"/>
    <e v="#NAME?"/>
    <e v="#NAME?"/>
    <m/>
    <m/>
    <m/>
    <m/>
    <m/>
    <m/>
    <m/>
    <m/>
    <m/>
  </r>
  <r>
    <s v="C804706"/>
    <s v="BAUTISTA MOLINA, LINA MARCELA"/>
    <x v="2"/>
    <x v="8"/>
    <s v="BBVA"/>
    <e v="#NAME?"/>
    <s v="SDATOOL-42098 $ GRM Col CRONOS Batch - Campañas SMeS"/>
    <n v="0.2"/>
    <s v="Desarrollador"/>
    <s v="Mainframe"/>
    <m/>
    <e v="#NAME?"/>
    <e v="#NAME?"/>
    <e v="#NAME?"/>
    <m/>
    <m/>
    <m/>
    <m/>
    <m/>
    <m/>
    <m/>
    <m/>
    <m/>
  </r>
  <r>
    <s v="C808756"/>
    <s v="BUITRAGO GUALTEROS, ANDRES FELIPE"/>
    <x v="2"/>
    <x v="8"/>
    <s v="BBVA"/>
    <e v="#NAME?"/>
    <s v="SDATOOL-39836 $ Vivienda digital fase III"/>
    <n v="0.2"/>
    <s v="Desarrollador"/>
    <s v="Distribuido"/>
    <m/>
    <e v="#NAME?"/>
    <e v="#NAME?"/>
    <e v="#NAME?"/>
    <m/>
    <m/>
    <m/>
    <m/>
    <m/>
    <m/>
    <m/>
    <m/>
    <m/>
  </r>
  <r>
    <s v="C808756"/>
    <s v="BUITRAGO GUALTEROS, ANDRES FELIPE"/>
    <x v="2"/>
    <x v="8"/>
    <s v="BBVA"/>
    <e v="#NAME?"/>
    <s v="SDATOOL-40545 $ GRM Col - Mejoras Evolutivas de Aplicativos y Herramientas de Riesgos 2023"/>
    <n v="0.7"/>
    <s v="Desarrollador"/>
    <s v="Distribuido"/>
    <m/>
    <e v="#NAME?"/>
    <e v="#NAME?"/>
    <e v="#NAME?"/>
    <m/>
    <m/>
    <m/>
    <m/>
    <m/>
    <m/>
    <m/>
    <m/>
    <m/>
  </r>
  <r>
    <s v="C808756"/>
    <s v="BUITRAGO GUALTEROS, ANDRES FELIPE"/>
    <x v="2"/>
    <x v="8"/>
    <s v="BBVA"/>
    <e v="#NAME?"/>
    <s v="SDATOOL-41457 $ NGA - Colombia. EWS (ARCE)"/>
    <n v="0.1"/>
    <s v="Desarrollador"/>
    <s v="Distribuido"/>
    <m/>
    <e v="#NAME?"/>
    <e v="#NAME?"/>
    <e v="#NAME?"/>
    <m/>
    <m/>
    <m/>
    <m/>
    <m/>
    <m/>
    <m/>
    <m/>
    <m/>
  </r>
  <r>
    <s v="C809517"/>
    <s v="VARGAS PEREZ, WENDY MARITZA"/>
    <x v="2"/>
    <x v="8"/>
    <s v="BBVA"/>
    <e v="#NAME?"/>
    <s v="SDATOOL-39836 $ Vivienda digital fase III"/>
    <n v="0.8"/>
    <s v="Desarrollador"/>
    <s v="Distribuido"/>
    <m/>
    <e v="#NAME?"/>
    <e v="#NAME?"/>
    <e v="#NAME?"/>
    <m/>
    <m/>
    <m/>
    <m/>
    <m/>
    <m/>
    <m/>
    <m/>
    <m/>
  </r>
  <r>
    <s v="C809517"/>
    <s v="VARGAS PEREZ, WENDY MARITZA"/>
    <x v="2"/>
    <x v="8"/>
    <s v="BBVA"/>
    <e v="#NAME?"/>
    <s v="SDATOOL-39272 $ GRM-Col-Cambio servicio APL (Aportes en línea)"/>
    <n v="0.2"/>
    <s v="Desarrollador"/>
    <s v="Distribuido"/>
    <m/>
    <e v="#NAME?"/>
    <e v="#NAME?"/>
    <e v="#NAME?"/>
    <m/>
    <m/>
    <m/>
    <m/>
    <m/>
    <m/>
    <m/>
    <m/>
    <m/>
  </r>
  <r>
    <s v="C811315"/>
    <s v="LOZANO BELTRAN, WILLIAM EDUARDO"/>
    <x v="2"/>
    <x v="8"/>
    <s v="BBVA"/>
    <e v="#NAME?"/>
    <s v="SDATOOL-39272 $ GRM-Col-Cambio servicio APL (Aportes en línea)"/>
    <n v="0.8"/>
    <s v="Desarrollador"/>
    <s v="Distribuido"/>
    <m/>
    <e v="#NAME?"/>
    <e v="#NAME?"/>
    <e v="#NAME?"/>
    <m/>
    <m/>
    <m/>
    <m/>
    <m/>
    <m/>
    <m/>
    <m/>
    <m/>
  </r>
  <r>
    <s v="C811315"/>
    <s v="LOZANO BELTRAN, WILLIAM EDUARDO"/>
    <x v="2"/>
    <x v="8"/>
    <s v="BBVA"/>
    <e v="#NAME?"/>
    <s v="NOSDA $ BAU (Mantenimiento y peq. evolutivos)"/>
    <n v="0.2"/>
    <s v="Desarrollador"/>
    <s v="Distribuido"/>
    <m/>
    <e v="#NAME?"/>
    <e v="#NAME?"/>
    <e v="#NAME?"/>
    <m/>
    <m/>
    <m/>
    <m/>
    <m/>
    <m/>
    <m/>
    <m/>
    <m/>
  </r>
  <r>
    <s v="CE66885"/>
    <s v="ROJAS VILLEGAS, ADRIAN"/>
    <x v="2"/>
    <x v="8"/>
    <s v="Meraki"/>
    <e v="#NAME?"/>
    <s v="SDATOOL-39836 $ Vivienda digital fase III"/>
    <n v="0.5"/>
    <s v="Desarrollador"/>
    <s v="Distribuido"/>
    <m/>
    <e v="#NAME?"/>
    <e v="#NAME?"/>
    <e v="#NAME?"/>
    <m/>
    <m/>
    <m/>
    <m/>
    <m/>
    <m/>
    <m/>
    <m/>
    <m/>
  </r>
  <r>
    <s v="CE57060"/>
    <s v="MORENO HERNANDEZ, KAREN ANDREA"/>
    <x v="2"/>
    <x v="8"/>
    <s v="GGI / CMC"/>
    <e v="#NAME?"/>
    <s v="SDATOOL-40545 $ GRM Col - Mejoras Evolutivas de Aplicativos y Herramientas de Riesgos 2023"/>
    <n v="0.5"/>
    <s v="QA"/>
    <s v="Distribuido"/>
    <m/>
    <e v="#NAME?"/>
    <e v="#NAME?"/>
    <e v="#NAME?"/>
    <m/>
    <m/>
    <m/>
    <m/>
    <m/>
    <m/>
    <m/>
    <m/>
    <m/>
  </r>
  <r>
    <s v="CE57060"/>
    <s v="MORENO HERNANDEZ, KAREN ANDREA"/>
    <x v="2"/>
    <x v="8"/>
    <s v="GGI / CMC"/>
    <e v="#NAME?"/>
    <s v="SDATOOL-39836 $ Vivienda digital fase III"/>
    <n v="0.5"/>
    <s v="QA"/>
    <s v="Distribuido"/>
    <m/>
    <e v="#NAME?"/>
    <e v="#NAME?"/>
    <e v="#NAME?"/>
    <m/>
    <m/>
    <m/>
    <m/>
    <m/>
    <m/>
    <m/>
    <m/>
    <m/>
  </r>
  <r>
    <s v="T006700"/>
    <s v="VEGA ROZO, EMANUEL"/>
    <x v="2"/>
    <x v="8"/>
    <s v="Choucair"/>
    <e v="#NAME?"/>
    <s v="SDATOOL-39272 $ GRM-Col-Cambio servicio APL (Aportes en línea)"/>
    <n v="0.5"/>
    <s v="QA"/>
    <s v="Distribuido"/>
    <m/>
    <e v="#NAME?"/>
    <e v="#NAME?"/>
    <e v="#NAME?"/>
    <m/>
    <m/>
    <m/>
    <m/>
    <m/>
    <m/>
    <m/>
    <m/>
    <m/>
  </r>
  <r>
    <s v="T006700"/>
    <s v="VEGA ROZO, EMANUEL"/>
    <x v="2"/>
    <x v="8"/>
    <s v="Choucair"/>
    <e v="#NAME?"/>
    <s v="SDATOOL-40545 $ GRM Col - Mejoras Evolutivas de Aplicativos y Herramientas de Riesgos 2023"/>
    <n v="0.5"/>
    <s v="QA"/>
    <s v="Distribuido"/>
    <m/>
    <e v="#NAME?"/>
    <e v="#NAME?"/>
    <e v="#NAME?"/>
    <m/>
    <m/>
    <m/>
    <m/>
    <m/>
    <m/>
    <m/>
    <m/>
    <m/>
  </r>
  <r>
    <s v="C811280"/>
    <s v="SUAREZ RESTREPO, DIANA MARCELA"/>
    <x v="2"/>
    <x v="8"/>
    <s v="BBVA"/>
    <e v="#NAME?"/>
    <s v="SDATOOL-39836 $ Vivienda digital fase III"/>
    <n v="0.25"/>
    <s v="Tech Manager/Líder"/>
    <s v="Distribuido"/>
    <m/>
    <e v="#NAME?"/>
    <e v="#NAME?"/>
    <e v="#NAME?"/>
    <m/>
    <m/>
    <m/>
    <m/>
    <m/>
    <m/>
    <m/>
    <m/>
    <m/>
  </r>
  <r>
    <s v="C811280"/>
    <s v="SUAREZ RESTREPO, DIANA MARCELA"/>
    <x v="2"/>
    <x v="8"/>
    <s v="BBVA"/>
    <e v="#NAME?"/>
    <s v="SDATOOL-40545 $ GRM Col - Mejoras Evolutivas de Aplicativos y Herramientas de Riesgos 2023"/>
    <n v="0.4"/>
    <s v="Tech Manager/Líder"/>
    <s v="Distribuido"/>
    <m/>
    <e v="#NAME?"/>
    <e v="#NAME?"/>
    <e v="#NAME?"/>
    <m/>
    <m/>
    <m/>
    <m/>
    <m/>
    <m/>
    <m/>
    <m/>
    <m/>
  </r>
  <r>
    <s v="C811280"/>
    <s v="SUAREZ RESTREPO, DIANA MARCELA"/>
    <x v="2"/>
    <x v="8"/>
    <s v="BBVA"/>
    <e v="#NAME?"/>
    <s v="SDATOOL-39272 $ GRM-Col-Cambio servicio APL (Aportes en línea)"/>
    <n v="0.25"/>
    <s v="Tech Manager/Líder"/>
    <s v="Distribuido"/>
    <m/>
    <e v="#NAME?"/>
    <e v="#NAME?"/>
    <e v="#NAME?"/>
    <m/>
    <m/>
    <m/>
    <m/>
    <m/>
    <m/>
    <m/>
    <m/>
    <m/>
  </r>
  <r>
    <s v="C811280"/>
    <s v="SUAREZ RESTREPO, DIANA MARCELA"/>
    <x v="2"/>
    <x v="8"/>
    <s v="BBVA"/>
    <e v="#NAME?"/>
    <s v="SDATOOL-41457 $ NGA - Colombia. EWS (ARCE)"/>
    <n v="0.1"/>
    <s v="Tech Manager/Líder"/>
    <s v="Distribuido"/>
    <m/>
    <e v="#NAME?"/>
    <e v="#NAME?"/>
    <e v="#NAME?"/>
    <m/>
    <m/>
    <m/>
    <m/>
    <m/>
    <m/>
    <m/>
    <m/>
    <m/>
  </r>
  <r>
    <s v="O001828"/>
    <s v="GILDARDO AGUIRRE RIOS"/>
    <x v="2"/>
    <x v="8"/>
    <s v="BBVA"/>
    <e v="#NAME?"/>
    <s v="NOSDA $ BAU (Mantenimiento y peq. evolutivos)"/>
    <n v="1"/>
    <s v="Desarrollador"/>
    <s v="Mainframe"/>
    <m/>
    <e v="#NAME?"/>
    <e v="#NAME?"/>
    <e v="#NAME?"/>
    <m/>
    <m/>
    <m/>
    <m/>
    <m/>
    <m/>
    <m/>
    <m/>
    <m/>
  </r>
  <r>
    <s v="C811394"/>
    <s v="ANDRES FELIPE PADILLA ROJAS"/>
    <x v="2"/>
    <x v="8"/>
    <s v="BBVA"/>
    <e v="#NAME?"/>
    <s v="NOSDA $ BAU (Mantenimiento y peq. evolutivos)"/>
    <n v="0.75"/>
    <s v="Desarrollador"/>
    <s v="Mainframe"/>
    <m/>
    <e v="#NAME?"/>
    <e v="#NAME?"/>
    <e v="#NAME?"/>
    <m/>
    <m/>
    <m/>
    <m/>
    <m/>
    <m/>
    <m/>
    <m/>
    <m/>
  </r>
  <r>
    <s v="C811394"/>
    <s v="ANDRES FELIPE PADILLA ROJAS"/>
    <x v="2"/>
    <x v="8"/>
    <s v="BBVA"/>
    <e v="#NAME?"/>
    <s v="SDATOOL-40545 $ GRM Col - Mejoras Evolutivas de Aplicativos y Herramientas de Riesgos 2023"/>
    <n v="0.25"/>
    <s v="Desarrollador"/>
    <s v="Mainframe"/>
    <m/>
    <e v="#NAME?"/>
    <e v="#NAME?"/>
    <e v="#NAME?"/>
    <m/>
    <m/>
    <m/>
    <m/>
    <m/>
    <m/>
    <m/>
    <m/>
    <m/>
  </r>
  <r>
    <s v="O002998"/>
    <s v="MARCO FABIAN ZABALA VILLANUEVA"/>
    <x v="2"/>
    <x v="8"/>
    <s v="BBVA"/>
    <e v="#NAME?"/>
    <s v="NOSDA $ BAU (Mantenimiento y peq. evolutivos)"/>
    <n v="1"/>
    <s v="Desarrollador"/>
    <s v="Distribuido"/>
    <m/>
    <e v="#NAME?"/>
    <e v="#NAME?"/>
    <e v="#NAME?"/>
    <m/>
    <m/>
    <m/>
    <m/>
    <m/>
    <m/>
    <m/>
    <m/>
    <m/>
  </r>
  <r>
    <s v="CE66758"/>
    <s v="JAIRO LEON ESPITIA BOTIA"/>
    <x v="2"/>
    <x v="8"/>
    <s v="Inetum"/>
    <e v="#NAME?"/>
    <s v="NOSDA $ BAU (Mantenimiento y peq. evolutivos)"/>
    <n v="1"/>
    <s v="Desarrollador"/>
    <s v="Mainframe"/>
    <m/>
    <e v="#NAME?"/>
    <e v="#NAME?"/>
    <e v="#NAME?"/>
    <m/>
    <m/>
    <m/>
    <m/>
    <m/>
    <m/>
    <m/>
    <m/>
    <m/>
  </r>
  <r>
    <s v="T004057"/>
    <s v="NANCY YASMIDA REATIGA CARVAJAL"/>
    <x v="2"/>
    <x v="8"/>
    <s v="Inetum"/>
    <e v="#NAME?"/>
    <s v="NOSDA $ BAU (Mantenimiento y peq. evolutivos)"/>
    <n v="1"/>
    <s v="Desarrollador"/>
    <s v="Distribuido"/>
    <m/>
    <e v="#NAME?"/>
    <e v="#NAME?"/>
    <e v="#NAME?"/>
    <m/>
    <m/>
    <m/>
    <m/>
    <m/>
    <m/>
    <m/>
    <m/>
    <m/>
  </r>
  <r>
    <s v="C811251"/>
    <s v="ANGELA LILIANA SAENZ FAJARDO"/>
    <x v="2"/>
    <x v="8"/>
    <s v="BBVA"/>
    <e v="#NAME?"/>
    <s v="NOSDA $ BAU (Mantenimiento y peq. evolutivos)"/>
    <n v="1"/>
    <s v="Tech Manager/Líder"/>
    <s v="Otras Tec."/>
    <m/>
    <e v="#NAME?"/>
    <e v="#NAME?"/>
    <e v="#NAME?"/>
    <m/>
    <m/>
    <m/>
    <m/>
    <m/>
    <m/>
    <m/>
    <m/>
    <m/>
  </r>
  <r>
    <s v="T007576"/>
    <s v="Juan camilo velasquez mantilla"/>
    <x v="2"/>
    <x v="8"/>
    <s v="Inetum"/>
    <e v="#NAME?"/>
    <s v="NOSDA $ BAU (Mantenimiento y peq. evolutivos)"/>
    <n v="0.5"/>
    <s v="Desarrollador"/>
    <s v="Distribuido"/>
    <m/>
    <e v="#NAME?"/>
    <e v="#NAME?"/>
    <e v="#NAME?"/>
    <m/>
    <m/>
    <m/>
    <m/>
    <m/>
    <m/>
    <m/>
    <m/>
    <m/>
  </r>
  <r>
    <s v="O001037"/>
    <s v="ANDRES CAMILO PARRA SUAREZ"/>
    <x v="2"/>
    <x v="8"/>
    <s v="BBVA"/>
    <e v="#NAME?"/>
    <s v="SDATOOL-41203 $ Obsolescencia Aplicativa 2023"/>
    <n v="0.5"/>
    <s v="Desarrollador"/>
    <s v="Distribuido"/>
    <m/>
    <e v="#NAME?"/>
    <e v="#NAME?"/>
    <e v="#NAME?"/>
    <m/>
    <m/>
    <m/>
    <m/>
    <m/>
    <m/>
    <m/>
    <m/>
    <m/>
  </r>
  <r>
    <s v="O001037"/>
    <s v="ANDRES CAMILO PARRA SUAREZ"/>
    <x v="2"/>
    <x v="8"/>
    <s v="BBVA"/>
    <e v="#NAME?"/>
    <s v="SDATOOL-42098 $ GRM Col CRONOS Batch - Campañas SMeS"/>
    <n v="0.5"/>
    <s v="Desarrollador"/>
    <s v="Distribuido"/>
    <m/>
    <e v="#NAME?"/>
    <e v="#NAME?"/>
    <e v="#NAME?"/>
    <m/>
    <m/>
    <m/>
    <m/>
    <m/>
    <m/>
    <m/>
    <m/>
    <m/>
  </r>
  <r>
    <s v="C805314"/>
    <s v="NELSON LEONEL FONSECA OCHOA"/>
    <x v="2"/>
    <x v="8"/>
    <s v="BBVA"/>
    <e v="#NAME?"/>
    <s v="SDATOOL-29029 $ EBA Guidelines (NDoD/PD/LGD) - Colombia"/>
    <n v="0.9"/>
    <s v="Desarrollador"/>
    <s v="Distribuido"/>
    <m/>
    <e v="#NAME?"/>
    <e v="#NAME?"/>
    <e v="#NAME?"/>
    <m/>
    <m/>
    <m/>
    <m/>
    <m/>
    <m/>
    <m/>
    <m/>
    <m/>
  </r>
  <r>
    <s v="C805314"/>
    <s v="NELSON LEONEL FONSECA OCHOA"/>
    <x v="2"/>
    <x v="8"/>
    <s v="BBVA"/>
    <e v="#NAME?"/>
    <s v="SDATOOL-29029 $ EBA Guidelines (NDoD/PD/LGD) - Colombia"/>
    <n v="0.1"/>
    <s v="Desarrollador"/>
    <s v="Distribuido"/>
    <m/>
    <e v="#NAME?"/>
    <e v="#NAME?"/>
    <e v="#NAME?"/>
    <m/>
    <m/>
    <m/>
    <m/>
    <m/>
    <m/>
    <m/>
    <m/>
    <m/>
  </r>
  <r>
    <s v="CE68712"/>
    <s v="EDWARD STIVEN RODRIGUEZ MORENO"/>
    <x v="2"/>
    <x v="8"/>
    <s v="BLUETAB"/>
    <e v="#NAME?"/>
    <s v="SDATOOL-29029 $ EBA Guidelines (NDoD/PD/LGD) - Colombia"/>
    <n v="0.3"/>
    <s v="Desarrollador"/>
    <s v="Otras Tec."/>
    <m/>
    <e v="#NAME?"/>
    <e v="#NAME?"/>
    <e v="#NAME?"/>
    <m/>
    <m/>
    <m/>
    <m/>
    <m/>
    <m/>
    <m/>
    <m/>
    <m/>
  </r>
  <r>
    <s v="CE57396"/>
    <s v="JUAN PABLO AREVALO MERCHAN"/>
    <x v="2"/>
    <x v="8"/>
    <s v="BLUETAB"/>
    <e v="#NAME?"/>
    <s v="SDATOOL-29029 $ EBA Guidelines (NDoD/PD/LGD) - Colombia"/>
    <n v="0.3"/>
    <s v="Desarrollador"/>
    <s v="Otras Tec."/>
    <m/>
    <e v="#NAME?"/>
    <e v="#NAME?"/>
    <e v="#NAME?"/>
    <m/>
    <m/>
    <m/>
    <m/>
    <m/>
    <m/>
    <m/>
    <m/>
    <m/>
  </r>
  <r>
    <s v="O002482"/>
    <s v="SERGIO ANDRES SEPULVEDA CRUZ"/>
    <x v="2"/>
    <x v="8"/>
    <s v="BBVA"/>
    <e v="#NAME?"/>
    <s v="SDATOOL-39272 $ GRM-Col-Cambio servicio APL (Aportes en línea)"/>
    <n v="0.5"/>
    <s v="Desarrollador"/>
    <s v="Distribuido"/>
    <m/>
    <e v="#NAME?"/>
    <e v="#NAME?"/>
    <e v="#NAME?"/>
    <m/>
    <m/>
    <m/>
    <m/>
    <m/>
    <m/>
    <m/>
    <m/>
    <m/>
  </r>
  <r>
    <s v="O002482"/>
    <s v="SERGIO ANDRES SEPULVEDA CRUZ"/>
    <x v="2"/>
    <x v="8"/>
    <s v="BBVA"/>
    <e v="#NAME?"/>
    <s v="SDATOOL-39463 $ GRM Col - Actualización Versión Power Curve."/>
    <n v="0.5"/>
    <s v="Desarrollador"/>
    <s v="Distribuido"/>
    <m/>
    <e v="#NAME?"/>
    <e v="#NAME?"/>
    <e v="#NAME?"/>
    <m/>
    <m/>
    <m/>
    <m/>
    <m/>
    <m/>
    <m/>
    <m/>
    <m/>
  </r>
  <r>
    <s v="C811279"/>
    <s v="FREDY MAURICIO CELY HERNÁNDEZ"/>
    <x v="2"/>
    <x v="8"/>
    <s v="BBVA"/>
    <e v="#NAME?"/>
    <s v="SDATOOL-41203 $ Obsolescencia Aplicativa 2023"/>
    <n v="0.3"/>
    <s v="Tech Manager/Líder"/>
    <s v="Distribuido"/>
    <m/>
    <e v="#NAME?"/>
    <e v="#NAME?"/>
    <e v="#NAME?"/>
    <m/>
    <m/>
    <m/>
    <m/>
    <m/>
    <m/>
    <m/>
    <m/>
    <m/>
  </r>
  <r>
    <s v="C811279"/>
    <s v="FREDY MAURICIO CELY HERNÁNDEZ"/>
    <x v="2"/>
    <x v="8"/>
    <s v="BBVA"/>
    <e v="#NAME?"/>
    <s v="SDATOOL-29029 $ EBA Guidelines (NDoD/PD/LGD) - Colombia"/>
    <n v="0.3"/>
    <s v="Tech Manager/Líder"/>
    <s v="Distribuido"/>
    <m/>
    <e v="#NAME?"/>
    <e v="#NAME?"/>
    <e v="#NAME?"/>
    <m/>
    <m/>
    <m/>
    <m/>
    <m/>
    <m/>
    <m/>
    <m/>
    <m/>
  </r>
  <r>
    <s v="C811279"/>
    <s v="FREDY MAURICIO CELY HERNÁNDEZ"/>
    <x v="2"/>
    <x v="8"/>
    <s v="BBVA"/>
    <e v="#NAME?"/>
    <s v="SDATOOL-39272 $ GRM-Col-Cambio servicio APL (Aportes en línea)"/>
    <n v="0.3"/>
    <s v="Tech Manager/Líder"/>
    <s v="Distribuido"/>
    <m/>
    <e v="#NAME?"/>
    <e v="#NAME?"/>
    <e v="#NAME?"/>
    <m/>
    <m/>
    <m/>
    <m/>
    <m/>
    <m/>
    <m/>
    <m/>
    <m/>
  </r>
  <r>
    <s v="C811279"/>
    <s v="FREDY MAURICIO CELY HERNÁNDEZ"/>
    <x v="2"/>
    <x v="8"/>
    <s v="BBVA"/>
    <e v="#NAME?"/>
    <s v="NOSDA $ BAU (Mantenimiento y peq. evolutivos)"/>
    <n v="0.1"/>
    <s v="Tech Manager/Líder"/>
    <s v="Distribuido"/>
    <m/>
    <e v="#NAME?"/>
    <e v="#NAME?"/>
    <e v="#NAME?"/>
    <m/>
    <m/>
    <m/>
    <m/>
    <m/>
    <m/>
    <m/>
    <m/>
    <m/>
  </r>
  <r>
    <s v="C805717"/>
    <s v="ANDRES CAMILO BOHORQUEZ CASTILLO"/>
    <x v="0"/>
    <x v="10"/>
    <s v="BBVA"/>
    <e v="#NAME?"/>
    <s v="SDATOOL-39354 $ My business Open Pay - Plan Ascenso Mercurio"/>
    <n v="1"/>
    <s v="Desarrollador"/>
    <s v="ASO"/>
    <s v="Interno"/>
    <e v="#NAME?"/>
    <e v="#NAME?"/>
    <e v="#NAME?"/>
    <m/>
    <m/>
    <m/>
    <m/>
    <m/>
    <m/>
    <m/>
    <m/>
    <m/>
  </r>
  <r>
    <s v="C810865"/>
    <s v="AUGUSTO CARDONA GIRALDO"/>
    <x v="0"/>
    <x v="10"/>
    <s v="BBVA"/>
    <e v="#NAME?"/>
    <s v="SDATOOL-41930 $ FX en GEMA"/>
    <n v="1"/>
    <s v="Desarrollador"/>
    <s v="Cells"/>
    <s v="Interno"/>
    <e v="#NAME?"/>
    <e v="#NAME?"/>
    <e v="#NAME?"/>
    <m/>
    <m/>
    <m/>
    <m/>
    <m/>
    <m/>
    <m/>
    <m/>
    <m/>
  </r>
  <r>
    <s v="CE68863"/>
    <s v="JUAN CAMILO CASTANO RAMIREZ"/>
    <x v="0"/>
    <x v="10"/>
    <s v="GGI / CMC"/>
    <e v="#NAME?"/>
    <s v="SDATOOL-40676 $ Contratación y uso de mPOS desde APPs BBVA"/>
    <n v="1"/>
    <s v="QA"/>
    <s v="Distribuido"/>
    <s v="Externo"/>
    <e v="#NAME?"/>
    <e v="#NAME?"/>
    <e v="#NAME?"/>
    <m/>
    <m/>
    <m/>
    <m/>
    <m/>
    <m/>
    <m/>
    <m/>
    <m/>
  </r>
  <r>
    <s v="CE68333"/>
    <s v="DANIEL FERNANDO DIAZ CACERES"/>
    <x v="0"/>
    <x v="10"/>
    <s v="GGI / CMC"/>
    <e v="#NAME?"/>
    <s v="SDATOOL-32905 $ Global Enterprises Mobile App (GEMA)"/>
    <n v="1"/>
    <s v="QA"/>
    <s v="Distribuido"/>
    <s v="Externo"/>
    <e v="#NAME?"/>
    <e v="#NAME?"/>
    <e v="#NAME?"/>
    <m/>
    <m/>
    <m/>
    <m/>
    <m/>
    <m/>
    <m/>
    <m/>
    <m/>
  </r>
  <r>
    <s v="C811398"/>
    <s v="EDISSON ARMANDO BLANCO SALAMANCA"/>
    <x v="0"/>
    <x v="10"/>
    <s v="BBVA"/>
    <e v="#NAME?"/>
    <s v="SDATOOL-39354 $ My business Open Pay - Plan Ascenso Mercurio"/>
    <n v="1"/>
    <s v="Desarrollador"/>
    <s v="Cells"/>
    <s v="Interno"/>
    <e v="#NAME?"/>
    <e v="#NAME?"/>
    <e v="#NAME?"/>
    <m/>
    <m/>
    <m/>
    <m/>
    <m/>
    <m/>
    <m/>
    <m/>
    <m/>
  </r>
  <r>
    <s v="CE48026"/>
    <s v="GIOVANNY ALEXANDER PEÑA GUTIÉRREZ"/>
    <x v="0"/>
    <x v="10"/>
    <s v="Novatec"/>
    <e v="#NAME?"/>
    <s v="SDATOOL-39354 $ My business Open Pay - Plan Ascenso Mercurio"/>
    <n v="1"/>
    <s v="Desarrollador"/>
    <s v="ASO"/>
    <s v="Externo"/>
    <e v="#NAME?"/>
    <e v="#NAME?"/>
    <e v="#NAME?"/>
    <m/>
    <m/>
    <m/>
    <m/>
    <m/>
    <m/>
    <m/>
    <m/>
    <m/>
  </r>
  <r>
    <s v="CE62622"/>
    <s v="HERNAN DARIO RAMOS ORTIZ"/>
    <x v="0"/>
    <x v="10"/>
    <s v="Novatec"/>
    <e v="#NAME?"/>
    <s v="SDATOOL-41930 $ FX en GEMA"/>
    <n v="1"/>
    <s v="Desarrollador"/>
    <s v="ASO"/>
    <s v="Externo"/>
    <e v="#NAME?"/>
    <e v="#NAME?"/>
    <e v="#NAME?"/>
    <m/>
    <m/>
    <m/>
    <m/>
    <m/>
    <m/>
    <m/>
    <m/>
    <m/>
  </r>
  <r>
    <s v="CE68193"/>
    <s v="JOAN FEDERICO MARIN RUIZ"/>
    <x v="0"/>
    <x v="10"/>
    <s v="Choucair"/>
    <e v="#NAME?"/>
    <s v="SDATOOL-41930 $ FX en GEMA"/>
    <n v="1"/>
    <s v="QA"/>
    <s v="ASO"/>
    <s v="Externo"/>
    <e v="#NAME?"/>
    <e v="#NAME?"/>
    <e v="#NAME?"/>
    <m/>
    <m/>
    <m/>
    <m/>
    <m/>
    <m/>
    <m/>
    <m/>
    <m/>
  </r>
  <r>
    <s v="CE65559"/>
    <s v="JOHN MARLON NUÑEZ NIÑO"/>
    <x v="0"/>
    <x v="10"/>
    <s v="Neoris"/>
    <e v="#NAME?"/>
    <s v="SDATOOL-32905 $ Global Enterprises Mobile App (GEMA)"/>
    <n v="1"/>
    <s v="Desarrollador"/>
    <s v="ASO"/>
    <s v="Externo"/>
    <e v="#NAME?"/>
    <e v="#NAME?"/>
    <e v="#NAME?"/>
    <m/>
    <m/>
    <m/>
    <m/>
    <m/>
    <m/>
    <m/>
    <m/>
    <m/>
  </r>
  <r>
    <s v="C811355"/>
    <s v="JORGE ANDRES REINA ANGULO"/>
    <x v="0"/>
    <x v="10"/>
    <s v="BBVA"/>
    <e v="#NAME?"/>
    <s v="SDATOOL-39354 $ My business Open Pay - Plan Ascenso Mercurio"/>
    <n v="1"/>
    <s v="Desarrollador"/>
    <s v="APX"/>
    <s v="Interno"/>
    <e v="#NAME?"/>
    <e v="#NAME?"/>
    <e v="#NAME?"/>
    <m/>
    <m/>
    <m/>
    <m/>
    <m/>
    <m/>
    <m/>
    <m/>
    <m/>
  </r>
  <r>
    <s v="T007488"/>
    <s v="JUAN ESTEBAN ALARCON MIRANDA"/>
    <x v="0"/>
    <x v="10"/>
    <s v="Indra"/>
    <e v="#NAME?"/>
    <s v="SDATOOL-41930 $ FX en GEMA"/>
    <n v="1"/>
    <s v="Desarrollador"/>
    <s v="APX"/>
    <s v="Externo"/>
    <e v="#NAME?"/>
    <e v="#NAME?"/>
    <e v="#NAME?"/>
    <m/>
    <m/>
    <m/>
    <m/>
    <m/>
    <m/>
    <m/>
    <m/>
    <m/>
  </r>
  <r>
    <s v="CE57488"/>
    <s v="JULIAN FERNANDO MARTINEZ RODRIGUEZ"/>
    <x v="0"/>
    <x v="10"/>
    <s v="Indra"/>
    <e v="#NAME?"/>
    <s v="SDATOOL-41930 $ FX en GEMA"/>
    <n v="1"/>
    <s v="Desarrollador"/>
    <s v="ASO"/>
    <s v="Externo"/>
    <e v="#NAME?"/>
    <e v="#NAME?"/>
    <e v="#NAME?"/>
    <m/>
    <m/>
    <m/>
    <m/>
    <m/>
    <m/>
    <m/>
    <m/>
    <m/>
  </r>
  <r>
    <s v="T011800"/>
    <s v="LEIDY CATERINE ARIZA BALLESTEROS"/>
    <x v="0"/>
    <x v="10"/>
    <s v="Novatec"/>
    <e v="#NAME?"/>
    <s v="SDATOOL-42211 $ Onboarding cash management Netcash/Gema"/>
    <n v="1"/>
    <s v="Desarrollador"/>
    <s v="Mainframe"/>
    <s v="Externo"/>
    <e v="#NAME?"/>
    <e v="#NAME?"/>
    <e v="#NAME?"/>
    <m/>
    <m/>
    <m/>
    <m/>
    <m/>
    <m/>
    <m/>
    <m/>
    <m/>
  </r>
  <r>
    <s v="T011110"/>
    <s v="LUIS ALEJANDRO BURGOS"/>
    <x v="0"/>
    <x v="10"/>
    <s v="Indra"/>
    <e v="#NAME?"/>
    <s v="SDATOOL-41930 $ FX en GEMA"/>
    <n v="1"/>
    <s v="Desarrollador"/>
    <s v="Cells"/>
    <s v="Externo"/>
    <e v="#NAME?"/>
    <e v="#NAME?"/>
    <e v="#NAME?"/>
    <m/>
    <m/>
    <m/>
    <m/>
    <m/>
    <m/>
    <m/>
    <m/>
    <m/>
  </r>
  <r>
    <s v="CE29535"/>
    <s v="LUIS FERNANDO PEÑA CAICEDO"/>
    <x v="0"/>
    <x v="10"/>
    <s v="Inetum"/>
    <e v="#NAME?"/>
    <s v="SDATOOL-39354 $ My business Open Pay - Plan Ascenso Mercurio"/>
    <n v="1"/>
    <s v="Desarrollador"/>
    <s v="Distribuido"/>
    <s v="Externo"/>
    <e v="#NAME?"/>
    <e v="#NAME?"/>
    <e v="#NAME?"/>
    <m/>
    <m/>
    <m/>
    <m/>
    <m/>
    <m/>
    <m/>
    <m/>
    <m/>
  </r>
  <r>
    <s v="C783731"/>
    <s v="MARCO JULIO GOMEZ AMADO"/>
    <x v="0"/>
    <x v="10"/>
    <s v="BBVA"/>
    <e v="#NAME?"/>
    <s v="SDATOOL-39354 $ My business Open Pay - Plan Ascenso Mercurio"/>
    <n v="0.5"/>
    <s v="Tech Manager/Líder"/>
    <s v="Mainframe"/>
    <s v="Interno"/>
    <e v="#NAME?"/>
    <e v="#NAME?"/>
    <e v="#NAME?"/>
    <m/>
    <m/>
    <m/>
    <m/>
    <m/>
    <m/>
    <m/>
    <m/>
    <m/>
  </r>
  <r>
    <s v="C783731"/>
    <s v="MARCO JULIO GOMEZ AMADO"/>
    <x v="0"/>
    <x v="10"/>
    <s v="BBVA"/>
    <e v="#NAME?"/>
    <s v="SDATOOL-40676 $ Contratación y uso de mPOS desde APPs BBVA"/>
    <n v="0.5"/>
    <s v="Tech Manager/Líder"/>
    <s v="Mainframe"/>
    <s v="Interno"/>
    <e v="#NAME?"/>
    <e v="#NAME?"/>
    <e v="#NAME?"/>
    <m/>
    <m/>
    <m/>
    <m/>
    <m/>
    <m/>
    <m/>
    <m/>
    <m/>
  </r>
  <r>
    <s v="CE30639"/>
    <s v="MARIO FERNANDO RAMIREZ LEGUIZAMON"/>
    <x v="0"/>
    <x v="10"/>
    <s v="GGI / CMC"/>
    <e v="#NAME?"/>
    <s v="SDATOOL-42211 $ Onboarding cash management Netcash/Gema"/>
    <n v="0.5"/>
    <s v="QA"/>
    <s v="Distribuido"/>
    <s v="Externo"/>
    <e v="#NAME?"/>
    <e v="#NAME?"/>
    <e v="#NAME?"/>
    <m/>
    <m/>
    <m/>
    <m/>
    <m/>
    <m/>
    <m/>
    <m/>
    <m/>
  </r>
  <r>
    <s v="CE30639"/>
    <s v="MARIO FERNANDO RAMIREZ LEGUIZAMON"/>
    <x v="0"/>
    <x v="10"/>
    <s v="GGI / CMC"/>
    <e v="#NAME?"/>
    <s v="SDATOOL-32905 $ Global Enterprises Mobile App (GEMA)"/>
    <n v="0.5"/>
    <s v="QA"/>
    <s v="Distribuido"/>
    <s v="Externo"/>
    <e v="#NAME?"/>
    <e v="#NAME?"/>
    <e v="#NAME?"/>
    <m/>
    <m/>
    <m/>
    <m/>
    <m/>
    <m/>
    <m/>
    <m/>
    <m/>
  </r>
  <r>
    <s v="XP60574"/>
    <s v="PEDRO MOLLEHUANCA TORRES"/>
    <x v="0"/>
    <x v="10"/>
    <s v="Indra"/>
    <e v="#NAME?"/>
    <s v="SDATOOL-41930 $ FX en GEMA"/>
    <n v="1"/>
    <s v="Desarrollador"/>
    <s v="Cells"/>
    <s v="Externo"/>
    <e v="#NAME?"/>
    <e v="#NAME?"/>
    <e v="#NAME?"/>
    <m/>
    <m/>
    <m/>
    <m/>
    <m/>
    <m/>
    <m/>
    <m/>
    <m/>
  </r>
  <r>
    <s v="CE70178 "/>
    <s v="SERGIO ANDRES BRAVO ROMERO"/>
    <x v="0"/>
    <x v="10"/>
    <s v="Neoris"/>
    <e v="#NAME?"/>
    <s v="SDATOOL-39354 $ My business Open Pay - Plan Ascenso Mercurio"/>
    <n v="1"/>
    <s v="Desarrollador"/>
    <s v="APX"/>
    <s v="Externo"/>
    <e v="#NAME?"/>
    <e v="#NAME?"/>
    <e v="#NAME?"/>
    <m/>
    <m/>
    <m/>
    <m/>
    <m/>
    <m/>
    <m/>
    <m/>
    <m/>
  </r>
  <r>
    <s v="T007666"/>
    <s v="TEDDY JEFERSON POVEDA SARAY"/>
    <x v="0"/>
    <x v="10"/>
    <s v="GGI / CMC"/>
    <e v="#NAME?"/>
    <s v="SDATOOL-41930 $ FX en GEMA"/>
    <n v="1"/>
    <s v="Desarrollador"/>
    <s v="Distribuido"/>
    <s v="Externo"/>
    <e v="#NAME?"/>
    <e v="#NAME?"/>
    <e v="#NAME?"/>
    <m/>
    <m/>
    <m/>
    <m/>
    <m/>
    <m/>
    <m/>
    <m/>
    <m/>
  </r>
  <r>
    <s v="C811395"/>
    <s v="VICTOR MANUEL PEREZ CONTRERAS"/>
    <x v="0"/>
    <x v="10"/>
    <s v="BBVA"/>
    <e v="#NAME?"/>
    <s v="SDATOOL-41930 $ FX en GEMA"/>
    <n v="1"/>
    <s v="Desarrollador"/>
    <s v="APX"/>
    <s v="Interno"/>
    <e v="#NAME?"/>
    <e v="#NAME?"/>
    <e v="#NAME?"/>
    <m/>
    <m/>
    <m/>
    <m/>
    <m/>
    <m/>
    <m/>
    <m/>
    <m/>
  </r>
  <r>
    <s v="C810827"/>
    <s v="WILLIAM CAMILO RUBIO QUINTERO"/>
    <x v="0"/>
    <x v="10"/>
    <s v="BBVA"/>
    <e v="#NAME?"/>
    <s v="SDATOOL-41930 $ FX en GEMA"/>
    <n v="1"/>
    <s v="Tech Manager/Líder"/>
    <s v="ASO"/>
    <s v="Interno"/>
    <e v="#NAME?"/>
    <e v="#NAME?"/>
    <e v="#NAME?"/>
    <m/>
    <m/>
    <m/>
    <m/>
    <m/>
    <m/>
    <m/>
    <m/>
    <m/>
  </r>
  <r>
    <s v="C805746"/>
    <s v="LAURA NATHALY NIETO AMAYA"/>
    <x v="0"/>
    <x v="10"/>
    <s v="BBVA"/>
    <e v="#NAME?"/>
    <s v="SDATOOL-42211 $ Onboarding cash management Netcash/Gema"/>
    <n v="1"/>
    <s v="Tech Manager/Líder"/>
    <s v="Mainframe"/>
    <s v="Interno"/>
    <e v="#NAME?"/>
    <e v="#NAME?"/>
    <e v="#NAME?"/>
    <m/>
    <m/>
    <m/>
    <m/>
    <m/>
    <m/>
    <m/>
    <m/>
    <m/>
  </r>
  <r>
    <s v="C804121"/>
    <s v="HECTOR JESUS SISO JIMENEZ"/>
    <x v="0"/>
    <x v="10"/>
    <s v="BBVA"/>
    <e v="#NAME?"/>
    <s v="SDATOOL-42211 $ Onboarding cash management Netcash/Gema"/>
    <n v="0.5"/>
    <s v="Tech Manager/Líder"/>
    <s v="APX"/>
    <s v="Interno"/>
    <e v="#NAME?"/>
    <e v="#NAME?"/>
    <e v="#NAME?"/>
    <m/>
    <m/>
    <m/>
    <m/>
    <m/>
    <m/>
    <m/>
    <m/>
    <m/>
  </r>
  <r>
    <s v="C804121"/>
    <s v="HECTOR JESUS SISO JIMENEZ"/>
    <x v="0"/>
    <x v="10"/>
    <s v="BBVA"/>
    <e v="#NAME?"/>
    <s v="NOSDA $ BAU (Mantenimiento y peq. evolutivos)"/>
    <n v="0.5"/>
    <s v="Otros"/>
    <s v="APX"/>
    <m/>
    <e v="#NAME?"/>
    <e v="#NAME?"/>
    <e v="#NAME?"/>
    <m/>
    <m/>
    <m/>
    <m/>
    <m/>
    <m/>
    <m/>
    <m/>
    <m/>
  </r>
  <r>
    <s v="C811232"/>
    <s v="CARLOS ANDRES SUAREZ"/>
    <x v="0"/>
    <x v="10"/>
    <s v="BBVA"/>
    <e v="#NAME?"/>
    <s v="SDATOOL-40676 $ Contratación y uso de mPOS desde APPs BBVA"/>
    <n v="1"/>
    <s v="Desarrollador"/>
    <s v="Cells"/>
    <m/>
    <e v="#NAME?"/>
    <e v="#NAME?"/>
    <e v="#NAME?"/>
    <m/>
    <m/>
    <m/>
    <m/>
    <m/>
    <m/>
    <m/>
    <m/>
    <m/>
  </r>
  <r>
    <s v="C811390"/>
    <s v="WILMAR CRUZ MORA"/>
    <x v="0"/>
    <x v="10"/>
    <s v="BBVA"/>
    <e v="#NAME?"/>
    <s v="NOSDA $ BAU (Mantenimiento y peq. evolutivos)"/>
    <n v="1"/>
    <s v="Desarrollador"/>
    <s v="Mainframe"/>
    <m/>
    <e v="#NAME?"/>
    <e v="#NAME?"/>
    <e v="#NAME?"/>
    <m/>
    <m/>
    <m/>
    <m/>
    <m/>
    <m/>
    <m/>
    <m/>
    <m/>
  </r>
  <r>
    <s v="O002008"/>
    <s v="ANDRES ALBERTO ARIZA "/>
    <x v="0"/>
    <x v="10"/>
    <s v="BBVA"/>
    <e v="#NAME?"/>
    <s v="SDATOOL-40676 $ Contratación y uso de mPOS desde APPs BBVA"/>
    <n v="1"/>
    <s v="Tech Manager/Líder"/>
    <s v="ASO"/>
    <m/>
    <e v="#NAME?"/>
    <e v="#NAME?"/>
    <e v="#NAME?"/>
    <m/>
    <m/>
    <m/>
    <m/>
    <m/>
    <m/>
    <m/>
    <m/>
    <m/>
  </r>
  <r>
    <s v="O001644"/>
    <s v="JOSE LUIS SARTA ALVAREZ"/>
    <x v="0"/>
    <x v="10"/>
    <s v="BBVA"/>
    <e v="#NAME?"/>
    <s v="NOSDA $ BAU (Mantenimiento y peq. evolutivos)"/>
    <n v="1"/>
    <s v="Desarrollador"/>
    <s v="Cells"/>
    <m/>
    <e v="#NAME?"/>
    <e v="#NAME?"/>
    <e v="#NAME?"/>
    <m/>
    <m/>
    <m/>
    <m/>
    <m/>
    <m/>
    <m/>
    <m/>
    <m/>
  </r>
  <r>
    <s v="O004968"/>
    <s v="DANIEL FERNANDO USECHE"/>
    <x v="0"/>
    <x v="10"/>
    <s v="BBVA"/>
    <e v="#NAME?"/>
    <s v="NOSDA $ BAU (Mantenimiento y peq. evolutivos)"/>
    <n v="1"/>
    <s v="Desarrollador"/>
    <s v="ASO"/>
    <m/>
    <e v="#NAME?"/>
    <e v="#NAME?"/>
    <e v="#NAME?"/>
    <m/>
    <m/>
    <m/>
    <m/>
    <m/>
    <m/>
    <m/>
    <m/>
    <m/>
  </r>
  <r>
    <s v="T011807"/>
    <s v="DARLY FERNANDA SANDOVAL PLAZAS"/>
    <x v="0"/>
    <x v="10"/>
    <s v="Novatec"/>
    <e v="#NAME?"/>
    <s v="SDATOOL-42211 $ Onboarding cash management Netcash/Gema"/>
    <n v="0.1"/>
    <s v="Otros"/>
    <s v="Otras Tec."/>
    <m/>
    <e v="#NAME?"/>
    <e v="#NAME?"/>
    <e v="#NAME?"/>
    <m/>
    <m/>
    <m/>
    <m/>
    <m/>
    <m/>
    <m/>
    <m/>
    <m/>
  </r>
  <r>
    <s v="T011807"/>
    <s v="DARLY FERNANDA SANDOVAL PLAZAS"/>
    <x v="0"/>
    <x v="10"/>
    <s v="Novatec"/>
    <e v="#NAME?"/>
    <s v="SDATOOL-41930 $ FX en GEMA"/>
    <n v="0.15"/>
    <s v="Otros"/>
    <s v="Otras Tec."/>
    <m/>
    <e v="#NAME?"/>
    <e v="#NAME?"/>
    <e v="#NAME?"/>
    <m/>
    <m/>
    <m/>
    <m/>
    <m/>
    <m/>
    <m/>
    <m/>
    <m/>
  </r>
  <r>
    <s v="T011807"/>
    <s v="DARLY FERNANDA SANDOVAL PLAZAS"/>
    <x v="0"/>
    <x v="10"/>
    <s v="Novatec"/>
    <e v="#NAME?"/>
    <s v="SDATOOL-39354 $ My business Open Pay - Plan Ascenso Mercurio"/>
    <n v="0.15"/>
    <s v="Otros"/>
    <s v="Otras Tec."/>
    <m/>
    <e v="#NAME?"/>
    <e v="#NAME?"/>
    <e v="#NAME?"/>
    <m/>
    <m/>
    <m/>
    <m/>
    <m/>
    <m/>
    <m/>
    <m/>
    <m/>
  </r>
  <r>
    <s v="T011807"/>
    <s v="DARLY FERNANDA SANDOVAL PLAZAS"/>
    <x v="0"/>
    <x v="10"/>
    <s v="Novatec"/>
    <e v="#NAME?"/>
    <s v="SDATOOL-40676 $ Contratación y uso de mPOS desde APPs BBVA"/>
    <n v="0.15"/>
    <s v="Otros"/>
    <s v="Otras Tec."/>
    <m/>
    <e v="#NAME?"/>
    <e v="#NAME?"/>
    <e v="#NAME?"/>
    <m/>
    <m/>
    <m/>
    <m/>
    <m/>
    <m/>
    <m/>
    <m/>
    <m/>
  </r>
  <r>
    <s v="T011807"/>
    <s v="DARLY FERNANDA SANDOVAL PLAZAS"/>
    <x v="0"/>
    <x v="3"/>
    <s v="Novatec"/>
    <e v="#NAME?"/>
    <s v="SDATOOL-40457 $ SENDA (Base)"/>
    <n v="0.15"/>
    <s v="Otros"/>
    <s v="Otras Tec."/>
    <m/>
    <e v="#NAME?"/>
    <e v="#NAME?"/>
    <e v="#NAME?"/>
    <m/>
    <m/>
    <m/>
    <m/>
    <m/>
    <m/>
    <m/>
    <m/>
    <m/>
  </r>
  <r>
    <s v="T011807"/>
    <s v="DARLY FERNANDA SANDOVAL PLAZAS"/>
    <x v="0"/>
    <x v="3"/>
    <s v="Novatec"/>
    <e v="#NAME?"/>
    <s v="SDATOOL-40528 $ ETPB - SENDA PAGOS"/>
    <n v="0.15"/>
    <s v="Otros"/>
    <s v="Otras Tec."/>
    <m/>
    <e v="#NAME?"/>
    <e v="#NAME?"/>
    <e v="#NAME?"/>
    <m/>
    <m/>
    <m/>
    <m/>
    <m/>
    <m/>
    <m/>
    <m/>
    <m/>
  </r>
  <r>
    <s v="T011807"/>
    <s v="DARLY FERNANDA SANDOVAL PLAZAS"/>
    <x v="0"/>
    <x v="10"/>
    <s v="Novatec"/>
    <e v="#NAME?"/>
    <s v="SDATOOL-41750 $ Single APP"/>
    <n v="0.15"/>
    <s v="Otros"/>
    <s v="Otras Tec."/>
    <m/>
    <e v="#NAME?"/>
    <e v="#NAME?"/>
    <e v="#NAME?"/>
    <m/>
    <m/>
    <m/>
    <m/>
    <m/>
    <m/>
    <m/>
    <m/>
    <m/>
  </r>
  <r>
    <s v="CE51863"/>
    <s v="EDNA ROCIO MONCADA"/>
    <x v="0"/>
    <x v="10"/>
    <s v="KRYPTO"/>
    <e v="#NAME?"/>
    <s v="SDATOOL-42211 $ Onboarding cash management Netcash/Gema"/>
    <n v="7.0000000000000007E-2"/>
    <s v="QA"/>
    <s v="Distribuido"/>
    <s v="QC"/>
    <e v="#NAME?"/>
    <e v="#NAME?"/>
    <e v="#NAME?"/>
    <e v="#N/A"/>
    <e v="#N/A"/>
    <e v="#REF!"/>
    <m/>
    <m/>
    <m/>
    <m/>
    <m/>
    <m/>
  </r>
  <r>
    <s v="CE51863"/>
    <s v="EDNA ROCIO MONCADA"/>
    <x v="0"/>
    <x v="10"/>
    <s v="KRYPTO"/>
    <e v="#NAME?"/>
    <s v="SDATOOL-41930 $ FX en GEMA"/>
    <n v="7.0000000000000007E-2"/>
    <s v="QA"/>
    <s v="Distribuido"/>
    <s v="QC"/>
    <e v="#NAME?"/>
    <e v="#NAME?"/>
    <e v="#NAME?"/>
    <e v="#N/A"/>
    <e v="#N/A"/>
    <e v="#REF!"/>
    <m/>
    <m/>
    <m/>
    <m/>
    <m/>
    <m/>
  </r>
  <r>
    <s v="CE51863"/>
    <s v="EDNA ROCIO MONCADA"/>
    <x v="0"/>
    <x v="10"/>
    <s v="KRYPTO"/>
    <e v="#NAME?"/>
    <s v="SDATOOL-39354 $ My business Open Pay - Plan Ascenso Mercurio"/>
    <n v="7.0000000000000007E-2"/>
    <s v="QA"/>
    <s v="Distribuido"/>
    <s v="QC"/>
    <e v="#NAME?"/>
    <e v="#NAME?"/>
    <e v="#NAME?"/>
    <e v="#N/A"/>
    <e v="#N/A"/>
    <e v="#REF!"/>
    <m/>
    <m/>
    <m/>
    <m/>
    <m/>
    <m/>
  </r>
  <r>
    <s v="CE51863"/>
    <s v="EDNA ROCIO MONCADA"/>
    <x v="0"/>
    <x v="10"/>
    <s v="KRYPTO"/>
    <e v="#NAME?"/>
    <s v="SDATOOL-40676 $ Contratación y uso de mPOS desde APPs BBVA"/>
    <n v="7.0000000000000007E-2"/>
    <s v="QA"/>
    <s v="Distribuido"/>
    <s v="QC"/>
    <e v="#NAME?"/>
    <e v="#NAME?"/>
    <e v="#NAME?"/>
    <e v="#N/A"/>
    <e v="#N/A"/>
    <e v="#REF!"/>
    <m/>
    <m/>
    <m/>
    <m/>
    <m/>
    <m/>
  </r>
  <r>
    <s v="CE51863"/>
    <s v="EDNA ROCIO MONCADA"/>
    <x v="0"/>
    <x v="3"/>
    <s v="KRYPTO"/>
    <e v="#NAME?"/>
    <s v="SDATOOL-40457 $ SENDA (Base)"/>
    <n v="7.0000000000000007E-2"/>
    <s v="QA"/>
    <s v="Distribuido"/>
    <s v="QC"/>
    <e v="#NAME?"/>
    <e v="#NAME?"/>
    <e v="#NAME?"/>
    <e v="#N/A"/>
    <e v="#N/A"/>
    <e v="#REF!"/>
    <m/>
    <m/>
    <m/>
    <m/>
    <m/>
    <m/>
  </r>
  <r>
    <s v="CE51863"/>
    <s v="EDNA ROCIO MONCADA"/>
    <x v="0"/>
    <x v="3"/>
    <s v="KRYPTO"/>
    <e v="#NAME?"/>
    <s v="SDATOOL-40528 $ ETPB - SENDA PAGOS"/>
    <n v="7.0000000000000007E-2"/>
    <s v="QA"/>
    <s v="Distribuido"/>
    <s v="QC"/>
    <e v="#NAME?"/>
    <e v="#NAME?"/>
    <e v="#NAME?"/>
    <e v="#N/A"/>
    <e v="#N/A"/>
    <e v="#REF!"/>
    <m/>
    <m/>
    <m/>
    <m/>
    <m/>
    <m/>
  </r>
  <r>
    <s v="CE51863"/>
    <s v="EDNA ROCIO MONCADA"/>
    <x v="0"/>
    <x v="10"/>
    <s v="KRYPTO"/>
    <e v="#NAME?"/>
    <s v="SDATOOL-41750 $ Single APP"/>
    <n v="7.0000000000000007E-2"/>
    <s v="QA"/>
    <s v="Distribuido"/>
    <s v="QC"/>
    <e v="#NAME?"/>
    <e v="#NAME?"/>
    <e v="#NAME?"/>
    <e v="#N/A"/>
    <e v="#N/A"/>
    <e v="#REF!"/>
    <m/>
    <m/>
    <m/>
    <m/>
    <m/>
    <m/>
  </r>
  <r>
    <s v="CE65205"/>
    <s v="OSCAR JAVIER ALVAREZ CAMACHO"/>
    <x v="0"/>
    <x v="10"/>
    <s v="GGI / CMC"/>
    <e v="#NAME?"/>
    <s v="SDATOOL-41930 $ FX en GEMA"/>
    <n v="0.1"/>
    <s v="Otros"/>
    <s v="Distribuido"/>
    <s v="Despliegues"/>
    <e v="#NAME?"/>
    <e v="#NAME?"/>
    <e v="#NAME?"/>
    <m/>
    <m/>
    <m/>
    <m/>
    <m/>
    <m/>
    <m/>
    <m/>
    <m/>
  </r>
  <r>
    <s v="CE65205"/>
    <s v="OSCAR JAVIER ALVAREZ CAMACHO"/>
    <x v="0"/>
    <x v="10"/>
    <s v="GGI / CMC"/>
    <e v="#NAME?"/>
    <s v="SDATOOL-42211 $ Onboarding cash management Netcash/Gema"/>
    <n v="0.15"/>
    <s v="Otros"/>
    <s v="Distribuido"/>
    <s v="Despliegues"/>
    <e v="#NAME?"/>
    <e v="#NAME?"/>
    <e v="#NAME?"/>
    <m/>
    <m/>
    <m/>
    <m/>
    <m/>
    <m/>
    <m/>
    <m/>
    <m/>
  </r>
  <r>
    <s v="CE65205"/>
    <s v="OSCAR JAVIER ALVAREZ CAMACHO"/>
    <x v="0"/>
    <x v="10"/>
    <s v="GGI / CMC"/>
    <e v="#NAME?"/>
    <s v="SDATOOL-40676 $ Contratación y uso de mPOS desde APPs BBVA"/>
    <n v="0.15"/>
    <s v="Otros"/>
    <s v="Distribuido"/>
    <s v="Despliegues"/>
    <e v="#NAME?"/>
    <e v="#NAME?"/>
    <e v="#NAME?"/>
    <m/>
    <m/>
    <m/>
    <m/>
    <m/>
    <m/>
    <m/>
    <m/>
    <m/>
  </r>
  <r>
    <s v="CE65205"/>
    <s v="OSCAR JAVIER ALVAREZ CAMACHO"/>
    <x v="0"/>
    <x v="10"/>
    <s v="GGI / CMC"/>
    <e v="#NAME?"/>
    <s v="SDATOOL-39354 $ My business Open Pay - Plan Ascenso Mercurio"/>
    <n v="0.15"/>
    <s v="Otros"/>
    <s v="Distribuido"/>
    <s v="Despliegues"/>
    <e v="#NAME?"/>
    <e v="#NAME?"/>
    <e v="#NAME?"/>
    <m/>
    <m/>
    <m/>
    <m/>
    <m/>
    <m/>
    <m/>
    <m/>
    <m/>
  </r>
  <r>
    <s v="CE65205"/>
    <s v="OSCAR JAVIER ALVAREZ CAMACHO"/>
    <x v="0"/>
    <x v="3"/>
    <s v="KRYPTO"/>
    <e v="#NAME?"/>
    <s v="SDATOOL-40457 $ SENDA (Base)"/>
    <n v="0.15"/>
    <s v="Otros"/>
    <s v="Distribuido"/>
    <s v="Despliegues"/>
    <e v="#NAME?"/>
    <e v="#NAME?"/>
    <e v="#NAME?"/>
    <e v="#N/A"/>
    <e v="#N/A"/>
    <e v="#REF!"/>
    <m/>
    <m/>
    <m/>
    <m/>
    <m/>
    <m/>
  </r>
  <r>
    <s v="CE65205"/>
    <s v="OSCAR JAVIER ALVAREZ CAMACHO"/>
    <x v="0"/>
    <x v="3"/>
    <s v="KRYPTO"/>
    <e v="#NAME?"/>
    <s v="SDATOOL-40528 $ ETPB - SENDA PAGOS"/>
    <n v="0.15"/>
    <s v="Otros"/>
    <s v="Distribuido"/>
    <s v="Despliegues"/>
    <e v="#NAME?"/>
    <e v="#NAME?"/>
    <e v="#NAME?"/>
    <e v="#N/A"/>
    <e v="#N/A"/>
    <e v="#REF!"/>
    <m/>
    <m/>
    <m/>
    <m/>
    <m/>
    <m/>
  </r>
  <r>
    <s v="CE65205"/>
    <s v="OSCAR JAVIER ALVAREZ CAMACHO"/>
    <x v="0"/>
    <x v="10"/>
    <s v="KRYPTO"/>
    <e v="#NAME?"/>
    <s v="SDATOOL-41750 $ Single APP"/>
    <n v="0.15"/>
    <s v="Otros"/>
    <s v="Distribuido"/>
    <s v="Despliegues"/>
    <e v="#NAME?"/>
    <e v="#NAME?"/>
    <e v="#NAME?"/>
    <e v="#N/A"/>
    <e v="#N/A"/>
    <e v="#REF!"/>
    <m/>
    <m/>
    <m/>
    <m/>
    <m/>
    <m/>
  </r>
  <r>
    <s v="C811392"/>
    <s v="LEONARDO SIMBAQUEBA ESGUERRA"/>
    <x v="3"/>
    <x v="11"/>
    <s v="BBVA"/>
    <e v="#NAME?"/>
    <s v="NOSDA $ BAU (Mantenimiento y peq. evolutivos)"/>
    <n v="1"/>
    <s v="Desarrollador"/>
    <m/>
    <s v="Interno"/>
    <e v="#NAME?"/>
    <e v="#NAME?"/>
    <e v="#NAME?"/>
    <m/>
    <m/>
    <m/>
    <m/>
    <m/>
    <n v="1"/>
    <m/>
    <m/>
    <m/>
  </r>
  <r>
    <s v="C341681"/>
    <s v="RICARDO ALEXANDER CALVO JIMENEZ"/>
    <x v="2"/>
    <x v="8"/>
    <s v="BBVA"/>
    <e v="#NAME?"/>
    <s v="SDATOOL-33846 $ SREP Data Quality- BCBS239 - Colombia"/>
    <n v="1"/>
    <s v="Desarrollador"/>
    <s v="Otras Tec."/>
    <s v="Interno"/>
    <e v="#NAME?"/>
    <e v="#NAME?"/>
    <e v="#NAME?"/>
    <m/>
    <m/>
    <m/>
    <m/>
    <m/>
    <m/>
    <m/>
    <m/>
    <m/>
  </r>
  <r>
    <s v="C342316"/>
    <s v="ANA MILENA GARCIA COBO"/>
    <x v="2"/>
    <x v="8"/>
    <s v="BBVA"/>
    <e v="#NAME?"/>
    <s v="SDATOOL-39463 $ GRM Col - Actualización Versión Power Curve."/>
    <n v="0.7"/>
    <s v="Desarrollador"/>
    <s v="Distribuido"/>
    <s v="Interno"/>
    <e v="#NAME?"/>
    <e v="#NAME?"/>
    <e v="#NAME?"/>
    <m/>
    <m/>
    <m/>
    <m/>
    <m/>
    <m/>
    <m/>
    <m/>
    <m/>
  </r>
  <r>
    <s v="C342316"/>
    <s v="ANA MILENA GARCIA COBO"/>
    <x v="2"/>
    <x v="8"/>
    <s v="BBVA"/>
    <e v="#NAME?"/>
    <s v="SDATOOL-40545 $ GRM Col - Mejoras Evolutivas de Aplicativos y Herramientas de Riesgos 2023"/>
    <n v="0.3"/>
    <s v="Desarrollador"/>
    <s v="Distribuido"/>
    <s v="Interno"/>
    <e v="#NAME?"/>
    <e v="#NAME?"/>
    <e v="#NAME?"/>
    <m/>
    <m/>
    <m/>
    <m/>
    <m/>
    <m/>
    <m/>
    <m/>
    <m/>
  </r>
  <r>
    <s v="C808875"/>
    <s v="YEIMY PAOLA PERDOMO"/>
    <x v="2"/>
    <x v="8"/>
    <s v="BBVA"/>
    <e v="#NAME?"/>
    <s v="SDATOOL-39463 $ GRM Col - Actualización Versión Power Curve."/>
    <n v="1"/>
    <s v="Desarrollador"/>
    <s v="Otras Tec."/>
    <s v="Interno"/>
    <e v="#NAME?"/>
    <e v="#NAME?"/>
    <e v="#NAME?"/>
    <m/>
    <m/>
    <m/>
    <m/>
    <m/>
    <m/>
    <m/>
    <m/>
    <m/>
  </r>
  <r>
    <s v="C809591"/>
    <s v="KEVIN ORLANDO OJEDA"/>
    <x v="2"/>
    <x v="8"/>
    <s v="BBVA"/>
    <e v="#NAME?"/>
    <s v="SDATOOL-42098 $ GRM Col CRONOS Batch - Campañas SMeS"/>
    <n v="0.65"/>
    <s v="Desarrollador"/>
    <s v="Otras Tec."/>
    <s v="Interno"/>
    <e v="#NAME?"/>
    <e v="#NAME?"/>
    <e v="#NAME?"/>
    <m/>
    <m/>
    <m/>
    <m/>
    <m/>
    <m/>
    <m/>
    <m/>
    <m/>
  </r>
  <r>
    <s v="C809591"/>
    <s v="KEVIN ORLANDO OJEDA"/>
    <x v="2"/>
    <x v="8"/>
    <s v="BBVA"/>
    <e v="#NAME?"/>
    <s v="SDATOOL-40545 $ GRM Col - Mejoras Evolutivas de Aplicativos y Herramientas de Riesgos 2023"/>
    <n v="0.25"/>
    <s v="Desarrollador"/>
    <s v="Otras Tec."/>
    <s v="Interno"/>
    <e v="#NAME?"/>
    <e v="#NAME?"/>
    <e v="#NAME?"/>
    <m/>
    <m/>
    <m/>
    <m/>
    <m/>
    <m/>
    <m/>
    <m/>
    <m/>
  </r>
  <r>
    <s v="C809591"/>
    <s v="KEVIN ORLANDO OJEDA"/>
    <x v="2"/>
    <x v="8"/>
    <s v="BBVA"/>
    <e v="#NAME?"/>
    <s v="SDATOOL-41457 $ NGA - Colombia. EWS (ARCE)"/>
    <n v="0.1"/>
    <s v="Desarrollador"/>
    <s v="Otras Tec."/>
    <s v="Interno"/>
    <e v="#NAME?"/>
    <e v="#NAME?"/>
    <e v="#NAME?"/>
    <m/>
    <m/>
    <m/>
    <m/>
    <m/>
    <m/>
    <m/>
    <m/>
    <m/>
  </r>
  <r>
    <s v="C810959"/>
    <s v="MARCO HERNAN CASTELLANOS"/>
    <x v="2"/>
    <x v="8"/>
    <s v="BBVA"/>
    <e v="#NAME?"/>
    <s v="SDATOOL-33846 $ SREP Data Quality- BCBS239 - Colombia"/>
    <n v="0.4"/>
    <s v="Desarrollador"/>
    <s v="Otras Tec."/>
    <s v="Interno"/>
    <e v="#NAME?"/>
    <e v="#NAME?"/>
    <e v="#NAME?"/>
    <m/>
    <m/>
    <m/>
    <m/>
    <m/>
    <m/>
    <m/>
    <m/>
    <m/>
  </r>
  <r>
    <s v="C810959"/>
    <s v="MARCO HERNAN CASTELLANOS"/>
    <x v="2"/>
    <x v="8"/>
    <s v="BBVA"/>
    <e v="#NAME?"/>
    <s v="SDATOOL-42098 $ GRM Col CRONOS Batch - Campañas SMeS"/>
    <n v="0.2"/>
    <s v="Desarrollador"/>
    <s v="Otras Tec."/>
    <s v="Interno"/>
    <e v="#NAME?"/>
    <e v="#NAME?"/>
    <e v="#NAME?"/>
    <m/>
    <m/>
    <m/>
    <m/>
    <m/>
    <m/>
    <m/>
    <m/>
    <m/>
  </r>
  <r>
    <s v="C810959"/>
    <s v="MARCO HERNAN CASTELLANOS"/>
    <x v="2"/>
    <x v="8"/>
    <s v="BBVA"/>
    <e v="#NAME?"/>
    <s v="SDATOOL-40545 $ GRM Col - Mejoras Evolutivas de Aplicativos y Herramientas de Riesgos 2023"/>
    <n v="0.2"/>
    <s v="Desarrollador"/>
    <s v="Otras Tec."/>
    <s v="Interno"/>
    <e v="#NAME?"/>
    <e v="#NAME?"/>
    <e v="#NAME?"/>
    <m/>
    <m/>
    <m/>
    <m/>
    <m/>
    <m/>
    <m/>
    <m/>
    <m/>
  </r>
  <r>
    <s v="C810959"/>
    <s v="MARCO HERNAN CASTELLANOS"/>
    <x v="2"/>
    <x v="8"/>
    <s v="BBVA"/>
    <e v="#NAME?"/>
    <s v="NOSDA $ BAU (Mantenimiento y peq. evolutivos)"/>
    <n v="0.2"/>
    <s v="Desarrollador"/>
    <s v="Otras Tec."/>
    <s v="Interno"/>
    <e v="#NAME?"/>
    <e v="#NAME?"/>
    <e v="#NAME?"/>
    <m/>
    <m/>
    <m/>
    <m/>
    <m/>
    <m/>
    <m/>
    <m/>
    <m/>
  </r>
  <r>
    <s v="CE66252"/>
    <s v="JORGE ENRIQUE CARRILLO DIAZ"/>
    <x v="2"/>
    <x v="8"/>
    <s v="GGI / CMC"/>
    <e v="#NAME?"/>
    <s v="SDATOOL-39463 $ GRM Col - Actualización Versión Power Curve."/>
    <n v="0.5"/>
    <s v="QA"/>
    <s v="Otras Tec."/>
    <s v="Externo"/>
    <e v="#NAME?"/>
    <e v="#NAME?"/>
    <e v="#NAME?"/>
    <m/>
    <m/>
    <m/>
    <m/>
    <m/>
    <m/>
    <m/>
    <m/>
    <m/>
  </r>
  <r>
    <s v="CE66252"/>
    <s v="JORGE ENRIQUE CARRILLO DIAZ"/>
    <x v="2"/>
    <x v="8"/>
    <s v="GGI / CMC"/>
    <e v="#NAME?"/>
    <s v="SDATOOL-40545 $ GRM Col - Mejoras Evolutivas de Aplicativos y Herramientas de Riesgos 2023"/>
    <n v="0.25"/>
    <s v="QA"/>
    <s v="Otras Tec."/>
    <s v="Externo"/>
    <e v="#NAME?"/>
    <e v="#NAME?"/>
    <e v="#NAME?"/>
    <m/>
    <m/>
    <m/>
    <m/>
    <m/>
    <m/>
    <m/>
    <m/>
    <m/>
  </r>
  <r>
    <s v="CE66252"/>
    <s v="JORGE ENRIQUE CARRILLO DIAZ"/>
    <x v="2"/>
    <x v="8"/>
    <s v="GGI / CMC"/>
    <e v="#NAME?"/>
    <s v="SDATOOL-33846 $ SREP Data Quality- BCBS239 - Colombia"/>
    <n v="0.25"/>
    <s v="QA"/>
    <s v="Otras Tec."/>
    <s v="Externo"/>
    <e v="#NAME?"/>
    <e v="#NAME?"/>
    <e v="#NAME?"/>
    <m/>
    <m/>
    <m/>
    <m/>
    <m/>
    <m/>
    <m/>
    <m/>
    <m/>
  </r>
  <r>
    <s v="C783725"/>
    <s v="JAIRO FERNANDO TAMARA RUBIANO"/>
    <x v="2"/>
    <x v="8"/>
    <s v="BBVA"/>
    <e v="#NAME?"/>
    <s v="SDATOOL-33846 $ SREP Data Quality- BCBS239 - Colombia"/>
    <n v="0.3"/>
    <s v="Tech Manager/Líder"/>
    <s v="Otras Tec."/>
    <s v="Interno"/>
    <e v="#NAME?"/>
    <e v="#NAME?"/>
    <e v="#NAME?"/>
    <m/>
    <m/>
    <m/>
    <m/>
    <m/>
    <m/>
    <m/>
    <m/>
    <m/>
  </r>
  <r>
    <s v="C783725"/>
    <s v="JAIRO FERNANDO TAMARA RUBIANO"/>
    <x v="2"/>
    <x v="8"/>
    <s v="BBVA"/>
    <e v="#NAME?"/>
    <s v="SDATOOL-39463 $ GRM Col - Actualización Versión Power Curve."/>
    <n v="0.3"/>
    <s v="Tech Manager/Líder"/>
    <s v="Otras Tec."/>
    <s v="Interno"/>
    <e v="#NAME?"/>
    <e v="#NAME?"/>
    <e v="#NAME?"/>
    <m/>
    <m/>
    <m/>
    <m/>
    <m/>
    <m/>
    <m/>
    <m/>
    <m/>
  </r>
  <r>
    <s v="C783725"/>
    <s v="JAIRO FERNANDO TAMARA RUBIANO"/>
    <x v="2"/>
    <x v="8"/>
    <s v="BBVA"/>
    <e v="#NAME?"/>
    <s v="SDATOOL-41457 $ NGA - Colombia. EWS (ARCE)"/>
    <n v="0.1"/>
    <s v="Tech Manager/Líder"/>
    <s v="Otras Tec."/>
    <m/>
    <e v="#NAME?"/>
    <e v="#NAME?"/>
    <e v="#NAME?"/>
    <m/>
    <m/>
    <m/>
    <m/>
    <m/>
    <m/>
    <m/>
    <m/>
    <m/>
  </r>
  <r>
    <s v="C783725"/>
    <s v="JAIRO FERNANDO TAMARA RUBIANO"/>
    <x v="2"/>
    <x v="8"/>
    <s v="BBVA"/>
    <e v="#NAME?"/>
    <s v="SDATOOL-40545 $ GRM Col - Mejoras Evolutivas de Aplicativos y Herramientas de Riesgos 2023"/>
    <n v="0.3"/>
    <s v="Tech Manager/Líder"/>
    <s v="Otras Tec."/>
    <s v="Interno"/>
    <e v="#NAME?"/>
    <e v="#NAME?"/>
    <e v="#NAME?"/>
    <m/>
    <m/>
    <m/>
    <m/>
    <m/>
    <m/>
    <m/>
    <m/>
    <m/>
  </r>
  <r>
    <s v="T006280"/>
    <s v="Fabian andres valbuena aragon"/>
    <x v="2"/>
    <x v="8"/>
    <s v="Inetum"/>
    <e v="#NAME?"/>
    <s v="NOSDA $ BAU (Mantenimiento y peq. evolutivos)"/>
    <n v="0.5"/>
    <s v="Desarrollador"/>
    <s v="Otras Tec."/>
    <s v="Externo"/>
    <e v="#NAME?"/>
    <e v="#NAME?"/>
    <e v="#NAME?"/>
    <m/>
    <m/>
    <m/>
    <m/>
    <m/>
    <m/>
    <m/>
    <m/>
    <m/>
  </r>
  <r>
    <s v="T006280"/>
    <s v="Fabian andres valbuena aragon"/>
    <x v="1"/>
    <x v="12"/>
    <s v="Inetum"/>
    <e v="#NAME?"/>
    <s v="NOSDA $ BAU (Mantenimiento y peq. evolutivos)"/>
    <n v="0.5"/>
    <s v="Desarrollador"/>
    <s v="Otras Tec."/>
    <s v="Externo"/>
    <e v="#NAME?"/>
    <e v="#NAME?"/>
    <e v="#NAME?"/>
    <m/>
    <m/>
    <m/>
    <m/>
    <m/>
    <m/>
    <m/>
    <m/>
    <m/>
  </r>
  <r>
    <s v="C811292"/>
    <s v="ANDRES GALVIS TRIVIÑO"/>
    <x v="1"/>
    <x v="12"/>
    <s v="BBVA"/>
    <e v="#NAME?"/>
    <s v="NOSDA $ BAU (Mantenimiento y peq. evolutivos)"/>
    <n v="1"/>
    <s v="Otros"/>
    <m/>
    <m/>
    <e v="#NAME?"/>
    <e v="#NAME?"/>
    <e v="#NAME?"/>
    <m/>
    <m/>
    <m/>
    <m/>
    <m/>
    <m/>
    <m/>
    <m/>
    <m/>
  </r>
  <r>
    <s v="C805180"/>
    <s v="SEBASTIAN GOMEZ CORCHUELO"/>
    <x v="1"/>
    <x v="12"/>
    <s v="BBVA"/>
    <e v="#NAME?"/>
    <s v="SDATOOL-39840 $ BBVA Valores en Canales (Net Cash / Net)"/>
    <n v="0.25"/>
    <s v="QA"/>
    <m/>
    <m/>
    <e v="#NAME?"/>
    <e v="#NAME?"/>
    <e v="#NAME?"/>
    <m/>
    <m/>
    <m/>
    <m/>
    <m/>
    <m/>
    <m/>
    <m/>
    <m/>
  </r>
  <r>
    <s v="C810847"/>
    <s v="JAIR DE JESUS MOLINA FORNARIS"/>
    <x v="1"/>
    <x v="12"/>
    <s v="BBVA"/>
    <e v="#NAME?"/>
    <s v="SDATOOL-39840 $ BBVA Valores en Canales (Net Cash / Net)"/>
    <n v="0.25"/>
    <s v="Desarrollador"/>
    <m/>
    <m/>
    <e v="#NAME?"/>
    <e v="#NAME?"/>
    <e v="#NAME?"/>
    <m/>
    <m/>
    <m/>
    <m/>
    <m/>
    <m/>
    <m/>
    <m/>
    <m/>
  </r>
  <r>
    <s v="C810847"/>
    <s v="JAIR DE JESUS MOLINA FORNARIS"/>
    <x v="1"/>
    <x v="12"/>
    <s v="BBVA"/>
    <e v="#NAME?"/>
    <s v="NOSDA $ BAU (Mantenimiento y peq. evolutivos)"/>
    <n v="0.75"/>
    <s v="Desarrollador"/>
    <m/>
    <m/>
    <e v="#NAME?"/>
    <e v="#NAME?"/>
    <e v="#NAME?"/>
    <m/>
    <m/>
    <m/>
    <m/>
    <m/>
    <m/>
    <m/>
    <m/>
    <m/>
  </r>
  <r>
    <s v="O004617"/>
    <s v="ARLEX JULIAN RODRIGUEZ RINCON"/>
    <x v="1"/>
    <x v="12"/>
    <s v="BBVA"/>
    <e v="#NAME?"/>
    <s v="NOSDA $ BAU (Mantenimiento y peq. evolutivos)"/>
    <n v="1"/>
    <s v="Otros"/>
    <m/>
    <m/>
    <e v="#NAME?"/>
    <e v="#NAME?"/>
    <e v="#NAME?"/>
    <m/>
    <m/>
    <m/>
    <m/>
    <m/>
    <m/>
    <m/>
    <m/>
    <m/>
  </r>
  <r>
    <s v="O004613 "/>
    <s v="CESAR AUGUSTO MONTERO HERNANDEZ"/>
    <x v="1"/>
    <x v="12"/>
    <s v="BBVA"/>
    <e v="#NAME?"/>
    <s v="NOSDA $ BAU (Mantenimiento y peq. evolutivos)"/>
    <n v="1"/>
    <s v="Otros"/>
    <m/>
    <m/>
    <e v="#NAME?"/>
    <e v="#NAME?"/>
    <e v="#NAME?"/>
    <m/>
    <m/>
    <m/>
    <m/>
    <m/>
    <m/>
    <m/>
    <m/>
    <m/>
  </r>
  <r>
    <s v="C805180"/>
    <s v="SEBASTIAN GOMEZ CORCHUELO"/>
    <x v="1"/>
    <x v="12"/>
    <s v="BBVA"/>
    <e v="#NAME?"/>
    <s v="NOSDA $ BAU (Mantenimiento y peq. evolutivos)"/>
    <n v="0.75"/>
    <s v="Otros"/>
    <m/>
    <m/>
    <e v="#NAME?"/>
    <e v="#NAME?"/>
    <e v="#NAME?"/>
    <m/>
    <m/>
    <m/>
    <m/>
    <m/>
    <m/>
    <m/>
    <m/>
    <m/>
  </r>
  <r>
    <s v="CE70350"/>
    <s v="HELDER HAROLD SOLANO SOLANO"/>
    <x v="1"/>
    <x v="12"/>
    <s v="Inetum"/>
    <e v="#NAME?"/>
    <s v="NOSDA $ BAU (Mantenimiento y peq. evolutivos)"/>
    <n v="1"/>
    <s v="QA"/>
    <s v="Otras Tec."/>
    <s v="Calidad"/>
    <e v="#NAME?"/>
    <e v="#NAME?"/>
    <e v="#NAME?"/>
    <m/>
    <m/>
    <m/>
    <m/>
    <m/>
    <m/>
    <m/>
    <m/>
    <m/>
  </r>
  <r>
    <s v="CV25017"/>
    <s v="ANDREA POLO KOCH"/>
    <x v="4"/>
    <x v="13"/>
    <s v="BBVA Seguros"/>
    <e v="#NAME?"/>
    <s v="SDATOOL-38080 $ Seguros - LIS Coaseguro Aceptado Autos"/>
    <n v="0.25"/>
    <s v="Desarrollador"/>
    <s v="ASO"/>
    <s v="LÍDER TÉCNICO"/>
    <e v="#NAME?"/>
    <e v="#NAME?"/>
    <e v="#NAME?"/>
    <m/>
    <m/>
    <m/>
    <m/>
    <m/>
    <m/>
    <m/>
    <m/>
    <m/>
  </r>
  <r>
    <s v="CV25017"/>
    <s v="ANDREA POLO KOCH"/>
    <x v="4"/>
    <x v="13"/>
    <s v="BBVA Seguros"/>
    <e v="#NAME?"/>
    <s v="SDATOOL-42449 $ Seguros - LIS Coaseguro Aceptado Autos Fase 2"/>
    <n v="0.75"/>
    <s v="Desarrollador"/>
    <s v="ASO"/>
    <s v="LÍDER TÉCNICO"/>
    <e v="#NAME?"/>
    <e v="#NAME?"/>
    <e v="#NAME?"/>
    <m/>
    <m/>
    <m/>
    <m/>
    <m/>
    <m/>
    <m/>
    <m/>
    <m/>
  </r>
  <r>
    <s v="CE52603"/>
    <s v="CLARIBEL ABRIL VELASCO"/>
    <x v="4"/>
    <x v="13"/>
    <s v="Inetum"/>
    <e v="#NAME?"/>
    <s v="SDATOOL-38080 $ Seguros - LIS Coaseguro Aceptado Autos"/>
    <n v="0.25"/>
    <s v="Desarrollador"/>
    <s v="Mainframe"/>
    <m/>
    <e v="#NAME?"/>
    <e v="#NAME?"/>
    <e v="#NAME?"/>
    <m/>
    <m/>
    <m/>
    <m/>
    <m/>
    <m/>
    <m/>
    <m/>
    <m/>
  </r>
  <r>
    <s v="CE52603"/>
    <s v="CLARIBEL ABRIL VELASCO"/>
    <x v="4"/>
    <x v="13"/>
    <s v="Inetum"/>
    <e v="#NAME?"/>
    <s v="SDATOOL-42449 $ Seguros - LIS Coaseguro Aceptado Autos Fase 2"/>
    <n v="0.75"/>
    <s v="Desarrollador"/>
    <s v="Mainframe"/>
    <m/>
    <e v="#NAME?"/>
    <e v="#NAME?"/>
    <e v="#NAME?"/>
    <m/>
    <m/>
    <m/>
    <m/>
    <m/>
    <m/>
    <m/>
    <m/>
    <m/>
  </r>
  <r>
    <s v="CV24943"/>
    <s v="JAIME JOSE ALFONSO COTES"/>
    <x v="4"/>
    <x v="13"/>
    <s v="BBVA Seguros"/>
    <e v="#NAME?"/>
    <s v="SDATOOL-42264 $ Seguros - Calculo Extra prima valores superiores a 9.999.999"/>
    <n v="1"/>
    <s v="Desarrollador"/>
    <s v="APX"/>
    <s v="LÍDER TÉCNICO"/>
    <e v="#NAME?"/>
    <e v="#NAME?"/>
    <e v="#NAME?"/>
    <m/>
    <m/>
    <m/>
    <m/>
    <m/>
    <m/>
    <m/>
    <m/>
    <m/>
  </r>
  <r>
    <s v="CV25056"/>
    <s v="JUAN CARLOS ALDANA MORENO"/>
    <x v="4"/>
    <x v="13"/>
    <s v="BBVA Seguros"/>
    <e v="#NAME?"/>
    <s v="SDATOOL-38080 $ Seguros - LIS Coaseguro Aceptado Autos"/>
    <n v="0.25"/>
    <s v="Desarrollador"/>
    <s v="Mainframe"/>
    <s v="LÍDER TÉCNICO"/>
    <e v="#NAME?"/>
    <e v="#NAME?"/>
    <e v="#NAME?"/>
    <m/>
    <m/>
    <m/>
    <m/>
    <m/>
    <m/>
    <m/>
    <m/>
    <m/>
  </r>
  <r>
    <s v="CV25056"/>
    <s v="JUAN CARLOS ALDANA MORENO"/>
    <x v="4"/>
    <x v="13"/>
    <s v="BBVA Seguros"/>
    <e v="#NAME?"/>
    <s v="SDATOOL-42449 $ Seguros - LIS Coaseguro Aceptado Autos Fase 2"/>
    <n v="0.75"/>
    <s v="Desarrollador"/>
    <s v="Mainframe"/>
    <s v="LÍDER TÉCNICO"/>
    <e v="#NAME?"/>
    <e v="#NAME?"/>
    <e v="#NAME?"/>
    <m/>
    <m/>
    <m/>
    <m/>
    <m/>
    <m/>
    <m/>
    <m/>
    <m/>
  </r>
  <r>
    <s v="CE56274"/>
    <s v="JULIAN CAMILO QUINONES QUINTERO"/>
    <x v="4"/>
    <x v="13"/>
    <s v="SII"/>
    <e v="#NAME?"/>
    <s v="SDATOOL-38080 $ Seguros - LIS Coaseguro Aceptado Autos"/>
    <n v="0.25"/>
    <s v="Desarrollador"/>
    <s v="Mainframe"/>
    <m/>
    <e v="#NAME?"/>
    <e v="#NAME?"/>
    <e v="#NAME?"/>
    <m/>
    <m/>
    <m/>
    <m/>
    <m/>
    <m/>
    <m/>
    <m/>
    <m/>
  </r>
  <r>
    <s v="CE56274"/>
    <s v="JULIAN CAMILO QUINONES QUINTERO"/>
    <x v="4"/>
    <x v="13"/>
    <s v="SII"/>
    <e v="#NAME?"/>
    <s v="SDATOOL-42449 $ Seguros - LIS Coaseguro Aceptado Autos Fase 2"/>
    <n v="0.75"/>
    <s v="Desarrollador"/>
    <s v="Mainframe"/>
    <m/>
    <e v="#NAME?"/>
    <e v="#NAME?"/>
    <e v="#NAME?"/>
    <m/>
    <m/>
    <m/>
    <m/>
    <m/>
    <m/>
    <m/>
    <m/>
    <m/>
  </r>
  <r>
    <s v="CE56445"/>
    <s v="LESIA MARGARITA VALERA CONTRERAS"/>
    <x v="4"/>
    <x v="13"/>
    <s v="SII"/>
    <e v="#NAME?"/>
    <s v="SDATOOL-38080 $ Seguros - LIS Coaseguro Aceptado Autos"/>
    <n v="0.25"/>
    <s v="Desarrollador"/>
    <s v="Mainframe"/>
    <m/>
    <e v="#NAME?"/>
    <e v="#NAME?"/>
    <e v="#NAME?"/>
    <m/>
    <m/>
    <m/>
    <m/>
    <m/>
    <m/>
    <m/>
    <m/>
    <m/>
  </r>
  <r>
    <s v="CE56445"/>
    <s v="LESIA MARGARITA VALERA CONTRERAS"/>
    <x v="4"/>
    <x v="13"/>
    <s v="SII"/>
    <e v="#NAME?"/>
    <s v="SDATOOL-42449 $ Seguros - LIS Coaseguro Aceptado Autos Fase 2"/>
    <n v="0.75"/>
    <s v="Desarrollador"/>
    <s v="Mainframe"/>
    <m/>
    <e v="#NAME?"/>
    <e v="#NAME?"/>
    <e v="#NAME?"/>
    <m/>
    <m/>
    <m/>
    <m/>
    <m/>
    <m/>
    <m/>
    <m/>
    <m/>
  </r>
  <r>
    <s v="CV25065"/>
    <s v="OSCAR FABIAN MACANA GARNICA"/>
    <x v="4"/>
    <x v="13"/>
    <s v="BBVA Seguros"/>
    <e v="#NAME?"/>
    <s v="SDATOOL-38080 $ Seguros - LIS Coaseguro Aceptado Autos"/>
    <n v="0.25"/>
    <s v="Desarrollador"/>
    <s v="Mainframe"/>
    <s v="LÍDER TÉCNICO"/>
    <e v="#NAME?"/>
    <e v="#NAME?"/>
    <e v="#NAME?"/>
    <m/>
    <m/>
    <m/>
    <m/>
    <m/>
    <m/>
    <m/>
    <m/>
    <m/>
  </r>
  <r>
    <s v="CV25065"/>
    <s v="OSCAR FABIAN MACANA GARNICA"/>
    <x v="4"/>
    <x v="13"/>
    <s v="BBVA Seguros"/>
    <e v="#NAME?"/>
    <s v="SDATOOL-42449 $ Seguros - LIS Coaseguro Aceptado Autos Fase 2"/>
    <n v="0.75"/>
    <s v="Desarrollador"/>
    <s v="Mainframe"/>
    <s v="LÍDER TÉCNICO"/>
    <e v="#NAME?"/>
    <e v="#NAME?"/>
    <e v="#NAME?"/>
    <m/>
    <m/>
    <m/>
    <m/>
    <m/>
    <m/>
    <m/>
    <m/>
    <m/>
  </r>
  <r>
    <s v="O004277"/>
    <s v="SERGIO ALEJANDRO DIAZ HOYOS"/>
    <x v="4"/>
    <x v="13"/>
    <s v="BBVA Seguros"/>
    <e v="#NAME?"/>
    <s v="SDATOOL-42449 $ Seguros - LIS Coaseguro Aceptado Autos Fase 2"/>
    <n v="1"/>
    <s v="Desarrollador"/>
    <s v="Mainframe"/>
    <m/>
    <e v="#NAME?"/>
    <e v="#NAME?"/>
    <e v="#NAME?"/>
    <m/>
    <m/>
    <m/>
    <m/>
    <m/>
    <m/>
    <m/>
    <m/>
    <m/>
  </r>
  <r>
    <s v="CE42028"/>
    <s v="MARIA YOLANDA BRAND LEON"/>
    <x v="4"/>
    <x v="13"/>
    <s v="Inetum"/>
    <e v="#NAME?"/>
    <s v="SDATOOL-42099 $ Seguros - Cuota Segura/Créditos de libranza (SEGUROS)"/>
    <n v="1"/>
    <s v="Desarrollador"/>
    <s v="Mainframe"/>
    <m/>
    <e v="#NAME?"/>
    <e v="#NAME?"/>
    <e v="#NAME?"/>
    <m/>
    <m/>
    <m/>
    <m/>
    <m/>
    <m/>
    <m/>
    <m/>
    <m/>
  </r>
  <r>
    <s v="CE59922"/>
    <s v="JOHAN SEBASTIAN LAGOS MORALES"/>
    <x v="4"/>
    <x v="13"/>
    <s v="Inetum"/>
    <e v="#NAME?"/>
    <s v="SDATOOL-38080 $ Seguros - LIS Coaseguro Aceptado Autos"/>
    <n v="0.5"/>
    <s v="Desarrollador"/>
    <s v="Mainframe"/>
    <m/>
    <e v="#NAME?"/>
    <e v="#NAME?"/>
    <e v="#NAME?"/>
    <m/>
    <m/>
    <m/>
    <m/>
    <m/>
    <m/>
    <m/>
    <m/>
    <m/>
  </r>
  <r>
    <s v="CE59922"/>
    <s v="JOHAN SEBASTIAN LAGOS MORALES"/>
    <x v="4"/>
    <x v="13"/>
    <s v="Inetum"/>
    <e v="#NAME?"/>
    <s v="SDATOOL-42449 $ Seguros - LIS Coaseguro Aceptado Autos Fase 2"/>
    <n v="0.5"/>
    <s v="Desarrollador"/>
    <s v="Mainframe"/>
    <m/>
    <e v="#NAME?"/>
    <e v="#NAME?"/>
    <e v="#NAME?"/>
    <m/>
    <m/>
    <m/>
    <m/>
    <m/>
    <m/>
    <m/>
    <m/>
    <m/>
  </r>
  <r>
    <s v="CV24935"/>
    <s v="SANDRA PATRICIA RAMIREZ TRIANA"/>
    <x v="4"/>
    <x v="13"/>
    <s v="BBVA Seguros"/>
    <e v="#NAME?"/>
    <s v="SDATOOL-38080 $ Seguros - LIS Coaseguro Aceptado Autos"/>
    <n v="0.4"/>
    <s v="Tech Manager/Líder"/>
    <s v="Mainframe"/>
    <m/>
    <e v="#NAME?"/>
    <e v="#NAME?"/>
    <e v="#NAME?"/>
    <m/>
    <m/>
    <m/>
    <m/>
    <m/>
    <m/>
    <m/>
    <m/>
    <m/>
  </r>
  <r>
    <s v="CV24935"/>
    <s v="SANDRA PATRICIA RAMIREZ TRIANA"/>
    <x v="4"/>
    <x v="13"/>
    <s v="BBVA Seguros"/>
    <e v="#NAME?"/>
    <s v="SDATOOL-42449 $ Seguros - LIS Coaseguro Aceptado Autos Fase 2"/>
    <n v="0.3"/>
    <s v="Tech Manager/Líder"/>
    <s v="Mainframe"/>
    <m/>
    <e v="#NAME?"/>
    <e v="#NAME?"/>
    <e v="#NAME?"/>
    <m/>
    <m/>
    <m/>
    <m/>
    <m/>
    <m/>
    <m/>
    <m/>
    <m/>
  </r>
  <r>
    <s v="CV24935"/>
    <s v="SANDRA PATRICIA RAMIREZ TRIANA"/>
    <x v="4"/>
    <x v="13"/>
    <s v="BBVA Seguros"/>
    <e v="#NAME?"/>
    <s v="SDATOOL-42099 $ Seguros - Cuota Segura/Créditos de libranza (SEGUROS)"/>
    <n v="0.3"/>
    <s v="Tech Manager/Líder"/>
    <s v="Mainframe"/>
    <m/>
    <e v="#NAME?"/>
    <e v="#NAME?"/>
    <e v="#NAME?"/>
    <m/>
    <m/>
    <m/>
    <m/>
    <m/>
    <m/>
    <m/>
    <m/>
    <m/>
  </r>
  <r>
    <s v="CG22671"/>
    <s v="CARLOS ALBERTO GOMEZ GOMEZ"/>
    <x v="4"/>
    <x v="13"/>
    <s v="BBVA Seguros"/>
    <e v="#NAME?"/>
    <s v="SDATOOL-40762 $ Seguros - IFRS 17 Catch up"/>
    <n v="0.25"/>
    <s v="Desarrollador"/>
    <s v="Distribuido"/>
    <s v="LÍDER TÉCNICO"/>
    <e v="#NAME?"/>
    <e v="#NAME?"/>
    <e v="#NAME?"/>
    <m/>
    <m/>
    <m/>
    <m/>
    <m/>
    <m/>
    <m/>
    <m/>
    <m/>
  </r>
  <r>
    <s v="CG22671"/>
    <s v="CARLOS ALBERTO GOMEZ GOMEZ"/>
    <x v="4"/>
    <x v="13"/>
    <s v="BBVA Seguros"/>
    <e v="#NAME?"/>
    <s v="NOSDA $ BAU (Mantenimiento y peq. evolutivos)"/>
    <n v="0.75"/>
    <s v="Desarrollador"/>
    <s v="Distribuido"/>
    <s v="LÍDER TÉCNICO"/>
    <e v="#NAME?"/>
    <e v="#NAME?"/>
    <e v="#NAME?"/>
    <m/>
    <m/>
    <m/>
    <m/>
    <m/>
    <m/>
    <m/>
    <m/>
    <m/>
  </r>
  <r>
    <s v="CE38411"/>
    <s v="CAROLINA BARROS BERNAL"/>
    <x v="4"/>
    <x v="13"/>
    <s v="SII"/>
    <e v="#NAME?"/>
    <s v="SDATOOL-41962 $ Seguros - Sistema de Administración de Pensiones de Rentas Vitalicias"/>
    <n v="0.75"/>
    <s v="Desarrollador"/>
    <s v="Distribuido"/>
    <m/>
    <e v="#NAME?"/>
    <e v="#NAME?"/>
    <e v="#NAME?"/>
    <m/>
    <m/>
    <m/>
    <m/>
    <m/>
    <m/>
    <m/>
    <m/>
    <m/>
  </r>
  <r>
    <s v="CE38411"/>
    <s v="CAROLINA BARROS BERNAL"/>
    <x v="4"/>
    <x v="13"/>
    <s v="SII"/>
    <e v="#NAME?"/>
    <s v="SDATOOL-37170 $ Seguros - LIS Coaseguro en Seguros Libres"/>
    <n v="0.25"/>
    <s v="Desarrollador"/>
    <s v="Distribuido"/>
    <m/>
    <e v="#NAME?"/>
    <e v="#NAME?"/>
    <e v="#NAME?"/>
    <m/>
    <m/>
    <m/>
    <m/>
    <m/>
    <m/>
    <m/>
    <m/>
    <m/>
  </r>
  <r>
    <s v="CE68469"/>
    <s v="DIEGO ALEXANDER ALBA RODRÍGUEZ"/>
    <x v="4"/>
    <x v="13"/>
    <s v="SII"/>
    <e v="#NAME?"/>
    <s v="SDATOOL-40762 $ Seguros - IFRS 17 Catch up"/>
    <n v="1"/>
    <s v="Desarrollador"/>
    <s v="Distribuido"/>
    <m/>
    <e v="#NAME?"/>
    <e v="#NAME?"/>
    <e v="#NAME?"/>
    <m/>
    <m/>
    <m/>
    <m/>
    <m/>
    <m/>
    <m/>
    <m/>
    <m/>
  </r>
  <r>
    <s v="CV25060"/>
    <s v="JAIME ALEJANDRO ROJAS NIVIA"/>
    <x v="4"/>
    <x v="13"/>
    <s v="BBVA Seguros"/>
    <e v="#NAME?"/>
    <s v="SDATOOL-41962 $ Seguros - Sistema de Administración de Pensiones de Rentas Vitalicias"/>
    <n v="0.5"/>
    <s v="Desarrollador"/>
    <s v="Distribuido"/>
    <m/>
    <e v="#NAME?"/>
    <e v="#NAME?"/>
    <e v="#NAME?"/>
    <m/>
    <m/>
    <m/>
    <m/>
    <m/>
    <m/>
    <m/>
    <m/>
    <m/>
  </r>
  <r>
    <s v="CV25060"/>
    <s v="JAIME ALEJANDRO ROJAS NIVIA"/>
    <x v="4"/>
    <x v="13"/>
    <s v="BBVA Seguros"/>
    <e v="#NAME?"/>
    <s v="SDATOOL-34752 $ Seguros - Reportería y Data Quality"/>
    <n v="0.5"/>
    <s v="Desarrollador"/>
    <s v="Distribuido"/>
    <m/>
    <e v="#NAME?"/>
    <e v="#NAME?"/>
    <e v="#NAME?"/>
    <m/>
    <m/>
    <m/>
    <m/>
    <m/>
    <m/>
    <m/>
    <m/>
    <m/>
  </r>
  <r>
    <s v="O002707"/>
    <s v="JOHN EDER IBAÑEZ LARA_x000a_"/>
    <x v="4"/>
    <x v="13"/>
    <s v="BBVA Seguros"/>
    <e v="#NAME?"/>
    <s v="SDATOOL-40762 $ Seguros - IFRS 17 Catch up"/>
    <n v="1"/>
    <s v="Desarrollador"/>
    <s v="Distribuido"/>
    <s v="LÍDER TÉCNICO"/>
    <e v="#NAME?"/>
    <e v="#NAME?"/>
    <e v="#NAME?"/>
    <m/>
    <m/>
    <m/>
    <m/>
    <m/>
    <m/>
    <m/>
    <m/>
    <m/>
  </r>
  <r>
    <s v="O004417"/>
    <s v="JULIAN CHAPARRO LATORRE"/>
    <x v="4"/>
    <x v="13"/>
    <s v="BBVA Seguros"/>
    <e v="#NAME?"/>
    <s v="SDATOOL-40762 $ Seguros - IFRS 17 Catch up"/>
    <n v="1"/>
    <s v="Desarrollador"/>
    <s v="Distribuido"/>
    <m/>
    <e v="#NAME?"/>
    <e v="#NAME?"/>
    <e v="#NAME?"/>
    <m/>
    <m/>
    <m/>
    <m/>
    <m/>
    <m/>
    <m/>
    <m/>
    <m/>
  </r>
  <r>
    <s v="CE48733"/>
    <s v="NELSON AUGUSTO SANABRIA ORTEGA"/>
    <x v="4"/>
    <x v="13"/>
    <s v="JARZSOFT"/>
    <e v="#NAME?"/>
    <s v="SDATOOL-40762 $ Seguros - IFRS 17 Catch up"/>
    <n v="1"/>
    <s v="Desarrollador"/>
    <s v="Distribuido"/>
    <m/>
    <e v="#NAME?"/>
    <e v="#NAME?"/>
    <e v="#NAME?"/>
    <m/>
    <m/>
    <m/>
    <m/>
    <m/>
    <m/>
    <m/>
    <m/>
    <m/>
  </r>
  <r>
    <s v="CE65494"/>
    <s v="OSCAR FABIAN PEDRAZA MONROY"/>
    <x v="4"/>
    <x v="13"/>
    <s v="Inetum"/>
    <e v="#NAME?"/>
    <s v="SDATOOL-40762 $ Seguros - IFRS 17 Catch up"/>
    <n v="1"/>
    <s v="Desarrollador"/>
    <s v="Distribuido"/>
    <m/>
    <e v="#NAME?"/>
    <e v="#NAME?"/>
    <e v="#NAME?"/>
    <m/>
    <m/>
    <m/>
    <m/>
    <m/>
    <m/>
    <m/>
    <m/>
    <m/>
  </r>
  <r>
    <s v="CE59730"/>
    <s v="JOSE AGUSTIN RODRIGUEZ ZORRO"/>
    <x v="4"/>
    <x v="13"/>
    <s v="JARZSOFT"/>
    <e v="#NAME?"/>
    <s v="SDATOOL-40762 $ Seguros - IFRS 17 Catch up"/>
    <n v="1"/>
    <s v="Tech Manager/Líder"/>
    <s v="Distribuido"/>
    <m/>
    <e v="#NAME?"/>
    <e v="#NAME?"/>
    <e v="#NAME?"/>
    <m/>
    <m/>
    <m/>
    <m/>
    <m/>
    <m/>
    <m/>
    <m/>
    <m/>
  </r>
  <r>
    <s v="CV25059"/>
    <s v="CREYCCE JOHANA HINCAPIE RODRIGUEZ"/>
    <x v="4"/>
    <x v="13"/>
    <s v="BBVA Seguros"/>
    <e v="#NAME?"/>
    <s v="SDATOOL-38225 $ Seguros - Mandatorios 2022"/>
    <n v="1"/>
    <s v="Desarrollador"/>
    <s v="Distribuido"/>
    <s v="LÍDER TÉCNICO"/>
    <e v="#NAME?"/>
    <e v="#NAME?"/>
    <e v="#NAME?"/>
    <m/>
    <m/>
    <m/>
    <m/>
    <m/>
    <m/>
    <m/>
    <m/>
    <m/>
  </r>
  <r>
    <s v="CV25087"/>
    <s v="CRISTIAN ANDRES SIERRA ESPINEL"/>
    <x v="4"/>
    <x v="13"/>
    <s v="BBVA Seguros"/>
    <e v="#NAME?"/>
    <s v="SDATOOL-40300 $ Seguros - Reintegro automático a tarjetas crédito"/>
    <n v="1"/>
    <s v="Desarrollador"/>
    <s v="Distribuido"/>
    <s v="LÍDER TÉCNICO"/>
    <e v="#NAME?"/>
    <e v="#NAME?"/>
    <e v="#NAME?"/>
    <m/>
    <m/>
    <m/>
    <m/>
    <m/>
    <m/>
    <m/>
    <m/>
    <m/>
  </r>
  <r>
    <s v="CV25064"/>
    <s v="MARY LUZ RUALES GUZMAN"/>
    <x v="4"/>
    <x v="13"/>
    <s v="BBVA Seguros"/>
    <e v="#NAME?"/>
    <s v="SDATOOL-36501 $ Seguros - Cobro de seguros libres en créditos - Desempleo Fase 2"/>
    <n v="0.75"/>
    <s v="Desarrollador"/>
    <s v="Distribuido"/>
    <s v="LÍDER TÉCNICO"/>
    <e v="#NAME?"/>
    <e v="#NAME?"/>
    <e v="#NAME?"/>
    <m/>
    <m/>
    <m/>
    <m/>
    <m/>
    <m/>
    <m/>
    <m/>
    <m/>
  </r>
  <r>
    <s v="CV25064"/>
    <s v="MARY LUZ RUALES GUZMAN"/>
    <x v="4"/>
    <x v="13"/>
    <s v="BBVA Seguros"/>
    <e v="#NAME?"/>
    <s v="NOSDA $ BAU (Mantenimiento y peq. evolutivos)"/>
    <n v="0.25"/>
    <s v="Desarrollador"/>
    <s v="Distribuido"/>
    <s v="LÍDER TÉCNICO"/>
    <e v="#NAME?"/>
    <e v="#NAME?"/>
    <e v="#NAME?"/>
    <m/>
    <m/>
    <m/>
    <m/>
    <m/>
    <m/>
    <m/>
    <m/>
    <m/>
  </r>
  <r>
    <s v="O003561"/>
    <s v="JOSE MIGUEL PORTILLO ROJAS"/>
    <x v="4"/>
    <x v="13"/>
    <s v="BBVA Seguros"/>
    <e v="#NAME?"/>
    <s v="NOSDA $ BAU (Mantenimiento y peq. evolutivos)"/>
    <n v="1"/>
    <s v="Desarrollador"/>
    <s v="Distribuido"/>
    <s v="LÍDER TÉCNICO"/>
    <e v="#NAME?"/>
    <e v="#NAME?"/>
    <e v="#NAME?"/>
    <m/>
    <m/>
    <m/>
    <m/>
    <m/>
    <m/>
    <m/>
    <m/>
    <m/>
  </r>
  <r>
    <s v="CE48448"/>
    <s v="MICHAEL CECILIO SODIR REVETE"/>
    <x v="4"/>
    <x v="13"/>
    <s v="Inetum"/>
    <e v="#NAME?"/>
    <s v="SDATOOL-37170 $ Seguros - LIS Coaseguro en Seguros Libres"/>
    <n v="0.5"/>
    <s v="Desarrollador"/>
    <s v="Distribuido"/>
    <s v="LÍDER TÉCNICO"/>
    <e v="#NAME?"/>
    <e v="#NAME?"/>
    <e v="#NAME?"/>
    <m/>
    <m/>
    <m/>
    <m/>
    <m/>
    <m/>
    <m/>
    <m/>
    <m/>
  </r>
  <r>
    <s v="CE48448"/>
    <s v="MICHAEL CECILIO SODIR REVETE"/>
    <x v="4"/>
    <x v="13"/>
    <s v="Inetum"/>
    <e v="#NAME?"/>
    <s v="SDATOOL-40767 $ Seguros - Migración FW / Auditoria (Front)"/>
    <n v="0.5"/>
    <s v="Desarrollador"/>
    <s v="Distribuido"/>
    <s v="LÍDER TÉCNICO"/>
    <e v="#NAME?"/>
    <e v="#NAME?"/>
    <e v="#NAME?"/>
    <m/>
    <m/>
    <m/>
    <m/>
    <m/>
    <m/>
    <m/>
    <m/>
    <m/>
  </r>
  <r>
    <s v="CV24903"/>
    <s v="CARLOS ANDRES MORA MUÑOZ"/>
    <x v="4"/>
    <x v="13"/>
    <s v="BBVA Seguros"/>
    <e v="#NAME?"/>
    <s v="SDATOOL-37170 $ Seguros - LIS Coaseguro en Seguros Libres"/>
    <n v="0.25"/>
    <s v="Tech Manager/Líder"/>
    <s v="Distribuido"/>
    <m/>
    <e v="#NAME?"/>
    <e v="#NAME?"/>
    <e v="#NAME?"/>
    <m/>
    <m/>
    <m/>
    <m/>
    <m/>
    <m/>
    <m/>
    <m/>
    <m/>
  </r>
  <r>
    <s v="CV24903"/>
    <s v="CARLOS ANDRES MORA MUÑOZ"/>
    <x v="4"/>
    <x v="13"/>
    <s v="BBVA Seguros"/>
    <e v="#NAME?"/>
    <s v="NOSDA $ BAU (Mantenimiento y peq. evolutivos)"/>
    <n v="0.25"/>
    <s v="Tech Manager/Líder"/>
    <s v="Distribuido"/>
    <m/>
    <e v="#NAME?"/>
    <e v="#NAME?"/>
    <e v="#NAME?"/>
    <m/>
    <m/>
    <m/>
    <m/>
    <m/>
    <m/>
    <m/>
    <m/>
    <m/>
  </r>
  <r>
    <s v="CV24903"/>
    <s v="CARLOS ANDRES MORA MUÑOZ"/>
    <x v="4"/>
    <x v="13"/>
    <s v="BBVA Seguros"/>
    <e v="#NAME?"/>
    <s v="SDATOOL-38225 $ Seguros - Mandatorios 2022"/>
    <n v="0.5"/>
    <s v="Tech Manager/Líder"/>
    <s v="Distribuido"/>
    <m/>
    <e v="#NAME?"/>
    <e v="#NAME?"/>
    <e v="#NAME?"/>
    <m/>
    <m/>
    <m/>
    <m/>
    <m/>
    <m/>
    <m/>
    <m/>
    <m/>
  </r>
  <r>
    <s v="CE44928"/>
    <s v="DESIREE JOSELYN MARQUEZ DIAZ"/>
    <x v="4"/>
    <x v="13"/>
    <s v="VASS"/>
    <e v="#NAME?"/>
    <s v="SDATOOL-36501 $ Seguros - Cobro de seguros libres en créditos - Desempleo Fase 2"/>
    <n v="0.5"/>
    <s v="Desarrollador"/>
    <s v="Distribuido"/>
    <s v="LÍDER TÉCNICO"/>
    <e v="#NAME?"/>
    <e v="#NAME?"/>
    <e v="#NAME?"/>
    <m/>
    <m/>
    <m/>
    <m/>
    <m/>
    <m/>
    <m/>
    <m/>
    <m/>
  </r>
  <r>
    <s v="CE44928"/>
    <s v="DESIREE JOSELYN MARQUEZ DIAZ"/>
    <x v="4"/>
    <x v="13"/>
    <s v="VASS"/>
    <e v="#NAME?"/>
    <s v="SDATOOL-42265 $ Seguros - Verificación de Identidad CE27"/>
    <n v="0.5"/>
    <s v="Desarrollador"/>
    <s v="Distribuido"/>
    <s v="LÍDER TÉCNICO"/>
    <e v="#NAME?"/>
    <e v="#NAME?"/>
    <e v="#NAME?"/>
    <m/>
    <m/>
    <m/>
    <m/>
    <m/>
    <m/>
    <m/>
    <m/>
    <m/>
  </r>
  <r>
    <s v="CV25067"/>
    <s v="FRANCINE NARVAEZ LONDOÑO"/>
    <x v="4"/>
    <x v="13"/>
    <s v="BBVA Seguros"/>
    <e v="#NAME?"/>
    <s v="SDATOOL-37170 $ Seguros - LIS Coaseguro en Seguros Libres"/>
    <n v="0.75"/>
    <s v="Desarrollador"/>
    <s v="Distribuido"/>
    <s v="LÍDER TÉCNICO"/>
    <e v="#NAME?"/>
    <e v="#NAME?"/>
    <e v="#NAME?"/>
    <m/>
    <m/>
    <m/>
    <m/>
    <m/>
    <m/>
    <m/>
    <m/>
    <m/>
  </r>
  <r>
    <s v="CV25067"/>
    <s v="FRANCINE NARVAEZ LONDOÑO"/>
    <x v="4"/>
    <x v="13"/>
    <s v="BBVA Seguros"/>
    <e v="#NAME?"/>
    <s v="NOSDA $ BAU (Mantenimiento y peq. evolutivos)"/>
    <n v="0.25"/>
    <s v="Desarrollador"/>
    <s v="Distribuido"/>
    <s v="LÍDER TÉCNICO"/>
    <e v="#NAME?"/>
    <e v="#NAME?"/>
    <e v="#NAME?"/>
    <m/>
    <m/>
    <m/>
    <m/>
    <m/>
    <m/>
    <m/>
    <m/>
    <m/>
  </r>
  <r>
    <s v="CV25084"/>
    <s v="JEISON IVAN GAMBA HASTAMORIR"/>
    <x v="4"/>
    <x v="13"/>
    <s v="BBVA Seguros"/>
    <e v="#NAME?"/>
    <s v="SDATOOL-42265 $ Seguros - Verificación de Identidad CE27"/>
    <n v="1"/>
    <s v="Desarrollador"/>
    <s v="Distribuido"/>
    <s v="LÍDER TÉCNICO"/>
    <e v="#NAME?"/>
    <e v="#NAME?"/>
    <e v="#NAME?"/>
    <m/>
    <m/>
    <m/>
    <m/>
    <m/>
    <m/>
    <m/>
    <m/>
    <m/>
  </r>
  <r>
    <s v="CV25093"/>
    <s v="NANCY ESTEFANIA CASAS PERDOMO"/>
    <x v="4"/>
    <x v="13"/>
    <s v="BBVA Seguros"/>
    <e v="#NAME?"/>
    <s v="NOSDA $ BAU (Mantenimiento y peq. evolutivos)"/>
    <n v="0.75"/>
    <s v="Desarrollador"/>
    <s v="Distribuido"/>
    <s v="LÍDER TÉCNICO"/>
    <e v="#NAME?"/>
    <e v="#NAME?"/>
    <e v="#NAME?"/>
    <m/>
    <m/>
    <m/>
    <m/>
    <m/>
    <m/>
    <m/>
    <m/>
    <m/>
  </r>
  <r>
    <s v="CV25093"/>
    <s v="NANCY ESTEFANIA CASAS PERDOMO"/>
    <x v="4"/>
    <x v="13"/>
    <s v="BBVA Seguros"/>
    <e v="#NAME?"/>
    <s v="SDATOOL-36501 $ Seguros - Cobro de seguros libres en créditos - Desempleo Fase 2"/>
    <n v="0.25"/>
    <s v="Desarrollador"/>
    <s v="Distribuido"/>
    <s v="LÍDER TÉCNICO"/>
    <e v="#NAME?"/>
    <e v="#NAME?"/>
    <e v="#NAME?"/>
    <m/>
    <m/>
    <m/>
    <m/>
    <m/>
    <m/>
    <m/>
    <m/>
    <m/>
  </r>
  <r>
    <s v="CV25074"/>
    <s v="JOHAN SEBASTIAN DUEÑAS ARTUNDUAGA_x000a_"/>
    <x v="4"/>
    <x v="13"/>
    <s v="BBVA Seguros"/>
    <e v="#NAME?"/>
    <s v="SDATOOL-37170 $ Seguros - LIS Coaseguro en Seguros Libres"/>
    <n v="1"/>
    <s v="Desarrollador"/>
    <s v="Distribuido"/>
    <m/>
    <e v="#NAME?"/>
    <e v="#NAME?"/>
    <e v="#NAME?"/>
    <m/>
    <m/>
    <m/>
    <m/>
    <m/>
    <m/>
    <m/>
    <m/>
    <m/>
  </r>
  <r>
    <s v="CV25001"/>
    <s v="ELKIN FERNANDO BURBANO CORAL"/>
    <x v="4"/>
    <x v="13"/>
    <s v="BBVA Seguros"/>
    <e v="#NAME?"/>
    <s v="SDATOOL-40764 $ Seguros - AXA F2"/>
    <n v="0.75"/>
    <s v="Tech Manager/Líder"/>
    <s v="Distribuido"/>
    <m/>
    <e v="#NAME?"/>
    <e v="#NAME?"/>
    <e v="#NAME?"/>
    <m/>
    <m/>
    <m/>
    <m/>
    <m/>
    <m/>
    <m/>
    <m/>
    <m/>
  </r>
  <r>
    <s v="CV25001"/>
    <s v="ELKIN FERNANDO BURBANO CORAL"/>
    <x v="4"/>
    <x v="13"/>
    <s v="BBVA Seguros"/>
    <e v="#NAME?"/>
    <s v="SDATOOL-37170 $ Seguros - LIS Coaseguro en Seguros Libres"/>
    <n v="0.25"/>
    <s v="Tech Manager/Líder"/>
    <s v="Distribuido"/>
    <m/>
    <e v="#NAME?"/>
    <e v="#NAME?"/>
    <e v="#NAME?"/>
    <m/>
    <m/>
    <m/>
    <m/>
    <m/>
    <m/>
    <m/>
    <m/>
    <m/>
  </r>
  <r>
    <s v="CE66586"/>
    <s v="DANEY FELIPE MIRANDA MIRANDA"/>
    <x v="4"/>
    <x v="13"/>
    <s v="Inetum"/>
    <e v="#NAME?"/>
    <s v="SDATOOL-38080 $ Seguros - LIS Coaseguro Aceptado Autos"/>
    <n v="1"/>
    <s v="QA"/>
    <s v="Otras Tec."/>
    <s v="Altamira"/>
    <e v="#NAME?"/>
    <e v="#NAME?"/>
    <e v="#NAME?"/>
    <m/>
    <m/>
    <m/>
    <m/>
    <m/>
    <m/>
    <m/>
    <m/>
    <m/>
  </r>
  <r>
    <s v="T005668"/>
    <s v="ERICK SANTIAGO GUERRERO ROMERO"/>
    <x v="4"/>
    <x v="13"/>
    <s v="Inetum"/>
    <e v="#NAME?"/>
    <s v="SDATOOL-38080 $ Seguros - LIS Coaseguro Aceptado Autos"/>
    <n v="1"/>
    <s v="QA"/>
    <m/>
    <s v="Altamira"/>
    <e v="#NAME?"/>
    <e v="#NAME?"/>
    <e v="#NAME?"/>
    <m/>
    <m/>
    <m/>
    <m/>
    <m/>
    <m/>
    <m/>
    <m/>
    <m/>
  </r>
  <r>
    <s v="CE48941"/>
    <s v="CRISTHIAN ARMANDO DUEÑAS"/>
    <x v="4"/>
    <x v="13"/>
    <s v="Inetum"/>
    <e v="#NAME?"/>
    <s v="NOSDA $ BAU (Mantenimiento y peq. evolutivos)"/>
    <n v="1"/>
    <s v="QA"/>
    <s v="Distribuido"/>
    <m/>
    <e v="#NAME?"/>
    <e v="#NAME?"/>
    <e v="#NAME?"/>
    <m/>
    <m/>
    <m/>
    <m/>
    <m/>
    <m/>
    <m/>
    <m/>
    <m/>
  </r>
  <r>
    <s v="CE50178"/>
    <s v="PABLO ENRIQUE CALDERON DIAZ"/>
    <x v="4"/>
    <x v="13"/>
    <s v="Inetum"/>
    <e v="#NAME?"/>
    <s v="NOSDA $ BAU (Mantenimiento y peq. evolutivos)"/>
    <n v="1"/>
    <s v="Otros"/>
    <m/>
    <s v="Técnico Despliegues Seguros / Altamira"/>
    <e v="#NAME?"/>
    <e v="#NAME?"/>
    <e v="#NAME?"/>
    <m/>
    <m/>
    <m/>
    <m/>
    <m/>
    <m/>
    <m/>
    <m/>
    <m/>
  </r>
  <r>
    <s v="CE69705"/>
    <s v="MIGUEL FAJARDO"/>
    <x v="4"/>
    <x v="13"/>
    <s v="Inetum"/>
    <e v="#NAME?"/>
    <s v="SDATOOL-36501 $ Seguros - Cobro de seguros libres en créditos - Desempleo Fase 2"/>
    <n v="1"/>
    <s v="QA"/>
    <s v="Distribuido"/>
    <m/>
    <e v="#NAME?"/>
    <e v="#NAME?"/>
    <e v="#NAME?"/>
    <m/>
    <m/>
    <m/>
    <m/>
    <m/>
    <m/>
    <m/>
    <m/>
    <m/>
  </r>
  <r>
    <s v="CE53945"/>
    <s v="GIOVANNI ALONSO PENARETE BUITRAGO"/>
    <x v="4"/>
    <x v="13"/>
    <s v="Inetum"/>
    <e v="#NAME?"/>
    <s v="SDATOOL-38080 $ Seguros - LIS Coaseguro Aceptado Autos"/>
    <n v="1"/>
    <s v="QA"/>
    <m/>
    <s v="Altamira"/>
    <e v="#NAME?"/>
    <e v="#NAME?"/>
    <e v="#NAME?"/>
    <m/>
    <m/>
    <m/>
    <m/>
    <m/>
    <m/>
    <m/>
    <m/>
    <m/>
  </r>
  <r>
    <s v="T008565"/>
    <s v="HENRY FABIAN ROJAS GALLEGO"/>
    <x v="4"/>
    <x v="13"/>
    <s v="Inetum"/>
    <e v="#NAME?"/>
    <s v="SDATOOL-38080 $ Seguros - LIS Coaseguro Aceptado Autos"/>
    <n v="1"/>
    <s v="QA"/>
    <m/>
    <s v="Altamira"/>
    <e v="#NAME?"/>
    <e v="#NAME?"/>
    <e v="#NAME?"/>
    <m/>
    <m/>
    <m/>
    <m/>
    <m/>
    <m/>
    <m/>
    <m/>
    <m/>
  </r>
  <r>
    <s v="T009692"/>
    <s v="SEBASTIAN FELIPE ROJAS"/>
    <x v="4"/>
    <x v="13"/>
    <s v="Inetum"/>
    <e v="#NAME?"/>
    <s v="NOSDA $ BAU (Mantenimiento y peq. evolutivos)"/>
    <n v="1"/>
    <s v="Otros"/>
    <m/>
    <s v="Técnico Despliegues Seguros / Altamira"/>
    <e v="#NAME?"/>
    <e v="#NAME?"/>
    <e v="#NAME?"/>
    <m/>
    <m/>
    <m/>
    <m/>
    <m/>
    <m/>
    <m/>
    <m/>
    <m/>
  </r>
  <r>
    <s v="CE42004"/>
    <s v="CLARENA VALENCIA CALDERON"/>
    <x v="4"/>
    <x v="13"/>
    <s v="Inetum"/>
    <e v="#NAME?"/>
    <s v="SDATOOL-38080 $ Seguros - LIS Coaseguro Aceptado Autos"/>
    <n v="1"/>
    <s v="QA"/>
    <m/>
    <s v="Altamira"/>
    <e v="#NAME?"/>
    <e v="#NAME?"/>
    <e v="#NAME?"/>
    <m/>
    <m/>
    <m/>
    <m/>
    <m/>
    <m/>
    <m/>
    <m/>
    <m/>
  </r>
  <r>
    <n v="1032450219"/>
    <s v="JULIAN LEANDRO CASTRO"/>
    <x v="4"/>
    <x v="13"/>
    <s v="Inetum"/>
    <e v="#NAME?"/>
    <s v="SDATOOL-42099 $ Seguros - Cuota Segura/Créditos de libranza (SEGUROS)"/>
    <n v="1"/>
    <s v="QA"/>
    <m/>
    <s v="Altamira"/>
    <e v="#NAME?"/>
    <e v="#NAME?"/>
    <e v="#NAME?"/>
    <m/>
    <m/>
    <m/>
    <m/>
    <m/>
    <m/>
    <m/>
    <m/>
    <m/>
  </r>
  <r>
    <s v="CE65204"/>
    <s v="KATHERINE GALINDO VARGAS"/>
    <x v="4"/>
    <x v="13"/>
    <s v="GGI / CMC"/>
    <e v="#NAME?"/>
    <s v="SDATOOL-34750 $ Seguros - Suscripción/Siniestros Seguros Licitación"/>
    <n v="1"/>
    <s v="QA"/>
    <s v="Distribuido"/>
    <m/>
    <e v="#NAME?"/>
    <e v="#NAME?"/>
    <e v="#NAME?"/>
    <m/>
    <m/>
    <m/>
    <m/>
    <m/>
    <m/>
    <m/>
    <m/>
    <m/>
  </r>
  <r>
    <s v="CE65203"/>
    <s v="NATALIA ALEJANDRA GRAJALES CARDONA"/>
    <x v="4"/>
    <x v="13"/>
    <s v="GGI / CMC"/>
    <e v="#NAME?"/>
    <s v="SDATOOL-38080 $ Seguros - LIS Coaseguro Aceptado Autos"/>
    <n v="1"/>
    <s v="QA"/>
    <s v="Distribuido"/>
    <m/>
    <e v="#NAME?"/>
    <e v="#NAME?"/>
    <e v="#NAME?"/>
    <m/>
    <m/>
    <m/>
    <m/>
    <m/>
    <m/>
    <m/>
    <m/>
    <m/>
  </r>
  <r>
    <s v="CE53475"/>
    <s v="ANDREA MARCELA RODRIGUEZ A"/>
    <x v="4"/>
    <x v="13"/>
    <s v="GGI / CMC"/>
    <e v="#NAME?"/>
    <s v="NOSDA $ BAU (Mantenimiento y peq. evolutivos)"/>
    <n v="1"/>
    <s v="QA"/>
    <m/>
    <s v="Altamira"/>
    <e v="#NAME?"/>
    <e v="#NAME?"/>
    <e v="#NAME?"/>
    <m/>
    <m/>
    <m/>
    <m/>
    <m/>
    <m/>
    <m/>
    <m/>
    <m/>
  </r>
  <r>
    <s v="CE60737"/>
    <s v="JAIRO JUNIOR HERNANDEZ TRILLOS"/>
    <x v="4"/>
    <x v="13"/>
    <s v="GGI / CMC"/>
    <e v="#NAME?"/>
    <s v="SDATOOL-40764 $ Seguros - AXA F2"/>
    <n v="1"/>
    <s v="QA"/>
    <s v="Distribuido"/>
    <m/>
    <e v="#NAME?"/>
    <e v="#NAME?"/>
    <e v="#NAME?"/>
    <m/>
    <m/>
    <m/>
    <m/>
    <m/>
    <m/>
    <m/>
    <m/>
    <m/>
  </r>
  <r>
    <s v="CE37757"/>
    <s v="ENOIDES MEJIA"/>
    <x v="4"/>
    <x v="13"/>
    <s v="GGI / CMC"/>
    <e v="#NAME?"/>
    <s v="NOSDA $ BAU (Mantenimiento y peq. evolutivos)"/>
    <n v="1"/>
    <s v="Otros"/>
    <s v="Distribuido"/>
    <s v="Técnico Despliegues Seguros - Distribuido"/>
    <e v="#NAME?"/>
    <e v="#NAME?"/>
    <e v="#NAME?"/>
    <m/>
    <m/>
    <m/>
    <m/>
    <m/>
    <m/>
    <m/>
    <m/>
    <m/>
  </r>
  <r>
    <s v="CE69797"/>
    <s v="MARIA ALEJANDRA ZUÑIGA"/>
    <x v="4"/>
    <x v="13"/>
    <s v="Choucair"/>
    <e v="#NAME?"/>
    <s v="NOSDA $ BAU (Mantenimiento y peq. evolutivos)"/>
    <n v="1"/>
    <s v="QA"/>
    <m/>
    <s v="Altamira"/>
    <e v="#NAME?"/>
    <e v="#NAME?"/>
    <e v="#NAME?"/>
    <m/>
    <m/>
    <m/>
    <m/>
    <m/>
    <m/>
    <m/>
    <m/>
    <m/>
  </r>
  <r>
    <s v="CE66582"/>
    <s v="ANDREA CATERIN MUNOZ ACOSTA"/>
    <x v="4"/>
    <x v="13"/>
    <s v="KRYPTO"/>
    <e v="#NAME?"/>
    <s v="SDATOOL-38080 $ Seguros - LIS Coaseguro Aceptado Autos"/>
    <n v="1"/>
    <s v="QA"/>
    <m/>
    <s v="Altamira"/>
    <e v="#NAME?"/>
    <e v="#NAME?"/>
    <e v="#NAME?"/>
    <m/>
    <m/>
    <m/>
    <m/>
    <m/>
    <m/>
    <m/>
    <m/>
    <m/>
  </r>
  <r>
    <s v="CE55951"/>
    <s v="TANIA YULIETH PUENTES REAL"/>
    <x v="4"/>
    <x v="13"/>
    <s v="KRYPTO"/>
    <e v="#NAME?"/>
    <s v="SDATOOL-38080 $ Seguros - LIS Coaseguro Aceptado Autos"/>
    <n v="1"/>
    <s v="QA"/>
    <m/>
    <s v="Altamira"/>
    <e v="#NAME?"/>
    <e v="#NAME?"/>
    <e v="#NAME?"/>
    <m/>
    <m/>
    <m/>
    <m/>
    <m/>
    <m/>
    <m/>
    <m/>
    <m/>
  </r>
  <r>
    <s v="CE50906"/>
    <s v="EDGAR DANIEL CASTRO MUNOZ"/>
    <x v="4"/>
    <x v="13"/>
    <s v="KRYPTO"/>
    <e v="#NAME?"/>
    <s v="SDATOOL-42099 $ Seguros - Cuota Segura/Créditos de libranza (SEGUROS)"/>
    <n v="1"/>
    <s v="QA"/>
    <m/>
    <s v="Altamira"/>
    <e v="#NAME?"/>
    <e v="#NAME?"/>
    <e v="#NAME?"/>
    <m/>
    <m/>
    <m/>
    <m/>
    <m/>
    <m/>
    <m/>
    <m/>
    <m/>
  </r>
  <r>
    <s v="CE34436"/>
    <s v="BERTHA GRACIELA LOPEZ RODRIGUEZ"/>
    <x v="4"/>
    <x v="13"/>
    <s v="VASS"/>
    <e v="#NAME?"/>
    <s v="SDATOOL-36501 $ Seguros - Cobro de seguros libres en créditos - Desempleo Fase 2"/>
    <n v="1"/>
    <s v="QA"/>
    <s v="Distribuido"/>
    <m/>
    <e v="#NAME?"/>
    <e v="#NAME?"/>
    <e v="#NAME?"/>
    <m/>
    <m/>
    <m/>
    <m/>
    <m/>
    <m/>
    <m/>
    <m/>
    <m/>
  </r>
  <r>
    <s v="CE68707"/>
    <s v="MIGUEL LEÓN"/>
    <x v="4"/>
    <x v="13"/>
    <s v="JARZSOFT"/>
    <e v="#NAME?"/>
    <s v="SDATOOL-36501 $ Seguros - Cobro de seguros libres en créditos - Desempleo Fase 2"/>
    <n v="1"/>
    <s v="QA"/>
    <s v="Distribuido"/>
    <m/>
    <e v="#NAME?"/>
    <e v="#NAME?"/>
    <e v="#NAME?"/>
    <m/>
    <m/>
    <m/>
    <m/>
    <m/>
    <m/>
    <m/>
    <m/>
    <m/>
  </r>
  <r>
    <s v="CV68710"/>
    <s v="JOHN FREDY MUNOZ MARTINEZ"/>
    <x v="4"/>
    <x v="13"/>
    <s v="SII"/>
    <e v="#NAME?"/>
    <s v="SDATOOL-40767 $ Seguros - Migración FW / Auditoria (Front)"/>
    <n v="1"/>
    <s v="QA"/>
    <s v="Distribuido"/>
    <m/>
    <e v="#NAME?"/>
    <e v="#NAME?"/>
    <e v="#NAME?"/>
    <m/>
    <m/>
    <m/>
    <m/>
    <m/>
    <m/>
    <m/>
    <m/>
    <m/>
  </r>
  <r>
    <s v="CV24905"/>
    <s v="ADRIANA IBARRA"/>
    <x v="4"/>
    <x v="13"/>
    <s v="BBVA Seguros"/>
    <e v="#NAME?"/>
    <s v="SDATOOL-38080 $ Seguros - LIS Coaseguro Aceptado Autos"/>
    <n v="0.33"/>
    <s v="QA"/>
    <m/>
    <s v="QC"/>
    <e v="#NAME?"/>
    <e v="#NAME?"/>
    <e v="#NAME?"/>
    <m/>
    <m/>
    <m/>
    <m/>
    <m/>
    <m/>
    <m/>
    <m/>
    <m/>
  </r>
  <r>
    <s v="CV24905"/>
    <s v="ADRIANA IBARRA"/>
    <x v="4"/>
    <x v="13"/>
    <s v="BBVA Seguros"/>
    <e v="#NAME?"/>
    <s v="SDATOOL-42449 $ Seguros - LIS Coaseguro Aceptado Autos Fase 2"/>
    <n v="0.33"/>
    <s v="QA"/>
    <m/>
    <s v="QC"/>
    <e v="#NAME?"/>
    <e v="#NAME?"/>
    <e v="#NAME?"/>
    <m/>
    <m/>
    <m/>
    <m/>
    <m/>
    <m/>
    <m/>
    <m/>
    <m/>
  </r>
  <r>
    <s v="CV24905"/>
    <s v="ADRIANA IBARRA"/>
    <x v="4"/>
    <x v="13"/>
    <s v="BBVA Seguros"/>
    <e v="#NAME?"/>
    <s v="SDATOOL-36501 $ Seguros - Cobro de seguros libres en créditos - Desempleo Fase 2"/>
    <n v="0.34"/>
    <s v="QA"/>
    <m/>
    <s v="QC"/>
    <e v="#NAME?"/>
    <e v="#NAME?"/>
    <e v="#NAME?"/>
    <m/>
    <m/>
    <m/>
    <m/>
    <m/>
    <m/>
    <m/>
    <m/>
    <m/>
  </r>
  <r>
    <s v="O003129"/>
    <s v="DIEGO ARIEL RODRIGUEZ"/>
    <x v="4"/>
    <x v="13"/>
    <s v="BBVA Seguros"/>
    <e v="#NAME?"/>
    <s v="SDATOOL-40767 $ Seguros - Migración FW / Auditoria (Front)"/>
    <n v="0.5"/>
    <s v="Otros"/>
    <m/>
    <m/>
    <e v="#NAME?"/>
    <e v="#NAME?"/>
    <e v="#NAME?"/>
    <m/>
    <m/>
    <m/>
    <m/>
    <m/>
    <m/>
    <m/>
    <m/>
    <m/>
  </r>
  <r>
    <s v="O003129"/>
    <s v="DIEGO ARIEL RODRIGUEZ"/>
    <x v="4"/>
    <x v="13"/>
    <s v="BBVA Seguros"/>
    <e v="#NAME?"/>
    <s v="NOSDA $ BAU (Mantenimiento y peq. evolutivos)"/>
    <n v="0.5"/>
    <s v="Otros"/>
    <m/>
    <m/>
    <e v="#NAME?"/>
    <e v="#NAME?"/>
    <e v="#NAME?"/>
    <m/>
    <m/>
    <m/>
    <m/>
    <m/>
    <m/>
    <m/>
    <m/>
    <m/>
  </r>
  <r>
    <s v="T003707"/>
    <s v="Andres Camilo Ruiz Bravo"/>
    <x v="2"/>
    <x v="8"/>
    <s v="Neoris"/>
    <e v="#NAME?"/>
    <s v="SDATOOL-35656 $ Cupos y límites"/>
    <n v="0.25"/>
    <s v="Desarrollador"/>
    <m/>
    <s v="Externo"/>
    <e v="#NAME?"/>
    <e v="#NAME?"/>
    <e v="#NAME?"/>
    <m/>
    <m/>
    <m/>
    <m/>
    <m/>
    <m/>
    <m/>
    <m/>
    <m/>
  </r>
  <r>
    <s v="T003707"/>
    <s v="Andres Camilo Ruiz Bravo"/>
    <x v="2"/>
    <x v="8"/>
    <s v="Neoris"/>
    <e v="#NAME?"/>
    <s v="SDATOOL-39463 $ GRM Col - Actualización Versión Power Curve."/>
    <n v="0.1"/>
    <s v="Desarrollador"/>
    <m/>
    <s v="Externo"/>
    <e v="#NAME?"/>
    <e v="#NAME?"/>
    <e v="#NAME?"/>
    <m/>
    <m/>
    <m/>
    <m/>
    <m/>
    <m/>
    <m/>
    <m/>
    <m/>
  </r>
  <r>
    <s v="T003707"/>
    <s v="Andres Camilo Ruiz Bravo"/>
    <x v="2"/>
    <x v="8"/>
    <s v="Neoris"/>
    <e v="#NAME?"/>
    <s v="SDATOOL-40710 $ GRM Col - Cronos - Plan Ascenso - Mejoras CAP Pymes Fase II"/>
    <n v="0.45"/>
    <s v="Desarrollador"/>
    <m/>
    <s v="Externo"/>
    <e v="#NAME?"/>
    <e v="#NAME?"/>
    <e v="#NAME?"/>
    <m/>
    <m/>
    <m/>
    <m/>
    <m/>
    <m/>
    <m/>
    <m/>
    <m/>
  </r>
  <r>
    <s v="T003707"/>
    <s v="Andres Camilo Ruiz Bravo"/>
    <x v="2"/>
    <x v="8"/>
    <s v="Neoris"/>
    <e v="#NAME?"/>
    <s v="SDATOOL-38443 $ Arce Empresas Colombia"/>
    <n v="0.2"/>
    <s v="Desarrollador"/>
    <m/>
    <s v="Externo"/>
    <e v="#NAME?"/>
    <e v="#NAME?"/>
    <e v="#NAME?"/>
    <m/>
    <m/>
    <m/>
    <m/>
    <m/>
    <m/>
    <m/>
    <m/>
    <m/>
  </r>
  <r>
    <s v="CE54569"/>
    <s v="Danilo Cusba Pulido"/>
    <x v="2"/>
    <x v="8"/>
    <s v="Choucair"/>
    <e v="#NAME?"/>
    <s v="SDATOOL-39463 $ GRM Col - Actualización Versión Power Curve."/>
    <n v="0.45"/>
    <s v="QA"/>
    <m/>
    <s v="Externo"/>
    <e v="#NAME?"/>
    <e v="#NAME?"/>
    <e v="#NAME?"/>
    <m/>
    <m/>
    <m/>
    <m/>
    <m/>
    <m/>
    <m/>
    <m/>
    <m/>
  </r>
  <r>
    <s v="CE54569"/>
    <s v="Danilo Cusba Pulido"/>
    <x v="2"/>
    <x v="8"/>
    <s v="Choucair"/>
    <e v="#NAME?"/>
    <s v="SDATOOL-40710 $ GRM Col - Cronos - Plan Ascenso - Mejoras CAP Pymes Fase II"/>
    <n v="0.3"/>
    <s v="QA"/>
    <m/>
    <s v="Externo"/>
    <e v="#NAME?"/>
    <e v="#NAME?"/>
    <e v="#NAME?"/>
    <m/>
    <m/>
    <m/>
    <m/>
    <m/>
    <m/>
    <m/>
    <m/>
    <m/>
  </r>
  <r>
    <s v="CE54569"/>
    <s v="Danilo Cusba Pulido"/>
    <x v="2"/>
    <x v="8"/>
    <s v="Choucair"/>
    <e v="#NAME?"/>
    <s v="SDATOOL-39826 $ GRM Col- Plan Ascenso - Mejoras en CAP Pymes y disponibilización HdC"/>
    <n v="0.15"/>
    <s v="QA"/>
    <m/>
    <s v="Externo"/>
    <e v="#NAME?"/>
    <e v="#NAME?"/>
    <e v="#NAME?"/>
    <m/>
    <m/>
    <m/>
    <m/>
    <m/>
    <m/>
    <m/>
    <m/>
    <m/>
  </r>
  <r>
    <s v="CE54569"/>
    <s v="Danilo Cusba Pulido"/>
    <x v="2"/>
    <x v="8"/>
    <s v="Choucair"/>
    <e v="#NAME?"/>
    <s v="SDATOOL-38443 $ Arce Empresas Colombia"/>
    <n v="0.1"/>
    <s v="QA"/>
    <m/>
    <s v="Externo"/>
    <e v="#NAME?"/>
    <e v="#NAME?"/>
    <e v="#NAME?"/>
    <m/>
    <m/>
    <m/>
    <m/>
    <m/>
    <m/>
    <m/>
    <m/>
    <m/>
  </r>
  <r>
    <s v="T003442"/>
    <s v="DIDIER ALFREDO PASUY CASTANO"/>
    <x v="2"/>
    <x v="8"/>
    <s v="Neoris"/>
    <e v="#NAME?"/>
    <s v="SDATOOL-40710 $ GRM Col - Cronos - Plan Ascenso - Mejoras CAP Pymes Fase II"/>
    <n v="0.25"/>
    <s v="Desarrollador"/>
    <m/>
    <s v="Externo"/>
    <e v="#NAME?"/>
    <e v="#NAME?"/>
    <e v="#NAME?"/>
    <m/>
    <m/>
    <m/>
    <m/>
    <m/>
    <m/>
    <m/>
    <m/>
    <m/>
  </r>
  <r>
    <s v="T003442"/>
    <s v="DIDIER ALFREDO PASUY CASTANO"/>
    <x v="2"/>
    <x v="8"/>
    <s v="Neoris"/>
    <e v="#NAME?"/>
    <s v="SDATOOL-38443 $ Arce Empresas Colombia"/>
    <n v="0.25"/>
    <s v="Desarrollador"/>
    <m/>
    <s v="Externo"/>
    <e v="#NAME?"/>
    <e v="#NAME?"/>
    <e v="#NAME?"/>
    <m/>
    <m/>
    <m/>
    <m/>
    <m/>
    <m/>
    <m/>
    <m/>
    <m/>
  </r>
  <r>
    <s v="T003442"/>
    <s v="DIDIER ALFREDO PASUY CASTANO"/>
    <x v="2"/>
    <x v="8"/>
    <s v="Neoris"/>
    <e v="#NAME?"/>
    <s v="SDATOOL-35656 $ Cupos y límites"/>
    <n v="0.25"/>
    <s v="Desarrollador"/>
    <m/>
    <s v="Externo"/>
    <e v="#NAME?"/>
    <e v="#NAME?"/>
    <e v="#NAME?"/>
    <m/>
    <m/>
    <m/>
    <m/>
    <m/>
    <m/>
    <m/>
    <m/>
    <m/>
  </r>
  <r>
    <s v="T003442"/>
    <s v="DIDIER ALFREDO PASUY CASTANO"/>
    <x v="2"/>
    <x v="8"/>
    <s v="Neoris"/>
    <e v="#NAME?"/>
    <s v="SDATOOL-35656 $ Cupos y límites"/>
    <n v="0.25"/>
    <s v="Desarrollador"/>
    <m/>
    <s v="Externo"/>
    <e v="#NAME?"/>
    <e v="#NAME?"/>
    <e v="#NAME?"/>
    <m/>
    <m/>
    <m/>
    <m/>
    <m/>
    <m/>
    <m/>
    <m/>
    <m/>
  </r>
  <r>
    <s v="C804037"/>
    <s v="Eddy Hernando Bogota Cangrejo"/>
    <x v="2"/>
    <x v="8"/>
    <s v="BBVA"/>
    <e v="#NAME?"/>
    <s v="SDATOOL-38443 $ Arce Empresas Colombia"/>
    <n v="0.25"/>
    <s v="Tech Manager/Líder"/>
    <m/>
    <s v="Interno"/>
    <e v="#NAME?"/>
    <e v="#NAME?"/>
    <e v="#NAME?"/>
    <m/>
    <m/>
    <m/>
    <m/>
    <m/>
    <m/>
    <m/>
    <m/>
    <m/>
  </r>
  <r>
    <s v="C804037"/>
    <s v="Eddy Hernando Bogota Cangrejo"/>
    <x v="2"/>
    <x v="8"/>
    <s v="BBVA"/>
    <e v="#NAME?"/>
    <s v="SDATOOL-39826 $ GRM Col- Plan Ascenso - Mejoras en CAP Pymes y disponibilización HdC"/>
    <n v="0.2"/>
    <s v="Tech Manager/Líder"/>
    <m/>
    <s v="Interno"/>
    <e v="#NAME?"/>
    <e v="#NAME?"/>
    <e v="#NAME?"/>
    <m/>
    <m/>
    <m/>
    <m/>
    <m/>
    <m/>
    <m/>
    <m/>
    <m/>
  </r>
  <r>
    <s v="C804037"/>
    <s v="Eddy Hernando Bogota Cangrejo"/>
    <x v="2"/>
    <x v="8"/>
    <s v="BBVA"/>
    <e v="#NAME?"/>
    <s v="SDATOOL-35656 $ Cupos y límites"/>
    <n v="0.2"/>
    <s v="Tech Manager/Líder"/>
    <m/>
    <s v="Interno"/>
    <e v="#NAME?"/>
    <e v="#NAME?"/>
    <e v="#NAME?"/>
    <m/>
    <m/>
    <m/>
    <m/>
    <m/>
    <m/>
    <m/>
    <m/>
    <m/>
  </r>
  <r>
    <s v="C804037"/>
    <s v="Eddy Hernando Bogota Cangrejo"/>
    <x v="2"/>
    <x v="8"/>
    <s v="BBVA"/>
    <e v="#NAME?"/>
    <s v="SDATOOL-40710 $ GRM Col - Cronos - Plan Ascenso - Mejoras CAP Pymes Fase II"/>
    <n v="0.2"/>
    <s v="Tech Manager/Líder"/>
    <m/>
    <s v="Interno"/>
    <e v="#NAME?"/>
    <e v="#NAME?"/>
    <e v="#NAME?"/>
    <m/>
    <m/>
    <m/>
    <m/>
    <m/>
    <m/>
    <m/>
    <m/>
    <m/>
  </r>
  <r>
    <s v="C804037"/>
    <s v="Eddy Hernando Bogota Cangrejo"/>
    <x v="2"/>
    <x v="8"/>
    <s v="BBVA"/>
    <e v="#NAME?"/>
    <s v="NOSDA $ BAU (Mantenimiento y peq. evolutivos)"/>
    <n v="0.15"/>
    <s v="Tech Manager/Líder"/>
    <m/>
    <s v="Interno"/>
    <e v="#NAME?"/>
    <e v="#NAME?"/>
    <e v="#NAME?"/>
    <m/>
    <m/>
    <m/>
    <m/>
    <m/>
    <m/>
    <m/>
    <m/>
    <m/>
  </r>
  <r>
    <s v="C805749"/>
    <s v="Espitia Montilla William Ricardo"/>
    <x v="2"/>
    <x v="8"/>
    <s v="BBVA"/>
    <e v="#NAME?"/>
    <s v="SDATOOL-40710 $ GRM Col - Cronos - Plan Ascenso - Mejoras CAP Pymes Fase II"/>
    <n v="0.5"/>
    <s v="Desarrollador"/>
    <m/>
    <s v="Interno"/>
    <e v="#NAME?"/>
    <e v="#NAME?"/>
    <e v="#NAME?"/>
    <m/>
    <m/>
    <m/>
    <m/>
    <m/>
    <m/>
    <m/>
    <m/>
    <m/>
  </r>
  <r>
    <s v="C805749"/>
    <s v="Espitia Montilla William Ricardo"/>
    <x v="2"/>
    <x v="8"/>
    <s v="BBVA"/>
    <e v="#NAME?"/>
    <s v="SDATOOL-35656 $ Cupos y límites"/>
    <n v="0.4"/>
    <s v="Desarrollador"/>
    <m/>
    <s v="Interno"/>
    <e v="#NAME?"/>
    <e v="#NAME?"/>
    <e v="#NAME?"/>
    <m/>
    <m/>
    <m/>
    <m/>
    <m/>
    <m/>
    <m/>
    <m/>
    <m/>
  </r>
  <r>
    <s v="C805749"/>
    <s v="Espitia Montilla William Ricardo"/>
    <x v="2"/>
    <x v="8"/>
    <s v="BBVA"/>
    <e v="#NAME?"/>
    <s v="SDATOOL-38443 $ Arce Empresas Colombia"/>
    <n v="0.1"/>
    <s v="Desarrollador"/>
    <m/>
    <s v="Interno"/>
    <e v="#NAME?"/>
    <e v="#NAME?"/>
    <e v="#NAME?"/>
    <m/>
    <m/>
    <m/>
    <m/>
    <m/>
    <m/>
    <m/>
    <m/>
    <m/>
  </r>
  <r>
    <s v="C809505"/>
    <s v="Fuentes Rojas Jose David"/>
    <x v="2"/>
    <x v="8"/>
    <s v="BBVA"/>
    <e v="#NAME?"/>
    <s v="SDATOOL-40710 $ GRM Col - Cronos - Plan Ascenso - Mejoras CAP Pymes Fase II"/>
    <n v="0.35"/>
    <s v="Desarrollador"/>
    <m/>
    <s v="Interno"/>
    <e v="#NAME?"/>
    <e v="#NAME?"/>
    <e v="#NAME?"/>
    <m/>
    <m/>
    <m/>
    <m/>
    <m/>
    <m/>
    <m/>
    <m/>
    <m/>
  </r>
  <r>
    <s v="C809505"/>
    <s v="Fuentes Rojas Jose David"/>
    <x v="2"/>
    <x v="8"/>
    <s v="BBVA"/>
    <e v="#NAME?"/>
    <s v="SDATOOL-38443 $ Arce Empresas Colombia"/>
    <n v="0.3"/>
    <s v="Desarrollador"/>
    <m/>
    <s v="Interno"/>
    <e v="#NAME?"/>
    <e v="#NAME?"/>
    <e v="#NAME?"/>
    <m/>
    <m/>
    <m/>
    <m/>
    <m/>
    <m/>
    <m/>
    <m/>
    <m/>
  </r>
  <r>
    <s v="C809505"/>
    <s v="Fuentes Rojas Jose David"/>
    <x v="2"/>
    <x v="8"/>
    <s v="BBVA"/>
    <e v="#NAME?"/>
    <s v="SDATOOL-35656 $ Cupos y límites"/>
    <n v="0.35"/>
    <s v="Desarrollador"/>
    <m/>
    <s v="Interno"/>
    <e v="#NAME?"/>
    <e v="#NAME?"/>
    <e v="#NAME?"/>
    <m/>
    <m/>
    <m/>
    <m/>
    <m/>
    <m/>
    <m/>
    <m/>
    <m/>
  </r>
  <r>
    <s v="CE58926"/>
    <s v="HEYBER FERNANDO NINO GUANUME."/>
    <x v="2"/>
    <x v="8"/>
    <s v="Neoris"/>
    <e v="#NAME?"/>
    <s v="SDATOOL-38443 $ Arce Empresas Colombia"/>
    <n v="0.5"/>
    <s v="Desarrollador"/>
    <m/>
    <s v="Externo"/>
    <e v="#NAME?"/>
    <e v="#NAME?"/>
    <e v="#NAME?"/>
    <m/>
    <m/>
    <m/>
    <m/>
    <m/>
    <m/>
    <m/>
    <m/>
    <m/>
  </r>
  <r>
    <s v="CE58926"/>
    <s v="HEYBER FERNANDO NINO GUANUME."/>
    <x v="2"/>
    <x v="8"/>
    <s v="Neoris"/>
    <e v="#NAME?"/>
    <s v="SDATOOL-38443 $ Arce Empresas Colombia"/>
    <n v="0.5"/>
    <s v="Desarrollador"/>
    <m/>
    <s v="Externo"/>
    <e v="#NAME?"/>
    <e v="#NAME?"/>
    <e v="#NAME?"/>
    <m/>
    <m/>
    <m/>
    <m/>
    <m/>
    <m/>
    <m/>
    <m/>
    <m/>
  </r>
  <r>
    <s v="T002660"/>
    <s v="JUAN ALEJANDRO RIOS PEREZ"/>
    <x v="2"/>
    <x v="8"/>
    <s v="Choucair"/>
    <e v="#NAME?"/>
    <s v="SDATOOL-40710 $ GRM Col - Cronos - Plan Ascenso - Mejoras CAP Pymes Fase II"/>
    <n v="0.3"/>
    <s v="QA"/>
    <m/>
    <s v="Externo"/>
    <e v="#NAME?"/>
    <e v="#NAME?"/>
    <e v="#NAME?"/>
    <m/>
    <m/>
    <m/>
    <m/>
    <m/>
    <m/>
    <m/>
    <m/>
    <m/>
  </r>
  <r>
    <s v="T002660"/>
    <s v="JUAN ALEJANDRO RIOS PEREZ"/>
    <x v="2"/>
    <x v="8"/>
    <s v="Choucair"/>
    <e v="#NAME?"/>
    <s v="SDATOOL-35656 $ Cupos y límites"/>
    <n v="0.3"/>
    <s v="QA"/>
    <m/>
    <s v="Externo"/>
    <e v="#NAME?"/>
    <e v="#NAME?"/>
    <e v="#NAME?"/>
    <m/>
    <m/>
    <m/>
    <m/>
    <m/>
    <m/>
    <m/>
    <m/>
    <m/>
  </r>
  <r>
    <s v="T002660"/>
    <s v="JUAN ALEJANDRO RIOS PEREZ"/>
    <x v="2"/>
    <x v="8"/>
    <s v="Choucair"/>
    <e v="#NAME?"/>
    <s v="SDATOOL-38443 $ Arce Empresas Colombia"/>
    <n v="0.4"/>
    <s v="QA"/>
    <m/>
    <s v="Externo"/>
    <e v="#NAME?"/>
    <e v="#NAME?"/>
    <e v="#NAME?"/>
    <m/>
    <m/>
    <m/>
    <m/>
    <m/>
    <m/>
    <m/>
    <m/>
    <m/>
  </r>
  <r>
    <s v="T003439"/>
    <s v="Paula Janeth moreno Escobar"/>
    <x v="2"/>
    <x v="8"/>
    <s v="Neoris"/>
    <e v="#NAME?"/>
    <s v="SDATOOL-40710 $ GRM Col - Cronos - Plan Ascenso - Mejoras CAP Pymes Fase II"/>
    <n v="0.5"/>
    <s v="Desarrollador"/>
    <m/>
    <s v="Externo"/>
    <e v="#NAME?"/>
    <e v="#NAME?"/>
    <e v="#NAME?"/>
    <m/>
    <m/>
    <m/>
    <m/>
    <m/>
    <m/>
    <m/>
    <m/>
    <m/>
  </r>
  <r>
    <s v="T003439"/>
    <s v="Paula Janeth moreno Escobar"/>
    <x v="2"/>
    <x v="8"/>
    <s v="Neoris"/>
    <e v="#NAME?"/>
    <s v="SDATOOL-35656 $ Cupos y límites"/>
    <n v="0.1"/>
    <s v="Desarrollador"/>
    <m/>
    <s v="Externo"/>
    <e v="#NAME?"/>
    <e v="#NAME?"/>
    <e v="#NAME?"/>
    <m/>
    <m/>
    <m/>
    <m/>
    <m/>
    <m/>
    <m/>
    <m/>
    <m/>
  </r>
  <r>
    <s v="T003439"/>
    <s v="Paula Janeth moreno Escobar"/>
    <x v="2"/>
    <x v="8"/>
    <s v="Neoris"/>
    <e v="#NAME?"/>
    <s v="SDATOOL-38443 $ Arce Empresas Colombia"/>
    <n v="0.4"/>
    <s v="Desarrollador"/>
    <m/>
    <s v="Externo"/>
    <e v="#NAME?"/>
    <e v="#NAME?"/>
    <e v="#NAME?"/>
    <m/>
    <m/>
    <m/>
    <m/>
    <m/>
    <m/>
    <m/>
    <m/>
    <m/>
  </r>
  <r>
    <s v="C808793"/>
    <s v="Rey Orozco Cristian Ivan"/>
    <x v="2"/>
    <x v="8"/>
    <s v="BBVA"/>
    <e v="#NAME?"/>
    <s v="SDATOOL-40710 $ GRM Col - Cronos - Plan Ascenso - Mejoras CAP Pymes Fase II"/>
    <n v="0.8"/>
    <s v="Desarrollador"/>
    <m/>
    <s v="Interno"/>
    <e v="#NAME?"/>
    <e v="#NAME?"/>
    <e v="#NAME?"/>
    <m/>
    <m/>
    <m/>
    <m/>
    <m/>
    <m/>
    <m/>
    <m/>
    <m/>
  </r>
  <r>
    <s v="C808793"/>
    <s v="Rey Orozco Cristian Ivan"/>
    <x v="2"/>
    <x v="8"/>
    <s v="BBVA"/>
    <e v="#NAME?"/>
    <s v="SDATOOL-35656 $ Cupos y límites"/>
    <n v="0.2"/>
    <s v="Desarrollador"/>
    <m/>
    <s v="Interno"/>
    <e v="#NAME?"/>
    <e v="#NAME?"/>
    <e v="#NAME?"/>
    <m/>
    <m/>
    <m/>
    <m/>
    <m/>
    <m/>
    <m/>
    <m/>
    <m/>
  </r>
  <r>
    <s v="C811305"/>
    <s v="Rigoberto Rios Hueso"/>
    <x v="2"/>
    <x v="8"/>
    <s v="BBVA"/>
    <e v="#NAME?"/>
    <s v="SDATOOL-39463 $ GRM Col - Actualización Versión Power Curve."/>
    <n v="0.4"/>
    <s v="Desarrollador"/>
    <m/>
    <s v="Interno"/>
    <e v="#NAME?"/>
    <e v="#NAME?"/>
    <e v="#NAME?"/>
    <m/>
    <m/>
    <m/>
    <m/>
    <m/>
    <m/>
    <m/>
    <m/>
    <m/>
  </r>
  <r>
    <s v="C811305"/>
    <s v="Rigoberto Rios Hueso"/>
    <x v="2"/>
    <x v="8"/>
    <s v="BBVA"/>
    <e v="#NAME?"/>
    <s v="SDATOOL-39826 $ GRM Col- Plan Ascenso - Mejoras en CAP Pymes y disponibilización HdC"/>
    <n v="0.6"/>
    <s v="Desarrollador"/>
    <m/>
    <s v="Interno"/>
    <e v="#NAME?"/>
    <e v="#NAME?"/>
    <e v="#NAME?"/>
    <m/>
    <m/>
    <m/>
    <m/>
    <m/>
    <m/>
    <m/>
    <m/>
    <m/>
  </r>
  <r>
    <s v="T003924"/>
    <s v="Stefan Nicolas Aponte Murcia"/>
    <x v="2"/>
    <x v="8"/>
    <s v="GGI / CMC"/>
    <e v="#NAME?"/>
    <s v="SDATOOL-40710 $ GRM Col - Cronos - Plan Ascenso - Mejoras CAP Pymes Fase II"/>
    <n v="0.6"/>
    <s v="Desarrollador"/>
    <m/>
    <s v="Externo"/>
    <e v="#NAME?"/>
    <e v="#NAME?"/>
    <e v="#NAME?"/>
    <m/>
    <m/>
    <m/>
    <m/>
    <m/>
    <m/>
    <m/>
    <m/>
    <m/>
  </r>
  <r>
    <s v="T003924"/>
    <s v="Stefan Nicolas Aponte Murcia"/>
    <x v="2"/>
    <x v="8"/>
    <s v="GGI / CMC"/>
    <e v="#NAME?"/>
    <s v="SDATOOL-35656 $ Cupos y límites"/>
    <n v="0.4"/>
    <s v="Desarrollador"/>
    <m/>
    <s v="Externo"/>
    <e v="#NAME?"/>
    <e v="#NAME?"/>
    <e v="#NAME?"/>
    <m/>
    <m/>
    <m/>
    <m/>
    <m/>
    <m/>
    <m/>
    <m/>
    <m/>
  </r>
  <r>
    <s v="T005244"/>
    <s v="TOVAR VELASQUEZ MEYER"/>
    <x v="2"/>
    <x v="8"/>
    <s v="Neoris"/>
    <e v="#NAME?"/>
    <s v="SDATOOL-40710 $ GRM Col - Cronos - Plan Ascenso - Mejoras CAP Pymes Fase II"/>
    <n v="0.3"/>
    <s v="Desarrollador"/>
    <m/>
    <s v="Externo"/>
    <e v="#NAME?"/>
    <e v="#NAME?"/>
    <e v="#NAME?"/>
    <m/>
    <m/>
    <m/>
    <m/>
    <m/>
    <m/>
    <m/>
    <m/>
    <m/>
  </r>
  <r>
    <s v="T005244"/>
    <s v="TOVAR VELASQUEZ MEYER"/>
    <x v="2"/>
    <x v="8"/>
    <s v="Neoris"/>
    <e v="#NAME?"/>
    <s v="SDATOOL-35656 $ Cupos y límites"/>
    <n v="0.4"/>
    <s v="Desarrollador"/>
    <m/>
    <s v="Externo"/>
    <e v="#NAME?"/>
    <e v="#NAME?"/>
    <e v="#NAME?"/>
    <m/>
    <m/>
    <m/>
    <m/>
    <m/>
    <m/>
    <m/>
    <m/>
    <m/>
  </r>
  <r>
    <s v="T005244"/>
    <s v="TOVAR VELASQUEZ MEYER"/>
    <x v="2"/>
    <x v="8"/>
    <s v="Neoris"/>
    <e v="#NAME?"/>
    <s v="SDATOOL-38443 $ Arce Empresas Colombia"/>
    <n v="0.3"/>
    <s v="Desarrollador"/>
    <m/>
    <s v="Externo"/>
    <e v="#NAME?"/>
    <e v="#NAME?"/>
    <e v="#NAME?"/>
    <m/>
    <m/>
    <m/>
    <m/>
    <m/>
    <m/>
    <m/>
    <m/>
    <m/>
  </r>
  <r>
    <s v="T004481"/>
    <s v="ACEVEDO SANCHEZ RUBEN DARIO"/>
    <x v="2"/>
    <x v="8"/>
    <s v="Neoris"/>
    <e v="#NAME?"/>
    <s v="SDATOOL-40710 $ GRM Col - Cronos - Plan Ascenso - Mejoras CAP Pymes Fase II"/>
    <n v="0.5"/>
    <s v="Desarrollador"/>
    <m/>
    <s v="Externo"/>
    <e v="#NAME?"/>
    <e v="#NAME?"/>
    <e v="#NAME?"/>
    <m/>
    <m/>
    <m/>
    <m/>
    <m/>
    <m/>
    <m/>
    <m/>
    <m/>
  </r>
  <r>
    <s v="T004481"/>
    <s v="ACEVEDO SANCHEZ RUBEN DARIO"/>
    <x v="2"/>
    <x v="8"/>
    <s v="Neoris"/>
    <e v="#NAME?"/>
    <s v="SDATOOL-35656 $ Cupos y límites"/>
    <n v="0.5"/>
    <s v="Desarrollador"/>
    <m/>
    <s v="Externo"/>
    <e v="#NAME?"/>
    <e v="#NAME?"/>
    <e v="#NAME?"/>
    <m/>
    <m/>
    <m/>
    <m/>
    <m/>
    <m/>
    <m/>
    <m/>
    <m/>
  </r>
  <r>
    <s v="CE54975"/>
    <s v="Juan Carlos Pardo Hernandez"/>
    <x v="2"/>
    <x v="8"/>
    <s v="GGI / CMC"/>
    <e v="#NAME?"/>
    <s v="SDATOOL-40710 $ GRM Col - Cronos - Plan Ascenso - Mejoras CAP Pymes Fase II"/>
    <n v="0.5"/>
    <s v="Desarrollador"/>
    <m/>
    <s v="Externo"/>
    <e v="#NAME?"/>
    <e v="#NAME?"/>
    <e v="#NAME?"/>
    <m/>
    <m/>
    <m/>
    <m/>
    <m/>
    <m/>
    <m/>
    <m/>
    <m/>
  </r>
  <r>
    <s v="CE54975"/>
    <s v="Juan Carlos Pardo Hernandez"/>
    <x v="2"/>
    <x v="8"/>
    <s v="GGI / CMC"/>
    <e v="#NAME?"/>
    <s v="SDATOOL-35656 $ Cupos y límites"/>
    <n v="0.5"/>
    <s v="Desarrollador"/>
    <m/>
    <s v="Externo"/>
    <e v="#NAME?"/>
    <e v="#NAME?"/>
    <e v="#NAME?"/>
    <m/>
    <m/>
    <m/>
    <m/>
    <m/>
    <m/>
    <m/>
    <m/>
    <m/>
  </r>
  <r>
    <s v="CE64571"/>
    <s v="Melissa Correa Rios"/>
    <x v="2"/>
    <x v="8"/>
    <s v="GGI / CMC"/>
    <e v="#NAME?"/>
    <s v="SDATOOL-35656 $ Cupos y límites"/>
    <n v="1"/>
    <s v="Desarrollador"/>
    <m/>
    <s v="Externo"/>
    <e v="#NAME?"/>
    <e v="#NAME?"/>
    <e v="#NAME?"/>
    <m/>
    <m/>
    <m/>
    <m/>
    <m/>
    <m/>
    <m/>
    <m/>
    <m/>
  </r>
  <r>
    <s v="CE69336"/>
    <s v="Kleiver Joan Martinez Peña"/>
    <x v="2"/>
    <x v="8"/>
    <s v="Indra"/>
    <e v="#NAME?"/>
    <s v="SDATOOL-38443 $ Arce Empresas Colombia"/>
    <n v="1"/>
    <s v="Desarrollador"/>
    <m/>
    <s v="Externo"/>
    <e v="#NAME?"/>
    <e v="#NAME?"/>
    <e v="#NAME?"/>
    <m/>
    <m/>
    <m/>
    <m/>
    <m/>
    <m/>
    <m/>
    <m/>
    <m/>
  </r>
  <r>
    <s v="CE50845"/>
    <s v="Jeferson Daniel Agudelo sierra"/>
    <x v="2"/>
    <x v="8"/>
    <s v="Neoris"/>
    <e v="#NAME?"/>
    <s v="SDATOOL-35656 $ Cupos y límites"/>
    <n v="0.5"/>
    <s v="Desarrollador"/>
    <m/>
    <s v="Externo"/>
    <e v="#NAME?"/>
    <e v="#NAME?"/>
    <e v="#NAME?"/>
    <m/>
    <m/>
    <m/>
    <m/>
    <m/>
    <m/>
    <m/>
    <m/>
    <m/>
  </r>
  <r>
    <s v="CE50845"/>
    <s v="Jeferson Daniel Agudelo sierra"/>
    <x v="2"/>
    <x v="8"/>
    <s v="Neoris"/>
    <e v="#NAME?"/>
    <s v="SDATOOL-38443 $ Arce Empresas Colombia"/>
    <n v="0.3"/>
    <s v="Desarrollador"/>
    <m/>
    <s v="Externo"/>
    <e v="#NAME?"/>
    <e v="#NAME?"/>
    <e v="#NAME?"/>
    <m/>
    <m/>
    <m/>
    <m/>
    <m/>
    <m/>
    <m/>
    <m/>
    <m/>
  </r>
  <r>
    <s v="CE50845"/>
    <s v="Jeferson Daniel Agudelo sierra"/>
    <x v="2"/>
    <x v="8"/>
    <s v="Neoris"/>
    <e v="#NAME?"/>
    <s v="SDATOOL-40710 $ GRM Col - Cronos - Plan Ascenso - Mejoras CAP Pymes Fase II"/>
    <n v="0.2"/>
    <s v="Desarrollador"/>
    <m/>
    <m/>
    <e v="#NAME?"/>
    <e v="#NAME?"/>
    <e v="#NAME?"/>
    <m/>
    <m/>
    <m/>
    <m/>
    <m/>
    <m/>
    <m/>
    <m/>
    <m/>
  </r>
  <r>
    <s v="CE67859"/>
    <s v="Andres Felipe Quintero Salazar"/>
    <x v="5"/>
    <x v="14"/>
    <s v="Accenture"/>
    <e v="#NAME?"/>
    <s v="SDATOOL-39348 $ tarjeta de crédito Open Market Fallback product"/>
    <n v="0.5"/>
    <s v="Desarrollador"/>
    <s v="ASO"/>
    <m/>
    <e v="#NAME?"/>
    <e v="#NAME?"/>
    <e v="#NAME?"/>
    <m/>
    <m/>
    <m/>
    <m/>
    <m/>
    <m/>
    <m/>
    <m/>
    <m/>
  </r>
  <r>
    <s v="CE51863"/>
    <s v="EDNA ROCIO MONCADA"/>
    <x v="5"/>
    <x v="14"/>
    <s v="KRYPTO"/>
    <e v="#NAME?"/>
    <s v="SDATOOL-39348 $ tarjeta de crédito Open Market Fallback product"/>
    <n v="0.02"/>
    <s v="QA"/>
    <s v="Otras Tec."/>
    <m/>
    <e v="#NAME?"/>
    <e v="#NAME?"/>
    <e v="#NAME?"/>
    <m/>
    <m/>
    <m/>
    <m/>
    <m/>
    <m/>
    <m/>
    <m/>
    <m/>
  </r>
  <r>
    <s v="O002593"/>
    <s v="TATIANA CAROLINA AVELLANEDA"/>
    <x v="5"/>
    <x v="14"/>
    <s v="BBVA"/>
    <e v="#NAME?"/>
    <s v="SDATOOL-39348 $ tarjeta de crédito Open Market Fallback product"/>
    <n v="0.2"/>
    <s v="Tech Manager/Líder"/>
    <s v="Otras Tec."/>
    <m/>
    <e v="#NAME?"/>
    <e v="#NAME?"/>
    <e v="#NAME?"/>
    <m/>
    <m/>
    <m/>
    <m/>
    <m/>
    <m/>
    <m/>
    <m/>
    <m/>
  </r>
  <r>
    <s v="O001659"/>
    <s v="CARLOS ARTURO PUENTES ZAMBRANO"/>
    <x v="5"/>
    <x v="14"/>
    <s v="BBVA"/>
    <e v="#NAME?"/>
    <s v="SDATOOL-39348 $ tarjeta de crédito Open Market Fallback product"/>
    <n v="1"/>
    <s v="Desarrollador"/>
    <s v="Mainframe"/>
    <m/>
    <e v="#NAME?"/>
    <e v="#NAME?"/>
    <e v="#NAME?"/>
    <m/>
    <m/>
    <m/>
    <m/>
    <m/>
    <m/>
    <m/>
    <m/>
    <m/>
  </r>
  <r>
    <s v="T004575"/>
    <s v="David Sandoval Arboleda"/>
    <x v="5"/>
    <x v="14"/>
    <s v="Accenture"/>
    <e v="#NAME?"/>
    <s v="SDATOOL-39348 $ tarjeta de crédito Open Market Fallback product"/>
    <n v="1"/>
    <s v="Desarrollador"/>
    <s v="Cells"/>
    <m/>
    <e v="#NAME?"/>
    <e v="#NAME?"/>
    <e v="#NAME?"/>
    <m/>
    <m/>
    <m/>
    <m/>
    <m/>
    <m/>
    <m/>
    <m/>
    <m/>
  </r>
  <r>
    <s v="O000959"/>
    <s v="JORGE ESTEBAN LLANOS"/>
    <x v="5"/>
    <x v="14"/>
    <s v="BBVA"/>
    <e v="#NAME?"/>
    <s v="SDATOOL-39348 $ tarjeta de crédito Open Market Fallback product"/>
    <n v="1"/>
    <s v="Desarrollador"/>
    <s v="APX"/>
    <m/>
    <e v="#NAME?"/>
    <e v="#NAME?"/>
    <e v="#NAME?"/>
    <m/>
    <m/>
    <m/>
    <m/>
    <m/>
    <m/>
    <m/>
    <m/>
    <m/>
  </r>
  <r>
    <s v="C811006"/>
    <s v="JULIAN ESTIC LAGOS GALINDO"/>
    <x v="5"/>
    <x v="14"/>
    <s v="BBVA"/>
    <e v="#NAME?"/>
    <s v="SDATOOL-39348 $ tarjeta de crédito Open Market Fallback product"/>
    <n v="1"/>
    <s v="Desarrollador"/>
    <s v="Cells"/>
    <m/>
    <e v="#NAME?"/>
    <e v="#NAME?"/>
    <e v="#NAME?"/>
    <m/>
    <m/>
    <m/>
    <m/>
    <m/>
    <m/>
    <m/>
    <m/>
    <m/>
  </r>
  <r>
    <s v="T004934"/>
    <s v="Luis Eduardo Fonseca Fajardo"/>
    <x v="5"/>
    <x v="14"/>
    <s v="Choucair"/>
    <e v="#NAME?"/>
    <s v="SDATOOL-39348 $ tarjeta de crédito Open Market Fallback product"/>
    <n v="1"/>
    <s v="QA"/>
    <s v="Otras Tec."/>
    <m/>
    <e v="#NAME?"/>
    <e v="#NAME?"/>
    <e v="#NAME?"/>
    <m/>
    <m/>
    <m/>
    <m/>
    <m/>
    <m/>
    <m/>
    <m/>
    <m/>
  </r>
  <r>
    <s v="CE70412"/>
    <s v="Angie Chiguasuque"/>
    <x v="5"/>
    <x v="14"/>
    <s v="Choucair"/>
    <e v="#NAME?"/>
    <s v="SDATOOL-39348 $ tarjeta de crédito Open Market Fallback product"/>
    <n v="1"/>
    <s v="QA"/>
    <s v="Otras Tec."/>
    <m/>
    <e v="#NAME?"/>
    <e v="#NAME?"/>
    <e v="#NAME?"/>
    <m/>
    <m/>
    <m/>
    <m/>
    <m/>
    <m/>
    <m/>
    <m/>
    <m/>
  </r>
  <r>
    <s v="CE51863"/>
    <s v="EDNA ROCIO MONCADA"/>
    <x v="5"/>
    <x v="14"/>
    <s v="KRYPTO"/>
    <e v="#NAME?"/>
    <s v="SDATOOL-38419 $ Contratación cuenta en línea en Glomo"/>
    <n v="0.02"/>
    <s v="QA"/>
    <s v="Otras Tec."/>
    <m/>
    <e v="#NAME?"/>
    <e v="#NAME?"/>
    <e v="#NAME?"/>
    <m/>
    <m/>
    <m/>
    <m/>
    <m/>
    <m/>
    <m/>
    <m/>
    <m/>
  </r>
  <r>
    <s v="O005003 "/>
    <s v="Ginna García Lara"/>
    <x v="5"/>
    <x v="14"/>
    <s v="BBVA"/>
    <e v="#NAME?"/>
    <s v="SDATOOL-38419 $ Contratación cuenta en línea en Glomo"/>
    <n v="0.2"/>
    <s v="Tech Manager/Líder"/>
    <s v="Otras Tec."/>
    <m/>
    <e v="#NAME?"/>
    <e v="#NAME?"/>
    <e v="#NAME?"/>
    <m/>
    <m/>
    <m/>
    <m/>
    <m/>
    <m/>
    <m/>
    <m/>
    <m/>
  </r>
  <r>
    <s v="T001903"/>
    <s v="David Santiago Quijano Ordoñez"/>
    <x v="5"/>
    <x v="14"/>
    <s v="Choucair"/>
    <e v="#NAME?"/>
    <s v="SDATOOL-38419 $ Contratación cuenta en línea en Glomo"/>
    <n v="1"/>
    <s v="QA"/>
    <s v="Otras Tec."/>
    <m/>
    <e v="#NAME?"/>
    <e v="#NAME?"/>
    <e v="#NAME?"/>
    <m/>
    <m/>
    <m/>
    <m/>
    <m/>
    <m/>
    <m/>
    <m/>
    <m/>
  </r>
  <r>
    <s v="CE48051"/>
    <s v="Edgar Andrés Garzon Rangel"/>
    <x v="5"/>
    <x v="14"/>
    <s v="Novatec"/>
    <e v="#NAME?"/>
    <s v="SDATOOL-38419 $ Contratación cuenta en línea en Glomo"/>
    <n v="1"/>
    <s v="Desarrollador"/>
    <s v="Mainframe"/>
    <m/>
    <e v="#NAME?"/>
    <e v="#NAME?"/>
    <e v="#NAME?"/>
    <m/>
    <m/>
    <m/>
    <m/>
    <m/>
    <m/>
    <m/>
    <m/>
    <m/>
  </r>
  <r>
    <s v="CE69994"/>
    <s v="Lautaro Nahuel Cuello"/>
    <x v="5"/>
    <x v="14"/>
    <s v="Globant"/>
    <e v="#NAME?"/>
    <s v="SDATOOL-38419 $ Contratación cuenta en línea en Glomo"/>
    <n v="1"/>
    <s v="Desarrollador"/>
    <s v="Cells"/>
    <m/>
    <e v="#NAME?"/>
    <e v="#NAME?"/>
    <e v="#NAME?"/>
    <m/>
    <m/>
    <m/>
    <m/>
    <m/>
    <m/>
    <m/>
    <m/>
    <m/>
  </r>
  <r>
    <s v="CE70000"/>
    <s v="Manuel Augusto Vilchez Maticorena"/>
    <x v="5"/>
    <x v="14"/>
    <s v="Globant"/>
    <e v="#NAME?"/>
    <s v="SDATOOL-38419 $ Contratación cuenta en línea en Glomo"/>
    <n v="1"/>
    <s v="Desarrollador"/>
    <s v="APX"/>
    <m/>
    <e v="#NAME?"/>
    <e v="#NAME?"/>
    <e v="#NAME?"/>
    <m/>
    <m/>
    <m/>
    <m/>
    <m/>
    <m/>
    <m/>
    <m/>
    <m/>
  </r>
  <r>
    <s v="C811282"/>
    <s v="Santiago Galindo Gutierrez"/>
    <x v="5"/>
    <x v="14"/>
    <s v="BBVA"/>
    <e v="#NAME?"/>
    <s v="SDATOOL-38419 $ Contratación cuenta en línea en Glomo"/>
    <n v="1"/>
    <s v="Desarrollador"/>
    <s v="Cells"/>
    <m/>
    <e v="#NAME?"/>
    <e v="#NAME?"/>
    <e v="#NAME?"/>
    <m/>
    <m/>
    <m/>
    <m/>
    <m/>
    <m/>
    <m/>
    <m/>
    <m/>
  </r>
  <r>
    <s v="CE69992"/>
    <s v="Stephany L Ceron Salas"/>
    <x v="5"/>
    <x v="14"/>
    <s v="Globant"/>
    <e v="#NAME?"/>
    <s v="SDATOOL-38419 $ Contratación cuenta en línea en Glomo"/>
    <n v="1"/>
    <s v="Desarrollador"/>
    <s v="Cells"/>
    <m/>
    <e v="#NAME?"/>
    <e v="#NAME?"/>
    <e v="#NAME?"/>
    <m/>
    <m/>
    <m/>
    <m/>
    <m/>
    <m/>
    <m/>
    <m/>
    <m/>
  </r>
  <r>
    <s v="CE51863"/>
    <s v="EDNA ROCIO MONCADA"/>
    <x v="5"/>
    <x v="14"/>
    <s v="KRYPTO"/>
    <e v="#NAME?"/>
    <s v="SDATOOL-41797 $ Optimización Cuenta en línea Web"/>
    <n v="0.02"/>
    <s v="QA"/>
    <s v="Otras Tec."/>
    <m/>
    <e v="#NAME?"/>
    <e v="#NAME?"/>
    <e v="#NAME?"/>
    <m/>
    <m/>
    <m/>
    <m/>
    <m/>
    <m/>
    <m/>
    <m/>
    <m/>
  </r>
  <r>
    <s v="O005003 "/>
    <s v="Ginna García Lara"/>
    <x v="5"/>
    <x v="14"/>
    <s v="BBVA"/>
    <e v="#NAME?"/>
    <s v="SDATOOL-41797 $ Optimización Cuenta en línea Web"/>
    <n v="0.2"/>
    <s v="Tech Manager/Líder"/>
    <s v="Otras Tec."/>
    <m/>
    <e v="#NAME?"/>
    <e v="#NAME?"/>
    <e v="#NAME?"/>
    <m/>
    <m/>
    <m/>
    <m/>
    <m/>
    <m/>
    <m/>
    <m/>
    <m/>
  </r>
  <r>
    <s v="C805527"/>
    <s v="FABIAN ALEJANDRO LOPEZ SUAREZ"/>
    <x v="5"/>
    <x v="14"/>
    <s v="BBVA"/>
    <e v="#NAME?"/>
    <s v="SDATOOL-41797 $ Optimización Cuenta en línea Web"/>
    <n v="1"/>
    <s v="Desarrollador"/>
    <s v="Cells"/>
    <m/>
    <e v="#NAME?"/>
    <e v="#NAME?"/>
    <e v="#NAME?"/>
    <m/>
    <m/>
    <m/>
    <m/>
    <m/>
    <m/>
    <m/>
    <m/>
    <m/>
  </r>
  <r>
    <s v="T006279"/>
    <s v="Jairo Andres Ochoa"/>
    <x v="5"/>
    <x v="14"/>
    <s v="Choucair"/>
    <e v="#NAME?"/>
    <s v="SDATOOL-41797 $ Optimización Cuenta en línea Web"/>
    <n v="1"/>
    <s v="QA"/>
    <s v="Otras Tec."/>
    <m/>
    <e v="#NAME?"/>
    <e v="#NAME?"/>
    <e v="#NAME?"/>
    <m/>
    <m/>
    <m/>
    <m/>
    <m/>
    <m/>
    <m/>
    <m/>
    <m/>
  </r>
  <r>
    <m/>
    <s v="Desarrollador Front"/>
    <x v="5"/>
    <x v="14"/>
    <s v="Accenture"/>
    <e v="#NAME?"/>
    <s v="SDATOOL-41797 $ Optimización Cuenta en línea Web"/>
    <n v="1"/>
    <s v="Desarrollador"/>
    <s v="Cells"/>
    <m/>
    <e v="#NAME?"/>
    <e v="#NAME?"/>
    <e v="#NAME?"/>
    <m/>
    <m/>
    <m/>
    <m/>
    <m/>
    <m/>
    <m/>
    <m/>
    <m/>
  </r>
  <r>
    <s v="O005003 "/>
    <s v="Ginna García Lara"/>
    <x v="5"/>
    <x v="14"/>
    <s v="BBVA"/>
    <e v="#NAME?"/>
    <s v="SDATOOL-36048 $ Repositorio flujos ventas digitales flujos - Plan Ascenso Open Market"/>
    <n v="0.2"/>
    <s v="Tech Manager/Líder"/>
    <s v="Otras Tec."/>
    <m/>
    <e v="#NAME?"/>
    <e v="#NAME?"/>
    <e v="#NAME?"/>
    <m/>
    <m/>
    <m/>
    <m/>
    <n v="2"/>
    <m/>
    <m/>
    <m/>
    <m/>
  </r>
  <r>
    <s v="T000210"/>
    <s v="Carlos Alberto Meneses Campohermoso"/>
    <x v="5"/>
    <x v="14"/>
    <s v="Indra"/>
    <e v="#NAME?"/>
    <s v="SDATOOL-36048 $ Repositorio flujos ventas digitales flujos - Plan Ascenso Open Market"/>
    <n v="1"/>
    <s v="Desarrollador"/>
    <s v="Cells"/>
    <m/>
    <e v="#NAME?"/>
    <e v="#NAME?"/>
    <e v="#NAME?"/>
    <m/>
    <m/>
    <m/>
    <m/>
    <n v="2"/>
    <m/>
    <m/>
    <m/>
    <m/>
  </r>
  <r>
    <s v="O002162"/>
    <s v="JUAN FELIPE MARTÍN PUERTO"/>
    <x v="5"/>
    <x v="14"/>
    <s v="BBVA"/>
    <e v="#NAME?"/>
    <s v="SDATOOL-36048 $ Repositorio flujos ventas digitales flujos - Plan Ascenso Open Market"/>
    <n v="1"/>
    <s v="Desarrollador"/>
    <s v="APX"/>
    <m/>
    <e v="#NAME?"/>
    <e v="#NAME?"/>
    <e v="#NAME?"/>
    <m/>
    <m/>
    <m/>
    <m/>
    <n v="2"/>
    <m/>
    <m/>
    <m/>
    <m/>
  </r>
  <r>
    <s v="CE69750"/>
    <s v="Lina Vanessa Rincón Prada"/>
    <x v="5"/>
    <x v="14"/>
    <s v="Choucair"/>
    <e v="#NAME?"/>
    <s v="SDATOOL-36048 $ Repositorio flujos ventas digitales flujos - Plan Ascenso Open Market"/>
    <n v="1"/>
    <s v="QA"/>
    <s v="Otras Tec."/>
    <m/>
    <e v="#NAME?"/>
    <e v="#NAME?"/>
    <e v="#NAME?"/>
    <m/>
    <m/>
    <m/>
    <m/>
    <n v="2"/>
    <m/>
    <m/>
    <m/>
    <m/>
  </r>
  <r>
    <s v="T001323"/>
    <s v="Martin Bournonville"/>
    <x v="5"/>
    <x v="14"/>
    <s v="Globant"/>
    <e v="#NAME?"/>
    <s v="SDATOOL-36048 $ Repositorio flujos ventas digitales flujos - Plan Ascenso Open Market"/>
    <n v="1"/>
    <s v="Desarrollador"/>
    <s v="Cells"/>
    <m/>
    <e v="#NAME?"/>
    <e v="#NAME?"/>
    <e v="#NAME?"/>
    <m/>
    <m/>
    <m/>
    <m/>
    <n v="2"/>
    <m/>
    <m/>
    <m/>
    <m/>
  </r>
  <r>
    <s v="CE55865"/>
    <s v="Santiago Pulido Calderon"/>
    <x v="5"/>
    <x v="14"/>
    <s v="GGI / CMC"/>
    <e v="#NAME?"/>
    <s v="SDATOOL-36048 $ Repositorio flujos ventas digitales flujos - Plan Ascenso Open Market"/>
    <n v="1"/>
    <s v="Desarrollador"/>
    <s v="Mainframe"/>
    <m/>
    <e v="#NAME?"/>
    <e v="#NAME?"/>
    <e v="#NAME?"/>
    <m/>
    <m/>
    <m/>
    <m/>
    <n v="2"/>
    <m/>
    <m/>
    <m/>
    <m/>
  </r>
  <r>
    <s v="C805937"/>
    <s v="SERGIO IVAN SANCHEZ PLAZAS"/>
    <x v="5"/>
    <x v="14"/>
    <s v="BBVA"/>
    <e v="#NAME?"/>
    <s v="SDATOOL-36048 $ Repositorio flujos ventas digitales flujos - Plan Ascenso Open Market"/>
    <n v="1"/>
    <s v="Desarrollador"/>
    <s v="Cells"/>
    <m/>
    <e v="#NAME?"/>
    <e v="#NAME?"/>
    <e v="#NAME?"/>
    <m/>
    <m/>
    <m/>
    <m/>
    <n v="2"/>
    <m/>
    <m/>
    <m/>
    <m/>
  </r>
  <r>
    <m/>
    <s v="Desarrollador Front 1"/>
    <x v="5"/>
    <x v="14"/>
    <s v="Indra"/>
    <e v="#NAME?"/>
    <s v="SDATOOL-36048 $ Repositorio flujos ventas digitales flujos - Plan Ascenso Open Market"/>
    <n v="1"/>
    <s v="Desarrollador"/>
    <s v="Cells"/>
    <m/>
    <e v="#NAME?"/>
    <e v="#NAME?"/>
    <e v="#NAME?"/>
    <m/>
    <m/>
    <m/>
    <m/>
    <n v="2"/>
    <m/>
    <m/>
    <m/>
    <m/>
  </r>
  <r>
    <m/>
    <s v="Desarrollador Front 2"/>
    <x v="5"/>
    <x v="14"/>
    <s v="Accenture"/>
    <e v="#NAME?"/>
    <s v="SDATOOL-36048 $ Repositorio flujos ventas digitales flujos - Plan Ascenso Open Market"/>
    <n v="1"/>
    <s v="Desarrollador"/>
    <s v="Cells"/>
    <m/>
    <e v="#NAME?"/>
    <e v="#NAME?"/>
    <e v="#NAME?"/>
    <m/>
    <m/>
    <m/>
    <m/>
    <n v="2"/>
    <m/>
    <m/>
    <m/>
    <m/>
  </r>
  <r>
    <m/>
    <s v="Desarrollador APX 1"/>
    <x v="5"/>
    <x v="14"/>
    <s v="Indra"/>
    <e v="#NAME?"/>
    <s v="SDATOOL-36048 $ Repositorio flujos ventas digitales flujos - Plan Ascenso Open Market"/>
    <n v="1"/>
    <s v="Desarrollador"/>
    <s v="APX"/>
    <m/>
    <e v="#NAME?"/>
    <e v="#NAME?"/>
    <e v="#NAME?"/>
    <m/>
    <m/>
    <m/>
    <m/>
    <n v="2"/>
    <m/>
    <m/>
    <m/>
    <m/>
  </r>
  <r>
    <m/>
    <s v="Desarrollador APX 2"/>
    <x v="5"/>
    <x v="14"/>
    <s v="Accenture"/>
    <e v="#NAME?"/>
    <s v="SDATOOL-36048 $ Repositorio flujos ventas digitales flujos - Plan Ascenso Open Market"/>
    <n v="1"/>
    <s v="Desarrollador"/>
    <s v="APX"/>
    <m/>
    <e v="#NAME?"/>
    <e v="#NAME?"/>
    <e v="#NAME?"/>
    <m/>
    <m/>
    <m/>
    <m/>
    <n v="2"/>
    <m/>
    <m/>
    <m/>
    <m/>
  </r>
  <r>
    <m/>
    <s v="Tester 1"/>
    <x v="5"/>
    <x v="14"/>
    <s v="Choucair"/>
    <e v="#NAME?"/>
    <s v="SDATOOL-36048 $ Repositorio flujos ventas digitales flujos - Plan Ascenso Open Market"/>
    <n v="1"/>
    <s v="QA"/>
    <s v="Otras Tec."/>
    <m/>
    <e v="#NAME?"/>
    <e v="#NAME?"/>
    <e v="#NAME?"/>
    <m/>
    <m/>
    <m/>
    <m/>
    <n v="2"/>
    <m/>
    <m/>
    <m/>
    <m/>
  </r>
  <r>
    <m/>
    <s v="Tester 2"/>
    <x v="5"/>
    <x v="14"/>
    <s v="Choucair"/>
    <e v="#NAME?"/>
    <s v="SDATOOL-36048 $ Repositorio flujos ventas digitales flujos - Plan Ascenso Open Market"/>
    <n v="1"/>
    <s v="QA"/>
    <s v="Otras Tec."/>
    <m/>
    <e v="#NAME?"/>
    <e v="#NAME?"/>
    <e v="#NAME?"/>
    <m/>
    <m/>
    <m/>
    <m/>
    <n v="2"/>
    <m/>
    <m/>
    <m/>
    <m/>
  </r>
  <r>
    <s v="CE67859"/>
    <s v="Andres Felipe Quintero Salazar"/>
    <x v="5"/>
    <x v="14"/>
    <s v="Accenture"/>
    <e v="#NAME?"/>
    <s v="SDATOOL-37055 $ Cash in- PSE - Plan Ascenso Privado"/>
    <n v="0.5"/>
    <s v="Desarrollador"/>
    <s v="ASO"/>
    <m/>
    <e v="#NAME?"/>
    <e v="#NAME?"/>
    <e v="#NAME?"/>
    <m/>
    <m/>
    <m/>
    <m/>
    <n v="2"/>
    <m/>
    <m/>
    <m/>
    <m/>
  </r>
  <r>
    <s v="CE51863"/>
    <s v="EDNA ROCIO MONCADA"/>
    <x v="5"/>
    <x v="14"/>
    <s v="KRYPTO"/>
    <e v="#NAME?"/>
    <s v="SDATOOL-37055 $ Cash in- PSE - Plan Ascenso Privado"/>
    <n v="0.02"/>
    <s v="QA"/>
    <s v="Otras Tec."/>
    <m/>
    <e v="#NAME?"/>
    <e v="#NAME?"/>
    <e v="#NAME?"/>
    <m/>
    <m/>
    <m/>
    <m/>
    <n v="2"/>
    <m/>
    <m/>
    <m/>
    <m/>
  </r>
  <r>
    <s v="T004295"/>
    <s v="Hayler Jair Caicedo"/>
    <x v="5"/>
    <x v="14"/>
    <s v="Accenture"/>
    <e v="#NAME?"/>
    <s v="SDATOOL-37055 $ Cash in- PSE - Plan Ascenso Privado"/>
    <n v="1"/>
    <s v="Desarrollador"/>
    <s v="Cells"/>
    <m/>
    <e v="#NAME?"/>
    <e v="#NAME?"/>
    <e v="#NAME?"/>
    <m/>
    <m/>
    <m/>
    <m/>
    <n v="2"/>
    <m/>
    <m/>
    <m/>
    <m/>
  </r>
  <r>
    <s v="C811281"/>
    <s v="JUAN PABLO VELEZ"/>
    <x v="5"/>
    <x v="14"/>
    <s v="BBVA"/>
    <e v="#NAME?"/>
    <s v="SDATOOL-37055 $ Cash in- PSE - Plan Ascenso Privado"/>
    <n v="1"/>
    <s v="Desarrollador"/>
    <s v="Cells"/>
    <m/>
    <e v="#NAME?"/>
    <e v="#NAME?"/>
    <e v="#NAME?"/>
    <m/>
    <m/>
    <m/>
    <m/>
    <n v="2"/>
    <m/>
    <m/>
    <m/>
    <m/>
  </r>
  <r>
    <s v="T007579"/>
    <s v="Nubia Sanchez"/>
    <x v="5"/>
    <x v="14"/>
    <s v="Neoris"/>
    <e v="#NAME?"/>
    <s v="SDATOOL-37055 $ Cash in- PSE - Plan Ascenso Privado"/>
    <n v="1"/>
    <s v="Desarrollador"/>
    <s v="Mainframe"/>
    <m/>
    <e v="#NAME?"/>
    <e v="#NAME?"/>
    <e v="#NAME?"/>
    <m/>
    <m/>
    <m/>
    <m/>
    <n v="2"/>
    <m/>
    <m/>
    <m/>
    <m/>
  </r>
  <r>
    <s v="O002593"/>
    <s v="TATIANA CAROLINA AVELLANEDA"/>
    <x v="5"/>
    <x v="14"/>
    <s v="BBVA"/>
    <e v="#NAME?"/>
    <s v="SDATOOL-37055 $ Cash in- PSE - Plan Ascenso Privado"/>
    <n v="0.2"/>
    <s v="Tech Manager/Líder"/>
    <s v="Otras Tec."/>
    <m/>
    <e v="#NAME?"/>
    <e v="#NAME?"/>
    <e v="#NAME?"/>
    <m/>
    <m/>
    <m/>
    <m/>
    <n v="2"/>
    <m/>
    <m/>
    <m/>
    <m/>
  </r>
  <r>
    <s v="O002593"/>
    <s v="TATIANA CAROLINA AVELLANEDA"/>
    <x v="5"/>
    <x v="14"/>
    <s v="BBVA"/>
    <e v="#NAME?"/>
    <s v="SDATOOL-37055 $ Cash in- PSE - Plan Ascenso Privado"/>
    <n v="0.2"/>
    <s v="Tech Manager/Líder"/>
    <s v="Otras Tec."/>
    <m/>
    <e v="#NAME?"/>
    <e v="#NAME?"/>
    <e v="#NAME?"/>
    <m/>
    <m/>
    <m/>
    <m/>
    <n v="2"/>
    <m/>
    <m/>
    <m/>
    <m/>
  </r>
  <r>
    <m/>
    <s v="Desarrollador ASO"/>
    <x v="5"/>
    <x v="14"/>
    <s v="Neoris"/>
    <e v="#NAME?"/>
    <s v="SDATOOL-37055 $ Cash in- PSE - Plan Ascenso Privado"/>
    <n v="1"/>
    <s v="Desarrollador"/>
    <s v="ASO"/>
    <m/>
    <e v="#NAME?"/>
    <e v="#NAME?"/>
    <e v="#NAME?"/>
    <m/>
    <m/>
    <m/>
    <m/>
    <n v="2"/>
    <m/>
    <m/>
    <m/>
    <m/>
  </r>
  <r>
    <m/>
    <s v="Desarrollador HOST"/>
    <x v="5"/>
    <x v="14"/>
    <s v="Accenture"/>
    <e v="#NAME?"/>
    <s v="SDATOOL-37055 $ Cash in- PSE - Plan Ascenso Privado"/>
    <n v="1"/>
    <s v="Desarrollador"/>
    <s v="Mainframe"/>
    <m/>
    <e v="#NAME?"/>
    <e v="#NAME?"/>
    <e v="#NAME?"/>
    <m/>
    <m/>
    <m/>
    <m/>
    <n v="2"/>
    <m/>
    <m/>
    <m/>
    <m/>
  </r>
  <r>
    <m/>
    <s v="Desarrollador Front"/>
    <x v="5"/>
    <x v="14"/>
    <s v="Accenture"/>
    <e v="#NAME?"/>
    <s v="SDATOOL-37055 $ Cash in- PSE - Plan Ascenso Privado"/>
    <n v="1"/>
    <s v="Desarrollador"/>
    <s v="Cells"/>
    <m/>
    <e v="#NAME?"/>
    <e v="#NAME?"/>
    <e v="#NAME?"/>
    <m/>
    <m/>
    <m/>
    <m/>
    <n v="2"/>
    <m/>
    <m/>
    <m/>
    <m/>
  </r>
  <r>
    <s v="CE51863"/>
    <s v="EDNA ROCIO MONCADA"/>
    <x v="5"/>
    <x v="14"/>
    <s v="KRYPTO"/>
    <e v="#NAME?"/>
    <s v="SDATOOL-39197 $ Tealeaf SaaS"/>
    <n v="0.02"/>
    <s v="QA"/>
    <s v="Otras Tec."/>
    <m/>
    <e v="#NAME?"/>
    <e v="#NAME?"/>
    <e v="#NAME?"/>
    <m/>
    <m/>
    <m/>
    <m/>
    <n v="2"/>
    <m/>
    <m/>
    <m/>
    <m/>
  </r>
  <r>
    <s v="O004043"/>
    <s v="Diego Alejandro Galeano garzon"/>
    <x v="5"/>
    <x v="14"/>
    <s v="BBVA"/>
    <e v="#NAME?"/>
    <s v="SDATOOL-39197 $ Tealeaf SaaS"/>
    <n v="0.5"/>
    <s v="Desarrollador"/>
    <s v="Cells"/>
    <m/>
    <e v="#NAME?"/>
    <e v="#NAME?"/>
    <e v="#NAME?"/>
    <m/>
    <m/>
    <m/>
    <m/>
    <n v="2"/>
    <m/>
    <m/>
    <m/>
    <m/>
  </r>
  <r>
    <s v="CE70114"/>
    <s v="Luz Carola Giraldo García"/>
    <x v="5"/>
    <x v="14"/>
    <s v="GGI / CMC"/>
    <e v="#NAME?"/>
    <s v="SDATOOL-39197 $ Tealeaf SaaS"/>
    <n v="1"/>
    <s v="QA"/>
    <s v="Otras Tec."/>
    <m/>
    <e v="#NAME?"/>
    <e v="#NAME?"/>
    <e v="#NAME?"/>
    <m/>
    <m/>
    <m/>
    <m/>
    <n v="2"/>
    <m/>
    <m/>
    <m/>
    <m/>
  </r>
  <r>
    <s v="O002593"/>
    <s v="TATIANA CAROLINA AVELLANEDA"/>
    <x v="5"/>
    <x v="14"/>
    <s v="BBVA"/>
    <e v="#NAME?"/>
    <s v="SDATOOL-39197 $ Tealeaf SaaS"/>
    <n v="0.2"/>
    <s v="Tech Manager/Líder"/>
    <s v="Otras Tec."/>
    <m/>
    <e v="#NAME?"/>
    <e v="#NAME?"/>
    <e v="#NAME?"/>
    <m/>
    <m/>
    <m/>
    <m/>
    <n v="2"/>
    <m/>
    <m/>
    <m/>
    <m/>
  </r>
  <r>
    <s v="T000410"/>
    <s v="Andrés Alejandro Fajardo Torres"/>
    <x v="5"/>
    <x v="14"/>
    <s v="Globant"/>
    <e v="#NAME?"/>
    <s v="SDATOOL-36548 $ Optimización consumo web - Plan ascenso Open Market"/>
    <n v="1"/>
    <s v="Desarrollador"/>
    <s v="Cells"/>
    <m/>
    <e v="#NAME?"/>
    <e v="#NAME?"/>
    <e v="#NAME?"/>
    <m/>
    <m/>
    <m/>
    <m/>
    <m/>
    <m/>
    <m/>
    <m/>
    <m/>
  </r>
  <r>
    <s v="CE51863"/>
    <s v="EDNA ROCIO MONCADA"/>
    <x v="5"/>
    <x v="14"/>
    <s v="KRYPTO"/>
    <e v="#NAME?"/>
    <s v="SDATOOL-36548 $ Optimización consumo web - Plan ascenso Open Market"/>
    <n v="0.02"/>
    <s v="QA"/>
    <s v="Otras Tec."/>
    <m/>
    <e v="#NAME?"/>
    <e v="#NAME?"/>
    <e v="#NAME?"/>
    <m/>
    <m/>
    <m/>
    <m/>
    <m/>
    <m/>
    <m/>
    <m/>
    <m/>
  </r>
  <r>
    <s v="C810668"/>
    <s v="YEISSON FABIAN GUALDRON VIVAS"/>
    <x v="5"/>
    <x v="14"/>
    <s v="BBVA"/>
    <e v="#NAME?"/>
    <s v="SDATOOL-36548 $ Optimización consumo web - Plan ascenso Open Market"/>
    <n v="1"/>
    <s v="Desarrollador"/>
    <s v="Cells"/>
    <m/>
    <e v="#NAME?"/>
    <e v="#NAME?"/>
    <e v="#NAME?"/>
    <m/>
    <m/>
    <m/>
    <m/>
    <m/>
    <m/>
    <m/>
    <m/>
    <m/>
  </r>
  <r>
    <s v="C342589"/>
    <s v="CAMILO ANDRES AGUIRRE"/>
    <x v="5"/>
    <x v="14"/>
    <s v="BBVA"/>
    <e v="#NAME?"/>
    <s v="SDATOOL-36548 $ Optimización consumo web - Plan ascenso Open Market"/>
    <n v="0.3"/>
    <s v="Tech Manager/Líder"/>
    <s v="Otras Tec."/>
    <m/>
    <e v="#NAME?"/>
    <e v="#NAME?"/>
    <e v="#NAME?"/>
    <m/>
    <m/>
    <m/>
    <m/>
    <m/>
    <m/>
    <m/>
    <m/>
    <m/>
  </r>
  <r>
    <s v="CE51863"/>
    <s v="EDNA ROCIO MONCADA"/>
    <x v="5"/>
    <x v="14"/>
    <s v="KRYPTO"/>
    <e v="#NAME?"/>
    <s v="NOSDA $ BAU (Mantenimiento y peq. evolutivos)"/>
    <n v="0.02"/>
    <s v="QA"/>
    <s v="Otras Tec."/>
    <m/>
    <e v="#NAME?"/>
    <e v="#NAME?"/>
    <e v="#NAME?"/>
    <m/>
    <m/>
    <m/>
    <m/>
    <m/>
    <m/>
    <m/>
    <m/>
    <m/>
  </r>
  <r>
    <s v="C342589"/>
    <s v="CAMILO ANDRES AGUIRRE"/>
    <x v="5"/>
    <x v="14"/>
    <s v="BBVA"/>
    <e v="#NAME?"/>
    <s v="NOSDA $ BAU (Mantenimiento y peq. evolutivos)"/>
    <n v="0.7"/>
    <s v="Tech Manager/Líder"/>
    <s v="Otras Tec."/>
    <m/>
    <e v="#NAME?"/>
    <e v="#NAME?"/>
    <e v="#NAME?"/>
    <m/>
    <m/>
    <m/>
    <m/>
    <m/>
    <m/>
    <m/>
    <m/>
    <m/>
  </r>
  <r>
    <s v="C809750"/>
    <s v="JEFFERSON JOSE ESQUEA SANCHEZ"/>
    <x v="5"/>
    <x v="14"/>
    <s v="BBVA"/>
    <e v="#NAME?"/>
    <s v="NOSDA $ BAU (Mantenimiento y peq. evolutivos)"/>
    <n v="1"/>
    <s v="Desarrollador"/>
    <s v="Cells"/>
    <m/>
    <e v="#NAME?"/>
    <e v="#NAME?"/>
    <e v="#NAME?"/>
    <m/>
    <m/>
    <m/>
    <m/>
    <m/>
    <m/>
    <m/>
    <m/>
    <m/>
  </r>
  <r>
    <s v="CE67868"/>
    <s v="Jhon Alexander Santana"/>
    <x v="5"/>
    <x v="14"/>
    <s v="Accenture"/>
    <e v="#NAME?"/>
    <s v="NOSDA $ BAU (Mantenimiento y peq. evolutivos)"/>
    <n v="1"/>
    <s v="Desarrollador"/>
    <s v="Cells"/>
    <m/>
    <e v="#NAME?"/>
    <e v="#NAME?"/>
    <e v="#NAME?"/>
    <m/>
    <m/>
    <m/>
    <m/>
    <m/>
    <m/>
    <m/>
    <m/>
    <m/>
  </r>
  <r>
    <s v="CE67314"/>
    <s v="Juliana Corredor"/>
    <x v="5"/>
    <x v="14"/>
    <s v="Accenture"/>
    <e v="#NAME?"/>
    <s v="NOSDA $ BAU (Mantenimiento y peq. evolutivos)"/>
    <n v="1"/>
    <s v="Desarrollador"/>
    <s v="APX"/>
    <m/>
    <e v="#NAME?"/>
    <e v="#NAME?"/>
    <e v="#NAME?"/>
    <m/>
    <m/>
    <m/>
    <m/>
    <m/>
    <m/>
    <m/>
    <m/>
    <m/>
  </r>
  <r>
    <s v="CE51863"/>
    <s v="EDNA ROCIO MONCADA"/>
    <x v="5"/>
    <x v="14"/>
    <s v="KRYPTO"/>
    <e v="#NAME?"/>
    <s v="SDATOOL-36048 $ Repositorio flujos ventas digitales flujos - Plan Ascenso Open Market"/>
    <n v="0.02"/>
    <s v="QA"/>
    <s v="Otras Tec."/>
    <m/>
    <e v="#NAME?"/>
    <e v="#NAME?"/>
    <e v="#NAME?"/>
    <m/>
    <m/>
    <m/>
    <m/>
    <m/>
    <m/>
    <m/>
    <m/>
    <m/>
  </r>
  <r>
    <s v="CE66714"/>
    <s v="Cristian Steven Abril"/>
    <x v="5"/>
    <x v="14"/>
    <s v="Novatec"/>
    <e v="#NAME?"/>
    <s v="SDATOOL-39836 $ Vivienda digital fase III"/>
    <n v="1"/>
    <s v="Desarrollador"/>
    <s v="Cells"/>
    <m/>
    <e v="#NAME?"/>
    <e v="#NAME?"/>
    <e v="#NAME?"/>
    <m/>
    <m/>
    <m/>
    <m/>
    <m/>
    <m/>
    <m/>
    <m/>
    <m/>
  </r>
  <r>
    <s v="O002593"/>
    <s v="TATIANA CAROLINA AVELLANEDA"/>
    <x v="5"/>
    <x v="14"/>
    <s v="BBVA"/>
    <e v="#NAME?"/>
    <s v="SDATOOL-39836 $ Vivienda digital fase III"/>
    <n v="0.2"/>
    <s v="Tech Manager/Líder"/>
    <s v="Otras Tec."/>
    <m/>
    <e v="#NAME?"/>
    <e v="#NAME?"/>
    <e v="#NAME?"/>
    <m/>
    <m/>
    <m/>
    <m/>
    <m/>
    <m/>
    <m/>
    <m/>
    <m/>
  </r>
  <r>
    <s v="O005003 "/>
    <s v="Ginna García Lara"/>
    <x v="5"/>
    <x v="14"/>
    <s v="BBVA"/>
    <e v="#NAME?"/>
    <s v="SDATOOL-34910 $ Libranza Digital"/>
    <n v="0.2"/>
    <s v="Tech Manager/Líder"/>
    <s v="Otras Tec."/>
    <m/>
    <e v="#NAME?"/>
    <e v="#NAME?"/>
    <e v="#NAME?"/>
    <m/>
    <m/>
    <m/>
    <m/>
    <n v="2"/>
    <m/>
    <m/>
    <m/>
    <m/>
  </r>
  <r>
    <m/>
    <s v="Tester 1"/>
    <x v="5"/>
    <x v="14"/>
    <s v="Choucair"/>
    <e v="#NAME?"/>
    <s v="SDATOOL-34910 $ Libranza Digital"/>
    <n v="1"/>
    <s v="QA"/>
    <s v="Otras Tec."/>
    <m/>
    <e v="#NAME?"/>
    <e v="#NAME?"/>
    <e v="#NAME?"/>
    <m/>
    <m/>
    <m/>
    <m/>
    <m/>
    <m/>
    <m/>
    <m/>
    <m/>
  </r>
  <r>
    <m/>
    <s v="Desarrollador Front 1"/>
    <x v="5"/>
    <x v="14"/>
    <s v="Accenture"/>
    <e v="#NAME?"/>
    <s v="SDATOOL-34910 $ Libranza Digital"/>
    <n v="1"/>
    <s v="Desarrollador"/>
    <s v="Cells"/>
    <m/>
    <e v="#NAME?"/>
    <e v="#NAME?"/>
    <e v="#NAME?"/>
    <m/>
    <m/>
    <m/>
    <m/>
    <m/>
    <m/>
    <m/>
    <m/>
    <m/>
  </r>
  <r>
    <m/>
    <s v="Desarrollador Front 2"/>
    <x v="5"/>
    <x v="14"/>
    <s v="Accenture"/>
    <e v="#NAME?"/>
    <s v="SDATOOL-34910 $ Libranza Digital"/>
    <n v="1"/>
    <s v="Desarrollador"/>
    <s v="Cells"/>
    <m/>
    <e v="#NAME?"/>
    <e v="#NAME?"/>
    <e v="#NAME?"/>
    <m/>
    <m/>
    <m/>
    <m/>
    <m/>
    <m/>
    <m/>
    <m/>
    <m/>
  </r>
  <r>
    <s v="O005003 "/>
    <s v="Ginna García Lara"/>
    <x v="5"/>
    <x v="14"/>
    <s v="BBVA"/>
    <e v="#NAME?"/>
    <s v="SDATOOL-40536 $ Google analitycs 4"/>
    <n v="0.2"/>
    <s v="Tech Manager/Líder"/>
    <s v="Otras Tec."/>
    <m/>
    <e v="#NAME?"/>
    <e v="#NAME?"/>
    <e v="#NAME?"/>
    <m/>
    <m/>
    <m/>
    <m/>
    <n v="2"/>
    <m/>
    <m/>
    <m/>
    <m/>
  </r>
  <r>
    <s v="O004043"/>
    <s v="Diego Alejandro Galeano garzon"/>
    <x v="5"/>
    <x v="14"/>
    <s v="BBVA"/>
    <e v="#NAME?"/>
    <s v="SDATOOL-40536 $ Google analitycs 4"/>
    <n v="0.5"/>
    <s v="Desarrollador"/>
    <s v="Cells"/>
    <m/>
    <e v="#NAME?"/>
    <e v="#NAME?"/>
    <e v="#NAME?"/>
    <m/>
    <m/>
    <m/>
    <m/>
    <n v="2"/>
    <m/>
    <m/>
    <m/>
    <m/>
  </r>
  <r>
    <s v="C797767"/>
    <s v="ANGELA RIVERA"/>
    <x v="3"/>
    <x v="15"/>
    <s v="BBVA"/>
    <e v="#NAME?"/>
    <s v="SDATOOL-39384 $ Abonos a préstamos por canales"/>
    <n v="0.5"/>
    <s v="Desarrollador"/>
    <s v="Mainframe"/>
    <m/>
    <e v="#NAME?"/>
    <e v="#NAME?"/>
    <e v="#NAME?"/>
    <m/>
    <m/>
    <m/>
    <m/>
    <m/>
    <n v="1"/>
    <m/>
    <m/>
    <m/>
  </r>
  <r>
    <s v="C797767"/>
    <s v="ANGELA RIVERA"/>
    <x v="3"/>
    <x v="15"/>
    <s v="BBVA"/>
    <e v="#NAME?"/>
    <s v="SDATOOL-28278 $ GRM Col - TMP Cobranzas - Pago en Canales Alternativos"/>
    <n v="0.5"/>
    <s v="Desarrollador"/>
    <s v="Mainframe"/>
    <m/>
    <e v="#NAME?"/>
    <e v="#NAME?"/>
    <e v="#NAME?"/>
    <m/>
    <m/>
    <m/>
    <m/>
    <m/>
    <n v="0"/>
    <m/>
    <m/>
    <m/>
  </r>
  <r>
    <s v="O001978"/>
    <s v="DANIEL ALIRIO ROA ARIZMENDI"/>
    <x v="3"/>
    <x v="15"/>
    <s v="BBVA"/>
    <e v="#NAME?"/>
    <s v="SDATOOL-40670 $ Plan CRM: Mejoras DWP Jurídicos (Pymes, Empresas,Gobiernos)"/>
    <n v="0.3"/>
    <s v="Desarrollador"/>
    <s v="ASO"/>
    <m/>
    <e v="#NAME?"/>
    <e v="#NAME?"/>
    <e v="#NAME?"/>
    <m/>
    <m/>
    <m/>
    <m/>
    <m/>
    <n v="1"/>
    <m/>
    <m/>
    <m/>
  </r>
  <r>
    <s v="O001978"/>
    <s v="DANIEL ALIRIO ROA ARIZMENDI"/>
    <x v="3"/>
    <x v="15"/>
    <s v="BBVA"/>
    <e v="#NAME?"/>
    <s v="SDATOOL-40435 $ Cuota Segura créditos de libranza"/>
    <n v="0.7"/>
    <s v="Desarrollador"/>
    <s v="ASO"/>
    <m/>
    <e v="#NAME?"/>
    <e v="#NAME?"/>
    <e v="#NAME?"/>
    <m/>
    <m/>
    <m/>
    <m/>
    <m/>
    <n v="0"/>
    <m/>
    <m/>
    <m/>
  </r>
  <r>
    <s v="O001977"/>
    <s v="EDDY MAURICIO SUAREZ MOLINA"/>
    <x v="3"/>
    <x v="15"/>
    <s v="BBVA"/>
    <e v="#NAME?"/>
    <s v="SDATOOL-39384 $ Abonos a préstamos por canales"/>
    <n v="0.5"/>
    <s v="Desarrollador"/>
    <s v="Mainframe"/>
    <m/>
    <e v="#NAME?"/>
    <e v="#NAME?"/>
    <e v="#NAME?"/>
    <m/>
    <m/>
    <m/>
    <m/>
    <m/>
    <n v="1"/>
    <m/>
    <m/>
    <m/>
  </r>
  <r>
    <s v="O001977"/>
    <s v="EDDY MAURICIO SUAREZ MOLINA"/>
    <x v="3"/>
    <x v="15"/>
    <s v="BBVA"/>
    <e v="#NAME?"/>
    <s v="SDATOOL-28278 $ GRM Col - TMP Cobranzas - Pago en Canales Alternativos"/>
    <n v="0.5"/>
    <s v="Desarrollador"/>
    <s v="Mainframe"/>
    <m/>
    <e v="#NAME?"/>
    <e v="#NAME?"/>
    <e v="#NAME?"/>
    <m/>
    <m/>
    <m/>
    <m/>
    <m/>
    <n v="0"/>
    <m/>
    <m/>
    <m/>
  </r>
  <r>
    <s v="O000451"/>
    <s v="MAURICIO CORDOBA"/>
    <x v="3"/>
    <x v="15"/>
    <s v="BBVA"/>
    <e v="#NAME?"/>
    <s v="SDATOOL-39384 $ Abonos a préstamos por canales"/>
    <n v="1"/>
    <s v="Desarrollador"/>
    <s v="Mainframe"/>
    <m/>
    <e v="#NAME?"/>
    <e v="#NAME?"/>
    <e v="#NAME?"/>
    <m/>
    <m/>
    <m/>
    <m/>
    <m/>
    <n v="1"/>
    <m/>
    <m/>
    <m/>
  </r>
  <r>
    <s v="O001827"/>
    <s v="LEONOR AZUCENA GOMEZ RINCON"/>
    <x v="3"/>
    <x v="15"/>
    <s v="BBVA"/>
    <e v="#NAME?"/>
    <s v="SDATOOL-39384 $ Abonos a préstamos por canales"/>
    <n v="0.5"/>
    <s v="Tech Manager/Líder"/>
    <s v="Mainframe"/>
    <m/>
    <e v="#NAME?"/>
    <e v="#NAME?"/>
    <e v="#NAME?"/>
    <m/>
    <m/>
    <m/>
    <m/>
    <m/>
    <n v="1"/>
    <m/>
    <m/>
    <m/>
  </r>
  <r>
    <s v="O001827"/>
    <s v="LEONOR AZUCENA GOMEZ RINCON"/>
    <x v="3"/>
    <x v="15"/>
    <s v="BBVA"/>
    <e v="#NAME?"/>
    <s v="SDATOOL-28278 $ GRM Col - TMP Cobranzas - Pago en Canales Alternativos"/>
    <n v="0.5"/>
    <s v="Tech Manager/Líder"/>
    <s v="ASO"/>
    <m/>
    <e v="#NAME?"/>
    <e v="#NAME?"/>
    <e v="#NAME?"/>
    <m/>
    <m/>
    <m/>
    <m/>
    <m/>
    <n v="0"/>
    <m/>
    <m/>
    <m/>
  </r>
  <r>
    <s v="C805385"/>
    <s v="TATIANA SANCHEZ MONROY"/>
    <x v="3"/>
    <x v="15"/>
    <s v="BBVA"/>
    <e v="#NAME?"/>
    <s v="SDATOOL-34910 $ Libranza Digital"/>
    <n v="1"/>
    <s v="Desarrollador"/>
    <s v="Mainframe"/>
    <m/>
    <e v="#NAME?"/>
    <e v="#NAME?"/>
    <e v="#NAME?"/>
    <m/>
    <m/>
    <m/>
    <m/>
    <m/>
    <n v="1"/>
    <m/>
    <m/>
    <m/>
  </r>
  <r>
    <s v="C810943"/>
    <s v="OSCAR DANIEL OÑATE CASTILLA"/>
    <x v="3"/>
    <x v="15"/>
    <s v="BBVA"/>
    <e v="#NAME?"/>
    <s v="SDATOOL-36522 $ Libranza E2E digital Fase III - Plan Ascenso Privado"/>
    <n v="1"/>
    <s v="Desarrollador"/>
    <s v="Mainframe"/>
    <m/>
    <e v="#NAME?"/>
    <e v="#NAME?"/>
    <e v="#NAME?"/>
    <m/>
    <m/>
    <m/>
    <m/>
    <m/>
    <n v="1"/>
    <m/>
    <m/>
    <m/>
  </r>
  <r>
    <s v="C810846"/>
    <s v="ERIKA ZULEIMA MARTINEZ RODRIGUEZ"/>
    <x v="3"/>
    <x v="15"/>
    <s v="BBVA"/>
    <e v="#NAME?"/>
    <s v="SDATOOL-36560 $ Pricing de libranza - Plan Ascenso Open Market"/>
    <n v="1"/>
    <s v="Desarrollador"/>
    <s v="Mainframe"/>
    <m/>
    <e v="#NAME?"/>
    <e v="#NAME?"/>
    <e v="#NAME?"/>
    <m/>
    <m/>
    <m/>
    <m/>
    <m/>
    <n v="1"/>
    <m/>
    <m/>
    <m/>
  </r>
  <r>
    <s v="C805379"/>
    <s v="MARTIN ROMERO ORTIZ"/>
    <x v="3"/>
    <x v="15"/>
    <s v="BBVA"/>
    <e v="#NAME?"/>
    <s v="SDATOOL-34910 $ Libranza Digital"/>
    <n v="0.25"/>
    <s v="Desarrollador"/>
    <s v="ASO"/>
    <m/>
    <e v="#NAME?"/>
    <e v="#NAME?"/>
    <e v="#NAME?"/>
    <m/>
    <m/>
    <m/>
    <m/>
    <m/>
    <n v="1"/>
    <m/>
    <m/>
    <m/>
  </r>
  <r>
    <s v="C805379"/>
    <s v="MARTIN ROMERO ORTIZ"/>
    <x v="3"/>
    <x v="15"/>
    <s v="BBVA"/>
    <e v="#NAME?"/>
    <s v="SDATOOL-39272 $ GRM-Col-Cambio servicio APL (Aportes en línea)"/>
    <n v="0.75"/>
    <s v="Desarrollador"/>
    <s v="ASO"/>
    <m/>
    <e v="#NAME?"/>
    <e v="#NAME?"/>
    <e v="#NAME?"/>
    <m/>
    <m/>
    <m/>
    <m/>
    <m/>
    <n v="0"/>
    <m/>
    <m/>
    <m/>
  </r>
  <r>
    <s v="C805988"/>
    <s v="NICOLAS MUÑOZ"/>
    <x v="3"/>
    <x v="15"/>
    <s v="BBVA"/>
    <e v="#NAME?"/>
    <s v="SDATOOL-39272 $ GRM-Col-Cambio servicio APL (Aportes en línea)"/>
    <n v="1"/>
    <s v="Desarrollador"/>
    <s v="APX"/>
    <m/>
    <e v="#NAME?"/>
    <e v="#NAME?"/>
    <e v="#NAME?"/>
    <m/>
    <m/>
    <m/>
    <m/>
    <m/>
    <n v="1"/>
    <m/>
    <m/>
    <m/>
  </r>
  <r>
    <s v="C342057"/>
    <s v="CARLOS FABIAN GONZALEZ CORTES"/>
    <x v="3"/>
    <x v="15"/>
    <s v="BBVA"/>
    <e v="#NAME?"/>
    <s v="SDATOOL-36522 $ Libranza E2E digital Fase III - Plan Ascenso Privado"/>
    <n v="0.5"/>
    <s v="Desarrollador"/>
    <s v="Mainframe"/>
    <m/>
    <e v="#NAME?"/>
    <e v="#NAME?"/>
    <e v="#NAME?"/>
    <m/>
    <m/>
    <m/>
    <m/>
    <m/>
    <n v="1"/>
    <m/>
    <m/>
    <m/>
  </r>
  <r>
    <s v="C342057"/>
    <s v="CARLOS FABIAN GONZALEZ CORTES"/>
    <x v="3"/>
    <x v="15"/>
    <s v="BBVA"/>
    <e v="#NAME?"/>
    <s v="SDATOOL-34910 $ Libranza Digital"/>
    <n v="0.2"/>
    <s v="Desarrollador"/>
    <s v="Mainframe"/>
    <m/>
    <e v="#NAME?"/>
    <e v="#NAME?"/>
    <e v="#NAME?"/>
    <m/>
    <m/>
    <m/>
    <m/>
    <m/>
    <n v="0"/>
    <m/>
    <m/>
    <m/>
  </r>
  <r>
    <s v="C342057"/>
    <s v="CARLOS FABIAN GONZALEZ CORTES"/>
    <x v="3"/>
    <x v="15"/>
    <s v="BBVA"/>
    <e v="#NAME?"/>
    <s v="SDATOOL-36560 $ Pricing de libranza - Plan Ascenso Open Market"/>
    <n v="0.1"/>
    <s v="Desarrollador"/>
    <s v="Mainframe"/>
    <m/>
    <e v="#NAME?"/>
    <e v="#NAME?"/>
    <e v="#NAME?"/>
    <m/>
    <m/>
    <m/>
    <m/>
    <m/>
    <n v="0"/>
    <m/>
    <m/>
    <m/>
  </r>
  <r>
    <s v="C342057"/>
    <s v="CARLOS FABIAN GONZALEZ CORTES"/>
    <x v="3"/>
    <x v="15"/>
    <s v="BBVA"/>
    <e v="#NAME?"/>
    <s v="SDATOOL-40670 $ Plan CRM: Mejoras DWP Jurídicos (Pymes, Empresas,Gobiernos)"/>
    <n v="0.2"/>
    <s v="Desarrollador"/>
    <s v="Mainframe"/>
    <m/>
    <e v="#NAME?"/>
    <e v="#NAME?"/>
    <e v="#NAME?"/>
    <m/>
    <m/>
    <m/>
    <m/>
    <m/>
    <n v="0"/>
    <m/>
    <m/>
    <m/>
  </r>
  <r>
    <s v="C805964"/>
    <s v="ANDRES RODRIGO COMBARIZA"/>
    <x v="3"/>
    <x v="15"/>
    <s v="BBVA"/>
    <e v="#NAME?"/>
    <s v="SDATOOL-40670 $ Plan CRM: Mejoras DWP Jurídicos (Pymes, Empresas,Gobiernos)"/>
    <n v="1"/>
    <s v="Desarrollador"/>
    <s v="ASO"/>
    <m/>
    <e v="#NAME?"/>
    <e v="#NAME?"/>
    <e v="#NAME?"/>
    <m/>
    <m/>
    <m/>
    <m/>
    <m/>
    <n v="1"/>
    <m/>
    <m/>
    <m/>
  </r>
  <r>
    <s v="O004843"/>
    <s v="WILSON ANDRES FRACON HERMIDA"/>
    <x v="3"/>
    <x v="15"/>
    <s v="BBVA"/>
    <e v="#NAME?"/>
    <s v="SDATOOL-34910 $ Libranza Digital"/>
    <n v="0.2"/>
    <s v="Tech Manager/Líder"/>
    <s v="ASO"/>
    <m/>
    <e v="#NAME?"/>
    <e v="#NAME?"/>
    <e v="#NAME?"/>
    <m/>
    <m/>
    <m/>
    <m/>
    <m/>
    <n v="1"/>
    <m/>
    <m/>
    <m/>
  </r>
  <r>
    <s v="O004843"/>
    <s v="WILSON ANDRES FRACON HERMIDA"/>
    <x v="3"/>
    <x v="15"/>
    <s v="BBVA"/>
    <e v="#NAME?"/>
    <s v="SDATOOL-39272 $ GRM-Col-Cambio servicio APL (Aportes en línea)"/>
    <n v="0.2"/>
    <s v="Tech Manager/Líder"/>
    <s v="APX"/>
    <m/>
    <e v="#NAME?"/>
    <e v="#NAME?"/>
    <e v="#NAME?"/>
    <m/>
    <m/>
    <m/>
    <m/>
    <m/>
    <n v="0"/>
    <m/>
    <m/>
    <m/>
  </r>
  <r>
    <s v="O004843"/>
    <s v="WILSON ANDRES FRACON HERMIDA"/>
    <x v="3"/>
    <x v="15"/>
    <s v="BBVA"/>
    <e v="#NAME?"/>
    <s v="SDATOOL-40670 $ Plan CRM: Mejoras DWP Jurídicos (Pymes, Empresas,Gobiernos)"/>
    <n v="0.2"/>
    <s v="Tech Manager/Líder"/>
    <s v="APX"/>
    <m/>
    <e v="#NAME?"/>
    <e v="#NAME?"/>
    <e v="#NAME?"/>
    <m/>
    <m/>
    <m/>
    <m/>
    <m/>
    <n v="0"/>
    <m/>
    <m/>
    <m/>
  </r>
  <r>
    <s v="O004843"/>
    <s v="WILSON ANDRES FRACON HERMIDA"/>
    <x v="3"/>
    <x v="15"/>
    <s v="BBVA"/>
    <e v="#NAME?"/>
    <s v="SDATOOL-36560 $ Pricing de libranza - Plan Ascenso Open Market"/>
    <n v="0.2"/>
    <s v="Tech Manager/Líder"/>
    <s v="Mainframe"/>
    <m/>
    <e v="#NAME?"/>
    <e v="#NAME?"/>
    <e v="#NAME?"/>
    <m/>
    <m/>
    <m/>
    <m/>
    <m/>
    <n v="0"/>
    <m/>
    <m/>
    <m/>
  </r>
  <r>
    <s v="O004843"/>
    <s v="WILSON ANDRES FRACON HERMIDA"/>
    <x v="3"/>
    <x v="15"/>
    <s v="BBVA"/>
    <e v="#NAME?"/>
    <s v="SDATOOL-36522 $ Libranza E2E digital Fase III - Plan Ascenso Privado"/>
    <n v="0.2"/>
    <s v="Tech Manager/Líder"/>
    <s v="Mainframe"/>
    <m/>
    <e v="#NAME?"/>
    <e v="#NAME?"/>
    <e v="#NAME?"/>
    <m/>
    <m/>
    <m/>
    <m/>
    <m/>
    <n v="0"/>
    <m/>
    <m/>
    <m/>
  </r>
  <r>
    <s v="CE59519"/>
    <s v="JORGE DANILO BUITRAGO HERNANDEZ"/>
    <x v="3"/>
    <x v="15"/>
    <s v="Inetum"/>
    <e v="#NAME?"/>
    <s v="SDATOOL-36560 $ Pricing de libranza - Plan Ascenso Open Market"/>
    <n v="1"/>
    <s v="Desarrollador"/>
    <s v="Mainframe"/>
    <m/>
    <e v="#NAME?"/>
    <e v="#NAME?"/>
    <e v="#NAME?"/>
    <m/>
    <m/>
    <m/>
    <m/>
    <m/>
    <n v="1"/>
    <m/>
    <m/>
    <m/>
  </r>
  <r>
    <s v="CE64394"/>
    <s v="ANDREI NICOLAS CASTRO MUÑOZ"/>
    <x v="3"/>
    <x v="15"/>
    <s v="KRYPTO"/>
    <e v="#NAME?"/>
    <s v="SDATOOL-36560 $ Pricing de libranza - Plan Ascenso Open Market"/>
    <n v="1"/>
    <s v="QA"/>
    <s v="Mainframe"/>
    <m/>
    <e v="#NAME?"/>
    <e v="#NAME?"/>
    <e v="#NAME?"/>
    <m/>
    <m/>
    <m/>
    <m/>
    <m/>
    <n v="1"/>
    <m/>
    <m/>
    <m/>
  </r>
  <r>
    <s v="T007567"/>
    <s v="ERIKA LILIANA ESPINOSA DUQUE"/>
    <x v="3"/>
    <x v="15"/>
    <s v="Choucair"/>
    <e v="#NAME?"/>
    <s v="SDATOOL-34910 $ Libranza Digital"/>
    <n v="1"/>
    <s v="QA"/>
    <s v="Mainframe"/>
    <m/>
    <e v="#NAME?"/>
    <e v="#NAME?"/>
    <e v="#NAME?"/>
    <m/>
    <m/>
    <m/>
    <m/>
    <m/>
    <n v="1"/>
    <m/>
    <m/>
    <m/>
  </r>
  <r>
    <s v="T004584"/>
    <s v="LYDI JOHANA MORENO LOPEZ"/>
    <x v="3"/>
    <x v="15"/>
    <s v="Choucair"/>
    <e v="#NAME?"/>
    <s v="SDATOOL-34910 $ Libranza Digital"/>
    <n v="1"/>
    <s v="QA"/>
    <s v="Mainframe"/>
    <m/>
    <e v="#NAME?"/>
    <e v="#NAME?"/>
    <e v="#NAME?"/>
    <m/>
    <m/>
    <m/>
    <m/>
    <m/>
    <n v="1"/>
    <m/>
    <m/>
    <m/>
  </r>
  <r>
    <s v="T001314"/>
    <s v="JUAN DAVID GARZON"/>
    <x v="3"/>
    <x v="15"/>
    <s v="Choucair"/>
    <e v="#NAME?"/>
    <s v="SDATOOL-39272 $ GRM-Col-Cambio servicio APL (Aportes en línea)"/>
    <n v="1"/>
    <s v="QA"/>
    <s v="Mainframe"/>
    <m/>
    <e v="#NAME?"/>
    <e v="#NAME?"/>
    <e v="#NAME?"/>
    <m/>
    <m/>
    <m/>
    <m/>
    <m/>
    <n v="1"/>
    <m/>
    <m/>
    <m/>
  </r>
  <r>
    <s v="CE69611"/>
    <s v="JESUS ROLDAN LAVERDE"/>
    <x v="3"/>
    <x v="15"/>
    <s v="Accenture"/>
    <e v="#NAME?"/>
    <s v="SDATOOL-39272 $ GRM-Col-Cambio servicio APL (Aportes en línea)"/>
    <n v="1"/>
    <s v="Desarrollador"/>
    <s v="Mainframe"/>
    <m/>
    <e v="#NAME?"/>
    <e v="#NAME?"/>
    <e v="#NAME?"/>
    <m/>
    <m/>
    <m/>
    <m/>
    <m/>
    <n v="1"/>
    <m/>
    <m/>
    <m/>
  </r>
  <r>
    <s v="CE69612"/>
    <s v="DIEGO DIAZ VIVAS"/>
    <x v="3"/>
    <x v="15"/>
    <s v="Accenture"/>
    <e v="#NAME?"/>
    <s v="SDATOOL-34910 $ Libranza Digital"/>
    <n v="1"/>
    <s v="Desarrollador"/>
    <s v="Cells"/>
    <m/>
    <e v="#NAME?"/>
    <e v="#NAME?"/>
    <e v="#NAME?"/>
    <m/>
    <m/>
    <m/>
    <m/>
    <m/>
    <n v="1"/>
    <m/>
    <m/>
    <m/>
  </r>
  <r>
    <s v="C342048"/>
    <s v="LUIS JAVIER RIVERA MORENO"/>
    <x v="3"/>
    <x v="15"/>
    <s v="BBVA"/>
    <e v="#NAME?"/>
    <s v="SDATOOL-40435 $ Cuota Segura créditos de libranza"/>
    <n v="0.5"/>
    <s v="Desarrollador"/>
    <s v="Mainframe"/>
    <m/>
    <e v="#NAME?"/>
    <e v="#NAME?"/>
    <e v="#NAME?"/>
    <m/>
    <m/>
    <m/>
    <m/>
    <m/>
    <n v="1"/>
    <m/>
    <m/>
    <m/>
  </r>
  <r>
    <s v="C342048"/>
    <s v="LUIS JAVIER RIVERA MORENO"/>
    <x v="3"/>
    <x v="15"/>
    <s v="BBVA"/>
    <e v="#NAME?"/>
    <s v="SDATOOL-41748 $ Cuota Fija - Tasa Variable para créditos de Consumo y Vehículo"/>
    <n v="0.25"/>
    <s v="Desarrollador"/>
    <s v="Mainframe"/>
    <m/>
    <e v="#NAME?"/>
    <e v="#NAME?"/>
    <e v="#NAME?"/>
    <m/>
    <m/>
    <m/>
    <m/>
    <m/>
    <n v="0"/>
    <m/>
    <m/>
    <m/>
  </r>
  <r>
    <s v="C342048"/>
    <s v="LUIS JAVIER RIVERA MORENO"/>
    <x v="3"/>
    <x v="15"/>
    <s v="BBVA"/>
    <e v="#NAME?"/>
    <s v="SDATOOL-40494 $ Control de cúmulos de seguros para todas las lineas del activo"/>
    <n v="0.25"/>
    <s v="Desarrollador"/>
    <s v="Mainframe"/>
    <m/>
    <e v="#NAME?"/>
    <e v="#NAME?"/>
    <e v="#NAME?"/>
    <m/>
    <m/>
    <m/>
    <m/>
    <m/>
    <n v="0"/>
    <m/>
    <m/>
    <m/>
  </r>
  <r>
    <s v="O000444"/>
    <s v="EDGAR VASQUEZ RUIZ"/>
    <x v="3"/>
    <x v="15"/>
    <s v="BBVA"/>
    <e v="#NAME?"/>
    <s v="SDATOOL-40435 $ Cuota Segura créditos de libranza"/>
    <n v="0.9"/>
    <s v="Desarrollador"/>
    <s v="Mainframe"/>
    <m/>
    <e v="#NAME?"/>
    <e v="#NAME?"/>
    <e v="#NAME?"/>
    <m/>
    <m/>
    <m/>
    <m/>
    <m/>
    <n v="1"/>
    <m/>
    <m/>
    <m/>
  </r>
  <r>
    <s v="O000444"/>
    <s v="EDGAR VASQUEZ RUIZ"/>
    <x v="3"/>
    <x v="15"/>
    <s v="BBVA"/>
    <e v="#NAME?"/>
    <s v="SDATOOL-40268 $ CLASIFICACION DE TIPO DE PRODUCTOR -CIRCULAR 48 FINAGRO"/>
    <n v="0.1"/>
    <s v="Desarrollador"/>
    <s v="Mainframe"/>
    <m/>
    <e v="#NAME?"/>
    <e v="#NAME?"/>
    <e v="#NAME?"/>
    <m/>
    <m/>
    <m/>
    <m/>
    <m/>
    <n v="0"/>
    <m/>
    <m/>
    <m/>
  </r>
  <r>
    <s v="O000106"/>
    <s v="FELIPE ALEJANDO PEDRAZA ROBLES"/>
    <x v="3"/>
    <x v="15"/>
    <s v="BBVA"/>
    <e v="#NAME?"/>
    <s v="SDATOOL-40268 $ CLASIFICACION DE TIPO DE PRODUCTOR -CIRCULAR 48 FINAGRO"/>
    <n v="0.8"/>
    <s v="Desarrollador"/>
    <s v="Mainframe"/>
    <m/>
    <e v="#NAME?"/>
    <e v="#NAME?"/>
    <e v="#NAME?"/>
    <m/>
    <m/>
    <m/>
    <m/>
    <m/>
    <n v="1"/>
    <m/>
    <m/>
    <m/>
  </r>
  <r>
    <s v="O000106"/>
    <s v="FELIPE ALEJANDO PEDRAZA ROBLES"/>
    <x v="3"/>
    <x v="15"/>
    <s v="BBVA"/>
    <e v="#NAME?"/>
    <s v="SDATOOL-40555 $ ADELANTO DE VENTA EN GEMA"/>
    <n v="0.2"/>
    <s v="Desarrollador"/>
    <s v="Mainframe"/>
    <m/>
    <e v="#NAME?"/>
    <e v="#NAME?"/>
    <e v="#NAME?"/>
    <m/>
    <m/>
    <m/>
    <m/>
    <m/>
    <n v="0"/>
    <m/>
    <m/>
    <m/>
  </r>
  <r>
    <s v="C810908"/>
    <s v="DIANA CAROLINA PEÑA PALOMINO"/>
    <x v="3"/>
    <x v="15"/>
    <s v="BBVA"/>
    <e v="#NAME?"/>
    <s v="SDATOOL-40670 $ Plan CRM: Mejoras DWP Jurídicos (Pymes, Empresas,Gobiernos)"/>
    <n v="0.5"/>
    <s v="Desarrollador"/>
    <s v="Mainframe"/>
    <m/>
    <e v="#NAME?"/>
    <e v="#NAME?"/>
    <e v="#NAME?"/>
    <m/>
    <m/>
    <m/>
    <m/>
    <m/>
    <n v="1"/>
    <m/>
    <m/>
    <m/>
  </r>
  <r>
    <s v="C810908"/>
    <s v="DIANA CAROLINA PEÑA PALOMINO"/>
    <x v="3"/>
    <x v="15"/>
    <s v="BBVA"/>
    <e v="#NAME?"/>
    <s v="SDATOOL-40494 $ Control de cúmulos de seguros para todas las lineas del activo"/>
    <n v="0.5"/>
    <s v="Desarrollador"/>
    <s v="Mainframe"/>
    <m/>
    <e v="#NAME?"/>
    <e v="#NAME?"/>
    <e v="#NAME?"/>
    <m/>
    <m/>
    <m/>
    <m/>
    <m/>
    <n v="0"/>
    <m/>
    <m/>
    <m/>
  </r>
  <r>
    <s v="C810801"/>
    <s v="DIANA BARBOSA OSPINA"/>
    <x v="3"/>
    <x v="15"/>
    <s v="BBVA"/>
    <e v="#NAME?"/>
    <s v="SDATOOL-39358 $ Crédito Virtual"/>
    <n v="0.1"/>
    <s v="Desarrollador"/>
    <s v="Mainframe"/>
    <m/>
    <e v="#NAME?"/>
    <e v="#NAME?"/>
    <e v="#NAME?"/>
    <m/>
    <m/>
    <m/>
    <m/>
    <m/>
    <n v="1"/>
    <m/>
    <m/>
    <m/>
  </r>
  <r>
    <s v="C810801"/>
    <s v="DIANA BARBOSA OSPINA"/>
    <x v="3"/>
    <x v="15"/>
    <s v="BBVA"/>
    <e v="#NAME?"/>
    <s v="SDATOOL-41748 $ Cuota Fija - Tasa Variable para créditos de Consumo y Vehículo"/>
    <n v="0.9"/>
    <s v="Desarrollador"/>
    <s v="Mainframe"/>
    <m/>
    <e v="#NAME?"/>
    <e v="#NAME?"/>
    <e v="#NAME?"/>
    <m/>
    <m/>
    <m/>
    <m/>
    <m/>
    <n v="0"/>
    <m/>
    <m/>
    <m/>
  </r>
  <r>
    <s v="O003400"/>
    <s v="JUAN SEBASTIAN COLMENARES RODRIGUEZ"/>
    <x v="3"/>
    <x v="15"/>
    <s v="BBVA"/>
    <e v="#NAME?"/>
    <s v="SDATOOL-41748 $ Cuota Fija - Tasa Variable para créditos de Consumo y Vehículo"/>
    <n v="1"/>
    <s v="Desarrollador"/>
    <s v="Mainframe"/>
    <m/>
    <e v="#NAME?"/>
    <e v="#NAME?"/>
    <e v="#NAME?"/>
    <m/>
    <m/>
    <m/>
    <m/>
    <m/>
    <n v="1"/>
    <m/>
    <m/>
    <m/>
  </r>
  <r>
    <s v="O003461"/>
    <s v="CARLOS VICENTE SERRATO SERNA"/>
    <x v="3"/>
    <x v="15"/>
    <s v="BBVA"/>
    <e v="#NAME?"/>
    <s v="SDATOOL-40435 $ Cuota Segura créditos de libranza"/>
    <n v="1"/>
    <s v="Desarrollador"/>
    <s v="Mainframe"/>
    <m/>
    <e v="#NAME?"/>
    <e v="#NAME?"/>
    <e v="#NAME?"/>
    <m/>
    <m/>
    <m/>
    <m/>
    <m/>
    <n v="1"/>
    <m/>
    <m/>
    <m/>
  </r>
  <r>
    <s v="C808133"/>
    <s v="REMBERTO PRIOLO"/>
    <x v="3"/>
    <x v="15"/>
    <s v="BBVA"/>
    <e v="#NAME?"/>
    <s v="SDATOOL-40435 $ Cuota Segura créditos de libranza"/>
    <n v="0.2"/>
    <s v="Desarrollador"/>
    <s v="ASO"/>
    <m/>
    <e v="#NAME?"/>
    <e v="#NAME?"/>
    <e v="#NAME?"/>
    <m/>
    <m/>
    <m/>
    <m/>
    <m/>
    <n v="1"/>
    <m/>
    <m/>
    <m/>
  </r>
  <r>
    <s v="C808133"/>
    <s v="REMBERTO PRIOLO"/>
    <x v="3"/>
    <x v="15"/>
    <s v="BBVA"/>
    <e v="#NAME?"/>
    <s v="SDATOOL-39836 $ Vivienda digital fase III"/>
    <n v="0.8"/>
    <s v="Desarrollador"/>
    <s v="ASO"/>
    <m/>
    <e v="#NAME?"/>
    <e v="#NAME?"/>
    <e v="#NAME?"/>
    <m/>
    <m/>
    <m/>
    <m/>
    <m/>
    <n v="0"/>
    <m/>
    <m/>
    <m/>
  </r>
  <r>
    <s v="O000446"/>
    <s v="ANDRES FELIPE FUENTES GARAY"/>
    <x v="3"/>
    <x v="15"/>
    <s v="BBVA"/>
    <e v="#NAME?"/>
    <s v="SDATOOL-40435 $ Cuota Segura créditos de libranza"/>
    <n v="0.2"/>
    <s v="Tech Manager/Líder"/>
    <s v="ASO"/>
    <m/>
    <e v="#NAME?"/>
    <e v="#NAME?"/>
    <e v="#NAME?"/>
    <m/>
    <m/>
    <m/>
    <m/>
    <m/>
    <n v="1"/>
    <m/>
    <m/>
    <m/>
  </r>
  <r>
    <s v="O000446"/>
    <s v="ANDRES FELIPE FUENTES GARAY"/>
    <x v="3"/>
    <x v="15"/>
    <s v="BBVA"/>
    <e v="#NAME?"/>
    <s v="SDATOOL-41748 $ Cuota Fija - Tasa Variable para créditos de Consumo y Vehículo"/>
    <n v="0.2"/>
    <s v="Tech Manager/Líder"/>
    <s v="Mainframe"/>
    <m/>
    <e v="#NAME?"/>
    <e v="#NAME?"/>
    <e v="#NAME?"/>
    <m/>
    <m/>
    <m/>
    <m/>
    <m/>
    <n v="0"/>
    <m/>
    <m/>
    <m/>
  </r>
  <r>
    <s v="O000446"/>
    <s v="ANDRES FELIPE FUENTES GARAY"/>
    <x v="3"/>
    <x v="15"/>
    <s v="BBVA"/>
    <e v="#NAME?"/>
    <s v="SDATOOL-40494 $ Control de cúmulos de seguros para todas las lineas del activo"/>
    <n v="0.2"/>
    <s v="Tech Manager/Líder"/>
    <s v="ASO"/>
    <m/>
    <e v="#NAME?"/>
    <e v="#NAME?"/>
    <e v="#NAME?"/>
    <m/>
    <m/>
    <m/>
    <m/>
    <m/>
    <n v="0"/>
    <m/>
    <m/>
    <m/>
  </r>
  <r>
    <s v="O000446"/>
    <s v="ANDRES FELIPE FUENTES GARAY"/>
    <x v="3"/>
    <x v="15"/>
    <s v="BBVA"/>
    <e v="#NAME?"/>
    <s v="SDATOOL-40670 $ Plan CRM: Mejoras DWP Jurídicos (Pymes, Empresas,Gobiernos)"/>
    <n v="0.2"/>
    <s v="Tech Manager/Líder"/>
    <s v="Mainframe"/>
    <m/>
    <e v="#NAME?"/>
    <e v="#NAME?"/>
    <e v="#NAME?"/>
    <m/>
    <m/>
    <m/>
    <m/>
    <m/>
    <n v="0"/>
    <m/>
    <m/>
    <m/>
  </r>
  <r>
    <s v="O000446"/>
    <s v="ANDRES FELIPE FUENTES GARAY"/>
    <x v="3"/>
    <x v="15"/>
    <s v="BBVA"/>
    <e v="#NAME?"/>
    <s v="SDATOOL-40268 $ CLASIFICACION DE TIPO DE PRODUCTOR -CIRCULAR 48 FINAGRO"/>
    <n v="0.2"/>
    <s v="Tech Manager/Líder"/>
    <s v="Mainframe"/>
    <m/>
    <e v="#NAME?"/>
    <e v="#NAME?"/>
    <e v="#NAME?"/>
    <m/>
    <m/>
    <m/>
    <m/>
    <m/>
    <n v="0"/>
    <m/>
    <m/>
    <m/>
  </r>
  <r>
    <s v="CE57920"/>
    <s v="WILLIAM ARMANDO BONILLA ACUÑA"/>
    <x v="3"/>
    <x v="15"/>
    <s v="Inetum"/>
    <e v="#NAME?"/>
    <s v="SDATOOL-40435 $ Cuota Segura créditos de libranza"/>
    <n v="1"/>
    <s v="QA"/>
    <s v="Mainframe"/>
    <m/>
    <e v="#NAME?"/>
    <e v="#NAME?"/>
    <e v="#NAME?"/>
    <m/>
    <m/>
    <m/>
    <m/>
    <m/>
    <n v="1"/>
    <m/>
    <m/>
    <m/>
  </r>
  <r>
    <s v="C804828"/>
    <s v="MAIRA ALEJANDRA GUERRERO CAMARGO"/>
    <x v="3"/>
    <x v="15"/>
    <s v="BBVA"/>
    <e v="#NAME?"/>
    <s v="SDATOOL-37483 $ Aplicativos Finanzas - 2022"/>
    <n v="0.1"/>
    <s v="Desarrollador"/>
    <s v="Mainframe"/>
    <m/>
    <e v="#NAME?"/>
    <e v="#NAME?"/>
    <e v="#NAME?"/>
    <m/>
    <m/>
    <m/>
    <m/>
    <m/>
    <n v="1"/>
    <m/>
    <m/>
    <m/>
  </r>
  <r>
    <s v="C804828"/>
    <s v="MAIRA ALEJANDRA GUERRERO CAMARGO"/>
    <x v="3"/>
    <x v="15"/>
    <s v="BBVA"/>
    <e v="#NAME?"/>
    <s v="SDATOOL-33846 $ SREP Data Quality- BCBS239 - Colombia"/>
    <n v="0.9"/>
    <s v="Desarrollador"/>
    <s v="Mainframe"/>
    <s v="Atiende dentro del programa BCBS239 3 proyectos"/>
    <e v="#NAME?"/>
    <e v="#NAME?"/>
    <e v="#NAME?"/>
    <m/>
    <m/>
    <m/>
    <m/>
    <m/>
    <n v="0"/>
    <m/>
    <m/>
    <m/>
  </r>
  <r>
    <s v="C343126"/>
    <s v="RUBERTH SAN MIGUEL PEREZ"/>
    <x v="3"/>
    <x v="15"/>
    <s v="BBVA"/>
    <e v="#NAME?"/>
    <s v="SDATOOL-33846 $ SREP Data Quality- BCBS239 - Colombia"/>
    <n v="0.6"/>
    <s v="Desarrollador"/>
    <s v="Mainframe"/>
    <m/>
    <e v="#NAME?"/>
    <e v="#NAME?"/>
    <e v="#NAME?"/>
    <m/>
    <m/>
    <m/>
    <m/>
    <m/>
    <n v="1"/>
    <m/>
    <m/>
    <m/>
  </r>
  <r>
    <s v="C343126"/>
    <s v="RUBERTH SAN MIGUEL PEREZ"/>
    <x v="3"/>
    <x v="15"/>
    <s v="BBVA"/>
    <e v="#NAME?"/>
    <s v="SDATOOL-42201 $ GRM Col - Cronos Collections - Pago Dirigido Préstamos"/>
    <n v="0.4"/>
    <s v="Desarrollador"/>
    <s v="Mainframe"/>
    <m/>
    <e v="#NAME?"/>
    <e v="#NAME?"/>
    <e v="#NAME?"/>
    <m/>
    <m/>
    <m/>
    <m/>
    <m/>
    <n v="0"/>
    <m/>
    <m/>
    <m/>
  </r>
  <r>
    <s v="C809713"/>
    <s v="FABRICIO AUGUSTO LOZANO TORRES"/>
    <x v="3"/>
    <x v="15"/>
    <s v="BBVA"/>
    <e v="#NAME?"/>
    <s v="SDATOOL-35697 $ GRM - Garantías Hipotecarias - Ingesta de Datos"/>
    <n v="0.4"/>
    <s v="Desarrollador"/>
    <s v="Mainframe"/>
    <m/>
    <e v="#NAME?"/>
    <e v="#NAME?"/>
    <e v="#NAME?"/>
    <m/>
    <m/>
    <m/>
    <m/>
    <m/>
    <n v="1"/>
    <m/>
    <m/>
    <m/>
  </r>
  <r>
    <s v="C809713"/>
    <s v="FABRICIO AUGUSTO LOZANO TORRES"/>
    <x v="3"/>
    <x v="15"/>
    <s v="BBVA"/>
    <e v="#NAME?"/>
    <s v="SDATOOL-41938 $ GRM Col Reg - Ajuste Calificación Escalera"/>
    <n v="0.6"/>
    <s v="Desarrollador"/>
    <s v="Mainframe"/>
    <m/>
    <e v="#NAME?"/>
    <e v="#NAME?"/>
    <e v="#NAME?"/>
    <m/>
    <m/>
    <m/>
    <m/>
    <m/>
    <n v="0"/>
    <m/>
    <m/>
    <m/>
  </r>
  <r>
    <s v="C367168"/>
    <s v="FLOR MIREYA GONZALEZ VASQUEZ"/>
    <x v="3"/>
    <x v="15"/>
    <s v="BBVA"/>
    <e v="#NAME?"/>
    <s v="SDATOOL-33846 $ SREP Data Quality- BCBS239 - Colombia"/>
    <n v="0.4"/>
    <s v="Tech Manager/Líder"/>
    <s v="Mainframe"/>
    <m/>
    <e v="#NAME?"/>
    <e v="#NAME?"/>
    <e v="#NAME?"/>
    <m/>
    <m/>
    <m/>
    <m/>
    <m/>
    <n v="1"/>
    <m/>
    <m/>
    <m/>
  </r>
  <r>
    <s v="C367168"/>
    <s v="FLOR MIREYA GONZALEZ VASQUEZ"/>
    <x v="3"/>
    <x v="15"/>
    <s v="BBVA"/>
    <e v="#NAME?"/>
    <s v="SDATOOL-37483 $ Aplicativos Finanzas - 2022"/>
    <n v="0.05"/>
    <s v="Tech Manager/Líder"/>
    <s v="Mainframe"/>
    <m/>
    <e v="#NAME?"/>
    <e v="#NAME?"/>
    <e v="#NAME?"/>
    <m/>
    <m/>
    <m/>
    <m/>
    <m/>
    <n v="0"/>
    <m/>
    <m/>
    <m/>
  </r>
  <r>
    <s v="C367168"/>
    <s v="FLOR MIREYA GONZALEZ VASQUEZ"/>
    <x v="3"/>
    <x v="15"/>
    <s v="BBVA"/>
    <e v="#NAME?"/>
    <s v="SDATOOL-35697 $ GRM - Garantías Hipotecarias - Ingesta de Datos"/>
    <n v="0.2"/>
    <s v="Tech Manager/Líder"/>
    <s v="Mainframe"/>
    <m/>
    <e v="#NAME?"/>
    <e v="#NAME?"/>
    <e v="#NAME?"/>
    <m/>
    <m/>
    <m/>
    <m/>
    <m/>
    <n v="0"/>
    <m/>
    <m/>
    <m/>
  </r>
  <r>
    <s v="C367168"/>
    <s v="FLOR MIREYA GONZALEZ VASQUEZ"/>
    <x v="3"/>
    <x v="15"/>
    <s v="BBVA"/>
    <e v="#NAME?"/>
    <s v="SDATOOL-41938 $ GRM Col Reg - Ajuste Calificación Escalera"/>
    <n v="0.1"/>
    <s v="Tech Manager/Líder"/>
    <s v="Mainframe"/>
    <m/>
    <e v="#NAME?"/>
    <e v="#NAME?"/>
    <e v="#NAME?"/>
    <m/>
    <m/>
    <m/>
    <m/>
    <m/>
    <n v="0"/>
    <m/>
    <m/>
    <m/>
  </r>
  <r>
    <s v="C367168"/>
    <s v="FLOR MIREYA GONZALEZ VASQUEZ"/>
    <x v="3"/>
    <x v="15"/>
    <s v="BBVA"/>
    <e v="#NAME?"/>
    <s v="SDATOOL-42201 $ GRM Col - Cronos Collections - Pago Dirigido Préstamos"/>
    <n v="0.25"/>
    <s v="Tech Manager/Líder"/>
    <s v="Mainframe"/>
    <m/>
    <e v="#NAME?"/>
    <e v="#NAME?"/>
    <e v="#NAME?"/>
    <m/>
    <m/>
    <m/>
    <m/>
    <m/>
    <n v="0"/>
    <m/>
    <m/>
    <m/>
  </r>
  <r>
    <s v="CE51434"/>
    <s v="MICHAEL ALEXANDER PINZON CRISTANCHO"/>
    <x v="3"/>
    <x v="15"/>
    <s v="Inetum"/>
    <e v="#NAME?"/>
    <s v="SDATOOL-35697 $ GRM - Garantías Hipotecarias - Ingesta de Datos"/>
    <n v="0.5"/>
    <s v="QA"/>
    <s v="Mainframe"/>
    <m/>
    <e v="#NAME?"/>
    <e v="#NAME?"/>
    <e v="#NAME?"/>
    <m/>
    <m/>
    <m/>
    <m/>
    <m/>
    <n v="1"/>
    <m/>
    <m/>
    <m/>
  </r>
  <r>
    <s v="CE51434"/>
    <s v="MICHAEL ALEXANDER PINZON CRISTANCHO"/>
    <x v="3"/>
    <x v="15"/>
    <s v="Inetum"/>
    <e v="#NAME?"/>
    <s v="SDATOOL-33846 $ SREP Data Quality- BCBS239 - Colombia"/>
    <n v="0.5"/>
    <s v="QA"/>
    <s v="Mainframe"/>
    <m/>
    <e v="#NAME?"/>
    <e v="#NAME?"/>
    <e v="#NAME?"/>
    <m/>
    <m/>
    <m/>
    <m/>
    <m/>
    <n v="0"/>
    <m/>
    <m/>
    <m/>
  </r>
  <r>
    <s v="C808227"/>
    <s v="MARIA PAULA ISAZA SANCHEZ"/>
    <x v="1"/>
    <x v="16"/>
    <s v="BBVA"/>
    <e v="#NAME?"/>
    <s v="SDATOOL-38736 $ Creación Tercero Miembro No Liquidador CRCC"/>
    <n v="1"/>
    <s v="Desarrollador"/>
    <s v="Distribuido"/>
    <m/>
    <e v="#NAME?"/>
    <e v="#NAME?"/>
    <e v="#NAME?"/>
    <m/>
    <m/>
    <m/>
    <m/>
    <m/>
    <m/>
    <m/>
    <m/>
    <m/>
  </r>
  <r>
    <s v="C804032"/>
    <s v="CAMILO ANDRES MORENO HURTADO"/>
    <x v="1"/>
    <x v="16"/>
    <s v="BBVA"/>
    <e v="#NAME?"/>
    <s v="SDATOOL-39217 $ Aplicativos Tesorería 2022"/>
    <n v="0.5"/>
    <s v="Desarrollador"/>
    <s v="Distribuido"/>
    <m/>
    <e v="#NAME?"/>
    <e v="#NAME?"/>
    <e v="#NAME?"/>
    <m/>
    <m/>
    <m/>
    <m/>
    <m/>
    <m/>
    <m/>
    <m/>
    <m/>
  </r>
  <r>
    <s v="C804032"/>
    <s v="CAMILO ANDRES MORENO HURTADO"/>
    <x v="1"/>
    <x v="16"/>
    <s v="BBVA"/>
    <e v="#NAME?"/>
    <s v="SDATOOL-41308 $ Aplicativos Tesorería 2023"/>
    <n v="0.5"/>
    <s v="Desarrollador"/>
    <s v="Distribuido"/>
    <m/>
    <e v="#NAME?"/>
    <e v="#NAME?"/>
    <e v="#NAME?"/>
    <m/>
    <m/>
    <m/>
    <m/>
    <m/>
    <m/>
    <m/>
    <m/>
    <m/>
  </r>
  <r>
    <s v="C811284"/>
    <s v="CRISTIAN ARLEY AMORTEGUI AREVALO"/>
    <x v="1"/>
    <x v="16"/>
    <s v="BBVA"/>
    <e v="#NAME?"/>
    <s v="SDATOOL-35663 $ Capacidades FX GM"/>
    <n v="1"/>
    <s v="Desarrollador"/>
    <s v="Mainframe"/>
    <m/>
    <e v="#NAME?"/>
    <e v="#NAME?"/>
    <e v="#NAME?"/>
    <m/>
    <m/>
    <m/>
    <m/>
    <m/>
    <m/>
    <m/>
    <m/>
    <m/>
  </r>
  <r>
    <s v="C808193"/>
    <s v="GILBERTO SANCHEZ RODRIGUEZ"/>
    <x v="1"/>
    <x v="16"/>
    <s v="BBVA"/>
    <e v="#NAME?"/>
    <s v="SDATOOL-40438 $ CIRCULAR 032 del 2021 - REQUERIMIENTO FISCALIA GENERAL DE LA NACION"/>
    <n v="0.75"/>
    <s v="Desarrollador"/>
    <s v="Mainframe"/>
    <m/>
    <e v="#NAME?"/>
    <e v="#NAME?"/>
    <e v="#NAME?"/>
    <m/>
    <m/>
    <m/>
    <m/>
    <m/>
    <m/>
    <m/>
    <m/>
    <m/>
  </r>
  <r>
    <s v="C808193"/>
    <s v="GILBERTO SANCHEZ RODRIGUEZ"/>
    <x v="1"/>
    <x v="16"/>
    <s v="BBVA"/>
    <e v="#NAME?"/>
    <s v="SDATOOL-41206 $ Ordenes de pago recibidas (OPR)"/>
    <n v="0.25"/>
    <s v="Desarrollador"/>
    <s v="Mainframe"/>
    <m/>
    <e v="#NAME?"/>
    <e v="#NAME?"/>
    <e v="#NAME?"/>
    <m/>
    <m/>
    <m/>
    <m/>
    <m/>
    <m/>
    <m/>
    <m/>
    <m/>
  </r>
  <r>
    <s v="C782744"/>
    <s v="VICTOR WILSON AREVALO MARTIN"/>
    <x v="1"/>
    <x v="16"/>
    <s v="BBVA"/>
    <e v="#NAME?"/>
    <s v="SDATOOL-41206 $ Ordenes de pago recibidas (OPR)"/>
    <n v="0.25"/>
    <s v="Desarrollador"/>
    <s v="Mainframe"/>
    <m/>
    <e v="#NAME?"/>
    <e v="#NAME?"/>
    <e v="#NAME?"/>
    <m/>
    <m/>
    <m/>
    <m/>
    <m/>
    <m/>
    <m/>
    <m/>
    <m/>
  </r>
  <r>
    <s v="C782744"/>
    <s v="VICTOR WILSON AREVALO MARTIN"/>
    <x v="1"/>
    <x v="16"/>
    <s v="BBVA"/>
    <e v="#NAME?"/>
    <s v="SDATOOL-38735 $ Dynamic Pricing"/>
    <n v="0.75"/>
    <s v="Desarrollador"/>
    <s v="Distribuido"/>
    <m/>
    <e v="#NAME?"/>
    <e v="#NAME?"/>
    <e v="#NAME?"/>
    <m/>
    <m/>
    <m/>
    <m/>
    <m/>
    <m/>
    <m/>
    <m/>
    <m/>
  </r>
  <r>
    <s v="C805683"/>
    <s v="SERGIO LEONARDO MENDOZA GASCA"/>
    <x v="1"/>
    <x v="16"/>
    <s v="BBVA"/>
    <e v="#NAME?"/>
    <s v="SDATOOL-38735 $ Dynamic Pricing"/>
    <n v="0.5"/>
    <s v="Desarrollador"/>
    <s v="Distribuido"/>
    <m/>
    <e v="#NAME?"/>
    <e v="#NAME?"/>
    <e v="#NAME?"/>
    <m/>
    <m/>
    <m/>
    <m/>
    <m/>
    <m/>
    <m/>
    <m/>
    <m/>
  </r>
  <r>
    <s v="C805683"/>
    <s v="SERGIO LEONARDO MENDOZA GASCA"/>
    <x v="1"/>
    <x v="16"/>
    <s v="BBVA"/>
    <e v="#NAME?"/>
    <s v="SDATOOL-39347 $ Alertas Personalizadas FX"/>
    <n v="0.5"/>
    <s v="Desarrollador"/>
    <s v="Distribuido"/>
    <m/>
    <e v="#NAME?"/>
    <e v="#NAME?"/>
    <e v="#NAME?"/>
    <m/>
    <m/>
    <m/>
    <m/>
    <m/>
    <m/>
    <m/>
    <m/>
    <m/>
  </r>
  <r>
    <s v="C805074"/>
    <s v="MARLON STUART SUAREZ ."/>
    <x v="1"/>
    <x v="16"/>
    <s v="BBVA"/>
    <e v="#NAME?"/>
    <s v="SDATOOL-39217 $ Aplicativos Tesorería 2022"/>
    <n v="0.3"/>
    <s v="Desarrollador"/>
    <s v="Distribuido"/>
    <m/>
    <e v="#NAME?"/>
    <e v="#NAME?"/>
    <e v="#NAME?"/>
    <m/>
    <m/>
    <m/>
    <m/>
    <m/>
    <m/>
    <m/>
    <m/>
    <m/>
  </r>
  <r>
    <s v="C805074"/>
    <s v="MARLON STUART SUAREZ ."/>
    <x v="1"/>
    <x v="16"/>
    <s v="BBVA"/>
    <e v="#NAME?"/>
    <s v="SDATOOL-31461 $ Liquidación Swaps Cross Crurrency Delivery"/>
    <n v="0.3"/>
    <s v="Desarrollador"/>
    <s v="Distribuido"/>
    <m/>
    <e v="#NAME?"/>
    <e v="#NAME?"/>
    <e v="#NAME?"/>
    <m/>
    <m/>
    <m/>
    <m/>
    <m/>
    <m/>
    <m/>
    <m/>
    <m/>
  </r>
  <r>
    <s v="C805074"/>
    <s v="MARLON STUART SUAREZ ."/>
    <x v="1"/>
    <x v="16"/>
    <s v="BBVA"/>
    <e v="#NAME?"/>
    <s v="SDATOOL-41308 $ Aplicativos Tesorería 2023"/>
    <n v="0.4"/>
    <s v="Desarrollador"/>
    <s v="Distribuido"/>
    <m/>
    <e v="#NAME?"/>
    <e v="#NAME?"/>
    <e v="#NAME?"/>
    <m/>
    <m/>
    <m/>
    <m/>
    <m/>
    <m/>
    <m/>
    <m/>
    <m/>
  </r>
  <r>
    <s v="O001825"/>
    <s v="JONATHAN FABIAN PAEZ TORRES"/>
    <x v="1"/>
    <x v="16"/>
    <s v="BBVA"/>
    <e v="#NAME?"/>
    <s v="SDATOOL-39217 $ Aplicativos Tesorería 2022"/>
    <n v="0.25"/>
    <s v="Desarrollador"/>
    <s v="Distribuido"/>
    <m/>
    <e v="#NAME?"/>
    <e v="#NAME?"/>
    <e v="#NAME?"/>
    <m/>
    <m/>
    <m/>
    <m/>
    <m/>
    <m/>
    <m/>
    <m/>
    <m/>
  </r>
  <r>
    <s v="O001825"/>
    <s v="JONATHAN FABIAN PAEZ TORRES"/>
    <x v="1"/>
    <x v="16"/>
    <s v="BBVA"/>
    <e v="#NAME?"/>
    <s v="SDATOOL-31461 $ Liquidación Swaps Cross Crurrency Delivery"/>
    <n v="0.25"/>
    <s v="Desarrollador"/>
    <s v="Distribuido"/>
    <m/>
    <e v="#NAME?"/>
    <e v="#NAME?"/>
    <e v="#NAME?"/>
    <m/>
    <m/>
    <m/>
    <m/>
    <m/>
    <m/>
    <m/>
    <m/>
    <m/>
  </r>
  <r>
    <s v="O001825"/>
    <s v="JONATHAN FABIAN PAEZ TORRES"/>
    <x v="1"/>
    <x v="16"/>
    <s v="BBVA"/>
    <e v="#NAME?"/>
    <s v="SDATOOL-41308 $ Aplicativos Tesorería 2023"/>
    <n v="0.5"/>
    <s v="Desarrollador"/>
    <s v="Distribuido"/>
    <m/>
    <e v="#NAME?"/>
    <e v="#NAME?"/>
    <e v="#NAME?"/>
    <m/>
    <m/>
    <m/>
    <m/>
    <m/>
    <m/>
    <m/>
    <m/>
    <m/>
  </r>
  <r>
    <s v="O003306"/>
    <s v="LEIDY JOHANA RODRIGUEZ GARCIA"/>
    <x v="1"/>
    <x v="16"/>
    <s v="BBVA"/>
    <e v="#NAME?"/>
    <s v="SDATOOL-41308 $ Aplicativos Tesorería 2023"/>
    <n v="0.75"/>
    <s v="Desarrollador"/>
    <s v="Distribuido"/>
    <m/>
    <e v="#NAME?"/>
    <e v="#NAME?"/>
    <e v="#NAME?"/>
    <m/>
    <m/>
    <m/>
    <m/>
    <m/>
    <m/>
    <m/>
    <m/>
    <m/>
  </r>
  <r>
    <s v="O003306"/>
    <s v="LEIDY JOHANA RODRIGUEZ GARCIA"/>
    <x v="1"/>
    <x v="16"/>
    <s v="BBVA"/>
    <e v="#NAME?"/>
    <s v="SDATOOL-41308 $ Aplicativos Tesorería 2023"/>
    <n v="0.25"/>
    <s v="Desarrollador"/>
    <s v="Distribuido"/>
    <m/>
    <e v="#NAME?"/>
    <e v="#NAME?"/>
    <e v="#NAME?"/>
    <m/>
    <m/>
    <m/>
    <m/>
    <m/>
    <m/>
    <m/>
    <m/>
    <m/>
  </r>
  <r>
    <s v="CE52611"/>
    <s v="GUSTAVO ADOLFO SALAZAR BERNAL"/>
    <x v="1"/>
    <x v="16"/>
    <s v="SII"/>
    <e v="#NAME?"/>
    <s v="SDATOOL-40438 $ CIRCULAR 032 del 2021 - REQUERIMIENTO FISCALIA GENERAL DE LA NACION"/>
    <n v="0.5"/>
    <s v="Desarrollador"/>
    <s v="Distribuido"/>
    <m/>
    <e v="#NAME?"/>
    <e v="#NAME?"/>
    <e v="#NAME?"/>
    <m/>
    <m/>
    <m/>
    <m/>
    <m/>
    <m/>
    <m/>
    <m/>
    <m/>
  </r>
  <r>
    <s v="CE52611"/>
    <s v="GUSTAVO ADOLFO SALAZAR BERNAL"/>
    <x v="1"/>
    <x v="16"/>
    <s v="SII"/>
    <e v="#NAME?"/>
    <s v="SDATOOL-41205 $ Tagging Netcash, Net, e-markets"/>
    <n v="0.5"/>
    <s v="Desarrollador"/>
    <s v="Distribuido"/>
    <m/>
    <e v="#NAME?"/>
    <e v="#NAME?"/>
    <e v="#NAME?"/>
    <m/>
    <m/>
    <m/>
    <m/>
    <m/>
    <m/>
    <m/>
    <m/>
    <m/>
  </r>
  <r>
    <s v="C804789"/>
    <s v="JHON ALEXANDER PINEDA ARIAS"/>
    <x v="1"/>
    <x v="16"/>
    <s v="BBVA"/>
    <e v="#NAME?"/>
    <s v="SDATOOL-37342 $ SWIFT ISO20022 Ajuste de mensajes Swift a la nueva estructura"/>
    <n v="0.5"/>
    <s v="Desarrollador"/>
    <s v="Mainframe"/>
    <m/>
    <e v="#NAME?"/>
    <e v="#NAME?"/>
    <e v="#NAME?"/>
    <m/>
    <m/>
    <m/>
    <m/>
    <m/>
    <m/>
    <m/>
    <m/>
    <m/>
  </r>
  <r>
    <s v="C804789"/>
    <s v="JHON ALEXANDER PINEDA ARIAS"/>
    <x v="1"/>
    <x v="16"/>
    <s v="BBVA"/>
    <e v="#NAME?"/>
    <s v="SDATOOL-41737 $ Moneda Extranjera - Inclusión en SIGDOC"/>
    <n v="0.5"/>
    <s v="Desarrollador"/>
    <s v="Mainframe"/>
    <m/>
    <e v="#NAME?"/>
    <e v="#NAME?"/>
    <e v="#NAME?"/>
    <m/>
    <m/>
    <m/>
    <m/>
    <m/>
    <m/>
    <m/>
    <m/>
    <m/>
  </r>
  <r>
    <s v="C810672"/>
    <s v="ALEJANDRA MARIA HINCAPIE AGUIRRE"/>
    <x v="1"/>
    <x v="16"/>
    <s v="BBVA"/>
    <e v="#NAME?"/>
    <s v="SDATOOL-33846 $ SREP Data Quality- BCBS239 - Colombia"/>
    <n v="0.5"/>
    <s v="Desarrollador"/>
    <s v="Distribuido"/>
    <m/>
    <e v="#NAME?"/>
    <e v="#NAME?"/>
    <e v="#NAME?"/>
    <m/>
    <m/>
    <m/>
    <m/>
    <m/>
    <m/>
    <m/>
    <m/>
    <m/>
  </r>
  <r>
    <s v="C810672"/>
    <s v="ALEJANDRA MARIA HINCAPIE AGUIRRE"/>
    <x v="1"/>
    <x v="16"/>
    <s v="BBVA"/>
    <e v="#NAME?"/>
    <s v="SDATOOL-41737 $ Moneda Extranjera - Inclusión en SIGDOC"/>
    <n v="0.5"/>
    <s v="Desarrollador"/>
    <s v="Distribuido"/>
    <m/>
    <e v="#NAME?"/>
    <e v="#NAME?"/>
    <e v="#NAME?"/>
    <m/>
    <m/>
    <m/>
    <m/>
    <m/>
    <m/>
    <m/>
    <m/>
    <m/>
  </r>
  <r>
    <s v="C804843"/>
    <s v="EDUAR DUBAN GONZALEZ JOYA"/>
    <x v="1"/>
    <x v="16"/>
    <s v="BBVA"/>
    <e v="#NAME?"/>
    <s v="SDATOOL-33846 $ SREP Data Quality- BCBS239 - Colombia"/>
    <n v="0.5"/>
    <s v="Desarrollador"/>
    <s v="Distribuido"/>
    <m/>
    <e v="#NAME?"/>
    <e v="#NAME?"/>
    <e v="#NAME?"/>
    <m/>
    <m/>
    <m/>
    <m/>
    <m/>
    <m/>
    <m/>
    <m/>
    <m/>
  </r>
  <r>
    <s v="C804843"/>
    <s v="EDUAR DUBAN GONZALEZ JOYA"/>
    <x v="1"/>
    <x v="16"/>
    <s v="BBVA"/>
    <e v="#NAME?"/>
    <s v="SDATOOL-41737 $ Moneda Extranjera - Inclusión en SIGDOC"/>
    <n v="0.5"/>
    <s v="Desarrollador"/>
    <s v="Distribuido"/>
    <m/>
    <e v="#NAME?"/>
    <e v="#NAME?"/>
    <e v="#NAME?"/>
    <m/>
    <m/>
    <m/>
    <m/>
    <m/>
    <m/>
    <m/>
    <m/>
    <m/>
  </r>
  <r>
    <s v="C805104"/>
    <s v="JEISSON SNEYDER GALLO RAMIREZ"/>
    <x v="1"/>
    <x v="16"/>
    <s v="BBVA"/>
    <e v="#NAME?"/>
    <s v="SDATOOL-36047 $ Bloqueo Sobregiro para Pago Capital e Intereses"/>
    <n v="1"/>
    <s v="Desarrollador"/>
    <s v="Mainframe"/>
    <m/>
    <e v="#NAME?"/>
    <e v="#NAME?"/>
    <e v="#NAME?"/>
    <m/>
    <m/>
    <m/>
    <m/>
    <m/>
    <m/>
    <m/>
    <m/>
    <m/>
  </r>
  <r>
    <s v="C810818"/>
    <s v="SERGIO ALEJANDRO NUÑEZ MENDIVELSO"/>
    <x v="1"/>
    <x v="16"/>
    <s v="BBVA"/>
    <e v="#NAME?"/>
    <s v="SDATOOL-40269 $ Actualización y transmisión Declaraciones de Cambio – Banco de la República Abril 2022."/>
    <n v="1"/>
    <s v="Desarrollador"/>
    <s v="Mainframe"/>
    <m/>
    <e v="#NAME?"/>
    <e v="#NAME?"/>
    <e v="#NAME?"/>
    <m/>
    <m/>
    <m/>
    <m/>
    <m/>
    <m/>
    <m/>
    <m/>
    <m/>
  </r>
  <r>
    <s v="CE67855"/>
    <s v="ANDREY DAVID NINO GALVIS"/>
    <x v="1"/>
    <x v="16"/>
    <s v="Accenture"/>
    <e v="#NAME?"/>
    <s v="NOSDA $ BAU (Mantenimiento y peq. evolutivos)"/>
    <n v="1"/>
    <s v="Desarrollador"/>
    <s v="Distribuido"/>
    <m/>
    <e v="#NAME?"/>
    <e v="#NAME?"/>
    <e v="#NAME?"/>
    <m/>
    <m/>
    <m/>
    <m/>
    <m/>
    <m/>
    <m/>
    <m/>
    <m/>
  </r>
  <r>
    <s v="T007493"/>
    <s v="BRIAN LEONARDO PEREZ RUBIANO"/>
    <x v="1"/>
    <x v="16"/>
    <s v="GGI / CMC"/>
    <e v="#NAME?"/>
    <s v="SDATOOL-41308 $ Aplicativos Tesorería 2023"/>
    <n v="0.5"/>
    <s v="QA"/>
    <s v="Distribuido"/>
    <m/>
    <e v="#NAME?"/>
    <e v="#NAME?"/>
    <e v="#NAME?"/>
    <m/>
    <m/>
    <m/>
    <m/>
    <m/>
    <m/>
    <m/>
    <m/>
    <m/>
  </r>
  <r>
    <s v="C796462"/>
    <s v="CAMILO ANDRES TELLEZ PRIETO"/>
    <x v="1"/>
    <x v="16"/>
    <s v="BBVA"/>
    <e v="#NAME?"/>
    <s v="NOSDA $ BAU (Mantenimiento y peq. evolutivos)"/>
    <n v="1"/>
    <s v="Tech Manager/Líder"/>
    <s v="Mainframe"/>
    <m/>
    <e v="#NAME?"/>
    <e v="#NAME?"/>
    <e v="#NAME?"/>
    <m/>
    <m/>
    <m/>
    <m/>
    <m/>
    <m/>
    <m/>
    <m/>
    <m/>
  </r>
  <r>
    <s v="C342545"/>
    <s v="CARLOS ANDRES MARTINEZ BEDOYA"/>
    <x v="1"/>
    <x v="16"/>
    <s v="BBVA"/>
    <e v="#NAME?"/>
    <s v="NOSDA $ BAU (Mantenimiento y peq. evolutivos)"/>
    <n v="1"/>
    <s v="Desarrollador"/>
    <s v="Mainframe"/>
    <m/>
    <e v="#NAME?"/>
    <e v="#NAME?"/>
    <e v="#NAME?"/>
    <m/>
    <m/>
    <m/>
    <m/>
    <m/>
    <m/>
    <m/>
    <m/>
    <m/>
  </r>
  <r>
    <s v="CE69667"/>
    <s v="HAROLD ENRIQUE ROCANCIO JULIO"/>
    <x v="1"/>
    <x v="16"/>
    <s v="GGI / CMC"/>
    <e v="#NAME?"/>
    <s v="NOSDA $ BAU (Mantenimiento y peq. evolutivos)"/>
    <n v="1"/>
    <s v="Otros"/>
    <s v="Distribuido"/>
    <m/>
    <e v="#NAME?"/>
    <e v="#NAME?"/>
    <e v="#NAME?"/>
    <m/>
    <m/>
    <m/>
    <m/>
    <m/>
    <m/>
    <m/>
    <m/>
    <m/>
  </r>
  <r>
    <s v="CE65485"/>
    <s v="HECTOR JAIRO LEGUIZAMON "/>
    <x v="1"/>
    <x v="16"/>
    <s v="Accenture"/>
    <e v="#NAME?"/>
    <s v="NOSDA $ BAU (Mantenimiento y peq. evolutivos)"/>
    <n v="1"/>
    <s v="Desarrollador"/>
    <s v="Distribuido"/>
    <m/>
    <e v="#NAME?"/>
    <e v="#NAME?"/>
    <e v="#NAME?"/>
    <m/>
    <m/>
    <m/>
    <m/>
    <m/>
    <m/>
    <m/>
    <m/>
    <m/>
  </r>
  <r>
    <s v="C809352"/>
    <s v="JOHAN GARZON PEDRAZA"/>
    <x v="1"/>
    <x v="16"/>
    <s v="BBVA"/>
    <e v="#NAME?"/>
    <s v="NOSDA $ BAU (Mantenimiento y peq. evolutivos)"/>
    <n v="1"/>
    <s v="Desarrollador"/>
    <s v="Mainframe"/>
    <m/>
    <e v="#NAME?"/>
    <e v="#NAME?"/>
    <e v="#NAME?"/>
    <m/>
    <m/>
    <m/>
    <m/>
    <m/>
    <m/>
    <m/>
    <m/>
    <m/>
  </r>
  <r>
    <s v="CE67103"/>
    <s v="KAREN ANDREA BELTRÁN SILVA"/>
    <x v="1"/>
    <x v="16"/>
    <s v="Accenture"/>
    <e v="#NAME?"/>
    <s v="NOSDA $ BAU (Mantenimiento y peq. evolutivos)"/>
    <n v="1"/>
    <s v="Desarrollador"/>
    <s v="Distribuido"/>
    <m/>
    <e v="#NAME?"/>
    <e v="#NAME?"/>
    <e v="#NAME?"/>
    <m/>
    <m/>
    <m/>
    <m/>
    <m/>
    <m/>
    <m/>
    <m/>
    <m/>
  </r>
  <r>
    <s v="CE66251"/>
    <s v="SANTIAGO A SANTOS ESTRADA"/>
    <x v="1"/>
    <x v="16"/>
    <s v="GGI / CMC"/>
    <e v="#NAME?"/>
    <s v="SDATOOL-38735 $ Dynamic Pricing"/>
    <n v="0.5"/>
    <s v="QA"/>
    <s v="Distribuido"/>
    <m/>
    <e v="#NAME?"/>
    <e v="#NAME?"/>
    <e v="#NAME?"/>
    <m/>
    <m/>
    <m/>
    <m/>
    <m/>
    <m/>
    <m/>
    <m/>
    <m/>
  </r>
  <r>
    <s v="C811314"/>
    <s v="GONZALO CHAPARRO LOPEZ"/>
    <x v="0"/>
    <x v="17"/>
    <s v="BBVA"/>
    <e v="#NAME?"/>
    <s v="NOSDA $ BAU (Mantenimiento y peq. evolutivos)"/>
    <n v="0.75"/>
    <s v="Tech Manager/Líder"/>
    <s v="Distribuido"/>
    <m/>
    <e v="#NAME?"/>
    <e v="#NAME?"/>
    <e v="#NAME?"/>
    <m/>
    <m/>
    <m/>
    <m/>
    <m/>
    <m/>
    <m/>
    <m/>
    <m/>
  </r>
  <r>
    <s v="C811314"/>
    <s v="GONZALO CHAPARRO LOPEZ"/>
    <x v="0"/>
    <x v="17"/>
    <s v="BBVA"/>
    <e v="#NAME?"/>
    <s v="SDATOOL-39246 $ Nuevo tipo de identificación para extranjeros"/>
    <n v="0.25"/>
    <s v="Tech Manager/Líder"/>
    <s v="Distribuido"/>
    <m/>
    <e v="#NAME?"/>
    <e v="#NAME?"/>
    <e v="#NAME?"/>
    <m/>
    <m/>
    <m/>
    <m/>
    <m/>
    <m/>
    <m/>
    <m/>
    <m/>
  </r>
  <r>
    <s v="CE68481"/>
    <s v="PEREZ PAN WILLIAM STEVEN"/>
    <x v="0"/>
    <x v="17"/>
    <s v="GGI / CMC"/>
    <e v="#NAME?"/>
    <s v="NOSDA $ BAU (Mantenimiento y peq. evolutivos)"/>
    <n v="1"/>
    <s v="QA"/>
    <s v="Distribuido"/>
    <m/>
    <e v="#NAME?"/>
    <e v="#NAME?"/>
    <e v="#NAME?"/>
    <m/>
    <m/>
    <m/>
    <m/>
    <m/>
    <m/>
    <m/>
    <m/>
    <m/>
  </r>
  <r>
    <s v="T001858"/>
    <s v="AGREDO LLANTEN NESTOR RAUL"/>
    <x v="0"/>
    <x v="17"/>
    <s v="Neoris"/>
    <e v="#NAME?"/>
    <s v="SDATOOL-41203 $ Obsolescencia Aplicativa 2023"/>
    <n v="1"/>
    <s v="Desarrollador"/>
    <s v="Distribuido"/>
    <m/>
    <e v="#NAME?"/>
    <e v="#NAME?"/>
    <e v="#NAME?"/>
    <m/>
    <m/>
    <m/>
    <m/>
    <m/>
    <m/>
    <m/>
    <m/>
    <m/>
  </r>
  <r>
    <s v="CE66707"/>
    <s v="ALFONSO PUIN DANIEL FELIPE"/>
    <x v="0"/>
    <x v="17"/>
    <s v="GGI / CMC"/>
    <e v="#NAME?"/>
    <s v="SDATOOL-41203 $ Obsolescencia Aplicativa 2023"/>
    <n v="1"/>
    <s v="Desarrollador"/>
    <s v="Distribuido"/>
    <m/>
    <e v="#NAME?"/>
    <e v="#NAME?"/>
    <e v="#NAME?"/>
    <m/>
    <m/>
    <m/>
    <m/>
    <m/>
    <m/>
    <m/>
    <m/>
    <m/>
  </r>
  <r>
    <s v="C802984"/>
    <s v="ALVARADO URUETA AVELINO RAFAEL"/>
    <x v="0"/>
    <x v="17"/>
    <s v="BBVA"/>
    <e v="#NAME?"/>
    <s v="NOSDA $ BAU (Mantenimiento y peq. evolutivos)"/>
    <n v="0.5"/>
    <s v="Desarrollador"/>
    <s v="Distribuido"/>
    <m/>
    <e v="#NAME?"/>
    <e v="#NAME?"/>
    <e v="#NAME?"/>
    <m/>
    <m/>
    <m/>
    <m/>
    <m/>
    <m/>
    <m/>
    <m/>
    <m/>
  </r>
  <r>
    <s v="C802984"/>
    <s v="ALVARADO URUETA AVELINO RAFAEL"/>
    <x v="0"/>
    <x v="17"/>
    <s v="BBVA"/>
    <e v="#NAME?"/>
    <s v="SDATOOL-41203 $ Obsolescencia Aplicativa 2023"/>
    <n v="0.5"/>
    <s v="Desarrollador"/>
    <s v="Distribuido"/>
    <m/>
    <e v="#NAME?"/>
    <e v="#NAME?"/>
    <e v="#NAME?"/>
    <m/>
    <m/>
    <m/>
    <m/>
    <m/>
    <m/>
    <m/>
    <m/>
    <m/>
  </r>
  <r>
    <s v="CE30852"/>
    <s v="CAMELO MORA LADY KATHERINE"/>
    <x v="0"/>
    <x v="17"/>
    <s v="GGI / CMC"/>
    <e v="#NAME?"/>
    <s v="NOSDA $ BAU (Mantenimiento y peq. evolutivos)"/>
    <n v="1"/>
    <s v="Desarrollador"/>
    <s v="Distribuido"/>
    <m/>
    <e v="#NAME?"/>
    <e v="#NAME?"/>
    <e v="#NAME?"/>
    <m/>
    <m/>
    <m/>
    <m/>
    <m/>
    <m/>
    <m/>
    <m/>
    <m/>
  </r>
  <r>
    <s v="C804326"/>
    <s v="CARVAJAL ARRAIZ ANGELICA ALEJANDRA"/>
    <x v="0"/>
    <x v="17"/>
    <s v="BBVA"/>
    <e v="#NAME?"/>
    <s v="NOSDA $ BAU (Mantenimiento y peq. evolutivos)"/>
    <n v="0.25"/>
    <s v="Desarrollador"/>
    <s v="Distribuido"/>
    <m/>
    <e v="#NAME?"/>
    <e v="#NAME?"/>
    <e v="#NAME?"/>
    <m/>
    <m/>
    <m/>
    <m/>
    <m/>
    <m/>
    <m/>
    <m/>
    <m/>
  </r>
  <r>
    <s v="C804326"/>
    <s v="CARVAJAL ARRAIZ ANGELICA ALEJANDRA"/>
    <x v="0"/>
    <x v="17"/>
    <s v="BBVA"/>
    <e v="#NAME?"/>
    <s v="SDATOOL-41203 $ Obsolescencia Aplicativa 2023"/>
    <n v="0.75"/>
    <s v="Desarrollador"/>
    <s v="Distribuido"/>
    <m/>
    <e v="#NAME?"/>
    <e v="#NAME?"/>
    <e v="#NAME?"/>
    <m/>
    <m/>
    <m/>
    <m/>
    <m/>
    <m/>
    <m/>
    <m/>
    <m/>
  </r>
  <r>
    <s v="C811188"/>
    <s v="CASTRO PULIDO STEFANNY LIZETH"/>
    <x v="0"/>
    <x v="17"/>
    <s v="BBVA"/>
    <e v="#NAME?"/>
    <s v="NOSDA $ BAU (Mantenimiento y peq. evolutivos)"/>
    <n v="1"/>
    <s v="Otros"/>
    <s v="Distribuido"/>
    <m/>
    <e v="#NAME?"/>
    <e v="#NAME?"/>
    <e v="#NAME?"/>
    <m/>
    <m/>
    <m/>
    <m/>
    <m/>
    <m/>
    <m/>
    <m/>
    <m/>
  </r>
  <r>
    <s v="CE57157"/>
    <s v="CHAVES ANGEL JOAN NICOLAS"/>
    <x v="0"/>
    <x v="17"/>
    <s v="GGI / CMC"/>
    <e v="#NAME?"/>
    <s v="NOSDA $ BAU (Mantenimiento y peq. evolutivos)"/>
    <n v="1"/>
    <s v="Desarrollador"/>
    <s v="Distribuido"/>
    <m/>
    <e v="#NAME?"/>
    <e v="#NAME?"/>
    <e v="#NAME?"/>
    <m/>
    <m/>
    <m/>
    <m/>
    <m/>
    <m/>
    <m/>
    <m/>
    <m/>
  </r>
  <r>
    <s v="T003701"/>
    <s v="CORREA HURTADO KEVIN ALEJANDRO"/>
    <x v="0"/>
    <x v="17"/>
    <s v="GGI / CMC"/>
    <e v="#NAME?"/>
    <s v="NOSDA $ BAU (Mantenimiento y peq. evolutivos)"/>
    <n v="1"/>
    <s v="Desarrollador"/>
    <s v="Distribuido"/>
    <m/>
    <e v="#NAME?"/>
    <e v="#NAME?"/>
    <e v="#NAME?"/>
    <m/>
    <m/>
    <m/>
    <m/>
    <m/>
    <m/>
    <m/>
    <m/>
    <m/>
  </r>
  <r>
    <s v="CE64257"/>
    <s v="DIAZ SALAZAR EDILBERTO"/>
    <x v="0"/>
    <x v="17"/>
    <s v="KRYPTO"/>
    <e v="#NAME?"/>
    <s v="NOSDA $ BAU (Mantenimiento y peq. evolutivos)"/>
    <n v="1"/>
    <s v="Otros"/>
    <s v="Distribuido"/>
    <m/>
    <e v="#NAME?"/>
    <e v="#NAME?"/>
    <e v="#NAME?"/>
    <m/>
    <m/>
    <m/>
    <m/>
    <m/>
    <m/>
    <m/>
    <m/>
    <m/>
  </r>
  <r>
    <s v="C810910"/>
    <s v="OLIVOS FONSECA JONATHAN STEVEN"/>
    <x v="0"/>
    <x v="17"/>
    <s v="BBVA"/>
    <e v="#NAME?"/>
    <s v="NOSDA $ BAU (Mantenimiento y peq. evolutivos)"/>
    <n v="0.5"/>
    <s v="Desarrollador"/>
    <s v="Distribuido"/>
    <m/>
    <e v="#NAME?"/>
    <e v="#NAME?"/>
    <e v="#NAME?"/>
    <m/>
    <m/>
    <m/>
    <m/>
    <m/>
    <m/>
    <m/>
    <m/>
    <m/>
  </r>
  <r>
    <s v="C810910"/>
    <s v="OLIVOS FONSECA JONATHAN STEVEN"/>
    <x v="0"/>
    <x v="17"/>
    <s v="BBVA"/>
    <e v="#NAME?"/>
    <s v="SDATOOL-39246 $ Nuevo tipo de identificación para extranjeros"/>
    <n v="0.5"/>
    <s v="Desarrollador"/>
    <s v="Distribuido"/>
    <m/>
    <e v="#NAME?"/>
    <e v="#NAME?"/>
    <e v="#NAME?"/>
    <m/>
    <m/>
    <m/>
    <m/>
    <m/>
    <m/>
    <m/>
    <m/>
    <m/>
  </r>
  <r>
    <s v="T004577"/>
    <s v="PINEDA MAHECHA PABLO ENRIQUE"/>
    <x v="0"/>
    <x v="17"/>
    <s v="GGI / CMC"/>
    <e v="#NAME?"/>
    <s v="NOSDA $ BAU (Mantenimiento y peq. evolutivos)"/>
    <n v="1"/>
    <s v="Desarrollador"/>
    <s v="Distribuido"/>
    <m/>
    <e v="#NAME?"/>
    <e v="#NAME?"/>
    <e v="#NAME?"/>
    <m/>
    <m/>
    <m/>
    <m/>
    <m/>
    <m/>
    <m/>
    <m/>
    <m/>
  </r>
  <r>
    <s v="CE60509"/>
    <s v="RODRIGUEZ RIVERA ANDRES CAMILO"/>
    <x v="0"/>
    <x v="17"/>
    <s v="GGI / CMC"/>
    <e v="#NAME?"/>
    <s v="SDATOOL-39840 $ BBVA Valores en Canales (Net Cash / Net)"/>
    <n v="1"/>
    <s v="Desarrollador"/>
    <s v="Distribuido"/>
    <m/>
    <e v="#NAME?"/>
    <e v="#NAME?"/>
    <e v="#NAME?"/>
    <m/>
    <m/>
    <m/>
    <m/>
    <m/>
    <m/>
    <m/>
    <m/>
    <m/>
  </r>
  <r>
    <s v="CE70171"/>
    <s v="CASALLAS LEGUIZAMON NELSON SEBASTIAN"/>
    <x v="0"/>
    <x v="17"/>
    <s v="GGI / CMC"/>
    <e v="#NAME?"/>
    <s v="NOSDA $ BAU (Mantenimiento y peq. evolutivos)"/>
    <n v="1"/>
    <s v="Desarrollador"/>
    <s v="Distribuido"/>
    <m/>
    <e v="#NAME?"/>
    <e v="#NAME?"/>
    <e v="#NAME?"/>
    <m/>
    <m/>
    <m/>
    <m/>
    <m/>
    <m/>
    <m/>
    <m/>
    <m/>
  </r>
  <r>
    <s v="C810855"/>
    <s v="PALACIO CHAVES ANDRES FELIPE"/>
    <x v="0"/>
    <x v="17"/>
    <s v="BBVA"/>
    <e v="#NAME?"/>
    <s v="SDATOOL-40482 $ Incluir tasa ponderada en Adquirencia Onboarding digital - Netcash"/>
    <n v="1"/>
    <s v="Desarrollador"/>
    <s v="Distribuido"/>
    <m/>
    <e v="#NAME?"/>
    <e v="#NAME?"/>
    <e v="#NAME?"/>
    <m/>
    <m/>
    <m/>
    <m/>
    <m/>
    <m/>
    <m/>
    <m/>
    <m/>
  </r>
  <r>
    <s v="C809514"/>
    <s v="MUÑOZ CEDANO LEONEL"/>
    <x v="0"/>
    <x v="17"/>
    <s v="BBVA"/>
    <e v="#NAME?"/>
    <s v="SDATOOL-37425 $ Recaudo DIAN Tarjetas de Crédito Propio Banco través del Botón de pagos PSE para los canales Banca Personas y Banca de Empresas"/>
    <n v="1"/>
    <s v="Desarrollador"/>
    <s v="Distribuido"/>
    <m/>
    <e v="#NAME?"/>
    <e v="#NAME?"/>
    <e v="#NAME?"/>
    <m/>
    <m/>
    <m/>
    <m/>
    <m/>
    <m/>
    <m/>
    <m/>
    <m/>
  </r>
  <r>
    <s v="CE66043"/>
    <s v="QUINTERO GAITÁN CRISTIAN ALBERTO"/>
    <x v="0"/>
    <x v="17"/>
    <s v="GGI / CMC"/>
    <e v="#NAME?"/>
    <s v="SDATOOL-40482 $ Incluir tasa ponderada en Adquirencia Onboarding digital - Netcash"/>
    <n v="0.5"/>
    <s v="Desarrollador"/>
    <s v="Distribuido"/>
    <m/>
    <e v="#NAME?"/>
    <e v="#NAME?"/>
    <e v="#NAME?"/>
    <m/>
    <m/>
    <m/>
    <m/>
    <m/>
    <m/>
    <m/>
    <m/>
    <m/>
  </r>
  <r>
    <s v="CE66043"/>
    <s v="QUINTERO GAITÁN CRISTIAN ALBERTO"/>
    <x v="0"/>
    <x v="17"/>
    <s v="GGI / CMC"/>
    <e v="#NAME?"/>
    <s v="SDATOOL-39358 $ Crédito Virtual"/>
    <n v="0.5"/>
    <s v="Desarrollador"/>
    <s v="Distribuido"/>
    <m/>
    <e v="#NAME?"/>
    <e v="#NAME?"/>
    <e v="#NAME?"/>
    <m/>
    <m/>
    <m/>
    <m/>
    <m/>
    <m/>
    <m/>
    <m/>
    <m/>
  </r>
  <r>
    <s v="CE70945"/>
    <s v="PENA DIAZ EDGAR SEBASTIAN"/>
    <x v="0"/>
    <x v="17"/>
    <s v="GGI / CMC"/>
    <e v="#NAME?"/>
    <s v="SDATOOL-40482 $ Incluir tasa ponderada en Adquirencia Onboarding digital - Netcash"/>
    <n v="0.5"/>
    <s v="Desarrollador"/>
    <s v="Distribuido"/>
    <m/>
    <e v="#NAME?"/>
    <e v="#NAME?"/>
    <e v="#NAME?"/>
    <m/>
    <m/>
    <m/>
    <m/>
    <m/>
    <m/>
    <m/>
    <m/>
    <m/>
  </r>
  <r>
    <s v="CE70945"/>
    <s v="PENA DIAZ EDGAR SEBASTIAN"/>
    <x v="0"/>
    <x v="17"/>
    <s v="GGI / CMC"/>
    <e v="#NAME?"/>
    <s v="SDATOOL-40555 $ ADELANTO DE VENTA EN GEMA"/>
    <n v="0.5"/>
    <s v="Desarrollador"/>
    <s v="Cells"/>
    <m/>
    <e v="#NAME?"/>
    <e v="#NAME?"/>
    <e v="#NAME?"/>
    <m/>
    <m/>
    <m/>
    <m/>
    <m/>
    <m/>
    <m/>
    <m/>
    <m/>
  </r>
  <r>
    <s v="CE67424"/>
    <s v="JIMENEZ MUÑOZ ANA MARIA"/>
    <x v="0"/>
    <x v="17"/>
    <s v="GGI / CMC"/>
    <e v="#NAME?"/>
    <s v="SDATOOL-40482 $ Incluir tasa ponderada en Adquirencia Onboarding digital - Netcash"/>
    <n v="0.5"/>
    <s v="QA"/>
    <s v="Distribuido"/>
    <m/>
    <e v="#NAME?"/>
    <e v="#NAME?"/>
    <e v="#NAME?"/>
    <m/>
    <m/>
    <m/>
    <m/>
    <m/>
    <m/>
    <m/>
    <m/>
    <m/>
  </r>
  <r>
    <s v="CE67424"/>
    <s v="JIMENEZ MUÑOZ ANA MARIA"/>
    <x v="0"/>
    <x v="17"/>
    <s v="GGI / CMC"/>
    <e v="#NAME?"/>
    <s v="SDATOOL-37425 $ Recaudo DIAN Tarjetas de Crédito Propio Banco través del Botón de pagos PSE para los canales Banca Personas y Banca de Empresas"/>
    <n v="0.5"/>
    <s v="QA"/>
    <s v="Distribuido"/>
    <m/>
    <e v="#NAME?"/>
    <e v="#NAME?"/>
    <e v="#NAME?"/>
    <m/>
    <m/>
    <m/>
    <m/>
    <m/>
    <m/>
    <m/>
    <m/>
    <m/>
  </r>
  <r>
    <s v="CE70844"/>
    <s v="CORONADO ALVARO FELIPE"/>
    <x v="0"/>
    <x v="17"/>
    <s v="GGI / CMC"/>
    <e v="#NAME?"/>
    <s v="SDATOOL-40482 $ Incluir tasa ponderada en Adquirencia Onboarding digital - Netcash"/>
    <n v="1"/>
    <s v="Desarrollador"/>
    <s v="Distribuido"/>
    <m/>
    <e v="#NAME?"/>
    <e v="#NAME?"/>
    <e v="#NAME?"/>
    <m/>
    <m/>
    <m/>
    <m/>
    <m/>
    <m/>
    <m/>
    <m/>
    <m/>
  </r>
  <r>
    <s v="CE70149"/>
    <s v="ALDANA ROJAS TIHAMER KARLOVICH"/>
    <x v="0"/>
    <x v="17"/>
    <s v="GGI / CMC"/>
    <e v="#NAME?"/>
    <s v="SDATOOL-37425 $ Recaudo DIAN Tarjetas de Crédito Propio Banco través del Botón de pagos PSE para los canales Banca Personas y Banca de Empresas"/>
    <n v="1"/>
    <s v="Desarrollador"/>
    <s v="Distribuido"/>
    <m/>
    <e v="#NAME?"/>
    <e v="#NAME?"/>
    <e v="#NAME?"/>
    <m/>
    <m/>
    <m/>
    <m/>
    <m/>
    <m/>
    <m/>
    <m/>
    <m/>
  </r>
  <r>
    <s v="C811408"/>
    <s v="BENITEZ ATENCIA JAIME RAFAEL"/>
    <x v="0"/>
    <x v="17"/>
    <s v="BBVA"/>
    <e v="#NAME?"/>
    <s v="SDATOOL-40555 $ ADELANTO DE VENTA EN GEMA"/>
    <n v="0.5"/>
    <s v="Desarrollador"/>
    <s v="APX"/>
    <m/>
    <e v="#NAME?"/>
    <e v="#NAME?"/>
    <e v="#NAME?"/>
    <m/>
    <m/>
    <m/>
    <m/>
    <m/>
    <m/>
    <m/>
    <m/>
    <m/>
  </r>
  <r>
    <s v="C811408"/>
    <s v="BENITEZ ATENCIA JAIME RAFAEL"/>
    <x v="0"/>
    <x v="17"/>
    <s v="BBVA"/>
    <e v="#NAME?"/>
    <s v="SDATOOL-40482 $ Incluir tasa ponderada en Adquirencia Onboarding digital - Netcash"/>
    <n v="0.5"/>
    <s v="Desarrollador"/>
    <s v="APX"/>
    <m/>
    <e v="#NAME?"/>
    <e v="#NAME?"/>
    <e v="#NAME?"/>
    <m/>
    <m/>
    <m/>
    <m/>
    <m/>
    <m/>
    <m/>
    <m/>
    <m/>
  </r>
  <r>
    <s v="T005725"/>
    <s v="NARANJO WILMER FERNEY"/>
    <x v="0"/>
    <x v="17"/>
    <s v="GGI / CMC"/>
    <e v="#NAME?"/>
    <s v="SDATOOL-40482 $ Incluir tasa ponderada en Adquirencia Onboarding digital - Netcash"/>
    <n v="1"/>
    <s v="Desarrollador"/>
    <s v="APX"/>
    <m/>
    <e v="#NAME?"/>
    <e v="#NAME?"/>
    <e v="#NAME?"/>
    <m/>
    <m/>
    <m/>
    <m/>
    <m/>
    <m/>
    <m/>
    <m/>
    <m/>
  </r>
  <r>
    <s v="-"/>
    <s v="JERSON SANCHEZ"/>
    <x v="0"/>
    <x v="17"/>
    <s v="GGI / CMC"/>
    <e v="#NAME?"/>
    <s v="SDATOOL-40482 $ Incluir tasa ponderada en Adquirencia Onboarding digital - Netcash"/>
    <n v="1"/>
    <s v="Desarrollador"/>
    <s v="Otras Tec."/>
    <m/>
    <e v="#NAME?"/>
    <e v="#NAME?"/>
    <e v="#NAME?"/>
    <m/>
    <m/>
    <m/>
    <m/>
    <m/>
    <m/>
    <m/>
    <m/>
    <m/>
  </r>
  <r>
    <s v="CE58491"/>
    <s v="RICARDO AGUSTIN PACHON PIRAGAUTA"/>
    <x v="1"/>
    <x v="18"/>
    <s v="Inetum"/>
    <e v="#NAME?"/>
    <s v="SDATOOL-40242 $ Fiduciaria - Obsolescencia software Base aplicativo MIDAS"/>
    <n v="0.5"/>
    <s v="Otros"/>
    <s v="Distribuido"/>
    <m/>
    <e v="#NAME?"/>
    <e v="#NAME?"/>
    <e v="#NAME?"/>
    <m/>
    <m/>
    <m/>
    <m/>
    <m/>
    <m/>
    <m/>
    <m/>
    <m/>
  </r>
  <r>
    <s v="O000083"/>
    <s v="Oscar Ivan Muñoz Alvarez"/>
    <x v="1"/>
    <x v="18"/>
    <s v="BBVA Fiduciaria"/>
    <e v="#NAME?"/>
    <s v="SDATOOL-32520 $ CDD Based Reporting - Colombia"/>
    <n v="1"/>
    <s v="Otros"/>
    <s v="Distribuido"/>
    <m/>
    <e v="#NAME?"/>
    <e v="#NAME?"/>
    <e v="#NAME?"/>
    <m/>
    <m/>
    <m/>
    <m/>
    <m/>
    <m/>
    <m/>
    <m/>
    <m/>
  </r>
  <r>
    <s v="CI35435"/>
    <s v="Soraida Cujavante Sierra"/>
    <x v="1"/>
    <x v="18"/>
    <s v="BBVA Fiduciaria"/>
    <e v="#NAME?"/>
    <s v="NOSDA $ BAU (Mantenimiento y peq. evolutivos)"/>
    <n v="0.75"/>
    <s v="Otros"/>
    <s v="Distribuido"/>
    <m/>
    <e v="#NAME?"/>
    <e v="#NAME?"/>
    <e v="#NAME?"/>
    <m/>
    <m/>
    <m/>
    <m/>
    <m/>
    <m/>
    <m/>
    <m/>
    <m/>
  </r>
  <r>
    <s v="CI35407"/>
    <s v="Elkin David Fuentes Rodríguez"/>
    <x v="1"/>
    <x v="18"/>
    <s v="BBVA Fiduciaria"/>
    <e v="#NAME?"/>
    <s v="NOSDA $ BAU (Mantenimiento y peq. evolutivos)"/>
    <n v="0.75"/>
    <s v="Otros"/>
    <s v="Distribuido"/>
    <m/>
    <e v="#NAME?"/>
    <e v="#NAME?"/>
    <e v="#NAME?"/>
    <m/>
    <m/>
    <m/>
    <m/>
    <m/>
    <m/>
    <m/>
    <m/>
    <m/>
  </r>
  <r>
    <s v="CI01204"/>
    <s v="Celso Hernández Torres"/>
    <x v="1"/>
    <x v="18"/>
    <s v="BBVA Fiduciaria"/>
    <e v="#NAME?"/>
    <s v="NOSDA $ BAU (Mantenimiento y peq. evolutivos)"/>
    <n v="0.75"/>
    <s v="Tech Manager/Líder"/>
    <s v="Distribuido"/>
    <m/>
    <e v="#NAME?"/>
    <e v="#NAME?"/>
    <e v="#NAME?"/>
    <m/>
    <m/>
    <m/>
    <m/>
    <m/>
    <m/>
    <m/>
    <m/>
    <m/>
  </r>
  <r>
    <s v="CI01204"/>
    <s v="Celso Hernández Torres"/>
    <x v="1"/>
    <x v="18"/>
    <s v="BBVA Fiduciaria"/>
    <e v="#NAME?"/>
    <s v="SDATOOL-39283 $ Fiduciaria - Obsolescencia software Base aplicativo Central"/>
    <n v="0.25"/>
    <s v="Tech Manager/Líder"/>
    <s v="Distribuido"/>
    <m/>
    <e v="#NAME?"/>
    <e v="#NAME?"/>
    <e v="#NAME?"/>
    <m/>
    <m/>
    <m/>
    <m/>
    <m/>
    <m/>
    <m/>
    <m/>
    <m/>
  </r>
  <r>
    <s v="CI35375"/>
    <s v="Luis Rodrigo Ulloa Marin"/>
    <x v="1"/>
    <x v="18"/>
    <s v="BBVA Fiduciaria"/>
    <e v="#NAME?"/>
    <s v="SDATOOL-40242 $ Fiduciaria - Obsolescencia software Base aplicativo MIDAS"/>
    <n v="0.25"/>
    <s v="Tech Manager/Líder"/>
    <s v="Distribuido"/>
    <m/>
    <e v="#NAME?"/>
    <e v="#NAME?"/>
    <e v="#NAME?"/>
    <m/>
    <m/>
    <m/>
    <m/>
    <m/>
    <m/>
    <m/>
    <m/>
    <m/>
  </r>
  <r>
    <s v="CI35375"/>
    <s v="Luis Rodrigo Ulloa Marin"/>
    <x v="1"/>
    <x v="18"/>
    <s v="BBVA Fiduciaria"/>
    <e v="#NAME?"/>
    <s v="NOSDA $ BAU (Mantenimiento y peq. evolutivos)"/>
    <n v="0.25"/>
    <s v="Tech Manager/Líder"/>
    <s v="Distribuido"/>
    <m/>
    <e v="#NAME?"/>
    <e v="#NAME?"/>
    <e v="#NAME?"/>
    <m/>
    <m/>
    <m/>
    <m/>
    <m/>
    <m/>
    <m/>
    <m/>
    <m/>
  </r>
  <r>
    <s v="CI35407"/>
    <s v="Elkin David Fuentes Rodríguez"/>
    <x v="1"/>
    <x v="18"/>
    <s v="BBVA Fiduciaria"/>
    <e v="#NAME?"/>
    <s v="SDATOOL-40639 $ Fiduciaria -Obsolecencia Migración Softoken FIDUSAP R2 a NextGen"/>
    <n v="0.25"/>
    <s v="Otros"/>
    <s v="Distribuido"/>
    <m/>
    <e v="#NAME?"/>
    <e v="#NAME?"/>
    <e v="#NAME?"/>
    <m/>
    <m/>
    <m/>
    <m/>
    <m/>
    <m/>
    <m/>
    <m/>
    <m/>
  </r>
  <r>
    <s v="CI35435"/>
    <s v="Soraida Cujavante Sierra"/>
    <x v="1"/>
    <x v="18"/>
    <s v="BBVA Fiduciaria"/>
    <e v="#NAME?"/>
    <s v="SDATOOL-40548 $ Fiduciaria - Obsolecencia aplicativa, infraestructura e Insider aplicativo FIDUSAP"/>
    <n v="0.25"/>
    <s v="Otros"/>
    <s v="Distribuido"/>
    <m/>
    <e v="#NAME?"/>
    <e v="#NAME?"/>
    <e v="#NAME?"/>
    <m/>
    <m/>
    <m/>
    <m/>
    <m/>
    <m/>
    <m/>
    <m/>
    <m/>
  </r>
  <r>
    <s v="T011273"/>
    <s v="Brenda Liliana Sepúlveda Vega"/>
    <x v="1"/>
    <x v="18"/>
    <s v="BBVA Fiduciaria"/>
    <e v="#NAME?"/>
    <s v="SDATOOL-40548 $ Fiduciaria - Obsolecencia aplicativa, infraestructura e Insider aplicativo FIDUSAP"/>
    <n v="1"/>
    <s v="Otros"/>
    <s v="Distribuido"/>
    <m/>
    <e v="#NAME?"/>
    <e v="#NAME?"/>
    <e v="#NAME?"/>
    <m/>
    <m/>
    <m/>
    <m/>
    <m/>
    <m/>
    <m/>
    <m/>
    <m/>
  </r>
  <r>
    <s v="CI35406"/>
    <s v="Jenny Martinez Lopez"/>
    <x v="1"/>
    <x v="18"/>
    <s v="BBVA Fiduciaria"/>
    <e v="#NAME?"/>
    <s v="SDATOOL-40552 $ Fiduciaria - PSE Procesamiento y confirmación de pagos en línea"/>
    <n v="0.25"/>
    <s v="Tech Manager/Líder"/>
    <s v="Distribuido"/>
    <m/>
    <e v="#NAME?"/>
    <e v="#NAME?"/>
    <e v="#NAME?"/>
    <m/>
    <m/>
    <m/>
    <m/>
    <m/>
    <m/>
    <m/>
    <m/>
    <m/>
  </r>
  <r>
    <s v="CI35406"/>
    <s v="Jenny Martinez Lopez"/>
    <x v="1"/>
    <x v="18"/>
    <s v="BBVA Fiduciaria"/>
    <e v="#NAME?"/>
    <s v="NOSDA $ BAU (Mantenimiento y peq. evolutivos)"/>
    <n v="0.75"/>
    <s v="Otros"/>
    <s v="Distribuido"/>
    <m/>
    <e v="#NAME?"/>
    <e v="#NAME?"/>
    <e v="#NAME?"/>
    <m/>
    <m/>
    <m/>
    <m/>
    <m/>
    <m/>
    <m/>
    <m/>
    <m/>
  </r>
  <r>
    <s v="CI35202"/>
    <s v="Hugo Ferney Prieto Posso"/>
    <x v="1"/>
    <x v="18"/>
    <s v="BBVA Fiduciaria"/>
    <e v="#NAME?"/>
    <s v="NOSDA $ BAU (Mantenimiento y peq. evolutivos)"/>
    <n v="1"/>
    <s v="Otros"/>
    <s v="Distribuido"/>
    <m/>
    <e v="#NAME?"/>
    <e v="#NAME?"/>
    <e v="#NAME?"/>
    <m/>
    <m/>
    <m/>
    <m/>
    <m/>
    <m/>
    <m/>
    <m/>
    <m/>
  </r>
  <r>
    <s v="CI35375"/>
    <s v="Luis Rodrigo Ulloa Marin"/>
    <x v="1"/>
    <x v="18"/>
    <s v="BBVA Fiduciaria"/>
    <e v="#NAME?"/>
    <s v="SDATOOL-40812 $ Fiduciaria - Cambio de operador tecnologico para los documentos electronicos en la sociedad"/>
    <n v="0.16"/>
    <s v="Tech Manager/Líder"/>
    <s v="Distribuido"/>
    <m/>
    <e v="#NAME?"/>
    <e v="#NAME?"/>
    <e v="#NAME?"/>
    <m/>
    <m/>
    <m/>
    <m/>
    <m/>
    <m/>
    <m/>
    <m/>
    <m/>
  </r>
  <r>
    <s v="CE68033"/>
    <s v="Donoban Ricardo Figueredo Piragauta"/>
    <x v="1"/>
    <x v="18"/>
    <s v="BBVA Fiduciaria"/>
    <e v="#NAME?"/>
    <s v="NOSDA $ BAU (Mantenimiento y peq. evolutivos)"/>
    <n v="1"/>
    <s v="QA"/>
    <s v="Distribuido"/>
    <m/>
    <e v="#NAME?"/>
    <e v="#NAME?"/>
    <e v="#NAME?"/>
    <m/>
    <m/>
    <m/>
    <m/>
    <m/>
    <m/>
    <m/>
    <m/>
    <m/>
  </r>
  <r>
    <s v="CE58491"/>
    <s v="RICARDO AGUSTIN PACHON PIRAGAUTA"/>
    <x v="1"/>
    <x v="18"/>
    <s v="Inetum"/>
    <e v="#NAME?"/>
    <s v="NOSDA $ BAU (Mantenimiento y peq. evolutivos)"/>
    <n v="0.5"/>
    <s v="Otros"/>
    <m/>
    <m/>
    <e v="#NAME?"/>
    <e v="#NAME?"/>
    <e v="#NAME?"/>
    <m/>
    <m/>
    <m/>
    <m/>
    <m/>
    <m/>
    <m/>
    <m/>
    <m/>
  </r>
  <r>
    <s v="O001341"/>
    <s v="JOHN FREDDY JIMENEZ"/>
    <x v="5"/>
    <x v="19"/>
    <s v="BBVA"/>
    <e v="#NAME?"/>
    <s v="SDATOOL-40672 $ Plan CRM: Mejoras AUG (Banca Comercial y CSF) Equipo A"/>
    <n v="0.25"/>
    <s v="Tech Manager/Líder"/>
    <s v="Mainframe"/>
    <s v="BlueSpring"/>
    <e v="#NAME?"/>
    <e v="#NAME?"/>
    <e v="#NAME?"/>
    <m/>
    <m/>
    <m/>
    <n v="3"/>
    <n v="15"/>
    <m/>
    <m/>
    <m/>
    <m/>
  </r>
  <r>
    <s v="O001341"/>
    <s v="JOHN FREDDY JIMENEZ"/>
    <x v="5"/>
    <x v="19"/>
    <s v="BBVA"/>
    <e v="#NAME?"/>
    <s v="SDATOOL-40690 $ Plan CRM: Mejoras AUG (Banca Comercial y CSF) Equipo B"/>
    <n v="0.3"/>
    <s v="Tech Manager/Líder"/>
    <s v="Cells"/>
    <s v="ASO , APX"/>
    <e v="#NAME?"/>
    <e v="#NAME?"/>
    <e v="#NAME?"/>
    <m/>
    <m/>
    <m/>
    <n v="3"/>
    <n v="11"/>
    <m/>
    <m/>
    <m/>
    <m/>
  </r>
  <r>
    <s v="O001341"/>
    <s v="JOHN FREDDY JIMENEZ"/>
    <x v="5"/>
    <x v="19"/>
    <s v="BBVA"/>
    <e v="#NAME?"/>
    <s v="SDATOOL-37121 $ Plan CRM: Seguimiento al pipeline"/>
    <n v="0.3"/>
    <s v="Tech Manager/Líder"/>
    <s v="Cells"/>
    <s v="ASO , APX"/>
    <e v="#NAME?"/>
    <e v="#NAME?"/>
    <e v="#NAME?"/>
    <m/>
    <m/>
    <m/>
    <n v="1"/>
    <n v="12"/>
    <m/>
    <m/>
    <m/>
    <m/>
  </r>
  <r>
    <s v="O001341"/>
    <s v="JOHN FREDDY JIMENEZ"/>
    <x v="5"/>
    <x v="19"/>
    <s v="BBVA"/>
    <e v="#NAME?"/>
    <s v="NOSDA $ BAU (Mantenimiento y peq. evolutivos)"/>
    <n v="0.1"/>
    <s v="Tech Manager/Líder"/>
    <s v="Mainframe"/>
    <s v="BlueSpring"/>
    <e v="#NAME?"/>
    <e v="#NAME?"/>
    <e v="#NAME?"/>
    <m/>
    <m/>
    <m/>
    <m/>
    <m/>
    <m/>
    <m/>
    <m/>
    <m/>
  </r>
  <r>
    <s v="C805963"/>
    <s v="GORGETH MOSCARELLA MARTÍNEZ"/>
    <x v="5"/>
    <x v="19"/>
    <s v="BBVA"/>
    <e v="#NAME?"/>
    <s v="SDATOOL-40672 $ Plan CRM: Mejoras AUG (Banca Comercial y CSF) Equipo A"/>
    <n v="1"/>
    <s v="Desarrollador"/>
    <s v="Mainframe"/>
    <m/>
    <e v="#NAME?"/>
    <e v="#NAME?"/>
    <e v="#NAME?"/>
    <m/>
    <m/>
    <m/>
    <m/>
    <m/>
    <m/>
    <m/>
    <m/>
    <m/>
  </r>
  <r>
    <s v="C805996"/>
    <s v="DANIEL ORLANDO GARZON"/>
    <x v="5"/>
    <x v="19"/>
    <s v="BBVA"/>
    <e v="#NAME?"/>
    <s v="SDATOOL-40690 $ Plan CRM: Mejoras AUG (Banca Comercial y CSF) Equipo B"/>
    <n v="1"/>
    <s v="Desarrollador"/>
    <s v="Mainframe"/>
    <m/>
    <e v="#NAME?"/>
    <e v="#NAME?"/>
    <e v="#NAME?"/>
    <m/>
    <m/>
    <m/>
    <m/>
    <m/>
    <m/>
    <m/>
    <m/>
    <m/>
  </r>
  <r>
    <s v="C810813"/>
    <s v="RUBIANO MARIN WILLIAM EDUARDO"/>
    <x v="5"/>
    <x v="19"/>
    <s v="BBVA"/>
    <e v="#NAME?"/>
    <s v="SDATOOL-40672 $ Plan CRM: Mejoras AUG (Banca Comercial y CSF) Equipo A"/>
    <n v="0.8"/>
    <s v="Desarrollador"/>
    <s v="ASO"/>
    <m/>
    <e v="#NAME?"/>
    <e v="#NAME?"/>
    <e v="#NAME?"/>
    <m/>
    <m/>
    <m/>
    <m/>
    <m/>
    <m/>
    <m/>
    <m/>
    <m/>
  </r>
  <r>
    <s v="C810813"/>
    <s v="RUBIANO MARIN WILLIAM EDUARDO"/>
    <x v="5"/>
    <x v="19"/>
    <s v="BBVA"/>
    <e v="#NAME?"/>
    <s v="NOSDA $ BAU (Mantenimiento y peq. evolutivos)"/>
    <n v="0.2"/>
    <s v="Desarrollador"/>
    <s v="ASO"/>
    <m/>
    <e v="#NAME?"/>
    <e v="#NAME?"/>
    <e v="#NAME?"/>
    <m/>
    <m/>
    <m/>
    <m/>
    <m/>
    <m/>
    <m/>
    <m/>
    <m/>
  </r>
  <r>
    <s v="C341736"/>
    <s v="GUEVARA CASTRO JUAN ANDRES"/>
    <x v="5"/>
    <x v="19"/>
    <s v="BBVA"/>
    <e v="#NAME?"/>
    <s v="SDATOOL-40672 $ Plan CRM: Mejoras AUG (Banca Comercial y CSF) Equipo A"/>
    <n v="0.8"/>
    <s v="Desarrollador"/>
    <s v="Mainframe"/>
    <m/>
    <e v="#NAME?"/>
    <e v="#NAME?"/>
    <e v="#NAME?"/>
    <m/>
    <m/>
    <m/>
    <m/>
    <m/>
    <m/>
    <m/>
    <m/>
    <m/>
  </r>
  <r>
    <s v="C341736"/>
    <s v="GUEVARA CASTRO JUAN ANDRES"/>
    <x v="5"/>
    <x v="19"/>
    <s v="BBVA"/>
    <e v="#NAME?"/>
    <s v="NOSDA $ BAU (Mantenimiento y peq. evolutivos)"/>
    <n v="0.2"/>
    <s v="Desarrollador"/>
    <s v="Mainframe"/>
    <m/>
    <e v="#NAME?"/>
    <e v="#NAME?"/>
    <e v="#NAME?"/>
    <m/>
    <m/>
    <m/>
    <m/>
    <m/>
    <m/>
    <m/>
    <m/>
    <m/>
  </r>
  <r>
    <s v="CE69608"/>
    <s v="JULIETH ALEJANDRA BERMUDEZ BERNAL"/>
    <x v="5"/>
    <x v="19"/>
    <s v="Choucair"/>
    <e v="#NAME?"/>
    <s v="SDATOOL-40672 $ Plan CRM: Mejoras AUG (Banca Comercial y CSF) Equipo A"/>
    <n v="0.8"/>
    <s v="QA"/>
    <s v="Distribuido"/>
    <m/>
    <e v="#NAME?"/>
    <e v="#NAME?"/>
    <e v="#NAME?"/>
    <m/>
    <m/>
    <m/>
    <m/>
    <m/>
    <m/>
    <m/>
    <m/>
    <m/>
  </r>
  <r>
    <s v="T007662"/>
    <s v="ADRIANA MARCELA RODRIGUEZ"/>
    <x v="5"/>
    <x v="19"/>
    <s v="Neoris"/>
    <e v="#NAME?"/>
    <s v="SDATOOL-40672 $ Plan CRM: Mejoras AUG (Banca Comercial y CSF) Equipo A"/>
    <n v="0.5"/>
    <s v="Tech Manager/Líder"/>
    <s v="Distribuido"/>
    <m/>
    <e v="#NAME?"/>
    <e v="#NAME?"/>
    <e v="#NAME?"/>
    <m/>
    <m/>
    <m/>
    <m/>
    <m/>
    <m/>
    <m/>
    <m/>
    <m/>
  </r>
  <r>
    <s v="T007663"/>
    <s v="ANDRES ALBERTO SAENZ CORDERO"/>
    <x v="5"/>
    <x v="19"/>
    <s v="Neoris"/>
    <e v="#NAME?"/>
    <s v="SDATOOL-40672 $ Plan CRM: Mejoras AUG (Banca Comercial y CSF) Equipo A"/>
    <n v="1"/>
    <s v="Desarrollador"/>
    <s v="Distribuido"/>
    <m/>
    <e v="#NAME?"/>
    <e v="#NAME?"/>
    <e v="#NAME?"/>
    <m/>
    <m/>
    <m/>
    <m/>
    <m/>
    <m/>
    <m/>
    <m/>
    <m/>
  </r>
  <r>
    <s v="CE71171"/>
    <s v="DIANA MARCELA MORENO ORTIZ"/>
    <x v="5"/>
    <x v="19"/>
    <s v="Neoris"/>
    <e v="#NAME?"/>
    <s v="SDATOOL-40672 $ Plan CRM: Mejoras AUG (Banca Comercial y CSF) Equipo A"/>
    <n v="1"/>
    <s v="Desarrollador"/>
    <s v="Distribuido"/>
    <m/>
    <e v="#NAME?"/>
    <e v="#NAME?"/>
    <e v="#NAME?"/>
    <m/>
    <m/>
    <m/>
    <m/>
    <m/>
    <m/>
    <m/>
    <m/>
    <m/>
  </r>
  <r>
    <s v="T002801"/>
    <s v="DAVID GONZALO LARA DIAZ"/>
    <x v="5"/>
    <x v="19"/>
    <s v="Neoris"/>
    <e v="#NAME?"/>
    <s v="SDATOOL-40672 $ Plan CRM: Mejoras AUG (Banca Comercial y CSF) Equipo A"/>
    <n v="1"/>
    <s v="Desarrollador"/>
    <s v="Distribuido"/>
    <m/>
    <e v="#NAME?"/>
    <e v="#NAME?"/>
    <e v="#NAME?"/>
    <m/>
    <m/>
    <m/>
    <m/>
    <m/>
    <m/>
    <m/>
    <m/>
    <m/>
  </r>
  <r>
    <s v="CE57066"/>
    <s v="LUIS EDIER BERMUDEZ RIOS"/>
    <x v="5"/>
    <x v="19"/>
    <s v="Neoris"/>
    <e v="#NAME?"/>
    <s v="SDATOOL-40672 $ Plan CRM: Mejoras AUG (Banca Comercial y CSF) Equipo A"/>
    <n v="1"/>
    <s v="Desarrollador"/>
    <s v="Distribuido"/>
    <m/>
    <e v="#NAME?"/>
    <e v="#NAME?"/>
    <e v="#NAME?"/>
    <m/>
    <m/>
    <m/>
    <m/>
    <m/>
    <m/>
    <m/>
    <m/>
    <m/>
  </r>
  <r>
    <s v="T002010"/>
    <s v="SAIR GIOVANNY GARCIA BEJARANO"/>
    <x v="5"/>
    <x v="19"/>
    <s v="Neoris"/>
    <e v="#NAME?"/>
    <s v="SDATOOL-40672 $ Plan CRM: Mejoras AUG (Banca Comercial y CSF) Equipo A"/>
    <n v="1"/>
    <s v="Desarrollador"/>
    <s v="Distribuido"/>
    <m/>
    <e v="#NAME?"/>
    <e v="#NAME?"/>
    <e v="#NAME?"/>
    <m/>
    <m/>
    <m/>
    <m/>
    <m/>
    <m/>
    <m/>
    <m/>
    <m/>
  </r>
  <r>
    <s v="NO TIENE"/>
    <s v="JAIR ERNESTO CABRA MENJURA-REEMPLAZO THALIA"/>
    <x v="5"/>
    <x v="19"/>
    <s v="Neoris"/>
    <e v="#NAME?"/>
    <s v="SDATOOL-40672 $ Plan CRM: Mejoras AUG (Banca Comercial y CSF) Equipo A"/>
    <n v="1"/>
    <s v="Desarrollador"/>
    <s v="Distribuido"/>
    <m/>
    <e v="#NAME?"/>
    <e v="#NAME?"/>
    <e v="#NAME?"/>
    <m/>
    <m/>
    <m/>
    <m/>
    <m/>
    <m/>
    <m/>
    <m/>
    <m/>
  </r>
  <r>
    <s v="T008182"/>
    <s v="ALEXANDRA BARBARA QUINDE DIAZ"/>
    <x v="5"/>
    <x v="19"/>
    <s v="Neoris"/>
    <e v="#NAME?"/>
    <s v="SDATOOL-40672 $ Plan CRM: Mejoras AUG (Banca Comercial y CSF) Equipo A"/>
    <n v="1"/>
    <s v="Desarrollador"/>
    <s v="Distribuido"/>
    <m/>
    <e v="#NAME?"/>
    <e v="#NAME?"/>
    <e v="#NAME?"/>
    <m/>
    <m/>
    <m/>
    <m/>
    <m/>
    <m/>
    <m/>
    <m/>
    <m/>
  </r>
  <r>
    <s v="T008150"/>
    <s v="BRIGGTTE ALMENDRA BARBOZA NIETO"/>
    <x v="5"/>
    <x v="19"/>
    <s v="Neoris"/>
    <e v="#NAME?"/>
    <s v="SDATOOL-40672 $ Plan CRM: Mejoras AUG (Banca Comercial y CSF) Equipo A"/>
    <n v="1"/>
    <s v="Desarrollador"/>
    <s v="Distribuido"/>
    <m/>
    <e v="#NAME?"/>
    <e v="#NAME?"/>
    <e v="#NAME?"/>
    <m/>
    <m/>
    <m/>
    <m/>
    <m/>
    <m/>
    <m/>
    <m/>
    <m/>
  </r>
  <r>
    <s v="T008176"/>
    <s v="IRWIN WALTER ACOSTA CHAVARRI"/>
    <x v="5"/>
    <x v="19"/>
    <s v="Neoris"/>
    <e v="#NAME?"/>
    <s v="SDATOOL-40672 $ Plan CRM: Mejoras AUG (Banca Comercial y CSF) Equipo A"/>
    <n v="1"/>
    <s v="Desarrollador"/>
    <s v="Distribuido"/>
    <m/>
    <e v="#NAME?"/>
    <e v="#NAME?"/>
    <e v="#NAME?"/>
    <m/>
    <m/>
    <m/>
    <m/>
    <m/>
    <m/>
    <m/>
    <m/>
    <m/>
  </r>
  <r>
    <s v="O000191"/>
    <s v="YELITZA ANDREA BOHORQUEZ BEDOYA"/>
    <x v="5"/>
    <x v="19"/>
    <s v="BBVA"/>
    <e v="#NAME?"/>
    <s v="SDATOOL-40690 $ Plan CRM: Mejoras AUG (Banca Comercial y CSF) Equipo B"/>
    <n v="1"/>
    <s v="Desarrollador"/>
    <s v="Mainframe"/>
    <m/>
    <e v="#NAME?"/>
    <e v="#NAME?"/>
    <e v="#NAME?"/>
    <m/>
    <m/>
    <m/>
    <m/>
    <m/>
    <m/>
    <m/>
    <m/>
    <m/>
  </r>
  <r>
    <s v="O002496"/>
    <s v="JESUS HUMBERTO MORENO ROJAS"/>
    <x v="5"/>
    <x v="19"/>
    <s v="BBVA"/>
    <e v="#NAME?"/>
    <s v="SDATOOL-40690 $ Plan CRM: Mejoras AUG (Banca Comercial y CSF) Equipo B"/>
    <n v="0.95"/>
    <s v="Desarrollador"/>
    <s v="Distribuido"/>
    <m/>
    <e v="#NAME?"/>
    <e v="#NAME?"/>
    <e v="#NAME?"/>
    <m/>
    <m/>
    <m/>
    <m/>
    <m/>
    <m/>
    <m/>
    <m/>
    <m/>
  </r>
  <r>
    <s v="CE69969"/>
    <s v="GUISELL DAYAN DIAZ BLANCO"/>
    <x v="5"/>
    <x v="19"/>
    <s v="Choucair"/>
    <e v="#NAME?"/>
    <s v="SDATOOL-40690 $ Plan CRM: Mejoras AUG (Banca Comercial y CSF) Equipo B"/>
    <n v="1"/>
    <s v="QA"/>
    <s v="Distribuido"/>
    <m/>
    <e v="#NAME?"/>
    <e v="#NAME?"/>
    <e v="#NAME?"/>
    <m/>
    <m/>
    <m/>
    <m/>
    <m/>
    <m/>
    <m/>
    <m/>
    <m/>
  </r>
  <r>
    <s v="CE47376"/>
    <s v="RUBEN DARIO DIAZ"/>
    <x v="5"/>
    <x v="19"/>
    <s v="Neoris"/>
    <e v="#NAME?"/>
    <s v="SDATOOL-40690 $ Plan CRM: Mejoras AUG (Banca Comercial y CSF) Equipo B"/>
    <n v="1"/>
    <s v="Desarrollador"/>
    <s v="Mainframe"/>
    <m/>
    <e v="#NAME?"/>
    <e v="#NAME?"/>
    <e v="#NAME?"/>
    <m/>
    <m/>
    <m/>
    <m/>
    <m/>
    <m/>
    <m/>
    <m/>
    <m/>
  </r>
  <r>
    <s v="CE66885"/>
    <s v="ADRIÁN RICARDO ROJAS VILLEGAS"/>
    <x v="5"/>
    <x v="19"/>
    <s v="Meraki"/>
    <e v="#NAME?"/>
    <s v="SDATOOL-40690 $ Plan CRM: Mejoras AUG (Banca Comercial y CSF) Equipo B"/>
    <n v="1"/>
    <s v="Desarrollador"/>
    <s v="Mainframe"/>
    <m/>
    <e v="#NAME?"/>
    <e v="#NAME?"/>
    <e v="#NAME?"/>
    <m/>
    <m/>
    <m/>
    <m/>
    <m/>
    <m/>
    <m/>
    <m/>
    <m/>
  </r>
  <r>
    <s v="CE66884"/>
    <s v="FRANK NICOLAS HERRAN"/>
    <x v="5"/>
    <x v="19"/>
    <s v="Meraki"/>
    <e v="#NAME?"/>
    <s v="SDATOOL-40690 $ Plan CRM: Mejoras AUG (Banca Comercial y CSF) Equipo B"/>
    <n v="1"/>
    <s v="Desarrollador"/>
    <s v="Mainframe"/>
    <m/>
    <e v="#NAME?"/>
    <e v="#NAME?"/>
    <e v="#NAME?"/>
    <m/>
    <m/>
    <m/>
    <m/>
    <m/>
    <m/>
    <m/>
    <m/>
    <m/>
  </r>
  <r>
    <s v="O001657"/>
    <s v="DUVAN ALEJANDRO RAMIREZ ROMERO"/>
    <x v="5"/>
    <x v="19"/>
    <s v="BBVA"/>
    <e v="#NAME?"/>
    <s v="SDATOOL-37121 $ Plan CRM: Seguimiento al pipeline"/>
    <n v="1"/>
    <s v="Desarrollador"/>
    <s v="ASO"/>
    <m/>
    <e v="#NAME?"/>
    <e v="#NAME?"/>
    <e v="#NAME?"/>
    <m/>
    <m/>
    <m/>
    <m/>
    <m/>
    <m/>
    <m/>
    <m/>
    <m/>
  </r>
  <r>
    <s v="O002419"/>
    <s v="JONATHAN GARZON PEÑA"/>
    <x v="5"/>
    <x v="19"/>
    <s v="BBVA"/>
    <e v="#NAME?"/>
    <s v="SDATOOL-37121 $ Plan CRM: Seguimiento al pipeline"/>
    <n v="1"/>
    <s v="Desarrollador"/>
    <s v="Distribuido"/>
    <m/>
    <e v="#NAME?"/>
    <e v="#NAME?"/>
    <e v="#NAME?"/>
    <m/>
    <m/>
    <m/>
    <m/>
    <m/>
    <m/>
    <m/>
    <m/>
    <m/>
  </r>
  <r>
    <s v="O001733"/>
    <s v="JUAN MANUEL FRAILE ROJAS"/>
    <x v="5"/>
    <x v="19"/>
    <s v="BBVA"/>
    <e v="#NAME?"/>
    <s v="SDATOOL-37121 $ Plan CRM: Seguimiento al pipeline"/>
    <n v="1"/>
    <s v="Desarrollador"/>
    <s v="Distribuido"/>
    <m/>
    <e v="#NAME?"/>
    <e v="#NAME?"/>
    <e v="#NAME?"/>
    <m/>
    <m/>
    <m/>
    <m/>
    <m/>
    <m/>
    <m/>
    <m/>
    <m/>
  </r>
  <r>
    <s v="CE68404"/>
    <s v="JORGE ARMANDO YANQUEN"/>
    <x v="5"/>
    <x v="19"/>
    <s v="Choucair"/>
    <e v="#NAME?"/>
    <s v="SDATOOL-37121 $ Plan CRM: Seguimiento al pipeline"/>
    <n v="1"/>
    <s v="QA"/>
    <s v="Otras Tec."/>
    <m/>
    <e v="#NAME?"/>
    <e v="#NAME?"/>
    <e v="#NAME?"/>
    <m/>
    <m/>
    <m/>
    <m/>
    <m/>
    <m/>
    <m/>
    <m/>
    <m/>
  </r>
  <r>
    <s v="O001341"/>
    <s v="JOHN FREDDY JIMENEZ"/>
    <x v="5"/>
    <x v="19"/>
    <s v="BBVA"/>
    <e v="#NAME?"/>
    <s v="SDATOOL-39272 $ GRM-Col-Cambio servicio APL (Aportes en línea)"/>
    <n v="0.05"/>
    <s v="Tech Manager/Líder"/>
    <s v="Distribuido"/>
    <m/>
    <e v="#NAME?"/>
    <e v="#NAME?"/>
    <e v="#NAME?"/>
    <m/>
    <m/>
    <m/>
    <m/>
    <m/>
    <m/>
    <m/>
    <m/>
    <m/>
  </r>
  <r>
    <s v="CE69608"/>
    <s v="JULIETH ALEJANDRA BERMUDEZ BERNAL"/>
    <x v="5"/>
    <x v="19"/>
    <s v="Choucair"/>
    <e v="#NAME?"/>
    <s v="SDATOOL-39272 $ GRM-Col-Cambio servicio APL (Aportes en línea)"/>
    <n v="0.2"/>
    <s v="QA"/>
    <s v="Distribuido"/>
    <s v="BlueSpring"/>
    <e v="#NAME?"/>
    <e v="#NAME?"/>
    <e v="#NAME?"/>
    <m/>
    <m/>
    <m/>
    <m/>
    <m/>
    <m/>
    <m/>
    <m/>
    <m/>
  </r>
  <r>
    <s v="O002496"/>
    <s v="JESUS HUMBERTO MORENO ROJAS"/>
    <x v="5"/>
    <x v="19"/>
    <s v="BBVA"/>
    <e v="#NAME?"/>
    <s v="SDATOOL-39272 $ GRM-Col-Cambio servicio APL (Aportes en línea)"/>
    <n v="0.05"/>
    <s v="Desarrollador"/>
    <s v="Distribuido"/>
    <s v="BlueSpring"/>
    <e v="#NAME?"/>
    <e v="#NAME?"/>
    <e v="#NAME?"/>
    <m/>
    <m/>
    <m/>
    <m/>
    <m/>
    <m/>
    <m/>
    <m/>
    <m/>
  </r>
  <r>
    <s v="CE69858"/>
    <s v="JULIÁN DAVID CASTAÑEDA"/>
    <x v="5"/>
    <x v="19"/>
    <s v="Meraki"/>
    <e v="#NAME?"/>
    <s v="SDATOOL-39272 $ GRM-Col-Cambio servicio APL (Aportes en línea)"/>
    <n v="1"/>
    <s v="Desarrollador"/>
    <s v="ASO"/>
    <s v="BlueSpring"/>
    <e v="#NAME?"/>
    <e v="#NAME?"/>
    <e v="#NAME?"/>
    <m/>
    <m/>
    <m/>
    <m/>
    <m/>
    <m/>
    <m/>
    <m/>
    <m/>
  </r>
  <r>
    <s v="CE52470"/>
    <s v="Diego Elejalde Cifuentes"/>
    <x v="5"/>
    <x v="19"/>
    <s v="SII"/>
    <e v="#NAME?"/>
    <s v="SDATOOL-40690 $ Plan CRM: Mejoras AUG (Banca Comercial y CSF) Equipo B"/>
    <n v="1"/>
    <s v="Desarrollador"/>
    <s v="Mainframe"/>
    <m/>
    <e v="#NAME?"/>
    <e v="#NAME?"/>
    <e v="#NAME?"/>
    <m/>
    <m/>
    <m/>
    <m/>
    <m/>
    <m/>
    <m/>
    <m/>
    <m/>
  </r>
  <r>
    <s v="CE51863"/>
    <s v="EDNA ROCIO MONCADA"/>
    <x v="5"/>
    <x v="19"/>
    <s v="KRYPTO"/>
    <e v="#NAME?"/>
    <s v="SDATOOL-40690 $ Plan CRM: Mejoras AUG (Banca Comercial y CSF) Equipo B"/>
    <n v="0.02"/>
    <s v="QA"/>
    <s v="Distribuido"/>
    <m/>
    <e v="#NAME?"/>
    <e v="#NAME?"/>
    <e v="#NAME?"/>
    <m/>
    <m/>
    <m/>
    <n v="2"/>
    <n v="2"/>
    <m/>
    <m/>
    <m/>
    <m/>
  </r>
  <r>
    <s v="CE51863"/>
    <s v="EDNA ROCIO MONCADA"/>
    <x v="5"/>
    <x v="19"/>
    <s v="KRYPTO"/>
    <e v="#NAME?"/>
    <s v="SDATOOL-37121 $ Plan CRM: Seguimiento al pipeline"/>
    <n v="0.02"/>
    <s v="QA"/>
    <s v="Distribuido"/>
    <m/>
    <e v="#NAME?"/>
    <e v="#NAME?"/>
    <e v="#NAME?"/>
    <m/>
    <m/>
    <m/>
    <n v="2"/>
    <n v="2"/>
    <m/>
    <m/>
    <m/>
    <m/>
  </r>
  <r>
    <s v="CE51863"/>
    <s v="EDNA ROCIO MONCADA"/>
    <x v="5"/>
    <x v="19"/>
    <s v="KRYPTO"/>
    <e v="#NAME?"/>
    <s v="SDATOOL-40672 $ Plan CRM: Mejoras AUG (Banca Comercial y CSF) Equipo A"/>
    <n v="0.02"/>
    <s v="QA"/>
    <s v="Distribuido"/>
    <m/>
    <e v="#NAME?"/>
    <e v="#NAME?"/>
    <e v="#NAME?"/>
    <m/>
    <m/>
    <m/>
    <n v="2"/>
    <n v="2"/>
    <m/>
    <m/>
    <m/>
    <m/>
  </r>
  <r>
    <s v="CE51863"/>
    <s v="EDNA ROCIO MONCADA"/>
    <x v="5"/>
    <x v="19"/>
    <s v="KRYPTO"/>
    <e v="#NAME?"/>
    <s v="NOSDA $ BAU (Mantenimiento y peq. evolutivos)"/>
    <n v="0.02"/>
    <s v="QA"/>
    <s v="Distribuido"/>
    <m/>
    <e v="#NAME?"/>
    <e v="#NAME?"/>
    <e v="#NAME?"/>
    <m/>
    <m/>
    <m/>
    <n v="2"/>
    <n v="2"/>
    <m/>
    <m/>
    <m/>
    <m/>
  </r>
  <r>
    <s v="CE51863"/>
    <s v="EDNA ROCIO MONCADA"/>
    <x v="5"/>
    <x v="20"/>
    <s v="KRYPTO"/>
    <e v="#NAME?"/>
    <s v="NOSDA $ BAU (Mantenimiento y peq. evolutivos)"/>
    <n v="0.02"/>
    <s v="QA"/>
    <s v="Distribuido"/>
    <m/>
    <e v="#NAME?"/>
    <e v="#NAME?"/>
    <e v="#NAME?"/>
    <m/>
    <m/>
    <m/>
    <n v="2"/>
    <n v="2"/>
    <m/>
    <m/>
    <m/>
    <m/>
  </r>
  <r>
    <s v="CE51863"/>
    <s v="EDNA ROCIO MONCADA"/>
    <x v="5"/>
    <x v="20"/>
    <s v="KRYPTO"/>
    <e v="#NAME?"/>
    <s v="SDATOOL-40269 $ Actualización y transmisión Declaraciones de Cambio – Banco de la República Abril 2022."/>
    <n v="0.02"/>
    <s v="QA"/>
    <s v="Otras Tec."/>
    <m/>
    <e v="#NAME?"/>
    <e v="#NAME?"/>
    <e v="#NAME?"/>
    <m/>
    <m/>
    <m/>
    <n v="1"/>
    <n v="1"/>
    <m/>
    <m/>
    <m/>
    <m/>
  </r>
  <r>
    <s v="CE51863"/>
    <s v="EDNA ROCIO MONCADA"/>
    <x v="5"/>
    <x v="20"/>
    <s v="KRYPTO"/>
    <e v="#NAME?"/>
    <s v="SDATOOL-37294 $ Gestión de Tráfico en Oficinas"/>
    <n v="0.02"/>
    <s v="QA"/>
    <s v="Otras Tec."/>
    <m/>
    <e v="#NAME?"/>
    <e v="#NAME?"/>
    <e v="#NAME?"/>
    <m/>
    <m/>
    <m/>
    <n v="1"/>
    <n v="1"/>
    <m/>
    <m/>
    <m/>
    <m/>
  </r>
  <r>
    <s v="CE51863"/>
    <s v="EDNA ROCIO MONCADA"/>
    <x v="5"/>
    <x v="20"/>
    <s v="KRYPTO"/>
    <e v="#NAME?"/>
    <s v="SDATOOL-37761 $ Plan transformación de procesos"/>
    <n v="0.02"/>
    <s v="QA"/>
    <s v="Otras Tec."/>
    <m/>
    <e v="#NAME?"/>
    <e v="#NAME?"/>
    <e v="#NAME?"/>
    <m/>
    <m/>
    <m/>
    <m/>
    <m/>
    <m/>
    <m/>
    <m/>
    <m/>
  </r>
  <r>
    <s v="CE54839"/>
    <s v="CARLOSFERNANDO SUAREZ"/>
    <x v="5"/>
    <x v="20"/>
    <s v="Inetum"/>
    <e v="#NAME?"/>
    <s v="NOSDA $ BAU (Mantenimiento y peq. evolutivos)"/>
    <n v="0.5"/>
    <s v="QA"/>
    <s v="Otras Tec."/>
    <m/>
    <e v="#NAME?"/>
    <e v="#NAME?"/>
    <e v="#NAME?"/>
    <m/>
    <m/>
    <m/>
    <m/>
    <m/>
    <m/>
    <m/>
    <m/>
    <m/>
  </r>
  <r>
    <s v="CE52336"/>
    <s v="Cely Gutierrez Anderson Sneider"/>
    <x v="5"/>
    <x v="20"/>
    <s v="Inetum"/>
    <e v="#NAME?"/>
    <s v="NOSDA $ BAU (Mantenimiento y peq. evolutivos)"/>
    <n v="1"/>
    <s v="Desarrollador"/>
    <s v="Distribuido"/>
    <m/>
    <e v="#NAME?"/>
    <e v="#NAME?"/>
    <e v="#NAME?"/>
    <m/>
    <m/>
    <m/>
    <m/>
    <m/>
    <m/>
    <m/>
    <m/>
    <m/>
  </r>
  <r>
    <s v="C805453"/>
    <s v="Cuervo Duran Francisco Hernan"/>
    <x v="5"/>
    <x v="20"/>
    <s v="BBVA"/>
    <e v="#NAME?"/>
    <s v="SDATOOL-37761 $ Plan transformación de procesos"/>
    <n v="0.4"/>
    <s v="Desarrollador"/>
    <s v="Otras Tec."/>
    <m/>
    <e v="#NAME?"/>
    <e v="#NAME?"/>
    <e v="#NAME?"/>
    <m/>
    <m/>
    <m/>
    <m/>
    <m/>
    <m/>
    <m/>
    <m/>
    <m/>
  </r>
  <r>
    <s v="T002003"/>
    <s v="DIEGO ALEJANDRO ASTAZIA"/>
    <x v="5"/>
    <x v="20"/>
    <s v="Choucair"/>
    <e v="#NAME?"/>
    <s v="SDATOOL-37761 $ Plan transformación de procesos"/>
    <n v="0.5"/>
    <s v="QA"/>
    <s v="Otras Tec."/>
    <m/>
    <e v="#NAME?"/>
    <e v="#NAME?"/>
    <e v="#NAME?"/>
    <m/>
    <m/>
    <m/>
    <m/>
    <m/>
    <m/>
    <m/>
    <m/>
    <m/>
  </r>
  <r>
    <s v="T002003"/>
    <s v="DIEGO ALEJANDRO ASTAZIA"/>
    <x v="5"/>
    <x v="20"/>
    <s v="Choucair"/>
    <e v="#NAME?"/>
    <s v="NOSDA $ BAU (Mantenimiento y peq. evolutivos)"/>
    <n v="0.5"/>
    <s v="QA"/>
    <s v="Distribuido"/>
    <m/>
    <e v="#NAME?"/>
    <e v="#NAME?"/>
    <e v="#NAME?"/>
    <m/>
    <m/>
    <m/>
    <m/>
    <m/>
    <m/>
    <m/>
    <m/>
    <m/>
  </r>
  <r>
    <s v="O001338"/>
    <s v="DIVER ANDREY SUATERNA"/>
    <x v="5"/>
    <x v="20"/>
    <s v="BBVA"/>
    <e v="#NAME?"/>
    <s v="SDATOOL-37294 $ Gestión de Tráfico en Oficinas"/>
    <n v="1"/>
    <s v="Desarrollador"/>
    <s v="ASO"/>
    <s v="apx"/>
    <e v="#NAME?"/>
    <e v="#NAME?"/>
    <e v="#NAME?"/>
    <m/>
    <m/>
    <m/>
    <m/>
    <m/>
    <m/>
    <m/>
    <m/>
    <m/>
  </r>
  <r>
    <s v="C811316"/>
    <s v="Gonzalez Cardenas Oscar"/>
    <x v="5"/>
    <x v="20"/>
    <s v="BBVA"/>
    <e v="#NAME?"/>
    <s v="SDATOOL-41879 $ Apertura de oficina Mitu"/>
    <n v="0.5"/>
    <s v="Desarrollador"/>
    <s v="Mainframe"/>
    <m/>
    <e v="#NAME?"/>
    <e v="#NAME?"/>
    <e v="#NAME?"/>
    <m/>
    <m/>
    <m/>
    <m/>
    <m/>
    <m/>
    <m/>
    <m/>
    <m/>
  </r>
  <r>
    <s v="C805978"/>
    <s v="Jimenez Garcia Ariel Andres"/>
    <x v="5"/>
    <x v="20"/>
    <s v="BBVA"/>
    <e v="#NAME?"/>
    <s v="SDATOOL-37294 $ Gestión de Tráfico en Oficinas"/>
    <n v="1"/>
    <s v="Desarrollador"/>
    <s v="Otras Tec."/>
    <m/>
    <e v="#NAME?"/>
    <e v="#NAME?"/>
    <e v="#NAME?"/>
    <m/>
    <m/>
    <m/>
    <m/>
    <m/>
    <m/>
    <m/>
    <m/>
    <m/>
  </r>
  <r>
    <s v="O001338"/>
    <s v="MARIAMM YULIETH ALVAREZ"/>
    <x v="5"/>
    <x v="20"/>
    <s v="BBVA"/>
    <e v="#NAME?"/>
    <s v="NOSDA $ BAU (Mantenimiento y peq. evolutivos)"/>
    <n v="0.2"/>
    <s v="Tech Manager/Líder"/>
    <s v="Otras Tec."/>
    <m/>
    <e v="#NAME?"/>
    <e v="#NAME?"/>
    <e v="#NAME?"/>
    <m/>
    <m/>
    <m/>
    <m/>
    <m/>
    <m/>
    <m/>
    <m/>
    <m/>
  </r>
  <r>
    <s v="O001338"/>
    <s v="MARIAMM YULIETH ALVAREZ"/>
    <x v="5"/>
    <x v="20"/>
    <s v="BBVA"/>
    <e v="#NAME?"/>
    <s v="SDATOOL-40269 $ Actualización y transmisión Declaraciones de Cambio – Banco de la República Abril 2022."/>
    <n v="0.2"/>
    <s v="Tech Manager/Líder"/>
    <s v="Otras Tec."/>
    <m/>
    <e v="#NAME?"/>
    <e v="#NAME?"/>
    <e v="#NAME?"/>
    <m/>
    <m/>
    <m/>
    <m/>
    <m/>
    <m/>
    <m/>
    <m/>
    <m/>
  </r>
  <r>
    <s v="O001338"/>
    <s v="MARIAMM YULIETH ALVAREZ"/>
    <x v="5"/>
    <x v="20"/>
    <s v="BBVA"/>
    <e v="#NAME?"/>
    <s v="SDATOOL-37294 $ Gestión de Tráfico en Oficinas"/>
    <n v="0.2"/>
    <s v="Tech Manager/Líder"/>
    <s v="Otras Tec."/>
    <m/>
    <e v="#NAME?"/>
    <e v="#NAME?"/>
    <e v="#NAME?"/>
    <m/>
    <m/>
    <m/>
    <m/>
    <m/>
    <m/>
    <m/>
    <m/>
    <m/>
  </r>
  <r>
    <s v="O001338"/>
    <s v="MARIAMM YULIETH ALVAREZ"/>
    <x v="5"/>
    <x v="20"/>
    <s v="BBVA"/>
    <e v="#NAME?"/>
    <s v="SDATOOL-39246 $ Nuevo tipo de identificación para extranjeros"/>
    <n v="0.05"/>
    <s v="Tech Manager/Líder"/>
    <s v="Otras Tec."/>
    <m/>
    <e v="#NAME?"/>
    <e v="#NAME?"/>
    <e v="#NAME?"/>
    <m/>
    <m/>
    <m/>
    <m/>
    <m/>
    <m/>
    <m/>
    <m/>
    <m/>
  </r>
  <r>
    <s v="O001338"/>
    <s v="MARIAMM YULIETH ALVAREZ"/>
    <x v="5"/>
    <x v="20"/>
    <s v="BBVA"/>
    <e v="#NAME?"/>
    <s v="SDATOOL-41879 $ Apertura de oficina Mitu"/>
    <n v="0.05"/>
    <s v="Tech Manager/Líder"/>
    <s v="Otras Tec."/>
    <m/>
    <e v="#NAME?"/>
    <e v="#NAME?"/>
    <e v="#NAME?"/>
    <m/>
    <m/>
    <m/>
    <m/>
    <m/>
    <m/>
    <m/>
    <m/>
    <m/>
  </r>
  <r>
    <s v="O001338"/>
    <s v="MARIAMM YULIETH ALVAREZ"/>
    <x v="5"/>
    <x v="20"/>
    <s v="BBVA"/>
    <e v="#NAME?"/>
    <s v="SDATOOL-37761 $ Plan transformación de procesos"/>
    <n v="0.2"/>
    <s v="Tech Manager/Líder"/>
    <s v="Otras Tec."/>
    <m/>
    <e v="#NAME?"/>
    <e v="#NAME?"/>
    <e v="#NAME?"/>
    <m/>
    <m/>
    <m/>
    <m/>
    <m/>
    <m/>
    <m/>
    <m/>
    <m/>
  </r>
  <r>
    <s v="O001338"/>
    <s v="MARIAMM YULIETH ALVAREZ"/>
    <x v="5"/>
    <x v="20"/>
    <s v="BBVA"/>
    <e v="#NAME?"/>
    <s v="SDATOOL-41766 $ DUALIDAD CUENTAS AFC NÁCAR HOST Y CANALES DIGITALES"/>
    <n v="0.1"/>
    <s v="Tech Manager/Líder"/>
    <s v="Otras Tec."/>
    <m/>
    <e v="#NAME?"/>
    <e v="#NAME?"/>
    <e v="#NAME?"/>
    <m/>
    <m/>
    <m/>
    <m/>
    <m/>
    <m/>
    <m/>
    <m/>
    <m/>
  </r>
  <r>
    <s v="C808471"/>
    <s v="Moreno Castellanos Omar Alfonso"/>
    <x v="5"/>
    <x v="20"/>
    <s v="BBVA"/>
    <e v="#NAME?"/>
    <s v="SDATOOL-40269 $ Actualización y transmisión Declaraciones de Cambio – Banco de la República Abril 2022."/>
    <n v="1"/>
    <s v="Desarrollador"/>
    <s v="Mainframe"/>
    <m/>
    <e v="#NAME?"/>
    <e v="#NAME?"/>
    <e v="#NAME?"/>
    <m/>
    <m/>
    <m/>
    <m/>
    <m/>
    <m/>
    <m/>
    <m/>
    <m/>
  </r>
  <r>
    <s v="C342537"/>
    <s v="Navarro Torres Javier Dario"/>
    <x v="5"/>
    <x v="20"/>
    <s v="BBVA"/>
    <e v="#NAME?"/>
    <s v="SDATOOL-37761 $ Plan transformación de procesos"/>
    <n v="0.5"/>
    <s v="Desarrollador"/>
    <s v="Distribuido"/>
    <m/>
    <e v="#NAME?"/>
    <e v="#NAME?"/>
    <e v="#NAME?"/>
    <m/>
    <m/>
    <m/>
    <m/>
    <m/>
    <m/>
    <m/>
    <m/>
    <m/>
  </r>
  <r>
    <s v="C342537"/>
    <s v="Navarro Torres Javier Dario"/>
    <x v="5"/>
    <x v="20"/>
    <s v="BBVA"/>
    <e v="#NAME?"/>
    <s v="SDATOOL-41766 $ DUALIDAD CUENTAS AFC NÁCAR HOST Y CANALES DIGITALES"/>
    <n v="0.5"/>
    <s v="Desarrollador"/>
    <s v="Distribuido"/>
    <m/>
    <e v="#NAME?"/>
    <e v="#NAME?"/>
    <e v="#NAME?"/>
    <m/>
    <m/>
    <m/>
    <m/>
    <m/>
    <m/>
    <m/>
    <m/>
    <m/>
  </r>
  <r>
    <s v="O002178"/>
    <s v="SAMIR DE JESUS QUICENO BERMUDEZ"/>
    <x v="5"/>
    <x v="20"/>
    <s v="BBVA"/>
    <e v="#NAME?"/>
    <s v="NOSDA $ BAU (Mantenimiento y peq. evolutivos)"/>
    <n v="1"/>
    <s v="Desarrollador"/>
    <s v="Mainframe"/>
    <m/>
    <e v="#NAME?"/>
    <e v="#NAME?"/>
    <e v="#NAME?"/>
    <m/>
    <m/>
    <m/>
    <m/>
    <m/>
    <m/>
    <m/>
    <m/>
    <m/>
  </r>
  <r>
    <s v="C811316"/>
    <s v="Gonzalez Cardenas Oscar"/>
    <x v="5"/>
    <x v="20"/>
    <s v="BBVA"/>
    <e v="#NAME?"/>
    <s v="NOSDA $ BAU (Mantenimiento y peq. evolutivos)"/>
    <n v="0.5"/>
    <s v="Desarrollador"/>
    <s v="Mainframe"/>
    <m/>
    <e v="#NAME?"/>
    <e v="#NAME?"/>
    <e v="#NAME?"/>
    <m/>
    <m/>
    <m/>
    <m/>
    <m/>
    <m/>
    <m/>
    <m/>
    <m/>
  </r>
  <r>
    <s v="C805453"/>
    <s v="Cuervo Duran Francisco Hernan"/>
    <x v="5"/>
    <x v="20"/>
    <s v="BBVA"/>
    <e v="#NAME?"/>
    <s v="SDATOOL-39246 $ Nuevo tipo de identificación para extranjeros"/>
    <n v="0.5"/>
    <s v="Desarrollador"/>
    <s v="Distribuido"/>
    <m/>
    <e v="#NAME?"/>
    <e v="#NAME?"/>
    <e v="#NAME?"/>
    <m/>
    <m/>
    <m/>
    <m/>
    <m/>
    <m/>
    <m/>
    <m/>
    <m/>
  </r>
  <r>
    <s v="C805453"/>
    <s v="Cuervo Duran Francisco Hernan"/>
    <x v="5"/>
    <x v="20"/>
    <s v="BBVA"/>
    <e v="#NAME?"/>
    <s v="NOSDA $ BAU (Mantenimiento y peq. evolutivos)"/>
    <n v="0.1"/>
    <s v="Desarrollador"/>
    <s v="Distribuido"/>
    <m/>
    <e v="#NAME?"/>
    <e v="#NAME?"/>
    <e v="#NAME?"/>
    <m/>
    <m/>
    <m/>
    <m/>
    <m/>
    <m/>
    <m/>
    <m/>
    <m/>
  </r>
  <r>
    <s v="CE54839"/>
    <s v="CARLOSFERNANDO SUAREZ"/>
    <x v="5"/>
    <x v="20"/>
    <s v="Inetum"/>
    <e v="#NAME?"/>
    <s v="SDATOOL-37761 $ Plan transformación de procesos"/>
    <n v="0.5"/>
    <s v="QA"/>
    <m/>
    <m/>
    <e v="#NAME?"/>
    <e v="#NAME?"/>
    <e v="#NAME?"/>
    <m/>
    <m/>
    <m/>
    <m/>
    <m/>
    <m/>
    <m/>
    <m/>
    <m/>
  </r>
  <r>
    <s v="E049846"/>
    <s v="PATRICIA ORRO"/>
    <x v="5"/>
    <x v="21"/>
    <s v="BBVA"/>
    <e v="#NAME?"/>
    <s v="SDATOOL-42192 $ Transfiya en GloMo"/>
    <n v="0.2"/>
    <s v="Tech Manager/Líder"/>
    <s v="Cells"/>
    <m/>
    <e v="#NAME?"/>
    <e v="#NAME?"/>
    <e v="#NAME?"/>
    <m/>
    <m/>
    <m/>
    <m/>
    <m/>
    <m/>
    <m/>
    <m/>
    <m/>
  </r>
  <r>
    <s v="C810952"/>
    <s v="Sebastian Ayala"/>
    <x v="5"/>
    <x v="21"/>
    <s v="BBVA"/>
    <e v="#NAME?"/>
    <s v="SDATOOL-42192 $ Transfiya en GloMo"/>
    <n v="1"/>
    <s v="Desarrollador"/>
    <s v="Distribuido"/>
    <m/>
    <e v="#NAME?"/>
    <e v="#NAME?"/>
    <e v="#NAME?"/>
    <m/>
    <m/>
    <m/>
    <m/>
    <m/>
    <m/>
    <m/>
    <m/>
    <m/>
  </r>
  <r>
    <s v="C802581"/>
    <s v="Daniel Antonio Aguilar"/>
    <x v="5"/>
    <x v="21"/>
    <s v="BBVA"/>
    <e v="#NAME?"/>
    <s v="SDATOOL-42192 $ Transfiya en GloMo"/>
    <n v="0.4"/>
    <s v="Desarrollador"/>
    <m/>
    <s v="Interno"/>
    <e v="#NAME?"/>
    <e v="#NAME?"/>
    <e v="#NAME?"/>
    <m/>
    <m/>
    <m/>
    <m/>
    <m/>
    <m/>
    <m/>
    <m/>
    <m/>
  </r>
  <r>
    <m/>
    <s v="DESARROLLADOR ASO"/>
    <x v="5"/>
    <x v="21"/>
    <s v="Accenture"/>
    <e v="#NAME?"/>
    <s v="SDATOOL-42192 $ Transfiya en GloMo"/>
    <n v="1"/>
    <s v="Desarrollador"/>
    <s v="ASO"/>
    <m/>
    <e v="#NAME?"/>
    <e v="#NAME?"/>
    <e v="#NAME?"/>
    <m/>
    <m/>
    <m/>
    <m/>
    <m/>
    <m/>
    <m/>
    <m/>
    <m/>
  </r>
  <r>
    <m/>
    <s v="DESARROLLADOR ASO"/>
    <x v="5"/>
    <x v="21"/>
    <s v="Accenture"/>
    <e v="#NAME?"/>
    <s v="SDATOOL-42192 $ Transfiya en GloMo"/>
    <n v="1"/>
    <s v="Desarrollador"/>
    <s v="ASO"/>
    <m/>
    <e v="#NAME?"/>
    <e v="#NAME?"/>
    <e v="#NAME?"/>
    <m/>
    <m/>
    <m/>
    <m/>
    <m/>
    <m/>
    <m/>
    <m/>
    <m/>
  </r>
  <r>
    <m/>
    <s v="DESARROLLADOR ASO"/>
    <x v="5"/>
    <x v="21"/>
    <s v="Accenture"/>
    <e v="#NAME?"/>
    <s v="SDATOOL-42192 $ Transfiya en GloMo"/>
    <n v="1"/>
    <s v="Desarrollador"/>
    <s v="ASO"/>
    <m/>
    <e v="#NAME?"/>
    <e v="#NAME?"/>
    <e v="#NAME?"/>
    <m/>
    <m/>
    <m/>
    <m/>
    <m/>
    <m/>
    <m/>
    <m/>
    <m/>
  </r>
  <r>
    <m/>
    <s v="DESARROLLADOR APX"/>
    <x v="5"/>
    <x v="21"/>
    <s v="Accenture"/>
    <e v="#NAME?"/>
    <s v="SDATOOL-42192 $ Transfiya en GloMo"/>
    <n v="1"/>
    <s v="Desarrollador"/>
    <s v="ASO"/>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APX"/>
    <x v="5"/>
    <x v="21"/>
    <s v="Accenture"/>
    <e v="#NAME?"/>
    <s v="SDATOOL-42192 $ Transfiya en GloMo"/>
    <n v="0.33"/>
    <s v="Desarrollador"/>
    <s v="APX"/>
    <m/>
    <e v="#NAME?"/>
    <e v="#NAME?"/>
    <e v="#NAME?"/>
    <m/>
    <m/>
    <m/>
    <m/>
    <m/>
    <m/>
    <m/>
    <m/>
    <m/>
  </r>
  <r>
    <s v="CE40475"/>
    <s v="NELSON FERRUCHO"/>
    <x v="5"/>
    <x v="21"/>
    <s v="SII"/>
    <e v="#NAME?"/>
    <s v="SDATOOL-42192 $ Transfiya en GloMo"/>
    <n v="0.5"/>
    <s v="Desarrollador"/>
    <s v="Mainframe"/>
    <m/>
    <e v="#NAME?"/>
    <e v="#NAME?"/>
    <e v="#NAME?"/>
    <m/>
    <m/>
    <m/>
    <m/>
    <m/>
    <m/>
    <m/>
    <m/>
    <m/>
  </r>
  <r>
    <s v="CE64988"/>
    <s v="Levi Becerra"/>
    <x v="5"/>
    <x v="21"/>
    <s v="SII"/>
    <e v="#NAME?"/>
    <s v="SDATOOL-42192 $ Transfiya en GloMo"/>
    <n v="0.5"/>
    <s v="Desarrollador"/>
    <m/>
    <m/>
    <e v="#NAME?"/>
    <e v="#NAME?"/>
    <e v="#NAME?"/>
    <m/>
    <m/>
    <m/>
    <m/>
    <m/>
    <m/>
    <m/>
    <m/>
    <m/>
  </r>
  <r>
    <m/>
    <s v="DESARROLLO HOST"/>
    <x v="5"/>
    <x v="21"/>
    <s v="Accenture"/>
    <e v="#NAME?"/>
    <s v="SDATOOL-42192 $ Transfiya en GloMo"/>
    <n v="1"/>
    <s v="Desarrollador"/>
    <s v="Mainframe"/>
    <m/>
    <e v="#NAME?"/>
    <e v="#NAME?"/>
    <e v="#NAME?"/>
    <m/>
    <m/>
    <m/>
    <m/>
    <m/>
    <m/>
    <m/>
    <m/>
    <m/>
  </r>
  <r>
    <m/>
    <s v="TESTER QA"/>
    <x v="5"/>
    <x v="21"/>
    <s v="Accenture"/>
    <e v="#NAME?"/>
    <s v="SDATOOL-42192 $ Transfiya en GloMo"/>
    <n v="0.75"/>
    <s v="QA"/>
    <s v="Otras Tec."/>
    <m/>
    <e v="#NAME?"/>
    <e v="#NAME?"/>
    <e v="#NAME?"/>
    <m/>
    <m/>
    <m/>
    <m/>
    <m/>
    <m/>
    <m/>
    <m/>
    <m/>
  </r>
  <r>
    <m/>
    <s v="TESTER QA"/>
    <x v="5"/>
    <x v="21"/>
    <s v="Accenture"/>
    <e v="#NAME?"/>
    <s v="SDATOOL-42192 $ Transfiya en GloMo"/>
    <n v="0.75"/>
    <s v="QA"/>
    <s v="Otras Tec."/>
    <m/>
    <e v="#NAME?"/>
    <e v="#NAME?"/>
    <e v="#NAME?"/>
    <m/>
    <m/>
    <m/>
    <m/>
    <m/>
    <m/>
    <m/>
    <m/>
    <m/>
  </r>
  <r>
    <m/>
    <s v="TESTER QA"/>
    <x v="5"/>
    <x v="21"/>
    <s v="Accenture"/>
    <e v="#NAME?"/>
    <s v="SDATOOL-42192 $ Transfiya en GloMo"/>
    <n v="0.75"/>
    <s v="QA"/>
    <s v="Otras Tec."/>
    <m/>
    <e v="#NAME?"/>
    <e v="#NAME?"/>
    <e v="#NAME?"/>
    <m/>
    <m/>
    <m/>
    <m/>
    <m/>
    <m/>
    <m/>
    <m/>
    <m/>
  </r>
  <r>
    <s v="C802581"/>
    <s v="Daniel Antonio Aguilar"/>
    <x v="5"/>
    <x v="21"/>
    <s v="BBVA"/>
    <e v="#NAME?"/>
    <s v="SDATOOL-9053 $ GloMo Colombia"/>
    <n v="0.2"/>
    <s v="Desarrollador"/>
    <m/>
    <s v="Interno"/>
    <e v="#NAME?"/>
    <e v="#NAME?"/>
    <e v="#NAME?"/>
    <m/>
    <m/>
    <m/>
    <m/>
    <m/>
    <m/>
    <m/>
    <m/>
    <m/>
  </r>
  <r>
    <s v="E049846"/>
    <s v="PATRICIA ORRO"/>
    <x v="5"/>
    <x v="21"/>
    <s v="BBVA"/>
    <e v="#NAME?"/>
    <s v="SDATOOL-41759 $ Tips de prevención Ingeniería Social"/>
    <n v="0.2"/>
    <s v="Tech Manager/Líder"/>
    <s v="Cells"/>
    <m/>
    <e v="#NAME?"/>
    <e v="#NAME?"/>
    <e v="#NAME?"/>
    <m/>
    <m/>
    <m/>
    <m/>
    <m/>
    <m/>
    <m/>
    <m/>
    <m/>
  </r>
  <r>
    <m/>
    <s v="TESTER QA"/>
    <x v="5"/>
    <x v="21"/>
    <s v="Accenture"/>
    <e v="#NAME?"/>
    <s v="SDATOOL-41759 $ Tips de prevención Ingeniería Social"/>
    <n v="1"/>
    <s v="QA"/>
    <s v="Otras Tec."/>
    <m/>
    <e v="#NAME?"/>
    <e v="#NAME?"/>
    <e v="#NAME?"/>
    <m/>
    <m/>
    <m/>
    <m/>
    <m/>
    <m/>
    <m/>
    <m/>
    <m/>
  </r>
  <r>
    <s v="E049846"/>
    <s v="PATRICIA ORRO"/>
    <x v="5"/>
    <x v="21"/>
    <s v="BBVA"/>
    <e v="#NAME?"/>
    <s v="SDATOOL-40623 $ Pago productos con PSE desde GloMo"/>
    <n v="0.2"/>
    <s v="Tech Manager/Líder"/>
    <s v="Cells"/>
    <m/>
    <e v="#NAME?"/>
    <e v="#NAME?"/>
    <e v="#NAME?"/>
    <m/>
    <m/>
    <m/>
    <m/>
    <m/>
    <m/>
    <m/>
    <m/>
    <m/>
  </r>
  <r>
    <m/>
    <s v="DESARROLLO ASO"/>
    <x v="5"/>
    <x v="21"/>
    <s v="Accenture"/>
    <e v="#NAME?"/>
    <s v="SDATOOL-40623 $ Pago productos con PSE desde GloMo"/>
    <n v="1"/>
    <s v="Desarrollador"/>
    <s v="ASO"/>
    <m/>
    <e v="#NAME?"/>
    <e v="#NAME?"/>
    <e v="#NAME?"/>
    <m/>
    <m/>
    <m/>
    <m/>
    <m/>
    <m/>
    <m/>
    <m/>
    <m/>
  </r>
  <r>
    <m/>
    <s v="DESARROLLO HOST"/>
    <x v="5"/>
    <x v="21"/>
    <s v="Accenture"/>
    <e v="#NAME?"/>
    <s v="SDATOOL-40623 $ Pago productos con PSE desde GloMo"/>
    <n v="1"/>
    <s v="Desarrollador"/>
    <s v="Mainframe"/>
    <m/>
    <e v="#NAME?"/>
    <e v="#NAME?"/>
    <e v="#NAME?"/>
    <m/>
    <m/>
    <m/>
    <m/>
    <m/>
    <m/>
    <m/>
    <m/>
    <m/>
  </r>
  <r>
    <m/>
    <s v="TESTER QA"/>
    <x v="5"/>
    <x v="21"/>
    <s v="Accenture"/>
    <e v="#NAME?"/>
    <s v="SDATOOL-40623 $ Pago productos con PSE desde GloMo"/>
    <n v="1"/>
    <s v="QA"/>
    <s v="Otras Tec."/>
    <m/>
    <e v="#NAME?"/>
    <e v="#NAME?"/>
    <e v="#NAME?"/>
    <m/>
    <m/>
    <m/>
    <m/>
    <m/>
    <m/>
    <m/>
    <m/>
    <m/>
  </r>
  <r>
    <s v="E049846"/>
    <s v="PATRICIA ORRO"/>
    <x v="5"/>
    <x v="21"/>
    <s v="BBVA"/>
    <e v="#NAME?"/>
    <s v="SDATOOL-40533 $ GloMo Target"/>
    <n v="0.2"/>
    <s v="Tech Manager/Líder"/>
    <s v="Cells"/>
    <m/>
    <e v="#NAME?"/>
    <e v="#NAME?"/>
    <e v="#NAME?"/>
    <m/>
    <m/>
    <m/>
    <m/>
    <m/>
    <m/>
    <m/>
    <m/>
    <m/>
  </r>
  <r>
    <s v="C803962"/>
    <s v="Esteban Linares"/>
    <x v="5"/>
    <x v="21"/>
    <s v="BBVA"/>
    <e v="#NAME?"/>
    <s v="SDATOOL-42039 $ Cuenta digital pensional"/>
    <n v="0.7"/>
    <s v="Tech Manager/Líder"/>
    <s v="Cells"/>
    <m/>
    <e v="#NAME?"/>
    <e v="#NAME?"/>
    <e v="#NAME?"/>
    <m/>
    <m/>
    <m/>
    <m/>
    <m/>
    <m/>
    <m/>
    <m/>
    <m/>
  </r>
  <r>
    <s v="C803962"/>
    <s v="Esteban Linares"/>
    <x v="5"/>
    <x v="21"/>
    <s v="BBVA"/>
    <e v="#NAME?"/>
    <s v="SDATOOL-9053 $ GloMo Colombia"/>
    <n v="0.3"/>
    <s v="Tech Manager/Líder"/>
    <s v="Cells"/>
    <m/>
    <e v="#NAME?"/>
    <e v="#NAME?"/>
    <e v="#NAME?"/>
    <m/>
    <m/>
    <m/>
    <m/>
    <m/>
    <m/>
    <m/>
    <m/>
    <m/>
  </r>
  <r>
    <s v="C802581"/>
    <s v="Daniel Antonio Aguilar"/>
    <x v="5"/>
    <x v="21"/>
    <s v="BBVA"/>
    <e v="#NAME?"/>
    <s v="SDATOOL-42192 $ Transfiya en GloMo"/>
    <n v="0.2"/>
    <s v="Desarrollador"/>
    <m/>
    <s v="Interno"/>
    <e v="#NAME?"/>
    <e v="#NAME?"/>
    <e v="#NAME?"/>
    <m/>
    <m/>
    <m/>
    <m/>
    <m/>
    <m/>
    <m/>
    <m/>
    <m/>
  </r>
  <r>
    <s v="E049846"/>
    <s v="PATRICIA ORRO"/>
    <x v="5"/>
    <x v="21"/>
    <s v="BBVA"/>
    <e v="#NAME?"/>
    <s v="SDATOOL-42039 $ Cuenta digital pensional"/>
    <n v="0.2"/>
    <s v="Desarrollador"/>
    <s v="Cells"/>
    <m/>
    <e v="#NAME?"/>
    <e v="#NAME?"/>
    <e v="#NAME?"/>
    <m/>
    <m/>
    <m/>
    <m/>
    <m/>
    <m/>
    <m/>
    <m/>
    <m/>
  </r>
  <r>
    <m/>
    <s v="DESARROLLADOR FRONT "/>
    <x v="5"/>
    <x v="21"/>
    <s v="Neoris"/>
    <e v="#NAME?"/>
    <s v="SDATOOL-42039 $ Cuenta digital pensional"/>
    <n v="1"/>
    <s v="Desarrollador"/>
    <s v="Cells"/>
    <m/>
    <e v="#NAME?"/>
    <e v="#NAME?"/>
    <e v="#NAME?"/>
    <m/>
    <m/>
    <m/>
    <m/>
    <m/>
    <m/>
    <m/>
    <m/>
    <m/>
  </r>
  <r>
    <m/>
    <s v="DESARROLLADOR FRONT "/>
    <x v="5"/>
    <x v="21"/>
    <s v="Neoris"/>
    <e v="#NAME?"/>
    <s v="SDATOOL-42039 $ Cuenta digital pensional"/>
    <n v="1"/>
    <s v="Desarrollador"/>
    <s v="Cells"/>
    <m/>
    <e v="#NAME?"/>
    <e v="#NAME?"/>
    <e v="#NAME?"/>
    <m/>
    <m/>
    <m/>
    <m/>
    <m/>
    <m/>
    <m/>
    <m/>
    <m/>
  </r>
  <r>
    <m/>
    <s v="TESTER QA"/>
    <x v="5"/>
    <x v="21"/>
    <s v="Accenture"/>
    <e v="#NAME?"/>
    <s v="SDATOOL-42039 $ Cuenta digital pensional"/>
    <n v="1"/>
    <s v="QA"/>
    <s v="Otras Tec."/>
    <m/>
    <e v="#NAME?"/>
    <e v="#NAME?"/>
    <e v="#NAME?"/>
    <m/>
    <m/>
    <m/>
    <m/>
    <m/>
    <m/>
    <m/>
    <m/>
    <m/>
  </r>
  <r>
    <m/>
    <s v="TESTER QA"/>
    <x v="5"/>
    <x v="21"/>
    <s v="Accenture"/>
    <e v="#NAME?"/>
    <s v="SDATOOL-42039 $ Cuenta digital pensional"/>
    <n v="1"/>
    <s v="QA"/>
    <s v="Otras Tec."/>
    <m/>
    <e v="#NAME?"/>
    <e v="#NAME?"/>
    <e v="#NAME?"/>
    <m/>
    <m/>
    <m/>
    <m/>
    <m/>
    <m/>
    <m/>
    <m/>
    <m/>
  </r>
  <r>
    <s v="C802581"/>
    <s v="Daniel Antonio Aguilar"/>
    <x v="5"/>
    <x v="21"/>
    <s v="BBVA"/>
    <e v="#NAME?"/>
    <s v="SDATOOL-42192 $ Transfiya en GloMo"/>
    <n v="0.2"/>
    <s v="Desarrollador"/>
    <m/>
    <s v="Interno"/>
    <e v="#NAME?"/>
    <e v="#NAME?"/>
    <e v="#NAME?"/>
    <m/>
    <m/>
    <m/>
    <m/>
    <m/>
    <m/>
    <m/>
    <m/>
    <m/>
  </r>
  <r>
    <m/>
    <s v="DESARROLLADOR FRONT "/>
    <x v="5"/>
    <x v="21"/>
    <s v="Neoris"/>
    <e v="#NAME?"/>
    <s v="SDATOOL-41881 $ Bloqueo/Desbloqueo Soft-Hard"/>
    <n v="1"/>
    <s v="Desarrollador"/>
    <s v="Cells"/>
    <m/>
    <e v="#NAME?"/>
    <e v="#NAME?"/>
    <e v="#NAME?"/>
    <m/>
    <m/>
    <m/>
    <m/>
    <m/>
    <m/>
    <m/>
    <m/>
    <m/>
  </r>
  <r>
    <m/>
    <s v="DESARROLLADOR FRONT "/>
    <x v="5"/>
    <x v="21"/>
    <s v="Neoris"/>
    <e v="#NAME?"/>
    <s v="SDATOOL-41881 $ Bloqueo/Desbloqueo Soft-Hard"/>
    <n v="1"/>
    <s v="Desarrollador"/>
    <s v="Cells"/>
    <m/>
    <e v="#NAME?"/>
    <e v="#NAME?"/>
    <e v="#NAME?"/>
    <m/>
    <m/>
    <m/>
    <m/>
    <m/>
    <m/>
    <m/>
    <m/>
    <m/>
  </r>
  <r>
    <m/>
    <s v="DESARROLLADOR ASO"/>
    <x v="5"/>
    <x v="21"/>
    <s v="Neoris"/>
    <e v="#NAME?"/>
    <s v="SDATOOL-41881 $ Bloqueo/Desbloqueo Soft-Hard"/>
    <n v="1"/>
    <s v="Desarrollador"/>
    <s v="ASO"/>
    <m/>
    <e v="#NAME?"/>
    <e v="#NAME?"/>
    <e v="#NAME?"/>
    <m/>
    <m/>
    <m/>
    <m/>
    <m/>
    <m/>
    <m/>
    <m/>
    <m/>
  </r>
  <r>
    <m/>
    <s v="DESARROLLADOR APX"/>
    <x v="5"/>
    <x v="21"/>
    <s v="Neoris"/>
    <e v="#NAME?"/>
    <s v="SDATOOL-41881 $ Bloqueo/Desbloqueo Soft-Hard"/>
    <n v="1"/>
    <s v="Desarrollador"/>
    <s v="APX"/>
    <m/>
    <e v="#NAME?"/>
    <e v="#NAME?"/>
    <e v="#NAME?"/>
    <m/>
    <m/>
    <m/>
    <m/>
    <m/>
    <m/>
    <m/>
    <m/>
    <m/>
  </r>
  <r>
    <m/>
    <s v="DESARROLLO HOST"/>
    <x v="5"/>
    <x v="21"/>
    <s v="Neoris"/>
    <e v="#NAME?"/>
    <s v="SDATOOL-41881 $ Bloqueo/Desbloqueo Soft-Hard"/>
    <n v="1"/>
    <s v="Desarrollador"/>
    <s v="Mainframe"/>
    <m/>
    <e v="#NAME?"/>
    <e v="#NAME?"/>
    <e v="#NAME?"/>
    <m/>
    <m/>
    <m/>
    <m/>
    <m/>
    <m/>
    <m/>
    <m/>
    <m/>
  </r>
  <r>
    <m/>
    <s v="TESTER QA"/>
    <x v="5"/>
    <x v="21"/>
    <s v="Accenture"/>
    <e v="#NAME?"/>
    <s v="SDATOOL-41881 $ Bloqueo/Desbloqueo Soft-Hard"/>
    <n v="1"/>
    <s v="QA"/>
    <s v="Otras Tec."/>
    <m/>
    <e v="#NAME?"/>
    <e v="#NAME?"/>
    <e v="#NAME?"/>
    <m/>
    <m/>
    <m/>
    <m/>
    <m/>
    <m/>
    <m/>
    <m/>
    <m/>
  </r>
  <r>
    <s v="C803799"/>
    <s v="ANDRES FELIPE CASTAÑEDA"/>
    <x v="5"/>
    <x v="21"/>
    <s v="BBVA"/>
    <e v="#NAME?"/>
    <s v="NOSDA $ BAU (Mantenimiento y peq. evolutivos)"/>
    <n v="1"/>
    <s v="Tech Manager/Líder"/>
    <s v="Cells"/>
    <m/>
    <e v="#NAME?"/>
    <e v="#NAME?"/>
    <e v="#NAME?"/>
    <m/>
    <m/>
    <m/>
    <m/>
    <m/>
    <m/>
    <m/>
    <m/>
    <m/>
  </r>
  <r>
    <s v="C805723"/>
    <s v="JUAN CAMILO JAIMES"/>
    <x v="5"/>
    <x v="21"/>
    <s v="BBVA"/>
    <e v="#NAME?"/>
    <s v="NOSDA $ BAU (Mantenimiento y peq. evolutivos)"/>
    <n v="1"/>
    <s v="Desarrollador"/>
    <s v="Cells"/>
    <m/>
    <e v="#NAME?"/>
    <e v="#NAME?"/>
    <e v="#NAME?"/>
    <m/>
    <m/>
    <m/>
    <m/>
    <m/>
    <m/>
    <m/>
    <m/>
    <m/>
  </r>
  <r>
    <s v="C805720"/>
    <s v="SANDRA REDONDO"/>
    <x v="5"/>
    <x v="21"/>
    <s v="BBVA"/>
    <e v="#NAME?"/>
    <s v="NOSDA $ BAU (Mantenimiento y peq. evolutivos)"/>
    <n v="1"/>
    <s v="Desarrollador"/>
    <s v="Cells"/>
    <m/>
    <e v="#NAME?"/>
    <e v="#NAME?"/>
    <e v="#NAME?"/>
    <m/>
    <m/>
    <m/>
    <m/>
    <m/>
    <m/>
    <m/>
    <m/>
    <m/>
  </r>
  <r>
    <s v="C810664"/>
    <s v="JONATHAN MARCELL GUTIERREZ RIAÑO"/>
    <x v="5"/>
    <x v="21"/>
    <s v="BBVA"/>
    <e v="#NAME?"/>
    <s v="NOSDA $ BAU (Mantenimiento y peq. evolutivos)"/>
    <n v="1"/>
    <s v="Desarrollador"/>
    <s v="APX"/>
    <m/>
    <e v="#NAME?"/>
    <e v="#NAME?"/>
    <e v="#NAME?"/>
    <m/>
    <m/>
    <m/>
    <m/>
    <m/>
    <m/>
    <m/>
    <m/>
    <m/>
  </r>
  <r>
    <s v="C805983"/>
    <s v="LUBER FANDIÑO"/>
    <x v="5"/>
    <x v="21"/>
    <s v="BBVA"/>
    <e v="#NAME?"/>
    <s v="NOSDA $ BAU (Mantenimiento y peq. evolutivos)"/>
    <n v="1"/>
    <s v="Desarrollador"/>
    <s v="Cells"/>
    <m/>
    <e v="#NAME?"/>
    <e v="#NAME?"/>
    <e v="#NAME?"/>
    <m/>
    <m/>
    <m/>
    <m/>
    <m/>
    <m/>
    <m/>
    <m/>
    <m/>
  </r>
  <r>
    <s v="C805933"/>
    <s v="Brayan Peña"/>
    <x v="5"/>
    <x v="21"/>
    <s v="BBVA"/>
    <e v="#NAME?"/>
    <s v="NOSDA $ BAU (Mantenimiento y peq. evolutivos)"/>
    <n v="1"/>
    <s v="Desarrollador"/>
    <s v="Cells"/>
    <m/>
    <e v="#NAME?"/>
    <e v="#NAME?"/>
    <e v="#NAME?"/>
    <m/>
    <m/>
    <m/>
    <m/>
    <m/>
    <m/>
    <m/>
    <m/>
    <m/>
  </r>
  <r>
    <s v="C809565"/>
    <s v="JOAN CHIVATA"/>
    <x v="5"/>
    <x v="21"/>
    <s v="BBVA"/>
    <e v="#NAME?"/>
    <s v="NOSDA $ BAU (Mantenimiento y peq. evolutivos)"/>
    <n v="1"/>
    <s v="Desarrollador"/>
    <s v="Cells"/>
    <m/>
    <e v="#NAME?"/>
    <e v="#NAME?"/>
    <e v="#NAME?"/>
    <m/>
    <m/>
    <m/>
    <m/>
    <m/>
    <m/>
    <m/>
    <m/>
    <m/>
  </r>
  <r>
    <s v="T004259"/>
    <s v="FAIBER RUEDA"/>
    <x v="5"/>
    <x v="21"/>
    <s v="Accenture"/>
    <e v="#NAME?"/>
    <s v="NOSDA $ BAU (Mantenimiento y peq. evolutivos)"/>
    <n v="1"/>
    <s v="Desarrollador"/>
    <s v="Cells"/>
    <m/>
    <e v="#NAME?"/>
    <e v="#NAME?"/>
    <e v="#NAME?"/>
    <m/>
    <m/>
    <m/>
    <m/>
    <m/>
    <m/>
    <m/>
    <m/>
    <m/>
  </r>
  <r>
    <s v="T004336"/>
    <s v="JUAN ROMERO"/>
    <x v="5"/>
    <x v="21"/>
    <s v="Accenture"/>
    <e v="#NAME?"/>
    <s v="NOSDA $ BAU (Mantenimiento y peq. evolutivos)"/>
    <n v="1"/>
    <s v="Desarrollador"/>
    <s v="Cells"/>
    <m/>
    <e v="#NAME?"/>
    <e v="#NAME?"/>
    <e v="#NAME?"/>
    <m/>
    <m/>
    <m/>
    <m/>
    <m/>
    <m/>
    <m/>
    <m/>
    <m/>
  </r>
  <r>
    <s v="CE69641"/>
    <s v="KEVIN SARMIENTO"/>
    <x v="5"/>
    <x v="21"/>
    <s v="Accenture"/>
    <e v="#NAME?"/>
    <s v="NOSDA $ BAU (Mantenimiento y peq. evolutivos)"/>
    <n v="1"/>
    <s v="Desarrollador"/>
    <s v="Cells"/>
    <m/>
    <e v="#NAME?"/>
    <e v="#NAME?"/>
    <e v="#NAME?"/>
    <m/>
    <m/>
    <m/>
    <m/>
    <m/>
    <m/>
    <m/>
    <m/>
    <m/>
  </r>
  <r>
    <m/>
    <s v="TBD - ANS"/>
    <x v="5"/>
    <x v="21"/>
    <s v="Accenture"/>
    <e v="#NAME?"/>
    <s v="NOSDA $ BAU (Mantenimiento y peq. evolutivos)"/>
    <n v="1"/>
    <s v="Desarrollador"/>
    <s v="Cells"/>
    <m/>
    <e v="#NAME?"/>
    <e v="#NAME?"/>
    <e v="#NAME?"/>
    <m/>
    <m/>
    <m/>
    <m/>
    <m/>
    <m/>
    <m/>
    <m/>
    <m/>
  </r>
  <r>
    <s v="T006642"/>
    <s v="CRISTIAN DAZA"/>
    <x v="5"/>
    <x v="21"/>
    <s v="Neoris"/>
    <e v="#NAME?"/>
    <s v="NOSDA $ BAU (Mantenimiento y peq. evolutivos)"/>
    <n v="1"/>
    <s v="Desarrollador"/>
    <s v="Cells"/>
    <m/>
    <e v="#NAME?"/>
    <e v="#NAME?"/>
    <e v="#NAME?"/>
    <m/>
    <m/>
    <m/>
    <m/>
    <m/>
    <m/>
    <m/>
    <m/>
    <m/>
  </r>
  <r>
    <s v="T006699"/>
    <s v="JUAN DUQUE"/>
    <x v="5"/>
    <x v="21"/>
    <s v="Neoris"/>
    <e v="#NAME?"/>
    <s v="NOSDA $ BAU (Mantenimiento y peq. evolutivos)"/>
    <n v="1"/>
    <s v="Desarrollador"/>
    <s v="Cells"/>
    <m/>
    <e v="#NAME?"/>
    <e v="#NAME?"/>
    <e v="#NAME?"/>
    <m/>
    <m/>
    <m/>
    <m/>
    <m/>
    <m/>
    <m/>
    <m/>
    <m/>
  </r>
  <r>
    <s v="T001732"/>
    <s v="Alejandro Cano"/>
    <x v="5"/>
    <x v="21"/>
    <s v="Indra"/>
    <e v="#NAME?"/>
    <s v="NOSDA $ BAU (Mantenimiento y peq. evolutivos)"/>
    <n v="1"/>
    <s v="Otros"/>
    <s v="Cells"/>
    <m/>
    <e v="#NAME?"/>
    <e v="#NAME?"/>
    <e v="#NAME?"/>
    <m/>
    <m/>
    <m/>
    <m/>
    <m/>
    <m/>
    <m/>
    <m/>
    <m/>
  </r>
  <r>
    <s v="T006644"/>
    <s v="Rafael Bonet"/>
    <x v="5"/>
    <x v="21"/>
    <s v="Neoris"/>
    <e v="#NAME?"/>
    <s v="NOSDA $ BAU (Mantenimiento y peq. evolutivos)"/>
    <n v="1"/>
    <s v="Otros"/>
    <s v="Otras Tec."/>
    <m/>
    <e v="#NAME?"/>
    <e v="#NAME?"/>
    <e v="#NAME?"/>
    <m/>
    <m/>
    <m/>
    <m/>
    <m/>
    <m/>
    <m/>
    <m/>
    <m/>
  </r>
  <r>
    <s v="T006637"/>
    <s v="Jhonathan Medina"/>
    <x v="5"/>
    <x v="21"/>
    <s v="Neoris"/>
    <e v="#NAME?"/>
    <s v="NOSDA $ BAU (Mantenimiento y peq. evolutivos)"/>
    <n v="1"/>
    <s v="Otros"/>
    <s v="Otras Tec."/>
    <m/>
    <e v="#NAME?"/>
    <e v="#NAME?"/>
    <e v="#NAME?"/>
    <m/>
    <m/>
    <m/>
    <m/>
    <m/>
    <m/>
    <m/>
    <m/>
    <m/>
  </r>
  <r>
    <s v="T001731"/>
    <s v="John Zamora"/>
    <x v="5"/>
    <x v="21"/>
    <s v="Indra"/>
    <e v="#NAME?"/>
    <s v="NOSDA $ BAU (Mantenimiento y peq. evolutivos)"/>
    <n v="1"/>
    <s v="Otros"/>
    <s v="Cells"/>
    <m/>
    <e v="#NAME?"/>
    <e v="#NAME?"/>
    <e v="#NAME?"/>
    <m/>
    <m/>
    <m/>
    <m/>
    <m/>
    <m/>
    <m/>
    <m/>
    <m/>
  </r>
  <r>
    <s v="CE67183"/>
    <s v="ALEXIS A GONZALEZ LANCHEROS"/>
    <x v="5"/>
    <x v="22"/>
    <s v="Choucair"/>
    <e v="#NAME?"/>
    <s v="SDATOOL-41709 $ Fraccionamiento de transacciones en CBs"/>
    <n v="0.2"/>
    <s v="QA"/>
    <s v="Otras Tec."/>
    <m/>
    <e v="#NAME?"/>
    <e v="#NAME?"/>
    <e v="#NAME?"/>
    <m/>
    <m/>
    <m/>
    <m/>
    <m/>
    <m/>
    <m/>
    <m/>
    <m/>
  </r>
  <r>
    <s v="CE67183"/>
    <s v="ALEXIS A GONZALEZ LANCHEROS"/>
    <x v="5"/>
    <x v="22"/>
    <s v="Choucair"/>
    <e v="#NAME?"/>
    <s v="SDATOOL-39871 $ Cbs Gelsa Paga todo"/>
    <n v="0.4"/>
    <s v="QA"/>
    <s v="Otras Tec."/>
    <m/>
    <e v="#NAME?"/>
    <e v="#NAME?"/>
    <e v="#NAME?"/>
    <m/>
    <m/>
    <m/>
    <m/>
    <m/>
    <m/>
    <m/>
    <m/>
    <m/>
  </r>
  <r>
    <s v="CE67183"/>
    <s v="ALEXIS A GONZALEZ LANCHEROS"/>
    <x v="5"/>
    <x v="22"/>
    <s v="Choucair"/>
    <e v="#NAME?"/>
    <s v="SDATOOL-40581 $ Corresponsal Bancario Ya Ganaste"/>
    <n v="0.4"/>
    <s v="QA"/>
    <s v="Otras Tec."/>
    <m/>
    <e v="#NAME?"/>
    <e v="#NAME?"/>
    <e v="#NAME?"/>
    <m/>
    <m/>
    <m/>
    <m/>
    <m/>
    <m/>
    <m/>
    <m/>
    <m/>
  </r>
  <r>
    <s v="C804644"/>
    <s v="ANDRES FELIPE CALDERÓN NOVOA"/>
    <x v="5"/>
    <x v="23"/>
    <s v="BBVA"/>
    <e v="#NAME?"/>
    <s v="SDATOOL-41706 $ Renovación ATMs 2023"/>
    <n v="0.5"/>
    <s v="Desarrollador"/>
    <s v="ASO"/>
    <m/>
    <e v="#NAME?"/>
    <e v="#NAME?"/>
    <e v="#NAME?"/>
    <m/>
    <m/>
    <m/>
    <m/>
    <m/>
    <m/>
    <m/>
    <m/>
    <m/>
  </r>
  <r>
    <s v="C804644"/>
    <s v="ANDRES FELIPE CALDERÓN NOVOA"/>
    <x v="5"/>
    <x v="23"/>
    <s v="BBVA"/>
    <e v="#NAME?"/>
    <s v="SDATOOL-33947 $ Sinergias Bancamia"/>
    <n v="0.5"/>
    <s v="Desarrollador"/>
    <s v="ASO"/>
    <m/>
    <e v="#NAME?"/>
    <e v="#NAME?"/>
    <e v="#NAME?"/>
    <m/>
    <m/>
    <m/>
    <m/>
    <m/>
    <m/>
    <m/>
    <m/>
    <m/>
  </r>
  <r>
    <s v="CE60329"/>
    <s v="ANDRÉS FELIPE MORA SANTANA"/>
    <x v="5"/>
    <x v="24"/>
    <s v="Novatec"/>
    <e v="#NAME?"/>
    <s v="SDATOOL-39870 $ Front - Unificación de pantallas Contac Center"/>
    <n v="1"/>
    <s v="Desarrollador"/>
    <s v="Cells"/>
    <m/>
    <e v="#NAME?"/>
    <e v="#NAME?"/>
    <e v="#NAME?"/>
    <m/>
    <m/>
    <m/>
    <m/>
    <m/>
    <m/>
    <m/>
    <m/>
    <m/>
  </r>
  <r>
    <s v="C804832"/>
    <s v="ANTONY SUICA CUARTAS"/>
    <x v="5"/>
    <x v="23"/>
    <s v="BBVA"/>
    <e v="#NAME?"/>
    <s v="SDATOOL-33947 $ Sinergias Bancamia"/>
    <n v="0.05"/>
    <s v="Desarrollador"/>
    <s v="ASO"/>
    <m/>
    <e v="#NAME?"/>
    <e v="#NAME?"/>
    <e v="#NAME?"/>
    <m/>
    <m/>
    <m/>
    <m/>
    <m/>
    <m/>
    <m/>
    <m/>
    <m/>
  </r>
  <r>
    <s v="C804832"/>
    <s v="ANTONY SUICA CUARTAS"/>
    <x v="5"/>
    <x v="23"/>
    <s v="BBVA"/>
    <e v="#NAME?"/>
    <s v="SDATOOL-41706 $ Renovación ATMs 2023"/>
    <n v="0.8"/>
    <s v="Desarrollador"/>
    <s v="Distribuido"/>
    <s v="SW JAM"/>
    <e v="#NAME?"/>
    <e v="#NAME?"/>
    <e v="#NAME?"/>
    <m/>
    <m/>
    <m/>
    <m/>
    <m/>
    <m/>
    <m/>
    <m/>
    <m/>
  </r>
  <r>
    <s v="C804832"/>
    <s v="ANTONY SUICA CUARTAS"/>
    <x v="5"/>
    <x v="23"/>
    <s v="BBVA"/>
    <e v="#NAME?"/>
    <s v="NOSDA $ BAU (Mantenimiento y peq. evolutivos)"/>
    <n v="0.15"/>
    <s v="Desarrollador"/>
    <s v="Distribuido"/>
    <s v="SW JAM, ASO, COBOL"/>
    <e v="#NAME?"/>
    <e v="#NAME?"/>
    <e v="#NAME?"/>
    <m/>
    <m/>
    <m/>
    <m/>
    <m/>
    <m/>
    <m/>
    <m/>
    <m/>
  </r>
  <r>
    <s v="O002934"/>
    <s v="BRIAN MAURICIO TEJEDOR VARGAS"/>
    <x v="5"/>
    <x v="25"/>
    <s v="BBVA"/>
    <e v="#NAME?"/>
    <s v="NOSDA $ BAU (Mantenimiento y peq. evolutivos)"/>
    <n v="0.6"/>
    <s v="Desarrollador"/>
    <s v="Distribuido"/>
    <s v="RPA Blue Prims"/>
    <e v="#NAME?"/>
    <e v="#NAME?"/>
    <e v="#NAME?"/>
    <m/>
    <m/>
    <m/>
    <m/>
    <m/>
    <m/>
    <m/>
    <m/>
    <m/>
  </r>
  <r>
    <s v="O002934"/>
    <s v="BRIAN MAURICIO TEJEDOR VARGAS"/>
    <x v="5"/>
    <x v="25"/>
    <s v="BBVA"/>
    <e v="#NAME?"/>
    <s v="SDATOOL-40529 $ Aplicativos Finanzas - 2023"/>
    <n v="0.4"/>
    <s v="Desarrollador"/>
    <s v="Distribuido"/>
    <s v="RPA Blue Prims"/>
    <e v="#NAME?"/>
    <e v="#NAME?"/>
    <e v="#NAME?"/>
    <m/>
    <m/>
    <m/>
    <m/>
    <m/>
    <m/>
    <m/>
    <m/>
    <m/>
  </r>
  <r>
    <s v="CE51863"/>
    <s v="EDNA ROCIO MONCADA"/>
    <x v="5"/>
    <x v="23"/>
    <s v="KRYPTO"/>
    <e v="#NAME?"/>
    <s v="NOSDA $ BAU (Mantenimiento y peq. evolutivos)"/>
    <n v="0.02"/>
    <s v="QA"/>
    <s v="Otras Tec."/>
    <m/>
    <e v="#NAME?"/>
    <e v="#NAME?"/>
    <e v="#NAME?"/>
    <m/>
    <m/>
    <m/>
    <m/>
    <m/>
    <m/>
    <m/>
    <m/>
    <m/>
  </r>
  <r>
    <s v="CE51863"/>
    <s v="EDNA ROCIO MONCADA"/>
    <x v="5"/>
    <x v="22"/>
    <s v="KRYPTO"/>
    <e v="#NAME?"/>
    <s v="NOSDA $ BAU (Mantenimiento y peq. evolutivos)"/>
    <n v="0.02"/>
    <s v="QA"/>
    <s v="Otras Tec."/>
    <m/>
    <e v="#NAME?"/>
    <e v="#NAME?"/>
    <e v="#NAME?"/>
    <m/>
    <m/>
    <m/>
    <m/>
    <m/>
    <m/>
    <m/>
    <m/>
    <m/>
  </r>
  <r>
    <s v="CE51863"/>
    <s v="EDNA ROCIO MONCADA"/>
    <x v="5"/>
    <x v="25"/>
    <s v="KRYPTO"/>
    <e v="#NAME?"/>
    <s v="NOSDA $ BAU (Mantenimiento y peq. evolutivos)"/>
    <n v="0.02"/>
    <s v="QA"/>
    <s v="Otras Tec."/>
    <m/>
    <e v="#NAME?"/>
    <e v="#NAME?"/>
    <e v="#NAME?"/>
    <m/>
    <m/>
    <m/>
    <m/>
    <m/>
    <m/>
    <m/>
    <m/>
    <m/>
  </r>
  <r>
    <s v="CE51863"/>
    <s v="EDNA ROCIO MONCADA"/>
    <x v="5"/>
    <x v="24"/>
    <s v="KRYPTO"/>
    <e v="#NAME?"/>
    <s v="NOSDA $ BAU (Mantenimiento y peq. evolutivos)"/>
    <n v="0.02"/>
    <s v="QA"/>
    <s v="Otras Tec."/>
    <m/>
    <e v="#NAME?"/>
    <e v="#NAME?"/>
    <e v="#NAME?"/>
    <m/>
    <m/>
    <m/>
    <m/>
    <m/>
    <m/>
    <m/>
    <m/>
    <m/>
  </r>
  <r>
    <s v="CE51863"/>
    <s v="EDNA ROCIO MONCADA"/>
    <x v="5"/>
    <x v="23"/>
    <s v="KRYPTO"/>
    <e v="#NAME?"/>
    <s v="SDATOOL-32991 $ Comisión de Acceso a ATM's"/>
    <n v="0.02"/>
    <s v="QA"/>
    <s v="Otras Tec."/>
    <m/>
    <e v="#NAME?"/>
    <e v="#NAME?"/>
    <e v="#NAME?"/>
    <m/>
    <m/>
    <m/>
    <m/>
    <m/>
    <m/>
    <m/>
    <m/>
    <m/>
  </r>
  <r>
    <s v="CE51863"/>
    <s v="EDNA ROCIO MONCADA"/>
    <x v="5"/>
    <x v="23"/>
    <s v="KRYPTO"/>
    <e v="#NAME?"/>
    <s v="SDATOOL-40515 $ Acción de auditoria de Cobro de Comisiones"/>
    <n v="0.02"/>
    <s v="QA"/>
    <s v="Otras Tec."/>
    <m/>
    <e v="#NAME?"/>
    <e v="#NAME?"/>
    <e v="#NAME?"/>
    <m/>
    <m/>
    <m/>
    <m/>
    <m/>
    <m/>
    <m/>
    <m/>
    <m/>
  </r>
  <r>
    <s v="CE51863"/>
    <s v="EDNA ROCIO MONCADA"/>
    <x v="5"/>
    <x v="24"/>
    <s v="KRYPTO"/>
    <e v="#NAME?"/>
    <s v="SDATOOL-37100 $ Soluciones de voz/Internalización del IVR - Plan Ascenso Privado"/>
    <n v="0.02"/>
    <s v="QA"/>
    <s v="Otras Tec."/>
    <m/>
    <e v="#NAME?"/>
    <e v="#NAME?"/>
    <e v="#NAME?"/>
    <m/>
    <m/>
    <m/>
    <m/>
    <m/>
    <m/>
    <m/>
    <m/>
    <m/>
  </r>
  <r>
    <s v="CE51863"/>
    <s v="EDNA ROCIO MONCADA"/>
    <x v="5"/>
    <x v="24"/>
    <s v="KRYPTO"/>
    <e v="#NAME?"/>
    <s v="SDATOOL-39870 $ Front - Unificación de pantallas Contac Center"/>
    <n v="0.02"/>
    <s v="QA"/>
    <s v="Otras Tec."/>
    <m/>
    <e v="#NAME?"/>
    <e v="#NAME?"/>
    <e v="#NAME?"/>
    <m/>
    <m/>
    <m/>
    <m/>
    <m/>
    <m/>
    <m/>
    <m/>
    <m/>
  </r>
  <r>
    <s v="CE51863"/>
    <s v="EDNA ROCIO MONCADA"/>
    <x v="5"/>
    <x v="22"/>
    <s v="KRYPTO"/>
    <e v="#NAME?"/>
    <s v="SDATOOL-33947 $ Sinergias Bancamia"/>
    <n v="0.02"/>
    <s v="QA"/>
    <s v="Otras Tec."/>
    <m/>
    <e v="#NAME?"/>
    <e v="#NAME?"/>
    <e v="#NAME?"/>
    <m/>
    <m/>
    <m/>
    <m/>
    <m/>
    <m/>
    <m/>
    <m/>
    <m/>
  </r>
  <r>
    <s v="CE51863"/>
    <s v="EDNA ROCIO MONCADA"/>
    <x v="5"/>
    <x v="22"/>
    <s v="KRYPTO"/>
    <e v="#NAME?"/>
    <s v="SDATOOL-39871 $ Cbs Gelsa Paga todo"/>
    <n v="0.02"/>
    <s v="QA"/>
    <s v="Otras Tec."/>
    <m/>
    <e v="#NAME?"/>
    <e v="#NAME?"/>
    <e v="#NAME?"/>
    <m/>
    <m/>
    <m/>
    <m/>
    <m/>
    <m/>
    <m/>
    <m/>
    <m/>
  </r>
  <r>
    <s v="CE51863"/>
    <s v="EDNA ROCIO MONCADA"/>
    <x v="5"/>
    <x v="22"/>
    <s v="KRYPTO"/>
    <e v="#NAME?"/>
    <s v="SDATOOL-40581 $ Corresponsal Bancario Ya Ganaste"/>
    <n v="0.02"/>
    <s v="QA"/>
    <s v="Otras Tec."/>
    <m/>
    <e v="#NAME?"/>
    <e v="#NAME?"/>
    <e v="#NAME?"/>
    <m/>
    <m/>
    <m/>
    <m/>
    <m/>
    <m/>
    <m/>
    <m/>
    <m/>
  </r>
  <r>
    <s v="CE51863"/>
    <s v="EDNA ROCIO MONCADA"/>
    <x v="5"/>
    <x v="22"/>
    <s v="KRYPTO"/>
    <e v="#NAME?"/>
    <s v="SDATOOL-41709 $ Fraccionamiento de transacciones en CBs"/>
    <n v="0.02"/>
    <s v="QA"/>
    <s v="Otras Tec."/>
    <m/>
    <e v="#NAME?"/>
    <e v="#NAME?"/>
    <e v="#NAME?"/>
    <m/>
    <m/>
    <m/>
    <m/>
    <m/>
    <m/>
    <m/>
    <m/>
    <m/>
  </r>
  <r>
    <s v="C811170"/>
    <s v="CRISTIAN ANDREY ANTOLINEZ BOHORQUEZ"/>
    <x v="5"/>
    <x v="24"/>
    <s v="BBVA"/>
    <e v="#NAME?"/>
    <s v="SDATOOL-37100 $ Soluciones de voz/Internalización del IVR - Plan Ascenso Privado"/>
    <n v="1"/>
    <s v="Desarrollador"/>
    <s v="Distribuido"/>
    <s v="SW Genesys"/>
    <e v="#NAME?"/>
    <e v="#NAME?"/>
    <e v="#NAME?"/>
    <m/>
    <m/>
    <m/>
    <m/>
    <m/>
    <m/>
    <m/>
    <m/>
    <m/>
  </r>
  <r>
    <s v="O003245"/>
    <s v="CRISTIAN RENE MENDEZ"/>
    <x v="5"/>
    <x v="23"/>
    <s v="BBVA"/>
    <e v="#NAME?"/>
    <s v="NOSDA $ BAU (Mantenimiento y peq. evolutivos)"/>
    <n v="0.7"/>
    <s v="Tech Manager/Líder"/>
    <s v="Otras Tec."/>
    <m/>
    <e v="#NAME?"/>
    <e v="#NAME?"/>
    <e v="#NAME?"/>
    <m/>
    <m/>
    <m/>
    <m/>
    <m/>
    <m/>
    <m/>
    <m/>
    <m/>
  </r>
  <r>
    <s v="O003245"/>
    <s v="CRISTIAN RENE MENDEZ"/>
    <x v="5"/>
    <x v="23"/>
    <s v="BBVA"/>
    <e v="#NAME?"/>
    <s v="SDATOOL-40515 $ Acción de auditoria de Cobro de Comisiones"/>
    <n v="0.1"/>
    <s v="Tech Manager/Líder"/>
    <s v="Otras Tec."/>
    <m/>
    <e v="#NAME?"/>
    <e v="#NAME?"/>
    <e v="#NAME?"/>
    <m/>
    <m/>
    <m/>
    <m/>
    <m/>
    <m/>
    <m/>
    <m/>
    <m/>
  </r>
  <r>
    <s v="O003245"/>
    <s v="CRISTIAN RENE MENDEZ"/>
    <x v="5"/>
    <x v="24"/>
    <s v="BBVA"/>
    <e v="#NAME?"/>
    <s v="SDATOOL-37100 $ Soluciones de voz/Internalización del IVR - Plan Ascenso Privado"/>
    <n v="0.1"/>
    <s v="Tech Manager/Líder"/>
    <s v="Otras Tec."/>
    <m/>
    <e v="#NAME?"/>
    <e v="#NAME?"/>
    <e v="#NAME?"/>
    <m/>
    <m/>
    <m/>
    <m/>
    <m/>
    <m/>
    <m/>
    <m/>
    <m/>
  </r>
  <r>
    <s v="O003245"/>
    <s v="CRISTIAN RENE MENDEZ"/>
    <x v="5"/>
    <x v="24"/>
    <s v="BBVA"/>
    <e v="#NAME?"/>
    <s v="SDATOOL-39870 $ Front - Unificación de pantallas Contac Center"/>
    <n v="0.1"/>
    <s v="Tech Manager/Líder"/>
    <s v="Otras Tec."/>
    <m/>
    <e v="#NAME?"/>
    <e v="#NAME?"/>
    <e v="#NAME?"/>
    <m/>
    <m/>
    <m/>
    <m/>
    <m/>
    <m/>
    <m/>
    <m/>
    <m/>
  </r>
  <r>
    <s v="C342547"/>
    <s v="DAVID LEONARDO OBANDO CORTÉS"/>
    <x v="5"/>
    <x v="23"/>
    <s v="BBVA"/>
    <e v="#NAME?"/>
    <s v="NOSDA $ BAU (Mantenimiento y peq. evolutivos)"/>
    <n v="0.25"/>
    <s v="Desarrollador"/>
    <s v="Mainframe"/>
    <m/>
    <e v="#NAME?"/>
    <e v="#NAME?"/>
    <e v="#NAME?"/>
    <m/>
    <m/>
    <m/>
    <m/>
    <m/>
    <m/>
    <m/>
    <m/>
    <m/>
  </r>
  <r>
    <s v="C342547"/>
    <s v="DAVID LEONARDO OBANDO CORTÉS"/>
    <x v="5"/>
    <x v="23"/>
    <s v="BBVA"/>
    <e v="#NAME?"/>
    <s v="SDATOOL-40515 $ Acción de auditoria de Cobro de Comisiones"/>
    <n v="0.75"/>
    <s v="Desarrollador"/>
    <s v="Mainframe"/>
    <m/>
    <e v="#NAME?"/>
    <e v="#NAME?"/>
    <e v="#NAME?"/>
    <m/>
    <m/>
    <m/>
    <m/>
    <m/>
    <m/>
    <m/>
    <m/>
    <m/>
  </r>
  <r>
    <s v="CE59507"/>
    <s v="DAVID RODRIGUEZ RANGEL"/>
    <x v="5"/>
    <x v="23"/>
    <s v="Inetum"/>
    <e v="#NAME?"/>
    <s v="SDATOOL-40515 $ Acción de auditoria de Cobro de Comisiones"/>
    <n v="1"/>
    <s v="Desarrollador"/>
    <s v="Distribuido"/>
    <m/>
    <e v="#NAME?"/>
    <e v="#NAME?"/>
    <e v="#NAME?"/>
    <m/>
    <m/>
    <m/>
    <m/>
    <m/>
    <m/>
    <m/>
    <m/>
    <m/>
  </r>
  <r>
    <s v="C809616"/>
    <s v="DIEGO FERNANDO MONTEALEGRE ROZO"/>
    <x v="5"/>
    <x v="22"/>
    <s v="BBVA"/>
    <e v="#NAME?"/>
    <s v="NOSDA $ BAU (Mantenimiento y peq. evolutivos)"/>
    <n v="0.25"/>
    <s v="Desarrollador"/>
    <s v="Distribuido"/>
    <s v="DataPower"/>
    <e v="#NAME?"/>
    <e v="#NAME?"/>
    <e v="#NAME?"/>
    <m/>
    <m/>
    <m/>
    <m/>
    <m/>
    <m/>
    <m/>
    <m/>
    <m/>
  </r>
  <r>
    <s v="C809616"/>
    <s v="DIEGO FERNANDO MONTEALEGRE ROZO"/>
    <x v="5"/>
    <x v="22"/>
    <s v="BBVA"/>
    <e v="#NAME?"/>
    <s v="SDATOOL-40581 $ Corresponsal Bancario Ya Ganaste"/>
    <n v="0.75"/>
    <s v="Desarrollador"/>
    <s v="Distribuido"/>
    <s v="DataPower"/>
    <e v="#NAME?"/>
    <e v="#NAME?"/>
    <e v="#NAME?"/>
    <m/>
    <m/>
    <m/>
    <m/>
    <m/>
    <m/>
    <m/>
    <m/>
    <m/>
  </r>
  <r>
    <s v="C810674"/>
    <s v="EDWIN ARMANDO CASTRO MARTIN"/>
    <x v="5"/>
    <x v="24"/>
    <s v="BBVA"/>
    <e v="#NAME?"/>
    <s v="SDATOOL-39870 $ Front - Unificación de pantallas Contac Center"/>
    <n v="1"/>
    <s v="Desarrollador"/>
    <s v="Cells"/>
    <m/>
    <e v="#NAME?"/>
    <e v="#NAME?"/>
    <e v="#NAME?"/>
    <m/>
    <m/>
    <m/>
    <m/>
    <m/>
    <m/>
    <m/>
    <m/>
    <m/>
  </r>
  <r>
    <s v="C803039"/>
    <s v="EVELIN LORENA PEDRAZA ROMERO"/>
    <x v="5"/>
    <x v="22"/>
    <s v="BBVA"/>
    <e v="#NAME?"/>
    <s v="NOSDA $ BAU (Mantenimiento y peq. evolutivos)"/>
    <n v="0.5"/>
    <s v="Desarrollador"/>
    <s v="ASO"/>
    <m/>
    <e v="#NAME?"/>
    <e v="#NAME?"/>
    <e v="#NAME?"/>
    <m/>
    <m/>
    <m/>
    <m/>
    <m/>
    <m/>
    <m/>
    <m/>
    <m/>
  </r>
  <r>
    <s v="C803039"/>
    <s v="EVELIN LORENA PEDRAZA ROMERO"/>
    <x v="5"/>
    <x v="22"/>
    <s v="BBVA"/>
    <e v="#NAME?"/>
    <s v="SDATOOL-41709 $ Fraccionamiento de transacciones en CBs"/>
    <n v="0.5"/>
    <s v="Desarrollador"/>
    <s v="Mainframe"/>
    <m/>
    <e v="#NAME?"/>
    <e v="#NAME?"/>
    <e v="#NAME?"/>
    <m/>
    <m/>
    <m/>
    <m/>
    <m/>
    <m/>
    <m/>
    <m/>
    <m/>
  </r>
  <r>
    <s v="CE70580"/>
    <s v="FABIAN ARTURO RAMIREZ BROCHE"/>
    <x v="5"/>
    <x v="25"/>
    <s v="Inetum"/>
    <e v="#NAME?"/>
    <s v="NOSDA $ BAU (Mantenimiento y peq. evolutivos)"/>
    <n v="1"/>
    <s v="Desarrollador"/>
    <s v="Distribuido"/>
    <s v="RPA Blue Prims"/>
    <e v="#NAME?"/>
    <e v="#NAME?"/>
    <e v="#NAME?"/>
    <m/>
    <m/>
    <m/>
    <m/>
    <m/>
    <m/>
    <m/>
    <m/>
    <m/>
  </r>
  <r>
    <s v="C804602"/>
    <s v="JOAN DE JESUS SANCHEZ CANDANOZA"/>
    <x v="5"/>
    <x v="25"/>
    <s v="BBVA"/>
    <e v="#NAME?"/>
    <s v="NOSDA $ BAU (Mantenimiento y peq. evolutivos)"/>
    <n v="1"/>
    <s v="Desarrollador"/>
    <s v="Distribuido"/>
    <s v="RPA Blue Prims"/>
    <e v="#NAME?"/>
    <e v="#NAME?"/>
    <e v="#NAME?"/>
    <m/>
    <m/>
    <m/>
    <m/>
    <m/>
    <m/>
    <m/>
    <m/>
    <m/>
  </r>
  <r>
    <s v="CE70183"/>
    <s v="JOEL ANDRÉS CANTILLO NIETO"/>
    <x v="5"/>
    <x v="24"/>
    <s v="GGI / CMC"/>
    <e v="#NAME?"/>
    <s v="SDATOOL-37100 $ Soluciones de voz/Internalización del IVR - Plan Ascenso Privado"/>
    <n v="1"/>
    <s v="Desarrollador"/>
    <s v="Mainframe"/>
    <m/>
    <e v="#NAME?"/>
    <e v="#NAME?"/>
    <e v="#NAME?"/>
    <m/>
    <m/>
    <m/>
    <m/>
    <m/>
    <m/>
    <m/>
    <m/>
    <m/>
  </r>
  <r>
    <s v="C805564"/>
    <s v="JOHN JAIRO CARDENAS SANABRIA"/>
    <x v="5"/>
    <x v="22"/>
    <s v="BBVA"/>
    <e v="#NAME?"/>
    <s v="SDATOOL-39871 $ Cbs Gelsa Paga todo"/>
    <n v="0.6"/>
    <s v="Desarrollador"/>
    <s v="Mainframe"/>
    <m/>
    <e v="#NAME?"/>
    <e v="#NAME?"/>
    <e v="#NAME?"/>
    <m/>
    <m/>
    <m/>
    <m/>
    <m/>
    <m/>
    <m/>
    <m/>
    <m/>
  </r>
  <r>
    <s v="C805564"/>
    <s v="JOHN JAIRO CARDENAS SANABRIA"/>
    <x v="5"/>
    <x v="22"/>
    <s v="BBVA"/>
    <e v="#NAME?"/>
    <s v="NOSDA $ BAU (Mantenimiento y peq. evolutivos)"/>
    <n v="0.1"/>
    <s v="Desarrollador"/>
    <s v="Distribuido"/>
    <m/>
    <e v="#NAME?"/>
    <e v="#NAME?"/>
    <e v="#NAME?"/>
    <m/>
    <m/>
    <m/>
    <m/>
    <m/>
    <m/>
    <m/>
    <m/>
    <m/>
  </r>
  <r>
    <s v="C805564"/>
    <s v="JOHN JAIRO CARDENAS SANABRIA"/>
    <x v="5"/>
    <x v="22"/>
    <s v="BBVA"/>
    <e v="#NAME?"/>
    <s v="SDATOOL-40581 $ Corresponsal Bancario Ya Ganaste"/>
    <n v="0.3"/>
    <s v="Desarrollador"/>
    <s v="Mainframe"/>
    <m/>
    <e v="#NAME?"/>
    <e v="#NAME?"/>
    <e v="#NAME?"/>
    <m/>
    <m/>
    <m/>
    <m/>
    <m/>
    <m/>
    <m/>
    <m/>
    <m/>
  </r>
  <r>
    <s v="C810669"/>
    <s v="JORGE ANDRES MANRIQUE MARTINEZ"/>
    <x v="5"/>
    <x v="24"/>
    <s v="BBVA"/>
    <e v="#NAME?"/>
    <s v="SDATOOL-37100 $ Soluciones de voz/Internalización del IVR - Plan Ascenso Privado"/>
    <n v="1"/>
    <s v="Desarrollador"/>
    <s v="ASO"/>
    <m/>
    <e v="#NAME?"/>
    <e v="#NAME?"/>
    <e v="#NAME?"/>
    <m/>
    <m/>
    <m/>
    <m/>
    <m/>
    <m/>
    <m/>
    <m/>
    <m/>
  </r>
  <r>
    <s v="O002469"/>
    <s v="JOSE AGUSTIN PALOMINO PARDO"/>
    <x v="5"/>
    <x v="22"/>
    <s v="BBVA"/>
    <e v="#NAME?"/>
    <s v="NOSDA $ BAU (Mantenimiento y peq. evolutivos)"/>
    <n v="1"/>
    <s v="Desarrollador"/>
    <s v="ASO"/>
    <m/>
    <e v="#NAME?"/>
    <e v="#NAME?"/>
    <e v="#NAME?"/>
    <m/>
    <m/>
    <m/>
    <m/>
    <m/>
    <m/>
    <m/>
    <m/>
    <m/>
  </r>
  <r>
    <s v="O003310"/>
    <s v="KAREN MARGARITA ARENILLA TRIGOS"/>
    <x v="5"/>
    <x v="22"/>
    <s v="BBVA"/>
    <e v="#NAME?"/>
    <s v="NOSDA $ BAU (Mantenimiento y peq. evolutivos)"/>
    <n v="1"/>
    <s v="Desarrollador"/>
    <s v="APX"/>
    <s v="ASO/APX"/>
    <e v="#NAME?"/>
    <e v="#NAME?"/>
    <e v="#NAME?"/>
    <m/>
    <m/>
    <m/>
    <m/>
    <m/>
    <m/>
    <m/>
    <m/>
    <m/>
  </r>
  <r>
    <s v="O002599"/>
    <s v="LAURA VALENTINA SANDOVAL MARIN"/>
    <x v="5"/>
    <x v="24"/>
    <s v="BBVA"/>
    <e v="#NAME?"/>
    <s v="SDATOOL-37100 $ Soluciones de voz/Internalización del IVR - Plan Ascenso Privado"/>
    <n v="1"/>
    <s v="Desarrollador"/>
    <s v="ASO"/>
    <m/>
    <e v="#NAME?"/>
    <e v="#NAME?"/>
    <e v="#NAME?"/>
    <m/>
    <m/>
    <m/>
    <m/>
    <m/>
    <m/>
    <m/>
    <m/>
    <m/>
  </r>
  <r>
    <s v="C808303"/>
    <s v="MARIA CAMILA BUITRAGO"/>
    <x v="5"/>
    <x v="22"/>
    <s v="BBVA"/>
    <e v="#NAME?"/>
    <s v="NOSDA $ BAU (Mantenimiento y peq. evolutivos)"/>
    <n v="0.7"/>
    <s v="Tech Manager/Líder"/>
    <s v="Otras Tec."/>
    <m/>
    <e v="#NAME?"/>
    <e v="#NAME?"/>
    <e v="#NAME?"/>
    <m/>
    <m/>
    <m/>
    <m/>
    <m/>
    <m/>
    <m/>
    <m/>
    <m/>
  </r>
  <r>
    <s v="C808303"/>
    <s v="MARIA CAMILA BUITRAGO"/>
    <x v="5"/>
    <x v="22"/>
    <s v="BBVA"/>
    <e v="#NAME?"/>
    <s v="SDATOOL-33947 $ Sinergias Bancamia"/>
    <n v="0.1"/>
    <s v="Tech Manager/Líder"/>
    <s v="Otras Tec."/>
    <m/>
    <e v="#NAME?"/>
    <e v="#NAME?"/>
    <e v="#NAME?"/>
    <m/>
    <m/>
    <m/>
    <m/>
    <m/>
    <m/>
    <m/>
    <m/>
    <m/>
  </r>
  <r>
    <s v="C808303"/>
    <s v="MARIA CAMILA BUITRAGO"/>
    <x v="5"/>
    <x v="22"/>
    <s v="BBVA"/>
    <e v="#NAME?"/>
    <s v="SDATOOL-39871 $ Cbs Gelsa Paga todo"/>
    <n v="0.05"/>
    <s v="Tech Manager/Líder"/>
    <s v="Otras Tec."/>
    <m/>
    <e v="#NAME?"/>
    <e v="#NAME?"/>
    <e v="#NAME?"/>
    <m/>
    <m/>
    <m/>
    <m/>
    <m/>
    <m/>
    <m/>
    <m/>
    <m/>
  </r>
  <r>
    <s v="C808303"/>
    <s v="MARIA CAMILA BUITRAGO"/>
    <x v="5"/>
    <x v="22"/>
    <s v="BBVA"/>
    <e v="#NAME?"/>
    <s v="SDATOOL-40581 $ Corresponsal Bancario Ya Ganaste"/>
    <n v="0.05"/>
    <s v="Tech Manager/Líder"/>
    <s v="Otras Tec."/>
    <m/>
    <e v="#NAME?"/>
    <e v="#NAME?"/>
    <e v="#NAME?"/>
    <m/>
    <m/>
    <m/>
    <m/>
    <m/>
    <m/>
    <m/>
    <m/>
    <m/>
  </r>
  <r>
    <s v="C808303"/>
    <s v="MARIA CAMILA BUITRAGO"/>
    <x v="5"/>
    <x v="22"/>
    <s v="BBVA"/>
    <e v="#NAME?"/>
    <s v="SDATOOL-41709 $ Fraccionamiento de transacciones en CBs"/>
    <n v="0.05"/>
    <s v="Tech Manager/Líder"/>
    <s v="Otras Tec."/>
    <m/>
    <e v="#NAME?"/>
    <e v="#NAME?"/>
    <e v="#NAME?"/>
    <m/>
    <m/>
    <m/>
    <m/>
    <m/>
    <m/>
    <m/>
    <m/>
    <m/>
  </r>
  <r>
    <s v="C808303"/>
    <s v="MARIA CAMILA BUITRAGO"/>
    <x v="5"/>
    <x v="25"/>
    <s v="BBVA"/>
    <e v="#NAME?"/>
    <s v="SDATOOL-40529 $ Aplicativos Finanzas - 2023"/>
    <n v="0.05"/>
    <s v="Tech Manager/Líder"/>
    <s v="Otras Tec."/>
    <m/>
    <e v="#NAME?"/>
    <e v="#NAME?"/>
    <e v="#NAME?"/>
    <m/>
    <m/>
    <m/>
    <m/>
    <m/>
    <m/>
    <m/>
    <m/>
    <m/>
  </r>
  <r>
    <s v="CE59254"/>
    <s v="MARLLY JAZMIN VARGAS GARZÓN"/>
    <x v="5"/>
    <x v="24"/>
    <s v="KRYPTO"/>
    <e v="#NAME?"/>
    <s v="SDATOOL-39870 $ Front - Unificación de pantallas Contac Center"/>
    <n v="1"/>
    <s v="QA"/>
    <s v="Otras Tec."/>
    <m/>
    <e v="#NAME?"/>
    <e v="#NAME?"/>
    <e v="#NAME?"/>
    <m/>
    <m/>
    <m/>
    <m/>
    <m/>
    <m/>
    <m/>
    <m/>
    <m/>
  </r>
  <r>
    <s v="CE69603"/>
    <s v="MIGUEL ANGEL LUENGAS"/>
    <x v="5"/>
    <x v="23"/>
    <s v="Choucair"/>
    <e v="#NAME?"/>
    <s v="SDATOOL-40515 $ Acción de auditoria de Cobro de Comisiones"/>
    <n v="1"/>
    <s v="QA"/>
    <s v="Otras Tec."/>
    <m/>
    <e v="#NAME?"/>
    <e v="#NAME?"/>
    <e v="#NAME?"/>
    <m/>
    <m/>
    <m/>
    <m/>
    <m/>
    <m/>
    <m/>
    <m/>
    <m/>
  </r>
  <r>
    <s v="T004574"/>
    <s v="NICOLÁS ENRIQUE BUITRAGO ARANGO"/>
    <x v="5"/>
    <x v="24"/>
    <s v="GGI / CMC"/>
    <e v="#NAME?"/>
    <s v="SDATOOL-39870 $ Front - Unificación de pantallas Contac Center"/>
    <n v="1"/>
    <s v="Desarrollador"/>
    <s v="ASO"/>
    <m/>
    <e v="#NAME?"/>
    <e v="#NAME?"/>
    <e v="#NAME?"/>
    <m/>
    <m/>
    <m/>
    <m/>
    <m/>
    <m/>
    <m/>
    <m/>
    <m/>
  </r>
  <r>
    <s v="CE57586"/>
    <s v="OMAR ESTEBAN MATUK"/>
    <x v="5"/>
    <x v="22"/>
    <s v="GGI / CMC"/>
    <e v="#NAME?"/>
    <s v="SDATOOL-40581 $ Corresponsal Bancario Ya Ganaste"/>
    <n v="0.2"/>
    <s v="Desarrollador"/>
    <s v="Mainframe"/>
    <m/>
    <e v="#NAME?"/>
    <e v="#NAME?"/>
    <e v="#NAME?"/>
    <m/>
    <m/>
    <m/>
    <m/>
    <m/>
    <m/>
    <m/>
    <m/>
    <m/>
  </r>
  <r>
    <s v="CE57586"/>
    <s v="OMAR ESTEBAN MATUK"/>
    <x v="5"/>
    <x v="22"/>
    <s v="GGI / CMC"/>
    <e v="#NAME?"/>
    <s v="SDATOOL-39871 $ Cbs Gelsa Paga todo"/>
    <n v="0.6"/>
    <s v="Desarrollador"/>
    <s v="Mainframe"/>
    <m/>
    <e v="#NAME?"/>
    <e v="#NAME?"/>
    <e v="#NAME?"/>
    <m/>
    <m/>
    <m/>
    <m/>
    <m/>
    <m/>
    <m/>
    <m/>
    <m/>
  </r>
  <r>
    <s v="CE57586"/>
    <s v="OMAR ESTEBAN MATUK"/>
    <x v="5"/>
    <x v="22"/>
    <s v="GGI / CMC"/>
    <e v="#NAME?"/>
    <s v="SDATOOL-41709 $ Fraccionamiento de transacciones en CBs"/>
    <n v="0.2"/>
    <s v="Desarrollador"/>
    <s v="Mainframe"/>
    <m/>
    <e v="#NAME?"/>
    <e v="#NAME?"/>
    <e v="#NAME?"/>
    <m/>
    <m/>
    <m/>
    <m/>
    <m/>
    <m/>
    <m/>
    <m/>
    <m/>
  </r>
  <r>
    <s v="CE59969"/>
    <s v="PABLO ANTONIO MARQUEZ"/>
    <x v="5"/>
    <x v="24"/>
    <s v="Novatec"/>
    <e v="#NAME?"/>
    <s v="SDATOOL-39870 $ Front - Unificación de pantallas Contac Center"/>
    <n v="1"/>
    <s v="Desarrollador"/>
    <s v="Mainframe"/>
    <m/>
    <e v="#NAME?"/>
    <e v="#NAME?"/>
    <e v="#NAME?"/>
    <m/>
    <m/>
    <m/>
    <m/>
    <m/>
    <m/>
    <m/>
    <m/>
    <m/>
  </r>
  <r>
    <s v="CE43579"/>
    <s v="PLINIO EDUARDO MARTINEZ ESPITIA"/>
    <x v="5"/>
    <x v="23"/>
    <s v="GGI / CMC"/>
    <e v="#NAME?"/>
    <s v="SDATOOL-9053 $ GloMo Colombia"/>
    <n v="0.1"/>
    <s v="QA"/>
    <s v="Otras Tec."/>
    <m/>
    <e v="#NAME?"/>
    <e v="#NAME?"/>
    <e v="#NAME?"/>
    <m/>
    <m/>
    <m/>
    <m/>
    <m/>
    <m/>
    <m/>
    <m/>
    <m/>
  </r>
  <r>
    <s v="CE43579"/>
    <s v="PLINIO EDUARDO MARTINEZ ESPITIA"/>
    <x v="5"/>
    <x v="23"/>
    <s v="GGI / CMC"/>
    <e v="#NAME?"/>
    <s v="SDATOOL-33947 $ Sinergias Bancamia"/>
    <n v="0.3"/>
    <s v="QA"/>
    <s v="Otras Tec."/>
    <m/>
    <e v="#NAME?"/>
    <e v="#NAME?"/>
    <e v="#NAME?"/>
    <m/>
    <m/>
    <m/>
    <m/>
    <m/>
    <m/>
    <m/>
    <m/>
    <m/>
  </r>
  <r>
    <s v="CE43579"/>
    <s v="PLINIO EDUARDO MARTINEZ ESPITIA"/>
    <x v="5"/>
    <x v="23"/>
    <s v="GGI / CMC"/>
    <e v="#NAME?"/>
    <s v="SDATOOL-41706 $ Renovación ATMs 2023"/>
    <n v="0.3"/>
    <s v="QA"/>
    <s v="Otras Tec."/>
    <m/>
    <e v="#NAME?"/>
    <e v="#NAME?"/>
    <e v="#NAME?"/>
    <m/>
    <m/>
    <m/>
    <m/>
    <m/>
    <m/>
    <m/>
    <m/>
    <m/>
  </r>
  <r>
    <s v="CE43579"/>
    <s v="PLINIO EDUARDO MARTINEZ ESPITIA"/>
    <x v="5"/>
    <x v="23"/>
    <s v="GGI / CMC"/>
    <e v="#NAME?"/>
    <s v="NOSDA $ BAU (Mantenimiento y peq. evolutivos)"/>
    <n v="0.3"/>
    <s v="QA"/>
    <s v="Otras Tec."/>
    <m/>
    <e v="#NAME?"/>
    <e v="#NAME?"/>
    <e v="#NAME?"/>
    <m/>
    <m/>
    <m/>
    <m/>
    <m/>
    <m/>
    <m/>
    <m/>
    <m/>
  </r>
  <r>
    <s v="C804684"/>
    <s v="WALTHER STIVENS ZAPATA TABERA"/>
    <x v="5"/>
    <x v="23"/>
    <s v="BBVA"/>
    <e v="#NAME?"/>
    <s v="SDATOOL-33947 $ Sinergias Bancamia"/>
    <n v="0.5"/>
    <s v="Desarrollador"/>
    <s v="Mainframe"/>
    <m/>
    <e v="#NAME?"/>
    <e v="#NAME?"/>
    <e v="#NAME?"/>
    <m/>
    <m/>
    <m/>
    <m/>
    <m/>
    <m/>
    <m/>
    <m/>
    <m/>
  </r>
  <r>
    <s v="C804684"/>
    <s v="WALTHER STIVENS ZAPATA TABERA"/>
    <x v="5"/>
    <x v="23"/>
    <s v="BBVA"/>
    <e v="#NAME?"/>
    <s v="SDATOOL-41706 $ Renovación ATMs 2023"/>
    <n v="0.1"/>
    <s v="Desarrollador"/>
    <s v="Mainframe"/>
    <m/>
    <e v="#NAME?"/>
    <e v="#NAME?"/>
    <e v="#NAME?"/>
    <m/>
    <m/>
    <m/>
    <m/>
    <m/>
    <m/>
    <m/>
    <m/>
    <m/>
  </r>
  <r>
    <s v="C804684"/>
    <s v="WALTHER STIVENS ZAPATA TABERA"/>
    <x v="5"/>
    <x v="23"/>
    <s v="BBVA"/>
    <e v="#NAME?"/>
    <s v="NOSDA $ BAU (Mantenimiento y peq. evolutivos)"/>
    <n v="0.4"/>
    <s v="Desarrollador"/>
    <s v="Mainframe"/>
    <m/>
    <e v="#NAME?"/>
    <e v="#NAME?"/>
    <e v="#NAME?"/>
    <m/>
    <m/>
    <m/>
    <m/>
    <m/>
    <m/>
    <m/>
    <m/>
    <m/>
  </r>
  <r>
    <s v="CE68929"/>
    <s v="YENIFER ARANGO TABARES"/>
    <x v="5"/>
    <x v="24"/>
    <s v="Choucair"/>
    <e v="#NAME?"/>
    <s v="SDATOOL-37100 $ Soluciones de voz/Internalización del IVR - Plan Ascenso Privado"/>
    <n v="1"/>
    <s v="QA"/>
    <s v="Otras Tec."/>
    <m/>
    <e v="#NAME?"/>
    <e v="#NAME?"/>
    <e v="#NAME?"/>
    <m/>
    <m/>
    <m/>
    <m/>
    <m/>
    <m/>
    <m/>
    <m/>
    <m/>
  </r>
  <r>
    <s v="CE61162"/>
    <s v="JOSE ANTONIO PERFECTO"/>
    <x v="5"/>
    <x v="24"/>
    <s v="Accenture"/>
    <e v="#NAME?"/>
    <s v="SDATOOL-37100 $ Soluciones de voz/Internalización del IVR - Plan Ascenso Privado"/>
    <n v="1"/>
    <s v="Desarrollador"/>
    <s v="APX"/>
    <m/>
    <e v="#NAME?"/>
    <e v="#NAME?"/>
    <e v="#NAME?"/>
    <m/>
    <m/>
    <m/>
    <m/>
    <m/>
    <m/>
    <m/>
    <m/>
    <m/>
  </r>
  <r>
    <s v="O004597"/>
    <s v="LUIS FELIPE VILLEGAS SANCHEZ"/>
    <x v="5"/>
    <x v="23"/>
    <s v="BBVA"/>
    <e v="#NAME?"/>
    <s v="SDATOOL-41706 $ Renovación ATMs 2023"/>
    <n v="1"/>
    <s v="Desarrollador"/>
    <s v="ASO"/>
    <m/>
    <e v="#NAME?"/>
    <e v="#NAME?"/>
    <e v="#NAME?"/>
    <m/>
    <m/>
    <m/>
    <m/>
    <m/>
    <m/>
    <m/>
    <m/>
    <m/>
  </r>
  <r>
    <s v="CE66885"/>
    <s v="ADRIAN ROJAS"/>
    <x v="3"/>
    <x v="11"/>
    <s v="Meraki"/>
    <e v="#NAME?"/>
    <s v="SDATOOL-36556 $ Parthnerships - Tarjeta de crédito en punto de venta físico aliados"/>
    <n v="1"/>
    <s v="Desarrollador"/>
    <s v="APX"/>
    <m/>
    <e v="#NAME?"/>
    <e v="#NAME?"/>
    <e v="#NAME?"/>
    <m/>
    <m/>
    <m/>
    <m/>
    <m/>
    <n v="1"/>
    <m/>
    <m/>
    <m/>
  </r>
  <r>
    <s v="CE70173"/>
    <s v="ADRIANA MAYERLY RAMIREZ"/>
    <x v="3"/>
    <x v="11"/>
    <s v="Choucair"/>
    <e v="#NAME?"/>
    <s v="SDATOOL-37057 $ Pagos QR - Entre cuentas Redeban - Plan Ascenso Mercurio"/>
    <n v="1"/>
    <s v="QA"/>
    <s v="Cells"/>
    <m/>
    <e v="#NAME?"/>
    <e v="#NAME?"/>
    <e v="#NAME?"/>
    <m/>
    <m/>
    <m/>
    <m/>
    <m/>
    <n v="1"/>
    <m/>
    <m/>
    <m/>
  </r>
  <r>
    <s v="CE17710"/>
    <s v="ANDREA MARIETA LOPEZ PARRA."/>
    <x v="3"/>
    <x v="11"/>
    <s v="Novatec"/>
    <e v="#NAME?"/>
    <s v="NOSDA $ BAU (Mantenimiento y peq. evolutivos)"/>
    <n v="1"/>
    <s v="Desarrollador"/>
    <s v="Mainframe"/>
    <m/>
    <e v="#NAME?"/>
    <e v="#NAME?"/>
    <e v="#NAME?"/>
    <m/>
    <m/>
    <m/>
    <m/>
    <m/>
    <n v="1"/>
    <m/>
    <m/>
    <m/>
  </r>
  <r>
    <s v="T004480"/>
    <s v="ANDRES DAVID ARIAS"/>
    <x v="3"/>
    <x v="11"/>
    <s v="Novatec"/>
    <e v="#NAME?"/>
    <s v="NOSDA $ BAU (Mantenimiento y peq. evolutivos)"/>
    <n v="1"/>
    <s v="Desarrollador"/>
    <s v="Mainframe"/>
    <m/>
    <e v="#NAME?"/>
    <e v="#NAME?"/>
    <e v="#NAME?"/>
    <m/>
    <m/>
    <m/>
    <m/>
    <m/>
    <n v="1"/>
    <m/>
    <m/>
    <m/>
  </r>
  <r>
    <s v="C805316"/>
    <s v="ANGELA MARIA BENITEZ"/>
    <x v="3"/>
    <x v="11"/>
    <s v="BBVA"/>
    <e v="#NAME?"/>
    <s v="SDATOOL-37061 $ Plan de Lealtad Comecios -Plan Ascenso Autónomos"/>
    <n v="1"/>
    <s v="Desarrollador"/>
    <s v="Mainframe"/>
    <m/>
    <e v="#NAME?"/>
    <e v="#NAME?"/>
    <e v="#NAME?"/>
    <m/>
    <m/>
    <m/>
    <m/>
    <m/>
    <n v="1"/>
    <m/>
    <m/>
    <m/>
  </r>
  <r>
    <s v="C810793"/>
    <s v="CAMILO ERNESTO MUÑOZ LOVERA"/>
    <x v="3"/>
    <x v="11"/>
    <s v="BBVA"/>
    <e v="#NAME?"/>
    <s v="SDATOOL-37061 $ Plan de Lealtad Comecios -Plan Ascenso Autónomos"/>
    <n v="1"/>
    <s v="Desarrollador"/>
    <s v="ASO"/>
    <m/>
    <e v="#NAME?"/>
    <e v="#NAME?"/>
    <e v="#NAME?"/>
    <m/>
    <m/>
    <m/>
    <m/>
    <m/>
    <n v="1"/>
    <m/>
    <m/>
    <m/>
  </r>
  <r>
    <s v="C811175"/>
    <s v="CIRO ALONSO RINCON HERNANDEZ"/>
    <x v="3"/>
    <x v="11"/>
    <s v="BBVA"/>
    <e v="#NAME?"/>
    <s v="SDATOOL-38447 $ GRM Col - Condonación y bajas automáticas en Medios de Pago"/>
    <n v="0.2"/>
    <s v="Desarrollador"/>
    <s v="Mainframe"/>
    <m/>
    <e v="#NAME?"/>
    <e v="#NAME?"/>
    <e v="#NAME?"/>
    <m/>
    <m/>
    <m/>
    <m/>
    <m/>
    <n v="1"/>
    <m/>
    <m/>
    <m/>
  </r>
  <r>
    <s v="C811175"/>
    <s v="CIRO ALONSO RINCON HERNANDEZ"/>
    <x v="3"/>
    <x v="11"/>
    <s v="BBVA"/>
    <e v="#NAME?"/>
    <s v="SDATOOL-40438 $ CIRCULAR 032 del 2021 - REQUERIMIENTO FISCALIA GENERAL DE LA NACION"/>
    <n v="0.2"/>
    <s v="Desarrollador"/>
    <s v="Mainframe"/>
    <m/>
    <e v="#NAME?"/>
    <e v="#NAME?"/>
    <e v="#NAME?"/>
    <m/>
    <m/>
    <m/>
    <m/>
    <m/>
    <n v="0"/>
    <m/>
    <m/>
    <m/>
  </r>
  <r>
    <s v="CE46835"/>
    <s v="CLAUDIA PALENCIA"/>
    <x v="3"/>
    <x v="11"/>
    <s v="KRYPTO"/>
    <e v="#NAME?"/>
    <s v="SDATOOL-36556 $ Parthnerships - Tarjeta de crédito en punto de venta físico aliados"/>
    <n v="0.2"/>
    <s v="QA"/>
    <s v="Openweb"/>
    <m/>
    <e v="#NAME?"/>
    <e v="#NAME?"/>
    <e v="#NAME?"/>
    <m/>
    <m/>
    <m/>
    <m/>
    <m/>
    <n v="1"/>
    <m/>
    <m/>
    <m/>
  </r>
  <r>
    <s v="CE46835"/>
    <s v="CLAUDIA PALENCIA"/>
    <x v="3"/>
    <x v="11"/>
    <s v="KRYPTO"/>
    <e v="#NAME?"/>
    <s v="SDATOOL-37057 $ Pagos QR - Entre cuentas Redeban - Plan Ascenso Mercurio"/>
    <n v="0.5"/>
    <s v="QA"/>
    <s v="Mainframe"/>
    <m/>
    <e v="#NAME?"/>
    <e v="#NAME?"/>
    <e v="#NAME?"/>
    <m/>
    <m/>
    <m/>
    <m/>
    <m/>
    <n v="0"/>
    <m/>
    <m/>
    <m/>
  </r>
  <r>
    <s v="CE46835"/>
    <s v="CLAUDIA PALENCIA"/>
    <x v="3"/>
    <x v="11"/>
    <s v="KRYPTO"/>
    <e v="#NAME?"/>
    <s v="NOSDA $ BAU (Mantenimiento y peq. evolutivos)"/>
    <n v="0.3"/>
    <s v="QA"/>
    <m/>
    <m/>
    <e v="#NAME?"/>
    <e v="#NAME?"/>
    <e v="#NAME?"/>
    <m/>
    <m/>
    <m/>
    <m/>
    <m/>
    <n v="0"/>
    <m/>
    <m/>
    <m/>
  </r>
  <r>
    <s v="CE69505"/>
    <s v="CLAUDIA YURANI TAQUEZ CHALAPUD"/>
    <x v="3"/>
    <x v="11"/>
    <s v="KRYPTO"/>
    <e v="#NAME?"/>
    <s v="SDATOOL-36556 $ Parthnerships - Tarjeta de crédito en punto de venta físico aliados"/>
    <n v="0.2"/>
    <s v="QA"/>
    <s v="Mainframe"/>
    <m/>
    <e v="#NAME?"/>
    <e v="#NAME?"/>
    <e v="#NAME?"/>
    <m/>
    <m/>
    <m/>
    <m/>
    <m/>
    <n v="1"/>
    <m/>
    <m/>
    <m/>
  </r>
  <r>
    <s v="CE69505"/>
    <s v="CLAUDIA YURANI TAQUEZ CHALAPUD"/>
    <x v="3"/>
    <x v="11"/>
    <s v="KRYPTO"/>
    <e v="#NAME?"/>
    <s v="NOSDA $ BAU (Mantenimiento y peq. evolutivos)"/>
    <n v="0.3"/>
    <s v="QA"/>
    <s v="Mainframe"/>
    <m/>
    <e v="#NAME?"/>
    <e v="#NAME?"/>
    <e v="#NAME?"/>
    <m/>
    <m/>
    <m/>
    <m/>
    <m/>
    <n v="0"/>
    <m/>
    <m/>
    <m/>
  </r>
  <r>
    <s v="CE69505"/>
    <s v="CLAUDIA YURANI TAQUEZ CHALAPUD"/>
    <x v="3"/>
    <x v="11"/>
    <s v="KRYPTO"/>
    <e v="#NAME?"/>
    <s v="SDATOOL-37057 $ Pagos QR - Entre cuentas Redeban - Plan Ascenso Mercurio"/>
    <n v="0.5"/>
    <s v="QA"/>
    <s v="Mainframe"/>
    <m/>
    <e v="#NAME?"/>
    <e v="#NAME?"/>
    <e v="#NAME?"/>
    <m/>
    <m/>
    <m/>
    <m/>
    <m/>
    <n v="0"/>
    <m/>
    <m/>
    <m/>
  </r>
  <r>
    <s v="O000988"/>
    <s v="CRISTIAN CAMILO RATIVA PARRA"/>
    <x v="3"/>
    <x v="11"/>
    <s v="BBVA"/>
    <e v="#NAME?"/>
    <s v="SDATOOL-41757 $ AJUSTE AUTOMATIZACION CONCILIACION ARA"/>
    <n v="0.4"/>
    <s v="Desarrollador"/>
    <s v="Mainframe"/>
    <m/>
    <e v="#NAME?"/>
    <e v="#NAME?"/>
    <e v="#NAME?"/>
    <m/>
    <m/>
    <m/>
    <m/>
    <m/>
    <n v="1"/>
    <m/>
    <m/>
    <m/>
  </r>
  <r>
    <s v="O000988"/>
    <s v="CRISTIAN CAMILO RATIVA PARRA"/>
    <x v="3"/>
    <x v="11"/>
    <s v="BBVA"/>
    <e v="#NAME?"/>
    <s v="SDATOOL-41709 $ Fraccionamiento de transacciones en CBs"/>
    <n v="0.4"/>
    <s v="Desarrollador"/>
    <s v="Mainframe"/>
    <m/>
    <e v="#NAME?"/>
    <e v="#NAME?"/>
    <e v="#NAME?"/>
    <m/>
    <m/>
    <m/>
    <m/>
    <m/>
    <n v="0"/>
    <m/>
    <m/>
    <m/>
  </r>
  <r>
    <s v="O000988"/>
    <s v="CRISTIAN CAMILO RATIVA PARRA"/>
    <x v="3"/>
    <x v="11"/>
    <s v="BBVA"/>
    <e v="#NAME?"/>
    <s v="NOSDA $ BAU (Mantenimiento y peq. evolutivos)"/>
    <n v="0.2"/>
    <s v="Desarrollador"/>
    <s v="Mainframe"/>
    <m/>
    <e v="#NAME?"/>
    <e v="#NAME?"/>
    <e v="#NAME?"/>
    <m/>
    <m/>
    <m/>
    <m/>
    <m/>
    <n v="0"/>
    <m/>
    <m/>
    <m/>
  </r>
  <r>
    <s v="C805861"/>
    <s v="DANIEL SANTIAGO JARAMILLO"/>
    <x v="3"/>
    <x v="11"/>
    <s v="BBVA"/>
    <e v="#NAME?"/>
    <s v="SDATOOL-37057 $ Pagos QR - Entre cuentas Redeban - Plan Ascenso Mercurio"/>
    <n v="1"/>
    <s v="Desarrollador"/>
    <s v="Mainframe"/>
    <m/>
    <e v="#NAME?"/>
    <e v="#NAME?"/>
    <e v="#NAME?"/>
    <m/>
    <m/>
    <m/>
    <m/>
    <m/>
    <n v="1"/>
    <m/>
    <m/>
    <m/>
  </r>
  <r>
    <s v="CE58194"/>
    <s v="DIANA MAYERLY RAMIREZ"/>
    <x v="3"/>
    <x v="11"/>
    <s v="Inetum"/>
    <e v="#NAME?"/>
    <s v="SDATOOL-36556 $ Parthnerships - Tarjeta de crédito en punto de venta físico aliados"/>
    <n v="1"/>
    <s v="QA"/>
    <s v="Mainframe"/>
    <m/>
    <e v="#NAME?"/>
    <e v="#NAME?"/>
    <e v="#NAME?"/>
    <m/>
    <m/>
    <m/>
    <m/>
    <m/>
    <n v="1"/>
    <m/>
    <m/>
    <m/>
  </r>
  <r>
    <s v="O001722"/>
    <s v="EDWARD ALEXANDER DUQUE TAMAYO"/>
    <x v="3"/>
    <x v="11"/>
    <s v="BBVA"/>
    <e v="#NAME?"/>
    <s v="NOSDA $ BAU (Mantenimiento y peq. evolutivos)"/>
    <n v="1"/>
    <s v="Desarrollador"/>
    <s v="Mainframe"/>
    <m/>
    <e v="#NAME?"/>
    <e v="#NAME?"/>
    <e v="#NAME?"/>
    <m/>
    <m/>
    <m/>
    <m/>
    <m/>
    <n v="1"/>
    <m/>
    <m/>
    <m/>
  </r>
  <r>
    <s v="C809504"/>
    <s v="ELIEZER JOSUE CONEO VEGA"/>
    <x v="3"/>
    <x v="11"/>
    <s v="BBVA"/>
    <e v="#NAME?"/>
    <s v="SDATOOL-38447 $ GRM Col - Condonación y bajas automáticas en Medios de Pago"/>
    <n v="0.2"/>
    <s v="Desarrollador"/>
    <s v="Mainframe"/>
    <m/>
    <e v="#NAME?"/>
    <e v="#NAME?"/>
    <e v="#NAME?"/>
    <m/>
    <m/>
    <m/>
    <m/>
    <m/>
    <n v="1"/>
    <m/>
    <m/>
    <m/>
  </r>
  <r>
    <s v="C809504"/>
    <s v="ELIEZER JOSUE CONEO VEGA"/>
    <x v="3"/>
    <x v="11"/>
    <s v="BBVA"/>
    <e v="#NAME?"/>
    <s v="SDATOOL-33846 $ SREP Data Quality- BCBS239 - Colombia"/>
    <n v="0.6"/>
    <s v="Desarrollador"/>
    <s v="Mainframe"/>
    <m/>
    <e v="#NAME?"/>
    <e v="#NAME?"/>
    <e v="#NAME?"/>
    <m/>
    <m/>
    <m/>
    <m/>
    <m/>
    <n v="0"/>
    <m/>
    <m/>
    <m/>
  </r>
  <r>
    <s v="C809504"/>
    <s v="ELIEZER JOSUE CONEO VEGA"/>
    <x v="3"/>
    <x v="11"/>
    <s v="BBVA"/>
    <e v="#NAME?"/>
    <s v="NOSDA $ BAU (Mantenimiento y peq. evolutivos)"/>
    <n v="0.2"/>
    <s v="Desarrollador"/>
    <s v="Mainframe"/>
    <m/>
    <e v="#NAME?"/>
    <e v="#NAME?"/>
    <e v="#NAME?"/>
    <m/>
    <m/>
    <m/>
    <m/>
    <m/>
    <n v="0"/>
    <m/>
    <m/>
    <m/>
  </r>
  <r>
    <s v="O000962"/>
    <s v="ELIZABETH  TRIANA PRIETO"/>
    <x v="3"/>
    <x v="11"/>
    <s v="BBVA"/>
    <e v="#NAME?"/>
    <s v="SDATOOL-36556 $ Parthnerships - Tarjeta de crédito en punto de venta físico aliados"/>
    <n v="1"/>
    <s v="Tech Manager/Líder"/>
    <s v="Cells"/>
    <m/>
    <e v="#NAME?"/>
    <e v="#NAME?"/>
    <e v="#NAME?"/>
    <m/>
    <m/>
    <m/>
    <m/>
    <m/>
    <n v="1"/>
    <m/>
    <m/>
    <m/>
  </r>
  <r>
    <s v="CE66884"/>
    <s v="FRANK HERRAN GARZON"/>
    <x v="3"/>
    <x v="11"/>
    <s v="Meraki"/>
    <e v="#NAME?"/>
    <s v="SDATOOL-36556 $ Parthnerships - Tarjeta de crédito en punto de venta físico aliados"/>
    <n v="1"/>
    <s v="Desarrollador"/>
    <s v="APX"/>
    <m/>
    <e v="#NAME?"/>
    <e v="#NAME?"/>
    <e v="#NAME?"/>
    <m/>
    <m/>
    <m/>
    <m/>
    <m/>
    <n v="1"/>
    <m/>
    <m/>
    <m/>
  </r>
  <r>
    <s v="C810909"/>
    <s v="GUILIAN ANDREI TAFUR FUENTES"/>
    <x v="3"/>
    <x v="11"/>
    <s v="BBVA"/>
    <e v="#NAME?"/>
    <s v="SDATOOL-37057 $ Pagos QR - Entre cuentas Redeban - Plan Ascenso Mercurio"/>
    <n v="1"/>
    <s v="Desarrollador"/>
    <s v="APX"/>
    <m/>
    <e v="#NAME?"/>
    <e v="#NAME?"/>
    <e v="#NAME?"/>
    <m/>
    <m/>
    <m/>
    <m/>
    <m/>
    <n v="1"/>
    <m/>
    <m/>
    <m/>
  </r>
  <r>
    <s v="T002223"/>
    <s v="HERMES FERNANDO AMARIS"/>
    <x v="3"/>
    <x v="11"/>
    <s v="KRYPTO"/>
    <e v="#NAME?"/>
    <s v="NOSDA $ BAU (Mantenimiento y peq. evolutivos)"/>
    <n v="1"/>
    <s v="QA"/>
    <s v="Mainframe"/>
    <m/>
    <e v="#NAME?"/>
    <e v="#NAME?"/>
    <e v="#NAME?"/>
    <m/>
    <m/>
    <m/>
    <m/>
    <m/>
    <n v="1"/>
    <m/>
    <m/>
    <m/>
  </r>
  <r>
    <s v="CE56542"/>
    <s v="HUMBERTO MALAGON VARGAS"/>
    <x v="3"/>
    <x v="11"/>
    <s v="Novatec"/>
    <e v="#NAME?"/>
    <s v="NOSDA $ BAU (Mantenimiento y peq. evolutivos)"/>
    <n v="0.5"/>
    <s v="Desarrollador"/>
    <s v="APX"/>
    <m/>
    <e v="#NAME?"/>
    <e v="#NAME?"/>
    <e v="#NAME?"/>
    <m/>
    <m/>
    <m/>
    <m/>
    <m/>
    <n v="1"/>
    <m/>
    <m/>
    <m/>
  </r>
  <r>
    <s v="C342035"/>
    <s v="JENNIFER ALZATE"/>
    <x v="3"/>
    <x v="11"/>
    <s v="BBVA"/>
    <e v="#NAME?"/>
    <s v="SDATOOL-36556 $ Parthnerships - Tarjeta de crédito en punto de venta físico aliados"/>
    <n v="1"/>
    <s v="Desarrollador"/>
    <s v="Mainframe"/>
    <m/>
    <e v="#NAME?"/>
    <e v="#NAME?"/>
    <e v="#NAME?"/>
    <m/>
    <m/>
    <m/>
    <m/>
    <m/>
    <n v="1"/>
    <m/>
    <m/>
    <m/>
  </r>
  <r>
    <s v="C811264"/>
    <s v="JORGE LUIS URBINA"/>
    <x v="3"/>
    <x v="11"/>
    <s v="BBVA"/>
    <e v="#NAME?"/>
    <s v="SDATOOL-36556 $ Parthnerships - Tarjeta de crédito en punto de venta físico aliados"/>
    <n v="0.2"/>
    <s v="Desarrollador"/>
    <s v="Mainframe"/>
    <m/>
    <e v="#NAME?"/>
    <e v="#NAME?"/>
    <e v="#NAME?"/>
    <m/>
    <m/>
    <m/>
    <m/>
    <m/>
    <n v="1"/>
    <m/>
    <m/>
    <m/>
  </r>
  <r>
    <s v="C811264"/>
    <s v="JORGE LUIS URBINA"/>
    <x v="3"/>
    <x v="11"/>
    <s v="BBVA"/>
    <e v="#NAME?"/>
    <s v="NOSDA $ BAU (Mantenimiento y peq. evolutivos)"/>
    <n v="0.3"/>
    <s v="Desarrollador"/>
    <s v="Mainframe"/>
    <m/>
    <e v="#NAME?"/>
    <e v="#NAME?"/>
    <e v="#NAME?"/>
    <m/>
    <m/>
    <m/>
    <m/>
    <m/>
    <n v="0"/>
    <m/>
    <m/>
    <m/>
  </r>
  <r>
    <s v="C811264"/>
    <s v="JORGE LUIS URBINA"/>
    <x v="3"/>
    <x v="11"/>
    <s v="BBVA"/>
    <e v="#NAME?"/>
    <s v="SDATOOL-40613 $ Códigos MAC"/>
    <n v="0.5"/>
    <s v="Desarrollador"/>
    <s v="Mainframe"/>
    <m/>
    <e v="#NAME?"/>
    <e v="#NAME?"/>
    <e v="#NAME?"/>
    <m/>
    <m/>
    <m/>
    <m/>
    <m/>
    <n v="0"/>
    <m/>
    <m/>
    <m/>
  </r>
  <r>
    <s v="C811393"/>
    <s v="JORGE NELSON GARCIA"/>
    <x v="3"/>
    <x v="11"/>
    <s v="BBVA"/>
    <e v="#NAME?"/>
    <s v="SDATOOL-38589 $ Mandatorio tokenización"/>
    <n v="0.35"/>
    <s v="Desarrollador"/>
    <s v="Mainframe"/>
    <m/>
    <e v="#NAME?"/>
    <e v="#NAME?"/>
    <e v="#NAME?"/>
    <m/>
    <m/>
    <m/>
    <m/>
    <m/>
    <n v="1"/>
    <m/>
    <m/>
    <m/>
  </r>
  <r>
    <s v="C811393"/>
    <s v="JORGE NELSON GARCIA"/>
    <x v="3"/>
    <x v="11"/>
    <s v="BBVA"/>
    <e v="#NAME?"/>
    <s v="SDATOOL-41726 $ EXTRACUPO TARJETA DE CREDITO"/>
    <n v="0.35"/>
    <s v="Desarrollador"/>
    <s v="Mainframe"/>
    <m/>
    <e v="#NAME?"/>
    <e v="#NAME?"/>
    <e v="#NAME?"/>
    <m/>
    <m/>
    <m/>
    <m/>
    <m/>
    <n v="0"/>
    <m/>
    <m/>
    <m/>
  </r>
  <r>
    <s v="C811393"/>
    <s v="JORGE NELSON GARCIA"/>
    <x v="3"/>
    <x v="11"/>
    <s v="BBVA"/>
    <e v="#NAME?"/>
    <s v="NOSDA $ BAU (Mantenimiento y peq. evolutivos)"/>
    <n v="0.3"/>
    <s v="Desarrollador"/>
    <s v="Mainframe"/>
    <m/>
    <e v="#NAME?"/>
    <e v="#NAME?"/>
    <e v="#NAME?"/>
    <m/>
    <m/>
    <m/>
    <m/>
    <m/>
    <n v="0"/>
    <m/>
    <m/>
    <m/>
  </r>
  <r>
    <s v="CE49917"/>
    <s v="JORGE TAUTIVA MELO"/>
    <x v="3"/>
    <x v="11"/>
    <s v="Novatec"/>
    <e v="#NAME?"/>
    <s v="SDATOOL-37057 $ Pagos QR - Entre cuentas Redeban - Plan Ascenso Mercurio"/>
    <n v="0.5"/>
    <s v="Desarrollador"/>
    <s v="APX"/>
    <m/>
    <e v="#NAME?"/>
    <e v="#NAME?"/>
    <e v="#NAME?"/>
    <m/>
    <m/>
    <m/>
    <m/>
    <m/>
    <n v="1"/>
    <m/>
    <m/>
    <m/>
  </r>
  <r>
    <s v="CE49917"/>
    <s v="JORGE TAUTIVA MELO"/>
    <x v="3"/>
    <x v="11"/>
    <s v="Novatec"/>
    <e v="#NAME?"/>
    <s v="SDATOOL-37061 $ Plan de Lealtad Comecios -Plan Ascenso Autónomos"/>
    <n v="0.5"/>
    <s v="Desarrollador"/>
    <s v="APX"/>
    <m/>
    <e v="#NAME?"/>
    <e v="#NAME?"/>
    <e v="#NAME?"/>
    <m/>
    <m/>
    <m/>
    <m/>
    <m/>
    <n v="0"/>
    <m/>
    <m/>
    <m/>
  </r>
  <r>
    <s v="C804723"/>
    <s v="JOSE BLADIMIR INAMPUES TUTALCHA"/>
    <x v="3"/>
    <x v="11"/>
    <s v="BBVA"/>
    <e v="#NAME?"/>
    <s v="SDATOOL-40455 $ Comisión porcentaje compras internacionales Mastercard y Visa Fase 2"/>
    <n v="0.3"/>
    <s v="Desarrollador"/>
    <s v="Mainframe"/>
    <m/>
    <e v="#NAME?"/>
    <e v="#NAME?"/>
    <e v="#NAME?"/>
    <m/>
    <m/>
    <m/>
    <m/>
    <m/>
    <n v="1"/>
    <m/>
    <m/>
    <m/>
  </r>
  <r>
    <s v="C804723"/>
    <s v="JOSE BLADIMIR INAMPUES TUTALCHA"/>
    <x v="3"/>
    <x v="11"/>
    <s v="BBVA"/>
    <e v="#NAME?"/>
    <s v="NOSDA $ BAU (Mantenimiento y peq. evolutivos)"/>
    <n v="0.7"/>
    <s v="Desarrollador"/>
    <s v="Mainframe"/>
    <m/>
    <e v="#NAME?"/>
    <e v="#NAME?"/>
    <e v="#NAME?"/>
    <m/>
    <m/>
    <m/>
    <m/>
    <m/>
    <n v="0"/>
    <m/>
    <m/>
    <m/>
  </r>
  <r>
    <s v="C341931"/>
    <s v="JOSE MIGUEL SANCHEZ BARRANTES"/>
    <x v="3"/>
    <x v="11"/>
    <s v="BBVA"/>
    <e v="#NAME?"/>
    <s v="SDATOOL-37061 $ Plan de Lealtad Comecios -Plan Ascenso Autónomos"/>
    <n v="0.5"/>
    <s v="Tech Manager/Líder"/>
    <s v="Mainframe"/>
    <m/>
    <e v="#NAME?"/>
    <e v="#NAME?"/>
    <e v="#NAME?"/>
    <m/>
    <m/>
    <m/>
    <m/>
    <m/>
    <n v="1"/>
    <m/>
    <m/>
    <m/>
  </r>
  <r>
    <s v="C341931"/>
    <s v="JOSE MIGUEL SANCHEZ BARRANTES"/>
    <x v="3"/>
    <x v="11"/>
    <s v="BBVA"/>
    <e v="#NAME?"/>
    <s v="SDATOOL-37057 $ Pagos QR - Entre cuentas Redeban - Plan Ascenso Mercurio"/>
    <n v="0.5"/>
    <s v="Tech Manager/Líder"/>
    <s v="Mainframe"/>
    <m/>
    <e v="#NAME?"/>
    <e v="#NAME?"/>
    <e v="#NAME?"/>
    <m/>
    <m/>
    <m/>
    <m/>
    <m/>
    <n v="0"/>
    <m/>
    <m/>
    <m/>
  </r>
  <r>
    <s v="C811403"/>
    <s v="JUAN FELIPE FORERO"/>
    <x v="3"/>
    <x v="11"/>
    <s v="BBVA"/>
    <e v="#NAME?"/>
    <s v="SDATOOL-40384 $ Cobrar intereses corrientes entre la transacción y la pre-cancelación"/>
    <n v="0.15"/>
    <s v="Tech Manager/Líder"/>
    <s v="Mainframe"/>
    <m/>
    <e v="#NAME?"/>
    <e v="#NAME?"/>
    <e v="#NAME?"/>
    <m/>
    <m/>
    <m/>
    <m/>
    <m/>
    <n v="1"/>
    <m/>
    <m/>
    <m/>
  </r>
  <r>
    <s v="C811403"/>
    <s v="JUAN FELIPE FORERO"/>
    <x v="3"/>
    <x v="11"/>
    <s v="BBVA"/>
    <e v="#NAME?"/>
    <s v="SDATOOL-40455 $ Comisión porcentaje compras internacionales Mastercard y Visa Fase 2"/>
    <n v="0.1"/>
    <s v="Tech Manager/Líder"/>
    <s v="Mainframe"/>
    <m/>
    <e v="#NAME?"/>
    <e v="#NAME?"/>
    <e v="#NAME?"/>
    <m/>
    <m/>
    <m/>
    <m/>
    <m/>
    <n v="0"/>
    <m/>
    <m/>
    <m/>
  </r>
  <r>
    <s v="C811403"/>
    <s v="JUAN FELIPE FORERO"/>
    <x v="3"/>
    <x v="11"/>
    <s v="BBVA"/>
    <e v="#NAME?"/>
    <s v="SDATOOL-38447 $ GRM Col - Condonación y bajas automáticas en Medios de Pago"/>
    <n v="0.05"/>
    <s v="Tech Manager/Líder"/>
    <s v="Mainframe"/>
    <m/>
    <e v="#NAME?"/>
    <e v="#NAME?"/>
    <e v="#NAME?"/>
    <m/>
    <m/>
    <m/>
    <m/>
    <m/>
    <n v="0"/>
    <m/>
    <m/>
    <m/>
  </r>
  <r>
    <s v="C811403"/>
    <s v="JUAN FELIPE FORERO"/>
    <x v="3"/>
    <x v="11"/>
    <s v="BBVA"/>
    <e v="#NAME?"/>
    <s v="SDATOOL-37753 $ Plan de transformación de operaciones 2022"/>
    <n v="0.05"/>
    <s v="Tech Manager/Líder"/>
    <s v="Mainframe"/>
    <m/>
    <e v="#NAME?"/>
    <e v="#NAME?"/>
    <e v="#NAME?"/>
    <m/>
    <m/>
    <m/>
    <m/>
    <m/>
    <n v="0"/>
    <m/>
    <m/>
    <m/>
  </r>
  <r>
    <s v="C811403"/>
    <s v="JUAN FELIPE FORERO"/>
    <x v="3"/>
    <x v="11"/>
    <s v="BBVA"/>
    <e v="#NAME?"/>
    <s v="SDATOOL-33846 $ SREP Data Quality- BCBS239 - Colombia"/>
    <n v="0.15"/>
    <s v="Tech Manager/Líder"/>
    <s v="Mainframe"/>
    <m/>
    <e v="#NAME?"/>
    <e v="#NAME?"/>
    <e v="#NAME?"/>
    <m/>
    <m/>
    <m/>
    <m/>
    <m/>
    <n v="0"/>
    <m/>
    <m/>
    <m/>
  </r>
  <r>
    <s v="C811403"/>
    <s v="JUAN FELIPE FORERO"/>
    <x v="3"/>
    <x v="11"/>
    <s v="BBVA"/>
    <e v="#NAME?"/>
    <s v="SDATOOL-40382 $ NUEVA Eliminar el PAN ( Orange 1.0)"/>
    <n v="0.1"/>
    <s v="Tech Manager/Líder"/>
    <s v="Mainframe"/>
    <m/>
    <e v="#NAME?"/>
    <e v="#NAME?"/>
    <e v="#NAME?"/>
    <m/>
    <m/>
    <m/>
    <m/>
    <m/>
    <n v="0"/>
    <m/>
    <m/>
    <m/>
  </r>
  <r>
    <s v="C811403"/>
    <s v="JUAN FELIPE FORERO"/>
    <x v="3"/>
    <x v="11"/>
    <s v="BBVA"/>
    <e v="#NAME?"/>
    <s v="SDATOOL-41938 $ GRM Col Reg - Ajuste Calificación Escalera"/>
    <n v="0.1"/>
    <s v="Tech Manager/Líder"/>
    <s v="Mainframe"/>
    <m/>
    <e v="#NAME?"/>
    <e v="#NAME?"/>
    <e v="#NAME?"/>
    <m/>
    <m/>
    <m/>
    <m/>
    <m/>
    <n v="0"/>
    <m/>
    <m/>
    <m/>
  </r>
  <r>
    <s v="C811403"/>
    <s v="JUAN FELIPE FORERO"/>
    <x v="3"/>
    <x v="11"/>
    <s v="BBVA"/>
    <e v="#NAME?"/>
    <s v="SDATOOL-40438 $ CIRCULAR 032 del 2021 - REQUERIMIENTO FISCALIA GENERAL DE LA NACION"/>
    <n v="0.1"/>
    <s v="Tech Manager/Líder"/>
    <s v="Mainframe"/>
    <m/>
    <e v="#NAME?"/>
    <e v="#NAME?"/>
    <e v="#NAME?"/>
    <m/>
    <m/>
    <m/>
    <m/>
    <m/>
    <n v="0"/>
    <m/>
    <m/>
    <m/>
  </r>
  <r>
    <s v="C811403"/>
    <s v="JUAN FELIPE FORERO"/>
    <x v="3"/>
    <x v="11"/>
    <s v="BBVA"/>
    <e v="#NAME?"/>
    <s v="NOSDA $ BAU (Mantenimiento y peq. evolutivos)"/>
    <n v="0.2"/>
    <s v="Tech Manager/Líder"/>
    <s v="Mainframe"/>
    <m/>
    <e v="#NAME?"/>
    <e v="#NAME?"/>
    <e v="#NAME?"/>
    <m/>
    <m/>
    <m/>
    <m/>
    <m/>
    <n v="0"/>
    <m/>
    <m/>
    <m/>
  </r>
  <r>
    <s v="T004374"/>
    <s v="JUAN SEBASTIAN MINA"/>
    <x v="3"/>
    <x v="11"/>
    <s v="KRYPTO"/>
    <e v="#NAME?"/>
    <s v="SDATOOL-40442 $ M4M - Tokenización Mastercard"/>
    <n v="0.8"/>
    <s v="QA"/>
    <s v="Mainframe"/>
    <m/>
    <e v="#NAME?"/>
    <e v="#NAME?"/>
    <e v="#NAME?"/>
    <m/>
    <m/>
    <m/>
    <m/>
    <m/>
    <n v="1"/>
    <m/>
    <m/>
    <m/>
  </r>
  <r>
    <s v="T004374"/>
    <s v="JUAN SEBASTIAN MINA"/>
    <x v="3"/>
    <x v="11"/>
    <s v="KRYPTO"/>
    <e v="#NAME?"/>
    <s v="NOSDA $ BAU (Mantenimiento y peq. evolutivos)"/>
    <n v="0.2"/>
    <s v="QA"/>
    <s v="Mainframe"/>
    <m/>
    <e v="#NAME?"/>
    <e v="#NAME?"/>
    <e v="#NAME?"/>
    <m/>
    <m/>
    <m/>
    <m/>
    <m/>
    <n v="0"/>
    <m/>
    <m/>
    <m/>
  </r>
  <r>
    <s v="T005122"/>
    <s v="JULIAN ANDRES ARENAS"/>
    <x v="3"/>
    <x v="11"/>
    <s v="Choucair"/>
    <e v="#NAME?"/>
    <s v="SDATOOL-37061 $ Plan de Lealtad Comecios -Plan Ascenso Autónomos"/>
    <n v="1"/>
    <s v="QA"/>
    <s v="Distribuido"/>
    <m/>
    <e v="#NAME?"/>
    <e v="#NAME?"/>
    <e v="#NAME?"/>
    <m/>
    <m/>
    <m/>
    <m/>
    <m/>
    <n v="1"/>
    <m/>
    <m/>
    <m/>
  </r>
  <r>
    <s v="C343617"/>
    <s v="LEIDY NATALIA  GONZALEZ"/>
    <x v="3"/>
    <x v="11"/>
    <s v="BBVA"/>
    <e v="#NAME?"/>
    <s v="SDATOOL-37427 $ Adquirencia Premium"/>
    <n v="0.4"/>
    <s v="Desarrollador"/>
    <s v="Otras Tec."/>
    <m/>
    <e v="#NAME?"/>
    <e v="#NAME?"/>
    <e v="#NAME?"/>
    <m/>
    <m/>
    <m/>
    <m/>
    <m/>
    <n v="1"/>
    <m/>
    <m/>
    <m/>
  </r>
  <r>
    <s v="C343617"/>
    <s v="LEIDY NATALIA  GONZALEZ"/>
    <x v="3"/>
    <x v="11"/>
    <s v="BBVA"/>
    <e v="#NAME?"/>
    <s v="NOSDA $ BAU (Mantenimiento y peq. evolutivos)"/>
    <n v="0.6"/>
    <s v="Desarrollador"/>
    <s v="Otras Tec."/>
    <m/>
    <e v="#NAME?"/>
    <e v="#NAME?"/>
    <e v="#NAME?"/>
    <m/>
    <m/>
    <m/>
    <m/>
    <m/>
    <n v="0"/>
    <m/>
    <m/>
    <m/>
  </r>
  <r>
    <s v="C811392"/>
    <s v="LEONARDO SIMBAQUEBA ESGUERRA"/>
    <x v="3"/>
    <x v="11"/>
    <s v="BBVA"/>
    <e v="#NAME?"/>
    <s v="SDATOOL-40468 $ Mapa de comercios adquirencia - Fase 2"/>
    <n v="0.4"/>
    <s v="Desarrollador"/>
    <s v="Mainframe"/>
    <m/>
    <e v="#NAME?"/>
    <e v="#NAME?"/>
    <e v="#NAME?"/>
    <m/>
    <m/>
    <m/>
    <m/>
    <m/>
    <n v="1"/>
    <m/>
    <m/>
    <m/>
  </r>
  <r>
    <s v="C811392"/>
    <s v="LEONARDO SIMBAQUEBA ESGUERRA"/>
    <x v="3"/>
    <x v="11"/>
    <s v="BBVA"/>
    <e v="#NAME?"/>
    <s v="SDATOOL-40469 $ Reversión reintegros parciales Adquirencia - Ajustes de comercio LATAM"/>
    <n v="0.4"/>
    <s v="Desarrollador"/>
    <s v="Mainframe"/>
    <m/>
    <e v="#NAME?"/>
    <e v="#NAME?"/>
    <e v="#NAME?"/>
    <m/>
    <m/>
    <m/>
    <m/>
    <m/>
    <n v="0"/>
    <m/>
    <m/>
    <m/>
  </r>
  <r>
    <s v="C811392"/>
    <s v="LEONARDO SIMBAQUEBA ESGUERRA"/>
    <x v="3"/>
    <x v="11"/>
    <s v="BBVA"/>
    <e v="#NAME?"/>
    <s v="SDATOOL-39354 $ My business Open Pay - Plan Ascenso Mercurio"/>
    <n v="0.2"/>
    <s v="Desarrollador"/>
    <s v="Mainframe"/>
    <m/>
    <e v="#NAME?"/>
    <e v="#NAME?"/>
    <e v="#NAME?"/>
    <m/>
    <m/>
    <m/>
    <m/>
    <m/>
    <n v="0"/>
    <m/>
    <m/>
    <m/>
  </r>
  <r>
    <s v="T003366"/>
    <s v="LILIAN BEDUD RIOJAS GONZALEZ"/>
    <x v="3"/>
    <x v="11"/>
    <s v="Novatec"/>
    <e v="#NAME?"/>
    <s v="SDATOOL-41757 $ AJUSTE AUTOMATIZACION CONCILIACION ARA"/>
    <n v="0.4"/>
    <s v="Otros"/>
    <s v="Mainframe"/>
    <m/>
    <e v="#NAME?"/>
    <e v="#NAME?"/>
    <e v="#NAME?"/>
    <m/>
    <m/>
    <m/>
    <m/>
    <m/>
    <n v="1"/>
    <m/>
    <m/>
    <m/>
  </r>
  <r>
    <s v="T003366"/>
    <s v="LILIAN BEDUD RIOJAS GONZALEZ"/>
    <x v="3"/>
    <x v="11"/>
    <s v="Novatec"/>
    <e v="#NAME?"/>
    <s v="SDATOOL-41726 $ EXTRACUPO TARJETA DE CREDITO"/>
    <n v="0.3"/>
    <s v="Otros"/>
    <s v="Mainframe"/>
    <m/>
    <e v="#NAME?"/>
    <e v="#NAME?"/>
    <e v="#NAME?"/>
    <m/>
    <m/>
    <m/>
    <m/>
    <m/>
    <n v="0"/>
    <m/>
    <m/>
    <m/>
  </r>
  <r>
    <s v="T003366"/>
    <s v="LILIAN BEDUD RIOJAS GONZALEZ"/>
    <x v="3"/>
    <x v="11"/>
    <s v="Novatec"/>
    <e v="#NAME?"/>
    <s v="SDATOOL-40613 $ Códigos MAC"/>
    <n v="0.3"/>
    <s v="Otros"/>
    <s v="Mainframe"/>
    <m/>
    <e v="#NAME?"/>
    <e v="#NAME?"/>
    <e v="#NAME?"/>
    <m/>
    <m/>
    <m/>
    <m/>
    <m/>
    <n v="0"/>
    <m/>
    <m/>
    <m/>
  </r>
  <r>
    <s v="C811354"/>
    <s v="LIZET VANESSA VEGA BONILLA"/>
    <x v="3"/>
    <x v="11"/>
    <s v="BBVA"/>
    <e v="#NAME?"/>
    <s v="SDATOOL-38447 $ GRM Col - Condonación y bajas automáticas en Medios de Pago"/>
    <n v="0.2"/>
    <s v="Desarrollador"/>
    <s v="Mainframe"/>
    <m/>
    <e v="#NAME?"/>
    <e v="#NAME?"/>
    <e v="#NAME?"/>
    <m/>
    <m/>
    <m/>
    <m/>
    <m/>
    <n v="1"/>
    <m/>
    <m/>
    <m/>
  </r>
  <r>
    <s v="C811354"/>
    <s v="LIZET VANESSA VEGA BONILLA"/>
    <x v="3"/>
    <x v="11"/>
    <s v="BBVA"/>
    <e v="#NAME?"/>
    <s v="SDATOOL-37753 $ Plan de transformación de operaciones 2022"/>
    <n v="0.2"/>
    <s v="Desarrollador"/>
    <s v="Mainframe"/>
    <m/>
    <e v="#NAME?"/>
    <e v="#NAME?"/>
    <e v="#NAME?"/>
    <m/>
    <m/>
    <m/>
    <m/>
    <m/>
    <n v="0"/>
    <m/>
    <m/>
    <m/>
  </r>
  <r>
    <s v="C811354"/>
    <s v="LIZET VANESSA VEGA BONILLA"/>
    <x v="3"/>
    <x v="11"/>
    <s v="BBVA"/>
    <e v="#NAME?"/>
    <s v="SDATOOL-33846 $ SREP Data Quality- BCBS239 - Colombia"/>
    <n v="0.2"/>
    <s v="Desarrollador"/>
    <s v="Mainframe"/>
    <m/>
    <e v="#NAME?"/>
    <e v="#NAME?"/>
    <e v="#NAME?"/>
    <m/>
    <m/>
    <m/>
    <m/>
    <m/>
    <n v="0"/>
    <m/>
    <m/>
    <m/>
  </r>
  <r>
    <s v="C811354"/>
    <s v="LIZET VANESSA VEGA BONILLA"/>
    <x v="3"/>
    <x v="11"/>
    <s v="BBVA"/>
    <e v="#NAME?"/>
    <s v="SDATOOL-40438 $ CIRCULAR 032 del 2021 - REQUERIMIENTO FISCALIA GENERAL DE LA NACION"/>
    <n v="0.2"/>
    <s v="Desarrollador"/>
    <s v="Mainframe"/>
    <m/>
    <e v="#NAME?"/>
    <e v="#NAME?"/>
    <e v="#NAME?"/>
    <m/>
    <m/>
    <m/>
    <m/>
    <m/>
    <n v="0"/>
    <m/>
    <m/>
    <m/>
  </r>
  <r>
    <s v="C811354"/>
    <s v="LIZET VANESSA VEGA BONILLA"/>
    <x v="3"/>
    <x v="11"/>
    <s v="BBVA"/>
    <e v="#NAME?"/>
    <s v="NOSDA $ BAU (Mantenimiento y peq. evolutivos)"/>
    <n v="0.2"/>
    <s v="Desarrollador"/>
    <s v="Mainframe"/>
    <m/>
    <e v="#NAME?"/>
    <e v="#NAME?"/>
    <e v="#NAME?"/>
    <m/>
    <m/>
    <m/>
    <m/>
    <m/>
    <n v="0"/>
    <m/>
    <m/>
    <m/>
  </r>
  <r>
    <s v="CE70711"/>
    <s v="LIZETH DAYANA RODRIGUEZ ACOSTA"/>
    <x v="3"/>
    <x v="11"/>
    <s v="Novatec"/>
    <e v="#NAME?"/>
    <s v="NOSDA $ BAU (Mantenimiento y peq. evolutivos)"/>
    <n v="1"/>
    <s v="Desarrollador"/>
    <s v="Mainframe"/>
    <m/>
    <e v="#NAME?"/>
    <e v="#NAME?"/>
    <e v="#NAME?"/>
    <m/>
    <m/>
    <m/>
    <m/>
    <m/>
    <n v="1"/>
    <m/>
    <m/>
    <m/>
  </r>
  <r>
    <s v="C811322"/>
    <s v="LUIS FERNANDO SABROSO"/>
    <x v="3"/>
    <x v="11"/>
    <s v="BBVA"/>
    <e v="#NAME?"/>
    <s v="SDATOOL-36556 $ Parthnerships - Tarjeta de crédito en punto de venta físico aliados"/>
    <n v="1"/>
    <s v="Desarrollador"/>
    <s v="ASO"/>
    <m/>
    <e v="#NAME?"/>
    <e v="#NAME?"/>
    <e v="#NAME?"/>
    <m/>
    <m/>
    <m/>
    <m/>
    <m/>
    <n v="1"/>
    <m/>
    <m/>
    <m/>
  </r>
  <r>
    <s v="CE66135"/>
    <s v="LUIS FERNANDO TORRES AVENDAÑO"/>
    <x v="3"/>
    <x v="11"/>
    <s v="Inetum"/>
    <e v="#NAME?"/>
    <s v="SDATOOL-36556 $ Parthnerships - Tarjeta de crédito en punto de venta físico aliados"/>
    <n v="1"/>
    <s v="Desarrollador"/>
    <s v="Mainframe"/>
    <m/>
    <e v="#NAME?"/>
    <e v="#NAME?"/>
    <e v="#NAME?"/>
    <m/>
    <m/>
    <m/>
    <m/>
    <m/>
    <n v="1"/>
    <m/>
    <m/>
    <m/>
  </r>
  <r>
    <s v="CE43328"/>
    <s v="LUZ ENEY ACEVEDO MATEUS"/>
    <x v="3"/>
    <x v="11"/>
    <s v="Novatec"/>
    <e v="#NAME?"/>
    <s v="NOSDA $ BAU (Mantenimiento y peq. evolutivos)"/>
    <n v="1"/>
    <s v="Desarrollador"/>
    <s v="Mainframe"/>
    <m/>
    <e v="#NAME?"/>
    <e v="#NAME?"/>
    <e v="#NAME?"/>
    <m/>
    <m/>
    <m/>
    <m/>
    <m/>
    <n v="1"/>
    <m/>
    <m/>
    <m/>
  </r>
  <r>
    <s v="C808232"/>
    <s v="MARIA FERNANDA RUSSI"/>
    <x v="3"/>
    <x v="11"/>
    <s v="BBVA"/>
    <e v="#NAME?"/>
    <s v="NOSDA $ BAU (Mantenimiento y peq. evolutivos)"/>
    <n v="0.3"/>
    <s v="Desarrollador"/>
    <s v="Mainframe"/>
    <m/>
    <e v="#NAME?"/>
    <e v="#NAME?"/>
    <e v="#NAME?"/>
    <m/>
    <m/>
    <m/>
    <m/>
    <m/>
    <n v="1"/>
    <m/>
    <m/>
    <m/>
  </r>
  <r>
    <s v="C808232"/>
    <s v="MARIA FERNANDA RUSSI"/>
    <x v="3"/>
    <x v="11"/>
    <s v="BBVA"/>
    <e v="#NAME?"/>
    <s v="SDATOOL-40295 $ Tokenización COF"/>
    <n v="0.7"/>
    <s v="Desarrollador"/>
    <s v="Mainframe"/>
    <m/>
    <e v="#NAME?"/>
    <e v="#NAME?"/>
    <e v="#NAME?"/>
    <m/>
    <m/>
    <m/>
    <m/>
    <m/>
    <n v="0"/>
    <m/>
    <m/>
    <m/>
  </r>
  <r>
    <s v="T008491"/>
    <s v="MARITZA CASTILLO NAVARRO"/>
    <x v="3"/>
    <x v="11"/>
    <s v="Inetum"/>
    <e v="#NAME?"/>
    <s v="SDATOOL-40295 $ Tokenización COF"/>
    <n v="0.3"/>
    <s v="Otros"/>
    <s v="Mainframe"/>
    <m/>
    <e v="#NAME?"/>
    <e v="#NAME?"/>
    <e v="#NAME?"/>
    <m/>
    <m/>
    <m/>
    <m/>
    <m/>
    <n v="1"/>
    <m/>
    <m/>
    <m/>
  </r>
  <r>
    <s v="T008491"/>
    <s v="MARITZA CASTILLO NAVARRO"/>
    <x v="3"/>
    <x v="11"/>
    <s v="Inetum"/>
    <e v="#NAME?"/>
    <s v="SDATOOL-40442 $ M4M - Tokenización Mastercard"/>
    <n v="0.3"/>
    <s v="Otros"/>
    <s v="Mainframe"/>
    <m/>
    <e v="#NAME?"/>
    <e v="#NAME?"/>
    <e v="#NAME?"/>
    <m/>
    <m/>
    <m/>
    <m/>
    <m/>
    <n v="0"/>
    <m/>
    <m/>
    <m/>
  </r>
  <r>
    <s v="T008491"/>
    <s v="MARITZA CASTILLO NAVARRO"/>
    <x v="3"/>
    <x v="11"/>
    <s v="Inetum"/>
    <e v="#NAME?"/>
    <s v="SDATOOL-41709 $ Fraccionamiento de transacciones en CBs"/>
    <n v="0.2"/>
    <s v="Otros"/>
    <s v="Mainframe"/>
    <m/>
    <e v="#NAME?"/>
    <e v="#NAME?"/>
    <e v="#NAME?"/>
    <m/>
    <m/>
    <m/>
    <m/>
    <m/>
    <n v="0"/>
    <m/>
    <m/>
    <m/>
  </r>
  <r>
    <s v="T008491"/>
    <s v="MARITZA CASTILLO NAVARRO"/>
    <x v="3"/>
    <x v="11"/>
    <s v="Inetum"/>
    <e v="#NAME?"/>
    <s v="SDATOOL-41938 $ GRM Col Reg - Ajuste Calificación Escalera"/>
    <n v="0.2"/>
    <s v="Otros"/>
    <s v="Mainframe"/>
    <m/>
    <e v="#NAME?"/>
    <e v="#NAME?"/>
    <e v="#NAME?"/>
    <m/>
    <m/>
    <m/>
    <m/>
    <m/>
    <n v="0"/>
    <m/>
    <m/>
    <m/>
  </r>
  <r>
    <s v="C805863"/>
    <s v="MARTA PATRICIA VELANDIA SIZA"/>
    <x v="3"/>
    <x v="11"/>
    <s v="BBVA"/>
    <e v="#NAME?"/>
    <s v="SDATOOL-37061 $ Plan de Lealtad Comecios -Plan Ascenso Autónomos"/>
    <n v="1"/>
    <s v="Desarrollador"/>
    <s v="Mainframe"/>
    <m/>
    <e v="#NAME?"/>
    <e v="#NAME?"/>
    <e v="#NAME?"/>
    <m/>
    <m/>
    <m/>
    <m/>
    <m/>
    <n v="1"/>
    <m/>
    <m/>
    <m/>
  </r>
  <r>
    <s v="O000190"/>
    <s v="MARTHA LILIANA RUSSY CHAVARRO"/>
    <x v="3"/>
    <x v="11"/>
    <s v="BBVA"/>
    <e v="#NAME?"/>
    <s v="SDATOOL-39785 $ Segmentación contratos ADN"/>
    <n v="0.5"/>
    <s v="Desarrollador"/>
    <s v="Mainframe"/>
    <m/>
    <e v="#NAME?"/>
    <e v="#NAME?"/>
    <e v="#NAME?"/>
    <m/>
    <m/>
    <m/>
    <m/>
    <m/>
    <n v="1"/>
    <m/>
    <m/>
    <m/>
  </r>
  <r>
    <s v="O000190"/>
    <s v="MARTHA LILIANA RUSSY CHAVARRO"/>
    <x v="3"/>
    <x v="11"/>
    <s v="BBVA"/>
    <e v="#NAME?"/>
    <s v="NOSDA $ BAU (Mantenimiento y peq. evolutivos)"/>
    <n v="0.5"/>
    <s v="Desarrollador"/>
    <s v="Mainframe"/>
    <m/>
    <e v="#NAME?"/>
    <e v="#NAME?"/>
    <e v="#NAME?"/>
    <m/>
    <m/>
    <m/>
    <m/>
    <m/>
    <n v="0"/>
    <m/>
    <m/>
    <m/>
  </r>
  <r>
    <s v="CE18306"/>
    <s v="MARY LUZ RODRIGUEZ"/>
    <x v="3"/>
    <x v="11"/>
    <s v="Inetum"/>
    <e v="#NAME?"/>
    <s v="SDATOOL-36556 $ Parthnerships - Tarjeta de crédito en punto de venta físico aliados"/>
    <n v="0.1"/>
    <s v="QA"/>
    <s v="Mainframe"/>
    <m/>
    <e v="#NAME?"/>
    <e v="#NAME?"/>
    <e v="#NAME?"/>
    <m/>
    <m/>
    <m/>
    <m/>
    <m/>
    <n v="1"/>
    <m/>
    <m/>
    <m/>
  </r>
  <r>
    <s v="CE18306"/>
    <s v="MARY LUZ RODRIGUEZ"/>
    <x v="3"/>
    <x v="11"/>
    <s v="Inetum"/>
    <e v="#NAME?"/>
    <s v="NOSDA $ BAU (Mantenimiento y peq. evolutivos)"/>
    <n v="0.6"/>
    <s v="QA"/>
    <s v="Mainframe"/>
    <m/>
    <e v="#NAME?"/>
    <e v="#NAME?"/>
    <e v="#NAME?"/>
    <m/>
    <m/>
    <m/>
    <m/>
    <m/>
    <n v="0"/>
    <m/>
    <m/>
    <m/>
  </r>
  <r>
    <s v="CE18306"/>
    <s v="MARY LUZ RODRIGUEZ"/>
    <x v="3"/>
    <x v="11"/>
    <s v="Inetum"/>
    <e v="#NAME?"/>
    <s v="SDATOOL-40455 $ Comisión porcentaje compras internacionales Mastercard y Visa Fase 2"/>
    <n v="0.2"/>
    <s v="QA"/>
    <s v="Mainframe"/>
    <m/>
    <e v="#NAME?"/>
    <e v="#NAME?"/>
    <e v="#NAME?"/>
    <m/>
    <m/>
    <m/>
    <m/>
    <m/>
    <n v="0"/>
    <m/>
    <m/>
    <m/>
  </r>
  <r>
    <s v="CE18306"/>
    <s v="MARY LUZ RODRIGUEZ"/>
    <x v="3"/>
    <x v="11"/>
    <s v="Inetum"/>
    <e v="#NAME?"/>
    <s v="SDATOOL-37057 $ Pagos QR - Entre cuentas Redeban - Plan Ascenso Mercurio"/>
    <n v="0.1"/>
    <s v="QA"/>
    <s v="Mainframe"/>
    <m/>
    <e v="#NAME?"/>
    <e v="#NAME?"/>
    <e v="#NAME?"/>
    <m/>
    <m/>
    <m/>
    <m/>
    <m/>
    <n v="0"/>
    <m/>
    <m/>
    <m/>
  </r>
  <r>
    <s v="C805726"/>
    <s v="MAURICIO ANDRES NUÑEZ ORTEGON"/>
    <x v="3"/>
    <x v="11"/>
    <s v="BBVA"/>
    <e v="#NAME?"/>
    <s v="SDATOOL-38447 $ GRM Col - Condonación y bajas automáticas en Medios de Pago"/>
    <n v="0.6"/>
    <s v="Desarrollador"/>
    <s v="Mainframe"/>
    <m/>
    <e v="#NAME?"/>
    <e v="#NAME?"/>
    <e v="#NAME?"/>
    <m/>
    <m/>
    <m/>
    <m/>
    <m/>
    <n v="1"/>
    <m/>
    <m/>
    <m/>
  </r>
  <r>
    <s v="C805726"/>
    <s v="MAURICIO ANDRES NUÑEZ ORTEGON"/>
    <x v="3"/>
    <x v="11"/>
    <s v="BBVA"/>
    <e v="#NAME?"/>
    <s v="SDATOOL-33846 $ SREP Data Quality- BCBS239 - Colombia"/>
    <n v="0.4"/>
    <s v="Desarrollador"/>
    <s v="Mainframe"/>
    <m/>
    <e v="#NAME?"/>
    <e v="#NAME?"/>
    <e v="#NAME?"/>
    <m/>
    <m/>
    <m/>
    <m/>
    <m/>
    <n v="0"/>
    <m/>
    <m/>
    <m/>
  </r>
  <r>
    <s v="C804381"/>
    <s v="MAYKER GUILLERMO LOPEZ"/>
    <x v="3"/>
    <x v="11"/>
    <s v="BBVA"/>
    <e v="#NAME?"/>
    <s v="SDATOOL-40468 $ Mapa de comercios adquirencia - Fase 2"/>
    <n v="0.25"/>
    <s v="Desarrollador"/>
    <s v="Mainframe"/>
    <m/>
    <e v="#NAME?"/>
    <e v="#NAME?"/>
    <e v="#NAME?"/>
    <m/>
    <m/>
    <m/>
    <m/>
    <m/>
    <n v="1"/>
    <m/>
    <m/>
    <m/>
  </r>
  <r>
    <s v="C804381"/>
    <s v="MAYKER GUILLERMO LOPEZ"/>
    <x v="3"/>
    <x v="11"/>
    <s v="BBVA"/>
    <e v="#NAME?"/>
    <s v="SDATOOL-40414 $ Conciliación adquirencia plus"/>
    <n v="0.25"/>
    <s v="Desarrollador"/>
    <s v="Mainframe"/>
    <m/>
    <e v="#NAME?"/>
    <e v="#NAME?"/>
    <e v="#NAME?"/>
    <m/>
    <m/>
    <m/>
    <m/>
    <m/>
    <n v="0"/>
    <m/>
    <m/>
    <m/>
  </r>
  <r>
    <s v="C804381"/>
    <s v="MAYKER GUILLERMO LOPEZ"/>
    <x v="3"/>
    <x v="11"/>
    <s v="BBVA"/>
    <e v="#NAME?"/>
    <s v="SDATOOL-40469 $ Reversión reintegros parciales Adquirencia - Ajustes de comercio LATAM"/>
    <n v="0.25"/>
    <s v="Desarrollador"/>
    <s v="Mainframe"/>
    <m/>
    <e v="#NAME?"/>
    <e v="#NAME?"/>
    <e v="#NAME?"/>
    <m/>
    <m/>
    <m/>
    <m/>
    <m/>
    <n v="0"/>
    <m/>
    <m/>
    <m/>
  </r>
  <r>
    <s v="C804381"/>
    <s v="MAYKER GUILLERMO LOPEZ"/>
    <x v="3"/>
    <x v="11"/>
    <s v="BBVA"/>
    <e v="#NAME?"/>
    <s v="SDATOOL-40476 $ Conexión Directa con las Franquicias Visa y Mastercard"/>
    <n v="0.25"/>
    <s v="Desarrollador"/>
    <s v="Mainframe"/>
    <m/>
    <e v="#NAME?"/>
    <e v="#NAME?"/>
    <e v="#NAME?"/>
    <m/>
    <m/>
    <m/>
    <m/>
    <m/>
    <n v="0"/>
    <m/>
    <m/>
    <m/>
  </r>
  <r>
    <s v="C810789"/>
    <s v="MICHAEL JULIAN GARZON"/>
    <x v="3"/>
    <x v="11"/>
    <s v="BBVA"/>
    <e v="#NAME?"/>
    <s v="SDATOOL-36556 $ Parthnerships - Tarjeta de crédito en punto de venta físico aliados"/>
    <n v="0.8"/>
    <s v="Desarrollador"/>
    <s v="APX"/>
    <m/>
    <e v="#NAME?"/>
    <e v="#NAME?"/>
    <e v="#NAME?"/>
    <m/>
    <m/>
    <m/>
    <m/>
    <m/>
    <n v="1"/>
    <m/>
    <m/>
    <m/>
  </r>
  <r>
    <s v="C810789"/>
    <s v="MICHAEL JULIAN GARZON"/>
    <x v="3"/>
    <x v="11"/>
    <s v="BBVA"/>
    <e v="#NAME?"/>
    <s v="SDATOOL-39348 $ tarjeta de crédito Open Market Fallback product"/>
    <n v="0.2"/>
    <s v="Desarrollador"/>
    <s v="APX"/>
    <m/>
    <e v="#NAME?"/>
    <e v="#NAME?"/>
    <e v="#NAME?"/>
    <m/>
    <m/>
    <m/>
    <m/>
    <m/>
    <n v="0"/>
    <m/>
    <m/>
    <m/>
  </r>
  <r>
    <s v="C679763"/>
    <s v="MIGUEL ANGEL POLOCHE DIAZ"/>
    <x v="3"/>
    <x v="11"/>
    <s v="BBVA"/>
    <e v="#NAME?"/>
    <s v="SDATOOL-37427 $ Adquirencia Premium"/>
    <n v="0.15"/>
    <s v="Tech Manager/Líder"/>
    <s v="Mainframe"/>
    <m/>
    <e v="#NAME?"/>
    <e v="#NAME?"/>
    <e v="#NAME?"/>
    <m/>
    <m/>
    <m/>
    <m/>
    <m/>
    <n v="1"/>
    <m/>
    <m/>
    <m/>
  </r>
  <r>
    <s v="C679763"/>
    <s v="MIGUEL ANGEL POLOCHE DIAZ"/>
    <x v="3"/>
    <x v="11"/>
    <s v="BBVA"/>
    <e v="#NAME?"/>
    <s v="NOSDA $ BAU (Mantenimiento y peq. evolutivos)"/>
    <n v="0.1"/>
    <s v="Tech Manager/Líder"/>
    <s v="Mainframe"/>
    <m/>
    <e v="#NAME?"/>
    <e v="#NAME?"/>
    <e v="#NAME?"/>
    <m/>
    <m/>
    <m/>
    <m/>
    <m/>
    <n v="0"/>
    <m/>
    <m/>
    <m/>
  </r>
  <r>
    <s v="C679763"/>
    <s v="MIGUEL ANGEL POLOCHE DIAZ"/>
    <x v="3"/>
    <x v="11"/>
    <s v="BBVA"/>
    <e v="#NAME?"/>
    <s v="SDATOOL-40468 $ Mapa de comercios adquirencia - Fase 2"/>
    <n v="0.15"/>
    <s v="Tech Manager/Líder"/>
    <s v="Mainframe"/>
    <m/>
    <e v="#NAME?"/>
    <e v="#NAME?"/>
    <e v="#NAME?"/>
    <m/>
    <m/>
    <m/>
    <m/>
    <m/>
    <n v="0"/>
    <m/>
    <m/>
    <m/>
  </r>
  <r>
    <s v="C679763"/>
    <s v="MIGUEL ANGEL POLOCHE DIAZ"/>
    <x v="3"/>
    <x v="11"/>
    <s v="BBVA"/>
    <e v="#NAME?"/>
    <s v="SDATOOL-40414 $ Conciliación adquirencia plus"/>
    <n v="0.15"/>
    <s v="Tech Manager/Líder"/>
    <s v="Mainframe"/>
    <m/>
    <e v="#NAME?"/>
    <e v="#NAME?"/>
    <e v="#NAME?"/>
    <m/>
    <m/>
    <m/>
    <m/>
    <m/>
    <n v="0"/>
    <m/>
    <m/>
    <m/>
  </r>
  <r>
    <s v="C679763"/>
    <s v="MIGUEL ANGEL POLOCHE DIAZ"/>
    <x v="3"/>
    <x v="11"/>
    <s v="BBVA"/>
    <e v="#NAME?"/>
    <s v="SDATOOL-40469 $ Reversión reintegros parciales Adquirencia - Ajustes de comercio LATAM"/>
    <n v="0.15"/>
    <s v="Tech Manager/Líder"/>
    <s v="Mainframe"/>
    <m/>
    <e v="#NAME?"/>
    <e v="#NAME?"/>
    <e v="#NAME?"/>
    <m/>
    <m/>
    <m/>
    <m/>
    <m/>
    <n v="0"/>
    <m/>
    <m/>
    <m/>
  </r>
  <r>
    <s v="C679763"/>
    <s v="MIGUEL ANGEL POLOCHE DIAZ"/>
    <x v="3"/>
    <x v="11"/>
    <s v="BBVA"/>
    <e v="#NAME?"/>
    <s v="SDATOOL-40476 $ Conexión Directa con las Franquicias Visa y Mastercard"/>
    <n v="0.15"/>
    <s v="Tech Manager/Líder"/>
    <s v="Mainframe"/>
    <m/>
    <e v="#NAME?"/>
    <e v="#NAME?"/>
    <e v="#NAME?"/>
    <m/>
    <m/>
    <m/>
    <m/>
    <m/>
    <n v="0"/>
    <m/>
    <m/>
    <m/>
  </r>
  <r>
    <s v="C679763"/>
    <s v="MIGUEL ANGEL POLOCHE DIAZ"/>
    <x v="3"/>
    <x v="11"/>
    <s v="BBVA"/>
    <e v="#NAME?"/>
    <s v="SDATOOL-39354 $ My business Open Pay - Plan Ascenso Mercurio"/>
    <n v="0.15"/>
    <s v="Tech Manager/Líder"/>
    <s v="Mainframe"/>
    <m/>
    <e v="#NAME?"/>
    <e v="#NAME?"/>
    <e v="#NAME?"/>
    <m/>
    <m/>
    <m/>
    <m/>
    <m/>
    <n v="0"/>
    <m/>
    <m/>
    <m/>
  </r>
  <r>
    <s v="C805989"/>
    <s v="NATALIA ANDREA SAMBONI"/>
    <x v="3"/>
    <x v="11"/>
    <s v="BBVA"/>
    <e v="#NAME?"/>
    <s v="SDATOOL-40455 $ Comisión porcentaje compras internacionales Mastercard y Visa Fase 2"/>
    <n v="0.4"/>
    <s v="Otros"/>
    <s v="Mainframe"/>
    <m/>
    <e v="#NAME?"/>
    <e v="#NAME?"/>
    <e v="#NAME?"/>
    <m/>
    <m/>
    <m/>
    <m/>
    <m/>
    <n v="1"/>
    <m/>
    <m/>
    <m/>
  </r>
  <r>
    <s v="C805989"/>
    <s v="NATALIA ANDREA SAMBONI"/>
    <x v="3"/>
    <x v="11"/>
    <s v="BBVA"/>
    <e v="#NAME?"/>
    <s v="SDATOOL-40384 $ Cobrar intereses corrientes entre la transacción y la pre-cancelación"/>
    <n v="0.3"/>
    <s v="Otros"/>
    <s v="Mainframe"/>
    <m/>
    <e v="#NAME?"/>
    <e v="#NAME?"/>
    <e v="#NAME?"/>
    <m/>
    <m/>
    <m/>
    <m/>
    <m/>
    <n v="0"/>
    <m/>
    <m/>
    <m/>
  </r>
  <r>
    <s v="C805989"/>
    <s v="NATALIA ANDREA SAMBONI"/>
    <x v="3"/>
    <x v="11"/>
    <s v="BBVA"/>
    <e v="#NAME?"/>
    <s v="NOSDA $ BAU (Mantenimiento y peq. evolutivos)"/>
    <n v="0.3"/>
    <s v="Otros"/>
    <s v="Mainframe"/>
    <m/>
    <e v="#NAME?"/>
    <e v="#NAME?"/>
    <e v="#NAME?"/>
    <m/>
    <m/>
    <m/>
    <m/>
    <m/>
    <n v="0"/>
    <m/>
    <m/>
    <m/>
  </r>
  <r>
    <s v="C805958"/>
    <s v="NICO NIÑO VERGARA"/>
    <x v="3"/>
    <x v="11"/>
    <s v="BBVA"/>
    <e v="#NAME?"/>
    <s v="SDATOOL-37057 $ Pagos QR - Entre cuentas Redeban - Plan Ascenso Mercurio"/>
    <n v="1"/>
    <s v="Desarrollador"/>
    <s v="APX"/>
    <m/>
    <e v="#NAME?"/>
    <e v="#NAME?"/>
    <e v="#NAME?"/>
    <m/>
    <m/>
    <m/>
    <m/>
    <m/>
    <n v="1"/>
    <m/>
    <m/>
    <m/>
  </r>
  <r>
    <s v="C342042"/>
    <s v="RICARDO ANDRES CERRATO"/>
    <x v="3"/>
    <x v="11"/>
    <s v="BBVA"/>
    <e v="#NAME?"/>
    <s v="SDATOOL-41757 $ AJUSTE AUTOMATIZACION CONCILIACION ARA"/>
    <n v="0.15"/>
    <s v="Tech Manager/Líder"/>
    <s v="Mainframe"/>
    <m/>
    <e v="#NAME?"/>
    <e v="#NAME?"/>
    <e v="#NAME?"/>
    <m/>
    <m/>
    <m/>
    <m/>
    <m/>
    <n v="1"/>
    <m/>
    <m/>
    <m/>
  </r>
  <r>
    <s v="C342042"/>
    <s v="RICARDO ANDRES CERRATO"/>
    <x v="3"/>
    <x v="11"/>
    <s v="BBVA"/>
    <e v="#NAME?"/>
    <s v="SDATOOL-40295 $ Tokenización COF"/>
    <n v="0.2"/>
    <s v="Tech Manager/Líder"/>
    <s v="Mainframe"/>
    <m/>
    <e v="#NAME?"/>
    <e v="#NAME?"/>
    <e v="#NAME?"/>
    <m/>
    <m/>
    <m/>
    <m/>
    <m/>
    <n v="0"/>
    <m/>
    <m/>
    <m/>
  </r>
  <r>
    <s v="C342042"/>
    <s v="RICARDO ANDRES CERRATO"/>
    <x v="3"/>
    <x v="11"/>
    <s v="BBVA"/>
    <e v="#NAME?"/>
    <s v="SDATOOL-40442 $ M4M - Tokenización Mastercard"/>
    <n v="0.25"/>
    <s v="Tech Manager/Líder"/>
    <s v="Mainframe"/>
    <m/>
    <e v="#NAME?"/>
    <e v="#NAME?"/>
    <e v="#NAME?"/>
    <m/>
    <m/>
    <m/>
    <m/>
    <m/>
    <n v="0"/>
    <m/>
    <m/>
    <m/>
  </r>
  <r>
    <s v="C342042"/>
    <s v="RICARDO ANDRES CERRATO"/>
    <x v="3"/>
    <x v="11"/>
    <s v="BBVA"/>
    <e v="#NAME?"/>
    <s v="SDATOOL-41726 $ EXTRACUPO TARJETA DE CREDITO"/>
    <n v="0.15"/>
    <s v="Tech Manager/Líder"/>
    <s v="Mainframe"/>
    <m/>
    <e v="#NAME?"/>
    <e v="#NAME?"/>
    <e v="#NAME?"/>
    <m/>
    <m/>
    <m/>
    <m/>
    <m/>
    <n v="0"/>
    <m/>
    <m/>
    <m/>
  </r>
  <r>
    <s v="C342042"/>
    <s v="RICARDO ANDRES CERRATO"/>
    <x v="3"/>
    <x v="11"/>
    <s v="BBVA"/>
    <e v="#NAME?"/>
    <s v="SDATOOL-41709 $ Fraccionamiento de transacciones en CBs"/>
    <n v="0.05"/>
    <s v="Tech Manager/Líder"/>
    <s v="Mainframe"/>
    <m/>
    <e v="#NAME?"/>
    <e v="#NAME?"/>
    <e v="#NAME?"/>
    <m/>
    <m/>
    <m/>
    <m/>
    <m/>
    <n v="0"/>
    <m/>
    <m/>
    <m/>
  </r>
  <r>
    <s v="C342042"/>
    <s v="RICARDO ANDRES CERRATO"/>
    <x v="3"/>
    <x v="11"/>
    <s v="BBVA"/>
    <e v="#NAME?"/>
    <s v="SDATOOL-40613 $ Códigos MAC"/>
    <n v="0.1"/>
    <s v="Tech Manager/Líder"/>
    <s v="Mainframe"/>
    <m/>
    <e v="#NAME?"/>
    <e v="#NAME?"/>
    <e v="#NAME?"/>
    <m/>
    <m/>
    <m/>
    <m/>
    <m/>
    <n v="0"/>
    <m/>
    <m/>
    <m/>
  </r>
  <r>
    <s v="C342042"/>
    <s v="RICARDO ANDRES CERRATO"/>
    <x v="3"/>
    <x v="11"/>
    <s v="BBVA"/>
    <e v="#NAME?"/>
    <s v="NOSDA $ BAU (Mantenimiento y peq. evolutivos)"/>
    <n v="0.1"/>
    <s v="Tech Manager/Líder"/>
    <s v="Mainframe"/>
    <m/>
    <e v="#NAME?"/>
    <e v="#NAME?"/>
    <e v="#NAME?"/>
    <m/>
    <m/>
    <m/>
    <m/>
    <m/>
    <n v="0"/>
    <m/>
    <m/>
    <m/>
  </r>
  <r>
    <s v="C810792"/>
    <s v="ROBER ESNEIDER PARRA POLANIA"/>
    <x v="3"/>
    <x v="11"/>
    <s v="BBVA"/>
    <e v="#NAME?"/>
    <s v="SDATOOL-39785 $ Segmentación contratos ADN"/>
    <n v="0.5"/>
    <s v="Desarrollador"/>
    <s v="Mainframe"/>
    <m/>
    <e v="#NAME?"/>
    <e v="#NAME?"/>
    <e v="#NAME?"/>
    <m/>
    <m/>
    <m/>
    <m/>
    <m/>
    <n v="1"/>
    <m/>
    <m/>
    <m/>
  </r>
  <r>
    <s v="C810792"/>
    <s v="ROBER ESNEIDER PARRA POLANIA"/>
    <x v="3"/>
    <x v="11"/>
    <s v="BBVA"/>
    <e v="#NAME?"/>
    <s v="NOSDA $ BAU (Mantenimiento y peq. evolutivos)"/>
    <n v="0.5"/>
    <s v="Desarrollador"/>
    <s v="Mainframe"/>
    <m/>
    <e v="#NAME?"/>
    <e v="#NAME?"/>
    <e v="#NAME?"/>
    <m/>
    <m/>
    <m/>
    <m/>
    <m/>
    <n v="0"/>
    <m/>
    <m/>
    <m/>
  </r>
  <r>
    <s v="O000103"/>
    <s v="TATIANA  PAOLA PEREIRA RIOS"/>
    <x v="3"/>
    <x v="11"/>
    <s v="BBVA"/>
    <e v="#NAME?"/>
    <s v="SDATOOL-40455 $ Comisión porcentaje compras internacionales Mastercard y Visa Fase 2"/>
    <n v="0.1"/>
    <s v="Desarrollador"/>
    <s v="Mainframe"/>
    <m/>
    <e v="#NAME?"/>
    <e v="#NAME?"/>
    <e v="#NAME?"/>
    <m/>
    <m/>
    <m/>
    <m/>
    <m/>
    <n v="1"/>
    <m/>
    <m/>
    <m/>
  </r>
  <r>
    <s v="O000103"/>
    <s v="TATIANA  PAOLA PEREIRA RIOS"/>
    <x v="3"/>
    <x v="11"/>
    <s v="BBVA"/>
    <e v="#NAME?"/>
    <s v="NOSDA $ BAU (Mantenimiento y peq. evolutivos)"/>
    <n v="0.3"/>
    <s v="Desarrollador"/>
    <s v="Mainframe"/>
    <m/>
    <e v="#NAME?"/>
    <e v="#NAME?"/>
    <e v="#NAME?"/>
    <m/>
    <m/>
    <m/>
    <m/>
    <m/>
    <n v="0"/>
    <m/>
    <m/>
    <m/>
  </r>
  <r>
    <s v="O000103"/>
    <s v="TATIANA  PAOLA PEREIRA RIOS"/>
    <x v="3"/>
    <x v="11"/>
    <s v="BBVA"/>
    <e v="#NAME?"/>
    <s v="SDATOOL-40384 $ Cobrar intereses corrientes entre la transacción y la pre-cancelación"/>
    <n v="0.3"/>
    <s v="Desarrollador"/>
    <s v="Mainframe"/>
    <m/>
    <e v="#NAME?"/>
    <e v="#NAME?"/>
    <e v="#NAME?"/>
    <m/>
    <m/>
    <m/>
    <m/>
    <m/>
    <n v="0"/>
    <m/>
    <m/>
    <m/>
  </r>
  <r>
    <s v="O000103"/>
    <s v="TATIANA  PAOLA PEREIRA RIOS"/>
    <x v="3"/>
    <x v="11"/>
    <s v="BBVA"/>
    <e v="#NAME?"/>
    <s v="SDATOOL-37753 $ Plan de transformación de operaciones 2022"/>
    <n v="0.3"/>
    <s v="Desarrollador"/>
    <s v="Mainframe"/>
    <m/>
    <e v="#NAME?"/>
    <e v="#NAME?"/>
    <e v="#NAME?"/>
    <m/>
    <m/>
    <m/>
    <m/>
    <m/>
    <n v="0"/>
    <m/>
    <m/>
    <m/>
  </r>
  <r>
    <s v="C808282"/>
    <s v="WBEIMAR MURILLO"/>
    <x v="3"/>
    <x v="11"/>
    <s v="BBVA"/>
    <e v="#NAME?"/>
    <s v="NOSDA $ BAU (Mantenimiento y peq. evolutivos)"/>
    <n v="0.2"/>
    <s v="Desarrollador"/>
    <s v="Mainframe"/>
    <m/>
    <e v="#NAME?"/>
    <e v="#NAME?"/>
    <e v="#NAME?"/>
    <m/>
    <m/>
    <m/>
    <m/>
    <m/>
    <n v="1"/>
    <m/>
    <m/>
    <m/>
  </r>
  <r>
    <s v="C808282"/>
    <s v="WBEIMAR MURILLO"/>
    <x v="3"/>
    <x v="11"/>
    <s v="BBVA"/>
    <e v="#NAME?"/>
    <s v="SDATOOL-40442 $ M4M - Tokenización Mastercard"/>
    <n v="0.8"/>
    <s v="Desarrollador"/>
    <s v="Mainframe"/>
    <m/>
    <e v="#NAME?"/>
    <e v="#NAME?"/>
    <e v="#NAME?"/>
    <m/>
    <m/>
    <m/>
    <m/>
    <m/>
    <n v="0"/>
    <m/>
    <m/>
    <m/>
  </r>
  <r>
    <s v="C343509"/>
    <s v="WILLIAM LEONARDO ESPITIA FRANCO"/>
    <x v="3"/>
    <x v="11"/>
    <s v="BBVA"/>
    <e v="#NAME?"/>
    <s v="SDATOOL-40384 $ Cobrar intereses corrientes entre la transacción y la pre-cancelación"/>
    <n v="0.6"/>
    <s v="Desarrollador"/>
    <s v="Mainframe"/>
    <m/>
    <e v="#NAME?"/>
    <e v="#NAME?"/>
    <e v="#NAME?"/>
    <m/>
    <m/>
    <m/>
    <m/>
    <m/>
    <n v="1"/>
    <m/>
    <m/>
    <m/>
  </r>
  <r>
    <s v="C343509"/>
    <s v="WILLIAM LEONARDO ESPITIA FRANCO"/>
    <x v="3"/>
    <x v="11"/>
    <s v="BBVA"/>
    <e v="#NAME?"/>
    <s v="NOSDA $ BAU (Mantenimiento y peq. evolutivos)"/>
    <n v="0.4"/>
    <s v="Desarrollador"/>
    <s v="Mainframe"/>
    <m/>
    <e v="#NAME?"/>
    <e v="#NAME?"/>
    <e v="#NAME?"/>
    <m/>
    <m/>
    <m/>
    <m/>
    <m/>
    <n v="0"/>
    <m/>
    <m/>
    <m/>
  </r>
  <r>
    <s v="C811175"/>
    <s v="CIRO ALONSO RINCON HERNANDEZ"/>
    <x v="3"/>
    <x v="11"/>
    <s v="BBVA"/>
    <e v="#NAME?"/>
    <s v="SDATOOL-41938 $ GRM Col Reg - Ajuste Calificación Escalera"/>
    <n v="0.6"/>
    <s v="Desarrollador"/>
    <s v="Mainframe"/>
    <m/>
    <e v="#NAME?"/>
    <e v="#NAME?"/>
    <e v="#NAME?"/>
    <m/>
    <m/>
    <m/>
    <m/>
    <m/>
    <n v="1"/>
    <m/>
    <m/>
    <m/>
  </r>
  <r>
    <s v="C803916"/>
    <s v="SERGIO EDUARDO MARTINEZ LOPEZ"/>
    <x v="5"/>
    <x v="21"/>
    <s v="BBVA"/>
    <e v="#NAME?"/>
    <s v="NOSDA $ BAU (Mantenimiento y peq. evolutivos)"/>
    <n v="0.25"/>
    <s v="Tech Manager/Líder"/>
    <s v="Distribuido"/>
    <m/>
    <e v="#NAME?"/>
    <e v="#NAME?"/>
    <e v="#NAME?"/>
    <m/>
    <m/>
    <m/>
    <m/>
    <m/>
    <m/>
    <m/>
    <m/>
    <m/>
  </r>
  <r>
    <s v="C803916"/>
    <s v="SERGIO EDUARDO MARTINEZ LOPEZ"/>
    <x v="5"/>
    <x v="21"/>
    <s v="BBVA"/>
    <e v="#NAME?"/>
    <s v="SDATOOL-38489 $ Horizon BTGR - Colombia"/>
    <n v="0.75"/>
    <s v="Tech Manager/Líder"/>
    <s v="Distribuido"/>
    <m/>
    <e v="#NAME?"/>
    <e v="#NAME?"/>
    <e v="#NAME?"/>
    <m/>
    <m/>
    <m/>
    <m/>
    <m/>
    <m/>
    <m/>
    <m/>
    <m/>
  </r>
  <r>
    <s v="C811189"/>
    <s v="JUAN PABLO MILLAN MORALES"/>
    <x v="5"/>
    <x v="21"/>
    <s v="BBVA"/>
    <e v="#NAME?"/>
    <s v="NOSDA $ BAU (Mantenimiento y peq. evolutivos)"/>
    <n v="0.25"/>
    <s v="Desarrollador"/>
    <s v="ASO"/>
    <m/>
    <e v="#NAME?"/>
    <e v="#NAME?"/>
    <e v="#NAME?"/>
    <m/>
    <m/>
    <m/>
    <m/>
    <m/>
    <m/>
    <m/>
    <m/>
    <m/>
  </r>
  <r>
    <s v="C811189"/>
    <s v="JUAN PABLO MILLAN MORALES"/>
    <x v="5"/>
    <x v="21"/>
    <s v="BBVA"/>
    <e v="#NAME?"/>
    <s v="SDATOOL-38489 $ Horizon BTGR - Colombia"/>
    <n v="0.75"/>
    <s v="Desarrollador"/>
    <s v="ASO"/>
    <m/>
    <e v="#NAME?"/>
    <e v="#NAME?"/>
    <e v="#NAME?"/>
    <m/>
    <m/>
    <m/>
    <m/>
    <m/>
    <m/>
    <m/>
    <m/>
    <m/>
  </r>
  <r>
    <s v="C342045"/>
    <s v="NELSON JAVIER MONCADA GELVES"/>
    <x v="5"/>
    <x v="21"/>
    <s v="BBVA"/>
    <e v="#NAME?"/>
    <s v="SDATOOL-38489 $ Horizon BTGR - Colombia"/>
    <n v="0.75"/>
    <s v="Desarrollador"/>
    <s v="Mainframe"/>
    <m/>
    <e v="#NAME?"/>
    <e v="#NAME?"/>
    <e v="#NAME?"/>
    <m/>
    <m/>
    <m/>
    <m/>
    <m/>
    <m/>
    <m/>
    <m/>
    <m/>
  </r>
  <r>
    <s v="C342045"/>
    <s v="NELSON JAVIER MONCADA GELVES"/>
    <x v="5"/>
    <x v="21"/>
    <s v="BBVA"/>
    <e v="#NAME?"/>
    <s v="SDATOOL-9053 $ GloMo Colombia"/>
    <n v="0.25"/>
    <s v="Desarrollador"/>
    <s v="Mainframe"/>
    <m/>
    <e v="#NAME?"/>
    <e v="#NAME?"/>
    <e v="#NAME?"/>
    <m/>
    <m/>
    <m/>
    <m/>
    <m/>
    <m/>
    <m/>
    <m/>
    <m/>
  </r>
  <r>
    <s v="C809565"/>
    <s v="JOAN CAMILO CHIVATA SANCHEZ"/>
    <x v="5"/>
    <x v="21"/>
    <s v="BBVA"/>
    <e v="#NAME?"/>
    <s v="NOSDA $ BAU (Mantenimiento y peq. evolutivos)"/>
    <n v="1"/>
    <s v="Desarrollador"/>
    <s v="Mainframe"/>
    <m/>
    <e v="#NAME?"/>
    <e v="#NAME?"/>
    <e v="#NAME?"/>
    <m/>
    <m/>
    <m/>
    <m/>
    <m/>
    <m/>
    <m/>
    <m/>
    <m/>
  </r>
  <r>
    <s v="C810952"/>
    <s v="JUAN SEBASTIAN AYALA RENDON"/>
    <x v="5"/>
    <x v="21"/>
    <s v="BBVA"/>
    <e v="#NAME?"/>
    <s v="NOSDA $ BAU (Mantenimiento y peq. evolutivos)"/>
    <n v="1"/>
    <s v="Desarrollador"/>
    <s v="ASO"/>
    <m/>
    <e v="#NAME?"/>
    <e v="#NAME?"/>
    <e v="#NAME?"/>
    <m/>
    <m/>
    <m/>
    <m/>
    <m/>
    <m/>
    <m/>
    <m/>
    <m/>
  </r>
  <r>
    <s v="C805933"/>
    <s v="BRAYAN NICOLAS PEÑA QUINTANA"/>
    <x v="5"/>
    <x v="21"/>
    <s v="BBVA"/>
    <e v="#NAME?"/>
    <s v="NOSDA $ BAU (Mantenimiento y peq. evolutivos)"/>
    <n v="1"/>
    <s v="Desarrollador"/>
    <s v="Distribuido"/>
    <m/>
    <e v="#NAME?"/>
    <e v="#NAME?"/>
    <e v="#NAME?"/>
    <m/>
    <m/>
    <m/>
    <m/>
    <m/>
    <m/>
    <m/>
    <m/>
    <m/>
  </r>
  <r>
    <s v="C804547"/>
    <s v="CARLOS MARIO BERNAL CASTRO"/>
    <x v="5"/>
    <x v="21"/>
    <s v="BBVA"/>
    <e v="#NAME?"/>
    <s v="SDATOOL-38489 $ Horizon BTGR - Colombia"/>
    <n v="0.5"/>
    <s v="Tech Manager/Líder"/>
    <s v="ASO"/>
    <m/>
    <e v="#NAME?"/>
    <e v="#NAME?"/>
    <e v="#NAME?"/>
    <m/>
    <m/>
    <m/>
    <m/>
    <m/>
    <m/>
    <m/>
    <m/>
    <m/>
  </r>
  <r>
    <s v="C804547"/>
    <s v="CARLOS MARIO BERNAL CASTRO"/>
    <x v="5"/>
    <x v="21"/>
    <s v="BBVA"/>
    <e v="#NAME?"/>
    <s v="SDATOOL-9053 $ GloMo Colombia"/>
    <n v="0.5"/>
    <s v="Tech Manager/Líder"/>
    <s v="ASO"/>
    <m/>
    <e v="#NAME?"/>
    <e v="#NAME?"/>
    <e v="#NAME?"/>
    <m/>
    <m/>
    <m/>
    <m/>
    <m/>
    <m/>
    <m/>
    <m/>
    <m/>
  </r>
  <r>
    <s v="C802282"/>
    <s v="DIEGO SANTOS DUARTE CUELLAR"/>
    <x v="5"/>
    <x v="21"/>
    <s v="BBVA"/>
    <e v="#NAME?"/>
    <s v="SDATOOL-9053 $ GloMo Colombia"/>
    <n v="1"/>
    <s v="Desarrollador"/>
    <s v="Distribuido"/>
    <m/>
    <e v="#NAME?"/>
    <e v="#NAME?"/>
    <e v="#NAME?"/>
    <m/>
    <m/>
    <m/>
    <m/>
    <m/>
    <m/>
    <m/>
    <m/>
    <m/>
  </r>
  <r>
    <s v="C343114"/>
    <s v="VICTOR HUGO DIAZ CERON"/>
    <x v="5"/>
    <x v="21"/>
    <s v="BBVA"/>
    <e v="#NAME?"/>
    <s v="SDATOOL-9053 $ GloMo Colombia"/>
    <n v="1"/>
    <s v="Desarrollador"/>
    <s v="Distribuido"/>
    <m/>
    <e v="#NAME?"/>
    <e v="#NAME?"/>
    <e v="#NAME?"/>
    <m/>
    <m/>
    <m/>
    <m/>
    <m/>
    <m/>
    <m/>
    <m/>
    <m/>
  </r>
  <r>
    <s v="O002666"/>
    <s v="DAVID ESTEBAN ARAGON PEÑUELA"/>
    <x v="5"/>
    <x v="21"/>
    <s v="BBVA"/>
    <e v="#NAME?"/>
    <s v="SDATOOL-38489 $ Horizon BTGR - Colombia"/>
    <n v="1"/>
    <s v="Desarrollador"/>
    <s v="ASO"/>
    <m/>
    <e v="#NAME?"/>
    <e v="#NAME?"/>
    <e v="#NAME?"/>
    <m/>
    <m/>
    <m/>
    <m/>
    <m/>
    <m/>
    <m/>
    <m/>
    <m/>
  </r>
  <r>
    <s v="C811379"/>
    <s v="CAMILO ANDRES MUÑOZ CAICEDO"/>
    <x v="5"/>
    <x v="21"/>
    <s v="BBVA"/>
    <e v="#NAME?"/>
    <s v="SDATOOL-38489 $ Horizon BTGR - Colombia"/>
    <n v="0.25"/>
    <s v="Desarrollador"/>
    <s v="Distribuido"/>
    <m/>
    <e v="#NAME?"/>
    <e v="#NAME?"/>
    <e v="#NAME?"/>
    <m/>
    <m/>
    <m/>
    <m/>
    <m/>
    <m/>
    <m/>
    <m/>
    <m/>
  </r>
  <r>
    <s v="C811379"/>
    <s v="CAMILO ANDRES MUÑOZ CAICEDO"/>
    <x v="5"/>
    <x v="21"/>
    <s v="BBVA"/>
    <e v="#NAME?"/>
    <s v="SDATOOL-9053 $ GloMo Colombia"/>
    <n v="0.75"/>
    <s v="Desarrollador"/>
    <s v="Distribuido"/>
    <m/>
    <e v="#NAME?"/>
    <e v="#NAME?"/>
    <e v="#NAME?"/>
    <m/>
    <m/>
    <m/>
    <m/>
    <m/>
    <m/>
    <m/>
    <m/>
    <m/>
  </r>
  <r>
    <s v="C804782"/>
    <s v="DIEGO JAVIER MORENO RUSINQUE"/>
    <x v="5"/>
    <x v="21"/>
    <s v="BBVA"/>
    <e v="#NAME?"/>
    <s v="SDATOOL-38489 $ Horizon BTGR - Colombia"/>
    <n v="1"/>
    <s v="Tech Manager/Líder"/>
    <s v="ASO"/>
    <m/>
    <e v="#NAME?"/>
    <e v="#NAME?"/>
    <e v="#NAME?"/>
    <m/>
    <m/>
    <m/>
    <m/>
    <m/>
    <m/>
    <m/>
    <m/>
    <m/>
  </r>
  <r>
    <s v="C811198"/>
    <s v="EDWIN DAVID TORO ECHEVERRIA"/>
    <x v="5"/>
    <x v="21"/>
    <s v="BBVA"/>
    <e v="#NAME?"/>
    <s v="SDATOOL-9053 $ GloMo Colombia"/>
    <n v="1"/>
    <s v="Desarrollador"/>
    <s v="APX"/>
    <m/>
    <e v="#NAME?"/>
    <e v="#NAME?"/>
    <e v="#NAME?"/>
    <m/>
    <m/>
    <m/>
    <m/>
    <m/>
    <m/>
    <m/>
    <m/>
    <m/>
  </r>
  <r>
    <s v="C805724"/>
    <s v="KATHERIN DANIELA AREVALO BARRERA"/>
    <x v="5"/>
    <x v="21"/>
    <s v="BBVA"/>
    <e v="#NAME?"/>
    <s v="SDATOOL-9053 $ GloMo Colombia"/>
    <n v="1"/>
    <s v="Otros"/>
    <s v="Distribuido"/>
    <m/>
    <e v="#NAME?"/>
    <e v="#NAME?"/>
    <e v="#NAME?"/>
    <m/>
    <m/>
    <m/>
    <m/>
    <m/>
    <m/>
    <m/>
    <m/>
    <m/>
  </r>
  <r>
    <s v="C810833"/>
    <s v="FERNANDO JOSE BOLIVAR NAVARRO"/>
    <x v="5"/>
    <x v="21"/>
    <s v="BBVA"/>
    <e v="#NAME?"/>
    <s v="SDATOOL-9053 $ GloMo Colombia"/>
    <n v="1"/>
    <s v="Otros"/>
    <s v="Distribuido"/>
    <m/>
    <e v="#NAME?"/>
    <e v="#NAME?"/>
    <e v="#NAME?"/>
    <m/>
    <m/>
    <m/>
    <m/>
    <m/>
    <m/>
    <m/>
    <m/>
    <m/>
  </r>
  <r>
    <s v="O003002"/>
    <s v="EDISSON IOVANNI RODRIGUEZ SOCHA"/>
    <x v="5"/>
    <x v="21"/>
    <s v="BBVA"/>
    <e v="#NAME?"/>
    <s v="SDATOOL-38489 $ Horizon BTGR - Colombia"/>
    <n v="1"/>
    <s v="Desarrollador"/>
    <s v="Distribuido"/>
    <m/>
    <e v="#NAME?"/>
    <e v="#NAME?"/>
    <e v="#NAME?"/>
    <m/>
    <m/>
    <m/>
    <m/>
    <m/>
    <m/>
    <m/>
    <m/>
    <m/>
  </r>
  <r>
    <s v="CI35375"/>
    <s v="Luis Rodrigo Ulloa Marin"/>
    <x v="1"/>
    <x v="18"/>
    <s v="BBVA Fiduciaria"/>
    <e v="#NAME?"/>
    <s v="SDATOOL-40548 $ Fiduciaria - Obsolecencia aplicativa, infraestructura e Insider aplicativo FIDUSAP"/>
    <n v="0.18"/>
    <s v="Tech Manager/Líder"/>
    <s v="Distribuido"/>
    <s v="Interno"/>
    <e v="#NAME?"/>
    <e v="#NAME?"/>
    <e v="#NAME?"/>
    <m/>
    <m/>
    <m/>
    <m/>
    <m/>
    <m/>
    <m/>
    <m/>
    <m/>
  </r>
  <r>
    <s v="CI35375"/>
    <s v="Luis Rodrigo Ulloa Marin"/>
    <x v="1"/>
    <x v="18"/>
    <s v="BBVA Fiduciaria"/>
    <e v="#NAME?"/>
    <s v="SDATOOL-40812 $ Fiduciaria - Cambio de operador tecnologico para los documentos electronicos en la sociedad"/>
    <n v="0.16"/>
    <s v="Tech Manager/Líder"/>
    <s v="Distribuido"/>
    <s v="Interno"/>
    <e v="#NAME?"/>
    <e v="#NAME?"/>
    <e v="#NAME?"/>
    <m/>
    <m/>
    <m/>
    <m/>
    <m/>
    <m/>
    <m/>
    <m/>
    <m/>
  </r>
  <r>
    <s v="CI35128"/>
    <s v="Cristian Camilo Rincon"/>
    <x v="1"/>
    <x v="18"/>
    <s v="BBVA Fiduciaria"/>
    <e v="#NAME?"/>
    <s v="SDATOOL-39282 $ Fiduciaria - Alta y domiciliación Fondos de inversión jurídicos en Gema"/>
    <n v="0.25"/>
    <s v="Tech Manager/Líder"/>
    <m/>
    <s v="Interno"/>
    <e v="#NAME?"/>
    <e v="#NAME?"/>
    <e v="#NAME?"/>
    <m/>
    <m/>
    <m/>
    <m/>
    <m/>
    <m/>
    <m/>
    <m/>
    <m/>
  </r>
  <r>
    <s v="CI08666"/>
    <s v="Jorge Anibal Blanco Meneses"/>
    <x v="1"/>
    <x v="18"/>
    <s v="BBVA Fiduciaria"/>
    <e v="#NAME?"/>
    <s v="SDATOOL-39282 $ Fiduciaria - Alta y domiciliación Fondos de inversión jurídicos en Gema"/>
    <n v="0.3"/>
    <s v="Tech Manager/Líder"/>
    <m/>
    <s v="Interno"/>
    <e v="#NAME?"/>
    <e v="#NAME?"/>
    <e v="#NAME?"/>
    <m/>
    <m/>
    <m/>
    <m/>
    <m/>
    <m/>
    <m/>
    <m/>
    <m/>
  </r>
  <r>
    <s v="CI35442"/>
    <s v="Juan Camilo Ladino Guezguan"/>
    <x v="1"/>
    <x v="18"/>
    <s v="BBVA Fiduciaria"/>
    <e v="#NAME?"/>
    <s v="SDATOOL-39282 $ Fiduciaria - Alta y domiciliación Fondos de inversión jurídicos en Gema"/>
    <n v="0.3"/>
    <s v="Desarrollador"/>
    <m/>
    <s v="Interno"/>
    <e v="#NAME?"/>
    <e v="#NAME?"/>
    <e v="#NAME?"/>
    <m/>
    <m/>
    <m/>
    <m/>
    <m/>
    <m/>
    <m/>
    <m/>
    <m/>
  </r>
  <r>
    <s v="O000087"/>
    <s v="Jayson Ricardo Becerra Gomez"/>
    <x v="1"/>
    <x v="18"/>
    <s v="BBVA Fiduciaria"/>
    <e v="#NAME?"/>
    <s v="SDATOOL-39555 $ Fiduciaria - Vinculación digital de clientes a través de productos inmobiliarios"/>
    <n v="0.5"/>
    <s v="Tech Manager/Líder"/>
    <m/>
    <s v="Interno"/>
    <e v="#NAME?"/>
    <e v="#NAME?"/>
    <e v="#NAME?"/>
    <m/>
    <m/>
    <m/>
    <m/>
    <m/>
    <m/>
    <m/>
    <m/>
    <m/>
  </r>
  <r>
    <s v="O000087"/>
    <s v="Jayson Ricardo Becerra Gomez"/>
    <x v="1"/>
    <x v="18"/>
    <s v="BBVA Fiduciaria"/>
    <e v="#NAME?"/>
    <s v="SDATOOL-39572 $ Fiduciaria - Autogestión documental en la vinculación productos inmobiliarios"/>
    <n v="0.5"/>
    <s v="Tech Manager/Líder"/>
    <m/>
    <s v="Interno"/>
    <e v="#NAME?"/>
    <e v="#NAME?"/>
    <e v="#NAME?"/>
    <m/>
    <m/>
    <m/>
    <m/>
    <m/>
    <m/>
    <m/>
    <m/>
    <m/>
  </r>
  <r>
    <s v="O000150"/>
    <s v="Oscar Fernando Real Bautista"/>
    <x v="1"/>
    <x v="18"/>
    <s v="BBVA Fiduciaria"/>
    <e v="#NAME?"/>
    <s v="SDATOOL-40813 $ Fiduciaria - Autogestion Usuarios - AI Pagos End to End"/>
    <n v="0.4"/>
    <s v="Tech Manager/Líder"/>
    <m/>
    <s v="Interno"/>
    <e v="#NAME?"/>
    <e v="#NAME?"/>
    <e v="#NAME?"/>
    <m/>
    <m/>
    <m/>
    <m/>
    <m/>
    <m/>
    <m/>
    <m/>
    <m/>
  </r>
  <r>
    <s v="O000150"/>
    <s v="Oscar Fernando Real Bautista"/>
    <x v="1"/>
    <x v="18"/>
    <s v="BBVA Fiduciaria"/>
    <e v="#NAME?"/>
    <s v="SDATOOL-40639 $ Fiduciaria -Obsolecencia Migración Softoken FIDUSAP R2 a NextGen"/>
    <n v="0.4"/>
    <s v="Tech Manager/Líder"/>
    <m/>
    <s v="Interno"/>
    <e v="#NAME?"/>
    <e v="#NAME?"/>
    <e v="#NAME?"/>
    <m/>
    <m/>
    <m/>
    <m/>
    <m/>
    <m/>
    <m/>
    <m/>
    <m/>
  </r>
  <r>
    <s v="CI35128"/>
    <s v="Cristian Camilo Rincon"/>
    <x v="1"/>
    <x v="18"/>
    <s v="BBVA Fiduciaria"/>
    <e v="#NAME?"/>
    <s v="SDATOOL-40552 $ Fiduciaria - PSE Procesamiento y confirmación de pagos en línea"/>
    <n v="0.25"/>
    <s v="Tech Manager/Líder"/>
    <m/>
    <s v="Interno"/>
    <e v="#NAME?"/>
    <e v="#NAME?"/>
    <e v="#NAME?"/>
    <m/>
    <m/>
    <m/>
    <m/>
    <m/>
    <m/>
    <m/>
    <m/>
    <m/>
  </r>
  <r>
    <s v="CI08666"/>
    <s v="Jorge Anibal Blanco Meneses"/>
    <x v="1"/>
    <x v="18"/>
    <s v="BBVA Fiduciaria"/>
    <e v="#NAME?"/>
    <s v="SDATOOL-40552 $ Fiduciaria - PSE Procesamiento y confirmación de pagos en línea"/>
    <n v="0.3"/>
    <s v="Tech Manager/Líder"/>
    <m/>
    <s v="Interno"/>
    <e v="#NAME?"/>
    <e v="#NAME?"/>
    <e v="#NAME?"/>
    <m/>
    <m/>
    <m/>
    <m/>
    <m/>
    <m/>
    <m/>
    <m/>
    <m/>
  </r>
  <r>
    <s v="CI35442"/>
    <s v="Juan Camilo Ladino Guezguan"/>
    <x v="1"/>
    <x v="18"/>
    <s v="BBVA Fiduciaria"/>
    <e v="#NAME?"/>
    <s v="SDATOOL-40552 $ Fiduciaria - PSE Procesamiento y confirmación de pagos en línea"/>
    <n v="0.3"/>
    <s v="Desarrollador"/>
    <m/>
    <s v="Interno"/>
    <e v="#NAME?"/>
    <e v="#NAME?"/>
    <e v="#NAME?"/>
    <m/>
    <m/>
    <m/>
    <m/>
    <m/>
    <m/>
    <m/>
    <m/>
    <m/>
  </r>
  <r>
    <s v="CI35100"/>
    <s v="Alexander Lopez Fonseca"/>
    <x v="1"/>
    <x v="18"/>
    <s v="BBVA Fiduciaria"/>
    <e v="#NAME?"/>
    <s v="SDATOOL-40012 $ Fiduciaria - Obsolecencia aplicativa para los módulos de rendición de cuentas, Telefónica Factoring y EEFF"/>
    <n v="0.5"/>
    <s v="Tech Manager/Líder"/>
    <m/>
    <s v="Interno"/>
    <e v="#NAME?"/>
    <e v="#NAME?"/>
    <e v="#NAME?"/>
    <m/>
    <m/>
    <m/>
    <m/>
    <m/>
    <m/>
    <m/>
    <m/>
    <m/>
  </r>
  <r>
    <s v="CE68033"/>
    <s v="Donoba Ricardo Figueredo"/>
    <x v="1"/>
    <x v="18"/>
    <s v="BBVA Fiduciaria"/>
    <e v="#NAME?"/>
    <s v="NOSDA $ BAU (Mantenimiento y peq. evolutivos)"/>
    <n v="1"/>
    <s v="QA"/>
    <s v="Distribuido"/>
    <s v="Externo"/>
    <e v="#NAME?"/>
    <e v="#NAME?"/>
    <e v="#NAME?"/>
    <m/>
    <m/>
    <m/>
    <m/>
    <m/>
    <m/>
    <m/>
    <m/>
    <m/>
  </r>
  <r>
    <s v="CE58491"/>
    <s v="Ricardo Pachon"/>
    <x v="1"/>
    <x v="18"/>
    <s v="BBVA Fiduciaria"/>
    <e v="#NAME?"/>
    <s v="SDATOOL-40548 $ Fiduciaria - Obsolecencia aplicativa, infraestructura e Insider aplicativo FIDUSAP"/>
    <n v="1"/>
    <s v="QA"/>
    <s v="Distribuido"/>
    <s v="Externo"/>
    <e v="#NAME?"/>
    <e v="#NAME?"/>
    <e v="#NAME?"/>
    <m/>
    <m/>
    <m/>
    <m/>
    <m/>
    <m/>
    <m/>
    <m/>
    <m/>
  </r>
  <r>
    <s v="CE68487"/>
    <s v="Diana Rubiano"/>
    <x v="1"/>
    <x v="18"/>
    <s v="BBVA Fiduciaria"/>
    <e v="#NAME?"/>
    <s v="SDATOOL-40548 $ Fiduciaria - Obsolecencia aplicativa, infraestructura e Insider aplicativo FIDUSAP"/>
    <n v="1"/>
    <s v="QA"/>
    <s v="Distribuido"/>
    <s v="Externo"/>
    <e v="#NAME?"/>
    <e v="#NAME?"/>
    <e v="#NAME?"/>
    <m/>
    <m/>
    <m/>
    <m/>
    <m/>
    <m/>
    <m/>
    <m/>
    <m/>
  </r>
  <r>
    <s v="CE57320"/>
    <s v="Maria Victoria Ruiz"/>
    <x v="1"/>
    <x v="18"/>
    <s v="BBVA Fiduciaria"/>
    <e v="#NAME?"/>
    <s v="SDATOOL-40548 $ Fiduciaria - Obsolecencia aplicativa, infraestructura e Insider aplicativo FIDUSAP"/>
    <n v="1"/>
    <s v="QA"/>
    <s v="Distribuido"/>
    <s v="Externo"/>
    <e v="#NAME?"/>
    <e v="#NAME?"/>
    <e v="#NAME?"/>
    <m/>
    <m/>
    <m/>
    <m/>
    <m/>
    <m/>
    <m/>
    <m/>
    <m/>
  </r>
  <r>
    <s v="CIXXXXXX"/>
    <s v="Adriana Yamile Rodriguez"/>
    <x v="1"/>
    <x v="18"/>
    <s v="SII"/>
    <e v="#NAME?"/>
    <s v="SDATOOL-39282 $ Fiduciaria - Alta y domiciliación Fondos de inversión jurídicos en Gema"/>
    <n v="0.5"/>
    <s v="Desarrollador"/>
    <s v="ASO"/>
    <s v="Externo"/>
    <e v="#NAME?"/>
    <e v="#NAME?"/>
    <e v="#NAME?"/>
    <m/>
    <m/>
    <m/>
    <m/>
    <m/>
    <m/>
    <m/>
    <m/>
    <m/>
  </r>
  <r>
    <s v="CIXXXXXX"/>
    <s v="Andres Felipe Mora"/>
    <x v="1"/>
    <x v="18"/>
    <s v="SII"/>
    <e v="#NAME?"/>
    <s v="SDATOOL-39282 $ Fiduciaria - Alta y domiciliación Fondos de inversión jurídicos en Gema"/>
    <n v="0.5"/>
    <s v="Desarrollador"/>
    <s v="ASO"/>
    <s v="Externo"/>
    <e v="#NAME?"/>
    <e v="#NAME?"/>
    <e v="#NAME?"/>
    <m/>
    <m/>
    <m/>
    <m/>
    <m/>
    <m/>
    <m/>
    <m/>
    <m/>
  </r>
  <r>
    <s v="CIXXXXXX"/>
    <s v="Jean paul patiño"/>
    <x v="1"/>
    <x v="18"/>
    <s v="SII"/>
    <e v="#NAME?"/>
    <s v="SDATOOL-39282 $ Fiduciaria - Alta y domiciliación Fondos de inversión jurídicos en Gema"/>
    <n v="0.5"/>
    <s v="Desarrollador"/>
    <s v="ASO"/>
    <s v="Externo"/>
    <e v="#NAME?"/>
    <e v="#NAME?"/>
    <e v="#NAME?"/>
    <m/>
    <m/>
    <m/>
    <m/>
    <m/>
    <m/>
    <m/>
    <m/>
    <m/>
  </r>
  <r>
    <s v="CIXXXXXX"/>
    <s v="Jhenny meneses"/>
    <x v="1"/>
    <x v="18"/>
    <s v="SII"/>
    <e v="#NAME?"/>
    <s v="SDATOOL-39282 $ Fiduciaria - Alta y domiciliación Fondos de inversión jurídicos en Gema"/>
    <n v="0.5"/>
    <s v="Desarrollador"/>
    <s v="ASO"/>
    <s v="Externo"/>
    <e v="#NAME?"/>
    <e v="#NAME?"/>
    <e v="#NAME?"/>
    <m/>
    <m/>
    <m/>
    <m/>
    <m/>
    <m/>
    <m/>
    <m/>
    <m/>
  </r>
  <r>
    <s v="CIXXXXXX"/>
    <s v="Juan stevens guzman"/>
    <x v="1"/>
    <x v="18"/>
    <s v="SII"/>
    <e v="#NAME?"/>
    <s v="SDATOOL-39282 $ Fiduciaria - Alta y domiciliación Fondos de inversión jurídicos en Gema"/>
    <n v="0.5"/>
    <s v="Desarrollador"/>
    <s v="ASO"/>
    <s v="Externo"/>
    <e v="#NAME?"/>
    <e v="#NAME?"/>
    <e v="#NAME?"/>
    <m/>
    <m/>
    <m/>
    <m/>
    <m/>
    <m/>
    <m/>
    <m/>
    <m/>
  </r>
  <r>
    <s v="CIXXXXXX"/>
    <s v="Michael escobar"/>
    <x v="1"/>
    <x v="18"/>
    <s v="SII"/>
    <e v="#NAME?"/>
    <s v="SDATOOL-39282 $ Fiduciaria - Alta y domiciliación Fondos de inversión jurídicos en Gema"/>
    <n v="0.5"/>
    <s v="Desarrollador"/>
    <s v="ASO"/>
    <s v="Externo"/>
    <e v="#NAME?"/>
    <e v="#NAME?"/>
    <e v="#NAME?"/>
    <m/>
    <m/>
    <m/>
    <m/>
    <m/>
    <m/>
    <m/>
    <m/>
    <m/>
  </r>
  <r>
    <s v="CIXXXXXX"/>
    <s v="Nestor Eduardo Torres Gonzalez"/>
    <x v="1"/>
    <x v="18"/>
    <s v="SII"/>
    <e v="#NAME?"/>
    <s v="SDATOOL-39282 $ Fiduciaria - Alta y domiciliación Fondos de inversión jurídicos en Gema"/>
    <n v="0.5"/>
    <s v="Desarrollador"/>
    <s v="ASO"/>
    <s v="Externo"/>
    <e v="#NAME?"/>
    <e v="#NAME?"/>
    <e v="#NAME?"/>
    <m/>
    <m/>
    <m/>
    <m/>
    <m/>
    <m/>
    <m/>
    <m/>
    <m/>
  </r>
  <r>
    <s v="CIXXXXXX"/>
    <s v="Jonathan Molina Fuentes"/>
    <x v="1"/>
    <x v="18"/>
    <s v="GGI / CMC"/>
    <e v="#NAME?"/>
    <s v="SDATOOL-39282 $ Fiduciaria - Alta y domiciliación Fondos de inversión jurídicos en Gema"/>
    <n v="0.5"/>
    <s v="Desarrollador"/>
    <s v="ASO"/>
    <s v="Externo"/>
    <e v="#NAME?"/>
    <e v="#NAME?"/>
    <e v="#NAME?"/>
    <m/>
    <m/>
    <m/>
    <m/>
    <m/>
    <m/>
    <m/>
    <m/>
    <m/>
  </r>
  <r>
    <s v="CIXXXXXX"/>
    <s v="Nicolas Moreno Arévalo"/>
    <x v="1"/>
    <x v="18"/>
    <s v="GGI / CMC"/>
    <e v="#NAME?"/>
    <s v="SDATOOL-39282 $ Fiduciaria - Alta y domiciliación Fondos de inversión jurídicos en Gema"/>
    <n v="0.5"/>
    <s v="Desarrollador"/>
    <s v="ASO"/>
    <s v="Externo"/>
    <e v="#NAME?"/>
    <e v="#NAME?"/>
    <e v="#NAME?"/>
    <m/>
    <m/>
    <m/>
    <m/>
    <m/>
    <m/>
    <m/>
    <m/>
    <m/>
  </r>
  <r>
    <s v="CIXXXXXX"/>
    <s v="Angie Natalia Gonzalez"/>
    <x v="1"/>
    <x v="18"/>
    <s v="GGI / CMC"/>
    <e v="#NAME?"/>
    <s v="SDATOOL-39282 $ Fiduciaria - Alta y domiciliación Fondos de inversión jurídicos en Gema"/>
    <n v="0.5"/>
    <s v="Desarrollador"/>
    <s v="ASO"/>
    <s v="Externo"/>
    <e v="#NAME?"/>
    <e v="#NAME?"/>
    <e v="#NAME?"/>
    <m/>
    <m/>
    <m/>
    <m/>
    <m/>
    <m/>
    <m/>
    <m/>
    <m/>
  </r>
  <r>
    <s v="CIXXXXXX"/>
    <s v="Adriana Yamile Rodriguez"/>
    <x v="1"/>
    <x v="18"/>
    <s v="SII"/>
    <e v="#NAME?"/>
    <s v="SDATOOL-40552 $ Fiduciaria - PSE Procesamiento y confirmación de pagos en línea"/>
    <n v="0.5"/>
    <s v="Desarrollador"/>
    <s v="ASO"/>
    <s v="Externo"/>
    <e v="#NAME?"/>
    <e v="#NAME?"/>
    <e v="#NAME?"/>
    <m/>
    <m/>
    <m/>
    <m/>
    <m/>
    <m/>
    <m/>
    <m/>
    <m/>
  </r>
  <r>
    <s v="CIXXXXXX"/>
    <s v="Andres Felipe Mora"/>
    <x v="1"/>
    <x v="18"/>
    <s v="SII"/>
    <e v="#NAME?"/>
    <s v="SDATOOL-40552 $ Fiduciaria - PSE Procesamiento y confirmación de pagos en línea"/>
    <n v="0.5"/>
    <s v="Desarrollador"/>
    <s v="ASO"/>
    <s v="Externo"/>
    <e v="#NAME?"/>
    <e v="#NAME?"/>
    <e v="#NAME?"/>
    <m/>
    <m/>
    <m/>
    <m/>
    <m/>
    <m/>
    <m/>
    <m/>
    <m/>
  </r>
  <r>
    <s v="CIXXXXXX"/>
    <s v="Jean paul patiño"/>
    <x v="1"/>
    <x v="18"/>
    <s v="SII"/>
    <e v="#NAME?"/>
    <s v="SDATOOL-40552 $ Fiduciaria - PSE Procesamiento y confirmación de pagos en línea"/>
    <n v="0.5"/>
    <s v="Desarrollador"/>
    <s v="ASO"/>
    <s v="Externo"/>
    <e v="#NAME?"/>
    <e v="#NAME?"/>
    <e v="#NAME?"/>
    <m/>
    <m/>
    <m/>
    <m/>
    <m/>
    <m/>
    <m/>
    <m/>
    <m/>
  </r>
  <r>
    <s v="CIXXXXXX"/>
    <s v="Jhenny meneses"/>
    <x v="1"/>
    <x v="18"/>
    <s v="SII"/>
    <e v="#NAME?"/>
    <s v="SDATOOL-40552 $ Fiduciaria - PSE Procesamiento y confirmación de pagos en línea"/>
    <n v="0.5"/>
    <s v="Desarrollador"/>
    <s v="ASO"/>
    <s v="Externo"/>
    <e v="#NAME?"/>
    <e v="#NAME?"/>
    <e v="#NAME?"/>
    <m/>
    <m/>
    <m/>
    <m/>
    <m/>
    <m/>
    <m/>
    <m/>
    <m/>
  </r>
  <r>
    <s v="CIXXXXXX"/>
    <s v="Juan stevens guzman"/>
    <x v="1"/>
    <x v="18"/>
    <s v="SII"/>
    <e v="#NAME?"/>
    <s v="SDATOOL-40552 $ Fiduciaria - PSE Procesamiento y confirmación de pagos en línea"/>
    <n v="0.5"/>
    <s v="Desarrollador"/>
    <s v="ASO"/>
    <s v="Externo"/>
    <e v="#NAME?"/>
    <e v="#NAME?"/>
    <e v="#NAME?"/>
    <m/>
    <m/>
    <m/>
    <m/>
    <m/>
    <m/>
    <m/>
    <m/>
    <m/>
  </r>
  <r>
    <s v="CIXXXXXX"/>
    <s v="Michael escobar"/>
    <x v="1"/>
    <x v="18"/>
    <s v="SII"/>
    <e v="#NAME?"/>
    <s v="SDATOOL-40552 $ Fiduciaria - PSE Procesamiento y confirmación de pagos en línea"/>
    <n v="0.5"/>
    <s v="Desarrollador"/>
    <s v="ASO"/>
    <s v="Externo"/>
    <e v="#NAME?"/>
    <e v="#NAME?"/>
    <e v="#NAME?"/>
    <m/>
    <m/>
    <m/>
    <m/>
    <m/>
    <m/>
    <m/>
    <m/>
    <m/>
  </r>
  <r>
    <s v="CIXXXXXX"/>
    <s v="Nestor Eduardo Torres Gonzalez"/>
    <x v="1"/>
    <x v="18"/>
    <s v="SII"/>
    <e v="#NAME?"/>
    <s v="SDATOOL-40552 $ Fiduciaria - PSE Procesamiento y confirmación de pagos en línea"/>
    <n v="0.5"/>
    <s v="Desarrollador"/>
    <s v="ASO"/>
    <s v="Externo"/>
    <e v="#NAME?"/>
    <e v="#NAME?"/>
    <e v="#NAME?"/>
    <m/>
    <m/>
    <m/>
    <m/>
    <m/>
    <m/>
    <m/>
    <m/>
    <m/>
  </r>
  <r>
    <s v="CIXXXXXX"/>
    <s v="Jonathan Molina Fuentes"/>
    <x v="1"/>
    <x v="18"/>
    <s v="GGI / CMC"/>
    <e v="#NAME?"/>
    <s v="SDATOOL-40552 $ Fiduciaria - PSE Procesamiento y confirmación de pagos en línea"/>
    <n v="0.5"/>
    <s v="Desarrollador"/>
    <s v="ASO"/>
    <s v="Externo"/>
    <e v="#NAME?"/>
    <e v="#NAME?"/>
    <e v="#NAME?"/>
    <m/>
    <m/>
    <m/>
    <m/>
    <m/>
    <m/>
    <m/>
    <m/>
    <m/>
  </r>
  <r>
    <s v="CIXXXXXX"/>
    <s v="Nicolas Moreno Arévalo"/>
    <x v="1"/>
    <x v="18"/>
    <s v="GGI / CMC"/>
    <e v="#NAME?"/>
    <s v="SDATOOL-40552 $ Fiduciaria - PSE Procesamiento y confirmación de pagos en línea"/>
    <n v="0.5"/>
    <s v="Desarrollador"/>
    <s v="ASO"/>
    <s v="Externo"/>
    <e v="#NAME?"/>
    <e v="#NAME?"/>
    <e v="#NAME?"/>
    <m/>
    <m/>
    <m/>
    <m/>
    <m/>
    <m/>
    <m/>
    <m/>
    <m/>
  </r>
  <r>
    <s v="CIXXXXXX"/>
    <s v="Angie Natalia Gonzalez"/>
    <x v="1"/>
    <x v="18"/>
    <s v="GGI / CMC"/>
    <e v="#NAME?"/>
    <s v="SDATOOL-40552 $ Fiduciaria - PSE Procesamiento y confirmación de pagos en línea"/>
    <n v="0.5"/>
    <s v="Desarrollador"/>
    <s v="ASO"/>
    <s v="Externo"/>
    <e v="#NAME?"/>
    <e v="#NAME?"/>
    <e v="#NAME?"/>
    <m/>
    <m/>
    <m/>
    <m/>
    <m/>
    <m/>
    <m/>
    <m/>
    <m/>
  </r>
  <r>
    <s v="CE69361"/>
    <s v="ANDERSON CAMILO APONTE CERVERA"/>
    <x v="5"/>
    <x v="26"/>
    <s v="Neoris"/>
    <e v="#NAME?"/>
    <s v="SDATOOL-36558 $ Transfiya:Transferencias interbancarias inmediatas - Plan Ascenso Privado"/>
    <n v="0.3"/>
    <s v="Desarrollador"/>
    <s v="ASO"/>
    <m/>
    <e v="#NAME?"/>
    <e v="#NAME?"/>
    <e v="#NAME?"/>
    <m/>
    <m/>
    <m/>
    <m/>
    <m/>
    <m/>
    <m/>
    <m/>
    <m/>
  </r>
  <r>
    <s v="CE51863"/>
    <s v="EDNA ROCIO MONCADA"/>
    <x v="5"/>
    <x v="26"/>
    <s v="KRYPTO"/>
    <e v="#NAME?"/>
    <s v="SDATOOL-36558 $ Transfiya:Transferencias interbancarias inmediatas - Plan Ascenso Privado"/>
    <n v="0.02"/>
    <s v="QA"/>
    <s v="Otras Tec."/>
    <m/>
    <e v="#NAME?"/>
    <e v="#NAME?"/>
    <e v="#NAME?"/>
    <m/>
    <m/>
    <m/>
    <m/>
    <m/>
    <m/>
    <m/>
    <m/>
    <m/>
  </r>
  <r>
    <s v="C810711"/>
    <s v="CRISTIAN ALEXANDER ROJAS AZA"/>
    <x v="5"/>
    <x v="26"/>
    <s v="BBVA"/>
    <e v="#NAME?"/>
    <s v="SDATOOL-36558 $ Transfiya:Transferencias interbancarias inmediatas - Plan Ascenso Privado"/>
    <n v="0.8"/>
    <s v="Desarrollador"/>
    <s v="ASO"/>
    <m/>
    <e v="#NAME?"/>
    <e v="#NAME?"/>
    <e v="#NAME?"/>
    <m/>
    <m/>
    <m/>
    <m/>
    <m/>
    <m/>
    <m/>
    <m/>
    <m/>
  </r>
  <r>
    <s v="C810711"/>
    <s v="CRISTIAN ALEXANDER ROJAS AZA"/>
    <x v="5"/>
    <x v="26"/>
    <s v="BBVA"/>
    <e v="#NAME?"/>
    <s v="SDATOOL-42192 $ Transfiya en GloMo"/>
    <n v="0.2"/>
    <s v="Desarrollador"/>
    <s v="ASO"/>
    <m/>
    <e v="#NAME?"/>
    <e v="#NAME?"/>
    <e v="#NAME?"/>
    <m/>
    <m/>
    <m/>
    <m/>
    <m/>
    <n v="0"/>
    <m/>
    <m/>
    <m/>
  </r>
  <r>
    <s v="C985155"/>
    <s v="DIANA EDITH VILLEGAS RAMIREZ"/>
    <x v="5"/>
    <x v="26"/>
    <s v="BBVA"/>
    <e v="#NAME?"/>
    <s v="SDATOOL-36558 $ Transfiya:Transferencias interbancarias inmediatas - Plan Ascenso Privado"/>
    <n v="1"/>
    <s v="Desarrollador"/>
    <s v="Otras Tec."/>
    <m/>
    <e v="#NAME?"/>
    <e v="#NAME?"/>
    <e v="#NAME?"/>
    <m/>
    <m/>
    <m/>
    <m/>
    <m/>
    <m/>
    <m/>
    <m/>
    <m/>
  </r>
  <r>
    <s v="C342595"/>
    <s v="EDGAR IVAN ARIAS MALDONADO"/>
    <x v="5"/>
    <x v="26"/>
    <s v="BBVA"/>
    <e v="#NAME?"/>
    <s v="SDATOOL-36558 $ Transfiya:Transferencias interbancarias inmediatas - Plan Ascenso Privado"/>
    <n v="1"/>
    <s v="Desarrollador"/>
    <s v="ASO"/>
    <m/>
    <e v="#NAME?"/>
    <e v="#NAME?"/>
    <e v="#NAME?"/>
    <m/>
    <m/>
    <m/>
    <m/>
    <m/>
    <m/>
    <m/>
    <m/>
    <m/>
  </r>
  <r>
    <s v="C810708"/>
    <s v="HAROLD ANDRES CASTILLO CARVAJAL"/>
    <x v="5"/>
    <x v="26"/>
    <s v="BBVA"/>
    <e v="#NAME?"/>
    <s v="SDATOOL-36558 $ Transfiya:Transferencias interbancarias inmediatas - Plan Ascenso Privado"/>
    <n v="1"/>
    <s v="Desarrollador"/>
    <s v="ASO"/>
    <m/>
    <e v="#NAME?"/>
    <e v="#NAME?"/>
    <e v="#NAME?"/>
    <m/>
    <m/>
    <m/>
    <m/>
    <m/>
    <m/>
    <m/>
    <m/>
    <m/>
  </r>
  <r>
    <s v="C342444"/>
    <s v="JOE ESTUPINAN MONTANO"/>
    <x v="5"/>
    <x v="26"/>
    <s v="BBVA"/>
    <e v="#NAME?"/>
    <s v="SDATOOL-36558 $ Transfiya:Transferencias interbancarias inmediatas - Plan Ascenso Privado"/>
    <n v="1"/>
    <s v="Desarrollador"/>
    <s v="Mainframe"/>
    <m/>
    <e v="#NAME?"/>
    <e v="#NAME?"/>
    <e v="#NAME?"/>
    <m/>
    <m/>
    <m/>
    <m/>
    <m/>
    <m/>
    <m/>
    <m/>
    <m/>
  </r>
  <r>
    <s v="C810746"/>
    <s v="JUAN DAVID BAEZ RAMOS"/>
    <x v="5"/>
    <x v="26"/>
    <s v="BBVA"/>
    <e v="#NAME?"/>
    <s v="SDATOOL-36558 $ Transfiya:Transferencias interbancarias inmediatas - Plan Ascenso Privado"/>
    <n v="0.8"/>
    <s v="Desarrollador"/>
    <s v="APX"/>
    <m/>
    <e v="#NAME?"/>
    <e v="#NAME?"/>
    <e v="#NAME?"/>
    <m/>
    <m/>
    <m/>
    <m/>
    <m/>
    <m/>
    <m/>
    <m/>
    <m/>
  </r>
  <r>
    <s v="C810746"/>
    <s v="JUAN DAVID BAEZ RAMOS"/>
    <x v="5"/>
    <x v="26"/>
    <s v="BBVA"/>
    <e v="#NAME?"/>
    <s v="SDATOOL-42192 $ Transfiya en GloMo"/>
    <n v="0.2"/>
    <s v="Desarrollador"/>
    <s v="APX"/>
    <m/>
    <e v="#NAME?"/>
    <e v="#NAME?"/>
    <e v="#NAME?"/>
    <m/>
    <m/>
    <m/>
    <m/>
    <m/>
    <n v="0"/>
    <m/>
    <m/>
    <m/>
  </r>
  <r>
    <s v="O001337"/>
    <s v="LEANDRO GOMEZ "/>
    <x v="5"/>
    <x v="26"/>
    <s v="BBVA"/>
    <e v="#NAME?"/>
    <s v="SDATOOL-36558 $ Transfiya:Transferencias interbancarias inmediatas - Plan Ascenso Privado"/>
    <n v="0.8"/>
    <s v="Tech Manager/Líder"/>
    <s v="Otras Tec."/>
    <m/>
    <e v="#NAME?"/>
    <e v="#NAME?"/>
    <e v="#NAME?"/>
    <m/>
    <m/>
    <m/>
    <m/>
    <m/>
    <m/>
    <m/>
    <m/>
    <m/>
  </r>
  <r>
    <s v="O001337"/>
    <s v="LEANDRO GOMEZ "/>
    <x v="5"/>
    <x v="26"/>
    <s v="BBVA"/>
    <e v="#NAME?"/>
    <s v="SDATOOL-42192 $ Transfiya en GloMo"/>
    <n v="0.2"/>
    <s v="Tech Manager/Líder"/>
    <s v="Otras Tec."/>
    <m/>
    <e v="#NAME?"/>
    <e v="#NAME?"/>
    <e v="#NAME?"/>
    <m/>
    <m/>
    <m/>
    <m/>
    <m/>
    <n v="0"/>
    <m/>
    <m/>
    <m/>
  </r>
  <r>
    <s v="CE55339"/>
    <s v="LENIN RAFAEL DIAZ QUINTERO"/>
    <x v="5"/>
    <x v="26"/>
    <s v="SII"/>
    <e v="#NAME?"/>
    <s v="SDATOOL-36558 $ Transfiya:Transferencias interbancarias inmediatas - Plan Ascenso Privado"/>
    <n v="0.3"/>
    <s v="Desarrollador"/>
    <s v="Mainframe"/>
    <m/>
    <e v="#NAME?"/>
    <e v="#NAME?"/>
    <e v="#NAME?"/>
    <m/>
    <m/>
    <m/>
    <m/>
    <m/>
    <m/>
    <m/>
    <m/>
    <m/>
  </r>
  <r>
    <s v="T000166"/>
    <s v="LEONARDO ALBERTO JIMENEZ RINCON"/>
    <x v="5"/>
    <x v="26"/>
    <s v="Choucair"/>
    <e v="#NAME?"/>
    <s v="SDATOOL-36558 $ Transfiya:Transferencias interbancarias inmediatas - Plan Ascenso Privado"/>
    <n v="1"/>
    <s v="QA"/>
    <s v="Otras Tec."/>
    <m/>
    <e v="#NAME?"/>
    <e v="#NAME?"/>
    <e v="#NAME?"/>
    <m/>
    <m/>
    <m/>
    <m/>
    <m/>
    <m/>
    <m/>
    <m/>
    <m/>
  </r>
  <r>
    <s v="T004935"/>
    <s v="MARIA CAMILA MOLINA ALBA"/>
    <x v="5"/>
    <x v="26"/>
    <s v="Choucair"/>
    <e v="#NAME?"/>
    <s v="SDATOOL-36558 $ Transfiya:Transferencias interbancarias inmediatas - Plan Ascenso Privado"/>
    <n v="1"/>
    <s v="QA"/>
    <s v="Otras Tec."/>
    <m/>
    <e v="#NAME?"/>
    <e v="#NAME?"/>
    <e v="#NAME?"/>
    <m/>
    <m/>
    <m/>
    <m/>
    <m/>
    <m/>
    <m/>
    <m/>
    <m/>
  </r>
  <r>
    <s v="T000274"/>
    <s v="NICOLAS BOHORQUEZ LEGUIZAMO"/>
    <x v="5"/>
    <x v="26"/>
    <s v="GGI / CMC"/>
    <e v="#NAME?"/>
    <s v="SDATOOL-36558 $ Transfiya:Transferencias interbancarias inmediatas - Plan Ascenso Privado"/>
    <n v="0.3"/>
    <s v="Desarrollador"/>
    <s v="Cells"/>
    <m/>
    <e v="#NAME?"/>
    <e v="#NAME?"/>
    <e v="#NAME?"/>
    <m/>
    <m/>
    <m/>
    <m/>
    <m/>
    <m/>
    <m/>
    <m/>
    <m/>
  </r>
  <r>
    <s v="C796552"/>
    <s v="YADIRA COBOS ROMERO"/>
    <x v="5"/>
    <x v="26"/>
    <s v="BBVA"/>
    <e v="#NAME?"/>
    <s v="NOSDA $ BAU (Mantenimiento y peq. evolutivos)"/>
    <n v="0.65"/>
    <s v="Tech Manager/Líder"/>
    <s v="Otras Tec."/>
    <m/>
    <e v="#NAME?"/>
    <e v="#NAME?"/>
    <e v="#NAME?"/>
    <m/>
    <m/>
    <m/>
    <m/>
    <m/>
    <m/>
    <m/>
    <m/>
    <m/>
  </r>
  <r>
    <s v="C796552"/>
    <s v="YADIRA COBOS ROMERO"/>
    <x v="5"/>
    <x v="26"/>
    <s v="BBVA"/>
    <e v="#NAME?"/>
    <s v="SDATOOL-38527 $ Pagaré Electrónico en flujos de Contratación digital"/>
    <n v="0.05"/>
    <s v="Tech Manager/Líder"/>
    <s v="Otras Tec."/>
    <m/>
    <e v="#NAME?"/>
    <e v="#NAME?"/>
    <e v="#NAME?"/>
    <m/>
    <m/>
    <m/>
    <m/>
    <m/>
    <m/>
    <m/>
    <m/>
    <m/>
  </r>
  <r>
    <s v="C796552"/>
    <s v="YADIRA COBOS ROMERO"/>
    <x v="5"/>
    <x v="26"/>
    <s v="BBVA"/>
    <e v="#NAME?"/>
    <s v="SDATOOL-39246 $ Nuevo tipo de identificación para extranjeros"/>
    <n v="0.05"/>
    <s v="Tech Manager/Líder"/>
    <s v="Otras Tec."/>
    <m/>
    <e v="#NAME?"/>
    <e v="#NAME?"/>
    <e v="#NAME?"/>
    <m/>
    <m/>
    <m/>
    <m/>
    <m/>
    <m/>
    <m/>
    <m/>
    <m/>
  </r>
  <r>
    <s v="C796552"/>
    <s v="YADIRA COBOS ROMERO"/>
    <x v="5"/>
    <x v="26"/>
    <s v="BBVA"/>
    <e v="#NAME?"/>
    <s v="SDATOOL-39834 $ Recaudo en Línea Secretaría de Hacienda Distrital - Fase II: Solución paramétrica de recaudos para la inclusión de 7 formularios tributarios en Canales electrónicos Web y Corresponsal Bancario."/>
    <n v="0.05"/>
    <s v="Tech Manager/Líder"/>
    <s v="Otras Tec."/>
    <m/>
    <e v="#NAME?"/>
    <e v="#NAME?"/>
    <e v="#NAME?"/>
    <m/>
    <m/>
    <m/>
    <m/>
    <m/>
    <m/>
    <m/>
    <m/>
    <m/>
  </r>
  <r>
    <s v="C796552"/>
    <s v="YADIRA COBOS ROMERO"/>
    <x v="5"/>
    <x v="26"/>
    <s v="BBVA"/>
    <e v="#NAME?"/>
    <s v="SDATOOL-39840 $ BBVA Valores en Canales (Net Cash / Net)"/>
    <n v="0.05"/>
    <s v="Tech Manager/Líder"/>
    <s v="Otras Tec."/>
    <m/>
    <e v="#NAME?"/>
    <e v="#NAME?"/>
    <e v="#NAME?"/>
    <m/>
    <m/>
    <m/>
    <m/>
    <m/>
    <m/>
    <m/>
    <m/>
    <m/>
  </r>
  <r>
    <s v="C796552"/>
    <s v="YADIRA COBOS ROMERO"/>
    <x v="5"/>
    <x v="26"/>
    <s v="BBVA"/>
    <e v="#NAME?"/>
    <s v="SDATOOL-9053 $ GloMo Colombia"/>
    <n v="0.15"/>
    <s v="Tech Manager/Líder"/>
    <s v="Otras Tec."/>
    <m/>
    <e v="#NAME?"/>
    <e v="#NAME?"/>
    <e v="#NAME?"/>
    <m/>
    <m/>
    <m/>
    <m/>
    <m/>
    <m/>
    <m/>
    <m/>
    <m/>
  </r>
  <r>
    <s v="C808359"/>
    <s v="ARLEM CHINCHIA"/>
    <x v="5"/>
    <x v="26"/>
    <s v="BBVA"/>
    <e v="#NAME?"/>
    <s v="NOSDA $ BAU (Mantenimiento y peq. evolutivos)"/>
    <n v="1"/>
    <s v="Desarrollador"/>
    <s v="Cells"/>
    <m/>
    <e v="#NAME?"/>
    <e v="#NAME?"/>
    <e v="#NAME?"/>
    <m/>
    <m/>
    <m/>
    <m/>
    <m/>
    <m/>
    <m/>
    <m/>
    <m/>
  </r>
  <r>
    <s v="CE51863"/>
    <s v="EDNA ROCIO MONCADA"/>
    <x v="5"/>
    <x v="26"/>
    <s v="KRYPTO"/>
    <e v="#NAME?"/>
    <s v="NOSDA $ BAU (Mantenimiento y peq. evolutivos)"/>
    <n v="0.02"/>
    <s v="QA"/>
    <s v="Otras Tec."/>
    <m/>
    <e v="#NAME?"/>
    <e v="#NAME?"/>
    <e v="#NAME?"/>
    <m/>
    <m/>
    <m/>
    <m/>
    <m/>
    <m/>
    <m/>
    <m/>
    <m/>
  </r>
  <r>
    <s v="CE51863"/>
    <s v="EDNA ROCIO MONCADA"/>
    <x v="5"/>
    <x v="26"/>
    <s v="KRYPTO"/>
    <e v="#NAME?"/>
    <s v="SDATOOL-38527 $ Pagaré Electrónico en flujos de Contratación digital"/>
    <n v="0.02"/>
    <s v="QA"/>
    <s v="Otras Tec."/>
    <m/>
    <e v="#NAME?"/>
    <e v="#NAME?"/>
    <e v="#NAME?"/>
    <m/>
    <m/>
    <m/>
    <m/>
    <m/>
    <m/>
    <m/>
    <m/>
    <m/>
  </r>
  <r>
    <s v="CE51863"/>
    <s v="EDNA ROCIO MONCADA"/>
    <x v="5"/>
    <x v="26"/>
    <s v="KRYPTO"/>
    <e v="#NAME?"/>
    <s v="SDATOOL-9053 $ GloMo Colombia"/>
    <n v="0.02"/>
    <s v="QA"/>
    <s v="Otras Tec."/>
    <m/>
    <e v="#NAME?"/>
    <e v="#NAME?"/>
    <e v="#NAME?"/>
    <m/>
    <m/>
    <m/>
    <m/>
    <m/>
    <m/>
    <m/>
    <m/>
    <m/>
  </r>
  <r>
    <s v="CE51863"/>
    <s v="EDNA ROCIO MONCADA"/>
    <x v="5"/>
    <x v="26"/>
    <s v="KRYPTO"/>
    <e v="#NAME?"/>
    <s v="SDATOOL-39246 $ Nuevo tipo de identificación para extranjeros"/>
    <n v="0.02"/>
    <s v="QA"/>
    <s v="Otras Tec."/>
    <m/>
    <e v="#NAME?"/>
    <e v="#NAME?"/>
    <e v="#NAME?"/>
    <m/>
    <m/>
    <m/>
    <m/>
    <m/>
    <m/>
    <m/>
    <m/>
    <m/>
  </r>
  <r>
    <s v="CE51863"/>
    <s v="EDNA ROCIO MONCADA"/>
    <x v="5"/>
    <x v="26"/>
    <s v="KRYPTO"/>
    <e v="#NAME?"/>
    <s v="SDATOOL-39840 $ BBVA Valores en Canales (Net Cash / Net)"/>
    <n v="0.02"/>
    <s v="QA"/>
    <s v="Otras Tec."/>
    <m/>
    <e v="#NAME?"/>
    <e v="#NAME?"/>
    <e v="#NAME?"/>
    <m/>
    <m/>
    <m/>
    <m/>
    <m/>
    <m/>
    <m/>
    <m/>
    <m/>
  </r>
  <r>
    <s v="CE70177"/>
    <s v="ADRIANA MERCEDES GOMEZ"/>
    <x v="5"/>
    <x v="26"/>
    <s v="Choucair"/>
    <e v="#NAME?"/>
    <s v="SDATOOL-39840 $ BBVA Valores en Canales (Net Cash / Net)"/>
    <n v="0.9"/>
    <s v="QA"/>
    <s v="Otras Tec."/>
    <m/>
    <e v="#NAME?"/>
    <e v="#NAME?"/>
    <e v="#NAME?"/>
    <m/>
    <m/>
    <m/>
    <m/>
    <m/>
    <m/>
    <m/>
    <m/>
    <m/>
  </r>
  <r>
    <s v="C941085"/>
    <s v="CARLOS FRANCISCO TOVAR LOSADA"/>
    <x v="5"/>
    <x v="26"/>
    <s v="BBVA"/>
    <e v="#NAME?"/>
    <s v="NOSDA $ BAU (Mantenimiento y peq. evolutivos)"/>
    <n v="1"/>
    <s v="Desarrollador"/>
    <s v="Otras Tec."/>
    <m/>
    <e v="#NAME?"/>
    <e v="#NAME?"/>
    <e v="#NAME?"/>
    <m/>
    <m/>
    <m/>
    <m/>
    <m/>
    <m/>
    <m/>
    <m/>
    <m/>
  </r>
  <r>
    <s v="T008622  "/>
    <s v="CAROLINA GARZÓN"/>
    <x v="5"/>
    <x v="26"/>
    <s v="GGI / CMC"/>
    <e v="#NAME?"/>
    <s v="NOSDA $ BAU (Mantenimiento y peq. evolutivos)"/>
    <n v="1"/>
    <s v="Desarrollador"/>
    <s v="Otras Tec."/>
    <m/>
    <e v="#NAME?"/>
    <e v="#NAME?"/>
    <e v="#NAME?"/>
    <m/>
    <m/>
    <m/>
    <m/>
    <m/>
    <m/>
    <m/>
    <m/>
    <m/>
  </r>
  <r>
    <s v="T000288"/>
    <s v="DAVID FERNANDO MENDIETA"/>
    <x v="5"/>
    <x v="26"/>
    <s v="GGI / CMC"/>
    <e v="#NAME?"/>
    <s v="NOSDA $ BAU (Mantenimiento y peq. evolutivos)"/>
    <n v="1"/>
    <s v="Desarrollador"/>
    <s v="ASO"/>
    <m/>
    <e v="#NAME?"/>
    <e v="#NAME?"/>
    <e v="#NAME?"/>
    <m/>
    <m/>
    <m/>
    <m/>
    <m/>
    <m/>
    <m/>
    <m/>
    <m/>
  </r>
  <r>
    <s v="C985155"/>
    <s v="DIANA CAROLINA ARTEAGA"/>
    <x v="5"/>
    <x v="26"/>
    <s v="BBVA"/>
    <e v="#NAME?"/>
    <s v="NOSDA $ BAU (Mantenimiento y peq. evolutivos)"/>
    <n v="1"/>
    <s v="Desarrollador"/>
    <s v="Distribuido"/>
    <m/>
    <e v="#NAME?"/>
    <e v="#NAME?"/>
    <e v="#NAME?"/>
    <m/>
    <m/>
    <m/>
    <m/>
    <m/>
    <m/>
    <m/>
    <m/>
    <m/>
  </r>
  <r>
    <s v="O001647"/>
    <s v="EDISON RAMÍREZ"/>
    <x v="5"/>
    <x v="26"/>
    <s v="BBVA"/>
    <e v="#NAME?"/>
    <s v="SDATOOL-9053 $ GloMo Colombia"/>
    <n v="0.8"/>
    <s v="Desarrollador"/>
    <s v="Distribuido"/>
    <m/>
    <e v="#NAME?"/>
    <e v="#NAME?"/>
    <e v="#NAME?"/>
    <m/>
    <m/>
    <m/>
    <m/>
    <m/>
    <m/>
    <m/>
    <m/>
    <m/>
  </r>
  <r>
    <s v="O001647"/>
    <s v="EDISON RAMÍREZ"/>
    <x v="5"/>
    <x v="26"/>
    <s v="BBVA"/>
    <e v="#NAME?"/>
    <s v="NOSDA $ BAU (Mantenimiento y peq. evolutivos)"/>
    <n v="0.2"/>
    <s v="Desarrollador"/>
    <s v="Distribuido"/>
    <m/>
    <e v="#NAME?"/>
    <e v="#NAME?"/>
    <e v="#NAME?"/>
    <m/>
    <m/>
    <m/>
    <m/>
    <m/>
    <m/>
    <m/>
    <m/>
    <m/>
  </r>
  <r>
    <s v="C821589"/>
    <s v="EDWARD MORENO"/>
    <x v="5"/>
    <x v="26"/>
    <s v="BBVA"/>
    <e v="#NAME?"/>
    <s v="SDATOOL-39246 $ Nuevo tipo de identificación para extranjeros"/>
    <n v="1"/>
    <s v="Desarrollador"/>
    <s v="Mainframe"/>
    <m/>
    <e v="#NAME?"/>
    <e v="#NAME?"/>
    <e v="#NAME?"/>
    <m/>
    <m/>
    <m/>
    <m/>
    <m/>
    <m/>
    <m/>
    <m/>
    <m/>
  </r>
  <r>
    <s v="T009381"/>
    <s v="JAIBER DAIVISON NOVA"/>
    <x v="5"/>
    <x v="26"/>
    <s v="GGI / CMC"/>
    <e v="#NAME?"/>
    <s v="NOSDA $ BAU (Mantenimiento y peq. evolutivos)"/>
    <n v="1"/>
    <s v="Desarrollador"/>
    <s v="Distribuido"/>
    <m/>
    <e v="#NAME?"/>
    <e v="#NAME?"/>
    <e v="#NAME?"/>
    <m/>
    <m/>
    <m/>
    <m/>
    <m/>
    <m/>
    <m/>
    <m/>
    <m/>
  </r>
  <r>
    <s v="CE57299"/>
    <s v="JENNIFER ZAMORA"/>
    <x v="5"/>
    <x v="26"/>
    <s v="GGI / CMC"/>
    <e v="#NAME?"/>
    <s v="SDATOOL-38527 $ Pagaré Electrónico en flujos de Contratación digital"/>
    <n v="1"/>
    <s v="Desarrollador"/>
    <s v="Mainframe"/>
    <m/>
    <e v="#NAME?"/>
    <e v="#NAME?"/>
    <e v="#NAME?"/>
    <m/>
    <m/>
    <m/>
    <m/>
    <m/>
    <m/>
    <m/>
    <m/>
    <m/>
  </r>
  <r>
    <s v="T007581"/>
    <s v="FHERNEY ANDRIAN SILVA"/>
    <x v="5"/>
    <x v="26"/>
    <s v="Novatec"/>
    <e v="#NAME?"/>
    <s v="SDATOOL-38527 $ Pagaré Electrónico en flujos de Contratación digital"/>
    <n v="1"/>
    <s v="Desarrollador"/>
    <s v="ASO"/>
    <m/>
    <e v="#NAME?"/>
    <e v="#NAME?"/>
    <e v="#NAME?"/>
    <m/>
    <m/>
    <m/>
    <m/>
    <m/>
    <m/>
    <m/>
    <m/>
    <m/>
  </r>
  <r>
    <s v="CE61541"/>
    <s v="JESUS ANDRÉS CARDENAS"/>
    <x v="5"/>
    <x v="26"/>
    <s v="GGI / CMC"/>
    <e v="#NAME?"/>
    <s v="SDATOOL-9053 $ GloMo Colombia"/>
    <n v="0.9"/>
    <s v="QA"/>
    <s v="Otras Tec."/>
    <m/>
    <e v="#NAME?"/>
    <e v="#NAME?"/>
    <e v="#NAME?"/>
    <m/>
    <m/>
    <m/>
    <m/>
    <m/>
    <m/>
    <m/>
    <m/>
    <m/>
  </r>
  <r>
    <s v="CE69109"/>
    <s v="LUIS FELIPE GONZÁLEZ"/>
    <x v="5"/>
    <x v="26"/>
    <s v="GGI / CMC"/>
    <e v="#NAME?"/>
    <s v="NOSDA $ BAU (Mantenimiento y peq. evolutivos)"/>
    <n v="1"/>
    <s v="Desarrollador"/>
    <s v="Mainframe"/>
    <m/>
    <e v="#NAME?"/>
    <e v="#NAME?"/>
    <e v="#NAME?"/>
    <m/>
    <m/>
    <m/>
    <m/>
    <m/>
    <m/>
    <m/>
    <m/>
    <m/>
  </r>
  <r>
    <s v="CE17709"/>
    <s v="LUZ  STELLA MARTINEZ"/>
    <x v="5"/>
    <x v="26"/>
    <s v="KRYPTO"/>
    <e v="#NAME?"/>
    <s v="SDATOOL-38527 $ Pagaré Electrónico en flujos de Contratación digital"/>
    <n v="1"/>
    <s v="QA"/>
    <s v="Otras Tec."/>
    <m/>
    <e v="#NAME?"/>
    <e v="#NAME?"/>
    <e v="#NAME?"/>
    <m/>
    <m/>
    <m/>
    <m/>
    <m/>
    <m/>
    <m/>
    <m/>
    <m/>
  </r>
  <r>
    <s v="CE51863"/>
    <s v="EDNA ROCIO MONCADA"/>
    <x v="5"/>
    <x v="26"/>
    <s v="KRYPTO"/>
    <e v="#NAME?"/>
    <s v="SDATOOL-38527 $ Pagaré Electrónico en flujos de Contratación digital"/>
    <n v="0.02"/>
    <s v="QA"/>
    <s v="Otras Tec."/>
    <m/>
    <e v="#NAME?"/>
    <e v="#NAME?"/>
    <e v="#NAME?"/>
    <m/>
    <m/>
    <m/>
    <m/>
    <m/>
    <m/>
    <m/>
    <m/>
    <m/>
  </r>
  <r>
    <s v="C810755"/>
    <s v="MARÍA ALEJANDRA VARÓN"/>
    <x v="5"/>
    <x v="26"/>
    <s v="BBVA"/>
    <e v="#NAME?"/>
    <s v="SDATOOL-39246 $ Nuevo tipo de identificación para extranjeros"/>
    <n v="0.5"/>
    <s v="Desarrollador"/>
    <s v="Cells"/>
    <m/>
    <e v="#NAME?"/>
    <e v="#NAME?"/>
    <e v="#NAME?"/>
    <m/>
    <m/>
    <m/>
    <m/>
    <m/>
    <m/>
    <m/>
    <m/>
    <m/>
  </r>
  <r>
    <s v="C810755"/>
    <s v="MARÍA ALEJANDRA VARÓN"/>
    <x v="5"/>
    <x v="26"/>
    <s v="BBVA"/>
    <e v="#NAME?"/>
    <s v="NOSDA $ BAU (Mantenimiento y peq. evolutivos)"/>
    <n v="0.5"/>
    <s v="Desarrollador"/>
    <s v="Cells"/>
    <m/>
    <e v="#NAME?"/>
    <e v="#NAME?"/>
    <e v="#NAME?"/>
    <m/>
    <m/>
    <m/>
    <m/>
    <m/>
    <m/>
    <m/>
    <m/>
    <m/>
  </r>
  <r>
    <s v="CE66887"/>
    <s v="NICOLAS BOLIVAR BATTLE"/>
    <x v="5"/>
    <x v="26"/>
    <s v="KRYPTO"/>
    <e v="#NAME?"/>
    <s v="SDATOOL-38527 $ Pagaré Electrónico en flujos de Contratación digital"/>
    <n v="1"/>
    <s v="QA"/>
    <s v="Otras Tec."/>
    <m/>
    <e v="#NAME?"/>
    <e v="#NAME?"/>
    <e v="#NAME?"/>
    <m/>
    <m/>
    <m/>
    <m/>
    <m/>
    <m/>
    <m/>
    <m/>
    <m/>
  </r>
  <r>
    <s v="C805907"/>
    <s v="OSCAR DARIO VELÁSQUEZ"/>
    <x v="5"/>
    <x v="26"/>
    <s v="BBVA"/>
    <e v="#NAME?"/>
    <s v="SDATOOL-39246 $ Nuevo tipo de identificación para extranjeros"/>
    <n v="0.25"/>
    <s v="Desarrollador"/>
    <s v="Cells"/>
    <m/>
    <e v="#NAME?"/>
    <e v="#NAME?"/>
    <e v="#NAME?"/>
    <m/>
    <m/>
    <m/>
    <m/>
    <m/>
    <m/>
    <m/>
    <m/>
    <m/>
  </r>
  <r>
    <s v="C805907"/>
    <s v="OSCAR DARIO VELÁSQUEZ"/>
    <x v="5"/>
    <x v="26"/>
    <s v="BBVA"/>
    <e v="#NAME?"/>
    <s v="SDATOOL-9053 $ GloMo Colombia"/>
    <n v="0.75"/>
    <s v="Desarrollador"/>
    <s v="Cells"/>
    <m/>
    <e v="#NAME?"/>
    <e v="#NAME?"/>
    <e v="#NAME?"/>
    <m/>
    <m/>
    <m/>
    <m/>
    <m/>
    <m/>
    <m/>
    <m/>
    <m/>
  </r>
  <r>
    <s v="CE61541"/>
    <s v="JESUS ANDRÉS CARDENAS"/>
    <x v="5"/>
    <x v="26"/>
    <s v="GGI / CMC"/>
    <e v="#NAME?"/>
    <s v="SDATOOL-9053 $ GloMo Colombia"/>
    <n v="0.1"/>
    <s v="QA"/>
    <s v="Otras Tec."/>
    <m/>
    <e v="#NAME?"/>
    <e v="#NAME?"/>
    <e v="#NAME?"/>
    <m/>
    <m/>
    <m/>
    <m/>
    <m/>
    <m/>
    <m/>
    <m/>
    <m/>
  </r>
  <r>
    <s v="CE67019"/>
    <s v="REINALDO CUARIN"/>
    <x v="5"/>
    <x v="26"/>
    <s v="GGI / CMC"/>
    <e v="#NAME?"/>
    <s v="SDATOOL-39840 $ BBVA Valores en Canales (Net Cash / Net)"/>
    <n v="1"/>
    <s v="Desarrollador"/>
    <s v="APX"/>
    <m/>
    <e v="#NAME?"/>
    <e v="#NAME?"/>
    <e v="#NAME?"/>
    <m/>
    <m/>
    <m/>
    <m/>
    <m/>
    <m/>
    <m/>
    <m/>
    <m/>
  </r>
  <r>
    <s v="CE69265"/>
    <s v="SANTIAGO MARTINEZ"/>
    <x v="5"/>
    <x v="26"/>
    <s v="Choucair"/>
    <e v="#NAME?"/>
    <s v="SDATOOL-9053 $ GloMo Colombia"/>
    <n v="1"/>
    <s v="QA"/>
    <s v="Otras Tec."/>
    <m/>
    <e v="#NAME?"/>
    <e v="#NAME?"/>
    <e v="#NAME?"/>
    <m/>
    <m/>
    <m/>
    <m/>
    <m/>
    <m/>
    <m/>
    <m/>
    <m/>
  </r>
  <r>
    <s v="O001980"/>
    <s v="YESID ALEXANDER ROA VEGA"/>
    <x v="5"/>
    <x v="26"/>
    <s v="BBVA"/>
    <e v="#NAME?"/>
    <s v="NOSDA $ BAU (Mantenimiento y peq. evolutivos)"/>
    <n v="0.7"/>
    <s v="Desarrollador"/>
    <s v="Otras Tec."/>
    <m/>
    <e v="#NAME?"/>
    <e v="#NAME?"/>
    <e v="#NAME?"/>
    <m/>
    <m/>
    <m/>
    <m/>
    <m/>
    <m/>
    <m/>
    <m/>
    <m/>
  </r>
  <r>
    <s v="O001980"/>
    <s v="YESID ALEXANDER ROA VEGA"/>
    <x v="5"/>
    <x v="26"/>
    <s v="BBVA"/>
    <e v="#NAME?"/>
    <s v="SDATOOL-38527 $ Pagaré Electrónico en flujos de Contratación digital"/>
    <n v="0.3"/>
    <s v="Desarrollador"/>
    <s v="Otras Tec."/>
    <m/>
    <e v="#NAME?"/>
    <e v="#NAME?"/>
    <e v="#NAME?"/>
    <m/>
    <m/>
    <m/>
    <m/>
    <m/>
    <m/>
    <m/>
    <m/>
    <m/>
  </r>
  <r>
    <s v="O001850"/>
    <s v="ANDERSSON SALINAS"/>
    <x v="5"/>
    <x v="26"/>
    <s v="BBVA"/>
    <e v="#NAME?"/>
    <s v="SDATOOL-39834 $ Recaudo en Línea Secretaría de Hacienda Distrital - Fase II: Solución paramétrica de recaudos para la inclusión de 7 formularios tributarios en Canales electrónicos Web y Corresponsal Bancario."/>
    <n v="0.5"/>
    <s v="Desarrollador"/>
    <s v="Cells"/>
    <m/>
    <e v="#NAME?"/>
    <e v="#NAME?"/>
    <e v="#NAME?"/>
    <m/>
    <m/>
    <m/>
    <m/>
    <m/>
    <m/>
    <m/>
    <m/>
    <m/>
  </r>
  <r>
    <s v="O001850"/>
    <s v="ANDERSSON SALINAS"/>
    <x v="5"/>
    <x v="26"/>
    <s v="BBVA"/>
    <e v="#NAME?"/>
    <s v="NOSDA $ BAU (Mantenimiento y peq. evolutivos)"/>
    <n v="0.5"/>
    <s v="Desarrollador"/>
    <s v="Cells"/>
    <m/>
    <e v="#NAME?"/>
    <e v="#NAME?"/>
    <e v="#NAME?"/>
    <m/>
    <m/>
    <m/>
    <m/>
    <m/>
    <m/>
    <m/>
    <m/>
    <m/>
  </r>
  <r>
    <s v="CE67484"/>
    <s v="JUAN CARLOS SALDAÑA"/>
    <x v="1"/>
    <x v="16"/>
    <s v="Accenture"/>
    <e v="#NAME?"/>
    <s v="SDATOOL-38735 $ Dynamic Pricing"/>
    <n v="0.25"/>
    <s v="Desarrollador"/>
    <s v="Distribuido"/>
    <m/>
    <e v="#NAME?"/>
    <e v="#NAME?"/>
    <e v="#NAME?"/>
    <m/>
    <m/>
    <m/>
    <m/>
    <m/>
    <m/>
    <m/>
    <m/>
    <m/>
  </r>
  <r>
    <s v="CE61162"/>
    <s v="JOSE PERFECTO"/>
    <x v="1"/>
    <x v="16"/>
    <s v="Accenture"/>
    <e v="#NAME?"/>
    <s v="SDATOOL-38735 $ Dynamic Pricing"/>
    <n v="0.3"/>
    <s v="Desarrollador"/>
    <s v="Distribuido"/>
    <m/>
    <e v="#NAME?"/>
    <e v="#NAME?"/>
    <e v="#NAME?"/>
    <m/>
    <m/>
    <m/>
    <m/>
    <m/>
    <m/>
    <m/>
    <m/>
    <m/>
  </r>
  <r>
    <s v="T003696"/>
    <s v="LUIS LOZANO"/>
    <x v="1"/>
    <x v="16"/>
    <s v="Accenture"/>
    <e v="#NAME?"/>
    <s v="SDATOOL-38735 $ Dynamic Pricing"/>
    <n v="0.2"/>
    <s v="Desarrollador"/>
    <s v="Distribuido"/>
    <m/>
    <e v="#NAME?"/>
    <e v="#NAME?"/>
    <e v="#NAME?"/>
    <m/>
    <m/>
    <m/>
    <m/>
    <m/>
    <m/>
    <m/>
    <m/>
    <m/>
  </r>
  <r>
    <s v="CE42052"/>
    <s v="SAMUEL ANDRES JIMENEZ RODRIGUEZ"/>
    <x v="1"/>
    <x v="16"/>
    <s v="GGI / CMC"/>
    <e v="#NAME?"/>
    <s v="SDATOOL-38735 $ Dynamic Pricing"/>
    <n v="0.1"/>
    <s v="Desarrollador"/>
    <s v="Distribuido"/>
    <m/>
    <e v="#NAME?"/>
    <e v="#NAME?"/>
    <e v="#NAME?"/>
    <m/>
    <m/>
    <m/>
    <m/>
    <m/>
    <m/>
    <m/>
    <m/>
    <m/>
  </r>
  <r>
    <s v="T003497"/>
    <s v="ADRIAN DUCUARA BENITEZ"/>
    <x v="3"/>
    <x v="15"/>
    <s v="Accenture"/>
    <e v="#NAME?"/>
    <s v="SDATOOL-34157 $ Evolutivo Parthnership - Crédito en punto de venta de Aliados"/>
    <n v="1"/>
    <s v="Desarrollador"/>
    <s v="Cells"/>
    <m/>
    <e v="#NAME?"/>
    <e v="#NAME?"/>
    <e v="#NAME?"/>
    <m/>
    <m/>
    <m/>
    <m/>
    <m/>
    <n v="1"/>
    <m/>
    <m/>
    <m/>
  </r>
  <r>
    <s v="T000410"/>
    <s v="ANDRES ALEJANDRO FAJARDO TORRES"/>
    <x v="3"/>
    <x v="15"/>
    <s v="Globant"/>
    <e v="#NAME?"/>
    <s v="SDATOOL-36548 $ Optimización consumo web - Plan ascenso Open Market"/>
    <n v="0.7"/>
    <s v="Desarrollador"/>
    <s v="Cells"/>
    <m/>
    <e v="#NAME?"/>
    <e v="#NAME?"/>
    <e v="#NAME?"/>
    <m/>
    <m/>
    <m/>
    <m/>
    <m/>
    <n v="1"/>
    <m/>
    <m/>
    <m/>
  </r>
  <r>
    <s v="T000410"/>
    <s v="ANDRES ALEJANDRO FAJARDO TORRES"/>
    <x v="3"/>
    <x v="15"/>
    <s v="Globant"/>
    <e v="#NAME?"/>
    <s v="SDATOOL-39272 $ GRM-Col-Cambio servicio APL (Aportes en línea)"/>
    <n v="0.3"/>
    <s v="Desarrollador"/>
    <s v="Cells"/>
    <m/>
    <e v="#NAME?"/>
    <e v="#NAME?"/>
    <e v="#NAME?"/>
    <m/>
    <m/>
    <m/>
    <m/>
    <m/>
    <n v="0"/>
    <m/>
    <m/>
    <m/>
  </r>
  <r>
    <s v="CE67848"/>
    <s v="ANDRES ALFONSO VARELO SILGADO"/>
    <x v="3"/>
    <x v="15"/>
    <s v="Accenture"/>
    <e v="#NAME?"/>
    <s v="SDATOOL-34887 $ Vivienda Digital Open Market"/>
    <n v="0.1"/>
    <s v="Desarrollador"/>
    <s v="APX"/>
    <m/>
    <e v="#NAME?"/>
    <e v="#NAME?"/>
    <e v="#NAME?"/>
    <m/>
    <m/>
    <m/>
    <m/>
    <m/>
    <n v="1"/>
    <m/>
    <m/>
    <m/>
  </r>
  <r>
    <s v="CE67848"/>
    <s v="ANDRES ALFONSO VARELO SILGADO"/>
    <x v="3"/>
    <x v="15"/>
    <s v="Accenture"/>
    <e v="#NAME?"/>
    <s v="SDATOOL-39836 $ Vivienda digital fase III"/>
    <n v="0.7"/>
    <s v="Desarrollador"/>
    <s v="APX"/>
    <m/>
    <e v="#NAME?"/>
    <e v="#NAME?"/>
    <e v="#NAME?"/>
    <m/>
    <m/>
    <m/>
    <m/>
    <m/>
    <n v="0"/>
    <m/>
    <m/>
    <m/>
  </r>
  <r>
    <s v="CE67848"/>
    <s v="ANDRES ALFONSO VARELO SILGADO"/>
    <x v="3"/>
    <x v="15"/>
    <s v="Accenture"/>
    <e v="#NAME?"/>
    <s v="SDATOOL-39272 $ GRM-Col-Cambio servicio APL (Aportes en línea)"/>
    <n v="0.2"/>
    <s v="Desarrollador"/>
    <s v="APX"/>
    <m/>
    <e v="#NAME?"/>
    <e v="#NAME?"/>
    <e v="#NAME?"/>
    <m/>
    <m/>
    <m/>
    <m/>
    <m/>
    <n v="0"/>
    <m/>
    <m/>
    <m/>
  </r>
  <r>
    <s v="T004062"/>
    <s v="ANDRES FELIPE FANDINO QUECANA"/>
    <x v="3"/>
    <x v="15"/>
    <s v="Choucair"/>
    <e v="#NAME?"/>
    <s v="SDATOOL-41752 $ Consumo Openmk con Biometría Obligatoria por Nácar para desembolsar"/>
    <n v="1"/>
    <s v="QA"/>
    <s v="Distribuido"/>
    <m/>
    <e v="#NAME?"/>
    <e v="#NAME?"/>
    <e v="#NAME?"/>
    <m/>
    <m/>
    <m/>
    <m/>
    <m/>
    <n v="1"/>
    <m/>
    <m/>
    <m/>
  </r>
  <r>
    <s v="T008459"/>
    <s v="ANDRÉS FELIPE FORERO"/>
    <x v="3"/>
    <x v="15"/>
    <s v="Neoris"/>
    <e v="#NAME?"/>
    <s v="NOSDA $ BAU (Mantenimiento y peq. evolutivos)"/>
    <n v="1"/>
    <s v="Desarrollador"/>
    <s v="Mainframe"/>
    <m/>
    <e v="#NAME?"/>
    <e v="#NAME?"/>
    <e v="#NAME?"/>
    <m/>
    <m/>
    <m/>
    <m/>
    <m/>
    <n v="1"/>
    <m/>
    <m/>
    <m/>
  </r>
  <r>
    <s v="CE70621"/>
    <s v="BRANDON AVILA"/>
    <x v="3"/>
    <x v="15"/>
    <s v="Inetum"/>
    <e v="#NAME?"/>
    <s v="NOSDA $ BAU (Mantenimiento y peq. evolutivos)"/>
    <n v="1"/>
    <s v="QA"/>
    <s v="Mainframe"/>
    <m/>
    <e v="#NAME?"/>
    <e v="#NAME?"/>
    <e v="#NAME?"/>
    <m/>
    <m/>
    <m/>
    <m/>
    <m/>
    <n v="1"/>
    <m/>
    <m/>
    <m/>
  </r>
  <r>
    <s v="CE69709"/>
    <s v="BRAYAN CAMILO VALCARCEL RIANO"/>
    <x v="3"/>
    <x v="15"/>
    <s v="Choucair"/>
    <e v="#NAME?"/>
    <s v="SDATOOL-36548 $ Optimización consumo web - Plan ascenso Open Market"/>
    <n v="0.5"/>
    <s v="QA"/>
    <s v="Distribuido"/>
    <m/>
    <e v="#NAME?"/>
    <e v="#NAME?"/>
    <e v="#NAME?"/>
    <m/>
    <m/>
    <m/>
    <m/>
    <m/>
    <n v="1"/>
    <m/>
    <m/>
    <m/>
  </r>
  <r>
    <s v="CE69709"/>
    <s v="BRAYAN CAMILO VALCARCEL RIANO"/>
    <x v="3"/>
    <x v="15"/>
    <s v="Choucair"/>
    <e v="#NAME?"/>
    <s v="SDATOOL-39272 $ GRM-Col-Cambio servicio APL (Aportes en línea)"/>
    <n v="0.5"/>
    <s v="QA"/>
    <s v="Distribuido"/>
    <m/>
    <e v="#NAME?"/>
    <e v="#NAME?"/>
    <e v="#NAME?"/>
    <m/>
    <m/>
    <m/>
    <m/>
    <m/>
    <n v="0"/>
    <m/>
    <m/>
    <m/>
  </r>
  <r>
    <s v="T000159"/>
    <s v="BRYAN SMITH PATIÑO"/>
    <x v="3"/>
    <x v="15"/>
    <s v="Choucair"/>
    <e v="#NAME?"/>
    <s v="SDATOOL-35463 $ Gestión de Ingresos - Períodos de Gracia Libranzas"/>
    <n v="1"/>
    <s v="QA"/>
    <s v="Mainframe"/>
    <m/>
    <e v="#NAME?"/>
    <e v="#NAME?"/>
    <e v="#NAME?"/>
    <m/>
    <m/>
    <m/>
    <m/>
    <m/>
    <n v="1"/>
    <m/>
    <m/>
    <m/>
  </r>
  <r>
    <s v="P009920"/>
    <s v="CAMILO ABELLA"/>
    <x v="3"/>
    <x v="15"/>
    <s v="Accenture"/>
    <e v="#NAME?"/>
    <s v="SDATOOL-34887 $ Vivienda Digital Open Market"/>
    <n v="1"/>
    <s v="Desarrollador"/>
    <s v="Cells"/>
    <m/>
    <e v="#NAME?"/>
    <e v="#NAME?"/>
    <e v="#NAME?"/>
    <m/>
    <m/>
    <m/>
    <m/>
    <m/>
    <n v="1"/>
    <m/>
    <m/>
    <m/>
  </r>
  <r>
    <s v="O001869"/>
    <s v="CAMILO CABRA"/>
    <x v="3"/>
    <x v="15"/>
    <s v="BBVA"/>
    <e v="#NAME?"/>
    <s v="SDATOOL-35463 $ Gestión de Ingresos - Períodos de Gracia Libranzas"/>
    <n v="0.1"/>
    <s v="Tech Manager/Líder"/>
    <s v="Mainframe"/>
    <m/>
    <e v="#NAME?"/>
    <e v="#NAME?"/>
    <e v="#NAME?"/>
    <m/>
    <m/>
    <m/>
    <m/>
    <m/>
    <n v="1"/>
    <m/>
    <m/>
    <m/>
  </r>
  <r>
    <s v="O001869"/>
    <s v="CAMILO CABRA"/>
    <x v="3"/>
    <x v="15"/>
    <s v="BBVA"/>
    <e v="#NAME?"/>
    <s v="SDATOOL-33847 $ Resolución 0042 DIAN Documento Soporte"/>
    <n v="0.05"/>
    <s v="Tech Manager/Líder"/>
    <s v="Otras Tec."/>
    <m/>
    <e v="#NAME?"/>
    <e v="#NAME?"/>
    <e v="#NAME?"/>
    <m/>
    <m/>
    <m/>
    <m/>
    <m/>
    <n v="0"/>
    <m/>
    <m/>
    <m/>
  </r>
  <r>
    <s v="O001869"/>
    <s v="CAMILO CABRA"/>
    <x v="3"/>
    <x v="15"/>
    <s v="BBVA"/>
    <e v="#NAME?"/>
    <s v="SDATOOL-33846 $ SREP Data Quality- BCBS239 - Colombia"/>
    <n v="0.05"/>
    <s v="Tech Manager/Líder"/>
    <s v="Otras Tec."/>
    <m/>
    <e v="#NAME?"/>
    <e v="#NAME?"/>
    <e v="#NAME?"/>
    <m/>
    <m/>
    <m/>
    <m/>
    <m/>
    <n v="0"/>
    <m/>
    <m/>
    <m/>
  </r>
  <r>
    <s v="O001869"/>
    <s v="CAMILO CABRA"/>
    <x v="3"/>
    <x v="15"/>
    <s v="BBVA"/>
    <e v="#NAME?"/>
    <s v="SDATOOL-34157 $ Evolutivo Parthnership - Crédito en punto de venta de Aliados"/>
    <n v="0.15"/>
    <s v="Tech Manager/Líder"/>
    <s v="Otras Tec."/>
    <m/>
    <e v="#NAME?"/>
    <e v="#NAME?"/>
    <e v="#NAME?"/>
    <m/>
    <m/>
    <m/>
    <m/>
    <m/>
    <n v="0"/>
    <m/>
    <m/>
    <m/>
  </r>
  <r>
    <s v="O001869"/>
    <s v="CAMILO CABRA"/>
    <x v="3"/>
    <x v="15"/>
    <s v="BBVA"/>
    <e v="#NAME?"/>
    <s v="SDATOOL-40877 $ Centralización Garantías Especiales"/>
    <n v="0.05"/>
    <s v="Tech Manager/Líder"/>
    <s v="Otras Tec."/>
    <m/>
    <e v="#NAME?"/>
    <e v="#NAME?"/>
    <e v="#NAME?"/>
    <m/>
    <m/>
    <m/>
    <m/>
    <m/>
    <n v="0"/>
    <m/>
    <m/>
    <m/>
  </r>
  <r>
    <s v="O001869"/>
    <s v="CAMILO CABRA"/>
    <x v="3"/>
    <x v="15"/>
    <s v="BBVA"/>
    <e v="#NAME?"/>
    <s v="SDATOOL-40062 $ Implementación FGA en flujos de contratación digital"/>
    <n v="0.2"/>
    <s v="Tech Manager/Líder"/>
    <s v="Otras Tec."/>
    <m/>
    <e v="#NAME?"/>
    <e v="#NAME?"/>
    <e v="#NAME?"/>
    <m/>
    <m/>
    <m/>
    <m/>
    <m/>
    <n v="0"/>
    <m/>
    <m/>
    <m/>
  </r>
  <r>
    <s v="O001869"/>
    <s v="CAMILO CABRA"/>
    <x v="3"/>
    <x v="15"/>
    <s v="BBVA"/>
    <e v="#NAME?"/>
    <s v="SDATOOL-40466 $ Garantía FAG"/>
    <n v="0.15"/>
    <s v="Tech Manager/Líder"/>
    <s v="Otras Tec."/>
    <m/>
    <e v="#NAME?"/>
    <e v="#NAME?"/>
    <e v="#NAME?"/>
    <m/>
    <m/>
    <m/>
    <m/>
    <m/>
    <n v="0"/>
    <m/>
    <m/>
    <m/>
  </r>
  <r>
    <s v="O001869"/>
    <s v="CAMILO CABRA"/>
    <x v="3"/>
    <x v="15"/>
    <s v="BBVA"/>
    <e v="#NAME?"/>
    <s v="SDATOOL-41729 $ SEGUNDA LIBRANZA - APLICACION PAGOS Y VoBo PAGADOR"/>
    <n v="0.1"/>
    <s v="Tech Manager/Líder"/>
    <s v="Otras Tec."/>
    <m/>
    <e v="#NAME?"/>
    <e v="#NAME?"/>
    <e v="#NAME?"/>
    <m/>
    <m/>
    <m/>
    <m/>
    <m/>
    <n v="0"/>
    <m/>
    <m/>
    <m/>
  </r>
  <r>
    <s v="O001869"/>
    <s v="CAMILO CABRA"/>
    <x v="3"/>
    <x v="15"/>
    <s v="BBVA"/>
    <e v="#NAME?"/>
    <s v="SDATOOL-40225 $ Resolución 0124 Dian - 2021 - Ajustes para Reporte de Información Exógena año gravable 2022 - Ciclo 1"/>
    <n v="0.05"/>
    <s v="Tech Manager/Líder"/>
    <s v="Otras Tec."/>
    <m/>
    <e v="#NAME?"/>
    <e v="#NAME?"/>
    <e v="#NAME?"/>
    <m/>
    <m/>
    <m/>
    <m/>
    <m/>
    <n v="0"/>
    <m/>
    <m/>
    <m/>
  </r>
  <r>
    <s v="O001869"/>
    <s v="CAMILO CABRA"/>
    <x v="3"/>
    <x v="15"/>
    <s v="BBVA"/>
    <e v="#NAME?"/>
    <s v="NOSDA $ BAU (Mantenimiento y peq. evolutivos)"/>
    <n v="0.1"/>
    <s v="Tech Manager/Líder"/>
    <s v="Otras Tec."/>
    <m/>
    <e v="#NAME?"/>
    <e v="#NAME?"/>
    <e v="#NAME?"/>
    <m/>
    <m/>
    <m/>
    <m/>
    <m/>
    <n v="0"/>
    <m/>
    <m/>
    <m/>
  </r>
  <r>
    <s v="CE30638"/>
    <s v="CESAR AUGUSTO MOLANO RUEDA"/>
    <x v="3"/>
    <x v="15"/>
    <s v="Inetum"/>
    <e v="#NAME?"/>
    <s v="SDATOOL-36548 $ Optimización consumo web - Plan ascenso Open Market"/>
    <n v="1"/>
    <s v="Desarrollador"/>
    <s v="Mainframe"/>
    <m/>
    <e v="#NAME?"/>
    <e v="#NAME?"/>
    <e v="#NAME?"/>
    <m/>
    <m/>
    <m/>
    <m/>
    <m/>
    <n v="1"/>
    <m/>
    <m/>
    <m/>
  </r>
  <r>
    <s v="C805965"/>
    <s v="CRISTIAN ESNEIDER VELASQUEZ"/>
    <x v="3"/>
    <x v="15"/>
    <s v="BBVA"/>
    <e v="#NAME?"/>
    <s v="SDATOOL-34157 $ Evolutivo Parthnership - Crédito en punto de venta de Aliados"/>
    <n v="0.1"/>
    <s v="Desarrollador"/>
    <s v="APX"/>
    <m/>
    <e v="#NAME?"/>
    <e v="#NAME?"/>
    <e v="#NAME?"/>
    <m/>
    <m/>
    <m/>
    <m/>
    <m/>
    <n v="1"/>
    <m/>
    <m/>
    <m/>
  </r>
  <r>
    <s v="C805965"/>
    <s v="CRISTIAN ESNEIDER VELASQUEZ"/>
    <x v="3"/>
    <x v="15"/>
    <s v="BBVA"/>
    <e v="#NAME?"/>
    <s v="SDATOOL-34157 $ Evolutivo Parthnership - Crédito en punto de venta de Aliados"/>
    <n v="0.1"/>
    <s v="Desarrollador"/>
    <s v="APX"/>
    <m/>
    <e v="#NAME?"/>
    <e v="#NAME?"/>
    <e v="#NAME?"/>
    <m/>
    <m/>
    <m/>
    <m/>
    <m/>
    <n v="0"/>
    <m/>
    <m/>
    <m/>
  </r>
  <r>
    <s v="C805965"/>
    <s v="CRISTIAN ESNEIDER VELASQUEZ"/>
    <x v="3"/>
    <x v="15"/>
    <s v="BBVA"/>
    <e v="#NAME?"/>
    <s v="SDATOOL-40062 $ Implementación FGA en flujos de contratación digital"/>
    <n v="0.8"/>
    <s v="Desarrollador"/>
    <s v="APX"/>
    <m/>
    <e v="#NAME?"/>
    <e v="#NAME?"/>
    <e v="#NAME?"/>
    <m/>
    <m/>
    <m/>
    <m/>
    <m/>
    <n v="0"/>
    <m/>
    <m/>
    <m/>
  </r>
  <r>
    <s v="C342543"/>
    <s v="CRISTIAN FRANCISCO FERNANDEZ"/>
    <x v="3"/>
    <x v="15"/>
    <s v="BBVA"/>
    <e v="#NAME?"/>
    <s v="SDATOOL-33847 $ Resolución 0042 DIAN Documento Soporte"/>
    <n v="0.1"/>
    <s v="Desarrollador"/>
    <s v="Mainframe"/>
    <m/>
    <e v="#NAME?"/>
    <e v="#NAME?"/>
    <e v="#NAME?"/>
    <m/>
    <m/>
    <m/>
    <m/>
    <m/>
    <n v="1"/>
    <m/>
    <m/>
    <m/>
  </r>
  <r>
    <s v="C342543"/>
    <s v="CRISTIAN FRANCISCO FERNANDEZ"/>
    <x v="3"/>
    <x v="15"/>
    <s v="BBVA"/>
    <e v="#NAME?"/>
    <s v="SDATOOL-33846 $ SREP Data Quality- BCBS239 - Colombia"/>
    <n v="0.1"/>
    <s v="Desarrollador"/>
    <s v="Mainframe"/>
    <m/>
    <e v="#NAME?"/>
    <e v="#NAME?"/>
    <e v="#NAME?"/>
    <m/>
    <m/>
    <m/>
    <m/>
    <m/>
    <n v="0"/>
    <m/>
    <m/>
    <m/>
  </r>
  <r>
    <s v="C342543"/>
    <s v="CRISTIAN FRANCISCO FERNANDEZ"/>
    <x v="3"/>
    <x v="15"/>
    <s v="BBVA"/>
    <e v="#NAME?"/>
    <s v="SDATOOL-41729 $ SEGUNDA LIBRANZA - APLICACION PAGOS Y VoBo PAGADOR"/>
    <n v="0.1"/>
    <s v="Desarrollador"/>
    <s v="Mainframe"/>
    <m/>
    <e v="#NAME?"/>
    <e v="#NAME?"/>
    <e v="#NAME?"/>
    <m/>
    <m/>
    <m/>
    <m/>
    <m/>
    <n v="0"/>
    <m/>
    <m/>
    <m/>
  </r>
  <r>
    <s v="C342543"/>
    <s v="CRISTIAN FRANCISCO FERNANDEZ"/>
    <x v="3"/>
    <x v="15"/>
    <s v="BBVA"/>
    <e v="#NAME?"/>
    <s v="SDATOOL-36548 $ Optimización consumo web - Plan ascenso Open Market"/>
    <n v="0.1"/>
    <s v="Desarrollador"/>
    <s v="Mainframe"/>
    <m/>
    <e v="#NAME?"/>
    <e v="#NAME?"/>
    <e v="#NAME?"/>
    <m/>
    <m/>
    <m/>
    <m/>
    <m/>
    <n v="0"/>
    <m/>
    <m/>
    <m/>
  </r>
  <r>
    <s v="C342543"/>
    <s v="CRISTIAN FRANCISCO FERNANDEZ"/>
    <x v="3"/>
    <x v="15"/>
    <s v="BBVA"/>
    <e v="#NAME?"/>
    <s v="SDATOOL-40466 $ Garantía FAG"/>
    <n v="0.1"/>
    <s v="Desarrollador"/>
    <s v="Mainframe"/>
    <m/>
    <e v="#NAME?"/>
    <e v="#NAME?"/>
    <e v="#NAME?"/>
    <m/>
    <m/>
    <m/>
    <m/>
    <m/>
    <n v="0"/>
    <m/>
    <m/>
    <m/>
  </r>
  <r>
    <s v="C342543"/>
    <s v="CRISTIAN FRANCISCO FERNANDEZ"/>
    <x v="3"/>
    <x v="15"/>
    <s v="BBVA"/>
    <e v="#NAME?"/>
    <s v="SDATOOL-42155 $ Ajustes en proceso de Titularización y recompra de cartera titularizada"/>
    <n v="0.1"/>
    <s v="Desarrollador"/>
    <s v="Mainframe"/>
    <m/>
    <e v="#NAME?"/>
    <e v="#NAME?"/>
    <e v="#NAME?"/>
    <m/>
    <m/>
    <m/>
    <m/>
    <m/>
    <n v="0"/>
    <m/>
    <m/>
    <m/>
  </r>
  <r>
    <s v="C342543"/>
    <s v="CRISTIAN FRANCISCO FERNANDEZ"/>
    <x v="3"/>
    <x v="15"/>
    <s v="BBVA"/>
    <e v="#NAME?"/>
    <s v="NOSDA $ BAU (Mantenimiento y peq. evolutivos)"/>
    <n v="0.4"/>
    <s v="Desarrollador"/>
    <s v="Mainframe"/>
    <m/>
    <e v="#NAME?"/>
    <e v="#NAME?"/>
    <e v="#NAME?"/>
    <m/>
    <m/>
    <m/>
    <m/>
    <m/>
    <n v="0"/>
    <m/>
    <m/>
    <m/>
  </r>
  <r>
    <s v="CE66714"/>
    <s v="CRISTIAN STEVEN ABRIL ALDANA"/>
    <x v="3"/>
    <x v="15"/>
    <s v="Novatec"/>
    <e v="#NAME?"/>
    <s v="SDATOOL-34887 $ Vivienda Digital Open Market"/>
    <n v="0.35"/>
    <s v="Desarrollador"/>
    <s v="Cells"/>
    <m/>
    <e v="#NAME?"/>
    <e v="#NAME?"/>
    <e v="#NAME?"/>
    <m/>
    <m/>
    <m/>
    <m/>
    <m/>
    <n v="1"/>
    <m/>
    <m/>
    <m/>
  </r>
  <r>
    <s v="CE66714"/>
    <s v="CRISTIAN STEVEN ABRIL ALDANA"/>
    <x v="3"/>
    <x v="15"/>
    <s v="Novatec"/>
    <e v="#NAME?"/>
    <s v="SDATOOL-39836 $ Vivienda digital fase III"/>
    <n v="0.3"/>
    <s v="Desarrollador"/>
    <s v="Cells"/>
    <m/>
    <e v="#NAME?"/>
    <e v="#NAME?"/>
    <e v="#NAME?"/>
    <m/>
    <m/>
    <m/>
    <m/>
    <m/>
    <n v="0"/>
    <m/>
    <m/>
    <m/>
  </r>
  <r>
    <s v="CE66714"/>
    <s v="CRISTIAN STEVEN ABRIL ALDANA"/>
    <x v="3"/>
    <x v="15"/>
    <s v="Novatec"/>
    <e v="#NAME?"/>
    <s v="SDATOOL-39272 $ GRM-Col-Cambio servicio APL (Aportes en línea)"/>
    <n v="0.35"/>
    <s v="Desarrollador"/>
    <s v="Cells"/>
    <m/>
    <e v="#NAME?"/>
    <e v="#NAME?"/>
    <e v="#NAME?"/>
    <m/>
    <m/>
    <m/>
    <m/>
    <m/>
    <n v="0"/>
    <m/>
    <m/>
    <m/>
  </r>
  <r>
    <s v="CE67847"/>
    <s v="CRISTIAN STIVEN SÀNCHEZ RUBIO"/>
    <x v="3"/>
    <x v="15"/>
    <s v="Inetum"/>
    <e v="#NAME?"/>
    <s v="SDATOOL-39836 $ Vivienda digital fase III"/>
    <n v="1"/>
    <s v="Desarrollador"/>
    <s v="ASO"/>
    <m/>
    <e v="#NAME?"/>
    <e v="#NAME?"/>
    <e v="#NAME?"/>
    <m/>
    <m/>
    <m/>
    <m/>
    <m/>
    <n v="1"/>
    <m/>
    <m/>
    <m/>
  </r>
  <r>
    <s v="P002414"/>
    <s v="DANIEL BERNAL"/>
    <x v="3"/>
    <x v="15"/>
    <s v="Novatec"/>
    <e v="#NAME?"/>
    <s v="SDATOOL-34887 $ Vivienda Digital Open Market"/>
    <n v="1"/>
    <s v="Desarrollador"/>
    <s v="Cells"/>
    <m/>
    <e v="#NAME?"/>
    <e v="#NAME?"/>
    <e v="#NAME?"/>
    <m/>
    <m/>
    <m/>
    <m/>
    <m/>
    <n v="1"/>
    <m/>
    <m/>
    <m/>
  </r>
  <r>
    <s v="CE65598"/>
    <s v="DAVID GERMAN TORRES MOLANO"/>
    <x v="3"/>
    <x v="15"/>
    <s v="KRYPTO"/>
    <e v="#NAME?"/>
    <s v="SDATOOL-34887 $ Vivienda Digital Open Market"/>
    <n v="0.3"/>
    <s v="QA"/>
    <s v="Distribuido"/>
    <m/>
    <e v="#NAME?"/>
    <e v="#NAME?"/>
    <e v="#NAME?"/>
    <m/>
    <m/>
    <m/>
    <m/>
    <m/>
    <n v="1"/>
    <m/>
    <m/>
    <m/>
  </r>
  <r>
    <s v="CE65598"/>
    <s v="DAVID GERMAN TORRES MOLANO"/>
    <x v="3"/>
    <x v="15"/>
    <s v="KRYPTO"/>
    <e v="#NAME?"/>
    <s v="SDATOOL-39836 $ Vivienda digital fase III"/>
    <n v="0.3"/>
    <s v="QA"/>
    <s v="Distribuido"/>
    <m/>
    <e v="#NAME?"/>
    <e v="#NAME?"/>
    <e v="#NAME?"/>
    <m/>
    <m/>
    <m/>
    <m/>
    <m/>
    <n v="0"/>
    <m/>
    <m/>
    <m/>
  </r>
  <r>
    <s v="CE65598"/>
    <s v="DAVID GERMAN TORRES MOLANO"/>
    <x v="3"/>
    <x v="15"/>
    <s v="KRYPTO"/>
    <e v="#NAME?"/>
    <s v="SDATOOL-39272 $ GRM-Col-Cambio servicio APL (Aportes en línea)"/>
    <n v="0.4"/>
    <s v="QA"/>
    <s v="Distribuido"/>
    <m/>
    <e v="#NAME?"/>
    <e v="#NAME?"/>
    <e v="#NAME?"/>
    <m/>
    <m/>
    <m/>
    <m/>
    <m/>
    <n v="0"/>
    <m/>
    <m/>
    <m/>
  </r>
  <r>
    <s v="C342598"/>
    <s v="DEISON COLMENARES"/>
    <x v="3"/>
    <x v="15"/>
    <s v="BBVA"/>
    <e v="#NAME?"/>
    <s v="SDATOOL-34887 $ Vivienda Digital Open Market"/>
    <n v="0.1"/>
    <s v="Desarrollador"/>
    <s v="Mainframe"/>
    <m/>
    <e v="#NAME?"/>
    <e v="#NAME?"/>
    <e v="#NAME?"/>
    <m/>
    <m/>
    <m/>
    <m/>
    <m/>
    <n v="1"/>
    <m/>
    <m/>
    <m/>
  </r>
  <r>
    <s v="C342598"/>
    <s v="DEISON COLMENARES"/>
    <x v="3"/>
    <x v="15"/>
    <s v="BBVA"/>
    <e v="#NAME?"/>
    <s v="SDATOOL-39836 $ Vivienda digital fase III"/>
    <n v="0.15"/>
    <s v="Desarrollador"/>
    <s v="Mainframe"/>
    <m/>
    <e v="#NAME?"/>
    <e v="#NAME?"/>
    <e v="#NAME?"/>
    <m/>
    <m/>
    <m/>
    <m/>
    <m/>
    <n v="0"/>
    <m/>
    <m/>
    <m/>
  </r>
  <r>
    <s v="C342598"/>
    <s v="DEISON COLMENARES"/>
    <x v="3"/>
    <x v="15"/>
    <s v="BBVA"/>
    <e v="#NAME?"/>
    <s v="SDATOOL-39272 $ GRM-Col-Cambio servicio APL (Aportes en línea)"/>
    <n v="0.2"/>
    <s v="Desarrollador"/>
    <s v="Mainframe"/>
    <m/>
    <e v="#NAME?"/>
    <e v="#NAME?"/>
    <e v="#NAME?"/>
    <m/>
    <m/>
    <m/>
    <m/>
    <m/>
    <n v="0"/>
    <m/>
    <m/>
    <m/>
  </r>
  <r>
    <s v="C342598"/>
    <s v="DEISON COLMENARES"/>
    <x v="3"/>
    <x v="15"/>
    <s v="BBVA"/>
    <e v="#NAME?"/>
    <s v="SDATOOL-37136 $ Conexión simulador vía API Vehículo digital"/>
    <n v="0.2"/>
    <s v="Desarrollador"/>
    <s v="Mainframe"/>
    <m/>
    <e v="#NAME?"/>
    <e v="#NAME?"/>
    <e v="#NAME?"/>
    <m/>
    <m/>
    <m/>
    <m/>
    <m/>
    <n v="0"/>
    <m/>
    <m/>
    <m/>
  </r>
  <r>
    <s v="C342598"/>
    <s v="DEISON COLMENARES"/>
    <x v="3"/>
    <x v="15"/>
    <s v="BBVA"/>
    <e v="#NAME?"/>
    <s v="SDATOOL-41752 $ Consumo Openmk con Biometría Obligatoria por Nácar para desembolsar"/>
    <n v="0.15"/>
    <s v="Desarrollador"/>
    <s v="Mainframe"/>
    <m/>
    <e v="#NAME?"/>
    <e v="#NAME?"/>
    <e v="#NAME?"/>
    <m/>
    <m/>
    <m/>
    <m/>
    <m/>
    <n v="0"/>
    <m/>
    <m/>
    <m/>
  </r>
  <r>
    <s v="C342598"/>
    <s v="DEISON COLMENARES"/>
    <x v="3"/>
    <x v="15"/>
    <s v="BBVA"/>
    <e v="#NAME?"/>
    <s v="SDATOOL-36548 $ Optimización consumo web - Plan ascenso Open Market"/>
    <n v="0.2"/>
    <s v="Desarrollador"/>
    <s v="Mainframe"/>
    <m/>
    <e v="#NAME?"/>
    <e v="#NAME?"/>
    <e v="#NAME?"/>
    <m/>
    <m/>
    <m/>
    <m/>
    <m/>
    <n v="0"/>
    <m/>
    <m/>
    <m/>
  </r>
  <r>
    <s v="CE68302"/>
    <s v="DIANA GRANADA"/>
    <x v="3"/>
    <x v="15"/>
    <s v="Choucair"/>
    <e v="#NAME?"/>
    <s v="SDATOOL-34157 $ Evolutivo Parthnership - Crédito en punto de venta de Aliados"/>
    <n v="1"/>
    <s v="QA"/>
    <s v="Distribuido"/>
    <m/>
    <e v="#NAME?"/>
    <e v="#NAME?"/>
    <e v="#NAME?"/>
    <m/>
    <m/>
    <m/>
    <m/>
    <m/>
    <n v="1"/>
    <m/>
    <m/>
    <m/>
  </r>
  <r>
    <s v="C811057"/>
    <s v="DIEGO CALLEJAS"/>
    <x v="3"/>
    <x v="15"/>
    <s v="BBVA"/>
    <e v="#NAME?"/>
    <s v="NOSDA $ BAU (Mantenimiento y peq. evolutivos)"/>
    <n v="1"/>
    <s v="Desarrollador"/>
    <s v="Mainframe"/>
    <m/>
    <e v="#NAME?"/>
    <e v="#NAME?"/>
    <e v="#NAME?"/>
    <m/>
    <m/>
    <m/>
    <m/>
    <m/>
    <n v="1"/>
    <m/>
    <m/>
    <m/>
  </r>
  <r>
    <s v="CE69094"/>
    <s v="DUVAN ALEJANDRO BERNATE PIAMBA"/>
    <x v="3"/>
    <x v="15"/>
    <s v="KRYPTO"/>
    <e v="#NAME?"/>
    <s v="SDATOOL-34887 $ Vivienda Digital Open Market"/>
    <n v="0.5"/>
    <s v="QA"/>
    <s v="Distribuido"/>
    <m/>
    <e v="#NAME?"/>
    <e v="#NAME?"/>
    <e v="#NAME?"/>
    <m/>
    <m/>
    <m/>
    <m/>
    <m/>
    <n v="1"/>
    <m/>
    <m/>
    <m/>
  </r>
  <r>
    <s v="CE69094"/>
    <s v="DUVAN ALEJANDRO BERNATE PIAMBA"/>
    <x v="3"/>
    <x v="15"/>
    <s v="KRYPTO"/>
    <e v="#NAME?"/>
    <s v="SDATOOL-39836 $ Vivienda digital fase III"/>
    <n v="0.5"/>
    <s v="QA"/>
    <s v="Distribuido"/>
    <m/>
    <e v="#NAME?"/>
    <e v="#NAME?"/>
    <e v="#NAME?"/>
    <m/>
    <m/>
    <m/>
    <m/>
    <m/>
    <n v="0"/>
    <m/>
    <m/>
    <m/>
  </r>
  <r>
    <s v="C796415"/>
    <s v="EDGAR REY"/>
    <x v="3"/>
    <x v="15"/>
    <s v="BBVA"/>
    <e v="#NAME?"/>
    <s v="NOSDA $ BAU (Mantenimiento y peq. evolutivos)"/>
    <n v="1"/>
    <s v="Tech Manager/Líder"/>
    <s v="Mainframe"/>
    <m/>
    <e v="#NAME?"/>
    <e v="#NAME?"/>
    <e v="#NAME?"/>
    <m/>
    <m/>
    <m/>
    <m/>
    <m/>
    <n v="1"/>
    <m/>
    <m/>
    <m/>
  </r>
  <r>
    <s v="O000448"/>
    <s v="EDUAR BOLAÑOS"/>
    <x v="3"/>
    <x v="15"/>
    <s v="BBVA"/>
    <e v="#NAME?"/>
    <s v="SDATOOL-39836 $ Vivienda digital fase III"/>
    <n v="0.5"/>
    <s v="Desarrollador"/>
    <s v="APX"/>
    <m/>
    <e v="#NAME?"/>
    <e v="#NAME?"/>
    <e v="#NAME?"/>
    <m/>
    <m/>
    <m/>
    <m/>
    <m/>
    <n v="1"/>
    <m/>
    <m/>
    <m/>
  </r>
  <r>
    <s v="O000448"/>
    <s v="EDUAR BOLAÑOS"/>
    <x v="3"/>
    <x v="15"/>
    <s v="BBVA"/>
    <e v="#NAME?"/>
    <s v="SDATOOL-34887 $ Vivienda Digital Open Market"/>
    <n v="0.2"/>
    <s v="Desarrollador"/>
    <s v="APX"/>
    <m/>
    <e v="#NAME?"/>
    <e v="#NAME?"/>
    <e v="#NAME?"/>
    <m/>
    <m/>
    <m/>
    <m/>
    <m/>
    <n v="0"/>
    <m/>
    <m/>
    <m/>
  </r>
  <r>
    <s v="O000448"/>
    <s v="EDUAR BOLAÑOS"/>
    <x v="3"/>
    <x v="15"/>
    <s v="BBVA"/>
    <e v="#NAME?"/>
    <s v="SDATOOL-39272 $ GRM-Col-Cambio servicio APL (Aportes en línea)"/>
    <n v="0.3"/>
    <s v="Desarrollador"/>
    <s v="APX"/>
    <m/>
    <e v="#NAME?"/>
    <e v="#NAME?"/>
    <e v="#NAME?"/>
    <m/>
    <m/>
    <m/>
    <m/>
    <m/>
    <n v="0"/>
    <m/>
    <m/>
    <m/>
  </r>
  <r>
    <s v="C805991"/>
    <s v="FABIANI LOZANO"/>
    <x v="3"/>
    <x v="15"/>
    <s v="BBVA"/>
    <e v="#NAME?"/>
    <s v="SDATOOL-36548 $ Optimización consumo web - Plan ascenso Open Market"/>
    <n v="0.2"/>
    <s v="Desarrollador"/>
    <s v="ASO"/>
    <m/>
    <e v="#NAME?"/>
    <e v="#NAME?"/>
    <e v="#NAME?"/>
    <m/>
    <m/>
    <m/>
    <m/>
    <m/>
    <n v="1"/>
    <m/>
    <m/>
    <m/>
  </r>
  <r>
    <s v="C805991"/>
    <s v="FABIANI LOZANO"/>
    <x v="3"/>
    <x v="15"/>
    <s v="BBVA"/>
    <e v="#NAME?"/>
    <s v="SDATOOL-39272 $ GRM-Col-Cambio servicio APL (Aportes en línea)"/>
    <n v="0.3"/>
    <s v="Desarrollador"/>
    <s v="ASO"/>
    <m/>
    <e v="#NAME?"/>
    <e v="#NAME?"/>
    <e v="#NAME?"/>
    <m/>
    <m/>
    <m/>
    <m/>
    <m/>
    <n v="0"/>
    <m/>
    <m/>
    <m/>
  </r>
  <r>
    <s v="C805991"/>
    <s v="FABIANI LOZANO"/>
    <x v="3"/>
    <x v="15"/>
    <s v="BBVA"/>
    <e v="#NAME?"/>
    <s v="SDATOOL-36548 $ Optimización consumo web - Plan ascenso Open Market"/>
    <n v="0.3"/>
    <s v="Desarrollador"/>
    <s v="ASO"/>
    <m/>
    <e v="#NAME?"/>
    <e v="#NAME?"/>
    <e v="#NAME?"/>
    <m/>
    <m/>
    <m/>
    <m/>
    <m/>
    <n v="0"/>
    <m/>
    <m/>
    <m/>
  </r>
  <r>
    <s v="C805991"/>
    <s v="FABIANI LOZANO"/>
    <x v="3"/>
    <x v="15"/>
    <s v="BBVA"/>
    <e v="#NAME?"/>
    <s v="NOSDA $ BAU (Mantenimiento y peq. evolutivos)"/>
    <n v="0.2"/>
    <s v="Desarrollador"/>
    <s v="ASO"/>
    <s v="Se esta revisando la mejora del Validate Products"/>
    <e v="#NAME?"/>
    <e v="#NAME?"/>
    <e v="#NAME?"/>
    <m/>
    <m/>
    <m/>
    <m/>
    <m/>
    <n v="0"/>
    <m/>
    <m/>
    <m/>
  </r>
  <r>
    <s v="O001038"/>
    <s v="FLOR ALICIA GALAN"/>
    <x v="3"/>
    <x v="15"/>
    <s v="BBVA"/>
    <e v="#NAME?"/>
    <s v="NOSDA $ BAU (Mantenimiento y peq. evolutivos)"/>
    <n v="1"/>
    <s v="Desarrollador"/>
    <s v="Mainframe"/>
    <m/>
    <e v="#NAME?"/>
    <e v="#NAME?"/>
    <e v="#NAME?"/>
    <m/>
    <m/>
    <m/>
    <m/>
    <m/>
    <n v="1"/>
    <m/>
    <m/>
    <m/>
  </r>
  <r>
    <s v="CE50152"/>
    <s v="FRANKLIN MEDINA"/>
    <x v="3"/>
    <x v="15"/>
    <s v="Inetum"/>
    <e v="#NAME?"/>
    <s v="NOSDA $ BAU (Mantenimiento y peq. evolutivos)"/>
    <n v="1"/>
    <s v="QA"/>
    <s v="Mainframe"/>
    <m/>
    <e v="#NAME?"/>
    <e v="#NAME?"/>
    <e v="#NAME?"/>
    <m/>
    <m/>
    <m/>
    <m/>
    <m/>
    <n v="1"/>
    <m/>
    <m/>
    <m/>
  </r>
  <r>
    <s v="CE60769"/>
    <s v="HECTOR FERNANDO JARAMILLO"/>
    <x v="3"/>
    <x v="15"/>
    <s v="Inetum"/>
    <e v="#NAME?"/>
    <s v="SDATOOL-39836 $ Vivienda digital fase III"/>
    <n v="1"/>
    <s v="Desarrollador"/>
    <s v="Mainframe"/>
    <m/>
    <e v="#NAME?"/>
    <e v="#NAME?"/>
    <e v="#NAME?"/>
    <m/>
    <m/>
    <m/>
    <m/>
    <m/>
    <n v="1"/>
    <m/>
    <m/>
    <m/>
  </r>
  <r>
    <s v="CE52097"/>
    <s v="IVAN DE JESÚS RAMOS OSORIO"/>
    <x v="3"/>
    <x v="15"/>
    <s v="Neoris"/>
    <e v="#NAME?"/>
    <s v="NOSDA $ BAU (Mantenimiento y peq. evolutivos)"/>
    <n v="1"/>
    <s v="Desarrollador"/>
    <s v="Mainframe"/>
    <m/>
    <e v="#NAME?"/>
    <e v="#NAME?"/>
    <e v="#NAME?"/>
    <m/>
    <m/>
    <m/>
    <m/>
    <m/>
    <n v="1"/>
    <m/>
    <m/>
    <m/>
  </r>
  <r>
    <s v="CE61638"/>
    <s v="JAVIER CORDOBA"/>
    <x v="3"/>
    <x v="15"/>
    <s v="KRYPTO"/>
    <e v="#NAME?"/>
    <s v="SDATOOL-35463 $ Gestión de Ingresos - Períodos de Gracia Libranzas"/>
    <n v="1"/>
    <s v="QA"/>
    <s v="Mainframe"/>
    <m/>
    <e v="#NAME?"/>
    <e v="#NAME?"/>
    <e v="#NAME?"/>
    <m/>
    <m/>
    <m/>
    <m/>
    <m/>
    <n v="1"/>
    <m/>
    <m/>
    <m/>
  </r>
  <r>
    <s v="O001111"/>
    <s v="JENNIFER HAILINTH MORENO"/>
    <x v="3"/>
    <x v="15"/>
    <s v="BBVA"/>
    <e v="#NAME?"/>
    <s v="SDATOOL-36548 $ Optimización consumo web - Plan ascenso Open Market"/>
    <n v="1"/>
    <s v="Desarrollador"/>
    <s v="Mainframe"/>
    <m/>
    <e v="#NAME?"/>
    <e v="#NAME?"/>
    <e v="#NAME?"/>
    <m/>
    <m/>
    <m/>
    <m/>
    <m/>
    <n v="1"/>
    <m/>
    <m/>
    <m/>
  </r>
  <r>
    <s v="CE66153"/>
    <s v="JHON EDWIN MENDOZA DAZA"/>
    <x v="3"/>
    <x v="15"/>
    <s v="Novatec"/>
    <e v="#NAME?"/>
    <s v="SDATOOL-39836 $ Vivienda digital fase III"/>
    <n v="0.7"/>
    <s v="Desarrollador"/>
    <s v="Cells"/>
    <m/>
    <e v="#NAME?"/>
    <e v="#NAME?"/>
    <e v="#NAME?"/>
    <m/>
    <m/>
    <m/>
    <m/>
    <m/>
    <n v="1"/>
    <m/>
    <m/>
    <m/>
  </r>
  <r>
    <s v="CE66153"/>
    <s v="JHON EDWIN MENDOZA DAZA"/>
    <x v="3"/>
    <x v="15"/>
    <s v="Novatec"/>
    <e v="#NAME?"/>
    <s v="SDATOOL-39272 $ GRM-Col-Cambio servicio APL (Aportes en línea)"/>
    <n v="0.3"/>
    <s v="Desarrollador"/>
    <s v="Cells"/>
    <m/>
    <e v="#NAME?"/>
    <e v="#NAME?"/>
    <e v="#NAME?"/>
    <m/>
    <m/>
    <m/>
    <m/>
    <m/>
    <n v="0"/>
    <m/>
    <m/>
    <m/>
  </r>
  <r>
    <s v="C811329"/>
    <s v="JHON MARIO FORERO"/>
    <x v="3"/>
    <x v="15"/>
    <s v="BBVA"/>
    <e v="#NAME?"/>
    <s v="NOSDA $ BAU (Mantenimiento y peq. evolutivos)"/>
    <n v="1"/>
    <s v="Desarrollador"/>
    <s v="Mainframe"/>
    <m/>
    <e v="#NAME?"/>
    <e v="#NAME?"/>
    <e v="#NAME?"/>
    <m/>
    <m/>
    <m/>
    <m/>
    <m/>
    <n v="1"/>
    <m/>
    <m/>
    <m/>
  </r>
  <r>
    <s v="CE61687"/>
    <s v="JHONATAN STIV CUADROS CARDENAS"/>
    <x v="3"/>
    <x v="15"/>
    <s v="Accenture"/>
    <e v="#NAME?"/>
    <s v="SDATOOL-36548 $ Optimización consumo web - Plan ascenso Open Market"/>
    <n v="0.7"/>
    <s v="Desarrollador"/>
    <s v="APX"/>
    <m/>
    <e v="#NAME?"/>
    <e v="#NAME?"/>
    <e v="#NAME?"/>
    <m/>
    <m/>
    <m/>
    <m/>
    <m/>
    <n v="1"/>
    <m/>
    <m/>
    <m/>
  </r>
  <r>
    <s v="CE61687"/>
    <s v="JHONATAN STIV CUADROS CARDENAS"/>
    <x v="3"/>
    <x v="15"/>
    <s v="Accenture"/>
    <e v="#NAME?"/>
    <s v="SDATOOL-39272 $ GRM-Col-Cambio servicio APL (Aportes en línea)"/>
    <n v="0.3"/>
    <s v="Desarrollador"/>
    <s v="APX"/>
    <m/>
    <e v="#NAME?"/>
    <e v="#NAME?"/>
    <e v="#NAME?"/>
    <m/>
    <m/>
    <m/>
    <m/>
    <m/>
    <n v="0"/>
    <m/>
    <m/>
    <m/>
  </r>
  <r>
    <s v="C808819"/>
    <s v="JOSEPH ALEANDER ROJAS"/>
    <x v="3"/>
    <x v="15"/>
    <s v="BBVA"/>
    <e v="#NAME?"/>
    <s v="SDATOOL-34887 $ Vivienda Digital Open Market"/>
    <n v="0.4"/>
    <s v="Desarrollador"/>
    <s v="Mainframe"/>
    <m/>
    <e v="#NAME?"/>
    <e v="#NAME?"/>
    <e v="#NAME?"/>
    <m/>
    <m/>
    <m/>
    <m/>
    <m/>
    <n v="1"/>
    <m/>
    <m/>
    <m/>
  </r>
  <r>
    <s v="C808819"/>
    <s v="JOSEPH ALEANDER ROJAS"/>
    <x v="3"/>
    <x v="15"/>
    <s v="BBVA"/>
    <e v="#NAME?"/>
    <s v="SDATOOL-39836 $ Vivienda digital fase III"/>
    <n v="0.6"/>
    <s v="Desarrollador"/>
    <s v="Mainframe"/>
    <m/>
    <e v="#NAME?"/>
    <e v="#NAME?"/>
    <e v="#NAME?"/>
    <m/>
    <m/>
    <m/>
    <m/>
    <m/>
    <n v="0"/>
    <m/>
    <m/>
    <m/>
  </r>
  <r>
    <s v="CE64753"/>
    <s v="JUAN CARLOS PULIDO"/>
    <x v="3"/>
    <x v="15"/>
    <s v="KRYPTO"/>
    <e v="#NAME?"/>
    <s v="NOSDA $ BAU (Mantenimiento y peq. evolutivos)"/>
    <n v="1"/>
    <s v="QA"/>
    <s v="Mainframe"/>
    <m/>
    <e v="#NAME?"/>
    <e v="#NAME?"/>
    <e v="#NAME?"/>
    <m/>
    <m/>
    <m/>
    <m/>
    <m/>
    <n v="1"/>
    <m/>
    <m/>
    <m/>
  </r>
  <r>
    <s v="C804405"/>
    <s v="JUAN SALAZAR"/>
    <x v="3"/>
    <x v="15"/>
    <s v="BBVA"/>
    <e v="#NAME?"/>
    <s v="NOSDA $ BAU (Mantenimiento y peq. evolutivos)"/>
    <n v="0.3"/>
    <s v="Desarrollador"/>
    <s v="Mainframe"/>
    <m/>
    <e v="#NAME?"/>
    <e v="#NAME?"/>
    <e v="#NAME?"/>
    <m/>
    <m/>
    <m/>
    <m/>
    <m/>
    <n v="1"/>
    <m/>
    <m/>
    <m/>
  </r>
  <r>
    <s v="C804405"/>
    <s v="JUAN SALAZAR"/>
    <x v="3"/>
    <x v="15"/>
    <s v="BBVA"/>
    <e v="#NAME?"/>
    <s v="SDATOOL-41729 $ SEGUNDA LIBRANZA - APLICACION PAGOS Y VoBo PAGADOR"/>
    <n v="0.7"/>
    <s v="Desarrollador"/>
    <s v="Mainframe"/>
    <m/>
    <e v="#NAME?"/>
    <e v="#NAME?"/>
    <e v="#NAME?"/>
    <m/>
    <m/>
    <m/>
    <m/>
    <m/>
    <n v="0"/>
    <m/>
    <m/>
    <m/>
  </r>
  <r>
    <s v="C809507"/>
    <s v="JULIE PAULETTE GARAVITO"/>
    <x v="3"/>
    <x v="15"/>
    <s v="BBVA"/>
    <e v="#NAME?"/>
    <s v="SDATOOL-35463 $ Gestión de Ingresos - Períodos de Gracia Libranzas"/>
    <n v="1"/>
    <s v="Desarrollador"/>
    <s v="Mainframe"/>
    <m/>
    <e v="#NAME?"/>
    <e v="#NAME?"/>
    <e v="#NAME?"/>
    <m/>
    <m/>
    <m/>
    <m/>
    <m/>
    <n v="1"/>
    <m/>
    <m/>
    <m/>
  </r>
  <r>
    <s v="C808802"/>
    <s v="KAREN MARGARITA ANGULO"/>
    <x v="3"/>
    <x v="15"/>
    <s v="BBVA"/>
    <e v="#NAME?"/>
    <s v="SDATOOL-42155 $ Ajustes en proceso de Titularización y recompra de cartera titularizada"/>
    <n v="0.8"/>
    <s v="Desarrollador"/>
    <s v="Mainframe"/>
    <m/>
    <e v="#NAME?"/>
    <e v="#NAME?"/>
    <e v="#NAME?"/>
    <m/>
    <m/>
    <m/>
    <m/>
    <m/>
    <n v="1"/>
    <m/>
    <m/>
    <m/>
  </r>
  <r>
    <s v="C808802"/>
    <s v="KAREN MARGARITA ANGULO"/>
    <x v="3"/>
    <x v="15"/>
    <s v="BBVA"/>
    <e v="#NAME?"/>
    <s v="NOSDA $ BAU (Mantenimiento y peq. evolutivos)"/>
    <n v="0.2"/>
    <s v="Desarrollador"/>
    <s v="Mainframe"/>
    <m/>
    <e v="#NAME?"/>
    <e v="#NAME?"/>
    <e v="#NAME?"/>
    <m/>
    <m/>
    <m/>
    <m/>
    <m/>
    <n v="0"/>
    <m/>
    <m/>
    <m/>
  </r>
  <r>
    <s v="C809507"/>
    <s v="LEYDI CAMARGO"/>
    <x v="3"/>
    <x v="15"/>
    <s v="BBVA"/>
    <e v="#NAME?"/>
    <s v="NOSDA $ BAU (Mantenimiento y peq. evolutivos)"/>
    <n v="0.5"/>
    <s v="Desarrollador"/>
    <s v="Distribuido"/>
    <m/>
    <e v="#NAME?"/>
    <e v="#NAME?"/>
    <e v="#NAME?"/>
    <m/>
    <m/>
    <m/>
    <m/>
    <m/>
    <n v="1"/>
    <m/>
    <m/>
    <m/>
  </r>
  <r>
    <s v="C809507"/>
    <s v="LEYDI CAMARGO"/>
    <x v="3"/>
    <x v="15"/>
    <s v="BBVA"/>
    <e v="#NAME?"/>
    <s v="SDATOOL-40062 $ Implementación FGA en flujos de contratación digital"/>
    <n v="0.5"/>
    <s v="Desarrollador"/>
    <s v="Distribuido"/>
    <m/>
    <e v="#NAME?"/>
    <e v="#NAME?"/>
    <e v="#NAME?"/>
    <m/>
    <m/>
    <m/>
    <m/>
    <m/>
    <n v="0"/>
    <m/>
    <m/>
    <m/>
  </r>
  <r>
    <s v="T001910"/>
    <s v="LIDA VIVIANA PINEDA"/>
    <x v="3"/>
    <x v="15"/>
    <s v="Neoris"/>
    <e v="#NAME?"/>
    <s v="NOSDA $ BAU (Mantenimiento y peq. evolutivos)"/>
    <n v="1"/>
    <s v="Desarrollador"/>
    <s v="Mainframe"/>
    <m/>
    <e v="#NAME?"/>
    <e v="#NAME?"/>
    <e v="#NAME?"/>
    <m/>
    <m/>
    <m/>
    <m/>
    <m/>
    <n v="1"/>
    <m/>
    <m/>
    <m/>
  </r>
  <r>
    <s v="C808648"/>
    <s v="LUIS JAVIER SANDON"/>
    <x v="3"/>
    <x v="15"/>
    <s v="BBVA"/>
    <e v="#NAME?"/>
    <s v="SDATOOL-40466 $ Garantía FAG"/>
    <n v="1"/>
    <s v="Desarrollador"/>
    <s v="Mainframe"/>
    <m/>
    <e v="#NAME?"/>
    <e v="#NAME?"/>
    <e v="#NAME?"/>
    <m/>
    <m/>
    <m/>
    <m/>
    <m/>
    <n v="1"/>
    <m/>
    <m/>
    <m/>
  </r>
  <r>
    <s v="C343564"/>
    <s v="LUZ ESTELLA ORTEGA"/>
    <x v="3"/>
    <x v="15"/>
    <s v="BBVA"/>
    <e v="#NAME?"/>
    <s v="SDATOOL-34157 $ Evolutivo Parthnership - Crédito en punto de venta de Aliados"/>
    <n v="0.1"/>
    <s v="Desarrollador"/>
    <s v="Mainframe"/>
    <m/>
    <e v="#NAME?"/>
    <e v="#NAME?"/>
    <e v="#NAME?"/>
    <m/>
    <m/>
    <m/>
    <m/>
    <m/>
    <n v="1"/>
    <m/>
    <m/>
    <m/>
  </r>
  <r>
    <s v="C343564"/>
    <s v="LUZ ESTELLA ORTEGA"/>
    <x v="3"/>
    <x v="15"/>
    <s v="BBVA"/>
    <e v="#NAME?"/>
    <s v="SDATOOL-34157 $ Evolutivo Parthnership - Crédito en punto de venta de Aliados"/>
    <n v="0.1"/>
    <s v="Desarrollador"/>
    <s v="Mainframe"/>
    <m/>
    <e v="#NAME?"/>
    <e v="#NAME?"/>
    <e v="#NAME?"/>
    <m/>
    <m/>
    <m/>
    <m/>
    <m/>
    <n v="0"/>
    <m/>
    <m/>
    <m/>
  </r>
  <r>
    <s v="C343564"/>
    <s v="LUZ ESTELLA ORTEGA"/>
    <x v="3"/>
    <x v="15"/>
    <s v="BBVA"/>
    <e v="#NAME?"/>
    <s v="SDATOOL-40062 $ Implementación FGA en flujos de contratación digital"/>
    <n v="0.8"/>
    <s v="Desarrollador"/>
    <s v="Mainframe"/>
    <m/>
    <e v="#NAME?"/>
    <e v="#NAME?"/>
    <e v="#NAME?"/>
    <m/>
    <m/>
    <m/>
    <m/>
    <m/>
    <n v="0"/>
    <m/>
    <m/>
    <m/>
  </r>
  <r>
    <s v="C805926"/>
    <s v="MAICOL STIVEN PEREZ"/>
    <x v="3"/>
    <x v="15"/>
    <s v="BBVA"/>
    <e v="#NAME?"/>
    <s v="SDATOOL-39836 $ Vivienda digital fase III"/>
    <n v="1"/>
    <s v="Desarrollador"/>
    <s v="ASO"/>
    <m/>
    <e v="#NAME?"/>
    <e v="#NAME?"/>
    <e v="#NAME?"/>
    <m/>
    <m/>
    <m/>
    <m/>
    <m/>
    <n v="1"/>
    <m/>
    <m/>
    <m/>
  </r>
  <r>
    <s v="O000197"/>
    <s v="MARIA ESTELA SUAREZ"/>
    <x v="3"/>
    <x v="15"/>
    <s v="BBVA"/>
    <e v="#NAME?"/>
    <s v="SDATOOL-34887 $ Vivienda Digital Open Market"/>
    <n v="0.1"/>
    <s v="Tech Manager/Líder"/>
    <s v="Otras Tec."/>
    <m/>
    <e v="#NAME?"/>
    <e v="#NAME?"/>
    <e v="#NAME?"/>
    <m/>
    <m/>
    <m/>
    <m/>
    <m/>
    <n v="1"/>
    <m/>
    <m/>
    <m/>
  </r>
  <r>
    <s v="O000197"/>
    <s v="MARIA ESTELA SUAREZ"/>
    <x v="3"/>
    <x v="15"/>
    <s v="BBVA"/>
    <e v="#NAME?"/>
    <s v="SDATOOL-39836 $ Vivienda digital fase III"/>
    <n v="0.3"/>
    <s v="Tech Manager/Líder"/>
    <s v="Otras Tec."/>
    <m/>
    <e v="#NAME?"/>
    <e v="#NAME?"/>
    <e v="#NAME?"/>
    <m/>
    <m/>
    <m/>
    <m/>
    <m/>
    <n v="0"/>
    <m/>
    <m/>
    <m/>
  </r>
  <r>
    <s v="O000197"/>
    <s v="MARIA ESTELA SUAREZ"/>
    <x v="3"/>
    <x v="15"/>
    <s v="BBVA"/>
    <e v="#NAME?"/>
    <s v="SDATOOL-39272 $ GRM-Col-Cambio servicio APL (Aportes en línea)"/>
    <n v="0.1"/>
    <s v="Tech Manager/Líder"/>
    <s v="Otras Tec."/>
    <m/>
    <e v="#NAME?"/>
    <e v="#NAME?"/>
    <e v="#NAME?"/>
    <m/>
    <m/>
    <m/>
    <m/>
    <m/>
    <n v="0"/>
    <m/>
    <m/>
    <m/>
  </r>
  <r>
    <s v="O000197"/>
    <s v="MARIA ESTELA SUAREZ"/>
    <x v="3"/>
    <x v="15"/>
    <s v="BBVA"/>
    <e v="#NAME?"/>
    <s v="SDATOOL-37136 $ Conexión simulador vía API Vehículo digital"/>
    <n v="0.05"/>
    <s v="Tech Manager/Líder"/>
    <s v="Otras Tec."/>
    <m/>
    <e v="#NAME?"/>
    <e v="#NAME?"/>
    <e v="#NAME?"/>
    <m/>
    <m/>
    <m/>
    <m/>
    <m/>
    <n v="0"/>
    <m/>
    <m/>
    <m/>
  </r>
  <r>
    <s v="O000197"/>
    <s v="MARIA ESTELA SUAREZ"/>
    <x v="3"/>
    <x v="15"/>
    <s v="BBVA"/>
    <e v="#NAME?"/>
    <s v="SDATOOL-41752 $ Consumo Openmk con Biometría Obligatoria por Nácar para desembolsar"/>
    <n v="0.05"/>
    <s v="Tech Manager/Líder"/>
    <s v="Otras Tec."/>
    <m/>
    <e v="#NAME?"/>
    <e v="#NAME?"/>
    <e v="#NAME?"/>
    <m/>
    <m/>
    <m/>
    <m/>
    <m/>
    <n v="0"/>
    <m/>
    <m/>
    <m/>
  </r>
  <r>
    <s v="O000197"/>
    <s v="MARIA ESTELA SUAREZ"/>
    <x v="3"/>
    <x v="15"/>
    <s v="BBVA"/>
    <e v="#NAME?"/>
    <s v="SDATOOL-36548 $ Optimización consumo web - Plan ascenso Open Market"/>
    <n v="0.3"/>
    <s v="Tech Manager/Líder"/>
    <s v="Otras Tec."/>
    <m/>
    <e v="#NAME?"/>
    <e v="#NAME?"/>
    <e v="#NAME?"/>
    <m/>
    <m/>
    <m/>
    <m/>
    <m/>
    <n v="0"/>
    <m/>
    <m/>
    <m/>
  </r>
  <r>
    <s v="O000197"/>
    <s v="MARIA ESTELA SUAREZ"/>
    <x v="3"/>
    <x v="15"/>
    <s v="BBVA"/>
    <e v="#NAME?"/>
    <s v="NOSDA $ BAU (Mantenimiento y peq. evolutivos)"/>
    <n v="0.1"/>
    <s v="Tech Manager/Líder"/>
    <s v="Otras Tec."/>
    <m/>
    <e v="#NAME?"/>
    <e v="#NAME?"/>
    <e v="#NAME?"/>
    <m/>
    <m/>
    <m/>
    <m/>
    <m/>
    <n v="0"/>
    <m/>
    <m/>
    <m/>
  </r>
  <r>
    <s v="O000158"/>
    <s v="MAURICIO RAMIREZ"/>
    <x v="3"/>
    <x v="15"/>
    <s v="BBVA"/>
    <e v="#NAME?"/>
    <s v="NOSDA $ BAU (Mantenimiento y peq. evolutivos)"/>
    <n v="1"/>
    <s v="Desarrollador"/>
    <s v="Mainframe"/>
    <m/>
    <e v="#NAME?"/>
    <e v="#NAME?"/>
    <e v="#NAME?"/>
    <m/>
    <m/>
    <m/>
    <m/>
    <m/>
    <n v="1"/>
    <m/>
    <m/>
    <m/>
  </r>
  <r>
    <s v="CE47926"/>
    <s v="MELANIE QUIROZ"/>
    <x v="3"/>
    <x v="15"/>
    <s v="Neoris"/>
    <e v="#NAME?"/>
    <s v="NOSDA $ BAU (Mantenimiento y peq. evolutivos)"/>
    <n v="1"/>
    <s v="Desarrollador"/>
    <s v="Mainframe"/>
    <m/>
    <e v="#NAME?"/>
    <e v="#NAME?"/>
    <e v="#NAME?"/>
    <m/>
    <m/>
    <m/>
    <m/>
    <m/>
    <n v="1"/>
    <m/>
    <m/>
    <m/>
  </r>
  <r>
    <s v="C811205"/>
    <s v="MIRYANI VARGAS"/>
    <x v="3"/>
    <x v="15"/>
    <s v="BBVA"/>
    <e v="#NAME?"/>
    <s v="NOSDA $ BAU (Mantenimiento y peq. evolutivos)"/>
    <n v="1"/>
    <s v="Desarrollador"/>
    <s v="Mainframe"/>
    <m/>
    <e v="#NAME?"/>
    <e v="#NAME?"/>
    <e v="#NAME?"/>
    <m/>
    <m/>
    <m/>
    <m/>
    <m/>
    <n v="1"/>
    <m/>
    <m/>
    <m/>
  </r>
  <r>
    <s v="O002661"/>
    <s v="NANCY CATHERINE HERNANDEZ"/>
    <x v="3"/>
    <x v="15"/>
    <s v="BBVA"/>
    <e v="#NAME?"/>
    <s v="SDATOOL-34157 $ Evolutivo Parthnership - Crédito en punto de venta de Aliados"/>
    <n v="0.25"/>
    <s v="QA"/>
    <s v="Distribuido"/>
    <m/>
    <e v="#NAME?"/>
    <e v="#NAME?"/>
    <e v="#NAME?"/>
    <m/>
    <m/>
    <m/>
    <m/>
    <m/>
    <n v="1"/>
    <m/>
    <m/>
    <m/>
  </r>
  <r>
    <s v="O002661"/>
    <s v="NANCY CATHERINE HERNANDEZ"/>
    <x v="3"/>
    <x v="15"/>
    <s v="BBVA"/>
    <e v="#NAME?"/>
    <s v="SDATOOL-36548 $ Optimización consumo web - Plan ascenso Open Market"/>
    <n v="0.25"/>
    <s v="QA"/>
    <s v="Distribuido"/>
    <m/>
    <e v="#NAME?"/>
    <e v="#NAME?"/>
    <e v="#NAME?"/>
    <m/>
    <m/>
    <m/>
    <m/>
    <m/>
    <n v="0"/>
    <m/>
    <m/>
    <m/>
  </r>
  <r>
    <s v="O002661"/>
    <s v="NANCY CATHERINE HERNANDEZ"/>
    <x v="3"/>
    <x v="15"/>
    <s v="BBVA"/>
    <e v="#NAME?"/>
    <s v="SDATOOL-34887 $ Vivienda Digital Open Market"/>
    <n v="0.25"/>
    <s v="QA"/>
    <s v="Distribuido"/>
    <m/>
    <e v="#NAME?"/>
    <e v="#NAME?"/>
    <e v="#NAME?"/>
    <m/>
    <m/>
    <m/>
    <m/>
    <m/>
    <n v="0"/>
    <m/>
    <m/>
    <m/>
  </r>
  <r>
    <s v="O002661"/>
    <s v="NANCY CATHERINE HERNANDEZ"/>
    <x v="3"/>
    <x v="15"/>
    <s v="BBVA"/>
    <e v="#NAME?"/>
    <s v="SDATOOL-34910 $ Libranza Digital"/>
    <n v="0.25"/>
    <s v="QA"/>
    <s v="Distribuido"/>
    <m/>
    <e v="#NAME?"/>
    <e v="#NAME?"/>
    <e v="#NAME?"/>
    <m/>
    <m/>
    <m/>
    <m/>
    <m/>
    <n v="0"/>
    <m/>
    <m/>
    <m/>
  </r>
  <r>
    <s v="CE56109"/>
    <s v="OMAR FERNANDO ORTEGÓN VARGAS"/>
    <x v="3"/>
    <x v="15"/>
    <s v="Neoris"/>
    <e v="#NAME?"/>
    <s v="NOSDA $ BAU (Mantenimiento y peq. evolutivos)"/>
    <n v="1"/>
    <s v="Desarrollador"/>
    <s v="Mainframe"/>
    <m/>
    <e v="#NAME?"/>
    <e v="#NAME?"/>
    <e v="#NAME?"/>
    <m/>
    <m/>
    <m/>
    <m/>
    <m/>
    <n v="1"/>
    <m/>
    <m/>
    <m/>
  </r>
  <r>
    <s v="T000361"/>
    <s v="RODRIGO BARBIERI PEREZ"/>
    <x v="3"/>
    <x v="15"/>
    <s v="Globant"/>
    <e v="#NAME?"/>
    <s v="SDATOOL-36548 $ Optimización consumo web - Plan ascenso Open Market"/>
    <n v="0.7"/>
    <s v="Desarrollador"/>
    <s v="Cells"/>
    <m/>
    <e v="#NAME?"/>
    <e v="#NAME?"/>
    <e v="#NAME?"/>
    <m/>
    <m/>
    <m/>
    <m/>
    <m/>
    <n v="1"/>
    <m/>
    <m/>
    <m/>
  </r>
  <r>
    <s v="T000361"/>
    <s v="RODRIGO BARBIERI PEREZ"/>
    <x v="3"/>
    <x v="15"/>
    <s v="Globant"/>
    <e v="#NAME?"/>
    <s v="SDATOOL-39272 $ GRM-Col-Cambio servicio APL (Aportes en línea)"/>
    <n v="0.3"/>
    <s v="Desarrollador"/>
    <s v="Cells"/>
    <m/>
    <e v="#NAME?"/>
    <e v="#NAME?"/>
    <e v="#NAME?"/>
    <m/>
    <m/>
    <m/>
    <m/>
    <m/>
    <n v="0"/>
    <m/>
    <m/>
    <m/>
  </r>
  <r>
    <s v="CI35128"/>
    <s v="Cristian Camilo Rincon"/>
    <x v="1"/>
    <x v="18"/>
    <s v="BBVA Fiduciaria"/>
    <e v="#NAME?"/>
    <s v="NOSDA $ BAU (Mantenimiento y peq. evolutivos)"/>
    <n v="0.5"/>
    <s v="Tech Manager/Líder"/>
    <m/>
    <s v="Interno"/>
    <e v="#NAME?"/>
    <e v="#NAME?"/>
    <e v="#NAME?"/>
    <m/>
    <m/>
    <m/>
    <m/>
    <m/>
    <m/>
    <m/>
    <m/>
    <m/>
  </r>
  <r>
    <s v="CI35442"/>
    <s v="Juan Camilo Ladino Guezguan"/>
    <x v="1"/>
    <x v="18"/>
    <s v="BBVA Fiduciaria"/>
    <e v="#NAME?"/>
    <s v="NOSDA $ BAU (Mantenimiento y peq. evolutivos)"/>
    <n v="0.4"/>
    <s v="Desarrollador"/>
    <m/>
    <s v="Interno"/>
    <e v="#NAME?"/>
    <e v="#NAME?"/>
    <e v="#NAME?"/>
    <m/>
    <m/>
    <m/>
    <m/>
    <m/>
    <m/>
    <m/>
    <m/>
    <m/>
  </r>
  <r>
    <s v="O000150"/>
    <s v="Oscar Fernando Real Bautista"/>
    <x v="1"/>
    <x v="18"/>
    <s v="BBVA Fiduciaria"/>
    <e v="#NAME?"/>
    <s v="NOSDA $ BAU (Mantenimiento y peq. evolutivos)"/>
    <n v="0.2"/>
    <s v="Tech Manager/Líder"/>
    <m/>
    <s v="Interno"/>
    <e v="#NAME?"/>
    <e v="#NAME?"/>
    <e v="#NAME?"/>
    <m/>
    <m/>
    <m/>
    <m/>
    <m/>
    <m/>
    <m/>
    <m/>
    <m/>
  </r>
  <r>
    <s v="CI35100"/>
    <s v="Alexander Lopez Fonseca"/>
    <x v="1"/>
    <x v="18"/>
    <s v="BBVA Fiduciaria"/>
    <e v="#NAME?"/>
    <s v="NOSDA $ BAU (Mantenimiento y peq. evolutivos)"/>
    <n v="0.5"/>
    <s v="Tech Manager/Líder"/>
    <m/>
    <s v="Interno"/>
    <e v="#NAME?"/>
    <e v="#NAME?"/>
    <e v="#NAME?"/>
    <m/>
    <m/>
    <m/>
    <m/>
    <m/>
    <m/>
    <m/>
    <m/>
    <m/>
  </r>
  <r>
    <s v="CE67865"/>
    <s v="Alejandra Barrios"/>
    <x v="5"/>
    <x v="21"/>
    <s v="Accenture"/>
    <e v="#NAME?"/>
    <s v="SDATOOL-9053 $ GloMo Colombia"/>
    <n v="1"/>
    <s v="QA"/>
    <s v="Otras Tec."/>
    <m/>
    <e v="#NAME?"/>
    <e v="#NAME?"/>
    <e v="#NAME?"/>
    <m/>
    <m/>
    <m/>
    <m/>
    <m/>
    <m/>
    <m/>
    <m/>
    <m/>
  </r>
  <r>
    <s v="CE71119"/>
    <s v="Alvaro Alvarez"/>
    <x v="5"/>
    <x v="21"/>
    <s v="Accenture"/>
    <e v="#NAME?"/>
    <s v="SDATOOL-9053 $ GloMo Colombia"/>
    <n v="1"/>
    <s v="QA"/>
    <s v="Otras Tec."/>
    <m/>
    <e v="#NAME?"/>
    <e v="#NAME?"/>
    <e v="#NAME?"/>
    <m/>
    <m/>
    <m/>
    <m/>
    <m/>
    <m/>
    <m/>
    <m/>
    <m/>
  </r>
  <r>
    <s v="CE66576"/>
    <s v="Anderson Fabian Camelo"/>
    <x v="5"/>
    <x v="21"/>
    <s v="GGI / CMC"/>
    <e v="#NAME?"/>
    <s v="SDATOOL-9053 $ GloMo Colombia"/>
    <n v="1"/>
    <s v="QA"/>
    <s v="Otras Tec."/>
    <m/>
    <e v="#NAME?"/>
    <e v="#NAME?"/>
    <e v="#NAME?"/>
    <m/>
    <m/>
    <m/>
    <m/>
    <m/>
    <m/>
    <m/>
    <m/>
    <m/>
  </r>
  <r>
    <s v="CE67220"/>
    <s v="Carlos Arturo Rodriguez Castañeda"/>
    <x v="5"/>
    <x v="21"/>
    <s v="Neoris"/>
    <e v="#NAME?"/>
    <s v="SDATOOL-38489 $ Horizon BTGR - Colombia"/>
    <n v="1"/>
    <s v="Desarrollador"/>
    <s v="ASO"/>
    <m/>
    <e v="#NAME?"/>
    <e v="#NAME?"/>
    <e v="#NAME?"/>
    <m/>
    <m/>
    <m/>
    <m/>
    <m/>
    <m/>
    <m/>
    <m/>
    <m/>
  </r>
  <r>
    <s v="CE70202"/>
    <s v="Cesar Augusto Valbuena"/>
    <x v="5"/>
    <x v="21"/>
    <s v="Neoris"/>
    <e v="#NAME?"/>
    <s v="SDATOOL-9053 $ GloMo Colombia"/>
    <n v="1"/>
    <s v="QA"/>
    <s v="Otras Tec."/>
    <m/>
    <e v="#NAME?"/>
    <e v="#NAME?"/>
    <e v="#NAME?"/>
    <m/>
    <m/>
    <m/>
    <m/>
    <m/>
    <m/>
    <m/>
    <m/>
    <m/>
  </r>
  <r>
    <s v="CE67309"/>
    <s v="Cristian Camilo Duarte"/>
    <x v="5"/>
    <x v="21"/>
    <s v="GGI / CMC"/>
    <e v="#NAME?"/>
    <s v="SDATOOL-38489 $ Horizon BTGR - Colombia"/>
    <n v="0.5"/>
    <s v="QA"/>
    <s v="Otras Tec."/>
    <m/>
    <e v="#NAME?"/>
    <e v="#NAME?"/>
    <e v="#NAME?"/>
    <m/>
    <m/>
    <m/>
    <m/>
    <m/>
    <m/>
    <m/>
    <m/>
    <m/>
  </r>
  <r>
    <s v="CE67309"/>
    <s v="Cristian Camilo Duarte"/>
    <x v="5"/>
    <x v="21"/>
    <s v="GGI / CMC"/>
    <e v="#NAME?"/>
    <s v="SDATOOL-9053 $ GloMo Colombia"/>
    <n v="0.5"/>
    <s v="QA"/>
    <s v="Otras Tec."/>
    <m/>
    <e v="#NAME?"/>
    <e v="#NAME?"/>
    <e v="#NAME?"/>
    <m/>
    <m/>
    <m/>
    <m/>
    <m/>
    <m/>
    <m/>
    <m/>
    <m/>
  </r>
  <r>
    <s v="CE69445"/>
    <s v="Cristian Fernando Hernandez Angarita"/>
    <x v="5"/>
    <x v="21"/>
    <s v="Neoris"/>
    <e v="#NAME?"/>
    <s v="SDATOOL-38489 $ Horizon BTGR - Colombia"/>
    <n v="1"/>
    <s v="Desarrollador"/>
    <s v="Mainframe"/>
    <m/>
    <e v="#NAME?"/>
    <e v="#NAME?"/>
    <e v="#NAME?"/>
    <m/>
    <m/>
    <m/>
    <m/>
    <m/>
    <m/>
    <m/>
    <m/>
    <m/>
  </r>
  <r>
    <s v="CE69821"/>
    <s v="David Garrido"/>
    <x v="5"/>
    <x v="21"/>
    <s v="Globant"/>
    <e v="#NAME?"/>
    <s v="SDATOOL-9053 $ GloMo Colombia"/>
    <n v="1"/>
    <s v="Desarrollador"/>
    <s v="APX"/>
    <m/>
    <e v="#NAME?"/>
    <e v="#NAME?"/>
    <e v="#NAME?"/>
    <m/>
    <m/>
    <m/>
    <m/>
    <m/>
    <m/>
    <m/>
    <m/>
    <m/>
  </r>
  <r>
    <s v="CE70245"/>
    <s v="Diana Duarte"/>
    <x v="5"/>
    <x v="21"/>
    <s v="Accenture"/>
    <e v="#NAME?"/>
    <s v="SDATOOL-9053 $ GloMo Colombia"/>
    <n v="1"/>
    <s v="QA"/>
    <s v="Otras Tec."/>
    <m/>
    <e v="#NAME?"/>
    <e v="#NAME?"/>
    <e v="#NAME?"/>
    <m/>
    <m/>
    <m/>
    <m/>
    <m/>
    <m/>
    <m/>
    <m/>
    <m/>
  </r>
  <r>
    <s v="T001912"/>
    <s v="Diego Alejandro Parra Nuñez"/>
    <x v="5"/>
    <x v="21"/>
    <s v="Neoris"/>
    <e v="#NAME?"/>
    <s v="SDATOOL-9053 $ GloMo Colombia"/>
    <n v="1"/>
    <s v="QA"/>
    <s v="Otras Tec."/>
    <m/>
    <e v="#NAME?"/>
    <e v="#NAME?"/>
    <e v="#NAME?"/>
    <m/>
    <m/>
    <m/>
    <m/>
    <m/>
    <m/>
    <m/>
    <m/>
    <m/>
  </r>
  <r>
    <s v="CE71116"/>
    <s v="Dina Luz Perez"/>
    <x v="5"/>
    <x v="21"/>
    <s v="Accenture"/>
    <e v="#NAME?"/>
    <s v="SDATOOL-9053 $ GloMo Colombia"/>
    <n v="1"/>
    <s v="QA"/>
    <s v="Otras Tec."/>
    <m/>
    <e v="#NAME?"/>
    <e v="#NAME?"/>
    <e v="#NAME?"/>
    <m/>
    <m/>
    <m/>
    <m/>
    <m/>
    <m/>
    <m/>
    <m/>
    <m/>
  </r>
  <r>
    <s v="CE67846"/>
    <s v="Edson Suarez"/>
    <x v="5"/>
    <x v="21"/>
    <s v="Accenture"/>
    <e v="#NAME?"/>
    <s v="SDATOOL-9053 $ GloMo Colombia"/>
    <n v="1"/>
    <s v="QA"/>
    <s v="Otras Tec."/>
    <m/>
    <e v="#NAME?"/>
    <e v="#NAME?"/>
    <e v="#NAME?"/>
    <m/>
    <m/>
    <m/>
    <m/>
    <m/>
    <m/>
    <m/>
    <m/>
    <m/>
  </r>
  <r>
    <s v="CE71118"/>
    <s v="Erick Bermejo"/>
    <x v="5"/>
    <x v="21"/>
    <s v="Accenture"/>
    <e v="#NAME?"/>
    <s v="SDATOOL-9053 $ GloMo Colombia"/>
    <n v="1"/>
    <s v="QA"/>
    <s v="Otras Tec."/>
    <m/>
    <e v="#NAME?"/>
    <e v="#NAME?"/>
    <e v="#NAME?"/>
    <m/>
    <m/>
    <m/>
    <m/>
    <m/>
    <m/>
    <m/>
    <m/>
    <m/>
  </r>
  <r>
    <s v="XEA0692"/>
    <s v="Esperanza Ortega"/>
    <x v="5"/>
    <x v="21"/>
    <s v="Accenture"/>
    <e v="#NAME?"/>
    <s v="SDATOOL-9053 $ GloMo Colombia"/>
    <n v="1"/>
    <s v="Desarrollador"/>
    <s v="Cells"/>
    <m/>
    <e v="#NAME?"/>
    <e v="#NAME?"/>
    <e v="#NAME?"/>
    <m/>
    <m/>
    <m/>
    <m/>
    <m/>
    <m/>
    <m/>
    <m/>
    <m/>
  </r>
  <r>
    <s v="CE67849"/>
    <s v="Henry Cortes"/>
    <x v="5"/>
    <x v="21"/>
    <s v="Accenture"/>
    <e v="#NAME?"/>
    <s v="SDATOOL-9053 $ GloMo Colombia"/>
    <n v="1"/>
    <s v="Desarrollador"/>
    <s v="Cells"/>
    <m/>
    <e v="#NAME?"/>
    <e v="#NAME?"/>
    <e v="#NAME?"/>
    <m/>
    <m/>
    <m/>
    <m/>
    <m/>
    <m/>
    <m/>
    <m/>
    <m/>
  </r>
  <r>
    <s v="CE69249"/>
    <s v="Hernan Gabriel Fernandez"/>
    <x v="5"/>
    <x v="21"/>
    <s v="Neoris"/>
    <e v="#NAME?"/>
    <s v="SDATOOL-38489 $ Horizon BTGR - Colombia"/>
    <n v="1"/>
    <s v="Desarrollador"/>
    <s v="ASO"/>
    <m/>
    <e v="#NAME?"/>
    <e v="#NAME?"/>
    <e v="#NAME?"/>
    <m/>
    <m/>
    <m/>
    <m/>
    <m/>
    <m/>
    <m/>
    <m/>
    <m/>
  </r>
  <r>
    <s v="CE56568"/>
    <s v="Jesus Wellman"/>
    <x v="5"/>
    <x v="21"/>
    <s v="Novatec"/>
    <e v="#NAME?"/>
    <s v="SDATOOL-38489 $ Horizon BTGR - Colombia"/>
    <n v="1"/>
    <s v="Desarrollador"/>
    <s v="Mainframe"/>
    <m/>
    <e v="#NAME?"/>
    <e v="#NAME?"/>
    <e v="#NAME?"/>
    <m/>
    <m/>
    <m/>
    <m/>
    <m/>
    <m/>
    <m/>
    <m/>
    <m/>
  </r>
  <r>
    <s v="CE56092"/>
    <s v="Johan Sebastian Forero"/>
    <x v="5"/>
    <x v="21"/>
    <s v="GGI / CMC"/>
    <e v="#NAME?"/>
    <s v="SDATOOL-9053 $ GloMo Colombia"/>
    <n v="1"/>
    <s v="QA"/>
    <s v="Otras Tec."/>
    <m/>
    <e v="#NAME?"/>
    <e v="#NAME?"/>
    <e v="#NAME?"/>
    <m/>
    <m/>
    <m/>
    <m/>
    <m/>
    <m/>
    <m/>
    <m/>
    <m/>
  </r>
  <r>
    <s v="CE53474"/>
    <s v="Josue David Fernandez Reyes"/>
    <x v="5"/>
    <x v="21"/>
    <s v="Neoris"/>
    <e v="#NAME?"/>
    <s v="SDATOOL-9053 $ GloMo Colombia"/>
    <n v="0.75"/>
    <s v="Desarrollador"/>
    <s v="Mainframe"/>
    <m/>
    <e v="#NAME?"/>
    <e v="#NAME?"/>
    <e v="#NAME?"/>
    <m/>
    <m/>
    <m/>
    <m/>
    <m/>
    <m/>
    <m/>
    <m/>
    <m/>
  </r>
  <r>
    <s v="CE53474"/>
    <s v="Josue David Fernandez Reyes"/>
    <x v="5"/>
    <x v="21"/>
    <s v="Neoris"/>
    <e v="#NAME?"/>
    <s v="SDATOOL-38489 $ Horizon BTGR - Colombia"/>
    <n v="0.25"/>
    <s v="Desarrollador"/>
    <s v="Mainframe"/>
    <m/>
    <e v="#NAME?"/>
    <e v="#NAME?"/>
    <e v="#NAME?"/>
    <m/>
    <m/>
    <m/>
    <m/>
    <m/>
    <m/>
    <m/>
    <m/>
    <m/>
  </r>
  <r>
    <s v="CE65053"/>
    <s v="Juan David Rodriguez Ariza"/>
    <x v="5"/>
    <x v="21"/>
    <s v="Globant"/>
    <e v="#NAME?"/>
    <s v="SDATOOL-9053 $ GloMo Colombia"/>
    <n v="1"/>
    <s v="Desarrollador"/>
    <s v="Cells"/>
    <m/>
    <e v="#NAME?"/>
    <e v="#NAME?"/>
    <e v="#NAME?"/>
    <m/>
    <m/>
    <m/>
    <m/>
    <m/>
    <m/>
    <m/>
    <m/>
    <m/>
  </r>
  <r>
    <s v="CE59993"/>
    <s v="Juan David Velasquez"/>
    <x v="5"/>
    <x v="21"/>
    <s v="Inetum"/>
    <e v="#NAME?"/>
    <s v="SDATOOL-9053 $ GloMo Colombia"/>
    <n v="1"/>
    <s v="Desarrollador"/>
    <s v="Cells"/>
    <m/>
    <e v="#NAME?"/>
    <e v="#NAME?"/>
    <e v="#NAME?"/>
    <m/>
    <m/>
    <m/>
    <m/>
    <m/>
    <m/>
    <m/>
    <m/>
    <m/>
  </r>
  <r>
    <s v="CE47925"/>
    <s v="Karen Juliete Mahecha Rey"/>
    <x v="5"/>
    <x v="21"/>
    <s v="Neoris"/>
    <e v="#NAME?"/>
    <s v="SDATOOL-9053 $ GloMo Colombia"/>
    <n v="0.75"/>
    <s v="Desarrollador"/>
    <s v="Mainframe"/>
    <m/>
    <e v="#NAME?"/>
    <e v="#NAME?"/>
    <e v="#NAME?"/>
    <m/>
    <m/>
    <m/>
    <m/>
    <m/>
    <m/>
    <m/>
    <m/>
    <m/>
  </r>
  <r>
    <s v="CE47925"/>
    <s v="Karen Juliete Mahecha Rey"/>
    <x v="5"/>
    <x v="21"/>
    <s v="Neoris"/>
    <e v="#NAME?"/>
    <s v="SDATOOL-38489 $ Horizon BTGR - Colombia"/>
    <n v="0.25"/>
    <s v="Desarrollador"/>
    <s v="Mainframe"/>
    <m/>
    <e v="#NAME?"/>
    <e v="#NAME?"/>
    <e v="#NAME?"/>
    <m/>
    <m/>
    <m/>
    <m/>
    <m/>
    <m/>
    <m/>
    <m/>
    <m/>
  </r>
  <r>
    <s v="CE70650"/>
    <s v="Karol Melissa Gómez Colmenares"/>
    <x v="5"/>
    <x v="21"/>
    <s v="Neoris"/>
    <e v="#NAME?"/>
    <s v="SDATOOL-9053 $ GloMo Colombia"/>
    <n v="1"/>
    <s v="QA"/>
    <s v="Otras Tec."/>
    <m/>
    <e v="#NAME?"/>
    <e v="#NAME?"/>
    <e v="#NAME?"/>
    <m/>
    <m/>
    <m/>
    <m/>
    <m/>
    <m/>
    <m/>
    <m/>
    <m/>
  </r>
  <r>
    <s v="CE63473"/>
    <s v="Katherine Santana"/>
    <x v="5"/>
    <x v="21"/>
    <s v="SII"/>
    <e v="#NAME?"/>
    <s v="SDATOOL-9053 $ GloMo Colombia"/>
    <n v="1"/>
    <s v="QA"/>
    <s v="Otras Tec."/>
    <m/>
    <e v="#NAME?"/>
    <e v="#NAME?"/>
    <e v="#NAME?"/>
    <m/>
    <m/>
    <m/>
    <m/>
    <m/>
    <m/>
    <m/>
    <m/>
    <m/>
  </r>
  <r>
    <s v="T000595"/>
    <s v="Laura Milena Duarte"/>
    <x v="5"/>
    <x v="21"/>
    <s v="Novatec"/>
    <e v="#NAME?"/>
    <s v="SDATOOL-38489 $ Horizon BTGR - Colombia"/>
    <n v="1"/>
    <s v="Desarrollador"/>
    <s v="Mainframe"/>
    <m/>
    <e v="#NAME?"/>
    <e v="#NAME?"/>
    <e v="#NAME?"/>
    <m/>
    <m/>
    <m/>
    <m/>
    <m/>
    <m/>
    <m/>
    <m/>
    <m/>
  </r>
  <r>
    <s v="CE67221"/>
    <s v="LAURA STEFANY ROMERO TRUJILLO"/>
    <x v="5"/>
    <x v="21"/>
    <s v="Neoris"/>
    <e v="#NAME?"/>
    <s v="SDATOOL-9053 $ GloMo Colombia"/>
    <n v="1"/>
    <s v="Desarrollador"/>
    <s v="Cells"/>
    <m/>
    <e v="#NAME?"/>
    <e v="#NAME?"/>
    <e v="#NAME?"/>
    <m/>
    <m/>
    <m/>
    <m/>
    <m/>
    <m/>
    <m/>
    <m/>
    <m/>
  </r>
  <r>
    <s v="CE64988"/>
    <s v="Levi Becerra"/>
    <x v="5"/>
    <x v="21"/>
    <s v="Accenture"/>
    <e v="#NAME?"/>
    <s v="SDATOOL-9053 $ GloMo Colombia"/>
    <n v="0.5"/>
    <s v="Desarrollador"/>
    <s v="Mainframe"/>
    <m/>
    <e v="#NAME?"/>
    <e v="#NAME?"/>
    <e v="#NAME?"/>
    <m/>
    <m/>
    <m/>
    <m/>
    <m/>
    <m/>
    <m/>
    <m/>
    <m/>
  </r>
  <r>
    <s v="T007048"/>
    <s v="Mario Perilla"/>
    <x v="5"/>
    <x v="21"/>
    <s v="Accenture"/>
    <e v="#NAME?"/>
    <s v="SDATOOL-9053 $ GloMo Colombia"/>
    <n v="1"/>
    <s v="QA"/>
    <s v="Otras Tec."/>
    <m/>
    <e v="#NAME?"/>
    <e v="#NAME?"/>
    <e v="#NAME?"/>
    <m/>
    <m/>
    <m/>
    <m/>
    <m/>
    <m/>
    <m/>
    <m/>
    <m/>
  </r>
  <r>
    <s v="CE66364"/>
    <s v="Martin Theiler"/>
    <x v="5"/>
    <x v="21"/>
    <s v="Globant"/>
    <e v="#NAME?"/>
    <s v="SDATOOL-9053 $ GloMo Colombia"/>
    <n v="1"/>
    <s v="Desarrollador"/>
    <s v="ASO"/>
    <m/>
    <e v="#NAME?"/>
    <e v="#NAME?"/>
    <e v="#NAME?"/>
    <m/>
    <m/>
    <m/>
    <m/>
    <m/>
    <m/>
    <m/>
    <m/>
    <m/>
  </r>
  <r>
    <s v="CE55340"/>
    <s v="Miller Gomez"/>
    <x v="5"/>
    <x v="21"/>
    <s v="SII"/>
    <e v="#NAME?"/>
    <s v="SDATOOL-9053 $ GloMo Colombia"/>
    <n v="0.5"/>
    <s v="Desarrollador"/>
    <s v="Mainframe"/>
    <m/>
    <e v="#NAME?"/>
    <e v="#NAME?"/>
    <e v="#NAME?"/>
    <m/>
    <m/>
    <m/>
    <m/>
    <m/>
    <m/>
    <m/>
    <m/>
    <m/>
  </r>
  <r>
    <s v="CE55340"/>
    <s v="Miller Gomez"/>
    <x v="5"/>
    <x v="21"/>
    <s v="SII"/>
    <e v="#NAME?"/>
    <s v="SDATOOL-38489 $ Horizon BTGR - Colombia"/>
    <n v="0.5"/>
    <s v="Desarrollador"/>
    <s v="Mainframe"/>
    <m/>
    <e v="#NAME?"/>
    <e v="#NAME?"/>
    <e v="#NAME?"/>
    <m/>
    <m/>
    <m/>
    <m/>
    <m/>
    <m/>
    <m/>
    <m/>
    <m/>
  </r>
  <r>
    <s v="CE70907"/>
    <s v="Nicolas Bedoya Montealegre"/>
    <x v="5"/>
    <x v="21"/>
    <s v="Neoris"/>
    <e v="#NAME?"/>
    <s v="SDATOOL-38489 $ Horizon BTGR - Colombia"/>
    <n v="1"/>
    <s v="Desarrollador"/>
    <s v="ASO"/>
    <m/>
    <e v="#NAME?"/>
    <e v="#NAME?"/>
    <e v="#NAME?"/>
    <m/>
    <m/>
    <m/>
    <m/>
    <m/>
    <m/>
    <m/>
    <m/>
    <m/>
  </r>
  <r>
    <s v="CE61633"/>
    <s v="Nicolas Eduardo Loaiza"/>
    <x v="5"/>
    <x v="21"/>
    <s v="GGI / CMC"/>
    <e v="#NAME?"/>
    <s v="SDATOOL-9053 $ GloMo Colombia"/>
    <n v="1"/>
    <s v="QA"/>
    <s v="Otras Tec."/>
    <m/>
    <e v="#NAME?"/>
    <e v="#NAME?"/>
    <e v="#NAME?"/>
    <m/>
    <m/>
    <m/>
    <m/>
    <m/>
    <m/>
    <m/>
    <m/>
    <m/>
  </r>
  <r>
    <s v="CE68502"/>
    <s v="Nydia Forero"/>
    <x v="5"/>
    <x v="21"/>
    <s v="SII"/>
    <e v="#NAME?"/>
    <s v="SDATOOL-9053 $ GloMo Colombia"/>
    <n v="1"/>
    <s v="QA"/>
    <s v="Otras Tec."/>
    <m/>
    <e v="#NAME?"/>
    <e v="#NAME?"/>
    <e v="#NAME?"/>
    <m/>
    <m/>
    <m/>
    <m/>
    <m/>
    <m/>
    <m/>
    <m/>
    <m/>
  </r>
  <r>
    <s v="T000607"/>
    <s v="Oscar Andres Bernal Quiroz"/>
    <x v="5"/>
    <x v="21"/>
    <s v="Neoris"/>
    <e v="#NAME?"/>
    <s v="SDATOOL-38489 $ Horizon BTGR - Colombia"/>
    <n v="1"/>
    <s v="Desarrollador"/>
    <s v="Mainframe"/>
    <m/>
    <e v="#NAME?"/>
    <e v="#NAME?"/>
    <e v="#NAME?"/>
    <m/>
    <m/>
    <m/>
    <m/>
    <m/>
    <m/>
    <m/>
    <m/>
    <m/>
  </r>
  <r>
    <s v="CE70651"/>
    <s v="Oscar Freddy Roncancio Zea"/>
    <x v="5"/>
    <x v="21"/>
    <s v="Neoris"/>
    <e v="#NAME?"/>
    <s v="SDATOOL-9053 $ GloMo Colombia"/>
    <n v="1"/>
    <s v="QA"/>
    <s v="Otras Tec."/>
    <m/>
    <e v="#NAME?"/>
    <e v="#NAME?"/>
    <e v="#NAME?"/>
    <m/>
    <m/>
    <m/>
    <m/>
    <m/>
    <m/>
    <m/>
    <m/>
    <m/>
  </r>
  <r>
    <s v="CE67312"/>
    <s v="Oscar Mauricio Lozano"/>
    <x v="5"/>
    <x v="21"/>
    <s v="GGI / CMC"/>
    <e v="#NAME?"/>
    <s v="SDATOOL-38489 $ Horizon BTGR - Colombia"/>
    <n v="1"/>
    <s v="QA"/>
    <s v="Otras Tec."/>
    <m/>
    <e v="#NAME?"/>
    <e v="#NAME?"/>
    <e v="#NAME?"/>
    <m/>
    <m/>
    <m/>
    <m/>
    <m/>
    <m/>
    <m/>
    <m/>
    <m/>
  </r>
  <r>
    <s v="CE47927"/>
    <s v="Rafael Eduardo Martinez Caceres"/>
    <x v="5"/>
    <x v="21"/>
    <s v="Neoris"/>
    <e v="#NAME?"/>
    <s v="SDATOOL-9053 $ GloMo Colombia"/>
    <n v="0.5"/>
    <s v="Desarrollador"/>
    <s v="Mainframe"/>
    <m/>
    <e v="#NAME?"/>
    <e v="#NAME?"/>
    <e v="#NAME?"/>
    <m/>
    <m/>
    <m/>
    <m/>
    <m/>
    <m/>
    <m/>
    <m/>
    <m/>
  </r>
  <r>
    <s v="CE47927"/>
    <s v="Rafael Eduardo Martinez Caceres"/>
    <x v="5"/>
    <x v="21"/>
    <s v="Neoris"/>
    <e v="#NAME?"/>
    <s v="SDATOOL-38489 $ Horizon BTGR - Colombia"/>
    <n v="0.5"/>
    <s v="Desarrollador"/>
    <s v="Mainframe"/>
    <m/>
    <e v="#NAME?"/>
    <e v="#NAME?"/>
    <e v="#NAME?"/>
    <m/>
    <m/>
    <m/>
    <m/>
    <m/>
    <m/>
    <m/>
    <m/>
    <m/>
  </r>
  <r>
    <s v="T002010"/>
    <s v="Sair Giovanny Bejarano Garcia"/>
    <x v="5"/>
    <x v="21"/>
    <s v="Neoris"/>
    <e v="#NAME?"/>
    <s v="SDATOOL-38489 $ Horizon BTGR - Colombia"/>
    <n v="1"/>
    <s v="Desarrollador"/>
    <s v="APX"/>
    <m/>
    <e v="#NAME?"/>
    <e v="#NAME?"/>
    <e v="#NAME?"/>
    <m/>
    <m/>
    <m/>
    <m/>
    <m/>
    <m/>
    <m/>
    <m/>
    <m/>
  </r>
  <r>
    <s v="CE71170"/>
    <s v="Pedro Luis Melo Robayo"/>
    <x v="5"/>
    <x v="21"/>
    <s v="Novatec"/>
    <e v="#NAME?"/>
    <s v="SDATOOL-38489 $ Horizon BTGR - Colombia"/>
    <n v="1"/>
    <s v="Desarrollador"/>
    <s v="Mainframe"/>
    <s v="Externo"/>
    <e v="#NAME?"/>
    <e v="#NAME?"/>
    <e v="#NAME?"/>
    <m/>
    <m/>
    <m/>
    <m/>
    <m/>
    <m/>
    <m/>
    <m/>
    <m/>
  </r>
  <r>
    <s v="CE65214"/>
    <s v="Roger Arias"/>
    <x v="5"/>
    <x v="21"/>
    <s v="SII"/>
    <e v="#NAME?"/>
    <s v="SDATOOL-9053 $ GloMo Colombia"/>
    <n v="1"/>
    <s v="Desarrollador"/>
    <s v="Cells"/>
    <m/>
    <e v="#NAME?"/>
    <e v="#NAME?"/>
    <e v="#NAME?"/>
    <m/>
    <m/>
    <m/>
    <m/>
    <m/>
    <m/>
    <m/>
    <m/>
    <m/>
  </r>
  <r>
    <s v="CE66579"/>
    <s v="Santiago Molina"/>
    <x v="5"/>
    <x v="21"/>
    <s v="GGI / CMC"/>
    <e v="#NAME?"/>
    <s v="SDATOOL-9053 $ GloMo Colombia"/>
    <n v="1"/>
    <s v="QA"/>
    <s v="Cells"/>
    <m/>
    <e v="#NAME?"/>
    <e v="#NAME?"/>
    <e v="#NAME?"/>
    <m/>
    <m/>
    <m/>
    <m/>
    <m/>
    <m/>
    <m/>
    <m/>
    <m/>
  </r>
  <r>
    <s v="CE71120"/>
    <s v="Santiago Montoya"/>
    <x v="5"/>
    <x v="21"/>
    <s v="Accenture"/>
    <e v="#NAME?"/>
    <s v="SDATOOL-9053 $ GloMo Colombia"/>
    <n v="1"/>
    <s v="Desarrollador"/>
    <s v="Cells"/>
    <m/>
    <e v="#NAME?"/>
    <e v="#NAME?"/>
    <e v="#NAME?"/>
    <m/>
    <m/>
    <m/>
    <m/>
    <m/>
    <m/>
    <m/>
    <m/>
    <m/>
  </r>
  <r>
    <s v="CE67850"/>
    <s v="Sergio Mercado"/>
    <x v="5"/>
    <x v="21"/>
    <s v="Accenture"/>
    <e v="#NAME?"/>
    <s v="SDATOOL-9053 $ GloMo Colombia"/>
    <n v="1"/>
    <s v="QA"/>
    <s v="Cells"/>
    <m/>
    <e v="#NAME?"/>
    <e v="#NAME?"/>
    <e v="#NAME?"/>
    <m/>
    <m/>
    <m/>
    <m/>
    <m/>
    <m/>
    <m/>
    <m/>
    <m/>
  </r>
  <r>
    <s v="Pend"/>
    <s v="Stiven Carrillo"/>
    <x v="5"/>
    <x v="21"/>
    <s v="SII"/>
    <e v="#NAME?"/>
    <s v="SDATOOL-38489 $ Horizon BTGR - Colombia"/>
    <n v="1"/>
    <s v="Desarrollador"/>
    <s v="Cells"/>
    <m/>
    <e v="#NAME?"/>
    <e v="#NAME?"/>
    <e v="#NAME?"/>
    <m/>
    <m/>
    <m/>
    <m/>
    <m/>
    <m/>
    <m/>
    <m/>
    <m/>
  </r>
  <r>
    <s v="XP66159"/>
    <s v="ANDRES FELIPE GUTIERREZ BAÑOL"/>
    <x v="0"/>
    <x v="3"/>
    <s v="Neoris"/>
    <e v="#NAME?"/>
    <s v="SDATOOL-40528 $ ETPB - SENDA PAGOS"/>
    <n v="1"/>
    <s v="Desarrollador"/>
    <s v="APX"/>
    <m/>
    <e v="#NAME?"/>
    <e v="#NAME?"/>
    <e v="#NAME?"/>
    <m/>
    <m/>
    <m/>
    <m/>
    <m/>
    <m/>
    <m/>
    <m/>
    <m/>
  </r>
  <r>
    <s v="T009376"/>
    <s v="CESAR LEANDRO PESTANA ROMERO"/>
    <x v="0"/>
    <x v="3"/>
    <s v="Novatec"/>
    <e v="#NAME?"/>
    <s v="SDATOOL-40528 $ ETPB - SENDA PAGOS"/>
    <n v="1"/>
    <s v="Desarrollador"/>
    <s v="Mainframe"/>
    <m/>
    <e v="#NAME?"/>
    <e v="#NAME?"/>
    <e v="#NAME?"/>
    <m/>
    <m/>
    <m/>
    <m/>
    <m/>
    <m/>
    <m/>
    <m/>
    <m/>
  </r>
  <r>
    <s v="T002696"/>
    <s v="JEANN CARLOS SEQUEA MENDEZ "/>
    <x v="0"/>
    <x v="3"/>
    <s v="Accenture"/>
    <e v="#NAME?"/>
    <s v="SDATOOL-40457 $ SENDA (Base)"/>
    <n v="1"/>
    <s v="Desarrollador"/>
    <s v="Cells"/>
    <m/>
    <e v="#NAME?"/>
    <e v="#NAME?"/>
    <e v="#NAME?"/>
    <m/>
    <m/>
    <m/>
    <m/>
    <m/>
    <m/>
    <m/>
    <m/>
    <m/>
  </r>
  <r>
    <s v="T011814"/>
    <s v="JOHANA KATHERIN VASQUEZ QUEVEDO "/>
    <x v="0"/>
    <x v="3"/>
    <s v="GGI / CMC"/>
    <e v="#NAME?"/>
    <s v="SDATOOL-40457 $ SENDA (Base)"/>
    <n v="1"/>
    <s v="Desarrollador"/>
    <s v="Distribuido"/>
    <m/>
    <e v="#NAME?"/>
    <e v="#NAME?"/>
    <e v="#NAME?"/>
    <m/>
    <m/>
    <m/>
    <m/>
    <m/>
    <m/>
    <m/>
    <m/>
    <m/>
  </r>
  <r>
    <s v="CE70220"/>
    <s v="JULIAN FELIPE VEGA HERNANDEZ "/>
    <x v="0"/>
    <x v="3"/>
    <s v="Accenture"/>
    <e v="#NAME?"/>
    <s v="SDATOOL-40457 $ SENDA (Base)"/>
    <n v="1"/>
    <s v="Desarrollador"/>
    <s v="APX"/>
    <m/>
    <e v="#NAME?"/>
    <e v="#NAME?"/>
    <e v="#NAME?"/>
    <m/>
    <m/>
    <m/>
    <m/>
    <m/>
    <m/>
    <m/>
    <m/>
    <m/>
  </r>
  <r>
    <s v="CE67866"/>
    <s v="NATALIA ORTIZ MALDONADO "/>
    <x v="0"/>
    <x v="3"/>
    <s v="Accenture"/>
    <e v="#NAME?"/>
    <s v="SDATOOL-40457 $ SENDA (Base)"/>
    <n v="1"/>
    <s v="Desarrollador"/>
    <s v="ASO"/>
    <m/>
    <e v="#NAME?"/>
    <e v="#NAME?"/>
    <e v="#NAME?"/>
    <m/>
    <m/>
    <m/>
    <m/>
    <m/>
    <m/>
    <m/>
    <m/>
    <m/>
  </r>
  <r>
    <s v="CE69818"/>
    <s v="NICOLAS  MORENO AREVALO"/>
    <x v="0"/>
    <x v="3"/>
    <s v="GGI / CMC"/>
    <e v="#NAME?"/>
    <s v="SDATOOL-40528 $ ETPB - SENDA PAGOS"/>
    <n v="1"/>
    <s v="Desarrollador"/>
    <s v="Cells"/>
    <m/>
    <e v="#NAME?"/>
    <e v="#NAME?"/>
    <e v="#NAME?"/>
    <m/>
    <m/>
    <m/>
    <m/>
    <m/>
    <m/>
    <m/>
    <m/>
    <m/>
  </r>
  <r>
    <s v="CE59964"/>
    <s v="OSCAR YECID  SANCHEZ ZAMORA"/>
    <x v="0"/>
    <x v="3"/>
    <s v="Neoris"/>
    <e v="#NAME?"/>
    <s v="SDATOOL-40528 $ ETPB - SENDA PAGOS"/>
    <n v="1"/>
    <s v="Desarrollador"/>
    <s v="ASO"/>
    <m/>
    <e v="#NAME?"/>
    <e v="#NAME?"/>
    <e v="#NAME?"/>
    <m/>
    <m/>
    <m/>
    <m/>
    <m/>
    <m/>
    <m/>
    <m/>
    <m/>
  </r>
  <r>
    <s v="C809501"/>
    <s v="RONALD ANTONIO ROMERO MONSALVE"/>
    <x v="0"/>
    <x v="3"/>
    <s v="BBVA"/>
    <e v="#NAME?"/>
    <s v="SDATOOL-40528 $ ETPB - SENDA PAGOS"/>
    <n v="1"/>
    <s v="Desarrollador"/>
    <s v="Distribuido"/>
    <m/>
    <e v="#NAME?"/>
    <e v="#NAME?"/>
    <e v="#NAME?"/>
    <m/>
    <m/>
    <m/>
    <m/>
    <m/>
    <m/>
    <m/>
    <m/>
    <m/>
  </r>
  <r>
    <s v="CE68026"/>
    <s v="MIGUEL LEONARDO AVILA AREVALO"/>
    <x v="0"/>
    <x v="3"/>
    <s v="GGI / CMC"/>
    <e v="#NAME?"/>
    <s v="SDATOOL-40457 $ SENDA (Base)"/>
    <n v="1"/>
    <s v="QA"/>
    <s v="Distribuido"/>
    <m/>
    <e v="#NAME?"/>
    <e v="#NAME?"/>
    <e v="#NAME?"/>
    <m/>
    <m/>
    <m/>
    <m/>
    <m/>
    <m/>
    <m/>
    <m/>
    <m/>
  </r>
  <r>
    <s v="T009939"/>
    <s v="THALIA VALENTINA MANRIQUE BELLO"/>
    <x v="0"/>
    <x v="3"/>
    <s v="Neoris"/>
    <e v="#NAME?"/>
    <s v="SDATOOL-40528 $ ETPB - SENDA PAGOS"/>
    <n v="1"/>
    <s v="Desarrollador"/>
    <s v="APX"/>
    <m/>
    <e v="#NAME?"/>
    <e v="#NAME?"/>
    <e v="#NAME?"/>
    <m/>
    <m/>
    <m/>
    <m/>
    <m/>
    <m/>
    <m/>
    <m/>
    <m/>
  </r>
  <r>
    <s v="O000110"/>
    <s v="YINETH SANEY FRANCO HERNANDEZ "/>
    <x v="0"/>
    <x v="3"/>
    <s v="BBVA"/>
    <e v="#NAME?"/>
    <s v="SDATOOL-40457 $ SENDA (Base)"/>
    <n v="1"/>
    <s v="Desarrollador"/>
    <s v="ASO"/>
    <m/>
    <e v="#NAME?"/>
    <e v="#NAME?"/>
    <e v="#NAME?"/>
    <m/>
    <m/>
    <m/>
    <m/>
    <m/>
    <m/>
    <m/>
    <m/>
    <m/>
  </r>
  <r>
    <s v="T009396"/>
    <s v="ZULMA ZORAYA  PENAGOS TAVERA"/>
    <x v="0"/>
    <x v="3"/>
    <s v="Novatec"/>
    <e v="#NAME?"/>
    <s v="SDATOOL-40528 $ ETPB - SENDA PAGOS"/>
    <n v="1"/>
    <s v="Desarrollador"/>
    <s v="Mainframe"/>
    <m/>
    <e v="#NAME?"/>
    <e v="#NAME?"/>
    <e v="#NAME?"/>
    <m/>
    <m/>
    <m/>
    <m/>
    <m/>
    <m/>
    <m/>
    <m/>
    <m/>
  </r>
  <r>
    <s v="C811372"/>
    <s v="TORRES CASTILLO JOAN SEBASTIÁN"/>
    <x v="0"/>
    <x v="17"/>
    <s v="BBVA"/>
    <e v="#NAME?"/>
    <s v="SDATOOL-40555 $ ADELANTO DE VENTA EN GEMA"/>
    <n v="0.5"/>
    <s v="Desarrollador"/>
    <s v="Distribuido"/>
    <m/>
    <e v="#NAME?"/>
    <e v="#NAME?"/>
    <e v="#NAME?"/>
    <m/>
    <m/>
    <m/>
    <m/>
    <m/>
    <m/>
    <m/>
    <m/>
    <m/>
  </r>
  <r>
    <s v="C811372"/>
    <s v="TORRES CASTILLO JOAN SEBASTIÁN"/>
    <x v="0"/>
    <x v="17"/>
    <s v="BBVA"/>
    <e v="#NAME?"/>
    <s v="SDATOOL-37169 $ EGS: Salto país y softoken"/>
    <n v="0.5"/>
    <s v="Desarrollador"/>
    <s v="Distribuido"/>
    <m/>
    <e v="#NAME?"/>
    <e v="#NAME?"/>
    <e v="#NAME?"/>
    <m/>
    <m/>
    <m/>
    <m/>
    <m/>
    <m/>
    <m/>
    <m/>
    <m/>
  </r>
  <r>
    <s v="CE66039"/>
    <s v="OCAMPO RODRIGUEZ JOHN JAILER"/>
    <x v="0"/>
    <x v="17"/>
    <s v="GGI / CMC"/>
    <e v="#NAME?"/>
    <s v="SDATOOL-37169 $ EGS: Salto país y softoken"/>
    <n v="1"/>
    <s v="Desarrollador"/>
    <s v="Distribuido"/>
    <m/>
    <e v="#NAME?"/>
    <e v="#NAME?"/>
    <e v="#NAME?"/>
    <m/>
    <m/>
    <m/>
    <m/>
    <m/>
    <m/>
    <m/>
    <m/>
    <m/>
  </r>
  <r>
    <s v="C804101"/>
    <s v="FUQUENE CONTRERAS ADRIANA"/>
    <x v="0"/>
    <x v="17"/>
    <s v="BBVA"/>
    <e v="#NAME?"/>
    <s v="SDATOOL-37169 $ EGS: Salto país y softoken"/>
    <n v="0.5"/>
    <s v="Tech Manager/Líder"/>
    <s v="Distribuido"/>
    <m/>
    <e v="#NAME?"/>
    <e v="#NAME?"/>
    <e v="#NAME?"/>
    <m/>
    <m/>
    <m/>
    <m/>
    <m/>
    <m/>
    <m/>
    <m/>
    <m/>
  </r>
  <r>
    <s v="C804101"/>
    <s v="FUQUENE CONTRERAS ADRIANA"/>
    <x v="0"/>
    <x v="17"/>
    <s v="BBVA"/>
    <e v="#NAME?"/>
    <s v="SDATOOL-39358 $ Crédito Virtual"/>
    <n v="0.25"/>
    <s v="Tech Manager/Líder"/>
    <s v="Distribuido"/>
    <m/>
    <e v="#NAME?"/>
    <e v="#NAME?"/>
    <e v="#NAME?"/>
    <m/>
    <m/>
    <m/>
    <m/>
    <m/>
    <m/>
    <m/>
    <m/>
    <m/>
  </r>
  <r>
    <s v="C804101"/>
    <s v="FUQUENE CONTRERAS ADRIANA"/>
    <x v="0"/>
    <x v="17"/>
    <s v="BBVA"/>
    <e v="#NAME?"/>
    <s v="SDATOOL-40555 $ ADELANTO DE VENTA EN GEMA"/>
    <n v="0.25"/>
    <s v="Tech Manager/Líder"/>
    <s v="Distribuido"/>
    <m/>
    <e v="#NAME?"/>
    <e v="#NAME?"/>
    <e v="#NAME?"/>
    <m/>
    <m/>
    <m/>
    <m/>
    <m/>
    <m/>
    <m/>
    <m/>
    <m/>
  </r>
  <r>
    <s v="C810885"/>
    <s v="GARCIA HERRERA MONICA LILIANA"/>
    <x v="0"/>
    <x v="17"/>
    <s v="BBVA"/>
    <e v="#NAME?"/>
    <s v="SDATOOL-37425 $ Recaudo DIAN Tarjetas de Crédito Propio Banco través del Botón de pagos PSE para los canales Banca Personas y Banca de Empresas"/>
    <n v="0.25"/>
    <s v="Tech Manager/Líder"/>
    <m/>
    <m/>
    <e v="#NAME?"/>
    <e v="#NAME?"/>
    <e v="#NAME?"/>
    <m/>
    <m/>
    <m/>
    <m/>
    <m/>
    <m/>
    <m/>
    <m/>
    <m/>
  </r>
  <r>
    <s v="C810885"/>
    <s v="GARCIA HERRERA MONICA LILIANA"/>
    <x v="0"/>
    <x v="17"/>
    <s v="BBVA"/>
    <e v="#NAME?"/>
    <s v="SDATOOL-40555 $ ADELANTO DE VENTA EN GEMA"/>
    <n v="0.25"/>
    <s v="Tech Manager/Líder"/>
    <m/>
    <m/>
    <e v="#NAME?"/>
    <e v="#NAME?"/>
    <e v="#NAME?"/>
    <m/>
    <m/>
    <m/>
    <m/>
    <m/>
    <m/>
    <m/>
    <m/>
    <m/>
  </r>
  <r>
    <s v="C810885"/>
    <s v="GARCIA HERRERA MONICA LILIANA"/>
    <x v="0"/>
    <x v="17"/>
    <s v="BBVA"/>
    <e v="#NAME?"/>
    <s v="SDATOOL-40482 $ Incluir tasa ponderada en Adquirencia Onboarding digital - Netcash"/>
    <n v="0.5"/>
    <s v="Tech Manager/Líder"/>
    <m/>
    <m/>
    <e v="#NAME?"/>
    <e v="#NAME?"/>
    <e v="#NAME?"/>
    <m/>
    <m/>
    <m/>
    <m/>
    <m/>
    <m/>
    <m/>
    <m/>
    <m/>
  </r>
  <r>
    <s v="CE65938"/>
    <s v="AREVALO MORENO DEINA ALEJANDRA"/>
    <x v="0"/>
    <x v="17"/>
    <s v="GGI / CMC"/>
    <e v="#NAME?"/>
    <s v="SDATOOL-37169 $ EGS: Salto país y softoken"/>
    <n v="1"/>
    <s v="Desarrollador"/>
    <s v="Distribuido"/>
    <m/>
    <e v="#NAME?"/>
    <e v="#NAME?"/>
    <e v="#NAME?"/>
    <m/>
    <m/>
    <m/>
    <m/>
    <m/>
    <m/>
    <m/>
    <m/>
    <m/>
  </r>
  <r>
    <s v="T006284"/>
    <s v="ROMERO LITSY DAYANA"/>
    <x v="0"/>
    <x v="17"/>
    <s v="GGI / CMC"/>
    <e v="#NAME?"/>
    <s v="SDATOOL-37169 $ EGS: Salto país y softoken"/>
    <n v="1"/>
    <s v="QA"/>
    <s v="Distribuido"/>
    <m/>
    <e v="#NAME?"/>
    <e v="#NAME?"/>
    <e v="#NAME?"/>
    <m/>
    <m/>
    <m/>
    <m/>
    <m/>
    <m/>
    <m/>
    <m/>
    <m/>
  </r>
  <r>
    <s v="T011667"/>
    <s v="MARTINEZ RODRIGUEZ ENRIQUE"/>
    <x v="0"/>
    <x v="17"/>
    <s v="GGI / CMC"/>
    <e v="#NAME?"/>
    <s v="SDATOOL-37169 $ EGS: Salto país y softoken"/>
    <n v="1"/>
    <s v="Desarrollador"/>
    <s v="Distribuido"/>
    <m/>
    <e v="#NAME?"/>
    <e v="#NAME?"/>
    <e v="#NAME?"/>
    <m/>
    <m/>
    <m/>
    <m/>
    <m/>
    <m/>
    <m/>
    <m/>
    <m/>
  </r>
  <r>
    <s v="C811005"/>
    <s v="OTALORA LEIVA LUIS FERNANDO"/>
    <x v="0"/>
    <x v="17"/>
    <s v="BBVA"/>
    <e v="#NAME?"/>
    <s v="SDATOOL-39358 $ Crédito Virtual"/>
    <n v="0.75"/>
    <s v="Desarrollador"/>
    <s v="Distribuido"/>
    <m/>
    <e v="#NAME?"/>
    <e v="#NAME?"/>
    <e v="#NAME?"/>
    <m/>
    <m/>
    <m/>
    <m/>
    <m/>
    <m/>
    <m/>
    <m/>
    <m/>
  </r>
  <r>
    <s v="C811005"/>
    <s v="OTALORA LEIVA LUIS FERNANDO"/>
    <x v="0"/>
    <x v="17"/>
    <s v="BBVA"/>
    <e v="#NAME?"/>
    <s v="SDATOOL-40555 $ ADELANTO DE VENTA EN GEMA"/>
    <n v="0.25"/>
    <s v="Desarrollador"/>
    <s v="Mainframe"/>
    <m/>
    <e v="#NAME?"/>
    <e v="#NAME?"/>
    <e v="#NAME?"/>
    <m/>
    <m/>
    <m/>
    <m/>
    <m/>
    <m/>
    <m/>
    <m/>
    <m/>
  </r>
  <r>
    <s v="C810684"/>
    <s v="CACERES CRISTANCHO JUAN SEBASTIAN"/>
    <x v="0"/>
    <x v="17"/>
    <s v="BBVA"/>
    <e v="#NAME?"/>
    <s v="SDATOOL-40555 $ ADELANTO DE VENTA EN GEMA"/>
    <n v="1"/>
    <s v="Desarrollador"/>
    <s v="Distribuido"/>
    <m/>
    <e v="#NAME?"/>
    <e v="#NAME?"/>
    <e v="#NAME?"/>
    <m/>
    <m/>
    <m/>
    <m/>
    <m/>
    <m/>
    <m/>
    <m/>
    <m/>
  </r>
  <r>
    <s v="CE66581"/>
    <s v="POLANCO DANIEL LEONARDO"/>
    <x v="0"/>
    <x v="17"/>
    <s v="GGI / CMC"/>
    <e v="#NAME?"/>
    <s v="SDATOOL-40555 $ ADELANTO DE VENTA EN GEMA"/>
    <n v="1"/>
    <s v="QA"/>
    <s v="Distribuido"/>
    <m/>
    <e v="#NAME?"/>
    <e v="#NAME?"/>
    <e v="#NAME?"/>
    <m/>
    <m/>
    <m/>
    <m/>
    <m/>
    <m/>
    <m/>
    <m/>
    <m/>
  </r>
  <r>
    <s v="T003697"/>
    <s v="BALLEN GAMBOA CRISTIAN"/>
    <x v="0"/>
    <x v="17"/>
    <s v="GGI / CMC"/>
    <e v="#NAME?"/>
    <s v="SDATOOL-39358 $ Crédito Virtual"/>
    <n v="1"/>
    <s v="Desarrollador"/>
    <s v="Distribuido"/>
    <m/>
    <e v="#NAME?"/>
    <e v="#NAME?"/>
    <e v="#NAME?"/>
    <m/>
    <m/>
    <m/>
    <m/>
    <m/>
    <m/>
    <m/>
    <m/>
    <m/>
  </r>
  <r>
    <s v="CE65226"/>
    <s v="AMAYA CAMPOS SANTIAGO"/>
    <x v="0"/>
    <x v="17"/>
    <s v="GGI / CMC"/>
    <e v="#NAME?"/>
    <s v="SDATOOL-39358 $ Crédito Virtual"/>
    <n v="0.5"/>
    <s v="Desarrollador"/>
    <s v="ASO"/>
    <m/>
    <e v="#NAME?"/>
    <e v="#NAME?"/>
    <e v="#NAME?"/>
    <m/>
    <m/>
    <m/>
    <m/>
    <m/>
    <m/>
    <m/>
    <m/>
    <m/>
  </r>
  <r>
    <s v="CE65226"/>
    <s v="AMAYA CAMPOS SANTIAGO"/>
    <x v="0"/>
    <x v="17"/>
    <s v="GGI / CMC"/>
    <e v="#NAME?"/>
    <s v="SDATOOL-40555 $ ADELANTO DE VENTA EN GEMA"/>
    <n v="0.5"/>
    <s v="Desarrollador"/>
    <s v="APX"/>
    <m/>
    <e v="#NAME?"/>
    <e v="#NAME?"/>
    <e v="#NAME?"/>
    <m/>
    <m/>
    <m/>
    <m/>
    <m/>
    <m/>
    <m/>
    <m/>
    <m/>
  </r>
  <r>
    <s v="O002003"/>
    <s v="MORENO ANGEL HEYDEN AUGUSTO"/>
    <x v="0"/>
    <x v="17"/>
    <s v="BBVA"/>
    <e v="#NAME?"/>
    <s v="SDATOOL-39358 $ Crédito Virtual"/>
    <n v="1"/>
    <s v="Desarrollador"/>
    <s v="Distribuido"/>
    <m/>
    <e v="#NAME?"/>
    <e v="#NAME?"/>
    <e v="#NAME?"/>
    <m/>
    <m/>
    <m/>
    <m/>
    <m/>
    <m/>
    <m/>
    <m/>
    <m/>
  </r>
  <r>
    <s v="T009653"/>
    <s v="MEJIA PAULA VALENTINA"/>
    <x v="0"/>
    <x v="17"/>
    <s v="GGI / CMC"/>
    <e v="#NAME?"/>
    <s v="SDATOOL-39358 $ Crédito Virtual"/>
    <n v="1"/>
    <s v="QA"/>
    <s v="Distribuido"/>
    <m/>
    <e v="#NAME?"/>
    <e v="#NAME?"/>
    <e v="#NAME?"/>
    <m/>
    <m/>
    <m/>
    <m/>
    <m/>
    <m/>
    <m/>
    <m/>
    <m/>
  </r>
  <r>
    <s v="CE58814"/>
    <s v="PINZON VANEGAS MIGUEL ANGEL"/>
    <x v="0"/>
    <x v="17"/>
    <s v="Inetum"/>
    <e v="#NAME?"/>
    <s v="SDATOOL-40555 $ ADELANTO DE VENTA EN GEMA"/>
    <n v="1"/>
    <s v="Desarrollador"/>
    <s v="Mainframe"/>
    <m/>
    <e v="#NAME?"/>
    <e v="#NAME?"/>
    <e v="#NAME?"/>
    <m/>
    <m/>
    <m/>
    <m/>
    <m/>
    <m/>
    <m/>
    <m/>
    <m/>
  </r>
  <r>
    <s v="T007566"/>
    <s v="PINEDA GALLEGO ZAMIR ALEJANDRO"/>
    <x v="0"/>
    <x v="17"/>
    <s v="Inetum"/>
    <e v="#NAME?"/>
    <s v="SDATOOL-40555 $ ADELANTO DE VENTA EN GEMA"/>
    <n v="1"/>
    <s v="Desarrollador"/>
    <s v="APX"/>
    <m/>
    <e v="#NAME?"/>
    <e v="#NAME?"/>
    <e v="#NAME?"/>
    <m/>
    <m/>
    <m/>
    <m/>
    <m/>
    <m/>
    <m/>
    <m/>
    <m/>
  </r>
  <r>
    <s v="T007886"/>
    <s v="SILVA ROMERO JULIAN DAVID"/>
    <x v="0"/>
    <x v="17"/>
    <s v="Inetum"/>
    <e v="#NAME?"/>
    <s v="SDATOOL-40555 $ ADELANTO DE VENTA EN GEMA"/>
    <n v="1"/>
    <s v="Desarrollador"/>
    <s v="APX"/>
    <m/>
    <e v="#NAME?"/>
    <e v="#NAME?"/>
    <e v="#NAME?"/>
    <m/>
    <m/>
    <m/>
    <m/>
    <m/>
    <m/>
    <m/>
    <m/>
    <m/>
  </r>
  <r>
    <s v="CE66910"/>
    <s v="PENAGOS JULIO CESAR"/>
    <x v="0"/>
    <x v="17"/>
    <s v="GGI / CMC"/>
    <e v="#NAME?"/>
    <s v="SDATOOL-40555 $ ADELANTO DE VENTA EN GEMA"/>
    <n v="1"/>
    <s v="Desarrollador"/>
    <s v="ASO"/>
    <m/>
    <e v="#NAME?"/>
    <e v="#NAME?"/>
    <e v="#NAME?"/>
    <m/>
    <m/>
    <m/>
    <m/>
    <m/>
    <m/>
    <m/>
    <m/>
    <m/>
  </r>
  <r>
    <s v="CE61320"/>
    <s v="CASTILLO ALONSO GILBERTO"/>
    <x v="0"/>
    <x v="17"/>
    <s v="Novatec"/>
    <e v="#NAME?"/>
    <s v="SDATOOL-40555 $ ADELANTO DE VENTA EN GEMA"/>
    <n v="1"/>
    <s v="Desarrollador"/>
    <s v="ASO"/>
    <m/>
    <e v="#NAME?"/>
    <e v="#NAME?"/>
    <e v="#NAME?"/>
    <m/>
    <m/>
    <m/>
    <m/>
    <m/>
    <m/>
    <m/>
    <m/>
    <m/>
  </r>
  <r>
    <s v="CE66764"/>
    <s v="FORERO RUIZ JOSE ANTONIO"/>
    <x v="0"/>
    <x v="17"/>
    <s v="GGI / CMC"/>
    <e v="#NAME?"/>
    <s v="SDATOOL-40555 $ ADELANTO DE VENTA EN GEMA"/>
    <n v="1"/>
    <s v="Desarrollador"/>
    <s v="Cells"/>
    <m/>
    <e v="#NAME?"/>
    <e v="#NAME?"/>
    <e v="#NAME?"/>
    <m/>
    <m/>
    <m/>
    <m/>
    <m/>
    <m/>
    <m/>
    <m/>
    <m/>
  </r>
  <r>
    <s v="CE70407"/>
    <s v="BARRIOS ASPRILLA BREINER I"/>
    <x v="0"/>
    <x v="17"/>
    <s v="KRYPTO"/>
    <e v="#NAME?"/>
    <s v="NOSDA $ BAU (Mantenimiento y peq. evolutivos)"/>
    <n v="1"/>
    <s v="Otros"/>
    <s v="Distribuido"/>
    <m/>
    <e v="#NAME?"/>
    <e v="#NAME?"/>
    <e v="#NAME?"/>
    <m/>
    <m/>
    <m/>
    <m/>
    <m/>
    <m/>
    <m/>
    <m/>
    <m/>
  </r>
  <r>
    <s v="T005929"/>
    <s v="CAVIEDES JIMENEZ JULIAN FELIPE"/>
    <x v="0"/>
    <x v="17"/>
    <s v="GGI / CMC"/>
    <e v="#NAME?"/>
    <s v="NOSDA $ BAU (Mantenimiento y peq. evolutivos)"/>
    <n v="1"/>
    <s v="Otros"/>
    <s v="Distribuido"/>
    <m/>
    <e v="#NAME?"/>
    <e v="#NAME?"/>
    <e v="#NAME?"/>
    <m/>
    <m/>
    <m/>
    <m/>
    <m/>
    <m/>
    <m/>
    <m/>
    <m/>
  </r>
  <r>
    <s v="CE51848"/>
    <s v="GORDO BELTRAN DANIEL FERNANDO"/>
    <x v="0"/>
    <x v="17"/>
    <s v="Inetum"/>
    <e v="#NAME?"/>
    <s v="NOSDA $ BAU (Mantenimiento y peq. evolutivos)"/>
    <n v="0.5"/>
    <s v="Otros"/>
    <s v="Distribuido"/>
    <m/>
    <e v="#NAME?"/>
    <e v="#NAME?"/>
    <e v="#NAME?"/>
    <m/>
    <m/>
    <m/>
    <m/>
    <m/>
    <m/>
    <m/>
    <m/>
    <m/>
  </r>
  <r>
    <s v="T004335"/>
    <s v="MANCIPE JUAN DAVID"/>
    <x v="0"/>
    <x v="17"/>
    <s v="GGI / CMC"/>
    <e v="#NAME?"/>
    <s v="SDATOOL-40555 $ ADELANTO DE VENTA EN GEMA"/>
    <n v="1"/>
    <s v="Desarrollador"/>
    <s v="Cells"/>
    <m/>
    <e v="#NAME?"/>
    <e v="#NAME?"/>
    <e v="#NAME?"/>
    <m/>
    <m/>
    <m/>
    <m/>
    <m/>
    <m/>
    <m/>
    <m/>
    <m/>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4">
  <r>
    <s v="C804055"/>
    <x v="0"/>
    <s v="ENTERPRISE"/>
    <x v="0"/>
    <x v="0"/>
    <e v="#NAME?"/>
    <x v="0"/>
    <n v="0.05"/>
  </r>
  <r>
    <s v="C804055"/>
    <x v="0"/>
    <s v="ENTERPRISE"/>
    <x v="0"/>
    <x v="0"/>
    <e v="#NAME?"/>
    <x v="1"/>
    <n v="0.05"/>
  </r>
  <r>
    <s v="C804055"/>
    <x v="0"/>
    <s v="ENTERPRISE"/>
    <x v="0"/>
    <x v="0"/>
    <e v="#NAME?"/>
    <x v="2"/>
    <n v="0.05"/>
  </r>
  <r>
    <s v="C804055"/>
    <x v="0"/>
    <s v="ENTERPRISE"/>
    <x v="0"/>
    <x v="0"/>
    <e v="#NAME?"/>
    <x v="3"/>
    <n v="0.05"/>
  </r>
  <r>
    <s v="C804055"/>
    <x v="0"/>
    <s v="ENTERPRISE"/>
    <x v="0"/>
    <x v="0"/>
    <e v="#NAME?"/>
    <x v="4"/>
    <n v="0.05"/>
  </r>
  <r>
    <s v="C804055"/>
    <x v="0"/>
    <s v="ENTERPRISE"/>
    <x v="0"/>
    <x v="0"/>
    <e v="#NAME?"/>
    <x v="5"/>
    <n v="0.6"/>
  </r>
  <r>
    <s v="C804055"/>
    <x v="0"/>
    <s v="ENTERPRISE"/>
    <x v="0"/>
    <x v="0"/>
    <e v="#NAME?"/>
    <x v="6"/>
    <n v="0.1"/>
  </r>
  <r>
    <s v="C804055"/>
    <x v="0"/>
    <s v="ENTERPRISE"/>
    <x v="0"/>
    <x v="0"/>
    <e v="#NAME?"/>
    <x v="7"/>
    <n v="0.05"/>
  </r>
  <r>
    <s v="C342600"/>
    <x v="1"/>
    <s v="ENTERPRISE"/>
    <x v="0"/>
    <x v="0"/>
    <e v="#NAME?"/>
    <x v="1"/>
    <n v="0.15"/>
  </r>
  <r>
    <s v="C342600"/>
    <x v="1"/>
    <s v="ENTERPRISE"/>
    <x v="0"/>
    <x v="0"/>
    <e v="#NAME?"/>
    <x v="2"/>
    <n v="0.1"/>
  </r>
  <r>
    <s v="C342600"/>
    <x v="1"/>
    <s v="ENTERPRISE"/>
    <x v="0"/>
    <x v="0"/>
    <e v="#NAME?"/>
    <x v="8"/>
    <n v="0.2"/>
  </r>
  <r>
    <s v="C342600"/>
    <x v="1"/>
    <s v="ENTERPRISE"/>
    <x v="0"/>
    <x v="0"/>
    <e v="#NAME?"/>
    <x v="4"/>
    <n v="0.15"/>
  </r>
  <r>
    <s v="C342600"/>
    <x v="1"/>
    <s v="ENTERPRISE"/>
    <x v="0"/>
    <x v="0"/>
    <e v="#NAME?"/>
    <x v="5"/>
    <n v="0.2"/>
  </r>
  <r>
    <s v="C342600"/>
    <x v="1"/>
    <s v="ENTERPRISE"/>
    <x v="0"/>
    <x v="0"/>
    <e v="#NAME?"/>
    <x v="6"/>
    <n v="0.1"/>
  </r>
  <r>
    <s v="C342600"/>
    <x v="1"/>
    <s v="ENTERPRISE"/>
    <x v="0"/>
    <x v="0"/>
    <e v="#NAME?"/>
    <x v="7"/>
    <n v="0.1"/>
  </r>
  <r>
    <s v="C808267"/>
    <x v="2"/>
    <s v="ENTERPRISE"/>
    <x v="0"/>
    <x v="0"/>
    <e v="#NAME?"/>
    <x v="4"/>
    <n v="0.7"/>
  </r>
  <r>
    <s v="C808267"/>
    <x v="2"/>
    <s v="ENTERPRISE"/>
    <x v="0"/>
    <x v="0"/>
    <e v="#NAME?"/>
    <x v="3"/>
    <n v="0.3"/>
  </r>
  <r>
    <s v="C808683"/>
    <x v="3"/>
    <s v="ENTERPRISE"/>
    <x v="0"/>
    <x v="0"/>
    <e v="#NAME?"/>
    <x v="1"/>
    <n v="0.1"/>
  </r>
  <r>
    <s v="C808683"/>
    <x v="3"/>
    <s v="ENTERPRISE"/>
    <x v="0"/>
    <x v="0"/>
    <e v="#NAME?"/>
    <x v="5"/>
    <n v="0.8"/>
  </r>
  <r>
    <s v="C808683"/>
    <x v="3"/>
    <s v="ENTERPRISE"/>
    <x v="0"/>
    <x v="0"/>
    <e v="#NAME?"/>
    <x v="0"/>
    <n v="0.1"/>
  </r>
  <r>
    <s v="C811296"/>
    <x v="4"/>
    <s v="ENTERPRISE"/>
    <x v="0"/>
    <x v="0"/>
    <e v="#NAME?"/>
    <x v="5"/>
    <n v="0.75"/>
  </r>
  <r>
    <s v="C811296"/>
    <x v="4"/>
    <s v="ENTERPRISE"/>
    <x v="0"/>
    <x v="0"/>
    <e v="#NAME?"/>
    <x v="7"/>
    <n v="0.25"/>
  </r>
  <r>
    <s v="C811302"/>
    <x v="5"/>
    <s v="ENTERPRISE"/>
    <x v="0"/>
    <x v="0"/>
    <e v="#NAME?"/>
    <x v="9"/>
    <n v="1"/>
  </r>
  <r>
    <s v="C811321"/>
    <x v="6"/>
    <s v="ENTERPRISE"/>
    <x v="0"/>
    <x v="0"/>
    <e v="#NAME?"/>
    <x v="9"/>
    <n v="1"/>
  </r>
  <r>
    <s v="CE57093"/>
    <x v="7"/>
    <s v="ENTERPRISE"/>
    <x v="0"/>
    <x v="1"/>
    <e v="#NAME?"/>
    <x v="4"/>
    <n v="0.5"/>
  </r>
  <r>
    <s v="CE57093"/>
    <x v="7"/>
    <s v="ENTERPRISE"/>
    <x v="0"/>
    <x v="1"/>
    <e v="#NAME?"/>
    <x v="5"/>
    <n v="0.5"/>
  </r>
  <r>
    <s v="CE69112"/>
    <x v="8"/>
    <s v="ENTERPRISE"/>
    <x v="0"/>
    <x v="1"/>
    <e v="#NAME?"/>
    <x v="7"/>
    <n v="1"/>
  </r>
  <r>
    <s v="CE54816"/>
    <x v="9"/>
    <s v="ENTERPRISE"/>
    <x v="0"/>
    <x v="1"/>
    <e v="#NAME?"/>
    <x v="1"/>
    <n v="1"/>
  </r>
  <r>
    <s v="CE69341"/>
    <x v="10"/>
    <s v="ENTERPRISE"/>
    <x v="0"/>
    <x v="1"/>
    <e v="#NAME?"/>
    <x v="7"/>
    <n v="0.5"/>
  </r>
  <r>
    <s v="CE69341"/>
    <x v="10"/>
    <s v="ENTERPRISE"/>
    <x v="0"/>
    <x v="1"/>
    <e v="#NAME?"/>
    <x v="5"/>
    <n v="0.5"/>
  </r>
  <r>
    <s v="CE70380"/>
    <x v="11"/>
    <s v="ENTERPRISE"/>
    <x v="0"/>
    <x v="1"/>
    <e v="#NAME?"/>
    <x v="3"/>
    <n v="1"/>
  </r>
  <r>
    <s v="T004725"/>
    <x v="12"/>
    <s v="ENTERPRISE"/>
    <x v="0"/>
    <x v="1"/>
    <e v="#NAME?"/>
    <x v="1"/>
    <n v="1"/>
  </r>
  <r>
    <s v="CE70382"/>
    <x v="13"/>
    <s v="ENTERPRISE"/>
    <x v="0"/>
    <x v="1"/>
    <e v="#NAME?"/>
    <x v="1"/>
    <n v="1"/>
  </r>
  <r>
    <s v="CE69031"/>
    <x v="14"/>
    <s v="ENTERPRISE"/>
    <x v="0"/>
    <x v="2"/>
    <e v="#NAME?"/>
    <x v="5"/>
    <n v="7.0000000000000007E-2"/>
  </r>
  <r>
    <s v="CE69031"/>
    <x v="14"/>
    <s v="ENTERPRISE"/>
    <x v="0"/>
    <x v="2"/>
    <e v="#NAME?"/>
    <x v="4"/>
    <n v="0.1"/>
  </r>
  <r>
    <s v="CE69031"/>
    <x v="14"/>
    <s v="ENTERPRISE"/>
    <x v="0"/>
    <x v="2"/>
    <e v="#NAME?"/>
    <x v="3"/>
    <n v="0.08"/>
  </r>
  <r>
    <s v="C804844"/>
    <x v="15"/>
    <s v="CIB &amp; COMEX - FIDUCIARIA"/>
    <x v="1"/>
    <x v="0"/>
    <e v="#NAME?"/>
    <x v="10"/>
    <n v="0.75"/>
  </r>
  <r>
    <s v="C804844"/>
    <x v="15"/>
    <s v="CIB &amp; COMEX - FIDUCIARIA"/>
    <x v="1"/>
    <x v="0"/>
    <e v="#NAME?"/>
    <x v="11"/>
    <n v="0.25"/>
  </r>
  <r>
    <s v="T003920"/>
    <x v="16"/>
    <s v="CIB &amp; COMEX - FIDUCIARIA"/>
    <x v="1"/>
    <x v="3"/>
    <e v="#NAME?"/>
    <x v="10"/>
    <n v="1"/>
  </r>
  <r>
    <s v="C805179"/>
    <x v="17"/>
    <s v="CIB &amp; COMEX - FIDUCIARIA"/>
    <x v="1"/>
    <x v="0"/>
    <e v="#NAME?"/>
    <x v="10"/>
    <n v="0.75"/>
  </r>
  <r>
    <s v="C805179"/>
    <x v="17"/>
    <s v="CIB &amp; COMEX - FIDUCIARIA"/>
    <x v="1"/>
    <x v="0"/>
    <e v="#NAME?"/>
    <x v="11"/>
    <n v="0.25"/>
  </r>
  <r>
    <s v="CE14662"/>
    <x v="18"/>
    <s v="CIB &amp; COMEX - FIDUCIARIA"/>
    <x v="1"/>
    <x v="4"/>
    <e v="#NAME?"/>
    <x v="3"/>
    <n v="1"/>
  </r>
  <r>
    <s v="CE63123"/>
    <x v="19"/>
    <s v="CIB &amp; COMEX - FIDUCIARIA"/>
    <x v="1"/>
    <x v="4"/>
    <e v="#NAME?"/>
    <x v="3"/>
    <n v="1"/>
  </r>
  <r>
    <s v="C808223"/>
    <x v="20"/>
    <s v="CIB &amp; COMEX - FIDUCIARIA"/>
    <x v="1"/>
    <x v="0"/>
    <e v="#NAME?"/>
    <x v="3"/>
    <n v="1"/>
  </r>
  <r>
    <s v="C808132"/>
    <x v="21"/>
    <s v="CIB &amp; COMEX - FIDUCIARIA"/>
    <x v="1"/>
    <x v="0"/>
    <e v="#NAME?"/>
    <x v="3"/>
    <n v="1"/>
  </r>
  <r>
    <s v="CE61903"/>
    <x v="22"/>
    <s v="CIB &amp; COMEX - FIDUCIARIA"/>
    <x v="1"/>
    <x v="4"/>
    <e v="#NAME?"/>
    <x v="3"/>
    <n v="0.25"/>
  </r>
  <r>
    <s v="CE61903"/>
    <x v="22"/>
    <s v="CIB &amp; COMEX - FIDUCIARIA"/>
    <x v="1"/>
    <x v="4"/>
    <e v="#NAME?"/>
    <x v="12"/>
    <n v="0.5"/>
  </r>
  <r>
    <s v="C811297"/>
    <x v="23"/>
    <s v="ENTERPRISE"/>
    <x v="2"/>
    <x v="0"/>
    <e v="#NAME?"/>
    <x v="13"/>
    <n v="0.25"/>
  </r>
  <r>
    <s v="C811297"/>
    <x v="23"/>
    <s v="ENTERPRISE"/>
    <x v="2"/>
    <x v="0"/>
    <e v="#NAME?"/>
    <x v="3"/>
    <n v="0.25"/>
  </r>
  <r>
    <s v="C811297"/>
    <x v="23"/>
    <s v="ENTERPRISE"/>
    <x v="2"/>
    <x v="0"/>
    <e v="#NAME?"/>
    <x v="14"/>
    <n v="0.25"/>
  </r>
  <r>
    <s v="C811297"/>
    <x v="23"/>
    <s v="ENTERPRISE"/>
    <x v="2"/>
    <x v="0"/>
    <e v="#NAME?"/>
    <x v="15"/>
    <n v="0.25"/>
  </r>
  <r>
    <s v="C808771"/>
    <x v="24"/>
    <s v="ENTERPRISE"/>
    <x v="2"/>
    <x v="0"/>
    <e v="#NAME?"/>
    <x v="13"/>
    <n v="0.75"/>
  </r>
  <r>
    <s v="C808771"/>
    <x v="24"/>
    <s v="ENTERPRISE"/>
    <x v="2"/>
    <x v="0"/>
    <e v="#NAME?"/>
    <x v="3"/>
    <n v="0.25"/>
  </r>
  <r>
    <s v="O000111"/>
    <x v="25"/>
    <s v="ENTERPRISE"/>
    <x v="2"/>
    <x v="0"/>
    <e v="#NAME?"/>
    <x v="13"/>
    <n v="0.75"/>
  </r>
  <r>
    <s v="O000111"/>
    <x v="25"/>
    <s v="ENTERPRISE"/>
    <x v="2"/>
    <x v="0"/>
    <e v="#NAME?"/>
    <x v="3"/>
    <n v="0.25"/>
  </r>
  <r>
    <s v="C810784"/>
    <x v="26"/>
    <s v="ENTERPRISE"/>
    <x v="2"/>
    <x v="0"/>
    <e v="#NAME?"/>
    <x v="15"/>
    <n v="1"/>
  </r>
  <r>
    <s v="CE70413"/>
    <x v="27"/>
    <s v="ENTERPRISE"/>
    <x v="2"/>
    <x v="2"/>
    <e v="#NAME?"/>
    <x v="3"/>
    <n v="0.5"/>
  </r>
  <r>
    <s v="CE70413"/>
    <x v="27"/>
    <s v="ENTERPRISE"/>
    <x v="2"/>
    <x v="2"/>
    <e v="#NAME?"/>
    <x v="13"/>
    <n v="0.5"/>
  </r>
  <r>
    <s v="C342062"/>
    <x v="28"/>
    <s v="ENTERPRISE"/>
    <x v="2"/>
    <x v="0"/>
    <e v="#NAME?"/>
    <x v="16"/>
    <n v="0.75"/>
  </r>
  <r>
    <s v="C342062"/>
    <x v="28"/>
    <s v="ENTERPRISE"/>
    <x v="2"/>
    <x v="0"/>
    <e v="#NAME?"/>
    <x v="3"/>
    <n v="0.25"/>
  </r>
  <r>
    <s v="C808392"/>
    <x v="29"/>
    <s v="ENTERPRISE"/>
    <x v="2"/>
    <x v="0"/>
    <e v="#NAME?"/>
    <x v="17"/>
    <n v="0.75"/>
  </r>
  <r>
    <s v="C808392"/>
    <x v="29"/>
    <s v="ENTERPRISE"/>
    <x v="2"/>
    <x v="0"/>
    <e v="#NAME?"/>
    <x v="3"/>
    <n v="0.25"/>
  </r>
  <r>
    <s v="CE63313"/>
    <x v="30"/>
    <s v="ENTERPRISE"/>
    <x v="2"/>
    <x v="5"/>
    <e v="#NAME?"/>
    <x v="17"/>
    <n v="0.5"/>
  </r>
  <r>
    <s v="CE63313"/>
    <x v="30"/>
    <s v="ENTERPRISE"/>
    <x v="2"/>
    <x v="5"/>
    <e v="#NAME?"/>
    <x v="3"/>
    <n v="0.5"/>
  </r>
  <r>
    <s v="C808164"/>
    <x v="31"/>
    <s v="ENTERPRISE"/>
    <x v="2"/>
    <x v="0"/>
    <e v="#NAME?"/>
    <x v="18"/>
    <n v="1"/>
  </r>
  <r>
    <s v="O002304"/>
    <x v="32"/>
    <s v="ENTERPRISE"/>
    <x v="2"/>
    <x v="0"/>
    <e v="#NAME?"/>
    <x v="18"/>
    <n v="1"/>
  </r>
  <r>
    <s v="CE43229"/>
    <x v="33"/>
    <s v="ENTERPRISE"/>
    <x v="2"/>
    <x v="5"/>
    <e v="#NAME?"/>
    <x v="18"/>
    <n v="1"/>
  </r>
  <r>
    <s v="CE68369"/>
    <x v="34"/>
    <s v="ENTERPRISE"/>
    <x v="2"/>
    <x v="2"/>
    <e v="#NAME?"/>
    <x v="18"/>
    <n v="1"/>
  </r>
  <r>
    <s v="C784494"/>
    <x v="35"/>
    <s v="ENTERPRISE"/>
    <x v="2"/>
    <x v="0"/>
    <e v="#NAME?"/>
    <x v="19"/>
    <n v="0.75"/>
  </r>
  <r>
    <s v="C784494"/>
    <x v="35"/>
    <s v="ENTERPRISE"/>
    <x v="2"/>
    <x v="0"/>
    <e v="#NAME?"/>
    <x v="3"/>
    <n v="0.25"/>
  </r>
  <r>
    <s v="C808842"/>
    <x v="36"/>
    <s v="ENTERPRISE"/>
    <x v="2"/>
    <x v="0"/>
    <e v="#NAME?"/>
    <x v="20"/>
    <n v="0.75"/>
  </r>
  <r>
    <s v="C808842"/>
    <x v="36"/>
    <s v="ENTERPRISE"/>
    <x v="2"/>
    <x v="0"/>
    <e v="#NAME?"/>
    <x v="3"/>
    <n v="0.25"/>
  </r>
  <r>
    <s v="C808856"/>
    <x v="37"/>
    <s v="ENTERPRISE"/>
    <x v="2"/>
    <x v="0"/>
    <e v="#NAME?"/>
    <x v="21"/>
    <n v="0.5"/>
  </r>
  <r>
    <s v="C808856"/>
    <x v="37"/>
    <s v="ENTERPRISE"/>
    <x v="3"/>
    <x v="0"/>
    <e v="#NAME?"/>
    <x v="22"/>
    <n v="0.5"/>
  </r>
  <r>
    <s v="C342171"/>
    <x v="38"/>
    <s v="ENTERPRISE"/>
    <x v="2"/>
    <x v="0"/>
    <e v="#NAME?"/>
    <x v="20"/>
    <n v="0.25"/>
  </r>
  <r>
    <s v="C342171"/>
    <x v="38"/>
    <s v="ENTERPRISE"/>
    <x v="2"/>
    <x v="0"/>
    <e v="#NAME?"/>
    <x v="19"/>
    <n v="0.25"/>
  </r>
  <r>
    <s v="C342171"/>
    <x v="38"/>
    <s v="ENTERPRISE"/>
    <x v="2"/>
    <x v="0"/>
    <e v="#NAME?"/>
    <x v="21"/>
    <n v="0.25"/>
  </r>
  <r>
    <s v="C342171"/>
    <x v="38"/>
    <s v="ENTERPRISE"/>
    <x v="2"/>
    <x v="0"/>
    <e v="#NAME?"/>
    <x v="23"/>
    <n v="0.25"/>
  </r>
  <r>
    <s v="CE56542"/>
    <x v="39"/>
    <s v="ENTERPRISE"/>
    <x v="2"/>
    <x v="6"/>
    <e v="#NAME?"/>
    <x v="3"/>
    <n v="0.5"/>
  </r>
  <r>
    <s v="CE57635"/>
    <x v="40"/>
    <s v="ENTERPRISE"/>
    <x v="2"/>
    <x v="6"/>
    <e v="#NAME?"/>
    <x v="3"/>
    <n v="1"/>
  </r>
  <r>
    <s v="CE66612"/>
    <x v="41"/>
    <s v="ENTERPRISE"/>
    <x v="2"/>
    <x v="6"/>
    <e v="#NAME?"/>
    <x v="3"/>
    <n v="1"/>
  </r>
  <r>
    <m/>
    <x v="42"/>
    <s v="ENTERPRISE"/>
    <x v="2"/>
    <x v="5"/>
    <e v="#NAME?"/>
    <x v="21"/>
    <n v="0.5"/>
  </r>
  <r>
    <m/>
    <x v="42"/>
    <s v="ENTERPRISE"/>
    <x v="2"/>
    <x v="5"/>
    <e v="#NAME?"/>
    <x v="3"/>
    <n v="0.5"/>
  </r>
  <r>
    <s v="C343581"/>
    <x v="43"/>
    <s v="ENTERPRISE"/>
    <x v="2"/>
    <x v="0"/>
    <e v="#NAME?"/>
    <x v="24"/>
    <n v="0.25"/>
  </r>
  <r>
    <s v="C343581"/>
    <x v="43"/>
    <s v="ENTERPRISE"/>
    <x v="2"/>
    <x v="0"/>
    <e v="#NAME?"/>
    <x v="25"/>
    <n v="0.25"/>
  </r>
  <r>
    <s v="C343581"/>
    <x v="43"/>
    <s v="ENTERPRISE"/>
    <x v="2"/>
    <x v="0"/>
    <e v="#NAME?"/>
    <x v="3"/>
    <n v="0.5"/>
  </r>
  <r>
    <s v="C810947"/>
    <x v="44"/>
    <s v="ENTERPRISE"/>
    <x v="2"/>
    <x v="0"/>
    <e v="#NAME?"/>
    <x v="24"/>
    <n v="1"/>
  </r>
  <r>
    <s v="C809749"/>
    <x v="45"/>
    <s v="ENTERPRISE"/>
    <x v="2"/>
    <x v="0"/>
    <e v="#NAME?"/>
    <x v="24"/>
    <n v="1"/>
  </r>
  <r>
    <s v="T002859"/>
    <x v="46"/>
    <s v="ENTERPRISE"/>
    <x v="2"/>
    <x v="5"/>
    <e v="#NAME?"/>
    <x v="24"/>
    <n v="1"/>
  </r>
  <r>
    <s v="C808769"/>
    <x v="47"/>
    <s v="ENTERPRISE"/>
    <x v="2"/>
    <x v="0"/>
    <e v="#NAME?"/>
    <x v="25"/>
    <n v="0.75"/>
  </r>
  <r>
    <s v="C808769"/>
    <x v="47"/>
    <s v="ENTERPRISE"/>
    <x v="2"/>
    <x v="0"/>
    <e v="#NAME?"/>
    <x v="3"/>
    <n v="0.25"/>
  </r>
  <r>
    <s v="C811207"/>
    <x v="48"/>
    <s v="ENTERPRISE"/>
    <x v="2"/>
    <x v="0"/>
    <e v="#NAME?"/>
    <x v="25"/>
    <n v="1"/>
  </r>
  <r>
    <s v="O004611"/>
    <x v="49"/>
    <s v="ENTERPRISE"/>
    <x v="2"/>
    <x v="0"/>
    <e v="#NAME?"/>
    <x v="24"/>
    <n v="1"/>
  </r>
  <r>
    <s v="T009935"/>
    <x v="50"/>
    <s v="ENTERPRISE"/>
    <x v="2"/>
    <x v="6"/>
    <e v="#NAME?"/>
    <x v="3"/>
    <n v="0.5"/>
  </r>
  <r>
    <s v="CE68693"/>
    <x v="51"/>
    <s v="ENTERPRISE"/>
    <x v="2"/>
    <x v="6"/>
    <e v="#NAME?"/>
    <x v="3"/>
    <n v="1"/>
  </r>
  <r>
    <s v="T009914"/>
    <x v="52"/>
    <s v="ENTERPRISE"/>
    <x v="2"/>
    <x v="6"/>
    <e v="#NAME?"/>
    <x v="3"/>
    <n v="1"/>
  </r>
  <r>
    <s v="C801829"/>
    <x v="53"/>
    <s v="ENTERPRISE"/>
    <x v="2"/>
    <x v="0"/>
    <e v="#NAME?"/>
    <x v="24"/>
    <n v="0.25"/>
  </r>
  <r>
    <s v="C801829"/>
    <x v="53"/>
    <s v="ENTERPRISE"/>
    <x v="2"/>
    <x v="0"/>
    <e v="#NAME?"/>
    <x v="26"/>
    <n v="0.25"/>
  </r>
  <r>
    <s v="C801829"/>
    <x v="53"/>
    <s v="ENTERPRISE"/>
    <x v="2"/>
    <x v="0"/>
    <e v="#NAME?"/>
    <x v="27"/>
    <n v="0.25"/>
  </r>
  <r>
    <s v="C801829"/>
    <x v="53"/>
    <s v="ENTERPRISE"/>
    <x v="2"/>
    <x v="0"/>
    <e v="#NAME?"/>
    <x v="27"/>
    <n v="0.25"/>
  </r>
  <r>
    <s v="O000393"/>
    <x v="54"/>
    <s v="ENTERPRISE"/>
    <x v="2"/>
    <x v="0"/>
    <e v="#NAME?"/>
    <x v="26"/>
    <n v="1"/>
  </r>
  <r>
    <s v="O004836"/>
    <x v="55"/>
    <s v="ENTERPRISE"/>
    <x v="2"/>
    <x v="0"/>
    <e v="#NAME?"/>
    <x v="24"/>
    <n v="1"/>
  </r>
  <r>
    <s v="O004612"/>
    <x v="56"/>
    <s v="ENTERPRISE"/>
    <x v="2"/>
    <x v="0"/>
    <e v="#NAME?"/>
    <x v="24"/>
    <n v="1"/>
  </r>
  <r>
    <s v="T005391"/>
    <x v="57"/>
    <s v="ENTERPRISE"/>
    <x v="2"/>
    <x v="5"/>
    <e v="#NAME?"/>
    <x v="3"/>
    <n v="1"/>
  </r>
  <r>
    <s v="C808646"/>
    <x v="58"/>
    <s v="ENTERPRISE"/>
    <x v="4"/>
    <x v="0"/>
    <e v="#NAME?"/>
    <x v="28"/>
    <n v="1"/>
  </r>
  <r>
    <s v="O001334"/>
    <x v="59"/>
    <s v="ENTERPRISE"/>
    <x v="4"/>
    <x v="0"/>
    <e v="#NAME?"/>
    <x v="28"/>
    <n v="0.5"/>
  </r>
  <r>
    <s v="O001334"/>
    <x v="59"/>
    <s v="ENTERPRISE"/>
    <x v="4"/>
    <x v="0"/>
    <e v="#NAME?"/>
    <x v="29"/>
    <n v="0.25"/>
  </r>
  <r>
    <s v="O001334"/>
    <x v="59"/>
    <s v="ENTERPRISE"/>
    <x v="4"/>
    <x v="0"/>
    <e v="#NAME?"/>
    <x v="5"/>
    <n v="0.25"/>
  </r>
  <r>
    <s v="C810881"/>
    <x v="60"/>
    <s v="ENTERPRISE"/>
    <x v="4"/>
    <x v="0"/>
    <e v="#NAME?"/>
    <x v="30"/>
    <n v="0.75"/>
  </r>
  <r>
    <s v="C810881"/>
    <x v="60"/>
    <s v="ENTERPRISE"/>
    <x v="4"/>
    <x v="0"/>
    <e v="#NAME?"/>
    <x v="5"/>
    <n v="0.25"/>
  </r>
  <r>
    <s v="C805972"/>
    <x v="61"/>
    <s v="ENTERPRISE"/>
    <x v="4"/>
    <x v="0"/>
    <e v="#NAME?"/>
    <x v="28"/>
    <n v="1"/>
  </r>
  <r>
    <s v="C805323"/>
    <x v="62"/>
    <s v="ENTERPRISE"/>
    <x v="4"/>
    <x v="0"/>
    <e v="#NAME?"/>
    <x v="31"/>
    <n v="1"/>
  </r>
  <r>
    <s v="C804103"/>
    <x v="63"/>
    <s v="ENTERPRISE"/>
    <x v="4"/>
    <x v="0"/>
    <e v="#NAME?"/>
    <x v="31"/>
    <n v="0.5"/>
  </r>
  <r>
    <s v="C804103"/>
    <x v="63"/>
    <s v="ENTERPRISE"/>
    <x v="4"/>
    <x v="0"/>
    <e v="#NAME?"/>
    <x v="29"/>
    <n v="0.5"/>
  </r>
  <r>
    <s v="C805973"/>
    <x v="64"/>
    <s v="ENTERPRISE"/>
    <x v="4"/>
    <x v="0"/>
    <e v="#NAME?"/>
    <x v="30"/>
    <n v="1"/>
  </r>
  <r>
    <s v="C805925"/>
    <x v="65"/>
    <s v="ENTERPRISE"/>
    <x v="4"/>
    <x v="0"/>
    <e v="#NAME?"/>
    <x v="28"/>
    <n v="0.25"/>
  </r>
  <r>
    <s v="O004604"/>
    <x v="66"/>
    <s v="ENTERPRISE"/>
    <x v="4"/>
    <x v="0"/>
    <e v="#NAME?"/>
    <x v="3"/>
    <n v="1"/>
  </r>
  <r>
    <s v="O000159"/>
    <x v="67"/>
    <s v="ENTERPRISE"/>
    <x v="4"/>
    <x v="0"/>
    <e v="#NAME?"/>
    <x v="28"/>
    <n v="0.5"/>
  </r>
  <r>
    <s v="O000159"/>
    <x v="67"/>
    <s v="ENTERPRISE"/>
    <x v="4"/>
    <x v="0"/>
    <e v="#NAME?"/>
    <x v="31"/>
    <n v="0.25"/>
  </r>
  <r>
    <s v="O000159"/>
    <x v="67"/>
    <s v="ENTERPRISE"/>
    <x v="4"/>
    <x v="0"/>
    <e v="#NAME?"/>
    <x v="29"/>
    <n v="0.15"/>
  </r>
  <r>
    <s v="O000159"/>
    <x v="67"/>
    <s v="ENTERPRISE"/>
    <x v="4"/>
    <x v="0"/>
    <e v="#NAME?"/>
    <x v="5"/>
    <n v="0.1"/>
  </r>
  <r>
    <s v="T005152"/>
    <x v="68"/>
    <s v="ENTERPRISE"/>
    <x v="4"/>
    <x v="5"/>
    <e v="#NAME?"/>
    <x v="28"/>
    <n v="0.9"/>
  </r>
  <r>
    <s v="T005152"/>
    <x v="68"/>
    <s v="ENTERPRISE"/>
    <x v="4"/>
    <x v="5"/>
    <e v="#NAME?"/>
    <x v="29"/>
    <n v="0.1"/>
  </r>
  <r>
    <s v="CE68432"/>
    <x v="69"/>
    <s v="ENTERPRISE"/>
    <x v="4"/>
    <x v="1"/>
    <e v="#NAME?"/>
    <x v="31"/>
    <n v="1"/>
  </r>
  <r>
    <s v="CE60767"/>
    <x v="70"/>
    <s v="ENTERPRISE"/>
    <x v="4"/>
    <x v="1"/>
    <e v="#NAME?"/>
    <x v="31"/>
    <n v="1"/>
  </r>
  <r>
    <s v="T002011"/>
    <x v="71"/>
    <s v="ENTERPRISE"/>
    <x v="4"/>
    <x v="1"/>
    <e v="#NAME?"/>
    <x v="31"/>
    <n v="1"/>
  </r>
  <r>
    <s v="CE65276"/>
    <x v="72"/>
    <s v="ENTERPRISE"/>
    <x v="4"/>
    <x v="1"/>
    <e v="#NAME?"/>
    <x v="31"/>
    <n v="1"/>
  </r>
  <r>
    <s v="CE51577"/>
    <x v="73"/>
    <s v="ENTERPRISE"/>
    <x v="4"/>
    <x v="1"/>
    <e v="#NAME?"/>
    <x v="28"/>
    <n v="1"/>
  </r>
  <r>
    <s v="CE68565"/>
    <x v="74"/>
    <s v="ENTERPRISE"/>
    <x v="4"/>
    <x v="1"/>
    <e v="#NAME?"/>
    <x v="28"/>
    <n v="1"/>
  </r>
  <r>
    <s v="CE66305"/>
    <x v="75"/>
    <s v="ENTERPRISE"/>
    <x v="4"/>
    <x v="1"/>
    <e v="#NAME?"/>
    <x v="28"/>
    <n v="1"/>
  </r>
  <r>
    <s v="CE67889"/>
    <x v="76"/>
    <s v="ENTERPRISE"/>
    <x v="4"/>
    <x v="1"/>
    <e v="#NAME?"/>
    <x v="28"/>
    <n v="1"/>
  </r>
  <r>
    <s v="T010295"/>
    <x v="77"/>
    <s v="ENTERPRISE"/>
    <x v="4"/>
    <x v="1"/>
    <e v="#NAME?"/>
    <x v="28"/>
    <n v="1"/>
  </r>
  <r>
    <s v="CE51510"/>
    <x v="78"/>
    <s v="ENTERPRISE"/>
    <x v="4"/>
    <x v="1"/>
    <e v="#NAME?"/>
    <x v="28"/>
    <n v="1"/>
  </r>
  <r>
    <s v="CE68432"/>
    <x v="79"/>
    <s v="ENTERPRISE"/>
    <x v="4"/>
    <x v="1"/>
    <e v="#NAME?"/>
    <x v="28"/>
    <n v="1"/>
  </r>
  <r>
    <s v=" T011816"/>
    <x v="80"/>
    <s v="ENTERPRISE"/>
    <x v="4"/>
    <x v="1"/>
    <e v="#NAME?"/>
    <x v="28"/>
    <n v="1"/>
  </r>
  <r>
    <s v="T012212"/>
    <x v="81"/>
    <s v="ENTERPRISE"/>
    <x v="4"/>
    <x v="1"/>
    <e v="#NAME?"/>
    <x v="28"/>
    <n v="1"/>
  </r>
  <r>
    <s v="CE30318"/>
    <x v="82"/>
    <s v="ENTERPRISE"/>
    <x v="4"/>
    <x v="2"/>
    <e v="#NAME?"/>
    <x v="28"/>
    <n v="0.1"/>
  </r>
  <r>
    <s v="CE30318"/>
    <x v="82"/>
    <s v="ENTERPRISE"/>
    <x v="4"/>
    <x v="2"/>
    <e v="#NAME?"/>
    <x v="31"/>
    <n v="0.1"/>
  </r>
  <r>
    <s v="CE30318"/>
    <x v="82"/>
    <s v="ENTERPRISE"/>
    <x v="4"/>
    <x v="2"/>
    <e v="#NAME?"/>
    <x v="29"/>
    <n v="0.05"/>
  </r>
  <r>
    <s v="CE41979"/>
    <x v="83"/>
    <s v="ENTERPRISE"/>
    <x v="0"/>
    <x v="5"/>
    <e v="#NAME?"/>
    <x v="5"/>
    <n v="7.0000000000000007E-2"/>
  </r>
  <r>
    <s v="CE41979"/>
    <x v="83"/>
    <s v="ENTERPRISE"/>
    <x v="0"/>
    <x v="5"/>
    <e v="#NAME?"/>
    <x v="3"/>
    <n v="0.1"/>
  </r>
  <r>
    <s v="CE41979"/>
    <x v="83"/>
    <s v="ENTERPRISE"/>
    <x v="0"/>
    <x v="5"/>
    <e v="#NAME?"/>
    <x v="4"/>
    <n v="0.08"/>
  </r>
  <r>
    <s v="CE30318"/>
    <x v="82"/>
    <s v="ENTERPRISE"/>
    <x v="4"/>
    <x v="2"/>
    <e v="#NAME?"/>
    <x v="3"/>
    <n v="0.25"/>
  </r>
  <r>
    <s v="CE41979"/>
    <x v="83"/>
    <s v="ENTERPRISE"/>
    <x v="0"/>
    <x v="5"/>
    <e v="#NAME?"/>
    <x v="3"/>
    <n v="0.25"/>
  </r>
  <r>
    <s v="CE69031"/>
    <x v="14"/>
    <s v="ENTERPRISE"/>
    <x v="0"/>
    <x v="2"/>
    <e v="#NAME?"/>
    <x v="3"/>
    <n v="0.25"/>
  </r>
  <r>
    <s v="CE30318"/>
    <x v="82"/>
    <s v="ENTERPRISE"/>
    <x v="0"/>
    <x v="2"/>
    <e v="#NAME?"/>
    <x v="3"/>
    <n v="7.0000000000000007E-2"/>
  </r>
  <r>
    <s v="CE41979"/>
    <x v="83"/>
    <s v="ENTERPRISE"/>
    <x v="4"/>
    <x v="5"/>
    <e v="#NAME?"/>
    <x v="28"/>
    <n v="0.1"/>
  </r>
  <r>
    <s v="CE41979"/>
    <x v="83"/>
    <s v="ENTERPRISE"/>
    <x v="4"/>
    <x v="5"/>
    <e v="#NAME?"/>
    <x v="31"/>
    <n v="0.1"/>
  </r>
  <r>
    <s v="CE41979"/>
    <x v="83"/>
    <s v="ENTERPRISE"/>
    <x v="4"/>
    <x v="5"/>
    <e v="#NAME?"/>
    <x v="29"/>
    <n v="0.05"/>
  </r>
  <r>
    <s v="CE41979"/>
    <x v="83"/>
    <s v="ENTERPRISE"/>
    <x v="4"/>
    <x v="5"/>
    <e v="#NAME?"/>
    <x v="3"/>
    <n v="0.25"/>
  </r>
  <r>
    <s v="CE69031"/>
    <x v="14"/>
    <s v="ENTERPRISE"/>
    <x v="4"/>
    <x v="2"/>
    <e v="#NAME?"/>
    <x v="3"/>
    <n v="0.25"/>
  </r>
  <r>
    <s v="CE69031"/>
    <x v="14"/>
    <s v="ENTERPRISE"/>
    <x v="4"/>
    <x v="2"/>
    <e v="#NAME?"/>
    <x v="28"/>
    <n v="0.1"/>
  </r>
  <r>
    <s v="CE69031"/>
    <x v="14"/>
    <s v="ENTERPRISE"/>
    <x v="4"/>
    <x v="2"/>
    <e v="#NAME?"/>
    <x v="31"/>
    <n v="0.1"/>
  </r>
  <r>
    <s v="CE69031"/>
    <x v="14"/>
    <s v="ENTERPRISE"/>
    <x v="4"/>
    <x v="2"/>
    <e v="#NAME?"/>
    <x v="29"/>
    <n v="0.05"/>
  </r>
  <r>
    <s v="O000108"/>
    <x v="84"/>
    <s v="CIB &amp; COMEX - FIDUCIARIA"/>
    <x v="1"/>
    <x v="0"/>
    <e v="#NAME?"/>
    <x v="12"/>
    <n v="0.7"/>
  </r>
  <r>
    <s v="O000108"/>
    <x v="84"/>
    <s v="CIB &amp; COMEX - FIDUCIARIA"/>
    <x v="1"/>
    <x v="0"/>
    <e v="#NAME?"/>
    <x v="32"/>
    <n v="0.3"/>
  </r>
  <r>
    <s v="CE30318"/>
    <x v="82"/>
    <s v="ENTERPRISE"/>
    <x v="0"/>
    <x v="2"/>
    <e v="#NAME?"/>
    <x v="5"/>
    <n v="0.1"/>
  </r>
  <r>
    <s v="CE30318"/>
    <x v="82"/>
    <s v="ENTERPRISE"/>
    <x v="0"/>
    <x v="2"/>
    <e v="#NAME?"/>
    <x v="4"/>
    <n v="0.08"/>
  </r>
  <r>
    <s v="CE30318"/>
    <x v="82"/>
    <s v="ENTERPRISE"/>
    <x v="0"/>
    <x v="2"/>
    <e v="#NAME?"/>
    <x v="3"/>
    <n v="0.25"/>
  </r>
  <r>
    <s v="C801586"/>
    <x v="85"/>
    <s v="ENTERPRISE"/>
    <x v="0"/>
    <x v="0"/>
    <e v="#NAME?"/>
    <x v="3"/>
    <n v="1"/>
  </r>
  <r>
    <s v="CE59142"/>
    <x v="86"/>
    <s v="ENTERPRISE"/>
    <x v="0"/>
    <x v="5"/>
    <e v="#NAME?"/>
    <x v="3"/>
    <n v="1"/>
  </r>
  <r>
    <s v="CE66182"/>
    <x v="87"/>
    <s v="ENTERPRISE"/>
    <x v="0"/>
    <x v="5"/>
    <e v="#NAME?"/>
    <x v="3"/>
    <n v="1"/>
  </r>
  <r>
    <s v="CE52790"/>
    <x v="88"/>
    <s v="ENTERPRISE"/>
    <x v="0"/>
    <x v="5"/>
    <e v="#NAME?"/>
    <x v="3"/>
    <n v="1"/>
  </r>
  <r>
    <s v="CE50160"/>
    <x v="89"/>
    <s v="ENTERPRISE"/>
    <x v="0"/>
    <x v="5"/>
    <e v="#NAME?"/>
    <x v="3"/>
    <n v="1"/>
  </r>
  <r>
    <s v="CE57567"/>
    <x v="90"/>
    <s v="ENTERPRISE"/>
    <x v="0"/>
    <x v="5"/>
    <e v="#NAME?"/>
    <x v="3"/>
    <n v="1"/>
  </r>
  <r>
    <s v="CE63508"/>
    <x v="91"/>
    <s v="ENTERPRISE"/>
    <x v="0"/>
    <x v="5"/>
    <e v="#NAME?"/>
    <x v="3"/>
    <n v="1"/>
  </r>
  <r>
    <s v="C802316"/>
    <x v="92"/>
    <s v="CIB &amp; COMEX - FIDUCIARIA"/>
    <x v="1"/>
    <x v="0"/>
    <e v="#NAME?"/>
    <x v="33"/>
    <n v="0.7"/>
  </r>
  <r>
    <s v="C802316"/>
    <x v="92"/>
    <s v="CIB &amp; COMEX - FIDUCIARIA"/>
    <x v="1"/>
    <x v="0"/>
    <e v="#NAME?"/>
    <x v="34"/>
    <n v="0.3"/>
  </r>
  <r>
    <s v="C782982"/>
    <x v="93"/>
    <s v="CIB &amp; COMEX - FIDUCIARIA"/>
    <x v="1"/>
    <x v="0"/>
    <e v="#NAME?"/>
    <x v="33"/>
    <n v="0.3"/>
  </r>
  <r>
    <s v="C782982"/>
    <x v="93"/>
    <s v="CIB &amp; COMEX - FIDUCIARIA"/>
    <x v="1"/>
    <x v="0"/>
    <e v="#NAME?"/>
    <x v="34"/>
    <n v="0.3"/>
  </r>
  <r>
    <s v="C782982"/>
    <x v="93"/>
    <s v="CIB &amp; COMEX - FIDUCIARIA"/>
    <x v="1"/>
    <x v="0"/>
    <e v="#NAME?"/>
    <x v="12"/>
    <n v="0.3"/>
  </r>
  <r>
    <s v="C782982"/>
    <x v="93"/>
    <s v="CIB &amp; COMEX - FIDUCIARIA"/>
    <x v="1"/>
    <x v="0"/>
    <e v="#NAME?"/>
    <x v="32"/>
    <n v="0.1"/>
  </r>
  <r>
    <s v="CE43166"/>
    <x v="94"/>
    <s v="CIB &amp; COMEX - FIDUCIARIA"/>
    <x v="1"/>
    <x v="4"/>
    <e v="#NAME?"/>
    <x v="32"/>
    <n v="0.25"/>
  </r>
  <r>
    <s v="CE43166"/>
    <x v="94"/>
    <s v="CIB &amp; COMEX - FIDUCIARIA"/>
    <x v="1"/>
    <x v="4"/>
    <e v="#NAME?"/>
    <x v="12"/>
    <n v="0.25"/>
  </r>
  <r>
    <s v="CE69376"/>
    <x v="95"/>
    <s v="CIB &amp; COMEX - FIDUCIARIA"/>
    <x v="1"/>
    <x v="4"/>
    <e v="#NAME?"/>
    <x v="32"/>
    <n v="0.25"/>
  </r>
  <r>
    <s v="CE69376"/>
    <x v="95"/>
    <s v="CIB &amp; COMEX - FIDUCIARIA"/>
    <x v="1"/>
    <x v="4"/>
    <e v="#NAME?"/>
    <x v="12"/>
    <n v="0.25"/>
  </r>
  <r>
    <s v="CE69380"/>
    <x v="96"/>
    <s v="CIB &amp; COMEX - FIDUCIARIA"/>
    <x v="1"/>
    <x v="4"/>
    <e v="#NAME?"/>
    <x v="12"/>
    <n v="0.5"/>
  </r>
  <r>
    <s v="CE69380"/>
    <x v="96"/>
    <s v="CIB &amp; COMEX - FIDUCIARIA"/>
    <x v="1"/>
    <x v="4"/>
    <e v="#NAME?"/>
    <x v="34"/>
    <n v="0.3"/>
  </r>
  <r>
    <s v="CE69377"/>
    <x v="97"/>
    <s v="CIB &amp; COMEX - FIDUCIARIA"/>
    <x v="1"/>
    <x v="4"/>
    <e v="#NAME?"/>
    <x v="12"/>
    <n v="0.4"/>
  </r>
  <r>
    <s v="CE64877"/>
    <x v="98"/>
    <s v="CIB &amp; COMEX - FIDUCIARIA"/>
    <x v="1"/>
    <x v="4"/>
    <e v="#NAME?"/>
    <x v="32"/>
    <n v="0.3"/>
  </r>
  <r>
    <s v="CE64378"/>
    <x v="99"/>
    <s v="CIB &amp; COMEX - FIDUCIARIA"/>
    <x v="1"/>
    <x v="4"/>
    <e v="#NAME?"/>
    <x v="33"/>
    <n v="0.25"/>
  </r>
  <r>
    <s v="CE64378"/>
    <x v="99"/>
    <s v="CIB &amp; COMEX - FIDUCIARIA"/>
    <x v="1"/>
    <x v="4"/>
    <e v="#NAME?"/>
    <x v="34"/>
    <n v="0.25"/>
  </r>
  <r>
    <s v="CE55477"/>
    <x v="100"/>
    <s v="ENTERPRISE"/>
    <x v="4"/>
    <x v="1"/>
    <e v="#NAME?"/>
    <x v="3"/>
    <n v="1"/>
  </r>
  <r>
    <s v="T002794"/>
    <x v="101"/>
    <s v="ENTERPRISE"/>
    <x v="4"/>
    <x v="7"/>
    <e v="#NAME?"/>
    <x v="3"/>
    <n v="1"/>
  </r>
  <r>
    <s v="CE69114"/>
    <x v="102"/>
    <s v="ENTERPRISE"/>
    <x v="4"/>
    <x v="7"/>
    <e v="#NAME?"/>
    <x v="3"/>
    <n v="1"/>
  </r>
  <r>
    <s v="O001973"/>
    <x v="103"/>
    <s v="ENTERPRISE"/>
    <x v="4"/>
    <x v="0"/>
    <e v="#NAME?"/>
    <x v="3"/>
    <n v="1"/>
  </r>
  <r>
    <s v="C805971"/>
    <x v="104"/>
    <s v="ENTERPRISE"/>
    <x v="4"/>
    <x v="0"/>
    <e v="#NAME?"/>
    <x v="3"/>
    <n v="1"/>
  </r>
  <r>
    <s v="C805925"/>
    <x v="65"/>
    <s v="ENTERPRISE"/>
    <x v="4"/>
    <x v="0"/>
    <e v="#NAME?"/>
    <x v="3"/>
    <n v="0.75"/>
  </r>
  <r>
    <s v="C810899"/>
    <x v="105"/>
    <s v="ENTERPRISE"/>
    <x v="4"/>
    <x v="0"/>
    <e v="#NAME?"/>
    <x v="3"/>
    <n v="1"/>
  </r>
  <r>
    <s v="C802949"/>
    <x v="106"/>
    <s v="CFS"/>
    <x v="5"/>
    <x v="0"/>
    <e v="#NAME?"/>
    <x v="3"/>
    <n v="1"/>
  </r>
  <r>
    <s v="O000118"/>
    <x v="107"/>
    <s v="CFS"/>
    <x v="5"/>
    <x v="0"/>
    <e v="#NAME?"/>
    <x v="3"/>
    <n v="1"/>
  </r>
  <r>
    <s v="O001384"/>
    <x v="108"/>
    <s v="CFS"/>
    <x v="5"/>
    <x v="0"/>
    <e v="#NAME?"/>
    <x v="3"/>
    <n v="1"/>
  </r>
  <r>
    <s v="T002204"/>
    <x v="109"/>
    <s v="CFS"/>
    <x v="5"/>
    <x v="8"/>
    <e v="#NAME?"/>
    <x v="3"/>
    <n v="1"/>
  </r>
  <r>
    <s v="CE64919"/>
    <x v="110"/>
    <s v="CFS"/>
    <x v="5"/>
    <x v="8"/>
    <e v="#NAME?"/>
    <x v="3"/>
    <n v="1"/>
  </r>
  <r>
    <s v="CE68692"/>
    <x v="111"/>
    <s v="CFS"/>
    <x v="5"/>
    <x v="8"/>
    <e v="#NAME?"/>
    <x v="3"/>
    <n v="1"/>
  </r>
  <r>
    <s v="CE62655"/>
    <x v="112"/>
    <s v="CFS"/>
    <x v="5"/>
    <x v="8"/>
    <e v="#NAME?"/>
    <x v="3"/>
    <n v="1"/>
  </r>
  <r>
    <s v="CE60804"/>
    <x v="113"/>
    <s v="CFS"/>
    <x v="5"/>
    <x v="8"/>
    <e v="#NAME?"/>
    <x v="3"/>
    <n v="0.5"/>
  </r>
  <r>
    <s v="CE66288"/>
    <x v="114"/>
    <s v="CFS"/>
    <x v="5"/>
    <x v="9"/>
    <e v="#NAME?"/>
    <x v="3"/>
    <n v="1"/>
  </r>
  <r>
    <s v="O003229"/>
    <x v="115"/>
    <s v="CFS"/>
    <x v="6"/>
    <x v="0"/>
    <e v="#NAME?"/>
    <x v="35"/>
    <n v="0.1"/>
  </r>
  <r>
    <s v="O003229"/>
    <x v="115"/>
    <s v="CFS"/>
    <x v="6"/>
    <x v="0"/>
    <e v="#NAME?"/>
    <x v="36"/>
    <n v="0.1"/>
  </r>
  <r>
    <s v="O003229"/>
    <x v="115"/>
    <s v="CFS"/>
    <x v="6"/>
    <x v="0"/>
    <e v="#NAME?"/>
    <x v="37"/>
    <n v="0.1"/>
  </r>
  <r>
    <s v="O003229"/>
    <x v="115"/>
    <s v="CFS"/>
    <x v="6"/>
    <x v="0"/>
    <e v="#NAME?"/>
    <x v="38"/>
    <n v="0.25"/>
  </r>
  <r>
    <s v="O003230"/>
    <x v="115"/>
    <s v="CFS"/>
    <x v="6"/>
    <x v="0"/>
    <e v="#NAME?"/>
    <x v="39"/>
    <n v="0.25"/>
  </r>
  <r>
    <s v="O003231"/>
    <x v="115"/>
    <s v="CFS"/>
    <x v="6"/>
    <x v="0"/>
    <e v="#NAME?"/>
    <x v="40"/>
    <n v="0.1"/>
  </r>
  <r>
    <s v="O003232"/>
    <x v="115"/>
    <s v="CFS"/>
    <x v="6"/>
    <x v="0"/>
    <e v="#NAME?"/>
    <x v="41"/>
    <n v="0.1"/>
  </r>
  <r>
    <s v="C811263"/>
    <x v="116"/>
    <s v="CFS"/>
    <x v="6"/>
    <x v="0"/>
    <e v="#NAME?"/>
    <x v="38"/>
    <n v="0.5"/>
  </r>
  <r>
    <s v="C811263"/>
    <x v="116"/>
    <s v="CFS"/>
    <x v="6"/>
    <x v="0"/>
    <e v="#NAME?"/>
    <x v="39"/>
    <n v="0.5"/>
  </r>
  <r>
    <s v="T010294"/>
    <x v="117"/>
    <s v="CFS"/>
    <x v="6"/>
    <x v="6"/>
    <e v="#NAME?"/>
    <x v="35"/>
    <n v="1"/>
  </r>
  <r>
    <s v="C341767"/>
    <x v="118"/>
    <s v="CFS"/>
    <x v="6"/>
    <x v="0"/>
    <e v="#NAME?"/>
    <x v="37"/>
    <n v="0.5"/>
  </r>
  <r>
    <s v="C341767"/>
    <x v="118"/>
    <s v="CFS"/>
    <x v="6"/>
    <x v="0"/>
    <e v="#NAME?"/>
    <x v="41"/>
    <n v="0.25"/>
  </r>
  <r>
    <s v="C341767"/>
    <x v="118"/>
    <s v="CFS"/>
    <x v="6"/>
    <x v="0"/>
    <e v="#NAME?"/>
    <x v="40"/>
    <n v="0.25"/>
  </r>
  <r>
    <s v="T002802"/>
    <x v="119"/>
    <s v="CFS"/>
    <x v="6"/>
    <x v="6"/>
    <e v="#NAME?"/>
    <x v="35"/>
    <n v="1"/>
  </r>
  <r>
    <s v="T010289"/>
    <x v="120"/>
    <s v="CFS"/>
    <x v="6"/>
    <x v="6"/>
    <e v="#NAME?"/>
    <x v="35"/>
    <n v="1"/>
  </r>
  <r>
    <s v="CE70901"/>
    <x v="121"/>
    <s v="CFS"/>
    <x v="6"/>
    <x v="6"/>
    <e v="#NAME?"/>
    <x v="35"/>
    <n v="1"/>
  </r>
  <r>
    <s v="T002449"/>
    <x v="122"/>
    <s v="CFS"/>
    <x v="6"/>
    <x v="6"/>
    <e v="#NAME?"/>
    <x v="35"/>
    <n v="1"/>
  </r>
  <r>
    <s v="C811290"/>
    <x v="123"/>
    <s v="CFS"/>
    <x v="6"/>
    <x v="0"/>
    <e v="#NAME?"/>
    <x v="36"/>
    <n v="1"/>
  </r>
  <r>
    <s v="C804221"/>
    <x v="124"/>
    <s v="CFS"/>
    <x v="6"/>
    <x v="0"/>
    <e v="#NAME?"/>
    <x v="35"/>
    <n v="1"/>
  </r>
  <r>
    <s v="CE66796"/>
    <x v="125"/>
    <s v="CFS"/>
    <x v="6"/>
    <x v="6"/>
    <e v="#NAME?"/>
    <x v="35"/>
    <n v="1"/>
  </r>
  <r>
    <s v="C805333"/>
    <x v="126"/>
    <s v="CFS"/>
    <x v="6"/>
    <x v="0"/>
    <e v="#NAME?"/>
    <x v="35"/>
    <n v="1"/>
  </r>
  <r>
    <s v="T010288"/>
    <x v="127"/>
    <s v="CFS"/>
    <x v="6"/>
    <x v="6"/>
    <e v="#NAME?"/>
    <x v="35"/>
    <n v="1"/>
  </r>
  <r>
    <s v="T003286"/>
    <x v="128"/>
    <s v="CFS"/>
    <x v="6"/>
    <x v="6"/>
    <e v="#NAME?"/>
    <x v="35"/>
    <n v="1"/>
  </r>
  <r>
    <s v="C783729"/>
    <x v="129"/>
    <s v="CFS"/>
    <x v="7"/>
    <x v="0"/>
    <e v="#NAME?"/>
    <x v="42"/>
    <n v="0.4"/>
  </r>
  <r>
    <s v="C783729"/>
    <x v="129"/>
    <s v="CFS"/>
    <x v="7"/>
    <x v="0"/>
    <e v="#NAME?"/>
    <x v="43"/>
    <n v="0.1"/>
  </r>
  <r>
    <s v="C783729"/>
    <x v="129"/>
    <s v="CFS"/>
    <x v="7"/>
    <x v="0"/>
    <e v="#NAME?"/>
    <x v="44"/>
    <n v="0.1"/>
  </r>
  <r>
    <s v="C783729"/>
    <x v="129"/>
    <s v="CFS"/>
    <x v="7"/>
    <x v="0"/>
    <e v="#NAME?"/>
    <x v="45"/>
    <n v="0.2"/>
  </r>
  <r>
    <s v="C783729"/>
    <x v="129"/>
    <s v="CFS"/>
    <x v="7"/>
    <x v="0"/>
    <e v="#NAME?"/>
    <x v="46"/>
    <n v="0.1"/>
  </r>
  <r>
    <s v="C783729"/>
    <x v="129"/>
    <s v="CFS"/>
    <x v="7"/>
    <x v="0"/>
    <e v="#NAME?"/>
    <x v="47"/>
    <n v="0.1"/>
  </r>
  <r>
    <s v="C808788"/>
    <x v="130"/>
    <s v="CFS"/>
    <x v="7"/>
    <x v="0"/>
    <e v="#NAME?"/>
    <x v="42"/>
    <n v="0.4"/>
  </r>
  <r>
    <s v="C808788"/>
    <x v="130"/>
    <s v="CFS"/>
    <x v="7"/>
    <x v="0"/>
    <e v="#NAME?"/>
    <x v="43"/>
    <n v="0.1"/>
  </r>
  <r>
    <s v="C808788"/>
    <x v="130"/>
    <s v="CFS"/>
    <x v="7"/>
    <x v="0"/>
    <e v="#NAME?"/>
    <x v="44"/>
    <n v="0.1"/>
  </r>
  <r>
    <s v="C808788"/>
    <x v="130"/>
    <s v="CFS"/>
    <x v="7"/>
    <x v="0"/>
    <e v="#NAME?"/>
    <x v="45"/>
    <n v="0.4"/>
  </r>
  <r>
    <s v="C809493"/>
    <x v="131"/>
    <s v="CFS"/>
    <x v="7"/>
    <x v="0"/>
    <e v="#NAME?"/>
    <x v="42"/>
    <n v="0.3"/>
  </r>
  <r>
    <s v="C809493"/>
    <x v="131"/>
    <s v="CFS"/>
    <x v="7"/>
    <x v="0"/>
    <e v="#NAME?"/>
    <x v="47"/>
    <n v="0.1"/>
  </r>
  <r>
    <s v="C809493"/>
    <x v="131"/>
    <s v="CFS"/>
    <x v="7"/>
    <x v="0"/>
    <e v="#NAME?"/>
    <x v="45"/>
    <n v="0.5"/>
  </r>
  <r>
    <s v="C809493"/>
    <x v="131"/>
    <s v="CFS"/>
    <x v="7"/>
    <x v="0"/>
    <e v="#NAME?"/>
    <x v="46"/>
    <n v="0.1"/>
  </r>
  <r>
    <s v="O002594"/>
    <x v="132"/>
    <s v="CFS"/>
    <x v="7"/>
    <x v="0"/>
    <e v="#NAME?"/>
    <x v="45"/>
    <n v="0.4"/>
  </r>
  <r>
    <s v="O002594"/>
    <x v="132"/>
    <s v="CFS"/>
    <x v="7"/>
    <x v="0"/>
    <e v="#NAME?"/>
    <x v="46"/>
    <n v="0.3"/>
  </r>
  <r>
    <s v="O002594"/>
    <x v="132"/>
    <s v="CFS"/>
    <x v="7"/>
    <x v="0"/>
    <e v="#NAME?"/>
    <x v="47"/>
    <n v="0.3"/>
  </r>
  <r>
    <s v="CE63761"/>
    <x v="133"/>
    <s v="CFS"/>
    <x v="7"/>
    <x v="10"/>
    <e v="#NAME?"/>
    <x v="42"/>
    <n v="1"/>
  </r>
  <r>
    <s v="T002735"/>
    <x v="134"/>
    <s v="CFS"/>
    <x v="7"/>
    <x v="11"/>
    <e v="#NAME?"/>
    <x v="42"/>
    <n v="1"/>
  </r>
  <r>
    <s v="T005769"/>
    <x v="135"/>
    <s v="CFS"/>
    <x v="7"/>
    <x v="11"/>
    <e v="#NAME?"/>
    <x v="42"/>
    <n v="1"/>
  </r>
  <r>
    <s v="CE62655"/>
    <x v="136"/>
    <s v="CFS"/>
    <x v="7"/>
    <x v="8"/>
    <e v="#NAME?"/>
    <x v="48"/>
    <n v="0.5"/>
  </r>
  <r>
    <s v="T005766"/>
    <x v="137"/>
    <s v="CFS"/>
    <x v="7"/>
    <x v="11"/>
    <e v="#NAME?"/>
    <x v="42"/>
    <n v="1"/>
  </r>
  <r>
    <s v="CE56090"/>
    <x v="138"/>
    <s v="CFS"/>
    <x v="7"/>
    <x v="10"/>
    <e v="#NAME?"/>
    <x v="42"/>
    <n v="1"/>
  </r>
  <r>
    <s v="T002734"/>
    <x v="139"/>
    <s v="CFS"/>
    <x v="7"/>
    <x v="11"/>
    <e v="#NAME?"/>
    <x v="42"/>
    <n v="1"/>
  </r>
  <r>
    <s v="T005765"/>
    <x v="140"/>
    <s v="CFS"/>
    <x v="7"/>
    <x v="11"/>
    <e v="#NAME?"/>
    <x v="42"/>
    <n v="1"/>
  </r>
  <r>
    <s v="T005931"/>
    <x v="141"/>
    <s v="CFS"/>
    <x v="7"/>
    <x v="9"/>
    <e v="#NAME?"/>
    <x v="42"/>
    <n v="0.1"/>
  </r>
  <r>
    <s v="T005931"/>
    <x v="141"/>
    <s v="CFS"/>
    <x v="7"/>
    <x v="9"/>
    <e v="#NAME?"/>
    <x v="43"/>
    <n v="0.1"/>
  </r>
  <r>
    <s v="T005931"/>
    <x v="141"/>
    <s v="CFS"/>
    <x v="7"/>
    <x v="9"/>
    <e v="#NAME?"/>
    <x v="45"/>
    <n v="0.1"/>
  </r>
  <r>
    <s v="T005931"/>
    <x v="141"/>
    <s v="CFS"/>
    <x v="7"/>
    <x v="9"/>
    <e v="#NAME?"/>
    <x v="46"/>
    <n v="0.1"/>
  </r>
  <r>
    <s v="CE68547"/>
    <x v="142"/>
    <s v="CFS"/>
    <x v="7"/>
    <x v="2"/>
    <e v="#NAME?"/>
    <x v="42"/>
    <n v="0.1"/>
  </r>
  <r>
    <s v="CE68547"/>
    <x v="142"/>
    <s v="CFS"/>
    <x v="7"/>
    <x v="2"/>
    <e v="#NAME?"/>
    <x v="43"/>
    <n v="0.1"/>
  </r>
  <r>
    <s v="CE68547"/>
    <x v="142"/>
    <s v="CFS"/>
    <x v="7"/>
    <x v="2"/>
    <e v="#NAME?"/>
    <x v="45"/>
    <n v="0.1"/>
  </r>
  <r>
    <s v="CE68547"/>
    <x v="142"/>
    <s v="CFS"/>
    <x v="7"/>
    <x v="2"/>
    <e v="#NAME?"/>
    <x v="46"/>
    <n v="0.1"/>
  </r>
  <r>
    <s v="CE46213"/>
    <x v="143"/>
    <s v="CFS"/>
    <x v="7"/>
    <x v="12"/>
    <e v="#NAME?"/>
    <x v="45"/>
    <n v="1"/>
  </r>
  <r>
    <s v="T000603"/>
    <x v="144"/>
    <s v="CFS"/>
    <x v="7"/>
    <x v="12"/>
    <e v="#NAME?"/>
    <x v="45"/>
    <n v="1"/>
  </r>
  <r>
    <s v="CE70371"/>
    <x v="145"/>
    <s v="CFS"/>
    <x v="7"/>
    <x v="12"/>
    <e v="#NAME?"/>
    <x v="45"/>
    <n v="1"/>
  </r>
  <r>
    <s v="C341759"/>
    <x v="146"/>
    <s v="CFS"/>
    <x v="5"/>
    <x v="0"/>
    <e v="#NAME?"/>
    <x v="49"/>
    <n v="0.05"/>
  </r>
  <r>
    <s v="C341759"/>
    <x v="146"/>
    <s v="CFS"/>
    <x v="5"/>
    <x v="0"/>
    <e v="#NAME?"/>
    <x v="50"/>
    <n v="0.1"/>
  </r>
  <r>
    <s v="C341759"/>
    <x v="146"/>
    <s v="CFS"/>
    <x v="5"/>
    <x v="0"/>
    <e v="#NAME?"/>
    <x v="51"/>
    <n v="0.1"/>
  </r>
  <r>
    <s v="C341759"/>
    <x v="146"/>
    <s v="CFS"/>
    <x v="5"/>
    <x v="0"/>
    <e v="#NAME?"/>
    <x v="52"/>
    <n v="0.05"/>
  </r>
  <r>
    <s v="C341759"/>
    <x v="146"/>
    <s v="CFS"/>
    <x v="5"/>
    <x v="0"/>
    <e v="#NAME?"/>
    <x v="53"/>
    <n v="0.1"/>
  </r>
  <r>
    <s v="C341759"/>
    <x v="146"/>
    <s v="CFS"/>
    <x v="5"/>
    <x v="0"/>
    <e v="#NAME?"/>
    <x v="1"/>
    <n v="0.1"/>
  </r>
  <r>
    <s v="C341759"/>
    <x v="146"/>
    <s v="CFS"/>
    <x v="5"/>
    <x v="0"/>
    <e v="#NAME?"/>
    <x v="54"/>
    <n v="0.05"/>
  </r>
  <r>
    <s v="C341759"/>
    <x v="146"/>
    <s v="CFS"/>
    <x v="5"/>
    <x v="0"/>
    <e v="#NAME?"/>
    <x v="55"/>
    <n v="0.05"/>
  </r>
  <r>
    <s v="C341759"/>
    <x v="146"/>
    <s v="CFS"/>
    <x v="5"/>
    <x v="0"/>
    <e v="#NAME?"/>
    <x v="56"/>
    <n v="0.1"/>
  </r>
  <r>
    <s v="C341759"/>
    <x v="146"/>
    <s v="CFS"/>
    <x v="5"/>
    <x v="0"/>
    <e v="#NAME?"/>
    <x v="57"/>
    <n v="0.05"/>
  </r>
  <r>
    <s v="C341759"/>
    <x v="146"/>
    <s v="CFS"/>
    <x v="5"/>
    <x v="0"/>
    <e v="#NAME?"/>
    <x v="58"/>
    <n v="0.05"/>
  </r>
  <r>
    <s v="C341759"/>
    <x v="146"/>
    <s v="CFS"/>
    <x v="5"/>
    <x v="0"/>
    <e v="#NAME?"/>
    <x v="59"/>
    <n v="0.05"/>
  </r>
  <r>
    <s v="C341759"/>
    <x v="146"/>
    <s v="CFS"/>
    <x v="5"/>
    <x v="0"/>
    <e v="#NAME?"/>
    <x v="60"/>
    <n v="0.05"/>
  </r>
  <r>
    <s v="C341759"/>
    <x v="146"/>
    <s v="CFS"/>
    <x v="5"/>
    <x v="0"/>
    <e v="#NAME?"/>
    <x v="61"/>
    <n v="0.05"/>
  </r>
  <r>
    <s v="C341759"/>
    <x v="146"/>
    <s v="CFS"/>
    <x v="5"/>
    <x v="0"/>
    <e v="#NAME?"/>
    <x v="62"/>
    <n v="0.05"/>
  </r>
  <r>
    <s v="O001639"/>
    <x v="147"/>
    <s v="CFS"/>
    <x v="5"/>
    <x v="0"/>
    <e v="#NAME?"/>
    <x v="48"/>
    <n v="0.25"/>
  </r>
  <r>
    <s v="O001639"/>
    <x v="147"/>
    <s v="CFS"/>
    <x v="5"/>
    <x v="0"/>
    <e v="#NAME?"/>
    <x v="1"/>
    <n v="0.5"/>
  </r>
  <r>
    <s v="O001639"/>
    <x v="147"/>
    <s v="CFS"/>
    <x v="5"/>
    <x v="0"/>
    <e v="#NAME?"/>
    <x v="56"/>
    <n v="0.25"/>
  </r>
  <r>
    <s v="C809546"/>
    <x v="148"/>
    <s v="CFS"/>
    <x v="5"/>
    <x v="0"/>
    <e v="#NAME?"/>
    <x v="48"/>
    <n v="0.05"/>
  </r>
  <r>
    <s v="C809546"/>
    <x v="148"/>
    <s v="CFS"/>
    <x v="5"/>
    <x v="0"/>
    <e v="#NAME?"/>
    <x v="54"/>
    <n v="0.05"/>
  </r>
  <r>
    <s v="C809546"/>
    <x v="148"/>
    <s v="CFS"/>
    <x v="5"/>
    <x v="0"/>
    <e v="#NAME?"/>
    <x v="55"/>
    <n v="0.05"/>
  </r>
  <r>
    <s v="C809546"/>
    <x v="148"/>
    <s v="CFS"/>
    <x v="5"/>
    <x v="0"/>
    <e v="#NAME?"/>
    <x v="53"/>
    <n v="0.05"/>
  </r>
  <r>
    <s v="C809546"/>
    <x v="148"/>
    <s v="CFS"/>
    <x v="5"/>
    <x v="0"/>
    <e v="#NAME?"/>
    <x v="50"/>
    <n v="0.05"/>
  </r>
  <r>
    <s v="C809546"/>
    <x v="148"/>
    <s v="CFS"/>
    <x v="5"/>
    <x v="0"/>
    <e v="#NAME?"/>
    <x v="57"/>
    <n v="0.75"/>
  </r>
  <r>
    <s v="C811405"/>
    <x v="149"/>
    <s v="CFS"/>
    <x v="5"/>
    <x v="0"/>
    <e v="#NAME?"/>
    <x v="49"/>
    <n v="1"/>
  </r>
  <r>
    <s v="C804743"/>
    <x v="150"/>
    <s v="CFS"/>
    <x v="5"/>
    <x v="0"/>
    <e v="#NAME?"/>
    <x v="61"/>
    <n v="0.05"/>
  </r>
  <r>
    <s v="C804743"/>
    <x v="150"/>
    <s v="CFS"/>
    <x v="5"/>
    <x v="0"/>
    <e v="#NAME?"/>
    <x v="57"/>
    <n v="0.25"/>
  </r>
  <r>
    <s v="C804743"/>
    <x v="150"/>
    <s v="CFS"/>
    <x v="5"/>
    <x v="0"/>
    <e v="#NAME?"/>
    <x v="49"/>
    <n v="0.7"/>
  </r>
  <r>
    <s v="C343619"/>
    <x v="151"/>
    <s v="CFS"/>
    <x v="5"/>
    <x v="0"/>
    <e v="#NAME?"/>
    <x v="51"/>
    <n v="0.25"/>
  </r>
  <r>
    <s v="C343619"/>
    <x v="151"/>
    <s v="CFS"/>
    <x v="5"/>
    <x v="0"/>
    <e v="#NAME?"/>
    <x v="50"/>
    <n v="0.25"/>
  </r>
  <r>
    <s v="C343619"/>
    <x v="151"/>
    <s v="CFS"/>
    <x v="5"/>
    <x v="0"/>
    <e v="#NAME?"/>
    <x v="52"/>
    <n v="0.25"/>
  </r>
  <r>
    <s v="C343619"/>
    <x v="151"/>
    <s v="CFS"/>
    <x v="5"/>
    <x v="0"/>
    <e v="#NAME?"/>
    <x v="53"/>
    <n v="0.25"/>
  </r>
  <r>
    <s v="O003311"/>
    <x v="152"/>
    <s v="CFS"/>
    <x v="5"/>
    <x v="0"/>
    <e v="#NAME?"/>
    <x v="32"/>
    <n v="0.5"/>
  </r>
  <r>
    <s v="O003311"/>
    <x v="152"/>
    <s v="CFS"/>
    <x v="5"/>
    <x v="0"/>
    <e v="#NAME?"/>
    <x v="60"/>
    <n v="0.05"/>
  </r>
  <r>
    <s v="O003311"/>
    <x v="152"/>
    <s v="CFS"/>
    <x v="5"/>
    <x v="0"/>
    <e v="#NAME?"/>
    <x v="61"/>
    <n v="0.25"/>
  </r>
  <r>
    <s v="O003311"/>
    <x v="152"/>
    <s v="CFS"/>
    <x v="5"/>
    <x v="0"/>
    <e v="#NAME?"/>
    <x v="62"/>
    <n v="0.2"/>
  </r>
  <r>
    <s v="C803834"/>
    <x v="153"/>
    <s v="CFS"/>
    <x v="5"/>
    <x v="0"/>
    <e v="#NAME?"/>
    <x v="59"/>
    <n v="0.25"/>
  </r>
  <r>
    <s v="C803834"/>
    <x v="153"/>
    <s v="CFS"/>
    <x v="5"/>
    <x v="0"/>
    <e v="#NAME?"/>
    <x v="57"/>
    <n v="0.5"/>
  </r>
  <r>
    <s v="C803834"/>
    <x v="153"/>
    <s v="CFS"/>
    <x v="5"/>
    <x v="0"/>
    <e v="#NAME?"/>
    <x v="32"/>
    <n v="0.15"/>
  </r>
  <r>
    <s v="C803834"/>
    <x v="153"/>
    <s v="CFS"/>
    <x v="5"/>
    <x v="0"/>
    <e v="#NAME?"/>
    <x v="61"/>
    <n v="0.1"/>
  </r>
  <r>
    <s v="C808860"/>
    <x v="154"/>
    <s v="CFS"/>
    <x v="5"/>
    <x v="0"/>
    <e v="#NAME?"/>
    <x v="53"/>
    <n v="0.1"/>
  </r>
  <r>
    <s v="C808860"/>
    <x v="154"/>
    <s v="CFS"/>
    <x v="5"/>
    <x v="0"/>
    <e v="#NAME?"/>
    <x v="50"/>
    <n v="0.05"/>
  </r>
  <r>
    <s v="C808860"/>
    <x v="154"/>
    <s v="CFS"/>
    <x v="5"/>
    <x v="0"/>
    <e v="#NAME?"/>
    <x v="51"/>
    <n v="0.5"/>
  </r>
  <r>
    <s v="C808860"/>
    <x v="154"/>
    <s v="CFS"/>
    <x v="5"/>
    <x v="0"/>
    <e v="#NAME?"/>
    <x v="52"/>
    <n v="0.1"/>
  </r>
  <r>
    <s v="C808860"/>
    <x v="154"/>
    <s v="CFS"/>
    <x v="5"/>
    <x v="0"/>
    <e v="#NAME?"/>
    <x v="1"/>
    <n v="0.25"/>
  </r>
  <r>
    <s v="C810765"/>
    <x v="155"/>
    <s v="CFS"/>
    <x v="5"/>
    <x v="0"/>
    <e v="#NAME?"/>
    <x v="53"/>
    <n v="0.5"/>
  </r>
  <r>
    <s v="C810765"/>
    <x v="155"/>
    <s v="CFS"/>
    <x v="8"/>
    <x v="0"/>
    <e v="#NAME?"/>
    <x v="3"/>
    <n v="0.5"/>
  </r>
  <r>
    <s v="CE66053"/>
    <x v="156"/>
    <s v="CFS"/>
    <x v="5"/>
    <x v="9"/>
    <e v="#NAME?"/>
    <x v="52"/>
    <n v="1"/>
  </r>
  <r>
    <s v="T005396"/>
    <x v="157"/>
    <s v="CFS"/>
    <x v="5"/>
    <x v="9"/>
    <e v="#NAME?"/>
    <x v="53"/>
    <n v="1"/>
  </r>
  <r>
    <s v="T005394"/>
    <x v="158"/>
    <s v="CFS"/>
    <x v="5"/>
    <x v="9"/>
    <e v="#NAME?"/>
    <x v="53"/>
    <n v="1"/>
  </r>
  <r>
    <s v="CE69136"/>
    <x v="159"/>
    <s v="CFS"/>
    <x v="5"/>
    <x v="9"/>
    <e v="#NAME?"/>
    <x v="50"/>
    <n v="1"/>
  </r>
  <r>
    <s v="T005393"/>
    <x v="160"/>
    <s v="CFS"/>
    <x v="5"/>
    <x v="9"/>
    <e v="#NAME?"/>
    <x v="51"/>
    <n v="1"/>
  </r>
  <r>
    <s v="T005395"/>
    <x v="161"/>
    <s v="CFS"/>
    <x v="5"/>
    <x v="9"/>
    <e v="#NAME?"/>
    <x v="52"/>
    <n v="1"/>
  </r>
  <r>
    <s v="CE70161"/>
    <x v="162"/>
    <s v="CFS"/>
    <x v="5"/>
    <x v="9"/>
    <e v="#NAME?"/>
    <x v="50"/>
    <n v="1"/>
  </r>
  <r>
    <s v="CE52035"/>
    <x v="163"/>
    <s v="CFS"/>
    <x v="5"/>
    <x v="9"/>
    <e v="#NAME?"/>
    <x v="50"/>
    <n v="0.25"/>
  </r>
  <r>
    <s v="CE52035"/>
    <x v="163"/>
    <s v="CFS"/>
    <x v="5"/>
    <x v="9"/>
    <e v="#NAME?"/>
    <x v="52"/>
    <n v="0.25"/>
  </r>
  <r>
    <s v="CE52035"/>
    <x v="163"/>
    <s v="CFS"/>
    <x v="5"/>
    <x v="9"/>
    <e v="#NAME?"/>
    <x v="53"/>
    <n v="0.25"/>
  </r>
  <r>
    <s v="CE52035"/>
    <x v="163"/>
    <s v="CFS"/>
    <x v="5"/>
    <x v="9"/>
    <e v="#NAME?"/>
    <x v="51"/>
    <n v="0.25"/>
  </r>
  <r>
    <s v="CE27209"/>
    <x v="164"/>
    <s v="CFS"/>
    <x v="5"/>
    <x v="9"/>
    <e v="#NAME?"/>
    <x v="53"/>
    <n v="1"/>
  </r>
  <r>
    <s v="CE58625"/>
    <x v="165"/>
    <s v="CFS"/>
    <x v="5"/>
    <x v="9"/>
    <e v="#NAME?"/>
    <x v="53"/>
    <n v="1"/>
  </r>
  <r>
    <s v="T004566"/>
    <x v="166"/>
    <s v="CFS"/>
    <x v="5"/>
    <x v="9"/>
    <e v="#NAME?"/>
    <x v="51"/>
    <n v="1"/>
  </r>
  <r>
    <s v="CE66458"/>
    <x v="167"/>
    <s v="CFS"/>
    <x v="5"/>
    <x v="5"/>
    <e v="#NAME?"/>
    <x v="51"/>
    <n v="1"/>
  </r>
  <r>
    <s v="CE67101"/>
    <x v="168"/>
    <s v="CFS"/>
    <x v="5"/>
    <x v="5"/>
    <e v="#NAME?"/>
    <x v="50"/>
    <n v="1"/>
  </r>
  <r>
    <s v="CE64507"/>
    <x v="169"/>
    <s v="CFS"/>
    <x v="5"/>
    <x v="5"/>
    <e v="#NAME?"/>
    <x v="52"/>
    <n v="1"/>
  </r>
  <r>
    <s v="CE59467"/>
    <x v="170"/>
    <s v="CFS"/>
    <x v="5"/>
    <x v="5"/>
    <e v="#NAME?"/>
    <x v="53"/>
    <n v="1"/>
  </r>
  <r>
    <s v="CE66798"/>
    <x v="171"/>
    <s v="CFS"/>
    <x v="5"/>
    <x v="1"/>
    <e v="#NAME?"/>
    <x v="53"/>
    <n v="1"/>
  </r>
  <r>
    <s v="T005931"/>
    <x v="141"/>
    <s v="CFS"/>
    <x v="5"/>
    <x v="9"/>
    <e v="#NAME?"/>
    <x v="49"/>
    <n v="0.1"/>
  </r>
  <r>
    <s v="T005931"/>
    <x v="141"/>
    <s v="CFS"/>
    <x v="5"/>
    <x v="9"/>
    <e v="#NAME?"/>
    <x v="32"/>
    <n v="0.1"/>
  </r>
  <r>
    <s v="T005931"/>
    <x v="141"/>
    <s v="CFS"/>
    <x v="5"/>
    <x v="9"/>
    <e v="#NAME?"/>
    <x v="61"/>
    <n v="0.1"/>
  </r>
  <r>
    <s v="T005931"/>
    <x v="141"/>
    <s v="CFS"/>
    <x v="5"/>
    <x v="9"/>
    <e v="#NAME?"/>
    <x v="57"/>
    <n v="0.1"/>
  </r>
  <r>
    <s v="T005931"/>
    <x v="141"/>
    <s v="CFS"/>
    <x v="5"/>
    <x v="9"/>
    <e v="#NAME?"/>
    <x v="1"/>
    <n v="0.1"/>
  </r>
  <r>
    <s v="CE68547"/>
    <x v="142"/>
    <s v="CFS"/>
    <x v="5"/>
    <x v="2"/>
    <e v="#NAME?"/>
    <x v="49"/>
    <n v="0.1"/>
  </r>
  <r>
    <s v="CE68547"/>
    <x v="142"/>
    <s v="CFS"/>
    <x v="5"/>
    <x v="2"/>
    <e v="#NAME?"/>
    <x v="32"/>
    <n v="0.1"/>
  </r>
  <r>
    <s v="CE68547"/>
    <x v="142"/>
    <s v="CFS"/>
    <x v="5"/>
    <x v="2"/>
    <e v="#NAME?"/>
    <x v="61"/>
    <n v="0.1"/>
  </r>
  <r>
    <s v="CE68547"/>
    <x v="142"/>
    <s v="CFS"/>
    <x v="5"/>
    <x v="2"/>
    <e v="#NAME?"/>
    <x v="57"/>
    <n v="0.1"/>
  </r>
  <r>
    <s v="CE68547"/>
    <x v="142"/>
    <s v="CFS"/>
    <x v="5"/>
    <x v="2"/>
    <e v="#NAME?"/>
    <x v="1"/>
    <n v="0.1"/>
  </r>
  <r>
    <s v="CE52434"/>
    <x v="172"/>
    <s v="CFS"/>
    <x v="5"/>
    <x v="5"/>
    <e v="#NAME?"/>
    <x v="32"/>
    <n v="1"/>
  </r>
  <r>
    <s v="CE68712"/>
    <x v="173"/>
    <s v="CFS"/>
    <x v="5"/>
    <x v="13"/>
    <e v="#NAME?"/>
    <x v="59"/>
    <n v="0.4"/>
  </r>
  <r>
    <s v="CE57396"/>
    <x v="174"/>
    <s v="CFS"/>
    <x v="5"/>
    <x v="13"/>
    <e v="#NAME?"/>
    <x v="32"/>
    <n v="0.25"/>
  </r>
  <r>
    <s v="CE57396"/>
    <x v="174"/>
    <s v="CFS"/>
    <x v="5"/>
    <x v="13"/>
    <e v="#NAME?"/>
    <x v="61"/>
    <n v="0.25"/>
  </r>
  <r>
    <s v="CE56879"/>
    <x v="175"/>
    <s v="CFS"/>
    <x v="5"/>
    <x v="13"/>
    <e v="#NAME?"/>
    <x v="6"/>
    <n v="1"/>
  </r>
  <r>
    <s v="T005749"/>
    <x v="176"/>
    <s v="CFS"/>
    <x v="5"/>
    <x v="13"/>
    <e v="#NAME?"/>
    <x v="61"/>
    <n v="1"/>
  </r>
  <r>
    <s v="CE62380"/>
    <x v="177"/>
    <s v="CFS"/>
    <x v="5"/>
    <x v="14"/>
    <e v="#NAME?"/>
    <x v="49"/>
    <n v="1"/>
  </r>
  <r>
    <s v="CE62112"/>
    <x v="178"/>
    <s v="CFS"/>
    <x v="5"/>
    <x v="14"/>
    <e v="#NAME?"/>
    <x v="49"/>
    <n v="1"/>
  </r>
  <r>
    <s v="T007669"/>
    <x v="179"/>
    <s v="CFS"/>
    <x v="5"/>
    <x v="12"/>
    <e v="#NAME?"/>
    <x v="57"/>
    <n v="1"/>
  </r>
  <r>
    <s v="T011483"/>
    <x v="180"/>
    <s v="CFS"/>
    <x v="5"/>
    <x v="5"/>
    <e v="#NAME?"/>
    <x v="49"/>
    <n v="1"/>
  </r>
  <r>
    <s v="CE47497"/>
    <x v="181"/>
    <s v="CORE"/>
    <x v="9"/>
    <x v="3"/>
    <e v="#NAME?"/>
    <x v="63"/>
    <n v="0.5"/>
  </r>
  <r>
    <s v="CE47497"/>
    <x v="181"/>
    <s v="CORE"/>
    <x v="9"/>
    <x v="3"/>
    <e v="#NAME?"/>
    <x v="20"/>
    <n v="0.5"/>
  </r>
  <r>
    <s v="O002467"/>
    <x v="182"/>
    <s v="CORE"/>
    <x v="9"/>
    <x v="0"/>
    <e v="#NAME?"/>
    <x v="64"/>
    <n v="1"/>
  </r>
  <r>
    <s v="O001638"/>
    <x v="183"/>
    <s v="CORE"/>
    <x v="9"/>
    <x v="0"/>
    <e v="#NAME?"/>
    <x v="64"/>
    <n v="1"/>
  </r>
  <r>
    <s v="C803933"/>
    <x v="184"/>
    <s v="CORE"/>
    <x v="9"/>
    <x v="0"/>
    <e v="#NAME?"/>
    <x v="63"/>
    <n v="0.75"/>
  </r>
  <r>
    <s v="C803933"/>
    <x v="184"/>
    <s v="CORE"/>
    <x v="9"/>
    <x v="0"/>
    <e v="#NAME?"/>
    <x v="65"/>
    <n v="0.25"/>
  </r>
  <r>
    <s v="C811277"/>
    <x v="185"/>
    <s v="CORE"/>
    <x v="9"/>
    <x v="0"/>
    <e v="#NAME?"/>
    <x v="66"/>
    <n v="0.75"/>
  </r>
  <r>
    <s v="C811277"/>
    <x v="185"/>
    <s v="CORE"/>
    <x v="9"/>
    <x v="0"/>
    <e v="#NAME?"/>
    <x v="67"/>
    <n v="0.25"/>
  </r>
  <r>
    <s v="C811304"/>
    <x v="186"/>
    <s v="CORE"/>
    <x v="9"/>
    <x v="0"/>
    <e v="#NAME?"/>
    <x v="68"/>
    <n v="1"/>
  </r>
  <r>
    <s v="CE64217"/>
    <x v="187"/>
    <s v="CORE"/>
    <x v="9"/>
    <x v="3"/>
    <e v="#NAME?"/>
    <x v="3"/>
    <n v="1"/>
  </r>
  <r>
    <s v="C802128"/>
    <x v="188"/>
    <s v="CORE"/>
    <x v="9"/>
    <x v="0"/>
    <e v="#NAME?"/>
    <x v="69"/>
    <n v="0.4"/>
  </r>
  <r>
    <s v="C802128"/>
    <x v="188"/>
    <s v="CORE"/>
    <x v="9"/>
    <x v="0"/>
    <e v="#NAME?"/>
    <x v="5"/>
    <n v="0.6"/>
  </r>
  <r>
    <s v="C797928"/>
    <x v="189"/>
    <s v="CORE"/>
    <x v="9"/>
    <x v="0"/>
    <e v="#NAME?"/>
    <x v="64"/>
    <n v="0.3"/>
  </r>
  <r>
    <s v="C797928"/>
    <x v="189"/>
    <s v="CORE"/>
    <x v="9"/>
    <x v="0"/>
    <e v="#NAME?"/>
    <x v="3"/>
    <n v="0.4"/>
  </r>
  <r>
    <s v="C797928"/>
    <x v="189"/>
    <s v="CORE"/>
    <x v="9"/>
    <x v="0"/>
    <e v="#NAME?"/>
    <x v="63"/>
    <n v="0.15"/>
  </r>
  <r>
    <s v="C797928"/>
    <x v="189"/>
    <s v="CORE"/>
    <x v="9"/>
    <x v="0"/>
    <e v="#NAME?"/>
    <x v="65"/>
    <n v="0.15"/>
  </r>
  <r>
    <s v="CE48051"/>
    <x v="190"/>
    <s v="CORE"/>
    <x v="9"/>
    <x v="6"/>
    <e v="#NAME?"/>
    <x v="67"/>
    <n v="0.25"/>
  </r>
  <r>
    <s v="CE48051"/>
    <x v="190"/>
    <s v="CORE"/>
    <x v="9"/>
    <x v="6"/>
    <e v="#NAME?"/>
    <x v="66"/>
    <n v="0.75"/>
  </r>
  <r>
    <s v="C343151"/>
    <x v="191"/>
    <s v="CORE"/>
    <x v="9"/>
    <x v="0"/>
    <e v="#NAME?"/>
    <x v="3"/>
    <n v="1"/>
  </r>
  <r>
    <s v="CE70143"/>
    <x v="192"/>
    <s v="CORE"/>
    <x v="9"/>
    <x v="15"/>
    <e v="#NAME?"/>
    <x v="68"/>
    <n v="1"/>
  </r>
  <r>
    <s v="C811389"/>
    <x v="193"/>
    <s v="CORE"/>
    <x v="9"/>
    <x v="0"/>
    <e v="#NAME?"/>
    <x v="70"/>
    <n v="0.65"/>
  </r>
  <r>
    <s v="C811389"/>
    <x v="193"/>
    <s v="CORE"/>
    <x v="9"/>
    <x v="0"/>
    <e v="#NAME?"/>
    <x v="20"/>
    <n v="0.2"/>
  </r>
  <r>
    <s v="C811389"/>
    <x v="193"/>
    <s v="CORE"/>
    <x v="9"/>
    <x v="0"/>
    <e v="#NAME?"/>
    <x v="3"/>
    <n v="0.15"/>
  </r>
  <r>
    <s v="CE50117"/>
    <x v="194"/>
    <s v="CORE"/>
    <x v="9"/>
    <x v="3"/>
    <e v="#NAME?"/>
    <x v="64"/>
    <n v="0.4"/>
  </r>
  <r>
    <s v="CE42593"/>
    <x v="195"/>
    <s v="CORE"/>
    <x v="9"/>
    <x v="3"/>
    <e v="#NAME?"/>
    <x v="3"/>
    <n v="1"/>
  </r>
  <r>
    <s v="C805565"/>
    <x v="196"/>
    <s v="CORE"/>
    <x v="9"/>
    <x v="0"/>
    <e v="#NAME?"/>
    <x v="20"/>
    <n v="0.2"/>
  </r>
  <r>
    <s v="C805565"/>
    <x v="196"/>
    <s v="CORE"/>
    <x v="9"/>
    <x v="0"/>
    <e v="#NAME?"/>
    <x v="71"/>
    <n v="0.5"/>
  </r>
  <r>
    <s v="C805565"/>
    <x v="196"/>
    <s v="CORE"/>
    <x v="9"/>
    <x v="0"/>
    <e v="#NAME?"/>
    <x v="72"/>
    <n v="0.3"/>
  </r>
  <r>
    <s v="C809506"/>
    <x v="197"/>
    <s v="CORE"/>
    <x v="9"/>
    <x v="0"/>
    <e v="#NAME?"/>
    <x v="3"/>
    <n v="1"/>
  </r>
  <r>
    <s v="O001222"/>
    <x v="198"/>
    <s v="CORE"/>
    <x v="9"/>
    <x v="0"/>
    <e v="#NAME?"/>
    <x v="66"/>
    <n v="0.2"/>
  </r>
  <r>
    <s v="O001222"/>
    <x v="198"/>
    <s v="CORE"/>
    <x v="9"/>
    <x v="0"/>
    <e v="#NAME?"/>
    <x v="67"/>
    <n v="0.2"/>
  </r>
  <r>
    <s v="O001222"/>
    <x v="198"/>
    <s v="CORE"/>
    <x v="9"/>
    <x v="0"/>
    <e v="#NAME?"/>
    <x v="68"/>
    <n v="0.2"/>
  </r>
  <r>
    <s v="O001222"/>
    <x v="198"/>
    <s v="CORE"/>
    <x v="9"/>
    <x v="0"/>
    <e v="#NAME?"/>
    <x v="73"/>
    <n v="0.2"/>
  </r>
  <r>
    <s v="O001222"/>
    <x v="198"/>
    <s v="CORE"/>
    <x v="9"/>
    <x v="0"/>
    <e v="#NAME?"/>
    <x v="74"/>
    <n v="0.2"/>
  </r>
  <r>
    <s v="C811332"/>
    <x v="199"/>
    <s v="CORE"/>
    <x v="9"/>
    <x v="0"/>
    <e v="#NAME?"/>
    <x v="75"/>
    <n v="0.3"/>
  </r>
  <r>
    <s v="C811332"/>
    <x v="199"/>
    <s v="CORE"/>
    <x v="9"/>
    <x v="0"/>
    <e v="#NAME?"/>
    <x v="5"/>
    <n v="0.7"/>
  </r>
  <r>
    <s v="CE03425"/>
    <x v="200"/>
    <s v="CORE"/>
    <x v="9"/>
    <x v="2"/>
    <e v="#NAME?"/>
    <x v="63"/>
    <n v="0.75"/>
  </r>
  <r>
    <s v="CE03425"/>
    <x v="200"/>
    <s v="CORE"/>
    <x v="9"/>
    <x v="2"/>
    <e v="#NAME?"/>
    <x v="65"/>
    <n v="0.25"/>
  </r>
  <r>
    <s v="C805714"/>
    <x v="201"/>
    <s v="CORE"/>
    <x v="9"/>
    <x v="0"/>
    <e v="#NAME?"/>
    <x v="76"/>
    <n v="0.7"/>
  </r>
  <r>
    <s v="C805714"/>
    <x v="201"/>
    <s v="CORE"/>
    <x v="9"/>
    <x v="0"/>
    <e v="#NAME?"/>
    <x v="75"/>
    <n v="0.15"/>
  </r>
  <r>
    <s v="C805714"/>
    <x v="201"/>
    <s v="CORE"/>
    <x v="9"/>
    <x v="0"/>
    <e v="#NAME?"/>
    <x v="3"/>
    <n v="0.15"/>
  </r>
  <r>
    <s v="CE65082"/>
    <x v="202"/>
    <s v="CORE"/>
    <x v="9"/>
    <x v="3"/>
    <e v="#NAME?"/>
    <x v="3"/>
    <n v="1"/>
  </r>
  <r>
    <s v="C805729"/>
    <x v="203"/>
    <s v="CORE"/>
    <x v="9"/>
    <x v="0"/>
    <e v="#NAME?"/>
    <x v="3"/>
    <n v="1"/>
  </r>
  <r>
    <s v="CE66910"/>
    <x v="204"/>
    <s v="CORE"/>
    <x v="9"/>
    <x v="3"/>
    <e v="#NAME?"/>
    <x v="74"/>
    <n v="1"/>
  </r>
  <r>
    <s v="C803062"/>
    <x v="205"/>
    <s v="CORE"/>
    <x v="9"/>
    <x v="0"/>
    <e v="#NAME?"/>
    <x v="3"/>
    <n v="1"/>
  </r>
  <r>
    <s v="C805939"/>
    <x v="206"/>
    <s v="CORE"/>
    <x v="9"/>
    <x v="0"/>
    <e v="#NAME?"/>
    <x v="67"/>
    <n v="0.25"/>
  </r>
  <r>
    <s v="C805939"/>
    <x v="206"/>
    <s v="CORE"/>
    <x v="9"/>
    <x v="0"/>
    <e v="#NAME?"/>
    <x v="66"/>
    <n v="0.5"/>
  </r>
  <r>
    <s v="C805939"/>
    <x v="206"/>
    <s v="CORE"/>
    <x v="9"/>
    <x v="0"/>
    <e v="#NAME?"/>
    <x v="68"/>
    <n v="0.25"/>
  </r>
  <r>
    <s v="CE17711"/>
    <x v="207"/>
    <s v="CORE"/>
    <x v="9"/>
    <x v="2"/>
    <e v="#NAME?"/>
    <x v="3"/>
    <n v="1"/>
  </r>
  <r>
    <s v="CE61656"/>
    <x v="208"/>
    <s v="CORE"/>
    <x v="9"/>
    <x v="2"/>
    <e v="#NAME?"/>
    <x v="3"/>
    <n v="1"/>
  </r>
  <r>
    <s v="C804407"/>
    <x v="209"/>
    <s v="CORE"/>
    <x v="9"/>
    <x v="0"/>
    <e v="#NAME?"/>
    <x v="74"/>
    <n v="0.25"/>
  </r>
  <r>
    <s v="C804407"/>
    <x v="209"/>
    <s v="CORE"/>
    <x v="9"/>
    <x v="0"/>
    <e v="#NAME?"/>
    <x v="73"/>
    <n v="0.75"/>
  </r>
  <r>
    <s v="C809625"/>
    <x v="210"/>
    <s v="CORE"/>
    <x v="9"/>
    <x v="0"/>
    <e v="#NAME?"/>
    <x v="67"/>
    <n v="0.25"/>
  </r>
  <r>
    <s v="C809625"/>
    <x v="210"/>
    <s v="CORE"/>
    <x v="9"/>
    <x v="0"/>
    <e v="#NAME?"/>
    <x v="66"/>
    <n v="0.75"/>
  </r>
  <r>
    <s v="CE64687"/>
    <x v="211"/>
    <s v="CORE"/>
    <x v="9"/>
    <x v="3"/>
    <e v="#NAME?"/>
    <x v="3"/>
    <n v="1"/>
  </r>
  <r>
    <s v="C811233"/>
    <x v="212"/>
    <s v="CORE"/>
    <x v="9"/>
    <x v="0"/>
    <e v="#NAME?"/>
    <x v="3"/>
    <n v="1"/>
  </r>
  <r>
    <s v="CE59970"/>
    <x v="213"/>
    <s v="CORE"/>
    <x v="9"/>
    <x v="3"/>
    <e v="#NAME?"/>
    <x v="3"/>
    <n v="1"/>
  </r>
  <r>
    <s v="C804561"/>
    <x v="214"/>
    <s v="CORE"/>
    <x v="9"/>
    <x v="0"/>
    <e v="#NAME?"/>
    <x v="72"/>
    <n v="0.5"/>
  </r>
  <r>
    <s v="C804561"/>
    <x v="214"/>
    <s v="CORE"/>
    <x v="9"/>
    <x v="0"/>
    <e v="#NAME?"/>
    <x v="76"/>
    <n v="0.2"/>
  </r>
  <r>
    <s v="C804561"/>
    <x v="214"/>
    <s v="CORE"/>
    <x v="9"/>
    <x v="0"/>
    <e v="#NAME?"/>
    <x v="77"/>
    <n v="0.3"/>
  </r>
  <r>
    <s v="O002757"/>
    <x v="215"/>
    <s v="CORE"/>
    <x v="9"/>
    <x v="0"/>
    <e v="#NAME?"/>
    <x v="76"/>
    <n v="0.2"/>
  </r>
  <r>
    <s v="O002757"/>
    <x v="215"/>
    <s v="CORE"/>
    <x v="9"/>
    <x v="0"/>
    <e v="#NAME?"/>
    <x v="73"/>
    <n v="0.4"/>
  </r>
  <r>
    <s v="O002757"/>
    <x v="215"/>
    <s v="CORE"/>
    <x v="9"/>
    <x v="0"/>
    <e v="#NAME?"/>
    <x v="74"/>
    <n v="0.4"/>
  </r>
  <r>
    <s v="CE24417"/>
    <x v="216"/>
    <s v="CORE"/>
    <x v="9"/>
    <x v="2"/>
    <e v="#NAME?"/>
    <x v="3"/>
    <n v="1"/>
  </r>
  <r>
    <s v="O003083"/>
    <x v="217"/>
    <s v="CORE"/>
    <x v="9"/>
    <x v="0"/>
    <e v="#NAME?"/>
    <x v="66"/>
    <n v="0.75"/>
  </r>
  <r>
    <s v="O003083"/>
    <x v="217"/>
    <s v="CORE"/>
    <x v="9"/>
    <x v="0"/>
    <e v="#NAME?"/>
    <x v="67"/>
    <n v="0.25"/>
  </r>
  <r>
    <s v="C811362"/>
    <x v="218"/>
    <s v="CORE"/>
    <x v="9"/>
    <x v="0"/>
    <e v="#NAME?"/>
    <x v="71"/>
    <n v="0.3"/>
  </r>
  <r>
    <s v="C811362"/>
    <x v="218"/>
    <s v="CORE"/>
    <x v="9"/>
    <x v="0"/>
    <e v="#NAME?"/>
    <x v="78"/>
    <n v="0.4"/>
  </r>
  <r>
    <s v="C811362"/>
    <x v="218"/>
    <s v="CORE"/>
    <x v="9"/>
    <x v="0"/>
    <e v="#NAME?"/>
    <x v="79"/>
    <n v="0.3"/>
  </r>
  <r>
    <s v="C802977"/>
    <x v="219"/>
    <s v="CORE"/>
    <x v="9"/>
    <x v="0"/>
    <e v="#NAME?"/>
    <x v="20"/>
    <n v="0.1"/>
  </r>
  <r>
    <s v="C802977"/>
    <x v="219"/>
    <s v="CORE"/>
    <x v="9"/>
    <x v="0"/>
    <e v="#NAME?"/>
    <x v="72"/>
    <n v="0.15"/>
  </r>
  <r>
    <s v="C802977"/>
    <x v="219"/>
    <s v="CORE"/>
    <x v="9"/>
    <x v="0"/>
    <e v="#NAME?"/>
    <x v="70"/>
    <n v="0.1"/>
  </r>
  <r>
    <s v="C802977"/>
    <x v="219"/>
    <s v="CORE"/>
    <x v="9"/>
    <x v="0"/>
    <e v="#NAME?"/>
    <x v="76"/>
    <n v="0.15"/>
  </r>
  <r>
    <s v="C802977"/>
    <x v="219"/>
    <s v="CORE"/>
    <x v="9"/>
    <x v="0"/>
    <e v="#NAME?"/>
    <x v="5"/>
    <n v="0.1"/>
  </r>
  <r>
    <s v="C802977"/>
    <x v="219"/>
    <s v="CORE"/>
    <x v="9"/>
    <x v="0"/>
    <e v="#NAME?"/>
    <x v="78"/>
    <n v="0.1"/>
  </r>
  <r>
    <s v="C802977"/>
    <x v="219"/>
    <s v="CORE"/>
    <x v="9"/>
    <x v="0"/>
    <e v="#NAME?"/>
    <x v="77"/>
    <n v="0.1"/>
  </r>
  <r>
    <s v="C802977"/>
    <x v="219"/>
    <s v="CORE"/>
    <x v="9"/>
    <x v="0"/>
    <e v="#NAME?"/>
    <x v="71"/>
    <n v="0.1"/>
  </r>
  <r>
    <s v="C802977"/>
    <x v="219"/>
    <s v="CORE"/>
    <x v="9"/>
    <x v="0"/>
    <e v="#NAME?"/>
    <x v="79"/>
    <n v="0.1"/>
  </r>
  <r>
    <s v="C811410"/>
    <x v="220"/>
    <s v="CFS"/>
    <x v="8"/>
    <x v="0"/>
    <e v="#NAME?"/>
    <x v="80"/>
    <n v="1"/>
  </r>
  <r>
    <s v="O000100"/>
    <x v="221"/>
    <s v="CFS"/>
    <x v="8"/>
    <x v="0"/>
    <e v="#NAME?"/>
    <x v="81"/>
    <n v="0.75"/>
  </r>
  <r>
    <s v="O000100"/>
    <x v="221"/>
    <s v="CFS"/>
    <x v="8"/>
    <x v="0"/>
    <e v="#NAME?"/>
    <x v="3"/>
    <n v="0.25"/>
  </r>
  <r>
    <s v="O001421"/>
    <x v="222"/>
    <s v="CFS"/>
    <x v="8"/>
    <x v="0"/>
    <e v="#NAME?"/>
    <x v="81"/>
    <n v="0.5"/>
  </r>
  <r>
    <s v="O001421"/>
    <x v="222"/>
    <s v="CFS"/>
    <x v="8"/>
    <x v="0"/>
    <e v="#NAME?"/>
    <x v="80"/>
    <n v="0.25"/>
  </r>
  <r>
    <s v="O001421"/>
    <x v="222"/>
    <s v="CFS"/>
    <x v="8"/>
    <x v="0"/>
    <e v="#NAME?"/>
    <x v="3"/>
    <n v="0.25"/>
  </r>
  <r>
    <s v="O001720"/>
    <x v="223"/>
    <s v="CFS"/>
    <x v="8"/>
    <x v="0"/>
    <e v="#NAME?"/>
    <x v="80"/>
    <n v="0.5"/>
  </r>
  <r>
    <s v="O001720"/>
    <x v="223"/>
    <s v="CFS"/>
    <x v="8"/>
    <x v="0"/>
    <e v="#NAME?"/>
    <x v="3"/>
    <n v="0.25"/>
  </r>
  <r>
    <s v="O001720"/>
    <x v="223"/>
    <s v="CFS"/>
    <x v="8"/>
    <x v="0"/>
    <e v="#NAME?"/>
    <x v="82"/>
    <n v="0.25"/>
  </r>
  <r>
    <s v="T003443"/>
    <x v="224"/>
    <s v="CFS"/>
    <x v="8"/>
    <x v="12"/>
    <e v="#NAME?"/>
    <x v="80"/>
    <n v="0.5"/>
  </r>
  <r>
    <s v="T003443"/>
    <x v="224"/>
    <s v="CFS"/>
    <x v="8"/>
    <x v="12"/>
    <e v="#NAME?"/>
    <x v="3"/>
    <n v="0.4"/>
  </r>
  <r>
    <s v="T003443"/>
    <x v="224"/>
    <s v="CFS"/>
    <x v="8"/>
    <x v="12"/>
    <e v="#NAME?"/>
    <x v="82"/>
    <n v="0.1"/>
  </r>
  <r>
    <s v="C811301"/>
    <x v="225"/>
    <s v="CFS"/>
    <x v="8"/>
    <x v="0"/>
    <e v="#NAME?"/>
    <x v="80"/>
    <n v="0.3"/>
  </r>
  <r>
    <s v="C811301"/>
    <x v="225"/>
    <s v="CFS"/>
    <x v="8"/>
    <x v="0"/>
    <e v="#NAME?"/>
    <x v="81"/>
    <n v="0.4"/>
  </r>
  <r>
    <s v="C811301"/>
    <x v="225"/>
    <s v="CFS"/>
    <x v="8"/>
    <x v="0"/>
    <e v="#NAME?"/>
    <x v="3"/>
    <n v="0.2"/>
  </r>
  <r>
    <s v="C811301"/>
    <x v="225"/>
    <s v="CFS"/>
    <x v="8"/>
    <x v="0"/>
    <e v="#NAME?"/>
    <x v="82"/>
    <n v="0.1"/>
  </r>
  <r>
    <s v="C804706"/>
    <x v="226"/>
    <s v="CFS"/>
    <x v="8"/>
    <x v="0"/>
    <e v="#NAME?"/>
    <x v="71"/>
    <n v="0.8"/>
  </r>
  <r>
    <s v="C804706"/>
    <x v="226"/>
    <s v="CFS"/>
    <x v="8"/>
    <x v="0"/>
    <e v="#NAME?"/>
    <x v="83"/>
    <n v="0.2"/>
  </r>
  <r>
    <s v="C808756"/>
    <x v="227"/>
    <s v="CFS"/>
    <x v="8"/>
    <x v="0"/>
    <e v="#NAME?"/>
    <x v="84"/>
    <n v="0.2"/>
  </r>
  <r>
    <s v="C808756"/>
    <x v="227"/>
    <s v="CFS"/>
    <x v="8"/>
    <x v="0"/>
    <e v="#NAME?"/>
    <x v="71"/>
    <n v="0.7"/>
  </r>
  <r>
    <s v="C808756"/>
    <x v="227"/>
    <s v="CFS"/>
    <x v="8"/>
    <x v="0"/>
    <e v="#NAME?"/>
    <x v="85"/>
    <n v="0.1"/>
  </r>
  <r>
    <s v="C809517"/>
    <x v="228"/>
    <s v="CFS"/>
    <x v="8"/>
    <x v="0"/>
    <e v="#NAME?"/>
    <x v="84"/>
    <n v="0.8"/>
  </r>
  <r>
    <s v="C809517"/>
    <x v="228"/>
    <s v="CFS"/>
    <x v="8"/>
    <x v="0"/>
    <e v="#NAME?"/>
    <x v="86"/>
    <n v="0.2"/>
  </r>
  <r>
    <s v="C811315"/>
    <x v="229"/>
    <s v="CFS"/>
    <x v="8"/>
    <x v="0"/>
    <e v="#NAME?"/>
    <x v="86"/>
    <n v="0.8"/>
  </r>
  <r>
    <s v="C811315"/>
    <x v="229"/>
    <s v="CFS"/>
    <x v="8"/>
    <x v="0"/>
    <e v="#NAME?"/>
    <x v="3"/>
    <n v="0.2"/>
  </r>
  <r>
    <s v="CE66885"/>
    <x v="230"/>
    <s v="CFS"/>
    <x v="8"/>
    <x v="16"/>
    <e v="#NAME?"/>
    <x v="84"/>
    <n v="0.5"/>
  </r>
  <r>
    <s v="CE57060"/>
    <x v="231"/>
    <s v="CFS"/>
    <x v="8"/>
    <x v="9"/>
    <e v="#NAME?"/>
    <x v="71"/>
    <n v="0.5"/>
  </r>
  <r>
    <s v="CE57060"/>
    <x v="231"/>
    <s v="CFS"/>
    <x v="8"/>
    <x v="9"/>
    <e v="#NAME?"/>
    <x v="84"/>
    <n v="0.5"/>
  </r>
  <r>
    <s v="T006700"/>
    <x v="232"/>
    <s v="CFS"/>
    <x v="8"/>
    <x v="1"/>
    <e v="#NAME?"/>
    <x v="86"/>
    <n v="0.5"/>
  </r>
  <r>
    <s v="T006700"/>
    <x v="232"/>
    <s v="CFS"/>
    <x v="8"/>
    <x v="1"/>
    <e v="#NAME?"/>
    <x v="71"/>
    <n v="0.5"/>
  </r>
  <r>
    <s v="C811280"/>
    <x v="233"/>
    <s v="CFS"/>
    <x v="8"/>
    <x v="0"/>
    <e v="#NAME?"/>
    <x v="84"/>
    <n v="0.25"/>
  </r>
  <r>
    <s v="C811280"/>
    <x v="233"/>
    <s v="CFS"/>
    <x v="8"/>
    <x v="0"/>
    <e v="#NAME?"/>
    <x v="71"/>
    <n v="0.4"/>
  </r>
  <r>
    <s v="C811280"/>
    <x v="233"/>
    <s v="CFS"/>
    <x v="8"/>
    <x v="0"/>
    <e v="#NAME?"/>
    <x v="86"/>
    <n v="0.25"/>
  </r>
  <r>
    <s v="C811280"/>
    <x v="233"/>
    <s v="CFS"/>
    <x v="8"/>
    <x v="0"/>
    <e v="#NAME?"/>
    <x v="85"/>
    <n v="0.1"/>
  </r>
  <r>
    <s v="O001828"/>
    <x v="234"/>
    <s v="CFS"/>
    <x v="8"/>
    <x v="0"/>
    <e v="#NAME?"/>
    <x v="3"/>
    <n v="1"/>
  </r>
  <r>
    <s v="C811394"/>
    <x v="235"/>
    <s v="CFS"/>
    <x v="8"/>
    <x v="0"/>
    <e v="#NAME?"/>
    <x v="3"/>
    <n v="0.75"/>
  </r>
  <r>
    <s v="C811394"/>
    <x v="235"/>
    <s v="CFS"/>
    <x v="8"/>
    <x v="0"/>
    <e v="#NAME?"/>
    <x v="71"/>
    <n v="0.25"/>
  </r>
  <r>
    <s v="O002998"/>
    <x v="236"/>
    <s v="CFS"/>
    <x v="8"/>
    <x v="0"/>
    <e v="#NAME?"/>
    <x v="3"/>
    <n v="1"/>
  </r>
  <r>
    <s v="CE66758"/>
    <x v="237"/>
    <s v="CFS"/>
    <x v="8"/>
    <x v="5"/>
    <e v="#NAME?"/>
    <x v="3"/>
    <n v="1"/>
  </r>
  <r>
    <s v="T004057"/>
    <x v="238"/>
    <s v="CFS"/>
    <x v="8"/>
    <x v="5"/>
    <e v="#NAME?"/>
    <x v="3"/>
    <n v="1"/>
  </r>
  <r>
    <s v="C811251"/>
    <x v="239"/>
    <s v="CFS"/>
    <x v="8"/>
    <x v="0"/>
    <e v="#NAME?"/>
    <x v="3"/>
    <n v="1"/>
  </r>
  <r>
    <s v="T007576"/>
    <x v="240"/>
    <s v="CFS"/>
    <x v="8"/>
    <x v="5"/>
    <e v="#NAME?"/>
    <x v="3"/>
    <n v="0.5"/>
  </r>
  <r>
    <s v="O001037"/>
    <x v="241"/>
    <s v="CFS"/>
    <x v="8"/>
    <x v="0"/>
    <e v="#NAME?"/>
    <x v="40"/>
    <n v="0.5"/>
  </r>
  <r>
    <s v="O001037"/>
    <x v="241"/>
    <s v="CFS"/>
    <x v="8"/>
    <x v="0"/>
    <e v="#NAME?"/>
    <x v="83"/>
    <n v="0.5"/>
  </r>
  <r>
    <s v="C805314"/>
    <x v="242"/>
    <s v="CFS"/>
    <x v="8"/>
    <x v="0"/>
    <e v="#NAME?"/>
    <x v="82"/>
    <n v="0.9"/>
  </r>
  <r>
    <s v="C805314"/>
    <x v="242"/>
    <s v="CFS"/>
    <x v="8"/>
    <x v="0"/>
    <e v="#NAME?"/>
    <x v="82"/>
    <n v="0.1"/>
  </r>
  <r>
    <s v="CE68712"/>
    <x v="173"/>
    <s v="CFS"/>
    <x v="8"/>
    <x v="13"/>
    <e v="#NAME?"/>
    <x v="82"/>
    <n v="0.3"/>
  </r>
  <r>
    <s v="CE57396"/>
    <x v="174"/>
    <s v="CFS"/>
    <x v="8"/>
    <x v="13"/>
    <e v="#NAME?"/>
    <x v="82"/>
    <n v="0.3"/>
  </r>
  <r>
    <s v="O002482"/>
    <x v="243"/>
    <s v="CFS"/>
    <x v="8"/>
    <x v="0"/>
    <e v="#NAME?"/>
    <x v="86"/>
    <n v="0.5"/>
  </r>
  <r>
    <s v="O002482"/>
    <x v="243"/>
    <s v="CFS"/>
    <x v="8"/>
    <x v="0"/>
    <e v="#NAME?"/>
    <x v="87"/>
    <n v="0.5"/>
  </r>
  <r>
    <s v="C811279"/>
    <x v="244"/>
    <s v="CFS"/>
    <x v="8"/>
    <x v="0"/>
    <e v="#NAME?"/>
    <x v="40"/>
    <n v="0.3"/>
  </r>
  <r>
    <s v="C811279"/>
    <x v="244"/>
    <s v="CFS"/>
    <x v="8"/>
    <x v="0"/>
    <e v="#NAME?"/>
    <x v="82"/>
    <n v="0.3"/>
  </r>
  <r>
    <s v="C811279"/>
    <x v="244"/>
    <s v="CFS"/>
    <x v="8"/>
    <x v="0"/>
    <e v="#NAME?"/>
    <x v="86"/>
    <n v="0.3"/>
  </r>
  <r>
    <s v="C811279"/>
    <x v="244"/>
    <s v="CFS"/>
    <x v="8"/>
    <x v="0"/>
    <e v="#NAME?"/>
    <x v="3"/>
    <n v="0.1"/>
  </r>
  <r>
    <s v="C805717"/>
    <x v="245"/>
    <s v="ENTERPRISE"/>
    <x v="10"/>
    <x v="0"/>
    <e v="#NAME?"/>
    <x v="88"/>
    <n v="1"/>
  </r>
  <r>
    <s v="C810865"/>
    <x v="246"/>
    <s v="ENTERPRISE"/>
    <x v="10"/>
    <x v="0"/>
    <e v="#NAME?"/>
    <x v="89"/>
    <n v="1"/>
  </r>
  <r>
    <s v="CE68863"/>
    <x v="247"/>
    <s v="ENTERPRISE"/>
    <x v="10"/>
    <x v="9"/>
    <e v="#NAME?"/>
    <x v="90"/>
    <n v="1"/>
  </r>
  <r>
    <s v="CE68333"/>
    <x v="248"/>
    <s v="ENTERPRISE"/>
    <x v="10"/>
    <x v="9"/>
    <e v="#NAME?"/>
    <x v="91"/>
    <n v="1"/>
  </r>
  <r>
    <s v="C811398"/>
    <x v="249"/>
    <s v="ENTERPRISE"/>
    <x v="10"/>
    <x v="0"/>
    <e v="#NAME?"/>
    <x v="88"/>
    <n v="1"/>
  </r>
  <r>
    <s v="CE48026"/>
    <x v="250"/>
    <s v="ENTERPRISE"/>
    <x v="10"/>
    <x v="6"/>
    <e v="#NAME?"/>
    <x v="88"/>
    <n v="1"/>
  </r>
  <r>
    <s v="CE62622"/>
    <x v="251"/>
    <s v="ENTERPRISE"/>
    <x v="10"/>
    <x v="6"/>
    <e v="#NAME?"/>
    <x v="89"/>
    <n v="1"/>
  </r>
  <r>
    <s v="CE68193"/>
    <x v="252"/>
    <s v="ENTERPRISE"/>
    <x v="10"/>
    <x v="1"/>
    <e v="#NAME?"/>
    <x v="89"/>
    <n v="1"/>
  </r>
  <r>
    <s v="CE65559"/>
    <x v="253"/>
    <s v="ENTERPRISE"/>
    <x v="10"/>
    <x v="12"/>
    <e v="#NAME?"/>
    <x v="91"/>
    <n v="1"/>
  </r>
  <r>
    <s v="C811355"/>
    <x v="254"/>
    <s v="ENTERPRISE"/>
    <x v="10"/>
    <x v="0"/>
    <e v="#NAME?"/>
    <x v="88"/>
    <n v="1"/>
  </r>
  <r>
    <s v="T007488"/>
    <x v="255"/>
    <s v="ENTERPRISE"/>
    <x v="10"/>
    <x v="8"/>
    <e v="#NAME?"/>
    <x v="89"/>
    <n v="1"/>
  </r>
  <r>
    <s v="CE57488"/>
    <x v="256"/>
    <s v="ENTERPRISE"/>
    <x v="10"/>
    <x v="8"/>
    <e v="#NAME?"/>
    <x v="89"/>
    <n v="1"/>
  </r>
  <r>
    <s v="T011800"/>
    <x v="257"/>
    <s v="ENTERPRISE"/>
    <x v="10"/>
    <x v="6"/>
    <e v="#NAME?"/>
    <x v="92"/>
    <n v="1"/>
  </r>
  <r>
    <s v="T011110"/>
    <x v="258"/>
    <s v="ENTERPRISE"/>
    <x v="10"/>
    <x v="8"/>
    <e v="#NAME?"/>
    <x v="89"/>
    <n v="1"/>
  </r>
  <r>
    <s v="CE29535"/>
    <x v="259"/>
    <s v="ENTERPRISE"/>
    <x v="10"/>
    <x v="5"/>
    <e v="#NAME?"/>
    <x v="88"/>
    <n v="1"/>
  </r>
  <r>
    <s v="C783731"/>
    <x v="260"/>
    <s v="ENTERPRISE"/>
    <x v="10"/>
    <x v="0"/>
    <e v="#NAME?"/>
    <x v="88"/>
    <n v="0.5"/>
  </r>
  <r>
    <s v="C783731"/>
    <x v="260"/>
    <s v="ENTERPRISE"/>
    <x v="10"/>
    <x v="0"/>
    <e v="#NAME?"/>
    <x v="90"/>
    <n v="0.5"/>
  </r>
  <r>
    <s v="CE30639"/>
    <x v="261"/>
    <s v="ENTERPRISE"/>
    <x v="10"/>
    <x v="9"/>
    <e v="#NAME?"/>
    <x v="92"/>
    <n v="0.5"/>
  </r>
  <r>
    <s v="CE30639"/>
    <x v="261"/>
    <s v="ENTERPRISE"/>
    <x v="10"/>
    <x v="9"/>
    <e v="#NAME?"/>
    <x v="91"/>
    <n v="0.5"/>
  </r>
  <r>
    <s v="XP60574"/>
    <x v="262"/>
    <s v="ENTERPRISE"/>
    <x v="10"/>
    <x v="8"/>
    <e v="#NAME?"/>
    <x v="89"/>
    <n v="1"/>
  </r>
  <r>
    <s v="CE70178 "/>
    <x v="263"/>
    <s v="ENTERPRISE"/>
    <x v="10"/>
    <x v="12"/>
    <e v="#NAME?"/>
    <x v="88"/>
    <n v="1"/>
  </r>
  <r>
    <s v="T007666"/>
    <x v="264"/>
    <s v="ENTERPRISE"/>
    <x v="10"/>
    <x v="9"/>
    <e v="#NAME?"/>
    <x v="89"/>
    <n v="1"/>
  </r>
  <r>
    <s v="C811395"/>
    <x v="265"/>
    <s v="ENTERPRISE"/>
    <x v="10"/>
    <x v="0"/>
    <e v="#NAME?"/>
    <x v="89"/>
    <n v="1"/>
  </r>
  <r>
    <s v="C810827"/>
    <x v="266"/>
    <s v="ENTERPRISE"/>
    <x v="10"/>
    <x v="0"/>
    <e v="#NAME?"/>
    <x v="89"/>
    <n v="1"/>
  </r>
  <r>
    <s v="C805746"/>
    <x v="267"/>
    <s v="ENTERPRISE"/>
    <x v="10"/>
    <x v="0"/>
    <e v="#NAME?"/>
    <x v="92"/>
    <n v="1"/>
  </r>
  <r>
    <s v="C804121"/>
    <x v="268"/>
    <s v="ENTERPRISE"/>
    <x v="10"/>
    <x v="0"/>
    <e v="#NAME?"/>
    <x v="92"/>
    <n v="0.5"/>
  </r>
  <r>
    <s v="C804121"/>
    <x v="268"/>
    <s v="ENTERPRISE"/>
    <x v="10"/>
    <x v="0"/>
    <e v="#NAME?"/>
    <x v="3"/>
    <n v="0.5"/>
  </r>
  <r>
    <s v="C811232"/>
    <x v="269"/>
    <s v="ENTERPRISE"/>
    <x v="10"/>
    <x v="0"/>
    <e v="#NAME?"/>
    <x v="90"/>
    <n v="1"/>
  </r>
  <r>
    <s v="C811390"/>
    <x v="270"/>
    <s v="ENTERPRISE"/>
    <x v="10"/>
    <x v="0"/>
    <e v="#NAME?"/>
    <x v="3"/>
    <n v="1"/>
  </r>
  <r>
    <s v="O002008"/>
    <x v="271"/>
    <s v="ENTERPRISE"/>
    <x v="10"/>
    <x v="0"/>
    <e v="#NAME?"/>
    <x v="90"/>
    <n v="1"/>
  </r>
  <r>
    <s v="O001644"/>
    <x v="272"/>
    <s v="ENTERPRISE"/>
    <x v="10"/>
    <x v="0"/>
    <e v="#NAME?"/>
    <x v="3"/>
    <n v="1"/>
  </r>
  <r>
    <s v="O004968"/>
    <x v="273"/>
    <s v="ENTERPRISE"/>
    <x v="10"/>
    <x v="0"/>
    <e v="#NAME?"/>
    <x v="3"/>
    <n v="1"/>
  </r>
  <r>
    <s v="T011807"/>
    <x v="274"/>
    <s v="ENTERPRISE"/>
    <x v="10"/>
    <x v="6"/>
    <e v="#NAME?"/>
    <x v="92"/>
    <n v="0.1"/>
  </r>
  <r>
    <s v="T011807"/>
    <x v="274"/>
    <s v="ENTERPRISE"/>
    <x v="10"/>
    <x v="6"/>
    <e v="#NAME?"/>
    <x v="89"/>
    <n v="0.15"/>
  </r>
  <r>
    <s v="T011807"/>
    <x v="274"/>
    <s v="ENTERPRISE"/>
    <x v="10"/>
    <x v="6"/>
    <e v="#NAME?"/>
    <x v="88"/>
    <n v="0.15"/>
  </r>
  <r>
    <s v="T011807"/>
    <x v="274"/>
    <s v="ENTERPRISE"/>
    <x v="10"/>
    <x v="6"/>
    <e v="#NAME?"/>
    <x v="90"/>
    <n v="0.15"/>
  </r>
  <r>
    <s v="T011807"/>
    <x v="274"/>
    <s v="ENTERPRISE"/>
    <x v="3"/>
    <x v="6"/>
    <e v="#NAME?"/>
    <x v="93"/>
    <n v="0.15"/>
  </r>
  <r>
    <s v="T011807"/>
    <x v="274"/>
    <s v="ENTERPRISE"/>
    <x v="3"/>
    <x v="6"/>
    <e v="#NAME?"/>
    <x v="22"/>
    <n v="0.15"/>
  </r>
  <r>
    <s v="T011807"/>
    <x v="274"/>
    <s v="ENTERPRISE"/>
    <x v="10"/>
    <x v="6"/>
    <e v="#NAME?"/>
    <x v="94"/>
    <n v="0.15"/>
  </r>
  <r>
    <s v="CE51863"/>
    <x v="275"/>
    <s v="ENTERPRISE"/>
    <x v="10"/>
    <x v="2"/>
    <e v="#NAME?"/>
    <x v="92"/>
    <n v="7.0000000000000007E-2"/>
  </r>
  <r>
    <s v="CE51863"/>
    <x v="275"/>
    <s v="ENTERPRISE"/>
    <x v="10"/>
    <x v="2"/>
    <e v="#NAME?"/>
    <x v="89"/>
    <n v="7.0000000000000007E-2"/>
  </r>
  <r>
    <s v="CE51863"/>
    <x v="275"/>
    <s v="ENTERPRISE"/>
    <x v="10"/>
    <x v="2"/>
    <e v="#NAME?"/>
    <x v="88"/>
    <n v="7.0000000000000007E-2"/>
  </r>
  <r>
    <s v="CE51863"/>
    <x v="275"/>
    <s v="ENTERPRISE"/>
    <x v="10"/>
    <x v="2"/>
    <e v="#NAME?"/>
    <x v="90"/>
    <n v="7.0000000000000007E-2"/>
  </r>
  <r>
    <s v="CE51863"/>
    <x v="275"/>
    <s v="ENTERPRISE"/>
    <x v="3"/>
    <x v="2"/>
    <e v="#NAME?"/>
    <x v="93"/>
    <n v="7.0000000000000007E-2"/>
  </r>
  <r>
    <s v="CE51863"/>
    <x v="275"/>
    <s v="ENTERPRISE"/>
    <x v="3"/>
    <x v="2"/>
    <e v="#NAME?"/>
    <x v="22"/>
    <n v="7.0000000000000007E-2"/>
  </r>
  <r>
    <s v="CE51863"/>
    <x v="275"/>
    <s v="ENTERPRISE"/>
    <x v="10"/>
    <x v="2"/>
    <e v="#NAME?"/>
    <x v="94"/>
    <n v="7.0000000000000007E-2"/>
  </r>
  <r>
    <s v="CE65205"/>
    <x v="276"/>
    <s v="ENTERPRISE"/>
    <x v="10"/>
    <x v="9"/>
    <e v="#NAME?"/>
    <x v="89"/>
    <n v="0.1"/>
  </r>
  <r>
    <s v="CE65205"/>
    <x v="276"/>
    <s v="ENTERPRISE"/>
    <x v="10"/>
    <x v="9"/>
    <e v="#NAME?"/>
    <x v="92"/>
    <n v="0.15"/>
  </r>
  <r>
    <s v="CE65205"/>
    <x v="276"/>
    <s v="ENTERPRISE"/>
    <x v="10"/>
    <x v="9"/>
    <e v="#NAME?"/>
    <x v="90"/>
    <n v="0.15"/>
  </r>
  <r>
    <s v="CE65205"/>
    <x v="276"/>
    <s v="ENTERPRISE"/>
    <x v="10"/>
    <x v="9"/>
    <e v="#NAME?"/>
    <x v="88"/>
    <n v="0.15"/>
  </r>
  <r>
    <s v="CE65205"/>
    <x v="276"/>
    <s v="ENTERPRISE"/>
    <x v="3"/>
    <x v="2"/>
    <e v="#NAME?"/>
    <x v="93"/>
    <n v="0.15"/>
  </r>
  <r>
    <s v="CE65205"/>
    <x v="276"/>
    <s v="ENTERPRISE"/>
    <x v="3"/>
    <x v="2"/>
    <e v="#NAME?"/>
    <x v="22"/>
    <n v="0.15"/>
  </r>
  <r>
    <s v="CE65205"/>
    <x v="276"/>
    <s v="ENTERPRISE"/>
    <x v="10"/>
    <x v="2"/>
    <e v="#NAME?"/>
    <x v="94"/>
    <n v="0.15"/>
  </r>
  <r>
    <s v="C811392"/>
    <x v="277"/>
    <s v="CORE"/>
    <x v="11"/>
    <x v="0"/>
    <e v="#NAME?"/>
    <x v="3"/>
    <n v="1"/>
  </r>
  <r>
    <s v="C341681"/>
    <x v="278"/>
    <s v="CFS"/>
    <x v="8"/>
    <x v="0"/>
    <e v="#NAME?"/>
    <x v="6"/>
    <n v="1"/>
  </r>
  <r>
    <s v="C342316"/>
    <x v="279"/>
    <s v="CFS"/>
    <x v="8"/>
    <x v="0"/>
    <e v="#NAME?"/>
    <x v="87"/>
    <n v="0.7"/>
  </r>
  <r>
    <s v="C342316"/>
    <x v="279"/>
    <s v="CFS"/>
    <x v="8"/>
    <x v="0"/>
    <e v="#NAME?"/>
    <x v="71"/>
    <n v="0.3"/>
  </r>
  <r>
    <s v="C808875"/>
    <x v="280"/>
    <s v="CFS"/>
    <x v="8"/>
    <x v="0"/>
    <e v="#NAME?"/>
    <x v="87"/>
    <n v="1"/>
  </r>
  <r>
    <s v="C809591"/>
    <x v="281"/>
    <s v="CFS"/>
    <x v="8"/>
    <x v="0"/>
    <e v="#NAME?"/>
    <x v="83"/>
    <n v="0.65"/>
  </r>
  <r>
    <s v="C809591"/>
    <x v="281"/>
    <s v="CFS"/>
    <x v="8"/>
    <x v="0"/>
    <e v="#NAME?"/>
    <x v="71"/>
    <n v="0.25"/>
  </r>
  <r>
    <s v="C809591"/>
    <x v="281"/>
    <s v="CFS"/>
    <x v="8"/>
    <x v="0"/>
    <e v="#NAME?"/>
    <x v="85"/>
    <n v="0.1"/>
  </r>
  <r>
    <s v="C810959"/>
    <x v="282"/>
    <s v="CFS"/>
    <x v="8"/>
    <x v="0"/>
    <e v="#NAME?"/>
    <x v="6"/>
    <n v="0.4"/>
  </r>
  <r>
    <s v="C810959"/>
    <x v="282"/>
    <s v="CFS"/>
    <x v="8"/>
    <x v="0"/>
    <e v="#NAME?"/>
    <x v="83"/>
    <n v="0.2"/>
  </r>
  <r>
    <s v="C810959"/>
    <x v="282"/>
    <s v="CFS"/>
    <x v="8"/>
    <x v="0"/>
    <e v="#NAME?"/>
    <x v="71"/>
    <n v="0.2"/>
  </r>
  <r>
    <s v="C810959"/>
    <x v="282"/>
    <s v="CFS"/>
    <x v="8"/>
    <x v="0"/>
    <e v="#NAME?"/>
    <x v="3"/>
    <n v="0.2"/>
  </r>
  <r>
    <s v="CE66252"/>
    <x v="283"/>
    <s v="CFS"/>
    <x v="8"/>
    <x v="9"/>
    <e v="#NAME?"/>
    <x v="87"/>
    <n v="0.5"/>
  </r>
  <r>
    <s v="CE66252"/>
    <x v="283"/>
    <s v="CFS"/>
    <x v="8"/>
    <x v="9"/>
    <e v="#NAME?"/>
    <x v="71"/>
    <n v="0.25"/>
  </r>
  <r>
    <s v="CE66252"/>
    <x v="283"/>
    <s v="CFS"/>
    <x v="8"/>
    <x v="9"/>
    <e v="#NAME?"/>
    <x v="6"/>
    <n v="0.25"/>
  </r>
  <r>
    <s v="C783725"/>
    <x v="284"/>
    <s v="CFS"/>
    <x v="8"/>
    <x v="0"/>
    <e v="#NAME?"/>
    <x v="6"/>
    <n v="0.3"/>
  </r>
  <r>
    <s v="C783725"/>
    <x v="284"/>
    <s v="CFS"/>
    <x v="8"/>
    <x v="0"/>
    <e v="#NAME?"/>
    <x v="87"/>
    <n v="0.3"/>
  </r>
  <r>
    <s v="C783725"/>
    <x v="284"/>
    <s v="CFS"/>
    <x v="8"/>
    <x v="0"/>
    <e v="#NAME?"/>
    <x v="85"/>
    <n v="0.1"/>
  </r>
  <r>
    <s v="C783725"/>
    <x v="284"/>
    <s v="CFS"/>
    <x v="8"/>
    <x v="0"/>
    <e v="#NAME?"/>
    <x v="71"/>
    <n v="0.3"/>
  </r>
  <r>
    <s v="T006280"/>
    <x v="285"/>
    <s v="CFS"/>
    <x v="8"/>
    <x v="5"/>
    <e v="#NAME?"/>
    <x v="3"/>
    <n v="0.5"/>
  </r>
  <r>
    <s v="T006280"/>
    <x v="285"/>
    <s v="CIB &amp; COMEX - FIDUCIARIA"/>
    <x v="12"/>
    <x v="5"/>
    <e v="#NAME?"/>
    <x v="3"/>
    <n v="0.5"/>
  </r>
  <r>
    <s v="C811292"/>
    <x v="286"/>
    <s v="CIB &amp; COMEX - FIDUCIARIA"/>
    <x v="12"/>
    <x v="0"/>
    <e v="#NAME?"/>
    <x v="3"/>
    <n v="1"/>
  </r>
  <r>
    <s v="C805180"/>
    <x v="287"/>
    <s v="CIB &amp; COMEX - FIDUCIARIA"/>
    <x v="12"/>
    <x v="0"/>
    <e v="#NAME?"/>
    <x v="95"/>
    <n v="0.25"/>
  </r>
  <r>
    <s v="C810847"/>
    <x v="288"/>
    <s v="CIB &amp; COMEX - FIDUCIARIA"/>
    <x v="12"/>
    <x v="0"/>
    <e v="#NAME?"/>
    <x v="95"/>
    <n v="0.25"/>
  </r>
  <r>
    <s v="C810847"/>
    <x v="288"/>
    <s v="CIB &amp; COMEX - FIDUCIARIA"/>
    <x v="12"/>
    <x v="0"/>
    <e v="#NAME?"/>
    <x v="3"/>
    <n v="0.75"/>
  </r>
  <r>
    <s v="O004617"/>
    <x v="289"/>
    <s v="CIB &amp; COMEX - FIDUCIARIA"/>
    <x v="12"/>
    <x v="0"/>
    <e v="#NAME?"/>
    <x v="3"/>
    <n v="1"/>
  </r>
  <r>
    <s v="O004613 "/>
    <x v="290"/>
    <s v="CIB &amp; COMEX - FIDUCIARIA"/>
    <x v="12"/>
    <x v="0"/>
    <e v="#NAME?"/>
    <x v="3"/>
    <n v="1"/>
  </r>
  <r>
    <s v="C805180"/>
    <x v="287"/>
    <s v="CIB &amp; COMEX - FIDUCIARIA"/>
    <x v="12"/>
    <x v="0"/>
    <e v="#NAME?"/>
    <x v="3"/>
    <n v="0.75"/>
  </r>
  <r>
    <s v="CE70350"/>
    <x v="291"/>
    <s v="CIB &amp; COMEX - FIDUCIARIA"/>
    <x v="12"/>
    <x v="5"/>
    <e v="#NAME?"/>
    <x v="3"/>
    <n v="1"/>
  </r>
  <r>
    <s v="CV25017"/>
    <x v="292"/>
    <s v="SEGUROS"/>
    <x v="13"/>
    <x v="17"/>
    <e v="#NAME?"/>
    <x v="96"/>
    <n v="0.25"/>
  </r>
  <r>
    <s v="CV25017"/>
    <x v="292"/>
    <s v="SEGUROS"/>
    <x v="13"/>
    <x v="17"/>
    <e v="#NAME?"/>
    <x v="97"/>
    <n v="0.75"/>
  </r>
  <r>
    <s v="CE52603"/>
    <x v="293"/>
    <s v="SEGUROS"/>
    <x v="13"/>
    <x v="5"/>
    <e v="#NAME?"/>
    <x v="96"/>
    <n v="0.25"/>
  </r>
  <r>
    <s v="CE52603"/>
    <x v="293"/>
    <s v="SEGUROS"/>
    <x v="13"/>
    <x v="5"/>
    <e v="#NAME?"/>
    <x v="97"/>
    <n v="0.75"/>
  </r>
  <r>
    <s v="CV24943"/>
    <x v="294"/>
    <s v="SEGUROS"/>
    <x v="13"/>
    <x v="17"/>
    <e v="#NAME?"/>
    <x v="98"/>
    <n v="1"/>
  </r>
  <r>
    <s v="CV25056"/>
    <x v="295"/>
    <s v="SEGUROS"/>
    <x v="13"/>
    <x v="17"/>
    <e v="#NAME?"/>
    <x v="96"/>
    <n v="0.25"/>
  </r>
  <r>
    <s v="CV25056"/>
    <x v="295"/>
    <s v="SEGUROS"/>
    <x v="13"/>
    <x v="17"/>
    <e v="#NAME?"/>
    <x v="97"/>
    <n v="0.75"/>
  </r>
  <r>
    <s v="CE56274"/>
    <x v="296"/>
    <s v="SEGUROS"/>
    <x v="13"/>
    <x v="3"/>
    <e v="#NAME?"/>
    <x v="96"/>
    <n v="0.25"/>
  </r>
  <r>
    <s v="CE56274"/>
    <x v="296"/>
    <s v="SEGUROS"/>
    <x v="13"/>
    <x v="3"/>
    <e v="#NAME?"/>
    <x v="97"/>
    <n v="0.75"/>
  </r>
  <r>
    <s v="CE56445"/>
    <x v="297"/>
    <s v="SEGUROS"/>
    <x v="13"/>
    <x v="3"/>
    <e v="#NAME?"/>
    <x v="96"/>
    <n v="0.25"/>
  </r>
  <r>
    <s v="CE56445"/>
    <x v="297"/>
    <s v="SEGUROS"/>
    <x v="13"/>
    <x v="3"/>
    <e v="#NAME?"/>
    <x v="97"/>
    <n v="0.75"/>
  </r>
  <r>
    <s v="CV25065"/>
    <x v="298"/>
    <s v="SEGUROS"/>
    <x v="13"/>
    <x v="17"/>
    <e v="#NAME?"/>
    <x v="96"/>
    <n v="0.25"/>
  </r>
  <r>
    <s v="CV25065"/>
    <x v="298"/>
    <s v="SEGUROS"/>
    <x v="13"/>
    <x v="17"/>
    <e v="#NAME?"/>
    <x v="97"/>
    <n v="0.75"/>
  </r>
  <r>
    <s v="O004277"/>
    <x v="299"/>
    <s v="SEGUROS"/>
    <x v="13"/>
    <x v="17"/>
    <e v="#NAME?"/>
    <x v="97"/>
    <n v="1"/>
  </r>
  <r>
    <s v="CE42028"/>
    <x v="300"/>
    <s v="SEGUROS"/>
    <x v="13"/>
    <x v="5"/>
    <e v="#NAME?"/>
    <x v="99"/>
    <n v="1"/>
  </r>
  <r>
    <s v="CE59922"/>
    <x v="301"/>
    <s v="SEGUROS"/>
    <x v="13"/>
    <x v="5"/>
    <e v="#NAME?"/>
    <x v="96"/>
    <n v="0.5"/>
  </r>
  <r>
    <s v="CE59922"/>
    <x v="301"/>
    <s v="SEGUROS"/>
    <x v="13"/>
    <x v="5"/>
    <e v="#NAME?"/>
    <x v="97"/>
    <n v="0.5"/>
  </r>
  <r>
    <s v="CV24935"/>
    <x v="302"/>
    <s v="SEGUROS"/>
    <x v="13"/>
    <x v="17"/>
    <e v="#NAME?"/>
    <x v="96"/>
    <n v="0.4"/>
  </r>
  <r>
    <s v="CV24935"/>
    <x v="302"/>
    <s v="SEGUROS"/>
    <x v="13"/>
    <x v="17"/>
    <e v="#NAME?"/>
    <x v="97"/>
    <n v="0.3"/>
  </r>
  <r>
    <s v="CV24935"/>
    <x v="302"/>
    <s v="SEGUROS"/>
    <x v="13"/>
    <x v="17"/>
    <e v="#NAME?"/>
    <x v="99"/>
    <n v="0.3"/>
  </r>
  <r>
    <s v="CG22671"/>
    <x v="303"/>
    <s v="SEGUROS"/>
    <x v="13"/>
    <x v="17"/>
    <e v="#NAME?"/>
    <x v="100"/>
    <n v="0.25"/>
  </r>
  <r>
    <s v="CG22671"/>
    <x v="303"/>
    <s v="SEGUROS"/>
    <x v="13"/>
    <x v="17"/>
    <e v="#NAME?"/>
    <x v="3"/>
    <n v="0.75"/>
  </r>
  <r>
    <s v="CE38411"/>
    <x v="304"/>
    <s v="SEGUROS"/>
    <x v="13"/>
    <x v="3"/>
    <e v="#NAME?"/>
    <x v="101"/>
    <n v="0.75"/>
  </r>
  <r>
    <s v="CE38411"/>
    <x v="304"/>
    <s v="SEGUROS"/>
    <x v="13"/>
    <x v="3"/>
    <e v="#NAME?"/>
    <x v="102"/>
    <n v="0.25"/>
  </r>
  <r>
    <s v="CE68469"/>
    <x v="305"/>
    <s v="SEGUROS"/>
    <x v="13"/>
    <x v="3"/>
    <e v="#NAME?"/>
    <x v="100"/>
    <n v="1"/>
  </r>
  <r>
    <s v="CV25060"/>
    <x v="306"/>
    <s v="SEGUROS"/>
    <x v="13"/>
    <x v="17"/>
    <e v="#NAME?"/>
    <x v="101"/>
    <n v="0.5"/>
  </r>
  <r>
    <s v="CV25060"/>
    <x v="306"/>
    <s v="SEGUROS"/>
    <x v="13"/>
    <x v="17"/>
    <e v="#NAME?"/>
    <x v="103"/>
    <n v="0.5"/>
  </r>
  <r>
    <s v="O002707"/>
    <x v="307"/>
    <s v="SEGUROS"/>
    <x v="13"/>
    <x v="17"/>
    <e v="#NAME?"/>
    <x v="100"/>
    <n v="1"/>
  </r>
  <r>
    <s v="O004417"/>
    <x v="308"/>
    <s v="SEGUROS"/>
    <x v="13"/>
    <x v="17"/>
    <e v="#NAME?"/>
    <x v="100"/>
    <n v="1"/>
  </r>
  <r>
    <s v="CE48733"/>
    <x v="309"/>
    <s v="SEGUROS"/>
    <x v="13"/>
    <x v="18"/>
    <e v="#NAME?"/>
    <x v="100"/>
    <n v="1"/>
  </r>
  <r>
    <s v="CE65494"/>
    <x v="310"/>
    <s v="SEGUROS"/>
    <x v="13"/>
    <x v="5"/>
    <e v="#NAME?"/>
    <x v="100"/>
    <n v="1"/>
  </r>
  <r>
    <s v="CE59730"/>
    <x v="311"/>
    <s v="SEGUROS"/>
    <x v="13"/>
    <x v="18"/>
    <e v="#NAME?"/>
    <x v="100"/>
    <n v="1"/>
  </r>
  <r>
    <s v="CV25059"/>
    <x v="312"/>
    <s v="SEGUROS"/>
    <x v="13"/>
    <x v="17"/>
    <e v="#NAME?"/>
    <x v="104"/>
    <n v="1"/>
  </r>
  <r>
    <s v="CV25087"/>
    <x v="313"/>
    <s v="SEGUROS"/>
    <x v="13"/>
    <x v="17"/>
    <e v="#NAME?"/>
    <x v="105"/>
    <n v="1"/>
  </r>
  <r>
    <s v="CV25064"/>
    <x v="314"/>
    <s v="SEGUROS"/>
    <x v="13"/>
    <x v="17"/>
    <e v="#NAME?"/>
    <x v="106"/>
    <n v="0.75"/>
  </r>
  <r>
    <s v="CV25064"/>
    <x v="314"/>
    <s v="SEGUROS"/>
    <x v="13"/>
    <x v="17"/>
    <e v="#NAME?"/>
    <x v="3"/>
    <n v="0.25"/>
  </r>
  <r>
    <s v="O003561"/>
    <x v="315"/>
    <s v="SEGUROS"/>
    <x v="13"/>
    <x v="17"/>
    <e v="#NAME?"/>
    <x v="3"/>
    <n v="1"/>
  </r>
  <r>
    <s v="CE48448"/>
    <x v="316"/>
    <s v="SEGUROS"/>
    <x v="13"/>
    <x v="5"/>
    <e v="#NAME?"/>
    <x v="102"/>
    <n v="0.5"/>
  </r>
  <r>
    <s v="CE48448"/>
    <x v="316"/>
    <s v="SEGUROS"/>
    <x v="13"/>
    <x v="5"/>
    <e v="#NAME?"/>
    <x v="107"/>
    <n v="0.5"/>
  </r>
  <r>
    <s v="CV24903"/>
    <x v="317"/>
    <s v="SEGUROS"/>
    <x v="13"/>
    <x v="17"/>
    <e v="#NAME?"/>
    <x v="102"/>
    <n v="0.25"/>
  </r>
  <r>
    <s v="CV24903"/>
    <x v="317"/>
    <s v="SEGUROS"/>
    <x v="13"/>
    <x v="17"/>
    <e v="#NAME?"/>
    <x v="3"/>
    <n v="0.25"/>
  </r>
  <r>
    <s v="CV24903"/>
    <x v="317"/>
    <s v="SEGUROS"/>
    <x v="13"/>
    <x v="17"/>
    <e v="#NAME?"/>
    <x v="104"/>
    <n v="0.5"/>
  </r>
  <r>
    <s v="CE44928"/>
    <x v="318"/>
    <s v="SEGUROS"/>
    <x v="13"/>
    <x v="19"/>
    <e v="#NAME?"/>
    <x v="106"/>
    <n v="0.5"/>
  </r>
  <r>
    <s v="CE44928"/>
    <x v="318"/>
    <s v="SEGUROS"/>
    <x v="13"/>
    <x v="19"/>
    <e v="#NAME?"/>
    <x v="108"/>
    <n v="0.5"/>
  </r>
  <r>
    <s v="CV25067"/>
    <x v="319"/>
    <s v="SEGUROS"/>
    <x v="13"/>
    <x v="17"/>
    <e v="#NAME?"/>
    <x v="102"/>
    <n v="0.75"/>
  </r>
  <r>
    <s v="CV25067"/>
    <x v="319"/>
    <s v="SEGUROS"/>
    <x v="13"/>
    <x v="17"/>
    <e v="#NAME?"/>
    <x v="3"/>
    <n v="0.25"/>
  </r>
  <r>
    <s v="CV25084"/>
    <x v="320"/>
    <s v="SEGUROS"/>
    <x v="13"/>
    <x v="17"/>
    <e v="#NAME?"/>
    <x v="108"/>
    <n v="1"/>
  </r>
  <r>
    <s v="CV25093"/>
    <x v="321"/>
    <s v="SEGUROS"/>
    <x v="13"/>
    <x v="17"/>
    <e v="#NAME?"/>
    <x v="3"/>
    <n v="0.75"/>
  </r>
  <r>
    <s v="CV25093"/>
    <x v="321"/>
    <s v="SEGUROS"/>
    <x v="13"/>
    <x v="17"/>
    <e v="#NAME?"/>
    <x v="106"/>
    <n v="0.25"/>
  </r>
  <r>
    <s v="CV25074"/>
    <x v="322"/>
    <s v="SEGUROS"/>
    <x v="13"/>
    <x v="17"/>
    <e v="#NAME?"/>
    <x v="102"/>
    <n v="1"/>
  </r>
  <r>
    <s v="CV25001"/>
    <x v="323"/>
    <s v="SEGUROS"/>
    <x v="13"/>
    <x v="17"/>
    <e v="#NAME?"/>
    <x v="109"/>
    <n v="0.75"/>
  </r>
  <r>
    <s v="CV25001"/>
    <x v="323"/>
    <s v="SEGUROS"/>
    <x v="13"/>
    <x v="17"/>
    <e v="#NAME?"/>
    <x v="102"/>
    <n v="0.25"/>
  </r>
  <r>
    <s v="CE66586"/>
    <x v="324"/>
    <s v="SEGUROS"/>
    <x v="13"/>
    <x v="5"/>
    <e v="#NAME?"/>
    <x v="96"/>
    <n v="1"/>
  </r>
  <r>
    <s v="T005668"/>
    <x v="325"/>
    <s v="SEGUROS"/>
    <x v="13"/>
    <x v="5"/>
    <e v="#NAME?"/>
    <x v="96"/>
    <n v="1"/>
  </r>
  <r>
    <s v="CE48941"/>
    <x v="326"/>
    <s v="SEGUROS"/>
    <x v="13"/>
    <x v="5"/>
    <e v="#NAME?"/>
    <x v="3"/>
    <n v="1"/>
  </r>
  <r>
    <s v="CE50178"/>
    <x v="327"/>
    <s v="SEGUROS"/>
    <x v="13"/>
    <x v="5"/>
    <e v="#NAME?"/>
    <x v="3"/>
    <n v="1"/>
  </r>
  <r>
    <s v="CE69705"/>
    <x v="328"/>
    <s v="SEGUROS"/>
    <x v="13"/>
    <x v="5"/>
    <e v="#NAME?"/>
    <x v="106"/>
    <n v="1"/>
  </r>
  <r>
    <s v="CE53945"/>
    <x v="329"/>
    <s v="SEGUROS"/>
    <x v="13"/>
    <x v="5"/>
    <e v="#NAME?"/>
    <x v="96"/>
    <n v="1"/>
  </r>
  <r>
    <s v="T008565"/>
    <x v="330"/>
    <s v="SEGUROS"/>
    <x v="13"/>
    <x v="5"/>
    <e v="#NAME?"/>
    <x v="96"/>
    <n v="1"/>
  </r>
  <r>
    <s v="T009692"/>
    <x v="331"/>
    <s v="SEGUROS"/>
    <x v="13"/>
    <x v="5"/>
    <e v="#NAME?"/>
    <x v="3"/>
    <n v="1"/>
  </r>
  <r>
    <s v="CE42004"/>
    <x v="332"/>
    <s v="SEGUROS"/>
    <x v="13"/>
    <x v="5"/>
    <e v="#NAME?"/>
    <x v="96"/>
    <n v="1"/>
  </r>
  <r>
    <n v="1032450219"/>
    <x v="333"/>
    <s v="SEGUROS"/>
    <x v="13"/>
    <x v="5"/>
    <e v="#NAME?"/>
    <x v="99"/>
    <n v="1"/>
  </r>
  <r>
    <s v="CE65204"/>
    <x v="334"/>
    <s v="SEGUROS"/>
    <x v="13"/>
    <x v="9"/>
    <e v="#NAME?"/>
    <x v="110"/>
    <n v="1"/>
  </r>
  <r>
    <s v="CE65203"/>
    <x v="335"/>
    <s v="SEGUROS"/>
    <x v="13"/>
    <x v="9"/>
    <e v="#NAME?"/>
    <x v="96"/>
    <n v="1"/>
  </r>
  <r>
    <s v="CE53475"/>
    <x v="336"/>
    <s v="SEGUROS"/>
    <x v="13"/>
    <x v="9"/>
    <e v="#NAME?"/>
    <x v="3"/>
    <n v="1"/>
  </r>
  <r>
    <s v="CE60737"/>
    <x v="337"/>
    <s v="SEGUROS"/>
    <x v="13"/>
    <x v="9"/>
    <e v="#NAME?"/>
    <x v="109"/>
    <n v="1"/>
  </r>
  <r>
    <s v="CE37757"/>
    <x v="338"/>
    <s v="SEGUROS"/>
    <x v="13"/>
    <x v="9"/>
    <e v="#NAME?"/>
    <x v="3"/>
    <n v="1"/>
  </r>
  <r>
    <s v="CE69797"/>
    <x v="339"/>
    <s v="SEGUROS"/>
    <x v="13"/>
    <x v="1"/>
    <e v="#NAME?"/>
    <x v="3"/>
    <n v="1"/>
  </r>
  <r>
    <s v="CE66582"/>
    <x v="340"/>
    <s v="SEGUROS"/>
    <x v="13"/>
    <x v="2"/>
    <e v="#NAME?"/>
    <x v="96"/>
    <n v="1"/>
  </r>
  <r>
    <s v="CE55951"/>
    <x v="341"/>
    <s v="SEGUROS"/>
    <x v="13"/>
    <x v="2"/>
    <e v="#NAME?"/>
    <x v="96"/>
    <n v="1"/>
  </r>
  <r>
    <s v="CE50906"/>
    <x v="342"/>
    <s v="SEGUROS"/>
    <x v="13"/>
    <x v="2"/>
    <e v="#NAME?"/>
    <x v="99"/>
    <n v="1"/>
  </r>
  <r>
    <s v="CE34436"/>
    <x v="343"/>
    <s v="SEGUROS"/>
    <x v="13"/>
    <x v="19"/>
    <e v="#NAME?"/>
    <x v="106"/>
    <n v="1"/>
  </r>
  <r>
    <s v="CE68707"/>
    <x v="344"/>
    <s v="SEGUROS"/>
    <x v="13"/>
    <x v="18"/>
    <e v="#NAME?"/>
    <x v="106"/>
    <n v="1"/>
  </r>
  <r>
    <s v="CV68710"/>
    <x v="345"/>
    <s v="SEGUROS"/>
    <x v="13"/>
    <x v="3"/>
    <e v="#NAME?"/>
    <x v="107"/>
    <n v="1"/>
  </r>
  <r>
    <s v="CV24905"/>
    <x v="346"/>
    <s v="SEGUROS"/>
    <x v="13"/>
    <x v="17"/>
    <e v="#NAME?"/>
    <x v="96"/>
    <n v="0.33"/>
  </r>
  <r>
    <s v="CV24905"/>
    <x v="346"/>
    <s v="SEGUROS"/>
    <x v="13"/>
    <x v="17"/>
    <e v="#NAME?"/>
    <x v="97"/>
    <n v="0.33"/>
  </r>
  <r>
    <s v="CV24905"/>
    <x v="346"/>
    <s v="SEGUROS"/>
    <x v="13"/>
    <x v="17"/>
    <e v="#NAME?"/>
    <x v="106"/>
    <n v="0.34"/>
  </r>
  <r>
    <s v="O003129"/>
    <x v="347"/>
    <s v="SEGUROS"/>
    <x v="13"/>
    <x v="17"/>
    <e v="#NAME?"/>
    <x v="107"/>
    <n v="0.5"/>
  </r>
  <r>
    <s v="O003129"/>
    <x v="347"/>
    <s v="SEGUROS"/>
    <x v="13"/>
    <x v="17"/>
    <e v="#NAME?"/>
    <x v="3"/>
    <n v="0.5"/>
  </r>
  <r>
    <s v="T003707"/>
    <x v="348"/>
    <s v="CFS"/>
    <x v="8"/>
    <x v="12"/>
    <e v="#NAME?"/>
    <x v="111"/>
    <n v="0.25"/>
  </r>
  <r>
    <s v="T003707"/>
    <x v="348"/>
    <s v="CFS"/>
    <x v="8"/>
    <x v="12"/>
    <e v="#NAME?"/>
    <x v="87"/>
    <n v="0.1"/>
  </r>
  <r>
    <s v="T003707"/>
    <x v="348"/>
    <s v="CFS"/>
    <x v="8"/>
    <x v="12"/>
    <e v="#NAME?"/>
    <x v="112"/>
    <n v="0.45"/>
  </r>
  <r>
    <s v="T003707"/>
    <x v="348"/>
    <s v="CFS"/>
    <x v="8"/>
    <x v="12"/>
    <e v="#NAME?"/>
    <x v="113"/>
    <n v="0.2"/>
  </r>
  <r>
    <s v="CE54569"/>
    <x v="349"/>
    <s v="CFS"/>
    <x v="8"/>
    <x v="1"/>
    <e v="#NAME?"/>
    <x v="87"/>
    <n v="0.45"/>
  </r>
  <r>
    <s v="CE54569"/>
    <x v="349"/>
    <s v="CFS"/>
    <x v="8"/>
    <x v="1"/>
    <e v="#NAME?"/>
    <x v="112"/>
    <n v="0.3"/>
  </r>
  <r>
    <s v="CE54569"/>
    <x v="349"/>
    <s v="CFS"/>
    <x v="8"/>
    <x v="1"/>
    <e v="#NAME?"/>
    <x v="114"/>
    <n v="0.15"/>
  </r>
  <r>
    <s v="CE54569"/>
    <x v="349"/>
    <s v="CFS"/>
    <x v="8"/>
    <x v="1"/>
    <e v="#NAME?"/>
    <x v="113"/>
    <n v="0.1"/>
  </r>
  <r>
    <s v="T003442"/>
    <x v="350"/>
    <s v="CFS"/>
    <x v="8"/>
    <x v="12"/>
    <e v="#NAME?"/>
    <x v="112"/>
    <n v="0.25"/>
  </r>
  <r>
    <s v="T003442"/>
    <x v="350"/>
    <s v="CFS"/>
    <x v="8"/>
    <x v="12"/>
    <e v="#NAME?"/>
    <x v="113"/>
    <n v="0.25"/>
  </r>
  <r>
    <s v="T003442"/>
    <x v="350"/>
    <s v="CFS"/>
    <x v="8"/>
    <x v="12"/>
    <e v="#NAME?"/>
    <x v="111"/>
    <n v="0.25"/>
  </r>
  <r>
    <s v="T003442"/>
    <x v="350"/>
    <s v="CFS"/>
    <x v="8"/>
    <x v="12"/>
    <e v="#NAME?"/>
    <x v="111"/>
    <n v="0.25"/>
  </r>
  <r>
    <s v="C804037"/>
    <x v="351"/>
    <s v="CFS"/>
    <x v="8"/>
    <x v="0"/>
    <e v="#NAME?"/>
    <x v="113"/>
    <n v="0.25"/>
  </r>
  <r>
    <s v="C804037"/>
    <x v="351"/>
    <s v="CFS"/>
    <x v="8"/>
    <x v="0"/>
    <e v="#NAME?"/>
    <x v="114"/>
    <n v="0.2"/>
  </r>
  <r>
    <s v="C804037"/>
    <x v="351"/>
    <s v="CFS"/>
    <x v="8"/>
    <x v="0"/>
    <e v="#NAME?"/>
    <x v="111"/>
    <n v="0.2"/>
  </r>
  <r>
    <s v="C804037"/>
    <x v="351"/>
    <s v="CFS"/>
    <x v="8"/>
    <x v="0"/>
    <e v="#NAME?"/>
    <x v="112"/>
    <n v="0.2"/>
  </r>
  <r>
    <s v="C804037"/>
    <x v="351"/>
    <s v="CFS"/>
    <x v="8"/>
    <x v="0"/>
    <e v="#NAME?"/>
    <x v="3"/>
    <n v="0.15"/>
  </r>
  <r>
    <s v="C805749"/>
    <x v="352"/>
    <s v="CFS"/>
    <x v="8"/>
    <x v="0"/>
    <e v="#NAME?"/>
    <x v="112"/>
    <n v="0.5"/>
  </r>
  <r>
    <s v="C805749"/>
    <x v="352"/>
    <s v="CFS"/>
    <x v="8"/>
    <x v="0"/>
    <e v="#NAME?"/>
    <x v="111"/>
    <n v="0.4"/>
  </r>
  <r>
    <s v="C805749"/>
    <x v="352"/>
    <s v="CFS"/>
    <x v="8"/>
    <x v="0"/>
    <e v="#NAME?"/>
    <x v="113"/>
    <n v="0.1"/>
  </r>
  <r>
    <s v="C809505"/>
    <x v="353"/>
    <s v="CFS"/>
    <x v="8"/>
    <x v="0"/>
    <e v="#NAME?"/>
    <x v="112"/>
    <n v="0.35"/>
  </r>
  <r>
    <s v="C809505"/>
    <x v="353"/>
    <s v="CFS"/>
    <x v="8"/>
    <x v="0"/>
    <e v="#NAME?"/>
    <x v="113"/>
    <n v="0.3"/>
  </r>
  <r>
    <s v="C809505"/>
    <x v="353"/>
    <s v="CFS"/>
    <x v="8"/>
    <x v="0"/>
    <e v="#NAME?"/>
    <x v="111"/>
    <n v="0.35"/>
  </r>
  <r>
    <s v="CE58926"/>
    <x v="354"/>
    <s v="CFS"/>
    <x v="8"/>
    <x v="12"/>
    <e v="#NAME?"/>
    <x v="113"/>
    <n v="0.5"/>
  </r>
  <r>
    <s v="CE58926"/>
    <x v="354"/>
    <s v="CFS"/>
    <x v="8"/>
    <x v="12"/>
    <e v="#NAME?"/>
    <x v="113"/>
    <n v="0.5"/>
  </r>
  <r>
    <s v="T002660"/>
    <x v="355"/>
    <s v="CFS"/>
    <x v="8"/>
    <x v="1"/>
    <e v="#NAME?"/>
    <x v="112"/>
    <n v="0.3"/>
  </r>
  <r>
    <s v="T002660"/>
    <x v="355"/>
    <s v="CFS"/>
    <x v="8"/>
    <x v="1"/>
    <e v="#NAME?"/>
    <x v="111"/>
    <n v="0.3"/>
  </r>
  <r>
    <s v="T002660"/>
    <x v="355"/>
    <s v="CFS"/>
    <x v="8"/>
    <x v="1"/>
    <e v="#NAME?"/>
    <x v="113"/>
    <n v="0.4"/>
  </r>
  <r>
    <s v="T003439"/>
    <x v="356"/>
    <s v="CFS"/>
    <x v="8"/>
    <x v="12"/>
    <e v="#NAME?"/>
    <x v="112"/>
    <n v="0.5"/>
  </r>
  <r>
    <s v="T003439"/>
    <x v="356"/>
    <s v="CFS"/>
    <x v="8"/>
    <x v="12"/>
    <e v="#NAME?"/>
    <x v="111"/>
    <n v="0.1"/>
  </r>
  <r>
    <s v="T003439"/>
    <x v="356"/>
    <s v="CFS"/>
    <x v="8"/>
    <x v="12"/>
    <e v="#NAME?"/>
    <x v="113"/>
    <n v="0.4"/>
  </r>
  <r>
    <s v="C808793"/>
    <x v="357"/>
    <s v="CFS"/>
    <x v="8"/>
    <x v="0"/>
    <e v="#NAME?"/>
    <x v="112"/>
    <n v="0.8"/>
  </r>
  <r>
    <s v="C808793"/>
    <x v="357"/>
    <s v="CFS"/>
    <x v="8"/>
    <x v="0"/>
    <e v="#NAME?"/>
    <x v="111"/>
    <n v="0.2"/>
  </r>
  <r>
    <s v="C811305"/>
    <x v="358"/>
    <s v="CFS"/>
    <x v="8"/>
    <x v="0"/>
    <e v="#NAME?"/>
    <x v="87"/>
    <n v="0.4"/>
  </r>
  <r>
    <s v="C811305"/>
    <x v="358"/>
    <s v="CFS"/>
    <x v="8"/>
    <x v="0"/>
    <e v="#NAME?"/>
    <x v="114"/>
    <n v="0.6"/>
  </r>
  <r>
    <s v="T003924"/>
    <x v="359"/>
    <s v="CFS"/>
    <x v="8"/>
    <x v="9"/>
    <e v="#NAME?"/>
    <x v="112"/>
    <n v="0.6"/>
  </r>
  <r>
    <s v="T003924"/>
    <x v="359"/>
    <s v="CFS"/>
    <x v="8"/>
    <x v="9"/>
    <e v="#NAME?"/>
    <x v="111"/>
    <n v="0.4"/>
  </r>
  <r>
    <s v="T005244"/>
    <x v="360"/>
    <s v="CFS"/>
    <x v="8"/>
    <x v="12"/>
    <e v="#NAME?"/>
    <x v="112"/>
    <n v="0.3"/>
  </r>
  <r>
    <s v="T005244"/>
    <x v="360"/>
    <s v="CFS"/>
    <x v="8"/>
    <x v="12"/>
    <e v="#NAME?"/>
    <x v="111"/>
    <n v="0.4"/>
  </r>
  <r>
    <s v="T005244"/>
    <x v="360"/>
    <s v="CFS"/>
    <x v="8"/>
    <x v="12"/>
    <e v="#NAME?"/>
    <x v="113"/>
    <n v="0.3"/>
  </r>
  <r>
    <s v="T004481"/>
    <x v="361"/>
    <s v="CFS"/>
    <x v="8"/>
    <x v="12"/>
    <e v="#NAME?"/>
    <x v="112"/>
    <n v="0.5"/>
  </r>
  <r>
    <s v="T004481"/>
    <x v="361"/>
    <s v="CFS"/>
    <x v="8"/>
    <x v="12"/>
    <e v="#NAME?"/>
    <x v="111"/>
    <n v="0.5"/>
  </r>
  <r>
    <s v="CE54975"/>
    <x v="362"/>
    <s v="CFS"/>
    <x v="8"/>
    <x v="9"/>
    <e v="#NAME?"/>
    <x v="112"/>
    <n v="0.5"/>
  </r>
  <r>
    <s v="CE54975"/>
    <x v="362"/>
    <s v="CFS"/>
    <x v="8"/>
    <x v="9"/>
    <e v="#NAME?"/>
    <x v="111"/>
    <n v="0.5"/>
  </r>
  <r>
    <s v="CE64571"/>
    <x v="363"/>
    <s v="CFS"/>
    <x v="8"/>
    <x v="9"/>
    <e v="#NAME?"/>
    <x v="111"/>
    <n v="1"/>
  </r>
  <r>
    <s v="CE69336"/>
    <x v="364"/>
    <s v="CFS"/>
    <x v="8"/>
    <x v="8"/>
    <e v="#NAME?"/>
    <x v="113"/>
    <n v="1"/>
  </r>
  <r>
    <s v="CE50845"/>
    <x v="365"/>
    <s v="CFS"/>
    <x v="8"/>
    <x v="12"/>
    <e v="#NAME?"/>
    <x v="111"/>
    <n v="0.5"/>
  </r>
  <r>
    <s v="CE50845"/>
    <x v="365"/>
    <s v="CFS"/>
    <x v="8"/>
    <x v="12"/>
    <e v="#NAME?"/>
    <x v="113"/>
    <n v="0.3"/>
  </r>
  <r>
    <s v="CE50845"/>
    <x v="365"/>
    <s v="CFS"/>
    <x v="8"/>
    <x v="12"/>
    <e v="#NAME?"/>
    <x v="112"/>
    <n v="0.2"/>
  </r>
  <r>
    <s v="CE67859"/>
    <x v="366"/>
    <s v="RETAIL"/>
    <x v="14"/>
    <x v="20"/>
    <e v="#NAME?"/>
    <x v="115"/>
    <n v="0.5"/>
  </r>
  <r>
    <s v="CE51863"/>
    <x v="275"/>
    <s v="RETAIL"/>
    <x v="14"/>
    <x v="2"/>
    <e v="#NAME?"/>
    <x v="115"/>
    <n v="0.02"/>
  </r>
  <r>
    <s v="O002593"/>
    <x v="367"/>
    <s v="RETAIL"/>
    <x v="14"/>
    <x v="0"/>
    <e v="#NAME?"/>
    <x v="115"/>
    <n v="0.2"/>
  </r>
  <r>
    <s v="O001659"/>
    <x v="368"/>
    <s v="RETAIL"/>
    <x v="14"/>
    <x v="0"/>
    <e v="#NAME?"/>
    <x v="115"/>
    <n v="1"/>
  </r>
  <r>
    <s v="T004575"/>
    <x v="369"/>
    <s v="RETAIL"/>
    <x v="14"/>
    <x v="20"/>
    <e v="#NAME?"/>
    <x v="115"/>
    <n v="1"/>
  </r>
  <r>
    <s v="O000959"/>
    <x v="370"/>
    <s v="RETAIL"/>
    <x v="14"/>
    <x v="0"/>
    <e v="#NAME?"/>
    <x v="115"/>
    <n v="1"/>
  </r>
  <r>
    <s v="C811006"/>
    <x v="371"/>
    <s v="RETAIL"/>
    <x v="14"/>
    <x v="0"/>
    <e v="#NAME?"/>
    <x v="115"/>
    <n v="1"/>
  </r>
  <r>
    <s v="T004934"/>
    <x v="372"/>
    <s v="RETAIL"/>
    <x v="14"/>
    <x v="1"/>
    <e v="#NAME?"/>
    <x v="115"/>
    <n v="1"/>
  </r>
  <r>
    <s v="CE70412"/>
    <x v="373"/>
    <s v="RETAIL"/>
    <x v="14"/>
    <x v="1"/>
    <e v="#NAME?"/>
    <x v="115"/>
    <n v="1"/>
  </r>
  <r>
    <s v="CE51863"/>
    <x v="275"/>
    <s v="RETAIL"/>
    <x v="14"/>
    <x v="2"/>
    <e v="#NAME?"/>
    <x v="67"/>
    <n v="0.02"/>
  </r>
  <r>
    <s v="O005003 "/>
    <x v="374"/>
    <s v="RETAIL"/>
    <x v="14"/>
    <x v="0"/>
    <e v="#NAME?"/>
    <x v="67"/>
    <n v="0.2"/>
  </r>
  <r>
    <s v="T001903"/>
    <x v="375"/>
    <s v="RETAIL"/>
    <x v="14"/>
    <x v="1"/>
    <e v="#NAME?"/>
    <x v="67"/>
    <n v="1"/>
  </r>
  <r>
    <s v="CE48051"/>
    <x v="376"/>
    <s v="RETAIL"/>
    <x v="14"/>
    <x v="6"/>
    <e v="#NAME?"/>
    <x v="67"/>
    <n v="1"/>
  </r>
  <r>
    <s v="CE69994"/>
    <x v="377"/>
    <s v="RETAIL"/>
    <x v="14"/>
    <x v="15"/>
    <e v="#NAME?"/>
    <x v="67"/>
    <n v="1"/>
  </r>
  <r>
    <s v="CE70000"/>
    <x v="378"/>
    <s v="RETAIL"/>
    <x v="14"/>
    <x v="15"/>
    <e v="#NAME?"/>
    <x v="67"/>
    <n v="1"/>
  </r>
  <r>
    <s v="C811282"/>
    <x v="379"/>
    <s v="RETAIL"/>
    <x v="14"/>
    <x v="0"/>
    <e v="#NAME?"/>
    <x v="67"/>
    <n v="1"/>
  </r>
  <r>
    <s v="CE69992"/>
    <x v="380"/>
    <s v="RETAIL"/>
    <x v="14"/>
    <x v="15"/>
    <e v="#NAME?"/>
    <x v="67"/>
    <n v="1"/>
  </r>
  <r>
    <s v="CE51863"/>
    <x v="275"/>
    <s v="RETAIL"/>
    <x v="14"/>
    <x v="2"/>
    <e v="#NAME?"/>
    <x v="68"/>
    <n v="0.02"/>
  </r>
  <r>
    <s v="O005003 "/>
    <x v="374"/>
    <s v="RETAIL"/>
    <x v="14"/>
    <x v="0"/>
    <e v="#NAME?"/>
    <x v="68"/>
    <n v="0.2"/>
  </r>
  <r>
    <s v="C805527"/>
    <x v="381"/>
    <s v="RETAIL"/>
    <x v="14"/>
    <x v="0"/>
    <e v="#NAME?"/>
    <x v="68"/>
    <n v="1"/>
  </r>
  <r>
    <s v="T006279"/>
    <x v="382"/>
    <s v="RETAIL"/>
    <x v="14"/>
    <x v="1"/>
    <e v="#NAME?"/>
    <x v="68"/>
    <n v="1"/>
  </r>
  <r>
    <m/>
    <x v="383"/>
    <s v="RETAIL"/>
    <x v="14"/>
    <x v="20"/>
    <e v="#NAME?"/>
    <x v="68"/>
    <n v="1"/>
  </r>
  <r>
    <s v="O005003 "/>
    <x v="374"/>
    <s v="RETAIL"/>
    <x v="14"/>
    <x v="0"/>
    <e v="#NAME?"/>
    <x v="116"/>
    <n v="0.2"/>
  </r>
  <r>
    <s v="T000210"/>
    <x v="384"/>
    <s v="RETAIL"/>
    <x v="14"/>
    <x v="8"/>
    <e v="#NAME?"/>
    <x v="116"/>
    <n v="1"/>
  </r>
  <r>
    <s v="O002162"/>
    <x v="385"/>
    <s v="RETAIL"/>
    <x v="14"/>
    <x v="0"/>
    <e v="#NAME?"/>
    <x v="116"/>
    <n v="1"/>
  </r>
  <r>
    <s v="CE69750"/>
    <x v="386"/>
    <s v="RETAIL"/>
    <x v="14"/>
    <x v="1"/>
    <e v="#NAME?"/>
    <x v="116"/>
    <n v="1"/>
  </r>
  <r>
    <s v="T001323"/>
    <x v="387"/>
    <s v="RETAIL"/>
    <x v="14"/>
    <x v="15"/>
    <e v="#NAME?"/>
    <x v="116"/>
    <n v="1"/>
  </r>
  <r>
    <s v="CE55865"/>
    <x v="388"/>
    <s v="RETAIL"/>
    <x v="14"/>
    <x v="9"/>
    <e v="#NAME?"/>
    <x v="116"/>
    <n v="1"/>
  </r>
  <r>
    <s v="C805937"/>
    <x v="389"/>
    <s v="RETAIL"/>
    <x v="14"/>
    <x v="0"/>
    <e v="#NAME?"/>
    <x v="116"/>
    <n v="1"/>
  </r>
  <r>
    <m/>
    <x v="390"/>
    <s v="RETAIL"/>
    <x v="14"/>
    <x v="8"/>
    <e v="#NAME?"/>
    <x v="116"/>
    <n v="1"/>
  </r>
  <r>
    <m/>
    <x v="391"/>
    <s v="RETAIL"/>
    <x v="14"/>
    <x v="20"/>
    <e v="#NAME?"/>
    <x v="116"/>
    <n v="1"/>
  </r>
  <r>
    <m/>
    <x v="392"/>
    <s v="RETAIL"/>
    <x v="14"/>
    <x v="8"/>
    <e v="#NAME?"/>
    <x v="116"/>
    <n v="1"/>
  </r>
  <r>
    <m/>
    <x v="393"/>
    <s v="RETAIL"/>
    <x v="14"/>
    <x v="20"/>
    <e v="#NAME?"/>
    <x v="116"/>
    <n v="1"/>
  </r>
  <r>
    <m/>
    <x v="394"/>
    <s v="RETAIL"/>
    <x v="14"/>
    <x v="1"/>
    <e v="#NAME?"/>
    <x v="116"/>
    <n v="1"/>
  </r>
  <r>
    <m/>
    <x v="395"/>
    <s v="RETAIL"/>
    <x v="14"/>
    <x v="1"/>
    <e v="#NAME?"/>
    <x v="116"/>
    <n v="1"/>
  </r>
  <r>
    <s v="CE67859"/>
    <x v="366"/>
    <s v="RETAIL"/>
    <x v="14"/>
    <x v="20"/>
    <e v="#NAME?"/>
    <x v="16"/>
    <n v="0.5"/>
  </r>
  <r>
    <s v="CE51863"/>
    <x v="275"/>
    <s v="RETAIL"/>
    <x v="14"/>
    <x v="2"/>
    <e v="#NAME?"/>
    <x v="16"/>
    <n v="0.02"/>
  </r>
  <r>
    <s v="T004295"/>
    <x v="396"/>
    <s v="RETAIL"/>
    <x v="14"/>
    <x v="20"/>
    <e v="#NAME?"/>
    <x v="16"/>
    <n v="1"/>
  </r>
  <r>
    <s v="C811281"/>
    <x v="397"/>
    <s v="RETAIL"/>
    <x v="14"/>
    <x v="0"/>
    <e v="#NAME?"/>
    <x v="16"/>
    <n v="1"/>
  </r>
  <r>
    <s v="T007579"/>
    <x v="398"/>
    <s v="RETAIL"/>
    <x v="14"/>
    <x v="12"/>
    <e v="#NAME?"/>
    <x v="16"/>
    <n v="1"/>
  </r>
  <r>
    <s v="O002593"/>
    <x v="367"/>
    <s v="RETAIL"/>
    <x v="14"/>
    <x v="0"/>
    <e v="#NAME?"/>
    <x v="16"/>
    <n v="0.2"/>
  </r>
  <r>
    <s v="O002593"/>
    <x v="367"/>
    <s v="RETAIL"/>
    <x v="14"/>
    <x v="0"/>
    <e v="#NAME?"/>
    <x v="16"/>
    <n v="0.2"/>
  </r>
  <r>
    <m/>
    <x v="399"/>
    <s v="RETAIL"/>
    <x v="14"/>
    <x v="12"/>
    <e v="#NAME?"/>
    <x v="16"/>
    <n v="1"/>
  </r>
  <r>
    <m/>
    <x v="400"/>
    <s v="RETAIL"/>
    <x v="14"/>
    <x v="20"/>
    <e v="#NAME?"/>
    <x v="16"/>
    <n v="1"/>
  </r>
  <r>
    <m/>
    <x v="383"/>
    <s v="RETAIL"/>
    <x v="14"/>
    <x v="20"/>
    <e v="#NAME?"/>
    <x v="16"/>
    <n v="1"/>
  </r>
  <r>
    <s v="CE51863"/>
    <x v="275"/>
    <s v="RETAIL"/>
    <x v="14"/>
    <x v="2"/>
    <e v="#NAME?"/>
    <x v="117"/>
    <n v="0.02"/>
  </r>
  <r>
    <s v="O004043"/>
    <x v="401"/>
    <s v="RETAIL"/>
    <x v="14"/>
    <x v="0"/>
    <e v="#NAME?"/>
    <x v="117"/>
    <n v="0.5"/>
  </r>
  <r>
    <s v="CE70114"/>
    <x v="402"/>
    <s v="RETAIL"/>
    <x v="14"/>
    <x v="9"/>
    <e v="#NAME?"/>
    <x v="117"/>
    <n v="1"/>
  </r>
  <r>
    <s v="O002593"/>
    <x v="367"/>
    <s v="RETAIL"/>
    <x v="14"/>
    <x v="0"/>
    <e v="#NAME?"/>
    <x v="117"/>
    <n v="0.2"/>
  </r>
  <r>
    <s v="T000410"/>
    <x v="403"/>
    <s v="RETAIL"/>
    <x v="14"/>
    <x v="15"/>
    <e v="#NAME?"/>
    <x v="118"/>
    <n v="1"/>
  </r>
  <r>
    <s v="CE51863"/>
    <x v="275"/>
    <s v="RETAIL"/>
    <x v="14"/>
    <x v="2"/>
    <e v="#NAME?"/>
    <x v="118"/>
    <n v="0.02"/>
  </r>
  <r>
    <s v="C810668"/>
    <x v="404"/>
    <s v="RETAIL"/>
    <x v="14"/>
    <x v="0"/>
    <e v="#NAME?"/>
    <x v="118"/>
    <n v="1"/>
  </r>
  <r>
    <s v="C342589"/>
    <x v="405"/>
    <s v="RETAIL"/>
    <x v="14"/>
    <x v="0"/>
    <e v="#NAME?"/>
    <x v="118"/>
    <n v="0.3"/>
  </r>
  <r>
    <s v="CE51863"/>
    <x v="275"/>
    <s v="RETAIL"/>
    <x v="14"/>
    <x v="2"/>
    <e v="#NAME?"/>
    <x v="3"/>
    <n v="0.02"/>
  </r>
  <r>
    <s v="C342589"/>
    <x v="405"/>
    <s v="RETAIL"/>
    <x v="14"/>
    <x v="0"/>
    <e v="#NAME?"/>
    <x v="3"/>
    <n v="0.7"/>
  </r>
  <r>
    <s v="C809750"/>
    <x v="406"/>
    <s v="RETAIL"/>
    <x v="14"/>
    <x v="0"/>
    <e v="#NAME?"/>
    <x v="3"/>
    <n v="1"/>
  </r>
  <r>
    <s v="CE67868"/>
    <x v="407"/>
    <s v="RETAIL"/>
    <x v="14"/>
    <x v="20"/>
    <e v="#NAME?"/>
    <x v="3"/>
    <n v="1"/>
  </r>
  <r>
    <s v="CE67314"/>
    <x v="408"/>
    <s v="RETAIL"/>
    <x v="14"/>
    <x v="20"/>
    <e v="#NAME?"/>
    <x v="3"/>
    <n v="1"/>
  </r>
  <r>
    <s v="CE51863"/>
    <x v="275"/>
    <s v="RETAIL"/>
    <x v="14"/>
    <x v="2"/>
    <e v="#NAME?"/>
    <x v="116"/>
    <n v="0.02"/>
  </r>
  <r>
    <s v="CE66714"/>
    <x v="409"/>
    <s v="RETAIL"/>
    <x v="14"/>
    <x v="6"/>
    <e v="#NAME?"/>
    <x v="84"/>
    <n v="1"/>
  </r>
  <r>
    <s v="O002593"/>
    <x v="367"/>
    <s v="RETAIL"/>
    <x v="14"/>
    <x v="0"/>
    <e v="#NAME?"/>
    <x v="84"/>
    <n v="0.2"/>
  </r>
  <r>
    <s v="O005003 "/>
    <x v="374"/>
    <s v="RETAIL"/>
    <x v="14"/>
    <x v="0"/>
    <e v="#NAME?"/>
    <x v="119"/>
    <n v="0.2"/>
  </r>
  <r>
    <m/>
    <x v="394"/>
    <s v="RETAIL"/>
    <x v="14"/>
    <x v="1"/>
    <e v="#NAME?"/>
    <x v="119"/>
    <n v="1"/>
  </r>
  <r>
    <m/>
    <x v="390"/>
    <s v="RETAIL"/>
    <x v="14"/>
    <x v="20"/>
    <e v="#NAME?"/>
    <x v="119"/>
    <n v="1"/>
  </r>
  <r>
    <m/>
    <x v="391"/>
    <s v="RETAIL"/>
    <x v="14"/>
    <x v="20"/>
    <e v="#NAME?"/>
    <x v="119"/>
    <n v="1"/>
  </r>
  <r>
    <s v="O005003 "/>
    <x v="374"/>
    <s v="RETAIL"/>
    <x v="14"/>
    <x v="0"/>
    <e v="#NAME?"/>
    <x v="120"/>
    <n v="0.2"/>
  </r>
  <r>
    <s v="O004043"/>
    <x v="401"/>
    <s v="RETAIL"/>
    <x v="14"/>
    <x v="0"/>
    <e v="#NAME?"/>
    <x v="120"/>
    <n v="0.5"/>
  </r>
  <r>
    <s v="C797767"/>
    <x v="410"/>
    <s v="CORE"/>
    <x v="15"/>
    <x v="0"/>
    <e v="#NAME?"/>
    <x v="121"/>
    <n v="0.5"/>
  </r>
  <r>
    <s v="C797767"/>
    <x v="410"/>
    <s v="CORE"/>
    <x v="15"/>
    <x v="0"/>
    <e v="#NAME?"/>
    <x v="122"/>
    <n v="0.5"/>
  </r>
  <r>
    <s v="O001978"/>
    <x v="411"/>
    <s v="CORE"/>
    <x v="15"/>
    <x v="0"/>
    <e v="#NAME?"/>
    <x v="123"/>
    <n v="0.3"/>
  </r>
  <r>
    <s v="O001978"/>
    <x v="411"/>
    <s v="CORE"/>
    <x v="15"/>
    <x v="0"/>
    <e v="#NAME?"/>
    <x v="124"/>
    <n v="0.7"/>
  </r>
  <r>
    <s v="O001977"/>
    <x v="412"/>
    <s v="CORE"/>
    <x v="15"/>
    <x v="0"/>
    <e v="#NAME?"/>
    <x v="121"/>
    <n v="0.5"/>
  </r>
  <r>
    <s v="O001977"/>
    <x v="412"/>
    <s v="CORE"/>
    <x v="15"/>
    <x v="0"/>
    <e v="#NAME?"/>
    <x v="122"/>
    <n v="0.5"/>
  </r>
  <r>
    <s v="O000451"/>
    <x v="413"/>
    <s v="CORE"/>
    <x v="15"/>
    <x v="0"/>
    <e v="#NAME?"/>
    <x v="121"/>
    <n v="1"/>
  </r>
  <r>
    <s v="O001827"/>
    <x v="414"/>
    <s v="CORE"/>
    <x v="15"/>
    <x v="0"/>
    <e v="#NAME?"/>
    <x v="121"/>
    <n v="0.5"/>
  </r>
  <r>
    <s v="O001827"/>
    <x v="414"/>
    <s v="CORE"/>
    <x v="15"/>
    <x v="0"/>
    <e v="#NAME?"/>
    <x v="122"/>
    <n v="0.5"/>
  </r>
  <r>
    <s v="C805385"/>
    <x v="415"/>
    <s v="CORE"/>
    <x v="15"/>
    <x v="0"/>
    <e v="#NAME?"/>
    <x v="119"/>
    <n v="1"/>
  </r>
  <r>
    <s v="C810943"/>
    <x v="416"/>
    <s v="CORE"/>
    <x v="15"/>
    <x v="0"/>
    <e v="#NAME?"/>
    <x v="125"/>
    <n v="1"/>
  </r>
  <r>
    <s v="C810846"/>
    <x v="417"/>
    <s v="CORE"/>
    <x v="15"/>
    <x v="0"/>
    <e v="#NAME?"/>
    <x v="126"/>
    <n v="1"/>
  </r>
  <r>
    <s v="C805379"/>
    <x v="418"/>
    <s v="CORE"/>
    <x v="15"/>
    <x v="0"/>
    <e v="#NAME?"/>
    <x v="119"/>
    <n v="0.25"/>
  </r>
  <r>
    <s v="C805379"/>
    <x v="418"/>
    <s v="CORE"/>
    <x v="15"/>
    <x v="0"/>
    <e v="#NAME?"/>
    <x v="86"/>
    <n v="0.75"/>
  </r>
  <r>
    <s v="C805988"/>
    <x v="419"/>
    <s v="CORE"/>
    <x v="15"/>
    <x v="0"/>
    <e v="#NAME?"/>
    <x v="86"/>
    <n v="1"/>
  </r>
  <r>
    <s v="C342057"/>
    <x v="420"/>
    <s v="CORE"/>
    <x v="15"/>
    <x v="0"/>
    <e v="#NAME?"/>
    <x v="125"/>
    <n v="0.5"/>
  </r>
  <r>
    <s v="C342057"/>
    <x v="420"/>
    <s v="CORE"/>
    <x v="15"/>
    <x v="0"/>
    <e v="#NAME?"/>
    <x v="119"/>
    <n v="0.2"/>
  </r>
  <r>
    <s v="C342057"/>
    <x v="420"/>
    <s v="CORE"/>
    <x v="15"/>
    <x v="0"/>
    <e v="#NAME?"/>
    <x v="126"/>
    <n v="0.1"/>
  </r>
  <r>
    <s v="C342057"/>
    <x v="420"/>
    <s v="CORE"/>
    <x v="15"/>
    <x v="0"/>
    <e v="#NAME?"/>
    <x v="123"/>
    <n v="0.2"/>
  </r>
  <r>
    <s v="C805964"/>
    <x v="421"/>
    <s v="CORE"/>
    <x v="15"/>
    <x v="0"/>
    <e v="#NAME?"/>
    <x v="123"/>
    <n v="1"/>
  </r>
  <r>
    <s v="O004843"/>
    <x v="422"/>
    <s v="CORE"/>
    <x v="15"/>
    <x v="0"/>
    <e v="#NAME?"/>
    <x v="119"/>
    <n v="0.2"/>
  </r>
  <r>
    <s v="O004843"/>
    <x v="422"/>
    <s v="CORE"/>
    <x v="15"/>
    <x v="0"/>
    <e v="#NAME?"/>
    <x v="86"/>
    <n v="0.2"/>
  </r>
  <r>
    <s v="O004843"/>
    <x v="422"/>
    <s v="CORE"/>
    <x v="15"/>
    <x v="0"/>
    <e v="#NAME?"/>
    <x v="123"/>
    <n v="0.2"/>
  </r>
  <r>
    <s v="O004843"/>
    <x v="422"/>
    <s v="CORE"/>
    <x v="15"/>
    <x v="0"/>
    <e v="#NAME?"/>
    <x v="126"/>
    <n v="0.2"/>
  </r>
  <r>
    <s v="O004843"/>
    <x v="422"/>
    <s v="CORE"/>
    <x v="15"/>
    <x v="0"/>
    <e v="#NAME?"/>
    <x v="125"/>
    <n v="0.2"/>
  </r>
  <r>
    <s v="CE59519"/>
    <x v="423"/>
    <s v="CORE"/>
    <x v="15"/>
    <x v="5"/>
    <e v="#NAME?"/>
    <x v="126"/>
    <n v="1"/>
  </r>
  <r>
    <s v="CE64394"/>
    <x v="424"/>
    <s v="CORE"/>
    <x v="15"/>
    <x v="2"/>
    <e v="#NAME?"/>
    <x v="126"/>
    <n v="1"/>
  </r>
  <r>
    <s v="T007567"/>
    <x v="425"/>
    <s v="CORE"/>
    <x v="15"/>
    <x v="1"/>
    <e v="#NAME?"/>
    <x v="119"/>
    <n v="1"/>
  </r>
  <r>
    <s v="T004584"/>
    <x v="426"/>
    <s v="CORE"/>
    <x v="15"/>
    <x v="1"/>
    <e v="#NAME?"/>
    <x v="119"/>
    <n v="1"/>
  </r>
  <r>
    <s v="T001314"/>
    <x v="427"/>
    <s v="CORE"/>
    <x v="15"/>
    <x v="1"/>
    <e v="#NAME?"/>
    <x v="86"/>
    <n v="1"/>
  </r>
  <r>
    <s v="CE69611"/>
    <x v="428"/>
    <s v="CORE"/>
    <x v="15"/>
    <x v="20"/>
    <e v="#NAME?"/>
    <x v="86"/>
    <n v="1"/>
  </r>
  <r>
    <s v="CE69612"/>
    <x v="429"/>
    <s v="CORE"/>
    <x v="15"/>
    <x v="20"/>
    <e v="#NAME?"/>
    <x v="119"/>
    <n v="1"/>
  </r>
  <r>
    <s v="C342048"/>
    <x v="430"/>
    <s v="CORE"/>
    <x v="15"/>
    <x v="0"/>
    <e v="#NAME?"/>
    <x v="124"/>
    <n v="0.5"/>
  </r>
  <r>
    <s v="C342048"/>
    <x v="430"/>
    <s v="CORE"/>
    <x v="15"/>
    <x v="0"/>
    <e v="#NAME?"/>
    <x v="127"/>
    <n v="0.25"/>
  </r>
  <r>
    <s v="C342048"/>
    <x v="430"/>
    <s v="CORE"/>
    <x v="15"/>
    <x v="0"/>
    <e v="#NAME?"/>
    <x v="128"/>
    <n v="0.25"/>
  </r>
  <r>
    <s v="O000444"/>
    <x v="431"/>
    <s v="CORE"/>
    <x v="15"/>
    <x v="0"/>
    <e v="#NAME?"/>
    <x v="124"/>
    <n v="0.9"/>
  </r>
  <r>
    <s v="O000444"/>
    <x v="431"/>
    <s v="CORE"/>
    <x v="15"/>
    <x v="0"/>
    <e v="#NAME?"/>
    <x v="129"/>
    <n v="0.1"/>
  </r>
  <r>
    <s v="O000106"/>
    <x v="432"/>
    <s v="CORE"/>
    <x v="15"/>
    <x v="0"/>
    <e v="#NAME?"/>
    <x v="129"/>
    <n v="0.8"/>
  </r>
  <r>
    <s v="O000106"/>
    <x v="432"/>
    <s v="CORE"/>
    <x v="15"/>
    <x v="0"/>
    <e v="#NAME?"/>
    <x v="130"/>
    <n v="0.2"/>
  </r>
  <r>
    <s v="C810908"/>
    <x v="433"/>
    <s v="CORE"/>
    <x v="15"/>
    <x v="0"/>
    <e v="#NAME?"/>
    <x v="123"/>
    <n v="0.5"/>
  </r>
  <r>
    <s v="C810908"/>
    <x v="433"/>
    <s v="CORE"/>
    <x v="15"/>
    <x v="0"/>
    <e v="#NAME?"/>
    <x v="128"/>
    <n v="0.5"/>
  </r>
  <r>
    <s v="C810801"/>
    <x v="434"/>
    <s v="CORE"/>
    <x v="15"/>
    <x v="0"/>
    <e v="#NAME?"/>
    <x v="131"/>
    <n v="0.1"/>
  </r>
  <r>
    <s v="C810801"/>
    <x v="434"/>
    <s v="CORE"/>
    <x v="15"/>
    <x v="0"/>
    <e v="#NAME?"/>
    <x v="127"/>
    <n v="0.9"/>
  </r>
  <r>
    <s v="O003400"/>
    <x v="435"/>
    <s v="CORE"/>
    <x v="15"/>
    <x v="0"/>
    <e v="#NAME?"/>
    <x v="127"/>
    <n v="1"/>
  </r>
  <r>
    <s v="O003461"/>
    <x v="436"/>
    <s v="CORE"/>
    <x v="15"/>
    <x v="0"/>
    <e v="#NAME?"/>
    <x v="124"/>
    <n v="1"/>
  </r>
  <r>
    <s v="C808133"/>
    <x v="437"/>
    <s v="CORE"/>
    <x v="15"/>
    <x v="0"/>
    <e v="#NAME?"/>
    <x v="124"/>
    <n v="0.2"/>
  </r>
  <r>
    <s v="C808133"/>
    <x v="437"/>
    <s v="CORE"/>
    <x v="15"/>
    <x v="0"/>
    <e v="#NAME?"/>
    <x v="84"/>
    <n v="0.8"/>
  </r>
  <r>
    <s v="O000446"/>
    <x v="438"/>
    <s v="CORE"/>
    <x v="15"/>
    <x v="0"/>
    <e v="#NAME?"/>
    <x v="124"/>
    <n v="0.2"/>
  </r>
  <r>
    <s v="O000446"/>
    <x v="438"/>
    <s v="CORE"/>
    <x v="15"/>
    <x v="0"/>
    <e v="#NAME?"/>
    <x v="127"/>
    <n v="0.2"/>
  </r>
  <r>
    <s v="O000446"/>
    <x v="438"/>
    <s v="CORE"/>
    <x v="15"/>
    <x v="0"/>
    <e v="#NAME?"/>
    <x v="128"/>
    <n v="0.2"/>
  </r>
  <r>
    <s v="O000446"/>
    <x v="438"/>
    <s v="CORE"/>
    <x v="15"/>
    <x v="0"/>
    <e v="#NAME?"/>
    <x v="123"/>
    <n v="0.2"/>
  </r>
  <r>
    <s v="O000446"/>
    <x v="438"/>
    <s v="CORE"/>
    <x v="15"/>
    <x v="0"/>
    <e v="#NAME?"/>
    <x v="129"/>
    <n v="0.2"/>
  </r>
  <r>
    <s v="CE57920"/>
    <x v="439"/>
    <s v="CORE"/>
    <x v="15"/>
    <x v="5"/>
    <e v="#NAME?"/>
    <x v="124"/>
    <n v="1"/>
  </r>
  <r>
    <s v="C804828"/>
    <x v="440"/>
    <s v="CORE"/>
    <x v="15"/>
    <x v="0"/>
    <e v="#NAME?"/>
    <x v="132"/>
    <n v="0.1"/>
  </r>
  <r>
    <s v="C804828"/>
    <x v="440"/>
    <s v="CORE"/>
    <x v="15"/>
    <x v="0"/>
    <e v="#NAME?"/>
    <x v="6"/>
    <n v="0.9"/>
  </r>
  <r>
    <s v="C343126"/>
    <x v="441"/>
    <s v="CORE"/>
    <x v="15"/>
    <x v="0"/>
    <e v="#NAME?"/>
    <x v="6"/>
    <n v="0.6"/>
  </r>
  <r>
    <s v="C343126"/>
    <x v="441"/>
    <s v="CORE"/>
    <x v="15"/>
    <x v="0"/>
    <e v="#NAME?"/>
    <x v="133"/>
    <n v="0.4"/>
  </r>
  <r>
    <s v="C809713"/>
    <x v="442"/>
    <s v="CORE"/>
    <x v="15"/>
    <x v="0"/>
    <e v="#NAME?"/>
    <x v="134"/>
    <n v="0.4"/>
  </r>
  <r>
    <s v="C809713"/>
    <x v="442"/>
    <s v="CORE"/>
    <x v="15"/>
    <x v="0"/>
    <e v="#NAME?"/>
    <x v="9"/>
    <n v="0.6"/>
  </r>
  <r>
    <s v="C367168"/>
    <x v="443"/>
    <s v="CORE"/>
    <x v="15"/>
    <x v="0"/>
    <e v="#NAME?"/>
    <x v="6"/>
    <n v="0.4"/>
  </r>
  <r>
    <s v="C367168"/>
    <x v="443"/>
    <s v="CORE"/>
    <x v="15"/>
    <x v="0"/>
    <e v="#NAME?"/>
    <x v="132"/>
    <n v="0.05"/>
  </r>
  <r>
    <s v="C367168"/>
    <x v="443"/>
    <s v="CORE"/>
    <x v="15"/>
    <x v="0"/>
    <e v="#NAME?"/>
    <x v="134"/>
    <n v="0.2"/>
  </r>
  <r>
    <s v="C367168"/>
    <x v="443"/>
    <s v="CORE"/>
    <x v="15"/>
    <x v="0"/>
    <e v="#NAME?"/>
    <x v="9"/>
    <n v="0.1"/>
  </r>
  <r>
    <s v="C367168"/>
    <x v="443"/>
    <s v="CORE"/>
    <x v="15"/>
    <x v="0"/>
    <e v="#NAME?"/>
    <x v="133"/>
    <n v="0.25"/>
  </r>
  <r>
    <s v="CE51434"/>
    <x v="444"/>
    <s v="CORE"/>
    <x v="15"/>
    <x v="5"/>
    <e v="#NAME?"/>
    <x v="134"/>
    <n v="0.5"/>
  </r>
  <r>
    <s v="CE51434"/>
    <x v="444"/>
    <s v="CORE"/>
    <x v="15"/>
    <x v="5"/>
    <e v="#NAME?"/>
    <x v="6"/>
    <n v="0.5"/>
  </r>
  <r>
    <s v="C808227"/>
    <x v="445"/>
    <s v="CIB &amp; COMEX - FIDUCIARIA"/>
    <x v="16"/>
    <x v="0"/>
    <e v="#NAME?"/>
    <x v="135"/>
    <n v="1"/>
  </r>
  <r>
    <s v="C804032"/>
    <x v="446"/>
    <s v="CIB &amp; COMEX - FIDUCIARIA"/>
    <x v="16"/>
    <x v="0"/>
    <e v="#NAME?"/>
    <x v="136"/>
    <n v="0.5"/>
  </r>
  <r>
    <s v="C804032"/>
    <x v="446"/>
    <s v="CIB &amp; COMEX - FIDUCIARIA"/>
    <x v="16"/>
    <x v="0"/>
    <e v="#NAME?"/>
    <x v="137"/>
    <n v="0.5"/>
  </r>
  <r>
    <s v="C811284"/>
    <x v="447"/>
    <s v="CIB &amp; COMEX - FIDUCIARIA"/>
    <x v="16"/>
    <x v="0"/>
    <e v="#NAME?"/>
    <x v="34"/>
    <n v="1"/>
  </r>
  <r>
    <s v="C808193"/>
    <x v="448"/>
    <s v="CIB &amp; COMEX - FIDUCIARIA"/>
    <x v="16"/>
    <x v="0"/>
    <e v="#NAME?"/>
    <x v="5"/>
    <n v="0.75"/>
  </r>
  <r>
    <s v="C808193"/>
    <x v="448"/>
    <s v="CIB &amp; COMEX - FIDUCIARIA"/>
    <x v="16"/>
    <x v="0"/>
    <e v="#NAME?"/>
    <x v="138"/>
    <n v="0.25"/>
  </r>
  <r>
    <s v="C782744"/>
    <x v="449"/>
    <s v="CIB &amp; COMEX - FIDUCIARIA"/>
    <x v="16"/>
    <x v="0"/>
    <e v="#NAME?"/>
    <x v="138"/>
    <n v="0.25"/>
  </r>
  <r>
    <s v="C782744"/>
    <x v="449"/>
    <s v="CIB &amp; COMEX - FIDUCIARIA"/>
    <x v="16"/>
    <x v="0"/>
    <e v="#NAME?"/>
    <x v="139"/>
    <n v="0.75"/>
  </r>
  <r>
    <s v="C805683"/>
    <x v="450"/>
    <s v="CIB &amp; COMEX - FIDUCIARIA"/>
    <x v="16"/>
    <x v="0"/>
    <e v="#NAME?"/>
    <x v="139"/>
    <n v="0.5"/>
  </r>
  <r>
    <s v="C805683"/>
    <x v="450"/>
    <s v="CIB &amp; COMEX - FIDUCIARIA"/>
    <x v="16"/>
    <x v="0"/>
    <e v="#NAME?"/>
    <x v="140"/>
    <n v="0.5"/>
  </r>
  <r>
    <s v="C805074"/>
    <x v="451"/>
    <s v="CIB &amp; COMEX - FIDUCIARIA"/>
    <x v="16"/>
    <x v="0"/>
    <e v="#NAME?"/>
    <x v="136"/>
    <n v="0.3"/>
  </r>
  <r>
    <s v="C805074"/>
    <x v="451"/>
    <s v="CIB &amp; COMEX - FIDUCIARIA"/>
    <x v="16"/>
    <x v="0"/>
    <e v="#NAME?"/>
    <x v="141"/>
    <n v="0.3"/>
  </r>
  <r>
    <s v="C805074"/>
    <x v="451"/>
    <s v="CIB &amp; COMEX - FIDUCIARIA"/>
    <x v="16"/>
    <x v="0"/>
    <e v="#NAME?"/>
    <x v="137"/>
    <n v="0.4"/>
  </r>
  <r>
    <s v="O001825"/>
    <x v="452"/>
    <s v="CIB &amp; COMEX - FIDUCIARIA"/>
    <x v="16"/>
    <x v="0"/>
    <e v="#NAME?"/>
    <x v="136"/>
    <n v="0.25"/>
  </r>
  <r>
    <s v="O001825"/>
    <x v="452"/>
    <s v="CIB &amp; COMEX - FIDUCIARIA"/>
    <x v="16"/>
    <x v="0"/>
    <e v="#NAME?"/>
    <x v="141"/>
    <n v="0.25"/>
  </r>
  <r>
    <s v="O001825"/>
    <x v="452"/>
    <s v="CIB &amp; COMEX - FIDUCIARIA"/>
    <x v="16"/>
    <x v="0"/>
    <e v="#NAME?"/>
    <x v="137"/>
    <n v="0.5"/>
  </r>
  <r>
    <s v="O003306"/>
    <x v="453"/>
    <s v="CIB &amp; COMEX - FIDUCIARIA"/>
    <x v="16"/>
    <x v="0"/>
    <e v="#NAME?"/>
    <x v="137"/>
    <n v="0.75"/>
  </r>
  <r>
    <s v="O003306"/>
    <x v="453"/>
    <s v="CIB &amp; COMEX - FIDUCIARIA"/>
    <x v="16"/>
    <x v="0"/>
    <e v="#NAME?"/>
    <x v="137"/>
    <n v="0.25"/>
  </r>
  <r>
    <s v="CE52611"/>
    <x v="454"/>
    <s v="CIB &amp; COMEX - FIDUCIARIA"/>
    <x v="16"/>
    <x v="3"/>
    <e v="#NAME?"/>
    <x v="5"/>
    <n v="0.5"/>
  </r>
  <r>
    <s v="CE52611"/>
    <x v="454"/>
    <s v="CIB &amp; COMEX - FIDUCIARIA"/>
    <x v="16"/>
    <x v="3"/>
    <e v="#NAME?"/>
    <x v="142"/>
    <n v="0.5"/>
  </r>
  <r>
    <s v="C804789"/>
    <x v="455"/>
    <s v="CIB &amp; COMEX - FIDUCIARIA"/>
    <x v="16"/>
    <x v="0"/>
    <e v="#NAME?"/>
    <x v="143"/>
    <n v="0.5"/>
  </r>
  <r>
    <s v="C804789"/>
    <x v="455"/>
    <s v="CIB &amp; COMEX - FIDUCIARIA"/>
    <x v="16"/>
    <x v="0"/>
    <e v="#NAME?"/>
    <x v="144"/>
    <n v="0.5"/>
  </r>
  <r>
    <s v="C810672"/>
    <x v="456"/>
    <s v="CIB &amp; COMEX - FIDUCIARIA"/>
    <x v="16"/>
    <x v="0"/>
    <e v="#NAME?"/>
    <x v="6"/>
    <n v="0.5"/>
  </r>
  <r>
    <s v="C810672"/>
    <x v="456"/>
    <s v="CIB &amp; COMEX - FIDUCIARIA"/>
    <x v="16"/>
    <x v="0"/>
    <e v="#NAME?"/>
    <x v="144"/>
    <n v="0.5"/>
  </r>
  <r>
    <s v="C804843"/>
    <x v="457"/>
    <s v="CIB &amp; COMEX - FIDUCIARIA"/>
    <x v="16"/>
    <x v="0"/>
    <e v="#NAME?"/>
    <x v="6"/>
    <n v="0.5"/>
  </r>
  <r>
    <s v="C804843"/>
    <x v="457"/>
    <s v="CIB &amp; COMEX - FIDUCIARIA"/>
    <x v="16"/>
    <x v="0"/>
    <e v="#NAME?"/>
    <x v="144"/>
    <n v="0.5"/>
  </r>
  <r>
    <s v="C805104"/>
    <x v="458"/>
    <s v="CIB &amp; COMEX - FIDUCIARIA"/>
    <x v="16"/>
    <x v="0"/>
    <e v="#NAME?"/>
    <x v="145"/>
    <n v="1"/>
  </r>
  <r>
    <s v="C810818"/>
    <x v="459"/>
    <s v="CIB &amp; COMEX - FIDUCIARIA"/>
    <x v="16"/>
    <x v="0"/>
    <e v="#NAME?"/>
    <x v="146"/>
    <n v="1"/>
  </r>
  <r>
    <s v="CE67855"/>
    <x v="460"/>
    <s v="CIB &amp; COMEX - FIDUCIARIA"/>
    <x v="16"/>
    <x v="20"/>
    <e v="#NAME?"/>
    <x v="3"/>
    <n v="1"/>
  </r>
  <r>
    <s v="T007493"/>
    <x v="461"/>
    <s v="CIB &amp; COMEX - FIDUCIARIA"/>
    <x v="16"/>
    <x v="9"/>
    <e v="#NAME?"/>
    <x v="137"/>
    <n v="0.5"/>
  </r>
  <r>
    <s v="C796462"/>
    <x v="462"/>
    <s v="CIB &amp; COMEX - FIDUCIARIA"/>
    <x v="16"/>
    <x v="0"/>
    <e v="#NAME?"/>
    <x v="3"/>
    <n v="1"/>
  </r>
  <r>
    <s v="C342545"/>
    <x v="463"/>
    <s v="CIB &amp; COMEX - FIDUCIARIA"/>
    <x v="16"/>
    <x v="0"/>
    <e v="#NAME?"/>
    <x v="3"/>
    <n v="1"/>
  </r>
  <r>
    <s v="CE69667"/>
    <x v="464"/>
    <s v="CIB &amp; COMEX - FIDUCIARIA"/>
    <x v="16"/>
    <x v="9"/>
    <e v="#NAME?"/>
    <x v="3"/>
    <n v="1"/>
  </r>
  <r>
    <s v="CE65485"/>
    <x v="465"/>
    <s v="CIB &amp; COMEX - FIDUCIARIA"/>
    <x v="16"/>
    <x v="20"/>
    <e v="#NAME?"/>
    <x v="3"/>
    <n v="1"/>
  </r>
  <r>
    <s v="C809352"/>
    <x v="466"/>
    <s v="CIB &amp; COMEX - FIDUCIARIA"/>
    <x v="16"/>
    <x v="0"/>
    <e v="#NAME?"/>
    <x v="3"/>
    <n v="1"/>
  </r>
  <r>
    <s v="CE67103"/>
    <x v="467"/>
    <s v="CIB &amp; COMEX - FIDUCIARIA"/>
    <x v="16"/>
    <x v="20"/>
    <e v="#NAME?"/>
    <x v="3"/>
    <n v="1"/>
  </r>
  <r>
    <s v="CE66251"/>
    <x v="468"/>
    <s v="CIB &amp; COMEX - FIDUCIARIA"/>
    <x v="16"/>
    <x v="9"/>
    <e v="#NAME?"/>
    <x v="139"/>
    <n v="0.5"/>
  </r>
  <r>
    <s v="C811314"/>
    <x v="469"/>
    <s v="ENTERPRISE"/>
    <x v="17"/>
    <x v="0"/>
    <e v="#NAME?"/>
    <x v="3"/>
    <n v="0.75"/>
  </r>
  <r>
    <s v="C811314"/>
    <x v="469"/>
    <s v="ENTERPRISE"/>
    <x v="17"/>
    <x v="0"/>
    <e v="#NAME?"/>
    <x v="20"/>
    <n v="0.25"/>
  </r>
  <r>
    <s v="CE68481"/>
    <x v="470"/>
    <s v="ENTERPRISE"/>
    <x v="17"/>
    <x v="9"/>
    <e v="#NAME?"/>
    <x v="3"/>
    <n v="1"/>
  </r>
  <r>
    <s v="T001858"/>
    <x v="471"/>
    <s v="ENTERPRISE"/>
    <x v="17"/>
    <x v="12"/>
    <e v="#NAME?"/>
    <x v="40"/>
    <n v="1"/>
  </r>
  <r>
    <s v="CE66707"/>
    <x v="472"/>
    <s v="ENTERPRISE"/>
    <x v="17"/>
    <x v="9"/>
    <e v="#NAME?"/>
    <x v="40"/>
    <n v="1"/>
  </r>
  <r>
    <s v="C802984"/>
    <x v="473"/>
    <s v="ENTERPRISE"/>
    <x v="17"/>
    <x v="0"/>
    <e v="#NAME?"/>
    <x v="3"/>
    <n v="0.5"/>
  </r>
  <r>
    <s v="C802984"/>
    <x v="473"/>
    <s v="ENTERPRISE"/>
    <x v="17"/>
    <x v="0"/>
    <e v="#NAME?"/>
    <x v="40"/>
    <n v="0.5"/>
  </r>
  <r>
    <s v="CE30852"/>
    <x v="474"/>
    <s v="ENTERPRISE"/>
    <x v="17"/>
    <x v="9"/>
    <e v="#NAME?"/>
    <x v="3"/>
    <n v="1"/>
  </r>
  <r>
    <s v="C804326"/>
    <x v="475"/>
    <s v="ENTERPRISE"/>
    <x v="17"/>
    <x v="0"/>
    <e v="#NAME?"/>
    <x v="3"/>
    <n v="0.25"/>
  </r>
  <r>
    <s v="C804326"/>
    <x v="475"/>
    <s v="ENTERPRISE"/>
    <x v="17"/>
    <x v="0"/>
    <e v="#NAME?"/>
    <x v="40"/>
    <n v="0.75"/>
  </r>
  <r>
    <s v="C811188"/>
    <x v="476"/>
    <s v="ENTERPRISE"/>
    <x v="17"/>
    <x v="0"/>
    <e v="#NAME?"/>
    <x v="3"/>
    <n v="1"/>
  </r>
  <r>
    <s v="CE57157"/>
    <x v="477"/>
    <s v="ENTERPRISE"/>
    <x v="17"/>
    <x v="9"/>
    <e v="#NAME?"/>
    <x v="3"/>
    <n v="1"/>
  </r>
  <r>
    <s v="T003701"/>
    <x v="478"/>
    <s v="ENTERPRISE"/>
    <x v="17"/>
    <x v="9"/>
    <e v="#NAME?"/>
    <x v="3"/>
    <n v="1"/>
  </r>
  <r>
    <s v="CE64257"/>
    <x v="479"/>
    <s v="ENTERPRISE"/>
    <x v="17"/>
    <x v="2"/>
    <e v="#NAME?"/>
    <x v="3"/>
    <n v="1"/>
  </r>
  <r>
    <s v="C810910"/>
    <x v="480"/>
    <s v="ENTERPRISE"/>
    <x v="17"/>
    <x v="0"/>
    <e v="#NAME?"/>
    <x v="3"/>
    <n v="0.5"/>
  </r>
  <r>
    <s v="C810910"/>
    <x v="480"/>
    <s v="ENTERPRISE"/>
    <x v="17"/>
    <x v="0"/>
    <e v="#NAME?"/>
    <x v="20"/>
    <n v="0.5"/>
  </r>
  <r>
    <s v="T004577"/>
    <x v="481"/>
    <s v="ENTERPRISE"/>
    <x v="17"/>
    <x v="9"/>
    <e v="#NAME?"/>
    <x v="3"/>
    <n v="1"/>
  </r>
  <r>
    <s v="CE60509"/>
    <x v="482"/>
    <s v="ENTERPRISE"/>
    <x v="17"/>
    <x v="9"/>
    <e v="#NAME?"/>
    <x v="95"/>
    <n v="1"/>
  </r>
  <r>
    <s v="CE70171"/>
    <x v="483"/>
    <s v="ENTERPRISE"/>
    <x v="17"/>
    <x v="9"/>
    <e v="#NAME?"/>
    <x v="3"/>
    <n v="1"/>
  </r>
  <r>
    <s v="C810855"/>
    <x v="484"/>
    <s v="ENTERPRISE"/>
    <x v="17"/>
    <x v="0"/>
    <e v="#NAME?"/>
    <x v="147"/>
    <n v="1"/>
  </r>
  <r>
    <s v="C809514"/>
    <x v="485"/>
    <s v="ENTERPRISE"/>
    <x v="17"/>
    <x v="0"/>
    <e v="#NAME?"/>
    <x v="15"/>
    <n v="1"/>
  </r>
  <r>
    <s v="CE66043"/>
    <x v="486"/>
    <s v="ENTERPRISE"/>
    <x v="17"/>
    <x v="9"/>
    <e v="#NAME?"/>
    <x v="147"/>
    <n v="0.5"/>
  </r>
  <r>
    <s v="CE66043"/>
    <x v="486"/>
    <s v="ENTERPRISE"/>
    <x v="17"/>
    <x v="9"/>
    <e v="#NAME?"/>
    <x v="131"/>
    <n v="0.5"/>
  </r>
  <r>
    <s v="CE70945"/>
    <x v="487"/>
    <s v="ENTERPRISE"/>
    <x v="17"/>
    <x v="9"/>
    <e v="#NAME?"/>
    <x v="147"/>
    <n v="0.5"/>
  </r>
  <r>
    <s v="CE70945"/>
    <x v="487"/>
    <s v="ENTERPRISE"/>
    <x v="17"/>
    <x v="9"/>
    <e v="#NAME?"/>
    <x v="130"/>
    <n v="0.5"/>
  </r>
  <r>
    <s v="CE67424"/>
    <x v="488"/>
    <s v="ENTERPRISE"/>
    <x v="17"/>
    <x v="9"/>
    <e v="#NAME?"/>
    <x v="147"/>
    <n v="0.5"/>
  </r>
  <r>
    <s v="CE67424"/>
    <x v="488"/>
    <s v="ENTERPRISE"/>
    <x v="17"/>
    <x v="9"/>
    <e v="#NAME?"/>
    <x v="15"/>
    <n v="0.5"/>
  </r>
  <r>
    <s v="CE70844"/>
    <x v="489"/>
    <s v="ENTERPRISE"/>
    <x v="17"/>
    <x v="9"/>
    <e v="#NAME?"/>
    <x v="147"/>
    <n v="1"/>
  </r>
  <r>
    <s v="CE70149"/>
    <x v="490"/>
    <s v="ENTERPRISE"/>
    <x v="17"/>
    <x v="9"/>
    <e v="#NAME?"/>
    <x v="15"/>
    <n v="1"/>
  </r>
  <r>
    <s v="C811408"/>
    <x v="491"/>
    <s v="ENTERPRISE"/>
    <x v="17"/>
    <x v="0"/>
    <e v="#NAME?"/>
    <x v="130"/>
    <n v="0.5"/>
  </r>
  <r>
    <s v="C811408"/>
    <x v="491"/>
    <s v="ENTERPRISE"/>
    <x v="17"/>
    <x v="0"/>
    <e v="#NAME?"/>
    <x v="147"/>
    <n v="0.5"/>
  </r>
  <r>
    <s v="T005725"/>
    <x v="492"/>
    <s v="ENTERPRISE"/>
    <x v="17"/>
    <x v="9"/>
    <e v="#NAME?"/>
    <x v="147"/>
    <n v="1"/>
  </r>
  <r>
    <s v="-"/>
    <x v="493"/>
    <s v="ENTERPRISE"/>
    <x v="17"/>
    <x v="9"/>
    <e v="#NAME?"/>
    <x v="147"/>
    <n v="1"/>
  </r>
  <r>
    <s v="CE58491"/>
    <x v="494"/>
    <s v="CIB &amp; COMEX - FIDUCIARIA"/>
    <x v="18"/>
    <x v="5"/>
    <e v="#NAME?"/>
    <x v="148"/>
    <n v="0.5"/>
  </r>
  <r>
    <s v="O000083"/>
    <x v="495"/>
    <s v="CIB &amp; COMEX - FIDUCIARIA"/>
    <x v="18"/>
    <x v="21"/>
    <e v="#NAME?"/>
    <x v="32"/>
    <n v="1"/>
  </r>
  <r>
    <s v="CI35435"/>
    <x v="496"/>
    <s v="CIB &amp; COMEX - FIDUCIARIA"/>
    <x v="18"/>
    <x v="21"/>
    <e v="#NAME?"/>
    <x v="3"/>
    <n v="0.75"/>
  </r>
  <r>
    <s v="CI35407"/>
    <x v="497"/>
    <s v="CIB &amp; COMEX - FIDUCIARIA"/>
    <x v="18"/>
    <x v="21"/>
    <e v="#NAME?"/>
    <x v="3"/>
    <n v="0.75"/>
  </r>
  <r>
    <s v="CI01204"/>
    <x v="498"/>
    <s v="CIB &amp; COMEX - FIDUCIARIA"/>
    <x v="18"/>
    <x v="21"/>
    <e v="#NAME?"/>
    <x v="3"/>
    <n v="0.75"/>
  </r>
  <r>
    <s v="CI01204"/>
    <x v="498"/>
    <s v="CIB &amp; COMEX - FIDUCIARIA"/>
    <x v="18"/>
    <x v="21"/>
    <e v="#NAME?"/>
    <x v="149"/>
    <n v="0.25"/>
  </r>
  <r>
    <s v="CI35375"/>
    <x v="499"/>
    <s v="CIB &amp; COMEX - FIDUCIARIA"/>
    <x v="18"/>
    <x v="21"/>
    <e v="#NAME?"/>
    <x v="148"/>
    <n v="0.25"/>
  </r>
  <r>
    <s v="CI35375"/>
    <x v="499"/>
    <s v="CIB &amp; COMEX - FIDUCIARIA"/>
    <x v="18"/>
    <x v="21"/>
    <e v="#NAME?"/>
    <x v="3"/>
    <n v="0.25"/>
  </r>
  <r>
    <s v="CI35407"/>
    <x v="497"/>
    <s v="CIB &amp; COMEX - FIDUCIARIA"/>
    <x v="18"/>
    <x v="21"/>
    <e v="#NAME?"/>
    <x v="150"/>
    <n v="0.25"/>
  </r>
  <r>
    <s v="CI35435"/>
    <x v="496"/>
    <s v="CIB &amp; COMEX - FIDUCIARIA"/>
    <x v="18"/>
    <x v="21"/>
    <e v="#NAME?"/>
    <x v="151"/>
    <n v="0.25"/>
  </r>
  <r>
    <s v="T011273"/>
    <x v="500"/>
    <s v="CIB &amp; COMEX - FIDUCIARIA"/>
    <x v="18"/>
    <x v="21"/>
    <e v="#NAME?"/>
    <x v="151"/>
    <n v="1"/>
  </r>
  <r>
    <s v="CI35406"/>
    <x v="501"/>
    <s v="CIB &amp; COMEX - FIDUCIARIA"/>
    <x v="18"/>
    <x v="21"/>
    <e v="#NAME?"/>
    <x v="152"/>
    <n v="0.25"/>
  </r>
  <r>
    <s v="CI35406"/>
    <x v="501"/>
    <s v="CIB &amp; COMEX - FIDUCIARIA"/>
    <x v="18"/>
    <x v="21"/>
    <e v="#NAME?"/>
    <x v="3"/>
    <n v="0.75"/>
  </r>
  <r>
    <s v="CI35202"/>
    <x v="502"/>
    <s v="CIB &amp; COMEX - FIDUCIARIA"/>
    <x v="18"/>
    <x v="21"/>
    <e v="#NAME?"/>
    <x v="3"/>
    <n v="1"/>
  </r>
  <r>
    <s v="CI35375"/>
    <x v="499"/>
    <s v="CIB &amp; COMEX - FIDUCIARIA"/>
    <x v="18"/>
    <x v="21"/>
    <e v="#NAME?"/>
    <x v="153"/>
    <n v="0.16"/>
  </r>
  <r>
    <s v="CE68033"/>
    <x v="503"/>
    <s v="CIB &amp; COMEX - FIDUCIARIA"/>
    <x v="18"/>
    <x v="21"/>
    <e v="#NAME?"/>
    <x v="3"/>
    <n v="1"/>
  </r>
  <r>
    <s v="CE58491"/>
    <x v="494"/>
    <s v="CIB &amp; COMEX - FIDUCIARIA"/>
    <x v="18"/>
    <x v="5"/>
    <e v="#NAME?"/>
    <x v="3"/>
    <n v="0.5"/>
  </r>
  <r>
    <s v="O001341"/>
    <x v="504"/>
    <s v="RETAIL"/>
    <x v="19"/>
    <x v="0"/>
    <e v="#NAME?"/>
    <x v="154"/>
    <n v="0.25"/>
  </r>
  <r>
    <s v="O001341"/>
    <x v="504"/>
    <s v="RETAIL"/>
    <x v="19"/>
    <x v="0"/>
    <e v="#NAME?"/>
    <x v="155"/>
    <n v="0.3"/>
  </r>
  <r>
    <s v="O001341"/>
    <x v="504"/>
    <s v="RETAIL"/>
    <x v="19"/>
    <x v="0"/>
    <e v="#NAME?"/>
    <x v="156"/>
    <n v="0.3"/>
  </r>
  <r>
    <s v="O001341"/>
    <x v="504"/>
    <s v="RETAIL"/>
    <x v="19"/>
    <x v="0"/>
    <e v="#NAME?"/>
    <x v="3"/>
    <n v="0.1"/>
  </r>
  <r>
    <s v="C805963"/>
    <x v="505"/>
    <s v="RETAIL"/>
    <x v="19"/>
    <x v="0"/>
    <e v="#NAME?"/>
    <x v="154"/>
    <n v="1"/>
  </r>
  <r>
    <s v="C805996"/>
    <x v="506"/>
    <s v="RETAIL"/>
    <x v="19"/>
    <x v="0"/>
    <e v="#NAME?"/>
    <x v="155"/>
    <n v="1"/>
  </r>
  <r>
    <s v="C810813"/>
    <x v="507"/>
    <s v="RETAIL"/>
    <x v="19"/>
    <x v="0"/>
    <e v="#NAME?"/>
    <x v="154"/>
    <n v="0.8"/>
  </r>
  <r>
    <s v="C810813"/>
    <x v="507"/>
    <s v="RETAIL"/>
    <x v="19"/>
    <x v="0"/>
    <e v="#NAME?"/>
    <x v="3"/>
    <n v="0.2"/>
  </r>
  <r>
    <s v="C341736"/>
    <x v="508"/>
    <s v="RETAIL"/>
    <x v="19"/>
    <x v="0"/>
    <e v="#NAME?"/>
    <x v="154"/>
    <n v="0.8"/>
  </r>
  <r>
    <s v="C341736"/>
    <x v="508"/>
    <s v="RETAIL"/>
    <x v="19"/>
    <x v="0"/>
    <e v="#NAME?"/>
    <x v="3"/>
    <n v="0.2"/>
  </r>
  <r>
    <s v="CE69608"/>
    <x v="509"/>
    <s v="RETAIL"/>
    <x v="19"/>
    <x v="1"/>
    <e v="#NAME?"/>
    <x v="154"/>
    <n v="0.8"/>
  </r>
  <r>
    <s v="T007662"/>
    <x v="510"/>
    <s v="RETAIL"/>
    <x v="19"/>
    <x v="12"/>
    <e v="#NAME?"/>
    <x v="154"/>
    <n v="0.5"/>
  </r>
  <r>
    <s v="T007663"/>
    <x v="511"/>
    <s v="RETAIL"/>
    <x v="19"/>
    <x v="12"/>
    <e v="#NAME?"/>
    <x v="154"/>
    <n v="1"/>
  </r>
  <r>
    <s v="CE71171"/>
    <x v="512"/>
    <s v="RETAIL"/>
    <x v="19"/>
    <x v="12"/>
    <e v="#NAME?"/>
    <x v="154"/>
    <n v="1"/>
  </r>
  <r>
    <s v="T002801"/>
    <x v="513"/>
    <s v="RETAIL"/>
    <x v="19"/>
    <x v="12"/>
    <e v="#NAME?"/>
    <x v="154"/>
    <n v="1"/>
  </r>
  <r>
    <s v="CE57066"/>
    <x v="514"/>
    <s v="RETAIL"/>
    <x v="19"/>
    <x v="12"/>
    <e v="#NAME?"/>
    <x v="154"/>
    <n v="1"/>
  </r>
  <r>
    <s v="T002010"/>
    <x v="515"/>
    <s v="RETAIL"/>
    <x v="19"/>
    <x v="12"/>
    <e v="#NAME?"/>
    <x v="154"/>
    <n v="1"/>
  </r>
  <r>
    <s v="NO TIENE"/>
    <x v="516"/>
    <s v="RETAIL"/>
    <x v="19"/>
    <x v="12"/>
    <e v="#NAME?"/>
    <x v="154"/>
    <n v="1"/>
  </r>
  <r>
    <s v="T008182"/>
    <x v="517"/>
    <s v="RETAIL"/>
    <x v="19"/>
    <x v="12"/>
    <e v="#NAME?"/>
    <x v="154"/>
    <n v="1"/>
  </r>
  <r>
    <s v="T008150"/>
    <x v="518"/>
    <s v="RETAIL"/>
    <x v="19"/>
    <x v="12"/>
    <e v="#NAME?"/>
    <x v="154"/>
    <n v="1"/>
  </r>
  <r>
    <s v="T008176"/>
    <x v="519"/>
    <s v="RETAIL"/>
    <x v="19"/>
    <x v="12"/>
    <e v="#NAME?"/>
    <x v="154"/>
    <n v="1"/>
  </r>
  <r>
    <s v="O000191"/>
    <x v="520"/>
    <s v="RETAIL"/>
    <x v="19"/>
    <x v="0"/>
    <e v="#NAME?"/>
    <x v="155"/>
    <n v="1"/>
  </r>
  <r>
    <s v="O002496"/>
    <x v="521"/>
    <s v="RETAIL"/>
    <x v="19"/>
    <x v="0"/>
    <e v="#NAME?"/>
    <x v="155"/>
    <n v="0.95"/>
  </r>
  <r>
    <s v="CE69969"/>
    <x v="522"/>
    <s v="RETAIL"/>
    <x v="19"/>
    <x v="1"/>
    <e v="#NAME?"/>
    <x v="155"/>
    <n v="1"/>
  </r>
  <r>
    <s v="CE47376"/>
    <x v="523"/>
    <s v="RETAIL"/>
    <x v="19"/>
    <x v="12"/>
    <e v="#NAME?"/>
    <x v="155"/>
    <n v="1"/>
  </r>
  <r>
    <s v="CE66885"/>
    <x v="524"/>
    <s v="RETAIL"/>
    <x v="19"/>
    <x v="16"/>
    <e v="#NAME?"/>
    <x v="155"/>
    <n v="1"/>
  </r>
  <r>
    <s v="CE66884"/>
    <x v="525"/>
    <s v="RETAIL"/>
    <x v="19"/>
    <x v="16"/>
    <e v="#NAME?"/>
    <x v="155"/>
    <n v="1"/>
  </r>
  <r>
    <s v="O001657"/>
    <x v="526"/>
    <s v="RETAIL"/>
    <x v="19"/>
    <x v="0"/>
    <e v="#NAME?"/>
    <x v="156"/>
    <n v="1"/>
  </r>
  <r>
    <s v="O002419"/>
    <x v="527"/>
    <s v="RETAIL"/>
    <x v="19"/>
    <x v="0"/>
    <e v="#NAME?"/>
    <x v="156"/>
    <n v="1"/>
  </r>
  <r>
    <s v="O001733"/>
    <x v="528"/>
    <s v="RETAIL"/>
    <x v="19"/>
    <x v="0"/>
    <e v="#NAME?"/>
    <x v="156"/>
    <n v="1"/>
  </r>
  <r>
    <s v="CE68404"/>
    <x v="529"/>
    <s v="RETAIL"/>
    <x v="19"/>
    <x v="1"/>
    <e v="#NAME?"/>
    <x v="156"/>
    <n v="1"/>
  </r>
  <r>
    <s v="O001341"/>
    <x v="504"/>
    <s v="RETAIL"/>
    <x v="19"/>
    <x v="0"/>
    <e v="#NAME?"/>
    <x v="86"/>
    <n v="0.05"/>
  </r>
  <r>
    <s v="CE69608"/>
    <x v="509"/>
    <s v="RETAIL"/>
    <x v="19"/>
    <x v="1"/>
    <e v="#NAME?"/>
    <x v="86"/>
    <n v="0.2"/>
  </r>
  <r>
    <s v="O002496"/>
    <x v="521"/>
    <s v="RETAIL"/>
    <x v="19"/>
    <x v="0"/>
    <e v="#NAME?"/>
    <x v="86"/>
    <n v="0.05"/>
  </r>
  <r>
    <s v="CE69858"/>
    <x v="530"/>
    <s v="RETAIL"/>
    <x v="19"/>
    <x v="16"/>
    <e v="#NAME?"/>
    <x v="86"/>
    <n v="1"/>
  </r>
  <r>
    <s v="CE52470"/>
    <x v="531"/>
    <s v="RETAIL"/>
    <x v="19"/>
    <x v="3"/>
    <e v="#NAME?"/>
    <x v="155"/>
    <n v="1"/>
  </r>
  <r>
    <s v="CE51863"/>
    <x v="275"/>
    <s v="RETAIL"/>
    <x v="19"/>
    <x v="2"/>
    <e v="#NAME?"/>
    <x v="155"/>
    <n v="0.02"/>
  </r>
  <r>
    <s v="CE51863"/>
    <x v="275"/>
    <s v="RETAIL"/>
    <x v="19"/>
    <x v="2"/>
    <e v="#NAME?"/>
    <x v="156"/>
    <n v="0.02"/>
  </r>
  <r>
    <s v="CE51863"/>
    <x v="275"/>
    <s v="RETAIL"/>
    <x v="19"/>
    <x v="2"/>
    <e v="#NAME?"/>
    <x v="154"/>
    <n v="0.02"/>
  </r>
  <r>
    <s v="CE51863"/>
    <x v="275"/>
    <s v="RETAIL"/>
    <x v="19"/>
    <x v="2"/>
    <e v="#NAME?"/>
    <x v="3"/>
    <n v="0.02"/>
  </r>
  <r>
    <s v="CE51863"/>
    <x v="275"/>
    <s v="RETAIL"/>
    <x v="20"/>
    <x v="2"/>
    <e v="#NAME?"/>
    <x v="3"/>
    <n v="0.02"/>
  </r>
  <r>
    <s v="CE51863"/>
    <x v="275"/>
    <s v="RETAIL"/>
    <x v="20"/>
    <x v="2"/>
    <e v="#NAME?"/>
    <x v="146"/>
    <n v="0.02"/>
  </r>
  <r>
    <s v="CE51863"/>
    <x v="275"/>
    <s v="RETAIL"/>
    <x v="20"/>
    <x v="2"/>
    <e v="#NAME?"/>
    <x v="157"/>
    <n v="0.02"/>
  </r>
  <r>
    <s v="CE51863"/>
    <x v="275"/>
    <s v="RETAIL"/>
    <x v="20"/>
    <x v="2"/>
    <e v="#NAME?"/>
    <x v="19"/>
    <n v="0.02"/>
  </r>
  <r>
    <s v="CE54839"/>
    <x v="532"/>
    <s v="RETAIL"/>
    <x v="20"/>
    <x v="5"/>
    <e v="#NAME?"/>
    <x v="3"/>
    <n v="0.5"/>
  </r>
  <r>
    <s v="CE52336"/>
    <x v="533"/>
    <s v="RETAIL"/>
    <x v="20"/>
    <x v="5"/>
    <e v="#NAME?"/>
    <x v="3"/>
    <n v="1"/>
  </r>
  <r>
    <s v="C805453"/>
    <x v="534"/>
    <s v="RETAIL"/>
    <x v="20"/>
    <x v="0"/>
    <e v="#NAME?"/>
    <x v="19"/>
    <n v="0.4"/>
  </r>
  <r>
    <s v="T002003"/>
    <x v="535"/>
    <s v="RETAIL"/>
    <x v="20"/>
    <x v="1"/>
    <e v="#NAME?"/>
    <x v="19"/>
    <n v="0.5"/>
  </r>
  <r>
    <s v="T002003"/>
    <x v="535"/>
    <s v="RETAIL"/>
    <x v="20"/>
    <x v="1"/>
    <e v="#NAME?"/>
    <x v="3"/>
    <n v="0.5"/>
  </r>
  <r>
    <s v="O001338"/>
    <x v="536"/>
    <s v="RETAIL"/>
    <x v="20"/>
    <x v="0"/>
    <e v="#NAME?"/>
    <x v="157"/>
    <n v="1"/>
  </r>
  <r>
    <s v="C811316"/>
    <x v="537"/>
    <s v="RETAIL"/>
    <x v="20"/>
    <x v="0"/>
    <e v="#NAME?"/>
    <x v="158"/>
    <n v="0.5"/>
  </r>
  <r>
    <s v="C805978"/>
    <x v="538"/>
    <s v="RETAIL"/>
    <x v="20"/>
    <x v="0"/>
    <e v="#NAME?"/>
    <x v="157"/>
    <n v="1"/>
  </r>
  <r>
    <s v="O001338"/>
    <x v="539"/>
    <s v="RETAIL"/>
    <x v="20"/>
    <x v="0"/>
    <e v="#NAME?"/>
    <x v="3"/>
    <n v="0.2"/>
  </r>
  <r>
    <s v="O001338"/>
    <x v="539"/>
    <s v="RETAIL"/>
    <x v="20"/>
    <x v="0"/>
    <e v="#NAME?"/>
    <x v="146"/>
    <n v="0.2"/>
  </r>
  <r>
    <s v="O001338"/>
    <x v="539"/>
    <s v="RETAIL"/>
    <x v="20"/>
    <x v="0"/>
    <e v="#NAME?"/>
    <x v="157"/>
    <n v="0.2"/>
  </r>
  <r>
    <s v="O001338"/>
    <x v="539"/>
    <s v="RETAIL"/>
    <x v="20"/>
    <x v="0"/>
    <e v="#NAME?"/>
    <x v="20"/>
    <n v="0.05"/>
  </r>
  <r>
    <s v="O001338"/>
    <x v="539"/>
    <s v="RETAIL"/>
    <x v="20"/>
    <x v="0"/>
    <e v="#NAME?"/>
    <x v="158"/>
    <n v="0.05"/>
  </r>
  <r>
    <s v="O001338"/>
    <x v="539"/>
    <s v="RETAIL"/>
    <x v="20"/>
    <x v="0"/>
    <e v="#NAME?"/>
    <x v="19"/>
    <n v="0.2"/>
  </r>
  <r>
    <s v="O001338"/>
    <x v="539"/>
    <s v="RETAIL"/>
    <x v="20"/>
    <x v="0"/>
    <e v="#NAME?"/>
    <x v="78"/>
    <n v="0.1"/>
  </r>
  <r>
    <s v="C808471"/>
    <x v="540"/>
    <s v="RETAIL"/>
    <x v="20"/>
    <x v="0"/>
    <e v="#NAME?"/>
    <x v="146"/>
    <n v="1"/>
  </r>
  <r>
    <s v="C342537"/>
    <x v="541"/>
    <s v="RETAIL"/>
    <x v="20"/>
    <x v="0"/>
    <e v="#NAME?"/>
    <x v="19"/>
    <n v="0.5"/>
  </r>
  <r>
    <s v="C342537"/>
    <x v="541"/>
    <s v="RETAIL"/>
    <x v="20"/>
    <x v="0"/>
    <e v="#NAME?"/>
    <x v="78"/>
    <n v="0.5"/>
  </r>
  <r>
    <s v="O002178"/>
    <x v="542"/>
    <s v="RETAIL"/>
    <x v="20"/>
    <x v="0"/>
    <e v="#NAME?"/>
    <x v="3"/>
    <n v="1"/>
  </r>
  <r>
    <s v="C811316"/>
    <x v="537"/>
    <s v="RETAIL"/>
    <x v="20"/>
    <x v="0"/>
    <e v="#NAME?"/>
    <x v="3"/>
    <n v="0.5"/>
  </r>
  <r>
    <s v="C805453"/>
    <x v="534"/>
    <s v="RETAIL"/>
    <x v="20"/>
    <x v="0"/>
    <e v="#NAME?"/>
    <x v="20"/>
    <n v="0.5"/>
  </r>
  <r>
    <s v="C805453"/>
    <x v="534"/>
    <s v="RETAIL"/>
    <x v="20"/>
    <x v="0"/>
    <e v="#NAME?"/>
    <x v="3"/>
    <n v="0.1"/>
  </r>
  <r>
    <s v="CE54839"/>
    <x v="532"/>
    <s v="RETAIL"/>
    <x v="20"/>
    <x v="5"/>
    <e v="#NAME?"/>
    <x v="19"/>
    <n v="0.5"/>
  </r>
  <r>
    <s v="E049846"/>
    <x v="543"/>
    <s v="RETAIL"/>
    <x v="21"/>
    <x v="0"/>
    <e v="#NAME?"/>
    <x v="159"/>
    <n v="0.2"/>
  </r>
  <r>
    <s v="C810952"/>
    <x v="544"/>
    <s v="RETAIL"/>
    <x v="21"/>
    <x v="0"/>
    <e v="#NAME?"/>
    <x v="159"/>
    <n v="1"/>
  </r>
  <r>
    <s v="C802581"/>
    <x v="545"/>
    <s v="RETAIL"/>
    <x v="21"/>
    <x v="0"/>
    <e v="#NAME?"/>
    <x v="159"/>
    <n v="0.4"/>
  </r>
  <r>
    <m/>
    <x v="399"/>
    <s v="RETAIL"/>
    <x v="21"/>
    <x v="20"/>
    <e v="#NAME?"/>
    <x v="159"/>
    <n v="1"/>
  </r>
  <r>
    <m/>
    <x v="399"/>
    <s v="RETAIL"/>
    <x v="21"/>
    <x v="20"/>
    <e v="#NAME?"/>
    <x v="159"/>
    <n v="1"/>
  </r>
  <r>
    <m/>
    <x v="399"/>
    <s v="RETAIL"/>
    <x v="21"/>
    <x v="20"/>
    <e v="#NAME?"/>
    <x v="159"/>
    <n v="1"/>
  </r>
  <r>
    <m/>
    <x v="546"/>
    <s v="RETAIL"/>
    <x v="21"/>
    <x v="20"/>
    <e v="#NAME?"/>
    <x v="159"/>
    <n v="1"/>
  </r>
  <r>
    <m/>
    <x v="383"/>
    <s v="RETAIL"/>
    <x v="21"/>
    <x v="20"/>
    <e v="#NAME?"/>
    <x v="159"/>
    <n v="1"/>
  </r>
  <r>
    <m/>
    <x v="383"/>
    <s v="RETAIL"/>
    <x v="21"/>
    <x v="20"/>
    <e v="#NAME?"/>
    <x v="159"/>
    <n v="1"/>
  </r>
  <r>
    <m/>
    <x v="383"/>
    <s v="RETAIL"/>
    <x v="21"/>
    <x v="20"/>
    <e v="#NAME?"/>
    <x v="159"/>
    <n v="1"/>
  </r>
  <r>
    <m/>
    <x v="383"/>
    <s v="RETAIL"/>
    <x v="21"/>
    <x v="20"/>
    <e v="#NAME?"/>
    <x v="159"/>
    <n v="1"/>
  </r>
  <r>
    <m/>
    <x v="546"/>
    <s v="RETAIL"/>
    <x v="21"/>
    <x v="20"/>
    <e v="#NAME?"/>
    <x v="159"/>
    <n v="0.33"/>
  </r>
  <r>
    <s v="CE40475"/>
    <x v="547"/>
    <s v="RETAIL"/>
    <x v="21"/>
    <x v="3"/>
    <e v="#NAME?"/>
    <x v="159"/>
    <n v="0.5"/>
  </r>
  <r>
    <s v="CE64988"/>
    <x v="548"/>
    <s v="RETAIL"/>
    <x v="21"/>
    <x v="3"/>
    <e v="#NAME?"/>
    <x v="159"/>
    <n v="0.5"/>
  </r>
  <r>
    <m/>
    <x v="549"/>
    <s v="RETAIL"/>
    <x v="21"/>
    <x v="20"/>
    <e v="#NAME?"/>
    <x v="159"/>
    <n v="1"/>
  </r>
  <r>
    <m/>
    <x v="550"/>
    <s v="RETAIL"/>
    <x v="21"/>
    <x v="20"/>
    <e v="#NAME?"/>
    <x v="159"/>
    <n v="0.75"/>
  </r>
  <r>
    <m/>
    <x v="550"/>
    <s v="RETAIL"/>
    <x v="21"/>
    <x v="20"/>
    <e v="#NAME?"/>
    <x v="159"/>
    <n v="0.75"/>
  </r>
  <r>
    <m/>
    <x v="550"/>
    <s v="RETAIL"/>
    <x v="21"/>
    <x v="20"/>
    <e v="#NAME?"/>
    <x v="159"/>
    <n v="0.75"/>
  </r>
  <r>
    <s v="C802581"/>
    <x v="545"/>
    <s v="RETAIL"/>
    <x v="21"/>
    <x v="0"/>
    <e v="#NAME?"/>
    <x v="160"/>
    <n v="0.2"/>
  </r>
  <r>
    <s v="E049846"/>
    <x v="543"/>
    <s v="RETAIL"/>
    <x v="21"/>
    <x v="0"/>
    <e v="#NAME?"/>
    <x v="161"/>
    <n v="0.2"/>
  </r>
  <r>
    <m/>
    <x v="550"/>
    <s v="RETAIL"/>
    <x v="21"/>
    <x v="20"/>
    <e v="#NAME?"/>
    <x v="161"/>
    <n v="1"/>
  </r>
  <r>
    <s v="E049846"/>
    <x v="543"/>
    <s v="RETAIL"/>
    <x v="21"/>
    <x v="0"/>
    <e v="#NAME?"/>
    <x v="162"/>
    <n v="0.2"/>
  </r>
  <r>
    <m/>
    <x v="551"/>
    <s v="RETAIL"/>
    <x v="21"/>
    <x v="20"/>
    <e v="#NAME?"/>
    <x v="162"/>
    <n v="1"/>
  </r>
  <r>
    <m/>
    <x v="549"/>
    <s v="RETAIL"/>
    <x v="21"/>
    <x v="20"/>
    <e v="#NAME?"/>
    <x v="162"/>
    <n v="1"/>
  </r>
  <r>
    <m/>
    <x v="550"/>
    <s v="RETAIL"/>
    <x v="21"/>
    <x v="20"/>
    <e v="#NAME?"/>
    <x v="162"/>
    <n v="1"/>
  </r>
  <r>
    <s v="E049846"/>
    <x v="543"/>
    <s v="RETAIL"/>
    <x v="21"/>
    <x v="0"/>
    <e v="#NAME?"/>
    <x v="163"/>
    <n v="0.2"/>
  </r>
  <r>
    <s v="C803962"/>
    <x v="552"/>
    <s v="RETAIL"/>
    <x v="21"/>
    <x v="0"/>
    <e v="#NAME?"/>
    <x v="66"/>
    <n v="0.7"/>
  </r>
  <r>
    <s v="C803962"/>
    <x v="552"/>
    <s v="RETAIL"/>
    <x v="21"/>
    <x v="0"/>
    <e v="#NAME?"/>
    <x v="160"/>
    <n v="0.3"/>
  </r>
  <r>
    <s v="C802581"/>
    <x v="545"/>
    <s v="RETAIL"/>
    <x v="21"/>
    <x v="0"/>
    <e v="#NAME?"/>
    <x v="159"/>
    <n v="0.2"/>
  </r>
  <r>
    <s v="E049846"/>
    <x v="543"/>
    <s v="RETAIL"/>
    <x v="21"/>
    <x v="0"/>
    <e v="#NAME?"/>
    <x v="66"/>
    <n v="0.2"/>
  </r>
  <r>
    <m/>
    <x v="553"/>
    <s v="RETAIL"/>
    <x v="21"/>
    <x v="12"/>
    <e v="#NAME?"/>
    <x v="66"/>
    <n v="1"/>
  </r>
  <r>
    <m/>
    <x v="553"/>
    <s v="RETAIL"/>
    <x v="21"/>
    <x v="12"/>
    <e v="#NAME?"/>
    <x v="66"/>
    <n v="1"/>
  </r>
  <r>
    <m/>
    <x v="550"/>
    <s v="RETAIL"/>
    <x v="21"/>
    <x v="20"/>
    <e v="#NAME?"/>
    <x v="66"/>
    <n v="1"/>
  </r>
  <r>
    <m/>
    <x v="550"/>
    <s v="RETAIL"/>
    <x v="21"/>
    <x v="20"/>
    <e v="#NAME?"/>
    <x v="66"/>
    <n v="1"/>
  </r>
  <r>
    <s v="C802581"/>
    <x v="545"/>
    <s v="RETAIL"/>
    <x v="21"/>
    <x v="0"/>
    <e v="#NAME?"/>
    <x v="159"/>
    <n v="0.2"/>
  </r>
  <r>
    <m/>
    <x v="553"/>
    <s v="RETAIL"/>
    <x v="21"/>
    <x v="12"/>
    <e v="#NAME?"/>
    <x v="164"/>
    <n v="1"/>
  </r>
  <r>
    <m/>
    <x v="553"/>
    <s v="RETAIL"/>
    <x v="21"/>
    <x v="12"/>
    <e v="#NAME?"/>
    <x v="164"/>
    <n v="1"/>
  </r>
  <r>
    <m/>
    <x v="399"/>
    <s v="RETAIL"/>
    <x v="21"/>
    <x v="12"/>
    <e v="#NAME?"/>
    <x v="164"/>
    <n v="1"/>
  </r>
  <r>
    <m/>
    <x v="546"/>
    <s v="RETAIL"/>
    <x v="21"/>
    <x v="12"/>
    <e v="#NAME?"/>
    <x v="164"/>
    <n v="1"/>
  </r>
  <r>
    <m/>
    <x v="549"/>
    <s v="RETAIL"/>
    <x v="21"/>
    <x v="12"/>
    <e v="#NAME?"/>
    <x v="164"/>
    <n v="1"/>
  </r>
  <r>
    <m/>
    <x v="550"/>
    <s v="RETAIL"/>
    <x v="21"/>
    <x v="20"/>
    <e v="#NAME?"/>
    <x v="164"/>
    <n v="1"/>
  </r>
  <r>
    <s v="C803799"/>
    <x v="554"/>
    <s v="RETAIL"/>
    <x v="21"/>
    <x v="0"/>
    <e v="#NAME?"/>
    <x v="3"/>
    <n v="1"/>
  </r>
  <r>
    <s v="C805723"/>
    <x v="555"/>
    <s v="RETAIL"/>
    <x v="21"/>
    <x v="0"/>
    <e v="#NAME?"/>
    <x v="3"/>
    <n v="1"/>
  </r>
  <r>
    <s v="C805720"/>
    <x v="556"/>
    <s v="RETAIL"/>
    <x v="21"/>
    <x v="0"/>
    <e v="#NAME?"/>
    <x v="3"/>
    <n v="1"/>
  </r>
  <r>
    <s v="C810664"/>
    <x v="557"/>
    <s v="RETAIL"/>
    <x v="21"/>
    <x v="0"/>
    <e v="#NAME?"/>
    <x v="3"/>
    <n v="1"/>
  </r>
  <r>
    <s v="C805983"/>
    <x v="558"/>
    <s v="RETAIL"/>
    <x v="21"/>
    <x v="0"/>
    <e v="#NAME?"/>
    <x v="3"/>
    <n v="1"/>
  </r>
  <r>
    <s v="C805933"/>
    <x v="559"/>
    <s v="RETAIL"/>
    <x v="21"/>
    <x v="0"/>
    <e v="#NAME?"/>
    <x v="3"/>
    <n v="1"/>
  </r>
  <r>
    <s v="C809565"/>
    <x v="560"/>
    <s v="RETAIL"/>
    <x v="21"/>
    <x v="0"/>
    <e v="#NAME?"/>
    <x v="3"/>
    <n v="1"/>
  </r>
  <r>
    <s v="T004259"/>
    <x v="561"/>
    <s v="RETAIL"/>
    <x v="21"/>
    <x v="20"/>
    <e v="#NAME?"/>
    <x v="3"/>
    <n v="1"/>
  </r>
  <r>
    <s v="T004336"/>
    <x v="562"/>
    <s v="RETAIL"/>
    <x v="21"/>
    <x v="20"/>
    <e v="#NAME?"/>
    <x v="3"/>
    <n v="1"/>
  </r>
  <r>
    <s v="CE69641"/>
    <x v="563"/>
    <s v="RETAIL"/>
    <x v="21"/>
    <x v="20"/>
    <e v="#NAME?"/>
    <x v="3"/>
    <n v="1"/>
  </r>
  <r>
    <m/>
    <x v="564"/>
    <s v="RETAIL"/>
    <x v="21"/>
    <x v="20"/>
    <e v="#NAME?"/>
    <x v="3"/>
    <n v="1"/>
  </r>
  <r>
    <s v="T006642"/>
    <x v="565"/>
    <s v="RETAIL"/>
    <x v="21"/>
    <x v="12"/>
    <e v="#NAME?"/>
    <x v="3"/>
    <n v="1"/>
  </r>
  <r>
    <s v="T006699"/>
    <x v="566"/>
    <s v="RETAIL"/>
    <x v="21"/>
    <x v="12"/>
    <e v="#NAME?"/>
    <x v="3"/>
    <n v="1"/>
  </r>
  <r>
    <s v="T001732"/>
    <x v="567"/>
    <s v="RETAIL"/>
    <x v="21"/>
    <x v="8"/>
    <e v="#NAME?"/>
    <x v="3"/>
    <n v="1"/>
  </r>
  <r>
    <s v="T006644"/>
    <x v="568"/>
    <s v="RETAIL"/>
    <x v="21"/>
    <x v="12"/>
    <e v="#NAME?"/>
    <x v="3"/>
    <n v="1"/>
  </r>
  <r>
    <s v="T006637"/>
    <x v="569"/>
    <s v="RETAIL"/>
    <x v="21"/>
    <x v="12"/>
    <e v="#NAME?"/>
    <x v="3"/>
    <n v="1"/>
  </r>
  <r>
    <s v="T001731"/>
    <x v="570"/>
    <s v="RETAIL"/>
    <x v="21"/>
    <x v="8"/>
    <e v="#NAME?"/>
    <x v="3"/>
    <n v="1"/>
  </r>
  <r>
    <s v="CE67183"/>
    <x v="571"/>
    <s v="RETAIL"/>
    <x v="22"/>
    <x v="1"/>
    <e v="#NAME?"/>
    <x v="165"/>
    <n v="0.2"/>
  </r>
  <r>
    <s v="CE67183"/>
    <x v="571"/>
    <s v="RETAIL"/>
    <x v="22"/>
    <x v="1"/>
    <e v="#NAME?"/>
    <x v="166"/>
    <n v="0.4"/>
  </r>
  <r>
    <s v="CE67183"/>
    <x v="571"/>
    <s v="RETAIL"/>
    <x v="22"/>
    <x v="1"/>
    <e v="#NAME?"/>
    <x v="167"/>
    <n v="0.4"/>
  </r>
  <r>
    <s v="C804644"/>
    <x v="572"/>
    <s v="RETAIL"/>
    <x v="23"/>
    <x v="0"/>
    <e v="#NAME?"/>
    <x v="168"/>
    <n v="0.5"/>
  </r>
  <r>
    <s v="C804644"/>
    <x v="572"/>
    <s v="RETAIL"/>
    <x v="23"/>
    <x v="0"/>
    <e v="#NAME?"/>
    <x v="169"/>
    <n v="0.5"/>
  </r>
  <r>
    <s v="CE60329"/>
    <x v="573"/>
    <s v="RETAIL"/>
    <x v="24"/>
    <x v="6"/>
    <e v="#NAME?"/>
    <x v="170"/>
    <n v="1"/>
  </r>
  <r>
    <s v="C804832"/>
    <x v="574"/>
    <s v="RETAIL"/>
    <x v="23"/>
    <x v="0"/>
    <e v="#NAME?"/>
    <x v="169"/>
    <n v="0.05"/>
  </r>
  <r>
    <s v="C804832"/>
    <x v="574"/>
    <s v="RETAIL"/>
    <x v="23"/>
    <x v="0"/>
    <e v="#NAME?"/>
    <x v="168"/>
    <n v="0.8"/>
  </r>
  <r>
    <s v="C804832"/>
    <x v="574"/>
    <s v="RETAIL"/>
    <x v="23"/>
    <x v="0"/>
    <e v="#NAME?"/>
    <x v="3"/>
    <n v="0.15"/>
  </r>
  <r>
    <s v="O002934"/>
    <x v="575"/>
    <s v="RETAIL"/>
    <x v="25"/>
    <x v="0"/>
    <e v="#NAME?"/>
    <x v="3"/>
    <n v="0.6"/>
  </r>
  <r>
    <s v="O002934"/>
    <x v="575"/>
    <s v="RETAIL"/>
    <x v="25"/>
    <x v="0"/>
    <e v="#NAME?"/>
    <x v="61"/>
    <n v="0.4"/>
  </r>
  <r>
    <s v="CE51863"/>
    <x v="275"/>
    <s v="RETAIL"/>
    <x v="23"/>
    <x v="2"/>
    <e v="#NAME?"/>
    <x v="3"/>
    <n v="0.02"/>
  </r>
  <r>
    <s v="CE51863"/>
    <x v="275"/>
    <s v="RETAIL"/>
    <x v="22"/>
    <x v="2"/>
    <e v="#NAME?"/>
    <x v="3"/>
    <n v="0.02"/>
  </r>
  <r>
    <s v="CE51863"/>
    <x v="275"/>
    <s v="RETAIL"/>
    <x v="25"/>
    <x v="2"/>
    <e v="#NAME?"/>
    <x v="3"/>
    <n v="0.02"/>
  </r>
  <r>
    <s v="CE51863"/>
    <x v="275"/>
    <s v="RETAIL"/>
    <x v="24"/>
    <x v="2"/>
    <e v="#NAME?"/>
    <x v="3"/>
    <n v="0.02"/>
  </r>
  <r>
    <s v="CE51863"/>
    <x v="275"/>
    <s v="RETAIL"/>
    <x v="23"/>
    <x v="2"/>
    <e v="#NAME?"/>
    <x v="171"/>
    <n v="0.02"/>
  </r>
  <r>
    <s v="CE51863"/>
    <x v="275"/>
    <s v="RETAIL"/>
    <x v="23"/>
    <x v="2"/>
    <e v="#NAME?"/>
    <x v="172"/>
    <n v="0.02"/>
  </r>
  <r>
    <s v="CE51863"/>
    <x v="275"/>
    <s v="RETAIL"/>
    <x v="24"/>
    <x v="2"/>
    <e v="#NAME?"/>
    <x v="173"/>
    <n v="0.02"/>
  </r>
  <r>
    <s v="CE51863"/>
    <x v="275"/>
    <s v="RETAIL"/>
    <x v="24"/>
    <x v="2"/>
    <e v="#NAME?"/>
    <x v="170"/>
    <n v="0.02"/>
  </r>
  <r>
    <s v="CE51863"/>
    <x v="275"/>
    <s v="RETAIL"/>
    <x v="22"/>
    <x v="2"/>
    <e v="#NAME?"/>
    <x v="169"/>
    <n v="0.02"/>
  </r>
  <r>
    <s v="CE51863"/>
    <x v="275"/>
    <s v="RETAIL"/>
    <x v="22"/>
    <x v="2"/>
    <e v="#NAME?"/>
    <x v="166"/>
    <n v="0.02"/>
  </r>
  <r>
    <s v="CE51863"/>
    <x v="275"/>
    <s v="RETAIL"/>
    <x v="22"/>
    <x v="2"/>
    <e v="#NAME?"/>
    <x v="167"/>
    <n v="0.02"/>
  </r>
  <r>
    <s v="CE51863"/>
    <x v="275"/>
    <s v="RETAIL"/>
    <x v="22"/>
    <x v="2"/>
    <e v="#NAME?"/>
    <x v="165"/>
    <n v="0.02"/>
  </r>
  <r>
    <s v="C811170"/>
    <x v="576"/>
    <s v="RETAIL"/>
    <x v="24"/>
    <x v="0"/>
    <e v="#NAME?"/>
    <x v="173"/>
    <n v="1"/>
  </r>
  <r>
    <s v="O003245"/>
    <x v="577"/>
    <s v="RETAIL"/>
    <x v="23"/>
    <x v="0"/>
    <e v="#NAME?"/>
    <x v="3"/>
    <n v="0.7"/>
  </r>
  <r>
    <s v="O003245"/>
    <x v="577"/>
    <s v="RETAIL"/>
    <x v="23"/>
    <x v="0"/>
    <e v="#NAME?"/>
    <x v="172"/>
    <n v="0.1"/>
  </r>
  <r>
    <s v="O003245"/>
    <x v="577"/>
    <s v="RETAIL"/>
    <x v="24"/>
    <x v="0"/>
    <e v="#NAME?"/>
    <x v="173"/>
    <n v="0.1"/>
  </r>
  <r>
    <s v="O003245"/>
    <x v="577"/>
    <s v="RETAIL"/>
    <x v="24"/>
    <x v="0"/>
    <e v="#NAME?"/>
    <x v="170"/>
    <n v="0.1"/>
  </r>
  <r>
    <s v="C342547"/>
    <x v="578"/>
    <s v="RETAIL"/>
    <x v="23"/>
    <x v="0"/>
    <e v="#NAME?"/>
    <x v="3"/>
    <n v="0.25"/>
  </r>
  <r>
    <s v="C342547"/>
    <x v="578"/>
    <s v="RETAIL"/>
    <x v="23"/>
    <x v="0"/>
    <e v="#NAME?"/>
    <x v="172"/>
    <n v="0.75"/>
  </r>
  <r>
    <s v="CE59507"/>
    <x v="579"/>
    <s v="RETAIL"/>
    <x v="23"/>
    <x v="5"/>
    <e v="#NAME?"/>
    <x v="172"/>
    <n v="1"/>
  </r>
  <r>
    <s v="C809616"/>
    <x v="580"/>
    <s v="RETAIL"/>
    <x v="22"/>
    <x v="0"/>
    <e v="#NAME?"/>
    <x v="3"/>
    <n v="0.25"/>
  </r>
  <r>
    <s v="C809616"/>
    <x v="580"/>
    <s v="RETAIL"/>
    <x v="22"/>
    <x v="0"/>
    <e v="#NAME?"/>
    <x v="167"/>
    <n v="0.75"/>
  </r>
  <r>
    <s v="C810674"/>
    <x v="581"/>
    <s v="RETAIL"/>
    <x v="24"/>
    <x v="0"/>
    <e v="#NAME?"/>
    <x v="170"/>
    <n v="1"/>
  </r>
  <r>
    <s v="C803039"/>
    <x v="582"/>
    <s v="RETAIL"/>
    <x v="22"/>
    <x v="0"/>
    <e v="#NAME?"/>
    <x v="3"/>
    <n v="0.5"/>
  </r>
  <r>
    <s v="C803039"/>
    <x v="582"/>
    <s v="RETAIL"/>
    <x v="22"/>
    <x v="0"/>
    <e v="#NAME?"/>
    <x v="165"/>
    <n v="0.5"/>
  </r>
  <r>
    <s v="CE70580"/>
    <x v="583"/>
    <s v="RETAIL"/>
    <x v="25"/>
    <x v="5"/>
    <e v="#NAME?"/>
    <x v="3"/>
    <n v="1"/>
  </r>
  <r>
    <s v="C804602"/>
    <x v="584"/>
    <s v="RETAIL"/>
    <x v="25"/>
    <x v="0"/>
    <e v="#NAME?"/>
    <x v="3"/>
    <n v="1"/>
  </r>
  <r>
    <s v="CE70183"/>
    <x v="585"/>
    <s v="RETAIL"/>
    <x v="24"/>
    <x v="9"/>
    <e v="#NAME?"/>
    <x v="173"/>
    <n v="1"/>
  </r>
  <r>
    <s v="C805564"/>
    <x v="586"/>
    <s v="RETAIL"/>
    <x v="22"/>
    <x v="0"/>
    <e v="#NAME?"/>
    <x v="166"/>
    <n v="0.6"/>
  </r>
  <r>
    <s v="C805564"/>
    <x v="586"/>
    <s v="RETAIL"/>
    <x v="22"/>
    <x v="0"/>
    <e v="#NAME?"/>
    <x v="3"/>
    <n v="0.1"/>
  </r>
  <r>
    <s v="C805564"/>
    <x v="586"/>
    <s v="RETAIL"/>
    <x v="22"/>
    <x v="0"/>
    <e v="#NAME?"/>
    <x v="167"/>
    <n v="0.3"/>
  </r>
  <r>
    <s v="C810669"/>
    <x v="587"/>
    <s v="RETAIL"/>
    <x v="24"/>
    <x v="0"/>
    <e v="#NAME?"/>
    <x v="173"/>
    <n v="1"/>
  </r>
  <r>
    <s v="O002469"/>
    <x v="588"/>
    <s v="RETAIL"/>
    <x v="22"/>
    <x v="0"/>
    <e v="#NAME?"/>
    <x v="3"/>
    <n v="1"/>
  </r>
  <r>
    <s v="O003310"/>
    <x v="589"/>
    <s v="RETAIL"/>
    <x v="22"/>
    <x v="0"/>
    <e v="#NAME?"/>
    <x v="3"/>
    <n v="1"/>
  </r>
  <r>
    <s v="O002599"/>
    <x v="590"/>
    <s v="RETAIL"/>
    <x v="24"/>
    <x v="0"/>
    <e v="#NAME?"/>
    <x v="173"/>
    <n v="1"/>
  </r>
  <r>
    <s v="C808303"/>
    <x v="591"/>
    <s v="RETAIL"/>
    <x v="22"/>
    <x v="0"/>
    <e v="#NAME?"/>
    <x v="3"/>
    <n v="0.7"/>
  </r>
  <r>
    <s v="C808303"/>
    <x v="591"/>
    <s v="RETAIL"/>
    <x v="22"/>
    <x v="0"/>
    <e v="#NAME?"/>
    <x v="169"/>
    <n v="0.1"/>
  </r>
  <r>
    <s v="C808303"/>
    <x v="591"/>
    <s v="RETAIL"/>
    <x v="22"/>
    <x v="0"/>
    <e v="#NAME?"/>
    <x v="166"/>
    <n v="0.05"/>
  </r>
  <r>
    <s v="C808303"/>
    <x v="591"/>
    <s v="RETAIL"/>
    <x v="22"/>
    <x v="0"/>
    <e v="#NAME?"/>
    <x v="167"/>
    <n v="0.05"/>
  </r>
  <r>
    <s v="C808303"/>
    <x v="591"/>
    <s v="RETAIL"/>
    <x v="22"/>
    <x v="0"/>
    <e v="#NAME?"/>
    <x v="165"/>
    <n v="0.05"/>
  </r>
  <r>
    <s v="C808303"/>
    <x v="591"/>
    <s v="RETAIL"/>
    <x v="25"/>
    <x v="0"/>
    <e v="#NAME?"/>
    <x v="61"/>
    <n v="0.05"/>
  </r>
  <r>
    <s v="CE59254"/>
    <x v="592"/>
    <s v="RETAIL"/>
    <x v="24"/>
    <x v="2"/>
    <e v="#NAME?"/>
    <x v="170"/>
    <n v="1"/>
  </r>
  <r>
    <s v="CE69603"/>
    <x v="593"/>
    <s v="RETAIL"/>
    <x v="23"/>
    <x v="1"/>
    <e v="#NAME?"/>
    <x v="172"/>
    <n v="1"/>
  </r>
  <r>
    <s v="T004574"/>
    <x v="594"/>
    <s v="RETAIL"/>
    <x v="24"/>
    <x v="9"/>
    <e v="#NAME?"/>
    <x v="170"/>
    <n v="1"/>
  </r>
  <r>
    <s v="CE57586"/>
    <x v="595"/>
    <s v="RETAIL"/>
    <x v="22"/>
    <x v="9"/>
    <e v="#NAME?"/>
    <x v="167"/>
    <n v="0.2"/>
  </r>
  <r>
    <s v="CE57586"/>
    <x v="595"/>
    <s v="RETAIL"/>
    <x v="22"/>
    <x v="9"/>
    <e v="#NAME?"/>
    <x v="166"/>
    <n v="0.6"/>
  </r>
  <r>
    <s v="CE57586"/>
    <x v="595"/>
    <s v="RETAIL"/>
    <x v="22"/>
    <x v="9"/>
    <e v="#NAME?"/>
    <x v="165"/>
    <n v="0.2"/>
  </r>
  <r>
    <s v="CE59969"/>
    <x v="596"/>
    <s v="RETAIL"/>
    <x v="24"/>
    <x v="6"/>
    <e v="#NAME?"/>
    <x v="170"/>
    <n v="1"/>
  </r>
  <r>
    <s v="CE43579"/>
    <x v="597"/>
    <s v="RETAIL"/>
    <x v="23"/>
    <x v="9"/>
    <e v="#NAME?"/>
    <x v="160"/>
    <n v="0.1"/>
  </r>
  <r>
    <s v="CE43579"/>
    <x v="597"/>
    <s v="RETAIL"/>
    <x v="23"/>
    <x v="9"/>
    <e v="#NAME?"/>
    <x v="169"/>
    <n v="0.3"/>
  </r>
  <r>
    <s v="CE43579"/>
    <x v="597"/>
    <s v="RETAIL"/>
    <x v="23"/>
    <x v="9"/>
    <e v="#NAME?"/>
    <x v="168"/>
    <n v="0.3"/>
  </r>
  <r>
    <s v="CE43579"/>
    <x v="597"/>
    <s v="RETAIL"/>
    <x v="23"/>
    <x v="9"/>
    <e v="#NAME?"/>
    <x v="3"/>
    <n v="0.3"/>
  </r>
  <r>
    <s v="C804684"/>
    <x v="598"/>
    <s v="RETAIL"/>
    <x v="23"/>
    <x v="0"/>
    <e v="#NAME?"/>
    <x v="169"/>
    <n v="0.5"/>
  </r>
  <r>
    <s v="C804684"/>
    <x v="598"/>
    <s v="RETAIL"/>
    <x v="23"/>
    <x v="0"/>
    <e v="#NAME?"/>
    <x v="168"/>
    <n v="0.1"/>
  </r>
  <r>
    <s v="C804684"/>
    <x v="598"/>
    <s v="RETAIL"/>
    <x v="23"/>
    <x v="0"/>
    <e v="#NAME?"/>
    <x v="3"/>
    <n v="0.4"/>
  </r>
  <r>
    <s v="CE68929"/>
    <x v="599"/>
    <s v="RETAIL"/>
    <x v="24"/>
    <x v="1"/>
    <e v="#NAME?"/>
    <x v="173"/>
    <n v="1"/>
  </r>
  <r>
    <s v="CE61162"/>
    <x v="600"/>
    <s v="RETAIL"/>
    <x v="24"/>
    <x v="20"/>
    <e v="#NAME?"/>
    <x v="173"/>
    <n v="1"/>
  </r>
  <r>
    <s v="O004597"/>
    <x v="601"/>
    <s v="RETAIL"/>
    <x v="23"/>
    <x v="0"/>
    <e v="#NAME?"/>
    <x v="168"/>
    <n v="1"/>
  </r>
  <r>
    <s v="CE66885"/>
    <x v="602"/>
    <s v="CORE"/>
    <x v="11"/>
    <x v="16"/>
    <e v="#NAME?"/>
    <x v="174"/>
    <n v="1"/>
  </r>
  <r>
    <s v="CE70173"/>
    <x v="603"/>
    <s v="CORE"/>
    <x v="11"/>
    <x v="1"/>
    <e v="#NAME?"/>
    <x v="175"/>
    <n v="1"/>
  </r>
  <r>
    <s v="CE17710"/>
    <x v="604"/>
    <s v="CORE"/>
    <x v="11"/>
    <x v="6"/>
    <e v="#NAME?"/>
    <x v="3"/>
    <n v="1"/>
  </r>
  <r>
    <s v="T004480"/>
    <x v="605"/>
    <s v="CORE"/>
    <x v="11"/>
    <x v="6"/>
    <e v="#NAME?"/>
    <x v="3"/>
    <n v="1"/>
  </r>
  <r>
    <s v="C805316"/>
    <x v="606"/>
    <s v="CORE"/>
    <x v="11"/>
    <x v="0"/>
    <e v="#NAME?"/>
    <x v="176"/>
    <n v="1"/>
  </r>
  <r>
    <s v="C810793"/>
    <x v="607"/>
    <s v="CORE"/>
    <x v="11"/>
    <x v="0"/>
    <e v="#NAME?"/>
    <x v="176"/>
    <n v="1"/>
  </r>
  <r>
    <s v="C811175"/>
    <x v="608"/>
    <s v="CORE"/>
    <x v="11"/>
    <x v="0"/>
    <e v="#NAME?"/>
    <x v="177"/>
    <n v="0.2"/>
  </r>
  <r>
    <s v="C811175"/>
    <x v="608"/>
    <s v="CORE"/>
    <x v="11"/>
    <x v="0"/>
    <e v="#NAME?"/>
    <x v="5"/>
    <n v="0.2"/>
  </r>
  <r>
    <s v="CE46835"/>
    <x v="609"/>
    <s v="CORE"/>
    <x v="11"/>
    <x v="2"/>
    <e v="#NAME?"/>
    <x v="174"/>
    <n v="0.2"/>
  </r>
  <r>
    <s v="CE46835"/>
    <x v="609"/>
    <s v="CORE"/>
    <x v="11"/>
    <x v="2"/>
    <e v="#NAME?"/>
    <x v="175"/>
    <n v="0.5"/>
  </r>
  <r>
    <s v="CE46835"/>
    <x v="609"/>
    <s v="CORE"/>
    <x v="11"/>
    <x v="2"/>
    <e v="#NAME?"/>
    <x v="3"/>
    <n v="0.3"/>
  </r>
  <r>
    <s v="CE69505"/>
    <x v="610"/>
    <s v="CORE"/>
    <x v="11"/>
    <x v="2"/>
    <e v="#NAME?"/>
    <x v="174"/>
    <n v="0.2"/>
  </r>
  <r>
    <s v="CE69505"/>
    <x v="610"/>
    <s v="CORE"/>
    <x v="11"/>
    <x v="2"/>
    <e v="#NAME?"/>
    <x v="3"/>
    <n v="0.3"/>
  </r>
  <r>
    <s v="CE69505"/>
    <x v="610"/>
    <s v="CORE"/>
    <x v="11"/>
    <x v="2"/>
    <e v="#NAME?"/>
    <x v="175"/>
    <n v="0.5"/>
  </r>
  <r>
    <s v="O000988"/>
    <x v="611"/>
    <s v="CORE"/>
    <x v="11"/>
    <x v="0"/>
    <e v="#NAME?"/>
    <x v="178"/>
    <n v="0.4"/>
  </r>
  <r>
    <s v="O000988"/>
    <x v="611"/>
    <s v="CORE"/>
    <x v="11"/>
    <x v="0"/>
    <e v="#NAME?"/>
    <x v="165"/>
    <n v="0.4"/>
  </r>
  <r>
    <s v="O000988"/>
    <x v="611"/>
    <s v="CORE"/>
    <x v="11"/>
    <x v="0"/>
    <e v="#NAME?"/>
    <x v="3"/>
    <n v="0.2"/>
  </r>
  <r>
    <s v="C805861"/>
    <x v="612"/>
    <s v="CORE"/>
    <x v="11"/>
    <x v="0"/>
    <e v="#NAME?"/>
    <x v="175"/>
    <n v="1"/>
  </r>
  <r>
    <s v="CE58194"/>
    <x v="613"/>
    <s v="CORE"/>
    <x v="11"/>
    <x v="5"/>
    <e v="#NAME?"/>
    <x v="174"/>
    <n v="1"/>
  </r>
  <r>
    <s v="O001722"/>
    <x v="614"/>
    <s v="CORE"/>
    <x v="11"/>
    <x v="0"/>
    <e v="#NAME?"/>
    <x v="3"/>
    <n v="1"/>
  </r>
  <r>
    <s v="C809504"/>
    <x v="615"/>
    <s v="CORE"/>
    <x v="11"/>
    <x v="0"/>
    <e v="#NAME?"/>
    <x v="177"/>
    <n v="0.2"/>
  </r>
  <r>
    <s v="C809504"/>
    <x v="615"/>
    <s v="CORE"/>
    <x v="11"/>
    <x v="0"/>
    <e v="#NAME?"/>
    <x v="6"/>
    <n v="0.6"/>
  </r>
  <r>
    <s v="C809504"/>
    <x v="615"/>
    <s v="CORE"/>
    <x v="11"/>
    <x v="0"/>
    <e v="#NAME?"/>
    <x v="3"/>
    <n v="0.2"/>
  </r>
  <r>
    <s v="O000962"/>
    <x v="616"/>
    <s v="CORE"/>
    <x v="11"/>
    <x v="0"/>
    <e v="#NAME?"/>
    <x v="174"/>
    <n v="1"/>
  </r>
  <r>
    <s v="CE66884"/>
    <x v="617"/>
    <s v="CORE"/>
    <x v="11"/>
    <x v="16"/>
    <e v="#NAME?"/>
    <x v="174"/>
    <n v="1"/>
  </r>
  <r>
    <s v="C810909"/>
    <x v="618"/>
    <s v="CORE"/>
    <x v="11"/>
    <x v="0"/>
    <e v="#NAME?"/>
    <x v="175"/>
    <n v="1"/>
  </r>
  <r>
    <s v="T002223"/>
    <x v="619"/>
    <s v="CORE"/>
    <x v="11"/>
    <x v="2"/>
    <e v="#NAME?"/>
    <x v="3"/>
    <n v="1"/>
  </r>
  <r>
    <s v="CE56542"/>
    <x v="620"/>
    <s v="CORE"/>
    <x v="11"/>
    <x v="6"/>
    <e v="#NAME?"/>
    <x v="3"/>
    <n v="0.5"/>
  </r>
  <r>
    <s v="C342035"/>
    <x v="621"/>
    <s v="CORE"/>
    <x v="11"/>
    <x v="0"/>
    <e v="#NAME?"/>
    <x v="174"/>
    <n v="1"/>
  </r>
  <r>
    <s v="C811264"/>
    <x v="622"/>
    <s v="CORE"/>
    <x v="11"/>
    <x v="0"/>
    <e v="#NAME?"/>
    <x v="174"/>
    <n v="0.2"/>
  </r>
  <r>
    <s v="C811264"/>
    <x v="622"/>
    <s v="CORE"/>
    <x v="11"/>
    <x v="0"/>
    <e v="#NAME?"/>
    <x v="3"/>
    <n v="0.3"/>
  </r>
  <r>
    <s v="C811264"/>
    <x v="622"/>
    <s v="CORE"/>
    <x v="11"/>
    <x v="0"/>
    <e v="#NAME?"/>
    <x v="179"/>
    <n v="0.5"/>
  </r>
  <r>
    <s v="C811393"/>
    <x v="623"/>
    <s v="CORE"/>
    <x v="11"/>
    <x v="0"/>
    <e v="#NAME?"/>
    <x v="180"/>
    <n v="0.35"/>
  </r>
  <r>
    <s v="C811393"/>
    <x v="623"/>
    <s v="CORE"/>
    <x v="11"/>
    <x v="0"/>
    <e v="#NAME?"/>
    <x v="181"/>
    <n v="0.35"/>
  </r>
  <r>
    <s v="C811393"/>
    <x v="623"/>
    <s v="CORE"/>
    <x v="11"/>
    <x v="0"/>
    <e v="#NAME?"/>
    <x v="3"/>
    <n v="0.3"/>
  </r>
  <r>
    <s v="CE49917"/>
    <x v="624"/>
    <s v="CORE"/>
    <x v="11"/>
    <x v="6"/>
    <e v="#NAME?"/>
    <x v="175"/>
    <n v="0.5"/>
  </r>
  <r>
    <s v="CE49917"/>
    <x v="624"/>
    <s v="CORE"/>
    <x v="11"/>
    <x v="6"/>
    <e v="#NAME?"/>
    <x v="176"/>
    <n v="0.5"/>
  </r>
  <r>
    <s v="C804723"/>
    <x v="625"/>
    <s v="CORE"/>
    <x v="11"/>
    <x v="0"/>
    <e v="#NAME?"/>
    <x v="182"/>
    <n v="0.3"/>
  </r>
  <r>
    <s v="C804723"/>
    <x v="625"/>
    <s v="CORE"/>
    <x v="11"/>
    <x v="0"/>
    <e v="#NAME?"/>
    <x v="3"/>
    <n v="0.7"/>
  </r>
  <r>
    <s v="C341931"/>
    <x v="626"/>
    <s v="CORE"/>
    <x v="11"/>
    <x v="0"/>
    <e v="#NAME?"/>
    <x v="176"/>
    <n v="0.5"/>
  </r>
  <r>
    <s v="C341931"/>
    <x v="626"/>
    <s v="CORE"/>
    <x v="11"/>
    <x v="0"/>
    <e v="#NAME?"/>
    <x v="175"/>
    <n v="0.5"/>
  </r>
  <r>
    <s v="C811403"/>
    <x v="627"/>
    <s v="CORE"/>
    <x v="11"/>
    <x v="0"/>
    <e v="#NAME?"/>
    <x v="183"/>
    <n v="0.15"/>
  </r>
  <r>
    <s v="C811403"/>
    <x v="627"/>
    <s v="CORE"/>
    <x v="11"/>
    <x v="0"/>
    <e v="#NAME?"/>
    <x v="182"/>
    <n v="0.1"/>
  </r>
  <r>
    <s v="C811403"/>
    <x v="627"/>
    <s v="CORE"/>
    <x v="11"/>
    <x v="0"/>
    <e v="#NAME?"/>
    <x v="177"/>
    <n v="0.05"/>
  </r>
  <r>
    <s v="C811403"/>
    <x v="627"/>
    <s v="CORE"/>
    <x v="11"/>
    <x v="0"/>
    <e v="#NAME?"/>
    <x v="75"/>
    <n v="0.05"/>
  </r>
  <r>
    <s v="C811403"/>
    <x v="627"/>
    <s v="CORE"/>
    <x v="11"/>
    <x v="0"/>
    <e v="#NAME?"/>
    <x v="6"/>
    <n v="0.15"/>
  </r>
  <r>
    <s v="C811403"/>
    <x v="627"/>
    <s v="CORE"/>
    <x v="11"/>
    <x v="0"/>
    <e v="#NAME?"/>
    <x v="184"/>
    <n v="0.1"/>
  </r>
  <r>
    <s v="C811403"/>
    <x v="627"/>
    <s v="CORE"/>
    <x v="11"/>
    <x v="0"/>
    <e v="#NAME?"/>
    <x v="9"/>
    <n v="0.1"/>
  </r>
  <r>
    <s v="C811403"/>
    <x v="627"/>
    <s v="CORE"/>
    <x v="11"/>
    <x v="0"/>
    <e v="#NAME?"/>
    <x v="5"/>
    <n v="0.1"/>
  </r>
  <r>
    <s v="C811403"/>
    <x v="627"/>
    <s v="CORE"/>
    <x v="11"/>
    <x v="0"/>
    <e v="#NAME?"/>
    <x v="3"/>
    <n v="0.2"/>
  </r>
  <r>
    <s v="T004374"/>
    <x v="628"/>
    <s v="CORE"/>
    <x v="11"/>
    <x v="2"/>
    <e v="#NAME?"/>
    <x v="185"/>
    <n v="0.8"/>
  </r>
  <r>
    <s v="T004374"/>
    <x v="628"/>
    <s v="CORE"/>
    <x v="11"/>
    <x v="2"/>
    <e v="#NAME?"/>
    <x v="3"/>
    <n v="0.2"/>
  </r>
  <r>
    <s v="T005122"/>
    <x v="629"/>
    <s v="CORE"/>
    <x v="11"/>
    <x v="1"/>
    <e v="#NAME?"/>
    <x v="176"/>
    <n v="1"/>
  </r>
  <r>
    <s v="C343617"/>
    <x v="630"/>
    <s v="CORE"/>
    <x v="11"/>
    <x v="0"/>
    <e v="#NAME?"/>
    <x v="186"/>
    <n v="0.4"/>
  </r>
  <r>
    <s v="C343617"/>
    <x v="630"/>
    <s v="CORE"/>
    <x v="11"/>
    <x v="0"/>
    <e v="#NAME?"/>
    <x v="3"/>
    <n v="0.6"/>
  </r>
  <r>
    <s v="C811392"/>
    <x v="277"/>
    <s v="CORE"/>
    <x v="11"/>
    <x v="0"/>
    <e v="#NAME?"/>
    <x v="187"/>
    <n v="0.4"/>
  </r>
  <r>
    <s v="C811392"/>
    <x v="277"/>
    <s v="CORE"/>
    <x v="11"/>
    <x v="0"/>
    <e v="#NAME?"/>
    <x v="188"/>
    <n v="0.4"/>
  </r>
  <r>
    <s v="C811392"/>
    <x v="277"/>
    <s v="CORE"/>
    <x v="11"/>
    <x v="0"/>
    <e v="#NAME?"/>
    <x v="88"/>
    <n v="0.2"/>
  </r>
  <r>
    <s v="T003366"/>
    <x v="631"/>
    <s v="CORE"/>
    <x v="11"/>
    <x v="6"/>
    <e v="#NAME?"/>
    <x v="178"/>
    <n v="0.4"/>
  </r>
  <r>
    <s v="T003366"/>
    <x v="631"/>
    <s v="CORE"/>
    <x v="11"/>
    <x v="6"/>
    <e v="#NAME?"/>
    <x v="181"/>
    <n v="0.3"/>
  </r>
  <r>
    <s v="T003366"/>
    <x v="631"/>
    <s v="CORE"/>
    <x v="11"/>
    <x v="6"/>
    <e v="#NAME?"/>
    <x v="179"/>
    <n v="0.3"/>
  </r>
  <r>
    <s v="C811354"/>
    <x v="632"/>
    <s v="CORE"/>
    <x v="11"/>
    <x v="0"/>
    <e v="#NAME?"/>
    <x v="177"/>
    <n v="0.2"/>
  </r>
  <r>
    <s v="C811354"/>
    <x v="632"/>
    <s v="CORE"/>
    <x v="11"/>
    <x v="0"/>
    <e v="#NAME?"/>
    <x v="75"/>
    <n v="0.2"/>
  </r>
  <r>
    <s v="C811354"/>
    <x v="632"/>
    <s v="CORE"/>
    <x v="11"/>
    <x v="0"/>
    <e v="#NAME?"/>
    <x v="6"/>
    <n v="0.2"/>
  </r>
  <r>
    <s v="C811354"/>
    <x v="632"/>
    <s v="CORE"/>
    <x v="11"/>
    <x v="0"/>
    <e v="#NAME?"/>
    <x v="5"/>
    <n v="0.2"/>
  </r>
  <r>
    <s v="C811354"/>
    <x v="632"/>
    <s v="CORE"/>
    <x v="11"/>
    <x v="0"/>
    <e v="#NAME?"/>
    <x v="3"/>
    <n v="0.2"/>
  </r>
  <r>
    <s v="CE70711"/>
    <x v="633"/>
    <s v="CORE"/>
    <x v="11"/>
    <x v="6"/>
    <e v="#NAME?"/>
    <x v="3"/>
    <n v="1"/>
  </r>
  <r>
    <s v="C811322"/>
    <x v="634"/>
    <s v="CORE"/>
    <x v="11"/>
    <x v="0"/>
    <e v="#NAME?"/>
    <x v="174"/>
    <n v="1"/>
  </r>
  <r>
    <s v="CE66135"/>
    <x v="635"/>
    <s v="CORE"/>
    <x v="11"/>
    <x v="5"/>
    <e v="#NAME?"/>
    <x v="174"/>
    <n v="1"/>
  </r>
  <r>
    <s v="CE43328"/>
    <x v="636"/>
    <s v="CORE"/>
    <x v="11"/>
    <x v="6"/>
    <e v="#NAME?"/>
    <x v="3"/>
    <n v="1"/>
  </r>
  <r>
    <s v="C808232"/>
    <x v="637"/>
    <s v="CORE"/>
    <x v="11"/>
    <x v="0"/>
    <e v="#NAME?"/>
    <x v="3"/>
    <n v="0.3"/>
  </r>
  <r>
    <s v="C808232"/>
    <x v="637"/>
    <s v="CORE"/>
    <x v="11"/>
    <x v="0"/>
    <e v="#NAME?"/>
    <x v="189"/>
    <n v="0.7"/>
  </r>
  <r>
    <s v="T008491"/>
    <x v="638"/>
    <s v="CORE"/>
    <x v="11"/>
    <x v="5"/>
    <e v="#NAME?"/>
    <x v="189"/>
    <n v="0.3"/>
  </r>
  <r>
    <s v="T008491"/>
    <x v="638"/>
    <s v="CORE"/>
    <x v="11"/>
    <x v="5"/>
    <e v="#NAME?"/>
    <x v="185"/>
    <n v="0.3"/>
  </r>
  <r>
    <s v="T008491"/>
    <x v="638"/>
    <s v="CORE"/>
    <x v="11"/>
    <x v="5"/>
    <e v="#NAME?"/>
    <x v="165"/>
    <n v="0.2"/>
  </r>
  <r>
    <s v="T008491"/>
    <x v="638"/>
    <s v="CORE"/>
    <x v="11"/>
    <x v="5"/>
    <e v="#NAME?"/>
    <x v="9"/>
    <n v="0.2"/>
  </r>
  <r>
    <s v="C805863"/>
    <x v="639"/>
    <s v="CORE"/>
    <x v="11"/>
    <x v="0"/>
    <e v="#NAME?"/>
    <x v="176"/>
    <n v="1"/>
  </r>
  <r>
    <s v="O000190"/>
    <x v="640"/>
    <s v="CORE"/>
    <x v="11"/>
    <x v="0"/>
    <e v="#NAME?"/>
    <x v="190"/>
    <n v="0.5"/>
  </r>
  <r>
    <s v="O000190"/>
    <x v="640"/>
    <s v="CORE"/>
    <x v="11"/>
    <x v="0"/>
    <e v="#NAME?"/>
    <x v="3"/>
    <n v="0.5"/>
  </r>
  <r>
    <s v="CE18306"/>
    <x v="641"/>
    <s v="CORE"/>
    <x v="11"/>
    <x v="5"/>
    <e v="#NAME?"/>
    <x v="174"/>
    <n v="0.1"/>
  </r>
  <r>
    <s v="CE18306"/>
    <x v="641"/>
    <s v="CORE"/>
    <x v="11"/>
    <x v="5"/>
    <e v="#NAME?"/>
    <x v="3"/>
    <n v="0.6"/>
  </r>
  <r>
    <s v="CE18306"/>
    <x v="641"/>
    <s v="CORE"/>
    <x v="11"/>
    <x v="5"/>
    <e v="#NAME?"/>
    <x v="182"/>
    <n v="0.2"/>
  </r>
  <r>
    <s v="CE18306"/>
    <x v="641"/>
    <s v="CORE"/>
    <x v="11"/>
    <x v="5"/>
    <e v="#NAME?"/>
    <x v="175"/>
    <n v="0.1"/>
  </r>
  <r>
    <s v="C805726"/>
    <x v="642"/>
    <s v="CORE"/>
    <x v="11"/>
    <x v="0"/>
    <e v="#NAME?"/>
    <x v="177"/>
    <n v="0.6"/>
  </r>
  <r>
    <s v="C805726"/>
    <x v="642"/>
    <s v="CORE"/>
    <x v="11"/>
    <x v="0"/>
    <e v="#NAME?"/>
    <x v="6"/>
    <n v="0.4"/>
  </r>
  <r>
    <s v="C804381"/>
    <x v="643"/>
    <s v="CORE"/>
    <x v="11"/>
    <x v="0"/>
    <e v="#NAME?"/>
    <x v="187"/>
    <n v="0.25"/>
  </r>
  <r>
    <s v="C804381"/>
    <x v="643"/>
    <s v="CORE"/>
    <x v="11"/>
    <x v="0"/>
    <e v="#NAME?"/>
    <x v="191"/>
    <n v="0.25"/>
  </r>
  <r>
    <s v="C804381"/>
    <x v="643"/>
    <s v="CORE"/>
    <x v="11"/>
    <x v="0"/>
    <e v="#NAME?"/>
    <x v="188"/>
    <n v="0.25"/>
  </r>
  <r>
    <s v="C804381"/>
    <x v="643"/>
    <s v="CORE"/>
    <x v="11"/>
    <x v="0"/>
    <e v="#NAME?"/>
    <x v="192"/>
    <n v="0.25"/>
  </r>
  <r>
    <s v="C810789"/>
    <x v="644"/>
    <s v="CORE"/>
    <x v="11"/>
    <x v="0"/>
    <e v="#NAME?"/>
    <x v="174"/>
    <n v="0.8"/>
  </r>
  <r>
    <s v="C810789"/>
    <x v="644"/>
    <s v="CORE"/>
    <x v="11"/>
    <x v="0"/>
    <e v="#NAME?"/>
    <x v="115"/>
    <n v="0.2"/>
  </r>
  <r>
    <s v="C679763"/>
    <x v="645"/>
    <s v="CORE"/>
    <x v="11"/>
    <x v="0"/>
    <e v="#NAME?"/>
    <x v="186"/>
    <n v="0.15"/>
  </r>
  <r>
    <s v="C679763"/>
    <x v="645"/>
    <s v="CORE"/>
    <x v="11"/>
    <x v="0"/>
    <e v="#NAME?"/>
    <x v="3"/>
    <n v="0.1"/>
  </r>
  <r>
    <s v="C679763"/>
    <x v="645"/>
    <s v="CORE"/>
    <x v="11"/>
    <x v="0"/>
    <e v="#NAME?"/>
    <x v="187"/>
    <n v="0.15"/>
  </r>
  <r>
    <s v="C679763"/>
    <x v="645"/>
    <s v="CORE"/>
    <x v="11"/>
    <x v="0"/>
    <e v="#NAME?"/>
    <x v="191"/>
    <n v="0.15"/>
  </r>
  <r>
    <s v="C679763"/>
    <x v="645"/>
    <s v="CORE"/>
    <x v="11"/>
    <x v="0"/>
    <e v="#NAME?"/>
    <x v="188"/>
    <n v="0.15"/>
  </r>
  <r>
    <s v="C679763"/>
    <x v="645"/>
    <s v="CORE"/>
    <x v="11"/>
    <x v="0"/>
    <e v="#NAME?"/>
    <x v="192"/>
    <n v="0.15"/>
  </r>
  <r>
    <s v="C679763"/>
    <x v="645"/>
    <s v="CORE"/>
    <x v="11"/>
    <x v="0"/>
    <e v="#NAME?"/>
    <x v="88"/>
    <n v="0.15"/>
  </r>
  <r>
    <s v="C805989"/>
    <x v="646"/>
    <s v="CORE"/>
    <x v="11"/>
    <x v="0"/>
    <e v="#NAME?"/>
    <x v="182"/>
    <n v="0.4"/>
  </r>
  <r>
    <s v="C805989"/>
    <x v="646"/>
    <s v="CORE"/>
    <x v="11"/>
    <x v="0"/>
    <e v="#NAME?"/>
    <x v="183"/>
    <n v="0.3"/>
  </r>
  <r>
    <s v="C805989"/>
    <x v="646"/>
    <s v="CORE"/>
    <x v="11"/>
    <x v="0"/>
    <e v="#NAME?"/>
    <x v="3"/>
    <n v="0.3"/>
  </r>
  <r>
    <s v="C805958"/>
    <x v="647"/>
    <s v="CORE"/>
    <x v="11"/>
    <x v="0"/>
    <e v="#NAME?"/>
    <x v="175"/>
    <n v="1"/>
  </r>
  <r>
    <s v="C342042"/>
    <x v="648"/>
    <s v="CORE"/>
    <x v="11"/>
    <x v="0"/>
    <e v="#NAME?"/>
    <x v="178"/>
    <n v="0.15"/>
  </r>
  <r>
    <s v="C342042"/>
    <x v="648"/>
    <s v="CORE"/>
    <x v="11"/>
    <x v="0"/>
    <e v="#NAME?"/>
    <x v="189"/>
    <n v="0.2"/>
  </r>
  <r>
    <s v="C342042"/>
    <x v="648"/>
    <s v="CORE"/>
    <x v="11"/>
    <x v="0"/>
    <e v="#NAME?"/>
    <x v="185"/>
    <n v="0.25"/>
  </r>
  <r>
    <s v="C342042"/>
    <x v="648"/>
    <s v="CORE"/>
    <x v="11"/>
    <x v="0"/>
    <e v="#NAME?"/>
    <x v="181"/>
    <n v="0.15"/>
  </r>
  <r>
    <s v="C342042"/>
    <x v="648"/>
    <s v="CORE"/>
    <x v="11"/>
    <x v="0"/>
    <e v="#NAME?"/>
    <x v="165"/>
    <n v="0.05"/>
  </r>
  <r>
    <s v="C342042"/>
    <x v="648"/>
    <s v="CORE"/>
    <x v="11"/>
    <x v="0"/>
    <e v="#NAME?"/>
    <x v="179"/>
    <n v="0.1"/>
  </r>
  <r>
    <s v="C342042"/>
    <x v="648"/>
    <s v="CORE"/>
    <x v="11"/>
    <x v="0"/>
    <e v="#NAME?"/>
    <x v="3"/>
    <n v="0.1"/>
  </r>
  <r>
    <s v="C810792"/>
    <x v="649"/>
    <s v="CORE"/>
    <x v="11"/>
    <x v="0"/>
    <e v="#NAME?"/>
    <x v="190"/>
    <n v="0.5"/>
  </r>
  <r>
    <s v="C810792"/>
    <x v="649"/>
    <s v="CORE"/>
    <x v="11"/>
    <x v="0"/>
    <e v="#NAME?"/>
    <x v="3"/>
    <n v="0.5"/>
  </r>
  <r>
    <s v="O000103"/>
    <x v="650"/>
    <s v="CORE"/>
    <x v="11"/>
    <x v="0"/>
    <e v="#NAME?"/>
    <x v="182"/>
    <n v="0.1"/>
  </r>
  <r>
    <s v="O000103"/>
    <x v="650"/>
    <s v="CORE"/>
    <x v="11"/>
    <x v="0"/>
    <e v="#NAME?"/>
    <x v="3"/>
    <n v="0.3"/>
  </r>
  <r>
    <s v="O000103"/>
    <x v="650"/>
    <s v="CORE"/>
    <x v="11"/>
    <x v="0"/>
    <e v="#NAME?"/>
    <x v="183"/>
    <n v="0.3"/>
  </r>
  <r>
    <s v="O000103"/>
    <x v="650"/>
    <s v="CORE"/>
    <x v="11"/>
    <x v="0"/>
    <e v="#NAME?"/>
    <x v="75"/>
    <n v="0.3"/>
  </r>
  <r>
    <s v="C808282"/>
    <x v="651"/>
    <s v="CORE"/>
    <x v="11"/>
    <x v="0"/>
    <e v="#NAME?"/>
    <x v="3"/>
    <n v="0.2"/>
  </r>
  <r>
    <s v="C808282"/>
    <x v="651"/>
    <s v="CORE"/>
    <x v="11"/>
    <x v="0"/>
    <e v="#NAME?"/>
    <x v="185"/>
    <n v="0.8"/>
  </r>
  <r>
    <s v="C343509"/>
    <x v="652"/>
    <s v="CORE"/>
    <x v="11"/>
    <x v="0"/>
    <e v="#NAME?"/>
    <x v="183"/>
    <n v="0.6"/>
  </r>
  <r>
    <s v="C343509"/>
    <x v="652"/>
    <s v="CORE"/>
    <x v="11"/>
    <x v="0"/>
    <e v="#NAME?"/>
    <x v="3"/>
    <n v="0.4"/>
  </r>
  <r>
    <s v="C811175"/>
    <x v="608"/>
    <s v="CORE"/>
    <x v="11"/>
    <x v="0"/>
    <e v="#NAME?"/>
    <x v="9"/>
    <n v="0.6"/>
  </r>
  <r>
    <s v="C803916"/>
    <x v="653"/>
    <s v="RETAIL"/>
    <x v="21"/>
    <x v="0"/>
    <e v="#NAME?"/>
    <x v="3"/>
    <n v="0.25"/>
  </r>
  <r>
    <s v="C803916"/>
    <x v="653"/>
    <s v="RETAIL"/>
    <x v="21"/>
    <x v="0"/>
    <e v="#NAME?"/>
    <x v="193"/>
    <n v="0.75"/>
  </r>
  <r>
    <s v="C811189"/>
    <x v="654"/>
    <s v="RETAIL"/>
    <x v="21"/>
    <x v="0"/>
    <e v="#NAME?"/>
    <x v="3"/>
    <n v="0.25"/>
  </r>
  <r>
    <s v="C811189"/>
    <x v="654"/>
    <s v="RETAIL"/>
    <x v="21"/>
    <x v="0"/>
    <e v="#NAME?"/>
    <x v="193"/>
    <n v="0.75"/>
  </r>
  <r>
    <s v="C342045"/>
    <x v="655"/>
    <s v="RETAIL"/>
    <x v="21"/>
    <x v="0"/>
    <e v="#NAME?"/>
    <x v="193"/>
    <n v="0.75"/>
  </r>
  <r>
    <s v="C342045"/>
    <x v="655"/>
    <s v="RETAIL"/>
    <x v="21"/>
    <x v="0"/>
    <e v="#NAME?"/>
    <x v="160"/>
    <n v="0.25"/>
  </r>
  <r>
    <s v="C809565"/>
    <x v="656"/>
    <s v="RETAIL"/>
    <x v="21"/>
    <x v="0"/>
    <e v="#NAME?"/>
    <x v="3"/>
    <n v="1"/>
  </r>
  <r>
    <s v="C810952"/>
    <x v="657"/>
    <s v="RETAIL"/>
    <x v="21"/>
    <x v="0"/>
    <e v="#NAME?"/>
    <x v="3"/>
    <n v="1"/>
  </r>
  <r>
    <s v="C805933"/>
    <x v="658"/>
    <s v="RETAIL"/>
    <x v="21"/>
    <x v="0"/>
    <e v="#NAME?"/>
    <x v="3"/>
    <n v="1"/>
  </r>
  <r>
    <s v="C804547"/>
    <x v="659"/>
    <s v="RETAIL"/>
    <x v="21"/>
    <x v="0"/>
    <e v="#NAME?"/>
    <x v="193"/>
    <n v="0.5"/>
  </r>
  <r>
    <s v="C804547"/>
    <x v="659"/>
    <s v="RETAIL"/>
    <x v="21"/>
    <x v="0"/>
    <e v="#NAME?"/>
    <x v="160"/>
    <n v="0.5"/>
  </r>
  <r>
    <s v="C802282"/>
    <x v="660"/>
    <s v="RETAIL"/>
    <x v="21"/>
    <x v="0"/>
    <e v="#NAME?"/>
    <x v="160"/>
    <n v="1"/>
  </r>
  <r>
    <s v="C343114"/>
    <x v="661"/>
    <s v="RETAIL"/>
    <x v="21"/>
    <x v="0"/>
    <e v="#NAME?"/>
    <x v="160"/>
    <n v="1"/>
  </r>
  <r>
    <s v="O002666"/>
    <x v="662"/>
    <s v="RETAIL"/>
    <x v="21"/>
    <x v="0"/>
    <e v="#NAME?"/>
    <x v="193"/>
    <n v="1"/>
  </r>
  <r>
    <s v="C811379"/>
    <x v="663"/>
    <s v="RETAIL"/>
    <x v="21"/>
    <x v="0"/>
    <e v="#NAME?"/>
    <x v="193"/>
    <n v="0.25"/>
  </r>
  <r>
    <s v="C811379"/>
    <x v="663"/>
    <s v="RETAIL"/>
    <x v="21"/>
    <x v="0"/>
    <e v="#NAME?"/>
    <x v="160"/>
    <n v="0.75"/>
  </r>
  <r>
    <s v="C804782"/>
    <x v="664"/>
    <s v="RETAIL"/>
    <x v="21"/>
    <x v="0"/>
    <e v="#NAME?"/>
    <x v="193"/>
    <n v="1"/>
  </r>
  <r>
    <s v="C811198"/>
    <x v="665"/>
    <s v="RETAIL"/>
    <x v="21"/>
    <x v="0"/>
    <e v="#NAME?"/>
    <x v="160"/>
    <n v="1"/>
  </r>
  <r>
    <s v="C805724"/>
    <x v="666"/>
    <s v="RETAIL"/>
    <x v="21"/>
    <x v="0"/>
    <e v="#NAME?"/>
    <x v="160"/>
    <n v="1"/>
  </r>
  <r>
    <s v="C810833"/>
    <x v="667"/>
    <s v="RETAIL"/>
    <x v="21"/>
    <x v="0"/>
    <e v="#NAME?"/>
    <x v="160"/>
    <n v="1"/>
  </r>
  <r>
    <s v="O003002"/>
    <x v="668"/>
    <s v="RETAIL"/>
    <x v="21"/>
    <x v="0"/>
    <e v="#NAME?"/>
    <x v="193"/>
    <n v="1"/>
  </r>
  <r>
    <s v="CI35375"/>
    <x v="499"/>
    <s v="CIB &amp; COMEX - FIDUCIARIA"/>
    <x v="18"/>
    <x v="21"/>
    <e v="#NAME?"/>
    <x v="151"/>
    <n v="0.18"/>
  </r>
  <r>
    <s v="CI35375"/>
    <x v="499"/>
    <s v="CIB &amp; COMEX - FIDUCIARIA"/>
    <x v="18"/>
    <x v="21"/>
    <e v="#NAME?"/>
    <x v="153"/>
    <n v="0.16"/>
  </r>
  <r>
    <s v="CI35128"/>
    <x v="669"/>
    <s v="CIB &amp; COMEX - FIDUCIARIA"/>
    <x v="18"/>
    <x v="21"/>
    <e v="#NAME?"/>
    <x v="194"/>
    <n v="0.25"/>
  </r>
  <r>
    <s v="CI08666"/>
    <x v="670"/>
    <s v="CIB &amp; COMEX - FIDUCIARIA"/>
    <x v="18"/>
    <x v="21"/>
    <e v="#NAME?"/>
    <x v="194"/>
    <n v="0.3"/>
  </r>
  <r>
    <s v="CI35442"/>
    <x v="671"/>
    <s v="CIB &amp; COMEX - FIDUCIARIA"/>
    <x v="18"/>
    <x v="21"/>
    <e v="#NAME?"/>
    <x v="194"/>
    <n v="0.3"/>
  </r>
  <r>
    <s v="O000087"/>
    <x v="672"/>
    <s v="CIB &amp; COMEX - FIDUCIARIA"/>
    <x v="18"/>
    <x v="21"/>
    <e v="#NAME?"/>
    <x v="195"/>
    <n v="0.5"/>
  </r>
  <r>
    <s v="O000087"/>
    <x v="672"/>
    <s v="CIB &amp; COMEX - FIDUCIARIA"/>
    <x v="18"/>
    <x v="21"/>
    <e v="#NAME?"/>
    <x v="196"/>
    <n v="0.5"/>
  </r>
  <r>
    <s v="O000150"/>
    <x v="673"/>
    <s v="CIB &amp; COMEX - FIDUCIARIA"/>
    <x v="18"/>
    <x v="21"/>
    <e v="#NAME?"/>
    <x v="197"/>
    <n v="0.4"/>
  </r>
  <r>
    <s v="O000150"/>
    <x v="673"/>
    <s v="CIB &amp; COMEX - FIDUCIARIA"/>
    <x v="18"/>
    <x v="21"/>
    <e v="#NAME?"/>
    <x v="150"/>
    <n v="0.4"/>
  </r>
  <r>
    <s v="CI35128"/>
    <x v="669"/>
    <s v="CIB &amp; COMEX - FIDUCIARIA"/>
    <x v="18"/>
    <x v="21"/>
    <e v="#NAME?"/>
    <x v="152"/>
    <n v="0.25"/>
  </r>
  <r>
    <s v="CI08666"/>
    <x v="670"/>
    <s v="CIB &amp; COMEX - FIDUCIARIA"/>
    <x v="18"/>
    <x v="21"/>
    <e v="#NAME?"/>
    <x v="152"/>
    <n v="0.3"/>
  </r>
  <r>
    <s v="CI35442"/>
    <x v="671"/>
    <s v="CIB &amp; COMEX - FIDUCIARIA"/>
    <x v="18"/>
    <x v="21"/>
    <e v="#NAME?"/>
    <x v="152"/>
    <n v="0.3"/>
  </r>
  <r>
    <s v="CI35100"/>
    <x v="674"/>
    <s v="CIB &amp; COMEX - FIDUCIARIA"/>
    <x v="18"/>
    <x v="21"/>
    <e v="#NAME?"/>
    <x v="198"/>
    <n v="0.5"/>
  </r>
  <r>
    <s v="CE68033"/>
    <x v="675"/>
    <s v="CIB &amp; COMEX - FIDUCIARIA"/>
    <x v="18"/>
    <x v="21"/>
    <e v="#NAME?"/>
    <x v="3"/>
    <n v="1"/>
  </r>
  <r>
    <s v="CE58491"/>
    <x v="676"/>
    <s v="CIB &amp; COMEX - FIDUCIARIA"/>
    <x v="18"/>
    <x v="21"/>
    <e v="#NAME?"/>
    <x v="151"/>
    <n v="1"/>
  </r>
  <r>
    <s v="CE68487"/>
    <x v="677"/>
    <s v="CIB &amp; COMEX - FIDUCIARIA"/>
    <x v="18"/>
    <x v="21"/>
    <e v="#NAME?"/>
    <x v="151"/>
    <n v="1"/>
  </r>
  <r>
    <s v="CE57320"/>
    <x v="678"/>
    <s v="CIB &amp; COMEX - FIDUCIARIA"/>
    <x v="18"/>
    <x v="21"/>
    <e v="#NAME?"/>
    <x v="151"/>
    <n v="1"/>
  </r>
  <r>
    <s v="CIXXXXXX"/>
    <x v="679"/>
    <s v="CIB &amp; COMEX - FIDUCIARIA"/>
    <x v="18"/>
    <x v="3"/>
    <e v="#NAME?"/>
    <x v="194"/>
    <n v="0.5"/>
  </r>
  <r>
    <s v="CIXXXXXX"/>
    <x v="680"/>
    <s v="CIB &amp; COMEX - FIDUCIARIA"/>
    <x v="18"/>
    <x v="3"/>
    <e v="#NAME?"/>
    <x v="194"/>
    <n v="0.5"/>
  </r>
  <r>
    <s v="CIXXXXXX"/>
    <x v="681"/>
    <s v="CIB &amp; COMEX - FIDUCIARIA"/>
    <x v="18"/>
    <x v="3"/>
    <e v="#NAME?"/>
    <x v="194"/>
    <n v="0.5"/>
  </r>
  <r>
    <s v="CIXXXXXX"/>
    <x v="682"/>
    <s v="CIB &amp; COMEX - FIDUCIARIA"/>
    <x v="18"/>
    <x v="3"/>
    <e v="#NAME?"/>
    <x v="194"/>
    <n v="0.5"/>
  </r>
  <r>
    <s v="CIXXXXXX"/>
    <x v="683"/>
    <s v="CIB &amp; COMEX - FIDUCIARIA"/>
    <x v="18"/>
    <x v="3"/>
    <e v="#NAME?"/>
    <x v="194"/>
    <n v="0.5"/>
  </r>
  <r>
    <s v="CIXXXXXX"/>
    <x v="684"/>
    <s v="CIB &amp; COMEX - FIDUCIARIA"/>
    <x v="18"/>
    <x v="3"/>
    <e v="#NAME?"/>
    <x v="194"/>
    <n v="0.5"/>
  </r>
  <r>
    <s v="CIXXXXXX"/>
    <x v="685"/>
    <s v="CIB &amp; COMEX - FIDUCIARIA"/>
    <x v="18"/>
    <x v="3"/>
    <e v="#NAME?"/>
    <x v="194"/>
    <n v="0.5"/>
  </r>
  <r>
    <s v="CIXXXXXX"/>
    <x v="686"/>
    <s v="CIB &amp; COMEX - FIDUCIARIA"/>
    <x v="18"/>
    <x v="9"/>
    <e v="#NAME?"/>
    <x v="194"/>
    <n v="0.5"/>
  </r>
  <r>
    <s v="CIXXXXXX"/>
    <x v="687"/>
    <s v="CIB &amp; COMEX - FIDUCIARIA"/>
    <x v="18"/>
    <x v="9"/>
    <e v="#NAME?"/>
    <x v="194"/>
    <n v="0.5"/>
  </r>
  <r>
    <s v="CIXXXXXX"/>
    <x v="688"/>
    <s v="CIB &amp; COMEX - FIDUCIARIA"/>
    <x v="18"/>
    <x v="9"/>
    <e v="#NAME?"/>
    <x v="194"/>
    <n v="0.5"/>
  </r>
  <r>
    <s v="CIXXXXXX"/>
    <x v="679"/>
    <s v="CIB &amp; COMEX - FIDUCIARIA"/>
    <x v="18"/>
    <x v="3"/>
    <e v="#NAME?"/>
    <x v="152"/>
    <n v="0.5"/>
  </r>
  <r>
    <s v="CIXXXXXX"/>
    <x v="680"/>
    <s v="CIB &amp; COMEX - FIDUCIARIA"/>
    <x v="18"/>
    <x v="3"/>
    <e v="#NAME?"/>
    <x v="152"/>
    <n v="0.5"/>
  </r>
  <r>
    <s v="CIXXXXXX"/>
    <x v="681"/>
    <s v="CIB &amp; COMEX - FIDUCIARIA"/>
    <x v="18"/>
    <x v="3"/>
    <e v="#NAME?"/>
    <x v="152"/>
    <n v="0.5"/>
  </r>
  <r>
    <s v="CIXXXXXX"/>
    <x v="682"/>
    <s v="CIB &amp; COMEX - FIDUCIARIA"/>
    <x v="18"/>
    <x v="3"/>
    <e v="#NAME?"/>
    <x v="152"/>
    <n v="0.5"/>
  </r>
  <r>
    <s v="CIXXXXXX"/>
    <x v="683"/>
    <s v="CIB &amp; COMEX - FIDUCIARIA"/>
    <x v="18"/>
    <x v="3"/>
    <e v="#NAME?"/>
    <x v="152"/>
    <n v="0.5"/>
  </r>
  <r>
    <s v="CIXXXXXX"/>
    <x v="684"/>
    <s v="CIB &amp; COMEX - FIDUCIARIA"/>
    <x v="18"/>
    <x v="3"/>
    <e v="#NAME?"/>
    <x v="152"/>
    <n v="0.5"/>
  </r>
  <r>
    <s v="CIXXXXXX"/>
    <x v="685"/>
    <s v="CIB &amp; COMEX - FIDUCIARIA"/>
    <x v="18"/>
    <x v="3"/>
    <e v="#NAME?"/>
    <x v="152"/>
    <n v="0.5"/>
  </r>
  <r>
    <s v="CIXXXXXX"/>
    <x v="686"/>
    <s v="CIB &amp; COMEX - FIDUCIARIA"/>
    <x v="18"/>
    <x v="9"/>
    <e v="#NAME?"/>
    <x v="152"/>
    <n v="0.5"/>
  </r>
  <r>
    <s v="CIXXXXXX"/>
    <x v="687"/>
    <s v="CIB &amp; COMEX - FIDUCIARIA"/>
    <x v="18"/>
    <x v="9"/>
    <e v="#NAME?"/>
    <x v="152"/>
    <n v="0.5"/>
  </r>
  <r>
    <s v="CIXXXXXX"/>
    <x v="688"/>
    <s v="CIB &amp; COMEX - FIDUCIARIA"/>
    <x v="18"/>
    <x v="9"/>
    <e v="#NAME?"/>
    <x v="152"/>
    <n v="0.5"/>
  </r>
  <r>
    <s v="CE69361"/>
    <x v="689"/>
    <s v="RETAIL"/>
    <x v="26"/>
    <x v="12"/>
    <e v="#NAME?"/>
    <x v="199"/>
    <n v="0.3"/>
  </r>
  <r>
    <s v="CE51863"/>
    <x v="275"/>
    <s v="RETAIL"/>
    <x v="26"/>
    <x v="2"/>
    <e v="#NAME?"/>
    <x v="199"/>
    <n v="0.02"/>
  </r>
  <r>
    <s v="C810711"/>
    <x v="690"/>
    <s v="RETAIL"/>
    <x v="26"/>
    <x v="0"/>
    <e v="#NAME?"/>
    <x v="199"/>
    <n v="0.8"/>
  </r>
  <r>
    <s v="C810711"/>
    <x v="690"/>
    <s v="RETAIL"/>
    <x v="26"/>
    <x v="0"/>
    <e v="#NAME?"/>
    <x v="159"/>
    <n v="0.2"/>
  </r>
  <r>
    <s v="C985155"/>
    <x v="691"/>
    <s v="RETAIL"/>
    <x v="26"/>
    <x v="0"/>
    <e v="#NAME?"/>
    <x v="199"/>
    <n v="1"/>
  </r>
  <r>
    <s v="C342595"/>
    <x v="692"/>
    <s v="RETAIL"/>
    <x v="26"/>
    <x v="0"/>
    <e v="#NAME?"/>
    <x v="199"/>
    <n v="1"/>
  </r>
  <r>
    <s v="C810708"/>
    <x v="693"/>
    <s v="RETAIL"/>
    <x v="26"/>
    <x v="0"/>
    <e v="#NAME?"/>
    <x v="199"/>
    <n v="1"/>
  </r>
  <r>
    <s v="C342444"/>
    <x v="694"/>
    <s v="RETAIL"/>
    <x v="26"/>
    <x v="0"/>
    <e v="#NAME?"/>
    <x v="199"/>
    <n v="1"/>
  </r>
  <r>
    <s v="C810746"/>
    <x v="695"/>
    <s v="RETAIL"/>
    <x v="26"/>
    <x v="0"/>
    <e v="#NAME?"/>
    <x v="199"/>
    <n v="0.8"/>
  </r>
  <r>
    <s v="C810746"/>
    <x v="695"/>
    <s v="RETAIL"/>
    <x v="26"/>
    <x v="0"/>
    <e v="#NAME?"/>
    <x v="159"/>
    <n v="0.2"/>
  </r>
  <r>
    <s v="O001337"/>
    <x v="696"/>
    <s v="RETAIL"/>
    <x v="26"/>
    <x v="0"/>
    <e v="#NAME?"/>
    <x v="199"/>
    <n v="0.8"/>
  </r>
  <r>
    <s v="O001337"/>
    <x v="696"/>
    <s v="RETAIL"/>
    <x v="26"/>
    <x v="0"/>
    <e v="#NAME?"/>
    <x v="159"/>
    <n v="0.2"/>
  </r>
  <r>
    <s v="CE55339"/>
    <x v="697"/>
    <s v="RETAIL"/>
    <x v="26"/>
    <x v="3"/>
    <e v="#NAME?"/>
    <x v="199"/>
    <n v="0.3"/>
  </r>
  <r>
    <s v="T000166"/>
    <x v="698"/>
    <s v="RETAIL"/>
    <x v="26"/>
    <x v="1"/>
    <e v="#NAME?"/>
    <x v="199"/>
    <n v="1"/>
  </r>
  <r>
    <s v="T004935"/>
    <x v="699"/>
    <s v="RETAIL"/>
    <x v="26"/>
    <x v="1"/>
    <e v="#NAME?"/>
    <x v="199"/>
    <n v="1"/>
  </r>
  <r>
    <s v="T000274"/>
    <x v="700"/>
    <s v="RETAIL"/>
    <x v="26"/>
    <x v="9"/>
    <e v="#NAME?"/>
    <x v="199"/>
    <n v="0.3"/>
  </r>
  <r>
    <s v="C796552"/>
    <x v="701"/>
    <s v="RETAIL"/>
    <x v="26"/>
    <x v="0"/>
    <e v="#NAME?"/>
    <x v="3"/>
    <n v="0.65"/>
  </r>
  <r>
    <s v="C796552"/>
    <x v="701"/>
    <s v="RETAIL"/>
    <x v="26"/>
    <x v="0"/>
    <e v="#NAME?"/>
    <x v="200"/>
    <n v="0.05"/>
  </r>
  <r>
    <s v="C796552"/>
    <x v="701"/>
    <s v="RETAIL"/>
    <x v="26"/>
    <x v="0"/>
    <e v="#NAME?"/>
    <x v="20"/>
    <n v="0.05"/>
  </r>
  <r>
    <s v="C796552"/>
    <x v="701"/>
    <s v="RETAIL"/>
    <x v="26"/>
    <x v="0"/>
    <e v="#NAME?"/>
    <x v="201"/>
    <n v="0.05"/>
  </r>
  <r>
    <s v="C796552"/>
    <x v="701"/>
    <s v="RETAIL"/>
    <x v="26"/>
    <x v="0"/>
    <e v="#NAME?"/>
    <x v="95"/>
    <n v="0.05"/>
  </r>
  <r>
    <s v="C796552"/>
    <x v="701"/>
    <s v="RETAIL"/>
    <x v="26"/>
    <x v="0"/>
    <e v="#NAME?"/>
    <x v="160"/>
    <n v="0.15"/>
  </r>
  <r>
    <s v="C808359"/>
    <x v="702"/>
    <s v="RETAIL"/>
    <x v="26"/>
    <x v="0"/>
    <e v="#NAME?"/>
    <x v="3"/>
    <n v="1"/>
  </r>
  <r>
    <s v="CE51863"/>
    <x v="275"/>
    <s v="RETAIL"/>
    <x v="26"/>
    <x v="2"/>
    <e v="#NAME?"/>
    <x v="3"/>
    <n v="0.02"/>
  </r>
  <r>
    <s v="CE51863"/>
    <x v="275"/>
    <s v="RETAIL"/>
    <x v="26"/>
    <x v="2"/>
    <e v="#NAME?"/>
    <x v="200"/>
    <n v="0.02"/>
  </r>
  <r>
    <s v="CE51863"/>
    <x v="275"/>
    <s v="RETAIL"/>
    <x v="26"/>
    <x v="2"/>
    <e v="#NAME?"/>
    <x v="160"/>
    <n v="0.02"/>
  </r>
  <r>
    <s v="CE51863"/>
    <x v="275"/>
    <s v="RETAIL"/>
    <x v="26"/>
    <x v="2"/>
    <e v="#NAME?"/>
    <x v="20"/>
    <n v="0.02"/>
  </r>
  <r>
    <s v="CE51863"/>
    <x v="275"/>
    <s v="RETAIL"/>
    <x v="26"/>
    <x v="2"/>
    <e v="#NAME?"/>
    <x v="95"/>
    <n v="0.02"/>
  </r>
  <r>
    <s v="CE70177"/>
    <x v="703"/>
    <s v="RETAIL"/>
    <x v="26"/>
    <x v="1"/>
    <e v="#NAME?"/>
    <x v="95"/>
    <n v="0.9"/>
  </r>
  <r>
    <s v="C941085"/>
    <x v="704"/>
    <s v="RETAIL"/>
    <x v="26"/>
    <x v="0"/>
    <e v="#NAME?"/>
    <x v="3"/>
    <n v="1"/>
  </r>
  <r>
    <s v="T008622  "/>
    <x v="705"/>
    <s v="RETAIL"/>
    <x v="26"/>
    <x v="9"/>
    <e v="#NAME?"/>
    <x v="3"/>
    <n v="1"/>
  </r>
  <r>
    <s v="T000288"/>
    <x v="706"/>
    <s v="RETAIL"/>
    <x v="26"/>
    <x v="9"/>
    <e v="#NAME?"/>
    <x v="3"/>
    <n v="1"/>
  </r>
  <r>
    <s v="C985155"/>
    <x v="707"/>
    <s v="RETAIL"/>
    <x v="26"/>
    <x v="0"/>
    <e v="#NAME?"/>
    <x v="3"/>
    <n v="1"/>
  </r>
  <r>
    <s v="O001647"/>
    <x v="708"/>
    <s v="RETAIL"/>
    <x v="26"/>
    <x v="0"/>
    <e v="#NAME?"/>
    <x v="160"/>
    <n v="0.8"/>
  </r>
  <r>
    <s v="O001647"/>
    <x v="708"/>
    <s v="RETAIL"/>
    <x v="26"/>
    <x v="0"/>
    <e v="#NAME?"/>
    <x v="3"/>
    <n v="0.2"/>
  </r>
  <r>
    <s v="C821589"/>
    <x v="709"/>
    <s v="RETAIL"/>
    <x v="26"/>
    <x v="0"/>
    <e v="#NAME?"/>
    <x v="20"/>
    <n v="1"/>
  </r>
  <r>
    <s v="T009381"/>
    <x v="710"/>
    <s v="RETAIL"/>
    <x v="26"/>
    <x v="9"/>
    <e v="#NAME?"/>
    <x v="3"/>
    <n v="1"/>
  </r>
  <r>
    <s v="CE57299"/>
    <x v="711"/>
    <s v="RETAIL"/>
    <x v="26"/>
    <x v="9"/>
    <e v="#NAME?"/>
    <x v="200"/>
    <n v="1"/>
  </r>
  <r>
    <s v="T007581"/>
    <x v="712"/>
    <s v="RETAIL"/>
    <x v="26"/>
    <x v="6"/>
    <e v="#NAME?"/>
    <x v="200"/>
    <n v="1"/>
  </r>
  <r>
    <s v="CE61541"/>
    <x v="713"/>
    <s v="RETAIL"/>
    <x v="26"/>
    <x v="9"/>
    <e v="#NAME?"/>
    <x v="160"/>
    <n v="0.9"/>
  </r>
  <r>
    <s v="CE69109"/>
    <x v="714"/>
    <s v="RETAIL"/>
    <x v="26"/>
    <x v="9"/>
    <e v="#NAME?"/>
    <x v="3"/>
    <n v="1"/>
  </r>
  <r>
    <s v="CE17709"/>
    <x v="715"/>
    <s v="RETAIL"/>
    <x v="26"/>
    <x v="2"/>
    <e v="#NAME?"/>
    <x v="200"/>
    <n v="1"/>
  </r>
  <r>
    <s v="CE51863"/>
    <x v="275"/>
    <s v="RETAIL"/>
    <x v="26"/>
    <x v="2"/>
    <e v="#NAME?"/>
    <x v="200"/>
    <n v="0.02"/>
  </r>
  <r>
    <s v="C810755"/>
    <x v="716"/>
    <s v="RETAIL"/>
    <x v="26"/>
    <x v="0"/>
    <e v="#NAME?"/>
    <x v="20"/>
    <n v="0.5"/>
  </r>
  <r>
    <s v="C810755"/>
    <x v="716"/>
    <s v="RETAIL"/>
    <x v="26"/>
    <x v="0"/>
    <e v="#NAME?"/>
    <x v="3"/>
    <n v="0.5"/>
  </r>
  <r>
    <s v="CE66887"/>
    <x v="717"/>
    <s v="RETAIL"/>
    <x v="26"/>
    <x v="2"/>
    <e v="#NAME?"/>
    <x v="200"/>
    <n v="1"/>
  </r>
  <r>
    <s v="C805907"/>
    <x v="718"/>
    <s v="RETAIL"/>
    <x v="26"/>
    <x v="0"/>
    <e v="#NAME?"/>
    <x v="20"/>
    <n v="0.25"/>
  </r>
  <r>
    <s v="C805907"/>
    <x v="718"/>
    <s v="RETAIL"/>
    <x v="26"/>
    <x v="0"/>
    <e v="#NAME?"/>
    <x v="160"/>
    <n v="0.75"/>
  </r>
  <r>
    <s v="CE61541"/>
    <x v="713"/>
    <s v="RETAIL"/>
    <x v="26"/>
    <x v="9"/>
    <e v="#NAME?"/>
    <x v="160"/>
    <n v="0.1"/>
  </r>
  <r>
    <s v="CE67019"/>
    <x v="719"/>
    <s v="RETAIL"/>
    <x v="26"/>
    <x v="9"/>
    <e v="#NAME?"/>
    <x v="95"/>
    <n v="1"/>
  </r>
  <r>
    <s v="CE69265"/>
    <x v="720"/>
    <s v="RETAIL"/>
    <x v="26"/>
    <x v="1"/>
    <e v="#NAME?"/>
    <x v="160"/>
    <n v="1"/>
  </r>
  <r>
    <s v="O001980"/>
    <x v="721"/>
    <s v="RETAIL"/>
    <x v="26"/>
    <x v="0"/>
    <e v="#NAME?"/>
    <x v="3"/>
    <n v="0.7"/>
  </r>
  <r>
    <s v="O001980"/>
    <x v="721"/>
    <s v="RETAIL"/>
    <x v="26"/>
    <x v="0"/>
    <e v="#NAME?"/>
    <x v="200"/>
    <n v="0.3"/>
  </r>
  <r>
    <s v="O001850"/>
    <x v="722"/>
    <s v="RETAIL"/>
    <x v="26"/>
    <x v="0"/>
    <e v="#NAME?"/>
    <x v="201"/>
    <n v="0.5"/>
  </r>
  <r>
    <s v="O001850"/>
    <x v="722"/>
    <s v="RETAIL"/>
    <x v="26"/>
    <x v="0"/>
    <e v="#NAME?"/>
    <x v="3"/>
    <n v="0.5"/>
  </r>
  <r>
    <s v="CE67484"/>
    <x v="723"/>
    <s v="CIB &amp; COMEX - FIDUCIARIA"/>
    <x v="16"/>
    <x v="20"/>
    <e v="#NAME?"/>
    <x v="139"/>
    <n v="0.25"/>
  </r>
  <r>
    <s v="CE61162"/>
    <x v="724"/>
    <s v="CIB &amp; COMEX - FIDUCIARIA"/>
    <x v="16"/>
    <x v="20"/>
    <e v="#NAME?"/>
    <x v="139"/>
    <n v="0.3"/>
  </r>
  <r>
    <s v="T003696"/>
    <x v="725"/>
    <s v="CIB &amp; COMEX - FIDUCIARIA"/>
    <x v="16"/>
    <x v="20"/>
    <e v="#NAME?"/>
    <x v="139"/>
    <n v="0.2"/>
  </r>
  <r>
    <s v="CE42052"/>
    <x v="726"/>
    <s v="CIB &amp; COMEX - FIDUCIARIA"/>
    <x v="16"/>
    <x v="9"/>
    <e v="#NAME?"/>
    <x v="139"/>
    <n v="0.1"/>
  </r>
  <r>
    <s v="T003497"/>
    <x v="727"/>
    <s v="CORE"/>
    <x v="15"/>
    <x v="20"/>
    <e v="#NAME?"/>
    <x v="202"/>
    <n v="1"/>
  </r>
  <r>
    <s v="T000410"/>
    <x v="728"/>
    <s v="CORE"/>
    <x v="15"/>
    <x v="15"/>
    <e v="#NAME?"/>
    <x v="118"/>
    <n v="0.7"/>
  </r>
  <r>
    <s v="T000410"/>
    <x v="728"/>
    <s v="CORE"/>
    <x v="15"/>
    <x v="15"/>
    <e v="#NAME?"/>
    <x v="86"/>
    <n v="0.3"/>
  </r>
  <r>
    <s v="CE67848"/>
    <x v="729"/>
    <s v="CORE"/>
    <x v="15"/>
    <x v="20"/>
    <e v="#NAME?"/>
    <x v="203"/>
    <n v="0.1"/>
  </r>
  <r>
    <s v="CE67848"/>
    <x v="729"/>
    <s v="CORE"/>
    <x v="15"/>
    <x v="20"/>
    <e v="#NAME?"/>
    <x v="84"/>
    <n v="0.7"/>
  </r>
  <r>
    <s v="CE67848"/>
    <x v="729"/>
    <s v="CORE"/>
    <x v="15"/>
    <x v="20"/>
    <e v="#NAME?"/>
    <x v="86"/>
    <n v="0.2"/>
  </r>
  <r>
    <s v="T004062"/>
    <x v="730"/>
    <s v="CORE"/>
    <x v="15"/>
    <x v="1"/>
    <e v="#NAME?"/>
    <x v="204"/>
    <n v="1"/>
  </r>
  <r>
    <s v="T008459"/>
    <x v="731"/>
    <s v="CORE"/>
    <x v="15"/>
    <x v="12"/>
    <e v="#NAME?"/>
    <x v="3"/>
    <n v="1"/>
  </r>
  <r>
    <s v="CE70621"/>
    <x v="732"/>
    <s v="CORE"/>
    <x v="15"/>
    <x v="5"/>
    <e v="#NAME?"/>
    <x v="3"/>
    <n v="1"/>
  </r>
  <r>
    <s v="CE69709"/>
    <x v="733"/>
    <s v="CORE"/>
    <x v="15"/>
    <x v="1"/>
    <e v="#NAME?"/>
    <x v="118"/>
    <n v="0.5"/>
  </r>
  <r>
    <s v="CE69709"/>
    <x v="733"/>
    <s v="CORE"/>
    <x v="15"/>
    <x v="1"/>
    <e v="#NAME?"/>
    <x v="86"/>
    <n v="0.5"/>
  </r>
  <r>
    <s v="T000159"/>
    <x v="734"/>
    <s v="CORE"/>
    <x v="15"/>
    <x v="1"/>
    <e v="#NAME?"/>
    <x v="205"/>
    <n v="1"/>
  </r>
  <r>
    <s v="P009920"/>
    <x v="735"/>
    <s v="CORE"/>
    <x v="15"/>
    <x v="20"/>
    <e v="#NAME?"/>
    <x v="203"/>
    <n v="1"/>
  </r>
  <r>
    <s v="O001869"/>
    <x v="736"/>
    <s v="CORE"/>
    <x v="15"/>
    <x v="0"/>
    <e v="#NAME?"/>
    <x v="205"/>
    <n v="0.1"/>
  </r>
  <r>
    <s v="O001869"/>
    <x v="736"/>
    <s v="CORE"/>
    <x v="15"/>
    <x v="0"/>
    <e v="#NAME?"/>
    <x v="1"/>
    <n v="0.05"/>
  </r>
  <r>
    <s v="O001869"/>
    <x v="736"/>
    <s v="CORE"/>
    <x v="15"/>
    <x v="0"/>
    <e v="#NAME?"/>
    <x v="6"/>
    <n v="0.05"/>
  </r>
  <r>
    <s v="O001869"/>
    <x v="736"/>
    <s v="CORE"/>
    <x v="15"/>
    <x v="0"/>
    <e v="#NAME?"/>
    <x v="202"/>
    <n v="0.15"/>
  </r>
  <r>
    <s v="O001869"/>
    <x v="736"/>
    <s v="CORE"/>
    <x v="15"/>
    <x v="0"/>
    <e v="#NAME?"/>
    <x v="206"/>
    <n v="0.05"/>
  </r>
  <r>
    <s v="O001869"/>
    <x v="736"/>
    <s v="CORE"/>
    <x v="15"/>
    <x v="0"/>
    <e v="#NAME?"/>
    <x v="207"/>
    <n v="0.2"/>
  </r>
  <r>
    <s v="O001869"/>
    <x v="736"/>
    <s v="CORE"/>
    <x v="15"/>
    <x v="0"/>
    <e v="#NAME?"/>
    <x v="208"/>
    <n v="0.15"/>
  </r>
  <r>
    <s v="O001869"/>
    <x v="736"/>
    <s v="CORE"/>
    <x v="15"/>
    <x v="0"/>
    <e v="#NAME?"/>
    <x v="209"/>
    <n v="0.1"/>
  </r>
  <r>
    <s v="O001869"/>
    <x v="736"/>
    <s v="CORE"/>
    <x v="15"/>
    <x v="0"/>
    <e v="#NAME?"/>
    <x v="53"/>
    <n v="0.05"/>
  </r>
  <r>
    <s v="O001869"/>
    <x v="736"/>
    <s v="CORE"/>
    <x v="15"/>
    <x v="0"/>
    <e v="#NAME?"/>
    <x v="3"/>
    <n v="0.1"/>
  </r>
  <r>
    <s v="CE30638"/>
    <x v="737"/>
    <s v="CORE"/>
    <x v="15"/>
    <x v="5"/>
    <e v="#NAME?"/>
    <x v="118"/>
    <n v="1"/>
  </r>
  <r>
    <s v="C805965"/>
    <x v="738"/>
    <s v="CORE"/>
    <x v="15"/>
    <x v="0"/>
    <e v="#NAME?"/>
    <x v="202"/>
    <n v="0.1"/>
  </r>
  <r>
    <s v="C805965"/>
    <x v="738"/>
    <s v="CORE"/>
    <x v="15"/>
    <x v="0"/>
    <e v="#NAME?"/>
    <x v="202"/>
    <n v="0.1"/>
  </r>
  <r>
    <s v="C805965"/>
    <x v="738"/>
    <s v="CORE"/>
    <x v="15"/>
    <x v="0"/>
    <e v="#NAME?"/>
    <x v="207"/>
    <n v="0.8"/>
  </r>
  <r>
    <s v="C342543"/>
    <x v="739"/>
    <s v="CORE"/>
    <x v="15"/>
    <x v="0"/>
    <e v="#NAME?"/>
    <x v="1"/>
    <n v="0.1"/>
  </r>
  <r>
    <s v="C342543"/>
    <x v="739"/>
    <s v="CORE"/>
    <x v="15"/>
    <x v="0"/>
    <e v="#NAME?"/>
    <x v="6"/>
    <n v="0.1"/>
  </r>
  <r>
    <s v="C342543"/>
    <x v="739"/>
    <s v="CORE"/>
    <x v="15"/>
    <x v="0"/>
    <e v="#NAME?"/>
    <x v="209"/>
    <n v="0.1"/>
  </r>
  <r>
    <s v="C342543"/>
    <x v="739"/>
    <s v="CORE"/>
    <x v="15"/>
    <x v="0"/>
    <e v="#NAME?"/>
    <x v="118"/>
    <n v="0.1"/>
  </r>
  <r>
    <s v="C342543"/>
    <x v="739"/>
    <s v="CORE"/>
    <x v="15"/>
    <x v="0"/>
    <e v="#NAME?"/>
    <x v="208"/>
    <n v="0.1"/>
  </r>
  <r>
    <s v="C342543"/>
    <x v="739"/>
    <s v="CORE"/>
    <x v="15"/>
    <x v="0"/>
    <e v="#NAME?"/>
    <x v="210"/>
    <n v="0.1"/>
  </r>
  <r>
    <s v="C342543"/>
    <x v="739"/>
    <s v="CORE"/>
    <x v="15"/>
    <x v="0"/>
    <e v="#NAME?"/>
    <x v="3"/>
    <n v="0.4"/>
  </r>
  <r>
    <s v="CE66714"/>
    <x v="740"/>
    <s v="CORE"/>
    <x v="15"/>
    <x v="6"/>
    <e v="#NAME?"/>
    <x v="203"/>
    <n v="0.35"/>
  </r>
  <r>
    <s v="CE66714"/>
    <x v="740"/>
    <s v="CORE"/>
    <x v="15"/>
    <x v="6"/>
    <e v="#NAME?"/>
    <x v="84"/>
    <n v="0.3"/>
  </r>
  <r>
    <s v="CE66714"/>
    <x v="740"/>
    <s v="CORE"/>
    <x v="15"/>
    <x v="6"/>
    <e v="#NAME?"/>
    <x v="86"/>
    <n v="0.35"/>
  </r>
  <r>
    <s v="CE67847"/>
    <x v="741"/>
    <s v="CORE"/>
    <x v="15"/>
    <x v="5"/>
    <e v="#NAME?"/>
    <x v="84"/>
    <n v="1"/>
  </r>
  <r>
    <s v="P002414"/>
    <x v="742"/>
    <s v="CORE"/>
    <x v="15"/>
    <x v="6"/>
    <e v="#NAME?"/>
    <x v="203"/>
    <n v="1"/>
  </r>
  <r>
    <s v="CE65598"/>
    <x v="743"/>
    <s v="CORE"/>
    <x v="15"/>
    <x v="2"/>
    <e v="#NAME?"/>
    <x v="203"/>
    <n v="0.3"/>
  </r>
  <r>
    <s v="CE65598"/>
    <x v="743"/>
    <s v="CORE"/>
    <x v="15"/>
    <x v="2"/>
    <e v="#NAME?"/>
    <x v="84"/>
    <n v="0.3"/>
  </r>
  <r>
    <s v="CE65598"/>
    <x v="743"/>
    <s v="CORE"/>
    <x v="15"/>
    <x v="2"/>
    <e v="#NAME?"/>
    <x v="86"/>
    <n v="0.4"/>
  </r>
  <r>
    <s v="C342598"/>
    <x v="744"/>
    <s v="CORE"/>
    <x v="15"/>
    <x v="0"/>
    <e v="#NAME?"/>
    <x v="203"/>
    <n v="0.1"/>
  </r>
  <r>
    <s v="C342598"/>
    <x v="744"/>
    <s v="CORE"/>
    <x v="15"/>
    <x v="0"/>
    <e v="#NAME?"/>
    <x v="84"/>
    <n v="0.15"/>
  </r>
  <r>
    <s v="C342598"/>
    <x v="744"/>
    <s v="CORE"/>
    <x v="15"/>
    <x v="0"/>
    <e v="#NAME?"/>
    <x v="86"/>
    <n v="0.2"/>
  </r>
  <r>
    <s v="C342598"/>
    <x v="744"/>
    <s v="CORE"/>
    <x v="15"/>
    <x v="0"/>
    <e v="#NAME?"/>
    <x v="211"/>
    <n v="0.2"/>
  </r>
  <r>
    <s v="C342598"/>
    <x v="744"/>
    <s v="CORE"/>
    <x v="15"/>
    <x v="0"/>
    <e v="#NAME?"/>
    <x v="204"/>
    <n v="0.15"/>
  </r>
  <r>
    <s v="C342598"/>
    <x v="744"/>
    <s v="CORE"/>
    <x v="15"/>
    <x v="0"/>
    <e v="#NAME?"/>
    <x v="118"/>
    <n v="0.2"/>
  </r>
  <r>
    <s v="CE68302"/>
    <x v="745"/>
    <s v="CORE"/>
    <x v="15"/>
    <x v="1"/>
    <e v="#NAME?"/>
    <x v="202"/>
    <n v="1"/>
  </r>
  <r>
    <s v="C811057"/>
    <x v="746"/>
    <s v="CORE"/>
    <x v="15"/>
    <x v="0"/>
    <e v="#NAME?"/>
    <x v="3"/>
    <n v="1"/>
  </r>
  <r>
    <s v="CE69094"/>
    <x v="747"/>
    <s v="CORE"/>
    <x v="15"/>
    <x v="2"/>
    <e v="#NAME?"/>
    <x v="203"/>
    <n v="0.5"/>
  </r>
  <r>
    <s v="CE69094"/>
    <x v="747"/>
    <s v="CORE"/>
    <x v="15"/>
    <x v="2"/>
    <e v="#NAME?"/>
    <x v="84"/>
    <n v="0.5"/>
  </r>
  <r>
    <s v="C796415"/>
    <x v="748"/>
    <s v="CORE"/>
    <x v="15"/>
    <x v="0"/>
    <e v="#NAME?"/>
    <x v="3"/>
    <n v="1"/>
  </r>
  <r>
    <s v="O000448"/>
    <x v="749"/>
    <s v="CORE"/>
    <x v="15"/>
    <x v="0"/>
    <e v="#NAME?"/>
    <x v="84"/>
    <n v="0.5"/>
  </r>
  <r>
    <s v="O000448"/>
    <x v="749"/>
    <s v="CORE"/>
    <x v="15"/>
    <x v="0"/>
    <e v="#NAME?"/>
    <x v="203"/>
    <n v="0.2"/>
  </r>
  <r>
    <s v="O000448"/>
    <x v="749"/>
    <s v="CORE"/>
    <x v="15"/>
    <x v="0"/>
    <e v="#NAME?"/>
    <x v="86"/>
    <n v="0.3"/>
  </r>
  <r>
    <s v="C805991"/>
    <x v="750"/>
    <s v="CORE"/>
    <x v="15"/>
    <x v="0"/>
    <e v="#NAME?"/>
    <x v="118"/>
    <n v="0.2"/>
  </r>
  <r>
    <s v="C805991"/>
    <x v="750"/>
    <s v="CORE"/>
    <x v="15"/>
    <x v="0"/>
    <e v="#NAME?"/>
    <x v="86"/>
    <n v="0.3"/>
  </r>
  <r>
    <s v="C805991"/>
    <x v="750"/>
    <s v="CORE"/>
    <x v="15"/>
    <x v="0"/>
    <e v="#NAME?"/>
    <x v="118"/>
    <n v="0.3"/>
  </r>
  <r>
    <s v="C805991"/>
    <x v="750"/>
    <s v="CORE"/>
    <x v="15"/>
    <x v="0"/>
    <e v="#NAME?"/>
    <x v="3"/>
    <n v="0.2"/>
  </r>
  <r>
    <s v="O001038"/>
    <x v="751"/>
    <s v="CORE"/>
    <x v="15"/>
    <x v="0"/>
    <e v="#NAME?"/>
    <x v="3"/>
    <n v="1"/>
  </r>
  <r>
    <s v="CE50152"/>
    <x v="752"/>
    <s v="CORE"/>
    <x v="15"/>
    <x v="5"/>
    <e v="#NAME?"/>
    <x v="3"/>
    <n v="1"/>
  </r>
  <r>
    <s v="CE60769"/>
    <x v="753"/>
    <s v="CORE"/>
    <x v="15"/>
    <x v="5"/>
    <e v="#NAME?"/>
    <x v="84"/>
    <n v="1"/>
  </r>
  <r>
    <s v="CE52097"/>
    <x v="754"/>
    <s v="CORE"/>
    <x v="15"/>
    <x v="12"/>
    <e v="#NAME?"/>
    <x v="3"/>
    <n v="1"/>
  </r>
  <r>
    <s v="CE61638"/>
    <x v="755"/>
    <s v="CORE"/>
    <x v="15"/>
    <x v="2"/>
    <e v="#NAME?"/>
    <x v="205"/>
    <n v="1"/>
  </r>
  <r>
    <s v="O001111"/>
    <x v="756"/>
    <s v="CORE"/>
    <x v="15"/>
    <x v="0"/>
    <e v="#NAME?"/>
    <x v="118"/>
    <n v="1"/>
  </r>
  <r>
    <s v="CE66153"/>
    <x v="757"/>
    <s v="CORE"/>
    <x v="15"/>
    <x v="6"/>
    <e v="#NAME?"/>
    <x v="84"/>
    <n v="0.7"/>
  </r>
  <r>
    <s v="CE66153"/>
    <x v="757"/>
    <s v="CORE"/>
    <x v="15"/>
    <x v="6"/>
    <e v="#NAME?"/>
    <x v="86"/>
    <n v="0.3"/>
  </r>
  <r>
    <s v="C811329"/>
    <x v="758"/>
    <s v="CORE"/>
    <x v="15"/>
    <x v="0"/>
    <e v="#NAME?"/>
    <x v="3"/>
    <n v="1"/>
  </r>
  <r>
    <s v="CE61687"/>
    <x v="759"/>
    <s v="CORE"/>
    <x v="15"/>
    <x v="20"/>
    <e v="#NAME?"/>
    <x v="118"/>
    <n v="0.7"/>
  </r>
  <r>
    <s v="CE61687"/>
    <x v="759"/>
    <s v="CORE"/>
    <x v="15"/>
    <x v="20"/>
    <e v="#NAME?"/>
    <x v="86"/>
    <n v="0.3"/>
  </r>
  <r>
    <s v="C808819"/>
    <x v="760"/>
    <s v="CORE"/>
    <x v="15"/>
    <x v="0"/>
    <e v="#NAME?"/>
    <x v="203"/>
    <n v="0.4"/>
  </r>
  <r>
    <s v="C808819"/>
    <x v="760"/>
    <s v="CORE"/>
    <x v="15"/>
    <x v="0"/>
    <e v="#NAME?"/>
    <x v="84"/>
    <n v="0.6"/>
  </r>
  <r>
    <s v="CE64753"/>
    <x v="761"/>
    <s v="CORE"/>
    <x v="15"/>
    <x v="2"/>
    <e v="#NAME?"/>
    <x v="3"/>
    <n v="1"/>
  </r>
  <r>
    <s v="C804405"/>
    <x v="762"/>
    <s v="CORE"/>
    <x v="15"/>
    <x v="0"/>
    <e v="#NAME?"/>
    <x v="3"/>
    <n v="0.3"/>
  </r>
  <r>
    <s v="C804405"/>
    <x v="762"/>
    <s v="CORE"/>
    <x v="15"/>
    <x v="0"/>
    <e v="#NAME?"/>
    <x v="209"/>
    <n v="0.7"/>
  </r>
  <r>
    <s v="C809507"/>
    <x v="763"/>
    <s v="CORE"/>
    <x v="15"/>
    <x v="0"/>
    <e v="#NAME?"/>
    <x v="205"/>
    <n v="1"/>
  </r>
  <r>
    <s v="C808802"/>
    <x v="764"/>
    <s v="CORE"/>
    <x v="15"/>
    <x v="0"/>
    <e v="#NAME?"/>
    <x v="210"/>
    <n v="0.8"/>
  </r>
  <r>
    <s v="C808802"/>
    <x v="764"/>
    <s v="CORE"/>
    <x v="15"/>
    <x v="0"/>
    <e v="#NAME?"/>
    <x v="3"/>
    <n v="0.2"/>
  </r>
  <r>
    <s v="C809507"/>
    <x v="765"/>
    <s v="CORE"/>
    <x v="15"/>
    <x v="0"/>
    <e v="#NAME?"/>
    <x v="3"/>
    <n v="0.5"/>
  </r>
  <r>
    <s v="C809507"/>
    <x v="765"/>
    <s v="CORE"/>
    <x v="15"/>
    <x v="0"/>
    <e v="#NAME?"/>
    <x v="207"/>
    <n v="0.5"/>
  </r>
  <r>
    <s v="T001910"/>
    <x v="766"/>
    <s v="CORE"/>
    <x v="15"/>
    <x v="12"/>
    <e v="#NAME?"/>
    <x v="3"/>
    <n v="1"/>
  </r>
  <r>
    <s v="C808648"/>
    <x v="767"/>
    <s v="CORE"/>
    <x v="15"/>
    <x v="0"/>
    <e v="#NAME?"/>
    <x v="208"/>
    <n v="1"/>
  </r>
  <r>
    <s v="C343564"/>
    <x v="768"/>
    <s v="CORE"/>
    <x v="15"/>
    <x v="0"/>
    <e v="#NAME?"/>
    <x v="202"/>
    <n v="0.1"/>
  </r>
  <r>
    <s v="C343564"/>
    <x v="768"/>
    <s v="CORE"/>
    <x v="15"/>
    <x v="0"/>
    <e v="#NAME?"/>
    <x v="202"/>
    <n v="0.1"/>
  </r>
  <r>
    <s v="C343564"/>
    <x v="768"/>
    <s v="CORE"/>
    <x v="15"/>
    <x v="0"/>
    <e v="#NAME?"/>
    <x v="207"/>
    <n v="0.8"/>
  </r>
  <r>
    <s v="C805926"/>
    <x v="769"/>
    <s v="CORE"/>
    <x v="15"/>
    <x v="0"/>
    <e v="#NAME?"/>
    <x v="84"/>
    <n v="1"/>
  </r>
  <r>
    <s v="O000197"/>
    <x v="770"/>
    <s v="CORE"/>
    <x v="15"/>
    <x v="0"/>
    <e v="#NAME?"/>
    <x v="203"/>
    <n v="0.1"/>
  </r>
  <r>
    <s v="O000197"/>
    <x v="770"/>
    <s v="CORE"/>
    <x v="15"/>
    <x v="0"/>
    <e v="#NAME?"/>
    <x v="84"/>
    <n v="0.3"/>
  </r>
  <r>
    <s v="O000197"/>
    <x v="770"/>
    <s v="CORE"/>
    <x v="15"/>
    <x v="0"/>
    <e v="#NAME?"/>
    <x v="86"/>
    <n v="0.1"/>
  </r>
  <r>
    <s v="O000197"/>
    <x v="770"/>
    <s v="CORE"/>
    <x v="15"/>
    <x v="0"/>
    <e v="#NAME?"/>
    <x v="211"/>
    <n v="0.05"/>
  </r>
  <r>
    <s v="O000197"/>
    <x v="770"/>
    <s v="CORE"/>
    <x v="15"/>
    <x v="0"/>
    <e v="#NAME?"/>
    <x v="204"/>
    <n v="0.05"/>
  </r>
  <r>
    <s v="O000197"/>
    <x v="770"/>
    <s v="CORE"/>
    <x v="15"/>
    <x v="0"/>
    <e v="#NAME?"/>
    <x v="118"/>
    <n v="0.3"/>
  </r>
  <r>
    <s v="O000197"/>
    <x v="770"/>
    <s v="CORE"/>
    <x v="15"/>
    <x v="0"/>
    <e v="#NAME?"/>
    <x v="3"/>
    <n v="0.1"/>
  </r>
  <r>
    <s v="O000158"/>
    <x v="771"/>
    <s v="CORE"/>
    <x v="15"/>
    <x v="0"/>
    <e v="#NAME?"/>
    <x v="3"/>
    <n v="1"/>
  </r>
  <r>
    <s v="CE47926"/>
    <x v="772"/>
    <s v="CORE"/>
    <x v="15"/>
    <x v="12"/>
    <e v="#NAME?"/>
    <x v="3"/>
    <n v="1"/>
  </r>
  <r>
    <s v="C811205"/>
    <x v="773"/>
    <s v="CORE"/>
    <x v="15"/>
    <x v="0"/>
    <e v="#NAME?"/>
    <x v="3"/>
    <n v="1"/>
  </r>
  <r>
    <s v="O002661"/>
    <x v="774"/>
    <s v="CORE"/>
    <x v="15"/>
    <x v="0"/>
    <e v="#NAME?"/>
    <x v="202"/>
    <n v="0.25"/>
  </r>
  <r>
    <s v="O002661"/>
    <x v="774"/>
    <s v="CORE"/>
    <x v="15"/>
    <x v="0"/>
    <e v="#NAME?"/>
    <x v="118"/>
    <n v="0.25"/>
  </r>
  <r>
    <s v="O002661"/>
    <x v="774"/>
    <s v="CORE"/>
    <x v="15"/>
    <x v="0"/>
    <e v="#NAME?"/>
    <x v="203"/>
    <n v="0.25"/>
  </r>
  <r>
    <s v="O002661"/>
    <x v="774"/>
    <s v="CORE"/>
    <x v="15"/>
    <x v="0"/>
    <e v="#NAME?"/>
    <x v="119"/>
    <n v="0.25"/>
  </r>
  <r>
    <s v="CE56109"/>
    <x v="775"/>
    <s v="CORE"/>
    <x v="15"/>
    <x v="12"/>
    <e v="#NAME?"/>
    <x v="3"/>
    <n v="1"/>
  </r>
  <r>
    <s v="T000361"/>
    <x v="776"/>
    <s v="CORE"/>
    <x v="15"/>
    <x v="15"/>
    <e v="#NAME?"/>
    <x v="118"/>
    <n v="0.7"/>
  </r>
  <r>
    <s v="T000361"/>
    <x v="776"/>
    <s v="CORE"/>
    <x v="15"/>
    <x v="15"/>
    <e v="#NAME?"/>
    <x v="86"/>
    <n v="0.3"/>
  </r>
  <r>
    <s v="CI35128"/>
    <x v="669"/>
    <s v="CIB &amp; COMEX - FIDUCIARIA"/>
    <x v="18"/>
    <x v="21"/>
    <e v="#NAME?"/>
    <x v="3"/>
    <n v="0.5"/>
  </r>
  <r>
    <s v="CI35442"/>
    <x v="671"/>
    <s v="CIB &amp; COMEX - FIDUCIARIA"/>
    <x v="18"/>
    <x v="21"/>
    <e v="#NAME?"/>
    <x v="3"/>
    <n v="0.4"/>
  </r>
  <r>
    <s v="O000150"/>
    <x v="673"/>
    <s v="CIB &amp; COMEX - FIDUCIARIA"/>
    <x v="18"/>
    <x v="21"/>
    <e v="#NAME?"/>
    <x v="3"/>
    <n v="0.2"/>
  </r>
  <r>
    <s v="CI35100"/>
    <x v="674"/>
    <s v="CIB &amp; COMEX - FIDUCIARIA"/>
    <x v="18"/>
    <x v="21"/>
    <e v="#NAME?"/>
    <x v="3"/>
    <n v="0.5"/>
  </r>
  <r>
    <s v="CE67865"/>
    <x v="777"/>
    <s v="RETAIL"/>
    <x v="21"/>
    <x v="20"/>
    <e v="#NAME?"/>
    <x v="160"/>
    <n v="1"/>
  </r>
  <r>
    <s v="CE71119"/>
    <x v="778"/>
    <s v="RETAIL"/>
    <x v="21"/>
    <x v="20"/>
    <e v="#NAME?"/>
    <x v="160"/>
    <n v="1"/>
  </r>
  <r>
    <s v="CE66576"/>
    <x v="779"/>
    <s v="RETAIL"/>
    <x v="21"/>
    <x v="9"/>
    <e v="#NAME?"/>
    <x v="160"/>
    <n v="1"/>
  </r>
  <r>
    <s v="CE67220"/>
    <x v="780"/>
    <s v="RETAIL"/>
    <x v="21"/>
    <x v="12"/>
    <e v="#NAME?"/>
    <x v="193"/>
    <n v="1"/>
  </r>
  <r>
    <s v="CE70202"/>
    <x v="781"/>
    <s v="RETAIL"/>
    <x v="21"/>
    <x v="12"/>
    <e v="#NAME?"/>
    <x v="160"/>
    <n v="1"/>
  </r>
  <r>
    <s v="CE67309"/>
    <x v="782"/>
    <s v="RETAIL"/>
    <x v="21"/>
    <x v="9"/>
    <e v="#NAME?"/>
    <x v="193"/>
    <n v="0.5"/>
  </r>
  <r>
    <s v="CE67309"/>
    <x v="782"/>
    <s v="RETAIL"/>
    <x v="21"/>
    <x v="9"/>
    <e v="#NAME?"/>
    <x v="160"/>
    <n v="0.5"/>
  </r>
  <r>
    <s v="CE69445"/>
    <x v="783"/>
    <s v="RETAIL"/>
    <x v="21"/>
    <x v="12"/>
    <e v="#NAME?"/>
    <x v="193"/>
    <n v="1"/>
  </r>
  <r>
    <s v="CE69821"/>
    <x v="784"/>
    <s v="RETAIL"/>
    <x v="21"/>
    <x v="15"/>
    <e v="#NAME?"/>
    <x v="160"/>
    <n v="1"/>
  </r>
  <r>
    <s v="CE70245"/>
    <x v="785"/>
    <s v="RETAIL"/>
    <x v="21"/>
    <x v="20"/>
    <e v="#NAME?"/>
    <x v="160"/>
    <n v="1"/>
  </r>
  <r>
    <s v="T001912"/>
    <x v="786"/>
    <s v="RETAIL"/>
    <x v="21"/>
    <x v="12"/>
    <e v="#NAME?"/>
    <x v="160"/>
    <n v="1"/>
  </r>
  <r>
    <s v="CE71116"/>
    <x v="787"/>
    <s v="RETAIL"/>
    <x v="21"/>
    <x v="20"/>
    <e v="#NAME?"/>
    <x v="160"/>
    <n v="1"/>
  </r>
  <r>
    <s v="CE67846"/>
    <x v="788"/>
    <s v="RETAIL"/>
    <x v="21"/>
    <x v="20"/>
    <e v="#NAME?"/>
    <x v="160"/>
    <n v="1"/>
  </r>
  <r>
    <s v="CE71118"/>
    <x v="789"/>
    <s v="RETAIL"/>
    <x v="21"/>
    <x v="20"/>
    <e v="#NAME?"/>
    <x v="160"/>
    <n v="1"/>
  </r>
  <r>
    <s v="XEA0692"/>
    <x v="790"/>
    <s v="RETAIL"/>
    <x v="21"/>
    <x v="20"/>
    <e v="#NAME?"/>
    <x v="160"/>
    <n v="1"/>
  </r>
  <r>
    <s v="CE67849"/>
    <x v="791"/>
    <s v="RETAIL"/>
    <x v="21"/>
    <x v="20"/>
    <e v="#NAME?"/>
    <x v="160"/>
    <n v="1"/>
  </r>
  <r>
    <s v="CE69249"/>
    <x v="792"/>
    <s v="RETAIL"/>
    <x v="21"/>
    <x v="12"/>
    <e v="#NAME?"/>
    <x v="193"/>
    <n v="1"/>
  </r>
  <r>
    <s v="CE56568"/>
    <x v="793"/>
    <s v="RETAIL"/>
    <x v="21"/>
    <x v="6"/>
    <e v="#NAME?"/>
    <x v="193"/>
    <n v="1"/>
  </r>
  <r>
    <s v="CE56092"/>
    <x v="794"/>
    <s v="RETAIL"/>
    <x v="21"/>
    <x v="9"/>
    <e v="#NAME?"/>
    <x v="160"/>
    <n v="1"/>
  </r>
  <r>
    <s v="CE53474"/>
    <x v="795"/>
    <s v="RETAIL"/>
    <x v="21"/>
    <x v="12"/>
    <e v="#NAME?"/>
    <x v="160"/>
    <n v="0.75"/>
  </r>
  <r>
    <s v="CE53474"/>
    <x v="795"/>
    <s v="RETAIL"/>
    <x v="21"/>
    <x v="12"/>
    <e v="#NAME?"/>
    <x v="193"/>
    <n v="0.25"/>
  </r>
  <r>
    <s v="CE65053"/>
    <x v="796"/>
    <s v="RETAIL"/>
    <x v="21"/>
    <x v="15"/>
    <e v="#NAME?"/>
    <x v="160"/>
    <n v="1"/>
  </r>
  <r>
    <s v="CE59993"/>
    <x v="797"/>
    <s v="RETAIL"/>
    <x v="21"/>
    <x v="5"/>
    <e v="#NAME?"/>
    <x v="160"/>
    <n v="1"/>
  </r>
  <r>
    <s v="CE47925"/>
    <x v="798"/>
    <s v="RETAIL"/>
    <x v="21"/>
    <x v="12"/>
    <e v="#NAME?"/>
    <x v="160"/>
    <n v="0.75"/>
  </r>
  <r>
    <s v="CE47925"/>
    <x v="798"/>
    <s v="RETAIL"/>
    <x v="21"/>
    <x v="12"/>
    <e v="#NAME?"/>
    <x v="193"/>
    <n v="0.25"/>
  </r>
  <r>
    <s v="CE70650"/>
    <x v="799"/>
    <s v="RETAIL"/>
    <x v="21"/>
    <x v="12"/>
    <e v="#NAME?"/>
    <x v="160"/>
    <n v="1"/>
  </r>
  <r>
    <s v="CE63473"/>
    <x v="800"/>
    <s v="RETAIL"/>
    <x v="21"/>
    <x v="3"/>
    <e v="#NAME?"/>
    <x v="160"/>
    <n v="1"/>
  </r>
  <r>
    <s v="T000595"/>
    <x v="801"/>
    <s v="RETAIL"/>
    <x v="21"/>
    <x v="6"/>
    <e v="#NAME?"/>
    <x v="193"/>
    <n v="1"/>
  </r>
  <r>
    <s v="CE67221"/>
    <x v="802"/>
    <s v="RETAIL"/>
    <x v="21"/>
    <x v="12"/>
    <e v="#NAME?"/>
    <x v="160"/>
    <n v="1"/>
  </r>
  <r>
    <s v="CE64988"/>
    <x v="548"/>
    <s v="RETAIL"/>
    <x v="21"/>
    <x v="20"/>
    <e v="#NAME?"/>
    <x v="160"/>
    <n v="0.5"/>
  </r>
  <r>
    <s v="T007048"/>
    <x v="803"/>
    <s v="RETAIL"/>
    <x v="21"/>
    <x v="20"/>
    <e v="#NAME?"/>
    <x v="160"/>
    <n v="1"/>
  </r>
  <r>
    <s v="CE66364"/>
    <x v="804"/>
    <s v="RETAIL"/>
    <x v="21"/>
    <x v="15"/>
    <e v="#NAME?"/>
    <x v="160"/>
    <n v="1"/>
  </r>
  <r>
    <s v="CE55340"/>
    <x v="805"/>
    <s v="RETAIL"/>
    <x v="21"/>
    <x v="3"/>
    <e v="#NAME?"/>
    <x v="160"/>
    <n v="0.5"/>
  </r>
  <r>
    <s v="CE55340"/>
    <x v="805"/>
    <s v="RETAIL"/>
    <x v="21"/>
    <x v="3"/>
    <e v="#NAME?"/>
    <x v="193"/>
    <n v="0.5"/>
  </r>
  <r>
    <s v="CE70907"/>
    <x v="806"/>
    <s v="RETAIL"/>
    <x v="21"/>
    <x v="12"/>
    <e v="#NAME?"/>
    <x v="193"/>
    <n v="1"/>
  </r>
  <r>
    <s v="CE61633"/>
    <x v="807"/>
    <s v="RETAIL"/>
    <x v="21"/>
    <x v="9"/>
    <e v="#NAME?"/>
    <x v="160"/>
    <n v="1"/>
  </r>
  <r>
    <s v="CE68502"/>
    <x v="808"/>
    <s v="RETAIL"/>
    <x v="21"/>
    <x v="3"/>
    <e v="#NAME?"/>
    <x v="160"/>
    <n v="1"/>
  </r>
  <r>
    <s v="T000607"/>
    <x v="809"/>
    <s v="RETAIL"/>
    <x v="21"/>
    <x v="12"/>
    <e v="#NAME?"/>
    <x v="193"/>
    <n v="1"/>
  </r>
  <r>
    <s v="CE70651"/>
    <x v="810"/>
    <s v="RETAIL"/>
    <x v="21"/>
    <x v="12"/>
    <e v="#NAME?"/>
    <x v="160"/>
    <n v="1"/>
  </r>
  <r>
    <s v="CE67312"/>
    <x v="811"/>
    <s v="RETAIL"/>
    <x v="21"/>
    <x v="9"/>
    <e v="#NAME?"/>
    <x v="193"/>
    <n v="1"/>
  </r>
  <r>
    <s v="CE47927"/>
    <x v="812"/>
    <s v="RETAIL"/>
    <x v="21"/>
    <x v="12"/>
    <e v="#NAME?"/>
    <x v="160"/>
    <n v="0.5"/>
  </r>
  <r>
    <s v="CE47927"/>
    <x v="812"/>
    <s v="RETAIL"/>
    <x v="21"/>
    <x v="12"/>
    <e v="#NAME?"/>
    <x v="193"/>
    <n v="0.5"/>
  </r>
  <r>
    <s v="T002010"/>
    <x v="813"/>
    <s v="RETAIL"/>
    <x v="21"/>
    <x v="12"/>
    <e v="#NAME?"/>
    <x v="193"/>
    <n v="1"/>
  </r>
  <r>
    <s v="CE71170"/>
    <x v="814"/>
    <s v="RETAIL"/>
    <x v="21"/>
    <x v="6"/>
    <e v="#NAME?"/>
    <x v="193"/>
    <n v="1"/>
  </r>
  <r>
    <s v="CE65214"/>
    <x v="815"/>
    <s v="RETAIL"/>
    <x v="21"/>
    <x v="3"/>
    <e v="#NAME?"/>
    <x v="160"/>
    <n v="1"/>
  </r>
  <r>
    <s v="CE66579"/>
    <x v="816"/>
    <s v="RETAIL"/>
    <x v="21"/>
    <x v="9"/>
    <e v="#NAME?"/>
    <x v="160"/>
    <n v="1"/>
  </r>
  <r>
    <s v="CE71120"/>
    <x v="817"/>
    <s v="RETAIL"/>
    <x v="21"/>
    <x v="20"/>
    <e v="#NAME?"/>
    <x v="160"/>
    <n v="1"/>
  </r>
  <r>
    <s v="CE67850"/>
    <x v="818"/>
    <s v="RETAIL"/>
    <x v="21"/>
    <x v="20"/>
    <e v="#NAME?"/>
    <x v="160"/>
    <n v="1"/>
  </r>
  <r>
    <s v="Pend"/>
    <x v="819"/>
    <s v="RETAIL"/>
    <x v="21"/>
    <x v="3"/>
    <e v="#NAME?"/>
    <x v="193"/>
    <n v="1"/>
  </r>
  <r>
    <s v="XP66159"/>
    <x v="820"/>
    <s v="ENTERPRISE"/>
    <x v="3"/>
    <x v="12"/>
    <e v="#NAME?"/>
    <x v="22"/>
    <n v="1"/>
  </r>
  <r>
    <s v="T009376"/>
    <x v="821"/>
    <s v="ENTERPRISE"/>
    <x v="3"/>
    <x v="6"/>
    <e v="#NAME?"/>
    <x v="22"/>
    <n v="1"/>
  </r>
  <r>
    <s v="T002696"/>
    <x v="822"/>
    <s v="ENTERPRISE"/>
    <x v="3"/>
    <x v="20"/>
    <e v="#NAME?"/>
    <x v="93"/>
    <n v="1"/>
  </r>
  <r>
    <s v="T011814"/>
    <x v="823"/>
    <s v="ENTERPRISE"/>
    <x v="3"/>
    <x v="9"/>
    <e v="#NAME?"/>
    <x v="93"/>
    <n v="1"/>
  </r>
  <r>
    <s v="CE70220"/>
    <x v="824"/>
    <s v="ENTERPRISE"/>
    <x v="3"/>
    <x v="20"/>
    <e v="#NAME?"/>
    <x v="93"/>
    <n v="1"/>
  </r>
  <r>
    <s v="CE67866"/>
    <x v="825"/>
    <s v="ENTERPRISE"/>
    <x v="3"/>
    <x v="20"/>
    <e v="#NAME?"/>
    <x v="93"/>
    <n v="1"/>
  </r>
  <r>
    <s v="CE69818"/>
    <x v="826"/>
    <s v="ENTERPRISE"/>
    <x v="3"/>
    <x v="9"/>
    <e v="#NAME?"/>
    <x v="22"/>
    <n v="1"/>
  </r>
  <r>
    <s v="CE59964"/>
    <x v="827"/>
    <s v="ENTERPRISE"/>
    <x v="3"/>
    <x v="12"/>
    <e v="#NAME?"/>
    <x v="22"/>
    <n v="1"/>
  </r>
  <r>
    <s v="C809501"/>
    <x v="828"/>
    <s v="ENTERPRISE"/>
    <x v="3"/>
    <x v="0"/>
    <e v="#NAME?"/>
    <x v="22"/>
    <n v="1"/>
  </r>
  <r>
    <s v="CE68026"/>
    <x v="829"/>
    <s v="ENTERPRISE"/>
    <x v="3"/>
    <x v="9"/>
    <e v="#NAME?"/>
    <x v="93"/>
    <n v="1"/>
  </r>
  <r>
    <s v="T009939"/>
    <x v="830"/>
    <s v="ENTERPRISE"/>
    <x v="3"/>
    <x v="12"/>
    <e v="#NAME?"/>
    <x v="22"/>
    <n v="1"/>
  </r>
  <r>
    <s v="O000110"/>
    <x v="831"/>
    <s v="ENTERPRISE"/>
    <x v="3"/>
    <x v="0"/>
    <e v="#NAME?"/>
    <x v="93"/>
    <n v="1"/>
  </r>
  <r>
    <s v="T009396"/>
    <x v="832"/>
    <s v="ENTERPRISE"/>
    <x v="3"/>
    <x v="6"/>
    <e v="#NAME?"/>
    <x v="22"/>
    <n v="1"/>
  </r>
  <r>
    <s v="C811372"/>
    <x v="833"/>
    <s v="ENTERPRISE"/>
    <x v="17"/>
    <x v="0"/>
    <e v="#NAME?"/>
    <x v="130"/>
    <n v="0.5"/>
  </r>
  <r>
    <s v="C811372"/>
    <x v="833"/>
    <s v="ENTERPRISE"/>
    <x v="17"/>
    <x v="0"/>
    <e v="#NAME?"/>
    <x v="212"/>
    <n v="0.5"/>
  </r>
  <r>
    <s v="CE66039"/>
    <x v="834"/>
    <s v="ENTERPRISE"/>
    <x v="17"/>
    <x v="9"/>
    <e v="#NAME?"/>
    <x v="212"/>
    <n v="1"/>
  </r>
  <r>
    <s v="C804101"/>
    <x v="835"/>
    <s v="ENTERPRISE"/>
    <x v="17"/>
    <x v="0"/>
    <e v="#NAME?"/>
    <x v="212"/>
    <n v="0.5"/>
  </r>
  <r>
    <s v="C804101"/>
    <x v="835"/>
    <s v="ENTERPRISE"/>
    <x v="17"/>
    <x v="0"/>
    <e v="#NAME?"/>
    <x v="131"/>
    <n v="0.25"/>
  </r>
  <r>
    <s v="C804101"/>
    <x v="835"/>
    <s v="ENTERPRISE"/>
    <x v="17"/>
    <x v="0"/>
    <e v="#NAME?"/>
    <x v="130"/>
    <n v="0.25"/>
  </r>
  <r>
    <s v="C810885"/>
    <x v="836"/>
    <s v="ENTERPRISE"/>
    <x v="17"/>
    <x v="0"/>
    <e v="#NAME?"/>
    <x v="15"/>
    <n v="0.25"/>
  </r>
  <r>
    <s v="C810885"/>
    <x v="836"/>
    <s v="ENTERPRISE"/>
    <x v="17"/>
    <x v="0"/>
    <e v="#NAME?"/>
    <x v="130"/>
    <n v="0.25"/>
  </r>
  <r>
    <s v="C810885"/>
    <x v="836"/>
    <s v="ENTERPRISE"/>
    <x v="17"/>
    <x v="0"/>
    <e v="#NAME?"/>
    <x v="147"/>
    <n v="0.5"/>
  </r>
  <r>
    <s v="CE65938"/>
    <x v="837"/>
    <s v="ENTERPRISE"/>
    <x v="17"/>
    <x v="9"/>
    <e v="#NAME?"/>
    <x v="212"/>
    <n v="1"/>
  </r>
  <r>
    <s v="T006284"/>
    <x v="838"/>
    <s v="ENTERPRISE"/>
    <x v="17"/>
    <x v="9"/>
    <e v="#NAME?"/>
    <x v="212"/>
    <n v="1"/>
  </r>
  <r>
    <s v="T011667"/>
    <x v="839"/>
    <s v="ENTERPRISE"/>
    <x v="17"/>
    <x v="9"/>
    <e v="#NAME?"/>
    <x v="212"/>
    <n v="1"/>
  </r>
  <r>
    <s v="C811005"/>
    <x v="840"/>
    <s v="ENTERPRISE"/>
    <x v="17"/>
    <x v="0"/>
    <e v="#NAME?"/>
    <x v="131"/>
    <n v="0.75"/>
  </r>
  <r>
    <s v="C811005"/>
    <x v="840"/>
    <s v="ENTERPRISE"/>
    <x v="17"/>
    <x v="0"/>
    <e v="#NAME?"/>
    <x v="130"/>
    <n v="0.25"/>
  </r>
  <r>
    <s v="C810684"/>
    <x v="841"/>
    <s v="ENTERPRISE"/>
    <x v="17"/>
    <x v="0"/>
    <e v="#NAME?"/>
    <x v="130"/>
    <n v="1"/>
  </r>
  <r>
    <s v="CE66581"/>
    <x v="842"/>
    <s v="ENTERPRISE"/>
    <x v="17"/>
    <x v="9"/>
    <e v="#NAME?"/>
    <x v="130"/>
    <n v="1"/>
  </r>
  <r>
    <s v="T003697"/>
    <x v="843"/>
    <s v="ENTERPRISE"/>
    <x v="17"/>
    <x v="9"/>
    <e v="#NAME?"/>
    <x v="131"/>
    <n v="1"/>
  </r>
  <r>
    <s v="CE65226"/>
    <x v="844"/>
    <s v="ENTERPRISE"/>
    <x v="17"/>
    <x v="9"/>
    <e v="#NAME?"/>
    <x v="131"/>
    <n v="0.5"/>
  </r>
  <r>
    <s v="CE65226"/>
    <x v="844"/>
    <s v="ENTERPRISE"/>
    <x v="17"/>
    <x v="9"/>
    <e v="#NAME?"/>
    <x v="130"/>
    <n v="0.5"/>
  </r>
  <r>
    <s v="O002003"/>
    <x v="845"/>
    <s v="ENTERPRISE"/>
    <x v="17"/>
    <x v="0"/>
    <e v="#NAME?"/>
    <x v="131"/>
    <n v="1"/>
  </r>
  <r>
    <s v="T009653"/>
    <x v="846"/>
    <s v="ENTERPRISE"/>
    <x v="17"/>
    <x v="9"/>
    <e v="#NAME?"/>
    <x v="131"/>
    <n v="1"/>
  </r>
  <r>
    <s v="CE58814"/>
    <x v="847"/>
    <s v="ENTERPRISE"/>
    <x v="17"/>
    <x v="5"/>
    <e v="#NAME?"/>
    <x v="130"/>
    <n v="1"/>
  </r>
  <r>
    <s v="T007566"/>
    <x v="848"/>
    <s v="ENTERPRISE"/>
    <x v="17"/>
    <x v="5"/>
    <e v="#NAME?"/>
    <x v="130"/>
    <n v="1"/>
  </r>
  <r>
    <s v="T007886"/>
    <x v="849"/>
    <s v="ENTERPRISE"/>
    <x v="17"/>
    <x v="5"/>
    <e v="#NAME?"/>
    <x v="130"/>
    <n v="1"/>
  </r>
  <r>
    <s v="CE66910"/>
    <x v="850"/>
    <s v="ENTERPRISE"/>
    <x v="17"/>
    <x v="9"/>
    <e v="#NAME?"/>
    <x v="130"/>
    <n v="1"/>
  </r>
  <r>
    <s v="CE61320"/>
    <x v="851"/>
    <s v="ENTERPRISE"/>
    <x v="17"/>
    <x v="6"/>
    <e v="#NAME?"/>
    <x v="130"/>
    <n v="1"/>
  </r>
  <r>
    <s v="CE66764"/>
    <x v="852"/>
    <s v="ENTERPRISE"/>
    <x v="17"/>
    <x v="9"/>
    <e v="#NAME?"/>
    <x v="130"/>
    <n v="1"/>
  </r>
  <r>
    <s v="CE70407"/>
    <x v="853"/>
    <s v="ENTERPRISE"/>
    <x v="17"/>
    <x v="2"/>
    <e v="#NAME?"/>
    <x v="3"/>
    <n v="1"/>
  </r>
  <r>
    <s v="T005929"/>
    <x v="854"/>
    <s v="ENTERPRISE"/>
    <x v="17"/>
    <x v="9"/>
    <e v="#NAME?"/>
    <x v="3"/>
    <n v="1"/>
  </r>
  <r>
    <s v="CE51848"/>
    <x v="855"/>
    <s v="ENTERPRISE"/>
    <x v="17"/>
    <x v="5"/>
    <e v="#NAME?"/>
    <x v="3"/>
    <n v="0.5"/>
  </r>
  <r>
    <s v="T004335"/>
    <x v="856"/>
    <s v="ENTERPRISE"/>
    <x v="17"/>
    <x v="9"/>
    <e v="#NAME?"/>
    <x v="130"/>
    <n v="1"/>
  </r>
  <r>
    <s v="CI08666"/>
    <x v="670"/>
    <s v="CIB &amp; COMEX - FIDUCIARIA"/>
    <x v="18"/>
    <x v="21"/>
    <e v="#NAME?"/>
    <x v="3"/>
    <n v="0.4"/>
  </r>
  <r>
    <s v="CE34456"/>
    <x v="857"/>
    <s v="CIB &amp; COMEX - FIDUCIARIA"/>
    <x v="16"/>
    <x v="9"/>
    <e v="#NAME?"/>
    <x v="146"/>
    <n v="0.25"/>
  </r>
  <r>
    <s v="CE34456"/>
    <x v="857"/>
    <s v="CIB &amp; COMEX - FIDUCIARIA"/>
    <x v="16"/>
    <x v="9"/>
    <e v="#NAME?"/>
    <x v="143"/>
    <n v="0.25"/>
  </r>
  <r>
    <s v="CE34456"/>
    <x v="857"/>
    <s v="CIB &amp; COMEX - FIDUCIARIA"/>
    <x v="16"/>
    <x v="9"/>
    <e v="#NAME?"/>
    <x v="3"/>
    <n v="0.5"/>
  </r>
  <r>
    <s v="CE41784"/>
    <x v="858"/>
    <s v="CIB &amp; COMEX - FIDUCIARIA"/>
    <x v="16"/>
    <x v="6"/>
    <e v="#NAME?"/>
    <x v="145"/>
    <n v="1"/>
  </r>
  <r>
    <s v="CE57264"/>
    <x v="859"/>
    <s v="CIB &amp; COMEX - FIDUCIARIA"/>
    <x v="16"/>
    <x v="6"/>
    <e v="#NAME?"/>
    <x v="145"/>
    <n v="1"/>
  </r>
  <r>
    <s v="T007049"/>
    <x v="860"/>
    <s v="CIB &amp; COMEX - FIDUCIARIA"/>
    <x v="16"/>
    <x v="20"/>
    <e v="#NAME?"/>
    <x v="3"/>
    <n v="1"/>
  </r>
  <r>
    <s v="CE69613"/>
    <x v="861"/>
    <s v="CIB &amp; COMEX - FIDUCIARIA"/>
    <x v="16"/>
    <x v="20"/>
    <e v="#NAME?"/>
    <x v="137"/>
    <n v="0.2"/>
  </r>
  <r>
    <s v="CE67315"/>
    <x v="862"/>
    <s v="CIB &amp; COMEX - FIDUCIARIA"/>
    <x v="16"/>
    <x v="20"/>
    <e v="#NAME?"/>
    <x v="137"/>
    <n v="0.2"/>
  </r>
  <r>
    <s v="T003696"/>
    <x v="725"/>
    <s v="CIB &amp; COMEX - FIDUCIARIA"/>
    <x v="16"/>
    <x v="20"/>
    <e v="#NAME?"/>
    <x v="137"/>
    <n v="0.2"/>
  </r>
  <r>
    <s v="CE66251"/>
    <x v="468"/>
    <s v="CIB &amp; COMEX - FIDUCIARIA"/>
    <x v="16"/>
    <x v="9"/>
    <e v="#NAME?"/>
    <x v="3"/>
    <n v="0.5"/>
  </r>
  <r>
    <s v="CE66251"/>
    <x v="461"/>
    <s v="CIB &amp; COMEX - FIDUCIARIA"/>
    <x v="16"/>
    <x v="9"/>
    <e v="#NAME?"/>
    <x v="3"/>
    <n v="0.5"/>
  </r>
  <r>
    <s v="C811378"/>
    <x v="863"/>
    <s v="CORE"/>
    <x v="27"/>
    <x v="0"/>
    <e v="#NAME?"/>
    <x v="213"/>
    <n v="1"/>
  </r>
  <r>
    <s v="O002144"/>
    <x v="864"/>
    <s v="CORE"/>
    <x v="27"/>
    <x v="0"/>
    <e v="#NAME?"/>
    <x v="213"/>
    <n v="1"/>
  </r>
  <r>
    <s v="C804805"/>
    <x v="865"/>
    <s v="CORE"/>
    <x v="27"/>
    <x v="0"/>
    <e v="#NAME?"/>
    <x v="213"/>
    <n v="1"/>
  </r>
  <r>
    <s v="O004614"/>
    <x v="866"/>
    <s v="CORE"/>
    <x v="27"/>
    <x v="0"/>
    <e v="#NAME?"/>
    <x v="95"/>
    <n v="0.8"/>
  </r>
  <r>
    <s v="O004614"/>
    <x v="866"/>
    <s v="CORE"/>
    <x v="27"/>
    <x v="0"/>
    <e v="#NAME?"/>
    <x v="3"/>
    <n v="0.1"/>
  </r>
  <r>
    <s v="O004614"/>
    <x v="866"/>
    <s v="CORE"/>
    <x v="27"/>
    <x v="0"/>
    <e v="#NAME?"/>
    <x v="3"/>
    <n v="0.1"/>
  </r>
  <r>
    <s v="C809712"/>
    <x v="867"/>
    <s v="CORE"/>
    <x v="27"/>
    <x v="0"/>
    <e v="#NAME?"/>
    <x v="75"/>
    <n v="0.7"/>
  </r>
  <r>
    <s v="C809712"/>
    <x v="867"/>
    <s v="CORE"/>
    <x v="27"/>
    <x v="0"/>
    <e v="#NAME?"/>
    <x v="205"/>
    <n v="0.2"/>
  </r>
  <r>
    <s v="C809712"/>
    <x v="867"/>
    <s v="CORE"/>
    <x v="27"/>
    <x v="0"/>
    <e v="#NAME?"/>
    <x v="3"/>
    <n v="0.1"/>
  </r>
  <r>
    <s v="C804845"/>
    <x v="868"/>
    <s v="CORE"/>
    <x v="27"/>
    <x v="0"/>
    <e v="#NAME?"/>
    <x v="124"/>
    <n v="0.5"/>
  </r>
  <r>
    <s v="C804845"/>
    <x v="868"/>
    <s v="CORE"/>
    <x v="27"/>
    <x v="0"/>
    <e v="#NAME?"/>
    <x v="3"/>
    <n v="0.1"/>
  </r>
  <r>
    <s v="C804845"/>
    <x v="868"/>
    <s v="CORE"/>
    <x v="27"/>
    <x v="0"/>
    <e v="#NAME?"/>
    <x v="3"/>
    <n v="0.05"/>
  </r>
  <r>
    <s v="C804845"/>
    <x v="868"/>
    <s v="CORE"/>
    <x v="27"/>
    <x v="0"/>
    <e v="#NAME?"/>
    <x v="3"/>
    <n v="0.1"/>
  </r>
  <r>
    <s v="C804845"/>
    <x v="868"/>
    <s v="CORE"/>
    <x v="27"/>
    <x v="0"/>
    <e v="#NAME?"/>
    <x v="3"/>
    <n v="0.1"/>
  </r>
  <r>
    <s v="C804845"/>
    <x v="868"/>
    <s v="CORE"/>
    <x v="27"/>
    <x v="0"/>
    <e v="#NAME?"/>
    <x v="40"/>
    <n v="0.1"/>
  </r>
  <r>
    <s v="C804845"/>
    <x v="868"/>
    <s v="CORE"/>
    <x v="27"/>
    <x v="0"/>
    <e v="#NAME?"/>
    <x v="214"/>
    <n v="0.05"/>
  </r>
  <r>
    <s v="O002373"/>
    <x v="869"/>
    <s v="CORE"/>
    <x v="27"/>
    <x v="0"/>
    <e v="#NAME?"/>
    <x v="215"/>
    <n v="1"/>
  </r>
  <r>
    <s v="O000471"/>
    <x v="870"/>
    <s v="CORE"/>
    <x v="27"/>
    <x v="0"/>
    <e v="#NAME?"/>
    <x v="215"/>
    <n v="1"/>
  </r>
  <r>
    <s v="C805945"/>
    <x v="871"/>
    <s v="CORE"/>
    <x v="28"/>
    <x v="0"/>
    <e v="#NAME?"/>
    <x v="216"/>
    <n v="0.9"/>
  </r>
  <r>
    <s v="C805945"/>
    <x v="871"/>
    <s v="CORE"/>
    <x v="28"/>
    <x v="0"/>
    <e v="#NAME?"/>
    <x v="3"/>
    <n v="0.1"/>
  </r>
  <r>
    <s v="CE60804"/>
    <x v="113"/>
    <s v="CORE"/>
    <x v="28"/>
    <x v="8"/>
    <e v="#NAME?"/>
    <x v="3"/>
    <n v="0.5"/>
  </r>
  <r>
    <s v="CE64752"/>
    <x v="872"/>
    <s v="CORE"/>
    <x v="28"/>
    <x v="2"/>
    <e v="#NAME?"/>
    <x v="3"/>
    <n v="0.5"/>
  </r>
  <r>
    <s v="CE71176"/>
    <x v="873"/>
    <s v="CORE"/>
    <x v="28"/>
    <x v="2"/>
    <e v="#NAME?"/>
    <x v="216"/>
    <n v="0.5"/>
  </r>
  <r>
    <s v="O000437"/>
    <x v="874"/>
    <s v="CORE"/>
    <x v="28"/>
    <x v="0"/>
    <e v="#NAME?"/>
    <x v="3"/>
    <n v="0.15"/>
  </r>
  <r>
    <s v="O000437"/>
    <x v="874"/>
    <s v="CORE"/>
    <x v="28"/>
    <x v="0"/>
    <e v="#NAME?"/>
    <x v="216"/>
    <n v="0.4"/>
  </r>
  <r>
    <s v="O000437"/>
    <x v="874"/>
    <s v="CORE"/>
    <x v="28"/>
    <x v="0"/>
    <e v="#NAME?"/>
    <x v="20"/>
    <n v="0.05"/>
  </r>
  <r>
    <s v="O000437"/>
    <x v="874"/>
    <s v="CORE"/>
    <x v="28"/>
    <x v="0"/>
    <e v="#NAME?"/>
    <x v="217"/>
    <n v="0.25"/>
  </r>
  <r>
    <s v="O000443"/>
    <x v="875"/>
    <s v="CORE"/>
    <x v="28"/>
    <x v="0"/>
    <e v="#NAME?"/>
    <x v="216"/>
    <n v="0.2"/>
  </r>
  <r>
    <s v="O001817"/>
    <x v="876"/>
    <s v="CORE"/>
    <x v="28"/>
    <x v="0"/>
    <e v="#NAME?"/>
    <x v="3"/>
    <n v="0.08"/>
  </r>
  <r>
    <s v="O001817"/>
    <x v="876"/>
    <s v="CORE"/>
    <x v="28"/>
    <x v="0"/>
    <e v="#NAME?"/>
    <x v="216"/>
    <n v="0.35"/>
  </r>
  <r>
    <s v="O001817"/>
    <x v="876"/>
    <s v="CORE"/>
    <x v="28"/>
    <x v="0"/>
    <e v="#NAME?"/>
    <x v="3"/>
    <n v="0.03"/>
  </r>
  <r>
    <s v="O001975"/>
    <x v="877"/>
    <s v="CORE"/>
    <x v="28"/>
    <x v="0"/>
    <e v="#NAME?"/>
    <x v="216"/>
    <n v="0.9"/>
  </r>
  <r>
    <s v="O001975"/>
    <x v="877"/>
    <s v="CORE"/>
    <x v="28"/>
    <x v="0"/>
    <e v="#NAME?"/>
    <x v="3"/>
    <n v="0.1"/>
  </r>
  <r>
    <s v="O001976"/>
    <x v="878"/>
    <s v="CORE"/>
    <x v="28"/>
    <x v="0"/>
    <e v="#NAME?"/>
    <x v="216"/>
    <n v="0.9"/>
  </r>
  <r>
    <s v="O001976"/>
    <x v="878"/>
    <s v="CORE"/>
    <x v="28"/>
    <x v="0"/>
    <e v="#NAME?"/>
    <x v="3"/>
    <n v="0.1"/>
  </r>
  <r>
    <s v="O003809"/>
    <x v="879"/>
    <s v="CORE"/>
    <x v="28"/>
    <x v="0"/>
    <e v="#NAME?"/>
    <x v="216"/>
    <n v="1"/>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1817"/>
    <x v="876"/>
    <s v="CORE"/>
    <x v="28"/>
    <x v="0"/>
    <e v="#NAME?"/>
    <x v="3"/>
    <n v="0.2"/>
  </r>
  <r>
    <s v="O000443"/>
    <x v="875"/>
    <s v="CORE"/>
    <x v="28"/>
    <x v="0"/>
    <e v="#NAME?"/>
    <x v="3"/>
    <n v="0.03"/>
  </r>
  <r>
    <s v="O000437"/>
    <x v="874"/>
    <s v="CORE"/>
    <x v="28"/>
    <x v="0"/>
    <e v="#NAME?"/>
    <x v="3"/>
    <n v="0.05"/>
  </r>
  <r>
    <s v="O000443"/>
    <x v="875"/>
    <s v="CORE"/>
    <x v="28"/>
    <x v="0"/>
    <e v="#NAME?"/>
    <x v="3"/>
    <n v="0.03"/>
  </r>
  <r>
    <s v="O001817"/>
    <x v="876"/>
    <s v="CORE"/>
    <x v="28"/>
    <x v="0"/>
    <e v="#NAME?"/>
    <x v="3"/>
    <n v="0.05"/>
  </r>
  <r>
    <s v="O000437"/>
    <x v="874"/>
    <s v="CORE"/>
    <x v="28"/>
    <x v="0"/>
    <e v="#NAME?"/>
    <x v="3"/>
    <n v="0.05"/>
  </r>
  <r>
    <s v="O001817"/>
    <x v="876"/>
    <s v="CORE"/>
    <x v="28"/>
    <x v="0"/>
    <e v="#NAME?"/>
    <x v="3"/>
    <n v="0.05"/>
  </r>
  <r>
    <s v="O000443"/>
    <x v="875"/>
    <s v="CORE"/>
    <x v="28"/>
    <x v="0"/>
    <e v="#NAME?"/>
    <x v="3"/>
    <n v="0.05"/>
  </r>
  <r>
    <s v="O000437"/>
    <x v="874"/>
    <s v="CORE"/>
    <x v="28"/>
    <x v="0"/>
    <e v="#NAME?"/>
    <x v="3"/>
    <n v="0.05"/>
  </r>
  <r>
    <s v="O000443"/>
    <x v="875"/>
    <s v="CORE"/>
    <x v="28"/>
    <x v="0"/>
    <e v="#NAME?"/>
    <x v="3"/>
    <n v="0.25"/>
  </r>
  <r>
    <s v="O000443"/>
    <x v="875"/>
    <s v="CORE"/>
    <x v="28"/>
    <x v="0"/>
    <e v="#NAME?"/>
    <x v="217"/>
    <n v="0.1"/>
  </r>
  <r>
    <s v="O000443"/>
    <x v="875"/>
    <s v="CORE"/>
    <x v="28"/>
    <x v="0"/>
    <e v="#NAME?"/>
    <x v="53"/>
    <n v="0.1"/>
  </r>
  <r>
    <s v="O005000"/>
    <x v="880"/>
    <s v="CORE"/>
    <x v="28"/>
    <x v="0"/>
    <e v="#NAME?"/>
    <x v="53"/>
    <n v="0.2"/>
  </r>
  <r>
    <s v="O005000"/>
    <x v="880"/>
    <s v="CORE"/>
    <x v="28"/>
    <x v="0"/>
    <e v="#NAME?"/>
    <x v="3"/>
    <n v="0.7"/>
  </r>
  <r>
    <s v="O005000"/>
    <x v="880"/>
    <s v="CORE"/>
    <x v="28"/>
    <x v="0"/>
    <e v="#NAME?"/>
    <x v="216"/>
    <n v="0.1"/>
  </r>
  <r>
    <s v="CE56248"/>
    <x v="881"/>
    <s v="CORE"/>
    <x v="29"/>
    <x v="20"/>
    <e v="#NAME?"/>
    <x v="3"/>
    <n v="0.5"/>
  </r>
  <r>
    <s v="CE56248"/>
    <x v="881"/>
    <s v="CORE"/>
    <x v="29"/>
    <x v="20"/>
    <e v="#NAME?"/>
    <x v="124"/>
    <n v="0.5"/>
  </r>
  <r>
    <s v="C808271"/>
    <x v="882"/>
    <s v="CORE"/>
    <x v="29"/>
    <x v="0"/>
    <e v="#NAME?"/>
    <x v="218"/>
    <n v="0.8"/>
  </r>
  <r>
    <s v="C805770"/>
    <x v="883"/>
    <s v="CORE"/>
    <x v="29"/>
    <x v="0"/>
    <e v="#NAME?"/>
    <x v="218"/>
    <n v="0.1"/>
  </r>
  <r>
    <s v="C808271"/>
    <x v="882"/>
    <s v="CORE"/>
    <x v="29"/>
    <x v="0"/>
    <e v="#NAME?"/>
    <x v="219"/>
    <n v="0.2"/>
  </r>
  <r>
    <s v="O002375"/>
    <x v="884"/>
    <s v="CORE"/>
    <x v="29"/>
    <x v="0"/>
    <e v="#NAME?"/>
    <x v="3"/>
    <n v="1"/>
  </r>
  <r>
    <s v="T007650"/>
    <x v="885"/>
    <s v="CORE"/>
    <x v="29"/>
    <x v="22"/>
    <e v="#NAME?"/>
    <x v="124"/>
    <n v="1"/>
  </r>
  <r>
    <s v="C343334"/>
    <x v="886"/>
    <s v="CORE"/>
    <x v="29"/>
    <x v="0"/>
    <e v="#NAME?"/>
    <x v="3"/>
    <n v="0.75"/>
  </r>
  <r>
    <s v="C343334"/>
    <x v="886"/>
    <s v="CORE"/>
    <x v="29"/>
    <x v="0"/>
    <e v="#NAME?"/>
    <x v="3"/>
    <n v="0.1"/>
  </r>
  <r>
    <s v="C343334"/>
    <x v="886"/>
    <s v="CORE"/>
    <x v="29"/>
    <x v="0"/>
    <e v="#NAME?"/>
    <x v="3"/>
    <n v="0.05"/>
  </r>
  <r>
    <s v="C343334"/>
    <x v="886"/>
    <s v="CORE"/>
    <x v="29"/>
    <x v="0"/>
    <e v="#NAME?"/>
    <x v="219"/>
    <n v="0.1"/>
  </r>
  <r>
    <s v="C805770"/>
    <x v="883"/>
    <s v="CORE"/>
    <x v="29"/>
    <x v="0"/>
    <e v="#NAME?"/>
    <x v="124"/>
    <n v="0.5"/>
  </r>
  <r>
    <s v="C805770"/>
    <x v="883"/>
    <s v="CORE"/>
    <x v="29"/>
    <x v="0"/>
    <e v="#NAME?"/>
    <x v="3"/>
    <n v="0.35"/>
  </r>
  <r>
    <s v="C805770"/>
    <x v="883"/>
    <s v="CORE"/>
    <x v="29"/>
    <x v="0"/>
    <e v="#NAME?"/>
    <x v="3"/>
    <n v="0.05"/>
  </r>
  <r>
    <s v="C804325"/>
    <x v="887"/>
    <s v="CORE"/>
    <x v="29"/>
    <x v="0"/>
    <e v="#NAME?"/>
    <x v="124"/>
    <n v="0.2"/>
  </r>
  <r>
    <s v="C804325"/>
    <x v="887"/>
    <s v="CORE"/>
    <x v="29"/>
    <x v="0"/>
    <e v="#NAME?"/>
    <x v="220"/>
    <n v="0.1"/>
  </r>
  <r>
    <s v="C804325"/>
    <x v="887"/>
    <s v="CORE"/>
    <x v="29"/>
    <x v="0"/>
    <e v="#NAME?"/>
    <x v="221"/>
    <n v="0"/>
  </r>
  <r>
    <s v="C804325"/>
    <x v="887"/>
    <s v="CORE"/>
    <x v="29"/>
    <x v="0"/>
    <e v="#NAME?"/>
    <x v="3"/>
    <n v="0.05"/>
  </r>
  <r>
    <s v="C804325"/>
    <x v="887"/>
    <s v="CORE"/>
    <x v="29"/>
    <x v="0"/>
    <e v="#NAME?"/>
    <x v="75"/>
    <n v="0.65"/>
  </r>
  <r>
    <s v="O002418"/>
    <x v="888"/>
    <s v="CORE"/>
    <x v="29"/>
    <x v="0"/>
    <e v="#NAME?"/>
    <x v="222"/>
    <n v="0.05"/>
  </r>
  <r>
    <s v="O002418"/>
    <x v="888"/>
    <s v="CORE"/>
    <x v="29"/>
    <x v="0"/>
    <e v="#NAME?"/>
    <x v="219"/>
    <n v="0.2"/>
  </r>
  <r>
    <s v="O002418"/>
    <x v="888"/>
    <s v="CORE"/>
    <x v="29"/>
    <x v="0"/>
    <e v="#NAME?"/>
    <x v="75"/>
    <n v="0.75"/>
  </r>
  <r>
    <s v="T007646"/>
    <x v="889"/>
    <s v="CORE"/>
    <x v="29"/>
    <x v="22"/>
    <e v="#NAME?"/>
    <x v="3"/>
    <n v="1"/>
  </r>
  <r>
    <s v="O002495"/>
    <x v="890"/>
    <s v="CORE"/>
    <x v="29"/>
    <x v="0"/>
    <e v="#NAME?"/>
    <x v="3"/>
    <n v="0.9"/>
  </r>
  <r>
    <s v="C801604"/>
    <x v="891"/>
    <s v="CORE"/>
    <x v="29"/>
    <x v="0"/>
    <e v="#NAME?"/>
    <x v="3"/>
    <n v="1"/>
  </r>
  <r>
    <s v="O002495"/>
    <x v="890"/>
    <s v="CORE"/>
    <x v="29"/>
    <x v="0"/>
    <e v="#NAME?"/>
    <x v="3"/>
    <n v="0.05"/>
  </r>
  <r>
    <s v="O002495"/>
    <x v="890"/>
    <s v="CORE"/>
    <x v="29"/>
    <x v="0"/>
    <e v="#NAME?"/>
    <x v="75"/>
    <n v="0.05"/>
  </r>
  <r>
    <s v="CE55472"/>
    <x v="892"/>
    <s v="CORE"/>
    <x v="29"/>
    <x v="22"/>
    <e v="#NAME?"/>
    <x v="218"/>
    <n v="1"/>
  </r>
  <r>
    <s v="CE56948"/>
    <x v="893"/>
    <s v="CORE"/>
    <x v="29"/>
    <x v="22"/>
    <e v="#NAME?"/>
    <x v="3"/>
    <n v="1"/>
  </r>
  <r>
    <s v="CE64615"/>
    <x v="894"/>
    <s v="CORE"/>
    <x v="29"/>
    <x v="9"/>
    <e v="#NAME?"/>
    <x v="3"/>
    <n v="0.4"/>
  </r>
  <r>
    <s v="CE64615"/>
    <x v="894"/>
    <s v="CORE"/>
    <x v="29"/>
    <x v="9"/>
    <e v="#NAME?"/>
    <x v="3"/>
    <n v="0.1"/>
  </r>
  <r>
    <s v="CE64615"/>
    <x v="894"/>
    <s v="CORE"/>
    <x v="29"/>
    <x v="9"/>
    <e v="#NAME?"/>
    <x v="222"/>
    <n v="0.5"/>
  </r>
  <r>
    <s v="C341738"/>
    <x v="895"/>
    <s v="CORE"/>
    <x v="29"/>
    <x v="0"/>
    <e v="#NAME?"/>
    <x v="222"/>
    <n v="0.1"/>
  </r>
  <r>
    <s v="C341738"/>
    <x v="895"/>
    <s v="CORE"/>
    <x v="29"/>
    <x v="0"/>
    <e v="#NAME?"/>
    <x v="3"/>
    <n v="0.9"/>
  </r>
  <r>
    <s v="C805239"/>
    <x v="896"/>
    <s v="CORE"/>
    <x v="29"/>
    <x v="0"/>
    <e v="#NAME?"/>
    <x v="75"/>
    <n v="0.75"/>
  </r>
  <r>
    <s v="C805239"/>
    <x v="896"/>
    <s v="CORE"/>
    <x v="29"/>
    <x v="0"/>
    <e v="#NAME?"/>
    <x v="3"/>
    <n v="0.25"/>
  </r>
  <r>
    <s v="C811371"/>
    <x v="897"/>
    <s v="CORE"/>
    <x v="29"/>
    <x v="0"/>
    <e v="#NAME?"/>
    <x v="3"/>
    <n v="1"/>
  </r>
  <r>
    <s v="C811159"/>
    <x v="898"/>
    <s v="CORE"/>
    <x v="30"/>
    <x v="0"/>
    <e v="#NAME?"/>
    <x v="3"/>
    <n v="0.2"/>
  </r>
  <r>
    <s v="C811159"/>
    <x v="898"/>
    <s v="CORE"/>
    <x v="30"/>
    <x v="0"/>
    <e v="#NAME?"/>
    <x v="75"/>
    <n v="0.5"/>
  </r>
  <r>
    <s v="C811159"/>
    <x v="898"/>
    <s v="CORE"/>
    <x v="30"/>
    <x v="0"/>
    <e v="#NAME?"/>
    <x v="86"/>
    <n v="0.3"/>
  </r>
  <r>
    <s v="O001036_x000a_"/>
    <x v="899"/>
    <s v="CORE"/>
    <x v="30"/>
    <x v="0"/>
    <e v="#NAME?"/>
    <x v="218"/>
    <n v="0.2"/>
  </r>
  <r>
    <s v="O001036_x000a_"/>
    <x v="899"/>
    <s v="CORE"/>
    <x v="30"/>
    <x v="0"/>
    <e v="#NAME?"/>
    <x v="3"/>
    <n v="0.8"/>
  </r>
  <r>
    <s v="C805866"/>
    <x v="900"/>
    <s v="CORE"/>
    <x v="30"/>
    <x v="0"/>
    <e v="#NAME?"/>
    <x v="223"/>
    <n v="0.9"/>
  </r>
  <r>
    <s v="C805866"/>
    <x v="900"/>
    <s v="CORE"/>
    <x v="30"/>
    <x v="0"/>
    <e v="#NAME?"/>
    <x v="3"/>
    <n v="0.1"/>
  </r>
  <r>
    <s v="C810754_x000a_"/>
    <x v="901"/>
    <s v="CORE"/>
    <x v="30"/>
    <x v="0"/>
    <e v="#NAME?"/>
    <x v="223"/>
    <n v="1"/>
  </r>
  <r>
    <s v="CE69111"/>
    <x v="902"/>
    <s v="CORE"/>
    <x v="30"/>
    <x v="1"/>
    <e v="#NAME?"/>
    <x v="224"/>
    <n v="0.2"/>
  </r>
  <r>
    <s v="CE69111"/>
    <x v="902"/>
    <s v="CORE"/>
    <x v="30"/>
    <x v="1"/>
    <e v="#NAME?"/>
    <x v="124"/>
    <n v="0.3"/>
  </r>
  <r>
    <s v="CE69111"/>
    <x v="902"/>
    <s v="CORE"/>
    <x v="30"/>
    <x v="1"/>
    <e v="#NAME?"/>
    <x v="86"/>
    <n v="0.5"/>
  </r>
  <r>
    <s v="O002373_x000a_"/>
    <x v="903"/>
    <s v="CORE"/>
    <x v="30"/>
    <x v="0"/>
    <e v="#NAME?"/>
    <x v="215"/>
    <n v="1"/>
  </r>
  <r>
    <s v="C604380"/>
    <x v="904"/>
    <s v="CORE"/>
    <x v="30"/>
    <x v="0"/>
    <e v="#NAME?"/>
    <x v="224"/>
    <n v="1"/>
  </r>
  <r>
    <s v="T003428_x000a_"/>
    <x v="905"/>
    <s v="CORE"/>
    <x v="30"/>
    <x v="1"/>
    <e v="#NAME?"/>
    <x v="218"/>
    <n v="1"/>
  </r>
  <r>
    <s v="T007157"/>
    <x v="906"/>
    <s v="CORE"/>
    <x v="30"/>
    <x v="1"/>
    <e v="#NAME?"/>
    <x v="223"/>
    <n v="1"/>
  </r>
  <r>
    <s v="C810787"/>
    <x v="907"/>
    <s v="CORE"/>
    <x v="30"/>
    <x v="0"/>
    <e v="#NAME?"/>
    <x v="224"/>
    <n v="0.6"/>
  </r>
  <r>
    <s v="C810787"/>
    <x v="907"/>
    <s v="CORE"/>
    <x v="30"/>
    <x v="0"/>
    <e v="#NAME?"/>
    <x v="124"/>
    <n v="0.2"/>
  </r>
  <r>
    <s v="C810787"/>
    <x v="907"/>
    <s v="CORE"/>
    <x v="30"/>
    <x v="0"/>
    <e v="#NAME?"/>
    <x v="3"/>
    <n v="0.2"/>
  </r>
  <r>
    <s v="CE70176"/>
    <x v="908"/>
    <s v="CORE"/>
    <x v="30"/>
    <x v="1"/>
    <e v="#NAME?"/>
    <x v="223"/>
    <n v="1"/>
  </r>
  <r>
    <s v="T007470"/>
    <x v="909"/>
    <s v="CORE"/>
    <x v="30"/>
    <x v="5"/>
    <e v="#NAME?"/>
    <x v="3"/>
    <n v="1"/>
  </r>
  <r>
    <s v="C809512"/>
    <x v="910"/>
    <s v="CORE"/>
    <x v="30"/>
    <x v="0"/>
    <e v="#NAME?"/>
    <x v="215"/>
    <n v="0.8"/>
  </r>
  <r>
    <s v="C809512"/>
    <x v="910"/>
    <s v="CORE"/>
    <x v="30"/>
    <x v="0"/>
    <e v="#NAME?"/>
    <x v="225"/>
    <n v="0.2"/>
  </r>
  <r>
    <s v="C810957"/>
    <x v="911"/>
    <s v="CORE"/>
    <x v="30"/>
    <x v="0"/>
    <e v="#NAME?"/>
    <x v="223"/>
    <n v="1"/>
  </r>
  <r>
    <s v="O003458"/>
    <x v="912"/>
    <s v="CORE"/>
    <x v="30"/>
    <x v="0"/>
    <e v="#NAME?"/>
    <x v="215"/>
    <n v="1"/>
  </r>
  <r>
    <s v="O000471"/>
    <x v="913"/>
    <s v="CORE"/>
    <x v="30"/>
    <x v="0"/>
    <e v="#NAME?"/>
    <x v="215"/>
    <n v="1"/>
  </r>
  <r>
    <s v="CE51433"/>
    <x v="914"/>
    <s v="CORE"/>
    <x v="30"/>
    <x v="1"/>
    <e v="#NAME?"/>
    <x v="223"/>
    <n v="1"/>
  </r>
  <r>
    <s v="C342041"/>
    <x v="915"/>
    <s v="CIB &amp; COMEX - FIDUCIARIA"/>
    <x v="16"/>
    <x v="0"/>
    <e v="#NAME?"/>
    <x v="3"/>
    <n v="0.25"/>
  </r>
  <r>
    <s v="C342041"/>
    <x v="915"/>
    <s v="CIB &amp; COMEX - FIDUCIARIA"/>
    <x v="1"/>
    <x v="0"/>
    <e v="#NAME?"/>
    <x v="3"/>
    <n v="0.25"/>
  </r>
  <r>
    <s v="C342041"/>
    <x v="915"/>
    <s v="CIB &amp; COMEX - FIDUCIARIA"/>
    <x v="12"/>
    <x v="0"/>
    <e v="#NAME?"/>
    <x v="3"/>
    <n v="0.25"/>
  </r>
  <r>
    <s v="C342041"/>
    <x v="915"/>
    <s v="CIB &amp; COMEX - FIDUCIARIA"/>
    <x v="18"/>
    <x v="0"/>
    <e v="#NAME?"/>
    <x v="3"/>
    <n v="0.25"/>
  </r>
  <r>
    <s v="CE69277"/>
    <x v="916"/>
    <s v="CIB &amp; COMEX - FIDUCIARIA"/>
    <x v="16"/>
    <x v="9"/>
    <e v="#NAME?"/>
    <x v="3"/>
    <n v="0.5"/>
  </r>
  <r>
    <s v="CE69277"/>
    <x v="916"/>
    <s v="CIB &amp; COMEX - FIDUCIARIA"/>
    <x v="1"/>
    <x v="9"/>
    <e v="#NAME?"/>
    <x v="3"/>
    <n v="0.5"/>
  </r>
  <r>
    <s v="C811308"/>
    <x v="917"/>
    <s v="ENTERPRISE"/>
    <x v="10"/>
    <x v="0"/>
    <e v="#NAME?"/>
    <x v="226"/>
    <n v="0.25"/>
  </r>
  <r>
    <s v="C811308"/>
    <x v="917"/>
    <s v="ENTERPRISE"/>
    <x v="10"/>
    <x v="0"/>
    <e v="#NAME?"/>
    <x v="88"/>
    <n v="0.25"/>
  </r>
  <r>
    <s v="C811308"/>
    <x v="917"/>
    <s v="ENTERPRISE"/>
    <x v="10"/>
    <x v="0"/>
    <e v="#NAME?"/>
    <x v="90"/>
    <n v="0.25"/>
  </r>
  <r>
    <s v="C811308"/>
    <x v="917"/>
    <s v="ENTERPRISE"/>
    <x v="10"/>
    <x v="0"/>
    <e v="#NAME?"/>
    <x v="3"/>
    <n v="0.25"/>
  </r>
  <r>
    <s v="C342040"/>
    <x v="918"/>
    <s v="ENTERPRISE"/>
    <x v="3"/>
    <x v="0"/>
    <e v="#NAME?"/>
    <x v="93"/>
    <n v="1"/>
  </r>
  <r>
    <s v="C804047"/>
    <x v="919"/>
    <s v="ENTERPRISE"/>
    <x v="3"/>
    <x v="0"/>
    <e v="#NAME?"/>
    <x v="22"/>
    <n v="1"/>
  </r>
  <r>
    <s v="C811356"/>
    <x v="920"/>
    <s v="ENTERPRISE"/>
    <x v="10"/>
    <x v="0"/>
    <e v="#NAME?"/>
    <x v="90"/>
    <n v="1"/>
  </r>
  <r>
    <s v="CE40475"/>
    <x v="547"/>
    <s v="RETAIL"/>
    <x v="21"/>
    <x v="3"/>
    <e v="#NAME?"/>
    <x v="3"/>
    <n v="0.5"/>
  </r>
  <r>
    <s v="C811397"/>
    <x v="921"/>
    <s v="ENTERPRISE"/>
    <x v="3"/>
    <x v="0"/>
    <e v="#NAME?"/>
    <x v="93"/>
    <n v="1"/>
  </r>
  <r>
    <s v="C805187"/>
    <x v="922"/>
    <s v="ENTERPRISE"/>
    <x v="3"/>
    <x v="0"/>
    <e v="#NAME?"/>
    <x v="22"/>
    <n v="1"/>
  </r>
  <r>
    <s v="CE67846"/>
    <x v="923"/>
    <s v="ENTERPRISE"/>
    <x v="3"/>
    <x v="20"/>
    <e v="#NAME?"/>
    <x v="22"/>
    <n v="1"/>
  </r>
  <r>
    <s v="O003991"/>
    <x v="924"/>
    <s v="CORE"/>
    <x v="27"/>
    <x v="0"/>
    <e v="#NAME?"/>
    <x v="3"/>
    <n v="0.3"/>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3">
  <r>
    <s v="C804055"/>
    <s v="QUIROGA VASQUEZ YOAN LEONARDO"/>
    <x v="0"/>
    <s v="Soluciones financieras (Leasing)"/>
    <s v="BBVA"/>
    <x v="0"/>
    <s v="SDATOOL-36358 $ Pagos por Terceros (Mandato y/o Administración) - Información exógena DIAN - Resolución 0098 DIAN"/>
    <n v="0.05"/>
    <s v="Desarrollador"/>
    <s v="Distribuido"/>
    <m/>
    <e v="#NAME?"/>
    <x v="0"/>
    <e v="#NAME?"/>
    <m/>
    <m/>
    <m/>
    <m/>
    <m/>
    <m/>
  </r>
  <r>
    <s v="C804055"/>
    <s v="QUIROGA VASQUEZ YOAN LEONARDO"/>
    <x v="0"/>
    <s v="Soluciones financieras (Leasing)"/>
    <s v="BBVA"/>
    <x v="0"/>
    <s v="SDATOOL-33847 $ Resolución 0042 DIAN Documento Soporte"/>
    <n v="0.05"/>
    <s v="Desarrollador"/>
    <s v="Distribuido"/>
    <m/>
    <e v="#NAME?"/>
    <x v="0"/>
    <e v="#NAME?"/>
    <m/>
    <m/>
    <m/>
    <m/>
    <m/>
    <m/>
  </r>
  <r>
    <s v="C804055"/>
    <s v="QUIROGA VASQUEZ YOAN LEONARDO"/>
    <x v="0"/>
    <s v="Soluciones financieras (Leasing)"/>
    <s v="BBVA"/>
    <x v="0"/>
    <s v="SDATOOL-39334 $ GRM Col Reg - CE016-19 Modificados, reestructurados e incumplidos Leasing"/>
    <n v="0.05"/>
    <s v="Desarrollador"/>
    <s v="Distribuido"/>
    <m/>
    <e v="#NAME?"/>
    <x v="0"/>
    <e v="#NAME?"/>
    <m/>
    <m/>
    <m/>
    <m/>
    <m/>
    <m/>
  </r>
  <r>
    <s v="C804055"/>
    <s v="QUIROGA VASQUEZ YOAN LEONARDO"/>
    <x v="0"/>
    <s v="Soluciones financieras (Leasing)"/>
    <s v="BBVA"/>
    <x v="0"/>
    <s v="NOSDA $ BAU (Mantenimiento y peq. evolutivos)"/>
    <n v="0.05"/>
    <s v="Desarrollador"/>
    <s v="Distribuido"/>
    <m/>
    <e v="#NAME?"/>
    <x v="0"/>
    <e v="#NAME?"/>
    <m/>
    <m/>
    <m/>
    <m/>
    <m/>
    <m/>
  </r>
  <r>
    <s v="C804055"/>
    <s v="QUIROGA VASQUEZ YOAN LEONARDO"/>
    <x v="0"/>
    <s v="Soluciones financieras (Leasing)"/>
    <s v="BBVA"/>
    <x v="0"/>
    <s v="SDATOOL-41941 $ INTEGRACIÓN DE AS400 Y HOST Y ESTABILIZACIÓN Y RESTABLECIMIENTO DE lOS ENTORNOS DE LEASING AS400 DE DESARROLLO Y CALIDAD&quot;"/>
    <n v="0.05"/>
    <s v="Desarrollador"/>
    <s v="Distribuido"/>
    <m/>
    <e v="#NAME?"/>
    <x v="0"/>
    <e v="#NAME?"/>
    <m/>
    <m/>
    <m/>
    <m/>
    <m/>
    <m/>
  </r>
  <r>
    <s v="C804055"/>
    <s v="QUIROGA VASQUEZ YOAN LEONARDO"/>
    <x v="0"/>
    <s v="Soluciones financieras (Leasing)"/>
    <s v="BBVA"/>
    <x v="0"/>
    <s v="SDATOOL-40438 $ CIRCULAR 032 del 2021 - REQUERIMIENTO FISCALIA GENERAL DE LA NACION"/>
    <n v="0.6"/>
    <s v="Desarrollador"/>
    <s v="Distribuido"/>
    <m/>
    <e v="#NAME?"/>
    <x v="0"/>
    <e v="#NAME?"/>
    <m/>
    <m/>
    <m/>
    <m/>
    <m/>
    <m/>
  </r>
  <r>
    <s v="C804055"/>
    <s v="QUIROGA VASQUEZ YOAN LEONARDO"/>
    <x v="0"/>
    <s v="Soluciones financieras (Leasing)"/>
    <s v="BBVA"/>
    <x v="0"/>
    <s v="SDATOOL-33846 $ SREP Data Quality- BCBS239 - Colombia"/>
    <n v="0.1"/>
    <s v="Desarrollador"/>
    <s v="Distribuido"/>
    <m/>
    <e v="#NAME?"/>
    <x v="0"/>
    <e v="#NAME?"/>
    <m/>
    <m/>
    <m/>
    <m/>
    <m/>
    <m/>
  </r>
  <r>
    <s v="C804055"/>
    <s v="QUIROGA VASQUEZ YOAN LEONARDO"/>
    <x v="0"/>
    <s v="Soluciones financieras (Leasing)"/>
    <s v="BBVA"/>
    <x v="0"/>
    <s v="SDATOOL-39783 $ Resolución 0124 de 2021 - Captura del base de Operaciones Anuladas en Leasing - Aplic. Leasing"/>
    <n v="0.05"/>
    <s v="Desarrollador"/>
    <s v="Distribuido"/>
    <m/>
    <e v="#NAME?"/>
    <x v="0"/>
    <e v="#NAME?"/>
    <m/>
    <m/>
    <m/>
    <m/>
    <m/>
    <m/>
  </r>
  <r>
    <s v="C342600"/>
    <s v="DIANA PATRICIA BARRANTES PEREZ"/>
    <x v="0"/>
    <s v="Soluciones financieras (Leasing)"/>
    <s v="BBVA"/>
    <x v="0"/>
    <s v="SDATOOL-33847 $ Resolución 0042 DIAN Documento Soporte"/>
    <n v="0.15"/>
    <s v="Tech Manager/Líder"/>
    <s v="Distribuido"/>
    <m/>
    <e v="#NAME?"/>
    <x v="0"/>
    <e v="#NAME?"/>
    <m/>
    <m/>
    <m/>
    <m/>
    <m/>
    <m/>
  </r>
  <r>
    <s v="C342600"/>
    <s v="DIANA PATRICIA BARRANTES PEREZ"/>
    <x v="0"/>
    <s v="Soluciones financieras (Leasing)"/>
    <s v="BBVA"/>
    <x v="0"/>
    <s v="SDATOOL-39334 $ GRM Col Reg - CE016-19 Modificados, reestructurados e incumplidos Leasing"/>
    <n v="0.1"/>
    <s v="Tech Manager/Líder"/>
    <s v="Distribuido"/>
    <m/>
    <e v="#NAME?"/>
    <x v="0"/>
    <e v="#NAME?"/>
    <m/>
    <m/>
    <m/>
    <m/>
    <m/>
    <m/>
  </r>
  <r>
    <s v="C342600"/>
    <s v="DIANA PATRICIA BARRANTES PEREZ"/>
    <x v="0"/>
    <s v="Soluciones financieras (Leasing)"/>
    <s v="BBVA"/>
    <x v="0"/>
    <s v="SDATOOL-7269 $ Core Data &amp; Gobierno de Datos"/>
    <n v="0.2"/>
    <s v="Tech Manager/Líder"/>
    <s v="Distribuido"/>
    <m/>
    <e v="#NAME?"/>
    <x v="0"/>
    <e v="#NAME?"/>
    <m/>
    <m/>
    <m/>
    <m/>
    <m/>
    <m/>
  </r>
  <r>
    <s v="C342600"/>
    <s v="DIANA PATRICIA BARRANTES PEREZ"/>
    <x v="0"/>
    <s v="Soluciones financieras (Leasing)"/>
    <s v="BBVA"/>
    <x v="0"/>
    <s v="SDATOOL-41941 $ INTEGRACIÓN DE AS400 Y HOST Y ESTABILIZACIÓN Y RESTABLECIMIENTO DE lOS ENTORNOS DE LEASING AS400 DE DESARROLLO Y CALIDAD&quot;"/>
    <n v="0.15"/>
    <s v="Tech Manager/Líder"/>
    <s v="Distribuido"/>
    <m/>
    <e v="#NAME?"/>
    <x v="0"/>
    <e v="#NAME?"/>
    <m/>
    <m/>
    <m/>
    <m/>
    <m/>
    <m/>
  </r>
  <r>
    <s v="C342600"/>
    <s v="DIANA PATRICIA BARRANTES PEREZ"/>
    <x v="0"/>
    <s v="Soluciones financieras (Leasing)"/>
    <s v="BBVA"/>
    <x v="0"/>
    <s v="SDATOOL-40438 $ CIRCULAR 032 del 2021 - REQUERIMIENTO FISCALIA GENERAL DE LA NACION"/>
    <n v="0.2"/>
    <s v="Tech Manager/Líder"/>
    <s v="Distribuido"/>
    <m/>
    <e v="#NAME?"/>
    <x v="0"/>
    <e v="#NAME?"/>
    <m/>
    <m/>
    <m/>
    <m/>
    <m/>
    <m/>
  </r>
  <r>
    <s v="C342600"/>
    <s v="DIANA PATRICIA BARRANTES PEREZ"/>
    <x v="0"/>
    <s v="Soluciones financieras (Leasing)"/>
    <s v="BBVA"/>
    <x v="0"/>
    <s v="SDATOOL-33846 $ SREP Data Quality- BCBS239 - Colombia"/>
    <n v="0.1"/>
    <s v="Tech Manager/Líder"/>
    <s v="Distribuido"/>
    <m/>
    <e v="#NAME?"/>
    <x v="0"/>
    <e v="#NAME?"/>
    <m/>
    <m/>
    <m/>
    <m/>
    <m/>
    <m/>
  </r>
  <r>
    <s v="C342600"/>
    <s v="DIANA PATRICIA BARRANTES PEREZ"/>
    <x v="0"/>
    <s v="Soluciones financieras (Leasing)"/>
    <s v="BBVA"/>
    <x v="0"/>
    <s v="SDATOOL-39783 $ Resolución 0124 de 2021 - Captura del base de Operaciones Anuladas en Leasing - Aplic. Leasing"/>
    <n v="0.1"/>
    <s v="Tech Manager/Líder"/>
    <s v="Distribuido"/>
    <m/>
    <e v="#NAME?"/>
    <x v="0"/>
    <e v="#NAME?"/>
    <m/>
    <m/>
    <m/>
    <m/>
    <m/>
    <m/>
  </r>
  <r>
    <s v="C808267"/>
    <s v="GUAQUETA ROMERO DEISY YOLIMA"/>
    <x v="0"/>
    <s v="Soluciones financieras (Leasing)"/>
    <s v="BBVA"/>
    <x v="0"/>
    <s v="SDATOOL-41941 $ INTEGRACIÓN DE AS400 Y HOST Y ESTABILIZACIÓN Y RESTABLECIMIENTO DE lOS ENTORNOS DE LEASING AS400 DE DESARROLLO Y CALIDAD&quot;"/>
    <n v="0.7"/>
    <s v="Desarrollador"/>
    <s v="Distribuido"/>
    <m/>
    <e v="#NAME?"/>
    <x v="0"/>
    <e v="#NAME?"/>
    <m/>
    <m/>
    <m/>
    <m/>
    <m/>
    <m/>
  </r>
  <r>
    <s v="C808267"/>
    <s v="GUAQUETA ROMERO DEISY YOLIMA"/>
    <x v="0"/>
    <s v="Soluciones financieras (Leasing)"/>
    <s v="BBVA"/>
    <x v="0"/>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x v="0"/>
    <e v="#NAME?"/>
    <m/>
    <m/>
    <m/>
    <m/>
    <m/>
    <m/>
  </r>
  <r>
    <s v="C808683"/>
    <s v="EDISON YESID GONZALEZ LANCHEROS"/>
    <x v="0"/>
    <s v="Soluciones financieras (Leasing)"/>
    <s v="BBVA"/>
    <x v="0"/>
    <s v="SDATOOL-33847 $ Resolución 0042 DIAN Documento Soporte"/>
    <n v="0.1"/>
    <s v="Desarrollador"/>
    <s v="Distribuido"/>
    <m/>
    <e v="#NAME?"/>
    <x v="0"/>
    <e v="#NAME?"/>
    <m/>
    <m/>
    <m/>
    <m/>
    <m/>
    <m/>
  </r>
  <r>
    <s v="C808683"/>
    <s v="EDISON YESID GONZALEZ LANCHEROS"/>
    <x v="0"/>
    <s v="Soluciones financieras (Leasing)"/>
    <s v="BBVA"/>
    <x v="0"/>
    <s v="SDATOOL-40438 $ CIRCULAR 032 del 2021 - REQUERIMIENTO FISCALIA GENERAL DE LA NACION"/>
    <n v="0.8"/>
    <s v="Desarrollador"/>
    <s v="Distribuido"/>
    <m/>
    <e v="#NAME?"/>
    <x v="0"/>
    <e v="#NAME?"/>
    <m/>
    <m/>
    <m/>
    <m/>
    <m/>
    <m/>
  </r>
  <r>
    <s v="C808683"/>
    <s v="EDISON YESID GONZALEZ LANCHEROS"/>
    <x v="0"/>
    <s v="Soluciones financieras (Leasing)"/>
    <s v="BBVA"/>
    <x v="0"/>
    <s v="SDATOOL-36358 $ Pagos por Terceros (Mandato y/o Administración) - Información exógena DIAN - Resolución 0098 DIAN"/>
    <n v="0.1"/>
    <s v="Desarrollador"/>
    <s v="Distribuido"/>
    <m/>
    <e v="#NAME?"/>
    <x v="0"/>
    <e v="#NAME?"/>
    <m/>
    <m/>
    <m/>
    <m/>
    <m/>
    <m/>
  </r>
  <r>
    <s v="C811296"/>
    <s v="QUINTERO CASTILLO DIANA MARCELA"/>
    <x v="0"/>
    <s v="Soluciones financieras (Leasing)"/>
    <s v="BBVA"/>
    <x v="0"/>
    <s v="SDATOOL-40438 $ CIRCULAR 032 del 2021 - REQUERIMIENTO FISCALIA GENERAL DE LA NACION"/>
    <n v="0.75"/>
    <s v="Desarrollador"/>
    <s v="Distribuido"/>
    <m/>
    <e v="#NAME?"/>
    <x v="0"/>
    <e v="#NAME?"/>
    <m/>
    <m/>
    <m/>
    <m/>
    <m/>
    <m/>
  </r>
  <r>
    <s v="C811296"/>
    <s v="QUINTERO CASTILLO DIANA MARCELA"/>
    <x v="0"/>
    <s v="Soluciones financieras (Leasing)"/>
    <s v="BBVA"/>
    <x v="0"/>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x v="0"/>
    <e v="#NAME?"/>
    <m/>
    <m/>
    <m/>
    <m/>
    <m/>
    <m/>
  </r>
  <r>
    <s v="C811302"/>
    <s v="RAMIREZ MONTANO CARLOS JULIO"/>
    <x v="0"/>
    <s v="Soluciones financieras (Leasing)"/>
    <s v="BBVA"/>
    <x v="0"/>
    <s v="SDATOOL-41938 $ GRM Col Reg - Ajuste Calificación Escalera"/>
    <n v="1"/>
    <s v="Desarrollador"/>
    <s v="Distribuido"/>
    <m/>
    <e v="#NAME?"/>
    <x v="0"/>
    <e v="#NAME?"/>
    <m/>
    <m/>
    <m/>
    <m/>
    <m/>
    <m/>
  </r>
  <r>
    <s v="C811321"/>
    <s v="OTTO JADIR SAGUIT SANTOS ALBARRACIN"/>
    <x v="0"/>
    <s v="Soluciones financieras (Leasing)"/>
    <s v="BBVA"/>
    <x v="0"/>
    <s v="SDATOOL-41938 $ GRM Col Reg - Ajuste Calificación Escalera"/>
    <n v="1"/>
    <s v="Desarrollador"/>
    <s v="Distribuido"/>
    <m/>
    <e v="#NAME?"/>
    <x v="0"/>
    <e v="#NAME?"/>
    <m/>
    <m/>
    <m/>
    <m/>
    <m/>
    <m/>
  </r>
  <r>
    <s v="CE57093"/>
    <s v="NATALIA CANAS YATE"/>
    <x v="0"/>
    <s v="Soluciones financieras (Leasing)"/>
    <s v="Choucair"/>
    <x v="0"/>
    <s v="SDATOOL-41941 $ INTEGRACIÓN DE AS400 Y HOST Y ESTABILIZACIÓN Y RESTABLECIMIENTO DE lOS ENTORNOS DE LEASING AS400 DE DESARROLLO Y CALIDAD&quot;"/>
    <n v="0.5"/>
    <s v="QA"/>
    <s v="Distribuido"/>
    <m/>
    <e v="#NAME?"/>
    <x v="0"/>
    <e v="#NAME?"/>
    <m/>
    <m/>
    <m/>
    <m/>
    <m/>
    <m/>
  </r>
  <r>
    <s v="CE57093"/>
    <s v="NATALIA CANAS YATE"/>
    <x v="0"/>
    <s v="Soluciones financieras (Leasing)"/>
    <s v="Choucair"/>
    <x v="0"/>
    <s v="SDATOOL-40438 $ CIRCULAR 032 del 2021 - REQUERIMIENTO FISCALIA GENERAL DE LA NACION"/>
    <n v="0.5"/>
    <s v="QA"/>
    <s v="Distribuido"/>
    <m/>
    <e v="#NAME?"/>
    <x v="0"/>
    <e v="#NAME?"/>
    <m/>
    <m/>
    <m/>
    <m/>
    <m/>
    <m/>
  </r>
  <r>
    <s v="CE69112"/>
    <s v="LUZ DARY PATINO PINTOR "/>
    <x v="0"/>
    <s v="Soluciones financieras (Leasing)"/>
    <s v="Choucair"/>
    <x v="0"/>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x v="0"/>
    <e v="#NAME?"/>
    <m/>
    <m/>
    <m/>
    <m/>
    <m/>
    <m/>
  </r>
  <r>
    <s v="CE54816"/>
    <s v="LINA MARCELA SANABRIA BERNAL"/>
    <x v="0"/>
    <s v="Soluciones financieras (Leasing)"/>
    <s v="Choucair"/>
    <x v="0"/>
    <s v="SDATOOL-33847 $ Resolución 0042 DIAN Documento Soporte"/>
    <n v="1"/>
    <s v="QA"/>
    <s v="Distribuido"/>
    <m/>
    <e v="#NAME?"/>
    <x v="0"/>
    <e v="#NAME?"/>
    <m/>
    <m/>
    <m/>
    <m/>
    <m/>
    <m/>
  </r>
  <r>
    <s v="CE69341"/>
    <s v="PAULA MARCELA MOLINA LEGUIZAMO"/>
    <x v="0"/>
    <s v="Soluciones financieras (Leasing)"/>
    <s v="Choucair"/>
    <x v="0"/>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x v="0"/>
    <e v="#NAME?"/>
    <m/>
    <m/>
    <m/>
    <m/>
    <m/>
    <m/>
  </r>
  <r>
    <s v="CE69341"/>
    <s v="PAULA MARCELA MOLINA LEGUIZAMO"/>
    <x v="0"/>
    <s v="Soluciones financieras (Leasing)"/>
    <s v="Choucair"/>
    <x v="0"/>
    <s v="SDATOOL-40438 $ CIRCULAR 032 del 2021 - REQUERIMIENTO FISCALIA GENERAL DE LA NACION"/>
    <n v="0.5"/>
    <s v="QA"/>
    <s v="Distribuido"/>
    <m/>
    <e v="#NAME?"/>
    <x v="0"/>
    <e v="#NAME?"/>
    <m/>
    <m/>
    <m/>
    <m/>
    <m/>
    <m/>
  </r>
  <r>
    <s v="CE70380"/>
    <s v="MISAEL ARLEY TELLEZ SERRANO"/>
    <x v="0"/>
    <s v="Soluciones financieras (Leasing)"/>
    <s v="Choucair"/>
    <x v="0"/>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x v="0"/>
    <e v="#NAME?"/>
    <m/>
    <m/>
    <m/>
    <m/>
    <m/>
    <m/>
  </r>
  <r>
    <s v="T004725"/>
    <s v="DANIEL ALEJANDRO ROA ACERO "/>
    <x v="0"/>
    <s v="Soluciones financieras (Leasing)"/>
    <s v="Choucair"/>
    <x v="0"/>
    <s v="SDATOOL-33847 $ Resolución 0042 DIAN Documento Soporte"/>
    <n v="1"/>
    <s v="QA"/>
    <s v="Distribuido"/>
    <m/>
    <e v="#NAME?"/>
    <x v="0"/>
    <e v="#NAME?"/>
    <m/>
    <m/>
    <m/>
    <m/>
    <m/>
    <m/>
  </r>
  <r>
    <s v="CE70382"/>
    <s v="JOHN JAIRO RIVERA PENA "/>
    <x v="0"/>
    <s v="Soluciones financieras (Leasing)"/>
    <s v="Choucair"/>
    <x v="0"/>
    <s v="SDATOOL-33847 $ Resolución 0042 DIAN Documento Soporte"/>
    <n v="1"/>
    <s v="QA"/>
    <s v="Distribuido"/>
    <m/>
    <e v="#NAME?"/>
    <x v="0"/>
    <e v="#NAME?"/>
    <m/>
    <m/>
    <m/>
    <m/>
    <m/>
    <m/>
  </r>
  <r>
    <s v="CE69031"/>
    <s v="WILLIAM ROBERTO MORA BERNAL"/>
    <x v="0"/>
    <s v="Soluciones financieras (Leasing)"/>
    <s v="KRYPTO"/>
    <x v="0"/>
    <s v="SDATOOL-40438 $ CIRCULAR 032 del 2021 - REQUERIMIENTO FISCALIA GENERAL DE LA NACION"/>
    <n v="7.0000000000000007E-2"/>
    <s v="Otros"/>
    <s v="Distribuido"/>
    <m/>
    <e v="#NAME?"/>
    <x v="0"/>
    <e v="#NAME?"/>
    <m/>
    <m/>
    <m/>
    <m/>
    <m/>
    <m/>
  </r>
  <r>
    <s v="CE69031"/>
    <s v="WILLIAM ROBERTO MORA BERNAL"/>
    <x v="0"/>
    <s v="Soluciones financieras (Leasing)"/>
    <s v="KRYPTO"/>
    <x v="0"/>
    <s v="SDATOOL-41941 $ INTEGRACIÓN DE AS400 Y HOST Y ESTABILIZACIÓN Y RESTABLECIMIENTO DE lOS ENTORNOS DE LEASING AS400 DE DESARROLLO Y CALIDAD&quot;"/>
    <n v="0.1"/>
    <s v="Otros"/>
    <s v="Distribuido"/>
    <m/>
    <e v="#NAME?"/>
    <x v="0"/>
    <e v="#NAME?"/>
    <m/>
    <m/>
    <m/>
    <m/>
    <m/>
    <m/>
  </r>
  <r>
    <s v="CE69031"/>
    <s v="WILLIAM ROBERTO MORA BERNAL"/>
    <x v="0"/>
    <s v="Soluciones financieras (Leasing)"/>
    <s v="KRYPTO"/>
    <x v="0"/>
    <s v="NOSDA $ BAU (Mantenimiento y peq. evolutivos)"/>
    <n v="0.08"/>
    <s v="Otros"/>
    <s v="Distribuido"/>
    <m/>
    <e v="#NAME?"/>
    <x v="0"/>
    <e v="#NAME?"/>
    <m/>
    <m/>
    <m/>
    <m/>
    <m/>
    <m/>
  </r>
  <r>
    <s v="C804844"/>
    <s v="MATEO OLAYA OSORIO"/>
    <x v="1"/>
    <s v="Backoffice"/>
    <s v="BBVA"/>
    <x v="0"/>
    <s v="SDATOOL-42061 $ Murex Limit Control Intradía EOD"/>
    <n v="0.75"/>
    <s v="Desarrollador"/>
    <s v="Otras Tec."/>
    <s v="Lenguaje de prog.  JAVA."/>
    <e v="#NAME?"/>
    <x v="0"/>
    <e v="#NAME?"/>
    <m/>
    <m/>
    <m/>
    <m/>
    <m/>
    <m/>
  </r>
  <r>
    <s v="C804844"/>
    <s v="MATEO OLAYA OSORIO"/>
    <x v="1"/>
    <s v="Backoffice"/>
    <s v="BBVA"/>
    <x v="0"/>
    <s v="SDATOOL-42081 $ Evolutivos Migración Murex 3"/>
    <n v="0.25"/>
    <s v="Desarrollador"/>
    <s v="Otras Tec."/>
    <s v="Lenguaje de prog.  JAVA."/>
    <e v="#NAME?"/>
    <x v="0"/>
    <e v="#NAME?"/>
    <m/>
    <m/>
    <m/>
    <m/>
    <m/>
    <m/>
  </r>
  <r>
    <s v="T003920"/>
    <s v="ANA MARIA MORENO RAMIREZ"/>
    <x v="1"/>
    <s v="Backoffice"/>
    <s v="SII"/>
    <x v="0"/>
    <s v="SDATOOL-42061 $ Murex Limit Control Intradía EOD"/>
    <n v="1"/>
    <s v="Otros"/>
    <s v="Otras Tec."/>
    <s v=" "/>
    <e v="#NAME?"/>
    <x v="0"/>
    <e v="#NAME?"/>
    <m/>
    <m/>
    <m/>
    <m/>
    <m/>
    <m/>
  </r>
  <r>
    <s v="C805179"/>
    <s v="JEISON VISBAL"/>
    <x v="1"/>
    <s v="Backoffice"/>
    <s v="BBVA"/>
    <x v="0"/>
    <s v="SDATOOL-42061 $ Murex Limit Control Intradía EOD"/>
    <n v="0.75"/>
    <s v="Desarrollador"/>
    <s v="Otras Tec."/>
    <s v="Lenguaje de prog.  JAVA."/>
    <e v="#NAME?"/>
    <x v="0"/>
    <e v="#NAME?"/>
    <m/>
    <m/>
    <m/>
    <m/>
    <m/>
    <m/>
  </r>
  <r>
    <s v="C805179"/>
    <s v="JEISON VISBAL"/>
    <x v="1"/>
    <s v="Backoffice"/>
    <s v="BBVA"/>
    <x v="0"/>
    <s v="SDATOOL-42081 $ Evolutivos Migración Murex 3"/>
    <n v="0.25"/>
    <s v="Desarrollador"/>
    <s v="Otras Tec."/>
    <s v="Lenguaje de prog.  JAVA."/>
    <e v="#NAME?"/>
    <x v="0"/>
    <e v="#NAME?"/>
    <m/>
    <m/>
    <m/>
    <m/>
    <m/>
    <m/>
  </r>
  <r>
    <s v="CE14662"/>
    <s v="WILMER AUGUSTO PEREZ NIÑO"/>
    <x v="1"/>
    <s v="Backoffice"/>
    <s v="Tecnoevolución"/>
    <x v="0"/>
    <s v="NOSDA $ BAU (Mantenimiento y peq. evolutivos)"/>
    <n v="1"/>
    <s v="Desarrollador"/>
    <s v="Otras Tec."/>
    <s v="Tecnología Legacy: Power -Builder "/>
    <e v="#NAME?"/>
    <x v="0"/>
    <e v="#NAME?"/>
    <m/>
    <m/>
    <m/>
    <m/>
    <m/>
    <m/>
  </r>
  <r>
    <s v="CE63123"/>
    <s v="DIEGO ARISTOBULO DIAZ PLATA"/>
    <x v="1"/>
    <s v="Backoffice"/>
    <s v="Tecnoevolución"/>
    <x v="0"/>
    <s v="NOSDA $ BAU (Mantenimiento y peq. evolutivos)"/>
    <n v="1"/>
    <s v="Desarrollador"/>
    <s v="Otras Tec."/>
    <s v="Tecnología Legacy: Power -Builder "/>
    <e v="#NAME?"/>
    <x v="0"/>
    <e v="#NAME?"/>
    <m/>
    <m/>
    <m/>
    <m/>
    <m/>
    <m/>
  </r>
  <r>
    <s v="C808223"/>
    <s v="DILAN ANDRES LOPEZ MENA"/>
    <x v="1"/>
    <s v="Backoffice"/>
    <s v="BBVA"/>
    <x v="0"/>
    <s v="NOSDA $ BAU (Mantenimiento y peq. evolutivos)"/>
    <n v="1"/>
    <s v="Otros"/>
    <s v="Otras Tec."/>
    <s v="Tecnología Legacy: Power -Builder "/>
    <e v="#NAME?"/>
    <x v="0"/>
    <e v="#NAME?"/>
    <m/>
    <m/>
    <m/>
    <m/>
    <m/>
    <m/>
  </r>
  <r>
    <s v="C808132"/>
    <s v="JONNATHAN ARMANDO ASTROZ MARIN"/>
    <x v="1"/>
    <s v="Backoffice"/>
    <s v="BBVA"/>
    <x v="0"/>
    <s v="NOSDA $ BAU (Mantenimiento y peq. evolutivos)"/>
    <n v="1"/>
    <s v="Otros"/>
    <s v="Otras Tec."/>
    <s v="Tecnología Legacy: Power -Builder "/>
    <e v="#NAME?"/>
    <x v="0"/>
    <e v="#NAME?"/>
    <m/>
    <m/>
    <m/>
    <m/>
    <m/>
    <m/>
  </r>
  <r>
    <s v="CE61903"/>
    <s v="KELLY JOHANA VANEGAS"/>
    <x v="1"/>
    <s v="Backoffice"/>
    <s v="Tecnoevolución"/>
    <x v="0"/>
    <s v="NOSDA $ BAU (Mantenimiento y peq. evolutivos)"/>
    <n v="0.25"/>
    <s v="Otros"/>
    <s v="Otras Tec."/>
    <s v="Tecnología Legacy: Power -Builder "/>
    <e v="#NAME?"/>
    <x v="0"/>
    <e v="#NAME?"/>
    <m/>
    <m/>
    <m/>
    <m/>
    <m/>
    <m/>
  </r>
  <r>
    <s v="CE61903"/>
    <s v="KELLY JOHANA VANEGAS"/>
    <x v="1"/>
    <s v="Backoffice"/>
    <s v="Tecnoevolución"/>
    <x v="0"/>
    <s v="SDATOOL-38642 $ CUPON INTERMEDIO"/>
    <n v="0.5"/>
    <s v="Otros"/>
    <s v="Otras Tec."/>
    <s v="Tecnología Legacy: Power -Builder "/>
    <e v="#NAME?"/>
    <x v="0"/>
    <e v="#NAME?"/>
    <m/>
    <m/>
    <m/>
    <m/>
    <m/>
    <m/>
  </r>
  <r>
    <s v="C811297"/>
    <s v="BETZY PAOLA JARAMILLO LASTRA"/>
    <x v="0"/>
    <s v="Transaccionalidad"/>
    <s v="BBVA"/>
    <x v="0"/>
    <s v="SDATOOL-42213 $ Creación nuevos conceptos recaudo impuestos DIAN - Ley 2277 del 2022 MinHacienda"/>
    <n v="0.25"/>
    <s v="Desarrollador"/>
    <s v="Mainframe"/>
    <m/>
    <e v="#NAME?"/>
    <x v="0"/>
    <e v="#NAME?"/>
    <m/>
    <m/>
    <m/>
    <m/>
    <m/>
    <m/>
  </r>
  <r>
    <s v="C811297"/>
    <s v="BETZY PAOLA JARAMILLO LASTRA"/>
    <x v="0"/>
    <s v="Transaccionalidad"/>
    <s v="BBVA"/>
    <x v="0"/>
    <s v="NOSDA $ BAU (Mantenimiento y peq. evolutivos)"/>
    <n v="0.25"/>
    <s v="Desarrollador"/>
    <s v="Mainframe"/>
    <m/>
    <e v="#NAME?"/>
    <x v="0"/>
    <e v="#NAME?"/>
    <m/>
    <m/>
    <m/>
    <m/>
    <m/>
    <m/>
  </r>
  <r>
    <s v="C811297"/>
    <s v="BETZY PAOLA JARAMILLO LASTRA"/>
    <x v="0"/>
    <s v="Transaccionalidad"/>
    <s v="BBVA"/>
    <x v="0"/>
    <s v="SDATOOL-35327 $ Impuestos 2021"/>
    <n v="0.25"/>
    <s v="Desarrollador"/>
    <s v="Mainframe"/>
    <m/>
    <e v="#NAME?"/>
    <x v="0"/>
    <e v="#NAME?"/>
    <m/>
    <m/>
    <m/>
    <m/>
    <m/>
    <m/>
  </r>
  <r>
    <s v="C811297"/>
    <s v="BETZY PAOLA JARAMILLO LASTRA"/>
    <x v="0"/>
    <s v="Transaccionalidad"/>
    <s v="BBVA"/>
    <x v="0"/>
    <s v="SDATOOL-37425 $ Recaudo DIAN Tarjetas de Crédito Propio Banco través del Botón de pagos PSE para los canales Banca Personas y Banca de Empresas"/>
    <n v="0.25"/>
    <s v="Desarrollador"/>
    <s v="Distribuido"/>
    <m/>
    <e v="#NAME?"/>
    <x v="0"/>
    <e v="#NAME?"/>
    <m/>
    <m/>
    <m/>
    <m/>
    <m/>
    <m/>
  </r>
  <r>
    <s v="C808771"/>
    <s v="DAVID FEILPE CIFUENTES"/>
    <x v="0"/>
    <s v="Transaccionalidad"/>
    <s v="BBVA"/>
    <x v="0"/>
    <s v="SDATOOL-42213 $ Creación nuevos conceptos recaudo impuestos DIAN - Ley 2277 del 2022 MinHacienda"/>
    <n v="0.75"/>
    <s v="Desarrollador"/>
    <s v="Mainframe"/>
    <m/>
    <e v="#NAME?"/>
    <x v="0"/>
    <e v="#NAME?"/>
    <m/>
    <m/>
    <m/>
    <m/>
    <m/>
    <m/>
  </r>
  <r>
    <s v="C808771"/>
    <s v="DAVID FEILPE CIFUENTES"/>
    <x v="0"/>
    <s v="Transaccionalidad"/>
    <s v="BBVA"/>
    <x v="0"/>
    <s v="NOSDA $ BAU (Mantenimiento y peq. evolutivos)"/>
    <n v="0.25"/>
    <s v="Desarrollador"/>
    <s v="Mainframe"/>
    <m/>
    <e v="#NAME?"/>
    <x v="0"/>
    <e v="#NAME?"/>
    <m/>
    <m/>
    <m/>
    <m/>
    <m/>
    <m/>
  </r>
  <r>
    <s v="O000111"/>
    <s v="FERNANDO TIBADUIZA GUTIERREZ"/>
    <x v="0"/>
    <s v="Transaccionalidad"/>
    <s v="BBVA"/>
    <x v="0"/>
    <s v="SDATOOL-42213 $ Creación nuevos conceptos recaudo impuestos DIAN - Ley 2277 del 2022 MinHacienda"/>
    <n v="0.75"/>
    <s v="Desarrollador"/>
    <s v="Mainframe"/>
    <m/>
    <e v="#NAME?"/>
    <x v="0"/>
    <e v="#NAME?"/>
    <m/>
    <m/>
    <m/>
    <m/>
    <m/>
    <m/>
  </r>
  <r>
    <s v="O000111"/>
    <s v="FERNANDO TIBADUIZA GUTIERREZ"/>
    <x v="0"/>
    <s v="Transaccionalidad"/>
    <s v="BBVA"/>
    <x v="0"/>
    <s v="NOSDA $ BAU (Mantenimiento y peq. evolutivos)"/>
    <n v="0.25"/>
    <s v="Desarrollador"/>
    <s v="Mainframe"/>
    <m/>
    <e v="#NAME?"/>
    <x v="0"/>
    <e v="#NAME?"/>
    <m/>
    <m/>
    <m/>
    <m/>
    <m/>
    <m/>
  </r>
  <r>
    <s v="C810784"/>
    <s v="LENIN QUINTERO MUÑOZ"/>
    <x v="0"/>
    <s v="Transaccionalidad"/>
    <s v="BBVA"/>
    <x v="0"/>
    <s v="SDATOOL-37425 $ Recaudo DIAN Tarjetas de Crédito Propio Banco través del Botón de pagos PSE para los canales Banca Personas y Banca de Empresas"/>
    <n v="1"/>
    <s v="Desarrollador"/>
    <s v="Distribuido"/>
    <m/>
    <e v="#NAME?"/>
    <x v="0"/>
    <e v="#NAME?"/>
    <m/>
    <m/>
    <m/>
    <m/>
    <m/>
    <m/>
  </r>
  <r>
    <s v="CE70413"/>
    <s v="RICARDO AMAYA VIANCHA (QA)"/>
    <x v="0"/>
    <s v="Transaccionalidad"/>
    <s v="KRYPTO"/>
    <x v="0"/>
    <s v="NOSDA $ BAU (Mantenimiento y peq. evolutivos)"/>
    <n v="0.5"/>
    <s v="Desarrollador"/>
    <s v="Otras Tec."/>
    <m/>
    <e v="#NAME?"/>
    <x v="0"/>
    <e v="#NAME?"/>
    <m/>
    <m/>
    <m/>
    <m/>
    <m/>
    <m/>
  </r>
  <r>
    <s v="CE70413"/>
    <s v="RICARDO AMAYA VIANCHA (QA)"/>
    <x v="0"/>
    <s v="Transaccionalidad"/>
    <s v="KRYPTO"/>
    <x v="0"/>
    <s v="SDATOOL-42213 $ Creación nuevos conceptos recaudo impuestos DIAN - Ley 2277 del 2022 MinHacienda"/>
    <n v="0.5"/>
    <s v="Desarrollador"/>
    <s v="Otras Tec."/>
    <m/>
    <e v="#NAME?"/>
    <x v="0"/>
    <e v="#NAME?"/>
    <m/>
    <m/>
    <m/>
    <m/>
    <m/>
    <m/>
  </r>
  <r>
    <s v="C342062"/>
    <s v="JAVIER CALDERON LOPEZ"/>
    <x v="0"/>
    <s v="Transaccionalidad"/>
    <s v="BBVA"/>
    <x v="0"/>
    <s v="SDATOOL-37055 $ Cash in- PSE - Plan Ascenso Privado"/>
    <n v="0.75"/>
    <s v="Desarrollador"/>
    <s v="Mainframe"/>
    <m/>
    <e v="#NAME?"/>
    <x v="0"/>
    <e v="#NAME?"/>
    <m/>
    <m/>
    <m/>
    <m/>
    <m/>
    <m/>
  </r>
  <r>
    <s v="C342062"/>
    <s v="JAVIER CALDERON LOPEZ"/>
    <x v="0"/>
    <s v="Transaccionalidad"/>
    <s v="BBVA"/>
    <x v="0"/>
    <s v="NOSDA $ BAU (Mantenimiento y peq. evolutivos)"/>
    <n v="0.25"/>
    <s v="Desarrollador"/>
    <s v="Mainframe"/>
    <m/>
    <e v="#NAME?"/>
    <x v="0"/>
    <e v="#NAME?"/>
    <m/>
    <m/>
    <m/>
    <m/>
    <m/>
    <m/>
  </r>
  <r>
    <s v="C808392"/>
    <s v="JHON FREDDY ZAPATA MUÑOZ"/>
    <x v="0"/>
    <s v="Transaccionalidad"/>
    <s v="BBVA"/>
    <x v="0"/>
    <s v="SDATOOL-33408 $ Biocatch"/>
    <n v="0.75"/>
    <s v="Desarrollador"/>
    <s v="Distribuido"/>
    <m/>
    <e v="#NAME?"/>
    <x v="0"/>
    <e v="#NAME?"/>
    <m/>
    <m/>
    <m/>
    <m/>
    <m/>
    <m/>
  </r>
  <r>
    <s v="C808392"/>
    <s v="JHON FREDDY ZAPATA MUÑOZ"/>
    <x v="0"/>
    <s v="Transaccionalidad"/>
    <s v="BBVA"/>
    <x v="0"/>
    <s v="NOSDA $ BAU (Mantenimiento y peq. evolutivos)"/>
    <n v="0.25"/>
    <s v="Desarrollador"/>
    <s v="Distribuido"/>
    <m/>
    <e v="#NAME?"/>
    <x v="0"/>
    <e v="#NAME?"/>
    <m/>
    <m/>
    <m/>
    <m/>
    <m/>
    <m/>
  </r>
  <r>
    <s v="CE63313"/>
    <s v="CESAR LEONEL MARTIN CASTILLO (QA)"/>
    <x v="0"/>
    <s v="Transaccionalidad"/>
    <s v="Inetum"/>
    <x v="0"/>
    <s v="SDATOOL-33408 $ Biocatch"/>
    <n v="0.5"/>
    <s v="QA"/>
    <s v="Otras Tec."/>
    <m/>
    <e v="#NAME?"/>
    <x v="0"/>
    <e v="#NAME?"/>
    <m/>
    <m/>
    <m/>
    <m/>
    <m/>
    <m/>
  </r>
  <r>
    <s v="CE63313"/>
    <s v="CESAR LEONEL MARTIN CASTILLO (QA)"/>
    <x v="0"/>
    <s v="Transaccionalidad"/>
    <s v="Inetum"/>
    <x v="0"/>
    <s v="NOSDA $ BAU (Mantenimiento y peq. evolutivos)"/>
    <n v="0.5"/>
    <s v="QA"/>
    <s v="Otras Tec."/>
    <m/>
    <e v="#NAME?"/>
    <x v="0"/>
    <e v="#NAME?"/>
    <m/>
    <m/>
    <m/>
    <m/>
    <m/>
    <m/>
  </r>
  <r>
    <s v="C808164"/>
    <s v="JORGE SEBASTIAN RODRIGUEZ MORA"/>
    <x v="0"/>
    <s v="Transaccionalidad"/>
    <s v="BBVA"/>
    <x v="0"/>
    <s v="SDATOOL-38770 $ Marcación y cobro de comisiones PSE"/>
    <n v="1"/>
    <s v="Desarrollador"/>
    <s v="Mainframe"/>
    <m/>
    <e v="#NAME?"/>
    <x v="0"/>
    <e v="#NAME?"/>
    <m/>
    <m/>
    <m/>
    <m/>
    <m/>
    <m/>
  </r>
  <r>
    <s v="O002304"/>
    <s v="WILVER MARTINEZ ALVARADO"/>
    <x v="0"/>
    <s v="Transaccionalidad"/>
    <s v="BBVA"/>
    <x v="0"/>
    <s v="SDATOOL-38770 $ Marcación y cobro de comisiones PSE"/>
    <n v="1"/>
    <s v="Desarrollador"/>
    <s v="Mainframe"/>
    <m/>
    <e v="#NAME?"/>
    <x v="0"/>
    <e v="#NAME?"/>
    <m/>
    <m/>
    <m/>
    <m/>
    <m/>
    <m/>
  </r>
  <r>
    <s v="CE43229"/>
    <s v="CARLOS MAURICIO AGUIRRE TOVAR"/>
    <x v="0"/>
    <s v="Transaccionalidad"/>
    <s v="Inetum"/>
    <x v="0"/>
    <s v="SDATOOL-38770 $ Marcación y cobro de comisiones PSE"/>
    <n v="1"/>
    <s v="Desarrollador"/>
    <s v="Mainframe"/>
    <m/>
    <e v="#NAME?"/>
    <x v="0"/>
    <e v="#NAME?"/>
    <m/>
    <m/>
    <m/>
    <m/>
    <m/>
    <m/>
  </r>
  <r>
    <s v="CE68369"/>
    <s v="JUAN DAVID ACOSTA OBANDO (QA)"/>
    <x v="0"/>
    <s v="Transaccionalidad"/>
    <s v="KRYPTO"/>
    <x v="0"/>
    <s v="SDATOOL-38770 $ Marcación y cobro de comisiones PSE"/>
    <n v="1"/>
    <s v="QA"/>
    <s v="Otras Tec."/>
    <m/>
    <e v="#NAME?"/>
    <x v="0"/>
    <e v="#NAME?"/>
    <m/>
    <m/>
    <m/>
    <m/>
    <m/>
    <m/>
  </r>
  <r>
    <s v="C784494"/>
    <s v="CARLOS IVAN CHOCONTA"/>
    <x v="0"/>
    <s v="Transaccionalidad"/>
    <s v="BBVA"/>
    <x v="0"/>
    <s v="SDATOOL-37761 $ Plan transformación de procesos"/>
    <n v="0.75"/>
    <s v="Desarrollador"/>
    <s v="Mainframe"/>
    <m/>
    <e v="#NAME?"/>
    <x v="0"/>
    <e v="#NAME?"/>
    <m/>
    <m/>
    <m/>
    <m/>
    <m/>
    <m/>
  </r>
  <r>
    <s v="C784494"/>
    <s v="CARLOS IVAN CHOCONTA"/>
    <x v="0"/>
    <s v="Transaccionalidad"/>
    <s v="BBVA"/>
    <x v="0"/>
    <s v="NOSDA $ BAU (Mantenimiento y peq. evolutivos)"/>
    <n v="0.25"/>
    <s v="Desarrollador"/>
    <s v="Mainframe"/>
    <m/>
    <e v="#NAME?"/>
    <x v="0"/>
    <e v="#NAME?"/>
    <m/>
    <m/>
    <m/>
    <m/>
    <m/>
    <m/>
  </r>
  <r>
    <s v="C808842"/>
    <s v="CARLOS ALBERTO PARDO"/>
    <x v="0"/>
    <s v="Transaccionalidad"/>
    <s v="BBVA"/>
    <x v="0"/>
    <s v="SDATOOL-39246 $ Nuevo tipo de identificación para extranjeros"/>
    <n v="0.75"/>
    <s v="Desarrollador"/>
    <s v="Mainframe"/>
    <m/>
    <e v="#NAME?"/>
    <x v="0"/>
    <e v="#NAME?"/>
    <m/>
    <m/>
    <m/>
    <m/>
    <m/>
    <m/>
  </r>
  <r>
    <s v="C808842"/>
    <s v="CARLOS ALBERTO PARDO"/>
    <x v="0"/>
    <s v="Transaccionalidad"/>
    <s v="BBVA"/>
    <x v="0"/>
    <s v="NOSDA $ BAU (Mantenimiento y peq. evolutivos)"/>
    <n v="0.25"/>
    <s v="Desarrollador"/>
    <s v="Mainframe"/>
    <m/>
    <e v="#NAME?"/>
    <x v="0"/>
    <e v="#NAME?"/>
    <m/>
    <m/>
    <m/>
    <m/>
    <m/>
    <m/>
  </r>
  <r>
    <s v="C808856"/>
    <s v="YEHIN STIVEN PATIÑO"/>
    <x v="0"/>
    <s v="Transaccionalidad"/>
    <s v="BBVA"/>
    <x v="0"/>
    <s v="SDATOOL-31340 $ Intercambio Electrónico de Archivos ACH y Cenit"/>
    <n v="0.5"/>
    <s v="Desarrollador"/>
    <s v="Mainframe"/>
    <m/>
    <e v="#NAME?"/>
    <x v="0"/>
    <e v="#NAME?"/>
    <m/>
    <m/>
    <m/>
    <m/>
    <m/>
    <m/>
  </r>
  <r>
    <s v="C808856"/>
    <s v="YEHIN STIVEN PATIÑO"/>
    <x v="0"/>
    <s v="Senda"/>
    <s v="BBVA"/>
    <x v="0"/>
    <s v="SDATOOL-40528 $ ETPB - SENDA PAGOS"/>
    <n v="0.5"/>
    <s v="Desarrollador"/>
    <s v="Mainframe"/>
    <m/>
    <e v="#NAME?"/>
    <x v="0"/>
    <e v="#NAME?"/>
    <m/>
    <m/>
    <m/>
    <m/>
    <m/>
    <m/>
  </r>
  <r>
    <s v="C342171"/>
    <s v="CAROLINA BERNAL"/>
    <x v="0"/>
    <s v="Transaccionalidad"/>
    <s v="BBVA"/>
    <x v="0"/>
    <s v="SDATOOL-39246 $ Nuevo tipo de identificación para extranjeros"/>
    <n v="0.25"/>
    <s v="Otros"/>
    <s v="Otras Tec."/>
    <m/>
    <e v="#NAME?"/>
    <x v="0"/>
    <e v="#NAME?"/>
    <m/>
    <m/>
    <m/>
    <m/>
    <m/>
    <m/>
  </r>
  <r>
    <s v="C342171"/>
    <s v="CAROLINA BERNAL"/>
    <x v="0"/>
    <s v="Transaccionalidad"/>
    <s v="BBVA"/>
    <x v="0"/>
    <s v="SDATOOL-37761 $ Plan transformación de procesos"/>
    <n v="0.25"/>
    <s v="Otros"/>
    <s v="Otras Tec."/>
    <m/>
    <e v="#NAME?"/>
    <x v="0"/>
    <e v="#NAME?"/>
    <m/>
    <m/>
    <m/>
    <m/>
    <m/>
    <m/>
  </r>
  <r>
    <s v="C342171"/>
    <s v="CAROLINA BERNAL"/>
    <x v="0"/>
    <s v="Transaccionalidad"/>
    <s v="BBVA"/>
    <x v="0"/>
    <s v="SDATOOL-31340 $ Intercambio Electrónico de Archivos ACH y Cenit"/>
    <n v="0.25"/>
    <s v="Otros"/>
    <s v="Otras Tec."/>
    <m/>
    <e v="#NAME?"/>
    <x v="0"/>
    <e v="#NAME?"/>
    <m/>
    <m/>
    <m/>
    <m/>
    <m/>
    <m/>
  </r>
  <r>
    <s v="C342171"/>
    <s v="CAROLINA BERNAL"/>
    <x v="0"/>
    <s v="Transaccionalidad"/>
    <s v="BBVA"/>
    <x v="0"/>
    <s v="SDATOOL-37116 $ COLPENSIONES ESTRUCTURA ONP"/>
    <n v="0.25"/>
    <s v="Otros"/>
    <s v="Otras Tec."/>
    <m/>
    <e v="#NAME?"/>
    <x v="0"/>
    <e v="#NAME?"/>
    <m/>
    <m/>
    <m/>
    <m/>
    <m/>
    <m/>
  </r>
  <r>
    <s v="CE56542"/>
    <s v="HUMBERTO MALAGON VARGAS (Torre)"/>
    <x v="0"/>
    <s v="Transaccionalidad"/>
    <s v="Novatec"/>
    <x v="0"/>
    <s v="NOSDA $ BAU (Mantenimiento y peq. evolutivos)"/>
    <n v="0.5"/>
    <s v="Desarrollador"/>
    <s v="Mainframe"/>
    <m/>
    <e v="#NAME?"/>
    <x v="0"/>
    <e v="#NAME?"/>
    <m/>
    <m/>
    <m/>
    <m/>
    <m/>
    <m/>
  </r>
  <r>
    <s v="CE57635"/>
    <s v="JAIRO ARTURO BELTAN (Torre)"/>
    <x v="0"/>
    <s v="Transaccionalidad"/>
    <s v="Novatec"/>
    <x v="0"/>
    <s v="NOSDA $ BAU (Mantenimiento y peq. evolutivos)"/>
    <n v="1"/>
    <s v="Desarrollador"/>
    <s v="Mainframe"/>
    <m/>
    <e v="#NAME?"/>
    <x v="0"/>
    <e v="#NAME?"/>
    <m/>
    <m/>
    <m/>
    <m/>
    <m/>
    <m/>
  </r>
  <r>
    <s v="CE66612"/>
    <s v="JOHN ANDRES DIAZ AYALA (Torre)"/>
    <x v="0"/>
    <s v="Transaccionalidad"/>
    <s v="Novatec"/>
    <x v="0"/>
    <s v="NOSDA $ BAU (Mantenimiento y peq. evolutivos)"/>
    <n v="1"/>
    <s v="Desarrollador"/>
    <s v="Mainframe"/>
    <m/>
    <e v="#NAME?"/>
    <x v="0"/>
    <e v="#NAME?"/>
    <m/>
    <m/>
    <m/>
    <m/>
    <m/>
    <m/>
  </r>
  <r>
    <m/>
    <s v="MARISOL VEGA JOYA (QA)"/>
    <x v="0"/>
    <s v="Transaccionalidad"/>
    <s v="Inetum"/>
    <x v="0"/>
    <s v="SDATOOL-31340 $ Intercambio Electrónico de Archivos ACH y Cenit"/>
    <n v="0.5"/>
    <s v="QA"/>
    <s v="Otras Tec."/>
    <m/>
    <e v="#NAME?"/>
    <x v="0"/>
    <e v="#NAME?"/>
    <m/>
    <m/>
    <m/>
    <m/>
    <m/>
    <m/>
  </r>
  <r>
    <m/>
    <s v="MARISOL VEGA JOYA (QA)"/>
    <x v="0"/>
    <s v="Transaccionalidad"/>
    <s v="Inetum"/>
    <x v="0"/>
    <s v="NOSDA $ BAU (Mantenimiento y peq. evolutivos)"/>
    <n v="0.5"/>
    <s v="QA"/>
    <s v="Otras Tec."/>
    <m/>
    <e v="#NAME?"/>
    <x v="0"/>
    <e v="#NAME?"/>
    <m/>
    <m/>
    <m/>
    <m/>
    <m/>
    <m/>
  </r>
  <r>
    <s v="C343581"/>
    <s v="WILLIAM JAVIER VILLAMIL ZAPATA "/>
    <x v="0"/>
    <s v="Transaccionalidad"/>
    <s v="BBVA"/>
    <x v="0"/>
    <s v="SDATOOL-41553 $ Servicios transaccionales 2023"/>
    <n v="0.25"/>
    <s v="Tech Manager/Líder"/>
    <s v="ASO"/>
    <m/>
    <e v="#NAME?"/>
    <x v="0"/>
    <e v="#NAME?"/>
    <m/>
    <m/>
    <m/>
    <m/>
    <m/>
    <m/>
  </r>
  <r>
    <s v="C343581"/>
    <s v="WILLIAM JAVIER VILLAMIL ZAPATA "/>
    <x v="0"/>
    <s v="Transaccionalidad"/>
    <s v="BBVA"/>
    <x v="0"/>
    <s v="SDATOOL-37129 $ Conciliación Recaudo PSE"/>
    <n v="0.25"/>
    <s v="Tech Manager/Líder"/>
    <s v="ASO"/>
    <m/>
    <e v="#NAME?"/>
    <x v="0"/>
    <e v="#NAME?"/>
    <m/>
    <m/>
    <m/>
    <m/>
    <m/>
    <m/>
  </r>
  <r>
    <s v="C343581"/>
    <s v="WILLIAM JAVIER VILLAMIL ZAPATA "/>
    <x v="0"/>
    <s v="Transaccionalidad"/>
    <s v="BBVA"/>
    <x v="0"/>
    <s v="NOSDA $ BAU (Mantenimiento y peq. evolutivos)"/>
    <n v="0.5"/>
    <s v="Tech Manager/Líder"/>
    <s v="ASO"/>
    <m/>
    <e v="#NAME?"/>
    <x v="0"/>
    <e v="#NAME?"/>
    <m/>
    <m/>
    <m/>
    <m/>
    <m/>
    <m/>
  </r>
  <r>
    <s v="C810947"/>
    <s v="LAURA PULIDO DIAZ"/>
    <x v="0"/>
    <s v="Transaccionalidad"/>
    <s v="BBVA"/>
    <x v="0"/>
    <s v="SDATOOL-41553 $ Servicios transaccionales 2023"/>
    <n v="1"/>
    <s v="Desarrollador"/>
    <s v="APX"/>
    <m/>
    <e v="#NAME?"/>
    <x v="0"/>
    <e v="#NAME?"/>
    <m/>
    <m/>
    <m/>
    <m/>
    <m/>
    <m/>
  </r>
  <r>
    <s v="C809749"/>
    <s v="DEIMER DAVID JIMENEZ MAESTRE"/>
    <x v="0"/>
    <s v="Transaccionalidad"/>
    <s v="BBVA"/>
    <x v="0"/>
    <s v="SDATOOL-41553 $ Servicios transaccionales 2023"/>
    <n v="1"/>
    <s v="Desarrollador"/>
    <s v="Mainframe"/>
    <m/>
    <e v="#NAME?"/>
    <x v="0"/>
    <e v="#NAME?"/>
    <m/>
    <m/>
    <m/>
    <m/>
    <m/>
    <m/>
  </r>
  <r>
    <s v="T002859"/>
    <s v="ANGIE DANIELA PERDOMO RAMIREZ (QA)"/>
    <x v="0"/>
    <s v="Transaccionalidad"/>
    <s v="Inetum"/>
    <x v="0"/>
    <s v="SDATOOL-41553 $ Servicios transaccionales 2023"/>
    <n v="1"/>
    <s v="QA"/>
    <s v="Otras Tec."/>
    <m/>
    <e v="#NAME?"/>
    <x v="0"/>
    <e v="#NAME?"/>
    <m/>
    <m/>
    <m/>
    <m/>
    <m/>
    <m/>
  </r>
  <r>
    <s v="C808769"/>
    <s v="WILLIAM FERNANDO ALARCON"/>
    <x v="0"/>
    <s v="Transaccionalidad"/>
    <s v="BBVA"/>
    <x v="0"/>
    <s v="SDATOOL-37129 $ Conciliación Recaudo PSE"/>
    <n v="0.75"/>
    <s v="Desarrollador"/>
    <s v="ASO"/>
    <m/>
    <e v="#NAME?"/>
    <x v="0"/>
    <e v="#NAME?"/>
    <m/>
    <m/>
    <m/>
    <m/>
    <m/>
    <m/>
  </r>
  <r>
    <s v="C808769"/>
    <s v="WILLIAM FERNANDO ALARCON"/>
    <x v="0"/>
    <s v="Transaccionalidad"/>
    <s v="BBVA"/>
    <x v="0"/>
    <s v="NOSDA $ BAU (Mantenimiento y peq. evolutivos)"/>
    <n v="0.25"/>
    <s v="Desarrollador"/>
    <s v="ASO"/>
    <m/>
    <e v="#NAME?"/>
    <x v="0"/>
    <e v="#NAME?"/>
    <m/>
    <m/>
    <m/>
    <m/>
    <m/>
    <m/>
  </r>
  <r>
    <s v="C811207"/>
    <s v="LUIS FERNANDO GUTIERREZ PRADO"/>
    <x v="0"/>
    <s v="Transaccionalidad"/>
    <s v="BBVA"/>
    <x v="0"/>
    <s v="SDATOOL-37129 $ Conciliación Recaudo PSE"/>
    <n v="1"/>
    <s v="Desarrollador"/>
    <s v="ASO"/>
    <m/>
    <e v="#NAME?"/>
    <x v="0"/>
    <e v="#NAME?"/>
    <m/>
    <m/>
    <m/>
    <m/>
    <m/>
    <m/>
  </r>
  <r>
    <s v="O004611"/>
    <s v="ANDRES ARTURO QUINTERO"/>
    <x v="0"/>
    <s v="Transaccionalidad"/>
    <s v="BBVA"/>
    <x v="0"/>
    <s v="SDATOOL-41553 $ Servicios transaccionales 2023"/>
    <n v="1"/>
    <s v="Desarrollador"/>
    <s v="APX"/>
    <m/>
    <e v="#NAME?"/>
    <x v="0"/>
    <e v="#NAME?"/>
    <m/>
    <m/>
    <m/>
    <m/>
    <m/>
    <m/>
  </r>
  <r>
    <s v="T009935"/>
    <s v="JORGE LUIS MONTEJO (Torre)"/>
    <x v="0"/>
    <s v="Transaccionalidad"/>
    <s v="Novatec"/>
    <x v="0"/>
    <s v="NOSDA $ BAU (Mantenimiento y peq. evolutivos)"/>
    <n v="0.5"/>
    <s v="Desarrollador"/>
    <s v="Mainframe"/>
    <m/>
    <e v="#NAME?"/>
    <x v="0"/>
    <e v="#NAME?"/>
    <m/>
    <m/>
    <m/>
    <m/>
    <m/>
    <m/>
  </r>
  <r>
    <s v="CE68693"/>
    <s v="MANUEL ALEJANDRO MARENCO (Torre)"/>
    <x v="0"/>
    <s v="Transaccionalidad"/>
    <s v="Novatec"/>
    <x v="0"/>
    <s v="NOSDA $ BAU (Mantenimiento y peq. evolutivos)"/>
    <n v="1"/>
    <s v="Desarrollador"/>
    <s v="Mainframe"/>
    <m/>
    <e v="#NAME?"/>
    <x v="0"/>
    <e v="#NAME?"/>
    <m/>
    <m/>
    <m/>
    <m/>
    <m/>
    <m/>
  </r>
  <r>
    <s v="T009914"/>
    <s v="MARIELA CUBIDES  VILLAQUIRAN (Torre)"/>
    <x v="0"/>
    <s v="Transaccionalidad"/>
    <s v="Novatec"/>
    <x v="0"/>
    <s v="NOSDA $ BAU (Mantenimiento y peq. evolutivos)"/>
    <n v="1"/>
    <s v="Desarrollador"/>
    <s v="Mainframe"/>
    <m/>
    <e v="#NAME?"/>
    <x v="0"/>
    <e v="#NAME?"/>
    <m/>
    <m/>
    <m/>
    <m/>
    <m/>
    <m/>
  </r>
  <r>
    <s v="C801829"/>
    <s v="LUISA FERNANDA CASTRILLON"/>
    <x v="0"/>
    <s v="Transaccionalidad"/>
    <s v="BBVA"/>
    <x v="0"/>
    <s v="SDATOOL-41553 $ Servicios transaccionales 2023"/>
    <n v="0.25"/>
    <s v="Desarrollador"/>
    <s v="Distribuido"/>
    <m/>
    <e v="#NAME?"/>
    <x v="0"/>
    <e v="#NAME?"/>
    <m/>
    <m/>
    <m/>
    <m/>
    <m/>
    <m/>
  </r>
  <r>
    <s v="C801829"/>
    <s v="LUISA FERNANDA CASTRILLON"/>
    <x v="0"/>
    <s v="Transaccionalidad"/>
    <s v="BBVA"/>
    <x v="0"/>
    <s v="SDATOOL-41980 $ Modelo API´S Recaudo (CB´s)"/>
    <n v="0.25"/>
    <s v="Desarrollador"/>
    <s v="Distribuido"/>
    <m/>
    <e v="#NAME?"/>
    <x v="0"/>
    <e v="#NAME?"/>
    <m/>
    <m/>
    <m/>
    <m/>
    <m/>
    <m/>
  </r>
  <r>
    <s v="C801829"/>
    <s v="LUISA FERNANDA CASTRILLON"/>
    <x v="0"/>
    <s v="Transaccionalidad"/>
    <s v="BBVA"/>
    <x v="0"/>
    <s v="SDATOOL-42040 $ In House Bavaria"/>
    <n v="0.25"/>
    <s v="Desarrollador"/>
    <s v="Distribuido"/>
    <m/>
    <e v="#NAME?"/>
    <x v="0"/>
    <e v="#NAME?"/>
    <m/>
    <m/>
    <m/>
    <m/>
    <m/>
    <m/>
  </r>
  <r>
    <s v="C801829"/>
    <s v="LUISA FERNANDA CASTRILLON"/>
    <x v="0"/>
    <s v="Transaccionalidad"/>
    <s v="BBVA"/>
    <x v="0"/>
    <s v="SDATOOL-42040 $ In House Bavaria"/>
    <n v="0.25"/>
    <s v="Desarrollador"/>
    <s v="Distribuido"/>
    <m/>
    <e v="#NAME?"/>
    <x v="0"/>
    <e v="#NAME?"/>
    <m/>
    <m/>
    <m/>
    <m/>
    <m/>
    <m/>
  </r>
  <r>
    <s v="O000393"/>
    <s v="DANIEL FELIPE ZAPATA"/>
    <x v="0"/>
    <s v="Transaccionalidad"/>
    <s v="BBVA"/>
    <x v="0"/>
    <s v="SDATOOL-41980 $ Modelo API´S Recaudo (CB´s)"/>
    <n v="1"/>
    <s v="Desarrollador"/>
    <s v="ASO"/>
    <m/>
    <e v="#NAME?"/>
    <x v="0"/>
    <e v="#NAME?"/>
    <m/>
    <m/>
    <m/>
    <m/>
    <m/>
    <m/>
  </r>
  <r>
    <s v="O004836"/>
    <s v="JUANITA GARCIA CONTRERAS"/>
    <x v="0"/>
    <s v="Transaccionalidad"/>
    <s v="BBVA"/>
    <x v="0"/>
    <s v="SDATOOL-41553 $ Servicios transaccionales 2023"/>
    <n v="1"/>
    <s v="Desarrollador"/>
    <s v="Distribuido"/>
    <m/>
    <e v="#NAME?"/>
    <x v="0"/>
    <e v="#NAME?"/>
    <m/>
    <m/>
    <m/>
    <m/>
    <m/>
    <m/>
  </r>
  <r>
    <s v="O004612"/>
    <s v="JUAN DAVID PRECIADO AGUILAR "/>
    <x v="0"/>
    <s v="Transaccionalidad"/>
    <s v="BBVA"/>
    <x v="0"/>
    <s v="SDATOOL-41553 $ Servicios transaccionales 2023"/>
    <n v="1"/>
    <s v="Desarrollador"/>
    <s v="Distribuido"/>
    <m/>
    <e v="#NAME?"/>
    <x v="0"/>
    <e v="#NAME?"/>
    <m/>
    <m/>
    <m/>
    <m/>
    <m/>
    <m/>
  </r>
  <r>
    <s v="T005391"/>
    <s v="YINET CATALINA TORRES (QA)"/>
    <x v="0"/>
    <s v="Transaccionalidad"/>
    <s v="Inetum"/>
    <x v="0"/>
    <s v="NOSDA $ BAU (Mantenimiento y peq. evolutivos)"/>
    <n v="1"/>
    <s v="QA"/>
    <s v="Otras Tec."/>
    <m/>
    <e v="#NAME?"/>
    <x v="0"/>
    <e v="#NAME?"/>
    <m/>
    <m/>
    <m/>
    <m/>
    <m/>
    <m/>
  </r>
  <r>
    <s v="C808646"/>
    <s v="DAVID CAMILO CORREDOR RODRIGUEZ"/>
    <x v="0"/>
    <s v="Soluciones financieras (Factoring)"/>
    <s v="BBVA"/>
    <x v="0"/>
    <s v="SDATOOL-36547 $ PLAN MAYOR -PLAN MENOR. Plan ascenso Open Market"/>
    <n v="1"/>
    <s v="Desarrollador"/>
    <s v="Mainframe"/>
    <m/>
    <e v="#NAME?"/>
    <x v="0"/>
    <e v="#NAME?"/>
    <m/>
    <m/>
    <m/>
    <m/>
    <m/>
    <m/>
  </r>
  <r>
    <s v="O001334"/>
    <s v="ELKIN FERNANDO RIVERA GOMEZ"/>
    <x v="0"/>
    <s v="Soluciones financieras (Factoring)"/>
    <s v="BBVA"/>
    <x v="0"/>
    <s v="SDATOOL-36547 $ PLAN MAYOR -PLAN MENOR. Plan ascenso Open Market"/>
    <n v="0.5"/>
    <s v="Otros"/>
    <s v="Distribuido"/>
    <m/>
    <e v="#NAME?"/>
    <x v="0"/>
    <e v="#NAME?"/>
    <m/>
    <m/>
    <m/>
    <m/>
    <m/>
    <m/>
  </r>
  <r>
    <s v="O001334"/>
    <s v="ELKIN FERNANDO RIVERA GOMEZ"/>
    <x v="0"/>
    <s v="Soluciones financieras (Factoring)"/>
    <s v="BBVA"/>
    <x v="0"/>
    <s v="SDATOOL-42106 $ Emisión Certificados Tributarios a proveedores en Operaciones Sin Recurso (Proyecto Normativo)"/>
    <n v="0.25"/>
    <s v="Otros"/>
    <s v="Distribuido"/>
    <m/>
    <e v="#NAME?"/>
    <x v="0"/>
    <e v="#NAME?"/>
    <m/>
    <m/>
    <m/>
    <m/>
    <m/>
    <m/>
  </r>
  <r>
    <s v="O001334"/>
    <s v="ELKIN FERNANDO RIVERA GOMEZ"/>
    <x v="0"/>
    <s v="Soluciones financieras (Factoring)"/>
    <s v="BBVA"/>
    <x v="0"/>
    <s v="SDATOOL-40438 $ CIRCULAR 032 del 2021 - REQUERIMIENTO FISCALIA GENERAL DE LA NACION"/>
    <n v="0.25"/>
    <s v="Otros"/>
    <s v="Distribuido"/>
    <m/>
    <e v="#NAME?"/>
    <x v="0"/>
    <e v="#NAME?"/>
    <m/>
    <m/>
    <m/>
    <m/>
    <m/>
    <m/>
  </r>
  <r>
    <s v="C810881"/>
    <s v="JOHN MAICOL NUÑEZ SANTA"/>
    <x v="0"/>
    <s v="Soluciones financieras (Factoring)"/>
    <s v="BBVA"/>
    <x v="0"/>
    <s v="SDATOOL-37086 $ Factura electrónica (radian)"/>
    <n v="0.75"/>
    <s v="Desarrollador"/>
    <s v="Distribuido"/>
    <m/>
    <e v="#NAME?"/>
    <x v="0"/>
    <e v="#NAME?"/>
    <m/>
    <m/>
    <m/>
    <m/>
    <m/>
    <m/>
  </r>
  <r>
    <s v="C810881"/>
    <s v="JOHN MAICOL NUÑEZ SANTA"/>
    <x v="0"/>
    <s v="Soluciones financieras (Factoring)"/>
    <s v="BBVA"/>
    <x v="0"/>
    <s v="SDATOOL-40438 $ CIRCULAR 032 del 2021 - REQUERIMIENTO FISCALIA GENERAL DE LA NACION"/>
    <n v="0.25"/>
    <s v="Desarrollador"/>
    <s v="Distribuido"/>
    <m/>
    <e v="#NAME?"/>
    <x v="0"/>
    <e v="#NAME?"/>
    <m/>
    <m/>
    <m/>
    <m/>
    <m/>
    <m/>
  </r>
  <r>
    <s v="C805972"/>
    <s v="JORGE ARMANDO MILLAN GOMEZ"/>
    <x v="0"/>
    <s v="Soluciones financieras (Factoring)"/>
    <s v="BBVA"/>
    <x v="0"/>
    <s v="SDATOOL-36547 $ PLAN MAYOR -PLAN MENOR. Plan ascenso Open Market"/>
    <n v="1"/>
    <s v="Desarrollador"/>
    <s v="Distribuido"/>
    <m/>
    <e v="#NAME?"/>
    <x v="0"/>
    <e v="#NAME?"/>
    <m/>
    <m/>
    <m/>
    <m/>
    <m/>
    <m/>
  </r>
  <r>
    <s v="C805323"/>
    <s v="JOSE MIGUEL PARDO"/>
    <x v="0"/>
    <s v="Soluciones financieras (Factoring)"/>
    <s v="BBVA"/>
    <x v="0"/>
    <s v="SDATOOL-37125 $ Factoring - IBR"/>
    <n v="1"/>
    <s v="Desarrollador"/>
    <s v="Distribuido"/>
    <m/>
    <e v="#NAME?"/>
    <x v="0"/>
    <e v="#NAME?"/>
    <m/>
    <m/>
    <m/>
    <m/>
    <m/>
    <m/>
  </r>
  <r>
    <s v="C804103"/>
    <s v="MAIRON STIVENS JIMENEZ QUIROGA"/>
    <x v="0"/>
    <s v="Soluciones financieras (Factoring)"/>
    <s v="BBVA"/>
    <x v="0"/>
    <s v="SDATOOL-37125 $ Factoring - IBR"/>
    <n v="0.5"/>
    <s v="Desarrollador"/>
    <s v="Distribuido"/>
    <m/>
    <e v="#NAME?"/>
    <x v="0"/>
    <e v="#NAME?"/>
    <m/>
    <m/>
    <m/>
    <m/>
    <m/>
    <m/>
  </r>
  <r>
    <s v="C804103"/>
    <s v="MAIRON STIVENS JIMENEZ QUIROGA"/>
    <x v="0"/>
    <s v="Soluciones financieras (Factoring)"/>
    <s v="BBVA"/>
    <x v="0"/>
    <s v="SDATOOL-42106 $ Emisión Certificados Tributarios a proveedores en Operaciones Sin Recurso (Proyecto Normativo)"/>
    <n v="0.5"/>
    <s v="Desarrollador"/>
    <s v="Distribuido"/>
    <m/>
    <e v="#NAME?"/>
    <x v="0"/>
    <e v="#NAME?"/>
    <m/>
    <m/>
    <m/>
    <m/>
    <m/>
    <m/>
  </r>
  <r>
    <s v="C805973"/>
    <s v="JESUS DAVID TELLO ARISTIZABAL"/>
    <x v="0"/>
    <s v="Soluciones financieras (Factoring)"/>
    <s v="BBVA"/>
    <x v="0"/>
    <s v="SDATOOL-37086 $ Factura electrónica (radian)"/>
    <n v="1"/>
    <s v="Desarrollador"/>
    <s v="Mainframe"/>
    <m/>
    <e v="#NAME?"/>
    <x v="0"/>
    <e v="#NAME?"/>
    <m/>
    <m/>
    <m/>
    <m/>
    <m/>
    <m/>
  </r>
  <r>
    <s v="C805925"/>
    <s v="GUSTAVO ANDRES CAMARGO"/>
    <x v="0"/>
    <s v="Soluciones financieras (Factoring)"/>
    <s v="BBVA"/>
    <x v="0"/>
    <s v="SDATOOL-36547 $ PLAN MAYOR -PLAN MENOR. Plan ascenso Open Market"/>
    <n v="0.25"/>
    <s v="Desarrollador"/>
    <s v="Mainframe"/>
    <m/>
    <e v="#NAME?"/>
    <x v="0"/>
    <e v="#NAME?"/>
    <m/>
    <m/>
    <m/>
    <m/>
    <m/>
    <m/>
  </r>
  <r>
    <s v="O004604"/>
    <s v="DARREN NICOLAS DURAN JAMAICA"/>
    <x v="0"/>
    <s v="Soluciones financieras (Factoring)"/>
    <s v="BBVA"/>
    <x v="0"/>
    <s v="NOSDA $ BAU (Mantenimiento y peq. evolutivos)"/>
    <n v="1"/>
    <s v="Desarrollador"/>
    <s v="Mainframe"/>
    <m/>
    <e v="#NAME?"/>
    <x v="0"/>
    <e v="#NAME?"/>
    <m/>
    <m/>
    <m/>
    <m/>
    <m/>
    <m/>
  </r>
  <r>
    <s v="O000159"/>
    <s v="CAROL VIVIANA CARVAJALNAGLES"/>
    <x v="0"/>
    <s v="Soluciones financieras (Factoring)"/>
    <s v="BBVA"/>
    <x v="0"/>
    <s v="SDATOOL-36547 $ PLAN MAYOR -PLAN MENOR. Plan ascenso Open Market"/>
    <n v="0.5"/>
    <s v="Tech Manager/Líder"/>
    <s v="Distribuido"/>
    <m/>
    <e v="#NAME?"/>
    <x v="0"/>
    <e v="#NAME?"/>
    <m/>
    <m/>
    <m/>
    <m/>
    <m/>
    <m/>
  </r>
  <r>
    <s v="O000159"/>
    <s v="CAROL VIVIANA CARVAJALNAGLES"/>
    <x v="0"/>
    <s v="Soluciones financieras (Factoring)"/>
    <s v="BBVA"/>
    <x v="0"/>
    <s v="SDATOOL-37125 $ Factoring - IBR"/>
    <n v="0.25"/>
    <s v="Tech Manager/Líder"/>
    <s v="Distribuido"/>
    <m/>
    <e v="#NAME?"/>
    <x v="0"/>
    <e v="#NAME?"/>
    <m/>
    <m/>
    <m/>
    <m/>
    <m/>
    <m/>
  </r>
  <r>
    <s v="O000159"/>
    <s v="CAROL VIVIANA CARVAJALNAGLES"/>
    <x v="0"/>
    <s v="Soluciones financieras (Factoring)"/>
    <s v="BBVA"/>
    <x v="0"/>
    <s v="SDATOOL-42106 $ Emisión Certificados Tributarios a proveedores en Operaciones Sin Recurso (Proyecto Normativo)"/>
    <n v="0.15"/>
    <s v="Tech Manager/Líder"/>
    <s v="Distribuido"/>
    <m/>
    <e v="#NAME?"/>
    <x v="0"/>
    <e v="#NAME?"/>
    <m/>
    <m/>
    <m/>
    <m/>
    <m/>
    <m/>
  </r>
  <r>
    <s v="O000159"/>
    <s v="CAROL VIVIANA CARVAJALNAGLES"/>
    <x v="0"/>
    <s v="Soluciones financieras (Factoring)"/>
    <s v="BBVA"/>
    <x v="0"/>
    <s v="SDATOOL-40438 $ CIRCULAR 032 del 2021 - REQUERIMIENTO FISCALIA GENERAL DE LA NACION"/>
    <n v="0.1"/>
    <s v="Tech Manager/Líder"/>
    <s v="Distribuido"/>
    <m/>
    <e v="#NAME?"/>
    <x v="0"/>
    <e v="#NAME?"/>
    <m/>
    <m/>
    <m/>
    <m/>
    <m/>
    <m/>
  </r>
  <r>
    <s v="T005152"/>
    <s v="ANGELICA MARINA CASTILLA RENDON"/>
    <x v="0"/>
    <s v="Soluciones financieras (Factoring)"/>
    <s v="Inetum"/>
    <x v="0"/>
    <s v="SDATOOL-36547 $ PLAN MAYOR -PLAN MENOR. Plan ascenso Open Market"/>
    <n v="0.9"/>
    <s v="QA"/>
    <s v="Mainframe"/>
    <m/>
    <e v="#NAME?"/>
    <x v="0"/>
    <e v="#NAME?"/>
    <m/>
    <m/>
    <m/>
    <m/>
    <m/>
    <m/>
  </r>
  <r>
    <s v="T005152"/>
    <s v="ANGELICA MARINA CASTILLA RENDON"/>
    <x v="0"/>
    <s v="Soluciones financieras (Factoring)"/>
    <s v="Inetum"/>
    <x v="0"/>
    <s v="SDATOOL-42106 $ Emisión Certificados Tributarios a proveedores en Operaciones Sin Recurso (Proyecto Normativo)"/>
    <n v="0.1"/>
    <s v="QA"/>
    <s v="Distribuido"/>
    <m/>
    <e v="#NAME?"/>
    <x v="0"/>
    <e v="#NAME?"/>
    <m/>
    <m/>
    <m/>
    <m/>
    <m/>
    <m/>
  </r>
  <r>
    <s v="CE68432"/>
    <s v="ANGELY JOHANA GONZALEZ VILLAMIL"/>
    <x v="0"/>
    <s v="Soluciones financieras (Factoring)"/>
    <s v="Choucair"/>
    <x v="0"/>
    <s v="SDATOOL-37125 $ Factoring - IBR"/>
    <n v="1"/>
    <s v="QA"/>
    <s v="Distribuido"/>
    <m/>
    <e v="#NAME?"/>
    <x v="0"/>
    <e v="#NAME?"/>
    <m/>
    <m/>
    <m/>
    <m/>
    <m/>
    <m/>
  </r>
  <r>
    <s v="CE60767"/>
    <s v="JEIMMY ALEJANDRA SANCHEZ LOPEZ"/>
    <x v="0"/>
    <s v="Soluciones financieras (Factoring)"/>
    <s v="Choucair"/>
    <x v="0"/>
    <s v="SDATOOL-37125 $ Factoring - IBR"/>
    <n v="1"/>
    <s v="QA"/>
    <s v="Distribuido"/>
    <m/>
    <e v="#NAME?"/>
    <x v="0"/>
    <e v="#NAME?"/>
    <m/>
    <m/>
    <m/>
    <m/>
    <m/>
    <m/>
  </r>
  <r>
    <s v="T002011"/>
    <s v="YEIMY TATIANA ZAMORA GUEVARA"/>
    <x v="0"/>
    <s v="Soluciones financieras (Factoring)"/>
    <s v="Choucair"/>
    <x v="0"/>
    <s v="SDATOOL-37125 $ Factoring - IBR"/>
    <n v="1"/>
    <s v="QA"/>
    <s v="Distribuido"/>
    <m/>
    <e v="#NAME?"/>
    <x v="0"/>
    <e v="#NAME?"/>
    <m/>
    <m/>
    <m/>
    <m/>
    <m/>
    <m/>
  </r>
  <r>
    <s v="CE65276"/>
    <s v="JOHANA IDALY GARZON RUIZ"/>
    <x v="0"/>
    <s v="Soluciones financieras (Factoring)"/>
    <s v="Choucair"/>
    <x v="0"/>
    <s v="SDATOOL-37125 $ Factoring - IBR"/>
    <n v="1"/>
    <s v="QA"/>
    <s v="Distribuido"/>
    <m/>
    <e v="#NAME?"/>
    <x v="0"/>
    <e v="#NAME?"/>
    <m/>
    <m/>
    <m/>
    <m/>
    <m/>
    <m/>
  </r>
  <r>
    <s v="CE51577"/>
    <s v="LINA JULIETH REDONDO SOLER"/>
    <x v="0"/>
    <s v="Soluciones financieras (Factoring)"/>
    <s v="Choucair"/>
    <x v="0"/>
    <s v="SDATOOL-36547 $ PLAN MAYOR -PLAN MENOR. Plan ascenso Open Market"/>
    <n v="1"/>
    <s v="QA"/>
    <s v="Mainframe"/>
    <m/>
    <e v="#NAME?"/>
    <x v="0"/>
    <e v="#NAME?"/>
    <m/>
    <m/>
    <m/>
    <m/>
    <m/>
    <m/>
  </r>
  <r>
    <s v="CE68565"/>
    <s v="JELBER STIBEN LOZANO PRADA"/>
    <x v="0"/>
    <s v="Soluciones financieras (Factoring)"/>
    <s v="Choucair"/>
    <x v="0"/>
    <s v="SDATOOL-36547 $ PLAN MAYOR -PLAN MENOR. Plan ascenso Open Market"/>
    <n v="1"/>
    <s v="QA"/>
    <s v="Distribuido"/>
    <m/>
    <e v="#NAME?"/>
    <x v="0"/>
    <e v="#NAME?"/>
    <m/>
    <m/>
    <m/>
    <m/>
    <m/>
    <m/>
  </r>
  <r>
    <s v="CE66305"/>
    <s v="LADY JOHANNA ARDILA ABELLO"/>
    <x v="0"/>
    <s v="Soluciones financieras (Factoring)"/>
    <s v="Choucair"/>
    <x v="0"/>
    <s v="SDATOOL-36547 $ PLAN MAYOR -PLAN MENOR. Plan ascenso Open Market"/>
    <n v="1"/>
    <s v="QA"/>
    <s v="Mainframe"/>
    <m/>
    <e v="#NAME?"/>
    <x v="0"/>
    <e v="#NAME?"/>
    <m/>
    <m/>
    <m/>
    <m/>
    <m/>
    <m/>
  </r>
  <r>
    <s v="CE67889"/>
    <s v="YEIMY PATRICIA PELAEZ ARENAS"/>
    <x v="0"/>
    <s v="Soluciones financieras (Factoring)"/>
    <s v="Choucair"/>
    <x v="0"/>
    <s v="SDATOOL-36547 $ PLAN MAYOR -PLAN MENOR. Plan ascenso Open Market"/>
    <n v="1"/>
    <s v="QA"/>
    <s v="Distribuido"/>
    <m/>
    <e v="#NAME?"/>
    <x v="0"/>
    <e v="#NAME?"/>
    <m/>
    <m/>
    <m/>
    <m/>
    <m/>
    <m/>
  </r>
  <r>
    <s v="T010295"/>
    <s v="KAREN JULIETH VASQUEZ ROMERO"/>
    <x v="0"/>
    <s v="Soluciones financieras (Factoring)"/>
    <s v="Choucair"/>
    <x v="0"/>
    <s v="SDATOOL-36547 $ PLAN MAYOR -PLAN MENOR. Plan ascenso Open Market"/>
    <n v="1"/>
    <s v="QA"/>
    <s v="Mainframe"/>
    <m/>
    <e v="#NAME?"/>
    <x v="0"/>
    <e v="#NAME?"/>
    <m/>
    <m/>
    <m/>
    <m/>
    <m/>
    <m/>
  </r>
  <r>
    <s v="CE51510"/>
    <s v="JULY VANESSA TORRES ZARATE"/>
    <x v="0"/>
    <s v="Soluciones financieras (Factoring)"/>
    <s v="Choucair"/>
    <x v="0"/>
    <s v="SDATOOL-36547 $ PLAN MAYOR -PLAN MENOR. Plan ascenso Open Market"/>
    <n v="1"/>
    <s v="QA"/>
    <s v="Distribuido"/>
    <m/>
    <e v="#NAME?"/>
    <x v="0"/>
    <e v="#NAME?"/>
    <m/>
    <m/>
    <m/>
    <m/>
    <m/>
    <m/>
  </r>
  <r>
    <s v="CE68432"/>
    <s v="PAUL JONATHAN VALENCIA MUÑOZ"/>
    <x v="0"/>
    <s v="Soluciones financieras (Factoring)"/>
    <s v="Choucair"/>
    <x v="0"/>
    <s v="SDATOOL-36547 $ PLAN MAYOR -PLAN MENOR. Plan ascenso Open Market"/>
    <n v="1"/>
    <s v="QA"/>
    <s v="Distribuido"/>
    <m/>
    <e v="#NAME?"/>
    <x v="0"/>
    <e v="#NAME?"/>
    <m/>
    <m/>
    <m/>
    <m/>
    <m/>
    <m/>
  </r>
  <r>
    <s v=" T011816"/>
    <s v="JENNY PAOLA LOSADA VELASCO"/>
    <x v="0"/>
    <s v="Soluciones financieras (Factoring)"/>
    <s v="Choucair"/>
    <x v="0"/>
    <s v="SDATOOL-36547 $ PLAN MAYOR -PLAN MENOR. Plan ascenso Open Market"/>
    <n v="1"/>
    <s v="QA"/>
    <s v="Distribuido"/>
    <m/>
    <e v="#NAME?"/>
    <x v="0"/>
    <e v="#NAME?"/>
    <m/>
    <m/>
    <m/>
    <m/>
    <m/>
    <m/>
  </r>
  <r>
    <s v="T012212"/>
    <s v="MONICA ALEJANDRA QUINTERO PEREZ"/>
    <x v="0"/>
    <s v="Soluciones financieras (Factoring)"/>
    <s v="Choucair"/>
    <x v="0"/>
    <s v="SDATOOL-36547 $ PLAN MAYOR -PLAN MENOR. Plan ascenso Open Market"/>
    <n v="1"/>
    <s v="QA"/>
    <s v="Distribuido"/>
    <m/>
    <e v="#NAME?"/>
    <x v="0"/>
    <e v="#NAME?"/>
    <m/>
    <m/>
    <m/>
    <m/>
    <m/>
    <m/>
  </r>
  <r>
    <s v="CE30318"/>
    <s v="ROBERTO ANTONIO MARTINEZ"/>
    <x v="0"/>
    <s v="Soluciones financieras (Factoring)"/>
    <s v="KRYPTO"/>
    <x v="0"/>
    <s v="SDATOOL-36547 $ PLAN MAYOR -PLAN MENOR. Plan ascenso Open Market"/>
    <n v="0.1"/>
    <s v="QA"/>
    <s v="Mainframe"/>
    <m/>
    <e v="#NAME?"/>
    <x v="0"/>
    <e v="#NAME?"/>
    <m/>
    <m/>
    <m/>
    <m/>
    <m/>
    <m/>
  </r>
  <r>
    <s v="CE30318"/>
    <s v="ROBERTO ANTONIO MARTINEZ"/>
    <x v="0"/>
    <s v="Soluciones financieras (Factoring)"/>
    <s v="KRYPTO"/>
    <x v="0"/>
    <s v="SDATOOL-37125 $ Factoring - IBR"/>
    <n v="0.1"/>
    <s v="QA"/>
    <s v="Distribuido"/>
    <m/>
    <e v="#NAME?"/>
    <x v="0"/>
    <e v="#NAME?"/>
    <m/>
    <m/>
    <m/>
    <m/>
    <m/>
    <m/>
  </r>
  <r>
    <s v="CE30318"/>
    <s v="ROBERTO ANTONIO MARTINEZ"/>
    <x v="0"/>
    <s v="Soluciones financieras (Factoring)"/>
    <s v="KRYPTO"/>
    <x v="0"/>
    <s v="SDATOOL-42106 $ Emisión Certificados Tributarios a proveedores en Operaciones Sin Recurso (Proyecto Normativo)"/>
    <n v="0.05"/>
    <s v="QA"/>
    <s v="Distribuido"/>
    <m/>
    <e v="#NAME?"/>
    <x v="0"/>
    <e v="#NAME?"/>
    <m/>
    <m/>
    <m/>
    <m/>
    <m/>
    <m/>
  </r>
  <r>
    <s v="CE41979"/>
    <s v="DILSON PARDO SANTANA"/>
    <x v="0"/>
    <s v="Soluciones financieras (Leasing)"/>
    <s v="Inetum"/>
    <x v="0"/>
    <s v="SDATOOL-40438 $ CIRCULAR 032 del 2021 - REQUERIMIENTO FISCALIA GENERAL DE LA NACION"/>
    <n v="7.0000000000000007E-2"/>
    <s v="QA"/>
    <s v="Distribuido"/>
    <m/>
    <e v="#NAME?"/>
    <x v="0"/>
    <e v="#NAME?"/>
    <m/>
    <m/>
    <m/>
    <m/>
    <m/>
    <m/>
  </r>
  <r>
    <s v="CE41979"/>
    <s v="DILSON PARDO SANTANA"/>
    <x v="0"/>
    <s v="Soluciones financieras (Leasing)"/>
    <s v="Inetum"/>
    <x v="0"/>
    <s v="NOSDA $ BAU (Mantenimiento y peq. evolutivos)"/>
    <n v="0.1"/>
    <s v="QA"/>
    <s v="Distribuido"/>
    <m/>
    <e v="#NAME?"/>
    <x v="0"/>
    <e v="#NAME?"/>
    <m/>
    <m/>
    <m/>
    <m/>
    <m/>
    <m/>
  </r>
  <r>
    <s v="CE41979"/>
    <s v="DILSON PARDO SANTANA"/>
    <x v="0"/>
    <s v="Soluciones financieras (Leasing)"/>
    <s v="Inetum"/>
    <x v="0"/>
    <s v="SDATOOL-41941 $ INTEGRACIÓN DE AS400 Y HOST Y ESTABILIZACIÓN Y RESTABLECIMIENTO DE lOS ENTORNOS DE LEASING AS400 DE DESARROLLO Y CALIDAD&quot;"/>
    <n v="0.08"/>
    <s v="QA"/>
    <s v="Distribuido"/>
    <m/>
    <e v="#NAME?"/>
    <x v="0"/>
    <e v="#NAME?"/>
    <m/>
    <m/>
    <m/>
    <m/>
    <m/>
    <m/>
  </r>
  <r>
    <s v="CE30318"/>
    <s v="ROBERTO ANTONIO MARTINEZ"/>
    <x v="0"/>
    <s v="Soluciones financieras (Factoring)"/>
    <s v="KRYPTO"/>
    <x v="0"/>
    <s v="NOSDA $ BAU (Mantenimiento y peq. evolutivos)"/>
    <n v="0.25"/>
    <s v="QA"/>
    <s v="Distribuido"/>
    <m/>
    <e v="#NAME?"/>
    <x v="0"/>
    <e v="#NAME?"/>
    <m/>
    <m/>
    <m/>
    <m/>
    <m/>
    <m/>
  </r>
  <r>
    <s v="CE41979"/>
    <s v="DILSON PARDO SANTANA"/>
    <x v="0"/>
    <s v="Soluciones financieras (Leasing)"/>
    <s v="Inetum"/>
    <x v="0"/>
    <s v="NOSDA $ BAU (Mantenimiento y peq. evolutivos)"/>
    <n v="0.25"/>
    <s v="QA"/>
    <s v="Distribuido"/>
    <m/>
    <e v="#NAME?"/>
    <x v="0"/>
    <e v="#NAME?"/>
    <m/>
    <m/>
    <m/>
    <m/>
    <m/>
    <m/>
  </r>
  <r>
    <s v="CE69031"/>
    <s v="WILLIAM ROBERTO MORA BERNAL"/>
    <x v="0"/>
    <s v="Soluciones financieras (Leasing)"/>
    <s v="KRYPTO"/>
    <x v="0"/>
    <s v="NOSDA $ BAU (Mantenimiento y peq. evolutivos)"/>
    <n v="0.25"/>
    <s v="Otros"/>
    <s v="Distribuido"/>
    <m/>
    <e v="#NAME?"/>
    <x v="0"/>
    <e v="#NAME?"/>
    <m/>
    <m/>
    <m/>
    <m/>
    <m/>
    <m/>
  </r>
  <r>
    <s v="CE30318"/>
    <s v="ROBERTO ANTONIO MARTINEZ"/>
    <x v="0"/>
    <s v="Soluciones financieras (Leasing)"/>
    <s v="KRYPTO"/>
    <x v="0"/>
    <s v="NOSDA $ BAU (Mantenimiento y peq. evolutivos)"/>
    <n v="7.0000000000000007E-2"/>
    <s v="QA"/>
    <s v="Distribuido"/>
    <m/>
    <e v="#NAME?"/>
    <x v="0"/>
    <e v="#NAME?"/>
    <m/>
    <m/>
    <m/>
    <m/>
    <m/>
    <m/>
  </r>
  <r>
    <s v="CE41979"/>
    <s v="DILSON PARDO SANTANA"/>
    <x v="0"/>
    <s v="Soluciones financieras (Factoring)"/>
    <s v="Inetum"/>
    <x v="0"/>
    <s v="SDATOOL-36547 $ PLAN MAYOR -PLAN MENOR. Plan ascenso Open Market"/>
    <n v="0.1"/>
    <s v="QA"/>
    <s v="Distribuido"/>
    <m/>
    <e v="#NAME?"/>
    <x v="0"/>
    <e v="#NAME?"/>
    <m/>
    <m/>
    <m/>
    <m/>
    <m/>
    <m/>
  </r>
  <r>
    <s v="CE41979"/>
    <s v="DILSON PARDO SANTANA"/>
    <x v="0"/>
    <s v="Soluciones financieras (Factoring)"/>
    <s v="Inetum"/>
    <x v="0"/>
    <s v="SDATOOL-37125 $ Factoring - IBR"/>
    <n v="0.1"/>
    <s v="QA"/>
    <s v="Distribuido"/>
    <m/>
    <e v="#NAME?"/>
    <x v="0"/>
    <e v="#NAME?"/>
    <m/>
    <m/>
    <m/>
    <m/>
    <m/>
    <m/>
  </r>
  <r>
    <s v="CE41979"/>
    <s v="DILSON PARDO SANTANA"/>
    <x v="0"/>
    <s v="Soluciones financieras (Factoring)"/>
    <s v="Inetum"/>
    <x v="0"/>
    <s v="SDATOOL-42106 $ Emisión Certificados Tributarios a proveedores en Operaciones Sin Recurso (Proyecto Normativo)"/>
    <n v="0.05"/>
    <s v="QA"/>
    <s v="Distribuido"/>
    <m/>
    <e v="#NAME?"/>
    <x v="0"/>
    <e v="#NAME?"/>
    <m/>
    <m/>
    <m/>
    <m/>
    <m/>
    <m/>
  </r>
  <r>
    <s v="CE41979"/>
    <s v="DILSON PARDO SANTANA"/>
    <x v="0"/>
    <s v="Soluciones financieras (Factoring)"/>
    <s v="Inetum"/>
    <x v="0"/>
    <s v="NOSDA $ BAU (Mantenimiento y peq. evolutivos)"/>
    <n v="0.25"/>
    <s v="QA"/>
    <s v="Distribuido"/>
    <m/>
    <e v="#NAME?"/>
    <x v="0"/>
    <e v="#NAME?"/>
    <m/>
    <m/>
    <m/>
    <m/>
    <m/>
    <m/>
  </r>
  <r>
    <s v="CE69031"/>
    <s v="WILLIAM ROBERTO MORA BERNAL"/>
    <x v="0"/>
    <s v="Soluciones financieras (Factoring)"/>
    <s v="KRYPTO"/>
    <x v="0"/>
    <s v="NOSDA $ BAU (Mantenimiento y peq. evolutivos)"/>
    <n v="0.25"/>
    <s v="Otros"/>
    <s v="Distribuido"/>
    <m/>
    <e v="#NAME?"/>
    <x v="0"/>
    <e v="#NAME?"/>
    <m/>
    <m/>
    <m/>
    <m/>
    <m/>
    <m/>
  </r>
  <r>
    <s v="CE69031"/>
    <s v="WILLIAM ROBERTO MORA BERNAL"/>
    <x v="0"/>
    <s v="Soluciones financieras (Factoring)"/>
    <s v="KRYPTO"/>
    <x v="0"/>
    <s v="SDATOOL-36547 $ PLAN MAYOR -PLAN MENOR. Plan ascenso Open Market"/>
    <n v="0.1"/>
    <s v="Otros"/>
    <s v="Mainframe"/>
    <m/>
    <e v="#NAME?"/>
    <x v="0"/>
    <e v="#NAME?"/>
    <m/>
    <m/>
    <m/>
    <m/>
    <m/>
    <m/>
  </r>
  <r>
    <s v="CE69031"/>
    <s v="WILLIAM ROBERTO MORA BERNAL"/>
    <x v="0"/>
    <s v="Soluciones financieras (Factoring)"/>
    <s v="KRYPTO"/>
    <x v="0"/>
    <s v="SDATOOL-37125 $ Factoring - IBR"/>
    <n v="0.1"/>
    <s v="Otros"/>
    <s v="Distribuido"/>
    <m/>
    <e v="#NAME?"/>
    <x v="0"/>
    <e v="#NAME?"/>
    <m/>
    <m/>
    <m/>
    <m/>
    <m/>
    <m/>
  </r>
  <r>
    <s v="CE69031"/>
    <s v="WILLIAM ROBERTO MORA BERNAL"/>
    <x v="0"/>
    <s v="Soluciones financieras (Factoring)"/>
    <s v="KRYPTO"/>
    <x v="0"/>
    <s v="SDATOOL-42106 $ Emisión Certificados Tributarios a proveedores en Operaciones Sin Recurso (Proyecto Normativo)"/>
    <n v="0.05"/>
    <s v="Otros"/>
    <s v="Distribuido"/>
    <m/>
    <e v="#NAME?"/>
    <x v="0"/>
    <e v="#NAME?"/>
    <m/>
    <m/>
    <m/>
    <m/>
    <m/>
    <m/>
  </r>
  <r>
    <s v="O000108"/>
    <s v="FELIPE ALONSO SOTO CABALLERO"/>
    <x v="1"/>
    <s v="Backoffice"/>
    <s v="BBVA"/>
    <x v="0"/>
    <s v="SDATOOL-38642 $ CUPON INTERMEDIO"/>
    <n v="0.7"/>
    <s v="Desarrollador"/>
    <s v="Otras Tec."/>
    <s v="Legacy :power Builder"/>
    <e v="#NAME?"/>
    <x v="0"/>
    <e v="#NAME?"/>
    <m/>
    <m/>
    <m/>
    <m/>
    <m/>
    <m/>
  </r>
  <r>
    <s v="O000108"/>
    <s v="FELIPE ALONSO SOTO CABALLERO"/>
    <x v="1"/>
    <s v="Backoffice"/>
    <s v="BBVA"/>
    <x v="0"/>
    <s v="SDATOOL-32520 $ CDD Based Reporting - Colombia"/>
    <n v="0.3"/>
    <s v="Desarrollador"/>
    <s v="Otras Tec."/>
    <s v="Legacy :power Builder"/>
    <e v="#NAME?"/>
    <x v="0"/>
    <e v="#NAME?"/>
    <m/>
    <m/>
    <m/>
    <m/>
    <m/>
    <m/>
  </r>
  <r>
    <s v="CE30318"/>
    <s v="ROBERTO ANTONIO MARTINEZ"/>
    <x v="0"/>
    <s v="Soluciones financieras (Leasing)"/>
    <s v="KRYPTO"/>
    <x v="0"/>
    <s v="SDATOOL-40438 $ CIRCULAR 032 del 2021 - REQUERIMIENTO FISCALIA GENERAL DE LA NACION"/>
    <n v="0.1"/>
    <s v="QA"/>
    <s v="Distribuido"/>
    <m/>
    <e v="#NAME?"/>
    <x v="0"/>
    <e v="#NAME?"/>
    <m/>
    <m/>
    <m/>
    <m/>
    <m/>
    <m/>
  </r>
  <r>
    <s v="CE30318"/>
    <s v="ROBERTO ANTONIO MARTINEZ"/>
    <x v="0"/>
    <s v="Soluciones financieras (Leasing)"/>
    <s v="KRYPTO"/>
    <x v="0"/>
    <s v="SDATOOL-41941 $ INTEGRACIÓN DE AS400 Y HOST Y ESTABILIZACIÓN Y RESTABLECIMIENTO DE lOS ENTORNOS DE LEASING AS400 DE DESARROLLO Y CALIDAD&quot;"/>
    <n v="0.08"/>
    <s v="QA"/>
    <s v="Distribuido"/>
    <m/>
    <e v="#NAME?"/>
    <x v="0"/>
    <e v="#NAME?"/>
    <m/>
    <m/>
    <m/>
    <m/>
    <m/>
    <m/>
  </r>
  <r>
    <s v="CE30318"/>
    <s v="ROBERTO ANTONIO MARTINEZ"/>
    <x v="0"/>
    <s v="Soluciones financieras (Leasing)"/>
    <s v="KRYPTO"/>
    <x v="0"/>
    <s v="NOSDA $ BAU (Mantenimiento y peq. evolutivos)"/>
    <n v="0.25"/>
    <s v="QA"/>
    <s v="Distribuido"/>
    <m/>
    <e v="#NAME?"/>
    <x v="0"/>
    <e v="#NAME?"/>
    <m/>
    <m/>
    <m/>
    <m/>
    <m/>
    <m/>
  </r>
  <r>
    <s v="C801586"/>
    <s v="SANDRA LILIANA SANCHEZ PULIDO"/>
    <x v="0"/>
    <s v="Soluciones financieras (Leasing)"/>
    <s v="BBVA"/>
    <x v="0"/>
    <s v="NOSDA $ BAU (Mantenimiento y peq. evolutivos)"/>
    <n v="1"/>
    <s v="Tech Manager/Líder"/>
    <s v="Mainframe"/>
    <m/>
    <e v="#NAME?"/>
    <x v="0"/>
    <e v="#NAME?"/>
    <m/>
    <m/>
    <m/>
    <m/>
    <m/>
    <m/>
  </r>
  <r>
    <s v="CE59142"/>
    <s v="MARTHA LUCIA PORRAS"/>
    <x v="0"/>
    <s v="Soluciones financieras (Leasing)"/>
    <s v="Inetum"/>
    <x v="0"/>
    <s v="NOSDA $ BAU (Mantenimiento y peq. evolutivos)"/>
    <n v="1"/>
    <s v="Otros"/>
    <s v="Mainframe"/>
    <m/>
    <e v="#NAME?"/>
    <x v="0"/>
    <e v="#NAME?"/>
    <m/>
    <m/>
    <m/>
    <m/>
    <m/>
    <m/>
  </r>
  <r>
    <s v="CE66182"/>
    <s v="JUAN MARTIN UMAÑA"/>
    <x v="0"/>
    <s v="Soluciones financieras (Leasing)"/>
    <s v="Inetum"/>
    <x v="0"/>
    <s v="NOSDA $ BAU (Mantenimiento y peq. evolutivos)"/>
    <n v="1"/>
    <s v="Desarrollador"/>
    <s v="Mainframe"/>
    <m/>
    <e v="#NAME?"/>
    <x v="0"/>
    <e v="#NAME?"/>
    <m/>
    <m/>
    <m/>
    <m/>
    <m/>
    <m/>
  </r>
  <r>
    <s v="CE52790"/>
    <s v="GERMAN ZARRIA MENDEZ"/>
    <x v="0"/>
    <s v="Soluciones financieras (Leasing)"/>
    <s v="Inetum"/>
    <x v="0"/>
    <s v="NOSDA $ BAU (Mantenimiento y peq. evolutivos)"/>
    <n v="1"/>
    <s v="Desarrollador"/>
    <s v="Mainframe"/>
    <m/>
    <e v="#NAME?"/>
    <x v="0"/>
    <e v="#NAME?"/>
    <m/>
    <m/>
    <m/>
    <m/>
    <m/>
    <m/>
  </r>
  <r>
    <s v="CE50160"/>
    <s v="CONSUELO MOLINA GUERRERO"/>
    <x v="0"/>
    <s v="Soluciones financieras (Leasing)"/>
    <s v="Inetum"/>
    <x v="0"/>
    <s v="NOSDA $ BAU (Mantenimiento y peq. evolutivos)"/>
    <n v="1"/>
    <s v="Desarrollador"/>
    <s v="Mainframe"/>
    <m/>
    <e v="#NAME?"/>
    <x v="0"/>
    <e v="#NAME?"/>
    <m/>
    <m/>
    <m/>
    <m/>
    <m/>
    <m/>
  </r>
  <r>
    <s v="CE57567"/>
    <s v="GIOVANNI ESGUERRA VELANDIA"/>
    <x v="0"/>
    <s v="Soluciones financieras (Leasing)"/>
    <s v="Inetum"/>
    <x v="0"/>
    <s v="NOSDA $ BAU (Mantenimiento y peq. evolutivos)"/>
    <n v="1"/>
    <s v="Desarrollador"/>
    <s v="Mainframe"/>
    <m/>
    <e v="#NAME?"/>
    <x v="0"/>
    <e v="#NAME?"/>
    <m/>
    <m/>
    <m/>
    <m/>
    <m/>
    <m/>
  </r>
  <r>
    <s v="CE63508"/>
    <s v="DANNA VALERIA MESA ALFONSO"/>
    <x v="0"/>
    <s v="Soluciones financieras (Leasing)"/>
    <s v="Inetum"/>
    <x v="0"/>
    <s v="NOSDA $ BAU (Mantenimiento y peq. evolutivos)"/>
    <n v="1"/>
    <s v="QA"/>
    <s v="Mainframe"/>
    <m/>
    <e v="#NAME?"/>
    <x v="0"/>
    <e v="#NAME?"/>
    <m/>
    <m/>
    <m/>
    <m/>
    <m/>
    <m/>
  </r>
  <r>
    <s v="C802316"/>
    <s v="CAMILO ALBERTO GARCES BELTRAN"/>
    <x v="1"/>
    <s v="Backoffice"/>
    <s v="BBVA"/>
    <x v="0"/>
    <s v="SDATOOL-33907 $ Manejo Fiscal Prima o Descuento Renta Fija"/>
    <n v="0.7"/>
    <s v="Desarrollador"/>
    <s v="Otras Tec."/>
    <s v="Legacy :power Builder"/>
    <e v="#NAME?"/>
    <x v="0"/>
    <e v="#NAME?"/>
    <m/>
    <m/>
    <m/>
    <m/>
    <m/>
    <m/>
  </r>
  <r>
    <s v="C802316"/>
    <s v="CAMILO ALBERTO GARCES BELTRAN"/>
    <x v="1"/>
    <s v="Backoffice"/>
    <s v="BBVA"/>
    <x v="0"/>
    <s v="SDATOOL-35663 $ Capacidades FX GM"/>
    <n v="0.3"/>
    <s v="Desarrollador"/>
    <s v="Otras Tec."/>
    <s v="Legacy :power Builder"/>
    <e v="#NAME?"/>
    <x v="0"/>
    <e v="#NAME?"/>
    <m/>
    <m/>
    <m/>
    <m/>
    <m/>
    <m/>
  </r>
  <r>
    <s v="C782982"/>
    <s v="ANA CONSUELO TRASLAVIÑA"/>
    <x v="1"/>
    <s v="Backoffice"/>
    <s v="BBVA"/>
    <x v="0"/>
    <s v="SDATOOL-33907 $ Manejo Fiscal Prima o Descuento Renta Fija"/>
    <n v="0.3"/>
    <s v="Tech Manager/Líder"/>
    <s v="Otras Tec."/>
    <s v="Legacy :power Builder"/>
    <e v="#NAME?"/>
    <x v="0"/>
    <e v="#NAME?"/>
    <m/>
    <m/>
    <m/>
    <m/>
    <m/>
    <m/>
  </r>
  <r>
    <s v="C782982"/>
    <s v="ANA CONSUELO TRASLAVIÑA"/>
    <x v="1"/>
    <s v="Backoffice"/>
    <s v="BBVA"/>
    <x v="0"/>
    <s v="SDATOOL-35663 $ Capacidades FX GM"/>
    <n v="0.3"/>
    <s v="Tech Manager/Líder"/>
    <s v="Otras Tec."/>
    <s v="Legacy :power Builder"/>
    <e v="#NAME?"/>
    <x v="0"/>
    <e v="#NAME?"/>
    <m/>
    <m/>
    <m/>
    <m/>
    <m/>
    <m/>
  </r>
  <r>
    <s v="C782982"/>
    <s v="ANA CONSUELO TRASLAVIÑA"/>
    <x v="1"/>
    <s v="Backoffice"/>
    <s v="BBVA"/>
    <x v="0"/>
    <s v="SDATOOL-38642 $ CUPON INTERMEDIO"/>
    <n v="0.3"/>
    <s v="Tech Manager/Líder"/>
    <s v="Otras Tec."/>
    <s v="Legacy :power Builder"/>
    <e v="#NAME?"/>
    <x v="0"/>
    <e v="#NAME?"/>
    <m/>
    <m/>
    <m/>
    <m/>
    <m/>
    <m/>
  </r>
  <r>
    <s v="C782982"/>
    <s v="ANA CONSUELO TRASLAVIÑA"/>
    <x v="1"/>
    <s v="Backoffice"/>
    <s v="BBVA"/>
    <x v="0"/>
    <s v="SDATOOL-32520 $ CDD Based Reporting - Colombia"/>
    <n v="0.1"/>
    <s v="Tech Manager/Líder"/>
    <s v="Otras Tec."/>
    <s v="Legacy :power Builder"/>
    <e v="#NAME?"/>
    <x v="0"/>
    <e v="#NAME?"/>
    <m/>
    <m/>
    <m/>
    <m/>
    <m/>
    <m/>
  </r>
  <r>
    <s v="CE43166"/>
    <s v="DEYSON EMIR MURILLO MORENO"/>
    <x v="1"/>
    <s v="Backoffice"/>
    <s v="Tecnoevolución"/>
    <x v="0"/>
    <s v="SDATOOL-32520 $ CDD Based Reporting - Colombia"/>
    <n v="0.25"/>
    <s v="Tech Manager/Líder"/>
    <s v="Otras Tec."/>
    <s v="Legacy :power Builder"/>
    <e v="#NAME?"/>
    <x v="0"/>
    <e v="#NAME?"/>
    <m/>
    <m/>
    <m/>
    <m/>
    <m/>
    <m/>
  </r>
  <r>
    <s v="CE43166"/>
    <s v="DEYSON EMIR MURILLO MORENO"/>
    <x v="1"/>
    <s v="Backoffice"/>
    <s v="Tecnoevolución"/>
    <x v="0"/>
    <s v="SDATOOL-38642 $ CUPON INTERMEDIO"/>
    <n v="0.25"/>
    <s v="Tech Manager/Líder"/>
    <s v="Otras Tec."/>
    <s v="Legacy :power Builder"/>
    <e v="#NAME?"/>
    <x v="0"/>
    <e v="#NAME?"/>
    <m/>
    <m/>
    <m/>
    <m/>
    <m/>
    <m/>
  </r>
  <r>
    <s v="CE69376"/>
    <s v="_x0009_LIZETH DUEÑAS"/>
    <x v="1"/>
    <s v="Backoffice"/>
    <s v="Tecnoevolución"/>
    <x v="0"/>
    <s v="SDATOOL-32520 $ CDD Based Reporting - Colombia"/>
    <n v="0.25"/>
    <s v="Otros"/>
    <s v="Otras Tec."/>
    <s v="Legacy :power Builder"/>
    <e v="#NAME?"/>
    <x v="0"/>
    <e v="#NAME?"/>
    <m/>
    <m/>
    <m/>
    <m/>
    <m/>
    <m/>
  </r>
  <r>
    <s v="CE69376"/>
    <s v="_x0009_LIZETH DUEÑAS"/>
    <x v="1"/>
    <s v="Backoffice"/>
    <s v="Tecnoevolución"/>
    <x v="0"/>
    <s v="SDATOOL-38642 $ CUPON INTERMEDIO"/>
    <n v="0.25"/>
    <s v="Otros"/>
    <s v="Otras Tec."/>
    <s v="Legacy :power Builder"/>
    <e v="#NAME?"/>
    <x v="0"/>
    <e v="#NAME?"/>
    <m/>
    <m/>
    <m/>
    <m/>
    <m/>
    <m/>
  </r>
  <r>
    <s v="CE69380"/>
    <s v="_x0009_DIOCLECIANO LOPÉZ"/>
    <x v="1"/>
    <s v="Backoffice"/>
    <s v="Tecnoevolución"/>
    <x v="0"/>
    <s v="SDATOOL-38642 $ CUPON INTERMEDIO"/>
    <n v="0.5"/>
    <s v="Desarrollador"/>
    <s v="Otras Tec."/>
    <s v="Legacy :power Builder"/>
    <e v="#NAME?"/>
    <x v="0"/>
    <e v="#NAME?"/>
    <m/>
    <m/>
    <m/>
    <m/>
    <m/>
    <m/>
  </r>
  <r>
    <s v="CE69380"/>
    <s v="_x0009_DIOCLECIANO LOPÉZ"/>
    <x v="1"/>
    <s v="Backoffice"/>
    <s v="Tecnoevolución"/>
    <x v="0"/>
    <s v="SDATOOL-35663 $ Capacidades FX GM"/>
    <n v="0.3"/>
    <s v="Desarrollador"/>
    <s v="Otras Tec."/>
    <s v="Legacy :power Builder"/>
    <e v="#NAME?"/>
    <x v="0"/>
    <e v="#NAME?"/>
    <m/>
    <m/>
    <m/>
    <m/>
    <m/>
    <m/>
  </r>
  <r>
    <s v="CE69377"/>
    <s v="CESAR EUCLIDES MURILLO CAICEDO"/>
    <x v="1"/>
    <s v="Backoffice"/>
    <s v="Tecnoevolución"/>
    <x v="0"/>
    <s v="SDATOOL-38642 $ CUPON INTERMEDIO"/>
    <n v="0.4"/>
    <s v="Desarrollador"/>
    <s v="Otras Tec."/>
    <s v="Legacy :power Builder"/>
    <e v="#NAME?"/>
    <x v="0"/>
    <e v="#NAME?"/>
    <m/>
    <m/>
    <m/>
    <m/>
    <m/>
    <m/>
  </r>
  <r>
    <s v="CE64877"/>
    <s v="LUIS GUILLERMO SANCHEZ"/>
    <x v="1"/>
    <s v="Backoffice"/>
    <s v="Tecnoevolución"/>
    <x v="0"/>
    <s v="SDATOOL-32520 $ CDD Based Reporting - Colombia"/>
    <n v="0.3"/>
    <s v="Desarrollador"/>
    <s v="Otras Tec."/>
    <s v="Legacy :power Builder"/>
    <e v="#NAME?"/>
    <x v="0"/>
    <e v="#NAME?"/>
    <m/>
    <m/>
    <m/>
    <m/>
    <m/>
    <m/>
  </r>
  <r>
    <s v="CE64378"/>
    <s v="SANTIAGO ALEJANDRO CORREDOR"/>
    <x v="1"/>
    <s v="Backoffice"/>
    <s v="Tecnoevolución"/>
    <x v="0"/>
    <s v="SDATOOL-33907 $ Manejo Fiscal Prima o Descuento Renta Fija"/>
    <n v="0.25"/>
    <s v="Tech Manager/Líder"/>
    <s v="Otras Tec."/>
    <s v="Legacy :power Builder"/>
    <e v="#NAME?"/>
    <x v="0"/>
    <e v="#NAME?"/>
    <m/>
    <m/>
    <m/>
    <m/>
    <m/>
    <m/>
  </r>
  <r>
    <s v="CE64378"/>
    <s v="SANTIAGO ALEJANDRO CORREDOR"/>
    <x v="1"/>
    <s v="Backoffice"/>
    <s v="Tecnoevolución"/>
    <x v="0"/>
    <s v="SDATOOL-35663 $ Capacidades FX GM"/>
    <n v="0.25"/>
    <s v="Tech Manager/Líder"/>
    <s v="Otras Tec."/>
    <s v="Legacy :power Builder"/>
    <e v="#NAME?"/>
    <x v="0"/>
    <e v="#NAME?"/>
    <m/>
    <m/>
    <m/>
    <m/>
    <m/>
    <m/>
  </r>
  <r>
    <s v="CE55477"/>
    <s v="LIZZETH PAOLA FORERO"/>
    <x v="0"/>
    <s v="Soluciones financieras (Factoring)"/>
    <s v="Choucair"/>
    <x v="0"/>
    <s v="NOSDA $ BAU (Mantenimiento y peq. evolutivos)"/>
    <n v="1"/>
    <s v="QA"/>
    <s v="Distribuido"/>
    <m/>
    <e v="#NAME?"/>
    <x v="0"/>
    <e v="#NAME?"/>
    <m/>
    <m/>
    <m/>
    <m/>
    <m/>
    <m/>
  </r>
  <r>
    <s v="T002794"/>
    <s v="OSVALDO JAVIER LOPEZ CASTILLO"/>
    <x v="0"/>
    <s v="Soluciones financieras (Factoring)"/>
    <s v="DIMENSION"/>
    <x v="0"/>
    <s v="NOSDA $ BAU (Mantenimiento y peq. evolutivos)"/>
    <n v="1"/>
    <s v="Desarrollador"/>
    <s v="Distribuido"/>
    <m/>
    <e v="#NAME?"/>
    <x v="0"/>
    <e v="#NAME?"/>
    <m/>
    <m/>
    <m/>
    <m/>
    <m/>
    <m/>
  </r>
  <r>
    <s v="CE69114"/>
    <s v="SERGIO LUIS DIAZ TORO"/>
    <x v="0"/>
    <s v="Soluciones financieras (Factoring)"/>
    <s v="DIMENSION"/>
    <x v="0"/>
    <s v="NOSDA $ BAU (Mantenimiento y peq. evolutivos)"/>
    <n v="1"/>
    <s v="Desarrollador"/>
    <s v="Distribuido"/>
    <m/>
    <e v="#NAME?"/>
    <x v="0"/>
    <e v="#NAME?"/>
    <m/>
    <m/>
    <m/>
    <m/>
    <m/>
    <m/>
  </r>
  <r>
    <s v="O001973"/>
    <s v="MANUEL ESTEBAN MORENO"/>
    <x v="0"/>
    <s v="Soluciones financieras (Factoring)"/>
    <s v="BBVA"/>
    <x v="0"/>
    <s v="NOSDA $ BAU (Mantenimiento y peq. evolutivos)"/>
    <n v="1"/>
    <s v="Desarrollador"/>
    <s v="Distribuido"/>
    <m/>
    <e v="#NAME?"/>
    <x v="0"/>
    <e v="#NAME?"/>
    <m/>
    <m/>
    <m/>
    <m/>
    <m/>
    <m/>
  </r>
  <r>
    <s v="C805971"/>
    <s v="CARLOS EDUARDO BELLO"/>
    <x v="0"/>
    <s v="Soluciones financieras (Factoring)"/>
    <s v="BBVA"/>
    <x v="0"/>
    <s v="NOSDA $ BAU (Mantenimiento y peq. evolutivos)"/>
    <n v="1"/>
    <s v="Desarrollador"/>
    <s v="Distribuido"/>
    <m/>
    <e v="#NAME?"/>
    <x v="0"/>
    <e v="#NAME?"/>
    <m/>
    <m/>
    <m/>
    <m/>
    <m/>
    <m/>
  </r>
  <r>
    <s v="C805925"/>
    <s v="GUSTAVO ANDRES CAMARGO"/>
    <x v="0"/>
    <s v="Soluciones financieras (Factoring)"/>
    <s v="BBVA"/>
    <x v="0"/>
    <s v="NOSDA $ BAU (Mantenimiento y peq. evolutivos)"/>
    <n v="0.75"/>
    <s v="Desarrollador"/>
    <s v="Otras Tec."/>
    <m/>
    <e v="#NAME?"/>
    <x v="0"/>
    <e v="#NAME?"/>
    <m/>
    <m/>
    <m/>
    <m/>
    <m/>
    <m/>
  </r>
  <r>
    <s v="C810899"/>
    <s v="BRAYAN JOSE VIVAS GOMEZ"/>
    <x v="0"/>
    <s v="Soluciones financieras (Factoring)"/>
    <s v="BBVA"/>
    <x v="0"/>
    <s v="NOSDA $ BAU (Mantenimiento y peq. evolutivos)"/>
    <n v="1"/>
    <s v="Tech Manager/Líder"/>
    <s v="Distribuido"/>
    <m/>
    <e v="#NAME?"/>
    <x v="0"/>
    <e v="#NAME?"/>
    <m/>
    <m/>
    <m/>
    <m/>
    <m/>
    <m/>
  </r>
  <r>
    <s v="C802949"/>
    <s v="NESTOR EDUARDO SILVA VERGARA "/>
    <x v="2"/>
    <s v="Finanzas"/>
    <s v="BBVA"/>
    <x v="0"/>
    <s v="NOSDA $ BAU (Mantenimiento y peq. evolutivos)"/>
    <n v="1"/>
    <s v="Tech Manager/Líder"/>
    <s v="Mainframe"/>
    <m/>
    <e v="#NAME?"/>
    <x v="0"/>
    <e v="#NAME?"/>
    <m/>
    <m/>
    <m/>
    <m/>
    <m/>
    <m/>
  </r>
  <r>
    <s v="O000118"/>
    <s v="JONATHAN ANGEL MURCIA"/>
    <x v="2"/>
    <s v="Finanzas"/>
    <s v="BBVA"/>
    <x v="0"/>
    <s v="NOSDA $ BAU (Mantenimiento y peq. evolutivos)"/>
    <n v="1"/>
    <s v="Desarrollador"/>
    <s v="Distribuido"/>
    <m/>
    <e v="#NAME?"/>
    <x v="0"/>
    <e v="#NAME?"/>
    <m/>
    <m/>
    <m/>
    <m/>
    <m/>
    <m/>
  </r>
  <r>
    <s v="O001384"/>
    <s v="JUAN DAVID GONZALEZ MONROY"/>
    <x v="2"/>
    <s v="Finanzas"/>
    <s v="BBVA"/>
    <x v="0"/>
    <s v="NOSDA $ BAU (Mantenimiento y peq. evolutivos)"/>
    <n v="1"/>
    <s v="Desarrollador"/>
    <s v="Mainframe"/>
    <m/>
    <e v="#NAME?"/>
    <x v="0"/>
    <e v="#NAME?"/>
    <m/>
    <m/>
    <m/>
    <m/>
    <m/>
    <m/>
  </r>
  <r>
    <s v="T002204"/>
    <s v="CARLOS ANDRES BETANCUR MARIN"/>
    <x v="2"/>
    <s v="Finanzas"/>
    <s v="Indra"/>
    <x v="0"/>
    <s v="NOSDA $ BAU (Mantenimiento y peq. evolutivos)"/>
    <n v="1"/>
    <s v="Tech Manager/Líder"/>
    <s v="Mainframe"/>
    <m/>
    <e v="#NAME?"/>
    <x v="0"/>
    <e v="#NAME?"/>
    <m/>
    <m/>
    <m/>
    <m/>
    <m/>
    <m/>
  </r>
  <r>
    <s v="CE64919"/>
    <s v="MYRIAM GARCIA HERNANDEZ"/>
    <x v="2"/>
    <s v="Finanzas"/>
    <s v="Indra"/>
    <x v="0"/>
    <s v="NOSDA $ BAU (Mantenimiento y peq. evolutivos)"/>
    <n v="1"/>
    <s v="Desarrollador"/>
    <s v="Mainframe"/>
    <m/>
    <e v="#NAME?"/>
    <x v="0"/>
    <e v="#NAME?"/>
    <m/>
    <m/>
    <m/>
    <m/>
    <m/>
    <m/>
  </r>
  <r>
    <s v="CE68692"/>
    <s v="JORGE ROBINSON MENESES GUTIERREZ"/>
    <x v="2"/>
    <s v="Finanzas"/>
    <s v="Indra"/>
    <x v="0"/>
    <s v="NOSDA $ BAU (Mantenimiento y peq. evolutivos)"/>
    <n v="1"/>
    <s v="Desarrollador"/>
    <s v="Distribuido"/>
    <m/>
    <e v="#NAME?"/>
    <x v="0"/>
    <e v="#NAME?"/>
    <m/>
    <m/>
    <m/>
    <m/>
    <m/>
    <m/>
  </r>
  <r>
    <s v="CE62655"/>
    <s v="DIEGO FRANCISCO FLORES DIAZ"/>
    <x v="2"/>
    <s v="Finanzas"/>
    <s v="Indra"/>
    <x v="0"/>
    <s v="NOSDA $ BAU (Mantenimiento y peq. evolutivos)"/>
    <n v="1"/>
    <s v="Desarrollador"/>
    <s v="Distribuido"/>
    <m/>
    <e v="#NAME?"/>
    <x v="0"/>
    <e v="#NAME?"/>
    <m/>
    <m/>
    <m/>
    <m/>
    <m/>
    <m/>
  </r>
  <r>
    <s v="CE60804"/>
    <s v="ALVARO IVAN BARRIOS PINEDA"/>
    <x v="2"/>
    <s v="Finanzas"/>
    <s v="Indra"/>
    <x v="0"/>
    <s v="NOSDA $ BAU (Mantenimiento y peq. evolutivos)"/>
    <n v="0.5"/>
    <s v="Desarrollador"/>
    <s v="Mainframe"/>
    <s v="Se comparte con Torre de Analitycs "/>
    <e v="#NAME?"/>
    <x v="0"/>
    <e v="#NAME?"/>
    <m/>
    <m/>
    <m/>
    <m/>
    <m/>
    <m/>
  </r>
  <r>
    <s v="CE66288"/>
    <s v="LAURA VALENTINA RINCON RODRIGUEZ"/>
    <x v="2"/>
    <s v="Finanzas"/>
    <s v="GGI / CMC"/>
    <x v="0"/>
    <s v="NOSDA $ BAU (Mantenimiento y peq. evolutivos)"/>
    <n v="1"/>
    <s v="QA"/>
    <s v="Mainframe"/>
    <m/>
    <e v="#NAME?"/>
    <x v="0"/>
    <e v="#NAME?"/>
    <m/>
    <m/>
    <m/>
    <m/>
    <m/>
    <m/>
  </r>
  <r>
    <s v="O003229"/>
    <s v="ARMANDO RAFAEL VASQUEZ ALTAMAR"/>
    <x v="2"/>
    <s v="T&amp;C"/>
    <s v="BBVA"/>
    <x v="0"/>
    <s v="SDATOOL-28728 $ Contratación electrónica/digital de empleados y Carpeta Virtual 2.0"/>
    <n v="0.1"/>
    <s v="Tech Manager/Líder"/>
    <s v="Otras Tec."/>
    <m/>
    <e v="#NAME?"/>
    <x v="0"/>
    <e v="#NAME?"/>
    <m/>
    <m/>
    <m/>
    <m/>
    <m/>
    <m/>
  </r>
  <r>
    <s v="O003229"/>
    <s v="ARMANDO RAFAEL VASQUEZ ALTAMAR"/>
    <x v="2"/>
    <s v="T&amp;C"/>
    <s v="BBVA"/>
    <x v="0"/>
    <s v="SDATOOL-40407 $ Envío de información sensible entes internos y externos"/>
    <n v="0.1"/>
    <s v="Tech Manager/Líder"/>
    <s v="Otras Tec."/>
    <m/>
    <e v="#NAME?"/>
    <x v="0"/>
    <e v="#NAME?"/>
    <m/>
    <m/>
    <m/>
    <m/>
    <m/>
    <m/>
  </r>
  <r>
    <s v="O003229"/>
    <s v="ARMANDO RAFAEL VASQUEZ ALTAMAR"/>
    <x v="2"/>
    <s v="T&amp;C"/>
    <s v="BBVA"/>
    <x v="0"/>
    <s v="SDATOOL-40406 $ Plan Mejora recobro de incapacidades"/>
    <n v="0.1"/>
    <s v="Tech Manager/Líder"/>
    <s v="Otras Tec."/>
    <m/>
    <e v="#NAME?"/>
    <x v="0"/>
    <e v="#NAME?"/>
    <m/>
    <m/>
    <m/>
    <m/>
    <m/>
    <m/>
  </r>
  <r>
    <s v="O003229"/>
    <s v="ARMANDO RAFAEL VASQUEZ ALTAMAR"/>
    <x v="2"/>
    <s v="T&amp;C"/>
    <s v="BBVA"/>
    <x v="0"/>
    <s v="SDATOOL-40706 $ Validaciones en Captura de Terceros Aplicativo TBM"/>
    <n v="0.25"/>
    <s v="Tech Manager/Líder"/>
    <s v="Otras Tec."/>
    <m/>
    <e v="#NAME?"/>
    <x v="0"/>
    <e v="#NAME?"/>
    <m/>
    <m/>
    <m/>
    <m/>
    <m/>
    <m/>
  </r>
  <r>
    <s v="O003230"/>
    <s v="ARMANDO RAFAEL VASQUEZ ALTAMAR"/>
    <x v="2"/>
    <s v="T&amp;C"/>
    <s v="BBVA"/>
    <x v="0"/>
    <s v="SDATOOL-40546 $ Mejoras Experiencia de Usuario TBM"/>
    <n v="0.25"/>
    <s v="Tech Manager/Líder"/>
    <s v="Otras Tec."/>
    <m/>
    <e v="#NAME?"/>
    <x v="0"/>
    <e v="#NAME?"/>
    <m/>
    <m/>
    <m/>
    <m/>
    <m/>
    <m/>
  </r>
  <r>
    <s v="O003231"/>
    <s v="ARMANDO RAFAEL VASQUEZ ALTAMAR"/>
    <x v="2"/>
    <s v="T&amp;C"/>
    <s v="BBVA"/>
    <x v="0"/>
    <s v="SDATOOL-41203 $ Obsolescencia Aplicativa 2023"/>
    <n v="0.1"/>
    <s v="Tech Manager/Líder"/>
    <s v="Otras Tec."/>
    <m/>
    <e v="#NAME?"/>
    <x v="0"/>
    <e v="#NAME?"/>
    <m/>
    <m/>
    <m/>
    <m/>
    <m/>
    <m/>
  </r>
  <r>
    <s v="O003232"/>
    <s v="ARMANDO RAFAEL VASQUEZ ALTAMAR"/>
    <x v="2"/>
    <s v="T&amp;C"/>
    <s v="BBVA"/>
    <x v="0"/>
    <s v="SDATOOL-37765 $ Optimización operativa S&amp;C"/>
    <n v="0.1"/>
    <s v="Tech Manager/Líder"/>
    <s v="Otras Tec."/>
    <m/>
    <e v="#NAME?"/>
    <x v="0"/>
    <e v="#NAME?"/>
    <m/>
    <m/>
    <m/>
    <m/>
    <m/>
    <m/>
  </r>
  <r>
    <s v="C811263"/>
    <s v="Cardozo Castro Diana Carolina"/>
    <x v="2"/>
    <s v="T&amp;C"/>
    <s v="BBVA"/>
    <x v="0"/>
    <s v="SDATOOL-40706 $ Validaciones en Captura de Terceros Aplicativo TBM"/>
    <n v="0.5"/>
    <s v="Desarrollador"/>
    <s v="Otras Tec."/>
    <m/>
    <e v="#NAME?"/>
    <x v="0"/>
    <e v="#NAME?"/>
    <m/>
    <m/>
    <m/>
    <m/>
    <m/>
    <m/>
  </r>
  <r>
    <s v="C811263"/>
    <s v="Cardozo Castro Diana Carolina"/>
    <x v="2"/>
    <s v="T&amp;C"/>
    <s v="BBVA"/>
    <x v="0"/>
    <s v="SDATOOL-40546 $ Mejoras Experiencia de Usuario TBM"/>
    <n v="0.5"/>
    <s v="Desarrollador"/>
    <s v="Otras Tec."/>
    <m/>
    <e v="#NAME?"/>
    <x v="0"/>
    <e v="#NAME?"/>
    <m/>
    <m/>
    <m/>
    <m/>
    <m/>
    <m/>
  </r>
  <r>
    <s v="T010294"/>
    <s v="Carlos Andres De la pava Jimenez"/>
    <x v="2"/>
    <s v="T&amp;C"/>
    <s v="Novatec"/>
    <x v="0"/>
    <s v="SDATOOL-28728 $ Contratación electrónica/digital de empleados y Carpeta Virtual 2.0"/>
    <n v="1"/>
    <s v="Desarrollador"/>
    <s v="Otras Tec."/>
    <s v="Este Proyecto contiene  ASO, APX, CELLS, GCP"/>
    <e v="#NAME?"/>
    <x v="0"/>
    <e v="#NAME?"/>
    <m/>
    <m/>
    <m/>
    <m/>
    <m/>
    <m/>
  </r>
  <r>
    <s v="C341767"/>
    <s v="Cipagauta Rodriguez Edwin Guillermo"/>
    <x v="2"/>
    <s v="T&amp;C"/>
    <s v="BBVA"/>
    <x v="0"/>
    <s v="SDATOOL-40406 $ Plan Mejora recobro de incapacidades"/>
    <n v="0.5"/>
    <s v="Desarrollador"/>
    <s v="Otras Tec."/>
    <m/>
    <e v="#NAME?"/>
    <x v="0"/>
    <e v="#NAME?"/>
    <m/>
    <m/>
    <m/>
    <m/>
    <m/>
    <m/>
  </r>
  <r>
    <s v="C341767"/>
    <s v="Cipagauta Rodriguez Edwin Guillermo"/>
    <x v="2"/>
    <s v="T&amp;C"/>
    <s v="BBVA"/>
    <x v="0"/>
    <s v="SDATOOL-37765 $ Optimización operativa S&amp;C"/>
    <n v="0.25"/>
    <s v="Desarrollador"/>
    <s v="Otras Tec."/>
    <m/>
    <e v="#NAME?"/>
    <x v="0"/>
    <e v="#NAME?"/>
    <m/>
    <m/>
    <m/>
    <m/>
    <m/>
    <m/>
  </r>
  <r>
    <s v="C341767"/>
    <s v="Cipagauta Rodriguez Edwin Guillermo"/>
    <x v="2"/>
    <s v="T&amp;C"/>
    <s v="BBVA"/>
    <x v="0"/>
    <s v="SDATOOL-41203 $ Obsolescencia Aplicativa 2023"/>
    <n v="0.25"/>
    <s v="Otros"/>
    <s v="Otras Tec."/>
    <m/>
    <e v="#NAME?"/>
    <x v="0"/>
    <e v="#NAME?"/>
    <m/>
    <m/>
    <m/>
    <m/>
    <m/>
    <m/>
  </r>
  <r>
    <s v="T002802"/>
    <s v="Diego Andrés Mateus Triana"/>
    <x v="2"/>
    <s v="T&amp;C"/>
    <s v="Novatec"/>
    <x v="0"/>
    <s v="SDATOOL-28728 $ Contratación electrónica/digital de empleados y Carpeta Virtual 2.0"/>
    <n v="1"/>
    <s v="Desarrollador"/>
    <s v="Otras Tec."/>
    <s v="Este Proyecto contiene  ASO, APX, CELLS, GCP"/>
    <e v="#NAME?"/>
    <x v="0"/>
    <e v="#NAME?"/>
    <m/>
    <m/>
    <m/>
    <m/>
    <m/>
    <m/>
  </r>
  <r>
    <s v="T010289"/>
    <s v="Ever Alexander Bravo Vergara"/>
    <x v="2"/>
    <s v="T&amp;C"/>
    <s v="Novatec"/>
    <x v="0"/>
    <s v="SDATOOL-28728 $ Contratación electrónica/digital de empleados y Carpeta Virtual 2.0"/>
    <n v="1"/>
    <s v="Desarrollador"/>
    <s v="Otras Tec."/>
    <s v="Este Proyecto contiene  ASO, APX, CELLS, GCP"/>
    <e v="#NAME?"/>
    <x v="0"/>
    <e v="#NAME?"/>
    <m/>
    <m/>
    <m/>
    <m/>
    <m/>
    <m/>
  </r>
  <r>
    <s v="CE70901"/>
    <s v="JUAN SEBASTIAN SANCHEZ"/>
    <x v="2"/>
    <s v="T&amp;C"/>
    <s v="Novatec"/>
    <x v="0"/>
    <s v="SDATOOL-28728 $ Contratación electrónica/digital de empleados y Carpeta Virtual 2.0"/>
    <n v="1"/>
    <s v="Desarrollador"/>
    <s v="Otras Tec."/>
    <s v="Este Proyecto contiene  ASO, APX, CELLS, GCP"/>
    <e v="#NAME?"/>
    <x v="0"/>
    <e v="#NAME?"/>
    <m/>
    <m/>
    <m/>
    <m/>
    <m/>
    <m/>
  </r>
  <r>
    <s v="T002449"/>
    <s v="Manuel Camilo Sanchez Sevilla"/>
    <x v="2"/>
    <s v="T&amp;C"/>
    <s v="Novatec"/>
    <x v="0"/>
    <s v="SDATOOL-28728 $ Contratación electrónica/digital de empleados y Carpeta Virtual 2.0"/>
    <n v="1"/>
    <s v="Desarrollador"/>
    <s v="Otras Tec."/>
    <s v="Este Proyecto contiene  ASO, APX, CELLS, GCP"/>
    <e v="#NAME?"/>
    <x v="0"/>
    <e v="#NAME?"/>
    <m/>
    <m/>
    <m/>
    <m/>
    <m/>
    <m/>
  </r>
  <r>
    <s v="C811290"/>
    <s v="Montana Castro Camilo Arturo"/>
    <x v="2"/>
    <s v="T&amp;C"/>
    <s v="BBVA"/>
    <x v="0"/>
    <s v="SDATOOL-40407 $ Envío de información sensible entes internos y externos"/>
    <n v="1"/>
    <s v="Desarrollador"/>
    <s v="Otras Tec."/>
    <s v="Proyecto con dos feature"/>
    <e v="#NAME?"/>
    <x v="0"/>
    <e v="#NAME?"/>
    <m/>
    <m/>
    <m/>
    <m/>
    <m/>
    <m/>
  </r>
  <r>
    <s v="C804221"/>
    <s v="Quiroz Munoz Bryan Antonio"/>
    <x v="2"/>
    <s v="T&amp;C"/>
    <s v="BBVA"/>
    <x v="0"/>
    <s v="SDATOOL-28728 $ Contratación electrónica/digital de empleados y Carpeta Virtual 2.0"/>
    <n v="1"/>
    <s v="Desarrollador"/>
    <s v="Otras Tec."/>
    <s v="Este proyecto contiene  ASO, APX, CELLS, GCP_x000a_Proyecto con 2 feature"/>
    <e v="#NAME?"/>
    <x v="0"/>
    <e v="#NAME?"/>
    <m/>
    <m/>
    <m/>
    <m/>
    <m/>
    <m/>
  </r>
  <r>
    <s v="CE66796"/>
    <s v="SANTIAGO SALAS CARRERA"/>
    <x v="2"/>
    <s v="T&amp;C"/>
    <s v="Novatec"/>
    <x v="0"/>
    <s v="SDATOOL-28728 $ Contratación electrónica/digital de empleados y Carpeta Virtual 2.0"/>
    <n v="1"/>
    <s v="Desarrollador"/>
    <s v="Otras Tec."/>
    <s v="Este Proyecto contiene  ASO, APX, CELLS, GCP"/>
    <e v="#NAME?"/>
    <x v="0"/>
    <e v="#NAME?"/>
    <m/>
    <m/>
    <m/>
    <m/>
    <m/>
    <m/>
  </r>
  <r>
    <s v="C805333"/>
    <s v="Torres Laguado Juan Sebastian"/>
    <x v="2"/>
    <s v="T&amp;C"/>
    <s v="BBVA"/>
    <x v="0"/>
    <s v="SDATOOL-28728 $ Contratación electrónica/digital de empleados y Carpeta Virtual 2.0"/>
    <n v="1"/>
    <s v="Desarrollador"/>
    <s v="Otras Tec."/>
    <s v="Este proyecto contiene  ASO, APX, CELLS, GCP_x000a_Proyecto con 2 feature"/>
    <e v="#NAME?"/>
    <x v="0"/>
    <e v="#NAME?"/>
    <m/>
    <m/>
    <m/>
    <m/>
    <m/>
    <m/>
  </r>
  <r>
    <s v="T010288"/>
    <s v="yeison andres consuegra vega"/>
    <x v="2"/>
    <s v="T&amp;C"/>
    <s v="Novatec"/>
    <x v="0"/>
    <s v="SDATOOL-28728 $ Contratación electrónica/digital de empleados y Carpeta Virtual 2.0"/>
    <n v="1"/>
    <s v="Desarrollador"/>
    <s v="Otras Tec."/>
    <s v="Este Proyecto contiene  ASO, APX, CELLS, GCP"/>
    <e v="#NAME?"/>
    <x v="0"/>
    <e v="#NAME?"/>
    <m/>
    <m/>
    <m/>
    <m/>
    <m/>
    <m/>
  </r>
  <r>
    <s v="T003286"/>
    <s v="YURI VALENTINA MUÑOZ"/>
    <x v="2"/>
    <s v="T&amp;C"/>
    <s v="Novatec"/>
    <x v="0"/>
    <s v="SDATOOL-28728 $ Contratación electrónica/digital de empleados y Carpeta Virtual 2.0"/>
    <n v="1"/>
    <s v="Desarrollador"/>
    <s v="Otras Tec."/>
    <s v="Este Proyecto contiene  ASO, APX, CELLS, GCP"/>
    <e v="#NAME?"/>
    <x v="0"/>
    <e v="#NAME?"/>
    <m/>
    <m/>
    <m/>
    <m/>
    <m/>
    <m/>
  </r>
  <r>
    <s v="C783729"/>
    <s v="MIGUEL ANTONIO GUIO ESPINOSA "/>
    <x v="2"/>
    <s v="Cumplimiento &amp; Auditoría"/>
    <s v="BBVA"/>
    <x v="0"/>
    <s v="SDATOOL-29998 $ Despliegue SAS AML en BBVA CO"/>
    <n v="0.4"/>
    <s v="Tech Manager/Líder"/>
    <s v="Otras Tec."/>
    <m/>
    <e v="#NAME?"/>
    <x v="0"/>
    <e v="#NAME?"/>
    <m/>
    <m/>
    <m/>
    <m/>
    <m/>
    <m/>
  </r>
  <r>
    <s v="C783729"/>
    <s v="MIGUEL ANTONIO GUIO ESPINOSA "/>
    <x v="2"/>
    <s v="Cumplimiento &amp; Auditoría"/>
    <s v="BBVA"/>
    <x v="0"/>
    <s v="SDATOOL-39265 $ Migración Operaciones Fircosoft"/>
    <n v="0.1"/>
    <s v="Tech Manager/Líder"/>
    <s v="Otras Tec."/>
    <s v="Usuario  lo presentara en el WG del 30/03/2023"/>
    <e v="#NAME?"/>
    <x v="0"/>
    <e v="#NAME?"/>
    <m/>
    <m/>
    <m/>
    <m/>
    <m/>
    <m/>
  </r>
  <r>
    <s v="C783729"/>
    <s v="MIGUEL ANTONIO GUIO ESPINOSA "/>
    <x v="2"/>
    <s v="Cumplimiento &amp; Auditoría"/>
    <s v="BBVA"/>
    <x v="0"/>
    <s v="SDATOOL-39473 $ Actualización de Was 8 a was 9. RBA"/>
    <n v="0.1"/>
    <s v="Tech Manager/Líder"/>
    <s v="Otras Tec."/>
    <m/>
    <e v="#NAME?"/>
    <x v="0"/>
    <e v="#NAME?"/>
    <m/>
    <m/>
    <m/>
    <m/>
    <m/>
    <m/>
  </r>
  <r>
    <s v="C783729"/>
    <s v="MIGUEL ANTONIO GUIO ESPINOSA "/>
    <x v="2"/>
    <s v="Cumplimiento &amp; Auditoría"/>
    <s v="BBVA"/>
    <x v="0"/>
    <s v="SDATOOL-39888 $ Proyecto - Evolutivo Sarlaft - Mejoras controles aplicativos"/>
    <n v="0.2"/>
    <s v="Tech Manager/Líder"/>
    <s v="Otras Tec."/>
    <m/>
    <e v="#NAME?"/>
    <x v="0"/>
    <e v="#NAME?"/>
    <m/>
    <m/>
    <m/>
    <m/>
    <m/>
    <m/>
  </r>
  <r>
    <s v="C783729"/>
    <s v="MIGUEL ANTONIO GUIO ESPINOSA "/>
    <x v="2"/>
    <s v="Cumplimiento &amp; Auditoría"/>
    <s v="BBVA"/>
    <x v="0"/>
    <s v="SDATOOL-40984 $ Proyecto - Identificación e ingesta de las tablas necesarias en datio y la construcción del caso de uso para la identificación de vínculos - Colombia"/>
    <n v="0.1"/>
    <s v="Tech Manager/Líder"/>
    <s v="Otras Tec."/>
    <m/>
    <e v="#NAME?"/>
    <x v="0"/>
    <e v="#NAME?"/>
    <m/>
    <m/>
    <m/>
    <m/>
    <m/>
    <m/>
  </r>
  <r>
    <s v="C783729"/>
    <s v="MIGUEL ANTONIO GUIO ESPINOSA "/>
    <x v="2"/>
    <s v="Cumplimiento &amp; Auditoría"/>
    <s v="BBVA"/>
    <x v="0"/>
    <s v="SDATOOL-41031 $ Proyecto - Shadow IT - Migración a un nuevo aplicativo de la herramienta SIGLAFT"/>
    <n v="0.1"/>
    <s v="Tech Manager/Líder"/>
    <s v="Otras Tec."/>
    <m/>
    <e v="#NAME?"/>
    <x v="0"/>
    <e v="#NAME?"/>
    <m/>
    <m/>
    <m/>
    <m/>
    <m/>
    <m/>
  </r>
  <r>
    <s v="C808788"/>
    <s v="Pena Agudelo Rosario Elena"/>
    <x v="2"/>
    <s v="Cumplimiento &amp; Auditoría"/>
    <s v="BBVA"/>
    <x v="0"/>
    <s v="SDATOOL-29998 $ Despliegue SAS AML en BBVA CO"/>
    <n v="0.4"/>
    <s v="Desarrollador"/>
    <s v="Distribuido"/>
    <m/>
    <e v="#NAME?"/>
    <x v="0"/>
    <e v="#NAME?"/>
    <m/>
    <m/>
    <m/>
    <m/>
    <m/>
    <m/>
  </r>
  <r>
    <s v="C808788"/>
    <s v="Pena Agudelo Rosario Elena"/>
    <x v="2"/>
    <s v="Cumplimiento &amp; Auditoría"/>
    <s v="BBVA"/>
    <x v="0"/>
    <s v="SDATOOL-39265 $ Migración Operaciones Fircosoft"/>
    <n v="0.1"/>
    <s v="Desarrollador"/>
    <s v="Distribuido"/>
    <s v="Usuario  lo presentara en el WG del 30/03/2023"/>
    <e v="#NAME?"/>
    <x v="0"/>
    <e v="#NAME?"/>
    <m/>
    <m/>
    <m/>
    <m/>
    <m/>
    <m/>
  </r>
  <r>
    <s v="C808788"/>
    <s v="Pena Agudelo Rosario Elena"/>
    <x v="2"/>
    <s v="Cumplimiento &amp; Auditoría"/>
    <s v="BBVA"/>
    <x v="0"/>
    <s v="SDATOOL-39473 $ Actualización de Was 8 a was 9. RBA"/>
    <n v="0.1"/>
    <s v="Desarrollador"/>
    <s v="Distribuido"/>
    <m/>
    <e v="#NAME?"/>
    <x v="0"/>
    <e v="#NAME?"/>
    <m/>
    <m/>
    <m/>
    <m/>
    <m/>
    <m/>
  </r>
  <r>
    <s v="C808788"/>
    <s v="Pena Agudelo Rosario Elena"/>
    <x v="2"/>
    <s v="Cumplimiento &amp; Auditoría"/>
    <s v="BBVA"/>
    <x v="0"/>
    <s v="SDATOOL-39888 $ Proyecto - Evolutivo Sarlaft - Mejoras controles aplicativos"/>
    <n v="0.4"/>
    <s v="Desarrollador"/>
    <s v="Distribuido"/>
    <m/>
    <e v="#NAME?"/>
    <x v="0"/>
    <e v="#NAME?"/>
    <m/>
    <m/>
    <m/>
    <m/>
    <m/>
    <m/>
  </r>
  <r>
    <s v="C809493"/>
    <s v="Guzman Gonzalez Jorge Enrique"/>
    <x v="2"/>
    <s v="Cumplimiento &amp; Auditoría"/>
    <s v="BBVA"/>
    <x v="0"/>
    <s v="SDATOOL-29998 $ Despliegue SAS AML en BBVA CO"/>
    <n v="0.3"/>
    <s v="Desarrollador"/>
    <s v="Mainframe"/>
    <m/>
    <e v="#NAME?"/>
    <x v="0"/>
    <e v="#NAME?"/>
    <m/>
    <m/>
    <m/>
    <m/>
    <m/>
    <m/>
  </r>
  <r>
    <s v="C809493"/>
    <s v="Guzman Gonzalez Jorge Enrique"/>
    <x v="2"/>
    <s v="Cumplimiento &amp; Auditoría"/>
    <s v="BBVA"/>
    <x v="0"/>
    <s v="SDATOOL-41031 $ Proyecto - Shadow IT - Migración a un nuevo aplicativo de la herramienta SIGLAFT"/>
    <n v="0.1"/>
    <s v="Desarrollador"/>
    <s v="Mainframe"/>
    <m/>
    <e v="#NAME?"/>
    <x v="0"/>
    <e v="#NAME?"/>
    <m/>
    <m/>
    <m/>
    <m/>
    <m/>
    <m/>
  </r>
  <r>
    <s v="C809493"/>
    <s v="Guzman Gonzalez Jorge Enrique"/>
    <x v="2"/>
    <s v="Cumplimiento &amp; Auditoría"/>
    <s v="BBVA"/>
    <x v="0"/>
    <s v="SDATOOL-39888 $ Proyecto - Evolutivo Sarlaft - Mejoras controles aplicativos"/>
    <n v="0.5"/>
    <s v="Desarrollador"/>
    <s v="Mainframe"/>
    <m/>
    <e v="#NAME?"/>
    <x v="0"/>
    <e v="#NAME?"/>
    <m/>
    <m/>
    <m/>
    <m/>
    <m/>
    <m/>
  </r>
  <r>
    <s v="C809493"/>
    <s v="Guzman Gonzalez Jorge Enrique"/>
    <x v="2"/>
    <s v="Cumplimiento &amp; Auditoría"/>
    <s v="BBVA"/>
    <x v="0"/>
    <s v="SDATOOL-40984 $ Proyecto - Identificación e ingesta de las tablas necesarias en datio y la construcción del caso de uso para la identificación de vínculos - Colombia"/>
    <n v="0.1"/>
    <s v="Desarrollador"/>
    <s v="Mainframe"/>
    <m/>
    <e v="#NAME?"/>
    <x v="0"/>
    <e v="#NAME?"/>
    <m/>
    <m/>
    <m/>
    <m/>
    <m/>
    <m/>
  </r>
  <r>
    <s v="O002594"/>
    <s v="CRISTIAN DAVID VARGAS SIERRA"/>
    <x v="2"/>
    <s v="Cumplimiento &amp; Auditoría"/>
    <s v="BBVA"/>
    <x v="0"/>
    <s v="SDATOOL-39888 $ Proyecto - Evolutivo Sarlaft - Mejoras controles aplicativos"/>
    <n v="0.4"/>
    <s v="Desarrollador"/>
    <s v="Mainframe"/>
    <m/>
    <e v="#NAME?"/>
    <x v="0"/>
    <e v="#NAME?"/>
    <m/>
    <m/>
    <m/>
    <m/>
    <m/>
    <m/>
  </r>
  <r>
    <s v="O002594"/>
    <s v="CRISTIAN DAVID VARGAS SIERRA"/>
    <x v="2"/>
    <s v="Cumplimiento &amp; Auditoría"/>
    <s v="BBVA"/>
    <x v="0"/>
    <s v="SDATOOL-40984 $ Proyecto - Identificación e ingesta de las tablas necesarias en datio y la construcción del caso de uso para la identificación de vínculos - Colombia"/>
    <n v="0.3"/>
    <s v="Desarrollador"/>
    <s v="Mainframe"/>
    <m/>
    <e v="#NAME?"/>
    <x v="0"/>
    <e v="#NAME?"/>
    <m/>
    <m/>
    <m/>
    <m/>
    <m/>
    <m/>
  </r>
  <r>
    <s v="O002594"/>
    <s v="CRISTIAN DAVID VARGAS SIERRA"/>
    <x v="2"/>
    <s v="Cumplimiento &amp; Auditoría"/>
    <s v="BBVA"/>
    <x v="0"/>
    <s v="SDATOOL-41031 $ Proyecto - Shadow IT - Migración a un nuevo aplicativo de la herramienta SIGLAFT"/>
    <n v="0.3"/>
    <s v="Desarrollador"/>
    <s v="Mainframe"/>
    <m/>
    <e v="#NAME?"/>
    <x v="0"/>
    <e v="#NAME?"/>
    <m/>
    <m/>
    <m/>
    <m/>
    <m/>
    <m/>
  </r>
  <r>
    <s v="CE63761"/>
    <s v="Carlos Andres Cely Vergara"/>
    <x v="2"/>
    <s v="Cumplimiento &amp; Auditoría"/>
    <s v="MS"/>
    <x v="0"/>
    <s v="SDATOOL-29998 $ Despliegue SAS AML en BBVA CO"/>
    <n v="1"/>
    <s v="Desarrollador"/>
    <s v="Distribuido"/>
    <m/>
    <e v="#NAME?"/>
    <x v="0"/>
    <e v="#NAME?"/>
    <m/>
    <m/>
    <m/>
    <m/>
    <m/>
    <m/>
  </r>
  <r>
    <s v="T002735"/>
    <s v="CASTELLANOS RODRIGUEZ EDUARDO"/>
    <x v="2"/>
    <s v="Cumplimiento &amp; Auditoría"/>
    <s v="CAPGEMINI"/>
    <x v="0"/>
    <s v="SDATOOL-29998 $ Despliegue SAS AML en BBVA CO"/>
    <n v="1"/>
    <s v="Desarrollador"/>
    <s v="Distribuido"/>
    <m/>
    <e v="#NAME?"/>
    <x v="0"/>
    <e v="#NAME?"/>
    <m/>
    <m/>
    <m/>
    <m/>
    <m/>
    <m/>
  </r>
  <r>
    <s v="T005769"/>
    <s v="Cesar Argenis Ruano Hernandez"/>
    <x v="2"/>
    <s v="Cumplimiento &amp; Auditoría"/>
    <s v="CAPGEMINI"/>
    <x v="0"/>
    <s v="SDATOOL-29998 $ Despliegue SAS AML en BBVA CO"/>
    <n v="1"/>
    <s v="Desarrollador"/>
    <s v="Distribuido"/>
    <m/>
    <e v="#NAME?"/>
    <x v="0"/>
    <e v="#NAME?"/>
    <m/>
    <m/>
    <m/>
    <m/>
    <m/>
    <m/>
  </r>
  <r>
    <s v="CE62655"/>
    <s v="Diego Francisco Florez Diaz"/>
    <x v="2"/>
    <s v="Cumplimiento &amp; Auditoría"/>
    <s v="Indra"/>
    <x v="0"/>
    <s v="SDATOOL-40599 $ Proyecto - Circular 025"/>
    <n v="0.5"/>
    <s v="Desarrollador"/>
    <s v="Distribuido"/>
    <m/>
    <e v="#NAME?"/>
    <x v="0"/>
    <e v="#NAME?"/>
    <m/>
    <m/>
    <m/>
    <m/>
    <m/>
    <m/>
  </r>
  <r>
    <s v="T005766"/>
    <s v="Iván Jonathan Romero Medina"/>
    <x v="2"/>
    <s v="Cumplimiento &amp; Auditoría"/>
    <s v="CAPGEMINI"/>
    <x v="0"/>
    <s v="SDATOOL-29998 $ Despliegue SAS AML en BBVA CO"/>
    <n v="1"/>
    <s v="Desarrollador"/>
    <s v="Distribuido"/>
    <m/>
    <e v="#NAME?"/>
    <x v="0"/>
    <e v="#NAME?"/>
    <m/>
    <m/>
    <m/>
    <m/>
    <m/>
    <m/>
  </r>
  <r>
    <s v="CE56090"/>
    <s v="Jeisson Andres Tequia Rincon"/>
    <x v="2"/>
    <s v="Cumplimiento &amp; Auditoría"/>
    <s v="MS"/>
    <x v="0"/>
    <s v="SDATOOL-29998 $ Despliegue SAS AML en BBVA CO"/>
    <n v="1"/>
    <s v="Desarrollador"/>
    <s v="Distribuido"/>
    <m/>
    <e v="#NAME?"/>
    <x v="0"/>
    <e v="#NAME?"/>
    <m/>
    <m/>
    <m/>
    <m/>
    <m/>
    <m/>
  </r>
  <r>
    <s v="T002734"/>
    <s v="MORENO MUNOZ EMMANUEL"/>
    <x v="2"/>
    <s v="Cumplimiento &amp; Auditoría"/>
    <s v="CAPGEMINI"/>
    <x v="0"/>
    <s v="SDATOOL-29998 $ Despliegue SAS AML en BBVA CO"/>
    <n v="1"/>
    <s v="Desarrollador"/>
    <s v="Distribuido"/>
    <m/>
    <e v="#NAME?"/>
    <x v="0"/>
    <e v="#NAME?"/>
    <m/>
    <m/>
    <m/>
    <m/>
    <m/>
    <m/>
  </r>
  <r>
    <s v="T005765"/>
    <s v="Niteen Kumar Kanaiya"/>
    <x v="2"/>
    <s v="Cumplimiento &amp; Auditoría"/>
    <s v="CAPGEMINI"/>
    <x v="0"/>
    <s v="SDATOOL-29998 $ Despliegue SAS AML en BBVA CO"/>
    <n v="1"/>
    <s v="Desarrollador"/>
    <s v="Distribuido"/>
    <m/>
    <e v="#NAME?"/>
    <x v="0"/>
    <e v="#NAME?"/>
    <m/>
    <m/>
    <m/>
    <m/>
    <m/>
    <m/>
  </r>
  <r>
    <s v="T005931"/>
    <s v="DANIEL MAURICIO RIANO PEDRAZA_x000a_"/>
    <x v="2"/>
    <s v="Cumplimiento &amp; Auditoría"/>
    <s v="GGI / CMC"/>
    <x v="0"/>
    <s v="SDATOOL-29998 $ Despliegue SAS AML en BBVA CO"/>
    <n v="0.1"/>
    <s v="QA"/>
    <s v="Mainframe"/>
    <m/>
    <e v="#NAME?"/>
    <x v="0"/>
    <e v="#NAME?"/>
    <m/>
    <m/>
    <m/>
    <m/>
    <m/>
    <m/>
  </r>
  <r>
    <s v="T005931"/>
    <s v="DANIEL MAURICIO RIANO PEDRAZA_x000a_"/>
    <x v="2"/>
    <s v="Cumplimiento &amp; Auditoría"/>
    <s v="GGI / CMC"/>
    <x v="0"/>
    <s v="SDATOOL-39265 $ Migración Operaciones Fircosoft"/>
    <n v="0.1"/>
    <s v="QA"/>
    <s v="Mainframe"/>
    <s v="Usuario  lo presentara en el WG del 30/03/2023"/>
    <e v="#NAME?"/>
    <x v="0"/>
    <e v="#NAME?"/>
    <m/>
    <m/>
    <m/>
    <m/>
    <m/>
    <m/>
  </r>
  <r>
    <s v="T005931"/>
    <s v="DANIEL MAURICIO RIANO PEDRAZA_x000a_"/>
    <x v="2"/>
    <s v="Cumplimiento &amp; Auditoría"/>
    <s v="GGI / CMC"/>
    <x v="0"/>
    <s v="SDATOOL-39888 $ Proyecto - Evolutivo Sarlaft - Mejoras controles aplicativos"/>
    <n v="0.1"/>
    <s v="QA"/>
    <s v="Mainframe"/>
    <m/>
    <e v="#NAME?"/>
    <x v="0"/>
    <e v="#NAME?"/>
    <m/>
    <m/>
    <m/>
    <m/>
    <m/>
    <m/>
  </r>
  <r>
    <s v="T005931"/>
    <s v="DANIEL MAURICIO RIANO PEDRAZA_x000a_"/>
    <x v="2"/>
    <s v="Cumplimiento &amp; Auditoría"/>
    <s v="GGI / CMC"/>
    <x v="0"/>
    <s v="SDATOOL-40984 $ Proyecto - Identificación e ingesta de las tablas necesarias en datio y la construcción del caso de uso para la identificación de vínculos - Colombia"/>
    <n v="0.1"/>
    <s v="QA"/>
    <s v="Mainframe"/>
    <m/>
    <e v="#NAME?"/>
    <x v="0"/>
    <e v="#NAME?"/>
    <m/>
    <m/>
    <m/>
    <m/>
    <m/>
    <m/>
  </r>
  <r>
    <s v="CE68547"/>
    <s v="JOSE ROBERTO GONZALEZ MELO_x000a_"/>
    <x v="2"/>
    <s v="Cumplimiento &amp; Auditoría"/>
    <s v="KRYPTO"/>
    <x v="0"/>
    <s v="SDATOOL-29998 $ Despliegue SAS AML en BBVA CO"/>
    <n v="0.1"/>
    <s v="QA"/>
    <s v="Mainframe"/>
    <m/>
    <e v="#NAME?"/>
    <x v="0"/>
    <e v="#NAME?"/>
    <m/>
    <m/>
    <m/>
    <m/>
    <m/>
    <m/>
  </r>
  <r>
    <s v="CE68547"/>
    <s v="JOSE ROBERTO GONZALEZ MELO_x000a_"/>
    <x v="2"/>
    <s v="Cumplimiento &amp; Auditoría"/>
    <s v="KRYPTO"/>
    <x v="0"/>
    <s v="SDATOOL-39265 $ Migración Operaciones Fircosoft"/>
    <n v="0.1"/>
    <s v="QA"/>
    <s v="Mainframe"/>
    <s v="Usuario  lo presentara en el WG del 30/03/2023"/>
    <e v="#NAME?"/>
    <x v="0"/>
    <e v="#NAME?"/>
    <m/>
    <m/>
    <m/>
    <m/>
    <m/>
    <m/>
  </r>
  <r>
    <s v="CE68547"/>
    <s v="JOSE ROBERTO GONZALEZ MELO_x000a_"/>
    <x v="2"/>
    <s v="Cumplimiento &amp; Auditoría"/>
    <s v="KRYPTO"/>
    <x v="0"/>
    <s v="SDATOOL-39888 $ Proyecto - Evolutivo Sarlaft - Mejoras controles aplicativos"/>
    <n v="0.1"/>
    <s v="QA"/>
    <s v="Mainframe"/>
    <m/>
    <e v="#NAME?"/>
    <x v="0"/>
    <e v="#NAME?"/>
    <m/>
    <m/>
    <m/>
    <m/>
    <m/>
    <m/>
  </r>
  <r>
    <s v="CE68547"/>
    <s v="JOSE ROBERTO GONZALEZ MELO_x000a_"/>
    <x v="2"/>
    <s v="Cumplimiento &amp; Auditoría"/>
    <s v="KRYPTO"/>
    <x v="0"/>
    <s v="SDATOOL-40984 $ Proyecto - Identificación e ingesta de las tablas necesarias en datio y la construcción del caso de uso para la identificación de vínculos - Colombia"/>
    <n v="0.1"/>
    <s v="QA"/>
    <s v="Mainframe"/>
    <m/>
    <e v="#NAME?"/>
    <x v="0"/>
    <e v="#NAME?"/>
    <m/>
    <m/>
    <m/>
    <m/>
    <m/>
    <m/>
  </r>
  <r>
    <s v="CE46213"/>
    <s v="DANIEL ANTONIO CAMACHO ARIZA"/>
    <x v="2"/>
    <s v="Cumplimiento &amp; Auditoría"/>
    <s v="Neoris"/>
    <x v="0"/>
    <s v="SDATOOL-39888 $ Proyecto - Evolutivo Sarlaft - Mejoras controles aplicativos"/>
    <n v="1"/>
    <s v="Desarrollador"/>
    <s v="Mainframe"/>
    <m/>
    <e v="#NAME?"/>
    <x v="0"/>
    <e v="#NAME?"/>
    <m/>
    <m/>
    <m/>
    <m/>
    <m/>
    <m/>
  </r>
  <r>
    <s v="T000603"/>
    <s v="JEISSON ANDRES RUIZ MARTINEZ"/>
    <x v="2"/>
    <s v="Cumplimiento &amp; Auditoría"/>
    <s v="Neoris"/>
    <x v="0"/>
    <s v="SDATOOL-39888 $ Proyecto - Evolutivo Sarlaft - Mejoras controles aplicativos"/>
    <n v="1"/>
    <s v="Desarrollador"/>
    <s v="Mainframe"/>
    <m/>
    <e v="#NAME?"/>
    <x v="0"/>
    <e v="#NAME?"/>
    <m/>
    <m/>
    <m/>
    <m/>
    <m/>
    <m/>
  </r>
  <r>
    <s v="CE70371"/>
    <s v="DANEL PULECIO GONZALEZ "/>
    <x v="2"/>
    <s v="Cumplimiento &amp; Auditoría"/>
    <s v="Neoris"/>
    <x v="0"/>
    <s v="SDATOOL-39888 $ Proyecto - Evolutivo Sarlaft - Mejoras controles aplicativos"/>
    <n v="1"/>
    <s v="Desarrollador"/>
    <s v="Mainframe"/>
    <m/>
    <e v="#NAME?"/>
    <x v="0"/>
    <e v="#NAME?"/>
    <m/>
    <m/>
    <m/>
    <m/>
    <m/>
    <m/>
  </r>
  <r>
    <s v="C341759"/>
    <s v="CHRISTIAN EDUARDO DIAZ GARCIA "/>
    <x v="2"/>
    <s v="Finanzas"/>
    <s v="BBVA"/>
    <x v="0"/>
    <s v="SDATOOL-37411 $ Infraestructura reportes regulatorios"/>
    <n v="0.05"/>
    <s v="Tech Manager/Líder"/>
    <s v="Mainframe"/>
    <m/>
    <e v="#NAME?"/>
    <x v="0"/>
    <e v="#NAME?"/>
    <m/>
    <m/>
    <m/>
    <m/>
    <m/>
    <m/>
  </r>
  <r>
    <s v="C341759"/>
    <s v="CHRISTIAN EDUARDO DIAZ GARCIA "/>
    <x v="2"/>
    <s v="Finanzas"/>
    <s v="BBVA"/>
    <x v="0"/>
    <s v="SDATOOL-37681 $ Ciclo 2 - Resolución 0098 de Octubre 28 de 2020 - Reportes información Exógena Base Impuestos"/>
    <n v="0.1"/>
    <s v="Tech Manager/Líder"/>
    <s v="Mainframe"/>
    <m/>
    <e v="#NAME?"/>
    <x v="0"/>
    <e v="#NAME?"/>
    <m/>
    <m/>
    <m/>
    <m/>
    <m/>
    <m/>
  </r>
  <r>
    <s v="C341759"/>
    <s v="CHRISTIAN EDUARDO DIAZ GARCIA "/>
    <x v="2"/>
    <s v="Finanzas"/>
    <s v="BBVA"/>
    <x v="0"/>
    <s v="SDATOOL-38583 $ FUSIONES Y ACTUALIZACION DE IDENTIFICACIONES"/>
    <n v="0.1"/>
    <s v="Tech Manager/Líder"/>
    <s v="Mainframe"/>
    <m/>
    <e v="#NAME?"/>
    <x v="0"/>
    <e v="#NAME?"/>
    <m/>
    <m/>
    <m/>
    <m/>
    <m/>
    <m/>
  </r>
  <r>
    <s v="C341759"/>
    <s v="CHRISTIAN EDUARDO DIAZ GARCIA "/>
    <x v="2"/>
    <s v="Finanzas"/>
    <s v="BBVA"/>
    <x v="0"/>
    <s v="SDATOOL-40003 $ Resolución 0124 DIAN 2021 - Créditos Hipotecarios para remodelación de Vivienda"/>
    <n v="0.05"/>
    <s v="Tech Manager/Líder"/>
    <s v="Mainframe"/>
    <m/>
    <e v="#NAME?"/>
    <x v="0"/>
    <e v="#NAME?"/>
    <m/>
    <m/>
    <m/>
    <m/>
    <m/>
    <m/>
  </r>
  <r>
    <s v="C341759"/>
    <s v="CHRISTIAN EDUARDO DIAZ GARCIA "/>
    <x v="2"/>
    <s v="Finanzas"/>
    <s v="BBVA"/>
    <x v="0"/>
    <s v="SDATOOL-40225 $ Resolución 0124 Dian - 2021 - Ajustes para Reporte de Información Exógena año gravable 2022 - Ciclo 1"/>
    <n v="0.1"/>
    <s v="Tech Manager/Líder"/>
    <s v="Mainframe"/>
    <m/>
    <e v="#NAME?"/>
    <x v="0"/>
    <e v="#NAME?"/>
    <m/>
    <m/>
    <m/>
    <m/>
    <m/>
    <m/>
  </r>
  <r>
    <s v="C341759"/>
    <s v="CHRISTIAN EDUARDO DIAZ GARCIA "/>
    <x v="2"/>
    <s v="Finanzas"/>
    <s v="BBVA"/>
    <x v="0"/>
    <s v="SDATOOL-33847 $ Resolución 0042 DIAN Documento Soporte"/>
    <n v="0.1"/>
    <s v="Tech Manager/Líder"/>
    <s v="Mainframe"/>
    <m/>
    <e v="#NAME?"/>
    <x v="0"/>
    <e v="#NAME?"/>
    <m/>
    <m/>
    <m/>
    <m/>
    <m/>
    <m/>
  </r>
  <r>
    <s v="C341759"/>
    <s v="CHRISTIAN EDUARDO DIAZ GARCIA "/>
    <x v="2"/>
    <s v="Finanzas"/>
    <s v="BBVA"/>
    <x v="0"/>
    <s v="SDATOOL-39823 $ REPORTERIA PROVISIONES _ S1, S2, S3, SA y CxP en Divisa"/>
    <n v="0.05"/>
    <s v="Tech Manager/Líder"/>
    <s v="Mainframe"/>
    <m/>
    <e v="#NAME?"/>
    <x v="0"/>
    <e v="#NAME?"/>
    <m/>
    <m/>
    <m/>
    <m/>
    <m/>
    <m/>
  </r>
  <r>
    <s v="C341759"/>
    <s v="CHRISTIAN EDUARDO DIAZ GARCIA "/>
    <x v="2"/>
    <s v="Finanzas"/>
    <s v="BBVA"/>
    <x v="0"/>
    <s v="SDATOOL-40191 $ Ajuste apuntes manuales CC0112 – GPS"/>
    <n v="0.05"/>
    <s v="Tech Manager/Líder"/>
    <s v="Mainframe"/>
    <m/>
    <e v="#NAME?"/>
    <x v="0"/>
    <e v="#NAME?"/>
    <m/>
    <m/>
    <m/>
    <m/>
    <m/>
    <m/>
  </r>
  <r>
    <s v="C341759"/>
    <s v="CHRISTIAN EDUARDO DIAZ GARCIA "/>
    <x v="2"/>
    <s v="Finanzas"/>
    <s v="BBVA"/>
    <x v="0"/>
    <s v="SDATOOL-37184 $ Actualizaciones Aplicativo ADA V2"/>
    <n v="0.1"/>
    <s v="Tech Manager/Líder"/>
    <s v="Mainframe"/>
    <m/>
    <e v="#NAME?"/>
    <x v="0"/>
    <e v="#NAME?"/>
    <m/>
    <m/>
    <m/>
    <m/>
    <m/>
    <m/>
  </r>
  <r>
    <s v="C341759"/>
    <s v="CHRISTIAN EDUARDO DIAZ GARCIA "/>
    <x v="2"/>
    <s v="Finanzas"/>
    <s v="BBVA"/>
    <x v="0"/>
    <s v="SDATOOL-40274 $ CIRCULAR 033 de 2021-SFC"/>
    <n v="0.05"/>
    <s v="Tech Manager/Líder"/>
    <s v="Mainframe"/>
    <m/>
    <e v="#NAME?"/>
    <x v="0"/>
    <e v="#NAME?"/>
    <m/>
    <m/>
    <m/>
    <m/>
    <m/>
    <m/>
  </r>
  <r>
    <s v="C341759"/>
    <s v="CHRISTIAN EDUARDO DIAZ GARCIA "/>
    <x v="2"/>
    <s v="Finanzas"/>
    <s v="BBVA"/>
    <x v="0"/>
    <s v="SDATOOL-42059 $ Arrendamiento tecnológico Real State - GPS"/>
    <n v="0.05"/>
    <s v="Tech Manager/Líder"/>
    <s v="Mainframe"/>
    <s v="Tiene Staffing pero no se ha presentado en el WG"/>
    <e v="#NAME?"/>
    <x v="0"/>
    <e v="#NAME?"/>
    <m/>
    <m/>
    <m/>
    <m/>
    <m/>
    <m/>
  </r>
  <r>
    <s v="C341759"/>
    <s v="CHRISTIAN EDUARDO DIAZ GARCIA "/>
    <x v="2"/>
    <s v="Finanzas"/>
    <s v="BBVA"/>
    <x v="0"/>
    <s v="SDATOOL-33862 $ NDoD Accounting"/>
    <n v="0.05"/>
    <s v="Tech Manager/Líder"/>
    <s v="Mainframe"/>
    <m/>
    <e v="#NAME?"/>
    <x v="0"/>
    <e v="#NAME?"/>
    <m/>
    <m/>
    <m/>
    <m/>
    <m/>
    <m/>
  </r>
  <r>
    <s v="C341759"/>
    <s v="CHRISTIAN EDUARDO DIAZ GARCIA "/>
    <x v="2"/>
    <s v="Finanzas"/>
    <s v="BBVA"/>
    <x v="0"/>
    <s v="SDATOOL-40869 $ Herramientas Regulatorias Regionales (FINREP/AE y Liquidez) 2023"/>
    <n v="0.05"/>
    <s v="Tech Manager/Líder"/>
    <s v="Mainframe"/>
    <s v="Tiene Staffing pero no se ha presentado en el WG"/>
    <e v="#NAME?"/>
    <x v="0"/>
    <e v="#NAME?"/>
    <m/>
    <m/>
    <m/>
    <m/>
    <m/>
    <m/>
  </r>
  <r>
    <s v="C341759"/>
    <s v="CHRISTIAN EDUARDO DIAZ GARCIA "/>
    <x v="2"/>
    <s v="Finanzas"/>
    <s v="BBVA"/>
    <x v="0"/>
    <s v="SDATOOL-40529 $ Aplicativos Finanzas - 2023"/>
    <n v="0.05"/>
    <s v="Tech Manager/Líder"/>
    <s v="Mainframe"/>
    <m/>
    <e v="#NAME?"/>
    <x v="0"/>
    <e v="#NAME?"/>
    <m/>
    <m/>
    <m/>
    <m/>
    <m/>
    <m/>
  </r>
  <r>
    <s v="C341759"/>
    <s v="CHRISTIAN EDUARDO DIAZ GARCIA "/>
    <x v="2"/>
    <s v="Finanzas"/>
    <s v="BBVA"/>
    <x v="0"/>
    <s v="SDATOOL-40736 $ Curvas de Fondeo por Producto (ALM)"/>
    <n v="0.05"/>
    <s v="Tech Manager/Líder"/>
    <s v="Mainframe"/>
    <m/>
    <e v="#NAME?"/>
    <x v="0"/>
    <e v="#NAME?"/>
    <m/>
    <m/>
    <m/>
    <m/>
    <m/>
    <m/>
  </r>
  <r>
    <s v="O001639"/>
    <s v="DAVID ANDRES RODRIGUEZ BAEZ"/>
    <x v="2"/>
    <s v="Finanzas"/>
    <s v="BBVA"/>
    <x v="0"/>
    <s v="SDATOOL-40599 $ Proyecto - Circular 025"/>
    <n v="0.25"/>
    <s v="Desarrollador"/>
    <s v="Distribuido"/>
    <s v="Tiene Staffing pero no se ha presentado en el WG"/>
    <e v="#NAME?"/>
    <x v="0"/>
    <e v="#NAME?"/>
    <m/>
    <m/>
    <m/>
    <m/>
    <m/>
    <m/>
  </r>
  <r>
    <s v="O001639"/>
    <s v="DAVID ANDRES RODRIGUEZ BAEZ"/>
    <x v="2"/>
    <s v="Finanzas"/>
    <s v="BBVA"/>
    <x v="0"/>
    <s v="SDATOOL-33847 $ Resolución 0042 DIAN Documento Soporte"/>
    <n v="0.5"/>
    <s v="Desarrollador"/>
    <s v="Distribuido"/>
    <m/>
    <e v="#NAME?"/>
    <x v="0"/>
    <e v="#NAME?"/>
    <m/>
    <m/>
    <m/>
    <m/>
    <m/>
    <m/>
  </r>
  <r>
    <s v="O001639"/>
    <s v="DAVID ANDRES RODRIGUEZ BAEZ"/>
    <x v="2"/>
    <s v="Finanzas"/>
    <s v="BBVA"/>
    <x v="0"/>
    <s v="SDATOOL-37184 $ Actualizaciones Aplicativo ADA V2"/>
    <n v="0.25"/>
    <s v="Desarrollador"/>
    <s v="Distribuido"/>
    <m/>
    <e v="#NAME?"/>
    <x v="0"/>
    <e v="#NAME?"/>
    <m/>
    <m/>
    <m/>
    <m/>
    <m/>
    <m/>
  </r>
  <r>
    <s v="C809546"/>
    <s v="GOMEZ CUADRADO JENNY PAOLA"/>
    <x v="2"/>
    <s v="Finanzas"/>
    <s v="BBVA"/>
    <x v="0"/>
    <s v="SDATOOL-40599 $ Proyecto - Circular 025"/>
    <n v="0.05"/>
    <s v="Desarrollador"/>
    <s v="Mainframe"/>
    <s v="Tiene Staffing pero no se ha presentado en el WG"/>
    <e v="#NAME?"/>
    <x v="0"/>
    <e v="#NAME?"/>
    <m/>
    <m/>
    <m/>
    <m/>
    <m/>
    <m/>
  </r>
  <r>
    <s v="C809546"/>
    <s v="GOMEZ CUADRADO JENNY PAOLA"/>
    <x v="2"/>
    <s v="Finanzas"/>
    <s v="BBVA"/>
    <x v="0"/>
    <s v="SDATOOL-39823 $ REPORTERIA PROVISIONES _ S1, S2, S3, SA y CxP en Divisa"/>
    <n v="0.05"/>
    <s v="Desarrollador"/>
    <s v="Mainframe"/>
    <m/>
    <e v="#NAME?"/>
    <x v="0"/>
    <e v="#NAME?"/>
    <m/>
    <m/>
    <m/>
    <m/>
    <m/>
    <m/>
  </r>
  <r>
    <s v="C809546"/>
    <s v="GOMEZ CUADRADO JENNY PAOLA"/>
    <x v="2"/>
    <s v="Finanzas"/>
    <s v="BBVA"/>
    <x v="0"/>
    <s v="SDATOOL-40191 $ Ajuste apuntes manuales CC0112 – GPS"/>
    <n v="0.05"/>
    <s v="Desarrollador"/>
    <s v="Mainframe"/>
    <m/>
    <e v="#NAME?"/>
    <x v="0"/>
    <e v="#NAME?"/>
    <m/>
    <m/>
    <m/>
    <m/>
    <m/>
    <m/>
  </r>
  <r>
    <s v="C809546"/>
    <s v="GOMEZ CUADRADO JENNY PAOLA"/>
    <x v="2"/>
    <s v="Finanzas"/>
    <s v="BBVA"/>
    <x v="0"/>
    <s v="SDATOOL-40225 $ Resolución 0124 Dian - 2021 - Ajustes para Reporte de Información Exógena año gravable 2022 - Ciclo 1"/>
    <n v="0.05"/>
    <s v="Desarrollador"/>
    <s v="Mainframe"/>
    <m/>
    <e v="#NAME?"/>
    <x v="0"/>
    <e v="#NAME?"/>
    <m/>
    <m/>
    <m/>
    <m/>
    <m/>
    <m/>
  </r>
  <r>
    <s v="C809546"/>
    <s v="GOMEZ CUADRADO JENNY PAOLA"/>
    <x v="2"/>
    <s v="Finanzas"/>
    <s v="BBVA"/>
    <x v="0"/>
    <s v="SDATOOL-37681 $ Ciclo 2 - Resolución 0098 de Octubre 28 de 2020 - Reportes información Exógena Base Impuestos"/>
    <n v="0.05"/>
    <s v="Desarrollador"/>
    <s v="Mainframe"/>
    <m/>
    <e v="#NAME?"/>
    <x v="0"/>
    <e v="#NAME?"/>
    <m/>
    <m/>
    <m/>
    <m/>
    <m/>
    <m/>
  </r>
  <r>
    <s v="C809546"/>
    <s v="GOMEZ CUADRADO JENNY PAOLA"/>
    <x v="2"/>
    <s v="Finanzas"/>
    <s v="BBVA"/>
    <x v="0"/>
    <s v="SDATOOL-40274 $ CIRCULAR 033 de 2021-SFC"/>
    <n v="0.75"/>
    <s v="Desarrollador"/>
    <s v="Mainframe"/>
    <m/>
    <e v="#NAME?"/>
    <x v="0"/>
    <e v="#NAME?"/>
    <m/>
    <m/>
    <m/>
    <m/>
    <m/>
    <m/>
  </r>
  <r>
    <s v="C811405"/>
    <s v="JUAN DAVID MONTERO BOGOTA"/>
    <x v="2"/>
    <s v="Finanzas"/>
    <s v="BBVA"/>
    <x v="0"/>
    <s v="SDATOOL-37411 $ Infraestructura reportes regulatorios"/>
    <n v="1"/>
    <s v="Desarrollador"/>
    <s v="Distribuido"/>
    <m/>
    <e v="#NAME?"/>
    <x v="0"/>
    <e v="#NAME?"/>
    <m/>
    <m/>
    <m/>
    <m/>
    <m/>
    <m/>
  </r>
  <r>
    <s v="C804743"/>
    <s v="MILENA MARGARITA GONZALEZ PARRA "/>
    <x v="2"/>
    <s v="Finanzas"/>
    <s v="BBVA"/>
    <x v="0"/>
    <s v="SDATOOL-40529 $ Aplicativos Finanzas - 2023"/>
    <n v="0.05"/>
    <s v="Desarrollador"/>
    <s v="Distribuido"/>
    <m/>
    <e v="#NAME?"/>
    <x v="0"/>
    <e v="#NAME?"/>
    <m/>
    <m/>
    <m/>
    <m/>
    <m/>
    <m/>
  </r>
  <r>
    <s v="C804743"/>
    <s v="MILENA MARGARITA GONZALEZ PARRA "/>
    <x v="2"/>
    <s v="Finanzas"/>
    <s v="BBVA"/>
    <x v="0"/>
    <s v="SDATOOL-40274 $ CIRCULAR 033 de 2021-SFC"/>
    <n v="0.25"/>
    <s v="Desarrollador"/>
    <s v="Distribuido"/>
    <m/>
    <e v="#NAME?"/>
    <x v="0"/>
    <e v="#NAME?"/>
    <m/>
    <m/>
    <m/>
    <m/>
    <m/>
    <m/>
  </r>
  <r>
    <s v="C804743"/>
    <s v="MILENA MARGARITA GONZALEZ PARRA "/>
    <x v="2"/>
    <s v="Finanzas"/>
    <s v="BBVA"/>
    <x v="0"/>
    <s v="SDATOOL-37411 $ Infraestructura reportes regulatorios"/>
    <n v="0.7"/>
    <s v="Desarrollador"/>
    <s v="Distribuido"/>
    <m/>
    <e v="#NAME?"/>
    <x v="0"/>
    <e v="#NAME?"/>
    <m/>
    <m/>
    <m/>
    <m/>
    <m/>
    <m/>
  </r>
  <r>
    <s v="C343619"/>
    <s v="REY GOMEZ ANDRES CAMILO"/>
    <x v="2"/>
    <s v="Finanzas"/>
    <s v="BBVA"/>
    <x v="0"/>
    <s v="SDATOOL-38583 $ FUSIONES Y ACTUALIZACION DE IDENTIFICACIONES"/>
    <n v="0.25"/>
    <s v="Desarrollador"/>
    <s v="Mainframe"/>
    <m/>
    <e v="#NAME?"/>
    <x v="0"/>
    <e v="#NAME?"/>
    <m/>
    <m/>
    <m/>
    <m/>
    <m/>
    <m/>
  </r>
  <r>
    <s v="C343619"/>
    <s v="REY GOMEZ ANDRES CAMILO"/>
    <x v="2"/>
    <s v="Finanzas"/>
    <s v="BBVA"/>
    <x v="0"/>
    <s v="SDATOOL-37681 $ Ciclo 2 - Resolución 0098 de Octubre 28 de 2020 - Reportes información Exógena Base Impuestos"/>
    <n v="0.25"/>
    <s v="Desarrollador"/>
    <s v="Mainframe"/>
    <m/>
    <e v="#NAME?"/>
    <x v="0"/>
    <e v="#NAME?"/>
    <m/>
    <m/>
    <m/>
    <m/>
    <m/>
    <m/>
  </r>
  <r>
    <s v="C343619"/>
    <s v="REY GOMEZ ANDRES CAMILO"/>
    <x v="2"/>
    <s v="Finanzas"/>
    <s v="BBVA"/>
    <x v="0"/>
    <s v="SDATOOL-40003 $ Resolución 0124 DIAN 2021 - Créditos Hipotecarios para remodelación de Vivienda"/>
    <n v="0.25"/>
    <s v="Desarrollador"/>
    <s v="Mainframe"/>
    <m/>
    <e v="#NAME?"/>
    <x v="0"/>
    <e v="#NAME?"/>
    <m/>
    <m/>
    <m/>
    <m/>
    <m/>
    <m/>
  </r>
  <r>
    <s v="C343619"/>
    <s v="REY GOMEZ ANDRES CAMILO"/>
    <x v="2"/>
    <s v="Finanzas"/>
    <s v="BBVA"/>
    <x v="0"/>
    <s v="SDATOOL-40225 $ Resolución 0124 Dian - 2021 - Ajustes para Reporte de Información Exógena año gravable 2022 - Ciclo 1"/>
    <n v="0.25"/>
    <s v="Desarrollador"/>
    <s v="Mainframe"/>
    <m/>
    <e v="#NAME?"/>
    <x v="0"/>
    <e v="#NAME?"/>
    <m/>
    <m/>
    <m/>
    <m/>
    <m/>
    <m/>
  </r>
  <r>
    <s v="O003311"/>
    <s v="VACA BERNAL JAIRO ALEXIS"/>
    <x v="2"/>
    <s v="Finanzas"/>
    <s v="BBVA"/>
    <x v="0"/>
    <s v="SDATOOL-32520 $ CDD Based Reporting - Colombia"/>
    <n v="0.5"/>
    <s v="Desarrollador"/>
    <s v="Mainframe"/>
    <m/>
    <e v="#NAME?"/>
    <x v="0"/>
    <e v="#NAME?"/>
    <m/>
    <m/>
    <m/>
    <m/>
    <m/>
    <m/>
  </r>
  <r>
    <s v="O003311"/>
    <s v="VACA BERNAL JAIRO ALEXIS"/>
    <x v="2"/>
    <s v="Finanzas"/>
    <s v="BBVA"/>
    <x v="0"/>
    <s v="SDATOOL-40869 $ Herramientas Regulatorias Regionales (FINREP/AE y Liquidez) 2023"/>
    <n v="0.05"/>
    <s v="Desarrollador"/>
    <s v="Mainframe"/>
    <s v="Tiene Staffing pero no se ha presentado en el WG"/>
    <e v="#NAME?"/>
    <x v="0"/>
    <e v="#NAME?"/>
    <m/>
    <m/>
    <m/>
    <m/>
    <m/>
    <m/>
  </r>
  <r>
    <s v="O003311"/>
    <s v="VACA BERNAL JAIRO ALEXIS"/>
    <x v="2"/>
    <s v="Finanzas"/>
    <s v="BBVA"/>
    <x v="0"/>
    <s v="SDATOOL-40529 $ Aplicativos Finanzas - 2023"/>
    <n v="0.25"/>
    <s v="Desarrollador"/>
    <s v="Mainframe"/>
    <m/>
    <e v="#NAME?"/>
    <x v="0"/>
    <e v="#NAME?"/>
    <m/>
    <m/>
    <m/>
    <m/>
    <m/>
    <m/>
  </r>
  <r>
    <s v="O003311"/>
    <s v="VACA BERNAL JAIRO ALEXIS"/>
    <x v="2"/>
    <s v="Finanzas"/>
    <s v="BBVA"/>
    <x v="0"/>
    <s v="SDATOOL-40736 $ Curvas de Fondeo por Producto (ALM)"/>
    <n v="0.2"/>
    <s v="Desarrollador"/>
    <s v="Mainframe"/>
    <m/>
    <e v="#NAME?"/>
    <x v="0"/>
    <e v="#NAME?"/>
    <m/>
    <m/>
    <m/>
    <m/>
    <m/>
    <m/>
  </r>
  <r>
    <s v="C803834"/>
    <s v="VIVIANA ALARCON TORRES"/>
    <x v="2"/>
    <s v="Finanzas"/>
    <s v="BBVA"/>
    <x v="0"/>
    <s v="SDATOOL-33862 $ NDoD Accounting"/>
    <n v="0.25"/>
    <s v="Desarrollador"/>
    <s v="Distribuido"/>
    <s v="En revision con dominio por cuanto debe estar "/>
    <e v="#NAME?"/>
    <x v="0"/>
    <e v="#NAME?"/>
    <m/>
    <m/>
    <m/>
    <m/>
    <m/>
    <m/>
  </r>
  <r>
    <s v="C803834"/>
    <s v="VIVIANA ALARCON TORRES"/>
    <x v="2"/>
    <s v="Finanzas"/>
    <s v="BBVA"/>
    <x v="0"/>
    <s v="SDATOOL-40274 $ CIRCULAR 033 de 2021-SFC"/>
    <n v="0.5"/>
    <s v="Desarrollador"/>
    <s v="Distribuido"/>
    <m/>
    <e v="#NAME?"/>
    <x v="0"/>
    <e v="#NAME?"/>
    <m/>
    <m/>
    <m/>
    <m/>
    <m/>
    <m/>
  </r>
  <r>
    <s v="C803834"/>
    <s v="VIVIANA ALARCON TORRES"/>
    <x v="2"/>
    <s v="Finanzas"/>
    <s v="BBVA"/>
    <x v="0"/>
    <s v="SDATOOL-32520 $ CDD Based Reporting - Colombia"/>
    <n v="0.15"/>
    <s v="Desarrollador"/>
    <s v="Distribuido"/>
    <m/>
    <e v="#NAME?"/>
    <x v="0"/>
    <e v="#NAME?"/>
    <m/>
    <m/>
    <m/>
    <m/>
    <m/>
    <m/>
  </r>
  <r>
    <s v="C803834"/>
    <s v="VIVIANA ALARCON TORRES"/>
    <x v="2"/>
    <s v="Finanzas"/>
    <s v="BBVA"/>
    <x v="0"/>
    <s v="SDATOOL-40529 $ Aplicativos Finanzas - 2023"/>
    <n v="0.1"/>
    <s v="Desarrollador"/>
    <s v="Distribuido"/>
    <m/>
    <e v="#NAME?"/>
    <x v="0"/>
    <e v="#NAME?"/>
    <m/>
    <m/>
    <m/>
    <m/>
    <m/>
    <m/>
  </r>
  <r>
    <s v="C808860"/>
    <s v="ZARATE PAVAS JOHN JAIRO"/>
    <x v="2"/>
    <s v="Finanzas"/>
    <s v="BBVA"/>
    <x v="0"/>
    <s v="SDATOOL-40225 $ Resolución 0124 Dian - 2021 - Ajustes para Reporte de Información Exógena año gravable 2022 - Ciclo 1"/>
    <n v="0.1"/>
    <s v="Desarrollador"/>
    <s v="Mainframe"/>
    <m/>
    <e v="#NAME?"/>
    <x v="0"/>
    <e v="#NAME?"/>
    <m/>
    <m/>
    <m/>
    <m/>
    <m/>
    <m/>
  </r>
  <r>
    <s v="C808860"/>
    <s v="ZARATE PAVAS JOHN JAIRO"/>
    <x v="2"/>
    <s v="Finanzas"/>
    <s v="BBVA"/>
    <x v="0"/>
    <s v="SDATOOL-37681 $ Ciclo 2 - Resolución 0098 de Octubre 28 de 2020 - Reportes información Exógena Base Impuestos"/>
    <n v="0.05"/>
    <s v="Desarrollador"/>
    <s v="Mainframe"/>
    <m/>
    <e v="#NAME?"/>
    <x v="0"/>
    <e v="#NAME?"/>
    <m/>
    <m/>
    <m/>
    <m/>
    <m/>
    <m/>
  </r>
  <r>
    <s v="C808860"/>
    <s v="ZARATE PAVAS JOHN JAIRO"/>
    <x v="2"/>
    <s v="Finanzas"/>
    <s v="BBVA"/>
    <x v="0"/>
    <s v="SDATOOL-38583 $ FUSIONES Y ACTUALIZACION DE IDENTIFICACIONES"/>
    <n v="0.5"/>
    <s v="Desarrollador"/>
    <s v="Mainframe"/>
    <m/>
    <e v="#NAME?"/>
    <x v="0"/>
    <e v="#NAME?"/>
    <m/>
    <m/>
    <m/>
    <m/>
    <m/>
    <m/>
  </r>
  <r>
    <s v="C808860"/>
    <s v="ZARATE PAVAS JOHN JAIRO"/>
    <x v="2"/>
    <s v="Finanzas"/>
    <s v="BBVA"/>
    <x v="0"/>
    <s v="SDATOOL-40003 $ Resolución 0124 DIAN 2021 - Créditos Hipotecarios para remodelación de Vivienda"/>
    <n v="0.1"/>
    <s v="Desarrollador"/>
    <s v="Mainframe"/>
    <m/>
    <e v="#NAME?"/>
    <x v="0"/>
    <e v="#NAME?"/>
    <m/>
    <m/>
    <m/>
    <m/>
    <m/>
    <m/>
  </r>
  <r>
    <s v="C808860"/>
    <s v="ZARATE PAVAS JOHN JAIRO"/>
    <x v="2"/>
    <s v="Finanzas"/>
    <s v="BBVA"/>
    <x v="0"/>
    <s v="SDATOOL-33847 $ Resolución 0042 DIAN Documento Soporte"/>
    <n v="0.25"/>
    <s v="Desarrollador"/>
    <s v="Mainframe"/>
    <m/>
    <e v="#NAME?"/>
    <x v="0"/>
    <e v="#NAME?"/>
    <m/>
    <m/>
    <m/>
    <m/>
    <m/>
    <m/>
  </r>
  <r>
    <s v="C810765"/>
    <s v="ANGELA MARIA DIAZ PEÑA "/>
    <x v="2"/>
    <s v="Finanzas"/>
    <s v="BBVA"/>
    <x v="0"/>
    <s v="SDATOOL-40225 $ Resolución 0124 Dian - 2021 - Ajustes para Reporte de Información Exógena año gravable 2022 - Ciclo 1"/>
    <n v="0.5"/>
    <s v="QA"/>
    <s v="Mainframe"/>
    <s v="QC con otros equipos, por ejm Riesgos "/>
    <e v="#NAME?"/>
    <x v="0"/>
    <e v="#NAME?"/>
    <m/>
    <m/>
    <m/>
    <m/>
    <m/>
    <m/>
  </r>
  <r>
    <s v="C810765"/>
    <s v="ANGELA MARIA DIAZ PEÑA "/>
    <x v="2"/>
    <s v="Riesgos"/>
    <s v="BBVA"/>
    <x v="0"/>
    <s v="NOSDA $ BAU (Mantenimiento y peq. evolutivos)"/>
    <n v="0.5"/>
    <s v="QA"/>
    <s v="Mainframe"/>
    <m/>
    <e v="#NAME?"/>
    <x v="0"/>
    <e v="#NAME?"/>
    <m/>
    <m/>
    <m/>
    <m/>
    <m/>
    <m/>
  </r>
  <r>
    <s v="CE66053"/>
    <s v="Andres Francisco Duarte Sanchez"/>
    <x v="2"/>
    <s v="Finanzas"/>
    <s v="GGI / CMC"/>
    <x v="0"/>
    <s v="SDATOOL-40003 $ Resolución 0124 DIAN 2021 - Créditos Hipotecarios para remodelación de Vivienda"/>
    <n v="1"/>
    <s v="Desarrollador"/>
    <s v="Distribuido"/>
    <m/>
    <e v="#NAME?"/>
    <x v="0"/>
    <e v="#NAME?"/>
    <m/>
    <m/>
    <m/>
    <m/>
    <m/>
    <m/>
  </r>
  <r>
    <s v="T005396"/>
    <s v="Andres Leonardo Ramirez Sanchez"/>
    <x v="2"/>
    <s v="Finanzas"/>
    <s v="GGI / CMC"/>
    <x v="0"/>
    <s v="SDATOOL-40225 $ Resolución 0124 Dian - 2021 - Ajustes para Reporte de Información Exógena año gravable 2022 - Ciclo 1"/>
    <n v="1"/>
    <s v="Desarrollador"/>
    <s v="Mainframe"/>
    <m/>
    <e v="#NAME?"/>
    <x v="0"/>
    <e v="#NAME?"/>
    <m/>
    <m/>
    <m/>
    <m/>
    <m/>
    <m/>
  </r>
  <r>
    <s v="T005394"/>
    <s v="Eder Alberto Niño Mora"/>
    <x v="2"/>
    <s v="Finanzas"/>
    <s v="GGI / CMC"/>
    <x v="0"/>
    <s v="SDATOOL-40225 $ Resolución 0124 Dian - 2021 - Ajustes para Reporte de Información Exógena año gravable 2022 - Ciclo 1"/>
    <n v="1"/>
    <s v="Desarrollador"/>
    <s v="Mainframe"/>
    <m/>
    <e v="#NAME?"/>
    <x v="0"/>
    <e v="#NAME?"/>
    <m/>
    <m/>
    <m/>
    <m/>
    <m/>
    <m/>
  </r>
  <r>
    <s v="CE69136"/>
    <s v="Jeisson Steven Rincon Mellizo"/>
    <x v="2"/>
    <s v="Finanzas"/>
    <s v="GGI / CMC"/>
    <x v="0"/>
    <s v="SDATOOL-37681 $ Ciclo 2 - Resolución 0098 de Octubre 28 de 2020 - Reportes información Exógena Base Impuestos"/>
    <n v="1"/>
    <s v="Desarrollador"/>
    <s v="Mainframe"/>
    <m/>
    <e v="#NAME?"/>
    <x v="0"/>
    <e v="#NAME?"/>
    <m/>
    <m/>
    <m/>
    <m/>
    <m/>
    <m/>
  </r>
  <r>
    <s v="T005393"/>
    <s v="Juan Pablo Ahumada Avila"/>
    <x v="2"/>
    <s v="Finanzas"/>
    <s v="GGI / CMC"/>
    <x v="0"/>
    <s v="SDATOOL-38583 $ FUSIONES Y ACTUALIZACION DE IDENTIFICACIONES"/>
    <n v="1"/>
    <s v="Desarrollador"/>
    <s v="Distribuido"/>
    <m/>
    <e v="#NAME?"/>
    <x v="0"/>
    <e v="#NAME?"/>
    <m/>
    <m/>
    <m/>
    <m/>
    <m/>
    <m/>
  </r>
  <r>
    <s v="T005395"/>
    <s v="Leidy Johanna Ospina Rodriguez"/>
    <x v="2"/>
    <s v="Finanzas"/>
    <s v="GGI / CMC"/>
    <x v="0"/>
    <s v="SDATOOL-40003 $ Resolución 0124 DIAN 2021 - Créditos Hipotecarios para remodelación de Vivienda"/>
    <n v="1"/>
    <s v="Desarrollador"/>
    <s v="Mainframe"/>
    <m/>
    <e v="#NAME?"/>
    <x v="0"/>
    <e v="#NAME?"/>
    <m/>
    <m/>
    <m/>
    <m/>
    <m/>
    <m/>
  </r>
  <r>
    <s v="CE70161"/>
    <s v="Luis Alberto Caldera Chavez"/>
    <x v="2"/>
    <s v="Finanzas"/>
    <s v="GGI / CMC"/>
    <x v="0"/>
    <s v="SDATOOL-37681 $ Ciclo 2 - Resolución 0098 de Octubre 28 de 2020 - Reportes información Exógena Base Impuestos"/>
    <n v="1"/>
    <s v="Desarrollador"/>
    <s v="Mainframe"/>
    <m/>
    <e v="#NAME?"/>
    <x v="0"/>
    <e v="#NAME?"/>
    <m/>
    <m/>
    <m/>
    <m/>
    <m/>
    <m/>
  </r>
  <r>
    <s v="CE52035"/>
    <s v="Orlando Salvador Mora Andrade"/>
    <x v="2"/>
    <s v="Finanzas"/>
    <s v="GGI / CMC"/>
    <x v="0"/>
    <s v="SDATOOL-37681 $ Ciclo 2 - Resolución 0098 de Octubre 28 de 2020 - Reportes información Exógena Base Impuestos"/>
    <n v="0.25"/>
    <s v="Tech Manager/Líder"/>
    <s v="Distribuido"/>
    <m/>
    <e v="#NAME?"/>
    <x v="0"/>
    <e v="#NAME?"/>
    <m/>
    <m/>
    <m/>
    <m/>
    <m/>
    <m/>
  </r>
  <r>
    <s v="CE52035"/>
    <s v="Orlando Salvador Mora Andrade"/>
    <x v="2"/>
    <s v="Finanzas"/>
    <s v="GGI / CMC"/>
    <x v="0"/>
    <s v="SDATOOL-40003 $ Resolución 0124 DIAN 2021 - Créditos Hipotecarios para remodelación de Vivienda"/>
    <n v="0.25"/>
    <s v="Tech Manager/Líder"/>
    <s v="Mainframe"/>
    <m/>
    <e v="#NAME?"/>
    <x v="0"/>
    <e v="#NAME?"/>
    <m/>
    <m/>
    <m/>
    <m/>
    <m/>
    <m/>
  </r>
  <r>
    <s v="CE52035"/>
    <s v="Orlando Salvador Mora Andrade"/>
    <x v="2"/>
    <s v="Finanzas"/>
    <s v="GGI / CMC"/>
    <x v="0"/>
    <s v="SDATOOL-40225 $ Resolución 0124 Dian - 2021 - Ajustes para Reporte de Información Exógena año gravable 2022 - Ciclo 1"/>
    <n v="0.25"/>
    <s v="Tech Manager/Líder"/>
    <s v="Distribuido"/>
    <m/>
    <e v="#NAME?"/>
    <x v="0"/>
    <e v="#NAME?"/>
    <m/>
    <m/>
    <m/>
    <m/>
    <m/>
    <m/>
  </r>
  <r>
    <s v="CE52035"/>
    <s v="Orlando Salvador Mora Andrade"/>
    <x v="2"/>
    <s v="Finanzas"/>
    <s v="GGI / CMC"/>
    <x v="0"/>
    <s v="SDATOOL-38583 $ FUSIONES Y ACTUALIZACION DE IDENTIFICACIONES"/>
    <n v="0.25"/>
    <s v="Tech Manager/Líder"/>
    <s v="Mainframe"/>
    <m/>
    <e v="#NAME?"/>
    <x v="0"/>
    <e v="#NAME?"/>
    <m/>
    <m/>
    <m/>
    <m/>
    <m/>
    <m/>
  </r>
  <r>
    <s v="CE27209"/>
    <s v="Oscar Manuel Diaz Fique"/>
    <x v="2"/>
    <s v="Finanzas"/>
    <s v="GGI / CMC"/>
    <x v="0"/>
    <s v="SDATOOL-40225 $ Resolución 0124 Dian - 2021 - Ajustes para Reporte de Información Exógena año gravable 2022 - Ciclo 1"/>
    <n v="1"/>
    <s v="Desarrollador"/>
    <s v="Mainframe"/>
    <m/>
    <e v="#NAME?"/>
    <x v="0"/>
    <e v="#NAME?"/>
    <m/>
    <m/>
    <m/>
    <m/>
    <m/>
    <m/>
  </r>
  <r>
    <s v="CE58625"/>
    <s v="Ronald David Lara Hernandez"/>
    <x v="2"/>
    <s v="Finanzas"/>
    <s v="GGI / CMC"/>
    <x v="0"/>
    <s v="SDATOOL-40225 $ Resolución 0124 Dian - 2021 - Ajustes para Reporte de Información Exógena año gravable 2022 - Ciclo 1"/>
    <n v="1"/>
    <s v="Desarrollador"/>
    <s v="Mainframe"/>
    <m/>
    <e v="#NAME?"/>
    <x v="0"/>
    <e v="#NAME?"/>
    <m/>
    <m/>
    <m/>
    <m/>
    <m/>
    <m/>
  </r>
  <r>
    <s v="T004566"/>
    <s v="Walther Mauricio Guerrero"/>
    <x v="2"/>
    <s v="Finanzas"/>
    <s v="GGI / CMC"/>
    <x v="0"/>
    <s v="SDATOOL-38583 $ FUSIONES Y ACTUALIZACION DE IDENTIFICACIONES"/>
    <n v="1"/>
    <s v="Desarrollador"/>
    <s v="Mainframe"/>
    <m/>
    <e v="#NAME?"/>
    <x v="0"/>
    <e v="#NAME?"/>
    <m/>
    <m/>
    <m/>
    <m/>
    <m/>
    <m/>
  </r>
  <r>
    <s v="CE66458"/>
    <s v="ROBERTO CARLOS NIETO SUAREZ"/>
    <x v="2"/>
    <s v="Finanzas"/>
    <s v="Inetum"/>
    <x v="0"/>
    <s v="SDATOOL-38583 $ FUSIONES Y ACTUALIZACION DE IDENTIFICACIONES"/>
    <n v="1"/>
    <s v="QA"/>
    <s v="Mainframe"/>
    <m/>
    <e v="#NAME?"/>
    <x v="0"/>
    <e v="#NAME?"/>
    <m/>
    <m/>
    <m/>
    <m/>
    <m/>
    <m/>
  </r>
  <r>
    <s v="CE67101"/>
    <s v="IVETTE AYCHELL MONROY SUAREZ"/>
    <x v="2"/>
    <s v="Finanzas"/>
    <s v="Inetum"/>
    <x v="0"/>
    <s v="SDATOOL-37681 $ Ciclo 2 - Resolución 0098 de Octubre 28 de 2020 - Reportes información Exógena Base Impuestos"/>
    <n v="1"/>
    <s v="QA"/>
    <s v="Mainframe"/>
    <m/>
    <e v="#NAME?"/>
    <x v="0"/>
    <e v="#NAME?"/>
    <m/>
    <m/>
    <m/>
    <m/>
    <m/>
    <m/>
  </r>
  <r>
    <s v="CE64507"/>
    <s v="DANIEL ESTEBAN MORENO CARRILLO"/>
    <x v="2"/>
    <s v="Finanzas"/>
    <s v="Inetum"/>
    <x v="0"/>
    <s v="SDATOOL-40003 $ Resolución 0124 DIAN 2021 - Créditos Hipotecarios para remodelación de Vivienda"/>
    <n v="1"/>
    <s v="QA"/>
    <s v="Mainframe"/>
    <m/>
    <e v="#NAME?"/>
    <x v="0"/>
    <e v="#NAME?"/>
    <m/>
    <m/>
    <m/>
    <m/>
    <m/>
    <m/>
  </r>
  <r>
    <s v="CE59467"/>
    <s v="NORMA CECILIA MORENO GONZALEZ"/>
    <x v="2"/>
    <s v="Finanzas"/>
    <s v="Inetum"/>
    <x v="0"/>
    <s v="SDATOOL-40225 $ Resolución 0124 Dian - 2021 - Ajustes para Reporte de Información Exógena año gravable 2022 - Ciclo 1"/>
    <n v="1"/>
    <s v="QA"/>
    <s v="Mainframe"/>
    <m/>
    <e v="#NAME?"/>
    <x v="0"/>
    <e v="#NAME?"/>
    <m/>
    <m/>
    <m/>
    <m/>
    <m/>
    <m/>
  </r>
  <r>
    <s v="CE66798"/>
    <s v="ANGIE CAROLINA MORALES DUENAS"/>
    <x v="2"/>
    <s v="Finanzas"/>
    <s v="Choucair"/>
    <x v="0"/>
    <s v="SDATOOL-40225 $ Resolución 0124 Dian - 2021 - Ajustes para Reporte de Información Exógena año gravable 2022 - Ciclo 1"/>
    <n v="1"/>
    <s v="QA"/>
    <s v="Mainframe"/>
    <m/>
    <e v="#NAME?"/>
    <x v="0"/>
    <e v="#NAME?"/>
    <m/>
    <m/>
    <m/>
    <m/>
    <m/>
    <m/>
  </r>
  <r>
    <s v="T005931"/>
    <s v="DANIEL MAURICIO RIANO PEDRAZA_x000a_"/>
    <x v="2"/>
    <s v="Finanzas"/>
    <s v="GGI / CMC"/>
    <x v="0"/>
    <s v="SDATOOL-37411 $ Infraestructura reportes regulatorios"/>
    <n v="0.1"/>
    <s v="QA"/>
    <s v="Mainframe"/>
    <m/>
    <e v="#NAME?"/>
    <x v="0"/>
    <e v="#NAME?"/>
    <m/>
    <m/>
    <m/>
    <m/>
    <m/>
    <m/>
  </r>
  <r>
    <s v="T005931"/>
    <s v="DANIEL MAURICIO RIANO PEDRAZA_x000a_"/>
    <x v="2"/>
    <s v="Finanzas"/>
    <s v="GGI / CMC"/>
    <x v="0"/>
    <s v="SDATOOL-32520 $ CDD Based Reporting - Colombia"/>
    <n v="0.1"/>
    <s v="QA"/>
    <s v="Mainframe"/>
    <m/>
    <e v="#NAME?"/>
    <x v="0"/>
    <e v="#NAME?"/>
    <m/>
    <m/>
    <m/>
    <m/>
    <m/>
    <m/>
  </r>
  <r>
    <s v="T005931"/>
    <s v="DANIEL MAURICIO RIANO PEDRAZA_x000a_"/>
    <x v="2"/>
    <s v="Finanzas"/>
    <s v="GGI / CMC"/>
    <x v="0"/>
    <s v="SDATOOL-40529 $ Aplicativos Finanzas - 2023"/>
    <n v="0.1"/>
    <s v="QA"/>
    <s v="Mainframe"/>
    <m/>
    <e v="#NAME?"/>
    <x v="0"/>
    <e v="#NAME?"/>
    <m/>
    <m/>
    <m/>
    <m/>
    <m/>
    <m/>
  </r>
  <r>
    <s v="T005931"/>
    <s v="DANIEL MAURICIO RIANO PEDRAZA_x000a_"/>
    <x v="2"/>
    <s v="Finanzas"/>
    <s v="GGI / CMC"/>
    <x v="0"/>
    <s v="SDATOOL-40274 $ CIRCULAR 033 de 2021-SFC"/>
    <n v="0.1"/>
    <s v="QA"/>
    <s v="Mainframe"/>
    <m/>
    <e v="#NAME?"/>
    <x v="0"/>
    <e v="#NAME?"/>
    <m/>
    <m/>
    <m/>
    <m/>
    <m/>
    <m/>
  </r>
  <r>
    <s v="T005931"/>
    <s v="DANIEL MAURICIO RIANO PEDRAZA_x000a_"/>
    <x v="2"/>
    <s v="Finanzas"/>
    <s v="GGI / CMC"/>
    <x v="0"/>
    <s v="SDATOOL-33847 $ Resolución 0042 DIAN Documento Soporte"/>
    <n v="0.1"/>
    <s v="QA"/>
    <s v="Mainframe"/>
    <m/>
    <e v="#NAME?"/>
    <x v="0"/>
    <e v="#NAME?"/>
    <m/>
    <m/>
    <m/>
    <m/>
    <m/>
    <m/>
  </r>
  <r>
    <s v="CE68547"/>
    <s v="JOSE ROBERTO GONZALEZ MELO_x000a_"/>
    <x v="2"/>
    <s v="Finanzas"/>
    <s v="KRYPTO"/>
    <x v="0"/>
    <s v="SDATOOL-37411 $ Infraestructura reportes regulatorios"/>
    <n v="0.1"/>
    <s v="QA"/>
    <s v="Mainframe"/>
    <m/>
    <e v="#NAME?"/>
    <x v="0"/>
    <e v="#NAME?"/>
    <m/>
    <m/>
    <m/>
    <m/>
    <m/>
    <m/>
  </r>
  <r>
    <s v="CE68547"/>
    <s v="JOSE ROBERTO GONZALEZ MELO_x000a_"/>
    <x v="2"/>
    <s v="Finanzas"/>
    <s v="KRYPTO"/>
    <x v="0"/>
    <s v="SDATOOL-32520 $ CDD Based Reporting - Colombia"/>
    <n v="0.1"/>
    <s v="QA"/>
    <s v="Mainframe"/>
    <m/>
    <e v="#NAME?"/>
    <x v="0"/>
    <e v="#NAME?"/>
    <m/>
    <m/>
    <m/>
    <m/>
    <m/>
    <m/>
  </r>
  <r>
    <s v="CE68547"/>
    <s v="JOSE ROBERTO GONZALEZ MELO_x000a_"/>
    <x v="2"/>
    <s v="Finanzas"/>
    <s v="KRYPTO"/>
    <x v="0"/>
    <s v="SDATOOL-40529 $ Aplicativos Finanzas - 2023"/>
    <n v="0.1"/>
    <s v="QA"/>
    <s v="Mainframe"/>
    <m/>
    <e v="#NAME?"/>
    <x v="0"/>
    <e v="#NAME?"/>
    <m/>
    <m/>
    <m/>
    <m/>
    <m/>
    <m/>
  </r>
  <r>
    <s v="CE68547"/>
    <s v="JOSE ROBERTO GONZALEZ MELO_x000a_"/>
    <x v="2"/>
    <s v="Finanzas"/>
    <s v="KRYPTO"/>
    <x v="0"/>
    <s v="SDATOOL-40274 $ CIRCULAR 033 de 2021-SFC"/>
    <n v="0.1"/>
    <s v="QA"/>
    <s v="Mainframe"/>
    <m/>
    <e v="#NAME?"/>
    <x v="0"/>
    <e v="#NAME?"/>
    <m/>
    <m/>
    <m/>
    <m/>
    <m/>
    <m/>
  </r>
  <r>
    <s v="CE68547"/>
    <s v="JOSE ROBERTO GONZALEZ MELO_x000a_"/>
    <x v="2"/>
    <s v="Finanzas"/>
    <s v="KRYPTO"/>
    <x v="0"/>
    <s v="SDATOOL-33847 $ Resolución 0042 DIAN Documento Soporte"/>
    <n v="0.1"/>
    <s v="QA"/>
    <s v="Mainframe"/>
    <m/>
    <e v="#NAME?"/>
    <x v="0"/>
    <e v="#NAME?"/>
    <m/>
    <m/>
    <m/>
    <m/>
    <m/>
    <m/>
  </r>
  <r>
    <s v="CE52434"/>
    <s v="HAROLD HERNANDO REYES VARGAS_x000a_"/>
    <x v="2"/>
    <s v="Finanzas"/>
    <s v="Inetum"/>
    <x v="0"/>
    <s v="SDATOOL-32520 $ CDD Based Reporting - Colombia"/>
    <n v="1"/>
    <s v="Otros"/>
    <s v="Mainframe"/>
    <m/>
    <e v="#NAME?"/>
    <x v="0"/>
    <e v="#NAME?"/>
    <m/>
    <m/>
    <m/>
    <m/>
    <m/>
    <m/>
  </r>
  <r>
    <s v="CE68712"/>
    <s v="EDWARD STIVEN RODRIGUEZ MORENO"/>
    <x v="2"/>
    <s v="Finanzas"/>
    <s v="BLUETAB"/>
    <x v="0"/>
    <s v="SDATOOL-33862 $ NDoD Accounting"/>
    <n v="0.4"/>
    <s v="Desarrollador"/>
    <s v="Distribuido"/>
    <s v="En revision con dominio por cuanto debe estar "/>
    <e v="#NAME?"/>
    <x v="0"/>
    <e v="#NAME?"/>
    <m/>
    <m/>
    <m/>
    <m/>
    <m/>
    <m/>
  </r>
  <r>
    <s v="CE57396"/>
    <s v="JUAN PABLO AREVALO MERCHAN"/>
    <x v="2"/>
    <s v="Finanzas"/>
    <s v="BLUETAB"/>
    <x v="0"/>
    <s v="SDATOOL-32520 $ CDD Based Reporting - Colombia"/>
    <n v="0.25"/>
    <s v="Desarrollador"/>
    <s v="Distribuido"/>
    <m/>
    <e v="#NAME?"/>
    <x v="0"/>
    <e v="#NAME?"/>
    <m/>
    <m/>
    <m/>
    <m/>
    <m/>
    <m/>
  </r>
  <r>
    <s v="CE57396"/>
    <s v="JUAN PABLO AREVALO MERCHAN"/>
    <x v="2"/>
    <s v="Finanzas"/>
    <s v="BLUETAB"/>
    <x v="0"/>
    <s v="SDATOOL-40529 $ Aplicativos Finanzas - 2023"/>
    <n v="0.25"/>
    <s v="Desarrollador"/>
    <s v="Distribuido"/>
    <m/>
    <e v="#NAME?"/>
    <x v="0"/>
    <e v="#NAME?"/>
    <m/>
    <m/>
    <m/>
    <m/>
    <m/>
    <m/>
  </r>
  <r>
    <s v="CE56879"/>
    <s v="Victor Hans De La Cruz Quispe"/>
    <x v="2"/>
    <s v="Finanzas"/>
    <s v="BLUETAB"/>
    <x v="0"/>
    <s v="SDATOOL-33846 $ SREP Data Quality- BCBS239 - Colombia"/>
    <n v="1"/>
    <s v="Desarrollador"/>
    <s v="Distribuido"/>
    <m/>
    <e v="#NAME?"/>
    <x v="0"/>
    <e v="#NAME?"/>
    <m/>
    <m/>
    <m/>
    <m/>
    <m/>
    <m/>
  </r>
  <r>
    <s v="T005749"/>
    <s v="YESICA DANIELA VARGAS ESPITIA"/>
    <x v="2"/>
    <s v="Finanzas"/>
    <s v="BLUETAB"/>
    <x v="0"/>
    <s v="SDATOOL-40529 $ Aplicativos Finanzas - 2023"/>
    <n v="1"/>
    <s v="Desarrollador"/>
    <s v="Distribuido"/>
    <m/>
    <e v="#NAME?"/>
    <x v="0"/>
    <e v="#NAME?"/>
    <m/>
    <m/>
    <m/>
    <m/>
    <m/>
    <m/>
  </r>
  <r>
    <s v="CE62380"/>
    <s v="LUIGUI SANTIAGO FAJARDO TOLOZA"/>
    <x v="2"/>
    <s v="Finanzas"/>
    <s v="ADENZA"/>
    <x v="0"/>
    <s v="SDATOOL-37411 $ Infraestructura reportes regulatorios"/>
    <n v="1"/>
    <s v="Desarrollador"/>
    <s v="Distribuido"/>
    <m/>
    <e v="#NAME?"/>
    <x v="0"/>
    <e v="#NAME?"/>
    <m/>
    <m/>
    <m/>
    <m/>
    <m/>
    <m/>
  </r>
  <r>
    <s v="CE62112"/>
    <s v="MARILUZ SANCHEZ MORENO"/>
    <x v="2"/>
    <s v="Finanzas"/>
    <s v="ADENZA"/>
    <x v="0"/>
    <s v="SDATOOL-37411 $ Infraestructura reportes regulatorios"/>
    <n v="1"/>
    <s v="Tech Manager/Líder"/>
    <s v="Distribuido"/>
    <m/>
    <e v="#NAME?"/>
    <x v="0"/>
    <e v="#NAME?"/>
    <m/>
    <m/>
    <m/>
    <m/>
    <m/>
    <m/>
  </r>
  <r>
    <s v="T007669"/>
    <s v="SANTIAGO GALLEGO BEDOYA_x000a_"/>
    <x v="2"/>
    <s v="Finanzas"/>
    <s v="Neoris"/>
    <x v="0"/>
    <s v="SDATOOL-40274 $ CIRCULAR 033 de 2021-SFC"/>
    <n v="1"/>
    <s v="QA"/>
    <s v="Mainframe"/>
    <m/>
    <e v="#NAME?"/>
    <x v="0"/>
    <e v="#NAME?"/>
    <m/>
    <m/>
    <m/>
    <m/>
    <m/>
    <m/>
  </r>
  <r>
    <s v="T011483"/>
    <s v="JUAN SEBASTIAN RODRIGUEZ PARRA"/>
    <x v="2"/>
    <s v="Finanzas"/>
    <s v="Inetum"/>
    <x v="0"/>
    <s v="SDATOOL-37411 $ Infraestructura reportes regulatorios"/>
    <n v="1"/>
    <s v="Otros"/>
    <s v="Otras Tec."/>
    <m/>
    <e v="#NAME?"/>
    <x v="0"/>
    <e v="#NAME?"/>
    <m/>
    <m/>
    <m/>
    <m/>
    <m/>
    <m/>
  </r>
  <r>
    <s v="CE47497"/>
    <s v="ADOLFO ENRIQUE BERNAL RODRIGUEZ"/>
    <x v="3"/>
    <s v="Accounts"/>
    <s v="SII"/>
    <x v="0"/>
    <s v="SDATOOL-37111 $ Cuenta Maestra Adres"/>
    <n v="0.5"/>
    <s v="Otros"/>
    <s v="Mainframe"/>
    <m/>
    <e v="#NAME?"/>
    <x v="0"/>
    <e v="#NAME?"/>
    <m/>
    <m/>
    <m/>
    <m/>
    <m/>
    <n v="0"/>
  </r>
  <r>
    <s v="CE47497"/>
    <s v="ADOLFO ENRIQUE BERNAL RODRIGUEZ"/>
    <x v="3"/>
    <s v="Accounts"/>
    <s v="SII"/>
    <x v="0"/>
    <s v="SDATOOL-39246 $ Nuevo tipo de identificación para extranjeros"/>
    <n v="0.5"/>
    <s v="Otros"/>
    <s v="Mainframe"/>
    <m/>
    <e v="#NAME?"/>
    <x v="0"/>
    <e v="#NAME?"/>
    <m/>
    <m/>
    <m/>
    <m/>
    <m/>
    <n v="0"/>
  </r>
  <r>
    <s v="O002467"/>
    <s v="ALBA FABIOLA GOMEZ RODRIGUEZ"/>
    <x v="3"/>
    <s v="Accounts"/>
    <s v="BBVA"/>
    <x v="0"/>
    <s v="SDATOOL-38481 $ Pricing Pasivos (optimización portafolio) - Plan Ascenso Cross Sell"/>
    <n v="1"/>
    <s v="Desarrollador"/>
    <s v="Mainframe"/>
    <m/>
    <e v="#NAME?"/>
    <x v="0"/>
    <e v="#NAME?"/>
    <m/>
    <m/>
    <m/>
    <m/>
    <m/>
    <n v="0"/>
  </r>
  <r>
    <s v="O001638"/>
    <s v="ALEXANDER PLATA USCATEGUI"/>
    <x v="3"/>
    <s v="Accounts"/>
    <s v="BBVA"/>
    <x v="0"/>
    <s v="SDATOOL-38481 $ Pricing Pasivos (optimización portafolio) - Plan Ascenso Cross Sell"/>
    <n v="1"/>
    <s v="Desarrollador"/>
    <s v="Mainframe"/>
    <m/>
    <e v="#NAME?"/>
    <x v="0"/>
    <e v="#NAME?"/>
    <m/>
    <m/>
    <m/>
    <m/>
    <m/>
    <n v="0"/>
  </r>
  <r>
    <s v="C803933"/>
    <s v="CAMILO MONDRAGON"/>
    <x v="3"/>
    <s v="Accounts"/>
    <s v="BBVA"/>
    <x v="0"/>
    <s v="SDATOOL-37111 $ Cuenta Maestra Adres"/>
    <n v="0.75"/>
    <s v="Desarrollador"/>
    <s v="Mainframe"/>
    <m/>
    <e v="#NAME?"/>
    <x v="0"/>
    <e v="#NAME?"/>
    <m/>
    <m/>
    <m/>
    <m/>
    <m/>
    <n v="1"/>
  </r>
  <r>
    <s v="C803933"/>
    <s v="CAMILO MONDRAGON"/>
    <x v="3"/>
    <s v="Accounts"/>
    <s v="BBVA"/>
    <x v="0"/>
    <s v="SDATOOL-40771 $ Resolución Cuentas Maestras y Cuentas Maestras para Pagos Electrónicos (PSE): Anexo Técnico - Nuevo reporte de información"/>
    <n v="0.25"/>
    <s v="Desarrollador"/>
    <s v="Mainframe"/>
    <s v="Soporte a certificación"/>
    <e v="#NAME?"/>
    <x v="0"/>
    <e v="#NAME?"/>
    <m/>
    <m/>
    <m/>
    <m/>
    <m/>
    <n v="1"/>
  </r>
  <r>
    <s v="C811277"/>
    <s v="CARLOS ALBERTO GUERRERO MONTAÑA"/>
    <x v="3"/>
    <s v="Accounts"/>
    <s v="BBVA"/>
    <x v="0"/>
    <s v="SDATOOL-42039 $ Cuenta digital pensional"/>
    <n v="0.75"/>
    <s v="Desarrollador"/>
    <s v="Mainframe"/>
    <m/>
    <e v="#NAME?"/>
    <x v="0"/>
    <e v="#NAME?"/>
    <m/>
    <m/>
    <m/>
    <m/>
    <m/>
    <n v="1"/>
  </r>
  <r>
    <s v="C811277"/>
    <s v="CARLOS ALBERTO GUERRERO MONTAÑA"/>
    <x v="3"/>
    <s v="Accounts"/>
    <s v="BBVA"/>
    <x v="0"/>
    <s v="SDATOOL-38419 $ Contratación cuenta en línea en Glomo"/>
    <n v="0.25"/>
    <s v="Desarrollador"/>
    <s v="Mainframe"/>
    <m/>
    <e v="#NAME?"/>
    <x v="0"/>
    <e v="#NAME?"/>
    <m/>
    <m/>
    <m/>
    <m/>
    <m/>
    <n v="0"/>
  </r>
  <r>
    <s v="C811304"/>
    <s v="CARLOS EDUARDO YEPES ANGEL"/>
    <x v="3"/>
    <s v="Accounts"/>
    <s v="BBVA"/>
    <x v="0"/>
    <s v="SDATOOL-41797 $ Optimización Cuenta en línea Web"/>
    <n v="1"/>
    <s v="Desarrollador"/>
    <s v="Mainframe"/>
    <m/>
    <e v="#NAME?"/>
    <x v="0"/>
    <e v="#NAME?"/>
    <m/>
    <m/>
    <m/>
    <m/>
    <m/>
    <n v="1"/>
  </r>
  <r>
    <s v="CE64217"/>
    <s v="CHRISTIAN CAMILO PERDOMO MEDINA"/>
    <x v="3"/>
    <s v="Accounts"/>
    <s v="SII"/>
    <x v="0"/>
    <s v="NOSDA $ BAU (Mantenimiento y peq. evolutivos)"/>
    <n v="1"/>
    <s v="Desarrollador"/>
    <s v="Mainframe"/>
    <m/>
    <e v="#NAME?"/>
    <x v="0"/>
    <e v="#NAME?"/>
    <m/>
    <m/>
    <m/>
    <m/>
    <m/>
    <n v="1"/>
  </r>
  <r>
    <s v="C802128"/>
    <s v="DIANA MILENA SALAMANCA CHIQUILLO"/>
    <x v="3"/>
    <s v="Accounts"/>
    <s v="BBVA"/>
    <x v="0"/>
    <s v="SDATOOL-37344 $ Automatización Operaciones en Efectivo"/>
    <n v="0.4"/>
    <s v="Desarrollador"/>
    <s v="Mainframe"/>
    <s v="No se encuentra la SDATOOL-37344"/>
    <e v="#NAME?"/>
    <x v="0"/>
    <e v="#NAME?"/>
    <m/>
    <m/>
    <m/>
    <m/>
    <m/>
    <n v="1"/>
  </r>
  <r>
    <s v="C802128"/>
    <s v="DIANA MILENA SALAMANCA CHIQUILLO"/>
    <x v="3"/>
    <s v="Accounts"/>
    <s v="BBVA"/>
    <x v="0"/>
    <s v="SDATOOL-40438 $ CIRCULAR 032 del 2021 - REQUERIMIENTO FISCALIA GENERAL DE LA NACION"/>
    <n v="0.6"/>
    <s v="Desarrollador"/>
    <s v="Mainframe"/>
    <m/>
    <e v="#NAME?"/>
    <x v="0"/>
    <e v="#NAME?"/>
    <m/>
    <m/>
    <m/>
    <m/>
    <m/>
    <n v="0"/>
  </r>
  <r>
    <s v="C797928"/>
    <s v="DIANA ROCIO GERENA HERRERA"/>
    <x v="3"/>
    <s v="Accounts"/>
    <s v="BBVA"/>
    <x v="0"/>
    <s v="SDATOOL-38481 $ Pricing Pasivos (optimización portafolio) - Plan Ascenso Cross Sell"/>
    <n v="0.3"/>
    <s v="Tech Manager/Líder"/>
    <s v="Mainframe"/>
    <m/>
    <e v="#NAME?"/>
    <x v="0"/>
    <e v="#NAME?"/>
    <m/>
    <m/>
    <m/>
    <m/>
    <m/>
    <n v="1"/>
  </r>
  <r>
    <s v="C797928"/>
    <s v="DIANA ROCIO GERENA HERRERA"/>
    <x v="3"/>
    <s v="Accounts"/>
    <s v="BBVA"/>
    <x v="0"/>
    <s v="NOSDA $ BAU (Mantenimiento y peq. evolutivos)"/>
    <n v="0.4"/>
    <s v="Tech Manager/Líder"/>
    <s v="Mainframe"/>
    <m/>
    <e v="#NAME?"/>
    <x v="0"/>
    <e v="#NAME?"/>
    <m/>
    <m/>
    <m/>
    <m/>
    <m/>
    <n v="0"/>
  </r>
  <r>
    <s v="C797928"/>
    <s v="DIANA ROCIO GERENA HERRERA"/>
    <x v="3"/>
    <s v="Accounts"/>
    <s v="BBVA"/>
    <x v="0"/>
    <s v="SDATOOL-37111 $ Cuenta Maestra Adres"/>
    <n v="0.15"/>
    <s v="Tech Manager/Líder"/>
    <s v="Mainframe"/>
    <m/>
    <e v="#NAME?"/>
    <x v="0"/>
    <e v="#NAME?"/>
    <m/>
    <m/>
    <m/>
    <m/>
    <m/>
    <n v="0"/>
  </r>
  <r>
    <s v="C797928"/>
    <s v="DIANA ROCIO GERENA HERRERA"/>
    <x v="3"/>
    <s v="Accounts"/>
    <s v="BBVA"/>
    <x v="0"/>
    <s v="SDATOOL-40771 $ Resolución Cuentas Maestras y Cuentas Maestras para Pagos Electrónicos (PSE): Anexo Técnico - Nuevo reporte de información"/>
    <n v="0.15"/>
    <s v="Tech Manager/Líder"/>
    <s v="Mainframe"/>
    <m/>
    <e v="#NAME?"/>
    <x v="0"/>
    <e v="#NAME?"/>
    <m/>
    <m/>
    <m/>
    <m/>
    <m/>
    <n v="0"/>
  </r>
  <r>
    <s v="CE48051"/>
    <s v="EDGAR ANDRES GARZON"/>
    <x v="3"/>
    <s v="Accounts"/>
    <s v="Novatec"/>
    <x v="0"/>
    <s v="SDATOOL-38419 $ Contratación cuenta en línea en Glomo"/>
    <n v="0.25"/>
    <s v="Desarrollador"/>
    <s v="Mainframe"/>
    <m/>
    <e v="#NAME?"/>
    <x v="0"/>
    <e v="#NAME?"/>
    <m/>
    <m/>
    <m/>
    <m/>
    <m/>
    <n v="1"/>
  </r>
  <r>
    <s v="CE48051"/>
    <s v="EDGAR ANDRES GARZON"/>
    <x v="3"/>
    <s v="Accounts"/>
    <s v="Novatec"/>
    <x v="0"/>
    <s v="SDATOOL-42039 $ Cuenta digital pensional"/>
    <n v="0.75"/>
    <s v="Desarrollador"/>
    <s v="Mainframe"/>
    <m/>
    <e v="#NAME?"/>
    <x v="0"/>
    <e v="#NAME?"/>
    <m/>
    <m/>
    <m/>
    <m/>
    <m/>
    <n v="0"/>
  </r>
  <r>
    <s v="C343151"/>
    <s v="ESPERANZA DIAZ HERNANDEZ"/>
    <x v="3"/>
    <s v="Accounts"/>
    <s v="BBVA"/>
    <x v="0"/>
    <s v="NOSDA $ BAU (Mantenimiento y peq. evolutivos)"/>
    <n v="1"/>
    <s v="Desarrollador"/>
    <s v="Mainframe"/>
    <m/>
    <e v="#NAME?"/>
    <x v="0"/>
    <e v="#NAME?"/>
    <m/>
    <m/>
    <m/>
    <m/>
    <m/>
    <n v="1"/>
  </r>
  <r>
    <s v="CE70143"/>
    <s v="EMMANUEL GERMAN FORSTER"/>
    <x v="3"/>
    <s v="Accounts"/>
    <s v="Globant"/>
    <x v="0"/>
    <s v="SDATOOL-41797 $ Optimización Cuenta en línea Web"/>
    <n v="1"/>
    <s v="Desarrollador"/>
    <s v="ASO"/>
    <s v="Usuario en proceso de alta."/>
    <e v="#NAME?"/>
    <x v="0"/>
    <e v="#NAME?"/>
    <m/>
    <m/>
    <m/>
    <m/>
    <m/>
    <n v="1"/>
  </r>
  <r>
    <s v="C811389"/>
    <s v="FABER IVAN MAYORQUIN RESTREPO"/>
    <x v="3"/>
    <s v="Accounts"/>
    <s v="BBVA"/>
    <x v="0"/>
    <s v="SDATOOL-39383 $ AJUSTES HIGIENICOS DE PORTAFOLIO + REPORTE CENTRALIZADO DE NÓMINA"/>
    <n v="0.65"/>
    <s v="Desarrollador"/>
    <s v="Mainframe"/>
    <m/>
    <e v="#NAME?"/>
    <x v="0"/>
    <e v="#NAME?"/>
    <m/>
    <m/>
    <m/>
    <m/>
    <m/>
    <n v="1"/>
  </r>
  <r>
    <s v="C811389"/>
    <s v="FABER IVAN MAYORQUIN RESTREPO"/>
    <x v="3"/>
    <s v="Accounts"/>
    <s v="BBVA"/>
    <x v="0"/>
    <s v="SDATOOL-39246 $ Nuevo tipo de identificación para extranjeros"/>
    <n v="0.2"/>
    <s v="Desarrollador"/>
    <s v="Mainframe"/>
    <m/>
    <e v="#NAME?"/>
    <x v="0"/>
    <e v="#NAME?"/>
    <m/>
    <m/>
    <m/>
    <m/>
    <m/>
    <n v="0"/>
  </r>
  <r>
    <s v="C811389"/>
    <s v="FABER IVAN MAYORQUIN RESTREPO"/>
    <x v="3"/>
    <s v="Accounts"/>
    <s v="BBVA"/>
    <x v="0"/>
    <s v="NOSDA $ BAU (Mantenimiento y peq. evolutivos)"/>
    <n v="0.15"/>
    <s v="Desarrollador"/>
    <s v="Mainframe"/>
    <m/>
    <e v="#NAME?"/>
    <x v="0"/>
    <e v="#NAME?"/>
    <m/>
    <m/>
    <m/>
    <m/>
    <m/>
    <n v="0"/>
  </r>
  <r>
    <s v="CE50117"/>
    <s v="JAIRO ANZOLA PLATA L"/>
    <x v="3"/>
    <s v="Accounts"/>
    <s v="SII"/>
    <x v="0"/>
    <s v="SDATOOL-38481 $ Pricing Pasivos (optimización portafolio) - Plan Ascenso Cross Sell"/>
    <n v="0.4"/>
    <s v="Desarrollador"/>
    <s v="Mainframe"/>
    <s v="Soporte a la certificación"/>
    <e v="#NAME?"/>
    <x v="0"/>
    <e v="#NAME?"/>
    <m/>
    <m/>
    <m/>
    <m/>
    <m/>
    <n v="1"/>
  </r>
  <r>
    <s v="CE42593"/>
    <s v="JENITH MARSELLA MANTILLA RODRIGUEZ"/>
    <x v="3"/>
    <s v="Accounts"/>
    <s v="SII"/>
    <x v="0"/>
    <s v="NOSDA $ BAU (Mantenimiento y peq. evolutivos)"/>
    <n v="1"/>
    <s v="Tech Manager/Líder"/>
    <s v="Mainframe"/>
    <m/>
    <e v="#NAME?"/>
    <x v="0"/>
    <e v="#NAME?"/>
    <m/>
    <m/>
    <m/>
    <m/>
    <m/>
    <n v="1"/>
  </r>
  <r>
    <s v="C805565"/>
    <s v="JHON FREDY PACHECO AVELLA"/>
    <x v="3"/>
    <s v="Accounts"/>
    <s v="BBVA"/>
    <x v="0"/>
    <s v="SDATOOL-39246 $ Nuevo tipo de identificación para extranjeros"/>
    <n v="0.2"/>
    <s v="Desarrollador"/>
    <s v="Mainframe"/>
    <m/>
    <e v="#NAME?"/>
    <x v="0"/>
    <e v="#NAME?"/>
    <m/>
    <m/>
    <m/>
    <m/>
    <m/>
    <n v="1"/>
  </r>
  <r>
    <s v="C805565"/>
    <s v="JHON FREDY PACHECO AVELLA"/>
    <x v="3"/>
    <s v="Accounts"/>
    <s v="BBVA"/>
    <x v="0"/>
    <s v="SDATOOL-40545 $ GRM Col - Mejoras Evolutivas de Aplicativos y Herramientas de Riesgos 2023"/>
    <n v="0.5"/>
    <s v="Desarrollador"/>
    <s v="Mainframe"/>
    <m/>
    <e v="#NAME?"/>
    <x v="0"/>
    <e v="#NAME?"/>
    <m/>
    <m/>
    <m/>
    <m/>
    <m/>
    <n v="0"/>
  </r>
  <r>
    <s v="C805565"/>
    <s v="JHON FREDY PACHECO AVELLA"/>
    <x v="3"/>
    <s v="Accounts"/>
    <s v="BBVA"/>
    <x v="0"/>
    <s v="SDATOOL-40656 $ GRM Col - Recuperación sobre cuentas pensionales"/>
    <n v="0.3"/>
    <s v="Desarrollador"/>
    <s v="Mainframe"/>
    <m/>
    <e v="#NAME?"/>
    <x v="0"/>
    <e v="#NAME?"/>
    <m/>
    <m/>
    <m/>
    <m/>
    <m/>
    <n v="0"/>
  </r>
  <r>
    <s v="C809506"/>
    <s v="JHON FREDY PINZON PAEZ"/>
    <x v="3"/>
    <s v="Accounts"/>
    <s v="BBVA"/>
    <x v="0"/>
    <s v="NOSDA $ BAU (Mantenimiento y peq. evolutivos)"/>
    <n v="1"/>
    <s v="Desarrollador"/>
    <s v="Mainframe"/>
    <m/>
    <e v="#NAME?"/>
    <x v="0"/>
    <e v="#NAME?"/>
    <m/>
    <m/>
    <m/>
    <m/>
    <m/>
    <n v="1"/>
  </r>
  <r>
    <s v="O001222"/>
    <s v="JIOVANNY SUAREZ GONZALEZ"/>
    <x v="3"/>
    <s v="Accounts"/>
    <s v="BBVA"/>
    <x v="0"/>
    <s v="SDATOOL-42039 $ Cuenta digital pensional"/>
    <n v="0.2"/>
    <s v="Tech Manager/Líder"/>
    <s v="Otras Tec."/>
    <m/>
    <e v="#NAME?"/>
    <x v="0"/>
    <e v="#NAME?"/>
    <m/>
    <m/>
    <m/>
    <m/>
    <m/>
    <n v="1"/>
  </r>
  <r>
    <s v="O001222"/>
    <s v="JIOVANNY SUAREZ GONZALEZ"/>
    <x v="3"/>
    <s v="Accounts"/>
    <s v="BBVA"/>
    <x v="0"/>
    <s v="SDATOOL-38419 $ Contratación cuenta en línea en Glomo"/>
    <n v="0.2"/>
    <s v="Tech Manager/Líder"/>
    <s v="Otras Tec."/>
    <m/>
    <e v="#NAME?"/>
    <x v="0"/>
    <e v="#NAME?"/>
    <m/>
    <m/>
    <m/>
    <m/>
    <m/>
    <n v="0"/>
  </r>
  <r>
    <s v="O001222"/>
    <s v="JIOVANNY SUAREZ GONZALEZ"/>
    <x v="3"/>
    <s v="Accounts"/>
    <s v="BBVA"/>
    <x v="0"/>
    <s v="SDATOOL-41797 $ Optimización Cuenta en línea Web"/>
    <n v="0.2"/>
    <s v="Tech Manager/Líder"/>
    <s v="Otras Tec."/>
    <m/>
    <e v="#NAME?"/>
    <x v="0"/>
    <e v="#NAME?"/>
    <m/>
    <m/>
    <m/>
    <m/>
    <m/>
    <n v="0"/>
  </r>
  <r>
    <s v="O001222"/>
    <s v="JIOVANNY SUAREZ GONZALEZ"/>
    <x v="3"/>
    <s v="Accounts"/>
    <s v="BBVA"/>
    <x v="0"/>
    <s v="SDATOOL-42393 $ Ahorro Fijo Digital Clientes"/>
    <n v="0.2"/>
    <s v="Tech Manager/Líder"/>
    <s v="Otras Tec."/>
    <m/>
    <e v="#NAME?"/>
    <x v="0"/>
    <e v="#NAME?"/>
    <m/>
    <m/>
    <m/>
    <m/>
    <m/>
    <n v="0"/>
  </r>
  <r>
    <s v="O001222"/>
    <s v="JIOVANNY SUAREZ GONZALEZ"/>
    <x v="3"/>
    <s v="Accounts"/>
    <s v="BBVA"/>
    <x v="0"/>
    <s v="SDATOOL-41950 $ Migracion GMF-MQ Series"/>
    <n v="0.2"/>
    <s v="Tech Manager/Líder"/>
    <s v="Otras Tec."/>
    <m/>
    <e v="#NAME?"/>
    <x v="0"/>
    <e v="#NAME?"/>
    <m/>
    <m/>
    <m/>
    <m/>
    <m/>
    <n v="0"/>
  </r>
  <r>
    <s v="C811332"/>
    <s v="JORGE LUIS SALAMANCA ORTIZ"/>
    <x v="3"/>
    <s v="Accounts"/>
    <s v="BBVA"/>
    <x v="0"/>
    <s v="SDATOOL-37753 $ Plan de transformación de operaciones 2022"/>
    <n v="0.3"/>
    <s v="Desarrollador"/>
    <s v="Mainframe"/>
    <m/>
    <e v="#NAME?"/>
    <x v="0"/>
    <e v="#NAME?"/>
    <m/>
    <m/>
    <m/>
    <m/>
    <m/>
    <n v="1"/>
  </r>
  <r>
    <s v="C811332"/>
    <s v="JORGE LUIS SALAMANCA ORTIZ"/>
    <x v="3"/>
    <s v="Accounts"/>
    <s v="BBVA"/>
    <x v="0"/>
    <s v="SDATOOL-40438 $ CIRCULAR 032 del 2021 - REQUERIMIENTO FISCALIA GENERAL DE LA NACION"/>
    <n v="0.7"/>
    <s v="Desarrollador"/>
    <s v="Mainframe"/>
    <m/>
    <e v="#NAME?"/>
    <x v="0"/>
    <e v="#NAME?"/>
    <m/>
    <m/>
    <m/>
    <m/>
    <m/>
    <n v="0"/>
  </r>
  <r>
    <s v="CE03425"/>
    <s v="JORGE VICENTE SALAS PERILLA"/>
    <x v="3"/>
    <s v="Accounts"/>
    <s v="KRYPTO"/>
    <x v="0"/>
    <s v="SDATOOL-37111 $ Cuenta Maestra Adres"/>
    <n v="0.75"/>
    <s v="Desarrollador"/>
    <s v="Mainframe"/>
    <m/>
    <e v="#NAME?"/>
    <x v="0"/>
    <e v="#NAME?"/>
    <m/>
    <m/>
    <m/>
    <m/>
    <m/>
    <n v="1"/>
  </r>
  <r>
    <s v="CE03425"/>
    <s v="JORGE VICENTE SALAS PERILLA"/>
    <x v="3"/>
    <s v="Accounts"/>
    <s v="KRYPTO"/>
    <x v="0"/>
    <s v="SDATOOL-40771 $ Resolución Cuentas Maestras y Cuentas Maestras para Pagos Electrónicos (PSE): Anexo Técnico - Nuevo reporte de información"/>
    <n v="0.25"/>
    <s v="Desarrollador"/>
    <s v="Mainframe"/>
    <s v="Soporte a certficación y post-implantación"/>
    <e v="#NAME?"/>
    <x v="0"/>
    <e v="#NAME?"/>
    <m/>
    <m/>
    <m/>
    <m/>
    <m/>
    <n v="0"/>
  </r>
  <r>
    <s v="C805714"/>
    <s v="JUAN DAVID CELIS NUÑEZ"/>
    <x v="3"/>
    <s v="Accounts"/>
    <s v="BBVA"/>
    <x v="0"/>
    <s v="SDATOOL-33065 $ Remesas BTS"/>
    <n v="0.7"/>
    <s v="Desarrollador"/>
    <s v="ASO"/>
    <m/>
    <e v="#NAME?"/>
    <x v="0"/>
    <e v="#NAME?"/>
    <m/>
    <m/>
    <m/>
    <m/>
    <m/>
    <n v="1"/>
  </r>
  <r>
    <s v="C805714"/>
    <s v="JUAN DAVID CELIS NUÑEZ"/>
    <x v="3"/>
    <s v="Accounts"/>
    <s v="BBVA"/>
    <x v="0"/>
    <s v="SDATOOL-37753 $ Plan de transformación de operaciones 2022"/>
    <n v="0.15"/>
    <s v="Desarrollador"/>
    <s v="ASO"/>
    <m/>
    <e v="#NAME?"/>
    <x v="0"/>
    <e v="#NAME?"/>
    <m/>
    <m/>
    <m/>
    <m/>
    <m/>
    <n v="0"/>
  </r>
  <r>
    <s v="C805714"/>
    <s v="JUAN DAVID CELIS NUÑEZ"/>
    <x v="3"/>
    <s v="Accounts"/>
    <s v="BBVA"/>
    <x v="0"/>
    <s v="NOSDA $ BAU (Mantenimiento y peq. evolutivos)"/>
    <n v="0.15"/>
    <s v="Desarrollador"/>
    <s v="ASO"/>
    <m/>
    <e v="#NAME?"/>
    <x v="0"/>
    <e v="#NAME?"/>
    <m/>
    <m/>
    <m/>
    <m/>
    <m/>
    <n v="0"/>
  </r>
  <r>
    <s v="CE65082"/>
    <s v="JULIAN CAMILO ESGUERRA PINEDA"/>
    <x v="3"/>
    <s v="Accounts"/>
    <s v="SII"/>
    <x v="0"/>
    <s v="NOSDA $ BAU (Mantenimiento y peq. evolutivos)"/>
    <n v="1"/>
    <s v="Desarrollador"/>
    <s v="Mainframe"/>
    <m/>
    <e v="#NAME?"/>
    <x v="0"/>
    <e v="#NAME?"/>
    <m/>
    <m/>
    <m/>
    <m/>
    <m/>
    <n v="1"/>
  </r>
  <r>
    <s v="C805729"/>
    <s v="JULIANA FERNANDA BONILLA RODRIGUEZ"/>
    <x v="3"/>
    <s v="Accounts"/>
    <s v="BBVA"/>
    <x v="0"/>
    <s v="NOSDA $ BAU (Mantenimiento y peq. evolutivos)"/>
    <n v="1"/>
    <s v="Otros"/>
    <s v="Mainframe"/>
    <m/>
    <e v="#NAME?"/>
    <x v="0"/>
    <e v="#NAME?"/>
    <m/>
    <m/>
    <m/>
    <m/>
    <m/>
    <n v="1"/>
  </r>
  <r>
    <s v="CE66910"/>
    <s v="JULIO DIAZ PENAGOS "/>
    <x v="3"/>
    <s v="Accounts"/>
    <s v="SII"/>
    <x v="0"/>
    <s v="SDATOOL-41950 $ Migracion GMF-MQ Series"/>
    <n v="1"/>
    <s v="Desarrollador"/>
    <s v="ASO"/>
    <m/>
    <e v="#NAME?"/>
    <x v="0"/>
    <e v="#NAME?"/>
    <m/>
    <m/>
    <m/>
    <m/>
    <m/>
    <n v="1"/>
  </r>
  <r>
    <s v="C803062"/>
    <s v="KATERINE CRUZ SUAREZ"/>
    <x v="3"/>
    <s v="Accounts"/>
    <s v="BBVA"/>
    <x v="0"/>
    <s v="NOSDA $ BAU (Mantenimiento y peq. evolutivos)"/>
    <n v="1"/>
    <s v="Desarrollador"/>
    <s v="Mainframe"/>
    <m/>
    <e v="#NAME?"/>
    <x v="0"/>
    <e v="#NAME?"/>
    <m/>
    <m/>
    <m/>
    <m/>
    <m/>
    <n v="1"/>
  </r>
  <r>
    <s v="C805939"/>
    <s v="LEISON FABIAN MEJIA GARCIA"/>
    <x v="3"/>
    <s v="Accounts"/>
    <s v="BBVA"/>
    <x v="0"/>
    <s v="SDATOOL-38419 $ Contratación cuenta en línea en Glomo"/>
    <n v="0.25"/>
    <s v="Desarrollador"/>
    <s v="ASO"/>
    <m/>
    <e v="#NAME?"/>
    <x v="0"/>
    <e v="#NAME?"/>
    <m/>
    <m/>
    <m/>
    <m/>
    <m/>
    <n v="1"/>
  </r>
  <r>
    <s v="C805939"/>
    <s v="LEISON FABIAN MEJIA GARCIA"/>
    <x v="3"/>
    <s v="Accounts"/>
    <s v="BBVA"/>
    <x v="0"/>
    <s v="SDATOOL-42039 $ Cuenta digital pensional"/>
    <n v="0.5"/>
    <s v="Desarrollador"/>
    <s v="ASO"/>
    <m/>
    <e v="#NAME?"/>
    <x v="0"/>
    <e v="#NAME?"/>
    <m/>
    <m/>
    <m/>
    <m/>
    <m/>
    <n v="0"/>
  </r>
  <r>
    <s v="C805939"/>
    <s v="LEISON FABIAN MEJIA GARCIA"/>
    <x v="3"/>
    <s v="Accounts"/>
    <s v="BBVA"/>
    <x v="0"/>
    <s v="SDATOOL-41797 $ Optimización Cuenta en línea Web"/>
    <n v="0.25"/>
    <s v="Desarrollador"/>
    <s v="ASO"/>
    <m/>
    <e v="#NAME?"/>
    <x v="0"/>
    <e v="#NAME?"/>
    <m/>
    <m/>
    <m/>
    <m/>
    <m/>
    <n v="0"/>
  </r>
  <r>
    <s v="CE17711"/>
    <s v="LUIS FERNANDO RODRIGUEZ MEDINA"/>
    <x v="3"/>
    <s v="Accounts"/>
    <s v="KRYPTO"/>
    <x v="0"/>
    <s v="NOSDA $ BAU (Mantenimiento y peq. evolutivos)"/>
    <n v="1"/>
    <s v="QA"/>
    <s v="Mainframe"/>
    <m/>
    <e v="#NAME?"/>
    <x v="0"/>
    <e v="#NAME?"/>
    <m/>
    <m/>
    <m/>
    <m/>
    <m/>
    <n v="1"/>
  </r>
  <r>
    <s v="CE61656"/>
    <s v="MARIA DEL PILAR GARCIA  GONZALES"/>
    <x v="3"/>
    <s v="Accounts"/>
    <s v="KRYPTO"/>
    <x v="0"/>
    <s v="NOSDA $ BAU (Mantenimiento y peq. evolutivos)"/>
    <n v="1"/>
    <s v="QA"/>
    <s v="Mainframe"/>
    <m/>
    <e v="#NAME?"/>
    <x v="0"/>
    <e v="#NAME?"/>
    <m/>
    <m/>
    <m/>
    <m/>
    <m/>
    <n v="1"/>
  </r>
  <r>
    <s v="C804407"/>
    <s v="MARIO ALBERTO MORALES LEON"/>
    <x v="3"/>
    <s v="Accounts"/>
    <s v="BBVA"/>
    <x v="0"/>
    <s v="SDATOOL-41950 $ Migracion GMF-MQ Series"/>
    <n v="0.25"/>
    <s v="Desarrollador"/>
    <s v="Mainframe"/>
    <m/>
    <e v="#NAME?"/>
    <x v="0"/>
    <e v="#NAME?"/>
    <m/>
    <m/>
    <m/>
    <m/>
    <m/>
    <n v="1"/>
  </r>
  <r>
    <s v="C804407"/>
    <s v="MARIO ALBERTO MORALES LEON"/>
    <x v="3"/>
    <s v="Accounts"/>
    <s v="BBVA"/>
    <x v="0"/>
    <s v="SDATOOL-42393 $ Ahorro Fijo Digital Clientes"/>
    <n v="0.75"/>
    <s v="Desarrollador"/>
    <s v="Mainframe"/>
    <m/>
    <e v="#NAME?"/>
    <x v="0"/>
    <e v="#NAME?"/>
    <m/>
    <m/>
    <m/>
    <m/>
    <m/>
    <n v="0"/>
  </r>
  <r>
    <s v="C809625"/>
    <s v="MAYERLY TATIANA NARVAEZ MARIN"/>
    <x v="3"/>
    <s v="Accounts"/>
    <s v="BBVA"/>
    <x v="0"/>
    <s v="SDATOOL-38419 $ Contratación cuenta en línea en Glomo"/>
    <n v="0.25"/>
    <s v="Desarrollador"/>
    <s v="ASO"/>
    <m/>
    <e v="#NAME?"/>
    <x v="0"/>
    <e v="#NAME?"/>
    <m/>
    <m/>
    <m/>
    <m/>
    <m/>
    <n v="1"/>
  </r>
  <r>
    <s v="C809625"/>
    <s v="MAYERLY TATIANA NARVAEZ MARIN"/>
    <x v="3"/>
    <s v="Accounts"/>
    <s v="BBVA"/>
    <x v="0"/>
    <s v="SDATOOL-42039 $ Cuenta digital pensional"/>
    <n v="0.75"/>
    <s v="Desarrollador"/>
    <s v="ASO"/>
    <m/>
    <e v="#NAME?"/>
    <x v="0"/>
    <e v="#NAME?"/>
    <m/>
    <m/>
    <m/>
    <m/>
    <m/>
    <n v="0"/>
  </r>
  <r>
    <s v="CE64687"/>
    <s v="MILLER FERNANDO CAMARGO AMADO"/>
    <x v="3"/>
    <s v="Accounts"/>
    <s v="SII"/>
    <x v="0"/>
    <s v="NOSDA $ BAU (Mantenimiento y peq. evolutivos)"/>
    <n v="1"/>
    <s v="Desarrollador"/>
    <s v="Mainframe"/>
    <m/>
    <e v="#NAME?"/>
    <x v="0"/>
    <e v="#NAME?"/>
    <m/>
    <m/>
    <m/>
    <m/>
    <m/>
    <n v="1"/>
  </r>
  <r>
    <s v="C811233"/>
    <s v="NATALIA REYES LOPEZ"/>
    <x v="3"/>
    <s v="Accounts"/>
    <s v="BBVA"/>
    <x v="0"/>
    <s v="NOSDA $ BAU (Mantenimiento y peq. evolutivos)"/>
    <n v="1"/>
    <s v="QA"/>
    <s v="Mainframe"/>
    <m/>
    <e v="#NAME?"/>
    <x v="0"/>
    <e v="#NAME?"/>
    <m/>
    <m/>
    <m/>
    <m/>
    <m/>
    <n v="1"/>
  </r>
  <r>
    <s v="CE59970"/>
    <s v="NICOLAS ALEXANDER ALDANA MENDOZA"/>
    <x v="3"/>
    <s v="Accounts"/>
    <s v="SII"/>
    <x v="0"/>
    <s v="NOSDA $ BAU (Mantenimiento y peq. evolutivos)"/>
    <n v="1"/>
    <s v="Desarrollador"/>
    <s v="Mainframe"/>
    <m/>
    <e v="#NAME?"/>
    <x v="0"/>
    <e v="#NAME?"/>
    <m/>
    <m/>
    <m/>
    <m/>
    <m/>
    <n v="1"/>
  </r>
  <r>
    <s v="C804561"/>
    <s v="OSCAR ORLANDO ACEVEDO FERRER"/>
    <x v="3"/>
    <s v="Accounts"/>
    <s v="BBVA"/>
    <x v="0"/>
    <s v="SDATOOL-40656 $ GRM Col - Recuperación sobre cuentas pensionales"/>
    <n v="0.5"/>
    <s v="Desarrollador"/>
    <s v="Mainframe"/>
    <m/>
    <e v="#NAME?"/>
    <x v="0"/>
    <e v="#NAME?"/>
    <m/>
    <m/>
    <m/>
    <m/>
    <m/>
    <n v="1"/>
  </r>
  <r>
    <s v="C804561"/>
    <s v="OSCAR ORLANDO ACEVEDO FERRER"/>
    <x v="3"/>
    <s v="Accounts"/>
    <s v="BBVA"/>
    <x v="0"/>
    <s v="SDATOOL-33065 $ Remesas BTS"/>
    <n v="0.2"/>
    <s v="Desarrollador"/>
    <s v="Mainframe"/>
    <m/>
    <e v="#NAME?"/>
    <x v="0"/>
    <e v="#NAME?"/>
    <m/>
    <m/>
    <m/>
    <m/>
    <m/>
    <n v="0"/>
  </r>
  <r>
    <s v="C804561"/>
    <s v="OSCAR ORLANDO ACEVEDO FERRER"/>
    <x v="3"/>
    <s v="Accounts"/>
    <s v="BBVA"/>
    <x v="0"/>
    <s v="SDATOOL-41029 $ IATAPAY"/>
    <n v="0.3"/>
    <s v="Desarrollador"/>
    <s v="Mainframe"/>
    <m/>
    <e v="#NAME?"/>
    <x v="0"/>
    <e v="#NAME?"/>
    <m/>
    <m/>
    <m/>
    <m/>
    <m/>
    <n v="0"/>
  </r>
  <r>
    <s v="O002757"/>
    <s v="SUSANA ANDREA PARRA CABRERA"/>
    <x v="3"/>
    <s v="Accounts"/>
    <s v="BBVA"/>
    <x v="0"/>
    <s v="SDATOOL-33065 $ Remesas BTS"/>
    <n v="0.2"/>
    <s v="Desarrollador"/>
    <s v="APX"/>
    <m/>
    <e v="#NAME?"/>
    <x v="0"/>
    <e v="#NAME?"/>
    <m/>
    <m/>
    <m/>
    <m/>
    <m/>
    <n v="1"/>
  </r>
  <r>
    <s v="O002757"/>
    <s v="SUSANA ANDREA PARRA CABRERA"/>
    <x v="3"/>
    <s v="Accounts"/>
    <s v="BBVA"/>
    <x v="0"/>
    <s v="SDATOOL-42393 $ Ahorro Fijo Digital Clientes"/>
    <n v="0.4"/>
    <s v="Desarrollador"/>
    <s v="APX"/>
    <m/>
    <e v="#NAME?"/>
    <x v="0"/>
    <e v="#NAME?"/>
    <m/>
    <m/>
    <m/>
    <m/>
    <m/>
    <n v="0"/>
  </r>
  <r>
    <s v="O002757"/>
    <s v="SUSANA ANDREA PARRA CABRERA"/>
    <x v="3"/>
    <s v="Accounts"/>
    <s v="BBVA"/>
    <x v="0"/>
    <s v="SDATOOL-41950 $ Migracion GMF-MQ Series"/>
    <n v="0.4"/>
    <s v="Desarrollador"/>
    <s v="APX"/>
    <m/>
    <e v="#NAME?"/>
    <x v="0"/>
    <e v="#NAME?"/>
    <m/>
    <m/>
    <m/>
    <m/>
    <m/>
    <n v="0"/>
  </r>
  <r>
    <s v="CE24417"/>
    <s v="VIVIAN JUALINY  ESPITIA BENITEZ"/>
    <x v="3"/>
    <s v="Accounts"/>
    <s v="KRYPTO"/>
    <x v="0"/>
    <s v="NOSDA $ BAU (Mantenimiento y peq. evolutivos)"/>
    <n v="1"/>
    <s v="QA"/>
    <s v="Otras Tec."/>
    <m/>
    <e v="#NAME?"/>
    <x v="0"/>
    <e v="#NAME?"/>
    <m/>
    <m/>
    <m/>
    <m/>
    <m/>
    <n v="1"/>
  </r>
  <r>
    <s v="O003083"/>
    <s v="WILMAR ALBERTO ROMERO"/>
    <x v="3"/>
    <s v="Accounts"/>
    <s v="BBVA"/>
    <x v="0"/>
    <s v="SDATOOL-42039 $ Cuenta digital pensional"/>
    <n v="0.75"/>
    <s v="Desarrollador"/>
    <s v="APX"/>
    <m/>
    <e v="#NAME?"/>
    <x v="0"/>
    <e v="#NAME?"/>
    <m/>
    <m/>
    <m/>
    <m/>
    <m/>
    <n v="1"/>
  </r>
  <r>
    <s v="O003083"/>
    <s v="WILMAR ALBERTO ROMERO"/>
    <x v="3"/>
    <s v="Accounts"/>
    <s v="BBVA"/>
    <x v="0"/>
    <s v="SDATOOL-38419 $ Contratación cuenta en línea en Glomo"/>
    <n v="0.25"/>
    <s v="Desarrollador"/>
    <s v="APX"/>
    <m/>
    <e v="#NAME?"/>
    <x v="0"/>
    <e v="#NAME?"/>
    <m/>
    <m/>
    <m/>
    <m/>
    <m/>
    <n v="0"/>
  </r>
  <r>
    <s v="C811362"/>
    <s v="YIGLIANA ALVAREZ MENDOZA"/>
    <x v="3"/>
    <s v="Accounts"/>
    <s v="BBVA"/>
    <x v="0"/>
    <s v="SDATOOL-40545 $ GRM Col - Mejoras Evolutivas de Aplicativos y Herramientas de Riesgos 2023"/>
    <n v="0.3"/>
    <s v="Desarrollador"/>
    <s v="Mainframe"/>
    <m/>
    <e v="#NAME?"/>
    <x v="0"/>
    <e v="#NAME?"/>
    <m/>
    <m/>
    <m/>
    <m/>
    <m/>
    <n v="1"/>
  </r>
  <r>
    <s v="C811362"/>
    <s v="YIGLIANA ALVAREZ MENDOZA"/>
    <x v="3"/>
    <s v="Accounts"/>
    <s v="BBVA"/>
    <x v="0"/>
    <s v="SDATOOL-41766 $ DUALIDAD CUENTAS AFC NÁCAR HOST Y CANALES DIGITALES"/>
    <n v="0.4"/>
    <s v="Desarrollador"/>
    <s v="Mainframe"/>
    <m/>
    <e v="#NAME?"/>
    <x v="0"/>
    <e v="#NAME?"/>
    <m/>
    <m/>
    <m/>
    <m/>
    <m/>
    <n v="0"/>
  </r>
  <r>
    <s v="C811362"/>
    <s v="YIGLIANA ALVAREZ MENDOZA"/>
    <x v="3"/>
    <s v="Accounts"/>
    <s v="BBVA"/>
    <x v="0"/>
    <s v="SDATOOL-39506 $ Cuenta Sostenible"/>
    <n v="0.3"/>
    <s v="Desarrollador"/>
    <s v="Mainframe"/>
    <m/>
    <e v="#NAME?"/>
    <x v="0"/>
    <e v="#NAME?"/>
    <m/>
    <m/>
    <m/>
    <m/>
    <m/>
    <n v="0"/>
  </r>
  <r>
    <s v="C802977"/>
    <s v="YULY MARCELA OVALLE GOMEZ"/>
    <x v="3"/>
    <s v="Accounts"/>
    <s v="BBVA"/>
    <x v="0"/>
    <s v="SDATOOL-39246 $ Nuevo tipo de identificación para extranjeros"/>
    <n v="0.1"/>
    <s v="Tech Manager/Líder"/>
    <s v="Otras Tec."/>
    <m/>
    <e v="#NAME?"/>
    <x v="0"/>
    <e v="#NAME?"/>
    <m/>
    <m/>
    <m/>
    <m/>
    <m/>
    <n v="1"/>
  </r>
  <r>
    <s v="C802977"/>
    <s v="YULY MARCELA OVALLE GOMEZ"/>
    <x v="3"/>
    <s v="Accounts"/>
    <s v="BBVA"/>
    <x v="0"/>
    <s v="SDATOOL-40656 $ GRM Col - Recuperación sobre cuentas pensionales"/>
    <n v="0.15"/>
    <s v="Tech Manager/Líder"/>
    <s v="Otras Tec."/>
    <m/>
    <e v="#NAME?"/>
    <x v="0"/>
    <e v="#NAME?"/>
    <m/>
    <m/>
    <m/>
    <m/>
    <m/>
    <n v="0"/>
  </r>
  <r>
    <s v="C802977"/>
    <s v="YULY MARCELA OVALLE GOMEZ"/>
    <x v="3"/>
    <s v="Accounts"/>
    <s v="BBVA"/>
    <x v="0"/>
    <s v="SDATOOL-39383 $ AJUSTES HIGIENICOS DE PORTAFOLIO + REPORTE CENTRALIZADO DE NÓMINA"/>
    <n v="0.1"/>
    <s v="Tech Manager/Líder"/>
    <s v="Otras Tec."/>
    <m/>
    <e v="#NAME?"/>
    <x v="0"/>
    <e v="#NAME?"/>
    <m/>
    <m/>
    <m/>
    <m/>
    <m/>
    <n v="0"/>
  </r>
  <r>
    <s v="C802977"/>
    <s v="YULY MARCELA OVALLE GOMEZ"/>
    <x v="3"/>
    <s v="Accounts"/>
    <s v="BBVA"/>
    <x v="0"/>
    <s v="SDATOOL-33065 $ Remesas BTS"/>
    <n v="0.15"/>
    <s v="Tech Manager/Líder"/>
    <s v="Otras Tec."/>
    <m/>
    <e v="#NAME?"/>
    <x v="0"/>
    <e v="#NAME?"/>
    <m/>
    <m/>
    <m/>
    <m/>
    <m/>
    <n v="0"/>
  </r>
  <r>
    <s v="C802977"/>
    <s v="YULY MARCELA OVALLE GOMEZ"/>
    <x v="3"/>
    <s v="Accounts"/>
    <s v="BBVA"/>
    <x v="0"/>
    <s v="SDATOOL-40438 $ CIRCULAR 032 del 2021 - REQUERIMIENTO FISCALIA GENERAL DE LA NACION"/>
    <n v="0.1"/>
    <s v="Tech Manager/Líder"/>
    <s v="Otras Tec."/>
    <m/>
    <e v="#NAME?"/>
    <x v="0"/>
    <e v="#NAME?"/>
    <m/>
    <m/>
    <m/>
    <m/>
    <m/>
    <n v="0"/>
  </r>
  <r>
    <s v="C802977"/>
    <s v="YULY MARCELA OVALLE GOMEZ"/>
    <x v="3"/>
    <s v="Accounts"/>
    <s v="BBVA"/>
    <x v="0"/>
    <s v="SDATOOL-41766 $ DUALIDAD CUENTAS AFC NÁCAR HOST Y CANALES DIGITALES"/>
    <n v="0.1"/>
    <s v="Tech Manager/Líder"/>
    <s v="Otras Tec."/>
    <m/>
    <e v="#NAME?"/>
    <x v="0"/>
    <e v="#NAME?"/>
    <m/>
    <m/>
    <m/>
    <m/>
    <m/>
    <n v="0"/>
  </r>
  <r>
    <s v="C802977"/>
    <s v="YULY MARCELA OVALLE GOMEZ"/>
    <x v="3"/>
    <s v="Accounts"/>
    <s v="BBVA"/>
    <x v="0"/>
    <s v="SDATOOL-41029 $ IATAPAY"/>
    <n v="0.1"/>
    <s v="Tech Manager/Líder"/>
    <s v="Otras Tec."/>
    <m/>
    <e v="#NAME?"/>
    <x v="0"/>
    <e v="#NAME?"/>
    <m/>
    <m/>
    <m/>
    <m/>
    <m/>
    <n v="0"/>
  </r>
  <r>
    <s v="C802977"/>
    <s v="YULY MARCELA OVALLE GOMEZ"/>
    <x v="3"/>
    <s v="Accounts"/>
    <s v="BBVA"/>
    <x v="0"/>
    <s v="SDATOOL-40545 $ GRM Col - Mejoras Evolutivas de Aplicativos y Herramientas de Riesgos 2023"/>
    <n v="0.1"/>
    <s v="Tech Manager/Líder"/>
    <s v="Otras Tec."/>
    <m/>
    <e v="#NAME?"/>
    <x v="0"/>
    <e v="#NAME?"/>
    <m/>
    <m/>
    <m/>
    <m/>
    <m/>
    <n v="0"/>
  </r>
  <r>
    <s v="C802977"/>
    <s v="YULY MARCELA OVALLE GOMEZ"/>
    <x v="3"/>
    <s v="Accounts"/>
    <s v="BBVA"/>
    <x v="0"/>
    <s v="SDATOOL-39506 $ Cuenta Sostenible"/>
    <n v="0.1"/>
    <s v="Tech Manager/Líder"/>
    <s v="Otras Tec."/>
    <m/>
    <e v="#NAME?"/>
    <x v="0"/>
    <e v="#NAME?"/>
    <m/>
    <m/>
    <m/>
    <m/>
    <m/>
    <n v="0"/>
  </r>
  <r>
    <s v="C811410"/>
    <s v="MICHAEL CESAR LLANES POLO"/>
    <x v="2"/>
    <s v="Riesgos"/>
    <s v="BBVA"/>
    <x v="0"/>
    <s v="SDATOOL-28473 $ GRM Col - TMP Cobranzas - Módulo control acuerdos de pago"/>
    <n v="1"/>
    <s v="Desarrollador"/>
    <s v="Mainframe"/>
    <m/>
    <e v="#NAME?"/>
    <x v="0"/>
    <e v="#NAME?"/>
    <m/>
    <m/>
    <m/>
    <m/>
    <m/>
    <m/>
  </r>
  <r>
    <s v="O000100"/>
    <s v="LICETH YHOMARY GONZALEZ PENAGOS"/>
    <x v="2"/>
    <s v="Riesgos"/>
    <s v="BBVA"/>
    <x v="0"/>
    <s v="SDATOOL-40658 $ GRM Col - Cronos Collections - Estrategia"/>
    <n v="0.75"/>
    <s v="Desarrollador"/>
    <s v="Mainframe"/>
    <m/>
    <e v="#NAME?"/>
    <x v="0"/>
    <e v="#NAME?"/>
    <m/>
    <m/>
    <m/>
    <m/>
    <m/>
    <m/>
  </r>
  <r>
    <s v="O000100"/>
    <s v="LICETH YHOMARY GONZALEZ PENAGOS"/>
    <x v="2"/>
    <s v="Riesgos"/>
    <s v="BBVA"/>
    <x v="0"/>
    <s v="NOSDA $ BAU (Mantenimiento y peq. evolutivos)"/>
    <n v="0.25"/>
    <s v="Desarrollador"/>
    <s v="Mainframe"/>
    <m/>
    <e v="#NAME?"/>
    <x v="0"/>
    <e v="#NAME?"/>
    <m/>
    <m/>
    <m/>
    <m/>
    <m/>
    <m/>
  </r>
  <r>
    <s v="O001421"/>
    <s v="JULIAN ALBERTO HERRERA SALAZAR"/>
    <x v="2"/>
    <s v="Riesgos"/>
    <s v="BBVA"/>
    <x v="0"/>
    <s v="SDATOOL-40658 $ GRM Col - Cronos Collections - Estrategia"/>
    <n v="0.5"/>
    <s v="Desarrollador"/>
    <s v="Mainframe"/>
    <m/>
    <e v="#NAME?"/>
    <x v="0"/>
    <e v="#NAME?"/>
    <m/>
    <m/>
    <m/>
    <m/>
    <m/>
    <m/>
  </r>
  <r>
    <s v="O001421"/>
    <s v="JULIAN ALBERTO HERRERA SALAZAR"/>
    <x v="2"/>
    <s v="Riesgos"/>
    <s v="BBVA"/>
    <x v="0"/>
    <s v="SDATOOL-28473 $ GRM Col - TMP Cobranzas - Módulo control acuerdos de pago"/>
    <n v="0.25"/>
    <s v="Desarrollador"/>
    <s v="Mainframe"/>
    <m/>
    <e v="#NAME?"/>
    <x v="0"/>
    <e v="#NAME?"/>
    <m/>
    <m/>
    <m/>
    <m/>
    <m/>
    <m/>
  </r>
  <r>
    <s v="O001421"/>
    <s v="JULIAN ALBERTO HERRERA SALAZAR"/>
    <x v="2"/>
    <s v="Riesgos"/>
    <s v="BBVA"/>
    <x v="0"/>
    <s v="NOSDA $ BAU (Mantenimiento y peq. evolutivos)"/>
    <n v="0.25"/>
    <s v="Desarrollador"/>
    <s v="Mainframe"/>
    <m/>
    <e v="#NAME?"/>
    <x v="0"/>
    <e v="#NAME?"/>
    <m/>
    <m/>
    <m/>
    <m/>
    <m/>
    <m/>
  </r>
  <r>
    <s v="O001720"/>
    <s v="JOHN FERNANDO AREVALO BERMUDEZ"/>
    <x v="2"/>
    <s v="Riesgos"/>
    <s v="BBVA"/>
    <x v="0"/>
    <s v="SDATOOL-28473 $ GRM Col - TMP Cobranzas - Módulo control acuerdos de pago"/>
    <n v="0.5"/>
    <s v="Desarrollador"/>
    <s v="Mainframe"/>
    <m/>
    <e v="#NAME?"/>
    <x v="0"/>
    <e v="#NAME?"/>
    <m/>
    <m/>
    <m/>
    <m/>
    <m/>
    <m/>
  </r>
  <r>
    <s v="O001720"/>
    <s v="JOHN FERNANDO AREVALO BERMUDEZ"/>
    <x v="2"/>
    <s v="Riesgos"/>
    <s v="BBVA"/>
    <x v="0"/>
    <s v="NOSDA $ BAU (Mantenimiento y peq. evolutivos)"/>
    <n v="0.25"/>
    <s v="Desarrollador"/>
    <s v="Mainframe"/>
    <m/>
    <e v="#NAME?"/>
    <x v="0"/>
    <e v="#NAME?"/>
    <m/>
    <m/>
    <m/>
    <m/>
    <m/>
    <m/>
  </r>
  <r>
    <s v="O001720"/>
    <s v="JOHN FERNANDO AREVALO BERMUDEZ"/>
    <x v="2"/>
    <s v="Riesgos"/>
    <s v="BBVA"/>
    <x v="0"/>
    <s v="SDATOOL-29029 $ EBA Guidelines (NDoD/PD/LGD) - Colombia"/>
    <n v="0.25"/>
    <s v="Desarrollador"/>
    <s v="Mainframe"/>
    <m/>
    <e v="#NAME?"/>
    <x v="0"/>
    <e v="#NAME?"/>
    <m/>
    <m/>
    <m/>
    <m/>
    <m/>
    <m/>
  </r>
  <r>
    <s v="T003443"/>
    <s v="DANIELA ALEJANDRA ROMERO CANGREJO"/>
    <x v="2"/>
    <s v="Riesgos"/>
    <s v="Neoris"/>
    <x v="0"/>
    <s v="SDATOOL-28473 $ GRM Col - TMP Cobranzas - Módulo control acuerdos de pago"/>
    <n v="0.5"/>
    <s v="QA"/>
    <s v="Mainframe"/>
    <m/>
    <e v="#NAME?"/>
    <x v="0"/>
    <e v="#NAME?"/>
    <m/>
    <m/>
    <m/>
    <m/>
    <m/>
    <m/>
  </r>
  <r>
    <s v="T003443"/>
    <s v="DANIELA ALEJANDRA ROMERO CANGREJO"/>
    <x v="2"/>
    <s v="Riesgos"/>
    <s v="Neoris"/>
    <x v="0"/>
    <s v="NOSDA $ BAU (Mantenimiento y peq. evolutivos)"/>
    <n v="0.4"/>
    <s v="QA"/>
    <s v="Mainframe"/>
    <m/>
    <e v="#NAME?"/>
    <x v="0"/>
    <e v="#NAME?"/>
    <m/>
    <m/>
    <m/>
    <m/>
    <m/>
    <m/>
  </r>
  <r>
    <s v="T003443"/>
    <s v="DANIELA ALEJANDRA ROMERO CANGREJO"/>
    <x v="2"/>
    <s v="Riesgos"/>
    <s v="Neoris"/>
    <x v="0"/>
    <s v="SDATOOL-29029 $ EBA Guidelines (NDoD/PD/LGD) - Colombia"/>
    <n v="0.1"/>
    <s v="QA"/>
    <s v="Mainframe"/>
    <m/>
    <e v="#NAME?"/>
    <x v="0"/>
    <e v="#NAME?"/>
    <m/>
    <m/>
    <m/>
    <m/>
    <m/>
    <m/>
  </r>
  <r>
    <s v="C811301"/>
    <s v="MARIANELLA FANDIÑO NIETO"/>
    <x v="2"/>
    <s v="Riesgos"/>
    <s v="BBVA"/>
    <x v="0"/>
    <s v="SDATOOL-28473 $ GRM Col - TMP Cobranzas - Módulo control acuerdos de pago"/>
    <n v="0.3"/>
    <s v="Tech Manager/Líder"/>
    <s v="Mainframe"/>
    <m/>
    <e v="#NAME?"/>
    <x v="0"/>
    <e v="#NAME?"/>
    <m/>
    <m/>
    <m/>
    <m/>
    <m/>
    <m/>
  </r>
  <r>
    <s v="C811301"/>
    <s v="MARIANELLA FANDIÑO NIETO"/>
    <x v="2"/>
    <s v="Riesgos"/>
    <s v="BBVA"/>
    <x v="0"/>
    <s v="SDATOOL-40658 $ GRM Col - Cronos Collections - Estrategia"/>
    <n v="0.4"/>
    <s v="Tech Manager/Líder"/>
    <s v="Mainframe"/>
    <m/>
    <e v="#NAME?"/>
    <x v="0"/>
    <e v="#NAME?"/>
    <m/>
    <m/>
    <m/>
    <m/>
    <m/>
    <m/>
  </r>
  <r>
    <s v="C811301"/>
    <s v="MARIANELLA FANDIÑO NIETO"/>
    <x v="2"/>
    <s v="Riesgos"/>
    <s v="BBVA"/>
    <x v="0"/>
    <s v="NOSDA $ BAU (Mantenimiento y peq. evolutivos)"/>
    <n v="0.2"/>
    <s v="Tech Manager/Líder"/>
    <s v="Mainframe"/>
    <m/>
    <e v="#NAME?"/>
    <x v="0"/>
    <e v="#NAME?"/>
    <m/>
    <m/>
    <m/>
    <m/>
    <m/>
    <m/>
  </r>
  <r>
    <s v="C811301"/>
    <s v="MARIANELLA FANDIÑO NIETO"/>
    <x v="2"/>
    <s v="Riesgos"/>
    <s v="BBVA"/>
    <x v="0"/>
    <s v="SDATOOL-29029 $ EBA Guidelines (NDoD/PD/LGD) - Colombia"/>
    <n v="0.1"/>
    <s v="Tech Manager/Líder"/>
    <s v="Mainframe"/>
    <m/>
    <e v="#NAME?"/>
    <x v="0"/>
    <e v="#NAME?"/>
    <m/>
    <m/>
    <m/>
    <m/>
    <m/>
    <m/>
  </r>
  <r>
    <s v="C804706"/>
    <s v="BAUTISTA MOLINA, LINA MARCELA"/>
    <x v="2"/>
    <s v="Riesgos"/>
    <s v="BBVA"/>
    <x v="0"/>
    <s v="SDATOOL-40545 $ GRM Col - Mejoras Evolutivas de Aplicativos y Herramientas de Riesgos 2023"/>
    <n v="0.8"/>
    <s v="Desarrollador"/>
    <s v="Mainframe"/>
    <m/>
    <e v="#NAME?"/>
    <x v="0"/>
    <e v="#NAME?"/>
    <m/>
    <m/>
    <m/>
    <m/>
    <m/>
    <m/>
  </r>
  <r>
    <s v="C804706"/>
    <s v="BAUTISTA MOLINA, LINA MARCELA"/>
    <x v="2"/>
    <s v="Riesgos"/>
    <s v="BBVA"/>
    <x v="0"/>
    <s v="SDATOOL-42098 $ GRM Col CRONOS Batch - Campañas SMeS"/>
    <n v="0.2"/>
    <s v="Desarrollador"/>
    <s v="Mainframe"/>
    <m/>
    <e v="#NAME?"/>
    <x v="0"/>
    <e v="#NAME?"/>
    <m/>
    <m/>
    <m/>
    <m/>
    <m/>
    <m/>
  </r>
  <r>
    <s v="C808756"/>
    <s v="BUITRAGO GUALTEROS, ANDRES FELIPE"/>
    <x v="2"/>
    <s v="Riesgos"/>
    <s v="BBVA"/>
    <x v="0"/>
    <s v="SDATOOL-39836 $ Vivienda digital fase III"/>
    <n v="0.2"/>
    <s v="Desarrollador"/>
    <s v="Distribuido"/>
    <m/>
    <e v="#NAME?"/>
    <x v="0"/>
    <e v="#NAME?"/>
    <m/>
    <m/>
    <m/>
    <m/>
    <m/>
    <m/>
  </r>
  <r>
    <s v="C808756"/>
    <s v="BUITRAGO GUALTEROS, ANDRES FELIPE"/>
    <x v="2"/>
    <s v="Riesgos"/>
    <s v="BBVA"/>
    <x v="0"/>
    <s v="SDATOOL-40545 $ GRM Col - Mejoras Evolutivas de Aplicativos y Herramientas de Riesgos 2023"/>
    <n v="0.7"/>
    <s v="Desarrollador"/>
    <s v="Distribuido"/>
    <m/>
    <e v="#NAME?"/>
    <x v="0"/>
    <e v="#NAME?"/>
    <m/>
    <m/>
    <m/>
    <m/>
    <m/>
    <m/>
  </r>
  <r>
    <s v="C808756"/>
    <s v="BUITRAGO GUALTEROS, ANDRES FELIPE"/>
    <x v="2"/>
    <s v="Riesgos"/>
    <s v="BBVA"/>
    <x v="0"/>
    <s v="SDATOOL-41457 $ NGA - Colombia. EWS (ARCE)"/>
    <n v="0.1"/>
    <s v="Desarrollador"/>
    <s v="Distribuido"/>
    <m/>
    <e v="#NAME?"/>
    <x v="0"/>
    <e v="#NAME?"/>
    <m/>
    <m/>
    <m/>
    <m/>
    <m/>
    <m/>
  </r>
  <r>
    <s v="C809517"/>
    <s v="VARGAS PEREZ, WENDY MARITZA"/>
    <x v="2"/>
    <s v="Riesgos"/>
    <s v="BBVA"/>
    <x v="0"/>
    <s v="SDATOOL-39836 $ Vivienda digital fase III"/>
    <n v="0.8"/>
    <s v="Desarrollador"/>
    <s v="Distribuido"/>
    <m/>
    <e v="#NAME?"/>
    <x v="0"/>
    <e v="#NAME?"/>
    <m/>
    <m/>
    <m/>
    <m/>
    <m/>
    <m/>
  </r>
  <r>
    <s v="C809517"/>
    <s v="VARGAS PEREZ, WENDY MARITZA"/>
    <x v="2"/>
    <s v="Riesgos"/>
    <s v="BBVA"/>
    <x v="0"/>
    <s v="SDATOOL-39272 $ GRM-Col-Cambio servicio APL (Aportes en línea)"/>
    <n v="0.2"/>
    <s v="Desarrollador"/>
    <s v="Distribuido"/>
    <m/>
    <e v="#NAME?"/>
    <x v="0"/>
    <e v="#NAME?"/>
    <m/>
    <m/>
    <m/>
    <m/>
    <m/>
    <m/>
  </r>
  <r>
    <s v="C811315"/>
    <s v="LOZANO BELTRAN, WILLIAM EDUARDO"/>
    <x v="2"/>
    <s v="Riesgos"/>
    <s v="BBVA"/>
    <x v="0"/>
    <s v="SDATOOL-39272 $ GRM-Col-Cambio servicio APL (Aportes en línea)"/>
    <n v="0.8"/>
    <s v="Desarrollador"/>
    <s v="Distribuido"/>
    <m/>
    <e v="#NAME?"/>
    <x v="0"/>
    <e v="#NAME?"/>
    <m/>
    <m/>
    <m/>
    <m/>
    <m/>
    <m/>
  </r>
  <r>
    <s v="C811315"/>
    <s v="LOZANO BELTRAN, WILLIAM EDUARDO"/>
    <x v="2"/>
    <s v="Riesgos"/>
    <s v="BBVA"/>
    <x v="0"/>
    <s v="NOSDA $ BAU (Mantenimiento y peq. evolutivos)"/>
    <n v="0.2"/>
    <s v="Desarrollador"/>
    <s v="Distribuido"/>
    <m/>
    <e v="#NAME?"/>
    <x v="0"/>
    <e v="#NAME?"/>
    <m/>
    <m/>
    <m/>
    <m/>
    <m/>
    <m/>
  </r>
  <r>
    <s v="CE66885"/>
    <s v="ROJAS VILLEGAS, ADRIAN"/>
    <x v="2"/>
    <s v="Riesgos"/>
    <s v="Meraki"/>
    <x v="0"/>
    <s v="SDATOOL-39836 $ Vivienda digital fase III"/>
    <n v="0.5"/>
    <s v="Desarrollador"/>
    <s v="Distribuido"/>
    <m/>
    <e v="#NAME?"/>
    <x v="0"/>
    <e v="#NAME?"/>
    <m/>
    <m/>
    <m/>
    <m/>
    <m/>
    <m/>
  </r>
  <r>
    <s v="CE57060"/>
    <s v="MORENO HERNANDEZ, KAREN ANDREA"/>
    <x v="2"/>
    <s v="Riesgos"/>
    <s v="GGI / CMC"/>
    <x v="0"/>
    <s v="SDATOOL-40545 $ GRM Col - Mejoras Evolutivas de Aplicativos y Herramientas de Riesgos 2023"/>
    <n v="0.5"/>
    <s v="QA"/>
    <s v="Distribuido"/>
    <m/>
    <e v="#NAME?"/>
    <x v="0"/>
    <e v="#NAME?"/>
    <m/>
    <m/>
    <m/>
    <m/>
    <m/>
    <m/>
  </r>
  <r>
    <s v="CE57060"/>
    <s v="MORENO HERNANDEZ, KAREN ANDREA"/>
    <x v="2"/>
    <s v="Riesgos"/>
    <s v="GGI / CMC"/>
    <x v="0"/>
    <s v="SDATOOL-39836 $ Vivienda digital fase III"/>
    <n v="0.5"/>
    <s v="QA"/>
    <s v="Distribuido"/>
    <m/>
    <e v="#NAME?"/>
    <x v="0"/>
    <e v="#NAME?"/>
    <m/>
    <m/>
    <m/>
    <m/>
    <m/>
    <m/>
  </r>
  <r>
    <s v="T006700"/>
    <s v="VEGA ROZO, EMANUEL"/>
    <x v="2"/>
    <s v="Riesgos"/>
    <s v="Choucair"/>
    <x v="0"/>
    <s v="SDATOOL-39272 $ GRM-Col-Cambio servicio APL (Aportes en línea)"/>
    <n v="0.5"/>
    <s v="QA"/>
    <s v="Distribuido"/>
    <m/>
    <e v="#NAME?"/>
    <x v="0"/>
    <e v="#NAME?"/>
    <m/>
    <m/>
    <m/>
    <m/>
    <m/>
    <m/>
  </r>
  <r>
    <s v="T006700"/>
    <s v="VEGA ROZO, EMANUEL"/>
    <x v="2"/>
    <s v="Riesgos"/>
    <s v="Choucair"/>
    <x v="0"/>
    <s v="SDATOOL-40545 $ GRM Col - Mejoras Evolutivas de Aplicativos y Herramientas de Riesgos 2023"/>
    <n v="0.5"/>
    <s v="QA"/>
    <s v="Distribuido"/>
    <m/>
    <e v="#NAME?"/>
    <x v="0"/>
    <e v="#NAME?"/>
    <m/>
    <m/>
    <m/>
    <m/>
    <m/>
    <m/>
  </r>
  <r>
    <s v="C811280"/>
    <s v="SUAREZ RESTREPO, DIANA MARCELA"/>
    <x v="2"/>
    <s v="Riesgos"/>
    <s v="BBVA"/>
    <x v="0"/>
    <s v="SDATOOL-39836 $ Vivienda digital fase III"/>
    <n v="0.25"/>
    <s v="Tech Manager/Líder"/>
    <s v="Distribuido"/>
    <m/>
    <e v="#NAME?"/>
    <x v="0"/>
    <e v="#NAME?"/>
    <m/>
    <m/>
    <m/>
    <m/>
    <m/>
    <m/>
  </r>
  <r>
    <s v="C811280"/>
    <s v="SUAREZ RESTREPO, DIANA MARCELA"/>
    <x v="2"/>
    <s v="Riesgos"/>
    <s v="BBVA"/>
    <x v="0"/>
    <s v="SDATOOL-40545 $ GRM Col - Mejoras Evolutivas de Aplicativos y Herramientas de Riesgos 2023"/>
    <n v="0.4"/>
    <s v="Tech Manager/Líder"/>
    <s v="Distribuido"/>
    <m/>
    <e v="#NAME?"/>
    <x v="0"/>
    <e v="#NAME?"/>
    <m/>
    <m/>
    <m/>
    <m/>
    <m/>
    <m/>
  </r>
  <r>
    <s v="C811280"/>
    <s v="SUAREZ RESTREPO, DIANA MARCELA"/>
    <x v="2"/>
    <s v="Riesgos"/>
    <s v="BBVA"/>
    <x v="0"/>
    <s v="SDATOOL-39272 $ GRM-Col-Cambio servicio APL (Aportes en línea)"/>
    <n v="0.25"/>
    <s v="Tech Manager/Líder"/>
    <s v="Distribuido"/>
    <m/>
    <e v="#NAME?"/>
    <x v="0"/>
    <e v="#NAME?"/>
    <m/>
    <m/>
    <m/>
    <m/>
    <m/>
    <m/>
  </r>
  <r>
    <s v="C811280"/>
    <s v="SUAREZ RESTREPO, DIANA MARCELA"/>
    <x v="2"/>
    <s v="Riesgos"/>
    <s v="BBVA"/>
    <x v="0"/>
    <s v="SDATOOL-41457 $ NGA - Colombia. EWS (ARCE)"/>
    <n v="0.1"/>
    <s v="Tech Manager/Líder"/>
    <s v="Distribuido"/>
    <m/>
    <e v="#NAME?"/>
    <x v="0"/>
    <e v="#NAME?"/>
    <m/>
    <m/>
    <m/>
    <m/>
    <m/>
    <m/>
  </r>
  <r>
    <s v="O001828"/>
    <s v="GILDARDO AGUIRRE RIOS"/>
    <x v="2"/>
    <s v="Riesgos"/>
    <s v="BBVA"/>
    <x v="0"/>
    <s v="NOSDA $ BAU (Mantenimiento y peq. evolutivos)"/>
    <n v="1"/>
    <s v="Desarrollador"/>
    <s v="Mainframe"/>
    <m/>
    <e v="#NAME?"/>
    <x v="0"/>
    <e v="#NAME?"/>
    <m/>
    <m/>
    <m/>
    <m/>
    <m/>
    <m/>
  </r>
  <r>
    <s v="C811394"/>
    <s v="ANDRES FELIPE PADILLA ROJAS"/>
    <x v="2"/>
    <s v="Riesgos"/>
    <s v="BBVA"/>
    <x v="0"/>
    <s v="NOSDA $ BAU (Mantenimiento y peq. evolutivos)"/>
    <n v="0.75"/>
    <s v="Desarrollador"/>
    <s v="Mainframe"/>
    <m/>
    <e v="#NAME?"/>
    <x v="0"/>
    <e v="#NAME?"/>
    <m/>
    <m/>
    <m/>
    <m/>
    <m/>
    <m/>
  </r>
  <r>
    <s v="C811394"/>
    <s v="ANDRES FELIPE PADILLA ROJAS"/>
    <x v="2"/>
    <s v="Riesgos"/>
    <s v="BBVA"/>
    <x v="0"/>
    <s v="SDATOOL-40545 $ GRM Col - Mejoras Evolutivas de Aplicativos y Herramientas de Riesgos 2023"/>
    <n v="0.25"/>
    <s v="Desarrollador"/>
    <s v="Mainframe"/>
    <m/>
    <e v="#NAME?"/>
    <x v="0"/>
    <e v="#NAME?"/>
    <m/>
    <m/>
    <m/>
    <m/>
    <m/>
    <m/>
  </r>
  <r>
    <s v="O002998"/>
    <s v="MARCO FABIAN ZABALA VILLANUEVA"/>
    <x v="2"/>
    <s v="Riesgos"/>
    <s v="BBVA"/>
    <x v="0"/>
    <s v="NOSDA $ BAU (Mantenimiento y peq. evolutivos)"/>
    <n v="1"/>
    <s v="Desarrollador"/>
    <s v="Distribuido"/>
    <m/>
    <e v="#NAME?"/>
    <x v="0"/>
    <e v="#NAME?"/>
    <m/>
    <m/>
    <m/>
    <m/>
    <m/>
    <m/>
  </r>
  <r>
    <s v="CE66758"/>
    <s v="JAIRO LEON ESPITIA BOTIA"/>
    <x v="2"/>
    <s v="Riesgos"/>
    <s v="Inetum"/>
    <x v="0"/>
    <s v="NOSDA $ BAU (Mantenimiento y peq. evolutivos)"/>
    <n v="1"/>
    <s v="Desarrollador"/>
    <s v="Mainframe"/>
    <m/>
    <e v="#NAME?"/>
    <x v="0"/>
    <e v="#NAME?"/>
    <m/>
    <m/>
    <m/>
    <m/>
    <m/>
    <m/>
  </r>
  <r>
    <s v="T004057"/>
    <s v="NANCY YASMIDA REATIGA CARVAJAL"/>
    <x v="2"/>
    <s v="Riesgos"/>
    <s v="Inetum"/>
    <x v="0"/>
    <s v="NOSDA $ BAU (Mantenimiento y peq. evolutivos)"/>
    <n v="1"/>
    <s v="Desarrollador"/>
    <s v="Distribuido"/>
    <m/>
    <e v="#NAME?"/>
    <x v="0"/>
    <e v="#NAME?"/>
    <m/>
    <m/>
    <m/>
    <m/>
    <m/>
    <m/>
  </r>
  <r>
    <s v="C811251"/>
    <s v="ANGELA LILIANA SAENZ FAJARDO"/>
    <x v="2"/>
    <s v="Riesgos"/>
    <s v="BBVA"/>
    <x v="0"/>
    <s v="NOSDA $ BAU (Mantenimiento y peq. evolutivos)"/>
    <n v="1"/>
    <s v="Tech Manager/Líder"/>
    <s v="Otras Tec."/>
    <m/>
    <e v="#NAME?"/>
    <x v="0"/>
    <e v="#NAME?"/>
    <m/>
    <m/>
    <m/>
    <m/>
    <m/>
    <m/>
  </r>
  <r>
    <s v="T007576"/>
    <s v="Juan camilo velasquez mantilla"/>
    <x v="2"/>
    <s v="Riesgos"/>
    <s v="Inetum"/>
    <x v="0"/>
    <s v="NOSDA $ BAU (Mantenimiento y peq. evolutivos)"/>
    <n v="0.5"/>
    <s v="Desarrollador"/>
    <s v="Distribuido"/>
    <m/>
    <e v="#NAME?"/>
    <x v="0"/>
    <e v="#NAME?"/>
    <m/>
    <m/>
    <m/>
    <m/>
    <m/>
    <m/>
  </r>
  <r>
    <s v="O001037"/>
    <s v="ANDRES CAMILO PARRA SUAREZ"/>
    <x v="2"/>
    <s v="Riesgos"/>
    <s v="BBVA"/>
    <x v="0"/>
    <s v="SDATOOL-41203 $ Obsolescencia Aplicativa 2023"/>
    <n v="0.5"/>
    <s v="Desarrollador"/>
    <s v="Distribuido"/>
    <m/>
    <e v="#NAME?"/>
    <x v="0"/>
    <e v="#NAME?"/>
    <m/>
    <m/>
    <m/>
    <m/>
    <m/>
    <m/>
  </r>
  <r>
    <s v="O001037"/>
    <s v="ANDRES CAMILO PARRA SUAREZ"/>
    <x v="2"/>
    <s v="Riesgos"/>
    <s v="BBVA"/>
    <x v="0"/>
    <s v="SDATOOL-42098 $ GRM Col CRONOS Batch - Campañas SMeS"/>
    <n v="0.5"/>
    <s v="Desarrollador"/>
    <s v="Distribuido"/>
    <m/>
    <e v="#NAME?"/>
    <x v="0"/>
    <e v="#NAME?"/>
    <m/>
    <m/>
    <m/>
    <m/>
    <m/>
    <m/>
  </r>
  <r>
    <s v="C805314"/>
    <s v="NELSON LEONEL FONSECA OCHOA"/>
    <x v="2"/>
    <s v="Riesgos"/>
    <s v="BBVA"/>
    <x v="0"/>
    <s v="SDATOOL-29029 $ EBA Guidelines (NDoD/PD/LGD) - Colombia"/>
    <n v="0.9"/>
    <s v="Desarrollador"/>
    <s v="Distribuido"/>
    <m/>
    <e v="#NAME?"/>
    <x v="0"/>
    <e v="#NAME?"/>
    <m/>
    <m/>
    <m/>
    <m/>
    <m/>
    <m/>
  </r>
  <r>
    <s v="C805314"/>
    <s v="NELSON LEONEL FONSECA OCHOA"/>
    <x v="2"/>
    <s v="Riesgos"/>
    <s v="BBVA"/>
    <x v="0"/>
    <s v="SDATOOL-29029 $ EBA Guidelines (NDoD/PD/LGD) - Colombia"/>
    <n v="0.1"/>
    <s v="Desarrollador"/>
    <s v="Distribuido"/>
    <m/>
    <e v="#NAME?"/>
    <x v="0"/>
    <e v="#NAME?"/>
    <m/>
    <m/>
    <m/>
    <m/>
    <m/>
    <m/>
  </r>
  <r>
    <s v="CE68712"/>
    <s v="EDWARD STIVEN RODRIGUEZ MORENO"/>
    <x v="2"/>
    <s v="Riesgos"/>
    <s v="BLUETAB"/>
    <x v="0"/>
    <s v="SDATOOL-29029 $ EBA Guidelines (NDoD/PD/LGD) - Colombia"/>
    <n v="0.3"/>
    <s v="Desarrollador"/>
    <s v="Otras Tec."/>
    <m/>
    <e v="#NAME?"/>
    <x v="0"/>
    <e v="#NAME?"/>
    <m/>
    <m/>
    <m/>
    <m/>
    <m/>
    <m/>
  </r>
  <r>
    <s v="CE57396"/>
    <s v="JUAN PABLO AREVALO MERCHAN"/>
    <x v="2"/>
    <s v="Riesgos"/>
    <s v="BLUETAB"/>
    <x v="0"/>
    <s v="SDATOOL-29029 $ EBA Guidelines (NDoD/PD/LGD) - Colombia"/>
    <n v="0.3"/>
    <s v="Desarrollador"/>
    <s v="Otras Tec."/>
    <m/>
    <e v="#NAME?"/>
    <x v="0"/>
    <e v="#NAME?"/>
    <m/>
    <m/>
    <m/>
    <m/>
    <m/>
    <m/>
  </r>
  <r>
    <s v="O002482"/>
    <s v="SERGIO ANDRES SEPULVEDA CRUZ"/>
    <x v="2"/>
    <s v="Riesgos"/>
    <s v="BBVA"/>
    <x v="0"/>
    <s v="SDATOOL-39272 $ GRM-Col-Cambio servicio APL (Aportes en línea)"/>
    <n v="0.5"/>
    <s v="Desarrollador"/>
    <s v="Distribuido"/>
    <m/>
    <e v="#NAME?"/>
    <x v="0"/>
    <e v="#NAME?"/>
    <m/>
    <m/>
    <m/>
    <m/>
    <m/>
    <m/>
  </r>
  <r>
    <s v="O002482"/>
    <s v="SERGIO ANDRES SEPULVEDA CRUZ"/>
    <x v="2"/>
    <s v="Riesgos"/>
    <s v="BBVA"/>
    <x v="0"/>
    <s v="SDATOOL-39463 $ GRM Col - Actualización Versión Power Curve."/>
    <n v="0.5"/>
    <s v="Desarrollador"/>
    <s v="Distribuido"/>
    <m/>
    <e v="#NAME?"/>
    <x v="0"/>
    <e v="#NAME?"/>
    <m/>
    <m/>
    <m/>
    <m/>
    <m/>
    <m/>
  </r>
  <r>
    <s v="C811279"/>
    <s v="FREDY MAURICIO CELY HERNÁNDEZ"/>
    <x v="2"/>
    <s v="Riesgos"/>
    <s v="BBVA"/>
    <x v="0"/>
    <s v="SDATOOL-41203 $ Obsolescencia Aplicativa 2023"/>
    <n v="0.3"/>
    <s v="Tech Manager/Líder"/>
    <s v="Distribuido"/>
    <m/>
    <e v="#NAME?"/>
    <x v="0"/>
    <e v="#NAME?"/>
    <m/>
    <m/>
    <m/>
    <m/>
    <m/>
    <m/>
  </r>
  <r>
    <s v="C811279"/>
    <s v="FREDY MAURICIO CELY HERNÁNDEZ"/>
    <x v="2"/>
    <s v="Riesgos"/>
    <s v="BBVA"/>
    <x v="0"/>
    <s v="SDATOOL-29029 $ EBA Guidelines (NDoD/PD/LGD) - Colombia"/>
    <n v="0.3"/>
    <s v="Tech Manager/Líder"/>
    <s v="Distribuido"/>
    <m/>
    <e v="#NAME?"/>
    <x v="0"/>
    <e v="#NAME?"/>
    <m/>
    <m/>
    <m/>
    <m/>
    <m/>
    <m/>
  </r>
  <r>
    <s v="C811279"/>
    <s v="FREDY MAURICIO CELY HERNÁNDEZ"/>
    <x v="2"/>
    <s v="Riesgos"/>
    <s v="BBVA"/>
    <x v="0"/>
    <s v="SDATOOL-39272 $ GRM-Col-Cambio servicio APL (Aportes en línea)"/>
    <n v="0.3"/>
    <s v="Tech Manager/Líder"/>
    <s v="Distribuido"/>
    <m/>
    <e v="#NAME?"/>
    <x v="0"/>
    <e v="#NAME?"/>
    <m/>
    <m/>
    <m/>
    <m/>
    <m/>
    <m/>
  </r>
  <r>
    <s v="C811279"/>
    <s v="FREDY MAURICIO CELY HERNÁNDEZ"/>
    <x v="2"/>
    <s v="Riesgos"/>
    <s v="BBVA"/>
    <x v="0"/>
    <s v="NOSDA $ BAU (Mantenimiento y peq. evolutivos)"/>
    <n v="0.1"/>
    <s v="Tech Manager/Líder"/>
    <s v="Distribuido"/>
    <m/>
    <e v="#NAME?"/>
    <x v="0"/>
    <e v="#NAME?"/>
    <m/>
    <m/>
    <m/>
    <m/>
    <m/>
    <m/>
  </r>
  <r>
    <s v="C805717"/>
    <s v="ANDRES CAMILO BOHORQUEZ CASTILLO"/>
    <x v="0"/>
    <s v="Gema"/>
    <s v="BBVA"/>
    <x v="0"/>
    <s v="SDATOOL-39354 $ My business Open Pay - Plan Ascenso Mercurio"/>
    <n v="1"/>
    <s v="Desarrollador"/>
    <s v="ASO"/>
    <s v="Interno"/>
    <e v="#NAME?"/>
    <x v="0"/>
    <e v="#NAME?"/>
    <m/>
    <m/>
    <m/>
    <m/>
    <m/>
    <m/>
  </r>
  <r>
    <s v="C810865"/>
    <s v="AUGUSTO CARDONA GIRALDO"/>
    <x v="0"/>
    <s v="Gema"/>
    <s v="BBVA"/>
    <x v="0"/>
    <s v="SDATOOL-41930 $ FX en GEMA"/>
    <n v="1"/>
    <s v="Desarrollador"/>
    <s v="Cells"/>
    <s v="Interno"/>
    <e v="#NAME?"/>
    <x v="0"/>
    <e v="#NAME?"/>
    <m/>
    <m/>
    <m/>
    <m/>
    <m/>
    <m/>
  </r>
  <r>
    <s v="CE68863"/>
    <s v="JUAN CAMILO CASTANO RAMIREZ"/>
    <x v="0"/>
    <s v="Gema"/>
    <s v="GGI / CMC"/>
    <x v="0"/>
    <s v="SDATOOL-40676 $ Contratación y uso de mPOS desde APPs BBVA"/>
    <n v="1"/>
    <s v="QA"/>
    <s v="Distribuido"/>
    <s v="Externo"/>
    <e v="#NAME?"/>
    <x v="0"/>
    <e v="#NAME?"/>
    <m/>
    <m/>
    <m/>
    <m/>
    <m/>
    <m/>
  </r>
  <r>
    <s v="CE68333"/>
    <s v="DANIEL FERNANDO DIAZ CACERES"/>
    <x v="0"/>
    <s v="Gema"/>
    <s v="GGI / CMC"/>
    <x v="0"/>
    <s v="SDATOOL-32905 $ Global Enterprises Mobile App (GEMA)"/>
    <n v="1"/>
    <s v="QA"/>
    <s v="Distribuido"/>
    <s v="Externo"/>
    <e v="#NAME?"/>
    <x v="0"/>
    <e v="#NAME?"/>
    <m/>
    <m/>
    <m/>
    <m/>
    <m/>
    <m/>
  </r>
  <r>
    <s v="C811398"/>
    <s v="EDISSON ARMANDO BLANCO SALAMANCA"/>
    <x v="0"/>
    <s v="Gema"/>
    <s v="BBVA"/>
    <x v="0"/>
    <s v="SDATOOL-39354 $ My business Open Pay - Plan Ascenso Mercurio"/>
    <n v="1"/>
    <s v="Desarrollador"/>
    <s v="Cells"/>
    <s v="Interno"/>
    <e v="#NAME?"/>
    <x v="0"/>
    <e v="#NAME?"/>
    <m/>
    <m/>
    <m/>
    <m/>
    <m/>
    <m/>
  </r>
  <r>
    <s v="CE48026"/>
    <s v="GIOVANNY ALEXANDER PEÑA GUTIÉRREZ"/>
    <x v="0"/>
    <s v="Gema"/>
    <s v="Novatec"/>
    <x v="0"/>
    <s v="SDATOOL-39354 $ My business Open Pay - Plan Ascenso Mercurio"/>
    <n v="1"/>
    <s v="Desarrollador"/>
    <s v="ASO"/>
    <s v="Externo"/>
    <e v="#NAME?"/>
    <x v="0"/>
    <e v="#NAME?"/>
    <m/>
    <m/>
    <m/>
    <m/>
    <m/>
    <m/>
  </r>
  <r>
    <s v="CE62622"/>
    <s v="HERNAN DARIO RAMOS ORTIZ"/>
    <x v="0"/>
    <s v="Gema"/>
    <s v="Novatec"/>
    <x v="0"/>
    <s v="SDATOOL-41930 $ FX en GEMA"/>
    <n v="1"/>
    <s v="Desarrollador"/>
    <s v="ASO"/>
    <s v="Externo"/>
    <e v="#NAME?"/>
    <x v="0"/>
    <e v="#NAME?"/>
    <m/>
    <m/>
    <m/>
    <m/>
    <m/>
    <m/>
  </r>
  <r>
    <s v="CE68193"/>
    <s v="JOAN FEDERICO MARIN RUIZ"/>
    <x v="0"/>
    <s v="Gema"/>
    <s v="Choucair"/>
    <x v="0"/>
    <s v="SDATOOL-41930 $ FX en GEMA"/>
    <n v="1"/>
    <s v="QA"/>
    <s v="ASO"/>
    <s v="Externo"/>
    <e v="#NAME?"/>
    <x v="0"/>
    <e v="#NAME?"/>
    <m/>
    <m/>
    <m/>
    <m/>
    <m/>
    <m/>
  </r>
  <r>
    <s v="CE65559"/>
    <s v="JOHN MARLON NUÑEZ NIÑO"/>
    <x v="0"/>
    <s v="Gema"/>
    <s v="Neoris"/>
    <x v="0"/>
    <s v="SDATOOL-32905 $ Global Enterprises Mobile App (GEMA)"/>
    <n v="1"/>
    <s v="Desarrollador"/>
    <s v="ASO"/>
    <s v="Externo"/>
    <e v="#NAME?"/>
    <x v="0"/>
    <e v="#NAME?"/>
    <m/>
    <m/>
    <m/>
    <m/>
    <m/>
    <m/>
  </r>
  <r>
    <s v="C811355"/>
    <s v="JORGE ANDRES REINA ANGULO"/>
    <x v="0"/>
    <s v="Gema"/>
    <s v="BBVA"/>
    <x v="0"/>
    <s v="SDATOOL-39354 $ My business Open Pay - Plan Ascenso Mercurio"/>
    <n v="1"/>
    <s v="Desarrollador"/>
    <s v="APX"/>
    <s v="Interno"/>
    <e v="#NAME?"/>
    <x v="0"/>
    <e v="#NAME?"/>
    <m/>
    <m/>
    <m/>
    <m/>
    <m/>
    <m/>
  </r>
  <r>
    <s v="T007488"/>
    <s v="JUAN ESTEBAN ALARCON MIRANDA"/>
    <x v="0"/>
    <s v="Gema"/>
    <s v="Indra"/>
    <x v="0"/>
    <s v="SDATOOL-41930 $ FX en GEMA"/>
    <n v="1"/>
    <s v="Desarrollador"/>
    <s v="APX"/>
    <s v="Externo"/>
    <e v="#NAME?"/>
    <x v="0"/>
    <e v="#NAME?"/>
    <m/>
    <m/>
    <m/>
    <m/>
    <m/>
    <m/>
  </r>
  <r>
    <s v="CE57488"/>
    <s v="JULIAN FERNANDO MARTINEZ RODRIGUEZ"/>
    <x v="0"/>
    <s v="Gema"/>
    <s v="Indra"/>
    <x v="0"/>
    <s v="SDATOOL-41930 $ FX en GEMA"/>
    <n v="1"/>
    <s v="Desarrollador"/>
    <s v="ASO"/>
    <s v="Externo"/>
    <e v="#NAME?"/>
    <x v="0"/>
    <e v="#NAME?"/>
    <m/>
    <m/>
    <m/>
    <m/>
    <m/>
    <m/>
  </r>
  <r>
    <s v="T011800"/>
    <s v="LEIDY CATERINE ARIZA BALLESTEROS"/>
    <x v="0"/>
    <s v="Gema"/>
    <s v="Novatec"/>
    <x v="0"/>
    <s v="SDATOOL-42211 $ Onboarding cash management Netcash/Gema"/>
    <n v="1"/>
    <s v="Desarrollador"/>
    <s v="Mainframe"/>
    <s v="Externo"/>
    <e v="#NAME?"/>
    <x v="0"/>
    <e v="#NAME?"/>
    <m/>
    <m/>
    <m/>
    <m/>
    <m/>
    <m/>
  </r>
  <r>
    <s v="T011110"/>
    <s v="LUIS ALEJANDRO BURGOS"/>
    <x v="0"/>
    <s v="Gema"/>
    <s v="Indra"/>
    <x v="0"/>
    <s v="SDATOOL-41930 $ FX en GEMA"/>
    <n v="1"/>
    <s v="Desarrollador"/>
    <s v="Cells"/>
    <s v="Externo"/>
    <e v="#NAME?"/>
    <x v="0"/>
    <e v="#NAME?"/>
    <m/>
    <m/>
    <m/>
    <m/>
    <m/>
    <m/>
  </r>
  <r>
    <s v="CE29535"/>
    <s v="LUIS FERNANDO PEÑA CAICEDO"/>
    <x v="0"/>
    <s v="Gema"/>
    <s v="Inetum"/>
    <x v="0"/>
    <s v="SDATOOL-39354 $ My business Open Pay - Plan Ascenso Mercurio"/>
    <n v="1"/>
    <s v="Desarrollador"/>
    <s v="Distribuido"/>
    <s v="Externo"/>
    <e v="#NAME?"/>
    <x v="0"/>
    <e v="#NAME?"/>
    <m/>
    <m/>
    <m/>
    <m/>
    <m/>
    <m/>
  </r>
  <r>
    <s v="C783731"/>
    <s v="MARCO JULIO GOMEZ AMADO"/>
    <x v="0"/>
    <s v="Gema"/>
    <s v="BBVA"/>
    <x v="0"/>
    <s v="SDATOOL-39354 $ My business Open Pay - Plan Ascenso Mercurio"/>
    <n v="0.5"/>
    <s v="Tech Manager/Líder"/>
    <s v="Mainframe"/>
    <s v="Interno"/>
    <e v="#NAME?"/>
    <x v="0"/>
    <e v="#NAME?"/>
    <m/>
    <m/>
    <m/>
    <m/>
    <m/>
    <m/>
  </r>
  <r>
    <s v="C783731"/>
    <s v="MARCO JULIO GOMEZ AMADO"/>
    <x v="0"/>
    <s v="Gema"/>
    <s v="BBVA"/>
    <x v="0"/>
    <s v="SDATOOL-40676 $ Contratación y uso de mPOS desde APPs BBVA"/>
    <n v="0.5"/>
    <s v="Tech Manager/Líder"/>
    <s v="Mainframe"/>
    <s v="Interno"/>
    <e v="#NAME?"/>
    <x v="0"/>
    <e v="#NAME?"/>
    <m/>
    <m/>
    <m/>
    <m/>
    <m/>
    <m/>
  </r>
  <r>
    <s v="CE30639"/>
    <s v="MARIO FERNANDO RAMIREZ LEGUIZAMON"/>
    <x v="0"/>
    <s v="Gema"/>
    <s v="GGI / CMC"/>
    <x v="0"/>
    <s v="SDATOOL-42211 $ Onboarding cash management Netcash/Gema"/>
    <n v="0.5"/>
    <s v="QA"/>
    <s v="Distribuido"/>
    <s v="Externo"/>
    <e v="#NAME?"/>
    <x v="0"/>
    <e v="#NAME?"/>
    <m/>
    <m/>
    <m/>
    <m/>
    <m/>
    <m/>
  </r>
  <r>
    <s v="CE30639"/>
    <s v="MARIO FERNANDO RAMIREZ LEGUIZAMON"/>
    <x v="0"/>
    <s v="Gema"/>
    <s v="GGI / CMC"/>
    <x v="0"/>
    <s v="SDATOOL-32905 $ Global Enterprises Mobile App (GEMA)"/>
    <n v="0.5"/>
    <s v="QA"/>
    <s v="Distribuido"/>
    <s v="Externo"/>
    <e v="#NAME?"/>
    <x v="0"/>
    <e v="#NAME?"/>
    <m/>
    <m/>
    <m/>
    <m/>
    <m/>
    <m/>
  </r>
  <r>
    <s v="XP60574"/>
    <s v="PEDRO MOLLEHUANCA TORRES"/>
    <x v="0"/>
    <s v="Gema"/>
    <s v="Indra"/>
    <x v="0"/>
    <s v="SDATOOL-41930 $ FX en GEMA"/>
    <n v="1"/>
    <s v="Desarrollador"/>
    <s v="Cells"/>
    <s v="Externo"/>
    <e v="#NAME?"/>
    <x v="0"/>
    <e v="#NAME?"/>
    <m/>
    <m/>
    <m/>
    <m/>
    <m/>
    <m/>
  </r>
  <r>
    <s v="CE70178 "/>
    <s v="SERGIO ANDRES BRAVO ROMERO"/>
    <x v="0"/>
    <s v="Gema"/>
    <s v="Neoris"/>
    <x v="0"/>
    <s v="SDATOOL-39354 $ My business Open Pay - Plan Ascenso Mercurio"/>
    <n v="1"/>
    <s v="Desarrollador"/>
    <s v="APX"/>
    <s v="Externo"/>
    <e v="#NAME?"/>
    <x v="0"/>
    <e v="#NAME?"/>
    <m/>
    <m/>
    <m/>
    <m/>
    <m/>
    <m/>
  </r>
  <r>
    <s v="T007666"/>
    <s v="TEDDY JEFERSON POVEDA SARAY"/>
    <x v="0"/>
    <s v="Gema"/>
    <s v="GGI / CMC"/>
    <x v="0"/>
    <s v="SDATOOL-41930 $ FX en GEMA"/>
    <n v="1"/>
    <s v="Desarrollador"/>
    <s v="Distribuido"/>
    <s v="Externo"/>
    <e v="#NAME?"/>
    <x v="0"/>
    <e v="#NAME?"/>
    <m/>
    <m/>
    <m/>
    <m/>
    <m/>
    <m/>
  </r>
  <r>
    <s v="C811395"/>
    <s v="VICTOR MANUEL PEREZ CONTRERAS"/>
    <x v="0"/>
    <s v="Gema"/>
    <s v="BBVA"/>
    <x v="0"/>
    <s v="SDATOOL-41930 $ FX en GEMA"/>
    <n v="1"/>
    <s v="Desarrollador"/>
    <s v="APX"/>
    <s v="Interno"/>
    <e v="#NAME?"/>
    <x v="0"/>
    <e v="#NAME?"/>
    <m/>
    <m/>
    <m/>
    <m/>
    <m/>
    <m/>
  </r>
  <r>
    <s v="C810827"/>
    <s v="WILLIAM CAMILO RUBIO QUINTERO"/>
    <x v="0"/>
    <s v="Gema"/>
    <s v="BBVA"/>
    <x v="0"/>
    <s v="SDATOOL-41930 $ FX en GEMA"/>
    <n v="1"/>
    <s v="Tech Manager/Líder"/>
    <s v="ASO"/>
    <s v="Interno"/>
    <e v="#NAME?"/>
    <x v="0"/>
    <e v="#NAME?"/>
    <m/>
    <m/>
    <m/>
    <m/>
    <m/>
    <m/>
  </r>
  <r>
    <s v="C805746"/>
    <s v="LAURA NATHALY NIETO AMAYA"/>
    <x v="0"/>
    <s v="Gema"/>
    <s v="BBVA"/>
    <x v="0"/>
    <s v="SDATOOL-42211 $ Onboarding cash management Netcash/Gema"/>
    <n v="1"/>
    <s v="Tech Manager/Líder"/>
    <s v="Mainframe"/>
    <s v="Interno"/>
    <e v="#NAME?"/>
    <x v="0"/>
    <e v="#NAME?"/>
    <m/>
    <m/>
    <m/>
    <m/>
    <m/>
    <m/>
  </r>
  <r>
    <s v="C804121"/>
    <s v="HECTOR JESUS SISO JIMENEZ"/>
    <x v="0"/>
    <s v="Gema"/>
    <s v="BBVA"/>
    <x v="0"/>
    <s v="SDATOOL-42211 $ Onboarding cash management Netcash/Gema"/>
    <n v="0.5"/>
    <s v="Tech Manager/Líder"/>
    <s v="APX"/>
    <s v="Interno"/>
    <e v="#NAME?"/>
    <x v="0"/>
    <e v="#NAME?"/>
    <m/>
    <m/>
    <m/>
    <m/>
    <m/>
    <m/>
  </r>
  <r>
    <s v="C804121"/>
    <s v="HECTOR JESUS SISO JIMENEZ"/>
    <x v="0"/>
    <s v="Gema"/>
    <s v="BBVA"/>
    <x v="0"/>
    <s v="NOSDA $ BAU (Mantenimiento y peq. evolutivos)"/>
    <n v="0.5"/>
    <s v="Otros"/>
    <s v="APX"/>
    <m/>
    <e v="#NAME?"/>
    <x v="0"/>
    <e v="#NAME?"/>
    <m/>
    <m/>
    <m/>
    <m/>
    <m/>
    <m/>
  </r>
  <r>
    <s v="C811232"/>
    <s v="CARLOS ANDRES SUAREZ"/>
    <x v="0"/>
    <s v="Gema"/>
    <s v="BBVA"/>
    <x v="0"/>
    <s v="SDATOOL-40676 $ Contratación y uso de mPOS desde APPs BBVA"/>
    <n v="1"/>
    <s v="Desarrollador"/>
    <s v="Cells"/>
    <m/>
    <e v="#NAME?"/>
    <x v="0"/>
    <e v="#NAME?"/>
    <m/>
    <m/>
    <m/>
    <m/>
    <m/>
    <m/>
  </r>
  <r>
    <s v="C811390"/>
    <s v="WILMAR CRUZ MORA"/>
    <x v="0"/>
    <s v="Gema"/>
    <s v="BBVA"/>
    <x v="0"/>
    <s v="NOSDA $ BAU (Mantenimiento y peq. evolutivos)"/>
    <n v="1"/>
    <s v="Desarrollador"/>
    <s v="Mainframe"/>
    <m/>
    <e v="#NAME?"/>
    <x v="0"/>
    <e v="#NAME?"/>
    <m/>
    <m/>
    <m/>
    <m/>
    <m/>
    <m/>
  </r>
  <r>
    <s v="O002008"/>
    <s v="ANDRES ALBERTO ARIZA "/>
    <x v="0"/>
    <s v="Gema"/>
    <s v="BBVA"/>
    <x v="0"/>
    <s v="SDATOOL-40676 $ Contratación y uso de mPOS desde APPs BBVA"/>
    <n v="1"/>
    <s v="Tech Manager/Líder"/>
    <s v="ASO"/>
    <m/>
    <e v="#NAME?"/>
    <x v="0"/>
    <e v="#NAME?"/>
    <m/>
    <m/>
    <m/>
    <m/>
    <m/>
    <m/>
  </r>
  <r>
    <s v="O001644"/>
    <s v="JOSE LUIS SARTA ALVAREZ"/>
    <x v="0"/>
    <s v="Gema"/>
    <s v="BBVA"/>
    <x v="0"/>
    <s v="NOSDA $ BAU (Mantenimiento y peq. evolutivos)"/>
    <n v="1"/>
    <s v="Desarrollador"/>
    <s v="Cells"/>
    <m/>
    <e v="#NAME?"/>
    <x v="0"/>
    <e v="#NAME?"/>
    <m/>
    <m/>
    <m/>
    <m/>
    <m/>
    <m/>
  </r>
  <r>
    <s v="O004968"/>
    <s v="DANIEL FERNANDO USECHE"/>
    <x v="0"/>
    <s v="Gema"/>
    <s v="BBVA"/>
    <x v="0"/>
    <s v="NOSDA $ BAU (Mantenimiento y peq. evolutivos)"/>
    <n v="1"/>
    <s v="Desarrollador"/>
    <s v="ASO"/>
    <m/>
    <e v="#NAME?"/>
    <x v="0"/>
    <e v="#NAME?"/>
    <m/>
    <m/>
    <m/>
    <m/>
    <m/>
    <m/>
  </r>
  <r>
    <s v="T011807"/>
    <s v="DARLY FERNANDA SANDOVAL PLAZAS"/>
    <x v="0"/>
    <s v="Gema"/>
    <s v="Novatec"/>
    <x v="0"/>
    <s v="SDATOOL-42211 $ Onboarding cash management Netcash/Gema"/>
    <n v="0.1"/>
    <s v="Otros"/>
    <s v="Otras Tec."/>
    <m/>
    <e v="#NAME?"/>
    <x v="0"/>
    <e v="#NAME?"/>
    <m/>
    <m/>
    <m/>
    <m/>
    <m/>
    <m/>
  </r>
  <r>
    <s v="T011807"/>
    <s v="DARLY FERNANDA SANDOVAL PLAZAS"/>
    <x v="0"/>
    <s v="Gema"/>
    <s v="Novatec"/>
    <x v="0"/>
    <s v="SDATOOL-41930 $ FX en GEMA"/>
    <n v="0.15"/>
    <s v="Otros"/>
    <s v="Otras Tec."/>
    <m/>
    <e v="#NAME?"/>
    <x v="0"/>
    <e v="#NAME?"/>
    <m/>
    <m/>
    <m/>
    <m/>
    <m/>
    <m/>
  </r>
  <r>
    <s v="T011807"/>
    <s v="DARLY FERNANDA SANDOVAL PLAZAS"/>
    <x v="0"/>
    <s v="Gema"/>
    <s v="Novatec"/>
    <x v="0"/>
    <s v="SDATOOL-39354 $ My business Open Pay - Plan Ascenso Mercurio"/>
    <n v="0.15"/>
    <s v="Otros"/>
    <s v="Otras Tec."/>
    <m/>
    <e v="#NAME?"/>
    <x v="0"/>
    <e v="#NAME?"/>
    <m/>
    <m/>
    <m/>
    <m/>
    <m/>
    <m/>
  </r>
  <r>
    <s v="T011807"/>
    <s v="DARLY FERNANDA SANDOVAL PLAZAS"/>
    <x v="0"/>
    <s v="Gema"/>
    <s v="Novatec"/>
    <x v="0"/>
    <s v="SDATOOL-40676 $ Contratación y uso de mPOS desde APPs BBVA"/>
    <n v="0.15"/>
    <s v="Otros"/>
    <s v="Otras Tec."/>
    <m/>
    <e v="#NAME?"/>
    <x v="0"/>
    <e v="#NAME?"/>
    <m/>
    <m/>
    <m/>
    <m/>
    <m/>
    <m/>
  </r>
  <r>
    <s v="T011807"/>
    <s v="DARLY FERNANDA SANDOVAL PLAZAS"/>
    <x v="0"/>
    <s v="Senda"/>
    <s v="Novatec"/>
    <x v="0"/>
    <s v="SDATOOL-40457 $ SENDA (Base)"/>
    <n v="0.15"/>
    <s v="Otros"/>
    <s v="Otras Tec."/>
    <m/>
    <e v="#NAME?"/>
    <x v="0"/>
    <e v="#NAME?"/>
    <m/>
    <m/>
    <m/>
    <m/>
    <m/>
    <m/>
  </r>
  <r>
    <s v="T011807"/>
    <s v="DARLY FERNANDA SANDOVAL PLAZAS"/>
    <x v="0"/>
    <s v="Senda"/>
    <s v="Novatec"/>
    <x v="0"/>
    <s v="SDATOOL-40528 $ ETPB - SENDA PAGOS"/>
    <n v="0.15"/>
    <s v="Otros"/>
    <s v="Otras Tec."/>
    <m/>
    <e v="#NAME?"/>
    <x v="0"/>
    <e v="#NAME?"/>
    <m/>
    <m/>
    <m/>
    <m/>
    <m/>
    <m/>
  </r>
  <r>
    <s v="T011807"/>
    <s v="DARLY FERNANDA SANDOVAL PLAZAS"/>
    <x v="0"/>
    <s v="Gema"/>
    <s v="Novatec"/>
    <x v="0"/>
    <s v="SDATOOL-41750 $ Single APP"/>
    <n v="0.15"/>
    <s v="Otros"/>
    <s v="Otras Tec."/>
    <m/>
    <e v="#NAME?"/>
    <x v="0"/>
    <e v="#NAME?"/>
    <m/>
    <m/>
    <m/>
    <m/>
    <m/>
    <m/>
  </r>
  <r>
    <s v="CE51863"/>
    <s v="EDNA ROCIO MONCADA"/>
    <x v="0"/>
    <s v="Gema"/>
    <s v="KRYPTO"/>
    <x v="0"/>
    <s v="SDATOOL-42211 $ Onboarding cash management Netcash/Gema"/>
    <n v="7.0000000000000007E-2"/>
    <s v="QA"/>
    <s v="Distribuido"/>
    <s v="QC"/>
    <e v="#NAME?"/>
    <x v="0"/>
    <e v="#NAME?"/>
    <e v="#N/A"/>
    <e v="#N/A"/>
    <e v="#REF!"/>
    <m/>
    <m/>
    <m/>
  </r>
  <r>
    <s v="CE51863"/>
    <s v="EDNA ROCIO MONCADA"/>
    <x v="0"/>
    <s v="Gema"/>
    <s v="KRYPTO"/>
    <x v="0"/>
    <s v="SDATOOL-41930 $ FX en GEMA"/>
    <n v="7.0000000000000007E-2"/>
    <s v="QA"/>
    <s v="Distribuido"/>
    <s v="QC"/>
    <e v="#NAME?"/>
    <x v="0"/>
    <e v="#NAME?"/>
    <e v="#N/A"/>
    <e v="#N/A"/>
    <e v="#REF!"/>
    <m/>
    <m/>
    <m/>
  </r>
  <r>
    <s v="CE51863"/>
    <s v="EDNA ROCIO MONCADA"/>
    <x v="0"/>
    <s v="Gema"/>
    <s v="KRYPTO"/>
    <x v="0"/>
    <s v="SDATOOL-39354 $ My business Open Pay - Plan Ascenso Mercurio"/>
    <n v="7.0000000000000007E-2"/>
    <s v="QA"/>
    <s v="Distribuido"/>
    <s v="QC"/>
    <e v="#NAME?"/>
    <x v="0"/>
    <e v="#NAME?"/>
    <e v="#N/A"/>
    <e v="#N/A"/>
    <e v="#REF!"/>
    <m/>
    <m/>
    <m/>
  </r>
  <r>
    <s v="CE51863"/>
    <s v="EDNA ROCIO MONCADA"/>
    <x v="0"/>
    <s v="Gema"/>
    <s v="KRYPTO"/>
    <x v="0"/>
    <s v="SDATOOL-40676 $ Contratación y uso de mPOS desde APPs BBVA"/>
    <n v="7.0000000000000007E-2"/>
    <s v="QA"/>
    <s v="Distribuido"/>
    <s v="QC"/>
    <e v="#NAME?"/>
    <x v="0"/>
    <e v="#NAME?"/>
    <e v="#N/A"/>
    <e v="#N/A"/>
    <e v="#REF!"/>
    <m/>
    <m/>
    <m/>
  </r>
  <r>
    <s v="CE51863"/>
    <s v="EDNA ROCIO MONCADA"/>
    <x v="0"/>
    <s v="Senda"/>
    <s v="KRYPTO"/>
    <x v="0"/>
    <s v="SDATOOL-40457 $ SENDA (Base)"/>
    <n v="7.0000000000000007E-2"/>
    <s v="QA"/>
    <s v="Distribuido"/>
    <s v="QC"/>
    <e v="#NAME?"/>
    <x v="0"/>
    <e v="#NAME?"/>
    <e v="#N/A"/>
    <e v="#N/A"/>
    <e v="#REF!"/>
    <m/>
    <m/>
    <m/>
  </r>
  <r>
    <s v="CE51863"/>
    <s v="EDNA ROCIO MONCADA"/>
    <x v="0"/>
    <s v="Senda"/>
    <s v="KRYPTO"/>
    <x v="0"/>
    <s v="SDATOOL-40528 $ ETPB - SENDA PAGOS"/>
    <n v="7.0000000000000007E-2"/>
    <s v="QA"/>
    <s v="Distribuido"/>
    <s v="QC"/>
    <e v="#NAME?"/>
    <x v="0"/>
    <e v="#NAME?"/>
    <e v="#N/A"/>
    <e v="#N/A"/>
    <e v="#REF!"/>
    <m/>
    <m/>
    <m/>
  </r>
  <r>
    <s v="CE51863"/>
    <s v="EDNA ROCIO MONCADA"/>
    <x v="0"/>
    <s v="Gema"/>
    <s v="KRYPTO"/>
    <x v="0"/>
    <s v="SDATOOL-41750 $ Single APP"/>
    <n v="7.0000000000000007E-2"/>
    <s v="QA"/>
    <s v="Distribuido"/>
    <s v="QC"/>
    <e v="#NAME?"/>
    <x v="0"/>
    <e v="#NAME?"/>
    <e v="#N/A"/>
    <e v="#N/A"/>
    <e v="#REF!"/>
    <m/>
    <m/>
    <m/>
  </r>
  <r>
    <s v="CE65205"/>
    <s v="OSCAR JAVIER ALVAREZ CAMACHO"/>
    <x v="0"/>
    <s v="Gema"/>
    <s v="GGI / CMC"/>
    <x v="0"/>
    <s v="SDATOOL-41930 $ FX en GEMA"/>
    <n v="0.1"/>
    <s v="Otros"/>
    <s v="Distribuido"/>
    <s v="Despliegues"/>
    <e v="#NAME?"/>
    <x v="0"/>
    <e v="#NAME?"/>
    <m/>
    <m/>
    <m/>
    <m/>
    <m/>
    <m/>
  </r>
  <r>
    <s v="CE65205"/>
    <s v="OSCAR JAVIER ALVAREZ CAMACHO"/>
    <x v="0"/>
    <s v="Gema"/>
    <s v="GGI / CMC"/>
    <x v="0"/>
    <s v="SDATOOL-42211 $ Onboarding cash management Netcash/Gema"/>
    <n v="0.15"/>
    <s v="Otros"/>
    <s v="Distribuido"/>
    <s v="Despliegues"/>
    <e v="#NAME?"/>
    <x v="0"/>
    <e v="#NAME?"/>
    <m/>
    <m/>
    <m/>
    <m/>
    <m/>
    <m/>
  </r>
  <r>
    <s v="CE65205"/>
    <s v="OSCAR JAVIER ALVAREZ CAMACHO"/>
    <x v="0"/>
    <s v="Gema"/>
    <s v="GGI / CMC"/>
    <x v="0"/>
    <s v="SDATOOL-40676 $ Contratación y uso de mPOS desde APPs BBVA"/>
    <n v="0.15"/>
    <s v="Otros"/>
    <s v="Distribuido"/>
    <s v="Despliegues"/>
    <e v="#NAME?"/>
    <x v="0"/>
    <e v="#NAME?"/>
    <m/>
    <m/>
    <m/>
    <m/>
    <m/>
    <m/>
  </r>
  <r>
    <s v="CE65205"/>
    <s v="OSCAR JAVIER ALVAREZ CAMACHO"/>
    <x v="0"/>
    <s v="Gema"/>
    <s v="GGI / CMC"/>
    <x v="0"/>
    <s v="SDATOOL-39354 $ My business Open Pay - Plan Ascenso Mercurio"/>
    <n v="0.15"/>
    <s v="Otros"/>
    <s v="Distribuido"/>
    <s v="Despliegues"/>
    <e v="#NAME?"/>
    <x v="0"/>
    <e v="#NAME?"/>
    <m/>
    <m/>
    <m/>
    <m/>
    <m/>
    <m/>
  </r>
  <r>
    <s v="CE65205"/>
    <s v="OSCAR JAVIER ALVAREZ CAMACHO"/>
    <x v="0"/>
    <s v="Senda"/>
    <s v="KRYPTO"/>
    <x v="0"/>
    <s v="SDATOOL-40457 $ SENDA (Base)"/>
    <n v="0.15"/>
    <s v="Otros"/>
    <s v="Distribuido"/>
    <s v="Despliegues"/>
    <e v="#NAME?"/>
    <x v="0"/>
    <e v="#NAME?"/>
    <e v="#N/A"/>
    <e v="#N/A"/>
    <e v="#REF!"/>
    <m/>
    <m/>
    <m/>
  </r>
  <r>
    <s v="CE65205"/>
    <s v="OSCAR JAVIER ALVAREZ CAMACHO"/>
    <x v="0"/>
    <s v="Senda"/>
    <s v="KRYPTO"/>
    <x v="0"/>
    <s v="SDATOOL-40528 $ ETPB - SENDA PAGOS"/>
    <n v="0.15"/>
    <s v="Otros"/>
    <s v="Distribuido"/>
    <s v="Despliegues"/>
    <e v="#NAME?"/>
    <x v="0"/>
    <e v="#NAME?"/>
    <e v="#N/A"/>
    <e v="#N/A"/>
    <e v="#REF!"/>
    <m/>
    <m/>
    <m/>
  </r>
  <r>
    <s v="CE65205"/>
    <s v="OSCAR JAVIER ALVAREZ CAMACHO"/>
    <x v="0"/>
    <s v="Gema"/>
    <s v="KRYPTO"/>
    <x v="0"/>
    <s v="SDATOOL-41750 $ Single APP"/>
    <n v="0.15"/>
    <s v="Otros"/>
    <s v="Distribuido"/>
    <s v="Despliegues"/>
    <e v="#NAME?"/>
    <x v="0"/>
    <e v="#NAME?"/>
    <e v="#N/A"/>
    <e v="#N/A"/>
    <e v="#REF!"/>
    <m/>
    <m/>
    <m/>
  </r>
  <r>
    <s v="C811392"/>
    <s v="LEONARDO SIMBAQUEBA ESGUERRA"/>
    <x v="3"/>
    <s v="Payments"/>
    <s v="BBVA"/>
    <x v="0"/>
    <s v="NOSDA $ BAU (Mantenimiento y peq. evolutivos)"/>
    <n v="1"/>
    <s v="Desarrollador"/>
    <m/>
    <s v="Interno"/>
    <e v="#NAME?"/>
    <x v="0"/>
    <e v="#NAME?"/>
    <m/>
    <m/>
    <m/>
    <m/>
    <m/>
    <n v="1"/>
  </r>
  <r>
    <s v="C341681"/>
    <s v="RICARDO ALEXANDER CALVO JIMENEZ"/>
    <x v="2"/>
    <s v="Riesgos"/>
    <s v="BBVA"/>
    <x v="0"/>
    <s v="SDATOOL-33846 $ SREP Data Quality- BCBS239 - Colombia"/>
    <n v="1"/>
    <s v="Desarrollador"/>
    <s v="Otras Tec."/>
    <s v="Interno"/>
    <e v="#NAME?"/>
    <x v="0"/>
    <e v="#NAME?"/>
    <m/>
    <m/>
    <m/>
    <m/>
    <m/>
    <m/>
  </r>
  <r>
    <s v="C342316"/>
    <s v="ANA MILENA GARCIA COBO"/>
    <x v="2"/>
    <s v="Riesgos"/>
    <s v="BBVA"/>
    <x v="0"/>
    <s v="SDATOOL-39463 $ GRM Col - Actualización Versión Power Curve."/>
    <n v="0.7"/>
    <s v="Desarrollador"/>
    <s v="Distribuido"/>
    <s v="Interno"/>
    <e v="#NAME?"/>
    <x v="0"/>
    <e v="#NAME?"/>
    <m/>
    <m/>
    <m/>
    <m/>
    <m/>
    <m/>
  </r>
  <r>
    <s v="C342316"/>
    <s v="ANA MILENA GARCIA COBO"/>
    <x v="2"/>
    <s v="Riesgos"/>
    <s v="BBVA"/>
    <x v="0"/>
    <s v="SDATOOL-40545 $ GRM Col - Mejoras Evolutivas de Aplicativos y Herramientas de Riesgos 2023"/>
    <n v="0.3"/>
    <s v="Desarrollador"/>
    <s v="Distribuido"/>
    <s v="Interno"/>
    <e v="#NAME?"/>
    <x v="0"/>
    <e v="#NAME?"/>
    <m/>
    <m/>
    <m/>
    <m/>
    <m/>
    <m/>
  </r>
  <r>
    <s v="C808875"/>
    <s v="YEIMY PAOLA PERDOMO"/>
    <x v="2"/>
    <s v="Riesgos"/>
    <s v="BBVA"/>
    <x v="0"/>
    <s v="SDATOOL-39463 $ GRM Col - Actualización Versión Power Curve."/>
    <n v="1"/>
    <s v="Desarrollador"/>
    <s v="Otras Tec."/>
    <s v="Interno"/>
    <e v="#NAME?"/>
    <x v="0"/>
    <e v="#NAME?"/>
    <m/>
    <m/>
    <m/>
    <m/>
    <m/>
    <m/>
  </r>
  <r>
    <s v="C809591"/>
    <s v="KEVIN ORLANDO OJEDA"/>
    <x v="2"/>
    <s v="Riesgos"/>
    <s v="BBVA"/>
    <x v="0"/>
    <s v="SDATOOL-42098 $ GRM Col CRONOS Batch - Campañas SMeS"/>
    <n v="0.65"/>
    <s v="Desarrollador"/>
    <s v="Otras Tec."/>
    <s v="Interno"/>
    <e v="#NAME?"/>
    <x v="0"/>
    <e v="#NAME?"/>
    <m/>
    <m/>
    <m/>
    <m/>
    <m/>
    <m/>
  </r>
  <r>
    <s v="C809591"/>
    <s v="KEVIN ORLANDO OJEDA"/>
    <x v="2"/>
    <s v="Riesgos"/>
    <s v="BBVA"/>
    <x v="0"/>
    <s v="SDATOOL-40545 $ GRM Col - Mejoras Evolutivas de Aplicativos y Herramientas de Riesgos 2023"/>
    <n v="0.25"/>
    <s v="Desarrollador"/>
    <s v="Otras Tec."/>
    <s v="Interno"/>
    <e v="#NAME?"/>
    <x v="0"/>
    <e v="#NAME?"/>
    <m/>
    <m/>
    <m/>
    <m/>
    <m/>
    <m/>
  </r>
  <r>
    <s v="C809591"/>
    <s v="KEVIN ORLANDO OJEDA"/>
    <x v="2"/>
    <s v="Riesgos"/>
    <s v="BBVA"/>
    <x v="0"/>
    <s v="SDATOOL-41457 $ NGA - Colombia. EWS (ARCE)"/>
    <n v="0.1"/>
    <s v="Desarrollador"/>
    <s v="Otras Tec."/>
    <s v="Interno"/>
    <e v="#NAME?"/>
    <x v="0"/>
    <e v="#NAME?"/>
    <m/>
    <m/>
    <m/>
    <m/>
    <m/>
    <m/>
  </r>
  <r>
    <s v="C810959"/>
    <s v="MARCO HERNAN CASTELLANOS"/>
    <x v="2"/>
    <s v="Riesgos"/>
    <s v="BBVA"/>
    <x v="0"/>
    <s v="SDATOOL-33846 $ SREP Data Quality- BCBS239 - Colombia"/>
    <n v="0.4"/>
    <s v="Desarrollador"/>
    <s v="Otras Tec."/>
    <s v="Interno"/>
    <e v="#NAME?"/>
    <x v="0"/>
    <e v="#NAME?"/>
    <m/>
    <m/>
    <m/>
    <m/>
    <m/>
    <m/>
  </r>
  <r>
    <s v="C810959"/>
    <s v="MARCO HERNAN CASTELLANOS"/>
    <x v="2"/>
    <s v="Riesgos"/>
    <s v="BBVA"/>
    <x v="0"/>
    <s v="SDATOOL-42098 $ GRM Col CRONOS Batch - Campañas SMeS"/>
    <n v="0.2"/>
    <s v="Desarrollador"/>
    <s v="Otras Tec."/>
    <s v="Interno"/>
    <e v="#NAME?"/>
    <x v="0"/>
    <e v="#NAME?"/>
    <m/>
    <m/>
    <m/>
    <m/>
    <m/>
    <m/>
  </r>
  <r>
    <s v="C810959"/>
    <s v="MARCO HERNAN CASTELLANOS"/>
    <x v="2"/>
    <s v="Riesgos"/>
    <s v="BBVA"/>
    <x v="0"/>
    <s v="SDATOOL-40545 $ GRM Col - Mejoras Evolutivas de Aplicativos y Herramientas de Riesgos 2023"/>
    <n v="0.2"/>
    <s v="Desarrollador"/>
    <s v="Otras Tec."/>
    <s v="Interno"/>
    <e v="#NAME?"/>
    <x v="0"/>
    <e v="#NAME?"/>
    <m/>
    <m/>
    <m/>
    <m/>
    <m/>
    <m/>
  </r>
  <r>
    <s v="C810959"/>
    <s v="MARCO HERNAN CASTELLANOS"/>
    <x v="2"/>
    <s v="Riesgos"/>
    <s v="BBVA"/>
    <x v="0"/>
    <s v="NOSDA $ BAU (Mantenimiento y peq. evolutivos)"/>
    <n v="0.2"/>
    <s v="Desarrollador"/>
    <s v="Otras Tec."/>
    <s v="Interno"/>
    <e v="#NAME?"/>
    <x v="0"/>
    <e v="#NAME?"/>
    <m/>
    <m/>
    <m/>
    <m/>
    <m/>
    <m/>
  </r>
  <r>
    <s v="CE66252"/>
    <s v="JORGE ENRIQUE CARRILLO DIAZ"/>
    <x v="2"/>
    <s v="Riesgos"/>
    <s v="GGI / CMC"/>
    <x v="0"/>
    <s v="SDATOOL-39463 $ GRM Col - Actualización Versión Power Curve."/>
    <n v="0.5"/>
    <s v="QA"/>
    <s v="Otras Tec."/>
    <s v="Externo"/>
    <e v="#NAME?"/>
    <x v="0"/>
    <e v="#NAME?"/>
    <m/>
    <m/>
    <m/>
    <m/>
    <m/>
    <m/>
  </r>
  <r>
    <s v="CE66252"/>
    <s v="JORGE ENRIQUE CARRILLO DIAZ"/>
    <x v="2"/>
    <s v="Riesgos"/>
    <s v="GGI / CMC"/>
    <x v="0"/>
    <s v="SDATOOL-40545 $ GRM Col - Mejoras Evolutivas de Aplicativos y Herramientas de Riesgos 2023"/>
    <n v="0.25"/>
    <s v="QA"/>
    <s v="Otras Tec."/>
    <s v="Externo"/>
    <e v="#NAME?"/>
    <x v="0"/>
    <e v="#NAME?"/>
    <m/>
    <m/>
    <m/>
    <m/>
    <m/>
    <m/>
  </r>
  <r>
    <s v="CE66252"/>
    <s v="JORGE ENRIQUE CARRILLO DIAZ"/>
    <x v="2"/>
    <s v="Riesgos"/>
    <s v="GGI / CMC"/>
    <x v="0"/>
    <s v="SDATOOL-33846 $ SREP Data Quality- BCBS239 - Colombia"/>
    <n v="0.25"/>
    <s v="QA"/>
    <s v="Otras Tec."/>
    <s v="Externo"/>
    <e v="#NAME?"/>
    <x v="0"/>
    <e v="#NAME?"/>
    <m/>
    <m/>
    <m/>
    <m/>
    <m/>
    <m/>
  </r>
  <r>
    <s v="C783725"/>
    <s v="JAIRO FERNANDO TAMARA RUBIANO"/>
    <x v="2"/>
    <s v="Riesgos"/>
    <s v="BBVA"/>
    <x v="0"/>
    <s v="SDATOOL-33846 $ SREP Data Quality- BCBS239 - Colombia"/>
    <n v="0.3"/>
    <s v="Tech Manager/Líder"/>
    <s v="Otras Tec."/>
    <s v="Interno"/>
    <e v="#NAME?"/>
    <x v="0"/>
    <e v="#NAME?"/>
    <m/>
    <m/>
    <m/>
    <m/>
    <m/>
    <m/>
  </r>
  <r>
    <s v="C783725"/>
    <s v="JAIRO FERNANDO TAMARA RUBIANO"/>
    <x v="2"/>
    <s v="Riesgos"/>
    <s v="BBVA"/>
    <x v="0"/>
    <s v="SDATOOL-39463 $ GRM Col - Actualización Versión Power Curve."/>
    <n v="0.3"/>
    <s v="Tech Manager/Líder"/>
    <s v="Otras Tec."/>
    <s v="Interno"/>
    <e v="#NAME?"/>
    <x v="0"/>
    <e v="#NAME?"/>
    <m/>
    <m/>
    <m/>
    <m/>
    <m/>
    <m/>
  </r>
  <r>
    <s v="C783725"/>
    <s v="JAIRO FERNANDO TAMARA RUBIANO"/>
    <x v="2"/>
    <s v="Riesgos"/>
    <s v="BBVA"/>
    <x v="0"/>
    <s v="SDATOOL-41457 $ NGA - Colombia. EWS (ARCE)"/>
    <n v="0.1"/>
    <s v="Tech Manager/Líder"/>
    <s v="Otras Tec."/>
    <m/>
    <e v="#NAME?"/>
    <x v="0"/>
    <e v="#NAME?"/>
    <m/>
    <m/>
    <m/>
    <m/>
    <m/>
    <m/>
  </r>
  <r>
    <s v="C783725"/>
    <s v="JAIRO FERNANDO TAMARA RUBIANO"/>
    <x v="2"/>
    <s v="Riesgos"/>
    <s v="BBVA"/>
    <x v="0"/>
    <s v="SDATOOL-40545 $ GRM Col - Mejoras Evolutivas de Aplicativos y Herramientas de Riesgos 2023"/>
    <n v="0.3"/>
    <s v="Tech Manager/Líder"/>
    <s v="Otras Tec."/>
    <s v="Interno"/>
    <e v="#NAME?"/>
    <x v="0"/>
    <e v="#NAME?"/>
    <m/>
    <m/>
    <m/>
    <m/>
    <m/>
    <m/>
  </r>
  <r>
    <s v="T006280"/>
    <s v="Fabian andres valbuena aragon"/>
    <x v="2"/>
    <s v="Riesgos"/>
    <s v="Inetum"/>
    <x v="0"/>
    <s v="NOSDA $ BAU (Mantenimiento y peq. evolutivos)"/>
    <n v="0.5"/>
    <s v="Desarrollador"/>
    <s v="Otras Tec."/>
    <s v="Externo"/>
    <e v="#NAME?"/>
    <x v="0"/>
    <e v="#NAME?"/>
    <m/>
    <m/>
    <m/>
    <m/>
    <m/>
    <m/>
  </r>
  <r>
    <s v="T006280"/>
    <s v="Fabian andres valbuena aragon"/>
    <x v="1"/>
    <s v="Valores"/>
    <s v="Inetum"/>
    <x v="0"/>
    <s v="NOSDA $ BAU (Mantenimiento y peq. evolutivos)"/>
    <n v="0.5"/>
    <s v="Desarrollador"/>
    <s v="Otras Tec."/>
    <s v="Externo"/>
    <e v="#NAME?"/>
    <x v="0"/>
    <e v="#NAME?"/>
    <m/>
    <m/>
    <m/>
    <m/>
    <m/>
    <m/>
  </r>
  <r>
    <s v="C811292"/>
    <s v="ANDRES GALVIS TRIVIÑO"/>
    <x v="1"/>
    <s v="Valores"/>
    <s v="BBVA"/>
    <x v="0"/>
    <s v="NOSDA $ BAU (Mantenimiento y peq. evolutivos)"/>
    <n v="1"/>
    <s v="Otros"/>
    <m/>
    <m/>
    <e v="#NAME?"/>
    <x v="0"/>
    <e v="#NAME?"/>
    <m/>
    <m/>
    <m/>
    <m/>
    <m/>
    <m/>
  </r>
  <r>
    <s v="C805180"/>
    <s v="SEBASTIAN GOMEZ CORCHUELO"/>
    <x v="1"/>
    <s v="Valores"/>
    <s v="BBVA"/>
    <x v="0"/>
    <s v="SDATOOL-39840 $ BBVA Valores en Canales (Net Cash / Net)"/>
    <n v="0.25"/>
    <s v="QA"/>
    <m/>
    <m/>
    <e v="#NAME?"/>
    <x v="0"/>
    <e v="#NAME?"/>
    <m/>
    <m/>
    <m/>
    <m/>
    <m/>
    <m/>
  </r>
  <r>
    <s v="C810847"/>
    <s v="JAIR DE JESUS MOLINA FORNARIS"/>
    <x v="1"/>
    <s v="Valores"/>
    <s v="BBVA"/>
    <x v="0"/>
    <s v="SDATOOL-39840 $ BBVA Valores en Canales (Net Cash / Net)"/>
    <n v="0.25"/>
    <s v="Desarrollador"/>
    <m/>
    <m/>
    <e v="#NAME?"/>
    <x v="0"/>
    <e v="#NAME?"/>
    <m/>
    <m/>
    <m/>
    <m/>
    <m/>
    <m/>
  </r>
  <r>
    <s v="C810847"/>
    <s v="JAIR DE JESUS MOLINA FORNARIS"/>
    <x v="1"/>
    <s v="Valores"/>
    <s v="BBVA"/>
    <x v="0"/>
    <s v="NOSDA $ BAU (Mantenimiento y peq. evolutivos)"/>
    <n v="0.75"/>
    <s v="Desarrollador"/>
    <m/>
    <m/>
    <e v="#NAME?"/>
    <x v="0"/>
    <e v="#NAME?"/>
    <m/>
    <m/>
    <m/>
    <m/>
    <m/>
    <m/>
  </r>
  <r>
    <s v="O004617"/>
    <s v="ARLEX JULIAN RODRIGUEZ RINCON"/>
    <x v="1"/>
    <s v="Valores"/>
    <s v="BBVA"/>
    <x v="0"/>
    <s v="NOSDA $ BAU (Mantenimiento y peq. evolutivos)"/>
    <n v="1"/>
    <s v="Otros"/>
    <m/>
    <m/>
    <e v="#NAME?"/>
    <x v="0"/>
    <e v="#NAME?"/>
    <m/>
    <m/>
    <m/>
    <m/>
    <m/>
    <m/>
  </r>
  <r>
    <s v="O004613 "/>
    <s v="CESAR AUGUSTO MONTERO HERNANDEZ"/>
    <x v="1"/>
    <s v="Valores"/>
    <s v="BBVA"/>
    <x v="0"/>
    <s v="NOSDA $ BAU (Mantenimiento y peq. evolutivos)"/>
    <n v="1"/>
    <s v="Otros"/>
    <m/>
    <m/>
    <e v="#NAME?"/>
    <x v="0"/>
    <e v="#NAME?"/>
    <m/>
    <m/>
    <m/>
    <m/>
    <m/>
    <m/>
  </r>
  <r>
    <s v="C805180"/>
    <s v="SEBASTIAN GOMEZ CORCHUELO"/>
    <x v="1"/>
    <s v="Valores"/>
    <s v="BBVA"/>
    <x v="0"/>
    <s v="NOSDA $ BAU (Mantenimiento y peq. evolutivos)"/>
    <n v="0.75"/>
    <s v="Otros"/>
    <m/>
    <m/>
    <e v="#NAME?"/>
    <x v="0"/>
    <e v="#NAME?"/>
    <m/>
    <m/>
    <m/>
    <m/>
    <m/>
    <m/>
  </r>
  <r>
    <s v="CE70350"/>
    <s v="HELDER HAROLD SOLANO SOLANO"/>
    <x v="1"/>
    <s v="Valores"/>
    <s v="Inetum"/>
    <x v="0"/>
    <s v="NOSDA $ BAU (Mantenimiento y peq. evolutivos)"/>
    <n v="1"/>
    <s v="QA"/>
    <s v="Otras Tec."/>
    <s v="Calidad"/>
    <e v="#NAME?"/>
    <x v="0"/>
    <e v="#NAME?"/>
    <m/>
    <m/>
    <m/>
    <m/>
    <m/>
    <m/>
  </r>
  <r>
    <s v="CV25017"/>
    <s v="ANDREA POLO KOCH"/>
    <x v="4"/>
    <s v="Seguros"/>
    <s v="BBVA Seguros"/>
    <x v="0"/>
    <s v="SDATOOL-38080 $ Seguros - LIS Coaseguro Aceptado Autos"/>
    <n v="0.25"/>
    <s v="Desarrollador"/>
    <s v="ASO"/>
    <s v="LÍDER TÉCNICO"/>
    <e v="#NAME?"/>
    <x v="0"/>
    <e v="#NAME?"/>
    <m/>
    <m/>
    <m/>
    <m/>
    <m/>
    <m/>
  </r>
  <r>
    <s v="CV25017"/>
    <s v="ANDREA POLO KOCH"/>
    <x v="4"/>
    <s v="Seguros"/>
    <s v="BBVA Seguros"/>
    <x v="0"/>
    <s v="SDATOOL-42449 $ Seguros - LIS Coaseguro Aceptado Autos Fase 2"/>
    <n v="0.75"/>
    <s v="Desarrollador"/>
    <s v="ASO"/>
    <s v="LÍDER TÉCNICO"/>
    <e v="#NAME?"/>
    <x v="0"/>
    <e v="#NAME?"/>
    <m/>
    <m/>
    <m/>
    <m/>
    <m/>
    <m/>
  </r>
  <r>
    <s v="CE52603"/>
    <s v="CLARIBEL ABRIL VELASCO"/>
    <x v="4"/>
    <s v="Seguros"/>
    <s v="Inetum"/>
    <x v="0"/>
    <s v="SDATOOL-38080 $ Seguros - LIS Coaseguro Aceptado Autos"/>
    <n v="0.25"/>
    <s v="Desarrollador"/>
    <s v="Mainframe"/>
    <m/>
    <e v="#NAME?"/>
    <x v="0"/>
    <e v="#NAME?"/>
    <m/>
    <m/>
    <m/>
    <m/>
    <m/>
    <m/>
  </r>
  <r>
    <s v="CE52603"/>
    <s v="CLARIBEL ABRIL VELASCO"/>
    <x v="4"/>
    <s v="Seguros"/>
    <s v="Inetum"/>
    <x v="0"/>
    <s v="SDATOOL-42449 $ Seguros - LIS Coaseguro Aceptado Autos Fase 2"/>
    <n v="0.75"/>
    <s v="Desarrollador"/>
    <s v="Mainframe"/>
    <m/>
    <e v="#NAME?"/>
    <x v="0"/>
    <e v="#NAME?"/>
    <m/>
    <m/>
    <m/>
    <m/>
    <m/>
    <m/>
  </r>
  <r>
    <s v="CV24943"/>
    <s v="JAIME JOSE ALFONSO COTES"/>
    <x v="4"/>
    <s v="Seguros"/>
    <s v="BBVA Seguros"/>
    <x v="0"/>
    <s v="SDATOOL-42264 $ Seguros - Calculo Extra prima valores superiores a 9.999.999"/>
    <n v="1"/>
    <s v="Desarrollador"/>
    <s v="APX"/>
    <s v="LÍDER TÉCNICO"/>
    <e v="#NAME?"/>
    <x v="0"/>
    <e v="#NAME?"/>
    <m/>
    <m/>
    <m/>
    <m/>
    <m/>
    <m/>
  </r>
  <r>
    <s v="CV25056"/>
    <s v="JUAN CARLOS ALDANA MORENO"/>
    <x v="4"/>
    <s v="Seguros"/>
    <s v="BBVA Seguros"/>
    <x v="0"/>
    <s v="SDATOOL-38080 $ Seguros - LIS Coaseguro Aceptado Autos"/>
    <n v="0.25"/>
    <s v="Desarrollador"/>
    <s v="Mainframe"/>
    <s v="LÍDER TÉCNICO"/>
    <e v="#NAME?"/>
    <x v="0"/>
    <e v="#NAME?"/>
    <m/>
    <m/>
    <m/>
    <m/>
    <m/>
    <m/>
  </r>
  <r>
    <s v="CV25056"/>
    <s v="JUAN CARLOS ALDANA MORENO"/>
    <x v="4"/>
    <s v="Seguros"/>
    <s v="BBVA Seguros"/>
    <x v="0"/>
    <s v="SDATOOL-42449 $ Seguros - LIS Coaseguro Aceptado Autos Fase 2"/>
    <n v="0.75"/>
    <s v="Desarrollador"/>
    <s v="Mainframe"/>
    <s v="LÍDER TÉCNICO"/>
    <e v="#NAME?"/>
    <x v="0"/>
    <e v="#NAME?"/>
    <m/>
    <m/>
    <m/>
    <m/>
    <m/>
    <m/>
  </r>
  <r>
    <s v="CE56274"/>
    <s v="JULIAN CAMILO QUINONES QUINTERO"/>
    <x v="4"/>
    <s v="Seguros"/>
    <s v="SII"/>
    <x v="0"/>
    <s v="SDATOOL-38080 $ Seguros - LIS Coaseguro Aceptado Autos"/>
    <n v="0.25"/>
    <s v="Desarrollador"/>
    <s v="Mainframe"/>
    <m/>
    <e v="#NAME?"/>
    <x v="0"/>
    <e v="#NAME?"/>
    <m/>
    <m/>
    <m/>
    <m/>
    <m/>
    <m/>
  </r>
  <r>
    <s v="CE56274"/>
    <s v="JULIAN CAMILO QUINONES QUINTERO"/>
    <x v="4"/>
    <s v="Seguros"/>
    <s v="SII"/>
    <x v="0"/>
    <s v="SDATOOL-42449 $ Seguros - LIS Coaseguro Aceptado Autos Fase 2"/>
    <n v="0.75"/>
    <s v="Desarrollador"/>
    <s v="Mainframe"/>
    <m/>
    <e v="#NAME?"/>
    <x v="0"/>
    <e v="#NAME?"/>
    <m/>
    <m/>
    <m/>
    <m/>
    <m/>
    <m/>
  </r>
  <r>
    <s v="CE56445"/>
    <s v="LESIA MARGARITA VALERA CONTRERAS"/>
    <x v="4"/>
    <s v="Seguros"/>
    <s v="SII"/>
    <x v="0"/>
    <s v="SDATOOL-38080 $ Seguros - LIS Coaseguro Aceptado Autos"/>
    <n v="0.25"/>
    <s v="Desarrollador"/>
    <s v="Mainframe"/>
    <m/>
    <e v="#NAME?"/>
    <x v="0"/>
    <e v="#NAME?"/>
    <m/>
    <m/>
    <m/>
    <m/>
    <m/>
    <m/>
  </r>
  <r>
    <s v="CE56445"/>
    <s v="LESIA MARGARITA VALERA CONTRERAS"/>
    <x v="4"/>
    <s v="Seguros"/>
    <s v="SII"/>
    <x v="0"/>
    <s v="SDATOOL-42449 $ Seguros - LIS Coaseguro Aceptado Autos Fase 2"/>
    <n v="0.75"/>
    <s v="Desarrollador"/>
    <s v="Mainframe"/>
    <m/>
    <e v="#NAME?"/>
    <x v="0"/>
    <e v="#NAME?"/>
    <m/>
    <m/>
    <m/>
    <m/>
    <m/>
    <m/>
  </r>
  <r>
    <s v="CV25065"/>
    <s v="OSCAR FABIAN MACANA GARNICA"/>
    <x v="4"/>
    <s v="Seguros"/>
    <s v="BBVA Seguros"/>
    <x v="0"/>
    <s v="SDATOOL-38080 $ Seguros - LIS Coaseguro Aceptado Autos"/>
    <n v="0.25"/>
    <s v="Desarrollador"/>
    <s v="Mainframe"/>
    <s v="LÍDER TÉCNICO"/>
    <e v="#NAME?"/>
    <x v="0"/>
    <e v="#NAME?"/>
    <m/>
    <m/>
    <m/>
    <m/>
    <m/>
    <m/>
  </r>
  <r>
    <s v="CV25065"/>
    <s v="OSCAR FABIAN MACANA GARNICA"/>
    <x v="4"/>
    <s v="Seguros"/>
    <s v="BBVA Seguros"/>
    <x v="0"/>
    <s v="SDATOOL-42449 $ Seguros - LIS Coaseguro Aceptado Autos Fase 2"/>
    <n v="0.75"/>
    <s v="Desarrollador"/>
    <s v="Mainframe"/>
    <s v="LÍDER TÉCNICO"/>
    <e v="#NAME?"/>
    <x v="0"/>
    <e v="#NAME?"/>
    <m/>
    <m/>
    <m/>
    <m/>
    <m/>
    <m/>
  </r>
  <r>
    <s v="O004277"/>
    <s v="SERGIO ALEJANDRO DIAZ HOYOS"/>
    <x v="4"/>
    <s v="Seguros"/>
    <s v="BBVA Seguros"/>
    <x v="0"/>
    <s v="SDATOOL-42449 $ Seguros - LIS Coaseguro Aceptado Autos Fase 2"/>
    <n v="1"/>
    <s v="Desarrollador"/>
    <s v="Mainframe"/>
    <m/>
    <e v="#NAME?"/>
    <x v="0"/>
    <e v="#NAME?"/>
    <m/>
    <m/>
    <m/>
    <m/>
    <m/>
    <m/>
  </r>
  <r>
    <s v="CE42028"/>
    <s v="MARIA YOLANDA BRAND LEON"/>
    <x v="4"/>
    <s v="Seguros"/>
    <s v="Inetum"/>
    <x v="0"/>
    <s v="SDATOOL-42099 $ Seguros - Cuota Segura/Créditos de libranza (SEGUROS)"/>
    <n v="1"/>
    <s v="Desarrollador"/>
    <s v="Mainframe"/>
    <m/>
    <e v="#NAME?"/>
    <x v="0"/>
    <e v="#NAME?"/>
    <m/>
    <m/>
    <m/>
    <m/>
    <m/>
    <m/>
  </r>
  <r>
    <s v="CE59922"/>
    <s v="JOHAN SEBASTIAN LAGOS MORALES"/>
    <x v="4"/>
    <s v="Seguros"/>
    <s v="Inetum"/>
    <x v="0"/>
    <s v="SDATOOL-38080 $ Seguros - LIS Coaseguro Aceptado Autos"/>
    <n v="0.5"/>
    <s v="Desarrollador"/>
    <s v="Mainframe"/>
    <m/>
    <e v="#NAME?"/>
    <x v="0"/>
    <e v="#NAME?"/>
    <m/>
    <m/>
    <m/>
    <m/>
    <m/>
    <m/>
  </r>
  <r>
    <s v="CE59922"/>
    <s v="JOHAN SEBASTIAN LAGOS MORALES"/>
    <x v="4"/>
    <s v="Seguros"/>
    <s v="Inetum"/>
    <x v="0"/>
    <s v="SDATOOL-42449 $ Seguros - LIS Coaseguro Aceptado Autos Fase 2"/>
    <n v="0.5"/>
    <s v="Desarrollador"/>
    <s v="Mainframe"/>
    <m/>
    <e v="#NAME?"/>
    <x v="0"/>
    <e v="#NAME?"/>
    <m/>
    <m/>
    <m/>
    <m/>
    <m/>
    <m/>
  </r>
  <r>
    <s v="CV24935"/>
    <s v="SANDRA PATRICIA RAMIREZ TRIANA"/>
    <x v="4"/>
    <s v="Seguros"/>
    <s v="BBVA Seguros"/>
    <x v="0"/>
    <s v="SDATOOL-38080 $ Seguros - LIS Coaseguro Aceptado Autos"/>
    <n v="0.4"/>
    <s v="Tech Manager/Líder"/>
    <s v="Mainframe"/>
    <m/>
    <e v="#NAME?"/>
    <x v="0"/>
    <e v="#NAME?"/>
    <m/>
    <m/>
    <m/>
    <m/>
    <m/>
    <m/>
  </r>
  <r>
    <s v="CV24935"/>
    <s v="SANDRA PATRICIA RAMIREZ TRIANA"/>
    <x v="4"/>
    <s v="Seguros"/>
    <s v="BBVA Seguros"/>
    <x v="0"/>
    <s v="SDATOOL-42449 $ Seguros - LIS Coaseguro Aceptado Autos Fase 2"/>
    <n v="0.3"/>
    <s v="Tech Manager/Líder"/>
    <s v="Mainframe"/>
    <m/>
    <e v="#NAME?"/>
    <x v="0"/>
    <e v="#NAME?"/>
    <m/>
    <m/>
    <m/>
    <m/>
    <m/>
    <m/>
  </r>
  <r>
    <s v="CV24935"/>
    <s v="SANDRA PATRICIA RAMIREZ TRIANA"/>
    <x v="4"/>
    <s v="Seguros"/>
    <s v="BBVA Seguros"/>
    <x v="0"/>
    <s v="SDATOOL-42099 $ Seguros - Cuota Segura/Créditos de libranza (SEGUROS)"/>
    <n v="0.3"/>
    <s v="Tech Manager/Líder"/>
    <s v="Mainframe"/>
    <m/>
    <e v="#NAME?"/>
    <x v="0"/>
    <e v="#NAME?"/>
    <m/>
    <m/>
    <m/>
    <m/>
    <m/>
    <m/>
  </r>
  <r>
    <s v="CG22671"/>
    <s v="CARLOS ALBERTO GOMEZ GOMEZ"/>
    <x v="4"/>
    <s v="Seguros"/>
    <s v="BBVA Seguros"/>
    <x v="0"/>
    <s v="SDATOOL-40762 $ Seguros - IFRS 17 Catch up"/>
    <n v="0.25"/>
    <s v="Desarrollador"/>
    <s v="Distribuido"/>
    <s v="LÍDER TÉCNICO"/>
    <e v="#NAME?"/>
    <x v="0"/>
    <e v="#NAME?"/>
    <m/>
    <m/>
    <m/>
    <m/>
    <m/>
    <m/>
  </r>
  <r>
    <s v="CG22671"/>
    <s v="CARLOS ALBERTO GOMEZ GOMEZ"/>
    <x v="4"/>
    <s v="Seguros"/>
    <s v="BBVA Seguros"/>
    <x v="0"/>
    <s v="NOSDA $ BAU (Mantenimiento y peq. evolutivos)"/>
    <n v="0.75"/>
    <s v="Desarrollador"/>
    <s v="Distribuido"/>
    <s v="LÍDER TÉCNICO"/>
    <e v="#NAME?"/>
    <x v="0"/>
    <e v="#NAME?"/>
    <m/>
    <m/>
    <m/>
    <m/>
    <m/>
    <m/>
  </r>
  <r>
    <s v="CE38411"/>
    <s v="CAROLINA BARROS BERNAL"/>
    <x v="4"/>
    <s v="Seguros"/>
    <s v="SII"/>
    <x v="0"/>
    <s v="SDATOOL-41962 $ Seguros - Sistema de Administración de Pensiones de Rentas Vitalicias"/>
    <n v="0.75"/>
    <s v="Desarrollador"/>
    <s v="Distribuido"/>
    <m/>
    <e v="#NAME?"/>
    <x v="0"/>
    <e v="#NAME?"/>
    <m/>
    <m/>
    <m/>
    <m/>
    <m/>
    <m/>
  </r>
  <r>
    <s v="CE38411"/>
    <s v="CAROLINA BARROS BERNAL"/>
    <x v="4"/>
    <s v="Seguros"/>
    <s v="SII"/>
    <x v="0"/>
    <s v="SDATOOL-37170 $ Seguros - LIS Coaseguro en Seguros Libres"/>
    <n v="0.25"/>
    <s v="Desarrollador"/>
    <s v="Distribuido"/>
    <m/>
    <e v="#NAME?"/>
    <x v="0"/>
    <e v="#NAME?"/>
    <m/>
    <m/>
    <m/>
    <m/>
    <m/>
    <m/>
  </r>
  <r>
    <s v="CE68469"/>
    <s v="DIEGO ALEXANDER ALBA RODRÍGUEZ"/>
    <x v="4"/>
    <s v="Seguros"/>
    <s v="SII"/>
    <x v="0"/>
    <s v="SDATOOL-40762 $ Seguros - IFRS 17 Catch up"/>
    <n v="1"/>
    <s v="Desarrollador"/>
    <s v="Distribuido"/>
    <m/>
    <e v="#NAME?"/>
    <x v="0"/>
    <e v="#NAME?"/>
    <m/>
    <m/>
    <m/>
    <m/>
    <m/>
    <m/>
  </r>
  <r>
    <s v="CV25060"/>
    <s v="JAIME ALEJANDRO ROJAS NIVIA"/>
    <x v="4"/>
    <s v="Seguros"/>
    <s v="BBVA Seguros"/>
    <x v="0"/>
    <s v="SDATOOL-41962 $ Seguros - Sistema de Administración de Pensiones de Rentas Vitalicias"/>
    <n v="0.5"/>
    <s v="Desarrollador"/>
    <s v="Distribuido"/>
    <m/>
    <e v="#NAME?"/>
    <x v="0"/>
    <e v="#NAME?"/>
    <m/>
    <m/>
    <m/>
    <m/>
    <m/>
    <m/>
  </r>
  <r>
    <s v="CV25060"/>
    <s v="JAIME ALEJANDRO ROJAS NIVIA"/>
    <x v="4"/>
    <s v="Seguros"/>
    <s v="BBVA Seguros"/>
    <x v="0"/>
    <s v="SDATOOL-34752 $ Seguros - Reportería y Data Quality"/>
    <n v="0.5"/>
    <s v="Desarrollador"/>
    <s v="Distribuido"/>
    <m/>
    <e v="#NAME?"/>
    <x v="0"/>
    <e v="#NAME?"/>
    <m/>
    <m/>
    <m/>
    <m/>
    <m/>
    <m/>
  </r>
  <r>
    <s v="O002707"/>
    <s v="JOHN EDER IBAÑEZ LARA_x000a_"/>
    <x v="4"/>
    <s v="Seguros"/>
    <s v="BBVA Seguros"/>
    <x v="0"/>
    <s v="SDATOOL-40762 $ Seguros - IFRS 17 Catch up"/>
    <n v="1"/>
    <s v="Desarrollador"/>
    <s v="Distribuido"/>
    <s v="LÍDER TÉCNICO"/>
    <e v="#NAME?"/>
    <x v="0"/>
    <e v="#NAME?"/>
    <m/>
    <m/>
    <m/>
    <m/>
    <m/>
    <m/>
  </r>
  <r>
    <s v="O004417"/>
    <s v="JULIAN CHAPARRO LATORRE"/>
    <x v="4"/>
    <s v="Seguros"/>
    <s v="BBVA Seguros"/>
    <x v="0"/>
    <s v="SDATOOL-40762 $ Seguros - IFRS 17 Catch up"/>
    <n v="1"/>
    <s v="Desarrollador"/>
    <s v="Distribuido"/>
    <m/>
    <e v="#NAME?"/>
    <x v="0"/>
    <e v="#NAME?"/>
    <m/>
    <m/>
    <m/>
    <m/>
    <m/>
    <m/>
  </r>
  <r>
    <s v="CE48733"/>
    <s v="NELSON AUGUSTO SANABRIA ORTEGA"/>
    <x v="4"/>
    <s v="Seguros"/>
    <s v="JARZSOFT"/>
    <x v="0"/>
    <s v="SDATOOL-40762 $ Seguros - IFRS 17 Catch up"/>
    <n v="1"/>
    <s v="Desarrollador"/>
    <s v="Distribuido"/>
    <m/>
    <e v="#NAME?"/>
    <x v="0"/>
    <e v="#NAME?"/>
    <m/>
    <m/>
    <m/>
    <m/>
    <m/>
    <m/>
  </r>
  <r>
    <s v="CE65494"/>
    <s v="OSCAR FABIAN PEDRAZA MONROY"/>
    <x v="4"/>
    <s v="Seguros"/>
    <s v="Inetum"/>
    <x v="0"/>
    <s v="SDATOOL-40762 $ Seguros - IFRS 17 Catch up"/>
    <n v="1"/>
    <s v="Desarrollador"/>
    <s v="Distribuido"/>
    <m/>
    <e v="#NAME?"/>
    <x v="0"/>
    <e v="#NAME?"/>
    <m/>
    <m/>
    <m/>
    <m/>
    <m/>
    <m/>
  </r>
  <r>
    <s v="CE59730"/>
    <s v="JOSE AGUSTIN RODRIGUEZ ZORRO"/>
    <x v="4"/>
    <s v="Seguros"/>
    <s v="JARZSOFT"/>
    <x v="0"/>
    <s v="SDATOOL-40762 $ Seguros - IFRS 17 Catch up"/>
    <n v="1"/>
    <s v="Tech Manager/Líder"/>
    <s v="Distribuido"/>
    <m/>
    <e v="#NAME?"/>
    <x v="0"/>
    <e v="#NAME?"/>
    <m/>
    <m/>
    <m/>
    <m/>
    <m/>
    <m/>
  </r>
  <r>
    <s v="CV25059"/>
    <s v="CREYCCE JOHANA HINCAPIE RODRIGUEZ"/>
    <x v="4"/>
    <s v="Seguros"/>
    <s v="BBVA Seguros"/>
    <x v="0"/>
    <s v="SDATOOL-38225 $ Seguros - Mandatorios 2022"/>
    <n v="1"/>
    <s v="Desarrollador"/>
    <s v="Distribuido"/>
    <s v="LÍDER TÉCNICO"/>
    <e v="#NAME?"/>
    <x v="0"/>
    <e v="#NAME?"/>
    <m/>
    <m/>
    <m/>
    <m/>
    <m/>
    <m/>
  </r>
  <r>
    <s v="CV25087"/>
    <s v="CRISTIAN ANDRES SIERRA ESPINEL"/>
    <x v="4"/>
    <s v="Seguros"/>
    <s v="BBVA Seguros"/>
    <x v="0"/>
    <s v="SDATOOL-40300 $ Seguros - Reintegro automático a tarjetas crédito"/>
    <n v="1"/>
    <s v="Desarrollador"/>
    <s v="Distribuido"/>
    <s v="LÍDER TÉCNICO"/>
    <e v="#NAME?"/>
    <x v="0"/>
    <e v="#NAME?"/>
    <m/>
    <m/>
    <m/>
    <m/>
    <m/>
    <m/>
  </r>
  <r>
    <s v="CV25064"/>
    <s v="MARY LUZ RUALES GUZMAN"/>
    <x v="4"/>
    <s v="Seguros"/>
    <s v="BBVA Seguros"/>
    <x v="0"/>
    <s v="SDATOOL-36501 $ Seguros - Cobro de seguros libres en créditos - Desempleo Fase 2"/>
    <n v="0.75"/>
    <s v="Desarrollador"/>
    <s v="Distribuido"/>
    <s v="LÍDER TÉCNICO"/>
    <e v="#NAME?"/>
    <x v="0"/>
    <e v="#NAME?"/>
    <m/>
    <m/>
    <m/>
    <m/>
    <m/>
    <m/>
  </r>
  <r>
    <s v="CV25064"/>
    <s v="MARY LUZ RUALES GUZMAN"/>
    <x v="4"/>
    <s v="Seguros"/>
    <s v="BBVA Seguros"/>
    <x v="0"/>
    <s v="NOSDA $ BAU (Mantenimiento y peq. evolutivos)"/>
    <n v="0.25"/>
    <s v="Desarrollador"/>
    <s v="Distribuido"/>
    <s v="LÍDER TÉCNICO"/>
    <e v="#NAME?"/>
    <x v="0"/>
    <e v="#NAME?"/>
    <m/>
    <m/>
    <m/>
    <m/>
    <m/>
    <m/>
  </r>
  <r>
    <s v="O003561"/>
    <s v="JOSE MIGUEL PORTILLO ROJAS"/>
    <x v="4"/>
    <s v="Seguros"/>
    <s v="BBVA Seguros"/>
    <x v="0"/>
    <s v="NOSDA $ BAU (Mantenimiento y peq. evolutivos)"/>
    <n v="1"/>
    <s v="Desarrollador"/>
    <s v="Distribuido"/>
    <s v="LÍDER TÉCNICO"/>
    <e v="#NAME?"/>
    <x v="0"/>
    <e v="#NAME?"/>
    <m/>
    <m/>
    <m/>
    <m/>
    <m/>
    <m/>
  </r>
  <r>
    <s v="CE48448"/>
    <s v="MICHAEL CECILIO SODIR REVETE"/>
    <x v="4"/>
    <s v="Seguros"/>
    <s v="Inetum"/>
    <x v="0"/>
    <s v="SDATOOL-37170 $ Seguros - LIS Coaseguro en Seguros Libres"/>
    <n v="0.5"/>
    <s v="Desarrollador"/>
    <s v="Distribuido"/>
    <s v="LÍDER TÉCNICO"/>
    <e v="#NAME?"/>
    <x v="0"/>
    <e v="#NAME?"/>
    <m/>
    <m/>
    <m/>
    <m/>
    <m/>
    <m/>
  </r>
  <r>
    <s v="CE48448"/>
    <s v="MICHAEL CECILIO SODIR REVETE"/>
    <x v="4"/>
    <s v="Seguros"/>
    <s v="Inetum"/>
    <x v="0"/>
    <s v="SDATOOL-40767 $ Seguros - Migración FW / Auditoria (Front)"/>
    <n v="0.5"/>
    <s v="Desarrollador"/>
    <s v="Distribuido"/>
    <s v="LÍDER TÉCNICO"/>
    <e v="#NAME?"/>
    <x v="0"/>
    <e v="#NAME?"/>
    <m/>
    <m/>
    <m/>
    <m/>
    <m/>
    <m/>
  </r>
  <r>
    <s v="CV24903"/>
    <s v="CARLOS ANDRES MORA MUÑOZ"/>
    <x v="4"/>
    <s v="Seguros"/>
    <s v="BBVA Seguros"/>
    <x v="0"/>
    <s v="SDATOOL-37170 $ Seguros - LIS Coaseguro en Seguros Libres"/>
    <n v="0.25"/>
    <s v="Tech Manager/Líder"/>
    <s v="Distribuido"/>
    <m/>
    <e v="#NAME?"/>
    <x v="0"/>
    <e v="#NAME?"/>
    <m/>
    <m/>
    <m/>
    <m/>
    <m/>
    <m/>
  </r>
  <r>
    <s v="CV24903"/>
    <s v="CARLOS ANDRES MORA MUÑOZ"/>
    <x v="4"/>
    <s v="Seguros"/>
    <s v="BBVA Seguros"/>
    <x v="0"/>
    <s v="NOSDA $ BAU (Mantenimiento y peq. evolutivos)"/>
    <n v="0.25"/>
    <s v="Tech Manager/Líder"/>
    <s v="Distribuido"/>
    <m/>
    <e v="#NAME?"/>
    <x v="0"/>
    <e v="#NAME?"/>
    <m/>
    <m/>
    <m/>
    <m/>
    <m/>
    <m/>
  </r>
  <r>
    <s v="CV24903"/>
    <s v="CARLOS ANDRES MORA MUÑOZ"/>
    <x v="4"/>
    <s v="Seguros"/>
    <s v="BBVA Seguros"/>
    <x v="0"/>
    <s v="SDATOOL-38225 $ Seguros - Mandatorios 2022"/>
    <n v="0.5"/>
    <s v="Tech Manager/Líder"/>
    <s v="Distribuido"/>
    <m/>
    <e v="#NAME?"/>
    <x v="0"/>
    <e v="#NAME?"/>
    <m/>
    <m/>
    <m/>
    <m/>
    <m/>
    <m/>
  </r>
  <r>
    <s v="CE44928"/>
    <s v="DESIREE JOSELYN MARQUEZ DIAZ"/>
    <x v="4"/>
    <s v="Seguros"/>
    <s v="VASS"/>
    <x v="0"/>
    <s v="SDATOOL-36501 $ Seguros - Cobro de seguros libres en créditos - Desempleo Fase 2"/>
    <n v="0.5"/>
    <s v="Desarrollador"/>
    <s v="Distribuido"/>
    <s v="LÍDER TÉCNICO"/>
    <e v="#NAME?"/>
    <x v="0"/>
    <e v="#NAME?"/>
    <m/>
    <m/>
    <m/>
    <m/>
    <m/>
    <m/>
  </r>
  <r>
    <s v="CE44928"/>
    <s v="DESIREE JOSELYN MARQUEZ DIAZ"/>
    <x v="4"/>
    <s v="Seguros"/>
    <s v="VASS"/>
    <x v="0"/>
    <s v="SDATOOL-42265 $ Seguros - Verificación de Identidad CE27"/>
    <n v="0.5"/>
    <s v="Desarrollador"/>
    <s v="Distribuido"/>
    <s v="LÍDER TÉCNICO"/>
    <e v="#NAME?"/>
    <x v="0"/>
    <e v="#NAME?"/>
    <m/>
    <m/>
    <m/>
    <m/>
    <m/>
    <m/>
  </r>
  <r>
    <s v="CV25067"/>
    <s v="FRANCINE NARVAEZ LONDOÑO"/>
    <x v="4"/>
    <s v="Seguros"/>
    <s v="BBVA Seguros"/>
    <x v="0"/>
    <s v="SDATOOL-37170 $ Seguros - LIS Coaseguro en Seguros Libres"/>
    <n v="0.75"/>
    <s v="Desarrollador"/>
    <s v="Distribuido"/>
    <s v="LÍDER TÉCNICO"/>
    <e v="#NAME?"/>
    <x v="0"/>
    <e v="#NAME?"/>
    <m/>
    <m/>
    <m/>
    <m/>
    <m/>
    <m/>
  </r>
  <r>
    <s v="CV25067"/>
    <s v="FRANCINE NARVAEZ LONDOÑO"/>
    <x v="4"/>
    <s v="Seguros"/>
    <s v="BBVA Seguros"/>
    <x v="0"/>
    <s v="NOSDA $ BAU (Mantenimiento y peq. evolutivos)"/>
    <n v="0.25"/>
    <s v="Desarrollador"/>
    <s v="Distribuido"/>
    <s v="LÍDER TÉCNICO"/>
    <e v="#NAME?"/>
    <x v="0"/>
    <e v="#NAME?"/>
    <m/>
    <m/>
    <m/>
    <m/>
    <m/>
    <m/>
  </r>
  <r>
    <s v="CV25084"/>
    <s v="JEISON IVAN GAMBA HASTAMORIR"/>
    <x v="4"/>
    <s v="Seguros"/>
    <s v="BBVA Seguros"/>
    <x v="0"/>
    <s v="SDATOOL-42265 $ Seguros - Verificación de Identidad CE27"/>
    <n v="1"/>
    <s v="Desarrollador"/>
    <s v="Distribuido"/>
    <s v="LÍDER TÉCNICO"/>
    <e v="#NAME?"/>
    <x v="0"/>
    <e v="#NAME?"/>
    <m/>
    <m/>
    <m/>
    <m/>
    <m/>
    <m/>
  </r>
  <r>
    <s v="CV25093"/>
    <s v="NANCY ESTEFANIA CASAS PERDOMO"/>
    <x v="4"/>
    <s v="Seguros"/>
    <s v="BBVA Seguros"/>
    <x v="0"/>
    <s v="NOSDA $ BAU (Mantenimiento y peq. evolutivos)"/>
    <n v="0.75"/>
    <s v="Desarrollador"/>
    <s v="Distribuido"/>
    <s v="LÍDER TÉCNICO"/>
    <e v="#NAME?"/>
    <x v="0"/>
    <e v="#NAME?"/>
    <m/>
    <m/>
    <m/>
    <m/>
    <m/>
    <m/>
  </r>
  <r>
    <s v="CV25093"/>
    <s v="NANCY ESTEFANIA CASAS PERDOMO"/>
    <x v="4"/>
    <s v="Seguros"/>
    <s v="BBVA Seguros"/>
    <x v="0"/>
    <s v="SDATOOL-36501 $ Seguros - Cobro de seguros libres en créditos - Desempleo Fase 2"/>
    <n v="0.25"/>
    <s v="Desarrollador"/>
    <s v="Distribuido"/>
    <s v="LÍDER TÉCNICO"/>
    <e v="#NAME?"/>
    <x v="0"/>
    <e v="#NAME?"/>
    <m/>
    <m/>
    <m/>
    <m/>
    <m/>
    <m/>
  </r>
  <r>
    <s v="CV25074"/>
    <s v="JOHAN SEBASTIAN DUEÑAS ARTUNDUAGA_x000a_"/>
    <x v="4"/>
    <s v="Seguros"/>
    <s v="BBVA Seguros"/>
    <x v="0"/>
    <s v="SDATOOL-37170 $ Seguros - LIS Coaseguro en Seguros Libres"/>
    <n v="1"/>
    <s v="Desarrollador"/>
    <s v="Distribuido"/>
    <m/>
    <e v="#NAME?"/>
    <x v="0"/>
    <e v="#NAME?"/>
    <m/>
    <m/>
    <m/>
    <m/>
    <m/>
    <m/>
  </r>
  <r>
    <s v="CV25001"/>
    <s v="ELKIN FERNANDO BURBANO CORAL"/>
    <x v="4"/>
    <s v="Seguros"/>
    <s v="BBVA Seguros"/>
    <x v="0"/>
    <s v="SDATOOL-40764 $ Seguros - AXA F2"/>
    <n v="0.75"/>
    <s v="Tech Manager/Líder"/>
    <s v="Distribuido"/>
    <m/>
    <e v="#NAME?"/>
    <x v="0"/>
    <e v="#NAME?"/>
    <m/>
    <m/>
    <m/>
    <m/>
    <m/>
    <m/>
  </r>
  <r>
    <s v="CV25001"/>
    <s v="ELKIN FERNANDO BURBANO CORAL"/>
    <x v="4"/>
    <s v="Seguros"/>
    <s v="BBVA Seguros"/>
    <x v="0"/>
    <s v="SDATOOL-37170 $ Seguros - LIS Coaseguro en Seguros Libres"/>
    <n v="0.25"/>
    <s v="Tech Manager/Líder"/>
    <s v="Distribuido"/>
    <m/>
    <e v="#NAME?"/>
    <x v="0"/>
    <e v="#NAME?"/>
    <m/>
    <m/>
    <m/>
    <m/>
    <m/>
    <m/>
  </r>
  <r>
    <s v="CE66586"/>
    <s v="DANEY FELIPE MIRANDA MIRANDA"/>
    <x v="4"/>
    <s v="Seguros"/>
    <s v="Inetum"/>
    <x v="0"/>
    <s v="SDATOOL-38080 $ Seguros - LIS Coaseguro Aceptado Autos"/>
    <n v="1"/>
    <s v="QA"/>
    <s v="Otras Tec."/>
    <s v="Altamira"/>
    <e v="#NAME?"/>
    <x v="0"/>
    <e v="#NAME?"/>
    <m/>
    <m/>
    <m/>
    <m/>
    <m/>
    <m/>
  </r>
  <r>
    <s v="T005668"/>
    <s v="ERICK SANTIAGO GUERRERO ROMERO"/>
    <x v="4"/>
    <s v="Seguros"/>
    <s v="Inetum"/>
    <x v="0"/>
    <s v="SDATOOL-38080 $ Seguros - LIS Coaseguro Aceptado Autos"/>
    <n v="1"/>
    <s v="QA"/>
    <m/>
    <s v="Altamira"/>
    <e v="#NAME?"/>
    <x v="0"/>
    <e v="#NAME?"/>
    <m/>
    <m/>
    <m/>
    <m/>
    <m/>
    <m/>
  </r>
  <r>
    <s v="CE48941"/>
    <s v="CRISTHIAN ARMANDO DUEÑAS"/>
    <x v="4"/>
    <s v="Seguros"/>
    <s v="Inetum"/>
    <x v="0"/>
    <s v="NOSDA $ BAU (Mantenimiento y peq. evolutivos)"/>
    <n v="1"/>
    <s v="QA"/>
    <s v="Distribuido"/>
    <m/>
    <e v="#NAME?"/>
    <x v="0"/>
    <e v="#NAME?"/>
    <m/>
    <m/>
    <m/>
    <m/>
    <m/>
    <m/>
  </r>
  <r>
    <s v="CE50178"/>
    <s v="PABLO ENRIQUE CALDERON DIAZ"/>
    <x v="4"/>
    <s v="Seguros"/>
    <s v="Inetum"/>
    <x v="0"/>
    <s v="NOSDA $ BAU (Mantenimiento y peq. evolutivos)"/>
    <n v="1"/>
    <s v="Otros"/>
    <m/>
    <s v="Técnico Despliegues Seguros / Altamira"/>
    <e v="#NAME?"/>
    <x v="0"/>
    <e v="#NAME?"/>
    <m/>
    <m/>
    <m/>
    <m/>
    <m/>
    <m/>
  </r>
  <r>
    <s v="CE69705"/>
    <s v="MIGUEL FAJARDO"/>
    <x v="4"/>
    <s v="Seguros"/>
    <s v="Inetum"/>
    <x v="0"/>
    <s v="SDATOOL-36501 $ Seguros - Cobro de seguros libres en créditos - Desempleo Fase 2"/>
    <n v="1"/>
    <s v="QA"/>
    <s v="Distribuido"/>
    <m/>
    <e v="#NAME?"/>
    <x v="0"/>
    <e v="#NAME?"/>
    <m/>
    <m/>
    <m/>
    <m/>
    <m/>
    <m/>
  </r>
  <r>
    <s v="CE53945"/>
    <s v="GIOVANNI ALONSO PENARETE BUITRAGO"/>
    <x v="4"/>
    <s v="Seguros"/>
    <s v="Inetum"/>
    <x v="0"/>
    <s v="SDATOOL-38080 $ Seguros - LIS Coaseguro Aceptado Autos"/>
    <n v="1"/>
    <s v="QA"/>
    <m/>
    <s v="Altamira"/>
    <e v="#NAME?"/>
    <x v="0"/>
    <e v="#NAME?"/>
    <m/>
    <m/>
    <m/>
    <m/>
    <m/>
    <m/>
  </r>
  <r>
    <s v="T008565"/>
    <s v="HENRY FABIAN ROJAS GALLEGO"/>
    <x v="4"/>
    <s v="Seguros"/>
    <s v="Inetum"/>
    <x v="0"/>
    <s v="SDATOOL-38080 $ Seguros - LIS Coaseguro Aceptado Autos"/>
    <n v="1"/>
    <s v="QA"/>
    <m/>
    <s v="Altamira"/>
    <e v="#NAME?"/>
    <x v="0"/>
    <e v="#NAME?"/>
    <m/>
    <m/>
    <m/>
    <m/>
    <m/>
    <m/>
  </r>
  <r>
    <s v="T009692"/>
    <s v="SEBASTIAN FELIPE ROJAS"/>
    <x v="4"/>
    <s v="Seguros"/>
    <s v="Inetum"/>
    <x v="0"/>
    <s v="NOSDA $ BAU (Mantenimiento y peq. evolutivos)"/>
    <n v="1"/>
    <s v="Otros"/>
    <m/>
    <s v="Técnico Despliegues Seguros / Altamira"/>
    <e v="#NAME?"/>
    <x v="0"/>
    <e v="#NAME?"/>
    <m/>
    <m/>
    <m/>
    <m/>
    <m/>
    <m/>
  </r>
  <r>
    <s v="CE42004"/>
    <s v="CLARENA VALENCIA CALDERON"/>
    <x v="4"/>
    <s v="Seguros"/>
    <s v="Inetum"/>
    <x v="0"/>
    <s v="SDATOOL-38080 $ Seguros - LIS Coaseguro Aceptado Autos"/>
    <n v="1"/>
    <s v="QA"/>
    <m/>
    <s v="Altamira"/>
    <e v="#NAME?"/>
    <x v="0"/>
    <e v="#NAME?"/>
    <m/>
    <m/>
    <m/>
    <m/>
    <m/>
    <m/>
  </r>
  <r>
    <n v="1032450219"/>
    <s v="JULIAN LEANDRO CASTRO"/>
    <x v="4"/>
    <s v="Seguros"/>
    <s v="Inetum"/>
    <x v="0"/>
    <s v="SDATOOL-42099 $ Seguros - Cuota Segura/Créditos de libranza (SEGUROS)"/>
    <n v="1"/>
    <s v="QA"/>
    <m/>
    <s v="Altamira"/>
    <e v="#NAME?"/>
    <x v="0"/>
    <e v="#NAME?"/>
    <m/>
    <m/>
    <m/>
    <m/>
    <m/>
    <m/>
  </r>
  <r>
    <s v="CE65204"/>
    <s v="KATHERINE GALINDO VARGAS"/>
    <x v="4"/>
    <s v="Seguros"/>
    <s v="GGI / CMC"/>
    <x v="0"/>
    <s v="SDATOOL-34750 $ Seguros - Suscripción/Siniestros Seguros Licitación"/>
    <n v="1"/>
    <s v="QA"/>
    <s v="Distribuido"/>
    <m/>
    <e v="#NAME?"/>
    <x v="0"/>
    <e v="#NAME?"/>
    <m/>
    <m/>
    <m/>
    <m/>
    <m/>
    <m/>
  </r>
  <r>
    <s v="CE65203"/>
    <s v="NATALIA ALEJANDRA GRAJALES CARDONA"/>
    <x v="4"/>
    <s v="Seguros"/>
    <s v="GGI / CMC"/>
    <x v="0"/>
    <s v="SDATOOL-38080 $ Seguros - LIS Coaseguro Aceptado Autos"/>
    <n v="1"/>
    <s v="QA"/>
    <s v="Distribuido"/>
    <m/>
    <e v="#NAME?"/>
    <x v="0"/>
    <e v="#NAME?"/>
    <m/>
    <m/>
    <m/>
    <m/>
    <m/>
    <m/>
  </r>
  <r>
    <s v="CE53475"/>
    <s v="ANDREA MARCELA RODRIGUEZ A"/>
    <x v="4"/>
    <s v="Seguros"/>
    <s v="GGI / CMC"/>
    <x v="0"/>
    <s v="NOSDA $ BAU (Mantenimiento y peq. evolutivos)"/>
    <n v="1"/>
    <s v="QA"/>
    <m/>
    <s v="Altamira"/>
    <e v="#NAME?"/>
    <x v="0"/>
    <e v="#NAME?"/>
    <m/>
    <m/>
    <m/>
    <m/>
    <m/>
    <m/>
  </r>
  <r>
    <s v="CE60737"/>
    <s v="JAIRO JUNIOR HERNANDEZ TRILLOS"/>
    <x v="4"/>
    <s v="Seguros"/>
    <s v="GGI / CMC"/>
    <x v="0"/>
    <s v="SDATOOL-40764 $ Seguros - AXA F2"/>
    <n v="1"/>
    <s v="QA"/>
    <s v="Distribuido"/>
    <m/>
    <e v="#NAME?"/>
    <x v="0"/>
    <e v="#NAME?"/>
    <m/>
    <m/>
    <m/>
    <m/>
    <m/>
    <m/>
  </r>
  <r>
    <s v="CE37757"/>
    <s v="ENOIDES MEJIA"/>
    <x v="4"/>
    <s v="Seguros"/>
    <s v="GGI / CMC"/>
    <x v="0"/>
    <s v="NOSDA $ BAU (Mantenimiento y peq. evolutivos)"/>
    <n v="1"/>
    <s v="Otros"/>
    <s v="Distribuido"/>
    <s v="Técnico Despliegues Seguros - Distribuido"/>
    <e v="#NAME?"/>
    <x v="0"/>
    <e v="#NAME?"/>
    <m/>
    <m/>
    <m/>
    <m/>
    <m/>
    <m/>
  </r>
  <r>
    <s v="CE69797"/>
    <s v="MARIA ALEJANDRA ZUÑIGA"/>
    <x v="4"/>
    <s v="Seguros"/>
    <s v="Choucair"/>
    <x v="0"/>
    <s v="NOSDA $ BAU (Mantenimiento y peq. evolutivos)"/>
    <n v="1"/>
    <s v="QA"/>
    <m/>
    <s v="Altamira"/>
    <e v="#NAME?"/>
    <x v="0"/>
    <e v="#NAME?"/>
    <m/>
    <m/>
    <m/>
    <m/>
    <m/>
    <m/>
  </r>
  <r>
    <s v="CE66582"/>
    <s v="ANDREA CATERIN MUNOZ ACOSTA"/>
    <x v="4"/>
    <s v="Seguros"/>
    <s v="KRYPTO"/>
    <x v="0"/>
    <s v="SDATOOL-38080 $ Seguros - LIS Coaseguro Aceptado Autos"/>
    <n v="1"/>
    <s v="QA"/>
    <m/>
    <s v="Altamira"/>
    <e v="#NAME?"/>
    <x v="0"/>
    <e v="#NAME?"/>
    <m/>
    <m/>
    <m/>
    <m/>
    <m/>
    <m/>
  </r>
  <r>
    <s v="CE55951"/>
    <s v="TANIA YULIETH PUENTES REAL"/>
    <x v="4"/>
    <s v="Seguros"/>
    <s v="KRYPTO"/>
    <x v="0"/>
    <s v="SDATOOL-38080 $ Seguros - LIS Coaseguro Aceptado Autos"/>
    <n v="1"/>
    <s v="QA"/>
    <m/>
    <s v="Altamira"/>
    <e v="#NAME?"/>
    <x v="0"/>
    <e v="#NAME?"/>
    <m/>
    <m/>
    <m/>
    <m/>
    <m/>
    <m/>
  </r>
  <r>
    <s v="CE50906"/>
    <s v="EDGAR DANIEL CASTRO MUNOZ"/>
    <x v="4"/>
    <s v="Seguros"/>
    <s v="KRYPTO"/>
    <x v="0"/>
    <s v="SDATOOL-42099 $ Seguros - Cuota Segura/Créditos de libranza (SEGUROS)"/>
    <n v="1"/>
    <s v="QA"/>
    <m/>
    <s v="Altamira"/>
    <e v="#NAME?"/>
    <x v="0"/>
    <e v="#NAME?"/>
    <m/>
    <m/>
    <m/>
    <m/>
    <m/>
    <m/>
  </r>
  <r>
    <s v="CE34436"/>
    <s v="BERTHA GRACIELA LOPEZ RODRIGUEZ"/>
    <x v="4"/>
    <s v="Seguros"/>
    <s v="VASS"/>
    <x v="0"/>
    <s v="SDATOOL-36501 $ Seguros - Cobro de seguros libres en créditos - Desempleo Fase 2"/>
    <n v="1"/>
    <s v="QA"/>
    <s v="Distribuido"/>
    <m/>
    <e v="#NAME?"/>
    <x v="0"/>
    <e v="#NAME?"/>
    <m/>
    <m/>
    <m/>
    <m/>
    <m/>
    <m/>
  </r>
  <r>
    <s v="CE68707"/>
    <s v="MIGUEL LEÓN"/>
    <x v="4"/>
    <s v="Seguros"/>
    <s v="JARZSOFT"/>
    <x v="0"/>
    <s v="SDATOOL-36501 $ Seguros - Cobro de seguros libres en créditos - Desempleo Fase 2"/>
    <n v="1"/>
    <s v="QA"/>
    <s v="Distribuido"/>
    <m/>
    <e v="#NAME?"/>
    <x v="0"/>
    <e v="#NAME?"/>
    <m/>
    <m/>
    <m/>
    <m/>
    <m/>
    <m/>
  </r>
  <r>
    <s v="CV68710"/>
    <s v="JOHN FREDY MUNOZ MARTINEZ"/>
    <x v="4"/>
    <s v="Seguros"/>
    <s v="SII"/>
    <x v="0"/>
    <s v="SDATOOL-40767 $ Seguros - Migración FW / Auditoria (Front)"/>
    <n v="1"/>
    <s v="QA"/>
    <s v="Distribuido"/>
    <m/>
    <e v="#NAME?"/>
    <x v="0"/>
    <e v="#NAME?"/>
    <m/>
    <m/>
    <m/>
    <m/>
    <m/>
    <m/>
  </r>
  <r>
    <s v="CV24905"/>
    <s v="ADRIANA IBARRA"/>
    <x v="4"/>
    <s v="Seguros"/>
    <s v="BBVA Seguros"/>
    <x v="0"/>
    <s v="SDATOOL-38080 $ Seguros - LIS Coaseguro Aceptado Autos"/>
    <n v="0.33"/>
    <s v="QA"/>
    <m/>
    <s v="QC"/>
    <e v="#NAME?"/>
    <x v="0"/>
    <e v="#NAME?"/>
    <m/>
    <m/>
    <m/>
    <m/>
    <m/>
    <m/>
  </r>
  <r>
    <s v="CV24905"/>
    <s v="ADRIANA IBARRA"/>
    <x v="4"/>
    <s v="Seguros"/>
    <s v="BBVA Seguros"/>
    <x v="0"/>
    <s v="SDATOOL-42449 $ Seguros - LIS Coaseguro Aceptado Autos Fase 2"/>
    <n v="0.33"/>
    <s v="QA"/>
    <m/>
    <s v="QC"/>
    <e v="#NAME?"/>
    <x v="0"/>
    <e v="#NAME?"/>
    <m/>
    <m/>
    <m/>
    <m/>
    <m/>
    <m/>
  </r>
  <r>
    <s v="CV24905"/>
    <s v="ADRIANA IBARRA"/>
    <x v="4"/>
    <s v="Seguros"/>
    <s v="BBVA Seguros"/>
    <x v="0"/>
    <s v="SDATOOL-36501 $ Seguros - Cobro de seguros libres en créditos - Desempleo Fase 2"/>
    <n v="0.34"/>
    <s v="QA"/>
    <m/>
    <s v="QC"/>
    <e v="#NAME?"/>
    <x v="0"/>
    <e v="#NAME?"/>
    <m/>
    <m/>
    <m/>
    <m/>
    <m/>
    <m/>
  </r>
  <r>
    <s v="O003129"/>
    <s v="DIEGO ARIEL RODRIGUEZ"/>
    <x v="4"/>
    <s v="Seguros"/>
    <s v="BBVA Seguros"/>
    <x v="0"/>
    <s v="SDATOOL-40767 $ Seguros - Migración FW / Auditoria (Front)"/>
    <n v="0.5"/>
    <s v="Otros"/>
    <m/>
    <m/>
    <e v="#NAME?"/>
    <x v="0"/>
    <e v="#NAME?"/>
    <m/>
    <m/>
    <m/>
    <m/>
    <m/>
    <m/>
  </r>
  <r>
    <s v="O003129"/>
    <s v="DIEGO ARIEL RODRIGUEZ"/>
    <x v="4"/>
    <s v="Seguros"/>
    <s v="BBVA Seguros"/>
    <x v="0"/>
    <s v="NOSDA $ BAU (Mantenimiento y peq. evolutivos)"/>
    <n v="0.5"/>
    <s v="Otros"/>
    <m/>
    <m/>
    <e v="#NAME?"/>
    <x v="0"/>
    <e v="#NAME?"/>
    <m/>
    <m/>
    <m/>
    <m/>
    <m/>
    <m/>
  </r>
  <r>
    <s v="T003707"/>
    <s v="Andres Camilo Ruiz Bravo"/>
    <x v="2"/>
    <s v="Riesgos"/>
    <s v="Neoris"/>
    <x v="0"/>
    <s v="SDATOOL-35656 $ Cupos y límites"/>
    <n v="0.25"/>
    <s v="Desarrollador"/>
    <m/>
    <s v="Externo"/>
    <e v="#NAME?"/>
    <x v="0"/>
    <e v="#NAME?"/>
    <m/>
    <m/>
    <m/>
    <m/>
    <m/>
    <m/>
  </r>
  <r>
    <s v="T003707"/>
    <s v="Andres Camilo Ruiz Bravo"/>
    <x v="2"/>
    <s v="Riesgos"/>
    <s v="Neoris"/>
    <x v="0"/>
    <s v="SDATOOL-39463 $ GRM Col - Actualización Versión Power Curve."/>
    <n v="0.1"/>
    <s v="Desarrollador"/>
    <m/>
    <s v="Externo"/>
    <e v="#NAME?"/>
    <x v="0"/>
    <e v="#NAME?"/>
    <m/>
    <m/>
    <m/>
    <m/>
    <m/>
    <m/>
  </r>
  <r>
    <s v="T003707"/>
    <s v="Andres Camilo Ruiz Bravo"/>
    <x v="2"/>
    <s v="Riesgos"/>
    <s v="Neoris"/>
    <x v="0"/>
    <s v="SDATOOL-40710 $ GRM Col - Cronos - Plan Ascenso - Mejoras CAP Pymes Fase II"/>
    <n v="0.45"/>
    <s v="Desarrollador"/>
    <m/>
    <s v="Externo"/>
    <e v="#NAME?"/>
    <x v="0"/>
    <e v="#NAME?"/>
    <m/>
    <m/>
    <m/>
    <m/>
    <m/>
    <m/>
  </r>
  <r>
    <s v="T003707"/>
    <s v="Andres Camilo Ruiz Bravo"/>
    <x v="2"/>
    <s v="Riesgos"/>
    <s v="Neoris"/>
    <x v="0"/>
    <s v="SDATOOL-38443 $ Arce Empresas Colombia"/>
    <n v="0.2"/>
    <s v="Desarrollador"/>
    <m/>
    <s v="Externo"/>
    <e v="#NAME?"/>
    <x v="0"/>
    <e v="#NAME?"/>
    <m/>
    <m/>
    <m/>
    <m/>
    <m/>
    <m/>
  </r>
  <r>
    <s v="CE54569"/>
    <s v="Danilo Cusba Pulido"/>
    <x v="2"/>
    <s v="Riesgos"/>
    <s v="Choucair"/>
    <x v="0"/>
    <s v="SDATOOL-39463 $ GRM Col - Actualización Versión Power Curve."/>
    <n v="0.45"/>
    <s v="QA"/>
    <m/>
    <s v="Externo"/>
    <e v="#NAME?"/>
    <x v="0"/>
    <e v="#NAME?"/>
    <m/>
    <m/>
    <m/>
    <m/>
    <m/>
    <m/>
  </r>
  <r>
    <s v="CE54569"/>
    <s v="Danilo Cusba Pulido"/>
    <x v="2"/>
    <s v="Riesgos"/>
    <s v="Choucair"/>
    <x v="0"/>
    <s v="SDATOOL-40710 $ GRM Col - Cronos - Plan Ascenso - Mejoras CAP Pymes Fase II"/>
    <n v="0.3"/>
    <s v="QA"/>
    <m/>
    <s v="Externo"/>
    <e v="#NAME?"/>
    <x v="0"/>
    <e v="#NAME?"/>
    <m/>
    <m/>
    <m/>
    <m/>
    <m/>
    <m/>
  </r>
  <r>
    <s v="CE54569"/>
    <s v="Danilo Cusba Pulido"/>
    <x v="2"/>
    <s v="Riesgos"/>
    <s v="Choucair"/>
    <x v="0"/>
    <s v="SDATOOL-39826 $ GRM Col- Plan Ascenso - Mejoras en CAP Pymes y disponibilización HdC"/>
    <n v="0.15"/>
    <s v="QA"/>
    <m/>
    <s v="Externo"/>
    <e v="#NAME?"/>
    <x v="0"/>
    <e v="#NAME?"/>
    <m/>
    <m/>
    <m/>
    <m/>
    <m/>
    <m/>
  </r>
  <r>
    <s v="CE54569"/>
    <s v="Danilo Cusba Pulido"/>
    <x v="2"/>
    <s v="Riesgos"/>
    <s v="Choucair"/>
    <x v="0"/>
    <s v="SDATOOL-38443 $ Arce Empresas Colombia"/>
    <n v="0.1"/>
    <s v="QA"/>
    <m/>
    <s v="Externo"/>
    <e v="#NAME?"/>
    <x v="0"/>
    <e v="#NAME?"/>
    <m/>
    <m/>
    <m/>
    <m/>
    <m/>
    <m/>
  </r>
  <r>
    <s v="T003442"/>
    <s v="DIDIER ALFREDO PASUY CASTANO"/>
    <x v="2"/>
    <s v="Riesgos"/>
    <s v="Neoris"/>
    <x v="0"/>
    <s v="SDATOOL-40710 $ GRM Col - Cronos - Plan Ascenso - Mejoras CAP Pymes Fase II"/>
    <n v="0.25"/>
    <s v="Desarrollador"/>
    <m/>
    <s v="Externo"/>
    <e v="#NAME?"/>
    <x v="0"/>
    <e v="#NAME?"/>
    <m/>
    <m/>
    <m/>
    <m/>
    <m/>
    <m/>
  </r>
  <r>
    <s v="T003442"/>
    <s v="DIDIER ALFREDO PASUY CASTANO"/>
    <x v="2"/>
    <s v="Riesgos"/>
    <s v="Neoris"/>
    <x v="0"/>
    <s v="SDATOOL-38443 $ Arce Empresas Colombia"/>
    <n v="0.25"/>
    <s v="Desarrollador"/>
    <m/>
    <s v="Externo"/>
    <e v="#NAME?"/>
    <x v="0"/>
    <e v="#NAME?"/>
    <m/>
    <m/>
    <m/>
    <m/>
    <m/>
    <m/>
  </r>
  <r>
    <s v="T003442"/>
    <s v="DIDIER ALFREDO PASUY CASTANO"/>
    <x v="2"/>
    <s v="Riesgos"/>
    <s v="Neoris"/>
    <x v="0"/>
    <s v="SDATOOL-35656 $ Cupos y límites"/>
    <n v="0.25"/>
    <s v="Desarrollador"/>
    <m/>
    <s v="Externo"/>
    <e v="#NAME?"/>
    <x v="0"/>
    <e v="#NAME?"/>
    <m/>
    <m/>
    <m/>
    <m/>
    <m/>
    <m/>
  </r>
  <r>
    <s v="T003442"/>
    <s v="DIDIER ALFREDO PASUY CASTANO"/>
    <x v="2"/>
    <s v="Riesgos"/>
    <s v="Neoris"/>
    <x v="0"/>
    <s v="SDATOOL-35656 $ Cupos y límites"/>
    <n v="0.25"/>
    <s v="Desarrollador"/>
    <m/>
    <s v="Externo"/>
    <e v="#NAME?"/>
    <x v="0"/>
    <e v="#NAME?"/>
    <m/>
    <m/>
    <m/>
    <m/>
    <m/>
    <m/>
  </r>
  <r>
    <s v="C804037"/>
    <s v="Eddy Hernando Bogota Cangrejo"/>
    <x v="2"/>
    <s v="Riesgos"/>
    <s v="BBVA"/>
    <x v="0"/>
    <s v="SDATOOL-38443 $ Arce Empresas Colombia"/>
    <n v="0.25"/>
    <s v="Tech Manager/Líder"/>
    <m/>
    <s v="Interno"/>
    <e v="#NAME?"/>
    <x v="0"/>
    <e v="#NAME?"/>
    <m/>
    <m/>
    <m/>
    <m/>
    <m/>
    <m/>
  </r>
  <r>
    <s v="C804037"/>
    <s v="Eddy Hernando Bogota Cangrejo"/>
    <x v="2"/>
    <s v="Riesgos"/>
    <s v="BBVA"/>
    <x v="0"/>
    <s v="SDATOOL-39826 $ GRM Col- Plan Ascenso - Mejoras en CAP Pymes y disponibilización HdC"/>
    <n v="0.2"/>
    <s v="Tech Manager/Líder"/>
    <m/>
    <s v="Interno"/>
    <e v="#NAME?"/>
    <x v="0"/>
    <e v="#NAME?"/>
    <m/>
    <m/>
    <m/>
    <m/>
    <m/>
    <m/>
  </r>
  <r>
    <s v="C804037"/>
    <s v="Eddy Hernando Bogota Cangrejo"/>
    <x v="2"/>
    <s v="Riesgos"/>
    <s v="BBVA"/>
    <x v="0"/>
    <s v="SDATOOL-35656 $ Cupos y límites"/>
    <n v="0.2"/>
    <s v="Tech Manager/Líder"/>
    <m/>
    <s v="Interno"/>
    <e v="#NAME?"/>
    <x v="0"/>
    <e v="#NAME?"/>
    <m/>
    <m/>
    <m/>
    <m/>
    <m/>
    <m/>
  </r>
  <r>
    <s v="C804037"/>
    <s v="Eddy Hernando Bogota Cangrejo"/>
    <x v="2"/>
    <s v="Riesgos"/>
    <s v="BBVA"/>
    <x v="0"/>
    <s v="SDATOOL-40710 $ GRM Col - Cronos - Plan Ascenso - Mejoras CAP Pymes Fase II"/>
    <n v="0.2"/>
    <s v="Tech Manager/Líder"/>
    <m/>
    <s v="Interno"/>
    <e v="#NAME?"/>
    <x v="0"/>
    <e v="#NAME?"/>
    <m/>
    <m/>
    <m/>
    <m/>
    <m/>
    <m/>
  </r>
  <r>
    <s v="C804037"/>
    <s v="Eddy Hernando Bogota Cangrejo"/>
    <x v="2"/>
    <s v="Riesgos"/>
    <s v="BBVA"/>
    <x v="0"/>
    <s v="NOSDA $ BAU (Mantenimiento y peq. evolutivos)"/>
    <n v="0.15"/>
    <s v="Tech Manager/Líder"/>
    <m/>
    <s v="Interno"/>
    <e v="#NAME?"/>
    <x v="0"/>
    <e v="#NAME?"/>
    <m/>
    <m/>
    <m/>
    <m/>
    <m/>
    <m/>
  </r>
  <r>
    <s v="C805749"/>
    <s v="Espitia Montilla William Ricardo"/>
    <x v="2"/>
    <s v="Riesgos"/>
    <s v="BBVA"/>
    <x v="0"/>
    <s v="SDATOOL-40710 $ GRM Col - Cronos - Plan Ascenso - Mejoras CAP Pymes Fase II"/>
    <n v="0.5"/>
    <s v="Desarrollador"/>
    <m/>
    <s v="Interno"/>
    <e v="#NAME?"/>
    <x v="0"/>
    <e v="#NAME?"/>
    <m/>
    <m/>
    <m/>
    <m/>
    <m/>
    <m/>
  </r>
  <r>
    <s v="C805749"/>
    <s v="Espitia Montilla William Ricardo"/>
    <x v="2"/>
    <s v="Riesgos"/>
    <s v="BBVA"/>
    <x v="0"/>
    <s v="SDATOOL-35656 $ Cupos y límites"/>
    <n v="0.4"/>
    <s v="Desarrollador"/>
    <m/>
    <s v="Interno"/>
    <e v="#NAME?"/>
    <x v="0"/>
    <e v="#NAME?"/>
    <m/>
    <m/>
    <m/>
    <m/>
    <m/>
    <m/>
  </r>
  <r>
    <s v="C805749"/>
    <s v="Espitia Montilla William Ricardo"/>
    <x v="2"/>
    <s v="Riesgos"/>
    <s v="BBVA"/>
    <x v="0"/>
    <s v="SDATOOL-38443 $ Arce Empresas Colombia"/>
    <n v="0.1"/>
    <s v="Desarrollador"/>
    <m/>
    <s v="Interno"/>
    <e v="#NAME?"/>
    <x v="0"/>
    <e v="#NAME?"/>
    <m/>
    <m/>
    <m/>
    <m/>
    <m/>
    <m/>
  </r>
  <r>
    <s v="C809505"/>
    <s v="Fuentes Rojas Jose David"/>
    <x v="2"/>
    <s v="Riesgos"/>
    <s v="BBVA"/>
    <x v="0"/>
    <s v="SDATOOL-40710 $ GRM Col - Cronos - Plan Ascenso - Mejoras CAP Pymes Fase II"/>
    <n v="0.35"/>
    <s v="Desarrollador"/>
    <m/>
    <s v="Interno"/>
    <e v="#NAME?"/>
    <x v="0"/>
    <e v="#NAME?"/>
    <m/>
    <m/>
    <m/>
    <m/>
    <m/>
    <m/>
  </r>
  <r>
    <s v="C809505"/>
    <s v="Fuentes Rojas Jose David"/>
    <x v="2"/>
    <s v="Riesgos"/>
    <s v="BBVA"/>
    <x v="0"/>
    <s v="SDATOOL-38443 $ Arce Empresas Colombia"/>
    <n v="0.3"/>
    <s v="Desarrollador"/>
    <m/>
    <s v="Interno"/>
    <e v="#NAME?"/>
    <x v="0"/>
    <e v="#NAME?"/>
    <m/>
    <m/>
    <m/>
    <m/>
    <m/>
    <m/>
  </r>
  <r>
    <s v="C809505"/>
    <s v="Fuentes Rojas Jose David"/>
    <x v="2"/>
    <s v="Riesgos"/>
    <s v="BBVA"/>
    <x v="0"/>
    <s v="SDATOOL-35656 $ Cupos y límites"/>
    <n v="0.35"/>
    <s v="Desarrollador"/>
    <m/>
    <s v="Interno"/>
    <e v="#NAME?"/>
    <x v="0"/>
    <e v="#NAME?"/>
    <m/>
    <m/>
    <m/>
    <m/>
    <m/>
    <m/>
  </r>
  <r>
    <s v="CE58926"/>
    <s v="HEYBER FERNANDO NINO GUANUME."/>
    <x v="2"/>
    <s v="Riesgos"/>
    <s v="Neoris"/>
    <x v="0"/>
    <s v="SDATOOL-38443 $ Arce Empresas Colombia"/>
    <n v="0.5"/>
    <s v="Desarrollador"/>
    <m/>
    <s v="Externo"/>
    <e v="#NAME?"/>
    <x v="0"/>
    <e v="#NAME?"/>
    <m/>
    <m/>
    <m/>
    <m/>
    <m/>
    <m/>
  </r>
  <r>
    <s v="CE58926"/>
    <s v="HEYBER FERNANDO NINO GUANUME."/>
    <x v="2"/>
    <s v="Riesgos"/>
    <s v="Neoris"/>
    <x v="0"/>
    <s v="SDATOOL-38443 $ Arce Empresas Colombia"/>
    <n v="0.5"/>
    <s v="Desarrollador"/>
    <m/>
    <s v="Externo"/>
    <e v="#NAME?"/>
    <x v="0"/>
    <e v="#NAME?"/>
    <m/>
    <m/>
    <m/>
    <m/>
    <m/>
    <m/>
  </r>
  <r>
    <s v="T002660"/>
    <s v="JUAN ALEJANDRO RIOS PEREZ"/>
    <x v="2"/>
    <s v="Riesgos"/>
    <s v="Choucair"/>
    <x v="0"/>
    <s v="SDATOOL-40710 $ GRM Col - Cronos - Plan Ascenso - Mejoras CAP Pymes Fase II"/>
    <n v="0.3"/>
    <s v="QA"/>
    <m/>
    <s v="Externo"/>
    <e v="#NAME?"/>
    <x v="0"/>
    <e v="#NAME?"/>
    <m/>
    <m/>
    <m/>
    <m/>
    <m/>
    <m/>
  </r>
  <r>
    <s v="T002660"/>
    <s v="JUAN ALEJANDRO RIOS PEREZ"/>
    <x v="2"/>
    <s v="Riesgos"/>
    <s v="Choucair"/>
    <x v="0"/>
    <s v="SDATOOL-35656 $ Cupos y límites"/>
    <n v="0.3"/>
    <s v="QA"/>
    <m/>
    <s v="Externo"/>
    <e v="#NAME?"/>
    <x v="0"/>
    <e v="#NAME?"/>
    <m/>
    <m/>
    <m/>
    <m/>
    <m/>
    <m/>
  </r>
  <r>
    <s v="T002660"/>
    <s v="JUAN ALEJANDRO RIOS PEREZ"/>
    <x v="2"/>
    <s v="Riesgos"/>
    <s v="Choucair"/>
    <x v="0"/>
    <s v="SDATOOL-38443 $ Arce Empresas Colombia"/>
    <n v="0.4"/>
    <s v="QA"/>
    <m/>
    <s v="Externo"/>
    <e v="#NAME?"/>
    <x v="0"/>
    <e v="#NAME?"/>
    <m/>
    <m/>
    <m/>
    <m/>
    <m/>
    <m/>
  </r>
  <r>
    <s v="T003439"/>
    <s v="Paula Janeth moreno Escobar"/>
    <x v="2"/>
    <s v="Riesgos"/>
    <s v="Neoris"/>
    <x v="0"/>
    <s v="SDATOOL-40710 $ GRM Col - Cronos - Plan Ascenso - Mejoras CAP Pymes Fase II"/>
    <n v="0.5"/>
    <s v="Desarrollador"/>
    <m/>
    <s v="Externo"/>
    <e v="#NAME?"/>
    <x v="0"/>
    <e v="#NAME?"/>
    <m/>
    <m/>
    <m/>
    <m/>
    <m/>
    <m/>
  </r>
  <r>
    <s v="T003439"/>
    <s v="Paula Janeth moreno Escobar"/>
    <x v="2"/>
    <s v="Riesgos"/>
    <s v="Neoris"/>
    <x v="0"/>
    <s v="SDATOOL-35656 $ Cupos y límites"/>
    <n v="0.1"/>
    <s v="Desarrollador"/>
    <m/>
    <s v="Externo"/>
    <e v="#NAME?"/>
    <x v="0"/>
    <e v="#NAME?"/>
    <m/>
    <m/>
    <m/>
    <m/>
    <m/>
    <m/>
  </r>
  <r>
    <s v="T003439"/>
    <s v="Paula Janeth moreno Escobar"/>
    <x v="2"/>
    <s v="Riesgos"/>
    <s v="Neoris"/>
    <x v="0"/>
    <s v="SDATOOL-38443 $ Arce Empresas Colombia"/>
    <n v="0.4"/>
    <s v="Desarrollador"/>
    <m/>
    <s v="Externo"/>
    <e v="#NAME?"/>
    <x v="0"/>
    <e v="#NAME?"/>
    <m/>
    <m/>
    <m/>
    <m/>
    <m/>
    <m/>
  </r>
  <r>
    <s v="C808793"/>
    <s v="Rey Orozco Cristian Ivan"/>
    <x v="2"/>
    <s v="Riesgos"/>
    <s v="BBVA"/>
    <x v="0"/>
    <s v="SDATOOL-40710 $ GRM Col - Cronos - Plan Ascenso - Mejoras CAP Pymes Fase II"/>
    <n v="0.8"/>
    <s v="Desarrollador"/>
    <m/>
    <s v="Interno"/>
    <e v="#NAME?"/>
    <x v="0"/>
    <e v="#NAME?"/>
    <m/>
    <m/>
    <m/>
    <m/>
    <m/>
    <m/>
  </r>
  <r>
    <s v="C808793"/>
    <s v="Rey Orozco Cristian Ivan"/>
    <x v="2"/>
    <s v="Riesgos"/>
    <s v="BBVA"/>
    <x v="0"/>
    <s v="SDATOOL-35656 $ Cupos y límites"/>
    <n v="0.2"/>
    <s v="Desarrollador"/>
    <m/>
    <s v="Interno"/>
    <e v="#NAME?"/>
    <x v="0"/>
    <e v="#NAME?"/>
    <m/>
    <m/>
    <m/>
    <m/>
    <m/>
    <m/>
  </r>
  <r>
    <s v="C811305"/>
    <s v="Rigoberto Rios Hueso"/>
    <x v="2"/>
    <s v="Riesgos"/>
    <s v="BBVA"/>
    <x v="0"/>
    <s v="SDATOOL-39463 $ GRM Col - Actualización Versión Power Curve."/>
    <n v="0.4"/>
    <s v="Desarrollador"/>
    <m/>
    <s v="Interno"/>
    <e v="#NAME?"/>
    <x v="0"/>
    <e v="#NAME?"/>
    <m/>
    <m/>
    <m/>
    <m/>
    <m/>
    <m/>
  </r>
  <r>
    <s v="C811305"/>
    <s v="Rigoberto Rios Hueso"/>
    <x v="2"/>
    <s v="Riesgos"/>
    <s v="BBVA"/>
    <x v="0"/>
    <s v="SDATOOL-39826 $ GRM Col- Plan Ascenso - Mejoras en CAP Pymes y disponibilización HdC"/>
    <n v="0.6"/>
    <s v="Desarrollador"/>
    <m/>
    <s v="Interno"/>
    <e v="#NAME?"/>
    <x v="0"/>
    <e v="#NAME?"/>
    <m/>
    <m/>
    <m/>
    <m/>
    <m/>
    <m/>
  </r>
  <r>
    <s v="T003924"/>
    <s v="Stefan Nicolas Aponte Murcia"/>
    <x v="2"/>
    <s v="Riesgos"/>
    <s v="GGI / CMC"/>
    <x v="0"/>
    <s v="SDATOOL-40710 $ GRM Col - Cronos - Plan Ascenso - Mejoras CAP Pymes Fase II"/>
    <n v="0.6"/>
    <s v="Desarrollador"/>
    <m/>
    <s v="Externo"/>
    <e v="#NAME?"/>
    <x v="0"/>
    <e v="#NAME?"/>
    <m/>
    <m/>
    <m/>
    <m/>
    <m/>
    <m/>
  </r>
  <r>
    <s v="T003924"/>
    <s v="Stefan Nicolas Aponte Murcia"/>
    <x v="2"/>
    <s v="Riesgos"/>
    <s v="GGI / CMC"/>
    <x v="0"/>
    <s v="SDATOOL-35656 $ Cupos y límites"/>
    <n v="0.4"/>
    <s v="Desarrollador"/>
    <m/>
    <s v="Externo"/>
    <e v="#NAME?"/>
    <x v="0"/>
    <e v="#NAME?"/>
    <m/>
    <m/>
    <m/>
    <m/>
    <m/>
    <m/>
  </r>
  <r>
    <s v="T005244"/>
    <s v="TOVAR VELASQUEZ MEYER"/>
    <x v="2"/>
    <s v="Riesgos"/>
    <s v="Neoris"/>
    <x v="0"/>
    <s v="SDATOOL-40710 $ GRM Col - Cronos - Plan Ascenso - Mejoras CAP Pymes Fase II"/>
    <n v="0.3"/>
    <s v="Desarrollador"/>
    <m/>
    <s v="Externo"/>
    <e v="#NAME?"/>
    <x v="0"/>
    <e v="#NAME?"/>
    <m/>
    <m/>
    <m/>
    <m/>
    <m/>
    <m/>
  </r>
  <r>
    <s v="T005244"/>
    <s v="TOVAR VELASQUEZ MEYER"/>
    <x v="2"/>
    <s v="Riesgos"/>
    <s v="Neoris"/>
    <x v="0"/>
    <s v="SDATOOL-35656 $ Cupos y límites"/>
    <n v="0.4"/>
    <s v="Desarrollador"/>
    <m/>
    <s v="Externo"/>
    <e v="#NAME?"/>
    <x v="0"/>
    <e v="#NAME?"/>
    <m/>
    <m/>
    <m/>
    <m/>
    <m/>
    <m/>
  </r>
  <r>
    <s v="T005244"/>
    <s v="TOVAR VELASQUEZ MEYER"/>
    <x v="2"/>
    <s v="Riesgos"/>
    <s v="Neoris"/>
    <x v="0"/>
    <s v="SDATOOL-38443 $ Arce Empresas Colombia"/>
    <n v="0.3"/>
    <s v="Desarrollador"/>
    <m/>
    <s v="Externo"/>
    <e v="#NAME?"/>
    <x v="0"/>
    <e v="#NAME?"/>
    <m/>
    <m/>
    <m/>
    <m/>
    <m/>
    <m/>
  </r>
  <r>
    <s v="T004481"/>
    <s v="ACEVEDO SANCHEZ RUBEN DARIO"/>
    <x v="2"/>
    <s v="Riesgos"/>
    <s v="Neoris"/>
    <x v="0"/>
    <s v="SDATOOL-40710 $ GRM Col - Cronos - Plan Ascenso - Mejoras CAP Pymes Fase II"/>
    <n v="0.5"/>
    <s v="Desarrollador"/>
    <m/>
    <s v="Externo"/>
    <e v="#NAME?"/>
    <x v="0"/>
    <e v="#NAME?"/>
    <m/>
    <m/>
    <m/>
    <m/>
    <m/>
    <m/>
  </r>
  <r>
    <s v="T004481"/>
    <s v="ACEVEDO SANCHEZ RUBEN DARIO"/>
    <x v="2"/>
    <s v="Riesgos"/>
    <s v="Neoris"/>
    <x v="0"/>
    <s v="SDATOOL-35656 $ Cupos y límites"/>
    <n v="0.5"/>
    <s v="Desarrollador"/>
    <m/>
    <s v="Externo"/>
    <e v="#NAME?"/>
    <x v="0"/>
    <e v="#NAME?"/>
    <m/>
    <m/>
    <m/>
    <m/>
    <m/>
    <m/>
  </r>
  <r>
    <s v="CE54975"/>
    <s v="Juan Carlos Pardo Hernandez"/>
    <x v="2"/>
    <s v="Riesgos"/>
    <s v="GGI / CMC"/>
    <x v="0"/>
    <s v="SDATOOL-40710 $ GRM Col - Cronos - Plan Ascenso - Mejoras CAP Pymes Fase II"/>
    <n v="0.5"/>
    <s v="Desarrollador"/>
    <m/>
    <s v="Externo"/>
    <e v="#NAME?"/>
    <x v="0"/>
    <e v="#NAME?"/>
    <m/>
    <m/>
    <m/>
    <m/>
    <m/>
    <m/>
  </r>
  <r>
    <s v="CE54975"/>
    <s v="Juan Carlos Pardo Hernandez"/>
    <x v="2"/>
    <s v="Riesgos"/>
    <s v="GGI / CMC"/>
    <x v="0"/>
    <s v="SDATOOL-35656 $ Cupos y límites"/>
    <n v="0.5"/>
    <s v="Desarrollador"/>
    <m/>
    <s v="Externo"/>
    <e v="#NAME?"/>
    <x v="0"/>
    <e v="#NAME?"/>
    <m/>
    <m/>
    <m/>
    <m/>
    <m/>
    <m/>
  </r>
  <r>
    <s v="CE64571"/>
    <s v="Melissa Correa Rios"/>
    <x v="2"/>
    <s v="Riesgos"/>
    <s v="GGI / CMC"/>
    <x v="0"/>
    <s v="SDATOOL-35656 $ Cupos y límites"/>
    <n v="1"/>
    <s v="Desarrollador"/>
    <m/>
    <s v="Externo"/>
    <e v="#NAME?"/>
    <x v="0"/>
    <e v="#NAME?"/>
    <m/>
    <m/>
    <m/>
    <m/>
    <m/>
    <m/>
  </r>
  <r>
    <s v="CE69336"/>
    <s v="Kleiver Joan Martinez Peña"/>
    <x v="2"/>
    <s v="Riesgos"/>
    <s v="Indra"/>
    <x v="0"/>
    <s v="SDATOOL-38443 $ Arce Empresas Colombia"/>
    <n v="1"/>
    <s v="Desarrollador"/>
    <m/>
    <s v="Externo"/>
    <e v="#NAME?"/>
    <x v="0"/>
    <e v="#NAME?"/>
    <m/>
    <m/>
    <m/>
    <m/>
    <m/>
    <m/>
  </r>
  <r>
    <s v="CE50845"/>
    <s v="Jeferson Daniel Agudelo sierra"/>
    <x v="2"/>
    <s v="Riesgos"/>
    <s v="Neoris"/>
    <x v="0"/>
    <s v="SDATOOL-35656 $ Cupos y límites"/>
    <n v="0.5"/>
    <s v="Desarrollador"/>
    <m/>
    <s v="Externo"/>
    <e v="#NAME?"/>
    <x v="0"/>
    <e v="#NAME?"/>
    <m/>
    <m/>
    <m/>
    <m/>
    <m/>
    <m/>
  </r>
  <r>
    <s v="CE50845"/>
    <s v="Jeferson Daniel Agudelo sierra"/>
    <x v="2"/>
    <s v="Riesgos"/>
    <s v="Neoris"/>
    <x v="0"/>
    <s v="SDATOOL-38443 $ Arce Empresas Colombia"/>
    <n v="0.3"/>
    <s v="Desarrollador"/>
    <m/>
    <s v="Externo"/>
    <e v="#NAME?"/>
    <x v="0"/>
    <e v="#NAME?"/>
    <m/>
    <m/>
    <m/>
    <m/>
    <m/>
    <m/>
  </r>
  <r>
    <s v="CE50845"/>
    <s v="Jeferson Daniel Agudelo sierra"/>
    <x v="2"/>
    <s v="Riesgos"/>
    <s v="Neoris"/>
    <x v="0"/>
    <s v="SDATOOL-40710 $ GRM Col - Cronos - Plan Ascenso - Mejoras CAP Pymes Fase II"/>
    <n v="0.2"/>
    <s v="Desarrollador"/>
    <m/>
    <m/>
    <e v="#NAME?"/>
    <x v="0"/>
    <e v="#NAME?"/>
    <m/>
    <m/>
    <m/>
    <m/>
    <m/>
    <m/>
  </r>
  <r>
    <s v="CE67859"/>
    <s v="Andres Felipe Quintero Salazar"/>
    <x v="5"/>
    <s v="Open Market"/>
    <s v="Accenture"/>
    <x v="0"/>
    <s v="SDATOOL-39348 $ tarjeta de crédito Open Market Fallback product"/>
    <n v="0.5"/>
    <s v="Desarrollador"/>
    <s v="ASO"/>
    <m/>
    <e v="#NAME?"/>
    <x v="0"/>
    <e v="#NAME?"/>
    <m/>
    <m/>
    <m/>
    <m/>
    <m/>
    <m/>
  </r>
  <r>
    <s v="CE51863"/>
    <s v="EDNA ROCIO MONCADA"/>
    <x v="5"/>
    <s v="Open Market"/>
    <s v="KRYPTO"/>
    <x v="0"/>
    <s v="SDATOOL-39348 $ tarjeta de crédito Open Market Fallback product"/>
    <n v="0.02"/>
    <s v="QA"/>
    <s v="Otras Tec."/>
    <m/>
    <e v="#NAME?"/>
    <x v="0"/>
    <e v="#NAME?"/>
    <m/>
    <m/>
    <m/>
    <m/>
    <m/>
    <m/>
  </r>
  <r>
    <s v="O002593"/>
    <s v="TATIANA CAROLINA AVELLANEDA"/>
    <x v="5"/>
    <s v="Open Market"/>
    <s v="BBVA"/>
    <x v="0"/>
    <s v="SDATOOL-39348 $ tarjeta de crédito Open Market Fallback product"/>
    <n v="0.2"/>
    <s v="Tech Manager/Líder"/>
    <s v="Otras Tec."/>
    <m/>
    <e v="#NAME?"/>
    <x v="0"/>
    <e v="#NAME?"/>
    <m/>
    <m/>
    <m/>
    <m/>
    <m/>
    <m/>
  </r>
  <r>
    <s v="O001659"/>
    <s v="CARLOS ARTURO PUENTES ZAMBRANO"/>
    <x v="5"/>
    <s v="Open Market"/>
    <s v="BBVA"/>
    <x v="0"/>
    <s v="SDATOOL-39348 $ tarjeta de crédito Open Market Fallback product"/>
    <n v="1"/>
    <s v="Desarrollador"/>
    <s v="Mainframe"/>
    <m/>
    <e v="#NAME?"/>
    <x v="0"/>
    <e v="#NAME?"/>
    <m/>
    <m/>
    <m/>
    <m/>
    <m/>
    <m/>
  </r>
  <r>
    <s v="T004575"/>
    <s v="David Sandoval Arboleda"/>
    <x v="5"/>
    <s v="Open Market"/>
    <s v="Accenture"/>
    <x v="0"/>
    <s v="SDATOOL-39348 $ tarjeta de crédito Open Market Fallback product"/>
    <n v="1"/>
    <s v="Desarrollador"/>
    <s v="Cells"/>
    <m/>
    <e v="#NAME?"/>
    <x v="0"/>
    <e v="#NAME?"/>
    <m/>
    <m/>
    <m/>
    <m/>
    <m/>
    <m/>
  </r>
  <r>
    <s v="O000959"/>
    <s v="JORGE ESTEBAN LLANOS"/>
    <x v="5"/>
    <s v="Open Market"/>
    <s v="BBVA"/>
    <x v="0"/>
    <s v="SDATOOL-39348 $ tarjeta de crédito Open Market Fallback product"/>
    <n v="1"/>
    <s v="Desarrollador"/>
    <s v="APX"/>
    <m/>
    <e v="#NAME?"/>
    <x v="0"/>
    <e v="#NAME?"/>
    <m/>
    <m/>
    <m/>
    <m/>
    <m/>
    <m/>
  </r>
  <r>
    <s v="C811006"/>
    <s v="JULIAN ESTIC LAGOS GALINDO"/>
    <x v="5"/>
    <s v="Open Market"/>
    <s v="BBVA"/>
    <x v="0"/>
    <s v="SDATOOL-39348 $ tarjeta de crédito Open Market Fallback product"/>
    <n v="1"/>
    <s v="Desarrollador"/>
    <s v="Cells"/>
    <m/>
    <e v="#NAME?"/>
    <x v="0"/>
    <e v="#NAME?"/>
    <m/>
    <m/>
    <m/>
    <m/>
    <m/>
    <m/>
  </r>
  <r>
    <s v="T004934"/>
    <s v="Luis Eduardo Fonseca Fajardo"/>
    <x v="5"/>
    <s v="Open Market"/>
    <s v="Choucair"/>
    <x v="0"/>
    <s v="SDATOOL-39348 $ tarjeta de crédito Open Market Fallback product"/>
    <n v="1"/>
    <s v="QA"/>
    <s v="Otras Tec."/>
    <m/>
    <e v="#NAME?"/>
    <x v="0"/>
    <e v="#NAME?"/>
    <m/>
    <m/>
    <m/>
    <m/>
    <m/>
    <m/>
  </r>
  <r>
    <s v="CE70412"/>
    <s v="Angie Chiguasuque"/>
    <x v="5"/>
    <s v="Open Market"/>
    <s v="Choucair"/>
    <x v="0"/>
    <s v="SDATOOL-39348 $ tarjeta de crédito Open Market Fallback product"/>
    <n v="1"/>
    <s v="QA"/>
    <s v="Otras Tec."/>
    <m/>
    <e v="#NAME?"/>
    <x v="0"/>
    <e v="#NAME?"/>
    <m/>
    <m/>
    <m/>
    <m/>
    <m/>
    <m/>
  </r>
  <r>
    <s v="CE51863"/>
    <s v="EDNA ROCIO MONCADA"/>
    <x v="5"/>
    <s v="Open Market"/>
    <s v="KRYPTO"/>
    <x v="0"/>
    <s v="SDATOOL-38419 $ Contratación cuenta en línea en Glomo"/>
    <n v="0.02"/>
    <s v="QA"/>
    <s v="Otras Tec."/>
    <m/>
    <e v="#NAME?"/>
    <x v="0"/>
    <e v="#NAME?"/>
    <m/>
    <m/>
    <m/>
    <m/>
    <m/>
    <m/>
  </r>
  <r>
    <s v="O005003 "/>
    <s v="Ginna García Lara"/>
    <x v="5"/>
    <s v="Open Market"/>
    <s v="BBVA"/>
    <x v="0"/>
    <s v="SDATOOL-38419 $ Contratación cuenta en línea en Glomo"/>
    <n v="0.2"/>
    <s v="Tech Manager/Líder"/>
    <s v="Otras Tec."/>
    <m/>
    <e v="#NAME?"/>
    <x v="0"/>
    <e v="#NAME?"/>
    <m/>
    <m/>
    <m/>
    <m/>
    <m/>
    <m/>
  </r>
  <r>
    <s v="T001903"/>
    <s v="David Santiago Quijano Ordoñez"/>
    <x v="5"/>
    <s v="Open Market"/>
    <s v="Choucair"/>
    <x v="0"/>
    <s v="SDATOOL-38419 $ Contratación cuenta en línea en Glomo"/>
    <n v="1"/>
    <s v="QA"/>
    <s v="Otras Tec."/>
    <m/>
    <e v="#NAME?"/>
    <x v="0"/>
    <e v="#NAME?"/>
    <m/>
    <m/>
    <m/>
    <m/>
    <m/>
    <m/>
  </r>
  <r>
    <s v="CE48051"/>
    <s v="Edgar Andrés Garzon Rangel"/>
    <x v="5"/>
    <s v="Open Market"/>
    <s v="Novatec"/>
    <x v="0"/>
    <s v="SDATOOL-38419 $ Contratación cuenta en línea en Glomo"/>
    <n v="1"/>
    <s v="Desarrollador"/>
    <s v="Mainframe"/>
    <m/>
    <e v="#NAME?"/>
    <x v="0"/>
    <e v="#NAME?"/>
    <m/>
    <m/>
    <m/>
    <m/>
    <m/>
    <m/>
  </r>
  <r>
    <s v="CE69994"/>
    <s v="Lautaro Nahuel Cuello"/>
    <x v="5"/>
    <s v="Open Market"/>
    <s v="Globant"/>
    <x v="0"/>
    <s v="SDATOOL-38419 $ Contratación cuenta en línea en Glomo"/>
    <n v="1"/>
    <s v="Desarrollador"/>
    <s v="Cells"/>
    <m/>
    <e v="#NAME?"/>
    <x v="0"/>
    <e v="#NAME?"/>
    <m/>
    <m/>
    <m/>
    <m/>
    <m/>
    <m/>
  </r>
  <r>
    <s v="CE70000"/>
    <s v="Manuel Augusto Vilchez Maticorena"/>
    <x v="5"/>
    <s v="Open Market"/>
    <s v="Globant"/>
    <x v="0"/>
    <s v="SDATOOL-38419 $ Contratación cuenta en línea en Glomo"/>
    <n v="1"/>
    <s v="Desarrollador"/>
    <s v="APX"/>
    <m/>
    <e v="#NAME?"/>
    <x v="0"/>
    <e v="#NAME?"/>
    <m/>
    <m/>
    <m/>
    <m/>
    <m/>
    <m/>
  </r>
  <r>
    <s v="C811282"/>
    <s v="Santiago Galindo Gutierrez"/>
    <x v="5"/>
    <s v="Open Market"/>
    <s v="BBVA"/>
    <x v="0"/>
    <s v="SDATOOL-38419 $ Contratación cuenta en línea en Glomo"/>
    <n v="1"/>
    <s v="Desarrollador"/>
    <s v="Cells"/>
    <m/>
    <e v="#NAME?"/>
    <x v="0"/>
    <e v="#NAME?"/>
    <m/>
    <m/>
    <m/>
    <m/>
    <m/>
    <m/>
  </r>
  <r>
    <s v="CE69992"/>
    <s v="Stephany L Ceron Salas"/>
    <x v="5"/>
    <s v="Open Market"/>
    <s v="Globant"/>
    <x v="0"/>
    <s v="SDATOOL-38419 $ Contratación cuenta en línea en Glomo"/>
    <n v="1"/>
    <s v="Desarrollador"/>
    <s v="Cells"/>
    <m/>
    <e v="#NAME?"/>
    <x v="0"/>
    <e v="#NAME?"/>
    <m/>
    <m/>
    <m/>
    <m/>
    <m/>
    <m/>
  </r>
  <r>
    <s v="CE51863"/>
    <s v="EDNA ROCIO MONCADA"/>
    <x v="5"/>
    <s v="Open Market"/>
    <s v="KRYPTO"/>
    <x v="0"/>
    <s v="SDATOOL-41797 $ Optimización Cuenta en línea Web"/>
    <n v="0.02"/>
    <s v="QA"/>
    <s v="Otras Tec."/>
    <m/>
    <e v="#NAME?"/>
    <x v="0"/>
    <e v="#NAME?"/>
    <m/>
    <m/>
    <m/>
    <m/>
    <m/>
    <m/>
  </r>
  <r>
    <s v="O005003 "/>
    <s v="Ginna García Lara"/>
    <x v="5"/>
    <s v="Open Market"/>
    <s v="BBVA"/>
    <x v="0"/>
    <s v="SDATOOL-41797 $ Optimización Cuenta en línea Web"/>
    <n v="0.2"/>
    <s v="Tech Manager/Líder"/>
    <s v="Otras Tec."/>
    <m/>
    <e v="#NAME?"/>
    <x v="0"/>
    <e v="#NAME?"/>
    <m/>
    <m/>
    <m/>
    <m/>
    <m/>
    <m/>
  </r>
  <r>
    <s v="C805527"/>
    <s v="FABIAN ALEJANDRO LOPEZ SUAREZ"/>
    <x v="5"/>
    <s v="Open Market"/>
    <s v="BBVA"/>
    <x v="0"/>
    <s v="SDATOOL-41797 $ Optimización Cuenta en línea Web"/>
    <n v="1"/>
    <s v="Desarrollador"/>
    <s v="Cells"/>
    <m/>
    <e v="#NAME?"/>
    <x v="0"/>
    <e v="#NAME?"/>
    <m/>
    <m/>
    <m/>
    <m/>
    <m/>
    <m/>
  </r>
  <r>
    <s v="T006279"/>
    <s v="Jairo Andres Ochoa"/>
    <x v="5"/>
    <s v="Open Market"/>
    <s v="Choucair"/>
    <x v="0"/>
    <s v="SDATOOL-41797 $ Optimización Cuenta en línea Web"/>
    <n v="1"/>
    <s v="QA"/>
    <s v="Otras Tec."/>
    <m/>
    <e v="#NAME?"/>
    <x v="0"/>
    <e v="#NAME?"/>
    <m/>
    <m/>
    <m/>
    <m/>
    <m/>
    <m/>
  </r>
  <r>
    <m/>
    <s v="Desarrollador Front"/>
    <x v="5"/>
    <s v="Open Market"/>
    <s v="Accenture"/>
    <x v="0"/>
    <s v="SDATOOL-41797 $ Optimización Cuenta en línea Web"/>
    <n v="1"/>
    <s v="Desarrollador"/>
    <s v="Cells"/>
    <m/>
    <e v="#NAME?"/>
    <x v="0"/>
    <e v="#NAME?"/>
    <m/>
    <m/>
    <m/>
    <m/>
    <m/>
    <m/>
  </r>
  <r>
    <s v="O005003 "/>
    <s v="Ginna García Lara"/>
    <x v="5"/>
    <s v="Open Market"/>
    <s v="BBVA"/>
    <x v="0"/>
    <s v="SDATOOL-36048 $ Repositorio flujos ventas digitales flujos - Plan Ascenso Open Market"/>
    <n v="0.2"/>
    <s v="Tech Manager/Líder"/>
    <s v="Otras Tec."/>
    <m/>
    <e v="#NAME?"/>
    <x v="0"/>
    <e v="#NAME?"/>
    <m/>
    <m/>
    <m/>
    <m/>
    <n v="2"/>
    <m/>
  </r>
  <r>
    <s v="T000210"/>
    <s v="Carlos Alberto Meneses Campohermoso"/>
    <x v="5"/>
    <s v="Open Market"/>
    <s v="Indra"/>
    <x v="0"/>
    <s v="SDATOOL-36048 $ Repositorio flujos ventas digitales flujos - Plan Ascenso Open Market"/>
    <n v="1"/>
    <s v="Desarrollador"/>
    <s v="Cells"/>
    <m/>
    <e v="#NAME?"/>
    <x v="0"/>
    <e v="#NAME?"/>
    <m/>
    <m/>
    <m/>
    <m/>
    <n v="2"/>
    <m/>
  </r>
  <r>
    <s v="O002162"/>
    <s v="JUAN FELIPE MARTÍN PUERTO"/>
    <x v="5"/>
    <s v="Open Market"/>
    <s v="BBVA"/>
    <x v="0"/>
    <s v="SDATOOL-36048 $ Repositorio flujos ventas digitales flujos - Plan Ascenso Open Market"/>
    <n v="1"/>
    <s v="Desarrollador"/>
    <s v="APX"/>
    <m/>
    <e v="#NAME?"/>
    <x v="0"/>
    <e v="#NAME?"/>
    <m/>
    <m/>
    <m/>
    <m/>
    <n v="2"/>
    <m/>
  </r>
  <r>
    <s v="CE69750"/>
    <s v="Lina Vanessa Rincón Prada"/>
    <x v="5"/>
    <s v="Open Market"/>
    <s v="Choucair"/>
    <x v="0"/>
    <s v="SDATOOL-36048 $ Repositorio flujos ventas digitales flujos - Plan Ascenso Open Market"/>
    <n v="1"/>
    <s v="QA"/>
    <s v="Otras Tec."/>
    <m/>
    <e v="#NAME?"/>
    <x v="0"/>
    <e v="#NAME?"/>
    <m/>
    <m/>
    <m/>
    <m/>
    <n v="2"/>
    <m/>
  </r>
  <r>
    <s v="T001323"/>
    <s v="Martin Bournonville"/>
    <x v="5"/>
    <s v="Open Market"/>
    <s v="Globant"/>
    <x v="0"/>
    <s v="SDATOOL-36048 $ Repositorio flujos ventas digitales flujos - Plan Ascenso Open Market"/>
    <n v="1"/>
    <s v="Desarrollador"/>
    <s v="Cells"/>
    <m/>
    <e v="#NAME?"/>
    <x v="0"/>
    <e v="#NAME?"/>
    <m/>
    <m/>
    <m/>
    <m/>
    <n v="2"/>
    <m/>
  </r>
  <r>
    <s v="CE55865"/>
    <s v="Santiago Pulido Calderon"/>
    <x v="5"/>
    <s v="Open Market"/>
    <s v="GGI / CMC"/>
    <x v="0"/>
    <s v="SDATOOL-36048 $ Repositorio flujos ventas digitales flujos - Plan Ascenso Open Market"/>
    <n v="1"/>
    <s v="Desarrollador"/>
    <s v="Mainframe"/>
    <m/>
    <e v="#NAME?"/>
    <x v="0"/>
    <e v="#NAME?"/>
    <m/>
    <m/>
    <m/>
    <m/>
    <n v="2"/>
    <m/>
  </r>
  <r>
    <s v="C805937"/>
    <s v="SERGIO IVAN SANCHEZ PLAZAS"/>
    <x v="5"/>
    <s v="Open Market"/>
    <s v="BBVA"/>
    <x v="0"/>
    <s v="SDATOOL-36048 $ Repositorio flujos ventas digitales flujos - Plan Ascenso Open Market"/>
    <n v="1"/>
    <s v="Desarrollador"/>
    <s v="Cells"/>
    <m/>
    <e v="#NAME?"/>
    <x v="0"/>
    <e v="#NAME?"/>
    <m/>
    <m/>
    <m/>
    <m/>
    <n v="2"/>
    <m/>
  </r>
  <r>
    <m/>
    <s v="Desarrollador Front 1"/>
    <x v="5"/>
    <s v="Open Market"/>
    <s v="Indra"/>
    <x v="0"/>
    <s v="SDATOOL-36048 $ Repositorio flujos ventas digitales flujos - Plan Ascenso Open Market"/>
    <n v="1"/>
    <s v="Desarrollador"/>
    <s v="Cells"/>
    <m/>
    <e v="#NAME?"/>
    <x v="0"/>
    <e v="#NAME?"/>
    <m/>
    <m/>
    <m/>
    <m/>
    <n v="2"/>
    <m/>
  </r>
  <r>
    <m/>
    <s v="Desarrollador Front 2"/>
    <x v="5"/>
    <s v="Open Market"/>
    <s v="Accenture"/>
    <x v="0"/>
    <s v="SDATOOL-36048 $ Repositorio flujos ventas digitales flujos - Plan Ascenso Open Market"/>
    <n v="1"/>
    <s v="Desarrollador"/>
    <s v="Cells"/>
    <m/>
    <e v="#NAME?"/>
    <x v="0"/>
    <e v="#NAME?"/>
    <m/>
    <m/>
    <m/>
    <m/>
    <n v="2"/>
    <m/>
  </r>
  <r>
    <m/>
    <s v="Desarrollador APX 1"/>
    <x v="5"/>
    <s v="Open Market"/>
    <s v="Indra"/>
    <x v="0"/>
    <s v="SDATOOL-36048 $ Repositorio flujos ventas digitales flujos - Plan Ascenso Open Market"/>
    <n v="1"/>
    <s v="Desarrollador"/>
    <s v="APX"/>
    <m/>
    <e v="#NAME?"/>
    <x v="0"/>
    <e v="#NAME?"/>
    <m/>
    <m/>
    <m/>
    <m/>
    <n v="2"/>
    <m/>
  </r>
  <r>
    <m/>
    <s v="Desarrollador APX 2"/>
    <x v="5"/>
    <s v="Open Market"/>
    <s v="Accenture"/>
    <x v="0"/>
    <s v="SDATOOL-36048 $ Repositorio flujos ventas digitales flujos - Plan Ascenso Open Market"/>
    <n v="1"/>
    <s v="Desarrollador"/>
    <s v="APX"/>
    <m/>
    <e v="#NAME?"/>
    <x v="0"/>
    <e v="#NAME?"/>
    <m/>
    <m/>
    <m/>
    <m/>
    <n v="2"/>
    <m/>
  </r>
  <r>
    <m/>
    <s v="Tester 1"/>
    <x v="5"/>
    <s v="Open Market"/>
    <s v="Choucair"/>
    <x v="0"/>
    <s v="SDATOOL-36048 $ Repositorio flujos ventas digitales flujos - Plan Ascenso Open Market"/>
    <n v="1"/>
    <s v="QA"/>
    <s v="Otras Tec."/>
    <m/>
    <e v="#NAME?"/>
    <x v="0"/>
    <e v="#NAME?"/>
    <m/>
    <m/>
    <m/>
    <m/>
    <n v="2"/>
    <m/>
  </r>
  <r>
    <m/>
    <s v="Tester 2"/>
    <x v="5"/>
    <s v="Open Market"/>
    <s v="Choucair"/>
    <x v="0"/>
    <s v="SDATOOL-36048 $ Repositorio flujos ventas digitales flujos - Plan Ascenso Open Market"/>
    <n v="1"/>
    <s v="QA"/>
    <s v="Otras Tec."/>
    <m/>
    <e v="#NAME?"/>
    <x v="0"/>
    <e v="#NAME?"/>
    <m/>
    <m/>
    <m/>
    <m/>
    <n v="2"/>
    <m/>
  </r>
  <r>
    <s v="CE67859"/>
    <s v="Andres Felipe Quintero Salazar"/>
    <x v="5"/>
    <s v="Open Market"/>
    <s v="Accenture"/>
    <x v="0"/>
    <s v="SDATOOL-37055 $ Cash in- PSE - Plan Ascenso Privado"/>
    <n v="0.5"/>
    <s v="Desarrollador"/>
    <s v="ASO"/>
    <m/>
    <e v="#NAME?"/>
    <x v="0"/>
    <e v="#NAME?"/>
    <m/>
    <m/>
    <m/>
    <m/>
    <n v="2"/>
    <m/>
  </r>
  <r>
    <s v="CE51863"/>
    <s v="EDNA ROCIO MONCADA"/>
    <x v="5"/>
    <s v="Open Market"/>
    <s v="KRYPTO"/>
    <x v="0"/>
    <s v="SDATOOL-37055 $ Cash in- PSE - Plan Ascenso Privado"/>
    <n v="0.02"/>
    <s v="QA"/>
    <s v="Otras Tec."/>
    <m/>
    <e v="#NAME?"/>
    <x v="0"/>
    <e v="#NAME?"/>
    <m/>
    <m/>
    <m/>
    <m/>
    <n v="2"/>
    <m/>
  </r>
  <r>
    <s v="T004295"/>
    <s v="Hayler Jair Caicedo"/>
    <x v="5"/>
    <s v="Open Market"/>
    <s v="Accenture"/>
    <x v="0"/>
    <s v="SDATOOL-37055 $ Cash in- PSE - Plan Ascenso Privado"/>
    <n v="1"/>
    <s v="Desarrollador"/>
    <s v="Cells"/>
    <m/>
    <e v="#NAME?"/>
    <x v="0"/>
    <e v="#NAME?"/>
    <m/>
    <m/>
    <m/>
    <m/>
    <n v="2"/>
    <m/>
  </r>
  <r>
    <s v="C811281"/>
    <s v="JUAN PABLO VELEZ"/>
    <x v="5"/>
    <s v="Open Market"/>
    <s v="BBVA"/>
    <x v="0"/>
    <s v="SDATOOL-37055 $ Cash in- PSE - Plan Ascenso Privado"/>
    <n v="1"/>
    <s v="Desarrollador"/>
    <s v="Cells"/>
    <m/>
    <e v="#NAME?"/>
    <x v="0"/>
    <e v="#NAME?"/>
    <m/>
    <m/>
    <m/>
    <m/>
    <n v="2"/>
    <m/>
  </r>
  <r>
    <s v="T007579"/>
    <s v="Nubia Sanchez"/>
    <x v="5"/>
    <s v="Open Market"/>
    <s v="Neoris"/>
    <x v="0"/>
    <s v="SDATOOL-37055 $ Cash in- PSE - Plan Ascenso Privado"/>
    <n v="1"/>
    <s v="Desarrollador"/>
    <s v="Mainframe"/>
    <m/>
    <e v="#NAME?"/>
    <x v="0"/>
    <e v="#NAME?"/>
    <m/>
    <m/>
    <m/>
    <m/>
    <n v="2"/>
    <m/>
  </r>
  <r>
    <s v="O002593"/>
    <s v="TATIANA CAROLINA AVELLANEDA"/>
    <x v="5"/>
    <s v="Open Market"/>
    <s v="BBVA"/>
    <x v="0"/>
    <s v="SDATOOL-37055 $ Cash in- PSE - Plan Ascenso Privado"/>
    <n v="0.2"/>
    <s v="Tech Manager/Líder"/>
    <s v="Otras Tec."/>
    <m/>
    <e v="#NAME?"/>
    <x v="0"/>
    <e v="#NAME?"/>
    <m/>
    <m/>
    <m/>
    <m/>
    <n v="2"/>
    <m/>
  </r>
  <r>
    <s v="O002593"/>
    <s v="TATIANA CAROLINA AVELLANEDA"/>
    <x v="5"/>
    <s v="Open Market"/>
    <s v="BBVA"/>
    <x v="0"/>
    <s v="SDATOOL-37055 $ Cash in- PSE - Plan Ascenso Privado"/>
    <n v="0.2"/>
    <s v="Tech Manager/Líder"/>
    <s v="Otras Tec."/>
    <m/>
    <e v="#NAME?"/>
    <x v="0"/>
    <e v="#NAME?"/>
    <m/>
    <m/>
    <m/>
    <m/>
    <n v="2"/>
    <m/>
  </r>
  <r>
    <m/>
    <s v="Desarrollador ASO"/>
    <x v="5"/>
    <s v="Open Market"/>
    <s v="Neoris"/>
    <x v="0"/>
    <s v="SDATOOL-37055 $ Cash in- PSE - Plan Ascenso Privado"/>
    <n v="1"/>
    <s v="Desarrollador"/>
    <s v="ASO"/>
    <m/>
    <e v="#NAME?"/>
    <x v="0"/>
    <e v="#NAME?"/>
    <m/>
    <m/>
    <m/>
    <m/>
    <n v="2"/>
    <m/>
  </r>
  <r>
    <m/>
    <s v="Desarrollador HOST"/>
    <x v="5"/>
    <s v="Open Market"/>
    <s v="Accenture"/>
    <x v="0"/>
    <s v="SDATOOL-37055 $ Cash in- PSE - Plan Ascenso Privado"/>
    <n v="1"/>
    <s v="Desarrollador"/>
    <s v="Mainframe"/>
    <m/>
    <e v="#NAME?"/>
    <x v="0"/>
    <e v="#NAME?"/>
    <m/>
    <m/>
    <m/>
    <m/>
    <n v="2"/>
    <m/>
  </r>
  <r>
    <m/>
    <s v="Desarrollador Front"/>
    <x v="5"/>
    <s v="Open Market"/>
    <s v="Accenture"/>
    <x v="0"/>
    <s v="SDATOOL-37055 $ Cash in- PSE - Plan Ascenso Privado"/>
    <n v="1"/>
    <s v="Desarrollador"/>
    <s v="Cells"/>
    <m/>
    <e v="#NAME?"/>
    <x v="0"/>
    <e v="#NAME?"/>
    <m/>
    <m/>
    <m/>
    <m/>
    <n v="2"/>
    <m/>
  </r>
  <r>
    <s v="CE51863"/>
    <s v="EDNA ROCIO MONCADA"/>
    <x v="5"/>
    <s v="Open Market"/>
    <s v="KRYPTO"/>
    <x v="0"/>
    <s v="SDATOOL-39197 $ Tealeaf SaaS"/>
    <n v="0.02"/>
    <s v="QA"/>
    <s v="Otras Tec."/>
    <m/>
    <e v="#NAME?"/>
    <x v="0"/>
    <e v="#NAME?"/>
    <m/>
    <m/>
    <m/>
    <m/>
    <n v="2"/>
    <m/>
  </r>
  <r>
    <s v="O004043"/>
    <s v="Diego Alejandro Galeano garzon"/>
    <x v="5"/>
    <s v="Open Market"/>
    <s v="BBVA"/>
    <x v="0"/>
    <s v="SDATOOL-39197 $ Tealeaf SaaS"/>
    <n v="0.5"/>
    <s v="Desarrollador"/>
    <s v="Cells"/>
    <m/>
    <e v="#NAME?"/>
    <x v="0"/>
    <e v="#NAME?"/>
    <m/>
    <m/>
    <m/>
    <m/>
    <n v="2"/>
    <m/>
  </r>
  <r>
    <s v="CE70114"/>
    <s v="Luz Carola Giraldo García"/>
    <x v="5"/>
    <s v="Open Market"/>
    <s v="GGI / CMC"/>
    <x v="0"/>
    <s v="SDATOOL-39197 $ Tealeaf SaaS"/>
    <n v="1"/>
    <s v="QA"/>
    <s v="Otras Tec."/>
    <m/>
    <e v="#NAME?"/>
    <x v="0"/>
    <e v="#NAME?"/>
    <m/>
    <m/>
    <m/>
    <m/>
    <n v="2"/>
    <m/>
  </r>
  <r>
    <s v="O002593"/>
    <s v="TATIANA CAROLINA AVELLANEDA"/>
    <x v="5"/>
    <s v="Open Market"/>
    <s v="BBVA"/>
    <x v="0"/>
    <s v="SDATOOL-39197 $ Tealeaf SaaS"/>
    <n v="0.2"/>
    <s v="Tech Manager/Líder"/>
    <s v="Otras Tec."/>
    <m/>
    <e v="#NAME?"/>
    <x v="0"/>
    <e v="#NAME?"/>
    <m/>
    <m/>
    <m/>
    <m/>
    <n v="2"/>
    <m/>
  </r>
  <r>
    <s v="T000410"/>
    <s v="Andrés Alejandro Fajardo Torres"/>
    <x v="5"/>
    <s v="Open Market"/>
    <s v="Globant"/>
    <x v="0"/>
    <s v="SDATOOL-36548 $ Optimización consumo web - Plan ascenso Open Market"/>
    <n v="1"/>
    <s v="Desarrollador"/>
    <s v="Cells"/>
    <m/>
    <e v="#NAME?"/>
    <x v="0"/>
    <e v="#NAME?"/>
    <m/>
    <m/>
    <m/>
    <m/>
    <m/>
    <m/>
  </r>
  <r>
    <s v="CE51863"/>
    <s v="EDNA ROCIO MONCADA"/>
    <x v="5"/>
    <s v="Open Market"/>
    <s v="KRYPTO"/>
    <x v="0"/>
    <s v="SDATOOL-36548 $ Optimización consumo web - Plan ascenso Open Market"/>
    <n v="0.02"/>
    <s v="QA"/>
    <s v="Otras Tec."/>
    <m/>
    <e v="#NAME?"/>
    <x v="0"/>
    <e v="#NAME?"/>
    <m/>
    <m/>
    <m/>
    <m/>
    <m/>
    <m/>
  </r>
  <r>
    <s v="C810668"/>
    <s v="YEISSON FABIAN GUALDRON VIVAS"/>
    <x v="5"/>
    <s v="Open Market"/>
    <s v="BBVA"/>
    <x v="0"/>
    <s v="SDATOOL-36548 $ Optimización consumo web - Plan ascenso Open Market"/>
    <n v="1"/>
    <s v="Desarrollador"/>
    <s v="Cells"/>
    <m/>
    <e v="#NAME?"/>
    <x v="0"/>
    <e v="#NAME?"/>
    <m/>
    <m/>
    <m/>
    <m/>
    <m/>
    <m/>
  </r>
  <r>
    <s v="C342589"/>
    <s v="CAMILO ANDRES AGUIRRE"/>
    <x v="5"/>
    <s v="Open Market"/>
    <s v="BBVA"/>
    <x v="0"/>
    <s v="SDATOOL-36548 $ Optimización consumo web - Plan ascenso Open Market"/>
    <n v="0.3"/>
    <s v="Tech Manager/Líder"/>
    <s v="Otras Tec."/>
    <m/>
    <e v="#NAME?"/>
    <x v="0"/>
    <e v="#NAME?"/>
    <m/>
    <m/>
    <m/>
    <m/>
    <m/>
    <m/>
  </r>
  <r>
    <s v="CE51863"/>
    <s v="EDNA ROCIO MONCADA"/>
    <x v="5"/>
    <s v="Open Market"/>
    <s v="KRYPTO"/>
    <x v="0"/>
    <s v="NOSDA $ BAU (Mantenimiento y peq. evolutivos)"/>
    <n v="0.02"/>
    <s v="QA"/>
    <s v="Otras Tec."/>
    <m/>
    <e v="#NAME?"/>
    <x v="0"/>
    <e v="#NAME?"/>
    <m/>
    <m/>
    <m/>
    <m/>
    <m/>
    <m/>
  </r>
  <r>
    <s v="C342589"/>
    <s v="CAMILO ANDRES AGUIRRE"/>
    <x v="5"/>
    <s v="Open Market"/>
    <s v="BBVA"/>
    <x v="0"/>
    <s v="NOSDA $ BAU (Mantenimiento y peq. evolutivos)"/>
    <n v="0.7"/>
    <s v="Tech Manager/Líder"/>
    <s v="Otras Tec."/>
    <m/>
    <e v="#NAME?"/>
    <x v="0"/>
    <e v="#NAME?"/>
    <m/>
    <m/>
    <m/>
    <m/>
    <m/>
    <m/>
  </r>
  <r>
    <s v="C809750"/>
    <s v="JEFFERSON JOSE ESQUEA SANCHEZ"/>
    <x v="5"/>
    <s v="Open Market"/>
    <s v="BBVA"/>
    <x v="0"/>
    <s v="NOSDA $ BAU (Mantenimiento y peq. evolutivos)"/>
    <n v="1"/>
    <s v="Desarrollador"/>
    <s v="Cells"/>
    <m/>
    <e v="#NAME?"/>
    <x v="0"/>
    <e v="#NAME?"/>
    <m/>
    <m/>
    <m/>
    <m/>
    <m/>
    <m/>
  </r>
  <r>
    <s v="CE67868"/>
    <s v="Jhon Alexander Santana"/>
    <x v="5"/>
    <s v="Open Market"/>
    <s v="Accenture"/>
    <x v="0"/>
    <s v="NOSDA $ BAU (Mantenimiento y peq. evolutivos)"/>
    <n v="1"/>
    <s v="Desarrollador"/>
    <s v="Cells"/>
    <m/>
    <e v="#NAME?"/>
    <x v="0"/>
    <e v="#NAME?"/>
    <m/>
    <m/>
    <m/>
    <m/>
    <m/>
    <m/>
  </r>
  <r>
    <s v="CE67314"/>
    <s v="Juliana Corredor"/>
    <x v="5"/>
    <s v="Open Market"/>
    <s v="Accenture"/>
    <x v="0"/>
    <s v="NOSDA $ BAU (Mantenimiento y peq. evolutivos)"/>
    <n v="1"/>
    <s v="Desarrollador"/>
    <s v="APX"/>
    <m/>
    <e v="#NAME?"/>
    <x v="0"/>
    <e v="#NAME?"/>
    <m/>
    <m/>
    <m/>
    <m/>
    <m/>
    <m/>
  </r>
  <r>
    <s v="CE51863"/>
    <s v="EDNA ROCIO MONCADA"/>
    <x v="5"/>
    <s v="Open Market"/>
    <s v="KRYPTO"/>
    <x v="0"/>
    <s v="SDATOOL-36048 $ Repositorio flujos ventas digitales flujos - Plan Ascenso Open Market"/>
    <n v="0.02"/>
    <s v="QA"/>
    <s v="Otras Tec."/>
    <m/>
    <e v="#NAME?"/>
    <x v="0"/>
    <e v="#NAME?"/>
    <m/>
    <m/>
    <m/>
    <m/>
    <m/>
    <m/>
  </r>
  <r>
    <s v="CE66714"/>
    <s v="Cristian Steven Abril"/>
    <x v="5"/>
    <s v="Open Market"/>
    <s v="Novatec"/>
    <x v="0"/>
    <s v="SDATOOL-39836 $ Vivienda digital fase III"/>
    <n v="1"/>
    <s v="Desarrollador"/>
    <s v="Cells"/>
    <m/>
    <e v="#NAME?"/>
    <x v="0"/>
    <e v="#NAME?"/>
    <m/>
    <m/>
    <m/>
    <m/>
    <m/>
    <m/>
  </r>
  <r>
    <s v="O002593"/>
    <s v="TATIANA CAROLINA AVELLANEDA"/>
    <x v="5"/>
    <s v="Open Market"/>
    <s v="BBVA"/>
    <x v="0"/>
    <s v="SDATOOL-39836 $ Vivienda digital fase III"/>
    <n v="0.2"/>
    <s v="Tech Manager/Líder"/>
    <s v="Otras Tec."/>
    <m/>
    <e v="#NAME?"/>
    <x v="0"/>
    <e v="#NAME?"/>
    <m/>
    <m/>
    <m/>
    <m/>
    <m/>
    <m/>
  </r>
  <r>
    <s v="O005003 "/>
    <s v="Ginna García Lara"/>
    <x v="5"/>
    <s v="Open Market"/>
    <s v="BBVA"/>
    <x v="0"/>
    <s v="SDATOOL-34910 $ Libranza Digital"/>
    <n v="0.2"/>
    <s v="Tech Manager/Líder"/>
    <s v="Otras Tec."/>
    <m/>
    <e v="#NAME?"/>
    <x v="0"/>
    <e v="#NAME?"/>
    <m/>
    <m/>
    <m/>
    <m/>
    <n v="2"/>
    <m/>
  </r>
  <r>
    <m/>
    <s v="Tester 1"/>
    <x v="5"/>
    <s v="Open Market"/>
    <s v="Choucair"/>
    <x v="0"/>
    <s v="SDATOOL-34910 $ Libranza Digital"/>
    <n v="1"/>
    <s v="QA"/>
    <s v="Otras Tec."/>
    <m/>
    <e v="#NAME?"/>
    <x v="0"/>
    <e v="#NAME?"/>
    <m/>
    <m/>
    <m/>
    <m/>
    <m/>
    <m/>
  </r>
  <r>
    <m/>
    <s v="Desarrollador Front 1"/>
    <x v="5"/>
    <s v="Open Market"/>
    <s v="Accenture"/>
    <x v="0"/>
    <s v="SDATOOL-34910 $ Libranza Digital"/>
    <n v="1"/>
    <s v="Desarrollador"/>
    <s v="Cells"/>
    <m/>
    <e v="#NAME?"/>
    <x v="0"/>
    <e v="#NAME?"/>
    <m/>
    <m/>
    <m/>
    <m/>
    <m/>
    <m/>
  </r>
  <r>
    <m/>
    <s v="Desarrollador Front 2"/>
    <x v="5"/>
    <s v="Open Market"/>
    <s v="Accenture"/>
    <x v="0"/>
    <s v="SDATOOL-34910 $ Libranza Digital"/>
    <n v="1"/>
    <s v="Desarrollador"/>
    <s v="Cells"/>
    <m/>
    <e v="#NAME?"/>
    <x v="0"/>
    <e v="#NAME?"/>
    <m/>
    <m/>
    <m/>
    <m/>
    <m/>
    <m/>
  </r>
  <r>
    <s v="O005003 "/>
    <s v="Ginna García Lara"/>
    <x v="5"/>
    <s v="Open Market"/>
    <s v="BBVA"/>
    <x v="0"/>
    <s v="SDATOOL-40536 $ Google analitycs 4"/>
    <n v="0.2"/>
    <s v="Tech Manager/Líder"/>
    <s v="Otras Tec."/>
    <m/>
    <e v="#NAME?"/>
    <x v="0"/>
    <e v="#NAME?"/>
    <m/>
    <m/>
    <m/>
    <m/>
    <n v="2"/>
    <m/>
  </r>
  <r>
    <s v="O004043"/>
    <s v="Diego Alejandro Galeano garzon"/>
    <x v="5"/>
    <s v="Open Market"/>
    <s v="BBVA"/>
    <x v="0"/>
    <s v="SDATOOL-40536 $ Google analitycs 4"/>
    <n v="0.5"/>
    <s v="Desarrollador"/>
    <s v="Cells"/>
    <m/>
    <e v="#NAME?"/>
    <x v="0"/>
    <e v="#NAME?"/>
    <m/>
    <m/>
    <m/>
    <m/>
    <n v="2"/>
    <m/>
  </r>
  <r>
    <s v="C797767"/>
    <s v="ANGELA RIVERA"/>
    <x v="3"/>
    <s v="Loans"/>
    <s v="BBVA"/>
    <x v="0"/>
    <s v="SDATOOL-39384 $ Abonos a préstamos por canales"/>
    <n v="0.5"/>
    <s v="Desarrollador"/>
    <s v="Mainframe"/>
    <m/>
    <e v="#NAME?"/>
    <x v="0"/>
    <e v="#NAME?"/>
    <m/>
    <m/>
    <m/>
    <m/>
    <m/>
    <n v="1"/>
  </r>
  <r>
    <s v="C797767"/>
    <s v="ANGELA RIVERA"/>
    <x v="3"/>
    <s v="Loans"/>
    <s v="BBVA"/>
    <x v="0"/>
    <s v="SDATOOL-28278 $ GRM Col - TMP Cobranzas - Pago en Canales Alternativos"/>
    <n v="0.5"/>
    <s v="Desarrollador"/>
    <s v="Mainframe"/>
    <m/>
    <e v="#NAME?"/>
    <x v="0"/>
    <e v="#NAME?"/>
    <m/>
    <m/>
    <m/>
    <m/>
    <m/>
    <n v="0"/>
  </r>
  <r>
    <s v="O001978"/>
    <s v="DANIEL ALIRIO ROA ARIZMENDI"/>
    <x v="3"/>
    <s v="Loans"/>
    <s v="BBVA"/>
    <x v="0"/>
    <s v="SDATOOL-40670 $ Plan CRM: Mejoras DWP Jurídicos (Pymes, Empresas,Gobiernos)"/>
    <n v="0.3"/>
    <s v="Desarrollador"/>
    <s v="ASO"/>
    <m/>
    <e v="#NAME?"/>
    <x v="0"/>
    <e v="#NAME?"/>
    <m/>
    <m/>
    <m/>
    <m/>
    <m/>
    <n v="1"/>
  </r>
  <r>
    <s v="O001978"/>
    <s v="DANIEL ALIRIO ROA ARIZMENDI"/>
    <x v="3"/>
    <s v="Loans"/>
    <s v="BBVA"/>
    <x v="0"/>
    <s v="SDATOOL-40435 $ Cuota Segura créditos de libranza"/>
    <n v="0.7"/>
    <s v="Desarrollador"/>
    <s v="ASO"/>
    <m/>
    <e v="#NAME?"/>
    <x v="0"/>
    <e v="#NAME?"/>
    <m/>
    <m/>
    <m/>
    <m/>
    <m/>
    <n v="0"/>
  </r>
  <r>
    <s v="O001977"/>
    <s v="EDDY MAURICIO SUAREZ MOLINA"/>
    <x v="3"/>
    <s v="Loans"/>
    <s v="BBVA"/>
    <x v="0"/>
    <s v="SDATOOL-39384 $ Abonos a préstamos por canales"/>
    <n v="0.5"/>
    <s v="Desarrollador"/>
    <s v="Mainframe"/>
    <m/>
    <e v="#NAME?"/>
    <x v="0"/>
    <e v="#NAME?"/>
    <m/>
    <m/>
    <m/>
    <m/>
    <m/>
    <n v="1"/>
  </r>
  <r>
    <s v="O001977"/>
    <s v="EDDY MAURICIO SUAREZ MOLINA"/>
    <x v="3"/>
    <s v="Loans"/>
    <s v="BBVA"/>
    <x v="0"/>
    <s v="SDATOOL-28278 $ GRM Col - TMP Cobranzas - Pago en Canales Alternativos"/>
    <n v="0.5"/>
    <s v="Desarrollador"/>
    <s v="Mainframe"/>
    <m/>
    <e v="#NAME?"/>
    <x v="0"/>
    <e v="#NAME?"/>
    <m/>
    <m/>
    <m/>
    <m/>
    <m/>
    <n v="0"/>
  </r>
  <r>
    <s v="O000451"/>
    <s v="MAURICIO CORDOBA"/>
    <x v="3"/>
    <s v="Loans"/>
    <s v="BBVA"/>
    <x v="0"/>
    <s v="SDATOOL-39384 $ Abonos a préstamos por canales"/>
    <n v="1"/>
    <s v="Desarrollador"/>
    <s v="Mainframe"/>
    <m/>
    <e v="#NAME?"/>
    <x v="0"/>
    <e v="#NAME?"/>
    <m/>
    <m/>
    <m/>
    <m/>
    <m/>
    <n v="1"/>
  </r>
  <r>
    <s v="O001827"/>
    <s v="LEONOR AZUCENA GOMEZ RINCON"/>
    <x v="3"/>
    <s v="Loans"/>
    <s v="BBVA"/>
    <x v="0"/>
    <s v="SDATOOL-39384 $ Abonos a préstamos por canales"/>
    <n v="0.5"/>
    <s v="Tech Manager/Líder"/>
    <s v="Mainframe"/>
    <m/>
    <e v="#NAME?"/>
    <x v="0"/>
    <e v="#NAME?"/>
    <m/>
    <m/>
    <m/>
    <m/>
    <m/>
    <n v="1"/>
  </r>
  <r>
    <s v="O001827"/>
    <s v="LEONOR AZUCENA GOMEZ RINCON"/>
    <x v="3"/>
    <s v="Loans"/>
    <s v="BBVA"/>
    <x v="0"/>
    <s v="SDATOOL-28278 $ GRM Col - TMP Cobranzas - Pago en Canales Alternativos"/>
    <n v="0.5"/>
    <s v="Tech Manager/Líder"/>
    <s v="ASO"/>
    <m/>
    <e v="#NAME?"/>
    <x v="0"/>
    <e v="#NAME?"/>
    <m/>
    <m/>
    <m/>
    <m/>
    <m/>
    <n v="0"/>
  </r>
  <r>
    <s v="C805385"/>
    <s v="TATIANA SANCHEZ MONROY"/>
    <x v="3"/>
    <s v="Loans"/>
    <s v="BBVA"/>
    <x v="0"/>
    <s v="SDATOOL-34910 $ Libranza Digital"/>
    <n v="1"/>
    <s v="Desarrollador"/>
    <s v="Mainframe"/>
    <m/>
    <e v="#NAME?"/>
    <x v="0"/>
    <e v="#NAME?"/>
    <m/>
    <m/>
    <m/>
    <m/>
    <m/>
    <n v="1"/>
  </r>
  <r>
    <s v="C810943"/>
    <s v="OSCAR DANIEL OÑATE CASTILLA"/>
    <x v="3"/>
    <s v="Loans"/>
    <s v="BBVA"/>
    <x v="0"/>
    <s v="SDATOOL-36522 $ Libranza E2E digital Fase III - Plan Ascenso Privado"/>
    <n v="1"/>
    <s v="Desarrollador"/>
    <s v="Mainframe"/>
    <m/>
    <e v="#NAME?"/>
    <x v="0"/>
    <e v="#NAME?"/>
    <m/>
    <m/>
    <m/>
    <m/>
    <m/>
    <n v="1"/>
  </r>
  <r>
    <s v="C810846"/>
    <s v="ERIKA ZULEIMA MARTINEZ RODRIGUEZ"/>
    <x v="3"/>
    <s v="Loans"/>
    <s v="BBVA"/>
    <x v="0"/>
    <s v="SDATOOL-36560 $ Pricing de libranza - Plan Ascenso Open Market"/>
    <n v="1"/>
    <s v="Desarrollador"/>
    <s v="Mainframe"/>
    <m/>
    <e v="#NAME?"/>
    <x v="0"/>
    <e v="#NAME?"/>
    <m/>
    <m/>
    <m/>
    <m/>
    <m/>
    <n v="1"/>
  </r>
  <r>
    <s v="C805379"/>
    <s v="MARTIN ROMERO ORTIZ"/>
    <x v="3"/>
    <s v="Loans"/>
    <s v="BBVA"/>
    <x v="0"/>
    <s v="SDATOOL-34910 $ Libranza Digital"/>
    <n v="0.25"/>
    <s v="Desarrollador"/>
    <s v="ASO"/>
    <m/>
    <e v="#NAME?"/>
    <x v="0"/>
    <e v="#NAME?"/>
    <m/>
    <m/>
    <m/>
    <m/>
    <m/>
    <n v="1"/>
  </r>
  <r>
    <s v="C805379"/>
    <s v="MARTIN ROMERO ORTIZ"/>
    <x v="3"/>
    <s v="Loans"/>
    <s v="BBVA"/>
    <x v="0"/>
    <s v="SDATOOL-39272 $ GRM-Col-Cambio servicio APL (Aportes en línea)"/>
    <n v="0.75"/>
    <s v="Desarrollador"/>
    <s v="ASO"/>
    <m/>
    <e v="#NAME?"/>
    <x v="0"/>
    <e v="#NAME?"/>
    <m/>
    <m/>
    <m/>
    <m/>
    <m/>
    <n v="0"/>
  </r>
  <r>
    <s v="C805988"/>
    <s v="NICOLAS MUÑOZ"/>
    <x v="3"/>
    <s v="Loans"/>
    <s v="BBVA"/>
    <x v="0"/>
    <s v="SDATOOL-39272 $ GRM-Col-Cambio servicio APL (Aportes en línea)"/>
    <n v="1"/>
    <s v="Desarrollador"/>
    <s v="APX"/>
    <m/>
    <e v="#NAME?"/>
    <x v="0"/>
    <e v="#NAME?"/>
    <m/>
    <m/>
    <m/>
    <m/>
    <m/>
    <n v="1"/>
  </r>
  <r>
    <s v="C342057"/>
    <s v="CARLOS FABIAN GONZALEZ CORTES"/>
    <x v="3"/>
    <s v="Loans"/>
    <s v="BBVA"/>
    <x v="0"/>
    <s v="SDATOOL-36522 $ Libranza E2E digital Fase III - Plan Ascenso Privado"/>
    <n v="0.5"/>
    <s v="Desarrollador"/>
    <s v="Mainframe"/>
    <m/>
    <e v="#NAME?"/>
    <x v="0"/>
    <e v="#NAME?"/>
    <m/>
    <m/>
    <m/>
    <m/>
    <m/>
    <n v="1"/>
  </r>
  <r>
    <s v="C342057"/>
    <s v="CARLOS FABIAN GONZALEZ CORTES"/>
    <x v="3"/>
    <s v="Loans"/>
    <s v="BBVA"/>
    <x v="0"/>
    <s v="SDATOOL-34910 $ Libranza Digital"/>
    <n v="0.2"/>
    <s v="Desarrollador"/>
    <s v="Mainframe"/>
    <m/>
    <e v="#NAME?"/>
    <x v="0"/>
    <e v="#NAME?"/>
    <m/>
    <m/>
    <m/>
    <m/>
    <m/>
    <n v="0"/>
  </r>
  <r>
    <s v="C342057"/>
    <s v="CARLOS FABIAN GONZALEZ CORTES"/>
    <x v="3"/>
    <s v="Loans"/>
    <s v="BBVA"/>
    <x v="0"/>
    <s v="SDATOOL-36560 $ Pricing de libranza - Plan Ascenso Open Market"/>
    <n v="0.1"/>
    <s v="Desarrollador"/>
    <s v="Mainframe"/>
    <m/>
    <e v="#NAME?"/>
    <x v="0"/>
    <e v="#NAME?"/>
    <m/>
    <m/>
    <m/>
    <m/>
    <m/>
    <n v="0"/>
  </r>
  <r>
    <s v="C342057"/>
    <s v="CARLOS FABIAN GONZALEZ CORTES"/>
    <x v="3"/>
    <s v="Loans"/>
    <s v="BBVA"/>
    <x v="0"/>
    <s v="SDATOOL-40670 $ Plan CRM: Mejoras DWP Jurídicos (Pymes, Empresas,Gobiernos)"/>
    <n v="0.2"/>
    <s v="Desarrollador"/>
    <s v="Mainframe"/>
    <m/>
    <e v="#NAME?"/>
    <x v="0"/>
    <e v="#NAME?"/>
    <m/>
    <m/>
    <m/>
    <m/>
    <m/>
    <n v="0"/>
  </r>
  <r>
    <s v="C805964"/>
    <s v="ANDRES RODRIGO COMBARIZA"/>
    <x v="3"/>
    <s v="Loans"/>
    <s v="BBVA"/>
    <x v="0"/>
    <s v="SDATOOL-40670 $ Plan CRM: Mejoras DWP Jurídicos (Pymes, Empresas,Gobiernos)"/>
    <n v="1"/>
    <s v="Desarrollador"/>
    <s v="ASO"/>
    <m/>
    <e v="#NAME?"/>
    <x v="0"/>
    <e v="#NAME?"/>
    <m/>
    <m/>
    <m/>
    <m/>
    <m/>
    <n v="1"/>
  </r>
  <r>
    <s v="O004843"/>
    <s v="WILSON ANDRES FRACON HERMIDA"/>
    <x v="3"/>
    <s v="Loans"/>
    <s v="BBVA"/>
    <x v="0"/>
    <s v="SDATOOL-34910 $ Libranza Digital"/>
    <n v="0.2"/>
    <s v="Tech Manager/Líder"/>
    <s v="ASO"/>
    <m/>
    <e v="#NAME?"/>
    <x v="0"/>
    <e v="#NAME?"/>
    <m/>
    <m/>
    <m/>
    <m/>
    <m/>
    <n v="1"/>
  </r>
  <r>
    <s v="O004843"/>
    <s v="WILSON ANDRES FRACON HERMIDA"/>
    <x v="3"/>
    <s v="Loans"/>
    <s v="BBVA"/>
    <x v="0"/>
    <s v="SDATOOL-39272 $ GRM-Col-Cambio servicio APL (Aportes en línea)"/>
    <n v="0.2"/>
    <s v="Tech Manager/Líder"/>
    <s v="APX"/>
    <m/>
    <e v="#NAME?"/>
    <x v="0"/>
    <e v="#NAME?"/>
    <m/>
    <m/>
    <m/>
    <m/>
    <m/>
    <n v="0"/>
  </r>
  <r>
    <s v="O004843"/>
    <s v="WILSON ANDRES FRACON HERMIDA"/>
    <x v="3"/>
    <s v="Loans"/>
    <s v="BBVA"/>
    <x v="0"/>
    <s v="SDATOOL-40670 $ Plan CRM: Mejoras DWP Jurídicos (Pymes, Empresas,Gobiernos)"/>
    <n v="0.2"/>
    <s v="Tech Manager/Líder"/>
    <s v="APX"/>
    <m/>
    <e v="#NAME?"/>
    <x v="0"/>
    <e v="#NAME?"/>
    <m/>
    <m/>
    <m/>
    <m/>
    <m/>
    <n v="0"/>
  </r>
  <r>
    <s v="O004843"/>
    <s v="WILSON ANDRES FRACON HERMIDA"/>
    <x v="3"/>
    <s v="Loans"/>
    <s v="BBVA"/>
    <x v="0"/>
    <s v="SDATOOL-36560 $ Pricing de libranza - Plan Ascenso Open Market"/>
    <n v="0.2"/>
    <s v="Tech Manager/Líder"/>
    <s v="Mainframe"/>
    <m/>
    <e v="#NAME?"/>
    <x v="0"/>
    <e v="#NAME?"/>
    <m/>
    <m/>
    <m/>
    <m/>
    <m/>
    <n v="0"/>
  </r>
  <r>
    <s v="O004843"/>
    <s v="WILSON ANDRES FRACON HERMIDA"/>
    <x v="3"/>
    <s v="Loans"/>
    <s v="BBVA"/>
    <x v="0"/>
    <s v="SDATOOL-36522 $ Libranza E2E digital Fase III - Plan Ascenso Privado"/>
    <n v="0.2"/>
    <s v="Tech Manager/Líder"/>
    <s v="Mainframe"/>
    <m/>
    <e v="#NAME?"/>
    <x v="0"/>
    <e v="#NAME?"/>
    <m/>
    <m/>
    <m/>
    <m/>
    <m/>
    <n v="0"/>
  </r>
  <r>
    <s v="CE59519"/>
    <s v="JORGE DANILO BUITRAGO HERNANDEZ"/>
    <x v="3"/>
    <s v="Loans"/>
    <s v="Inetum"/>
    <x v="0"/>
    <s v="SDATOOL-36560 $ Pricing de libranza - Plan Ascenso Open Market"/>
    <n v="1"/>
    <s v="Desarrollador"/>
    <s v="Mainframe"/>
    <m/>
    <e v="#NAME?"/>
    <x v="0"/>
    <e v="#NAME?"/>
    <m/>
    <m/>
    <m/>
    <m/>
    <m/>
    <n v="1"/>
  </r>
  <r>
    <s v="CE64394"/>
    <s v="ANDREI NICOLAS CASTRO MUÑOZ"/>
    <x v="3"/>
    <s v="Loans"/>
    <s v="KRYPTO"/>
    <x v="0"/>
    <s v="SDATOOL-36560 $ Pricing de libranza - Plan Ascenso Open Market"/>
    <n v="1"/>
    <s v="QA"/>
    <s v="Mainframe"/>
    <m/>
    <e v="#NAME?"/>
    <x v="0"/>
    <e v="#NAME?"/>
    <m/>
    <m/>
    <m/>
    <m/>
    <m/>
    <n v="1"/>
  </r>
  <r>
    <s v="T007567"/>
    <s v="ERIKA LILIANA ESPINOSA DUQUE"/>
    <x v="3"/>
    <s v="Loans"/>
    <s v="Choucair"/>
    <x v="0"/>
    <s v="SDATOOL-34910 $ Libranza Digital"/>
    <n v="1"/>
    <s v="QA"/>
    <s v="Mainframe"/>
    <m/>
    <e v="#NAME?"/>
    <x v="0"/>
    <e v="#NAME?"/>
    <m/>
    <m/>
    <m/>
    <m/>
    <m/>
    <n v="1"/>
  </r>
  <r>
    <s v="T004584"/>
    <s v="LYDI JOHANA MORENO LOPEZ"/>
    <x v="3"/>
    <s v="Loans"/>
    <s v="Choucair"/>
    <x v="0"/>
    <s v="SDATOOL-34910 $ Libranza Digital"/>
    <n v="1"/>
    <s v="QA"/>
    <s v="Mainframe"/>
    <m/>
    <e v="#NAME?"/>
    <x v="0"/>
    <e v="#NAME?"/>
    <m/>
    <m/>
    <m/>
    <m/>
    <m/>
    <n v="1"/>
  </r>
  <r>
    <s v="T001314"/>
    <s v="JUAN DAVID GARZON"/>
    <x v="3"/>
    <s v="Loans"/>
    <s v="Choucair"/>
    <x v="0"/>
    <s v="SDATOOL-39272 $ GRM-Col-Cambio servicio APL (Aportes en línea)"/>
    <n v="1"/>
    <s v="QA"/>
    <s v="Mainframe"/>
    <m/>
    <e v="#NAME?"/>
    <x v="0"/>
    <e v="#NAME?"/>
    <m/>
    <m/>
    <m/>
    <m/>
    <m/>
    <n v="1"/>
  </r>
  <r>
    <s v="CE69611"/>
    <s v="JESUS ROLDAN LAVERDE"/>
    <x v="3"/>
    <s v="Loans"/>
    <s v="Accenture"/>
    <x v="0"/>
    <s v="SDATOOL-39272 $ GRM-Col-Cambio servicio APL (Aportes en línea)"/>
    <n v="1"/>
    <s v="Desarrollador"/>
    <s v="Mainframe"/>
    <m/>
    <e v="#NAME?"/>
    <x v="0"/>
    <e v="#NAME?"/>
    <m/>
    <m/>
    <m/>
    <m/>
    <m/>
    <n v="1"/>
  </r>
  <r>
    <s v="CE69612"/>
    <s v="DIEGO DIAZ VIVAS"/>
    <x v="3"/>
    <s v="Loans"/>
    <s v="Accenture"/>
    <x v="0"/>
    <s v="SDATOOL-34910 $ Libranza Digital"/>
    <n v="1"/>
    <s v="Desarrollador"/>
    <s v="Cells"/>
    <m/>
    <e v="#NAME?"/>
    <x v="0"/>
    <e v="#NAME?"/>
    <m/>
    <m/>
    <m/>
    <m/>
    <m/>
    <n v="1"/>
  </r>
  <r>
    <s v="C342048"/>
    <s v="LUIS JAVIER RIVERA MORENO"/>
    <x v="3"/>
    <s v="Loans"/>
    <s v="BBVA"/>
    <x v="0"/>
    <s v="SDATOOL-40435 $ Cuota Segura créditos de libranza"/>
    <n v="0.5"/>
    <s v="Desarrollador"/>
    <s v="Mainframe"/>
    <m/>
    <e v="#NAME?"/>
    <x v="0"/>
    <e v="#NAME?"/>
    <m/>
    <m/>
    <m/>
    <m/>
    <m/>
    <n v="1"/>
  </r>
  <r>
    <s v="C342048"/>
    <s v="LUIS JAVIER RIVERA MORENO"/>
    <x v="3"/>
    <s v="Loans"/>
    <s v="BBVA"/>
    <x v="0"/>
    <s v="SDATOOL-41748 $ Cuota Fija - Tasa Variable para créditos de Consumo y Vehículo"/>
    <n v="0.25"/>
    <s v="Desarrollador"/>
    <s v="Mainframe"/>
    <m/>
    <e v="#NAME?"/>
    <x v="0"/>
    <e v="#NAME?"/>
    <m/>
    <m/>
    <m/>
    <m/>
    <m/>
    <n v="0"/>
  </r>
  <r>
    <s v="C342048"/>
    <s v="LUIS JAVIER RIVERA MORENO"/>
    <x v="3"/>
    <s v="Loans"/>
    <s v="BBVA"/>
    <x v="0"/>
    <s v="SDATOOL-40494 $ Control de cúmulos de seguros para todas las lineas del activo"/>
    <n v="0.25"/>
    <s v="Desarrollador"/>
    <s v="Mainframe"/>
    <m/>
    <e v="#NAME?"/>
    <x v="0"/>
    <e v="#NAME?"/>
    <m/>
    <m/>
    <m/>
    <m/>
    <m/>
    <n v="0"/>
  </r>
  <r>
    <s v="O000444"/>
    <s v="EDGAR VASQUEZ RUIZ"/>
    <x v="3"/>
    <s v="Loans"/>
    <s v="BBVA"/>
    <x v="0"/>
    <s v="SDATOOL-40435 $ Cuota Segura créditos de libranza"/>
    <n v="0.9"/>
    <s v="Desarrollador"/>
    <s v="Mainframe"/>
    <m/>
    <e v="#NAME?"/>
    <x v="0"/>
    <e v="#NAME?"/>
    <m/>
    <m/>
    <m/>
    <m/>
    <m/>
    <n v="1"/>
  </r>
  <r>
    <s v="O000444"/>
    <s v="EDGAR VASQUEZ RUIZ"/>
    <x v="3"/>
    <s v="Loans"/>
    <s v="BBVA"/>
    <x v="0"/>
    <s v="SDATOOL-40268 $ CLASIFICACION DE TIPO DE PRODUCTOR -CIRCULAR 48 FINAGRO"/>
    <n v="0.1"/>
    <s v="Desarrollador"/>
    <s v="Mainframe"/>
    <m/>
    <e v="#NAME?"/>
    <x v="0"/>
    <e v="#NAME?"/>
    <m/>
    <m/>
    <m/>
    <m/>
    <m/>
    <n v="0"/>
  </r>
  <r>
    <s v="O000106"/>
    <s v="FELIPE ALEJANDO PEDRAZA ROBLES"/>
    <x v="3"/>
    <s v="Loans"/>
    <s v="BBVA"/>
    <x v="0"/>
    <s v="SDATOOL-40268 $ CLASIFICACION DE TIPO DE PRODUCTOR -CIRCULAR 48 FINAGRO"/>
    <n v="0.8"/>
    <s v="Desarrollador"/>
    <s v="Mainframe"/>
    <m/>
    <e v="#NAME?"/>
    <x v="0"/>
    <e v="#NAME?"/>
    <m/>
    <m/>
    <m/>
    <m/>
    <m/>
    <n v="1"/>
  </r>
  <r>
    <s v="O000106"/>
    <s v="FELIPE ALEJANDO PEDRAZA ROBLES"/>
    <x v="3"/>
    <s v="Loans"/>
    <s v="BBVA"/>
    <x v="0"/>
    <s v="SDATOOL-40555 $ ADELANTO DE VENTA EN GEMA"/>
    <n v="0.2"/>
    <s v="Desarrollador"/>
    <s v="Mainframe"/>
    <m/>
    <e v="#NAME?"/>
    <x v="0"/>
    <e v="#NAME?"/>
    <m/>
    <m/>
    <m/>
    <m/>
    <m/>
    <n v="0"/>
  </r>
  <r>
    <s v="C810908"/>
    <s v="DIANA CAROLINA PEÑA PALOMINO"/>
    <x v="3"/>
    <s v="Loans"/>
    <s v="BBVA"/>
    <x v="0"/>
    <s v="SDATOOL-40670 $ Plan CRM: Mejoras DWP Jurídicos (Pymes, Empresas,Gobiernos)"/>
    <n v="0.5"/>
    <s v="Desarrollador"/>
    <s v="Mainframe"/>
    <m/>
    <e v="#NAME?"/>
    <x v="0"/>
    <e v="#NAME?"/>
    <m/>
    <m/>
    <m/>
    <m/>
    <m/>
    <n v="1"/>
  </r>
  <r>
    <s v="C810908"/>
    <s v="DIANA CAROLINA PEÑA PALOMINO"/>
    <x v="3"/>
    <s v="Loans"/>
    <s v="BBVA"/>
    <x v="0"/>
    <s v="SDATOOL-40494 $ Control de cúmulos de seguros para todas las lineas del activo"/>
    <n v="0.5"/>
    <s v="Desarrollador"/>
    <s v="Mainframe"/>
    <m/>
    <e v="#NAME?"/>
    <x v="0"/>
    <e v="#NAME?"/>
    <m/>
    <m/>
    <m/>
    <m/>
    <m/>
    <n v="0"/>
  </r>
  <r>
    <s v="C810801"/>
    <s v="DIANA BARBOSA OSPINA"/>
    <x v="3"/>
    <s v="Loans"/>
    <s v="BBVA"/>
    <x v="0"/>
    <s v="SDATOOL-39358 $ Crédito Virtual"/>
    <n v="0.1"/>
    <s v="Desarrollador"/>
    <s v="Mainframe"/>
    <m/>
    <e v="#NAME?"/>
    <x v="0"/>
    <e v="#NAME?"/>
    <m/>
    <m/>
    <m/>
    <m/>
    <m/>
    <n v="1"/>
  </r>
  <r>
    <s v="C810801"/>
    <s v="DIANA BARBOSA OSPINA"/>
    <x v="3"/>
    <s v="Loans"/>
    <s v="BBVA"/>
    <x v="0"/>
    <s v="SDATOOL-41748 $ Cuota Fija - Tasa Variable para créditos de Consumo y Vehículo"/>
    <n v="0.9"/>
    <s v="Desarrollador"/>
    <s v="Mainframe"/>
    <m/>
    <e v="#NAME?"/>
    <x v="0"/>
    <e v="#NAME?"/>
    <m/>
    <m/>
    <m/>
    <m/>
    <m/>
    <n v="0"/>
  </r>
  <r>
    <s v="O003400"/>
    <s v="JUAN SEBASTIAN COLMENARES RODRIGUEZ"/>
    <x v="3"/>
    <s v="Loans"/>
    <s v="BBVA"/>
    <x v="0"/>
    <s v="SDATOOL-41748 $ Cuota Fija - Tasa Variable para créditos de Consumo y Vehículo"/>
    <n v="1"/>
    <s v="Desarrollador"/>
    <s v="Mainframe"/>
    <m/>
    <e v="#NAME?"/>
    <x v="0"/>
    <e v="#NAME?"/>
    <m/>
    <m/>
    <m/>
    <m/>
    <m/>
    <n v="1"/>
  </r>
  <r>
    <s v="O003461"/>
    <s v="CARLOS VICENTE SERRATO SERNA"/>
    <x v="3"/>
    <s v="Loans"/>
    <s v="BBVA"/>
    <x v="0"/>
    <s v="SDATOOL-40435 $ Cuota Segura créditos de libranza"/>
    <n v="1"/>
    <s v="Desarrollador"/>
    <s v="Mainframe"/>
    <m/>
    <e v="#NAME?"/>
    <x v="0"/>
    <e v="#NAME?"/>
    <m/>
    <m/>
    <m/>
    <m/>
    <m/>
    <n v="1"/>
  </r>
  <r>
    <s v="C808133"/>
    <s v="REMBERTO PRIOLO"/>
    <x v="3"/>
    <s v="Loans"/>
    <s v="BBVA"/>
    <x v="0"/>
    <s v="SDATOOL-40435 $ Cuota Segura créditos de libranza"/>
    <n v="0.2"/>
    <s v="Desarrollador"/>
    <s v="ASO"/>
    <m/>
    <e v="#NAME?"/>
    <x v="0"/>
    <e v="#NAME?"/>
    <m/>
    <m/>
    <m/>
    <m/>
    <m/>
    <n v="1"/>
  </r>
  <r>
    <s v="C808133"/>
    <s v="REMBERTO PRIOLO"/>
    <x v="3"/>
    <s v="Loans"/>
    <s v="BBVA"/>
    <x v="0"/>
    <s v="SDATOOL-39836 $ Vivienda digital fase III"/>
    <n v="0.8"/>
    <s v="Desarrollador"/>
    <s v="ASO"/>
    <m/>
    <e v="#NAME?"/>
    <x v="0"/>
    <e v="#NAME?"/>
    <m/>
    <m/>
    <m/>
    <m/>
    <m/>
    <n v="0"/>
  </r>
  <r>
    <s v="O000446"/>
    <s v="ANDRES FELIPE FUENTES GARAY"/>
    <x v="3"/>
    <s v="Loans"/>
    <s v="BBVA"/>
    <x v="0"/>
    <s v="SDATOOL-40435 $ Cuota Segura créditos de libranza"/>
    <n v="0.2"/>
    <s v="Tech Manager/Líder"/>
    <s v="ASO"/>
    <m/>
    <e v="#NAME?"/>
    <x v="0"/>
    <e v="#NAME?"/>
    <m/>
    <m/>
    <m/>
    <m/>
    <m/>
    <n v="1"/>
  </r>
  <r>
    <s v="O000446"/>
    <s v="ANDRES FELIPE FUENTES GARAY"/>
    <x v="3"/>
    <s v="Loans"/>
    <s v="BBVA"/>
    <x v="0"/>
    <s v="SDATOOL-41748 $ Cuota Fija - Tasa Variable para créditos de Consumo y Vehículo"/>
    <n v="0.2"/>
    <s v="Tech Manager/Líder"/>
    <s v="Mainframe"/>
    <m/>
    <e v="#NAME?"/>
    <x v="0"/>
    <e v="#NAME?"/>
    <m/>
    <m/>
    <m/>
    <m/>
    <m/>
    <n v="0"/>
  </r>
  <r>
    <s v="O000446"/>
    <s v="ANDRES FELIPE FUENTES GARAY"/>
    <x v="3"/>
    <s v="Loans"/>
    <s v="BBVA"/>
    <x v="0"/>
    <s v="SDATOOL-40494 $ Control de cúmulos de seguros para todas las lineas del activo"/>
    <n v="0.2"/>
    <s v="Tech Manager/Líder"/>
    <s v="ASO"/>
    <m/>
    <e v="#NAME?"/>
    <x v="0"/>
    <e v="#NAME?"/>
    <m/>
    <m/>
    <m/>
    <m/>
    <m/>
    <n v="0"/>
  </r>
  <r>
    <s v="O000446"/>
    <s v="ANDRES FELIPE FUENTES GARAY"/>
    <x v="3"/>
    <s v="Loans"/>
    <s v="BBVA"/>
    <x v="0"/>
    <s v="SDATOOL-40670 $ Plan CRM: Mejoras DWP Jurídicos (Pymes, Empresas,Gobiernos)"/>
    <n v="0.2"/>
    <s v="Tech Manager/Líder"/>
    <s v="Mainframe"/>
    <m/>
    <e v="#NAME?"/>
    <x v="0"/>
    <e v="#NAME?"/>
    <m/>
    <m/>
    <m/>
    <m/>
    <m/>
    <n v="0"/>
  </r>
  <r>
    <s v="O000446"/>
    <s v="ANDRES FELIPE FUENTES GARAY"/>
    <x v="3"/>
    <s v="Loans"/>
    <s v="BBVA"/>
    <x v="0"/>
    <s v="SDATOOL-40268 $ CLASIFICACION DE TIPO DE PRODUCTOR -CIRCULAR 48 FINAGRO"/>
    <n v="0.2"/>
    <s v="Tech Manager/Líder"/>
    <s v="Mainframe"/>
    <m/>
    <e v="#NAME?"/>
    <x v="0"/>
    <e v="#NAME?"/>
    <m/>
    <m/>
    <m/>
    <m/>
    <m/>
    <n v="0"/>
  </r>
  <r>
    <s v="CE57920"/>
    <s v="WILLIAM ARMANDO BONILLA ACUÑA"/>
    <x v="3"/>
    <s v="Loans"/>
    <s v="Inetum"/>
    <x v="0"/>
    <s v="SDATOOL-40435 $ Cuota Segura créditos de libranza"/>
    <n v="1"/>
    <s v="QA"/>
    <s v="Mainframe"/>
    <m/>
    <e v="#NAME?"/>
    <x v="0"/>
    <e v="#NAME?"/>
    <m/>
    <m/>
    <m/>
    <m/>
    <m/>
    <n v="1"/>
  </r>
  <r>
    <s v="C804828"/>
    <s v="MAIRA ALEJANDRA GUERRERO CAMARGO"/>
    <x v="3"/>
    <s v="Loans"/>
    <s v="BBVA"/>
    <x v="0"/>
    <s v="SDATOOL-37483 $ Aplicativos Finanzas - 2022"/>
    <n v="0.1"/>
    <s v="Desarrollador"/>
    <s v="Mainframe"/>
    <m/>
    <e v="#NAME?"/>
    <x v="0"/>
    <e v="#NAME?"/>
    <m/>
    <m/>
    <m/>
    <m/>
    <m/>
    <n v="1"/>
  </r>
  <r>
    <s v="C804828"/>
    <s v="MAIRA ALEJANDRA GUERRERO CAMARGO"/>
    <x v="3"/>
    <s v="Loans"/>
    <s v="BBVA"/>
    <x v="0"/>
    <s v="SDATOOL-33846 $ SREP Data Quality- BCBS239 - Colombia"/>
    <n v="0.9"/>
    <s v="Desarrollador"/>
    <s v="Mainframe"/>
    <s v="Atiende dentro del programa BCBS239 3 proyectos"/>
    <e v="#NAME?"/>
    <x v="0"/>
    <e v="#NAME?"/>
    <m/>
    <m/>
    <m/>
    <m/>
    <m/>
    <n v="0"/>
  </r>
  <r>
    <s v="C343126"/>
    <s v="RUBERTH SAN MIGUEL PEREZ"/>
    <x v="3"/>
    <s v="Loans"/>
    <s v="BBVA"/>
    <x v="0"/>
    <s v="SDATOOL-33846 $ SREP Data Quality- BCBS239 - Colombia"/>
    <n v="0.6"/>
    <s v="Desarrollador"/>
    <s v="Mainframe"/>
    <m/>
    <e v="#NAME?"/>
    <x v="0"/>
    <e v="#NAME?"/>
    <m/>
    <m/>
    <m/>
    <m/>
    <m/>
    <n v="1"/>
  </r>
  <r>
    <s v="C343126"/>
    <s v="RUBERTH SAN MIGUEL PEREZ"/>
    <x v="3"/>
    <s v="Loans"/>
    <s v="BBVA"/>
    <x v="0"/>
    <s v="SDATOOL-42201 $ GRM Col - Cronos Collections - Pago Dirigido Préstamos"/>
    <n v="0.4"/>
    <s v="Desarrollador"/>
    <s v="Mainframe"/>
    <m/>
    <e v="#NAME?"/>
    <x v="0"/>
    <e v="#NAME?"/>
    <m/>
    <m/>
    <m/>
    <m/>
    <m/>
    <n v="0"/>
  </r>
  <r>
    <s v="C809713"/>
    <s v="FABRICIO AUGUSTO LOZANO TORRES"/>
    <x v="3"/>
    <s v="Loans"/>
    <s v="BBVA"/>
    <x v="0"/>
    <s v="SDATOOL-35697 $ GRM - Garantías Hipotecarias - Ingesta de Datos"/>
    <n v="0.4"/>
    <s v="Desarrollador"/>
    <s v="Mainframe"/>
    <m/>
    <e v="#NAME?"/>
    <x v="0"/>
    <e v="#NAME?"/>
    <m/>
    <m/>
    <m/>
    <m/>
    <m/>
    <n v="1"/>
  </r>
  <r>
    <s v="C809713"/>
    <s v="FABRICIO AUGUSTO LOZANO TORRES"/>
    <x v="3"/>
    <s v="Loans"/>
    <s v="BBVA"/>
    <x v="0"/>
    <s v="SDATOOL-41938 $ GRM Col Reg - Ajuste Calificación Escalera"/>
    <n v="0.6"/>
    <s v="Desarrollador"/>
    <s v="Mainframe"/>
    <m/>
    <e v="#NAME?"/>
    <x v="0"/>
    <e v="#NAME?"/>
    <m/>
    <m/>
    <m/>
    <m/>
    <m/>
    <n v="0"/>
  </r>
  <r>
    <s v="C367168"/>
    <s v="FLOR MIREYA GONZALEZ VASQUEZ"/>
    <x v="3"/>
    <s v="Loans"/>
    <s v="BBVA"/>
    <x v="0"/>
    <s v="SDATOOL-33846 $ SREP Data Quality- BCBS239 - Colombia"/>
    <n v="0.4"/>
    <s v="Tech Manager/Líder"/>
    <s v="Mainframe"/>
    <m/>
    <e v="#NAME?"/>
    <x v="0"/>
    <e v="#NAME?"/>
    <m/>
    <m/>
    <m/>
    <m/>
    <m/>
    <n v="1"/>
  </r>
  <r>
    <s v="C367168"/>
    <s v="FLOR MIREYA GONZALEZ VASQUEZ"/>
    <x v="3"/>
    <s v="Loans"/>
    <s v="BBVA"/>
    <x v="0"/>
    <s v="SDATOOL-37483 $ Aplicativos Finanzas - 2022"/>
    <n v="0.05"/>
    <s v="Tech Manager/Líder"/>
    <s v="Mainframe"/>
    <m/>
    <e v="#NAME?"/>
    <x v="0"/>
    <e v="#NAME?"/>
    <m/>
    <m/>
    <m/>
    <m/>
    <m/>
    <n v="0"/>
  </r>
  <r>
    <s v="C367168"/>
    <s v="FLOR MIREYA GONZALEZ VASQUEZ"/>
    <x v="3"/>
    <s v="Loans"/>
    <s v="BBVA"/>
    <x v="0"/>
    <s v="SDATOOL-35697 $ GRM - Garantías Hipotecarias - Ingesta de Datos"/>
    <n v="0.2"/>
    <s v="Tech Manager/Líder"/>
    <s v="Mainframe"/>
    <m/>
    <e v="#NAME?"/>
    <x v="0"/>
    <e v="#NAME?"/>
    <m/>
    <m/>
    <m/>
    <m/>
    <m/>
    <n v="0"/>
  </r>
  <r>
    <s v="C367168"/>
    <s v="FLOR MIREYA GONZALEZ VASQUEZ"/>
    <x v="3"/>
    <s v="Loans"/>
    <s v="BBVA"/>
    <x v="0"/>
    <s v="SDATOOL-41938 $ GRM Col Reg - Ajuste Calificación Escalera"/>
    <n v="0.1"/>
    <s v="Tech Manager/Líder"/>
    <s v="Mainframe"/>
    <m/>
    <e v="#NAME?"/>
    <x v="0"/>
    <e v="#NAME?"/>
    <m/>
    <m/>
    <m/>
    <m/>
    <m/>
    <n v="0"/>
  </r>
  <r>
    <s v="C367168"/>
    <s v="FLOR MIREYA GONZALEZ VASQUEZ"/>
    <x v="3"/>
    <s v="Loans"/>
    <s v="BBVA"/>
    <x v="0"/>
    <s v="SDATOOL-42201 $ GRM Col - Cronos Collections - Pago Dirigido Préstamos"/>
    <n v="0.25"/>
    <s v="Tech Manager/Líder"/>
    <s v="Mainframe"/>
    <m/>
    <e v="#NAME?"/>
    <x v="0"/>
    <e v="#NAME?"/>
    <m/>
    <m/>
    <m/>
    <m/>
    <m/>
    <n v="0"/>
  </r>
  <r>
    <s v="CE51434"/>
    <s v="MICHAEL ALEXANDER PINZON CRISTANCHO"/>
    <x v="3"/>
    <s v="Loans"/>
    <s v="Inetum"/>
    <x v="0"/>
    <s v="SDATOOL-35697 $ GRM - Garantías Hipotecarias - Ingesta de Datos"/>
    <n v="0.5"/>
    <s v="QA"/>
    <s v="Mainframe"/>
    <m/>
    <e v="#NAME?"/>
    <x v="0"/>
    <e v="#NAME?"/>
    <m/>
    <m/>
    <m/>
    <m/>
    <m/>
    <n v="1"/>
  </r>
  <r>
    <s v="CE51434"/>
    <s v="MICHAEL ALEXANDER PINZON CRISTANCHO"/>
    <x v="3"/>
    <s v="Loans"/>
    <s v="Inetum"/>
    <x v="0"/>
    <s v="SDATOOL-33846 $ SREP Data Quality- BCBS239 - Colombia"/>
    <n v="0.5"/>
    <s v="QA"/>
    <s v="Mainframe"/>
    <m/>
    <e v="#NAME?"/>
    <x v="0"/>
    <e v="#NAME?"/>
    <m/>
    <m/>
    <m/>
    <m/>
    <m/>
    <n v="0"/>
  </r>
  <r>
    <s v="C808227"/>
    <s v="MARIA PAULA ISAZA SANCHEZ"/>
    <x v="1"/>
    <s v="Global Market &amp; Comex"/>
    <s v="BBVA"/>
    <x v="0"/>
    <s v="SDATOOL-38736 $ Creación Tercero Miembro No Liquidador CRCC"/>
    <n v="1"/>
    <s v="Desarrollador"/>
    <s v="Distribuido"/>
    <m/>
    <e v="#NAME?"/>
    <x v="0"/>
    <e v="#NAME?"/>
    <m/>
    <m/>
    <m/>
    <m/>
    <m/>
    <m/>
  </r>
  <r>
    <s v="C804032"/>
    <s v="CAMILO ANDRES MORENO HURTADO"/>
    <x v="1"/>
    <s v="Global Market &amp; Comex"/>
    <s v="BBVA"/>
    <x v="0"/>
    <s v="SDATOOL-39217 $ Aplicativos Tesorería 2022"/>
    <n v="0.5"/>
    <s v="Desarrollador"/>
    <s v="Distribuido"/>
    <m/>
    <e v="#NAME?"/>
    <x v="0"/>
    <e v="#NAME?"/>
    <m/>
    <m/>
    <m/>
    <m/>
    <m/>
    <m/>
  </r>
  <r>
    <s v="C804032"/>
    <s v="CAMILO ANDRES MORENO HURTADO"/>
    <x v="1"/>
    <s v="Global Market &amp; Comex"/>
    <s v="BBVA"/>
    <x v="0"/>
    <s v="SDATOOL-41308 $ Aplicativos Tesorería 2023"/>
    <n v="0.5"/>
    <s v="Desarrollador"/>
    <s v="Distribuido"/>
    <m/>
    <e v="#NAME?"/>
    <x v="0"/>
    <e v="#NAME?"/>
    <m/>
    <m/>
    <m/>
    <m/>
    <m/>
    <m/>
  </r>
  <r>
    <s v="C811284"/>
    <s v="CRISTIAN ARLEY AMORTEGUI AREVALO"/>
    <x v="1"/>
    <s v="Global Market &amp; Comex"/>
    <s v="BBVA"/>
    <x v="0"/>
    <s v="SDATOOL-35663 $ Capacidades FX GM"/>
    <n v="1"/>
    <s v="Desarrollador"/>
    <s v="Mainframe"/>
    <m/>
    <e v="#NAME?"/>
    <x v="0"/>
    <e v="#NAME?"/>
    <m/>
    <m/>
    <m/>
    <m/>
    <m/>
    <m/>
  </r>
  <r>
    <s v="C808193"/>
    <s v="GILBERTO SANCHEZ RODRIGUEZ"/>
    <x v="1"/>
    <s v="Global Market &amp; Comex"/>
    <s v="BBVA"/>
    <x v="0"/>
    <s v="SDATOOL-40438 $ CIRCULAR 032 del 2021 - REQUERIMIENTO FISCALIA GENERAL DE LA NACION"/>
    <n v="0.75"/>
    <s v="Desarrollador"/>
    <s v="Mainframe"/>
    <m/>
    <e v="#NAME?"/>
    <x v="0"/>
    <e v="#NAME?"/>
    <m/>
    <m/>
    <m/>
    <m/>
    <m/>
    <m/>
  </r>
  <r>
    <s v="C808193"/>
    <s v="GILBERTO SANCHEZ RODRIGUEZ"/>
    <x v="1"/>
    <s v="Global Market &amp; Comex"/>
    <s v="BBVA"/>
    <x v="0"/>
    <s v="SDATOOL-41206 $ Ordenes de pago recibidas (OPR)"/>
    <n v="0.25"/>
    <s v="Desarrollador"/>
    <s v="Mainframe"/>
    <m/>
    <e v="#NAME?"/>
    <x v="0"/>
    <e v="#NAME?"/>
    <m/>
    <m/>
    <m/>
    <m/>
    <m/>
    <m/>
  </r>
  <r>
    <s v="C782744"/>
    <s v="VICTOR WILSON AREVALO MARTIN"/>
    <x v="1"/>
    <s v="Global Market &amp; Comex"/>
    <s v="BBVA"/>
    <x v="0"/>
    <s v="SDATOOL-41206 $ Ordenes de pago recibidas (OPR)"/>
    <n v="0.25"/>
    <s v="Desarrollador"/>
    <s v="Mainframe"/>
    <m/>
    <e v="#NAME?"/>
    <x v="0"/>
    <e v="#NAME?"/>
    <m/>
    <m/>
    <m/>
    <m/>
    <m/>
    <m/>
  </r>
  <r>
    <s v="C782744"/>
    <s v="VICTOR WILSON AREVALO MARTIN"/>
    <x v="1"/>
    <s v="Global Market &amp; Comex"/>
    <s v="BBVA"/>
    <x v="0"/>
    <s v="SDATOOL-38735 $ Dynamic Pricing"/>
    <n v="0.75"/>
    <s v="Desarrollador"/>
    <s v="Distribuido"/>
    <m/>
    <e v="#NAME?"/>
    <x v="0"/>
    <e v="#NAME?"/>
    <m/>
    <m/>
    <m/>
    <m/>
    <m/>
    <m/>
  </r>
  <r>
    <s v="C805683"/>
    <s v="SERGIO LEONARDO MENDOZA GASCA"/>
    <x v="1"/>
    <s v="Global Market &amp; Comex"/>
    <s v="BBVA"/>
    <x v="0"/>
    <s v="SDATOOL-38735 $ Dynamic Pricing"/>
    <n v="0.5"/>
    <s v="Desarrollador"/>
    <s v="Distribuido"/>
    <m/>
    <e v="#NAME?"/>
    <x v="0"/>
    <e v="#NAME?"/>
    <m/>
    <m/>
    <m/>
    <m/>
    <m/>
    <m/>
  </r>
  <r>
    <s v="C805683"/>
    <s v="SERGIO LEONARDO MENDOZA GASCA"/>
    <x v="1"/>
    <s v="Global Market &amp; Comex"/>
    <s v="BBVA"/>
    <x v="0"/>
    <s v="SDATOOL-39347 $ Alertas Personalizadas FX"/>
    <n v="0.5"/>
    <s v="Desarrollador"/>
    <s v="Distribuido"/>
    <m/>
    <e v="#NAME?"/>
    <x v="0"/>
    <e v="#NAME?"/>
    <m/>
    <m/>
    <m/>
    <m/>
    <m/>
    <m/>
  </r>
  <r>
    <s v="C805074"/>
    <s v="MARLON STUART SUAREZ ."/>
    <x v="1"/>
    <s v="Global Market &amp; Comex"/>
    <s v="BBVA"/>
    <x v="0"/>
    <s v="SDATOOL-39217 $ Aplicativos Tesorería 2022"/>
    <n v="0.3"/>
    <s v="Desarrollador"/>
    <s v="Distribuido"/>
    <m/>
    <e v="#NAME?"/>
    <x v="0"/>
    <e v="#NAME?"/>
    <m/>
    <m/>
    <m/>
    <m/>
    <m/>
    <m/>
  </r>
  <r>
    <s v="C805074"/>
    <s v="MARLON STUART SUAREZ ."/>
    <x v="1"/>
    <s v="Global Market &amp; Comex"/>
    <s v="BBVA"/>
    <x v="0"/>
    <s v="SDATOOL-31461 $ Liquidación Swaps Cross Crurrency Delivery"/>
    <n v="0.3"/>
    <s v="Desarrollador"/>
    <s v="Distribuido"/>
    <m/>
    <e v="#NAME?"/>
    <x v="0"/>
    <e v="#NAME?"/>
    <m/>
    <m/>
    <m/>
    <m/>
    <m/>
    <m/>
  </r>
  <r>
    <s v="C805074"/>
    <s v="MARLON STUART SUAREZ ."/>
    <x v="1"/>
    <s v="Global Market &amp; Comex"/>
    <s v="BBVA"/>
    <x v="0"/>
    <s v="SDATOOL-41308 $ Aplicativos Tesorería 2023"/>
    <n v="0.4"/>
    <s v="Desarrollador"/>
    <s v="Distribuido"/>
    <m/>
    <e v="#NAME?"/>
    <x v="0"/>
    <e v="#NAME?"/>
    <m/>
    <m/>
    <m/>
    <m/>
    <m/>
    <m/>
  </r>
  <r>
    <s v="O001825"/>
    <s v="JONATHAN FABIAN PAEZ TORRES"/>
    <x v="1"/>
    <s v="Global Market &amp; Comex"/>
    <s v="BBVA"/>
    <x v="0"/>
    <s v="SDATOOL-39217 $ Aplicativos Tesorería 2022"/>
    <n v="0.25"/>
    <s v="Desarrollador"/>
    <s v="Distribuido"/>
    <m/>
    <e v="#NAME?"/>
    <x v="0"/>
    <e v="#NAME?"/>
    <m/>
    <m/>
    <m/>
    <m/>
    <m/>
    <m/>
  </r>
  <r>
    <s v="O001825"/>
    <s v="JONATHAN FABIAN PAEZ TORRES"/>
    <x v="1"/>
    <s v="Global Market &amp; Comex"/>
    <s v="BBVA"/>
    <x v="0"/>
    <s v="SDATOOL-31461 $ Liquidación Swaps Cross Crurrency Delivery"/>
    <n v="0.25"/>
    <s v="Desarrollador"/>
    <s v="Distribuido"/>
    <m/>
    <e v="#NAME?"/>
    <x v="0"/>
    <e v="#NAME?"/>
    <m/>
    <m/>
    <m/>
    <m/>
    <m/>
    <m/>
  </r>
  <r>
    <s v="O001825"/>
    <s v="JONATHAN FABIAN PAEZ TORRES"/>
    <x v="1"/>
    <s v="Global Market &amp; Comex"/>
    <s v="BBVA"/>
    <x v="0"/>
    <s v="SDATOOL-41308 $ Aplicativos Tesorería 2023"/>
    <n v="0.5"/>
    <s v="Desarrollador"/>
    <s v="Distribuido"/>
    <m/>
    <e v="#NAME?"/>
    <x v="0"/>
    <e v="#NAME?"/>
    <m/>
    <m/>
    <m/>
    <m/>
    <m/>
    <m/>
  </r>
  <r>
    <s v="O003306"/>
    <s v="LEIDY JOHANA RODRIGUEZ GARCIA"/>
    <x v="1"/>
    <s v="Global Market &amp; Comex"/>
    <s v="BBVA"/>
    <x v="0"/>
    <s v="SDATOOL-41308 $ Aplicativos Tesorería 2023"/>
    <n v="0.75"/>
    <s v="Desarrollador"/>
    <s v="Distribuido"/>
    <m/>
    <e v="#NAME?"/>
    <x v="0"/>
    <e v="#NAME?"/>
    <m/>
    <m/>
    <m/>
    <m/>
    <m/>
    <m/>
  </r>
  <r>
    <s v="O003306"/>
    <s v="LEIDY JOHANA RODRIGUEZ GARCIA"/>
    <x v="1"/>
    <s v="Global Market &amp; Comex"/>
    <s v="BBVA"/>
    <x v="0"/>
    <s v="SDATOOL-41308 $ Aplicativos Tesorería 2023"/>
    <n v="0.25"/>
    <s v="Desarrollador"/>
    <s v="Distribuido"/>
    <m/>
    <e v="#NAME?"/>
    <x v="0"/>
    <e v="#NAME?"/>
    <m/>
    <m/>
    <m/>
    <m/>
    <m/>
    <m/>
  </r>
  <r>
    <s v="CE52611"/>
    <s v="GUSTAVO ADOLFO SALAZAR BERNAL"/>
    <x v="1"/>
    <s v="Global Market &amp; Comex"/>
    <s v="SII"/>
    <x v="0"/>
    <s v="SDATOOL-40438 $ CIRCULAR 032 del 2021 - REQUERIMIENTO FISCALIA GENERAL DE LA NACION"/>
    <n v="0.5"/>
    <s v="Desarrollador"/>
    <s v="Distribuido"/>
    <m/>
    <e v="#NAME?"/>
    <x v="0"/>
    <e v="#NAME?"/>
    <m/>
    <m/>
    <m/>
    <m/>
    <m/>
    <m/>
  </r>
  <r>
    <s v="CE52611"/>
    <s v="GUSTAVO ADOLFO SALAZAR BERNAL"/>
    <x v="1"/>
    <s v="Global Market &amp; Comex"/>
    <s v="SII"/>
    <x v="0"/>
    <s v="SDATOOL-41205 $ Tagging Netcash, Net, e-markets"/>
    <n v="0.5"/>
    <s v="Desarrollador"/>
    <s v="Distribuido"/>
    <m/>
    <e v="#NAME?"/>
    <x v="0"/>
    <e v="#NAME?"/>
    <m/>
    <m/>
    <m/>
    <m/>
    <m/>
    <m/>
  </r>
  <r>
    <s v="C804789"/>
    <s v="JHON ALEXANDER PINEDA ARIAS"/>
    <x v="1"/>
    <s v="Global Market &amp; Comex"/>
    <s v="BBVA"/>
    <x v="0"/>
    <s v="SDATOOL-37342 $ SWIFT ISO20022 Ajuste de mensajes Swift a la nueva estructura"/>
    <n v="0.5"/>
    <s v="Desarrollador"/>
    <s v="Mainframe"/>
    <m/>
    <e v="#NAME?"/>
    <x v="0"/>
    <e v="#NAME?"/>
    <m/>
    <m/>
    <m/>
    <m/>
    <m/>
    <m/>
  </r>
  <r>
    <s v="C804789"/>
    <s v="JHON ALEXANDER PINEDA ARIAS"/>
    <x v="1"/>
    <s v="Global Market &amp; Comex"/>
    <s v="BBVA"/>
    <x v="0"/>
    <s v="SDATOOL-41737 $ Moneda Extranjera - Inclusión en SIGDOC"/>
    <n v="0.5"/>
    <s v="Desarrollador"/>
    <s v="Mainframe"/>
    <m/>
    <e v="#NAME?"/>
    <x v="0"/>
    <e v="#NAME?"/>
    <m/>
    <m/>
    <m/>
    <m/>
    <m/>
    <m/>
  </r>
  <r>
    <s v="C810672"/>
    <s v="ALEJANDRA MARIA HINCAPIE AGUIRRE"/>
    <x v="1"/>
    <s v="Global Market &amp; Comex"/>
    <s v="BBVA"/>
    <x v="0"/>
    <s v="SDATOOL-33846 $ SREP Data Quality- BCBS239 - Colombia"/>
    <n v="0.5"/>
    <s v="Desarrollador"/>
    <s v="Distribuido"/>
    <m/>
    <e v="#NAME?"/>
    <x v="0"/>
    <e v="#NAME?"/>
    <m/>
    <m/>
    <m/>
    <m/>
    <m/>
    <m/>
  </r>
  <r>
    <s v="C810672"/>
    <s v="ALEJANDRA MARIA HINCAPIE AGUIRRE"/>
    <x v="1"/>
    <s v="Global Market &amp; Comex"/>
    <s v="BBVA"/>
    <x v="0"/>
    <s v="SDATOOL-41737 $ Moneda Extranjera - Inclusión en SIGDOC"/>
    <n v="0.5"/>
    <s v="Desarrollador"/>
    <s v="Distribuido"/>
    <m/>
    <e v="#NAME?"/>
    <x v="0"/>
    <e v="#NAME?"/>
    <m/>
    <m/>
    <m/>
    <m/>
    <m/>
    <m/>
  </r>
  <r>
    <s v="C804843"/>
    <s v="EDUAR DUBAN GONZALEZ JOYA"/>
    <x v="1"/>
    <s v="Global Market &amp; Comex"/>
    <s v="BBVA"/>
    <x v="0"/>
    <s v="SDATOOL-33846 $ SREP Data Quality- BCBS239 - Colombia"/>
    <n v="0.5"/>
    <s v="Desarrollador"/>
    <s v="Distribuido"/>
    <m/>
    <e v="#NAME?"/>
    <x v="0"/>
    <e v="#NAME?"/>
    <m/>
    <m/>
    <m/>
    <m/>
    <m/>
    <m/>
  </r>
  <r>
    <s v="C804843"/>
    <s v="EDUAR DUBAN GONZALEZ JOYA"/>
    <x v="1"/>
    <s v="Global Market &amp; Comex"/>
    <s v="BBVA"/>
    <x v="0"/>
    <s v="SDATOOL-41737 $ Moneda Extranjera - Inclusión en SIGDOC"/>
    <n v="0.5"/>
    <s v="Desarrollador"/>
    <s v="Distribuido"/>
    <m/>
    <e v="#NAME?"/>
    <x v="0"/>
    <e v="#NAME?"/>
    <m/>
    <m/>
    <m/>
    <m/>
    <m/>
    <m/>
  </r>
  <r>
    <s v="C805104"/>
    <s v="JEISSON SNEYDER GALLO RAMIREZ"/>
    <x v="1"/>
    <s v="Global Market &amp; Comex"/>
    <s v="BBVA"/>
    <x v="0"/>
    <s v="SDATOOL-36047 $ Bloqueo Sobregiro para Pago Capital e Intereses"/>
    <n v="1"/>
    <s v="Desarrollador"/>
    <s v="Mainframe"/>
    <m/>
    <e v="#NAME?"/>
    <x v="0"/>
    <e v="#NAME?"/>
    <m/>
    <m/>
    <m/>
    <m/>
    <m/>
    <m/>
  </r>
  <r>
    <s v="C810818"/>
    <s v="SERGIO ALEJANDRO NUÑEZ MENDIVELSO"/>
    <x v="1"/>
    <s v="Global Market &amp; Comex"/>
    <s v="BBVA"/>
    <x v="0"/>
    <s v="SDATOOL-40269 $ Actualización y transmisión Declaraciones de Cambio – Banco de la República Abril 2022."/>
    <n v="1"/>
    <s v="Desarrollador"/>
    <s v="Mainframe"/>
    <m/>
    <e v="#NAME?"/>
    <x v="0"/>
    <e v="#NAME?"/>
    <m/>
    <m/>
    <m/>
    <m/>
    <m/>
    <m/>
  </r>
  <r>
    <s v="CE67855"/>
    <s v="ANDREY DAVID NINO GALVIS"/>
    <x v="1"/>
    <s v="Global Market &amp; Comex"/>
    <s v="Accenture"/>
    <x v="0"/>
    <s v="NOSDA $ BAU (Mantenimiento y peq. evolutivos)"/>
    <n v="1"/>
    <s v="Desarrollador"/>
    <s v="Distribuido"/>
    <m/>
    <e v="#NAME?"/>
    <x v="0"/>
    <e v="#NAME?"/>
    <m/>
    <m/>
    <m/>
    <m/>
    <m/>
    <m/>
  </r>
  <r>
    <s v="T007493"/>
    <s v="BRIAN LEONARDO PEREZ RUBIANO"/>
    <x v="1"/>
    <s v="Global Market &amp; Comex"/>
    <s v="GGI / CMC"/>
    <x v="0"/>
    <s v="SDATOOL-41308 $ Aplicativos Tesorería 2023"/>
    <n v="0.5"/>
    <s v="QA"/>
    <s v="Distribuido"/>
    <m/>
    <e v="#NAME?"/>
    <x v="0"/>
    <e v="#NAME?"/>
    <m/>
    <m/>
    <m/>
    <m/>
    <m/>
    <m/>
  </r>
  <r>
    <s v="C796462"/>
    <s v="CAMILO ANDRES TELLEZ PRIETO"/>
    <x v="1"/>
    <s v="Global Market &amp; Comex"/>
    <s v="BBVA"/>
    <x v="0"/>
    <s v="NOSDA $ BAU (Mantenimiento y peq. evolutivos)"/>
    <n v="1"/>
    <s v="Tech Manager/Líder"/>
    <s v="Mainframe"/>
    <m/>
    <e v="#NAME?"/>
    <x v="0"/>
    <e v="#NAME?"/>
    <m/>
    <m/>
    <m/>
    <m/>
    <m/>
    <m/>
  </r>
  <r>
    <s v="C342545"/>
    <s v="CARLOS ANDRES MARTINEZ BEDOYA"/>
    <x v="1"/>
    <s v="Global Market &amp; Comex"/>
    <s v="BBVA"/>
    <x v="0"/>
    <s v="NOSDA $ BAU (Mantenimiento y peq. evolutivos)"/>
    <n v="1"/>
    <s v="Desarrollador"/>
    <s v="Mainframe"/>
    <m/>
    <e v="#NAME?"/>
    <x v="0"/>
    <e v="#NAME?"/>
    <m/>
    <m/>
    <m/>
    <m/>
    <m/>
    <m/>
  </r>
  <r>
    <s v="CE69667"/>
    <s v="HAROLD ENRIQUE ROCANCIO JULIO"/>
    <x v="1"/>
    <s v="Global Market &amp; Comex"/>
    <s v="GGI / CMC"/>
    <x v="0"/>
    <s v="NOSDA $ BAU (Mantenimiento y peq. evolutivos)"/>
    <n v="1"/>
    <s v="Otros"/>
    <s v="Distribuido"/>
    <m/>
    <e v="#NAME?"/>
    <x v="0"/>
    <e v="#NAME?"/>
    <m/>
    <m/>
    <m/>
    <m/>
    <m/>
    <m/>
  </r>
  <r>
    <s v="CE65485"/>
    <s v="HECTOR JAIRO LEGUIZAMON "/>
    <x v="1"/>
    <s v="Global Market &amp; Comex"/>
    <s v="Accenture"/>
    <x v="0"/>
    <s v="NOSDA $ BAU (Mantenimiento y peq. evolutivos)"/>
    <n v="1"/>
    <s v="Desarrollador"/>
    <s v="Distribuido"/>
    <m/>
    <e v="#NAME?"/>
    <x v="0"/>
    <e v="#NAME?"/>
    <m/>
    <m/>
    <m/>
    <m/>
    <m/>
    <m/>
  </r>
  <r>
    <s v="C809352"/>
    <s v="JOHAN GARZON PEDRAZA"/>
    <x v="1"/>
    <s v="Global Market &amp; Comex"/>
    <s v="BBVA"/>
    <x v="0"/>
    <s v="NOSDA $ BAU (Mantenimiento y peq. evolutivos)"/>
    <n v="1"/>
    <s v="Desarrollador"/>
    <s v="Mainframe"/>
    <m/>
    <e v="#NAME?"/>
    <x v="0"/>
    <e v="#NAME?"/>
    <m/>
    <m/>
    <m/>
    <m/>
    <m/>
    <m/>
  </r>
  <r>
    <s v="CE67103"/>
    <s v="KAREN ANDREA BELTRÁN SILVA"/>
    <x v="1"/>
    <s v="Global Market &amp; Comex"/>
    <s v="Accenture"/>
    <x v="0"/>
    <s v="NOSDA $ BAU (Mantenimiento y peq. evolutivos)"/>
    <n v="1"/>
    <s v="Desarrollador"/>
    <s v="Distribuido"/>
    <m/>
    <e v="#NAME?"/>
    <x v="0"/>
    <e v="#NAME?"/>
    <m/>
    <m/>
    <m/>
    <m/>
    <m/>
    <m/>
  </r>
  <r>
    <s v="CE66251"/>
    <s v="SANTIAGO A SANTOS ESTRADA"/>
    <x v="1"/>
    <s v="Global Market &amp; Comex"/>
    <s v="GGI / CMC"/>
    <x v="0"/>
    <s v="SDATOOL-38735 $ Dynamic Pricing"/>
    <n v="0.5"/>
    <s v="QA"/>
    <s v="Distribuido"/>
    <m/>
    <e v="#NAME?"/>
    <x v="0"/>
    <e v="#NAME?"/>
    <m/>
    <m/>
    <m/>
    <m/>
    <m/>
    <m/>
  </r>
  <r>
    <s v="C811314"/>
    <s v="GONZALO CHAPARRO LOPEZ"/>
    <x v="0"/>
    <s v="Netcash"/>
    <s v="BBVA"/>
    <x v="0"/>
    <s v="NOSDA $ BAU (Mantenimiento y peq. evolutivos)"/>
    <n v="0.75"/>
    <s v="Tech Manager/Líder"/>
    <s v="Distribuido"/>
    <m/>
    <e v="#NAME?"/>
    <x v="0"/>
    <e v="#NAME?"/>
    <m/>
    <m/>
    <m/>
    <m/>
    <m/>
    <m/>
  </r>
  <r>
    <s v="C811314"/>
    <s v="GONZALO CHAPARRO LOPEZ"/>
    <x v="0"/>
    <s v="Netcash"/>
    <s v="BBVA"/>
    <x v="0"/>
    <s v="SDATOOL-39246 $ Nuevo tipo de identificación para extranjeros"/>
    <n v="0.25"/>
    <s v="Tech Manager/Líder"/>
    <s v="Distribuido"/>
    <m/>
    <e v="#NAME?"/>
    <x v="0"/>
    <e v="#NAME?"/>
    <m/>
    <m/>
    <m/>
    <m/>
    <m/>
    <m/>
  </r>
  <r>
    <s v="CE68481"/>
    <s v="PEREZ PAN WILLIAM STEVEN"/>
    <x v="0"/>
    <s v="Netcash"/>
    <s v="GGI / CMC"/>
    <x v="0"/>
    <s v="NOSDA $ BAU (Mantenimiento y peq. evolutivos)"/>
    <n v="1"/>
    <s v="QA"/>
    <s v="Distribuido"/>
    <m/>
    <e v="#NAME?"/>
    <x v="0"/>
    <e v="#NAME?"/>
    <m/>
    <m/>
    <m/>
    <m/>
    <m/>
    <m/>
  </r>
  <r>
    <s v="T001858"/>
    <s v="AGREDO LLANTEN NESTOR RAUL"/>
    <x v="0"/>
    <s v="Netcash"/>
    <s v="Neoris"/>
    <x v="0"/>
    <s v="SDATOOL-41203 $ Obsolescencia Aplicativa 2023"/>
    <n v="1"/>
    <s v="Desarrollador"/>
    <s v="Distribuido"/>
    <m/>
    <e v="#NAME?"/>
    <x v="0"/>
    <e v="#NAME?"/>
    <m/>
    <m/>
    <m/>
    <m/>
    <m/>
    <m/>
  </r>
  <r>
    <s v="CE66707"/>
    <s v="ALFONSO PUIN DANIEL FELIPE"/>
    <x v="0"/>
    <s v="Netcash"/>
    <s v="GGI / CMC"/>
    <x v="0"/>
    <s v="SDATOOL-41203 $ Obsolescencia Aplicativa 2023"/>
    <n v="1"/>
    <s v="Desarrollador"/>
    <s v="Distribuido"/>
    <m/>
    <e v="#NAME?"/>
    <x v="0"/>
    <e v="#NAME?"/>
    <m/>
    <m/>
    <m/>
    <m/>
    <m/>
    <m/>
  </r>
  <r>
    <s v="C802984"/>
    <s v="ALVARADO URUETA AVELINO RAFAEL"/>
    <x v="0"/>
    <s v="Netcash"/>
    <s v="BBVA"/>
    <x v="0"/>
    <s v="NOSDA $ BAU (Mantenimiento y peq. evolutivos)"/>
    <n v="0.5"/>
    <s v="Desarrollador"/>
    <s v="Distribuido"/>
    <m/>
    <e v="#NAME?"/>
    <x v="0"/>
    <e v="#NAME?"/>
    <m/>
    <m/>
    <m/>
    <m/>
    <m/>
    <m/>
  </r>
  <r>
    <s v="C802984"/>
    <s v="ALVARADO URUETA AVELINO RAFAEL"/>
    <x v="0"/>
    <s v="Netcash"/>
    <s v="BBVA"/>
    <x v="0"/>
    <s v="SDATOOL-41203 $ Obsolescencia Aplicativa 2023"/>
    <n v="0.5"/>
    <s v="Desarrollador"/>
    <s v="Distribuido"/>
    <m/>
    <e v="#NAME?"/>
    <x v="0"/>
    <e v="#NAME?"/>
    <m/>
    <m/>
    <m/>
    <m/>
    <m/>
    <m/>
  </r>
  <r>
    <s v="CE30852"/>
    <s v="CAMELO MORA LADY KATHERINE"/>
    <x v="0"/>
    <s v="Netcash"/>
    <s v="GGI / CMC"/>
    <x v="0"/>
    <s v="NOSDA $ BAU (Mantenimiento y peq. evolutivos)"/>
    <n v="1"/>
    <s v="Desarrollador"/>
    <s v="Distribuido"/>
    <m/>
    <e v="#NAME?"/>
    <x v="0"/>
    <e v="#NAME?"/>
    <m/>
    <m/>
    <m/>
    <m/>
    <m/>
    <m/>
  </r>
  <r>
    <s v="C804326"/>
    <s v="CARVAJAL ARRAIZ ANGELICA ALEJANDRA"/>
    <x v="0"/>
    <s v="Netcash"/>
    <s v="BBVA"/>
    <x v="0"/>
    <s v="NOSDA $ BAU (Mantenimiento y peq. evolutivos)"/>
    <n v="0.25"/>
    <s v="Desarrollador"/>
    <s v="Distribuido"/>
    <m/>
    <e v="#NAME?"/>
    <x v="0"/>
    <e v="#NAME?"/>
    <m/>
    <m/>
    <m/>
    <m/>
    <m/>
    <m/>
  </r>
  <r>
    <s v="C804326"/>
    <s v="CARVAJAL ARRAIZ ANGELICA ALEJANDRA"/>
    <x v="0"/>
    <s v="Netcash"/>
    <s v="BBVA"/>
    <x v="0"/>
    <s v="SDATOOL-41203 $ Obsolescencia Aplicativa 2023"/>
    <n v="0.75"/>
    <s v="Desarrollador"/>
    <s v="Distribuido"/>
    <m/>
    <e v="#NAME?"/>
    <x v="0"/>
    <e v="#NAME?"/>
    <m/>
    <m/>
    <m/>
    <m/>
    <m/>
    <m/>
  </r>
  <r>
    <s v="C811188"/>
    <s v="CASTRO PULIDO STEFANNY LIZETH"/>
    <x v="0"/>
    <s v="Netcash"/>
    <s v="BBVA"/>
    <x v="0"/>
    <s v="NOSDA $ BAU (Mantenimiento y peq. evolutivos)"/>
    <n v="1"/>
    <s v="Otros"/>
    <s v="Distribuido"/>
    <m/>
    <e v="#NAME?"/>
    <x v="0"/>
    <e v="#NAME?"/>
    <m/>
    <m/>
    <m/>
    <m/>
    <m/>
    <m/>
  </r>
  <r>
    <s v="CE57157"/>
    <s v="CHAVES ANGEL JOAN NICOLAS"/>
    <x v="0"/>
    <s v="Netcash"/>
    <s v="GGI / CMC"/>
    <x v="0"/>
    <s v="NOSDA $ BAU (Mantenimiento y peq. evolutivos)"/>
    <n v="1"/>
    <s v="Desarrollador"/>
    <s v="Distribuido"/>
    <m/>
    <e v="#NAME?"/>
    <x v="0"/>
    <e v="#NAME?"/>
    <m/>
    <m/>
    <m/>
    <m/>
    <m/>
    <m/>
  </r>
  <r>
    <s v="T003701"/>
    <s v="CORREA HURTADO KEVIN ALEJANDRO"/>
    <x v="0"/>
    <s v="Netcash"/>
    <s v="GGI / CMC"/>
    <x v="0"/>
    <s v="NOSDA $ BAU (Mantenimiento y peq. evolutivos)"/>
    <n v="1"/>
    <s v="Desarrollador"/>
    <s v="Distribuido"/>
    <m/>
    <e v="#NAME?"/>
    <x v="0"/>
    <e v="#NAME?"/>
    <m/>
    <m/>
    <m/>
    <m/>
    <m/>
    <m/>
  </r>
  <r>
    <s v="CE64257"/>
    <s v="DIAZ SALAZAR EDILBERTO"/>
    <x v="0"/>
    <s v="Netcash"/>
    <s v="KRYPTO"/>
    <x v="0"/>
    <s v="NOSDA $ BAU (Mantenimiento y peq. evolutivos)"/>
    <n v="1"/>
    <s v="Otros"/>
    <s v="Distribuido"/>
    <m/>
    <e v="#NAME?"/>
    <x v="0"/>
    <e v="#NAME?"/>
    <m/>
    <m/>
    <m/>
    <m/>
    <m/>
    <m/>
  </r>
  <r>
    <s v="C810910"/>
    <s v="OLIVOS FONSECA JONATHAN STEVEN"/>
    <x v="0"/>
    <s v="Netcash"/>
    <s v="BBVA"/>
    <x v="0"/>
    <s v="NOSDA $ BAU (Mantenimiento y peq. evolutivos)"/>
    <n v="0.5"/>
    <s v="Desarrollador"/>
    <s v="Distribuido"/>
    <m/>
    <e v="#NAME?"/>
    <x v="0"/>
    <e v="#NAME?"/>
    <m/>
    <m/>
    <m/>
    <m/>
    <m/>
    <m/>
  </r>
  <r>
    <s v="C810910"/>
    <s v="OLIVOS FONSECA JONATHAN STEVEN"/>
    <x v="0"/>
    <s v="Netcash"/>
    <s v="BBVA"/>
    <x v="0"/>
    <s v="SDATOOL-39246 $ Nuevo tipo de identificación para extranjeros"/>
    <n v="0.5"/>
    <s v="Desarrollador"/>
    <s v="Distribuido"/>
    <m/>
    <e v="#NAME?"/>
    <x v="0"/>
    <e v="#NAME?"/>
    <m/>
    <m/>
    <m/>
    <m/>
    <m/>
    <m/>
  </r>
  <r>
    <s v="T004577"/>
    <s v="PINEDA MAHECHA PABLO ENRIQUE"/>
    <x v="0"/>
    <s v="Netcash"/>
    <s v="GGI / CMC"/>
    <x v="0"/>
    <s v="NOSDA $ BAU (Mantenimiento y peq. evolutivos)"/>
    <n v="1"/>
    <s v="Desarrollador"/>
    <s v="Distribuido"/>
    <m/>
    <e v="#NAME?"/>
    <x v="0"/>
    <e v="#NAME?"/>
    <m/>
    <m/>
    <m/>
    <m/>
    <m/>
    <m/>
  </r>
  <r>
    <s v="CE60509"/>
    <s v="RODRIGUEZ RIVERA ANDRES CAMILO"/>
    <x v="0"/>
    <s v="Netcash"/>
    <s v="GGI / CMC"/>
    <x v="0"/>
    <s v="SDATOOL-39840 $ BBVA Valores en Canales (Net Cash / Net)"/>
    <n v="1"/>
    <s v="Desarrollador"/>
    <s v="Distribuido"/>
    <m/>
    <e v="#NAME?"/>
    <x v="0"/>
    <e v="#NAME?"/>
    <m/>
    <m/>
    <m/>
    <m/>
    <m/>
    <m/>
  </r>
  <r>
    <s v="CE70171"/>
    <s v="CASALLAS LEGUIZAMON NELSON SEBASTIAN"/>
    <x v="0"/>
    <s v="Netcash"/>
    <s v="GGI / CMC"/>
    <x v="0"/>
    <s v="NOSDA $ BAU (Mantenimiento y peq. evolutivos)"/>
    <n v="1"/>
    <s v="Desarrollador"/>
    <s v="Distribuido"/>
    <m/>
    <e v="#NAME?"/>
    <x v="0"/>
    <e v="#NAME?"/>
    <m/>
    <m/>
    <m/>
    <m/>
    <m/>
    <m/>
  </r>
  <r>
    <s v="C810855"/>
    <s v="PALACIO CHAVES ANDRES FELIPE"/>
    <x v="0"/>
    <s v="Netcash"/>
    <s v="BBVA"/>
    <x v="0"/>
    <s v="SDATOOL-40482 $ Incluir tasa ponderada en Adquirencia Onboarding digital - Netcash"/>
    <n v="1"/>
    <s v="Desarrollador"/>
    <s v="Distribuido"/>
    <m/>
    <e v="#NAME?"/>
    <x v="0"/>
    <e v="#NAME?"/>
    <m/>
    <m/>
    <m/>
    <m/>
    <m/>
    <m/>
  </r>
  <r>
    <s v="C809514"/>
    <s v="MUÑOZ CEDANO LEONEL"/>
    <x v="0"/>
    <s v="Netcash"/>
    <s v="BBVA"/>
    <x v="0"/>
    <s v="SDATOOL-37425 $ Recaudo DIAN Tarjetas de Crédito Propio Banco través del Botón de pagos PSE para los canales Banca Personas y Banca de Empresas"/>
    <n v="1"/>
    <s v="Desarrollador"/>
    <s v="Distribuido"/>
    <m/>
    <e v="#NAME?"/>
    <x v="0"/>
    <e v="#NAME?"/>
    <m/>
    <m/>
    <m/>
    <m/>
    <m/>
    <m/>
  </r>
  <r>
    <s v="CE66043"/>
    <s v="QUINTERO GAITÁN CRISTIAN ALBERTO"/>
    <x v="0"/>
    <s v="Netcash"/>
    <s v="GGI / CMC"/>
    <x v="0"/>
    <s v="SDATOOL-40482 $ Incluir tasa ponderada en Adquirencia Onboarding digital - Netcash"/>
    <n v="0.5"/>
    <s v="Desarrollador"/>
    <s v="Distribuido"/>
    <m/>
    <e v="#NAME?"/>
    <x v="0"/>
    <e v="#NAME?"/>
    <m/>
    <m/>
    <m/>
    <m/>
    <m/>
    <m/>
  </r>
  <r>
    <s v="CE66043"/>
    <s v="QUINTERO GAITÁN CRISTIAN ALBERTO"/>
    <x v="0"/>
    <s v="Netcash"/>
    <s v="GGI / CMC"/>
    <x v="0"/>
    <s v="SDATOOL-39358 $ Crédito Virtual"/>
    <n v="0.5"/>
    <s v="Desarrollador"/>
    <s v="Distribuido"/>
    <m/>
    <e v="#NAME?"/>
    <x v="0"/>
    <e v="#NAME?"/>
    <m/>
    <m/>
    <m/>
    <m/>
    <m/>
    <m/>
  </r>
  <r>
    <s v="CE70945"/>
    <s v="PENA DIAZ EDGAR SEBASTIAN"/>
    <x v="0"/>
    <s v="Netcash"/>
    <s v="GGI / CMC"/>
    <x v="0"/>
    <s v="SDATOOL-40482 $ Incluir tasa ponderada en Adquirencia Onboarding digital - Netcash"/>
    <n v="0.5"/>
    <s v="Desarrollador"/>
    <s v="Distribuido"/>
    <m/>
    <e v="#NAME?"/>
    <x v="0"/>
    <e v="#NAME?"/>
    <m/>
    <m/>
    <m/>
    <m/>
    <m/>
    <m/>
  </r>
  <r>
    <s v="CE70945"/>
    <s v="PENA DIAZ EDGAR SEBASTIAN"/>
    <x v="0"/>
    <s v="Netcash"/>
    <s v="GGI / CMC"/>
    <x v="0"/>
    <s v="SDATOOL-40555 $ ADELANTO DE VENTA EN GEMA"/>
    <n v="0.5"/>
    <s v="Desarrollador"/>
    <s v="Cells"/>
    <m/>
    <e v="#NAME?"/>
    <x v="0"/>
    <e v="#NAME?"/>
    <m/>
    <m/>
    <m/>
    <m/>
    <m/>
    <m/>
  </r>
  <r>
    <s v="CE67424"/>
    <s v="JIMENEZ MUÑOZ ANA MARIA"/>
    <x v="0"/>
    <s v="Netcash"/>
    <s v="GGI / CMC"/>
    <x v="0"/>
    <s v="SDATOOL-40482 $ Incluir tasa ponderada en Adquirencia Onboarding digital - Netcash"/>
    <n v="0.5"/>
    <s v="QA"/>
    <s v="Distribuido"/>
    <m/>
    <e v="#NAME?"/>
    <x v="0"/>
    <e v="#NAME?"/>
    <m/>
    <m/>
    <m/>
    <m/>
    <m/>
    <m/>
  </r>
  <r>
    <s v="CE67424"/>
    <s v="JIMENEZ MUÑOZ ANA MARIA"/>
    <x v="0"/>
    <s v="Netcash"/>
    <s v="GGI / CMC"/>
    <x v="0"/>
    <s v="SDATOOL-37425 $ Recaudo DIAN Tarjetas de Crédito Propio Banco través del Botón de pagos PSE para los canales Banca Personas y Banca de Empresas"/>
    <n v="0.5"/>
    <s v="QA"/>
    <s v="Distribuido"/>
    <m/>
    <e v="#NAME?"/>
    <x v="0"/>
    <e v="#NAME?"/>
    <m/>
    <m/>
    <m/>
    <m/>
    <m/>
    <m/>
  </r>
  <r>
    <s v="CE70844"/>
    <s v="CORONADO ALVARO FELIPE"/>
    <x v="0"/>
    <s v="Netcash"/>
    <s v="GGI / CMC"/>
    <x v="0"/>
    <s v="SDATOOL-40482 $ Incluir tasa ponderada en Adquirencia Onboarding digital - Netcash"/>
    <n v="1"/>
    <s v="Desarrollador"/>
    <s v="Distribuido"/>
    <m/>
    <e v="#NAME?"/>
    <x v="0"/>
    <e v="#NAME?"/>
    <m/>
    <m/>
    <m/>
    <m/>
    <m/>
    <m/>
  </r>
  <r>
    <s v="CE70149"/>
    <s v="ALDANA ROJAS TIHAMER KARLOVICH"/>
    <x v="0"/>
    <s v="Netcash"/>
    <s v="GGI / CMC"/>
    <x v="0"/>
    <s v="SDATOOL-37425 $ Recaudo DIAN Tarjetas de Crédito Propio Banco través del Botón de pagos PSE para los canales Banca Personas y Banca de Empresas"/>
    <n v="1"/>
    <s v="Desarrollador"/>
    <s v="Distribuido"/>
    <m/>
    <e v="#NAME?"/>
    <x v="0"/>
    <e v="#NAME?"/>
    <m/>
    <m/>
    <m/>
    <m/>
    <m/>
    <m/>
  </r>
  <r>
    <s v="C811408"/>
    <s v="BENITEZ ATENCIA JAIME RAFAEL"/>
    <x v="0"/>
    <s v="Netcash"/>
    <s v="BBVA"/>
    <x v="0"/>
    <s v="SDATOOL-40555 $ ADELANTO DE VENTA EN GEMA"/>
    <n v="0.5"/>
    <s v="Desarrollador"/>
    <s v="APX"/>
    <m/>
    <e v="#NAME?"/>
    <x v="0"/>
    <e v="#NAME?"/>
    <m/>
    <m/>
    <m/>
    <m/>
    <m/>
    <m/>
  </r>
  <r>
    <s v="C811408"/>
    <s v="BENITEZ ATENCIA JAIME RAFAEL"/>
    <x v="0"/>
    <s v="Netcash"/>
    <s v="BBVA"/>
    <x v="0"/>
    <s v="SDATOOL-40482 $ Incluir tasa ponderada en Adquirencia Onboarding digital - Netcash"/>
    <n v="0.5"/>
    <s v="Desarrollador"/>
    <s v="APX"/>
    <m/>
    <e v="#NAME?"/>
    <x v="0"/>
    <e v="#NAME?"/>
    <m/>
    <m/>
    <m/>
    <m/>
    <m/>
    <m/>
  </r>
  <r>
    <s v="T005725"/>
    <s v="NARANJO WILMER FERNEY"/>
    <x v="0"/>
    <s v="Netcash"/>
    <s v="GGI / CMC"/>
    <x v="0"/>
    <s v="SDATOOL-40482 $ Incluir tasa ponderada en Adquirencia Onboarding digital - Netcash"/>
    <n v="1"/>
    <s v="Desarrollador"/>
    <s v="APX"/>
    <m/>
    <e v="#NAME?"/>
    <x v="0"/>
    <e v="#NAME?"/>
    <m/>
    <m/>
    <m/>
    <m/>
    <m/>
    <m/>
  </r>
  <r>
    <s v="-"/>
    <s v="JERSON SANCHEZ"/>
    <x v="0"/>
    <s v="Netcash"/>
    <s v="GGI / CMC"/>
    <x v="0"/>
    <s v="SDATOOL-40482 $ Incluir tasa ponderada en Adquirencia Onboarding digital - Netcash"/>
    <n v="1"/>
    <s v="Desarrollador"/>
    <s v="Otras Tec."/>
    <m/>
    <e v="#NAME?"/>
    <x v="0"/>
    <e v="#NAME?"/>
    <m/>
    <m/>
    <m/>
    <m/>
    <m/>
    <m/>
  </r>
  <r>
    <s v="CE58491"/>
    <s v="RICARDO AGUSTIN PACHON PIRAGAUTA"/>
    <x v="1"/>
    <s v="Fiduciaria"/>
    <s v="Inetum"/>
    <x v="0"/>
    <s v="SDATOOL-40242 $ Fiduciaria - Obsolescencia software Base aplicativo MIDAS"/>
    <n v="0.5"/>
    <s v="Otros"/>
    <s v="Distribuido"/>
    <m/>
    <e v="#NAME?"/>
    <x v="0"/>
    <e v="#NAME?"/>
    <m/>
    <m/>
    <m/>
    <m/>
    <m/>
    <m/>
  </r>
  <r>
    <s v="O000083"/>
    <s v="Oscar Ivan Muñoz Alvarez"/>
    <x v="1"/>
    <s v="Fiduciaria"/>
    <s v="BBVA Fiduciaria"/>
    <x v="0"/>
    <s v="SDATOOL-32520 $ CDD Based Reporting - Colombia"/>
    <n v="1"/>
    <s v="Otros"/>
    <s v="Distribuido"/>
    <m/>
    <e v="#NAME?"/>
    <x v="0"/>
    <e v="#NAME?"/>
    <m/>
    <m/>
    <m/>
    <m/>
    <m/>
    <m/>
  </r>
  <r>
    <s v="CI35435"/>
    <s v="Soraida Cujavante Sierra"/>
    <x v="1"/>
    <s v="Fiduciaria"/>
    <s v="BBVA Fiduciaria"/>
    <x v="0"/>
    <s v="NOSDA $ BAU (Mantenimiento y peq. evolutivos)"/>
    <n v="0.75"/>
    <s v="Otros"/>
    <s v="Distribuido"/>
    <m/>
    <e v="#NAME?"/>
    <x v="0"/>
    <e v="#NAME?"/>
    <m/>
    <m/>
    <m/>
    <m/>
    <m/>
    <m/>
  </r>
  <r>
    <s v="CI35407"/>
    <s v="Elkin David Fuentes Rodríguez"/>
    <x v="1"/>
    <s v="Fiduciaria"/>
    <s v="BBVA Fiduciaria"/>
    <x v="0"/>
    <s v="NOSDA $ BAU (Mantenimiento y peq. evolutivos)"/>
    <n v="0.75"/>
    <s v="Otros"/>
    <s v="Distribuido"/>
    <m/>
    <e v="#NAME?"/>
    <x v="0"/>
    <e v="#NAME?"/>
    <m/>
    <m/>
    <m/>
    <m/>
    <m/>
    <m/>
  </r>
  <r>
    <s v="CI01204"/>
    <s v="Celso Hernández Torres"/>
    <x v="1"/>
    <s v="Fiduciaria"/>
    <s v="BBVA Fiduciaria"/>
    <x v="0"/>
    <s v="NOSDA $ BAU (Mantenimiento y peq. evolutivos)"/>
    <n v="0.75"/>
    <s v="Tech Manager/Líder"/>
    <s v="Distribuido"/>
    <m/>
    <e v="#NAME?"/>
    <x v="0"/>
    <e v="#NAME?"/>
    <m/>
    <m/>
    <m/>
    <m/>
    <m/>
    <m/>
  </r>
  <r>
    <s v="CI01204"/>
    <s v="Celso Hernández Torres"/>
    <x v="1"/>
    <s v="Fiduciaria"/>
    <s v="BBVA Fiduciaria"/>
    <x v="0"/>
    <s v="SDATOOL-39283 $ Fiduciaria - Obsolescencia software Base aplicativo Central"/>
    <n v="0.25"/>
    <s v="Tech Manager/Líder"/>
    <s v="Distribuido"/>
    <m/>
    <e v="#NAME?"/>
    <x v="0"/>
    <e v="#NAME?"/>
    <m/>
    <m/>
    <m/>
    <m/>
    <m/>
    <m/>
  </r>
  <r>
    <s v="CI35375"/>
    <s v="Luis Rodrigo Ulloa Marin"/>
    <x v="1"/>
    <s v="Fiduciaria"/>
    <s v="BBVA Fiduciaria"/>
    <x v="0"/>
    <s v="SDATOOL-40242 $ Fiduciaria - Obsolescencia software Base aplicativo MIDAS"/>
    <n v="0.25"/>
    <s v="Tech Manager/Líder"/>
    <s v="Distribuido"/>
    <m/>
    <e v="#NAME?"/>
    <x v="0"/>
    <e v="#NAME?"/>
    <m/>
    <m/>
    <m/>
    <m/>
    <m/>
    <m/>
  </r>
  <r>
    <s v="CI35375"/>
    <s v="Luis Rodrigo Ulloa Marin"/>
    <x v="1"/>
    <s v="Fiduciaria"/>
    <s v="BBVA Fiduciaria"/>
    <x v="0"/>
    <s v="NOSDA $ BAU (Mantenimiento y peq. evolutivos)"/>
    <n v="0.25"/>
    <s v="Tech Manager/Líder"/>
    <s v="Distribuido"/>
    <m/>
    <e v="#NAME?"/>
    <x v="0"/>
    <e v="#NAME?"/>
    <m/>
    <m/>
    <m/>
    <m/>
    <m/>
    <m/>
  </r>
  <r>
    <s v="CI35407"/>
    <s v="Elkin David Fuentes Rodríguez"/>
    <x v="1"/>
    <s v="Fiduciaria"/>
    <s v="BBVA Fiduciaria"/>
    <x v="0"/>
    <s v="SDATOOL-40639 $ Fiduciaria -Obsolecencia Migración Softoken FIDUSAP R2 a NextGen"/>
    <n v="0.25"/>
    <s v="Otros"/>
    <s v="Distribuido"/>
    <m/>
    <e v="#NAME?"/>
    <x v="0"/>
    <e v="#NAME?"/>
    <m/>
    <m/>
    <m/>
    <m/>
    <m/>
    <m/>
  </r>
  <r>
    <s v="CI35435"/>
    <s v="Soraida Cujavante Sierra"/>
    <x v="1"/>
    <s v="Fiduciaria"/>
    <s v="BBVA Fiduciaria"/>
    <x v="0"/>
    <s v="SDATOOL-40548 $ Fiduciaria - Obsolecencia aplicativa, infraestructura e Insider aplicativo FIDUSAP"/>
    <n v="0.25"/>
    <s v="Otros"/>
    <s v="Distribuido"/>
    <m/>
    <e v="#NAME?"/>
    <x v="0"/>
    <e v="#NAME?"/>
    <m/>
    <m/>
    <m/>
    <m/>
    <m/>
    <m/>
  </r>
  <r>
    <s v="T011273"/>
    <s v="Brenda Liliana Sepúlveda Vega"/>
    <x v="1"/>
    <s v="Fiduciaria"/>
    <s v="BBVA Fiduciaria"/>
    <x v="0"/>
    <s v="SDATOOL-40548 $ Fiduciaria - Obsolecencia aplicativa, infraestructura e Insider aplicativo FIDUSAP"/>
    <n v="1"/>
    <s v="Otros"/>
    <s v="Distribuido"/>
    <m/>
    <e v="#NAME?"/>
    <x v="0"/>
    <e v="#NAME?"/>
    <m/>
    <m/>
    <m/>
    <m/>
    <m/>
    <m/>
  </r>
  <r>
    <s v="CI35406"/>
    <s v="Jenny Martinez Lopez"/>
    <x v="1"/>
    <s v="Fiduciaria"/>
    <s v="BBVA Fiduciaria"/>
    <x v="0"/>
    <s v="SDATOOL-40552 $ Fiduciaria - PSE Procesamiento y confirmación de pagos en línea"/>
    <n v="0.25"/>
    <s v="Tech Manager/Líder"/>
    <s v="Distribuido"/>
    <m/>
    <e v="#NAME?"/>
    <x v="0"/>
    <e v="#NAME?"/>
    <m/>
    <m/>
    <m/>
    <m/>
    <m/>
    <m/>
  </r>
  <r>
    <s v="CI35406"/>
    <s v="Jenny Martinez Lopez"/>
    <x v="1"/>
    <s v="Fiduciaria"/>
    <s v="BBVA Fiduciaria"/>
    <x v="0"/>
    <s v="NOSDA $ BAU (Mantenimiento y peq. evolutivos)"/>
    <n v="0.75"/>
    <s v="Otros"/>
    <s v="Distribuido"/>
    <m/>
    <e v="#NAME?"/>
    <x v="0"/>
    <e v="#NAME?"/>
    <m/>
    <m/>
    <m/>
    <m/>
    <m/>
    <m/>
  </r>
  <r>
    <s v="CI35202"/>
    <s v="Hugo Ferney Prieto Posso"/>
    <x v="1"/>
    <s v="Fiduciaria"/>
    <s v="BBVA Fiduciaria"/>
    <x v="0"/>
    <s v="NOSDA $ BAU (Mantenimiento y peq. evolutivos)"/>
    <n v="1"/>
    <s v="Otros"/>
    <s v="Distribuido"/>
    <m/>
    <e v="#NAME?"/>
    <x v="0"/>
    <e v="#NAME?"/>
    <m/>
    <m/>
    <m/>
    <m/>
    <m/>
    <m/>
  </r>
  <r>
    <s v="CI35375"/>
    <s v="Luis Rodrigo Ulloa Marin"/>
    <x v="1"/>
    <s v="Fiduciaria"/>
    <s v="BBVA Fiduciaria"/>
    <x v="0"/>
    <s v="SDATOOL-40812 $ Fiduciaria - Cambio de operador tecnologico para los documentos electronicos en la sociedad"/>
    <n v="0.16"/>
    <s v="Tech Manager/Líder"/>
    <s v="Distribuido"/>
    <m/>
    <e v="#NAME?"/>
    <x v="0"/>
    <e v="#NAME?"/>
    <m/>
    <m/>
    <m/>
    <m/>
    <m/>
    <m/>
  </r>
  <r>
    <s v="CE68033"/>
    <s v="Donoban Ricardo Figueredo Piragauta"/>
    <x v="1"/>
    <s v="Fiduciaria"/>
    <s v="BBVA Fiduciaria"/>
    <x v="0"/>
    <s v="NOSDA $ BAU (Mantenimiento y peq. evolutivos)"/>
    <n v="1"/>
    <s v="QA"/>
    <s v="Distribuido"/>
    <m/>
    <e v="#NAME?"/>
    <x v="0"/>
    <e v="#NAME?"/>
    <m/>
    <m/>
    <m/>
    <m/>
    <m/>
    <m/>
  </r>
  <r>
    <s v="CE58491"/>
    <s v="RICARDO AGUSTIN PACHON PIRAGAUTA"/>
    <x v="1"/>
    <s v="Fiduciaria"/>
    <s v="Inetum"/>
    <x v="0"/>
    <s v="NOSDA $ BAU (Mantenimiento y peq. evolutivos)"/>
    <n v="0.5"/>
    <s v="Otros"/>
    <m/>
    <m/>
    <e v="#NAME?"/>
    <x v="0"/>
    <e v="#NAME?"/>
    <m/>
    <m/>
    <m/>
    <m/>
    <m/>
    <m/>
  </r>
  <r>
    <s v="O001341"/>
    <s v="JOHN FREDDY JIMENEZ"/>
    <x v="5"/>
    <s v="CRM"/>
    <s v="BBVA"/>
    <x v="0"/>
    <s v="SDATOOL-40672 $ Plan CRM: Mejoras AUG (Banca Comercial y CSF) Equipo A"/>
    <n v="0.25"/>
    <s v="Tech Manager/Líder"/>
    <s v="Mainframe"/>
    <s v="BlueSpring"/>
    <e v="#NAME?"/>
    <x v="0"/>
    <e v="#NAME?"/>
    <m/>
    <m/>
    <m/>
    <n v="3"/>
    <n v="15"/>
    <m/>
  </r>
  <r>
    <s v="O001341"/>
    <s v="JOHN FREDDY JIMENEZ"/>
    <x v="5"/>
    <s v="CRM"/>
    <s v="BBVA"/>
    <x v="0"/>
    <s v="SDATOOL-40690 $ Plan CRM: Mejoras AUG (Banca Comercial y CSF) Equipo B"/>
    <n v="0.3"/>
    <s v="Tech Manager/Líder"/>
    <s v="Cells"/>
    <s v="ASO , APX"/>
    <e v="#NAME?"/>
    <x v="0"/>
    <e v="#NAME?"/>
    <m/>
    <m/>
    <m/>
    <n v="3"/>
    <n v="11"/>
    <m/>
  </r>
  <r>
    <s v="O001341"/>
    <s v="JOHN FREDDY JIMENEZ"/>
    <x v="5"/>
    <s v="CRM"/>
    <s v="BBVA"/>
    <x v="0"/>
    <s v="SDATOOL-37121 $ Plan CRM: Seguimiento al pipeline"/>
    <n v="0.3"/>
    <s v="Tech Manager/Líder"/>
    <s v="Cells"/>
    <s v="ASO , APX"/>
    <e v="#NAME?"/>
    <x v="0"/>
    <e v="#NAME?"/>
    <m/>
    <m/>
    <m/>
    <n v="1"/>
    <n v="12"/>
    <m/>
  </r>
  <r>
    <s v="O001341"/>
    <s v="JOHN FREDDY JIMENEZ"/>
    <x v="5"/>
    <s v="CRM"/>
    <s v="BBVA"/>
    <x v="0"/>
    <s v="NOSDA $ BAU (Mantenimiento y peq. evolutivos)"/>
    <n v="0.1"/>
    <s v="Tech Manager/Líder"/>
    <s v="Mainframe"/>
    <s v="BlueSpring"/>
    <e v="#NAME?"/>
    <x v="0"/>
    <e v="#NAME?"/>
    <m/>
    <m/>
    <m/>
    <m/>
    <m/>
    <m/>
  </r>
  <r>
    <s v="C805963"/>
    <s v="GORGETH MOSCARELLA MARTÍNEZ"/>
    <x v="5"/>
    <s v="CRM"/>
    <s v="BBVA"/>
    <x v="0"/>
    <s v="SDATOOL-40672 $ Plan CRM: Mejoras AUG (Banca Comercial y CSF) Equipo A"/>
    <n v="1"/>
    <s v="Desarrollador"/>
    <s v="Mainframe"/>
    <m/>
    <e v="#NAME?"/>
    <x v="0"/>
    <e v="#NAME?"/>
    <m/>
    <m/>
    <m/>
    <m/>
    <m/>
    <m/>
  </r>
  <r>
    <s v="C805996"/>
    <s v="DANIEL ORLANDO GARZON"/>
    <x v="5"/>
    <s v="CRM"/>
    <s v="BBVA"/>
    <x v="0"/>
    <s v="SDATOOL-40690 $ Plan CRM: Mejoras AUG (Banca Comercial y CSF) Equipo B"/>
    <n v="1"/>
    <s v="Desarrollador"/>
    <s v="Mainframe"/>
    <m/>
    <e v="#NAME?"/>
    <x v="0"/>
    <e v="#NAME?"/>
    <m/>
    <m/>
    <m/>
    <m/>
    <m/>
    <m/>
  </r>
  <r>
    <s v="C810813"/>
    <s v="RUBIANO MARIN WILLIAM EDUARDO"/>
    <x v="5"/>
    <s v="CRM"/>
    <s v="BBVA"/>
    <x v="0"/>
    <s v="SDATOOL-40672 $ Plan CRM: Mejoras AUG (Banca Comercial y CSF) Equipo A"/>
    <n v="0.8"/>
    <s v="Desarrollador"/>
    <s v="ASO"/>
    <m/>
    <e v="#NAME?"/>
    <x v="0"/>
    <e v="#NAME?"/>
    <m/>
    <m/>
    <m/>
    <m/>
    <m/>
    <m/>
  </r>
  <r>
    <s v="C810813"/>
    <s v="RUBIANO MARIN WILLIAM EDUARDO"/>
    <x v="5"/>
    <s v="CRM"/>
    <s v="BBVA"/>
    <x v="0"/>
    <s v="NOSDA $ BAU (Mantenimiento y peq. evolutivos)"/>
    <n v="0.2"/>
    <s v="Desarrollador"/>
    <s v="ASO"/>
    <m/>
    <e v="#NAME?"/>
    <x v="0"/>
    <e v="#NAME?"/>
    <m/>
    <m/>
    <m/>
    <m/>
    <m/>
    <m/>
  </r>
  <r>
    <s v="C341736"/>
    <s v="GUEVARA CASTRO JUAN ANDRES"/>
    <x v="5"/>
    <s v="CRM"/>
    <s v="BBVA"/>
    <x v="0"/>
    <s v="SDATOOL-40672 $ Plan CRM: Mejoras AUG (Banca Comercial y CSF) Equipo A"/>
    <n v="0.8"/>
    <s v="Desarrollador"/>
    <s v="Mainframe"/>
    <m/>
    <e v="#NAME?"/>
    <x v="0"/>
    <e v="#NAME?"/>
    <m/>
    <m/>
    <m/>
    <m/>
    <m/>
    <m/>
  </r>
  <r>
    <s v="C341736"/>
    <s v="GUEVARA CASTRO JUAN ANDRES"/>
    <x v="5"/>
    <s v="CRM"/>
    <s v="BBVA"/>
    <x v="0"/>
    <s v="NOSDA $ BAU (Mantenimiento y peq. evolutivos)"/>
    <n v="0.2"/>
    <s v="Desarrollador"/>
    <s v="Mainframe"/>
    <m/>
    <e v="#NAME?"/>
    <x v="0"/>
    <e v="#NAME?"/>
    <m/>
    <m/>
    <m/>
    <m/>
    <m/>
    <m/>
  </r>
  <r>
    <s v="CE69608"/>
    <s v="JULIETH ALEJANDRA BERMUDEZ BERNAL"/>
    <x v="5"/>
    <s v="CRM"/>
    <s v="Choucair"/>
    <x v="0"/>
    <s v="SDATOOL-40672 $ Plan CRM: Mejoras AUG (Banca Comercial y CSF) Equipo A"/>
    <n v="0.8"/>
    <s v="QA"/>
    <s v="Distribuido"/>
    <m/>
    <e v="#NAME?"/>
    <x v="0"/>
    <e v="#NAME?"/>
    <m/>
    <m/>
    <m/>
    <m/>
    <m/>
    <m/>
  </r>
  <r>
    <s v="T007662"/>
    <s v="ADRIANA MARCELA RODRIGUEZ"/>
    <x v="5"/>
    <s v="CRM"/>
    <s v="Neoris"/>
    <x v="0"/>
    <s v="SDATOOL-40672 $ Plan CRM: Mejoras AUG (Banca Comercial y CSF) Equipo A"/>
    <n v="0.5"/>
    <s v="Tech Manager/Líder"/>
    <s v="Distribuido"/>
    <m/>
    <e v="#NAME?"/>
    <x v="0"/>
    <e v="#NAME?"/>
    <m/>
    <m/>
    <m/>
    <m/>
    <m/>
    <m/>
  </r>
  <r>
    <s v="T007663"/>
    <s v="ANDRES ALBERTO SAENZ CORDERO"/>
    <x v="5"/>
    <s v="CRM"/>
    <s v="Neoris"/>
    <x v="0"/>
    <s v="SDATOOL-40672 $ Plan CRM: Mejoras AUG (Banca Comercial y CSF) Equipo A"/>
    <n v="1"/>
    <s v="Desarrollador"/>
    <s v="Distribuido"/>
    <m/>
    <e v="#NAME?"/>
    <x v="0"/>
    <e v="#NAME?"/>
    <m/>
    <m/>
    <m/>
    <m/>
    <m/>
    <m/>
  </r>
  <r>
    <s v="CE71171"/>
    <s v="DIANA MARCELA MORENO ORTIZ"/>
    <x v="5"/>
    <s v="CRM"/>
    <s v="Neoris"/>
    <x v="0"/>
    <s v="SDATOOL-40672 $ Plan CRM: Mejoras AUG (Banca Comercial y CSF) Equipo A"/>
    <n v="1"/>
    <s v="Desarrollador"/>
    <s v="Distribuido"/>
    <m/>
    <e v="#NAME?"/>
    <x v="0"/>
    <e v="#NAME?"/>
    <m/>
    <m/>
    <m/>
    <m/>
    <m/>
    <m/>
  </r>
  <r>
    <s v="T002801"/>
    <s v="DAVID GONZALO LARA DIAZ"/>
    <x v="5"/>
    <s v="CRM"/>
    <s v="Neoris"/>
    <x v="0"/>
    <s v="SDATOOL-40672 $ Plan CRM: Mejoras AUG (Banca Comercial y CSF) Equipo A"/>
    <n v="1"/>
    <s v="Desarrollador"/>
    <s v="Distribuido"/>
    <m/>
    <e v="#NAME?"/>
    <x v="0"/>
    <e v="#NAME?"/>
    <m/>
    <m/>
    <m/>
    <m/>
    <m/>
    <m/>
  </r>
  <r>
    <s v="CE57066"/>
    <s v="LUIS EDIER BERMUDEZ RIOS"/>
    <x v="5"/>
    <s v="CRM"/>
    <s v="Neoris"/>
    <x v="0"/>
    <s v="SDATOOL-40672 $ Plan CRM: Mejoras AUG (Banca Comercial y CSF) Equipo A"/>
    <n v="1"/>
    <s v="Desarrollador"/>
    <s v="Distribuido"/>
    <m/>
    <e v="#NAME?"/>
    <x v="0"/>
    <e v="#NAME?"/>
    <m/>
    <m/>
    <m/>
    <m/>
    <m/>
    <m/>
  </r>
  <r>
    <s v="T002010"/>
    <s v="SAIR GIOVANNY GARCIA BEJARANO"/>
    <x v="5"/>
    <s v="CRM"/>
    <s v="Neoris"/>
    <x v="0"/>
    <s v="SDATOOL-40672 $ Plan CRM: Mejoras AUG (Banca Comercial y CSF) Equipo A"/>
    <n v="1"/>
    <s v="Desarrollador"/>
    <s v="Distribuido"/>
    <m/>
    <e v="#NAME?"/>
    <x v="0"/>
    <e v="#NAME?"/>
    <m/>
    <m/>
    <m/>
    <m/>
    <m/>
    <m/>
  </r>
  <r>
    <s v="NO TIENE"/>
    <s v="JAIR ERNESTO CABRA MENJURA-REEMPLAZO THALIA"/>
    <x v="5"/>
    <s v="CRM"/>
    <s v="Neoris"/>
    <x v="0"/>
    <s v="SDATOOL-40672 $ Plan CRM: Mejoras AUG (Banca Comercial y CSF) Equipo A"/>
    <n v="1"/>
    <s v="Desarrollador"/>
    <s v="Distribuido"/>
    <m/>
    <e v="#NAME?"/>
    <x v="0"/>
    <e v="#NAME?"/>
    <m/>
    <m/>
    <m/>
    <m/>
    <m/>
    <m/>
  </r>
  <r>
    <s v="T008182"/>
    <s v="ALEXANDRA BARBARA QUINDE DIAZ"/>
    <x v="5"/>
    <s v="CRM"/>
    <s v="Neoris"/>
    <x v="0"/>
    <s v="SDATOOL-40672 $ Plan CRM: Mejoras AUG (Banca Comercial y CSF) Equipo A"/>
    <n v="1"/>
    <s v="Desarrollador"/>
    <s v="Distribuido"/>
    <m/>
    <e v="#NAME?"/>
    <x v="0"/>
    <e v="#NAME?"/>
    <m/>
    <m/>
    <m/>
    <m/>
    <m/>
    <m/>
  </r>
  <r>
    <s v="T008150"/>
    <s v="BRIGGTTE ALMENDRA BARBOZA NIETO"/>
    <x v="5"/>
    <s v="CRM"/>
    <s v="Neoris"/>
    <x v="0"/>
    <s v="SDATOOL-40672 $ Plan CRM: Mejoras AUG (Banca Comercial y CSF) Equipo A"/>
    <n v="1"/>
    <s v="Desarrollador"/>
    <s v="Distribuido"/>
    <m/>
    <e v="#NAME?"/>
    <x v="0"/>
    <e v="#NAME?"/>
    <m/>
    <m/>
    <m/>
    <m/>
    <m/>
    <m/>
  </r>
  <r>
    <s v="T008176"/>
    <s v="IRWIN WALTER ACOSTA CHAVARRI"/>
    <x v="5"/>
    <s v="CRM"/>
    <s v="Neoris"/>
    <x v="0"/>
    <s v="SDATOOL-40672 $ Plan CRM: Mejoras AUG (Banca Comercial y CSF) Equipo A"/>
    <n v="1"/>
    <s v="Desarrollador"/>
    <s v="Distribuido"/>
    <m/>
    <e v="#NAME?"/>
    <x v="0"/>
    <e v="#NAME?"/>
    <m/>
    <m/>
    <m/>
    <m/>
    <m/>
    <m/>
  </r>
  <r>
    <s v="O000191"/>
    <s v="YELITZA ANDREA BOHORQUEZ BEDOYA"/>
    <x v="5"/>
    <s v="CRM"/>
    <s v="BBVA"/>
    <x v="0"/>
    <s v="SDATOOL-40690 $ Plan CRM: Mejoras AUG (Banca Comercial y CSF) Equipo B"/>
    <n v="1"/>
    <s v="Desarrollador"/>
    <s v="Mainframe"/>
    <m/>
    <e v="#NAME?"/>
    <x v="0"/>
    <e v="#NAME?"/>
    <m/>
    <m/>
    <m/>
    <m/>
    <m/>
    <m/>
  </r>
  <r>
    <s v="O002496"/>
    <s v="JESUS HUMBERTO MORENO ROJAS"/>
    <x v="5"/>
    <s v="CRM"/>
    <s v="BBVA"/>
    <x v="0"/>
    <s v="SDATOOL-40690 $ Plan CRM: Mejoras AUG (Banca Comercial y CSF) Equipo B"/>
    <n v="0.95"/>
    <s v="Desarrollador"/>
    <s v="Distribuido"/>
    <m/>
    <e v="#NAME?"/>
    <x v="0"/>
    <e v="#NAME?"/>
    <m/>
    <m/>
    <m/>
    <m/>
    <m/>
    <m/>
  </r>
  <r>
    <s v="CE69969"/>
    <s v="GUISELL DAYAN DIAZ BLANCO"/>
    <x v="5"/>
    <s v="CRM"/>
    <s v="Choucair"/>
    <x v="0"/>
    <s v="SDATOOL-40690 $ Plan CRM: Mejoras AUG (Banca Comercial y CSF) Equipo B"/>
    <n v="1"/>
    <s v="QA"/>
    <s v="Distribuido"/>
    <m/>
    <e v="#NAME?"/>
    <x v="0"/>
    <e v="#NAME?"/>
    <m/>
    <m/>
    <m/>
    <m/>
    <m/>
    <m/>
  </r>
  <r>
    <s v="CE47376"/>
    <s v="RUBEN DARIO DIAZ"/>
    <x v="5"/>
    <s v="CRM"/>
    <s v="Neoris"/>
    <x v="0"/>
    <s v="SDATOOL-40690 $ Plan CRM: Mejoras AUG (Banca Comercial y CSF) Equipo B"/>
    <n v="1"/>
    <s v="Desarrollador"/>
    <s v="Mainframe"/>
    <m/>
    <e v="#NAME?"/>
    <x v="0"/>
    <e v="#NAME?"/>
    <m/>
    <m/>
    <m/>
    <m/>
    <m/>
    <m/>
  </r>
  <r>
    <s v="CE66885"/>
    <s v="ADRIÁN RICARDO ROJAS VILLEGAS"/>
    <x v="5"/>
    <s v="CRM"/>
    <s v="Meraki"/>
    <x v="0"/>
    <s v="SDATOOL-40690 $ Plan CRM: Mejoras AUG (Banca Comercial y CSF) Equipo B"/>
    <n v="1"/>
    <s v="Desarrollador"/>
    <s v="Mainframe"/>
    <m/>
    <e v="#NAME?"/>
    <x v="0"/>
    <e v="#NAME?"/>
    <m/>
    <m/>
    <m/>
    <m/>
    <m/>
    <m/>
  </r>
  <r>
    <s v="CE66884"/>
    <s v="FRANK NICOLAS HERRAN"/>
    <x v="5"/>
    <s v="CRM"/>
    <s v="Meraki"/>
    <x v="0"/>
    <s v="SDATOOL-40690 $ Plan CRM: Mejoras AUG (Banca Comercial y CSF) Equipo B"/>
    <n v="1"/>
    <s v="Desarrollador"/>
    <s v="Mainframe"/>
    <m/>
    <e v="#NAME?"/>
    <x v="0"/>
    <e v="#NAME?"/>
    <m/>
    <m/>
    <m/>
    <m/>
    <m/>
    <m/>
  </r>
  <r>
    <s v="O001657"/>
    <s v="DUVAN ALEJANDRO RAMIREZ ROMERO"/>
    <x v="5"/>
    <s v="CRM"/>
    <s v="BBVA"/>
    <x v="0"/>
    <s v="SDATOOL-37121 $ Plan CRM: Seguimiento al pipeline"/>
    <n v="1"/>
    <s v="Desarrollador"/>
    <s v="ASO"/>
    <m/>
    <e v="#NAME?"/>
    <x v="0"/>
    <e v="#NAME?"/>
    <m/>
    <m/>
    <m/>
    <m/>
    <m/>
    <m/>
  </r>
  <r>
    <s v="O002419"/>
    <s v="JONATHAN GARZON PEÑA"/>
    <x v="5"/>
    <s v="CRM"/>
    <s v="BBVA"/>
    <x v="0"/>
    <s v="SDATOOL-37121 $ Plan CRM: Seguimiento al pipeline"/>
    <n v="1"/>
    <s v="Desarrollador"/>
    <s v="Distribuido"/>
    <m/>
    <e v="#NAME?"/>
    <x v="0"/>
    <e v="#NAME?"/>
    <m/>
    <m/>
    <m/>
    <m/>
    <m/>
    <m/>
  </r>
  <r>
    <s v="O001733"/>
    <s v="JUAN MANUEL FRAILE ROJAS"/>
    <x v="5"/>
    <s v="CRM"/>
    <s v="BBVA"/>
    <x v="0"/>
    <s v="SDATOOL-37121 $ Plan CRM: Seguimiento al pipeline"/>
    <n v="1"/>
    <s v="Desarrollador"/>
    <s v="Distribuido"/>
    <m/>
    <e v="#NAME?"/>
    <x v="0"/>
    <e v="#NAME?"/>
    <m/>
    <m/>
    <m/>
    <m/>
    <m/>
    <m/>
  </r>
  <r>
    <s v="CE68404"/>
    <s v="JORGE ARMANDO YANQUEN"/>
    <x v="5"/>
    <s v="CRM"/>
    <s v="Choucair"/>
    <x v="0"/>
    <s v="SDATOOL-37121 $ Plan CRM: Seguimiento al pipeline"/>
    <n v="1"/>
    <s v="QA"/>
    <s v="Otras Tec."/>
    <m/>
    <e v="#NAME?"/>
    <x v="0"/>
    <e v="#NAME?"/>
    <m/>
    <m/>
    <m/>
    <m/>
    <m/>
    <m/>
  </r>
  <r>
    <s v="O001341"/>
    <s v="JOHN FREDDY JIMENEZ"/>
    <x v="5"/>
    <s v="CRM"/>
    <s v="BBVA"/>
    <x v="0"/>
    <s v="SDATOOL-39272 $ GRM-Col-Cambio servicio APL (Aportes en línea)"/>
    <n v="0.05"/>
    <s v="Tech Manager/Líder"/>
    <s v="Distribuido"/>
    <m/>
    <e v="#NAME?"/>
    <x v="0"/>
    <e v="#NAME?"/>
    <m/>
    <m/>
    <m/>
    <m/>
    <m/>
    <m/>
  </r>
  <r>
    <s v="CE69608"/>
    <s v="JULIETH ALEJANDRA BERMUDEZ BERNAL"/>
    <x v="5"/>
    <s v="CRM"/>
    <s v="Choucair"/>
    <x v="0"/>
    <s v="SDATOOL-39272 $ GRM-Col-Cambio servicio APL (Aportes en línea)"/>
    <n v="0.2"/>
    <s v="QA"/>
    <s v="Distribuido"/>
    <s v="BlueSpring"/>
    <e v="#NAME?"/>
    <x v="0"/>
    <e v="#NAME?"/>
    <m/>
    <m/>
    <m/>
    <m/>
    <m/>
    <m/>
  </r>
  <r>
    <s v="O002496"/>
    <s v="JESUS HUMBERTO MORENO ROJAS"/>
    <x v="5"/>
    <s v="CRM"/>
    <s v="BBVA"/>
    <x v="0"/>
    <s v="SDATOOL-39272 $ GRM-Col-Cambio servicio APL (Aportes en línea)"/>
    <n v="0.05"/>
    <s v="Desarrollador"/>
    <s v="Distribuido"/>
    <s v="BlueSpring"/>
    <e v="#NAME?"/>
    <x v="0"/>
    <e v="#NAME?"/>
    <m/>
    <m/>
    <m/>
    <m/>
    <m/>
    <m/>
  </r>
  <r>
    <s v="CE69858"/>
    <s v="JULIÁN DAVID CASTAÑEDA"/>
    <x v="5"/>
    <s v="CRM"/>
    <s v="Meraki"/>
    <x v="0"/>
    <s v="SDATOOL-39272 $ GRM-Col-Cambio servicio APL (Aportes en línea)"/>
    <n v="1"/>
    <s v="Desarrollador"/>
    <s v="ASO"/>
    <s v="BlueSpring"/>
    <e v="#NAME?"/>
    <x v="0"/>
    <e v="#NAME?"/>
    <m/>
    <m/>
    <m/>
    <m/>
    <m/>
    <m/>
  </r>
  <r>
    <s v="CE52470"/>
    <s v="Diego Elejalde Cifuentes"/>
    <x v="5"/>
    <s v="CRM"/>
    <s v="SII"/>
    <x v="0"/>
    <s v="SDATOOL-40690 $ Plan CRM: Mejoras AUG (Banca Comercial y CSF) Equipo B"/>
    <n v="1"/>
    <s v="Desarrollador"/>
    <s v="Mainframe"/>
    <m/>
    <e v="#NAME?"/>
    <x v="0"/>
    <e v="#NAME?"/>
    <m/>
    <m/>
    <m/>
    <m/>
    <m/>
    <m/>
  </r>
  <r>
    <s v="CE51863"/>
    <s v="EDNA ROCIO MONCADA"/>
    <x v="5"/>
    <s v="CRM"/>
    <s v="KRYPTO"/>
    <x v="0"/>
    <s v="SDATOOL-40690 $ Plan CRM: Mejoras AUG (Banca Comercial y CSF) Equipo B"/>
    <n v="0.02"/>
    <s v="QA"/>
    <s v="Distribuido"/>
    <m/>
    <e v="#NAME?"/>
    <x v="0"/>
    <e v="#NAME?"/>
    <m/>
    <m/>
    <m/>
    <n v="2"/>
    <n v="2"/>
    <m/>
  </r>
  <r>
    <s v="CE51863"/>
    <s v="EDNA ROCIO MONCADA"/>
    <x v="5"/>
    <s v="CRM"/>
    <s v="KRYPTO"/>
    <x v="0"/>
    <s v="SDATOOL-37121 $ Plan CRM: Seguimiento al pipeline"/>
    <n v="0.02"/>
    <s v="QA"/>
    <s v="Distribuido"/>
    <m/>
    <e v="#NAME?"/>
    <x v="0"/>
    <e v="#NAME?"/>
    <m/>
    <m/>
    <m/>
    <n v="2"/>
    <n v="2"/>
    <m/>
  </r>
  <r>
    <s v="CE51863"/>
    <s v="EDNA ROCIO MONCADA"/>
    <x v="5"/>
    <s v="CRM"/>
    <s v="KRYPTO"/>
    <x v="0"/>
    <s v="SDATOOL-40672 $ Plan CRM: Mejoras AUG (Banca Comercial y CSF) Equipo A"/>
    <n v="0.02"/>
    <s v="QA"/>
    <s v="Distribuido"/>
    <m/>
    <e v="#NAME?"/>
    <x v="0"/>
    <e v="#NAME?"/>
    <m/>
    <m/>
    <m/>
    <n v="2"/>
    <n v="2"/>
    <m/>
  </r>
  <r>
    <s v="CE51863"/>
    <s v="EDNA ROCIO MONCADA"/>
    <x v="5"/>
    <s v="CRM"/>
    <s v="KRYPTO"/>
    <x v="0"/>
    <s v="NOSDA $ BAU (Mantenimiento y peq. evolutivos)"/>
    <n v="0.02"/>
    <s v="QA"/>
    <s v="Distribuido"/>
    <m/>
    <e v="#NAME?"/>
    <x v="0"/>
    <e v="#NAME?"/>
    <m/>
    <m/>
    <m/>
    <n v="2"/>
    <n v="2"/>
    <m/>
  </r>
  <r>
    <s v="CE51863"/>
    <s v="EDNA ROCIO MONCADA"/>
    <x v="5"/>
    <s v="Oficina"/>
    <s v="KRYPTO"/>
    <x v="0"/>
    <s v="NOSDA $ BAU (Mantenimiento y peq. evolutivos)"/>
    <n v="0.02"/>
    <s v="QA"/>
    <s v="Distribuido"/>
    <m/>
    <e v="#NAME?"/>
    <x v="0"/>
    <e v="#NAME?"/>
    <m/>
    <m/>
    <m/>
    <n v="2"/>
    <n v="2"/>
    <m/>
  </r>
  <r>
    <s v="CE51863"/>
    <s v="EDNA ROCIO MONCADA"/>
    <x v="5"/>
    <s v="Oficina"/>
    <s v="KRYPTO"/>
    <x v="0"/>
    <s v="SDATOOL-40269 $ Actualización y transmisión Declaraciones de Cambio – Banco de la República Abril 2022."/>
    <n v="0.02"/>
    <s v="QA"/>
    <s v="Otras Tec."/>
    <m/>
    <e v="#NAME?"/>
    <x v="0"/>
    <e v="#NAME?"/>
    <m/>
    <m/>
    <m/>
    <n v="1"/>
    <n v="1"/>
    <m/>
  </r>
  <r>
    <s v="CE51863"/>
    <s v="EDNA ROCIO MONCADA"/>
    <x v="5"/>
    <s v="Oficina"/>
    <s v="KRYPTO"/>
    <x v="0"/>
    <s v="SDATOOL-37294 $ Gestión de Tráfico en Oficinas"/>
    <n v="0.02"/>
    <s v="QA"/>
    <s v="Otras Tec."/>
    <m/>
    <e v="#NAME?"/>
    <x v="0"/>
    <e v="#NAME?"/>
    <m/>
    <m/>
    <m/>
    <n v="1"/>
    <n v="1"/>
    <m/>
  </r>
  <r>
    <s v="CE51863"/>
    <s v="EDNA ROCIO MONCADA"/>
    <x v="5"/>
    <s v="Oficina"/>
    <s v="KRYPTO"/>
    <x v="0"/>
    <s v="SDATOOL-37761 $ Plan transformación de procesos"/>
    <n v="0.02"/>
    <s v="QA"/>
    <s v="Otras Tec."/>
    <m/>
    <e v="#NAME?"/>
    <x v="0"/>
    <e v="#NAME?"/>
    <m/>
    <m/>
    <m/>
    <m/>
    <m/>
    <m/>
  </r>
  <r>
    <s v="CE54839"/>
    <s v="CARLOSFERNANDO SUAREZ"/>
    <x v="5"/>
    <s v="Oficina"/>
    <s v="Inetum"/>
    <x v="0"/>
    <s v="NOSDA $ BAU (Mantenimiento y peq. evolutivos)"/>
    <n v="0.5"/>
    <s v="QA"/>
    <s v="Otras Tec."/>
    <m/>
    <e v="#NAME?"/>
    <x v="0"/>
    <e v="#NAME?"/>
    <m/>
    <m/>
    <m/>
    <m/>
    <m/>
    <m/>
  </r>
  <r>
    <s v="CE52336"/>
    <s v="Cely Gutierrez Anderson Sneider"/>
    <x v="5"/>
    <s v="Oficina"/>
    <s v="Inetum"/>
    <x v="0"/>
    <s v="NOSDA $ BAU (Mantenimiento y peq. evolutivos)"/>
    <n v="1"/>
    <s v="Desarrollador"/>
    <s v="Distribuido"/>
    <m/>
    <e v="#NAME?"/>
    <x v="0"/>
    <e v="#NAME?"/>
    <m/>
    <m/>
    <m/>
    <m/>
    <m/>
    <m/>
  </r>
  <r>
    <s v="C805453"/>
    <s v="Cuervo Duran Francisco Hernan"/>
    <x v="5"/>
    <s v="Oficina"/>
    <s v="BBVA"/>
    <x v="0"/>
    <s v="SDATOOL-37761 $ Plan transformación de procesos"/>
    <n v="0.4"/>
    <s v="Desarrollador"/>
    <s v="Otras Tec."/>
    <m/>
    <e v="#NAME?"/>
    <x v="0"/>
    <e v="#NAME?"/>
    <m/>
    <m/>
    <m/>
    <m/>
    <m/>
    <m/>
  </r>
  <r>
    <s v="T002003"/>
    <s v="DIEGO ALEJANDRO ASTAZIA"/>
    <x v="5"/>
    <s v="Oficina"/>
    <s v="Choucair"/>
    <x v="0"/>
    <s v="SDATOOL-37761 $ Plan transformación de procesos"/>
    <n v="0.5"/>
    <s v="QA"/>
    <s v="Otras Tec."/>
    <m/>
    <e v="#NAME?"/>
    <x v="0"/>
    <e v="#NAME?"/>
    <m/>
    <m/>
    <m/>
    <m/>
    <m/>
    <m/>
  </r>
  <r>
    <s v="T002003"/>
    <s v="DIEGO ALEJANDRO ASTAZIA"/>
    <x v="5"/>
    <s v="Oficina"/>
    <s v="Choucair"/>
    <x v="0"/>
    <s v="NOSDA $ BAU (Mantenimiento y peq. evolutivos)"/>
    <n v="0.5"/>
    <s v="QA"/>
    <s v="Distribuido"/>
    <m/>
    <e v="#NAME?"/>
    <x v="0"/>
    <e v="#NAME?"/>
    <m/>
    <m/>
    <m/>
    <m/>
    <m/>
    <m/>
  </r>
  <r>
    <s v="O001338"/>
    <s v="DIVER ANDREY SUATERNA"/>
    <x v="5"/>
    <s v="Oficina"/>
    <s v="BBVA"/>
    <x v="0"/>
    <s v="SDATOOL-37294 $ Gestión de Tráfico en Oficinas"/>
    <n v="1"/>
    <s v="Desarrollador"/>
    <s v="ASO"/>
    <s v="apx"/>
    <e v="#NAME?"/>
    <x v="0"/>
    <e v="#NAME?"/>
    <m/>
    <m/>
    <m/>
    <m/>
    <m/>
    <m/>
  </r>
  <r>
    <s v="C811316"/>
    <s v="Gonzalez Cardenas Oscar"/>
    <x v="5"/>
    <s v="Oficina"/>
    <s v="BBVA"/>
    <x v="0"/>
    <s v="SDATOOL-41879 $ Apertura de oficina Mitu"/>
    <n v="0.5"/>
    <s v="Desarrollador"/>
    <s v="Mainframe"/>
    <m/>
    <e v="#NAME?"/>
    <x v="0"/>
    <e v="#NAME?"/>
    <m/>
    <m/>
    <m/>
    <m/>
    <m/>
    <m/>
  </r>
  <r>
    <s v="C805978"/>
    <s v="Jimenez Garcia Ariel Andres"/>
    <x v="5"/>
    <s v="Oficina"/>
    <s v="BBVA"/>
    <x v="0"/>
    <s v="SDATOOL-37294 $ Gestión de Tráfico en Oficinas"/>
    <n v="1"/>
    <s v="Desarrollador"/>
    <s v="Otras Tec."/>
    <m/>
    <e v="#NAME?"/>
    <x v="0"/>
    <e v="#NAME?"/>
    <m/>
    <m/>
    <m/>
    <m/>
    <m/>
    <m/>
  </r>
  <r>
    <s v="O001338"/>
    <s v="MARIAMM YULIETH ALVAREZ"/>
    <x v="5"/>
    <s v="Oficina"/>
    <s v="BBVA"/>
    <x v="0"/>
    <s v="NOSDA $ BAU (Mantenimiento y peq. evolutivos)"/>
    <n v="0.2"/>
    <s v="Tech Manager/Líder"/>
    <s v="Otras Tec."/>
    <m/>
    <e v="#NAME?"/>
    <x v="0"/>
    <e v="#NAME?"/>
    <m/>
    <m/>
    <m/>
    <m/>
    <m/>
    <m/>
  </r>
  <r>
    <s v="O001338"/>
    <s v="MARIAMM YULIETH ALVAREZ"/>
    <x v="5"/>
    <s v="Oficina"/>
    <s v="BBVA"/>
    <x v="0"/>
    <s v="SDATOOL-40269 $ Actualización y transmisión Declaraciones de Cambio – Banco de la República Abril 2022."/>
    <n v="0.2"/>
    <s v="Tech Manager/Líder"/>
    <s v="Otras Tec."/>
    <m/>
    <e v="#NAME?"/>
    <x v="0"/>
    <e v="#NAME?"/>
    <m/>
    <m/>
    <m/>
    <m/>
    <m/>
    <m/>
  </r>
  <r>
    <s v="O001338"/>
    <s v="MARIAMM YULIETH ALVAREZ"/>
    <x v="5"/>
    <s v="Oficina"/>
    <s v="BBVA"/>
    <x v="0"/>
    <s v="SDATOOL-37294 $ Gestión de Tráfico en Oficinas"/>
    <n v="0.2"/>
    <s v="Tech Manager/Líder"/>
    <s v="Otras Tec."/>
    <m/>
    <e v="#NAME?"/>
    <x v="0"/>
    <e v="#NAME?"/>
    <m/>
    <m/>
    <m/>
    <m/>
    <m/>
    <m/>
  </r>
  <r>
    <s v="O001338"/>
    <s v="MARIAMM YULIETH ALVAREZ"/>
    <x v="5"/>
    <s v="Oficina"/>
    <s v="BBVA"/>
    <x v="0"/>
    <s v="SDATOOL-39246 $ Nuevo tipo de identificación para extranjeros"/>
    <n v="0.05"/>
    <s v="Tech Manager/Líder"/>
    <s v="Otras Tec."/>
    <m/>
    <e v="#NAME?"/>
    <x v="0"/>
    <e v="#NAME?"/>
    <m/>
    <m/>
    <m/>
    <m/>
    <m/>
    <m/>
  </r>
  <r>
    <s v="O001338"/>
    <s v="MARIAMM YULIETH ALVAREZ"/>
    <x v="5"/>
    <s v="Oficina"/>
    <s v="BBVA"/>
    <x v="0"/>
    <s v="SDATOOL-41879 $ Apertura de oficina Mitu"/>
    <n v="0.05"/>
    <s v="Tech Manager/Líder"/>
    <s v="Otras Tec."/>
    <m/>
    <e v="#NAME?"/>
    <x v="0"/>
    <e v="#NAME?"/>
    <m/>
    <m/>
    <m/>
    <m/>
    <m/>
    <m/>
  </r>
  <r>
    <s v="O001338"/>
    <s v="MARIAMM YULIETH ALVAREZ"/>
    <x v="5"/>
    <s v="Oficina"/>
    <s v="BBVA"/>
    <x v="0"/>
    <s v="SDATOOL-37761 $ Plan transformación de procesos"/>
    <n v="0.2"/>
    <s v="Tech Manager/Líder"/>
    <s v="Otras Tec."/>
    <m/>
    <e v="#NAME?"/>
    <x v="0"/>
    <e v="#NAME?"/>
    <m/>
    <m/>
    <m/>
    <m/>
    <m/>
    <m/>
  </r>
  <r>
    <s v="O001338"/>
    <s v="MARIAMM YULIETH ALVAREZ"/>
    <x v="5"/>
    <s v="Oficina"/>
    <s v="BBVA"/>
    <x v="0"/>
    <s v="SDATOOL-41766 $ DUALIDAD CUENTAS AFC NÁCAR HOST Y CANALES DIGITALES"/>
    <n v="0.1"/>
    <s v="Tech Manager/Líder"/>
    <s v="Otras Tec."/>
    <m/>
    <e v="#NAME?"/>
    <x v="0"/>
    <e v="#NAME?"/>
    <m/>
    <m/>
    <m/>
    <m/>
    <m/>
    <m/>
  </r>
  <r>
    <s v="C808471"/>
    <s v="Moreno Castellanos Omar Alfonso"/>
    <x v="5"/>
    <s v="Oficina"/>
    <s v="BBVA"/>
    <x v="0"/>
    <s v="SDATOOL-40269 $ Actualización y transmisión Declaraciones de Cambio – Banco de la República Abril 2022."/>
    <n v="1"/>
    <s v="Desarrollador"/>
    <s v="Mainframe"/>
    <m/>
    <e v="#NAME?"/>
    <x v="0"/>
    <e v="#NAME?"/>
    <m/>
    <m/>
    <m/>
    <m/>
    <m/>
    <m/>
  </r>
  <r>
    <s v="C342537"/>
    <s v="Navarro Torres Javier Dario"/>
    <x v="5"/>
    <s v="Oficina"/>
    <s v="BBVA"/>
    <x v="0"/>
    <s v="SDATOOL-37761 $ Plan transformación de procesos"/>
    <n v="0.5"/>
    <s v="Desarrollador"/>
    <s v="Distribuido"/>
    <m/>
    <e v="#NAME?"/>
    <x v="0"/>
    <e v="#NAME?"/>
    <m/>
    <m/>
    <m/>
    <m/>
    <m/>
    <m/>
  </r>
  <r>
    <s v="C342537"/>
    <s v="Navarro Torres Javier Dario"/>
    <x v="5"/>
    <s v="Oficina"/>
    <s v="BBVA"/>
    <x v="0"/>
    <s v="SDATOOL-41766 $ DUALIDAD CUENTAS AFC NÁCAR HOST Y CANALES DIGITALES"/>
    <n v="0.5"/>
    <s v="Desarrollador"/>
    <s v="Distribuido"/>
    <m/>
    <e v="#NAME?"/>
    <x v="0"/>
    <e v="#NAME?"/>
    <m/>
    <m/>
    <m/>
    <m/>
    <m/>
    <m/>
  </r>
  <r>
    <s v="O002178"/>
    <s v="SAMIR DE JESUS QUICENO BERMUDEZ"/>
    <x v="5"/>
    <s v="Oficina"/>
    <s v="BBVA"/>
    <x v="0"/>
    <s v="NOSDA $ BAU (Mantenimiento y peq. evolutivos)"/>
    <n v="1"/>
    <s v="Desarrollador"/>
    <s v="Mainframe"/>
    <m/>
    <e v="#NAME?"/>
    <x v="0"/>
    <e v="#NAME?"/>
    <m/>
    <m/>
    <m/>
    <m/>
    <m/>
    <m/>
  </r>
  <r>
    <s v="C811316"/>
    <s v="Gonzalez Cardenas Oscar"/>
    <x v="5"/>
    <s v="Oficina"/>
    <s v="BBVA"/>
    <x v="0"/>
    <s v="NOSDA $ BAU (Mantenimiento y peq. evolutivos)"/>
    <n v="0.5"/>
    <s v="Desarrollador"/>
    <s v="Mainframe"/>
    <m/>
    <e v="#NAME?"/>
    <x v="0"/>
    <e v="#NAME?"/>
    <m/>
    <m/>
    <m/>
    <m/>
    <m/>
    <m/>
  </r>
  <r>
    <s v="C805453"/>
    <s v="Cuervo Duran Francisco Hernan"/>
    <x v="5"/>
    <s v="Oficina"/>
    <s v="BBVA"/>
    <x v="0"/>
    <s v="SDATOOL-39246 $ Nuevo tipo de identificación para extranjeros"/>
    <n v="0.5"/>
    <s v="Desarrollador"/>
    <s v="Distribuido"/>
    <m/>
    <e v="#NAME?"/>
    <x v="0"/>
    <e v="#NAME?"/>
    <m/>
    <m/>
    <m/>
    <m/>
    <m/>
    <m/>
  </r>
  <r>
    <s v="C805453"/>
    <s v="Cuervo Duran Francisco Hernan"/>
    <x v="5"/>
    <s v="Oficina"/>
    <s v="BBVA"/>
    <x v="0"/>
    <s v="NOSDA $ BAU (Mantenimiento y peq. evolutivos)"/>
    <n v="0.1"/>
    <s v="Desarrollador"/>
    <s v="Distribuido"/>
    <m/>
    <e v="#NAME?"/>
    <x v="0"/>
    <e v="#NAME?"/>
    <m/>
    <m/>
    <m/>
    <m/>
    <m/>
    <m/>
  </r>
  <r>
    <s v="CE54839"/>
    <s v="CARLOSFERNANDO SUAREZ"/>
    <x v="5"/>
    <s v="Oficina"/>
    <s v="Inetum"/>
    <x v="0"/>
    <s v="SDATOOL-37761 $ Plan transformación de procesos"/>
    <n v="0.5"/>
    <s v="QA"/>
    <m/>
    <m/>
    <e v="#NAME?"/>
    <x v="0"/>
    <e v="#NAME?"/>
    <m/>
    <m/>
    <m/>
    <m/>
    <m/>
    <m/>
  </r>
  <r>
    <s v="E049846"/>
    <s v="PATRICIA ORRO"/>
    <x v="5"/>
    <s v="Móvil"/>
    <s v="BBVA"/>
    <x v="0"/>
    <s v="SDATOOL-42192 $ Transfiya en GloMo"/>
    <n v="0.2"/>
    <s v="Tech Manager/Líder"/>
    <s v="Cells"/>
    <m/>
    <e v="#NAME?"/>
    <x v="0"/>
    <e v="#NAME?"/>
    <m/>
    <m/>
    <m/>
    <m/>
    <m/>
    <m/>
  </r>
  <r>
    <s v="C810952"/>
    <s v="Sebastian Ayala"/>
    <x v="5"/>
    <s v="Móvil"/>
    <s v="BBVA"/>
    <x v="0"/>
    <s v="SDATOOL-42192 $ Transfiya en GloMo"/>
    <n v="1"/>
    <s v="Desarrollador"/>
    <s v="Distribuido"/>
    <m/>
    <e v="#NAME?"/>
    <x v="0"/>
    <e v="#NAME?"/>
    <m/>
    <m/>
    <m/>
    <m/>
    <m/>
    <m/>
  </r>
  <r>
    <s v="C802581"/>
    <s v="Daniel Antonio Aguilar"/>
    <x v="5"/>
    <s v="Móvil"/>
    <s v="BBVA"/>
    <x v="0"/>
    <s v="SDATOOL-42192 $ Transfiya en GloMo"/>
    <n v="0.4"/>
    <s v="Desarrollador"/>
    <m/>
    <s v="Interno"/>
    <e v="#NAME?"/>
    <x v="0"/>
    <e v="#NAME?"/>
    <m/>
    <m/>
    <m/>
    <m/>
    <m/>
    <m/>
  </r>
  <r>
    <m/>
    <s v="DESARROLLADOR ASO"/>
    <x v="5"/>
    <s v="Móvil"/>
    <s v="Accenture"/>
    <x v="0"/>
    <s v="SDATOOL-42192 $ Transfiya en GloMo"/>
    <n v="1"/>
    <s v="Desarrollador"/>
    <s v="ASO"/>
    <m/>
    <e v="#NAME?"/>
    <x v="0"/>
    <e v="#NAME?"/>
    <m/>
    <m/>
    <m/>
    <m/>
    <m/>
    <m/>
  </r>
  <r>
    <m/>
    <s v="DESARROLLADOR ASO"/>
    <x v="5"/>
    <s v="Móvil"/>
    <s v="Accenture"/>
    <x v="0"/>
    <s v="SDATOOL-42192 $ Transfiya en GloMo"/>
    <n v="1"/>
    <s v="Desarrollador"/>
    <s v="ASO"/>
    <m/>
    <e v="#NAME?"/>
    <x v="0"/>
    <e v="#NAME?"/>
    <m/>
    <m/>
    <m/>
    <m/>
    <m/>
    <m/>
  </r>
  <r>
    <m/>
    <s v="DESARROLLADOR ASO"/>
    <x v="5"/>
    <s v="Móvil"/>
    <s v="Accenture"/>
    <x v="0"/>
    <s v="SDATOOL-42192 $ Transfiya en GloMo"/>
    <n v="1"/>
    <s v="Desarrollador"/>
    <s v="ASO"/>
    <m/>
    <e v="#NAME?"/>
    <x v="0"/>
    <e v="#NAME?"/>
    <m/>
    <m/>
    <m/>
    <m/>
    <m/>
    <m/>
  </r>
  <r>
    <m/>
    <s v="DESARROLLADOR APX"/>
    <x v="5"/>
    <s v="Móvil"/>
    <s v="Accenture"/>
    <x v="0"/>
    <s v="SDATOOL-42192 $ Transfiya en GloMo"/>
    <n v="1"/>
    <s v="Desarrollador"/>
    <s v="ASO"/>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APX"/>
    <x v="5"/>
    <s v="Móvil"/>
    <s v="Accenture"/>
    <x v="0"/>
    <s v="SDATOOL-42192 $ Transfiya en GloMo"/>
    <n v="0.33"/>
    <s v="Desarrollador"/>
    <s v="APX"/>
    <m/>
    <e v="#NAME?"/>
    <x v="0"/>
    <e v="#NAME?"/>
    <m/>
    <m/>
    <m/>
    <m/>
    <m/>
    <m/>
  </r>
  <r>
    <s v="CE40475"/>
    <s v="NELSON FERRUCHO"/>
    <x v="5"/>
    <s v="Móvil"/>
    <s v="SII"/>
    <x v="0"/>
    <s v="SDATOOL-42192 $ Transfiya en GloMo"/>
    <n v="0.5"/>
    <s v="Desarrollador"/>
    <s v="Mainframe"/>
    <m/>
    <e v="#NAME?"/>
    <x v="0"/>
    <e v="#NAME?"/>
    <m/>
    <m/>
    <m/>
    <m/>
    <m/>
    <m/>
  </r>
  <r>
    <s v="CE64988"/>
    <s v="Levi Becerra"/>
    <x v="5"/>
    <s v="Móvil"/>
    <s v="SII"/>
    <x v="0"/>
    <s v="SDATOOL-42192 $ Transfiya en GloMo"/>
    <n v="0.5"/>
    <s v="Desarrollador"/>
    <m/>
    <m/>
    <e v="#NAME?"/>
    <x v="0"/>
    <e v="#NAME?"/>
    <m/>
    <m/>
    <m/>
    <m/>
    <m/>
    <m/>
  </r>
  <r>
    <m/>
    <s v="DESARROLLO HOST"/>
    <x v="5"/>
    <s v="Móvil"/>
    <s v="Accenture"/>
    <x v="0"/>
    <s v="SDATOOL-42192 $ Transfiya en GloMo"/>
    <n v="1"/>
    <s v="Desarrollador"/>
    <s v="Mainframe"/>
    <m/>
    <e v="#NAME?"/>
    <x v="0"/>
    <e v="#NAME?"/>
    <m/>
    <m/>
    <m/>
    <m/>
    <m/>
    <m/>
  </r>
  <r>
    <m/>
    <s v="TESTER QA"/>
    <x v="5"/>
    <s v="Móvil"/>
    <s v="Accenture"/>
    <x v="0"/>
    <s v="SDATOOL-42192 $ Transfiya en GloMo"/>
    <n v="0.75"/>
    <s v="QA"/>
    <s v="Otras Tec."/>
    <m/>
    <e v="#NAME?"/>
    <x v="0"/>
    <e v="#NAME?"/>
    <m/>
    <m/>
    <m/>
    <m/>
    <m/>
    <m/>
  </r>
  <r>
    <m/>
    <s v="TESTER QA"/>
    <x v="5"/>
    <s v="Móvil"/>
    <s v="Accenture"/>
    <x v="0"/>
    <s v="SDATOOL-42192 $ Transfiya en GloMo"/>
    <n v="0.75"/>
    <s v="QA"/>
    <s v="Otras Tec."/>
    <m/>
    <e v="#NAME?"/>
    <x v="0"/>
    <e v="#NAME?"/>
    <m/>
    <m/>
    <m/>
    <m/>
    <m/>
    <m/>
  </r>
  <r>
    <m/>
    <s v="TESTER QA"/>
    <x v="5"/>
    <s v="Móvil"/>
    <s v="Accenture"/>
    <x v="0"/>
    <s v="SDATOOL-42192 $ Transfiya en GloMo"/>
    <n v="0.75"/>
    <s v="QA"/>
    <s v="Otras Tec."/>
    <m/>
    <e v="#NAME?"/>
    <x v="0"/>
    <e v="#NAME?"/>
    <m/>
    <m/>
    <m/>
    <m/>
    <m/>
    <m/>
  </r>
  <r>
    <s v="C802581"/>
    <s v="Daniel Antonio Aguilar"/>
    <x v="5"/>
    <s v="Móvil"/>
    <s v="BBVA"/>
    <x v="0"/>
    <s v="SDATOOL-9053 $ GloMo Colombia"/>
    <n v="0.2"/>
    <s v="Desarrollador"/>
    <m/>
    <s v="Interno"/>
    <e v="#NAME?"/>
    <x v="0"/>
    <e v="#NAME?"/>
    <m/>
    <m/>
    <m/>
    <m/>
    <m/>
    <m/>
  </r>
  <r>
    <s v="E049846"/>
    <s v="PATRICIA ORRO"/>
    <x v="5"/>
    <s v="Móvil"/>
    <s v="BBVA"/>
    <x v="0"/>
    <s v="SDATOOL-41759 $ Tips de prevención Ingeniería Social"/>
    <n v="0.2"/>
    <s v="Tech Manager/Líder"/>
    <s v="Cells"/>
    <m/>
    <e v="#NAME?"/>
    <x v="0"/>
    <e v="#NAME?"/>
    <m/>
    <m/>
    <m/>
    <m/>
    <m/>
    <m/>
  </r>
  <r>
    <m/>
    <s v="TESTER QA"/>
    <x v="5"/>
    <s v="Móvil"/>
    <s v="Accenture"/>
    <x v="0"/>
    <s v="SDATOOL-41759 $ Tips de prevención Ingeniería Social"/>
    <n v="1"/>
    <s v="QA"/>
    <s v="Otras Tec."/>
    <m/>
    <e v="#NAME?"/>
    <x v="0"/>
    <e v="#NAME?"/>
    <m/>
    <m/>
    <m/>
    <m/>
    <m/>
    <m/>
  </r>
  <r>
    <s v="E049846"/>
    <s v="PATRICIA ORRO"/>
    <x v="5"/>
    <s v="Móvil"/>
    <s v="BBVA"/>
    <x v="0"/>
    <s v="SDATOOL-40623 $ Pago productos con PSE desde GloMo"/>
    <n v="0.2"/>
    <s v="Tech Manager/Líder"/>
    <s v="Cells"/>
    <m/>
    <e v="#NAME?"/>
    <x v="0"/>
    <e v="#NAME?"/>
    <m/>
    <m/>
    <m/>
    <m/>
    <m/>
    <m/>
  </r>
  <r>
    <m/>
    <s v="DESARROLLO ASO"/>
    <x v="5"/>
    <s v="Móvil"/>
    <s v="Accenture"/>
    <x v="0"/>
    <s v="SDATOOL-40623 $ Pago productos con PSE desde GloMo"/>
    <n v="1"/>
    <s v="Desarrollador"/>
    <s v="ASO"/>
    <m/>
    <e v="#NAME?"/>
    <x v="0"/>
    <e v="#NAME?"/>
    <m/>
    <m/>
    <m/>
    <m/>
    <m/>
    <m/>
  </r>
  <r>
    <m/>
    <s v="DESARROLLO HOST"/>
    <x v="5"/>
    <s v="Móvil"/>
    <s v="Accenture"/>
    <x v="0"/>
    <s v="SDATOOL-40623 $ Pago productos con PSE desde GloMo"/>
    <n v="1"/>
    <s v="Desarrollador"/>
    <s v="Mainframe"/>
    <m/>
    <e v="#NAME?"/>
    <x v="0"/>
    <e v="#NAME?"/>
    <m/>
    <m/>
    <m/>
    <m/>
    <m/>
    <m/>
  </r>
  <r>
    <m/>
    <s v="TESTER QA"/>
    <x v="5"/>
    <s v="Móvil"/>
    <s v="Accenture"/>
    <x v="0"/>
    <s v="SDATOOL-40623 $ Pago productos con PSE desde GloMo"/>
    <n v="1"/>
    <s v="QA"/>
    <s v="Otras Tec."/>
    <m/>
    <e v="#NAME?"/>
    <x v="0"/>
    <e v="#NAME?"/>
    <m/>
    <m/>
    <m/>
    <m/>
    <m/>
    <m/>
  </r>
  <r>
    <s v="E049846"/>
    <s v="PATRICIA ORRO"/>
    <x v="5"/>
    <s v="Móvil"/>
    <s v="BBVA"/>
    <x v="0"/>
    <s v="SDATOOL-40533 $ GloMo Target"/>
    <n v="0.2"/>
    <s v="Tech Manager/Líder"/>
    <s v="Cells"/>
    <m/>
    <e v="#NAME?"/>
    <x v="0"/>
    <e v="#NAME?"/>
    <m/>
    <m/>
    <m/>
    <m/>
    <m/>
    <m/>
  </r>
  <r>
    <s v="C803962"/>
    <s v="Esteban Linares"/>
    <x v="5"/>
    <s v="Móvil"/>
    <s v="BBVA"/>
    <x v="0"/>
    <s v="SDATOOL-42039 $ Cuenta digital pensional"/>
    <n v="0.7"/>
    <s v="Tech Manager/Líder"/>
    <s v="Cells"/>
    <m/>
    <e v="#NAME?"/>
    <x v="0"/>
    <e v="#NAME?"/>
    <m/>
    <m/>
    <m/>
    <m/>
    <m/>
    <m/>
  </r>
  <r>
    <s v="C803962"/>
    <s v="Esteban Linares"/>
    <x v="5"/>
    <s v="Móvil"/>
    <s v="BBVA"/>
    <x v="0"/>
    <s v="SDATOOL-9053 $ GloMo Colombia"/>
    <n v="0.3"/>
    <s v="Tech Manager/Líder"/>
    <s v="Cells"/>
    <m/>
    <e v="#NAME?"/>
    <x v="0"/>
    <e v="#NAME?"/>
    <m/>
    <m/>
    <m/>
    <m/>
    <m/>
    <m/>
  </r>
  <r>
    <s v="C802581"/>
    <s v="Daniel Antonio Aguilar"/>
    <x v="5"/>
    <s v="Móvil"/>
    <s v="BBVA"/>
    <x v="0"/>
    <s v="SDATOOL-42192 $ Transfiya en GloMo"/>
    <n v="0.2"/>
    <s v="Desarrollador"/>
    <m/>
    <s v="Interno"/>
    <e v="#NAME?"/>
    <x v="0"/>
    <e v="#NAME?"/>
    <m/>
    <m/>
    <m/>
    <m/>
    <m/>
    <m/>
  </r>
  <r>
    <s v="E049846"/>
    <s v="PATRICIA ORRO"/>
    <x v="5"/>
    <s v="Móvil"/>
    <s v="BBVA"/>
    <x v="0"/>
    <s v="SDATOOL-42039 $ Cuenta digital pensional"/>
    <n v="0.2"/>
    <s v="Desarrollador"/>
    <s v="Cells"/>
    <m/>
    <e v="#NAME?"/>
    <x v="0"/>
    <e v="#NAME?"/>
    <m/>
    <m/>
    <m/>
    <m/>
    <m/>
    <m/>
  </r>
  <r>
    <m/>
    <s v="DESARROLLADOR FRONT "/>
    <x v="5"/>
    <s v="Móvil"/>
    <s v="Neoris"/>
    <x v="0"/>
    <s v="SDATOOL-42039 $ Cuenta digital pensional"/>
    <n v="1"/>
    <s v="Desarrollador"/>
    <s v="Cells"/>
    <m/>
    <e v="#NAME?"/>
    <x v="0"/>
    <e v="#NAME?"/>
    <m/>
    <m/>
    <m/>
    <m/>
    <m/>
    <m/>
  </r>
  <r>
    <m/>
    <s v="DESARROLLADOR FRONT "/>
    <x v="5"/>
    <s v="Móvil"/>
    <s v="Neoris"/>
    <x v="0"/>
    <s v="SDATOOL-42039 $ Cuenta digital pensional"/>
    <n v="1"/>
    <s v="Desarrollador"/>
    <s v="Cells"/>
    <m/>
    <e v="#NAME?"/>
    <x v="0"/>
    <e v="#NAME?"/>
    <m/>
    <m/>
    <m/>
    <m/>
    <m/>
    <m/>
  </r>
  <r>
    <m/>
    <s v="TESTER QA"/>
    <x v="5"/>
    <s v="Móvil"/>
    <s v="Accenture"/>
    <x v="0"/>
    <s v="SDATOOL-42039 $ Cuenta digital pensional"/>
    <n v="1"/>
    <s v="QA"/>
    <s v="Otras Tec."/>
    <m/>
    <e v="#NAME?"/>
    <x v="0"/>
    <e v="#NAME?"/>
    <m/>
    <m/>
    <m/>
    <m/>
    <m/>
    <m/>
  </r>
  <r>
    <m/>
    <s v="TESTER QA"/>
    <x v="5"/>
    <s v="Móvil"/>
    <s v="Accenture"/>
    <x v="0"/>
    <s v="SDATOOL-42039 $ Cuenta digital pensional"/>
    <n v="1"/>
    <s v="QA"/>
    <s v="Otras Tec."/>
    <m/>
    <e v="#NAME?"/>
    <x v="0"/>
    <e v="#NAME?"/>
    <m/>
    <m/>
    <m/>
    <m/>
    <m/>
    <m/>
  </r>
  <r>
    <s v="C802581"/>
    <s v="Daniel Antonio Aguilar"/>
    <x v="5"/>
    <s v="Móvil"/>
    <s v="BBVA"/>
    <x v="0"/>
    <s v="SDATOOL-42192 $ Transfiya en GloMo"/>
    <n v="0.2"/>
    <s v="Desarrollador"/>
    <m/>
    <s v="Interno"/>
    <e v="#NAME?"/>
    <x v="0"/>
    <e v="#NAME?"/>
    <m/>
    <m/>
    <m/>
    <m/>
    <m/>
    <m/>
  </r>
  <r>
    <m/>
    <s v="DESARROLLADOR FRONT "/>
    <x v="5"/>
    <s v="Móvil"/>
    <s v="Neoris"/>
    <x v="0"/>
    <s v="SDATOOL-41881 $ Bloqueo/Desbloqueo Soft-Hard"/>
    <n v="1"/>
    <s v="Desarrollador"/>
    <s v="Cells"/>
    <m/>
    <e v="#NAME?"/>
    <x v="0"/>
    <e v="#NAME?"/>
    <m/>
    <m/>
    <m/>
    <m/>
    <m/>
    <m/>
  </r>
  <r>
    <m/>
    <s v="DESARROLLADOR FRONT "/>
    <x v="5"/>
    <s v="Móvil"/>
    <s v="Neoris"/>
    <x v="0"/>
    <s v="SDATOOL-41881 $ Bloqueo/Desbloqueo Soft-Hard"/>
    <n v="1"/>
    <s v="Desarrollador"/>
    <s v="Cells"/>
    <m/>
    <e v="#NAME?"/>
    <x v="0"/>
    <e v="#NAME?"/>
    <m/>
    <m/>
    <m/>
    <m/>
    <m/>
    <m/>
  </r>
  <r>
    <m/>
    <s v="DESARROLLADOR ASO"/>
    <x v="5"/>
    <s v="Móvil"/>
    <s v="Neoris"/>
    <x v="0"/>
    <s v="SDATOOL-41881 $ Bloqueo/Desbloqueo Soft-Hard"/>
    <n v="1"/>
    <s v="Desarrollador"/>
    <s v="ASO"/>
    <m/>
    <e v="#NAME?"/>
    <x v="0"/>
    <e v="#NAME?"/>
    <m/>
    <m/>
    <m/>
    <m/>
    <m/>
    <m/>
  </r>
  <r>
    <m/>
    <s v="DESARROLLADOR APX"/>
    <x v="5"/>
    <s v="Móvil"/>
    <s v="Neoris"/>
    <x v="0"/>
    <s v="SDATOOL-41881 $ Bloqueo/Desbloqueo Soft-Hard"/>
    <n v="1"/>
    <s v="Desarrollador"/>
    <s v="APX"/>
    <m/>
    <e v="#NAME?"/>
    <x v="0"/>
    <e v="#NAME?"/>
    <m/>
    <m/>
    <m/>
    <m/>
    <m/>
    <m/>
  </r>
  <r>
    <m/>
    <s v="DESARROLLO HOST"/>
    <x v="5"/>
    <s v="Móvil"/>
    <s v="Neoris"/>
    <x v="0"/>
    <s v="SDATOOL-41881 $ Bloqueo/Desbloqueo Soft-Hard"/>
    <n v="1"/>
    <s v="Desarrollador"/>
    <s v="Mainframe"/>
    <m/>
    <e v="#NAME?"/>
    <x v="0"/>
    <e v="#NAME?"/>
    <m/>
    <m/>
    <m/>
    <m/>
    <m/>
    <m/>
  </r>
  <r>
    <m/>
    <s v="TESTER QA"/>
    <x v="5"/>
    <s v="Móvil"/>
    <s v="Accenture"/>
    <x v="0"/>
    <s v="SDATOOL-41881 $ Bloqueo/Desbloqueo Soft-Hard"/>
    <n v="1"/>
    <s v="QA"/>
    <s v="Otras Tec."/>
    <m/>
    <e v="#NAME?"/>
    <x v="0"/>
    <e v="#NAME?"/>
    <m/>
    <m/>
    <m/>
    <m/>
    <m/>
    <m/>
  </r>
  <r>
    <s v="C803799"/>
    <s v="ANDRES FELIPE CASTAÑEDA"/>
    <x v="5"/>
    <s v="Móvil"/>
    <s v="BBVA"/>
    <x v="0"/>
    <s v="NOSDA $ BAU (Mantenimiento y peq. evolutivos)"/>
    <n v="1"/>
    <s v="Tech Manager/Líder"/>
    <s v="Cells"/>
    <m/>
    <e v="#NAME?"/>
    <x v="0"/>
    <e v="#NAME?"/>
    <m/>
    <m/>
    <m/>
    <m/>
    <m/>
    <m/>
  </r>
  <r>
    <s v="C805723"/>
    <s v="JUAN CAMILO JAIMES"/>
    <x v="5"/>
    <s v="Móvil"/>
    <s v="BBVA"/>
    <x v="0"/>
    <s v="NOSDA $ BAU (Mantenimiento y peq. evolutivos)"/>
    <n v="1"/>
    <s v="Desarrollador"/>
    <s v="Cells"/>
    <m/>
    <e v="#NAME?"/>
    <x v="0"/>
    <e v="#NAME?"/>
    <m/>
    <m/>
    <m/>
    <m/>
    <m/>
    <m/>
  </r>
  <r>
    <s v="C805720"/>
    <s v="SANDRA REDONDO"/>
    <x v="5"/>
    <s v="Móvil"/>
    <s v="BBVA"/>
    <x v="0"/>
    <s v="NOSDA $ BAU (Mantenimiento y peq. evolutivos)"/>
    <n v="1"/>
    <s v="Desarrollador"/>
    <s v="Cells"/>
    <m/>
    <e v="#NAME?"/>
    <x v="0"/>
    <e v="#NAME?"/>
    <m/>
    <m/>
    <m/>
    <m/>
    <m/>
    <m/>
  </r>
  <r>
    <s v="C810664"/>
    <s v="JONATHAN MARCELL GUTIERREZ RIAÑO"/>
    <x v="5"/>
    <s v="Móvil"/>
    <s v="BBVA"/>
    <x v="0"/>
    <s v="NOSDA $ BAU (Mantenimiento y peq. evolutivos)"/>
    <n v="1"/>
    <s v="Desarrollador"/>
    <s v="APX"/>
    <m/>
    <e v="#NAME?"/>
    <x v="0"/>
    <e v="#NAME?"/>
    <m/>
    <m/>
    <m/>
    <m/>
    <m/>
    <m/>
  </r>
  <r>
    <s v="C805983"/>
    <s v="LUBER FANDIÑO"/>
    <x v="5"/>
    <s v="Móvil"/>
    <s v="BBVA"/>
    <x v="0"/>
    <s v="NOSDA $ BAU (Mantenimiento y peq. evolutivos)"/>
    <n v="1"/>
    <s v="Desarrollador"/>
    <s v="Cells"/>
    <m/>
    <e v="#NAME?"/>
    <x v="0"/>
    <e v="#NAME?"/>
    <m/>
    <m/>
    <m/>
    <m/>
    <m/>
    <m/>
  </r>
  <r>
    <s v="C805933"/>
    <s v="Brayan Peña"/>
    <x v="5"/>
    <s v="Móvil"/>
    <s v="BBVA"/>
    <x v="0"/>
    <s v="NOSDA $ BAU (Mantenimiento y peq. evolutivos)"/>
    <n v="1"/>
    <s v="Desarrollador"/>
    <s v="Cells"/>
    <m/>
    <e v="#NAME?"/>
    <x v="0"/>
    <e v="#NAME?"/>
    <m/>
    <m/>
    <m/>
    <m/>
    <m/>
    <m/>
  </r>
  <r>
    <s v="C809565"/>
    <s v="JOAN CHIVATA"/>
    <x v="5"/>
    <s v="Móvil"/>
    <s v="BBVA"/>
    <x v="0"/>
    <s v="NOSDA $ BAU (Mantenimiento y peq. evolutivos)"/>
    <n v="1"/>
    <s v="Desarrollador"/>
    <s v="Cells"/>
    <m/>
    <e v="#NAME?"/>
    <x v="0"/>
    <e v="#NAME?"/>
    <m/>
    <m/>
    <m/>
    <m/>
    <m/>
    <m/>
  </r>
  <r>
    <s v="T004259"/>
    <s v="FAIBER RUEDA"/>
    <x v="5"/>
    <s v="Móvil"/>
    <s v="Accenture"/>
    <x v="0"/>
    <s v="NOSDA $ BAU (Mantenimiento y peq. evolutivos)"/>
    <n v="1"/>
    <s v="Desarrollador"/>
    <s v="Cells"/>
    <m/>
    <e v="#NAME?"/>
    <x v="0"/>
    <e v="#NAME?"/>
    <m/>
    <m/>
    <m/>
    <m/>
    <m/>
    <m/>
  </r>
  <r>
    <s v="T004336"/>
    <s v="JUAN ROMERO"/>
    <x v="5"/>
    <s v="Móvil"/>
    <s v="Accenture"/>
    <x v="0"/>
    <s v="NOSDA $ BAU (Mantenimiento y peq. evolutivos)"/>
    <n v="1"/>
    <s v="Desarrollador"/>
    <s v="Cells"/>
    <m/>
    <e v="#NAME?"/>
    <x v="0"/>
    <e v="#NAME?"/>
    <m/>
    <m/>
    <m/>
    <m/>
    <m/>
    <m/>
  </r>
  <r>
    <s v="CE69641"/>
    <s v="KEVIN SARMIENTO"/>
    <x v="5"/>
    <s v="Móvil"/>
    <s v="Accenture"/>
    <x v="0"/>
    <s v="NOSDA $ BAU (Mantenimiento y peq. evolutivos)"/>
    <n v="1"/>
    <s v="Desarrollador"/>
    <s v="Cells"/>
    <m/>
    <e v="#NAME?"/>
    <x v="0"/>
    <e v="#NAME?"/>
    <m/>
    <m/>
    <m/>
    <m/>
    <m/>
    <m/>
  </r>
  <r>
    <m/>
    <s v="TBD - ANS"/>
    <x v="5"/>
    <s v="Móvil"/>
    <s v="Accenture"/>
    <x v="0"/>
    <s v="NOSDA $ BAU (Mantenimiento y peq. evolutivos)"/>
    <n v="1"/>
    <s v="Desarrollador"/>
    <s v="Cells"/>
    <m/>
    <e v="#NAME?"/>
    <x v="0"/>
    <e v="#NAME?"/>
    <m/>
    <m/>
    <m/>
    <m/>
    <m/>
    <m/>
  </r>
  <r>
    <s v="T006642"/>
    <s v="CRISTIAN DAZA"/>
    <x v="5"/>
    <s v="Móvil"/>
    <s v="Neoris"/>
    <x v="0"/>
    <s v="NOSDA $ BAU (Mantenimiento y peq. evolutivos)"/>
    <n v="1"/>
    <s v="Desarrollador"/>
    <s v="Cells"/>
    <m/>
    <e v="#NAME?"/>
    <x v="0"/>
    <e v="#NAME?"/>
    <m/>
    <m/>
    <m/>
    <m/>
    <m/>
    <m/>
  </r>
  <r>
    <s v="T006699"/>
    <s v="JUAN DUQUE"/>
    <x v="5"/>
    <s v="Móvil"/>
    <s v="Neoris"/>
    <x v="0"/>
    <s v="NOSDA $ BAU (Mantenimiento y peq. evolutivos)"/>
    <n v="1"/>
    <s v="Desarrollador"/>
    <s v="Cells"/>
    <m/>
    <e v="#NAME?"/>
    <x v="0"/>
    <e v="#NAME?"/>
    <m/>
    <m/>
    <m/>
    <m/>
    <m/>
    <m/>
  </r>
  <r>
    <s v="T001732"/>
    <s v="Alejandro Cano"/>
    <x v="5"/>
    <s v="Móvil"/>
    <s v="Indra"/>
    <x v="0"/>
    <s v="NOSDA $ BAU (Mantenimiento y peq. evolutivos)"/>
    <n v="1"/>
    <s v="Otros"/>
    <s v="Cells"/>
    <m/>
    <e v="#NAME?"/>
    <x v="0"/>
    <e v="#NAME?"/>
    <m/>
    <m/>
    <m/>
    <m/>
    <m/>
    <m/>
  </r>
  <r>
    <s v="T006644"/>
    <s v="Rafael Bonet"/>
    <x v="5"/>
    <s v="Móvil"/>
    <s v="Neoris"/>
    <x v="0"/>
    <s v="NOSDA $ BAU (Mantenimiento y peq. evolutivos)"/>
    <n v="1"/>
    <s v="Otros"/>
    <s v="Otras Tec."/>
    <m/>
    <e v="#NAME?"/>
    <x v="0"/>
    <e v="#NAME?"/>
    <m/>
    <m/>
    <m/>
    <m/>
    <m/>
    <m/>
  </r>
  <r>
    <s v="T006637"/>
    <s v="Jhonathan Medina"/>
    <x v="5"/>
    <s v="Móvil"/>
    <s v="Neoris"/>
    <x v="0"/>
    <s v="NOSDA $ BAU (Mantenimiento y peq. evolutivos)"/>
    <n v="1"/>
    <s v="Otros"/>
    <s v="Otras Tec."/>
    <m/>
    <e v="#NAME?"/>
    <x v="0"/>
    <e v="#NAME?"/>
    <m/>
    <m/>
    <m/>
    <m/>
    <m/>
    <m/>
  </r>
  <r>
    <s v="T001731"/>
    <s v="John Zamora"/>
    <x v="5"/>
    <s v="Móvil"/>
    <s v="Indra"/>
    <x v="0"/>
    <s v="NOSDA $ BAU (Mantenimiento y peq. evolutivos)"/>
    <n v="1"/>
    <s v="Otros"/>
    <s v="Cells"/>
    <m/>
    <e v="#NAME?"/>
    <x v="0"/>
    <e v="#NAME?"/>
    <m/>
    <m/>
    <m/>
    <m/>
    <m/>
    <m/>
  </r>
  <r>
    <s v="CE67183"/>
    <s v="ALEXIS A GONZALEZ LANCHEROS"/>
    <x v="5"/>
    <s v="Canales asistidos CB"/>
    <s v="Choucair"/>
    <x v="0"/>
    <s v="SDATOOL-41709 $ Fraccionamiento de transacciones en CBs"/>
    <n v="0.2"/>
    <s v="QA"/>
    <s v="Otras Tec."/>
    <m/>
    <e v="#NAME?"/>
    <x v="0"/>
    <e v="#NAME?"/>
    <m/>
    <m/>
    <m/>
    <m/>
    <m/>
    <m/>
  </r>
  <r>
    <s v="CE67183"/>
    <s v="ALEXIS A GONZALEZ LANCHEROS"/>
    <x v="5"/>
    <s v="Canales asistidos CB"/>
    <s v="Choucair"/>
    <x v="0"/>
    <s v="SDATOOL-39871 $ Cbs Gelsa Paga todo"/>
    <n v="0.4"/>
    <s v="QA"/>
    <s v="Otras Tec."/>
    <m/>
    <e v="#NAME?"/>
    <x v="0"/>
    <e v="#NAME?"/>
    <m/>
    <m/>
    <m/>
    <m/>
    <m/>
    <m/>
  </r>
  <r>
    <s v="CE67183"/>
    <s v="ALEXIS A GONZALEZ LANCHEROS"/>
    <x v="5"/>
    <s v="Canales asistidos CB"/>
    <s v="Choucair"/>
    <x v="0"/>
    <s v="SDATOOL-40581 $ Corresponsal Bancario Ya Ganaste"/>
    <n v="0.4"/>
    <s v="QA"/>
    <s v="Otras Tec."/>
    <m/>
    <e v="#NAME?"/>
    <x v="0"/>
    <e v="#NAME?"/>
    <m/>
    <m/>
    <m/>
    <m/>
    <m/>
    <m/>
  </r>
  <r>
    <s v="C804644"/>
    <s v="ANDRES FELIPE CALDERÓN NOVOA"/>
    <x v="5"/>
    <s v="Canales asistidos ATM"/>
    <s v="BBVA"/>
    <x v="0"/>
    <s v="SDATOOL-41706 $ Renovación ATMs 2023"/>
    <n v="0.5"/>
    <s v="Desarrollador"/>
    <s v="ASO"/>
    <m/>
    <e v="#NAME?"/>
    <x v="0"/>
    <e v="#NAME?"/>
    <m/>
    <m/>
    <m/>
    <m/>
    <m/>
    <m/>
  </r>
  <r>
    <s v="C804644"/>
    <s v="ANDRES FELIPE CALDERÓN NOVOA"/>
    <x v="5"/>
    <s v="Canales asistidos ATM"/>
    <s v="BBVA"/>
    <x v="0"/>
    <s v="SDATOOL-33947 $ Sinergias Bancamia"/>
    <n v="0.5"/>
    <s v="Desarrollador"/>
    <s v="ASO"/>
    <m/>
    <e v="#NAME?"/>
    <x v="0"/>
    <e v="#NAME?"/>
    <m/>
    <m/>
    <m/>
    <m/>
    <m/>
    <m/>
  </r>
  <r>
    <s v="CE60329"/>
    <s v="ANDRÉS FELIPE MORA SANTANA"/>
    <x v="5"/>
    <s v="Canales asistidos Call Center / Gest. remota"/>
    <s v="Novatec"/>
    <x v="0"/>
    <s v="SDATOOL-39870 $ Front - Unificación de pantallas Contac Center"/>
    <n v="1"/>
    <s v="Desarrollador"/>
    <s v="Cells"/>
    <m/>
    <e v="#NAME?"/>
    <x v="0"/>
    <e v="#NAME?"/>
    <m/>
    <m/>
    <m/>
    <m/>
    <m/>
    <m/>
  </r>
  <r>
    <s v="C804832"/>
    <s v="ANTONY SUICA CUARTAS"/>
    <x v="5"/>
    <s v="Canales asistidos ATM"/>
    <s v="BBVA"/>
    <x v="0"/>
    <s v="SDATOOL-33947 $ Sinergias Bancamia"/>
    <n v="0.05"/>
    <s v="Desarrollador"/>
    <s v="ASO"/>
    <m/>
    <e v="#NAME?"/>
    <x v="0"/>
    <e v="#NAME?"/>
    <m/>
    <m/>
    <m/>
    <m/>
    <m/>
    <m/>
  </r>
  <r>
    <s v="C804832"/>
    <s v="ANTONY SUICA CUARTAS"/>
    <x v="5"/>
    <s v="Canales asistidos ATM"/>
    <s v="BBVA"/>
    <x v="0"/>
    <s v="SDATOOL-41706 $ Renovación ATMs 2023"/>
    <n v="0.8"/>
    <s v="Desarrollador"/>
    <s v="Distribuido"/>
    <s v="SW JAM"/>
    <e v="#NAME?"/>
    <x v="0"/>
    <e v="#NAME?"/>
    <m/>
    <m/>
    <m/>
    <m/>
    <m/>
    <m/>
  </r>
  <r>
    <s v="C804832"/>
    <s v="ANTONY SUICA CUARTAS"/>
    <x v="5"/>
    <s v="Canales asistidos ATM"/>
    <s v="BBVA"/>
    <x v="0"/>
    <s v="NOSDA $ BAU (Mantenimiento y peq. evolutivos)"/>
    <n v="0.15"/>
    <s v="Desarrollador"/>
    <s v="Distribuido"/>
    <s v="SW JAM, ASO, COBOL"/>
    <e v="#NAME?"/>
    <x v="0"/>
    <e v="#NAME?"/>
    <m/>
    <m/>
    <m/>
    <m/>
    <m/>
    <m/>
  </r>
  <r>
    <s v="O002934"/>
    <s v="BRIAN MAURICIO TEJEDOR VARGAS"/>
    <x v="5"/>
    <s v="Canales asistidos RPA"/>
    <s v="BBVA"/>
    <x v="0"/>
    <s v="NOSDA $ BAU (Mantenimiento y peq. evolutivos)"/>
    <n v="0.6"/>
    <s v="Desarrollador"/>
    <s v="Distribuido"/>
    <s v="RPA Blue Prims"/>
    <e v="#NAME?"/>
    <x v="0"/>
    <e v="#NAME?"/>
    <m/>
    <m/>
    <m/>
    <m/>
    <m/>
    <m/>
  </r>
  <r>
    <s v="O002934"/>
    <s v="BRIAN MAURICIO TEJEDOR VARGAS"/>
    <x v="5"/>
    <s v="Canales asistidos RPA"/>
    <s v="BBVA"/>
    <x v="0"/>
    <s v="SDATOOL-40529 $ Aplicativos Finanzas - 2023"/>
    <n v="0.4"/>
    <s v="Desarrollador"/>
    <s v="Distribuido"/>
    <s v="RPA Blue Prims"/>
    <e v="#NAME?"/>
    <x v="0"/>
    <e v="#NAME?"/>
    <m/>
    <m/>
    <m/>
    <m/>
    <m/>
    <m/>
  </r>
  <r>
    <s v="CE51863"/>
    <s v="EDNA ROCIO MONCADA"/>
    <x v="5"/>
    <s v="Canales asistidos ATM"/>
    <s v="KRYPTO"/>
    <x v="0"/>
    <s v="NOSDA $ BAU (Mantenimiento y peq. evolutivos)"/>
    <n v="0.02"/>
    <s v="QA"/>
    <s v="Otras Tec."/>
    <m/>
    <e v="#NAME?"/>
    <x v="0"/>
    <e v="#NAME?"/>
    <m/>
    <m/>
    <m/>
    <m/>
    <m/>
    <m/>
  </r>
  <r>
    <s v="CE51863"/>
    <s v="EDNA ROCIO MONCADA"/>
    <x v="5"/>
    <s v="Canales asistidos CB"/>
    <s v="KRYPTO"/>
    <x v="0"/>
    <s v="NOSDA $ BAU (Mantenimiento y peq. evolutivos)"/>
    <n v="0.02"/>
    <s v="QA"/>
    <s v="Otras Tec."/>
    <m/>
    <e v="#NAME?"/>
    <x v="0"/>
    <e v="#NAME?"/>
    <m/>
    <m/>
    <m/>
    <m/>
    <m/>
    <m/>
  </r>
  <r>
    <s v="CE51863"/>
    <s v="EDNA ROCIO MONCADA"/>
    <x v="5"/>
    <s v="Canales asistidos RPA"/>
    <s v="KRYPTO"/>
    <x v="0"/>
    <s v="NOSDA $ BAU (Mantenimiento y peq. evolutivos)"/>
    <n v="0.02"/>
    <s v="QA"/>
    <s v="Otras Tec."/>
    <m/>
    <e v="#NAME?"/>
    <x v="0"/>
    <e v="#NAME?"/>
    <m/>
    <m/>
    <m/>
    <m/>
    <m/>
    <m/>
  </r>
  <r>
    <s v="CE51863"/>
    <s v="EDNA ROCIO MONCADA"/>
    <x v="5"/>
    <s v="Canales asistidos Call Center / Gest. remota"/>
    <s v="KRYPTO"/>
    <x v="0"/>
    <s v="NOSDA $ BAU (Mantenimiento y peq. evolutivos)"/>
    <n v="0.02"/>
    <s v="QA"/>
    <s v="Otras Tec."/>
    <m/>
    <e v="#NAME?"/>
    <x v="0"/>
    <e v="#NAME?"/>
    <m/>
    <m/>
    <m/>
    <m/>
    <m/>
    <m/>
  </r>
  <r>
    <s v="CE51863"/>
    <s v="EDNA ROCIO MONCADA"/>
    <x v="5"/>
    <s v="Canales asistidos ATM"/>
    <s v="KRYPTO"/>
    <x v="0"/>
    <s v="SDATOOL-32991 $ Comisión de Acceso a ATM's"/>
    <n v="0.02"/>
    <s v="QA"/>
    <s v="Otras Tec."/>
    <m/>
    <e v="#NAME?"/>
    <x v="0"/>
    <e v="#NAME?"/>
    <m/>
    <m/>
    <m/>
    <m/>
    <m/>
    <m/>
  </r>
  <r>
    <s v="CE51863"/>
    <s v="EDNA ROCIO MONCADA"/>
    <x v="5"/>
    <s v="Canales asistidos ATM"/>
    <s v="KRYPTO"/>
    <x v="0"/>
    <s v="SDATOOL-40515 $ Acción de auditoria de Cobro de Comisiones"/>
    <n v="0.02"/>
    <s v="QA"/>
    <s v="Otras Tec."/>
    <m/>
    <e v="#NAME?"/>
    <x v="0"/>
    <e v="#NAME?"/>
    <m/>
    <m/>
    <m/>
    <m/>
    <m/>
    <m/>
  </r>
  <r>
    <s v="CE51863"/>
    <s v="EDNA ROCIO MONCADA"/>
    <x v="5"/>
    <s v="Canales asistidos Call Center / Gest. remota"/>
    <s v="KRYPTO"/>
    <x v="0"/>
    <s v="SDATOOL-37100 $ Soluciones de voz/Internalización del IVR - Plan Ascenso Privado"/>
    <n v="0.02"/>
    <s v="QA"/>
    <s v="Otras Tec."/>
    <m/>
    <e v="#NAME?"/>
    <x v="0"/>
    <e v="#NAME?"/>
    <m/>
    <m/>
    <m/>
    <m/>
    <m/>
    <m/>
  </r>
  <r>
    <s v="CE51863"/>
    <s v="EDNA ROCIO MONCADA"/>
    <x v="5"/>
    <s v="Canales asistidos Call Center / Gest. remota"/>
    <s v="KRYPTO"/>
    <x v="0"/>
    <s v="SDATOOL-39870 $ Front - Unificación de pantallas Contac Center"/>
    <n v="0.02"/>
    <s v="QA"/>
    <s v="Otras Tec."/>
    <m/>
    <e v="#NAME?"/>
    <x v="0"/>
    <e v="#NAME?"/>
    <m/>
    <m/>
    <m/>
    <m/>
    <m/>
    <m/>
  </r>
  <r>
    <s v="CE51863"/>
    <s v="EDNA ROCIO MONCADA"/>
    <x v="5"/>
    <s v="Canales asistidos CB"/>
    <s v="KRYPTO"/>
    <x v="0"/>
    <s v="SDATOOL-33947 $ Sinergias Bancamia"/>
    <n v="0.02"/>
    <s v="QA"/>
    <s v="Otras Tec."/>
    <m/>
    <e v="#NAME?"/>
    <x v="0"/>
    <e v="#NAME?"/>
    <m/>
    <m/>
    <m/>
    <m/>
    <m/>
    <m/>
  </r>
  <r>
    <s v="CE51863"/>
    <s v="EDNA ROCIO MONCADA"/>
    <x v="5"/>
    <s v="Canales asistidos CB"/>
    <s v="KRYPTO"/>
    <x v="0"/>
    <s v="SDATOOL-39871 $ Cbs Gelsa Paga todo"/>
    <n v="0.02"/>
    <s v="QA"/>
    <s v="Otras Tec."/>
    <m/>
    <e v="#NAME?"/>
    <x v="0"/>
    <e v="#NAME?"/>
    <m/>
    <m/>
    <m/>
    <m/>
    <m/>
    <m/>
  </r>
  <r>
    <s v="CE51863"/>
    <s v="EDNA ROCIO MONCADA"/>
    <x v="5"/>
    <s v="Canales asistidos CB"/>
    <s v="KRYPTO"/>
    <x v="0"/>
    <s v="SDATOOL-40581 $ Corresponsal Bancario Ya Ganaste"/>
    <n v="0.02"/>
    <s v="QA"/>
    <s v="Otras Tec."/>
    <m/>
    <e v="#NAME?"/>
    <x v="0"/>
    <e v="#NAME?"/>
    <m/>
    <m/>
    <m/>
    <m/>
    <m/>
    <m/>
  </r>
  <r>
    <s v="CE51863"/>
    <s v="EDNA ROCIO MONCADA"/>
    <x v="5"/>
    <s v="Canales asistidos CB"/>
    <s v="KRYPTO"/>
    <x v="0"/>
    <s v="SDATOOL-41709 $ Fraccionamiento de transacciones en CBs"/>
    <n v="0.02"/>
    <s v="QA"/>
    <s v="Otras Tec."/>
    <m/>
    <e v="#NAME?"/>
    <x v="0"/>
    <e v="#NAME?"/>
    <m/>
    <m/>
    <m/>
    <m/>
    <m/>
    <m/>
  </r>
  <r>
    <s v="C811170"/>
    <s v="CRISTIAN ANDREY ANTOLINEZ BOHORQUEZ"/>
    <x v="5"/>
    <s v="Canales asistidos Call Center / Gest. remota"/>
    <s v="BBVA"/>
    <x v="0"/>
    <s v="SDATOOL-37100 $ Soluciones de voz/Internalización del IVR - Plan Ascenso Privado"/>
    <n v="1"/>
    <s v="Desarrollador"/>
    <s v="Distribuido"/>
    <s v="SW Genesys"/>
    <e v="#NAME?"/>
    <x v="0"/>
    <e v="#NAME?"/>
    <m/>
    <m/>
    <m/>
    <m/>
    <m/>
    <m/>
  </r>
  <r>
    <s v="O003245"/>
    <s v="CRISTIAN RENE MENDEZ"/>
    <x v="5"/>
    <s v="Canales asistidos ATM"/>
    <s v="BBVA"/>
    <x v="0"/>
    <s v="NOSDA $ BAU (Mantenimiento y peq. evolutivos)"/>
    <n v="0.7"/>
    <s v="Tech Manager/Líder"/>
    <s v="Otras Tec."/>
    <m/>
    <e v="#NAME?"/>
    <x v="0"/>
    <e v="#NAME?"/>
    <m/>
    <m/>
    <m/>
    <m/>
    <m/>
    <m/>
  </r>
  <r>
    <s v="O003245"/>
    <s v="CRISTIAN RENE MENDEZ"/>
    <x v="5"/>
    <s v="Canales asistidos ATM"/>
    <s v="BBVA"/>
    <x v="0"/>
    <s v="SDATOOL-40515 $ Acción de auditoria de Cobro de Comisiones"/>
    <n v="0.1"/>
    <s v="Tech Manager/Líder"/>
    <s v="Otras Tec."/>
    <m/>
    <e v="#NAME?"/>
    <x v="0"/>
    <e v="#NAME?"/>
    <m/>
    <m/>
    <m/>
    <m/>
    <m/>
    <m/>
  </r>
  <r>
    <s v="O003245"/>
    <s v="CRISTIAN RENE MENDEZ"/>
    <x v="5"/>
    <s v="Canales asistidos Call Center / Gest. remota"/>
    <s v="BBVA"/>
    <x v="0"/>
    <s v="SDATOOL-37100 $ Soluciones de voz/Internalización del IVR - Plan Ascenso Privado"/>
    <n v="0.1"/>
    <s v="Tech Manager/Líder"/>
    <s v="Otras Tec."/>
    <m/>
    <e v="#NAME?"/>
    <x v="0"/>
    <e v="#NAME?"/>
    <m/>
    <m/>
    <m/>
    <m/>
    <m/>
    <m/>
  </r>
  <r>
    <s v="O003245"/>
    <s v="CRISTIAN RENE MENDEZ"/>
    <x v="5"/>
    <s v="Canales asistidos Call Center / Gest. remota"/>
    <s v="BBVA"/>
    <x v="0"/>
    <s v="SDATOOL-39870 $ Front - Unificación de pantallas Contac Center"/>
    <n v="0.1"/>
    <s v="Tech Manager/Líder"/>
    <s v="Otras Tec."/>
    <m/>
    <e v="#NAME?"/>
    <x v="0"/>
    <e v="#NAME?"/>
    <m/>
    <m/>
    <m/>
    <m/>
    <m/>
    <m/>
  </r>
  <r>
    <s v="C342547"/>
    <s v="DAVID LEONARDO OBANDO CORTÉS"/>
    <x v="5"/>
    <s v="Canales asistidos ATM"/>
    <s v="BBVA"/>
    <x v="0"/>
    <s v="NOSDA $ BAU (Mantenimiento y peq. evolutivos)"/>
    <n v="0.25"/>
    <s v="Desarrollador"/>
    <s v="Mainframe"/>
    <m/>
    <e v="#NAME?"/>
    <x v="0"/>
    <e v="#NAME?"/>
    <m/>
    <m/>
    <m/>
    <m/>
    <m/>
    <m/>
  </r>
  <r>
    <s v="C342547"/>
    <s v="DAVID LEONARDO OBANDO CORTÉS"/>
    <x v="5"/>
    <s v="Canales asistidos ATM"/>
    <s v="BBVA"/>
    <x v="0"/>
    <s v="SDATOOL-40515 $ Acción de auditoria de Cobro de Comisiones"/>
    <n v="0.75"/>
    <s v="Desarrollador"/>
    <s v="Mainframe"/>
    <m/>
    <e v="#NAME?"/>
    <x v="0"/>
    <e v="#NAME?"/>
    <m/>
    <m/>
    <m/>
    <m/>
    <m/>
    <m/>
  </r>
  <r>
    <s v="CE59507"/>
    <s v="DAVID RODRIGUEZ RANGEL"/>
    <x v="5"/>
    <s v="Canales asistidos ATM"/>
    <s v="Inetum"/>
    <x v="0"/>
    <s v="SDATOOL-40515 $ Acción de auditoria de Cobro de Comisiones"/>
    <n v="1"/>
    <s v="Desarrollador"/>
    <s v="Distribuido"/>
    <m/>
    <e v="#NAME?"/>
    <x v="0"/>
    <e v="#NAME?"/>
    <m/>
    <m/>
    <m/>
    <m/>
    <m/>
    <m/>
  </r>
  <r>
    <s v="C809616"/>
    <s v="DIEGO FERNANDO MONTEALEGRE ROZO"/>
    <x v="5"/>
    <s v="Canales asistidos CB"/>
    <s v="BBVA"/>
    <x v="0"/>
    <s v="NOSDA $ BAU (Mantenimiento y peq. evolutivos)"/>
    <n v="0.25"/>
    <s v="Desarrollador"/>
    <s v="Distribuido"/>
    <s v="DataPower"/>
    <e v="#NAME?"/>
    <x v="0"/>
    <e v="#NAME?"/>
    <m/>
    <m/>
    <m/>
    <m/>
    <m/>
    <m/>
  </r>
  <r>
    <s v="C809616"/>
    <s v="DIEGO FERNANDO MONTEALEGRE ROZO"/>
    <x v="5"/>
    <s v="Canales asistidos CB"/>
    <s v="BBVA"/>
    <x v="0"/>
    <s v="SDATOOL-40581 $ Corresponsal Bancario Ya Ganaste"/>
    <n v="0.75"/>
    <s v="Desarrollador"/>
    <s v="Distribuido"/>
    <s v="DataPower"/>
    <e v="#NAME?"/>
    <x v="0"/>
    <e v="#NAME?"/>
    <m/>
    <m/>
    <m/>
    <m/>
    <m/>
    <m/>
  </r>
  <r>
    <s v="C810674"/>
    <s v="EDWIN ARMANDO CASTRO MARTIN"/>
    <x v="5"/>
    <s v="Canales asistidos Call Center / Gest. remota"/>
    <s v="BBVA"/>
    <x v="0"/>
    <s v="SDATOOL-39870 $ Front - Unificación de pantallas Contac Center"/>
    <n v="1"/>
    <s v="Desarrollador"/>
    <s v="Cells"/>
    <m/>
    <e v="#NAME?"/>
    <x v="0"/>
    <e v="#NAME?"/>
    <m/>
    <m/>
    <m/>
    <m/>
    <m/>
    <m/>
  </r>
  <r>
    <s v="C803039"/>
    <s v="EVELIN LORENA PEDRAZA ROMERO"/>
    <x v="5"/>
    <s v="Canales asistidos CB"/>
    <s v="BBVA"/>
    <x v="0"/>
    <s v="NOSDA $ BAU (Mantenimiento y peq. evolutivos)"/>
    <n v="0.5"/>
    <s v="Desarrollador"/>
    <s v="ASO"/>
    <m/>
    <e v="#NAME?"/>
    <x v="0"/>
    <e v="#NAME?"/>
    <m/>
    <m/>
    <m/>
    <m/>
    <m/>
    <m/>
  </r>
  <r>
    <s v="C803039"/>
    <s v="EVELIN LORENA PEDRAZA ROMERO"/>
    <x v="5"/>
    <s v="Canales asistidos CB"/>
    <s v="BBVA"/>
    <x v="0"/>
    <s v="SDATOOL-41709 $ Fraccionamiento de transacciones en CBs"/>
    <n v="0.5"/>
    <s v="Desarrollador"/>
    <s v="Mainframe"/>
    <m/>
    <e v="#NAME?"/>
    <x v="0"/>
    <e v="#NAME?"/>
    <m/>
    <m/>
    <m/>
    <m/>
    <m/>
    <m/>
  </r>
  <r>
    <s v="CE70580"/>
    <s v="FABIAN ARTURO RAMIREZ BROCHE"/>
    <x v="5"/>
    <s v="Canales asistidos RPA"/>
    <s v="Inetum"/>
    <x v="0"/>
    <s v="NOSDA $ BAU (Mantenimiento y peq. evolutivos)"/>
    <n v="1"/>
    <s v="Desarrollador"/>
    <s v="Distribuido"/>
    <s v="RPA Blue Prims"/>
    <e v="#NAME?"/>
    <x v="0"/>
    <e v="#NAME?"/>
    <m/>
    <m/>
    <m/>
    <m/>
    <m/>
    <m/>
  </r>
  <r>
    <s v="C804602"/>
    <s v="JOAN DE JESUS SANCHEZ CANDANOZA"/>
    <x v="5"/>
    <s v="Canales asistidos RPA"/>
    <s v="BBVA"/>
    <x v="0"/>
    <s v="NOSDA $ BAU (Mantenimiento y peq. evolutivos)"/>
    <n v="1"/>
    <s v="Desarrollador"/>
    <s v="Distribuido"/>
    <s v="RPA Blue Prims"/>
    <e v="#NAME?"/>
    <x v="0"/>
    <e v="#NAME?"/>
    <m/>
    <m/>
    <m/>
    <m/>
    <m/>
    <m/>
  </r>
  <r>
    <s v="CE70183"/>
    <s v="JOEL ANDRÉS CANTILLO NIETO"/>
    <x v="5"/>
    <s v="Canales asistidos Call Center / Gest. remota"/>
    <s v="GGI / CMC"/>
    <x v="0"/>
    <s v="SDATOOL-37100 $ Soluciones de voz/Internalización del IVR - Plan Ascenso Privado"/>
    <n v="1"/>
    <s v="Desarrollador"/>
    <s v="Mainframe"/>
    <m/>
    <e v="#NAME?"/>
    <x v="0"/>
    <e v="#NAME?"/>
    <m/>
    <m/>
    <m/>
    <m/>
    <m/>
    <m/>
  </r>
  <r>
    <s v="C805564"/>
    <s v="JOHN JAIRO CARDENAS SANABRIA"/>
    <x v="5"/>
    <s v="Canales asistidos CB"/>
    <s v="BBVA"/>
    <x v="0"/>
    <s v="SDATOOL-39871 $ Cbs Gelsa Paga todo"/>
    <n v="0.6"/>
    <s v="Desarrollador"/>
    <s v="Mainframe"/>
    <m/>
    <e v="#NAME?"/>
    <x v="0"/>
    <e v="#NAME?"/>
    <m/>
    <m/>
    <m/>
    <m/>
    <m/>
    <m/>
  </r>
  <r>
    <s v="C805564"/>
    <s v="JOHN JAIRO CARDENAS SANABRIA"/>
    <x v="5"/>
    <s v="Canales asistidos CB"/>
    <s v="BBVA"/>
    <x v="0"/>
    <s v="NOSDA $ BAU (Mantenimiento y peq. evolutivos)"/>
    <n v="0.1"/>
    <s v="Desarrollador"/>
    <s v="Distribuido"/>
    <m/>
    <e v="#NAME?"/>
    <x v="0"/>
    <e v="#NAME?"/>
    <m/>
    <m/>
    <m/>
    <m/>
    <m/>
    <m/>
  </r>
  <r>
    <s v="C805564"/>
    <s v="JOHN JAIRO CARDENAS SANABRIA"/>
    <x v="5"/>
    <s v="Canales asistidos CB"/>
    <s v="BBVA"/>
    <x v="0"/>
    <s v="SDATOOL-40581 $ Corresponsal Bancario Ya Ganaste"/>
    <n v="0.3"/>
    <s v="Desarrollador"/>
    <s v="Mainframe"/>
    <m/>
    <e v="#NAME?"/>
    <x v="0"/>
    <e v="#NAME?"/>
    <m/>
    <m/>
    <m/>
    <m/>
    <m/>
    <m/>
  </r>
  <r>
    <s v="C810669"/>
    <s v="JORGE ANDRES MANRIQUE MARTINEZ"/>
    <x v="5"/>
    <s v="Canales asistidos Call Center / Gest. remota"/>
    <s v="BBVA"/>
    <x v="0"/>
    <s v="SDATOOL-37100 $ Soluciones de voz/Internalización del IVR - Plan Ascenso Privado"/>
    <n v="1"/>
    <s v="Desarrollador"/>
    <s v="ASO"/>
    <m/>
    <e v="#NAME?"/>
    <x v="0"/>
    <e v="#NAME?"/>
    <m/>
    <m/>
    <m/>
    <m/>
    <m/>
    <m/>
  </r>
  <r>
    <s v="O002469"/>
    <s v="JOSE AGUSTIN PALOMINO PARDO"/>
    <x v="5"/>
    <s v="Canales asistidos CB"/>
    <s v="BBVA"/>
    <x v="0"/>
    <s v="NOSDA $ BAU (Mantenimiento y peq. evolutivos)"/>
    <n v="1"/>
    <s v="Desarrollador"/>
    <s v="ASO"/>
    <m/>
    <e v="#NAME?"/>
    <x v="0"/>
    <e v="#NAME?"/>
    <m/>
    <m/>
    <m/>
    <m/>
    <m/>
    <m/>
  </r>
  <r>
    <s v="O003310"/>
    <s v="KAREN MARGARITA ARENILLA TRIGOS"/>
    <x v="5"/>
    <s v="Canales asistidos CB"/>
    <s v="BBVA"/>
    <x v="0"/>
    <s v="NOSDA $ BAU (Mantenimiento y peq. evolutivos)"/>
    <n v="1"/>
    <s v="Desarrollador"/>
    <s v="APX"/>
    <s v="ASO/APX"/>
    <e v="#NAME?"/>
    <x v="0"/>
    <e v="#NAME?"/>
    <m/>
    <m/>
    <m/>
    <m/>
    <m/>
    <m/>
  </r>
  <r>
    <s v="O002599"/>
    <s v="LAURA VALENTINA SANDOVAL MARIN"/>
    <x v="5"/>
    <s v="Canales asistidos Call Center / Gest. remota"/>
    <s v="BBVA"/>
    <x v="0"/>
    <s v="SDATOOL-37100 $ Soluciones de voz/Internalización del IVR - Plan Ascenso Privado"/>
    <n v="1"/>
    <s v="Desarrollador"/>
    <s v="ASO"/>
    <m/>
    <e v="#NAME?"/>
    <x v="0"/>
    <e v="#NAME?"/>
    <m/>
    <m/>
    <m/>
    <m/>
    <m/>
    <m/>
  </r>
  <r>
    <s v="C808303"/>
    <s v="MARIA CAMILA BUITRAGO"/>
    <x v="5"/>
    <s v="Canales asistidos CB"/>
    <s v="BBVA"/>
    <x v="0"/>
    <s v="NOSDA $ BAU (Mantenimiento y peq. evolutivos)"/>
    <n v="0.7"/>
    <s v="Tech Manager/Líder"/>
    <s v="Otras Tec."/>
    <m/>
    <e v="#NAME?"/>
    <x v="0"/>
    <e v="#NAME?"/>
    <m/>
    <m/>
    <m/>
    <m/>
    <m/>
    <m/>
  </r>
  <r>
    <s v="C808303"/>
    <s v="MARIA CAMILA BUITRAGO"/>
    <x v="5"/>
    <s v="Canales asistidos CB"/>
    <s v="BBVA"/>
    <x v="0"/>
    <s v="SDATOOL-33947 $ Sinergias Bancamia"/>
    <n v="0.1"/>
    <s v="Tech Manager/Líder"/>
    <s v="Otras Tec."/>
    <m/>
    <e v="#NAME?"/>
    <x v="0"/>
    <e v="#NAME?"/>
    <m/>
    <m/>
    <m/>
    <m/>
    <m/>
    <m/>
  </r>
  <r>
    <s v="C808303"/>
    <s v="MARIA CAMILA BUITRAGO"/>
    <x v="5"/>
    <s v="Canales asistidos CB"/>
    <s v="BBVA"/>
    <x v="0"/>
    <s v="SDATOOL-39871 $ Cbs Gelsa Paga todo"/>
    <n v="0.05"/>
    <s v="Tech Manager/Líder"/>
    <s v="Otras Tec."/>
    <m/>
    <e v="#NAME?"/>
    <x v="0"/>
    <e v="#NAME?"/>
    <m/>
    <m/>
    <m/>
    <m/>
    <m/>
    <m/>
  </r>
  <r>
    <s v="C808303"/>
    <s v="MARIA CAMILA BUITRAGO"/>
    <x v="5"/>
    <s v="Canales asistidos CB"/>
    <s v="BBVA"/>
    <x v="0"/>
    <s v="SDATOOL-40581 $ Corresponsal Bancario Ya Ganaste"/>
    <n v="0.05"/>
    <s v="Tech Manager/Líder"/>
    <s v="Otras Tec."/>
    <m/>
    <e v="#NAME?"/>
    <x v="0"/>
    <e v="#NAME?"/>
    <m/>
    <m/>
    <m/>
    <m/>
    <m/>
    <m/>
  </r>
  <r>
    <s v="C808303"/>
    <s v="MARIA CAMILA BUITRAGO"/>
    <x v="5"/>
    <s v="Canales asistidos CB"/>
    <s v="BBVA"/>
    <x v="0"/>
    <s v="SDATOOL-41709 $ Fraccionamiento de transacciones en CBs"/>
    <n v="0.05"/>
    <s v="Tech Manager/Líder"/>
    <s v="Otras Tec."/>
    <m/>
    <e v="#NAME?"/>
    <x v="0"/>
    <e v="#NAME?"/>
    <m/>
    <m/>
    <m/>
    <m/>
    <m/>
    <m/>
  </r>
  <r>
    <s v="C808303"/>
    <s v="MARIA CAMILA BUITRAGO"/>
    <x v="5"/>
    <s v="Canales asistidos RPA"/>
    <s v="BBVA"/>
    <x v="0"/>
    <s v="SDATOOL-40529 $ Aplicativos Finanzas - 2023"/>
    <n v="0.05"/>
    <s v="Tech Manager/Líder"/>
    <s v="Otras Tec."/>
    <m/>
    <e v="#NAME?"/>
    <x v="0"/>
    <e v="#NAME?"/>
    <m/>
    <m/>
    <m/>
    <m/>
    <m/>
    <m/>
  </r>
  <r>
    <s v="CE59254"/>
    <s v="MARLLY JAZMIN VARGAS GARZÓN"/>
    <x v="5"/>
    <s v="Canales asistidos Call Center / Gest. remota"/>
    <s v="KRYPTO"/>
    <x v="0"/>
    <s v="SDATOOL-39870 $ Front - Unificación de pantallas Contac Center"/>
    <n v="1"/>
    <s v="QA"/>
    <s v="Otras Tec."/>
    <m/>
    <e v="#NAME?"/>
    <x v="0"/>
    <e v="#NAME?"/>
    <m/>
    <m/>
    <m/>
    <m/>
    <m/>
    <m/>
  </r>
  <r>
    <s v="CE69603"/>
    <s v="MIGUEL ANGEL LUENGAS"/>
    <x v="5"/>
    <s v="Canales asistidos ATM"/>
    <s v="Choucair"/>
    <x v="0"/>
    <s v="SDATOOL-40515 $ Acción de auditoria de Cobro de Comisiones"/>
    <n v="1"/>
    <s v="QA"/>
    <s v="Otras Tec."/>
    <m/>
    <e v="#NAME?"/>
    <x v="0"/>
    <e v="#NAME?"/>
    <m/>
    <m/>
    <m/>
    <m/>
    <m/>
    <m/>
  </r>
  <r>
    <s v="T004574"/>
    <s v="NICOLÁS ENRIQUE BUITRAGO ARANGO"/>
    <x v="5"/>
    <s v="Canales asistidos Call Center / Gest. remota"/>
    <s v="GGI / CMC"/>
    <x v="0"/>
    <s v="SDATOOL-39870 $ Front - Unificación de pantallas Contac Center"/>
    <n v="1"/>
    <s v="Desarrollador"/>
    <s v="ASO"/>
    <m/>
    <e v="#NAME?"/>
    <x v="0"/>
    <e v="#NAME?"/>
    <m/>
    <m/>
    <m/>
    <m/>
    <m/>
    <m/>
  </r>
  <r>
    <s v="CE57586"/>
    <s v="OMAR ESTEBAN MATUK"/>
    <x v="5"/>
    <s v="Canales asistidos CB"/>
    <s v="GGI / CMC"/>
    <x v="0"/>
    <s v="SDATOOL-40581 $ Corresponsal Bancario Ya Ganaste"/>
    <n v="0.2"/>
    <s v="Desarrollador"/>
    <s v="Mainframe"/>
    <m/>
    <e v="#NAME?"/>
    <x v="0"/>
    <e v="#NAME?"/>
    <m/>
    <m/>
    <m/>
    <m/>
    <m/>
    <m/>
  </r>
  <r>
    <s v="CE57586"/>
    <s v="OMAR ESTEBAN MATUK"/>
    <x v="5"/>
    <s v="Canales asistidos CB"/>
    <s v="GGI / CMC"/>
    <x v="0"/>
    <s v="SDATOOL-39871 $ Cbs Gelsa Paga todo"/>
    <n v="0.6"/>
    <s v="Desarrollador"/>
    <s v="Mainframe"/>
    <m/>
    <e v="#NAME?"/>
    <x v="0"/>
    <e v="#NAME?"/>
    <m/>
    <m/>
    <m/>
    <m/>
    <m/>
    <m/>
  </r>
  <r>
    <s v="CE57586"/>
    <s v="OMAR ESTEBAN MATUK"/>
    <x v="5"/>
    <s v="Canales asistidos CB"/>
    <s v="GGI / CMC"/>
    <x v="0"/>
    <s v="SDATOOL-41709 $ Fraccionamiento de transacciones en CBs"/>
    <n v="0.2"/>
    <s v="Desarrollador"/>
    <s v="Mainframe"/>
    <m/>
    <e v="#NAME?"/>
    <x v="0"/>
    <e v="#NAME?"/>
    <m/>
    <m/>
    <m/>
    <m/>
    <m/>
    <m/>
  </r>
  <r>
    <s v="CE59969"/>
    <s v="PABLO ANTONIO MARQUEZ"/>
    <x v="5"/>
    <s v="Canales asistidos Call Center / Gest. remota"/>
    <s v="Novatec"/>
    <x v="0"/>
    <s v="SDATOOL-39870 $ Front - Unificación de pantallas Contac Center"/>
    <n v="1"/>
    <s v="Desarrollador"/>
    <s v="Mainframe"/>
    <m/>
    <e v="#NAME?"/>
    <x v="0"/>
    <e v="#NAME?"/>
    <m/>
    <m/>
    <m/>
    <m/>
    <m/>
    <m/>
  </r>
  <r>
    <s v="CE43579"/>
    <s v="PLINIO EDUARDO MARTINEZ ESPITIA"/>
    <x v="5"/>
    <s v="Canales asistidos ATM"/>
    <s v="GGI / CMC"/>
    <x v="0"/>
    <s v="SDATOOL-9053 $ GloMo Colombia"/>
    <n v="0.1"/>
    <s v="QA"/>
    <s v="Otras Tec."/>
    <m/>
    <e v="#NAME?"/>
    <x v="0"/>
    <e v="#NAME?"/>
    <m/>
    <m/>
    <m/>
    <m/>
    <m/>
    <m/>
  </r>
  <r>
    <s v="CE43579"/>
    <s v="PLINIO EDUARDO MARTINEZ ESPITIA"/>
    <x v="5"/>
    <s v="Canales asistidos ATM"/>
    <s v="GGI / CMC"/>
    <x v="0"/>
    <s v="SDATOOL-33947 $ Sinergias Bancamia"/>
    <n v="0.3"/>
    <s v="QA"/>
    <s v="Otras Tec."/>
    <m/>
    <e v="#NAME?"/>
    <x v="0"/>
    <e v="#NAME?"/>
    <m/>
    <m/>
    <m/>
    <m/>
    <m/>
    <m/>
  </r>
  <r>
    <s v="CE43579"/>
    <s v="PLINIO EDUARDO MARTINEZ ESPITIA"/>
    <x v="5"/>
    <s v="Canales asistidos ATM"/>
    <s v="GGI / CMC"/>
    <x v="0"/>
    <s v="SDATOOL-41706 $ Renovación ATMs 2023"/>
    <n v="0.3"/>
    <s v="QA"/>
    <s v="Otras Tec."/>
    <m/>
    <e v="#NAME?"/>
    <x v="0"/>
    <e v="#NAME?"/>
    <m/>
    <m/>
    <m/>
    <m/>
    <m/>
    <m/>
  </r>
  <r>
    <s v="CE43579"/>
    <s v="PLINIO EDUARDO MARTINEZ ESPITIA"/>
    <x v="5"/>
    <s v="Canales asistidos ATM"/>
    <s v="GGI / CMC"/>
    <x v="0"/>
    <s v="NOSDA $ BAU (Mantenimiento y peq. evolutivos)"/>
    <n v="0.3"/>
    <s v="QA"/>
    <s v="Otras Tec."/>
    <m/>
    <e v="#NAME?"/>
    <x v="0"/>
    <e v="#NAME?"/>
    <m/>
    <m/>
    <m/>
    <m/>
    <m/>
    <m/>
  </r>
  <r>
    <s v="C804684"/>
    <s v="WALTHER STIVENS ZAPATA TABERA"/>
    <x v="5"/>
    <s v="Canales asistidos ATM"/>
    <s v="BBVA"/>
    <x v="0"/>
    <s v="SDATOOL-33947 $ Sinergias Bancamia"/>
    <n v="0.5"/>
    <s v="Desarrollador"/>
    <s v="Mainframe"/>
    <m/>
    <e v="#NAME?"/>
    <x v="0"/>
    <e v="#NAME?"/>
    <m/>
    <m/>
    <m/>
    <m/>
    <m/>
    <m/>
  </r>
  <r>
    <s v="C804684"/>
    <s v="WALTHER STIVENS ZAPATA TABERA"/>
    <x v="5"/>
    <s v="Canales asistidos ATM"/>
    <s v="BBVA"/>
    <x v="0"/>
    <s v="SDATOOL-41706 $ Renovación ATMs 2023"/>
    <n v="0.1"/>
    <s v="Desarrollador"/>
    <s v="Mainframe"/>
    <m/>
    <e v="#NAME?"/>
    <x v="0"/>
    <e v="#NAME?"/>
    <m/>
    <m/>
    <m/>
    <m/>
    <m/>
    <m/>
  </r>
  <r>
    <s v="C804684"/>
    <s v="WALTHER STIVENS ZAPATA TABERA"/>
    <x v="5"/>
    <s v="Canales asistidos ATM"/>
    <s v="BBVA"/>
    <x v="0"/>
    <s v="NOSDA $ BAU (Mantenimiento y peq. evolutivos)"/>
    <n v="0.4"/>
    <s v="Desarrollador"/>
    <s v="Mainframe"/>
    <m/>
    <e v="#NAME?"/>
    <x v="0"/>
    <e v="#NAME?"/>
    <m/>
    <m/>
    <m/>
    <m/>
    <m/>
    <m/>
  </r>
  <r>
    <s v="CE68929"/>
    <s v="YENIFER ARANGO TABARES"/>
    <x v="5"/>
    <s v="Canales asistidos Call Center / Gest. remota"/>
    <s v="Choucair"/>
    <x v="0"/>
    <s v="SDATOOL-37100 $ Soluciones de voz/Internalización del IVR - Plan Ascenso Privado"/>
    <n v="1"/>
    <s v="QA"/>
    <s v="Otras Tec."/>
    <m/>
    <e v="#NAME?"/>
    <x v="0"/>
    <e v="#NAME?"/>
    <m/>
    <m/>
    <m/>
    <m/>
    <m/>
    <m/>
  </r>
  <r>
    <s v="CE61162"/>
    <s v="JOSE ANTONIO PERFECTO"/>
    <x v="5"/>
    <s v="Canales asistidos Call Center / Gest. remota"/>
    <s v="Accenture"/>
    <x v="0"/>
    <s v="SDATOOL-37100 $ Soluciones de voz/Internalización del IVR - Plan Ascenso Privado"/>
    <n v="1"/>
    <s v="Desarrollador"/>
    <s v="APX"/>
    <m/>
    <e v="#NAME?"/>
    <x v="0"/>
    <e v="#NAME?"/>
    <m/>
    <m/>
    <m/>
    <m/>
    <m/>
    <m/>
  </r>
  <r>
    <s v="O004597"/>
    <s v="LUIS FELIPE VILLEGAS SANCHEZ"/>
    <x v="5"/>
    <s v="Canales asistidos ATM"/>
    <s v="BBVA"/>
    <x v="0"/>
    <s v="SDATOOL-41706 $ Renovación ATMs 2023"/>
    <n v="1"/>
    <s v="Desarrollador"/>
    <s v="ASO"/>
    <m/>
    <e v="#NAME?"/>
    <x v="0"/>
    <e v="#NAME?"/>
    <m/>
    <m/>
    <m/>
    <m/>
    <m/>
    <m/>
  </r>
  <r>
    <s v="CE66885"/>
    <s v="ADRIAN ROJAS"/>
    <x v="3"/>
    <s v="Payments"/>
    <s v="Meraki"/>
    <x v="0"/>
    <s v="SDATOOL-36556 $ Parthnerships - Tarjeta de crédito en punto de venta físico aliados"/>
    <n v="1"/>
    <s v="Desarrollador"/>
    <s v="APX"/>
    <m/>
    <e v="#NAME?"/>
    <x v="0"/>
    <e v="#NAME?"/>
    <m/>
    <m/>
    <m/>
    <m/>
    <m/>
    <n v="1"/>
  </r>
  <r>
    <s v="CE70173"/>
    <s v="ADRIANA MAYERLY RAMIREZ"/>
    <x v="3"/>
    <s v="Payments"/>
    <s v="Choucair"/>
    <x v="0"/>
    <s v="SDATOOL-37057 $ Pagos QR - Entre cuentas Redeban - Plan Ascenso Mercurio"/>
    <n v="1"/>
    <s v="QA"/>
    <s v="Cells"/>
    <m/>
    <e v="#NAME?"/>
    <x v="0"/>
    <e v="#NAME?"/>
    <m/>
    <m/>
    <m/>
    <m/>
    <m/>
    <n v="1"/>
  </r>
  <r>
    <s v="CE17710"/>
    <s v="ANDREA MARIETA LOPEZ PARRA."/>
    <x v="3"/>
    <s v="Payments"/>
    <s v="Novatec"/>
    <x v="0"/>
    <s v="NOSDA $ BAU (Mantenimiento y peq. evolutivos)"/>
    <n v="1"/>
    <s v="Desarrollador"/>
    <s v="Mainframe"/>
    <m/>
    <e v="#NAME?"/>
    <x v="0"/>
    <e v="#NAME?"/>
    <m/>
    <m/>
    <m/>
    <m/>
    <m/>
    <n v="1"/>
  </r>
  <r>
    <s v="T004480"/>
    <s v="ANDRES DAVID ARIAS"/>
    <x v="3"/>
    <s v="Payments"/>
    <s v="Novatec"/>
    <x v="0"/>
    <s v="NOSDA $ BAU (Mantenimiento y peq. evolutivos)"/>
    <n v="1"/>
    <s v="Desarrollador"/>
    <s v="Mainframe"/>
    <m/>
    <e v="#NAME?"/>
    <x v="0"/>
    <e v="#NAME?"/>
    <m/>
    <m/>
    <m/>
    <m/>
    <m/>
    <n v="1"/>
  </r>
  <r>
    <s v="C805316"/>
    <s v="ANGELA MARIA BENITEZ"/>
    <x v="3"/>
    <s v="Payments"/>
    <s v="BBVA"/>
    <x v="0"/>
    <s v="SDATOOL-37061 $ Plan de Lealtad Comecios -Plan Ascenso Autónomos"/>
    <n v="1"/>
    <s v="Desarrollador"/>
    <s v="Mainframe"/>
    <m/>
    <e v="#NAME?"/>
    <x v="0"/>
    <e v="#NAME?"/>
    <m/>
    <m/>
    <m/>
    <m/>
    <m/>
    <n v="1"/>
  </r>
  <r>
    <s v="C810793"/>
    <s v="CAMILO ERNESTO MUÑOZ LOVERA"/>
    <x v="3"/>
    <s v="Payments"/>
    <s v="BBVA"/>
    <x v="0"/>
    <s v="SDATOOL-37061 $ Plan de Lealtad Comecios -Plan Ascenso Autónomos"/>
    <n v="1"/>
    <s v="Desarrollador"/>
    <s v="ASO"/>
    <m/>
    <e v="#NAME?"/>
    <x v="0"/>
    <e v="#NAME?"/>
    <m/>
    <m/>
    <m/>
    <m/>
    <m/>
    <n v="1"/>
  </r>
  <r>
    <s v="C811175"/>
    <s v="CIRO ALONSO RINCON HERNANDEZ"/>
    <x v="3"/>
    <s v="Payments"/>
    <s v="BBVA"/>
    <x v="0"/>
    <s v="SDATOOL-38447 $ GRM Col - Condonación y bajas automáticas en Medios de Pago"/>
    <n v="0.2"/>
    <s v="Desarrollador"/>
    <s v="Mainframe"/>
    <m/>
    <e v="#NAME?"/>
    <x v="0"/>
    <e v="#NAME?"/>
    <m/>
    <m/>
    <m/>
    <m/>
    <m/>
    <n v="1"/>
  </r>
  <r>
    <s v="C811175"/>
    <s v="CIRO ALONSO RINCON HERNANDEZ"/>
    <x v="3"/>
    <s v="Payments"/>
    <s v="BBVA"/>
    <x v="0"/>
    <s v="SDATOOL-40438 $ CIRCULAR 032 del 2021 - REQUERIMIENTO FISCALIA GENERAL DE LA NACION"/>
    <n v="0.2"/>
    <s v="Desarrollador"/>
    <s v="Mainframe"/>
    <m/>
    <e v="#NAME?"/>
    <x v="0"/>
    <e v="#NAME?"/>
    <m/>
    <m/>
    <m/>
    <m/>
    <m/>
    <n v="0"/>
  </r>
  <r>
    <s v="CE46835"/>
    <s v="CLAUDIA PALENCIA"/>
    <x v="3"/>
    <s v="Payments"/>
    <s v="KRYPTO"/>
    <x v="0"/>
    <s v="SDATOOL-36556 $ Parthnerships - Tarjeta de crédito en punto de venta físico aliados"/>
    <n v="0.2"/>
    <s v="QA"/>
    <s v="Openweb"/>
    <m/>
    <e v="#NAME?"/>
    <x v="0"/>
    <e v="#NAME?"/>
    <m/>
    <m/>
    <m/>
    <m/>
    <m/>
    <n v="1"/>
  </r>
  <r>
    <s v="CE46835"/>
    <s v="CLAUDIA PALENCIA"/>
    <x v="3"/>
    <s v="Payments"/>
    <s v="KRYPTO"/>
    <x v="0"/>
    <s v="SDATOOL-37057 $ Pagos QR - Entre cuentas Redeban - Plan Ascenso Mercurio"/>
    <n v="0.5"/>
    <s v="QA"/>
    <s v="Mainframe"/>
    <m/>
    <e v="#NAME?"/>
    <x v="0"/>
    <e v="#NAME?"/>
    <m/>
    <m/>
    <m/>
    <m/>
    <m/>
    <n v="0"/>
  </r>
  <r>
    <s v="CE46835"/>
    <s v="CLAUDIA PALENCIA"/>
    <x v="3"/>
    <s v="Payments"/>
    <s v="KRYPTO"/>
    <x v="0"/>
    <s v="NOSDA $ BAU (Mantenimiento y peq. evolutivos)"/>
    <n v="0.3"/>
    <s v="QA"/>
    <m/>
    <m/>
    <e v="#NAME?"/>
    <x v="0"/>
    <e v="#NAME?"/>
    <m/>
    <m/>
    <m/>
    <m/>
    <m/>
    <n v="0"/>
  </r>
  <r>
    <s v="CE69505"/>
    <s v="CLAUDIA YURANI TAQUEZ CHALAPUD"/>
    <x v="3"/>
    <s v="Payments"/>
    <s v="KRYPTO"/>
    <x v="0"/>
    <s v="SDATOOL-36556 $ Parthnerships - Tarjeta de crédito en punto de venta físico aliados"/>
    <n v="0.2"/>
    <s v="QA"/>
    <s v="Mainframe"/>
    <m/>
    <e v="#NAME?"/>
    <x v="0"/>
    <e v="#NAME?"/>
    <m/>
    <m/>
    <m/>
    <m/>
    <m/>
    <n v="1"/>
  </r>
  <r>
    <s v="CE69505"/>
    <s v="CLAUDIA YURANI TAQUEZ CHALAPUD"/>
    <x v="3"/>
    <s v="Payments"/>
    <s v="KRYPTO"/>
    <x v="0"/>
    <s v="NOSDA $ BAU (Mantenimiento y peq. evolutivos)"/>
    <n v="0.3"/>
    <s v="QA"/>
    <s v="Mainframe"/>
    <m/>
    <e v="#NAME?"/>
    <x v="0"/>
    <e v="#NAME?"/>
    <m/>
    <m/>
    <m/>
    <m/>
    <m/>
    <n v="0"/>
  </r>
  <r>
    <s v="CE69505"/>
    <s v="CLAUDIA YURANI TAQUEZ CHALAPUD"/>
    <x v="3"/>
    <s v="Payments"/>
    <s v="KRYPTO"/>
    <x v="0"/>
    <s v="SDATOOL-37057 $ Pagos QR - Entre cuentas Redeban - Plan Ascenso Mercurio"/>
    <n v="0.5"/>
    <s v="QA"/>
    <s v="Mainframe"/>
    <m/>
    <e v="#NAME?"/>
    <x v="0"/>
    <e v="#NAME?"/>
    <m/>
    <m/>
    <m/>
    <m/>
    <m/>
    <n v="0"/>
  </r>
  <r>
    <s v="O000988"/>
    <s v="CRISTIAN CAMILO RATIVA PARRA"/>
    <x v="3"/>
    <s v="Payments"/>
    <s v="BBVA"/>
    <x v="0"/>
    <s v="SDATOOL-41757 $ AJUSTE AUTOMATIZACION CONCILIACION ARA"/>
    <n v="0.4"/>
    <s v="Desarrollador"/>
    <s v="Mainframe"/>
    <m/>
    <e v="#NAME?"/>
    <x v="0"/>
    <e v="#NAME?"/>
    <m/>
    <m/>
    <m/>
    <m/>
    <m/>
    <n v="1"/>
  </r>
  <r>
    <s v="O000988"/>
    <s v="CRISTIAN CAMILO RATIVA PARRA"/>
    <x v="3"/>
    <s v="Payments"/>
    <s v="BBVA"/>
    <x v="0"/>
    <s v="SDATOOL-41709 $ Fraccionamiento de transacciones en CBs"/>
    <n v="0.4"/>
    <s v="Desarrollador"/>
    <s v="Mainframe"/>
    <m/>
    <e v="#NAME?"/>
    <x v="0"/>
    <e v="#NAME?"/>
    <m/>
    <m/>
    <m/>
    <m/>
    <m/>
    <n v="0"/>
  </r>
  <r>
    <s v="O000988"/>
    <s v="CRISTIAN CAMILO RATIVA PARRA"/>
    <x v="3"/>
    <s v="Payments"/>
    <s v="BBVA"/>
    <x v="0"/>
    <s v="NOSDA $ BAU (Mantenimiento y peq. evolutivos)"/>
    <n v="0.2"/>
    <s v="Desarrollador"/>
    <s v="Mainframe"/>
    <m/>
    <e v="#NAME?"/>
    <x v="0"/>
    <e v="#NAME?"/>
    <m/>
    <m/>
    <m/>
    <m/>
    <m/>
    <n v="0"/>
  </r>
  <r>
    <s v="C805861"/>
    <s v="DANIEL SANTIAGO JARAMILLO"/>
    <x v="3"/>
    <s v="Payments"/>
    <s v="BBVA"/>
    <x v="0"/>
    <s v="SDATOOL-37057 $ Pagos QR - Entre cuentas Redeban - Plan Ascenso Mercurio"/>
    <n v="1"/>
    <s v="Desarrollador"/>
    <s v="Mainframe"/>
    <m/>
    <e v="#NAME?"/>
    <x v="0"/>
    <e v="#NAME?"/>
    <m/>
    <m/>
    <m/>
    <m/>
    <m/>
    <n v="1"/>
  </r>
  <r>
    <s v="CE58194"/>
    <s v="DIANA MAYERLY RAMIREZ"/>
    <x v="3"/>
    <s v="Payments"/>
    <s v="Inetum"/>
    <x v="0"/>
    <s v="SDATOOL-36556 $ Parthnerships - Tarjeta de crédito en punto de venta físico aliados"/>
    <n v="1"/>
    <s v="QA"/>
    <s v="Mainframe"/>
    <m/>
    <e v="#NAME?"/>
    <x v="0"/>
    <e v="#NAME?"/>
    <m/>
    <m/>
    <m/>
    <m/>
    <m/>
    <n v="1"/>
  </r>
  <r>
    <s v="O001722"/>
    <s v="EDWARD ALEXANDER DUQUE TAMAYO"/>
    <x v="3"/>
    <s v="Payments"/>
    <s v="BBVA"/>
    <x v="0"/>
    <s v="NOSDA $ BAU (Mantenimiento y peq. evolutivos)"/>
    <n v="1"/>
    <s v="Desarrollador"/>
    <s v="Mainframe"/>
    <m/>
    <e v="#NAME?"/>
    <x v="0"/>
    <e v="#NAME?"/>
    <m/>
    <m/>
    <m/>
    <m/>
    <m/>
    <n v="1"/>
  </r>
  <r>
    <s v="C809504"/>
    <s v="ELIEZER JOSUE CONEO VEGA"/>
    <x v="3"/>
    <s v="Payments"/>
    <s v="BBVA"/>
    <x v="0"/>
    <s v="SDATOOL-38447 $ GRM Col - Condonación y bajas automáticas en Medios de Pago"/>
    <n v="0.2"/>
    <s v="Desarrollador"/>
    <s v="Mainframe"/>
    <m/>
    <e v="#NAME?"/>
    <x v="0"/>
    <e v="#NAME?"/>
    <m/>
    <m/>
    <m/>
    <m/>
    <m/>
    <n v="1"/>
  </r>
  <r>
    <s v="C809504"/>
    <s v="ELIEZER JOSUE CONEO VEGA"/>
    <x v="3"/>
    <s v="Payments"/>
    <s v="BBVA"/>
    <x v="0"/>
    <s v="SDATOOL-33846 $ SREP Data Quality- BCBS239 - Colombia"/>
    <n v="0.6"/>
    <s v="Desarrollador"/>
    <s v="Mainframe"/>
    <m/>
    <e v="#NAME?"/>
    <x v="0"/>
    <e v="#NAME?"/>
    <m/>
    <m/>
    <m/>
    <m/>
    <m/>
    <n v="0"/>
  </r>
  <r>
    <s v="C809504"/>
    <s v="ELIEZER JOSUE CONEO VEGA"/>
    <x v="3"/>
    <s v="Payments"/>
    <s v="BBVA"/>
    <x v="0"/>
    <s v="NOSDA $ BAU (Mantenimiento y peq. evolutivos)"/>
    <n v="0.2"/>
    <s v="Desarrollador"/>
    <s v="Mainframe"/>
    <m/>
    <e v="#NAME?"/>
    <x v="0"/>
    <e v="#NAME?"/>
    <m/>
    <m/>
    <m/>
    <m/>
    <m/>
    <n v="0"/>
  </r>
  <r>
    <s v="O000962"/>
    <s v="ELIZABETH  TRIANA PRIETO"/>
    <x v="3"/>
    <s v="Payments"/>
    <s v="BBVA"/>
    <x v="0"/>
    <s v="SDATOOL-36556 $ Parthnerships - Tarjeta de crédito en punto de venta físico aliados"/>
    <n v="1"/>
    <s v="Tech Manager/Líder"/>
    <s v="Cells"/>
    <m/>
    <e v="#NAME?"/>
    <x v="0"/>
    <e v="#NAME?"/>
    <m/>
    <m/>
    <m/>
    <m/>
    <m/>
    <n v="1"/>
  </r>
  <r>
    <s v="CE66884"/>
    <s v="FRANK HERRAN GARZON"/>
    <x v="3"/>
    <s v="Payments"/>
    <s v="Meraki"/>
    <x v="0"/>
    <s v="SDATOOL-36556 $ Parthnerships - Tarjeta de crédito en punto de venta físico aliados"/>
    <n v="1"/>
    <s v="Desarrollador"/>
    <s v="APX"/>
    <m/>
    <e v="#NAME?"/>
    <x v="0"/>
    <e v="#NAME?"/>
    <m/>
    <m/>
    <m/>
    <m/>
    <m/>
    <n v="1"/>
  </r>
  <r>
    <s v="C810909"/>
    <s v="GUILIAN ANDREI TAFUR FUENTES"/>
    <x v="3"/>
    <s v="Payments"/>
    <s v="BBVA"/>
    <x v="0"/>
    <s v="SDATOOL-37057 $ Pagos QR - Entre cuentas Redeban - Plan Ascenso Mercurio"/>
    <n v="1"/>
    <s v="Desarrollador"/>
    <s v="APX"/>
    <m/>
    <e v="#NAME?"/>
    <x v="0"/>
    <e v="#NAME?"/>
    <m/>
    <m/>
    <m/>
    <m/>
    <m/>
    <n v="1"/>
  </r>
  <r>
    <s v="T002223"/>
    <s v="HERMES FERNANDO AMARIS"/>
    <x v="3"/>
    <s v="Payments"/>
    <s v="KRYPTO"/>
    <x v="0"/>
    <s v="NOSDA $ BAU (Mantenimiento y peq. evolutivos)"/>
    <n v="1"/>
    <s v="QA"/>
    <s v="Mainframe"/>
    <m/>
    <e v="#NAME?"/>
    <x v="0"/>
    <e v="#NAME?"/>
    <m/>
    <m/>
    <m/>
    <m/>
    <m/>
    <n v="1"/>
  </r>
  <r>
    <s v="CE56542"/>
    <s v="HUMBERTO MALAGON VARGAS"/>
    <x v="3"/>
    <s v="Payments"/>
    <s v="Novatec"/>
    <x v="0"/>
    <s v="NOSDA $ BAU (Mantenimiento y peq. evolutivos)"/>
    <n v="0.5"/>
    <s v="Desarrollador"/>
    <s v="APX"/>
    <m/>
    <e v="#NAME?"/>
    <x v="0"/>
    <e v="#NAME?"/>
    <m/>
    <m/>
    <m/>
    <m/>
    <m/>
    <n v="1"/>
  </r>
  <r>
    <s v="C342035"/>
    <s v="JENNIFER ALZATE"/>
    <x v="3"/>
    <s v="Payments"/>
    <s v="BBVA"/>
    <x v="0"/>
    <s v="SDATOOL-36556 $ Parthnerships - Tarjeta de crédito en punto de venta físico aliados"/>
    <n v="1"/>
    <s v="Desarrollador"/>
    <s v="Mainframe"/>
    <m/>
    <e v="#NAME?"/>
    <x v="0"/>
    <e v="#NAME?"/>
    <m/>
    <m/>
    <m/>
    <m/>
    <m/>
    <n v="1"/>
  </r>
  <r>
    <s v="C811264"/>
    <s v="JORGE LUIS URBINA"/>
    <x v="3"/>
    <s v="Payments"/>
    <s v="BBVA"/>
    <x v="0"/>
    <s v="SDATOOL-36556 $ Parthnerships - Tarjeta de crédito en punto de venta físico aliados"/>
    <n v="0.2"/>
    <s v="Desarrollador"/>
    <s v="Mainframe"/>
    <m/>
    <e v="#NAME?"/>
    <x v="0"/>
    <e v="#NAME?"/>
    <m/>
    <m/>
    <m/>
    <m/>
    <m/>
    <n v="1"/>
  </r>
  <r>
    <s v="C811264"/>
    <s v="JORGE LUIS URBINA"/>
    <x v="3"/>
    <s v="Payments"/>
    <s v="BBVA"/>
    <x v="0"/>
    <s v="NOSDA $ BAU (Mantenimiento y peq. evolutivos)"/>
    <n v="0.3"/>
    <s v="Desarrollador"/>
    <s v="Mainframe"/>
    <m/>
    <e v="#NAME?"/>
    <x v="0"/>
    <e v="#NAME?"/>
    <m/>
    <m/>
    <m/>
    <m/>
    <m/>
    <n v="0"/>
  </r>
  <r>
    <s v="C811264"/>
    <s v="JORGE LUIS URBINA"/>
    <x v="3"/>
    <s v="Payments"/>
    <s v="BBVA"/>
    <x v="0"/>
    <s v="SDATOOL-40613 $ Códigos MAC"/>
    <n v="0.5"/>
    <s v="Desarrollador"/>
    <s v="Mainframe"/>
    <m/>
    <e v="#NAME?"/>
    <x v="0"/>
    <e v="#NAME?"/>
    <m/>
    <m/>
    <m/>
    <m/>
    <m/>
    <n v="0"/>
  </r>
  <r>
    <s v="C811393"/>
    <s v="JORGE NELSON GARCIA"/>
    <x v="3"/>
    <s v="Payments"/>
    <s v="BBVA"/>
    <x v="0"/>
    <s v="SDATOOL-38589 $ Mandatorio tokenización"/>
    <n v="0.35"/>
    <s v="Desarrollador"/>
    <s v="Mainframe"/>
    <m/>
    <e v="#NAME?"/>
    <x v="0"/>
    <e v="#NAME?"/>
    <m/>
    <m/>
    <m/>
    <m/>
    <m/>
    <n v="1"/>
  </r>
  <r>
    <s v="C811393"/>
    <s v="JORGE NELSON GARCIA"/>
    <x v="3"/>
    <s v="Payments"/>
    <s v="BBVA"/>
    <x v="0"/>
    <s v="SDATOOL-41726 $ EXTRACUPO TARJETA DE CREDITO"/>
    <n v="0.35"/>
    <s v="Desarrollador"/>
    <s v="Mainframe"/>
    <m/>
    <e v="#NAME?"/>
    <x v="0"/>
    <e v="#NAME?"/>
    <m/>
    <m/>
    <m/>
    <m/>
    <m/>
    <n v="0"/>
  </r>
  <r>
    <s v="C811393"/>
    <s v="JORGE NELSON GARCIA"/>
    <x v="3"/>
    <s v="Payments"/>
    <s v="BBVA"/>
    <x v="0"/>
    <s v="NOSDA $ BAU (Mantenimiento y peq. evolutivos)"/>
    <n v="0.3"/>
    <s v="Desarrollador"/>
    <s v="Mainframe"/>
    <m/>
    <e v="#NAME?"/>
    <x v="0"/>
    <e v="#NAME?"/>
    <m/>
    <m/>
    <m/>
    <m/>
    <m/>
    <n v="0"/>
  </r>
  <r>
    <s v="CE49917"/>
    <s v="JORGE TAUTIVA MELO"/>
    <x v="3"/>
    <s v="Payments"/>
    <s v="Novatec"/>
    <x v="0"/>
    <s v="SDATOOL-37057 $ Pagos QR - Entre cuentas Redeban - Plan Ascenso Mercurio"/>
    <n v="0.5"/>
    <s v="Desarrollador"/>
    <s v="APX"/>
    <m/>
    <e v="#NAME?"/>
    <x v="0"/>
    <e v="#NAME?"/>
    <m/>
    <m/>
    <m/>
    <m/>
    <m/>
    <n v="1"/>
  </r>
  <r>
    <s v="CE49917"/>
    <s v="JORGE TAUTIVA MELO"/>
    <x v="3"/>
    <s v="Payments"/>
    <s v="Novatec"/>
    <x v="0"/>
    <s v="SDATOOL-37061 $ Plan de Lealtad Comecios -Plan Ascenso Autónomos"/>
    <n v="0.5"/>
    <s v="Desarrollador"/>
    <s v="APX"/>
    <m/>
    <e v="#NAME?"/>
    <x v="0"/>
    <e v="#NAME?"/>
    <m/>
    <m/>
    <m/>
    <m/>
    <m/>
    <n v="0"/>
  </r>
  <r>
    <s v="C804723"/>
    <s v="JOSE BLADIMIR INAMPUES TUTALCHA"/>
    <x v="3"/>
    <s v="Payments"/>
    <s v="BBVA"/>
    <x v="0"/>
    <s v="SDATOOL-40455 $ Comisión porcentaje compras internacionales Mastercard y Visa Fase 2"/>
    <n v="0.3"/>
    <s v="Desarrollador"/>
    <s v="Mainframe"/>
    <m/>
    <e v="#NAME?"/>
    <x v="0"/>
    <e v="#NAME?"/>
    <m/>
    <m/>
    <m/>
    <m/>
    <m/>
    <n v="1"/>
  </r>
  <r>
    <s v="C804723"/>
    <s v="JOSE BLADIMIR INAMPUES TUTALCHA"/>
    <x v="3"/>
    <s v="Payments"/>
    <s v="BBVA"/>
    <x v="0"/>
    <s v="NOSDA $ BAU (Mantenimiento y peq. evolutivos)"/>
    <n v="0.7"/>
    <s v="Desarrollador"/>
    <s v="Mainframe"/>
    <m/>
    <e v="#NAME?"/>
    <x v="0"/>
    <e v="#NAME?"/>
    <m/>
    <m/>
    <m/>
    <m/>
    <m/>
    <n v="0"/>
  </r>
  <r>
    <s v="C341931"/>
    <s v="JOSE MIGUEL SANCHEZ BARRANTES"/>
    <x v="3"/>
    <s v="Payments"/>
    <s v="BBVA"/>
    <x v="0"/>
    <s v="SDATOOL-37061 $ Plan de Lealtad Comecios -Plan Ascenso Autónomos"/>
    <n v="0.5"/>
    <s v="Tech Manager/Líder"/>
    <s v="Mainframe"/>
    <m/>
    <e v="#NAME?"/>
    <x v="0"/>
    <e v="#NAME?"/>
    <m/>
    <m/>
    <m/>
    <m/>
    <m/>
    <n v="1"/>
  </r>
  <r>
    <s v="C341931"/>
    <s v="JOSE MIGUEL SANCHEZ BARRANTES"/>
    <x v="3"/>
    <s v="Payments"/>
    <s v="BBVA"/>
    <x v="0"/>
    <s v="SDATOOL-37057 $ Pagos QR - Entre cuentas Redeban - Plan Ascenso Mercurio"/>
    <n v="0.5"/>
    <s v="Tech Manager/Líder"/>
    <s v="Mainframe"/>
    <m/>
    <e v="#NAME?"/>
    <x v="0"/>
    <e v="#NAME?"/>
    <m/>
    <m/>
    <m/>
    <m/>
    <m/>
    <n v="0"/>
  </r>
  <r>
    <s v="C811403"/>
    <s v="JUAN FELIPE FORERO"/>
    <x v="3"/>
    <s v="Payments"/>
    <s v="BBVA"/>
    <x v="0"/>
    <s v="SDATOOL-40384 $ Cobrar intereses corrientes entre la transacción y la pre-cancelación"/>
    <n v="0.15"/>
    <s v="Tech Manager/Líder"/>
    <s v="Mainframe"/>
    <m/>
    <e v="#NAME?"/>
    <x v="0"/>
    <e v="#NAME?"/>
    <m/>
    <m/>
    <m/>
    <m/>
    <m/>
    <n v="1"/>
  </r>
  <r>
    <s v="C811403"/>
    <s v="JUAN FELIPE FORERO"/>
    <x v="3"/>
    <s v="Payments"/>
    <s v="BBVA"/>
    <x v="0"/>
    <s v="SDATOOL-40455 $ Comisión porcentaje compras internacionales Mastercard y Visa Fase 2"/>
    <n v="0.1"/>
    <s v="Tech Manager/Líder"/>
    <s v="Mainframe"/>
    <m/>
    <e v="#NAME?"/>
    <x v="0"/>
    <e v="#NAME?"/>
    <m/>
    <m/>
    <m/>
    <m/>
    <m/>
    <n v="0"/>
  </r>
  <r>
    <s v="C811403"/>
    <s v="JUAN FELIPE FORERO"/>
    <x v="3"/>
    <s v="Payments"/>
    <s v="BBVA"/>
    <x v="0"/>
    <s v="SDATOOL-38447 $ GRM Col - Condonación y bajas automáticas en Medios de Pago"/>
    <n v="0.05"/>
    <s v="Tech Manager/Líder"/>
    <s v="Mainframe"/>
    <m/>
    <e v="#NAME?"/>
    <x v="0"/>
    <e v="#NAME?"/>
    <m/>
    <m/>
    <m/>
    <m/>
    <m/>
    <n v="0"/>
  </r>
  <r>
    <s v="C811403"/>
    <s v="JUAN FELIPE FORERO"/>
    <x v="3"/>
    <s v="Payments"/>
    <s v="BBVA"/>
    <x v="0"/>
    <s v="SDATOOL-37753 $ Plan de transformación de operaciones 2022"/>
    <n v="0.05"/>
    <s v="Tech Manager/Líder"/>
    <s v="Mainframe"/>
    <m/>
    <e v="#NAME?"/>
    <x v="0"/>
    <e v="#NAME?"/>
    <m/>
    <m/>
    <m/>
    <m/>
    <m/>
    <n v="0"/>
  </r>
  <r>
    <s v="C811403"/>
    <s v="JUAN FELIPE FORERO"/>
    <x v="3"/>
    <s v="Payments"/>
    <s v="BBVA"/>
    <x v="0"/>
    <s v="SDATOOL-33846 $ SREP Data Quality- BCBS239 - Colombia"/>
    <n v="0.15"/>
    <s v="Tech Manager/Líder"/>
    <s v="Mainframe"/>
    <m/>
    <e v="#NAME?"/>
    <x v="0"/>
    <e v="#NAME?"/>
    <m/>
    <m/>
    <m/>
    <m/>
    <m/>
    <n v="0"/>
  </r>
  <r>
    <s v="C811403"/>
    <s v="JUAN FELIPE FORERO"/>
    <x v="3"/>
    <s v="Payments"/>
    <s v="BBVA"/>
    <x v="0"/>
    <s v="SDATOOL-40382 $ NUEVA Eliminar el PAN ( Orange 1.0)"/>
    <n v="0.1"/>
    <s v="Tech Manager/Líder"/>
    <s v="Mainframe"/>
    <m/>
    <e v="#NAME?"/>
    <x v="0"/>
    <e v="#NAME?"/>
    <m/>
    <m/>
    <m/>
    <m/>
    <m/>
    <n v="0"/>
  </r>
  <r>
    <s v="C811403"/>
    <s v="JUAN FELIPE FORERO"/>
    <x v="3"/>
    <s v="Payments"/>
    <s v="BBVA"/>
    <x v="0"/>
    <s v="SDATOOL-41938 $ GRM Col Reg - Ajuste Calificación Escalera"/>
    <n v="0.1"/>
    <s v="Tech Manager/Líder"/>
    <s v="Mainframe"/>
    <m/>
    <e v="#NAME?"/>
    <x v="0"/>
    <e v="#NAME?"/>
    <m/>
    <m/>
    <m/>
    <m/>
    <m/>
    <n v="0"/>
  </r>
  <r>
    <s v="C811403"/>
    <s v="JUAN FELIPE FORERO"/>
    <x v="3"/>
    <s v="Payments"/>
    <s v="BBVA"/>
    <x v="0"/>
    <s v="SDATOOL-40438 $ CIRCULAR 032 del 2021 - REQUERIMIENTO FISCALIA GENERAL DE LA NACION"/>
    <n v="0.1"/>
    <s v="Tech Manager/Líder"/>
    <s v="Mainframe"/>
    <m/>
    <e v="#NAME?"/>
    <x v="0"/>
    <e v="#NAME?"/>
    <m/>
    <m/>
    <m/>
    <m/>
    <m/>
    <n v="0"/>
  </r>
  <r>
    <s v="C811403"/>
    <s v="JUAN FELIPE FORERO"/>
    <x v="3"/>
    <s v="Payments"/>
    <s v="BBVA"/>
    <x v="0"/>
    <s v="NOSDA $ BAU (Mantenimiento y peq. evolutivos)"/>
    <n v="0.2"/>
    <s v="Tech Manager/Líder"/>
    <s v="Mainframe"/>
    <m/>
    <e v="#NAME?"/>
    <x v="0"/>
    <e v="#NAME?"/>
    <m/>
    <m/>
    <m/>
    <m/>
    <m/>
    <n v="0"/>
  </r>
  <r>
    <s v="T004374"/>
    <s v="JUAN SEBASTIAN MINA"/>
    <x v="3"/>
    <s v="Payments"/>
    <s v="KRYPTO"/>
    <x v="0"/>
    <s v="SDATOOL-40442 $ M4M - Tokenización Mastercard"/>
    <n v="0.8"/>
    <s v="QA"/>
    <s v="Mainframe"/>
    <m/>
    <e v="#NAME?"/>
    <x v="0"/>
    <e v="#NAME?"/>
    <m/>
    <m/>
    <m/>
    <m/>
    <m/>
    <n v="1"/>
  </r>
  <r>
    <s v="T004374"/>
    <s v="JUAN SEBASTIAN MINA"/>
    <x v="3"/>
    <s v="Payments"/>
    <s v="KRYPTO"/>
    <x v="0"/>
    <s v="NOSDA $ BAU (Mantenimiento y peq. evolutivos)"/>
    <n v="0.2"/>
    <s v="QA"/>
    <s v="Mainframe"/>
    <m/>
    <e v="#NAME?"/>
    <x v="0"/>
    <e v="#NAME?"/>
    <m/>
    <m/>
    <m/>
    <m/>
    <m/>
    <n v="0"/>
  </r>
  <r>
    <s v="T005122"/>
    <s v="JULIAN ANDRES ARENAS"/>
    <x v="3"/>
    <s v="Payments"/>
    <s v="Choucair"/>
    <x v="0"/>
    <s v="SDATOOL-37061 $ Plan de Lealtad Comecios -Plan Ascenso Autónomos"/>
    <n v="1"/>
    <s v="QA"/>
    <s v="Distribuido"/>
    <m/>
    <e v="#NAME?"/>
    <x v="0"/>
    <e v="#NAME?"/>
    <m/>
    <m/>
    <m/>
    <m/>
    <m/>
    <n v="1"/>
  </r>
  <r>
    <s v="C343617"/>
    <s v="LEIDY NATALIA  GONZALEZ"/>
    <x v="3"/>
    <s v="Payments"/>
    <s v="BBVA"/>
    <x v="0"/>
    <s v="SDATOOL-37427 $ Adquirencia Premium"/>
    <n v="0.4"/>
    <s v="Desarrollador"/>
    <s v="Otras Tec."/>
    <m/>
    <e v="#NAME?"/>
    <x v="0"/>
    <e v="#NAME?"/>
    <m/>
    <m/>
    <m/>
    <m/>
    <m/>
    <n v="1"/>
  </r>
  <r>
    <s v="C343617"/>
    <s v="LEIDY NATALIA  GONZALEZ"/>
    <x v="3"/>
    <s v="Payments"/>
    <s v="BBVA"/>
    <x v="0"/>
    <s v="NOSDA $ BAU (Mantenimiento y peq. evolutivos)"/>
    <n v="0.6"/>
    <s v="Desarrollador"/>
    <s v="Otras Tec."/>
    <m/>
    <e v="#NAME?"/>
    <x v="0"/>
    <e v="#NAME?"/>
    <m/>
    <m/>
    <m/>
    <m/>
    <m/>
    <n v="0"/>
  </r>
  <r>
    <s v="C811392"/>
    <s v="LEONARDO SIMBAQUEBA ESGUERRA"/>
    <x v="3"/>
    <s v="Payments"/>
    <s v="BBVA"/>
    <x v="0"/>
    <s v="SDATOOL-40468 $ Mapa de comercios adquirencia - Fase 2"/>
    <n v="0.4"/>
    <s v="Desarrollador"/>
    <s v="Mainframe"/>
    <m/>
    <e v="#NAME?"/>
    <x v="0"/>
    <e v="#NAME?"/>
    <m/>
    <m/>
    <m/>
    <m/>
    <m/>
    <n v="1"/>
  </r>
  <r>
    <s v="C811392"/>
    <s v="LEONARDO SIMBAQUEBA ESGUERRA"/>
    <x v="3"/>
    <s v="Payments"/>
    <s v="BBVA"/>
    <x v="0"/>
    <s v="SDATOOL-40469 $ Reversión reintegros parciales Adquirencia - Ajustes de comercio LATAM"/>
    <n v="0.4"/>
    <s v="Desarrollador"/>
    <s v="Mainframe"/>
    <m/>
    <e v="#NAME?"/>
    <x v="0"/>
    <e v="#NAME?"/>
    <m/>
    <m/>
    <m/>
    <m/>
    <m/>
    <n v="0"/>
  </r>
  <r>
    <s v="C811392"/>
    <s v="LEONARDO SIMBAQUEBA ESGUERRA"/>
    <x v="3"/>
    <s v="Payments"/>
    <s v="BBVA"/>
    <x v="0"/>
    <s v="SDATOOL-39354 $ My business Open Pay - Plan Ascenso Mercurio"/>
    <n v="0.2"/>
    <s v="Desarrollador"/>
    <s v="Mainframe"/>
    <m/>
    <e v="#NAME?"/>
    <x v="0"/>
    <e v="#NAME?"/>
    <m/>
    <m/>
    <m/>
    <m/>
    <m/>
    <n v="0"/>
  </r>
  <r>
    <s v="T003366"/>
    <s v="LILIAN BEDUD RIOJAS GONZALEZ"/>
    <x v="3"/>
    <s v="Payments"/>
    <s v="Novatec"/>
    <x v="0"/>
    <s v="SDATOOL-41757 $ AJUSTE AUTOMATIZACION CONCILIACION ARA"/>
    <n v="0.4"/>
    <s v="Otros"/>
    <s v="Mainframe"/>
    <m/>
    <e v="#NAME?"/>
    <x v="0"/>
    <e v="#NAME?"/>
    <m/>
    <m/>
    <m/>
    <m/>
    <m/>
    <n v="1"/>
  </r>
  <r>
    <s v="T003366"/>
    <s v="LILIAN BEDUD RIOJAS GONZALEZ"/>
    <x v="3"/>
    <s v="Payments"/>
    <s v="Novatec"/>
    <x v="0"/>
    <s v="SDATOOL-41726 $ EXTRACUPO TARJETA DE CREDITO"/>
    <n v="0.3"/>
    <s v="Otros"/>
    <s v="Mainframe"/>
    <m/>
    <e v="#NAME?"/>
    <x v="0"/>
    <e v="#NAME?"/>
    <m/>
    <m/>
    <m/>
    <m/>
    <m/>
    <n v="0"/>
  </r>
  <r>
    <s v="T003366"/>
    <s v="LILIAN BEDUD RIOJAS GONZALEZ"/>
    <x v="3"/>
    <s v="Payments"/>
    <s v="Novatec"/>
    <x v="0"/>
    <s v="SDATOOL-40613 $ Códigos MAC"/>
    <n v="0.3"/>
    <s v="Otros"/>
    <s v="Mainframe"/>
    <m/>
    <e v="#NAME?"/>
    <x v="0"/>
    <e v="#NAME?"/>
    <m/>
    <m/>
    <m/>
    <m/>
    <m/>
    <n v="0"/>
  </r>
  <r>
    <s v="C811354"/>
    <s v="LIZET VANESSA VEGA BONILLA"/>
    <x v="3"/>
    <s v="Payments"/>
    <s v="BBVA"/>
    <x v="0"/>
    <s v="SDATOOL-38447 $ GRM Col - Condonación y bajas automáticas en Medios de Pago"/>
    <n v="0.2"/>
    <s v="Desarrollador"/>
    <s v="Mainframe"/>
    <m/>
    <e v="#NAME?"/>
    <x v="0"/>
    <e v="#NAME?"/>
    <m/>
    <m/>
    <m/>
    <m/>
    <m/>
    <n v="1"/>
  </r>
  <r>
    <s v="C811354"/>
    <s v="LIZET VANESSA VEGA BONILLA"/>
    <x v="3"/>
    <s v="Payments"/>
    <s v="BBVA"/>
    <x v="0"/>
    <s v="SDATOOL-37753 $ Plan de transformación de operaciones 2022"/>
    <n v="0.2"/>
    <s v="Desarrollador"/>
    <s v="Mainframe"/>
    <m/>
    <e v="#NAME?"/>
    <x v="0"/>
    <e v="#NAME?"/>
    <m/>
    <m/>
    <m/>
    <m/>
    <m/>
    <n v="0"/>
  </r>
  <r>
    <s v="C811354"/>
    <s v="LIZET VANESSA VEGA BONILLA"/>
    <x v="3"/>
    <s v="Payments"/>
    <s v="BBVA"/>
    <x v="0"/>
    <s v="SDATOOL-33846 $ SREP Data Quality- BCBS239 - Colombia"/>
    <n v="0.2"/>
    <s v="Desarrollador"/>
    <s v="Mainframe"/>
    <m/>
    <e v="#NAME?"/>
    <x v="0"/>
    <e v="#NAME?"/>
    <m/>
    <m/>
    <m/>
    <m/>
    <m/>
    <n v="0"/>
  </r>
  <r>
    <s v="C811354"/>
    <s v="LIZET VANESSA VEGA BONILLA"/>
    <x v="3"/>
    <s v="Payments"/>
    <s v="BBVA"/>
    <x v="0"/>
    <s v="SDATOOL-40438 $ CIRCULAR 032 del 2021 - REQUERIMIENTO FISCALIA GENERAL DE LA NACION"/>
    <n v="0.2"/>
    <s v="Desarrollador"/>
    <s v="Mainframe"/>
    <m/>
    <e v="#NAME?"/>
    <x v="0"/>
    <e v="#NAME?"/>
    <m/>
    <m/>
    <m/>
    <m/>
    <m/>
    <n v="0"/>
  </r>
  <r>
    <s v="C811354"/>
    <s v="LIZET VANESSA VEGA BONILLA"/>
    <x v="3"/>
    <s v="Payments"/>
    <s v="BBVA"/>
    <x v="0"/>
    <s v="NOSDA $ BAU (Mantenimiento y peq. evolutivos)"/>
    <n v="0.2"/>
    <s v="Desarrollador"/>
    <s v="Mainframe"/>
    <m/>
    <e v="#NAME?"/>
    <x v="0"/>
    <e v="#NAME?"/>
    <m/>
    <m/>
    <m/>
    <m/>
    <m/>
    <n v="0"/>
  </r>
  <r>
    <s v="CE70711"/>
    <s v="LIZETH DAYANA RODRIGUEZ ACOSTA"/>
    <x v="3"/>
    <s v="Payments"/>
    <s v="Novatec"/>
    <x v="0"/>
    <s v="NOSDA $ BAU (Mantenimiento y peq. evolutivos)"/>
    <n v="1"/>
    <s v="Desarrollador"/>
    <s v="Mainframe"/>
    <m/>
    <e v="#NAME?"/>
    <x v="0"/>
    <e v="#NAME?"/>
    <m/>
    <m/>
    <m/>
    <m/>
    <m/>
    <n v="1"/>
  </r>
  <r>
    <s v="C811322"/>
    <s v="LUIS FERNANDO SABROSO"/>
    <x v="3"/>
    <s v="Payments"/>
    <s v="BBVA"/>
    <x v="0"/>
    <s v="SDATOOL-36556 $ Parthnerships - Tarjeta de crédito en punto de venta físico aliados"/>
    <n v="1"/>
    <s v="Desarrollador"/>
    <s v="ASO"/>
    <m/>
    <e v="#NAME?"/>
    <x v="0"/>
    <e v="#NAME?"/>
    <m/>
    <m/>
    <m/>
    <m/>
    <m/>
    <n v="1"/>
  </r>
  <r>
    <s v="CE66135"/>
    <s v="LUIS FERNANDO TORRES AVENDAÑO"/>
    <x v="3"/>
    <s v="Payments"/>
    <s v="Inetum"/>
    <x v="0"/>
    <s v="SDATOOL-36556 $ Parthnerships - Tarjeta de crédito en punto de venta físico aliados"/>
    <n v="1"/>
    <s v="Desarrollador"/>
    <s v="Mainframe"/>
    <m/>
    <e v="#NAME?"/>
    <x v="0"/>
    <e v="#NAME?"/>
    <m/>
    <m/>
    <m/>
    <m/>
    <m/>
    <n v="1"/>
  </r>
  <r>
    <s v="CE43328"/>
    <s v="LUZ ENEY ACEVEDO MATEUS"/>
    <x v="3"/>
    <s v="Payments"/>
    <s v="Novatec"/>
    <x v="0"/>
    <s v="NOSDA $ BAU (Mantenimiento y peq. evolutivos)"/>
    <n v="1"/>
    <s v="Desarrollador"/>
    <s v="Mainframe"/>
    <m/>
    <e v="#NAME?"/>
    <x v="0"/>
    <e v="#NAME?"/>
    <m/>
    <m/>
    <m/>
    <m/>
    <m/>
    <n v="1"/>
  </r>
  <r>
    <s v="C808232"/>
    <s v="MARIA FERNANDA RUSSI"/>
    <x v="3"/>
    <s v="Payments"/>
    <s v="BBVA"/>
    <x v="0"/>
    <s v="NOSDA $ BAU (Mantenimiento y peq. evolutivos)"/>
    <n v="0.3"/>
    <s v="Desarrollador"/>
    <s v="Mainframe"/>
    <m/>
    <e v="#NAME?"/>
    <x v="0"/>
    <e v="#NAME?"/>
    <m/>
    <m/>
    <m/>
    <m/>
    <m/>
    <n v="1"/>
  </r>
  <r>
    <s v="C808232"/>
    <s v="MARIA FERNANDA RUSSI"/>
    <x v="3"/>
    <s v="Payments"/>
    <s v="BBVA"/>
    <x v="0"/>
    <s v="SDATOOL-40295 $ Tokenización COF"/>
    <n v="0.7"/>
    <s v="Desarrollador"/>
    <s v="Mainframe"/>
    <m/>
    <e v="#NAME?"/>
    <x v="0"/>
    <e v="#NAME?"/>
    <m/>
    <m/>
    <m/>
    <m/>
    <m/>
    <n v="0"/>
  </r>
  <r>
    <s v="T008491"/>
    <s v="MARITZA CASTILLO NAVARRO"/>
    <x v="3"/>
    <s v="Payments"/>
    <s v="Inetum"/>
    <x v="0"/>
    <s v="SDATOOL-40295 $ Tokenización COF"/>
    <n v="0.3"/>
    <s v="Otros"/>
    <s v="Mainframe"/>
    <m/>
    <e v="#NAME?"/>
    <x v="0"/>
    <e v="#NAME?"/>
    <m/>
    <m/>
    <m/>
    <m/>
    <m/>
    <n v="1"/>
  </r>
  <r>
    <s v="T008491"/>
    <s v="MARITZA CASTILLO NAVARRO"/>
    <x v="3"/>
    <s v="Payments"/>
    <s v="Inetum"/>
    <x v="0"/>
    <s v="SDATOOL-40442 $ M4M - Tokenización Mastercard"/>
    <n v="0.3"/>
    <s v="Otros"/>
    <s v="Mainframe"/>
    <m/>
    <e v="#NAME?"/>
    <x v="0"/>
    <e v="#NAME?"/>
    <m/>
    <m/>
    <m/>
    <m/>
    <m/>
    <n v="0"/>
  </r>
  <r>
    <s v="T008491"/>
    <s v="MARITZA CASTILLO NAVARRO"/>
    <x v="3"/>
    <s v="Payments"/>
    <s v="Inetum"/>
    <x v="0"/>
    <s v="SDATOOL-41709 $ Fraccionamiento de transacciones en CBs"/>
    <n v="0.2"/>
    <s v="Otros"/>
    <s v="Mainframe"/>
    <m/>
    <e v="#NAME?"/>
    <x v="0"/>
    <e v="#NAME?"/>
    <m/>
    <m/>
    <m/>
    <m/>
    <m/>
    <n v="0"/>
  </r>
  <r>
    <s v="T008491"/>
    <s v="MARITZA CASTILLO NAVARRO"/>
    <x v="3"/>
    <s v="Payments"/>
    <s v="Inetum"/>
    <x v="0"/>
    <s v="SDATOOL-41938 $ GRM Col Reg - Ajuste Calificación Escalera"/>
    <n v="0.2"/>
    <s v="Otros"/>
    <s v="Mainframe"/>
    <m/>
    <e v="#NAME?"/>
    <x v="0"/>
    <e v="#NAME?"/>
    <m/>
    <m/>
    <m/>
    <m/>
    <m/>
    <n v="0"/>
  </r>
  <r>
    <s v="C805863"/>
    <s v="MARTA PATRICIA VELANDIA SIZA"/>
    <x v="3"/>
    <s v="Payments"/>
    <s v="BBVA"/>
    <x v="0"/>
    <s v="SDATOOL-37061 $ Plan de Lealtad Comecios -Plan Ascenso Autónomos"/>
    <n v="1"/>
    <s v="Desarrollador"/>
    <s v="Mainframe"/>
    <m/>
    <e v="#NAME?"/>
    <x v="0"/>
    <e v="#NAME?"/>
    <m/>
    <m/>
    <m/>
    <m/>
    <m/>
    <n v="1"/>
  </r>
  <r>
    <s v="O000190"/>
    <s v="MARTHA LILIANA RUSSY CHAVARRO"/>
    <x v="3"/>
    <s v="Payments"/>
    <s v="BBVA"/>
    <x v="0"/>
    <s v="SDATOOL-39785 $ Segmentación contratos ADN"/>
    <n v="0.5"/>
    <s v="Desarrollador"/>
    <s v="Mainframe"/>
    <m/>
    <e v="#NAME?"/>
    <x v="0"/>
    <e v="#NAME?"/>
    <m/>
    <m/>
    <m/>
    <m/>
    <m/>
    <n v="1"/>
  </r>
  <r>
    <s v="O000190"/>
    <s v="MARTHA LILIANA RUSSY CHAVARRO"/>
    <x v="3"/>
    <s v="Payments"/>
    <s v="BBVA"/>
    <x v="0"/>
    <s v="NOSDA $ BAU (Mantenimiento y peq. evolutivos)"/>
    <n v="0.5"/>
    <s v="Desarrollador"/>
    <s v="Mainframe"/>
    <m/>
    <e v="#NAME?"/>
    <x v="0"/>
    <e v="#NAME?"/>
    <m/>
    <m/>
    <m/>
    <m/>
    <m/>
    <n v="0"/>
  </r>
  <r>
    <s v="CE18306"/>
    <s v="MARY LUZ RODRIGUEZ"/>
    <x v="3"/>
    <s v="Payments"/>
    <s v="Inetum"/>
    <x v="0"/>
    <s v="SDATOOL-36556 $ Parthnerships - Tarjeta de crédito en punto de venta físico aliados"/>
    <n v="0.1"/>
    <s v="QA"/>
    <s v="Mainframe"/>
    <m/>
    <e v="#NAME?"/>
    <x v="0"/>
    <e v="#NAME?"/>
    <m/>
    <m/>
    <m/>
    <m/>
    <m/>
    <n v="1"/>
  </r>
  <r>
    <s v="CE18306"/>
    <s v="MARY LUZ RODRIGUEZ"/>
    <x v="3"/>
    <s v="Payments"/>
    <s v="Inetum"/>
    <x v="0"/>
    <s v="NOSDA $ BAU (Mantenimiento y peq. evolutivos)"/>
    <n v="0.6"/>
    <s v="QA"/>
    <s v="Mainframe"/>
    <m/>
    <e v="#NAME?"/>
    <x v="0"/>
    <e v="#NAME?"/>
    <m/>
    <m/>
    <m/>
    <m/>
    <m/>
    <n v="0"/>
  </r>
  <r>
    <s v="CE18306"/>
    <s v="MARY LUZ RODRIGUEZ"/>
    <x v="3"/>
    <s v="Payments"/>
    <s v="Inetum"/>
    <x v="0"/>
    <s v="SDATOOL-40455 $ Comisión porcentaje compras internacionales Mastercard y Visa Fase 2"/>
    <n v="0.2"/>
    <s v="QA"/>
    <s v="Mainframe"/>
    <m/>
    <e v="#NAME?"/>
    <x v="0"/>
    <e v="#NAME?"/>
    <m/>
    <m/>
    <m/>
    <m/>
    <m/>
    <n v="0"/>
  </r>
  <r>
    <s v="CE18306"/>
    <s v="MARY LUZ RODRIGUEZ"/>
    <x v="3"/>
    <s v="Payments"/>
    <s v="Inetum"/>
    <x v="0"/>
    <s v="SDATOOL-37057 $ Pagos QR - Entre cuentas Redeban - Plan Ascenso Mercurio"/>
    <n v="0.1"/>
    <s v="QA"/>
    <s v="Mainframe"/>
    <m/>
    <e v="#NAME?"/>
    <x v="0"/>
    <e v="#NAME?"/>
    <m/>
    <m/>
    <m/>
    <m/>
    <m/>
    <n v="0"/>
  </r>
  <r>
    <s v="C805726"/>
    <s v="MAURICIO ANDRES NUÑEZ ORTEGON"/>
    <x v="3"/>
    <s v="Payments"/>
    <s v="BBVA"/>
    <x v="0"/>
    <s v="SDATOOL-38447 $ GRM Col - Condonación y bajas automáticas en Medios de Pago"/>
    <n v="0.6"/>
    <s v="Desarrollador"/>
    <s v="Mainframe"/>
    <m/>
    <e v="#NAME?"/>
    <x v="0"/>
    <e v="#NAME?"/>
    <m/>
    <m/>
    <m/>
    <m/>
    <m/>
    <n v="1"/>
  </r>
  <r>
    <s v="C805726"/>
    <s v="MAURICIO ANDRES NUÑEZ ORTEGON"/>
    <x v="3"/>
    <s v="Payments"/>
    <s v="BBVA"/>
    <x v="0"/>
    <s v="SDATOOL-33846 $ SREP Data Quality- BCBS239 - Colombia"/>
    <n v="0.4"/>
    <s v="Desarrollador"/>
    <s v="Mainframe"/>
    <m/>
    <e v="#NAME?"/>
    <x v="0"/>
    <e v="#NAME?"/>
    <m/>
    <m/>
    <m/>
    <m/>
    <m/>
    <n v="0"/>
  </r>
  <r>
    <s v="C804381"/>
    <s v="MAYKER GUILLERMO LOPEZ"/>
    <x v="3"/>
    <s v="Payments"/>
    <s v="BBVA"/>
    <x v="0"/>
    <s v="SDATOOL-40468 $ Mapa de comercios adquirencia - Fase 2"/>
    <n v="0.25"/>
    <s v="Desarrollador"/>
    <s v="Mainframe"/>
    <m/>
    <e v="#NAME?"/>
    <x v="0"/>
    <e v="#NAME?"/>
    <m/>
    <m/>
    <m/>
    <m/>
    <m/>
    <n v="1"/>
  </r>
  <r>
    <s v="C804381"/>
    <s v="MAYKER GUILLERMO LOPEZ"/>
    <x v="3"/>
    <s v="Payments"/>
    <s v="BBVA"/>
    <x v="0"/>
    <s v="SDATOOL-40414 $ Conciliación adquirencia plus"/>
    <n v="0.25"/>
    <s v="Desarrollador"/>
    <s v="Mainframe"/>
    <m/>
    <e v="#NAME?"/>
    <x v="0"/>
    <e v="#NAME?"/>
    <m/>
    <m/>
    <m/>
    <m/>
    <m/>
    <n v="0"/>
  </r>
  <r>
    <s v="C804381"/>
    <s v="MAYKER GUILLERMO LOPEZ"/>
    <x v="3"/>
    <s v="Payments"/>
    <s v="BBVA"/>
    <x v="0"/>
    <s v="SDATOOL-40469 $ Reversión reintegros parciales Adquirencia - Ajustes de comercio LATAM"/>
    <n v="0.25"/>
    <s v="Desarrollador"/>
    <s v="Mainframe"/>
    <m/>
    <e v="#NAME?"/>
    <x v="0"/>
    <e v="#NAME?"/>
    <m/>
    <m/>
    <m/>
    <m/>
    <m/>
    <n v="0"/>
  </r>
  <r>
    <s v="C804381"/>
    <s v="MAYKER GUILLERMO LOPEZ"/>
    <x v="3"/>
    <s v="Payments"/>
    <s v="BBVA"/>
    <x v="0"/>
    <s v="SDATOOL-40476 $ Conexión Directa con las Franquicias Visa y Mastercard"/>
    <n v="0.25"/>
    <s v="Desarrollador"/>
    <s v="Mainframe"/>
    <m/>
    <e v="#NAME?"/>
    <x v="0"/>
    <e v="#NAME?"/>
    <m/>
    <m/>
    <m/>
    <m/>
    <m/>
    <n v="0"/>
  </r>
  <r>
    <s v="C810789"/>
    <s v="MICHAEL JULIAN GARZON"/>
    <x v="3"/>
    <s v="Payments"/>
    <s v="BBVA"/>
    <x v="0"/>
    <s v="SDATOOL-36556 $ Parthnerships - Tarjeta de crédito en punto de venta físico aliados"/>
    <n v="0.8"/>
    <s v="Desarrollador"/>
    <s v="APX"/>
    <m/>
    <e v="#NAME?"/>
    <x v="0"/>
    <e v="#NAME?"/>
    <m/>
    <m/>
    <m/>
    <m/>
    <m/>
    <n v="1"/>
  </r>
  <r>
    <s v="C810789"/>
    <s v="MICHAEL JULIAN GARZON"/>
    <x v="3"/>
    <s v="Payments"/>
    <s v="BBVA"/>
    <x v="0"/>
    <s v="SDATOOL-39348 $ tarjeta de crédito Open Market Fallback product"/>
    <n v="0.2"/>
    <s v="Desarrollador"/>
    <s v="APX"/>
    <m/>
    <e v="#NAME?"/>
    <x v="0"/>
    <e v="#NAME?"/>
    <m/>
    <m/>
    <m/>
    <m/>
    <m/>
    <n v="0"/>
  </r>
  <r>
    <s v="C679763"/>
    <s v="MIGUEL ANGEL POLOCHE DIAZ"/>
    <x v="3"/>
    <s v="Payments"/>
    <s v="BBVA"/>
    <x v="0"/>
    <s v="SDATOOL-37427 $ Adquirencia Premium"/>
    <n v="0.15"/>
    <s v="Tech Manager/Líder"/>
    <s v="Mainframe"/>
    <m/>
    <e v="#NAME?"/>
    <x v="0"/>
    <e v="#NAME?"/>
    <m/>
    <m/>
    <m/>
    <m/>
    <m/>
    <n v="1"/>
  </r>
  <r>
    <s v="C679763"/>
    <s v="MIGUEL ANGEL POLOCHE DIAZ"/>
    <x v="3"/>
    <s v="Payments"/>
    <s v="BBVA"/>
    <x v="0"/>
    <s v="NOSDA $ BAU (Mantenimiento y peq. evolutivos)"/>
    <n v="0.1"/>
    <s v="Tech Manager/Líder"/>
    <s v="Mainframe"/>
    <m/>
    <e v="#NAME?"/>
    <x v="0"/>
    <e v="#NAME?"/>
    <m/>
    <m/>
    <m/>
    <m/>
    <m/>
    <n v="0"/>
  </r>
  <r>
    <s v="C679763"/>
    <s v="MIGUEL ANGEL POLOCHE DIAZ"/>
    <x v="3"/>
    <s v="Payments"/>
    <s v="BBVA"/>
    <x v="0"/>
    <s v="SDATOOL-40468 $ Mapa de comercios adquirencia - Fase 2"/>
    <n v="0.15"/>
    <s v="Tech Manager/Líder"/>
    <s v="Mainframe"/>
    <m/>
    <e v="#NAME?"/>
    <x v="0"/>
    <e v="#NAME?"/>
    <m/>
    <m/>
    <m/>
    <m/>
    <m/>
    <n v="0"/>
  </r>
  <r>
    <s v="C679763"/>
    <s v="MIGUEL ANGEL POLOCHE DIAZ"/>
    <x v="3"/>
    <s v="Payments"/>
    <s v="BBVA"/>
    <x v="0"/>
    <s v="SDATOOL-40414 $ Conciliación adquirencia plus"/>
    <n v="0.15"/>
    <s v="Tech Manager/Líder"/>
    <s v="Mainframe"/>
    <m/>
    <e v="#NAME?"/>
    <x v="0"/>
    <e v="#NAME?"/>
    <m/>
    <m/>
    <m/>
    <m/>
    <m/>
    <n v="0"/>
  </r>
  <r>
    <s v="C679763"/>
    <s v="MIGUEL ANGEL POLOCHE DIAZ"/>
    <x v="3"/>
    <s v="Payments"/>
    <s v="BBVA"/>
    <x v="0"/>
    <s v="SDATOOL-40469 $ Reversión reintegros parciales Adquirencia - Ajustes de comercio LATAM"/>
    <n v="0.15"/>
    <s v="Tech Manager/Líder"/>
    <s v="Mainframe"/>
    <m/>
    <e v="#NAME?"/>
    <x v="0"/>
    <e v="#NAME?"/>
    <m/>
    <m/>
    <m/>
    <m/>
    <m/>
    <n v="0"/>
  </r>
  <r>
    <s v="C679763"/>
    <s v="MIGUEL ANGEL POLOCHE DIAZ"/>
    <x v="3"/>
    <s v="Payments"/>
    <s v="BBVA"/>
    <x v="0"/>
    <s v="SDATOOL-40476 $ Conexión Directa con las Franquicias Visa y Mastercard"/>
    <n v="0.15"/>
    <s v="Tech Manager/Líder"/>
    <s v="Mainframe"/>
    <m/>
    <e v="#NAME?"/>
    <x v="0"/>
    <e v="#NAME?"/>
    <m/>
    <m/>
    <m/>
    <m/>
    <m/>
    <n v="0"/>
  </r>
  <r>
    <s v="C679763"/>
    <s v="MIGUEL ANGEL POLOCHE DIAZ"/>
    <x v="3"/>
    <s v="Payments"/>
    <s v="BBVA"/>
    <x v="0"/>
    <s v="SDATOOL-39354 $ My business Open Pay - Plan Ascenso Mercurio"/>
    <n v="0.15"/>
    <s v="Tech Manager/Líder"/>
    <s v="Mainframe"/>
    <m/>
    <e v="#NAME?"/>
    <x v="0"/>
    <e v="#NAME?"/>
    <m/>
    <m/>
    <m/>
    <m/>
    <m/>
    <n v="0"/>
  </r>
  <r>
    <s v="C805989"/>
    <s v="NATALIA ANDREA SAMBONI"/>
    <x v="3"/>
    <s v="Payments"/>
    <s v="BBVA"/>
    <x v="0"/>
    <s v="SDATOOL-40455 $ Comisión porcentaje compras internacionales Mastercard y Visa Fase 2"/>
    <n v="0.4"/>
    <s v="Otros"/>
    <s v="Mainframe"/>
    <m/>
    <e v="#NAME?"/>
    <x v="0"/>
    <e v="#NAME?"/>
    <m/>
    <m/>
    <m/>
    <m/>
    <m/>
    <n v="1"/>
  </r>
  <r>
    <s v="C805989"/>
    <s v="NATALIA ANDREA SAMBONI"/>
    <x v="3"/>
    <s v="Payments"/>
    <s v="BBVA"/>
    <x v="0"/>
    <s v="SDATOOL-40384 $ Cobrar intereses corrientes entre la transacción y la pre-cancelación"/>
    <n v="0.3"/>
    <s v="Otros"/>
    <s v="Mainframe"/>
    <m/>
    <e v="#NAME?"/>
    <x v="0"/>
    <e v="#NAME?"/>
    <m/>
    <m/>
    <m/>
    <m/>
    <m/>
    <n v="0"/>
  </r>
  <r>
    <s v="C805989"/>
    <s v="NATALIA ANDREA SAMBONI"/>
    <x v="3"/>
    <s v="Payments"/>
    <s v="BBVA"/>
    <x v="0"/>
    <s v="NOSDA $ BAU (Mantenimiento y peq. evolutivos)"/>
    <n v="0.3"/>
    <s v="Otros"/>
    <s v="Mainframe"/>
    <m/>
    <e v="#NAME?"/>
    <x v="0"/>
    <e v="#NAME?"/>
    <m/>
    <m/>
    <m/>
    <m/>
    <m/>
    <n v="0"/>
  </r>
  <r>
    <s v="C805958"/>
    <s v="NICO NIÑO VERGARA"/>
    <x v="3"/>
    <s v="Payments"/>
    <s v="BBVA"/>
    <x v="0"/>
    <s v="SDATOOL-37057 $ Pagos QR - Entre cuentas Redeban - Plan Ascenso Mercurio"/>
    <n v="1"/>
    <s v="Desarrollador"/>
    <s v="APX"/>
    <m/>
    <e v="#NAME?"/>
    <x v="0"/>
    <e v="#NAME?"/>
    <m/>
    <m/>
    <m/>
    <m/>
    <m/>
    <n v="1"/>
  </r>
  <r>
    <s v="C342042"/>
    <s v="RICARDO ANDRES CERRATO"/>
    <x v="3"/>
    <s v="Payments"/>
    <s v="BBVA"/>
    <x v="0"/>
    <s v="SDATOOL-41757 $ AJUSTE AUTOMATIZACION CONCILIACION ARA"/>
    <n v="0.15"/>
    <s v="Tech Manager/Líder"/>
    <s v="Mainframe"/>
    <m/>
    <e v="#NAME?"/>
    <x v="0"/>
    <e v="#NAME?"/>
    <m/>
    <m/>
    <m/>
    <m/>
    <m/>
    <n v="1"/>
  </r>
  <r>
    <s v="C342042"/>
    <s v="RICARDO ANDRES CERRATO"/>
    <x v="3"/>
    <s v="Payments"/>
    <s v="BBVA"/>
    <x v="0"/>
    <s v="SDATOOL-40295 $ Tokenización COF"/>
    <n v="0.2"/>
    <s v="Tech Manager/Líder"/>
    <s v="Mainframe"/>
    <m/>
    <e v="#NAME?"/>
    <x v="0"/>
    <e v="#NAME?"/>
    <m/>
    <m/>
    <m/>
    <m/>
    <m/>
    <n v="0"/>
  </r>
  <r>
    <s v="C342042"/>
    <s v="RICARDO ANDRES CERRATO"/>
    <x v="3"/>
    <s v="Payments"/>
    <s v="BBVA"/>
    <x v="0"/>
    <s v="SDATOOL-40442 $ M4M - Tokenización Mastercard"/>
    <n v="0.25"/>
    <s v="Tech Manager/Líder"/>
    <s v="Mainframe"/>
    <m/>
    <e v="#NAME?"/>
    <x v="0"/>
    <e v="#NAME?"/>
    <m/>
    <m/>
    <m/>
    <m/>
    <m/>
    <n v="0"/>
  </r>
  <r>
    <s v="C342042"/>
    <s v="RICARDO ANDRES CERRATO"/>
    <x v="3"/>
    <s v="Payments"/>
    <s v="BBVA"/>
    <x v="0"/>
    <s v="SDATOOL-41726 $ EXTRACUPO TARJETA DE CREDITO"/>
    <n v="0.15"/>
    <s v="Tech Manager/Líder"/>
    <s v="Mainframe"/>
    <m/>
    <e v="#NAME?"/>
    <x v="0"/>
    <e v="#NAME?"/>
    <m/>
    <m/>
    <m/>
    <m/>
    <m/>
    <n v="0"/>
  </r>
  <r>
    <s v="C342042"/>
    <s v="RICARDO ANDRES CERRATO"/>
    <x v="3"/>
    <s v="Payments"/>
    <s v="BBVA"/>
    <x v="0"/>
    <s v="SDATOOL-41709 $ Fraccionamiento de transacciones en CBs"/>
    <n v="0.05"/>
    <s v="Tech Manager/Líder"/>
    <s v="Mainframe"/>
    <m/>
    <e v="#NAME?"/>
    <x v="0"/>
    <e v="#NAME?"/>
    <m/>
    <m/>
    <m/>
    <m/>
    <m/>
    <n v="0"/>
  </r>
  <r>
    <s v="C342042"/>
    <s v="RICARDO ANDRES CERRATO"/>
    <x v="3"/>
    <s v="Payments"/>
    <s v="BBVA"/>
    <x v="0"/>
    <s v="SDATOOL-40613 $ Códigos MAC"/>
    <n v="0.1"/>
    <s v="Tech Manager/Líder"/>
    <s v="Mainframe"/>
    <m/>
    <e v="#NAME?"/>
    <x v="0"/>
    <e v="#NAME?"/>
    <m/>
    <m/>
    <m/>
    <m/>
    <m/>
    <n v="0"/>
  </r>
  <r>
    <s v="C342042"/>
    <s v="RICARDO ANDRES CERRATO"/>
    <x v="3"/>
    <s v="Payments"/>
    <s v="BBVA"/>
    <x v="0"/>
    <s v="NOSDA $ BAU (Mantenimiento y peq. evolutivos)"/>
    <n v="0.1"/>
    <s v="Tech Manager/Líder"/>
    <s v="Mainframe"/>
    <m/>
    <e v="#NAME?"/>
    <x v="0"/>
    <e v="#NAME?"/>
    <m/>
    <m/>
    <m/>
    <m/>
    <m/>
    <n v="0"/>
  </r>
  <r>
    <s v="C810792"/>
    <s v="ROBER ESNEIDER PARRA POLANIA"/>
    <x v="3"/>
    <s v="Payments"/>
    <s v="BBVA"/>
    <x v="0"/>
    <s v="SDATOOL-39785 $ Segmentación contratos ADN"/>
    <n v="0.5"/>
    <s v="Desarrollador"/>
    <s v="Mainframe"/>
    <m/>
    <e v="#NAME?"/>
    <x v="0"/>
    <e v="#NAME?"/>
    <m/>
    <m/>
    <m/>
    <m/>
    <m/>
    <n v="1"/>
  </r>
  <r>
    <s v="C810792"/>
    <s v="ROBER ESNEIDER PARRA POLANIA"/>
    <x v="3"/>
    <s v="Payments"/>
    <s v="BBVA"/>
    <x v="0"/>
    <s v="NOSDA $ BAU (Mantenimiento y peq. evolutivos)"/>
    <n v="0.5"/>
    <s v="Desarrollador"/>
    <s v="Mainframe"/>
    <m/>
    <e v="#NAME?"/>
    <x v="0"/>
    <e v="#NAME?"/>
    <m/>
    <m/>
    <m/>
    <m/>
    <m/>
    <n v="0"/>
  </r>
  <r>
    <s v="O000103"/>
    <s v="TATIANA  PAOLA PEREIRA RIOS"/>
    <x v="3"/>
    <s v="Payments"/>
    <s v="BBVA"/>
    <x v="0"/>
    <s v="SDATOOL-40455 $ Comisión porcentaje compras internacionales Mastercard y Visa Fase 2"/>
    <n v="0.1"/>
    <s v="Desarrollador"/>
    <s v="Mainframe"/>
    <m/>
    <e v="#NAME?"/>
    <x v="0"/>
    <e v="#NAME?"/>
    <m/>
    <m/>
    <m/>
    <m/>
    <m/>
    <n v="1"/>
  </r>
  <r>
    <s v="O000103"/>
    <s v="TATIANA  PAOLA PEREIRA RIOS"/>
    <x v="3"/>
    <s v="Payments"/>
    <s v="BBVA"/>
    <x v="0"/>
    <s v="NOSDA $ BAU (Mantenimiento y peq. evolutivos)"/>
    <n v="0.3"/>
    <s v="Desarrollador"/>
    <s v="Mainframe"/>
    <m/>
    <e v="#NAME?"/>
    <x v="0"/>
    <e v="#NAME?"/>
    <m/>
    <m/>
    <m/>
    <m/>
    <m/>
    <n v="0"/>
  </r>
  <r>
    <s v="O000103"/>
    <s v="TATIANA  PAOLA PEREIRA RIOS"/>
    <x v="3"/>
    <s v="Payments"/>
    <s v="BBVA"/>
    <x v="0"/>
    <s v="SDATOOL-40384 $ Cobrar intereses corrientes entre la transacción y la pre-cancelación"/>
    <n v="0.3"/>
    <s v="Desarrollador"/>
    <s v="Mainframe"/>
    <m/>
    <e v="#NAME?"/>
    <x v="0"/>
    <e v="#NAME?"/>
    <m/>
    <m/>
    <m/>
    <m/>
    <m/>
    <n v="0"/>
  </r>
  <r>
    <s v="O000103"/>
    <s v="TATIANA  PAOLA PEREIRA RIOS"/>
    <x v="3"/>
    <s v="Payments"/>
    <s v="BBVA"/>
    <x v="0"/>
    <s v="SDATOOL-37753 $ Plan de transformación de operaciones 2022"/>
    <n v="0.3"/>
    <s v="Desarrollador"/>
    <s v="Mainframe"/>
    <m/>
    <e v="#NAME?"/>
    <x v="0"/>
    <e v="#NAME?"/>
    <m/>
    <m/>
    <m/>
    <m/>
    <m/>
    <n v="0"/>
  </r>
  <r>
    <s v="C808282"/>
    <s v="WBEIMAR MURILLO"/>
    <x v="3"/>
    <s v="Payments"/>
    <s v="BBVA"/>
    <x v="0"/>
    <s v="NOSDA $ BAU (Mantenimiento y peq. evolutivos)"/>
    <n v="0.2"/>
    <s v="Desarrollador"/>
    <s v="Mainframe"/>
    <m/>
    <e v="#NAME?"/>
    <x v="0"/>
    <e v="#NAME?"/>
    <m/>
    <m/>
    <m/>
    <m/>
    <m/>
    <n v="1"/>
  </r>
  <r>
    <s v="C808282"/>
    <s v="WBEIMAR MURILLO"/>
    <x v="3"/>
    <s v="Payments"/>
    <s v="BBVA"/>
    <x v="0"/>
    <s v="SDATOOL-40442 $ M4M - Tokenización Mastercard"/>
    <n v="0.8"/>
    <s v="Desarrollador"/>
    <s v="Mainframe"/>
    <m/>
    <e v="#NAME?"/>
    <x v="0"/>
    <e v="#NAME?"/>
    <m/>
    <m/>
    <m/>
    <m/>
    <m/>
    <n v="0"/>
  </r>
  <r>
    <s v="C343509"/>
    <s v="WILLIAM LEONARDO ESPITIA FRANCO"/>
    <x v="3"/>
    <s v="Payments"/>
    <s v="BBVA"/>
    <x v="0"/>
    <s v="SDATOOL-40384 $ Cobrar intereses corrientes entre la transacción y la pre-cancelación"/>
    <n v="0.6"/>
    <s v="Desarrollador"/>
    <s v="Mainframe"/>
    <m/>
    <e v="#NAME?"/>
    <x v="0"/>
    <e v="#NAME?"/>
    <m/>
    <m/>
    <m/>
    <m/>
    <m/>
    <n v="1"/>
  </r>
  <r>
    <s v="C343509"/>
    <s v="WILLIAM LEONARDO ESPITIA FRANCO"/>
    <x v="3"/>
    <s v="Payments"/>
    <s v="BBVA"/>
    <x v="0"/>
    <s v="NOSDA $ BAU (Mantenimiento y peq. evolutivos)"/>
    <n v="0.4"/>
    <s v="Desarrollador"/>
    <s v="Mainframe"/>
    <m/>
    <e v="#NAME?"/>
    <x v="0"/>
    <e v="#NAME?"/>
    <m/>
    <m/>
    <m/>
    <m/>
    <m/>
    <n v="0"/>
  </r>
  <r>
    <s v="C811175"/>
    <s v="CIRO ALONSO RINCON HERNANDEZ"/>
    <x v="3"/>
    <s v="Payments"/>
    <s v="BBVA"/>
    <x v="0"/>
    <s v="SDATOOL-41938 $ GRM Col Reg - Ajuste Calificación Escalera"/>
    <n v="0.6"/>
    <s v="Desarrollador"/>
    <s v="Mainframe"/>
    <m/>
    <e v="#NAME?"/>
    <x v="0"/>
    <e v="#NAME?"/>
    <m/>
    <m/>
    <m/>
    <m/>
    <m/>
    <n v="1"/>
  </r>
  <r>
    <s v="C803916"/>
    <s v="SERGIO EDUARDO MARTINEZ LOPEZ"/>
    <x v="5"/>
    <s v="Móvil"/>
    <s v="BBVA"/>
    <x v="0"/>
    <s v="NOSDA $ BAU (Mantenimiento y peq. evolutivos)"/>
    <n v="0.25"/>
    <s v="Tech Manager/Líder"/>
    <s v="Distribuido"/>
    <m/>
    <e v="#NAME?"/>
    <x v="0"/>
    <e v="#NAME?"/>
    <m/>
    <m/>
    <m/>
    <m/>
    <m/>
    <m/>
  </r>
  <r>
    <s v="C803916"/>
    <s v="SERGIO EDUARDO MARTINEZ LOPEZ"/>
    <x v="5"/>
    <s v="Móvil"/>
    <s v="BBVA"/>
    <x v="0"/>
    <s v="SDATOOL-38489 $ Horizon BTGR - Colombia"/>
    <n v="0.75"/>
    <s v="Tech Manager/Líder"/>
    <s v="Distribuido"/>
    <m/>
    <e v="#NAME?"/>
    <x v="0"/>
    <e v="#NAME?"/>
    <m/>
    <m/>
    <m/>
    <m/>
    <m/>
    <m/>
  </r>
  <r>
    <s v="C811189"/>
    <s v="JUAN PABLO MILLAN MORALES"/>
    <x v="5"/>
    <s v="Móvil"/>
    <s v="BBVA"/>
    <x v="0"/>
    <s v="NOSDA $ BAU (Mantenimiento y peq. evolutivos)"/>
    <n v="0.25"/>
    <s v="Desarrollador"/>
    <s v="ASO"/>
    <m/>
    <e v="#NAME?"/>
    <x v="0"/>
    <e v="#NAME?"/>
    <m/>
    <m/>
    <m/>
    <m/>
    <m/>
    <m/>
  </r>
  <r>
    <s v="C811189"/>
    <s v="JUAN PABLO MILLAN MORALES"/>
    <x v="5"/>
    <s v="Móvil"/>
    <s v="BBVA"/>
    <x v="0"/>
    <s v="SDATOOL-38489 $ Horizon BTGR - Colombia"/>
    <n v="0.75"/>
    <s v="Desarrollador"/>
    <s v="ASO"/>
    <m/>
    <e v="#NAME?"/>
    <x v="0"/>
    <e v="#NAME?"/>
    <m/>
    <m/>
    <m/>
    <m/>
    <m/>
    <m/>
  </r>
  <r>
    <s v="C342045"/>
    <s v="NELSON JAVIER MONCADA GELVES"/>
    <x v="5"/>
    <s v="Móvil"/>
    <s v="BBVA"/>
    <x v="0"/>
    <s v="SDATOOL-38489 $ Horizon BTGR - Colombia"/>
    <n v="0.75"/>
    <s v="Desarrollador"/>
    <s v="Mainframe"/>
    <m/>
    <e v="#NAME?"/>
    <x v="0"/>
    <e v="#NAME?"/>
    <m/>
    <m/>
    <m/>
    <m/>
    <m/>
    <m/>
  </r>
  <r>
    <s v="C342045"/>
    <s v="NELSON JAVIER MONCADA GELVES"/>
    <x v="5"/>
    <s v="Móvil"/>
    <s v="BBVA"/>
    <x v="0"/>
    <s v="SDATOOL-9053 $ GloMo Colombia"/>
    <n v="0.25"/>
    <s v="Desarrollador"/>
    <s v="Mainframe"/>
    <m/>
    <e v="#NAME?"/>
    <x v="0"/>
    <e v="#NAME?"/>
    <m/>
    <m/>
    <m/>
    <m/>
    <m/>
    <m/>
  </r>
  <r>
    <s v="C809565"/>
    <s v="JOAN CAMILO CHIVATA SANCHEZ"/>
    <x v="5"/>
    <s v="Móvil"/>
    <s v="BBVA"/>
    <x v="0"/>
    <s v="NOSDA $ BAU (Mantenimiento y peq. evolutivos)"/>
    <n v="1"/>
    <s v="Desarrollador"/>
    <s v="Mainframe"/>
    <m/>
    <e v="#NAME?"/>
    <x v="0"/>
    <e v="#NAME?"/>
    <m/>
    <m/>
    <m/>
    <m/>
    <m/>
    <m/>
  </r>
  <r>
    <s v="C810952"/>
    <s v="JUAN SEBASTIAN AYALA RENDON"/>
    <x v="5"/>
    <s v="Móvil"/>
    <s v="BBVA"/>
    <x v="0"/>
    <s v="NOSDA $ BAU (Mantenimiento y peq. evolutivos)"/>
    <n v="1"/>
    <s v="Desarrollador"/>
    <s v="ASO"/>
    <m/>
    <e v="#NAME?"/>
    <x v="0"/>
    <e v="#NAME?"/>
    <m/>
    <m/>
    <m/>
    <m/>
    <m/>
    <m/>
  </r>
  <r>
    <s v="C805933"/>
    <s v="BRAYAN NICOLAS PEÑA QUINTANA"/>
    <x v="5"/>
    <s v="Móvil"/>
    <s v="BBVA"/>
    <x v="0"/>
    <s v="NOSDA $ BAU (Mantenimiento y peq. evolutivos)"/>
    <n v="1"/>
    <s v="Desarrollador"/>
    <s v="Distribuido"/>
    <m/>
    <e v="#NAME?"/>
    <x v="0"/>
    <e v="#NAME?"/>
    <m/>
    <m/>
    <m/>
    <m/>
    <m/>
    <m/>
  </r>
  <r>
    <s v="C804547"/>
    <s v="CARLOS MARIO BERNAL CASTRO"/>
    <x v="5"/>
    <s v="Móvil"/>
    <s v="BBVA"/>
    <x v="0"/>
    <s v="SDATOOL-38489 $ Horizon BTGR - Colombia"/>
    <n v="0.5"/>
    <s v="Tech Manager/Líder"/>
    <s v="ASO"/>
    <m/>
    <e v="#NAME?"/>
    <x v="0"/>
    <e v="#NAME?"/>
    <m/>
    <m/>
    <m/>
    <m/>
    <m/>
    <m/>
  </r>
  <r>
    <s v="C804547"/>
    <s v="CARLOS MARIO BERNAL CASTRO"/>
    <x v="5"/>
    <s v="Móvil"/>
    <s v="BBVA"/>
    <x v="0"/>
    <s v="SDATOOL-9053 $ GloMo Colombia"/>
    <n v="0.5"/>
    <s v="Tech Manager/Líder"/>
    <s v="ASO"/>
    <m/>
    <e v="#NAME?"/>
    <x v="0"/>
    <e v="#NAME?"/>
    <m/>
    <m/>
    <m/>
    <m/>
    <m/>
    <m/>
  </r>
  <r>
    <s v="C802282"/>
    <s v="DIEGO SANTOS DUARTE CUELLAR"/>
    <x v="5"/>
    <s v="Móvil"/>
    <s v="BBVA"/>
    <x v="0"/>
    <s v="SDATOOL-9053 $ GloMo Colombia"/>
    <n v="1"/>
    <s v="Desarrollador"/>
    <s v="Distribuido"/>
    <m/>
    <e v="#NAME?"/>
    <x v="0"/>
    <e v="#NAME?"/>
    <m/>
    <m/>
    <m/>
    <m/>
    <m/>
    <m/>
  </r>
  <r>
    <s v="C343114"/>
    <s v="VICTOR HUGO DIAZ CERON"/>
    <x v="5"/>
    <s v="Móvil"/>
    <s v="BBVA"/>
    <x v="0"/>
    <s v="SDATOOL-9053 $ GloMo Colombia"/>
    <n v="1"/>
    <s v="Desarrollador"/>
    <s v="Distribuido"/>
    <m/>
    <e v="#NAME?"/>
    <x v="0"/>
    <e v="#NAME?"/>
    <m/>
    <m/>
    <m/>
    <m/>
    <m/>
    <m/>
  </r>
  <r>
    <s v="O002666"/>
    <s v="DAVID ESTEBAN ARAGON PEÑUELA"/>
    <x v="5"/>
    <s v="Móvil"/>
    <s v="BBVA"/>
    <x v="0"/>
    <s v="SDATOOL-38489 $ Horizon BTGR - Colombia"/>
    <n v="1"/>
    <s v="Desarrollador"/>
    <s v="ASO"/>
    <m/>
    <e v="#NAME?"/>
    <x v="0"/>
    <e v="#NAME?"/>
    <m/>
    <m/>
    <m/>
    <m/>
    <m/>
    <m/>
  </r>
  <r>
    <s v="C811379"/>
    <s v="CAMILO ANDRES MUÑOZ CAICEDO"/>
    <x v="5"/>
    <s v="Móvil"/>
    <s v="BBVA"/>
    <x v="0"/>
    <s v="SDATOOL-38489 $ Horizon BTGR - Colombia"/>
    <n v="0.25"/>
    <s v="Desarrollador"/>
    <s v="Distribuido"/>
    <m/>
    <e v="#NAME?"/>
    <x v="0"/>
    <e v="#NAME?"/>
    <m/>
    <m/>
    <m/>
    <m/>
    <m/>
    <m/>
  </r>
  <r>
    <s v="C811379"/>
    <s v="CAMILO ANDRES MUÑOZ CAICEDO"/>
    <x v="5"/>
    <s v="Móvil"/>
    <s v="BBVA"/>
    <x v="0"/>
    <s v="SDATOOL-9053 $ GloMo Colombia"/>
    <n v="0.75"/>
    <s v="Desarrollador"/>
    <s v="Distribuido"/>
    <m/>
    <e v="#NAME?"/>
    <x v="0"/>
    <e v="#NAME?"/>
    <m/>
    <m/>
    <m/>
    <m/>
    <m/>
    <m/>
  </r>
  <r>
    <s v="C804782"/>
    <s v="DIEGO JAVIER MORENO RUSINQUE"/>
    <x v="5"/>
    <s v="Móvil"/>
    <s v="BBVA"/>
    <x v="0"/>
    <s v="SDATOOL-38489 $ Horizon BTGR - Colombia"/>
    <n v="1"/>
    <s v="Tech Manager/Líder"/>
    <s v="ASO"/>
    <m/>
    <e v="#NAME?"/>
    <x v="0"/>
    <e v="#NAME?"/>
    <m/>
    <m/>
    <m/>
    <m/>
    <m/>
    <m/>
  </r>
  <r>
    <s v="C811198"/>
    <s v="EDWIN DAVID TORO ECHEVERRIA"/>
    <x v="5"/>
    <s v="Móvil"/>
    <s v="BBVA"/>
    <x v="0"/>
    <s v="SDATOOL-9053 $ GloMo Colombia"/>
    <n v="1"/>
    <s v="Desarrollador"/>
    <s v="APX"/>
    <m/>
    <e v="#NAME?"/>
    <x v="0"/>
    <e v="#NAME?"/>
    <m/>
    <m/>
    <m/>
    <m/>
    <m/>
    <m/>
  </r>
  <r>
    <s v="C805724"/>
    <s v="KATHERIN DANIELA AREVALO BARRERA"/>
    <x v="5"/>
    <s v="Móvil"/>
    <s v="BBVA"/>
    <x v="0"/>
    <s v="SDATOOL-9053 $ GloMo Colombia"/>
    <n v="1"/>
    <s v="Otros"/>
    <s v="Distribuido"/>
    <m/>
    <e v="#NAME?"/>
    <x v="0"/>
    <e v="#NAME?"/>
    <m/>
    <m/>
    <m/>
    <m/>
    <m/>
    <m/>
  </r>
  <r>
    <s v="C810833"/>
    <s v="FERNANDO JOSE BOLIVAR NAVARRO"/>
    <x v="5"/>
    <s v="Móvil"/>
    <s v="BBVA"/>
    <x v="0"/>
    <s v="SDATOOL-9053 $ GloMo Colombia"/>
    <n v="1"/>
    <s v="Otros"/>
    <s v="Distribuido"/>
    <m/>
    <e v="#NAME?"/>
    <x v="0"/>
    <e v="#NAME?"/>
    <m/>
    <m/>
    <m/>
    <m/>
    <m/>
    <m/>
  </r>
  <r>
    <s v="O003002"/>
    <s v="EDISSON IOVANNI RODRIGUEZ SOCHA"/>
    <x v="5"/>
    <s v="Móvil"/>
    <s v="BBVA"/>
    <x v="0"/>
    <s v="SDATOOL-38489 $ Horizon BTGR - Colombia"/>
    <n v="1"/>
    <s v="Desarrollador"/>
    <s v="Distribuido"/>
    <m/>
    <e v="#NAME?"/>
    <x v="0"/>
    <e v="#NAME?"/>
    <m/>
    <m/>
    <m/>
    <m/>
    <m/>
    <m/>
  </r>
  <r>
    <s v="CI35375"/>
    <s v="Luis Rodrigo Ulloa Marin"/>
    <x v="1"/>
    <s v="Fiduciaria"/>
    <s v="BBVA Fiduciaria"/>
    <x v="0"/>
    <s v="SDATOOL-40548 $ Fiduciaria - Obsolecencia aplicativa, infraestructura e Insider aplicativo FIDUSAP"/>
    <n v="0.18"/>
    <s v="Tech Manager/Líder"/>
    <s v="Distribuido"/>
    <s v="Interno"/>
    <e v="#NAME?"/>
    <x v="0"/>
    <e v="#NAME?"/>
    <m/>
    <m/>
    <m/>
    <m/>
    <m/>
    <m/>
  </r>
  <r>
    <s v="CI35375"/>
    <s v="Luis Rodrigo Ulloa Marin"/>
    <x v="1"/>
    <s v="Fiduciaria"/>
    <s v="BBVA Fiduciaria"/>
    <x v="0"/>
    <s v="SDATOOL-40812 $ Fiduciaria - Cambio de operador tecnologico para los documentos electronicos en la sociedad"/>
    <n v="0.16"/>
    <s v="Tech Manager/Líder"/>
    <s v="Distribuido"/>
    <s v="Interno"/>
    <e v="#NAME?"/>
    <x v="0"/>
    <e v="#NAME?"/>
    <m/>
    <m/>
    <m/>
    <m/>
    <m/>
    <m/>
  </r>
  <r>
    <s v="CI35128"/>
    <s v="Cristian Camilo Rincon"/>
    <x v="1"/>
    <s v="Fiduciaria"/>
    <s v="BBVA Fiduciaria"/>
    <x v="0"/>
    <s v="SDATOOL-39282 $ Fiduciaria - Alta y domiciliación Fondos de inversión jurídicos en Gema"/>
    <n v="0.25"/>
    <s v="Tech Manager/Líder"/>
    <m/>
    <s v="Interno"/>
    <e v="#NAME?"/>
    <x v="0"/>
    <e v="#NAME?"/>
    <m/>
    <m/>
    <m/>
    <m/>
    <m/>
    <m/>
  </r>
  <r>
    <s v="CI08666"/>
    <s v="Jorge Anibal Blanco Meneses"/>
    <x v="1"/>
    <s v="Fiduciaria"/>
    <s v="BBVA Fiduciaria"/>
    <x v="0"/>
    <s v="SDATOOL-39282 $ Fiduciaria - Alta y domiciliación Fondos de inversión jurídicos en Gema"/>
    <n v="0.3"/>
    <s v="Tech Manager/Líder"/>
    <m/>
    <s v="Interno"/>
    <e v="#NAME?"/>
    <x v="0"/>
    <e v="#NAME?"/>
    <m/>
    <m/>
    <m/>
    <m/>
    <m/>
    <m/>
  </r>
  <r>
    <s v="CI35442"/>
    <s v="Juan Camilo Ladino Guezguan"/>
    <x v="1"/>
    <s v="Fiduciaria"/>
    <s v="BBVA Fiduciaria"/>
    <x v="0"/>
    <s v="SDATOOL-39282 $ Fiduciaria - Alta y domiciliación Fondos de inversión jurídicos en Gema"/>
    <n v="0.3"/>
    <s v="Desarrollador"/>
    <m/>
    <s v="Interno"/>
    <e v="#NAME?"/>
    <x v="0"/>
    <e v="#NAME?"/>
    <m/>
    <m/>
    <m/>
    <m/>
    <m/>
    <m/>
  </r>
  <r>
    <s v="O000087"/>
    <s v="Jayson Ricardo Becerra Gomez"/>
    <x v="1"/>
    <s v="Fiduciaria"/>
    <s v="BBVA Fiduciaria"/>
    <x v="0"/>
    <s v="SDATOOL-39555 $ Fiduciaria - Vinculación digital de clientes a través de productos inmobiliarios"/>
    <n v="0.5"/>
    <s v="Tech Manager/Líder"/>
    <m/>
    <s v="Interno"/>
    <e v="#NAME?"/>
    <x v="0"/>
    <e v="#NAME?"/>
    <m/>
    <m/>
    <m/>
    <m/>
    <m/>
    <m/>
  </r>
  <r>
    <s v="O000087"/>
    <s v="Jayson Ricardo Becerra Gomez"/>
    <x v="1"/>
    <s v="Fiduciaria"/>
    <s v="BBVA Fiduciaria"/>
    <x v="0"/>
    <s v="SDATOOL-39572 $ Fiduciaria - Autogestión documental en la vinculación productos inmobiliarios"/>
    <n v="0.5"/>
    <s v="Tech Manager/Líder"/>
    <m/>
    <s v="Interno"/>
    <e v="#NAME?"/>
    <x v="0"/>
    <e v="#NAME?"/>
    <m/>
    <m/>
    <m/>
    <m/>
    <m/>
    <m/>
  </r>
  <r>
    <s v="O000150"/>
    <s v="Oscar Fernando Real Bautista"/>
    <x v="1"/>
    <s v="Fiduciaria"/>
    <s v="BBVA Fiduciaria"/>
    <x v="0"/>
    <s v="SDATOOL-40813 $ Fiduciaria - Autogestion Usuarios - AI Pagos End to End"/>
    <n v="0.4"/>
    <s v="Tech Manager/Líder"/>
    <m/>
    <s v="Interno"/>
    <e v="#NAME?"/>
    <x v="0"/>
    <e v="#NAME?"/>
    <m/>
    <m/>
    <m/>
    <m/>
    <m/>
    <m/>
  </r>
  <r>
    <s v="O000150"/>
    <s v="Oscar Fernando Real Bautista"/>
    <x v="1"/>
    <s v="Fiduciaria"/>
    <s v="BBVA Fiduciaria"/>
    <x v="0"/>
    <s v="SDATOOL-40639 $ Fiduciaria -Obsolecencia Migración Softoken FIDUSAP R2 a NextGen"/>
    <n v="0.4"/>
    <s v="Tech Manager/Líder"/>
    <m/>
    <s v="Interno"/>
    <e v="#NAME?"/>
    <x v="0"/>
    <e v="#NAME?"/>
    <m/>
    <m/>
    <m/>
    <m/>
    <m/>
    <m/>
  </r>
  <r>
    <s v="CI35128"/>
    <s v="Cristian Camilo Rincon"/>
    <x v="1"/>
    <s v="Fiduciaria"/>
    <s v="BBVA Fiduciaria"/>
    <x v="0"/>
    <s v="SDATOOL-40552 $ Fiduciaria - PSE Procesamiento y confirmación de pagos en línea"/>
    <n v="0.25"/>
    <s v="Tech Manager/Líder"/>
    <m/>
    <s v="Interno"/>
    <e v="#NAME?"/>
    <x v="0"/>
    <e v="#NAME?"/>
    <m/>
    <m/>
    <m/>
    <m/>
    <m/>
    <m/>
  </r>
  <r>
    <s v="CI08666"/>
    <s v="Jorge Anibal Blanco Meneses"/>
    <x v="1"/>
    <s v="Fiduciaria"/>
    <s v="BBVA Fiduciaria"/>
    <x v="0"/>
    <s v="SDATOOL-40552 $ Fiduciaria - PSE Procesamiento y confirmación de pagos en línea"/>
    <n v="0.3"/>
    <s v="Tech Manager/Líder"/>
    <m/>
    <s v="Interno"/>
    <e v="#NAME?"/>
    <x v="0"/>
    <e v="#NAME?"/>
    <m/>
    <m/>
    <m/>
    <m/>
    <m/>
    <m/>
  </r>
  <r>
    <s v="CI35442"/>
    <s v="Juan Camilo Ladino Guezguan"/>
    <x v="1"/>
    <s v="Fiduciaria"/>
    <s v="BBVA Fiduciaria"/>
    <x v="0"/>
    <s v="SDATOOL-40552 $ Fiduciaria - PSE Procesamiento y confirmación de pagos en línea"/>
    <n v="0.3"/>
    <s v="Desarrollador"/>
    <m/>
    <s v="Interno"/>
    <e v="#NAME?"/>
    <x v="0"/>
    <e v="#NAME?"/>
    <m/>
    <m/>
    <m/>
    <m/>
    <m/>
    <m/>
  </r>
  <r>
    <s v="CI35100"/>
    <s v="Alexander Lopez Fonseca"/>
    <x v="1"/>
    <s v="Fiduciaria"/>
    <s v="BBVA Fiduciaria"/>
    <x v="0"/>
    <s v="SDATOOL-40012 $ Fiduciaria - Obsolecencia aplicativa para los módulos de rendición de cuentas, Telefónica Factoring y EEFF"/>
    <n v="0.5"/>
    <s v="Tech Manager/Líder"/>
    <m/>
    <s v="Interno"/>
    <e v="#NAME?"/>
    <x v="0"/>
    <e v="#NAME?"/>
    <m/>
    <m/>
    <m/>
    <m/>
    <m/>
    <m/>
  </r>
  <r>
    <s v="CE68033"/>
    <s v="Donoba Ricardo Figueredo"/>
    <x v="1"/>
    <s v="Fiduciaria"/>
    <s v="BBVA Fiduciaria"/>
    <x v="0"/>
    <s v="NOSDA $ BAU (Mantenimiento y peq. evolutivos)"/>
    <n v="1"/>
    <s v="QA"/>
    <s v="Distribuido"/>
    <s v="Externo"/>
    <e v="#NAME?"/>
    <x v="0"/>
    <e v="#NAME?"/>
    <m/>
    <m/>
    <m/>
    <m/>
    <m/>
    <m/>
  </r>
  <r>
    <s v="CE58491"/>
    <s v="Ricardo Pachon"/>
    <x v="1"/>
    <s v="Fiduciaria"/>
    <s v="BBVA Fiduciaria"/>
    <x v="0"/>
    <s v="SDATOOL-40548 $ Fiduciaria - Obsolecencia aplicativa, infraestructura e Insider aplicativo FIDUSAP"/>
    <n v="1"/>
    <s v="QA"/>
    <s v="Distribuido"/>
    <s v="Externo"/>
    <e v="#NAME?"/>
    <x v="0"/>
    <e v="#NAME?"/>
    <m/>
    <m/>
    <m/>
    <m/>
    <m/>
    <m/>
  </r>
  <r>
    <s v="CE68487"/>
    <s v="Diana Rubiano"/>
    <x v="1"/>
    <s v="Fiduciaria"/>
    <s v="BBVA Fiduciaria"/>
    <x v="0"/>
    <s v="SDATOOL-40548 $ Fiduciaria - Obsolecencia aplicativa, infraestructura e Insider aplicativo FIDUSAP"/>
    <n v="1"/>
    <s v="QA"/>
    <s v="Distribuido"/>
    <s v="Externo"/>
    <e v="#NAME?"/>
    <x v="0"/>
    <e v="#NAME?"/>
    <m/>
    <m/>
    <m/>
    <m/>
    <m/>
    <m/>
  </r>
  <r>
    <s v="CE57320"/>
    <s v="Maria Victoria Ruiz"/>
    <x v="1"/>
    <s v="Fiduciaria"/>
    <s v="BBVA Fiduciaria"/>
    <x v="0"/>
    <s v="SDATOOL-40548 $ Fiduciaria - Obsolecencia aplicativa, infraestructura e Insider aplicativo FIDUSAP"/>
    <n v="1"/>
    <s v="QA"/>
    <s v="Distribuido"/>
    <s v="Externo"/>
    <e v="#NAME?"/>
    <x v="0"/>
    <e v="#NAME?"/>
    <m/>
    <m/>
    <m/>
    <m/>
    <m/>
    <m/>
  </r>
  <r>
    <s v="CIXXXXXX"/>
    <s v="Adriana Yamile Rodriguez"/>
    <x v="1"/>
    <s v="Fiduciaria"/>
    <s v="SII"/>
    <x v="0"/>
    <s v="SDATOOL-39282 $ Fiduciaria - Alta y domiciliación Fondos de inversión jurídicos en Gema"/>
    <n v="0.5"/>
    <s v="Desarrollador"/>
    <s v="ASO"/>
    <s v="Externo"/>
    <e v="#NAME?"/>
    <x v="0"/>
    <e v="#NAME?"/>
    <m/>
    <m/>
    <m/>
    <m/>
    <m/>
    <m/>
  </r>
  <r>
    <s v="CIXXXXXX"/>
    <s v="Andres Felipe Mora"/>
    <x v="1"/>
    <s v="Fiduciaria"/>
    <s v="SII"/>
    <x v="0"/>
    <s v="SDATOOL-39282 $ Fiduciaria - Alta y domiciliación Fondos de inversión jurídicos en Gema"/>
    <n v="0.5"/>
    <s v="Desarrollador"/>
    <s v="ASO"/>
    <s v="Externo"/>
    <e v="#NAME?"/>
    <x v="0"/>
    <e v="#NAME?"/>
    <m/>
    <m/>
    <m/>
    <m/>
    <m/>
    <m/>
  </r>
  <r>
    <s v="CIXXXXXX"/>
    <s v="Jean paul patiño"/>
    <x v="1"/>
    <s v="Fiduciaria"/>
    <s v="SII"/>
    <x v="0"/>
    <s v="SDATOOL-39282 $ Fiduciaria - Alta y domiciliación Fondos de inversión jurídicos en Gema"/>
    <n v="0.5"/>
    <s v="Desarrollador"/>
    <s v="ASO"/>
    <s v="Externo"/>
    <e v="#NAME?"/>
    <x v="0"/>
    <e v="#NAME?"/>
    <m/>
    <m/>
    <m/>
    <m/>
    <m/>
    <m/>
  </r>
  <r>
    <s v="CIXXXXXX"/>
    <s v="Jhenny meneses"/>
    <x v="1"/>
    <s v="Fiduciaria"/>
    <s v="SII"/>
    <x v="0"/>
    <s v="SDATOOL-39282 $ Fiduciaria - Alta y domiciliación Fondos de inversión jurídicos en Gema"/>
    <n v="0.5"/>
    <s v="Desarrollador"/>
    <s v="ASO"/>
    <s v="Externo"/>
    <e v="#NAME?"/>
    <x v="0"/>
    <e v="#NAME?"/>
    <m/>
    <m/>
    <m/>
    <m/>
    <m/>
    <m/>
  </r>
  <r>
    <s v="CIXXXXXX"/>
    <s v="Juan stevens guzman"/>
    <x v="1"/>
    <s v="Fiduciaria"/>
    <s v="SII"/>
    <x v="0"/>
    <s v="SDATOOL-39282 $ Fiduciaria - Alta y domiciliación Fondos de inversión jurídicos en Gema"/>
    <n v="0.5"/>
    <s v="Desarrollador"/>
    <s v="ASO"/>
    <s v="Externo"/>
    <e v="#NAME?"/>
    <x v="0"/>
    <e v="#NAME?"/>
    <m/>
    <m/>
    <m/>
    <m/>
    <m/>
    <m/>
  </r>
  <r>
    <s v="CIXXXXXX"/>
    <s v="Michael escobar"/>
    <x v="1"/>
    <s v="Fiduciaria"/>
    <s v="SII"/>
    <x v="0"/>
    <s v="SDATOOL-39282 $ Fiduciaria - Alta y domiciliación Fondos de inversión jurídicos en Gema"/>
    <n v="0.5"/>
    <s v="Desarrollador"/>
    <s v="ASO"/>
    <s v="Externo"/>
    <e v="#NAME?"/>
    <x v="0"/>
    <e v="#NAME?"/>
    <m/>
    <m/>
    <m/>
    <m/>
    <m/>
    <m/>
  </r>
  <r>
    <s v="CIXXXXXX"/>
    <s v="Nestor Eduardo Torres Gonzalez"/>
    <x v="1"/>
    <s v="Fiduciaria"/>
    <s v="SII"/>
    <x v="0"/>
    <s v="SDATOOL-39282 $ Fiduciaria - Alta y domiciliación Fondos de inversión jurídicos en Gema"/>
    <n v="0.5"/>
    <s v="Desarrollador"/>
    <s v="ASO"/>
    <s v="Externo"/>
    <e v="#NAME?"/>
    <x v="0"/>
    <e v="#NAME?"/>
    <m/>
    <m/>
    <m/>
    <m/>
    <m/>
    <m/>
  </r>
  <r>
    <s v="CIXXXXXX"/>
    <s v="Jonathan Molina Fuentes"/>
    <x v="1"/>
    <s v="Fiduciaria"/>
    <s v="GGI / CMC"/>
    <x v="0"/>
    <s v="SDATOOL-39282 $ Fiduciaria - Alta y domiciliación Fondos de inversión jurídicos en Gema"/>
    <n v="0.5"/>
    <s v="Desarrollador"/>
    <s v="ASO"/>
    <s v="Externo"/>
    <e v="#NAME?"/>
    <x v="0"/>
    <e v="#NAME?"/>
    <m/>
    <m/>
    <m/>
    <m/>
    <m/>
    <m/>
  </r>
  <r>
    <s v="CIXXXXXX"/>
    <s v="Nicolas Moreno Arévalo"/>
    <x v="1"/>
    <s v="Fiduciaria"/>
    <s v="GGI / CMC"/>
    <x v="0"/>
    <s v="SDATOOL-39282 $ Fiduciaria - Alta y domiciliación Fondos de inversión jurídicos en Gema"/>
    <n v="0.5"/>
    <s v="Desarrollador"/>
    <s v="ASO"/>
    <s v="Externo"/>
    <e v="#NAME?"/>
    <x v="0"/>
    <e v="#NAME?"/>
    <m/>
    <m/>
    <m/>
    <m/>
    <m/>
    <m/>
  </r>
  <r>
    <s v="CIXXXXXX"/>
    <s v="Angie Natalia Gonzalez"/>
    <x v="1"/>
    <s v="Fiduciaria"/>
    <s v="GGI / CMC"/>
    <x v="0"/>
    <s v="SDATOOL-39282 $ Fiduciaria - Alta y domiciliación Fondos de inversión jurídicos en Gema"/>
    <n v="0.5"/>
    <s v="Desarrollador"/>
    <s v="ASO"/>
    <s v="Externo"/>
    <e v="#NAME?"/>
    <x v="0"/>
    <e v="#NAME?"/>
    <m/>
    <m/>
    <m/>
    <m/>
    <m/>
    <m/>
  </r>
  <r>
    <s v="CIXXXXXX"/>
    <s v="Adriana Yamile Rodriguez"/>
    <x v="1"/>
    <s v="Fiduciaria"/>
    <s v="SII"/>
    <x v="0"/>
    <s v="SDATOOL-40552 $ Fiduciaria - PSE Procesamiento y confirmación de pagos en línea"/>
    <n v="0.5"/>
    <s v="Desarrollador"/>
    <s v="ASO"/>
    <s v="Externo"/>
    <e v="#NAME?"/>
    <x v="0"/>
    <e v="#NAME?"/>
    <m/>
    <m/>
    <m/>
    <m/>
    <m/>
    <m/>
  </r>
  <r>
    <s v="CIXXXXXX"/>
    <s v="Andres Felipe Mora"/>
    <x v="1"/>
    <s v="Fiduciaria"/>
    <s v="SII"/>
    <x v="0"/>
    <s v="SDATOOL-40552 $ Fiduciaria - PSE Procesamiento y confirmación de pagos en línea"/>
    <n v="0.5"/>
    <s v="Desarrollador"/>
    <s v="ASO"/>
    <s v="Externo"/>
    <e v="#NAME?"/>
    <x v="0"/>
    <e v="#NAME?"/>
    <m/>
    <m/>
    <m/>
    <m/>
    <m/>
    <m/>
  </r>
  <r>
    <s v="CIXXXXXX"/>
    <s v="Jean paul patiño"/>
    <x v="1"/>
    <s v="Fiduciaria"/>
    <s v="SII"/>
    <x v="0"/>
    <s v="SDATOOL-40552 $ Fiduciaria - PSE Procesamiento y confirmación de pagos en línea"/>
    <n v="0.5"/>
    <s v="Desarrollador"/>
    <s v="ASO"/>
    <s v="Externo"/>
    <e v="#NAME?"/>
    <x v="0"/>
    <e v="#NAME?"/>
    <m/>
    <m/>
    <m/>
    <m/>
    <m/>
    <m/>
  </r>
  <r>
    <s v="CIXXXXXX"/>
    <s v="Jhenny meneses"/>
    <x v="1"/>
    <s v="Fiduciaria"/>
    <s v="SII"/>
    <x v="0"/>
    <s v="SDATOOL-40552 $ Fiduciaria - PSE Procesamiento y confirmación de pagos en línea"/>
    <n v="0.5"/>
    <s v="Desarrollador"/>
    <s v="ASO"/>
    <s v="Externo"/>
    <e v="#NAME?"/>
    <x v="0"/>
    <e v="#NAME?"/>
    <m/>
    <m/>
    <m/>
    <m/>
    <m/>
    <m/>
  </r>
  <r>
    <s v="CIXXXXXX"/>
    <s v="Juan stevens guzman"/>
    <x v="1"/>
    <s v="Fiduciaria"/>
    <s v="SII"/>
    <x v="0"/>
    <s v="SDATOOL-40552 $ Fiduciaria - PSE Procesamiento y confirmación de pagos en línea"/>
    <n v="0.5"/>
    <s v="Desarrollador"/>
    <s v="ASO"/>
    <s v="Externo"/>
    <e v="#NAME?"/>
    <x v="0"/>
    <e v="#NAME?"/>
    <m/>
    <m/>
    <m/>
    <m/>
    <m/>
    <m/>
  </r>
  <r>
    <s v="CIXXXXXX"/>
    <s v="Michael escobar"/>
    <x v="1"/>
    <s v="Fiduciaria"/>
    <s v="SII"/>
    <x v="0"/>
    <s v="SDATOOL-40552 $ Fiduciaria - PSE Procesamiento y confirmación de pagos en línea"/>
    <n v="0.5"/>
    <s v="Desarrollador"/>
    <s v="ASO"/>
    <s v="Externo"/>
    <e v="#NAME?"/>
    <x v="0"/>
    <e v="#NAME?"/>
    <m/>
    <m/>
    <m/>
    <m/>
    <m/>
    <m/>
  </r>
  <r>
    <s v="CIXXXXXX"/>
    <s v="Nestor Eduardo Torres Gonzalez"/>
    <x v="1"/>
    <s v="Fiduciaria"/>
    <s v="SII"/>
    <x v="0"/>
    <s v="SDATOOL-40552 $ Fiduciaria - PSE Procesamiento y confirmación de pagos en línea"/>
    <n v="0.5"/>
    <s v="Desarrollador"/>
    <s v="ASO"/>
    <s v="Externo"/>
    <e v="#NAME?"/>
    <x v="0"/>
    <e v="#NAME?"/>
    <m/>
    <m/>
    <m/>
    <m/>
    <m/>
    <m/>
  </r>
  <r>
    <s v="CIXXXXXX"/>
    <s v="Jonathan Molina Fuentes"/>
    <x v="1"/>
    <s v="Fiduciaria"/>
    <s v="GGI / CMC"/>
    <x v="0"/>
    <s v="SDATOOL-40552 $ Fiduciaria - PSE Procesamiento y confirmación de pagos en línea"/>
    <n v="0.5"/>
    <s v="Desarrollador"/>
    <s v="ASO"/>
    <s v="Externo"/>
    <e v="#NAME?"/>
    <x v="0"/>
    <e v="#NAME?"/>
    <m/>
    <m/>
    <m/>
    <m/>
    <m/>
    <m/>
  </r>
  <r>
    <s v="CIXXXXXX"/>
    <s v="Nicolas Moreno Arévalo"/>
    <x v="1"/>
    <s v="Fiduciaria"/>
    <s v="GGI / CMC"/>
    <x v="0"/>
    <s v="SDATOOL-40552 $ Fiduciaria - PSE Procesamiento y confirmación de pagos en línea"/>
    <n v="0.5"/>
    <s v="Desarrollador"/>
    <s v="ASO"/>
    <s v="Externo"/>
    <e v="#NAME?"/>
    <x v="0"/>
    <e v="#NAME?"/>
    <m/>
    <m/>
    <m/>
    <m/>
    <m/>
    <m/>
  </r>
  <r>
    <s v="CIXXXXXX"/>
    <s v="Angie Natalia Gonzalez"/>
    <x v="1"/>
    <s v="Fiduciaria"/>
    <s v="GGI / CMC"/>
    <x v="0"/>
    <s v="SDATOOL-40552 $ Fiduciaria - PSE Procesamiento y confirmación de pagos en línea"/>
    <n v="0.5"/>
    <s v="Desarrollador"/>
    <s v="ASO"/>
    <s v="Externo"/>
    <e v="#NAME?"/>
    <x v="0"/>
    <e v="#NAME?"/>
    <m/>
    <m/>
    <m/>
    <m/>
    <m/>
    <m/>
  </r>
  <r>
    <s v="CE69361"/>
    <s v="ANDERSON CAMILO APONTE CERVERA"/>
    <x v="5"/>
    <s v="Net"/>
    <s v="Neoris"/>
    <x v="0"/>
    <s v="SDATOOL-36558 $ Transfiya:Transferencias interbancarias inmediatas - Plan Ascenso Privado"/>
    <n v="0.3"/>
    <s v="Desarrollador"/>
    <s v="ASO"/>
    <m/>
    <e v="#NAME?"/>
    <x v="0"/>
    <e v="#NAME?"/>
    <m/>
    <m/>
    <m/>
    <m/>
    <m/>
    <m/>
  </r>
  <r>
    <s v="CE51863"/>
    <s v="EDNA ROCIO MONCADA"/>
    <x v="5"/>
    <s v="Net"/>
    <s v="KRYPTO"/>
    <x v="0"/>
    <s v="SDATOOL-36558 $ Transfiya:Transferencias interbancarias inmediatas - Plan Ascenso Privado"/>
    <n v="0.02"/>
    <s v="QA"/>
    <s v="Otras Tec."/>
    <m/>
    <e v="#NAME?"/>
    <x v="0"/>
    <e v="#NAME?"/>
    <m/>
    <m/>
    <m/>
    <m/>
    <m/>
    <m/>
  </r>
  <r>
    <s v="C810711"/>
    <s v="CRISTIAN ALEXANDER ROJAS AZA"/>
    <x v="5"/>
    <s v="Net"/>
    <s v="BBVA"/>
    <x v="0"/>
    <s v="SDATOOL-36558 $ Transfiya:Transferencias interbancarias inmediatas - Plan Ascenso Privado"/>
    <n v="0.8"/>
    <s v="Desarrollador"/>
    <s v="ASO"/>
    <m/>
    <e v="#NAME?"/>
    <x v="0"/>
    <e v="#NAME?"/>
    <m/>
    <m/>
    <m/>
    <m/>
    <m/>
    <m/>
  </r>
  <r>
    <s v="C810711"/>
    <s v="CRISTIAN ALEXANDER ROJAS AZA"/>
    <x v="5"/>
    <s v="Net"/>
    <s v="BBVA"/>
    <x v="0"/>
    <s v="SDATOOL-42192 $ Transfiya en GloMo"/>
    <n v="0.2"/>
    <s v="Desarrollador"/>
    <s v="ASO"/>
    <m/>
    <e v="#NAME?"/>
    <x v="0"/>
    <e v="#NAME?"/>
    <m/>
    <m/>
    <m/>
    <m/>
    <m/>
    <n v="0"/>
  </r>
  <r>
    <s v="C985155"/>
    <s v="DIANA EDITH VILLEGAS RAMIREZ"/>
    <x v="5"/>
    <s v="Net"/>
    <s v="BBVA"/>
    <x v="0"/>
    <s v="SDATOOL-36558 $ Transfiya:Transferencias interbancarias inmediatas - Plan Ascenso Privado"/>
    <n v="1"/>
    <s v="Desarrollador"/>
    <s v="Otras Tec."/>
    <m/>
    <e v="#NAME?"/>
    <x v="0"/>
    <e v="#NAME?"/>
    <m/>
    <m/>
    <m/>
    <m/>
    <m/>
    <m/>
  </r>
  <r>
    <s v="C342595"/>
    <s v="EDGAR IVAN ARIAS MALDONADO"/>
    <x v="5"/>
    <s v="Net"/>
    <s v="BBVA"/>
    <x v="0"/>
    <s v="SDATOOL-36558 $ Transfiya:Transferencias interbancarias inmediatas - Plan Ascenso Privado"/>
    <n v="1"/>
    <s v="Desarrollador"/>
    <s v="ASO"/>
    <m/>
    <e v="#NAME?"/>
    <x v="0"/>
    <e v="#NAME?"/>
    <m/>
    <m/>
    <m/>
    <m/>
    <m/>
    <m/>
  </r>
  <r>
    <s v="C810708"/>
    <s v="HAROLD ANDRES CASTILLO CARVAJAL"/>
    <x v="5"/>
    <s v="Net"/>
    <s v="BBVA"/>
    <x v="0"/>
    <s v="SDATOOL-36558 $ Transfiya:Transferencias interbancarias inmediatas - Plan Ascenso Privado"/>
    <n v="1"/>
    <s v="Desarrollador"/>
    <s v="ASO"/>
    <m/>
    <e v="#NAME?"/>
    <x v="0"/>
    <e v="#NAME?"/>
    <m/>
    <m/>
    <m/>
    <m/>
    <m/>
    <m/>
  </r>
  <r>
    <s v="C342444"/>
    <s v="JOE ESTUPINAN MONTANO"/>
    <x v="5"/>
    <s v="Net"/>
    <s v="BBVA"/>
    <x v="0"/>
    <s v="SDATOOL-36558 $ Transfiya:Transferencias interbancarias inmediatas - Plan Ascenso Privado"/>
    <n v="1"/>
    <s v="Desarrollador"/>
    <s v="Mainframe"/>
    <m/>
    <e v="#NAME?"/>
    <x v="0"/>
    <e v="#NAME?"/>
    <m/>
    <m/>
    <m/>
    <m/>
    <m/>
    <m/>
  </r>
  <r>
    <s v="C810746"/>
    <s v="JUAN DAVID BAEZ RAMOS"/>
    <x v="5"/>
    <s v="Net"/>
    <s v="BBVA"/>
    <x v="0"/>
    <s v="SDATOOL-36558 $ Transfiya:Transferencias interbancarias inmediatas - Plan Ascenso Privado"/>
    <n v="0.8"/>
    <s v="Desarrollador"/>
    <s v="APX"/>
    <m/>
    <e v="#NAME?"/>
    <x v="0"/>
    <e v="#NAME?"/>
    <m/>
    <m/>
    <m/>
    <m/>
    <m/>
    <m/>
  </r>
  <r>
    <s v="C810746"/>
    <s v="JUAN DAVID BAEZ RAMOS"/>
    <x v="5"/>
    <s v="Net"/>
    <s v="BBVA"/>
    <x v="0"/>
    <s v="SDATOOL-42192 $ Transfiya en GloMo"/>
    <n v="0.2"/>
    <s v="Desarrollador"/>
    <s v="APX"/>
    <m/>
    <e v="#NAME?"/>
    <x v="0"/>
    <e v="#NAME?"/>
    <m/>
    <m/>
    <m/>
    <m/>
    <m/>
    <n v="0"/>
  </r>
  <r>
    <s v="O001337"/>
    <s v="LEANDRO GOMEZ "/>
    <x v="5"/>
    <s v="Net"/>
    <s v="BBVA"/>
    <x v="0"/>
    <s v="SDATOOL-36558 $ Transfiya:Transferencias interbancarias inmediatas - Plan Ascenso Privado"/>
    <n v="0.8"/>
    <s v="Tech Manager/Líder"/>
    <s v="Otras Tec."/>
    <m/>
    <e v="#NAME?"/>
    <x v="0"/>
    <e v="#NAME?"/>
    <m/>
    <m/>
    <m/>
    <m/>
    <m/>
    <m/>
  </r>
  <r>
    <s v="O001337"/>
    <s v="LEANDRO GOMEZ "/>
    <x v="5"/>
    <s v="Net"/>
    <s v="BBVA"/>
    <x v="0"/>
    <s v="SDATOOL-42192 $ Transfiya en GloMo"/>
    <n v="0.2"/>
    <s v="Tech Manager/Líder"/>
    <s v="Otras Tec."/>
    <m/>
    <e v="#NAME?"/>
    <x v="0"/>
    <e v="#NAME?"/>
    <m/>
    <m/>
    <m/>
    <m/>
    <m/>
    <n v="0"/>
  </r>
  <r>
    <s v="CE55339"/>
    <s v="LENIN RAFAEL DIAZ QUINTERO"/>
    <x v="5"/>
    <s v="Net"/>
    <s v="SII"/>
    <x v="0"/>
    <s v="SDATOOL-36558 $ Transfiya:Transferencias interbancarias inmediatas - Plan Ascenso Privado"/>
    <n v="0.3"/>
    <s v="Desarrollador"/>
    <s v="Mainframe"/>
    <m/>
    <e v="#NAME?"/>
    <x v="0"/>
    <e v="#NAME?"/>
    <m/>
    <m/>
    <m/>
    <m/>
    <m/>
    <m/>
  </r>
  <r>
    <s v="T000166"/>
    <s v="LEONARDO ALBERTO JIMENEZ RINCON"/>
    <x v="5"/>
    <s v="Net"/>
    <s v="Choucair"/>
    <x v="0"/>
    <s v="SDATOOL-36558 $ Transfiya:Transferencias interbancarias inmediatas - Plan Ascenso Privado"/>
    <n v="1"/>
    <s v="QA"/>
    <s v="Otras Tec."/>
    <m/>
    <e v="#NAME?"/>
    <x v="0"/>
    <e v="#NAME?"/>
    <m/>
    <m/>
    <m/>
    <m/>
    <m/>
    <m/>
  </r>
  <r>
    <s v="T004935"/>
    <s v="MARIA CAMILA MOLINA ALBA"/>
    <x v="5"/>
    <s v="Net"/>
    <s v="Choucair"/>
    <x v="0"/>
    <s v="SDATOOL-36558 $ Transfiya:Transferencias interbancarias inmediatas - Plan Ascenso Privado"/>
    <n v="1"/>
    <s v="QA"/>
    <s v="Otras Tec."/>
    <m/>
    <e v="#NAME?"/>
    <x v="0"/>
    <e v="#NAME?"/>
    <m/>
    <m/>
    <m/>
    <m/>
    <m/>
    <m/>
  </r>
  <r>
    <s v="T000274"/>
    <s v="NICOLAS BOHORQUEZ LEGUIZAMO"/>
    <x v="5"/>
    <s v="Net"/>
    <s v="GGI / CMC"/>
    <x v="0"/>
    <s v="SDATOOL-36558 $ Transfiya:Transferencias interbancarias inmediatas - Plan Ascenso Privado"/>
    <n v="0.3"/>
    <s v="Desarrollador"/>
    <s v="Cells"/>
    <m/>
    <e v="#NAME?"/>
    <x v="0"/>
    <e v="#NAME?"/>
    <m/>
    <m/>
    <m/>
    <m/>
    <m/>
    <m/>
  </r>
  <r>
    <s v="C796552"/>
    <s v="YADIRA COBOS ROMERO"/>
    <x v="5"/>
    <s v="Net"/>
    <s v="BBVA"/>
    <x v="0"/>
    <s v="NOSDA $ BAU (Mantenimiento y peq. evolutivos)"/>
    <n v="0.65"/>
    <s v="Tech Manager/Líder"/>
    <s v="Otras Tec."/>
    <m/>
    <e v="#NAME?"/>
    <x v="0"/>
    <e v="#NAME?"/>
    <m/>
    <m/>
    <m/>
    <m/>
    <m/>
    <m/>
  </r>
  <r>
    <s v="C796552"/>
    <s v="YADIRA COBOS ROMERO"/>
    <x v="5"/>
    <s v="Net"/>
    <s v="BBVA"/>
    <x v="0"/>
    <s v="SDATOOL-38527 $ Pagaré Electrónico en flujos de Contratación digital"/>
    <n v="0.05"/>
    <s v="Tech Manager/Líder"/>
    <s v="Otras Tec."/>
    <m/>
    <e v="#NAME?"/>
    <x v="0"/>
    <e v="#NAME?"/>
    <m/>
    <m/>
    <m/>
    <m/>
    <m/>
    <m/>
  </r>
  <r>
    <s v="C796552"/>
    <s v="YADIRA COBOS ROMERO"/>
    <x v="5"/>
    <s v="Net"/>
    <s v="BBVA"/>
    <x v="0"/>
    <s v="SDATOOL-39246 $ Nuevo tipo de identificación para extranjeros"/>
    <n v="0.05"/>
    <s v="Tech Manager/Líder"/>
    <s v="Otras Tec."/>
    <m/>
    <e v="#NAME?"/>
    <x v="0"/>
    <e v="#NAME?"/>
    <m/>
    <m/>
    <m/>
    <m/>
    <m/>
    <m/>
  </r>
  <r>
    <s v="C796552"/>
    <s v="YADIRA COBOS ROMERO"/>
    <x v="5"/>
    <s v="Net"/>
    <s v="BBVA"/>
    <x v="0"/>
    <s v="SDATOOL-39834 $ Recaudo en Línea Secretaría de Hacienda Distrital - Fase II: Solución paramétrica de recaudos para la inclusión de 7 formularios tributarios en Canales electrónicos Web y Corresponsal Bancario."/>
    <n v="0.05"/>
    <s v="Tech Manager/Líder"/>
    <s v="Otras Tec."/>
    <m/>
    <e v="#NAME?"/>
    <x v="0"/>
    <e v="#NAME?"/>
    <m/>
    <m/>
    <m/>
    <m/>
    <m/>
    <m/>
  </r>
  <r>
    <s v="C796552"/>
    <s v="YADIRA COBOS ROMERO"/>
    <x v="5"/>
    <s v="Net"/>
    <s v="BBVA"/>
    <x v="0"/>
    <s v="SDATOOL-39840 $ BBVA Valores en Canales (Net Cash / Net)"/>
    <n v="0.05"/>
    <s v="Tech Manager/Líder"/>
    <s v="Otras Tec."/>
    <m/>
    <e v="#NAME?"/>
    <x v="0"/>
    <e v="#NAME?"/>
    <m/>
    <m/>
    <m/>
    <m/>
    <m/>
    <m/>
  </r>
  <r>
    <s v="C796552"/>
    <s v="YADIRA COBOS ROMERO"/>
    <x v="5"/>
    <s v="Net"/>
    <s v="BBVA"/>
    <x v="0"/>
    <s v="SDATOOL-9053 $ GloMo Colombia"/>
    <n v="0.15"/>
    <s v="Tech Manager/Líder"/>
    <s v="Otras Tec."/>
    <m/>
    <e v="#NAME?"/>
    <x v="0"/>
    <e v="#NAME?"/>
    <m/>
    <m/>
    <m/>
    <m/>
    <m/>
    <m/>
  </r>
  <r>
    <s v="C808359"/>
    <s v="ARLEM CHINCHIA"/>
    <x v="5"/>
    <s v="Net"/>
    <s v="BBVA"/>
    <x v="0"/>
    <s v="NOSDA $ BAU (Mantenimiento y peq. evolutivos)"/>
    <n v="1"/>
    <s v="Desarrollador"/>
    <s v="Cells"/>
    <m/>
    <e v="#NAME?"/>
    <x v="0"/>
    <e v="#NAME?"/>
    <m/>
    <m/>
    <m/>
    <m/>
    <m/>
    <m/>
  </r>
  <r>
    <s v="CE51863"/>
    <s v="EDNA ROCIO MONCADA"/>
    <x v="5"/>
    <s v="Net"/>
    <s v="KRYPTO"/>
    <x v="0"/>
    <s v="NOSDA $ BAU (Mantenimiento y peq. evolutivos)"/>
    <n v="0.02"/>
    <s v="QA"/>
    <s v="Otras Tec."/>
    <m/>
    <e v="#NAME?"/>
    <x v="0"/>
    <e v="#NAME?"/>
    <m/>
    <m/>
    <m/>
    <m/>
    <m/>
    <m/>
  </r>
  <r>
    <s v="CE51863"/>
    <s v="EDNA ROCIO MONCADA"/>
    <x v="5"/>
    <s v="Net"/>
    <s v="KRYPTO"/>
    <x v="0"/>
    <s v="SDATOOL-38527 $ Pagaré Electrónico en flujos de Contratación digital"/>
    <n v="0.02"/>
    <s v="QA"/>
    <s v="Otras Tec."/>
    <m/>
    <e v="#NAME?"/>
    <x v="0"/>
    <e v="#NAME?"/>
    <m/>
    <m/>
    <m/>
    <m/>
    <m/>
    <m/>
  </r>
  <r>
    <s v="CE51863"/>
    <s v="EDNA ROCIO MONCADA"/>
    <x v="5"/>
    <s v="Net"/>
    <s v="KRYPTO"/>
    <x v="0"/>
    <s v="SDATOOL-9053 $ GloMo Colombia"/>
    <n v="0.02"/>
    <s v="QA"/>
    <s v="Otras Tec."/>
    <m/>
    <e v="#NAME?"/>
    <x v="0"/>
    <e v="#NAME?"/>
    <m/>
    <m/>
    <m/>
    <m/>
    <m/>
    <m/>
  </r>
  <r>
    <s v="CE51863"/>
    <s v="EDNA ROCIO MONCADA"/>
    <x v="5"/>
    <s v="Net"/>
    <s v="KRYPTO"/>
    <x v="0"/>
    <s v="SDATOOL-39246 $ Nuevo tipo de identificación para extranjeros"/>
    <n v="0.02"/>
    <s v="QA"/>
    <s v="Otras Tec."/>
    <m/>
    <e v="#NAME?"/>
    <x v="0"/>
    <e v="#NAME?"/>
    <m/>
    <m/>
    <m/>
    <m/>
    <m/>
    <m/>
  </r>
  <r>
    <s v="CE51863"/>
    <s v="EDNA ROCIO MONCADA"/>
    <x v="5"/>
    <s v="Net"/>
    <s v="KRYPTO"/>
    <x v="0"/>
    <s v="SDATOOL-39840 $ BBVA Valores en Canales (Net Cash / Net)"/>
    <n v="0.02"/>
    <s v="QA"/>
    <s v="Otras Tec."/>
    <m/>
    <e v="#NAME?"/>
    <x v="0"/>
    <e v="#NAME?"/>
    <m/>
    <m/>
    <m/>
    <m/>
    <m/>
    <m/>
  </r>
  <r>
    <s v="CE70177"/>
    <s v="ADRIANA MERCEDES GOMEZ"/>
    <x v="5"/>
    <s v="Net"/>
    <s v="Choucair"/>
    <x v="0"/>
    <s v="SDATOOL-39840 $ BBVA Valores en Canales (Net Cash / Net)"/>
    <n v="0.9"/>
    <s v="QA"/>
    <s v="Otras Tec."/>
    <m/>
    <e v="#NAME?"/>
    <x v="0"/>
    <e v="#NAME?"/>
    <m/>
    <m/>
    <m/>
    <m/>
    <m/>
    <m/>
  </r>
  <r>
    <s v="C941085"/>
    <s v="CARLOS FRANCISCO TOVAR LOSADA"/>
    <x v="5"/>
    <s v="Net"/>
    <s v="BBVA"/>
    <x v="0"/>
    <s v="NOSDA $ BAU (Mantenimiento y peq. evolutivos)"/>
    <n v="1"/>
    <s v="Desarrollador"/>
    <s v="Otras Tec."/>
    <m/>
    <e v="#NAME?"/>
    <x v="0"/>
    <e v="#NAME?"/>
    <m/>
    <m/>
    <m/>
    <m/>
    <m/>
    <m/>
  </r>
  <r>
    <s v="T008622  "/>
    <s v="CAROLINA GARZÓN"/>
    <x v="5"/>
    <s v="Net"/>
    <s v="GGI / CMC"/>
    <x v="0"/>
    <s v="NOSDA $ BAU (Mantenimiento y peq. evolutivos)"/>
    <n v="1"/>
    <s v="Desarrollador"/>
    <s v="Otras Tec."/>
    <m/>
    <e v="#NAME?"/>
    <x v="0"/>
    <e v="#NAME?"/>
    <m/>
    <m/>
    <m/>
    <m/>
    <m/>
    <m/>
  </r>
  <r>
    <s v="T000288"/>
    <s v="DAVID FERNANDO MENDIETA"/>
    <x v="5"/>
    <s v="Net"/>
    <s v="GGI / CMC"/>
    <x v="0"/>
    <s v="NOSDA $ BAU (Mantenimiento y peq. evolutivos)"/>
    <n v="1"/>
    <s v="Desarrollador"/>
    <s v="ASO"/>
    <m/>
    <e v="#NAME?"/>
    <x v="0"/>
    <e v="#NAME?"/>
    <m/>
    <m/>
    <m/>
    <m/>
    <m/>
    <m/>
  </r>
  <r>
    <s v="C985155"/>
    <s v="DIANA CAROLINA ARTEAGA"/>
    <x v="5"/>
    <s v="Net"/>
    <s v="BBVA"/>
    <x v="0"/>
    <s v="NOSDA $ BAU (Mantenimiento y peq. evolutivos)"/>
    <n v="1"/>
    <s v="Desarrollador"/>
    <s v="Distribuido"/>
    <m/>
    <e v="#NAME?"/>
    <x v="0"/>
    <e v="#NAME?"/>
    <m/>
    <m/>
    <m/>
    <m/>
    <m/>
    <m/>
  </r>
  <r>
    <s v="O001647"/>
    <s v="EDISON RAMÍREZ"/>
    <x v="5"/>
    <s v="Net"/>
    <s v="BBVA"/>
    <x v="0"/>
    <s v="SDATOOL-9053 $ GloMo Colombia"/>
    <n v="0.8"/>
    <s v="Desarrollador"/>
    <s v="Distribuido"/>
    <m/>
    <e v="#NAME?"/>
    <x v="0"/>
    <e v="#NAME?"/>
    <m/>
    <m/>
    <m/>
    <m/>
    <m/>
    <m/>
  </r>
  <r>
    <s v="O001647"/>
    <s v="EDISON RAMÍREZ"/>
    <x v="5"/>
    <s v="Net"/>
    <s v="BBVA"/>
    <x v="0"/>
    <s v="NOSDA $ BAU (Mantenimiento y peq. evolutivos)"/>
    <n v="0.2"/>
    <s v="Desarrollador"/>
    <s v="Distribuido"/>
    <m/>
    <e v="#NAME?"/>
    <x v="0"/>
    <e v="#NAME?"/>
    <m/>
    <m/>
    <m/>
    <m/>
    <m/>
    <m/>
  </r>
  <r>
    <s v="C821589"/>
    <s v="EDWARD MORENO"/>
    <x v="5"/>
    <s v="Net"/>
    <s v="BBVA"/>
    <x v="0"/>
    <s v="SDATOOL-39246 $ Nuevo tipo de identificación para extranjeros"/>
    <n v="1"/>
    <s v="Desarrollador"/>
    <s v="Mainframe"/>
    <m/>
    <e v="#NAME?"/>
    <x v="0"/>
    <e v="#NAME?"/>
    <m/>
    <m/>
    <m/>
    <m/>
    <m/>
    <m/>
  </r>
  <r>
    <s v="T009381"/>
    <s v="JAIBER DAIVISON NOVA"/>
    <x v="5"/>
    <s v="Net"/>
    <s v="GGI / CMC"/>
    <x v="0"/>
    <s v="NOSDA $ BAU (Mantenimiento y peq. evolutivos)"/>
    <n v="1"/>
    <s v="Desarrollador"/>
    <s v="Distribuido"/>
    <m/>
    <e v="#NAME?"/>
    <x v="0"/>
    <e v="#NAME?"/>
    <m/>
    <m/>
    <m/>
    <m/>
    <m/>
    <m/>
  </r>
  <r>
    <s v="CE57299"/>
    <s v="JENNIFER ZAMORA"/>
    <x v="5"/>
    <s v="Net"/>
    <s v="GGI / CMC"/>
    <x v="0"/>
    <s v="SDATOOL-38527 $ Pagaré Electrónico en flujos de Contratación digital"/>
    <n v="1"/>
    <s v="Desarrollador"/>
    <s v="Mainframe"/>
    <m/>
    <e v="#NAME?"/>
    <x v="0"/>
    <e v="#NAME?"/>
    <m/>
    <m/>
    <m/>
    <m/>
    <m/>
    <m/>
  </r>
  <r>
    <s v="T007581"/>
    <s v="FHERNEY ANDRIAN SILVA"/>
    <x v="5"/>
    <s v="Net"/>
    <s v="Novatec"/>
    <x v="0"/>
    <s v="SDATOOL-38527 $ Pagaré Electrónico en flujos de Contratación digital"/>
    <n v="1"/>
    <s v="Desarrollador"/>
    <s v="ASO"/>
    <m/>
    <e v="#NAME?"/>
    <x v="0"/>
    <e v="#NAME?"/>
    <m/>
    <m/>
    <m/>
    <m/>
    <m/>
    <m/>
  </r>
  <r>
    <s v="CE61541"/>
    <s v="JESUS ANDRÉS CARDENAS"/>
    <x v="5"/>
    <s v="Net"/>
    <s v="GGI / CMC"/>
    <x v="0"/>
    <s v="SDATOOL-9053 $ GloMo Colombia"/>
    <n v="0.9"/>
    <s v="QA"/>
    <s v="Otras Tec."/>
    <m/>
    <e v="#NAME?"/>
    <x v="0"/>
    <e v="#NAME?"/>
    <m/>
    <m/>
    <m/>
    <m/>
    <m/>
    <m/>
  </r>
  <r>
    <s v="CE69109"/>
    <s v="LUIS FELIPE GONZÁLEZ"/>
    <x v="5"/>
    <s v="Net"/>
    <s v="GGI / CMC"/>
    <x v="0"/>
    <s v="NOSDA $ BAU (Mantenimiento y peq. evolutivos)"/>
    <n v="1"/>
    <s v="Desarrollador"/>
    <s v="Mainframe"/>
    <m/>
    <e v="#NAME?"/>
    <x v="0"/>
    <e v="#NAME?"/>
    <m/>
    <m/>
    <m/>
    <m/>
    <m/>
    <m/>
  </r>
  <r>
    <s v="CE17709"/>
    <s v="LUZ  STELLA MARTINEZ"/>
    <x v="5"/>
    <s v="Net"/>
    <s v="KRYPTO"/>
    <x v="0"/>
    <s v="SDATOOL-38527 $ Pagaré Electrónico en flujos de Contratación digital"/>
    <n v="1"/>
    <s v="QA"/>
    <s v="Otras Tec."/>
    <m/>
    <e v="#NAME?"/>
    <x v="0"/>
    <e v="#NAME?"/>
    <m/>
    <m/>
    <m/>
    <m/>
    <m/>
    <m/>
  </r>
  <r>
    <s v="CE51863"/>
    <s v="EDNA ROCIO MONCADA"/>
    <x v="5"/>
    <s v="Net"/>
    <s v="KRYPTO"/>
    <x v="0"/>
    <s v="SDATOOL-38527 $ Pagaré Electrónico en flujos de Contratación digital"/>
    <n v="0.02"/>
    <s v="QA"/>
    <s v="Otras Tec."/>
    <m/>
    <e v="#NAME?"/>
    <x v="0"/>
    <e v="#NAME?"/>
    <m/>
    <m/>
    <m/>
    <m/>
    <m/>
    <m/>
  </r>
  <r>
    <s v="C810755"/>
    <s v="MARÍA ALEJANDRA VARÓN"/>
    <x v="5"/>
    <s v="Net"/>
    <s v="BBVA"/>
    <x v="0"/>
    <s v="SDATOOL-39246 $ Nuevo tipo de identificación para extranjeros"/>
    <n v="0.5"/>
    <s v="Desarrollador"/>
    <s v="Cells"/>
    <m/>
    <e v="#NAME?"/>
    <x v="0"/>
    <e v="#NAME?"/>
    <m/>
    <m/>
    <m/>
    <m/>
    <m/>
    <m/>
  </r>
  <r>
    <s v="C810755"/>
    <s v="MARÍA ALEJANDRA VARÓN"/>
    <x v="5"/>
    <s v="Net"/>
    <s v="BBVA"/>
    <x v="0"/>
    <s v="NOSDA $ BAU (Mantenimiento y peq. evolutivos)"/>
    <n v="0.5"/>
    <s v="Desarrollador"/>
    <s v="Cells"/>
    <m/>
    <e v="#NAME?"/>
    <x v="0"/>
    <e v="#NAME?"/>
    <m/>
    <m/>
    <m/>
    <m/>
    <m/>
    <m/>
  </r>
  <r>
    <s v="CE66887"/>
    <s v="NICOLAS BOLIVAR BATTLE"/>
    <x v="5"/>
    <s v="Net"/>
    <s v="KRYPTO"/>
    <x v="0"/>
    <s v="SDATOOL-38527 $ Pagaré Electrónico en flujos de Contratación digital"/>
    <n v="1"/>
    <s v="QA"/>
    <s v="Otras Tec."/>
    <m/>
    <e v="#NAME?"/>
    <x v="0"/>
    <e v="#NAME?"/>
    <m/>
    <m/>
    <m/>
    <m/>
    <m/>
    <m/>
  </r>
  <r>
    <s v="C805907"/>
    <s v="OSCAR DARIO VELÁSQUEZ"/>
    <x v="5"/>
    <s v="Net"/>
    <s v="BBVA"/>
    <x v="0"/>
    <s v="SDATOOL-39246 $ Nuevo tipo de identificación para extranjeros"/>
    <n v="0.25"/>
    <s v="Desarrollador"/>
    <s v="Cells"/>
    <m/>
    <e v="#NAME?"/>
    <x v="0"/>
    <e v="#NAME?"/>
    <m/>
    <m/>
    <m/>
    <m/>
    <m/>
    <m/>
  </r>
  <r>
    <s v="C805907"/>
    <s v="OSCAR DARIO VELÁSQUEZ"/>
    <x v="5"/>
    <s v="Net"/>
    <s v="BBVA"/>
    <x v="0"/>
    <s v="SDATOOL-9053 $ GloMo Colombia"/>
    <n v="0.75"/>
    <s v="Desarrollador"/>
    <s v="Cells"/>
    <m/>
    <e v="#NAME?"/>
    <x v="0"/>
    <e v="#NAME?"/>
    <m/>
    <m/>
    <m/>
    <m/>
    <m/>
    <m/>
  </r>
  <r>
    <s v="CE61541"/>
    <s v="JESUS ANDRÉS CARDENAS"/>
    <x v="5"/>
    <s v="Net"/>
    <s v="GGI / CMC"/>
    <x v="0"/>
    <s v="SDATOOL-9053 $ GloMo Colombia"/>
    <n v="0.1"/>
    <s v="QA"/>
    <s v="Otras Tec."/>
    <m/>
    <e v="#NAME?"/>
    <x v="0"/>
    <e v="#NAME?"/>
    <m/>
    <m/>
    <m/>
    <m/>
    <m/>
    <m/>
  </r>
  <r>
    <s v="CE67019"/>
    <s v="REINALDO CUARIN"/>
    <x v="5"/>
    <s v="Net"/>
    <s v="GGI / CMC"/>
    <x v="0"/>
    <s v="SDATOOL-39840 $ BBVA Valores en Canales (Net Cash / Net)"/>
    <n v="1"/>
    <s v="Desarrollador"/>
    <s v="APX"/>
    <m/>
    <e v="#NAME?"/>
    <x v="0"/>
    <e v="#NAME?"/>
    <m/>
    <m/>
    <m/>
    <m/>
    <m/>
    <m/>
  </r>
  <r>
    <s v="CE69265"/>
    <s v="SANTIAGO MARTINEZ"/>
    <x v="5"/>
    <s v="Net"/>
    <s v="Choucair"/>
    <x v="0"/>
    <s v="SDATOOL-9053 $ GloMo Colombia"/>
    <n v="1"/>
    <s v="QA"/>
    <s v="Otras Tec."/>
    <m/>
    <e v="#NAME?"/>
    <x v="0"/>
    <e v="#NAME?"/>
    <m/>
    <m/>
    <m/>
    <m/>
    <m/>
    <m/>
  </r>
  <r>
    <s v="O001980"/>
    <s v="YESID ALEXANDER ROA VEGA"/>
    <x v="5"/>
    <s v="Net"/>
    <s v="BBVA"/>
    <x v="0"/>
    <s v="NOSDA $ BAU (Mantenimiento y peq. evolutivos)"/>
    <n v="0.7"/>
    <s v="Desarrollador"/>
    <s v="Otras Tec."/>
    <m/>
    <e v="#NAME?"/>
    <x v="0"/>
    <e v="#NAME?"/>
    <m/>
    <m/>
    <m/>
    <m/>
    <m/>
    <m/>
  </r>
  <r>
    <s v="O001980"/>
    <s v="YESID ALEXANDER ROA VEGA"/>
    <x v="5"/>
    <s v="Net"/>
    <s v="BBVA"/>
    <x v="0"/>
    <s v="SDATOOL-38527 $ Pagaré Electrónico en flujos de Contratación digital"/>
    <n v="0.3"/>
    <s v="Desarrollador"/>
    <s v="Otras Tec."/>
    <m/>
    <e v="#NAME?"/>
    <x v="0"/>
    <e v="#NAME?"/>
    <m/>
    <m/>
    <m/>
    <m/>
    <m/>
    <m/>
  </r>
  <r>
    <s v="O001850"/>
    <s v="ANDERSSON SALINAS"/>
    <x v="5"/>
    <s v="Net"/>
    <s v="BBVA"/>
    <x v="0"/>
    <s v="SDATOOL-39834 $ Recaudo en Línea Secretaría de Hacienda Distrital - Fase II: Solución paramétrica de recaudos para la inclusión de 7 formularios tributarios en Canales electrónicos Web y Corresponsal Bancario."/>
    <n v="0.5"/>
    <s v="Desarrollador"/>
    <s v="Cells"/>
    <m/>
    <e v="#NAME?"/>
    <x v="0"/>
    <e v="#NAME?"/>
    <m/>
    <m/>
    <m/>
    <m/>
    <m/>
    <m/>
  </r>
  <r>
    <s v="O001850"/>
    <s v="ANDERSSON SALINAS"/>
    <x v="5"/>
    <s v="Net"/>
    <s v="BBVA"/>
    <x v="0"/>
    <s v="NOSDA $ BAU (Mantenimiento y peq. evolutivos)"/>
    <n v="0.5"/>
    <s v="Desarrollador"/>
    <s v="Cells"/>
    <m/>
    <e v="#NAME?"/>
    <x v="0"/>
    <e v="#NAME?"/>
    <m/>
    <m/>
    <m/>
    <m/>
    <m/>
    <m/>
  </r>
  <r>
    <s v="CE67484"/>
    <s v="JUAN CARLOS SALDAÑA"/>
    <x v="1"/>
    <s v="Global Market &amp; Comex"/>
    <s v="Accenture"/>
    <x v="0"/>
    <s v="SDATOOL-38735 $ Dynamic Pricing"/>
    <n v="0.25"/>
    <s v="Desarrollador"/>
    <s v="Distribuido"/>
    <m/>
    <e v="#NAME?"/>
    <x v="0"/>
    <e v="#NAME?"/>
    <m/>
    <m/>
    <m/>
    <m/>
    <m/>
    <m/>
  </r>
  <r>
    <s v="CE61162"/>
    <s v="JOSE PERFECTO"/>
    <x v="1"/>
    <s v="Global Market &amp; Comex"/>
    <s v="Accenture"/>
    <x v="0"/>
    <s v="SDATOOL-38735 $ Dynamic Pricing"/>
    <n v="0.3"/>
    <s v="Desarrollador"/>
    <s v="Distribuido"/>
    <m/>
    <e v="#NAME?"/>
    <x v="0"/>
    <e v="#NAME?"/>
    <m/>
    <m/>
    <m/>
    <m/>
    <m/>
    <m/>
  </r>
  <r>
    <s v="T003696"/>
    <s v="LUIS LOZANO"/>
    <x v="1"/>
    <s v="Global Market &amp; Comex"/>
    <s v="Accenture"/>
    <x v="0"/>
    <s v="SDATOOL-38735 $ Dynamic Pricing"/>
    <n v="0.2"/>
    <s v="Desarrollador"/>
    <s v="Distribuido"/>
    <m/>
    <e v="#NAME?"/>
    <x v="0"/>
    <e v="#NAME?"/>
    <m/>
    <m/>
    <m/>
    <m/>
    <m/>
    <m/>
  </r>
  <r>
    <s v="CE42052"/>
    <s v="SAMUEL ANDRES JIMENEZ RODRIGUEZ"/>
    <x v="1"/>
    <s v="Global Market &amp; Comex"/>
    <s v="GGI / CMC"/>
    <x v="0"/>
    <s v="SDATOOL-38735 $ Dynamic Pricing"/>
    <n v="0.1"/>
    <s v="Desarrollador"/>
    <s v="Distribuido"/>
    <m/>
    <e v="#NAME?"/>
    <x v="0"/>
    <e v="#NAME?"/>
    <m/>
    <m/>
    <m/>
    <m/>
    <m/>
    <m/>
  </r>
  <r>
    <s v="T003497"/>
    <s v="ADRIAN DUCUARA BENITEZ"/>
    <x v="3"/>
    <s v="Loans"/>
    <s v="Accenture"/>
    <x v="0"/>
    <s v="SDATOOL-34157 $ Evolutivo Parthnership - Crédito en punto de venta de Aliados"/>
    <n v="1"/>
    <s v="Desarrollador"/>
    <s v="Cells"/>
    <m/>
    <e v="#NAME?"/>
    <x v="0"/>
    <e v="#NAME?"/>
    <m/>
    <m/>
    <m/>
    <m/>
    <m/>
    <n v="1"/>
  </r>
  <r>
    <s v="T000410"/>
    <s v="ANDRES ALEJANDRO FAJARDO TORRES"/>
    <x v="3"/>
    <s v="Loans"/>
    <s v="Globant"/>
    <x v="0"/>
    <s v="SDATOOL-36548 $ Optimización consumo web - Plan ascenso Open Market"/>
    <n v="0.7"/>
    <s v="Desarrollador"/>
    <s v="Cells"/>
    <m/>
    <e v="#NAME?"/>
    <x v="0"/>
    <e v="#NAME?"/>
    <m/>
    <m/>
    <m/>
    <m/>
    <m/>
    <n v="1"/>
  </r>
  <r>
    <s v="T000410"/>
    <s v="ANDRES ALEJANDRO FAJARDO TORRES"/>
    <x v="3"/>
    <s v="Loans"/>
    <s v="Globant"/>
    <x v="0"/>
    <s v="SDATOOL-39272 $ GRM-Col-Cambio servicio APL (Aportes en línea)"/>
    <n v="0.3"/>
    <s v="Desarrollador"/>
    <s v="Cells"/>
    <m/>
    <e v="#NAME?"/>
    <x v="0"/>
    <e v="#NAME?"/>
    <m/>
    <m/>
    <m/>
    <m/>
    <m/>
    <n v="0"/>
  </r>
  <r>
    <s v="CE67848"/>
    <s v="ANDRES ALFONSO VARELO SILGADO"/>
    <x v="3"/>
    <s v="Loans"/>
    <s v="Accenture"/>
    <x v="0"/>
    <s v="SDATOOL-34887 $ Vivienda Digital Open Market"/>
    <n v="0.1"/>
    <s v="Desarrollador"/>
    <s v="APX"/>
    <m/>
    <e v="#NAME?"/>
    <x v="0"/>
    <e v="#NAME?"/>
    <m/>
    <m/>
    <m/>
    <m/>
    <m/>
    <n v="1"/>
  </r>
  <r>
    <s v="CE67848"/>
    <s v="ANDRES ALFONSO VARELO SILGADO"/>
    <x v="3"/>
    <s v="Loans"/>
    <s v="Accenture"/>
    <x v="0"/>
    <s v="SDATOOL-39836 $ Vivienda digital fase III"/>
    <n v="0.7"/>
    <s v="Desarrollador"/>
    <s v="APX"/>
    <m/>
    <e v="#NAME?"/>
    <x v="0"/>
    <e v="#NAME?"/>
    <m/>
    <m/>
    <m/>
    <m/>
    <m/>
    <n v="0"/>
  </r>
  <r>
    <s v="CE67848"/>
    <s v="ANDRES ALFONSO VARELO SILGADO"/>
    <x v="3"/>
    <s v="Loans"/>
    <s v="Accenture"/>
    <x v="0"/>
    <s v="SDATOOL-39272 $ GRM-Col-Cambio servicio APL (Aportes en línea)"/>
    <n v="0.2"/>
    <s v="Desarrollador"/>
    <s v="APX"/>
    <m/>
    <e v="#NAME?"/>
    <x v="0"/>
    <e v="#NAME?"/>
    <m/>
    <m/>
    <m/>
    <m/>
    <m/>
    <n v="0"/>
  </r>
  <r>
    <s v="T004062"/>
    <s v="ANDRES FELIPE FANDINO QUECANA"/>
    <x v="3"/>
    <s v="Loans"/>
    <s v="Choucair"/>
    <x v="0"/>
    <s v="SDATOOL-41752 $ Consumo Openmk con Biometría Obligatoria por Nácar para desembolsar"/>
    <n v="1"/>
    <s v="QA"/>
    <s v="Distribuido"/>
    <m/>
    <e v="#NAME?"/>
    <x v="0"/>
    <e v="#NAME?"/>
    <m/>
    <m/>
    <m/>
    <m/>
    <m/>
    <n v="1"/>
  </r>
  <r>
    <s v="T008459"/>
    <s v="ANDRÉS FELIPE FORERO"/>
    <x v="3"/>
    <s v="Loans"/>
    <s v="Neoris"/>
    <x v="0"/>
    <s v="NOSDA $ BAU (Mantenimiento y peq. evolutivos)"/>
    <n v="1"/>
    <s v="Desarrollador"/>
    <s v="Mainframe"/>
    <m/>
    <e v="#NAME?"/>
    <x v="0"/>
    <e v="#NAME?"/>
    <m/>
    <m/>
    <m/>
    <m/>
    <m/>
    <n v="1"/>
  </r>
  <r>
    <s v="CE70621"/>
    <s v="BRANDON AVILA"/>
    <x v="3"/>
    <s v="Loans"/>
    <s v="Inetum"/>
    <x v="0"/>
    <s v="NOSDA $ BAU (Mantenimiento y peq. evolutivos)"/>
    <n v="1"/>
    <s v="QA"/>
    <s v="Mainframe"/>
    <m/>
    <e v="#NAME?"/>
    <x v="0"/>
    <e v="#NAME?"/>
    <m/>
    <m/>
    <m/>
    <m/>
    <m/>
    <n v="1"/>
  </r>
  <r>
    <s v="CE69709"/>
    <s v="BRAYAN CAMILO VALCARCEL RIANO"/>
    <x v="3"/>
    <s v="Loans"/>
    <s v="Choucair"/>
    <x v="0"/>
    <s v="SDATOOL-36548 $ Optimización consumo web - Plan ascenso Open Market"/>
    <n v="0.5"/>
    <s v="QA"/>
    <s v="Distribuido"/>
    <m/>
    <e v="#NAME?"/>
    <x v="0"/>
    <e v="#NAME?"/>
    <m/>
    <m/>
    <m/>
    <m/>
    <m/>
    <n v="1"/>
  </r>
  <r>
    <s v="CE69709"/>
    <s v="BRAYAN CAMILO VALCARCEL RIANO"/>
    <x v="3"/>
    <s v="Loans"/>
    <s v="Choucair"/>
    <x v="0"/>
    <s v="SDATOOL-39272 $ GRM-Col-Cambio servicio APL (Aportes en línea)"/>
    <n v="0.5"/>
    <s v="QA"/>
    <s v="Distribuido"/>
    <m/>
    <e v="#NAME?"/>
    <x v="0"/>
    <e v="#NAME?"/>
    <m/>
    <m/>
    <m/>
    <m/>
    <m/>
    <n v="0"/>
  </r>
  <r>
    <s v="T000159"/>
    <s v="BRYAN SMITH PATIÑO"/>
    <x v="3"/>
    <s v="Loans"/>
    <s v="Choucair"/>
    <x v="0"/>
    <s v="SDATOOL-35463 $ Gestión de Ingresos - Períodos de Gracia Libranzas"/>
    <n v="1"/>
    <s v="QA"/>
    <s v="Mainframe"/>
    <m/>
    <e v="#NAME?"/>
    <x v="0"/>
    <e v="#NAME?"/>
    <m/>
    <m/>
    <m/>
    <m/>
    <m/>
    <n v="1"/>
  </r>
  <r>
    <s v="P009920"/>
    <s v="CAMILO ABELLA"/>
    <x v="3"/>
    <s v="Loans"/>
    <s v="Accenture"/>
    <x v="0"/>
    <s v="SDATOOL-34887 $ Vivienda Digital Open Market"/>
    <n v="1"/>
    <s v="Desarrollador"/>
    <s v="Cells"/>
    <m/>
    <e v="#NAME?"/>
    <x v="0"/>
    <e v="#NAME?"/>
    <m/>
    <m/>
    <m/>
    <m/>
    <m/>
    <n v="1"/>
  </r>
  <r>
    <s v="O001869"/>
    <s v="CAMILO CABRA"/>
    <x v="3"/>
    <s v="Loans"/>
    <s v="BBVA"/>
    <x v="0"/>
    <s v="SDATOOL-35463 $ Gestión de Ingresos - Períodos de Gracia Libranzas"/>
    <n v="0.1"/>
    <s v="Tech Manager/Líder"/>
    <s v="Mainframe"/>
    <m/>
    <e v="#NAME?"/>
    <x v="0"/>
    <e v="#NAME?"/>
    <m/>
    <m/>
    <m/>
    <m/>
    <m/>
    <n v="1"/>
  </r>
  <r>
    <s v="O001869"/>
    <s v="CAMILO CABRA"/>
    <x v="3"/>
    <s v="Loans"/>
    <s v="BBVA"/>
    <x v="0"/>
    <s v="SDATOOL-33847 $ Resolución 0042 DIAN Documento Soporte"/>
    <n v="0.05"/>
    <s v="Tech Manager/Líder"/>
    <s v="Otras Tec."/>
    <m/>
    <e v="#NAME?"/>
    <x v="0"/>
    <e v="#NAME?"/>
    <m/>
    <m/>
    <m/>
    <m/>
    <m/>
    <n v="0"/>
  </r>
  <r>
    <s v="O001869"/>
    <s v="CAMILO CABRA"/>
    <x v="3"/>
    <s v="Loans"/>
    <s v="BBVA"/>
    <x v="0"/>
    <s v="SDATOOL-33846 $ SREP Data Quality- BCBS239 - Colombia"/>
    <n v="0.05"/>
    <s v="Tech Manager/Líder"/>
    <s v="Otras Tec."/>
    <m/>
    <e v="#NAME?"/>
    <x v="0"/>
    <e v="#NAME?"/>
    <m/>
    <m/>
    <m/>
    <m/>
    <m/>
    <n v="0"/>
  </r>
  <r>
    <s v="O001869"/>
    <s v="CAMILO CABRA"/>
    <x v="3"/>
    <s v="Loans"/>
    <s v="BBVA"/>
    <x v="0"/>
    <s v="SDATOOL-34157 $ Evolutivo Parthnership - Crédito en punto de venta de Aliados"/>
    <n v="0.15"/>
    <s v="Tech Manager/Líder"/>
    <s v="Otras Tec."/>
    <m/>
    <e v="#NAME?"/>
    <x v="0"/>
    <e v="#NAME?"/>
    <m/>
    <m/>
    <m/>
    <m/>
    <m/>
    <n v="0"/>
  </r>
  <r>
    <s v="O001869"/>
    <s v="CAMILO CABRA"/>
    <x v="3"/>
    <s v="Loans"/>
    <s v="BBVA"/>
    <x v="0"/>
    <s v="SDATOOL-40877 $ Centralización Garantías Especiales"/>
    <n v="0.05"/>
    <s v="Tech Manager/Líder"/>
    <s v="Otras Tec."/>
    <m/>
    <e v="#NAME?"/>
    <x v="0"/>
    <e v="#NAME?"/>
    <m/>
    <m/>
    <m/>
    <m/>
    <m/>
    <n v="0"/>
  </r>
  <r>
    <s v="O001869"/>
    <s v="CAMILO CABRA"/>
    <x v="3"/>
    <s v="Loans"/>
    <s v="BBVA"/>
    <x v="0"/>
    <s v="SDATOOL-40062 $ Implementación FGA en flujos de contratación digital"/>
    <n v="0.2"/>
    <s v="Tech Manager/Líder"/>
    <s v="Otras Tec."/>
    <m/>
    <e v="#NAME?"/>
    <x v="0"/>
    <e v="#NAME?"/>
    <m/>
    <m/>
    <m/>
    <m/>
    <m/>
    <n v="0"/>
  </r>
  <r>
    <s v="O001869"/>
    <s v="CAMILO CABRA"/>
    <x v="3"/>
    <s v="Loans"/>
    <s v="BBVA"/>
    <x v="0"/>
    <s v="SDATOOL-40466 $ Garantía FAG"/>
    <n v="0.15"/>
    <s v="Tech Manager/Líder"/>
    <s v="Otras Tec."/>
    <m/>
    <e v="#NAME?"/>
    <x v="0"/>
    <e v="#NAME?"/>
    <m/>
    <m/>
    <m/>
    <m/>
    <m/>
    <n v="0"/>
  </r>
  <r>
    <s v="O001869"/>
    <s v="CAMILO CABRA"/>
    <x v="3"/>
    <s v="Loans"/>
    <s v="BBVA"/>
    <x v="0"/>
    <s v="SDATOOL-41729 $ SEGUNDA LIBRANZA - APLICACION PAGOS Y VoBo PAGADOR"/>
    <n v="0.1"/>
    <s v="Tech Manager/Líder"/>
    <s v="Otras Tec."/>
    <m/>
    <e v="#NAME?"/>
    <x v="0"/>
    <e v="#NAME?"/>
    <m/>
    <m/>
    <m/>
    <m/>
    <m/>
    <n v="0"/>
  </r>
  <r>
    <s v="O001869"/>
    <s v="CAMILO CABRA"/>
    <x v="3"/>
    <s v="Loans"/>
    <s v="BBVA"/>
    <x v="0"/>
    <s v="SDATOOL-40225 $ Resolución 0124 Dian - 2021 - Ajustes para Reporte de Información Exógena año gravable 2022 - Ciclo 1"/>
    <n v="0.05"/>
    <s v="Tech Manager/Líder"/>
    <s v="Otras Tec."/>
    <m/>
    <e v="#NAME?"/>
    <x v="0"/>
    <e v="#NAME?"/>
    <m/>
    <m/>
    <m/>
    <m/>
    <m/>
    <n v="0"/>
  </r>
  <r>
    <s v="O001869"/>
    <s v="CAMILO CABRA"/>
    <x v="3"/>
    <s v="Loans"/>
    <s v="BBVA"/>
    <x v="0"/>
    <s v="NOSDA $ BAU (Mantenimiento y peq. evolutivos)"/>
    <n v="0.1"/>
    <s v="Tech Manager/Líder"/>
    <s v="Otras Tec."/>
    <m/>
    <e v="#NAME?"/>
    <x v="0"/>
    <e v="#NAME?"/>
    <m/>
    <m/>
    <m/>
    <m/>
    <m/>
    <n v="0"/>
  </r>
  <r>
    <s v="CE30638"/>
    <s v="CESAR AUGUSTO MOLANO RUEDA"/>
    <x v="3"/>
    <s v="Loans"/>
    <s v="Inetum"/>
    <x v="0"/>
    <s v="SDATOOL-36548 $ Optimización consumo web - Plan ascenso Open Market"/>
    <n v="1"/>
    <s v="Desarrollador"/>
    <s v="Mainframe"/>
    <m/>
    <e v="#NAME?"/>
    <x v="0"/>
    <e v="#NAME?"/>
    <m/>
    <m/>
    <m/>
    <m/>
    <m/>
    <n v="1"/>
  </r>
  <r>
    <s v="C805965"/>
    <s v="CRISTIAN ESNEIDER VELASQUEZ"/>
    <x v="3"/>
    <s v="Loans"/>
    <s v="BBVA"/>
    <x v="0"/>
    <s v="SDATOOL-34157 $ Evolutivo Parthnership - Crédito en punto de venta de Aliados"/>
    <n v="0.1"/>
    <s v="Desarrollador"/>
    <s v="APX"/>
    <m/>
    <e v="#NAME?"/>
    <x v="0"/>
    <e v="#NAME?"/>
    <m/>
    <m/>
    <m/>
    <m/>
    <m/>
    <n v="1"/>
  </r>
  <r>
    <s v="C805965"/>
    <s v="CRISTIAN ESNEIDER VELASQUEZ"/>
    <x v="3"/>
    <s v="Loans"/>
    <s v="BBVA"/>
    <x v="0"/>
    <s v="SDATOOL-34157 $ Evolutivo Parthnership - Crédito en punto de venta de Aliados"/>
    <n v="0.1"/>
    <s v="Desarrollador"/>
    <s v="APX"/>
    <m/>
    <e v="#NAME?"/>
    <x v="0"/>
    <e v="#NAME?"/>
    <m/>
    <m/>
    <m/>
    <m/>
    <m/>
    <n v="0"/>
  </r>
  <r>
    <s v="C805965"/>
    <s v="CRISTIAN ESNEIDER VELASQUEZ"/>
    <x v="3"/>
    <s v="Loans"/>
    <s v="BBVA"/>
    <x v="0"/>
    <s v="SDATOOL-40062 $ Implementación FGA en flujos de contratación digital"/>
    <n v="0.8"/>
    <s v="Desarrollador"/>
    <s v="APX"/>
    <m/>
    <e v="#NAME?"/>
    <x v="0"/>
    <e v="#NAME?"/>
    <m/>
    <m/>
    <m/>
    <m/>
    <m/>
    <n v="0"/>
  </r>
  <r>
    <s v="C342543"/>
    <s v="CRISTIAN FRANCISCO FERNANDEZ"/>
    <x v="3"/>
    <s v="Loans"/>
    <s v="BBVA"/>
    <x v="0"/>
    <s v="SDATOOL-33847 $ Resolución 0042 DIAN Documento Soporte"/>
    <n v="0.1"/>
    <s v="Desarrollador"/>
    <s v="Mainframe"/>
    <m/>
    <e v="#NAME?"/>
    <x v="0"/>
    <e v="#NAME?"/>
    <m/>
    <m/>
    <m/>
    <m/>
    <m/>
    <n v="1"/>
  </r>
  <r>
    <s v="C342543"/>
    <s v="CRISTIAN FRANCISCO FERNANDEZ"/>
    <x v="3"/>
    <s v="Loans"/>
    <s v="BBVA"/>
    <x v="0"/>
    <s v="SDATOOL-33846 $ SREP Data Quality- BCBS239 - Colombia"/>
    <n v="0.1"/>
    <s v="Desarrollador"/>
    <s v="Mainframe"/>
    <m/>
    <e v="#NAME?"/>
    <x v="0"/>
    <e v="#NAME?"/>
    <m/>
    <m/>
    <m/>
    <m/>
    <m/>
    <n v="0"/>
  </r>
  <r>
    <s v="C342543"/>
    <s v="CRISTIAN FRANCISCO FERNANDEZ"/>
    <x v="3"/>
    <s v="Loans"/>
    <s v="BBVA"/>
    <x v="0"/>
    <s v="SDATOOL-41729 $ SEGUNDA LIBRANZA - APLICACION PAGOS Y VoBo PAGADOR"/>
    <n v="0.1"/>
    <s v="Desarrollador"/>
    <s v="Mainframe"/>
    <m/>
    <e v="#NAME?"/>
    <x v="0"/>
    <e v="#NAME?"/>
    <m/>
    <m/>
    <m/>
    <m/>
    <m/>
    <n v="0"/>
  </r>
  <r>
    <s v="C342543"/>
    <s v="CRISTIAN FRANCISCO FERNANDEZ"/>
    <x v="3"/>
    <s v="Loans"/>
    <s v="BBVA"/>
    <x v="0"/>
    <s v="SDATOOL-36548 $ Optimización consumo web - Plan ascenso Open Market"/>
    <n v="0.1"/>
    <s v="Desarrollador"/>
    <s v="Mainframe"/>
    <m/>
    <e v="#NAME?"/>
    <x v="0"/>
    <e v="#NAME?"/>
    <m/>
    <m/>
    <m/>
    <m/>
    <m/>
    <n v="0"/>
  </r>
  <r>
    <s v="C342543"/>
    <s v="CRISTIAN FRANCISCO FERNANDEZ"/>
    <x v="3"/>
    <s v="Loans"/>
    <s v="BBVA"/>
    <x v="0"/>
    <s v="SDATOOL-40466 $ Garantía FAG"/>
    <n v="0.1"/>
    <s v="Desarrollador"/>
    <s v="Mainframe"/>
    <m/>
    <e v="#NAME?"/>
    <x v="0"/>
    <e v="#NAME?"/>
    <m/>
    <m/>
    <m/>
    <m/>
    <m/>
    <n v="0"/>
  </r>
  <r>
    <s v="C342543"/>
    <s v="CRISTIAN FRANCISCO FERNANDEZ"/>
    <x v="3"/>
    <s v="Loans"/>
    <s v="BBVA"/>
    <x v="0"/>
    <s v="SDATOOL-42155 $ Ajustes en proceso de Titularización y recompra de cartera titularizada"/>
    <n v="0.1"/>
    <s v="Desarrollador"/>
    <s v="Mainframe"/>
    <m/>
    <e v="#NAME?"/>
    <x v="0"/>
    <e v="#NAME?"/>
    <m/>
    <m/>
    <m/>
    <m/>
    <m/>
    <n v="0"/>
  </r>
  <r>
    <s v="C342543"/>
    <s v="CRISTIAN FRANCISCO FERNANDEZ"/>
    <x v="3"/>
    <s v="Loans"/>
    <s v="BBVA"/>
    <x v="0"/>
    <s v="NOSDA $ BAU (Mantenimiento y peq. evolutivos)"/>
    <n v="0.4"/>
    <s v="Desarrollador"/>
    <s v="Mainframe"/>
    <m/>
    <e v="#NAME?"/>
    <x v="0"/>
    <e v="#NAME?"/>
    <m/>
    <m/>
    <m/>
    <m/>
    <m/>
    <n v="0"/>
  </r>
  <r>
    <s v="CE66714"/>
    <s v="CRISTIAN STEVEN ABRIL ALDANA"/>
    <x v="3"/>
    <s v="Loans"/>
    <s v="Novatec"/>
    <x v="0"/>
    <s v="SDATOOL-34887 $ Vivienda Digital Open Market"/>
    <n v="0.35"/>
    <s v="Desarrollador"/>
    <s v="Cells"/>
    <m/>
    <e v="#NAME?"/>
    <x v="0"/>
    <e v="#NAME?"/>
    <m/>
    <m/>
    <m/>
    <m/>
    <m/>
    <n v="1"/>
  </r>
  <r>
    <s v="CE66714"/>
    <s v="CRISTIAN STEVEN ABRIL ALDANA"/>
    <x v="3"/>
    <s v="Loans"/>
    <s v="Novatec"/>
    <x v="0"/>
    <s v="SDATOOL-39836 $ Vivienda digital fase III"/>
    <n v="0.3"/>
    <s v="Desarrollador"/>
    <s v="Cells"/>
    <m/>
    <e v="#NAME?"/>
    <x v="0"/>
    <e v="#NAME?"/>
    <m/>
    <m/>
    <m/>
    <m/>
    <m/>
    <n v="0"/>
  </r>
  <r>
    <s v="CE66714"/>
    <s v="CRISTIAN STEVEN ABRIL ALDANA"/>
    <x v="3"/>
    <s v="Loans"/>
    <s v="Novatec"/>
    <x v="0"/>
    <s v="SDATOOL-39272 $ GRM-Col-Cambio servicio APL (Aportes en línea)"/>
    <n v="0.35"/>
    <s v="Desarrollador"/>
    <s v="Cells"/>
    <m/>
    <e v="#NAME?"/>
    <x v="0"/>
    <e v="#NAME?"/>
    <m/>
    <m/>
    <m/>
    <m/>
    <m/>
    <n v="0"/>
  </r>
  <r>
    <s v="CE67847"/>
    <s v="CRISTIAN STIVEN SÀNCHEZ RUBIO"/>
    <x v="3"/>
    <s v="Loans"/>
    <s v="Inetum"/>
    <x v="0"/>
    <s v="SDATOOL-39836 $ Vivienda digital fase III"/>
    <n v="1"/>
    <s v="Desarrollador"/>
    <s v="ASO"/>
    <m/>
    <e v="#NAME?"/>
    <x v="0"/>
    <e v="#NAME?"/>
    <m/>
    <m/>
    <m/>
    <m/>
    <m/>
    <n v="1"/>
  </r>
  <r>
    <s v="P002414"/>
    <s v="DANIEL BERNAL"/>
    <x v="3"/>
    <s v="Loans"/>
    <s v="Novatec"/>
    <x v="0"/>
    <s v="SDATOOL-34887 $ Vivienda Digital Open Market"/>
    <n v="1"/>
    <s v="Desarrollador"/>
    <s v="Cells"/>
    <m/>
    <e v="#NAME?"/>
    <x v="0"/>
    <e v="#NAME?"/>
    <m/>
    <m/>
    <m/>
    <m/>
    <m/>
    <n v="1"/>
  </r>
  <r>
    <s v="CE65598"/>
    <s v="DAVID GERMAN TORRES MOLANO"/>
    <x v="3"/>
    <s v="Loans"/>
    <s v="KRYPTO"/>
    <x v="0"/>
    <s v="SDATOOL-34887 $ Vivienda Digital Open Market"/>
    <n v="0.3"/>
    <s v="QA"/>
    <s v="Distribuido"/>
    <m/>
    <e v="#NAME?"/>
    <x v="0"/>
    <e v="#NAME?"/>
    <m/>
    <m/>
    <m/>
    <m/>
    <m/>
    <n v="1"/>
  </r>
  <r>
    <s v="CE65598"/>
    <s v="DAVID GERMAN TORRES MOLANO"/>
    <x v="3"/>
    <s v="Loans"/>
    <s v="KRYPTO"/>
    <x v="0"/>
    <s v="SDATOOL-39836 $ Vivienda digital fase III"/>
    <n v="0.3"/>
    <s v="QA"/>
    <s v="Distribuido"/>
    <m/>
    <e v="#NAME?"/>
    <x v="0"/>
    <e v="#NAME?"/>
    <m/>
    <m/>
    <m/>
    <m/>
    <m/>
    <n v="0"/>
  </r>
  <r>
    <s v="CE65598"/>
    <s v="DAVID GERMAN TORRES MOLANO"/>
    <x v="3"/>
    <s v="Loans"/>
    <s v="KRYPTO"/>
    <x v="0"/>
    <s v="SDATOOL-39272 $ GRM-Col-Cambio servicio APL (Aportes en línea)"/>
    <n v="0.4"/>
    <s v="QA"/>
    <s v="Distribuido"/>
    <m/>
    <e v="#NAME?"/>
    <x v="0"/>
    <e v="#NAME?"/>
    <m/>
    <m/>
    <m/>
    <m/>
    <m/>
    <n v="0"/>
  </r>
  <r>
    <s v="C342598"/>
    <s v="DEISON COLMENARES"/>
    <x v="3"/>
    <s v="Loans"/>
    <s v="BBVA"/>
    <x v="0"/>
    <s v="SDATOOL-34887 $ Vivienda Digital Open Market"/>
    <n v="0.1"/>
    <s v="Desarrollador"/>
    <s v="Mainframe"/>
    <m/>
    <e v="#NAME?"/>
    <x v="0"/>
    <e v="#NAME?"/>
    <m/>
    <m/>
    <m/>
    <m/>
    <m/>
    <n v="1"/>
  </r>
  <r>
    <s v="C342598"/>
    <s v="DEISON COLMENARES"/>
    <x v="3"/>
    <s v="Loans"/>
    <s v="BBVA"/>
    <x v="0"/>
    <s v="SDATOOL-39836 $ Vivienda digital fase III"/>
    <n v="0.15"/>
    <s v="Desarrollador"/>
    <s v="Mainframe"/>
    <m/>
    <e v="#NAME?"/>
    <x v="0"/>
    <e v="#NAME?"/>
    <m/>
    <m/>
    <m/>
    <m/>
    <m/>
    <n v="0"/>
  </r>
  <r>
    <s v="C342598"/>
    <s v="DEISON COLMENARES"/>
    <x v="3"/>
    <s v="Loans"/>
    <s v="BBVA"/>
    <x v="0"/>
    <s v="SDATOOL-39272 $ GRM-Col-Cambio servicio APL (Aportes en línea)"/>
    <n v="0.2"/>
    <s v="Desarrollador"/>
    <s v="Mainframe"/>
    <m/>
    <e v="#NAME?"/>
    <x v="0"/>
    <e v="#NAME?"/>
    <m/>
    <m/>
    <m/>
    <m/>
    <m/>
    <n v="0"/>
  </r>
  <r>
    <s v="C342598"/>
    <s v="DEISON COLMENARES"/>
    <x v="3"/>
    <s v="Loans"/>
    <s v="BBVA"/>
    <x v="0"/>
    <s v="SDATOOL-37136 $ Conexión simulador vía API Vehículo digital"/>
    <n v="0.2"/>
    <s v="Desarrollador"/>
    <s v="Mainframe"/>
    <m/>
    <e v="#NAME?"/>
    <x v="0"/>
    <e v="#NAME?"/>
    <m/>
    <m/>
    <m/>
    <m/>
    <m/>
    <n v="0"/>
  </r>
  <r>
    <s v="C342598"/>
    <s v="DEISON COLMENARES"/>
    <x v="3"/>
    <s v="Loans"/>
    <s v="BBVA"/>
    <x v="0"/>
    <s v="SDATOOL-41752 $ Consumo Openmk con Biometría Obligatoria por Nácar para desembolsar"/>
    <n v="0.15"/>
    <s v="Desarrollador"/>
    <s v="Mainframe"/>
    <m/>
    <e v="#NAME?"/>
    <x v="0"/>
    <e v="#NAME?"/>
    <m/>
    <m/>
    <m/>
    <m/>
    <m/>
    <n v="0"/>
  </r>
  <r>
    <s v="C342598"/>
    <s v="DEISON COLMENARES"/>
    <x v="3"/>
    <s v="Loans"/>
    <s v="BBVA"/>
    <x v="0"/>
    <s v="SDATOOL-36548 $ Optimización consumo web - Plan ascenso Open Market"/>
    <n v="0.2"/>
    <s v="Desarrollador"/>
    <s v="Mainframe"/>
    <m/>
    <e v="#NAME?"/>
    <x v="0"/>
    <e v="#NAME?"/>
    <m/>
    <m/>
    <m/>
    <m/>
    <m/>
    <n v="0"/>
  </r>
  <r>
    <s v="CE68302"/>
    <s v="DIANA GRANADA"/>
    <x v="3"/>
    <s v="Loans"/>
    <s v="Choucair"/>
    <x v="0"/>
    <s v="SDATOOL-34157 $ Evolutivo Parthnership - Crédito en punto de venta de Aliados"/>
    <n v="1"/>
    <s v="QA"/>
    <s v="Distribuido"/>
    <m/>
    <e v="#NAME?"/>
    <x v="0"/>
    <e v="#NAME?"/>
    <m/>
    <m/>
    <m/>
    <m/>
    <m/>
    <n v="1"/>
  </r>
  <r>
    <s v="C811057"/>
    <s v="DIEGO CALLEJAS"/>
    <x v="3"/>
    <s v="Loans"/>
    <s v="BBVA"/>
    <x v="0"/>
    <s v="NOSDA $ BAU (Mantenimiento y peq. evolutivos)"/>
    <n v="1"/>
    <s v="Desarrollador"/>
    <s v="Mainframe"/>
    <m/>
    <e v="#NAME?"/>
    <x v="0"/>
    <e v="#NAME?"/>
    <m/>
    <m/>
    <m/>
    <m/>
    <m/>
    <n v="1"/>
  </r>
  <r>
    <s v="CE69094"/>
    <s v="DUVAN ALEJANDRO BERNATE PIAMBA"/>
    <x v="3"/>
    <s v="Loans"/>
    <s v="KRYPTO"/>
    <x v="0"/>
    <s v="SDATOOL-34887 $ Vivienda Digital Open Market"/>
    <n v="0.5"/>
    <s v="QA"/>
    <s v="Distribuido"/>
    <m/>
    <e v="#NAME?"/>
    <x v="0"/>
    <e v="#NAME?"/>
    <m/>
    <m/>
    <m/>
    <m/>
    <m/>
    <n v="1"/>
  </r>
  <r>
    <s v="CE69094"/>
    <s v="DUVAN ALEJANDRO BERNATE PIAMBA"/>
    <x v="3"/>
    <s v="Loans"/>
    <s v="KRYPTO"/>
    <x v="0"/>
    <s v="SDATOOL-39836 $ Vivienda digital fase III"/>
    <n v="0.5"/>
    <s v="QA"/>
    <s v="Distribuido"/>
    <m/>
    <e v="#NAME?"/>
    <x v="0"/>
    <e v="#NAME?"/>
    <m/>
    <m/>
    <m/>
    <m/>
    <m/>
    <n v="0"/>
  </r>
  <r>
    <s v="C796415"/>
    <s v="EDGAR REY"/>
    <x v="3"/>
    <s v="Loans"/>
    <s v="BBVA"/>
    <x v="0"/>
    <s v="NOSDA $ BAU (Mantenimiento y peq. evolutivos)"/>
    <n v="1"/>
    <s v="Tech Manager/Líder"/>
    <s v="Mainframe"/>
    <m/>
    <e v="#NAME?"/>
    <x v="0"/>
    <e v="#NAME?"/>
    <m/>
    <m/>
    <m/>
    <m/>
    <m/>
    <n v="1"/>
  </r>
  <r>
    <s v="O000448"/>
    <s v="EDUAR BOLAÑOS"/>
    <x v="3"/>
    <s v="Loans"/>
    <s v="BBVA"/>
    <x v="0"/>
    <s v="SDATOOL-39836 $ Vivienda digital fase III"/>
    <n v="0.5"/>
    <s v="Desarrollador"/>
    <s v="APX"/>
    <m/>
    <e v="#NAME?"/>
    <x v="0"/>
    <e v="#NAME?"/>
    <m/>
    <m/>
    <m/>
    <m/>
    <m/>
    <n v="1"/>
  </r>
  <r>
    <s v="O000448"/>
    <s v="EDUAR BOLAÑOS"/>
    <x v="3"/>
    <s v="Loans"/>
    <s v="BBVA"/>
    <x v="0"/>
    <s v="SDATOOL-34887 $ Vivienda Digital Open Market"/>
    <n v="0.2"/>
    <s v="Desarrollador"/>
    <s v="APX"/>
    <m/>
    <e v="#NAME?"/>
    <x v="0"/>
    <e v="#NAME?"/>
    <m/>
    <m/>
    <m/>
    <m/>
    <m/>
    <n v="0"/>
  </r>
  <r>
    <s v="O000448"/>
    <s v="EDUAR BOLAÑOS"/>
    <x v="3"/>
    <s v="Loans"/>
    <s v="BBVA"/>
    <x v="0"/>
    <s v="SDATOOL-39272 $ GRM-Col-Cambio servicio APL (Aportes en línea)"/>
    <n v="0.3"/>
    <s v="Desarrollador"/>
    <s v="APX"/>
    <m/>
    <e v="#NAME?"/>
    <x v="0"/>
    <e v="#NAME?"/>
    <m/>
    <m/>
    <m/>
    <m/>
    <m/>
    <n v="0"/>
  </r>
  <r>
    <s v="C805991"/>
    <s v="FABIANI LOZANO"/>
    <x v="3"/>
    <s v="Loans"/>
    <s v="BBVA"/>
    <x v="0"/>
    <s v="SDATOOL-36548 $ Optimización consumo web - Plan ascenso Open Market"/>
    <n v="0.2"/>
    <s v="Desarrollador"/>
    <s v="ASO"/>
    <m/>
    <e v="#NAME?"/>
    <x v="0"/>
    <e v="#NAME?"/>
    <m/>
    <m/>
    <m/>
    <m/>
    <m/>
    <n v="1"/>
  </r>
  <r>
    <s v="C805991"/>
    <s v="FABIANI LOZANO"/>
    <x v="3"/>
    <s v="Loans"/>
    <s v="BBVA"/>
    <x v="0"/>
    <s v="SDATOOL-39272 $ GRM-Col-Cambio servicio APL (Aportes en línea)"/>
    <n v="0.3"/>
    <s v="Desarrollador"/>
    <s v="ASO"/>
    <m/>
    <e v="#NAME?"/>
    <x v="0"/>
    <e v="#NAME?"/>
    <m/>
    <m/>
    <m/>
    <m/>
    <m/>
    <n v="0"/>
  </r>
  <r>
    <s v="C805991"/>
    <s v="FABIANI LOZANO"/>
    <x v="3"/>
    <s v="Loans"/>
    <s v="BBVA"/>
    <x v="0"/>
    <s v="SDATOOL-36548 $ Optimización consumo web - Plan ascenso Open Market"/>
    <n v="0.3"/>
    <s v="Desarrollador"/>
    <s v="ASO"/>
    <m/>
    <e v="#NAME?"/>
    <x v="0"/>
    <e v="#NAME?"/>
    <m/>
    <m/>
    <m/>
    <m/>
    <m/>
    <n v="0"/>
  </r>
  <r>
    <s v="C805991"/>
    <s v="FABIANI LOZANO"/>
    <x v="3"/>
    <s v="Loans"/>
    <s v="BBVA"/>
    <x v="0"/>
    <s v="NOSDA $ BAU (Mantenimiento y peq. evolutivos)"/>
    <n v="0.2"/>
    <s v="Desarrollador"/>
    <s v="ASO"/>
    <s v="Se esta revisando la mejora del Validate Products"/>
    <e v="#NAME?"/>
    <x v="0"/>
    <e v="#NAME?"/>
    <m/>
    <m/>
    <m/>
    <m/>
    <m/>
    <n v="0"/>
  </r>
  <r>
    <s v="O001038"/>
    <s v="FLOR ALICIA GALAN"/>
    <x v="3"/>
    <s v="Loans"/>
    <s v="BBVA"/>
    <x v="0"/>
    <s v="NOSDA $ BAU (Mantenimiento y peq. evolutivos)"/>
    <n v="1"/>
    <s v="Desarrollador"/>
    <s v="Mainframe"/>
    <m/>
    <e v="#NAME?"/>
    <x v="0"/>
    <e v="#NAME?"/>
    <m/>
    <m/>
    <m/>
    <m/>
    <m/>
    <n v="1"/>
  </r>
  <r>
    <s v="CE50152"/>
    <s v="FRANKLIN MEDINA"/>
    <x v="3"/>
    <s v="Loans"/>
    <s v="Inetum"/>
    <x v="0"/>
    <s v="NOSDA $ BAU (Mantenimiento y peq. evolutivos)"/>
    <n v="1"/>
    <s v="QA"/>
    <s v="Mainframe"/>
    <m/>
    <e v="#NAME?"/>
    <x v="0"/>
    <e v="#NAME?"/>
    <m/>
    <m/>
    <m/>
    <m/>
    <m/>
    <n v="1"/>
  </r>
  <r>
    <s v="CE60769"/>
    <s v="HECTOR FERNANDO JARAMILLO"/>
    <x v="3"/>
    <s v="Loans"/>
    <s v="Inetum"/>
    <x v="0"/>
    <s v="SDATOOL-39836 $ Vivienda digital fase III"/>
    <n v="1"/>
    <s v="Desarrollador"/>
    <s v="Mainframe"/>
    <m/>
    <e v="#NAME?"/>
    <x v="0"/>
    <e v="#NAME?"/>
    <m/>
    <m/>
    <m/>
    <m/>
    <m/>
    <n v="1"/>
  </r>
  <r>
    <s v="CE52097"/>
    <s v="IVAN DE JESÚS RAMOS OSORIO"/>
    <x v="3"/>
    <s v="Loans"/>
    <s v="Neoris"/>
    <x v="0"/>
    <s v="NOSDA $ BAU (Mantenimiento y peq. evolutivos)"/>
    <n v="1"/>
    <s v="Desarrollador"/>
    <s v="Mainframe"/>
    <m/>
    <e v="#NAME?"/>
    <x v="0"/>
    <e v="#NAME?"/>
    <m/>
    <m/>
    <m/>
    <m/>
    <m/>
    <n v="1"/>
  </r>
  <r>
    <s v="CE61638"/>
    <s v="JAVIER CORDOBA"/>
    <x v="3"/>
    <s v="Loans"/>
    <s v="KRYPTO"/>
    <x v="0"/>
    <s v="SDATOOL-35463 $ Gestión de Ingresos - Períodos de Gracia Libranzas"/>
    <n v="1"/>
    <s v="QA"/>
    <s v="Mainframe"/>
    <m/>
    <e v="#NAME?"/>
    <x v="0"/>
    <e v="#NAME?"/>
    <m/>
    <m/>
    <m/>
    <m/>
    <m/>
    <n v="1"/>
  </r>
  <r>
    <s v="O001111"/>
    <s v="JENNIFER HAILINTH MORENO"/>
    <x v="3"/>
    <s v="Loans"/>
    <s v="BBVA"/>
    <x v="0"/>
    <s v="SDATOOL-36548 $ Optimización consumo web - Plan ascenso Open Market"/>
    <n v="1"/>
    <s v="Desarrollador"/>
    <s v="Mainframe"/>
    <m/>
    <e v="#NAME?"/>
    <x v="0"/>
    <e v="#NAME?"/>
    <m/>
    <m/>
    <m/>
    <m/>
    <m/>
    <n v="1"/>
  </r>
  <r>
    <s v="CE66153"/>
    <s v="JHON EDWIN MENDOZA DAZA"/>
    <x v="3"/>
    <s v="Loans"/>
    <s v="Novatec"/>
    <x v="0"/>
    <s v="SDATOOL-39836 $ Vivienda digital fase III"/>
    <n v="0.7"/>
    <s v="Desarrollador"/>
    <s v="Cells"/>
    <m/>
    <e v="#NAME?"/>
    <x v="0"/>
    <e v="#NAME?"/>
    <m/>
    <m/>
    <m/>
    <m/>
    <m/>
    <n v="1"/>
  </r>
  <r>
    <s v="CE66153"/>
    <s v="JHON EDWIN MENDOZA DAZA"/>
    <x v="3"/>
    <s v="Loans"/>
    <s v="Novatec"/>
    <x v="0"/>
    <s v="SDATOOL-39272 $ GRM-Col-Cambio servicio APL (Aportes en línea)"/>
    <n v="0.3"/>
    <s v="Desarrollador"/>
    <s v="Cells"/>
    <m/>
    <e v="#NAME?"/>
    <x v="0"/>
    <e v="#NAME?"/>
    <m/>
    <m/>
    <m/>
    <m/>
    <m/>
    <n v="0"/>
  </r>
  <r>
    <s v="C811329"/>
    <s v="JHON MARIO FORERO"/>
    <x v="3"/>
    <s v="Loans"/>
    <s v="BBVA"/>
    <x v="0"/>
    <s v="NOSDA $ BAU (Mantenimiento y peq. evolutivos)"/>
    <n v="1"/>
    <s v="Desarrollador"/>
    <s v="Mainframe"/>
    <m/>
    <e v="#NAME?"/>
    <x v="0"/>
    <e v="#NAME?"/>
    <m/>
    <m/>
    <m/>
    <m/>
    <m/>
    <n v="1"/>
  </r>
  <r>
    <s v="CE61687"/>
    <s v="JHONATAN STIV CUADROS CARDENAS"/>
    <x v="3"/>
    <s v="Loans"/>
    <s v="Accenture"/>
    <x v="0"/>
    <s v="SDATOOL-36548 $ Optimización consumo web - Plan ascenso Open Market"/>
    <n v="0.7"/>
    <s v="Desarrollador"/>
    <s v="APX"/>
    <m/>
    <e v="#NAME?"/>
    <x v="0"/>
    <e v="#NAME?"/>
    <m/>
    <m/>
    <m/>
    <m/>
    <m/>
    <n v="1"/>
  </r>
  <r>
    <s v="CE61687"/>
    <s v="JHONATAN STIV CUADROS CARDENAS"/>
    <x v="3"/>
    <s v="Loans"/>
    <s v="Accenture"/>
    <x v="0"/>
    <s v="SDATOOL-39272 $ GRM-Col-Cambio servicio APL (Aportes en línea)"/>
    <n v="0.3"/>
    <s v="Desarrollador"/>
    <s v="APX"/>
    <m/>
    <e v="#NAME?"/>
    <x v="0"/>
    <e v="#NAME?"/>
    <m/>
    <m/>
    <m/>
    <m/>
    <m/>
    <n v="0"/>
  </r>
  <r>
    <s v="C808819"/>
    <s v="JOSEPH ALEANDER ROJAS"/>
    <x v="3"/>
    <s v="Loans"/>
    <s v="BBVA"/>
    <x v="0"/>
    <s v="SDATOOL-34887 $ Vivienda Digital Open Market"/>
    <n v="0.4"/>
    <s v="Desarrollador"/>
    <s v="Mainframe"/>
    <m/>
    <e v="#NAME?"/>
    <x v="0"/>
    <e v="#NAME?"/>
    <m/>
    <m/>
    <m/>
    <m/>
    <m/>
    <n v="1"/>
  </r>
  <r>
    <s v="C808819"/>
    <s v="JOSEPH ALEANDER ROJAS"/>
    <x v="3"/>
    <s v="Loans"/>
    <s v="BBVA"/>
    <x v="0"/>
    <s v="SDATOOL-39836 $ Vivienda digital fase III"/>
    <n v="0.6"/>
    <s v="Desarrollador"/>
    <s v="Mainframe"/>
    <m/>
    <e v="#NAME?"/>
    <x v="0"/>
    <e v="#NAME?"/>
    <m/>
    <m/>
    <m/>
    <m/>
    <m/>
    <n v="0"/>
  </r>
  <r>
    <s v="CE64753"/>
    <s v="JUAN CARLOS PULIDO"/>
    <x v="3"/>
    <s v="Loans"/>
    <s v="KRYPTO"/>
    <x v="0"/>
    <s v="NOSDA $ BAU (Mantenimiento y peq. evolutivos)"/>
    <n v="1"/>
    <s v="QA"/>
    <s v="Mainframe"/>
    <m/>
    <e v="#NAME?"/>
    <x v="0"/>
    <e v="#NAME?"/>
    <m/>
    <m/>
    <m/>
    <m/>
    <m/>
    <n v="1"/>
  </r>
  <r>
    <s v="C804405"/>
    <s v="JUAN SALAZAR"/>
    <x v="3"/>
    <s v="Loans"/>
    <s v="BBVA"/>
    <x v="0"/>
    <s v="NOSDA $ BAU (Mantenimiento y peq. evolutivos)"/>
    <n v="0.3"/>
    <s v="Desarrollador"/>
    <s v="Mainframe"/>
    <m/>
    <e v="#NAME?"/>
    <x v="0"/>
    <e v="#NAME?"/>
    <m/>
    <m/>
    <m/>
    <m/>
    <m/>
    <n v="1"/>
  </r>
  <r>
    <s v="C804405"/>
    <s v="JUAN SALAZAR"/>
    <x v="3"/>
    <s v="Loans"/>
    <s v="BBVA"/>
    <x v="0"/>
    <s v="SDATOOL-41729 $ SEGUNDA LIBRANZA - APLICACION PAGOS Y VoBo PAGADOR"/>
    <n v="0.7"/>
    <s v="Desarrollador"/>
    <s v="Mainframe"/>
    <m/>
    <e v="#NAME?"/>
    <x v="0"/>
    <e v="#NAME?"/>
    <m/>
    <m/>
    <m/>
    <m/>
    <m/>
    <n v="0"/>
  </r>
  <r>
    <s v="C809507"/>
    <s v="JULIE PAULETTE GARAVITO"/>
    <x v="3"/>
    <s v="Loans"/>
    <s v="BBVA"/>
    <x v="0"/>
    <s v="SDATOOL-35463 $ Gestión de Ingresos - Períodos de Gracia Libranzas"/>
    <n v="1"/>
    <s v="Desarrollador"/>
    <s v="Mainframe"/>
    <m/>
    <e v="#NAME?"/>
    <x v="0"/>
    <e v="#NAME?"/>
    <m/>
    <m/>
    <m/>
    <m/>
    <m/>
    <n v="1"/>
  </r>
  <r>
    <s v="C808802"/>
    <s v="KAREN MARGARITA ANGULO"/>
    <x v="3"/>
    <s v="Loans"/>
    <s v="BBVA"/>
    <x v="0"/>
    <s v="SDATOOL-42155 $ Ajustes en proceso de Titularización y recompra de cartera titularizada"/>
    <n v="0.8"/>
    <s v="Desarrollador"/>
    <s v="Mainframe"/>
    <m/>
    <e v="#NAME?"/>
    <x v="0"/>
    <e v="#NAME?"/>
    <m/>
    <m/>
    <m/>
    <m/>
    <m/>
    <n v="1"/>
  </r>
  <r>
    <s v="C808802"/>
    <s v="KAREN MARGARITA ANGULO"/>
    <x v="3"/>
    <s v="Loans"/>
    <s v="BBVA"/>
    <x v="0"/>
    <s v="NOSDA $ BAU (Mantenimiento y peq. evolutivos)"/>
    <n v="0.2"/>
    <s v="Desarrollador"/>
    <s v="Mainframe"/>
    <m/>
    <e v="#NAME?"/>
    <x v="0"/>
    <e v="#NAME?"/>
    <m/>
    <m/>
    <m/>
    <m/>
    <m/>
    <n v="0"/>
  </r>
  <r>
    <s v="C809507"/>
    <s v="LEYDI CAMARGO"/>
    <x v="3"/>
    <s v="Loans"/>
    <s v="BBVA"/>
    <x v="0"/>
    <s v="NOSDA $ BAU (Mantenimiento y peq. evolutivos)"/>
    <n v="0.5"/>
    <s v="Desarrollador"/>
    <s v="Distribuido"/>
    <m/>
    <e v="#NAME?"/>
    <x v="0"/>
    <e v="#NAME?"/>
    <m/>
    <m/>
    <m/>
    <m/>
    <m/>
    <n v="1"/>
  </r>
  <r>
    <s v="C809507"/>
    <s v="LEYDI CAMARGO"/>
    <x v="3"/>
    <s v="Loans"/>
    <s v="BBVA"/>
    <x v="0"/>
    <s v="SDATOOL-40062 $ Implementación FGA en flujos de contratación digital"/>
    <n v="0.5"/>
    <s v="Desarrollador"/>
    <s v="Distribuido"/>
    <m/>
    <e v="#NAME?"/>
    <x v="0"/>
    <e v="#NAME?"/>
    <m/>
    <m/>
    <m/>
    <m/>
    <m/>
    <n v="0"/>
  </r>
  <r>
    <s v="T001910"/>
    <s v="LIDA VIVIANA PINEDA"/>
    <x v="3"/>
    <s v="Loans"/>
    <s v="Neoris"/>
    <x v="0"/>
    <s v="NOSDA $ BAU (Mantenimiento y peq. evolutivos)"/>
    <n v="1"/>
    <s v="Desarrollador"/>
    <s v="Mainframe"/>
    <m/>
    <e v="#NAME?"/>
    <x v="0"/>
    <e v="#NAME?"/>
    <m/>
    <m/>
    <m/>
    <m/>
    <m/>
    <n v="1"/>
  </r>
  <r>
    <s v="C808648"/>
    <s v="LUIS JAVIER SANDON"/>
    <x v="3"/>
    <s v="Loans"/>
    <s v="BBVA"/>
    <x v="0"/>
    <s v="SDATOOL-40466 $ Garantía FAG"/>
    <n v="1"/>
    <s v="Desarrollador"/>
    <s v="Mainframe"/>
    <m/>
    <e v="#NAME?"/>
    <x v="0"/>
    <e v="#NAME?"/>
    <m/>
    <m/>
    <m/>
    <m/>
    <m/>
    <n v="1"/>
  </r>
  <r>
    <s v="C343564"/>
    <s v="LUZ ESTELLA ORTEGA"/>
    <x v="3"/>
    <s v="Loans"/>
    <s v="BBVA"/>
    <x v="0"/>
    <s v="SDATOOL-34157 $ Evolutivo Parthnership - Crédito en punto de venta de Aliados"/>
    <n v="0.1"/>
    <s v="Desarrollador"/>
    <s v="Mainframe"/>
    <m/>
    <e v="#NAME?"/>
    <x v="0"/>
    <e v="#NAME?"/>
    <m/>
    <m/>
    <m/>
    <m/>
    <m/>
    <n v="1"/>
  </r>
  <r>
    <s v="C343564"/>
    <s v="LUZ ESTELLA ORTEGA"/>
    <x v="3"/>
    <s v="Loans"/>
    <s v="BBVA"/>
    <x v="0"/>
    <s v="SDATOOL-34157 $ Evolutivo Parthnership - Crédito en punto de venta de Aliados"/>
    <n v="0.1"/>
    <s v="Desarrollador"/>
    <s v="Mainframe"/>
    <m/>
    <e v="#NAME?"/>
    <x v="0"/>
    <e v="#NAME?"/>
    <m/>
    <m/>
    <m/>
    <m/>
    <m/>
    <n v="0"/>
  </r>
  <r>
    <s v="C343564"/>
    <s v="LUZ ESTELLA ORTEGA"/>
    <x v="3"/>
    <s v="Loans"/>
    <s v="BBVA"/>
    <x v="0"/>
    <s v="SDATOOL-40062 $ Implementación FGA en flujos de contratación digital"/>
    <n v="0.8"/>
    <s v="Desarrollador"/>
    <s v="Mainframe"/>
    <m/>
    <e v="#NAME?"/>
    <x v="0"/>
    <e v="#NAME?"/>
    <m/>
    <m/>
    <m/>
    <m/>
    <m/>
    <n v="0"/>
  </r>
  <r>
    <s v="C805926"/>
    <s v="MAICOL STIVEN PEREZ"/>
    <x v="3"/>
    <s v="Loans"/>
    <s v="BBVA"/>
    <x v="0"/>
    <s v="SDATOOL-39836 $ Vivienda digital fase III"/>
    <n v="1"/>
    <s v="Desarrollador"/>
    <s v="ASO"/>
    <m/>
    <e v="#NAME?"/>
    <x v="0"/>
    <e v="#NAME?"/>
    <m/>
    <m/>
    <m/>
    <m/>
    <m/>
    <n v="1"/>
  </r>
  <r>
    <s v="O000197"/>
    <s v="MARIA ESTELA SUAREZ"/>
    <x v="3"/>
    <s v="Loans"/>
    <s v="BBVA"/>
    <x v="0"/>
    <s v="SDATOOL-34887 $ Vivienda Digital Open Market"/>
    <n v="0.1"/>
    <s v="Tech Manager/Líder"/>
    <s v="Otras Tec."/>
    <m/>
    <e v="#NAME?"/>
    <x v="0"/>
    <e v="#NAME?"/>
    <m/>
    <m/>
    <m/>
    <m/>
    <m/>
    <n v="1"/>
  </r>
  <r>
    <s v="O000197"/>
    <s v="MARIA ESTELA SUAREZ"/>
    <x v="3"/>
    <s v="Loans"/>
    <s v="BBVA"/>
    <x v="0"/>
    <s v="SDATOOL-39836 $ Vivienda digital fase III"/>
    <n v="0.3"/>
    <s v="Tech Manager/Líder"/>
    <s v="Otras Tec."/>
    <m/>
    <e v="#NAME?"/>
    <x v="0"/>
    <e v="#NAME?"/>
    <m/>
    <m/>
    <m/>
    <m/>
    <m/>
    <n v="0"/>
  </r>
  <r>
    <s v="O000197"/>
    <s v="MARIA ESTELA SUAREZ"/>
    <x v="3"/>
    <s v="Loans"/>
    <s v="BBVA"/>
    <x v="0"/>
    <s v="SDATOOL-39272 $ GRM-Col-Cambio servicio APL (Aportes en línea)"/>
    <n v="0.1"/>
    <s v="Tech Manager/Líder"/>
    <s v="Otras Tec."/>
    <m/>
    <e v="#NAME?"/>
    <x v="0"/>
    <e v="#NAME?"/>
    <m/>
    <m/>
    <m/>
    <m/>
    <m/>
    <n v="0"/>
  </r>
  <r>
    <s v="O000197"/>
    <s v="MARIA ESTELA SUAREZ"/>
    <x v="3"/>
    <s v="Loans"/>
    <s v="BBVA"/>
    <x v="0"/>
    <s v="SDATOOL-37136 $ Conexión simulador vía API Vehículo digital"/>
    <n v="0.05"/>
    <s v="Tech Manager/Líder"/>
    <s v="Otras Tec."/>
    <m/>
    <e v="#NAME?"/>
    <x v="0"/>
    <e v="#NAME?"/>
    <m/>
    <m/>
    <m/>
    <m/>
    <m/>
    <n v="0"/>
  </r>
  <r>
    <s v="O000197"/>
    <s v="MARIA ESTELA SUAREZ"/>
    <x v="3"/>
    <s v="Loans"/>
    <s v="BBVA"/>
    <x v="0"/>
    <s v="SDATOOL-41752 $ Consumo Openmk con Biometría Obligatoria por Nácar para desembolsar"/>
    <n v="0.05"/>
    <s v="Tech Manager/Líder"/>
    <s v="Otras Tec."/>
    <m/>
    <e v="#NAME?"/>
    <x v="0"/>
    <e v="#NAME?"/>
    <m/>
    <m/>
    <m/>
    <m/>
    <m/>
    <n v="0"/>
  </r>
  <r>
    <s v="O000197"/>
    <s v="MARIA ESTELA SUAREZ"/>
    <x v="3"/>
    <s v="Loans"/>
    <s v="BBVA"/>
    <x v="0"/>
    <s v="SDATOOL-36548 $ Optimización consumo web - Plan ascenso Open Market"/>
    <n v="0.3"/>
    <s v="Tech Manager/Líder"/>
    <s v="Otras Tec."/>
    <m/>
    <e v="#NAME?"/>
    <x v="0"/>
    <e v="#NAME?"/>
    <m/>
    <m/>
    <m/>
    <m/>
    <m/>
    <n v="0"/>
  </r>
  <r>
    <s v="O000197"/>
    <s v="MARIA ESTELA SUAREZ"/>
    <x v="3"/>
    <s v="Loans"/>
    <s v="BBVA"/>
    <x v="0"/>
    <s v="NOSDA $ BAU (Mantenimiento y peq. evolutivos)"/>
    <n v="0.1"/>
    <s v="Tech Manager/Líder"/>
    <s v="Otras Tec."/>
    <m/>
    <e v="#NAME?"/>
    <x v="0"/>
    <e v="#NAME?"/>
    <m/>
    <m/>
    <m/>
    <m/>
    <m/>
    <n v="0"/>
  </r>
  <r>
    <s v="O000158"/>
    <s v="MAURICIO RAMIREZ"/>
    <x v="3"/>
    <s v="Loans"/>
    <s v="BBVA"/>
    <x v="0"/>
    <s v="NOSDA $ BAU (Mantenimiento y peq. evolutivos)"/>
    <n v="1"/>
    <s v="Desarrollador"/>
    <s v="Mainframe"/>
    <m/>
    <e v="#NAME?"/>
    <x v="0"/>
    <e v="#NAME?"/>
    <m/>
    <m/>
    <m/>
    <m/>
    <m/>
    <n v="1"/>
  </r>
  <r>
    <s v="CE47926"/>
    <s v="MELANIE QUIROZ"/>
    <x v="3"/>
    <s v="Loans"/>
    <s v="Neoris"/>
    <x v="0"/>
    <s v="NOSDA $ BAU (Mantenimiento y peq. evolutivos)"/>
    <n v="1"/>
    <s v="Desarrollador"/>
    <s v="Mainframe"/>
    <m/>
    <e v="#NAME?"/>
    <x v="0"/>
    <e v="#NAME?"/>
    <m/>
    <m/>
    <m/>
    <m/>
    <m/>
    <n v="1"/>
  </r>
  <r>
    <s v="C811205"/>
    <s v="MIRYANI VARGAS"/>
    <x v="3"/>
    <s v="Loans"/>
    <s v="BBVA"/>
    <x v="0"/>
    <s v="NOSDA $ BAU (Mantenimiento y peq. evolutivos)"/>
    <n v="1"/>
    <s v="Desarrollador"/>
    <s v="Mainframe"/>
    <m/>
    <e v="#NAME?"/>
    <x v="0"/>
    <e v="#NAME?"/>
    <m/>
    <m/>
    <m/>
    <m/>
    <m/>
    <n v="1"/>
  </r>
  <r>
    <s v="O002661"/>
    <s v="NANCY CATHERINE HERNANDEZ"/>
    <x v="3"/>
    <s v="Loans"/>
    <s v="BBVA"/>
    <x v="0"/>
    <s v="SDATOOL-34157 $ Evolutivo Parthnership - Crédito en punto de venta de Aliados"/>
    <n v="0.25"/>
    <s v="QA"/>
    <s v="Distribuido"/>
    <m/>
    <e v="#NAME?"/>
    <x v="0"/>
    <e v="#NAME?"/>
    <m/>
    <m/>
    <m/>
    <m/>
    <m/>
    <n v="1"/>
  </r>
  <r>
    <s v="O002661"/>
    <s v="NANCY CATHERINE HERNANDEZ"/>
    <x v="3"/>
    <s v="Loans"/>
    <s v="BBVA"/>
    <x v="0"/>
    <s v="SDATOOL-36548 $ Optimización consumo web - Plan ascenso Open Market"/>
    <n v="0.25"/>
    <s v="QA"/>
    <s v="Distribuido"/>
    <m/>
    <e v="#NAME?"/>
    <x v="0"/>
    <e v="#NAME?"/>
    <m/>
    <m/>
    <m/>
    <m/>
    <m/>
    <n v="0"/>
  </r>
  <r>
    <s v="O002661"/>
    <s v="NANCY CATHERINE HERNANDEZ"/>
    <x v="3"/>
    <s v="Loans"/>
    <s v="BBVA"/>
    <x v="0"/>
    <s v="SDATOOL-34887 $ Vivienda Digital Open Market"/>
    <n v="0.25"/>
    <s v="QA"/>
    <s v="Distribuido"/>
    <m/>
    <e v="#NAME?"/>
    <x v="0"/>
    <e v="#NAME?"/>
    <m/>
    <m/>
    <m/>
    <m/>
    <m/>
    <n v="0"/>
  </r>
  <r>
    <s v="O002661"/>
    <s v="NANCY CATHERINE HERNANDEZ"/>
    <x v="3"/>
    <s v="Loans"/>
    <s v="BBVA"/>
    <x v="0"/>
    <s v="SDATOOL-34910 $ Libranza Digital"/>
    <n v="0.25"/>
    <s v="QA"/>
    <s v="Distribuido"/>
    <m/>
    <e v="#NAME?"/>
    <x v="0"/>
    <e v="#NAME?"/>
    <m/>
    <m/>
    <m/>
    <m/>
    <m/>
    <n v="0"/>
  </r>
  <r>
    <s v="CE56109"/>
    <s v="OMAR FERNANDO ORTEGÓN VARGAS"/>
    <x v="3"/>
    <s v="Loans"/>
    <s v="Neoris"/>
    <x v="0"/>
    <s v="NOSDA $ BAU (Mantenimiento y peq. evolutivos)"/>
    <n v="1"/>
    <s v="Desarrollador"/>
    <s v="Mainframe"/>
    <m/>
    <e v="#NAME?"/>
    <x v="0"/>
    <e v="#NAME?"/>
    <m/>
    <m/>
    <m/>
    <m/>
    <m/>
    <n v="1"/>
  </r>
  <r>
    <s v="T000361"/>
    <s v="RODRIGO BARBIERI PEREZ"/>
    <x v="3"/>
    <s v="Loans"/>
    <s v="Globant"/>
    <x v="0"/>
    <s v="SDATOOL-36548 $ Optimización consumo web - Plan ascenso Open Market"/>
    <n v="0.7"/>
    <s v="Desarrollador"/>
    <s v="Cells"/>
    <m/>
    <e v="#NAME?"/>
    <x v="0"/>
    <e v="#NAME?"/>
    <m/>
    <m/>
    <m/>
    <m/>
    <m/>
    <n v="1"/>
  </r>
  <r>
    <s v="T000361"/>
    <s v="RODRIGO BARBIERI PEREZ"/>
    <x v="3"/>
    <s v="Loans"/>
    <s v="Globant"/>
    <x v="0"/>
    <s v="SDATOOL-39272 $ GRM-Col-Cambio servicio APL (Aportes en línea)"/>
    <n v="0.3"/>
    <s v="Desarrollador"/>
    <s v="Cells"/>
    <m/>
    <e v="#NAME?"/>
    <x v="0"/>
    <e v="#NAME?"/>
    <m/>
    <m/>
    <m/>
    <m/>
    <m/>
    <n v="0"/>
  </r>
  <r>
    <s v="CI35128"/>
    <s v="Cristian Camilo Rincon"/>
    <x v="1"/>
    <s v="Fiduciaria"/>
    <s v="BBVA Fiduciaria"/>
    <x v="0"/>
    <s v="NOSDA $ BAU (Mantenimiento y peq. evolutivos)"/>
    <n v="0.5"/>
    <s v="Tech Manager/Líder"/>
    <m/>
    <s v="Interno"/>
    <e v="#NAME?"/>
    <x v="0"/>
    <e v="#NAME?"/>
    <m/>
    <m/>
    <m/>
    <m/>
    <m/>
    <m/>
  </r>
  <r>
    <s v="CI35442"/>
    <s v="Juan Camilo Ladino Guezguan"/>
    <x v="1"/>
    <s v="Fiduciaria"/>
    <s v="BBVA Fiduciaria"/>
    <x v="0"/>
    <s v="NOSDA $ BAU (Mantenimiento y peq. evolutivos)"/>
    <n v="0.4"/>
    <s v="Desarrollador"/>
    <m/>
    <s v="Interno"/>
    <e v="#NAME?"/>
    <x v="0"/>
    <e v="#NAME?"/>
    <m/>
    <m/>
    <m/>
    <m/>
    <m/>
    <m/>
  </r>
  <r>
    <s v="O000150"/>
    <s v="Oscar Fernando Real Bautista"/>
    <x v="1"/>
    <s v="Fiduciaria"/>
    <s v="BBVA Fiduciaria"/>
    <x v="0"/>
    <s v="NOSDA $ BAU (Mantenimiento y peq. evolutivos)"/>
    <n v="0.2"/>
    <s v="Tech Manager/Líder"/>
    <m/>
    <s v="Interno"/>
    <e v="#NAME?"/>
    <x v="0"/>
    <e v="#NAME?"/>
    <m/>
    <m/>
    <m/>
    <m/>
    <m/>
    <m/>
  </r>
  <r>
    <s v="CI35100"/>
    <s v="Alexander Lopez Fonseca"/>
    <x v="1"/>
    <s v="Fiduciaria"/>
    <s v="BBVA Fiduciaria"/>
    <x v="0"/>
    <s v="NOSDA $ BAU (Mantenimiento y peq. evolutivos)"/>
    <n v="0.5"/>
    <s v="Tech Manager/Líder"/>
    <m/>
    <s v="Interno"/>
    <e v="#NAME?"/>
    <x v="0"/>
    <e v="#NAME?"/>
    <m/>
    <m/>
    <m/>
    <m/>
    <m/>
    <m/>
  </r>
  <r>
    <s v="CE67865"/>
    <s v="Alejandra Barrios"/>
    <x v="5"/>
    <s v="Móvil"/>
    <s v="Accenture"/>
    <x v="0"/>
    <s v="SDATOOL-9053 $ GloMo Colombia"/>
    <n v="1"/>
    <s v="QA"/>
    <s v="Otras Tec."/>
    <m/>
    <e v="#NAME?"/>
    <x v="0"/>
    <e v="#NAME?"/>
    <m/>
    <m/>
    <m/>
    <m/>
    <m/>
    <m/>
  </r>
  <r>
    <s v="CE71119"/>
    <s v="Alvaro Alvarez"/>
    <x v="5"/>
    <s v="Móvil"/>
    <s v="Accenture"/>
    <x v="0"/>
    <s v="SDATOOL-9053 $ GloMo Colombia"/>
    <n v="1"/>
    <s v="QA"/>
    <s v="Otras Tec."/>
    <m/>
    <e v="#NAME?"/>
    <x v="0"/>
    <e v="#NAME?"/>
    <m/>
    <m/>
    <m/>
    <m/>
    <m/>
    <m/>
  </r>
  <r>
    <s v="CE66576"/>
    <s v="Anderson Fabian Camelo"/>
    <x v="5"/>
    <s v="Móvil"/>
    <s v="GGI / CMC"/>
    <x v="0"/>
    <s v="SDATOOL-9053 $ GloMo Colombia"/>
    <n v="1"/>
    <s v="QA"/>
    <s v="Otras Tec."/>
    <m/>
    <e v="#NAME?"/>
    <x v="0"/>
    <e v="#NAME?"/>
    <m/>
    <m/>
    <m/>
    <m/>
    <m/>
    <m/>
  </r>
  <r>
    <s v="CE67220"/>
    <s v="Carlos Arturo Rodriguez Castañeda"/>
    <x v="5"/>
    <s v="Móvil"/>
    <s v="Neoris"/>
    <x v="0"/>
    <s v="SDATOOL-38489 $ Horizon BTGR - Colombia"/>
    <n v="1"/>
    <s v="Desarrollador"/>
    <s v="ASO"/>
    <m/>
    <e v="#NAME?"/>
    <x v="0"/>
    <e v="#NAME?"/>
    <m/>
    <m/>
    <m/>
    <m/>
    <m/>
    <m/>
  </r>
  <r>
    <s v="CE70202"/>
    <s v="Cesar Augusto Valbuena"/>
    <x v="5"/>
    <s v="Móvil"/>
    <s v="Neoris"/>
    <x v="0"/>
    <s v="SDATOOL-9053 $ GloMo Colombia"/>
    <n v="1"/>
    <s v="QA"/>
    <s v="Otras Tec."/>
    <m/>
    <e v="#NAME?"/>
    <x v="0"/>
    <e v="#NAME?"/>
    <m/>
    <m/>
    <m/>
    <m/>
    <m/>
    <m/>
  </r>
  <r>
    <s v="CE67309"/>
    <s v="Cristian Camilo Duarte"/>
    <x v="5"/>
    <s v="Móvil"/>
    <s v="GGI / CMC"/>
    <x v="0"/>
    <s v="SDATOOL-38489 $ Horizon BTGR - Colombia"/>
    <n v="0.5"/>
    <s v="QA"/>
    <s v="Otras Tec."/>
    <m/>
    <e v="#NAME?"/>
    <x v="0"/>
    <e v="#NAME?"/>
    <m/>
    <m/>
    <m/>
    <m/>
    <m/>
    <m/>
  </r>
  <r>
    <s v="CE67309"/>
    <s v="Cristian Camilo Duarte"/>
    <x v="5"/>
    <s v="Móvil"/>
    <s v="GGI / CMC"/>
    <x v="0"/>
    <s v="SDATOOL-9053 $ GloMo Colombia"/>
    <n v="0.5"/>
    <s v="QA"/>
    <s v="Otras Tec."/>
    <m/>
    <e v="#NAME?"/>
    <x v="0"/>
    <e v="#NAME?"/>
    <m/>
    <m/>
    <m/>
    <m/>
    <m/>
    <m/>
  </r>
  <r>
    <s v="CE69445"/>
    <s v="Cristian Fernando Hernandez Angarita"/>
    <x v="5"/>
    <s v="Móvil"/>
    <s v="Neoris"/>
    <x v="0"/>
    <s v="SDATOOL-38489 $ Horizon BTGR - Colombia"/>
    <n v="1"/>
    <s v="Desarrollador"/>
    <s v="Mainframe"/>
    <m/>
    <e v="#NAME?"/>
    <x v="0"/>
    <e v="#NAME?"/>
    <m/>
    <m/>
    <m/>
    <m/>
    <m/>
    <m/>
  </r>
  <r>
    <s v="CE69821"/>
    <s v="David Garrido"/>
    <x v="5"/>
    <s v="Móvil"/>
    <s v="Globant"/>
    <x v="0"/>
    <s v="SDATOOL-9053 $ GloMo Colombia"/>
    <n v="1"/>
    <s v="Desarrollador"/>
    <s v="APX"/>
    <m/>
    <e v="#NAME?"/>
    <x v="0"/>
    <e v="#NAME?"/>
    <m/>
    <m/>
    <m/>
    <m/>
    <m/>
    <m/>
  </r>
  <r>
    <s v="CE70245"/>
    <s v="Diana Duarte"/>
    <x v="5"/>
    <s v="Móvil"/>
    <s v="Accenture"/>
    <x v="0"/>
    <s v="SDATOOL-9053 $ GloMo Colombia"/>
    <n v="1"/>
    <s v="QA"/>
    <s v="Otras Tec."/>
    <m/>
    <e v="#NAME?"/>
    <x v="0"/>
    <e v="#NAME?"/>
    <m/>
    <m/>
    <m/>
    <m/>
    <m/>
    <m/>
  </r>
  <r>
    <s v="T001912"/>
    <s v="Diego Alejandro Parra Nuñez"/>
    <x v="5"/>
    <s v="Móvil"/>
    <s v="Neoris"/>
    <x v="0"/>
    <s v="SDATOOL-9053 $ GloMo Colombia"/>
    <n v="1"/>
    <s v="QA"/>
    <s v="Otras Tec."/>
    <m/>
    <e v="#NAME?"/>
    <x v="0"/>
    <e v="#NAME?"/>
    <m/>
    <m/>
    <m/>
    <m/>
    <m/>
    <m/>
  </r>
  <r>
    <s v="CE71116"/>
    <s v="Dina Luz Perez"/>
    <x v="5"/>
    <s v="Móvil"/>
    <s v="Accenture"/>
    <x v="0"/>
    <s v="SDATOOL-9053 $ GloMo Colombia"/>
    <n v="1"/>
    <s v="QA"/>
    <s v="Otras Tec."/>
    <m/>
    <e v="#NAME?"/>
    <x v="0"/>
    <e v="#NAME?"/>
    <m/>
    <m/>
    <m/>
    <m/>
    <m/>
    <m/>
  </r>
  <r>
    <s v="CE67846"/>
    <s v="Edson Suarez"/>
    <x v="5"/>
    <s v="Móvil"/>
    <s v="Accenture"/>
    <x v="0"/>
    <s v="SDATOOL-9053 $ GloMo Colombia"/>
    <n v="1"/>
    <s v="QA"/>
    <s v="Otras Tec."/>
    <m/>
    <e v="#NAME?"/>
    <x v="0"/>
    <e v="#NAME?"/>
    <m/>
    <m/>
    <m/>
    <m/>
    <m/>
    <m/>
  </r>
  <r>
    <s v="CE71118"/>
    <s v="Erick Bermejo"/>
    <x v="5"/>
    <s v="Móvil"/>
    <s v="Accenture"/>
    <x v="0"/>
    <s v="SDATOOL-9053 $ GloMo Colombia"/>
    <n v="1"/>
    <s v="QA"/>
    <s v="Otras Tec."/>
    <m/>
    <e v="#NAME?"/>
    <x v="0"/>
    <e v="#NAME?"/>
    <m/>
    <m/>
    <m/>
    <m/>
    <m/>
    <m/>
  </r>
  <r>
    <s v="XEA0692"/>
    <s v="Esperanza Ortega"/>
    <x v="5"/>
    <s v="Móvil"/>
    <s v="Accenture"/>
    <x v="0"/>
    <s v="SDATOOL-9053 $ GloMo Colombia"/>
    <n v="1"/>
    <s v="Desarrollador"/>
    <s v="Cells"/>
    <m/>
    <e v="#NAME?"/>
    <x v="0"/>
    <e v="#NAME?"/>
    <m/>
    <m/>
    <m/>
    <m/>
    <m/>
    <m/>
  </r>
  <r>
    <s v="CE67849"/>
    <s v="Henry Cortes"/>
    <x v="5"/>
    <s v="Móvil"/>
    <s v="Accenture"/>
    <x v="0"/>
    <s v="SDATOOL-9053 $ GloMo Colombia"/>
    <n v="1"/>
    <s v="Desarrollador"/>
    <s v="Cells"/>
    <m/>
    <e v="#NAME?"/>
    <x v="0"/>
    <e v="#NAME?"/>
    <m/>
    <m/>
    <m/>
    <m/>
    <m/>
    <m/>
  </r>
  <r>
    <s v="CE69249"/>
    <s v="Hernan Gabriel Fernandez"/>
    <x v="5"/>
    <s v="Móvil"/>
    <s v="Neoris"/>
    <x v="0"/>
    <s v="SDATOOL-38489 $ Horizon BTGR - Colombia"/>
    <n v="1"/>
    <s v="Desarrollador"/>
    <s v="ASO"/>
    <m/>
    <e v="#NAME?"/>
    <x v="0"/>
    <e v="#NAME?"/>
    <m/>
    <m/>
    <m/>
    <m/>
    <m/>
    <m/>
  </r>
  <r>
    <s v="CE56568"/>
    <s v="Jesus Wellman"/>
    <x v="5"/>
    <s v="Móvil"/>
    <s v="Novatec"/>
    <x v="0"/>
    <s v="SDATOOL-38489 $ Horizon BTGR - Colombia"/>
    <n v="1"/>
    <s v="Desarrollador"/>
    <s v="Mainframe"/>
    <m/>
    <e v="#NAME?"/>
    <x v="0"/>
    <e v="#NAME?"/>
    <m/>
    <m/>
    <m/>
    <m/>
    <m/>
    <m/>
  </r>
  <r>
    <s v="CE56092"/>
    <s v="Johan Sebastian Forero"/>
    <x v="5"/>
    <s v="Móvil"/>
    <s v="GGI / CMC"/>
    <x v="0"/>
    <s v="SDATOOL-9053 $ GloMo Colombia"/>
    <n v="1"/>
    <s v="QA"/>
    <s v="Otras Tec."/>
    <m/>
    <e v="#NAME?"/>
    <x v="0"/>
    <e v="#NAME?"/>
    <m/>
    <m/>
    <m/>
    <m/>
    <m/>
    <m/>
  </r>
  <r>
    <s v="CE53474"/>
    <s v="Josue David Fernandez Reyes"/>
    <x v="5"/>
    <s v="Móvil"/>
    <s v="Neoris"/>
    <x v="0"/>
    <s v="SDATOOL-9053 $ GloMo Colombia"/>
    <n v="0.75"/>
    <s v="Desarrollador"/>
    <s v="Mainframe"/>
    <m/>
    <e v="#NAME?"/>
    <x v="0"/>
    <e v="#NAME?"/>
    <m/>
    <m/>
    <m/>
    <m/>
    <m/>
    <m/>
  </r>
  <r>
    <s v="CE53474"/>
    <s v="Josue David Fernandez Reyes"/>
    <x v="5"/>
    <s v="Móvil"/>
    <s v="Neoris"/>
    <x v="0"/>
    <s v="SDATOOL-38489 $ Horizon BTGR - Colombia"/>
    <n v="0.25"/>
    <s v="Desarrollador"/>
    <s v="Mainframe"/>
    <m/>
    <e v="#NAME?"/>
    <x v="0"/>
    <e v="#NAME?"/>
    <m/>
    <m/>
    <m/>
    <m/>
    <m/>
    <m/>
  </r>
  <r>
    <s v="CE65053"/>
    <s v="Juan David Rodriguez Ariza"/>
    <x v="5"/>
    <s v="Móvil"/>
    <s v="Globant"/>
    <x v="0"/>
    <s v="SDATOOL-9053 $ GloMo Colombia"/>
    <n v="1"/>
    <s v="Desarrollador"/>
    <s v="Cells"/>
    <m/>
    <e v="#NAME?"/>
    <x v="0"/>
    <e v="#NAME?"/>
    <m/>
    <m/>
    <m/>
    <m/>
    <m/>
    <m/>
  </r>
  <r>
    <s v="CE59993"/>
    <s v="Juan David Velasquez"/>
    <x v="5"/>
    <s v="Móvil"/>
    <s v="Inetum"/>
    <x v="0"/>
    <s v="SDATOOL-9053 $ GloMo Colombia"/>
    <n v="1"/>
    <s v="Desarrollador"/>
    <s v="Cells"/>
    <m/>
    <e v="#NAME?"/>
    <x v="0"/>
    <e v="#NAME?"/>
    <m/>
    <m/>
    <m/>
    <m/>
    <m/>
    <m/>
  </r>
  <r>
    <s v="CE47925"/>
    <s v="Karen Juliete Mahecha Rey"/>
    <x v="5"/>
    <s v="Móvil"/>
    <s v="Neoris"/>
    <x v="0"/>
    <s v="SDATOOL-9053 $ GloMo Colombia"/>
    <n v="0.75"/>
    <s v="Desarrollador"/>
    <s v="Mainframe"/>
    <m/>
    <e v="#NAME?"/>
    <x v="0"/>
    <e v="#NAME?"/>
    <m/>
    <m/>
    <m/>
    <m/>
    <m/>
    <m/>
  </r>
  <r>
    <s v="CE47925"/>
    <s v="Karen Juliete Mahecha Rey"/>
    <x v="5"/>
    <s v="Móvil"/>
    <s v="Neoris"/>
    <x v="0"/>
    <s v="SDATOOL-38489 $ Horizon BTGR - Colombia"/>
    <n v="0.25"/>
    <s v="Desarrollador"/>
    <s v="Mainframe"/>
    <m/>
    <e v="#NAME?"/>
    <x v="0"/>
    <e v="#NAME?"/>
    <m/>
    <m/>
    <m/>
    <m/>
    <m/>
    <m/>
  </r>
  <r>
    <s v="CE70650"/>
    <s v="Karol Melissa Gómez Colmenares"/>
    <x v="5"/>
    <s v="Móvil"/>
    <s v="Neoris"/>
    <x v="0"/>
    <s v="SDATOOL-9053 $ GloMo Colombia"/>
    <n v="1"/>
    <s v="QA"/>
    <s v="Otras Tec."/>
    <m/>
    <e v="#NAME?"/>
    <x v="0"/>
    <e v="#NAME?"/>
    <m/>
    <m/>
    <m/>
    <m/>
    <m/>
    <m/>
  </r>
  <r>
    <s v="CE63473"/>
    <s v="Katherine Santana"/>
    <x v="5"/>
    <s v="Móvil"/>
    <s v="SII"/>
    <x v="0"/>
    <s v="SDATOOL-9053 $ GloMo Colombia"/>
    <n v="1"/>
    <s v="QA"/>
    <s v="Otras Tec."/>
    <m/>
    <e v="#NAME?"/>
    <x v="0"/>
    <e v="#NAME?"/>
    <m/>
    <m/>
    <m/>
    <m/>
    <m/>
    <m/>
  </r>
  <r>
    <s v="T000595"/>
    <s v="Laura Milena Duarte"/>
    <x v="5"/>
    <s v="Móvil"/>
    <s v="Novatec"/>
    <x v="0"/>
    <s v="SDATOOL-38489 $ Horizon BTGR - Colombia"/>
    <n v="1"/>
    <s v="Desarrollador"/>
    <s v="Mainframe"/>
    <m/>
    <e v="#NAME?"/>
    <x v="0"/>
    <e v="#NAME?"/>
    <m/>
    <m/>
    <m/>
    <m/>
    <m/>
    <m/>
  </r>
  <r>
    <s v="CE67221"/>
    <s v="LAURA STEFANY ROMERO TRUJILLO"/>
    <x v="5"/>
    <s v="Móvil"/>
    <s v="Neoris"/>
    <x v="0"/>
    <s v="SDATOOL-9053 $ GloMo Colombia"/>
    <n v="1"/>
    <s v="Desarrollador"/>
    <s v="Cells"/>
    <m/>
    <e v="#NAME?"/>
    <x v="0"/>
    <e v="#NAME?"/>
    <m/>
    <m/>
    <m/>
    <m/>
    <m/>
    <m/>
  </r>
  <r>
    <s v="CE64988"/>
    <s v="Levi Becerra"/>
    <x v="5"/>
    <s v="Móvil"/>
    <s v="Accenture"/>
    <x v="0"/>
    <s v="SDATOOL-9053 $ GloMo Colombia"/>
    <n v="0.5"/>
    <s v="Desarrollador"/>
    <s v="Mainframe"/>
    <m/>
    <e v="#NAME?"/>
    <x v="0"/>
    <e v="#NAME?"/>
    <m/>
    <m/>
    <m/>
    <m/>
    <m/>
    <m/>
  </r>
  <r>
    <s v="T007048"/>
    <s v="Mario Perilla"/>
    <x v="5"/>
    <s v="Móvil"/>
    <s v="Accenture"/>
    <x v="0"/>
    <s v="SDATOOL-9053 $ GloMo Colombia"/>
    <n v="1"/>
    <s v="QA"/>
    <s v="Otras Tec."/>
    <m/>
    <e v="#NAME?"/>
    <x v="0"/>
    <e v="#NAME?"/>
    <m/>
    <m/>
    <m/>
    <m/>
    <m/>
    <m/>
  </r>
  <r>
    <s v="CE66364"/>
    <s v="Martin Theiler"/>
    <x v="5"/>
    <s v="Móvil"/>
    <s v="Globant"/>
    <x v="0"/>
    <s v="SDATOOL-9053 $ GloMo Colombia"/>
    <n v="1"/>
    <s v="Desarrollador"/>
    <s v="ASO"/>
    <m/>
    <e v="#NAME?"/>
    <x v="0"/>
    <e v="#NAME?"/>
    <m/>
    <m/>
    <m/>
    <m/>
    <m/>
    <m/>
  </r>
  <r>
    <s v="CE55340"/>
    <s v="Miller Gomez"/>
    <x v="5"/>
    <s v="Móvil"/>
    <s v="SII"/>
    <x v="0"/>
    <s v="SDATOOL-9053 $ GloMo Colombia"/>
    <n v="0.5"/>
    <s v="Desarrollador"/>
    <s v="Mainframe"/>
    <m/>
    <e v="#NAME?"/>
    <x v="0"/>
    <e v="#NAME?"/>
    <m/>
    <m/>
    <m/>
    <m/>
    <m/>
    <m/>
  </r>
  <r>
    <s v="CE55340"/>
    <s v="Miller Gomez"/>
    <x v="5"/>
    <s v="Móvil"/>
    <s v="SII"/>
    <x v="0"/>
    <s v="SDATOOL-38489 $ Horizon BTGR - Colombia"/>
    <n v="0.5"/>
    <s v="Desarrollador"/>
    <s v="Mainframe"/>
    <m/>
    <e v="#NAME?"/>
    <x v="0"/>
    <e v="#NAME?"/>
    <m/>
    <m/>
    <m/>
    <m/>
    <m/>
    <m/>
  </r>
  <r>
    <s v="CE70907"/>
    <s v="Nicolas Bedoya Montealegre"/>
    <x v="5"/>
    <s v="Móvil"/>
    <s v="Neoris"/>
    <x v="0"/>
    <s v="SDATOOL-38489 $ Horizon BTGR - Colombia"/>
    <n v="1"/>
    <s v="Desarrollador"/>
    <s v="ASO"/>
    <m/>
    <e v="#NAME?"/>
    <x v="0"/>
    <e v="#NAME?"/>
    <m/>
    <m/>
    <m/>
    <m/>
    <m/>
    <m/>
  </r>
  <r>
    <s v="CE61633"/>
    <s v="Nicolas Eduardo Loaiza"/>
    <x v="5"/>
    <s v="Móvil"/>
    <s v="GGI / CMC"/>
    <x v="0"/>
    <s v="SDATOOL-9053 $ GloMo Colombia"/>
    <n v="1"/>
    <s v="QA"/>
    <s v="Otras Tec."/>
    <m/>
    <e v="#NAME?"/>
    <x v="0"/>
    <e v="#NAME?"/>
    <m/>
    <m/>
    <m/>
    <m/>
    <m/>
    <m/>
  </r>
  <r>
    <s v="CE68502"/>
    <s v="Nydia Forero"/>
    <x v="5"/>
    <s v="Móvil"/>
    <s v="SII"/>
    <x v="0"/>
    <s v="SDATOOL-9053 $ GloMo Colombia"/>
    <n v="1"/>
    <s v="QA"/>
    <s v="Otras Tec."/>
    <m/>
    <e v="#NAME?"/>
    <x v="0"/>
    <e v="#NAME?"/>
    <m/>
    <m/>
    <m/>
    <m/>
    <m/>
    <m/>
  </r>
  <r>
    <s v="T000607"/>
    <s v="Oscar Andres Bernal Quiroz"/>
    <x v="5"/>
    <s v="Móvil"/>
    <s v="Neoris"/>
    <x v="0"/>
    <s v="SDATOOL-38489 $ Horizon BTGR - Colombia"/>
    <n v="1"/>
    <s v="Desarrollador"/>
    <s v="Mainframe"/>
    <m/>
    <e v="#NAME?"/>
    <x v="0"/>
    <e v="#NAME?"/>
    <m/>
    <m/>
    <m/>
    <m/>
    <m/>
    <m/>
  </r>
  <r>
    <s v="CE70651"/>
    <s v="Oscar Freddy Roncancio Zea"/>
    <x v="5"/>
    <s v="Móvil"/>
    <s v="Neoris"/>
    <x v="0"/>
    <s v="SDATOOL-9053 $ GloMo Colombia"/>
    <n v="1"/>
    <s v="QA"/>
    <s v="Otras Tec."/>
    <m/>
    <e v="#NAME?"/>
    <x v="0"/>
    <e v="#NAME?"/>
    <m/>
    <m/>
    <m/>
    <m/>
    <m/>
    <m/>
  </r>
  <r>
    <s v="CE67312"/>
    <s v="Oscar Mauricio Lozano"/>
    <x v="5"/>
    <s v="Móvil"/>
    <s v="GGI / CMC"/>
    <x v="0"/>
    <s v="SDATOOL-38489 $ Horizon BTGR - Colombia"/>
    <n v="1"/>
    <s v="QA"/>
    <s v="Otras Tec."/>
    <m/>
    <e v="#NAME?"/>
    <x v="0"/>
    <e v="#NAME?"/>
    <m/>
    <m/>
    <m/>
    <m/>
    <m/>
    <m/>
  </r>
  <r>
    <s v="CE47927"/>
    <s v="Rafael Eduardo Martinez Caceres"/>
    <x v="5"/>
    <s v="Móvil"/>
    <s v="Neoris"/>
    <x v="0"/>
    <s v="SDATOOL-9053 $ GloMo Colombia"/>
    <n v="0.5"/>
    <s v="Desarrollador"/>
    <s v="Mainframe"/>
    <m/>
    <e v="#NAME?"/>
    <x v="0"/>
    <e v="#NAME?"/>
    <m/>
    <m/>
    <m/>
    <m/>
    <m/>
    <m/>
  </r>
  <r>
    <s v="CE47927"/>
    <s v="Rafael Eduardo Martinez Caceres"/>
    <x v="5"/>
    <s v="Móvil"/>
    <s v="Neoris"/>
    <x v="0"/>
    <s v="SDATOOL-38489 $ Horizon BTGR - Colombia"/>
    <n v="0.5"/>
    <s v="Desarrollador"/>
    <s v="Mainframe"/>
    <m/>
    <e v="#NAME?"/>
    <x v="0"/>
    <e v="#NAME?"/>
    <m/>
    <m/>
    <m/>
    <m/>
    <m/>
    <m/>
  </r>
  <r>
    <s v="T002010"/>
    <s v="Sair Giovanny Bejarano Garcia"/>
    <x v="5"/>
    <s v="Móvil"/>
    <s v="Neoris"/>
    <x v="0"/>
    <s v="SDATOOL-38489 $ Horizon BTGR - Colombia"/>
    <n v="1"/>
    <s v="Desarrollador"/>
    <s v="APX"/>
    <m/>
    <e v="#NAME?"/>
    <x v="0"/>
    <e v="#NAME?"/>
    <m/>
    <m/>
    <m/>
    <m/>
    <m/>
    <m/>
  </r>
  <r>
    <s v="CE71170"/>
    <s v="Pedro Luis Melo Robayo"/>
    <x v="5"/>
    <s v="Móvil"/>
    <s v="Novatec"/>
    <x v="0"/>
    <s v="SDATOOL-38489 $ Horizon BTGR - Colombia"/>
    <n v="1"/>
    <s v="Desarrollador"/>
    <s v="Mainframe"/>
    <s v="Externo"/>
    <e v="#NAME?"/>
    <x v="0"/>
    <e v="#NAME?"/>
    <m/>
    <m/>
    <m/>
    <m/>
    <m/>
    <m/>
  </r>
  <r>
    <s v="CE65214"/>
    <s v="Roger Arias"/>
    <x v="5"/>
    <s v="Móvil"/>
    <s v="SII"/>
    <x v="0"/>
    <s v="SDATOOL-9053 $ GloMo Colombia"/>
    <n v="1"/>
    <s v="Desarrollador"/>
    <s v="Cells"/>
    <m/>
    <e v="#NAME?"/>
    <x v="0"/>
    <e v="#NAME?"/>
    <m/>
    <m/>
    <m/>
    <m/>
    <m/>
    <m/>
  </r>
  <r>
    <s v="CE66579"/>
    <s v="Santiago Molina"/>
    <x v="5"/>
    <s v="Móvil"/>
    <s v="GGI / CMC"/>
    <x v="0"/>
    <s v="SDATOOL-9053 $ GloMo Colombia"/>
    <n v="1"/>
    <s v="QA"/>
    <s v="Cells"/>
    <m/>
    <e v="#NAME?"/>
    <x v="0"/>
    <e v="#NAME?"/>
    <m/>
    <m/>
    <m/>
    <m/>
    <m/>
    <m/>
  </r>
  <r>
    <s v="CE71120"/>
    <s v="Santiago Montoya"/>
    <x v="5"/>
    <s v="Móvil"/>
    <s v="Accenture"/>
    <x v="0"/>
    <s v="SDATOOL-9053 $ GloMo Colombia"/>
    <n v="1"/>
    <s v="Desarrollador"/>
    <s v="Cells"/>
    <m/>
    <e v="#NAME?"/>
    <x v="0"/>
    <e v="#NAME?"/>
    <m/>
    <m/>
    <m/>
    <m/>
    <m/>
    <m/>
  </r>
  <r>
    <s v="CE67850"/>
    <s v="Sergio Mercado"/>
    <x v="5"/>
    <s v="Móvil"/>
    <s v="Accenture"/>
    <x v="0"/>
    <s v="SDATOOL-9053 $ GloMo Colombia"/>
    <n v="1"/>
    <s v="QA"/>
    <s v="Cells"/>
    <m/>
    <e v="#NAME?"/>
    <x v="0"/>
    <e v="#NAME?"/>
    <m/>
    <m/>
    <m/>
    <m/>
    <m/>
    <m/>
  </r>
  <r>
    <s v="Pend"/>
    <s v="Stiven Carrillo"/>
    <x v="5"/>
    <s v="Móvil"/>
    <s v="SII"/>
    <x v="0"/>
    <s v="SDATOOL-38489 $ Horizon BTGR - Colombia"/>
    <n v="1"/>
    <s v="Desarrollador"/>
    <s v="Cells"/>
    <m/>
    <e v="#NAME?"/>
    <x v="0"/>
    <e v="#NAME?"/>
    <m/>
    <m/>
    <m/>
    <m/>
    <m/>
    <m/>
  </r>
  <r>
    <s v="XP66159"/>
    <s v="ANDRES FELIPE GUTIERREZ BAÑOL"/>
    <x v="0"/>
    <s v="Senda"/>
    <s v="Neoris"/>
    <x v="0"/>
    <s v="SDATOOL-40528 $ ETPB - SENDA PAGOS"/>
    <n v="1"/>
    <s v="Desarrollador"/>
    <s v="APX"/>
    <m/>
    <e v="#NAME?"/>
    <x v="0"/>
    <e v="#NAME?"/>
    <m/>
    <m/>
    <m/>
    <m/>
    <m/>
    <m/>
  </r>
  <r>
    <s v="T009376"/>
    <s v="CESAR LEANDRO PESTANA ROMERO"/>
    <x v="0"/>
    <s v="Senda"/>
    <s v="Novatec"/>
    <x v="0"/>
    <s v="SDATOOL-40528 $ ETPB - SENDA PAGOS"/>
    <n v="1"/>
    <s v="Desarrollador"/>
    <s v="Mainframe"/>
    <m/>
    <e v="#NAME?"/>
    <x v="0"/>
    <e v="#NAME?"/>
    <m/>
    <m/>
    <m/>
    <m/>
    <m/>
    <m/>
  </r>
  <r>
    <s v="T002696"/>
    <s v="JEANN CARLOS SEQUEA MENDEZ "/>
    <x v="0"/>
    <s v="Senda"/>
    <s v="Accenture"/>
    <x v="0"/>
    <s v="SDATOOL-40457 $ SENDA (Base)"/>
    <n v="1"/>
    <s v="Desarrollador"/>
    <s v="Cells"/>
    <m/>
    <e v="#NAME?"/>
    <x v="0"/>
    <e v="#NAME?"/>
    <m/>
    <m/>
    <m/>
    <m/>
    <m/>
    <m/>
  </r>
  <r>
    <s v="T011814"/>
    <s v="JOHANA KATHERIN VASQUEZ QUEVEDO "/>
    <x v="0"/>
    <s v="Senda"/>
    <s v="GGI / CMC"/>
    <x v="0"/>
    <s v="SDATOOL-40457 $ SENDA (Base)"/>
    <n v="1"/>
    <s v="Desarrollador"/>
    <s v="Distribuido"/>
    <m/>
    <e v="#NAME?"/>
    <x v="0"/>
    <e v="#NAME?"/>
    <m/>
    <m/>
    <m/>
    <m/>
    <m/>
    <m/>
  </r>
  <r>
    <s v="CE70220"/>
    <s v="JULIAN FELIPE VEGA HERNANDEZ "/>
    <x v="0"/>
    <s v="Senda"/>
    <s v="Accenture"/>
    <x v="0"/>
    <s v="SDATOOL-40457 $ SENDA (Base)"/>
    <n v="1"/>
    <s v="Desarrollador"/>
    <s v="APX"/>
    <m/>
    <e v="#NAME?"/>
    <x v="0"/>
    <e v="#NAME?"/>
    <m/>
    <m/>
    <m/>
    <m/>
    <m/>
    <m/>
  </r>
  <r>
    <s v="CE67866"/>
    <s v="NATALIA ORTIZ MALDONADO "/>
    <x v="0"/>
    <s v="Senda"/>
    <s v="Accenture"/>
    <x v="0"/>
    <s v="SDATOOL-40457 $ SENDA (Base)"/>
    <n v="1"/>
    <s v="Desarrollador"/>
    <s v="ASO"/>
    <m/>
    <e v="#NAME?"/>
    <x v="0"/>
    <e v="#NAME?"/>
    <m/>
    <m/>
    <m/>
    <m/>
    <m/>
    <m/>
  </r>
  <r>
    <s v="CE69818"/>
    <s v="NICOLAS  MORENO AREVALO"/>
    <x v="0"/>
    <s v="Senda"/>
    <s v="GGI / CMC"/>
    <x v="0"/>
    <s v="SDATOOL-40528 $ ETPB - SENDA PAGOS"/>
    <n v="1"/>
    <s v="Desarrollador"/>
    <s v="Cells"/>
    <m/>
    <e v="#NAME?"/>
    <x v="0"/>
    <e v="#NAME?"/>
    <m/>
    <m/>
    <m/>
    <m/>
    <m/>
    <m/>
  </r>
  <r>
    <s v="CE59964"/>
    <s v="OSCAR YECID  SANCHEZ ZAMORA"/>
    <x v="0"/>
    <s v="Senda"/>
    <s v="Neoris"/>
    <x v="0"/>
    <s v="SDATOOL-40528 $ ETPB - SENDA PAGOS"/>
    <n v="1"/>
    <s v="Desarrollador"/>
    <s v="ASO"/>
    <m/>
    <e v="#NAME?"/>
    <x v="0"/>
    <e v="#NAME?"/>
    <m/>
    <m/>
    <m/>
    <m/>
    <m/>
    <m/>
  </r>
  <r>
    <s v="C809501"/>
    <s v="RONALD ANTONIO ROMERO MONSALVE"/>
    <x v="0"/>
    <s v="Senda"/>
    <s v="BBVA"/>
    <x v="0"/>
    <s v="SDATOOL-40528 $ ETPB - SENDA PAGOS"/>
    <n v="1"/>
    <s v="Desarrollador"/>
    <s v="Distribuido"/>
    <m/>
    <e v="#NAME?"/>
    <x v="0"/>
    <e v="#NAME?"/>
    <m/>
    <m/>
    <m/>
    <m/>
    <m/>
    <m/>
  </r>
  <r>
    <s v="CE68026"/>
    <s v="MIGUEL LEONARDO AVILA AREVALO"/>
    <x v="0"/>
    <s v="Senda"/>
    <s v="GGI / CMC"/>
    <x v="0"/>
    <s v="SDATOOL-40457 $ SENDA (Base)"/>
    <n v="1"/>
    <s v="QA"/>
    <s v="Distribuido"/>
    <m/>
    <e v="#NAME?"/>
    <x v="0"/>
    <e v="#NAME?"/>
    <m/>
    <m/>
    <m/>
    <m/>
    <m/>
    <m/>
  </r>
  <r>
    <s v="T009939"/>
    <s v="THALIA VALENTINA MANRIQUE BELLO"/>
    <x v="0"/>
    <s v="Senda"/>
    <s v="Neoris"/>
    <x v="0"/>
    <s v="SDATOOL-40528 $ ETPB - SENDA PAGOS"/>
    <n v="1"/>
    <s v="Desarrollador"/>
    <s v="APX"/>
    <m/>
    <e v="#NAME?"/>
    <x v="0"/>
    <e v="#NAME?"/>
    <m/>
    <m/>
    <m/>
    <m/>
    <m/>
    <m/>
  </r>
  <r>
    <s v="O000110"/>
    <s v="YINETH SANEY FRANCO HERNANDEZ "/>
    <x v="0"/>
    <s v="Senda"/>
    <s v="BBVA"/>
    <x v="0"/>
    <s v="SDATOOL-40457 $ SENDA (Base)"/>
    <n v="1"/>
    <s v="Desarrollador"/>
    <s v="ASO"/>
    <m/>
    <e v="#NAME?"/>
    <x v="0"/>
    <e v="#NAME?"/>
    <m/>
    <m/>
    <m/>
    <m/>
    <m/>
    <m/>
  </r>
  <r>
    <s v="T009396"/>
    <s v="ZULMA ZORAYA  PENAGOS TAVERA"/>
    <x v="0"/>
    <s v="Senda"/>
    <s v="Novatec"/>
    <x v="0"/>
    <s v="SDATOOL-40528 $ ETPB - SENDA PAGOS"/>
    <n v="1"/>
    <s v="Desarrollador"/>
    <s v="Mainframe"/>
    <m/>
    <e v="#NAME?"/>
    <x v="0"/>
    <e v="#NAME?"/>
    <m/>
    <m/>
    <m/>
    <m/>
    <m/>
    <m/>
  </r>
  <r>
    <s v="C811372"/>
    <s v="TORRES CASTILLO JOAN SEBASTIÁN"/>
    <x v="0"/>
    <s v="Netcash"/>
    <s v="BBVA"/>
    <x v="0"/>
    <s v="SDATOOL-40555 $ ADELANTO DE VENTA EN GEMA"/>
    <n v="0.5"/>
    <s v="Desarrollador"/>
    <s v="Distribuido"/>
    <m/>
    <e v="#NAME?"/>
    <x v="0"/>
    <e v="#NAME?"/>
    <m/>
    <m/>
    <m/>
    <m/>
    <m/>
    <m/>
  </r>
  <r>
    <s v="C811372"/>
    <s v="TORRES CASTILLO JOAN SEBASTIÁN"/>
    <x v="0"/>
    <s v="Netcash"/>
    <s v="BBVA"/>
    <x v="0"/>
    <s v="SDATOOL-37169 $ EGS: Salto país y softoken"/>
    <n v="0.5"/>
    <s v="Desarrollador"/>
    <s v="Distribuido"/>
    <m/>
    <e v="#NAME?"/>
    <x v="0"/>
    <e v="#NAME?"/>
    <m/>
    <m/>
    <m/>
    <m/>
    <m/>
    <m/>
  </r>
  <r>
    <s v="CE66039"/>
    <s v="OCAMPO RODRIGUEZ JOHN JAILER"/>
    <x v="0"/>
    <s v="Netcash"/>
    <s v="GGI / CMC"/>
    <x v="0"/>
    <s v="SDATOOL-37169 $ EGS: Salto país y softoken"/>
    <n v="1"/>
    <s v="Desarrollador"/>
    <s v="Distribuido"/>
    <m/>
    <e v="#NAME?"/>
    <x v="0"/>
    <e v="#NAME?"/>
    <m/>
    <m/>
    <m/>
    <m/>
    <m/>
    <m/>
  </r>
  <r>
    <s v="C804101"/>
    <s v="FUQUENE CONTRERAS ADRIANA"/>
    <x v="0"/>
    <s v="Netcash"/>
    <s v="BBVA"/>
    <x v="0"/>
    <s v="SDATOOL-37169 $ EGS: Salto país y softoken"/>
    <n v="0.5"/>
    <s v="Tech Manager/Líder"/>
    <s v="Distribuido"/>
    <m/>
    <e v="#NAME?"/>
    <x v="0"/>
    <e v="#NAME?"/>
    <m/>
    <m/>
    <m/>
    <m/>
    <m/>
    <m/>
  </r>
  <r>
    <s v="C804101"/>
    <s v="FUQUENE CONTRERAS ADRIANA"/>
    <x v="0"/>
    <s v="Netcash"/>
    <s v="BBVA"/>
    <x v="0"/>
    <s v="SDATOOL-39358 $ Crédito Virtual"/>
    <n v="0.25"/>
    <s v="Tech Manager/Líder"/>
    <s v="Distribuido"/>
    <m/>
    <e v="#NAME?"/>
    <x v="0"/>
    <e v="#NAME?"/>
    <m/>
    <m/>
    <m/>
    <m/>
    <m/>
    <m/>
  </r>
  <r>
    <s v="C804101"/>
    <s v="FUQUENE CONTRERAS ADRIANA"/>
    <x v="0"/>
    <s v="Netcash"/>
    <s v="BBVA"/>
    <x v="0"/>
    <s v="SDATOOL-40555 $ ADELANTO DE VENTA EN GEMA"/>
    <n v="0.25"/>
    <s v="Tech Manager/Líder"/>
    <s v="Distribuido"/>
    <m/>
    <e v="#NAME?"/>
    <x v="0"/>
    <e v="#NAME?"/>
    <m/>
    <m/>
    <m/>
    <m/>
    <m/>
    <m/>
  </r>
  <r>
    <s v="C810885"/>
    <s v="GARCIA HERRERA MONICA LILIANA"/>
    <x v="0"/>
    <s v="Netcash"/>
    <s v="BBVA"/>
    <x v="0"/>
    <s v="SDATOOL-37425 $ Recaudo DIAN Tarjetas de Crédito Propio Banco través del Botón de pagos PSE para los canales Banca Personas y Banca de Empresas"/>
    <n v="0.25"/>
    <s v="Tech Manager/Líder"/>
    <m/>
    <m/>
    <e v="#NAME?"/>
    <x v="0"/>
    <e v="#NAME?"/>
    <m/>
    <m/>
    <m/>
    <m/>
    <m/>
    <m/>
  </r>
  <r>
    <s v="C810885"/>
    <s v="GARCIA HERRERA MONICA LILIANA"/>
    <x v="0"/>
    <s v="Netcash"/>
    <s v="BBVA"/>
    <x v="0"/>
    <s v="SDATOOL-40555 $ ADELANTO DE VENTA EN GEMA"/>
    <n v="0.25"/>
    <s v="Tech Manager/Líder"/>
    <m/>
    <m/>
    <e v="#NAME?"/>
    <x v="0"/>
    <e v="#NAME?"/>
    <m/>
    <m/>
    <m/>
    <m/>
    <m/>
    <m/>
  </r>
  <r>
    <s v="C810885"/>
    <s v="GARCIA HERRERA MONICA LILIANA"/>
    <x v="0"/>
    <s v="Netcash"/>
    <s v="BBVA"/>
    <x v="0"/>
    <s v="SDATOOL-40482 $ Incluir tasa ponderada en Adquirencia Onboarding digital - Netcash"/>
    <n v="0.5"/>
    <s v="Tech Manager/Líder"/>
    <m/>
    <m/>
    <e v="#NAME?"/>
    <x v="0"/>
    <e v="#NAME?"/>
    <m/>
    <m/>
    <m/>
    <m/>
    <m/>
    <m/>
  </r>
  <r>
    <s v="CE65938"/>
    <s v="AREVALO MORENO DEINA ALEJANDRA"/>
    <x v="0"/>
    <s v="Netcash"/>
    <s v="GGI / CMC"/>
    <x v="0"/>
    <s v="SDATOOL-37169 $ EGS: Salto país y softoken"/>
    <n v="1"/>
    <s v="Desarrollador"/>
    <s v="Distribuido"/>
    <m/>
    <e v="#NAME?"/>
    <x v="0"/>
    <e v="#NAME?"/>
    <m/>
    <m/>
    <m/>
    <m/>
    <m/>
    <m/>
  </r>
  <r>
    <s v="T006284"/>
    <s v="ROMERO LITSY DAYANA"/>
    <x v="0"/>
    <s v="Netcash"/>
    <s v="GGI / CMC"/>
    <x v="0"/>
    <s v="SDATOOL-37169 $ EGS: Salto país y softoken"/>
    <n v="1"/>
    <s v="QA"/>
    <s v="Distribuido"/>
    <m/>
    <e v="#NAME?"/>
    <x v="0"/>
    <e v="#NAME?"/>
    <m/>
    <m/>
    <m/>
    <m/>
    <m/>
    <m/>
  </r>
  <r>
    <s v="T011667"/>
    <s v="MARTINEZ RODRIGUEZ ENRIQUE"/>
    <x v="0"/>
    <s v="Netcash"/>
    <s v="GGI / CMC"/>
    <x v="0"/>
    <s v="SDATOOL-37169 $ EGS: Salto país y softoken"/>
    <n v="1"/>
    <s v="Desarrollador"/>
    <s v="Distribuido"/>
    <m/>
    <e v="#NAME?"/>
    <x v="0"/>
    <e v="#NAME?"/>
    <m/>
    <m/>
    <m/>
    <m/>
    <m/>
    <m/>
  </r>
  <r>
    <s v="C811005"/>
    <s v="OTALORA LEIVA LUIS FERNANDO"/>
    <x v="0"/>
    <s v="Netcash"/>
    <s v="BBVA"/>
    <x v="0"/>
    <s v="SDATOOL-39358 $ Crédito Virtual"/>
    <n v="0.75"/>
    <s v="Desarrollador"/>
    <s v="Distribuido"/>
    <m/>
    <e v="#NAME?"/>
    <x v="0"/>
    <e v="#NAME?"/>
    <m/>
    <m/>
    <m/>
    <m/>
    <m/>
    <m/>
  </r>
  <r>
    <s v="C811005"/>
    <s v="OTALORA LEIVA LUIS FERNANDO"/>
    <x v="0"/>
    <s v="Netcash"/>
    <s v="BBVA"/>
    <x v="0"/>
    <s v="SDATOOL-40555 $ ADELANTO DE VENTA EN GEMA"/>
    <n v="0.25"/>
    <s v="Desarrollador"/>
    <s v="Mainframe"/>
    <m/>
    <e v="#NAME?"/>
    <x v="0"/>
    <e v="#NAME?"/>
    <m/>
    <m/>
    <m/>
    <m/>
    <m/>
    <m/>
  </r>
  <r>
    <s v="C810684"/>
    <s v="CACERES CRISTANCHO JUAN SEBASTIAN"/>
    <x v="0"/>
    <s v="Netcash"/>
    <s v="BBVA"/>
    <x v="0"/>
    <s v="SDATOOL-40555 $ ADELANTO DE VENTA EN GEMA"/>
    <n v="1"/>
    <s v="Desarrollador"/>
    <s v="Distribuido"/>
    <m/>
    <e v="#NAME?"/>
    <x v="0"/>
    <e v="#NAME?"/>
    <m/>
    <m/>
    <m/>
    <m/>
    <m/>
    <m/>
  </r>
  <r>
    <s v="CE66581"/>
    <s v="POLANCO DANIEL LEONARDO"/>
    <x v="0"/>
    <s v="Netcash"/>
    <s v="GGI / CMC"/>
    <x v="0"/>
    <s v="SDATOOL-40555 $ ADELANTO DE VENTA EN GEMA"/>
    <n v="1"/>
    <s v="QA"/>
    <s v="Distribuido"/>
    <m/>
    <e v="#NAME?"/>
    <x v="0"/>
    <e v="#NAME?"/>
    <m/>
    <m/>
    <m/>
    <m/>
    <m/>
    <m/>
  </r>
  <r>
    <s v="T003697"/>
    <s v="BALLEN GAMBOA CRISTIAN"/>
    <x v="0"/>
    <s v="Netcash"/>
    <s v="GGI / CMC"/>
    <x v="0"/>
    <s v="SDATOOL-39358 $ Crédito Virtual"/>
    <n v="1"/>
    <s v="Desarrollador"/>
    <s v="Distribuido"/>
    <m/>
    <e v="#NAME?"/>
    <x v="0"/>
    <e v="#NAME?"/>
    <m/>
    <m/>
    <m/>
    <m/>
    <m/>
    <m/>
  </r>
  <r>
    <s v="CE65226"/>
    <s v="AMAYA CAMPOS SANTIAGO"/>
    <x v="0"/>
    <s v="Netcash"/>
    <s v="GGI / CMC"/>
    <x v="0"/>
    <s v="SDATOOL-39358 $ Crédito Virtual"/>
    <n v="0.5"/>
    <s v="Desarrollador"/>
    <s v="ASO"/>
    <m/>
    <e v="#NAME?"/>
    <x v="0"/>
    <e v="#NAME?"/>
    <m/>
    <m/>
    <m/>
    <m/>
    <m/>
    <m/>
  </r>
  <r>
    <s v="CE65226"/>
    <s v="AMAYA CAMPOS SANTIAGO"/>
    <x v="0"/>
    <s v="Netcash"/>
    <s v="GGI / CMC"/>
    <x v="0"/>
    <s v="SDATOOL-40555 $ ADELANTO DE VENTA EN GEMA"/>
    <n v="0.5"/>
    <s v="Desarrollador"/>
    <s v="APX"/>
    <m/>
    <e v="#NAME?"/>
    <x v="0"/>
    <e v="#NAME?"/>
    <m/>
    <m/>
    <m/>
    <m/>
    <m/>
    <m/>
  </r>
  <r>
    <s v="O002003"/>
    <s v="MORENO ANGEL HEYDEN AUGUSTO"/>
    <x v="0"/>
    <s v="Netcash"/>
    <s v="BBVA"/>
    <x v="0"/>
    <s v="SDATOOL-39358 $ Crédito Virtual"/>
    <n v="1"/>
    <s v="Desarrollador"/>
    <s v="Distribuido"/>
    <m/>
    <e v="#NAME?"/>
    <x v="0"/>
    <e v="#NAME?"/>
    <m/>
    <m/>
    <m/>
    <m/>
    <m/>
    <m/>
  </r>
  <r>
    <s v="T009653"/>
    <s v="MEJIA PAULA VALENTINA"/>
    <x v="0"/>
    <s v="Netcash"/>
    <s v="GGI / CMC"/>
    <x v="0"/>
    <s v="SDATOOL-39358 $ Crédito Virtual"/>
    <n v="1"/>
    <s v="QA"/>
    <s v="Distribuido"/>
    <m/>
    <e v="#NAME?"/>
    <x v="0"/>
    <e v="#NAME?"/>
    <m/>
    <m/>
    <m/>
    <m/>
    <m/>
    <m/>
  </r>
  <r>
    <s v="CE58814"/>
    <s v="PINZON VANEGAS MIGUEL ANGEL"/>
    <x v="0"/>
    <s v="Netcash"/>
    <s v="Inetum"/>
    <x v="0"/>
    <s v="SDATOOL-40555 $ ADELANTO DE VENTA EN GEMA"/>
    <n v="1"/>
    <s v="Desarrollador"/>
    <s v="Mainframe"/>
    <m/>
    <e v="#NAME?"/>
    <x v="0"/>
    <e v="#NAME?"/>
    <m/>
    <m/>
    <m/>
    <m/>
    <m/>
    <m/>
  </r>
  <r>
    <s v="T007566"/>
    <s v="PINEDA GALLEGO ZAMIR ALEJANDRO"/>
    <x v="0"/>
    <s v="Netcash"/>
    <s v="Inetum"/>
    <x v="0"/>
    <s v="SDATOOL-40555 $ ADELANTO DE VENTA EN GEMA"/>
    <n v="1"/>
    <s v="Desarrollador"/>
    <s v="APX"/>
    <m/>
    <e v="#NAME?"/>
    <x v="0"/>
    <e v="#NAME?"/>
    <m/>
    <m/>
    <m/>
    <m/>
    <m/>
    <m/>
  </r>
  <r>
    <s v="T007886"/>
    <s v="SILVA ROMERO JULIAN DAVID"/>
    <x v="0"/>
    <s v="Netcash"/>
    <s v="Inetum"/>
    <x v="0"/>
    <s v="SDATOOL-40555 $ ADELANTO DE VENTA EN GEMA"/>
    <n v="1"/>
    <s v="Desarrollador"/>
    <s v="APX"/>
    <m/>
    <e v="#NAME?"/>
    <x v="0"/>
    <e v="#NAME?"/>
    <m/>
    <m/>
    <m/>
    <m/>
    <m/>
    <m/>
  </r>
  <r>
    <s v="CE66910"/>
    <s v="PENAGOS JULIO CESAR"/>
    <x v="0"/>
    <s v="Netcash"/>
    <s v="GGI / CMC"/>
    <x v="0"/>
    <s v="SDATOOL-40555 $ ADELANTO DE VENTA EN GEMA"/>
    <n v="1"/>
    <s v="Desarrollador"/>
    <s v="ASO"/>
    <m/>
    <e v="#NAME?"/>
    <x v="0"/>
    <e v="#NAME?"/>
    <m/>
    <m/>
    <m/>
    <m/>
    <m/>
    <m/>
  </r>
  <r>
    <s v="CE61320"/>
    <s v="CASTILLO ALONSO GILBERTO"/>
    <x v="0"/>
    <s v="Netcash"/>
    <s v="Novatec"/>
    <x v="0"/>
    <s v="SDATOOL-40555 $ ADELANTO DE VENTA EN GEMA"/>
    <n v="1"/>
    <s v="Desarrollador"/>
    <s v="ASO"/>
    <m/>
    <e v="#NAME?"/>
    <x v="0"/>
    <e v="#NAME?"/>
    <m/>
    <m/>
    <m/>
    <m/>
    <m/>
    <m/>
  </r>
  <r>
    <s v="CE66764"/>
    <s v="FORERO RUIZ JOSE ANTONIO"/>
    <x v="0"/>
    <s v="Netcash"/>
    <s v="GGI / CMC"/>
    <x v="0"/>
    <s v="SDATOOL-40555 $ ADELANTO DE VENTA EN GEMA"/>
    <n v="1"/>
    <s v="Desarrollador"/>
    <s v="Cells"/>
    <m/>
    <e v="#NAME?"/>
    <x v="0"/>
    <e v="#NAME?"/>
    <m/>
    <m/>
    <m/>
    <m/>
    <m/>
    <m/>
  </r>
  <r>
    <s v="CE70407"/>
    <s v="BARRIOS ASPRILLA BREINER I"/>
    <x v="0"/>
    <s v="Netcash"/>
    <s v="KRYPTO"/>
    <x v="0"/>
    <s v="NOSDA $ BAU (Mantenimiento y peq. evolutivos)"/>
    <n v="1"/>
    <s v="Otros"/>
    <s v="Distribuido"/>
    <m/>
    <e v="#NAME?"/>
    <x v="0"/>
    <e v="#NAME?"/>
    <m/>
    <m/>
    <m/>
    <m/>
    <m/>
    <m/>
  </r>
  <r>
    <s v="T005929"/>
    <s v="CAVIEDES JIMENEZ JULIAN FELIPE"/>
    <x v="0"/>
    <s v="Netcash"/>
    <s v="GGI / CMC"/>
    <x v="0"/>
    <s v="NOSDA $ BAU (Mantenimiento y peq. evolutivos)"/>
    <n v="1"/>
    <s v="Otros"/>
    <s v="Distribuido"/>
    <m/>
    <e v="#NAME?"/>
    <x v="0"/>
    <e v="#NAME?"/>
    <m/>
    <m/>
    <m/>
    <m/>
    <m/>
    <m/>
  </r>
  <r>
    <s v="CE51848"/>
    <s v="GORDO BELTRAN DANIEL FERNANDO"/>
    <x v="0"/>
    <s v="Netcash"/>
    <s v="Inetum"/>
    <x v="0"/>
    <s v="NOSDA $ BAU (Mantenimiento y peq. evolutivos)"/>
    <n v="0.5"/>
    <s v="Otros"/>
    <s v="Distribuido"/>
    <m/>
    <e v="#NAME?"/>
    <x v="0"/>
    <e v="#NAME?"/>
    <m/>
    <m/>
    <m/>
    <m/>
    <m/>
    <m/>
  </r>
  <r>
    <s v="T004335"/>
    <s v="MANCIPE JUAN DAVID"/>
    <x v="0"/>
    <s v="Netcash"/>
    <s v="GGI / CMC"/>
    <x v="0"/>
    <s v="SDATOOL-40555 $ ADELANTO DE VENTA EN GEMA"/>
    <n v="1"/>
    <s v="Desarrollador"/>
    <s v="Cells"/>
    <m/>
    <e v="#NAME?"/>
    <x v="0"/>
    <e v="#NAME?"/>
    <m/>
    <m/>
    <m/>
    <m/>
    <m/>
    <m/>
  </r>
  <r>
    <s v="CI08666"/>
    <s v="Jorge Anibal Blanco Meneses"/>
    <x v="1"/>
    <s v="Fiduciaria"/>
    <s v="BBVA Fiduciaria"/>
    <x v="0"/>
    <s v="NOSDA $ BAU (Mantenimiento y peq. evolutivos)"/>
    <n v="0.4"/>
    <s v="Tech Manager/Líder"/>
    <m/>
    <s v="Interno"/>
    <e v="#NAME?"/>
    <x v="0"/>
    <e v="#NAME?"/>
    <m/>
    <m/>
    <m/>
    <m/>
    <m/>
    <m/>
  </r>
  <r>
    <s v="CE34456"/>
    <s v="JOHN EDUAR LUNA SANCHEZ"/>
    <x v="1"/>
    <s v="Global Market &amp; Comex"/>
    <s v="GGI / CMC"/>
    <x v="0"/>
    <s v="SDATOOL-40269 $ Actualización y transmisión Declaraciones de Cambio – Banco de la República Abril 2022."/>
    <n v="0.25"/>
    <s v="QA"/>
    <s v="Otras Tec."/>
    <m/>
    <e v="#NAME?"/>
    <x v="0"/>
    <e v="#NAME?"/>
    <m/>
    <m/>
    <m/>
    <m/>
    <m/>
    <m/>
  </r>
  <r>
    <s v="CE34456"/>
    <s v="JOHN EDUAR LUNA SANCHEZ"/>
    <x v="1"/>
    <s v="Global Market &amp; Comex"/>
    <s v="GGI / CMC"/>
    <x v="0"/>
    <s v="SDATOOL-37342 $ SWIFT ISO20022 Ajuste de mensajes Swift a la nueva estructura"/>
    <n v="0.25"/>
    <s v="QA"/>
    <s v="Otras Tec."/>
    <m/>
    <e v="#NAME?"/>
    <x v="0"/>
    <e v="#NAME?"/>
    <m/>
    <m/>
    <m/>
    <m/>
    <m/>
    <m/>
  </r>
  <r>
    <s v="CE34456"/>
    <s v="JOHN EDUAR LUNA SANCHEZ"/>
    <x v="1"/>
    <s v="Global Market &amp; Comex"/>
    <s v="GGI / CMC"/>
    <x v="0"/>
    <s v="NOSDA $ BAU (Mantenimiento y peq. evolutivos)"/>
    <n v="0.5"/>
    <s v="QA"/>
    <s v="Otras Tec."/>
    <m/>
    <e v="#NAME?"/>
    <x v="0"/>
    <e v="#NAME?"/>
    <m/>
    <m/>
    <m/>
    <m/>
    <m/>
    <m/>
  </r>
  <r>
    <s v="CE41784"/>
    <s v="JORGE HUMBERTO MARTINEZ MARIN"/>
    <x v="1"/>
    <s v="Global Market &amp; Comex"/>
    <s v="Novatec"/>
    <x v="0"/>
    <s v="SDATOOL-36047 $ Bloqueo Sobregiro para Pago Capital e Intereses"/>
    <n v="1"/>
    <s v="Desarrollador"/>
    <s v="Mainframe"/>
    <m/>
    <e v="#NAME?"/>
    <x v="0"/>
    <e v="#NAME?"/>
    <m/>
    <m/>
    <m/>
    <m/>
    <m/>
    <m/>
  </r>
  <r>
    <s v="CE57264"/>
    <s v="LUCIO RAMIRO TAPIA VARGAS"/>
    <x v="1"/>
    <s v="Global Market &amp; Comex"/>
    <s v="Novatec"/>
    <x v="0"/>
    <s v="SDATOOL-36047 $ Bloqueo Sobregiro para Pago Capital e Intereses"/>
    <n v="1"/>
    <s v="Desarrollador"/>
    <s v="Mainframe"/>
    <m/>
    <e v="#NAME?"/>
    <x v="0"/>
    <e v="#NAME?"/>
    <m/>
    <m/>
    <m/>
    <m/>
    <m/>
    <m/>
  </r>
  <r>
    <s v="T007049"/>
    <s v="ALVARO ARENAS SANCHEZ"/>
    <x v="1"/>
    <s v="Global Market &amp; Comex"/>
    <s v="Accenture"/>
    <x v="0"/>
    <s v="NOSDA $ BAU (Mantenimiento y peq. evolutivos)"/>
    <n v="1"/>
    <s v="Desarrollador"/>
    <s v="Distribuido"/>
    <m/>
    <e v="#NAME?"/>
    <x v="0"/>
    <e v="#NAME?"/>
    <m/>
    <m/>
    <m/>
    <m/>
    <m/>
    <m/>
  </r>
  <r>
    <s v="CE69613"/>
    <s v="MARTÍN RODRIGUEZ"/>
    <x v="1"/>
    <s v="Global Market &amp; Comex"/>
    <s v="Accenture"/>
    <x v="0"/>
    <s v="SDATOOL-41308 $ Aplicativos Tesorería 2023"/>
    <n v="0.2"/>
    <s v="Desarrollador"/>
    <s v="Distribuido"/>
    <m/>
    <e v="#NAME?"/>
    <x v="0"/>
    <e v="#NAME?"/>
    <m/>
    <m/>
    <m/>
    <m/>
    <m/>
    <m/>
  </r>
  <r>
    <s v="CE67315"/>
    <s v="YEFERSON OCHOA"/>
    <x v="1"/>
    <s v="Global Market &amp; Comex"/>
    <s v="Accenture"/>
    <x v="0"/>
    <s v="SDATOOL-41308 $ Aplicativos Tesorería 2023"/>
    <n v="0.2"/>
    <s v="Desarrollador"/>
    <s v="Distribuido"/>
    <m/>
    <e v="#NAME?"/>
    <x v="0"/>
    <e v="#NAME?"/>
    <m/>
    <m/>
    <m/>
    <m/>
    <m/>
    <m/>
  </r>
  <r>
    <s v="T003696"/>
    <s v="LUIS LOZANO"/>
    <x v="1"/>
    <s v="Global Market &amp; Comex"/>
    <s v="Accenture"/>
    <x v="0"/>
    <s v="SDATOOL-41308 $ Aplicativos Tesorería 2023"/>
    <n v="0.2"/>
    <s v="Desarrollador"/>
    <s v="Distribuido"/>
    <m/>
    <e v="#NAME?"/>
    <x v="0"/>
    <e v="#NAME?"/>
    <m/>
    <m/>
    <m/>
    <m/>
    <m/>
    <m/>
  </r>
  <r>
    <s v="CE66251"/>
    <s v="SANTIAGO A SANTOS ESTRADA"/>
    <x v="1"/>
    <s v="Global Market &amp; Comex"/>
    <s v="GGI / CMC"/>
    <x v="0"/>
    <s v="NOSDA $ BAU (Mantenimiento y peq. evolutivos)"/>
    <n v="0.5"/>
    <s v="QA"/>
    <s v="Distribuido"/>
    <m/>
    <e v="#NAME?"/>
    <x v="0"/>
    <e v="#NAME?"/>
    <m/>
    <m/>
    <m/>
    <m/>
    <m/>
    <m/>
  </r>
  <r>
    <s v="CE66251"/>
    <s v="BRIAN LEONARDO PEREZ RUBIANO"/>
    <x v="1"/>
    <s v="Global Market &amp; Comex"/>
    <s v="GGI / CMC"/>
    <x v="0"/>
    <s v="NOSDA $ BAU (Mantenimiento y peq. evolutivos)"/>
    <n v="0.5"/>
    <s v="QA"/>
    <s v="Distribuido"/>
    <m/>
    <e v="#NAME?"/>
    <x v="0"/>
    <e v="#NAME?"/>
    <m/>
    <m/>
    <m/>
    <m/>
    <m/>
    <m/>
  </r>
  <r>
    <s v="C811378"/>
    <s v="ANDRES FELIPE GOMEZ"/>
    <x v="3"/>
    <s v="Cross/Gestor documental y SSDD"/>
    <s v="BBVA"/>
    <x v="0"/>
    <s v="SDATOOL-38742 $ Gestor Documental Retail"/>
    <n v="1"/>
    <s v="Desarrollador"/>
    <s v="ASO"/>
    <s v="[GDG] - Habilitador Gestor Documental EMC1"/>
    <e v="#NAME?"/>
    <x v="0"/>
    <e v="#NAME?"/>
    <m/>
    <m/>
    <m/>
    <m/>
    <m/>
    <e v="#REF!"/>
  </r>
  <r>
    <s v="O002144"/>
    <s v="JEISON EDUARDO HERNANDEZ"/>
    <x v="3"/>
    <s v="Cross/Gestor documental y SSDD"/>
    <s v="BBVA"/>
    <x v="0"/>
    <s v="SDATOOL-38742 $ Gestor Documental Retail"/>
    <n v="1"/>
    <s v="Desarrollador"/>
    <s v="APX"/>
    <s v="[GDG] - Habilitador Gestor Documental EMC1"/>
    <e v="#NAME?"/>
    <x v="0"/>
    <e v="#NAME?"/>
    <m/>
    <m/>
    <m/>
    <m/>
    <m/>
    <n v="1"/>
  </r>
  <r>
    <s v="C804805"/>
    <s v="STEFANY CAROLINA MEDINA VILLADIENGO"/>
    <x v="3"/>
    <s v="Cross/Gestor documental y SSDD"/>
    <s v="BBVA"/>
    <x v="0"/>
    <s v="SDATOOL-38742 $ Gestor Documental Retail"/>
    <n v="1"/>
    <s v="Desarrollador"/>
    <s v="APX"/>
    <s v="[GDG] - Habilitador Gestor Documental EMC1"/>
    <e v="#NAME?"/>
    <x v="0"/>
    <e v="#NAME?"/>
    <m/>
    <m/>
    <m/>
    <m/>
    <m/>
    <n v="1"/>
  </r>
  <r>
    <s v="O004614"/>
    <s v="ALEXANDER GONZALEZ PEÑA"/>
    <x v="3"/>
    <s v="Cross/Gestor documental y SSDD"/>
    <s v="BBVA"/>
    <x v="0"/>
    <s v="SDATOOL-39840 $ BBVA Valores en Canales (Net Cash / Net)"/>
    <n v="0.8"/>
    <s v="Desarrollador"/>
    <s v="Distribuido"/>
    <s v="[WIMEB] - Inclusión Extractos Producto de Valores"/>
    <e v="#NAME?"/>
    <x v="0"/>
    <e v="#NAME?"/>
    <m/>
    <m/>
    <m/>
    <m/>
    <m/>
    <n v="1"/>
  </r>
  <r>
    <s v="O004614"/>
    <s v="ALEXANDER GONZALEZ PEÑA"/>
    <x v="3"/>
    <s v="Cross/Gestor documental y SSDD"/>
    <s v="BBVA"/>
    <x v="0"/>
    <s v="NOSDA $ BAU (Mantenimiento y peq. evolutivos)"/>
    <n v="0.1"/>
    <s v="Desarrollador"/>
    <s v="Distribuido"/>
    <s v="[WIMEB] - Soporte Produccion"/>
    <e v="#NAME?"/>
    <x v="0"/>
    <e v="#NAME?"/>
    <m/>
    <m/>
    <m/>
    <m/>
    <m/>
    <n v="0"/>
  </r>
  <r>
    <s v="O004614"/>
    <s v="ALEXANDER GONZALEZ PEÑA"/>
    <x v="3"/>
    <s v="Cross/Gestor documental y SSDD"/>
    <s v="BBVA"/>
    <x v="0"/>
    <s v="NOSDA $ BAU (Mantenimiento y peq. evolutivos)"/>
    <n v="0.1"/>
    <s v="Desarrollador"/>
    <s v="Distribuido"/>
    <s v="[WIMEB] - Carta de bienvenida Libranza"/>
    <e v="#NAME?"/>
    <x v="0"/>
    <e v="#NAME?"/>
    <m/>
    <m/>
    <m/>
    <m/>
    <m/>
    <n v="0"/>
  </r>
  <r>
    <s v="C809712"/>
    <s v="MIGUEL ANGEL ALBARRACIN"/>
    <x v="3"/>
    <s v="Cross/Gestor documental y SSDD"/>
    <s v="BBVA"/>
    <x v="0"/>
    <s v="SDATOOL-37753 $ Plan de transformación de operaciones 2022"/>
    <n v="0.7"/>
    <s v="Desarrollador"/>
    <s v="ASO"/>
    <s v="[IDP] - COLWSBPE-115 - Definiciones a nivel técnico "/>
    <e v="#NAME?"/>
    <x v="0"/>
    <e v="#NAME?"/>
    <m/>
    <m/>
    <m/>
    <m/>
    <m/>
    <n v="1"/>
  </r>
  <r>
    <s v="C809712"/>
    <s v="MIGUEL ANGEL ALBARRACIN"/>
    <x v="3"/>
    <s v="Cross/Gestor documental y SSDD"/>
    <s v="BBVA"/>
    <x v="0"/>
    <s v="SDATOOL-35463 $ Gestión de Ingresos - Períodos de Gracia Libranzas"/>
    <n v="0.2"/>
    <s v="Desarrollador"/>
    <s v="Distribuido"/>
    <s v="[WIMEB] - Carta de bienvenida consumo"/>
    <e v="#NAME?"/>
    <x v="0"/>
    <e v="#NAME?"/>
    <m/>
    <m/>
    <m/>
    <m/>
    <m/>
    <n v="0"/>
  </r>
  <r>
    <s v="C809712"/>
    <s v="MIGUEL ANGEL ALBARRACIN"/>
    <x v="3"/>
    <s v="Cross/Gestor documental y SSDD"/>
    <s v="BBVA"/>
    <x v="0"/>
    <s v="NOSDA $ BAU (Mantenimiento y peq. evolutivos)"/>
    <n v="0.1"/>
    <s v="Desarrollador"/>
    <s v="Distribuido"/>
    <s v="[WIMEB] - INICIDENCIA   Consulta de Extractos"/>
    <e v="#NAME?"/>
    <x v="0"/>
    <e v="#NAME?"/>
    <m/>
    <m/>
    <m/>
    <m/>
    <m/>
    <n v="0"/>
  </r>
  <r>
    <s v="C804845"/>
    <s v="DIEGO ANDRES JIMENEZ PABUENA"/>
    <x v="3"/>
    <s v="Cross/Gestor documental y SSDD"/>
    <s v="BBVA"/>
    <x v="0"/>
    <s v="SDATOOL-40435 $ Cuota Segura créditos de libranza"/>
    <n v="0.5"/>
    <s v="Desarrollador"/>
    <s v="Distribuido"/>
    <s v="[PNB] - Proyecto : Gestión de Ingresos - Períodos de Gracia Libranzas"/>
    <e v="#NAME?"/>
    <x v="0"/>
    <e v="#NAME?"/>
    <m/>
    <m/>
    <m/>
    <m/>
    <m/>
    <n v="1"/>
  </r>
  <r>
    <s v="C804845"/>
    <s v="DIEGO ANDRES JIMENEZ PABUENA"/>
    <x v="3"/>
    <s v="Cross/Gestor documental y SSDD"/>
    <s v="BBVA"/>
    <x v="0"/>
    <s v="NOSDA $ BAU (Mantenimiento y peq. evolutivos)"/>
    <n v="0.1"/>
    <s v="Desarrollador"/>
    <s v="Distribuido"/>
    <s v="[FARO] - Revisión documentos pendientes por migrar"/>
    <e v="#NAME?"/>
    <x v="0"/>
    <e v="#NAME?"/>
    <m/>
    <m/>
    <m/>
    <m/>
    <m/>
    <n v="0"/>
  </r>
  <r>
    <s v="C804845"/>
    <s v="DIEGO ANDRES JIMENEZ PABUENA"/>
    <x v="3"/>
    <s v="Cross/Gestor documental y SSDD"/>
    <s v="BBVA"/>
    <x v="0"/>
    <s v="NOSDA $ BAU (Mantenimiento y peq. evolutivos)"/>
    <n v="0.05"/>
    <s v="Desarrollador"/>
    <s v="Distribuido"/>
    <s v="[Firmas Valuadoras] - Dia a Dia / Firmas valuadoras. Creación usuarios"/>
    <e v="#NAME?"/>
    <x v="0"/>
    <e v="#NAME?"/>
    <m/>
    <m/>
    <m/>
    <m/>
    <m/>
    <n v="0"/>
  </r>
  <r>
    <s v="C804845"/>
    <s v="DIEGO ANDRES JIMENEZ PABUENA"/>
    <x v="3"/>
    <s v="Cross/Gestor documental y SSDD"/>
    <s v="BBVA"/>
    <x v="0"/>
    <s v="NOSDA $ BAU (Mantenimiento y peq. evolutivos)"/>
    <n v="0.1"/>
    <s v="Desarrollador"/>
    <s v="Distribuido"/>
    <s v="[PNB] - Atención solicitudes de actualización"/>
    <e v="#NAME?"/>
    <x v="0"/>
    <e v="#NAME?"/>
    <m/>
    <m/>
    <m/>
    <m/>
    <m/>
    <n v="0"/>
  </r>
  <r>
    <s v="C804845"/>
    <s v="DIEGO ANDRES JIMENEZ PABUENA"/>
    <x v="3"/>
    <s v="Cross/Gestor documental y SSDD"/>
    <s v="BBVA"/>
    <x v="0"/>
    <s v="NOSDA $ BAU (Mantenimiento y peq. evolutivos)"/>
    <n v="0.1"/>
    <s v="Desarrollador"/>
    <s v="Distribuido"/>
    <s v="[Lotus-Khronos] - Validación ejecución de Momentos, Ajustes, reporcesos dependiendo de casuisitica"/>
    <e v="#NAME?"/>
    <x v="0"/>
    <e v="#NAME?"/>
    <m/>
    <m/>
    <m/>
    <m/>
    <m/>
    <n v="0"/>
  </r>
  <r>
    <s v="C804845"/>
    <s v="DIEGO ANDRES JIMENEZ PABUENA"/>
    <x v="3"/>
    <s v="Cross/Gestor documental y SSDD"/>
    <s v="BBVA"/>
    <x v="0"/>
    <s v="SDATOOL-41203 $ Obsolescencia Aplicativa 2023"/>
    <n v="0.1"/>
    <s v="Desarrollador"/>
    <s v="Distribuido"/>
    <s v="[GranNet] - Migración modulos AdminPlan"/>
    <e v="#NAME?"/>
    <x v="0"/>
    <e v="#NAME?"/>
    <m/>
    <m/>
    <m/>
    <m/>
    <m/>
    <n v="0"/>
  </r>
  <r>
    <s v="C804845"/>
    <s v="DIEGO ANDRES JIMENEZ PABUENA"/>
    <x v="3"/>
    <s v="Cross/Gestor documental y SSDD"/>
    <s v="BBVA"/>
    <x v="0"/>
    <s v="SDATOOL-35329 $ Activo Particular 2021"/>
    <n v="0.05"/>
    <s v="Desarrollador"/>
    <s v="Distribuido"/>
    <s v="[GranNet] - Modulo de liquidación de comisiones"/>
    <e v="#NAME?"/>
    <x v="0"/>
    <e v="#NAME?"/>
    <m/>
    <m/>
    <m/>
    <m/>
    <m/>
    <n v="0"/>
  </r>
  <r>
    <s v="O002373"/>
    <s v="ESTEBAN ARIAS CARACAS"/>
    <x v="3"/>
    <s v="Cross/Gestor documental y SSDD"/>
    <s v="BBVA"/>
    <x v="0"/>
    <s v="SDATOOL-38757 $ Modelo administrativo de oficina - Omnicanalidad"/>
    <n v="1"/>
    <s v="Desarrollador"/>
    <s v="Distribuido"/>
    <m/>
    <e v="#NAME?"/>
    <x v="0"/>
    <e v="#NAME?"/>
    <m/>
    <m/>
    <m/>
    <m/>
    <m/>
    <e v="#REF!"/>
  </r>
  <r>
    <s v="O000471"/>
    <s v="RONAL ALBERTO TABORDA MORENO"/>
    <x v="3"/>
    <s v="Cross/Gestor documental y SSDD"/>
    <s v="BBVA"/>
    <x v="0"/>
    <s v="SDATOOL-38757 $ Modelo administrativo de oficina - Omnicanalidad"/>
    <n v="1"/>
    <s v="Desarrollador"/>
    <s v="Distribuido"/>
    <m/>
    <e v="#NAME?"/>
    <x v="0"/>
    <e v="#NAME?"/>
    <m/>
    <m/>
    <m/>
    <m/>
    <m/>
    <n v="1"/>
  </r>
  <r>
    <s v="C805945"/>
    <s v="PAULO CESAR SALDARRIAGA"/>
    <x v="3"/>
    <s v="Cross/Personas y Arq. Host"/>
    <s v="BBVA"/>
    <x v="0"/>
    <s v="SDATOOL-41171 $ CBS Core Banking Strategy Convivencia Clients and Contracts"/>
    <n v="0.9"/>
    <s v="Desarrollador"/>
    <s v="LRBA"/>
    <m/>
    <e v="#NAME?"/>
    <x v="0"/>
    <e v="#NAME?"/>
    <m/>
    <m/>
    <m/>
    <m/>
    <m/>
    <n v="1"/>
  </r>
  <r>
    <s v="C805945"/>
    <s v="PAULO CESAR SALDARRIAGA"/>
    <x v="3"/>
    <s v="Cross/Personas y Arq. Host"/>
    <s v="BBVA"/>
    <x v="0"/>
    <s v="NOSDA $ BAU (Mantenimiento y peq. evolutivos)"/>
    <n v="0.1"/>
    <s v="Desarrollador"/>
    <s v="LRBA"/>
    <m/>
    <e v="#NAME?"/>
    <x v="0"/>
    <e v="#NAME?"/>
    <m/>
    <m/>
    <m/>
    <m/>
    <m/>
    <n v="0"/>
  </r>
  <r>
    <s v="CE60804"/>
    <s v="ALVARO IVAN BARRIOS PINEDA"/>
    <x v="3"/>
    <s v="Cross/Personas y Arq. Host"/>
    <s v="Indra"/>
    <x v="0"/>
    <s v="NOSDA $ BAU (Mantenimiento y peq. evolutivos)"/>
    <n v="0.5"/>
    <s v="Desarrollador"/>
    <s v="Mainframe"/>
    <m/>
    <e v="#NAME?"/>
    <x v="0"/>
    <e v="#NAME?"/>
    <m/>
    <m/>
    <m/>
    <m/>
    <m/>
    <n v="1"/>
  </r>
  <r>
    <s v="CE64752"/>
    <s v="NIDIA CONTRERAS HERNANDEZ"/>
    <x v="3"/>
    <s v="Cross/Personas y Arq. Host"/>
    <s v="KRYPTO"/>
    <x v="0"/>
    <s v="NOSDA $ BAU (Mantenimiento y peq. evolutivos)"/>
    <n v="0.5"/>
    <s v="QA"/>
    <s v="Otras Tec."/>
    <m/>
    <e v="#NAME?"/>
    <x v="0"/>
    <e v="#NAME?"/>
    <m/>
    <m/>
    <m/>
    <m/>
    <m/>
    <n v="1"/>
  </r>
  <r>
    <s v="CE71176"/>
    <s v="IVAN YESID REYES CALCETERO"/>
    <x v="3"/>
    <s v="Cross/Personas y Arq. Host"/>
    <s v="KRYPTO"/>
    <x v="0"/>
    <s v="SDATOOL-41171 $ CBS Core Banking Strategy Convivencia Clients and Contracts"/>
    <n v="0.5"/>
    <s v="QA"/>
    <s v="Otras Tec."/>
    <m/>
    <e v="#NAME?"/>
    <x v="0"/>
    <e v="#NAME?"/>
    <m/>
    <m/>
    <m/>
    <m/>
    <m/>
    <n v="1"/>
  </r>
  <r>
    <s v="O000437"/>
    <s v="EDISON TRONCOSO PARADA"/>
    <x v="3"/>
    <s v="Cross/Personas y Arq. Host"/>
    <s v="BBVA"/>
    <x v="0"/>
    <s v="NOSDA $ BAU (Mantenimiento y peq. evolutivos)"/>
    <n v="0.15"/>
    <s v="Desarrollador"/>
    <s v="Mainframe"/>
    <m/>
    <e v="#NAME?"/>
    <x v="0"/>
    <e v="#NAME?"/>
    <m/>
    <m/>
    <m/>
    <m/>
    <m/>
    <n v="1"/>
  </r>
  <r>
    <s v="O000437"/>
    <s v="EDISON TRONCOSO PARADA"/>
    <x v="3"/>
    <s v="Cross/Personas y Arq. Host"/>
    <s v="BBVA"/>
    <x v="0"/>
    <s v="SDATOOL-41171 $ CBS Core Banking Strategy Convivencia Clients and Contracts"/>
    <n v="0.4"/>
    <s v="Desarrollador"/>
    <s v="Mainframe"/>
    <m/>
    <e v="#NAME?"/>
    <x v="0"/>
    <e v="#NAME?"/>
    <m/>
    <m/>
    <m/>
    <m/>
    <m/>
    <n v="0"/>
  </r>
  <r>
    <s v="O000437"/>
    <s v="EDISON TRONCOSO PARADA"/>
    <x v="3"/>
    <s v="Cross/Personas y Arq. Host"/>
    <s v="BBVA"/>
    <x v="0"/>
    <s v="SDATOOL-39246 $ Nuevo tipo de identificación para extranjeros"/>
    <n v="0.05"/>
    <s v="Desarrollador"/>
    <s v="Mainframe"/>
    <m/>
    <e v="#NAME?"/>
    <x v="0"/>
    <e v="#NAME?"/>
    <m/>
    <m/>
    <m/>
    <m/>
    <m/>
    <n v="0"/>
  </r>
  <r>
    <s v="O000437"/>
    <s v="EDISON TRONCOSO PARADA"/>
    <x v="3"/>
    <s v="Cross/Personas y Arq. Host"/>
    <s v="BBVA"/>
    <x v="0"/>
    <s v="SDATOOL-41202 $ GRM Col - Ajustes Asset Allocation y Riesgo de Concentración"/>
    <n v="0.25"/>
    <s v="Desarrollador"/>
    <s v="Mainframe"/>
    <m/>
    <e v="#NAME?"/>
    <x v="0"/>
    <e v="#NAME?"/>
    <m/>
    <m/>
    <m/>
    <m/>
    <m/>
    <n v="0"/>
  </r>
  <r>
    <s v="O000443"/>
    <s v="OSCAR BARBOSA OSPINA"/>
    <x v="3"/>
    <s v="Cross/Personas y Arq. Host"/>
    <s v="BBVA"/>
    <x v="0"/>
    <s v="SDATOOL-41171 $ CBS Core Banking Strategy Convivencia Clients and Contracts"/>
    <n v="0.2"/>
    <s v="Tech Manager/Líder"/>
    <s v="Mainframe"/>
    <m/>
    <e v="#NAME?"/>
    <x v="0"/>
    <e v="#NAME?"/>
    <m/>
    <m/>
    <m/>
    <m/>
    <m/>
    <n v="1"/>
  </r>
  <r>
    <s v="O001817"/>
    <s v="ALEX EDWIN TOSCANO MAESTRE"/>
    <x v="3"/>
    <s v="Cross/Personas y Arq. Host"/>
    <s v="BBVA"/>
    <x v="0"/>
    <s v="NOSDA $ BAU (Mantenimiento y peq. evolutivos)"/>
    <n v="0.08"/>
    <s v="Desarrollador"/>
    <s v="Mainframe"/>
    <m/>
    <e v="#NAME?"/>
    <x v="0"/>
    <e v="#NAME?"/>
    <m/>
    <m/>
    <m/>
    <m/>
    <m/>
    <n v="1"/>
  </r>
  <r>
    <s v="O001817"/>
    <s v="ALEX EDWIN TOSCANO MAESTRE"/>
    <x v="3"/>
    <s v="Cross/Personas y Arq. Host"/>
    <s v="BBVA"/>
    <x v="0"/>
    <s v="SDATOOL-41171 $ CBS Core Banking Strategy Convivencia Clients and Contracts"/>
    <n v="0.35"/>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975"/>
    <s v="FELIPE ANDRES QUINTERO HIGUITA"/>
    <x v="3"/>
    <s v="Cross/Personas y Arq. Host"/>
    <s v="BBVA"/>
    <x v="0"/>
    <s v="SDATOOL-41171 $ CBS Core Banking Strategy Convivencia Clients and Contracts"/>
    <n v="0.9"/>
    <s v="Desarrollador"/>
    <s v="LRBA"/>
    <m/>
    <e v="#NAME?"/>
    <x v="0"/>
    <e v="#NAME?"/>
    <m/>
    <m/>
    <m/>
    <m/>
    <m/>
    <n v="1"/>
  </r>
  <r>
    <s v="O001975"/>
    <s v="FELIPE ANDRES QUINTERO HIGUITA"/>
    <x v="3"/>
    <s v="Cross/Personas y Arq. Host"/>
    <s v="BBVA"/>
    <x v="0"/>
    <s v="NOSDA $ BAU (Mantenimiento y peq. evolutivos)"/>
    <n v="0.1"/>
    <s v="Desarrollador"/>
    <s v="LRBA"/>
    <m/>
    <e v="#NAME?"/>
    <x v="0"/>
    <e v="#NAME?"/>
    <m/>
    <m/>
    <m/>
    <m/>
    <m/>
    <n v="0"/>
  </r>
  <r>
    <s v="O001976"/>
    <s v="OSCAR ANDRES CARDOZA OLANO"/>
    <x v="3"/>
    <s v="Cross/Personas y Arq. Host"/>
    <s v="BBVA"/>
    <x v="0"/>
    <s v="SDATOOL-41171 $ CBS Core Banking Strategy Convivencia Clients and Contracts"/>
    <n v="0.9"/>
    <s v="Desarrollador"/>
    <s v="APX"/>
    <m/>
    <e v="#NAME?"/>
    <x v="0"/>
    <e v="#NAME?"/>
    <m/>
    <m/>
    <m/>
    <m/>
    <m/>
    <n v="1"/>
  </r>
  <r>
    <s v="O001976"/>
    <s v="OSCAR ANDRES CARDOZA OLANO"/>
    <x v="3"/>
    <s v="Cross/Personas y Arq. Host"/>
    <s v="BBVA"/>
    <x v="0"/>
    <s v="NOSDA $ BAU (Mantenimiento y peq. evolutivos)"/>
    <n v="0.1"/>
    <s v="Desarrollador"/>
    <s v="APX"/>
    <m/>
    <e v="#NAME?"/>
    <x v="0"/>
    <e v="#NAME?"/>
    <m/>
    <m/>
    <m/>
    <m/>
    <m/>
    <n v="0"/>
  </r>
  <r>
    <s v="O003809"/>
    <s v="DIEGO ANDRES GUTIERREZ MESA"/>
    <x v="3"/>
    <s v="Cross/Personas y Arq. Host"/>
    <s v="BBVA"/>
    <x v="0"/>
    <s v="SDATOOL-41171 $ CBS Core Banking Strategy Convivencia Clients and Contracts"/>
    <n v="1"/>
    <s v="Tech Manager/Líder"/>
    <s v="LRBA"/>
    <m/>
    <e v="#NAME?"/>
    <x v="0"/>
    <e v="#NAME?"/>
    <m/>
    <m/>
    <m/>
    <m/>
    <m/>
    <n v="1"/>
  </r>
  <r>
    <s v="O001817"/>
    <s v="ALEX EDWIN TOSCANO MAESTRE"/>
    <x v="3"/>
    <s v="Cross/Personas y Arq. Host"/>
    <s v="BBVA"/>
    <x v="0"/>
    <s v="NOSDA $ BAU (Mantenimiento y peq. evolutivos)"/>
    <n v="0.03"/>
    <s v="Desarrollador"/>
    <s v="Mainframe"/>
    <m/>
    <e v="#NAME?"/>
    <x v="0"/>
    <e v="#NAME?"/>
    <m/>
    <m/>
    <m/>
    <m/>
    <m/>
    <n v="1"/>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0443"/>
    <s v="OSCAR BARBOSA OSPINA"/>
    <x v="3"/>
    <s v="Cross/Personas y Arq. Host"/>
    <s v="BBVA"/>
    <x v="0"/>
    <s v="NOSDA $ BAU (Mantenimiento y peq. evolutivos)"/>
    <n v="0.03"/>
    <s v="Desarrollador"/>
    <s v="Mainframe"/>
    <m/>
    <e v="#NAME?"/>
    <x v="0"/>
    <e v="#NAME?"/>
    <m/>
    <m/>
    <m/>
    <m/>
    <m/>
    <n v="1"/>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1817"/>
    <s v="ALEX EDWIN TOSCANO MAESTRE"/>
    <x v="3"/>
    <s v="Cross/Personas y Arq. Host"/>
    <s v="BBVA"/>
    <x v="0"/>
    <s v="NOSDA $ BAU (Mantenimiento y peq. evolutivos)"/>
    <n v="0.2"/>
    <s v="Desarrollador"/>
    <s v="Mainframe"/>
    <m/>
    <e v="#NAME?"/>
    <x v="0"/>
    <e v="#NAME?"/>
    <m/>
    <m/>
    <m/>
    <m/>
    <m/>
    <n v="1"/>
  </r>
  <r>
    <s v="O000443"/>
    <s v="OSCAR BARBOSA OSPINA"/>
    <x v="3"/>
    <s v="Cross/Personas y Arq. Host"/>
    <s v="BBVA"/>
    <x v="0"/>
    <s v="NOSDA $ BAU (Mantenimiento y peq. evolutivos)"/>
    <n v="0.03"/>
    <s v="Tech Manager/Líder"/>
    <s v="Mainframe"/>
    <m/>
    <e v="#NAME?"/>
    <x v="0"/>
    <e v="#NAME?"/>
    <m/>
    <m/>
    <m/>
    <m/>
    <m/>
    <n v="1"/>
  </r>
  <r>
    <s v="O000437"/>
    <s v="EDISON TRONCOSO PARADA"/>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03"/>
    <s v="Tech Manager/Líder"/>
    <s v="Mainframe"/>
    <m/>
    <e v="#NAME?"/>
    <x v="0"/>
    <e v="#NAME?"/>
    <m/>
    <m/>
    <m/>
    <m/>
    <m/>
    <n v="1"/>
  </r>
  <r>
    <s v="O001817"/>
    <s v="ALEX EDWIN TOSCANO MAESTRE"/>
    <x v="3"/>
    <s v="Cross/Personas y Arq. Host"/>
    <s v="BBVA"/>
    <x v="0"/>
    <s v="NOSDA $ BAU (Mantenimiento y peq. evolutivos)"/>
    <n v="0.05"/>
    <s v="Desarrollador"/>
    <s v="Mainframe"/>
    <m/>
    <e v="#NAME?"/>
    <x v="0"/>
    <e v="#NAME?"/>
    <m/>
    <m/>
    <m/>
    <m/>
    <m/>
    <n v="1"/>
  </r>
  <r>
    <s v="O000437"/>
    <s v="EDISON TRONCOSO PARADA"/>
    <x v="3"/>
    <s v="Cross/Personas y Arq. Host"/>
    <s v="BBVA"/>
    <x v="0"/>
    <s v="NOSDA $ BAU (Mantenimiento y peq. evolutivos)"/>
    <n v="0.05"/>
    <s v="Desarrollador"/>
    <s v="Mainframe"/>
    <m/>
    <e v="#NAME?"/>
    <x v="0"/>
    <e v="#NAME?"/>
    <m/>
    <m/>
    <m/>
    <m/>
    <m/>
    <n v="1"/>
  </r>
  <r>
    <s v="O001817"/>
    <s v="ALEX EDWIN TOSCANO MAESTRE"/>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05"/>
    <s v="Tech Manager/Líder"/>
    <s v="Mainframe"/>
    <m/>
    <e v="#NAME?"/>
    <x v="0"/>
    <e v="#NAME?"/>
    <m/>
    <m/>
    <m/>
    <m/>
    <m/>
    <n v="1"/>
  </r>
  <r>
    <s v="O000437"/>
    <s v="EDISON TRONCOSO PARADA"/>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25"/>
    <s v="Tech Manager/Líder"/>
    <s v="Mainframe"/>
    <m/>
    <e v="#NAME?"/>
    <x v="0"/>
    <e v="#NAME?"/>
    <m/>
    <m/>
    <m/>
    <m/>
    <m/>
    <n v="1"/>
  </r>
  <r>
    <s v="O000443"/>
    <s v="OSCAR BARBOSA OSPINA"/>
    <x v="3"/>
    <s v="Cross/Personas y Arq. Host"/>
    <s v="BBVA"/>
    <x v="0"/>
    <s v="SDATOOL-41202 $ GRM Col - Ajustes Asset Allocation y Riesgo de Concentración"/>
    <n v="0.1"/>
    <s v="Tech Manager/Líder"/>
    <s v="Mainframe"/>
    <m/>
    <e v="#NAME?"/>
    <x v="0"/>
    <e v="#NAME?"/>
    <m/>
    <m/>
    <m/>
    <m/>
    <m/>
    <n v="0"/>
  </r>
  <r>
    <s v="O000443"/>
    <s v="OSCAR BARBOSA OSPINA"/>
    <x v="3"/>
    <s v="Cross/Personas y Arq. Host"/>
    <s v="BBVA"/>
    <x v="0"/>
    <s v="SDATOOL-40225 $ Resolución 0124 Dian - 2021 - Ajustes para Reporte de Información Exógena año gravable 2022 - Ciclo 1"/>
    <n v="0.1"/>
    <s v="Tech Manager/Líder"/>
    <s v="Mainframe"/>
    <m/>
    <e v="#NAME?"/>
    <x v="0"/>
    <e v="#NAME?"/>
    <m/>
    <m/>
    <m/>
    <m/>
    <m/>
    <n v="0"/>
  </r>
  <r>
    <s v="O005000"/>
    <s v="ALEJANDRO LARA MONTANO"/>
    <x v="3"/>
    <s v="Cross/Personas y Arq. Host"/>
    <s v="BBVA"/>
    <x v="0"/>
    <s v="SDATOOL-40225 $ Resolución 0124 Dian - 2021 - Ajustes para Reporte de Información Exógena año gravable 2022 - Ciclo 1"/>
    <n v="0.2"/>
    <s v="Desarrollador"/>
    <s v="Mainframe"/>
    <m/>
    <e v="#NAME?"/>
    <x v="0"/>
    <e v="#NAME?"/>
    <m/>
    <m/>
    <m/>
    <m/>
    <m/>
    <n v="1"/>
  </r>
  <r>
    <s v="O005000"/>
    <s v="ALEJANDRO LARA MONTANO"/>
    <x v="3"/>
    <s v="Cross/Personas y Arq. Host"/>
    <s v="BBVA"/>
    <x v="0"/>
    <s v="NOSDA $ BAU (Mantenimiento y peq. evolutivos)"/>
    <n v="0.7"/>
    <s v="Desarrollador"/>
    <s v="Mainframe"/>
    <m/>
    <e v="#NAME?"/>
    <x v="0"/>
    <e v="#NAME?"/>
    <m/>
    <m/>
    <m/>
    <m/>
    <m/>
    <n v="0"/>
  </r>
  <r>
    <s v="O005000"/>
    <s v="ALEJANDRO LARA MONTANO"/>
    <x v="3"/>
    <s v="Cross/Personas y Arq. Host"/>
    <s v="BBVA"/>
    <x v="0"/>
    <s v="SDATOOL-41171 $ CBS Core Banking Strategy Convivencia Clients and Contracts"/>
    <n v="0.1"/>
    <s v="Desarrollador"/>
    <s v="Mainframe"/>
    <m/>
    <e v="#NAME?"/>
    <x v="0"/>
    <e v="#NAME?"/>
    <m/>
    <m/>
    <m/>
    <m/>
    <m/>
    <e v="#REF!"/>
  </r>
  <r>
    <s v="CE56248"/>
    <s v="Andres Jimenez Molina"/>
    <x v="3"/>
    <s v="Cross/BPM"/>
    <s v="Accenture"/>
    <x v="0"/>
    <s v="NOSDA $ BAU (Mantenimiento y peq. evolutivos)"/>
    <n v="0.5"/>
    <s v="QA"/>
    <s v="Distribuido"/>
    <s v="Bonita 7 y Bonita 5 "/>
    <e v="#NAME?"/>
    <x v="0"/>
    <e v="#NAME?"/>
    <m/>
    <m/>
    <m/>
    <m/>
    <m/>
    <e v="#REF!"/>
  </r>
  <r>
    <s v="CE56248"/>
    <s v="Andres Jimenez Molina"/>
    <x v="3"/>
    <s v="Cross/BPM"/>
    <s v="Accenture"/>
    <x v="0"/>
    <s v="SDATOOL-40435 $ Cuota Segura créditos de libranza"/>
    <n v="0.5"/>
    <s v="QA"/>
    <s v="Distribuido"/>
    <s v="pruebas unitarias en desarrollo"/>
    <e v="#NAME?"/>
    <x v="0"/>
    <e v="#NAME?"/>
    <m/>
    <m/>
    <m/>
    <m/>
    <m/>
    <n v="0"/>
  </r>
  <r>
    <s v="C808271"/>
    <s v="CRISTIAN CAMILO APONTE QUIROGA"/>
    <x v="3"/>
    <s v="Cross/BPM"/>
    <s v="BBVA"/>
    <x v="0"/>
    <s v="SDATOOL-31326 $ Legalización Hipotecario"/>
    <n v="0.8"/>
    <s v="Desarrollador"/>
    <s v="Otras Tec."/>
    <s v="desarrollos F8; Postimplantación F5,6 y 7"/>
    <e v="#NAME?"/>
    <x v="0"/>
    <e v="#NAME?"/>
    <m/>
    <m/>
    <m/>
    <m/>
    <m/>
    <n v="1"/>
  </r>
  <r>
    <s v="C805770"/>
    <s v="Edward Enrique Vaca"/>
    <x v="3"/>
    <s v="Cross/BPM"/>
    <s v="BBVA"/>
    <x v="0"/>
    <s v="SDATOOL-31326 $ Legalización Hipotecario"/>
    <n v="0.1"/>
    <s v="Desarrollador"/>
    <s v="Otras Tec."/>
    <s v="desarrollos F7,8; Postimplantación F5 y6"/>
    <e v="#NAME?"/>
    <x v="0"/>
    <e v="#NAME?"/>
    <m/>
    <m/>
    <m/>
    <m/>
    <m/>
    <n v="1"/>
  </r>
  <r>
    <s v="C808271"/>
    <s v="CRISTIAN CAMILO APONTE QUIROGA"/>
    <x v="3"/>
    <s v="Cross/BPM"/>
    <s v="BBVA"/>
    <x v="0"/>
    <s v="SDATOOL-41877 $ Evolutivo Bonita 5 Community a JBPM"/>
    <n v="0.2"/>
    <s v="Desarrollador"/>
    <s v="Otras Tec."/>
    <s v="Diseño de front transversal,  maqueta, formación BPMaaS"/>
    <e v="#NAME?"/>
    <x v="0"/>
    <e v="#NAME?"/>
    <m/>
    <m/>
    <m/>
    <m/>
    <m/>
    <n v="1"/>
  </r>
  <r>
    <s v="O002375"/>
    <s v="Cristian David Beltran Barrantes"/>
    <x v="3"/>
    <s v="Cross/BPM"/>
    <s v="BBVA"/>
    <x v="0"/>
    <s v="NOSDA $ BAU (Mantenimiento y peq. evolutivos)"/>
    <n v="1"/>
    <s v="Desarrollador"/>
    <s v="Otras Tec."/>
    <s v="Arandas, producción y backlog mantenimientos menores"/>
    <e v="#NAME?"/>
    <x v="0"/>
    <e v="#NAME?"/>
    <m/>
    <m/>
    <m/>
    <m/>
    <m/>
    <n v="1"/>
  </r>
  <r>
    <s v="T007650"/>
    <s v="DANNY CAMILO BERNAL BERNAL"/>
    <x v="3"/>
    <s v="Cross/BPM"/>
    <s v="TRYCORE"/>
    <x v="0"/>
    <s v="SDATOOL-40435 $ Cuota Segura créditos de libranza"/>
    <n v="1"/>
    <s v="Desarrollador"/>
    <s v="Otras Tec."/>
    <s v="desarrollos en curso, envio a QA S3 de bril"/>
    <e v="#NAME?"/>
    <x v="0"/>
    <e v="#NAME?"/>
    <m/>
    <m/>
    <m/>
    <m/>
    <m/>
    <n v="1"/>
  </r>
  <r>
    <s v="C343334"/>
    <s v="Edison Jovanny Castillo"/>
    <x v="3"/>
    <s v="Cross/BPM"/>
    <s v="BBVA"/>
    <x v="0"/>
    <s v="NOSDA $ BAU (Mantenimiento y peq. evolutivos)"/>
    <n v="0.75"/>
    <s v="Desarrollador"/>
    <s v="Otras Tec."/>
    <s v="MN-2091 Reingenieria proceso cancelacion de garantias, desarrollos con entrega a QA S3 agosto"/>
    <e v="#NAME?"/>
    <x v="0"/>
    <e v="#NAME?"/>
    <m/>
    <m/>
    <m/>
    <m/>
    <m/>
    <n v="1"/>
  </r>
  <r>
    <s v="C343334"/>
    <s v="Edison Jovanny Castillo"/>
    <x v="3"/>
    <s v="Cross/BPM"/>
    <s v="BBVA"/>
    <x v="0"/>
    <s v="NOSDA $ BAU (Mantenimiento y peq. evolutivos)"/>
    <n v="0.1"/>
    <s v="Desarrollador"/>
    <s v="Otras Tec."/>
    <s v="Analisis y Diseño Tecnico conexion IDM con Bonita 7"/>
    <e v="#NAME?"/>
    <x v="0"/>
    <e v="#NAME?"/>
    <m/>
    <m/>
    <m/>
    <m/>
    <m/>
    <n v="0"/>
  </r>
  <r>
    <s v="C343334"/>
    <s v="Edison Jovanny Castillo"/>
    <x v="3"/>
    <s v="Cross/BPM"/>
    <s v="BBVA"/>
    <x v="0"/>
    <s v="NOSDA $ BAU (Mantenimiento y peq. evolutivos)"/>
    <n v="0.05"/>
    <s v="Desarrollador"/>
    <s v="Otras Tec."/>
    <s v="Prioridad Alta Bandeja de entrada B7Prioridad Alta Bandeja de entrada B7"/>
    <e v="#NAME?"/>
    <x v="0"/>
    <e v="#NAME?"/>
    <m/>
    <m/>
    <m/>
    <m/>
    <m/>
    <n v="0"/>
  </r>
  <r>
    <s v="C343334"/>
    <s v="Edison Jovanny Castillo"/>
    <x v="3"/>
    <s v="Cross/BPM"/>
    <s v="BBVA"/>
    <x v="0"/>
    <s v="SDATOOL-41877 $ Evolutivo Bonita 5 Community a JBPM"/>
    <n v="0.1"/>
    <s v="Desarrollador"/>
    <s v="Otras Tec."/>
    <s v="Diseño de front transversal,  maqueta, formación BPMaaS"/>
    <e v="#NAME?"/>
    <x v="0"/>
    <e v="#NAME?"/>
    <m/>
    <m/>
    <m/>
    <m/>
    <m/>
    <n v="0"/>
  </r>
  <r>
    <s v="C805770"/>
    <s v="Edward Enrique Vaca"/>
    <x v="3"/>
    <s v="Cross/BPM"/>
    <s v="BBVA"/>
    <x v="0"/>
    <s v="SDATOOL-40435 $ Cuota Segura créditos de libranza"/>
    <n v="0.5"/>
    <s v="Desarrollador"/>
    <s v="Otras Tec."/>
    <s v="Lider tecnico para BPM , envio a QA S3 abril"/>
    <e v="#NAME?"/>
    <x v="0"/>
    <e v="#NAME?"/>
    <m/>
    <m/>
    <m/>
    <m/>
    <m/>
    <n v="1"/>
  </r>
  <r>
    <s v="C805770"/>
    <s v="Edward Enrique Vaca"/>
    <x v="3"/>
    <s v="Cross/BPM"/>
    <s v="BBVA"/>
    <x v="0"/>
    <s v="NOSDA $ BAU (Mantenimiento y peq. evolutivos)"/>
    <n v="0.35"/>
    <s v="Desarrollador"/>
    <s v="Otras Tec."/>
    <s v="MN-2091 Reingenieria proceso cancelacion de garantias, desarrollos con entrega a QA S3 agosto"/>
    <e v="#NAME?"/>
    <x v="0"/>
    <e v="#NAME?"/>
    <m/>
    <m/>
    <m/>
    <m/>
    <m/>
    <n v="0"/>
  </r>
  <r>
    <s v="C805770"/>
    <s v="Edward Enrique Vaca"/>
    <x v="3"/>
    <s v="Cross/BPM"/>
    <s v="BBVA"/>
    <x v="0"/>
    <s v="NOSDA $ BAU (Mantenimiento y peq. evolutivos)"/>
    <n v="0.05"/>
    <s v="Desarrollador"/>
    <s v="Otras Tec."/>
    <s v="Prioridad Alta Bandeja de entrada B7Prioridad Alta Bandeja de entrada B7"/>
    <e v="#NAME?"/>
    <x v="0"/>
    <e v="#NAME?"/>
    <m/>
    <m/>
    <m/>
    <m/>
    <m/>
    <n v="0"/>
  </r>
  <r>
    <s v="C804325"/>
    <s v="Edwin Giovanny Cetina Pinzón."/>
    <x v="3"/>
    <s v="Cross/BPM"/>
    <s v="BBVA"/>
    <x v="0"/>
    <s v="SDATOOL-40435 $ Cuota Segura créditos de libranza"/>
    <n v="0.2"/>
    <s v="Desarrollador"/>
    <s v="Otras Tec."/>
    <s v="finaliza desarrollos la S3 Abril"/>
    <e v="#NAME?"/>
    <x v="0"/>
    <e v="#NAME?"/>
    <m/>
    <m/>
    <m/>
    <m/>
    <m/>
    <n v="1"/>
  </r>
  <r>
    <s v="C804325"/>
    <s v="Edwin Giovanny Cetina Pinzón."/>
    <x v="3"/>
    <s v="Cross/BPM"/>
    <s v="BBVA"/>
    <x v="0"/>
    <s v="SDATOOL-35384 $ Gestión Documental Pyme Admisión"/>
    <n v="0.1"/>
    <s v="Desarrollador"/>
    <s v="Otras Tec."/>
    <s v="Gestión con Meraki para atención de mejora en visualizacion  de documentos"/>
    <e v="#NAME?"/>
    <x v="0"/>
    <e v="#NAME?"/>
    <m/>
    <m/>
    <m/>
    <m/>
    <m/>
    <n v="0"/>
  </r>
  <r>
    <s v="C804325"/>
    <s v="Edwin Giovanny Cetina Pinzón."/>
    <x v="3"/>
    <s v="Cross/BPM"/>
    <s v="BBVA"/>
    <x v="0"/>
    <s v="SDATOOL-34782 $ Solicitud de cupo DIY"/>
    <n v="0"/>
    <s v="Desarrollador"/>
    <s v="Otras Tec."/>
    <s v="apoyo postimplantación"/>
    <e v="#NAME?"/>
    <x v="0"/>
    <e v="#NAME?"/>
    <m/>
    <m/>
    <m/>
    <m/>
    <m/>
    <n v="0"/>
  </r>
  <r>
    <s v="C804325"/>
    <s v="Edwin Giovanny Cetina Pinzón."/>
    <x v="3"/>
    <s v="Cross/BPM"/>
    <s v="BBVA"/>
    <x v="0"/>
    <s v="NOSDA $ BAU (Mantenimiento y peq. evolutivos)"/>
    <n v="0.05"/>
    <s v="Desarrollador"/>
    <s v="Otras Tec."/>
    <s v="CAP Retail atencion de arandas entrega a equipo de operación"/>
    <e v="#NAME?"/>
    <x v="0"/>
    <e v="#NAME?"/>
    <m/>
    <m/>
    <m/>
    <m/>
    <m/>
    <n v="0"/>
  </r>
  <r>
    <s v="C804325"/>
    <s v="Edwin Giovanny Cetina Pinzón."/>
    <x v="3"/>
    <s v="Cross/BPM"/>
    <s v="BBVA"/>
    <x v="0"/>
    <s v="SDATOOL-37753 $ Plan de transformación de operaciones 2022"/>
    <n v="0.65"/>
    <s v="Desarrollador"/>
    <s v="Otras Tec."/>
    <s v="Formación en BPMaaS y COLWSBPE-115 Optimización de proceso de contratación de tarjetas en fábrica (IDP)- Fase I"/>
    <e v="#NAME?"/>
    <x v="0"/>
    <e v="#NAME?"/>
    <m/>
    <m/>
    <m/>
    <m/>
    <m/>
    <n v="0"/>
  </r>
  <r>
    <s v="O002418"/>
    <s v="Faiber Orlando Camelo Romero"/>
    <x v="3"/>
    <s v="Cross/BPM"/>
    <s v="BBVA"/>
    <x v="0"/>
    <s v="SDATOOL-36509 $ Centralización de la formalización de desembolsos Pymes"/>
    <n v="0.05"/>
    <s v="Desarrollador"/>
    <s v="Otras Tec."/>
    <s v="compromiso S1 abril en produccion"/>
    <e v="#NAME?"/>
    <x v="0"/>
    <e v="#NAME?"/>
    <m/>
    <m/>
    <m/>
    <m/>
    <m/>
    <n v="1"/>
  </r>
  <r>
    <s v="O002418"/>
    <s v="Faiber Orlando Camelo Romero"/>
    <x v="3"/>
    <s v="Cross/BPM"/>
    <s v="BBVA"/>
    <x v="0"/>
    <s v="SDATOOL-41877 $ Evolutivo Bonita 5 Community a JBPM"/>
    <n v="0.2"/>
    <s v="Desarrollador"/>
    <s v="Otras Tec."/>
    <s v="Diseño de front transversal,  maqueta, formación BPMaaS"/>
    <e v="#NAME?"/>
    <x v="0"/>
    <e v="#NAME?"/>
    <m/>
    <m/>
    <m/>
    <m/>
    <m/>
    <n v="0"/>
  </r>
  <r>
    <s v="O002418"/>
    <s v="Faiber Orlando Camelo Romero"/>
    <x v="3"/>
    <s v="Cross/BPM"/>
    <s v="BBVA"/>
    <x v="0"/>
    <s v="SDATOOL-37753 $ Plan de transformación de operaciones 2022"/>
    <n v="0.75"/>
    <s v="Desarrollador"/>
    <s v="Otras Tec."/>
    <s v="Formación en Aso y Apx y COLWSBPE-115 Optimización de proceso de contratación de tarjetas en fábrica (IDP)- Fase I"/>
    <e v="#NAME?"/>
    <x v="0"/>
    <e v="#NAME?"/>
    <m/>
    <m/>
    <m/>
    <m/>
    <m/>
    <n v="0"/>
  </r>
  <r>
    <s v="T007646"/>
    <s v="John Edwin Riascos Castillo"/>
    <x v="3"/>
    <s v="Cross/BPM"/>
    <s v="TRYCORE"/>
    <x v="0"/>
    <s v="NOSDA $ BAU (Mantenimiento y peq. evolutivos)"/>
    <n v="1"/>
    <s v="Desarrollador"/>
    <s v="Otras Tec."/>
    <s v="apoyo estabilizacion poduccion equipo operacion"/>
    <e v="#NAME?"/>
    <x v="0"/>
    <e v="#NAME?"/>
    <m/>
    <m/>
    <m/>
    <m/>
    <m/>
    <n v="1"/>
  </r>
  <r>
    <s v="O002495"/>
    <s v="Juan Daniel Bernal Marin"/>
    <x v="3"/>
    <s v="Cross/BPM"/>
    <s v="BBVA"/>
    <x v="0"/>
    <s v="NOSDA $ BAU (Mantenimiento y peq. evolutivos)"/>
    <n v="0.9"/>
    <s v="Desarrollador"/>
    <s v="Otras Tec."/>
    <s v="MN-2091 Reingenieria proceso de CG apoyo a desarrollos"/>
    <e v="#NAME?"/>
    <x v="0"/>
    <e v="#NAME?"/>
    <m/>
    <m/>
    <m/>
    <m/>
    <m/>
    <n v="1"/>
  </r>
  <r>
    <s v="C801604"/>
    <s v="Jualian Alberto Rodriguez"/>
    <x v="3"/>
    <s v="Cross/BPM"/>
    <s v="BBVA"/>
    <x v="0"/>
    <s v="NOSDA $ BAU (Mantenimiento y peq. evolutivos)"/>
    <n v="1"/>
    <s v="Tech Manager/Líder"/>
    <s v="Otras Tec."/>
    <s v="Arandas, producción y backlog mantenimientos menores"/>
    <e v="#NAME?"/>
    <x v="0"/>
    <e v="#NAME?"/>
    <m/>
    <m/>
    <m/>
    <m/>
    <m/>
    <n v="1"/>
  </r>
  <r>
    <s v="O002495"/>
    <s v="Juan Daniel Bernal Marin"/>
    <x v="3"/>
    <s v="Cross/BPM"/>
    <s v="BBVA"/>
    <x v="0"/>
    <s v="NOSDA $ BAU (Mantenimiento y peq. evolutivos)"/>
    <n v="0.05"/>
    <s v="Desarrollador"/>
    <s v="Otras Tec."/>
    <s v="Prioridad Alta Bandeja de entrada B7Prioridad Alta Bandeja de entrada B7"/>
    <e v="#NAME?"/>
    <x v="0"/>
    <e v="#NAME?"/>
    <m/>
    <m/>
    <m/>
    <m/>
    <m/>
    <n v="1"/>
  </r>
  <r>
    <s v="O002495"/>
    <s v="Juan Daniel Bernal Marin"/>
    <x v="3"/>
    <s v="Cross/BPM"/>
    <s v="BBVA"/>
    <x v="0"/>
    <s v="SDATOOL-37753 $ Plan de transformación de operaciones 2022"/>
    <n v="0.05"/>
    <s v="Desarrollador"/>
    <s v="Otras Tec."/>
    <s v="seguimiento post implantación Wizard"/>
    <e v="#NAME?"/>
    <x v="0"/>
    <e v="#NAME?"/>
    <m/>
    <m/>
    <m/>
    <m/>
    <m/>
    <n v="0"/>
  </r>
  <r>
    <s v="CE55472"/>
    <s v="Kevin Danilo López Clopatofsky"/>
    <x v="3"/>
    <s v="Cross/BPM"/>
    <s v="TRYCORE"/>
    <x v="0"/>
    <s v="SDATOOL-31326 $ Legalización Hipotecario"/>
    <n v="1"/>
    <s v="Desarrollador"/>
    <s v="Otras Tec."/>
    <s v="desarrollos F7,8; Postimplantación F5 y6"/>
    <e v="#NAME?"/>
    <x v="0"/>
    <e v="#NAME?"/>
    <m/>
    <m/>
    <m/>
    <m/>
    <m/>
    <n v="1"/>
  </r>
  <r>
    <s v="CE56948"/>
    <s v="Leandro Augusto Chiguasuque"/>
    <x v="3"/>
    <s v="Cross/BPM"/>
    <s v="TRYCORE"/>
    <x v="0"/>
    <s v="NOSDA $ BAU (Mantenimiento y peq. evolutivos)"/>
    <n v="1"/>
    <s v="Desarrollador"/>
    <s v="Otras Tec."/>
    <s v="Arandas, producción y backlog mantenimientos menores"/>
    <e v="#NAME?"/>
    <x v="0"/>
    <e v="#NAME?"/>
    <m/>
    <m/>
    <m/>
    <m/>
    <m/>
    <n v="1"/>
  </r>
  <r>
    <s v="CE64615"/>
    <s v="Martha Lucia Aguirre"/>
    <x v="3"/>
    <s v="Cross/BPM"/>
    <s v="GGI / CMC"/>
    <x v="0"/>
    <s v="NOSDA $ BAU (Mantenimiento y peq. evolutivos)"/>
    <n v="0.4"/>
    <s v="QA"/>
    <s v="Otras Tec."/>
    <s v="MN-2091 Reingenieria proceso de CG pruebas en desarrollo"/>
    <e v="#NAME?"/>
    <x v="0"/>
    <e v="#NAME?"/>
    <m/>
    <m/>
    <m/>
    <m/>
    <m/>
    <n v="1"/>
  </r>
  <r>
    <s v="CE64615"/>
    <s v="Martha Lucia Aguirre"/>
    <x v="3"/>
    <s v="Cross/BPM"/>
    <s v="GGI / CMC"/>
    <x v="0"/>
    <s v="NOSDA $ BAU (Mantenimiento y peq. evolutivos)"/>
    <n v="0.1"/>
    <s v="QA"/>
    <s v="Otras Tec."/>
    <s v="CAP Pymes GD, Bonita 7 y Bonita 5 "/>
    <e v="#NAME?"/>
    <x v="0"/>
    <e v="#NAME?"/>
    <m/>
    <m/>
    <m/>
    <m/>
    <m/>
    <n v="0"/>
  </r>
  <r>
    <s v="CE64615"/>
    <s v="Martha Lucia Aguirre"/>
    <x v="3"/>
    <s v="Cross/BPM"/>
    <s v="GGI / CMC"/>
    <x v="0"/>
    <s v="SDATOOL-36509 $ Centralización de la formalización de desembolsos Pymes"/>
    <n v="0.5"/>
    <s v="QA"/>
    <s v="Otras Tec."/>
    <s v="pruebas unitarias en desarrollo"/>
    <e v="#NAME?"/>
    <x v="0"/>
    <e v="#NAME?"/>
    <m/>
    <m/>
    <m/>
    <m/>
    <m/>
    <n v="0"/>
  </r>
  <r>
    <s v="C341738"/>
    <s v="Jose Mauricio Peña"/>
    <x v="3"/>
    <s v="Cross/BPM"/>
    <s v="BBVA"/>
    <x v="0"/>
    <s v="SDATOOL-36509 $ Centralización de la formalización de desembolsos Pymes"/>
    <n v="0.1"/>
    <s v="Desarrollador"/>
    <s v="Otras Tec."/>
    <s v="compromiso S1 abril en produccion"/>
    <e v="#NAME?"/>
    <x v="0"/>
    <e v="#NAME?"/>
    <m/>
    <m/>
    <m/>
    <m/>
    <m/>
    <n v="1"/>
  </r>
  <r>
    <s v="C341738"/>
    <s v="Jose Mauricio Peña"/>
    <x v="3"/>
    <s v="Cross/BPM"/>
    <s v="BBVA"/>
    <x v="0"/>
    <s v="NOSDA $ BAU (Mantenimiento y peq. evolutivos)"/>
    <n v="0.9"/>
    <s v="Desarrollador"/>
    <s v="Otras Tec."/>
    <s v="Apoyo estabilizacion  purga casos activos,"/>
    <e v="#NAME?"/>
    <x v="0"/>
    <e v="#NAME?"/>
    <m/>
    <m/>
    <m/>
    <m/>
    <m/>
    <n v="0"/>
  </r>
  <r>
    <s v="C805239"/>
    <s v="Paola Marcela Moreno Sanabria"/>
    <x v="3"/>
    <s v="Cross/BPM"/>
    <s v="BBVA"/>
    <x v="0"/>
    <s v="SDATOOL-37753 $ Plan de transformación de operaciones 2022"/>
    <n v="0.75"/>
    <s v="Desarrollador"/>
    <s v="Otras Tec."/>
    <s v="Formación en BPMaaS y COLWSBPE-115 Optimización de proceso de contratación de tarjetas en fábrica (IDP)- Fase I"/>
    <e v="#NAME?"/>
    <x v="0"/>
    <e v="#NAME?"/>
    <m/>
    <m/>
    <m/>
    <m/>
    <m/>
    <n v="1"/>
  </r>
  <r>
    <s v="C805239"/>
    <s v="Paola Marcela Moreno Sanabria"/>
    <x v="3"/>
    <s v="Cross/BPM"/>
    <s v="BBVA"/>
    <x v="0"/>
    <s v="NOSDA $ BAU (Mantenimiento y peq. evolutivos)"/>
    <n v="0.25"/>
    <s v="Desarrollador"/>
    <s v="Otras Tec."/>
    <s v="MN-2091 Reingenieria proceso de CG desarrollos S2 Junio entrega"/>
    <e v="#NAME?"/>
    <x v="0"/>
    <e v="#NAME?"/>
    <m/>
    <m/>
    <m/>
    <m/>
    <m/>
    <n v="0"/>
  </r>
  <r>
    <s v="C811371"/>
    <s v="Wilson Daniel Bulla Martinez"/>
    <x v="3"/>
    <s v="Cross/BPM"/>
    <s v="BBVA"/>
    <x v="0"/>
    <s v="NOSDA $ BAU (Mantenimiento y peq. evolutivos)"/>
    <n v="1"/>
    <s v="Desarrollador"/>
    <s v="Otras Tec."/>
    <s v="Arandas, producción y backlog mantenimientos menores"/>
    <e v="#NAME?"/>
    <x v="0"/>
    <e v="#NAME?"/>
    <m/>
    <m/>
    <m/>
    <m/>
    <m/>
    <n v="1"/>
  </r>
  <r>
    <s v="C811159"/>
    <s v="ALEX FERNEY MARTINEZ SERPA"/>
    <x v="3"/>
    <s v="Cross/Ventas asistidas CAP"/>
    <s v="BBVA"/>
    <x v="0"/>
    <s v="NOSDA $ BAU (Mantenimiento y peq. evolutivos)"/>
    <n v="0.2"/>
    <s v="Desarrollador"/>
    <s v="Distribuido"/>
    <s v="Soporte Aplicativo "/>
    <e v="#NAME?"/>
    <x v="0"/>
    <e v="#NAME?"/>
    <m/>
    <m/>
    <m/>
    <m/>
    <m/>
    <n v="1"/>
  </r>
  <r>
    <s v="C811159"/>
    <s v="ALEX FERNEY MARTINEZ SERPA"/>
    <x v="3"/>
    <s v="Cross/Ventas asistidas CAP"/>
    <s v="BBVA"/>
    <x v="0"/>
    <s v="SDATOOL-37753 $ Plan de transformación de operaciones 2022"/>
    <n v="0.5"/>
    <s v="Desarrollador"/>
    <s v="Distribuido"/>
    <s v="Evolutivo de mejoras a Ux, a partir de 16 febrero post-implantación "/>
    <e v="#NAME?"/>
    <x v="0"/>
    <e v="#NAME?"/>
    <m/>
    <m/>
    <m/>
    <m/>
    <m/>
    <n v="0"/>
  </r>
  <r>
    <s v="C811159"/>
    <s v="ALEX FERNEY MARTINEZ SERPA"/>
    <x v="3"/>
    <s v="Cross/Ventas asistidas CAP"/>
    <s v="BBVA"/>
    <x v="0"/>
    <s v="SDATOOL-39272 $ GRM-Col-Cambio servicio APL (Aportes en línea)"/>
    <n v="0.3"/>
    <s v="Desarrollador"/>
    <s v="Distribuido"/>
    <m/>
    <e v="#NAME?"/>
    <x v="0"/>
    <e v="#NAME?"/>
    <m/>
    <m/>
    <m/>
    <m/>
    <m/>
    <n v="0"/>
  </r>
  <r>
    <s v="O001036_x000a_"/>
    <s v="ANGEL JAVIER BADEL GASCA"/>
    <x v="3"/>
    <s v="Cross/Ventas asistidas CAP"/>
    <s v="BBVA"/>
    <x v="0"/>
    <s v="SDATOOL-31326 $ Legalización Hipotecario"/>
    <n v="0.2"/>
    <s v="Desarrollador"/>
    <s v="Distribuido"/>
    <s v="Desarrollo a  EMC8"/>
    <e v="#NAME?"/>
    <x v="0"/>
    <e v="#NAME?"/>
    <m/>
    <m/>
    <m/>
    <m/>
    <m/>
    <n v="1"/>
  </r>
  <r>
    <s v="O001036_x000a_"/>
    <s v="ANGEL JAVIER BADEL GASCA"/>
    <x v="3"/>
    <s v="Cross/Ventas asistidas CAP"/>
    <s v="BBVA"/>
    <x v="0"/>
    <s v="NOSDA $ BAU (Mantenimiento y peq. evolutivos)"/>
    <n v="0.8"/>
    <s v="Desarrollador"/>
    <s v="Distribuido"/>
    <s v="Soporte Aplicativo , versionardor CAP"/>
    <e v="#NAME?"/>
    <x v="0"/>
    <e v="#NAME?"/>
    <m/>
    <m/>
    <m/>
    <m/>
    <m/>
    <n v="0"/>
  </r>
  <r>
    <s v="C805866"/>
    <s v="CARLOS ENRIQUE FAJARDO FAJARDO "/>
    <x v="3"/>
    <s v="Cross/Ventas asistidas CAP"/>
    <s v="BBVA"/>
    <x v="0"/>
    <s v="SDATOOL-37134 $ Oferta proactiva de segundo producto desde el momento cero - Plan Ascenso Cross Sell"/>
    <n v="0.9"/>
    <s v="Tech Manager/Líder"/>
    <s v="Otras Tec."/>
    <s v="Liderazgo  proyecto oferta proactiva D+0 "/>
    <e v="#NAME?"/>
    <x v="0"/>
    <e v="#NAME?"/>
    <m/>
    <m/>
    <m/>
    <m/>
    <m/>
    <n v="1"/>
  </r>
  <r>
    <s v="C805866"/>
    <s v="CARLOS ENRIQUE FAJARDO FAJARDO "/>
    <x v="3"/>
    <s v="Cross/Ventas asistidas CAP"/>
    <s v="BBVA"/>
    <x v="0"/>
    <s v="NOSDA $ BAU (Mantenimiento y peq. evolutivos)"/>
    <n v="0.1"/>
    <s v="Tech Manager/Líder"/>
    <s v="Otras Tec."/>
    <s v="Soporte Aplicativo"/>
    <e v="#NAME?"/>
    <x v="0"/>
    <e v="#NAME?"/>
    <m/>
    <m/>
    <m/>
    <m/>
    <m/>
    <n v="0"/>
  </r>
  <r>
    <s v="C810754_x000a_"/>
    <s v="DEIVIS JAVIER MIRANDA RAMOS "/>
    <x v="3"/>
    <s v="Cross/Ventas asistidas CAP"/>
    <s v="BBVA"/>
    <x v="0"/>
    <s v="SDATOOL-37134 $ Oferta proactiva de segundo producto desde el momento cero - Plan Ascenso Cross Sell"/>
    <n v="1"/>
    <s v="Desarrollador"/>
    <s v="Distribuido"/>
    <s v="Análisis, diseño y desarrollo CAP Proyecto Oferta D+0"/>
    <e v="#NAME?"/>
    <x v="0"/>
    <e v="#NAME?"/>
    <m/>
    <m/>
    <m/>
    <m/>
    <m/>
    <n v="1"/>
  </r>
  <r>
    <s v="CE69111"/>
    <s v="EDNA YURANI GIL"/>
    <x v="3"/>
    <s v="Cross/Ventas asistidas CAP"/>
    <s v="Choucair"/>
    <x v="0"/>
    <s v="SDATOOL-38091 $ Higiénicos Plataforma Digital de Oficinas CAP"/>
    <n v="0.2"/>
    <s v="QA"/>
    <s v="Otras Tec."/>
    <s v="Analálisis, diseño y pruebas a mejoras CAP "/>
    <e v="#NAME?"/>
    <x v="0"/>
    <e v="#NAME?"/>
    <m/>
    <m/>
    <m/>
    <m/>
    <m/>
    <n v="1"/>
  </r>
  <r>
    <s v="CE69111"/>
    <s v="EDNA YURANI GIL"/>
    <x v="3"/>
    <s v="Cross/Ventas asistidas CAP"/>
    <s v="Choucair"/>
    <x v="0"/>
    <s v="SDATOOL-40435 $ Cuota Segura créditos de libranza"/>
    <n v="0.3"/>
    <s v="QA"/>
    <s v="Otras Tec."/>
    <m/>
    <e v="#NAME?"/>
    <x v="0"/>
    <e v="#NAME?"/>
    <m/>
    <m/>
    <m/>
    <m/>
    <m/>
    <n v="0"/>
  </r>
  <r>
    <s v="CE69111"/>
    <s v="EDNA YURANI GIL"/>
    <x v="3"/>
    <s v="Cross/Ventas asistidas CAP"/>
    <s v="Choucair"/>
    <x v="0"/>
    <s v="SDATOOL-39272 $ GRM-Col-Cambio servicio APL (Aportes en línea)"/>
    <n v="0.5"/>
    <s v="QA"/>
    <s v="Otras Tec."/>
    <m/>
    <e v="#NAME?"/>
    <x v="0"/>
    <e v="#NAME?"/>
    <m/>
    <m/>
    <m/>
    <m/>
    <m/>
    <n v="0"/>
  </r>
  <r>
    <s v="O002373_x000a_"/>
    <s v="ESTEBAN ARIAS CARACAS "/>
    <x v="3"/>
    <s v="Cross/Ventas asistidas CAP"/>
    <s v="BBVA"/>
    <x v="0"/>
    <s v="SDATOOL-38757 $ Modelo administrativo de oficina - Omnicanalidad"/>
    <n v="1"/>
    <s v="Desarrollador"/>
    <s v="APX"/>
    <s v="Desarrollador dedicado a la tecnología APX, y para el 1Q realizará actividades de análisis, diseño e implementación de la iniciativa."/>
    <e v="#NAME?"/>
    <x v="0"/>
    <e v="#NAME?"/>
    <m/>
    <m/>
    <m/>
    <m/>
    <m/>
    <n v="1"/>
  </r>
  <r>
    <s v="C604380"/>
    <s v="JAVIER FRANCISCO OSPINA RAMIREZ"/>
    <x v="3"/>
    <s v="Cross/Ventas asistidas CAP"/>
    <s v="BBVA"/>
    <x v="0"/>
    <s v="SDATOOL-38091 $ Higiénicos Plataforma Digital de Oficinas CAP"/>
    <n v="1"/>
    <s v="QA"/>
    <s v="Otras Tec."/>
    <s v="Pruebas a mejoras CAP retail y pruebas a roda la no afectación CAP"/>
    <e v="#NAME?"/>
    <x v="0"/>
    <e v="#NAME?"/>
    <m/>
    <m/>
    <m/>
    <m/>
    <m/>
    <n v="1"/>
  </r>
  <r>
    <s v="T003428_x000a_"/>
    <s v="JUAN PABLO MORA "/>
    <x v="3"/>
    <s v="Cross/Ventas asistidas CAP"/>
    <s v="Choucair"/>
    <x v="0"/>
    <s v="SDATOOL-31326 $ Legalización Hipotecario"/>
    <n v="1"/>
    <s v="QA"/>
    <s v="Otras Tec."/>
    <s v="Analálisis, diseño y pruebas a mejoras CAP "/>
    <e v="#NAME?"/>
    <x v="0"/>
    <e v="#NAME?"/>
    <m/>
    <m/>
    <m/>
    <m/>
    <m/>
    <n v="1"/>
  </r>
  <r>
    <s v="T007157"/>
    <s v="JUAN SEBASTIAN BUSTOS"/>
    <x v="3"/>
    <s v="Cross/Ventas asistidas CAP"/>
    <s v="Choucair"/>
    <x v="0"/>
    <s v="SDATOOL-37134 $ Oferta proactiva de segundo producto desde el momento cero - Plan Ascenso Cross Sell"/>
    <n v="1"/>
    <s v="Desarrollador"/>
    <s v="Distribuido"/>
    <s v="Análisis, diseño y desarrollo CAP Proyecto Oferta D+0"/>
    <e v="#NAME?"/>
    <x v="0"/>
    <e v="#NAME?"/>
    <m/>
    <m/>
    <m/>
    <m/>
    <m/>
    <n v="1"/>
  </r>
  <r>
    <s v="C810787"/>
    <s v="JUAN SEBASTÍAN RODRIGUEZ TOVAR"/>
    <x v="3"/>
    <s v="Cross/Ventas asistidas CAP"/>
    <s v="BBVA"/>
    <x v="0"/>
    <s v="SDATOOL-38091 $ Higiénicos Plataforma Digital de Oficinas CAP"/>
    <n v="0.6"/>
    <s v="Desarrollador"/>
    <s v="Distribuido"/>
    <s v="-Analálisis, diseño y pruebas a mejoras CAP _x000a_-Seguimiento a contratación de SW venta cruzada con Meraki, aprobación diseño técnico, sanción técnica de software y acompañamiento en calidad para la certificación_x000a_"/>
    <e v="#NAME?"/>
    <x v="0"/>
    <e v="#NAME?"/>
    <m/>
    <m/>
    <m/>
    <m/>
    <m/>
    <n v="1"/>
  </r>
  <r>
    <s v="C810787"/>
    <s v="JUAN SEBASTÍAN RODRIGUEZ TOVAR"/>
    <x v="3"/>
    <s v="Cross/Ventas asistidas CAP"/>
    <s v="BBVA"/>
    <x v="0"/>
    <s v="SDATOOL-40435 $ Cuota Segura créditos de libranza"/>
    <n v="0.2"/>
    <s v="Desarrollador"/>
    <s v="Distribuido"/>
    <s v="-Seguimiento a contratación de SW cuota segura con Meraki, aprobación diseño técnico, sanción técnica de software y acompañamiento en calidad para la certificación"/>
    <e v="#NAME?"/>
    <x v="0"/>
    <e v="#NAME?"/>
    <m/>
    <m/>
    <m/>
    <m/>
    <m/>
    <n v="0"/>
  </r>
  <r>
    <s v="C810787"/>
    <s v="JUAN SEBASTÍAN RODRIGUEZ TOVAR"/>
    <x v="3"/>
    <s v="Cross/Ventas asistidas CAP"/>
    <s v="BBVA"/>
    <x v="0"/>
    <s v="NOSDA $ BAU (Mantenimiento y peq. evolutivos)"/>
    <n v="0.2"/>
    <s v="Desarrollador"/>
    <s v="Distribuido"/>
    <s v="Soporte Aplicativo "/>
    <e v="#NAME?"/>
    <x v="0"/>
    <e v="#NAME?"/>
    <m/>
    <m/>
    <m/>
    <m/>
    <m/>
    <n v="0"/>
  </r>
  <r>
    <s v="CE70176"/>
    <s v="JULIANA BALCERO "/>
    <x v="3"/>
    <s v="Cross/Ventas asistidas CAP"/>
    <s v="Choucair"/>
    <x v="0"/>
    <s v="SDATOOL-37134 $ Oferta proactiva de segundo producto desde el momento cero - Plan Ascenso Cross Sell"/>
    <n v="1"/>
    <s v="QA"/>
    <s v="Otras Tec."/>
    <s v="Análisis, diseño y pruebas CAP Proyecto Oferta D+0"/>
    <e v="#NAME?"/>
    <x v="0"/>
    <e v="#NAME?"/>
    <m/>
    <m/>
    <m/>
    <m/>
    <m/>
    <n v="1"/>
  </r>
  <r>
    <s v="T007470"/>
    <s v="KAREN ANGELICA ANDRADE"/>
    <x v="3"/>
    <s v="Cross/Ventas asistidas CAP"/>
    <s v="Inetum"/>
    <x v="0"/>
    <s v="NOSDA $ BAU (Mantenimiento y peq. evolutivos)"/>
    <n v="1"/>
    <s v="Otros"/>
    <s v="Otras Tec."/>
    <s v="Soporte Aranda, apoyo administrativo "/>
    <e v="#NAME?"/>
    <x v="0"/>
    <e v="#NAME?"/>
    <m/>
    <m/>
    <m/>
    <m/>
    <m/>
    <n v="1"/>
  </r>
  <r>
    <s v="C809512"/>
    <s v="MARTHA BEATRIZ GALLEGO MARIN "/>
    <x v="3"/>
    <s v="Cross/Ventas asistidas CAP"/>
    <s v="BBVA"/>
    <x v="0"/>
    <s v="SDATOOL-38757 $ Modelo administrativo de oficina - Omnicanalidad"/>
    <n v="0.8"/>
    <s v="Tech Manager/Líder"/>
    <s v="APX"/>
    <s v="Análisis, Diseño y Seguimiento Construcción Proyecto"/>
    <e v="#NAME?"/>
    <x v="0"/>
    <e v="#NAME?"/>
    <m/>
    <m/>
    <m/>
    <m/>
    <m/>
    <n v="1"/>
  </r>
  <r>
    <s v="C809512"/>
    <s v="MARTHA BEATRIZ GALLEGO MARIN "/>
    <x v="3"/>
    <s v="Cross/Ventas asistidas CAP"/>
    <s v="BBVA"/>
    <x v="0"/>
    <s v="SDATOOL-37899 $ Formularios Subsidios (PAEF, Jóvenes y Afectados por el paro)"/>
    <n v="0.2"/>
    <s v="Tech Manager/Líder"/>
    <s v="APX"/>
    <s v="Análisis , Diseño, Pruebas e implemenación."/>
    <e v="#NAME?"/>
    <x v="0"/>
    <e v="#NAME?"/>
    <m/>
    <m/>
    <m/>
    <m/>
    <m/>
    <n v="0"/>
  </r>
  <r>
    <s v="C810957"/>
    <s v="MATEO ECHEVERRY PELAEZ"/>
    <x v="3"/>
    <s v="Cross/Ventas asistidas CAP"/>
    <s v="BBVA"/>
    <x v="0"/>
    <s v="SDATOOL-37134 $ Oferta proactiva de segundo producto desde el momento cero - Plan Ascenso Cross Sell"/>
    <n v="1"/>
    <s v="Desarrollador"/>
    <s v="Distribuido"/>
    <s v="Análisis, diseño y desarrollo CAP Proyecto Oferta D+0"/>
    <e v="#NAME?"/>
    <x v="0"/>
    <e v="#NAME?"/>
    <m/>
    <m/>
    <m/>
    <m/>
    <m/>
    <n v="1"/>
  </r>
  <r>
    <s v="O003458"/>
    <s v="MOISES ABRAHAM LUNA MOJICA"/>
    <x v="3"/>
    <s v="Cross/Ventas asistidas CAP"/>
    <s v="BBVA"/>
    <x v="0"/>
    <s v="SDATOOL-38757 $ Modelo administrativo de oficina - Omnicanalidad"/>
    <n v="1"/>
    <s v="Desarrollador"/>
    <s v="ASO"/>
    <s v="Desarrollador dedicado a la tecnología ASO, y para el 1Q realizará actividades de análisis, diseño e implementación de la iniciativa."/>
    <e v="#NAME?"/>
    <x v="0"/>
    <e v="#NAME?"/>
    <m/>
    <m/>
    <m/>
    <m/>
    <m/>
    <n v="1"/>
  </r>
  <r>
    <s v="O000471"/>
    <s v="RONAL ALBERTO TABORDA MORENO "/>
    <x v="3"/>
    <s v="Cross/Ventas asistidas CAP"/>
    <s v="BBVA"/>
    <x v="0"/>
    <s v="SDATOOL-38757 $ Modelo administrativo de oficina - Omnicanalidad"/>
    <n v="1"/>
    <s v="Desarrollador"/>
    <s v="Distribuido"/>
    <s v="Desarrollador dedicado a la tecnología APX, y para el 1Q realizará actividades de análisis, diseño e implementación de la iniciativa."/>
    <e v="#NAME?"/>
    <x v="0"/>
    <e v="#NAME?"/>
    <m/>
    <m/>
    <m/>
    <m/>
    <m/>
    <n v="1"/>
  </r>
  <r>
    <s v="CE51433"/>
    <s v="SERGIO OSWALDO ROJAS BERNAL  "/>
    <x v="3"/>
    <s v="Cross/Ventas asistidas CAP"/>
    <s v="Choucair"/>
    <x v="0"/>
    <s v="SDATOOL-37134 $ Oferta proactiva de segundo producto desde el momento cero - Plan Ascenso Cross Sell"/>
    <n v="1"/>
    <s v="Desarrollador"/>
    <s v="Mainframe"/>
    <s v="Análisis, diseño y desarrollo CAP Proyecto Oferta D+0"/>
    <e v="#NAME?"/>
    <x v="0"/>
    <e v="#NAME?"/>
    <m/>
    <m/>
    <m/>
    <m/>
    <m/>
    <n v="1"/>
  </r>
  <r>
    <s v="C342041"/>
    <s v="YANETH MORENO AGUILAR"/>
    <x v="1"/>
    <s v="Global Market &amp; Comex"/>
    <s v="BBVA"/>
    <x v="0"/>
    <s v="NOSDA $ BAU (Mantenimiento y peq. evolutivos)"/>
    <n v="0.25"/>
    <s v="QA"/>
    <s v="Distribuido"/>
    <m/>
    <e v="#NAME?"/>
    <x v="0"/>
    <e v="#NAME?"/>
    <m/>
    <m/>
    <m/>
    <m/>
    <m/>
    <m/>
  </r>
  <r>
    <s v="C342041"/>
    <s v="YANETH MORENO AGUILAR"/>
    <x v="1"/>
    <s v="Backoffice"/>
    <s v="BBVA"/>
    <x v="0"/>
    <s v="NOSDA $ BAU (Mantenimiento y peq. evolutivos)"/>
    <n v="0.25"/>
    <s v="QA"/>
    <s v="Distribuido"/>
    <m/>
    <e v="#NAME?"/>
    <x v="0"/>
    <e v="#NAME?"/>
    <m/>
    <m/>
    <m/>
    <m/>
    <m/>
    <m/>
  </r>
  <r>
    <s v="C342041"/>
    <s v="YANETH MORENO AGUILAR"/>
    <x v="1"/>
    <s v="Valores"/>
    <s v="BBVA"/>
    <x v="0"/>
    <s v="NOSDA $ BAU (Mantenimiento y peq. evolutivos)"/>
    <n v="0.25"/>
    <s v="QA"/>
    <s v="Distribuido"/>
    <m/>
    <e v="#NAME?"/>
    <x v="0"/>
    <e v="#NAME?"/>
    <m/>
    <m/>
    <m/>
    <m/>
    <m/>
    <m/>
  </r>
  <r>
    <s v="C342041"/>
    <s v="YANETH MORENO AGUILAR"/>
    <x v="1"/>
    <s v="Fiduciaria"/>
    <s v="BBVA"/>
    <x v="0"/>
    <s v="NOSDA $ BAU (Mantenimiento y peq. evolutivos)"/>
    <n v="0.25"/>
    <s v="QA"/>
    <s v="Distribuido"/>
    <m/>
    <e v="#NAME?"/>
    <x v="0"/>
    <e v="#NAME?"/>
    <m/>
    <m/>
    <m/>
    <m/>
    <m/>
    <m/>
  </r>
  <r>
    <s v="CE69277"/>
    <s v="JULIAN I BECERRA BAUTISTA"/>
    <x v="1"/>
    <s v="Global Market &amp; Comex"/>
    <s v="GGI / CMC"/>
    <x v="0"/>
    <s v="NOSDA $ BAU (Mantenimiento y peq. evolutivos)"/>
    <n v="0.5"/>
    <s v="Otros"/>
    <s v="Distribuido"/>
    <m/>
    <e v="#NAME?"/>
    <x v="0"/>
    <e v="#NAME?"/>
    <m/>
    <m/>
    <m/>
    <m/>
    <m/>
    <m/>
  </r>
  <r>
    <s v="CE69277"/>
    <s v="JULIAN I BECERRA BAUTISTA"/>
    <x v="1"/>
    <s v="Backoffice"/>
    <s v="GGI / CMC"/>
    <x v="0"/>
    <s v="NOSDA $ BAU (Mantenimiento y peq. evolutivos)"/>
    <n v="0.5"/>
    <s v="Otros"/>
    <s v="Distribuido"/>
    <m/>
    <e v="#NAME?"/>
    <x v="0"/>
    <e v="#NAME?"/>
    <m/>
    <m/>
    <m/>
    <m/>
    <m/>
    <m/>
  </r>
  <r>
    <s v="C811308"/>
    <s v="JOSMAN ALEXANDER KOOP SANTA"/>
    <x v="0"/>
    <s v="Gema"/>
    <s v="BBVA"/>
    <x v="0"/>
    <s v="SDATOOL-41448 $ Compra de divisas mediante APP Empresas GEMA"/>
    <n v="0.25"/>
    <s v="Tech Manager/Líder"/>
    <s v="Cells"/>
    <m/>
    <e v="#NAME?"/>
    <x v="0"/>
    <e v="#NAME?"/>
    <m/>
    <m/>
    <m/>
    <m/>
    <m/>
    <m/>
  </r>
  <r>
    <s v="C811308"/>
    <s v="JOSMAN ALEXANDER KOOP SANTA"/>
    <x v="0"/>
    <s v="Gema"/>
    <s v="BBVA"/>
    <x v="0"/>
    <s v="SDATOOL-39354 $ My business Open Pay - Plan Ascenso Mercurio"/>
    <n v="0.25"/>
    <s v="Tech Manager/Líder"/>
    <s v="Cells"/>
    <m/>
    <e v="#NAME?"/>
    <x v="0"/>
    <e v="#NAME?"/>
    <m/>
    <m/>
    <m/>
    <m/>
    <m/>
    <m/>
  </r>
  <r>
    <s v="C811308"/>
    <s v="JOSMAN ALEXANDER KOOP SANTA"/>
    <x v="0"/>
    <s v="Gema"/>
    <s v="BBVA"/>
    <x v="0"/>
    <s v="SDATOOL-40676 $ Contratación y uso de mPOS desde APPs BBVA"/>
    <n v="0.25"/>
    <s v="Tech Manager/Líder"/>
    <s v="Cells"/>
    <m/>
    <e v="#NAME?"/>
    <x v="0"/>
    <e v="#NAME?"/>
    <m/>
    <m/>
    <m/>
    <m/>
    <m/>
    <m/>
  </r>
  <r>
    <s v="C811308"/>
    <s v="JOSMAN ALEXANDER KOOP SANTA"/>
    <x v="0"/>
    <s v="Gema"/>
    <s v="BBVA"/>
    <x v="0"/>
    <s v="NOSDA $ BAU (Mantenimiento y peq. evolutivos)"/>
    <n v="0.25"/>
    <s v="Tech Manager/Líder"/>
    <s v="Cells"/>
    <m/>
    <e v="#NAME?"/>
    <x v="0"/>
    <e v="#NAME?"/>
    <m/>
    <m/>
    <m/>
    <m/>
    <m/>
    <m/>
  </r>
  <r>
    <s v="C342040"/>
    <s v="ANDRES FERMIN PITRE JIMENEZ"/>
    <x v="0"/>
    <s v="Senda"/>
    <s v="BBVA"/>
    <x v="0"/>
    <s v="SDATOOL-40457 $ SENDA (Base)"/>
    <n v="1"/>
    <s v="Tech Manager/Líder"/>
    <s v="Distribuido"/>
    <m/>
    <e v="#NAME?"/>
    <x v="0"/>
    <e v="#NAME?"/>
    <m/>
    <m/>
    <m/>
    <m/>
    <m/>
    <m/>
  </r>
  <r>
    <s v="C804047"/>
    <s v="OSCAR EDILBERTO MESA TRUJILLO"/>
    <x v="0"/>
    <s v="Senda"/>
    <s v="BBVA"/>
    <x v="0"/>
    <s v="SDATOOL-40528 $ ETPB - SENDA PAGOS"/>
    <n v="1"/>
    <s v="Tech Manager/Líder"/>
    <s v="Mainframe"/>
    <m/>
    <e v="#NAME?"/>
    <x v="0"/>
    <e v="#NAME?"/>
    <m/>
    <m/>
    <m/>
    <m/>
    <m/>
    <m/>
  </r>
  <r>
    <s v="C811356"/>
    <s v="JEFFERSON CAMILO ROZO CASTILLO"/>
    <x v="0"/>
    <s v="Gema"/>
    <s v="BBVA"/>
    <x v="0"/>
    <s v="SDATOOL-40676 $ Contratación y uso de mPOS desde APPs BBVA"/>
    <n v="1"/>
    <s v="Tech Manager/Líder"/>
    <s v="Distribuido"/>
    <m/>
    <e v="#NAME?"/>
    <x v="0"/>
    <e v="#NAME?"/>
    <m/>
    <m/>
    <m/>
    <m/>
    <m/>
    <m/>
  </r>
  <r>
    <s v="CE40475"/>
    <s v="NELSON FERRUCHO"/>
    <x v="5"/>
    <s v="Móvil"/>
    <s v="SII"/>
    <x v="0"/>
    <s v="NOSDA $ BAU (Mantenimiento y peq. evolutivos)"/>
    <n v="0.5"/>
    <s v="Desarrollador"/>
    <s v="Mainframe"/>
    <m/>
    <e v="#NAME?"/>
    <x v="0"/>
    <e v="#NAME?"/>
    <m/>
    <m/>
    <m/>
    <m/>
    <m/>
    <m/>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6">
  <r>
    <s v="C804055"/>
    <s v="QUIROGA VASQUEZ YOAN LEONARDO"/>
    <s v="ENTERPRISE"/>
    <x v="0"/>
    <x v="0"/>
    <e v="#NAME?"/>
    <s v="SDATOOL-36358 $ Pagos por Terceros (Mandato y/o Administración) - Información exógena DIAN - Resolución 0098 DIAN"/>
    <n v="0.05"/>
    <x v="0"/>
    <x v="0"/>
    <m/>
    <e v="#NAME?"/>
    <e v="#NAME?"/>
    <e v="#NAME?"/>
    <m/>
    <m/>
    <m/>
    <m/>
    <m/>
    <m/>
  </r>
  <r>
    <s v="C804055"/>
    <s v="QUIROGA VASQUEZ YOAN LEONARDO"/>
    <s v="ENTERPRISE"/>
    <x v="0"/>
    <x v="0"/>
    <e v="#NAME?"/>
    <s v="SDATOOL-33847 $ Resolución 0042 DIAN Documento Soporte"/>
    <n v="0.05"/>
    <x v="0"/>
    <x v="0"/>
    <m/>
    <e v="#NAME?"/>
    <e v="#NAME?"/>
    <e v="#NAME?"/>
    <m/>
    <m/>
    <m/>
    <m/>
    <m/>
    <m/>
  </r>
  <r>
    <s v="C804055"/>
    <s v="QUIROGA VASQUEZ YOAN LEONARDO"/>
    <s v="ENTERPRISE"/>
    <x v="0"/>
    <x v="0"/>
    <e v="#NAME?"/>
    <s v="SDATOOL-39334 $ GRM Col Reg - CE016-19 Modificados, reestructurados e incumplidos Leasing"/>
    <n v="0.05"/>
    <x v="0"/>
    <x v="0"/>
    <m/>
    <e v="#NAME?"/>
    <e v="#NAME?"/>
    <e v="#NAME?"/>
    <m/>
    <m/>
    <m/>
    <m/>
    <m/>
    <m/>
  </r>
  <r>
    <s v="C804055"/>
    <s v="QUIROGA VASQUEZ YOAN LEONARDO"/>
    <s v="ENTERPRISE"/>
    <x v="0"/>
    <x v="0"/>
    <e v="#NAME?"/>
    <s v="NOSDA $ BAU (Mantenimiento y peq. evolutivos)"/>
    <n v="0.05"/>
    <x v="0"/>
    <x v="0"/>
    <m/>
    <e v="#NAME?"/>
    <e v="#NAME?"/>
    <e v="#NAME?"/>
    <m/>
    <m/>
    <m/>
    <m/>
    <m/>
    <m/>
  </r>
  <r>
    <s v="C804055"/>
    <s v="QUIROGA VASQUEZ YOAN LEONARDO"/>
    <s v="ENTERPRISE"/>
    <x v="0"/>
    <x v="0"/>
    <e v="#NAME?"/>
    <s v="SDATOOL-41941 $ INTEGRACIÓN DE AS400 Y HOST Y ESTABILIZACIÓN Y RESTABLECIMIENTO DE lOS ENTORNOS DE LEASING AS400 DE DESARROLLO Y CALIDAD&quot;"/>
    <n v="0.05"/>
    <x v="0"/>
    <x v="0"/>
    <m/>
    <e v="#NAME?"/>
    <e v="#NAME?"/>
    <e v="#NAME?"/>
    <m/>
    <m/>
    <m/>
    <m/>
    <m/>
    <m/>
  </r>
  <r>
    <s v="C804055"/>
    <s v="QUIROGA VASQUEZ YOAN LEONARDO"/>
    <s v="ENTERPRISE"/>
    <x v="0"/>
    <x v="0"/>
    <e v="#NAME?"/>
    <s v="SDATOOL-40438 $ CIRCULAR 032 del 2021 - REQUERIMIENTO FISCALIA GENERAL DE LA NACION"/>
    <n v="0.6"/>
    <x v="0"/>
    <x v="0"/>
    <m/>
    <e v="#NAME?"/>
    <e v="#NAME?"/>
    <e v="#NAME?"/>
    <m/>
    <m/>
    <m/>
    <m/>
    <m/>
    <m/>
  </r>
  <r>
    <s v="C804055"/>
    <s v="QUIROGA VASQUEZ YOAN LEONARDO"/>
    <s v="ENTERPRISE"/>
    <x v="0"/>
    <x v="0"/>
    <e v="#NAME?"/>
    <s v="SDATOOL-33846 $ SREP Data Quality- BCBS239 - Colombia"/>
    <n v="0.1"/>
    <x v="0"/>
    <x v="0"/>
    <m/>
    <e v="#NAME?"/>
    <e v="#NAME?"/>
    <e v="#NAME?"/>
    <m/>
    <m/>
    <m/>
    <m/>
    <m/>
    <m/>
  </r>
  <r>
    <s v="C804055"/>
    <s v="QUIROGA VASQUEZ YOAN LEONARDO"/>
    <s v="ENTERPRISE"/>
    <x v="0"/>
    <x v="0"/>
    <e v="#NAME?"/>
    <s v="SDATOOL-39783 $ Resolución 0124 de 2021 - Captura del base de Operaciones Anuladas en Leasing - Aplic. Leasing"/>
    <n v="0.05"/>
    <x v="0"/>
    <x v="0"/>
    <m/>
    <e v="#NAME?"/>
    <e v="#NAME?"/>
    <e v="#NAME?"/>
    <m/>
    <m/>
    <m/>
    <m/>
    <m/>
    <m/>
  </r>
  <r>
    <s v="C342600"/>
    <s v="DIANA PATRICIA BARRANTES PEREZ"/>
    <s v="ENTERPRISE"/>
    <x v="0"/>
    <x v="0"/>
    <e v="#NAME?"/>
    <s v="SDATOOL-33847 $ Resolución 0042 DIAN Documento Soporte"/>
    <n v="0.15"/>
    <x v="1"/>
    <x v="0"/>
    <m/>
    <e v="#NAME?"/>
    <e v="#NAME?"/>
    <e v="#NAME?"/>
    <m/>
    <m/>
    <m/>
    <m/>
    <m/>
    <m/>
  </r>
  <r>
    <s v="C342600"/>
    <s v="DIANA PATRICIA BARRANTES PEREZ"/>
    <s v="ENTERPRISE"/>
    <x v="0"/>
    <x v="0"/>
    <e v="#NAME?"/>
    <s v="SDATOOL-39334 $ GRM Col Reg - CE016-19 Modificados, reestructurados e incumplidos Leasing"/>
    <n v="0.1"/>
    <x v="1"/>
    <x v="0"/>
    <m/>
    <e v="#NAME?"/>
    <e v="#NAME?"/>
    <e v="#NAME?"/>
    <m/>
    <m/>
    <m/>
    <m/>
    <m/>
    <m/>
  </r>
  <r>
    <s v="C342600"/>
    <s v="DIANA PATRICIA BARRANTES PEREZ"/>
    <s v="ENTERPRISE"/>
    <x v="0"/>
    <x v="0"/>
    <e v="#NAME?"/>
    <s v="SDATOOL-7269 $ Core Data &amp; Gobierno de Datos"/>
    <n v="0.2"/>
    <x v="1"/>
    <x v="0"/>
    <m/>
    <e v="#NAME?"/>
    <e v="#NAME?"/>
    <e v="#NAME?"/>
    <m/>
    <m/>
    <m/>
    <m/>
    <m/>
    <m/>
  </r>
  <r>
    <s v="C342600"/>
    <s v="DIANA PATRICIA BARRANTES PEREZ"/>
    <s v="ENTERPRISE"/>
    <x v="0"/>
    <x v="0"/>
    <e v="#NAME?"/>
    <s v="SDATOOL-41941 $ INTEGRACIÓN DE AS400 Y HOST Y ESTABILIZACIÓN Y RESTABLECIMIENTO DE lOS ENTORNOS DE LEASING AS400 DE DESARROLLO Y CALIDAD&quot;"/>
    <n v="0.15"/>
    <x v="1"/>
    <x v="0"/>
    <m/>
    <e v="#NAME?"/>
    <e v="#NAME?"/>
    <e v="#NAME?"/>
    <m/>
    <m/>
    <m/>
    <m/>
    <m/>
    <m/>
  </r>
  <r>
    <s v="C342600"/>
    <s v="DIANA PATRICIA BARRANTES PEREZ"/>
    <s v="ENTERPRISE"/>
    <x v="0"/>
    <x v="0"/>
    <e v="#NAME?"/>
    <s v="SDATOOL-40438 $ CIRCULAR 032 del 2021 - REQUERIMIENTO FISCALIA GENERAL DE LA NACION"/>
    <n v="0.2"/>
    <x v="1"/>
    <x v="0"/>
    <m/>
    <e v="#NAME?"/>
    <e v="#NAME?"/>
    <e v="#NAME?"/>
    <m/>
    <m/>
    <m/>
    <m/>
    <m/>
    <m/>
  </r>
  <r>
    <s v="C342600"/>
    <s v="DIANA PATRICIA BARRANTES PEREZ"/>
    <s v="ENTERPRISE"/>
    <x v="0"/>
    <x v="0"/>
    <e v="#NAME?"/>
    <s v="SDATOOL-33846 $ SREP Data Quality- BCBS239 - Colombia"/>
    <n v="0.1"/>
    <x v="1"/>
    <x v="0"/>
    <m/>
    <e v="#NAME?"/>
    <e v="#NAME?"/>
    <e v="#NAME?"/>
    <m/>
    <m/>
    <m/>
    <m/>
    <m/>
    <m/>
  </r>
  <r>
    <s v="C342600"/>
    <s v="DIANA PATRICIA BARRANTES PEREZ"/>
    <s v="ENTERPRISE"/>
    <x v="0"/>
    <x v="0"/>
    <e v="#NAME?"/>
    <s v="SDATOOL-39783 $ Resolución 0124 de 2021 - Captura del base de Operaciones Anuladas en Leasing - Aplic. Leasing"/>
    <n v="0.1"/>
    <x v="1"/>
    <x v="0"/>
    <m/>
    <e v="#NAME?"/>
    <e v="#NAME?"/>
    <e v="#NAME?"/>
    <m/>
    <m/>
    <m/>
    <m/>
    <m/>
    <m/>
  </r>
  <r>
    <s v="C808267"/>
    <s v="GUAQUETA ROMERO DEISY YOLIMA"/>
    <s v="ENTERPRISE"/>
    <x v="0"/>
    <x v="0"/>
    <e v="#NAME?"/>
    <s v="SDATOOL-41941 $ INTEGRACIÓN DE AS400 Y HOST Y ESTABILIZACIÓN Y RESTABLECIMIENTO DE lOS ENTORNOS DE LEASING AS400 DE DESARROLLO Y CALIDAD&quot;"/>
    <n v="0.7"/>
    <x v="0"/>
    <x v="0"/>
    <m/>
    <e v="#NAME?"/>
    <e v="#NAME?"/>
    <e v="#NAME?"/>
    <m/>
    <m/>
    <m/>
    <m/>
    <m/>
    <m/>
  </r>
  <r>
    <s v="C808267"/>
    <s v="GUAQUETA ROMERO DEISY YOLIMA"/>
    <s v="ENTERPRISE"/>
    <x v="0"/>
    <x v="0"/>
    <e v="#NAME?"/>
    <s v="NOSDA $ BAU (Mantenimiento y peq. evolutivos)"/>
    <n v="0.3"/>
    <x v="0"/>
    <x v="0"/>
    <s v="MLJ 22mar:  Nancy Pineda nos comentó dejarlo en este mientras se organiza lo del presupuesto._x000a_XXX mar:  No se encuentra el proyecto: SDATOOL-37914 Soporte y mantenimiento servicios tecnológicos 2022 - CEL (PSE)"/>
    <e v="#NAME?"/>
    <e v="#NAME?"/>
    <e v="#NAME?"/>
    <m/>
    <m/>
    <m/>
    <m/>
    <m/>
    <m/>
  </r>
  <r>
    <s v="C808683"/>
    <s v="EDISON YESID GONZALEZ LANCHEROS"/>
    <s v="ENTERPRISE"/>
    <x v="0"/>
    <x v="0"/>
    <e v="#NAME?"/>
    <s v="SDATOOL-33847 $ Resolución 0042 DIAN Documento Soporte"/>
    <n v="0.1"/>
    <x v="0"/>
    <x v="0"/>
    <m/>
    <e v="#NAME?"/>
    <e v="#NAME?"/>
    <e v="#NAME?"/>
    <m/>
    <m/>
    <m/>
    <m/>
    <m/>
    <m/>
  </r>
  <r>
    <s v="C808683"/>
    <s v="EDISON YESID GONZALEZ LANCHEROS"/>
    <s v="ENTERPRISE"/>
    <x v="0"/>
    <x v="0"/>
    <e v="#NAME?"/>
    <s v="SDATOOL-40438 $ CIRCULAR 032 del 2021 - REQUERIMIENTO FISCALIA GENERAL DE LA NACION"/>
    <n v="0.8"/>
    <x v="0"/>
    <x v="0"/>
    <m/>
    <e v="#NAME?"/>
    <e v="#NAME?"/>
    <e v="#NAME?"/>
    <m/>
    <m/>
    <m/>
    <m/>
    <m/>
    <m/>
  </r>
  <r>
    <s v="C808683"/>
    <s v="EDISON YESID GONZALEZ LANCHEROS"/>
    <s v="ENTERPRISE"/>
    <x v="0"/>
    <x v="0"/>
    <e v="#NAME?"/>
    <s v="SDATOOL-36358 $ Pagos por Terceros (Mandato y/o Administración) - Información exógena DIAN - Resolución 0098 DIAN"/>
    <n v="0.1"/>
    <x v="0"/>
    <x v="0"/>
    <m/>
    <e v="#NAME?"/>
    <e v="#NAME?"/>
    <e v="#NAME?"/>
    <m/>
    <m/>
    <m/>
    <m/>
    <m/>
    <m/>
  </r>
  <r>
    <s v="C811296"/>
    <s v="QUINTERO CASTILLO DIANA MARCELA"/>
    <s v="ENTERPRISE"/>
    <x v="0"/>
    <x v="0"/>
    <e v="#NAME?"/>
    <s v="SDATOOL-40438 $ CIRCULAR 032 del 2021 - REQUERIMIENTO FISCALIA GENERAL DE LA NACION"/>
    <n v="0.75"/>
    <x v="0"/>
    <x v="0"/>
    <m/>
    <e v="#NAME?"/>
    <e v="#NAME?"/>
    <e v="#NAME?"/>
    <m/>
    <m/>
    <m/>
    <m/>
    <m/>
    <m/>
  </r>
  <r>
    <s v="C811296"/>
    <s v="QUINTERO CASTILLO DIANA MARCELA"/>
    <s v="ENTERPRISE"/>
    <x v="0"/>
    <x v="0"/>
    <e v="#NAME?"/>
    <s v="SDATOOL-39783 $ Resolución 0124 de 2021 - Captura del base de Operaciones Anuladas en Leasing - Aplic. Leasing"/>
    <n v="0.25"/>
    <x v="0"/>
    <x v="0"/>
    <s v="MLJ 22mar:  Nancy Pineda nos comentó dejarlo en este mientras se organiza lo del presupuesto._x000a_XXX mar:  No se encuentra el proyecto: SDATOOL-37914 Soporte y mantenimiento servicios tecnológicos 2022 - CEL (PSE)"/>
    <e v="#NAME?"/>
    <e v="#NAME?"/>
    <e v="#NAME?"/>
    <m/>
    <m/>
    <m/>
    <m/>
    <m/>
    <m/>
  </r>
  <r>
    <s v="C811302"/>
    <s v="RAMIREZ MONTANO CARLOS JULIO"/>
    <s v="ENTERPRISE"/>
    <x v="0"/>
    <x v="0"/>
    <e v="#NAME?"/>
    <s v="SDATOOL-41938 $ GRM Col Reg - Ajuste Calificación Escalera"/>
    <n v="1"/>
    <x v="0"/>
    <x v="0"/>
    <m/>
    <e v="#NAME?"/>
    <e v="#NAME?"/>
    <e v="#NAME?"/>
    <m/>
    <m/>
    <m/>
    <m/>
    <m/>
    <m/>
  </r>
  <r>
    <s v="C811321"/>
    <s v="OTTO JADIR SAGUIT SANTOS ALBARRACIN"/>
    <s v="ENTERPRISE"/>
    <x v="0"/>
    <x v="0"/>
    <e v="#NAME?"/>
    <s v="SDATOOL-41938 $ GRM Col Reg - Ajuste Calificación Escalera"/>
    <n v="1"/>
    <x v="0"/>
    <x v="0"/>
    <m/>
    <e v="#NAME?"/>
    <e v="#NAME?"/>
    <e v="#NAME?"/>
    <m/>
    <m/>
    <m/>
    <m/>
    <m/>
    <m/>
  </r>
  <r>
    <s v="CE57093"/>
    <s v="NATALIA CANAS YATE"/>
    <s v="ENTERPRISE"/>
    <x v="0"/>
    <x v="1"/>
    <e v="#NAME?"/>
    <s v="SDATOOL-41941 $ INTEGRACIÓN DE AS400 Y HOST Y ESTABILIZACIÓN Y RESTABLECIMIENTO DE lOS ENTORNOS DE LEASING AS400 DE DESARROLLO Y CALIDAD&quot;"/>
    <n v="0.5"/>
    <x v="2"/>
    <x v="0"/>
    <m/>
    <e v="#NAME?"/>
    <e v="#NAME?"/>
    <e v="#NAME?"/>
    <m/>
    <m/>
    <m/>
    <m/>
    <m/>
    <m/>
  </r>
  <r>
    <s v="CE57093"/>
    <s v="NATALIA CANAS YATE"/>
    <s v="ENTERPRISE"/>
    <x v="0"/>
    <x v="1"/>
    <e v="#NAME?"/>
    <s v="SDATOOL-40438 $ CIRCULAR 032 del 2021 - REQUERIMIENTO FISCALIA GENERAL DE LA NACION"/>
    <n v="0.5"/>
    <x v="2"/>
    <x v="0"/>
    <m/>
    <e v="#NAME?"/>
    <e v="#NAME?"/>
    <e v="#NAME?"/>
    <m/>
    <m/>
    <m/>
    <m/>
    <m/>
    <m/>
  </r>
  <r>
    <s v="CE69112"/>
    <s v="LUZ DARY PATINO PINTOR "/>
    <s v="ENTERPRISE"/>
    <x v="0"/>
    <x v="1"/>
    <e v="#NAME?"/>
    <s v="SDATOOL-39783 $ Resolución 0124 de 2021 - Captura del base de Operaciones Anuladas en Leasing - Aplic. Leasing"/>
    <n v="1"/>
    <x v="2"/>
    <x v="0"/>
    <s v=". MLJ 22mar:  Financiera informó que esta semana lo lleva al comité correspondiente.  _x000a_XXX mar:No se encuentra el proyecto: SDATOOL-39783 Resolución 0124 de 2021 - Captura del base de Operaciones Anuladas en Leasing - Aplic. Leasing (39783)"/>
    <e v="#NAME?"/>
    <e v="#NAME?"/>
    <e v="#NAME?"/>
    <m/>
    <m/>
    <m/>
    <m/>
    <m/>
    <m/>
  </r>
  <r>
    <s v="CE54816"/>
    <s v="LINA MARCELA SANABRIA BERNAL"/>
    <s v="ENTERPRISE"/>
    <x v="0"/>
    <x v="1"/>
    <e v="#NAME?"/>
    <s v="SDATOOL-33847 $ Resolución 0042 DIAN Documento Soporte"/>
    <n v="1"/>
    <x v="2"/>
    <x v="0"/>
    <m/>
    <e v="#NAME?"/>
    <e v="#NAME?"/>
    <e v="#NAME?"/>
    <m/>
    <m/>
    <m/>
    <m/>
    <m/>
    <m/>
  </r>
  <r>
    <s v="CE69341"/>
    <s v="PAULA MARCELA MOLINA LEGUIZAMO"/>
    <s v="ENTERPRISE"/>
    <x v="0"/>
    <x v="1"/>
    <e v="#NAME?"/>
    <s v="SDATOOL-39783 $ Resolución 0124 de 2021 - Captura del base de Operaciones Anuladas en Leasing - Aplic. Leasing"/>
    <n v="0.5"/>
    <x v="2"/>
    <x v="0"/>
    <s v="MLJ 22mar:  Nancy Pineda nos comentó dejarlo en este mientras se organiza lo del presupuesto._x000a_XXX mar:  No se encuentra el proyecto: SDATOOL-37914 Soporte y mantenimiento servicios tecnológicos 2022 - CEL (PSE)"/>
    <e v="#NAME?"/>
    <e v="#NAME?"/>
    <e v="#NAME?"/>
    <m/>
    <m/>
    <m/>
    <m/>
    <m/>
    <m/>
  </r>
  <r>
    <s v="CE69341"/>
    <s v="PAULA MARCELA MOLINA LEGUIZAMO"/>
    <s v="ENTERPRISE"/>
    <x v="0"/>
    <x v="1"/>
    <e v="#NAME?"/>
    <s v="SDATOOL-40438 $ CIRCULAR 032 del 2021 - REQUERIMIENTO FISCALIA GENERAL DE LA NACION"/>
    <n v="0.5"/>
    <x v="2"/>
    <x v="0"/>
    <m/>
    <e v="#NAME?"/>
    <e v="#NAME?"/>
    <e v="#NAME?"/>
    <m/>
    <m/>
    <m/>
    <m/>
    <m/>
    <m/>
  </r>
  <r>
    <s v="CE70380"/>
    <s v="MISAEL ARLEY TELLEZ SERRANO"/>
    <s v="ENTERPRISE"/>
    <x v="0"/>
    <x v="1"/>
    <e v="#NAME?"/>
    <s v="NOSDA $ BAU (Mantenimiento y peq. evolutivos)"/>
    <n v="1"/>
    <x v="2"/>
    <x v="0"/>
    <s v="MLJ 22mar:  Nancy Pineda nos comentó dejarlo en este mientras se organiza lo del presupuesto._x000a_XXX mar:  No se encuentra el proyecto: SDATOOL-37914 Soporte y mantenimiento servicios tecnológicos 2022 - CEL (PSE)"/>
    <e v="#NAME?"/>
    <e v="#NAME?"/>
    <e v="#NAME?"/>
    <m/>
    <m/>
    <m/>
    <m/>
    <m/>
    <m/>
  </r>
  <r>
    <s v="T004725"/>
    <s v="DANIEL ALEJANDRO ROA ACERO "/>
    <s v="ENTERPRISE"/>
    <x v="0"/>
    <x v="1"/>
    <e v="#NAME?"/>
    <s v="SDATOOL-33847 $ Resolución 0042 DIAN Documento Soporte"/>
    <n v="1"/>
    <x v="2"/>
    <x v="0"/>
    <m/>
    <e v="#NAME?"/>
    <e v="#NAME?"/>
    <e v="#NAME?"/>
    <m/>
    <m/>
    <m/>
    <m/>
    <m/>
    <m/>
  </r>
  <r>
    <s v="CE70382"/>
    <s v="JOHN JAIRO RIVERA PENA "/>
    <s v="ENTERPRISE"/>
    <x v="0"/>
    <x v="1"/>
    <e v="#NAME?"/>
    <s v="SDATOOL-33847 $ Resolución 0042 DIAN Documento Soporte"/>
    <n v="1"/>
    <x v="2"/>
    <x v="0"/>
    <m/>
    <e v="#NAME?"/>
    <e v="#NAME?"/>
    <e v="#NAME?"/>
    <m/>
    <m/>
    <m/>
    <m/>
    <m/>
    <m/>
  </r>
  <r>
    <s v="CE69031"/>
    <s v="WILLIAM ROBERTO MORA BERNAL"/>
    <s v="ENTERPRISE"/>
    <x v="0"/>
    <x v="2"/>
    <e v="#NAME?"/>
    <s v="SDATOOL-40438 $ CIRCULAR 032 del 2021 - REQUERIMIENTO FISCALIA GENERAL DE LA NACION"/>
    <n v="7.0000000000000007E-2"/>
    <x v="3"/>
    <x v="0"/>
    <m/>
    <e v="#NAME?"/>
    <e v="#NAME?"/>
    <e v="#NAME?"/>
    <m/>
    <m/>
    <m/>
    <m/>
    <m/>
    <m/>
  </r>
  <r>
    <s v="CE69031"/>
    <s v="WILLIAM ROBERTO MORA BERNAL"/>
    <s v="ENTERPRISE"/>
    <x v="0"/>
    <x v="2"/>
    <e v="#NAME?"/>
    <s v="SDATOOL-41941 $ INTEGRACIÓN DE AS400 Y HOST Y ESTABILIZACIÓN Y RESTABLECIMIENTO DE lOS ENTORNOS DE LEASING AS400 DE DESARROLLO Y CALIDAD&quot;"/>
    <n v="0.1"/>
    <x v="3"/>
    <x v="0"/>
    <m/>
    <e v="#NAME?"/>
    <e v="#NAME?"/>
    <e v="#NAME?"/>
    <m/>
    <m/>
    <m/>
    <m/>
    <m/>
    <m/>
  </r>
  <r>
    <s v="CE69031"/>
    <s v="WILLIAM ROBERTO MORA BERNAL"/>
    <s v="ENTERPRISE"/>
    <x v="0"/>
    <x v="2"/>
    <e v="#NAME?"/>
    <s v="NOSDA $ BAU (Mantenimiento y peq. evolutivos)"/>
    <n v="0.08"/>
    <x v="3"/>
    <x v="0"/>
    <m/>
    <e v="#NAME?"/>
    <e v="#NAME?"/>
    <e v="#NAME?"/>
    <m/>
    <m/>
    <m/>
    <m/>
    <m/>
    <m/>
  </r>
  <r>
    <s v="C804844"/>
    <s v="MATEO OLAYA OSORIO"/>
    <s v="CIB &amp; COMEX - FIDUCIARIA"/>
    <x v="1"/>
    <x v="0"/>
    <e v="#NAME?"/>
    <s v="SDATOOL-42061 $ Murex Limit Control Intradía EOD"/>
    <n v="0.75"/>
    <x v="0"/>
    <x v="1"/>
    <s v="Lenguaje de prog.  JAVA."/>
    <e v="#NAME?"/>
    <e v="#NAME?"/>
    <e v="#NAME?"/>
    <m/>
    <m/>
    <m/>
    <m/>
    <m/>
    <m/>
  </r>
  <r>
    <s v="C804844"/>
    <s v="MATEO OLAYA OSORIO"/>
    <s v="CIB &amp; COMEX - FIDUCIARIA"/>
    <x v="1"/>
    <x v="0"/>
    <e v="#NAME?"/>
    <s v="SDATOOL-42081 $ Evolutivos Migración Murex 3"/>
    <n v="0.25"/>
    <x v="0"/>
    <x v="1"/>
    <s v="Lenguaje de prog.  JAVA."/>
    <e v="#NAME?"/>
    <e v="#NAME?"/>
    <e v="#NAME?"/>
    <m/>
    <m/>
    <m/>
    <m/>
    <m/>
    <m/>
  </r>
  <r>
    <s v="T003920"/>
    <s v="ANA MARIA MORENO RAMIREZ"/>
    <s v="CIB &amp; COMEX - FIDUCIARIA"/>
    <x v="1"/>
    <x v="3"/>
    <e v="#NAME?"/>
    <s v="SDATOOL-42061 $ Murex Limit Control Intradía EOD"/>
    <n v="1"/>
    <x v="3"/>
    <x v="1"/>
    <s v=" "/>
    <e v="#NAME?"/>
    <e v="#NAME?"/>
    <e v="#NAME?"/>
    <m/>
    <m/>
    <m/>
    <m/>
    <m/>
    <m/>
  </r>
  <r>
    <s v="C805179"/>
    <s v="JEISON VISBAL"/>
    <s v="CIB &amp; COMEX - FIDUCIARIA"/>
    <x v="1"/>
    <x v="0"/>
    <e v="#NAME?"/>
    <s v="SDATOOL-42061 $ Murex Limit Control Intradía EOD"/>
    <n v="0.75"/>
    <x v="0"/>
    <x v="1"/>
    <s v="Lenguaje de prog.  JAVA."/>
    <e v="#NAME?"/>
    <e v="#NAME?"/>
    <e v="#NAME?"/>
    <m/>
    <m/>
    <m/>
    <m/>
    <m/>
    <m/>
  </r>
  <r>
    <s v="C805179"/>
    <s v="JEISON VISBAL"/>
    <s v="CIB &amp; COMEX - FIDUCIARIA"/>
    <x v="1"/>
    <x v="0"/>
    <e v="#NAME?"/>
    <s v="SDATOOL-42081 $ Evolutivos Migración Murex 3"/>
    <n v="0.25"/>
    <x v="0"/>
    <x v="1"/>
    <s v="Lenguaje de prog.  JAVA."/>
    <e v="#NAME?"/>
    <e v="#NAME?"/>
    <e v="#NAME?"/>
    <m/>
    <m/>
    <m/>
    <m/>
    <m/>
    <m/>
  </r>
  <r>
    <s v="CE14662"/>
    <s v="WILMER AUGUSTO PEREZ NIÑO"/>
    <s v="CIB &amp; COMEX - FIDUCIARIA"/>
    <x v="1"/>
    <x v="4"/>
    <e v="#NAME?"/>
    <s v="NOSDA $ BAU (Mantenimiento y peq. evolutivos)"/>
    <n v="1"/>
    <x v="0"/>
    <x v="1"/>
    <s v="Tecnología Legacy: Power -Builder "/>
    <e v="#NAME?"/>
    <e v="#NAME?"/>
    <e v="#NAME?"/>
    <m/>
    <m/>
    <m/>
    <m/>
    <m/>
    <m/>
  </r>
  <r>
    <s v="CE63123"/>
    <s v="DIEGO ARISTOBULO DIAZ PLATA"/>
    <s v="CIB &amp; COMEX - FIDUCIARIA"/>
    <x v="1"/>
    <x v="4"/>
    <e v="#NAME?"/>
    <s v="NOSDA $ BAU (Mantenimiento y peq. evolutivos)"/>
    <n v="1"/>
    <x v="0"/>
    <x v="1"/>
    <s v="Tecnología Legacy: Power -Builder "/>
    <e v="#NAME?"/>
    <e v="#NAME?"/>
    <e v="#NAME?"/>
    <m/>
    <m/>
    <m/>
    <m/>
    <m/>
    <m/>
  </r>
  <r>
    <s v="C808223"/>
    <s v="DILAN ANDRES LOPEZ MENA"/>
    <s v="CIB &amp; COMEX - FIDUCIARIA"/>
    <x v="1"/>
    <x v="0"/>
    <e v="#NAME?"/>
    <s v="NOSDA $ BAU (Mantenimiento y peq. evolutivos)"/>
    <n v="1"/>
    <x v="3"/>
    <x v="1"/>
    <s v="Tecnología Legacy: Power -Builder "/>
    <e v="#NAME?"/>
    <e v="#NAME?"/>
    <e v="#NAME?"/>
    <m/>
    <m/>
    <m/>
    <m/>
    <m/>
    <m/>
  </r>
  <r>
    <s v="C808132"/>
    <s v="JONNATHAN ARMANDO ASTROZ MARIN"/>
    <s v="CIB &amp; COMEX - FIDUCIARIA"/>
    <x v="1"/>
    <x v="0"/>
    <e v="#NAME?"/>
    <s v="NOSDA $ BAU (Mantenimiento y peq. evolutivos)"/>
    <n v="1"/>
    <x v="3"/>
    <x v="1"/>
    <s v="Tecnología Legacy: Power -Builder "/>
    <e v="#NAME?"/>
    <e v="#NAME?"/>
    <e v="#NAME?"/>
    <m/>
    <m/>
    <m/>
    <m/>
    <m/>
    <m/>
  </r>
  <r>
    <s v="CE61903"/>
    <s v="KELLY JOHANA VANEGAS"/>
    <s v="CIB &amp; COMEX - FIDUCIARIA"/>
    <x v="1"/>
    <x v="4"/>
    <e v="#NAME?"/>
    <s v="NOSDA $ BAU (Mantenimiento y peq. evolutivos)"/>
    <n v="0.25"/>
    <x v="3"/>
    <x v="1"/>
    <s v="Tecnología Legacy: Power -Builder "/>
    <e v="#NAME?"/>
    <e v="#NAME?"/>
    <e v="#NAME?"/>
    <m/>
    <m/>
    <m/>
    <m/>
    <m/>
    <m/>
  </r>
  <r>
    <s v="CE61903"/>
    <s v="KELLY JOHANA VANEGAS"/>
    <s v="CIB &amp; COMEX - FIDUCIARIA"/>
    <x v="1"/>
    <x v="4"/>
    <e v="#NAME?"/>
    <s v="SDATOOL-38642 $ CUPON INTERMEDIO"/>
    <n v="0.5"/>
    <x v="3"/>
    <x v="1"/>
    <s v="Tecnología Legacy: Power -Builder "/>
    <e v="#NAME?"/>
    <e v="#NAME?"/>
    <e v="#NAME?"/>
    <m/>
    <m/>
    <m/>
    <m/>
    <m/>
    <m/>
  </r>
  <r>
    <s v="C811297"/>
    <s v="BETZY PAOLA JARAMILLO LASTRA"/>
    <s v="ENTERPRISE"/>
    <x v="2"/>
    <x v="0"/>
    <e v="#NAME?"/>
    <s v="SDATOOL-42213 $ Creación nuevos conceptos recaudo impuestos DIAN - Ley 2277 del 2022 MinHacienda"/>
    <n v="0.25"/>
    <x v="0"/>
    <x v="2"/>
    <m/>
    <e v="#NAME?"/>
    <e v="#NAME?"/>
    <e v="#NAME?"/>
    <m/>
    <m/>
    <m/>
    <m/>
    <m/>
    <m/>
  </r>
  <r>
    <s v="C811297"/>
    <s v="BETZY PAOLA JARAMILLO LASTRA"/>
    <s v="ENTERPRISE"/>
    <x v="2"/>
    <x v="0"/>
    <e v="#NAME?"/>
    <s v="NOSDA $ BAU (Mantenimiento y peq. evolutivos)"/>
    <n v="0.25"/>
    <x v="0"/>
    <x v="2"/>
    <m/>
    <e v="#NAME?"/>
    <e v="#NAME?"/>
    <e v="#NAME?"/>
    <m/>
    <m/>
    <m/>
    <m/>
    <m/>
    <m/>
  </r>
  <r>
    <s v="C811297"/>
    <s v="BETZY PAOLA JARAMILLO LASTRA"/>
    <s v="ENTERPRISE"/>
    <x v="2"/>
    <x v="0"/>
    <e v="#NAME?"/>
    <s v="SDATOOL-35327 $ Impuestos 2021"/>
    <n v="0.25"/>
    <x v="0"/>
    <x v="2"/>
    <m/>
    <e v="#NAME?"/>
    <e v="#NAME?"/>
    <e v="#NAME?"/>
    <m/>
    <m/>
    <m/>
    <m/>
    <m/>
    <m/>
  </r>
  <r>
    <s v="C811297"/>
    <s v="BETZY PAOLA JARAMILLO LASTRA"/>
    <s v="ENTERPRISE"/>
    <x v="2"/>
    <x v="0"/>
    <e v="#NAME?"/>
    <s v="SDATOOL-37425 $ Recaudo DIAN Tarjetas de Crédito Propio Banco través del Botón de pagos PSE para los canales Banca Personas y Banca de Empresas"/>
    <n v="0.25"/>
    <x v="0"/>
    <x v="0"/>
    <m/>
    <e v="#NAME?"/>
    <e v="#NAME?"/>
    <e v="#NAME?"/>
    <m/>
    <m/>
    <m/>
    <m/>
    <m/>
    <m/>
  </r>
  <r>
    <s v="C808771"/>
    <s v="DAVID FEILPE CIFUENTES"/>
    <s v="ENTERPRISE"/>
    <x v="2"/>
    <x v="0"/>
    <e v="#NAME?"/>
    <s v="SDATOOL-42213 $ Creación nuevos conceptos recaudo impuestos DIAN - Ley 2277 del 2022 MinHacienda"/>
    <n v="0.75"/>
    <x v="0"/>
    <x v="2"/>
    <m/>
    <e v="#NAME?"/>
    <e v="#NAME?"/>
    <e v="#NAME?"/>
    <m/>
    <m/>
    <m/>
    <m/>
    <m/>
    <m/>
  </r>
  <r>
    <s v="C808771"/>
    <s v="DAVID FEILPE CIFUENTES"/>
    <s v="ENTERPRISE"/>
    <x v="2"/>
    <x v="0"/>
    <e v="#NAME?"/>
    <s v="NOSDA $ BAU (Mantenimiento y peq. evolutivos)"/>
    <n v="0.25"/>
    <x v="0"/>
    <x v="2"/>
    <m/>
    <e v="#NAME?"/>
    <e v="#NAME?"/>
    <e v="#NAME?"/>
    <m/>
    <m/>
    <m/>
    <m/>
    <m/>
    <m/>
  </r>
  <r>
    <s v="O000111"/>
    <s v="FERNANDO TIBADUIZA GUTIERREZ"/>
    <s v="ENTERPRISE"/>
    <x v="2"/>
    <x v="0"/>
    <e v="#NAME?"/>
    <s v="SDATOOL-42213 $ Creación nuevos conceptos recaudo impuestos DIAN - Ley 2277 del 2022 MinHacienda"/>
    <n v="0.75"/>
    <x v="0"/>
    <x v="2"/>
    <m/>
    <e v="#NAME?"/>
    <e v="#NAME?"/>
    <e v="#NAME?"/>
    <m/>
    <m/>
    <m/>
    <m/>
    <m/>
    <m/>
  </r>
  <r>
    <s v="O000111"/>
    <s v="FERNANDO TIBADUIZA GUTIERREZ"/>
    <s v="ENTERPRISE"/>
    <x v="2"/>
    <x v="0"/>
    <e v="#NAME?"/>
    <s v="NOSDA $ BAU (Mantenimiento y peq. evolutivos)"/>
    <n v="0.25"/>
    <x v="0"/>
    <x v="2"/>
    <m/>
    <e v="#NAME?"/>
    <e v="#NAME?"/>
    <e v="#NAME?"/>
    <m/>
    <m/>
    <m/>
    <m/>
    <m/>
    <m/>
  </r>
  <r>
    <s v="C810784"/>
    <s v="LENIN QUINTERO MUÑOZ"/>
    <s v="ENTERPRISE"/>
    <x v="2"/>
    <x v="0"/>
    <e v="#NAME?"/>
    <s v="SDATOOL-37425 $ Recaudo DIAN Tarjetas de Crédito Propio Banco través del Botón de pagos PSE para los canales Banca Personas y Banca de Empresas"/>
    <n v="1"/>
    <x v="0"/>
    <x v="0"/>
    <m/>
    <e v="#NAME?"/>
    <e v="#NAME?"/>
    <e v="#NAME?"/>
    <m/>
    <m/>
    <m/>
    <m/>
    <m/>
    <m/>
  </r>
  <r>
    <s v="CE70413"/>
    <s v="RICARDO AMAYA VIANCHA (QA)"/>
    <s v="ENTERPRISE"/>
    <x v="2"/>
    <x v="2"/>
    <e v="#NAME?"/>
    <s v="NOSDA $ BAU (Mantenimiento y peq. evolutivos)"/>
    <n v="0.5"/>
    <x v="0"/>
    <x v="1"/>
    <m/>
    <e v="#NAME?"/>
    <e v="#NAME?"/>
    <e v="#NAME?"/>
    <m/>
    <m/>
    <m/>
    <m/>
    <m/>
    <m/>
  </r>
  <r>
    <s v="CE70413"/>
    <s v="RICARDO AMAYA VIANCHA (QA)"/>
    <s v="ENTERPRISE"/>
    <x v="2"/>
    <x v="2"/>
    <e v="#NAME?"/>
    <s v="SDATOOL-42213 $ Creación nuevos conceptos recaudo impuestos DIAN - Ley 2277 del 2022 MinHacienda"/>
    <n v="0.5"/>
    <x v="0"/>
    <x v="1"/>
    <m/>
    <e v="#NAME?"/>
    <e v="#NAME?"/>
    <e v="#NAME?"/>
    <m/>
    <m/>
    <m/>
    <m/>
    <m/>
    <m/>
  </r>
  <r>
    <s v="C342062"/>
    <s v="JAVIER CALDERON LOPEZ"/>
    <s v="ENTERPRISE"/>
    <x v="2"/>
    <x v="0"/>
    <e v="#NAME?"/>
    <s v="SDATOOL-37055 $ Cash in- PSE - Plan Ascenso Privado"/>
    <n v="0.75"/>
    <x v="0"/>
    <x v="2"/>
    <m/>
    <e v="#NAME?"/>
    <e v="#NAME?"/>
    <e v="#NAME?"/>
    <m/>
    <m/>
    <m/>
    <m/>
    <m/>
    <m/>
  </r>
  <r>
    <s v="C342062"/>
    <s v="JAVIER CALDERON LOPEZ"/>
    <s v="ENTERPRISE"/>
    <x v="2"/>
    <x v="0"/>
    <e v="#NAME?"/>
    <s v="NOSDA $ BAU (Mantenimiento y peq. evolutivos)"/>
    <n v="0.25"/>
    <x v="0"/>
    <x v="2"/>
    <m/>
    <e v="#NAME?"/>
    <e v="#NAME?"/>
    <e v="#NAME?"/>
    <m/>
    <m/>
    <m/>
    <m/>
    <m/>
    <m/>
  </r>
  <r>
    <s v="C808392"/>
    <s v="JHON FREDDY ZAPATA MUÑOZ"/>
    <s v="ENTERPRISE"/>
    <x v="2"/>
    <x v="0"/>
    <e v="#NAME?"/>
    <s v="SDATOOL-33408 $ Biocatch"/>
    <n v="0.75"/>
    <x v="0"/>
    <x v="0"/>
    <m/>
    <e v="#NAME?"/>
    <e v="#NAME?"/>
    <e v="#NAME?"/>
    <m/>
    <m/>
    <m/>
    <m/>
    <m/>
    <m/>
  </r>
  <r>
    <s v="C808392"/>
    <s v="JHON FREDDY ZAPATA MUÑOZ"/>
    <s v="ENTERPRISE"/>
    <x v="2"/>
    <x v="0"/>
    <e v="#NAME?"/>
    <s v="NOSDA $ BAU (Mantenimiento y peq. evolutivos)"/>
    <n v="0.25"/>
    <x v="0"/>
    <x v="0"/>
    <m/>
    <e v="#NAME?"/>
    <e v="#NAME?"/>
    <e v="#NAME?"/>
    <m/>
    <m/>
    <m/>
    <m/>
    <m/>
    <m/>
  </r>
  <r>
    <s v="CE63313"/>
    <s v="CESAR LEONEL MARTIN CASTILLO (QA)"/>
    <s v="ENTERPRISE"/>
    <x v="2"/>
    <x v="5"/>
    <e v="#NAME?"/>
    <s v="SDATOOL-33408 $ Biocatch"/>
    <n v="0.5"/>
    <x v="2"/>
    <x v="1"/>
    <m/>
    <e v="#NAME?"/>
    <e v="#NAME?"/>
    <e v="#NAME?"/>
    <m/>
    <m/>
    <m/>
    <m/>
    <m/>
    <m/>
  </r>
  <r>
    <s v="CE63313"/>
    <s v="CESAR LEONEL MARTIN CASTILLO (QA)"/>
    <s v="ENTERPRISE"/>
    <x v="2"/>
    <x v="5"/>
    <e v="#NAME?"/>
    <s v="NOSDA $ BAU (Mantenimiento y peq. evolutivos)"/>
    <n v="0.5"/>
    <x v="2"/>
    <x v="1"/>
    <m/>
    <e v="#NAME?"/>
    <e v="#NAME?"/>
    <e v="#NAME?"/>
    <m/>
    <m/>
    <m/>
    <m/>
    <m/>
    <m/>
  </r>
  <r>
    <s v="C808164"/>
    <s v="JORGE SEBASTIAN RODRIGUEZ MORA"/>
    <s v="ENTERPRISE"/>
    <x v="2"/>
    <x v="0"/>
    <e v="#NAME?"/>
    <s v="SDATOOL-38770 $ Marcación y cobro de comisiones PSE"/>
    <n v="1"/>
    <x v="0"/>
    <x v="2"/>
    <m/>
    <e v="#NAME?"/>
    <e v="#NAME?"/>
    <e v="#NAME?"/>
    <m/>
    <m/>
    <m/>
    <m/>
    <m/>
    <m/>
  </r>
  <r>
    <s v="O002304"/>
    <s v="WILVER MARTINEZ ALVARADO"/>
    <s v="ENTERPRISE"/>
    <x v="2"/>
    <x v="0"/>
    <e v="#NAME?"/>
    <s v="SDATOOL-38770 $ Marcación y cobro de comisiones PSE"/>
    <n v="1"/>
    <x v="0"/>
    <x v="2"/>
    <m/>
    <e v="#NAME?"/>
    <e v="#NAME?"/>
    <e v="#NAME?"/>
    <m/>
    <m/>
    <m/>
    <m/>
    <m/>
    <m/>
  </r>
  <r>
    <s v="CE43229"/>
    <s v="CARLOS MAURICIO AGUIRRE TOVAR"/>
    <s v="ENTERPRISE"/>
    <x v="2"/>
    <x v="5"/>
    <e v="#NAME?"/>
    <s v="SDATOOL-38770 $ Marcación y cobro de comisiones PSE"/>
    <n v="1"/>
    <x v="0"/>
    <x v="2"/>
    <m/>
    <e v="#NAME?"/>
    <e v="#NAME?"/>
    <e v="#NAME?"/>
    <m/>
    <m/>
    <m/>
    <m/>
    <m/>
    <m/>
  </r>
  <r>
    <s v="CE68369"/>
    <s v="JUAN DAVID ACOSTA OBANDO (QA)"/>
    <s v="ENTERPRISE"/>
    <x v="2"/>
    <x v="2"/>
    <e v="#NAME?"/>
    <s v="SDATOOL-38770 $ Marcación y cobro de comisiones PSE"/>
    <n v="1"/>
    <x v="2"/>
    <x v="1"/>
    <m/>
    <e v="#NAME?"/>
    <e v="#NAME?"/>
    <e v="#NAME?"/>
    <m/>
    <m/>
    <m/>
    <m/>
    <m/>
    <m/>
  </r>
  <r>
    <s v="C784494"/>
    <s v="CARLOS IVAN CHOCONTA"/>
    <s v="ENTERPRISE"/>
    <x v="2"/>
    <x v="0"/>
    <e v="#NAME?"/>
    <s v="SDATOOL-37761 $ Plan transformación de procesos"/>
    <n v="0.75"/>
    <x v="0"/>
    <x v="2"/>
    <m/>
    <e v="#NAME?"/>
    <e v="#NAME?"/>
    <e v="#NAME?"/>
    <m/>
    <m/>
    <m/>
    <m/>
    <m/>
    <m/>
  </r>
  <r>
    <s v="C784494"/>
    <s v="CARLOS IVAN CHOCONTA"/>
    <s v="ENTERPRISE"/>
    <x v="2"/>
    <x v="0"/>
    <e v="#NAME?"/>
    <s v="NOSDA $ BAU (Mantenimiento y peq. evolutivos)"/>
    <n v="0.25"/>
    <x v="0"/>
    <x v="2"/>
    <m/>
    <e v="#NAME?"/>
    <e v="#NAME?"/>
    <e v="#NAME?"/>
    <m/>
    <m/>
    <m/>
    <m/>
    <m/>
    <m/>
  </r>
  <r>
    <s v="C808842"/>
    <s v="CARLOS ALBERTO PARDO"/>
    <s v="ENTERPRISE"/>
    <x v="2"/>
    <x v="0"/>
    <e v="#NAME?"/>
    <s v="SDATOOL-39246 $ Nuevo tipo de identificación para extranjeros"/>
    <n v="0.75"/>
    <x v="0"/>
    <x v="2"/>
    <m/>
    <e v="#NAME?"/>
    <e v="#NAME?"/>
    <e v="#NAME?"/>
    <m/>
    <m/>
    <m/>
    <m/>
    <m/>
    <m/>
  </r>
  <r>
    <s v="C808842"/>
    <s v="CARLOS ALBERTO PARDO"/>
    <s v="ENTERPRISE"/>
    <x v="2"/>
    <x v="0"/>
    <e v="#NAME?"/>
    <s v="NOSDA $ BAU (Mantenimiento y peq. evolutivos)"/>
    <n v="0.25"/>
    <x v="0"/>
    <x v="2"/>
    <m/>
    <e v="#NAME?"/>
    <e v="#NAME?"/>
    <e v="#NAME?"/>
    <m/>
    <m/>
    <m/>
    <m/>
    <m/>
    <m/>
  </r>
  <r>
    <s v="C808856"/>
    <s v="YEHIN STIVEN PATIÑO"/>
    <s v="ENTERPRISE"/>
    <x v="2"/>
    <x v="0"/>
    <e v="#NAME?"/>
    <s v="SDATOOL-31340 $ Intercambio Electrónico de Archivos ACH y Cenit"/>
    <n v="0.5"/>
    <x v="0"/>
    <x v="2"/>
    <m/>
    <e v="#NAME?"/>
    <e v="#NAME?"/>
    <e v="#NAME?"/>
    <m/>
    <m/>
    <m/>
    <m/>
    <m/>
    <m/>
  </r>
  <r>
    <s v="C808856"/>
    <s v="YEHIN STIVEN PATIÑO"/>
    <s v="ENTERPRISE"/>
    <x v="3"/>
    <x v="0"/>
    <e v="#NAME?"/>
    <s v="SDATOOL-40528 $ ETPB - SENDA PAGOS"/>
    <n v="0.5"/>
    <x v="0"/>
    <x v="2"/>
    <m/>
    <e v="#NAME?"/>
    <e v="#NAME?"/>
    <e v="#NAME?"/>
    <m/>
    <m/>
    <m/>
    <m/>
    <m/>
    <m/>
  </r>
  <r>
    <s v="C342171"/>
    <s v="CAROLINA BERNAL"/>
    <s v="ENTERPRISE"/>
    <x v="2"/>
    <x v="0"/>
    <e v="#NAME?"/>
    <s v="SDATOOL-39246 $ Nuevo tipo de identificación para extranjeros"/>
    <n v="0.25"/>
    <x v="3"/>
    <x v="1"/>
    <m/>
    <e v="#NAME?"/>
    <e v="#NAME?"/>
    <e v="#NAME?"/>
    <m/>
    <m/>
    <m/>
    <m/>
    <m/>
    <m/>
  </r>
  <r>
    <s v="C342171"/>
    <s v="CAROLINA BERNAL"/>
    <s v="ENTERPRISE"/>
    <x v="2"/>
    <x v="0"/>
    <e v="#NAME?"/>
    <s v="SDATOOL-37761 $ Plan transformación de procesos"/>
    <n v="0.25"/>
    <x v="3"/>
    <x v="1"/>
    <m/>
    <e v="#NAME?"/>
    <e v="#NAME?"/>
    <e v="#NAME?"/>
    <m/>
    <m/>
    <m/>
    <m/>
    <m/>
    <m/>
  </r>
  <r>
    <s v="C342171"/>
    <s v="CAROLINA BERNAL"/>
    <s v="ENTERPRISE"/>
    <x v="2"/>
    <x v="0"/>
    <e v="#NAME?"/>
    <s v="SDATOOL-31340 $ Intercambio Electrónico de Archivos ACH y Cenit"/>
    <n v="0.25"/>
    <x v="3"/>
    <x v="1"/>
    <m/>
    <e v="#NAME?"/>
    <e v="#NAME?"/>
    <e v="#NAME?"/>
    <m/>
    <m/>
    <m/>
    <m/>
    <m/>
    <m/>
  </r>
  <r>
    <s v="C342171"/>
    <s v="CAROLINA BERNAL"/>
    <s v="ENTERPRISE"/>
    <x v="2"/>
    <x v="0"/>
    <e v="#NAME?"/>
    <s v="SDATOOL-37116 $ COLPENSIONES ESTRUCTURA ONP"/>
    <n v="0.25"/>
    <x v="3"/>
    <x v="1"/>
    <m/>
    <e v="#NAME?"/>
    <e v="#NAME?"/>
    <e v="#NAME?"/>
    <m/>
    <m/>
    <m/>
    <m/>
    <m/>
    <m/>
  </r>
  <r>
    <s v="CE56542"/>
    <s v="HUMBERTO MALAGON VARGAS (Torre)"/>
    <s v="ENTERPRISE"/>
    <x v="2"/>
    <x v="6"/>
    <e v="#NAME?"/>
    <s v="NOSDA $ BAU (Mantenimiento y peq. evolutivos)"/>
    <n v="0.5"/>
    <x v="0"/>
    <x v="2"/>
    <m/>
    <e v="#NAME?"/>
    <e v="#NAME?"/>
    <e v="#NAME?"/>
    <m/>
    <m/>
    <m/>
    <m/>
    <m/>
    <m/>
  </r>
  <r>
    <s v="CE57635"/>
    <s v="JAIRO ARTURO BELTAN (Torre)"/>
    <s v="ENTERPRISE"/>
    <x v="2"/>
    <x v="6"/>
    <e v="#NAME?"/>
    <s v="NOSDA $ BAU (Mantenimiento y peq. evolutivos)"/>
    <n v="1"/>
    <x v="0"/>
    <x v="2"/>
    <m/>
    <e v="#NAME?"/>
    <e v="#NAME?"/>
    <e v="#NAME?"/>
    <m/>
    <m/>
    <m/>
    <m/>
    <m/>
    <m/>
  </r>
  <r>
    <s v="CE66612"/>
    <s v="JOHN ANDRES DIAZ AYALA (Torre)"/>
    <s v="ENTERPRISE"/>
    <x v="2"/>
    <x v="6"/>
    <e v="#NAME?"/>
    <s v="NOSDA $ BAU (Mantenimiento y peq. evolutivos)"/>
    <n v="1"/>
    <x v="0"/>
    <x v="2"/>
    <m/>
    <e v="#NAME?"/>
    <e v="#NAME?"/>
    <e v="#NAME?"/>
    <m/>
    <m/>
    <m/>
    <m/>
    <m/>
    <m/>
  </r>
  <r>
    <m/>
    <s v="MARISOL VEGA JOYA (QA)"/>
    <s v="ENTERPRISE"/>
    <x v="2"/>
    <x v="5"/>
    <e v="#NAME?"/>
    <s v="SDATOOL-31340 $ Intercambio Electrónico de Archivos ACH y Cenit"/>
    <n v="0.5"/>
    <x v="2"/>
    <x v="1"/>
    <m/>
    <e v="#NAME?"/>
    <e v="#NAME?"/>
    <e v="#NAME?"/>
    <m/>
    <m/>
    <m/>
    <m/>
    <m/>
    <m/>
  </r>
  <r>
    <m/>
    <s v="MARISOL VEGA JOYA (QA)"/>
    <s v="ENTERPRISE"/>
    <x v="2"/>
    <x v="5"/>
    <e v="#NAME?"/>
    <s v="NOSDA $ BAU (Mantenimiento y peq. evolutivos)"/>
    <n v="0.5"/>
    <x v="2"/>
    <x v="1"/>
    <m/>
    <e v="#NAME?"/>
    <e v="#NAME?"/>
    <e v="#NAME?"/>
    <m/>
    <m/>
    <m/>
    <m/>
    <m/>
    <m/>
  </r>
  <r>
    <s v="C343581"/>
    <s v="WILLIAM JAVIER VILLAMIL ZAPATA "/>
    <s v="ENTERPRISE"/>
    <x v="2"/>
    <x v="0"/>
    <e v="#NAME?"/>
    <s v="SDATOOL-41553 $ Servicios transaccionales 2023"/>
    <n v="0.25"/>
    <x v="1"/>
    <x v="3"/>
    <m/>
    <e v="#NAME?"/>
    <e v="#NAME?"/>
    <e v="#NAME?"/>
    <m/>
    <m/>
    <m/>
    <m/>
    <m/>
    <m/>
  </r>
  <r>
    <s v="C343581"/>
    <s v="WILLIAM JAVIER VILLAMIL ZAPATA "/>
    <s v="ENTERPRISE"/>
    <x v="2"/>
    <x v="0"/>
    <e v="#NAME?"/>
    <s v="SDATOOL-37129 $ Conciliación Recaudo PSE"/>
    <n v="0.25"/>
    <x v="1"/>
    <x v="3"/>
    <m/>
    <e v="#NAME?"/>
    <e v="#NAME?"/>
    <e v="#NAME?"/>
    <m/>
    <m/>
    <m/>
    <m/>
    <m/>
    <m/>
  </r>
  <r>
    <s v="C343581"/>
    <s v="WILLIAM JAVIER VILLAMIL ZAPATA "/>
    <s v="ENTERPRISE"/>
    <x v="2"/>
    <x v="0"/>
    <e v="#NAME?"/>
    <s v="NOSDA $ BAU (Mantenimiento y peq. evolutivos)"/>
    <n v="0.5"/>
    <x v="1"/>
    <x v="3"/>
    <m/>
    <e v="#NAME?"/>
    <e v="#NAME?"/>
    <e v="#NAME?"/>
    <m/>
    <m/>
    <m/>
    <m/>
    <m/>
    <m/>
  </r>
  <r>
    <s v="C810947"/>
    <s v="LAURA PULIDO DIAZ"/>
    <s v="ENTERPRISE"/>
    <x v="2"/>
    <x v="0"/>
    <e v="#NAME?"/>
    <s v="SDATOOL-41553 $ Servicios transaccionales 2023"/>
    <n v="1"/>
    <x v="0"/>
    <x v="4"/>
    <m/>
    <e v="#NAME?"/>
    <e v="#NAME?"/>
    <e v="#NAME?"/>
    <m/>
    <m/>
    <m/>
    <m/>
    <m/>
    <m/>
  </r>
  <r>
    <s v="C809749"/>
    <s v="DEIMER DAVID JIMENEZ MAESTRE"/>
    <s v="ENTERPRISE"/>
    <x v="2"/>
    <x v="0"/>
    <e v="#NAME?"/>
    <s v="SDATOOL-41553 $ Servicios transaccionales 2023"/>
    <n v="1"/>
    <x v="0"/>
    <x v="2"/>
    <m/>
    <e v="#NAME?"/>
    <e v="#NAME?"/>
    <e v="#NAME?"/>
    <m/>
    <m/>
    <m/>
    <m/>
    <m/>
    <m/>
  </r>
  <r>
    <s v="T002859"/>
    <s v="ANGIE DANIELA PERDOMO RAMIREZ (QA)"/>
    <s v="ENTERPRISE"/>
    <x v="2"/>
    <x v="5"/>
    <e v="#NAME?"/>
    <s v="SDATOOL-41553 $ Servicios transaccionales 2023"/>
    <n v="1"/>
    <x v="2"/>
    <x v="1"/>
    <m/>
    <e v="#NAME?"/>
    <e v="#NAME?"/>
    <e v="#NAME?"/>
    <m/>
    <m/>
    <m/>
    <m/>
    <m/>
    <m/>
  </r>
  <r>
    <s v="C808769"/>
    <s v="WILLIAM FERNANDO ALARCON"/>
    <s v="ENTERPRISE"/>
    <x v="2"/>
    <x v="0"/>
    <e v="#NAME?"/>
    <s v="SDATOOL-37129 $ Conciliación Recaudo PSE"/>
    <n v="0.75"/>
    <x v="0"/>
    <x v="3"/>
    <m/>
    <e v="#NAME?"/>
    <e v="#NAME?"/>
    <e v="#NAME?"/>
    <m/>
    <m/>
    <m/>
    <m/>
    <m/>
    <m/>
  </r>
  <r>
    <s v="C808769"/>
    <s v="WILLIAM FERNANDO ALARCON"/>
    <s v="ENTERPRISE"/>
    <x v="2"/>
    <x v="0"/>
    <e v="#NAME?"/>
    <s v="NOSDA $ BAU (Mantenimiento y peq. evolutivos)"/>
    <n v="0.25"/>
    <x v="0"/>
    <x v="3"/>
    <m/>
    <e v="#NAME?"/>
    <e v="#NAME?"/>
    <e v="#NAME?"/>
    <m/>
    <m/>
    <m/>
    <m/>
    <m/>
    <m/>
  </r>
  <r>
    <s v="C811207"/>
    <s v="LUIS FERNANDO GUTIERREZ PRADO"/>
    <s v="ENTERPRISE"/>
    <x v="2"/>
    <x v="0"/>
    <e v="#NAME?"/>
    <s v="SDATOOL-37129 $ Conciliación Recaudo PSE"/>
    <n v="1"/>
    <x v="0"/>
    <x v="3"/>
    <m/>
    <e v="#NAME?"/>
    <e v="#NAME?"/>
    <e v="#NAME?"/>
    <m/>
    <m/>
    <m/>
    <m/>
    <m/>
    <m/>
  </r>
  <r>
    <s v="O004611"/>
    <s v="ANDRES ARTURO QUINTERO"/>
    <s v="ENTERPRISE"/>
    <x v="2"/>
    <x v="0"/>
    <e v="#NAME?"/>
    <s v="SDATOOL-41553 $ Servicios transaccionales 2023"/>
    <n v="1"/>
    <x v="0"/>
    <x v="4"/>
    <m/>
    <e v="#NAME?"/>
    <e v="#NAME?"/>
    <e v="#NAME?"/>
    <m/>
    <m/>
    <m/>
    <m/>
    <m/>
    <m/>
  </r>
  <r>
    <s v="T009935"/>
    <s v="JORGE LUIS MONTEJO (Torre)"/>
    <s v="ENTERPRISE"/>
    <x v="2"/>
    <x v="6"/>
    <e v="#NAME?"/>
    <s v="NOSDA $ BAU (Mantenimiento y peq. evolutivos)"/>
    <n v="0.5"/>
    <x v="0"/>
    <x v="2"/>
    <m/>
    <e v="#NAME?"/>
    <e v="#NAME?"/>
    <e v="#NAME?"/>
    <m/>
    <m/>
    <m/>
    <m/>
    <m/>
    <m/>
  </r>
  <r>
    <s v="CE68693"/>
    <s v="MANUEL ALEJANDRO MARENCO (Torre)"/>
    <s v="ENTERPRISE"/>
    <x v="2"/>
    <x v="6"/>
    <e v="#NAME?"/>
    <s v="NOSDA $ BAU (Mantenimiento y peq. evolutivos)"/>
    <n v="1"/>
    <x v="0"/>
    <x v="2"/>
    <m/>
    <e v="#NAME?"/>
    <e v="#NAME?"/>
    <e v="#NAME?"/>
    <m/>
    <m/>
    <m/>
    <m/>
    <m/>
    <m/>
  </r>
  <r>
    <s v="T009914"/>
    <s v="MARIELA CUBIDES  VILLAQUIRAN (Torre)"/>
    <s v="ENTERPRISE"/>
    <x v="2"/>
    <x v="6"/>
    <e v="#NAME?"/>
    <s v="NOSDA $ BAU (Mantenimiento y peq. evolutivos)"/>
    <n v="1"/>
    <x v="0"/>
    <x v="2"/>
    <m/>
    <e v="#NAME?"/>
    <e v="#NAME?"/>
    <e v="#NAME?"/>
    <m/>
    <m/>
    <m/>
    <m/>
    <m/>
    <m/>
  </r>
  <r>
    <s v="C801829"/>
    <s v="LUISA FERNANDA CASTRILLON"/>
    <s v="ENTERPRISE"/>
    <x v="2"/>
    <x v="0"/>
    <e v="#NAME?"/>
    <s v="SDATOOL-41553 $ Servicios transaccionales 2023"/>
    <n v="0.25"/>
    <x v="0"/>
    <x v="0"/>
    <m/>
    <e v="#NAME?"/>
    <e v="#NAME?"/>
    <e v="#NAME?"/>
    <m/>
    <m/>
    <m/>
    <m/>
    <m/>
    <m/>
  </r>
  <r>
    <s v="C801829"/>
    <s v="LUISA FERNANDA CASTRILLON"/>
    <s v="ENTERPRISE"/>
    <x v="2"/>
    <x v="0"/>
    <e v="#NAME?"/>
    <s v="SDATOOL-41980 $ Modelo API´S Recaudo (CB´s)"/>
    <n v="0.25"/>
    <x v="0"/>
    <x v="0"/>
    <m/>
    <e v="#NAME?"/>
    <e v="#NAME?"/>
    <e v="#NAME?"/>
    <m/>
    <m/>
    <m/>
    <m/>
    <m/>
    <m/>
  </r>
  <r>
    <s v="C801829"/>
    <s v="LUISA FERNANDA CASTRILLON"/>
    <s v="ENTERPRISE"/>
    <x v="2"/>
    <x v="0"/>
    <e v="#NAME?"/>
    <s v="SDATOOL-42040 $ In House Bavaria"/>
    <n v="0.25"/>
    <x v="0"/>
    <x v="0"/>
    <m/>
    <e v="#NAME?"/>
    <e v="#NAME?"/>
    <e v="#NAME?"/>
    <m/>
    <m/>
    <m/>
    <m/>
    <m/>
    <m/>
  </r>
  <r>
    <s v="C801829"/>
    <s v="LUISA FERNANDA CASTRILLON"/>
    <s v="ENTERPRISE"/>
    <x v="2"/>
    <x v="0"/>
    <e v="#NAME?"/>
    <s v="SDATOOL-42040 $ In House Bavaria"/>
    <n v="0.25"/>
    <x v="0"/>
    <x v="0"/>
    <m/>
    <e v="#NAME?"/>
    <e v="#NAME?"/>
    <e v="#NAME?"/>
    <m/>
    <m/>
    <m/>
    <m/>
    <m/>
    <m/>
  </r>
  <r>
    <s v="O000393"/>
    <s v="DANIEL FELIPE ZAPATA"/>
    <s v="ENTERPRISE"/>
    <x v="2"/>
    <x v="0"/>
    <e v="#NAME?"/>
    <s v="SDATOOL-41980 $ Modelo API´S Recaudo (CB´s)"/>
    <n v="1"/>
    <x v="0"/>
    <x v="3"/>
    <m/>
    <e v="#NAME?"/>
    <e v="#NAME?"/>
    <e v="#NAME?"/>
    <m/>
    <m/>
    <m/>
    <m/>
    <m/>
    <m/>
  </r>
  <r>
    <s v="O004836"/>
    <s v="JUANITA GARCIA CONTRERAS"/>
    <s v="ENTERPRISE"/>
    <x v="2"/>
    <x v="0"/>
    <e v="#NAME?"/>
    <s v="SDATOOL-41553 $ Servicios transaccionales 2023"/>
    <n v="1"/>
    <x v="0"/>
    <x v="0"/>
    <m/>
    <e v="#NAME?"/>
    <e v="#NAME?"/>
    <e v="#NAME?"/>
    <m/>
    <m/>
    <m/>
    <m/>
    <m/>
    <m/>
  </r>
  <r>
    <s v="O004612"/>
    <s v="JUAN DAVID PRECIADO AGUILAR "/>
    <s v="ENTERPRISE"/>
    <x v="2"/>
    <x v="0"/>
    <e v="#NAME?"/>
    <s v="SDATOOL-41553 $ Servicios transaccionales 2023"/>
    <n v="1"/>
    <x v="0"/>
    <x v="0"/>
    <m/>
    <e v="#NAME?"/>
    <e v="#NAME?"/>
    <e v="#NAME?"/>
    <m/>
    <m/>
    <m/>
    <m/>
    <m/>
    <m/>
  </r>
  <r>
    <s v="T005391"/>
    <s v="YINET CATALINA TORRES (QA)"/>
    <s v="ENTERPRISE"/>
    <x v="2"/>
    <x v="5"/>
    <e v="#NAME?"/>
    <s v="NOSDA $ BAU (Mantenimiento y peq. evolutivos)"/>
    <n v="1"/>
    <x v="2"/>
    <x v="1"/>
    <m/>
    <e v="#NAME?"/>
    <e v="#NAME?"/>
    <e v="#NAME?"/>
    <m/>
    <m/>
    <m/>
    <m/>
    <m/>
    <m/>
  </r>
  <r>
    <s v="C808646"/>
    <s v="DAVID CAMILO CORREDOR RODRIGUEZ"/>
    <s v="ENTERPRISE"/>
    <x v="4"/>
    <x v="0"/>
    <e v="#NAME?"/>
    <s v="SDATOOL-36547 $ PLAN MAYOR -PLAN MENOR. Plan ascenso Open Market"/>
    <n v="1"/>
    <x v="0"/>
    <x v="2"/>
    <m/>
    <e v="#NAME?"/>
    <e v="#NAME?"/>
    <e v="#NAME?"/>
    <m/>
    <m/>
    <m/>
    <m/>
    <m/>
    <m/>
  </r>
  <r>
    <s v="O001334"/>
    <s v="ELKIN FERNANDO RIVERA GOMEZ"/>
    <s v="ENTERPRISE"/>
    <x v="4"/>
    <x v="0"/>
    <e v="#NAME?"/>
    <s v="SDATOOL-36547 $ PLAN MAYOR -PLAN MENOR. Plan ascenso Open Market"/>
    <n v="0.5"/>
    <x v="3"/>
    <x v="0"/>
    <m/>
    <e v="#NAME?"/>
    <e v="#NAME?"/>
    <e v="#NAME?"/>
    <m/>
    <m/>
    <m/>
    <m/>
    <m/>
    <m/>
  </r>
  <r>
    <s v="O001334"/>
    <s v="ELKIN FERNANDO RIVERA GOMEZ"/>
    <s v="ENTERPRISE"/>
    <x v="4"/>
    <x v="0"/>
    <e v="#NAME?"/>
    <s v="SDATOOL-42106 $ Emisión Certificados Tributarios a proveedores en Operaciones Sin Recurso (Proyecto Normativo)"/>
    <n v="0.25"/>
    <x v="3"/>
    <x v="0"/>
    <m/>
    <e v="#NAME?"/>
    <e v="#NAME?"/>
    <e v="#NAME?"/>
    <m/>
    <m/>
    <m/>
    <m/>
    <m/>
    <m/>
  </r>
  <r>
    <s v="O001334"/>
    <s v="ELKIN FERNANDO RIVERA GOMEZ"/>
    <s v="ENTERPRISE"/>
    <x v="4"/>
    <x v="0"/>
    <e v="#NAME?"/>
    <s v="SDATOOL-40438 $ CIRCULAR 032 del 2021 - REQUERIMIENTO FISCALIA GENERAL DE LA NACION"/>
    <n v="0.25"/>
    <x v="3"/>
    <x v="0"/>
    <m/>
    <e v="#NAME?"/>
    <e v="#NAME?"/>
    <e v="#NAME?"/>
    <m/>
    <m/>
    <m/>
    <m/>
    <m/>
    <m/>
  </r>
  <r>
    <s v="C810881"/>
    <s v="JOHN MAICOL NUÑEZ SANTA"/>
    <s v="ENTERPRISE"/>
    <x v="4"/>
    <x v="0"/>
    <e v="#NAME?"/>
    <s v="SDATOOL-37086 $ Factura electrónica (radian)"/>
    <n v="0.75"/>
    <x v="0"/>
    <x v="0"/>
    <m/>
    <e v="#NAME?"/>
    <e v="#NAME?"/>
    <e v="#NAME?"/>
    <m/>
    <m/>
    <m/>
    <m/>
    <m/>
    <m/>
  </r>
  <r>
    <s v="C810881"/>
    <s v="JOHN MAICOL NUÑEZ SANTA"/>
    <s v="ENTERPRISE"/>
    <x v="4"/>
    <x v="0"/>
    <e v="#NAME?"/>
    <s v="SDATOOL-40438 $ CIRCULAR 032 del 2021 - REQUERIMIENTO FISCALIA GENERAL DE LA NACION"/>
    <n v="0.25"/>
    <x v="0"/>
    <x v="0"/>
    <m/>
    <e v="#NAME?"/>
    <e v="#NAME?"/>
    <e v="#NAME?"/>
    <m/>
    <m/>
    <m/>
    <m/>
    <m/>
    <m/>
  </r>
  <r>
    <s v="C805972"/>
    <s v="JORGE ARMANDO MILLAN GOMEZ"/>
    <s v="ENTERPRISE"/>
    <x v="4"/>
    <x v="0"/>
    <e v="#NAME?"/>
    <s v="SDATOOL-36547 $ PLAN MAYOR -PLAN MENOR. Plan ascenso Open Market"/>
    <n v="1"/>
    <x v="0"/>
    <x v="0"/>
    <m/>
    <e v="#NAME?"/>
    <e v="#NAME?"/>
    <e v="#NAME?"/>
    <m/>
    <m/>
    <m/>
    <m/>
    <m/>
    <m/>
  </r>
  <r>
    <s v="C805323"/>
    <s v="JOSE MIGUEL PARDO"/>
    <s v="ENTERPRISE"/>
    <x v="4"/>
    <x v="0"/>
    <e v="#NAME?"/>
    <s v="SDATOOL-37125 $ Factoring - IBR"/>
    <n v="1"/>
    <x v="0"/>
    <x v="0"/>
    <m/>
    <e v="#NAME?"/>
    <e v="#NAME?"/>
    <e v="#NAME?"/>
    <m/>
    <m/>
    <m/>
    <m/>
    <m/>
    <m/>
  </r>
  <r>
    <s v="C804103"/>
    <s v="MAIRON STIVENS JIMENEZ QUIROGA"/>
    <s v="ENTERPRISE"/>
    <x v="4"/>
    <x v="0"/>
    <e v="#NAME?"/>
    <s v="SDATOOL-37125 $ Factoring - IBR"/>
    <n v="0.5"/>
    <x v="0"/>
    <x v="0"/>
    <m/>
    <e v="#NAME?"/>
    <e v="#NAME?"/>
    <e v="#NAME?"/>
    <m/>
    <m/>
    <m/>
    <m/>
    <m/>
    <m/>
  </r>
  <r>
    <s v="C804103"/>
    <s v="MAIRON STIVENS JIMENEZ QUIROGA"/>
    <s v="ENTERPRISE"/>
    <x v="4"/>
    <x v="0"/>
    <e v="#NAME?"/>
    <s v="SDATOOL-42106 $ Emisión Certificados Tributarios a proveedores en Operaciones Sin Recurso (Proyecto Normativo)"/>
    <n v="0.5"/>
    <x v="0"/>
    <x v="0"/>
    <m/>
    <e v="#NAME?"/>
    <e v="#NAME?"/>
    <e v="#NAME?"/>
    <m/>
    <m/>
    <m/>
    <m/>
    <m/>
    <m/>
  </r>
  <r>
    <s v="C805973"/>
    <s v="JESUS DAVID TELLO ARISTIZABAL"/>
    <s v="ENTERPRISE"/>
    <x v="4"/>
    <x v="0"/>
    <e v="#NAME?"/>
    <s v="SDATOOL-37086 $ Factura electrónica (radian)"/>
    <n v="1"/>
    <x v="0"/>
    <x v="2"/>
    <m/>
    <e v="#NAME?"/>
    <e v="#NAME?"/>
    <e v="#NAME?"/>
    <m/>
    <m/>
    <m/>
    <m/>
    <m/>
    <m/>
  </r>
  <r>
    <s v="C805925"/>
    <s v="GUSTAVO ANDRES CAMARGO"/>
    <s v="ENTERPRISE"/>
    <x v="4"/>
    <x v="0"/>
    <e v="#NAME?"/>
    <s v="SDATOOL-36547 $ PLAN MAYOR -PLAN MENOR. Plan ascenso Open Market"/>
    <n v="0.25"/>
    <x v="0"/>
    <x v="2"/>
    <m/>
    <e v="#NAME?"/>
    <e v="#NAME?"/>
    <e v="#NAME?"/>
    <m/>
    <m/>
    <m/>
    <m/>
    <m/>
    <m/>
  </r>
  <r>
    <s v="O004604"/>
    <s v="DARREN NICOLAS DURAN JAMAICA"/>
    <s v="ENTERPRISE"/>
    <x v="4"/>
    <x v="0"/>
    <e v="#NAME?"/>
    <s v="NOSDA $ BAU (Mantenimiento y peq. evolutivos)"/>
    <n v="1"/>
    <x v="0"/>
    <x v="2"/>
    <m/>
    <e v="#NAME?"/>
    <e v="#NAME?"/>
    <e v="#NAME?"/>
    <m/>
    <m/>
    <m/>
    <m/>
    <m/>
    <m/>
  </r>
  <r>
    <s v="O000159"/>
    <s v="CAROL VIVIANA CARVAJALNAGLES"/>
    <s v="ENTERPRISE"/>
    <x v="4"/>
    <x v="0"/>
    <e v="#NAME?"/>
    <s v="SDATOOL-36547 $ PLAN MAYOR -PLAN MENOR. Plan ascenso Open Market"/>
    <n v="0.5"/>
    <x v="1"/>
    <x v="0"/>
    <m/>
    <e v="#NAME?"/>
    <e v="#NAME?"/>
    <e v="#NAME?"/>
    <m/>
    <m/>
    <m/>
    <m/>
    <m/>
    <m/>
  </r>
  <r>
    <s v="O000159"/>
    <s v="CAROL VIVIANA CARVAJALNAGLES"/>
    <s v="ENTERPRISE"/>
    <x v="4"/>
    <x v="0"/>
    <e v="#NAME?"/>
    <s v="SDATOOL-37125 $ Factoring - IBR"/>
    <n v="0.25"/>
    <x v="1"/>
    <x v="0"/>
    <m/>
    <e v="#NAME?"/>
    <e v="#NAME?"/>
    <e v="#NAME?"/>
    <m/>
    <m/>
    <m/>
    <m/>
    <m/>
    <m/>
  </r>
  <r>
    <s v="O000159"/>
    <s v="CAROL VIVIANA CARVAJALNAGLES"/>
    <s v="ENTERPRISE"/>
    <x v="4"/>
    <x v="0"/>
    <e v="#NAME?"/>
    <s v="SDATOOL-42106 $ Emisión Certificados Tributarios a proveedores en Operaciones Sin Recurso (Proyecto Normativo)"/>
    <n v="0.15"/>
    <x v="1"/>
    <x v="0"/>
    <m/>
    <e v="#NAME?"/>
    <e v="#NAME?"/>
    <e v="#NAME?"/>
    <m/>
    <m/>
    <m/>
    <m/>
    <m/>
    <m/>
  </r>
  <r>
    <s v="O000159"/>
    <s v="CAROL VIVIANA CARVAJALNAGLES"/>
    <s v="ENTERPRISE"/>
    <x v="4"/>
    <x v="0"/>
    <e v="#NAME?"/>
    <s v="SDATOOL-40438 $ CIRCULAR 032 del 2021 - REQUERIMIENTO FISCALIA GENERAL DE LA NACION"/>
    <n v="0.1"/>
    <x v="1"/>
    <x v="0"/>
    <m/>
    <e v="#NAME?"/>
    <e v="#NAME?"/>
    <e v="#NAME?"/>
    <m/>
    <m/>
    <m/>
    <m/>
    <m/>
    <m/>
  </r>
  <r>
    <s v="T005152"/>
    <s v="ANGELICA MARINA CASTILLA RENDON"/>
    <s v="ENTERPRISE"/>
    <x v="4"/>
    <x v="5"/>
    <e v="#NAME?"/>
    <s v="SDATOOL-36547 $ PLAN MAYOR -PLAN MENOR. Plan ascenso Open Market"/>
    <n v="0.9"/>
    <x v="2"/>
    <x v="2"/>
    <m/>
    <e v="#NAME?"/>
    <e v="#NAME?"/>
    <e v="#NAME?"/>
    <m/>
    <m/>
    <m/>
    <m/>
    <m/>
    <m/>
  </r>
  <r>
    <s v="T005152"/>
    <s v="ANGELICA MARINA CASTILLA RENDON"/>
    <s v="ENTERPRISE"/>
    <x v="4"/>
    <x v="5"/>
    <e v="#NAME?"/>
    <s v="SDATOOL-42106 $ Emisión Certificados Tributarios a proveedores en Operaciones Sin Recurso (Proyecto Normativo)"/>
    <n v="0.1"/>
    <x v="2"/>
    <x v="0"/>
    <m/>
    <e v="#NAME?"/>
    <e v="#NAME?"/>
    <e v="#NAME?"/>
    <m/>
    <m/>
    <m/>
    <m/>
    <m/>
    <m/>
  </r>
  <r>
    <s v="CE68432"/>
    <s v="ANGELY JOHANA GONZALEZ VILLAMIL"/>
    <s v="ENTERPRISE"/>
    <x v="4"/>
    <x v="1"/>
    <e v="#NAME?"/>
    <s v="SDATOOL-37125 $ Factoring - IBR"/>
    <n v="1"/>
    <x v="2"/>
    <x v="0"/>
    <m/>
    <e v="#NAME?"/>
    <e v="#NAME?"/>
    <e v="#NAME?"/>
    <m/>
    <m/>
    <m/>
    <m/>
    <m/>
    <m/>
  </r>
  <r>
    <s v="CE60767"/>
    <s v="JEIMMY ALEJANDRA SANCHEZ LOPEZ"/>
    <s v="ENTERPRISE"/>
    <x v="4"/>
    <x v="1"/>
    <e v="#NAME?"/>
    <s v="SDATOOL-37125 $ Factoring - IBR"/>
    <n v="1"/>
    <x v="2"/>
    <x v="0"/>
    <m/>
    <e v="#NAME?"/>
    <e v="#NAME?"/>
    <e v="#NAME?"/>
    <m/>
    <m/>
    <m/>
    <m/>
    <m/>
    <m/>
  </r>
  <r>
    <s v="T002011"/>
    <s v="YEIMY TATIANA ZAMORA GUEVARA"/>
    <s v="ENTERPRISE"/>
    <x v="4"/>
    <x v="1"/>
    <e v="#NAME?"/>
    <s v="SDATOOL-37125 $ Factoring - IBR"/>
    <n v="1"/>
    <x v="2"/>
    <x v="0"/>
    <m/>
    <e v="#NAME?"/>
    <e v="#NAME?"/>
    <e v="#NAME?"/>
    <m/>
    <m/>
    <m/>
    <m/>
    <m/>
    <m/>
  </r>
  <r>
    <s v="CE65276"/>
    <s v="JOHANA IDALY GARZON RUIZ"/>
    <s v="ENTERPRISE"/>
    <x v="4"/>
    <x v="1"/>
    <e v="#NAME?"/>
    <s v="SDATOOL-37125 $ Factoring - IBR"/>
    <n v="1"/>
    <x v="2"/>
    <x v="0"/>
    <m/>
    <e v="#NAME?"/>
    <e v="#NAME?"/>
    <e v="#NAME?"/>
    <m/>
    <m/>
    <m/>
    <m/>
    <m/>
    <m/>
  </r>
  <r>
    <s v="CE51577"/>
    <s v="LINA JULIETH REDONDO SOLER"/>
    <s v="ENTERPRISE"/>
    <x v="4"/>
    <x v="1"/>
    <e v="#NAME?"/>
    <s v="SDATOOL-36547 $ PLAN MAYOR -PLAN MENOR. Plan ascenso Open Market"/>
    <n v="1"/>
    <x v="2"/>
    <x v="2"/>
    <m/>
    <e v="#NAME?"/>
    <e v="#NAME?"/>
    <e v="#NAME?"/>
    <m/>
    <m/>
    <m/>
    <m/>
    <m/>
    <m/>
  </r>
  <r>
    <s v="CE68565"/>
    <s v="JELBER STIBEN LOZANO PRADA"/>
    <s v="ENTERPRISE"/>
    <x v="4"/>
    <x v="1"/>
    <e v="#NAME?"/>
    <s v="SDATOOL-36547 $ PLAN MAYOR -PLAN MENOR. Plan ascenso Open Market"/>
    <n v="1"/>
    <x v="2"/>
    <x v="0"/>
    <m/>
    <e v="#NAME?"/>
    <e v="#NAME?"/>
    <e v="#NAME?"/>
    <m/>
    <m/>
    <m/>
    <m/>
    <m/>
    <m/>
  </r>
  <r>
    <s v="CE66305"/>
    <s v="LADY JOHANNA ARDILA ABELLO"/>
    <s v="ENTERPRISE"/>
    <x v="4"/>
    <x v="1"/>
    <e v="#NAME?"/>
    <s v="SDATOOL-36547 $ PLAN MAYOR -PLAN MENOR. Plan ascenso Open Market"/>
    <n v="1"/>
    <x v="2"/>
    <x v="2"/>
    <m/>
    <e v="#NAME?"/>
    <e v="#NAME?"/>
    <e v="#NAME?"/>
    <m/>
    <m/>
    <m/>
    <m/>
    <m/>
    <m/>
  </r>
  <r>
    <s v="CE67889"/>
    <s v="YEIMY PATRICIA PELAEZ ARENAS"/>
    <s v="ENTERPRISE"/>
    <x v="4"/>
    <x v="1"/>
    <e v="#NAME?"/>
    <s v="SDATOOL-36547 $ PLAN MAYOR -PLAN MENOR. Plan ascenso Open Market"/>
    <n v="1"/>
    <x v="2"/>
    <x v="0"/>
    <m/>
    <e v="#NAME?"/>
    <e v="#NAME?"/>
    <e v="#NAME?"/>
    <m/>
    <m/>
    <m/>
    <m/>
    <m/>
    <m/>
  </r>
  <r>
    <s v="T010295"/>
    <s v="KAREN JULIETH VASQUEZ ROMERO"/>
    <s v="ENTERPRISE"/>
    <x v="4"/>
    <x v="1"/>
    <e v="#NAME?"/>
    <s v="SDATOOL-36547 $ PLAN MAYOR -PLAN MENOR. Plan ascenso Open Market"/>
    <n v="1"/>
    <x v="2"/>
    <x v="2"/>
    <m/>
    <e v="#NAME?"/>
    <e v="#NAME?"/>
    <e v="#NAME?"/>
    <m/>
    <m/>
    <m/>
    <m/>
    <m/>
    <m/>
  </r>
  <r>
    <s v="CE51510"/>
    <s v="JULY VANESSA TORRES ZARATE"/>
    <s v="ENTERPRISE"/>
    <x v="4"/>
    <x v="1"/>
    <e v="#NAME?"/>
    <s v="SDATOOL-36547 $ PLAN MAYOR -PLAN MENOR. Plan ascenso Open Market"/>
    <n v="1"/>
    <x v="2"/>
    <x v="0"/>
    <m/>
    <e v="#NAME?"/>
    <e v="#NAME?"/>
    <e v="#NAME?"/>
    <m/>
    <m/>
    <m/>
    <m/>
    <m/>
    <m/>
  </r>
  <r>
    <s v="CE68432"/>
    <s v="PAUL JONATHAN VALENCIA MUÑOZ"/>
    <s v="ENTERPRISE"/>
    <x v="4"/>
    <x v="1"/>
    <e v="#NAME?"/>
    <s v="SDATOOL-36547 $ PLAN MAYOR -PLAN MENOR. Plan ascenso Open Market"/>
    <n v="1"/>
    <x v="2"/>
    <x v="0"/>
    <m/>
    <e v="#NAME?"/>
    <e v="#NAME?"/>
    <e v="#NAME?"/>
    <m/>
    <m/>
    <m/>
    <m/>
    <m/>
    <m/>
  </r>
  <r>
    <s v=" T011816"/>
    <s v="JENNY PAOLA LOSADA VELASCO"/>
    <s v="ENTERPRISE"/>
    <x v="4"/>
    <x v="1"/>
    <e v="#NAME?"/>
    <s v="SDATOOL-36547 $ PLAN MAYOR -PLAN MENOR. Plan ascenso Open Market"/>
    <n v="1"/>
    <x v="2"/>
    <x v="0"/>
    <m/>
    <e v="#NAME?"/>
    <e v="#NAME?"/>
    <e v="#NAME?"/>
    <m/>
    <m/>
    <m/>
    <m/>
    <m/>
    <m/>
  </r>
  <r>
    <s v="T012212"/>
    <s v="MONICA ALEJANDRA QUINTERO PEREZ"/>
    <s v="ENTERPRISE"/>
    <x v="4"/>
    <x v="1"/>
    <e v="#NAME?"/>
    <s v="SDATOOL-36547 $ PLAN MAYOR -PLAN MENOR. Plan ascenso Open Market"/>
    <n v="1"/>
    <x v="2"/>
    <x v="0"/>
    <m/>
    <e v="#NAME?"/>
    <e v="#NAME?"/>
    <e v="#NAME?"/>
    <m/>
    <m/>
    <m/>
    <m/>
    <m/>
    <m/>
  </r>
  <r>
    <s v="CE30318"/>
    <s v="ROBERTO ANTONIO MARTINEZ"/>
    <s v="ENTERPRISE"/>
    <x v="4"/>
    <x v="2"/>
    <e v="#NAME?"/>
    <s v="SDATOOL-36547 $ PLAN MAYOR -PLAN MENOR. Plan ascenso Open Market"/>
    <n v="0.1"/>
    <x v="2"/>
    <x v="2"/>
    <m/>
    <e v="#NAME?"/>
    <e v="#NAME?"/>
    <e v="#NAME?"/>
    <m/>
    <m/>
    <m/>
    <m/>
    <m/>
    <m/>
  </r>
  <r>
    <s v="CE30318"/>
    <s v="ROBERTO ANTONIO MARTINEZ"/>
    <s v="ENTERPRISE"/>
    <x v="4"/>
    <x v="2"/>
    <e v="#NAME?"/>
    <s v="SDATOOL-37125 $ Factoring - IBR"/>
    <n v="0.1"/>
    <x v="2"/>
    <x v="0"/>
    <m/>
    <e v="#NAME?"/>
    <e v="#NAME?"/>
    <e v="#NAME?"/>
    <m/>
    <m/>
    <m/>
    <m/>
    <m/>
    <m/>
  </r>
  <r>
    <s v="CE30318"/>
    <s v="ROBERTO ANTONIO MARTINEZ"/>
    <s v="ENTERPRISE"/>
    <x v="4"/>
    <x v="2"/>
    <e v="#NAME?"/>
    <s v="SDATOOL-42106 $ Emisión Certificados Tributarios a proveedores en Operaciones Sin Recurso (Proyecto Normativo)"/>
    <n v="0.05"/>
    <x v="2"/>
    <x v="0"/>
    <m/>
    <e v="#NAME?"/>
    <e v="#NAME?"/>
    <e v="#NAME?"/>
    <m/>
    <m/>
    <m/>
    <m/>
    <m/>
    <m/>
  </r>
  <r>
    <s v="CE41979"/>
    <s v="DILSON PARDO SANTANA"/>
    <s v="ENTERPRISE"/>
    <x v="0"/>
    <x v="5"/>
    <e v="#NAME?"/>
    <s v="SDATOOL-40438 $ CIRCULAR 032 del 2021 - REQUERIMIENTO FISCALIA GENERAL DE LA NACION"/>
    <n v="7.0000000000000007E-2"/>
    <x v="2"/>
    <x v="0"/>
    <m/>
    <e v="#NAME?"/>
    <e v="#NAME?"/>
    <e v="#NAME?"/>
    <m/>
    <m/>
    <m/>
    <m/>
    <m/>
    <m/>
  </r>
  <r>
    <s v="CE41979"/>
    <s v="DILSON PARDO SANTANA"/>
    <s v="ENTERPRISE"/>
    <x v="0"/>
    <x v="5"/>
    <e v="#NAME?"/>
    <s v="NOSDA $ BAU (Mantenimiento y peq. evolutivos)"/>
    <n v="0.1"/>
    <x v="2"/>
    <x v="0"/>
    <m/>
    <e v="#NAME?"/>
    <e v="#NAME?"/>
    <e v="#NAME?"/>
    <m/>
    <m/>
    <m/>
    <m/>
    <m/>
    <m/>
  </r>
  <r>
    <s v="CE41979"/>
    <s v="DILSON PARDO SANTANA"/>
    <s v="ENTERPRISE"/>
    <x v="0"/>
    <x v="5"/>
    <e v="#NAME?"/>
    <s v="SDATOOL-41941 $ INTEGRACIÓN DE AS400 Y HOST Y ESTABILIZACIÓN Y RESTABLECIMIENTO DE lOS ENTORNOS DE LEASING AS400 DE DESARROLLO Y CALIDAD&quot;"/>
    <n v="0.08"/>
    <x v="2"/>
    <x v="0"/>
    <m/>
    <e v="#NAME?"/>
    <e v="#NAME?"/>
    <e v="#NAME?"/>
    <m/>
    <m/>
    <m/>
    <m/>
    <m/>
    <m/>
  </r>
  <r>
    <s v="CE30318"/>
    <s v="ROBERTO ANTONIO MARTINEZ"/>
    <s v="ENTERPRISE"/>
    <x v="4"/>
    <x v="2"/>
    <e v="#NAME?"/>
    <s v="NOSDA $ BAU (Mantenimiento y peq. evolutivos)"/>
    <n v="0.25"/>
    <x v="2"/>
    <x v="0"/>
    <m/>
    <e v="#NAME?"/>
    <e v="#NAME?"/>
    <e v="#NAME?"/>
    <m/>
    <m/>
    <m/>
    <m/>
    <m/>
    <m/>
  </r>
  <r>
    <s v="CE41979"/>
    <s v="DILSON PARDO SANTANA"/>
    <s v="ENTERPRISE"/>
    <x v="0"/>
    <x v="5"/>
    <e v="#NAME?"/>
    <s v="NOSDA $ BAU (Mantenimiento y peq. evolutivos)"/>
    <n v="0.25"/>
    <x v="2"/>
    <x v="0"/>
    <m/>
    <e v="#NAME?"/>
    <e v="#NAME?"/>
    <e v="#NAME?"/>
    <m/>
    <m/>
    <m/>
    <m/>
    <m/>
    <m/>
  </r>
  <r>
    <s v="CE69031"/>
    <s v="WILLIAM ROBERTO MORA BERNAL"/>
    <s v="ENTERPRISE"/>
    <x v="0"/>
    <x v="2"/>
    <e v="#NAME?"/>
    <s v="NOSDA $ BAU (Mantenimiento y peq. evolutivos)"/>
    <n v="0.25"/>
    <x v="3"/>
    <x v="0"/>
    <m/>
    <e v="#NAME?"/>
    <e v="#NAME?"/>
    <e v="#NAME?"/>
    <m/>
    <m/>
    <m/>
    <m/>
    <m/>
    <m/>
  </r>
  <r>
    <s v="CE30318"/>
    <s v="ROBERTO ANTONIO MARTINEZ"/>
    <s v="ENTERPRISE"/>
    <x v="0"/>
    <x v="2"/>
    <e v="#NAME?"/>
    <s v="NOSDA $ BAU (Mantenimiento y peq. evolutivos)"/>
    <n v="7.0000000000000007E-2"/>
    <x v="2"/>
    <x v="0"/>
    <m/>
    <e v="#NAME?"/>
    <e v="#NAME?"/>
    <e v="#NAME?"/>
    <m/>
    <m/>
    <m/>
    <m/>
    <m/>
    <m/>
  </r>
  <r>
    <s v="CE41979"/>
    <s v="DILSON PARDO SANTANA"/>
    <s v="ENTERPRISE"/>
    <x v="4"/>
    <x v="5"/>
    <e v="#NAME?"/>
    <s v="SDATOOL-36547 $ PLAN MAYOR -PLAN MENOR. Plan ascenso Open Market"/>
    <n v="0.1"/>
    <x v="2"/>
    <x v="0"/>
    <m/>
    <e v="#NAME?"/>
    <e v="#NAME?"/>
    <e v="#NAME?"/>
    <m/>
    <m/>
    <m/>
    <m/>
    <m/>
    <m/>
  </r>
  <r>
    <s v="CE41979"/>
    <s v="DILSON PARDO SANTANA"/>
    <s v="ENTERPRISE"/>
    <x v="4"/>
    <x v="5"/>
    <e v="#NAME?"/>
    <s v="SDATOOL-37125 $ Factoring - IBR"/>
    <n v="0.1"/>
    <x v="2"/>
    <x v="0"/>
    <m/>
    <e v="#NAME?"/>
    <e v="#NAME?"/>
    <e v="#NAME?"/>
    <m/>
    <m/>
    <m/>
    <m/>
    <m/>
    <m/>
  </r>
  <r>
    <s v="CE41979"/>
    <s v="DILSON PARDO SANTANA"/>
    <s v="ENTERPRISE"/>
    <x v="4"/>
    <x v="5"/>
    <e v="#NAME?"/>
    <s v="SDATOOL-42106 $ Emisión Certificados Tributarios a proveedores en Operaciones Sin Recurso (Proyecto Normativo)"/>
    <n v="0.05"/>
    <x v="2"/>
    <x v="0"/>
    <m/>
    <e v="#NAME?"/>
    <e v="#NAME?"/>
    <e v="#NAME?"/>
    <m/>
    <m/>
    <m/>
    <m/>
    <m/>
    <m/>
  </r>
  <r>
    <s v="CE41979"/>
    <s v="DILSON PARDO SANTANA"/>
    <s v="ENTERPRISE"/>
    <x v="4"/>
    <x v="5"/>
    <e v="#NAME?"/>
    <s v="NOSDA $ BAU (Mantenimiento y peq. evolutivos)"/>
    <n v="0.25"/>
    <x v="2"/>
    <x v="0"/>
    <m/>
    <e v="#NAME?"/>
    <e v="#NAME?"/>
    <e v="#NAME?"/>
    <m/>
    <m/>
    <m/>
    <m/>
    <m/>
    <m/>
  </r>
  <r>
    <s v="CE69031"/>
    <s v="WILLIAM ROBERTO MORA BERNAL"/>
    <s v="ENTERPRISE"/>
    <x v="4"/>
    <x v="2"/>
    <e v="#NAME?"/>
    <s v="NOSDA $ BAU (Mantenimiento y peq. evolutivos)"/>
    <n v="0.25"/>
    <x v="3"/>
    <x v="0"/>
    <m/>
    <e v="#NAME?"/>
    <e v="#NAME?"/>
    <e v="#NAME?"/>
    <m/>
    <m/>
    <m/>
    <m/>
    <m/>
    <m/>
  </r>
  <r>
    <s v="CE69031"/>
    <s v="WILLIAM ROBERTO MORA BERNAL"/>
    <s v="ENTERPRISE"/>
    <x v="4"/>
    <x v="2"/>
    <e v="#NAME?"/>
    <s v="SDATOOL-36547 $ PLAN MAYOR -PLAN MENOR. Plan ascenso Open Market"/>
    <n v="0.1"/>
    <x v="3"/>
    <x v="2"/>
    <m/>
    <e v="#NAME?"/>
    <e v="#NAME?"/>
    <e v="#NAME?"/>
    <m/>
    <m/>
    <m/>
    <m/>
    <m/>
    <m/>
  </r>
  <r>
    <s v="CE69031"/>
    <s v="WILLIAM ROBERTO MORA BERNAL"/>
    <s v="ENTERPRISE"/>
    <x v="4"/>
    <x v="2"/>
    <e v="#NAME?"/>
    <s v="SDATOOL-37125 $ Factoring - IBR"/>
    <n v="0.1"/>
    <x v="3"/>
    <x v="0"/>
    <m/>
    <e v="#NAME?"/>
    <e v="#NAME?"/>
    <e v="#NAME?"/>
    <m/>
    <m/>
    <m/>
    <m/>
    <m/>
    <m/>
  </r>
  <r>
    <s v="CE69031"/>
    <s v="WILLIAM ROBERTO MORA BERNAL"/>
    <s v="ENTERPRISE"/>
    <x v="4"/>
    <x v="2"/>
    <e v="#NAME?"/>
    <s v="SDATOOL-42106 $ Emisión Certificados Tributarios a proveedores en Operaciones Sin Recurso (Proyecto Normativo)"/>
    <n v="0.05"/>
    <x v="3"/>
    <x v="0"/>
    <m/>
    <e v="#NAME?"/>
    <e v="#NAME?"/>
    <e v="#NAME?"/>
    <m/>
    <m/>
    <m/>
    <m/>
    <m/>
    <m/>
  </r>
  <r>
    <s v="O000108"/>
    <s v="FELIPE ALONSO SOTO CABALLERO"/>
    <s v="CIB &amp; COMEX - FIDUCIARIA"/>
    <x v="1"/>
    <x v="0"/>
    <e v="#NAME?"/>
    <s v="SDATOOL-38642 $ CUPON INTERMEDIO"/>
    <n v="0.7"/>
    <x v="0"/>
    <x v="1"/>
    <s v="Legacy :power Builder"/>
    <e v="#NAME?"/>
    <e v="#NAME?"/>
    <e v="#NAME?"/>
    <m/>
    <m/>
    <m/>
    <m/>
    <m/>
    <m/>
  </r>
  <r>
    <s v="O000108"/>
    <s v="FELIPE ALONSO SOTO CABALLERO"/>
    <s v="CIB &amp; COMEX - FIDUCIARIA"/>
    <x v="1"/>
    <x v="0"/>
    <e v="#NAME?"/>
    <s v="SDATOOL-32520 $ CDD Based Reporting - Colombia"/>
    <n v="0.3"/>
    <x v="0"/>
    <x v="1"/>
    <s v="Legacy :power Builder"/>
    <e v="#NAME?"/>
    <e v="#NAME?"/>
    <e v="#NAME?"/>
    <m/>
    <m/>
    <m/>
    <m/>
    <m/>
    <m/>
  </r>
  <r>
    <s v="CE30318"/>
    <s v="ROBERTO ANTONIO MARTINEZ"/>
    <s v="ENTERPRISE"/>
    <x v="0"/>
    <x v="2"/>
    <e v="#NAME?"/>
    <s v="SDATOOL-40438 $ CIRCULAR 032 del 2021 - REQUERIMIENTO FISCALIA GENERAL DE LA NACION"/>
    <n v="0.1"/>
    <x v="2"/>
    <x v="0"/>
    <m/>
    <e v="#NAME?"/>
    <e v="#NAME?"/>
    <e v="#NAME?"/>
    <m/>
    <m/>
    <m/>
    <m/>
    <m/>
    <m/>
  </r>
  <r>
    <s v="CE30318"/>
    <s v="ROBERTO ANTONIO MARTINEZ"/>
    <s v="ENTERPRISE"/>
    <x v="0"/>
    <x v="2"/>
    <e v="#NAME?"/>
    <s v="SDATOOL-41941 $ INTEGRACIÓN DE AS400 Y HOST Y ESTABILIZACIÓN Y RESTABLECIMIENTO DE lOS ENTORNOS DE LEASING AS400 DE DESARROLLO Y CALIDAD&quot;"/>
    <n v="0.08"/>
    <x v="2"/>
    <x v="0"/>
    <m/>
    <e v="#NAME?"/>
    <e v="#NAME?"/>
    <e v="#NAME?"/>
    <m/>
    <m/>
    <m/>
    <m/>
    <m/>
    <m/>
  </r>
  <r>
    <s v="CE30318"/>
    <s v="ROBERTO ANTONIO MARTINEZ"/>
    <s v="ENTERPRISE"/>
    <x v="0"/>
    <x v="2"/>
    <e v="#NAME?"/>
    <s v="NOSDA $ BAU (Mantenimiento y peq. evolutivos)"/>
    <n v="0.25"/>
    <x v="2"/>
    <x v="0"/>
    <m/>
    <e v="#NAME?"/>
    <e v="#NAME?"/>
    <e v="#NAME?"/>
    <m/>
    <m/>
    <m/>
    <m/>
    <m/>
    <m/>
  </r>
  <r>
    <s v="C801586"/>
    <s v="SANDRA LILIANA SANCHEZ PULIDO"/>
    <s v="ENTERPRISE"/>
    <x v="0"/>
    <x v="0"/>
    <e v="#NAME?"/>
    <s v="NOSDA $ BAU (Mantenimiento y peq. evolutivos)"/>
    <n v="1"/>
    <x v="1"/>
    <x v="2"/>
    <m/>
    <e v="#NAME?"/>
    <e v="#NAME?"/>
    <e v="#NAME?"/>
    <m/>
    <m/>
    <m/>
    <m/>
    <m/>
    <m/>
  </r>
  <r>
    <s v="CE59142"/>
    <s v="MARTHA LUCIA PORRAS"/>
    <s v="ENTERPRISE"/>
    <x v="0"/>
    <x v="5"/>
    <e v="#NAME?"/>
    <s v="NOSDA $ BAU (Mantenimiento y peq. evolutivos)"/>
    <n v="1"/>
    <x v="3"/>
    <x v="2"/>
    <m/>
    <e v="#NAME?"/>
    <e v="#NAME?"/>
    <e v="#NAME?"/>
    <m/>
    <m/>
    <m/>
    <m/>
    <m/>
    <m/>
  </r>
  <r>
    <s v="CE66182"/>
    <s v="JUAN MARTIN UMAÑA"/>
    <s v="ENTERPRISE"/>
    <x v="0"/>
    <x v="5"/>
    <e v="#NAME?"/>
    <s v="NOSDA $ BAU (Mantenimiento y peq. evolutivos)"/>
    <n v="1"/>
    <x v="0"/>
    <x v="2"/>
    <m/>
    <e v="#NAME?"/>
    <e v="#NAME?"/>
    <e v="#NAME?"/>
    <m/>
    <m/>
    <m/>
    <m/>
    <m/>
    <m/>
  </r>
  <r>
    <s v="CE52790"/>
    <s v="GERMAN ZARRIA MENDEZ"/>
    <s v="ENTERPRISE"/>
    <x v="0"/>
    <x v="5"/>
    <e v="#NAME?"/>
    <s v="NOSDA $ BAU (Mantenimiento y peq. evolutivos)"/>
    <n v="1"/>
    <x v="0"/>
    <x v="2"/>
    <m/>
    <e v="#NAME?"/>
    <e v="#NAME?"/>
    <e v="#NAME?"/>
    <m/>
    <m/>
    <m/>
    <m/>
    <m/>
    <m/>
  </r>
  <r>
    <s v="CE50160"/>
    <s v="CONSUELO MOLINA GUERRERO"/>
    <s v="ENTERPRISE"/>
    <x v="0"/>
    <x v="5"/>
    <e v="#NAME?"/>
    <s v="NOSDA $ BAU (Mantenimiento y peq. evolutivos)"/>
    <n v="1"/>
    <x v="0"/>
    <x v="2"/>
    <m/>
    <e v="#NAME?"/>
    <e v="#NAME?"/>
    <e v="#NAME?"/>
    <m/>
    <m/>
    <m/>
    <m/>
    <m/>
    <m/>
  </r>
  <r>
    <s v="CE57567"/>
    <s v="GIOVANNI ESGUERRA VELANDIA"/>
    <s v="ENTERPRISE"/>
    <x v="0"/>
    <x v="5"/>
    <e v="#NAME?"/>
    <s v="NOSDA $ BAU (Mantenimiento y peq. evolutivos)"/>
    <n v="1"/>
    <x v="0"/>
    <x v="2"/>
    <m/>
    <e v="#NAME?"/>
    <e v="#NAME?"/>
    <e v="#NAME?"/>
    <m/>
    <m/>
    <m/>
    <m/>
    <m/>
    <m/>
  </r>
  <r>
    <s v="CE63508"/>
    <s v="DANNA VALERIA MESA ALFONSO"/>
    <s v="ENTERPRISE"/>
    <x v="0"/>
    <x v="5"/>
    <e v="#NAME?"/>
    <s v="NOSDA $ BAU (Mantenimiento y peq. evolutivos)"/>
    <n v="1"/>
    <x v="2"/>
    <x v="2"/>
    <m/>
    <e v="#NAME?"/>
    <e v="#NAME?"/>
    <e v="#NAME?"/>
    <m/>
    <m/>
    <m/>
    <m/>
    <m/>
    <m/>
  </r>
  <r>
    <s v="C802316"/>
    <s v="CAMILO ALBERTO GARCES BELTRAN"/>
    <s v="CIB &amp; COMEX - FIDUCIARIA"/>
    <x v="1"/>
    <x v="0"/>
    <e v="#NAME?"/>
    <s v="SDATOOL-33907 $ Manejo Fiscal Prima o Descuento Renta Fija"/>
    <n v="0.7"/>
    <x v="0"/>
    <x v="1"/>
    <s v="Legacy :power Builder"/>
    <e v="#NAME?"/>
    <e v="#NAME?"/>
    <e v="#NAME?"/>
    <m/>
    <m/>
    <m/>
    <m/>
    <m/>
    <m/>
  </r>
  <r>
    <s v="C802316"/>
    <s v="CAMILO ALBERTO GARCES BELTRAN"/>
    <s v="CIB &amp; COMEX - FIDUCIARIA"/>
    <x v="1"/>
    <x v="0"/>
    <e v="#NAME?"/>
    <s v="SDATOOL-35663 $ Capacidades FX GM"/>
    <n v="0.3"/>
    <x v="0"/>
    <x v="1"/>
    <s v="Legacy :power Builder"/>
    <e v="#NAME?"/>
    <e v="#NAME?"/>
    <e v="#NAME?"/>
    <m/>
    <m/>
    <m/>
    <m/>
    <m/>
    <m/>
  </r>
  <r>
    <s v="C782982"/>
    <s v="ANA CONSUELO TRASLAVIÑA"/>
    <s v="CIB &amp; COMEX - FIDUCIARIA"/>
    <x v="1"/>
    <x v="0"/>
    <e v="#NAME?"/>
    <s v="SDATOOL-33907 $ Manejo Fiscal Prima o Descuento Renta Fija"/>
    <n v="0.3"/>
    <x v="1"/>
    <x v="1"/>
    <s v="Legacy :power Builder"/>
    <e v="#NAME?"/>
    <e v="#NAME?"/>
    <e v="#NAME?"/>
    <m/>
    <m/>
    <m/>
    <m/>
    <m/>
    <m/>
  </r>
  <r>
    <s v="C782982"/>
    <s v="ANA CONSUELO TRASLAVIÑA"/>
    <s v="CIB &amp; COMEX - FIDUCIARIA"/>
    <x v="1"/>
    <x v="0"/>
    <e v="#NAME?"/>
    <s v="SDATOOL-35663 $ Capacidades FX GM"/>
    <n v="0.3"/>
    <x v="1"/>
    <x v="1"/>
    <s v="Legacy :power Builder"/>
    <e v="#NAME?"/>
    <e v="#NAME?"/>
    <e v="#NAME?"/>
    <m/>
    <m/>
    <m/>
    <m/>
    <m/>
    <m/>
  </r>
  <r>
    <s v="C782982"/>
    <s v="ANA CONSUELO TRASLAVIÑA"/>
    <s v="CIB &amp; COMEX - FIDUCIARIA"/>
    <x v="1"/>
    <x v="0"/>
    <e v="#NAME?"/>
    <s v="SDATOOL-38642 $ CUPON INTERMEDIO"/>
    <n v="0.3"/>
    <x v="1"/>
    <x v="1"/>
    <s v="Legacy :power Builder"/>
    <e v="#NAME?"/>
    <e v="#NAME?"/>
    <e v="#NAME?"/>
    <m/>
    <m/>
    <m/>
    <m/>
    <m/>
    <m/>
  </r>
  <r>
    <s v="C782982"/>
    <s v="ANA CONSUELO TRASLAVIÑA"/>
    <s v="CIB &amp; COMEX - FIDUCIARIA"/>
    <x v="1"/>
    <x v="0"/>
    <e v="#NAME?"/>
    <s v="SDATOOL-32520 $ CDD Based Reporting - Colombia"/>
    <n v="0.1"/>
    <x v="1"/>
    <x v="1"/>
    <s v="Legacy :power Builder"/>
    <e v="#NAME?"/>
    <e v="#NAME?"/>
    <e v="#NAME?"/>
    <m/>
    <m/>
    <m/>
    <m/>
    <m/>
    <m/>
  </r>
  <r>
    <s v="CE43166"/>
    <s v="DEYSON EMIR MURILLO MORENO"/>
    <s v="CIB &amp; COMEX - FIDUCIARIA"/>
    <x v="1"/>
    <x v="4"/>
    <e v="#NAME?"/>
    <s v="SDATOOL-32520 $ CDD Based Reporting - Colombia"/>
    <n v="0.25"/>
    <x v="1"/>
    <x v="1"/>
    <s v="Legacy :power Builder"/>
    <e v="#NAME?"/>
    <e v="#NAME?"/>
    <e v="#NAME?"/>
    <m/>
    <m/>
    <m/>
    <m/>
    <m/>
    <m/>
  </r>
  <r>
    <s v="CE43166"/>
    <s v="DEYSON EMIR MURILLO MORENO"/>
    <s v="CIB &amp; COMEX - FIDUCIARIA"/>
    <x v="1"/>
    <x v="4"/>
    <e v="#NAME?"/>
    <s v="SDATOOL-38642 $ CUPON INTERMEDIO"/>
    <n v="0.25"/>
    <x v="1"/>
    <x v="1"/>
    <s v="Legacy :power Builder"/>
    <e v="#NAME?"/>
    <e v="#NAME?"/>
    <e v="#NAME?"/>
    <m/>
    <m/>
    <m/>
    <m/>
    <m/>
    <m/>
  </r>
  <r>
    <s v="CE69376"/>
    <s v="_x0009_LIZETH DUEÑAS"/>
    <s v="CIB &amp; COMEX - FIDUCIARIA"/>
    <x v="1"/>
    <x v="4"/>
    <e v="#NAME?"/>
    <s v="SDATOOL-32520 $ CDD Based Reporting - Colombia"/>
    <n v="0.25"/>
    <x v="3"/>
    <x v="1"/>
    <s v="Legacy :power Builder"/>
    <e v="#NAME?"/>
    <e v="#NAME?"/>
    <e v="#NAME?"/>
    <m/>
    <m/>
    <m/>
    <m/>
    <m/>
    <m/>
  </r>
  <r>
    <s v="CE69376"/>
    <s v="_x0009_LIZETH DUEÑAS"/>
    <s v="CIB &amp; COMEX - FIDUCIARIA"/>
    <x v="1"/>
    <x v="4"/>
    <e v="#NAME?"/>
    <s v="SDATOOL-38642 $ CUPON INTERMEDIO"/>
    <n v="0.25"/>
    <x v="3"/>
    <x v="1"/>
    <s v="Legacy :power Builder"/>
    <e v="#NAME?"/>
    <e v="#NAME?"/>
    <e v="#NAME?"/>
    <m/>
    <m/>
    <m/>
    <m/>
    <m/>
    <m/>
  </r>
  <r>
    <s v="CE69380"/>
    <s v="_x0009_DIOCLECIANO LOPÉZ"/>
    <s v="CIB &amp; COMEX - FIDUCIARIA"/>
    <x v="1"/>
    <x v="4"/>
    <e v="#NAME?"/>
    <s v="SDATOOL-38642 $ CUPON INTERMEDIO"/>
    <n v="0.5"/>
    <x v="0"/>
    <x v="1"/>
    <s v="Legacy :power Builder"/>
    <e v="#NAME?"/>
    <e v="#NAME?"/>
    <e v="#NAME?"/>
    <m/>
    <m/>
    <m/>
    <m/>
    <m/>
    <m/>
  </r>
  <r>
    <s v="CE69380"/>
    <s v="_x0009_DIOCLECIANO LOPÉZ"/>
    <s v="CIB &amp; COMEX - FIDUCIARIA"/>
    <x v="1"/>
    <x v="4"/>
    <e v="#NAME?"/>
    <s v="SDATOOL-35663 $ Capacidades FX GM"/>
    <n v="0.3"/>
    <x v="0"/>
    <x v="1"/>
    <s v="Legacy :power Builder"/>
    <e v="#NAME?"/>
    <e v="#NAME?"/>
    <e v="#NAME?"/>
    <m/>
    <m/>
    <m/>
    <m/>
    <m/>
    <m/>
  </r>
  <r>
    <s v="CE69377"/>
    <s v="CESAR EUCLIDES MURILLO CAICEDO"/>
    <s v="CIB &amp; COMEX - FIDUCIARIA"/>
    <x v="1"/>
    <x v="4"/>
    <e v="#NAME?"/>
    <s v="SDATOOL-38642 $ CUPON INTERMEDIO"/>
    <n v="0.4"/>
    <x v="0"/>
    <x v="1"/>
    <s v="Legacy :power Builder"/>
    <e v="#NAME?"/>
    <e v="#NAME?"/>
    <e v="#NAME?"/>
    <m/>
    <m/>
    <m/>
    <m/>
    <m/>
    <m/>
  </r>
  <r>
    <s v="CE64877"/>
    <s v="LUIS GUILLERMO SANCHEZ"/>
    <s v="CIB &amp; COMEX - FIDUCIARIA"/>
    <x v="1"/>
    <x v="4"/>
    <e v="#NAME?"/>
    <s v="SDATOOL-32520 $ CDD Based Reporting - Colombia"/>
    <n v="0.3"/>
    <x v="0"/>
    <x v="1"/>
    <s v="Legacy :power Builder"/>
    <e v="#NAME?"/>
    <e v="#NAME?"/>
    <e v="#NAME?"/>
    <m/>
    <m/>
    <m/>
    <m/>
    <m/>
    <m/>
  </r>
  <r>
    <s v="CE64378"/>
    <s v="SANTIAGO ALEJANDRO CORREDOR"/>
    <s v="CIB &amp; COMEX - FIDUCIARIA"/>
    <x v="1"/>
    <x v="4"/>
    <e v="#NAME?"/>
    <s v="SDATOOL-33907 $ Manejo Fiscal Prima o Descuento Renta Fija"/>
    <n v="0.25"/>
    <x v="1"/>
    <x v="1"/>
    <s v="Legacy :power Builder"/>
    <e v="#NAME?"/>
    <e v="#NAME?"/>
    <e v="#NAME?"/>
    <m/>
    <m/>
    <m/>
    <m/>
    <m/>
    <m/>
  </r>
  <r>
    <s v="CE64378"/>
    <s v="SANTIAGO ALEJANDRO CORREDOR"/>
    <s v="CIB &amp; COMEX - FIDUCIARIA"/>
    <x v="1"/>
    <x v="4"/>
    <e v="#NAME?"/>
    <s v="SDATOOL-35663 $ Capacidades FX GM"/>
    <n v="0.25"/>
    <x v="1"/>
    <x v="1"/>
    <s v="Legacy :power Builder"/>
    <e v="#NAME?"/>
    <e v="#NAME?"/>
    <e v="#NAME?"/>
    <m/>
    <m/>
    <m/>
    <m/>
    <m/>
    <m/>
  </r>
  <r>
    <s v="CE55477"/>
    <s v="LIZZETH PAOLA FORERO"/>
    <s v="ENTERPRISE"/>
    <x v="4"/>
    <x v="1"/>
    <e v="#NAME?"/>
    <s v="NOSDA $ BAU (Mantenimiento y peq. evolutivos)"/>
    <n v="1"/>
    <x v="2"/>
    <x v="0"/>
    <m/>
    <e v="#NAME?"/>
    <e v="#NAME?"/>
    <e v="#NAME?"/>
    <m/>
    <m/>
    <m/>
    <m/>
    <m/>
    <m/>
  </r>
  <r>
    <s v="T002794"/>
    <s v="OSVALDO JAVIER LOPEZ CASTILLO"/>
    <s v="ENTERPRISE"/>
    <x v="4"/>
    <x v="7"/>
    <e v="#NAME?"/>
    <s v="NOSDA $ BAU (Mantenimiento y peq. evolutivos)"/>
    <n v="1"/>
    <x v="0"/>
    <x v="0"/>
    <m/>
    <e v="#NAME?"/>
    <e v="#NAME?"/>
    <e v="#NAME?"/>
    <m/>
    <m/>
    <m/>
    <m/>
    <m/>
    <m/>
  </r>
  <r>
    <s v="CE69114"/>
    <s v="SERGIO LUIS DIAZ TORO"/>
    <s v="ENTERPRISE"/>
    <x v="4"/>
    <x v="7"/>
    <e v="#NAME?"/>
    <s v="NOSDA $ BAU (Mantenimiento y peq. evolutivos)"/>
    <n v="1"/>
    <x v="0"/>
    <x v="0"/>
    <m/>
    <e v="#NAME?"/>
    <e v="#NAME?"/>
    <e v="#NAME?"/>
    <m/>
    <m/>
    <m/>
    <m/>
    <m/>
    <m/>
  </r>
  <r>
    <s v="O001973"/>
    <s v="MANUEL ESTEBAN MORENO"/>
    <s v="ENTERPRISE"/>
    <x v="4"/>
    <x v="0"/>
    <e v="#NAME?"/>
    <s v="NOSDA $ BAU (Mantenimiento y peq. evolutivos)"/>
    <n v="1"/>
    <x v="0"/>
    <x v="0"/>
    <m/>
    <e v="#NAME?"/>
    <e v="#NAME?"/>
    <e v="#NAME?"/>
    <m/>
    <m/>
    <m/>
    <m/>
    <m/>
    <m/>
  </r>
  <r>
    <s v="C805971"/>
    <s v="CARLOS EDUARDO BELLO"/>
    <s v="ENTERPRISE"/>
    <x v="4"/>
    <x v="0"/>
    <e v="#NAME?"/>
    <s v="NOSDA $ BAU (Mantenimiento y peq. evolutivos)"/>
    <n v="1"/>
    <x v="0"/>
    <x v="0"/>
    <m/>
    <e v="#NAME?"/>
    <e v="#NAME?"/>
    <e v="#NAME?"/>
    <m/>
    <m/>
    <m/>
    <m/>
    <m/>
    <m/>
  </r>
  <r>
    <s v="C805925"/>
    <s v="GUSTAVO ANDRES CAMARGO"/>
    <s v="ENTERPRISE"/>
    <x v="4"/>
    <x v="0"/>
    <e v="#NAME?"/>
    <s v="NOSDA $ BAU (Mantenimiento y peq. evolutivos)"/>
    <n v="0.75"/>
    <x v="0"/>
    <x v="1"/>
    <m/>
    <e v="#NAME?"/>
    <e v="#NAME?"/>
    <e v="#NAME?"/>
    <m/>
    <m/>
    <m/>
    <m/>
    <m/>
    <m/>
  </r>
  <r>
    <s v="C810899"/>
    <s v="BRAYAN JOSE VIVAS GOMEZ"/>
    <s v="ENTERPRISE"/>
    <x v="4"/>
    <x v="0"/>
    <e v="#NAME?"/>
    <s v="NOSDA $ BAU (Mantenimiento y peq. evolutivos)"/>
    <n v="1"/>
    <x v="1"/>
    <x v="0"/>
    <m/>
    <e v="#NAME?"/>
    <e v="#NAME?"/>
    <e v="#NAME?"/>
    <m/>
    <m/>
    <m/>
    <m/>
    <m/>
    <m/>
  </r>
  <r>
    <s v="C802949"/>
    <s v="NESTOR EDUARDO SILVA VERGARA "/>
    <s v="CFS"/>
    <x v="5"/>
    <x v="0"/>
    <e v="#NAME?"/>
    <s v="NOSDA $ BAU (Mantenimiento y peq. evolutivos)"/>
    <n v="1"/>
    <x v="1"/>
    <x v="2"/>
    <m/>
    <e v="#NAME?"/>
    <e v="#NAME?"/>
    <e v="#NAME?"/>
    <m/>
    <m/>
    <m/>
    <m/>
    <m/>
    <m/>
  </r>
  <r>
    <s v="O000118"/>
    <s v="JONATHAN ANGEL MURCIA"/>
    <s v="CFS"/>
    <x v="5"/>
    <x v="0"/>
    <e v="#NAME?"/>
    <s v="NOSDA $ BAU (Mantenimiento y peq. evolutivos)"/>
    <n v="1"/>
    <x v="0"/>
    <x v="0"/>
    <m/>
    <e v="#NAME?"/>
    <e v="#NAME?"/>
    <e v="#NAME?"/>
    <m/>
    <m/>
    <m/>
    <m/>
    <m/>
    <m/>
  </r>
  <r>
    <s v="O001384"/>
    <s v="JUAN DAVID GONZALEZ MONROY"/>
    <s v="CFS"/>
    <x v="5"/>
    <x v="0"/>
    <e v="#NAME?"/>
    <s v="NOSDA $ BAU (Mantenimiento y peq. evolutivos)"/>
    <n v="1"/>
    <x v="0"/>
    <x v="2"/>
    <m/>
    <e v="#NAME?"/>
    <e v="#NAME?"/>
    <e v="#NAME?"/>
    <m/>
    <m/>
    <m/>
    <m/>
    <m/>
    <m/>
  </r>
  <r>
    <s v="T002204"/>
    <s v="CARLOS ANDRES BETANCUR MARIN"/>
    <s v="CFS"/>
    <x v="5"/>
    <x v="8"/>
    <e v="#NAME?"/>
    <s v="NOSDA $ BAU (Mantenimiento y peq. evolutivos)"/>
    <n v="1"/>
    <x v="1"/>
    <x v="2"/>
    <m/>
    <e v="#NAME?"/>
    <e v="#NAME?"/>
    <e v="#NAME?"/>
    <m/>
    <m/>
    <m/>
    <m/>
    <m/>
    <m/>
  </r>
  <r>
    <s v="CE64919"/>
    <s v="MYRIAM GARCIA HERNANDEZ"/>
    <s v="CFS"/>
    <x v="5"/>
    <x v="8"/>
    <e v="#NAME?"/>
    <s v="NOSDA $ BAU (Mantenimiento y peq. evolutivos)"/>
    <n v="1"/>
    <x v="0"/>
    <x v="2"/>
    <m/>
    <e v="#NAME?"/>
    <e v="#NAME?"/>
    <e v="#NAME?"/>
    <m/>
    <m/>
    <m/>
    <m/>
    <m/>
    <m/>
  </r>
  <r>
    <s v="CE68692"/>
    <s v="JORGE ROBINSON MENESES GUTIERREZ"/>
    <s v="CFS"/>
    <x v="5"/>
    <x v="8"/>
    <e v="#NAME?"/>
    <s v="NOSDA $ BAU (Mantenimiento y peq. evolutivos)"/>
    <n v="1"/>
    <x v="0"/>
    <x v="0"/>
    <m/>
    <e v="#NAME?"/>
    <e v="#NAME?"/>
    <e v="#NAME?"/>
    <m/>
    <m/>
    <m/>
    <m/>
    <m/>
    <m/>
  </r>
  <r>
    <s v="CE62655"/>
    <s v="DIEGO FRANCISCO FLORES DIAZ"/>
    <s v="CFS"/>
    <x v="5"/>
    <x v="8"/>
    <e v="#NAME?"/>
    <s v="NOSDA $ BAU (Mantenimiento y peq. evolutivos)"/>
    <n v="1"/>
    <x v="0"/>
    <x v="0"/>
    <m/>
    <e v="#NAME?"/>
    <e v="#NAME?"/>
    <e v="#NAME?"/>
    <m/>
    <m/>
    <m/>
    <m/>
    <m/>
    <m/>
  </r>
  <r>
    <s v="CE60804"/>
    <s v="ALVARO IVAN BARRIOS PINEDA"/>
    <s v="CFS"/>
    <x v="5"/>
    <x v="8"/>
    <e v="#NAME?"/>
    <s v="NOSDA $ BAU (Mantenimiento y peq. evolutivos)"/>
    <n v="0.5"/>
    <x v="0"/>
    <x v="2"/>
    <s v="Se comparte con Torre de Analitycs "/>
    <e v="#NAME?"/>
    <e v="#NAME?"/>
    <e v="#NAME?"/>
    <m/>
    <m/>
    <m/>
    <m/>
    <m/>
    <m/>
  </r>
  <r>
    <s v="CE66288"/>
    <s v="LAURA VALENTINA RINCON RODRIGUEZ"/>
    <s v="CFS"/>
    <x v="5"/>
    <x v="9"/>
    <e v="#NAME?"/>
    <s v="NOSDA $ BAU (Mantenimiento y peq. evolutivos)"/>
    <n v="1"/>
    <x v="2"/>
    <x v="2"/>
    <m/>
    <e v="#NAME?"/>
    <e v="#NAME?"/>
    <e v="#NAME?"/>
    <m/>
    <m/>
    <m/>
    <m/>
    <m/>
    <m/>
  </r>
  <r>
    <s v="O003229"/>
    <s v="ARMANDO RAFAEL VASQUEZ ALTAMAR"/>
    <s v="CFS"/>
    <x v="6"/>
    <x v="0"/>
    <e v="#NAME?"/>
    <s v="SDATOOL-28728 $ Contratación electrónica/digital de empleados y Carpeta Virtual 2.0"/>
    <n v="0.1"/>
    <x v="1"/>
    <x v="1"/>
    <m/>
    <e v="#NAME?"/>
    <e v="#NAME?"/>
    <e v="#NAME?"/>
    <m/>
    <m/>
    <m/>
    <m/>
    <m/>
    <m/>
  </r>
  <r>
    <s v="O003229"/>
    <s v="ARMANDO RAFAEL VASQUEZ ALTAMAR"/>
    <s v="CFS"/>
    <x v="6"/>
    <x v="0"/>
    <e v="#NAME?"/>
    <s v="SDATOOL-40407 $ Envío de información sensible entes internos y externos"/>
    <n v="0.1"/>
    <x v="1"/>
    <x v="1"/>
    <m/>
    <e v="#NAME?"/>
    <e v="#NAME?"/>
    <e v="#NAME?"/>
    <m/>
    <m/>
    <m/>
    <m/>
    <m/>
    <m/>
  </r>
  <r>
    <s v="O003229"/>
    <s v="ARMANDO RAFAEL VASQUEZ ALTAMAR"/>
    <s v="CFS"/>
    <x v="6"/>
    <x v="0"/>
    <e v="#NAME?"/>
    <s v="SDATOOL-40406 $ Plan Mejora recobro de incapacidades"/>
    <n v="0.1"/>
    <x v="1"/>
    <x v="1"/>
    <m/>
    <e v="#NAME?"/>
    <e v="#NAME?"/>
    <e v="#NAME?"/>
    <m/>
    <m/>
    <m/>
    <m/>
    <m/>
    <m/>
  </r>
  <r>
    <s v="O003229"/>
    <s v="ARMANDO RAFAEL VASQUEZ ALTAMAR"/>
    <s v="CFS"/>
    <x v="6"/>
    <x v="0"/>
    <e v="#NAME?"/>
    <s v="SDATOOL-40706 $ Validaciones en Captura de Terceros Aplicativo TBM"/>
    <n v="0.25"/>
    <x v="1"/>
    <x v="1"/>
    <m/>
    <e v="#NAME?"/>
    <e v="#NAME?"/>
    <e v="#NAME?"/>
    <m/>
    <m/>
    <m/>
    <m/>
    <m/>
    <m/>
  </r>
  <r>
    <s v="O003230"/>
    <s v="ARMANDO RAFAEL VASQUEZ ALTAMAR"/>
    <s v="CFS"/>
    <x v="6"/>
    <x v="0"/>
    <e v="#NAME?"/>
    <s v="SDATOOL-40546 $ Mejoras Experiencia de Usuario TBM"/>
    <n v="0.25"/>
    <x v="1"/>
    <x v="1"/>
    <m/>
    <e v="#NAME?"/>
    <e v="#NAME?"/>
    <e v="#NAME?"/>
    <m/>
    <m/>
    <m/>
    <m/>
    <m/>
    <m/>
  </r>
  <r>
    <s v="O003231"/>
    <s v="ARMANDO RAFAEL VASQUEZ ALTAMAR"/>
    <s v="CFS"/>
    <x v="6"/>
    <x v="0"/>
    <e v="#NAME?"/>
    <s v="SDATOOL-41203 $ Obsolescencia Aplicativa 2023"/>
    <n v="0.1"/>
    <x v="1"/>
    <x v="1"/>
    <m/>
    <e v="#NAME?"/>
    <e v="#NAME?"/>
    <e v="#NAME?"/>
    <m/>
    <m/>
    <m/>
    <m/>
    <m/>
    <m/>
  </r>
  <r>
    <s v="O003232"/>
    <s v="ARMANDO RAFAEL VASQUEZ ALTAMAR"/>
    <s v="CFS"/>
    <x v="6"/>
    <x v="0"/>
    <e v="#NAME?"/>
    <s v="SDATOOL-37765 $ Optimización operativa S&amp;C"/>
    <n v="0.1"/>
    <x v="1"/>
    <x v="1"/>
    <m/>
    <e v="#NAME?"/>
    <e v="#NAME?"/>
    <e v="#NAME?"/>
    <m/>
    <m/>
    <m/>
    <m/>
    <m/>
    <m/>
  </r>
  <r>
    <s v="C811263"/>
    <s v="Cardozo Castro Diana Carolina"/>
    <s v="CFS"/>
    <x v="6"/>
    <x v="0"/>
    <e v="#NAME?"/>
    <s v="SDATOOL-40706 $ Validaciones en Captura de Terceros Aplicativo TBM"/>
    <n v="0.5"/>
    <x v="0"/>
    <x v="1"/>
    <m/>
    <e v="#NAME?"/>
    <e v="#NAME?"/>
    <e v="#NAME?"/>
    <m/>
    <m/>
    <m/>
    <m/>
    <m/>
    <m/>
  </r>
  <r>
    <s v="C811263"/>
    <s v="Cardozo Castro Diana Carolina"/>
    <s v="CFS"/>
    <x v="6"/>
    <x v="0"/>
    <e v="#NAME?"/>
    <s v="SDATOOL-40546 $ Mejoras Experiencia de Usuario TBM"/>
    <n v="0.5"/>
    <x v="0"/>
    <x v="1"/>
    <m/>
    <e v="#NAME?"/>
    <e v="#NAME?"/>
    <e v="#NAME?"/>
    <m/>
    <m/>
    <m/>
    <m/>
    <m/>
    <m/>
  </r>
  <r>
    <s v="T010294"/>
    <s v="Carlos Andres De la pava Jimenez"/>
    <s v="CFS"/>
    <x v="6"/>
    <x v="6"/>
    <e v="#NAME?"/>
    <s v="SDATOOL-28728 $ Contratación electrónica/digital de empleados y Carpeta Virtual 2.0"/>
    <n v="1"/>
    <x v="0"/>
    <x v="1"/>
    <s v="Este Proyecto contiene  ASO, APX, CELLS, GCP"/>
    <e v="#NAME?"/>
    <e v="#NAME?"/>
    <e v="#NAME?"/>
    <m/>
    <m/>
    <m/>
    <m/>
    <m/>
    <m/>
  </r>
  <r>
    <s v="C341767"/>
    <s v="Cipagauta Rodriguez Edwin Guillermo"/>
    <s v="CFS"/>
    <x v="6"/>
    <x v="0"/>
    <e v="#NAME?"/>
    <s v="SDATOOL-40406 $ Plan Mejora recobro de incapacidades"/>
    <n v="0.5"/>
    <x v="0"/>
    <x v="1"/>
    <m/>
    <e v="#NAME?"/>
    <e v="#NAME?"/>
    <e v="#NAME?"/>
    <m/>
    <m/>
    <m/>
    <m/>
    <m/>
    <m/>
  </r>
  <r>
    <s v="C341767"/>
    <s v="Cipagauta Rodriguez Edwin Guillermo"/>
    <s v="CFS"/>
    <x v="6"/>
    <x v="0"/>
    <e v="#NAME?"/>
    <s v="SDATOOL-37765 $ Optimización operativa S&amp;C"/>
    <n v="0.25"/>
    <x v="0"/>
    <x v="1"/>
    <m/>
    <e v="#NAME?"/>
    <e v="#NAME?"/>
    <e v="#NAME?"/>
    <m/>
    <m/>
    <m/>
    <m/>
    <m/>
    <m/>
  </r>
  <r>
    <s v="C341767"/>
    <s v="Cipagauta Rodriguez Edwin Guillermo"/>
    <s v="CFS"/>
    <x v="6"/>
    <x v="0"/>
    <e v="#NAME?"/>
    <s v="SDATOOL-41203 $ Obsolescencia Aplicativa 2023"/>
    <n v="0.25"/>
    <x v="3"/>
    <x v="1"/>
    <m/>
    <e v="#NAME?"/>
    <e v="#NAME?"/>
    <e v="#NAME?"/>
    <m/>
    <m/>
    <m/>
    <m/>
    <m/>
    <m/>
  </r>
  <r>
    <s v="T002802"/>
    <s v="Diego Andrés Mateus Triana"/>
    <s v="CFS"/>
    <x v="6"/>
    <x v="6"/>
    <e v="#NAME?"/>
    <s v="SDATOOL-28728 $ Contratación electrónica/digital de empleados y Carpeta Virtual 2.0"/>
    <n v="1"/>
    <x v="0"/>
    <x v="1"/>
    <s v="Este Proyecto contiene  ASO, APX, CELLS, GCP"/>
    <e v="#NAME?"/>
    <e v="#NAME?"/>
    <e v="#NAME?"/>
    <m/>
    <m/>
    <m/>
    <m/>
    <m/>
    <m/>
  </r>
  <r>
    <s v="T010289"/>
    <s v="Ever Alexander Bravo Vergara"/>
    <s v="CFS"/>
    <x v="6"/>
    <x v="6"/>
    <e v="#NAME?"/>
    <s v="SDATOOL-28728 $ Contratación electrónica/digital de empleados y Carpeta Virtual 2.0"/>
    <n v="1"/>
    <x v="0"/>
    <x v="1"/>
    <s v="Este Proyecto contiene  ASO, APX, CELLS, GCP"/>
    <e v="#NAME?"/>
    <e v="#NAME?"/>
    <e v="#NAME?"/>
    <m/>
    <m/>
    <m/>
    <m/>
    <m/>
    <m/>
  </r>
  <r>
    <s v="CE70901"/>
    <s v="JUAN SEBASTIAN SANCHEZ"/>
    <s v="CFS"/>
    <x v="6"/>
    <x v="6"/>
    <e v="#NAME?"/>
    <s v="SDATOOL-28728 $ Contratación electrónica/digital de empleados y Carpeta Virtual 2.0"/>
    <n v="1"/>
    <x v="0"/>
    <x v="1"/>
    <s v="Este Proyecto contiene  ASO, APX, CELLS, GCP"/>
    <e v="#NAME?"/>
    <e v="#NAME?"/>
    <e v="#NAME?"/>
    <m/>
    <m/>
    <m/>
    <m/>
    <m/>
    <m/>
  </r>
  <r>
    <s v="T002449"/>
    <s v="Manuel Camilo Sanchez Sevilla"/>
    <s v="CFS"/>
    <x v="6"/>
    <x v="6"/>
    <e v="#NAME?"/>
    <s v="SDATOOL-28728 $ Contratación electrónica/digital de empleados y Carpeta Virtual 2.0"/>
    <n v="1"/>
    <x v="0"/>
    <x v="1"/>
    <s v="Este Proyecto contiene  ASO, APX, CELLS, GCP"/>
    <e v="#NAME?"/>
    <e v="#NAME?"/>
    <e v="#NAME?"/>
    <m/>
    <m/>
    <m/>
    <m/>
    <m/>
    <m/>
  </r>
  <r>
    <s v="C811290"/>
    <s v="Montana Castro Camilo Arturo"/>
    <s v="CFS"/>
    <x v="6"/>
    <x v="0"/>
    <e v="#NAME?"/>
    <s v="SDATOOL-40407 $ Envío de información sensible entes internos y externos"/>
    <n v="1"/>
    <x v="0"/>
    <x v="1"/>
    <s v="Proyecto con dos feature"/>
    <e v="#NAME?"/>
    <e v="#NAME?"/>
    <e v="#NAME?"/>
    <m/>
    <m/>
    <m/>
    <m/>
    <m/>
    <m/>
  </r>
  <r>
    <s v="C804221"/>
    <s v="Quiroz Munoz Bryan Antonio"/>
    <s v="CFS"/>
    <x v="6"/>
    <x v="0"/>
    <e v="#NAME?"/>
    <s v="SDATOOL-28728 $ Contratación electrónica/digital de empleados y Carpeta Virtual 2.0"/>
    <n v="1"/>
    <x v="0"/>
    <x v="1"/>
    <s v="Este proyecto contiene  ASO, APX, CELLS, GCP_x000a_Proyecto con 2 feature"/>
    <e v="#NAME?"/>
    <e v="#NAME?"/>
    <e v="#NAME?"/>
    <m/>
    <m/>
    <m/>
    <m/>
    <m/>
    <m/>
  </r>
  <r>
    <s v="CE66796"/>
    <s v="SANTIAGO SALAS CARRERA"/>
    <s v="CFS"/>
    <x v="6"/>
    <x v="6"/>
    <e v="#NAME?"/>
    <s v="SDATOOL-28728 $ Contratación electrónica/digital de empleados y Carpeta Virtual 2.0"/>
    <n v="1"/>
    <x v="0"/>
    <x v="1"/>
    <s v="Este Proyecto contiene  ASO, APX, CELLS, GCP"/>
    <e v="#NAME?"/>
    <e v="#NAME?"/>
    <e v="#NAME?"/>
    <m/>
    <m/>
    <m/>
    <m/>
    <m/>
    <m/>
  </r>
  <r>
    <s v="C805333"/>
    <s v="Torres Laguado Juan Sebastian"/>
    <s v="CFS"/>
    <x v="6"/>
    <x v="0"/>
    <e v="#NAME?"/>
    <s v="SDATOOL-28728 $ Contratación electrónica/digital de empleados y Carpeta Virtual 2.0"/>
    <n v="1"/>
    <x v="0"/>
    <x v="1"/>
    <s v="Este proyecto contiene  ASO, APX, CELLS, GCP_x000a_Proyecto con 2 feature"/>
    <e v="#NAME?"/>
    <e v="#NAME?"/>
    <e v="#NAME?"/>
    <m/>
    <m/>
    <m/>
    <m/>
    <m/>
    <m/>
  </r>
  <r>
    <s v="T010288"/>
    <s v="yeison andres consuegra vega"/>
    <s v="CFS"/>
    <x v="6"/>
    <x v="6"/>
    <e v="#NAME?"/>
    <s v="SDATOOL-28728 $ Contratación electrónica/digital de empleados y Carpeta Virtual 2.0"/>
    <n v="1"/>
    <x v="0"/>
    <x v="1"/>
    <s v="Este Proyecto contiene  ASO, APX, CELLS, GCP"/>
    <e v="#NAME?"/>
    <e v="#NAME?"/>
    <e v="#NAME?"/>
    <m/>
    <m/>
    <m/>
    <m/>
    <m/>
    <m/>
  </r>
  <r>
    <s v="T003286"/>
    <s v="YURI VALENTINA MUÑOZ"/>
    <s v="CFS"/>
    <x v="6"/>
    <x v="6"/>
    <e v="#NAME?"/>
    <s v="SDATOOL-28728 $ Contratación electrónica/digital de empleados y Carpeta Virtual 2.0"/>
    <n v="1"/>
    <x v="0"/>
    <x v="1"/>
    <s v="Este Proyecto contiene  ASO, APX, CELLS, GCP"/>
    <e v="#NAME?"/>
    <e v="#NAME?"/>
    <e v="#NAME?"/>
    <m/>
    <m/>
    <m/>
    <m/>
    <m/>
    <m/>
  </r>
  <r>
    <s v="C783729"/>
    <s v="MIGUEL ANTONIO GUIO ESPINOSA "/>
    <s v="CFS"/>
    <x v="7"/>
    <x v="0"/>
    <e v="#NAME?"/>
    <s v="SDATOOL-29998 $ Despliegue SAS AML en BBVA CO"/>
    <n v="0.4"/>
    <x v="1"/>
    <x v="1"/>
    <m/>
    <e v="#NAME?"/>
    <e v="#NAME?"/>
    <e v="#NAME?"/>
    <m/>
    <m/>
    <m/>
    <m/>
    <m/>
    <m/>
  </r>
  <r>
    <s v="C783729"/>
    <s v="MIGUEL ANTONIO GUIO ESPINOSA "/>
    <s v="CFS"/>
    <x v="7"/>
    <x v="0"/>
    <e v="#NAME?"/>
    <s v="SDATOOL-39265 $ Migración Operaciones Fircosoft"/>
    <n v="0.1"/>
    <x v="1"/>
    <x v="1"/>
    <s v="Usuario  lo presentara en el WG del 30/03/2023"/>
    <e v="#NAME?"/>
    <e v="#NAME?"/>
    <e v="#NAME?"/>
    <m/>
    <m/>
    <m/>
    <m/>
    <m/>
    <m/>
  </r>
  <r>
    <s v="C783729"/>
    <s v="MIGUEL ANTONIO GUIO ESPINOSA "/>
    <s v="CFS"/>
    <x v="7"/>
    <x v="0"/>
    <e v="#NAME?"/>
    <s v="SDATOOL-39473 $ Actualización de Was 8 a was 9. RBA"/>
    <n v="0.1"/>
    <x v="1"/>
    <x v="1"/>
    <m/>
    <e v="#NAME?"/>
    <e v="#NAME?"/>
    <e v="#NAME?"/>
    <m/>
    <m/>
    <m/>
    <m/>
    <m/>
    <m/>
  </r>
  <r>
    <s v="C783729"/>
    <s v="MIGUEL ANTONIO GUIO ESPINOSA "/>
    <s v="CFS"/>
    <x v="7"/>
    <x v="0"/>
    <e v="#NAME?"/>
    <s v="SDATOOL-39888 $ Proyecto - Evolutivo Sarlaft - Mejoras controles aplicativos"/>
    <n v="0.2"/>
    <x v="1"/>
    <x v="1"/>
    <m/>
    <e v="#NAME?"/>
    <e v="#NAME?"/>
    <e v="#NAME?"/>
    <m/>
    <m/>
    <m/>
    <m/>
    <m/>
    <m/>
  </r>
  <r>
    <s v="C783729"/>
    <s v="MIGUEL ANTONIO GUIO ESPINOSA "/>
    <s v="CFS"/>
    <x v="7"/>
    <x v="0"/>
    <e v="#NAME?"/>
    <s v="SDATOOL-40984 $ Proyecto - Identificación e ingesta de las tablas necesarias en datio y la construcción del caso de uso para la identificación de vínculos - Colombia"/>
    <n v="0.1"/>
    <x v="1"/>
    <x v="1"/>
    <m/>
    <e v="#NAME?"/>
    <e v="#NAME?"/>
    <e v="#NAME?"/>
    <m/>
    <m/>
    <m/>
    <m/>
    <m/>
    <m/>
  </r>
  <r>
    <s v="C783729"/>
    <s v="MIGUEL ANTONIO GUIO ESPINOSA "/>
    <s v="CFS"/>
    <x v="7"/>
    <x v="0"/>
    <e v="#NAME?"/>
    <s v="SDATOOL-41031 $ Proyecto - Shadow IT - Migración a un nuevo aplicativo de la herramienta SIGLAFT"/>
    <n v="0.1"/>
    <x v="1"/>
    <x v="1"/>
    <m/>
    <e v="#NAME?"/>
    <e v="#NAME?"/>
    <e v="#NAME?"/>
    <m/>
    <m/>
    <m/>
    <m/>
    <m/>
    <m/>
  </r>
  <r>
    <s v="C808788"/>
    <s v="Pena Agudelo Rosario Elena"/>
    <s v="CFS"/>
    <x v="7"/>
    <x v="0"/>
    <e v="#NAME?"/>
    <s v="SDATOOL-29998 $ Despliegue SAS AML en BBVA CO"/>
    <n v="0.4"/>
    <x v="0"/>
    <x v="0"/>
    <m/>
    <e v="#NAME?"/>
    <e v="#NAME?"/>
    <e v="#NAME?"/>
    <m/>
    <m/>
    <m/>
    <m/>
    <m/>
    <m/>
  </r>
  <r>
    <s v="C808788"/>
    <s v="Pena Agudelo Rosario Elena"/>
    <s v="CFS"/>
    <x v="7"/>
    <x v="0"/>
    <e v="#NAME?"/>
    <s v="SDATOOL-39265 $ Migración Operaciones Fircosoft"/>
    <n v="0.1"/>
    <x v="0"/>
    <x v="0"/>
    <s v="Usuario  lo presentara en el WG del 30/03/2023"/>
    <e v="#NAME?"/>
    <e v="#NAME?"/>
    <e v="#NAME?"/>
    <m/>
    <m/>
    <m/>
    <m/>
    <m/>
    <m/>
  </r>
  <r>
    <s v="C808788"/>
    <s v="Pena Agudelo Rosario Elena"/>
    <s v="CFS"/>
    <x v="7"/>
    <x v="0"/>
    <e v="#NAME?"/>
    <s v="SDATOOL-39473 $ Actualización de Was 8 a was 9. RBA"/>
    <n v="0.1"/>
    <x v="0"/>
    <x v="0"/>
    <m/>
    <e v="#NAME?"/>
    <e v="#NAME?"/>
    <e v="#NAME?"/>
    <m/>
    <m/>
    <m/>
    <m/>
    <m/>
    <m/>
  </r>
  <r>
    <s v="C808788"/>
    <s v="Pena Agudelo Rosario Elena"/>
    <s v="CFS"/>
    <x v="7"/>
    <x v="0"/>
    <e v="#NAME?"/>
    <s v="SDATOOL-39888 $ Proyecto - Evolutivo Sarlaft - Mejoras controles aplicativos"/>
    <n v="0.4"/>
    <x v="0"/>
    <x v="0"/>
    <m/>
    <e v="#NAME?"/>
    <e v="#NAME?"/>
    <e v="#NAME?"/>
    <m/>
    <m/>
    <m/>
    <m/>
    <m/>
    <m/>
  </r>
  <r>
    <s v="C809493"/>
    <s v="Guzman Gonzalez Jorge Enrique"/>
    <s v="CFS"/>
    <x v="7"/>
    <x v="0"/>
    <e v="#NAME?"/>
    <s v="SDATOOL-29998 $ Despliegue SAS AML en BBVA CO"/>
    <n v="0.3"/>
    <x v="0"/>
    <x v="2"/>
    <m/>
    <e v="#NAME?"/>
    <e v="#NAME?"/>
    <e v="#NAME?"/>
    <m/>
    <m/>
    <m/>
    <m/>
    <m/>
    <m/>
  </r>
  <r>
    <s v="C809493"/>
    <s v="Guzman Gonzalez Jorge Enrique"/>
    <s v="CFS"/>
    <x v="7"/>
    <x v="0"/>
    <e v="#NAME?"/>
    <s v="SDATOOL-41031 $ Proyecto - Shadow IT - Migración a un nuevo aplicativo de la herramienta SIGLAFT"/>
    <n v="0.1"/>
    <x v="0"/>
    <x v="2"/>
    <m/>
    <e v="#NAME?"/>
    <e v="#NAME?"/>
    <e v="#NAME?"/>
    <m/>
    <m/>
    <m/>
    <m/>
    <m/>
    <m/>
  </r>
  <r>
    <s v="C809493"/>
    <s v="Guzman Gonzalez Jorge Enrique"/>
    <s v="CFS"/>
    <x v="7"/>
    <x v="0"/>
    <e v="#NAME?"/>
    <s v="SDATOOL-39888 $ Proyecto - Evolutivo Sarlaft - Mejoras controles aplicativos"/>
    <n v="0.5"/>
    <x v="0"/>
    <x v="2"/>
    <m/>
    <e v="#NAME?"/>
    <e v="#NAME?"/>
    <e v="#NAME?"/>
    <m/>
    <m/>
    <m/>
    <m/>
    <m/>
    <m/>
  </r>
  <r>
    <s v="C809493"/>
    <s v="Guzman Gonzalez Jorge Enrique"/>
    <s v="CFS"/>
    <x v="7"/>
    <x v="0"/>
    <e v="#NAME?"/>
    <s v="SDATOOL-40984 $ Proyecto - Identificación e ingesta de las tablas necesarias en datio y la construcción del caso de uso para la identificación de vínculos - Colombia"/>
    <n v="0.1"/>
    <x v="0"/>
    <x v="2"/>
    <m/>
    <e v="#NAME?"/>
    <e v="#NAME?"/>
    <e v="#NAME?"/>
    <m/>
    <m/>
    <m/>
    <m/>
    <m/>
    <m/>
  </r>
  <r>
    <s v="O002594"/>
    <s v="CRISTIAN DAVID VARGAS SIERRA"/>
    <s v="CFS"/>
    <x v="7"/>
    <x v="0"/>
    <e v="#NAME?"/>
    <s v="SDATOOL-39888 $ Proyecto - Evolutivo Sarlaft - Mejoras controles aplicativos"/>
    <n v="0.4"/>
    <x v="0"/>
    <x v="2"/>
    <m/>
    <e v="#NAME?"/>
    <e v="#NAME?"/>
    <e v="#NAME?"/>
    <m/>
    <m/>
    <m/>
    <m/>
    <m/>
    <m/>
  </r>
  <r>
    <s v="O002594"/>
    <s v="CRISTIAN DAVID VARGAS SIERRA"/>
    <s v="CFS"/>
    <x v="7"/>
    <x v="0"/>
    <e v="#NAME?"/>
    <s v="SDATOOL-40984 $ Proyecto - Identificación e ingesta de las tablas necesarias en datio y la construcción del caso de uso para la identificación de vínculos - Colombia"/>
    <n v="0.3"/>
    <x v="0"/>
    <x v="2"/>
    <m/>
    <e v="#NAME?"/>
    <e v="#NAME?"/>
    <e v="#NAME?"/>
    <m/>
    <m/>
    <m/>
    <m/>
    <m/>
    <m/>
  </r>
  <r>
    <s v="O002594"/>
    <s v="CRISTIAN DAVID VARGAS SIERRA"/>
    <s v="CFS"/>
    <x v="7"/>
    <x v="0"/>
    <e v="#NAME?"/>
    <s v="SDATOOL-41031 $ Proyecto - Shadow IT - Migración a un nuevo aplicativo de la herramienta SIGLAFT"/>
    <n v="0.3"/>
    <x v="0"/>
    <x v="2"/>
    <m/>
    <e v="#NAME?"/>
    <e v="#NAME?"/>
    <e v="#NAME?"/>
    <m/>
    <m/>
    <m/>
    <m/>
    <m/>
    <m/>
  </r>
  <r>
    <s v="CE63761"/>
    <s v="Carlos Andres Cely Vergara"/>
    <s v="CFS"/>
    <x v="7"/>
    <x v="10"/>
    <e v="#NAME?"/>
    <s v="SDATOOL-29998 $ Despliegue SAS AML en BBVA CO"/>
    <n v="1"/>
    <x v="0"/>
    <x v="0"/>
    <m/>
    <e v="#NAME?"/>
    <e v="#NAME?"/>
    <e v="#NAME?"/>
    <m/>
    <m/>
    <m/>
    <m/>
    <m/>
    <m/>
  </r>
  <r>
    <s v="T002735"/>
    <s v="CASTELLANOS RODRIGUEZ EDUARDO"/>
    <s v="CFS"/>
    <x v="7"/>
    <x v="11"/>
    <e v="#NAME?"/>
    <s v="SDATOOL-29998 $ Despliegue SAS AML en BBVA CO"/>
    <n v="1"/>
    <x v="0"/>
    <x v="0"/>
    <m/>
    <e v="#NAME?"/>
    <e v="#NAME?"/>
    <e v="#NAME?"/>
    <m/>
    <m/>
    <m/>
    <m/>
    <m/>
    <m/>
  </r>
  <r>
    <s v="T005769"/>
    <s v="Cesar Argenis Ruano Hernandez"/>
    <s v="CFS"/>
    <x v="7"/>
    <x v="11"/>
    <e v="#NAME?"/>
    <s v="SDATOOL-29998 $ Despliegue SAS AML en BBVA CO"/>
    <n v="1"/>
    <x v="0"/>
    <x v="0"/>
    <m/>
    <e v="#NAME?"/>
    <e v="#NAME?"/>
    <e v="#NAME?"/>
    <m/>
    <m/>
    <m/>
    <m/>
    <m/>
    <m/>
  </r>
  <r>
    <s v="CE62655"/>
    <s v="Diego Francisco Florez Diaz"/>
    <s v="CFS"/>
    <x v="7"/>
    <x v="8"/>
    <e v="#NAME?"/>
    <s v="SDATOOL-40599 $ Proyecto - Circular 025"/>
    <n v="0.5"/>
    <x v="0"/>
    <x v="0"/>
    <m/>
    <e v="#NAME?"/>
    <e v="#NAME?"/>
    <e v="#NAME?"/>
    <m/>
    <m/>
    <m/>
    <m/>
    <m/>
    <m/>
  </r>
  <r>
    <s v="T005766"/>
    <s v="Iván Jonathan Romero Medina"/>
    <s v="CFS"/>
    <x v="7"/>
    <x v="11"/>
    <e v="#NAME?"/>
    <s v="SDATOOL-29998 $ Despliegue SAS AML en BBVA CO"/>
    <n v="1"/>
    <x v="0"/>
    <x v="0"/>
    <m/>
    <e v="#NAME?"/>
    <e v="#NAME?"/>
    <e v="#NAME?"/>
    <m/>
    <m/>
    <m/>
    <m/>
    <m/>
    <m/>
  </r>
  <r>
    <s v="CE56090"/>
    <s v="Jeisson Andres Tequia Rincon"/>
    <s v="CFS"/>
    <x v="7"/>
    <x v="10"/>
    <e v="#NAME?"/>
    <s v="SDATOOL-29998 $ Despliegue SAS AML en BBVA CO"/>
    <n v="1"/>
    <x v="0"/>
    <x v="0"/>
    <m/>
    <e v="#NAME?"/>
    <e v="#NAME?"/>
    <e v="#NAME?"/>
    <m/>
    <m/>
    <m/>
    <m/>
    <m/>
    <m/>
  </r>
  <r>
    <s v="T002734"/>
    <s v="MORENO MUNOZ EMMANUEL"/>
    <s v="CFS"/>
    <x v="7"/>
    <x v="11"/>
    <e v="#NAME?"/>
    <s v="SDATOOL-29998 $ Despliegue SAS AML en BBVA CO"/>
    <n v="1"/>
    <x v="0"/>
    <x v="0"/>
    <m/>
    <e v="#NAME?"/>
    <e v="#NAME?"/>
    <e v="#NAME?"/>
    <m/>
    <m/>
    <m/>
    <m/>
    <m/>
    <m/>
  </r>
  <r>
    <s v="T005765"/>
    <s v="Niteen Kumar Kanaiya"/>
    <s v="CFS"/>
    <x v="7"/>
    <x v="11"/>
    <e v="#NAME?"/>
    <s v="SDATOOL-29998 $ Despliegue SAS AML en BBVA CO"/>
    <n v="1"/>
    <x v="0"/>
    <x v="0"/>
    <m/>
    <e v="#NAME?"/>
    <e v="#NAME?"/>
    <e v="#NAME?"/>
    <m/>
    <m/>
    <m/>
    <m/>
    <m/>
    <m/>
  </r>
  <r>
    <s v="T005931"/>
    <s v="DANIEL MAURICIO RIANO PEDRAZA_x000a_"/>
    <s v="CFS"/>
    <x v="7"/>
    <x v="9"/>
    <e v="#NAME?"/>
    <s v="SDATOOL-29998 $ Despliegue SAS AML en BBVA CO"/>
    <n v="0.1"/>
    <x v="2"/>
    <x v="2"/>
    <m/>
    <e v="#NAME?"/>
    <e v="#NAME?"/>
    <e v="#NAME?"/>
    <m/>
    <m/>
    <m/>
    <m/>
    <m/>
    <m/>
  </r>
  <r>
    <s v="T005931"/>
    <s v="DANIEL MAURICIO RIANO PEDRAZA_x000a_"/>
    <s v="CFS"/>
    <x v="7"/>
    <x v="9"/>
    <e v="#NAME?"/>
    <s v="SDATOOL-39265 $ Migración Operaciones Fircosoft"/>
    <n v="0.1"/>
    <x v="2"/>
    <x v="2"/>
    <s v="Usuario  lo presentara en el WG del 30/03/2023"/>
    <e v="#NAME?"/>
    <e v="#NAME?"/>
    <e v="#NAME?"/>
    <m/>
    <m/>
    <m/>
    <m/>
    <m/>
    <m/>
  </r>
  <r>
    <s v="T005931"/>
    <s v="DANIEL MAURICIO RIANO PEDRAZA_x000a_"/>
    <s v="CFS"/>
    <x v="7"/>
    <x v="9"/>
    <e v="#NAME?"/>
    <s v="SDATOOL-39888 $ Proyecto - Evolutivo Sarlaft - Mejoras controles aplicativos"/>
    <n v="0.1"/>
    <x v="2"/>
    <x v="2"/>
    <m/>
    <e v="#NAME?"/>
    <e v="#NAME?"/>
    <e v="#NAME?"/>
    <m/>
    <m/>
    <m/>
    <m/>
    <m/>
    <m/>
  </r>
  <r>
    <s v="T005931"/>
    <s v="DANIEL MAURICIO RIANO PEDRAZA_x000a_"/>
    <s v="CFS"/>
    <x v="7"/>
    <x v="9"/>
    <e v="#NAME?"/>
    <s v="SDATOOL-40984 $ Proyecto - Identificación e ingesta de las tablas necesarias en datio y la construcción del caso de uso para la identificación de vínculos - Colombia"/>
    <n v="0.1"/>
    <x v="2"/>
    <x v="2"/>
    <m/>
    <e v="#NAME?"/>
    <e v="#NAME?"/>
    <e v="#NAME?"/>
    <m/>
    <m/>
    <m/>
    <m/>
    <m/>
    <m/>
  </r>
  <r>
    <s v="CE68547"/>
    <s v="JOSE ROBERTO GONZALEZ MELO_x000a_"/>
    <s v="CFS"/>
    <x v="7"/>
    <x v="2"/>
    <e v="#NAME?"/>
    <s v="SDATOOL-29998 $ Despliegue SAS AML en BBVA CO"/>
    <n v="0.1"/>
    <x v="2"/>
    <x v="2"/>
    <m/>
    <e v="#NAME?"/>
    <e v="#NAME?"/>
    <e v="#NAME?"/>
    <m/>
    <m/>
    <m/>
    <m/>
    <m/>
    <m/>
  </r>
  <r>
    <s v="CE68547"/>
    <s v="JOSE ROBERTO GONZALEZ MELO_x000a_"/>
    <s v="CFS"/>
    <x v="7"/>
    <x v="2"/>
    <e v="#NAME?"/>
    <s v="SDATOOL-39265 $ Migración Operaciones Fircosoft"/>
    <n v="0.1"/>
    <x v="2"/>
    <x v="2"/>
    <s v="Usuario  lo presentara en el WG del 30/03/2023"/>
    <e v="#NAME?"/>
    <e v="#NAME?"/>
    <e v="#NAME?"/>
    <m/>
    <m/>
    <m/>
    <m/>
    <m/>
    <m/>
  </r>
  <r>
    <s v="CE68547"/>
    <s v="JOSE ROBERTO GONZALEZ MELO_x000a_"/>
    <s v="CFS"/>
    <x v="7"/>
    <x v="2"/>
    <e v="#NAME?"/>
    <s v="SDATOOL-39888 $ Proyecto - Evolutivo Sarlaft - Mejoras controles aplicativos"/>
    <n v="0.1"/>
    <x v="2"/>
    <x v="2"/>
    <m/>
    <e v="#NAME?"/>
    <e v="#NAME?"/>
    <e v="#NAME?"/>
    <m/>
    <m/>
    <m/>
    <m/>
    <m/>
    <m/>
  </r>
  <r>
    <s v="CE68547"/>
    <s v="JOSE ROBERTO GONZALEZ MELO_x000a_"/>
    <s v="CFS"/>
    <x v="7"/>
    <x v="2"/>
    <e v="#NAME?"/>
    <s v="SDATOOL-40984 $ Proyecto - Identificación e ingesta de las tablas necesarias en datio y la construcción del caso de uso para la identificación de vínculos - Colombia"/>
    <n v="0.1"/>
    <x v="2"/>
    <x v="2"/>
    <m/>
    <e v="#NAME?"/>
    <e v="#NAME?"/>
    <e v="#NAME?"/>
    <m/>
    <m/>
    <m/>
    <m/>
    <m/>
    <m/>
  </r>
  <r>
    <s v="CE46213"/>
    <s v="DANIEL ANTONIO CAMACHO ARIZA"/>
    <s v="CFS"/>
    <x v="7"/>
    <x v="12"/>
    <e v="#NAME?"/>
    <s v="SDATOOL-39888 $ Proyecto - Evolutivo Sarlaft - Mejoras controles aplicativos"/>
    <n v="1"/>
    <x v="0"/>
    <x v="2"/>
    <m/>
    <e v="#NAME?"/>
    <e v="#NAME?"/>
    <e v="#NAME?"/>
    <m/>
    <m/>
    <m/>
    <m/>
    <m/>
    <m/>
  </r>
  <r>
    <s v="T000603"/>
    <s v="JEISSON ANDRES RUIZ MARTINEZ"/>
    <s v="CFS"/>
    <x v="7"/>
    <x v="12"/>
    <e v="#NAME?"/>
    <s v="SDATOOL-39888 $ Proyecto - Evolutivo Sarlaft - Mejoras controles aplicativos"/>
    <n v="1"/>
    <x v="0"/>
    <x v="2"/>
    <m/>
    <e v="#NAME?"/>
    <e v="#NAME?"/>
    <e v="#NAME?"/>
    <m/>
    <m/>
    <m/>
    <m/>
    <m/>
    <m/>
  </r>
  <r>
    <s v="CE70371"/>
    <s v="DANEL PULECIO GONZALEZ "/>
    <s v="CFS"/>
    <x v="7"/>
    <x v="12"/>
    <e v="#NAME?"/>
    <s v="SDATOOL-39888 $ Proyecto - Evolutivo Sarlaft - Mejoras controles aplicativos"/>
    <n v="1"/>
    <x v="0"/>
    <x v="2"/>
    <m/>
    <e v="#NAME?"/>
    <e v="#NAME?"/>
    <e v="#NAME?"/>
    <m/>
    <m/>
    <m/>
    <m/>
    <m/>
    <m/>
  </r>
  <r>
    <s v="C341759"/>
    <s v="CHRISTIAN EDUARDO DIAZ GARCIA "/>
    <s v="CFS"/>
    <x v="5"/>
    <x v="0"/>
    <e v="#NAME?"/>
    <s v="SDATOOL-37411 $ Infraestructura reportes regulatorios"/>
    <n v="0.05"/>
    <x v="1"/>
    <x v="2"/>
    <m/>
    <e v="#NAME?"/>
    <e v="#NAME?"/>
    <e v="#NAME?"/>
    <m/>
    <m/>
    <m/>
    <m/>
    <m/>
    <m/>
  </r>
  <r>
    <s v="C341759"/>
    <s v="CHRISTIAN EDUARDO DIAZ GARCIA "/>
    <s v="CFS"/>
    <x v="5"/>
    <x v="0"/>
    <e v="#NAME?"/>
    <s v="SDATOOL-37681 $ Ciclo 2 - Resolución 0098 de Octubre 28 de 2020 - Reportes información Exógena Base Impuestos"/>
    <n v="0.1"/>
    <x v="1"/>
    <x v="2"/>
    <m/>
    <e v="#NAME?"/>
    <e v="#NAME?"/>
    <e v="#NAME?"/>
    <m/>
    <m/>
    <m/>
    <m/>
    <m/>
    <m/>
  </r>
  <r>
    <s v="C341759"/>
    <s v="CHRISTIAN EDUARDO DIAZ GARCIA "/>
    <s v="CFS"/>
    <x v="5"/>
    <x v="0"/>
    <e v="#NAME?"/>
    <s v="SDATOOL-38583 $ FUSIONES Y ACTUALIZACION DE IDENTIFICACIONES"/>
    <n v="0.1"/>
    <x v="1"/>
    <x v="2"/>
    <m/>
    <e v="#NAME?"/>
    <e v="#NAME?"/>
    <e v="#NAME?"/>
    <m/>
    <m/>
    <m/>
    <m/>
    <m/>
    <m/>
  </r>
  <r>
    <s v="C341759"/>
    <s v="CHRISTIAN EDUARDO DIAZ GARCIA "/>
    <s v="CFS"/>
    <x v="5"/>
    <x v="0"/>
    <e v="#NAME?"/>
    <s v="SDATOOL-40003 $ Resolución 0124 DIAN 2021 - Créditos Hipotecarios para remodelación de Vivienda"/>
    <n v="0.05"/>
    <x v="1"/>
    <x v="2"/>
    <m/>
    <e v="#NAME?"/>
    <e v="#NAME?"/>
    <e v="#NAME?"/>
    <m/>
    <m/>
    <m/>
    <m/>
    <m/>
    <m/>
  </r>
  <r>
    <s v="C341759"/>
    <s v="CHRISTIAN EDUARDO DIAZ GARCIA "/>
    <s v="CFS"/>
    <x v="5"/>
    <x v="0"/>
    <e v="#NAME?"/>
    <s v="SDATOOL-40225 $ Resolución 0124 Dian - 2021 - Ajustes para Reporte de Información Exógena año gravable 2022 - Ciclo 1"/>
    <n v="0.1"/>
    <x v="1"/>
    <x v="2"/>
    <m/>
    <e v="#NAME?"/>
    <e v="#NAME?"/>
    <e v="#NAME?"/>
    <m/>
    <m/>
    <m/>
    <m/>
    <m/>
    <m/>
  </r>
  <r>
    <s v="C341759"/>
    <s v="CHRISTIAN EDUARDO DIAZ GARCIA "/>
    <s v="CFS"/>
    <x v="5"/>
    <x v="0"/>
    <e v="#NAME?"/>
    <s v="SDATOOL-33847 $ Resolución 0042 DIAN Documento Soporte"/>
    <n v="0.1"/>
    <x v="1"/>
    <x v="2"/>
    <m/>
    <e v="#NAME?"/>
    <e v="#NAME?"/>
    <e v="#NAME?"/>
    <m/>
    <m/>
    <m/>
    <m/>
    <m/>
    <m/>
  </r>
  <r>
    <s v="C341759"/>
    <s v="CHRISTIAN EDUARDO DIAZ GARCIA "/>
    <s v="CFS"/>
    <x v="5"/>
    <x v="0"/>
    <e v="#NAME?"/>
    <s v="SDATOOL-39823 $ REPORTERIA PROVISIONES _ S1, S2, S3, SA y CxP en Divisa"/>
    <n v="0.05"/>
    <x v="1"/>
    <x v="2"/>
    <m/>
    <e v="#NAME?"/>
    <e v="#NAME?"/>
    <e v="#NAME?"/>
    <m/>
    <m/>
    <m/>
    <m/>
    <m/>
    <m/>
  </r>
  <r>
    <s v="C341759"/>
    <s v="CHRISTIAN EDUARDO DIAZ GARCIA "/>
    <s v="CFS"/>
    <x v="5"/>
    <x v="0"/>
    <e v="#NAME?"/>
    <s v="SDATOOL-40191 $ Ajuste apuntes manuales CC0112 – GPS"/>
    <n v="0.05"/>
    <x v="1"/>
    <x v="2"/>
    <m/>
    <e v="#NAME?"/>
    <e v="#NAME?"/>
    <e v="#NAME?"/>
    <m/>
    <m/>
    <m/>
    <m/>
    <m/>
    <m/>
  </r>
  <r>
    <s v="C341759"/>
    <s v="CHRISTIAN EDUARDO DIAZ GARCIA "/>
    <s v="CFS"/>
    <x v="5"/>
    <x v="0"/>
    <e v="#NAME?"/>
    <s v="SDATOOL-37184 $ Actualizaciones Aplicativo ADA V2"/>
    <n v="0.1"/>
    <x v="1"/>
    <x v="2"/>
    <m/>
    <e v="#NAME?"/>
    <e v="#NAME?"/>
    <e v="#NAME?"/>
    <m/>
    <m/>
    <m/>
    <m/>
    <m/>
    <m/>
  </r>
  <r>
    <s v="C341759"/>
    <s v="CHRISTIAN EDUARDO DIAZ GARCIA "/>
    <s v="CFS"/>
    <x v="5"/>
    <x v="0"/>
    <e v="#NAME?"/>
    <s v="SDATOOL-40274 $ CIRCULAR 033 de 2021-SFC"/>
    <n v="0.05"/>
    <x v="1"/>
    <x v="2"/>
    <m/>
    <e v="#NAME?"/>
    <e v="#NAME?"/>
    <e v="#NAME?"/>
    <m/>
    <m/>
    <m/>
    <m/>
    <m/>
    <m/>
  </r>
  <r>
    <s v="C341759"/>
    <s v="CHRISTIAN EDUARDO DIAZ GARCIA "/>
    <s v="CFS"/>
    <x v="5"/>
    <x v="0"/>
    <e v="#NAME?"/>
    <s v="SDATOOL-42059 $ Arrendamiento tecnológico Real State - GPS"/>
    <n v="0.05"/>
    <x v="1"/>
    <x v="2"/>
    <s v="Tiene Staffing pero no se ha presentado en el WG"/>
    <e v="#NAME?"/>
    <e v="#NAME?"/>
    <e v="#NAME?"/>
    <m/>
    <m/>
    <m/>
    <m/>
    <m/>
    <m/>
  </r>
  <r>
    <s v="C341759"/>
    <s v="CHRISTIAN EDUARDO DIAZ GARCIA "/>
    <s v="CFS"/>
    <x v="5"/>
    <x v="0"/>
    <e v="#NAME?"/>
    <s v="SDATOOL-33862 $ NDoD Accounting"/>
    <n v="0.05"/>
    <x v="1"/>
    <x v="2"/>
    <m/>
    <e v="#NAME?"/>
    <e v="#NAME?"/>
    <e v="#NAME?"/>
    <m/>
    <m/>
    <m/>
    <m/>
    <m/>
    <m/>
  </r>
  <r>
    <s v="C341759"/>
    <s v="CHRISTIAN EDUARDO DIAZ GARCIA "/>
    <s v="CFS"/>
    <x v="5"/>
    <x v="0"/>
    <e v="#NAME?"/>
    <s v="SDATOOL-40869 $ Herramientas Regulatorias Regionales (FINREP/AE y Liquidez) 2023"/>
    <n v="0.05"/>
    <x v="1"/>
    <x v="2"/>
    <s v="Tiene Staffing pero no se ha presentado en el WG"/>
    <e v="#NAME?"/>
    <e v="#NAME?"/>
    <e v="#NAME?"/>
    <m/>
    <m/>
    <m/>
    <m/>
    <m/>
    <m/>
  </r>
  <r>
    <s v="C341759"/>
    <s v="CHRISTIAN EDUARDO DIAZ GARCIA "/>
    <s v="CFS"/>
    <x v="5"/>
    <x v="0"/>
    <e v="#NAME?"/>
    <s v="SDATOOL-40529 $ Aplicativos Finanzas - 2023"/>
    <n v="0.05"/>
    <x v="1"/>
    <x v="2"/>
    <m/>
    <e v="#NAME?"/>
    <e v="#NAME?"/>
    <e v="#NAME?"/>
    <m/>
    <m/>
    <m/>
    <m/>
    <m/>
    <m/>
  </r>
  <r>
    <s v="C341759"/>
    <s v="CHRISTIAN EDUARDO DIAZ GARCIA "/>
    <s v="CFS"/>
    <x v="5"/>
    <x v="0"/>
    <e v="#NAME?"/>
    <s v="SDATOOL-40736 $ Curvas de Fondeo por Producto (ALM)"/>
    <n v="0.05"/>
    <x v="1"/>
    <x v="2"/>
    <m/>
    <e v="#NAME?"/>
    <e v="#NAME?"/>
    <e v="#NAME?"/>
    <m/>
    <m/>
    <m/>
    <m/>
    <m/>
    <m/>
  </r>
  <r>
    <s v="O001639"/>
    <s v="DAVID ANDRES RODRIGUEZ BAEZ"/>
    <s v="CFS"/>
    <x v="5"/>
    <x v="0"/>
    <e v="#NAME?"/>
    <s v="SDATOOL-40599 $ Proyecto - Circular 025"/>
    <n v="0.25"/>
    <x v="0"/>
    <x v="0"/>
    <s v="Tiene Staffing pero no se ha presentado en el WG"/>
    <e v="#NAME?"/>
    <e v="#NAME?"/>
    <e v="#NAME?"/>
    <m/>
    <m/>
    <m/>
    <m/>
    <m/>
    <m/>
  </r>
  <r>
    <s v="O001639"/>
    <s v="DAVID ANDRES RODRIGUEZ BAEZ"/>
    <s v="CFS"/>
    <x v="5"/>
    <x v="0"/>
    <e v="#NAME?"/>
    <s v="SDATOOL-33847 $ Resolución 0042 DIAN Documento Soporte"/>
    <n v="0.5"/>
    <x v="0"/>
    <x v="0"/>
    <m/>
    <e v="#NAME?"/>
    <e v="#NAME?"/>
    <e v="#NAME?"/>
    <m/>
    <m/>
    <m/>
    <m/>
    <m/>
    <m/>
  </r>
  <r>
    <s v="O001639"/>
    <s v="DAVID ANDRES RODRIGUEZ BAEZ"/>
    <s v="CFS"/>
    <x v="5"/>
    <x v="0"/>
    <e v="#NAME?"/>
    <s v="SDATOOL-37184 $ Actualizaciones Aplicativo ADA V2"/>
    <n v="0.25"/>
    <x v="0"/>
    <x v="0"/>
    <m/>
    <e v="#NAME?"/>
    <e v="#NAME?"/>
    <e v="#NAME?"/>
    <m/>
    <m/>
    <m/>
    <m/>
    <m/>
    <m/>
  </r>
  <r>
    <s v="C809546"/>
    <s v="GOMEZ CUADRADO JENNY PAOLA"/>
    <s v="CFS"/>
    <x v="5"/>
    <x v="0"/>
    <e v="#NAME?"/>
    <s v="SDATOOL-40599 $ Proyecto - Circular 025"/>
    <n v="0.05"/>
    <x v="0"/>
    <x v="2"/>
    <s v="Tiene Staffing pero no se ha presentado en el WG"/>
    <e v="#NAME?"/>
    <e v="#NAME?"/>
    <e v="#NAME?"/>
    <m/>
    <m/>
    <m/>
    <m/>
    <m/>
    <m/>
  </r>
  <r>
    <s v="C809546"/>
    <s v="GOMEZ CUADRADO JENNY PAOLA"/>
    <s v="CFS"/>
    <x v="5"/>
    <x v="0"/>
    <e v="#NAME?"/>
    <s v="SDATOOL-39823 $ REPORTERIA PROVISIONES _ S1, S2, S3, SA y CxP en Divisa"/>
    <n v="0.05"/>
    <x v="0"/>
    <x v="2"/>
    <m/>
    <e v="#NAME?"/>
    <e v="#NAME?"/>
    <e v="#NAME?"/>
    <m/>
    <m/>
    <m/>
    <m/>
    <m/>
    <m/>
  </r>
  <r>
    <s v="C809546"/>
    <s v="GOMEZ CUADRADO JENNY PAOLA"/>
    <s v="CFS"/>
    <x v="5"/>
    <x v="0"/>
    <e v="#NAME?"/>
    <s v="SDATOOL-40191 $ Ajuste apuntes manuales CC0112 – GPS"/>
    <n v="0.05"/>
    <x v="0"/>
    <x v="2"/>
    <m/>
    <e v="#NAME?"/>
    <e v="#NAME?"/>
    <e v="#NAME?"/>
    <m/>
    <m/>
    <m/>
    <m/>
    <m/>
    <m/>
  </r>
  <r>
    <s v="C809546"/>
    <s v="GOMEZ CUADRADO JENNY PAOLA"/>
    <s v="CFS"/>
    <x v="5"/>
    <x v="0"/>
    <e v="#NAME?"/>
    <s v="SDATOOL-40225 $ Resolución 0124 Dian - 2021 - Ajustes para Reporte de Información Exógena año gravable 2022 - Ciclo 1"/>
    <n v="0.05"/>
    <x v="0"/>
    <x v="2"/>
    <m/>
    <e v="#NAME?"/>
    <e v="#NAME?"/>
    <e v="#NAME?"/>
    <m/>
    <m/>
    <m/>
    <m/>
    <m/>
    <m/>
  </r>
  <r>
    <s v="C809546"/>
    <s v="GOMEZ CUADRADO JENNY PAOLA"/>
    <s v="CFS"/>
    <x v="5"/>
    <x v="0"/>
    <e v="#NAME?"/>
    <s v="SDATOOL-37681 $ Ciclo 2 - Resolución 0098 de Octubre 28 de 2020 - Reportes información Exógena Base Impuestos"/>
    <n v="0.05"/>
    <x v="0"/>
    <x v="2"/>
    <m/>
    <e v="#NAME?"/>
    <e v="#NAME?"/>
    <e v="#NAME?"/>
    <m/>
    <m/>
    <m/>
    <m/>
    <m/>
    <m/>
  </r>
  <r>
    <s v="C809546"/>
    <s v="GOMEZ CUADRADO JENNY PAOLA"/>
    <s v="CFS"/>
    <x v="5"/>
    <x v="0"/>
    <e v="#NAME?"/>
    <s v="SDATOOL-40274 $ CIRCULAR 033 de 2021-SFC"/>
    <n v="0.75"/>
    <x v="0"/>
    <x v="2"/>
    <m/>
    <e v="#NAME?"/>
    <e v="#NAME?"/>
    <e v="#NAME?"/>
    <m/>
    <m/>
    <m/>
    <m/>
    <m/>
    <m/>
  </r>
  <r>
    <s v="C811405"/>
    <s v="JUAN DAVID MONTERO BOGOTA"/>
    <s v="CFS"/>
    <x v="5"/>
    <x v="0"/>
    <e v="#NAME?"/>
    <s v="SDATOOL-37411 $ Infraestructura reportes regulatorios"/>
    <n v="1"/>
    <x v="0"/>
    <x v="0"/>
    <m/>
    <e v="#NAME?"/>
    <e v="#NAME?"/>
    <e v="#NAME?"/>
    <m/>
    <m/>
    <m/>
    <m/>
    <m/>
    <m/>
  </r>
  <r>
    <s v="C804743"/>
    <s v="MILENA MARGARITA GONZALEZ PARRA "/>
    <s v="CFS"/>
    <x v="5"/>
    <x v="0"/>
    <e v="#NAME?"/>
    <s v="SDATOOL-40529 $ Aplicativos Finanzas - 2023"/>
    <n v="0.05"/>
    <x v="0"/>
    <x v="0"/>
    <m/>
    <e v="#NAME?"/>
    <e v="#NAME?"/>
    <e v="#NAME?"/>
    <m/>
    <m/>
    <m/>
    <m/>
    <m/>
    <m/>
  </r>
  <r>
    <s v="C804743"/>
    <s v="MILENA MARGARITA GONZALEZ PARRA "/>
    <s v="CFS"/>
    <x v="5"/>
    <x v="0"/>
    <e v="#NAME?"/>
    <s v="SDATOOL-40274 $ CIRCULAR 033 de 2021-SFC"/>
    <n v="0.25"/>
    <x v="0"/>
    <x v="0"/>
    <m/>
    <e v="#NAME?"/>
    <e v="#NAME?"/>
    <e v="#NAME?"/>
    <m/>
    <m/>
    <m/>
    <m/>
    <m/>
    <m/>
  </r>
  <r>
    <s v="C804743"/>
    <s v="MILENA MARGARITA GONZALEZ PARRA "/>
    <s v="CFS"/>
    <x v="5"/>
    <x v="0"/>
    <e v="#NAME?"/>
    <s v="SDATOOL-37411 $ Infraestructura reportes regulatorios"/>
    <n v="0.7"/>
    <x v="0"/>
    <x v="0"/>
    <m/>
    <e v="#NAME?"/>
    <e v="#NAME?"/>
    <e v="#NAME?"/>
    <m/>
    <m/>
    <m/>
    <m/>
    <m/>
    <m/>
  </r>
  <r>
    <s v="C343619"/>
    <s v="REY GOMEZ ANDRES CAMILO"/>
    <s v="CFS"/>
    <x v="5"/>
    <x v="0"/>
    <e v="#NAME?"/>
    <s v="SDATOOL-38583 $ FUSIONES Y ACTUALIZACION DE IDENTIFICACIONES"/>
    <n v="0.25"/>
    <x v="0"/>
    <x v="2"/>
    <m/>
    <e v="#NAME?"/>
    <e v="#NAME?"/>
    <e v="#NAME?"/>
    <m/>
    <m/>
    <m/>
    <m/>
    <m/>
    <m/>
  </r>
  <r>
    <s v="C343619"/>
    <s v="REY GOMEZ ANDRES CAMILO"/>
    <s v="CFS"/>
    <x v="5"/>
    <x v="0"/>
    <e v="#NAME?"/>
    <s v="SDATOOL-37681 $ Ciclo 2 - Resolución 0098 de Octubre 28 de 2020 - Reportes información Exógena Base Impuestos"/>
    <n v="0.25"/>
    <x v="0"/>
    <x v="2"/>
    <m/>
    <e v="#NAME?"/>
    <e v="#NAME?"/>
    <e v="#NAME?"/>
    <m/>
    <m/>
    <m/>
    <m/>
    <m/>
    <m/>
  </r>
  <r>
    <s v="C343619"/>
    <s v="REY GOMEZ ANDRES CAMILO"/>
    <s v="CFS"/>
    <x v="5"/>
    <x v="0"/>
    <e v="#NAME?"/>
    <s v="SDATOOL-40003 $ Resolución 0124 DIAN 2021 - Créditos Hipotecarios para remodelación de Vivienda"/>
    <n v="0.25"/>
    <x v="0"/>
    <x v="2"/>
    <m/>
    <e v="#NAME?"/>
    <e v="#NAME?"/>
    <e v="#NAME?"/>
    <m/>
    <m/>
    <m/>
    <m/>
    <m/>
    <m/>
  </r>
  <r>
    <s v="C343619"/>
    <s v="REY GOMEZ ANDRES CAMILO"/>
    <s v="CFS"/>
    <x v="5"/>
    <x v="0"/>
    <e v="#NAME?"/>
    <s v="SDATOOL-40225 $ Resolución 0124 Dian - 2021 - Ajustes para Reporte de Información Exógena año gravable 2022 - Ciclo 1"/>
    <n v="0.25"/>
    <x v="0"/>
    <x v="2"/>
    <m/>
    <e v="#NAME?"/>
    <e v="#NAME?"/>
    <e v="#NAME?"/>
    <m/>
    <m/>
    <m/>
    <m/>
    <m/>
    <m/>
  </r>
  <r>
    <s v="O003311"/>
    <s v="VACA BERNAL JAIRO ALEXIS"/>
    <s v="CFS"/>
    <x v="5"/>
    <x v="0"/>
    <e v="#NAME?"/>
    <s v="SDATOOL-32520 $ CDD Based Reporting - Colombia"/>
    <n v="0.5"/>
    <x v="0"/>
    <x v="2"/>
    <m/>
    <e v="#NAME?"/>
    <e v="#NAME?"/>
    <e v="#NAME?"/>
    <m/>
    <m/>
    <m/>
    <m/>
    <m/>
    <m/>
  </r>
  <r>
    <s v="O003311"/>
    <s v="VACA BERNAL JAIRO ALEXIS"/>
    <s v="CFS"/>
    <x v="5"/>
    <x v="0"/>
    <e v="#NAME?"/>
    <s v="SDATOOL-40869 $ Herramientas Regulatorias Regionales (FINREP/AE y Liquidez) 2023"/>
    <n v="0.05"/>
    <x v="0"/>
    <x v="2"/>
    <s v="Tiene Staffing pero no se ha presentado en el WG"/>
    <e v="#NAME?"/>
    <e v="#NAME?"/>
    <e v="#NAME?"/>
    <m/>
    <m/>
    <m/>
    <m/>
    <m/>
    <m/>
  </r>
  <r>
    <s v="O003311"/>
    <s v="VACA BERNAL JAIRO ALEXIS"/>
    <s v="CFS"/>
    <x v="5"/>
    <x v="0"/>
    <e v="#NAME?"/>
    <s v="SDATOOL-40529 $ Aplicativos Finanzas - 2023"/>
    <n v="0.25"/>
    <x v="0"/>
    <x v="2"/>
    <m/>
    <e v="#NAME?"/>
    <e v="#NAME?"/>
    <e v="#NAME?"/>
    <m/>
    <m/>
    <m/>
    <m/>
    <m/>
    <m/>
  </r>
  <r>
    <s v="O003311"/>
    <s v="VACA BERNAL JAIRO ALEXIS"/>
    <s v="CFS"/>
    <x v="5"/>
    <x v="0"/>
    <e v="#NAME?"/>
    <s v="SDATOOL-40736 $ Curvas de Fondeo por Producto (ALM)"/>
    <n v="0.2"/>
    <x v="0"/>
    <x v="2"/>
    <m/>
    <e v="#NAME?"/>
    <e v="#NAME?"/>
    <e v="#NAME?"/>
    <m/>
    <m/>
    <m/>
    <m/>
    <m/>
    <m/>
  </r>
  <r>
    <s v="C803834"/>
    <s v="VIVIANA ALARCON TORRES"/>
    <s v="CFS"/>
    <x v="5"/>
    <x v="0"/>
    <e v="#NAME?"/>
    <s v="SDATOOL-33862 $ NDoD Accounting"/>
    <n v="0.25"/>
    <x v="0"/>
    <x v="0"/>
    <s v="En revision con dominio por cuanto debe estar "/>
    <e v="#NAME?"/>
    <e v="#NAME?"/>
    <e v="#NAME?"/>
    <m/>
    <m/>
    <m/>
    <m/>
    <m/>
    <m/>
  </r>
  <r>
    <s v="C803834"/>
    <s v="VIVIANA ALARCON TORRES"/>
    <s v="CFS"/>
    <x v="5"/>
    <x v="0"/>
    <e v="#NAME?"/>
    <s v="SDATOOL-40274 $ CIRCULAR 033 de 2021-SFC"/>
    <n v="0.5"/>
    <x v="0"/>
    <x v="0"/>
    <m/>
    <e v="#NAME?"/>
    <e v="#NAME?"/>
    <e v="#NAME?"/>
    <m/>
    <m/>
    <m/>
    <m/>
    <m/>
    <m/>
  </r>
  <r>
    <s v="C803834"/>
    <s v="VIVIANA ALARCON TORRES"/>
    <s v="CFS"/>
    <x v="5"/>
    <x v="0"/>
    <e v="#NAME?"/>
    <s v="SDATOOL-32520 $ CDD Based Reporting - Colombia"/>
    <n v="0.15"/>
    <x v="0"/>
    <x v="0"/>
    <m/>
    <e v="#NAME?"/>
    <e v="#NAME?"/>
    <e v="#NAME?"/>
    <m/>
    <m/>
    <m/>
    <m/>
    <m/>
    <m/>
  </r>
  <r>
    <s v="C803834"/>
    <s v="VIVIANA ALARCON TORRES"/>
    <s v="CFS"/>
    <x v="5"/>
    <x v="0"/>
    <e v="#NAME?"/>
    <s v="SDATOOL-40529 $ Aplicativos Finanzas - 2023"/>
    <n v="0.1"/>
    <x v="0"/>
    <x v="0"/>
    <m/>
    <e v="#NAME?"/>
    <e v="#NAME?"/>
    <e v="#NAME?"/>
    <m/>
    <m/>
    <m/>
    <m/>
    <m/>
    <m/>
  </r>
  <r>
    <s v="C808860"/>
    <s v="ZARATE PAVAS JOHN JAIRO"/>
    <s v="CFS"/>
    <x v="5"/>
    <x v="0"/>
    <e v="#NAME?"/>
    <s v="SDATOOL-40225 $ Resolución 0124 Dian - 2021 - Ajustes para Reporte de Información Exógena año gravable 2022 - Ciclo 1"/>
    <n v="0.1"/>
    <x v="0"/>
    <x v="2"/>
    <m/>
    <e v="#NAME?"/>
    <e v="#NAME?"/>
    <e v="#NAME?"/>
    <m/>
    <m/>
    <m/>
    <m/>
    <m/>
    <m/>
  </r>
  <r>
    <s v="C808860"/>
    <s v="ZARATE PAVAS JOHN JAIRO"/>
    <s v="CFS"/>
    <x v="5"/>
    <x v="0"/>
    <e v="#NAME?"/>
    <s v="SDATOOL-37681 $ Ciclo 2 - Resolución 0098 de Octubre 28 de 2020 - Reportes información Exógena Base Impuestos"/>
    <n v="0.05"/>
    <x v="0"/>
    <x v="2"/>
    <m/>
    <e v="#NAME?"/>
    <e v="#NAME?"/>
    <e v="#NAME?"/>
    <m/>
    <m/>
    <m/>
    <m/>
    <m/>
    <m/>
  </r>
  <r>
    <s v="C808860"/>
    <s v="ZARATE PAVAS JOHN JAIRO"/>
    <s v="CFS"/>
    <x v="5"/>
    <x v="0"/>
    <e v="#NAME?"/>
    <s v="SDATOOL-38583 $ FUSIONES Y ACTUALIZACION DE IDENTIFICACIONES"/>
    <n v="0.5"/>
    <x v="0"/>
    <x v="2"/>
    <m/>
    <e v="#NAME?"/>
    <e v="#NAME?"/>
    <e v="#NAME?"/>
    <m/>
    <m/>
    <m/>
    <m/>
    <m/>
    <m/>
  </r>
  <r>
    <s v="C808860"/>
    <s v="ZARATE PAVAS JOHN JAIRO"/>
    <s v="CFS"/>
    <x v="5"/>
    <x v="0"/>
    <e v="#NAME?"/>
    <s v="SDATOOL-40003 $ Resolución 0124 DIAN 2021 - Créditos Hipotecarios para remodelación de Vivienda"/>
    <n v="0.1"/>
    <x v="0"/>
    <x v="2"/>
    <m/>
    <e v="#NAME?"/>
    <e v="#NAME?"/>
    <e v="#NAME?"/>
    <m/>
    <m/>
    <m/>
    <m/>
    <m/>
    <m/>
  </r>
  <r>
    <s v="C808860"/>
    <s v="ZARATE PAVAS JOHN JAIRO"/>
    <s v="CFS"/>
    <x v="5"/>
    <x v="0"/>
    <e v="#NAME?"/>
    <s v="SDATOOL-33847 $ Resolución 0042 DIAN Documento Soporte"/>
    <n v="0.25"/>
    <x v="0"/>
    <x v="2"/>
    <m/>
    <e v="#NAME?"/>
    <e v="#NAME?"/>
    <e v="#NAME?"/>
    <m/>
    <m/>
    <m/>
    <m/>
    <m/>
    <m/>
  </r>
  <r>
    <s v="C810765"/>
    <s v="ANGELA MARIA DIAZ PEÑA "/>
    <s v="CFS"/>
    <x v="5"/>
    <x v="0"/>
    <e v="#NAME?"/>
    <s v="SDATOOL-40225 $ Resolución 0124 Dian - 2021 - Ajustes para Reporte de Información Exógena año gravable 2022 - Ciclo 1"/>
    <n v="0.5"/>
    <x v="2"/>
    <x v="2"/>
    <s v="QC con otros equipos, por ejm Riesgos "/>
    <e v="#NAME?"/>
    <e v="#NAME?"/>
    <e v="#NAME?"/>
    <m/>
    <m/>
    <m/>
    <m/>
    <m/>
    <m/>
  </r>
  <r>
    <s v="C810765"/>
    <s v="ANGELA MARIA DIAZ PEÑA "/>
    <s v="CFS"/>
    <x v="8"/>
    <x v="0"/>
    <e v="#NAME?"/>
    <s v="NOSDA $ BAU (Mantenimiento y peq. evolutivos)"/>
    <n v="0.5"/>
    <x v="2"/>
    <x v="2"/>
    <m/>
    <e v="#NAME?"/>
    <e v="#NAME?"/>
    <e v="#NAME?"/>
    <m/>
    <m/>
    <m/>
    <m/>
    <m/>
    <m/>
  </r>
  <r>
    <s v="CE66053"/>
    <s v="Andres Francisco Duarte Sanchez"/>
    <s v="CFS"/>
    <x v="5"/>
    <x v="9"/>
    <e v="#NAME?"/>
    <s v="SDATOOL-40003 $ Resolución 0124 DIAN 2021 - Créditos Hipotecarios para remodelación de Vivienda"/>
    <n v="1"/>
    <x v="0"/>
    <x v="0"/>
    <m/>
    <e v="#NAME?"/>
    <e v="#NAME?"/>
    <e v="#NAME?"/>
    <m/>
    <m/>
    <m/>
    <m/>
    <m/>
    <m/>
  </r>
  <r>
    <s v="T005396"/>
    <s v="Andres Leonardo Ramirez Sanchez"/>
    <s v="CFS"/>
    <x v="5"/>
    <x v="9"/>
    <e v="#NAME?"/>
    <s v="SDATOOL-40225 $ Resolución 0124 Dian - 2021 - Ajustes para Reporte de Información Exógena año gravable 2022 - Ciclo 1"/>
    <n v="1"/>
    <x v="0"/>
    <x v="2"/>
    <m/>
    <e v="#NAME?"/>
    <e v="#NAME?"/>
    <e v="#NAME?"/>
    <m/>
    <m/>
    <m/>
    <m/>
    <m/>
    <m/>
  </r>
  <r>
    <s v="T005394"/>
    <s v="Eder Alberto Niño Mora"/>
    <s v="CFS"/>
    <x v="5"/>
    <x v="9"/>
    <e v="#NAME?"/>
    <s v="SDATOOL-40225 $ Resolución 0124 Dian - 2021 - Ajustes para Reporte de Información Exógena año gravable 2022 - Ciclo 1"/>
    <n v="1"/>
    <x v="0"/>
    <x v="2"/>
    <m/>
    <e v="#NAME?"/>
    <e v="#NAME?"/>
    <e v="#NAME?"/>
    <m/>
    <m/>
    <m/>
    <m/>
    <m/>
    <m/>
  </r>
  <r>
    <s v="CE69136"/>
    <s v="Jeisson Steven Rincon Mellizo"/>
    <s v="CFS"/>
    <x v="5"/>
    <x v="9"/>
    <e v="#NAME?"/>
    <s v="SDATOOL-37681 $ Ciclo 2 - Resolución 0098 de Octubre 28 de 2020 - Reportes información Exógena Base Impuestos"/>
    <n v="1"/>
    <x v="0"/>
    <x v="2"/>
    <m/>
    <e v="#NAME?"/>
    <e v="#NAME?"/>
    <e v="#NAME?"/>
    <m/>
    <m/>
    <m/>
    <m/>
    <m/>
    <m/>
  </r>
  <r>
    <s v="T005393"/>
    <s v="Juan Pablo Ahumada Avila"/>
    <s v="CFS"/>
    <x v="5"/>
    <x v="9"/>
    <e v="#NAME?"/>
    <s v="SDATOOL-38583 $ FUSIONES Y ACTUALIZACION DE IDENTIFICACIONES"/>
    <n v="1"/>
    <x v="0"/>
    <x v="0"/>
    <m/>
    <e v="#NAME?"/>
    <e v="#NAME?"/>
    <e v="#NAME?"/>
    <m/>
    <m/>
    <m/>
    <m/>
    <m/>
    <m/>
  </r>
  <r>
    <s v="T005395"/>
    <s v="Leidy Johanna Ospina Rodriguez"/>
    <s v="CFS"/>
    <x v="5"/>
    <x v="9"/>
    <e v="#NAME?"/>
    <s v="SDATOOL-40003 $ Resolución 0124 DIAN 2021 - Créditos Hipotecarios para remodelación de Vivienda"/>
    <n v="1"/>
    <x v="0"/>
    <x v="2"/>
    <m/>
    <e v="#NAME?"/>
    <e v="#NAME?"/>
    <e v="#NAME?"/>
    <m/>
    <m/>
    <m/>
    <m/>
    <m/>
    <m/>
  </r>
  <r>
    <s v="CE70161"/>
    <s v="Luis Alberto Caldera Chavez"/>
    <s v="CFS"/>
    <x v="5"/>
    <x v="9"/>
    <e v="#NAME?"/>
    <s v="SDATOOL-37681 $ Ciclo 2 - Resolución 0098 de Octubre 28 de 2020 - Reportes información Exógena Base Impuestos"/>
    <n v="1"/>
    <x v="0"/>
    <x v="2"/>
    <m/>
    <e v="#NAME?"/>
    <e v="#NAME?"/>
    <e v="#NAME?"/>
    <m/>
    <m/>
    <m/>
    <m/>
    <m/>
    <m/>
  </r>
  <r>
    <s v="CE52035"/>
    <s v="Orlando Salvador Mora Andrade"/>
    <s v="CFS"/>
    <x v="5"/>
    <x v="9"/>
    <e v="#NAME?"/>
    <s v="SDATOOL-37681 $ Ciclo 2 - Resolución 0098 de Octubre 28 de 2020 - Reportes información Exógena Base Impuestos"/>
    <n v="0.25"/>
    <x v="1"/>
    <x v="0"/>
    <m/>
    <e v="#NAME?"/>
    <e v="#NAME?"/>
    <e v="#NAME?"/>
    <m/>
    <m/>
    <m/>
    <m/>
    <m/>
    <m/>
  </r>
  <r>
    <s v="CE52035"/>
    <s v="Orlando Salvador Mora Andrade"/>
    <s v="CFS"/>
    <x v="5"/>
    <x v="9"/>
    <e v="#NAME?"/>
    <s v="SDATOOL-40003 $ Resolución 0124 DIAN 2021 - Créditos Hipotecarios para remodelación de Vivienda"/>
    <n v="0.25"/>
    <x v="1"/>
    <x v="2"/>
    <m/>
    <e v="#NAME?"/>
    <e v="#NAME?"/>
    <e v="#NAME?"/>
    <m/>
    <m/>
    <m/>
    <m/>
    <m/>
    <m/>
  </r>
  <r>
    <s v="CE52035"/>
    <s v="Orlando Salvador Mora Andrade"/>
    <s v="CFS"/>
    <x v="5"/>
    <x v="9"/>
    <e v="#NAME?"/>
    <s v="SDATOOL-40225 $ Resolución 0124 Dian - 2021 - Ajustes para Reporte de Información Exógena año gravable 2022 - Ciclo 1"/>
    <n v="0.25"/>
    <x v="1"/>
    <x v="0"/>
    <m/>
    <e v="#NAME?"/>
    <e v="#NAME?"/>
    <e v="#NAME?"/>
    <m/>
    <m/>
    <m/>
    <m/>
    <m/>
    <m/>
  </r>
  <r>
    <s v="CE52035"/>
    <s v="Orlando Salvador Mora Andrade"/>
    <s v="CFS"/>
    <x v="5"/>
    <x v="9"/>
    <e v="#NAME?"/>
    <s v="SDATOOL-38583 $ FUSIONES Y ACTUALIZACION DE IDENTIFICACIONES"/>
    <n v="0.25"/>
    <x v="1"/>
    <x v="2"/>
    <m/>
    <e v="#NAME?"/>
    <e v="#NAME?"/>
    <e v="#NAME?"/>
    <m/>
    <m/>
    <m/>
    <m/>
    <m/>
    <m/>
  </r>
  <r>
    <s v="CE27209"/>
    <s v="Oscar Manuel Diaz Fique"/>
    <s v="CFS"/>
    <x v="5"/>
    <x v="9"/>
    <e v="#NAME?"/>
    <s v="SDATOOL-40225 $ Resolución 0124 Dian - 2021 - Ajustes para Reporte de Información Exógena año gravable 2022 - Ciclo 1"/>
    <n v="1"/>
    <x v="0"/>
    <x v="2"/>
    <m/>
    <e v="#NAME?"/>
    <e v="#NAME?"/>
    <e v="#NAME?"/>
    <m/>
    <m/>
    <m/>
    <m/>
    <m/>
    <m/>
  </r>
  <r>
    <s v="CE58625"/>
    <s v="Ronald David Lara Hernandez"/>
    <s v="CFS"/>
    <x v="5"/>
    <x v="9"/>
    <e v="#NAME?"/>
    <s v="SDATOOL-40225 $ Resolución 0124 Dian - 2021 - Ajustes para Reporte de Información Exógena año gravable 2022 - Ciclo 1"/>
    <n v="1"/>
    <x v="0"/>
    <x v="2"/>
    <m/>
    <e v="#NAME?"/>
    <e v="#NAME?"/>
    <e v="#NAME?"/>
    <m/>
    <m/>
    <m/>
    <m/>
    <m/>
    <m/>
  </r>
  <r>
    <s v="T004566"/>
    <s v="Walther Mauricio Guerrero"/>
    <s v="CFS"/>
    <x v="5"/>
    <x v="9"/>
    <e v="#NAME?"/>
    <s v="SDATOOL-38583 $ FUSIONES Y ACTUALIZACION DE IDENTIFICACIONES"/>
    <n v="1"/>
    <x v="0"/>
    <x v="2"/>
    <m/>
    <e v="#NAME?"/>
    <e v="#NAME?"/>
    <e v="#NAME?"/>
    <m/>
    <m/>
    <m/>
    <m/>
    <m/>
    <m/>
  </r>
  <r>
    <s v="CE66458"/>
    <s v="ROBERTO CARLOS NIETO SUAREZ"/>
    <s v="CFS"/>
    <x v="5"/>
    <x v="5"/>
    <e v="#NAME?"/>
    <s v="SDATOOL-38583 $ FUSIONES Y ACTUALIZACION DE IDENTIFICACIONES"/>
    <n v="1"/>
    <x v="2"/>
    <x v="2"/>
    <m/>
    <e v="#NAME?"/>
    <e v="#NAME?"/>
    <e v="#NAME?"/>
    <m/>
    <m/>
    <m/>
    <m/>
    <m/>
    <m/>
  </r>
  <r>
    <s v="CE67101"/>
    <s v="IVETTE AYCHELL MONROY SUAREZ"/>
    <s v="CFS"/>
    <x v="5"/>
    <x v="5"/>
    <e v="#NAME?"/>
    <s v="SDATOOL-37681 $ Ciclo 2 - Resolución 0098 de Octubre 28 de 2020 - Reportes información Exógena Base Impuestos"/>
    <n v="1"/>
    <x v="2"/>
    <x v="2"/>
    <m/>
    <e v="#NAME?"/>
    <e v="#NAME?"/>
    <e v="#NAME?"/>
    <m/>
    <m/>
    <m/>
    <m/>
    <m/>
    <m/>
  </r>
  <r>
    <s v="CE64507"/>
    <s v="DANIEL ESTEBAN MORENO CARRILLO"/>
    <s v="CFS"/>
    <x v="5"/>
    <x v="5"/>
    <e v="#NAME?"/>
    <s v="SDATOOL-40003 $ Resolución 0124 DIAN 2021 - Créditos Hipotecarios para remodelación de Vivienda"/>
    <n v="1"/>
    <x v="2"/>
    <x v="2"/>
    <m/>
    <e v="#NAME?"/>
    <e v="#NAME?"/>
    <e v="#NAME?"/>
    <m/>
    <m/>
    <m/>
    <m/>
    <m/>
    <m/>
  </r>
  <r>
    <s v="CE59467"/>
    <s v="NORMA CECILIA MORENO GONZALEZ"/>
    <s v="CFS"/>
    <x v="5"/>
    <x v="5"/>
    <e v="#NAME?"/>
    <s v="SDATOOL-40225 $ Resolución 0124 Dian - 2021 - Ajustes para Reporte de Información Exógena año gravable 2022 - Ciclo 1"/>
    <n v="1"/>
    <x v="2"/>
    <x v="2"/>
    <m/>
    <e v="#NAME?"/>
    <e v="#NAME?"/>
    <e v="#NAME?"/>
    <m/>
    <m/>
    <m/>
    <m/>
    <m/>
    <m/>
  </r>
  <r>
    <s v="CE66798"/>
    <s v="ANGIE CAROLINA MORALES DUENAS"/>
    <s v="CFS"/>
    <x v="5"/>
    <x v="1"/>
    <e v="#NAME?"/>
    <s v="SDATOOL-40225 $ Resolución 0124 Dian - 2021 - Ajustes para Reporte de Información Exógena año gravable 2022 - Ciclo 1"/>
    <n v="1"/>
    <x v="2"/>
    <x v="2"/>
    <m/>
    <e v="#NAME?"/>
    <e v="#NAME?"/>
    <e v="#NAME?"/>
    <m/>
    <m/>
    <m/>
    <m/>
    <m/>
    <m/>
  </r>
  <r>
    <s v="T005931"/>
    <s v="DANIEL MAURICIO RIANO PEDRAZA_x000a_"/>
    <s v="CFS"/>
    <x v="5"/>
    <x v="9"/>
    <e v="#NAME?"/>
    <s v="SDATOOL-37411 $ Infraestructura reportes regulatorios"/>
    <n v="0.1"/>
    <x v="2"/>
    <x v="2"/>
    <m/>
    <e v="#NAME?"/>
    <e v="#NAME?"/>
    <e v="#NAME?"/>
    <m/>
    <m/>
    <m/>
    <m/>
    <m/>
    <m/>
  </r>
  <r>
    <s v="T005931"/>
    <s v="DANIEL MAURICIO RIANO PEDRAZA_x000a_"/>
    <s v="CFS"/>
    <x v="5"/>
    <x v="9"/>
    <e v="#NAME?"/>
    <s v="SDATOOL-32520 $ CDD Based Reporting - Colombia"/>
    <n v="0.1"/>
    <x v="2"/>
    <x v="2"/>
    <m/>
    <e v="#NAME?"/>
    <e v="#NAME?"/>
    <e v="#NAME?"/>
    <m/>
    <m/>
    <m/>
    <m/>
    <m/>
    <m/>
  </r>
  <r>
    <s v="T005931"/>
    <s v="DANIEL MAURICIO RIANO PEDRAZA_x000a_"/>
    <s v="CFS"/>
    <x v="5"/>
    <x v="9"/>
    <e v="#NAME?"/>
    <s v="SDATOOL-40529 $ Aplicativos Finanzas - 2023"/>
    <n v="0.1"/>
    <x v="2"/>
    <x v="2"/>
    <m/>
    <e v="#NAME?"/>
    <e v="#NAME?"/>
    <e v="#NAME?"/>
    <m/>
    <m/>
    <m/>
    <m/>
    <m/>
    <m/>
  </r>
  <r>
    <s v="T005931"/>
    <s v="DANIEL MAURICIO RIANO PEDRAZA_x000a_"/>
    <s v="CFS"/>
    <x v="5"/>
    <x v="9"/>
    <e v="#NAME?"/>
    <s v="SDATOOL-40274 $ CIRCULAR 033 de 2021-SFC"/>
    <n v="0.1"/>
    <x v="2"/>
    <x v="2"/>
    <m/>
    <e v="#NAME?"/>
    <e v="#NAME?"/>
    <e v="#NAME?"/>
    <m/>
    <m/>
    <m/>
    <m/>
    <m/>
    <m/>
  </r>
  <r>
    <s v="T005931"/>
    <s v="DANIEL MAURICIO RIANO PEDRAZA_x000a_"/>
    <s v="CFS"/>
    <x v="5"/>
    <x v="9"/>
    <e v="#NAME?"/>
    <s v="SDATOOL-33847 $ Resolución 0042 DIAN Documento Soporte"/>
    <n v="0.1"/>
    <x v="2"/>
    <x v="2"/>
    <m/>
    <e v="#NAME?"/>
    <e v="#NAME?"/>
    <e v="#NAME?"/>
    <m/>
    <m/>
    <m/>
    <m/>
    <m/>
    <m/>
  </r>
  <r>
    <s v="CE68547"/>
    <s v="JOSE ROBERTO GONZALEZ MELO_x000a_"/>
    <s v="CFS"/>
    <x v="5"/>
    <x v="2"/>
    <e v="#NAME?"/>
    <s v="SDATOOL-37411 $ Infraestructura reportes regulatorios"/>
    <n v="0.1"/>
    <x v="2"/>
    <x v="2"/>
    <m/>
    <e v="#NAME?"/>
    <e v="#NAME?"/>
    <e v="#NAME?"/>
    <m/>
    <m/>
    <m/>
    <m/>
    <m/>
    <m/>
  </r>
  <r>
    <s v="CE68547"/>
    <s v="JOSE ROBERTO GONZALEZ MELO_x000a_"/>
    <s v="CFS"/>
    <x v="5"/>
    <x v="2"/>
    <e v="#NAME?"/>
    <s v="SDATOOL-32520 $ CDD Based Reporting - Colombia"/>
    <n v="0.1"/>
    <x v="2"/>
    <x v="2"/>
    <m/>
    <e v="#NAME?"/>
    <e v="#NAME?"/>
    <e v="#NAME?"/>
    <m/>
    <m/>
    <m/>
    <m/>
    <m/>
    <m/>
  </r>
  <r>
    <s v="CE68547"/>
    <s v="JOSE ROBERTO GONZALEZ MELO_x000a_"/>
    <s v="CFS"/>
    <x v="5"/>
    <x v="2"/>
    <e v="#NAME?"/>
    <s v="SDATOOL-40529 $ Aplicativos Finanzas - 2023"/>
    <n v="0.1"/>
    <x v="2"/>
    <x v="2"/>
    <m/>
    <e v="#NAME?"/>
    <e v="#NAME?"/>
    <e v="#NAME?"/>
    <m/>
    <m/>
    <m/>
    <m/>
    <m/>
    <m/>
  </r>
  <r>
    <s v="CE68547"/>
    <s v="JOSE ROBERTO GONZALEZ MELO_x000a_"/>
    <s v="CFS"/>
    <x v="5"/>
    <x v="2"/>
    <e v="#NAME?"/>
    <s v="SDATOOL-40274 $ CIRCULAR 033 de 2021-SFC"/>
    <n v="0.1"/>
    <x v="2"/>
    <x v="2"/>
    <m/>
    <e v="#NAME?"/>
    <e v="#NAME?"/>
    <e v="#NAME?"/>
    <m/>
    <m/>
    <m/>
    <m/>
    <m/>
    <m/>
  </r>
  <r>
    <s v="CE68547"/>
    <s v="JOSE ROBERTO GONZALEZ MELO_x000a_"/>
    <s v="CFS"/>
    <x v="5"/>
    <x v="2"/>
    <e v="#NAME?"/>
    <s v="SDATOOL-33847 $ Resolución 0042 DIAN Documento Soporte"/>
    <n v="0.1"/>
    <x v="2"/>
    <x v="2"/>
    <m/>
    <e v="#NAME?"/>
    <e v="#NAME?"/>
    <e v="#NAME?"/>
    <m/>
    <m/>
    <m/>
    <m/>
    <m/>
    <m/>
  </r>
  <r>
    <s v="CE52434"/>
    <s v="HAROLD HERNANDO REYES VARGAS_x000a_"/>
    <s v="CFS"/>
    <x v="5"/>
    <x v="5"/>
    <e v="#NAME?"/>
    <s v="SDATOOL-32520 $ CDD Based Reporting - Colombia"/>
    <n v="1"/>
    <x v="3"/>
    <x v="2"/>
    <m/>
    <e v="#NAME?"/>
    <e v="#NAME?"/>
    <e v="#NAME?"/>
    <m/>
    <m/>
    <m/>
    <m/>
    <m/>
    <m/>
  </r>
  <r>
    <s v="CE68712"/>
    <s v="EDWARD STIVEN RODRIGUEZ MORENO"/>
    <s v="CFS"/>
    <x v="5"/>
    <x v="13"/>
    <e v="#NAME?"/>
    <s v="SDATOOL-33862 $ NDoD Accounting"/>
    <n v="0.4"/>
    <x v="0"/>
    <x v="0"/>
    <s v="En revision con dominio por cuanto debe estar "/>
    <e v="#NAME?"/>
    <e v="#NAME?"/>
    <e v="#NAME?"/>
    <m/>
    <m/>
    <m/>
    <m/>
    <m/>
    <m/>
  </r>
  <r>
    <s v="CE57396"/>
    <s v="JUAN PABLO AREVALO MERCHAN"/>
    <s v="CFS"/>
    <x v="5"/>
    <x v="13"/>
    <e v="#NAME?"/>
    <s v="SDATOOL-32520 $ CDD Based Reporting - Colombia"/>
    <n v="0.25"/>
    <x v="0"/>
    <x v="0"/>
    <m/>
    <e v="#NAME?"/>
    <e v="#NAME?"/>
    <e v="#NAME?"/>
    <m/>
    <m/>
    <m/>
    <m/>
    <m/>
    <m/>
  </r>
  <r>
    <s v="CE57396"/>
    <s v="JUAN PABLO AREVALO MERCHAN"/>
    <s v="CFS"/>
    <x v="5"/>
    <x v="13"/>
    <e v="#NAME?"/>
    <s v="SDATOOL-40529 $ Aplicativos Finanzas - 2023"/>
    <n v="0.25"/>
    <x v="0"/>
    <x v="0"/>
    <m/>
    <e v="#NAME?"/>
    <e v="#NAME?"/>
    <e v="#NAME?"/>
    <m/>
    <m/>
    <m/>
    <m/>
    <m/>
    <m/>
  </r>
  <r>
    <s v="CE56879"/>
    <s v="Victor Hans De La Cruz Quispe"/>
    <s v="CFS"/>
    <x v="5"/>
    <x v="13"/>
    <e v="#NAME?"/>
    <s v="SDATOOL-33846 $ SREP Data Quality- BCBS239 - Colombia"/>
    <n v="1"/>
    <x v="0"/>
    <x v="0"/>
    <m/>
    <e v="#NAME?"/>
    <e v="#NAME?"/>
    <e v="#NAME?"/>
    <m/>
    <m/>
    <m/>
    <m/>
    <m/>
    <m/>
  </r>
  <r>
    <s v="T005749"/>
    <s v="YESICA DANIELA VARGAS ESPITIA"/>
    <s v="CFS"/>
    <x v="5"/>
    <x v="13"/>
    <e v="#NAME?"/>
    <s v="SDATOOL-40529 $ Aplicativos Finanzas - 2023"/>
    <n v="1"/>
    <x v="0"/>
    <x v="0"/>
    <m/>
    <e v="#NAME?"/>
    <e v="#NAME?"/>
    <e v="#NAME?"/>
    <m/>
    <m/>
    <m/>
    <m/>
    <m/>
    <m/>
  </r>
  <r>
    <s v="CE62380"/>
    <s v="LUIGUI SANTIAGO FAJARDO TOLOZA"/>
    <s v="CFS"/>
    <x v="5"/>
    <x v="14"/>
    <e v="#NAME?"/>
    <s v="SDATOOL-37411 $ Infraestructura reportes regulatorios"/>
    <n v="1"/>
    <x v="0"/>
    <x v="0"/>
    <m/>
    <e v="#NAME?"/>
    <e v="#NAME?"/>
    <e v="#NAME?"/>
    <m/>
    <m/>
    <m/>
    <m/>
    <m/>
    <m/>
  </r>
  <r>
    <s v="CE62112"/>
    <s v="MARILUZ SANCHEZ MORENO"/>
    <s v="CFS"/>
    <x v="5"/>
    <x v="14"/>
    <e v="#NAME?"/>
    <s v="SDATOOL-37411 $ Infraestructura reportes regulatorios"/>
    <n v="1"/>
    <x v="1"/>
    <x v="0"/>
    <m/>
    <e v="#NAME?"/>
    <e v="#NAME?"/>
    <e v="#NAME?"/>
    <m/>
    <m/>
    <m/>
    <m/>
    <m/>
    <m/>
  </r>
  <r>
    <s v="T007669"/>
    <s v="SANTIAGO GALLEGO BEDOYA_x000a_"/>
    <s v="CFS"/>
    <x v="5"/>
    <x v="12"/>
    <e v="#NAME?"/>
    <s v="SDATOOL-40274 $ CIRCULAR 033 de 2021-SFC"/>
    <n v="1"/>
    <x v="2"/>
    <x v="2"/>
    <m/>
    <e v="#NAME?"/>
    <e v="#NAME?"/>
    <e v="#NAME?"/>
    <m/>
    <m/>
    <m/>
    <m/>
    <m/>
    <m/>
  </r>
  <r>
    <s v="T011483"/>
    <s v="JUAN SEBASTIAN RODRIGUEZ PARRA"/>
    <s v="CFS"/>
    <x v="5"/>
    <x v="5"/>
    <e v="#NAME?"/>
    <s v="SDATOOL-37411 $ Infraestructura reportes regulatorios"/>
    <n v="1"/>
    <x v="3"/>
    <x v="1"/>
    <m/>
    <e v="#NAME?"/>
    <e v="#NAME?"/>
    <e v="#NAME?"/>
    <m/>
    <m/>
    <m/>
    <m/>
    <m/>
    <m/>
  </r>
  <r>
    <s v="CE47497"/>
    <s v="ADOLFO ENRIQUE BERNAL RODRIGUEZ"/>
    <s v="CORE"/>
    <x v="9"/>
    <x v="3"/>
    <e v="#NAME?"/>
    <s v="SDATOOL-37111 $ Cuenta Maestra Adres"/>
    <n v="0.5"/>
    <x v="3"/>
    <x v="2"/>
    <m/>
    <e v="#NAME?"/>
    <e v="#NAME?"/>
    <e v="#NAME?"/>
    <m/>
    <m/>
    <m/>
    <m/>
    <m/>
    <n v="0"/>
  </r>
  <r>
    <s v="CE47497"/>
    <s v="ADOLFO ENRIQUE BERNAL RODRIGUEZ"/>
    <s v="CORE"/>
    <x v="9"/>
    <x v="3"/>
    <e v="#NAME?"/>
    <s v="SDATOOL-39246 $ Nuevo tipo de identificación para extranjeros"/>
    <n v="0.5"/>
    <x v="3"/>
    <x v="2"/>
    <m/>
    <e v="#NAME?"/>
    <e v="#NAME?"/>
    <e v="#NAME?"/>
    <m/>
    <m/>
    <m/>
    <m/>
    <m/>
    <n v="0"/>
  </r>
  <r>
    <s v="O002467"/>
    <s v="ALBA FABIOLA GOMEZ RODRIGUEZ"/>
    <s v="CORE"/>
    <x v="9"/>
    <x v="0"/>
    <e v="#NAME?"/>
    <s v="SDATOOL-38481 $ Pricing Pasivos (optimización portafolio) - Plan Ascenso Cross Sell"/>
    <n v="1"/>
    <x v="0"/>
    <x v="2"/>
    <m/>
    <e v="#NAME?"/>
    <e v="#NAME?"/>
    <e v="#NAME?"/>
    <m/>
    <m/>
    <m/>
    <m/>
    <m/>
    <n v="0"/>
  </r>
  <r>
    <s v="O001638"/>
    <s v="ALEXANDER PLATA USCATEGUI"/>
    <s v="CORE"/>
    <x v="9"/>
    <x v="0"/>
    <e v="#NAME?"/>
    <s v="SDATOOL-38481 $ Pricing Pasivos (optimización portafolio) - Plan Ascenso Cross Sell"/>
    <n v="1"/>
    <x v="0"/>
    <x v="2"/>
    <m/>
    <e v="#NAME?"/>
    <e v="#NAME?"/>
    <e v="#NAME?"/>
    <m/>
    <m/>
    <m/>
    <m/>
    <m/>
    <n v="0"/>
  </r>
  <r>
    <s v="C803933"/>
    <s v="CAMILO MONDRAGON"/>
    <s v="CORE"/>
    <x v="9"/>
    <x v="0"/>
    <e v="#NAME?"/>
    <s v="SDATOOL-37111 $ Cuenta Maestra Adres"/>
    <n v="0.75"/>
    <x v="0"/>
    <x v="2"/>
    <m/>
    <e v="#NAME?"/>
    <e v="#NAME?"/>
    <e v="#NAME?"/>
    <m/>
    <m/>
    <m/>
    <m/>
    <m/>
    <n v="1"/>
  </r>
  <r>
    <s v="C803933"/>
    <s v="CAMILO MONDRAGON"/>
    <s v="CORE"/>
    <x v="9"/>
    <x v="0"/>
    <e v="#NAME?"/>
    <s v="SDATOOL-40771 $ Resolución Cuentas Maestras y Cuentas Maestras para Pagos Electrónicos (PSE): Anexo Técnico - Nuevo reporte de información"/>
    <n v="0.25"/>
    <x v="0"/>
    <x v="2"/>
    <s v="Soporte a certificación"/>
    <e v="#NAME?"/>
    <e v="#NAME?"/>
    <e v="#NAME?"/>
    <m/>
    <m/>
    <m/>
    <m/>
    <m/>
    <n v="1"/>
  </r>
  <r>
    <s v="C811277"/>
    <s v="CARLOS ALBERTO GUERRERO MONTAÑA"/>
    <s v="CORE"/>
    <x v="9"/>
    <x v="0"/>
    <e v="#NAME?"/>
    <s v="SDATOOL-42039 $ Cuenta digital pensional"/>
    <n v="0.75"/>
    <x v="0"/>
    <x v="2"/>
    <m/>
    <e v="#NAME?"/>
    <e v="#NAME?"/>
    <e v="#NAME?"/>
    <m/>
    <m/>
    <m/>
    <m/>
    <m/>
    <n v="1"/>
  </r>
  <r>
    <s v="C811277"/>
    <s v="CARLOS ALBERTO GUERRERO MONTAÑA"/>
    <s v="CORE"/>
    <x v="9"/>
    <x v="0"/>
    <e v="#NAME?"/>
    <s v="SDATOOL-38419 $ Contratación cuenta en línea en Glomo"/>
    <n v="0.25"/>
    <x v="0"/>
    <x v="2"/>
    <m/>
    <e v="#NAME?"/>
    <e v="#NAME?"/>
    <e v="#NAME?"/>
    <m/>
    <m/>
    <m/>
    <m/>
    <m/>
    <n v="0"/>
  </r>
  <r>
    <s v="C811304"/>
    <s v="CARLOS EDUARDO YEPES ANGEL"/>
    <s v="CORE"/>
    <x v="9"/>
    <x v="0"/>
    <e v="#NAME?"/>
    <s v="SDATOOL-41797 $ Optimización Cuenta en línea Web"/>
    <n v="1"/>
    <x v="0"/>
    <x v="2"/>
    <m/>
    <e v="#NAME?"/>
    <e v="#NAME?"/>
    <e v="#NAME?"/>
    <m/>
    <m/>
    <m/>
    <m/>
    <m/>
    <n v="1"/>
  </r>
  <r>
    <s v="CE64217"/>
    <s v="CHRISTIAN CAMILO PERDOMO MEDINA"/>
    <s v="CORE"/>
    <x v="9"/>
    <x v="3"/>
    <e v="#NAME?"/>
    <s v="NOSDA $ BAU (Mantenimiento y peq. evolutivos)"/>
    <n v="1"/>
    <x v="0"/>
    <x v="2"/>
    <m/>
    <e v="#NAME?"/>
    <e v="#NAME?"/>
    <e v="#NAME?"/>
    <m/>
    <m/>
    <m/>
    <m/>
    <m/>
    <n v="1"/>
  </r>
  <r>
    <s v="C802128"/>
    <s v="DIANA MILENA SALAMANCA CHIQUILLO"/>
    <s v="CORE"/>
    <x v="9"/>
    <x v="0"/>
    <e v="#NAME?"/>
    <s v="SDATOOL-37344 $ Automatización Operaciones en Efectivo"/>
    <n v="0.4"/>
    <x v="0"/>
    <x v="2"/>
    <s v="No se encuentra la SDATOOL-37344"/>
    <e v="#NAME?"/>
    <e v="#NAME?"/>
    <e v="#NAME?"/>
    <m/>
    <m/>
    <m/>
    <m/>
    <m/>
    <n v="1"/>
  </r>
  <r>
    <s v="C802128"/>
    <s v="DIANA MILENA SALAMANCA CHIQUILLO"/>
    <s v="CORE"/>
    <x v="9"/>
    <x v="0"/>
    <e v="#NAME?"/>
    <s v="SDATOOL-40438 $ CIRCULAR 032 del 2021 - REQUERIMIENTO FISCALIA GENERAL DE LA NACION"/>
    <n v="0.6"/>
    <x v="0"/>
    <x v="2"/>
    <m/>
    <e v="#NAME?"/>
    <e v="#NAME?"/>
    <e v="#NAME?"/>
    <m/>
    <m/>
    <m/>
    <m/>
    <m/>
    <n v="0"/>
  </r>
  <r>
    <s v="C797928"/>
    <s v="DIANA ROCIO GERENA HERRERA"/>
    <s v="CORE"/>
    <x v="9"/>
    <x v="0"/>
    <e v="#NAME?"/>
    <s v="SDATOOL-38481 $ Pricing Pasivos (optimización portafolio) - Plan Ascenso Cross Sell"/>
    <n v="0.3"/>
    <x v="1"/>
    <x v="2"/>
    <m/>
    <e v="#NAME?"/>
    <e v="#NAME?"/>
    <e v="#NAME?"/>
    <m/>
    <m/>
    <m/>
    <m/>
    <m/>
    <n v="1"/>
  </r>
  <r>
    <s v="C797928"/>
    <s v="DIANA ROCIO GERENA HERRERA"/>
    <s v="CORE"/>
    <x v="9"/>
    <x v="0"/>
    <e v="#NAME?"/>
    <s v="NOSDA $ BAU (Mantenimiento y peq. evolutivos)"/>
    <n v="0.4"/>
    <x v="1"/>
    <x v="2"/>
    <m/>
    <e v="#NAME?"/>
    <e v="#NAME?"/>
    <e v="#NAME?"/>
    <m/>
    <m/>
    <m/>
    <m/>
    <m/>
    <n v="0"/>
  </r>
  <r>
    <s v="C797928"/>
    <s v="DIANA ROCIO GERENA HERRERA"/>
    <s v="CORE"/>
    <x v="9"/>
    <x v="0"/>
    <e v="#NAME?"/>
    <s v="SDATOOL-37111 $ Cuenta Maestra Adres"/>
    <n v="0.15"/>
    <x v="1"/>
    <x v="2"/>
    <m/>
    <e v="#NAME?"/>
    <e v="#NAME?"/>
    <e v="#NAME?"/>
    <m/>
    <m/>
    <m/>
    <m/>
    <m/>
    <n v="0"/>
  </r>
  <r>
    <s v="C797928"/>
    <s v="DIANA ROCIO GERENA HERRERA"/>
    <s v="CORE"/>
    <x v="9"/>
    <x v="0"/>
    <e v="#NAME?"/>
    <s v="SDATOOL-40771 $ Resolución Cuentas Maestras y Cuentas Maestras para Pagos Electrónicos (PSE): Anexo Técnico - Nuevo reporte de información"/>
    <n v="0.15"/>
    <x v="1"/>
    <x v="2"/>
    <m/>
    <e v="#NAME?"/>
    <e v="#NAME?"/>
    <e v="#NAME?"/>
    <m/>
    <m/>
    <m/>
    <m/>
    <m/>
    <n v="0"/>
  </r>
  <r>
    <s v="CE48051"/>
    <s v="EDGAR ANDRES GARZON"/>
    <s v="CORE"/>
    <x v="9"/>
    <x v="6"/>
    <e v="#NAME?"/>
    <s v="SDATOOL-38419 $ Contratación cuenta en línea en Glomo"/>
    <n v="0.25"/>
    <x v="0"/>
    <x v="2"/>
    <m/>
    <e v="#NAME?"/>
    <e v="#NAME?"/>
    <e v="#NAME?"/>
    <m/>
    <m/>
    <m/>
    <m/>
    <m/>
    <n v="1"/>
  </r>
  <r>
    <s v="CE48051"/>
    <s v="EDGAR ANDRES GARZON"/>
    <s v="CORE"/>
    <x v="9"/>
    <x v="6"/>
    <e v="#NAME?"/>
    <s v="SDATOOL-42039 $ Cuenta digital pensional"/>
    <n v="0.75"/>
    <x v="0"/>
    <x v="2"/>
    <m/>
    <e v="#NAME?"/>
    <e v="#NAME?"/>
    <e v="#NAME?"/>
    <m/>
    <m/>
    <m/>
    <m/>
    <m/>
    <n v="0"/>
  </r>
  <r>
    <s v="C343151"/>
    <s v="ESPERANZA DIAZ HERNANDEZ"/>
    <s v="CORE"/>
    <x v="9"/>
    <x v="0"/>
    <e v="#NAME?"/>
    <s v="NOSDA $ BAU (Mantenimiento y peq. evolutivos)"/>
    <n v="1"/>
    <x v="0"/>
    <x v="2"/>
    <m/>
    <e v="#NAME?"/>
    <e v="#NAME?"/>
    <e v="#NAME?"/>
    <m/>
    <m/>
    <m/>
    <m/>
    <m/>
    <n v="1"/>
  </r>
  <r>
    <s v="CE70143"/>
    <s v="EMMANUEL GERMAN FORSTER"/>
    <s v="CORE"/>
    <x v="9"/>
    <x v="15"/>
    <e v="#NAME?"/>
    <s v="SDATOOL-41797 $ Optimización Cuenta en línea Web"/>
    <n v="1"/>
    <x v="0"/>
    <x v="3"/>
    <s v="Usuario en proceso de alta."/>
    <e v="#NAME?"/>
    <e v="#NAME?"/>
    <e v="#NAME?"/>
    <m/>
    <m/>
    <m/>
    <m/>
    <m/>
    <n v="1"/>
  </r>
  <r>
    <s v="C811389"/>
    <s v="FABER IVAN MAYORQUIN RESTREPO"/>
    <s v="CORE"/>
    <x v="9"/>
    <x v="0"/>
    <e v="#NAME?"/>
    <s v="SDATOOL-39383 $ AJUSTES HIGIENICOS DE PORTAFOLIO + REPORTE CENTRALIZADO DE NÓMINA"/>
    <n v="0.65"/>
    <x v="0"/>
    <x v="2"/>
    <m/>
    <e v="#NAME?"/>
    <e v="#NAME?"/>
    <e v="#NAME?"/>
    <m/>
    <m/>
    <m/>
    <m/>
    <m/>
    <n v="1"/>
  </r>
  <r>
    <s v="C811389"/>
    <s v="FABER IVAN MAYORQUIN RESTREPO"/>
    <s v="CORE"/>
    <x v="9"/>
    <x v="0"/>
    <e v="#NAME?"/>
    <s v="SDATOOL-39246 $ Nuevo tipo de identificación para extranjeros"/>
    <n v="0.2"/>
    <x v="0"/>
    <x v="2"/>
    <m/>
    <e v="#NAME?"/>
    <e v="#NAME?"/>
    <e v="#NAME?"/>
    <m/>
    <m/>
    <m/>
    <m/>
    <m/>
    <n v="0"/>
  </r>
  <r>
    <s v="C811389"/>
    <s v="FABER IVAN MAYORQUIN RESTREPO"/>
    <s v="CORE"/>
    <x v="9"/>
    <x v="0"/>
    <e v="#NAME?"/>
    <s v="NOSDA $ BAU (Mantenimiento y peq. evolutivos)"/>
    <n v="0.15"/>
    <x v="0"/>
    <x v="2"/>
    <m/>
    <e v="#NAME?"/>
    <e v="#NAME?"/>
    <e v="#NAME?"/>
    <m/>
    <m/>
    <m/>
    <m/>
    <m/>
    <n v="0"/>
  </r>
  <r>
    <s v="CE50117"/>
    <s v="JAIRO ANZOLA PLATA L"/>
    <s v="CORE"/>
    <x v="9"/>
    <x v="3"/>
    <e v="#NAME?"/>
    <s v="SDATOOL-38481 $ Pricing Pasivos (optimización portafolio) - Plan Ascenso Cross Sell"/>
    <n v="0.4"/>
    <x v="0"/>
    <x v="2"/>
    <s v="Soporte a la certificación"/>
    <e v="#NAME?"/>
    <e v="#NAME?"/>
    <e v="#NAME?"/>
    <m/>
    <m/>
    <m/>
    <m/>
    <m/>
    <n v="1"/>
  </r>
  <r>
    <s v="CE42593"/>
    <s v="JENITH MARSELLA MANTILLA RODRIGUEZ"/>
    <s v="CORE"/>
    <x v="9"/>
    <x v="3"/>
    <e v="#NAME?"/>
    <s v="NOSDA $ BAU (Mantenimiento y peq. evolutivos)"/>
    <n v="1"/>
    <x v="1"/>
    <x v="2"/>
    <m/>
    <e v="#NAME?"/>
    <e v="#NAME?"/>
    <e v="#NAME?"/>
    <m/>
    <m/>
    <m/>
    <m/>
    <m/>
    <n v="1"/>
  </r>
  <r>
    <s v="C805565"/>
    <s v="JHON FREDY PACHECO AVELLA"/>
    <s v="CORE"/>
    <x v="9"/>
    <x v="0"/>
    <e v="#NAME?"/>
    <s v="SDATOOL-39246 $ Nuevo tipo de identificación para extranjeros"/>
    <n v="0.2"/>
    <x v="0"/>
    <x v="2"/>
    <m/>
    <e v="#NAME?"/>
    <e v="#NAME?"/>
    <e v="#NAME?"/>
    <m/>
    <m/>
    <m/>
    <m/>
    <m/>
    <n v="1"/>
  </r>
  <r>
    <s v="C805565"/>
    <s v="JHON FREDY PACHECO AVELLA"/>
    <s v="CORE"/>
    <x v="9"/>
    <x v="0"/>
    <e v="#NAME?"/>
    <s v="SDATOOL-40545 $ GRM Col - Mejoras Evolutivas de Aplicativos y Herramientas de Riesgos 2023"/>
    <n v="0.5"/>
    <x v="0"/>
    <x v="2"/>
    <m/>
    <e v="#NAME?"/>
    <e v="#NAME?"/>
    <e v="#NAME?"/>
    <m/>
    <m/>
    <m/>
    <m/>
    <m/>
    <n v="0"/>
  </r>
  <r>
    <s v="C805565"/>
    <s v="JHON FREDY PACHECO AVELLA"/>
    <s v="CORE"/>
    <x v="9"/>
    <x v="0"/>
    <e v="#NAME?"/>
    <s v="SDATOOL-40656 $ GRM Col - Recuperación sobre cuentas pensionales"/>
    <n v="0.3"/>
    <x v="0"/>
    <x v="2"/>
    <m/>
    <e v="#NAME?"/>
    <e v="#NAME?"/>
    <e v="#NAME?"/>
    <m/>
    <m/>
    <m/>
    <m/>
    <m/>
    <n v="0"/>
  </r>
  <r>
    <s v="C809506"/>
    <s v="JHON FREDY PINZON PAEZ"/>
    <s v="CORE"/>
    <x v="9"/>
    <x v="0"/>
    <e v="#NAME?"/>
    <s v="NOSDA $ BAU (Mantenimiento y peq. evolutivos)"/>
    <n v="1"/>
    <x v="0"/>
    <x v="2"/>
    <m/>
    <e v="#NAME?"/>
    <e v="#NAME?"/>
    <e v="#NAME?"/>
    <m/>
    <m/>
    <m/>
    <m/>
    <m/>
    <n v="1"/>
  </r>
  <r>
    <s v="O001222"/>
    <s v="JIOVANNY SUAREZ GONZALEZ"/>
    <s v="CORE"/>
    <x v="9"/>
    <x v="0"/>
    <e v="#NAME?"/>
    <s v="SDATOOL-42039 $ Cuenta digital pensional"/>
    <n v="0.2"/>
    <x v="1"/>
    <x v="1"/>
    <m/>
    <e v="#NAME?"/>
    <e v="#NAME?"/>
    <e v="#NAME?"/>
    <m/>
    <m/>
    <m/>
    <m/>
    <m/>
    <n v="1"/>
  </r>
  <r>
    <s v="O001222"/>
    <s v="JIOVANNY SUAREZ GONZALEZ"/>
    <s v="CORE"/>
    <x v="9"/>
    <x v="0"/>
    <e v="#NAME?"/>
    <s v="SDATOOL-38419 $ Contratación cuenta en línea en Glomo"/>
    <n v="0.2"/>
    <x v="1"/>
    <x v="1"/>
    <m/>
    <e v="#NAME?"/>
    <e v="#NAME?"/>
    <e v="#NAME?"/>
    <m/>
    <m/>
    <m/>
    <m/>
    <m/>
    <n v="0"/>
  </r>
  <r>
    <s v="O001222"/>
    <s v="JIOVANNY SUAREZ GONZALEZ"/>
    <s v="CORE"/>
    <x v="9"/>
    <x v="0"/>
    <e v="#NAME?"/>
    <s v="SDATOOL-41797 $ Optimización Cuenta en línea Web"/>
    <n v="0.2"/>
    <x v="1"/>
    <x v="1"/>
    <m/>
    <e v="#NAME?"/>
    <e v="#NAME?"/>
    <e v="#NAME?"/>
    <m/>
    <m/>
    <m/>
    <m/>
    <m/>
    <n v="0"/>
  </r>
  <r>
    <s v="O001222"/>
    <s v="JIOVANNY SUAREZ GONZALEZ"/>
    <s v="CORE"/>
    <x v="9"/>
    <x v="0"/>
    <e v="#NAME?"/>
    <s v="SDATOOL-42393 $ Ahorro Fijo Digital Clientes"/>
    <n v="0.2"/>
    <x v="1"/>
    <x v="1"/>
    <m/>
    <e v="#NAME?"/>
    <e v="#NAME?"/>
    <e v="#NAME?"/>
    <m/>
    <m/>
    <m/>
    <m/>
    <m/>
    <n v="0"/>
  </r>
  <r>
    <s v="O001222"/>
    <s v="JIOVANNY SUAREZ GONZALEZ"/>
    <s v="CORE"/>
    <x v="9"/>
    <x v="0"/>
    <e v="#NAME?"/>
    <s v="SDATOOL-41950 $ Migracion GMF-MQ Series"/>
    <n v="0.2"/>
    <x v="1"/>
    <x v="1"/>
    <m/>
    <e v="#NAME?"/>
    <e v="#NAME?"/>
    <e v="#NAME?"/>
    <m/>
    <m/>
    <m/>
    <m/>
    <m/>
    <n v="0"/>
  </r>
  <r>
    <s v="C811332"/>
    <s v="JORGE LUIS SALAMANCA ORTIZ"/>
    <s v="CORE"/>
    <x v="9"/>
    <x v="0"/>
    <e v="#NAME?"/>
    <s v="SDATOOL-37753 $ Plan de transformación de operaciones 2022"/>
    <n v="0.3"/>
    <x v="0"/>
    <x v="2"/>
    <m/>
    <e v="#NAME?"/>
    <e v="#NAME?"/>
    <e v="#NAME?"/>
    <m/>
    <m/>
    <m/>
    <m/>
    <m/>
    <n v="1"/>
  </r>
  <r>
    <s v="C811332"/>
    <s v="JORGE LUIS SALAMANCA ORTIZ"/>
    <s v="CORE"/>
    <x v="9"/>
    <x v="0"/>
    <e v="#NAME?"/>
    <s v="SDATOOL-40438 $ CIRCULAR 032 del 2021 - REQUERIMIENTO FISCALIA GENERAL DE LA NACION"/>
    <n v="0.7"/>
    <x v="0"/>
    <x v="2"/>
    <m/>
    <e v="#NAME?"/>
    <e v="#NAME?"/>
    <e v="#NAME?"/>
    <m/>
    <m/>
    <m/>
    <m/>
    <m/>
    <n v="0"/>
  </r>
  <r>
    <s v="CE03425"/>
    <s v="JORGE VICENTE SALAS PERILLA"/>
    <s v="CORE"/>
    <x v="9"/>
    <x v="2"/>
    <e v="#NAME?"/>
    <s v="SDATOOL-37111 $ Cuenta Maestra Adres"/>
    <n v="0.75"/>
    <x v="0"/>
    <x v="2"/>
    <m/>
    <e v="#NAME?"/>
    <e v="#NAME?"/>
    <e v="#NAME?"/>
    <m/>
    <m/>
    <m/>
    <m/>
    <m/>
    <n v="1"/>
  </r>
  <r>
    <s v="CE03425"/>
    <s v="JORGE VICENTE SALAS PERILLA"/>
    <s v="CORE"/>
    <x v="9"/>
    <x v="2"/>
    <e v="#NAME?"/>
    <s v="SDATOOL-40771 $ Resolución Cuentas Maestras y Cuentas Maestras para Pagos Electrónicos (PSE): Anexo Técnico - Nuevo reporte de información"/>
    <n v="0.25"/>
    <x v="0"/>
    <x v="2"/>
    <s v="Soporte a certficación y post-implantación"/>
    <e v="#NAME?"/>
    <e v="#NAME?"/>
    <e v="#NAME?"/>
    <m/>
    <m/>
    <m/>
    <m/>
    <m/>
    <n v="0"/>
  </r>
  <r>
    <s v="C805714"/>
    <s v="JUAN DAVID CELIS NUÑEZ"/>
    <s v="CORE"/>
    <x v="9"/>
    <x v="0"/>
    <e v="#NAME?"/>
    <s v="SDATOOL-33065 $ Remesas BTS"/>
    <n v="0.7"/>
    <x v="0"/>
    <x v="3"/>
    <m/>
    <e v="#NAME?"/>
    <e v="#NAME?"/>
    <e v="#NAME?"/>
    <m/>
    <m/>
    <m/>
    <m/>
    <m/>
    <n v="1"/>
  </r>
  <r>
    <s v="C805714"/>
    <s v="JUAN DAVID CELIS NUÑEZ"/>
    <s v="CORE"/>
    <x v="9"/>
    <x v="0"/>
    <e v="#NAME?"/>
    <s v="SDATOOL-37753 $ Plan de transformación de operaciones 2022"/>
    <n v="0.15"/>
    <x v="0"/>
    <x v="3"/>
    <m/>
    <e v="#NAME?"/>
    <e v="#NAME?"/>
    <e v="#NAME?"/>
    <m/>
    <m/>
    <m/>
    <m/>
    <m/>
    <n v="0"/>
  </r>
  <r>
    <s v="C805714"/>
    <s v="JUAN DAVID CELIS NUÑEZ"/>
    <s v="CORE"/>
    <x v="9"/>
    <x v="0"/>
    <e v="#NAME?"/>
    <s v="NOSDA $ BAU (Mantenimiento y peq. evolutivos)"/>
    <n v="0.15"/>
    <x v="0"/>
    <x v="3"/>
    <m/>
    <e v="#NAME?"/>
    <e v="#NAME?"/>
    <e v="#NAME?"/>
    <m/>
    <m/>
    <m/>
    <m/>
    <m/>
    <n v="0"/>
  </r>
  <r>
    <s v="CE65082"/>
    <s v="JULIAN CAMILO ESGUERRA PINEDA"/>
    <s v="CORE"/>
    <x v="9"/>
    <x v="3"/>
    <e v="#NAME?"/>
    <s v="NOSDA $ BAU (Mantenimiento y peq. evolutivos)"/>
    <n v="1"/>
    <x v="0"/>
    <x v="2"/>
    <m/>
    <e v="#NAME?"/>
    <e v="#NAME?"/>
    <e v="#NAME?"/>
    <m/>
    <m/>
    <m/>
    <m/>
    <m/>
    <n v="1"/>
  </r>
  <r>
    <s v="C805729"/>
    <s v="JULIANA FERNANDA BONILLA RODRIGUEZ"/>
    <s v="CORE"/>
    <x v="9"/>
    <x v="0"/>
    <e v="#NAME?"/>
    <s v="NOSDA $ BAU (Mantenimiento y peq. evolutivos)"/>
    <n v="1"/>
    <x v="3"/>
    <x v="2"/>
    <m/>
    <e v="#NAME?"/>
    <e v="#NAME?"/>
    <e v="#NAME?"/>
    <m/>
    <m/>
    <m/>
    <m/>
    <m/>
    <n v="1"/>
  </r>
  <r>
    <s v="CE66910"/>
    <s v="JULIO DIAZ PENAGOS "/>
    <s v="CORE"/>
    <x v="9"/>
    <x v="3"/>
    <e v="#NAME?"/>
    <s v="SDATOOL-41950 $ Migracion GMF-MQ Series"/>
    <n v="1"/>
    <x v="0"/>
    <x v="3"/>
    <m/>
    <e v="#NAME?"/>
    <e v="#NAME?"/>
    <e v="#NAME?"/>
    <m/>
    <m/>
    <m/>
    <m/>
    <m/>
    <n v="1"/>
  </r>
  <r>
    <s v="C803062"/>
    <s v="KATERINE CRUZ SUAREZ"/>
    <s v="CORE"/>
    <x v="9"/>
    <x v="0"/>
    <e v="#NAME?"/>
    <s v="NOSDA $ BAU (Mantenimiento y peq. evolutivos)"/>
    <n v="1"/>
    <x v="0"/>
    <x v="2"/>
    <m/>
    <e v="#NAME?"/>
    <e v="#NAME?"/>
    <e v="#NAME?"/>
    <m/>
    <m/>
    <m/>
    <m/>
    <m/>
    <n v="1"/>
  </r>
  <r>
    <s v="C805939"/>
    <s v="LEISON FABIAN MEJIA GARCIA"/>
    <s v="CORE"/>
    <x v="9"/>
    <x v="0"/>
    <e v="#NAME?"/>
    <s v="SDATOOL-38419 $ Contratación cuenta en línea en Glomo"/>
    <n v="0.25"/>
    <x v="0"/>
    <x v="3"/>
    <m/>
    <e v="#NAME?"/>
    <e v="#NAME?"/>
    <e v="#NAME?"/>
    <m/>
    <m/>
    <m/>
    <m/>
    <m/>
    <n v="1"/>
  </r>
  <r>
    <s v="C805939"/>
    <s v="LEISON FABIAN MEJIA GARCIA"/>
    <s v="CORE"/>
    <x v="9"/>
    <x v="0"/>
    <e v="#NAME?"/>
    <s v="SDATOOL-42039 $ Cuenta digital pensional"/>
    <n v="0.5"/>
    <x v="0"/>
    <x v="3"/>
    <m/>
    <e v="#NAME?"/>
    <e v="#NAME?"/>
    <e v="#NAME?"/>
    <m/>
    <m/>
    <m/>
    <m/>
    <m/>
    <n v="0"/>
  </r>
  <r>
    <s v="C805939"/>
    <s v="LEISON FABIAN MEJIA GARCIA"/>
    <s v="CORE"/>
    <x v="9"/>
    <x v="0"/>
    <e v="#NAME?"/>
    <s v="SDATOOL-41797 $ Optimización Cuenta en línea Web"/>
    <n v="0.25"/>
    <x v="0"/>
    <x v="3"/>
    <m/>
    <e v="#NAME?"/>
    <e v="#NAME?"/>
    <e v="#NAME?"/>
    <m/>
    <m/>
    <m/>
    <m/>
    <m/>
    <n v="0"/>
  </r>
  <r>
    <s v="CE17711"/>
    <s v="LUIS FERNANDO RODRIGUEZ MEDINA"/>
    <s v="CORE"/>
    <x v="9"/>
    <x v="2"/>
    <e v="#NAME?"/>
    <s v="NOSDA $ BAU (Mantenimiento y peq. evolutivos)"/>
    <n v="1"/>
    <x v="2"/>
    <x v="2"/>
    <m/>
    <e v="#NAME?"/>
    <e v="#NAME?"/>
    <e v="#NAME?"/>
    <m/>
    <m/>
    <m/>
    <m/>
    <m/>
    <n v="1"/>
  </r>
  <r>
    <s v="CE61656"/>
    <s v="MARIA DEL PILAR GARCIA  GONZALES"/>
    <s v="CORE"/>
    <x v="9"/>
    <x v="2"/>
    <e v="#NAME?"/>
    <s v="NOSDA $ BAU (Mantenimiento y peq. evolutivos)"/>
    <n v="1"/>
    <x v="2"/>
    <x v="2"/>
    <m/>
    <e v="#NAME?"/>
    <e v="#NAME?"/>
    <e v="#NAME?"/>
    <m/>
    <m/>
    <m/>
    <m/>
    <m/>
    <n v="1"/>
  </r>
  <r>
    <s v="C804407"/>
    <s v="MARIO ALBERTO MORALES LEON"/>
    <s v="CORE"/>
    <x v="9"/>
    <x v="0"/>
    <e v="#NAME?"/>
    <s v="SDATOOL-41950 $ Migracion GMF-MQ Series"/>
    <n v="0.25"/>
    <x v="0"/>
    <x v="2"/>
    <m/>
    <e v="#NAME?"/>
    <e v="#NAME?"/>
    <e v="#NAME?"/>
    <m/>
    <m/>
    <m/>
    <m/>
    <m/>
    <n v="1"/>
  </r>
  <r>
    <s v="C804407"/>
    <s v="MARIO ALBERTO MORALES LEON"/>
    <s v="CORE"/>
    <x v="9"/>
    <x v="0"/>
    <e v="#NAME?"/>
    <s v="SDATOOL-42393 $ Ahorro Fijo Digital Clientes"/>
    <n v="0.75"/>
    <x v="0"/>
    <x v="2"/>
    <m/>
    <e v="#NAME?"/>
    <e v="#NAME?"/>
    <e v="#NAME?"/>
    <m/>
    <m/>
    <m/>
    <m/>
    <m/>
    <n v="0"/>
  </r>
  <r>
    <s v="C809625"/>
    <s v="MAYERLY TATIANA NARVAEZ MARIN"/>
    <s v="CORE"/>
    <x v="9"/>
    <x v="0"/>
    <e v="#NAME?"/>
    <s v="SDATOOL-38419 $ Contratación cuenta en línea en Glomo"/>
    <n v="0.25"/>
    <x v="0"/>
    <x v="3"/>
    <m/>
    <e v="#NAME?"/>
    <e v="#NAME?"/>
    <e v="#NAME?"/>
    <m/>
    <m/>
    <m/>
    <m/>
    <m/>
    <n v="1"/>
  </r>
  <r>
    <s v="C809625"/>
    <s v="MAYERLY TATIANA NARVAEZ MARIN"/>
    <s v="CORE"/>
    <x v="9"/>
    <x v="0"/>
    <e v="#NAME?"/>
    <s v="SDATOOL-42039 $ Cuenta digital pensional"/>
    <n v="0.75"/>
    <x v="0"/>
    <x v="3"/>
    <m/>
    <e v="#NAME?"/>
    <e v="#NAME?"/>
    <e v="#NAME?"/>
    <m/>
    <m/>
    <m/>
    <m/>
    <m/>
    <n v="0"/>
  </r>
  <r>
    <s v="CE64687"/>
    <s v="MILLER FERNANDO CAMARGO AMADO"/>
    <s v="CORE"/>
    <x v="9"/>
    <x v="3"/>
    <e v="#NAME?"/>
    <s v="NOSDA $ BAU (Mantenimiento y peq. evolutivos)"/>
    <n v="1"/>
    <x v="0"/>
    <x v="2"/>
    <m/>
    <e v="#NAME?"/>
    <e v="#NAME?"/>
    <e v="#NAME?"/>
    <m/>
    <m/>
    <m/>
    <m/>
    <m/>
    <n v="1"/>
  </r>
  <r>
    <s v="C811233"/>
    <s v="NATALIA REYES LOPEZ"/>
    <s v="CORE"/>
    <x v="9"/>
    <x v="0"/>
    <e v="#NAME?"/>
    <s v="NOSDA $ BAU (Mantenimiento y peq. evolutivos)"/>
    <n v="1"/>
    <x v="2"/>
    <x v="2"/>
    <m/>
    <e v="#NAME?"/>
    <e v="#NAME?"/>
    <e v="#NAME?"/>
    <m/>
    <m/>
    <m/>
    <m/>
    <m/>
    <n v="1"/>
  </r>
  <r>
    <s v="CE59970"/>
    <s v="NICOLAS ALEXANDER ALDANA MENDOZA"/>
    <s v="CORE"/>
    <x v="9"/>
    <x v="3"/>
    <e v="#NAME?"/>
    <s v="NOSDA $ BAU (Mantenimiento y peq. evolutivos)"/>
    <n v="1"/>
    <x v="0"/>
    <x v="2"/>
    <m/>
    <e v="#NAME?"/>
    <e v="#NAME?"/>
    <e v="#NAME?"/>
    <m/>
    <m/>
    <m/>
    <m/>
    <m/>
    <n v="1"/>
  </r>
  <r>
    <s v="C804561"/>
    <s v="OSCAR ORLANDO ACEVEDO FERRER"/>
    <s v="CORE"/>
    <x v="9"/>
    <x v="0"/>
    <e v="#NAME?"/>
    <s v="SDATOOL-40656 $ GRM Col - Recuperación sobre cuentas pensionales"/>
    <n v="0.5"/>
    <x v="0"/>
    <x v="2"/>
    <m/>
    <e v="#NAME?"/>
    <e v="#NAME?"/>
    <e v="#NAME?"/>
    <m/>
    <m/>
    <m/>
    <m/>
    <m/>
    <n v="1"/>
  </r>
  <r>
    <s v="C804561"/>
    <s v="OSCAR ORLANDO ACEVEDO FERRER"/>
    <s v="CORE"/>
    <x v="9"/>
    <x v="0"/>
    <e v="#NAME?"/>
    <s v="SDATOOL-33065 $ Remesas BTS"/>
    <n v="0.2"/>
    <x v="0"/>
    <x v="2"/>
    <m/>
    <e v="#NAME?"/>
    <e v="#NAME?"/>
    <e v="#NAME?"/>
    <m/>
    <m/>
    <m/>
    <m/>
    <m/>
    <n v="0"/>
  </r>
  <r>
    <s v="C804561"/>
    <s v="OSCAR ORLANDO ACEVEDO FERRER"/>
    <s v="CORE"/>
    <x v="9"/>
    <x v="0"/>
    <e v="#NAME?"/>
    <s v="SDATOOL-41029 $ IATAPAY"/>
    <n v="0.3"/>
    <x v="0"/>
    <x v="2"/>
    <m/>
    <e v="#NAME?"/>
    <e v="#NAME?"/>
    <e v="#NAME?"/>
    <m/>
    <m/>
    <m/>
    <m/>
    <m/>
    <n v="0"/>
  </r>
  <r>
    <s v="O002757"/>
    <s v="SUSANA ANDREA PARRA CABRERA"/>
    <s v="CORE"/>
    <x v="9"/>
    <x v="0"/>
    <e v="#NAME?"/>
    <s v="SDATOOL-33065 $ Remesas BTS"/>
    <n v="0.2"/>
    <x v="0"/>
    <x v="4"/>
    <m/>
    <e v="#NAME?"/>
    <e v="#NAME?"/>
    <e v="#NAME?"/>
    <m/>
    <m/>
    <m/>
    <m/>
    <m/>
    <n v="1"/>
  </r>
  <r>
    <s v="O002757"/>
    <s v="SUSANA ANDREA PARRA CABRERA"/>
    <s v="CORE"/>
    <x v="9"/>
    <x v="0"/>
    <e v="#NAME?"/>
    <s v="SDATOOL-42393 $ Ahorro Fijo Digital Clientes"/>
    <n v="0.4"/>
    <x v="0"/>
    <x v="4"/>
    <m/>
    <e v="#NAME?"/>
    <e v="#NAME?"/>
    <e v="#NAME?"/>
    <m/>
    <m/>
    <m/>
    <m/>
    <m/>
    <n v="0"/>
  </r>
  <r>
    <s v="O002757"/>
    <s v="SUSANA ANDREA PARRA CABRERA"/>
    <s v="CORE"/>
    <x v="9"/>
    <x v="0"/>
    <e v="#NAME?"/>
    <s v="SDATOOL-41950 $ Migracion GMF-MQ Series"/>
    <n v="0.4"/>
    <x v="0"/>
    <x v="4"/>
    <m/>
    <e v="#NAME?"/>
    <e v="#NAME?"/>
    <e v="#NAME?"/>
    <m/>
    <m/>
    <m/>
    <m/>
    <m/>
    <n v="0"/>
  </r>
  <r>
    <s v="CE24417"/>
    <s v="VIVIAN JUALINY  ESPITIA BENITEZ"/>
    <s v="CORE"/>
    <x v="9"/>
    <x v="2"/>
    <e v="#NAME?"/>
    <s v="NOSDA $ BAU (Mantenimiento y peq. evolutivos)"/>
    <n v="1"/>
    <x v="2"/>
    <x v="1"/>
    <m/>
    <e v="#NAME?"/>
    <e v="#NAME?"/>
    <e v="#NAME?"/>
    <m/>
    <m/>
    <m/>
    <m/>
    <m/>
    <n v="1"/>
  </r>
  <r>
    <s v="O003083"/>
    <s v="WILMAR ALBERTO ROMERO"/>
    <s v="CORE"/>
    <x v="9"/>
    <x v="0"/>
    <e v="#NAME?"/>
    <s v="SDATOOL-42039 $ Cuenta digital pensional"/>
    <n v="0.75"/>
    <x v="0"/>
    <x v="4"/>
    <m/>
    <e v="#NAME?"/>
    <e v="#NAME?"/>
    <e v="#NAME?"/>
    <m/>
    <m/>
    <m/>
    <m/>
    <m/>
    <n v="1"/>
  </r>
  <r>
    <s v="O003083"/>
    <s v="WILMAR ALBERTO ROMERO"/>
    <s v="CORE"/>
    <x v="9"/>
    <x v="0"/>
    <e v="#NAME?"/>
    <s v="SDATOOL-38419 $ Contratación cuenta en línea en Glomo"/>
    <n v="0.25"/>
    <x v="0"/>
    <x v="4"/>
    <m/>
    <e v="#NAME?"/>
    <e v="#NAME?"/>
    <e v="#NAME?"/>
    <m/>
    <m/>
    <m/>
    <m/>
    <m/>
    <n v="0"/>
  </r>
  <r>
    <s v="C811362"/>
    <s v="YIGLIANA ALVAREZ MENDOZA"/>
    <s v="CORE"/>
    <x v="9"/>
    <x v="0"/>
    <e v="#NAME?"/>
    <s v="SDATOOL-40545 $ GRM Col - Mejoras Evolutivas de Aplicativos y Herramientas de Riesgos 2023"/>
    <n v="0.3"/>
    <x v="0"/>
    <x v="2"/>
    <m/>
    <e v="#NAME?"/>
    <e v="#NAME?"/>
    <e v="#NAME?"/>
    <m/>
    <m/>
    <m/>
    <m/>
    <m/>
    <n v="1"/>
  </r>
  <r>
    <s v="C811362"/>
    <s v="YIGLIANA ALVAREZ MENDOZA"/>
    <s v="CORE"/>
    <x v="9"/>
    <x v="0"/>
    <e v="#NAME?"/>
    <s v="SDATOOL-41766 $ DUALIDAD CUENTAS AFC NÁCAR HOST Y CANALES DIGITALES"/>
    <n v="0.4"/>
    <x v="0"/>
    <x v="2"/>
    <m/>
    <e v="#NAME?"/>
    <e v="#NAME?"/>
    <e v="#NAME?"/>
    <m/>
    <m/>
    <m/>
    <m/>
    <m/>
    <n v="0"/>
  </r>
  <r>
    <s v="C811362"/>
    <s v="YIGLIANA ALVAREZ MENDOZA"/>
    <s v="CORE"/>
    <x v="9"/>
    <x v="0"/>
    <e v="#NAME?"/>
    <s v="SDATOOL-39506 $ Cuenta Sostenible"/>
    <n v="0.3"/>
    <x v="0"/>
    <x v="2"/>
    <m/>
    <e v="#NAME?"/>
    <e v="#NAME?"/>
    <e v="#NAME?"/>
    <m/>
    <m/>
    <m/>
    <m/>
    <m/>
    <n v="0"/>
  </r>
  <r>
    <s v="C802977"/>
    <s v="YULY MARCELA OVALLE GOMEZ"/>
    <s v="CORE"/>
    <x v="9"/>
    <x v="0"/>
    <e v="#NAME?"/>
    <s v="SDATOOL-39246 $ Nuevo tipo de identificación para extranjeros"/>
    <n v="0.1"/>
    <x v="1"/>
    <x v="1"/>
    <m/>
    <e v="#NAME?"/>
    <e v="#NAME?"/>
    <e v="#NAME?"/>
    <m/>
    <m/>
    <m/>
    <m/>
    <m/>
    <n v="1"/>
  </r>
  <r>
    <s v="C802977"/>
    <s v="YULY MARCELA OVALLE GOMEZ"/>
    <s v="CORE"/>
    <x v="9"/>
    <x v="0"/>
    <e v="#NAME?"/>
    <s v="SDATOOL-40656 $ GRM Col - Recuperación sobre cuentas pensionales"/>
    <n v="0.15"/>
    <x v="1"/>
    <x v="1"/>
    <m/>
    <e v="#NAME?"/>
    <e v="#NAME?"/>
    <e v="#NAME?"/>
    <m/>
    <m/>
    <m/>
    <m/>
    <m/>
    <n v="0"/>
  </r>
  <r>
    <s v="C802977"/>
    <s v="YULY MARCELA OVALLE GOMEZ"/>
    <s v="CORE"/>
    <x v="9"/>
    <x v="0"/>
    <e v="#NAME?"/>
    <s v="SDATOOL-39383 $ AJUSTES HIGIENICOS DE PORTAFOLIO + REPORTE CENTRALIZADO DE NÓMINA"/>
    <n v="0.1"/>
    <x v="1"/>
    <x v="1"/>
    <m/>
    <e v="#NAME?"/>
    <e v="#NAME?"/>
    <e v="#NAME?"/>
    <m/>
    <m/>
    <m/>
    <m/>
    <m/>
    <n v="0"/>
  </r>
  <r>
    <s v="C802977"/>
    <s v="YULY MARCELA OVALLE GOMEZ"/>
    <s v="CORE"/>
    <x v="9"/>
    <x v="0"/>
    <e v="#NAME?"/>
    <s v="SDATOOL-33065 $ Remesas BTS"/>
    <n v="0.15"/>
    <x v="1"/>
    <x v="1"/>
    <m/>
    <e v="#NAME?"/>
    <e v="#NAME?"/>
    <e v="#NAME?"/>
    <m/>
    <m/>
    <m/>
    <m/>
    <m/>
    <n v="0"/>
  </r>
  <r>
    <s v="C802977"/>
    <s v="YULY MARCELA OVALLE GOMEZ"/>
    <s v="CORE"/>
    <x v="9"/>
    <x v="0"/>
    <e v="#NAME?"/>
    <s v="SDATOOL-40438 $ CIRCULAR 032 del 2021 - REQUERIMIENTO FISCALIA GENERAL DE LA NACION"/>
    <n v="0.1"/>
    <x v="1"/>
    <x v="1"/>
    <m/>
    <e v="#NAME?"/>
    <e v="#NAME?"/>
    <e v="#NAME?"/>
    <m/>
    <m/>
    <m/>
    <m/>
    <m/>
    <n v="0"/>
  </r>
  <r>
    <s v="C802977"/>
    <s v="YULY MARCELA OVALLE GOMEZ"/>
    <s v="CORE"/>
    <x v="9"/>
    <x v="0"/>
    <e v="#NAME?"/>
    <s v="SDATOOL-41766 $ DUALIDAD CUENTAS AFC NÁCAR HOST Y CANALES DIGITALES"/>
    <n v="0.1"/>
    <x v="1"/>
    <x v="1"/>
    <m/>
    <e v="#NAME?"/>
    <e v="#NAME?"/>
    <e v="#NAME?"/>
    <m/>
    <m/>
    <m/>
    <m/>
    <m/>
    <n v="0"/>
  </r>
  <r>
    <s v="C802977"/>
    <s v="YULY MARCELA OVALLE GOMEZ"/>
    <s v="CORE"/>
    <x v="9"/>
    <x v="0"/>
    <e v="#NAME?"/>
    <s v="SDATOOL-41029 $ IATAPAY"/>
    <n v="0.1"/>
    <x v="1"/>
    <x v="1"/>
    <m/>
    <e v="#NAME?"/>
    <e v="#NAME?"/>
    <e v="#NAME?"/>
    <m/>
    <m/>
    <m/>
    <m/>
    <m/>
    <n v="0"/>
  </r>
  <r>
    <s v="C802977"/>
    <s v="YULY MARCELA OVALLE GOMEZ"/>
    <s v="CORE"/>
    <x v="9"/>
    <x v="0"/>
    <e v="#NAME?"/>
    <s v="SDATOOL-40545 $ GRM Col - Mejoras Evolutivas de Aplicativos y Herramientas de Riesgos 2023"/>
    <n v="0.1"/>
    <x v="1"/>
    <x v="1"/>
    <m/>
    <e v="#NAME?"/>
    <e v="#NAME?"/>
    <e v="#NAME?"/>
    <m/>
    <m/>
    <m/>
    <m/>
    <m/>
    <n v="0"/>
  </r>
  <r>
    <s v="C802977"/>
    <s v="YULY MARCELA OVALLE GOMEZ"/>
    <s v="CORE"/>
    <x v="9"/>
    <x v="0"/>
    <e v="#NAME?"/>
    <s v="SDATOOL-39506 $ Cuenta Sostenible"/>
    <n v="0.1"/>
    <x v="1"/>
    <x v="1"/>
    <m/>
    <e v="#NAME?"/>
    <e v="#NAME?"/>
    <e v="#NAME?"/>
    <m/>
    <m/>
    <m/>
    <m/>
    <m/>
    <n v="0"/>
  </r>
  <r>
    <s v="C811410"/>
    <s v="MICHAEL CESAR LLANES POLO"/>
    <s v="CFS"/>
    <x v="8"/>
    <x v="0"/>
    <e v="#NAME?"/>
    <s v="SDATOOL-28473 $ GRM Col - TMP Cobranzas - Módulo control acuerdos de pago"/>
    <n v="1"/>
    <x v="0"/>
    <x v="2"/>
    <m/>
    <e v="#NAME?"/>
    <e v="#NAME?"/>
    <e v="#NAME?"/>
    <m/>
    <m/>
    <m/>
    <m/>
    <m/>
    <m/>
  </r>
  <r>
    <s v="O000100"/>
    <s v="LICETH YHOMARY GONZALEZ PENAGOS"/>
    <s v="CFS"/>
    <x v="8"/>
    <x v="0"/>
    <e v="#NAME?"/>
    <s v="SDATOOL-40658 $ GRM Col - Cronos Collections - Estrategia"/>
    <n v="0.75"/>
    <x v="0"/>
    <x v="2"/>
    <m/>
    <e v="#NAME?"/>
    <e v="#NAME?"/>
    <e v="#NAME?"/>
    <m/>
    <m/>
    <m/>
    <m/>
    <m/>
    <m/>
  </r>
  <r>
    <s v="O000100"/>
    <s v="LICETH YHOMARY GONZALEZ PENAGOS"/>
    <s v="CFS"/>
    <x v="8"/>
    <x v="0"/>
    <e v="#NAME?"/>
    <s v="NOSDA $ BAU (Mantenimiento y peq. evolutivos)"/>
    <n v="0.25"/>
    <x v="0"/>
    <x v="2"/>
    <m/>
    <e v="#NAME?"/>
    <e v="#NAME?"/>
    <e v="#NAME?"/>
    <m/>
    <m/>
    <m/>
    <m/>
    <m/>
    <m/>
  </r>
  <r>
    <s v="O001421"/>
    <s v="JULIAN ALBERTO HERRERA SALAZAR"/>
    <s v="CFS"/>
    <x v="8"/>
    <x v="0"/>
    <e v="#NAME?"/>
    <s v="SDATOOL-40658 $ GRM Col - Cronos Collections - Estrategia"/>
    <n v="0.5"/>
    <x v="0"/>
    <x v="2"/>
    <m/>
    <e v="#NAME?"/>
    <e v="#NAME?"/>
    <e v="#NAME?"/>
    <m/>
    <m/>
    <m/>
    <m/>
    <m/>
    <m/>
  </r>
  <r>
    <s v="O001421"/>
    <s v="JULIAN ALBERTO HERRERA SALAZAR"/>
    <s v="CFS"/>
    <x v="8"/>
    <x v="0"/>
    <e v="#NAME?"/>
    <s v="SDATOOL-28473 $ GRM Col - TMP Cobranzas - Módulo control acuerdos de pago"/>
    <n v="0.25"/>
    <x v="0"/>
    <x v="2"/>
    <m/>
    <e v="#NAME?"/>
    <e v="#NAME?"/>
    <e v="#NAME?"/>
    <m/>
    <m/>
    <m/>
    <m/>
    <m/>
    <m/>
  </r>
  <r>
    <s v="O001421"/>
    <s v="JULIAN ALBERTO HERRERA SALAZAR"/>
    <s v="CFS"/>
    <x v="8"/>
    <x v="0"/>
    <e v="#NAME?"/>
    <s v="NOSDA $ BAU (Mantenimiento y peq. evolutivos)"/>
    <n v="0.25"/>
    <x v="0"/>
    <x v="2"/>
    <m/>
    <e v="#NAME?"/>
    <e v="#NAME?"/>
    <e v="#NAME?"/>
    <m/>
    <m/>
    <m/>
    <m/>
    <m/>
    <m/>
  </r>
  <r>
    <s v="O001720"/>
    <s v="JOHN FERNANDO AREVALO BERMUDEZ"/>
    <s v="CFS"/>
    <x v="8"/>
    <x v="0"/>
    <e v="#NAME?"/>
    <s v="SDATOOL-28473 $ GRM Col - TMP Cobranzas - Módulo control acuerdos de pago"/>
    <n v="0.5"/>
    <x v="0"/>
    <x v="2"/>
    <m/>
    <e v="#NAME?"/>
    <e v="#NAME?"/>
    <e v="#NAME?"/>
    <m/>
    <m/>
    <m/>
    <m/>
    <m/>
    <m/>
  </r>
  <r>
    <s v="O001720"/>
    <s v="JOHN FERNANDO AREVALO BERMUDEZ"/>
    <s v="CFS"/>
    <x v="8"/>
    <x v="0"/>
    <e v="#NAME?"/>
    <s v="NOSDA $ BAU (Mantenimiento y peq. evolutivos)"/>
    <n v="0.25"/>
    <x v="0"/>
    <x v="2"/>
    <m/>
    <e v="#NAME?"/>
    <e v="#NAME?"/>
    <e v="#NAME?"/>
    <m/>
    <m/>
    <m/>
    <m/>
    <m/>
    <m/>
  </r>
  <r>
    <s v="O001720"/>
    <s v="JOHN FERNANDO AREVALO BERMUDEZ"/>
    <s v="CFS"/>
    <x v="8"/>
    <x v="0"/>
    <e v="#NAME?"/>
    <s v="SDATOOL-29029 $ EBA Guidelines (NDoD/PD/LGD) - Colombia"/>
    <n v="0.25"/>
    <x v="0"/>
    <x v="2"/>
    <m/>
    <e v="#NAME?"/>
    <e v="#NAME?"/>
    <e v="#NAME?"/>
    <m/>
    <m/>
    <m/>
    <m/>
    <m/>
    <m/>
  </r>
  <r>
    <s v="T003443"/>
    <s v="DANIELA ALEJANDRA ROMERO CANGREJO"/>
    <s v="CFS"/>
    <x v="8"/>
    <x v="12"/>
    <e v="#NAME?"/>
    <s v="SDATOOL-28473 $ GRM Col - TMP Cobranzas - Módulo control acuerdos de pago"/>
    <n v="0.5"/>
    <x v="2"/>
    <x v="2"/>
    <m/>
    <e v="#NAME?"/>
    <e v="#NAME?"/>
    <e v="#NAME?"/>
    <m/>
    <m/>
    <m/>
    <m/>
    <m/>
    <m/>
  </r>
  <r>
    <s v="T003443"/>
    <s v="DANIELA ALEJANDRA ROMERO CANGREJO"/>
    <s v="CFS"/>
    <x v="8"/>
    <x v="12"/>
    <e v="#NAME?"/>
    <s v="NOSDA $ BAU (Mantenimiento y peq. evolutivos)"/>
    <n v="0.4"/>
    <x v="2"/>
    <x v="2"/>
    <m/>
    <e v="#NAME?"/>
    <e v="#NAME?"/>
    <e v="#NAME?"/>
    <m/>
    <m/>
    <m/>
    <m/>
    <m/>
    <m/>
  </r>
  <r>
    <s v="T003443"/>
    <s v="DANIELA ALEJANDRA ROMERO CANGREJO"/>
    <s v="CFS"/>
    <x v="8"/>
    <x v="12"/>
    <e v="#NAME?"/>
    <s v="SDATOOL-29029 $ EBA Guidelines (NDoD/PD/LGD) - Colombia"/>
    <n v="0.1"/>
    <x v="2"/>
    <x v="2"/>
    <m/>
    <e v="#NAME?"/>
    <e v="#NAME?"/>
    <e v="#NAME?"/>
    <m/>
    <m/>
    <m/>
    <m/>
    <m/>
    <m/>
  </r>
  <r>
    <s v="C811301"/>
    <s v="MARIANELLA FANDIÑO NIETO"/>
    <s v="CFS"/>
    <x v="8"/>
    <x v="0"/>
    <e v="#NAME?"/>
    <s v="SDATOOL-28473 $ GRM Col - TMP Cobranzas - Módulo control acuerdos de pago"/>
    <n v="0.3"/>
    <x v="1"/>
    <x v="2"/>
    <m/>
    <e v="#NAME?"/>
    <e v="#NAME?"/>
    <e v="#NAME?"/>
    <m/>
    <m/>
    <m/>
    <m/>
    <m/>
    <m/>
  </r>
  <r>
    <s v="C811301"/>
    <s v="MARIANELLA FANDIÑO NIETO"/>
    <s v="CFS"/>
    <x v="8"/>
    <x v="0"/>
    <e v="#NAME?"/>
    <s v="SDATOOL-40658 $ GRM Col - Cronos Collections - Estrategia"/>
    <n v="0.4"/>
    <x v="1"/>
    <x v="2"/>
    <m/>
    <e v="#NAME?"/>
    <e v="#NAME?"/>
    <e v="#NAME?"/>
    <m/>
    <m/>
    <m/>
    <m/>
    <m/>
    <m/>
  </r>
  <r>
    <s v="C811301"/>
    <s v="MARIANELLA FANDIÑO NIETO"/>
    <s v="CFS"/>
    <x v="8"/>
    <x v="0"/>
    <e v="#NAME?"/>
    <s v="NOSDA $ BAU (Mantenimiento y peq. evolutivos)"/>
    <n v="0.2"/>
    <x v="1"/>
    <x v="2"/>
    <m/>
    <e v="#NAME?"/>
    <e v="#NAME?"/>
    <e v="#NAME?"/>
    <m/>
    <m/>
    <m/>
    <m/>
    <m/>
    <m/>
  </r>
  <r>
    <s v="C811301"/>
    <s v="MARIANELLA FANDIÑO NIETO"/>
    <s v="CFS"/>
    <x v="8"/>
    <x v="0"/>
    <e v="#NAME?"/>
    <s v="SDATOOL-29029 $ EBA Guidelines (NDoD/PD/LGD) - Colombia"/>
    <n v="0.1"/>
    <x v="1"/>
    <x v="2"/>
    <m/>
    <e v="#NAME?"/>
    <e v="#NAME?"/>
    <e v="#NAME?"/>
    <m/>
    <m/>
    <m/>
    <m/>
    <m/>
    <m/>
  </r>
  <r>
    <s v="C804706"/>
    <s v="BAUTISTA MOLINA, LINA MARCELA"/>
    <s v="CFS"/>
    <x v="8"/>
    <x v="0"/>
    <e v="#NAME?"/>
    <s v="SDATOOL-40545 $ GRM Col - Mejoras Evolutivas de Aplicativos y Herramientas de Riesgos 2023"/>
    <n v="0.8"/>
    <x v="0"/>
    <x v="2"/>
    <m/>
    <e v="#NAME?"/>
    <e v="#NAME?"/>
    <e v="#NAME?"/>
    <m/>
    <m/>
    <m/>
    <m/>
    <m/>
    <m/>
  </r>
  <r>
    <s v="C804706"/>
    <s v="BAUTISTA MOLINA, LINA MARCELA"/>
    <s v="CFS"/>
    <x v="8"/>
    <x v="0"/>
    <e v="#NAME?"/>
    <s v="SDATOOL-42098 $ GRM Col CRONOS Batch - Campañas SMeS"/>
    <n v="0.2"/>
    <x v="0"/>
    <x v="2"/>
    <m/>
    <e v="#NAME?"/>
    <e v="#NAME?"/>
    <e v="#NAME?"/>
    <m/>
    <m/>
    <m/>
    <m/>
    <m/>
    <m/>
  </r>
  <r>
    <s v="C808756"/>
    <s v="BUITRAGO GUALTEROS, ANDRES FELIPE"/>
    <s v="CFS"/>
    <x v="8"/>
    <x v="0"/>
    <e v="#NAME?"/>
    <s v="SDATOOL-39836 $ Vivienda digital fase III"/>
    <n v="0.2"/>
    <x v="0"/>
    <x v="0"/>
    <m/>
    <e v="#NAME?"/>
    <e v="#NAME?"/>
    <e v="#NAME?"/>
    <m/>
    <m/>
    <m/>
    <m/>
    <m/>
    <m/>
  </r>
  <r>
    <s v="C808756"/>
    <s v="BUITRAGO GUALTEROS, ANDRES FELIPE"/>
    <s v="CFS"/>
    <x v="8"/>
    <x v="0"/>
    <e v="#NAME?"/>
    <s v="SDATOOL-40545 $ GRM Col - Mejoras Evolutivas de Aplicativos y Herramientas de Riesgos 2023"/>
    <n v="0.7"/>
    <x v="0"/>
    <x v="0"/>
    <m/>
    <e v="#NAME?"/>
    <e v="#NAME?"/>
    <e v="#NAME?"/>
    <m/>
    <m/>
    <m/>
    <m/>
    <m/>
    <m/>
  </r>
  <r>
    <s v="C808756"/>
    <s v="BUITRAGO GUALTEROS, ANDRES FELIPE"/>
    <s v="CFS"/>
    <x v="8"/>
    <x v="0"/>
    <e v="#NAME?"/>
    <s v="SDATOOL-41457 $ NGA - Colombia. EWS (ARCE)"/>
    <n v="0.1"/>
    <x v="0"/>
    <x v="0"/>
    <m/>
    <e v="#NAME?"/>
    <e v="#NAME?"/>
    <e v="#NAME?"/>
    <m/>
    <m/>
    <m/>
    <m/>
    <m/>
    <m/>
  </r>
  <r>
    <s v="C809517"/>
    <s v="VARGAS PEREZ, WENDY MARITZA"/>
    <s v="CFS"/>
    <x v="8"/>
    <x v="0"/>
    <e v="#NAME?"/>
    <s v="SDATOOL-39836 $ Vivienda digital fase III"/>
    <n v="0.8"/>
    <x v="0"/>
    <x v="0"/>
    <m/>
    <e v="#NAME?"/>
    <e v="#NAME?"/>
    <e v="#NAME?"/>
    <m/>
    <m/>
    <m/>
    <m/>
    <m/>
    <m/>
  </r>
  <r>
    <s v="C809517"/>
    <s v="VARGAS PEREZ, WENDY MARITZA"/>
    <s v="CFS"/>
    <x v="8"/>
    <x v="0"/>
    <e v="#NAME?"/>
    <s v="SDATOOL-39272 $ GRM-Col-Cambio servicio APL (Aportes en línea)"/>
    <n v="0.2"/>
    <x v="0"/>
    <x v="0"/>
    <m/>
    <e v="#NAME?"/>
    <e v="#NAME?"/>
    <e v="#NAME?"/>
    <m/>
    <m/>
    <m/>
    <m/>
    <m/>
    <m/>
  </r>
  <r>
    <s v="C811315"/>
    <s v="LOZANO BELTRAN, WILLIAM EDUARDO"/>
    <s v="CFS"/>
    <x v="8"/>
    <x v="0"/>
    <e v="#NAME?"/>
    <s v="SDATOOL-39272 $ GRM-Col-Cambio servicio APL (Aportes en línea)"/>
    <n v="0.8"/>
    <x v="0"/>
    <x v="0"/>
    <m/>
    <e v="#NAME?"/>
    <e v="#NAME?"/>
    <e v="#NAME?"/>
    <m/>
    <m/>
    <m/>
    <m/>
    <m/>
    <m/>
  </r>
  <r>
    <s v="C811315"/>
    <s v="LOZANO BELTRAN, WILLIAM EDUARDO"/>
    <s v="CFS"/>
    <x v="8"/>
    <x v="0"/>
    <e v="#NAME?"/>
    <s v="NOSDA $ BAU (Mantenimiento y peq. evolutivos)"/>
    <n v="0.2"/>
    <x v="0"/>
    <x v="0"/>
    <m/>
    <e v="#NAME?"/>
    <e v="#NAME?"/>
    <e v="#NAME?"/>
    <m/>
    <m/>
    <m/>
    <m/>
    <m/>
    <m/>
  </r>
  <r>
    <s v="CE66885"/>
    <s v="ROJAS VILLEGAS, ADRIAN"/>
    <s v="CFS"/>
    <x v="8"/>
    <x v="16"/>
    <e v="#NAME?"/>
    <s v="SDATOOL-39836 $ Vivienda digital fase III"/>
    <n v="0.5"/>
    <x v="0"/>
    <x v="0"/>
    <m/>
    <e v="#NAME?"/>
    <e v="#NAME?"/>
    <e v="#NAME?"/>
    <m/>
    <m/>
    <m/>
    <m/>
    <m/>
    <m/>
  </r>
  <r>
    <s v="CE57060"/>
    <s v="MORENO HERNANDEZ, KAREN ANDREA"/>
    <s v="CFS"/>
    <x v="8"/>
    <x v="9"/>
    <e v="#NAME?"/>
    <s v="SDATOOL-40545 $ GRM Col - Mejoras Evolutivas de Aplicativos y Herramientas de Riesgos 2023"/>
    <n v="0.5"/>
    <x v="2"/>
    <x v="0"/>
    <m/>
    <e v="#NAME?"/>
    <e v="#NAME?"/>
    <e v="#NAME?"/>
    <m/>
    <m/>
    <m/>
    <m/>
    <m/>
    <m/>
  </r>
  <r>
    <s v="CE57060"/>
    <s v="MORENO HERNANDEZ, KAREN ANDREA"/>
    <s v="CFS"/>
    <x v="8"/>
    <x v="9"/>
    <e v="#NAME?"/>
    <s v="SDATOOL-39836 $ Vivienda digital fase III"/>
    <n v="0.5"/>
    <x v="2"/>
    <x v="0"/>
    <m/>
    <e v="#NAME?"/>
    <e v="#NAME?"/>
    <e v="#NAME?"/>
    <m/>
    <m/>
    <m/>
    <m/>
    <m/>
    <m/>
  </r>
  <r>
    <s v="T006700"/>
    <s v="VEGA ROZO, EMANUEL"/>
    <s v="CFS"/>
    <x v="8"/>
    <x v="1"/>
    <e v="#NAME?"/>
    <s v="SDATOOL-39272 $ GRM-Col-Cambio servicio APL (Aportes en línea)"/>
    <n v="0.5"/>
    <x v="2"/>
    <x v="0"/>
    <m/>
    <e v="#NAME?"/>
    <e v="#NAME?"/>
    <e v="#NAME?"/>
    <m/>
    <m/>
    <m/>
    <m/>
    <m/>
    <m/>
  </r>
  <r>
    <s v="T006700"/>
    <s v="VEGA ROZO, EMANUEL"/>
    <s v="CFS"/>
    <x v="8"/>
    <x v="1"/>
    <e v="#NAME?"/>
    <s v="SDATOOL-40545 $ GRM Col - Mejoras Evolutivas de Aplicativos y Herramientas de Riesgos 2023"/>
    <n v="0.5"/>
    <x v="2"/>
    <x v="0"/>
    <m/>
    <e v="#NAME?"/>
    <e v="#NAME?"/>
    <e v="#NAME?"/>
    <m/>
    <m/>
    <m/>
    <m/>
    <m/>
    <m/>
  </r>
  <r>
    <s v="C811280"/>
    <s v="SUAREZ RESTREPO, DIANA MARCELA"/>
    <s v="CFS"/>
    <x v="8"/>
    <x v="0"/>
    <e v="#NAME?"/>
    <s v="SDATOOL-39836 $ Vivienda digital fase III"/>
    <n v="0.25"/>
    <x v="1"/>
    <x v="0"/>
    <m/>
    <e v="#NAME?"/>
    <e v="#NAME?"/>
    <e v="#NAME?"/>
    <m/>
    <m/>
    <m/>
    <m/>
    <m/>
    <m/>
  </r>
  <r>
    <s v="C811280"/>
    <s v="SUAREZ RESTREPO, DIANA MARCELA"/>
    <s v="CFS"/>
    <x v="8"/>
    <x v="0"/>
    <e v="#NAME?"/>
    <s v="SDATOOL-40545 $ GRM Col - Mejoras Evolutivas de Aplicativos y Herramientas de Riesgos 2023"/>
    <n v="0.4"/>
    <x v="1"/>
    <x v="0"/>
    <m/>
    <e v="#NAME?"/>
    <e v="#NAME?"/>
    <e v="#NAME?"/>
    <m/>
    <m/>
    <m/>
    <m/>
    <m/>
    <m/>
  </r>
  <r>
    <s v="C811280"/>
    <s v="SUAREZ RESTREPO, DIANA MARCELA"/>
    <s v="CFS"/>
    <x v="8"/>
    <x v="0"/>
    <e v="#NAME?"/>
    <s v="SDATOOL-39272 $ GRM-Col-Cambio servicio APL (Aportes en línea)"/>
    <n v="0.25"/>
    <x v="1"/>
    <x v="0"/>
    <m/>
    <e v="#NAME?"/>
    <e v="#NAME?"/>
    <e v="#NAME?"/>
    <m/>
    <m/>
    <m/>
    <m/>
    <m/>
    <m/>
  </r>
  <r>
    <s v="C811280"/>
    <s v="SUAREZ RESTREPO, DIANA MARCELA"/>
    <s v="CFS"/>
    <x v="8"/>
    <x v="0"/>
    <e v="#NAME?"/>
    <s v="SDATOOL-41457 $ NGA - Colombia. EWS (ARCE)"/>
    <n v="0.1"/>
    <x v="1"/>
    <x v="0"/>
    <m/>
    <e v="#NAME?"/>
    <e v="#NAME?"/>
    <e v="#NAME?"/>
    <m/>
    <m/>
    <m/>
    <m/>
    <m/>
    <m/>
  </r>
  <r>
    <s v="O001828"/>
    <s v="GILDARDO AGUIRRE RIOS"/>
    <s v="CFS"/>
    <x v="8"/>
    <x v="0"/>
    <e v="#NAME?"/>
    <s v="NOSDA $ BAU (Mantenimiento y peq. evolutivos)"/>
    <n v="1"/>
    <x v="0"/>
    <x v="2"/>
    <m/>
    <e v="#NAME?"/>
    <e v="#NAME?"/>
    <e v="#NAME?"/>
    <m/>
    <m/>
    <m/>
    <m/>
    <m/>
    <m/>
  </r>
  <r>
    <s v="C811394"/>
    <s v="ANDRES FELIPE PADILLA ROJAS"/>
    <s v="CFS"/>
    <x v="8"/>
    <x v="0"/>
    <e v="#NAME?"/>
    <s v="NOSDA $ BAU (Mantenimiento y peq. evolutivos)"/>
    <n v="0.75"/>
    <x v="0"/>
    <x v="2"/>
    <m/>
    <e v="#NAME?"/>
    <e v="#NAME?"/>
    <e v="#NAME?"/>
    <m/>
    <m/>
    <m/>
    <m/>
    <m/>
    <m/>
  </r>
  <r>
    <s v="C811394"/>
    <s v="ANDRES FELIPE PADILLA ROJAS"/>
    <s v="CFS"/>
    <x v="8"/>
    <x v="0"/>
    <e v="#NAME?"/>
    <s v="SDATOOL-40545 $ GRM Col - Mejoras Evolutivas de Aplicativos y Herramientas de Riesgos 2023"/>
    <n v="0.25"/>
    <x v="0"/>
    <x v="2"/>
    <m/>
    <e v="#NAME?"/>
    <e v="#NAME?"/>
    <e v="#NAME?"/>
    <m/>
    <m/>
    <m/>
    <m/>
    <m/>
    <m/>
  </r>
  <r>
    <s v="O002998"/>
    <s v="MARCO FABIAN ZABALA VILLANUEVA"/>
    <s v="CFS"/>
    <x v="8"/>
    <x v="0"/>
    <e v="#NAME?"/>
    <s v="NOSDA $ BAU (Mantenimiento y peq. evolutivos)"/>
    <n v="1"/>
    <x v="0"/>
    <x v="0"/>
    <m/>
    <e v="#NAME?"/>
    <e v="#NAME?"/>
    <e v="#NAME?"/>
    <m/>
    <m/>
    <m/>
    <m/>
    <m/>
    <m/>
  </r>
  <r>
    <s v="CE66758"/>
    <s v="JAIRO LEON ESPITIA BOTIA"/>
    <s v="CFS"/>
    <x v="8"/>
    <x v="5"/>
    <e v="#NAME?"/>
    <s v="NOSDA $ BAU (Mantenimiento y peq. evolutivos)"/>
    <n v="1"/>
    <x v="0"/>
    <x v="2"/>
    <m/>
    <e v="#NAME?"/>
    <e v="#NAME?"/>
    <e v="#NAME?"/>
    <m/>
    <m/>
    <m/>
    <m/>
    <m/>
    <m/>
  </r>
  <r>
    <s v="T004057"/>
    <s v="NANCY YASMIDA REATIGA CARVAJAL"/>
    <s v="CFS"/>
    <x v="8"/>
    <x v="5"/>
    <e v="#NAME?"/>
    <s v="NOSDA $ BAU (Mantenimiento y peq. evolutivos)"/>
    <n v="1"/>
    <x v="0"/>
    <x v="0"/>
    <m/>
    <e v="#NAME?"/>
    <e v="#NAME?"/>
    <e v="#NAME?"/>
    <m/>
    <m/>
    <m/>
    <m/>
    <m/>
    <m/>
  </r>
  <r>
    <s v="C811251"/>
    <s v="ANGELA LILIANA SAENZ FAJARDO"/>
    <s v="CFS"/>
    <x v="8"/>
    <x v="0"/>
    <e v="#NAME?"/>
    <s v="NOSDA $ BAU (Mantenimiento y peq. evolutivos)"/>
    <n v="1"/>
    <x v="1"/>
    <x v="1"/>
    <m/>
    <e v="#NAME?"/>
    <e v="#NAME?"/>
    <e v="#NAME?"/>
    <m/>
    <m/>
    <m/>
    <m/>
    <m/>
    <m/>
  </r>
  <r>
    <s v="T007576"/>
    <s v="Juan camilo velasquez mantilla"/>
    <s v="CFS"/>
    <x v="8"/>
    <x v="5"/>
    <e v="#NAME?"/>
    <s v="NOSDA $ BAU (Mantenimiento y peq. evolutivos)"/>
    <n v="0.5"/>
    <x v="0"/>
    <x v="0"/>
    <m/>
    <e v="#NAME?"/>
    <e v="#NAME?"/>
    <e v="#NAME?"/>
    <m/>
    <m/>
    <m/>
    <m/>
    <m/>
    <m/>
  </r>
  <r>
    <s v="O001037"/>
    <s v="ANDRES CAMILO PARRA SUAREZ"/>
    <s v="CFS"/>
    <x v="8"/>
    <x v="0"/>
    <e v="#NAME?"/>
    <s v="SDATOOL-41203 $ Obsolescencia Aplicativa 2023"/>
    <n v="0.5"/>
    <x v="0"/>
    <x v="0"/>
    <m/>
    <e v="#NAME?"/>
    <e v="#NAME?"/>
    <e v="#NAME?"/>
    <m/>
    <m/>
    <m/>
    <m/>
    <m/>
    <m/>
  </r>
  <r>
    <s v="O001037"/>
    <s v="ANDRES CAMILO PARRA SUAREZ"/>
    <s v="CFS"/>
    <x v="8"/>
    <x v="0"/>
    <e v="#NAME?"/>
    <s v="SDATOOL-42098 $ GRM Col CRONOS Batch - Campañas SMeS"/>
    <n v="0.5"/>
    <x v="0"/>
    <x v="0"/>
    <m/>
    <e v="#NAME?"/>
    <e v="#NAME?"/>
    <e v="#NAME?"/>
    <m/>
    <m/>
    <m/>
    <m/>
    <m/>
    <m/>
  </r>
  <r>
    <s v="C805314"/>
    <s v="NELSON LEONEL FONSECA OCHOA"/>
    <s v="CFS"/>
    <x v="8"/>
    <x v="0"/>
    <e v="#NAME?"/>
    <s v="SDATOOL-29029 $ EBA Guidelines (NDoD/PD/LGD) - Colombia"/>
    <n v="0.9"/>
    <x v="0"/>
    <x v="0"/>
    <m/>
    <e v="#NAME?"/>
    <e v="#NAME?"/>
    <e v="#NAME?"/>
    <m/>
    <m/>
    <m/>
    <m/>
    <m/>
    <m/>
  </r>
  <r>
    <s v="C805314"/>
    <s v="NELSON LEONEL FONSECA OCHOA"/>
    <s v="CFS"/>
    <x v="8"/>
    <x v="0"/>
    <e v="#NAME?"/>
    <s v="SDATOOL-29029 $ EBA Guidelines (NDoD/PD/LGD) - Colombia"/>
    <n v="0.1"/>
    <x v="0"/>
    <x v="0"/>
    <m/>
    <e v="#NAME?"/>
    <e v="#NAME?"/>
    <e v="#NAME?"/>
    <m/>
    <m/>
    <m/>
    <m/>
    <m/>
    <m/>
  </r>
  <r>
    <s v="CE68712"/>
    <s v="EDWARD STIVEN RODRIGUEZ MORENO"/>
    <s v="CFS"/>
    <x v="8"/>
    <x v="13"/>
    <e v="#NAME?"/>
    <s v="SDATOOL-29029 $ EBA Guidelines (NDoD/PD/LGD) - Colombia"/>
    <n v="0.3"/>
    <x v="0"/>
    <x v="1"/>
    <m/>
    <e v="#NAME?"/>
    <e v="#NAME?"/>
    <e v="#NAME?"/>
    <m/>
    <m/>
    <m/>
    <m/>
    <m/>
    <m/>
  </r>
  <r>
    <s v="CE57396"/>
    <s v="JUAN PABLO AREVALO MERCHAN"/>
    <s v="CFS"/>
    <x v="8"/>
    <x v="13"/>
    <e v="#NAME?"/>
    <s v="SDATOOL-29029 $ EBA Guidelines (NDoD/PD/LGD) - Colombia"/>
    <n v="0.3"/>
    <x v="0"/>
    <x v="1"/>
    <m/>
    <e v="#NAME?"/>
    <e v="#NAME?"/>
    <e v="#NAME?"/>
    <m/>
    <m/>
    <m/>
    <m/>
    <m/>
    <m/>
  </r>
  <r>
    <s v="O002482"/>
    <s v="SERGIO ANDRES SEPULVEDA CRUZ"/>
    <s v="CFS"/>
    <x v="8"/>
    <x v="0"/>
    <e v="#NAME?"/>
    <s v="SDATOOL-39272 $ GRM-Col-Cambio servicio APL (Aportes en línea)"/>
    <n v="0.5"/>
    <x v="0"/>
    <x v="0"/>
    <m/>
    <e v="#NAME?"/>
    <e v="#NAME?"/>
    <e v="#NAME?"/>
    <m/>
    <m/>
    <m/>
    <m/>
    <m/>
    <m/>
  </r>
  <r>
    <s v="O002482"/>
    <s v="SERGIO ANDRES SEPULVEDA CRUZ"/>
    <s v="CFS"/>
    <x v="8"/>
    <x v="0"/>
    <e v="#NAME?"/>
    <s v="SDATOOL-39463 $ GRM Col - Actualización Versión Power Curve."/>
    <n v="0.5"/>
    <x v="0"/>
    <x v="0"/>
    <m/>
    <e v="#NAME?"/>
    <e v="#NAME?"/>
    <e v="#NAME?"/>
    <m/>
    <m/>
    <m/>
    <m/>
    <m/>
    <m/>
  </r>
  <r>
    <s v="C811279"/>
    <s v="FREDY MAURICIO CELY HERNÁNDEZ"/>
    <s v="CFS"/>
    <x v="8"/>
    <x v="0"/>
    <e v="#NAME?"/>
    <s v="SDATOOL-41203 $ Obsolescencia Aplicativa 2023"/>
    <n v="0.3"/>
    <x v="1"/>
    <x v="0"/>
    <m/>
    <e v="#NAME?"/>
    <e v="#NAME?"/>
    <e v="#NAME?"/>
    <m/>
    <m/>
    <m/>
    <m/>
    <m/>
    <m/>
  </r>
  <r>
    <s v="C811279"/>
    <s v="FREDY MAURICIO CELY HERNÁNDEZ"/>
    <s v="CFS"/>
    <x v="8"/>
    <x v="0"/>
    <e v="#NAME?"/>
    <s v="SDATOOL-29029 $ EBA Guidelines (NDoD/PD/LGD) - Colombia"/>
    <n v="0.3"/>
    <x v="1"/>
    <x v="0"/>
    <m/>
    <e v="#NAME?"/>
    <e v="#NAME?"/>
    <e v="#NAME?"/>
    <m/>
    <m/>
    <m/>
    <m/>
    <m/>
    <m/>
  </r>
  <r>
    <s v="C811279"/>
    <s v="FREDY MAURICIO CELY HERNÁNDEZ"/>
    <s v="CFS"/>
    <x v="8"/>
    <x v="0"/>
    <e v="#NAME?"/>
    <s v="SDATOOL-39272 $ GRM-Col-Cambio servicio APL (Aportes en línea)"/>
    <n v="0.3"/>
    <x v="1"/>
    <x v="0"/>
    <m/>
    <e v="#NAME?"/>
    <e v="#NAME?"/>
    <e v="#NAME?"/>
    <m/>
    <m/>
    <m/>
    <m/>
    <m/>
    <m/>
  </r>
  <r>
    <s v="C811279"/>
    <s v="FREDY MAURICIO CELY HERNÁNDEZ"/>
    <s v="CFS"/>
    <x v="8"/>
    <x v="0"/>
    <e v="#NAME?"/>
    <s v="NOSDA $ BAU (Mantenimiento y peq. evolutivos)"/>
    <n v="0.1"/>
    <x v="1"/>
    <x v="0"/>
    <m/>
    <e v="#NAME?"/>
    <e v="#NAME?"/>
    <e v="#NAME?"/>
    <m/>
    <m/>
    <m/>
    <m/>
    <m/>
    <m/>
  </r>
  <r>
    <s v="C805717"/>
    <s v="ANDRES CAMILO BOHORQUEZ CASTILLO"/>
    <s v="ENTERPRISE"/>
    <x v="10"/>
    <x v="0"/>
    <e v="#NAME?"/>
    <s v="SDATOOL-39354 $ My business Open Pay - Plan Ascenso Mercurio"/>
    <n v="1"/>
    <x v="0"/>
    <x v="3"/>
    <s v="Interno"/>
    <e v="#NAME?"/>
    <e v="#NAME?"/>
    <e v="#NAME?"/>
    <m/>
    <m/>
    <m/>
    <m/>
    <m/>
    <m/>
  </r>
  <r>
    <s v="C810865"/>
    <s v="AUGUSTO CARDONA GIRALDO"/>
    <s v="ENTERPRISE"/>
    <x v="10"/>
    <x v="0"/>
    <e v="#NAME?"/>
    <s v="SDATOOL-41930 $ FX en GEMA"/>
    <n v="1"/>
    <x v="0"/>
    <x v="5"/>
    <s v="Interno"/>
    <e v="#NAME?"/>
    <e v="#NAME?"/>
    <e v="#NAME?"/>
    <m/>
    <m/>
    <m/>
    <m/>
    <m/>
    <m/>
  </r>
  <r>
    <s v="CE68863"/>
    <s v="JUAN CAMILO CASTANO RAMIREZ"/>
    <s v="ENTERPRISE"/>
    <x v="10"/>
    <x v="9"/>
    <e v="#NAME?"/>
    <s v="SDATOOL-40676 $ Contratación y uso de mPOS desde APPs BBVA"/>
    <n v="1"/>
    <x v="2"/>
    <x v="0"/>
    <s v="Externo"/>
    <e v="#NAME?"/>
    <e v="#NAME?"/>
    <e v="#NAME?"/>
    <m/>
    <m/>
    <m/>
    <m/>
    <m/>
    <m/>
  </r>
  <r>
    <s v="CE68333"/>
    <s v="DANIEL FERNANDO DIAZ CACERES"/>
    <s v="ENTERPRISE"/>
    <x v="10"/>
    <x v="9"/>
    <e v="#NAME?"/>
    <s v="SDATOOL-32905 $ Global Enterprises Mobile App (GEMA)"/>
    <n v="1"/>
    <x v="2"/>
    <x v="0"/>
    <s v="Externo"/>
    <e v="#NAME?"/>
    <e v="#NAME?"/>
    <e v="#NAME?"/>
    <m/>
    <m/>
    <m/>
    <m/>
    <m/>
    <m/>
  </r>
  <r>
    <s v="C811398"/>
    <s v="EDISSON ARMANDO BLANCO SALAMANCA"/>
    <s v="ENTERPRISE"/>
    <x v="10"/>
    <x v="0"/>
    <e v="#NAME?"/>
    <s v="SDATOOL-39354 $ My business Open Pay - Plan Ascenso Mercurio"/>
    <n v="1"/>
    <x v="0"/>
    <x v="5"/>
    <s v="Interno"/>
    <e v="#NAME?"/>
    <e v="#NAME?"/>
    <e v="#NAME?"/>
    <m/>
    <m/>
    <m/>
    <m/>
    <m/>
    <m/>
  </r>
  <r>
    <s v="CE48026"/>
    <s v="GIOVANNY ALEXANDER PEÑA GUTIÉRREZ"/>
    <s v="ENTERPRISE"/>
    <x v="10"/>
    <x v="6"/>
    <e v="#NAME?"/>
    <s v="SDATOOL-39354 $ My business Open Pay - Plan Ascenso Mercurio"/>
    <n v="1"/>
    <x v="0"/>
    <x v="3"/>
    <s v="Externo"/>
    <e v="#NAME?"/>
    <e v="#NAME?"/>
    <e v="#NAME?"/>
    <m/>
    <m/>
    <m/>
    <m/>
    <m/>
    <m/>
  </r>
  <r>
    <s v="CE62622"/>
    <s v="HERNAN DARIO RAMOS ORTIZ"/>
    <s v="ENTERPRISE"/>
    <x v="10"/>
    <x v="6"/>
    <e v="#NAME?"/>
    <s v="SDATOOL-41930 $ FX en GEMA"/>
    <n v="1"/>
    <x v="0"/>
    <x v="3"/>
    <s v="Externo"/>
    <e v="#NAME?"/>
    <e v="#NAME?"/>
    <e v="#NAME?"/>
    <m/>
    <m/>
    <m/>
    <m/>
    <m/>
    <m/>
  </r>
  <r>
    <s v="CE68193"/>
    <s v="JOAN FEDERICO MARIN RUIZ"/>
    <s v="ENTERPRISE"/>
    <x v="10"/>
    <x v="1"/>
    <e v="#NAME?"/>
    <s v="SDATOOL-41930 $ FX en GEMA"/>
    <n v="1"/>
    <x v="2"/>
    <x v="3"/>
    <s v="Externo"/>
    <e v="#NAME?"/>
    <e v="#NAME?"/>
    <e v="#NAME?"/>
    <m/>
    <m/>
    <m/>
    <m/>
    <m/>
    <m/>
  </r>
  <r>
    <s v="CE65559"/>
    <s v="JOHN MARLON NUÑEZ NIÑO"/>
    <s v="ENTERPRISE"/>
    <x v="10"/>
    <x v="12"/>
    <e v="#NAME?"/>
    <s v="SDATOOL-32905 $ Global Enterprises Mobile App (GEMA)"/>
    <n v="1"/>
    <x v="0"/>
    <x v="3"/>
    <s v="Externo"/>
    <e v="#NAME?"/>
    <e v="#NAME?"/>
    <e v="#NAME?"/>
    <m/>
    <m/>
    <m/>
    <m/>
    <m/>
    <m/>
  </r>
  <r>
    <s v="C811355"/>
    <s v="JORGE ANDRES REINA ANGULO"/>
    <s v="ENTERPRISE"/>
    <x v="10"/>
    <x v="0"/>
    <e v="#NAME?"/>
    <s v="SDATOOL-39354 $ My business Open Pay - Plan Ascenso Mercurio"/>
    <n v="1"/>
    <x v="0"/>
    <x v="4"/>
    <s v="Interno"/>
    <e v="#NAME?"/>
    <e v="#NAME?"/>
    <e v="#NAME?"/>
    <m/>
    <m/>
    <m/>
    <m/>
    <m/>
    <m/>
  </r>
  <r>
    <s v="T007488"/>
    <s v="JUAN ESTEBAN ALARCON MIRANDA"/>
    <s v="ENTERPRISE"/>
    <x v="10"/>
    <x v="8"/>
    <e v="#NAME?"/>
    <s v="SDATOOL-41930 $ FX en GEMA"/>
    <n v="1"/>
    <x v="0"/>
    <x v="4"/>
    <s v="Externo"/>
    <e v="#NAME?"/>
    <e v="#NAME?"/>
    <e v="#NAME?"/>
    <m/>
    <m/>
    <m/>
    <m/>
    <m/>
    <m/>
  </r>
  <r>
    <s v="CE57488"/>
    <s v="JULIAN FERNANDO MARTINEZ RODRIGUEZ"/>
    <s v="ENTERPRISE"/>
    <x v="10"/>
    <x v="8"/>
    <e v="#NAME?"/>
    <s v="SDATOOL-41930 $ FX en GEMA"/>
    <n v="1"/>
    <x v="0"/>
    <x v="3"/>
    <s v="Externo"/>
    <e v="#NAME?"/>
    <e v="#NAME?"/>
    <e v="#NAME?"/>
    <m/>
    <m/>
    <m/>
    <m/>
    <m/>
    <m/>
  </r>
  <r>
    <s v="T011800"/>
    <s v="LEIDY CATERINE ARIZA BALLESTEROS"/>
    <s v="ENTERPRISE"/>
    <x v="10"/>
    <x v="6"/>
    <e v="#NAME?"/>
    <s v="SDATOOL-42211 $ Onboarding cash management Netcash/Gema"/>
    <n v="1"/>
    <x v="0"/>
    <x v="2"/>
    <s v="Externo"/>
    <e v="#NAME?"/>
    <e v="#NAME?"/>
    <e v="#NAME?"/>
    <m/>
    <m/>
    <m/>
    <m/>
    <m/>
    <m/>
  </r>
  <r>
    <s v="T011110"/>
    <s v="LUIS ALEJANDRO BURGOS"/>
    <s v="ENTERPRISE"/>
    <x v="10"/>
    <x v="8"/>
    <e v="#NAME?"/>
    <s v="SDATOOL-41930 $ FX en GEMA"/>
    <n v="1"/>
    <x v="0"/>
    <x v="5"/>
    <s v="Externo"/>
    <e v="#NAME?"/>
    <e v="#NAME?"/>
    <e v="#NAME?"/>
    <m/>
    <m/>
    <m/>
    <m/>
    <m/>
    <m/>
  </r>
  <r>
    <s v="CE29535"/>
    <s v="LUIS FERNANDO PEÑA CAICEDO"/>
    <s v="ENTERPRISE"/>
    <x v="10"/>
    <x v="5"/>
    <e v="#NAME?"/>
    <s v="SDATOOL-39354 $ My business Open Pay - Plan Ascenso Mercurio"/>
    <n v="1"/>
    <x v="0"/>
    <x v="0"/>
    <s v="Externo"/>
    <e v="#NAME?"/>
    <e v="#NAME?"/>
    <e v="#NAME?"/>
    <m/>
    <m/>
    <m/>
    <m/>
    <m/>
    <m/>
  </r>
  <r>
    <s v="C783731"/>
    <s v="MARCO JULIO GOMEZ AMADO"/>
    <s v="ENTERPRISE"/>
    <x v="10"/>
    <x v="0"/>
    <e v="#NAME?"/>
    <s v="SDATOOL-39354 $ My business Open Pay - Plan Ascenso Mercurio"/>
    <n v="0.5"/>
    <x v="1"/>
    <x v="2"/>
    <s v="Interno"/>
    <e v="#NAME?"/>
    <e v="#NAME?"/>
    <e v="#NAME?"/>
    <m/>
    <m/>
    <m/>
    <m/>
    <m/>
    <m/>
  </r>
  <r>
    <s v="C783731"/>
    <s v="MARCO JULIO GOMEZ AMADO"/>
    <s v="ENTERPRISE"/>
    <x v="10"/>
    <x v="0"/>
    <e v="#NAME?"/>
    <s v="SDATOOL-40676 $ Contratación y uso de mPOS desde APPs BBVA"/>
    <n v="0.5"/>
    <x v="1"/>
    <x v="2"/>
    <s v="Interno"/>
    <e v="#NAME?"/>
    <e v="#NAME?"/>
    <e v="#NAME?"/>
    <m/>
    <m/>
    <m/>
    <m/>
    <m/>
    <m/>
  </r>
  <r>
    <s v="CE30639"/>
    <s v="MARIO FERNANDO RAMIREZ LEGUIZAMON"/>
    <s v="ENTERPRISE"/>
    <x v="10"/>
    <x v="9"/>
    <e v="#NAME?"/>
    <s v="SDATOOL-42211 $ Onboarding cash management Netcash/Gema"/>
    <n v="0.5"/>
    <x v="2"/>
    <x v="0"/>
    <s v="Externo"/>
    <e v="#NAME?"/>
    <e v="#NAME?"/>
    <e v="#NAME?"/>
    <m/>
    <m/>
    <m/>
    <m/>
    <m/>
    <m/>
  </r>
  <r>
    <s v="CE30639"/>
    <s v="MARIO FERNANDO RAMIREZ LEGUIZAMON"/>
    <s v="ENTERPRISE"/>
    <x v="10"/>
    <x v="9"/>
    <e v="#NAME?"/>
    <s v="SDATOOL-32905 $ Global Enterprises Mobile App (GEMA)"/>
    <n v="0.5"/>
    <x v="2"/>
    <x v="0"/>
    <s v="Externo"/>
    <e v="#NAME?"/>
    <e v="#NAME?"/>
    <e v="#NAME?"/>
    <m/>
    <m/>
    <m/>
    <m/>
    <m/>
    <m/>
  </r>
  <r>
    <s v="XP60574"/>
    <s v="PEDRO MOLLEHUANCA TORRES"/>
    <s v="ENTERPRISE"/>
    <x v="10"/>
    <x v="8"/>
    <e v="#NAME?"/>
    <s v="SDATOOL-41930 $ FX en GEMA"/>
    <n v="1"/>
    <x v="0"/>
    <x v="5"/>
    <s v="Externo"/>
    <e v="#NAME?"/>
    <e v="#NAME?"/>
    <e v="#NAME?"/>
    <m/>
    <m/>
    <m/>
    <m/>
    <m/>
    <m/>
  </r>
  <r>
    <s v="CE70178 "/>
    <s v="SERGIO ANDRES BRAVO ROMERO"/>
    <s v="ENTERPRISE"/>
    <x v="10"/>
    <x v="12"/>
    <e v="#NAME?"/>
    <s v="SDATOOL-39354 $ My business Open Pay - Plan Ascenso Mercurio"/>
    <n v="1"/>
    <x v="0"/>
    <x v="4"/>
    <s v="Externo"/>
    <e v="#NAME?"/>
    <e v="#NAME?"/>
    <e v="#NAME?"/>
    <m/>
    <m/>
    <m/>
    <m/>
    <m/>
    <m/>
  </r>
  <r>
    <s v="T007666"/>
    <s v="TEDDY JEFERSON POVEDA SARAY"/>
    <s v="ENTERPRISE"/>
    <x v="10"/>
    <x v="9"/>
    <e v="#NAME?"/>
    <s v="SDATOOL-41930 $ FX en GEMA"/>
    <n v="1"/>
    <x v="0"/>
    <x v="0"/>
    <s v="Externo"/>
    <e v="#NAME?"/>
    <e v="#NAME?"/>
    <e v="#NAME?"/>
    <m/>
    <m/>
    <m/>
    <m/>
    <m/>
    <m/>
  </r>
  <r>
    <s v="C811395"/>
    <s v="VICTOR MANUEL PEREZ CONTRERAS"/>
    <s v="ENTERPRISE"/>
    <x v="10"/>
    <x v="0"/>
    <e v="#NAME?"/>
    <s v="SDATOOL-41930 $ FX en GEMA"/>
    <n v="1"/>
    <x v="0"/>
    <x v="4"/>
    <s v="Interno"/>
    <e v="#NAME?"/>
    <e v="#NAME?"/>
    <e v="#NAME?"/>
    <m/>
    <m/>
    <m/>
    <m/>
    <m/>
    <m/>
  </r>
  <r>
    <s v="C810827"/>
    <s v="WILLIAM CAMILO RUBIO QUINTERO"/>
    <s v="ENTERPRISE"/>
    <x v="10"/>
    <x v="0"/>
    <e v="#NAME?"/>
    <s v="SDATOOL-41930 $ FX en GEMA"/>
    <n v="1"/>
    <x v="1"/>
    <x v="3"/>
    <s v="Interno"/>
    <e v="#NAME?"/>
    <e v="#NAME?"/>
    <e v="#NAME?"/>
    <m/>
    <m/>
    <m/>
    <m/>
    <m/>
    <m/>
  </r>
  <r>
    <s v="C805746"/>
    <s v="LAURA NATHALY NIETO AMAYA"/>
    <s v="ENTERPRISE"/>
    <x v="10"/>
    <x v="0"/>
    <e v="#NAME?"/>
    <s v="SDATOOL-42211 $ Onboarding cash management Netcash/Gema"/>
    <n v="1"/>
    <x v="1"/>
    <x v="2"/>
    <s v="Interno"/>
    <e v="#NAME?"/>
    <e v="#NAME?"/>
    <e v="#NAME?"/>
    <m/>
    <m/>
    <m/>
    <m/>
    <m/>
    <m/>
  </r>
  <r>
    <s v="C804121"/>
    <s v="HECTOR JESUS SISO JIMENEZ"/>
    <s v="ENTERPRISE"/>
    <x v="10"/>
    <x v="0"/>
    <e v="#NAME?"/>
    <s v="SDATOOL-42211 $ Onboarding cash management Netcash/Gema"/>
    <n v="0.5"/>
    <x v="1"/>
    <x v="4"/>
    <s v="Interno"/>
    <e v="#NAME?"/>
    <e v="#NAME?"/>
    <e v="#NAME?"/>
    <m/>
    <m/>
    <m/>
    <m/>
    <m/>
    <m/>
  </r>
  <r>
    <s v="C804121"/>
    <s v="HECTOR JESUS SISO JIMENEZ"/>
    <s v="ENTERPRISE"/>
    <x v="10"/>
    <x v="0"/>
    <e v="#NAME?"/>
    <s v="NOSDA $ BAU (Mantenimiento y peq. evolutivos)"/>
    <n v="0.5"/>
    <x v="3"/>
    <x v="4"/>
    <m/>
    <e v="#NAME?"/>
    <e v="#NAME?"/>
    <e v="#NAME?"/>
    <m/>
    <m/>
    <m/>
    <m/>
    <m/>
    <m/>
  </r>
  <r>
    <s v="C811232"/>
    <s v="CARLOS ANDRES SUAREZ"/>
    <s v="ENTERPRISE"/>
    <x v="10"/>
    <x v="0"/>
    <e v="#NAME?"/>
    <s v="SDATOOL-40676 $ Contratación y uso de mPOS desde APPs BBVA"/>
    <n v="1"/>
    <x v="0"/>
    <x v="5"/>
    <m/>
    <e v="#NAME?"/>
    <e v="#NAME?"/>
    <e v="#NAME?"/>
    <m/>
    <m/>
    <m/>
    <m/>
    <m/>
    <m/>
  </r>
  <r>
    <s v="C811390"/>
    <s v="WILMAR CRUZ MORA"/>
    <s v="ENTERPRISE"/>
    <x v="10"/>
    <x v="0"/>
    <e v="#NAME?"/>
    <s v="NOSDA $ BAU (Mantenimiento y peq. evolutivos)"/>
    <n v="1"/>
    <x v="0"/>
    <x v="2"/>
    <m/>
    <e v="#NAME?"/>
    <e v="#NAME?"/>
    <e v="#NAME?"/>
    <m/>
    <m/>
    <m/>
    <m/>
    <m/>
    <m/>
  </r>
  <r>
    <s v="O002008"/>
    <s v="ANDRES ALBERTO ARIZA "/>
    <s v="ENTERPRISE"/>
    <x v="10"/>
    <x v="0"/>
    <e v="#NAME?"/>
    <s v="SDATOOL-40676 $ Contratación y uso de mPOS desde APPs BBVA"/>
    <n v="1"/>
    <x v="1"/>
    <x v="3"/>
    <m/>
    <e v="#NAME?"/>
    <e v="#NAME?"/>
    <e v="#NAME?"/>
    <m/>
    <m/>
    <m/>
    <m/>
    <m/>
    <m/>
  </r>
  <r>
    <s v="O001644"/>
    <s v="JOSE LUIS SARTA ALVAREZ"/>
    <s v="ENTERPRISE"/>
    <x v="10"/>
    <x v="0"/>
    <e v="#NAME?"/>
    <s v="NOSDA $ BAU (Mantenimiento y peq. evolutivos)"/>
    <n v="1"/>
    <x v="0"/>
    <x v="5"/>
    <m/>
    <e v="#NAME?"/>
    <e v="#NAME?"/>
    <e v="#NAME?"/>
    <m/>
    <m/>
    <m/>
    <m/>
    <m/>
    <m/>
  </r>
  <r>
    <s v="O004968"/>
    <s v="DANIEL FERNANDO USECHE"/>
    <s v="ENTERPRISE"/>
    <x v="10"/>
    <x v="0"/>
    <e v="#NAME?"/>
    <s v="NOSDA $ BAU (Mantenimiento y peq. evolutivos)"/>
    <n v="1"/>
    <x v="0"/>
    <x v="3"/>
    <m/>
    <e v="#NAME?"/>
    <e v="#NAME?"/>
    <e v="#NAME?"/>
    <m/>
    <m/>
    <m/>
    <m/>
    <m/>
    <m/>
  </r>
  <r>
    <s v="T011807"/>
    <s v="DARLY FERNANDA SANDOVAL PLAZAS"/>
    <s v="ENTERPRISE"/>
    <x v="10"/>
    <x v="6"/>
    <e v="#NAME?"/>
    <s v="SDATOOL-42211 $ Onboarding cash management Netcash/Gema"/>
    <n v="0.1"/>
    <x v="3"/>
    <x v="1"/>
    <m/>
    <e v="#NAME?"/>
    <e v="#NAME?"/>
    <e v="#NAME?"/>
    <m/>
    <m/>
    <m/>
    <m/>
    <m/>
    <m/>
  </r>
  <r>
    <s v="T011807"/>
    <s v="DARLY FERNANDA SANDOVAL PLAZAS"/>
    <s v="ENTERPRISE"/>
    <x v="10"/>
    <x v="6"/>
    <e v="#NAME?"/>
    <s v="SDATOOL-41930 $ FX en GEMA"/>
    <n v="0.15"/>
    <x v="3"/>
    <x v="1"/>
    <m/>
    <e v="#NAME?"/>
    <e v="#NAME?"/>
    <e v="#NAME?"/>
    <m/>
    <m/>
    <m/>
    <m/>
    <m/>
    <m/>
  </r>
  <r>
    <s v="T011807"/>
    <s v="DARLY FERNANDA SANDOVAL PLAZAS"/>
    <s v="ENTERPRISE"/>
    <x v="10"/>
    <x v="6"/>
    <e v="#NAME?"/>
    <s v="SDATOOL-39354 $ My business Open Pay - Plan Ascenso Mercurio"/>
    <n v="0.15"/>
    <x v="3"/>
    <x v="1"/>
    <m/>
    <e v="#NAME?"/>
    <e v="#NAME?"/>
    <e v="#NAME?"/>
    <m/>
    <m/>
    <m/>
    <m/>
    <m/>
    <m/>
  </r>
  <r>
    <s v="T011807"/>
    <s v="DARLY FERNANDA SANDOVAL PLAZAS"/>
    <s v="ENTERPRISE"/>
    <x v="10"/>
    <x v="6"/>
    <e v="#NAME?"/>
    <s v="SDATOOL-40676 $ Contratación y uso de mPOS desde APPs BBVA"/>
    <n v="0.15"/>
    <x v="3"/>
    <x v="1"/>
    <m/>
    <e v="#NAME?"/>
    <e v="#NAME?"/>
    <e v="#NAME?"/>
    <m/>
    <m/>
    <m/>
    <m/>
    <m/>
    <m/>
  </r>
  <r>
    <s v="T011807"/>
    <s v="DARLY FERNANDA SANDOVAL PLAZAS"/>
    <s v="ENTERPRISE"/>
    <x v="3"/>
    <x v="6"/>
    <e v="#NAME?"/>
    <s v="SDATOOL-40457 $ SENDA (Base)"/>
    <n v="0.15"/>
    <x v="3"/>
    <x v="1"/>
    <m/>
    <e v="#NAME?"/>
    <e v="#NAME?"/>
    <e v="#NAME?"/>
    <m/>
    <m/>
    <m/>
    <m/>
    <m/>
    <m/>
  </r>
  <r>
    <s v="T011807"/>
    <s v="DARLY FERNANDA SANDOVAL PLAZAS"/>
    <s v="ENTERPRISE"/>
    <x v="3"/>
    <x v="6"/>
    <e v="#NAME?"/>
    <s v="SDATOOL-40528 $ ETPB - SENDA PAGOS"/>
    <n v="0.15"/>
    <x v="3"/>
    <x v="1"/>
    <m/>
    <e v="#NAME?"/>
    <e v="#NAME?"/>
    <e v="#NAME?"/>
    <m/>
    <m/>
    <m/>
    <m/>
    <m/>
    <m/>
  </r>
  <r>
    <s v="T011807"/>
    <s v="DARLY FERNANDA SANDOVAL PLAZAS"/>
    <s v="ENTERPRISE"/>
    <x v="10"/>
    <x v="6"/>
    <e v="#NAME?"/>
    <s v="SDATOOL-41750 $ Single APP"/>
    <n v="0.15"/>
    <x v="3"/>
    <x v="1"/>
    <m/>
    <e v="#NAME?"/>
    <e v="#NAME?"/>
    <e v="#NAME?"/>
    <m/>
    <m/>
    <m/>
    <m/>
    <m/>
    <m/>
  </r>
  <r>
    <s v="CE51863"/>
    <s v="EDNA ROCIO MONCADA"/>
    <s v="ENTERPRISE"/>
    <x v="10"/>
    <x v="2"/>
    <e v="#NAME?"/>
    <s v="SDATOOL-42211 $ Onboarding cash management Netcash/Gema"/>
    <n v="7.0000000000000007E-2"/>
    <x v="2"/>
    <x v="0"/>
    <s v="QC"/>
    <e v="#NAME?"/>
    <e v="#NAME?"/>
    <e v="#NAME?"/>
    <e v="#N/A"/>
    <e v="#N/A"/>
    <e v="#REF!"/>
    <m/>
    <m/>
    <m/>
  </r>
  <r>
    <s v="CE51863"/>
    <s v="EDNA ROCIO MONCADA"/>
    <s v="ENTERPRISE"/>
    <x v="10"/>
    <x v="2"/>
    <e v="#NAME?"/>
    <s v="SDATOOL-41930 $ FX en GEMA"/>
    <n v="7.0000000000000007E-2"/>
    <x v="2"/>
    <x v="0"/>
    <s v="QC"/>
    <e v="#NAME?"/>
    <e v="#NAME?"/>
    <e v="#NAME?"/>
    <e v="#N/A"/>
    <e v="#N/A"/>
    <e v="#REF!"/>
    <m/>
    <m/>
    <m/>
  </r>
  <r>
    <s v="CE51863"/>
    <s v="EDNA ROCIO MONCADA"/>
    <s v="ENTERPRISE"/>
    <x v="10"/>
    <x v="2"/>
    <e v="#NAME?"/>
    <s v="SDATOOL-39354 $ My business Open Pay - Plan Ascenso Mercurio"/>
    <n v="7.0000000000000007E-2"/>
    <x v="2"/>
    <x v="0"/>
    <s v="QC"/>
    <e v="#NAME?"/>
    <e v="#NAME?"/>
    <e v="#NAME?"/>
    <e v="#N/A"/>
    <e v="#N/A"/>
    <e v="#REF!"/>
    <m/>
    <m/>
    <m/>
  </r>
  <r>
    <s v="CE51863"/>
    <s v="EDNA ROCIO MONCADA"/>
    <s v="ENTERPRISE"/>
    <x v="10"/>
    <x v="2"/>
    <e v="#NAME?"/>
    <s v="SDATOOL-40676 $ Contratación y uso de mPOS desde APPs BBVA"/>
    <n v="7.0000000000000007E-2"/>
    <x v="2"/>
    <x v="0"/>
    <s v="QC"/>
    <e v="#NAME?"/>
    <e v="#NAME?"/>
    <e v="#NAME?"/>
    <e v="#N/A"/>
    <e v="#N/A"/>
    <e v="#REF!"/>
    <m/>
    <m/>
    <m/>
  </r>
  <r>
    <s v="CE51863"/>
    <s v="EDNA ROCIO MONCADA"/>
    <s v="ENTERPRISE"/>
    <x v="3"/>
    <x v="2"/>
    <e v="#NAME?"/>
    <s v="SDATOOL-40457 $ SENDA (Base)"/>
    <n v="7.0000000000000007E-2"/>
    <x v="2"/>
    <x v="0"/>
    <s v="QC"/>
    <e v="#NAME?"/>
    <e v="#NAME?"/>
    <e v="#NAME?"/>
    <e v="#N/A"/>
    <e v="#N/A"/>
    <e v="#REF!"/>
    <m/>
    <m/>
    <m/>
  </r>
  <r>
    <s v="CE51863"/>
    <s v="EDNA ROCIO MONCADA"/>
    <s v="ENTERPRISE"/>
    <x v="3"/>
    <x v="2"/>
    <e v="#NAME?"/>
    <s v="SDATOOL-40528 $ ETPB - SENDA PAGOS"/>
    <n v="7.0000000000000007E-2"/>
    <x v="2"/>
    <x v="0"/>
    <s v="QC"/>
    <e v="#NAME?"/>
    <e v="#NAME?"/>
    <e v="#NAME?"/>
    <e v="#N/A"/>
    <e v="#N/A"/>
    <e v="#REF!"/>
    <m/>
    <m/>
    <m/>
  </r>
  <r>
    <s v="CE51863"/>
    <s v="EDNA ROCIO MONCADA"/>
    <s v="ENTERPRISE"/>
    <x v="10"/>
    <x v="2"/>
    <e v="#NAME?"/>
    <s v="SDATOOL-41750 $ Single APP"/>
    <n v="7.0000000000000007E-2"/>
    <x v="2"/>
    <x v="0"/>
    <s v="QC"/>
    <e v="#NAME?"/>
    <e v="#NAME?"/>
    <e v="#NAME?"/>
    <e v="#N/A"/>
    <e v="#N/A"/>
    <e v="#REF!"/>
    <m/>
    <m/>
    <m/>
  </r>
  <r>
    <s v="CE65205"/>
    <s v="OSCAR JAVIER ALVAREZ CAMACHO"/>
    <s v="ENTERPRISE"/>
    <x v="10"/>
    <x v="9"/>
    <e v="#NAME?"/>
    <s v="SDATOOL-41930 $ FX en GEMA"/>
    <n v="0.1"/>
    <x v="3"/>
    <x v="0"/>
    <s v="Despliegues"/>
    <e v="#NAME?"/>
    <e v="#NAME?"/>
    <e v="#NAME?"/>
    <m/>
    <m/>
    <m/>
    <m/>
    <m/>
    <m/>
  </r>
  <r>
    <s v="CE65205"/>
    <s v="OSCAR JAVIER ALVAREZ CAMACHO"/>
    <s v="ENTERPRISE"/>
    <x v="10"/>
    <x v="9"/>
    <e v="#NAME?"/>
    <s v="SDATOOL-42211 $ Onboarding cash management Netcash/Gema"/>
    <n v="0.15"/>
    <x v="3"/>
    <x v="0"/>
    <s v="Despliegues"/>
    <e v="#NAME?"/>
    <e v="#NAME?"/>
    <e v="#NAME?"/>
    <m/>
    <m/>
    <m/>
    <m/>
    <m/>
    <m/>
  </r>
  <r>
    <s v="CE65205"/>
    <s v="OSCAR JAVIER ALVAREZ CAMACHO"/>
    <s v="ENTERPRISE"/>
    <x v="10"/>
    <x v="9"/>
    <e v="#NAME?"/>
    <s v="SDATOOL-40676 $ Contratación y uso de mPOS desde APPs BBVA"/>
    <n v="0.15"/>
    <x v="3"/>
    <x v="0"/>
    <s v="Despliegues"/>
    <e v="#NAME?"/>
    <e v="#NAME?"/>
    <e v="#NAME?"/>
    <m/>
    <m/>
    <m/>
    <m/>
    <m/>
    <m/>
  </r>
  <r>
    <s v="CE65205"/>
    <s v="OSCAR JAVIER ALVAREZ CAMACHO"/>
    <s v="ENTERPRISE"/>
    <x v="10"/>
    <x v="9"/>
    <e v="#NAME?"/>
    <s v="SDATOOL-39354 $ My business Open Pay - Plan Ascenso Mercurio"/>
    <n v="0.15"/>
    <x v="3"/>
    <x v="0"/>
    <s v="Despliegues"/>
    <e v="#NAME?"/>
    <e v="#NAME?"/>
    <e v="#NAME?"/>
    <m/>
    <m/>
    <m/>
    <m/>
    <m/>
    <m/>
  </r>
  <r>
    <s v="CE65205"/>
    <s v="OSCAR JAVIER ALVAREZ CAMACHO"/>
    <s v="ENTERPRISE"/>
    <x v="3"/>
    <x v="2"/>
    <e v="#NAME?"/>
    <s v="SDATOOL-40457 $ SENDA (Base)"/>
    <n v="0.15"/>
    <x v="3"/>
    <x v="0"/>
    <s v="Despliegues"/>
    <e v="#NAME?"/>
    <e v="#NAME?"/>
    <e v="#NAME?"/>
    <e v="#N/A"/>
    <e v="#N/A"/>
    <e v="#REF!"/>
    <m/>
    <m/>
    <m/>
  </r>
  <r>
    <s v="CE65205"/>
    <s v="OSCAR JAVIER ALVAREZ CAMACHO"/>
    <s v="ENTERPRISE"/>
    <x v="3"/>
    <x v="2"/>
    <e v="#NAME?"/>
    <s v="SDATOOL-40528 $ ETPB - SENDA PAGOS"/>
    <n v="0.15"/>
    <x v="3"/>
    <x v="0"/>
    <s v="Despliegues"/>
    <e v="#NAME?"/>
    <e v="#NAME?"/>
    <e v="#NAME?"/>
    <e v="#N/A"/>
    <e v="#N/A"/>
    <e v="#REF!"/>
    <m/>
    <m/>
    <m/>
  </r>
  <r>
    <s v="CE65205"/>
    <s v="OSCAR JAVIER ALVAREZ CAMACHO"/>
    <s v="ENTERPRISE"/>
    <x v="10"/>
    <x v="2"/>
    <e v="#NAME?"/>
    <s v="SDATOOL-41750 $ Single APP"/>
    <n v="0.15"/>
    <x v="3"/>
    <x v="0"/>
    <s v="Despliegues"/>
    <e v="#NAME?"/>
    <e v="#NAME?"/>
    <e v="#NAME?"/>
    <e v="#N/A"/>
    <e v="#N/A"/>
    <e v="#REF!"/>
    <m/>
    <m/>
    <m/>
  </r>
  <r>
    <s v="C811392"/>
    <s v="LEONARDO SIMBAQUEBA ESGUERRA"/>
    <s v="CORE"/>
    <x v="11"/>
    <x v="0"/>
    <e v="#NAME?"/>
    <s v="NOSDA $ BAU (Mantenimiento y peq. evolutivos)"/>
    <n v="1"/>
    <x v="0"/>
    <x v="6"/>
    <s v="Interno"/>
    <e v="#NAME?"/>
    <e v="#NAME?"/>
    <e v="#NAME?"/>
    <m/>
    <m/>
    <m/>
    <m/>
    <m/>
    <n v="1"/>
  </r>
  <r>
    <s v="C341681"/>
    <s v="RICARDO ALEXANDER CALVO JIMENEZ"/>
    <s v="CFS"/>
    <x v="8"/>
    <x v="0"/>
    <e v="#NAME?"/>
    <s v="SDATOOL-33846 $ SREP Data Quality- BCBS239 - Colombia"/>
    <n v="1"/>
    <x v="0"/>
    <x v="1"/>
    <s v="Interno"/>
    <e v="#NAME?"/>
    <e v="#NAME?"/>
    <e v="#NAME?"/>
    <m/>
    <m/>
    <m/>
    <m/>
    <m/>
    <m/>
  </r>
  <r>
    <s v="C342316"/>
    <s v="ANA MILENA GARCIA COBO"/>
    <s v="CFS"/>
    <x v="8"/>
    <x v="0"/>
    <e v="#NAME?"/>
    <s v="SDATOOL-39463 $ GRM Col - Actualización Versión Power Curve."/>
    <n v="0.7"/>
    <x v="0"/>
    <x v="0"/>
    <s v="Interno"/>
    <e v="#NAME?"/>
    <e v="#NAME?"/>
    <e v="#NAME?"/>
    <m/>
    <m/>
    <m/>
    <m/>
    <m/>
    <m/>
  </r>
  <r>
    <s v="C342316"/>
    <s v="ANA MILENA GARCIA COBO"/>
    <s v="CFS"/>
    <x v="8"/>
    <x v="0"/>
    <e v="#NAME?"/>
    <s v="SDATOOL-40545 $ GRM Col - Mejoras Evolutivas de Aplicativos y Herramientas de Riesgos 2023"/>
    <n v="0.3"/>
    <x v="0"/>
    <x v="0"/>
    <s v="Interno"/>
    <e v="#NAME?"/>
    <e v="#NAME?"/>
    <e v="#NAME?"/>
    <m/>
    <m/>
    <m/>
    <m/>
    <m/>
    <m/>
  </r>
  <r>
    <s v="C808875"/>
    <s v="YEIMY PAOLA PERDOMO"/>
    <s v="CFS"/>
    <x v="8"/>
    <x v="0"/>
    <e v="#NAME?"/>
    <s v="SDATOOL-39463 $ GRM Col - Actualización Versión Power Curve."/>
    <n v="1"/>
    <x v="0"/>
    <x v="1"/>
    <s v="Interno"/>
    <e v="#NAME?"/>
    <e v="#NAME?"/>
    <e v="#NAME?"/>
    <m/>
    <m/>
    <m/>
    <m/>
    <m/>
    <m/>
  </r>
  <r>
    <s v="C809591"/>
    <s v="KEVIN ORLANDO OJEDA"/>
    <s v="CFS"/>
    <x v="8"/>
    <x v="0"/>
    <e v="#NAME?"/>
    <s v="SDATOOL-42098 $ GRM Col CRONOS Batch - Campañas SMeS"/>
    <n v="0.65"/>
    <x v="0"/>
    <x v="1"/>
    <s v="Interno"/>
    <e v="#NAME?"/>
    <e v="#NAME?"/>
    <e v="#NAME?"/>
    <m/>
    <m/>
    <m/>
    <m/>
    <m/>
    <m/>
  </r>
  <r>
    <s v="C809591"/>
    <s v="KEVIN ORLANDO OJEDA"/>
    <s v="CFS"/>
    <x v="8"/>
    <x v="0"/>
    <e v="#NAME?"/>
    <s v="SDATOOL-40545 $ GRM Col - Mejoras Evolutivas de Aplicativos y Herramientas de Riesgos 2023"/>
    <n v="0.25"/>
    <x v="0"/>
    <x v="1"/>
    <s v="Interno"/>
    <e v="#NAME?"/>
    <e v="#NAME?"/>
    <e v="#NAME?"/>
    <m/>
    <m/>
    <m/>
    <m/>
    <m/>
    <m/>
  </r>
  <r>
    <s v="C809591"/>
    <s v="KEVIN ORLANDO OJEDA"/>
    <s v="CFS"/>
    <x v="8"/>
    <x v="0"/>
    <e v="#NAME?"/>
    <s v="SDATOOL-41457 $ NGA - Colombia. EWS (ARCE)"/>
    <n v="0.1"/>
    <x v="0"/>
    <x v="1"/>
    <s v="Interno"/>
    <e v="#NAME?"/>
    <e v="#NAME?"/>
    <e v="#NAME?"/>
    <m/>
    <m/>
    <m/>
    <m/>
    <m/>
    <m/>
  </r>
  <r>
    <s v="C810959"/>
    <s v="MARCO HERNAN CASTELLANOS"/>
    <s v="CFS"/>
    <x v="8"/>
    <x v="0"/>
    <e v="#NAME?"/>
    <s v="SDATOOL-33846 $ SREP Data Quality- BCBS239 - Colombia"/>
    <n v="0.4"/>
    <x v="0"/>
    <x v="1"/>
    <s v="Interno"/>
    <e v="#NAME?"/>
    <e v="#NAME?"/>
    <e v="#NAME?"/>
    <m/>
    <m/>
    <m/>
    <m/>
    <m/>
    <m/>
  </r>
  <r>
    <s v="C810959"/>
    <s v="MARCO HERNAN CASTELLANOS"/>
    <s v="CFS"/>
    <x v="8"/>
    <x v="0"/>
    <e v="#NAME?"/>
    <s v="SDATOOL-42098 $ GRM Col CRONOS Batch - Campañas SMeS"/>
    <n v="0.2"/>
    <x v="0"/>
    <x v="1"/>
    <s v="Interno"/>
    <e v="#NAME?"/>
    <e v="#NAME?"/>
    <e v="#NAME?"/>
    <m/>
    <m/>
    <m/>
    <m/>
    <m/>
    <m/>
  </r>
  <r>
    <s v="C810959"/>
    <s v="MARCO HERNAN CASTELLANOS"/>
    <s v="CFS"/>
    <x v="8"/>
    <x v="0"/>
    <e v="#NAME?"/>
    <s v="SDATOOL-40545 $ GRM Col - Mejoras Evolutivas de Aplicativos y Herramientas de Riesgos 2023"/>
    <n v="0.2"/>
    <x v="0"/>
    <x v="1"/>
    <s v="Interno"/>
    <e v="#NAME?"/>
    <e v="#NAME?"/>
    <e v="#NAME?"/>
    <m/>
    <m/>
    <m/>
    <m/>
    <m/>
    <m/>
  </r>
  <r>
    <s v="C810959"/>
    <s v="MARCO HERNAN CASTELLANOS"/>
    <s v="CFS"/>
    <x v="8"/>
    <x v="0"/>
    <e v="#NAME?"/>
    <s v="NOSDA $ BAU (Mantenimiento y peq. evolutivos)"/>
    <n v="0.2"/>
    <x v="0"/>
    <x v="1"/>
    <s v="Interno"/>
    <e v="#NAME?"/>
    <e v="#NAME?"/>
    <e v="#NAME?"/>
    <m/>
    <m/>
    <m/>
    <m/>
    <m/>
    <m/>
  </r>
  <r>
    <s v="CE66252"/>
    <s v="JORGE ENRIQUE CARRILLO DIAZ"/>
    <s v="CFS"/>
    <x v="8"/>
    <x v="9"/>
    <e v="#NAME?"/>
    <s v="SDATOOL-39463 $ GRM Col - Actualización Versión Power Curve."/>
    <n v="0.5"/>
    <x v="2"/>
    <x v="1"/>
    <s v="Externo"/>
    <e v="#NAME?"/>
    <e v="#NAME?"/>
    <e v="#NAME?"/>
    <m/>
    <m/>
    <m/>
    <m/>
    <m/>
    <m/>
  </r>
  <r>
    <s v="CE66252"/>
    <s v="JORGE ENRIQUE CARRILLO DIAZ"/>
    <s v="CFS"/>
    <x v="8"/>
    <x v="9"/>
    <e v="#NAME?"/>
    <s v="SDATOOL-40545 $ GRM Col - Mejoras Evolutivas de Aplicativos y Herramientas de Riesgos 2023"/>
    <n v="0.25"/>
    <x v="2"/>
    <x v="1"/>
    <s v="Externo"/>
    <e v="#NAME?"/>
    <e v="#NAME?"/>
    <e v="#NAME?"/>
    <m/>
    <m/>
    <m/>
    <m/>
    <m/>
    <m/>
  </r>
  <r>
    <s v="CE66252"/>
    <s v="JORGE ENRIQUE CARRILLO DIAZ"/>
    <s v="CFS"/>
    <x v="8"/>
    <x v="9"/>
    <e v="#NAME?"/>
    <s v="SDATOOL-33846 $ SREP Data Quality- BCBS239 - Colombia"/>
    <n v="0.25"/>
    <x v="2"/>
    <x v="1"/>
    <s v="Externo"/>
    <e v="#NAME?"/>
    <e v="#NAME?"/>
    <e v="#NAME?"/>
    <m/>
    <m/>
    <m/>
    <m/>
    <m/>
    <m/>
  </r>
  <r>
    <s v="C783725"/>
    <s v="JAIRO FERNANDO TAMARA RUBIANO"/>
    <s v="CFS"/>
    <x v="8"/>
    <x v="0"/>
    <e v="#NAME?"/>
    <s v="SDATOOL-33846 $ SREP Data Quality- BCBS239 - Colombia"/>
    <n v="0.3"/>
    <x v="1"/>
    <x v="1"/>
    <s v="Interno"/>
    <e v="#NAME?"/>
    <e v="#NAME?"/>
    <e v="#NAME?"/>
    <m/>
    <m/>
    <m/>
    <m/>
    <m/>
    <m/>
  </r>
  <r>
    <s v="C783725"/>
    <s v="JAIRO FERNANDO TAMARA RUBIANO"/>
    <s v="CFS"/>
    <x v="8"/>
    <x v="0"/>
    <e v="#NAME?"/>
    <s v="SDATOOL-39463 $ GRM Col - Actualización Versión Power Curve."/>
    <n v="0.3"/>
    <x v="1"/>
    <x v="1"/>
    <s v="Interno"/>
    <e v="#NAME?"/>
    <e v="#NAME?"/>
    <e v="#NAME?"/>
    <m/>
    <m/>
    <m/>
    <m/>
    <m/>
    <m/>
  </r>
  <r>
    <s v="C783725"/>
    <s v="JAIRO FERNANDO TAMARA RUBIANO"/>
    <s v="CFS"/>
    <x v="8"/>
    <x v="0"/>
    <e v="#NAME?"/>
    <s v="SDATOOL-41457 $ NGA - Colombia. EWS (ARCE)"/>
    <n v="0.1"/>
    <x v="1"/>
    <x v="1"/>
    <m/>
    <e v="#NAME?"/>
    <e v="#NAME?"/>
    <e v="#NAME?"/>
    <m/>
    <m/>
    <m/>
    <m/>
    <m/>
    <m/>
  </r>
  <r>
    <s v="C783725"/>
    <s v="JAIRO FERNANDO TAMARA RUBIANO"/>
    <s v="CFS"/>
    <x v="8"/>
    <x v="0"/>
    <e v="#NAME?"/>
    <s v="SDATOOL-40545 $ GRM Col - Mejoras Evolutivas de Aplicativos y Herramientas de Riesgos 2023"/>
    <n v="0.3"/>
    <x v="1"/>
    <x v="1"/>
    <s v="Interno"/>
    <e v="#NAME?"/>
    <e v="#NAME?"/>
    <e v="#NAME?"/>
    <m/>
    <m/>
    <m/>
    <m/>
    <m/>
    <m/>
  </r>
  <r>
    <s v="T006280"/>
    <s v="Fabian andres valbuena aragon"/>
    <s v="CFS"/>
    <x v="8"/>
    <x v="5"/>
    <e v="#NAME?"/>
    <s v="NOSDA $ BAU (Mantenimiento y peq. evolutivos)"/>
    <n v="0.5"/>
    <x v="0"/>
    <x v="1"/>
    <s v="Externo"/>
    <e v="#NAME?"/>
    <e v="#NAME?"/>
    <e v="#NAME?"/>
    <m/>
    <m/>
    <m/>
    <m/>
    <m/>
    <m/>
  </r>
  <r>
    <s v="T006280"/>
    <s v="Fabian andres valbuena aragon"/>
    <s v="CIB &amp; COMEX - FIDUCIARIA"/>
    <x v="12"/>
    <x v="5"/>
    <e v="#NAME?"/>
    <s v="NOSDA $ BAU (Mantenimiento y peq. evolutivos)"/>
    <n v="0.5"/>
    <x v="0"/>
    <x v="1"/>
    <s v="Externo"/>
    <e v="#NAME?"/>
    <e v="#NAME?"/>
    <e v="#NAME?"/>
    <m/>
    <m/>
    <m/>
    <m/>
    <m/>
    <m/>
  </r>
  <r>
    <s v="C811292"/>
    <s v="ANDRES GALVIS TRIVIÑO"/>
    <s v="CIB &amp; COMEX - FIDUCIARIA"/>
    <x v="12"/>
    <x v="0"/>
    <e v="#NAME?"/>
    <s v="NOSDA $ BAU (Mantenimiento y peq. evolutivos)"/>
    <n v="1"/>
    <x v="3"/>
    <x v="6"/>
    <m/>
    <e v="#NAME?"/>
    <e v="#NAME?"/>
    <e v="#NAME?"/>
    <m/>
    <m/>
    <m/>
    <m/>
    <m/>
    <m/>
  </r>
  <r>
    <s v="C805180"/>
    <s v="SEBASTIAN GOMEZ CORCHUELO"/>
    <s v="CIB &amp; COMEX - FIDUCIARIA"/>
    <x v="12"/>
    <x v="0"/>
    <e v="#NAME?"/>
    <s v="SDATOOL-39840 $ BBVA Valores en Canales (Net Cash / Net)"/>
    <n v="0.25"/>
    <x v="2"/>
    <x v="6"/>
    <m/>
    <e v="#NAME?"/>
    <e v="#NAME?"/>
    <e v="#NAME?"/>
    <m/>
    <m/>
    <m/>
    <m/>
    <m/>
    <m/>
  </r>
  <r>
    <s v="C810847"/>
    <s v="JAIR DE JESUS MOLINA FORNARIS"/>
    <s v="CIB &amp; COMEX - FIDUCIARIA"/>
    <x v="12"/>
    <x v="0"/>
    <e v="#NAME?"/>
    <s v="SDATOOL-39840 $ BBVA Valores en Canales (Net Cash / Net)"/>
    <n v="0.25"/>
    <x v="0"/>
    <x v="6"/>
    <m/>
    <e v="#NAME?"/>
    <e v="#NAME?"/>
    <e v="#NAME?"/>
    <m/>
    <m/>
    <m/>
    <m/>
    <m/>
    <m/>
  </r>
  <r>
    <s v="C810847"/>
    <s v="JAIR DE JESUS MOLINA FORNARIS"/>
    <s v="CIB &amp; COMEX - FIDUCIARIA"/>
    <x v="12"/>
    <x v="0"/>
    <e v="#NAME?"/>
    <s v="NOSDA $ BAU (Mantenimiento y peq. evolutivos)"/>
    <n v="0.75"/>
    <x v="0"/>
    <x v="6"/>
    <m/>
    <e v="#NAME?"/>
    <e v="#NAME?"/>
    <e v="#NAME?"/>
    <m/>
    <m/>
    <m/>
    <m/>
    <m/>
    <m/>
  </r>
  <r>
    <s v="O004617"/>
    <s v="ARLEX JULIAN RODRIGUEZ RINCON"/>
    <s v="CIB &amp; COMEX - FIDUCIARIA"/>
    <x v="12"/>
    <x v="0"/>
    <e v="#NAME?"/>
    <s v="NOSDA $ BAU (Mantenimiento y peq. evolutivos)"/>
    <n v="1"/>
    <x v="3"/>
    <x v="6"/>
    <m/>
    <e v="#NAME?"/>
    <e v="#NAME?"/>
    <e v="#NAME?"/>
    <m/>
    <m/>
    <m/>
    <m/>
    <m/>
    <m/>
  </r>
  <r>
    <s v="O004613 "/>
    <s v="CESAR AUGUSTO MONTERO HERNANDEZ"/>
    <s v="CIB &amp; COMEX - FIDUCIARIA"/>
    <x v="12"/>
    <x v="0"/>
    <e v="#NAME?"/>
    <s v="NOSDA $ BAU (Mantenimiento y peq. evolutivos)"/>
    <n v="1"/>
    <x v="3"/>
    <x v="6"/>
    <m/>
    <e v="#NAME?"/>
    <e v="#NAME?"/>
    <e v="#NAME?"/>
    <m/>
    <m/>
    <m/>
    <m/>
    <m/>
    <m/>
  </r>
  <r>
    <s v="C805180"/>
    <s v="SEBASTIAN GOMEZ CORCHUELO"/>
    <s v="CIB &amp; COMEX - FIDUCIARIA"/>
    <x v="12"/>
    <x v="0"/>
    <e v="#NAME?"/>
    <s v="NOSDA $ BAU (Mantenimiento y peq. evolutivos)"/>
    <n v="0.75"/>
    <x v="3"/>
    <x v="6"/>
    <m/>
    <e v="#NAME?"/>
    <e v="#NAME?"/>
    <e v="#NAME?"/>
    <m/>
    <m/>
    <m/>
    <m/>
    <m/>
    <m/>
  </r>
  <r>
    <s v="CE70350"/>
    <s v="HELDER HAROLD SOLANO SOLANO"/>
    <s v="CIB &amp; COMEX - FIDUCIARIA"/>
    <x v="12"/>
    <x v="5"/>
    <e v="#NAME?"/>
    <s v="NOSDA $ BAU (Mantenimiento y peq. evolutivos)"/>
    <n v="1"/>
    <x v="2"/>
    <x v="1"/>
    <s v="Calidad"/>
    <e v="#NAME?"/>
    <e v="#NAME?"/>
    <e v="#NAME?"/>
    <m/>
    <m/>
    <m/>
    <m/>
    <m/>
    <m/>
  </r>
  <r>
    <s v="CV25017"/>
    <s v="ANDREA POLO KOCH"/>
    <s v="SEGUROS"/>
    <x v="13"/>
    <x v="17"/>
    <e v="#NAME?"/>
    <s v="SDATOOL-38080 $ Seguros - LIS Coaseguro Aceptado Autos"/>
    <n v="0.25"/>
    <x v="0"/>
    <x v="3"/>
    <s v="LÍDER TÉCNICO"/>
    <e v="#NAME?"/>
    <e v="#NAME?"/>
    <e v="#NAME?"/>
    <m/>
    <m/>
    <m/>
    <m/>
    <m/>
    <m/>
  </r>
  <r>
    <s v="CV25017"/>
    <s v="ANDREA POLO KOCH"/>
    <s v="SEGUROS"/>
    <x v="13"/>
    <x v="17"/>
    <e v="#NAME?"/>
    <s v="SDATOOL-42449 $ Seguros - LIS Coaseguro Aceptado Autos Fase 2"/>
    <n v="0.75"/>
    <x v="0"/>
    <x v="3"/>
    <s v="LÍDER TÉCNICO"/>
    <e v="#NAME?"/>
    <e v="#NAME?"/>
    <e v="#NAME?"/>
    <m/>
    <m/>
    <m/>
    <m/>
    <m/>
    <m/>
  </r>
  <r>
    <s v="CE52603"/>
    <s v="CLARIBEL ABRIL VELASCO"/>
    <s v="SEGUROS"/>
    <x v="13"/>
    <x v="5"/>
    <e v="#NAME?"/>
    <s v="SDATOOL-38080 $ Seguros - LIS Coaseguro Aceptado Autos"/>
    <n v="0.25"/>
    <x v="0"/>
    <x v="2"/>
    <m/>
    <e v="#NAME?"/>
    <e v="#NAME?"/>
    <e v="#NAME?"/>
    <m/>
    <m/>
    <m/>
    <m/>
    <m/>
    <m/>
  </r>
  <r>
    <s v="CE52603"/>
    <s v="CLARIBEL ABRIL VELASCO"/>
    <s v="SEGUROS"/>
    <x v="13"/>
    <x v="5"/>
    <e v="#NAME?"/>
    <s v="SDATOOL-42449 $ Seguros - LIS Coaseguro Aceptado Autos Fase 2"/>
    <n v="0.75"/>
    <x v="0"/>
    <x v="2"/>
    <m/>
    <e v="#NAME?"/>
    <e v="#NAME?"/>
    <e v="#NAME?"/>
    <m/>
    <m/>
    <m/>
    <m/>
    <m/>
    <m/>
  </r>
  <r>
    <s v="CV24943"/>
    <s v="JAIME JOSE ALFONSO COTES"/>
    <s v="SEGUROS"/>
    <x v="13"/>
    <x v="17"/>
    <e v="#NAME?"/>
    <s v="SDATOOL-42264 $ Seguros - Calculo Extra prima valores superiores a 9.999.999"/>
    <n v="1"/>
    <x v="0"/>
    <x v="4"/>
    <s v="LÍDER TÉCNICO"/>
    <e v="#NAME?"/>
    <e v="#NAME?"/>
    <e v="#NAME?"/>
    <m/>
    <m/>
    <m/>
    <m/>
    <m/>
    <m/>
  </r>
  <r>
    <s v="CV25056"/>
    <s v="JUAN CARLOS ALDANA MORENO"/>
    <s v="SEGUROS"/>
    <x v="13"/>
    <x v="17"/>
    <e v="#NAME?"/>
    <s v="SDATOOL-38080 $ Seguros - LIS Coaseguro Aceptado Autos"/>
    <n v="0.25"/>
    <x v="0"/>
    <x v="2"/>
    <s v="LÍDER TÉCNICO"/>
    <e v="#NAME?"/>
    <e v="#NAME?"/>
    <e v="#NAME?"/>
    <m/>
    <m/>
    <m/>
    <m/>
    <m/>
    <m/>
  </r>
  <r>
    <s v="CV25056"/>
    <s v="JUAN CARLOS ALDANA MORENO"/>
    <s v="SEGUROS"/>
    <x v="13"/>
    <x v="17"/>
    <e v="#NAME?"/>
    <s v="SDATOOL-42449 $ Seguros - LIS Coaseguro Aceptado Autos Fase 2"/>
    <n v="0.75"/>
    <x v="0"/>
    <x v="2"/>
    <s v="LÍDER TÉCNICO"/>
    <e v="#NAME?"/>
    <e v="#NAME?"/>
    <e v="#NAME?"/>
    <m/>
    <m/>
    <m/>
    <m/>
    <m/>
    <m/>
  </r>
  <r>
    <s v="CE56274"/>
    <s v="JULIAN CAMILO QUINONES QUINTERO"/>
    <s v="SEGUROS"/>
    <x v="13"/>
    <x v="3"/>
    <e v="#NAME?"/>
    <s v="SDATOOL-38080 $ Seguros - LIS Coaseguro Aceptado Autos"/>
    <n v="0.25"/>
    <x v="0"/>
    <x v="2"/>
    <m/>
    <e v="#NAME?"/>
    <e v="#NAME?"/>
    <e v="#NAME?"/>
    <m/>
    <m/>
    <m/>
    <m/>
    <m/>
    <m/>
  </r>
  <r>
    <s v="CE56274"/>
    <s v="JULIAN CAMILO QUINONES QUINTERO"/>
    <s v="SEGUROS"/>
    <x v="13"/>
    <x v="3"/>
    <e v="#NAME?"/>
    <s v="SDATOOL-42449 $ Seguros - LIS Coaseguro Aceptado Autos Fase 2"/>
    <n v="0.75"/>
    <x v="0"/>
    <x v="2"/>
    <m/>
    <e v="#NAME?"/>
    <e v="#NAME?"/>
    <e v="#NAME?"/>
    <m/>
    <m/>
    <m/>
    <m/>
    <m/>
    <m/>
  </r>
  <r>
    <s v="CE56445"/>
    <s v="LESIA MARGARITA VALERA CONTRERAS"/>
    <s v="SEGUROS"/>
    <x v="13"/>
    <x v="3"/>
    <e v="#NAME?"/>
    <s v="SDATOOL-38080 $ Seguros - LIS Coaseguro Aceptado Autos"/>
    <n v="0.25"/>
    <x v="0"/>
    <x v="2"/>
    <m/>
    <e v="#NAME?"/>
    <e v="#NAME?"/>
    <e v="#NAME?"/>
    <m/>
    <m/>
    <m/>
    <m/>
    <m/>
    <m/>
  </r>
  <r>
    <s v="CE56445"/>
    <s v="LESIA MARGARITA VALERA CONTRERAS"/>
    <s v="SEGUROS"/>
    <x v="13"/>
    <x v="3"/>
    <e v="#NAME?"/>
    <s v="SDATOOL-42449 $ Seguros - LIS Coaseguro Aceptado Autos Fase 2"/>
    <n v="0.75"/>
    <x v="0"/>
    <x v="2"/>
    <m/>
    <e v="#NAME?"/>
    <e v="#NAME?"/>
    <e v="#NAME?"/>
    <m/>
    <m/>
    <m/>
    <m/>
    <m/>
    <m/>
  </r>
  <r>
    <s v="CV25065"/>
    <s v="OSCAR FABIAN MACANA GARNICA"/>
    <s v="SEGUROS"/>
    <x v="13"/>
    <x v="17"/>
    <e v="#NAME?"/>
    <s v="SDATOOL-38080 $ Seguros - LIS Coaseguro Aceptado Autos"/>
    <n v="0.25"/>
    <x v="0"/>
    <x v="2"/>
    <s v="LÍDER TÉCNICO"/>
    <e v="#NAME?"/>
    <e v="#NAME?"/>
    <e v="#NAME?"/>
    <m/>
    <m/>
    <m/>
    <m/>
    <m/>
    <m/>
  </r>
  <r>
    <s v="CV25065"/>
    <s v="OSCAR FABIAN MACANA GARNICA"/>
    <s v="SEGUROS"/>
    <x v="13"/>
    <x v="17"/>
    <e v="#NAME?"/>
    <s v="SDATOOL-42449 $ Seguros - LIS Coaseguro Aceptado Autos Fase 2"/>
    <n v="0.75"/>
    <x v="0"/>
    <x v="2"/>
    <s v="LÍDER TÉCNICO"/>
    <e v="#NAME?"/>
    <e v="#NAME?"/>
    <e v="#NAME?"/>
    <m/>
    <m/>
    <m/>
    <m/>
    <m/>
    <m/>
  </r>
  <r>
    <s v="O004277"/>
    <s v="SERGIO ALEJANDRO DIAZ HOYOS"/>
    <s v="SEGUROS"/>
    <x v="13"/>
    <x v="17"/>
    <e v="#NAME?"/>
    <s v="SDATOOL-42449 $ Seguros - LIS Coaseguro Aceptado Autos Fase 2"/>
    <n v="1"/>
    <x v="0"/>
    <x v="2"/>
    <m/>
    <e v="#NAME?"/>
    <e v="#NAME?"/>
    <e v="#NAME?"/>
    <m/>
    <m/>
    <m/>
    <m/>
    <m/>
    <m/>
  </r>
  <r>
    <s v="CE42028"/>
    <s v="MARIA YOLANDA BRAND LEON"/>
    <s v="SEGUROS"/>
    <x v="13"/>
    <x v="5"/>
    <e v="#NAME?"/>
    <s v="SDATOOL-42099 $ Seguros - Cuota Segura/Créditos de libranza (SEGUROS)"/>
    <n v="1"/>
    <x v="0"/>
    <x v="2"/>
    <m/>
    <e v="#NAME?"/>
    <e v="#NAME?"/>
    <e v="#NAME?"/>
    <m/>
    <m/>
    <m/>
    <m/>
    <m/>
    <m/>
  </r>
  <r>
    <s v="CE59922"/>
    <s v="JOHAN SEBASTIAN LAGOS MORALES"/>
    <s v="SEGUROS"/>
    <x v="13"/>
    <x v="5"/>
    <e v="#NAME?"/>
    <s v="SDATOOL-38080 $ Seguros - LIS Coaseguro Aceptado Autos"/>
    <n v="0.5"/>
    <x v="0"/>
    <x v="2"/>
    <m/>
    <e v="#NAME?"/>
    <e v="#NAME?"/>
    <e v="#NAME?"/>
    <m/>
    <m/>
    <m/>
    <m/>
    <m/>
    <m/>
  </r>
  <r>
    <s v="CE59922"/>
    <s v="JOHAN SEBASTIAN LAGOS MORALES"/>
    <s v="SEGUROS"/>
    <x v="13"/>
    <x v="5"/>
    <e v="#NAME?"/>
    <s v="SDATOOL-42449 $ Seguros - LIS Coaseguro Aceptado Autos Fase 2"/>
    <n v="0.5"/>
    <x v="0"/>
    <x v="2"/>
    <m/>
    <e v="#NAME?"/>
    <e v="#NAME?"/>
    <e v="#NAME?"/>
    <m/>
    <m/>
    <m/>
    <m/>
    <m/>
    <m/>
  </r>
  <r>
    <s v="CV24935"/>
    <s v="SANDRA PATRICIA RAMIREZ TRIANA"/>
    <s v="SEGUROS"/>
    <x v="13"/>
    <x v="17"/>
    <e v="#NAME?"/>
    <s v="SDATOOL-38080 $ Seguros - LIS Coaseguro Aceptado Autos"/>
    <n v="0.4"/>
    <x v="1"/>
    <x v="2"/>
    <m/>
    <e v="#NAME?"/>
    <e v="#NAME?"/>
    <e v="#NAME?"/>
    <m/>
    <m/>
    <m/>
    <m/>
    <m/>
    <m/>
  </r>
  <r>
    <s v="CV24935"/>
    <s v="SANDRA PATRICIA RAMIREZ TRIANA"/>
    <s v="SEGUROS"/>
    <x v="13"/>
    <x v="17"/>
    <e v="#NAME?"/>
    <s v="SDATOOL-42449 $ Seguros - LIS Coaseguro Aceptado Autos Fase 2"/>
    <n v="0.3"/>
    <x v="1"/>
    <x v="2"/>
    <m/>
    <e v="#NAME?"/>
    <e v="#NAME?"/>
    <e v="#NAME?"/>
    <m/>
    <m/>
    <m/>
    <m/>
    <m/>
    <m/>
  </r>
  <r>
    <s v="CV24935"/>
    <s v="SANDRA PATRICIA RAMIREZ TRIANA"/>
    <s v="SEGUROS"/>
    <x v="13"/>
    <x v="17"/>
    <e v="#NAME?"/>
    <s v="SDATOOL-42099 $ Seguros - Cuota Segura/Créditos de libranza (SEGUROS)"/>
    <n v="0.3"/>
    <x v="1"/>
    <x v="2"/>
    <m/>
    <e v="#NAME?"/>
    <e v="#NAME?"/>
    <e v="#NAME?"/>
    <m/>
    <m/>
    <m/>
    <m/>
    <m/>
    <m/>
  </r>
  <r>
    <s v="CG22671"/>
    <s v="CARLOS ALBERTO GOMEZ GOMEZ"/>
    <s v="SEGUROS"/>
    <x v="13"/>
    <x v="17"/>
    <e v="#NAME?"/>
    <s v="SDATOOL-40762 $ Seguros - IFRS 17 Catch up"/>
    <n v="0.25"/>
    <x v="0"/>
    <x v="0"/>
    <s v="LÍDER TÉCNICO"/>
    <e v="#NAME?"/>
    <e v="#NAME?"/>
    <e v="#NAME?"/>
    <m/>
    <m/>
    <m/>
    <m/>
    <m/>
    <m/>
  </r>
  <r>
    <s v="CG22671"/>
    <s v="CARLOS ALBERTO GOMEZ GOMEZ"/>
    <s v="SEGUROS"/>
    <x v="13"/>
    <x v="17"/>
    <e v="#NAME?"/>
    <s v="NOSDA $ BAU (Mantenimiento y peq. evolutivos)"/>
    <n v="0.75"/>
    <x v="0"/>
    <x v="0"/>
    <s v="LÍDER TÉCNICO"/>
    <e v="#NAME?"/>
    <e v="#NAME?"/>
    <e v="#NAME?"/>
    <m/>
    <m/>
    <m/>
    <m/>
    <m/>
    <m/>
  </r>
  <r>
    <s v="CE38411"/>
    <s v="CAROLINA BARROS BERNAL"/>
    <s v="SEGUROS"/>
    <x v="13"/>
    <x v="3"/>
    <e v="#NAME?"/>
    <s v="SDATOOL-41962 $ Seguros - Sistema de Administración de Pensiones de Rentas Vitalicias"/>
    <n v="0.75"/>
    <x v="0"/>
    <x v="0"/>
    <m/>
    <e v="#NAME?"/>
    <e v="#NAME?"/>
    <e v="#NAME?"/>
    <m/>
    <m/>
    <m/>
    <m/>
    <m/>
    <m/>
  </r>
  <r>
    <s v="CE38411"/>
    <s v="CAROLINA BARROS BERNAL"/>
    <s v="SEGUROS"/>
    <x v="13"/>
    <x v="3"/>
    <e v="#NAME?"/>
    <s v="SDATOOL-37170 $ Seguros - LIS Coaseguro en Seguros Libres"/>
    <n v="0.25"/>
    <x v="0"/>
    <x v="0"/>
    <m/>
    <e v="#NAME?"/>
    <e v="#NAME?"/>
    <e v="#NAME?"/>
    <m/>
    <m/>
    <m/>
    <m/>
    <m/>
    <m/>
  </r>
  <r>
    <s v="CE68469"/>
    <s v="DIEGO ALEXANDER ALBA RODRÍGUEZ"/>
    <s v="SEGUROS"/>
    <x v="13"/>
    <x v="3"/>
    <e v="#NAME?"/>
    <s v="SDATOOL-40762 $ Seguros - IFRS 17 Catch up"/>
    <n v="1"/>
    <x v="0"/>
    <x v="0"/>
    <m/>
    <e v="#NAME?"/>
    <e v="#NAME?"/>
    <e v="#NAME?"/>
    <m/>
    <m/>
    <m/>
    <m/>
    <m/>
    <m/>
  </r>
  <r>
    <s v="CV25060"/>
    <s v="JAIME ALEJANDRO ROJAS NIVIA"/>
    <s v="SEGUROS"/>
    <x v="13"/>
    <x v="17"/>
    <e v="#NAME?"/>
    <s v="SDATOOL-41962 $ Seguros - Sistema de Administración de Pensiones de Rentas Vitalicias"/>
    <n v="0.5"/>
    <x v="0"/>
    <x v="0"/>
    <m/>
    <e v="#NAME?"/>
    <e v="#NAME?"/>
    <e v="#NAME?"/>
    <m/>
    <m/>
    <m/>
    <m/>
    <m/>
    <m/>
  </r>
  <r>
    <s v="CV25060"/>
    <s v="JAIME ALEJANDRO ROJAS NIVIA"/>
    <s v="SEGUROS"/>
    <x v="13"/>
    <x v="17"/>
    <e v="#NAME?"/>
    <s v="SDATOOL-34752 $ Seguros - Reportería y Data Quality"/>
    <n v="0.5"/>
    <x v="0"/>
    <x v="0"/>
    <m/>
    <e v="#NAME?"/>
    <e v="#NAME?"/>
    <e v="#NAME?"/>
    <m/>
    <m/>
    <m/>
    <m/>
    <m/>
    <m/>
  </r>
  <r>
    <s v="O002707"/>
    <s v="JOHN EDER IBAÑEZ LARA_x000a_"/>
    <s v="SEGUROS"/>
    <x v="13"/>
    <x v="17"/>
    <e v="#NAME?"/>
    <s v="SDATOOL-40762 $ Seguros - IFRS 17 Catch up"/>
    <n v="1"/>
    <x v="0"/>
    <x v="0"/>
    <s v="LÍDER TÉCNICO"/>
    <e v="#NAME?"/>
    <e v="#NAME?"/>
    <e v="#NAME?"/>
    <m/>
    <m/>
    <m/>
    <m/>
    <m/>
    <m/>
  </r>
  <r>
    <s v="O004417"/>
    <s v="JULIAN CHAPARRO LATORRE"/>
    <s v="SEGUROS"/>
    <x v="13"/>
    <x v="17"/>
    <e v="#NAME?"/>
    <s v="SDATOOL-40762 $ Seguros - IFRS 17 Catch up"/>
    <n v="1"/>
    <x v="0"/>
    <x v="0"/>
    <m/>
    <e v="#NAME?"/>
    <e v="#NAME?"/>
    <e v="#NAME?"/>
    <m/>
    <m/>
    <m/>
    <m/>
    <m/>
    <m/>
  </r>
  <r>
    <s v="CE48733"/>
    <s v="NELSON AUGUSTO SANABRIA ORTEGA"/>
    <s v="SEGUROS"/>
    <x v="13"/>
    <x v="18"/>
    <e v="#NAME?"/>
    <s v="SDATOOL-40762 $ Seguros - IFRS 17 Catch up"/>
    <n v="1"/>
    <x v="0"/>
    <x v="0"/>
    <m/>
    <e v="#NAME?"/>
    <e v="#NAME?"/>
    <e v="#NAME?"/>
    <m/>
    <m/>
    <m/>
    <m/>
    <m/>
    <m/>
  </r>
  <r>
    <s v="CE65494"/>
    <s v="OSCAR FABIAN PEDRAZA MONROY"/>
    <s v="SEGUROS"/>
    <x v="13"/>
    <x v="5"/>
    <e v="#NAME?"/>
    <s v="SDATOOL-40762 $ Seguros - IFRS 17 Catch up"/>
    <n v="1"/>
    <x v="0"/>
    <x v="0"/>
    <m/>
    <e v="#NAME?"/>
    <e v="#NAME?"/>
    <e v="#NAME?"/>
    <m/>
    <m/>
    <m/>
    <m/>
    <m/>
    <m/>
  </r>
  <r>
    <s v="CE59730"/>
    <s v="JOSE AGUSTIN RODRIGUEZ ZORRO"/>
    <s v="SEGUROS"/>
    <x v="13"/>
    <x v="18"/>
    <e v="#NAME?"/>
    <s v="SDATOOL-40762 $ Seguros - IFRS 17 Catch up"/>
    <n v="1"/>
    <x v="1"/>
    <x v="0"/>
    <m/>
    <e v="#NAME?"/>
    <e v="#NAME?"/>
    <e v="#NAME?"/>
    <m/>
    <m/>
    <m/>
    <m/>
    <m/>
    <m/>
  </r>
  <r>
    <s v="CV25059"/>
    <s v="CREYCCE JOHANA HINCAPIE RODRIGUEZ"/>
    <s v="SEGUROS"/>
    <x v="13"/>
    <x v="17"/>
    <e v="#NAME?"/>
    <s v="SDATOOL-38225 $ Seguros - Mandatorios 2022"/>
    <n v="1"/>
    <x v="0"/>
    <x v="0"/>
    <s v="LÍDER TÉCNICO"/>
    <e v="#NAME?"/>
    <e v="#NAME?"/>
    <e v="#NAME?"/>
    <m/>
    <m/>
    <m/>
    <m/>
    <m/>
    <m/>
  </r>
  <r>
    <s v="CV25087"/>
    <s v="CRISTIAN ANDRES SIERRA ESPINEL"/>
    <s v="SEGUROS"/>
    <x v="13"/>
    <x v="17"/>
    <e v="#NAME?"/>
    <s v="SDATOOL-40300 $ Seguros - Reintegro automático a tarjetas crédito"/>
    <n v="1"/>
    <x v="0"/>
    <x v="0"/>
    <s v="LÍDER TÉCNICO"/>
    <e v="#NAME?"/>
    <e v="#NAME?"/>
    <e v="#NAME?"/>
    <m/>
    <m/>
    <m/>
    <m/>
    <m/>
    <m/>
  </r>
  <r>
    <s v="CV25064"/>
    <s v="MARY LUZ RUALES GUZMAN"/>
    <s v="SEGUROS"/>
    <x v="13"/>
    <x v="17"/>
    <e v="#NAME?"/>
    <s v="SDATOOL-36501 $ Seguros - Cobro de seguros libres en créditos - Desempleo Fase 2"/>
    <n v="0.75"/>
    <x v="0"/>
    <x v="0"/>
    <s v="LÍDER TÉCNICO"/>
    <e v="#NAME?"/>
    <e v="#NAME?"/>
    <e v="#NAME?"/>
    <m/>
    <m/>
    <m/>
    <m/>
    <m/>
    <m/>
  </r>
  <r>
    <s v="CV25064"/>
    <s v="MARY LUZ RUALES GUZMAN"/>
    <s v="SEGUROS"/>
    <x v="13"/>
    <x v="17"/>
    <e v="#NAME?"/>
    <s v="NOSDA $ BAU (Mantenimiento y peq. evolutivos)"/>
    <n v="0.25"/>
    <x v="0"/>
    <x v="0"/>
    <s v="LÍDER TÉCNICO"/>
    <e v="#NAME?"/>
    <e v="#NAME?"/>
    <e v="#NAME?"/>
    <m/>
    <m/>
    <m/>
    <m/>
    <m/>
    <m/>
  </r>
  <r>
    <s v="O003561"/>
    <s v="JOSE MIGUEL PORTILLO ROJAS"/>
    <s v="SEGUROS"/>
    <x v="13"/>
    <x v="17"/>
    <e v="#NAME?"/>
    <s v="NOSDA $ BAU (Mantenimiento y peq. evolutivos)"/>
    <n v="1"/>
    <x v="0"/>
    <x v="0"/>
    <s v="LÍDER TÉCNICO"/>
    <e v="#NAME?"/>
    <e v="#NAME?"/>
    <e v="#NAME?"/>
    <m/>
    <m/>
    <m/>
    <m/>
    <m/>
    <m/>
  </r>
  <r>
    <s v="CE48448"/>
    <s v="MICHAEL CECILIO SODIR REVETE"/>
    <s v="SEGUROS"/>
    <x v="13"/>
    <x v="5"/>
    <e v="#NAME?"/>
    <s v="SDATOOL-37170 $ Seguros - LIS Coaseguro en Seguros Libres"/>
    <n v="0.5"/>
    <x v="0"/>
    <x v="0"/>
    <s v="LÍDER TÉCNICO"/>
    <e v="#NAME?"/>
    <e v="#NAME?"/>
    <e v="#NAME?"/>
    <m/>
    <m/>
    <m/>
    <m/>
    <m/>
    <m/>
  </r>
  <r>
    <s v="CE48448"/>
    <s v="MICHAEL CECILIO SODIR REVETE"/>
    <s v="SEGUROS"/>
    <x v="13"/>
    <x v="5"/>
    <e v="#NAME?"/>
    <s v="SDATOOL-40767 $ Seguros - Migración FW / Auditoria (Front)"/>
    <n v="0.5"/>
    <x v="0"/>
    <x v="0"/>
    <s v="LÍDER TÉCNICO"/>
    <e v="#NAME?"/>
    <e v="#NAME?"/>
    <e v="#NAME?"/>
    <m/>
    <m/>
    <m/>
    <m/>
    <m/>
    <m/>
  </r>
  <r>
    <s v="CV24903"/>
    <s v="CARLOS ANDRES MORA MUÑOZ"/>
    <s v="SEGUROS"/>
    <x v="13"/>
    <x v="17"/>
    <e v="#NAME?"/>
    <s v="SDATOOL-37170 $ Seguros - LIS Coaseguro en Seguros Libres"/>
    <n v="0.25"/>
    <x v="1"/>
    <x v="0"/>
    <m/>
    <e v="#NAME?"/>
    <e v="#NAME?"/>
    <e v="#NAME?"/>
    <m/>
    <m/>
    <m/>
    <m/>
    <m/>
    <m/>
  </r>
  <r>
    <s v="CV24903"/>
    <s v="CARLOS ANDRES MORA MUÑOZ"/>
    <s v="SEGUROS"/>
    <x v="13"/>
    <x v="17"/>
    <e v="#NAME?"/>
    <s v="NOSDA $ BAU (Mantenimiento y peq. evolutivos)"/>
    <n v="0.25"/>
    <x v="1"/>
    <x v="0"/>
    <m/>
    <e v="#NAME?"/>
    <e v="#NAME?"/>
    <e v="#NAME?"/>
    <m/>
    <m/>
    <m/>
    <m/>
    <m/>
    <m/>
  </r>
  <r>
    <s v="CV24903"/>
    <s v="CARLOS ANDRES MORA MUÑOZ"/>
    <s v="SEGUROS"/>
    <x v="13"/>
    <x v="17"/>
    <e v="#NAME?"/>
    <s v="SDATOOL-38225 $ Seguros - Mandatorios 2022"/>
    <n v="0.5"/>
    <x v="1"/>
    <x v="0"/>
    <m/>
    <e v="#NAME?"/>
    <e v="#NAME?"/>
    <e v="#NAME?"/>
    <m/>
    <m/>
    <m/>
    <m/>
    <m/>
    <m/>
  </r>
  <r>
    <s v="CE44928"/>
    <s v="DESIREE JOSELYN MARQUEZ DIAZ"/>
    <s v="SEGUROS"/>
    <x v="13"/>
    <x v="19"/>
    <e v="#NAME?"/>
    <s v="SDATOOL-36501 $ Seguros - Cobro de seguros libres en créditos - Desempleo Fase 2"/>
    <n v="0.5"/>
    <x v="0"/>
    <x v="0"/>
    <s v="LÍDER TÉCNICO"/>
    <e v="#NAME?"/>
    <e v="#NAME?"/>
    <e v="#NAME?"/>
    <m/>
    <m/>
    <m/>
    <m/>
    <m/>
    <m/>
  </r>
  <r>
    <s v="CE44928"/>
    <s v="DESIREE JOSELYN MARQUEZ DIAZ"/>
    <s v="SEGUROS"/>
    <x v="13"/>
    <x v="19"/>
    <e v="#NAME?"/>
    <s v="SDATOOL-42265 $ Seguros - Verificación de Identidad CE27"/>
    <n v="0.5"/>
    <x v="0"/>
    <x v="0"/>
    <s v="LÍDER TÉCNICO"/>
    <e v="#NAME?"/>
    <e v="#NAME?"/>
    <e v="#NAME?"/>
    <m/>
    <m/>
    <m/>
    <m/>
    <m/>
    <m/>
  </r>
  <r>
    <s v="CV25067"/>
    <s v="FRANCINE NARVAEZ LONDOÑO"/>
    <s v="SEGUROS"/>
    <x v="13"/>
    <x v="17"/>
    <e v="#NAME?"/>
    <s v="SDATOOL-37170 $ Seguros - LIS Coaseguro en Seguros Libres"/>
    <n v="0.75"/>
    <x v="0"/>
    <x v="0"/>
    <s v="LÍDER TÉCNICO"/>
    <e v="#NAME?"/>
    <e v="#NAME?"/>
    <e v="#NAME?"/>
    <m/>
    <m/>
    <m/>
    <m/>
    <m/>
    <m/>
  </r>
  <r>
    <s v="CV25067"/>
    <s v="FRANCINE NARVAEZ LONDOÑO"/>
    <s v="SEGUROS"/>
    <x v="13"/>
    <x v="17"/>
    <e v="#NAME?"/>
    <s v="NOSDA $ BAU (Mantenimiento y peq. evolutivos)"/>
    <n v="0.25"/>
    <x v="0"/>
    <x v="0"/>
    <s v="LÍDER TÉCNICO"/>
    <e v="#NAME?"/>
    <e v="#NAME?"/>
    <e v="#NAME?"/>
    <m/>
    <m/>
    <m/>
    <m/>
    <m/>
    <m/>
  </r>
  <r>
    <s v="CV25084"/>
    <s v="JEISON IVAN GAMBA HASTAMORIR"/>
    <s v="SEGUROS"/>
    <x v="13"/>
    <x v="17"/>
    <e v="#NAME?"/>
    <s v="SDATOOL-42265 $ Seguros - Verificación de Identidad CE27"/>
    <n v="1"/>
    <x v="0"/>
    <x v="0"/>
    <s v="LÍDER TÉCNICO"/>
    <e v="#NAME?"/>
    <e v="#NAME?"/>
    <e v="#NAME?"/>
    <m/>
    <m/>
    <m/>
    <m/>
    <m/>
    <m/>
  </r>
  <r>
    <s v="CV25093"/>
    <s v="NANCY ESTEFANIA CASAS PERDOMO"/>
    <s v="SEGUROS"/>
    <x v="13"/>
    <x v="17"/>
    <e v="#NAME?"/>
    <s v="NOSDA $ BAU (Mantenimiento y peq. evolutivos)"/>
    <n v="0.75"/>
    <x v="0"/>
    <x v="0"/>
    <s v="LÍDER TÉCNICO"/>
    <e v="#NAME?"/>
    <e v="#NAME?"/>
    <e v="#NAME?"/>
    <m/>
    <m/>
    <m/>
    <m/>
    <m/>
    <m/>
  </r>
  <r>
    <s v="CV25093"/>
    <s v="NANCY ESTEFANIA CASAS PERDOMO"/>
    <s v="SEGUROS"/>
    <x v="13"/>
    <x v="17"/>
    <e v="#NAME?"/>
    <s v="SDATOOL-36501 $ Seguros - Cobro de seguros libres en créditos - Desempleo Fase 2"/>
    <n v="0.25"/>
    <x v="0"/>
    <x v="0"/>
    <s v="LÍDER TÉCNICO"/>
    <e v="#NAME?"/>
    <e v="#NAME?"/>
    <e v="#NAME?"/>
    <m/>
    <m/>
    <m/>
    <m/>
    <m/>
    <m/>
  </r>
  <r>
    <s v="CV25074"/>
    <s v="JOHAN SEBASTIAN DUEÑAS ARTUNDUAGA_x000a_"/>
    <s v="SEGUROS"/>
    <x v="13"/>
    <x v="17"/>
    <e v="#NAME?"/>
    <s v="SDATOOL-37170 $ Seguros - LIS Coaseguro en Seguros Libres"/>
    <n v="1"/>
    <x v="0"/>
    <x v="0"/>
    <m/>
    <e v="#NAME?"/>
    <e v="#NAME?"/>
    <e v="#NAME?"/>
    <m/>
    <m/>
    <m/>
    <m/>
    <m/>
    <m/>
  </r>
  <r>
    <s v="CV25001"/>
    <s v="ELKIN FERNANDO BURBANO CORAL"/>
    <s v="SEGUROS"/>
    <x v="13"/>
    <x v="17"/>
    <e v="#NAME?"/>
    <s v="SDATOOL-40764 $ Seguros - AXA F2"/>
    <n v="0.75"/>
    <x v="1"/>
    <x v="0"/>
    <m/>
    <e v="#NAME?"/>
    <e v="#NAME?"/>
    <e v="#NAME?"/>
    <m/>
    <m/>
    <m/>
    <m/>
    <m/>
    <m/>
  </r>
  <r>
    <s v="CV25001"/>
    <s v="ELKIN FERNANDO BURBANO CORAL"/>
    <s v="SEGUROS"/>
    <x v="13"/>
    <x v="17"/>
    <e v="#NAME?"/>
    <s v="SDATOOL-37170 $ Seguros - LIS Coaseguro en Seguros Libres"/>
    <n v="0.25"/>
    <x v="1"/>
    <x v="0"/>
    <m/>
    <e v="#NAME?"/>
    <e v="#NAME?"/>
    <e v="#NAME?"/>
    <m/>
    <m/>
    <m/>
    <m/>
    <m/>
    <m/>
  </r>
  <r>
    <s v="CE66586"/>
    <s v="DANEY FELIPE MIRANDA MIRANDA"/>
    <s v="SEGUROS"/>
    <x v="13"/>
    <x v="5"/>
    <e v="#NAME?"/>
    <s v="SDATOOL-38080 $ Seguros - LIS Coaseguro Aceptado Autos"/>
    <n v="1"/>
    <x v="2"/>
    <x v="1"/>
    <s v="Altamira"/>
    <e v="#NAME?"/>
    <e v="#NAME?"/>
    <e v="#NAME?"/>
    <m/>
    <m/>
    <m/>
    <m/>
    <m/>
    <m/>
  </r>
  <r>
    <s v="T005668"/>
    <s v="ERICK SANTIAGO GUERRERO ROMERO"/>
    <s v="SEGUROS"/>
    <x v="13"/>
    <x v="5"/>
    <e v="#NAME?"/>
    <s v="SDATOOL-38080 $ Seguros - LIS Coaseguro Aceptado Autos"/>
    <n v="1"/>
    <x v="2"/>
    <x v="6"/>
    <s v="Altamira"/>
    <e v="#NAME?"/>
    <e v="#NAME?"/>
    <e v="#NAME?"/>
    <m/>
    <m/>
    <m/>
    <m/>
    <m/>
    <m/>
  </r>
  <r>
    <s v="CE48941"/>
    <s v="CRISTHIAN ARMANDO DUEÑAS"/>
    <s v="SEGUROS"/>
    <x v="13"/>
    <x v="5"/>
    <e v="#NAME?"/>
    <s v="NOSDA $ BAU (Mantenimiento y peq. evolutivos)"/>
    <n v="1"/>
    <x v="2"/>
    <x v="0"/>
    <m/>
    <e v="#NAME?"/>
    <e v="#NAME?"/>
    <e v="#NAME?"/>
    <m/>
    <m/>
    <m/>
    <m/>
    <m/>
    <m/>
  </r>
  <r>
    <s v="CE50178"/>
    <s v="PABLO ENRIQUE CALDERON DIAZ"/>
    <s v="SEGUROS"/>
    <x v="13"/>
    <x v="5"/>
    <e v="#NAME?"/>
    <s v="NOSDA $ BAU (Mantenimiento y peq. evolutivos)"/>
    <n v="1"/>
    <x v="3"/>
    <x v="6"/>
    <s v="Técnico Despliegues Seguros / Altamira"/>
    <e v="#NAME?"/>
    <e v="#NAME?"/>
    <e v="#NAME?"/>
    <m/>
    <m/>
    <m/>
    <m/>
    <m/>
    <m/>
  </r>
  <r>
    <s v="CE69705"/>
    <s v="MIGUEL FAJARDO"/>
    <s v="SEGUROS"/>
    <x v="13"/>
    <x v="5"/>
    <e v="#NAME?"/>
    <s v="SDATOOL-36501 $ Seguros - Cobro de seguros libres en créditos - Desempleo Fase 2"/>
    <n v="1"/>
    <x v="2"/>
    <x v="0"/>
    <m/>
    <e v="#NAME?"/>
    <e v="#NAME?"/>
    <e v="#NAME?"/>
    <m/>
    <m/>
    <m/>
    <m/>
    <m/>
    <m/>
  </r>
  <r>
    <s v="CE53945"/>
    <s v="GIOVANNI ALONSO PENARETE BUITRAGO"/>
    <s v="SEGUROS"/>
    <x v="13"/>
    <x v="5"/>
    <e v="#NAME?"/>
    <s v="SDATOOL-38080 $ Seguros - LIS Coaseguro Aceptado Autos"/>
    <n v="1"/>
    <x v="2"/>
    <x v="6"/>
    <s v="Altamira"/>
    <e v="#NAME?"/>
    <e v="#NAME?"/>
    <e v="#NAME?"/>
    <m/>
    <m/>
    <m/>
    <m/>
    <m/>
    <m/>
  </r>
  <r>
    <s v="T008565"/>
    <s v="HENRY FABIAN ROJAS GALLEGO"/>
    <s v="SEGUROS"/>
    <x v="13"/>
    <x v="5"/>
    <e v="#NAME?"/>
    <s v="SDATOOL-38080 $ Seguros - LIS Coaseguro Aceptado Autos"/>
    <n v="1"/>
    <x v="2"/>
    <x v="6"/>
    <s v="Altamira"/>
    <e v="#NAME?"/>
    <e v="#NAME?"/>
    <e v="#NAME?"/>
    <m/>
    <m/>
    <m/>
    <m/>
    <m/>
    <m/>
  </r>
  <r>
    <s v="T009692"/>
    <s v="SEBASTIAN FELIPE ROJAS"/>
    <s v="SEGUROS"/>
    <x v="13"/>
    <x v="5"/>
    <e v="#NAME?"/>
    <s v="NOSDA $ BAU (Mantenimiento y peq. evolutivos)"/>
    <n v="1"/>
    <x v="3"/>
    <x v="6"/>
    <s v="Técnico Despliegues Seguros / Altamira"/>
    <e v="#NAME?"/>
    <e v="#NAME?"/>
    <e v="#NAME?"/>
    <m/>
    <m/>
    <m/>
    <m/>
    <m/>
    <m/>
  </r>
  <r>
    <s v="CE42004"/>
    <s v="CLARENA VALENCIA CALDERON"/>
    <s v="SEGUROS"/>
    <x v="13"/>
    <x v="5"/>
    <e v="#NAME?"/>
    <s v="SDATOOL-38080 $ Seguros - LIS Coaseguro Aceptado Autos"/>
    <n v="1"/>
    <x v="2"/>
    <x v="6"/>
    <s v="Altamira"/>
    <e v="#NAME?"/>
    <e v="#NAME?"/>
    <e v="#NAME?"/>
    <m/>
    <m/>
    <m/>
    <m/>
    <m/>
    <m/>
  </r>
  <r>
    <n v="1032450219"/>
    <s v="JULIAN LEANDRO CASTRO"/>
    <s v="SEGUROS"/>
    <x v="13"/>
    <x v="5"/>
    <e v="#NAME?"/>
    <s v="SDATOOL-42099 $ Seguros - Cuota Segura/Créditos de libranza (SEGUROS)"/>
    <n v="1"/>
    <x v="2"/>
    <x v="6"/>
    <s v="Altamira"/>
    <e v="#NAME?"/>
    <e v="#NAME?"/>
    <e v="#NAME?"/>
    <m/>
    <m/>
    <m/>
    <m/>
    <m/>
    <m/>
  </r>
  <r>
    <s v="CE65204"/>
    <s v="KATHERINE GALINDO VARGAS"/>
    <s v="SEGUROS"/>
    <x v="13"/>
    <x v="9"/>
    <e v="#NAME?"/>
    <s v="SDATOOL-34750 $ Seguros - Suscripción/Siniestros Seguros Licitación"/>
    <n v="1"/>
    <x v="2"/>
    <x v="0"/>
    <m/>
    <e v="#NAME?"/>
    <e v="#NAME?"/>
    <e v="#NAME?"/>
    <m/>
    <m/>
    <m/>
    <m/>
    <m/>
    <m/>
  </r>
  <r>
    <s v="CE65203"/>
    <s v="NATALIA ALEJANDRA GRAJALES CARDONA"/>
    <s v="SEGUROS"/>
    <x v="13"/>
    <x v="9"/>
    <e v="#NAME?"/>
    <s v="SDATOOL-38080 $ Seguros - LIS Coaseguro Aceptado Autos"/>
    <n v="1"/>
    <x v="2"/>
    <x v="0"/>
    <m/>
    <e v="#NAME?"/>
    <e v="#NAME?"/>
    <e v="#NAME?"/>
    <m/>
    <m/>
    <m/>
    <m/>
    <m/>
    <m/>
  </r>
  <r>
    <s v="CE53475"/>
    <s v="ANDREA MARCELA RODRIGUEZ A"/>
    <s v="SEGUROS"/>
    <x v="13"/>
    <x v="9"/>
    <e v="#NAME?"/>
    <s v="NOSDA $ BAU (Mantenimiento y peq. evolutivos)"/>
    <n v="1"/>
    <x v="2"/>
    <x v="6"/>
    <s v="Altamira"/>
    <e v="#NAME?"/>
    <e v="#NAME?"/>
    <e v="#NAME?"/>
    <m/>
    <m/>
    <m/>
    <m/>
    <m/>
    <m/>
  </r>
  <r>
    <s v="CE60737"/>
    <s v="JAIRO JUNIOR HERNANDEZ TRILLOS"/>
    <s v="SEGUROS"/>
    <x v="13"/>
    <x v="9"/>
    <e v="#NAME?"/>
    <s v="SDATOOL-40764 $ Seguros - AXA F2"/>
    <n v="1"/>
    <x v="2"/>
    <x v="0"/>
    <m/>
    <e v="#NAME?"/>
    <e v="#NAME?"/>
    <e v="#NAME?"/>
    <m/>
    <m/>
    <m/>
    <m/>
    <m/>
    <m/>
  </r>
  <r>
    <s v="CE37757"/>
    <s v="ENOIDES MEJIA"/>
    <s v="SEGUROS"/>
    <x v="13"/>
    <x v="9"/>
    <e v="#NAME?"/>
    <s v="NOSDA $ BAU (Mantenimiento y peq. evolutivos)"/>
    <n v="1"/>
    <x v="3"/>
    <x v="0"/>
    <s v="Técnico Despliegues Seguros - Distribuido"/>
    <e v="#NAME?"/>
    <e v="#NAME?"/>
    <e v="#NAME?"/>
    <m/>
    <m/>
    <m/>
    <m/>
    <m/>
    <m/>
  </r>
  <r>
    <s v="CE69797"/>
    <s v="MARIA ALEJANDRA ZUÑIGA"/>
    <s v="SEGUROS"/>
    <x v="13"/>
    <x v="1"/>
    <e v="#NAME?"/>
    <s v="NOSDA $ BAU (Mantenimiento y peq. evolutivos)"/>
    <n v="1"/>
    <x v="2"/>
    <x v="6"/>
    <s v="Altamira"/>
    <e v="#NAME?"/>
    <e v="#NAME?"/>
    <e v="#NAME?"/>
    <m/>
    <m/>
    <m/>
    <m/>
    <m/>
    <m/>
  </r>
  <r>
    <s v="CE66582"/>
    <s v="ANDREA CATERIN MUNOZ ACOSTA"/>
    <s v="SEGUROS"/>
    <x v="13"/>
    <x v="2"/>
    <e v="#NAME?"/>
    <s v="SDATOOL-38080 $ Seguros - LIS Coaseguro Aceptado Autos"/>
    <n v="1"/>
    <x v="2"/>
    <x v="6"/>
    <s v="Altamira"/>
    <e v="#NAME?"/>
    <e v="#NAME?"/>
    <e v="#NAME?"/>
    <m/>
    <m/>
    <m/>
    <m/>
    <m/>
    <m/>
  </r>
  <r>
    <s v="CE55951"/>
    <s v="TANIA YULIETH PUENTES REAL"/>
    <s v="SEGUROS"/>
    <x v="13"/>
    <x v="2"/>
    <e v="#NAME?"/>
    <s v="SDATOOL-38080 $ Seguros - LIS Coaseguro Aceptado Autos"/>
    <n v="1"/>
    <x v="2"/>
    <x v="6"/>
    <s v="Altamira"/>
    <e v="#NAME?"/>
    <e v="#NAME?"/>
    <e v="#NAME?"/>
    <m/>
    <m/>
    <m/>
    <m/>
    <m/>
    <m/>
  </r>
  <r>
    <s v="CE50906"/>
    <s v="EDGAR DANIEL CASTRO MUNOZ"/>
    <s v="SEGUROS"/>
    <x v="13"/>
    <x v="2"/>
    <e v="#NAME?"/>
    <s v="SDATOOL-42099 $ Seguros - Cuota Segura/Créditos de libranza (SEGUROS)"/>
    <n v="1"/>
    <x v="2"/>
    <x v="6"/>
    <s v="Altamira"/>
    <e v="#NAME?"/>
    <e v="#NAME?"/>
    <e v="#NAME?"/>
    <m/>
    <m/>
    <m/>
    <m/>
    <m/>
    <m/>
  </r>
  <r>
    <s v="CE34436"/>
    <s v="BERTHA GRACIELA LOPEZ RODRIGUEZ"/>
    <s v="SEGUROS"/>
    <x v="13"/>
    <x v="19"/>
    <e v="#NAME?"/>
    <s v="SDATOOL-36501 $ Seguros - Cobro de seguros libres en créditos - Desempleo Fase 2"/>
    <n v="1"/>
    <x v="2"/>
    <x v="0"/>
    <m/>
    <e v="#NAME?"/>
    <e v="#NAME?"/>
    <e v="#NAME?"/>
    <m/>
    <m/>
    <m/>
    <m/>
    <m/>
    <m/>
  </r>
  <r>
    <s v="CE68707"/>
    <s v="MIGUEL LEÓN"/>
    <s v="SEGUROS"/>
    <x v="13"/>
    <x v="18"/>
    <e v="#NAME?"/>
    <s v="SDATOOL-36501 $ Seguros - Cobro de seguros libres en créditos - Desempleo Fase 2"/>
    <n v="1"/>
    <x v="2"/>
    <x v="0"/>
    <m/>
    <e v="#NAME?"/>
    <e v="#NAME?"/>
    <e v="#NAME?"/>
    <m/>
    <m/>
    <m/>
    <m/>
    <m/>
    <m/>
  </r>
  <r>
    <s v="CV68710"/>
    <s v="JOHN FREDY MUNOZ MARTINEZ"/>
    <s v="SEGUROS"/>
    <x v="13"/>
    <x v="3"/>
    <e v="#NAME?"/>
    <s v="SDATOOL-40767 $ Seguros - Migración FW / Auditoria (Front)"/>
    <n v="1"/>
    <x v="2"/>
    <x v="0"/>
    <m/>
    <e v="#NAME?"/>
    <e v="#NAME?"/>
    <e v="#NAME?"/>
    <m/>
    <m/>
    <m/>
    <m/>
    <m/>
    <m/>
  </r>
  <r>
    <s v="CV24905"/>
    <s v="ADRIANA IBARRA"/>
    <s v="SEGUROS"/>
    <x v="13"/>
    <x v="17"/>
    <e v="#NAME?"/>
    <s v="SDATOOL-38080 $ Seguros - LIS Coaseguro Aceptado Autos"/>
    <n v="0.33"/>
    <x v="2"/>
    <x v="6"/>
    <s v="QC"/>
    <e v="#NAME?"/>
    <e v="#NAME?"/>
    <e v="#NAME?"/>
    <m/>
    <m/>
    <m/>
    <m/>
    <m/>
    <m/>
  </r>
  <r>
    <s v="CV24905"/>
    <s v="ADRIANA IBARRA"/>
    <s v="SEGUROS"/>
    <x v="13"/>
    <x v="17"/>
    <e v="#NAME?"/>
    <s v="SDATOOL-42449 $ Seguros - LIS Coaseguro Aceptado Autos Fase 2"/>
    <n v="0.33"/>
    <x v="2"/>
    <x v="6"/>
    <s v="QC"/>
    <e v="#NAME?"/>
    <e v="#NAME?"/>
    <e v="#NAME?"/>
    <m/>
    <m/>
    <m/>
    <m/>
    <m/>
    <m/>
  </r>
  <r>
    <s v="CV24905"/>
    <s v="ADRIANA IBARRA"/>
    <s v="SEGUROS"/>
    <x v="13"/>
    <x v="17"/>
    <e v="#NAME?"/>
    <s v="SDATOOL-36501 $ Seguros - Cobro de seguros libres en créditos - Desempleo Fase 2"/>
    <n v="0.34"/>
    <x v="2"/>
    <x v="6"/>
    <s v="QC"/>
    <e v="#NAME?"/>
    <e v="#NAME?"/>
    <e v="#NAME?"/>
    <m/>
    <m/>
    <m/>
    <m/>
    <m/>
    <m/>
  </r>
  <r>
    <s v="O003129"/>
    <s v="DIEGO ARIEL RODRIGUEZ"/>
    <s v="SEGUROS"/>
    <x v="13"/>
    <x v="17"/>
    <e v="#NAME?"/>
    <s v="SDATOOL-40767 $ Seguros - Migración FW / Auditoria (Front)"/>
    <n v="0.5"/>
    <x v="3"/>
    <x v="6"/>
    <m/>
    <e v="#NAME?"/>
    <e v="#NAME?"/>
    <e v="#NAME?"/>
    <m/>
    <m/>
    <m/>
    <m/>
    <m/>
    <m/>
  </r>
  <r>
    <s v="O003129"/>
    <s v="DIEGO ARIEL RODRIGUEZ"/>
    <s v="SEGUROS"/>
    <x v="13"/>
    <x v="17"/>
    <e v="#NAME?"/>
    <s v="NOSDA $ BAU (Mantenimiento y peq. evolutivos)"/>
    <n v="0.5"/>
    <x v="3"/>
    <x v="6"/>
    <m/>
    <e v="#NAME?"/>
    <e v="#NAME?"/>
    <e v="#NAME?"/>
    <m/>
    <m/>
    <m/>
    <m/>
    <m/>
    <m/>
  </r>
  <r>
    <s v="T003707"/>
    <s v="Andres Camilo Ruiz Bravo"/>
    <s v="CFS"/>
    <x v="8"/>
    <x v="12"/>
    <e v="#NAME?"/>
    <s v="SDATOOL-35656 $ Cupos y límites"/>
    <n v="0.25"/>
    <x v="0"/>
    <x v="6"/>
    <s v="Externo"/>
    <e v="#NAME?"/>
    <e v="#NAME?"/>
    <e v="#NAME?"/>
    <m/>
    <m/>
    <m/>
    <m/>
    <m/>
    <m/>
  </r>
  <r>
    <s v="T003707"/>
    <s v="Andres Camilo Ruiz Bravo"/>
    <s v="CFS"/>
    <x v="8"/>
    <x v="12"/>
    <e v="#NAME?"/>
    <s v="SDATOOL-39463 $ GRM Col - Actualización Versión Power Curve."/>
    <n v="0.1"/>
    <x v="0"/>
    <x v="6"/>
    <s v="Externo"/>
    <e v="#NAME?"/>
    <e v="#NAME?"/>
    <e v="#NAME?"/>
    <m/>
    <m/>
    <m/>
    <m/>
    <m/>
    <m/>
  </r>
  <r>
    <s v="T003707"/>
    <s v="Andres Camilo Ruiz Bravo"/>
    <s v="CFS"/>
    <x v="8"/>
    <x v="12"/>
    <e v="#NAME?"/>
    <s v="SDATOOL-40710 $ GRM Col - Cronos - Plan Ascenso - Mejoras CAP Pymes Fase II"/>
    <n v="0.45"/>
    <x v="0"/>
    <x v="6"/>
    <s v="Externo"/>
    <e v="#NAME?"/>
    <e v="#NAME?"/>
    <e v="#NAME?"/>
    <m/>
    <m/>
    <m/>
    <m/>
    <m/>
    <m/>
  </r>
  <r>
    <s v="T003707"/>
    <s v="Andres Camilo Ruiz Bravo"/>
    <s v="CFS"/>
    <x v="8"/>
    <x v="12"/>
    <e v="#NAME?"/>
    <s v="SDATOOL-38443 $ Arce Empresas Colombia"/>
    <n v="0.2"/>
    <x v="0"/>
    <x v="6"/>
    <s v="Externo"/>
    <e v="#NAME?"/>
    <e v="#NAME?"/>
    <e v="#NAME?"/>
    <m/>
    <m/>
    <m/>
    <m/>
    <m/>
    <m/>
  </r>
  <r>
    <s v="CE54569"/>
    <s v="Danilo Cusba Pulido"/>
    <s v="CFS"/>
    <x v="8"/>
    <x v="1"/>
    <e v="#NAME?"/>
    <s v="SDATOOL-39463 $ GRM Col - Actualización Versión Power Curve."/>
    <n v="0.45"/>
    <x v="2"/>
    <x v="6"/>
    <s v="Externo"/>
    <e v="#NAME?"/>
    <e v="#NAME?"/>
    <e v="#NAME?"/>
    <m/>
    <m/>
    <m/>
    <m/>
    <m/>
    <m/>
  </r>
  <r>
    <s v="CE54569"/>
    <s v="Danilo Cusba Pulido"/>
    <s v="CFS"/>
    <x v="8"/>
    <x v="1"/>
    <e v="#NAME?"/>
    <s v="SDATOOL-40710 $ GRM Col - Cronos - Plan Ascenso - Mejoras CAP Pymes Fase II"/>
    <n v="0.3"/>
    <x v="2"/>
    <x v="6"/>
    <s v="Externo"/>
    <e v="#NAME?"/>
    <e v="#NAME?"/>
    <e v="#NAME?"/>
    <m/>
    <m/>
    <m/>
    <m/>
    <m/>
    <m/>
  </r>
  <r>
    <s v="CE54569"/>
    <s v="Danilo Cusba Pulido"/>
    <s v="CFS"/>
    <x v="8"/>
    <x v="1"/>
    <e v="#NAME?"/>
    <s v="SDATOOL-39826 $ GRM Col- Plan Ascenso - Mejoras en CAP Pymes y disponibilización HdC"/>
    <n v="0.15"/>
    <x v="2"/>
    <x v="6"/>
    <s v="Externo"/>
    <e v="#NAME?"/>
    <e v="#NAME?"/>
    <e v="#NAME?"/>
    <m/>
    <m/>
    <m/>
    <m/>
    <m/>
    <m/>
  </r>
  <r>
    <s v="CE54569"/>
    <s v="Danilo Cusba Pulido"/>
    <s v="CFS"/>
    <x v="8"/>
    <x v="1"/>
    <e v="#NAME?"/>
    <s v="SDATOOL-38443 $ Arce Empresas Colombia"/>
    <n v="0.1"/>
    <x v="2"/>
    <x v="6"/>
    <s v="Externo"/>
    <e v="#NAME?"/>
    <e v="#NAME?"/>
    <e v="#NAME?"/>
    <m/>
    <m/>
    <m/>
    <m/>
    <m/>
    <m/>
  </r>
  <r>
    <s v="T003442"/>
    <s v="DIDIER ALFREDO PASUY CASTANO"/>
    <s v="CFS"/>
    <x v="8"/>
    <x v="12"/>
    <e v="#NAME?"/>
    <s v="SDATOOL-40710 $ GRM Col - Cronos - Plan Ascenso - Mejoras CAP Pymes Fase II"/>
    <n v="0.25"/>
    <x v="0"/>
    <x v="6"/>
    <s v="Externo"/>
    <e v="#NAME?"/>
    <e v="#NAME?"/>
    <e v="#NAME?"/>
    <m/>
    <m/>
    <m/>
    <m/>
    <m/>
    <m/>
  </r>
  <r>
    <s v="T003442"/>
    <s v="DIDIER ALFREDO PASUY CASTANO"/>
    <s v="CFS"/>
    <x v="8"/>
    <x v="12"/>
    <e v="#NAME?"/>
    <s v="SDATOOL-38443 $ Arce Empresas Colombia"/>
    <n v="0.25"/>
    <x v="0"/>
    <x v="6"/>
    <s v="Externo"/>
    <e v="#NAME?"/>
    <e v="#NAME?"/>
    <e v="#NAME?"/>
    <m/>
    <m/>
    <m/>
    <m/>
    <m/>
    <m/>
  </r>
  <r>
    <s v="T003442"/>
    <s v="DIDIER ALFREDO PASUY CASTANO"/>
    <s v="CFS"/>
    <x v="8"/>
    <x v="12"/>
    <e v="#NAME?"/>
    <s v="SDATOOL-35656 $ Cupos y límites"/>
    <n v="0.25"/>
    <x v="0"/>
    <x v="6"/>
    <s v="Externo"/>
    <e v="#NAME?"/>
    <e v="#NAME?"/>
    <e v="#NAME?"/>
    <m/>
    <m/>
    <m/>
    <m/>
    <m/>
    <m/>
  </r>
  <r>
    <s v="T003442"/>
    <s v="DIDIER ALFREDO PASUY CASTANO"/>
    <s v="CFS"/>
    <x v="8"/>
    <x v="12"/>
    <e v="#NAME?"/>
    <s v="SDATOOL-35656 $ Cupos y límites"/>
    <n v="0.25"/>
    <x v="0"/>
    <x v="6"/>
    <s v="Externo"/>
    <e v="#NAME?"/>
    <e v="#NAME?"/>
    <e v="#NAME?"/>
    <m/>
    <m/>
    <m/>
    <m/>
    <m/>
    <m/>
  </r>
  <r>
    <s v="C804037"/>
    <s v="Eddy Hernando Bogota Cangrejo"/>
    <s v="CFS"/>
    <x v="8"/>
    <x v="0"/>
    <e v="#NAME?"/>
    <s v="SDATOOL-38443 $ Arce Empresas Colombia"/>
    <n v="0.25"/>
    <x v="1"/>
    <x v="6"/>
    <s v="Interno"/>
    <e v="#NAME?"/>
    <e v="#NAME?"/>
    <e v="#NAME?"/>
    <m/>
    <m/>
    <m/>
    <m/>
    <m/>
    <m/>
  </r>
  <r>
    <s v="C804037"/>
    <s v="Eddy Hernando Bogota Cangrejo"/>
    <s v="CFS"/>
    <x v="8"/>
    <x v="0"/>
    <e v="#NAME?"/>
    <s v="SDATOOL-39826 $ GRM Col- Plan Ascenso - Mejoras en CAP Pymes y disponibilización HdC"/>
    <n v="0.2"/>
    <x v="1"/>
    <x v="6"/>
    <s v="Interno"/>
    <e v="#NAME?"/>
    <e v="#NAME?"/>
    <e v="#NAME?"/>
    <m/>
    <m/>
    <m/>
    <m/>
    <m/>
    <m/>
  </r>
  <r>
    <s v="C804037"/>
    <s v="Eddy Hernando Bogota Cangrejo"/>
    <s v="CFS"/>
    <x v="8"/>
    <x v="0"/>
    <e v="#NAME?"/>
    <s v="SDATOOL-35656 $ Cupos y límites"/>
    <n v="0.2"/>
    <x v="1"/>
    <x v="6"/>
    <s v="Interno"/>
    <e v="#NAME?"/>
    <e v="#NAME?"/>
    <e v="#NAME?"/>
    <m/>
    <m/>
    <m/>
    <m/>
    <m/>
    <m/>
  </r>
  <r>
    <s v="C804037"/>
    <s v="Eddy Hernando Bogota Cangrejo"/>
    <s v="CFS"/>
    <x v="8"/>
    <x v="0"/>
    <e v="#NAME?"/>
    <s v="SDATOOL-40710 $ GRM Col - Cronos - Plan Ascenso - Mejoras CAP Pymes Fase II"/>
    <n v="0.2"/>
    <x v="1"/>
    <x v="6"/>
    <s v="Interno"/>
    <e v="#NAME?"/>
    <e v="#NAME?"/>
    <e v="#NAME?"/>
    <m/>
    <m/>
    <m/>
    <m/>
    <m/>
    <m/>
  </r>
  <r>
    <s v="C804037"/>
    <s v="Eddy Hernando Bogota Cangrejo"/>
    <s v="CFS"/>
    <x v="8"/>
    <x v="0"/>
    <e v="#NAME?"/>
    <s v="NOSDA $ BAU (Mantenimiento y peq. evolutivos)"/>
    <n v="0.15"/>
    <x v="1"/>
    <x v="6"/>
    <s v="Interno"/>
    <e v="#NAME?"/>
    <e v="#NAME?"/>
    <e v="#NAME?"/>
    <m/>
    <m/>
    <m/>
    <m/>
    <m/>
    <m/>
  </r>
  <r>
    <s v="C805749"/>
    <s v="Espitia Montilla William Ricardo"/>
    <s v="CFS"/>
    <x v="8"/>
    <x v="0"/>
    <e v="#NAME?"/>
    <s v="SDATOOL-40710 $ GRM Col - Cronos - Plan Ascenso - Mejoras CAP Pymes Fase II"/>
    <n v="0.5"/>
    <x v="0"/>
    <x v="6"/>
    <s v="Interno"/>
    <e v="#NAME?"/>
    <e v="#NAME?"/>
    <e v="#NAME?"/>
    <m/>
    <m/>
    <m/>
    <m/>
    <m/>
    <m/>
  </r>
  <r>
    <s v="C805749"/>
    <s v="Espitia Montilla William Ricardo"/>
    <s v="CFS"/>
    <x v="8"/>
    <x v="0"/>
    <e v="#NAME?"/>
    <s v="SDATOOL-35656 $ Cupos y límites"/>
    <n v="0.4"/>
    <x v="0"/>
    <x v="6"/>
    <s v="Interno"/>
    <e v="#NAME?"/>
    <e v="#NAME?"/>
    <e v="#NAME?"/>
    <m/>
    <m/>
    <m/>
    <m/>
    <m/>
    <m/>
  </r>
  <r>
    <s v="C805749"/>
    <s v="Espitia Montilla William Ricardo"/>
    <s v="CFS"/>
    <x v="8"/>
    <x v="0"/>
    <e v="#NAME?"/>
    <s v="SDATOOL-38443 $ Arce Empresas Colombia"/>
    <n v="0.1"/>
    <x v="0"/>
    <x v="6"/>
    <s v="Interno"/>
    <e v="#NAME?"/>
    <e v="#NAME?"/>
    <e v="#NAME?"/>
    <m/>
    <m/>
    <m/>
    <m/>
    <m/>
    <m/>
  </r>
  <r>
    <s v="C809505"/>
    <s v="Fuentes Rojas Jose David"/>
    <s v="CFS"/>
    <x v="8"/>
    <x v="0"/>
    <e v="#NAME?"/>
    <s v="SDATOOL-40710 $ GRM Col - Cronos - Plan Ascenso - Mejoras CAP Pymes Fase II"/>
    <n v="0.35"/>
    <x v="0"/>
    <x v="6"/>
    <s v="Interno"/>
    <e v="#NAME?"/>
    <e v="#NAME?"/>
    <e v="#NAME?"/>
    <m/>
    <m/>
    <m/>
    <m/>
    <m/>
    <m/>
  </r>
  <r>
    <s v="C809505"/>
    <s v="Fuentes Rojas Jose David"/>
    <s v="CFS"/>
    <x v="8"/>
    <x v="0"/>
    <e v="#NAME?"/>
    <s v="SDATOOL-38443 $ Arce Empresas Colombia"/>
    <n v="0.3"/>
    <x v="0"/>
    <x v="6"/>
    <s v="Interno"/>
    <e v="#NAME?"/>
    <e v="#NAME?"/>
    <e v="#NAME?"/>
    <m/>
    <m/>
    <m/>
    <m/>
    <m/>
    <m/>
  </r>
  <r>
    <s v="C809505"/>
    <s v="Fuentes Rojas Jose David"/>
    <s v="CFS"/>
    <x v="8"/>
    <x v="0"/>
    <e v="#NAME?"/>
    <s v="SDATOOL-35656 $ Cupos y límites"/>
    <n v="0.35"/>
    <x v="0"/>
    <x v="6"/>
    <s v="Interno"/>
    <e v="#NAME?"/>
    <e v="#NAME?"/>
    <e v="#NAME?"/>
    <m/>
    <m/>
    <m/>
    <m/>
    <m/>
    <m/>
  </r>
  <r>
    <s v="CE58926"/>
    <s v="HEYBER FERNANDO NINO GUANUME."/>
    <s v="CFS"/>
    <x v="8"/>
    <x v="12"/>
    <e v="#NAME?"/>
    <s v="SDATOOL-38443 $ Arce Empresas Colombia"/>
    <n v="0.5"/>
    <x v="0"/>
    <x v="6"/>
    <s v="Externo"/>
    <e v="#NAME?"/>
    <e v="#NAME?"/>
    <e v="#NAME?"/>
    <m/>
    <m/>
    <m/>
    <m/>
    <m/>
    <m/>
  </r>
  <r>
    <s v="CE58926"/>
    <s v="HEYBER FERNANDO NINO GUANUME."/>
    <s v="CFS"/>
    <x v="8"/>
    <x v="12"/>
    <e v="#NAME?"/>
    <s v="SDATOOL-38443 $ Arce Empresas Colombia"/>
    <n v="0.5"/>
    <x v="0"/>
    <x v="6"/>
    <s v="Externo"/>
    <e v="#NAME?"/>
    <e v="#NAME?"/>
    <e v="#NAME?"/>
    <m/>
    <m/>
    <m/>
    <m/>
    <m/>
    <m/>
  </r>
  <r>
    <s v="T002660"/>
    <s v="JUAN ALEJANDRO RIOS PEREZ"/>
    <s v="CFS"/>
    <x v="8"/>
    <x v="1"/>
    <e v="#NAME?"/>
    <s v="SDATOOL-40710 $ GRM Col - Cronos - Plan Ascenso - Mejoras CAP Pymes Fase II"/>
    <n v="0.3"/>
    <x v="2"/>
    <x v="6"/>
    <s v="Externo"/>
    <e v="#NAME?"/>
    <e v="#NAME?"/>
    <e v="#NAME?"/>
    <m/>
    <m/>
    <m/>
    <m/>
    <m/>
    <m/>
  </r>
  <r>
    <s v="T002660"/>
    <s v="JUAN ALEJANDRO RIOS PEREZ"/>
    <s v="CFS"/>
    <x v="8"/>
    <x v="1"/>
    <e v="#NAME?"/>
    <s v="SDATOOL-35656 $ Cupos y límites"/>
    <n v="0.3"/>
    <x v="2"/>
    <x v="6"/>
    <s v="Externo"/>
    <e v="#NAME?"/>
    <e v="#NAME?"/>
    <e v="#NAME?"/>
    <m/>
    <m/>
    <m/>
    <m/>
    <m/>
    <m/>
  </r>
  <r>
    <s v="T002660"/>
    <s v="JUAN ALEJANDRO RIOS PEREZ"/>
    <s v="CFS"/>
    <x v="8"/>
    <x v="1"/>
    <e v="#NAME?"/>
    <s v="SDATOOL-38443 $ Arce Empresas Colombia"/>
    <n v="0.4"/>
    <x v="2"/>
    <x v="6"/>
    <s v="Externo"/>
    <e v="#NAME?"/>
    <e v="#NAME?"/>
    <e v="#NAME?"/>
    <m/>
    <m/>
    <m/>
    <m/>
    <m/>
    <m/>
  </r>
  <r>
    <s v="T003439"/>
    <s v="Paula Janeth moreno Escobar"/>
    <s v="CFS"/>
    <x v="8"/>
    <x v="12"/>
    <e v="#NAME?"/>
    <s v="SDATOOL-40710 $ GRM Col - Cronos - Plan Ascenso - Mejoras CAP Pymes Fase II"/>
    <n v="0.5"/>
    <x v="0"/>
    <x v="6"/>
    <s v="Externo"/>
    <e v="#NAME?"/>
    <e v="#NAME?"/>
    <e v="#NAME?"/>
    <m/>
    <m/>
    <m/>
    <m/>
    <m/>
    <m/>
  </r>
  <r>
    <s v="T003439"/>
    <s v="Paula Janeth moreno Escobar"/>
    <s v="CFS"/>
    <x v="8"/>
    <x v="12"/>
    <e v="#NAME?"/>
    <s v="SDATOOL-35656 $ Cupos y límites"/>
    <n v="0.1"/>
    <x v="0"/>
    <x v="6"/>
    <s v="Externo"/>
    <e v="#NAME?"/>
    <e v="#NAME?"/>
    <e v="#NAME?"/>
    <m/>
    <m/>
    <m/>
    <m/>
    <m/>
    <m/>
  </r>
  <r>
    <s v="T003439"/>
    <s v="Paula Janeth moreno Escobar"/>
    <s v="CFS"/>
    <x v="8"/>
    <x v="12"/>
    <e v="#NAME?"/>
    <s v="SDATOOL-38443 $ Arce Empresas Colombia"/>
    <n v="0.4"/>
    <x v="0"/>
    <x v="6"/>
    <s v="Externo"/>
    <e v="#NAME?"/>
    <e v="#NAME?"/>
    <e v="#NAME?"/>
    <m/>
    <m/>
    <m/>
    <m/>
    <m/>
    <m/>
  </r>
  <r>
    <s v="C808793"/>
    <s v="Rey Orozco Cristian Ivan"/>
    <s v="CFS"/>
    <x v="8"/>
    <x v="0"/>
    <e v="#NAME?"/>
    <s v="SDATOOL-40710 $ GRM Col - Cronos - Plan Ascenso - Mejoras CAP Pymes Fase II"/>
    <n v="0.8"/>
    <x v="0"/>
    <x v="6"/>
    <s v="Interno"/>
    <e v="#NAME?"/>
    <e v="#NAME?"/>
    <e v="#NAME?"/>
    <m/>
    <m/>
    <m/>
    <m/>
    <m/>
    <m/>
  </r>
  <r>
    <s v="C808793"/>
    <s v="Rey Orozco Cristian Ivan"/>
    <s v="CFS"/>
    <x v="8"/>
    <x v="0"/>
    <e v="#NAME?"/>
    <s v="SDATOOL-35656 $ Cupos y límites"/>
    <n v="0.2"/>
    <x v="0"/>
    <x v="6"/>
    <s v="Interno"/>
    <e v="#NAME?"/>
    <e v="#NAME?"/>
    <e v="#NAME?"/>
    <m/>
    <m/>
    <m/>
    <m/>
    <m/>
    <m/>
  </r>
  <r>
    <s v="C811305"/>
    <s v="Rigoberto Rios Hueso"/>
    <s v="CFS"/>
    <x v="8"/>
    <x v="0"/>
    <e v="#NAME?"/>
    <s v="SDATOOL-39463 $ GRM Col - Actualización Versión Power Curve."/>
    <n v="0.4"/>
    <x v="0"/>
    <x v="6"/>
    <s v="Interno"/>
    <e v="#NAME?"/>
    <e v="#NAME?"/>
    <e v="#NAME?"/>
    <m/>
    <m/>
    <m/>
    <m/>
    <m/>
    <m/>
  </r>
  <r>
    <s v="C811305"/>
    <s v="Rigoberto Rios Hueso"/>
    <s v="CFS"/>
    <x v="8"/>
    <x v="0"/>
    <e v="#NAME?"/>
    <s v="SDATOOL-39826 $ GRM Col- Plan Ascenso - Mejoras en CAP Pymes y disponibilización HdC"/>
    <n v="0.6"/>
    <x v="0"/>
    <x v="6"/>
    <s v="Interno"/>
    <e v="#NAME?"/>
    <e v="#NAME?"/>
    <e v="#NAME?"/>
    <m/>
    <m/>
    <m/>
    <m/>
    <m/>
    <m/>
  </r>
  <r>
    <s v="T003924"/>
    <s v="Stefan Nicolas Aponte Murcia"/>
    <s v="CFS"/>
    <x v="8"/>
    <x v="9"/>
    <e v="#NAME?"/>
    <s v="SDATOOL-40710 $ GRM Col - Cronos - Plan Ascenso - Mejoras CAP Pymes Fase II"/>
    <n v="0.6"/>
    <x v="0"/>
    <x v="6"/>
    <s v="Externo"/>
    <e v="#NAME?"/>
    <e v="#NAME?"/>
    <e v="#NAME?"/>
    <m/>
    <m/>
    <m/>
    <m/>
    <m/>
    <m/>
  </r>
  <r>
    <s v="T003924"/>
    <s v="Stefan Nicolas Aponte Murcia"/>
    <s v="CFS"/>
    <x v="8"/>
    <x v="9"/>
    <e v="#NAME?"/>
    <s v="SDATOOL-35656 $ Cupos y límites"/>
    <n v="0.4"/>
    <x v="0"/>
    <x v="6"/>
    <s v="Externo"/>
    <e v="#NAME?"/>
    <e v="#NAME?"/>
    <e v="#NAME?"/>
    <m/>
    <m/>
    <m/>
    <m/>
    <m/>
    <m/>
  </r>
  <r>
    <s v="T005244"/>
    <s v="TOVAR VELASQUEZ MEYER"/>
    <s v="CFS"/>
    <x v="8"/>
    <x v="12"/>
    <e v="#NAME?"/>
    <s v="SDATOOL-40710 $ GRM Col - Cronos - Plan Ascenso - Mejoras CAP Pymes Fase II"/>
    <n v="0.3"/>
    <x v="0"/>
    <x v="6"/>
    <s v="Externo"/>
    <e v="#NAME?"/>
    <e v="#NAME?"/>
    <e v="#NAME?"/>
    <m/>
    <m/>
    <m/>
    <m/>
    <m/>
    <m/>
  </r>
  <r>
    <s v="T005244"/>
    <s v="TOVAR VELASQUEZ MEYER"/>
    <s v="CFS"/>
    <x v="8"/>
    <x v="12"/>
    <e v="#NAME?"/>
    <s v="SDATOOL-35656 $ Cupos y límites"/>
    <n v="0.4"/>
    <x v="0"/>
    <x v="6"/>
    <s v="Externo"/>
    <e v="#NAME?"/>
    <e v="#NAME?"/>
    <e v="#NAME?"/>
    <m/>
    <m/>
    <m/>
    <m/>
    <m/>
    <m/>
  </r>
  <r>
    <s v="T005244"/>
    <s v="TOVAR VELASQUEZ MEYER"/>
    <s v="CFS"/>
    <x v="8"/>
    <x v="12"/>
    <e v="#NAME?"/>
    <s v="SDATOOL-38443 $ Arce Empresas Colombia"/>
    <n v="0.3"/>
    <x v="0"/>
    <x v="6"/>
    <s v="Externo"/>
    <e v="#NAME?"/>
    <e v="#NAME?"/>
    <e v="#NAME?"/>
    <m/>
    <m/>
    <m/>
    <m/>
    <m/>
    <m/>
  </r>
  <r>
    <s v="T004481"/>
    <s v="ACEVEDO SANCHEZ RUBEN DARIO"/>
    <s v="CFS"/>
    <x v="8"/>
    <x v="12"/>
    <e v="#NAME?"/>
    <s v="SDATOOL-40710 $ GRM Col - Cronos - Plan Ascenso - Mejoras CAP Pymes Fase II"/>
    <n v="0.5"/>
    <x v="0"/>
    <x v="6"/>
    <s v="Externo"/>
    <e v="#NAME?"/>
    <e v="#NAME?"/>
    <e v="#NAME?"/>
    <m/>
    <m/>
    <m/>
    <m/>
    <m/>
    <m/>
  </r>
  <r>
    <s v="T004481"/>
    <s v="ACEVEDO SANCHEZ RUBEN DARIO"/>
    <s v="CFS"/>
    <x v="8"/>
    <x v="12"/>
    <e v="#NAME?"/>
    <s v="SDATOOL-35656 $ Cupos y límites"/>
    <n v="0.5"/>
    <x v="0"/>
    <x v="6"/>
    <s v="Externo"/>
    <e v="#NAME?"/>
    <e v="#NAME?"/>
    <e v="#NAME?"/>
    <m/>
    <m/>
    <m/>
    <m/>
    <m/>
    <m/>
  </r>
  <r>
    <s v="CE54975"/>
    <s v="Juan Carlos Pardo Hernandez"/>
    <s v="CFS"/>
    <x v="8"/>
    <x v="9"/>
    <e v="#NAME?"/>
    <s v="SDATOOL-40710 $ GRM Col - Cronos - Plan Ascenso - Mejoras CAP Pymes Fase II"/>
    <n v="0.5"/>
    <x v="0"/>
    <x v="6"/>
    <s v="Externo"/>
    <e v="#NAME?"/>
    <e v="#NAME?"/>
    <e v="#NAME?"/>
    <m/>
    <m/>
    <m/>
    <m/>
    <m/>
    <m/>
  </r>
  <r>
    <s v="CE54975"/>
    <s v="Juan Carlos Pardo Hernandez"/>
    <s v="CFS"/>
    <x v="8"/>
    <x v="9"/>
    <e v="#NAME?"/>
    <s v="SDATOOL-35656 $ Cupos y límites"/>
    <n v="0.5"/>
    <x v="0"/>
    <x v="6"/>
    <s v="Externo"/>
    <e v="#NAME?"/>
    <e v="#NAME?"/>
    <e v="#NAME?"/>
    <m/>
    <m/>
    <m/>
    <m/>
    <m/>
    <m/>
  </r>
  <r>
    <s v="CE64571"/>
    <s v="Melissa Correa Rios"/>
    <s v="CFS"/>
    <x v="8"/>
    <x v="9"/>
    <e v="#NAME?"/>
    <s v="SDATOOL-35656 $ Cupos y límites"/>
    <n v="1"/>
    <x v="0"/>
    <x v="6"/>
    <s v="Externo"/>
    <e v="#NAME?"/>
    <e v="#NAME?"/>
    <e v="#NAME?"/>
    <m/>
    <m/>
    <m/>
    <m/>
    <m/>
    <m/>
  </r>
  <r>
    <s v="CE69336"/>
    <s v="Kleiver Joan Martinez Peña"/>
    <s v="CFS"/>
    <x v="8"/>
    <x v="8"/>
    <e v="#NAME?"/>
    <s v="SDATOOL-38443 $ Arce Empresas Colombia"/>
    <n v="1"/>
    <x v="0"/>
    <x v="6"/>
    <s v="Externo"/>
    <e v="#NAME?"/>
    <e v="#NAME?"/>
    <e v="#NAME?"/>
    <m/>
    <m/>
    <m/>
    <m/>
    <m/>
    <m/>
  </r>
  <r>
    <s v="CE50845"/>
    <s v="Jeferson Daniel Agudelo sierra"/>
    <s v="CFS"/>
    <x v="8"/>
    <x v="12"/>
    <e v="#NAME?"/>
    <s v="SDATOOL-35656 $ Cupos y límites"/>
    <n v="0.5"/>
    <x v="0"/>
    <x v="6"/>
    <s v="Externo"/>
    <e v="#NAME?"/>
    <e v="#NAME?"/>
    <e v="#NAME?"/>
    <m/>
    <m/>
    <m/>
    <m/>
    <m/>
    <m/>
  </r>
  <r>
    <s v="CE50845"/>
    <s v="Jeferson Daniel Agudelo sierra"/>
    <s v="CFS"/>
    <x v="8"/>
    <x v="12"/>
    <e v="#NAME?"/>
    <s v="SDATOOL-38443 $ Arce Empresas Colombia"/>
    <n v="0.3"/>
    <x v="0"/>
    <x v="6"/>
    <s v="Externo"/>
    <e v="#NAME?"/>
    <e v="#NAME?"/>
    <e v="#NAME?"/>
    <m/>
    <m/>
    <m/>
    <m/>
    <m/>
    <m/>
  </r>
  <r>
    <s v="CE50845"/>
    <s v="Jeferson Daniel Agudelo sierra"/>
    <s v="CFS"/>
    <x v="8"/>
    <x v="12"/>
    <e v="#NAME?"/>
    <s v="SDATOOL-40710 $ GRM Col - Cronos - Plan Ascenso - Mejoras CAP Pymes Fase II"/>
    <n v="0.2"/>
    <x v="0"/>
    <x v="6"/>
    <m/>
    <e v="#NAME?"/>
    <e v="#NAME?"/>
    <e v="#NAME?"/>
    <m/>
    <m/>
    <m/>
    <m/>
    <m/>
    <m/>
  </r>
  <r>
    <s v="CE67859"/>
    <s v="Andres Felipe Quintero Salazar"/>
    <s v="RETAIL"/>
    <x v="14"/>
    <x v="20"/>
    <e v="#NAME?"/>
    <s v="SDATOOL-39348 $ tarjeta de crédito Open Market Fallback product"/>
    <n v="0.5"/>
    <x v="0"/>
    <x v="3"/>
    <m/>
    <e v="#NAME?"/>
    <e v="#NAME?"/>
    <e v="#NAME?"/>
    <m/>
    <m/>
    <m/>
    <m/>
    <m/>
    <m/>
  </r>
  <r>
    <s v="CE51863"/>
    <s v="EDNA ROCIO MONCADA"/>
    <s v="RETAIL"/>
    <x v="14"/>
    <x v="2"/>
    <e v="#NAME?"/>
    <s v="SDATOOL-39348 $ tarjeta de crédito Open Market Fallback product"/>
    <n v="0.02"/>
    <x v="2"/>
    <x v="1"/>
    <m/>
    <e v="#NAME?"/>
    <e v="#NAME?"/>
    <e v="#NAME?"/>
    <m/>
    <m/>
    <m/>
    <m/>
    <m/>
    <m/>
  </r>
  <r>
    <s v="O002593"/>
    <s v="TATIANA CAROLINA AVELLANEDA"/>
    <s v="RETAIL"/>
    <x v="14"/>
    <x v="0"/>
    <e v="#NAME?"/>
    <s v="SDATOOL-39348 $ tarjeta de crédito Open Market Fallback product"/>
    <n v="0.2"/>
    <x v="1"/>
    <x v="1"/>
    <m/>
    <e v="#NAME?"/>
    <e v="#NAME?"/>
    <e v="#NAME?"/>
    <m/>
    <m/>
    <m/>
    <m/>
    <m/>
    <m/>
  </r>
  <r>
    <s v="O001659"/>
    <s v="CARLOS ARTURO PUENTES ZAMBRANO"/>
    <s v="RETAIL"/>
    <x v="14"/>
    <x v="0"/>
    <e v="#NAME?"/>
    <s v="SDATOOL-39348 $ tarjeta de crédito Open Market Fallback product"/>
    <n v="1"/>
    <x v="0"/>
    <x v="2"/>
    <m/>
    <e v="#NAME?"/>
    <e v="#NAME?"/>
    <e v="#NAME?"/>
    <m/>
    <m/>
    <m/>
    <m/>
    <m/>
    <m/>
  </r>
  <r>
    <s v="T004575"/>
    <s v="David Sandoval Arboleda"/>
    <s v="RETAIL"/>
    <x v="14"/>
    <x v="20"/>
    <e v="#NAME?"/>
    <s v="SDATOOL-39348 $ tarjeta de crédito Open Market Fallback product"/>
    <n v="1"/>
    <x v="0"/>
    <x v="5"/>
    <m/>
    <e v="#NAME?"/>
    <e v="#NAME?"/>
    <e v="#NAME?"/>
    <m/>
    <m/>
    <m/>
    <m/>
    <m/>
    <m/>
  </r>
  <r>
    <s v="O000959"/>
    <s v="JORGE ESTEBAN LLANOS"/>
    <s v="RETAIL"/>
    <x v="14"/>
    <x v="0"/>
    <e v="#NAME?"/>
    <s v="SDATOOL-39348 $ tarjeta de crédito Open Market Fallback product"/>
    <n v="1"/>
    <x v="0"/>
    <x v="4"/>
    <m/>
    <e v="#NAME?"/>
    <e v="#NAME?"/>
    <e v="#NAME?"/>
    <m/>
    <m/>
    <m/>
    <m/>
    <m/>
    <m/>
  </r>
  <r>
    <s v="C811006"/>
    <s v="JULIAN ESTIC LAGOS GALINDO"/>
    <s v="RETAIL"/>
    <x v="14"/>
    <x v="0"/>
    <e v="#NAME?"/>
    <s v="SDATOOL-39348 $ tarjeta de crédito Open Market Fallback product"/>
    <n v="1"/>
    <x v="0"/>
    <x v="5"/>
    <m/>
    <e v="#NAME?"/>
    <e v="#NAME?"/>
    <e v="#NAME?"/>
    <m/>
    <m/>
    <m/>
    <m/>
    <m/>
    <m/>
  </r>
  <r>
    <s v="T004934"/>
    <s v="Luis Eduardo Fonseca Fajardo"/>
    <s v="RETAIL"/>
    <x v="14"/>
    <x v="1"/>
    <e v="#NAME?"/>
    <s v="SDATOOL-39348 $ tarjeta de crédito Open Market Fallback product"/>
    <n v="1"/>
    <x v="2"/>
    <x v="1"/>
    <m/>
    <e v="#NAME?"/>
    <e v="#NAME?"/>
    <e v="#NAME?"/>
    <m/>
    <m/>
    <m/>
    <m/>
    <m/>
    <m/>
  </r>
  <r>
    <s v="CE70412"/>
    <s v="Angie Chiguasuque"/>
    <s v="RETAIL"/>
    <x v="14"/>
    <x v="1"/>
    <e v="#NAME?"/>
    <s v="SDATOOL-39348 $ tarjeta de crédito Open Market Fallback product"/>
    <n v="1"/>
    <x v="2"/>
    <x v="1"/>
    <m/>
    <e v="#NAME?"/>
    <e v="#NAME?"/>
    <e v="#NAME?"/>
    <m/>
    <m/>
    <m/>
    <m/>
    <m/>
    <m/>
  </r>
  <r>
    <s v="CE51863"/>
    <s v="EDNA ROCIO MONCADA"/>
    <s v="RETAIL"/>
    <x v="14"/>
    <x v="2"/>
    <e v="#NAME?"/>
    <s v="SDATOOL-38419 $ Contratación cuenta en línea en Glomo"/>
    <n v="0.02"/>
    <x v="2"/>
    <x v="1"/>
    <m/>
    <e v="#NAME?"/>
    <e v="#NAME?"/>
    <e v="#NAME?"/>
    <m/>
    <m/>
    <m/>
    <m/>
    <m/>
    <m/>
  </r>
  <r>
    <s v="O005003 "/>
    <s v="Ginna García Lara"/>
    <s v="RETAIL"/>
    <x v="14"/>
    <x v="0"/>
    <e v="#NAME?"/>
    <s v="SDATOOL-38419 $ Contratación cuenta en línea en Glomo"/>
    <n v="0.2"/>
    <x v="1"/>
    <x v="1"/>
    <m/>
    <e v="#NAME?"/>
    <e v="#NAME?"/>
    <e v="#NAME?"/>
    <m/>
    <m/>
    <m/>
    <m/>
    <m/>
    <m/>
  </r>
  <r>
    <s v="T001903"/>
    <s v="David Santiago Quijano Ordoñez"/>
    <s v="RETAIL"/>
    <x v="14"/>
    <x v="1"/>
    <e v="#NAME?"/>
    <s v="SDATOOL-38419 $ Contratación cuenta en línea en Glomo"/>
    <n v="1"/>
    <x v="2"/>
    <x v="1"/>
    <m/>
    <e v="#NAME?"/>
    <e v="#NAME?"/>
    <e v="#NAME?"/>
    <m/>
    <m/>
    <m/>
    <m/>
    <m/>
    <m/>
  </r>
  <r>
    <s v="CE48051"/>
    <s v="Edgar Andrés Garzon Rangel"/>
    <s v="RETAIL"/>
    <x v="14"/>
    <x v="6"/>
    <e v="#NAME?"/>
    <s v="SDATOOL-38419 $ Contratación cuenta en línea en Glomo"/>
    <n v="1"/>
    <x v="0"/>
    <x v="2"/>
    <m/>
    <e v="#NAME?"/>
    <e v="#NAME?"/>
    <e v="#NAME?"/>
    <m/>
    <m/>
    <m/>
    <m/>
    <m/>
    <m/>
  </r>
  <r>
    <s v="CE69994"/>
    <s v="Lautaro Nahuel Cuello"/>
    <s v="RETAIL"/>
    <x v="14"/>
    <x v="15"/>
    <e v="#NAME?"/>
    <s v="SDATOOL-38419 $ Contratación cuenta en línea en Glomo"/>
    <n v="1"/>
    <x v="0"/>
    <x v="5"/>
    <m/>
    <e v="#NAME?"/>
    <e v="#NAME?"/>
    <e v="#NAME?"/>
    <m/>
    <m/>
    <m/>
    <m/>
    <m/>
    <m/>
  </r>
  <r>
    <s v="CE70000"/>
    <s v="Manuel Augusto Vilchez Maticorena"/>
    <s v="RETAIL"/>
    <x v="14"/>
    <x v="15"/>
    <e v="#NAME?"/>
    <s v="SDATOOL-38419 $ Contratación cuenta en línea en Glomo"/>
    <n v="1"/>
    <x v="0"/>
    <x v="4"/>
    <m/>
    <e v="#NAME?"/>
    <e v="#NAME?"/>
    <e v="#NAME?"/>
    <m/>
    <m/>
    <m/>
    <m/>
    <m/>
    <m/>
  </r>
  <r>
    <s v="C811282"/>
    <s v="Santiago Galindo Gutierrez"/>
    <s v="RETAIL"/>
    <x v="14"/>
    <x v="0"/>
    <e v="#NAME?"/>
    <s v="SDATOOL-38419 $ Contratación cuenta en línea en Glomo"/>
    <n v="1"/>
    <x v="0"/>
    <x v="5"/>
    <m/>
    <e v="#NAME?"/>
    <e v="#NAME?"/>
    <e v="#NAME?"/>
    <m/>
    <m/>
    <m/>
    <m/>
    <m/>
    <m/>
  </r>
  <r>
    <s v="CE69992"/>
    <s v="Stephany L Ceron Salas"/>
    <s v="RETAIL"/>
    <x v="14"/>
    <x v="15"/>
    <e v="#NAME?"/>
    <s v="SDATOOL-38419 $ Contratación cuenta en línea en Glomo"/>
    <n v="1"/>
    <x v="0"/>
    <x v="5"/>
    <m/>
    <e v="#NAME?"/>
    <e v="#NAME?"/>
    <e v="#NAME?"/>
    <m/>
    <m/>
    <m/>
    <m/>
    <m/>
    <m/>
  </r>
  <r>
    <s v="CE51863"/>
    <s v="EDNA ROCIO MONCADA"/>
    <s v="RETAIL"/>
    <x v="14"/>
    <x v="2"/>
    <e v="#NAME?"/>
    <s v="SDATOOL-41797 $ Optimización Cuenta en línea Web"/>
    <n v="0.02"/>
    <x v="2"/>
    <x v="1"/>
    <m/>
    <e v="#NAME?"/>
    <e v="#NAME?"/>
    <e v="#NAME?"/>
    <m/>
    <m/>
    <m/>
    <m/>
    <m/>
    <m/>
  </r>
  <r>
    <s v="O005003 "/>
    <s v="Ginna García Lara"/>
    <s v="RETAIL"/>
    <x v="14"/>
    <x v="0"/>
    <e v="#NAME?"/>
    <s v="SDATOOL-41797 $ Optimización Cuenta en línea Web"/>
    <n v="0.2"/>
    <x v="1"/>
    <x v="1"/>
    <m/>
    <e v="#NAME?"/>
    <e v="#NAME?"/>
    <e v="#NAME?"/>
    <m/>
    <m/>
    <m/>
    <m/>
    <m/>
    <m/>
  </r>
  <r>
    <s v="C805527"/>
    <s v="FABIAN ALEJANDRO LOPEZ SUAREZ"/>
    <s v="RETAIL"/>
    <x v="14"/>
    <x v="0"/>
    <e v="#NAME?"/>
    <s v="SDATOOL-41797 $ Optimización Cuenta en línea Web"/>
    <n v="1"/>
    <x v="0"/>
    <x v="5"/>
    <m/>
    <e v="#NAME?"/>
    <e v="#NAME?"/>
    <e v="#NAME?"/>
    <m/>
    <m/>
    <m/>
    <m/>
    <m/>
    <m/>
  </r>
  <r>
    <s v="T006279"/>
    <s v="Jairo Andres Ochoa"/>
    <s v="RETAIL"/>
    <x v="14"/>
    <x v="1"/>
    <e v="#NAME?"/>
    <s v="SDATOOL-41797 $ Optimización Cuenta en línea Web"/>
    <n v="1"/>
    <x v="2"/>
    <x v="1"/>
    <m/>
    <e v="#NAME?"/>
    <e v="#NAME?"/>
    <e v="#NAME?"/>
    <m/>
    <m/>
    <m/>
    <m/>
    <m/>
    <m/>
  </r>
  <r>
    <m/>
    <s v="Desarrollador Front"/>
    <s v="RETAIL"/>
    <x v="14"/>
    <x v="20"/>
    <e v="#NAME?"/>
    <s v="SDATOOL-41797 $ Optimización Cuenta en línea Web"/>
    <n v="1"/>
    <x v="0"/>
    <x v="5"/>
    <m/>
    <e v="#NAME?"/>
    <e v="#NAME?"/>
    <e v="#NAME?"/>
    <m/>
    <m/>
    <m/>
    <m/>
    <m/>
    <m/>
  </r>
  <r>
    <s v="O005003 "/>
    <s v="Ginna García Lara"/>
    <s v="RETAIL"/>
    <x v="14"/>
    <x v="0"/>
    <e v="#NAME?"/>
    <s v="SDATOOL-36048 $ Repositorio flujos ventas digitales flujos - Plan Ascenso Open Market"/>
    <n v="0.2"/>
    <x v="1"/>
    <x v="1"/>
    <m/>
    <e v="#NAME?"/>
    <e v="#NAME?"/>
    <e v="#NAME?"/>
    <m/>
    <m/>
    <m/>
    <m/>
    <n v="2"/>
    <m/>
  </r>
  <r>
    <s v="T000210"/>
    <s v="Carlos Alberto Meneses Campohermoso"/>
    <s v="RETAIL"/>
    <x v="14"/>
    <x v="8"/>
    <e v="#NAME?"/>
    <s v="SDATOOL-36048 $ Repositorio flujos ventas digitales flujos - Plan Ascenso Open Market"/>
    <n v="1"/>
    <x v="0"/>
    <x v="5"/>
    <m/>
    <e v="#NAME?"/>
    <e v="#NAME?"/>
    <e v="#NAME?"/>
    <m/>
    <m/>
    <m/>
    <m/>
    <n v="2"/>
    <m/>
  </r>
  <r>
    <s v="O002162"/>
    <s v="JUAN FELIPE MARTÍN PUERTO"/>
    <s v="RETAIL"/>
    <x v="14"/>
    <x v="0"/>
    <e v="#NAME?"/>
    <s v="SDATOOL-36048 $ Repositorio flujos ventas digitales flujos - Plan Ascenso Open Market"/>
    <n v="1"/>
    <x v="0"/>
    <x v="4"/>
    <m/>
    <e v="#NAME?"/>
    <e v="#NAME?"/>
    <e v="#NAME?"/>
    <m/>
    <m/>
    <m/>
    <m/>
    <n v="2"/>
    <m/>
  </r>
  <r>
    <s v="CE69750"/>
    <s v="Lina Vanessa Rincón Prada"/>
    <s v="RETAIL"/>
    <x v="14"/>
    <x v="1"/>
    <e v="#NAME?"/>
    <s v="SDATOOL-36048 $ Repositorio flujos ventas digitales flujos - Plan Ascenso Open Market"/>
    <n v="1"/>
    <x v="2"/>
    <x v="1"/>
    <m/>
    <e v="#NAME?"/>
    <e v="#NAME?"/>
    <e v="#NAME?"/>
    <m/>
    <m/>
    <m/>
    <m/>
    <n v="2"/>
    <m/>
  </r>
  <r>
    <s v="T001323"/>
    <s v="Martin Bournonville"/>
    <s v="RETAIL"/>
    <x v="14"/>
    <x v="15"/>
    <e v="#NAME?"/>
    <s v="SDATOOL-36048 $ Repositorio flujos ventas digitales flujos - Plan Ascenso Open Market"/>
    <n v="1"/>
    <x v="0"/>
    <x v="5"/>
    <m/>
    <e v="#NAME?"/>
    <e v="#NAME?"/>
    <e v="#NAME?"/>
    <m/>
    <m/>
    <m/>
    <m/>
    <n v="2"/>
    <m/>
  </r>
  <r>
    <s v="CE55865"/>
    <s v="Santiago Pulido Calderon"/>
    <s v="RETAIL"/>
    <x v="14"/>
    <x v="9"/>
    <e v="#NAME?"/>
    <s v="SDATOOL-36048 $ Repositorio flujos ventas digitales flujos - Plan Ascenso Open Market"/>
    <n v="1"/>
    <x v="0"/>
    <x v="2"/>
    <m/>
    <e v="#NAME?"/>
    <e v="#NAME?"/>
    <e v="#NAME?"/>
    <m/>
    <m/>
    <m/>
    <m/>
    <n v="2"/>
    <m/>
  </r>
  <r>
    <s v="C805937"/>
    <s v="SERGIO IVAN SANCHEZ PLAZAS"/>
    <s v="RETAIL"/>
    <x v="14"/>
    <x v="0"/>
    <e v="#NAME?"/>
    <s v="SDATOOL-36048 $ Repositorio flujos ventas digitales flujos - Plan Ascenso Open Market"/>
    <n v="1"/>
    <x v="0"/>
    <x v="5"/>
    <m/>
    <e v="#NAME?"/>
    <e v="#NAME?"/>
    <e v="#NAME?"/>
    <m/>
    <m/>
    <m/>
    <m/>
    <n v="2"/>
    <m/>
  </r>
  <r>
    <m/>
    <s v="Desarrollador Front 1"/>
    <s v="RETAIL"/>
    <x v="14"/>
    <x v="8"/>
    <e v="#NAME?"/>
    <s v="SDATOOL-36048 $ Repositorio flujos ventas digitales flujos - Plan Ascenso Open Market"/>
    <n v="1"/>
    <x v="0"/>
    <x v="5"/>
    <m/>
    <e v="#NAME?"/>
    <e v="#NAME?"/>
    <e v="#NAME?"/>
    <m/>
    <m/>
    <m/>
    <m/>
    <n v="2"/>
    <m/>
  </r>
  <r>
    <m/>
    <s v="Desarrollador Front 2"/>
    <s v="RETAIL"/>
    <x v="14"/>
    <x v="20"/>
    <e v="#NAME?"/>
    <s v="SDATOOL-36048 $ Repositorio flujos ventas digitales flujos - Plan Ascenso Open Market"/>
    <n v="1"/>
    <x v="0"/>
    <x v="5"/>
    <m/>
    <e v="#NAME?"/>
    <e v="#NAME?"/>
    <e v="#NAME?"/>
    <m/>
    <m/>
    <m/>
    <m/>
    <n v="2"/>
    <m/>
  </r>
  <r>
    <m/>
    <s v="Desarrollador APX 1"/>
    <s v="RETAIL"/>
    <x v="14"/>
    <x v="8"/>
    <e v="#NAME?"/>
    <s v="SDATOOL-36048 $ Repositorio flujos ventas digitales flujos - Plan Ascenso Open Market"/>
    <n v="1"/>
    <x v="0"/>
    <x v="4"/>
    <m/>
    <e v="#NAME?"/>
    <e v="#NAME?"/>
    <e v="#NAME?"/>
    <m/>
    <m/>
    <m/>
    <m/>
    <n v="2"/>
    <m/>
  </r>
  <r>
    <m/>
    <s v="Desarrollador APX 2"/>
    <s v="RETAIL"/>
    <x v="14"/>
    <x v="20"/>
    <e v="#NAME?"/>
    <s v="SDATOOL-36048 $ Repositorio flujos ventas digitales flujos - Plan Ascenso Open Market"/>
    <n v="1"/>
    <x v="0"/>
    <x v="4"/>
    <m/>
    <e v="#NAME?"/>
    <e v="#NAME?"/>
    <e v="#NAME?"/>
    <m/>
    <m/>
    <m/>
    <m/>
    <n v="2"/>
    <m/>
  </r>
  <r>
    <m/>
    <s v="Tester 1"/>
    <s v="RETAIL"/>
    <x v="14"/>
    <x v="1"/>
    <e v="#NAME?"/>
    <s v="SDATOOL-36048 $ Repositorio flujos ventas digitales flujos - Plan Ascenso Open Market"/>
    <n v="1"/>
    <x v="2"/>
    <x v="1"/>
    <m/>
    <e v="#NAME?"/>
    <e v="#NAME?"/>
    <e v="#NAME?"/>
    <m/>
    <m/>
    <m/>
    <m/>
    <n v="2"/>
    <m/>
  </r>
  <r>
    <m/>
    <s v="Tester 2"/>
    <s v="RETAIL"/>
    <x v="14"/>
    <x v="1"/>
    <e v="#NAME?"/>
    <s v="SDATOOL-36048 $ Repositorio flujos ventas digitales flujos - Plan Ascenso Open Market"/>
    <n v="1"/>
    <x v="2"/>
    <x v="1"/>
    <m/>
    <e v="#NAME?"/>
    <e v="#NAME?"/>
    <e v="#NAME?"/>
    <m/>
    <m/>
    <m/>
    <m/>
    <n v="2"/>
    <m/>
  </r>
  <r>
    <s v="CE67859"/>
    <s v="Andres Felipe Quintero Salazar"/>
    <s v="RETAIL"/>
    <x v="14"/>
    <x v="20"/>
    <e v="#NAME?"/>
    <s v="SDATOOL-37055 $ Cash in- PSE - Plan Ascenso Privado"/>
    <n v="0.5"/>
    <x v="0"/>
    <x v="3"/>
    <m/>
    <e v="#NAME?"/>
    <e v="#NAME?"/>
    <e v="#NAME?"/>
    <m/>
    <m/>
    <m/>
    <m/>
    <n v="2"/>
    <m/>
  </r>
  <r>
    <s v="CE51863"/>
    <s v="EDNA ROCIO MONCADA"/>
    <s v="RETAIL"/>
    <x v="14"/>
    <x v="2"/>
    <e v="#NAME?"/>
    <s v="SDATOOL-37055 $ Cash in- PSE - Plan Ascenso Privado"/>
    <n v="0.02"/>
    <x v="2"/>
    <x v="1"/>
    <m/>
    <e v="#NAME?"/>
    <e v="#NAME?"/>
    <e v="#NAME?"/>
    <m/>
    <m/>
    <m/>
    <m/>
    <n v="2"/>
    <m/>
  </r>
  <r>
    <s v="T004295"/>
    <s v="Hayler Jair Caicedo"/>
    <s v="RETAIL"/>
    <x v="14"/>
    <x v="20"/>
    <e v="#NAME?"/>
    <s v="SDATOOL-37055 $ Cash in- PSE - Plan Ascenso Privado"/>
    <n v="1"/>
    <x v="0"/>
    <x v="5"/>
    <m/>
    <e v="#NAME?"/>
    <e v="#NAME?"/>
    <e v="#NAME?"/>
    <m/>
    <m/>
    <m/>
    <m/>
    <n v="2"/>
    <m/>
  </r>
  <r>
    <s v="C811281"/>
    <s v="JUAN PABLO VELEZ"/>
    <s v="RETAIL"/>
    <x v="14"/>
    <x v="0"/>
    <e v="#NAME?"/>
    <s v="SDATOOL-37055 $ Cash in- PSE - Plan Ascenso Privado"/>
    <n v="1"/>
    <x v="0"/>
    <x v="5"/>
    <m/>
    <e v="#NAME?"/>
    <e v="#NAME?"/>
    <e v="#NAME?"/>
    <m/>
    <m/>
    <m/>
    <m/>
    <n v="2"/>
    <m/>
  </r>
  <r>
    <s v="T007579"/>
    <s v="Nubia Sanchez"/>
    <s v="RETAIL"/>
    <x v="14"/>
    <x v="12"/>
    <e v="#NAME?"/>
    <s v="SDATOOL-37055 $ Cash in- PSE - Plan Ascenso Privado"/>
    <n v="1"/>
    <x v="0"/>
    <x v="2"/>
    <m/>
    <e v="#NAME?"/>
    <e v="#NAME?"/>
    <e v="#NAME?"/>
    <m/>
    <m/>
    <m/>
    <m/>
    <n v="2"/>
    <m/>
  </r>
  <r>
    <s v="O002593"/>
    <s v="TATIANA CAROLINA AVELLANEDA"/>
    <s v="RETAIL"/>
    <x v="14"/>
    <x v="0"/>
    <e v="#NAME?"/>
    <s v="SDATOOL-37055 $ Cash in- PSE - Plan Ascenso Privado"/>
    <n v="0.2"/>
    <x v="1"/>
    <x v="1"/>
    <m/>
    <e v="#NAME?"/>
    <e v="#NAME?"/>
    <e v="#NAME?"/>
    <m/>
    <m/>
    <m/>
    <m/>
    <n v="2"/>
    <m/>
  </r>
  <r>
    <s v="O002593"/>
    <s v="TATIANA CAROLINA AVELLANEDA"/>
    <s v="RETAIL"/>
    <x v="14"/>
    <x v="0"/>
    <e v="#NAME?"/>
    <s v="SDATOOL-37055 $ Cash in- PSE - Plan Ascenso Privado"/>
    <n v="0.2"/>
    <x v="1"/>
    <x v="1"/>
    <m/>
    <e v="#NAME?"/>
    <e v="#NAME?"/>
    <e v="#NAME?"/>
    <m/>
    <m/>
    <m/>
    <m/>
    <n v="2"/>
    <m/>
  </r>
  <r>
    <m/>
    <s v="Desarrollador ASO"/>
    <s v="RETAIL"/>
    <x v="14"/>
    <x v="12"/>
    <e v="#NAME?"/>
    <s v="SDATOOL-37055 $ Cash in- PSE - Plan Ascenso Privado"/>
    <n v="1"/>
    <x v="0"/>
    <x v="3"/>
    <m/>
    <e v="#NAME?"/>
    <e v="#NAME?"/>
    <e v="#NAME?"/>
    <m/>
    <m/>
    <m/>
    <m/>
    <n v="2"/>
    <m/>
  </r>
  <r>
    <m/>
    <s v="Desarrollador HOST"/>
    <s v="RETAIL"/>
    <x v="14"/>
    <x v="20"/>
    <e v="#NAME?"/>
    <s v="SDATOOL-37055 $ Cash in- PSE - Plan Ascenso Privado"/>
    <n v="1"/>
    <x v="0"/>
    <x v="2"/>
    <m/>
    <e v="#NAME?"/>
    <e v="#NAME?"/>
    <e v="#NAME?"/>
    <m/>
    <m/>
    <m/>
    <m/>
    <n v="2"/>
    <m/>
  </r>
  <r>
    <m/>
    <s v="Desarrollador Front"/>
    <s v="RETAIL"/>
    <x v="14"/>
    <x v="20"/>
    <e v="#NAME?"/>
    <s v="SDATOOL-37055 $ Cash in- PSE - Plan Ascenso Privado"/>
    <n v="1"/>
    <x v="0"/>
    <x v="5"/>
    <m/>
    <e v="#NAME?"/>
    <e v="#NAME?"/>
    <e v="#NAME?"/>
    <m/>
    <m/>
    <m/>
    <m/>
    <n v="2"/>
    <m/>
  </r>
  <r>
    <s v="CE51863"/>
    <s v="EDNA ROCIO MONCADA"/>
    <s v="RETAIL"/>
    <x v="14"/>
    <x v="2"/>
    <e v="#NAME?"/>
    <s v="SDATOOL-39197 $ Tealeaf SaaS"/>
    <n v="0.02"/>
    <x v="2"/>
    <x v="1"/>
    <m/>
    <e v="#NAME?"/>
    <e v="#NAME?"/>
    <e v="#NAME?"/>
    <m/>
    <m/>
    <m/>
    <m/>
    <n v="2"/>
    <m/>
  </r>
  <r>
    <s v="O004043"/>
    <s v="Diego Alejandro Galeano garzon"/>
    <s v="RETAIL"/>
    <x v="14"/>
    <x v="0"/>
    <e v="#NAME?"/>
    <s v="SDATOOL-39197 $ Tealeaf SaaS"/>
    <n v="0.5"/>
    <x v="0"/>
    <x v="5"/>
    <m/>
    <e v="#NAME?"/>
    <e v="#NAME?"/>
    <e v="#NAME?"/>
    <m/>
    <m/>
    <m/>
    <m/>
    <n v="2"/>
    <m/>
  </r>
  <r>
    <s v="CE70114"/>
    <s v="Luz Carola Giraldo García"/>
    <s v="RETAIL"/>
    <x v="14"/>
    <x v="9"/>
    <e v="#NAME?"/>
    <s v="SDATOOL-39197 $ Tealeaf SaaS"/>
    <n v="1"/>
    <x v="2"/>
    <x v="1"/>
    <m/>
    <e v="#NAME?"/>
    <e v="#NAME?"/>
    <e v="#NAME?"/>
    <m/>
    <m/>
    <m/>
    <m/>
    <n v="2"/>
    <m/>
  </r>
  <r>
    <s v="O002593"/>
    <s v="TATIANA CAROLINA AVELLANEDA"/>
    <s v="RETAIL"/>
    <x v="14"/>
    <x v="0"/>
    <e v="#NAME?"/>
    <s v="SDATOOL-39197 $ Tealeaf SaaS"/>
    <n v="0.2"/>
    <x v="1"/>
    <x v="1"/>
    <m/>
    <e v="#NAME?"/>
    <e v="#NAME?"/>
    <e v="#NAME?"/>
    <m/>
    <m/>
    <m/>
    <m/>
    <n v="2"/>
    <m/>
  </r>
  <r>
    <s v="T000410"/>
    <s v="Andrés Alejandro Fajardo Torres"/>
    <s v="RETAIL"/>
    <x v="14"/>
    <x v="15"/>
    <e v="#NAME?"/>
    <s v="SDATOOL-36548 $ Optimización consumo web - Plan ascenso Open Market"/>
    <n v="1"/>
    <x v="0"/>
    <x v="5"/>
    <m/>
    <e v="#NAME?"/>
    <e v="#NAME?"/>
    <e v="#NAME?"/>
    <m/>
    <m/>
    <m/>
    <m/>
    <m/>
    <m/>
  </r>
  <r>
    <s v="CE51863"/>
    <s v="EDNA ROCIO MONCADA"/>
    <s v="RETAIL"/>
    <x v="14"/>
    <x v="2"/>
    <e v="#NAME?"/>
    <s v="SDATOOL-36548 $ Optimización consumo web - Plan ascenso Open Market"/>
    <n v="0.02"/>
    <x v="2"/>
    <x v="1"/>
    <m/>
    <e v="#NAME?"/>
    <e v="#NAME?"/>
    <e v="#NAME?"/>
    <m/>
    <m/>
    <m/>
    <m/>
    <m/>
    <m/>
  </r>
  <r>
    <s v="C810668"/>
    <s v="YEISSON FABIAN GUALDRON VIVAS"/>
    <s v="RETAIL"/>
    <x v="14"/>
    <x v="0"/>
    <e v="#NAME?"/>
    <s v="SDATOOL-36548 $ Optimización consumo web - Plan ascenso Open Market"/>
    <n v="1"/>
    <x v="0"/>
    <x v="5"/>
    <m/>
    <e v="#NAME?"/>
    <e v="#NAME?"/>
    <e v="#NAME?"/>
    <m/>
    <m/>
    <m/>
    <m/>
    <m/>
    <m/>
  </r>
  <r>
    <s v="C342589"/>
    <s v="CAMILO ANDRES AGUIRRE"/>
    <s v="RETAIL"/>
    <x v="14"/>
    <x v="0"/>
    <e v="#NAME?"/>
    <s v="SDATOOL-36548 $ Optimización consumo web - Plan ascenso Open Market"/>
    <n v="0.3"/>
    <x v="1"/>
    <x v="1"/>
    <m/>
    <e v="#NAME?"/>
    <e v="#NAME?"/>
    <e v="#NAME?"/>
    <m/>
    <m/>
    <m/>
    <m/>
    <m/>
    <m/>
  </r>
  <r>
    <s v="CE51863"/>
    <s v="EDNA ROCIO MONCADA"/>
    <s v="RETAIL"/>
    <x v="14"/>
    <x v="2"/>
    <e v="#NAME?"/>
    <s v="NOSDA $ BAU (Mantenimiento y peq. evolutivos)"/>
    <n v="0.02"/>
    <x v="2"/>
    <x v="1"/>
    <m/>
    <e v="#NAME?"/>
    <e v="#NAME?"/>
    <e v="#NAME?"/>
    <m/>
    <m/>
    <m/>
    <m/>
    <m/>
    <m/>
  </r>
  <r>
    <s v="C342589"/>
    <s v="CAMILO ANDRES AGUIRRE"/>
    <s v="RETAIL"/>
    <x v="14"/>
    <x v="0"/>
    <e v="#NAME?"/>
    <s v="NOSDA $ BAU (Mantenimiento y peq. evolutivos)"/>
    <n v="0.7"/>
    <x v="1"/>
    <x v="1"/>
    <m/>
    <e v="#NAME?"/>
    <e v="#NAME?"/>
    <e v="#NAME?"/>
    <m/>
    <m/>
    <m/>
    <m/>
    <m/>
    <m/>
  </r>
  <r>
    <s v="C809750"/>
    <s v="JEFFERSON JOSE ESQUEA SANCHEZ"/>
    <s v="RETAIL"/>
    <x v="14"/>
    <x v="0"/>
    <e v="#NAME?"/>
    <s v="NOSDA $ BAU (Mantenimiento y peq. evolutivos)"/>
    <n v="1"/>
    <x v="0"/>
    <x v="5"/>
    <m/>
    <e v="#NAME?"/>
    <e v="#NAME?"/>
    <e v="#NAME?"/>
    <m/>
    <m/>
    <m/>
    <m/>
    <m/>
    <m/>
  </r>
  <r>
    <s v="CE67868"/>
    <s v="Jhon Alexander Santana"/>
    <s v="RETAIL"/>
    <x v="14"/>
    <x v="20"/>
    <e v="#NAME?"/>
    <s v="NOSDA $ BAU (Mantenimiento y peq. evolutivos)"/>
    <n v="1"/>
    <x v="0"/>
    <x v="5"/>
    <m/>
    <e v="#NAME?"/>
    <e v="#NAME?"/>
    <e v="#NAME?"/>
    <m/>
    <m/>
    <m/>
    <m/>
    <m/>
    <m/>
  </r>
  <r>
    <s v="CE67314"/>
    <s v="Juliana Corredor"/>
    <s v="RETAIL"/>
    <x v="14"/>
    <x v="20"/>
    <e v="#NAME?"/>
    <s v="NOSDA $ BAU (Mantenimiento y peq. evolutivos)"/>
    <n v="1"/>
    <x v="0"/>
    <x v="4"/>
    <m/>
    <e v="#NAME?"/>
    <e v="#NAME?"/>
    <e v="#NAME?"/>
    <m/>
    <m/>
    <m/>
    <m/>
    <m/>
    <m/>
  </r>
  <r>
    <s v="CE51863"/>
    <s v="EDNA ROCIO MONCADA"/>
    <s v="RETAIL"/>
    <x v="14"/>
    <x v="2"/>
    <e v="#NAME?"/>
    <s v="SDATOOL-36048 $ Repositorio flujos ventas digitales flujos - Plan Ascenso Open Market"/>
    <n v="0.02"/>
    <x v="2"/>
    <x v="1"/>
    <m/>
    <e v="#NAME?"/>
    <e v="#NAME?"/>
    <e v="#NAME?"/>
    <m/>
    <m/>
    <m/>
    <m/>
    <m/>
    <m/>
  </r>
  <r>
    <s v="CE66714"/>
    <s v="Cristian Steven Abril"/>
    <s v="RETAIL"/>
    <x v="14"/>
    <x v="6"/>
    <e v="#NAME?"/>
    <s v="SDATOOL-39836 $ Vivienda digital fase III"/>
    <n v="1"/>
    <x v="0"/>
    <x v="5"/>
    <m/>
    <e v="#NAME?"/>
    <e v="#NAME?"/>
    <e v="#NAME?"/>
    <m/>
    <m/>
    <m/>
    <m/>
    <m/>
    <m/>
  </r>
  <r>
    <s v="O002593"/>
    <s v="TATIANA CAROLINA AVELLANEDA"/>
    <s v="RETAIL"/>
    <x v="14"/>
    <x v="0"/>
    <e v="#NAME?"/>
    <s v="SDATOOL-39836 $ Vivienda digital fase III"/>
    <n v="0.2"/>
    <x v="1"/>
    <x v="1"/>
    <m/>
    <e v="#NAME?"/>
    <e v="#NAME?"/>
    <e v="#NAME?"/>
    <m/>
    <m/>
    <m/>
    <m/>
    <m/>
    <m/>
  </r>
  <r>
    <s v="O005003 "/>
    <s v="Ginna García Lara"/>
    <s v="RETAIL"/>
    <x v="14"/>
    <x v="0"/>
    <e v="#NAME?"/>
    <s v="SDATOOL-34910 $ Libranza Digital"/>
    <n v="0.2"/>
    <x v="1"/>
    <x v="1"/>
    <m/>
    <e v="#NAME?"/>
    <e v="#NAME?"/>
    <e v="#NAME?"/>
    <m/>
    <m/>
    <m/>
    <m/>
    <n v="2"/>
    <m/>
  </r>
  <r>
    <m/>
    <s v="Tester 1"/>
    <s v="RETAIL"/>
    <x v="14"/>
    <x v="1"/>
    <e v="#NAME?"/>
    <s v="SDATOOL-34910 $ Libranza Digital"/>
    <n v="1"/>
    <x v="2"/>
    <x v="1"/>
    <m/>
    <e v="#NAME?"/>
    <e v="#NAME?"/>
    <e v="#NAME?"/>
    <m/>
    <m/>
    <m/>
    <m/>
    <m/>
    <m/>
  </r>
  <r>
    <m/>
    <s v="Desarrollador Front 1"/>
    <s v="RETAIL"/>
    <x v="14"/>
    <x v="20"/>
    <e v="#NAME?"/>
    <s v="SDATOOL-34910 $ Libranza Digital"/>
    <n v="1"/>
    <x v="0"/>
    <x v="5"/>
    <m/>
    <e v="#NAME?"/>
    <e v="#NAME?"/>
    <e v="#NAME?"/>
    <m/>
    <m/>
    <m/>
    <m/>
    <m/>
    <m/>
  </r>
  <r>
    <m/>
    <s v="Desarrollador Front 2"/>
    <s v="RETAIL"/>
    <x v="14"/>
    <x v="20"/>
    <e v="#NAME?"/>
    <s v="SDATOOL-34910 $ Libranza Digital"/>
    <n v="1"/>
    <x v="0"/>
    <x v="5"/>
    <m/>
    <e v="#NAME?"/>
    <e v="#NAME?"/>
    <e v="#NAME?"/>
    <m/>
    <m/>
    <m/>
    <m/>
    <m/>
    <m/>
  </r>
  <r>
    <s v="O005003 "/>
    <s v="Ginna García Lara"/>
    <s v="RETAIL"/>
    <x v="14"/>
    <x v="0"/>
    <e v="#NAME?"/>
    <s v="SDATOOL-40536 $ Google analitycs 4"/>
    <n v="0.2"/>
    <x v="1"/>
    <x v="1"/>
    <m/>
    <e v="#NAME?"/>
    <e v="#NAME?"/>
    <e v="#NAME?"/>
    <m/>
    <m/>
    <m/>
    <m/>
    <n v="2"/>
    <m/>
  </r>
  <r>
    <s v="O004043"/>
    <s v="Diego Alejandro Galeano garzon"/>
    <s v="RETAIL"/>
    <x v="14"/>
    <x v="0"/>
    <e v="#NAME?"/>
    <s v="SDATOOL-40536 $ Google analitycs 4"/>
    <n v="0.5"/>
    <x v="0"/>
    <x v="5"/>
    <m/>
    <e v="#NAME?"/>
    <e v="#NAME?"/>
    <e v="#NAME?"/>
    <m/>
    <m/>
    <m/>
    <m/>
    <n v="2"/>
    <m/>
  </r>
  <r>
    <s v="C797767"/>
    <s v="ANGELA RIVERA"/>
    <s v="CORE"/>
    <x v="15"/>
    <x v="0"/>
    <e v="#NAME?"/>
    <s v="SDATOOL-39384 $ Abonos a préstamos por canales"/>
    <n v="0.5"/>
    <x v="0"/>
    <x v="2"/>
    <m/>
    <e v="#NAME?"/>
    <e v="#NAME?"/>
    <e v="#NAME?"/>
    <m/>
    <m/>
    <m/>
    <m/>
    <m/>
    <n v="1"/>
  </r>
  <r>
    <s v="C797767"/>
    <s v="ANGELA RIVERA"/>
    <s v="CORE"/>
    <x v="15"/>
    <x v="0"/>
    <e v="#NAME?"/>
    <s v="SDATOOL-28278 $ GRM Col - TMP Cobranzas - Pago en Canales Alternativos"/>
    <n v="0.5"/>
    <x v="0"/>
    <x v="2"/>
    <m/>
    <e v="#NAME?"/>
    <e v="#NAME?"/>
    <e v="#NAME?"/>
    <m/>
    <m/>
    <m/>
    <m/>
    <m/>
    <n v="0"/>
  </r>
  <r>
    <s v="O001978"/>
    <s v="DANIEL ALIRIO ROA ARIZMENDI"/>
    <s v="CORE"/>
    <x v="15"/>
    <x v="0"/>
    <e v="#NAME?"/>
    <s v="SDATOOL-40670 $ Plan CRM: Mejoras DWP Jurídicos (Pymes, Empresas,Gobiernos)"/>
    <n v="0.3"/>
    <x v="0"/>
    <x v="3"/>
    <m/>
    <e v="#NAME?"/>
    <e v="#NAME?"/>
    <e v="#NAME?"/>
    <m/>
    <m/>
    <m/>
    <m/>
    <m/>
    <n v="1"/>
  </r>
  <r>
    <s v="O001978"/>
    <s v="DANIEL ALIRIO ROA ARIZMENDI"/>
    <s v="CORE"/>
    <x v="15"/>
    <x v="0"/>
    <e v="#NAME?"/>
    <s v="SDATOOL-40435 $ Cuota Segura créditos de libranza"/>
    <n v="0.7"/>
    <x v="0"/>
    <x v="3"/>
    <m/>
    <e v="#NAME?"/>
    <e v="#NAME?"/>
    <e v="#NAME?"/>
    <m/>
    <m/>
    <m/>
    <m/>
    <m/>
    <n v="0"/>
  </r>
  <r>
    <s v="O001977"/>
    <s v="EDDY MAURICIO SUAREZ MOLINA"/>
    <s v="CORE"/>
    <x v="15"/>
    <x v="0"/>
    <e v="#NAME?"/>
    <s v="SDATOOL-39384 $ Abonos a préstamos por canales"/>
    <n v="0.5"/>
    <x v="0"/>
    <x v="2"/>
    <m/>
    <e v="#NAME?"/>
    <e v="#NAME?"/>
    <e v="#NAME?"/>
    <m/>
    <m/>
    <m/>
    <m/>
    <m/>
    <n v="1"/>
  </r>
  <r>
    <s v="O001977"/>
    <s v="EDDY MAURICIO SUAREZ MOLINA"/>
    <s v="CORE"/>
    <x v="15"/>
    <x v="0"/>
    <e v="#NAME?"/>
    <s v="SDATOOL-28278 $ GRM Col - TMP Cobranzas - Pago en Canales Alternativos"/>
    <n v="0.5"/>
    <x v="0"/>
    <x v="2"/>
    <m/>
    <e v="#NAME?"/>
    <e v="#NAME?"/>
    <e v="#NAME?"/>
    <m/>
    <m/>
    <m/>
    <m/>
    <m/>
    <n v="0"/>
  </r>
  <r>
    <s v="O000451"/>
    <s v="MAURICIO CORDOBA"/>
    <s v="CORE"/>
    <x v="15"/>
    <x v="0"/>
    <e v="#NAME?"/>
    <s v="SDATOOL-39384 $ Abonos a préstamos por canales"/>
    <n v="1"/>
    <x v="0"/>
    <x v="2"/>
    <m/>
    <e v="#NAME?"/>
    <e v="#NAME?"/>
    <e v="#NAME?"/>
    <m/>
    <m/>
    <m/>
    <m/>
    <m/>
    <n v="1"/>
  </r>
  <r>
    <s v="O001827"/>
    <s v="LEONOR AZUCENA GOMEZ RINCON"/>
    <s v="CORE"/>
    <x v="15"/>
    <x v="0"/>
    <e v="#NAME?"/>
    <s v="SDATOOL-39384 $ Abonos a préstamos por canales"/>
    <n v="0.5"/>
    <x v="1"/>
    <x v="2"/>
    <m/>
    <e v="#NAME?"/>
    <e v="#NAME?"/>
    <e v="#NAME?"/>
    <m/>
    <m/>
    <m/>
    <m/>
    <m/>
    <n v="1"/>
  </r>
  <r>
    <s v="O001827"/>
    <s v="LEONOR AZUCENA GOMEZ RINCON"/>
    <s v="CORE"/>
    <x v="15"/>
    <x v="0"/>
    <e v="#NAME?"/>
    <s v="SDATOOL-28278 $ GRM Col - TMP Cobranzas - Pago en Canales Alternativos"/>
    <n v="0.5"/>
    <x v="1"/>
    <x v="3"/>
    <m/>
    <e v="#NAME?"/>
    <e v="#NAME?"/>
    <e v="#NAME?"/>
    <m/>
    <m/>
    <m/>
    <m/>
    <m/>
    <n v="0"/>
  </r>
  <r>
    <s v="C805385"/>
    <s v="TATIANA SANCHEZ MONROY"/>
    <s v="CORE"/>
    <x v="15"/>
    <x v="0"/>
    <e v="#NAME?"/>
    <s v="SDATOOL-34910 $ Libranza Digital"/>
    <n v="1"/>
    <x v="0"/>
    <x v="2"/>
    <m/>
    <e v="#NAME?"/>
    <e v="#NAME?"/>
    <e v="#NAME?"/>
    <m/>
    <m/>
    <m/>
    <m/>
    <m/>
    <n v="1"/>
  </r>
  <r>
    <s v="C810943"/>
    <s v="OSCAR DANIEL OÑATE CASTILLA"/>
    <s v="CORE"/>
    <x v="15"/>
    <x v="0"/>
    <e v="#NAME?"/>
    <s v="SDATOOL-36522 $ Libranza E2E digital Fase III - Plan Ascenso Privado"/>
    <n v="1"/>
    <x v="0"/>
    <x v="2"/>
    <m/>
    <e v="#NAME?"/>
    <e v="#NAME?"/>
    <e v="#NAME?"/>
    <m/>
    <m/>
    <m/>
    <m/>
    <m/>
    <n v="1"/>
  </r>
  <r>
    <s v="C810846"/>
    <s v="ERIKA ZULEIMA MARTINEZ RODRIGUEZ"/>
    <s v="CORE"/>
    <x v="15"/>
    <x v="0"/>
    <e v="#NAME?"/>
    <s v="SDATOOL-36560 $ Pricing de libranza - Plan Ascenso Open Market"/>
    <n v="1"/>
    <x v="0"/>
    <x v="2"/>
    <m/>
    <e v="#NAME?"/>
    <e v="#NAME?"/>
    <e v="#NAME?"/>
    <m/>
    <m/>
    <m/>
    <m/>
    <m/>
    <n v="1"/>
  </r>
  <r>
    <s v="C805379"/>
    <s v="MARTIN ROMERO ORTIZ"/>
    <s v="CORE"/>
    <x v="15"/>
    <x v="0"/>
    <e v="#NAME?"/>
    <s v="SDATOOL-34910 $ Libranza Digital"/>
    <n v="0.25"/>
    <x v="0"/>
    <x v="3"/>
    <m/>
    <e v="#NAME?"/>
    <e v="#NAME?"/>
    <e v="#NAME?"/>
    <m/>
    <m/>
    <m/>
    <m/>
    <m/>
    <n v="1"/>
  </r>
  <r>
    <s v="C805379"/>
    <s v="MARTIN ROMERO ORTIZ"/>
    <s v="CORE"/>
    <x v="15"/>
    <x v="0"/>
    <e v="#NAME?"/>
    <s v="SDATOOL-39272 $ GRM-Col-Cambio servicio APL (Aportes en línea)"/>
    <n v="0.75"/>
    <x v="0"/>
    <x v="3"/>
    <m/>
    <e v="#NAME?"/>
    <e v="#NAME?"/>
    <e v="#NAME?"/>
    <m/>
    <m/>
    <m/>
    <m/>
    <m/>
    <n v="0"/>
  </r>
  <r>
    <s v="C805988"/>
    <s v="NICOLAS MUÑOZ"/>
    <s v="CORE"/>
    <x v="15"/>
    <x v="0"/>
    <e v="#NAME?"/>
    <s v="SDATOOL-39272 $ GRM-Col-Cambio servicio APL (Aportes en línea)"/>
    <n v="1"/>
    <x v="0"/>
    <x v="4"/>
    <m/>
    <e v="#NAME?"/>
    <e v="#NAME?"/>
    <e v="#NAME?"/>
    <m/>
    <m/>
    <m/>
    <m/>
    <m/>
    <n v="1"/>
  </r>
  <r>
    <s v="C342057"/>
    <s v="CARLOS FABIAN GONZALEZ CORTES"/>
    <s v="CORE"/>
    <x v="15"/>
    <x v="0"/>
    <e v="#NAME?"/>
    <s v="SDATOOL-36522 $ Libranza E2E digital Fase III - Plan Ascenso Privado"/>
    <n v="0.5"/>
    <x v="0"/>
    <x v="2"/>
    <m/>
    <e v="#NAME?"/>
    <e v="#NAME?"/>
    <e v="#NAME?"/>
    <m/>
    <m/>
    <m/>
    <m/>
    <m/>
    <n v="1"/>
  </r>
  <r>
    <s v="C342057"/>
    <s v="CARLOS FABIAN GONZALEZ CORTES"/>
    <s v="CORE"/>
    <x v="15"/>
    <x v="0"/>
    <e v="#NAME?"/>
    <s v="SDATOOL-34910 $ Libranza Digital"/>
    <n v="0.2"/>
    <x v="0"/>
    <x v="2"/>
    <m/>
    <e v="#NAME?"/>
    <e v="#NAME?"/>
    <e v="#NAME?"/>
    <m/>
    <m/>
    <m/>
    <m/>
    <m/>
    <n v="0"/>
  </r>
  <r>
    <s v="C342057"/>
    <s v="CARLOS FABIAN GONZALEZ CORTES"/>
    <s v="CORE"/>
    <x v="15"/>
    <x v="0"/>
    <e v="#NAME?"/>
    <s v="SDATOOL-36560 $ Pricing de libranza - Plan Ascenso Open Market"/>
    <n v="0.1"/>
    <x v="0"/>
    <x v="2"/>
    <m/>
    <e v="#NAME?"/>
    <e v="#NAME?"/>
    <e v="#NAME?"/>
    <m/>
    <m/>
    <m/>
    <m/>
    <m/>
    <n v="0"/>
  </r>
  <r>
    <s v="C342057"/>
    <s v="CARLOS FABIAN GONZALEZ CORTES"/>
    <s v="CORE"/>
    <x v="15"/>
    <x v="0"/>
    <e v="#NAME?"/>
    <s v="SDATOOL-40670 $ Plan CRM: Mejoras DWP Jurídicos (Pymes, Empresas,Gobiernos)"/>
    <n v="0.2"/>
    <x v="0"/>
    <x v="2"/>
    <m/>
    <e v="#NAME?"/>
    <e v="#NAME?"/>
    <e v="#NAME?"/>
    <m/>
    <m/>
    <m/>
    <m/>
    <m/>
    <n v="0"/>
  </r>
  <r>
    <s v="C805964"/>
    <s v="ANDRES RODRIGO COMBARIZA"/>
    <s v="CORE"/>
    <x v="15"/>
    <x v="0"/>
    <e v="#NAME?"/>
    <s v="SDATOOL-40670 $ Plan CRM: Mejoras DWP Jurídicos (Pymes, Empresas,Gobiernos)"/>
    <n v="1"/>
    <x v="0"/>
    <x v="3"/>
    <m/>
    <e v="#NAME?"/>
    <e v="#NAME?"/>
    <e v="#NAME?"/>
    <m/>
    <m/>
    <m/>
    <m/>
    <m/>
    <n v="1"/>
  </r>
  <r>
    <s v="O004843"/>
    <s v="WILSON ANDRES FRACON HERMIDA"/>
    <s v="CORE"/>
    <x v="15"/>
    <x v="0"/>
    <e v="#NAME?"/>
    <s v="SDATOOL-34910 $ Libranza Digital"/>
    <n v="0.2"/>
    <x v="1"/>
    <x v="3"/>
    <m/>
    <e v="#NAME?"/>
    <e v="#NAME?"/>
    <e v="#NAME?"/>
    <m/>
    <m/>
    <m/>
    <m/>
    <m/>
    <n v="1"/>
  </r>
  <r>
    <s v="O004843"/>
    <s v="WILSON ANDRES FRACON HERMIDA"/>
    <s v="CORE"/>
    <x v="15"/>
    <x v="0"/>
    <e v="#NAME?"/>
    <s v="SDATOOL-39272 $ GRM-Col-Cambio servicio APL (Aportes en línea)"/>
    <n v="0.2"/>
    <x v="1"/>
    <x v="4"/>
    <m/>
    <e v="#NAME?"/>
    <e v="#NAME?"/>
    <e v="#NAME?"/>
    <m/>
    <m/>
    <m/>
    <m/>
    <m/>
    <n v="0"/>
  </r>
  <r>
    <s v="O004843"/>
    <s v="WILSON ANDRES FRACON HERMIDA"/>
    <s v="CORE"/>
    <x v="15"/>
    <x v="0"/>
    <e v="#NAME?"/>
    <s v="SDATOOL-40670 $ Plan CRM: Mejoras DWP Jurídicos (Pymes, Empresas,Gobiernos)"/>
    <n v="0.2"/>
    <x v="1"/>
    <x v="4"/>
    <m/>
    <e v="#NAME?"/>
    <e v="#NAME?"/>
    <e v="#NAME?"/>
    <m/>
    <m/>
    <m/>
    <m/>
    <m/>
    <n v="0"/>
  </r>
  <r>
    <s v="O004843"/>
    <s v="WILSON ANDRES FRACON HERMIDA"/>
    <s v="CORE"/>
    <x v="15"/>
    <x v="0"/>
    <e v="#NAME?"/>
    <s v="SDATOOL-36560 $ Pricing de libranza - Plan Ascenso Open Market"/>
    <n v="0.2"/>
    <x v="1"/>
    <x v="2"/>
    <m/>
    <e v="#NAME?"/>
    <e v="#NAME?"/>
    <e v="#NAME?"/>
    <m/>
    <m/>
    <m/>
    <m/>
    <m/>
    <n v="0"/>
  </r>
  <r>
    <s v="O004843"/>
    <s v="WILSON ANDRES FRACON HERMIDA"/>
    <s v="CORE"/>
    <x v="15"/>
    <x v="0"/>
    <e v="#NAME?"/>
    <s v="SDATOOL-36522 $ Libranza E2E digital Fase III - Plan Ascenso Privado"/>
    <n v="0.2"/>
    <x v="1"/>
    <x v="2"/>
    <m/>
    <e v="#NAME?"/>
    <e v="#NAME?"/>
    <e v="#NAME?"/>
    <m/>
    <m/>
    <m/>
    <m/>
    <m/>
    <n v="0"/>
  </r>
  <r>
    <s v="CE59519"/>
    <s v="JORGE DANILO BUITRAGO HERNANDEZ"/>
    <s v="CORE"/>
    <x v="15"/>
    <x v="5"/>
    <e v="#NAME?"/>
    <s v="SDATOOL-36560 $ Pricing de libranza - Plan Ascenso Open Market"/>
    <n v="1"/>
    <x v="0"/>
    <x v="2"/>
    <m/>
    <e v="#NAME?"/>
    <e v="#NAME?"/>
    <e v="#NAME?"/>
    <m/>
    <m/>
    <m/>
    <m/>
    <m/>
    <n v="1"/>
  </r>
  <r>
    <s v="CE64394"/>
    <s v="ANDREI NICOLAS CASTRO MUÑOZ"/>
    <s v="CORE"/>
    <x v="15"/>
    <x v="2"/>
    <e v="#NAME?"/>
    <s v="SDATOOL-36560 $ Pricing de libranza - Plan Ascenso Open Market"/>
    <n v="1"/>
    <x v="2"/>
    <x v="2"/>
    <m/>
    <e v="#NAME?"/>
    <e v="#NAME?"/>
    <e v="#NAME?"/>
    <m/>
    <m/>
    <m/>
    <m/>
    <m/>
    <n v="1"/>
  </r>
  <r>
    <s v="T007567"/>
    <s v="ERIKA LILIANA ESPINOSA DUQUE"/>
    <s v="CORE"/>
    <x v="15"/>
    <x v="1"/>
    <e v="#NAME?"/>
    <s v="SDATOOL-34910 $ Libranza Digital"/>
    <n v="1"/>
    <x v="2"/>
    <x v="2"/>
    <m/>
    <e v="#NAME?"/>
    <e v="#NAME?"/>
    <e v="#NAME?"/>
    <m/>
    <m/>
    <m/>
    <m/>
    <m/>
    <n v="1"/>
  </r>
  <r>
    <s v="T004584"/>
    <s v="LYDI JOHANA MORENO LOPEZ"/>
    <s v="CORE"/>
    <x v="15"/>
    <x v="1"/>
    <e v="#NAME?"/>
    <s v="SDATOOL-34910 $ Libranza Digital"/>
    <n v="1"/>
    <x v="2"/>
    <x v="2"/>
    <m/>
    <e v="#NAME?"/>
    <e v="#NAME?"/>
    <e v="#NAME?"/>
    <m/>
    <m/>
    <m/>
    <m/>
    <m/>
    <n v="1"/>
  </r>
  <r>
    <s v="T001314"/>
    <s v="JUAN DAVID GARZON"/>
    <s v="CORE"/>
    <x v="15"/>
    <x v="1"/>
    <e v="#NAME?"/>
    <s v="SDATOOL-39272 $ GRM-Col-Cambio servicio APL (Aportes en línea)"/>
    <n v="1"/>
    <x v="2"/>
    <x v="2"/>
    <m/>
    <e v="#NAME?"/>
    <e v="#NAME?"/>
    <e v="#NAME?"/>
    <m/>
    <m/>
    <m/>
    <m/>
    <m/>
    <n v="1"/>
  </r>
  <r>
    <s v="CE69611"/>
    <s v="JESUS ROLDAN LAVERDE"/>
    <s v="CORE"/>
    <x v="15"/>
    <x v="20"/>
    <e v="#NAME?"/>
    <s v="SDATOOL-39272 $ GRM-Col-Cambio servicio APL (Aportes en línea)"/>
    <n v="1"/>
    <x v="0"/>
    <x v="2"/>
    <m/>
    <e v="#NAME?"/>
    <e v="#NAME?"/>
    <e v="#NAME?"/>
    <m/>
    <m/>
    <m/>
    <m/>
    <m/>
    <n v="1"/>
  </r>
  <r>
    <s v="CE69612"/>
    <s v="DIEGO DIAZ VIVAS"/>
    <s v="CORE"/>
    <x v="15"/>
    <x v="20"/>
    <e v="#NAME?"/>
    <s v="SDATOOL-34910 $ Libranza Digital"/>
    <n v="1"/>
    <x v="0"/>
    <x v="5"/>
    <m/>
    <e v="#NAME?"/>
    <e v="#NAME?"/>
    <e v="#NAME?"/>
    <m/>
    <m/>
    <m/>
    <m/>
    <m/>
    <n v="1"/>
  </r>
  <r>
    <s v="C342048"/>
    <s v="LUIS JAVIER RIVERA MORENO"/>
    <s v="CORE"/>
    <x v="15"/>
    <x v="0"/>
    <e v="#NAME?"/>
    <s v="SDATOOL-40435 $ Cuota Segura créditos de libranza"/>
    <n v="0.5"/>
    <x v="0"/>
    <x v="2"/>
    <m/>
    <e v="#NAME?"/>
    <e v="#NAME?"/>
    <e v="#NAME?"/>
    <m/>
    <m/>
    <m/>
    <m/>
    <m/>
    <n v="1"/>
  </r>
  <r>
    <s v="C342048"/>
    <s v="LUIS JAVIER RIVERA MORENO"/>
    <s v="CORE"/>
    <x v="15"/>
    <x v="0"/>
    <e v="#NAME?"/>
    <s v="SDATOOL-41748 $ Cuota Fija - Tasa Variable para créditos de Consumo y Vehículo"/>
    <n v="0.25"/>
    <x v="0"/>
    <x v="2"/>
    <m/>
    <e v="#NAME?"/>
    <e v="#NAME?"/>
    <e v="#NAME?"/>
    <m/>
    <m/>
    <m/>
    <m/>
    <m/>
    <n v="0"/>
  </r>
  <r>
    <s v="C342048"/>
    <s v="LUIS JAVIER RIVERA MORENO"/>
    <s v="CORE"/>
    <x v="15"/>
    <x v="0"/>
    <e v="#NAME?"/>
    <s v="SDATOOL-40494 $ Control de cúmulos de seguros para todas las lineas del activo"/>
    <n v="0.25"/>
    <x v="0"/>
    <x v="2"/>
    <m/>
    <e v="#NAME?"/>
    <e v="#NAME?"/>
    <e v="#NAME?"/>
    <m/>
    <m/>
    <m/>
    <m/>
    <m/>
    <n v="0"/>
  </r>
  <r>
    <s v="O000444"/>
    <s v="EDGAR VASQUEZ RUIZ"/>
    <s v="CORE"/>
    <x v="15"/>
    <x v="0"/>
    <e v="#NAME?"/>
    <s v="SDATOOL-40435 $ Cuota Segura créditos de libranza"/>
    <n v="0.9"/>
    <x v="0"/>
    <x v="2"/>
    <m/>
    <e v="#NAME?"/>
    <e v="#NAME?"/>
    <e v="#NAME?"/>
    <m/>
    <m/>
    <m/>
    <m/>
    <m/>
    <n v="1"/>
  </r>
  <r>
    <s v="O000444"/>
    <s v="EDGAR VASQUEZ RUIZ"/>
    <s v="CORE"/>
    <x v="15"/>
    <x v="0"/>
    <e v="#NAME?"/>
    <s v="SDATOOL-40268 $ CLASIFICACION DE TIPO DE PRODUCTOR -CIRCULAR 48 FINAGRO"/>
    <n v="0.1"/>
    <x v="0"/>
    <x v="2"/>
    <m/>
    <e v="#NAME?"/>
    <e v="#NAME?"/>
    <e v="#NAME?"/>
    <m/>
    <m/>
    <m/>
    <m/>
    <m/>
    <n v="0"/>
  </r>
  <r>
    <s v="O000106"/>
    <s v="FELIPE ALEJANDO PEDRAZA ROBLES"/>
    <s v="CORE"/>
    <x v="15"/>
    <x v="0"/>
    <e v="#NAME?"/>
    <s v="SDATOOL-40268 $ CLASIFICACION DE TIPO DE PRODUCTOR -CIRCULAR 48 FINAGRO"/>
    <n v="0.8"/>
    <x v="0"/>
    <x v="2"/>
    <m/>
    <e v="#NAME?"/>
    <e v="#NAME?"/>
    <e v="#NAME?"/>
    <m/>
    <m/>
    <m/>
    <m/>
    <m/>
    <n v="1"/>
  </r>
  <r>
    <s v="O000106"/>
    <s v="FELIPE ALEJANDO PEDRAZA ROBLES"/>
    <s v="CORE"/>
    <x v="15"/>
    <x v="0"/>
    <e v="#NAME?"/>
    <s v="SDATOOL-40555 $ ADELANTO DE VENTA EN GEMA"/>
    <n v="0.2"/>
    <x v="0"/>
    <x v="2"/>
    <m/>
    <e v="#NAME?"/>
    <e v="#NAME?"/>
    <e v="#NAME?"/>
    <m/>
    <m/>
    <m/>
    <m/>
    <m/>
    <n v="0"/>
  </r>
  <r>
    <s v="C810908"/>
    <s v="DIANA CAROLINA PEÑA PALOMINO"/>
    <s v="CORE"/>
    <x v="15"/>
    <x v="0"/>
    <e v="#NAME?"/>
    <s v="SDATOOL-40670 $ Plan CRM: Mejoras DWP Jurídicos (Pymes, Empresas,Gobiernos)"/>
    <n v="0.5"/>
    <x v="0"/>
    <x v="2"/>
    <m/>
    <e v="#NAME?"/>
    <e v="#NAME?"/>
    <e v="#NAME?"/>
    <m/>
    <m/>
    <m/>
    <m/>
    <m/>
    <n v="1"/>
  </r>
  <r>
    <s v="C810908"/>
    <s v="DIANA CAROLINA PEÑA PALOMINO"/>
    <s v="CORE"/>
    <x v="15"/>
    <x v="0"/>
    <e v="#NAME?"/>
    <s v="SDATOOL-40494 $ Control de cúmulos de seguros para todas las lineas del activo"/>
    <n v="0.5"/>
    <x v="0"/>
    <x v="2"/>
    <m/>
    <e v="#NAME?"/>
    <e v="#NAME?"/>
    <e v="#NAME?"/>
    <m/>
    <m/>
    <m/>
    <m/>
    <m/>
    <n v="0"/>
  </r>
  <r>
    <s v="C810801"/>
    <s v="DIANA BARBOSA OSPINA"/>
    <s v="CORE"/>
    <x v="15"/>
    <x v="0"/>
    <e v="#NAME?"/>
    <s v="SDATOOL-39358 $ Crédito Virtual"/>
    <n v="0.1"/>
    <x v="0"/>
    <x v="2"/>
    <m/>
    <e v="#NAME?"/>
    <e v="#NAME?"/>
    <e v="#NAME?"/>
    <m/>
    <m/>
    <m/>
    <m/>
    <m/>
    <n v="1"/>
  </r>
  <r>
    <s v="C810801"/>
    <s v="DIANA BARBOSA OSPINA"/>
    <s v="CORE"/>
    <x v="15"/>
    <x v="0"/>
    <e v="#NAME?"/>
    <s v="SDATOOL-41748 $ Cuota Fija - Tasa Variable para créditos de Consumo y Vehículo"/>
    <n v="0.9"/>
    <x v="0"/>
    <x v="2"/>
    <m/>
    <e v="#NAME?"/>
    <e v="#NAME?"/>
    <e v="#NAME?"/>
    <m/>
    <m/>
    <m/>
    <m/>
    <m/>
    <n v="0"/>
  </r>
  <r>
    <s v="O003400"/>
    <s v="JUAN SEBASTIAN COLMENARES RODRIGUEZ"/>
    <s v="CORE"/>
    <x v="15"/>
    <x v="0"/>
    <e v="#NAME?"/>
    <s v="SDATOOL-41748 $ Cuota Fija - Tasa Variable para créditos de Consumo y Vehículo"/>
    <n v="1"/>
    <x v="0"/>
    <x v="2"/>
    <m/>
    <e v="#NAME?"/>
    <e v="#NAME?"/>
    <e v="#NAME?"/>
    <m/>
    <m/>
    <m/>
    <m/>
    <m/>
    <n v="1"/>
  </r>
  <r>
    <s v="O003461"/>
    <s v="CARLOS VICENTE SERRATO SERNA"/>
    <s v="CORE"/>
    <x v="15"/>
    <x v="0"/>
    <e v="#NAME?"/>
    <s v="SDATOOL-40435 $ Cuota Segura créditos de libranza"/>
    <n v="1"/>
    <x v="0"/>
    <x v="2"/>
    <m/>
    <e v="#NAME?"/>
    <e v="#NAME?"/>
    <e v="#NAME?"/>
    <m/>
    <m/>
    <m/>
    <m/>
    <m/>
    <n v="1"/>
  </r>
  <r>
    <s v="C808133"/>
    <s v="REMBERTO PRIOLO"/>
    <s v="CORE"/>
    <x v="15"/>
    <x v="0"/>
    <e v="#NAME?"/>
    <s v="SDATOOL-40435 $ Cuota Segura créditos de libranza"/>
    <n v="0.2"/>
    <x v="0"/>
    <x v="3"/>
    <m/>
    <e v="#NAME?"/>
    <e v="#NAME?"/>
    <e v="#NAME?"/>
    <m/>
    <m/>
    <m/>
    <m/>
    <m/>
    <n v="1"/>
  </r>
  <r>
    <s v="C808133"/>
    <s v="REMBERTO PRIOLO"/>
    <s v="CORE"/>
    <x v="15"/>
    <x v="0"/>
    <e v="#NAME?"/>
    <s v="SDATOOL-39836 $ Vivienda digital fase III"/>
    <n v="0.8"/>
    <x v="0"/>
    <x v="3"/>
    <m/>
    <e v="#NAME?"/>
    <e v="#NAME?"/>
    <e v="#NAME?"/>
    <m/>
    <m/>
    <m/>
    <m/>
    <m/>
    <n v="0"/>
  </r>
  <r>
    <s v="O000446"/>
    <s v="ANDRES FELIPE FUENTES GARAY"/>
    <s v="CORE"/>
    <x v="15"/>
    <x v="0"/>
    <e v="#NAME?"/>
    <s v="SDATOOL-40435 $ Cuota Segura créditos de libranza"/>
    <n v="0.2"/>
    <x v="1"/>
    <x v="3"/>
    <m/>
    <e v="#NAME?"/>
    <e v="#NAME?"/>
    <e v="#NAME?"/>
    <m/>
    <m/>
    <m/>
    <m/>
    <m/>
    <n v="1"/>
  </r>
  <r>
    <s v="O000446"/>
    <s v="ANDRES FELIPE FUENTES GARAY"/>
    <s v="CORE"/>
    <x v="15"/>
    <x v="0"/>
    <e v="#NAME?"/>
    <s v="SDATOOL-41748 $ Cuota Fija - Tasa Variable para créditos de Consumo y Vehículo"/>
    <n v="0.2"/>
    <x v="1"/>
    <x v="2"/>
    <m/>
    <e v="#NAME?"/>
    <e v="#NAME?"/>
    <e v="#NAME?"/>
    <m/>
    <m/>
    <m/>
    <m/>
    <m/>
    <n v="0"/>
  </r>
  <r>
    <s v="O000446"/>
    <s v="ANDRES FELIPE FUENTES GARAY"/>
    <s v="CORE"/>
    <x v="15"/>
    <x v="0"/>
    <e v="#NAME?"/>
    <s v="SDATOOL-40494 $ Control de cúmulos de seguros para todas las lineas del activo"/>
    <n v="0.2"/>
    <x v="1"/>
    <x v="3"/>
    <m/>
    <e v="#NAME?"/>
    <e v="#NAME?"/>
    <e v="#NAME?"/>
    <m/>
    <m/>
    <m/>
    <m/>
    <m/>
    <n v="0"/>
  </r>
  <r>
    <s v="O000446"/>
    <s v="ANDRES FELIPE FUENTES GARAY"/>
    <s v="CORE"/>
    <x v="15"/>
    <x v="0"/>
    <e v="#NAME?"/>
    <s v="SDATOOL-40670 $ Plan CRM: Mejoras DWP Jurídicos (Pymes, Empresas,Gobiernos)"/>
    <n v="0.2"/>
    <x v="1"/>
    <x v="2"/>
    <m/>
    <e v="#NAME?"/>
    <e v="#NAME?"/>
    <e v="#NAME?"/>
    <m/>
    <m/>
    <m/>
    <m/>
    <m/>
    <n v="0"/>
  </r>
  <r>
    <s v="O000446"/>
    <s v="ANDRES FELIPE FUENTES GARAY"/>
    <s v="CORE"/>
    <x v="15"/>
    <x v="0"/>
    <e v="#NAME?"/>
    <s v="SDATOOL-40268 $ CLASIFICACION DE TIPO DE PRODUCTOR -CIRCULAR 48 FINAGRO"/>
    <n v="0.2"/>
    <x v="1"/>
    <x v="2"/>
    <m/>
    <e v="#NAME?"/>
    <e v="#NAME?"/>
    <e v="#NAME?"/>
    <m/>
    <m/>
    <m/>
    <m/>
    <m/>
    <n v="0"/>
  </r>
  <r>
    <s v="CE57920"/>
    <s v="WILLIAM ARMANDO BONILLA ACUÑA"/>
    <s v="CORE"/>
    <x v="15"/>
    <x v="5"/>
    <e v="#NAME?"/>
    <s v="SDATOOL-40435 $ Cuota Segura créditos de libranza"/>
    <n v="1"/>
    <x v="2"/>
    <x v="2"/>
    <m/>
    <e v="#NAME?"/>
    <e v="#NAME?"/>
    <e v="#NAME?"/>
    <m/>
    <m/>
    <m/>
    <m/>
    <m/>
    <n v="1"/>
  </r>
  <r>
    <s v="C804828"/>
    <s v="MAIRA ALEJANDRA GUERRERO CAMARGO"/>
    <s v="CORE"/>
    <x v="15"/>
    <x v="0"/>
    <e v="#NAME?"/>
    <s v="SDATOOL-37483 $ Aplicativos Finanzas - 2022"/>
    <n v="0.1"/>
    <x v="0"/>
    <x v="2"/>
    <m/>
    <e v="#NAME?"/>
    <e v="#NAME?"/>
    <e v="#NAME?"/>
    <m/>
    <m/>
    <m/>
    <m/>
    <m/>
    <n v="1"/>
  </r>
  <r>
    <s v="C804828"/>
    <s v="MAIRA ALEJANDRA GUERRERO CAMARGO"/>
    <s v="CORE"/>
    <x v="15"/>
    <x v="0"/>
    <e v="#NAME?"/>
    <s v="SDATOOL-33846 $ SREP Data Quality- BCBS239 - Colombia"/>
    <n v="0.9"/>
    <x v="0"/>
    <x v="2"/>
    <s v="Atiende dentro del programa BCBS239 3 proyectos"/>
    <e v="#NAME?"/>
    <e v="#NAME?"/>
    <e v="#NAME?"/>
    <m/>
    <m/>
    <m/>
    <m/>
    <m/>
    <n v="0"/>
  </r>
  <r>
    <s v="C343126"/>
    <s v="RUBERTH SAN MIGUEL PEREZ"/>
    <s v="CORE"/>
    <x v="15"/>
    <x v="0"/>
    <e v="#NAME?"/>
    <s v="SDATOOL-33846 $ SREP Data Quality- BCBS239 - Colombia"/>
    <n v="0.6"/>
    <x v="0"/>
    <x v="2"/>
    <m/>
    <e v="#NAME?"/>
    <e v="#NAME?"/>
    <e v="#NAME?"/>
    <m/>
    <m/>
    <m/>
    <m/>
    <m/>
    <n v="1"/>
  </r>
  <r>
    <s v="C343126"/>
    <s v="RUBERTH SAN MIGUEL PEREZ"/>
    <s v="CORE"/>
    <x v="15"/>
    <x v="0"/>
    <e v="#NAME?"/>
    <s v="SDATOOL-42201 $ GRM Col - Cronos Collections - Pago Dirigido Préstamos"/>
    <n v="0.4"/>
    <x v="0"/>
    <x v="2"/>
    <m/>
    <e v="#NAME?"/>
    <e v="#NAME?"/>
    <e v="#NAME?"/>
    <m/>
    <m/>
    <m/>
    <m/>
    <m/>
    <n v="0"/>
  </r>
  <r>
    <s v="C809713"/>
    <s v="FABRICIO AUGUSTO LOZANO TORRES"/>
    <s v="CORE"/>
    <x v="15"/>
    <x v="0"/>
    <e v="#NAME?"/>
    <s v="SDATOOL-35697 $ GRM - Garantías Hipotecarias - Ingesta de Datos"/>
    <n v="0.4"/>
    <x v="0"/>
    <x v="2"/>
    <m/>
    <e v="#NAME?"/>
    <e v="#NAME?"/>
    <e v="#NAME?"/>
    <m/>
    <m/>
    <m/>
    <m/>
    <m/>
    <n v="1"/>
  </r>
  <r>
    <s v="C809713"/>
    <s v="FABRICIO AUGUSTO LOZANO TORRES"/>
    <s v="CORE"/>
    <x v="15"/>
    <x v="0"/>
    <e v="#NAME?"/>
    <s v="SDATOOL-41938 $ GRM Col Reg - Ajuste Calificación Escalera"/>
    <n v="0.6"/>
    <x v="0"/>
    <x v="2"/>
    <m/>
    <e v="#NAME?"/>
    <e v="#NAME?"/>
    <e v="#NAME?"/>
    <m/>
    <m/>
    <m/>
    <m/>
    <m/>
    <n v="0"/>
  </r>
  <r>
    <s v="C367168"/>
    <s v="FLOR MIREYA GONZALEZ VASQUEZ"/>
    <s v="CORE"/>
    <x v="15"/>
    <x v="0"/>
    <e v="#NAME?"/>
    <s v="SDATOOL-33846 $ SREP Data Quality- BCBS239 - Colombia"/>
    <n v="0.4"/>
    <x v="1"/>
    <x v="2"/>
    <m/>
    <e v="#NAME?"/>
    <e v="#NAME?"/>
    <e v="#NAME?"/>
    <m/>
    <m/>
    <m/>
    <m/>
    <m/>
    <n v="1"/>
  </r>
  <r>
    <s v="C367168"/>
    <s v="FLOR MIREYA GONZALEZ VASQUEZ"/>
    <s v="CORE"/>
    <x v="15"/>
    <x v="0"/>
    <e v="#NAME?"/>
    <s v="SDATOOL-37483 $ Aplicativos Finanzas - 2022"/>
    <n v="0.05"/>
    <x v="1"/>
    <x v="2"/>
    <m/>
    <e v="#NAME?"/>
    <e v="#NAME?"/>
    <e v="#NAME?"/>
    <m/>
    <m/>
    <m/>
    <m/>
    <m/>
    <n v="0"/>
  </r>
  <r>
    <s v="C367168"/>
    <s v="FLOR MIREYA GONZALEZ VASQUEZ"/>
    <s v="CORE"/>
    <x v="15"/>
    <x v="0"/>
    <e v="#NAME?"/>
    <s v="SDATOOL-35697 $ GRM - Garantías Hipotecarias - Ingesta de Datos"/>
    <n v="0.2"/>
    <x v="1"/>
    <x v="2"/>
    <m/>
    <e v="#NAME?"/>
    <e v="#NAME?"/>
    <e v="#NAME?"/>
    <m/>
    <m/>
    <m/>
    <m/>
    <m/>
    <n v="0"/>
  </r>
  <r>
    <s v="C367168"/>
    <s v="FLOR MIREYA GONZALEZ VASQUEZ"/>
    <s v="CORE"/>
    <x v="15"/>
    <x v="0"/>
    <e v="#NAME?"/>
    <s v="SDATOOL-41938 $ GRM Col Reg - Ajuste Calificación Escalera"/>
    <n v="0.1"/>
    <x v="1"/>
    <x v="2"/>
    <m/>
    <e v="#NAME?"/>
    <e v="#NAME?"/>
    <e v="#NAME?"/>
    <m/>
    <m/>
    <m/>
    <m/>
    <m/>
    <n v="0"/>
  </r>
  <r>
    <s v="C367168"/>
    <s v="FLOR MIREYA GONZALEZ VASQUEZ"/>
    <s v="CORE"/>
    <x v="15"/>
    <x v="0"/>
    <e v="#NAME?"/>
    <s v="SDATOOL-42201 $ GRM Col - Cronos Collections - Pago Dirigido Préstamos"/>
    <n v="0.25"/>
    <x v="1"/>
    <x v="2"/>
    <m/>
    <e v="#NAME?"/>
    <e v="#NAME?"/>
    <e v="#NAME?"/>
    <m/>
    <m/>
    <m/>
    <m/>
    <m/>
    <n v="0"/>
  </r>
  <r>
    <s v="CE51434"/>
    <s v="MICHAEL ALEXANDER PINZON CRISTANCHO"/>
    <s v="CORE"/>
    <x v="15"/>
    <x v="5"/>
    <e v="#NAME?"/>
    <s v="SDATOOL-35697 $ GRM - Garantías Hipotecarias - Ingesta de Datos"/>
    <n v="0.5"/>
    <x v="2"/>
    <x v="2"/>
    <m/>
    <e v="#NAME?"/>
    <e v="#NAME?"/>
    <e v="#NAME?"/>
    <m/>
    <m/>
    <m/>
    <m/>
    <m/>
    <n v="1"/>
  </r>
  <r>
    <s v="CE51434"/>
    <s v="MICHAEL ALEXANDER PINZON CRISTANCHO"/>
    <s v="CORE"/>
    <x v="15"/>
    <x v="5"/>
    <e v="#NAME?"/>
    <s v="SDATOOL-33846 $ SREP Data Quality- BCBS239 - Colombia"/>
    <n v="0.5"/>
    <x v="2"/>
    <x v="2"/>
    <m/>
    <e v="#NAME?"/>
    <e v="#NAME?"/>
    <e v="#NAME?"/>
    <m/>
    <m/>
    <m/>
    <m/>
    <m/>
    <n v="0"/>
  </r>
  <r>
    <s v="C808227"/>
    <s v="MARIA PAULA ISAZA SANCHEZ"/>
    <s v="CIB &amp; COMEX - FIDUCIARIA"/>
    <x v="16"/>
    <x v="0"/>
    <e v="#NAME?"/>
    <s v="SDATOOL-38736 $ Creación Tercero Miembro No Liquidador CRCC"/>
    <n v="1"/>
    <x v="0"/>
    <x v="0"/>
    <m/>
    <e v="#NAME?"/>
    <e v="#NAME?"/>
    <e v="#NAME?"/>
    <m/>
    <m/>
    <m/>
    <m/>
    <m/>
    <m/>
  </r>
  <r>
    <s v="C804032"/>
    <s v="CAMILO ANDRES MORENO HURTADO"/>
    <s v="CIB &amp; COMEX - FIDUCIARIA"/>
    <x v="16"/>
    <x v="0"/>
    <e v="#NAME?"/>
    <s v="SDATOOL-39217 $ Aplicativos Tesorería 2022"/>
    <n v="0.5"/>
    <x v="0"/>
    <x v="0"/>
    <m/>
    <e v="#NAME?"/>
    <e v="#NAME?"/>
    <e v="#NAME?"/>
    <m/>
    <m/>
    <m/>
    <m/>
    <m/>
    <m/>
  </r>
  <r>
    <s v="C804032"/>
    <s v="CAMILO ANDRES MORENO HURTADO"/>
    <s v="CIB &amp; COMEX - FIDUCIARIA"/>
    <x v="16"/>
    <x v="0"/>
    <e v="#NAME?"/>
    <s v="SDATOOL-41308 $ Aplicativos Tesorería 2023"/>
    <n v="0.5"/>
    <x v="0"/>
    <x v="0"/>
    <m/>
    <e v="#NAME?"/>
    <e v="#NAME?"/>
    <e v="#NAME?"/>
    <m/>
    <m/>
    <m/>
    <m/>
    <m/>
    <m/>
  </r>
  <r>
    <s v="C811284"/>
    <s v="CRISTIAN ARLEY AMORTEGUI AREVALO"/>
    <s v="CIB &amp; COMEX - FIDUCIARIA"/>
    <x v="16"/>
    <x v="0"/>
    <e v="#NAME?"/>
    <s v="SDATOOL-35663 $ Capacidades FX GM"/>
    <n v="1"/>
    <x v="0"/>
    <x v="2"/>
    <m/>
    <e v="#NAME?"/>
    <e v="#NAME?"/>
    <e v="#NAME?"/>
    <m/>
    <m/>
    <m/>
    <m/>
    <m/>
    <m/>
  </r>
  <r>
    <s v="C808193"/>
    <s v="GILBERTO SANCHEZ RODRIGUEZ"/>
    <s v="CIB &amp; COMEX - FIDUCIARIA"/>
    <x v="16"/>
    <x v="0"/>
    <e v="#NAME?"/>
    <s v="SDATOOL-40438 $ CIRCULAR 032 del 2021 - REQUERIMIENTO FISCALIA GENERAL DE LA NACION"/>
    <n v="0.75"/>
    <x v="0"/>
    <x v="2"/>
    <m/>
    <e v="#NAME?"/>
    <e v="#NAME?"/>
    <e v="#NAME?"/>
    <m/>
    <m/>
    <m/>
    <m/>
    <m/>
    <m/>
  </r>
  <r>
    <s v="C808193"/>
    <s v="GILBERTO SANCHEZ RODRIGUEZ"/>
    <s v="CIB &amp; COMEX - FIDUCIARIA"/>
    <x v="16"/>
    <x v="0"/>
    <e v="#NAME?"/>
    <s v="SDATOOL-41206 $ Ordenes de pago recibidas (OPR)"/>
    <n v="0.25"/>
    <x v="0"/>
    <x v="2"/>
    <m/>
    <e v="#NAME?"/>
    <e v="#NAME?"/>
    <e v="#NAME?"/>
    <m/>
    <m/>
    <m/>
    <m/>
    <m/>
    <m/>
  </r>
  <r>
    <s v="C782744"/>
    <s v="VICTOR WILSON AREVALO MARTIN"/>
    <s v="CIB &amp; COMEX - FIDUCIARIA"/>
    <x v="16"/>
    <x v="0"/>
    <e v="#NAME?"/>
    <s v="SDATOOL-41206 $ Ordenes de pago recibidas (OPR)"/>
    <n v="0.25"/>
    <x v="0"/>
    <x v="2"/>
    <m/>
    <e v="#NAME?"/>
    <e v="#NAME?"/>
    <e v="#NAME?"/>
    <m/>
    <m/>
    <m/>
    <m/>
    <m/>
    <m/>
  </r>
  <r>
    <s v="C782744"/>
    <s v="VICTOR WILSON AREVALO MARTIN"/>
    <s v="CIB &amp; COMEX - FIDUCIARIA"/>
    <x v="16"/>
    <x v="0"/>
    <e v="#NAME?"/>
    <s v="SDATOOL-38735 $ Dynamic Pricing"/>
    <n v="0.75"/>
    <x v="0"/>
    <x v="0"/>
    <m/>
    <e v="#NAME?"/>
    <e v="#NAME?"/>
    <e v="#NAME?"/>
    <m/>
    <m/>
    <m/>
    <m/>
    <m/>
    <m/>
  </r>
  <r>
    <s v="C805683"/>
    <s v="SERGIO LEONARDO MENDOZA GASCA"/>
    <s v="CIB &amp; COMEX - FIDUCIARIA"/>
    <x v="16"/>
    <x v="0"/>
    <e v="#NAME?"/>
    <s v="SDATOOL-38735 $ Dynamic Pricing"/>
    <n v="0.5"/>
    <x v="0"/>
    <x v="0"/>
    <m/>
    <e v="#NAME?"/>
    <e v="#NAME?"/>
    <e v="#NAME?"/>
    <m/>
    <m/>
    <m/>
    <m/>
    <m/>
    <m/>
  </r>
  <r>
    <s v="C805683"/>
    <s v="SERGIO LEONARDO MENDOZA GASCA"/>
    <s v="CIB &amp; COMEX - FIDUCIARIA"/>
    <x v="16"/>
    <x v="0"/>
    <e v="#NAME?"/>
    <s v="SDATOOL-39347 $ Alertas Personalizadas FX"/>
    <n v="0.5"/>
    <x v="0"/>
    <x v="0"/>
    <m/>
    <e v="#NAME?"/>
    <e v="#NAME?"/>
    <e v="#NAME?"/>
    <m/>
    <m/>
    <m/>
    <m/>
    <m/>
    <m/>
  </r>
  <r>
    <s v="C805074"/>
    <s v="MARLON STUART SUAREZ ."/>
    <s v="CIB &amp; COMEX - FIDUCIARIA"/>
    <x v="16"/>
    <x v="0"/>
    <e v="#NAME?"/>
    <s v="SDATOOL-39217 $ Aplicativos Tesorería 2022"/>
    <n v="0.3"/>
    <x v="0"/>
    <x v="0"/>
    <m/>
    <e v="#NAME?"/>
    <e v="#NAME?"/>
    <e v="#NAME?"/>
    <m/>
    <m/>
    <m/>
    <m/>
    <m/>
    <m/>
  </r>
  <r>
    <s v="C805074"/>
    <s v="MARLON STUART SUAREZ ."/>
    <s v="CIB &amp; COMEX - FIDUCIARIA"/>
    <x v="16"/>
    <x v="0"/>
    <e v="#NAME?"/>
    <s v="SDATOOL-31461 $ Liquidación Swaps Cross Crurrency Delivery"/>
    <n v="0.3"/>
    <x v="0"/>
    <x v="0"/>
    <m/>
    <e v="#NAME?"/>
    <e v="#NAME?"/>
    <e v="#NAME?"/>
    <m/>
    <m/>
    <m/>
    <m/>
    <m/>
    <m/>
  </r>
  <r>
    <s v="C805074"/>
    <s v="MARLON STUART SUAREZ ."/>
    <s v="CIB &amp; COMEX - FIDUCIARIA"/>
    <x v="16"/>
    <x v="0"/>
    <e v="#NAME?"/>
    <s v="SDATOOL-41308 $ Aplicativos Tesorería 2023"/>
    <n v="0.4"/>
    <x v="0"/>
    <x v="0"/>
    <m/>
    <e v="#NAME?"/>
    <e v="#NAME?"/>
    <e v="#NAME?"/>
    <m/>
    <m/>
    <m/>
    <m/>
    <m/>
    <m/>
  </r>
  <r>
    <s v="O001825"/>
    <s v="JONATHAN FABIAN PAEZ TORRES"/>
    <s v="CIB &amp; COMEX - FIDUCIARIA"/>
    <x v="16"/>
    <x v="0"/>
    <e v="#NAME?"/>
    <s v="SDATOOL-39217 $ Aplicativos Tesorería 2022"/>
    <n v="0.25"/>
    <x v="0"/>
    <x v="0"/>
    <m/>
    <e v="#NAME?"/>
    <e v="#NAME?"/>
    <e v="#NAME?"/>
    <m/>
    <m/>
    <m/>
    <m/>
    <m/>
    <m/>
  </r>
  <r>
    <s v="O001825"/>
    <s v="JONATHAN FABIAN PAEZ TORRES"/>
    <s v="CIB &amp; COMEX - FIDUCIARIA"/>
    <x v="16"/>
    <x v="0"/>
    <e v="#NAME?"/>
    <s v="SDATOOL-31461 $ Liquidación Swaps Cross Crurrency Delivery"/>
    <n v="0.25"/>
    <x v="0"/>
    <x v="0"/>
    <m/>
    <e v="#NAME?"/>
    <e v="#NAME?"/>
    <e v="#NAME?"/>
    <m/>
    <m/>
    <m/>
    <m/>
    <m/>
    <m/>
  </r>
  <r>
    <s v="O001825"/>
    <s v="JONATHAN FABIAN PAEZ TORRES"/>
    <s v="CIB &amp; COMEX - FIDUCIARIA"/>
    <x v="16"/>
    <x v="0"/>
    <e v="#NAME?"/>
    <s v="SDATOOL-41308 $ Aplicativos Tesorería 2023"/>
    <n v="0.5"/>
    <x v="0"/>
    <x v="0"/>
    <m/>
    <e v="#NAME?"/>
    <e v="#NAME?"/>
    <e v="#NAME?"/>
    <m/>
    <m/>
    <m/>
    <m/>
    <m/>
    <m/>
  </r>
  <r>
    <s v="O003306"/>
    <s v="LEIDY JOHANA RODRIGUEZ GARCIA"/>
    <s v="CIB &amp; COMEX - FIDUCIARIA"/>
    <x v="16"/>
    <x v="0"/>
    <e v="#NAME?"/>
    <s v="SDATOOL-41308 $ Aplicativos Tesorería 2023"/>
    <n v="0.75"/>
    <x v="0"/>
    <x v="0"/>
    <m/>
    <e v="#NAME?"/>
    <e v="#NAME?"/>
    <e v="#NAME?"/>
    <m/>
    <m/>
    <m/>
    <m/>
    <m/>
    <m/>
  </r>
  <r>
    <s v="O003306"/>
    <s v="LEIDY JOHANA RODRIGUEZ GARCIA"/>
    <s v="CIB &amp; COMEX - FIDUCIARIA"/>
    <x v="16"/>
    <x v="0"/>
    <e v="#NAME?"/>
    <s v="SDATOOL-41308 $ Aplicativos Tesorería 2023"/>
    <n v="0.25"/>
    <x v="0"/>
    <x v="0"/>
    <m/>
    <e v="#NAME?"/>
    <e v="#NAME?"/>
    <e v="#NAME?"/>
    <m/>
    <m/>
    <m/>
    <m/>
    <m/>
    <m/>
  </r>
  <r>
    <s v="CE52611"/>
    <s v="GUSTAVO ADOLFO SALAZAR BERNAL"/>
    <s v="CIB &amp; COMEX - FIDUCIARIA"/>
    <x v="16"/>
    <x v="3"/>
    <e v="#NAME?"/>
    <s v="SDATOOL-40438 $ CIRCULAR 032 del 2021 - REQUERIMIENTO FISCALIA GENERAL DE LA NACION"/>
    <n v="0.5"/>
    <x v="0"/>
    <x v="0"/>
    <m/>
    <e v="#NAME?"/>
    <e v="#NAME?"/>
    <e v="#NAME?"/>
    <m/>
    <m/>
    <m/>
    <m/>
    <m/>
    <m/>
  </r>
  <r>
    <s v="CE52611"/>
    <s v="GUSTAVO ADOLFO SALAZAR BERNAL"/>
    <s v="CIB &amp; COMEX - FIDUCIARIA"/>
    <x v="16"/>
    <x v="3"/>
    <e v="#NAME?"/>
    <s v="SDATOOL-41205 $ Tagging Netcash, Net, e-markets"/>
    <n v="0.5"/>
    <x v="0"/>
    <x v="0"/>
    <m/>
    <e v="#NAME?"/>
    <e v="#NAME?"/>
    <e v="#NAME?"/>
    <m/>
    <m/>
    <m/>
    <m/>
    <m/>
    <m/>
  </r>
  <r>
    <s v="C804789"/>
    <s v="JHON ALEXANDER PINEDA ARIAS"/>
    <s v="CIB &amp; COMEX - FIDUCIARIA"/>
    <x v="16"/>
    <x v="0"/>
    <e v="#NAME?"/>
    <s v="SDATOOL-37342 $ SWIFT ISO20022 Ajuste de mensajes Swift a la nueva estructura"/>
    <n v="0.5"/>
    <x v="0"/>
    <x v="2"/>
    <m/>
    <e v="#NAME?"/>
    <e v="#NAME?"/>
    <e v="#NAME?"/>
    <m/>
    <m/>
    <m/>
    <m/>
    <m/>
    <m/>
  </r>
  <r>
    <s v="C804789"/>
    <s v="JHON ALEXANDER PINEDA ARIAS"/>
    <s v="CIB &amp; COMEX - FIDUCIARIA"/>
    <x v="16"/>
    <x v="0"/>
    <e v="#NAME?"/>
    <s v="SDATOOL-41737 $ Moneda Extranjera - Inclusión en SIGDOC"/>
    <n v="0.5"/>
    <x v="0"/>
    <x v="2"/>
    <m/>
    <e v="#NAME?"/>
    <e v="#NAME?"/>
    <e v="#NAME?"/>
    <m/>
    <m/>
    <m/>
    <m/>
    <m/>
    <m/>
  </r>
  <r>
    <s v="C810672"/>
    <s v="ALEJANDRA MARIA HINCAPIE AGUIRRE"/>
    <s v="CIB &amp; COMEX - FIDUCIARIA"/>
    <x v="16"/>
    <x v="0"/>
    <e v="#NAME?"/>
    <s v="SDATOOL-33846 $ SREP Data Quality- BCBS239 - Colombia"/>
    <n v="0.5"/>
    <x v="0"/>
    <x v="0"/>
    <m/>
    <e v="#NAME?"/>
    <e v="#NAME?"/>
    <e v="#NAME?"/>
    <m/>
    <m/>
    <m/>
    <m/>
    <m/>
    <m/>
  </r>
  <r>
    <s v="C810672"/>
    <s v="ALEJANDRA MARIA HINCAPIE AGUIRRE"/>
    <s v="CIB &amp; COMEX - FIDUCIARIA"/>
    <x v="16"/>
    <x v="0"/>
    <e v="#NAME?"/>
    <s v="SDATOOL-41737 $ Moneda Extranjera - Inclusión en SIGDOC"/>
    <n v="0.5"/>
    <x v="0"/>
    <x v="0"/>
    <m/>
    <e v="#NAME?"/>
    <e v="#NAME?"/>
    <e v="#NAME?"/>
    <m/>
    <m/>
    <m/>
    <m/>
    <m/>
    <m/>
  </r>
  <r>
    <s v="C804843"/>
    <s v="EDUAR DUBAN GONZALEZ JOYA"/>
    <s v="CIB &amp; COMEX - FIDUCIARIA"/>
    <x v="16"/>
    <x v="0"/>
    <e v="#NAME?"/>
    <s v="SDATOOL-33846 $ SREP Data Quality- BCBS239 - Colombia"/>
    <n v="0.5"/>
    <x v="0"/>
    <x v="0"/>
    <m/>
    <e v="#NAME?"/>
    <e v="#NAME?"/>
    <e v="#NAME?"/>
    <m/>
    <m/>
    <m/>
    <m/>
    <m/>
    <m/>
  </r>
  <r>
    <s v="C804843"/>
    <s v="EDUAR DUBAN GONZALEZ JOYA"/>
    <s v="CIB &amp; COMEX - FIDUCIARIA"/>
    <x v="16"/>
    <x v="0"/>
    <e v="#NAME?"/>
    <s v="SDATOOL-41737 $ Moneda Extranjera - Inclusión en SIGDOC"/>
    <n v="0.5"/>
    <x v="0"/>
    <x v="0"/>
    <m/>
    <e v="#NAME?"/>
    <e v="#NAME?"/>
    <e v="#NAME?"/>
    <m/>
    <m/>
    <m/>
    <m/>
    <m/>
    <m/>
  </r>
  <r>
    <s v="C805104"/>
    <s v="JEISSON SNEYDER GALLO RAMIREZ"/>
    <s v="CIB &amp; COMEX - FIDUCIARIA"/>
    <x v="16"/>
    <x v="0"/>
    <e v="#NAME?"/>
    <s v="SDATOOL-36047 $ Bloqueo Sobregiro para Pago Capital e Intereses"/>
    <n v="1"/>
    <x v="0"/>
    <x v="2"/>
    <m/>
    <e v="#NAME?"/>
    <e v="#NAME?"/>
    <e v="#NAME?"/>
    <m/>
    <m/>
    <m/>
    <m/>
    <m/>
    <m/>
  </r>
  <r>
    <s v="C810818"/>
    <s v="SERGIO ALEJANDRO NUÑEZ MENDIVELSO"/>
    <s v="CIB &amp; COMEX - FIDUCIARIA"/>
    <x v="16"/>
    <x v="0"/>
    <e v="#NAME?"/>
    <s v="SDATOOL-40269 $ Actualización y transmisión Declaraciones de Cambio – Banco de la República Abril 2022."/>
    <n v="1"/>
    <x v="0"/>
    <x v="2"/>
    <m/>
    <e v="#NAME?"/>
    <e v="#NAME?"/>
    <e v="#NAME?"/>
    <m/>
    <m/>
    <m/>
    <m/>
    <m/>
    <m/>
  </r>
  <r>
    <s v="CE67855"/>
    <s v="ANDREY DAVID NINO GALVIS"/>
    <s v="CIB &amp; COMEX - FIDUCIARIA"/>
    <x v="16"/>
    <x v="20"/>
    <e v="#NAME?"/>
    <s v="NOSDA $ BAU (Mantenimiento y peq. evolutivos)"/>
    <n v="1"/>
    <x v="0"/>
    <x v="0"/>
    <m/>
    <e v="#NAME?"/>
    <e v="#NAME?"/>
    <e v="#NAME?"/>
    <m/>
    <m/>
    <m/>
    <m/>
    <m/>
    <m/>
  </r>
  <r>
    <s v="T007493"/>
    <s v="BRIAN LEONARDO PEREZ RUBIANO"/>
    <s v="CIB &amp; COMEX - FIDUCIARIA"/>
    <x v="16"/>
    <x v="9"/>
    <e v="#NAME?"/>
    <s v="SDATOOL-41308 $ Aplicativos Tesorería 2023"/>
    <n v="0.5"/>
    <x v="2"/>
    <x v="0"/>
    <m/>
    <e v="#NAME?"/>
    <e v="#NAME?"/>
    <e v="#NAME?"/>
    <m/>
    <m/>
    <m/>
    <m/>
    <m/>
    <m/>
  </r>
  <r>
    <s v="C796462"/>
    <s v="CAMILO ANDRES TELLEZ PRIETO"/>
    <s v="CIB &amp; COMEX - FIDUCIARIA"/>
    <x v="16"/>
    <x v="0"/>
    <e v="#NAME?"/>
    <s v="NOSDA $ BAU (Mantenimiento y peq. evolutivos)"/>
    <n v="1"/>
    <x v="1"/>
    <x v="2"/>
    <m/>
    <e v="#NAME?"/>
    <e v="#NAME?"/>
    <e v="#NAME?"/>
    <m/>
    <m/>
    <m/>
    <m/>
    <m/>
    <m/>
  </r>
  <r>
    <s v="C342545"/>
    <s v="CARLOS ANDRES MARTINEZ BEDOYA"/>
    <s v="CIB &amp; COMEX - FIDUCIARIA"/>
    <x v="16"/>
    <x v="0"/>
    <e v="#NAME?"/>
    <s v="NOSDA $ BAU (Mantenimiento y peq. evolutivos)"/>
    <n v="1"/>
    <x v="0"/>
    <x v="2"/>
    <m/>
    <e v="#NAME?"/>
    <e v="#NAME?"/>
    <e v="#NAME?"/>
    <m/>
    <m/>
    <m/>
    <m/>
    <m/>
    <m/>
  </r>
  <r>
    <s v="CE69667"/>
    <s v="HAROLD ENRIQUE ROCANCIO JULIO"/>
    <s v="CIB &amp; COMEX - FIDUCIARIA"/>
    <x v="16"/>
    <x v="9"/>
    <e v="#NAME?"/>
    <s v="NOSDA $ BAU (Mantenimiento y peq. evolutivos)"/>
    <n v="1"/>
    <x v="3"/>
    <x v="0"/>
    <m/>
    <e v="#NAME?"/>
    <e v="#NAME?"/>
    <e v="#NAME?"/>
    <m/>
    <m/>
    <m/>
    <m/>
    <m/>
    <m/>
  </r>
  <r>
    <s v="CE65485"/>
    <s v="HECTOR JAIRO LEGUIZAMON "/>
    <s v="CIB &amp; COMEX - FIDUCIARIA"/>
    <x v="16"/>
    <x v="20"/>
    <e v="#NAME?"/>
    <s v="NOSDA $ BAU (Mantenimiento y peq. evolutivos)"/>
    <n v="1"/>
    <x v="0"/>
    <x v="0"/>
    <m/>
    <e v="#NAME?"/>
    <e v="#NAME?"/>
    <e v="#NAME?"/>
    <m/>
    <m/>
    <m/>
    <m/>
    <m/>
    <m/>
  </r>
  <r>
    <s v="C809352"/>
    <s v="JOHAN GARZON PEDRAZA"/>
    <s v="CIB &amp; COMEX - FIDUCIARIA"/>
    <x v="16"/>
    <x v="0"/>
    <e v="#NAME?"/>
    <s v="NOSDA $ BAU (Mantenimiento y peq. evolutivos)"/>
    <n v="1"/>
    <x v="0"/>
    <x v="2"/>
    <m/>
    <e v="#NAME?"/>
    <e v="#NAME?"/>
    <e v="#NAME?"/>
    <m/>
    <m/>
    <m/>
    <m/>
    <m/>
    <m/>
  </r>
  <r>
    <s v="CE67103"/>
    <s v="KAREN ANDREA BELTRÁN SILVA"/>
    <s v="CIB &amp; COMEX - FIDUCIARIA"/>
    <x v="16"/>
    <x v="20"/>
    <e v="#NAME?"/>
    <s v="NOSDA $ BAU (Mantenimiento y peq. evolutivos)"/>
    <n v="1"/>
    <x v="0"/>
    <x v="0"/>
    <m/>
    <e v="#NAME?"/>
    <e v="#NAME?"/>
    <e v="#NAME?"/>
    <m/>
    <m/>
    <m/>
    <m/>
    <m/>
    <m/>
  </r>
  <r>
    <s v="CE66251"/>
    <s v="SANTIAGO A SANTOS ESTRADA"/>
    <s v="CIB &amp; COMEX - FIDUCIARIA"/>
    <x v="16"/>
    <x v="9"/>
    <e v="#NAME?"/>
    <s v="SDATOOL-38735 $ Dynamic Pricing"/>
    <n v="0.5"/>
    <x v="2"/>
    <x v="0"/>
    <m/>
    <e v="#NAME?"/>
    <e v="#NAME?"/>
    <e v="#NAME?"/>
    <m/>
    <m/>
    <m/>
    <m/>
    <m/>
    <m/>
  </r>
  <r>
    <s v="C811314"/>
    <s v="GONZALO CHAPARRO LOPEZ"/>
    <s v="ENTERPRISE"/>
    <x v="17"/>
    <x v="0"/>
    <e v="#NAME?"/>
    <s v="NOSDA $ BAU (Mantenimiento y peq. evolutivos)"/>
    <n v="0.75"/>
    <x v="1"/>
    <x v="0"/>
    <m/>
    <e v="#NAME?"/>
    <e v="#NAME?"/>
    <e v="#NAME?"/>
    <m/>
    <m/>
    <m/>
    <m/>
    <m/>
    <m/>
  </r>
  <r>
    <s v="C811314"/>
    <s v="GONZALO CHAPARRO LOPEZ"/>
    <s v="ENTERPRISE"/>
    <x v="17"/>
    <x v="0"/>
    <e v="#NAME?"/>
    <s v="SDATOOL-39246 $ Nuevo tipo de identificación para extranjeros"/>
    <n v="0.25"/>
    <x v="1"/>
    <x v="0"/>
    <m/>
    <e v="#NAME?"/>
    <e v="#NAME?"/>
    <e v="#NAME?"/>
    <m/>
    <m/>
    <m/>
    <m/>
    <m/>
    <m/>
  </r>
  <r>
    <s v="CE68481"/>
    <s v="PEREZ PAN WILLIAM STEVEN"/>
    <s v="ENTERPRISE"/>
    <x v="17"/>
    <x v="9"/>
    <e v="#NAME?"/>
    <s v="NOSDA $ BAU (Mantenimiento y peq. evolutivos)"/>
    <n v="1"/>
    <x v="2"/>
    <x v="0"/>
    <m/>
    <e v="#NAME?"/>
    <e v="#NAME?"/>
    <e v="#NAME?"/>
    <m/>
    <m/>
    <m/>
    <m/>
    <m/>
    <m/>
  </r>
  <r>
    <s v="T001858"/>
    <s v="AGREDO LLANTEN NESTOR RAUL"/>
    <s v="ENTERPRISE"/>
    <x v="17"/>
    <x v="12"/>
    <e v="#NAME?"/>
    <s v="SDATOOL-41203 $ Obsolescencia Aplicativa 2023"/>
    <n v="1"/>
    <x v="0"/>
    <x v="0"/>
    <m/>
    <e v="#NAME?"/>
    <e v="#NAME?"/>
    <e v="#NAME?"/>
    <m/>
    <m/>
    <m/>
    <m/>
    <m/>
    <m/>
  </r>
  <r>
    <s v="CE66707"/>
    <s v="ALFONSO PUIN DANIEL FELIPE"/>
    <s v="ENTERPRISE"/>
    <x v="17"/>
    <x v="9"/>
    <e v="#NAME?"/>
    <s v="SDATOOL-41203 $ Obsolescencia Aplicativa 2023"/>
    <n v="1"/>
    <x v="0"/>
    <x v="0"/>
    <m/>
    <e v="#NAME?"/>
    <e v="#NAME?"/>
    <e v="#NAME?"/>
    <m/>
    <m/>
    <m/>
    <m/>
    <m/>
    <m/>
  </r>
  <r>
    <s v="C802984"/>
    <s v="ALVARADO URUETA AVELINO RAFAEL"/>
    <s v="ENTERPRISE"/>
    <x v="17"/>
    <x v="0"/>
    <e v="#NAME?"/>
    <s v="NOSDA $ BAU (Mantenimiento y peq. evolutivos)"/>
    <n v="0.5"/>
    <x v="0"/>
    <x v="0"/>
    <m/>
    <e v="#NAME?"/>
    <e v="#NAME?"/>
    <e v="#NAME?"/>
    <m/>
    <m/>
    <m/>
    <m/>
    <m/>
    <m/>
  </r>
  <r>
    <s v="C802984"/>
    <s v="ALVARADO URUETA AVELINO RAFAEL"/>
    <s v="ENTERPRISE"/>
    <x v="17"/>
    <x v="0"/>
    <e v="#NAME?"/>
    <s v="SDATOOL-41203 $ Obsolescencia Aplicativa 2023"/>
    <n v="0.5"/>
    <x v="0"/>
    <x v="0"/>
    <m/>
    <e v="#NAME?"/>
    <e v="#NAME?"/>
    <e v="#NAME?"/>
    <m/>
    <m/>
    <m/>
    <m/>
    <m/>
    <m/>
  </r>
  <r>
    <s v="CE30852"/>
    <s v="CAMELO MORA LADY KATHERINE"/>
    <s v="ENTERPRISE"/>
    <x v="17"/>
    <x v="9"/>
    <e v="#NAME?"/>
    <s v="NOSDA $ BAU (Mantenimiento y peq. evolutivos)"/>
    <n v="1"/>
    <x v="0"/>
    <x v="0"/>
    <m/>
    <e v="#NAME?"/>
    <e v="#NAME?"/>
    <e v="#NAME?"/>
    <m/>
    <m/>
    <m/>
    <m/>
    <m/>
    <m/>
  </r>
  <r>
    <s v="C804326"/>
    <s v="CARVAJAL ARRAIZ ANGELICA ALEJANDRA"/>
    <s v="ENTERPRISE"/>
    <x v="17"/>
    <x v="0"/>
    <e v="#NAME?"/>
    <s v="NOSDA $ BAU (Mantenimiento y peq. evolutivos)"/>
    <n v="0.25"/>
    <x v="0"/>
    <x v="0"/>
    <m/>
    <e v="#NAME?"/>
    <e v="#NAME?"/>
    <e v="#NAME?"/>
    <m/>
    <m/>
    <m/>
    <m/>
    <m/>
    <m/>
  </r>
  <r>
    <s v="C804326"/>
    <s v="CARVAJAL ARRAIZ ANGELICA ALEJANDRA"/>
    <s v="ENTERPRISE"/>
    <x v="17"/>
    <x v="0"/>
    <e v="#NAME?"/>
    <s v="SDATOOL-41203 $ Obsolescencia Aplicativa 2023"/>
    <n v="0.75"/>
    <x v="0"/>
    <x v="0"/>
    <m/>
    <e v="#NAME?"/>
    <e v="#NAME?"/>
    <e v="#NAME?"/>
    <m/>
    <m/>
    <m/>
    <m/>
    <m/>
    <m/>
  </r>
  <r>
    <s v="C811188"/>
    <s v="CASTRO PULIDO STEFANNY LIZETH"/>
    <s v="ENTERPRISE"/>
    <x v="17"/>
    <x v="0"/>
    <e v="#NAME?"/>
    <s v="NOSDA $ BAU (Mantenimiento y peq. evolutivos)"/>
    <n v="1"/>
    <x v="3"/>
    <x v="0"/>
    <m/>
    <e v="#NAME?"/>
    <e v="#NAME?"/>
    <e v="#NAME?"/>
    <m/>
    <m/>
    <m/>
    <m/>
    <m/>
    <m/>
  </r>
  <r>
    <s v="CE57157"/>
    <s v="CHAVES ANGEL JOAN NICOLAS"/>
    <s v="ENTERPRISE"/>
    <x v="17"/>
    <x v="9"/>
    <e v="#NAME?"/>
    <s v="NOSDA $ BAU (Mantenimiento y peq. evolutivos)"/>
    <n v="1"/>
    <x v="0"/>
    <x v="0"/>
    <m/>
    <e v="#NAME?"/>
    <e v="#NAME?"/>
    <e v="#NAME?"/>
    <m/>
    <m/>
    <m/>
    <m/>
    <m/>
    <m/>
  </r>
  <r>
    <s v="T003701"/>
    <s v="CORREA HURTADO KEVIN ALEJANDRO"/>
    <s v="ENTERPRISE"/>
    <x v="17"/>
    <x v="9"/>
    <e v="#NAME?"/>
    <s v="NOSDA $ BAU (Mantenimiento y peq. evolutivos)"/>
    <n v="1"/>
    <x v="0"/>
    <x v="0"/>
    <m/>
    <e v="#NAME?"/>
    <e v="#NAME?"/>
    <e v="#NAME?"/>
    <m/>
    <m/>
    <m/>
    <m/>
    <m/>
    <m/>
  </r>
  <r>
    <s v="CE64257"/>
    <s v="DIAZ SALAZAR EDILBERTO"/>
    <s v="ENTERPRISE"/>
    <x v="17"/>
    <x v="2"/>
    <e v="#NAME?"/>
    <s v="NOSDA $ BAU (Mantenimiento y peq. evolutivos)"/>
    <n v="1"/>
    <x v="3"/>
    <x v="0"/>
    <m/>
    <e v="#NAME?"/>
    <e v="#NAME?"/>
    <e v="#NAME?"/>
    <m/>
    <m/>
    <m/>
    <m/>
    <m/>
    <m/>
  </r>
  <r>
    <s v="C810910"/>
    <s v="OLIVOS FONSECA JONATHAN STEVEN"/>
    <s v="ENTERPRISE"/>
    <x v="17"/>
    <x v="0"/>
    <e v="#NAME?"/>
    <s v="NOSDA $ BAU (Mantenimiento y peq. evolutivos)"/>
    <n v="0.5"/>
    <x v="0"/>
    <x v="0"/>
    <m/>
    <e v="#NAME?"/>
    <e v="#NAME?"/>
    <e v="#NAME?"/>
    <m/>
    <m/>
    <m/>
    <m/>
    <m/>
    <m/>
  </r>
  <r>
    <s v="C810910"/>
    <s v="OLIVOS FONSECA JONATHAN STEVEN"/>
    <s v="ENTERPRISE"/>
    <x v="17"/>
    <x v="0"/>
    <e v="#NAME?"/>
    <s v="SDATOOL-39246 $ Nuevo tipo de identificación para extranjeros"/>
    <n v="0.5"/>
    <x v="0"/>
    <x v="0"/>
    <m/>
    <e v="#NAME?"/>
    <e v="#NAME?"/>
    <e v="#NAME?"/>
    <m/>
    <m/>
    <m/>
    <m/>
    <m/>
    <m/>
  </r>
  <r>
    <s v="T004577"/>
    <s v="PINEDA MAHECHA PABLO ENRIQUE"/>
    <s v="ENTERPRISE"/>
    <x v="17"/>
    <x v="9"/>
    <e v="#NAME?"/>
    <s v="NOSDA $ BAU (Mantenimiento y peq. evolutivos)"/>
    <n v="1"/>
    <x v="0"/>
    <x v="0"/>
    <m/>
    <e v="#NAME?"/>
    <e v="#NAME?"/>
    <e v="#NAME?"/>
    <m/>
    <m/>
    <m/>
    <m/>
    <m/>
    <m/>
  </r>
  <r>
    <s v="CE60509"/>
    <s v="RODRIGUEZ RIVERA ANDRES CAMILO"/>
    <s v="ENTERPRISE"/>
    <x v="17"/>
    <x v="9"/>
    <e v="#NAME?"/>
    <s v="SDATOOL-39840 $ BBVA Valores en Canales (Net Cash / Net)"/>
    <n v="1"/>
    <x v="0"/>
    <x v="0"/>
    <m/>
    <e v="#NAME?"/>
    <e v="#NAME?"/>
    <e v="#NAME?"/>
    <m/>
    <m/>
    <m/>
    <m/>
    <m/>
    <m/>
  </r>
  <r>
    <s v="CE70171"/>
    <s v="CASALLAS LEGUIZAMON NELSON SEBASTIAN"/>
    <s v="ENTERPRISE"/>
    <x v="17"/>
    <x v="9"/>
    <e v="#NAME?"/>
    <s v="NOSDA $ BAU (Mantenimiento y peq. evolutivos)"/>
    <n v="1"/>
    <x v="0"/>
    <x v="0"/>
    <m/>
    <e v="#NAME?"/>
    <e v="#NAME?"/>
    <e v="#NAME?"/>
    <m/>
    <m/>
    <m/>
    <m/>
    <m/>
    <m/>
  </r>
  <r>
    <s v="C810855"/>
    <s v="PALACIO CHAVES ANDRES FELIPE"/>
    <s v="ENTERPRISE"/>
    <x v="17"/>
    <x v="0"/>
    <e v="#NAME?"/>
    <s v="SDATOOL-40482 $ Incluir tasa ponderada en Adquirencia Onboarding digital - Netcash"/>
    <n v="1"/>
    <x v="0"/>
    <x v="0"/>
    <m/>
    <e v="#NAME?"/>
    <e v="#NAME?"/>
    <e v="#NAME?"/>
    <m/>
    <m/>
    <m/>
    <m/>
    <m/>
    <m/>
  </r>
  <r>
    <s v="C809514"/>
    <s v="MUÑOZ CEDANO LEONEL"/>
    <s v="ENTERPRISE"/>
    <x v="17"/>
    <x v="0"/>
    <e v="#NAME?"/>
    <s v="SDATOOL-37425 $ Recaudo DIAN Tarjetas de Crédito Propio Banco través del Botón de pagos PSE para los canales Banca Personas y Banca de Empresas"/>
    <n v="1"/>
    <x v="0"/>
    <x v="0"/>
    <m/>
    <e v="#NAME?"/>
    <e v="#NAME?"/>
    <e v="#NAME?"/>
    <m/>
    <m/>
    <m/>
    <m/>
    <m/>
    <m/>
  </r>
  <r>
    <s v="CE66043"/>
    <s v="QUINTERO GAITÁN CRISTIAN ALBERTO"/>
    <s v="ENTERPRISE"/>
    <x v="17"/>
    <x v="9"/>
    <e v="#NAME?"/>
    <s v="SDATOOL-40482 $ Incluir tasa ponderada en Adquirencia Onboarding digital - Netcash"/>
    <n v="0.5"/>
    <x v="0"/>
    <x v="0"/>
    <m/>
    <e v="#NAME?"/>
    <e v="#NAME?"/>
    <e v="#NAME?"/>
    <m/>
    <m/>
    <m/>
    <m/>
    <m/>
    <m/>
  </r>
  <r>
    <s v="CE66043"/>
    <s v="QUINTERO GAITÁN CRISTIAN ALBERTO"/>
    <s v="ENTERPRISE"/>
    <x v="17"/>
    <x v="9"/>
    <e v="#NAME?"/>
    <s v="SDATOOL-39358 $ Crédito Virtual"/>
    <n v="0.5"/>
    <x v="0"/>
    <x v="0"/>
    <m/>
    <e v="#NAME?"/>
    <e v="#NAME?"/>
    <e v="#NAME?"/>
    <m/>
    <m/>
    <m/>
    <m/>
    <m/>
    <m/>
  </r>
  <r>
    <s v="CE70945"/>
    <s v="PENA DIAZ EDGAR SEBASTIAN"/>
    <s v="ENTERPRISE"/>
    <x v="17"/>
    <x v="9"/>
    <e v="#NAME?"/>
    <s v="SDATOOL-40482 $ Incluir tasa ponderada en Adquirencia Onboarding digital - Netcash"/>
    <n v="0.5"/>
    <x v="0"/>
    <x v="0"/>
    <m/>
    <e v="#NAME?"/>
    <e v="#NAME?"/>
    <e v="#NAME?"/>
    <m/>
    <m/>
    <m/>
    <m/>
    <m/>
    <m/>
  </r>
  <r>
    <s v="CE70945"/>
    <s v="PENA DIAZ EDGAR SEBASTIAN"/>
    <s v="ENTERPRISE"/>
    <x v="17"/>
    <x v="9"/>
    <e v="#NAME?"/>
    <s v="SDATOOL-40555 $ ADELANTO DE VENTA EN GEMA"/>
    <n v="0.5"/>
    <x v="0"/>
    <x v="5"/>
    <m/>
    <e v="#NAME?"/>
    <e v="#NAME?"/>
    <e v="#NAME?"/>
    <m/>
    <m/>
    <m/>
    <m/>
    <m/>
    <m/>
  </r>
  <r>
    <s v="CE67424"/>
    <s v="JIMENEZ MUÑOZ ANA MARIA"/>
    <s v="ENTERPRISE"/>
    <x v="17"/>
    <x v="9"/>
    <e v="#NAME?"/>
    <s v="SDATOOL-40482 $ Incluir tasa ponderada en Adquirencia Onboarding digital - Netcash"/>
    <n v="0.5"/>
    <x v="2"/>
    <x v="0"/>
    <m/>
    <e v="#NAME?"/>
    <e v="#NAME?"/>
    <e v="#NAME?"/>
    <m/>
    <m/>
    <m/>
    <m/>
    <m/>
    <m/>
  </r>
  <r>
    <s v="CE67424"/>
    <s v="JIMENEZ MUÑOZ ANA MARIA"/>
    <s v="ENTERPRISE"/>
    <x v="17"/>
    <x v="9"/>
    <e v="#NAME?"/>
    <s v="SDATOOL-37425 $ Recaudo DIAN Tarjetas de Crédito Propio Banco través del Botón de pagos PSE para los canales Banca Personas y Banca de Empresas"/>
    <n v="0.5"/>
    <x v="2"/>
    <x v="0"/>
    <m/>
    <e v="#NAME?"/>
    <e v="#NAME?"/>
    <e v="#NAME?"/>
    <m/>
    <m/>
    <m/>
    <m/>
    <m/>
    <m/>
  </r>
  <r>
    <s v="CE70844"/>
    <s v="CORONADO ALVARO FELIPE"/>
    <s v="ENTERPRISE"/>
    <x v="17"/>
    <x v="9"/>
    <e v="#NAME?"/>
    <s v="SDATOOL-40482 $ Incluir tasa ponderada en Adquirencia Onboarding digital - Netcash"/>
    <n v="1"/>
    <x v="0"/>
    <x v="0"/>
    <m/>
    <e v="#NAME?"/>
    <e v="#NAME?"/>
    <e v="#NAME?"/>
    <m/>
    <m/>
    <m/>
    <m/>
    <m/>
    <m/>
  </r>
  <r>
    <s v="CE70149"/>
    <s v="ALDANA ROJAS TIHAMER KARLOVICH"/>
    <s v="ENTERPRISE"/>
    <x v="17"/>
    <x v="9"/>
    <e v="#NAME?"/>
    <s v="SDATOOL-37425 $ Recaudo DIAN Tarjetas de Crédito Propio Banco través del Botón de pagos PSE para los canales Banca Personas y Banca de Empresas"/>
    <n v="1"/>
    <x v="0"/>
    <x v="0"/>
    <m/>
    <e v="#NAME?"/>
    <e v="#NAME?"/>
    <e v="#NAME?"/>
    <m/>
    <m/>
    <m/>
    <m/>
    <m/>
    <m/>
  </r>
  <r>
    <s v="C811408"/>
    <s v="BENITEZ ATENCIA JAIME RAFAEL"/>
    <s v="ENTERPRISE"/>
    <x v="17"/>
    <x v="0"/>
    <e v="#NAME?"/>
    <s v="SDATOOL-40555 $ ADELANTO DE VENTA EN GEMA"/>
    <n v="0.5"/>
    <x v="0"/>
    <x v="4"/>
    <m/>
    <e v="#NAME?"/>
    <e v="#NAME?"/>
    <e v="#NAME?"/>
    <m/>
    <m/>
    <m/>
    <m/>
    <m/>
    <m/>
  </r>
  <r>
    <s v="C811408"/>
    <s v="BENITEZ ATENCIA JAIME RAFAEL"/>
    <s v="ENTERPRISE"/>
    <x v="17"/>
    <x v="0"/>
    <e v="#NAME?"/>
    <s v="SDATOOL-40482 $ Incluir tasa ponderada en Adquirencia Onboarding digital - Netcash"/>
    <n v="0.5"/>
    <x v="0"/>
    <x v="4"/>
    <m/>
    <e v="#NAME?"/>
    <e v="#NAME?"/>
    <e v="#NAME?"/>
    <m/>
    <m/>
    <m/>
    <m/>
    <m/>
    <m/>
  </r>
  <r>
    <s v="T005725"/>
    <s v="NARANJO WILMER FERNEY"/>
    <s v="ENTERPRISE"/>
    <x v="17"/>
    <x v="9"/>
    <e v="#NAME?"/>
    <s v="SDATOOL-40482 $ Incluir tasa ponderada en Adquirencia Onboarding digital - Netcash"/>
    <n v="1"/>
    <x v="0"/>
    <x v="4"/>
    <m/>
    <e v="#NAME?"/>
    <e v="#NAME?"/>
    <e v="#NAME?"/>
    <m/>
    <m/>
    <m/>
    <m/>
    <m/>
    <m/>
  </r>
  <r>
    <s v="-"/>
    <s v="JERSON SANCHEZ"/>
    <s v="ENTERPRISE"/>
    <x v="17"/>
    <x v="9"/>
    <e v="#NAME?"/>
    <s v="SDATOOL-40482 $ Incluir tasa ponderada en Adquirencia Onboarding digital - Netcash"/>
    <n v="1"/>
    <x v="0"/>
    <x v="1"/>
    <m/>
    <e v="#NAME?"/>
    <e v="#NAME?"/>
    <e v="#NAME?"/>
    <m/>
    <m/>
    <m/>
    <m/>
    <m/>
    <m/>
  </r>
  <r>
    <s v="CE58491"/>
    <s v="RICARDO AGUSTIN PACHON PIRAGAUTA"/>
    <s v="CIB &amp; COMEX - FIDUCIARIA"/>
    <x v="18"/>
    <x v="5"/>
    <e v="#NAME?"/>
    <s v="SDATOOL-40242 $ Fiduciaria - Obsolescencia software Base aplicativo MIDAS"/>
    <n v="0.5"/>
    <x v="3"/>
    <x v="0"/>
    <m/>
    <e v="#NAME?"/>
    <e v="#NAME?"/>
    <e v="#NAME?"/>
    <m/>
    <m/>
    <m/>
    <m/>
    <m/>
    <m/>
  </r>
  <r>
    <s v="O000083"/>
    <s v="Oscar Ivan Muñoz Alvarez"/>
    <s v="CIB &amp; COMEX - FIDUCIARIA"/>
    <x v="18"/>
    <x v="21"/>
    <e v="#NAME?"/>
    <s v="SDATOOL-32520 $ CDD Based Reporting - Colombia"/>
    <n v="1"/>
    <x v="3"/>
    <x v="0"/>
    <m/>
    <e v="#NAME?"/>
    <e v="#NAME?"/>
    <e v="#NAME?"/>
    <m/>
    <m/>
    <m/>
    <m/>
    <m/>
    <m/>
  </r>
  <r>
    <s v="CI35435"/>
    <s v="Soraida Cujavante Sierra"/>
    <s v="CIB &amp; COMEX - FIDUCIARIA"/>
    <x v="18"/>
    <x v="21"/>
    <e v="#NAME?"/>
    <s v="NOSDA $ BAU (Mantenimiento y peq. evolutivos)"/>
    <n v="0.75"/>
    <x v="3"/>
    <x v="0"/>
    <m/>
    <e v="#NAME?"/>
    <e v="#NAME?"/>
    <e v="#NAME?"/>
    <m/>
    <m/>
    <m/>
    <m/>
    <m/>
    <m/>
  </r>
  <r>
    <s v="CI35407"/>
    <s v="Elkin David Fuentes Rodríguez"/>
    <s v="CIB &amp; COMEX - FIDUCIARIA"/>
    <x v="18"/>
    <x v="21"/>
    <e v="#NAME?"/>
    <s v="NOSDA $ BAU (Mantenimiento y peq. evolutivos)"/>
    <n v="0.75"/>
    <x v="3"/>
    <x v="0"/>
    <m/>
    <e v="#NAME?"/>
    <e v="#NAME?"/>
    <e v="#NAME?"/>
    <m/>
    <m/>
    <m/>
    <m/>
    <m/>
    <m/>
  </r>
  <r>
    <s v="CI01204"/>
    <s v="Celso Hernández Torres"/>
    <s v="CIB &amp; COMEX - FIDUCIARIA"/>
    <x v="18"/>
    <x v="21"/>
    <e v="#NAME?"/>
    <s v="NOSDA $ BAU (Mantenimiento y peq. evolutivos)"/>
    <n v="0.75"/>
    <x v="1"/>
    <x v="0"/>
    <m/>
    <e v="#NAME?"/>
    <e v="#NAME?"/>
    <e v="#NAME?"/>
    <m/>
    <m/>
    <m/>
    <m/>
    <m/>
    <m/>
  </r>
  <r>
    <s v="CI01204"/>
    <s v="Celso Hernández Torres"/>
    <s v="CIB &amp; COMEX - FIDUCIARIA"/>
    <x v="18"/>
    <x v="21"/>
    <e v="#NAME?"/>
    <s v="SDATOOL-39283 $ Fiduciaria - Obsolescencia software Base aplicativo Central"/>
    <n v="0.25"/>
    <x v="1"/>
    <x v="0"/>
    <m/>
    <e v="#NAME?"/>
    <e v="#NAME?"/>
    <e v="#NAME?"/>
    <m/>
    <m/>
    <m/>
    <m/>
    <m/>
    <m/>
  </r>
  <r>
    <s v="CI35375"/>
    <s v="Luis Rodrigo Ulloa Marin"/>
    <s v="CIB &amp; COMEX - FIDUCIARIA"/>
    <x v="18"/>
    <x v="21"/>
    <e v="#NAME?"/>
    <s v="SDATOOL-40242 $ Fiduciaria - Obsolescencia software Base aplicativo MIDAS"/>
    <n v="0.25"/>
    <x v="1"/>
    <x v="0"/>
    <m/>
    <e v="#NAME?"/>
    <e v="#NAME?"/>
    <e v="#NAME?"/>
    <m/>
    <m/>
    <m/>
    <m/>
    <m/>
    <m/>
  </r>
  <r>
    <s v="CI35375"/>
    <s v="Luis Rodrigo Ulloa Marin"/>
    <s v="CIB &amp; COMEX - FIDUCIARIA"/>
    <x v="18"/>
    <x v="21"/>
    <e v="#NAME?"/>
    <s v="NOSDA $ BAU (Mantenimiento y peq. evolutivos)"/>
    <n v="0.25"/>
    <x v="1"/>
    <x v="0"/>
    <m/>
    <e v="#NAME?"/>
    <e v="#NAME?"/>
    <e v="#NAME?"/>
    <m/>
    <m/>
    <m/>
    <m/>
    <m/>
    <m/>
  </r>
  <r>
    <s v="CI35407"/>
    <s v="Elkin David Fuentes Rodríguez"/>
    <s v="CIB &amp; COMEX - FIDUCIARIA"/>
    <x v="18"/>
    <x v="21"/>
    <e v="#NAME?"/>
    <s v="SDATOOL-40639 $ Fiduciaria -Obsolecencia Migración Softoken FIDUSAP R2 a NextGen"/>
    <n v="0.25"/>
    <x v="3"/>
    <x v="0"/>
    <m/>
    <e v="#NAME?"/>
    <e v="#NAME?"/>
    <e v="#NAME?"/>
    <m/>
    <m/>
    <m/>
    <m/>
    <m/>
    <m/>
  </r>
  <r>
    <s v="CI35435"/>
    <s v="Soraida Cujavante Sierra"/>
    <s v="CIB &amp; COMEX - FIDUCIARIA"/>
    <x v="18"/>
    <x v="21"/>
    <e v="#NAME?"/>
    <s v="SDATOOL-40548 $ Fiduciaria - Obsolecencia aplicativa, infraestructura e Insider aplicativo FIDUSAP"/>
    <n v="0.25"/>
    <x v="3"/>
    <x v="0"/>
    <m/>
    <e v="#NAME?"/>
    <e v="#NAME?"/>
    <e v="#NAME?"/>
    <m/>
    <m/>
    <m/>
    <m/>
    <m/>
    <m/>
  </r>
  <r>
    <s v="T011273"/>
    <s v="Brenda Liliana Sepúlveda Vega"/>
    <s v="CIB &amp; COMEX - FIDUCIARIA"/>
    <x v="18"/>
    <x v="21"/>
    <e v="#NAME?"/>
    <s v="SDATOOL-40548 $ Fiduciaria - Obsolecencia aplicativa, infraestructura e Insider aplicativo FIDUSAP"/>
    <n v="1"/>
    <x v="3"/>
    <x v="0"/>
    <m/>
    <e v="#NAME?"/>
    <e v="#NAME?"/>
    <e v="#NAME?"/>
    <m/>
    <m/>
    <m/>
    <m/>
    <m/>
    <m/>
  </r>
  <r>
    <s v="CI35406"/>
    <s v="Jenny Martinez Lopez"/>
    <s v="CIB &amp; COMEX - FIDUCIARIA"/>
    <x v="18"/>
    <x v="21"/>
    <e v="#NAME?"/>
    <s v="SDATOOL-40552 $ Fiduciaria - PSE Procesamiento y confirmación de pagos en línea"/>
    <n v="0.25"/>
    <x v="1"/>
    <x v="0"/>
    <m/>
    <e v="#NAME?"/>
    <e v="#NAME?"/>
    <e v="#NAME?"/>
    <m/>
    <m/>
    <m/>
    <m/>
    <m/>
    <m/>
  </r>
  <r>
    <s v="CI35406"/>
    <s v="Jenny Martinez Lopez"/>
    <s v="CIB &amp; COMEX - FIDUCIARIA"/>
    <x v="18"/>
    <x v="21"/>
    <e v="#NAME?"/>
    <s v="NOSDA $ BAU (Mantenimiento y peq. evolutivos)"/>
    <n v="0.75"/>
    <x v="3"/>
    <x v="0"/>
    <m/>
    <e v="#NAME?"/>
    <e v="#NAME?"/>
    <e v="#NAME?"/>
    <m/>
    <m/>
    <m/>
    <m/>
    <m/>
    <m/>
  </r>
  <r>
    <s v="CI35202"/>
    <s v="Hugo Ferney Prieto Posso"/>
    <s v="CIB &amp; COMEX - FIDUCIARIA"/>
    <x v="18"/>
    <x v="21"/>
    <e v="#NAME?"/>
    <s v="NOSDA $ BAU (Mantenimiento y peq. evolutivos)"/>
    <n v="1"/>
    <x v="3"/>
    <x v="0"/>
    <m/>
    <e v="#NAME?"/>
    <e v="#NAME?"/>
    <e v="#NAME?"/>
    <m/>
    <m/>
    <m/>
    <m/>
    <m/>
    <m/>
  </r>
  <r>
    <s v="CI35375"/>
    <s v="Luis Rodrigo Ulloa Marin"/>
    <s v="CIB &amp; COMEX - FIDUCIARIA"/>
    <x v="18"/>
    <x v="21"/>
    <e v="#NAME?"/>
    <s v="SDATOOL-40812 $ Fiduciaria - Cambio de operador tecnologico para los documentos electronicos en la sociedad"/>
    <n v="0.16"/>
    <x v="1"/>
    <x v="0"/>
    <m/>
    <e v="#NAME?"/>
    <e v="#NAME?"/>
    <e v="#NAME?"/>
    <m/>
    <m/>
    <m/>
    <m/>
    <m/>
    <m/>
  </r>
  <r>
    <s v="CE68033"/>
    <s v="Donoban Ricardo Figueredo Piragauta"/>
    <s v="CIB &amp; COMEX - FIDUCIARIA"/>
    <x v="18"/>
    <x v="21"/>
    <e v="#NAME?"/>
    <s v="NOSDA $ BAU (Mantenimiento y peq. evolutivos)"/>
    <n v="1"/>
    <x v="2"/>
    <x v="0"/>
    <m/>
    <e v="#NAME?"/>
    <e v="#NAME?"/>
    <e v="#NAME?"/>
    <m/>
    <m/>
    <m/>
    <m/>
    <m/>
    <m/>
  </r>
  <r>
    <s v="CE58491"/>
    <s v="RICARDO AGUSTIN PACHON PIRAGAUTA"/>
    <s v="CIB &amp; COMEX - FIDUCIARIA"/>
    <x v="18"/>
    <x v="5"/>
    <e v="#NAME?"/>
    <s v="NOSDA $ BAU (Mantenimiento y peq. evolutivos)"/>
    <n v="0.5"/>
    <x v="3"/>
    <x v="6"/>
    <m/>
    <e v="#NAME?"/>
    <e v="#NAME?"/>
    <e v="#NAME?"/>
    <m/>
    <m/>
    <m/>
    <m/>
    <m/>
    <m/>
  </r>
  <r>
    <s v="O001341"/>
    <s v="JOHN FREDDY JIMENEZ"/>
    <s v="RETAIL"/>
    <x v="19"/>
    <x v="0"/>
    <e v="#NAME?"/>
    <s v="SDATOOL-40672 $ Plan CRM: Mejoras AUG (Banca Comercial y CSF) Equipo A"/>
    <n v="0.25"/>
    <x v="1"/>
    <x v="2"/>
    <s v="BlueSpring"/>
    <e v="#NAME?"/>
    <e v="#NAME?"/>
    <e v="#NAME?"/>
    <m/>
    <m/>
    <m/>
    <n v="3"/>
    <n v="15"/>
    <m/>
  </r>
  <r>
    <s v="O001341"/>
    <s v="JOHN FREDDY JIMENEZ"/>
    <s v="RETAIL"/>
    <x v="19"/>
    <x v="0"/>
    <e v="#NAME?"/>
    <s v="SDATOOL-40690 $ Plan CRM: Mejoras AUG (Banca Comercial y CSF) Equipo B"/>
    <n v="0.3"/>
    <x v="1"/>
    <x v="5"/>
    <s v="ASO , APX"/>
    <e v="#NAME?"/>
    <e v="#NAME?"/>
    <e v="#NAME?"/>
    <m/>
    <m/>
    <m/>
    <n v="3"/>
    <n v="11"/>
    <m/>
  </r>
  <r>
    <s v="O001341"/>
    <s v="JOHN FREDDY JIMENEZ"/>
    <s v="RETAIL"/>
    <x v="19"/>
    <x v="0"/>
    <e v="#NAME?"/>
    <s v="SDATOOL-37121 $ Plan CRM: Seguimiento al pipeline"/>
    <n v="0.3"/>
    <x v="1"/>
    <x v="5"/>
    <s v="ASO , APX"/>
    <e v="#NAME?"/>
    <e v="#NAME?"/>
    <e v="#NAME?"/>
    <m/>
    <m/>
    <m/>
    <n v="1"/>
    <n v="12"/>
    <m/>
  </r>
  <r>
    <s v="O001341"/>
    <s v="JOHN FREDDY JIMENEZ"/>
    <s v="RETAIL"/>
    <x v="19"/>
    <x v="0"/>
    <e v="#NAME?"/>
    <s v="NOSDA $ BAU (Mantenimiento y peq. evolutivos)"/>
    <n v="0.1"/>
    <x v="1"/>
    <x v="2"/>
    <s v="BlueSpring"/>
    <e v="#NAME?"/>
    <e v="#NAME?"/>
    <e v="#NAME?"/>
    <m/>
    <m/>
    <m/>
    <m/>
    <m/>
    <m/>
  </r>
  <r>
    <s v="C805963"/>
    <s v="GORGETH MOSCARELLA MARTÍNEZ"/>
    <s v="RETAIL"/>
    <x v="19"/>
    <x v="0"/>
    <e v="#NAME?"/>
    <s v="SDATOOL-40672 $ Plan CRM: Mejoras AUG (Banca Comercial y CSF) Equipo A"/>
    <n v="1"/>
    <x v="0"/>
    <x v="2"/>
    <m/>
    <e v="#NAME?"/>
    <e v="#NAME?"/>
    <e v="#NAME?"/>
    <m/>
    <m/>
    <m/>
    <m/>
    <m/>
    <m/>
  </r>
  <r>
    <s v="C805996"/>
    <s v="DANIEL ORLANDO GARZON"/>
    <s v="RETAIL"/>
    <x v="19"/>
    <x v="0"/>
    <e v="#NAME?"/>
    <s v="SDATOOL-40690 $ Plan CRM: Mejoras AUG (Banca Comercial y CSF) Equipo B"/>
    <n v="1"/>
    <x v="0"/>
    <x v="2"/>
    <m/>
    <e v="#NAME?"/>
    <e v="#NAME?"/>
    <e v="#NAME?"/>
    <m/>
    <m/>
    <m/>
    <m/>
    <m/>
    <m/>
  </r>
  <r>
    <s v="C810813"/>
    <s v="RUBIANO MARIN WILLIAM EDUARDO"/>
    <s v="RETAIL"/>
    <x v="19"/>
    <x v="0"/>
    <e v="#NAME?"/>
    <s v="SDATOOL-40672 $ Plan CRM: Mejoras AUG (Banca Comercial y CSF) Equipo A"/>
    <n v="0.8"/>
    <x v="0"/>
    <x v="3"/>
    <m/>
    <e v="#NAME?"/>
    <e v="#NAME?"/>
    <e v="#NAME?"/>
    <m/>
    <m/>
    <m/>
    <m/>
    <m/>
    <m/>
  </r>
  <r>
    <s v="C810813"/>
    <s v="RUBIANO MARIN WILLIAM EDUARDO"/>
    <s v="RETAIL"/>
    <x v="19"/>
    <x v="0"/>
    <e v="#NAME?"/>
    <s v="NOSDA $ BAU (Mantenimiento y peq. evolutivos)"/>
    <n v="0.2"/>
    <x v="0"/>
    <x v="3"/>
    <m/>
    <e v="#NAME?"/>
    <e v="#NAME?"/>
    <e v="#NAME?"/>
    <m/>
    <m/>
    <m/>
    <m/>
    <m/>
    <m/>
  </r>
  <r>
    <s v="C341736"/>
    <s v="GUEVARA CASTRO JUAN ANDRES"/>
    <s v="RETAIL"/>
    <x v="19"/>
    <x v="0"/>
    <e v="#NAME?"/>
    <s v="SDATOOL-40672 $ Plan CRM: Mejoras AUG (Banca Comercial y CSF) Equipo A"/>
    <n v="0.8"/>
    <x v="0"/>
    <x v="2"/>
    <m/>
    <e v="#NAME?"/>
    <e v="#NAME?"/>
    <e v="#NAME?"/>
    <m/>
    <m/>
    <m/>
    <m/>
    <m/>
    <m/>
  </r>
  <r>
    <s v="C341736"/>
    <s v="GUEVARA CASTRO JUAN ANDRES"/>
    <s v="RETAIL"/>
    <x v="19"/>
    <x v="0"/>
    <e v="#NAME?"/>
    <s v="NOSDA $ BAU (Mantenimiento y peq. evolutivos)"/>
    <n v="0.2"/>
    <x v="0"/>
    <x v="2"/>
    <m/>
    <e v="#NAME?"/>
    <e v="#NAME?"/>
    <e v="#NAME?"/>
    <m/>
    <m/>
    <m/>
    <m/>
    <m/>
    <m/>
  </r>
  <r>
    <s v="CE69608"/>
    <s v="JULIETH ALEJANDRA BERMUDEZ BERNAL"/>
    <s v="RETAIL"/>
    <x v="19"/>
    <x v="1"/>
    <e v="#NAME?"/>
    <s v="SDATOOL-40672 $ Plan CRM: Mejoras AUG (Banca Comercial y CSF) Equipo A"/>
    <n v="0.8"/>
    <x v="2"/>
    <x v="0"/>
    <m/>
    <e v="#NAME?"/>
    <e v="#NAME?"/>
    <e v="#NAME?"/>
    <m/>
    <m/>
    <m/>
    <m/>
    <m/>
    <m/>
  </r>
  <r>
    <s v="T007662"/>
    <s v="ADRIANA MARCELA RODRIGUEZ"/>
    <s v="RETAIL"/>
    <x v="19"/>
    <x v="12"/>
    <e v="#NAME?"/>
    <s v="SDATOOL-40672 $ Plan CRM: Mejoras AUG (Banca Comercial y CSF) Equipo A"/>
    <n v="0.5"/>
    <x v="1"/>
    <x v="0"/>
    <m/>
    <e v="#NAME?"/>
    <e v="#NAME?"/>
    <e v="#NAME?"/>
    <m/>
    <m/>
    <m/>
    <m/>
    <m/>
    <m/>
  </r>
  <r>
    <s v="T007663"/>
    <s v="ANDRES ALBERTO SAENZ CORDERO"/>
    <s v="RETAIL"/>
    <x v="19"/>
    <x v="12"/>
    <e v="#NAME?"/>
    <s v="SDATOOL-40672 $ Plan CRM: Mejoras AUG (Banca Comercial y CSF) Equipo A"/>
    <n v="1"/>
    <x v="0"/>
    <x v="0"/>
    <m/>
    <e v="#NAME?"/>
    <e v="#NAME?"/>
    <e v="#NAME?"/>
    <m/>
    <m/>
    <m/>
    <m/>
    <m/>
    <m/>
  </r>
  <r>
    <s v="CE71171"/>
    <s v="DIANA MARCELA MORENO ORTIZ"/>
    <s v="RETAIL"/>
    <x v="19"/>
    <x v="12"/>
    <e v="#NAME?"/>
    <s v="SDATOOL-40672 $ Plan CRM: Mejoras AUG (Banca Comercial y CSF) Equipo A"/>
    <n v="1"/>
    <x v="0"/>
    <x v="0"/>
    <m/>
    <e v="#NAME?"/>
    <e v="#NAME?"/>
    <e v="#NAME?"/>
    <m/>
    <m/>
    <m/>
    <m/>
    <m/>
    <m/>
  </r>
  <r>
    <s v="T002801"/>
    <s v="DAVID GONZALO LARA DIAZ"/>
    <s v="RETAIL"/>
    <x v="19"/>
    <x v="12"/>
    <e v="#NAME?"/>
    <s v="SDATOOL-40672 $ Plan CRM: Mejoras AUG (Banca Comercial y CSF) Equipo A"/>
    <n v="1"/>
    <x v="0"/>
    <x v="0"/>
    <m/>
    <e v="#NAME?"/>
    <e v="#NAME?"/>
    <e v="#NAME?"/>
    <m/>
    <m/>
    <m/>
    <m/>
    <m/>
    <m/>
  </r>
  <r>
    <s v="CE57066"/>
    <s v="LUIS EDIER BERMUDEZ RIOS"/>
    <s v="RETAIL"/>
    <x v="19"/>
    <x v="12"/>
    <e v="#NAME?"/>
    <s v="SDATOOL-40672 $ Plan CRM: Mejoras AUG (Banca Comercial y CSF) Equipo A"/>
    <n v="1"/>
    <x v="0"/>
    <x v="0"/>
    <m/>
    <e v="#NAME?"/>
    <e v="#NAME?"/>
    <e v="#NAME?"/>
    <m/>
    <m/>
    <m/>
    <m/>
    <m/>
    <m/>
  </r>
  <r>
    <s v="T002010"/>
    <s v="SAIR GIOVANNY GARCIA BEJARANO"/>
    <s v="RETAIL"/>
    <x v="19"/>
    <x v="12"/>
    <e v="#NAME?"/>
    <s v="SDATOOL-40672 $ Plan CRM: Mejoras AUG (Banca Comercial y CSF) Equipo A"/>
    <n v="1"/>
    <x v="0"/>
    <x v="0"/>
    <m/>
    <e v="#NAME?"/>
    <e v="#NAME?"/>
    <e v="#NAME?"/>
    <m/>
    <m/>
    <m/>
    <m/>
    <m/>
    <m/>
  </r>
  <r>
    <s v="NO TIENE"/>
    <s v="JAIR ERNESTO CABRA MENJURA-REEMPLAZO THALIA"/>
    <s v="RETAIL"/>
    <x v="19"/>
    <x v="12"/>
    <e v="#NAME?"/>
    <s v="SDATOOL-40672 $ Plan CRM: Mejoras AUG (Banca Comercial y CSF) Equipo A"/>
    <n v="1"/>
    <x v="0"/>
    <x v="0"/>
    <m/>
    <e v="#NAME?"/>
    <e v="#NAME?"/>
    <e v="#NAME?"/>
    <m/>
    <m/>
    <m/>
    <m/>
    <m/>
    <m/>
  </r>
  <r>
    <s v="T008182"/>
    <s v="ALEXANDRA BARBARA QUINDE DIAZ"/>
    <s v="RETAIL"/>
    <x v="19"/>
    <x v="12"/>
    <e v="#NAME?"/>
    <s v="SDATOOL-40672 $ Plan CRM: Mejoras AUG (Banca Comercial y CSF) Equipo A"/>
    <n v="1"/>
    <x v="0"/>
    <x v="0"/>
    <m/>
    <e v="#NAME?"/>
    <e v="#NAME?"/>
    <e v="#NAME?"/>
    <m/>
    <m/>
    <m/>
    <m/>
    <m/>
    <m/>
  </r>
  <r>
    <s v="T008150"/>
    <s v="BRIGGTTE ALMENDRA BARBOZA NIETO"/>
    <s v="RETAIL"/>
    <x v="19"/>
    <x v="12"/>
    <e v="#NAME?"/>
    <s v="SDATOOL-40672 $ Plan CRM: Mejoras AUG (Banca Comercial y CSF) Equipo A"/>
    <n v="1"/>
    <x v="0"/>
    <x v="0"/>
    <m/>
    <e v="#NAME?"/>
    <e v="#NAME?"/>
    <e v="#NAME?"/>
    <m/>
    <m/>
    <m/>
    <m/>
    <m/>
    <m/>
  </r>
  <r>
    <s v="T008176"/>
    <s v="IRWIN WALTER ACOSTA CHAVARRI"/>
    <s v="RETAIL"/>
    <x v="19"/>
    <x v="12"/>
    <e v="#NAME?"/>
    <s v="SDATOOL-40672 $ Plan CRM: Mejoras AUG (Banca Comercial y CSF) Equipo A"/>
    <n v="1"/>
    <x v="0"/>
    <x v="0"/>
    <m/>
    <e v="#NAME?"/>
    <e v="#NAME?"/>
    <e v="#NAME?"/>
    <m/>
    <m/>
    <m/>
    <m/>
    <m/>
    <m/>
  </r>
  <r>
    <s v="O000191"/>
    <s v="YELITZA ANDREA BOHORQUEZ BEDOYA"/>
    <s v="RETAIL"/>
    <x v="19"/>
    <x v="0"/>
    <e v="#NAME?"/>
    <s v="SDATOOL-40690 $ Plan CRM: Mejoras AUG (Banca Comercial y CSF) Equipo B"/>
    <n v="1"/>
    <x v="0"/>
    <x v="2"/>
    <m/>
    <e v="#NAME?"/>
    <e v="#NAME?"/>
    <e v="#NAME?"/>
    <m/>
    <m/>
    <m/>
    <m/>
    <m/>
    <m/>
  </r>
  <r>
    <s v="O002496"/>
    <s v="JESUS HUMBERTO MORENO ROJAS"/>
    <s v="RETAIL"/>
    <x v="19"/>
    <x v="0"/>
    <e v="#NAME?"/>
    <s v="SDATOOL-40690 $ Plan CRM: Mejoras AUG (Banca Comercial y CSF) Equipo B"/>
    <n v="0.95"/>
    <x v="0"/>
    <x v="0"/>
    <m/>
    <e v="#NAME?"/>
    <e v="#NAME?"/>
    <e v="#NAME?"/>
    <m/>
    <m/>
    <m/>
    <m/>
    <m/>
    <m/>
  </r>
  <r>
    <s v="CE69969"/>
    <s v="GUISELL DAYAN DIAZ BLANCO"/>
    <s v="RETAIL"/>
    <x v="19"/>
    <x v="1"/>
    <e v="#NAME?"/>
    <s v="SDATOOL-40690 $ Plan CRM: Mejoras AUG (Banca Comercial y CSF) Equipo B"/>
    <n v="1"/>
    <x v="2"/>
    <x v="0"/>
    <m/>
    <e v="#NAME?"/>
    <e v="#NAME?"/>
    <e v="#NAME?"/>
    <m/>
    <m/>
    <m/>
    <m/>
    <m/>
    <m/>
  </r>
  <r>
    <s v="CE47376"/>
    <s v="RUBEN DARIO DIAZ"/>
    <s v="RETAIL"/>
    <x v="19"/>
    <x v="12"/>
    <e v="#NAME?"/>
    <s v="SDATOOL-40690 $ Plan CRM: Mejoras AUG (Banca Comercial y CSF) Equipo B"/>
    <n v="1"/>
    <x v="0"/>
    <x v="2"/>
    <m/>
    <e v="#NAME?"/>
    <e v="#NAME?"/>
    <e v="#NAME?"/>
    <m/>
    <m/>
    <m/>
    <m/>
    <m/>
    <m/>
  </r>
  <r>
    <s v="CE66885"/>
    <s v="ADRIÁN RICARDO ROJAS VILLEGAS"/>
    <s v="RETAIL"/>
    <x v="19"/>
    <x v="16"/>
    <e v="#NAME?"/>
    <s v="SDATOOL-40690 $ Plan CRM: Mejoras AUG (Banca Comercial y CSF) Equipo B"/>
    <n v="1"/>
    <x v="0"/>
    <x v="2"/>
    <m/>
    <e v="#NAME?"/>
    <e v="#NAME?"/>
    <e v="#NAME?"/>
    <m/>
    <m/>
    <m/>
    <m/>
    <m/>
    <m/>
  </r>
  <r>
    <s v="CE66884"/>
    <s v="FRANK NICOLAS HERRAN"/>
    <s v="RETAIL"/>
    <x v="19"/>
    <x v="16"/>
    <e v="#NAME?"/>
    <s v="SDATOOL-40690 $ Plan CRM: Mejoras AUG (Banca Comercial y CSF) Equipo B"/>
    <n v="1"/>
    <x v="0"/>
    <x v="2"/>
    <m/>
    <e v="#NAME?"/>
    <e v="#NAME?"/>
    <e v="#NAME?"/>
    <m/>
    <m/>
    <m/>
    <m/>
    <m/>
    <m/>
  </r>
  <r>
    <s v="O001657"/>
    <s v="DUVAN ALEJANDRO RAMIREZ ROMERO"/>
    <s v="RETAIL"/>
    <x v="19"/>
    <x v="0"/>
    <e v="#NAME?"/>
    <s v="SDATOOL-37121 $ Plan CRM: Seguimiento al pipeline"/>
    <n v="1"/>
    <x v="0"/>
    <x v="3"/>
    <m/>
    <e v="#NAME?"/>
    <e v="#NAME?"/>
    <e v="#NAME?"/>
    <m/>
    <m/>
    <m/>
    <m/>
    <m/>
    <m/>
  </r>
  <r>
    <s v="O002419"/>
    <s v="JONATHAN GARZON PEÑA"/>
    <s v="RETAIL"/>
    <x v="19"/>
    <x v="0"/>
    <e v="#NAME?"/>
    <s v="SDATOOL-37121 $ Plan CRM: Seguimiento al pipeline"/>
    <n v="1"/>
    <x v="0"/>
    <x v="0"/>
    <m/>
    <e v="#NAME?"/>
    <e v="#NAME?"/>
    <e v="#NAME?"/>
    <m/>
    <m/>
    <m/>
    <m/>
    <m/>
    <m/>
  </r>
  <r>
    <s v="O001733"/>
    <s v="JUAN MANUEL FRAILE ROJAS"/>
    <s v="RETAIL"/>
    <x v="19"/>
    <x v="0"/>
    <e v="#NAME?"/>
    <s v="SDATOOL-37121 $ Plan CRM: Seguimiento al pipeline"/>
    <n v="1"/>
    <x v="0"/>
    <x v="0"/>
    <m/>
    <e v="#NAME?"/>
    <e v="#NAME?"/>
    <e v="#NAME?"/>
    <m/>
    <m/>
    <m/>
    <m/>
    <m/>
    <m/>
  </r>
  <r>
    <s v="CE68404"/>
    <s v="JORGE ARMANDO YANQUEN"/>
    <s v="RETAIL"/>
    <x v="19"/>
    <x v="1"/>
    <e v="#NAME?"/>
    <s v="SDATOOL-37121 $ Plan CRM: Seguimiento al pipeline"/>
    <n v="1"/>
    <x v="2"/>
    <x v="1"/>
    <m/>
    <e v="#NAME?"/>
    <e v="#NAME?"/>
    <e v="#NAME?"/>
    <m/>
    <m/>
    <m/>
    <m/>
    <m/>
    <m/>
  </r>
  <r>
    <s v="O001341"/>
    <s v="JOHN FREDDY JIMENEZ"/>
    <s v="RETAIL"/>
    <x v="19"/>
    <x v="0"/>
    <e v="#NAME?"/>
    <s v="SDATOOL-39272 $ GRM-Col-Cambio servicio APL (Aportes en línea)"/>
    <n v="0.05"/>
    <x v="1"/>
    <x v="0"/>
    <m/>
    <e v="#NAME?"/>
    <e v="#NAME?"/>
    <e v="#NAME?"/>
    <m/>
    <m/>
    <m/>
    <m/>
    <m/>
    <m/>
  </r>
  <r>
    <s v="CE69608"/>
    <s v="JULIETH ALEJANDRA BERMUDEZ BERNAL"/>
    <s v="RETAIL"/>
    <x v="19"/>
    <x v="1"/>
    <e v="#NAME?"/>
    <s v="SDATOOL-39272 $ GRM-Col-Cambio servicio APL (Aportes en línea)"/>
    <n v="0.2"/>
    <x v="2"/>
    <x v="0"/>
    <s v="BlueSpring"/>
    <e v="#NAME?"/>
    <e v="#NAME?"/>
    <e v="#NAME?"/>
    <m/>
    <m/>
    <m/>
    <m/>
    <m/>
    <m/>
  </r>
  <r>
    <s v="O002496"/>
    <s v="JESUS HUMBERTO MORENO ROJAS"/>
    <s v="RETAIL"/>
    <x v="19"/>
    <x v="0"/>
    <e v="#NAME?"/>
    <s v="SDATOOL-39272 $ GRM-Col-Cambio servicio APL (Aportes en línea)"/>
    <n v="0.05"/>
    <x v="0"/>
    <x v="0"/>
    <s v="BlueSpring"/>
    <e v="#NAME?"/>
    <e v="#NAME?"/>
    <e v="#NAME?"/>
    <m/>
    <m/>
    <m/>
    <m/>
    <m/>
    <m/>
  </r>
  <r>
    <s v="CE69858"/>
    <s v="JULIÁN DAVID CASTAÑEDA"/>
    <s v="RETAIL"/>
    <x v="19"/>
    <x v="16"/>
    <e v="#NAME?"/>
    <s v="SDATOOL-39272 $ GRM-Col-Cambio servicio APL (Aportes en línea)"/>
    <n v="1"/>
    <x v="0"/>
    <x v="3"/>
    <s v="BlueSpring"/>
    <e v="#NAME?"/>
    <e v="#NAME?"/>
    <e v="#NAME?"/>
    <m/>
    <m/>
    <m/>
    <m/>
    <m/>
    <m/>
  </r>
  <r>
    <s v="CE52470"/>
    <s v="Diego Elejalde Cifuentes"/>
    <s v="RETAIL"/>
    <x v="19"/>
    <x v="3"/>
    <e v="#NAME?"/>
    <s v="SDATOOL-40690 $ Plan CRM: Mejoras AUG (Banca Comercial y CSF) Equipo B"/>
    <n v="1"/>
    <x v="0"/>
    <x v="2"/>
    <m/>
    <e v="#NAME?"/>
    <e v="#NAME?"/>
    <e v="#NAME?"/>
    <m/>
    <m/>
    <m/>
    <m/>
    <m/>
    <m/>
  </r>
  <r>
    <s v="CE51863"/>
    <s v="EDNA ROCIO MONCADA"/>
    <s v="RETAIL"/>
    <x v="19"/>
    <x v="2"/>
    <e v="#NAME?"/>
    <s v="SDATOOL-40690 $ Plan CRM: Mejoras AUG (Banca Comercial y CSF) Equipo B"/>
    <n v="0.02"/>
    <x v="2"/>
    <x v="0"/>
    <m/>
    <e v="#NAME?"/>
    <e v="#NAME?"/>
    <e v="#NAME?"/>
    <m/>
    <m/>
    <m/>
    <n v="2"/>
    <n v="2"/>
    <m/>
  </r>
  <r>
    <s v="CE51863"/>
    <s v="EDNA ROCIO MONCADA"/>
    <s v="RETAIL"/>
    <x v="19"/>
    <x v="2"/>
    <e v="#NAME?"/>
    <s v="SDATOOL-37121 $ Plan CRM: Seguimiento al pipeline"/>
    <n v="0.02"/>
    <x v="2"/>
    <x v="0"/>
    <m/>
    <e v="#NAME?"/>
    <e v="#NAME?"/>
    <e v="#NAME?"/>
    <m/>
    <m/>
    <m/>
    <n v="2"/>
    <n v="2"/>
    <m/>
  </r>
  <r>
    <s v="CE51863"/>
    <s v="EDNA ROCIO MONCADA"/>
    <s v="RETAIL"/>
    <x v="19"/>
    <x v="2"/>
    <e v="#NAME?"/>
    <s v="SDATOOL-40672 $ Plan CRM: Mejoras AUG (Banca Comercial y CSF) Equipo A"/>
    <n v="0.02"/>
    <x v="2"/>
    <x v="0"/>
    <m/>
    <e v="#NAME?"/>
    <e v="#NAME?"/>
    <e v="#NAME?"/>
    <m/>
    <m/>
    <m/>
    <n v="2"/>
    <n v="2"/>
    <m/>
  </r>
  <r>
    <s v="CE51863"/>
    <s v="EDNA ROCIO MONCADA"/>
    <s v="RETAIL"/>
    <x v="19"/>
    <x v="2"/>
    <e v="#NAME?"/>
    <s v="NOSDA $ BAU (Mantenimiento y peq. evolutivos)"/>
    <n v="0.02"/>
    <x v="2"/>
    <x v="0"/>
    <m/>
    <e v="#NAME?"/>
    <e v="#NAME?"/>
    <e v="#NAME?"/>
    <m/>
    <m/>
    <m/>
    <n v="2"/>
    <n v="2"/>
    <m/>
  </r>
  <r>
    <s v="CE51863"/>
    <s v="EDNA ROCIO MONCADA"/>
    <s v="RETAIL"/>
    <x v="20"/>
    <x v="2"/>
    <e v="#NAME?"/>
    <s v="NOSDA $ BAU (Mantenimiento y peq. evolutivos)"/>
    <n v="0.02"/>
    <x v="2"/>
    <x v="0"/>
    <m/>
    <e v="#NAME?"/>
    <e v="#NAME?"/>
    <e v="#NAME?"/>
    <m/>
    <m/>
    <m/>
    <n v="2"/>
    <n v="2"/>
    <m/>
  </r>
  <r>
    <s v="CE51863"/>
    <s v="EDNA ROCIO MONCADA"/>
    <s v="RETAIL"/>
    <x v="20"/>
    <x v="2"/>
    <e v="#NAME?"/>
    <s v="SDATOOL-40269 $ Actualización y transmisión Declaraciones de Cambio – Banco de la República Abril 2022."/>
    <n v="0.02"/>
    <x v="2"/>
    <x v="1"/>
    <m/>
    <e v="#NAME?"/>
    <e v="#NAME?"/>
    <e v="#NAME?"/>
    <m/>
    <m/>
    <m/>
    <n v="1"/>
    <n v="1"/>
    <m/>
  </r>
  <r>
    <s v="CE51863"/>
    <s v="EDNA ROCIO MONCADA"/>
    <s v="RETAIL"/>
    <x v="20"/>
    <x v="2"/>
    <e v="#NAME?"/>
    <s v="SDATOOL-37294 $ Gestión de Tráfico en Oficinas"/>
    <n v="0.02"/>
    <x v="2"/>
    <x v="1"/>
    <m/>
    <e v="#NAME?"/>
    <e v="#NAME?"/>
    <e v="#NAME?"/>
    <m/>
    <m/>
    <m/>
    <n v="1"/>
    <n v="1"/>
    <m/>
  </r>
  <r>
    <s v="CE51863"/>
    <s v="EDNA ROCIO MONCADA"/>
    <s v="RETAIL"/>
    <x v="20"/>
    <x v="2"/>
    <e v="#NAME?"/>
    <s v="SDATOOL-37761 $ Plan transformación de procesos"/>
    <n v="0.02"/>
    <x v="2"/>
    <x v="1"/>
    <m/>
    <e v="#NAME?"/>
    <e v="#NAME?"/>
    <e v="#NAME?"/>
    <m/>
    <m/>
    <m/>
    <m/>
    <m/>
    <m/>
  </r>
  <r>
    <s v="CE54839"/>
    <s v="CARLOSFERNANDO SUAREZ"/>
    <s v="RETAIL"/>
    <x v="20"/>
    <x v="5"/>
    <e v="#NAME?"/>
    <s v="NOSDA $ BAU (Mantenimiento y peq. evolutivos)"/>
    <n v="0.5"/>
    <x v="2"/>
    <x v="1"/>
    <m/>
    <e v="#NAME?"/>
    <e v="#NAME?"/>
    <e v="#NAME?"/>
    <m/>
    <m/>
    <m/>
    <m/>
    <m/>
    <m/>
  </r>
  <r>
    <s v="CE52336"/>
    <s v="Cely Gutierrez Anderson Sneider"/>
    <s v="RETAIL"/>
    <x v="20"/>
    <x v="5"/>
    <e v="#NAME?"/>
    <s v="NOSDA $ BAU (Mantenimiento y peq. evolutivos)"/>
    <n v="1"/>
    <x v="0"/>
    <x v="0"/>
    <m/>
    <e v="#NAME?"/>
    <e v="#NAME?"/>
    <e v="#NAME?"/>
    <m/>
    <m/>
    <m/>
    <m/>
    <m/>
    <m/>
  </r>
  <r>
    <s v="C805453"/>
    <s v="Cuervo Duran Francisco Hernan"/>
    <s v="RETAIL"/>
    <x v="20"/>
    <x v="0"/>
    <e v="#NAME?"/>
    <s v="SDATOOL-37761 $ Plan transformación de procesos"/>
    <n v="0.4"/>
    <x v="0"/>
    <x v="1"/>
    <m/>
    <e v="#NAME?"/>
    <e v="#NAME?"/>
    <e v="#NAME?"/>
    <m/>
    <m/>
    <m/>
    <m/>
    <m/>
    <m/>
  </r>
  <r>
    <s v="T002003"/>
    <s v="DIEGO ALEJANDRO ASTAZIA"/>
    <s v="RETAIL"/>
    <x v="20"/>
    <x v="1"/>
    <e v="#NAME?"/>
    <s v="SDATOOL-37761 $ Plan transformación de procesos"/>
    <n v="0.5"/>
    <x v="2"/>
    <x v="1"/>
    <m/>
    <e v="#NAME?"/>
    <e v="#NAME?"/>
    <e v="#NAME?"/>
    <m/>
    <m/>
    <m/>
    <m/>
    <m/>
    <m/>
  </r>
  <r>
    <s v="T002003"/>
    <s v="DIEGO ALEJANDRO ASTAZIA"/>
    <s v="RETAIL"/>
    <x v="20"/>
    <x v="1"/>
    <e v="#NAME?"/>
    <s v="NOSDA $ BAU (Mantenimiento y peq. evolutivos)"/>
    <n v="0.5"/>
    <x v="2"/>
    <x v="0"/>
    <m/>
    <e v="#NAME?"/>
    <e v="#NAME?"/>
    <e v="#NAME?"/>
    <m/>
    <m/>
    <m/>
    <m/>
    <m/>
    <m/>
  </r>
  <r>
    <s v="O001338"/>
    <s v="DIVER ANDREY SUATERNA"/>
    <s v="RETAIL"/>
    <x v="20"/>
    <x v="0"/>
    <e v="#NAME?"/>
    <s v="SDATOOL-37294 $ Gestión de Tráfico en Oficinas"/>
    <n v="1"/>
    <x v="0"/>
    <x v="3"/>
    <s v="apx"/>
    <e v="#NAME?"/>
    <e v="#NAME?"/>
    <e v="#NAME?"/>
    <m/>
    <m/>
    <m/>
    <m/>
    <m/>
    <m/>
  </r>
  <r>
    <s v="C811316"/>
    <s v="Gonzalez Cardenas Oscar"/>
    <s v="RETAIL"/>
    <x v="20"/>
    <x v="0"/>
    <e v="#NAME?"/>
    <s v="SDATOOL-41879 $ Apertura de oficina Mitu"/>
    <n v="0.5"/>
    <x v="0"/>
    <x v="2"/>
    <m/>
    <e v="#NAME?"/>
    <e v="#NAME?"/>
    <e v="#NAME?"/>
    <m/>
    <m/>
    <m/>
    <m/>
    <m/>
    <m/>
  </r>
  <r>
    <s v="C805978"/>
    <s v="Jimenez Garcia Ariel Andres"/>
    <s v="RETAIL"/>
    <x v="20"/>
    <x v="0"/>
    <e v="#NAME?"/>
    <s v="SDATOOL-37294 $ Gestión de Tráfico en Oficinas"/>
    <n v="1"/>
    <x v="0"/>
    <x v="1"/>
    <m/>
    <e v="#NAME?"/>
    <e v="#NAME?"/>
    <e v="#NAME?"/>
    <m/>
    <m/>
    <m/>
    <m/>
    <m/>
    <m/>
  </r>
  <r>
    <s v="O001338"/>
    <s v="MARIAMM YULIETH ALVAREZ"/>
    <s v="RETAIL"/>
    <x v="20"/>
    <x v="0"/>
    <e v="#NAME?"/>
    <s v="NOSDA $ BAU (Mantenimiento y peq. evolutivos)"/>
    <n v="0.2"/>
    <x v="1"/>
    <x v="1"/>
    <m/>
    <e v="#NAME?"/>
    <e v="#NAME?"/>
    <e v="#NAME?"/>
    <m/>
    <m/>
    <m/>
    <m/>
    <m/>
    <m/>
  </r>
  <r>
    <s v="O001338"/>
    <s v="MARIAMM YULIETH ALVAREZ"/>
    <s v="RETAIL"/>
    <x v="20"/>
    <x v="0"/>
    <e v="#NAME?"/>
    <s v="SDATOOL-40269 $ Actualización y transmisión Declaraciones de Cambio – Banco de la República Abril 2022."/>
    <n v="0.2"/>
    <x v="1"/>
    <x v="1"/>
    <m/>
    <e v="#NAME?"/>
    <e v="#NAME?"/>
    <e v="#NAME?"/>
    <m/>
    <m/>
    <m/>
    <m/>
    <m/>
    <m/>
  </r>
  <r>
    <s v="O001338"/>
    <s v="MARIAMM YULIETH ALVAREZ"/>
    <s v="RETAIL"/>
    <x v="20"/>
    <x v="0"/>
    <e v="#NAME?"/>
    <s v="SDATOOL-37294 $ Gestión de Tráfico en Oficinas"/>
    <n v="0.2"/>
    <x v="1"/>
    <x v="1"/>
    <m/>
    <e v="#NAME?"/>
    <e v="#NAME?"/>
    <e v="#NAME?"/>
    <m/>
    <m/>
    <m/>
    <m/>
    <m/>
    <m/>
  </r>
  <r>
    <s v="O001338"/>
    <s v="MARIAMM YULIETH ALVAREZ"/>
    <s v="RETAIL"/>
    <x v="20"/>
    <x v="0"/>
    <e v="#NAME?"/>
    <s v="SDATOOL-39246 $ Nuevo tipo de identificación para extranjeros"/>
    <n v="0.05"/>
    <x v="1"/>
    <x v="1"/>
    <m/>
    <e v="#NAME?"/>
    <e v="#NAME?"/>
    <e v="#NAME?"/>
    <m/>
    <m/>
    <m/>
    <m/>
    <m/>
    <m/>
  </r>
  <r>
    <s v="O001338"/>
    <s v="MARIAMM YULIETH ALVAREZ"/>
    <s v="RETAIL"/>
    <x v="20"/>
    <x v="0"/>
    <e v="#NAME?"/>
    <s v="SDATOOL-41879 $ Apertura de oficina Mitu"/>
    <n v="0.05"/>
    <x v="1"/>
    <x v="1"/>
    <m/>
    <e v="#NAME?"/>
    <e v="#NAME?"/>
    <e v="#NAME?"/>
    <m/>
    <m/>
    <m/>
    <m/>
    <m/>
    <m/>
  </r>
  <r>
    <s v="O001338"/>
    <s v="MARIAMM YULIETH ALVAREZ"/>
    <s v="RETAIL"/>
    <x v="20"/>
    <x v="0"/>
    <e v="#NAME?"/>
    <s v="SDATOOL-37761 $ Plan transformación de procesos"/>
    <n v="0.2"/>
    <x v="1"/>
    <x v="1"/>
    <m/>
    <e v="#NAME?"/>
    <e v="#NAME?"/>
    <e v="#NAME?"/>
    <m/>
    <m/>
    <m/>
    <m/>
    <m/>
    <m/>
  </r>
  <r>
    <s v="O001338"/>
    <s v="MARIAMM YULIETH ALVAREZ"/>
    <s v="RETAIL"/>
    <x v="20"/>
    <x v="0"/>
    <e v="#NAME?"/>
    <s v="SDATOOL-41766 $ DUALIDAD CUENTAS AFC NÁCAR HOST Y CANALES DIGITALES"/>
    <n v="0.1"/>
    <x v="1"/>
    <x v="1"/>
    <m/>
    <e v="#NAME?"/>
    <e v="#NAME?"/>
    <e v="#NAME?"/>
    <m/>
    <m/>
    <m/>
    <m/>
    <m/>
    <m/>
  </r>
  <r>
    <s v="C808471"/>
    <s v="Moreno Castellanos Omar Alfonso"/>
    <s v="RETAIL"/>
    <x v="20"/>
    <x v="0"/>
    <e v="#NAME?"/>
    <s v="SDATOOL-40269 $ Actualización y transmisión Declaraciones de Cambio – Banco de la República Abril 2022."/>
    <n v="1"/>
    <x v="0"/>
    <x v="2"/>
    <m/>
    <e v="#NAME?"/>
    <e v="#NAME?"/>
    <e v="#NAME?"/>
    <m/>
    <m/>
    <m/>
    <m/>
    <m/>
    <m/>
  </r>
  <r>
    <s v="C342537"/>
    <s v="Navarro Torres Javier Dario"/>
    <s v="RETAIL"/>
    <x v="20"/>
    <x v="0"/>
    <e v="#NAME?"/>
    <s v="SDATOOL-37761 $ Plan transformación de procesos"/>
    <n v="0.5"/>
    <x v="0"/>
    <x v="0"/>
    <m/>
    <e v="#NAME?"/>
    <e v="#NAME?"/>
    <e v="#NAME?"/>
    <m/>
    <m/>
    <m/>
    <m/>
    <m/>
    <m/>
  </r>
  <r>
    <s v="C342537"/>
    <s v="Navarro Torres Javier Dario"/>
    <s v="RETAIL"/>
    <x v="20"/>
    <x v="0"/>
    <e v="#NAME?"/>
    <s v="SDATOOL-41766 $ DUALIDAD CUENTAS AFC NÁCAR HOST Y CANALES DIGITALES"/>
    <n v="0.5"/>
    <x v="0"/>
    <x v="0"/>
    <m/>
    <e v="#NAME?"/>
    <e v="#NAME?"/>
    <e v="#NAME?"/>
    <m/>
    <m/>
    <m/>
    <m/>
    <m/>
    <m/>
  </r>
  <r>
    <s v="O002178"/>
    <s v="SAMIR DE JESUS QUICENO BERMUDEZ"/>
    <s v="RETAIL"/>
    <x v="20"/>
    <x v="0"/>
    <e v="#NAME?"/>
    <s v="NOSDA $ BAU (Mantenimiento y peq. evolutivos)"/>
    <n v="1"/>
    <x v="0"/>
    <x v="2"/>
    <m/>
    <e v="#NAME?"/>
    <e v="#NAME?"/>
    <e v="#NAME?"/>
    <m/>
    <m/>
    <m/>
    <m/>
    <m/>
    <m/>
  </r>
  <r>
    <s v="C811316"/>
    <s v="Gonzalez Cardenas Oscar"/>
    <s v="RETAIL"/>
    <x v="20"/>
    <x v="0"/>
    <e v="#NAME?"/>
    <s v="NOSDA $ BAU (Mantenimiento y peq. evolutivos)"/>
    <n v="0.5"/>
    <x v="0"/>
    <x v="2"/>
    <m/>
    <e v="#NAME?"/>
    <e v="#NAME?"/>
    <e v="#NAME?"/>
    <m/>
    <m/>
    <m/>
    <m/>
    <m/>
    <m/>
  </r>
  <r>
    <s v="C805453"/>
    <s v="Cuervo Duran Francisco Hernan"/>
    <s v="RETAIL"/>
    <x v="20"/>
    <x v="0"/>
    <e v="#NAME?"/>
    <s v="SDATOOL-39246 $ Nuevo tipo de identificación para extranjeros"/>
    <n v="0.5"/>
    <x v="0"/>
    <x v="0"/>
    <m/>
    <e v="#NAME?"/>
    <e v="#NAME?"/>
    <e v="#NAME?"/>
    <m/>
    <m/>
    <m/>
    <m/>
    <m/>
    <m/>
  </r>
  <r>
    <s v="C805453"/>
    <s v="Cuervo Duran Francisco Hernan"/>
    <s v="RETAIL"/>
    <x v="20"/>
    <x v="0"/>
    <e v="#NAME?"/>
    <s v="NOSDA $ BAU (Mantenimiento y peq. evolutivos)"/>
    <n v="0.1"/>
    <x v="0"/>
    <x v="0"/>
    <m/>
    <e v="#NAME?"/>
    <e v="#NAME?"/>
    <e v="#NAME?"/>
    <m/>
    <m/>
    <m/>
    <m/>
    <m/>
    <m/>
  </r>
  <r>
    <s v="CE54839"/>
    <s v="CARLOSFERNANDO SUAREZ"/>
    <s v="RETAIL"/>
    <x v="20"/>
    <x v="5"/>
    <e v="#NAME?"/>
    <s v="SDATOOL-37761 $ Plan transformación de procesos"/>
    <n v="0.5"/>
    <x v="2"/>
    <x v="6"/>
    <m/>
    <e v="#NAME?"/>
    <e v="#NAME?"/>
    <e v="#NAME?"/>
    <m/>
    <m/>
    <m/>
    <m/>
    <m/>
    <m/>
  </r>
  <r>
    <s v="E049846"/>
    <s v="PATRICIA ORRO"/>
    <s v="RETAIL"/>
    <x v="21"/>
    <x v="0"/>
    <e v="#NAME?"/>
    <s v="SDATOOL-42192 $ Transfiya en GloMo"/>
    <n v="0.2"/>
    <x v="1"/>
    <x v="5"/>
    <m/>
    <e v="#NAME?"/>
    <e v="#NAME?"/>
    <e v="#NAME?"/>
    <m/>
    <m/>
    <m/>
    <m/>
    <m/>
    <m/>
  </r>
  <r>
    <s v="C810952"/>
    <s v="Sebastian Ayala"/>
    <s v="RETAIL"/>
    <x v="21"/>
    <x v="0"/>
    <e v="#NAME?"/>
    <s v="SDATOOL-42192 $ Transfiya en GloMo"/>
    <n v="1"/>
    <x v="0"/>
    <x v="0"/>
    <m/>
    <e v="#NAME?"/>
    <e v="#NAME?"/>
    <e v="#NAME?"/>
    <m/>
    <m/>
    <m/>
    <m/>
    <m/>
    <m/>
  </r>
  <r>
    <s v="C802581"/>
    <s v="Daniel Antonio Aguilar"/>
    <s v="RETAIL"/>
    <x v="21"/>
    <x v="0"/>
    <e v="#NAME?"/>
    <s v="SDATOOL-42192 $ Transfiya en GloMo"/>
    <n v="0.4"/>
    <x v="0"/>
    <x v="6"/>
    <s v="Interno"/>
    <e v="#NAME?"/>
    <e v="#NAME?"/>
    <e v="#NAME?"/>
    <m/>
    <m/>
    <m/>
    <m/>
    <m/>
    <m/>
  </r>
  <r>
    <m/>
    <s v="DESARROLLADOR ASO"/>
    <s v="RETAIL"/>
    <x v="21"/>
    <x v="20"/>
    <e v="#NAME?"/>
    <s v="SDATOOL-42192 $ Transfiya en GloMo"/>
    <n v="1"/>
    <x v="0"/>
    <x v="3"/>
    <m/>
    <e v="#NAME?"/>
    <e v="#NAME?"/>
    <e v="#NAME?"/>
    <m/>
    <m/>
    <m/>
    <m/>
    <m/>
    <m/>
  </r>
  <r>
    <m/>
    <s v="DESARROLLADOR ASO"/>
    <s v="RETAIL"/>
    <x v="21"/>
    <x v="20"/>
    <e v="#NAME?"/>
    <s v="SDATOOL-42192 $ Transfiya en GloMo"/>
    <n v="1"/>
    <x v="0"/>
    <x v="3"/>
    <m/>
    <e v="#NAME?"/>
    <e v="#NAME?"/>
    <e v="#NAME?"/>
    <m/>
    <m/>
    <m/>
    <m/>
    <m/>
    <m/>
  </r>
  <r>
    <m/>
    <s v="DESARROLLADOR ASO"/>
    <s v="RETAIL"/>
    <x v="21"/>
    <x v="20"/>
    <e v="#NAME?"/>
    <s v="SDATOOL-42192 $ Transfiya en GloMo"/>
    <n v="1"/>
    <x v="0"/>
    <x v="3"/>
    <m/>
    <e v="#NAME?"/>
    <e v="#NAME?"/>
    <e v="#NAME?"/>
    <m/>
    <m/>
    <m/>
    <m/>
    <m/>
    <m/>
  </r>
  <r>
    <m/>
    <s v="DESARROLLADOR APX"/>
    <s v="RETAIL"/>
    <x v="21"/>
    <x v="20"/>
    <e v="#NAME?"/>
    <s v="SDATOOL-42192 $ Transfiya en GloMo"/>
    <n v="1"/>
    <x v="0"/>
    <x v="3"/>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APX"/>
    <s v="RETAIL"/>
    <x v="21"/>
    <x v="20"/>
    <e v="#NAME?"/>
    <s v="SDATOOL-42192 $ Transfiya en GloMo"/>
    <n v="0.33"/>
    <x v="0"/>
    <x v="4"/>
    <m/>
    <e v="#NAME?"/>
    <e v="#NAME?"/>
    <e v="#NAME?"/>
    <m/>
    <m/>
    <m/>
    <m/>
    <m/>
    <m/>
  </r>
  <r>
    <s v="CE40475"/>
    <s v="NELSON FERRUCHO"/>
    <s v="RETAIL"/>
    <x v="21"/>
    <x v="3"/>
    <e v="#NAME?"/>
    <s v="SDATOOL-42192 $ Transfiya en GloMo"/>
    <n v="0.5"/>
    <x v="0"/>
    <x v="2"/>
    <m/>
    <e v="#NAME?"/>
    <e v="#NAME?"/>
    <e v="#NAME?"/>
    <m/>
    <m/>
    <m/>
    <m/>
    <m/>
    <m/>
  </r>
  <r>
    <s v="CE64988"/>
    <s v="Levi Becerra"/>
    <s v="RETAIL"/>
    <x v="21"/>
    <x v="3"/>
    <e v="#NAME?"/>
    <s v="SDATOOL-42192 $ Transfiya en GloMo"/>
    <n v="0.5"/>
    <x v="0"/>
    <x v="6"/>
    <m/>
    <e v="#NAME?"/>
    <e v="#NAME?"/>
    <e v="#NAME?"/>
    <m/>
    <m/>
    <m/>
    <m/>
    <m/>
    <m/>
  </r>
  <r>
    <m/>
    <s v="DESARROLLO HOST"/>
    <s v="RETAIL"/>
    <x v="21"/>
    <x v="20"/>
    <e v="#NAME?"/>
    <s v="SDATOOL-42192 $ Transfiya en GloMo"/>
    <n v="1"/>
    <x v="0"/>
    <x v="2"/>
    <m/>
    <e v="#NAME?"/>
    <e v="#NAME?"/>
    <e v="#NAME?"/>
    <m/>
    <m/>
    <m/>
    <m/>
    <m/>
    <m/>
  </r>
  <r>
    <m/>
    <s v="TESTER QA"/>
    <s v="RETAIL"/>
    <x v="21"/>
    <x v="20"/>
    <e v="#NAME?"/>
    <s v="SDATOOL-42192 $ Transfiya en GloMo"/>
    <n v="0.75"/>
    <x v="2"/>
    <x v="1"/>
    <m/>
    <e v="#NAME?"/>
    <e v="#NAME?"/>
    <e v="#NAME?"/>
    <m/>
    <m/>
    <m/>
    <m/>
    <m/>
    <m/>
  </r>
  <r>
    <m/>
    <s v="TESTER QA"/>
    <s v="RETAIL"/>
    <x v="21"/>
    <x v="20"/>
    <e v="#NAME?"/>
    <s v="SDATOOL-42192 $ Transfiya en GloMo"/>
    <n v="0.75"/>
    <x v="2"/>
    <x v="1"/>
    <m/>
    <e v="#NAME?"/>
    <e v="#NAME?"/>
    <e v="#NAME?"/>
    <m/>
    <m/>
    <m/>
    <m/>
    <m/>
    <m/>
  </r>
  <r>
    <m/>
    <s v="TESTER QA"/>
    <s v="RETAIL"/>
    <x v="21"/>
    <x v="20"/>
    <e v="#NAME?"/>
    <s v="SDATOOL-42192 $ Transfiya en GloMo"/>
    <n v="0.75"/>
    <x v="2"/>
    <x v="1"/>
    <m/>
    <e v="#NAME?"/>
    <e v="#NAME?"/>
    <e v="#NAME?"/>
    <m/>
    <m/>
    <m/>
    <m/>
    <m/>
    <m/>
  </r>
  <r>
    <s v="C802581"/>
    <s v="Daniel Antonio Aguilar"/>
    <s v="RETAIL"/>
    <x v="21"/>
    <x v="0"/>
    <e v="#NAME?"/>
    <s v="SDATOOL-9053 $ GloMo Colombia"/>
    <n v="0.2"/>
    <x v="0"/>
    <x v="6"/>
    <s v="Interno"/>
    <e v="#NAME?"/>
    <e v="#NAME?"/>
    <e v="#NAME?"/>
    <m/>
    <m/>
    <m/>
    <m/>
    <m/>
    <m/>
  </r>
  <r>
    <s v="E049846"/>
    <s v="PATRICIA ORRO"/>
    <s v="RETAIL"/>
    <x v="21"/>
    <x v="0"/>
    <e v="#NAME?"/>
    <s v="SDATOOL-41759 $ Tips de prevención Ingeniería Social"/>
    <n v="0.2"/>
    <x v="1"/>
    <x v="5"/>
    <m/>
    <e v="#NAME?"/>
    <e v="#NAME?"/>
    <e v="#NAME?"/>
    <m/>
    <m/>
    <m/>
    <m/>
    <m/>
    <m/>
  </r>
  <r>
    <m/>
    <s v="TESTER QA"/>
    <s v="RETAIL"/>
    <x v="21"/>
    <x v="20"/>
    <e v="#NAME?"/>
    <s v="SDATOOL-41759 $ Tips de prevención Ingeniería Social"/>
    <n v="1"/>
    <x v="2"/>
    <x v="1"/>
    <m/>
    <e v="#NAME?"/>
    <e v="#NAME?"/>
    <e v="#NAME?"/>
    <m/>
    <m/>
    <m/>
    <m/>
    <m/>
    <m/>
  </r>
  <r>
    <s v="E049846"/>
    <s v="PATRICIA ORRO"/>
    <s v="RETAIL"/>
    <x v="21"/>
    <x v="0"/>
    <e v="#NAME?"/>
    <s v="SDATOOL-40623 $ Pago productos con PSE desde GloMo"/>
    <n v="0.2"/>
    <x v="1"/>
    <x v="5"/>
    <m/>
    <e v="#NAME?"/>
    <e v="#NAME?"/>
    <e v="#NAME?"/>
    <m/>
    <m/>
    <m/>
    <m/>
    <m/>
    <m/>
  </r>
  <r>
    <m/>
    <s v="DESARROLLO ASO"/>
    <s v="RETAIL"/>
    <x v="21"/>
    <x v="20"/>
    <e v="#NAME?"/>
    <s v="SDATOOL-40623 $ Pago productos con PSE desde GloMo"/>
    <n v="1"/>
    <x v="0"/>
    <x v="3"/>
    <m/>
    <e v="#NAME?"/>
    <e v="#NAME?"/>
    <e v="#NAME?"/>
    <m/>
    <m/>
    <m/>
    <m/>
    <m/>
    <m/>
  </r>
  <r>
    <m/>
    <s v="DESARROLLO HOST"/>
    <s v="RETAIL"/>
    <x v="21"/>
    <x v="20"/>
    <e v="#NAME?"/>
    <s v="SDATOOL-40623 $ Pago productos con PSE desde GloMo"/>
    <n v="1"/>
    <x v="0"/>
    <x v="2"/>
    <m/>
    <e v="#NAME?"/>
    <e v="#NAME?"/>
    <e v="#NAME?"/>
    <m/>
    <m/>
    <m/>
    <m/>
    <m/>
    <m/>
  </r>
  <r>
    <m/>
    <s v="TESTER QA"/>
    <s v="RETAIL"/>
    <x v="21"/>
    <x v="20"/>
    <e v="#NAME?"/>
    <s v="SDATOOL-40623 $ Pago productos con PSE desde GloMo"/>
    <n v="1"/>
    <x v="2"/>
    <x v="1"/>
    <m/>
    <e v="#NAME?"/>
    <e v="#NAME?"/>
    <e v="#NAME?"/>
    <m/>
    <m/>
    <m/>
    <m/>
    <m/>
    <m/>
  </r>
  <r>
    <s v="E049846"/>
    <s v="PATRICIA ORRO"/>
    <s v="RETAIL"/>
    <x v="21"/>
    <x v="0"/>
    <e v="#NAME?"/>
    <s v="SDATOOL-40533 $ GloMo Target"/>
    <n v="0.2"/>
    <x v="1"/>
    <x v="5"/>
    <m/>
    <e v="#NAME?"/>
    <e v="#NAME?"/>
    <e v="#NAME?"/>
    <m/>
    <m/>
    <m/>
    <m/>
    <m/>
    <m/>
  </r>
  <r>
    <s v="C803962"/>
    <s v="Esteban Linares"/>
    <s v="RETAIL"/>
    <x v="21"/>
    <x v="0"/>
    <e v="#NAME?"/>
    <s v="SDATOOL-42039 $ Cuenta digital pensional"/>
    <n v="0.7"/>
    <x v="1"/>
    <x v="5"/>
    <m/>
    <e v="#NAME?"/>
    <e v="#NAME?"/>
    <e v="#NAME?"/>
    <m/>
    <m/>
    <m/>
    <m/>
    <m/>
    <m/>
  </r>
  <r>
    <s v="C803962"/>
    <s v="Esteban Linares"/>
    <s v="RETAIL"/>
    <x v="21"/>
    <x v="0"/>
    <e v="#NAME?"/>
    <s v="SDATOOL-9053 $ GloMo Colombia"/>
    <n v="0.3"/>
    <x v="1"/>
    <x v="5"/>
    <m/>
    <e v="#NAME?"/>
    <e v="#NAME?"/>
    <e v="#NAME?"/>
    <m/>
    <m/>
    <m/>
    <m/>
    <m/>
    <m/>
  </r>
  <r>
    <s v="C802581"/>
    <s v="Daniel Antonio Aguilar"/>
    <s v="RETAIL"/>
    <x v="21"/>
    <x v="0"/>
    <e v="#NAME?"/>
    <s v="SDATOOL-42192 $ Transfiya en GloMo"/>
    <n v="0.2"/>
    <x v="0"/>
    <x v="6"/>
    <s v="Interno"/>
    <e v="#NAME?"/>
    <e v="#NAME?"/>
    <e v="#NAME?"/>
    <m/>
    <m/>
    <m/>
    <m/>
    <m/>
    <m/>
  </r>
  <r>
    <s v="E049846"/>
    <s v="PATRICIA ORRO"/>
    <s v="RETAIL"/>
    <x v="21"/>
    <x v="0"/>
    <e v="#NAME?"/>
    <s v="SDATOOL-42039 $ Cuenta digital pensional"/>
    <n v="0.2"/>
    <x v="0"/>
    <x v="5"/>
    <m/>
    <e v="#NAME?"/>
    <e v="#NAME?"/>
    <e v="#NAME?"/>
    <m/>
    <m/>
    <m/>
    <m/>
    <m/>
    <m/>
  </r>
  <r>
    <m/>
    <s v="DESARROLLADOR FRONT "/>
    <s v="RETAIL"/>
    <x v="21"/>
    <x v="12"/>
    <e v="#NAME?"/>
    <s v="SDATOOL-42039 $ Cuenta digital pensional"/>
    <n v="1"/>
    <x v="0"/>
    <x v="5"/>
    <m/>
    <e v="#NAME?"/>
    <e v="#NAME?"/>
    <e v="#NAME?"/>
    <m/>
    <m/>
    <m/>
    <m/>
    <m/>
    <m/>
  </r>
  <r>
    <m/>
    <s v="DESARROLLADOR FRONT "/>
    <s v="RETAIL"/>
    <x v="21"/>
    <x v="12"/>
    <e v="#NAME?"/>
    <s v="SDATOOL-42039 $ Cuenta digital pensional"/>
    <n v="1"/>
    <x v="0"/>
    <x v="5"/>
    <m/>
    <e v="#NAME?"/>
    <e v="#NAME?"/>
    <e v="#NAME?"/>
    <m/>
    <m/>
    <m/>
    <m/>
    <m/>
    <m/>
  </r>
  <r>
    <m/>
    <s v="TESTER QA"/>
    <s v="RETAIL"/>
    <x v="21"/>
    <x v="20"/>
    <e v="#NAME?"/>
    <s v="SDATOOL-42039 $ Cuenta digital pensional"/>
    <n v="1"/>
    <x v="2"/>
    <x v="1"/>
    <m/>
    <e v="#NAME?"/>
    <e v="#NAME?"/>
    <e v="#NAME?"/>
    <m/>
    <m/>
    <m/>
    <m/>
    <m/>
    <m/>
  </r>
  <r>
    <m/>
    <s v="TESTER QA"/>
    <s v="RETAIL"/>
    <x v="21"/>
    <x v="20"/>
    <e v="#NAME?"/>
    <s v="SDATOOL-42039 $ Cuenta digital pensional"/>
    <n v="1"/>
    <x v="2"/>
    <x v="1"/>
    <m/>
    <e v="#NAME?"/>
    <e v="#NAME?"/>
    <e v="#NAME?"/>
    <m/>
    <m/>
    <m/>
    <m/>
    <m/>
    <m/>
  </r>
  <r>
    <s v="C802581"/>
    <s v="Daniel Antonio Aguilar"/>
    <s v="RETAIL"/>
    <x v="21"/>
    <x v="0"/>
    <e v="#NAME?"/>
    <s v="SDATOOL-42192 $ Transfiya en GloMo"/>
    <n v="0.2"/>
    <x v="0"/>
    <x v="6"/>
    <s v="Interno"/>
    <e v="#NAME?"/>
    <e v="#NAME?"/>
    <e v="#NAME?"/>
    <m/>
    <m/>
    <m/>
    <m/>
    <m/>
    <m/>
  </r>
  <r>
    <m/>
    <s v="DESARROLLADOR FRONT "/>
    <s v="RETAIL"/>
    <x v="21"/>
    <x v="12"/>
    <e v="#NAME?"/>
    <s v="SDATOOL-41881 $ Bloqueo/Desbloqueo Soft-Hard"/>
    <n v="1"/>
    <x v="0"/>
    <x v="5"/>
    <m/>
    <e v="#NAME?"/>
    <e v="#NAME?"/>
    <e v="#NAME?"/>
    <m/>
    <m/>
    <m/>
    <m/>
    <m/>
    <m/>
  </r>
  <r>
    <m/>
    <s v="DESARROLLADOR FRONT "/>
    <s v="RETAIL"/>
    <x v="21"/>
    <x v="12"/>
    <e v="#NAME?"/>
    <s v="SDATOOL-41881 $ Bloqueo/Desbloqueo Soft-Hard"/>
    <n v="1"/>
    <x v="0"/>
    <x v="5"/>
    <m/>
    <e v="#NAME?"/>
    <e v="#NAME?"/>
    <e v="#NAME?"/>
    <m/>
    <m/>
    <m/>
    <m/>
    <m/>
    <m/>
  </r>
  <r>
    <m/>
    <s v="DESARROLLADOR ASO"/>
    <s v="RETAIL"/>
    <x v="21"/>
    <x v="12"/>
    <e v="#NAME?"/>
    <s v="SDATOOL-41881 $ Bloqueo/Desbloqueo Soft-Hard"/>
    <n v="1"/>
    <x v="0"/>
    <x v="3"/>
    <m/>
    <e v="#NAME?"/>
    <e v="#NAME?"/>
    <e v="#NAME?"/>
    <m/>
    <m/>
    <m/>
    <m/>
    <m/>
    <m/>
  </r>
  <r>
    <m/>
    <s v="DESARROLLADOR APX"/>
    <s v="RETAIL"/>
    <x v="21"/>
    <x v="12"/>
    <e v="#NAME?"/>
    <s v="SDATOOL-41881 $ Bloqueo/Desbloqueo Soft-Hard"/>
    <n v="1"/>
    <x v="0"/>
    <x v="4"/>
    <m/>
    <e v="#NAME?"/>
    <e v="#NAME?"/>
    <e v="#NAME?"/>
    <m/>
    <m/>
    <m/>
    <m/>
    <m/>
    <m/>
  </r>
  <r>
    <m/>
    <s v="DESARROLLO HOST"/>
    <s v="RETAIL"/>
    <x v="21"/>
    <x v="12"/>
    <e v="#NAME?"/>
    <s v="SDATOOL-41881 $ Bloqueo/Desbloqueo Soft-Hard"/>
    <n v="1"/>
    <x v="0"/>
    <x v="2"/>
    <m/>
    <e v="#NAME?"/>
    <e v="#NAME?"/>
    <e v="#NAME?"/>
    <m/>
    <m/>
    <m/>
    <m/>
    <m/>
    <m/>
  </r>
  <r>
    <m/>
    <s v="TESTER QA"/>
    <s v="RETAIL"/>
    <x v="21"/>
    <x v="20"/>
    <e v="#NAME?"/>
    <s v="SDATOOL-41881 $ Bloqueo/Desbloqueo Soft-Hard"/>
    <n v="1"/>
    <x v="2"/>
    <x v="1"/>
    <m/>
    <e v="#NAME?"/>
    <e v="#NAME?"/>
    <e v="#NAME?"/>
    <m/>
    <m/>
    <m/>
    <m/>
    <m/>
    <m/>
  </r>
  <r>
    <s v="C803799"/>
    <s v="ANDRES FELIPE CASTAÑEDA"/>
    <s v="RETAIL"/>
    <x v="21"/>
    <x v="0"/>
    <e v="#NAME?"/>
    <s v="NOSDA $ BAU (Mantenimiento y peq. evolutivos)"/>
    <n v="1"/>
    <x v="1"/>
    <x v="5"/>
    <m/>
    <e v="#NAME?"/>
    <e v="#NAME?"/>
    <e v="#NAME?"/>
    <m/>
    <m/>
    <m/>
    <m/>
    <m/>
    <m/>
  </r>
  <r>
    <s v="C805723"/>
    <s v="JUAN CAMILO JAIMES"/>
    <s v="RETAIL"/>
    <x v="21"/>
    <x v="0"/>
    <e v="#NAME?"/>
    <s v="NOSDA $ BAU (Mantenimiento y peq. evolutivos)"/>
    <n v="1"/>
    <x v="0"/>
    <x v="5"/>
    <m/>
    <e v="#NAME?"/>
    <e v="#NAME?"/>
    <e v="#NAME?"/>
    <m/>
    <m/>
    <m/>
    <m/>
    <m/>
    <m/>
  </r>
  <r>
    <s v="C805720"/>
    <s v="SANDRA REDONDO"/>
    <s v="RETAIL"/>
    <x v="21"/>
    <x v="0"/>
    <e v="#NAME?"/>
    <s v="NOSDA $ BAU (Mantenimiento y peq. evolutivos)"/>
    <n v="1"/>
    <x v="0"/>
    <x v="5"/>
    <m/>
    <e v="#NAME?"/>
    <e v="#NAME?"/>
    <e v="#NAME?"/>
    <m/>
    <m/>
    <m/>
    <m/>
    <m/>
    <m/>
  </r>
  <r>
    <s v="C810664"/>
    <s v="JONATHAN MARCELL GUTIERREZ RIAÑO"/>
    <s v="RETAIL"/>
    <x v="21"/>
    <x v="0"/>
    <e v="#NAME?"/>
    <s v="NOSDA $ BAU (Mantenimiento y peq. evolutivos)"/>
    <n v="1"/>
    <x v="0"/>
    <x v="4"/>
    <m/>
    <e v="#NAME?"/>
    <e v="#NAME?"/>
    <e v="#NAME?"/>
    <m/>
    <m/>
    <m/>
    <m/>
    <m/>
    <m/>
  </r>
  <r>
    <s v="C805983"/>
    <s v="LUBER FANDIÑO"/>
    <s v="RETAIL"/>
    <x v="21"/>
    <x v="0"/>
    <e v="#NAME?"/>
    <s v="NOSDA $ BAU (Mantenimiento y peq. evolutivos)"/>
    <n v="1"/>
    <x v="0"/>
    <x v="5"/>
    <m/>
    <e v="#NAME?"/>
    <e v="#NAME?"/>
    <e v="#NAME?"/>
    <m/>
    <m/>
    <m/>
    <m/>
    <m/>
    <m/>
  </r>
  <r>
    <s v="C805933"/>
    <s v="Brayan Peña"/>
    <s v="RETAIL"/>
    <x v="21"/>
    <x v="0"/>
    <e v="#NAME?"/>
    <s v="NOSDA $ BAU (Mantenimiento y peq. evolutivos)"/>
    <n v="1"/>
    <x v="0"/>
    <x v="5"/>
    <m/>
    <e v="#NAME?"/>
    <e v="#NAME?"/>
    <e v="#NAME?"/>
    <m/>
    <m/>
    <m/>
    <m/>
    <m/>
    <m/>
  </r>
  <r>
    <s v="C809565"/>
    <s v="JOAN CHIVATA"/>
    <s v="RETAIL"/>
    <x v="21"/>
    <x v="0"/>
    <e v="#NAME?"/>
    <s v="NOSDA $ BAU (Mantenimiento y peq. evolutivos)"/>
    <n v="1"/>
    <x v="0"/>
    <x v="5"/>
    <m/>
    <e v="#NAME?"/>
    <e v="#NAME?"/>
    <e v="#NAME?"/>
    <m/>
    <m/>
    <m/>
    <m/>
    <m/>
    <m/>
  </r>
  <r>
    <s v="T004259"/>
    <s v="FAIBER RUEDA"/>
    <s v="RETAIL"/>
    <x v="21"/>
    <x v="20"/>
    <e v="#NAME?"/>
    <s v="NOSDA $ BAU (Mantenimiento y peq. evolutivos)"/>
    <n v="1"/>
    <x v="0"/>
    <x v="5"/>
    <m/>
    <e v="#NAME?"/>
    <e v="#NAME?"/>
    <e v="#NAME?"/>
    <m/>
    <m/>
    <m/>
    <m/>
    <m/>
    <m/>
  </r>
  <r>
    <s v="T004336"/>
    <s v="JUAN ROMERO"/>
    <s v="RETAIL"/>
    <x v="21"/>
    <x v="20"/>
    <e v="#NAME?"/>
    <s v="NOSDA $ BAU (Mantenimiento y peq. evolutivos)"/>
    <n v="1"/>
    <x v="0"/>
    <x v="5"/>
    <m/>
    <e v="#NAME?"/>
    <e v="#NAME?"/>
    <e v="#NAME?"/>
    <m/>
    <m/>
    <m/>
    <m/>
    <m/>
    <m/>
  </r>
  <r>
    <s v="CE69641"/>
    <s v="KEVIN SARMIENTO"/>
    <s v="RETAIL"/>
    <x v="21"/>
    <x v="20"/>
    <e v="#NAME?"/>
    <s v="NOSDA $ BAU (Mantenimiento y peq. evolutivos)"/>
    <n v="1"/>
    <x v="0"/>
    <x v="5"/>
    <m/>
    <e v="#NAME?"/>
    <e v="#NAME?"/>
    <e v="#NAME?"/>
    <m/>
    <m/>
    <m/>
    <m/>
    <m/>
    <m/>
  </r>
  <r>
    <m/>
    <s v="TBD - ANS"/>
    <s v="RETAIL"/>
    <x v="21"/>
    <x v="20"/>
    <e v="#NAME?"/>
    <s v="NOSDA $ BAU (Mantenimiento y peq. evolutivos)"/>
    <n v="1"/>
    <x v="0"/>
    <x v="5"/>
    <m/>
    <e v="#NAME?"/>
    <e v="#NAME?"/>
    <e v="#NAME?"/>
    <m/>
    <m/>
    <m/>
    <m/>
    <m/>
    <m/>
  </r>
  <r>
    <s v="T006642"/>
    <s v="CRISTIAN DAZA"/>
    <s v="RETAIL"/>
    <x v="21"/>
    <x v="12"/>
    <e v="#NAME?"/>
    <s v="NOSDA $ BAU (Mantenimiento y peq. evolutivos)"/>
    <n v="1"/>
    <x v="0"/>
    <x v="5"/>
    <m/>
    <e v="#NAME?"/>
    <e v="#NAME?"/>
    <e v="#NAME?"/>
    <m/>
    <m/>
    <m/>
    <m/>
    <m/>
    <m/>
  </r>
  <r>
    <s v="T006699"/>
    <s v="JUAN DUQUE"/>
    <s v="RETAIL"/>
    <x v="21"/>
    <x v="12"/>
    <e v="#NAME?"/>
    <s v="NOSDA $ BAU (Mantenimiento y peq. evolutivos)"/>
    <n v="1"/>
    <x v="0"/>
    <x v="5"/>
    <m/>
    <e v="#NAME?"/>
    <e v="#NAME?"/>
    <e v="#NAME?"/>
    <m/>
    <m/>
    <m/>
    <m/>
    <m/>
    <m/>
  </r>
  <r>
    <s v="T001732"/>
    <s v="Alejandro Cano"/>
    <s v="RETAIL"/>
    <x v="21"/>
    <x v="8"/>
    <e v="#NAME?"/>
    <s v="NOSDA $ BAU (Mantenimiento y peq. evolutivos)"/>
    <n v="1"/>
    <x v="3"/>
    <x v="5"/>
    <m/>
    <e v="#NAME?"/>
    <e v="#NAME?"/>
    <e v="#NAME?"/>
    <m/>
    <m/>
    <m/>
    <m/>
    <m/>
    <m/>
  </r>
  <r>
    <s v="T006644"/>
    <s v="Rafael Bonet"/>
    <s v="RETAIL"/>
    <x v="21"/>
    <x v="12"/>
    <e v="#NAME?"/>
    <s v="NOSDA $ BAU (Mantenimiento y peq. evolutivos)"/>
    <n v="1"/>
    <x v="3"/>
    <x v="1"/>
    <m/>
    <e v="#NAME?"/>
    <e v="#NAME?"/>
    <e v="#NAME?"/>
    <m/>
    <m/>
    <m/>
    <m/>
    <m/>
    <m/>
  </r>
  <r>
    <s v="T006637"/>
    <s v="Jhonathan Medina"/>
    <s v="RETAIL"/>
    <x v="21"/>
    <x v="12"/>
    <e v="#NAME?"/>
    <s v="NOSDA $ BAU (Mantenimiento y peq. evolutivos)"/>
    <n v="1"/>
    <x v="3"/>
    <x v="1"/>
    <m/>
    <e v="#NAME?"/>
    <e v="#NAME?"/>
    <e v="#NAME?"/>
    <m/>
    <m/>
    <m/>
    <m/>
    <m/>
    <m/>
  </r>
  <r>
    <s v="T001731"/>
    <s v="John Zamora"/>
    <s v="RETAIL"/>
    <x v="21"/>
    <x v="8"/>
    <e v="#NAME?"/>
    <s v="NOSDA $ BAU (Mantenimiento y peq. evolutivos)"/>
    <n v="1"/>
    <x v="3"/>
    <x v="5"/>
    <m/>
    <e v="#NAME?"/>
    <e v="#NAME?"/>
    <e v="#NAME?"/>
    <m/>
    <m/>
    <m/>
    <m/>
    <m/>
    <m/>
  </r>
  <r>
    <s v="CE67183"/>
    <s v="ALEXIS A GONZALEZ LANCHEROS"/>
    <s v="RETAIL"/>
    <x v="22"/>
    <x v="1"/>
    <e v="#NAME?"/>
    <s v="SDATOOL-41709 $ Fraccionamiento de transacciones en CBs"/>
    <n v="0.2"/>
    <x v="2"/>
    <x v="1"/>
    <m/>
    <e v="#NAME?"/>
    <e v="#NAME?"/>
    <e v="#NAME?"/>
    <m/>
    <m/>
    <m/>
    <m/>
    <m/>
    <m/>
  </r>
  <r>
    <s v="CE67183"/>
    <s v="ALEXIS A GONZALEZ LANCHEROS"/>
    <s v="RETAIL"/>
    <x v="22"/>
    <x v="1"/>
    <e v="#NAME?"/>
    <s v="SDATOOL-39871 $ Cbs Gelsa Paga todo"/>
    <n v="0.4"/>
    <x v="2"/>
    <x v="1"/>
    <m/>
    <e v="#NAME?"/>
    <e v="#NAME?"/>
    <e v="#NAME?"/>
    <m/>
    <m/>
    <m/>
    <m/>
    <m/>
    <m/>
  </r>
  <r>
    <s v="CE67183"/>
    <s v="ALEXIS A GONZALEZ LANCHEROS"/>
    <s v="RETAIL"/>
    <x v="22"/>
    <x v="1"/>
    <e v="#NAME?"/>
    <s v="SDATOOL-40581 $ Corresponsal Bancario Ya Ganaste"/>
    <n v="0.4"/>
    <x v="2"/>
    <x v="1"/>
    <m/>
    <e v="#NAME?"/>
    <e v="#NAME?"/>
    <e v="#NAME?"/>
    <m/>
    <m/>
    <m/>
    <m/>
    <m/>
    <m/>
  </r>
  <r>
    <s v="C804644"/>
    <s v="ANDRES FELIPE CALDERÓN NOVOA"/>
    <s v="RETAIL"/>
    <x v="23"/>
    <x v="0"/>
    <e v="#NAME?"/>
    <s v="SDATOOL-41706 $ Renovación ATMs 2023"/>
    <n v="0.5"/>
    <x v="0"/>
    <x v="3"/>
    <m/>
    <e v="#NAME?"/>
    <e v="#NAME?"/>
    <e v="#NAME?"/>
    <m/>
    <m/>
    <m/>
    <m/>
    <m/>
    <m/>
  </r>
  <r>
    <s v="C804644"/>
    <s v="ANDRES FELIPE CALDERÓN NOVOA"/>
    <s v="RETAIL"/>
    <x v="23"/>
    <x v="0"/>
    <e v="#NAME?"/>
    <s v="SDATOOL-33947 $ Sinergias Bancamia"/>
    <n v="0.5"/>
    <x v="0"/>
    <x v="3"/>
    <m/>
    <e v="#NAME?"/>
    <e v="#NAME?"/>
    <e v="#NAME?"/>
    <m/>
    <m/>
    <m/>
    <m/>
    <m/>
    <m/>
  </r>
  <r>
    <s v="CE60329"/>
    <s v="ANDRÉS FELIPE MORA SANTANA"/>
    <s v="RETAIL"/>
    <x v="24"/>
    <x v="6"/>
    <e v="#NAME?"/>
    <s v="SDATOOL-39870 $ Front - Unificación de pantallas Contac Center"/>
    <n v="1"/>
    <x v="0"/>
    <x v="5"/>
    <m/>
    <e v="#NAME?"/>
    <e v="#NAME?"/>
    <e v="#NAME?"/>
    <m/>
    <m/>
    <m/>
    <m/>
    <m/>
    <m/>
  </r>
  <r>
    <s v="C804832"/>
    <s v="ANTONY SUICA CUARTAS"/>
    <s v="RETAIL"/>
    <x v="23"/>
    <x v="0"/>
    <e v="#NAME?"/>
    <s v="SDATOOL-33947 $ Sinergias Bancamia"/>
    <n v="0.05"/>
    <x v="0"/>
    <x v="3"/>
    <m/>
    <e v="#NAME?"/>
    <e v="#NAME?"/>
    <e v="#NAME?"/>
    <m/>
    <m/>
    <m/>
    <m/>
    <m/>
    <m/>
  </r>
  <r>
    <s v="C804832"/>
    <s v="ANTONY SUICA CUARTAS"/>
    <s v="RETAIL"/>
    <x v="23"/>
    <x v="0"/>
    <e v="#NAME?"/>
    <s v="SDATOOL-41706 $ Renovación ATMs 2023"/>
    <n v="0.8"/>
    <x v="0"/>
    <x v="0"/>
    <s v="SW JAM"/>
    <e v="#NAME?"/>
    <e v="#NAME?"/>
    <e v="#NAME?"/>
    <m/>
    <m/>
    <m/>
    <m/>
    <m/>
    <m/>
  </r>
  <r>
    <s v="C804832"/>
    <s v="ANTONY SUICA CUARTAS"/>
    <s v="RETAIL"/>
    <x v="23"/>
    <x v="0"/>
    <e v="#NAME?"/>
    <s v="NOSDA $ BAU (Mantenimiento y peq. evolutivos)"/>
    <n v="0.15"/>
    <x v="0"/>
    <x v="0"/>
    <s v="SW JAM, ASO, COBOL"/>
    <e v="#NAME?"/>
    <e v="#NAME?"/>
    <e v="#NAME?"/>
    <m/>
    <m/>
    <m/>
    <m/>
    <m/>
    <m/>
  </r>
  <r>
    <s v="O002934"/>
    <s v="BRIAN MAURICIO TEJEDOR VARGAS"/>
    <s v="RETAIL"/>
    <x v="25"/>
    <x v="0"/>
    <e v="#NAME?"/>
    <s v="NOSDA $ BAU (Mantenimiento y peq. evolutivos)"/>
    <n v="0.6"/>
    <x v="0"/>
    <x v="0"/>
    <s v="RPA Blue Prims"/>
    <e v="#NAME?"/>
    <e v="#NAME?"/>
    <e v="#NAME?"/>
    <m/>
    <m/>
    <m/>
    <m/>
    <m/>
    <m/>
  </r>
  <r>
    <s v="O002934"/>
    <s v="BRIAN MAURICIO TEJEDOR VARGAS"/>
    <s v="RETAIL"/>
    <x v="25"/>
    <x v="0"/>
    <e v="#NAME?"/>
    <s v="SDATOOL-40529 $ Aplicativos Finanzas - 2023"/>
    <n v="0.4"/>
    <x v="0"/>
    <x v="0"/>
    <s v="RPA Blue Prims"/>
    <e v="#NAME?"/>
    <e v="#NAME?"/>
    <e v="#NAME?"/>
    <m/>
    <m/>
    <m/>
    <m/>
    <m/>
    <m/>
  </r>
  <r>
    <s v="CE51863"/>
    <s v="EDNA ROCIO MONCADA"/>
    <s v="RETAIL"/>
    <x v="23"/>
    <x v="2"/>
    <e v="#NAME?"/>
    <s v="NOSDA $ BAU (Mantenimiento y peq. evolutivos)"/>
    <n v="0.02"/>
    <x v="2"/>
    <x v="1"/>
    <m/>
    <e v="#NAME?"/>
    <e v="#NAME?"/>
    <e v="#NAME?"/>
    <m/>
    <m/>
    <m/>
    <m/>
    <m/>
    <m/>
  </r>
  <r>
    <s v="CE51863"/>
    <s v="EDNA ROCIO MONCADA"/>
    <s v="RETAIL"/>
    <x v="22"/>
    <x v="2"/>
    <e v="#NAME?"/>
    <s v="NOSDA $ BAU (Mantenimiento y peq. evolutivos)"/>
    <n v="0.02"/>
    <x v="2"/>
    <x v="1"/>
    <m/>
    <e v="#NAME?"/>
    <e v="#NAME?"/>
    <e v="#NAME?"/>
    <m/>
    <m/>
    <m/>
    <m/>
    <m/>
    <m/>
  </r>
  <r>
    <s v="CE51863"/>
    <s v="EDNA ROCIO MONCADA"/>
    <s v="RETAIL"/>
    <x v="25"/>
    <x v="2"/>
    <e v="#NAME?"/>
    <s v="NOSDA $ BAU (Mantenimiento y peq. evolutivos)"/>
    <n v="0.02"/>
    <x v="2"/>
    <x v="1"/>
    <m/>
    <e v="#NAME?"/>
    <e v="#NAME?"/>
    <e v="#NAME?"/>
    <m/>
    <m/>
    <m/>
    <m/>
    <m/>
    <m/>
  </r>
  <r>
    <s v="CE51863"/>
    <s v="EDNA ROCIO MONCADA"/>
    <s v="RETAIL"/>
    <x v="24"/>
    <x v="2"/>
    <e v="#NAME?"/>
    <s v="NOSDA $ BAU (Mantenimiento y peq. evolutivos)"/>
    <n v="0.02"/>
    <x v="2"/>
    <x v="1"/>
    <m/>
    <e v="#NAME?"/>
    <e v="#NAME?"/>
    <e v="#NAME?"/>
    <m/>
    <m/>
    <m/>
    <m/>
    <m/>
    <m/>
  </r>
  <r>
    <s v="CE51863"/>
    <s v="EDNA ROCIO MONCADA"/>
    <s v="RETAIL"/>
    <x v="23"/>
    <x v="2"/>
    <e v="#NAME?"/>
    <s v="SDATOOL-32991 $ Comisión de Acceso a ATM's"/>
    <n v="0.02"/>
    <x v="2"/>
    <x v="1"/>
    <m/>
    <e v="#NAME?"/>
    <e v="#NAME?"/>
    <e v="#NAME?"/>
    <m/>
    <m/>
    <m/>
    <m/>
    <m/>
    <m/>
  </r>
  <r>
    <s v="CE51863"/>
    <s v="EDNA ROCIO MONCADA"/>
    <s v="RETAIL"/>
    <x v="23"/>
    <x v="2"/>
    <e v="#NAME?"/>
    <s v="SDATOOL-40515 $ Acción de auditoria de Cobro de Comisiones"/>
    <n v="0.02"/>
    <x v="2"/>
    <x v="1"/>
    <m/>
    <e v="#NAME?"/>
    <e v="#NAME?"/>
    <e v="#NAME?"/>
    <m/>
    <m/>
    <m/>
    <m/>
    <m/>
    <m/>
  </r>
  <r>
    <s v="CE51863"/>
    <s v="EDNA ROCIO MONCADA"/>
    <s v="RETAIL"/>
    <x v="24"/>
    <x v="2"/>
    <e v="#NAME?"/>
    <s v="SDATOOL-37100 $ Soluciones de voz/Internalización del IVR - Plan Ascenso Privado"/>
    <n v="0.02"/>
    <x v="2"/>
    <x v="1"/>
    <m/>
    <e v="#NAME?"/>
    <e v="#NAME?"/>
    <e v="#NAME?"/>
    <m/>
    <m/>
    <m/>
    <m/>
    <m/>
    <m/>
  </r>
  <r>
    <s v="CE51863"/>
    <s v="EDNA ROCIO MONCADA"/>
    <s v="RETAIL"/>
    <x v="24"/>
    <x v="2"/>
    <e v="#NAME?"/>
    <s v="SDATOOL-39870 $ Front - Unificación de pantallas Contac Center"/>
    <n v="0.02"/>
    <x v="2"/>
    <x v="1"/>
    <m/>
    <e v="#NAME?"/>
    <e v="#NAME?"/>
    <e v="#NAME?"/>
    <m/>
    <m/>
    <m/>
    <m/>
    <m/>
    <m/>
  </r>
  <r>
    <s v="CE51863"/>
    <s v="EDNA ROCIO MONCADA"/>
    <s v="RETAIL"/>
    <x v="22"/>
    <x v="2"/>
    <e v="#NAME?"/>
    <s v="SDATOOL-33947 $ Sinergias Bancamia"/>
    <n v="0.02"/>
    <x v="2"/>
    <x v="1"/>
    <m/>
    <e v="#NAME?"/>
    <e v="#NAME?"/>
    <e v="#NAME?"/>
    <m/>
    <m/>
    <m/>
    <m/>
    <m/>
    <m/>
  </r>
  <r>
    <s v="CE51863"/>
    <s v="EDNA ROCIO MONCADA"/>
    <s v="RETAIL"/>
    <x v="22"/>
    <x v="2"/>
    <e v="#NAME?"/>
    <s v="SDATOOL-39871 $ Cbs Gelsa Paga todo"/>
    <n v="0.02"/>
    <x v="2"/>
    <x v="1"/>
    <m/>
    <e v="#NAME?"/>
    <e v="#NAME?"/>
    <e v="#NAME?"/>
    <m/>
    <m/>
    <m/>
    <m/>
    <m/>
    <m/>
  </r>
  <r>
    <s v="CE51863"/>
    <s v="EDNA ROCIO MONCADA"/>
    <s v="RETAIL"/>
    <x v="22"/>
    <x v="2"/>
    <e v="#NAME?"/>
    <s v="SDATOOL-40581 $ Corresponsal Bancario Ya Ganaste"/>
    <n v="0.02"/>
    <x v="2"/>
    <x v="1"/>
    <m/>
    <e v="#NAME?"/>
    <e v="#NAME?"/>
    <e v="#NAME?"/>
    <m/>
    <m/>
    <m/>
    <m/>
    <m/>
    <m/>
  </r>
  <r>
    <s v="CE51863"/>
    <s v="EDNA ROCIO MONCADA"/>
    <s v="RETAIL"/>
    <x v="22"/>
    <x v="2"/>
    <e v="#NAME?"/>
    <s v="SDATOOL-41709 $ Fraccionamiento de transacciones en CBs"/>
    <n v="0.02"/>
    <x v="2"/>
    <x v="1"/>
    <m/>
    <e v="#NAME?"/>
    <e v="#NAME?"/>
    <e v="#NAME?"/>
    <m/>
    <m/>
    <m/>
    <m/>
    <m/>
    <m/>
  </r>
  <r>
    <s v="C811170"/>
    <s v="CRISTIAN ANDREY ANTOLINEZ BOHORQUEZ"/>
    <s v="RETAIL"/>
    <x v="24"/>
    <x v="0"/>
    <e v="#NAME?"/>
    <s v="SDATOOL-37100 $ Soluciones de voz/Internalización del IVR - Plan Ascenso Privado"/>
    <n v="1"/>
    <x v="0"/>
    <x v="0"/>
    <s v="SW Genesys"/>
    <e v="#NAME?"/>
    <e v="#NAME?"/>
    <e v="#NAME?"/>
    <m/>
    <m/>
    <m/>
    <m/>
    <m/>
    <m/>
  </r>
  <r>
    <s v="O003245"/>
    <s v="CRISTIAN RENE MENDEZ"/>
    <s v="RETAIL"/>
    <x v="23"/>
    <x v="0"/>
    <e v="#NAME?"/>
    <s v="NOSDA $ BAU (Mantenimiento y peq. evolutivos)"/>
    <n v="0.7"/>
    <x v="1"/>
    <x v="1"/>
    <m/>
    <e v="#NAME?"/>
    <e v="#NAME?"/>
    <e v="#NAME?"/>
    <m/>
    <m/>
    <m/>
    <m/>
    <m/>
    <m/>
  </r>
  <r>
    <s v="O003245"/>
    <s v="CRISTIAN RENE MENDEZ"/>
    <s v="RETAIL"/>
    <x v="23"/>
    <x v="0"/>
    <e v="#NAME?"/>
    <s v="SDATOOL-40515 $ Acción de auditoria de Cobro de Comisiones"/>
    <n v="0.1"/>
    <x v="1"/>
    <x v="1"/>
    <m/>
    <e v="#NAME?"/>
    <e v="#NAME?"/>
    <e v="#NAME?"/>
    <m/>
    <m/>
    <m/>
    <m/>
    <m/>
    <m/>
  </r>
  <r>
    <s v="O003245"/>
    <s v="CRISTIAN RENE MENDEZ"/>
    <s v="RETAIL"/>
    <x v="24"/>
    <x v="0"/>
    <e v="#NAME?"/>
    <s v="SDATOOL-37100 $ Soluciones de voz/Internalización del IVR - Plan Ascenso Privado"/>
    <n v="0.1"/>
    <x v="1"/>
    <x v="1"/>
    <m/>
    <e v="#NAME?"/>
    <e v="#NAME?"/>
    <e v="#NAME?"/>
    <m/>
    <m/>
    <m/>
    <m/>
    <m/>
    <m/>
  </r>
  <r>
    <s v="O003245"/>
    <s v="CRISTIAN RENE MENDEZ"/>
    <s v="RETAIL"/>
    <x v="24"/>
    <x v="0"/>
    <e v="#NAME?"/>
    <s v="SDATOOL-39870 $ Front - Unificación de pantallas Contac Center"/>
    <n v="0.1"/>
    <x v="1"/>
    <x v="1"/>
    <m/>
    <e v="#NAME?"/>
    <e v="#NAME?"/>
    <e v="#NAME?"/>
    <m/>
    <m/>
    <m/>
    <m/>
    <m/>
    <m/>
  </r>
  <r>
    <s v="C342547"/>
    <s v="DAVID LEONARDO OBANDO CORTÉS"/>
    <s v="RETAIL"/>
    <x v="23"/>
    <x v="0"/>
    <e v="#NAME?"/>
    <s v="NOSDA $ BAU (Mantenimiento y peq. evolutivos)"/>
    <n v="0.25"/>
    <x v="0"/>
    <x v="2"/>
    <m/>
    <e v="#NAME?"/>
    <e v="#NAME?"/>
    <e v="#NAME?"/>
    <m/>
    <m/>
    <m/>
    <m/>
    <m/>
    <m/>
  </r>
  <r>
    <s v="C342547"/>
    <s v="DAVID LEONARDO OBANDO CORTÉS"/>
    <s v="RETAIL"/>
    <x v="23"/>
    <x v="0"/>
    <e v="#NAME?"/>
    <s v="SDATOOL-40515 $ Acción de auditoria de Cobro de Comisiones"/>
    <n v="0.75"/>
    <x v="0"/>
    <x v="2"/>
    <m/>
    <e v="#NAME?"/>
    <e v="#NAME?"/>
    <e v="#NAME?"/>
    <m/>
    <m/>
    <m/>
    <m/>
    <m/>
    <m/>
  </r>
  <r>
    <s v="CE59507"/>
    <s v="DAVID RODRIGUEZ RANGEL"/>
    <s v="RETAIL"/>
    <x v="23"/>
    <x v="5"/>
    <e v="#NAME?"/>
    <s v="SDATOOL-40515 $ Acción de auditoria de Cobro de Comisiones"/>
    <n v="1"/>
    <x v="0"/>
    <x v="0"/>
    <m/>
    <e v="#NAME?"/>
    <e v="#NAME?"/>
    <e v="#NAME?"/>
    <m/>
    <m/>
    <m/>
    <m/>
    <m/>
    <m/>
  </r>
  <r>
    <s v="C809616"/>
    <s v="DIEGO FERNANDO MONTEALEGRE ROZO"/>
    <s v="RETAIL"/>
    <x v="22"/>
    <x v="0"/>
    <e v="#NAME?"/>
    <s v="NOSDA $ BAU (Mantenimiento y peq. evolutivos)"/>
    <n v="0.25"/>
    <x v="0"/>
    <x v="0"/>
    <s v="DataPower"/>
    <e v="#NAME?"/>
    <e v="#NAME?"/>
    <e v="#NAME?"/>
    <m/>
    <m/>
    <m/>
    <m/>
    <m/>
    <m/>
  </r>
  <r>
    <s v="C809616"/>
    <s v="DIEGO FERNANDO MONTEALEGRE ROZO"/>
    <s v="RETAIL"/>
    <x v="22"/>
    <x v="0"/>
    <e v="#NAME?"/>
    <s v="SDATOOL-40581 $ Corresponsal Bancario Ya Ganaste"/>
    <n v="0.75"/>
    <x v="0"/>
    <x v="0"/>
    <s v="DataPower"/>
    <e v="#NAME?"/>
    <e v="#NAME?"/>
    <e v="#NAME?"/>
    <m/>
    <m/>
    <m/>
    <m/>
    <m/>
    <m/>
  </r>
  <r>
    <s v="C810674"/>
    <s v="EDWIN ARMANDO CASTRO MARTIN"/>
    <s v="RETAIL"/>
    <x v="24"/>
    <x v="0"/>
    <e v="#NAME?"/>
    <s v="SDATOOL-39870 $ Front - Unificación de pantallas Contac Center"/>
    <n v="1"/>
    <x v="0"/>
    <x v="5"/>
    <m/>
    <e v="#NAME?"/>
    <e v="#NAME?"/>
    <e v="#NAME?"/>
    <m/>
    <m/>
    <m/>
    <m/>
    <m/>
    <m/>
  </r>
  <r>
    <s v="C803039"/>
    <s v="EVELIN LORENA PEDRAZA ROMERO"/>
    <s v="RETAIL"/>
    <x v="22"/>
    <x v="0"/>
    <e v="#NAME?"/>
    <s v="NOSDA $ BAU (Mantenimiento y peq. evolutivos)"/>
    <n v="0.5"/>
    <x v="0"/>
    <x v="3"/>
    <m/>
    <e v="#NAME?"/>
    <e v="#NAME?"/>
    <e v="#NAME?"/>
    <m/>
    <m/>
    <m/>
    <m/>
    <m/>
    <m/>
  </r>
  <r>
    <s v="C803039"/>
    <s v="EVELIN LORENA PEDRAZA ROMERO"/>
    <s v="RETAIL"/>
    <x v="22"/>
    <x v="0"/>
    <e v="#NAME?"/>
    <s v="SDATOOL-41709 $ Fraccionamiento de transacciones en CBs"/>
    <n v="0.5"/>
    <x v="0"/>
    <x v="2"/>
    <m/>
    <e v="#NAME?"/>
    <e v="#NAME?"/>
    <e v="#NAME?"/>
    <m/>
    <m/>
    <m/>
    <m/>
    <m/>
    <m/>
  </r>
  <r>
    <s v="CE70580"/>
    <s v="FABIAN ARTURO RAMIREZ BROCHE"/>
    <s v="RETAIL"/>
    <x v="25"/>
    <x v="5"/>
    <e v="#NAME?"/>
    <s v="NOSDA $ BAU (Mantenimiento y peq. evolutivos)"/>
    <n v="1"/>
    <x v="0"/>
    <x v="0"/>
    <s v="RPA Blue Prims"/>
    <e v="#NAME?"/>
    <e v="#NAME?"/>
    <e v="#NAME?"/>
    <m/>
    <m/>
    <m/>
    <m/>
    <m/>
    <m/>
  </r>
  <r>
    <s v="C804602"/>
    <s v="JOAN DE JESUS SANCHEZ CANDANOZA"/>
    <s v="RETAIL"/>
    <x v="25"/>
    <x v="0"/>
    <e v="#NAME?"/>
    <s v="NOSDA $ BAU (Mantenimiento y peq. evolutivos)"/>
    <n v="1"/>
    <x v="0"/>
    <x v="0"/>
    <s v="RPA Blue Prims"/>
    <e v="#NAME?"/>
    <e v="#NAME?"/>
    <e v="#NAME?"/>
    <m/>
    <m/>
    <m/>
    <m/>
    <m/>
    <m/>
  </r>
  <r>
    <s v="CE70183"/>
    <s v="JOEL ANDRÉS CANTILLO NIETO"/>
    <s v="RETAIL"/>
    <x v="24"/>
    <x v="9"/>
    <e v="#NAME?"/>
    <s v="SDATOOL-37100 $ Soluciones de voz/Internalización del IVR - Plan Ascenso Privado"/>
    <n v="1"/>
    <x v="0"/>
    <x v="2"/>
    <m/>
    <e v="#NAME?"/>
    <e v="#NAME?"/>
    <e v="#NAME?"/>
    <m/>
    <m/>
    <m/>
    <m/>
    <m/>
    <m/>
  </r>
  <r>
    <s v="C805564"/>
    <s v="JOHN JAIRO CARDENAS SANABRIA"/>
    <s v="RETAIL"/>
    <x v="22"/>
    <x v="0"/>
    <e v="#NAME?"/>
    <s v="SDATOOL-39871 $ Cbs Gelsa Paga todo"/>
    <n v="0.6"/>
    <x v="0"/>
    <x v="2"/>
    <m/>
    <e v="#NAME?"/>
    <e v="#NAME?"/>
    <e v="#NAME?"/>
    <m/>
    <m/>
    <m/>
    <m/>
    <m/>
    <m/>
  </r>
  <r>
    <s v="C805564"/>
    <s v="JOHN JAIRO CARDENAS SANABRIA"/>
    <s v="RETAIL"/>
    <x v="22"/>
    <x v="0"/>
    <e v="#NAME?"/>
    <s v="NOSDA $ BAU (Mantenimiento y peq. evolutivos)"/>
    <n v="0.1"/>
    <x v="0"/>
    <x v="0"/>
    <m/>
    <e v="#NAME?"/>
    <e v="#NAME?"/>
    <e v="#NAME?"/>
    <m/>
    <m/>
    <m/>
    <m/>
    <m/>
    <m/>
  </r>
  <r>
    <s v="C805564"/>
    <s v="JOHN JAIRO CARDENAS SANABRIA"/>
    <s v="RETAIL"/>
    <x v="22"/>
    <x v="0"/>
    <e v="#NAME?"/>
    <s v="SDATOOL-40581 $ Corresponsal Bancario Ya Ganaste"/>
    <n v="0.3"/>
    <x v="0"/>
    <x v="2"/>
    <m/>
    <e v="#NAME?"/>
    <e v="#NAME?"/>
    <e v="#NAME?"/>
    <m/>
    <m/>
    <m/>
    <m/>
    <m/>
    <m/>
  </r>
  <r>
    <s v="C810669"/>
    <s v="JORGE ANDRES MANRIQUE MARTINEZ"/>
    <s v="RETAIL"/>
    <x v="24"/>
    <x v="0"/>
    <e v="#NAME?"/>
    <s v="SDATOOL-37100 $ Soluciones de voz/Internalización del IVR - Plan Ascenso Privado"/>
    <n v="1"/>
    <x v="0"/>
    <x v="3"/>
    <m/>
    <e v="#NAME?"/>
    <e v="#NAME?"/>
    <e v="#NAME?"/>
    <m/>
    <m/>
    <m/>
    <m/>
    <m/>
    <m/>
  </r>
  <r>
    <s v="O002469"/>
    <s v="JOSE AGUSTIN PALOMINO PARDO"/>
    <s v="RETAIL"/>
    <x v="22"/>
    <x v="0"/>
    <e v="#NAME?"/>
    <s v="NOSDA $ BAU (Mantenimiento y peq. evolutivos)"/>
    <n v="1"/>
    <x v="0"/>
    <x v="3"/>
    <m/>
    <e v="#NAME?"/>
    <e v="#NAME?"/>
    <e v="#NAME?"/>
    <m/>
    <m/>
    <m/>
    <m/>
    <m/>
    <m/>
  </r>
  <r>
    <s v="O003310"/>
    <s v="KAREN MARGARITA ARENILLA TRIGOS"/>
    <s v="RETAIL"/>
    <x v="22"/>
    <x v="0"/>
    <e v="#NAME?"/>
    <s v="NOSDA $ BAU (Mantenimiento y peq. evolutivos)"/>
    <n v="1"/>
    <x v="0"/>
    <x v="4"/>
    <s v="ASO/APX"/>
    <e v="#NAME?"/>
    <e v="#NAME?"/>
    <e v="#NAME?"/>
    <m/>
    <m/>
    <m/>
    <m/>
    <m/>
    <m/>
  </r>
  <r>
    <s v="O002599"/>
    <s v="LAURA VALENTINA SANDOVAL MARIN"/>
    <s v="RETAIL"/>
    <x v="24"/>
    <x v="0"/>
    <e v="#NAME?"/>
    <s v="SDATOOL-37100 $ Soluciones de voz/Internalización del IVR - Plan Ascenso Privado"/>
    <n v="1"/>
    <x v="0"/>
    <x v="3"/>
    <m/>
    <e v="#NAME?"/>
    <e v="#NAME?"/>
    <e v="#NAME?"/>
    <m/>
    <m/>
    <m/>
    <m/>
    <m/>
    <m/>
  </r>
  <r>
    <s v="C808303"/>
    <s v="MARIA CAMILA BUITRAGO"/>
    <s v="RETAIL"/>
    <x v="22"/>
    <x v="0"/>
    <e v="#NAME?"/>
    <s v="NOSDA $ BAU (Mantenimiento y peq. evolutivos)"/>
    <n v="0.7"/>
    <x v="1"/>
    <x v="1"/>
    <m/>
    <e v="#NAME?"/>
    <e v="#NAME?"/>
    <e v="#NAME?"/>
    <m/>
    <m/>
    <m/>
    <m/>
    <m/>
    <m/>
  </r>
  <r>
    <s v="C808303"/>
    <s v="MARIA CAMILA BUITRAGO"/>
    <s v="RETAIL"/>
    <x v="22"/>
    <x v="0"/>
    <e v="#NAME?"/>
    <s v="SDATOOL-33947 $ Sinergias Bancamia"/>
    <n v="0.1"/>
    <x v="1"/>
    <x v="1"/>
    <m/>
    <e v="#NAME?"/>
    <e v="#NAME?"/>
    <e v="#NAME?"/>
    <m/>
    <m/>
    <m/>
    <m/>
    <m/>
    <m/>
  </r>
  <r>
    <s v="C808303"/>
    <s v="MARIA CAMILA BUITRAGO"/>
    <s v="RETAIL"/>
    <x v="22"/>
    <x v="0"/>
    <e v="#NAME?"/>
    <s v="SDATOOL-39871 $ Cbs Gelsa Paga todo"/>
    <n v="0.05"/>
    <x v="1"/>
    <x v="1"/>
    <m/>
    <e v="#NAME?"/>
    <e v="#NAME?"/>
    <e v="#NAME?"/>
    <m/>
    <m/>
    <m/>
    <m/>
    <m/>
    <m/>
  </r>
  <r>
    <s v="C808303"/>
    <s v="MARIA CAMILA BUITRAGO"/>
    <s v="RETAIL"/>
    <x v="22"/>
    <x v="0"/>
    <e v="#NAME?"/>
    <s v="SDATOOL-40581 $ Corresponsal Bancario Ya Ganaste"/>
    <n v="0.05"/>
    <x v="1"/>
    <x v="1"/>
    <m/>
    <e v="#NAME?"/>
    <e v="#NAME?"/>
    <e v="#NAME?"/>
    <m/>
    <m/>
    <m/>
    <m/>
    <m/>
    <m/>
  </r>
  <r>
    <s v="C808303"/>
    <s v="MARIA CAMILA BUITRAGO"/>
    <s v="RETAIL"/>
    <x v="22"/>
    <x v="0"/>
    <e v="#NAME?"/>
    <s v="SDATOOL-41709 $ Fraccionamiento de transacciones en CBs"/>
    <n v="0.05"/>
    <x v="1"/>
    <x v="1"/>
    <m/>
    <e v="#NAME?"/>
    <e v="#NAME?"/>
    <e v="#NAME?"/>
    <m/>
    <m/>
    <m/>
    <m/>
    <m/>
    <m/>
  </r>
  <r>
    <s v="C808303"/>
    <s v="MARIA CAMILA BUITRAGO"/>
    <s v="RETAIL"/>
    <x v="25"/>
    <x v="0"/>
    <e v="#NAME?"/>
    <s v="SDATOOL-40529 $ Aplicativos Finanzas - 2023"/>
    <n v="0.05"/>
    <x v="1"/>
    <x v="1"/>
    <m/>
    <e v="#NAME?"/>
    <e v="#NAME?"/>
    <e v="#NAME?"/>
    <m/>
    <m/>
    <m/>
    <m/>
    <m/>
    <m/>
  </r>
  <r>
    <s v="CE59254"/>
    <s v="MARLLY JAZMIN VARGAS GARZÓN"/>
    <s v="RETAIL"/>
    <x v="24"/>
    <x v="2"/>
    <e v="#NAME?"/>
    <s v="SDATOOL-39870 $ Front - Unificación de pantallas Contac Center"/>
    <n v="1"/>
    <x v="2"/>
    <x v="1"/>
    <m/>
    <e v="#NAME?"/>
    <e v="#NAME?"/>
    <e v="#NAME?"/>
    <m/>
    <m/>
    <m/>
    <m/>
    <m/>
    <m/>
  </r>
  <r>
    <s v="CE69603"/>
    <s v="MIGUEL ANGEL LUENGAS"/>
    <s v="RETAIL"/>
    <x v="23"/>
    <x v="1"/>
    <e v="#NAME?"/>
    <s v="SDATOOL-40515 $ Acción de auditoria de Cobro de Comisiones"/>
    <n v="1"/>
    <x v="2"/>
    <x v="1"/>
    <m/>
    <e v="#NAME?"/>
    <e v="#NAME?"/>
    <e v="#NAME?"/>
    <m/>
    <m/>
    <m/>
    <m/>
    <m/>
    <m/>
  </r>
  <r>
    <s v="T004574"/>
    <s v="NICOLÁS ENRIQUE BUITRAGO ARANGO"/>
    <s v="RETAIL"/>
    <x v="24"/>
    <x v="9"/>
    <e v="#NAME?"/>
    <s v="SDATOOL-39870 $ Front - Unificación de pantallas Contac Center"/>
    <n v="1"/>
    <x v="0"/>
    <x v="3"/>
    <m/>
    <e v="#NAME?"/>
    <e v="#NAME?"/>
    <e v="#NAME?"/>
    <m/>
    <m/>
    <m/>
    <m/>
    <m/>
    <m/>
  </r>
  <r>
    <s v="CE57586"/>
    <s v="OMAR ESTEBAN MATUK"/>
    <s v="RETAIL"/>
    <x v="22"/>
    <x v="9"/>
    <e v="#NAME?"/>
    <s v="SDATOOL-40581 $ Corresponsal Bancario Ya Ganaste"/>
    <n v="0.2"/>
    <x v="0"/>
    <x v="2"/>
    <m/>
    <e v="#NAME?"/>
    <e v="#NAME?"/>
    <e v="#NAME?"/>
    <m/>
    <m/>
    <m/>
    <m/>
    <m/>
    <m/>
  </r>
  <r>
    <s v="CE57586"/>
    <s v="OMAR ESTEBAN MATUK"/>
    <s v="RETAIL"/>
    <x v="22"/>
    <x v="9"/>
    <e v="#NAME?"/>
    <s v="SDATOOL-39871 $ Cbs Gelsa Paga todo"/>
    <n v="0.6"/>
    <x v="0"/>
    <x v="2"/>
    <m/>
    <e v="#NAME?"/>
    <e v="#NAME?"/>
    <e v="#NAME?"/>
    <m/>
    <m/>
    <m/>
    <m/>
    <m/>
    <m/>
  </r>
  <r>
    <s v="CE57586"/>
    <s v="OMAR ESTEBAN MATUK"/>
    <s v="RETAIL"/>
    <x v="22"/>
    <x v="9"/>
    <e v="#NAME?"/>
    <s v="SDATOOL-41709 $ Fraccionamiento de transacciones en CBs"/>
    <n v="0.2"/>
    <x v="0"/>
    <x v="2"/>
    <m/>
    <e v="#NAME?"/>
    <e v="#NAME?"/>
    <e v="#NAME?"/>
    <m/>
    <m/>
    <m/>
    <m/>
    <m/>
    <m/>
  </r>
  <r>
    <s v="CE59969"/>
    <s v="PABLO ANTONIO MARQUEZ"/>
    <s v="RETAIL"/>
    <x v="24"/>
    <x v="6"/>
    <e v="#NAME?"/>
    <s v="SDATOOL-39870 $ Front - Unificación de pantallas Contac Center"/>
    <n v="1"/>
    <x v="0"/>
    <x v="2"/>
    <m/>
    <e v="#NAME?"/>
    <e v="#NAME?"/>
    <e v="#NAME?"/>
    <m/>
    <m/>
    <m/>
    <m/>
    <m/>
    <m/>
  </r>
  <r>
    <s v="CE43579"/>
    <s v="PLINIO EDUARDO MARTINEZ ESPITIA"/>
    <s v="RETAIL"/>
    <x v="23"/>
    <x v="9"/>
    <e v="#NAME?"/>
    <s v="SDATOOL-9053 $ GloMo Colombia"/>
    <n v="0.1"/>
    <x v="2"/>
    <x v="1"/>
    <m/>
    <e v="#NAME?"/>
    <e v="#NAME?"/>
    <e v="#NAME?"/>
    <m/>
    <m/>
    <m/>
    <m/>
    <m/>
    <m/>
  </r>
  <r>
    <s v="CE43579"/>
    <s v="PLINIO EDUARDO MARTINEZ ESPITIA"/>
    <s v="RETAIL"/>
    <x v="23"/>
    <x v="9"/>
    <e v="#NAME?"/>
    <s v="SDATOOL-33947 $ Sinergias Bancamia"/>
    <n v="0.3"/>
    <x v="2"/>
    <x v="1"/>
    <m/>
    <e v="#NAME?"/>
    <e v="#NAME?"/>
    <e v="#NAME?"/>
    <m/>
    <m/>
    <m/>
    <m/>
    <m/>
    <m/>
  </r>
  <r>
    <s v="CE43579"/>
    <s v="PLINIO EDUARDO MARTINEZ ESPITIA"/>
    <s v="RETAIL"/>
    <x v="23"/>
    <x v="9"/>
    <e v="#NAME?"/>
    <s v="SDATOOL-41706 $ Renovación ATMs 2023"/>
    <n v="0.3"/>
    <x v="2"/>
    <x v="1"/>
    <m/>
    <e v="#NAME?"/>
    <e v="#NAME?"/>
    <e v="#NAME?"/>
    <m/>
    <m/>
    <m/>
    <m/>
    <m/>
    <m/>
  </r>
  <r>
    <s v="CE43579"/>
    <s v="PLINIO EDUARDO MARTINEZ ESPITIA"/>
    <s v="RETAIL"/>
    <x v="23"/>
    <x v="9"/>
    <e v="#NAME?"/>
    <s v="NOSDA $ BAU (Mantenimiento y peq. evolutivos)"/>
    <n v="0.3"/>
    <x v="2"/>
    <x v="1"/>
    <m/>
    <e v="#NAME?"/>
    <e v="#NAME?"/>
    <e v="#NAME?"/>
    <m/>
    <m/>
    <m/>
    <m/>
    <m/>
    <m/>
  </r>
  <r>
    <s v="C804684"/>
    <s v="WALTHER STIVENS ZAPATA TABERA"/>
    <s v="RETAIL"/>
    <x v="23"/>
    <x v="0"/>
    <e v="#NAME?"/>
    <s v="SDATOOL-33947 $ Sinergias Bancamia"/>
    <n v="0.5"/>
    <x v="0"/>
    <x v="2"/>
    <m/>
    <e v="#NAME?"/>
    <e v="#NAME?"/>
    <e v="#NAME?"/>
    <m/>
    <m/>
    <m/>
    <m/>
    <m/>
    <m/>
  </r>
  <r>
    <s v="C804684"/>
    <s v="WALTHER STIVENS ZAPATA TABERA"/>
    <s v="RETAIL"/>
    <x v="23"/>
    <x v="0"/>
    <e v="#NAME?"/>
    <s v="SDATOOL-41706 $ Renovación ATMs 2023"/>
    <n v="0.1"/>
    <x v="0"/>
    <x v="2"/>
    <m/>
    <e v="#NAME?"/>
    <e v="#NAME?"/>
    <e v="#NAME?"/>
    <m/>
    <m/>
    <m/>
    <m/>
    <m/>
    <m/>
  </r>
  <r>
    <s v="C804684"/>
    <s v="WALTHER STIVENS ZAPATA TABERA"/>
    <s v="RETAIL"/>
    <x v="23"/>
    <x v="0"/>
    <e v="#NAME?"/>
    <s v="NOSDA $ BAU (Mantenimiento y peq. evolutivos)"/>
    <n v="0.4"/>
    <x v="0"/>
    <x v="2"/>
    <m/>
    <e v="#NAME?"/>
    <e v="#NAME?"/>
    <e v="#NAME?"/>
    <m/>
    <m/>
    <m/>
    <m/>
    <m/>
    <m/>
  </r>
  <r>
    <s v="CE68929"/>
    <s v="YENIFER ARANGO TABARES"/>
    <s v="RETAIL"/>
    <x v="24"/>
    <x v="1"/>
    <e v="#NAME?"/>
    <s v="SDATOOL-37100 $ Soluciones de voz/Internalización del IVR - Plan Ascenso Privado"/>
    <n v="1"/>
    <x v="2"/>
    <x v="1"/>
    <m/>
    <e v="#NAME?"/>
    <e v="#NAME?"/>
    <e v="#NAME?"/>
    <m/>
    <m/>
    <m/>
    <m/>
    <m/>
    <m/>
  </r>
  <r>
    <s v="CE61162"/>
    <s v="JOSE ANTONIO PERFECTO"/>
    <s v="RETAIL"/>
    <x v="24"/>
    <x v="20"/>
    <e v="#NAME?"/>
    <s v="SDATOOL-37100 $ Soluciones de voz/Internalización del IVR - Plan Ascenso Privado"/>
    <n v="1"/>
    <x v="0"/>
    <x v="4"/>
    <m/>
    <e v="#NAME?"/>
    <e v="#NAME?"/>
    <e v="#NAME?"/>
    <m/>
    <m/>
    <m/>
    <m/>
    <m/>
    <m/>
  </r>
  <r>
    <s v="O004597"/>
    <s v="LUIS FELIPE VILLEGAS SANCHEZ"/>
    <s v="RETAIL"/>
    <x v="23"/>
    <x v="0"/>
    <e v="#NAME?"/>
    <s v="SDATOOL-41706 $ Renovación ATMs 2023"/>
    <n v="1"/>
    <x v="0"/>
    <x v="3"/>
    <m/>
    <e v="#NAME?"/>
    <e v="#NAME?"/>
    <e v="#NAME?"/>
    <m/>
    <m/>
    <m/>
    <m/>
    <m/>
    <m/>
  </r>
  <r>
    <s v="CE66885"/>
    <s v="ADRIAN ROJAS"/>
    <s v="CORE"/>
    <x v="11"/>
    <x v="16"/>
    <e v="#NAME?"/>
    <s v="SDATOOL-36556 $ Parthnerships - Tarjeta de crédito en punto de venta físico aliados"/>
    <n v="1"/>
    <x v="0"/>
    <x v="4"/>
    <m/>
    <e v="#NAME?"/>
    <e v="#NAME?"/>
    <e v="#NAME?"/>
    <m/>
    <m/>
    <m/>
    <m/>
    <m/>
    <n v="1"/>
  </r>
  <r>
    <s v="CE70173"/>
    <s v="ADRIANA MAYERLY RAMIREZ"/>
    <s v="CORE"/>
    <x v="11"/>
    <x v="1"/>
    <e v="#NAME?"/>
    <s v="SDATOOL-37057 $ Pagos QR - Entre cuentas Redeban - Plan Ascenso Mercurio"/>
    <n v="1"/>
    <x v="2"/>
    <x v="5"/>
    <m/>
    <e v="#NAME?"/>
    <e v="#NAME?"/>
    <e v="#NAME?"/>
    <m/>
    <m/>
    <m/>
    <m/>
    <m/>
    <n v="1"/>
  </r>
  <r>
    <s v="CE17710"/>
    <s v="ANDREA MARIETA LOPEZ PARRA."/>
    <s v="CORE"/>
    <x v="11"/>
    <x v="6"/>
    <e v="#NAME?"/>
    <s v="NOSDA $ BAU (Mantenimiento y peq. evolutivos)"/>
    <n v="1"/>
    <x v="0"/>
    <x v="2"/>
    <m/>
    <e v="#NAME?"/>
    <e v="#NAME?"/>
    <e v="#NAME?"/>
    <m/>
    <m/>
    <m/>
    <m/>
    <m/>
    <n v="1"/>
  </r>
  <r>
    <s v="T004480"/>
    <s v="ANDRES DAVID ARIAS"/>
    <s v="CORE"/>
    <x v="11"/>
    <x v="6"/>
    <e v="#NAME?"/>
    <s v="NOSDA $ BAU (Mantenimiento y peq. evolutivos)"/>
    <n v="1"/>
    <x v="0"/>
    <x v="2"/>
    <m/>
    <e v="#NAME?"/>
    <e v="#NAME?"/>
    <e v="#NAME?"/>
    <m/>
    <m/>
    <m/>
    <m/>
    <m/>
    <n v="1"/>
  </r>
  <r>
    <s v="C805316"/>
    <s v="ANGELA MARIA BENITEZ"/>
    <s v="CORE"/>
    <x v="11"/>
    <x v="0"/>
    <e v="#NAME?"/>
    <s v="SDATOOL-37061 $ Plan de Lealtad Comecios -Plan Ascenso Autónomos"/>
    <n v="1"/>
    <x v="0"/>
    <x v="2"/>
    <m/>
    <e v="#NAME?"/>
    <e v="#NAME?"/>
    <e v="#NAME?"/>
    <m/>
    <m/>
    <m/>
    <m/>
    <m/>
    <n v="1"/>
  </r>
  <r>
    <s v="C810793"/>
    <s v="CAMILO ERNESTO MUÑOZ LOVERA"/>
    <s v="CORE"/>
    <x v="11"/>
    <x v="0"/>
    <e v="#NAME?"/>
    <s v="SDATOOL-37061 $ Plan de Lealtad Comecios -Plan Ascenso Autónomos"/>
    <n v="1"/>
    <x v="0"/>
    <x v="3"/>
    <m/>
    <e v="#NAME?"/>
    <e v="#NAME?"/>
    <e v="#NAME?"/>
    <m/>
    <m/>
    <m/>
    <m/>
    <m/>
    <n v="1"/>
  </r>
  <r>
    <s v="C811175"/>
    <s v="CIRO ALONSO RINCON HERNANDEZ"/>
    <s v="CORE"/>
    <x v="11"/>
    <x v="0"/>
    <e v="#NAME?"/>
    <s v="SDATOOL-38447 $ GRM Col - Condonación y bajas automáticas en Medios de Pago"/>
    <n v="0.2"/>
    <x v="0"/>
    <x v="2"/>
    <m/>
    <e v="#NAME?"/>
    <e v="#NAME?"/>
    <e v="#NAME?"/>
    <m/>
    <m/>
    <m/>
    <m/>
    <m/>
    <n v="1"/>
  </r>
  <r>
    <s v="C811175"/>
    <s v="CIRO ALONSO RINCON HERNANDEZ"/>
    <s v="CORE"/>
    <x v="11"/>
    <x v="0"/>
    <e v="#NAME?"/>
    <s v="SDATOOL-40438 $ CIRCULAR 032 del 2021 - REQUERIMIENTO FISCALIA GENERAL DE LA NACION"/>
    <n v="0.2"/>
    <x v="0"/>
    <x v="2"/>
    <m/>
    <e v="#NAME?"/>
    <e v="#NAME?"/>
    <e v="#NAME?"/>
    <m/>
    <m/>
    <m/>
    <m/>
    <m/>
    <n v="0"/>
  </r>
  <r>
    <s v="CE46835"/>
    <s v="CLAUDIA PALENCIA"/>
    <s v="CORE"/>
    <x v="11"/>
    <x v="2"/>
    <e v="#NAME?"/>
    <s v="SDATOOL-36556 $ Parthnerships - Tarjeta de crédito en punto de venta físico aliados"/>
    <n v="0.2"/>
    <x v="2"/>
    <x v="7"/>
    <m/>
    <e v="#NAME?"/>
    <e v="#NAME?"/>
    <e v="#NAME?"/>
    <m/>
    <m/>
    <m/>
    <m/>
    <m/>
    <n v="1"/>
  </r>
  <r>
    <s v="CE46835"/>
    <s v="CLAUDIA PALENCIA"/>
    <s v="CORE"/>
    <x v="11"/>
    <x v="2"/>
    <e v="#NAME?"/>
    <s v="SDATOOL-37057 $ Pagos QR - Entre cuentas Redeban - Plan Ascenso Mercurio"/>
    <n v="0.5"/>
    <x v="2"/>
    <x v="2"/>
    <m/>
    <e v="#NAME?"/>
    <e v="#NAME?"/>
    <e v="#NAME?"/>
    <m/>
    <m/>
    <m/>
    <m/>
    <m/>
    <n v="0"/>
  </r>
  <r>
    <s v="CE46835"/>
    <s v="CLAUDIA PALENCIA"/>
    <s v="CORE"/>
    <x v="11"/>
    <x v="2"/>
    <e v="#NAME?"/>
    <s v="NOSDA $ BAU (Mantenimiento y peq. evolutivos)"/>
    <n v="0.3"/>
    <x v="2"/>
    <x v="6"/>
    <m/>
    <e v="#NAME?"/>
    <e v="#NAME?"/>
    <e v="#NAME?"/>
    <m/>
    <m/>
    <m/>
    <m/>
    <m/>
    <n v="0"/>
  </r>
  <r>
    <s v="CE69505"/>
    <s v="CLAUDIA YURANI TAQUEZ CHALAPUD"/>
    <s v="CORE"/>
    <x v="11"/>
    <x v="2"/>
    <e v="#NAME?"/>
    <s v="SDATOOL-36556 $ Parthnerships - Tarjeta de crédito en punto de venta físico aliados"/>
    <n v="0.2"/>
    <x v="2"/>
    <x v="2"/>
    <m/>
    <e v="#NAME?"/>
    <e v="#NAME?"/>
    <e v="#NAME?"/>
    <m/>
    <m/>
    <m/>
    <m/>
    <m/>
    <n v="1"/>
  </r>
  <r>
    <s v="CE69505"/>
    <s v="CLAUDIA YURANI TAQUEZ CHALAPUD"/>
    <s v="CORE"/>
    <x v="11"/>
    <x v="2"/>
    <e v="#NAME?"/>
    <s v="NOSDA $ BAU (Mantenimiento y peq. evolutivos)"/>
    <n v="0.3"/>
    <x v="2"/>
    <x v="2"/>
    <m/>
    <e v="#NAME?"/>
    <e v="#NAME?"/>
    <e v="#NAME?"/>
    <m/>
    <m/>
    <m/>
    <m/>
    <m/>
    <n v="0"/>
  </r>
  <r>
    <s v="CE69505"/>
    <s v="CLAUDIA YURANI TAQUEZ CHALAPUD"/>
    <s v="CORE"/>
    <x v="11"/>
    <x v="2"/>
    <e v="#NAME?"/>
    <s v="SDATOOL-37057 $ Pagos QR - Entre cuentas Redeban - Plan Ascenso Mercurio"/>
    <n v="0.5"/>
    <x v="2"/>
    <x v="2"/>
    <m/>
    <e v="#NAME?"/>
    <e v="#NAME?"/>
    <e v="#NAME?"/>
    <m/>
    <m/>
    <m/>
    <m/>
    <m/>
    <n v="0"/>
  </r>
  <r>
    <s v="O000988"/>
    <s v="CRISTIAN CAMILO RATIVA PARRA"/>
    <s v="CORE"/>
    <x v="11"/>
    <x v="0"/>
    <e v="#NAME?"/>
    <s v="SDATOOL-41757 $ AJUSTE AUTOMATIZACION CONCILIACION ARA"/>
    <n v="0.4"/>
    <x v="0"/>
    <x v="2"/>
    <m/>
    <e v="#NAME?"/>
    <e v="#NAME?"/>
    <e v="#NAME?"/>
    <m/>
    <m/>
    <m/>
    <m/>
    <m/>
    <n v="1"/>
  </r>
  <r>
    <s v="O000988"/>
    <s v="CRISTIAN CAMILO RATIVA PARRA"/>
    <s v="CORE"/>
    <x v="11"/>
    <x v="0"/>
    <e v="#NAME?"/>
    <s v="SDATOOL-41709 $ Fraccionamiento de transacciones en CBs"/>
    <n v="0.4"/>
    <x v="0"/>
    <x v="2"/>
    <m/>
    <e v="#NAME?"/>
    <e v="#NAME?"/>
    <e v="#NAME?"/>
    <m/>
    <m/>
    <m/>
    <m/>
    <m/>
    <n v="0"/>
  </r>
  <r>
    <s v="O000988"/>
    <s v="CRISTIAN CAMILO RATIVA PARRA"/>
    <s v="CORE"/>
    <x v="11"/>
    <x v="0"/>
    <e v="#NAME?"/>
    <s v="NOSDA $ BAU (Mantenimiento y peq. evolutivos)"/>
    <n v="0.2"/>
    <x v="0"/>
    <x v="2"/>
    <m/>
    <e v="#NAME?"/>
    <e v="#NAME?"/>
    <e v="#NAME?"/>
    <m/>
    <m/>
    <m/>
    <m/>
    <m/>
    <n v="0"/>
  </r>
  <r>
    <s v="C805861"/>
    <s v="DANIEL SANTIAGO JARAMILLO"/>
    <s v="CORE"/>
    <x v="11"/>
    <x v="0"/>
    <e v="#NAME?"/>
    <s v="SDATOOL-37057 $ Pagos QR - Entre cuentas Redeban - Plan Ascenso Mercurio"/>
    <n v="1"/>
    <x v="0"/>
    <x v="2"/>
    <m/>
    <e v="#NAME?"/>
    <e v="#NAME?"/>
    <e v="#NAME?"/>
    <m/>
    <m/>
    <m/>
    <m/>
    <m/>
    <n v="1"/>
  </r>
  <r>
    <s v="CE58194"/>
    <s v="DIANA MAYERLY RAMIREZ"/>
    <s v="CORE"/>
    <x v="11"/>
    <x v="5"/>
    <e v="#NAME?"/>
    <s v="SDATOOL-36556 $ Parthnerships - Tarjeta de crédito en punto de venta físico aliados"/>
    <n v="1"/>
    <x v="2"/>
    <x v="2"/>
    <m/>
    <e v="#NAME?"/>
    <e v="#NAME?"/>
    <e v="#NAME?"/>
    <m/>
    <m/>
    <m/>
    <m/>
    <m/>
    <n v="1"/>
  </r>
  <r>
    <s v="O001722"/>
    <s v="EDWARD ALEXANDER DUQUE TAMAYO"/>
    <s v="CORE"/>
    <x v="11"/>
    <x v="0"/>
    <e v="#NAME?"/>
    <s v="NOSDA $ BAU (Mantenimiento y peq. evolutivos)"/>
    <n v="1"/>
    <x v="0"/>
    <x v="2"/>
    <m/>
    <e v="#NAME?"/>
    <e v="#NAME?"/>
    <e v="#NAME?"/>
    <m/>
    <m/>
    <m/>
    <m/>
    <m/>
    <n v="1"/>
  </r>
  <r>
    <s v="C809504"/>
    <s v="ELIEZER JOSUE CONEO VEGA"/>
    <s v="CORE"/>
    <x v="11"/>
    <x v="0"/>
    <e v="#NAME?"/>
    <s v="SDATOOL-38447 $ GRM Col - Condonación y bajas automáticas en Medios de Pago"/>
    <n v="0.2"/>
    <x v="0"/>
    <x v="2"/>
    <m/>
    <e v="#NAME?"/>
    <e v="#NAME?"/>
    <e v="#NAME?"/>
    <m/>
    <m/>
    <m/>
    <m/>
    <m/>
    <n v="1"/>
  </r>
  <r>
    <s v="C809504"/>
    <s v="ELIEZER JOSUE CONEO VEGA"/>
    <s v="CORE"/>
    <x v="11"/>
    <x v="0"/>
    <e v="#NAME?"/>
    <s v="SDATOOL-33846 $ SREP Data Quality- BCBS239 - Colombia"/>
    <n v="0.6"/>
    <x v="0"/>
    <x v="2"/>
    <m/>
    <e v="#NAME?"/>
    <e v="#NAME?"/>
    <e v="#NAME?"/>
    <m/>
    <m/>
    <m/>
    <m/>
    <m/>
    <n v="0"/>
  </r>
  <r>
    <s v="C809504"/>
    <s v="ELIEZER JOSUE CONEO VEGA"/>
    <s v="CORE"/>
    <x v="11"/>
    <x v="0"/>
    <e v="#NAME?"/>
    <s v="NOSDA $ BAU (Mantenimiento y peq. evolutivos)"/>
    <n v="0.2"/>
    <x v="0"/>
    <x v="2"/>
    <m/>
    <e v="#NAME?"/>
    <e v="#NAME?"/>
    <e v="#NAME?"/>
    <m/>
    <m/>
    <m/>
    <m/>
    <m/>
    <n v="0"/>
  </r>
  <r>
    <s v="O000962"/>
    <s v="ELIZABETH  TRIANA PRIETO"/>
    <s v="CORE"/>
    <x v="11"/>
    <x v="0"/>
    <e v="#NAME?"/>
    <s v="SDATOOL-36556 $ Parthnerships - Tarjeta de crédito en punto de venta físico aliados"/>
    <n v="1"/>
    <x v="1"/>
    <x v="5"/>
    <m/>
    <e v="#NAME?"/>
    <e v="#NAME?"/>
    <e v="#NAME?"/>
    <m/>
    <m/>
    <m/>
    <m/>
    <m/>
    <n v="1"/>
  </r>
  <r>
    <s v="CE66884"/>
    <s v="FRANK HERRAN GARZON"/>
    <s v="CORE"/>
    <x v="11"/>
    <x v="16"/>
    <e v="#NAME?"/>
    <s v="SDATOOL-36556 $ Parthnerships - Tarjeta de crédito en punto de venta físico aliados"/>
    <n v="1"/>
    <x v="0"/>
    <x v="4"/>
    <m/>
    <e v="#NAME?"/>
    <e v="#NAME?"/>
    <e v="#NAME?"/>
    <m/>
    <m/>
    <m/>
    <m/>
    <m/>
    <n v="1"/>
  </r>
  <r>
    <s v="C810909"/>
    <s v="GUILIAN ANDREI TAFUR FUENTES"/>
    <s v="CORE"/>
    <x v="11"/>
    <x v="0"/>
    <e v="#NAME?"/>
    <s v="SDATOOL-37057 $ Pagos QR - Entre cuentas Redeban - Plan Ascenso Mercurio"/>
    <n v="1"/>
    <x v="0"/>
    <x v="4"/>
    <m/>
    <e v="#NAME?"/>
    <e v="#NAME?"/>
    <e v="#NAME?"/>
    <m/>
    <m/>
    <m/>
    <m/>
    <m/>
    <n v="1"/>
  </r>
  <r>
    <s v="T002223"/>
    <s v="HERMES FERNANDO AMARIS"/>
    <s v="CORE"/>
    <x v="11"/>
    <x v="2"/>
    <e v="#NAME?"/>
    <s v="NOSDA $ BAU (Mantenimiento y peq. evolutivos)"/>
    <n v="1"/>
    <x v="2"/>
    <x v="2"/>
    <m/>
    <e v="#NAME?"/>
    <e v="#NAME?"/>
    <e v="#NAME?"/>
    <m/>
    <m/>
    <m/>
    <m/>
    <m/>
    <n v="1"/>
  </r>
  <r>
    <s v="CE56542"/>
    <s v="HUMBERTO MALAGON VARGAS"/>
    <s v="CORE"/>
    <x v="11"/>
    <x v="6"/>
    <e v="#NAME?"/>
    <s v="NOSDA $ BAU (Mantenimiento y peq. evolutivos)"/>
    <n v="0.5"/>
    <x v="0"/>
    <x v="4"/>
    <m/>
    <e v="#NAME?"/>
    <e v="#NAME?"/>
    <e v="#NAME?"/>
    <m/>
    <m/>
    <m/>
    <m/>
    <m/>
    <n v="1"/>
  </r>
  <r>
    <s v="C342035"/>
    <s v="JENNIFER ALZATE"/>
    <s v="CORE"/>
    <x v="11"/>
    <x v="0"/>
    <e v="#NAME?"/>
    <s v="SDATOOL-36556 $ Parthnerships - Tarjeta de crédito en punto de venta físico aliados"/>
    <n v="1"/>
    <x v="0"/>
    <x v="2"/>
    <m/>
    <e v="#NAME?"/>
    <e v="#NAME?"/>
    <e v="#NAME?"/>
    <m/>
    <m/>
    <m/>
    <m/>
    <m/>
    <n v="1"/>
  </r>
  <r>
    <s v="C811264"/>
    <s v="JORGE LUIS URBINA"/>
    <s v="CORE"/>
    <x v="11"/>
    <x v="0"/>
    <e v="#NAME?"/>
    <s v="SDATOOL-36556 $ Parthnerships - Tarjeta de crédito en punto de venta físico aliados"/>
    <n v="0.2"/>
    <x v="0"/>
    <x v="2"/>
    <m/>
    <e v="#NAME?"/>
    <e v="#NAME?"/>
    <e v="#NAME?"/>
    <m/>
    <m/>
    <m/>
    <m/>
    <m/>
    <n v="1"/>
  </r>
  <r>
    <s v="C811264"/>
    <s v="JORGE LUIS URBINA"/>
    <s v="CORE"/>
    <x v="11"/>
    <x v="0"/>
    <e v="#NAME?"/>
    <s v="NOSDA $ BAU (Mantenimiento y peq. evolutivos)"/>
    <n v="0.3"/>
    <x v="0"/>
    <x v="2"/>
    <m/>
    <e v="#NAME?"/>
    <e v="#NAME?"/>
    <e v="#NAME?"/>
    <m/>
    <m/>
    <m/>
    <m/>
    <m/>
    <n v="0"/>
  </r>
  <r>
    <s v="C811264"/>
    <s v="JORGE LUIS URBINA"/>
    <s v="CORE"/>
    <x v="11"/>
    <x v="0"/>
    <e v="#NAME?"/>
    <s v="SDATOOL-40613 $ Códigos MAC"/>
    <n v="0.5"/>
    <x v="0"/>
    <x v="2"/>
    <m/>
    <e v="#NAME?"/>
    <e v="#NAME?"/>
    <e v="#NAME?"/>
    <m/>
    <m/>
    <m/>
    <m/>
    <m/>
    <n v="0"/>
  </r>
  <r>
    <s v="C811393"/>
    <s v="JORGE NELSON GARCIA"/>
    <s v="CORE"/>
    <x v="11"/>
    <x v="0"/>
    <e v="#NAME?"/>
    <s v="SDATOOL-38589 $ Mandatorio tokenización"/>
    <n v="0.35"/>
    <x v="0"/>
    <x v="2"/>
    <m/>
    <e v="#NAME?"/>
    <e v="#NAME?"/>
    <e v="#NAME?"/>
    <m/>
    <m/>
    <m/>
    <m/>
    <m/>
    <n v="1"/>
  </r>
  <r>
    <s v="C811393"/>
    <s v="JORGE NELSON GARCIA"/>
    <s v="CORE"/>
    <x v="11"/>
    <x v="0"/>
    <e v="#NAME?"/>
    <s v="SDATOOL-41726 $ EXTRACUPO TARJETA DE CREDITO"/>
    <n v="0.35"/>
    <x v="0"/>
    <x v="2"/>
    <m/>
    <e v="#NAME?"/>
    <e v="#NAME?"/>
    <e v="#NAME?"/>
    <m/>
    <m/>
    <m/>
    <m/>
    <m/>
    <n v="0"/>
  </r>
  <r>
    <s v="C811393"/>
    <s v="JORGE NELSON GARCIA"/>
    <s v="CORE"/>
    <x v="11"/>
    <x v="0"/>
    <e v="#NAME?"/>
    <s v="NOSDA $ BAU (Mantenimiento y peq. evolutivos)"/>
    <n v="0.3"/>
    <x v="0"/>
    <x v="2"/>
    <m/>
    <e v="#NAME?"/>
    <e v="#NAME?"/>
    <e v="#NAME?"/>
    <m/>
    <m/>
    <m/>
    <m/>
    <m/>
    <n v="0"/>
  </r>
  <r>
    <s v="CE49917"/>
    <s v="JORGE TAUTIVA MELO"/>
    <s v="CORE"/>
    <x v="11"/>
    <x v="6"/>
    <e v="#NAME?"/>
    <s v="SDATOOL-37057 $ Pagos QR - Entre cuentas Redeban - Plan Ascenso Mercurio"/>
    <n v="0.5"/>
    <x v="0"/>
    <x v="4"/>
    <m/>
    <e v="#NAME?"/>
    <e v="#NAME?"/>
    <e v="#NAME?"/>
    <m/>
    <m/>
    <m/>
    <m/>
    <m/>
    <n v="1"/>
  </r>
  <r>
    <s v="CE49917"/>
    <s v="JORGE TAUTIVA MELO"/>
    <s v="CORE"/>
    <x v="11"/>
    <x v="6"/>
    <e v="#NAME?"/>
    <s v="SDATOOL-37061 $ Plan de Lealtad Comecios -Plan Ascenso Autónomos"/>
    <n v="0.5"/>
    <x v="0"/>
    <x v="4"/>
    <m/>
    <e v="#NAME?"/>
    <e v="#NAME?"/>
    <e v="#NAME?"/>
    <m/>
    <m/>
    <m/>
    <m/>
    <m/>
    <n v="0"/>
  </r>
  <r>
    <s v="C804723"/>
    <s v="JOSE BLADIMIR INAMPUES TUTALCHA"/>
    <s v="CORE"/>
    <x v="11"/>
    <x v="0"/>
    <e v="#NAME?"/>
    <s v="SDATOOL-40455 $ Comisión porcentaje compras internacionales Mastercard y Visa Fase 2"/>
    <n v="0.3"/>
    <x v="0"/>
    <x v="2"/>
    <m/>
    <e v="#NAME?"/>
    <e v="#NAME?"/>
    <e v="#NAME?"/>
    <m/>
    <m/>
    <m/>
    <m/>
    <m/>
    <n v="1"/>
  </r>
  <r>
    <s v="C804723"/>
    <s v="JOSE BLADIMIR INAMPUES TUTALCHA"/>
    <s v="CORE"/>
    <x v="11"/>
    <x v="0"/>
    <e v="#NAME?"/>
    <s v="NOSDA $ BAU (Mantenimiento y peq. evolutivos)"/>
    <n v="0.7"/>
    <x v="0"/>
    <x v="2"/>
    <m/>
    <e v="#NAME?"/>
    <e v="#NAME?"/>
    <e v="#NAME?"/>
    <m/>
    <m/>
    <m/>
    <m/>
    <m/>
    <n v="0"/>
  </r>
  <r>
    <s v="C341931"/>
    <s v="JOSE MIGUEL SANCHEZ BARRANTES"/>
    <s v="CORE"/>
    <x v="11"/>
    <x v="0"/>
    <e v="#NAME?"/>
    <s v="SDATOOL-37061 $ Plan de Lealtad Comecios -Plan Ascenso Autónomos"/>
    <n v="0.5"/>
    <x v="1"/>
    <x v="2"/>
    <m/>
    <e v="#NAME?"/>
    <e v="#NAME?"/>
    <e v="#NAME?"/>
    <m/>
    <m/>
    <m/>
    <m/>
    <m/>
    <n v="1"/>
  </r>
  <r>
    <s v="C341931"/>
    <s v="JOSE MIGUEL SANCHEZ BARRANTES"/>
    <s v="CORE"/>
    <x v="11"/>
    <x v="0"/>
    <e v="#NAME?"/>
    <s v="SDATOOL-37057 $ Pagos QR - Entre cuentas Redeban - Plan Ascenso Mercurio"/>
    <n v="0.5"/>
    <x v="1"/>
    <x v="2"/>
    <m/>
    <e v="#NAME?"/>
    <e v="#NAME?"/>
    <e v="#NAME?"/>
    <m/>
    <m/>
    <m/>
    <m/>
    <m/>
    <n v="0"/>
  </r>
  <r>
    <s v="C811403"/>
    <s v="JUAN FELIPE FORERO"/>
    <s v="CORE"/>
    <x v="11"/>
    <x v="0"/>
    <e v="#NAME?"/>
    <s v="SDATOOL-40384 $ Cobrar intereses corrientes entre la transacción y la pre-cancelación"/>
    <n v="0.15"/>
    <x v="1"/>
    <x v="2"/>
    <m/>
    <e v="#NAME?"/>
    <e v="#NAME?"/>
    <e v="#NAME?"/>
    <m/>
    <m/>
    <m/>
    <m/>
    <m/>
    <n v="1"/>
  </r>
  <r>
    <s v="C811403"/>
    <s v="JUAN FELIPE FORERO"/>
    <s v="CORE"/>
    <x v="11"/>
    <x v="0"/>
    <e v="#NAME?"/>
    <s v="SDATOOL-40455 $ Comisión porcentaje compras internacionales Mastercard y Visa Fase 2"/>
    <n v="0.1"/>
    <x v="1"/>
    <x v="2"/>
    <m/>
    <e v="#NAME?"/>
    <e v="#NAME?"/>
    <e v="#NAME?"/>
    <m/>
    <m/>
    <m/>
    <m/>
    <m/>
    <n v="0"/>
  </r>
  <r>
    <s v="C811403"/>
    <s v="JUAN FELIPE FORERO"/>
    <s v="CORE"/>
    <x v="11"/>
    <x v="0"/>
    <e v="#NAME?"/>
    <s v="SDATOOL-38447 $ GRM Col - Condonación y bajas automáticas en Medios de Pago"/>
    <n v="0.05"/>
    <x v="1"/>
    <x v="2"/>
    <m/>
    <e v="#NAME?"/>
    <e v="#NAME?"/>
    <e v="#NAME?"/>
    <m/>
    <m/>
    <m/>
    <m/>
    <m/>
    <n v="0"/>
  </r>
  <r>
    <s v="C811403"/>
    <s v="JUAN FELIPE FORERO"/>
    <s v="CORE"/>
    <x v="11"/>
    <x v="0"/>
    <e v="#NAME?"/>
    <s v="SDATOOL-37753 $ Plan de transformación de operaciones 2022"/>
    <n v="0.05"/>
    <x v="1"/>
    <x v="2"/>
    <m/>
    <e v="#NAME?"/>
    <e v="#NAME?"/>
    <e v="#NAME?"/>
    <m/>
    <m/>
    <m/>
    <m/>
    <m/>
    <n v="0"/>
  </r>
  <r>
    <s v="C811403"/>
    <s v="JUAN FELIPE FORERO"/>
    <s v="CORE"/>
    <x v="11"/>
    <x v="0"/>
    <e v="#NAME?"/>
    <s v="SDATOOL-33846 $ SREP Data Quality- BCBS239 - Colombia"/>
    <n v="0.15"/>
    <x v="1"/>
    <x v="2"/>
    <m/>
    <e v="#NAME?"/>
    <e v="#NAME?"/>
    <e v="#NAME?"/>
    <m/>
    <m/>
    <m/>
    <m/>
    <m/>
    <n v="0"/>
  </r>
  <r>
    <s v="C811403"/>
    <s v="JUAN FELIPE FORERO"/>
    <s v="CORE"/>
    <x v="11"/>
    <x v="0"/>
    <e v="#NAME?"/>
    <s v="SDATOOL-40382 $ NUEVA Eliminar el PAN ( Orange 1.0)"/>
    <n v="0.1"/>
    <x v="1"/>
    <x v="2"/>
    <m/>
    <e v="#NAME?"/>
    <e v="#NAME?"/>
    <e v="#NAME?"/>
    <m/>
    <m/>
    <m/>
    <m/>
    <m/>
    <n v="0"/>
  </r>
  <r>
    <s v="C811403"/>
    <s v="JUAN FELIPE FORERO"/>
    <s v="CORE"/>
    <x v="11"/>
    <x v="0"/>
    <e v="#NAME?"/>
    <s v="SDATOOL-41938 $ GRM Col Reg - Ajuste Calificación Escalera"/>
    <n v="0.1"/>
    <x v="1"/>
    <x v="2"/>
    <m/>
    <e v="#NAME?"/>
    <e v="#NAME?"/>
    <e v="#NAME?"/>
    <m/>
    <m/>
    <m/>
    <m/>
    <m/>
    <n v="0"/>
  </r>
  <r>
    <s v="C811403"/>
    <s v="JUAN FELIPE FORERO"/>
    <s v="CORE"/>
    <x v="11"/>
    <x v="0"/>
    <e v="#NAME?"/>
    <s v="SDATOOL-40438 $ CIRCULAR 032 del 2021 - REQUERIMIENTO FISCALIA GENERAL DE LA NACION"/>
    <n v="0.1"/>
    <x v="1"/>
    <x v="2"/>
    <m/>
    <e v="#NAME?"/>
    <e v="#NAME?"/>
    <e v="#NAME?"/>
    <m/>
    <m/>
    <m/>
    <m/>
    <m/>
    <n v="0"/>
  </r>
  <r>
    <s v="C811403"/>
    <s v="JUAN FELIPE FORERO"/>
    <s v="CORE"/>
    <x v="11"/>
    <x v="0"/>
    <e v="#NAME?"/>
    <s v="NOSDA $ BAU (Mantenimiento y peq. evolutivos)"/>
    <n v="0.2"/>
    <x v="1"/>
    <x v="2"/>
    <m/>
    <e v="#NAME?"/>
    <e v="#NAME?"/>
    <e v="#NAME?"/>
    <m/>
    <m/>
    <m/>
    <m/>
    <m/>
    <n v="0"/>
  </r>
  <r>
    <s v="T004374"/>
    <s v="JUAN SEBASTIAN MINA"/>
    <s v="CORE"/>
    <x v="11"/>
    <x v="2"/>
    <e v="#NAME?"/>
    <s v="SDATOOL-40442 $ M4M - Tokenización Mastercard"/>
    <n v="0.8"/>
    <x v="2"/>
    <x v="2"/>
    <m/>
    <e v="#NAME?"/>
    <e v="#NAME?"/>
    <e v="#NAME?"/>
    <m/>
    <m/>
    <m/>
    <m/>
    <m/>
    <n v="1"/>
  </r>
  <r>
    <s v="T004374"/>
    <s v="JUAN SEBASTIAN MINA"/>
    <s v="CORE"/>
    <x v="11"/>
    <x v="2"/>
    <e v="#NAME?"/>
    <s v="NOSDA $ BAU (Mantenimiento y peq. evolutivos)"/>
    <n v="0.2"/>
    <x v="2"/>
    <x v="2"/>
    <m/>
    <e v="#NAME?"/>
    <e v="#NAME?"/>
    <e v="#NAME?"/>
    <m/>
    <m/>
    <m/>
    <m/>
    <m/>
    <n v="0"/>
  </r>
  <r>
    <s v="T005122"/>
    <s v="JULIAN ANDRES ARENAS"/>
    <s v="CORE"/>
    <x v="11"/>
    <x v="1"/>
    <e v="#NAME?"/>
    <s v="SDATOOL-37061 $ Plan de Lealtad Comecios -Plan Ascenso Autónomos"/>
    <n v="1"/>
    <x v="2"/>
    <x v="0"/>
    <m/>
    <e v="#NAME?"/>
    <e v="#NAME?"/>
    <e v="#NAME?"/>
    <m/>
    <m/>
    <m/>
    <m/>
    <m/>
    <n v="1"/>
  </r>
  <r>
    <s v="C343617"/>
    <s v="LEIDY NATALIA  GONZALEZ"/>
    <s v="CORE"/>
    <x v="11"/>
    <x v="0"/>
    <e v="#NAME?"/>
    <s v="SDATOOL-37427 $ Adquirencia Premium"/>
    <n v="0.4"/>
    <x v="0"/>
    <x v="1"/>
    <m/>
    <e v="#NAME?"/>
    <e v="#NAME?"/>
    <e v="#NAME?"/>
    <m/>
    <m/>
    <m/>
    <m/>
    <m/>
    <n v="1"/>
  </r>
  <r>
    <s v="C343617"/>
    <s v="LEIDY NATALIA  GONZALEZ"/>
    <s v="CORE"/>
    <x v="11"/>
    <x v="0"/>
    <e v="#NAME?"/>
    <s v="NOSDA $ BAU (Mantenimiento y peq. evolutivos)"/>
    <n v="0.6"/>
    <x v="0"/>
    <x v="1"/>
    <m/>
    <e v="#NAME?"/>
    <e v="#NAME?"/>
    <e v="#NAME?"/>
    <m/>
    <m/>
    <m/>
    <m/>
    <m/>
    <n v="0"/>
  </r>
  <r>
    <s v="C811392"/>
    <s v="LEONARDO SIMBAQUEBA ESGUERRA"/>
    <s v="CORE"/>
    <x v="11"/>
    <x v="0"/>
    <e v="#NAME?"/>
    <s v="SDATOOL-40468 $ Mapa de comercios adquirencia - Fase 2"/>
    <n v="0.4"/>
    <x v="0"/>
    <x v="2"/>
    <m/>
    <e v="#NAME?"/>
    <e v="#NAME?"/>
    <e v="#NAME?"/>
    <m/>
    <m/>
    <m/>
    <m/>
    <m/>
    <n v="1"/>
  </r>
  <r>
    <s v="C811392"/>
    <s v="LEONARDO SIMBAQUEBA ESGUERRA"/>
    <s v="CORE"/>
    <x v="11"/>
    <x v="0"/>
    <e v="#NAME?"/>
    <s v="SDATOOL-40469 $ Reversión reintegros parciales Adquirencia - Ajustes de comercio LATAM"/>
    <n v="0.4"/>
    <x v="0"/>
    <x v="2"/>
    <m/>
    <e v="#NAME?"/>
    <e v="#NAME?"/>
    <e v="#NAME?"/>
    <m/>
    <m/>
    <m/>
    <m/>
    <m/>
    <n v="0"/>
  </r>
  <r>
    <s v="C811392"/>
    <s v="LEONARDO SIMBAQUEBA ESGUERRA"/>
    <s v="CORE"/>
    <x v="11"/>
    <x v="0"/>
    <e v="#NAME?"/>
    <s v="SDATOOL-39354 $ My business Open Pay - Plan Ascenso Mercurio"/>
    <n v="0.2"/>
    <x v="0"/>
    <x v="2"/>
    <m/>
    <e v="#NAME?"/>
    <e v="#NAME?"/>
    <e v="#NAME?"/>
    <m/>
    <m/>
    <m/>
    <m/>
    <m/>
    <n v="0"/>
  </r>
  <r>
    <s v="T003366"/>
    <s v="LILIAN BEDUD RIOJAS GONZALEZ"/>
    <s v="CORE"/>
    <x v="11"/>
    <x v="6"/>
    <e v="#NAME?"/>
    <s v="SDATOOL-41757 $ AJUSTE AUTOMATIZACION CONCILIACION ARA"/>
    <n v="0.4"/>
    <x v="3"/>
    <x v="2"/>
    <m/>
    <e v="#NAME?"/>
    <e v="#NAME?"/>
    <e v="#NAME?"/>
    <m/>
    <m/>
    <m/>
    <m/>
    <m/>
    <n v="1"/>
  </r>
  <r>
    <s v="T003366"/>
    <s v="LILIAN BEDUD RIOJAS GONZALEZ"/>
    <s v="CORE"/>
    <x v="11"/>
    <x v="6"/>
    <e v="#NAME?"/>
    <s v="SDATOOL-41726 $ EXTRACUPO TARJETA DE CREDITO"/>
    <n v="0.3"/>
    <x v="3"/>
    <x v="2"/>
    <m/>
    <e v="#NAME?"/>
    <e v="#NAME?"/>
    <e v="#NAME?"/>
    <m/>
    <m/>
    <m/>
    <m/>
    <m/>
    <n v="0"/>
  </r>
  <r>
    <s v="T003366"/>
    <s v="LILIAN BEDUD RIOJAS GONZALEZ"/>
    <s v="CORE"/>
    <x v="11"/>
    <x v="6"/>
    <e v="#NAME?"/>
    <s v="SDATOOL-40613 $ Códigos MAC"/>
    <n v="0.3"/>
    <x v="3"/>
    <x v="2"/>
    <m/>
    <e v="#NAME?"/>
    <e v="#NAME?"/>
    <e v="#NAME?"/>
    <m/>
    <m/>
    <m/>
    <m/>
    <m/>
    <n v="0"/>
  </r>
  <r>
    <s v="C811354"/>
    <s v="LIZET VANESSA VEGA BONILLA"/>
    <s v="CORE"/>
    <x v="11"/>
    <x v="0"/>
    <e v="#NAME?"/>
    <s v="SDATOOL-38447 $ GRM Col - Condonación y bajas automáticas en Medios de Pago"/>
    <n v="0.2"/>
    <x v="0"/>
    <x v="2"/>
    <m/>
    <e v="#NAME?"/>
    <e v="#NAME?"/>
    <e v="#NAME?"/>
    <m/>
    <m/>
    <m/>
    <m/>
    <m/>
    <n v="1"/>
  </r>
  <r>
    <s v="C811354"/>
    <s v="LIZET VANESSA VEGA BONILLA"/>
    <s v="CORE"/>
    <x v="11"/>
    <x v="0"/>
    <e v="#NAME?"/>
    <s v="SDATOOL-37753 $ Plan de transformación de operaciones 2022"/>
    <n v="0.2"/>
    <x v="0"/>
    <x v="2"/>
    <m/>
    <e v="#NAME?"/>
    <e v="#NAME?"/>
    <e v="#NAME?"/>
    <m/>
    <m/>
    <m/>
    <m/>
    <m/>
    <n v="0"/>
  </r>
  <r>
    <s v="C811354"/>
    <s v="LIZET VANESSA VEGA BONILLA"/>
    <s v="CORE"/>
    <x v="11"/>
    <x v="0"/>
    <e v="#NAME?"/>
    <s v="SDATOOL-33846 $ SREP Data Quality- BCBS239 - Colombia"/>
    <n v="0.2"/>
    <x v="0"/>
    <x v="2"/>
    <m/>
    <e v="#NAME?"/>
    <e v="#NAME?"/>
    <e v="#NAME?"/>
    <m/>
    <m/>
    <m/>
    <m/>
    <m/>
    <n v="0"/>
  </r>
  <r>
    <s v="C811354"/>
    <s v="LIZET VANESSA VEGA BONILLA"/>
    <s v="CORE"/>
    <x v="11"/>
    <x v="0"/>
    <e v="#NAME?"/>
    <s v="SDATOOL-40438 $ CIRCULAR 032 del 2021 - REQUERIMIENTO FISCALIA GENERAL DE LA NACION"/>
    <n v="0.2"/>
    <x v="0"/>
    <x v="2"/>
    <m/>
    <e v="#NAME?"/>
    <e v="#NAME?"/>
    <e v="#NAME?"/>
    <m/>
    <m/>
    <m/>
    <m/>
    <m/>
    <n v="0"/>
  </r>
  <r>
    <s v="C811354"/>
    <s v="LIZET VANESSA VEGA BONILLA"/>
    <s v="CORE"/>
    <x v="11"/>
    <x v="0"/>
    <e v="#NAME?"/>
    <s v="NOSDA $ BAU (Mantenimiento y peq. evolutivos)"/>
    <n v="0.2"/>
    <x v="0"/>
    <x v="2"/>
    <m/>
    <e v="#NAME?"/>
    <e v="#NAME?"/>
    <e v="#NAME?"/>
    <m/>
    <m/>
    <m/>
    <m/>
    <m/>
    <n v="0"/>
  </r>
  <r>
    <s v="CE70711"/>
    <s v="LIZETH DAYANA RODRIGUEZ ACOSTA"/>
    <s v="CORE"/>
    <x v="11"/>
    <x v="6"/>
    <e v="#NAME?"/>
    <s v="NOSDA $ BAU (Mantenimiento y peq. evolutivos)"/>
    <n v="1"/>
    <x v="0"/>
    <x v="2"/>
    <m/>
    <e v="#NAME?"/>
    <e v="#NAME?"/>
    <e v="#NAME?"/>
    <m/>
    <m/>
    <m/>
    <m/>
    <m/>
    <n v="1"/>
  </r>
  <r>
    <s v="C811322"/>
    <s v="LUIS FERNANDO SABROSO"/>
    <s v="CORE"/>
    <x v="11"/>
    <x v="0"/>
    <e v="#NAME?"/>
    <s v="SDATOOL-36556 $ Parthnerships - Tarjeta de crédito en punto de venta físico aliados"/>
    <n v="1"/>
    <x v="0"/>
    <x v="3"/>
    <m/>
    <e v="#NAME?"/>
    <e v="#NAME?"/>
    <e v="#NAME?"/>
    <m/>
    <m/>
    <m/>
    <m/>
    <m/>
    <n v="1"/>
  </r>
  <r>
    <s v="CE66135"/>
    <s v="LUIS FERNANDO TORRES AVENDAÑO"/>
    <s v="CORE"/>
    <x v="11"/>
    <x v="5"/>
    <e v="#NAME?"/>
    <s v="SDATOOL-36556 $ Parthnerships - Tarjeta de crédito en punto de venta físico aliados"/>
    <n v="1"/>
    <x v="0"/>
    <x v="2"/>
    <m/>
    <e v="#NAME?"/>
    <e v="#NAME?"/>
    <e v="#NAME?"/>
    <m/>
    <m/>
    <m/>
    <m/>
    <m/>
    <n v="1"/>
  </r>
  <r>
    <s v="CE43328"/>
    <s v="LUZ ENEY ACEVEDO MATEUS"/>
    <s v="CORE"/>
    <x v="11"/>
    <x v="6"/>
    <e v="#NAME?"/>
    <s v="NOSDA $ BAU (Mantenimiento y peq. evolutivos)"/>
    <n v="1"/>
    <x v="0"/>
    <x v="2"/>
    <m/>
    <e v="#NAME?"/>
    <e v="#NAME?"/>
    <e v="#NAME?"/>
    <m/>
    <m/>
    <m/>
    <m/>
    <m/>
    <n v="1"/>
  </r>
  <r>
    <s v="C808232"/>
    <s v="MARIA FERNANDA RUSSI"/>
    <s v="CORE"/>
    <x v="11"/>
    <x v="0"/>
    <e v="#NAME?"/>
    <s v="NOSDA $ BAU (Mantenimiento y peq. evolutivos)"/>
    <n v="0.3"/>
    <x v="0"/>
    <x v="2"/>
    <m/>
    <e v="#NAME?"/>
    <e v="#NAME?"/>
    <e v="#NAME?"/>
    <m/>
    <m/>
    <m/>
    <m/>
    <m/>
    <n v="1"/>
  </r>
  <r>
    <s v="C808232"/>
    <s v="MARIA FERNANDA RUSSI"/>
    <s v="CORE"/>
    <x v="11"/>
    <x v="0"/>
    <e v="#NAME?"/>
    <s v="SDATOOL-40295 $ Tokenización COF"/>
    <n v="0.7"/>
    <x v="0"/>
    <x v="2"/>
    <m/>
    <e v="#NAME?"/>
    <e v="#NAME?"/>
    <e v="#NAME?"/>
    <m/>
    <m/>
    <m/>
    <m/>
    <m/>
    <n v="0"/>
  </r>
  <r>
    <s v="T008491"/>
    <s v="MARITZA CASTILLO NAVARRO"/>
    <s v="CORE"/>
    <x v="11"/>
    <x v="5"/>
    <e v="#NAME?"/>
    <s v="SDATOOL-40295 $ Tokenización COF"/>
    <n v="0.3"/>
    <x v="3"/>
    <x v="2"/>
    <m/>
    <e v="#NAME?"/>
    <e v="#NAME?"/>
    <e v="#NAME?"/>
    <m/>
    <m/>
    <m/>
    <m/>
    <m/>
    <n v="1"/>
  </r>
  <r>
    <s v="T008491"/>
    <s v="MARITZA CASTILLO NAVARRO"/>
    <s v="CORE"/>
    <x v="11"/>
    <x v="5"/>
    <e v="#NAME?"/>
    <s v="SDATOOL-40442 $ M4M - Tokenización Mastercard"/>
    <n v="0.3"/>
    <x v="3"/>
    <x v="2"/>
    <m/>
    <e v="#NAME?"/>
    <e v="#NAME?"/>
    <e v="#NAME?"/>
    <m/>
    <m/>
    <m/>
    <m/>
    <m/>
    <n v="0"/>
  </r>
  <r>
    <s v="T008491"/>
    <s v="MARITZA CASTILLO NAVARRO"/>
    <s v="CORE"/>
    <x v="11"/>
    <x v="5"/>
    <e v="#NAME?"/>
    <s v="SDATOOL-41709 $ Fraccionamiento de transacciones en CBs"/>
    <n v="0.2"/>
    <x v="3"/>
    <x v="2"/>
    <m/>
    <e v="#NAME?"/>
    <e v="#NAME?"/>
    <e v="#NAME?"/>
    <m/>
    <m/>
    <m/>
    <m/>
    <m/>
    <n v="0"/>
  </r>
  <r>
    <s v="T008491"/>
    <s v="MARITZA CASTILLO NAVARRO"/>
    <s v="CORE"/>
    <x v="11"/>
    <x v="5"/>
    <e v="#NAME?"/>
    <s v="SDATOOL-41938 $ GRM Col Reg - Ajuste Calificación Escalera"/>
    <n v="0.2"/>
    <x v="3"/>
    <x v="2"/>
    <m/>
    <e v="#NAME?"/>
    <e v="#NAME?"/>
    <e v="#NAME?"/>
    <m/>
    <m/>
    <m/>
    <m/>
    <m/>
    <n v="0"/>
  </r>
  <r>
    <s v="C805863"/>
    <s v="MARTA PATRICIA VELANDIA SIZA"/>
    <s v="CORE"/>
    <x v="11"/>
    <x v="0"/>
    <e v="#NAME?"/>
    <s v="SDATOOL-37061 $ Plan de Lealtad Comecios -Plan Ascenso Autónomos"/>
    <n v="1"/>
    <x v="0"/>
    <x v="2"/>
    <m/>
    <e v="#NAME?"/>
    <e v="#NAME?"/>
    <e v="#NAME?"/>
    <m/>
    <m/>
    <m/>
    <m/>
    <m/>
    <n v="1"/>
  </r>
  <r>
    <s v="O000190"/>
    <s v="MARTHA LILIANA RUSSY CHAVARRO"/>
    <s v="CORE"/>
    <x v="11"/>
    <x v="0"/>
    <e v="#NAME?"/>
    <s v="SDATOOL-39785 $ Segmentación contratos ADN"/>
    <n v="0.5"/>
    <x v="0"/>
    <x v="2"/>
    <m/>
    <e v="#NAME?"/>
    <e v="#NAME?"/>
    <e v="#NAME?"/>
    <m/>
    <m/>
    <m/>
    <m/>
    <m/>
    <n v="1"/>
  </r>
  <r>
    <s v="O000190"/>
    <s v="MARTHA LILIANA RUSSY CHAVARRO"/>
    <s v="CORE"/>
    <x v="11"/>
    <x v="0"/>
    <e v="#NAME?"/>
    <s v="NOSDA $ BAU (Mantenimiento y peq. evolutivos)"/>
    <n v="0.5"/>
    <x v="0"/>
    <x v="2"/>
    <m/>
    <e v="#NAME?"/>
    <e v="#NAME?"/>
    <e v="#NAME?"/>
    <m/>
    <m/>
    <m/>
    <m/>
    <m/>
    <n v="0"/>
  </r>
  <r>
    <s v="CE18306"/>
    <s v="MARY LUZ RODRIGUEZ"/>
    <s v="CORE"/>
    <x v="11"/>
    <x v="5"/>
    <e v="#NAME?"/>
    <s v="SDATOOL-36556 $ Parthnerships - Tarjeta de crédito en punto de venta físico aliados"/>
    <n v="0.1"/>
    <x v="2"/>
    <x v="2"/>
    <m/>
    <e v="#NAME?"/>
    <e v="#NAME?"/>
    <e v="#NAME?"/>
    <m/>
    <m/>
    <m/>
    <m/>
    <m/>
    <n v="1"/>
  </r>
  <r>
    <s v="CE18306"/>
    <s v="MARY LUZ RODRIGUEZ"/>
    <s v="CORE"/>
    <x v="11"/>
    <x v="5"/>
    <e v="#NAME?"/>
    <s v="NOSDA $ BAU (Mantenimiento y peq. evolutivos)"/>
    <n v="0.6"/>
    <x v="2"/>
    <x v="2"/>
    <m/>
    <e v="#NAME?"/>
    <e v="#NAME?"/>
    <e v="#NAME?"/>
    <m/>
    <m/>
    <m/>
    <m/>
    <m/>
    <n v="0"/>
  </r>
  <r>
    <s v="CE18306"/>
    <s v="MARY LUZ RODRIGUEZ"/>
    <s v="CORE"/>
    <x v="11"/>
    <x v="5"/>
    <e v="#NAME?"/>
    <s v="SDATOOL-40455 $ Comisión porcentaje compras internacionales Mastercard y Visa Fase 2"/>
    <n v="0.2"/>
    <x v="2"/>
    <x v="2"/>
    <m/>
    <e v="#NAME?"/>
    <e v="#NAME?"/>
    <e v="#NAME?"/>
    <m/>
    <m/>
    <m/>
    <m/>
    <m/>
    <n v="0"/>
  </r>
  <r>
    <s v="CE18306"/>
    <s v="MARY LUZ RODRIGUEZ"/>
    <s v="CORE"/>
    <x v="11"/>
    <x v="5"/>
    <e v="#NAME?"/>
    <s v="SDATOOL-37057 $ Pagos QR - Entre cuentas Redeban - Plan Ascenso Mercurio"/>
    <n v="0.1"/>
    <x v="2"/>
    <x v="2"/>
    <m/>
    <e v="#NAME?"/>
    <e v="#NAME?"/>
    <e v="#NAME?"/>
    <m/>
    <m/>
    <m/>
    <m/>
    <m/>
    <n v="0"/>
  </r>
  <r>
    <s v="C805726"/>
    <s v="MAURICIO ANDRES NUÑEZ ORTEGON"/>
    <s v="CORE"/>
    <x v="11"/>
    <x v="0"/>
    <e v="#NAME?"/>
    <s v="SDATOOL-38447 $ GRM Col - Condonación y bajas automáticas en Medios de Pago"/>
    <n v="0.6"/>
    <x v="0"/>
    <x v="2"/>
    <m/>
    <e v="#NAME?"/>
    <e v="#NAME?"/>
    <e v="#NAME?"/>
    <m/>
    <m/>
    <m/>
    <m/>
    <m/>
    <n v="1"/>
  </r>
  <r>
    <s v="C805726"/>
    <s v="MAURICIO ANDRES NUÑEZ ORTEGON"/>
    <s v="CORE"/>
    <x v="11"/>
    <x v="0"/>
    <e v="#NAME?"/>
    <s v="SDATOOL-33846 $ SREP Data Quality- BCBS239 - Colombia"/>
    <n v="0.4"/>
    <x v="0"/>
    <x v="2"/>
    <m/>
    <e v="#NAME?"/>
    <e v="#NAME?"/>
    <e v="#NAME?"/>
    <m/>
    <m/>
    <m/>
    <m/>
    <m/>
    <n v="0"/>
  </r>
  <r>
    <s v="C804381"/>
    <s v="MAYKER GUILLERMO LOPEZ"/>
    <s v="CORE"/>
    <x v="11"/>
    <x v="0"/>
    <e v="#NAME?"/>
    <s v="SDATOOL-40468 $ Mapa de comercios adquirencia - Fase 2"/>
    <n v="0.25"/>
    <x v="0"/>
    <x v="2"/>
    <m/>
    <e v="#NAME?"/>
    <e v="#NAME?"/>
    <e v="#NAME?"/>
    <m/>
    <m/>
    <m/>
    <m/>
    <m/>
    <n v="1"/>
  </r>
  <r>
    <s v="C804381"/>
    <s v="MAYKER GUILLERMO LOPEZ"/>
    <s v="CORE"/>
    <x v="11"/>
    <x v="0"/>
    <e v="#NAME?"/>
    <s v="SDATOOL-40414 $ Conciliación adquirencia plus"/>
    <n v="0.25"/>
    <x v="0"/>
    <x v="2"/>
    <m/>
    <e v="#NAME?"/>
    <e v="#NAME?"/>
    <e v="#NAME?"/>
    <m/>
    <m/>
    <m/>
    <m/>
    <m/>
    <n v="0"/>
  </r>
  <r>
    <s v="C804381"/>
    <s v="MAYKER GUILLERMO LOPEZ"/>
    <s v="CORE"/>
    <x v="11"/>
    <x v="0"/>
    <e v="#NAME?"/>
    <s v="SDATOOL-40469 $ Reversión reintegros parciales Adquirencia - Ajustes de comercio LATAM"/>
    <n v="0.25"/>
    <x v="0"/>
    <x v="2"/>
    <m/>
    <e v="#NAME?"/>
    <e v="#NAME?"/>
    <e v="#NAME?"/>
    <m/>
    <m/>
    <m/>
    <m/>
    <m/>
    <n v="0"/>
  </r>
  <r>
    <s v="C804381"/>
    <s v="MAYKER GUILLERMO LOPEZ"/>
    <s v="CORE"/>
    <x v="11"/>
    <x v="0"/>
    <e v="#NAME?"/>
    <s v="SDATOOL-40476 $ Conexión Directa con las Franquicias Visa y Mastercard"/>
    <n v="0.25"/>
    <x v="0"/>
    <x v="2"/>
    <m/>
    <e v="#NAME?"/>
    <e v="#NAME?"/>
    <e v="#NAME?"/>
    <m/>
    <m/>
    <m/>
    <m/>
    <m/>
    <n v="0"/>
  </r>
  <r>
    <s v="C810789"/>
    <s v="MICHAEL JULIAN GARZON"/>
    <s v="CORE"/>
    <x v="11"/>
    <x v="0"/>
    <e v="#NAME?"/>
    <s v="SDATOOL-36556 $ Parthnerships - Tarjeta de crédito en punto de venta físico aliados"/>
    <n v="0.8"/>
    <x v="0"/>
    <x v="4"/>
    <m/>
    <e v="#NAME?"/>
    <e v="#NAME?"/>
    <e v="#NAME?"/>
    <m/>
    <m/>
    <m/>
    <m/>
    <m/>
    <n v="1"/>
  </r>
  <r>
    <s v="C810789"/>
    <s v="MICHAEL JULIAN GARZON"/>
    <s v="CORE"/>
    <x v="11"/>
    <x v="0"/>
    <e v="#NAME?"/>
    <s v="SDATOOL-39348 $ tarjeta de crédito Open Market Fallback product"/>
    <n v="0.2"/>
    <x v="0"/>
    <x v="4"/>
    <m/>
    <e v="#NAME?"/>
    <e v="#NAME?"/>
    <e v="#NAME?"/>
    <m/>
    <m/>
    <m/>
    <m/>
    <m/>
    <n v="0"/>
  </r>
  <r>
    <s v="C679763"/>
    <s v="MIGUEL ANGEL POLOCHE DIAZ"/>
    <s v="CORE"/>
    <x v="11"/>
    <x v="0"/>
    <e v="#NAME?"/>
    <s v="SDATOOL-37427 $ Adquirencia Premium"/>
    <n v="0.15"/>
    <x v="1"/>
    <x v="2"/>
    <m/>
    <e v="#NAME?"/>
    <e v="#NAME?"/>
    <e v="#NAME?"/>
    <m/>
    <m/>
    <m/>
    <m/>
    <m/>
    <n v="1"/>
  </r>
  <r>
    <s v="C679763"/>
    <s v="MIGUEL ANGEL POLOCHE DIAZ"/>
    <s v="CORE"/>
    <x v="11"/>
    <x v="0"/>
    <e v="#NAME?"/>
    <s v="NOSDA $ BAU (Mantenimiento y peq. evolutivos)"/>
    <n v="0.1"/>
    <x v="1"/>
    <x v="2"/>
    <m/>
    <e v="#NAME?"/>
    <e v="#NAME?"/>
    <e v="#NAME?"/>
    <m/>
    <m/>
    <m/>
    <m/>
    <m/>
    <n v="0"/>
  </r>
  <r>
    <s v="C679763"/>
    <s v="MIGUEL ANGEL POLOCHE DIAZ"/>
    <s v="CORE"/>
    <x v="11"/>
    <x v="0"/>
    <e v="#NAME?"/>
    <s v="SDATOOL-40468 $ Mapa de comercios adquirencia - Fase 2"/>
    <n v="0.15"/>
    <x v="1"/>
    <x v="2"/>
    <m/>
    <e v="#NAME?"/>
    <e v="#NAME?"/>
    <e v="#NAME?"/>
    <m/>
    <m/>
    <m/>
    <m/>
    <m/>
    <n v="0"/>
  </r>
  <r>
    <s v="C679763"/>
    <s v="MIGUEL ANGEL POLOCHE DIAZ"/>
    <s v="CORE"/>
    <x v="11"/>
    <x v="0"/>
    <e v="#NAME?"/>
    <s v="SDATOOL-40414 $ Conciliación adquirencia plus"/>
    <n v="0.15"/>
    <x v="1"/>
    <x v="2"/>
    <m/>
    <e v="#NAME?"/>
    <e v="#NAME?"/>
    <e v="#NAME?"/>
    <m/>
    <m/>
    <m/>
    <m/>
    <m/>
    <n v="0"/>
  </r>
  <r>
    <s v="C679763"/>
    <s v="MIGUEL ANGEL POLOCHE DIAZ"/>
    <s v="CORE"/>
    <x v="11"/>
    <x v="0"/>
    <e v="#NAME?"/>
    <s v="SDATOOL-40469 $ Reversión reintegros parciales Adquirencia - Ajustes de comercio LATAM"/>
    <n v="0.15"/>
    <x v="1"/>
    <x v="2"/>
    <m/>
    <e v="#NAME?"/>
    <e v="#NAME?"/>
    <e v="#NAME?"/>
    <m/>
    <m/>
    <m/>
    <m/>
    <m/>
    <n v="0"/>
  </r>
  <r>
    <s v="C679763"/>
    <s v="MIGUEL ANGEL POLOCHE DIAZ"/>
    <s v="CORE"/>
    <x v="11"/>
    <x v="0"/>
    <e v="#NAME?"/>
    <s v="SDATOOL-40476 $ Conexión Directa con las Franquicias Visa y Mastercard"/>
    <n v="0.15"/>
    <x v="1"/>
    <x v="2"/>
    <m/>
    <e v="#NAME?"/>
    <e v="#NAME?"/>
    <e v="#NAME?"/>
    <m/>
    <m/>
    <m/>
    <m/>
    <m/>
    <n v="0"/>
  </r>
  <r>
    <s v="C679763"/>
    <s v="MIGUEL ANGEL POLOCHE DIAZ"/>
    <s v="CORE"/>
    <x v="11"/>
    <x v="0"/>
    <e v="#NAME?"/>
    <s v="SDATOOL-39354 $ My business Open Pay - Plan Ascenso Mercurio"/>
    <n v="0.15"/>
    <x v="1"/>
    <x v="2"/>
    <m/>
    <e v="#NAME?"/>
    <e v="#NAME?"/>
    <e v="#NAME?"/>
    <m/>
    <m/>
    <m/>
    <m/>
    <m/>
    <n v="0"/>
  </r>
  <r>
    <s v="C805989"/>
    <s v="NATALIA ANDREA SAMBONI"/>
    <s v="CORE"/>
    <x v="11"/>
    <x v="0"/>
    <e v="#NAME?"/>
    <s v="SDATOOL-40455 $ Comisión porcentaje compras internacionales Mastercard y Visa Fase 2"/>
    <n v="0.4"/>
    <x v="3"/>
    <x v="2"/>
    <m/>
    <e v="#NAME?"/>
    <e v="#NAME?"/>
    <e v="#NAME?"/>
    <m/>
    <m/>
    <m/>
    <m/>
    <m/>
    <n v="1"/>
  </r>
  <r>
    <s v="C805989"/>
    <s v="NATALIA ANDREA SAMBONI"/>
    <s v="CORE"/>
    <x v="11"/>
    <x v="0"/>
    <e v="#NAME?"/>
    <s v="SDATOOL-40384 $ Cobrar intereses corrientes entre la transacción y la pre-cancelación"/>
    <n v="0.3"/>
    <x v="3"/>
    <x v="2"/>
    <m/>
    <e v="#NAME?"/>
    <e v="#NAME?"/>
    <e v="#NAME?"/>
    <m/>
    <m/>
    <m/>
    <m/>
    <m/>
    <n v="0"/>
  </r>
  <r>
    <s v="C805989"/>
    <s v="NATALIA ANDREA SAMBONI"/>
    <s v="CORE"/>
    <x v="11"/>
    <x v="0"/>
    <e v="#NAME?"/>
    <s v="NOSDA $ BAU (Mantenimiento y peq. evolutivos)"/>
    <n v="0.3"/>
    <x v="3"/>
    <x v="2"/>
    <m/>
    <e v="#NAME?"/>
    <e v="#NAME?"/>
    <e v="#NAME?"/>
    <m/>
    <m/>
    <m/>
    <m/>
    <m/>
    <n v="0"/>
  </r>
  <r>
    <s v="C805958"/>
    <s v="NICO NIÑO VERGARA"/>
    <s v="CORE"/>
    <x v="11"/>
    <x v="0"/>
    <e v="#NAME?"/>
    <s v="SDATOOL-37057 $ Pagos QR - Entre cuentas Redeban - Plan Ascenso Mercurio"/>
    <n v="1"/>
    <x v="0"/>
    <x v="4"/>
    <m/>
    <e v="#NAME?"/>
    <e v="#NAME?"/>
    <e v="#NAME?"/>
    <m/>
    <m/>
    <m/>
    <m/>
    <m/>
    <n v="1"/>
  </r>
  <r>
    <s v="C342042"/>
    <s v="RICARDO ANDRES CERRATO"/>
    <s v="CORE"/>
    <x v="11"/>
    <x v="0"/>
    <e v="#NAME?"/>
    <s v="SDATOOL-41757 $ AJUSTE AUTOMATIZACION CONCILIACION ARA"/>
    <n v="0.15"/>
    <x v="1"/>
    <x v="2"/>
    <m/>
    <e v="#NAME?"/>
    <e v="#NAME?"/>
    <e v="#NAME?"/>
    <m/>
    <m/>
    <m/>
    <m/>
    <m/>
    <n v="1"/>
  </r>
  <r>
    <s v="C342042"/>
    <s v="RICARDO ANDRES CERRATO"/>
    <s v="CORE"/>
    <x v="11"/>
    <x v="0"/>
    <e v="#NAME?"/>
    <s v="SDATOOL-40295 $ Tokenización COF"/>
    <n v="0.2"/>
    <x v="1"/>
    <x v="2"/>
    <m/>
    <e v="#NAME?"/>
    <e v="#NAME?"/>
    <e v="#NAME?"/>
    <m/>
    <m/>
    <m/>
    <m/>
    <m/>
    <n v="0"/>
  </r>
  <r>
    <s v="C342042"/>
    <s v="RICARDO ANDRES CERRATO"/>
    <s v="CORE"/>
    <x v="11"/>
    <x v="0"/>
    <e v="#NAME?"/>
    <s v="SDATOOL-40442 $ M4M - Tokenización Mastercard"/>
    <n v="0.25"/>
    <x v="1"/>
    <x v="2"/>
    <m/>
    <e v="#NAME?"/>
    <e v="#NAME?"/>
    <e v="#NAME?"/>
    <m/>
    <m/>
    <m/>
    <m/>
    <m/>
    <n v="0"/>
  </r>
  <r>
    <s v="C342042"/>
    <s v="RICARDO ANDRES CERRATO"/>
    <s v="CORE"/>
    <x v="11"/>
    <x v="0"/>
    <e v="#NAME?"/>
    <s v="SDATOOL-41726 $ EXTRACUPO TARJETA DE CREDITO"/>
    <n v="0.15"/>
    <x v="1"/>
    <x v="2"/>
    <m/>
    <e v="#NAME?"/>
    <e v="#NAME?"/>
    <e v="#NAME?"/>
    <m/>
    <m/>
    <m/>
    <m/>
    <m/>
    <n v="0"/>
  </r>
  <r>
    <s v="C342042"/>
    <s v="RICARDO ANDRES CERRATO"/>
    <s v="CORE"/>
    <x v="11"/>
    <x v="0"/>
    <e v="#NAME?"/>
    <s v="SDATOOL-41709 $ Fraccionamiento de transacciones en CBs"/>
    <n v="0.05"/>
    <x v="1"/>
    <x v="2"/>
    <m/>
    <e v="#NAME?"/>
    <e v="#NAME?"/>
    <e v="#NAME?"/>
    <m/>
    <m/>
    <m/>
    <m/>
    <m/>
    <n v="0"/>
  </r>
  <r>
    <s v="C342042"/>
    <s v="RICARDO ANDRES CERRATO"/>
    <s v="CORE"/>
    <x v="11"/>
    <x v="0"/>
    <e v="#NAME?"/>
    <s v="SDATOOL-40613 $ Códigos MAC"/>
    <n v="0.1"/>
    <x v="1"/>
    <x v="2"/>
    <m/>
    <e v="#NAME?"/>
    <e v="#NAME?"/>
    <e v="#NAME?"/>
    <m/>
    <m/>
    <m/>
    <m/>
    <m/>
    <n v="0"/>
  </r>
  <r>
    <s v="C342042"/>
    <s v="RICARDO ANDRES CERRATO"/>
    <s v="CORE"/>
    <x v="11"/>
    <x v="0"/>
    <e v="#NAME?"/>
    <s v="NOSDA $ BAU (Mantenimiento y peq. evolutivos)"/>
    <n v="0.1"/>
    <x v="1"/>
    <x v="2"/>
    <m/>
    <e v="#NAME?"/>
    <e v="#NAME?"/>
    <e v="#NAME?"/>
    <m/>
    <m/>
    <m/>
    <m/>
    <m/>
    <n v="0"/>
  </r>
  <r>
    <s v="C810792"/>
    <s v="ROBER ESNEIDER PARRA POLANIA"/>
    <s v="CORE"/>
    <x v="11"/>
    <x v="0"/>
    <e v="#NAME?"/>
    <s v="SDATOOL-39785 $ Segmentación contratos ADN"/>
    <n v="0.5"/>
    <x v="0"/>
    <x v="2"/>
    <m/>
    <e v="#NAME?"/>
    <e v="#NAME?"/>
    <e v="#NAME?"/>
    <m/>
    <m/>
    <m/>
    <m/>
    <m/>
    <n v="1"/>
  </r>
  <r>
    <s v="C810792"/>
    <s v="ROBER ESNEIDER PARRA POLANIA"/>
    <s v="CORE"/>
    <x v="11"/>
    <x v="0"/>
    <e v="#NAME?"/>
    <s v="NOSDA $ BAU (Mantenimiento y peq. evolutivos)"/>
    <n v="0.5"/>
    <x v="0"/>
    <x v="2"/>
    <m/>
    <e v="#NAME?"/>
    <e v="#NAME?"/>
    <e v="#NAME?"/>
    <m/>
    <m/>
    <m/>
    <m/>
    <m/>
    <n v="0"/>
  </r>
  <r>
    <s v="O000103"/>
    <s v="TATIANA  PAOLA PEREIRA RIOS"/>
    <s v="CORE"/>
    <x v="11"/>
    <x v="0"/>
    <e v="#NAME?"/>
    <s v="SDATOOL-40455 $ Comisión porcentaje compras internacionales Mastercard y Visa Fase 2"/>
    <n v="0.1"/>
    <x v="0"/>
    <x v="2"/>
    <m/>
    <e v="#NAME?"/>
    <e v="#NAME?"/>
    <e v="#NAME?"/>
    <m/>
    <m/>
    <m/>
    <m/>
    <m/>
    <n v="1"/>
  </r>
  <r>
    <s v="O000103"/>
    <s v="TATIANA  PAOLA PEREIRA RIOS"/>
    <s v="CORE"/>
    <x v="11"/>
    <x v="0"/>
    <e v="#NAME?"/>
    <s v="NOSDA $ BAU (Mantenimiento y peq. evolutivos)"/>
    <n v="0.3"/>
    <x v="0"/>
    <x v="2"/>
    <m/>
    <e v="#NAME?"/>
    <e v="#NAME?"/>
    <e v="#NAME?"/>
    <m/>
    <m/>
    <m/>
    <m/>
    <m/>
    <n v="0"/>
  </r>
  <r>
    <s v="O000103"/>
    <s v="TATIANA  PAOLA PEREIRA RIOS"/>
    <s v="CORE"/>
    <x v="11"/>
    <x v="0"/>
    <e v="#NAME?"/>
    <s v="SDATOOL-40384 $ Cobrar intereses corrientes entre la transacción y la pre-cancelación"/>
    <n v="0.3"/>
    <x v="0"/>
    <x v="2"/>
    <m/>
    <e v="#NAME?"/>
    <e v="#NAME?"/>
    <e v="#NAME?"/>
    <m/>
    <m/>
    <m/>
    <m/>
    <m/>
    <n v="0"/>
  </r>
  <r>
    <s v="O000103"/>
    <s v="TATIANA  PAOLA PEREIRA RIOS"/>
    <s v="CORE"/>
    <x v="11"/>
    <x v="0"/>
    <e v="#NAME?"/>
    <s v="SDATOOL-37753 $ Plan de transformación de operaciones 2022"/>
    <n v="0.3"/>
    <x v="0"/>
    <x v="2"/>
    <m/>
    <e v="#NAME?"/>
    <e v="#NAME?"/>
    <e v="#NAME?"/>
    <m/>
    <m/>
    <m/>
    <m/>
    <m/>
    <n v="0"/>
  </r>
  <r>
    <s v="C808282"/>
    <s v="WBEIMAR MURILLO"/>
    <s v="CORE"/>
    <x v="11"/>
    <x v="0"/>
    <e v="#NAME?"/>
    <s v="NOSDA $ BAU (Mantenimiento y peq. evolutivos)"/>
    <n v="0.2"/>
    <x v="0"/>
    <x v="2"/>
    <m/>
    <e v="#NAME?"/>
    <e v="#NAME?"/>
    <e v="#NAME?"/>
    <m/>
    <m/>
    <m/>
    <m/>
    <m/>
    <n v="1"/>
  </r>
  <r>
    <s v="C808282"/>
    <s v="WBEIMAR MURILLO"/>
    <s v="CORE"/>
    <x v="11"/>
    <x v="0"/>
    <e v="#NAME?"/>
    <s v="SDATOOL-40442 $ M4M - Tokenización Mastercard"/>
    <n v="0.8"/>
    <x v="0"/>
    <x v="2"/>
    <m/>
    <e v="#NAME?"/>
    <e v="#NAME?"/>
    <e v="#NAME?"/>
    <m/>
    <m/>
    <m/>
    <m/>
    <m/>
    <n v="0"/>
  </r>
  <r>
    <s v="C343509"/>
    <s v="WILLIAM LEONARDO ESPITIA FRANCO"/>
    <s v="CORE"/>
    <x v="11"/>
    <x v="0"/>
    <e v="#NAME?"/>
    <s v="SDATOOL-40384 $ Cobrar intereses corrientes entre la transacción y la pre-cancelación"/>
    <n v="0.6"/>
    <x v="0"/>
    <x v="2"/>
    <m/>
    <e v="#NAME?"/>
    <e v="#NAME?"/>
    <e v="#NAME?"/>
    <m/>
    <m/>
    <m/>
    <m/>
    <m/>
    <n v="1"/>
  </r>
  <r>
    <s v="C343509"/>
    <s v="WILLIAM LEONARDO ESPITIA FRANCO"/>
    <s v="CORE"/>
    <x v="11"/>
    <x v="0"/>
    <e v="#NAME?"/>
    <s v="NOSDA $ BAU (Mantenimiento y peq. evolutivos)"/>
    <n v="0.4"/>
    <x v="0"/>
    <x v="2"/>
    <m/>
    <e v="#NAME?"/>
    <e v="#NAME?"/>
    <e v="#NAME?"/>
    <m/>
    <m/>
    <m/>
    <m/>
    <m/>
    <n v="0"/>
  </r>
  <r>
    <s v="C811175"/>
    <s v="CIRO ALONSO RINCON HERNANDEZ"/>
    <s v="CORE"/>
    <x v="11"/>
    <x v="0"/>
    <e v="#NAME?"/>
    <s v="SDATOOL-41938 $ GRM Col Reg - Ajuste Calificación Escalera"/>
    <n v="0.6"/>
    <x v="0"/>
    <x v="2"/>
    <m/>
    <e v="#NAME?"/>
    <e v="#NAME?"/>
    <e v="#NAME?"/>
    <m/>
    <m/>
    <m/>
    <m/>
    <m/>
    <n v="1"/>
  </r>
  <r>
    <s v="C803916"/>
    <s v="SERGIO EDUARDO MARTINEZ LOPEZ"/>
    <s v="RETAIL"/>
    <x v="21"/>
    <x v="0"/>
    <e v="#NAME?"/>
    <s v="NOSDA $ BAU (Mantenimiento y peq. evolutivos)"/>
    <n v="0.25"/>
    <x v="1"/>
    <x v="0"/>
    <m/>
    <e v="#NAME?"/>
    <e v="#NAME?"/>
    <e v="#NAME?"/>
    <m/>
    <m/>
    <m/>
    <m/>
    <m/>
    <m/>
  </r>
  <r>
    <s v="C803916"/>
    <s v="SERGIO EDUARDO MARTINEZ LOPEZ"/>
    <s v="RETAIL"/>
    <x v="21"/>
    <x v="0"/>
    <e v="#NAME?"/>
    <s v="SDATOOL-38489 $ Horizon BTGR - Colombia"/>
    <n v="0.75"/>
    <x v="1"/>
    <x v="0"/>
    <m/>
    <e v="#NAME?"/>
    <e v="#NAME?"/>
    <e v="#NAME?"/>
    <m/>
    <m/>
    <m/>
    <m/>
    <m/>
    <m/>
  </r>
  <r>
    <s v="C811189"/>
    <s v="JUAN PABLO MILLAN MORALES"/>
    <s v="RETAIL"/>
    <x v="21"/>
    <x v="0"/>
    <e v="#NAME?"/>
    <s v="NOSDA $ BAU (Mantenimiento y peq. evolutivos)"/>
    <n v="0.25"/>
    <x v="0"/>
    <x v="3"/>
    <m/>
    <e v="#NAME?"/>
    <e v="#NAME?"/>
    <e v="#NAME?"/>
    <m/>
    <m/>
    <m/>
    <m/>
    <m/>
    <m/>
  </r>
  <r>
    <s v="C811189"/>
    <s v="JUAN PABLO MILLAN MORALES"/>
    <s v="RETAIL"/>
    <x v="21"/>
    <x v="0"/>
    <e v="#NAME?"/>
    <s v="SDATOOL-38489 $ Horizon BTGR - Colombia"/>
    <n v="0.75"/>
    <x v="0"/>
    <x v="3"/>
    <m/>
    <e v="#NAME?"/>
    <e v="#NAME?"/>
    <e v="#NAME?"/>
    <m/>
    <m/>
    <m/>
    <m/>
    <m/>
    <m/>
  </r>
  <r>
    <s v="C342045"/>
    <s v="NELSON JAVIER MONCADA GELVES"/>
    <s v="RETAIL"/>
    <x v="21"/>
    <x v="0"/>
    <e v="#NAME?"/>
    <s v="SDATOOL-38489 $ Horizon BTGR - Colombia"/>
    <n v="0.75"/>
    <x v="0"/>
    <x v="2"/>
    <m/>
    <e v="#NAME?"/>
    <e v="#NAME?"/>
    <e v="#NAME?"/>
    <m/>
    <m/>
    <m/>
    <m/>
    <m/>
    <m/>
  </r>
  <r>
    <s v="C342045"/>
    <s v="NELSON JAVIER MONCADA GELVES"/>
    <s v="RETAIL"/>
    <x v="21"/>
    <x v="0"/>
    <e v="#NAME?"/>
    <s v="SDATOOL-9053 $ GloMo Colombia"/>
    <n v="0.25"/>
    <x v="0"/>
    <x v="2"/>
    <m/>
    <e v="#NAME?"/>
    <e v="#NAME?"/>
    <e v="#NAME?"/>
    <m/>
    <m/>
    <m/>
    <m/>
    <m/>
    <m/>
  </r>
  <r>
    <s v="C809565"/>
    <s v="JOAN CAMILO CHIVATA SANCHEZ"/>
    <s v="RETAIL"/>
    <x v="21"/>
    <x v="0"/>
    <e v="#NAME?"/>
    <s v="NOSDA $ BAU (Mantenimiento y peq. evolutivos)"/>
    <n v="1"/>
    <x v="0"/>
    <x v="2"/>
    <m/>
    <e v="#NAME?"/>
    <e v="#NAME?"/>
    <e v="#NAME?"/>
    <m/>
    <m/>
    <m/>
    <m/>
    <m/>
    <m/>
  </r>
  <r>
    <s v="C810952"/>
    <s v="JUAN SEBASTIAN AYALA RENDON"/>
    <s v="RETAIL"/>
    <x v="21"/>
    <x v="0"/>
    <e v="#NAME?"/>
    <s v="NOSDA $ BAU (Mantenimiento y peq. evolutivos)"/>
    <n v="1"/>
    <x v="0"/>
    <x v="3"/>
    <m/>
    <e v="#NAME?"/>
    <e v="#NAME?"/>
    <e v="#NAME?"/>
    <m/>
    <m/>
    <m/>
    <m/>
    <m/>
    <m/>
  </r>
  <r>
    <s v="C805933"/>
    <s v="BRAYAN NICOLAS PEÑA QUINTANA"/>
    <s v="RETAIL"/>
    <x v="21"/>
    <x v="0"/>
    <e v="#NAME?"/>
    <s v="NOSDA $ BAU (Mantenimiento y peq. evolutivos)"/>
    <n v="1"/>
    <x v="0"/>
    <x v="0"/>
    <m/>
    <e v="#NAME?"/>
    <e v="#NAME?"/>
    <e v="#NAME?"/>
    <m/>
    <m/>
    <m/>
    <m/>
    <m/>
    <m/>
  </r>
  <r>
    <s v="C804547"/>
    <s v="CARLOS MARIO BERNAL CASTRO"/>
    <s v="RETAIL"/>
    <x v="21"/>
    <x v="0"/>
    <e v="#NAME?"/>
    <s v="SDATOOL-38489 $ Horizon BTGR - Colombia"/>
    <n v="0.5"/>
    <x v="1"/>
    <x v="3"/>
    <m/>
    <e v="#NAME?"/>
    <e v="#NAME?"/>
    <e v="#NAME?"/>
    <m/>
    <m/>
    <m/>
    <m/>
    <m/>
    <m/>
  </r>
  <r>
    <s v="C804547"/>
    <s v="CARLOS MARIO BERNAL CASTRO"/>
    <s v="RETAIL"/>
    <x v="21"/>
    <x v="0"/>
    <e v="#NAME?"/>
    <s v="SDATOOL-9053 $ GloMo Colombia"/>
    <n v="0.5"/>
    <x v="1"/>
    <x v="3"/>
    <m/>
    <e v="#NAME?"/>
    <e v="#NAME?"/>
    <e v="#NAME?"/>
    <m/>
    <m/>
    <m/>
    <m/>
    <m/>
    <m/>
  </r>
  <r>
    <s v="C802282"/>
    <s v="DIEGO SANTOS DUARTE CUELLAR"/>
    <s v="RETAIL"/>
    <x v="21"/>
    <x v="0"/>
    <e v="#NAME?"/>
    <s v="SDATOOL-9053 $ GloMo Colombia"/>
    <n v="1"/>
    <x v="0"/>
    <x v="0"/>
    <m/>
    <e v="#NAME?"/>
    <e v="#NAME?"/>
    <e v="#NAME?"/>
    <m/>
    <m/>
    <m/>
    <m/>
    <m/>
    <m/>
  </r>
  <r>
    <s v="C343114"/>
    <s v="VICTOR HUGO DIAZ CERON"/>
    <s v="RETAIL"/>
    <x v="21"/>
    <x v="0"/>
    <e v="#NAME?"/>
    <s v="SDATOOL-9053 $ GloMo Colombia"/>
    <n v="1"/>
    <x v="0"/>
    <x v="0"/>
    <m/>
    <e v="#NAME?"/>
    <e v="#NAME?"/>
    <e v="#NAME?"/>
    <m/>
    <m/>
    <m/>
    <m/>
    <m/>
    <m/>
  </r>
  <r>
    <s v="O002666"/>
    <s v="DAVID ESTEBAN ARAGON PEÑUELA"/>
    <s v="RETAIL"/>
    <x v="21"/>
    <x v="0"/>
    <e v="#NAME?"/>
    <s v="SDATOOL-38489 $ Horizon BTGR - Colombia"/>
    <n v="1"/>
    <x v="0"/>
    <x v="3"/>
    <m/>
    <e v="#NAME?"/>
    <e v="#NAME?"/>
    <e v="#NAME?"/>
    <m/>
    <m/>
    <m/>
    <m/>
    <m/>
    <m/>
  </r>
  <r>
    <s v="C811379"/>
    <s v="CAMILO ANDRES MUÑOZ CAICEDO"/>
    <s v="RETAIL"/>
    <x v="21"/>
    <x v="0"/>
    <e v="#NAME?"/>
    <s v="SDATOOL-38489 $ Horizon BTGR - Colombia"/>
    <n v="0.25"/>
    <x v="0"/>
    <x v="0"/>
    <m/>
    <e v="#NAME?"/>
    <e v="#NAME?"/>
    <e v="#NAME?"/>
    <m/>
    <m/>
    <m/>
    <m/>
    <m/>
    <m/>
  </r>
  <r>
    <s v="C811379"/>
    <s v="CAMILO ANDRES MUÑOZ CAICEDO"/>
    <s v="RETAIL"/>
    <x v="21"/>
    <x v="0"/>
    <e v="#NAME?"/>
    <s v="SDATOOL-9053 $ GloMo Colombia"/>
    <n v="0.75"/>
    <x v="0"/>
    <x v="0"/>
    <m/>
    <e v="#NAME?"/>
    <e v="#NAME?"/>
    <e v="#NAME?"/>
    <m/>
    <m/>
    <m/>
    <m/>
    <m/>
    <m/>
  </r>
  <r>
    <s v="C804782"/>
    <s v="DIEGO JAVIER MORENO RUSINQUE"/>
    <s v="RETAIL"/>
    <x v="21"/>
    <x v="0"/>
    <e v="#NAME?"/>
    <s v="SDATOOL-38489 $ Horizon BTGR - Colombia"/>
    <n v="1"/>
    <x v="1"/>
    <x v="3"/>
    <m/>
    <e v="#NAME?"/>
    <e v="#NAME?"/>
    <e v="#NAME?"/>
    <m/>
    <m/>
    <m/>
    <m/>
    <m/>
    <m/>
  </r>
  <r>
    <s v="C811198"/>
    <s v="EDWIN DAVID TORO ECHEVERRIA"/>
    <s v="RETAIL"/>
    <x v="21"/>
    <x v="0"/>
    <e v="#NAME?"/>
    <s v="SDATOOL-9053 $ GloMo Colombia"/>
    <n v="1"/>
    <x v="0"/>
    <x v="4"/>
    <m/>
    <e v="#NAME?"/>
    <e v="#NAME?"/>
    <e v="#NAME?"/>
    <m/>
    <m/>
    <m/>
    <m/>
    <m/>
    <m/>
  </r>
  <r>
    <s v="C805724"/>
    <s v="KATHERIN DANIELA AREVALO BARRERA"/>
    <s v="RETAIL"/>
    <x v="21"/>
    <x v="0"/>
    <e v="#NAME?"/>
    <s v="SDATOOL-9053 $ GloMo Colombia"/>
    <n v="1"/>
    <x v="3"/>
    <x v="0"/>
    <m/>
    <e v="#NAME?"/>
    <e v="#NAME?"/>
    <e v="#NAME?"/>
    <m/>
    <m/>
    <m/>
    <m/>
    <m/>
    <m/>
  </r>
  <r>
    <s v="C810833"/>
    <s v="FERNANDO JOSE BOLIVAR NAVARRO"/>
    <s v="RETAIL"/>
    <x v="21"/>
    <x v="0"/>
    <e v="#NAME?"/>
    <s v="SDATOOL-9053 $ GloMo Colombia"/>
    <n v="1"/>
    <x v="3"/>
    <x v="0"/>
    <m/>
    <e v="#NAME?"/>
    <e v="#NAME?"/>
    <e v="#NAME?"/>
    <m/>
    <m/>
    <m/>
    <m/>
    <m/>
    <m/>
  </r>
  <r>
    <s v="O003002"/>
    <s v="EDISSON IOVANNI RODRIGUEZ SOCHA"/>
    <s v="RETAIL"/>
    <x v="21"/>
    <x v="0"/>
    <e v="#NAME?"/>
    <s v="SDATOOL-38489 $ Horizon BTGR - Colombia"/>
    <n v="1"/>
    <x v="0"/>
    <x v="0"/>
    <m/>
    <e v="#NAME?"/>
    <e v="#NAME?"/>
    <e v="#NAME?"/>
    <m/>
    <m/>
    <m/>
    <m/>
    <m/>
    <m/>
  </r>
  <r>
    <s v="CI35375"/>
    <s v="Luis Rodrigo Ulloa Marin"/>
    <s v="CIB &amp; COMEX - FIDUCIARIA"/>
    <x v="18"/>
    <x v="21"/>
    <e v="#NAME?"/>
    <s v="SDATOOL-40548 $ Fiduciaria - Obsolecencia aplicativa, infraestructura e Insider aplicativo FIDUSAP"/>
    <n v="0.18"/>
    <x v="1"/>
    <x v="0"/>
    <s v="Interno"/>
    <e v="#NAME?"/>
    <e v="#NAME?"/>
    <e v="#NAME?"/>
    <m/>
    <m/>
    <m/>
    <m/>
    <m/>
    <m/>
  </r>
  <r>
    <s v="CI35375"/>
    <s v="Luis Rodrigo Ulloa Marin"/>
    <s v="CIB &amp; COMEX - FIDUCIARIA"/>
    <x v="18"/>
    <x v="21"/>
    <e v="#NAME?"/>
    <s v="SDATOOL-40812 $ Fiduciaria - Cambio de operador tecnologico para los documentos electronicos en la sociedad"/>
    <n v="0.16"/>
    <x v="1"/>
    <x v="0"/>
    <s v="Interno"/>
    <e v="#NAME?"/>
    <e v="#NAME?"/>
    <e v="#NAME?"/>
    <m/>
    <m/>
    <m/>
    <m/>
    <m/>
    <m/>
  </r>
  <r>
    <s v="CI35128"/>
    <s v="Cristian Camilo Rincon"/>
    <s v="CIB &amp; COMEX - FIDUCIARIA"/>
    <x v="18"/>
    <x v="21"/>
    <e v="#NAME?"/>
    <s v="SDATOOL-39282 $ Fiduciaria - Alta y domiciliación Fondos de inversión jurídicos en Gema"/>
    <n v="0.25"/>
    <x v="1"/>
    <x v="6"/>
    <s v="Interno"/>
    <e v="#NAME?"/>
    <e v="#NAME?"/>
    <e v="#NAME?"/>
    <m/>
    <m/>
    <m/>
    <m/>
    <m/>
    <m/>
  </r>
  <r>
    <s v="CI08666"/>
    <s v="Jorge Anibal Blanco Meneses"/>
    <s v="CIB &amp; COMEX - FIDUCIARIA"/>
    <x v="18"/>
    <x v="21"/>
    <e v="#NAME?"/>
    <s v="SDATOOL-39282 $ Fiduciaria - Alta y domiciliación Fondos de inversión jurídicos en Gema"/>
    <n v="0.3"/>
    <x v="1"/>
    <x v="6"/>
    <s v="Interno"/>
    <e v="#NAME?"/>
    <e v="#NAME?"/>
    <e v="#NAME?"/>
    <m/>
    <m/>
    <m/>
    <m/>
    <m/>
    <m/>
  </r>
  <r>
    <s v="CI35442"/>
    <s v="Juan Camilo Ladino Guezguan"/>
    <s v="CIB &amp; COMEX - FIDUCIARIA"/>
    <x v="18"/>
    <x v="21"/>
    <e v="#NAME?"/>
    <s v="SDATOOL-39282 $ Fiduciaria - Alta y domiciliación Fondos de inversión jurídicos en Gema"/>
    <n v="0.3"/>
    <x v="0"/>
    <x v="6"/>
    <s v="Interno"/>
    <e v="#NAME?"/>
    <e v="#NAME?"/>
    <e v="#NAME?"/>
    <m/>
    <m/>
    <m/>
    <m/>
    <m/>
    <m/>
  </r>
  <r>
    <s v="O000087"/>
    <s v="Jayson Ricardo Becerra Gomez"/>
    <s v="CIB &amp; COMEX - FIDUCIARIA"/>
    <x v="18"/>
    <x v="21"/>
    <e v="#NAME?"/>
    <s v="SDATOOL-39555 $ Fiduciaria - Vinculación digital de clientes a través de productos inmobiliarios"/>
    <n v="0.5"/>
    <x v="1"/>
    <x v="6"/>
    <s v="Interno"/>
    <e v="#NAME?"/>
    <e v="#NAME?"/>
    <e v="#NAME?"/>
    <m/>
    <m/>
    <m/>
    <m/>
    <m/>
    <m/>
  </r>
  <r>
    <s v="O000087"/>
    <s v="Jayson Ricardo Becerra Gomez"/>
    <s v="CIB &amp; COMEX - FIDUCIARIA"/>
    <x v="18"/>
    <x v="21"/>
    <e v="#NAME?"/>
    <s v="SDATOOL-39572 $ Fiduciaria - Autogestión documental en la vinculación productos inmobiliarios"/>
    <n v="0.5"/>
    <x v="1"/>
    <x v="6"/>
    <s v="Interno"/>
    <e v="#NAME?"/>
    <e v="#NAME?"/>
    <e v="#NAME?"/>
    <m/>
    <m/>
    <m/>
    <m/>
    <m/>
    <m/>
  </r>
  <r>
    <s v="O000150"/>
    <s v="Oscar Fernando Real Bautista"/>
    <s v="CIB &amp; COMEX - FIDUCIARIA"/>
    <x v="18"/>
    <x v="21"/>
    <e v="#NAME?"/>
    <s v="SDATOOL-40813 $ Fiduciaria - Autogestion Usuarios - AI Pagos End to End"/>
    <n v="0.4"/>
    <x v="1"/>
    <x v="6"/>
    <s v="Interno"/>
    <e v="#NAME?"/>
    <e v="#NAME?"/>
    <e v="#NAME?"/>
    <m/>
    <m/>
    <m/>
    <m/>
    <m/>
    <m/>
  </r>
  <r>
    <s v="O000150"/>
    <s v="Oscar Fernando Real Bautista"/>
    <s v="CIB &amp; COMEX - FIDUCIARIA"/>
    <x v="18"/>
    <x v="21"/>
    <e v="#NAME?"/>
    <s v="SDATOOL-40639 $ Fiduciaria -Obsolecencia Migración Softoken FIDUSAP R2 a NextGen"/>
    <n v="0.4"/>
    <x v="1"/>
    <x v="6"/>
    <s v="Interno"/>
    <e v="#NAME?"/>
    <e v="#NAME?"/>
    <e v="#NAME?"/>
    <m/>
    <m/>
    <m/>
    <m/>
    <m/>
    <m/>
  </r>
  <r>
    <s v="CI35128"/>
    <s v="Cristian Camilo Rincon"/>
    <s v="CIB &amp; COMEX - FIDUCIARIA"/>
    <x v="18"/>
    <x v="21"/>
    <e v="#NAME?"/>
    <s v="SDATOOL-40552 $ Fiduciaria - PSE Procesamiento y confirmación de pagos en línea"/>
    <n v="0.25"/>
    <x v="1"/>
    <x v="6"/>
    <s v="Interno"/>
    <e v="#NAME?"/>
    <e v="#NAME?"/>
    <e v="#NAME?"/>
    <m/>
    <m/>
    <m/>
    <m/>
    <m/>
    <m/>
  </r>
  <r>
    <s v="CI08666"/>
    <s v="Jorge Anibal Blanco Meneses"/>
    <s v="CIB &amp; COMEX - FIDUCIARIA"/>
    <x v="18"/>
    <x v="21"/>
    <e v="#NAME?"/>
    <s v="SDATOOL-40552 $ Fiduciaria - PSE Procesamiento y confirmación de pagos en línea"/>
    <n v="0.3"/>
    <x v="1"/>
    <x v="6"/>
    <s v="Interno"/>
    <e v="#NAME?"/>
    <e v="#NAME?"/>
    <e v="#NAME?"/>
    <m/>
    <m/>
    <m/>
    <m/>
    <m/>
    <m/>
  </r>
  <r>
    <s v="CI35442"/>
    <s v="Juan Camilo Ladino Guezguan"/>
    <s v="CIB &amp; COMEX - FIDUCIARIA"/>
    <x v="18"/>
    <x v="21"/>
    <e v="#NAME?"/>
    <s v="SDATOOL-40552 $ Fiduciaria - PSE Procesamiento y confirmación de pagos en línea"/>
    <n v="0.3"/>
    <x v="0"/>
    <x v="6"/>
    <s v="Interno"/>
    <e v="#NAME?"/>
    <e v="#NAME?"/>
    <e v="#NAME?"/>
    <m/>
    <m/>
    <m/>
    <m/>
    <m/>
    <m/>
  </r>
  <r>
    <s v="CI35100"/>
    <s v="Alexander Lopez Fonseca"/>
    <s v="CIB &amp; COMEX - FIDUCIARIA"/>
    <x v="18"/>
    <x v="21"/>
    <e v="#NAME?"/>
    <s v="SDATOOL-40012 $ Fiduciaria - Obsolecencia aplicativa para los módulos de rendición de cuentas, Telefónica Factoring y EEFF"/>
    <n v="0.5"/>
    <x v="1"/>
    <x v="6"/>
    <s v="Interno"/>
    <e v="#NAME?"/>
    <e v="#NAME?"/>
    <e v="#NAME?"/>
    <m/>
    <m/>
    <m/>
    <m/>
    <m/>
    <m/>
  </r>
  <r>
    <s v="CE68033"/>
    <s v="Donoba Ricardo Figueredo"/>
    <s v="CIB &amp; COMEX - FIDUCIARIA"/>
    <x v="18"/>
    <x v="21"/>
    <e v="#NAME?"/>
    <s v="NOSDA $ BAU (Mantenimiento y peq. evolutivos)"/>
    <n v="1"/>
    <x v="2"/>
    <x v="0"/>
    <s v="Externo"/>
    <e v="#NAME?"/>
    <e v="#NAME?"/>
    <e v="#NAME?"/>
    <m/>
    <m/>
    <m/>
    <m/>
    <m/>
    <m/>
  </r>
  <r>
    <s v="CE58491"/>
    <s v="Ricardo Pachon"/>
    <s v="CIB &amp; COMEX - FIDUCIARIA"/>
    <x v="18"/>
    <x v="21"/>
    <e v="#NAME?"/>
    <s v="SDATOOL-40548 $ Fiduciaria - Obsolecencia aplicativa, infraestructura e Insider aplicativo FIDUSAP"/>
    <n v="1"/>
    <x v="2"/>
    <x v="0"/>
    <s v="Externo"/>
    <e v="#NAME?"/>
    <e v="#NAME?"/>
    <e v="#NAME?"/>
    <m/>
    <m/>
    <m/>
    <m/>
    <m/>
    <m/>
  </r>
  <r>
    <s v="CE68487"/>
    <s v="Diana Rubiano"/>
    <s v="CIB &amp; COMEX - FIDUCIARIA"/>
    <x v="18"/>
    <x v="21"/>
    <e v="#NAME?"/>
    <s v="SDATOOL-40548 $ Fiduciaria - Obsolecencia aplicativa, infraestructura e Insider aplicativo FIDUSAP"/>
    <n v="1"/>
    <x v="2"/>
    <x v="0"/>
    <s v="Externo"/>
    <e v="#NAME?"/>
    <e v="#NAME?"/>
    <e v="#NAME?"/>
    <m/>
    <m/>
    <m/>
    <m/>
    <m/>
    <m/>
  </r>
  <r>
    <s v="CE57320"/>
    <s v="Maria Victoria Ruiz"/>
    <s v="CIB &amp; COMEX - FIDUCIARIA"/>
    <x v="18"/>
    <x v="21"/>
    <e v="#NAME?"/>
    <s v="SDATOOL-40548 $ Fiduciaria - Obsolecencia aplicativa, infraestructura e Insider aplicativo FIDUSAP"/>
    <n v="1"/>
    <x v="2"/>
    <x v="0"/>
    <s v="Externo"/>
    <e v="#NAME?"/>
    <e v="#NAME?"/>
    <e v="#NAME?"/>
    <m/>
    <m/>
    <m/>
    <m/>
    <m/>
    <m/>
  </r>
  <r>
    <s v="CIXXXXXX"/>
    <s v="Adriana Yamile Rodriguez"/>
    <s v="CIB &amp; COMEX - FIDUCIARIA"/>
    <x v="18"/>
    <x v="3"/>
    <e v="#NAME?"/>
    <s v="SDATOOL-39282 $ Fiduciaria - Alta y domiciliación Fondos de inversión jurídicos en Gema"/>
    <n v="0.5"/>
    <x v="0"/>
    <x v="3"/>
    <s v="Externo"/>
    <e v="#NAME?"/>
    <e v="#NAME?"/>
    <e v="#NAME?"/>
    <m/>
    <m/>
    <m/>
    <m/>
    <m/>
    <m/>
  </r>
  <r>
    <s v="CIXXXXXX"/>
    <s v="Andres Felipe Mora"/>
    <s v="CIB &amp; COMEX - FIDUCIARIA"/>
    <x v="18"/>
    <x v="3"/>
    <e v="#NAME?"/>
    <s v="SDATOOL-39282 $ Fiduciaria - Alta y domiciliación Fondos de inversión jurídicos en Gema"/>
    <n v="0.5"/>
    <x v="0"/>
    <x v="3"/>
    <s v="Externo"/>
    <e v="#NAME?"/>
    <e v="#NAME?"/>
    <e v="#NAME?"/>
    <m/>
    <m/>
    <m/>
    <m/>
    <m/>
    <m/>
  </r>
  <r>
    <s v="CIXXXXXX"/>
    <s v="Jean paul patiño"/>
    <s v="CIB &amp; COMEX - FIDUCIARIA"/>
    <x v="18"/>
    <x v="3"/>
    <e v="#NAME?"/>
    <s v="SDATOOL-39282 $ Fiduciaria - Alta y domiciliación Fondos de inversión jurídicos en Gema"/>
    <n v="0.5"/>
    <x v="0"/>
    <x v="3"/>
    <s v="Externo"/>
    <e v="#NAME?"/>
    <e v="#NAME?"/>
    <e v="#NAME?"/>
    <m/>
    <m/>
    <m/>
    <m/>
    <m/>
    <m/>
  </r>
  <r>
    <s v="CIXXXXXX"/>
    <s v="Jhenny meneses"/>
    <s v="CIB &amp; COMEX - FIDUCIARIA"/>
    <x v="18"/>
    <x v="3"/>
    <e v="#NAME?"/>
    <s v="SDATOOL-39282 $ Fiduciaria - Alta y domiciliación Fondos de inversión jurídicos en Gema"/>
    <n v="0.5"/>
    <x v="0"/>
    <x v="3"/>
    <s v="Externo"/>
    <e v="#NAME?"/>
    <e v="#NAME?"/>
    <e v="#NAME?"/>
    <m/>
    <m/>
    <m/>
    <m/>
    <m/>
    <m/>
  </r>
  <r>
    <s v="CIXXXXXX"/>
    <s v="Juan stevens guzman"/>
    <s v="CIB &amp; COMEX - FIDUCIARIA"/>
    <x v="18"/>
    <x v="3"/>
    <e v="#NAME?"/>
    <s v="SDATOOL-39282 $ Fiduciaria - Alta y domiciliación Fondos de inversión jurídicos en Gema"/>
    <n v="0.5"/>
    <x v="0"/>
    <x v="3"/>
    <s v="Externo"/>
    <e v="#NAME?"/>
    <e v="#NAME?"/>
    <e v="#NAME?"/>
    <m/>
    <m/>
    <m/>
    <m/>
    <m/>
    <m/>
  </r>
  <r>
    <s v="CIXXXXXX"/>
    <s v="Michael escobar"/>
    <s v="CIB &amp; COMEX - FIDUCIARIA"/>
    <x v="18"/>
    <x v="3"/>
    <e v="#NAME?"/>
    <s v="SDATOOL-39282 $ Fiduciaria - Alta y domiciliación Fondos de inversión jurídicos en Gema"/>
    <n v="0.5"/>
    <x v="0"/>
    <x v="3"/>
    <s v="Externo"/>
    <e v="#NAME?"/>
    <e v="#NAME?"/>
    <e v="#NAME?"/>
    <m/>
    <m/>
    <m/>
    <m/>
    <m/>
    <m/>
  </r>
  <r>
    <s v="CIXXXXXX"/>
    <s v="Nestor Eduardo Torres Gonzalez"/>
    <s v="CIB &amp; COMEX - FIDUCIARIA"/>
    <x v="18"/>
    <x v="3"/>
    <e v="#NAME?"/>
    <s v="SDATOOL-39282 $ Fiduciaria - Alta y domiciliación Fondos de inversión jurídicos en Gema"/>
    <n v="0.5"/>
    <x v="0"/>
    <x v="3"/>
    <s v="Externo"/>
    <e v="#NAME?"/>
    <e v="#NAME?"/>
    <e v="#NAME?"/>
    <m/>
    <m/>
    <m/>
    <m/>
    <m/>
    <m/>
  </r>
  <r>
    <s v="CIXXXXXX"/>
    <s v="Jonathan Molina Fuentes"/>
    <s v="CIB &amp; COMEX - FIDUCIARIA"/>
    <x v="18"/>
    <x v="9"/>
    <e v="#NAME?"/>
    <s v="SDATOOL-39282 $ Fiduciaria - Alta y domiciliación Fondos de inversión jurídicos en Gema"/>
    <n v="0.5"/>
    <x v="0"/>
    <x v="3"/>
    <s v="Externo"/>
    <e v="#NAME?"/>
    <e v="#NAME?"/>
    <e v="#NAME?"/>
    <m/>
    <m/>
    <m/>
    <m/>
    <m/>
    <m/>
  </r>
  <r>
    <s v="CIXXXXXX"/>
    <s v="Nicolas Moreno Arévalo"/>
    <s v="CIB &amp; COMEX - FIDUCIARIA"/>
    <x v="18"/>
    <x v="9"/>
    <e v="#NAME?"/>
    <s v="SDATOOL-39282 $ Fiduciaria - Alta y domiciliación Fondos de inversión jurídicos en Gema"/>
    <n v="0.5"/>
    <x v="0"/>
    <x v="3"/>
    <s v="Externo"/>
    <e v="#NAME?"/>
    <e v="#NAME?"/>
    <e v="#NAME?"/>
    <m/>
    <m/>
    <m/>
    <m/>
    <m/>
    <m/>
  </r>
  <r>
    <s v="CIXXXXXX"/>
    <s v="Angie Natalia Gonzalez"/>
    <s v="CIB &amp; COMEX - FIDUCIARIA"/>
    <x v="18"/>
    <x v="9"/>
    <e v="#NAME?"/>
    <s v="SDATOOL-39282 $ Fiduciaria - Alta y domiciliación Fondos de inversión jurídicos en Gema"/>
    <n v="0.5"/>
    <x v="0"/>
    <x v="3"/>
    <s v="Externo"/>
    <e v="#NAME?"/>
    <e v="#NAME?"/>
    <e v="#NAME?"/>
    <m/>
    <m/>
    <m/>
    <m/>
    <m/>
    <m/>
  </r>
  <r>
    <s v="CIXXXXXX"/>
    <s v="Adriana Yamile Rodriguez"/>
    <s v="CIB &amp; COMEX - FIDUCIARIA"/>
    <x v="18"/>
    <x v="3"/>
    <e v="#NAME?"/>
    <s v="SDATOOL-40552 $ Fiduciaria - PSE Procesamiento y confirmación de pagos en línea"/>
    <n v="0.5"/>
    <x v="0"/>
    <x v="3"/>
    <s v="Externo"/>
    <e v="#NAME?"/>
    <e v="#NAME?"/>
    <e v="#NAME?"/>
    <m/>
    <m/>
    <m/>
    <m/>
    <m/>
    <m/>
  </r>
  <r>
    <s v="CIXXXXXX"/>
    <s v="Andres Felipe Mora"/>
    <s v="CIB &amp; COMEX - FIDUCIARIA"/>
    <x v="18"/>
    <x v="3"/>
    <e v="#NAME?"/>
    <s v="SDATOOL-40552 $ Fiduciaria - PSE Procesamiento y confirmación de pagos en línea"/>
    <n v="0.5"/>
    <x v="0"/>
    <x v="3"/>
    <s v="Externo"/>
    <e v="#NAME?"/>
    <e v="#NAME?"/>
    <e v="#NAME?"/>
    <m/>
    <m/>
    <m/>
    <m/>
    <m/>
    <m/>
  </r>
  <r>
    <s v="CIXXXXXX"/>
    <s v="Jean paul patiño"/>
    <s v="CIB &amp; COMEX - FIDUCIARIA"/>
    <x v="18"/>
    <x v="3"/>
    <e v="#NAME?"/>
    <s v="SDATOOL-40552 $ Fiduciaria - PSE Procesamiento y confirmación de pagos en línea"/>
    <n v="0.5"/>
    <x v="0"/>
    <x v="3"/>
    <s v="Externo"/>
    <e v="#NAME?"/>
    <e v="#NAME?"/>
    <e v="#NAME?"/>
    <m/>
    <m/>
    <m/>
    <m/>
    <m/>
    <m/>
  </r>
  <r>
    <s v="CIXXXXXX"/>
    <s v="Jhenny meneses"/>
    <s v="CIB &amp; COMEX - FIDUCIARIA"/>
    <x v="18"/>
    <x v="3"/>
    <e v="#NAME?"/>
    <s v="SDATOOL-40552 $ Fiduciaria - PSE Procesamiento y confirmación de pagos en línea"/>
    <n v="0.5"/>
    <x v="0"/>
    <x v="3"/>
    <s v="Externo"/>
    <e v="#NAME?"/>
    <e v="#NAME?"/>
    <e v="#NAME?"/>
    <m/>
    <m/>
    <m/>
    <m/>
    <m/>
    <m/>
  </r>
  <r>
    <s v="CIXXXXXX"/>
    <s v="Juan stevens guzman"/>
    <s v="CIB &amp; COMEX - FIDUCIARIA"/>
    <x v="18"/>
    <x v="3"/>
    <e v="#NAME?"/>
    <s v="SDATOOL-40552 $ Fiduciaria - PSE Procesamiento y confirmación de pagos en línea"/>
    <n v="0.5"/>
    <x v="0"/>
    <x v="3"/>
    <s v="Externo"/>
    <e v="#NAME?"/>
    <e v="#NAME?"/>
    <e v="#NAME?"/>
    <m/>
    <m/>
    <m/>
    <m/>
    <m/>
    <m/>
  </r>
  <r>
    <s v="CIXXXXXX"/>
    <s v="Michael escobar"/>
    <s v="CIB &amp; COMEX - FIDUCIARIA"/>
    <x v="18"/>
    <x v="3"/>
    <e v="#NAME?"/>
    <s v="SDATOOL-40552 $ Fiduciaria - PSE Procesamiento y confirmación de pagos en línea"/>
    <n v="0.5"/>
    <x v="0"/>
    <x v="3"/>
    <s v="Externo"/>
    <e v="#NAME?"/>
    <e v="#NAME?"/>
    <e v="#NAME?"/>
    <m/>
    <m/>
    <m/>
    <m/>
    <m/>
    <m/>
  </r>
  <r>
    <s v="CIXXXXXX"/>
    <s v="Nestor Eduardo Torres Gonzalez"/>
    <s v="CIB &amp; COMEX - FIDUCIARIA"/>
    <x v="18"/>
    <x v="3"/>
    <e v="#NAME?"/>
    <s v="SDATOOL-40552 $ Fiduciaria - PSE Procesamiento y confirmación de pagos en línea"/>
    <n v="0.5"/>
    <x v="0"/>
    <x v="3"/>
    <s v="Externo"/>
    <e v="#NAME?"/>
    <e v="#NAME?"/>
    <e v="#NAME?"/>
    <m/>
    <m/>
    <m/>
    <m/>
    <m/>
    <m/>
  </r>
  <r>
    <s v="CIXXXXXX"/>
    <s v="Jonathan Molina Fuentes"/>
    <s v="CIB &amp; COMEX - FIDUCIARIA"/>
    <x v="18"/>
    <x v="9"/>
    <e v="#NAME?"/>
    <s v="SDATOOL-40552 $ Fiduciaria - PSE Procesamiento y confirmación de pagos en línea"/>
    <n v="0.5"/>
    <x v="0"/>
    <x v="3"/>
    <s v="Externo"/>
    <e v="#NAME?"/>
    <e v="#NAME?"/>
    <e v="#NAME?"/>
    <m/>
    <m/>
    <m/>
    <m/>
    <m/>
    <m/>
  </r>
  <r>
    <s v="CIXXXXXX"/>
    <s v="Nicolas Moreno Arévalo"/>
    <s v="CIB &amp; COMEX - FIDUCIARIA"/>
    <x v="18"/>
    <x v="9"/>
    <e v="#NAME?"/>
    <s v="SDATOOL-40552 $ Fiduciaria - PSE Procesamiento y confirmación de pagos en línea"/>
    <n v="0.5"/>
    <x v="0"/>
    <x v="3"/>
    <s v="Externo"/>
    <e v="#NAME?"/>
    <e v="#NAME?"/>
    <e v="#NAME?"/>
    <m/>
    <m/>
    <m/>
    <m/>
    <m/>
    <m/>
  </r>
  <r>
    <s v="CIXXXXXX"/>
    <s v="Angie Natalia Gonzalez"/>
    <s v="CIB &amp; COMEX - FIDUCIARIA"/>
    <x v="18"/>
    <x v="9"/>
    <e v="#NAME?"/>
    <s v="SDATOOL-40552 $ Fiduciaria - PSE Procesamiento y confirmación de pagos en línea"/>
    <n v="0.5"/>
    <x v="0"/>
    <x v="3"/>
    <s v="Externo"/>
    <e v="#NAME?"/>
    <e v="#NAME?"/>
    <e v="#NAME?"/>
    <m/>
    <m/>
    <m/>
    <m/>
    <m/>
    <m/>
  </r>
  <r>
    <s v="CE69361"/>
    <s v="ANDERSON CAMILO APONTE CERVERA"/>
    <s v="RETAIL"/>
    <x v="26"/>
    <x v="12"/>
    <e v="#NAME?"/>
    <s v="SDATOOL-36558 $ Transfiya:Transferencias interbancarias inmediatas - Plan Ascenso Privado"/>
    <n v="0.3"/>
    <x v="0"/>
    <x v="3"/>
    <m/>
    <e v="#NAME?"/>
    <e v="#NAME?"/>
    <e v="#NAME?"/>
    <m/>
    <m/>
    <m/>
    <m/>
    <m/>
    <m/>
  </r>
  <r>
    <s v="CE51863"/>
    <s v="EDNA ROCIO MONCADA"/>
    <s v="RETAIL"/>
    <x v="26"/>
    <x v="2"/>
    <e v="#NAME?"/>
    <s v="SDATOOL-36558 $ Transfiya:Transferencias interbancarias inmediatas - Plan Ascenso Privado"/>
    <n v="0.02"/>
    <x v="2"/>
    <x v="1"/>
    <m/>
    <e v="#NAME?"/>
    <e v="#NAME?"/>
    <e v="#NAME?"/>
    <m/>
    <m/>
    <m/>
    <m/>
    <m/>
    <m/>
  </r>
  <r>
    <s v="C810711"/>
    <s v="CRISTIAN ALEXANDER ROJAS AZA"/>
    <s v="RETAIL"/>
    <x v="26"/>
    <x v="0"/>
    <e v="#NAME?"/>
    <s v="SDATOOL-36558 $ Transfiya:Transferencias interbancarias inmediatas - Plan Ascenso Privado"/>
    <n v="0.8"/>
    <x v="0"/>
    <x v="3"/>
    <m/>
    <e v="#NAME?"/>
    <e v="#NAME?"/>
    <e v="#NAME?"/>
    <m/>
    <m/>
    <m/>
    <m/>
    <m/>
    <m/>
  </r>
  <r>
    <s v="C810711"/>
    <s v="CRISTIAN ALEXANDER ROJAS AZA"/>
    <s v="RETAIL"/>
    <x v="26"/>
    <x v="0"/>
    <e v="#NAME?"/>
    <s v="SDATOOL-42192 $ Transfiya en GloMo"/>
    <n v="0.2"/>
    <x v="0"/>
    <x v="3"/>
    <m/>
    <e v="#NAME?"/>
    <e v="#NAME?"/>
    <e v="#NAME?"/>
    <m/>
    <m/>
    <m/>
    <m/>
    <m/>
    <n v="0"/>
  </r>
  <r>
    <s v="C985155"/>
    <s v="DIANA EDITH VILLEGAS RAMIREZ"/>
    <s v="RETAIL"/>
    <x v="26"/>
    <x v="0"/>
    <e v="#NAME?"/>
    <s v="SDATOOL-36558 $ Transfiya:Transferencias interbancarias inmediatas - Plan Ascenso Privado"/>
    <n v="1"/>
    <x v="0"/>
    <x v="1"/>
    <m/>
    <e v="#NAME?"/>
    <e v="#NAME?"/>
    <e v="#NAME?"/>
    <m/>
    <m/>
    <m/>
    <m/>
    <m/>
    <m/>
  </r>
  <r>
    <s v="C342595"/>
    <s v="EDGAR IVAN ARIAS MALDONADO"/>
    <s v="RETAIL"/>
    <x v="26"/>
    <x v="0"/>
    <e v="#NAME?"/>
    <s v="SDATOOL-36558 $ Transfiya:Transferencias interbancarias inmediatas - Plan Ascenso Privado"/>
    <n v="1"/>
    <x v="0"/>
    <x v="3"/>
    <m/>
    <e v="#NAME?"/>
    <e v="#NAME?"/>
    <e v="#NAME?"/>
    <m/>
    <m/>
    <m/>
    <m/>
    <m/>
    <m/>
  </r>
  <r>
    <s v="C810708"/>
    <s v="HAROLD ANDRES CASTILLO CARVAJAL"/>
    <s v="RETAIL"/>
    <x v="26"/>
    <x v="0"/>
    <e v="#NAME?"/>
    <s v="SDATOOL-36558 $ Transfiya:Transferencias interbancarias inmediatas - Plan Ascenso Privado"/>
    <n v="1"/>
    <x v="0"/>
    <x v="3"/>
    <m/>
    <e v="#NAME?"/>
    <e v="#NAME?"/>
    <e v="#NAME?"/>
    <m/>
    <m/>
    <m/>
    <m/>
    <m/>
    <m/>
  </r>
  <r>
    <s v="C342444"/>
    <s v="JOE ESTUPINAN MONTANO"/>
    <s v="RETAIL"/>
    <x v="26"/>
    <x v="0"/>
    <e v="#NAME?"/>
    <s v="SDATOOL-36558 $ Transfiya:Transferencias interbancarias inmediatas - Plan Ascenso Privado"/>
    <n v="1"/>
    <x v="0"/>
    <x v="2"/>
    <m/>
    <e v="#NAME?"/>
    <e v="#NAME?"/>
    <e v="#NAME?"/>
    <m/>
    <m/>
    <m/>
    <m/>
    <m/>
    <m/>
  </r>
  <r>
    <s v="C810746"/>
    <s v="JUAN DAVID BAEZ RAMOS"/>
    <s v="RETAIL"/>
    <x v="26"/>
    <x v="0"/>
    <e v="#NAME?"/>
    <s v="SDATOOL-36558 $ Transfiya:Transferencias interbancarias inmediatas - Plan Ascenso Privado"/>
    <n v="0.8"/>
    <x v="0"/>
    <x v="4"/>
    <m/>
    <e v="#NAME?"/>
    <e v="#NAME?"/>
    <e v="#NAME?"/>
    <m/>
    <m/>
    <m/>
    <m/>
    <m/>
    <m/>
  </r>
  <r>
    <s v="C810746"/>
    <s v="JUAN DAVID BAEZ RAMOS"/>
    <s v="RETAIL"/>
    <x v="26"/>
    <x v="0"/>
    <e v="#NAME?"/>
    <s v="SDATOOL-42192 $ Transfiya en GloMo"/>
    <n v="0.2"/>
    <x v="0"/>
    <x v="4"/>
    <m/>
    <e v="#NAME?"/>
    <e v="#NAME?"/>
    <e v="#NAME?"/>
    <m/>
    <m/>
    <m/>
    <m/>
    <m/>
    <n v="0"/>
  </r>
  <r>
    <s v="O001337"/>
    <s v="LEANDRO GOMEZ "/>
    <s v="RETAIL"/>
    <x v="26"/>
    <x v="0"/>
    <e v="#NAME?"/>
    <s v="SDATOOL-36558 $ Transfiya:Transferencias interbancarias inmediatas - Plan Ascenso Privado"/>
    <n v="0.8"/>
    <x v="1"/>
    <x v="1"/>
    <m/>
    <e v="#NAME?"/>
    <e v="#NAME?"/>
    <e v="#NAME?"/>
    <m/>
    <m/>
    <m/>
    <m/>
    <m/>
    <m/>
  </r>
  <r>
    <s v="O001337"/>
    <s v="LEANDRO GOMEZ "/>
    <s v="RETAIL"/>
    <x v="26"/>
    <x v="0"/>
    <e v="#NAME?"/>
    <s v="SDATOOL-42192 $ Transfiya en GloMo"/>
    <n v="0.2"/>
    <x v="1"/>
    <x v="1"/>
    <m/>
    <e v="#NAME?"/>
    <e v="#NAME?"/>
    <e v="#NAME?"/>
    <m/>
    <m/>
    <m/>
    <m/>
    <m/>
    <n v="0"/>
  </r>
  <r>
    <s v="CE55339"/>
    <s v="LENIN RAFAEL DIAZ QUINTERO"/>
    <s v="RETAIL"/>
    <x v="26"/>
    <x v="3"/>
    <e v="#NAME?"/>
    <s v="SDATOOL-36558 $ Transfiya:Transferencias interbancarias inmediatas - Plan Ascenso Privado"/>
    <n v="0.3"/>
    <x v="0"/>
    <x v="2"/>
    <m/>
    <e v="#NAME?"/>
    <e v="#NAME?"/>
    <e v="#NAME?"/>
    <m/>
    <m/>
    <m/>
    <m/>
    <m/>
    <m/>
  </r>
  <r>
    <s v="T000166"/>
    <s v="LEONARDO ALBERTO JIMENEZ RINCON"/>
    <s v="RETAIL"/>
    <x v="26"/>
    <x v="1"/>
    <e v="#NAME?"/>
    <s v="SDATOOL-36558 $ Transfiya:Transferencias interbancarias inmediatas - Plan Ascenso Privado"/>
    <n v="1"/>
    <x v="2"/>
    <x v="1"/>
    <m/>
    <e v="#NAME?"/>
    <e v="#NAME?"/>
    <e v="#NAME?"/>
    <m/>
    <m/>
    <m/>
    <m/>
    <m/>
    <m/>
  </r>
  <r>
    <s v="T004935"/>
    <s v="MARIA CAMILA MOLINA ALBA"/>
    <s v="RETAIL"/>
    <x v="26"/>
    <x v="1"/>
    <e v="#NAME?"/>
    <s v="SDATOOL-36558 $ Transfiya:Transferencias interbancarias inmediatas - Plan Ascenso Privado"/>
    <n v="1"/>
    <x v="2"/>
    <x v="1"/>
    <m/>
    <e v="#NAME?"/>
    <e v="#NAME?"/>
    <e v="#NAME?"/>
    <m/>
    <m/>
    <m/>
    <m/>
    <m/>
    <m/>
  </r>
  <r>
    <s v="T000274"/>
    <s v="NICOLAS BOHORQUEZ LEGUIZAMO"/>
    <s v="RETAIL"/>
    <x v="26"/>
    <x v="9"/>
    <e v="#NAME?"/>
    <s v="SDATOOL-36558 $ Transfiya:Transferencias interbancarias inmediatas - Plan Ascenso Privado"/>
    <n v="0.3"/>
    <x v="0"/>
    <x v="5"/>
    <m/>
    <e v="#NAME?"/>
    <e v="#NAME?"/>
    <e v="#NAME?"/>
    <m/>
    <m/>
    <m/>
    <m/>
    <m/>
    <m/>
  </r>
  <r>
    <s v="C796552"/>
    <s v="YADIRA COBOS ROMERO"/>
    <s v="RETAIL"/>
    <x v="26"/>
    <x v="0"/>
    <e v="#NAME?"/>
    <s v="NOSDA $ BAU (Mantenimiento y peq. evolutivos)"/>
    <n v="0.65"/>
    <x v="1"/>
    <x v="1"/>
    <m/>
    <e v="#NAME?"/>
    <e v="#NAME?"/>
    <e v="#NAME?"/>
    <m/>
    <m/>
    <m/>
    <m/>
    <m/>
    <m/>
  </r>
  <r>
    <s v="C796552"/>
    <s v="YADIRA COBOS ROMERO"/>
    <s v="RETAIL"/>
    <x v="26"/>
    <x v="0"/>
    <e v="#NAME?"/>
    <s v="SDATOOL-38527 $ Pagaré Electrónico en flujos de Contratación digital"/>
    <n v="0.05"/>
    <x v="1"/>
    <x v="1"/>
    <m/>
    <e v="#NAME?"/>
    <e v="#NAME?"/>
    <e v="#NAME?"/>
    <m/>
    <m/>
    <m/>
    <m/>
    <m/>
    <m/>
  </r>
  <r>
    <s v="C796552"/>
    <s v="YADIRA COBOS ROMERO"/>
    <s v="RETAIL"/>
    <x v="26"/>
    <x v="0"/>
    <e v="#NAME?"/>
    <s v="SDATOOL-39246 $ Nuevo tipo de identificación para extranjeros"/>
    <n v="0.05"/>
    <x v="1"/>
    <x v="1"/>
    <m/>
    <e v="#NAME?"/>
    <e v="#NAME?"/>
    <e v="#NAME?"/>
    <m/>
    <m/>
    <m/>
    <m/>
    <m/>
    <m/>
  </r>
  <r>
    <s v="C796552"/>
    <s v="YADIRA COBOS ROMERO"/>
    <s v="RETAIL"/>
    <x v="26"/>
    <x v="0"/>
    <e v="#NAME?"/>
    <s v="SDATOOL-39834 $ Recaudo en Línea Secretaría de Hacienda Distrital - Fase II: Solución paramétrica de recaudos para la inclusión de 7 formularios tributarios en Canales electrónicos Web y Corresponsal Bancario."/>
    <n v="0.05"/>
    <x v="1"/>
    <x v="1"/>
    <m/>
    <e v="#NAME?"/>
    <e v="#NAME?"/>
    <e v="#NAME?"/>
    <m/>
    <m/>
    <m/>
    <m/>
    <m/>
    <m/>
  </r>
  <r>
    <s v="C796552"/>
    <s v="YADIRA COBOS ROMERO"/>
    <s v="RETAIL"/>
    <x v="26"/>
    <x v="0"/>
    <e v="#NAME?"/>
    <s v="SDATOOL-39840 $ BBVA Valores en Canales (Net Cash / Net)"/>
    <n v="0.05"/>
    <x v="1"/>
    <x v="1"/>
    <m/>
    <e v="#NAME?"/>
    <e v="#NAME?"/>
    <e v="#NAME?"/>
    <m/>
    <m/>
    <m/>
    <m/>
    <m/>
    <m/>
  </r>
  <r>
    <s v="C796552"/>
    <s v="YADIRA COBOS ROMERO"/>
    <s v="RETAIL"/>
    <x v="26"/>
    <x v="0"/>
    <e v="#NAME?"/>
    <s v="SDATOOL-9053 $ GloMo Colombia"/>
    <n v="0.15"/>
    <x v="1"/>
    <x v="1"/>
    <m/>
    <e v="#NAME?"/>
    <e v="#NAME?"/>
    <e v="#NAME?"/>
    <m/>
    <m/>
    <m/>
    <m/>
    <m/>
    <m/>
  </r>
  <r>
    <s v="C808359"/>
    <s v="ARLEM CHINCHIA"/>
    <s v="RETAIL"/>
    <x v="26"/>
    <x v="0"/>
    <e v="#NAME?"/>
    <s v="NOSDA $ BAU (Mantenimiento y peq. evolutivos)"/>
    <n v="1"/>
    <x v="0"/>
    <x v="5"/>
    <m/>
    <e v="#NAME?"/>
    <e v="#NAME?"/>
    <e v="#NAME?"/>
    <m/>
    <m/>
    <m/>
    <m/>
    <m/>
    <m/>
  </r>
  <r>
    <s v="CE51863"/>
    <s v="EDNA ROCIO MONCADA"/>
    <s v="RETAIL"/>
    <x v="26"/>
    <x v="2"/>
    <e v="#NAME?"/>
    <s v="NOSDA $ BAU (Mantenimiento y peq. evolutivos)"/>
    <n v="0.02"/>
    <x v="2"/>
    <x v="1"/>
    <m/>
    <e v="#NAME?"/>
    <e v="#NAME?"/>
    <e v="#NAME?"/>
    <m/>
    <m/>
    <m/>
    <m/>
    <m/>
    <m/>
  </r>
  <r>
    <s v="CE51863"/>
    <s v="EDNA ROCIO MONCADA"/>
    <s v="RETAIL"/>
    <x v="26"/>
    <x v="2"/>
    <e v="#NAME?"/>
    <s v="SDATOOL-38527 $ Pagaré Electrónico en flujos de Contratación digital"/>
    <n v="0.02"/>
    <x v="2"/>
    <x v="1"/>
    <m/>
    <e v="#NAME?"/>
    <e v="#NAME?"/>
    <e v="#NAME?"/>
    <m/>
    <m/>
    <m/>
    <m/>
    <m/>
    <m/>
  </r>
  <r>
    <s v="CE51863"/>
    <s v="EDNA ROCIO MONCADA"/>
    <s v="RETAIL"/>
    <x v="26"/>
    <x v="2"/>
    <e v="#NAME?"/>
    <s v="SDATOOL-9053 $ GloMo Colombia"/>
    <n v="0.02"/>
    <x v="2"/>
    <x v="1"/>
    <m/>
    <e v="#NAME?"/>
    <e v="#NAME?"/>
    <e v="#NAME?"/>
    <m/>
    <m/>
    <m/>
    <m/>
    <m/>
    <m/>
  </r>
  <r>
    <s v="CE51863"/>
    <s v="EDNA ROCIO MONCADA"/>
    <s v="RETAIL"/>
    <x v="26"/>
    <x v="2"/>
    <e v="#NAME?"/>
    <s v="SDATOOL-39246 $ Nuevo tipo de identificación para extranjeros"/>
    <n v="0.02"/>
    <x v="2"/>
    <x v="1"/>
    <m/>
    <e v="#NAME?"/>
    <e v="#NAME?"/>
    <e v="#NAME?"/>
    <m/>
    <m/>
    <m/>
    <m/>
    <m/>
    <m/>
  </r>
  <r>
    <s v="CE51863"/>
    <s v="EDNA ROCIO MONCADA"/>
    <s v="RETAIL"/>
    <x v="26"/>
    <x v="2"/>
    <e v="#NAME?"/>
    <s v="SDATOOL-39840 $ BBVA Valores en Canales (Net Cash / Net)"/>
    <n v="0.02"/>
    <x v="2"/>
    <x v="1"/>
    <m/>
    <e v="#NAME?"/>
    <e v="#NAME?"/>
    <e v="#NAME?"/>
    <m/>
    <m/>
    <m/>
    <m/>
    <m/>
    <m/>
  </r>
  <r>
    <s v="CE70177"/>
    <s v="ADRIANA MERCEDES GOMEZ"/>
    <s v="RETAIL"/>
    <x v="26"/>
    <x v="1"/>
    <e v="#NAME?"/>
    <s v="SDATOOL-39840 $ BBVA Valores en Canales (Net Cash / Net)"/>
    <n v="0.9"/>
    <x v="2"/>
    <x v="1"/>
    <m/>
    <e v="#NAME?"/>
    <e v="#NAME?"/>
    <e v="#NAME?"/>
    <m/>
    <m/>
    <m/>
    <m/>
    <m/>
    <m/>
  </r>
  <r>
    <s v="C941085"/>
    <s v="CARLOS FRANCISCO TOVAR LOSADA"/>
    <s v="RETAIL"/>
    <x v="26"/>
    <x v="0"/>
    <e v="#NAME?"/>
    <s v="NOSDA $ BAU (Mantenimiento y peq. evolutivos)"/>
    <n v="1"/>
    <x v="0"/>
    <x v="1"/>
    <m/>
    <e v="#NAME?"/>
    <e v="#NAME?"/>
    <e v="#NAME?"/>
    <m/>
    <m/>
    <m/>
    <m/>
    <m/>
    <m/>
  </r>
  <r>
    <s v="T008622  "/>
    <s v="CAROLINA GARZÓN"/>
    <s v="RETAIL"/>
    <x v="26"/>
    <x v="9"/>
    <e v="#NAME?"/>
    <s v="NOSDA $ BAU (Mantenimiento y peq. evolutivos)"/>
    <n v="1"/>
    <x v="0"/>
    <x v="1"/>
    <m/>
    <e v="#NAME?"/>
    <e v="#NAME?"/>
    <e v="#NAME?"/>
    <m/>
    <m/>
    <m/>
    <m/>
    <m/>
    <m/>
  </r>
  <r>
    <s v="T000288"/>
    <s v="DAVID FERNANDO MENDIETA"/>
    <s v="RETAIL"/>
    <x v="26"/>
    <x v="9"/>
    <e v="#NAME?"/>
    <s v="NOSDA $ BAU (Mantenimiento y peq. evolutivos)"/>
    <n v="1"/>
    <x v="0"/>
    <x v="3"/>
    <m/>
    <e v="#NAME?"/>
    <e v="#NAME?"/>
    <e v="#NAME?"/>
    <m/>
    <m/>
    <m/>
    <m/>
    <m/>
    <m/>
  </r>
  <r>
    <s v="C985155"/>
    <s v="DIANA CAROLINA ARTEAGA"/>
    <s v="RETAIL"/>
    <x v="26"/>
    <x v="0"/>
    <e v="#NAME?"/>
    <s v="NOSDA $ BAU (Mantenimiento y peq. evolutivos)"/>
    <n v="1"/>
    <x v="0"/>
    <x v="0"/>
    <m/>
    <e v="#NAME?"/>
    <e v="#NAME?"/>
    <e v="#NAME?"/>
    <m/>
    <m/>
    <m/>
    <m/>
    <m/>
    <m/>
  </r>
  <r>
    <s v="O001647"/>
    <s v="EDISON RAMÍREZ"/>
    <s v="RETAIL"/>
    <x v="26"/>
    <x v="0"/>
    <e v="#NAME?"/>
    <s v="SDATOOL-9053 $ GloMo Colombia"/>
    <n v="0.8"/>
    <x v="0"/>
    <x v="0"/>
    <m/>
    <e v="#NAME?"/>
    <e v="#NAME?"/>
    <e v="#NAME?"/>
    <m/>
    <m/>
    <m/>
    <m/>
    <m/>
    <m/>
  </r>
  <r>
    <s v="O001647"/>
    <s v="EDISON RAMÍREZ"/>
    <s v="RETAIL"/>
    <x v="26"/>
    <x v="0"/>
    <e v="#NAME?"/>
    <s v="NOSDA $ BAU (Mantenimiento y peq. evolutivos)"/>
    <n v="0.2"/>
    <x v="0"/>
    <x v="0"/>
    <m/>
    <e v="#NAME?"/>
    <e v="#NAME?"/>
    <e v="#NAME?"/>
    <m/>
    <m/>
    <m/>
    <m/>
    <m/>
    <m/>
  </r>
  <r>
    <s v="C821589"/>
    <s v="EDWARD MORENO"/>
    <s v="RETAIL"/>
    <x v="26"/>
    <x v="0"/>
    <e v="#NAME?"/>
    <s v="SDATOOL-39246 $ Nuevo tipo de identificación para extranjeros"/>
    <n v="1"/>
    <x v="0"/>
    <x v="2"/>
    <m/>
    <e v="#NAME?"/>
    <e v="#NAME?"/>
    <e v="#NAME?"/>
    <m/>
    <m/>
    <m/>
    <m/>
    <m/>
    <m/>
  </r>
  <r>
    <s v="T009381"/>
    <s v="JAIBER DAIVISON NOVA"/>
    <s v="RETAIL"/>
    <x v="26"/>
    <x v="9"/>
    <e v="#NAME?"/>
    <s v="NOSDA $ BAU (Mantenimiento y peq. evolutivos)"/>
    <n v="1"/>
    <x v="0"/>
    <x v="0"/>
    <m/>
    <e v="#NAME?"/>
    <e v="#NAME?"/>
    <e v="#NAME?"/>
    <m/>
    <m/>
    <m/>
    <m/>
    <m/>
    <m/>
  </r>
  <r>
    <s v="CE57299"/>
    <s v="JENNIFER ZAMORA"/>
    <s v="RETAIL"/>
    <x v="26"/>
    <x v="9"/>
    <e v="#NAME?"/>
    <s v="SDATOOL-38527 $ Pagaré Electrónico en flujos de Contratación digital"/>
    <n v="1"/>
    <x v="0"/>
    <x v="2"/>
    <m/>
    <e v="#NAME?"/>
    <e v="#NAME?"/>
    <e v="#NAME?"/>
    <m/>
    <m/>
    <m/>
    <m/>
    <m/>
    <m/>
  </r>
  <r>
    <s v="T007581"/>
    <s v="FHERNEY ANDRIAN SILVA"/>
    <s v="RETAIL"/>
    <x v="26"/>
    <x v="6"/>
    <e v="#NAME?"/>
    <s v="SDATOOL-38527 $ Pagaré Electrónico en flujos de Contratación digital"/>
    <n v="1"/>
    <x v="0"/>
    <x v="3"/>
    <m/>
    <e v="#NAME?"/>
    <e v="#NAME?"/>
    <e v="#NAME?"/>
    <m/>
    <m/>
    <m/>
    <m/>
    <m/>
    <m/>
  </r>
  <r>
    <s v="CE61541"/>
    <s v="JESUS ANDRÉS CARDENAS"/>
    <s v="RETAIL"/>
    <x v="26"/>
    <x v="9"/>
    <e v="#NAME?"/>
    <s v="SDATOOL-9053 $ GloMo Colombia"/>
    <n v="0.9"/>
    <x v="2"/>
    <x v="1"/>
    <m/>
    <e v="#NAME?"/>
    <e v="#NAME?"/>
    <e v="#NAME?"/>
    <m/>
    <m/>
    <m/>
    <m/>
    <m/>
    <m/>
  </r>
  <r>
    <s v="CE69109"/>
    <s v="LUIS FELIPE GONZÁLEZ"/>
    <s v="RETAIL"/>
    <x v="26"/>
    <x v="9"/>
    <e v="#NAME?"/>
    <s v="NOSDA $ BAU (Mantenimiento y peq. evolutivos)"/>
    <n v="1"/>
    <x v="0"/>
    <x v="2"/>
    <m/>
    <e v="#NAME?"/>
    <e v="#NAME?"/>
    <e v="#NAME?"/>
    <m/>
    <m/>
    <m/>
    <m/>
    <m/>
    <m/>
  </r>
  <r>
    <s v="CE17709"/>
    <s v="LUZ  STELLA MARTINEZ"/>
    <s v="RETAIL"/>
    <x v="26"/>
    <x v="2"/>
    <e v="#NAME?"/>
    <s v="SDATOOL-38527 $ Pagaré Electrónico en flujos de Contratación digital"/>
    <n v="1"/>
    <x v="2"/>
    <x v="1"/>
    <m/>
    <e v="#NAME?"/>
    <e v="#NAME?"/>
    <e v="#NAME?"/>
    <m/>
    <m/>
    <m/>
    <m/>
    <m/>
    <m/>
  </r>
  <r>
    <s v="CE51863"/>
    <s v="EDNA ROCIO MONCADA"/>
    <s v="RETAIL"/>
    <x v="26"/>
    <x v="2"/>
    <e v="#NAME?"/>
    <s v="SDATOOL-38527 $ Pagaré Electrónico en flujos de Contratación digital"/>
    <n v="0.02"/>
    <x v="2"/>
    <x v="1"/>
    <m/>
    <e v="#NAME?"/>
    <e v="#NAME?"/>
    <e v="#NAME?"/>
    <m/>
    <m/>
    <m/>
    <m/>
    <m/>
    <m/>
  </r>
  <r>
    <s v="C810755"/>
    <s v="MARÍA ALEJANDRA VARÓN"/>
    <s v="RETAIL"/>
    <x v="26"/>
    <x v="0"/>
    <e v="#NAME?"/>
    <s v="SDATOOL-39246 $ Nuevo tipo de identificación para extranjeros"/>
    <n v="0.5"/>
    <x v="0"/>
    <x v="5"/>
    <m/>
    <e v="#NAME?"/>
    <e v="#NAME?"/>
    <e v="#NAME?"/>
    <m/>
    <m/>
    <m/>
    <m/>
    <m/>
    <m/>
  </r>
  <r>
    <s v="C810755"/>
    <s v="MARÍA ALEJANDRA VARÓN"/>
    <s v="RETAIL"/>
    <x v="26"/>
    <x v="0"/>
    <e v="#NAME?"/>
    <s v="NOSDA $ BAU (Mantenimiento y peq. evolutivos)"/>
    <n v="0.5"/>
    <x v="0"/>
    <x v="5"/>
    <m/>
    <e v="#NAME?"/>
    <e v="#NAME?"/>
    <e v="#NAME?"/>
    <m/>
    <m/>
    <m/>
    <m/>
    <m/>
    <m/>
  </r>
  <r>
    <s v="CE66887"/>
    <s v="NICOLAS BOLIVAR BATTLE"/>
    <s v="RETAIL"/>
    <x v="26"/>
    <x v="2"/>
    <e v="#NAME?"/>
    <s v="SDATOOL-38527 $ Pagaré Electrónico en flujos de Contratación digital"/>
    <n v="1"/>
    <x v="2"/>
    <x v="1"/>
    <m/>
    <e v="#NAME?"/>
    <e v="#NAME?"/>
    <e v="#NAME?"/>
    <m/>
    <m/>
    <m/>
    <m/>
    <m/>
    <m/>
  </r>
  <r>
    <s v="C805907"/>
    <s v="OSCAR DARIO VELÁSQUEZ"/>
    <s v="RETAIL"/>
    <x v="26"/>
    <x v="0"/>
    <e v="#NAME?"/>
    <s v="SDATOOL-39246 $ Nuevo tipo de identificación para extranjeros"/>
    <n v="0.25"/>
    <x v="0"/>
    <x v="5"/>
    <m/>
    <e v="#NAME?"/>
    <e v="#NAME?"/>
    <e v="#NAME?"/>
    <m/>
    <m/>
    <m/>
    <m/>
    <m/>
    <m/>
  </r>
  <r>
    <s v="C805907"/>
    <s v="OSCAR DARIO VELÁSQUEZ"/>
    <s v="RETAIL"/>
    <x v="26"/>
    <x v="0"/>
    <e v="#NAME?"/>
    <s v="SDATOOL-9053 $ GloMo Colombia"/>
    <n v="0.75"/>
    <x v="0"/>
    <x v="5"/>
    <m/>
    <e v="#NAME?"/>
    <e v="#NAME?"/>
    <e v="#NAME?"/>
    <m/>
    <m/>
    <m/>
    <m/>
    <m/>
    <m/>
  </r>
  <r>
    <s v="CE61541"/>
    <s v="JESUS ANDRÉS CARDENAS"/>
    <s v="RETAIL"/>
    <x v="26"/>
    <x v="9"/>
    <e v="#NAME?"/>
    <s v="SDATOOL-9053 $ GloMo Colombia"/>
    <n v="0.1"/>
    <x v="2"/>
    <x v="1"/>
    <m/>
    <e v="#NAME?"/>
    <e v="#NAME?"/>
    <e v="#NAME?"/>
    <m/>
    <m/>
    <m/>
    <m/>
    <m/>
    <m/>
  </r>
  <r>
    <s v="CE67019"/>
    <s v="REINALDO CUARIN"/>
    <s v="RETAIL"/>
    <x v="26"/>
    <x v="9"/>
    <e v="#NAME?"/>
    <s v="SDATOOL-39840 $ BBVA Valores en Canales (Net Cash / Net)"/>
    <n v="1"/>
    <x v="0"/>
    <x v="4"/>
    <m/>
    <e v="#NAME?"/>
    <e v="#NAME?"/>
    <e v="#NAME?"/>
    <m/>
    <m/>
    <m/>
    <m/>
    <m/>
    <m/>
  </r>
  <r>
    <s v="CE69265"/>
    <s v="SANTIAGO MARTINEZ"/>
    <s v="RETAIL"/>
    <x v="26"/>
    <x v="1"/>
    <e v="#NAME?"/>
    <s v="SDATOOL-9053 $ GloMo Colombia"/>
    <n v="1"/>
    <x v="2"/>
    <x v="1"/>
    <m/>
    <e v="#NAME?"/>
    <e v="#NAME?"/>
    <e v="#NAME?"/>
    <m/>
    <m/>
    <m/>
    <m/>
    <m/>
    <m/>
  </r>
  <r>
    <s v="O001980"/>
    <s v="YESID ALEXANDER ROA VEGA"/>
    <s v="RETAIL"/>
    <x v="26"/>
    <x v="0"/>
    <e v="#NAME?"/>
    <s v="NOSDA $ BAU (Mantenimiento y peq. evolutivos)"/>
    <n v="0.7"/>
    <x v="0"/>
    <x v="1"/>
    <m/>
    <e v="#NAME?"/>
    <e v="#NAME?"/>
    <e v="#NAME?"/>
    <m/>
    <m/>
    <m/>
    <m/>
    <m/>
    <m/>
  </r>
  <r>
    <s v="O001980"/>
    <s v="YESID ALEXANDER ROA VEGA"/>
    <s v="RETAIL"/>
    <x v="26"/>
    <x v="0"/>
    <e v="#NAME?"/>
    <s v="SDATOOL-38527 $ Pagaré Electrónico en flujos de Contratación digital"/>
    <n v="0.3"/>
    <x v="0"/>
    <x v="1"/>
    <m/>
    <e v="#NAME?"/>
    <e v="#NAME?"/>
    <e v="#NAME?"/>
    <m/>
    <m/>
    <m/>
    <m/>
    <m/>
    <m/>
  </r>
  <r>
    <s v="O001850"/>
    <s v="ANDERSSON SALINAS"/>
    <s v="RETAIL"/>
    <x v="26"/>
    <x v="0"/>
    <e v="#NAME?"/>
    <s v="SDATOOL-39834 $ Recaudo en Línea Secretaría de Hacienda Distrital - Fase II: Solución paramétrica de recaudos para la inclusión de 7 formularios tributarios en Canales electrónicos Web y Corresponsal Bancario."/>
    <n v="0.5"/>
    <x v="0"/>
    <x v="5"/>
    <m/>
    <e v="#NAME?"/>
    <e v="#NAME?"/>
    <e v="#NAME?"/>
    <m/>
    <m/>
    <m/>
    <m/>
    <m/>
    <m/>
  </r>
  <r>
    <s v="O001850"/>
    <s v="ANDERSSON SALINAS"/>
    <s v="RETAIL"/>
    <x v="26"/>
    <x v="0"/>
    <e v="#NAME?"/>
    <s v="NOSDA $ BAU (Mantenimiento y peq. evolutivos)"/>
    <n v="0.5"/>
    <x v="0"/>
    <x v="5"/>
    <m/>
    <e v="#NAME?"/>
    <e v="#NAME?"/>
    <e v="#NAME?"/>
    <m/>
    <m/>
    <m/>
    <m/>
    <m/>
    <m/>
  </r>
  <r>
    <s v="CE67484"/>
    <s v="JUAN CARLOS SALDAÑA"/>
    <s v="CIB &amp; COMEX - FIDUCIARIA"/>
    <x v="16"/>
    <x v="20"/>
    <e v="#NAME?"/>
    <s v="SDATOOL-38735 $ Dynamic Pricing"/>
    <n v="0.25"/>
    <x v="0"/>
    <x v="0"/>
    <m/>
    <e v="#NAME?"/>
    <e v="#NAME?"/>
    <e v="#NAME?"/>
    <m/>
    <m/>
    <m/>
    <m/>
    <m/>
    <m/>
  </r>
  <r>
    <s v="CE61162"/>
    <s v="JOSE PERFECTO"/>
    <s v="CIB &amp; COMEX - FIDUCIARIA"/>
    <x v="16"/>
    <x v="20"/>
    <e v="#NAME?"/>
    <s v="SDATOOL-38735 $ Dynamic Pricing"/>
    <n v="0.3"/>
    <x v="0"/>
    <x v="0"/>
    <m/>
    <e v="#NAME?"/>
    <e v="#NAME?"/>
    <e v="#NAME?"/>
    <m/>
    <m/>
    <m/>
    <m/>
    <m/>
    <m/>
  </r>
  <r>
    <s v="T003696"/>
    <s v="LUIS LOZANO"/>
    <s v="CIB &amp; COMEX - FIDUCIARIA"/>
    <x v="16"/>
    <x v="20"/>
    <e v="#NAME?"/>
    <s v="SDATOOL-38735 $ Dynamic Pricing"/>
    <n v="0.2"/>
    <x v="0"/>
    <x v="0"/>
    <m/>
    <e v="#NAME?"/>
    <e v="#NAME?"/>
    <e v="#NAME?"/>
    <m/>
    <m/>
    <m/>
    <m/>
    <m/>
    <m/>
  </r>
  <r>
    <s v="CE42052"/>
    <s v="SAMUEL ANDRES JIMENEZ RODRIGUEZ"/>
    <s v="CIB &amp; COMEX - FIDUCIARIA"/>
    <x v="16"/>
    <x v="9"/>
    <e v="#NAME?"/>
    <s v="SDATOOL-38735 $ Dynamic Pricing"/>
    <n v="0.1"/>
    <x v="0"/>
    <x v="0"/>
    <m/>
    <e v="#NAME?"/>
    <e v="#NAME?"/>
    <e v="#NAME?"/>
    <m/>
    <m/>
    <m/>
    <m/>
    <m/>
    <m/>
  </r>
  <r>
    <s v="T003497"/>
    <s v="ADRIAN DUCUARA BENITEZ"/>
    <s v="CORE"/>
    <x v="15"/>
    <x v="20"/>
    <e v="#NAME?"/>
    <s v="SDATOOL-34157 $ Evolutivo Parthnership - Crédito en punto de venta de Aliados"/>
    <n v="1"/>
    <x v="0"/>
    <x v="5"/>
    <m/>
    <e v="#NAME?"/>
    <e v="#NAME?"/>
    <e v="#NAME?"/>
    <m/>
    <m/>
    <m/>
    <m/>
    <m/>
    <n v="1"/>
  </r>
  <r>
    <s v="T000410"/>
    <s v="ANDRES ALEJANDRO FAJARDO TORRES"/>
    <s v="CORE"/>
    <x v="15"/>
    <x v="15"/>
    <e v="#NAME?"/>
    <s v="SDATOOL-36548 $ Optimización consumo web - Plan ascenso Open Market"/>
    <n v="0.7"/>
    <x v="0"/>
    <x v="5"/>
    <m/>
    <e v="#NAME?"/>
    <e v="#NAME?"/>
    <e v="#NAME?"/>
    <m/>
    <m/>
    <m/>
    <m/>
    <m/>
    <n v="1"/>
  </r>
  <r>
    <s v="T000410"/>
    <s v="ANDRES ALEJANDRO FAJARDO TORRES"/>
    <s v="CORE"/>
    <x v="15"/>
    <x v="15"/>
    <e v="#NAME?"/>
    <s v="SDATOOL-39272 $ GRM-Col-Cambio servicio APL (Aportes en línea)"/>
    <n v="0.3"/>
    <x v="0"/>
    <x v="5"/>
    <m/>
    <e v="#NAME?"/>
    <e v="#NAME?"/>
    <e v="#NAME?"/>
    <m/>
    <m/>
    <m/>
    <m/>
    <m/>
    <n v="0"/>
  </r>
  <r>
    <s v="CE67848"/>
    <s v="ANDRES ALFONSO VARELO SILGADO"/>
    <s v="CORE"/>
    <x v="15"/>
    <x v="20"/>
    <e v="#NAME?"/>
    <s v="SDATOOL-34887 $ Vivienda Digital Open Market"/>
    <n v="0.1"/>
    <x v="0"/>
    <x v="4"/>
    <m/>
    <e v="#NAME?"/>
    <e v="#NAME?"/>
    <e v="#NAME?"/>
    <m/>
    <m/>
    <m/>
    <m/>
    <m/>
    <n v="1"/>
  </r>
  <r>
    <s v="CE67848"/>
    <s v="ANDRES ALFONSO VARELO SILGADO"/>
    <s v="CORE"/>
    <x v="15"/>
    <x v="20"/>
    <e v="#NAME?"/>
    <s v="SDATOOL-39836 $ Vivienda digital fase III"/>
    <n v="0.7"/>
    <x v="0"/>
    <x v="4"/>
    <m/>
    <e v="#NAME?"/>
    <e v="#NAME?"/>
    <e v="#NAME?"/>
    <m/>
    <m/>
    <m/>
    <m/>
    <m/>
    <n v="0"/>
  </r>
  <r>
    <s v="CE67848"/>
    <s v="ANDRES ALFONSO VARELO SILGADO"/>
    <s v="CORE"/>
    <x v="15"/>
    <x v="20"/>
    <e v="#NAME?"/>
    <s v="SDATOOL-39272 $ GRM-Col-Cambio servicio APL (Aportes en línea)"/>
    <n v="0.2"/>
    <x v="0"/>
    <x v="4"/>
    <m/>
    <e v="#NAME?"/>
    <e v="#NAME?"/>
    <e v="#NAME?"/>
    <m/>
    <m/>
    <m/>
    <m/>
    <m/>
    <n v="0"/>
  </r>
  <r>
    <s v="T004062"/>
    <s v="ANDRES FELIPE FANDINO QUECANA"/>
    <s v="CORE"/>
    <x v="15"/>
    <x v="1"/>
    <e v="#NAME?"/>
    <s v="SDATOOL-41752 $ Consumo Openmk con Biometría Obligatoria por Nácar para desembolsar"/>
    <n v="1"/>
    <x v="2"/>
    <x v="0"/>
    <m/>
    <e v="#NAME?"/>
    <e v="#NAME?"/>
    <e v="#NAME?"/>
    <m/>
    <m/>
    <m/>
    <m/>
    <m/>
    <n v="1"/>
  </r>
  <r>
    <s v="T008459"/>
    <s v="ANDRÉS FELIPE FORERO"/>
    <s v="CORE"/>
    <x v="15"/>
    <x v="12"/>
    <e v="#NAME?"/>
    <s v="NOSDA $ BAU (Mantenimiento y peq. evolutivos)"/>
    <n v="1"/>
    <x v="0"/>
    <x v="2"/>
    <m/>
    <e v="#NAME?"/>
    <e v="#NAME?"/>
    <e v="#NAME?"/>
    <m/>
    <m/>
    <m/>
    <m/>
    <m/>
    <n v="1"/>
  </r>
  <r>
    <s v="CE70621"/>
    <s v="BRANDON AVILA"/>
    <s v="CORE"/>
    <x v="15"/>
    <x v="5"/>
    <e v="#NAME?"/>
    <s v="NOSDA $ BAU (Mantenimiento y peq. evolutivos)"/>
    <n v="1"/>
    <x v="2"/>
    <x v="2"/>
    <m/>
    <e v="#NAME?"/>
    <e v="#NAME?"/>
    <e v="#NAME?"/>
    <m/>
    <m/>
    <m/>
    <m/>
    <m/>
    <n v="1"/>
  </r>
  <r>
    <s v="CE69709"/>
    <s v="BRAYAN CAMILO VALCARCEL RIANO"/>
    <s v="CORE"/>
    <x v="15"/>
    <x v="1"/>
    <e v="#NAME?"/>
    <s v="SDATOOL-36548 $ Optimización consumo web - Plan ascenso Open Market"/>
    <n v="0.5"/>
    <x v="2"/>
    <x v="0"/>
    <m/>
    <e v="#NAME?"/>
    <e v="#NAME?"/>
    <e v="#NAME?"/>
    <m/>
    <m/>
    <m/>
    <m/>
    <m/>
    <n v="1"/>
  </r>
  <r>
    <s v="CE69709"/>
    <s v="BRAYAN CAMILO VALCARCEL RIANO"/>
    <s v="CORE"/>
    <x v="15"/>
    <x v="1"/>
    <e v="#NAME?"/>
    <s v="SDATOOL-39272 $ GRM-Col-Cambio servicio APL (Aportes en línea)"/>
    <n v="0.5"/>
    <x v="2"/>
    <x v="0"/>
    <m/>
    <e v="#NAME?"/>
    <e v="#NAME?"/>
    <e v="#NAME?"/>
    <m/>
    <m/>
    <m/>
    <m/>
    <m/>
    <n v="0"/>
  </r>
  <r>
    <s v="T000159"/>
    <s v="BRYAN SMITH PATIÑO"/>
    <s v="CORE"/>
    <x v="15"/>
    <x v="1"/>
    <e v="#NAME?"/>
    <s v="SDATOOL-35463 $ Gestión de Ingresos - Períodos de Gracia Libranzas"/>
    <n v="1"/>
    <x v="2"/>
    <x v="2"/>
    <m/>
    <e v="#NAME?"/>
    <e v="#NAME?"/>
    <e v="#NAME?"/>
    <m/>
    <m/>
    <m/>
    <m/>
    <m/>
    <n v="1"/>
  </r>
  <r>
    <s v="P009920"/>
    <s v="CAMILO ABELLA"/>
    <s v="CORE"/>
    <x v="15"/>
    <x v="20"/>
    <e v="#NAME?"/>
    <s v="SDATOOL-34887 $ Vivienda Digital Open Market"/>
    <n v="1"/>
    <x v="0"/>
    <x v="5"/>
    <m/>
    <e v="#NAME?"/>
    <e v="#NAME?"/>
    <e v="#NAME?"/>
    <m/>
    <m/>
    <m/>
    <m/>
    <m/>
    <n v="1"/>
  </r>
  <r>
    <s v="O001869"/>
    <s v="CAMILO CABRA"/>
    <s v="CORE"/>
    <x v="15"/>
    <x v="0"/>
    <e v="#NAME?"/>
    <s v="SDATOOL-35463 $ Gestión de Ingresos - Períodos de Gracia Libranzas"/>
    <n v="0.1"/>
    <x v="1"/>
    <x v="2"/>
    <m/>
    <e v="#NAME?"/>
    <e v="#NAME?"/>
    <e v="#NAME?"/>
    <m/>
    <m/>
    <m/>
    <m/>
    <m/>
    <n v="1"/>
  </r>
  <r>
    <s v="O001869"/>
    <s v="CAMILO CABRA"/>
    <s v="CORE"/>
    <x v="15"/>
    <x v="0"/>
    <e v="#NAME?"/>
    <s v="SDATOOL-33847 $ Resolución 0042 DIAN Documento Soporte"/>
    <n v="0.05"/>
    <x v="1"/>
    <x v="1"/>
    <m/>
    <e v="#NAME?"/>
    <e v="#NAME?"/>
    <e v="#NAME?"/>
    <m/>
    <m/>
    <m/>
    <m/>
    <m/>
    <n v="0"/>
  </r>
  <r>
    <s v="O001869"/>
    <s v="CAMILO CABRA"/>
    <s v="CORE"/>
    <x v="15"/>
    <x v="0"/>
    <e v="#NAME?"/>
    <s v="SDATOOL-33846 $ SREP Data Quality- BCBS239 - Colombia"/>
    <n v="0.05"/>
    <x v="1"/>
    <x v="1"/>
    <m/>
    <e v="#NAME?"/>
    <e v="#NAME?"/>
    <e v="#NAME?"/>
    <m/>
    <m/>
    <m/>
    <m/>
    <m/>
    <n v="0"/>
  </r>
  <r>
    <s v="O001869"/>
    <s v="CAMILO CABRA"/>
    <s v="CORE"/>
    <x v="15"/>
    <x v="0"/>
    <e v="#NAME?"/>
    <s v="SDATOOL-34157 $ Evolutivo Parthnership - Crédito en punto de venta de Aliados"/>
    <n v="0.15"/>
    <x v="1"/>
    <x v="1"/>
    <m/>
    <e v="#NAME?"/>
    <e v="#NAME?"/>
    <e v="#NAME?"/>
    <m/>
    <m/>
    <m/>
    <m/>
    <m/>
    <n v="0"/>
  </r>
  <r>
    <s v="O001869"/>
    <s v="CAMILO CABRA"/>
    <s v="CORE"/>
    <x v="15"/>
    <x v="0"/>
    <e v="#NAME?"/>
    <s v="SDATOOL-40877 $ Centralización Garantías Especiales"/>
    <n v="0.05"/>
    <x v="1"/>
    <x v="1"/>
    <m/>
    <e v="#NAME?"/>
    <e v="#NAME?"/>
    <e v="#NAME?"/>
    <m/>
    <m/>
    <m/>
    <m/>
    <m/>
    <n v="0"/>
  </r>
  <r>
    <s v="O001869"/>
    <s v="CAMILO CABRA"/>
    <s v="CORE"/>
    <x v="15"/>
    <x v="0"/>
    <e v="#NAME?"/>
    <s v="SDATOOL-40062 $ Implementación FGA en flujos de contratación digital"/>
    <n v="0.2"/>
    <x v="1"/>
    <x v="1"/>
    <m/>
    <e v="#NAME?"/>
    <e v="#NAME?"/>
    <e v="#NAME?"/>
    <m/>
    <m/>
    <m/>
    <m/>
    <m/>
    <n v="0"/>
  </r>
  <r>
    <s v="O001869"/>
    <s v="CAMILO CABRA"/>
    <s v="CORE"/>
    <x v="15"/>
    <x v="0"/>
    <e v="#NAME?"/>
    <s v="SDATOOL-40466 $ Garantía FAG"/>
    <n v="0.15"/>
    <x v="1"/>
    <x v="1"/>
    <m/>
    <e v="#NAME?"/>
    <e v="#NAME?"/>
    <e v="#NAME?"/>
    <m/>
    <m/>
    <m/>
    <m/>
    <m/>
    <n v="0"/>
  </r>
  <r>
    <s v="O001869"/>
    <s v="CAMILO CABRA"/>
    <s v="CORE"/>
    <x v="15"/>
    <x v="0"/>
    <e v="#NAME?"/>
    <s v="SDATOOL-41729 $ SEGUNDA LIBRANZA - APLICACION PAGOS Y VoBo PAGADOR"/>
    <n v="0.1"/>
    <x v="1"/>
    <x v="1"/>
    <m/>
    <e v="#NAME?"/>
    <e v="#NAME?"/>
    <e v="#NAME?"/>
    <m/>
    <m/>
    <m/>
    <m/>
    <m/>
    <n v="0"/>
  </r>
  <r>
    <s v="O001869"/>
    <s v="CAMILO CABRA"/>
    <s v="CORE"/>
    <x v="15"/>
    <x v="0"/>
    <e v="#NAME?"/>
    <s v="SDATOOL-40225 $ Resolución 0124 Dian - 2021 - Ajustes para Reporte de Información Exógena año gravable 2022 - Ciclo 1"/>
    <n v="0.05"/>
    <x v="1"/>
    <x v="1"/>
    <m/>
    <e v="#NAME?"/>
    <e v="#NAME?"/>
    <e v="#NAME?"/>
    <m/>
    <m/>
    <m/>
    <m/>
    <m/>
    <n v="0"/>
  </r>
  <r>
    <s v="O001869"/>
    <s v="CAMILO CABRA"/>
    <s v="CORE"/>
    <x v="15"/>
    <x v="0"/>
    <e v="#NAME?"/>
    <s v="NOSDA $ BAU (Mantenimiento y peq. evolutivos)"/>
    <n v="0.1"/>
    <x v="1"/>
    <x v="1"/>
    <m/>
    <e v="#NAME?"/>
    <e v="#NAME?"/>
    <e v="#NAME?"/>
    <m/>
    <m/>
    <m/>
    <m/>
    <m/>
    <n v="0"/>
  </r>
  <r>
    <s v="CE30638"/>
    <s v="CESAR AUGUSTO MOLANO RUEDA"/>
    <s v="CORE"/>
    <x v="15"/>
    <x v="5"/>
    <e v="#NAME?"/>
    <s v="SDATOOL-36548 $ Optimización consumo web - Plan ascenso Open Market"/>
    <n v="1"/>
    <x v="0"/>
    <x v="2"/>
    <m/>
    <e v="#NAME?"/>
    <e v="#NAME?"/>
    <e v="#NAME?"/>
    <m/>
    <m/>
    <m/>
    <m/>
    <m/>
    <n v="1"/>
  </r>
  <r>
    <s v="C805965"/>
    <s v="CRISTIAN ESNEIDER VELASQUEZ"/>
    <s v="CORE"/>
    <x v="15"/>
    <x v="0"/>
    <e v="#NAME?"/>
    <s v="SDATOOL-34157 $ Evolutivo Parthnership - Crédito en punto de venta de Aliados"/>
    <n v="0.1"/>
    <x v="0"/>
    <x v="4"/>
    <m/>
    <e v="#NAME?"/>
    <e v="#NAME?"/>
    <e v="#NAME?"/>
    <m/>
    <m/>
    <m/>
    <m/>
    <m/>
    <n v="1"/>
  </r>
  <r>
    <s v="C805965"/>
    <s v="CRISTIAN ESNEIDER VELASQUEZ"/>
    <s v="CORE"/>
    <x v="15"/>
    <x v="0"/>
    <e v="#NAME?"/>
    <s v="SDATOOL-34157 $ Evolutivo Parthnership - Crédito en punto de venta de Aliados"/>
    <n v="0.1"/>
    <x v="0"/>
    <x v="4"/>
    <m/>
    <e v="#NAME?"/>
    <e v="#NAME?"/>
    <e v="#NAME?"/>
    <m/>
    <m/>
    <m/>
    <m/>
    <m/>
    <n v="0"/>
  </r>
  <r>
    <s v="C805965"/>
    <s v="CRISTIAN ESNEIDER VELASQUEZ"/>
    <s v="CORE"/>
    <x v="15"/>
    <x v="0"/>
    <e v="#NAME?"/>
    <s v="SDATOOL-40062 $ Implementación FGA en flujos de contratación digital"/>
    <n v="0.8"/>
    <x v="0"/>
    <x v="4"/>
    <m/>
    <e v="#NAME?"/>
    <e v="#NAME?"/>
    <e v="#NAME?"/>
    <m/>
    <m/>
    <m/>
    <m/>
    <m/>
    <n v="0"/>
  </r>
  <r>
    <s v="C342543"/>
    <s v="CRISTIAN FRANCISCO FERNANDEZ"/>
    <s v="CORE"/>
    <x v="15"/>
    <x v="0"/>
    <e v="#NAME?"/>
    <s v="SDATOOL-33847 $ Resolución 0042 DIAN Documento Soporte"/>
    <n v="0.1"/>
    <x v="0"/>
    <x v="2"/>
    <m/>
    <e v="#NAME?"/>
    <e v="#NAME?"/>
    <e v="#NAME?"/>
    <m/>
    <m/>
    <m/>
    <m/>
    <m/>
    <n v="1"/>
  </r>
  <r>
    <s v="C342543"/>
    <s v="CRISTIAN FRANCISCO FERNANDEZ"/>
    <s v="CORE"/>
    <x v="15"/>
    <x v="0"/>
    <e v="#NAME?"/>
    <s v="SDATOOL-33846 $ SREP Data Quality- BCBS239 - Colombia"/>
    <n v="0.1"/>
    <x v="0"/>
    <x v="2"/>
    <m/>
    <e v="#NAME?"/>
    <e v="#NAME?"/>
    <e v="#NAME?"/>
    <m/>
    <m/>
    <m/>
    <m/>
    <m/>
    <n v="0"/>
  </r>
  <r>
    <s v="C342543"/>
    <s v="CRISTIAN FRANCISCO FERNANDEZ"/>
    <s v="CORE"/>
    <x v="15"/>
    <x v="0"/>
    <e v="#NAME?"/>
    <s v="SDATOOL-41729 $ SEGUNDA LIBRANZA - APLICACION PAGOS Y VoBo PAGADOR"/>
    <n v="0.1"/>
    <x v="0"/>
    <x v="2"/>
    <m/>
    <e v="#NAME?"/>
    <e v="#NAME?"/>
    <e v="#NAME?"/>
    <m/>
    <m/>
    <m/>
    <m/>
    <m/>
    <n v="0"/>
  </r>
  <r>
    <s v="C342543"/>
    <s v="CRISTIAN FRANCISCO FERNANDEZ"/>
    <s v="CORE"/>
    <x v="15"/>
    <x v="0"/>
    <e v="#NAME?"/>
    <s v="SDATOOL-36548 $ Optimización consumo web - Plan ascenso Open Market"/>
    <n v="0.1"/>
    <x v="0"/>
    <x v="2"/>
    <m/>
    <e v="#NAME?"/>
    <e v="#NAME?"/>
    <e v="#NAME?"/>
    <m/>
    <m/>
    <m/>
    <m/>
    <m/>
    <n v="0"/>
  </r>
  <r>
    <s v="C342543"/>
    <s v="CRISTIAN FRANCISCO FERNANDEZ"/>
    <s v="CORE"/>
    <x v="15"/>
    <x v="0"/>
    <e v="#NAME?"/>
    <s v="SDATOOL-40466 $ Garantía FAG"/>
    <n v="0.1"/>
    <x v="0"/>
    <x v="2"/>
    <m/>
    <e v="#NAME?"/>
    <e v="#NAME?"/>
    <e v="#NAME?"/>
    <m/>
    <m/>
    <m/>
    <m/>
    <m/>
    <n v="0"/>
  </r>
  <r>
    <s v="C342543"/>
    <s v="CRISTIAN FRANCISCO FERNANDEZ"/>
    <s v="CORE"/>
    <x v="15"/>
    <x v="0"/>
    <e v="#NAME?"/>
    <s v="SDATOOL-42155 $ Ajustes en proceso de Titularización y recompra de cartera titularizada"/>
    <n v="0.1"/>
    <x v="0"/>
    <x v="2"/>
    <m/>
    <e v="#NAME?"/>
    <e v="#NAME?"/>
    <e v="#NAME?"/>
    <m/>
    <m/>
    <m/>
    <m/>
    <m/>
    <n v="0"/>
  </r>
  <r>
    <s v="C342543"/>
    <s v="CRISTIAN FRANCISCO FERNANDEZ"/>
    <s v="CORE"/>
    <x v="15"/>
    <x v="0"/>
    <e v="#NAME?"/>
    <s v="NOSDA $ BAU (Mantenimiento y peq. evolutivos)"/>
    <n v="0.4"/>
    <x v="0"/>
    <x v="2"/>
    <m/>
    <e v="#NAME?"/>
    <e v="#NAME?"/>
    <e v="#NAME?"/>
    <m/>
    <m/>
    <m/>
    <m/>
    <m/>
    <n v="0"/>
  </r>
  <r>
    <s v="CE66714"/>
    <s v="CRISTIAN STEVEN ABRIL ALDANA"/>
    <s v="CORE"/>
    <x v="15"/>
    <x v="6"/>
    <e v="#NAME?"/>
    <s v="SDATOOL-34887 $ Vivienda Digital Open Market"/>
    <n v="0.35"/>
    <x v="0"/>
    <x v="5"/>
    <m/>
    <e v="#NAME?"/>
    <e v="#NAME?"/>
    <e v="#NAME?"/>
    <m/>
    <m/>
    <m/>
    <m/>
    <m/>
    <n v="1"/>
  </r>
  <r>
    <s v="CE66714"/>
    <s v="CRISTIAN STEVEN ABRIL ALDANA"/>
    <s v="CORE"/>
    <x v="15"/>
    <x v="6"/>
    <e v="#NAME?"/>
    <s v="SDATOOL-39836 $ Vivienda digital fase III"/>
    <n v="0.3"/>
    <x v="0"/>
    <x v="5"/>
    <m/>
    <e v="#NAME?"/>
    <e v="#NAME?"/>
    <e v="#NAME?"/>
    <m/>
    <m/>
    <m/>
    <m/>
    <m/>
    <n v="0"/>
  </r>
  <r>
    <s v="CE66714"/>
    <s v="CRISTIAN STEVEN ABRIL ALDANA"/>
    <s v="CORE"/>
    <x v="15"/>
    <x v="6"/>
    <e v="#NAME?"/>
    <s v="SDATOOL-39272 $ GRM-Col-Cambio servicio APL (Aportes en línea)"/>
    <n v="0.35"/>
    <x v="0"/>
    <x v="5"/>
    <m/>
    <e v="#NAME?"/>
    <e v="#NAME?"/>
    <e v="#NAME?"/>
    <m/>
    <m/>
    <m/>
    <m/>
    <m/>
    <n v="0"/>
  </r>
  <r>
    <s v="CE67847"/>
    <s v="CRISTIAN STIVEN SÀNCHEZ RUBIO"/>
    <s v="CORE"/>
    <x v="15"/>
    <x v="5"/>
    <e v="#NAME?"/>
    <s v="SDATOOL-39836 $ Vivienda digital fase III"/>
    <n v="1"/>
    <x v="0"/>
    <x v="3"/>
    <m/>
    <e v="#NAME?"/>
    <e v="#NAME?"/>
    <e v="#NAME?"/>
    <m/>
    <m/>
    <m/>
    <m/>
    <m/>
    <n v="1"/>
  </r>
  <r>
    <s v="P002414"/>
    <s v="DANIEL BERNAL"/>
    <s v="CORE"/>
    <x v="15"/>
    <x v="6"/>
    <e v="#NAME?"/>
    <s v="SDATOOL-34887 $ Vivienda Digital Open Market"/>
    <n v="1"/>
    <x v="0"/>
    <x v="5"/>
    <m/>
    <e v="#NAME?"/>
    <e v="#NAME?"/>
    <e v="#NAME?"/>
    <m/>
    <m/>
    <m/>
    <m/>
    <m/>
    <n v="1"/>
  </r>
  <r>
    <s v="CE65598"/>
    <s v="DAVID GERMAN TORRES MOLANO"/>
    <s v="CORE"/>
    <x v="15"/>
    <x v="2"/>
    <e v="#NAME?"/>
    <s v="SDATOOL-34887 $ Vivienda Digital Open Market"/>
    <n v="0.3"/>
    <x v="2"/>
    <x v="0"/>
    <m/>
    <e v="#NAME?"/>
    <e v="#NAME?"/>
    <e v="#NAME?"/>
    <m/>
    <m/>
    <m/>
    <m/>
    <m/>
    <n v="1"/>
  </r>
  <r>
    <s v="CE65598"/>
    <s v="DAVID GERMAN TORRES MOLANO"/>
    <s v="CORE"/>
    <x v="15"/>
    <x v="2"/>
    <e v="#NAME?"/>
    <s v="SDATOOL-39836 $ Vivienda digital fase III"/>
    <n v="0.3"/>
    <x v="2"/>
    <x v="0"/>
    <m/>
    <e v="#NAME?"/>
    <e v="#NAME?"/>
    <e v="#NAME?"/>
    <m/>
    <m/>
    <m/>
    <m/>
    <m/>
    <n v="0"/>
  </r>
  <r>
    <s v="CE65598"/>
    <s v="DAVID GERMAN TORRES MOLANO"/>
    <s v="CORE"/>
    <x v="15"/>
    <x v="2"/>
    <e v="#NAME?"/>
    <s v="SDATOOL-39272 $ GRM-Col-Cambio servicio APL (Aportes en línea)"/>
    <n v="0.4"/>
    <x v="2"/>
    <x v="0"/>
    <m/>
    <e v="#NAME?"/>
    <e v="#NAME?"/>
    <e v="#NAME?"/>
    <m/>
    <m/>
    <m/>
    <m/>
    <m/>
    <n v="0"/>
  </r>
  <r>
    <s v="C342598"/>
    <s v="DEISON COLMENARES"/>
    <s v="CORE"/>
    <x v="15"/>
    <x v="0"/>
    <e v="#NAME?"/>
    <s v="SDATOOL-34887 $ Vivienda Digital Open Market"/>
    <n v="0.1"/>
    <x v="0"/>
    <x v="2"/>
    <m/>
    <e v="#NAME?"/>
    <e v="#NAME?"/>
    <e v="#NAME?"/>
    <m/>
    <m/>
    <m/>
    <m/>
    <m/>
    <n v="1"/>
  </r>
  <r>
    <s v="C342598"/>
    <s v="DEISON COLMENARES"/>
    <s v="CORE"/>
    <x v="15"/>
    <x v="0"/>
    <e v="#NAME?"/>
    <s v="SDATOOL-39836 $ Vivienda digital fase III"/>
    <n v="0.15"/>
    <x v="0"/>
    <x v="2"/>
    <m/>
    <e v="#NAME?"/>
    <e v="#NAME?"/>
    <e v="#NAME?"/>
    <m/>
    <m/>
    <m/>
    <m/>
    <m/>
    <n v="0"/>
  </r>
  <r>
    <s v="C342598"/>
    <s v="DEISON COLMENARES"/>
    <s v="CORE"/>
    <x v="15"/>
    <x v="0"/>
    <e v="#NAME?"/>
    <s v="SDATOOL-39272 $ GRM-Col-Cambio servicio APL (Aportes en línea)"/>
    <n v="0.2"/>
    <x v="0"/>
    <x v="2"/>
    <m/>
    <e v="#NAME?"/>
    <e v="#NAME?"/>
    <e v="#NAME?"/>
    <m/>
    <m/>
    <m/>
    <m/>
    <m/>
    <n v="0"/>
  </r>
  <r>
    <s v="C342598"/>
    <s v="DEISON COLMENARES"/>
    <s v="CORE"/>
    <x v="15"/>
    <x v="0"/>
    <e v="#NAME?"/>
    <s v="SDATOOL-37136 $ Conexión simulador vía API Vehículo digital"/>
    <n v="0.2"/>
    <x v="0"/>
    <x v="2"/>
    <m/>
    <e v="#NAME?"/>
    <e v="#NAME?"/>
    <e v="#NAME?"/>
    <m/>
    <m/>
    <m/>
    <m/>
    <m/>
    <n v="0"/>
  </r>
  <r>
    <s v="C342598"/>
    <s v="DEISON COLMENARES"/>
    <s v="CORE"/>
    <x v="15"/>
    <x v="0"/>
    <e v="#NAME?"/>
    <s v="SDATOOL-41752 $ Consumo Openmk con Biometría Obligatoria por Nácar para desembolsar"/>
    <n v="0.15"/>
    <x v="0"/>
    <x v="2"/>
    <m/>
    <e v="#NAME?"/>
    <e v="#NAME?"/>
    <e v="#NAME?"/>
    <m/>
    <m/>
    <m/>
    <m/>
    <m/>
    <n v="0"/>
  </r>
  <r>
    <s v="C342598"/>
    <s v="DEISON COLMENARES"/>
    <s v="CORE"/>
    <x v="15"/>
    <x v="0"/>
    <e v="#NAME?"/>
    <s v="SDATOOL-36548 $ Optimización consumo web - Plan ascenso Open Market"/>
    <n v="0.2"/>
    <x v="0"/>
    <x v="2"/>
    <m/>
    <e v="#NAME?"/>
    <e v="#NAME?"/>
    <e v="#NAME?"/>
    <m/>
    <m/>
    <m/>
    <m/>
    <m/>
    <n v="0"/>
  </r>
  <r>
    <s v="CE68302"/>
    <s v="DIANA GRANADA"/>
    <s v="CORE"/>
    <x v="15"/>
    <x v="1"/>
    <e v="#NAME?"/>
    <s v="SDATOOL-34157 $ Evolutivo Parthnership - Crédito en punto de venta de Aliados"/>
    <n v="1"/>
    <x v="2"/>
    <x v="0"/>
    <m/>
    <e v="#NAME?"/>
    <e v="#NAME?"/>
    <e v="#NAME?"/>
    <m/>
    <m/>
    <m/>
    <m/>
    <m/>
    <n v="1"/>
  </r>
  <r>
    <s v="C811057"/>
    <s v="DIEGO CALLEJAS"/>
    <s v="CORE"/>
    <x v="15"/>
    <x v="0"/>
    <e v="#NAME?"/>
    <s v="NOSDA $ BAU (Mantenimiento y peq. evolutivos)"/>
    <n v="1"/>
    <x v="0"/>
    <x v="2"/>
    <m/>
    <e v="#NAME?"/>
    <e v="#NAME?"/>
    <e v="#NAME?"/>
    <m/>
    <m/>
    <m/>
    <m/>
    <m/>
    <n v="1"/>
  </r>
  <r>
    <s v="CE69094"/>
    <s v="DUVAN ALEJANDRO BERNATE PIAMBA"/>
    <s v="CORE"/>
    <x v="15"/>
    <x v="2"/>
    <e v="#NAME?"/>
    <s v="SDATOOL-34887 $ Vivienda Digital Open Market"/>
    <n v="0.5"/>
    <x v="2"/>
    <x v="0"/>
    <m/>
    <e v="#NAME?"/>
    <e v="#NAME?"/>
    <e v="#NAME?"/>
    <m/>
    <m/>
    <m/>
    <m/>
    <m/>
    <n v="1"/>
  </r>
  <r>
    <s v="CE69094"/>
    <s v="DUVAN ALEJANDRO BERNATE PIAMBA"/>
    <s v="CORE"/>
    <x v="15"/>
    <x v="2"/>
    <e v="#NAME?"/>
    <s v="SDATOOL-39836 $ Vivienda digital fase III"/>
    <n v="0.5"/>
    <x v="2"/>
    <x v="0"/>
    <m/>
    <e v="#NAME?"/>
    <e v="#NAME?"/>
    <e v="#NAME?"/>
    <m/>
    <m/>
    <m/>
    <m/>
    <m/>
    <n v="0"/>
  </r>
  <r>
    <s v="C796415"/>
    <s v="EDGAR REY"/>
    <s v="CORE"/>
    <x v="15"/>
    <x v="0"/>
    <e v="#NAME?"/>
    <s v="NOSDA $ BAU (Mantenimiento y peq. evolutivos)"/>
    <n v="1"/>
    <x v="1"/>
    <x v="2"/>
    <m/>
    <e v="#NAME?"/>
    <e v="#NAME?"/>
    <e v="#NAME?"/>
    <m/>
    <m/>
    <m/>
    <m/>
    <m/>
    <n v="1"/>
  </r>
  <r>
    <s v="O000448"/>
    <s v="EDUAR BOLAÑOS"/>
    <s v="CORE"/>
    <x v="15"/>
    <x v="0"/>
    <e v="#NAME?"/>
    <s v="SDATOOL-39836 $ Vivienda digital fase III"/>
    <n v="0.5"/>
    <x v="0"/>
    <x v="4"/>
    <m/>
    <e v="#NAME?"/>
    <e v="#NAME?"/>
    <e v="#NAME?"/>
    <m/>
    <m/>
    <m/>
    <m/>
    <m/>
    <n v="1"/>
  </r>
  <r>
    <s v="O000448"/>
    <s v="EDUAR BOLAÑOS"/>
    <s v="CORE"/>
    <x v="15"/>
    <x v="0"/>
    <e v="#NAME?"/>
    <s v="SDATOOL-34887 $ Vivienda Digital Open Market"/>
    <n v="0.2"/>
    <x v="0"/>
    <x v="4"/>
    <m/>
    <e v="#NAME?"/>
    <e v="#NAME?"/>
    <e v="#NAME?"/>
    <m/>
    <m/>
    <m/>
    <m/>
    <m/>
    <n v="0"/>
  </r>
  <r>
    <s v="O000448"/>
    <s v="EDUAR BOLAÑOS"/>
    <s v="CORE"/>
    <x v="15"/>
    <x v="0"/>
    <e v="#NAME?"/>
    <s v="SDATOOL-39272 $ GRM-Col-Cambio servicio APL (Aportes en línea)"/>
    <n v="0.3"/>
    <x v="0"/>
    <x v="4"/>
    <m/>
    <e v="#NAME?"/>
    <e v="#NAME?"/>
    <e v="#NAME?"/>
    <m/>
    <m/>
    <m/>
    <m/>
    <m/>
    <n v="0"/>
  </r>
  <r>
    <s v="C805991"/>
    <s v="FABIANI LOZANO"/>
    <s v="CORE"/>
    <x v="15"/>
    <x v="0"/>
    <e v="#NAME?"/>
    <s v="SDATOOL-36548 $ Optimización consumo web - Plan ascenso Open Market"/>
    <n v="0.2"/>
    <x v="0"/>
    <x v="3"/>
    <m/>
    <e v="#NAME?"/>
    <e v="#NAME?"/>
    <e v="#NAME?"/>
    <m/>
    <m/>
    <m/>
    <m/>
    <m/>
    <n v="1"/>
  </r>
  <r>
    <s v="C805991"/>
    <s v="FABIANI LOZANO"/>
    <s v="CORE"/>
    <x v="15"/>
    <x v="0"/>
    <e v="#NAME?"/>
    <s v="SDATOOL-39272 $ GRM-Col-Cambio servicio APL (Aportes en línea)"/>
    <n v="0.3"/>
    <x v="0"/>
    <x v="3"/>
    <m/>
    <e v="#NAME?"/>
    <e v="#NAME?"/>
    <e v="#NAME?"/>
    <m/>
    <m/>
    <m/>
    <m/>
    <m/>
    <n v="0"/>
  </r>
  <r>
    <s v="C805991"/>
    <s v="FABIANI LOZANO"/>
    <s v="CORE"/>
    <x v="15"/>
    <x v="0"/>
    <e v="#NAME?"/>
    <s v="SDATOOL-36548 $ Optimización consumo web - Plan ascenso Open Market"/>
    <n v="0.3"/>
    <x v="0"/>
    <x v="3"/>
    <m/>
    <e v="#NAME?"/>
    <e v="#NAME?"/>
    <e v="#NAME?"/>
    <m/>
    <m/>
    <m/>
    <m/>
    <m/>
    <n v="0"/>
  </r>
  <r>
    <s v="C805991"/>
    <s v="FABIANI LOZANO"/>
    <s v="CORE"/>
    <x v="15"/>
    <x v="0"/>
    <e v="#NAME?"/>
    <s v="NOSDA $ BAU (Mantenimiento y peq. evolutivos)"/>
    <n v="0.2"/>
    <x v="0"/>
    <x v="3"/>
    <s v="Se esta revisando la mejora del Validate Products"/>
    <e v="#NAME?"/>
    <e v="#NAME?"/>
    <e v="#NAME?"/>
    <m/>
    <m/>
    <m/>
    <m/>
    <m/>
    <n v="0"/>
  </r>
  <r>
    <s v="O001038"/>
    <s v="FLOR ALICIA GALAN"/>
    <s v="CORE"/>
    <x v="15"/>
    <x v="0"/>
    <e v="#NAME?"/>
    <s v="NOSDA $ BAU (Mantenimiento y peq. evolutivos)"/>
    <n v="1"/>
    <x v="0"/>
    <x v="2"/>
    <m/>
    <e v="#NAME?"/>
    <e v="#NAME?"/>
    <e v="#NAME?"/>
    <m/>
    <m/>
    <m/>
    <m/>
    <m/>
    <n v="1"/>
  </r>
  <r>
    <s v="CE50152"/>
    <s v="FRANKLIN MEDINA"/>
    <s v="CORE"/>
    <x v="15"/>
    <x v="5"/>
    <e v="#NAME?"/>
    <s v="NOSDA $ BAU (Mantenimiento y peq. evolutivos)"/>
    <n v="1"/>
    <x v="2"/>
    <x v="2"/>
    <m/>
    <e v="#NAME?"/>
    <e v="#NAME?"/>
    <e v="#NAME?"/>
    <m/>
    <m/>
    <m/>
    <m/>
    <m/>
    <n v="1"/>
  </r>
  <r>
    <s v="CE60769"/>
    <s v="HECTOR FERNANDO JARAMILLO"/>
    <s v="CORE"/>
    <x v="15"/>
    <x v="5"/>
    <e v="#NAME?"/>
    <s v="SDATOOL-39836 $ Vivienda digital fase III"/>
    <n v="1"/>
    <x v="0"/>
    <x v="2"/>
    <m/>
    <e v="#NAME?"/>
    <e v="#NAME?"/>
    <e v="#NAME?"/>
    <m/>
    <m/>
    <m/>
    <m/>
    <m/>
    <n v="1"/>
  </r>
  <r>
    <s v="CE52097"/>
    <s v="IVAN DE JESÚS RAMOS OSORIO"/>
    <s v="CORE"/>
    <x v="15"/>
    <x v="12"/>
    <e v="#NAME?"/>
    <s v="NOSDA $ BAU (Mantenimiento y peq. evolutivos)"/>
    <n v="1"/>
    <x v="0"/>
    <x v="2"/>
    <m/>
    <e v="#NAME?"/>
    <e v="#NAME?"/>
    <e v="#NAME?"/>
    <m/>
    <m/>
    <m/>
    <m/>
    <m/>
    <n v="1"/>
  </r>
  <r>
    <s v="CE61638"/>
    <s v="JAVIER CORDOBA"/>
    <s v="CORE"/>
    <x v="15"/>
    <x v="2"/>
    <e v="#NAME?"/>
    <s v="SDATOOL-35463 $ Gestión de Ingresos - Períodos de Gracia Libranzas"/>
    <n v="1"/>
    <x v="2"/>
    <x v="2"/>
    <m/>
    <e v="#NAME?"/>
    <e v="#NAME?"/>
    <e v="#NAME?"/>
    <m/>
    <m/>
    <m/>
    <m/>
    <m/>
    <n v="1"/>
  </r>
  <r>
    <s v="O001111"/>
    <s v="JENNIFER HAILINTH MORENO"/>
    <s v="CORE"/>
    <x v="15"/>
    <x v="0"/>
    <e v="#NAME?"/>
    <s v="SDATOOL-36548 $ Optimización consumo web - Plan ascenso Open Market"/>
    <n v="1"/>
    <x v="0"/>
    <x v="2"/>
    <m/>
    <e v="#NAME?"/>
    <e v="#NAME?"/>
    <e v="#NAME?"/>
    <m/>
    <m/>
    <m/>
    <m/>
    <m/>
    <n v="1"/>
  </r>
  <r>
    <s v="CE66153"/>
    <s v="JHON EDWIN MENDOZA DAZA"/>
    <s v="CORE"/>
    <x v="15"/>
    <x v="6"/>
    <e v="#NAME?"/>
    <s v="SDATOOL-39836 $ Vivienda digital fase III"/>
    <n v="0.7"/>
    <x v="0"/>
    <x v="5"/>
    <m/>
    <e v="#NAME?"/>
    <e v="#NAME?"/>
    <e v="#NAME?"/>
    <m/>
    <m/>
    <m/>
    <m/>
    <m/>
    <n v="1"/>
  </r>
  <r>
    <s v="CE66153"/>
    <s v="JHON EDWIN MENDOZA DAZA"/>
    <s v="CORE"/>
    <x v="15"/>
    <x v="6"/>
    <e v="#NAME?"/>
    <s v="SDATOOL-39272 $ GRM-Col-Cambio servicio APL (Aportes en línea)"/>
    <n v="0.3"/>
    <x v="0"/>
    <x v="5"/>
    <m/>
    <e v="#NAME?"/>
    <e v="#NAME?"/>
    <e v="#NAME?"/>
    <m/>
    <m/>
    <m/>
    <m/>
    <m/>
    <n v="0"/>
  </r>
  <r>
    <s v="C811329"/>
    <s v="JHON MARIO FORERO"/>
    <s v="CORE"/>
    <x v="15"/>
    <x v="0"/>
    <e v="#NAME?"/>
    <s v="NOSDA $ BAU (Mantenimiento y peq. evolutivos)"/>
    <n v="1"/>
    <x v="0"/>
    <x v="2"/>
    <m/>
    <e v="#NAME?"/>
    <e v="#NAME?"/>
    <e v="#NAME?"/>
    <m/>
    <m/>
    <m/>
    <m/>
    <m/>
    <n v="1"/>
  </r>
  <r>
    <s v="CE61687"/>
    <s v="JHONATAN STIV CUADROS CARDENAS"/>
    <s v="CORE"/>
    <x v="15"/>
    <x v="20"/>
    <e v="#NAME?"/>
    <s v="SDATOOL-36548 $ Optimización consumo web - Plan ascenso Open Market"/>
    <n v="0.7"/>
    <x v="0"/>
    <x v="4"/>
    <m/>
    <e v="#NAME?"/>
    <e v="#NAME?"/>
    <e v="#NAME?"/>
    <m/>
    <m/>
    <m/>
    <m/>
    <m/>
    <n v="1"/>
  </r>
  <r>
    <s v="CE61687"/>
    <s v="JHONATAN STIV CUADROS CARDENAS"/>
    <s v="CORE"/>
    <x v="15"/>
    <x v="20"/>
    <e v="#NAME?"/>
    <s v="SDATOOL-39272 $ GRM-Col-Cambio servicio APL (Aportes en línea)"/>
    <n v="0.3"/>
    <x v="0"/>
    <x v="4"/>
    <m/>
    <e v="#NAME?"/>
    <e v="#NAME?"/>
    <e v="#NAME?"/>
    <m/>
    <m/>
    <m/>
    <m/>
    <m/>
    <n v="0"/>
  </r>
  <r>
    <s v="C808819"/>
    <s v="JOSEPH ALEANDER ROJAS"/>
    <s v="CORE"/>
    <x v="15"/>
    <x v="0"/>
    <e v="#NAME?"/>
    <s v="SDATOOL-34887 $ Vivienda Digital Open Market"/>
    <n v="0.4"/>
    <x v="0"/>
    <x v="2"/>
    <m/>
    <e v="#NAME?"/>
    <e v="#NAME?"/>
    <e v="#NAME?"/>
    <m/>
    <m/>
    <m/>
    <m/>
    <m/>
    <n v="1"/>
  </r>
  <r>
    <s v="C808819"/>
    <s v="JOSEPH ALEANDER ROJAS"/>
    <s v="CORE"/>
    <x v="15"/>
    <x v="0"/>
    <e v="#NAME?"/>
    <s v="SDATOOL-39836 $ Vivienda digital fase III"/>
    <n v="0.6"/>
    <x v="0"/>
    <x v="2"/>
    <m/>
    <e v="#NAME?"/>
    <e v="#NAME?"/>
    <e v="#NAME?"/>
    <m/>
    <m/>
    <m/>
    <m/>
    <m/>
    <n v="0"/>
  </r>
  <r>
    <s v="CE64753"/>
    <s v="JUAN CARLOS PULIDO"/>
    <s v="CORE"/>
    <x v="15"/>
    <x v="2"/>
    <e v="#NAME?"/>
    <s v="NOSDA $ BAU (Mantenimiento y peq. evolutivos)"/>
    <n v="1"/>
    <x v="2"/>
    <x v="2"/>
    <m/>
    <e v="#NAME?"/>
    <e v="#NAME?"/>
    <e v="#NAME?"/>
    <m/>
    <m/>
    <m/>
    <m/>
    <m/>
    <n v="1"/>
  </r>
  <r>
    <s v="C804405"/>
    <s v="JUAN SALAZAR"/>
    <s v="CORE"/>
    <x v="15"/>
    <x v="0"/>
    <e v="#NAME?"/>
    <s v="NOSDA $ BAU (Mantenimiento y peq. evolutivos)"/>
    <n v="0.3"/>
    <x v="0"/>
    <x v="2"/>
    <m/>
    <e v="#NAME?"/>
    <e v="#NAME?"/>
    <e v="#NAME?"/>
    <m/>
    <m/>
    <m/>
    <m/>
    <m/>
    <n v="1"/>
  </r>
  <r>
    <s v="C804405"/>
    <s v="JUAN SALAZAR"/>
    <s v="CORE"/>
    <x v="15"/>
    <x v="0"/>
    <e v="#NAME?"/>
    <s v="SDATOOL-41729 $ SEGUNDA LIBRANZA - APLICACION PAGOS Y VoBo PAGADOR"/>
    <n v="0.7"/>
    <x v="0"/>
    <x v="2"/>
    <m/>
    <e v="#NAME?"/>
    <e v="#NAME?"/>
    <e v="#NAME?"/>
    <m/>
    <m/>
    <m/>
    <m/>
    <m/>
    <n v="0"/>
  </r>
  <r>
    <s v="C809507"/>
    <s v="JULIE PAULETTE GARAVITO"/>
    <s v="CORE"/>
    <x v="15"/>
    <x v="0"/>
    <e v="#NAME?"/>
    <s v="SDATOOL-35463 $ Gestión de Ingresos - Períodos de Gracia Libranzas"/>
    <n v="1"/>
    <x v="0"/>
    <x v="2"/>
    <m/>
    <e v="#NAME?"/>
    <e v="#NAME?"/>
    <e v="#NAME?"/>
    <m/>
    <m/>
    <m/>
    <m/>
    <m/>
    <n v="1"/>
  </r>
  <r>
    <s v="C808802"/>
    <s v="KAREN MARGARITA ANGULO"/>
    <s v="CORE"/>
    <x v="15"/>
    <x v="0"/>
    <e v="#NAME?"/>
    <s v="SDATOOL-42155 $ Ajustes en proceso de Titularización y recompra de cartera titularizada"/>
    <n v="0.8"/>
    <x v="0"/>
    <x v="2"/>
    <m/>
    <e v="#NAME?"/>
    <e v="#NAME?"/>
    <e v="#NAME?"/>
    <m/>
    <m/>
    <m/>
    <m/>
    <m/>
    <n v="1"/>
  </r>
  <r>
    <s v="C808802"/>
    <s v="KAREN MARGARITA ANGULO"/>
    <s v="CORE"/>
    <x v="15"/>
    <x v="0"/>
    <e v="#NAME?"/>
    <s v="NOSDA $ BAU (Mantenimiento y peq. evolutivos)"/>
    <n v="0.2"/>
    <x v="0"/>
    <x v="2"/>
    <m/>
    <e v="#NAME?"/>
    <e v="#NAME?"/>
    <e v="#NAME?"/>
    <m/>
    <m/>
    <m/>
    <m/>
    <m/>
    <n v="0"/>
  </r>
  <r>
    <s v="C809507"/>
    <s v="LEYDI CAMARGO"/>
    <s v="CORE"/>
    <x v="15"/>
    <x v="0"/>
    <e v="#NAME?"/>
    <s v="NOSDA $ BAU (Mantenimiento y peq. evolutivos)"/>
    <n v="0.5"/>
    <x v="0"/>
    <x v="0"/>
    <m/>
    <e v="#NAME?"/>
    <e v="#NAME?"/>
    <e v="#NAME?"/>
    <m/>
    <m/>
    <m/>
    <m/>
    <m/>
    <n v="1"/>
  </r>
  <r>
    <s v="C809507"/>
    <s v="LEYDI CAMARGO"/>
    <s v="CORE"/>
    <x v="15"/>
    <x v="0"/>
    <e v="#NAME?"/>
    <s v="SDATOOL-40062 $ Implementación FGA en flujos de contratación digital"/>
    <n v="0.5"/>
    <x v="0"/>
    <x v="0"/>
    <m/>
    <e v="#NAME?"/>
    <e v="#NAME?"/>
    <e v="#NAME?"/>
    <m/>
    <m/>
    <m/>
    <m/>
    <m/>
    <n v="0"/>
  </r>
  <r>
    <s v="T001910"/>
    <s v="LIDA VIVIANA PINEDA"/>
    <s v="CORE"/>
    <x v="15"/>
    <x v="12"/>
    <e v="#NAME?"/>
    <s v="NOSDA $ BAU (Mantenimiento y peq. evolutivos)"/>
    <n v="1"/>
    <x v="0"/>
    <x v="2"/>
    <m/>
    <e v="#NAME?"/>
    <e v="#NAME?"/>
    <e v="#NAME?"/>
    <m/>
    <m/>
    <m/>
    <m/>
    <m/>
    <n v="1"/>
  </r>
  <r>
    <s v="C808648"/>
    <s v="LUIS JAVIER SANDON"/>
    <s v="CORE"/>
    <x v="15"/>
    <x v="0"/>
    <e v="#NAME?"/>
    <s v="SDATOOL-40466 $ Garantía FAG"/>
    <n v="1"/>
    <x v="0"/>
    <x v="2"/>
    <m/>
    <e v="#NAME?"/>
    <e v="#NAME?"/>
    <e v="#NAME?"/>
    <m/>
    <m/>
    <m/>
    <m/>
    <m/>
    <n v="1"/>
  </r>
  <r>
    <s v="C343564"/>
    <s v="LUZ ESTELLA ORTEGA"/>
    <s v="CORE"/>
    <x v="15"/>
    <x v="0"/>
    <e v="#NAME?"/>
    <s v="SDATOOL-34157 $ Evolutivo Parthnership - Crédito en punto de venta de Aliados"/>
    <n v="0.1"/>
    <x v="0"/>
    <x v="2"/>
    <m/>
    <e v="#NAME?"/>
    <e v="#NAME?"/>
    <e v="#NAME?"/>
    <m/>
    <m/>
    <m/>
    <m/>
    <m/>
    <n v="1"/>
  </r>
  <r>
    <s v="C343564"/>
    <s v="LUZ ESTELLA ORTEGA"/>
    <s v="CORE"/>
    <x v="15"/>
    <x v="0"/>
    <e v="#NAME?"/>
    <s v="SDATOOL-34157 $ Evolutivo Parthnership - Crédito en punto de venta de Aliados"/>
    <n v="0.1"/>
    <x v="0"/>
    <x v="2"/>
    <m/>
    <e v="#NAME?"/>
    <e v="#NAME?"/>
    <e v="#NAME?"/>
    <m/>
    <m/>
    <m/>
    <m/>
    <m/>
    <n v="0"/>
  </r>
  <r>
    <s v="C343564"/>
    <s v="LUZ ESTELLA ORTEGA"/>
    <s v="CORE"/>
    <x v="15"/>
    <x v="0"/>
    <e v="#NAME?"/>
    <s v="SDATOOL-40062 $ Implementación FGA en flujos de contratación digital"/>
    <n v="0.8"/>
    <x v="0"/>
    <x v="2"/>
    <m/>
    <e v="#NAME?"/>
    <e v="#NAME?"/>
    <e v="#NAME?"/>
    <m/>
    <m/>
    <m/>
    <m/>
    <m/>
    <n v="0"/>
  </r>
  <r>
    <s v="C805926"/>
    <s v="MAICOL STIVEN PEREZ"/>
    <s v="CORE"/>
    <x v="15"/>
    <x v="0"/>
    <e v="#NAME?"/>
    <s v="SDATOOL-39836 $ Vivienda digital fase III"/>
    <n v="1"/>
    <x v="0"/>
    <x v="3"/>
    <m/>
    <e v="#NAME?"/>
    <e v="#NAME?"/>
    <e v="#NAME?"/>
    <m/>
    <m/>
    <m/>
    <m/>
    <m/>
    <n v="1"/>
  </r>
  <r>
    <s v="O000197"/>
    <s v="MARIA ESTELA SUAREZ"/>
    <s v="CORE"/>
    <x v="15"/>
    <x v="0"/>
    <e v="#NAME?"/>
    <s v="SDATOOL-34887 $ Vivienda Digital Open Market"/>
    <n v="0.1"/>
    <x v="1"/>
    <x v="1"/>
    <m/>
    <e v="#NAME?"/>
    <e v="#NAME?"/>
    <e v="#NAME?"/>
    <m/>
    <m/>
    <m/>
    <m/>
    <m/>
    <n v="1"/>
  </r>
  <r>
    <s v="O000197"/>
    <s v="MARIA ESTELA SUAREZ"/>
    <s v="CORE"/>
    <x v="15"/>
    <x v="0"/>
    <e v="#NAME?"/>
    <s v="SDATOOL-39836 $ Vivienda digital fase III"/>
    <n v="0.3"/>
    <x v="1"/>
    <x v="1"/>
    <m/>
    <e v="#NAME?"/>
    <e v="#NAME?"/>
    <e v="#NAME?"/>
    <m/>
    <m/>
    <m/>
    <m/>
    <m/>
    <n v="0"/>
  </r>
  <r>
    <s v="O000197"/>
    <s v="MARIA ESTELA SUAREZ"/>
    <s v="CORE"/>
    <x v="15"/>
    <x v="0"/>
    <e v="#NAME?"/>
    <s v="SDATOOL-39272 $ GRM-Col-Cambio servicio APL (Aportes en línea)"/>
    <n v="0.1"/>
    <x v="1"/>
    <x v="1"/>
    <m/>
    <e v="#NAME?"/>
    <e v="#NAME?"/>
    <e v="#NAME?"/>
    <m/>
    <m/>
    <m/>
    <m/>
    <m/>
    <n v="0"/>
  </r>
  <r>
    <s v="O000197"/>
    <s v="MARIA ESTELA SUAREZ"/>
    <s v="CORE"/>
    <x v="15"/>
    <x v="0"/>
    <e v="#NAME?"/>
    <s v="SDATOOL-37136 $ Conexión simulador vía API Vehículo digital"/>
    <n v="0.05"/>
    <x v="1"/>
    <x v="1"/>
    <m/>
    <e v="#NAME?"/>
    <e v="#NAME?"/>
    <e v="#NAME?"/>
    <m/>
    <m/>
    <m/>
    <m/>
    <m/>
    <n v="0"/>
  </r>
  <r>
    <s v="O000197"/>
    <s v="MARIA ESTELA SUAREZ"/>
    <s v="CORE"/>
    <x v="15"/>
    <x v="0"/>
    <e v="#NAME?"/>
    <s v="SDATOOL-41752 $ Consumo Openmk con Biometría Obligatoria por Nácar para desembolsar"/>
    <n v="0.05"/>
    <x v="1"/>
    <x v="1"/>
    <m/>
    <e v="#NAME?"/>
    <e v="#NAME?"/>
    <e v="#NAME?"/>
    <m/>
    <m/>
    <m/>
    <m/>
    <m/>
    <n v="0"/>
  </r>
  <r>
    <s v="O000197"/>
    <s v="MARIA ESTELA SUAREZ"/>
    <s v="CORE"/>
    <x v="15"/>
    <x v="0"/>
    <e v="#NAME?"/>
    <s v="SDATOOL-36548 $ Optimización consumo web - Plan ascenso Open Market"/>
    <n v="0.3"/>
    <x v="1"/>
    <x v="1"/>
    <m/>
    <e v="#NAME?"/>
    <e v="#NAME?"/>
    <e v="#NAME?"/>
    <m/>
    <m/>
    <m/>
    <m/>
    <m/>
    <n v="0"/>
  </r>
  <r>
    <s v="O000197"/>
    <s v="MARIA ESTELA SUAREZ"/>
    <s v="CORE"/>
    <x v="15"/>
    <x v="0"/>
    <e v="#NAME?"/>
    <s v="NOSDA $ BAU (Mantenimiento y peq. evolutivos)"/>
    <n v="0.1"/>
    <x v="1"/>
    <x v="1"/>
    <m/>
    <e v="#NAME?"/>
    <e v="#NAME?"/>
    <e v="#NAME?"/>
    <m/>
    <m/>
    <m/>
    <m/>
    <m/>
    <n v="0"/>
  </r>
  <r>
    <s v="O000158"/>
    <s v="MAURICIO RAMIREZ"/>
    <s v="CORE"/>
    <x v="15"/>
    <x v="0"/>
    <e v="#NAME?"/>
    <s v="NOSDA $ BAU (Mantenimiento y peq. evolutivos)"/>
    <n v="1"/>
    <x v="0"/>
    <x v="2"/>
    <m/>
    <e v="#NAME?"/>
    <e v="#NAME?"/>
    <e v="#NAME?"/>
    <m/>
    <m/>
    <m/>
    <m/>
    <m/>
    <n v="1"/>
  </r>
  <r>
    <s v="CE47926"/>
    <s v="MELANIE QUIROZ"/>
    <s v="CORE"/>
    <x v="15"/>
    <x v="12"/>
    <e v="#NAME?"/>
    <s v="NOSDA $ BAU (Mantenimiento y peq. evolutivos)"/>
    <n v="1"/>
    <x v="0"/>
    <x v="2"/>
    <m/>
    <e v="#NAME?"/>
    <e v="#NAME?"/>
    <e v="#NAME?"/>
    <m/>
    <m/>
    <m/>
    <m/>
    <m/>
    <n v="1"/>
  </r>
  <r>
    <s v="C811205"/>
    <s v="MIRYANI VARGAS"/>
    <s v="CORE"/>
    <x v="15"/>
    <x v="0"/>
    <e v="#NAME?"/>
    <s v="NOSDA $ BAU (Mantenimiento y peq. evolutivos)"/>
    <n v="1"/>
    <x v="0"/>
    <x v="2"/>
    <m/>
    <e v="#NAME?"/>
    <e v="#NAME?"/>
    <e v="#NAME?"/>
    <m/>
    <m/>
    <m/>
    <m/>
    <m/>
    <n v="1"/>
  </r>
  <r>
    <s v="O002661"/>
    <s v="NANCY CATHERINE HERNANDEZ"/>
    <s v="CORE"/>
    <x v="15"/>
    <x v="0"/>
    <e v="#NAME?"/>
    <s v="SDATOOL-34157 $ Evolutivo Parthnership - Crédito en punto de venta de Aliados"/>
    <n v="0.25"/>
    <x v="2"/>
    <x v="0"/>
    <m/>
    <e v="#NAME?"/>
    <e v="#NAME?"/>
    <e v="#NAME?"/>
    <m/>
    <m/>
    <m/>
    <m/>
    <m/>
    <n v="1"/>
  </r>
  <r>
    <s v="O002661"/>
    <s v="NANCY CATHERINE HERNANDEZ"/>
    <s v="CORE"/>
    <x v="15"/>
    <x v="0"/>
    <e v="#NAME?"/>
    <s v="SDATOOL-36548 $ Optimización consumo web - Plan ascenso Open Market"/>
    <n v="0.25"/>
    <x v="2"/>
    <x v="0"/>
    <m/>
    <e v="#NAME?"/>
    <e v="#NAME?"/>
    <e v="#NAME?"/>
    <m/>
    <m/>
    <m/>
    <m/>
    <m/>
    <n v="0"/>
  </r>
  <r>
    <s v="O002661"/>
    <s v="NANCY CATHERINE HERNANDEZ"/>
    <s v="CORE"/>
    <x v="15"/>
    <x v="0"/>
    <e v="#NAME?"/>
    <s v="SDATOOL-34887 $ Vivienda Digital Open Market"/>
    <n v="0.25"/>
    <x v="2"/>
    <x v="0"/>
    <m/>
    <e v="#NAME?"/>
    <e v="#NAME?"/>
    <e v="#NAME?"/>
    <m/>
    <m/>
    <m/>
    <m/>
    <m/>
    <n v="0"/>
  </r>
  <r>
    <s v="O002661"/>
    <s v="NANCY CATHERINE HERNANDEZ"/>
    <s v="CORE"/>
    <x v="15"/>
    <x v="0"/>
    <e v="#NAME?"/>
    <s v="SDATOOL-34910 $ Libranza Digital"/>
    <n v="0.25"/>
    <x v="2"/>
    <x v="0"/>
    <m/>
    <e v="#NAME?"/>
    <e v="#NAME?"/>
    <e v="#NAME?"/>
    <m/>
    <m/>
    <m/>
    <m/>
    <m/>
    <n v="0"/>
  </r>
  <r>
    <s v="CE56109"/>
    <s v="OMAR FERNANDO ORTEGÓN VARGAS"/>
    <s v="CORE"/>
    <x v="15"/>
    <x v="12"/>
    <e v="#NAME?"/>
    <s v="NOSDA $ BAU (Mantenimiento y peq. evolutivos)"/>
    <n v="1"/>
    <x v="0"/>
    <x v="2"/>
    <m/>
    <e v="#NAME?"/>
    <e v="#NAME?"/>
    <e v="#NAME?"/>
    <m/>
    <m/>
    <m/>
    <m/>
    <m/>
    <n v="1"/>
  </r>
  <r>
    <s v="T000361"/>
    <s v="RODRIGO BARBIERI PEREZ"/>
    <s v="CORE"/>
    <x v="15"/>
    <x v="15"/>
    <e v="#NAME?"/>
    <s v="SDATOOL-36548 $ Optimización consumo web - Plan ascenso Open Market"/>
    <n v="0.7"/>
    <x v="0"/>
    <x v="5"/>
    <m/>
    <e v="#NAME?"/>
    <e v="#NAME?"/>
    <e v="#NAME?"/>
    <m/>
    <m/>
    <m/>
    <m/>
    <m/>
    <n v="1"/>
  </r>
  <r>
    <s v="T000361"/>
    <s v="RODRIGO BARBIERI PEREZ"/>
    <s v="CORE"/>
    <x v="15"/>
    <x v="15"/>
    <e v="#NAME?"/>
    <s v="SDATOOL-39272 $ GRM-Col-Cambio servicio APL (Aportes en línea)"/>
    <n v="0.3"/>
    <x v="0"/>
    <x v="5"/>
    <m/>
    <e v="#NAME?"/>
    <e v="#NAME?"/>
    <e v="#NAME?"/>
    <m/>
    <m/>
    <m/>
    <m/>
    <m/>
    <n v="0"/>
  </r>
  <r>
    <s v="CI35128"/>
    <s v="Cristian Camilo Rincon"/>
    <s v="CIB &amp; COMEX - FIDUCIARIA"/>
    <x v="18"/>
    <x v="21"/>
    <e v="#NAME?"/>
    <s v="NOSDA $ BAU (Mantenimiento y peq. evolutivos)"/>
    <n v="0.5"/>
    <x v="1"/>
    <x v="6"/>
    <s v="Interno"/>
    <e v="#NAME?"/>
    <e v="#NAME?"/>
    <e v="#NAME?"/>
    <m/>
    <m/>
    <m/>
    <m/>
    <m/>
    <m/>
  </r>
  <r>
    <s v="CI35442"/>
    <s v="Juan Camilo Ladino Guezguan"/>
    <s v="CIB &amp; COMEX - FIDUCIARIA"/>
    <x v="18"/>
    <x v="21"/>
    <e v="#NAME?"/>
    <s v="NOSDA $ BAU (Mantenimiento y peq. evolutivos)"/>
    <n v="0.4"/>
    <x v="0"/>
    <x v="6"/>
    <s v="Interno"/>
    <e v="#NAME?"/>
    <e v="#NAME?"/>
    <e v="#NAME?"/>
    <m/>
    <m/>
    <m/>
    <m/>
    <m/>
    <m/>
  </r>
  <r>
    <s v="O000150"/>
    <s v="Oscar Fernando Real Bautista"/>
    <s v="CIB &amp; COMEX - FIDUCIARIA"/>
    <x v="18"/>
    <x v="21"/>
    <e v="#NAME?"/>
    <s v="NOSDA $ BAU (Mantenimiento y peq. evolutivos)"/>
    <n v="0.2"/>
    <x v="1"/>
    <x v="6"/>
    <s v="Interno"/>
    <e v="#NAME?"/>
    <e v="#NAME?"/>
    <e v="#NAME?"/>
    <m/>
    <m/>
    <m/>
    <m/>
    <m/>
    <m/>
  </r>
  <r>
    <s v="CI35100"/>
    <s v="Alexander Lopez Fonseca"/>
    <s v="CIB &amp; COMEX - FIDUCIARIA"/>
    <x v="18"/>
    <x v="21"/>
    <e v="#NAME?"/>
    <s v="NOSDA $ BAU (Mantenimiento y peq. evolutivos)"/>
    <n v="0.5"/>
    <x v="1"/>
    <x v="6"/>
    <s v="Interno"/>
    <e v="#NAME?"/>
    <e v="#NAME?"/>
    <e v="#NAME?"/>
    <m/>
    <m/>
    <m/>
    <m/>
    <m/>
    <m/>
  </r>
  <r>
    <s v="CE67865"/>
    <s v="Alejandra Barrios"/>
    <s v="RETAIL"/>
    <x v="21"/>
    <x v="20"/>
    <e v="#NAME?"/>
    <s v="SDATOOL-9053 $ GloMo Colombia"/>
    <n v="1"/>
    <x v="2"/>
    <x v="1"/>
    <m/>
    <e v="#NAME?"/>
    <e v="#NAME?"/>
    <e v="#NAME?"/>
    <m/>
    <m/>
    <m/>
    <m/>
    <m/>
    <m/>
  </r>
  <r>
    <s v="CE71119"/>
    <s v="Alvaro Alvarez"/>
    <s v="RETAIL"/>
    <x v="21"/>
    <x v="20"/>
    <e v="#NAME?"/>
    <s v="SDATOOL-9053 $ GloMo Colombia"/>
    <n v="1"/>
    <x v="2"/>
    <x v="1"/>
    <m/>
    <e v="#NAME?"/>
    <e v="#NAME?"/>
    <e v="#NAME?"/>
    <m/>
    <m/>
    <m/>
    <m/>
    <m/>
    <m/>
  </r>
  <r>
    <s v="CE66576"/>
    <s v="Anderson Fabian Camelo"/>
    <s v="RETAIL"/>
    <x v="21"/>
    <x v="9"/>
    <e v="#NAME?"/>
    <s v="SDATOOL-9053 $ GloMo Colombia"/>
    <n v="1"/>
    <x v="2"/>
    <x v="1"/>
    <m/>
    <e v="#NAME?"/>
    <e v="#NAME?"/>
    <e v="#NAME?"/>
    <m/>
    <m/>
    <m/>
    <m/>
    <m/>
    <m/>
  </r>
  <r>
    <s v="CE67220"/>
    <s v="Carlos Arturo Rodriguez Castañeda"/>
    <s v="RETAIL"/>
    <x v="21"/>
    <x v="12"/>
    <e v="#NAME?"/>
    <s v="SDATOOL-38489 $ Horizon BTGR - Colombia"/>
    <n v="1"/>
    <x v="0"/>
    <x v="3"/>
    <m/>
    <e v="#NAME?"/>
    <e v="#NAME?"/>
    <e v="#NAME?"/>
    <m/>
    <m/>
    <m/>
    <m/>
    <m/>
    <m/>
  </r>
  <r>
    <s v="CE70202"/>
    <s v="Cesar Augusto Valbuena"/>
    <s v="RETAIL"/>
    <x v="21"/>
    <x v="12"/>
    <e v="#NAME?"/>
    <s v="SDATOOL-9053 $ GloMo Colombia"/>
    <n v="1"/>
    <x v="2"/>
    <x v="1"/>
    <m/>
    <e v="#NAME?"/>
    <e v="#NAME?"/>
    <e v="#NAME?"/>
    <m/>
    <m/>
    <m/>
    <m/>
    <m/>
    <m/>
  </r>
  <r>
    <s v="CE67309"/>
    <s v="Cristian Camilo Duarte"/>
    <s v="RETAIL"/>
    <x v="21"/>
    <x v="9"/>
    <e v="#NAME?"/>
    <s v="SDATOOL-38489 $ Horizon BTGR - Colombia"/>
    <n v="0.5"/>
    <x v="2"/>
    <x v="1"/>
    <m/>
    <e v="#NAME?"/>
    <e v="#NAME?"/>
    <e v="#NAME?"/>
    <m/>
    <m/>
    <m/>
    <m/>
    <m/>
    <m/>
  </r>
  <r>
    <s v="CE67309"/>
    <s v="Cristian Camilo Duarte"/>
    <s v="RETAIL"/>
    <x v="21"/>
    <x v="9"/>
    <e v="#NAME?"/>
    <s v="SDATOOL-9053 $ GloMo Colombia"/>
    <n v="0.5"/>
    <x v="2"/>
    <x v="1"/>
    <m/>
    <e v="#NAME?"/>
    <e v="#NAME?"/>
    <e v="#NAME?"/>
    <m/>
    <m/>
    <m/>
    <m/>
    <m/>
    <m/>
  </r>
  <r>
    <s v="CE69445"/>
    <s v="Cristian Fernando Hernandez Angarita"/>
    <s v="RETAIL"/>
    <x v="21"/>
    <x v="12"/>
    <e v="#NAME?"/>
    <s v="SDATOOL-38489 $ Horizon BTGR - Colombia"/>
    <n v="1"/>
    <x v="0"/>
    <x v="2"/>
    <m/>
    <e v="#NAME?"/>
    <e v="#NAME?"/>
    <e v="#NAME?"/>
    <m/>
    <m/>
    <m/>
    <m/>
    <m/>
    <m/>
  </r>
  <r>
    <s v="CE69821"/>
    <s v="David Garrido"/>
    <s v="RETAIL"/>
    <x v="21"/>
    <x v="15"/>
    <e v="#NAME?"/>
    <s v="SDATOOL-9053 $ GloMo Colombia"/>
    <n v="1"/>
    <x v="0"/>
    <x v="4"/>
    <m/>
    <e v="#NAME?"/>
    <e v="#NAME?"/>
    <e v="#NAME?"/>
    <m/>
    <m/>
    <m/>
    <m/>
    <m/>
    <m/>
  </r>
  <r>
    <s v="CE70245"/>
    <s v="Diana Duarte"/>
    <s v="RETAIL"/>
    <x v="21"/>
    <x v="20"/>
    <e v="#NAME?"/>
    <s v="SDATOOL-9053 $ GloMo Colombia"/>
    <n v="1"/>
    <x v="2"/>
    <x v="1"/>
    <m/>
    <e v="#NAME?"/>
    <e v="#NAME?"/>
    <e v="#NAME?"/>
    <m/>
    <m/>
    <m/>
    <m/>
    <m/>
    <m/>
  </r>
  <r>
    <s v="T001912"/>
    <s v="Diego Alejandro Parra Nuñez"/>
    <s v="RETAIL"/>
    <x v="21"/>
    <x v="12"/>
    <e v="#NAME?"/>
    <s v="SDATOOL-9053 $ GloMo Colombia"/>
    <n v="1"/>
    <x v="2"/>
    <x v="1"/>
    <m/>
    <e v="#NAME?"/>
    <e v="#NAME?"/>
    <e v="#NAME?"/>
    <m/>
    <m/>
    <m/>
    <m/>
    <m/>
    <m/>
  </r>
  <r>
    <s v="CE71116"/>
    <s v="Dina Luz Perez"/>
    <s v="RETAIL"/>
    <x v="21"/>
    <x v="20"/>
    <e v="#NAME?"/>
    <s v="SDATOOL-9053 $ GloMo Colombia"/>
    <n v="1"/>
    <x v="2"/>
    <x v="1"/>
    <m/>
    <e v="#NAME?"/>
    <e v="#NAME?"/>
    <e v="#NAME?"/>
    <m/>
    <m/>
    <m/>
    <m/>
    <m/>
    <m/>
  </r>
  <r>
    <s v="CE67846"/>
    <s v="Edson Suarez"/>
    <s v="RETAIL"/>
    <x v="21"/>
    <x v="20"/>
    <e v="#NAME?"/>
    <s v="SDATOOL-9053 $ GloMo Colombia"/>
    <n v="1"/>
    <x v="2"/>
    <x v="1"/>
    <m/>
    <e v="#NAME?"/>
    <e v="#NAME?"/>
    <e v="#NAME?"/>
    <m/>
    <m/>
    <m/>
    <m/>
    <m/>
    <m/>
  </r>
  <r>
    <s v="CE71118"/>
    <s v="Erick Bermejo"/>
    <s v="RETAIL"/>
    <x v="21"/>
    <x v="20"/>
    <e v="#NAME?"/>
    <s v="SDATOOL-9053 $ GloMo Colombia"/>
    <n v="1"/>
    <x v="2"/>
    <x v="1"/>
    <m/>
    <e v="#NAME?"/>
    <e v="#NAME?"/>
    <e v="#NAME?"/>
    <m/>
    <m/>
    <m/>
    <m/>
    <m/>
    <m/>
  </r>
  <r>
    <s v="XEA0692"/>
    <s v="Esperanza Ortega"/>
    <s v="RETAIL"/>
    <x v="21"/>
    <x v="20"/>
    <e v="#NAME?"/>
    <s v="SDATOOL-9053 $ GloMo Colombia"/>
    <n v="1"/>
    <x v="0"/>
    <x v="5"/>
    <m/>
    <e v="#NAME?"/>
    <e v="#NAME?"/>
    <e v="#NAME?"/>
    <m/>
    <m/>
    <m/>
    <m/>
    <m/>
    <m/>
  </r>
  <r>
    <s v="CE67849"/>
    <s v="Henry Cortes"/>
    <s v="RETAIL"/>
    <x v="21"/>
    <x v="20"/>
    <e v="#NAME?"/>
    <s v="SDATOOL-9053 $ GloMo Colombia"/>
    <n v="1"/>
    <x v="0"/>
    <x v="5"/>
    <m/>
    <e v="#NAME?"/>
    <e v="#NAME?"/>
    <e v="#NAME?"/>
    <m/>
    <m/>
    <m/>
    <m/>
    <m/>
    <m/>
  </r>
  <r>
    <s v="CE69249"/>
    <s v="Hernan Gabriel Fernandez"/>
    <s v="RETAIL"/>
    <x v="21"/>
    <x v="12"/>
    <e v="#NAME?"/>
    <s v="SDATOOL-38489 $ Horizon BTGR - Colombia"/>
    <n v="1"/>
    <x v="0"/>
    <x v="3"/>
    <m/>
    <e v="#NAME?"/>
    <e v="#NAME?"/>
    <e v="#NAME?"/>
    <m/>
    <m/>
    <m/>
    <m/>
    <m/>
    <m/>
  </r>
  <r>
    <s v="CE56568"/>
    <s v="Jesus Wellman"/>
    <s v="RETAIL"/>
    <x v="21"/>
    <x v="6"/>
    <e v="#NAME?"/>
    <s v="SDATOOL-38489 $ Horizon BTGR - Colombia"/>
    <n v="1"/>
    <x v="0"/>
    <x v="2"/>
    <m/>
    <e v="#NAME?"/>
    <e v="#NAME?"/>
    <e v="#NAME?"/>
    <m/>
    <m/>
    <m/>
    <m/>
    <m/>
    <m/>
  </r>
  <r>
    <s v="CE56092"/>
    <s v="Johan Sebastian Forero"/>
    <s v="RETAIL"/>
    <x v="21"/>
    <x v="9"/>
    <e v="#NAME?"/>
    <s v="SDATOOL-9053 $ GloMo Colombia"/>
    <n v="1"/>
    <x v="2"/>
    <x v="1"/>
    <m/>
    <e v="#NAME?"/>
    <e v="#NAME?"/>
    <e v="#NAME?"/>
    <m/>
    <m/>
    <m/>
    <m/>
    <m/>
    <m/>
  </r>
  <r>
    <s v="CE53474"/>
    <s v="Josue David Fernandez Reyes"/>
    <s v="RETAIL"/>
    <x v="21"/>
    <x v="12"/>
    <e v="#NAME?"/>
    <s v="SDATOOL-9053 $ GloMo Colombia"/>
    <n v="0.75"/>
    <x v="0"/>
    <x v="2"/>
    <m/>
    <e v="#NAME?"/>
    <e v="#NAME?"/>
    <e v="#NAME?"/>
    <m/>
    <m/>
    <m/>
    <m/>
    <m/>
    <m/>
  </r>
  <r>
    <s v="CE53474"/>
    <s v="Josue David Fernandez Reyes"/>
    <s v="RETAIL"/>
    <x v="21"/>
    <x v="12"/>
    <e v="#NAME?"/>
    <s v="SDATOOL-38489 $ Horizon BTGR - Colombia"/>
    <n v="0.25"/>
    <x v="0"/>
    <x v="2"/>
    <m/>
    <e v="#NAME?"/>
    <e v="#NAME?"/>
    <e v="#NAME?"/>
    <m/>
    <m/>
    <m/>
    <m/>
    <m/>
    <m/>
  </r>
  <r>
    <s v="CE65053"/>
    <s v="Juan David Rodriguez Ariza"/>
    <s v="RETAIL"/>
    <x v="21"/>
    <x v="15"/>
    <e v="#NAME?"/>
    <s v="SDATOOL-9053 $ GloMo Colombia"/>
    <n v="1"/>
    <x v="0"/>
    <x v="5"/>
    <m/>
    <e v="#NAME?"/>
    <e v="#NAME?"/>
    <e v="#NAME?"/>
    <m/>
    <m/>
    <m/>
    <m/>
    <m/>
    <m/>
  </r>
  <r>
    <s v="CE59993"/>
    <s v="Juan David Velasquez"/>
    <s v="RETAIL"/>
    <x v="21"/>
    <x v="5"/>
    <e v="#NAME?"/>
    <s v="SDATOOL-9053 $ GloMo Colombia"/>
    <n v="1"/>
    <x v="0"/>
    <x v="5"/>
    <m/>
    <e v="#NAME?"/>
    <e v="#NAME?"/>
    <e v="#NAME?"/>
    <m/>
    <m/>
    <m/>
    <m/>
    <m/>
    <m/>
  </r>
  <r>
    <s v="CE47925"/>
    <s v="Karen Juliete Mahecha Rey"/>
    <s v="RETAIL"/>
    <x v="21"/>
    <x v="12"/>
    <e v="#NAME?"/>
    <s v="SDATOOL-9053 $ GloMo Colombia"/>
    <n v="0.75"/>
    <x v="0"/>
    <x v="2"/>
    <m/>
    <e v="#NAME?"/>
    <e v="#NAME?"/>
    <e v="#NAME?"/>
    <m/>
    <m/>
    <m/>
    <m/>
    <m/>
    <m/>
  </r>
  <r>
    <s v="CE47925"/>
    <s v="Karen Juliete Mahecha Rey"/>
    <s v="RETAIL"/>
    <x v="21"/>
    <x v="12"/>
    <e v="#NAME?"/>
    <s v="SDATOOL-38489 $ Horizon BTGR - Colombia"/>
    <n v="0.25"/>
    <x v="0"/>
    <x v="2"/>
    <m/>
    <e v="#NAME?"/>
    <e v="#NAME?"/>
    <e v="#NAME?"/>
    <m/>
    <m/>
    <m/>
    <m/>
    <m/>
    <m/>
  </r>
  <r>
    <s v="CE70650"/>
    <s v="Karol Melissa Gómez Colmenares"/>
    <s v="RETAIL"/>
    <x v="21"/>
    <x v="12"/>
    <e v="#NAME?"/>
    <s v="SDATOOL-9053 $ GloMo Colombia"/>
    <n v="1"/>
    <x v="2"/>
    <x v="1"/>
    <m/>
    <e v="#NAME?"/>
    <e v="#NAME?"/>
    <e v="#NAME?"/>
    <m/>
    <m/>
    <m/>
    <m/>
    <m/>
    <m/>
  </r>
  <r>
    <s v="CE63473"/>
    <s v="Katherine Santana"/>
    <s v="RETAIL"/>
    <x v="21"/>
    <x v="3"/>
    <e v="#NAME?"/>
    <s v="SDATOOL-9053 $ GloMo Colombia"/>
    <n v="1"/>
    <x v="2"/>
    <x v="1"/>
    <m/>
    <e v="#NAME?"/>
    <e v="#NAME?"/>
    <e v="#NAME?"/>
    <m/>
    <m/>
    <m/>
    <m/>
    <m/>
    <m/>
  </r>
  <r>
    <s v="T000595"/>
    <s v="Laura Milena Duarte"/>
    <s v="RETAIL"/>
    <x v="21"/>
    <x v="6"/>
    <e v="#NAME?"/>
    <s v="SDATOOL-38489 $ Horizon BTGR - Colombia"/>
    <n v="1"/>
    <x v="0"/>
    <x v="2"/>
    <m/>
    <e v="#NAME?"/>
    <e v="#NAME?"/>
    <e v="#NAME?"/>
    <m/>
    <m/>
    <m/>
    <m/>
    <m/>
    <m/>
  </r>
  <r>
    <s v="CE67221"/>
    <s v="LAURA STEFANY ROMERO TRUJILLO"/>
    <s v="RETAIL"/>
    <x v="21"/>
    <x v="12"/>
    <e v="#NAME?"/>
    <s v="SDATOOL-9053 $ GloMo Colombia"/>
    <n v="1"/>
    <x v="0"/>
    <x v="5"/>
    <m/>
    <e v="#NAME?"/>
    <e v="#NAME?"/>
    <e v="#NAME?"/>
    <m/>
    <m/>
    <m/>
    <m/>
    <m/>
    <m/>
  </r>
  <r>
    <s v="CE64988"/>
    <s v="Levi Becerra"/>
    <s v="RETAIL"/>
    <x v="21"/>
    <x v="20"/>
    <e v="#NAME?"/>
    <s v="SDATOOL-9053 $ GloMo Colombia"/>
    <n v="0.5"/>
    <x v="0"/>
    <x v="2"/>
    <m/>
    <e v="#NAME?"/>
    <e v="#NAME?"/>
    <e v="#NAME?"/>
    <m/>
    <m/>
    <m/>
    <m/>
    <m/>
    <m/>
  </r>
  <r>
    <s v="T007048"/>
    <s v="Mario Perilla"/>
    <s v="RETAIL"/>
    <x v="21"/>
    <x v="20"/>
    <e v="#NAME?"/>
    <s v="SDATOOL-9053 $ GloMo Colombia"/>
    <n v="1"/>
    <x v="2"/>
    <x v="1"/>
    <m/>
    <e v="#NAME?"/>
    <e v="#NAME?"/>
    <e v="#NAME?"/>
    <m/>
    <m/>
    <m/>
    <m/>
    <m/>
    <m/>
  </r>
  <r>
    <s v="CE66364"/>
    <s v="Martin Theiler"/>
    <s v="RETAIL"/>
    <x v="21"/>
    <x v="15"/>
    <e v="#NAME?"/>
    <s v="SDATOOL-9053 $ GloMo Colombia"/>
    <n v="1"/>
    <x v="0"/>
    <x v="3"/>
    <m/>
    <e v="#NAME?"/>
    <e v="#NAME?"/>
    <e v="#NAME?"/>
    <m/>
    <m/>
    <m/>
    <m/>
    <m/>
    <m/>
  </r>
  <r>
    <s v="CE55340"/>
    <s v="Miller Gomez"/>
    <s v="RETAIL"/>
    <x v="21"/>
    <x v="3"/>
    <e v="#NAME?"/>
    <s v="SDATOOL-9053 $ GloMo Colombia"/>
    <n v="0.5"/>
    <x v="0"/>
    <x v="2"/>
    <m/>
    <e v="#NAME?"/>
    <e v="#NAME?"/>
    <e v="#NAME?"/>
    <m/>
    <m/>
    <m/>
    <m/>
    <m/>
    <m/>
  </r>
  <r>
    <s v="CE55340"/>
    <s v="Miller Gomez"/>
    <s v="RETAIL"/>
    <x v="21"/>
    <x v="3"/>
    <e v="#NAME?"/>
    <s v="SDATOOL-38489 $ Horizon BTGR - Colombia"/>
    <n v="0.5"/>
    <x v="0"/>
    <x v="2"/>
    <m/>
    <e v="#NAME?"/>
    <e v="#NAME?"/>
    <e v="#NAME?"/>
    <m/>
    <m/>
    <m/>
    <m/>
    <m/>
    <m/>
  </r>
  <r>
    <s v="CE70907"/>
    <s v="Nicolas Bedoya Montealegre"/>
    <s v="RETAIL"/>
    <x v="21"/>
    <x v="12"/>
    <e v="#NAME?"/>
    <s v="SDATOOL-38489 $ Horizon BTGR - Colombia"/>
    <n v="1"/>
    <x v="0"/>
    <x v="3"/>
    <m/>
    <e v="#NAME?"/>
    <e v="#NAME?"/>
    <e v="#NAME?"/>
    <m/>
    <m/>
    <m/>
    <m/>
    <m/>
    <m/>
  </r>
  <r>
    <s v="CE61633"/>
    <s v="Nicolas Eduardo Loaiza"/>
    <s v="RETAIL"/>
    <x v="21"/>
    <x v="9"/>
    <e v="#NAME?"/>
    <s v="SDATOOL-9053 $ GloMo Colombia"/>
    <n v="1"/>
    <x v="2"/>
    <x v="1"/>
    <m/>
    <e v="#NAME?"/>
    <e v="#NAME?"/>
    <e v="#NAME?"/>
    <m/>
    <m/>
    <m/>
    <m/>
    <m/>
    <m/>
  </r>
  <r>
    <s v="CE68502"/>
    <s v="Nydia Forero"/>
    <s v="RETAIL"/>
    <x v="21"/>
    <x v="3"/>
    <e v="#NAME?"/>
    <s v="SDATOOL-9053 $ GloMo Colombia"/>
    <n v="1"/>
    <x v="2"/>
    <x v="1"/>
    <m/>
    <e v="#NAME?"/>
    <e v="#NAME?"/>
    <e v="#NAME?"/>
    <m/>
    <m/>
    <m/>
    <m/>
    <m/>
    <m/>
  </r>
  <r>
    <s v="T000607"/>
    <s v="Oscar Andres Bernal Quiroz"/>
    <s v="RETAIL"/>
    <x v="21"/>
    <x v="12"/>
    <e v="#NAME?"/>
    <s v="SDATOOL-38489 $ Horizon BTGR - Colombia"/>
    <n v="1"/>
    <x v="0"/>
    <x v="2"/>
    <m/>
    <e v="#NAME?"/>
    <e v="#NAME?"/>
    <e v="#NAME?"/>
    <m/>
    <m/>
    <m/>
    <m/>
    <m/>
    <m/>
  </r>
  <r>
    <s v="CE70651"/>
    <s v="Oscar Freddy Roncancio Zea"/>
    <s v="RETAIL"/>
    <x v="21"/>
    <x v="12"/>
    <e v="#NAME?"/>
    <s v="SDATOOL-9053 $ GloMo Colombia"/>
    <n v="1"/>
    <x v="2"/>
    <x v="1"/>
    <m/>
    <e v="#NAME?"/>
    <e v="#NAME?"/>
    <e v="#NAME?"/>
    <m/>
    <m/>
    <m/>
    <m/>
    <m/>
    <m/>
  </r>
  <r>
    <s v="CE67312"/>
    <s v="Oscar Mauricio Lozano"/>
    <s v="RETAIL"/>
    <x v="21"/>
    <x v="9"/>
    <e v="#NAME?"/>
    <s v="SDATOOL-38489 $ Horizon BTGR - Colombia"/>
    <n v="1"/>
    <x v="2"/>
    <x v="1"/>
    <m/>
    <e v="#NAME?"/>
    <e v="#NAME?"/>
    <e v="#NAME?"/>
    <m/>
    <m/>
    <m/>
    <m/>
    <m/>
    <m/>
  </r>
  <r>
    <s v="CE47927"/>
    <s v="Rafael Eduardo Martinez Caceres"/>
    <s v="RETAIL"/>
    <x v="21"/>
    <x v="12"/>
    <e v="#NAME?"/>
    <s v="SDATOOL-9053 $ GloMo Colombia"/>
    <n v="0.5"/>
    <x v="0"/>
    <x v="2"/>
    <m/>
    <e v="#NAME?"/>
    <e v="#NAME?"/>
    <e v="#NAME?"/>
    <m/>
    <m/>
    <m/>
    <m/>
    <m/>
    <m/>
  </r>
  <r>
    <s v="CE47927"/>
    <s v="Rafael Eduardo Martinez Caceres"/>
    <s v="RETAIL"/>
    <x v="21"/>
    <x v="12"/>
    <e v="#NAME?"/>
    <s v="SDATOOL-38489 $ Horizon BTGR - Colombia"/>
    <n v="0.5"/>
    <x v="0"/>
    <x v="2"/>
    <m/>
    <e v="#NAME?"/>
    <e v="#NAME?"/>
    <e v="#NAME?"/>
    <m/>
    <m/>
    <m/>
    <m/>
    <m/>
    <m/>
  </r>
  <r>
    <s v="T002010"/>
    <s v="Sair Giovanny Bejarano Garcia"/>
    <s v="RETAIL"/>
    <x v="21"/>
    <x v="12"/>
    <e v="#NAME?"/>
    <s v="SDATOOL-38489 $ Horizon BTGR - Colombia"/>
    <n v="1"/>
    <x v="0"/>
    <x v="4"/>
    <m/>
    <e v="#NAME?"/>
    <e v="#NAME?"/>
    <e v="#NAME?"/>
    <m/>
    <m/>
    <m/>
    <m/>
    <m/>
    <m/>
  </r>
  <r>
    <s v="CE71170"/>
    <s v="Pedro Luis Melo Robayo"/>
    <s v="RETAIL"/>
    <x v="21"/>
    <x v="6"/>
    <e v="#NAME?"/>
    <s v="SDATOOL-38489 $ Horizon BTGR - Colombia"/>
    <n v="1"/>
    <x v="0"/>
    <x v="2"/>
    <s v="Externo"/>
    <e v="#NAME?"/>
    <e v="#NAME?"/>
    <e v="#NAME?"/>
    <m/>
    <m/>
    <m/>
    <m/>
    <m/>
    <m/>
  </r>
  <r>
    <s v="CE65214"/>
    <s v="Roger Arias"/>
    <s v="RETAIL"/>
    <x v="21"/>
    <x v="3"/>
    <e v="#NAME?"/>
    <s v="SDATOOL-9053 $ GloMo Colombia"/>
    <n v="1"/>
    <x v="0"/>
    <x v="5"/>
    <m/>
    <e v="#NAME?"/>
    <e v="#NAME?"/>
    <e v="#NAME?"/>
    <m/>
    <m/>
    <m/>
    <m/>
    <m/>
    <m/>
  </r>
  <r>
    <s v="CE66579"/>
    <s v="Santiago Molina"/>
    <s v="RETAIL"/>
    <x v="21"/>
    <x v="9"/>
    <e v="#NAME?"/>
    <s v="SDATOOL-9053 $ GloMo Colombia"/>
    <n v="1"/>
    <x v="2"/>
    <x v="5"/>
    <m/>
    <e v="#NAME?"/>
    <e v="#NAME?"/>
    <e v="#NAME?"/>
    <m/>
    <m/>
    <m/>
    <m/>
    <m/>
    <m/>
  </r>
  <r>
    <s v="CE71120"/>
    <s v="Santiago Montoya"/>
    <s v="RETAIL"/>
    <x v="21"/>
    <x v="20"/>
    <e v="#NAME?"/>
    <s v="SDATOOL-9053 $ GloMo Colombia"/>
    <n v="1"/>
    <x v="0"/>
    <x v="5"/>
    <m/>
    <e v="#NAME?"/>
    <e v="#NAME?"/>
    <e v="#NAME?"/>
    <m/>
    <m/>
    <m/>
    <m/>
    <m/>
    <m/>
  </r>
  <r>
    <s v="CE67850"/>
    <s v="Sergio Mercado"/>
    <s v="RETAIL"/>
    <x v="21"/>
    <x v="20"/>
    <e v="#NAME?"/>
    <s v="SDATOOL-9053 $ GloMo Colombia"/>
    <n v="1"/>
    <x v="2"/>
    <x v="5"/>
    <m/>
    <e v="#NAME?"/>
    <e v="#NAME?"/>
    <e v="#NAME?"/>
    <m/>
    <m/>
    <m/>
    <m/>
    <m/>
    <m/>
  </r>
  <r>
    <s v="Pend"/>
    <s v="Stiven Carrillo"/>
    <s v="RETAIL"/>
    <x v="21"/>
    <x v="3"/>
    <e v="#NAME?"/>
    <s v="SDATOOL-38489 $ Horizon BTGR - Colombia"/>
    <n v="1"/>
    <x v="0"/>
    <x v="5"/>
    <m/>
    <e v="#NAME?"/>
    <e v="#NAME?"/>
    <e v="#NAME?"/>
    <m/>
    <m/>
    <m/>
    <m/>
    <m/>
    <m/>
  </r>
  <r>
    <s v="XP66159"/>
    <s v="ANDRES FELIPE GUTIERREZ BAÑOL"/>
    <s v="ENTERPRISE"/>
    <x v="3"/>
    <x v="12"/>
    <e v="#NAME?"/>
    <s v="SDATOOL-40528 $ ETPB - SENDA PAGOS"/>
    <n v="1"/>
    <x v="0"/>
    <x v="4"/>
    <m/>
    <e v="#NAME?"/>
    <e v="#NAME?"/>
    <e v="#NAME?"/>
    <m/>
    <m/>
    <m/>
    <m/>
    <m/>
    <m/>
  </r>
  <r>
    <s v="T009376"/>
    <s v="CESAR LEANDRO PESTANA ROMERO"/>
    <s v="ENTERPRISE"/>
    <x v="3"/>
    <x v="6"/>
    <e v="#NAME?"/>
    <s v="SDATOOL-40528 $ ETPB - SENDA PAGOS"/>
    <n v="1"/>
    <x v="0"/>
    <x v="2"/>
    <m/>
    <e v="#NAME?"/>
    <e v="#NAME?"/>
    <e v="#NAME?"/>
    <m/>
    <m/>
    <m/>
    <m/>
    <m/>
    <m/>
  </r>
  <r>
    <s v="T002696"/>
    <s v="JEANN CARLOS SEQUEA MENDEZ "/>
    <s v="ENTERPRISE"/>
    <x v="3"/>
    <x v="20"/>
    <e v="#NAME?"/>
    <s v="SDATOOL-40457 $ SENDA (Base)"/>
    <n v="1"/>
    <x v="0"/>
    <x v="5"/>
    <m/>
    <e v="#NAME?"/>
    <e v="#NAME?"/>
    <e v="#NAME?"/>
    <m/>
    <m/>
    <m/>
    <m/>
    <m/>
    <m/>
  </r>
  <r>
    <s v="T011814"/>
    <s v="JOHANA KATHERIN VASQUEZ QUEVEDO "/>
    <s v="ENTERPRISE"/>
    <x v="3"/>
    <x v="9"/>
    <e v="#NAME?"/>
    <s v="SDATOOL-40457 $ SENDA (Base)"/>
    <n v="1"/>
    <x v="0"/>
    <x v="0"/>
    <m/>
    <e v="#NAME?"/>
    <e v="#NAME?"/>
    <e v="#NAME?"/>
    <m/>
    <m/>
    <m/>
    <m/>
    <m/>
    <m/>
  </r>
  <r>
    <s v="CE70220"/>
    <s v="JULIAN FELIPE VEGA HERNANDEZ "/>
    <s v="ENTERPRISE"/>
    <x v="3"/>
    <x v="20"/>
    <e v="#NAME?"/>
    <s v="SDATOOL-40457 $ SENDA (Base)"/>
    <n v="1"/>
    <x v="0"/>
    <x v="4"/>
    <m/>
    <e v="#NAME?"/>
    <e v="#NAME?"/>
    <e v="#NAME?"/>
    <m/>
    <m/>
    <m/>
    <m/>
    <m/>
    <m/>
  </r>
  <r>
    <s v="CE67866"/>
    <s v="NATALIA ORTIZ MALDONADO "/>
    <s v="ENTERPRISE"/>
    <x v="3"/>
    <x v="20"/>
    <e v="#NAME?"/>
    <s v="SDATOOL-40457 $ SENDA (Base)"/>
    <n v="1"/>
    <x v="0"/>
    <x v="3"/>
    <m/>
    <e v="#NAME?"/>
    <e v="#NAME?"/>
    <e v="#NAME?"/>
    <m/>
    <m/>
    <m/>
    <m/>
    <m/>
    <m/>
  </r>
  <r>
    <s v="CE69818"/>
    <s v="NICOLAS  MORENO AREVALO"/>
    <s v="ENTERPRISE"/>
    <x v="3"/>
    <x v="9"/>
    <e v="#NAME?"/>
    <s v="SDATOOL-40528 $ ETPB - SENDA PAGOS"/>
    <n v="1"/>
    <x v="0"/>
    <x v="5"/>
    <m/>
    <e v="#NAME?"/>
    <e v="#NAME?"/>
    <e v="#NAME?"/>
    <m/>
    <m/>
    <m/>
    <m/>
    <m/>
    <m/>
  </r>
  <r>
    <s v="CE59964"/>
    <s v="OSCAR YECID  SANCHEZ ZAMORA"/>
    <s v="ENTERPRISE"/>
    <x v="3"/>
    <x v="12"/>
    <e v="#NAME?"/>
    <s v="SDATOOL-40528 $ ETPB - SENDA PAGOS"/>
    <n v="1"/>
    <x v="0"/>
    <x v="3"/>
    <m/>
    <e v="#NAME?"/>
    <e v="#NAME?"/>
    <e v="#NAME?"/>
    <m/>
    <m/>
    <m/>
    <m/>
    <m/>
    <m/>
  </r>
  <r>
    <s v="C809501"/>
    <s v="RONALD ANTONIO ROMERO MONSALVE"/>
    <s v="ENTERPRISE"/>
    <x v="3"/>
    <x v="0"/>
    <e v="#NAME?"/>
    <s v="SDATOOL-40528 $ ETPB - SENDA PAGOS"/>
    <n v="1"/>
    <x v="0"/>
    <x v="0"/>
    <m/>
    <e v="#NAME?"/>
    <e v="#NAME?"/>
    <e v="#NAME?"/>
    <m/>
    <m/>
    <m/>
    <m/>
    <m/>
    <m/>
  </r>
  <r>
    <s v="CE68026"/>
    <s v="MIGUEL LEONARDO AVILA AREVALO"/>
    <s v="ENTERPRISE"/>
    <x v="3"/>
    <x v="9"/>
    <e v="#NAME?"/>
    <s v="SDATOOL-40457 $ SENDA (Base)"/>
    <n v="1"/>
    <x v="2"/>
    <x v="0"/>
    <m/>
    <e v="#NAME?"/>
    <e v="#NAME?"/>
    <e v="#NAME?"/>
    <m/>
    <m/>
    <m/>
    <m/>
    <m/>
    <m/>
  </r>
  <r>
    <s v="T009939"/>
    <s v="THALIA VALENTINA MANRIQUE BELLO"/>
    <s v="ENTERPRISE"/>
    <x v="3"/>
    <x v="12"/>
    <e v="#NAME?"/>
    <s v="SDATOOL-40528 $ ETPB - SENDA PAGOS"/>
    <n v="1"/>
    <x v="0"/>
    <x v="4"/>
    <m/>
    <e v="#NAME?"/>
    <e v="#NAME?"/>
    <e v="#NAME?"/>
    <m/>
    <m/>
    <m/>
    <m/>
    <m/>
    <m/>
  </r>
  <r>
    <s v="O000110"/>
    <s v="YINETH SANEY FRANCO HERNANDEZ "/>
    <s v="ENTERPRISE"/>
    <x v="3"/>
    <x v="0"/>
    <e v="#NAME?"/>
    <s v="SDATOOL-40457 $ SENDA (Base)"/>
    <n v="1"/>
    <x v="0"/>
    <x v="3"/>
    <m/>
    <e v="#NAME?"/>
    <e v="#NAME?"/>
    <e v="#NAME?"/>
    <m/>
    <m/>
    <m/>
    <m/>
    <m/>
    <m/>
  </r>
  <r>
    <s v="T009396"/>
    <s v="ZULMA ZORAYA  PENAGOS TAVERA"/>
    <s v="ENTERPRISE"/>
    <x v="3"/>
    <x v="6"/>
    <e v="#NAME?"/>
    <s v="SDATOOL-40528 $ ETPB - SENDA PAGOS"/>
    <n v="1"/>
    <x v="0"/>
    <x v="2"/>
    <m/>
    <e v="#NAME?"/>
    <e v="#NAME?"/>
    <e v="#NAME?"/>
    <m/>
    <m/>
    <m/>
    <m/>
    <m/>
    <m/>
  </r>
  <r>
    <s v="C811372"/>
    <s v="TORRES CASTILLO JOAN SEBASTIÁN"/>
    <s v="ENTERPRISE"/>
    <x v="17"/>
    <x v="0"/>
    <e v="#NAME?"/>
    <s v="SDATOOL-40555 $ ADELANTO DE VENTA EN GEMA"/>
    <n v="0.5"/>
    <x v="0"/>
    <x v="0"/>
    <m/>
    <e v="#NAME?"/>
    <e v="#NAME?"/>
    <e v="#NAME?"/>
    <m/>
    <m/>
    <m/>
    <m/>
    <m/>
    <m/>
  </r>
  <r>
    <s v="C811372"/>
    <s v="TORRES CASTILLO JOAN SEBASTIÁN"/>
    <s v="ENTERPRISE"/>
    <x v="17"/>
    <x v="0"/>
    <e v="#NAME?"/>
    <s v="SDATOOL-37169 $ EGS: Salto país y softoken"/>
    <n v="0.5"/>
    <x v="0"/>
    <x v="0"/>
    <m/>
    <e v="#NAME?"/>
    <e v="#NAME?"/>
    <e v="#NAME?"/>
    <m/>
    <m/>
    <m/>
    <m/>
    <m/>
    <m/>
  </r>
  <r>
    <s v="CE66039"/>
    <s v="OCAMPO RODRIGUEZ JOHN JAILER"/>
    <s v="ENTERPRISE"/>
    <x v="17"/>
    <x v="9"/>
    <e v="#NAME?"/>
    <s v="SDATOOL-37169 $ EGS: Salto país y softoken"/>
    <n v="1"/>
    <x v="0"/>
    <x v="0"/>
    <m/>
    <e v="#NAME?"/>
    <e v="#NAME?"/>
    <e v="#NAME?"/>
    <m/>
    <m/>
    <m/>
    <m/>
    <m/>
    <m/>
  </r>
  <r>
    <s v="C804101"/>
    <s v="FUQUENE CONTRERAS ADRIANA"/>
    <s v="ENTERPRISE"/>
    <x v="17"/>
    <x v="0"/>
    <e v="#NAME?"/>
    <s v="SDATOOL-37169 $ EGS: Salto país y softoken"/>
    <n v="0.5"/>
    <x v="1"/>
    <x v="0"/>
    <m/>
    <e v="#NAME?"/>
    <e v="#NAME?"/>
    <e v="#NAME?"/>
    <m/>
    <m/>
    <m/>
    <m/>
    <m/>
    <m/>
  </r>
  <r>
    <s v="C804101"/>
    <s v="FUQUENE CONTRERAS ADRIANA"/>
    <s v="ENTERPRISE"/>
    <x v="17"/>
    <x v="0"/>
    <e v="#NAME?"/>
    <s v="SDATOOL-39358 $ Crédito Virtual"/>
    <n v="0.25"/>
    <x v="1"/>
    <x v="0"/>
    <m/>
    <e v="#NAME?"/>
    <e v="#NAME?"/>
    <e v="#NAME?"/>
    <m/>
    <m/>
    <m/>
    <m/>
    <m/>
    <m/>
  </r>
  <r>
    <s v="C804101"/>
    <s v="FUQUENE CONTRERAS ADRIANA"/>
    <s v="ENTERPRISE"/>
    <x v="17"/>
    <x v="0"/>
    <e v="#NAME?"/>
    <s v="SDATOOL-40555 $ ADELANTO DE VENTA EN GEMA"/>
    <n v="0.25"/>
    <x v="1"/>
    <x v="0"/>
    <m/>
    <e v="#NAME?"/>
    <e v="#NAME?"/>
    <e v="#NAME?"/>
    <m/>
    <m/>
    <m/>
    <m/>
    <m/>
    <m/>
  </r>
  <r>
    <s v="C810885"/>
    <s v="GARCIA HERRERA MONICA LILIANA"/>
    <s v="ENTERPRISE"/>
    <x v="17"/>
    <x v="0"/>
    <e v="#NAME?"/>
    <s v="SDATOOL-37425 $ Recaudo DIAN Tarjetas de Crédito Propio Banco través del Botón de pagos PSE para los canales Banca Personas y Banca de Empresas"/>
    <n v="0.25"/>
    <x v="1"/>
    <x v="6"/>
    <m/>
    <e v="#NAME?"/>
    <e v="#NAME?"/>
    <e v="#NAME?"/>
    <m/>
    <m/>
    <m/>
    <m/>
    <m/>
    <m/>
  </r>
  <r>
    <s v="C810885"/>
    <s v="GARCIA HERRERA MONICA LILIANA"/>
    <s v="ENTERPRISE"/>
    <x v="17"/>
    <x v="0"/>
    <e v="#NAME?"/>
    <s v="SDATOOL-40555 $ ADELANTO DE VENTA EN GEMA"/>
    <n v="0.25"/>
    <x v="1"/>
    <x v="6"/>
    <m/>
    <e v="#NAME?"/>
    <e v="#NAME?"/>
    <e v="#NAME?"/>
    <m/>
    <m/>
    <m/>
    <m/>
    <m/>
    <m/>
  </r>
  <r>
    <s v="C810885"/>
    <s v="GARCIA HERRERA MONICA LILIANA"/>
    <s v="ENTERPRISE"/>
    <x v="17"/>
    <x v="0"/>
    <e v="#NAME?"/>
    <s v="SDATOOL-40482 $ Incluir tasa ponderada en Adquirencia Onboarding digital - Netcash"/>
    <n v="0.5"/>
    <x v="1"/>
    <x v="6"/>
    <m/>
    <e v="#NAME?"/>
    <e v="#NAME?"/>
    <e v="#NAME?"/>
    <m/>
    <m/>
    <m/>
    <m/>
    <m/>
    <m/>
  </r>
  <r>
    <s v="CE65938"/>
    <s v="AREVALO MORENO DEINA ALEJANDRA"/>
    <s v="ENTERPRISE"/>
    <x v="17"/>
    <x v="9"/>
    <e v="#NAME?"/>
    <s v="SDATOOL-37169 $ EGS: Salto país y softoken"/>
    <n v="1"/>
    <x v="0"/>
    <x v="0"/>
    <m/>
    <e v="#NAME?"/>
    <e v="#NAME?"/>
    <e v="#NAME?"/>
    <m/>
    <m/>
    <m/>
    <m/>
    <m/>
    <m/>
  </r>
  <r>
    <s v="T006284"/>
    <s v="ROMERO LITSY DAYANA"/>
    <s v="ENTERPRISE"/>
    <x v="17"/>
    <x v="9"/>
    <e v="#NAME?"/>
    <s v="SDATOOL-37169 $ EGS: Salto país y softoken"/>
    <n v="1"/>
    <x v="2"/>
    <x v="0"/>
    <m/>
    <e v="#NAME?"/>
    <e v="#NAME?"/>
    <e v="#NAME?"/>
    <m/>
    <m/>
    <m/>
    <m/>
    <m/>
    <m/>
  </r>
  <r>
    <s v="T011667"/>
    <s v="MARTINEZ RODRIGUEZ ENRIQUE"/>
    <s v="ENTERPRISE"/>
    <x v="17"/>
    <x v="9"/>
    <e v="#NAME?"/>
    <s v="SDATOOL-37169 $ EGS: Salto país y softoken"/>
    <n v="1"/>
    <x v="0"/>
    <x v="0"/>
    <m/>
    <e v="#NAME?"/>
    <e v="#NAME?"/>
    <e v="#NAME?"/>
    <m/>
    <m/>
    <m/>
    <m/>
    <m/>
    <m/>
  </r>
  <r>
    <s v="C811005"/>
    <s v="OTALORA LEIVA LUIS FERNANDO"/>
    <s v="ENTERPRISE"/>
    <x v="17"/>
    <x v="0"/>
    <e v="#NAME?"/>
    <s v="SDATOOL-39358 $ Crédito Virtual"/>
    <n v="0.75"/>
    <x v="0"/>
    <x v="0"/>
    <m/>
    <e v="#NAME?"/>
    <e v="#NAME?"/>
    <e v="#NAME?"/>
    <m/>
    <m/>
    <m/>
    <m/>
    <m/>
    <m/>
  </r>
  <r>
    <s v="C811005"/>
    <s v="OTALORA LEIVA LUIS FERNANDO"/>
    <s v="ENTERPRISE"/>
    <x v="17"/>
    <x v="0"/>
    <e v="#NAME?"/>
    <s v="SDATOOL-40555 $ ADELANTO DE VENTA EN GEMA"/>
    <n v="0.25"/>
    <x v="0"/>
    <x v="2"/>
    <m/>
    <e v="#NAME?"/>
    <e v="#NAME?"/>
    <e v="#NAME?"/>
    <m/>
    <m/>
    <m/>
    <m/>
    <m/>
    <m/>
  </r>
  <r>
    <s v="C810684"/>
    <s v="CACERES CRISTANCHO JUAN SEBASTIAN"/>
    <s v="ENTERPRISE"/>
    <x v="17"/>
    <x v="0"/>
    <e v="#NAME?"/>
    <s v="SDATOOL-40555 $ ADELANTO DE VENTA EN GEMA"/>
    <n v="1"/>
    <x v="0"/>
    <x v="0"/>
    <m/>
    <e v="#NAME?"/>
    <e v="#NAME?"/>
    <e v="#NAME?"/>
    <m/>
    <m/>
    <m/>
    <m/>
    <m/>
    <m/>
  </r>
  <r>
    <s v="CE66581"/>
    <s v="POLANCO DANIEL LEONARDO"/>
    <s v="ENTERPRISE"/>
    <x v="17"/>
    <x v="9"/>
    <e v="#NAME?"/>
    <s v="SDATOOL-40555 $ ADELANTO DE VENTA EN GEMA"/>
    <n v="1"/>
    <x v="2"/>
    <x v="0"/>
    <m/>
    <e v="#NAME?"/>
    <e v="#NAME?"/>
    <e v="#NAME?"/>
    <m/>
    <m/>
    <m/>
    <m/>
    <m/>
    <m/>
  </r>
  <r>
    <s v="T003697"/>
    <s v="BALLEN GAMBOA CRISTIAN"/>
    <s v="ENTERPRISE"/>
    <x v="17"/>
    <x v="9"/>
    <e v="#NAME?"/>
    <s v="SDATOOL-39358 $ Crédito Virtual"/>
    <n v="1"/>
    <x v="0"/>
    <x v="0"/>
    <m/>
    <e v="#NAME?"/>
    <e v="#NAME?"/>
    <e v="#NAME?"/>
    <m/>
    <m/>
    <m/>
    <m/>
    <m/>
    <m/>
  </r>
  <r>
    <s v="CE65226"/>
    <s v="AMAYA CAMPOS SANTIAGO"/>
    <s v="ENTERPRISE"/>
    <x v="17"/>
    <x v="9"/>
    <e v="#NAME?"/>
    <s v="SDATOOL-39358 $ Crédito Virtual"/>
    <n v="0.5"/>
    <x v="0"/>
    <x v="3"/>
    <m/>
    <e v="#NAME?"/>
    <e v="#NAME?"/>
    <e v="#NAME?"/>
    <m/>
    <m/>
    <m/>
    <m/>
    <m/>
    <m/>
  </r>
  <r>
    <s v="CE65226"/>
    <s v="AMAYA CAMPOS SANTIAGO"/>
    <s v="ENTERPRISE"/>
    <x v="17"/>
    <x v="9"/>
    <e v="#NAME?"/>
    <s v="SDATOOL-40555 $ ADELANTO DE VENTA EN GEMA"/>
    <n v="0.5"/>
    <x v="0"/>
    <x v="4"/>
    <m/>
    <e v="#NAME?"/>
    <e v="#NAME?"/>
    <e v="#NAME?"/>
    <m/>
    <m/>
    <m/>
    <m/>
    <m/>
    <m/>
  </r>
  <r>
    <s v="O002003"/>
    <s v="MORENO ANGEL HEYDEN AUGUSTO"/>
    <s v="ENTERPRISE"/>
    <x v="17"/>
    <x v="0"/>
    <e v="#NAME?"/>
    <s v="SDATOOL-39358 $ Crédito Virtual"/>
    <n v="1"/>
    <x v="0"/>
    <x v="0"/>
    <m/>
    <e v="#NAME?"/>
    <e v="#NAME?"/>
    <e v="#NAME?"/>
    <m/>
    <m/>
    <m/>
    <m/>
    <m/>
    <m/>
  </r>
  <r>
    <s v="T009653"/>
    <s v="MEJIA PAULA VALENTINA"/>
    <s v="ENTERPRISE"/>
    <x v="17"/>
    <x v="9"/>
    <e v="#NAME?"/>
    <s v="SDATOOL-39358 $ Crédito Virtual"/>
    <n v="1"/>
    <x v="2"/>
    <x v="0"/>
    <m/>
    <e v="#NAME?"/>
    <e v="#NAME?"/>
    <e v="#NAME?"/>
    <m/>
    <m/>
    <m/>
    <m/>
    <m/>
    <m/>
  </r>
  <r>
    <s v="CE58814"/>
    <s v="PINZON VANEGAS MIGUEL ANGEL"/>
    <s v="ENTERPRISE"/>
    <x v="17"/>
    <x v="5"/>
    <e v="#NAME?"/>
    <s v="SDATOOL-40555 $ ADELANTO DE VENTA EN GEMA"/>
    <n v="1"/>
    <x v="0"/>
    <x v="2"/>
    <m/>
    <e v="#NAME?"/>
    <e v="#NAME?"/>
    <e v="#NAME?"/>
    <m/>
    <m/>
    <m/>
    <m/>
    <m/>
    <m/>
  </r>
  <r>
    <s v="T007566"/>
    <s v="PINEDA GALLEGO ZAMIR ALEJANDRO"/>
    <s v="ENTERPRISE"/>
    <x v="17"/>
    <x v="5"/>
    <e v="#NAME?"/>
    <s v="SDATOOL-40555 $ ADELANTO DE VENTA EN GEMA"/>
    <n v="1"/>
    <x v="0"/>
    <x v="4"/>
    <m/>
    <e v="#NAME?"/>
    <e v="#NAME?"/>
    <e v="#NAME?"/>
    <m/>
    <m/>
    <m/>
    <m/>
    <m/>
    <m/>
  </r>
  <r>
    <s v="T007886"/>
    <s v="SILVA ROMERO JULIAN DAVID"/>
    <s v="ENTERPRISE"/>
    <x v="17"/>
    <x v="5"/>
    <e v="#NAME?"/>
    <s v="SDATOOL-40555 $ ADELANTO DE VENTA EN GEMA"/>
    <n v="1"/>
    <x v="0"/>
    <x v="4"/>
    <m/>
    <e v="#NAME?"/>
    <e v="#NAME?"/>
    <e v="#NAME?"/>
    <m/>
    <m/>
    <m/>
    <m/>
    <m/>
    <m/>
  </r>
  <r>
    <s v="CE66910"/>
    <s v="PENAGOS JULIO CESAR"/>
    <s v="ENTERPRISE"/>
    <x v="17"/>
    <x v="9"/>
    <e v="#NAME?"/>
    <s v="SDATOOL-40555 $ ADELANTO DE VENTA EN GEMA"/>
    <n v="1"/>
    <x v="0"/>
    <x v="3"/>
    <m/>
    <e v="#NAME?"/>
    <e v="#NAME?"/>
    <e v="#NAME?"/>
    <m/>
    <m/>
    <m/>
    <m/>
    <m/>
    <m/>
  </r>
  <r>
    <s v="CE61320"/>
    <s v="CASTILLO ALONSO GILBERTO"/>
    <s v="ENTERPRISE"/>
    <x v="17"/>
    <x v="6"/>
    <e v="#NAME?"/>
    <s v="SDATOOL-40555 $ ADELANTO DE VENTA EN GEMA"/>
    <n v="1"/>
    <x v="0"/>
    <x v="3"/>
    <m/>
    <e v="#NAME?"/>
    <e v="#NAME?"/>
    <e v="#NAME?"/>
    <m/>
    <m/>
    <m/>
    <m/>
    <m/>
    <m/>
  </r>
  <r>
    <s v="CE66764"/>
    <s v="FORERO RUIZ JOSE ANTONIO"/>
    <s v="ENTERPRISE"/>
    <x v="17"/>
    <x v="9"/>
    <e v="#NAME?"/>
    <s v="SDATOOL-40555 $ ADELANTO DE VENTA EN GEMA"/>
    <n v="1"/>
    <x v="0"/>
    <x v="5"/>
    <m/>
    <e v="#NAME?"/>
    <e v="#NAME?"/>
    <e v="#NAME?"/>
    <m/>
    <m/>
    <m/>
    <m/>
    <m/>
    <m/>
  </r>
  <r>
    <s v="CE70407"/>
    <s v="BARRIOS ASPRILLA BREINER I"/>
    <s v="ENTERPRISE"/>
    <x v="17"/>
    <x v="2"/>
    <e v="#NAME?"/>
    <s v="NOSDA $ BAU (Mantenimiento y peq. evolutivos)"/>
    <n v="1"/>
    <x v="3"/>
    <x v="0"/>
    <m/>
    <e v="#NAME?"/>
    <e v="#NAME?"/>
    <e v="#NAME?"/>
    <m/>
    <m/>
    <m/>
    <m/>
    <m/>
    <m/>
  </r>
  <r>
    <s v="T005929"/>
    <s v="CAVIEDES JIMENEZ JULIAN FELIPE"/>
    <s v="ENTERPRISE"/>
    <x v="17"/>
    <x v="9"/>
    <e v="#NAME?"/>
    <s v="NOSDA $ BAU (Mantenimiento y peq. evolutivos)"/>
    <n v="1"/>
    <x v="3"/>
    <x v="0"/>
    <m/>
    <e v="#NAME?"/>
    <e v="#NAME?"/>
    <e v="#NAME?"/>
    <m/>
    <m/>
    <m/>
    <m/>
    <m/>
    <m/>
  </r>
  <r>
    <s v="CE51848"/>
    <s v="GORDO BELTRAN DANIEL FERNANDO"/>
    <s v="ENTERPRISE"/>
    <x v="17"/>
    <x v="5"/>
    <e v="#NAME?"/>
    <s v="NOSDA $ BAU (Mantenimiento y peq. evolutivos)"/>
    <n v="0.5"/>
    <x v="3"/>
    <x v="0"/>
    <m/>
    <e v="#NAME?"/>
    <e v="#NAME?"/>
    <e v="#NAME?"/>
    <m/>
    <m/>
    <m/>
    <m/>
    <m/>
    <m/>
  </r>
  <r>
    <s v="T004335"/>
    <s v="MANCIPE JUAN DAVID"/>
    <s v="ENTERPRISE"/>
    <x v="17"/>
    <x v="9"/>
    <e v="#NAME?"/>
    <s v="SDATOOL-40555 $ ADELANTO DE VENTA EN GEMA"/>
    <n v="1"/>
    <x v="0"/>
    <x v="5"/>
    <m/>
    <e v="#NAME?"/>
    <e v="#NAME?"/>
    <e v="#NAME?"/>
    <m/>
    <m/>
    <m/>
    <m/>
    <m/>
    <m/>
  </r>
  <r>
    <s v="CI08666"/>
    <s v="Jorge Anibal Blanco Meneses"/>
    <s v="CIB &amp; COMEX - FIDUCIARIA"/>
    <x v="18"/>
    <x v="21"/>
    <e v="#NAME?"/>
    <s v="NOSDA $ BAU (Mantenimiento y peq. evolutivos)"/>
    <n v="0.4"/>
    <x v="1"/>
    <x v="6"/>
    <s v="Interno"/>
    <e v="#NAME?"/>
    <e v="#NAME?"/>
    <e v="#NAME?"/>
    <m/>
    <m/>
    <m/>
    <m/>
    <m/>
    <m/>
  </r>
  <r>
    <s v="CE34456"/>
    <s v="JOHN EDUAR LUNA SANCHEZ"/>
    <s v="CIB &amp; COMEX - FIDUCIARIA"/>
    <x v="16"/>
    <x v="9"/>
    <e v="#NAME?"/>
    <s v="SDATOOL-40269 $ Actualización y transmisión Declaraciones de Cambio – Banco de la República Abril 2022."/>
    <n v="0.25"/>
    <x v="2"/>
    <x v="1"/>
    <m/>
    <e v="#NAME?"/>
    <e v="#NAME?"/>
    <e v="#NAME?"/>
    <m/>
    <m/>
    <m/>
    <m/>
    <m/>
    <m/>
  </r>
  <r>
    <s v="CE34456"/>
    <s v="JOHN EDUAR LUNA SANCHEZ"/>
    <s v="CIB &amp; COMEX - FIDUCIARIA"/>
    <x v="16"/>
    <x v="9"/>
    <e v="#NAME?"/>
    <s v="SDATOOL-37342 $ SWIFT ISO20022 Ajuste de mensajes Swift a la nueva estructura"/>
    <n v="0.25"/>
    <x v="2"/>
    <x v="1"/>
    <m/>
    <e v="#NAME?"/>
    <e v="#NAME?"/>
    <e v="#NAME?"/>
    <m/>
    <m/>
    <m/>
    <m/>
    <m/>
    <m/>
  </r>
  <r>
    <s v="CE34456"/>
    <s v="JOHN EDUAR LUNA SANCHEZ"/>
    <s v="CIB &amp; COMEX - FIDUCIARIA"/>
    <x v="16"/>
    <x v="9"/>
    <e v="#NAME?"/>
    <s v="NOSDA $ BAU (Mantenimiento y peq. evolutivos)"/>
    <n v="0.5"/>
    <x v="2"/>
    <x v="1"/>
    <m/>
    <e v="#NAME?"/>
    <e v="#NAME?"/>
    <e v="#NAME?"/>
    <m/>
    <m/>
    <m/>
    <m/>
    <m/>
    <m/>
  </r>
  <r>
    <s v="CE41784"/>
    <s v="JORGE HUMBERTO MARTINEZ MARIN"/>
    <s v="CIB &amp; COMEX - FIDUCIARIA"/>
    <x v="16"/>
    <x v="6"/>
    <e v="#NAME?"/>
    <s v="SDATOOL-36047 $ Bloqueo Sobregiro para Pago Capital e Intereses"/>
    <n v="1"/>
    <x v="0"/>
    <x v="2"/>
    <m/>
    <e v="#NAME?"/>
    <e v="#NAME?"/>
    <e v="#NAME?"/>
    <m/>
    <m/>
    <m/>
    <m/>
    <m/>
    <m/>
  </r>
  <r>
    <s v="CE57264"/>
    <s v="LUCIO RAMIRO TAPIA VARGAS"/>
    <s v="CIB &amp; COMEX - FIDUCIARIA"/>
    <x v="16"/>
    <x v="6"/>
    <e v="#NAME?"/>
    <s v="SDATOOL-36047 $ Bloqueo Sobregiro para Pago Capital e Intereses"/>
    <n v="1"/>
    <x v="0"/>
    <x v="2"/>
    <m/>
    <e v="#NAME?"/>
    <e v="#NAME?"/>
    <e v="#NAME?"/>
    <m/>
    <m/>
    <m/>
    <m/>
    <m/>
    <m/>
  </r>
  <r>
    <s v="T007049"/>
    <s v="ALVARO ARENAS SANCHEZ"/>
    <s v="CIB &amp; COMEX - FIDUCIARIA"/>
    <x v="16"/>
    <x v="20"/>
    <e v="#NAME?"/>
    <s v="NOSDA $ BAU (Mantenimiento y peq. evolutivos)"/>
    <n v="1"/>
    <x v="0"/>
    <x v="0"/>
    <m/>
    <e v="#NAME?"/>
    <e v="#NAME?"/>
    <e v="#NAME?"/>
    <m/>
    <m/>
    <m/>
    <m/>
    <m/>
    <m/>
  </r>
  <r>
    <s v="CE69613"/>
    <s v="MARTÍN RODRIGUEZ"/>
    <s v="CIB &amp; COMEX - FIDUCIARIA"/>
    <x v="16"/>
    <x v="20"/>
    <e v="#NAME?"/>
    <s v="SDATOOL-41308 $ Aplicativos Tesorería 2023"/>
    <n v="0.2"/>
    <x v="0"/>
    <x v="0"/>
    <m/>
    <e v="#NAME?"/>
    <e v="#NAME?"/>
    <e v="#NAME?"/>
    <m/>
    <m/>
    <m/>
    <m/>
    <m/>
    <m/>
  </r>
  <r>
    <s v="CE67315"/>
    <s v="YEFERSON OCHOA"/>
    <s v="CIB &amp; COMEX - FIDUCIARIA"/>
    <x v="16"/>
    <x v="20"/>
    <e v="#NAME?"/>
    <s v="SDATOOL-41308 $ Aplicativos Tesorería 2023"/>
    <n v="0.2"/>
    <x v="0"/>
    <x v="0"/>
    <m/>
    <e v="#NAME?"/>
    <e v="#NAME?"/>
    <e v="#NAME?"/>
    <m/>
    <m/>
    <m/>
    <m/>
    <m/>
    <m/>
  </r>
  <r>
    <s v="T003696"/>
    <s v="LUIS LOZANO"/>
    <s v="CIB &amp; COMEX - FIDUCIARIA"/>
    <x v="16"/>
    <x v="20"/>
    <e v="#NAME?"/>
    <s v="SDATOOL-41308 $ Aplicativos Tesorería 2023"/>
    <n v="0.2"/>
    <x v="0"/>
    <x v="0"/>
    <m/>
    <e v="#NAME?"/>
    <e v="#NAME?"/>
    <e v="#NAME?"/>
    <m/>
    <m/>
    <m/>
    <m/>
    <m/>
    <m/>
  </r>
  <r>
    <s v="CE66251"/>
    <s v="SANTIAGO A SANTOS ESTRADA"/>
    <s v="CIB &amp; COMEX - FIDUCIARIA"/>
    <x v="16"/>
    <x v="9"/>
    <e v="#NAME?"/>
    <s v="NOSDA $ BAU (Mantenimiento y peq. evolutivos)"/>
    <n v="0.5"/>
    <x v="2"/>
    <x v="0"/>
    <m/>
    <e v="#NAME?"/>
    <e v="#NAME?"/>
    <e v="#NAME?"/>
    <m/>
    <m/>
    <m/>
    <m/>
    <m/>
    <m/>
  </r>
  <r>
    <s v="CE66251"/>
    <s v="BRIAN LEONARDO PEREZ RUBIANO"/>
    <s v="CIB &amp; COMEX - FIDUCIARIA"/>
    <x v="16"/>
    <x v="9"/>
    <e v="#NAME?"/>
    <s v="NOSDA $ BAU (Mantenimiento y peq. evolutivos)"/>
    <n v="0.5"/>
    <x v="2"/>
    <x v="0"/>
    <m/>
    <e v="#NAME?"/>
    <e v="#NAME?"/>
    <e v="#NAME?"/>
    <m/>
    <m/>
    <m/>
    <m/>
    <m/>
    <m/>
  </r>
  <r>
    <s v="C811378"/>
    <s v="ANDRES FELIPE GOMEZ"/>
    <s v="CORE"/>
    <x v="27"/>
    <x v="0"/>
    <e v="#NAME?"/>
    <s v="SDATOOL-38742 $ Gestor Documental Retail"/>
    <n v="1"/>
    <x v="0"/>
    <x v="3"/>
    <s v="[GDG] - Habilitador Gestor Documental EMC1"/>
    <e v="#NAME?"/>
    <e v="#NAME?"/>
    <e v="#NAME?"/>
    <m/>
    <m/>
    <m/>
    <m/>
    <m/>
    <e v="#REF!"/>
  </r>
  <r>
    <s v="O002144"/>
    <s v="JEISON EDUARDO HERNANDEZ"/>
    <s v="CORE"/>
    <x v="27"/>
    <x v="0"/>
    <e v="#NAME?"/>
    <s v="SDATOOL-38742 $ Gestor Documental Retail"/>
    <n v="1"/>
    <x v="0"/>
    <x v="4"/>
    <s v="[GDG] - Habilitador Gestor Documental EMC1"/>
    <e v="#NAME?"/>
    <e v="#NAME?"/>
    <e v="#NAME?"/>
    <m/>
    <m/>
    <m/>
    <m/>
    <m/>
    <n v="1"/>
  </r>
  <r>
    <s v="C804805"/>
    <s v="STEFANY CAROLINA MEDINA VILLADIENGO"/>
    <s v="CORE"/>
    <x v="27"/>
    <x v="0"/>
    <e v="#NAME?"/>
    <s v="SDATOOL-38742 $ Gestor Documental Retail"/>
    <n v="1"/>
    <x v="0"/>
    <x v="4"/>
    <s v="[GDG] - Habilitador Gestor Documental EMC1"/>
    <e v="#NAME?"/>
    <e v="#NAME?"/>
    <e v="#NAME?"/>
    <m/>
    <m/>
    <m/>
    <m/>
    <m/>
    <n v="1"/>
  </r>
  <r>
    <s v="O004614"/>
    <s v="ALEXANDER GONZALEZ PEÑA"/>
    <s v="CORE"/>
    <x v="27"/>
    <x v="0"/>
    <e v="#NAME?"/>
    <s v="SDATOOL-39840 $ BBVA Valores en Canales (Net Cash / Net)"/>
    <n v="0.8"/>
    <x v="0"/>
    <x v="0"/>
    <s v="[WIMEB] - Inclusión Extractos Producto de Valores"/>
    <e v="#NAME?"/>
    <e v="#NAME?"/>
    <e v="#NAME?"/>
    <m/>
    <m/>
    <m/>
    <m/>
    <m/>
    <n v="1"/>
  </r>
  <r>
    <s v="O004614"/>
    <s v="ALEXANDER GONZALEZ PEÑA"/>
    <s v="CORE"/>
    <x v="27"/>
    <x v="0"/>
    <e v="#NAME?"/>
    <s v="NOSDA $ BAU (Mantenimiento y peq. evolutivos)"/>
    <n v="0.1"/>
    <x v="0"/>
    <x v="0"/>
    <s v="[WIMEB] - Soporte Produccion"/>
    <e v="#NAME?"/>
    <e v="#NAME?"/>
    <e v="#NAME?"/>
    <m/>
    <m/>
    <m/>
    <m/>
    <m/>
    <n v="0"/>
  </r>
  <r>
    <s v="O004614"/>
    <s v="ALEXANDER GONZALEZ PEÑA"/>
    <s v="CORE"/>
    <x v="27"/>
    <x v="0"/>
    <e v="#NAME?"/>
    <s v="NOSDA $ BAU (Mantenimiento y peq. evolutivos)"/>
    <n v="0.1"/>
    <x v="0"/>
    <x v="0"/>
    <s v="[WIMEB] - Carta de bienvenida Libranza"/>
    <e v="#NAME?"/>
    <e v="#NAME?"/>
    <e v="#NAME?"/>
    <m/>
    <m/>
    <m/>
    <m/>
    <m/>
    <n v="0"/>
  </r>
  <r>
    <s v="C809712"/>
    <s v="MIGUEL ANGEL ALBARRACIN"/>
    <s v="CORE"/>
    <x v="27"/>
    <x v="0"/>
    <e v="#NAME?"/>
    <s v="SDATOOL-37753 $ Plan de transformación de operaciones 2022"/>
    <n v="0.7"/>
    <x v="0"/>
    <x v="3"/>
    <s v="[IDP] - COLWSBPE-115 - Definiciones a nivel técnico "/>
    <e v="#NAME?"/>
    <e v="#NAME?"/>
    <e v="#NAME?"/>
    <m/>
    <m/>
    <m/>
    <m/>
    <m/>
    <n v="1"/>
  </r>
  <r>
    <s v="C809712"/>
    <s v="MIGUEL ANGEL ALBARRACIN"/>
    <s v="CORE"/>
    <x v="27"/>
    <x v="0"/>
    <e v="#NAME?"/>
    <s v="SDATOOL-35463 $ Gestión de Ingresos - Períodos de Gracia Libranzas"/>
    <n v="0.2"/>
    <x v="0"/>
    <x v="0"/>
    <s v="[WIMEB] - Carta de bienvenida consumo"/>
    <e v="#NAME?"/>
    <e v="#NAME?"/>
    <e v="#NAME?"/>
    <m/>
    <m/>
    <m/>
    <m/>
    <m/>
    <n v="0"/>
  </r>
  <r>
    <s v="C809712"/>
    <s v="MIGUEL ANGEL ALBARRACIN"/>
    <s v="CORE"/>
    <x v="27"/>
    <x v="0"/>
    <e v="#NAME?"/>
    <s v="NOSDA $ BAU (Mantenimiento y peq. evolutivos)"/>
    <n v="0.1"/>
    <x v="0"/>
    <x v="0"/>
    <s v="[WIMEB] - INICIDENCIA   Consulta de Extractos"/>
    <e v="#NAME?"/>
    <e v="#NAME?"/>
    <e v="#NAME?"/>
    <m/>
    <m/>
    <m/>
    <m/>
    <m/>
    <n v="0"/>
  </r>
  <r>
    <s v="C804845"/>
    <s v="DIEGO ANDRES JIMENEZ PABUENA"/>
    <s v="CORE"/>
    <x v="27"/>
    <x v="0"/>
    <e v="#NAME?"/>
    <s v="SDATOOL-40435 $ Cuota Segura créditos de libranza"/>
    <n v="0.5"/>
    <x v="0"/>
    <x v="0"/>
    <s v="[PNB] - Proyecto : Gestión de Ingresos - Períodos de Gracia Libranzas"/>
    <e v="#NAME?"/>
    <e v="#NAME?"/>
    <e v="#NAME?"/>
    <m/>
    <m/>
    <m/>
    <m/>
    <m/>
    <n v="1"/>
  </r>
  <r>
    <s v="C804845"/>
    <s v="DIEGO ANDRES JIMENEZ PABUENA"/>
    <s v="CORE"/>
    <x v="27"/>
    <x v="0"/>
    <e v="#NAME?"/>
    <s v="NOSDA $ BAU (Mantenimiento y peq. evolutivos)"/>
    <n v="0.1"/>
    <x v="0"/>
    <x v="0"/>
    <s v="[FARO] - Revisión documentos pendientes por migrar"/>
    <e v="#NAME?"/>
    <e v="#NAME?"/>
    <e v="#NAME?"/>
    <m/>
    <m/>
    <m/>
    <m/>
    <m/>
    <n v="0"/>
  </r>
  <r>
    <s v="C804845"/>
    <s v="DIEGO ANDRES JIMENEZ PABUENA"/>
    <s v="CORE"/>
    <x v="27"/>
    <x v="0"/>
    <e v="#NAME?"/>
    <s v="NOSDA $ BAU (Mantenimiento y peq. evolutivos)"/>
    <n v="0.05"/>
    <x v="0"/>
    <x v="0"/>
    <s v="[Firmas Valuadoras] - Dia a Dia / Firmas valuadoras. Creación usuarios"/>
    <e v="#NAME?"/>
    <e v="#NAME?"/>
    <e v="#NAME?"/>
    <m/>
    <m/>
    <m/>
    <m/>
    <m/>
    <n v="0"/>
  </r>
  <r>
    <s v="C804845"/>
    <s v="DIEGO ANDRES JIMENEZ PABUENA"/>
    <s v="CORE"/>
    <x v="27"/>
    <x v="0"/>
    <e v="#NAME?"/>
    <s v="NOSDA $ BAU (Mantenimiento y peq. evolutivos)"/>
    <n v="0.1"/>
    <x v="0"/>
    <x v="0"/>
    <s v="[PNB] - Atención solicitudes de actualización"/>
    <e v="#NAME?"/>
    <e v="#NAME?"/>
    <e v="#NAME?"/>
    <m/>
    <m/>
    <m/>
    <m/>
    <m/>
    <n v="0"/>
  </r>
  <r>
    <s v="C804845"/>
    <s v="DIEGO ANDRES JIMENEZ PABUENA"/>
    <s v="CORE"/>
    <x v="27"/>
    <x v="0"/>
    <e v="#NAME?"/>
    <s v="NOSDA $ BAU (Mantenimiento y peq. evolutivos)"/>
    <n v="0.1"/>
    <x v="0"/>
    <x v="0"/>
    <s v="[Lotus-Khronos] - Validación ejecución de Momentos, Ajustes, reporcesos dependiendo de casuisitica"/>
    <e v="#NAME?"/>
    <e v="#NAME?"/>
    <e v="#NAME?"/>
    <m/>
    <m/>
    <m/>
    <m/>
    <m/>
    <n v="0"/>
  </r>
  <r>
    <s v="C804845"/>
    <s v="DIEGO ANDRES JIMENEZ PABUENA"/>
    <s v="CORE"/>
    <x v="27"/>
    <x v="0"/>
    <e v="#NAME?"/>
    <s v="SDATOOL-41203 $ Obsolescencia Aplicativa 2023"/>
    <n v="0.1"/>
    <x v="0"/>
    <x v="0"/>
    <s v="[GranNet] - Migración modulos AdminPlan"/>
    <e v="#NAME?"/>
    <e v="#NAME?"/>
    <e v="#NAME?"/>
    <m/>
    <m/>
    <m/>
    <m/>
    <m/>
    <n v="0"/>
  </r>
  <r>
    <s v="C804845"/>
    <s v="DIEGO ANDRES JIMENEZ PABUENA"/>
    <s v="CORE"/>
    <x v="27"/>
    <x v="0"/>
    <e v="#NAME?"/>
    <s v="SDATOOL-35329 $ Activo Particular 2021"/>
    <n v="0.05"/>
    <x v="0"/>
    <x v="0"/>
    <s v="[GranNet] - Modulo de liquidación de comisiones"/>
    <e v="#NAME?"/>
    <e v="#NAME?"/>
    <e v="#NAME?"/>
    <m/>
    <m/>
    <m/>
    <m/>
    <m/>
    <n v="0"/>
  </r>
  <r>
    <s v="O002373"/>
    <s v="ESTEBAN ARIAS CARACAS"/>
    <s v="CORE"/>
    <x v="27"/>
    <x v="0"/>
    <e v="#NAME?"/>
    <s v="SDATOOL-38757 $ Modelo administrativo de oficina - Omnicanalidad"/>
    <n v="1"/>
    <x v="0"/>
    <x v="0"/>
    <m/>
    <e v="#NAME?"/>
    <e v="#NAME?"/>
    <e v="#NAME?"/>
    <m/>
    <m/>
    <m/>
    <m/>
    <m/>
    <e v="#REF!"/>
  </r>
  <r>
    <s v="O000471"/>
    <s v="RONAL ALBERTO TABORDA MORENO"/>
    <s v="CORE"/>
    <x v="27"/>
    <x v="0"/>
    <e v="#NAME?"/>
    <s v="SDATOOL-38757 $ Modelo administrativo de oficina - Omnicanalidad"/>
    <n v="1"/>
    <x v="0"/>
    <x v="0"/>
    <m/>
    <e v="#NAME?"/>
    <e v="#NAME?"/>
    <e v="#NAME?"/>
    <m/>
    <m/>
    <m/>
    <m/>
    <m/>
    <n v="1"/>
  </r>
  <r>
    <s v="C805945"/>
    <s v="PAULO CESAR SALDARRIAGA"/>
    <s v="CORE"/>
    <x v="28"/>
    <x v="0"/>
    <e v="#NAME?"/>
    <s v="SDATOOL-41171 $ CBS Core Banking Strategy Convivencia Clients and Contracts"/>
    <n v="0.9"/>
    <x v="0"/>
    <x v="8"/>
    <m/>
    <e v="#NAME?"/>
    <e v="#NAME?"/>
    <e v="#NAME?"/>
    <m/>
    <m/>
    <m/>
    <m/>
    <m/>
    <n v="1"/>
  </r>
  <r>
    <s v="C805945"/>
    <s v="PAULO CESAR SALDARRIAGA"/>
    <s v="CORE"/>
    <x v="28"/>
    <x v="0"/>
    <e v="#NAME?"/>
    <s v="NOSDA $ BAU (Mantenimiento y peq. evolutivos)"/>
    <n v="0.1"/>
    <x v="0"/>
    <x v="8"/>
    <m/>
    <e v="#NAME?"/>
    <e v="#NAME?"/>
    <e v="#NAME?"/>
    <m/>
    <m/>
    <m/>
    <m/>
    <m/>
    <n v="0"/>
  </r>
  <r>
    <s v="CE60804"/>
    <s v="ALVARO IVAN BARRIOS PINEDA"/>
    <s v="CORE"/>
    <x v="28"/>
    <x v="8"/>
    <e v="#NAME?"/>
    <s v="NOSDA $ BAU (Mantenimiento y peq. evolutivos)"/>
    <n v="0.5"/>
    <x v="0"/>
    <x v="2"/>
    <m/>
    <e v="#NAME?"/>
    <e v="#NAME?"/>
    <e v="#NAME?"/>
    <m/>
    <m/>
    <m/>
    <m/>
    <m/>
    <n v="1"/>
  </r>
  <r>
    <s v="CE64752"/>
    <s v="NIDIA CONTRERAS HERNANDEZ"/>
    <s v="CORE"/>
    <x v="28"/>
    <x v="2"/>
    <e v="#NAME?"/>
    <s v="NOSDA $ BAU (Mantenimiento y peq. evolutivos)"/>
    <n v="0.5"/>
    <x v="2"/>
    <x v="1"/>
    <m/>
    <e v="#NAME?"/>
    <e v="#NAME?"/>
    <e v="#NAME?"/>
    <m/>
    <m/>
    <m/>
    <m/>
    <m/>
    <n v="1"/>
  </r>
  <r>
    <s v="CE71176"/>
    <s v="IVAN YESID REYES CALCETERO"/>
    <s v="CORE"/>
    <x v="28"/>
    <x v="2"/>
    <e v="#NAME?"/>
    <s v="SDATOOL-41171 $ CBS Core Banking Strategy Convivencia Clients and Contracts"/>
    <n v="0.5"/>
    <x v="2"/>
    <x v="1"/>
    <m/>
    <e v="#NAME?"/>
    <e v="#NAME?"/>
    <e v="#NAME?"/>
    <m/>
    <m/>
    <m/>
    <m/>
    <m/>
    <n v="1"/>
  </r>
  <r>
    <s v="O000437"/>
    <s v="EDISON TRONCOSO PARADA"/>
    <s v="CORE"/>
    <x v="28"/>
    <x v="0"/>
    <e v="#NAME?"/>
    <s v="NOSDA $ BAU (Mantenimiento y peq. evolutivos)"/>
    <n v="0.15"/>
    <x v="0"/>
    <x v="2"/>
    <m/>
    <e v="#NAME?"/>
    <e v="#NAME?"/>
    <e v="#NAME?"/>
    <m/>
    <m/>
    <m/>
    <m/>
    <m/>
    <n v="1"/>
  </r>
  <r>
    <s v="O000437"/>
    <s v="EDISON TRONCOSO PARADA"/>
    <s v="CORE"/>
    <x v="28"/>
    <x v="0"/>
    <e v="#NAME?"/>
    <s v="SDATOOL-41171 $ CBS Core Banking Strategy Convivencia Clients and Contracts"/>
    <n v="0.4"/>
    <x v="0"/>
    <x v="2"/>
    <m/>
    <e v="#NAME?"/>
    <e v="#NAME?"/>
    <e v="#NAME?"/>
    <m/>
    <m/>
    <m/>
    <m/>
    <m/>
    <n v="0"/>
  </r>
  <r>
    <s v="O000437"/>
    <s v="EDISON TRONCOSO PARADA"/>
    <s v="CORE"/>
    <x v="28"/>
    <x v="0"/>
    <e v="#NAME?"/>
    <s v="SDATOOL-39246 $ Nuevo tipo de identificación para extranjeros"/>
    <n v="0.05"/>
    <x v="0"/>
    <x v="2"/>
    <m/>
    <e v="#NAME?"/>
    <e v="#NAME?"/>
    <e v="#NAME?"/>
    <m/>
    <m/>
    <m/>
    <m/>
    <m/>
    <n v="0"/>
  </r>
  <r>
    <s v="O000437"/>
    <s v="EDISON TRONCOSO PARADA"/>
    <s v="CORE"/>
    <x v="28"/>
    <x v="0"/>
    <e v="#NAME?"/>
    <s v="SDATOOL-41202 $ GRM Col - Ajustes Asset Allocation y Riesgo de Concentración"/>
    <n v="0.25"/>
    <x v="0"/>
    <x v="2"/>
    <m/>
    <e v="#NAME?"/>
    <e v="#NAME?"/>
    <e v="#NAME?"/>
    <m/>
    <m/>
    <m/>
    <m/>
    <m/>
    <n v="0"/>
  </r>
  <r>
    <s v="O000443"/>
    <s v="OSCAR BARBOSA OSPINA"/>
    <s v="CORE"/>
    <x v="28"/>
    <x v="0"/>
    <e v="#NAME?"/>
    <s v="SDATOOL-41171 $ CBS Core Banking Strategy Convivencia Clients and Contracts"/>
    <n v="0.2"/>
    <x v="1"/>
    <x v="2"/>
    <m/>
    <e v="#NAME?"/>
    <e v="#NAME?"/>
    <e v="#NAME?"/>
    <m/>
    <m/>
    <m/>
    <m/>
    <m/>
    <n v="1"/>
  </r>
  <r>
    <s v="O001817"/>
    <s v="ALEX EDWIN TOSCANO MAESTRE"/>
    <s v="CORE"/>
    <x v="28"/>
    <x v="0"/>
    <e v="#NAME?"/>
    <s v="NOSDA $ BAU (Mantenimiento y peq. evolutivos)"/>
    <n v="0.08"/>
    <x v="0"/>
    <x v="2"/>
    <m/>
    <e v="#NAME?"/>
    <e v="#NAME?"/>
    <e v="#NAME?"/>
    <m/>
    <m/>
    <m/>
    <m/>
    <m/>
    <n v="1"/>
  </r>
  <r>
    <s v="O001817"/>
    <s v="ALEX EDWIN TOSCANO MAESTRE"/>
    <s v="CORE"/>
    <x v="28"/>
    <x v="0"/>
    <e v="#NAME?"/>
    <s v="SDATOOL-41171 $ CBS Core Banking Strategy Convivencia Clients and Contracts"/>
    <n v="0.35"/>
    <x v="0"/>
    <x v="2"/>
    <m/>
    <e v="#NAME?"/>
    <e v="#NAME?"/>
    <e v="#NAME?"/>
    <m/>
    <m/>
    <m/>
    <m/>
    <m/>
    <n v="0"/>
  </r>
  <r>
    <s v="O001817"/>
    <s v="ALEX EDWIN TOSCANO MAESTRE"/>
    <s v="CORE"/>
    <x v="28"/>
    <x v="0"/>
    <e v="#NAME?"/>
    <s v="NOSDA $ BAU (Mantenimiento y peq. evolutivos)"/>
    <n v="0.03"/>
    <x v="0"/>
    <x v="2"/>
    <m/>
    <e v="#NAME?"/>
    <e v="#NAME?"/>
    <e v="#NAME?"/>
    <m/>
    <m/>
    <m/>
    <m/>
    <m/>
    <n v="0"/>
  </r>
  <r>
    <s v="O001975"/>
    <s v="FELIPE ANDRES QUINTERO HIGUITA"/>
    <s v="CORE"/>
    <x v="28"/>
    <x v="0"/>
    <e v="#NAME?"/>
    <s v="SDATOOL-41171 $ CBS Core Banking Strategy Convivencia Clients and Contracts"/>
    <n v="0.9"/>
    <x v="0"/>
    <x v="8"/>
    <m/>
    <e v="#NAME?"/>
    <e v="#NAME?"/>
    <e v="#NAME?"/>
    <m/>
    <m/>
    <m/>
    <m/>
    <m/>
    <n v="1"/>
  </r>
  <r>
    <s v="O001975"/>
    <s v="FELIPE ANDRES QUINTERO HIGUITA"/>
    <s v="CORE"/>
    <x v="28"/>
    <x v="0"/>
    <e v="#NAME?"/>
    <s v="NOSDA $ BAU (Mantenimiento y peq. evolutivos)"/>
    <n v="0.1"/>
    <x v="0"/>
    <x v="8"/>
    <m/>
    <e v="#NAME?"/>
    <e v="#NAME?"/>
    <e v="#NAME?"/>
    <m/>
    <m/>
    <m/>
    <m/>
    <m/>
    <n v="0"/>
  </r>
  <r>
    <s v="O001976"/>
    <s v="OSCAR ANDRES CARDOZA OLANO"/>
    <s v="CORE"/>
    <x v="28"/>
    <x v="0"/>
    <e v="#NAME?"/>
    <s v="SDATOOL-41171 $ CBS Core Banking Strategy Convivencia Clients and Contracts"/>
    <n v="0.9"/>
    <x v="0"/>
    <x v="4"/>
    <m/>
    <e v="#NAME?"/>
    <e v="#NAME?"/>
    <e v="#NAME?"/>
    <m/>
    <m/>
    <m/>
    <m/>
    <m/>
    <n v="1"/>
  </r>
  <r>
    <s v="O001976"/>
    <s v="OSCAR ANDRES CARDOZA OLANO"/>
    <s v="CORE"/>
    <x v="28"/>
    <x v="0"/>
    <e v="#NAME?"/>
    <s v="NOSDA $ BAU (Mantenimiento y peq. evolutivos)"/>
    <n v="0.1"/>
    <x v="0"/>
    <x v="4"/>
    <m/>
    <e v="#NAME?"/>
    <e v="#NAME?"/>
    <e v="#NAME?"/>
    <m/>
    <m/>
    <m/>
    <m/>
    <m/>
    <n v="0"/>
  </r>
  <r>
    <s v="O003809"/>
    <s v="DIEGO ANDRES GUTIERREZ MESA"/>
    <s v="CORE"/>
    <x v="28"/>
    <x v="0"/>
    <e v="#NAME?"/>
    <s v="SDATOOL-41171 $ CBS Core Banking Strategy Convivencia Clients and Contracts"/>
    <n v="1"/>
    <x v="1"/>
    <x v="8"/>
    <m/>
    <e v="#NAME?"/>
    <e v="#NAME?"/>
    <e v="#NAME?"/>
    <m/>
    <m/>
    <m/>
    <m/>
    <m/>
    <n v="1"/>
  </r>
  <r>
    <s v="O001817"/>
    <s v="ALEX EDWIN TOSCANO MAESTRE"/>
    <s v="CORE"/>
    <x v="28"/>
    <x v="0"/>
    <e v="#NAME?"/>
    <s v="NOSDA $ BAU (Mantenimiento y peq. evolutivos)"/>
    <n v="0.03"/>
    <x v="0"/>
    <x v="2"/>
    <m/>
    <e v="#NAME?"/>
    <e v="#NAME?"/>
    <e v="#NAME?"/>
    <m/>
    <m/>
    <m/>
    <m/>
    <m/>
    <n v="1"/>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0443"/>
    <s v="OSCAR BARBOSA OSPINA"/>
    <s v="CORE"/>
    <x v="28"/>
    <x v="0"/>
    <e v="#NAME?"/>
    <s v="NOSDA $ BAU (Mantenimiento y peq. evolutivos)"/>
    <n v="0.03"/>
    <x v="0"/>
    <x v="2"/>
    <m/>
    <e v="#NAME?"/>
    <e v="#NAME?"/>
    <e v="#NAME?"/>
    <m/>
    <m/>
    <m/>
    <m/>
    <m/>
    <n v="1"/>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1817"/>
    <s v="ALEX EDWIN TOSCANO MAESTRE"/>
    <s v="CORE"/>
    <x v="28"/>
    <x v="0"/>
    <e v="#NAME?"/>
    <s v="NOSDA $ BAU (Mantenimiento y peq. evolutivos)"/>
    <n v="0.2"/>
    <x v="0"/>
    <x v="2"/>
    <m/>
    <e v="#NAME?"/>
    <e v="#NAME?"/>
    <e v="#NAME?"/>
    <m/>
    <m/>
    <m/>
    <m/>
    <m/>
    <n v="1"/>
  </r>
  <r>
    <s v="O000443"/>
    <s v="OSCAR BARBOSA OSPINA"/>
    <s v="CORE"/>
    <x v="28"/>
    <x v="0"/>
    <e v="#NAME?"/>
    <s v="NOSDA $ BAU (Mantenimiento y peq. evolutivos)"/>
    <n v="0.03"/>
    <x v="1"/>
    <x v="2"/>
    <m/>
    <e v="#NAME?"/>
    <e v="#NAME?"/>
    <e v="#NAME?"/>
    <m/>
    <m/>
    <m/>
    <m/>
    <m/>
    <n v="1"/>
  </r>
  <r>
    <s v="O000437"/>
    <s v="EDISON TRONCOSO PARADA"/>
    <s v="CORE"/>
    <x v="28"/>
    <x v="0"/>
    <e v="#NAME?"/>
    <s v="NOSDA $ BAU (Mantenimiento y peq. evolutivos)"/>
    <n v="0.05"/>
    <x v="0"/>
    <x v="2"/>
    <m/>
    <e v="#NAME?"/>
    <e v="#NAME?"/>
    <e v="#NAME?"/>
    <m/>
    <m/>
    <m/>
    <m/>
    <m/>
    <n v="1"/>
  </r>
  <r>
    <s v="O000443"/>
    <s v="OSCAR BARBOSA OSPINA"/>
    <s v="CORE"/>
    <x v="28"/>
    <x v="0"/>
    <e v="#NAME?"/>
    <s v="NOSDA $ BAU (Mantenimiento y peq. evolutivos)"/>
    <n v="0.03"/>
    <x v="1"/>
    <x v="2"/>
    <m/>
    <e v="#NAME?"/>
    <e v="#NAME?"/>
    <e v="#NAME?"/>
    <m/>
    <m/>
    <m/>
    <m/>
    <m/>
    <n v="1"/>
  </r>
  <r>
    <s v="O001817"/>
    <s v="ALEX EDWIN TOSCANO MAESTRE"/>
    <s v="CORE"/>
    <x v="28"/>
    <x v="0"/>
    <e v="#NAME?"/>
    <s v="NOSDA $ BAU (Mantenimiento y peq. evolutivos)"/>
    <n v="0.05"/>
    <x v="0"/>
    <x v="2"/>
    <m/>
    <e v="#NAME?"/>
    <e v="#NAME?"/>
    <e v="#NAME?"/>
    <m/>
    <m/>
    <m/>
    <m/>
    <m/>
    <n v="1"/>
  </r>
  <r>
    <s v="O000437"/>
    <s v="EDISON TRONCOSO PARADA"/>
    <s v="CORE"/>
    <x v="28"/>
    <x v="0"/>
    <e v="#NAME?"/>
    <s v="NOSDA $ BAU (Mantenimiento y peq. evolutivos)"/>
    <n v="0.05"/>
    <x v="0"/>
    <x v="2"/>
    <m/>
    <e v="#NAME?"/>
    <e v="#NAME?"/>
    <e v="#NAME?"/>
    <m/>
    <m/>
    <m/>
    <m/>
    <m/>
    <n v="1"/>
  </r>
  <r>
    <s v="O001817"/>
    <s v="ALEX EDWIN TOSCANO MAESTRE"/>
    <s v="CORE"/>
    <x v="28"/>
    <x v="0"/>
    <e v="#NAME?"/>
    <s v="NOSDA $ BAU (Mantenimiento y peq. evolutivos)"/>
    <n v="0.05"/>
    <x v="0"/>
    <x v="2"/>
    <m/>
    <e v="#NAME?"/>
    <e v="#NAME?"/>
    <e v="#NAME?"/>
    <m/>
    <m/>
    <m/>
    <m/>
    <m/>
    <n v="1"/>
  </r>
  <r>
    <s v="O000443"/>
    <s v="OSCAR BARBOSA OSPINA"/>
    <s v="CORE"/>
    <x v="28"/>
    <x v="0"/>
    <e v="#NAME?"/>
    <s v="NOSDA $ BAU (Mantenimiento y peq. evolutivos)"/>
    <n v="0.05"/>
    <x v="1"/>
    <x v="2"/>
    <m/>
    <e v="#NAME?"/>
    <e v="#NAME?"/>
    <e v="#NAME?"/>
    <m/>
    <m/>
    <m/>
    <m/>
    <m/>
    <n v="1"/>
  </r>
  <r>
    <s v="O000437"/>
    <s v="EDISON TRONCOSO PARADA"/>
    <s v="CORE"/>
    <x v="28"/>
    <x v="0"/>
    <e v="#NAME?"/>
    <s v="NOSDA $ BAU (Mantenimiento y peq. evolutivos)"/>
    <n v="0.05"/>
    <x v="0"/>
    <x v="2"/>
    <m/>
    <e v="#NAME?"/>
    <e v="#NAME?"/>
    <e v="#NAME?"/>
    <m/>
    <m/>
    <m/>
    <m/>
    <m/>
    <n v="1"/>
  </r>
  <r>
    <s v="O000443"/>
    <s v="OSCAR BARBOSA OSPINA"/>
    <s v="CORE"/>
    <x v="28"/>
    <x v="0"/>
    <e v="#NAME?"/>
    <s v="NOSDA $ BAU (Mantenimiento y peq. evolutivos)"/>
    <n v="0.25"/>
    <x v="1"/>
    <x v="2"/>
    <m/>
    <e v="#NAME?"/>
    <e v="#NAME?"/>
    <e v="#NAME?"/>
    <m/>
    <m/>
    <m/>
    <m/>
    <m/>
    <n v="1"/>
  </r>
  <r>
    <s v="O000443"/>
    <s v="OSCAR BARBOSA OSPINA"/>
    <s v="CORE"/>
    <x v="28"/>
    <x v="0"/>
    <e v="#NAME?"/>
    <s v="SDATOOL-41202 $ GRM Col - Ajustes Asset Allocation y Riesgo de Concentración"/>
    <n v="0.1"/>
    <x v="1"/>
    <x v="2"/>
    <m/>
    <e v="#NAME?"/>
    <e v="#NAME?"/>
    <e v="#NAME?"/>
    <m/>
    <m/>
    <m/>
    <m/>
    <m/>
    <n v="0"/>
  </r>
  <r>
    <s v="O000443"/>
    <s v="OSCAR BARBOSA OSPINA"/>
    <s v="CORE"/>
    <x v="28"/>
    <x v="0"/>
    <e v="#NAME?"/>
    <s v="SDATOOL-40225 $ Resolución 0124 Dian - 2021 - Ajustes para Reporte de Información Exógena año gravable 2022 - Ciclo 1"/>
    <n v="0.1"/>
    <x v="1"/>
    <x v="2"/>
    <m/>
    <e v="#NAME?"/>
    <e v="#NAME?"/>
    <e v="#NAME?"/>
    <m/>
    <m/>
    <m/>
    <m/>
    <m/>
    <n v="0"/>
  </r>
  <r>
    <s v="O005000"/>
    <s v="ALEJANDRO LARA MONTANO"/>
    <s v="CORE"/>
    <x v="28"/>
    <x v="0"/>
    <e v="#NAME?"/>
    <s v="SDATOOL-40225 $ Resolución 0124 Dian - 2021 - Ajustes para Reporte de Información Exógena año gravable 2022 - Ciclo 1"/>
    <n v="0.2"/>
    <x v="0"/>
    <x v="2"/>
    <m/>
    <e v="#NAME?"/>
    <e v="#NAME?"/>
    <e v="#NAME?"/>
    <m/>
    <m/>
    <m/>
    <m/>
    <m/>
    <n v="1"/>
  </r>
  <r>
    <s v="O005000"/>
    <s v="ALEJANDRO LARA MONTANO"/>
    <s v="CORE"/>
    <x v="28"/>
    <x v="0"/>
    <e v="#NAME?"/>
    <s v="NOSDA $ BAU (Mantenimiento y peq. evolutivos)"/>
    <n v="0.7"/>
    <x v="0"/>
    <x v="2"/>
    <m/>
    <e v="#NAME?"/>
    <e v="#NAME?"/>
    <e v="#NAME?"/>
    <m/>
    <m/>
    <m/>
    <m/>
    <m/>
    <n v="0"/>
  </r>
  <r>
    <s v="O005000"/>
    <s v="ALEJANDRO LARA MONTANO"/>
    <s v="CORE"/>
    <x v="28"/>
    <x v="0"/>
    <e v="#NAME?"/>
    <s v="SDATOOL-41171 $ CBS Core Banking Strategy Convivencia Clients and Contracts"/>
    <n v="0.1"/>
    <x v="0"/>
    <x v="2"/>
    <m/>
    <e v="#NAME?"/>
    <e v="#NAME?"/>
    <e v="#NAME?"/>
    <m/>
    <m/>
    <m/>
    <m/>
    <m/>
    <e v="#REF!"/>
  </r>
  <r>
    <s v="CE56248"/>
    <s v="Andres Jimenez Molina"/>
    <s v="CORE"/>
    <x v="29"/>
    <x v="20"/>
    <e v="#NAME?"/>
    <s v="NOSDA $ BAU (Mantenimiento y peq. evolutivos)"/>
    <n v="0.5"/>
    <x v="2"/>
    <x v="0"/>
    <s v="Bonita 7 y Bonita 5 "/>
    <e v="#NAME?"/>
    <e v="#NAME?"/>
    <e v="#NAME?"/>
    <m/>
    <m/>
    <m/>
    <m/>
    <m/>
    <e v="#REF!"/>
  </r>
  <r>
    <s v="CE56248"/>
    <s v="Andres Jimenez Molina"/>
    <s v="CORE"/>
    <x v="29"/>
    <x v="20"/>
    <e v="#NAME?"/>
    <s v="SDATOOL-40435 $ Cuota Segura créditos de libranza"/>
    <n v="0.5"/>
    <x v="2"/>
    <x v="0"/>
    <s v="pruebas unitarias en desarrollo"/>
    <e v="#NAME?"/>
    <e v="#NAME?"/>
    <e v="#NAME?"/>
    <m/>
    <m/>
    <m/>
    <m/>
    <m/>
    <n v="0"/>
  </r>
  <r>
    <s v="C808271"/>
    <s v="CRISTIAN CAMILO APONTE QUIROGA"/>
    <s v="CORE"/>
    <x v="29"/>
    <x v="0"/>
    <e v="#NAME?"/>
    <s v="SDATOOL-31326 $ Legalización Hipotecario"/>
    <n v="0.8"/>
    <x v="0"/>
    <x v="1"/>
    <s v="desarrollos F8; Postimplantación F5,6 y 7"/>
    <e v="#NAME?"/>
    <e v="#NAME?"/>
    <e v="#NAME?"/>
    <m/>
    <m/>
    <m/>
    <m/>
    <m/>
    <n v="1"/>
  </r>
  <r>
    <s v="C805770"/>
    <s v="Edward Enrique Vaca"/>
    <s v="CORE"/>
    <x v="29"/>
    <x v="0"/>
    <e v="#NAME?"/>
    <s v="SDATOOL-31326 $ Legalización Hipotecario"/>
    <n v="0.1"/>
    <x v="0"/>
    <x v="1"/>
    <s v="desarrollos F7,8; Postimplantación F5 y6"/>
    <e v="#NAME?"/>
    <e v="#NAME?"/>
    <e v="#NAME?"/>
    <m/>
    <m/>
    <m/>
    <m/>
    <m/>
    <n v="1"/>
  </r>
  <r>
    <s v="C808271"/>
    <s v="CRISTIAN CAMILO APONTE QUIROGA"/>
    <s v="CORE"/>
    <x v="29"/>
    <x v="0"/>
    <e v="#NAME?"/>
    <s v="SDATOOL-41877 $ Evolutivo Bonita 5 Community a JBPM"/>
    <n v="0.2"/>
    <x v="0"/>
    <x v="1"/>
    <s v="Diseño de front transversal,  maqueta, formación BPMaaS"/>
    <e v="#NAME?"/>
    <e v="#NAME?"/>
    <e v="#NAME?"/>
    <m/>
    <m/>
    <m/>
    <m/>
    <m/>
    <n v="1"/>
  </r>
  <r>
    <s v="O002375"/>
    <s v="Cristian David Beltran Barrantes"/>
    <s v="CORE"/>
    <x v="29"/>
    <x v="0"/>
    <e v="#NAME?"/>
    <s v="NOSDA $ BAU (Mantenimiento y peq. evolutivos)"/>
    <n v="1"/>
    <x v="0"/>
    <x v="1"/>
    <s v="Arandas, producción y backlog mantenimientos menores"/>
    <e v="#NAME?"/>
    <e v="#NAME?"/>
    <e v="#NAME?"/>
    <m/>
    <m/>
    <m/>
    <m/>
    <m/>
    <n v="1"/>
  </r>
  <r>
    <s v="T007650"/>
    <s v="DANNY CAMILO BERNAL BERNAL"/>
    <s v="CORE"/>
    <x v="29"/>
    <x v="22"/>
    <e v="#NAME?"/>
    <s v="SDATOOL-40435 $ Cuota Segura créditos de libranza"/>
    <n v="1"/>
    <x v="0"/>
    <x v="1"/>
    <s v="desarrollos en curso, envio a QA S3 de bril"/>
    <e v="#NAME?"/>
    <e v="#NAME?"/>
    <e v="#NAME?"/>
    <m/>
    <m/>
    <m/>
    <m/>
    <m/>
    <n v="1"/>
  </r>
  <r>
    <s v="C343334"/>
    <s v="Edison Jovanny Castillo"/>
    <s v="CORE"/>
    <x v="29"/>
    <x v="0"/>
    <e v="#NAME?"/>
    <s v="NOSDA $ BAU (Mantenimiento y peq. evolutivos)"/>
    <n v="0.75"/>
    <x v="0"/>
    <x v="1"/>
    <s v="MN-2091 Reingenieria proceso cancelacion de garantias, desarrollos con entrega a QA S3 agosto"/>
    <e v="#NAME?"/>
    <e v="#NAME?"/>
    <e v="#NAME?"/>
    <m/>
    <m/>
    <m/>
    <m/>
    <m/>
    <n v="1"/>
  </r>
  <r>
    <s v="C343334"/>
    <s v="Edison Jovanny Castillo"/>
    <s v="CORE"/>
    <x v="29"/>
    <x v="0"/>
    <e v="#NAME?"/>
    <s v="NOSDA $ BAU (Mantenimiento y peq. evolutivos)"/>
    <n v="0.1"/>
    <x v="0"/>
    <x v="1"/>
    <s v="Analisis y Diseño Tecnico conexion IDM con Bonita 7"/>
    <e v="#NAME?"/>
    <e v="#NAME?"/>
    <e v="#NAME?"/>
    <m/>
    <m/>
    <m/>
    <m/>
    <m/>
    <n v="0"/>
  </r>
  <r>
    <s v="C343334"/>
    <s v="Edison Jovanny Castillo"/>
    <s v="CORE"/>
    <x v="29"/>
    <x v="0"/>
    <e v="#NAME?"/>
    <s v="NOSDA $ BAU (Mantenimiento y peq. evolutivos)"/>
    <n v="0.05"/>
    <x v="0"/>
    <x v="1"/>
    <s v="Prioridad Alta Bandeja de entrada B7Prioridad Alta Bandeja de entrada B7"/>
    <e v="#NAME?"/>
    <e v="#NAME?"/>
    <e v="#NAME?"/>
    <m/>
    <m/>
    <m/>
    <m/>
    <m/>
    <n v="0"/>
  </r>
  <r>
    <s v="C343334"/>
    <s v="Edison Jovanny Castillo"/>
    <s v="CORE"/>
    <x v="29"/>
    <x v="0"/>
    <e v="#NAME?"/>
    <s v="SDATOOL-41877 $ Evolutivo Bonita 5 Community a JBPM"/>
    <n v="0.1"/>
    <x v="0"/>
    <x v="1"/>
    <s v="Diseño de front transversal,  maqueta, formación BPMaaS"/>
    <e v="#NAME?"/>
    <e v="#NAME?"/>
    <e v="#NAME?"/>
    <m/>
    <m/>
    <m/>
    <m/>
    <m/>
    <n v="0"/>
  </r>
  <r>
    <s v="C805770"/>
    <s v="Edward Enrique Vaca"/>
    <s v="CORE"/>
    <x v="29"/>
    <x v="0"/>
    <e v="#NAME?"/>
    <s v="SDATOOL-40435 $ Cuota Segura créditos de libranza"/>
    <n v="0.5"/>
    <x v="0"/>
    <x v="1"/>
    <s v="Lider tecnico para BPM , envio a QA S3 abril"/>
    <e v="#NAME?"/>
    <e v="#NAME?"/>
    <e v="#NAME?"/>
    <m/>
    <m/>
    <m/>
    <m/>
    <m/>
    <n v="1"/>
  </r>
  <r>
    <s v="C805770"/>
    <s v="Edward Enrique Vaca"/>
    <s v="CORE"/>
    <x v="29"/>
    <x v="0"/>
    <e v="#NAME?"/>
    <s v="NOSDA $ BAU (Mantenimiento y peq. evolutivos)"/>
    <n v="0.35"/>
    <x v="0"/>
    <x v="1"/>
    <s v="MN-2091 Reingenieria proceso cancelacion de garantias, desarrollos con entrega a QA S3 agosto"/>
    <e v="#NAME?"/>
    <e v="#NAME?"/>
    <e v="#NAME?"/>
    <m/>
    <m/>
    <m/>
    <m/>
    <m/>
    <n v="0"/>
  </r>
  <r>
    <s v="C805770"/>
    <s v="Edward Enrique Vaca"/>
    <s v="CORE"/>
    <x v="29"/>
    <x v="0"/>
    <e v="#NAME?"/>
    <s v="NOSDA $ BAU (Mantenimiento y peq. evolutivos)"/>
    <n v="0.05"/>
    <x v="0"/>
    <x v="1"/>
    <s v="Prioridad Alta Bandeja de entrada B7Prioridad Alta Bandeja de entrada B7"/>
    <e v="#NAME?"/>
    <e v="#NAME?"/>
    <e v="#NAME?"/>
    <m/>
    <m/>
    <m/>
    <m/>
    <m/>
    <n v="0"/>
  </r>
  <r>
    <s v="C804325"/>
    <s v="Edwin Giovanny Cetina Pinzón."/>
    <s v="CORE"/>
    <x v="29"/>
    <x v="0"/>
    <e v="#NAME?"/>
    <s v="SDATOOL-40435 $ Cuota Segura créditos de libranza"/>
    <n v="0.2"/>
    <x v="0"/>
    <x v="1"/>
    <s v="finaliza desarrollos la S3 Abril"/>
    <e v="#NAME?"/>
    <e v="#NAME?"/>
    <e v="#NAME?"/>
    <m/>
    <m/>
    <m/>
    <m/>
    <m/>
    <n v="1"/>
  </r>
  <r>
    <s v="C804325"/>
    <s v="Edwin Giovanny Cetina Pinzón."/>
    <s v="CORE"/>
    <x v="29"/>
    <x v="0"/>
    <e v="#NAME?"/>
    <s v="SDATOOL-35384 $ Gestión Documental Pyme Admisión"/>
    <n v="0.1"/>
    <x v="0"/>
    <x v="1"/>
    <s v="Gestión con Meraki para atención de mejora en visualizacion  de documentos"/>
    <e v="#NAME?"/>
    <e v="#NAME?"/>
    <e v="#NAME?"/>
    <m/>
    <m/>
    <m/>
    <m/>
    <m/>
    <n v="0"/>
  </r>
  <r>
    <s v="C804325"/>
    <s v="Edwin Giovanny Cetina Pinzón."/>
    <s v="CORE"/>
    <x v="29"/>
    <x v="0"/>
    <e v="#NAME?"/>
    <s v="SDATOOL-34782 $ Solicitud de cupo DIY"/>
    <n v="0"/>
    <x v="0"/>
    <x v="1"/>
    <s v="apoyo postimplantación"/>
    <e v="#NAME?"/>
    <e v="#NAME?"/>
    <e v="#NAME?"/>
    <m/>
    <m/>
    <m/>
    <m/>
    <m/>
    <n v="0"/>
  </r>
  <r>
    <s v="C804325"/>
    <s v="Edwin Giovanny Cetina Pinzón."/>
    <s v="CORE"/>
    <x v="29"/>
    <x v="0"/>
    <e v="#NAME?"/>
    <s v="NOSDA $ BAU (Mantenimiento y peq. evolutivos)"/>
    <n v="0.05"/>
    <x v="0"/>
    <x v="1"/>
    <s v="CAP Retail atencion de arandas entrega a equipo de operación"/>
    <e v="#NAME?"/>
    <e v="#NAME?"/>
    <e v="#NAME?"/>
    <m/>
    <m/>
    <m/>
    <m/>
    <m/>
    <n v="0"/>
  </r>
  <r>
    <s v="C804325"/>
    <s v="Edwin Giovanny Cetina Pinzón."/>
    <s v="CORE"/>
    <x v="29"/>
    <x v="0"/>
    <e v="#NAME?"/>
    <s v="SDATOOL-37753 $ Plan de transformación de operaciones 2022"/>
    <n v="0.65"/>
    <x v="0"/>
    <x v="1"/>
    <s v="Formación en BPMaaS y COLWSBPE-115 Optimización de proceso de contratación de tarjetas en fábrica (IDP)- Fase I"/>
    <e v="#NAME?"/>
    <e v="#NAME?"/>
    <e v="#NAME?"/>
    <m/>
    <m/>
    <m/>
    <m/>
    <m/>
    <n v="0"/>
  </r>
  <r>
    <s v="O002418"/>
    <s v="Faiber Orlando Camelo Romero"/>
    <s v="CORE"/>
    <x v="29"/>
    <x v="0"/>
    <e v="#NAME?"/>
    <s v="SDATOOL-36509 $ Centralización de la formalización de desembolsos Pymes"/>
    <n v="0.05"/>
    <x v="0"/>
    <x v="1"/>
    <s v="compromiso S1 abril en produccion"/>
    <e v="#NAME?"/>
    <e v="#NAME?"/>
    <e v="#NAME?"/>
    <m/>
    <m/>
    <m/>
    <m/>
    <m/>
    <n v="1"/>
  </r>
  <r>
    <s v="O002418"/>
    <s v="Faiber Orlando Camelo Romero"/>
    <s v="CORE"/>
    <x v="29"/>
    <x v="0"/>
    <e v="#NAME?"/>
    <s v="SDATOOL-41877 $ Evolutivo Bonita 5 Community a JBPM"/>
    <n v="0.2"/>
    <x v="0"/>
    <x v="1"/>
    <s v="Diseño de front transversal,  maqueta, formación BPMaaS"/>
    <e v="#NAME?"/>
    <e v="#NAME?"/>
    <e v="#NAME?"/>
    <m/>
    <m/>
    <m/>
    <m/>
    <m/>
    <n v="0"/>
  </r>
  <r>
    <s v="O002418"/>
    <s v="Faiber Orlando Camelo Romero"/>
    <s v="CORE"/>
    <x v="29"/>
    <x v="0"/>
    <e v="#NAME?"/>
    <s v="SDATOOL-37753 $ Plan de transformación de operaciones 2022"/>
    <n v="0.75"/>
    <x v="0"/>
    <x v="1"/>
    <s v="Formación en Aso y Apx y COLWSBPE-115 Optimización de proceso de contratación de tarjetas en fábrica (IDP)- Fase I"/>
    <e v="#NAME?"/>
    <e v="#NAME?"/>
    <e v="#NAME?"/>
    <m/>
    <m/>
    <m/>
    <m/>
    <m/>
    <n v="0"/>
  </r>
  <r>
    <s v="T007646"/>
    <s v="John Edwin Riascos Castillo"/>
    <s v="CORE"/>
    <x v="29"/>
    <x v="22"/>
    <e v="#NAME?"/>
    <s v="NOSDA $ BAU (Mantenimiento y peq. evolutivos)"/>
    <n v="1"/>
    <x v="0"/>
    <x v="1"/>
    <s v="apoyo estabilizacion poduccion equipo operacion"/>
    <e v="#NAME?"/>
    <e v="#NAME?"/>
    <e v="#NAME?"/>
    <m/>
    <m/>
    <m/>
    <m/>
    <m/>
    <n v="1"/>
  </r>
  <r>
    <s v="O002495"/>
    <s v="Juan Daniel Bernal Marin"/>
    <s v="CORE"/>
    <x v="29"/>
    <x v="0"/>
    <e v="#NAME?"/>
    <s v="NOSDA $ BAU (Mantenimiento y peq. evolutivos)"/>
    <n v="0.9"/>
    <x v="0"/>
    <x v="1"/>
    <s v="MN-2091 Reingenieria proceso de CG apoyo a desarrollos"/>
    <e v="#NAME?"/>
    <e v="#NAME?"/>
    <e v="#NAME?"/>
    <m/>
    <m/>
    <m/>
    <m/>
    <m/>
    <n v="1"/>
  </r>
  <r>
    <s v="C801604"/>
    <s v="Jualian Alberto Rodriguez"/>
    <s v="CORE"/>
    <x v="29"/>
    <x v="0"/>
    <e v="#NAME?"/>
    <s v="NOSDA $ BAU (Mantenimiento y peq. evolutivos)"/>
    <n v="1"/>
    <x v="1"/>
    <x v="1"/>
    <s v="Arandas, producción y backlog mantenimientos menores"/>
    <e v="#NAME?"/>
    <e v="#NAME?"/>
    <e v="#NAME?"/>
    <m/>
    <m/>
    <m/>
    <m/>
    <m/>
    <n v="1"/>
  </r>
  <r>
    <s v="O002495"/>
    <s v="Juan Daniel Bernal Marin"/>
    <s v="CORE"/>
    <x v="29"/>
    <x v="0"/>
    <e v="#NAME?"/>
    <s v="NOSDA $ BAU (Mantenimiento y peq. evolutivos)"/>
    <n v="0.05"/>
    <x v="0"/>
    <x v="1"/>
    <s v="Prioridad Alta Bandeja de entrada B7Prioridad Alta Bandeja de entrada B7"/>
    <e v="#NAME?"/>
    <e v="#NAME?"/>
    <e v="#NAME?"/>
    <m/>
    <m/>
    <m/>
    <m/>
    <m/>
    <n v="1"/>
  </r>
  <r>
    <s v="O002495"/>
    <s v="Juan Daniel Bernal Marin"/>
    <s v="CORE"/>
    <x v="29"/>
    <x v="0"/>
    <e v="#NAME?"/>
    <s v="SDATOOL-37753 $ Plan de transformación de operaciones 2022"/>
    <n v="0.05"/>
    <x v="0"/>
    <x v="1"/>
    <s v="seguimiento post implantación Wizard"/>
    <e v="#NAME?"/>
    <e v="#NAME?"/>
    <e v="#NAME?"/>
    <m/>
    <m/>
    <m/>
    <m/>
    <m/>
    <n v="0"/>
  </r>
  <r>
    <s v="CE55472"/>
    <s v="Kevin Danilo López Clopatofsky"/>
    <s v="CORE"/>
    <x v="29"/>
    <x v="22"/>
    <e v="#NAME?"/>
    <s v="SDATOOL-31326 $ Legalización Hipotecario"/>
    <n v="1"/>
    <x v="0"/>
    <x v="1"/>
    <s v="desarrollos F7,8; Postimplantación F5 y6"/>
    <e v="#NAME?"/>
    <e v="#NAME?"/>
    <e v="#NAME?"/>
    <m/>
    <m/>
    <m/>
    <m/>
    <m/>
    <n v="1"/>
  </r>
  <r>
    <s v="CE56948"/>
    <s v="Leandro Augusto Chiguasuque"/>
    <s v="CORE"/>
    <x v="29"/>
    <x v="22"/>
    <e v="#NAME?"/>
    <s v="NOSDA $ BAU (Mantenimiento y peq. evolutivos)"/>
    <n v="1"/>
    <x v="0"/>
    <x v="1"/>
    <s v="Arandas, producción y backlog mantenimientos menores"/>
    <e v="#NAME?"/>
    <e v="#NAME?"/>
    <e v="#NAME?"/>
    <m/>
    <m/>
    <m/>
    <m/>
    <m/>
    <n v="1"/>
  </r>
  <r>
    <s v="CE64615"/>
    <s v="Martha Lucia Aguirre"/>
    <s v="CORE"/>
    <x v="29"/>
    <x v="9"/>
    <e v="#NAME?"/>
    <s v="NOSDA $ BAU (Mantenimiento y peq. evolutivos)"/>
    <n v="0.4"/>
    <x v="2"/>
    <x v="1"/>
    <s v="MN-2091 Reingenieria proceso de CG pruebas en desarrollo"/>
    <e v="#NAME?"/>
    <e v="#NAME?"/>
    <e v="#NAME?"/>
    <m/>
    <m/>
    <m/>
    <m/>
    <m/>
    <n v="1"/>
  </r>
  <r>
    <s v="CE64615"/>
    <s v="Martha Lucia Aguirre"/>
    <s v="CORE"/>
    <x v="29"/>
    <x v="9"/>
    <e v="#NAME?"/>
    <s v="NOSDA $ BAU (Mantenimiento y peq. evolutivos)"/>
    <n v="0.1"/>
    <x v="2"/>
    <x v="1"/>
    <s v="CAP Pymes GD, Bonita 7 y Bonita 5 "/>
    <e v="#NAME?"/>
    <e v="#NAME?"/>
    <e v="#NAME?"/>
    <m/>
    <m/>
    <m/>
    <m/>
    <m/>
    <n v="0"/>
  </r>
  <r>
    <s v="CE64615"/>
    <s v="Martha Lucia Aguirre"/>
    <s v="CORE"/>
    <x v="29"/>
    <x v="9"/>
    <e v="#NAME?"/>
    <s v="SDATOOL-36509 $ Centralización de la formalización de desembolsos Pymes"/>
    <n v="0.5"/>
    <x v="2"/>
    <x v="1"/>
    <s v="pruebas unitarias en desarrollo"/>
    <e v="#NAME?"/>
    <e v="#NAME?"/>
    <e v="#NAME?"/>
    <m/>
    <m/>
    <m/>
    <m/>
    <m/>
    <n v="0"/>
  </r>
  <r>
    <s v="C341738"/>
    <s v="Jose Mauricio Peña"/>
    <s v="CORE"/>
    <x v="29"/>
    <x v="0"/>
    <e v="#NAME?"/>
    <s v="SDATOOL-36509 $ Centralización de la formalización de desembolsos Pymes"/>
    <n v="0.1"/>
    <x v="0"/>
    <x v="1"/>
    <s v="compromiso S1 abril en produccion"/>
    <e v="#NAME?"/>
    <e v="#NAME?"/>
    <e v="#NAME?"/>
    <m/>
    <m/>
    <m/>
    <m/>
    <m/>
    <n v="1"/>
  </r>
  <r>
    <s v="C341738"/>
    <s v="Jose Mauricio Peña"/>
    <s v="CORE"/>
    <x v="29"/>
    <x v="0"/>
    <e v="#NAME?"/>
    <s v="NOSDA $ BAU (Mantenimiento y peq. evolutivos)"/>
    <n v="0.9"/>
    <x v="0"/>
    <x v="1"/>
    <s v="Apoyo estabilizacion  purga casos activos,"/>
    <e v="#NAME?"/>
    <e v="#NAME?"/>
    <e v="#NAME?"/>
    <m/>
    <m/>
    <m/>
    <m/>
    <m/>
    <n v="0"/>
  </r>
  <r>
    <s v="C805239"/>
    <s v="Paola Marcela Moreno Sanabria"/>
    <s v="CORE"/>
    <x v="29"/>
    <x v="0"/>
    <e v="#NAME?"/>
    <s v="SDATOOL-37753 $ Plan de transformación de operaciones 2022"/>
    <n v="0.75"/>
    <x v="0"/>
    <x v="1"/>
    <s v="Formación en BPMaaS y COLWSBPE-115 Optimización de proceso de contratación de tarjetas en fábrica (IDP)- Fase I"/>
    <e v="#NAME?"/>
    <e v="#NAME?"/>
    <e v="#NAME?"/>
    <m/>
    <m/>
    <m/>
    <m/>
    <m/>
    <n v="1"/>
  </r>
  <r>
    <s v="C805239"/>
    <s v="Paola Marcela Moreno Sanabria"/>
    <s v="CORE"/>
    <x v="29"/>
    <x v="0"/>
    <e v="#NAME?"/>
    <s v="NOSDA $ BAU (Mantenimiento y peq. evolutivos)"/>
    <n v="0.25"/>
    <x v="0"/>
    <x v="1"/>
    <s v="MN-2091 Reingenieria proceso de CG desarrollos S2 Junio entrega"/>
    <e v="#NAME?"/>
    <e v="#NAME?"/>
    <e v="#NAME?"/>
    <m/>
    <m/>
    <m/>
    <m/>
    <m/>
    <n v="0"/>
  </r>
  <r>
    <s v="C811371"/>
    <s v="Wilson Daniel Bulla Martinez"/>
    <s v="CORE"/>
    <x v="29"/>
    <x v="0"/>
    <e v="#NAME?"/>
    <s v="NOSDA $ BAU (Mantenimiento y peq. evolutivos)"/>
    <n v="1"/>
    <x v="0"/>
    <x v="1"/>
    <s v="Arandas, producción y backlog mantenimientos menores"/>
    <e v="#NAME?"/>
    <e v="#NAME?"/>
    <e v="#NAME?"/>
    <m/>
    <m/>
    <m/>
    <m/>
    <m/>
    <n v="1"/>
  </r>
  <r>
    <s v="C811159"/>
    <s v="ALEX FERNEY MARTINEZ SERPA"/>
    <s v="CORE"/>
    <x v="30"/>
    <x v="0"/>
    <e v="#NAME?"/>
    <s v="NOSDA $ BAU (Mantenimiento y peq. evolutivos)"/>
    <n v="0.2"/>
    <x v="0"/>
    <x v="0"/>
    <s v="Soporte Aplicativo "/>
    <e v="#NAME?"/>
    <e v="#NAME?"/>
    <e v="#NAME?"/>
    <m/>
    <m/>
    <m/>
    <m/>
    <m/>
    <n v="1"/>
  </r>
  <r>
    <s v="C811159"/>
    <s v="ALEX FERNEY MARTINEZ SERPA"/>
    <s v="CORE"/>
    <x v="30"/>
    <x v="0"/>
    <e v="#NAME?"/>
    <s v="SDATOOL-37753 $ Plan de transformación de operaciones 2022"/>
    <n v="0.5"/>
    <x v="0"/>
    <x v="0"/>
    <s v="Evolutivo de mejoras a Ux, a partir de 16 febrero post-implantación "/>
    <e v="#NAME?"/>
    <e v="#NAME?"/>
    <e v="#NAME?"/>
    <m/>
    <m/>
    <m/>
    <m/>
    <m/>
    <n v="0"/>
  </r>
  <r>
    <s v="C811159"/>
    <s v="ALEX FERNEY MARTINEZ SERPA"/>
    <s v="CORE"/>
    <x v="30"/>
    <x v="0"/>
    <e v="#NAME?"/>
    <s v="SDATOOL-39272 $ GRM-Col-Cambio servicio APL (Aportes en línea)"/>
    <n v="0.3"/>
    <x v="0"/>
    <x v="0"/>
    <m/>
    <e v="#NAME?"/>
    <e v="#NAME?"/>
    <e v="#NAME?"/>
    <m/>
    <m/>
    <m/>
    <m/>
    <m/>
    <n v="0"/>
  </r>
  <r>
    <s v="O001036_x000a_"/>
    <s v="ANGEL JAVIER BADEL GASCA"/>
    <s v="CORE"/>
    <x v="30"/>
    <x v="0"/>
    <e v="#NAME?"/>
    <s v="SDATOOL-31326 $ Legalización Hipotecario"/>
    <n v="0.2"/>
    <x v="0"/>
    <x v="0"/>
    <s v="Desarrollo a  EMC8"/>
    <e v="#NAME?"/>
    <e v="#NAME?"/>
    <e v="#NAME?"/>
    <m/>
    <m/>
    <m/>
    <m/>
    <m/>
    <n v="1"/>
  </r>
  <r>
    <s v="O001036_x000a_"/>
    <s v="ANGEL JAVIER BADEL GASCA"/>
    <s v="CORE"/>
    <x v="30"/>
    <x v="0"/>
    <e v="#NAME?"/>
    <s v="NOSDA $ BAU (Mantenimiento y peq. evolutivos)"/>
    <n v="0.8"/>
    <x v="0"/>
    <x v="0"/>
    <s v="Soporte Aplicativo , versionardor CAP"/>
    <e v="#NAME?"/>
    <e v="#NAME?"/>
    <e v="#NAME?"/>
    <m/>
    <m/>
    <m/>
    <m/>
    <m/>
    <n v="0"/>
  </r>
  <r>
    <s v="C805866"/>
    <s v="CARLOS ENRIQUE FAJARDO FAJARDO "/>
    <s v="CORE"/>
    <x v="30"/>
    <x v="0"/>
    <e v="#NAME?"/>
    <s v="SDATOOL-37134 $ Oferta proactiva de segundo producto desde el momento cero - Plan Ascenso Cross Sell"/>
    <n v="0.9"/>
    <x v="1"/>
    <x v="1"/>
    <s v="Liderazgo  proyecto oferta proactiva D+0 "/>
    <e v="#NAME?"/>
    <e v="#NAME?"/>
    <e v="#NAME?"/>
    <m/>
    <m/>
    <m/>
    <m/>
    <m/>
    <n v="1"/>
  </r>
  <r>
    <s v="C805866"/>
    <s v="CARLOS ENRIQUE FAJARDO FAJARDO "/>
    <s v="CORE"/>
    <x v="30"/>
    <x v="0"/>
    <e v="#NAME?"/>
    <s v="NOSDA $ BAU (Mantenimiento y peq. evolutivos)"/>
    <n v="0.1"/>
    <x v="1"/>
    <x v="1"/>
    <s v="Soporte Aplicativo"/>
    <e v="#NAME?"/>
    <e v="#NAME?"/>
    <e v="#NAME?"/>
    <m/>
    <m/>
    <m/>
    <m/>
    <m/>
    <n v="0"/>
  </r>
  <r>
    <s v="C810754_x000a_"/>
    <s v="DEIVIS JAVIER MIRANDA RAMOS "/>
    <s v="CORE"/>
    <x v="30"/>
    <x v="0"/>
    <e v="#NAME?"/>
    <s v="SDATOOL-37134 $ Oferta proactiva de segundo producto desde el momento cero - Plan Ascenso Cross Sell"/>
    <n v="1"/>
    <x v="0"/>
    <x v="0"/>
    <s v="Análisis, diseño y desarrollo CAP Proyecto Oferta D+0"/>
    <e v="#NAME?"/>
    <e v="#NAME?"/>
    <e v="#NAME?"/>
    <m/>
    <m/>
    <m/>
    <m/>
    <m/>
    <n v="1"/>
  </r>
  <r>
    <s v="CE69111"/>
    <s v="EDNA YURANI GIL"/>
    <s v="CORE"/>
    <x v="30"/>
    <x v="1"/>
    <e v="#NAME?"/>
    <s v="SDATOOL-38091 $ Higiénicos Plataforma Digital de Oficinas CAP"/>
    <n v="0.2"/>
    <x v="2"/>
    <x v="1"/>
    <s v="Analálisis, diseño y pruebas a mejoras CAP "/>
    <e v="#NAME?"/>
    <e v="#NAME?"/>
    <e v="#NAME?"/>
    <m/>
    <m/>
    <m/>
    <m/>
    <m/>
    <n v="1"/>
  </r>
  <r>
    <s v="CE69111"/>
    <s v="EDNA YURANI GIL"/>
    <s v="CORE"/>
    <x v="30"/>
    <x v="1"/>
    <e v="#NAME?"/>
    <s v="SDATOOL-40435 $ Cuota Segura créditos de libranza"/>
    <n v="0.3"/>
    <x v="2"/>
    <x v="1"/>
    <m/>
    <e v="#NAME?"/>
    <e v="#NAME?"/>
    <e v="#NAME?"/>
    <m/>
    <m/>
    <m/>
    <m/>
    <m/>
    <n v="0"/>
  </r>
  <r>
    <s v="CE69111"/>
    <s v="EDNA YURANI GIL"/>
    <s v="CORE"/>
    <x v="30"/>
    <x v="1"/>
    <e v="#NAME?"/>
    <s v="SDATOOL-39272 $ GRM-Col-Cambio servicio APL (Aportes en línea)"/>
    <n v="0.5"/>
    <x v="2"/>
    <x v="1"/>
    <m/>
    <e v="#NAME?"/>
    <e v="#NAME?"/>
    <e v="#NAME?"/>
    <m/>
    <m/>
    <m/>
    <m/>
    <m/>
    <n v="0"/>
  </r>
  <r>
    <s v="O002373_x000a_"/>
    <s v="ESTEBAN ARIAS CARACAS "/>
    <s v="CORE"/>
    <x v="30"/>
    <x v="0"/>
    <e v="#NAME?"/>
    <s v="SDATOOL-38757 $ Modelo administrativo de oficina - Omnicanalidad"/>
    <n v="1"/>
    <x v="0"/>
    <x v="4"/>
    <s v="Desarrollador dedicado a la tecnología APX, y para el 1Q realizará actividades de análisis, diseño e implementación de la iniciativa."/>
    <e v="#NAME?"/>
    <e v="#NAME?"/>
    <e v="#NAME?"/>
    <m/>
    <m/>
    <m/>
    <m/>
    <m/>
    <n v="1"/>
  </r>
  <r>
    <s v="C604380"/>
    <s v="JAVIER FRANCISCO OSPINA RAMIREZ"/>
    <s v="CORE"/>
    <x v="30"/>
    <x v="0"/>
    <e v="#NAME?"/>
    <s v="SDATOOL-38091 $ Higiénicos Plataforma Digital de Oficinas CAP"/>
    <n v="1"/>
    <x v="2"/>
    <x v="1"/>
    <s v="Pruebas a mejoras CAP retail y pruebas a roda la no afectación CAP"/>
    <e v="#NAME?"/>
    <e v="#NAME?"/>
    <e v="#NAME?"/>
    <m/>
    <m/>
    <m/>
    <m/>
    <m/>
    <n v="1"/>
  </r>
  <r>
    <s v="T003428_x000a_"/>
    <s v="JUAN PABLO MORA "/>
    <s v="CORE"/>
    <x v="30"/>
    <x v="1"/>
    <e v="#NAME?"/>
    <s v="SDATOOL-31326 $ Legalización Hipotecario"/>
    <n v="1"/>
    <x v="2"/>
    <x v="1"/>
    <s v="Analálisis, diseño y pruebas a mejoras CAP "/>
    <e v="#NAME?"/>
    <e v="#NAME?"/>
    <e v="#NAME?"/>
    <m/>
    <m/>
    <m/>
    <m/>
    <m/>
    <n v="1"/>
  </r>
  <r>
    <s v="T007157"/>
    <s v="JUAN SEBASTIAN BUSTOS"/>
    <s v="CORE"/>
    <x v="30"/>
    <x v="1"/>
    <e v="#NAME?"/>
    <s v="SDATOOL-37134 $ Oferta proactiva de segundo producto desde el momento cero - Plan Ascenso Cross Sell"/>
    <n v="1"/>
    <x v="0"/>
    <x v="0"/>
    <s v="Análisis, diseño y desarrollo CAP Proyecto Oferta D+0"/>
    <e v="#NAME?"/>
    <e v="#NAME?"/>
    <e v="#NAME?"/>
    <m/>
    <m/>
    <m/>
    <m/>
    <m/>
    <n v="1"/>
  </r>
  <r>
    <s v="C810787"/>
    <s v="JUAN SEBASTÍAN RODRIGUEZ TOVAR"/>
    <s v="CORE"/>
    <x v="30"/>
    <x v="0"/>
    <e v="#NAME?"/>
    <s v="SDATOOL-38091 $ Higiénicos Plataforma Digital de Oficinas CAP"/>
    <n v="0.6"/>
    <x v="0"/>
    <x v="0"/>
    <s v="-Analálisis, diseño y pruebas a mejoras CAP _x000a_-Seguimiento a contratación de SW venta cruzada con Meraki, aprobación diseño técnico, sanción técnica de software y acompañamiento en calidad para la certificación_x000a_"/>
    <e v="#NAME?"/>
    <e v="#NAME?"/>
    <e v="#NAME?"/>
    <m/>
    <m/>
    <m/>
    <m/>
    <m/>
    <n v="1"/>
  </r>
  <r>
    <s v="C810787"/>
    <s v="JUAN SEBASTÍAN RODRIGUEZ TOVAR"/>
    <s v="CORE"/>
    <x v="30"/>
    <x v="0"/>
    <e v="#NAME?"/>
    <s v="SDATOOL-40435 $ Cuota Segura créditos de libranza"/>
    <n v="0.2"/>
    <x v="0"/>
    <x v="0"/>
    <s v="-Seguimiento a contratación de SW cuota segura con Meraki, aprobación diseño técnico, sanción técnica de software y acompañamiento en calidad para la certificación"/>
    <e v="#NAME?"/>
    <e v="#NAME?"/>
    <e v="#NAME?"/>
    <m/>
    <m/>
    <m/>
    <m/>
    <m/>
    <n v="0"/>
  </r>
  <r>
    <s v="C810787"/>
    <s v="JUAN SEBASTÍAN RODRIGUEZ TOVAR"/>
    <s v="CORE"/>
    <x v="30"/>
    <x v="0"/>
    <e v="#NAME?"/>
    <s v="NOSDA $ BAU (Mantenimiento y peq. evolutivos)"/>
    <n v="0.2"/>
    <x v="0"/>
    <x v="0"/>
    <s v="Soporte Aplicativo "/>
    <e v="#NAME?"/>
    <e v="#NAME?"/>
    <e v="#NAME?"/>
    <m/>
    <m/>
    <m/>
    <m/>
    <m/>
    <n v="0"/>
  </r>
  <r>
    <s v="CE70176"/>
    <s v="JULIANA BALCERO "/>
    <s v="CORE"/>
    <x v="30"/>
    <x v="1"/>
    <e v="#NAME?"/>
    <s v="SDATOOL-37134 $ Oferta proactiva de segundo producto desde el momento cero - Plan Ascenso Cross Sell"/>
    <n v="1"/>
    <x v="2"/>
    <x v="1"/>
    <s v="Análisis, diseño y pruebas CAP Proyecto Oferta D+0"/>
    <e v="#NAME?"/>
    <e v="#NAME?"/>
    <e v="#NAME?"/>
    <m/>
    <m/>
    <m/>
    <m/>
    <m/>
    <n v="1"/>
  </r>
  <r>
    <s v="T007470"/>
    <s v="KAREN ANGELICA ANDRADE"/>
    <s v="CORE"/>
    <x v="30"/>
    <x v="5"/>
    <e v="#NAME?"/>
    <s v="NOSDA $ BAU (Mantenimiento y peq. evolutivos)"/>
    <n v="1"/>
    <x v="3"/>
    <x v="1"/>
    <s v="Soporte Aranda, apoyo administrativo "/>
    <e v="#NAME?"/>
    <e v="#NAME?"/>
    <e v="#NAME?"/>
    <m/>
    <m/>
    <m/>
    <m/>
    <m/>
    <n v="1"/>
  </r>
  <r>
    <s v="C809512"/>
    <s v="MARTHA BEATRIZ GALLEGO MARIN "/>
    <s v="CORE"/>
    <x v="30"/>
    <x v="0"/>
    <e v="#NAME?"/>
    <s v="SDATOOL-38757 $ Modelo administrativo de oficina - Omnicanalidad"/>
    <n v="0.8"/>
    <x v="1"/>
    <x v="4"/>
    <s v="Análisis, Diseño y Seguimiento Construcción Proyecto"/>
    <e v="#NAME?"/>
    <e v="#NAME?"/>
    <e v="#NAME?"/>
    <m/>
    <m/>
    <m/>
    <m/>
    <m/>
    <n v="1"/>
  </r>
  <r>
    <s v="C809512"/>
    <s v="MARTHA BEATRIZ GALLEGO MARIN "/>
    <s v="CORE"/>
    <x v="30"/>
    <x v="0"/>
    <e v="#NAME?"/>
    <s v="SDATOOL-37899 $ Formularios Subsidios (PAEF, Jóvenes y Afectados por el paro)"/>
    <n v="0.2"/>
    <x v="1"/>
    <x v="4"/>
    <s v="Análisis , Diseño, Pruebas e implemenación."/>
    <e v="#NAME?"/>
    <e v="#NAME?"/>
    <e v="#NAME?"/>
    <m/>
    <m/>
    <m/>
    <m/>
    <m/>
    <n v="0"/>
  </r>
  <r>
    <s v="C810957"/>
    <s v="MATEO ECHEVERRY PELAEZ"/>
    <s v="CORE"/>
    <x v="30"/>
    <x v="0"/>
    <e v="#NAME?"/>
    <s v="SDATOOL-37134 $ Oferta proactiva de segundo producto desde el momento cero - Plan Ascenso Cross Sell"/>
    <n v="1"/>
    <x v="0"/>
    <x v="0"/>
    <s v="Análisis, diseño y desarrollo CAP Proyecto Oferta D+0"/>
    <e v="#NAME?"/>
    <e v="#NAME?"/>
    <e v="#NAME?"/>
    <m/>
    <m/>
    <m/>
    <m/>
    <m/>
    <n v="1"/>
  </r>
  <r>
    <s v="O003458"/>
    <s v="MOISES ABRAHAM LUNA MOJICA"/>
    <s v="CORE"/>
    <x v="30"/>
    <x v="0"/>
    <e v="#NAME?"/>
    <s v="SDATOOL-38757 $ Modelo administrativo de oficina - Omnicanalidad"/>
    <n v="1"/>
    <x v="0"/>
    <x v="3"/>
    <s v="Desarrollador dedicado a la tecnología ASO, y para el 1Q realizará actividades de análisis, diseño e implementación de la iniciativa."/>
    <e v="#NAME?"/>
    <e v="#NAME?"/>
    <e v="#NAME?"/>
    <m/>
    <m/>
    <m/>
    <m/>
    <m/>
    <n v="1"/>
  </r>
  <r>
    <s v="O000471"/>
    <s v="RONAL ALBERTO TABORDA MORENO "/>
    <s v="CORE"/>
    <x v="30"/>
    <x v="0"/>
    <e v="#NAME?"/>
    <s v="SDATOOL-38757 $ Modelo administrativo de oficina - Omnicanalidad"/>
    <n v="1"/>
    <x v="0"/>
    <x v="0"/>
    <s v="Desarrollador dedicado a la tecnología APX, y para el 1Q realizará actividades de análisis, diseño e implementación de la iniciativa."/>
    <e v="#NAME?"/>
    <e v="#NAME?"/>
    <e v="#NAME?"/>
    <m/>
    <m/>
    <m/>
    <m/>
    <m/>
    <n v="1"/>
  </r>
  <r>
    <s v="CE51433"/>
    <s v="SERGIO OSWALDO ROJAS BERNAL  "/>
    <s v="CORE"/>
    <x v="30"/>
    <x v="1"/>
    <e v="#NAME?"/>
    <s v="SDATOOL-37134 $ Oferta proactiva de segundo producto desde el momento cero - Plan Ascenso Cross Sell"/>
    <n v="1"/>
    <x v="0"/>
    <x v="2"/>
    <s v="Análisis, diseño y desarrollo CAP Proyecto Oferta D+0"/>
    <e v="#NAME?"/>
    <e v="#NAME?"/>
    <e v="#NAME?"/>
    <m/>
    <m/>
    <m/>
    <m/>
    <m/>
    <n v="1"/>
  </r>
  <r>
    <s v="C342041"/>
    <s v="YANETH MORENO AGUILAR"/>
    <s v="CIB &amp; COMEX - FIDUCIARIA"/>
    <x v="16"/>
    <x v="0"/>
    <e v="#NAME?"/>
    <s v="NOSDA $ BAU (Mantenimiento y peq. evolutivos)"/>
    <n v="0.25"/>
    <x v="2"/>
    <x v="0"/>
    <m/>
    <e v="#NAME?"/>
    <e v="#NAME?"/>
    <e v="#NAME?"/>
    <m/>
    <m/>
    <m/>
    <m/>
    <m/>
    <m/>
  </r>
  <r>
    <s v="C342041"/>
    <s v="YANETH MORENO AGUILAR"/>
    <s v="CIB &amp; COMEX - FIDUCIARIA"/>
    <x v="1"/>
    <x v="0"/>
    <e v="#NAME?"/>
    <s v="NOSDA $ BAU (Mantenimiento y peq. evolutivos)"/>
    <n v="0.25"/>
    <x v="2"/>
    <x v="0"/>
    <m/>
    <e v="#NAME?"/>
    <e v="#NAME?"/>
    <e v="#NAME?"/>
    <m/>
    <m/>
    <m/>
    <m/>
    <m/>
    <m/>
  </r>
  <r>
    <s v="C342041"/>
    <s v="YANETH MORENO AGUILAR"/>
    <s v="CIB &amp; COMEX - FIDUCIARIA"/>
    <x v="12"/>
    <x v="0"/>
    <e v="#NAME?"/>
    <s v="NOSDA $ BAU (Mantenimiento y peq. evolutivos)"/>
    <n v="0.25"/>
    <x v="2"/>
    <x v="0"/>
    <m/>
    <e v="#NAME?"/>
    <e v="#NAME?"/>
    <e v="#NAME?"/>
    <m/>
    <m/>
    <m/>
    <m/>
    <m/>
    <m/>
  </r>
  <r>
    <s v="C342041"/>
    <s v="YANETH MORENO AGUILAR"/>
    <s v="CIB &amp; COMEX - FIDUCIARIA"/>
    <x v="18"/>
    <x v="0"/>
    <e v="#NAME?"/>
    <s v="NOSDA $ BAU (Mantenimiento y peq. evolutivos)"/>
    <n v="0.25"/>
    <x v="2"/>
    <x v="0"/>
    <m/>
    <e v="#NAME?"/>
    <e v="#NAME?"/>
    <e v="#NAME?"/>
    <m/>
    <m/>
    <m/>
    <m/>
    <m/>
    <m/>
  </r>
  <r>
    <s v="CE69277"/>
    <s v="JULIAN I BECERRA BAUTISTA"/>
    <s v="CIB &amp; COMEX - FIDUCIARIA"/>
    <x v="16"/>
    <x v="9"/>
    <e v="#NAME?"/>
    <s v="NOSDA $ BAU (Mantenimiento y peq. evolutivos)"/>
    <n v="0.5"/>
    <x v="3"/>
    <x v="0"/>
    <m/>
    <e v="#NAME?"/>
    <e v="#NAME?"/>
    <e v="#NAME?"/>
    <m/>
    <m/>
    <m/>
    <m/>
    <m/>
    <m/>
  </r>
  <r>
    <s v="CE69277"/>
    <s v="JULIAN I BECERRA BAUTISTA"/>
    <s v="CIB &amp; COMEX - FIDUCIARIA"/>
    <x v="1"/>
    <x v="9"/>
    <e v="#NAME?"/>
    <s v="NOSDA $ BAU (Mantenimiento y peq. evolutivos)"/>
    <n v="0.5"/>
    <x v="3"/>
    <x v="0"/>
    <m/>
    <e v="#NAME?"/>
    <e v="#NAME?"/>
    <e v="#NAME?"/>
    <m/>
    <m/>
    <m/>
    <m/>
    <m/>
    <m/>
  </r>
  <r>
    <s v="C811308"/>
    <s v="JOSMAN ALEXANDER KOOP SANTA"/>
    <s v="ENTERPRISE"/>
    <x v="10"/>
    <x v="0"/>
    <e v="#NAME?"/>
    <s v="SDATOOL-41448 $ Compra de divisas mediante APP Empresas GEMA"/>
    <n v="0.25"/>
    <x v="1"/>
    <x v="5"/>
    <m/>
    <e v="#NAME?"/>
    <e v="#NAME?"/>
    <e v="#NAME?"/>
    <m/>
    <m/>
    <m/>
    <m/>
    <m/>
    <m/>
  </r>
  <r>
    <s v="C811308"/>
    <s v="JOSMAN ALEXANDER KOOP SANTA"/>
    <s v="ENTERPRISE"/>
    <x v="10"/>
    <x v="0"/>
    <e v="#NAME?"/>
    <s v="SDATOOL-39354 $ My business Open Pay - Plan Ascenso Mercurio"/>
    <n v="0.25"/>
    <x v="1"/>
    <x v="5"/>
    <m/>
    <e v="#NAME?"/>
    <e v="#NAME?"/>
    <e v="#NAME?"/>
    <m/>
    <m/>
    <m/>
    <m/>
    <m/>
    <m/>
  </r>
  <r>
    <s v="C811308"/>
    <s v="JOSMAN ALEXANDER KOOP SANTA"/>
    <s v="ENTERPRISE"/>
    <x v="10"/>
    <x v="0"/>
    <e v="#NAME?"/>
    <s v="SDATOOL-40676 $ Contratación y uso de mPOS desde APPs BBVA"/>
    <n v="0.25"/>
    <x v="1"/>
    <x v="5"/>
    <m/>
    <e v="#NAME?"/>
    <e v="#NAME?"/>
    <e v="#NAME?"/>
    <m/>
    <m/>
    <m/>
    <m/>
    <m/>
    <m/>
  </r>
  <r>
    <s v="C811308"/>
    <s v="JOSMAN ALEXANDER KOOP SANTA"/>
    <s v="ENTERPRISE"/>
    <x v="10"/>
    <x v="0"/>
    <e v="#NAME?"/>
    <s v="NOSDA $ BAU (Mantenimiento y peq. evolutivos)"/>
    <n v="0.25"/>
    <x v="1"/>
    <x v="5"/>
    <m/>
    <e v="#NAME?"/>
    <e v="#NAME?"/>
    <e v="#NAME?"/>
    <m/>
    <m/>
    <m/>
    <m/>
    <m/>
    <m/>
  </r>
  <r>
    <s v="C342040"/>
    <s v="ANDRES FERMIN PITRE JIMENEZ"/>
    <s v="ENTERPRISE"/>
    <x v="3"/>
    <x v="0"/>
    <e v="#NAME?"/>
    <s v="SDATOOL-40457 $ SENDA (Base)"/>
    <n v="1"/>
    <x v="1"/>
    <x v="0"/>
    <m/>
    <e v="#NAME?"/>
    <e v="#NAME?"/>
    <e v="#NAME?"/>
    <m/>
    <m/>
    <m/>
    <m/>
    <m/>
    <m/>
  </r>
  <r>
    <s v="C804047"/>
    <s v="OSCAR EDILBERTO MESA TRUJILLO"/>
    <s v="ENTERPRISE"/>
    <x v="3"/>
    <x v="0"/>
    <e v="#NAME?"/>
    <s v="SDATOOL-40528 $ ETPB - SENDA PAGOS"/>
    <n v="1"/>
    <x v="1"/>
    <x v="2"/>
    <m/>
    <e v="#NAME?"/>
    <e v="#NAME?"/>
    <e v="#NAME?"/>
    <m/>
    <m/>
    <m/>
    <m/>
    <m/>
    <m/>
  </r>
  <r>
    <s v="C811356"/>
    <s v="JEFFERSON CAMILO ROZO CASTILLO"/>
    <s v="ENTERPRISE"/>
    <x v="10"/>
    <x v="0"/>
    <e v="#NAME?"/>
    <s v="SDATOOL-40676 $ Contratación y uso de mPOS desde APPs BBVA"/>
    <n v="1"/>
    <x v="1"/>
    <x v="0"/>
    <m/>
    <e v="#NAME?"/>
    <e v="#NAME?"/>
    <e v="#NAME?"/>
    <m/>
    <m/>
    <m/>
    <m/>
    <m/>
    <m/>
  </r>
  <r>
    <s v="CE40475"/>
    <s v="NELSON FERRUCHO"/>
    <s v="RETAIL"/>
    <x v="21"/>
    <x v="3"/>
    <e v="#NAME?"/>
    <s v="NOSDA $ BAU (Mantenimiento y peq. evolutivos)"/>
    <n v="0.5"/>
    <x v="0"/>
    <x v="2"/>
    <m/>
    <e v="#NAME?"/>
    <e v="#NAME?"/>
    <e v="#NAME?"/>
    <m/>
    <m/>
    <m/>
    <m/>
    <m/>
    <m/>
  </r>
  <r>
    <s v="C811397"/>
    <s v="CRISTHIAN CAMILO FIGUEROA ENRIQUEZ"/>
    <s v="ENTERPRISE"/>
    <x v="3"/>
    <x v="0"/>
    <e v="#NAME?"/>
    <s v="SDATOOL-40457 $ SENDA (Base)"/>
    <n v="1"/>
    <x v="0"/>
    <x v="3"/>
    <m/>
    <e v="#NAME?"/>
    <e v="#NAME?"/>
    <e v="#NAME?"/>
    <m/>
    <m/>
    <m/>
    <m/>
    <m/>
    <m/>
  </r>
  <r>
    <s v="C805187"/>
    <s v="DIEGO ALEJANDRO QUINTERO VARGAS"/>
    <s v="ENTERPRISE"/>
    <x v="3"/>
    <x v="0"/>
    <e v="#NAME?"/>
    <s v="SDATOOL-40528 $ ETPB - SENDA PAGOS"/>
    <n v="1"/>
    <x v="0"/>
    <x v="4"/>
    <m/>
    <e v="#NAME?"/>
    <e v="#NAME?"/>
    <e v="#NAME?"/>
    <m/>
    <m/>
    <m/>
    <m/>
    <m/>
    <m/>
  </r>
  <r>
    <s v="CE67846"/>
    <s v="EDSON DANIEL SUAREZ HERNANDEZ"/>
    <s v="ENTERPRISE"/>
    <x v="3"/>
    <x v="20"/>
    <e v="#NAME?"/>
    <s v="SDATOOL-40528 $ ETPB - SENDA PAGOS"/>
    <n v="1"/>
    <x v="2"/>
    <x v="0"/>
    <m/>
    <e v="#NAME?"/>
    <e v="#NAME?"/>
    <e v="#NAME?"/>
    <m/>
    <m/>
    <m/>
    <m/>
    <m/>
    <m/>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7">
  <r>
    <s v="CE54816"/>
    <s v=" LINA MARCELA SANABRIA BERNAL"/>
    <x v="0"/>
    <s v="Soluciones financieras (Factoring)"/>
    <s v="Choucair"/>
    <e v="#NAME?"/>
    <s v="SDATOOL-27703 $ Fixed Income Digital Cross Selling - COL"/>
    <n v="1"/>
    <x v="0"/>
    <m/>
    <x v="0"/>
    <x v="0"/>
    <m/>
    <m/>
    <m/>
    <m/>
    <m/>
  </r>
  <r>
    <s v="T004481"/>
    <s v="ACEVEDO SANCHEZ RUBEN DARIO"/>
    <x v="1"/>
    <s v="Riesgos"/>
    <s v="Neoris"/>
    <e v="#NAME?"/>
    <s v="SDATOOL-40710 $ GRM Col - Cronos - Plan Ascenso - Mejoras CAP Pymes Fase II"/>
    <n v="0.55000000000000004"/>
    <x v="1"/>
    <m/>
    <x v="0"/>
    <x v="0"/>
    <m/>
    <m/>
    <m/>
    <m/>
    <m/>
  </r>
  <r>
    <s v="T004481"/>
    <s v="ACEVEDO SANCHEZ RUBEN DARIO"/>
    <x v="1"/>
    <s v="Riesgos"/>
    <s v="Neoris"/>
    <e v="#NAME?"/>
    <s v="SDATOOL-39826 $ GRM Col- Plan Ascenso - Mejoras en CAP Pymes y disponibilización HdC"/>
    <n v="0.45"/>
    <x v="1"/>
    <m/>
    <x v="0"/>
    <x v="0"/>
    <m/>
    <m/>
    <m/>
    <m/>
    <m/>
  </r>
  <r>
    <s v="CE47497"/>
    <s v="ADOLFO ENRIQUE BERNAL RODRIGUEZ"/>
    <x v="2"/>
    <s v="Accounts"/>
    <s v="SII"/>
    <e v="#NAME?"/>
    <s v="SDATOOL-39246 $ Nuevo tipo de identificación para extranjeros"/>
    <n v="0.4"/>
    <x v="1"/>
    <m/>
    <x v="0"/>
    <x v="0"/>
    <m/>
    <m/>
    <m/>
    <m/>
    <m/>
  </r>
  <r>
    <m/>
    <s v="ADOLFO ENRIQUE BERNAL RODRIGUEZ"/>
    <x v="2"/>
    <s v="Accounts"/>
    <s v="SII"/>
    <e v="#NAME?"/>
    <s v="SDATOOL-37111 $ Cuenta Maestra Adres"/>
    <n v="0.6"/>
    <x v="1"/>
    <m/>
    <x v="0"/>
    <x v="0"/>
    <m/>
    <m/>
    <m/>
    <m/>
    <m/>
  </r>
  <r>
    <s v="T003497"/>
    <s v="ADRIAN DUCUARA BENITEZ"/>
    <x v="2"/>
    <s v="Loans"/>
    <s v="Accenture"/>
    <e v="#NAME?"/>
    <s v="SDATOOL-34157 $ Evolutivo Parthnership - Crédito en punto de venta de Aliados"/>
    <n v="1"/>
    <x v="1"/>
    <m/>
    <x v="0"/>
    <x v="0"/>
    <m/>
    <m/>
    <m/>
    <m/>
    <m/>
  </r>
  <r>
    <m/>
    <s v="Adrián Ricardo Rojas Villegas"/>
    <x v="3"/>
    <s v="CRM"/>
    <s v="Meraki"/>
    <e v="#NAME?"/>
    <s v="SDATOOL-40690 $ Plan CRM: Mejoras AUG (Banca Comercial y CSF) Equipo B"/>
    <n v="0.5"/>
    <x v="1"/>
    <m/>
    <x v="0"/>
    <x v="0"/>
    <m/>
    <m/>
    <m/>
    <m/>
    <m/>
  </r>
  <r>
    <s v="CE66885"/>
    <s v="ADRIAN ROJAS"/>
    <x v="2"/>
    <s v="Payments"/>
    <s v="Meraki"/>
    <e v="#NAME?"/>
    <s v="SDATOOL-36556 $ Parthnerships - Tarjeta de crédito en punto de venta físico  aliados"/>
    <n v="1"/>
    <x v="1"/>
    <m/>
    <x v="0"/>
    <x v="0"/>
    <m/>
    <m/>
    <m/>
    <m/>
    <m/>
  </r>
  <r>
    <s v="C811370"/>
    <s v="ADRIANA ARANGO GIRALDO"/>
    <x v="3"/>
    <s v="Móvil"/>
    <s v="BBVA"/>
    <e v="#NAME?"/>
    <s v="SDATOOL-9053 $ GloMo Colombia"/>
    <n v="1"/>
    <x v="0"/>
    <m/>
    <x v="1"/>
    <x v="0"/>
    <m/>
    <m/>
    <m/>
    <m/>
    <m/>
  </r>
  <r>
    <s v="T007662"/>
    <s v="ADRIANA MARCELA RODRIGUEZ"/>
    <x v="3"/>
    <s v="CRM"/>
    <s v="Neoris"/>
    <e v="#NAME?"/>
    <s v="SDATOOL-40672 $ Plan CRM: Mejoras AUG (Banca Comercial y CSF) Equipo A"/>
    <n v="1"/>
    <x v="1"/>
    <m/>
    <x v="0"/>
    <x v="0"/>
    <m/>
    <m/>
    <m/>
    <m/>
    <m/>
  </r>
  <r>
    <s v="CE70173"/>
    <s v="ADRIANA MAYERLY RAMIREZ"/>
    <x v="2"/>
    <s v="Payments"/>
    <s v="Choucair"/>
    <e v="#NAME?"/>
    <s v="SDATOOL-37057 $ Pagos QR - Entre cuentas Redeban - Plan Ascenso Mercurio"/>
    <n v="1"/>
    <x v="0"/>
    <m/>
    <x v="0"/>
    <x v="0"/>
    <m/>
    <m/>
    <m/>
    <m/>
    <m/>
  </r>
  <r>
    <s v="CE70177"/>
    <s v="Adriana Mercedes Gómez"/>
    <x v="3"/>
    <s v="Net"/>
    <s v="Choucair"/>
    <e v="#NAME?"/>
    <s v="SDATOOL-9053 $ GloMo Colombia"/>
    <n v="1"/>
    <x v="0"/>
    <m/>
    <x v="0"/>
    <x v="0"/>
    <m/>
    <m/>
    <m/>
    <m/>
    <m/>
  </r>
  <r>
    <s v="CE70177"/>
    <s v="Adriana Mercedez Gómez Monroy"/>
    <x v="3"/>
    <s v="Net"/>
    <s v="Choucair"/>
    <e v="#NAME?"/>
    <s v="SDATOOL-36558 $ Transfiya:Transferencias interbancarias inmediatas - Plan Ascenso Privado"/>
    <n v="1"/>
    <x v="0"/>
    <m/>
    <x v="0"/>
    <x v="0"/>
    <m/>
    <m/>
    <m/>
    <m/>
    <m/>
  </r>
  <r>
    <s v="T001858"/>
    <s v="AGREDO LLANTEN NESTOR RAUL"/>
    <x v="0"/>
    <s v="Netcash"/>
    <s v="Neoris"/>
    <e v="#NAME?"/>
    <s v="SDATOOL-39255 $ OBSOLESCENCIA APLICATIVA 2022"/>
    <n v="1"/>
    <x v="1"/>
    <m/>
    <x v="0"/>
    <x v="0"/>
    <m/>
    <m/>
    <m/>
    <m/>
    <m/>
  </r>
  <r>
    <s v="O002467"/>
    <s v="ALBA FABIOLA GOMEZ RODRIGUEZ"/>
    <x v="2"/>
    <s v="Accounts"/>
    <s v="BBVA"/>
    <e v="#NAME?"/>
    <s v="SDATOOL-38481 $ Pricing Pasivos (optimización portafolio) - Plan Ascenso Cross Sell"/>
    <n v="1"/>
    <x v="1"/>
    <m/>
    <x v="1"/>
    <x v="0"/>
    <m/>
    <m/>
    <m/>
    <m/>
    <m/>
  </r>
  <r>
    <s v="CE70149"/>
    <s v="ALDANA ROJAS TIHAMER KARLOVICH"/>
    <x v="0"/>
    <s v="Netcash"/>
    <s v="GGI / CMC"/>
    <e v="#NAME?"/>
    <s v="SDATOOL-40555 $ ADELANTO DE VENTA EN GEMA"/>
    <n v="0.5"/>
    <x v="1"/>
    <m/>
    <x v="0"/>
    <x v="0"/>
    <m/>
    <m/>
    <m/>
    <m/>
    <m/>
  </r>
  <r>
    <s v="CE70149"/>
    <s v="ALDANA ROJAS TIHAMER KARLOVICH"/>
    <x v="0"/>
    <s v="Netcash"/>
    <s v="GGI / CMC"/>
    <e v="#NAME?"/>
    <s v="SDATOOL-37425 $ Recaudo DIAN Tarjetas de Crédito Propio Banco través del Botón de pagos PSE para los canales Banca Personas y Banca de Empresas"/>
    <n v="0.5"/>
    <x v="1"/>
    <m/>
    <x v="0"/>
    <x v="0"/>
    <m/>
    <m/>
    <m/>
    <m/>
    <m/>
  </r>
  <r>
    <s v="CE67865"/>
    <s v="Alejandra Barrios"/>
    <x v="3"/>
    <s v="Móvil"/>
    <s v="Accenture"/>
    <e v="#NAME?"/>
    <s v="SDATOOL-9053 $ GloMo Colombia"/>
    <n v="1"/>
    <x v="0"/>
    <m/>
    <x v="0"/>
    <x v="0"/>
    <m/>
    <m/>
    <m/>
    <m/>
    <m/>
  </r>
  <r>
    <s v="C810672"/>
    <s v="ALEJANDRA MARIA HINCAPIE AGUIRRE"/>
    <x v="4"/>
    <s v="Global Market &amp; Comex"/>
    <s v="BBVA"/>
    <e v="#NAME?"/>
    <s v="SDATOOL-37342 $ SWIFT ISO20022  Ajuste de mensajes Swift a la nueva estructura"/>
    <n v="0.75"/>
    <x v="1"/>
    <m/>
    <x v="1"/>
    <x v="0"/>
    <m/>
    <m/>
    <m/>
    <m/>
    <m/>
  </r>
  <r>
    <s v="C810672"/>
    <s v="ALEJANDRA MARIA HINCAPIE AGUIRRE"/>
    <x v="4"/>
    <s v="Global Market &amp; Comex"/>
    <s v="BBVA"/>
    <e v="#NAME?"/>
    <s v="SDATOOL-36047 $ Bloqueo Sobregiro para Pago Capital e Intereses"/>
    <n v="0.25"/>
    <x v="1"/>
    <m/>
    <x v="1"/>
    <x v="0"/>
    <m/>
    <m/>
    <m/>
    <m/>
    <m/>
  </r>
  <r>
    <s v="T001732"/>
    <s v="Alejandro Cano"/>
    <x v="3"/>
    <s v="Móvil"/>
    <s v="Indra"/>
    <e v="#NAME?"/>
    <s v="SDATOOL-9053 $ GloMo Colombia"/>
    <n v="1"/>
    <x v="1"/>
    <m/>
    <x v="0"/>
    <x v="0"/>
    <m/>
    <m/>
    <m/>
    <m/>
    <m/>
  </r>
  <r>
    <s v="CE64519"/>
    <s v="Alejandro Lara Montano"/>
    <x v="1"/>
    <s v="Finanzas"/>
    <s v="GGI / CMC"/>
    <e v="#NAME?"/>
    <s v="SDATOOL-37681 $ Ciclo 2 - Resolución 0098 de Octubre 28 de 2020 - Reportes información Exógena Base Impuestos"/>
    <n v="1"/>
    <x v="1"/>
    <m/>
    <x v="0"/>
    <x v="0"/>
    <m/>
    <m/>
    <m/>
    <m/>
    <m/>
  </r>
  <r>
    <s v="O001817"/>
    <s v="ALEX EDWIN TOSCANO MAESTRE"/>
    <x v="2"/>
    <s v="Cross/Personas y Arq. Host"/>
    <s v="BBVA"/>
    <e v="#NAME?"/>
    <s v="NOSDA- BAU $ BAU (Mantenimiento y peq. evolutivos)"/>
    <n v="0.6"/>
    <x v="1"/>
    <m/>
    <x v="1"/>
    <x v="0"/>
    <m/>
    <m/>
    <m/>
    <m/>
    <m/>
  </r>
  <r>
    <s v="O001817"/>
    <s v="ALEX EDWIN TOSCANO MAESTRE"/>
    <x v="2"/>
    <s v="Cross/Personas y Arq. Host"/>
    <s v="BBVA"/>
    <e v="#NAME?"/>
    <s v="SDATOOL-41171 $ CBS Core Banking Strategy Convivencia Clients and Contracts"/>
    <n v="0.25"/>
    <x v="1"/>
    <m/>
    <x v="1"/>
    <x v="0"/>
    <m/>
    <m/>
    <m/>
    <m/>
    <m/>
  </r>
  <r>
    <s v="O001817"/>
    <s v="ALEX EDWIN TOSCANO MAESTRE"/>
    <x v="2"/>
    <s v="Cross/Personas y Arq. Host"/>
    <s v="BBVA"/>
    <e v="#NAME?"/>
    <s v="SDATOOL-37406 $ DECRETO 830 DE 2021 - (PEP)"/>
    <n v="0.15"/>
    <x v="1"/>
    <m/>
    <x v="1"/>
    <x v="0"/>
    <m/>
    <m/>
    <m/>
    <m/>
    <m/>
  </r>
  <r>
    <s v="C811159"/>
    <s v="ALEX FERNEY MARTINEZ SERPA"/>
    <x v="2"/>
    <s v="Cross/Ventas asistidas CAP"/>
    <s v="BBVA"/>
    <e v="#NAME?"/>
    <s v="NOSDA- BAU $ BAU (Mantenimiento y peq. evolutivos)"/>
    <n v="0.2"/>
    <x v="1"/>
    <s v="Soporte Aplicativo "/>
    <x v="1"/>
    <x v="0"/>
    <m/>
    <m/>
    <m/>
    <m/>
    <m/>
  </r>
  <r>
    <s v="C811159"/>
    <s v="ALEX FERNEY MARTINEZ SERPA"/>
    <x v="2"/>
    <s v="Cross/Ventas asistidas CAP"/>
    <s v="BBVA"/>
    <e v="#NAME?"/>
    <s v="SDATOOL-38091 $ Higiénicos Plataforma Digital de Oficinas CAP"/>
    <n v="0.2"/>
    <x v="1"/>
    <m/>
    <x v="1"/>
    <x v="0"/>
    <m/>
    <m/>
    <m/>
    <m/>
    <m/>
  </r>
  <r>
    <s v="C811159"/>
    <s v="ALEX FERNEY MARTINEZ SERPA"/>
    <x v="2"/>
    <s v="Cross/Ventas asistidas CAP"/>
    <s v="BBVA"/>
    <e v="#NAME?"/>
    <s v="SDATOOL-31326 $ Legalización Hipotecario"/>
    <n v="0.5"/>
    <x v="1"/>
    <m/>
    <x v="1"/>
    <x v="0"/>
    <m/>
    <m/>
    <m/>
    <m/>
    <m/>
  </r>
  <r>
    <s v="C811159"/>
    <s v="ALEX FERNEY MARTINEZ SERPA"/>
    <x v="2"/>
    <s v="Cross/Ventas asistidas CAP"/>
    <s v="BBVA"/>
    <e v="#NAME?"/>
    <s v="SDATOOL-39272 $ GRM-Col-Cambio servicio APL (Aportes en línea)"/>
    <n v="0.1"/>
    <x v="1"/>
    <m/>
    <x v="1"/>
    <x v="0"/>
    <m/>
    <m/>
    <m/>
    <m/>
    <m/>
  </r>
  <r>
    <s v="O001638"/>
    <s v="ALEXANDER PLATA USCATEGUI"/>
    <x v="2"/>
    <s v="Accounts"/>
    <s v="BBVA"/>
    <e v="#NAME?"/>
    <s v="SDATOOL-38481 $ Pricing Pasivos (optimización portafolio) - Plan Ascenso Cross Sell"/>
    <n v="1"/>
    <x v="1"/>
    <m/>
    <x v="1"/>
    <x v="0"/>
    <m/>
    <m/>
    <m/>
    <m/>
    <m/>
  </r>
  <r>
    <s v="T008182"/>
    <s v="ALEXANDRA BARBARA QUINDE DIAZ"/>
    <x v="3"/>
    <s v="CRM"/>
    <s v="Neoris"/>
    <e v="#NAME?"/>
    <s v="SDATOOL-40672 $ Plan CRM: Mejoras AUG (Banca Comercial y CSF) Equipo A"/>
    <n v="1"/>
    <x v="1"/>
    <m/>
    <x v="0"/>
    <x v="0"/>
    <m/>
    <m/>
    <m/>
    <m/>
    <m/>
  </r>
  <r>
    <s v="CE43419  "/>
    <s v="Alexandra Forero"/>
    <x v="3"/>
    <s v="Net"/>
    <s v="GGI / CMC"/>
    <e v="#NAME?"/>
    <s v="NOSDA- BAU $ BAU (Mantenimiento y peq. evolutivos)"/>
    <n v="1"/>
    <x v="1"/>
    <m/>
    <x v="0"/>
    <x v="0"/>
    <m/>
    <m/>
    <m/>
    <m/>
    <m/>
  </r>
  <r>
    <s v="CE67183"/>
    <s v="Alexis A Gonzalez Lancheros"/>
    <x v="3"/>
    <s v="Canales asistidos CB"/>
    <s v="Choucair"/>
    <e v="#NAME?"/>
    <s v="SDATOOL-41709 $ Fraccionamiento de transacciones en CBs"/>
    <n v="0.4"/>
    <x v="0"/>
    <m/>
    <x v="0"/>
    <x v="0"/>
    <m/>
    <m/>
    <m/>
    <m/>
    <m/>
  </r>
  <r>
    <s v="CE67183"/>
    <s v="Alexis A Gonzalez Lancheros"/>
    <x v="3"/>
    <s v="Canales asistidos CB"/>
    <s v="Choucair"/>
    <e v="#NAME?"/>
    <s v="SDATOOL-39871 $ Cbs Gelsa Paga todo"/>
    <n v="0.4"/>
    <x v="0"/>
    <m/>
    <x v="0"/>
    <x v="0"/>
    <m/>
    <m/>
    <m/>
    <m/>
    <m/>
  </r>
  <r>
    <s v="CE67183"/>
    <s v="Alexis A Gonzalez Lancheros"/>
    <x v="3"/>
    <s v="Canales asistidos CB"/>
    <s v="Choucair"/>
    <e v="#NAME?"/>
    <s v="SDATOOL-40581 $ Corresponsal Bancario Ya Ganaste"/>
    <n v="0.2"/>
    <x v="0"/>
    <m/>
    <x v="0"/>
    <x v="0"/>
    <m/>
    <m/>
    <m/>
    <m/>
    <m/>
  </r>
  <r>
    <s v="CE66707"/>
    <s v="ALFONSO PUIN DANIEL FELIPE"/>
    <x v="0"/>
    <s v="Netcash"/>
    <s v="GGI / CMC"/>
    <e v="#NAME?"/>
    <s v="SDATOOL-39255 $ OBSOLESCENCIA APLICATIVA 2022"/>
    <n v="1"/>
    <x v="1"/>
    <m/>
    <x v="0"/>
    <x v="0"/>
    <m/>
    <m/>
    <m/>
    <m/>
    <m/>
  </r>
  <r>
    <s v="C802984"/>
    <s v="ALVARADO URUETA AVELINO RAFAEL"/>
    <x v="0"/>
    <s v="Netcash"/>
    <s v="BBVA"/>
    <e v="#NAME?"/>
    <s v="SDATOOL-39255 $ OBSOLESCENCIA APLICATIVA 2022"/>
    <n v="0.25"/>
    <x v="1"/>
    <m/>
    <x v="1"/>
    <x v="0"/>
    <m/>
    <m/>
    <m/>
    <m/>
    <m/>
  </r>
  <r>
    <s v="C802984"/>
    <s v="ALVARADO URUETA AVELINO RAFAEL"/>
    <x v="0"/>
    <s v="Netcash"/>
    <s v="BBVA"/>
    <e v="#NAME?"/>
    <s v="NOSDA- BAU $ BAU (Mantenimiento y peq. evolutivos)"/>
    <n v="0.75"/>
    <x v="1"/>
    <m/>
    <x v="1"/>
    <x v="0"/>
    <m/>
    <m/>
    <m/>
    <m/>
    <m/>
  </r>
  <r>
    <s v="CE71119"/>
    <s v="Alvaro Alvarez"/>
    <x v="3"/>
    <s v="Móvil"/>
    <s v="Accenture"/>
    <e v="#NAME?"/>
    <s v="SDATOOL-9053 $ GloMo Colombia"/>
    <n v="1"/>
    <x v="1"/>
    <m/>
    <x v="0"/>
    <x v="0"/>
    <m/>
    <m/>
    <m/>
    <m/>
    <m/>
  </r>
  <r>
    <s v="CE60804"/>
    <s v="ALVARO IVAN BARRIOS PINEDA"/>
    <x v="1"/>
    <s v="Finanzas"/>
    <s v="Indra"/>
    <e v="#NAME?"/>
    <s v="NOSDA- BAU $ BAU (Mantenimiento y peq. evolutivos)"/>
    <n v="0.5"/>
    <x v="1"/>
    <m/>
    <x v="0"/>
    <x v="0"/>
    <m/>
    <m/>
    <m/>
    <m/>
    <m/>
  </r>
  <r>
    <s v="CE60804"/>
    <s v="ALVARO IVAN BARRIOS PINEDA"/>
    <x v="2"/>
    <s v="Cross/Personas y Arq. Host"/>
    <s v="Indra"/>
    <e v="#NAME?"/>
    <s v="NOSDA- BAU $ BAU (Mantenimiento y peq. evolutivos)"/>
    <n v="1"/>
    <x v="1"/>
    <m/>
    <x v="0"/>
    <x v="0"/>
    <m/>
    <m/>
    <m/>
    <m/>
    <m/>
  </r>
  <r>
    <s v="CE65226"/>
    <s v="AMAYA CAMPOS SANTIAGO"/>
    <x v="0"/>
    <s v="Netcash"/>
    <s v="GGI / CMC"/>
    <e v="#NAME?"/>
    <s v="SDATOOL-39358 $ Crédito Virtual"/>
    <n v="1"/>
    <x v="1"/>
    <m/>
    <x v="0"/>
    <x v="0"/>
    <m/>
    <m/>
    <m/>
    <m/>
    <m/>
  </r>
  <r>
    <s v="O001365"/>
    <s v="AMED ESTEBAN VANEGAS GUZMAN"/>
    <x v="1"/>
    <s v="Riesgos"/>
    <s v="BBVA"/>
    <e v="#NAME?"/>
    <s v="SDATOOL-39463 $ GRM Col - Actualización Versión Power Curve."/>
    <n v="0.4"/>
    <x v="1"/>
    <m/>
    <x v="1"/>
    <x v="0"/>
    <m/>
    <m/>
    <m/>
    <m/>
    <m/>
  </r>
  <r>
    <s v="O001365"/>
    <s v="AMED ESTEBAN VANEGAS GUZMAN"/>
    <x v="1"/>
    <s v="Riesgos"/>
    <s v="BBVA"/>
    <e v="#NAME?"/>
    <s v="SDATOOL-40545 $ GRM Col - Mejoras Evolutivas de Aplicativos y Herramientas de Riesgos 2023"/>
    <n v="0.25"/>
    <x v="1"/>
    <m/>
    <x v="1"/>
    <x v="0"/>
    <m/>
    <m/>
    <m/>
    <m/>
    <m/>
  </r>
  <r>
    <s v="O001365"/>
    <s v="AMED ESTEBAN VANEGAS GUZMAN"/>
    <x v="1"/>
    <s v="Riesgos"/>
    <s v="BBVA"/>
    <e v="#NAME?"/>
    <s v="SDATOOL-39826 $ GRM Col- Plan Ascenso - Mejoras en CAP Pymes y disponibilización HdC"/>
    <n v="0.3"/>
    <x v="1"/>
    <m/>
    <x v="1"/>
    <x v="0"/>
    <m/>
    <m/>
    <m/>
    <m/>
    <m/>
  </r>
  <r>
    <s v="O001365"/>
    <s v="AMED ESTEBAN VANEGAS GUZMAN"/>
    <x v="1"/>
    <s v="Riesgos"/>
    <s v="BBVA"/>
    <e v="#NAME?"/>
    <s v="SDATOOL-41153 $ Cronos - Plan Ascenso - Cap Pymes Transformación circuito admisión"/>
    <n v="0.05"/>
    <x v="1"/>
    <m/>
    <x v="1"/>
    <x v="0"/>
    <m/>
    <m/>
    <m/>
    <m/>
    <m/>
  </r>
  <r>
    <s v="CE70145  "/>
    <s v="Ana Carolina Funes"/>
    <x v="3"/>
    <s v="Net"/>
    <s v="GGI / CMC"/>
    <e v="#NAME?"/>
    <s v="NOSDA- BAU $ BAU (Mantenimiento y peq. evolutivos)"/>
    <n v="1"/>
    <x v="1"/>
    <m/>
    <x v="0"/>
    <x v="0"/>
    <m/>
    <m/>
    <m/>
    <m/>
    <m/>
  </r>
  <r>
    <s v="C782982"/>
    <s v="ANA CONSUELO TRASLAVINA RIVAS"/>
    <x v="4"/>
    <s v="Backoffice"/>
    <s v="BBVA"/>
    <e v="#NAME?"/>
    <s v="SDATOOL-33907 $ Manejo Fiscal Prima o Descuento Renta Fija"/>
    <n v="0.2"/>
    <x v="2"/>
    <m/>
    <x v="1"/>
    <x v="0"/>
    <m/>
    <m/>
    <m/>
    <m/>
    <m/>
  </r>
  <r>
    <s v="C782982"/>
    <s v="ANA CONSUELO TRASLAVINA RIVAS"/>
    <x v="4"/>
    <s v="Backoffice"/>
    <s v="BBVA"/>
    <e v="#NAME?"/>
    <s v="SDATOOL-40529 $ Aplicativos Finanzas - 2023"/>
    <n v="0.25"/>
    <x v="2"/>
    <m/>
    <x v="1"/>
    <x v="0"/>
    <m/>
    <m/>
    <m/>
    <m/>
    <m/>
  </r>
  <r>
    <s v="C782982"/>
    <s v="ANA CONSUELO TRASLAVINA RIVAS"/>
    <x v="4"/>
    <s v="Backoffice"/>
    <s v="BBVA"/>
    <e v="#NAME?"/>
    <s v="SDATOOL-40545 $ GRM Col - Mejoras Evolutivas de Aplicativos y Herramientas de Riesgos 2023"/>
    <n v="0.1"/>
    <x v="2"/>
    <m/>
    <x v="1"/>
    <x v="0"/>
    <m/>
    <m/>
    <m/>
    <m/>
    <m/>
  </r>
  <r>
    <s v="C782982"/>
    <s v="ANA CONSUELO TRASLAVINA RIVAS"/>
    <x v="4"/>
    <s v="Backoffice"/>
    <s v="BBVA"/>
    <e v="#NAME?"/>
    <s v="SDATOOL-35621 $ DOCUMENTO SOPORTE FASE II - DIALOGO"/>
    <n v="0.2"/>
    <x v="2"/>
    <m/>
    <x v="1"/>
    <x v="0"/>
    <m/>
    <m/>
    <m/>
    <m/>
    <m/>
  </r>
  <r>
    <s v="C782982"/>
    <s v="ANA CONSUELO TRASLAVINA RIVAS"/>
    <x v="4"/>
    <s v="Backoffice"/>
    <s v="BBVA"/>
    <e v="#NAME?"/>
    <s v="SDATOOL-38642 $ CUPON INTERMEDIO"/>
    <n v="0.2"/>
    <x v="2"/>
    <m/>
    <x v="1"/>
    <x v="0"/>
    <m/>
    <m/>
    <m/>
    <m/>
    <m/>
  </r>
  <r>
    <s v="C782982"/>
    <s v="ANA CONSUELO TRASLAVINA RIVAS"/>
    <x v="4"/>
    <s v="Backoffice"/>
    <s v="BBVA"/>
    <e v="#NAME?"/>
    <s v="SDATOOL-41308 $ Aplicativos Tesorería 2023"/>
    <n v="0.05"/>
    <x v="2"/>
    <m/>
    <x v="1"/>
    <x v="0"/>
    <m/>
    <m/>
    <m/>
    <m/>
    <m/>
  </r>
  <r>
    <s v="T003920"/>
    <s v="ANA MARIA MORENO"/>
    <x v="4"/>
    <s v="Backoffice"/>
    <s v="SII"/>
    <e v="#NAME?"/>
    <s v="SDATOOL-42061 $ Murex Limit Control Intradía EOD"/>
    <n v="0.5"/>
    <x v="3"/>
    <m/>
    <x v="0"/>
    <x v="0"/>
    <m/>
    <m/>
    <m/>
    <m/>
    <m/>
  </r>
  <r>
    <s v="T003920"/>
    <s v="ANA MARIA MORENO"/>
    <x v="4"/>
    <s v="Backoffice"/>
    <s v="SII"/>
    <e v="#NAME?"/>
    <s v="SDATOOL-42081 $ Evolutivos Migración Murex 3"/>
    <n v="0.5"/>
    <x v="3"/>
    <m/>
    <x v="0"/>
    <x v="0"/>
    <m/>
    <m/>
    <m/>
    <m/>
    <m/>
  </r>
  <r>
    <s v="CE69361"/>
    <s v="Anderson Camilo Aponte Cervera"/>
    <x v="3"/>
    <s v="Net"/>
    <s v="Neoris"/>
    <e v="#NAME?"/>
    <s v="SDATOOL-36558 $ Transfiya:Transferencias interbancarias inmediatas - Plan Ascenso Privado"/>
    <n v="1"/>
    <x v="1"/>
    <m/>
    <x v="0"/>
    <x v="0"/>
    <m/>
    <m/>
    <m/>
    <m/>
    <m/>
  </r>
  <r>
    <s v="CE66576"/>
    <s v="Anderson Fabian Camelo"/>
    <x v="3"/>
    <s v="Móvil"/>
    <s v="GGI / CMC"/>
    <e v="#NAME?"/>
    <s v="SDATOOL-9053 $ GloMo Colombia"/>
    <n v="1"/>
    <x v="0"/>
    <m/>
    <x v="0"/>
    <x v="0"/>
    <m/>
    <m/>
    <m/>
    <m/>
    <m/>
  </r>
  <r>
    <s v="O001850"/>
    <s v="Andersson Salinas"/>
    <x v="3"/>
    <s v="Net"/>
    <s v="BBVA"/>
    <e v="#NAME?"/>
    <s v="SDATOOL-39834 $ Recaudo en Línea Secretaría de Hacienda Distrital - Fase II:  Solución paramétrica de recaudos para la inclusión de 7 formularios tributarios en Canales electrónicos Web y Corresponsal Bancario."/>
    <n v="0.75"/>
    <x v="1"/>
    <m/>
    <x v="1"/>
    <x v="0"/>
    <m/>
    <m/>
    <m/>
    <m/>
    <m/>
  </r>
  <r>
    <s v="O001850"/>
    <s v="Andersson Salinas"/>
    <x v="3"/>
    <s v="Net"/>
    <s v="BBVA"/>
    <e v="#NAME?"/>
    <s v="NOSDA- BAU $ BAU (Mantenimiento y peq. evolutivos)"/>
    <n v="0.25"/>
    <x v="1"/>
    <m/>
    <x v="1"/>
    <x v="0"/>
    <m/>
    <m/>
    <m/>
    <m/>
    <m/>
  </r>
  <r>
    <s v="CE17710"/>
    <s v="ANDREA MARIETA LOPEZ PARRA."/>
    <x v="2"/>
    <s v="Payments"/>
    <s v="Novatec"/>
    <e v="#NAME?"/>
    <s v="NOSDA- BAU $ BAU (Mantenimiento y peq. evolutivos)"/>
    <n v="1"/>
    <x v="1"/>
    <m/>
    <x v="0"/>
    <x v="0"/>
    <m/>
    <m/>
    <m/>
    <m/>
    <m/>
  </r>
  <r>
    <s v="CE64394"/>
    <s v="ANDREI NICOLAS CASTRO MUÑOZ"/>
    <x v="2"/>
    <s v="Loans"/>
    <s v="KRYPTO"/>
    <e v="#NAME?"/>
    <s v="SDATOOL-36560 $ Pricing de libranza - Plan Ascenso Open Market"/>
    <n v="1"/>
    <x v="0"/>
    <m/>
    <x v="0"/>
    <x v="0"/>
    <m/>
    <m/>
    <m/>
    <m/>
    <m/>
  </r>
  <r>
    <s v="O002008"/>
    <s v="ANDRES ALBERTO ARIZA MANTILLA"/>
    <x v="0"/>
    <s v="Gema"/>
    <s v="BBVA"/>
    <e v="#NAME?"/>
    <s v="SDATOOL-39353 $ Redirección Mobile POS"/>
    <n v="0.75"/>
    <x v="1"/>
    <m/>
    <x v="1"/>
    <x v="0"/>
    <m/>
    <m/>
    <m/>
    <m/>
    <m/>
  </r>
  <r>
    <s v="O002008"/>
    <s v="ANDRES ALBERTO ARIZA MANTILLA"/>
    <x v="0"/>
    <s v="Gema"/>
    <s v="BBVA"/>
    <e v="#NAME?"/>
    <s v="SDATOOL-40676 $ Contratación y uso de mPOS desde APPs BBVA"/>
    <n v="0.25"/>
    <x v="1"/>
    <m/>
    <x v="1"/>
    <x v="0"/>
    <m/>
    <m/>
    <m/>
    <m/>
    <m/>
  </r>
  <r>
    <s v="T007663"/>
    <s v="ANDRES ALBERTO SAENZ CORDERO"/>
    <x v="3"/>
    <s v="CRM"/>
    <s v="Neoris"/>
    <e v="#NAME?"/>
    <s v="SDATOOL-40672 $ Plan CRM: Mejoras AUG (Banca Comercial y CSF) Equipo A"/>
    <n v="1"/>
    <x v="1"/>
    <m/>
    <x v="0"/>
    <x v="0"/>
    <m/>
    <m/>
    <m/>
    <m/>
    <m/>
  </r>
  <r>
    <s v="T000410"/>
    <s v="ANDRES ALEJANDRO FAJARDO TORRES"/>
    <x v="2"/>
    <s v="Loans"/>
    <s v="Globant"/>
    <e v="#NAME?"/>
    <s v="SDATOOL-36548 $ Optimización consumo web - Plan ascenso Open Market"/>
    <n v="0.7"/>
    <x v="1"/>
    <m/>
    <x v="0"/>
    <x v="0"/>
    <m/>
    <m/>
    <m/>
    <m/>
    <m/>
  </r>
  <r>
    <s v="T000410"/>
    <s v="ANDRES ALEJANDRO FAJARDO TORRES"/>
    <x v="2"/>
    <s v="Loans"/>
    <s v="Globant"/>
    <e v="#NAME?"/>
    <s v="SDATOOL-39272 $ GRM-Col-Cambio servicio APL (Aportes en línea)"/>
    <n v="0.3"/>
    <x v="1"/>
    <m/>
    <x v="0"/>
    <x v="0"/>
    <m/>
    <m/>
    <m/>
    <m/>
    <m/>
  </r>
  <r>
    <s v="T000410"/>
    <s v="Andrés Alejandro Fajardo Torres"/>
    <x v="3"/>
    <s v="Open Market"/>
    <s v="Globant"/>
    <e v="#NAME?"/>
    <s v="SDATOOL-36548 $ Optimización consumo web - Plan ascenso Open Market"/>
    <n v="1"/>
    <x v="1"/>
    <m/>
    <x v="0"/>
    <x v="0"/>
    <m/>
    <m/>
    <m/>
    <m/>
    <m/>
  </r>
  <r>
    <s v="CE67848"/>
    <s v="ANDRES ALFONSO VARELO SILGADO"/>
    <x v="2"/>
    <s v="Loans"/>
    <s v="Accenture"/>
    <e v="#NAME?"/>
    <s v="SDATOOL-34887 $ Vivienda Digital Open Market"/>
    <n v="0.1"/>
    <x v="1"/>
    <m/>
    <x v="0"/>
    <x v="0"/>
    <m/>
    <m/>
    <m/>
    <m/>
    <m/>
  </r>
  <r>
    <s v="CE67848"/>
    <s v="ANDRES ALFONSO VARELO SILGADO"/>
    <x v="2"/>
    <s v="Loans"/>
    <s v="Accenture"/>
    <e v="#NAME?"/>
    <s v="SDATOOL-39836 $ Vivienda digital fase III"/>
    <n v="0.7"/>
    <x v="1"/>
    <m/>
    <x v="0"/>
    <x v="0"/>
    <m/>
    <m/>
    <m/>
    <m/>
    <m/>
  </r>
  <r>
    <s v="CE67848"/>
    <s v="ANDRES ALFONSO VARELO SILGADO"/>
    <x v="2"/>
    <s v="Loans"/>
    <s v="Accenture"/>
    <e v="#NAME?"/>
    <s v="SDATOOL-39272 $ GRM-Col-Cambio servicio APL (Aportes en línea)"/>
    <n v="0.2"/>
    <x v="1"/>
    <m/>
    <x v="0"/>
    <x v="0"/>
    <m/>
    <m/>
    <m/>
    <m/>
    <m/>
  </r>
  <r>
    <s v="C805717"/>
    <s v="ANDRES CAMILO BOHORQUEZ CASTILLO"/>
    <x v="0"/>
    <s v="Gema"/>
    <s v="BBVA"/>
    <e v="#NAME?"/>
    <s v="SDATOOL-32905 $ Global Enterprises Mobile App (GEMA)"/>
    <n v="1"/>
    <x v="1"/>
    <m/>
    <x v="1"/>
    <x v="0"/>
    <m/>
    <m/>
    <m/>
    <m/>
    <m/>
  </r>
  <r>
    <s v="O001037"/>
    <s v="ANDRES CAMILO PARRA SUAREZ"/>
    <x v="1"/>
    <s v="Riesgos"/>
    <s v="BBVA"/>
    <e v="#NAME?"/>
    <s v="SDATOOL-41457 $ NGA - Colombia. EWS (ARCE)"/>
    <n v="0.05"/>
    <x v="1"/>
    <m/>
    <x v="1"/>
    <x v="0"/>
    <m/>
    <m/>
    <m/>
    <m/>
    <m/>
  </r>
  <r>
    <s v="O001037"/>
    <s v="ANDRES CAMILO PARRA SUAREZ"/>
    <x v="1"/>
    <s v="Riesgos"/>
    <s v="BBVA"/>
    <e v="#NAME?"/>
    <s v="SDATOOL-41452 $ NGA - Colombia. Proactivo Cliente (CRONOS)"/>
    <n v="0.05"/>
    <x v="1"/>
    <m/>
    <x v="1"/>
    <x v="0"/>
    <m/>
    <m/>
    <m/>
    <m/>
    <m/>
  </r>
  <r>
    <s v="O001037"/>
    <s v="ANDRES CAMILO PARRA SUAREZ"/>
    <x v="1"/>
    <s v="Riesgos"/>
    <s v="BBVA"/>
    <e v="#NAME?"/>
    <s v="SDATOOL-41203 $ Obsolescencia Aplicativa 2023"/>
    <n v="0.45"/>
    <x v="1"/>
    <m/>
    <x v="1"/>
    <x v="0"/>
    <m/>
    <m/>
    <m/>
    <m/>
    <m/>
  </r>
  <r>
    <s v="O001037"/>
    <s v="ANDRES CAMILO PARRA SUAREZ"/>
    <x v="1"/>
    <s v="Riesgos"/>
    <s v="BBVA"/>
    <e v="#NAME?"/>
    <s v="SDATOOL-35656 $ Cupos y límites"/>
    <n v="0.45"/>
    <x v="1"/>
    <m/>
    <x v="1"/>
    <x v="0"/>
    <m/>
    <m/>
    <m/>
    <m/>
    <m/>
  </r>
  <r>
    <s v="T003707"/>
    <s v="Andres Camilo Ruiz Bravo"/>
    <x v="1"/>
    <s v="Riesgos"/>
    <s v="Neoris"/>
    <e v="#NAME?"/>
    <s v="SDATOOL-39463 $ GRM Col - Actualización Versión Power Curve."/>
    <n v="0.35"/>
    <x v="1"/>
    <m/>
    <x v="0"/>
    <x v="0"/>
    <m/>
    <m/>
    <m/>
    <m/>
    <m/>
  </r>
  <r>
    <s v="T003707"/>
    <s v="Andres Camilo Ruiz Bravo"/>
    <x v="1"/>
    <s v="Riesgos"/>
    <s v="Neoris"/>
    <e v="#NAME?"/>
    <s v="SDATOOL-40710 $ GRM Col - Cronos - Plan Ascenso - Mejoras CAP Pymes Fase II"/>
    <n v="0.45"/>
    <x v="1"/>
    <m/>
    <x v="0"/>
    <x v="0"/>
    <m/>
    <m/>
    <m/>
    <m/>
    <m/>
  </r>
  <r>
    <s v="T003707"/>
    <s v="Andres Camilo Ruiz Bravo"/>
    <x v="1"/>
    <s v="Riesgos"/>
    <s v="Neoris"/>
    <e v="#NAME?"/>
    <s v="SDATOOL-38443 $ Arce Empresas Colombia"/>
    <n v="0.2"/>
    <x v="1"/>
    <m/>
    <x v="0"/>
    <x v="0"/>
    <m/>
    <m/>
    <m/>
    <m/>
    <m/>
  </r>
  <r>
    <s v="T004480"/>
    <s v="ANDRES DAVID ARIAS"/>
    <x v="2"/>
    <s v="Payments"/>
    <s v="Novatec"/>
    <e v="#NAME?"/>
    <s v="NOSDA- BAU $ BAU (Mantenimiento y peq. evolutivos)"/>
    <n v="1"/>
    <x v="1"/>
    <m/>
    <x v="0"/>
    <x v="0"/>
    <m/>
    <m/>
    <m/>
    <m/>
    <m/>
  </r>
  <r>
    <s v="C808756"/>
    <s v="Andrés Felipe Buitrago"/>
    <x v="1"/>
    <s v="Riesgos"/>
    <s v="BBVA"/>
    <e v="#NAME?"/>
    <s v="SDATOOL-39836 $ Vivienda digital fase III"/>
    <n v="1"/>
    <x v="1"/>
    <m/>
    <x v="1"/>
    <x v="0"/>
    <m/>
    <m/>
    <m/>
    <m/>
    <m/>
  </r>
  <r>
    <s v="C804644"/>
    <s v="ANDRES FELIPE CALDERÓN NOVOA"/>
    <x v="3"/>
    <s v="Canales asistidos CB"/>
    <s v="BBVA"/>
    <e v="#NAME?"/>
    <s v="SDATOOL-40506 $ Disponibilidad de canales físicos en móvil y página blanca"/>
    <n v="0.5"/>
    <x v="1"/>
    <m/>
    <x v="1"/>
    <x v="0"/>
    <m/>
    <m/>
    <m/>
    <m/>
    <m/>
  </r>
  <r>
    <s v="C804644"/>
    <s v="ANDRES FELIPE CALDERÓN NOVOA"/>
    <x v="3"/>
    <s v="Canales asistidos CB"/>
    <s v="BBVA"/>
    <e v="#NAME?"/>
    <s v="SDATOOL-33947 $ Sinergias Bancamia"/>
    <n v="0.5"/>
    <x v="1"/>
    <m/>
    <x v="1"/>
    <x v="0"/>
    <m/>
    <m/>
    <m/>
    <m/>
    <m/>
  </r>
  <r>
    <s v="C803799"/>
    <s v="Andres Felipe Castañeda Sanchez"/>
    <x v="3"/>
    <s v="Móvil"/>
    <s v="BBVA"/>
    <e v="#NAME?"/>
    <s v="NOSDA- BAU $ BAU (Mantenimiento y peq. evolutivos)"/>
    <n v="1"/>
    <x v="1"/>
    <m/>
    <x v="1"/>
    <x v="0"/>
    <m/>
    <m/>
    <m/>
    <m/>
    <m/>
  </r>
  <r>
    <s v="T004062"/>
    <s v="ANDRES FELIPE FANDINO QUECANA"/>
    <x v="2"/>
    <s v="Loans"/>
    <s v="Choucair"/>
    <e v="#NAME?"/>
    <s v="SDATOOL-41752 $ Consumo Openmk con Biometría Obligatoria por Nácar para desembolsar"/>
    <n v="1"/>
    <x v="0"/>
    <m/>
    <x v="0"/>
    <x v="0"/>
    <m/>
    <m/>
    <m/>
    <m/>
    <m/>
  </r>
  <r>
    <s v="T008459"/>
    <s v="ANDRÉS FELIPE FORERO"/>
    <x v="2"/>
    <s v="Loans"/>
    <s v="Neoris"/>
    <e v="#NAME?"/>
    <s v="NOSDA- BAU $ BAU (Mantenimiento y peq. evolutivos)"/>
    <n v="1"/>
    <x v="1"/>
    <m/>
    <x v="0"/>
    <x v="0"/>
    <m/>
    <m/>
    <m/>
    <m/>
    <m/>
  </r>
  <r>
    <s v="O000446"/>
    <s v="ANDRES FELIPE FUENTES GARAY"/>
    <x v="2"/>
    <s v="Loans"/>
    <s v="BBVA"/>
    <e v="#NAME?"/>
    <s v="SDATOOL-40435 $ Cuota Segura créditos de libranza"/>
    <n v="0.25"/>
    <x v="2"/>
    <m/>
    <x v="1"/>
    <x v="0"/>
    <m/>
    <m/>
    <m/>
    <m/>
    <m/>
  </r>
  <r>
    <s v="O000446"/>
    <s v="ANDRES FELIPE FUENTES GARAY"/>
    <x v="2"/>
    <s v="Loans"/>
    <s v="BBVA"/>
    <e v="#NAME?"/>
    <s v="SDATOOL-39358 $ Crédito Virtual"/>
    <n v="0.25"/>
    <x v="2"/>
    <m/>
    <x v="1"/>
    <x v="0"/>
    <m/>
    <m/>
    <m/>
    <m/>
    <m/>
  </r>
  <r>
    <s v="O000446"/>
    <s v="ANDRES FELIPE FUENTES GARAY"/>
    <x v="2"/>
    <s v="Loans"/>
    <s v="BBVA"/>
    <e v="#NAME?"/>
    <s v="SDATOOL-40555 $ ADELANTO DE VENTA EN GEMA"/>
    <n v="0.2"/>
    <x v="2"/>
    <m/>
    <x v="1"/>
    <x v="0"/>
    <m/>
    <m/>
    <m/>
    <m/>
    <m/>
  </r>
  <r>
    <s v="O000446"/>
    <s v="ANDRES FELIPE FUENTES GARAY"/>
    <x v="2"/>
    <s v="Loans"/>
    <s v="BBVA"/>
    <e v="#NAME?"/>
    <s v="SDATOOL-40670 $ Plan CRM: Mejoras DWP Jurídicos (Pymes, Empresas,Gobiernos)"/>
    <n v="0.1"/>
    <x v="2"/>
    <m/>
    <x v="1"/>
    <x v="0"/>
    <m/>
    <m/>
    <m/>
    <m/>
    <m/>
  </r>
  <r>
    <s v="O000446"/>
    <s v="ANDRES FELIPE FUENTES GARAY"/>
    <x v="2"/>
    <s v="Loans"/>
    <s v="BBVA"/>
    <e v="#NAME?"/>
    <s v="SDATOOL-39786 $ Sostenibilidad Colombia Fase 2"/>
    <n v="0.1"/>
    <x v="2"/>
    <m/>
    <x v="1"/>
    <x v="0"/>
    <m/>
    <m/>
    <m/>
    <m/>
    <m/>
  </r>
  <r>
    <s v="O000446"/>
    <s v="ANDRES FELIPE FUENTES GARAY"/>
    <x v="2"/>
    <s v="Loans"/>
    <s v="BBVA"/>
    <e v="#NAME?"/>
    <s v="SDATOOL-35771 $ Pricing enterprises products - Plan Ascenso Autónomos"/>
    <n v="0.1"/>
    <x v="2"/>
    <m/>
    <x v="1"/>
    <x v="0"/>
    <m/>
    <m/>
    <m/>
    <m/>
    <m/>
  </r>
  <r>
    <s v="C811378"/>
    <s v="ANDRES FELIPE GOMEZ"/>
    <x v="2"/>
    <s v="Cross/Gestor documental y SSDD"/>
    <s v="BBVA"/>
    <e v="#NAME?"/>
    <s v="SDATOOL-38742 $ Gestor Documental Retail"/>
    <n v="1"/>
    <x v="1"/>
    <m/>
    <x v="1"/>
    <x v="0"/>
    <m/>
    <m/>
    <m/>
    <m/>
    <m/>
  </r>
  <r>
    <s v="XP66159"/>
    <s v="ANDRES FELIPE GUTIERREZ BAÑOL"/>
    <x v="0"/>
    <s v="Senda"/>
    <s v="Neoris"/>
    <e v="#NAME?"/>
    <s v="SDATOOL-40528 $ ETPB - SENDA PAGOS"/>
    <n v="1"/>
    <x v="1"/>
    <m/>
    <x v="0"/>
    <x v="0"/>
    <m/>
    <m/>
    <m/>
    <m/>
    <m/>
  </r>
  <r>
    <s v="CE60329"/>
    <s v="Andrés Felipe Mora Santana"/>
    <x v="3"/>
    <s v="Canales asistidos Call Center / Gest. remota"/>
    <s v="Novatec"/>
    <e v="#NAME?"/>
    <s v="SDATOOL-39870 $ Front - Unificación de pantallas Contac Center"/>
    <n v="1"/>
    <x v="1"/>
    <m/>
    <x v="0"/>
    <x v="0"/>
    <m/>
    <m/>
    <m/>
    <m/>
    <m/>
  </r>
  <r>
    <s v="C811394"/>
    <s v="Andres Felipe Padilla Rojas"/>
    <x v="1"/>
    <s v="Riesgos"/>
    <s v="BBVA"/>
    <e v="#NAME?"/>
    <s v="NOSDA- BAU $ BAU (Mantenimiento y peq. evolutivos)"/>
    <n v="1"/>
    <x v="1"/>
    <m/>
    <x v="1"/>
    <x v="0"/>
    <m/>
    <m/>
    <m/>
    <m/>
    <m/>
  </r>
  <r>
    <s v="CE67859"/>
    <s v="Andres Felipe Quintero Salazar"/>
    <x v="3"/>
    <s v="Open Market"/>
    <s v="Accenture"/>
    <e v="#NAME?"/>
    <s v="SDATOOL-37055 $ Cash in- PSE - Plan Ascenso Privado"/>
    <n v="0.5"/>
    <x v="1"/>
    <m/>
    <x v="0"/>
    <x v="0"/>
    <m/>
    <m/>
    <m/>
    <m/>
    <m/>
  </r>
  <r>
    <s v="CE67859"/>
    <s v="Andres Felipe Quintero Salazar"/>
    <x v="3"/>
    <s v="Open Market"/>
    <s v="Accenture"/>
    <e v="#NAME?"/>
    <s v="SDATOOL-39348 $ tarjeta de crédito Open Market Fallback product"/>
    <n v="0.5"/>
    <x v="1"/>
    <m/>
    <x v="0"/>
    <x v="0"/>
    <m/>
    <m/>
    <m/>
    <m/>
    <m/>
  </r>
  <r>
    <s v="C342040"/>
    <s v="ANDRES FERMIN PITRE JIMENEZ"/>
    <x v="0"/>
    <s v="Senda"/>
    <s v="BBVA"/>
    <e v="#NAME?"/>
    <s v="SDATOOL-40457 $ SENDA (Base)"/>
    <n v="1"/>
    <x v="2"/>
    <m/>
    <x v="1"/>
    <x v="0"/>
    <m/>
    <m/>
    <m/>
    <m/>
    <m/>
  </r>
  <r>
    <s v="CE66053"/>
    <s v="Andres Francisco Duarte Sanchez"/>
    <x v="1"/>
    <s v="Finanzas"/>
    <s v="GGI / CMC"/>
    <e v="#NAME?"/>
    <s v="SDATOOL-40003 $ Resolución 0124 DIAN 2021 - Créditos Hipotecarios para remodelación de Vivienda"/>
    <n v="1"/>
    <x v="1"/>
    <m/>
    <x v="0"/>
    <x v="0"/>
    <m/>
    <m/>
    <m/>
    <m/>
    <m/>
  </r>
  <r>
    <s v="CE56248"/>
    <s v="Andres Jimenez Molina"/>
    <x v="2"/>
    <s v="Cross/BPM"/>
    <s v="Accenture"/>
    <e v="#NAME?"/>
    <s v="NOSDA- BAU $ BAU (Mantenimiento y peq. evolutivos)"/>
    <n v="0.5"/>
    <x v="0"/>
    <s v="Bonita 7 y Bonita 5 "/>
    <x v="0"/>
    <x v="0"/>
    <m/>
    <m/>
    <m/>
    <m/>
    <m/>
  </r>
  <r>
    <s v="CE56248"/>
    <s v="Andres Jimenez Molina"/>
    <x v="2"/>
    <s v="Cross/BPM"/>
    <s v="Accenture"/>
    <e v="#NAME?"/>
    <s v="SDATOOL-34910 $ Libranza Digital"/>
    <n v="0.2"/>
    <x v="0"/>
    <s v="seguimiento Post-implantación"/>
    <x v="0"/>
    <x v="0"/>
    <m/>
    <m/>
    <m/>
    <m/>
    <m/>
  </r>
  <r>
    <s v="CE56248"/>
    <s v="Andres Jimenez Molina"/>
    <x v="2"/>
    <s v="Cross/BPM"/>
    <s v="Accenture"/>
    <e v="#NAME?"/>
    <s v="SDATOOL-40435 $ Cuota Segura créditos de libranza"/>
    <n v="0.3"/>
    <x v="0"/>
    <s v="seguimiento Post-implantación"/>
    <x v="0"/>
    <x v="0"/>
    <m/>
    <m/>
    <m/>
    <m/>
    <m/>
  </r>
  <r>
    <s v="T005396"/>
    <s v="Andres Leonardo Ramirez Sanchez"/>
    <x v="1"/>
    <s v="Finanzas"/>
    <s v="GGI / CMC"/>
    <e v="#NAME?"/>
    <s v="SDATOOL-40225 $ Resolución 0124 Dian - 2021 - Ajustes para Reporte de Información Exógena año gravable 2022 - Ciclo 1"/>
    <n v="1"/>
    <x v="1"/>
    <m/>
    <x v="0"/>
    <x v="0"/>
    <m/>
    <m/>
    <m/>
    <m/>
    <m/>
  </r>
  <r>
    <s v="C805964"/>
    <s v="ANDRES RODRIGO COMBARIZA"/>
    <x v="2"/>
    <s v="Loans"/>
    <s v="BBVA"/>
    <e v="#NAME?"/>
    <s v="SDATOOL-34910 $ Libranza Digital"/>
    <n v="0.25"/>
    <x v="1"/>
    <m/>
    <x v="1"/>
    <x v="0"/>
    <m/>
    <m/>
    <m/>
    <m/>
    <m/>
  </r>
  <r>
    <s v="C805964"/>
    <s v="ANDRES RODRIGO COMBARIZA"/>
    <x v="2"/>
    <s v="Loans"/>
    <s v="BBVA"/>
    <e v="#NAME?"/>
    <s v="SDATOOL-40670 $ Plan CRM: Mejoras DWP Jurídicos (Pymes, Empresas,Gobiernos)"/>
    <n v="0.75"/>
    <x v="1"/>
    <m/>
    <x v="1"/>
    <x v="0"/>
    <m/>
    <m/>
    <m/>
    <m/>
    <m/>
  </r>
  <r>
    <s v="CE67855"/>
    <s v="ANDREY DAVID NINO GALVIS"/>
    <x v="4"/>
    <s v="Global Market &amp; Comex"/>
    <s v="Accenture"/>
    <e v="#NAME?"/>
    <s v="NOSDA- BAU $ BAU (Mantenimiento y peq. evolutivos)"/>
    <n v="1"/>
    <x v="1"/>
    <m/>
    <x v="0"/>
    <x v="0"/>
    <m/>
    <m/>
    <m/>
    <m/>
    <m/>
  </r>
  <r>
    <s v="O001036_x000a_"/>
    <s v="ANGEL JAVIER BADEL GASCA"/>
    <x v="2"/>
    <s v="Cross/Ventas asistidas CAP"/>
    <s v="BBVA"/>
    <e v="#NAME?"/>
    <s v="SDATOOL-31326 $ Legalización Hipotecario"/>
    <n v="0.75"/>
    <x v="1"/>
    <m/>
    <x v="1"/>
    <x v="0"/>
    <m/>
    <m/>
    <m/>
    <m/>
    <m/>
  </r>
  <r>
    <s v="O001036_x000a_"/>
    <s v="ANGEL JAVIER BADEL GASCA"/>
    <x v="2"/>
    <s v="Cross/Ventas asistidas CAP"/>
    <s v="BBVA"/>
    <e v="#NAME?"/>
    <s v="NOSDA- BAU $ BAU (Mantenimiento y peq. evolutivos)"/>
    <n v="0.25"/>
    <x v="1"/>
    <s v="Soporte Aplicativo "/>
    <x v="1"/>
    <x v="0"/>
    <m/>
    <m/>
    <m/>
    <m/>
    <m/>
  </r>
  <r>
    <s v="CE54191"/>
    <s v="ANGELA ANDREA BARRETO PRIETO"/>
    <x v="2"/>
    <s v="Accounts"/>
    <s v="Novatec"/>
    <e v="#NAME?"/>
    <s v="SDATOOL-39246 $ Nuevo tipo de identificación para extranjeros"/>
    <n v="0.2"/>
    <x v="1"/>
    <s v="Líder Fábrica"/>
    <x v="0"/>
    <x v="0"/>
    <m/>
    <m/>
    <m/>
    <m/>
    <m/>
  </r>
  <r>
    <s v="C811251"/>
    <s v="Angela Liliana Saenz Fajardo"/>
    <x v="1"/>
    <s v="Riesgos"/>
    <s v="BBVA"/>
    <e v="#NAME?"/>
    <s v="NOSDA- BAU $ BAU (Mantenimiento y peq. evolutivos)"/>
    <n v="1"/>
    <x v="1"/>
    <m/>
    <x v="1"/>
    <x v="0"/>
    <m/>
    <m/>
    <m/>
    <m/>
    <m/>
  </r>
  <r>
    <s v="C805316"/>
    <s v="ANGELA MARIA BENITEZ"/>
    <x v="2"/>
    <s v="Payments"/>
    <s v="BBVA"/>
    <e v="#NAME?"/>
    <s v="SDATOOL-37061 $ Plan de Lealtad Comecios -Plan Ascenso Autónomos"/>
    <n v="1"/>
    <x v="1"/>
    <m/>
    <x v="1"/>
    <x v="0"/>
    <m/>
    <m/>
    <m/>
    <m/>
    <m/>
  </r>
  <r>
    <s v="C810765"/>
    <s v="Angela Maria Diaz"/>
    <x v="1"/>
    <s v="Riesgos"/>
    <s v="BBVA"/>
    <e v="#NAME?"/>
    <s v="NOSDA- BAU $ BAU (Mantenimiento y peq. evolutivos)"/>
    <n v="0.5"/>
    <x v="0"/>
    <s v="Nuestra QC tranversal todo pasa por ella"/>
    <x v="1"/>
    <x v="0"/>
    <m/>
    <m/>
    <m/>
    <m/>
    <m/>
  </r>
  <r>
    <s v="C797767"/>
    <s v="ANGELA RIVERA"/>
    <x v="2"/>
    <s v="Loans"/>
    <s v="BBVA"/>
    <e v="#NAME?"/>
    <s v="SDATOOL-39384 $ Abonos a préstamos por canales"/>
    <n v="0.5"/>
    <x v="1"/>
    <m/>
    <x v="1"/>
    <x v="0"/>
    <m/>
    <m/>
    <m/>
    <m/>
    <m/>
  </r>
  <r>
    <s v="C797767"/>
    <s v="ANGELA RIVERA"/>
    <x v="2"/>
    <s v="Loans"/>
    <s v="BBVA"/>
    <e v="#NAME?"/>
    <s v="SDATOOL-28278 $ GRM Col - TMP Cobranzas - Pago en Canales Alternos"/>
    <n v="0.25"/>
    <x v="1"/>
    <m/>
    <x v="1"/>
    <x v="0"/>
    <m/>
    <m/>
    <m/>
    <m/>
    <m/>
  </r>
  <r>
    <s v="C797767"/>
    <s v="ANGELA RIVERA"/>
    <x v="2"/>
    <s v="Loans"/>
    <s v="BBVA"/>
    <e v="#NAME?"/>
    <s v="SDATOOL-37136 $ Conexión simulador vía API Vehículo digital"/>
    <n v="0.25"/>
    <x v="1"/>
    <m/>
    <x v="1"/>
    <x v="0"/>
    <m/>
    <m/>
    <m/>
    <m/>
    <m/>
  </r>
  <r>
    <s v="T005152"/>
    <s v="ANGELICA MARINA CASTILLA RENDON"/>
    <x v="0"/>
    <s v="Soluciones financieras (Factoring)"/>
    <s v="Inetum"/>
    <e v="#NAME?"/>
    <s v="SDATOOL-36547 $ PLAN MAYOR -PLAN MENOR. Plan ascenso Open Market"/>
    <n v="0.75"/>
    <x v="0"/>
    <m/>
    <x v="0"/>
    <x v="0"/>
    <m/>
    <m/>
    <m/>
    <m/>
    <m/>
  </r>
  <r>
    <s v="T005152"/>
    <s v="ANGELICA MARINA CASTILLA RENDON"/>
    <x v="0"/>
    <s v="Soluciones financieras (Factoring)"/>
    <s v="Inetum"/>
    <e v="#NAME?"/>
    <s v="SDATOOL-40438 $ CIRCULAR 032 del 2021 - REQUERIMIENTO FISCALIA GENERAL DE LA NACION"/>
    <n v="0.25"/>
    <x v="0"/>
    <m/>
    <x v="0"/>
    <x v="0"/>
    <m/>
    <m/>
    <m/>
    <m/>
    <m/>
  </r>
  <r>
    <s v="CE68432"/>
    <s v="ANGELY JOHANA GONZALEZ VILLAMIL"/>
    <x v="0"/>
    <s v="Soluciones financieras (Factoring)"/>
    <s v="Choucair"/>
    <e v="#NAME?"/>
    <s v="SDATOOL-37125 $ Factoring - IBR"/>
    <n v="1"/>
    <x v="0"/>
    <m/>
    <x v="0"/>
    <x v="0"/>
    <m/>
    <m/>
    <m/>
    <m/>
    <m/>
  </r>
  <r>
    <s v="CE66798"/>
    <s v="Angie Carolina Morales"/>
    <x v="1"/>
    <s v="T&amp;C"/>
    <s v="Choucair"/>
    <e v="#NAME?"/>
    <s v="SDATOOL-33847 $ Resolución 0042 DIAN Documento Soporte"/>
    <n v="1"/>
    <x v="0"/>
    <m/>
    <x v="0"/>
    <x v="0"/>
    <m/>
    <m/>
    <m/>
    <m/>
    <m/>
  </r>
  <r>
    <s v="CE70412"/>
    <s v="Angie Chiguasuque"/>
    <x v="3"/>
    <s v="Open Market"/>
    <s v="Choucair"/>
    <e v="#NAME?"/>
    <s v="SDATOOL-38419 $ Contratación cuenta en línea en Glomo"/>
    <n v="1"/>
    <x v="0"/>
    <m/>
    <x v="0"/>
    <x v="0"/>
    <m/>
    <m/>
    <m/>
    <m/>
    <m/>
  </r>
  <r>
    <s v="T002859"/>
    <s v="ANGIE DANIELA PERDOMO RAMIREZ (QA)"/>
    <x v="0"/>
    <s v="Transaccionalidad"/>
    <s v="Inetum"/>
    <e v="#NAME?"/>
    <s v="SDATOOL-37130 $ Pago y domiciliación de recaudo"/>
    <n v="1"/>
    <x v="0"/>
    <m/>
    <x v="0"/>
    <x v="0"/>
    <m/>
    <m/>
    <m/>
    <m/>
    <m/>
  </r>
  <r>
    <s v="C804832"/>
    <s v="ANTONY SUICA CUARTAS"/>
    <x v="3"/>
    <s v="Canales asistidos ATM"/>
    <s v="BBVA"/>
    <e v="#NAME?"/>
    <s v="SDATOOL-9053 $ GloMo Colombia"/>
    <n v="0.2"/>
    <x v="1"/>
    <m/>
    <x v="1"/>
    <x v="0"/>
    <m/>
    <m/>
    <m/>
    <m/>
    <m/>
  </r>
  <r>
    <s v="C804832"/>
    <s v="ANTONY SUICA CUARTAS"/>
    <x v="3"/>
    <s v="Canales asistidos ATM"/>
    <s v="BBVA"/>
    <e v="#NAME?"/>
    <s v="SDATOOL-9053 $ GloMo Colombia"/>
    <n v="0.2"/>
    <x v="1"/>
    <m/>
    <x v="1"/>
    <x v="0"/>
    <m/>
    <m/>
    <m/>
    <m/>
    <m/>
  </r>
  <r>
    <s v="C804832"/>
    <s v="ANTONY SUICA CUARTAS"/>
    <x v="3"/>
    <s v="Canales asistidos ATM"/>
    <s v="BBVA"/>
    <e v="#NAME?"/>
    <s v="SDATOOL-36903 $ ATM's recicladores: Homologación y funcionalidad EtapaII"/>
    <n v="0.2"/>
    <x v="1"/>
    <m/>
    <x v="1"/>
    <x v="0"/>
    <m/>
    <m/>
    <m/>
    <m/>
    <m/>
  </r>
  <r>
    <s v="C804832"/>
    <s v="ANTONY SUICA CUARTAS"/>
    <x v="3"/>
    <s v="Canales asistidos ATM"/>
    <s v="BBVA"/>
    <e v="#NAME?"/>
    <s v="NOSDA- BAU $ BAU (Mantenimiento y peq. evolutivos)"/>
    <n v="0.2"/>
    <x v="1"/>
    <m/>
    <x v="1"/>
    <x v="0"/>
    <m/>
    <m/>
    <m/>
    <m/>
    <m/>
  </r>
  <r>
    <s v="C804832"/>
    <s v="ANTONY SUICA CUARTAS"/>
    <x v="3"/>
    <s v="Canales asistidos ATM"/>
    <s v="BBVA"/>
    <e v="#NAME?"/>
    <s v="NOSDA- BAU $ BAU (Mantenimiento y peq. evolutivos)"/>
    <n v="0.2"/>
    <x v="1"/>
    <m/>
    <x v="1"/>
    <x v="0"/>
    <m/>
    <m/>
    <m/>
    <m/>
    <m/>
  </r>
  <r>
    <s v="CE68936"/>
    <s v="ANYIE VIVIANA GALINDO"/>
    <x v="2"/>
    <s v="Accounts"/>
    <s v="SII"/>
    <e v="#NAME?"/>
    <s v="NOSDA- BAU $ BAU (Mantenimiento y peq. evolutivos)"/>
    <n v="1"/>
    <x v="1"/>
    <s v="Semillero"/>
    <x v="0"/>
    <x v="0"/>
    <m/>
    <m/>
    <m/>
    <m/>
    <m/>
  </r>
  <r>
    <s v="CE65938"/>
    <s v="AREVALO MORENO DEINA ALEJANDRA"/>
    <x v="0"/>
    <s v="Netcash"/>
    <s v="GGI / CMC"/>
    <e v="#NAME?"/>
    <s v="SDATOOL-37169 $ EGS: Salto país y softoken"/>
    <n v="1"/>
    <x v="1"/>
    <m/>
    <x v="0"/>
    <x v="0"/>
    <m/>
    <m/>
    <m/>
    <m/>
    <m/>
  </r>
  <r>
    <s v="C808359"/>
    <s v="Arlem Chinchia"/>
    <x v="3"/>
    <s v="Net"/>
    <s v="BBVA"/>
    <e v="#NAME?"/>
    <s v="NOSDA- BAU $ BAU (Mantenimiento y peq. evolutivos)"/>
    <n v="1"/>
    <x v="1"/>
    <m/>
    <x v="1"/>
    <x v="0"/>
    <m/>
    <m/>
    <m/>
    <m/>
    <m/>
  </r>
  <r>
    <s v="O003229"/>
    <s v="ARMANDO RAFAEL VASQUEZ ALTAMAR"/>
    <x v="1"/>
    <s v="T&amp;C"/>
    <s v="BBVA"/>
    <e v="#NAME?"/>
    <s v="SDATOOL-38487 $ Mensualización Prima"/>
    <n v="0.1"/>
    <x v="2"/>
    <m/>
    <x v="1"/>
    <x v="0"/>
    <m/>
    <m/>
    <m/>
    <m/>
    <m/>
  </r>
  <r>
    <s v="O003229"/>
    <s v="ARMANDO RAFAEL VASQUEZ ALTAMAR"/>
    <x v="1"/>
    <s v="T&amp;C"/>
    <s v="BBVA"/>
    <e v="#NAME?"/>
    <s v="SDATOOL-40546 $ Mejoras Experiencia de Usuario TBM"/>
    <n v="0.2"/>
    <x v="2"/>
    <m/>
    <x v="1"/>
    <x v="0"/>
    <m/>
    <m/>
    <m/>
    <m/>
    <m/>
  </r>
  <r>
    <s v="O003229"/>
    <s v="ARMANDO RAFAEL VASQUEZ ALTAMAR"/>
    <x v="1"/>
    <s v="T&amp;C"/>
    <s v="BBVA"/>
    <e v="#NAME?"/>
    <s v="SDATOOL-33847 $ Resolución 0042 DIAN Documento Soporte"/>
    <n v="0.15"/>
    <x v="2"/>
    <m/>
    <x v="1"/>
    <x v="0"/>
    <m/>
    <m/>
    <m/>
    <m/>
    <m/>
  </r>
  <r>
    <s v="O003229"/>
    <s v="ARMANDO RAFAEL VASQUEZ ALTAMAR"/>
    <x v="1"/>
    <s v="T&amp;C"/>
    <s v="BBVA"/>
    <e v="#NAME?"/>
    <s v="SDATOOL-28728 $ Contratación electrónica/digital de empleados y Carpeta Virtual 2.0"/>
    <n v="0.3"/>
    <x v="2"/>
    <m/>
    <x v="1"/>
    <x v="0"/>
    <m/>
    <m/>
    <m/>
    <m/>
    <m/>
  </r>
  <r>
    <s v="O003230"/>
    <s v="ARMANDO RAFAEL VASQUEZ ALTAMAR"/>
    <x v="1"/>
    <s v="T&amp;C"/>
    <s v="BBVA"/>
    <e v="#NAME?"/>
    <s v="SDATOOL-40706 $ Validaciones en Captura de Terceros Aplicativo TBM"/>
    <n v="0.1"/>
    <x v="2"/>
    <m/>
    <x v="1"/>
    <x v="0"/>
    <m/>
    <m/>
    <m/>
    <m/>
    <m/>
  </r>
  <r>
    <s v="O003231"/>
    <s v="ARMANDO RAFAEL VASQUEZ ALTAMAR"/>
    <x v="1"/>
    <s v="T&amp;C"/>
    <s v="BBVA"/>
    <e v="#NAME?"/>
    <s v="SDATOOL-35775 $ (Work Day)  Nueva Plataforma Core Colombia- Impacto en Terceros"/>
    <n v="0.05"/>
    <x v="2"/>
    <m/>
    <x v="1"/>
    <x v="0"/>
    <m/>
    <m/>
    <m/>
    <m/>
    <m/>
  </r>
  <r>
    <s v="O003232"/>
    <s v="ARMANDO RAFAEL VASQUEZ ALTAMAR"/>
    <x v="1"/>
    <s v="T&amp;C"/>
    <s v="BBVA"/>
    <e v="#NAME?"/>
    <s v="SDATOOL-40406 $ Plan Mejora recobro de incapacidades"/>
    <n v="0.05"/>
    <x v="2"/>
    <m/>
    <x v="1"/>
    <x v="0"/>
    <m/>
    <m/>
    <m/>
    <m/>
    <m/>
  </r>
  <r>
    <s v="O003233"/>
    <s v="ARMANDO RAFAEL VASQUEZ ALTAMAR"/>
    <x v="1"/>
    <s v="T&amp;C"/>
    <s v="BBVA"/>
    <e v="#NAME?"/>
    <s v="SDATOOL-38487 $ Mensualización Prima"/>
    <n v="0.05"/>
    <x v="2"/>
    <m/>
    <x v="1"/>
    <x v="0"/>
    <m/>
    <m/>
    <m/>
    <m/>
    <m/>
  </r>
  <r>
    <s v="C810865"/>
    <s v="AUGUSTO CARDONA GIRALDO"/>
    <x v="0"/>
    <s v="Gema"/>
    <s v="BBVA"/>
    <e v="#NAME?"/>
    <s v="SDATOOL-32905 $ Global Enterprises Mobile App (GEMA)"/>
    <n v="1"/>
    <x v="1"/>
    <m/>
    <x v="1"/>
    <x v="0"/>
    <m/>
    <m/>
    <m/>
    <m/>
    <m/>
  </r>
  <r>
    <s v="CE46833"/>
    <s v="AYALA LUIS ALFONSO"/>
    <x v="0"/>
    <s v="Netcash"/>
    <s v="BBVA"/>
    <e v="#NAME?"/>
    <s v="SDATOOL-40482 $ Incluir tasa ponderada en Adquirencia Onboarding digital - Netcash"/>
    <n v="1"/>
    <x v="1"/>
    <m/>
    <x v="1"/>
    <x v="0"/>
    <m/>
    <m/>
    <m/>
    <m/>
    <m/>
  </r>
  <r>
    <s v="T003697"/>
    <s v="BALLEN GAMBOA CRISTIAN"/>
    <x v="0"/>
    <s v="Netcash"/>
    <s v="GGI / CMC"/>
    <e v="#NAME?"/>
    <s v="SDATOOL-39358 $ Crédito Virtual"/>
    <n v="1"/>
    <x v="1"/>
    <m/>
    <x v="0"/>
    <x v="0"/>
    <m/>
    <m/>
    <m/>
    <m/>
    <m/>
  </r>
  <r>
    <s v="C804706"/>
    <s v="Bautista Molina Lina Marcela"/>
    <x v="1"/>
    <s v="Riesgos"/>
    <s v="BBVA"/>
    <e v="#NAME?"/>
    <s v="SDATOOL-40545 $ GRM Col - Mejoras Evolutivas de Aplicativos y Herramientas de Riesgos 2023"/>
    <n v="1"/>
    <x v="1"/>
    <s v="Endeudamiento paralelo"/>
    <x v="1"/>
    <x v="0"/>
    <m/>
    <m/>
    <m/>
    <m/>
    <m/>
  </r>
  <r>
    <s v="CE69113"/>
    <s v="BAYRON JEAN PIERRE ARRIAGADA BECERRA"/>
    <x v="0"/>
    <s v="Soluciones financieras (Factoring)"/>
    <s v="DIMENSION"/>
    <e v="#NAME?"/>
    <s v="NOSDA- BAU $ BAU (Mantenimiento y peq. evolutivos)"/>
    <n v="1"/>
    <x v="1"/>
    <m/>
    <x v="0"/>
    <x v="0"/>
    <m/>
    <m/>
    <m/>
    <m/>
    <m/>
  </r>
  <r>
    <s v="C811408"/>
    <s v="BENITEZ ATENCIA JAIME RAFAEL"/>
    <x v="0"/>
    <s v="Netcash"/>
    <s v="BBVA"/>
    <e v="#NAME?"/>
    <s v="SDATOOL-40555 $ ADELANTO DE VENTA EN GEMA"/>
    <n v="0.75"/>
    <x v="1"/>
    <m/>
    <x v="1"/>
    <x v="0"/>
    <m/>
    <m/>
    <m/>
    <m/>
    <m/>
  </r>
  <r>
    <s v="C811408"/>
    <s v="BENITEZ ATENCIA JAIME RAFAEL"/>
    <x v="0"/>
    <s v="Netcash"/>
    <s v="BBVA"/>
    <e v="#NAME?"/>
    <s v="SDATOOL-37130 $ Pago y domiciliación de recaudo"/>
    <n v="0.25"/>
    <x v="1"/>
    <m/>
    <x v="1"/>
    <x v="0"/>
    <m/>
    <m/>
    <m/>
    <m/>
    <m/>
  </r>
  <r>
    <s v="C811297"/>
    <s v="BETZY PAOLA JARAMILLO LASTRA"/>
    <x v="0"/>
    <s v="Transaccionalidad"/>
    <s v="BBVA"/>
    <e v="#NAME?"/>
    <s v="SDATOOL-35327 $ Impuestos 2021"/>
    <n v="0.5"/>
    <x v="2"/>
    <m/>
    <x v="1"/>
    <x v="0"/>
    <m/>
    <m/>
    <m/>
    <m/>
    <m/>
  </r>
  <r>
    <s v="C811297"/>
    <s v="BETZY PAOLA JARAMILLO LASTRA"/>
    <x v="0"/>
    <s v="Transaccionalidad"/>
    <s v="BBVA"/>
    <e v="#NAME?"/>
    <s v="SDATOOL-37425 $ Recaudo DIAN Tarjetas de Crédito Propio Banco través del Botón de pagos PSE para los canales Banca Personas y Banca de Empresas"/>
    <n v="0.25"/>
    <x v="2"/>
    <m/>
    <x v="1"/>
    <x v="0"/>
    <m/>
    <m/>
    <m/>
    <m/>
    <m/>
  </r>
  <r>
    <s v="C811297"/>
    <s v="BETZY PAOLA JARAMILLO LASTRA"/>
    <x v="0"/>
    <s v="Transaccionalidad"/>
    <s v="BBVA"/>
    <e v="#NAME?"/>
    <s v="SDATOOL-33408 $ Biocatch"/>
    <n v="0.25"/>
    <x v="2"/>
    <m/>
    <x v="1"/>
    <x v="0"/>
    <m/>
    <m/>
    <m/>
    <m/>
    <m/>
  </r>
  <r>
    <s v="CE70621"/>
    <s v="BRANDON AVILA"/>
    <x v="2"/>
    <s v="Loans"/>
    <s v="Inetum"/>
    <e v="#NAME?"/>
    <s v="NOSDA- BAU $ BAU (Mantenimiento y peq. evolutivos)"/>
    <n v="1"/>
    <x v="0"/>
    <m/>
    <x v="0"/>
    <x v="0"/>
    <m/>
    <m/>
    <m/>
    <m/>
    <m/>
  </r>
  <r>
    <s v="CE69709"/>
    <s v="BRAYAN CAMILO VALCARCEL RIANO"/>
    <x v="2"/>
    <s v="Loans"/>
    <s v="Choucair"/>
    <e v="#NAME?"/>
    <s v="SDATOOL-36548 $ Optimización consumo web - Plan ascenso Open Market"/>
    <n v="0.5"/>
    <x v="0"/>
    <m/>
    <x v="0"/>
    <x v="0"/>
    <m/>
    <m/>
    <m/>
    <m/>
    <m/>
  </r>
  <r>
    <s v="CE69709"/>
    <s v="BRAYAN CAMILO VALCARCEL RIANO"/>
    <x v="2"/>
    <s v="Loans"/>
    <s v="Choucair"/>
    <e v="#NAME?"/>
    <s v="SDATOOL-39272 $ GRM-Col-Cambio servicio APL (Aportes en línea)"/>
    <n v="0.5"/>
    <x v="0"/>
    <m/>
    <x v="0"/>
    <x v="0"/>
    <m/>
    <m/>
    <m/>
    <m/>
    <m/>
  </r>
  <r>
    <s v="C810899"/>
    <s v="BRAYAN JOSE VIVAS GOMEZ"/>
    <x v="0"/>
    <s v="Soluciones financieras (Factoring)"/>
    <s v="BBVA"/>
    <e v="#NAME?"/>
    <s v="NOSDA- BAU $ BAU (Mantenimiento y peq. evolutivos)"/>
    <n v="1"/>
    <x v="2"/>
    <m/>
    <x v="1"/>
    <x v="0"/>
    <m/>
    <m/>
    <m/>
    <m/>
    <m/>
  </r>
  <r>
    <s v="C805933"/>
    <s v="Brayan Peña"/>
    <x v="3"/>
    <s v="Móvil"/>
    <s v="BBVA"/>
    <e v="#NAME?"/>
    <s v="NOSDA- BAU $ BAU (Mantenimiento y peq. evolutivos)"/>
    <n v="1"/>
    <x v="1"/>
    <m/>
    <x v="1"/>
    <x v="0"/>
    <m/>
    <m/>
    <m/>
    <m/>
    <m/>
  </r>
  <r>
    <s v="T007493"/>
    <s v="BRIAN LEONARDO PEREZ RUBIANO"/>
    <x v="4"/>
    <s v="Global Market &amp; Comex"/>
    <s v="GGI / CMC"/>
    <e v="#NAME?"/>
    <s v="NOSDA- BAU $ BAU (Mantenimiento y peq. evolutivos)"/>
    <n v="1"/>
    <x v="0"/>
    <m/>
    <x v="0"/>
    <x v="0"/>
    <m/>
    <m/>
    <m/>
    <m/>
    <m/>
  </r>
  <r>
    <s v="O002934"/>
    <s v="BRIAN MAURICIO TEJEDOR VARGAS"/>
    <x v="3"/>
    <s v="Canales asistidos RPA"/>
    <s v="BBVA"/>
    <e v="#NAME?"/>
    <s v="NOSDA- BAU $ BAU (Mantenimiento y peq. evolutivos)"/>
    <n v="0.4"/>
    <x v="1"/>
    <m/>
    <x v="1"/>
    <x v="0"/>
    <m/>
    <m/>
    <m/>
    <m/>
    <m/>
  </r>
  <r>
    <s v="O002934"/>
    <s v="BRIAN MAURICIO TEJEDOR VARGAS"/>
    <x v="3"/>
    <s v="Canales asistidos RPA"/>
    <s v="BBVA"/>
    <e v="#NAME?"/>
    <s v="SDATOOL-40529 $ Aplicativos Finanzas - 2023"/>
    <n v="0.4"/>
    <x v="1"/>
    <m/>
    <x v="1"/>
    <x v="0"/>
    <m/>
    <m/>
    <m/>
    <m/>
    <m/>
  </r>
  <r>
    <s v="O002934"/>
    <s v="BRIAN MAURICIO TEJEDOR VARGAS"/>
    <x v="3"/>
    <s v="Canales asistidos RPA"/>
    <s v="BBVA"/>
    <e v="#NAME?"/>
    <s v="NOSDA- BAU $ BAU (Mantenimiento y peq. evolutivos)"/>
    <n v="0.2"/>
    <x v="1"/>
    <m/>
    <x v="1"/>
    <x v="0"/>
    <m/>
    <m/>
    <m/>
    <m/>
    <m/>
  </r>
  <r>
    <s v="CE51863"/>
    <s v="EDNA ROCIO MONCADA"/>
    <x v="3"/>
    <s v="Canales asistidos ATM"/>
    <s v="KRYPTO"/>
    <e v="#NAME?"/>
    <s v="NOSDA- BAU $ BAU (Mantenimiento y peq. evolutivos)"/>
    <n v="0.02"/>
    <x v="0"/>
    <m/>
    <x v="0"/>
    <x v="0"/>
    <m/>
    <m/>
    <m/>
    <m/>
    <m/>
  </r>
  <r>
    <s v="CE51863"/>
    <s v="EDNA ROCIO MONCADA"/>
    <x v="3"/>
    <s v="Canales asistidos CB"/>
    <s v="KRYPTO"/>
    <e v="#NAME?"/>
    <s v="NOSDA- BAU $ BAU (Mantenimiento y peq. evolutivos)"/>
    <n v="0.02"/>
    <x v="0"/>
    <m/>
    <x v="0"/>
    <x v="0"/>
    <m/>
    <m/>
    <m/>
    <m/>
    <m/>
  </r>
  <r>
    <s v="CE51863"/>
    <s v="EDNA ROCIO MONCADA"/>
    <x v="3"/>
    <s v="Canales asistidos RPA"/>
    <s v="KRYPTO"/>
    <e v="#NAME?"/>
    <s v="NOSDA- BAU $ BAU (Mantenimiento y peq. evolutivos)"/>
    <n v="0.02"/>
    <x v="0"/>
    <m/>
    <x v="0"/>
    <x v="0"/>
    <m/>
    <m/>
    <m/>
    <m/>
    <m/>
  </r>
  <r>
    <s v="CE51863"/>
    <s v="EDNA ROCIO MONCADA"/>
    <x v="3"/>
    <s v="Canales asistidos Call Center / Gest. remota"/>
    <s v="KRYPTO"/>
    <e v="#NAME?"/>
    <s v="NOSDA- BAU $ BAU (Mantenimiento y peq. evolutivos)"/>
    <n v="0.02"/>
    <x v="0"/>
    <m/>
    <x v="0"/>
    <x v="0"/>
    <m/>
    <m/>
    <m/>
    <m/>
    <m/>
  </r>
  <r>
    <s v="CE51863"/>
    <s v="EDNA ROCIO MONCADA"/>
    <x v="3"/>
    <s v="Net"/>
    <s v="KRYPTO"/>
    <e v="#NAME?"/>
    <s v="NOSDA- BAU $ BAU (Mantenimiento y peq. evolutivos)"/>
    <n v="0.02"/>
    <x v="0"/>
    <m/>
    <x v="0"/>
    <x v="0"/>
    <m/>
    <m/>
    <m/>
    <m/>
    <m/>
  </r>
  <r>
    <s v="CE51863"/>
    <s v="EDNA ROCIO MONCADA"/>
    <x v="3"/>
    <s v="Oficina"/>
    <s v="KRYPTO"/>
    <e v="#NAME?"/>
    <s v="NOSDA- BAU $ BAU (Mantenimiento y peq. evolutivos)"/>
    <n v="0.02"/>
    <x v="0"/>
    <m/>
    <x v="0"/>
    <x v="0"/>
    <m/>
    <m/>
    <m/>
    <m/>
    <m/>
  </r>
  <r>
    <s v="CE51863"/>
    <s v="EDNA ROCIO MONCADA"/>
    <x v="3"/>
    <s v="Open Market"/>
    <s v="KRYPTO"/>
    <e v="#NAME?"/>
    <s v="NOSDA- BAU $ BAU (Mantenimiento y peq. evolutivos)"/>
    <n v="0.02"/>
    <x v="0"/>
    <m/>
    <x v="0"/>
    <x v="0"/>
    <m/>
    <m/>
    <m/>
    <m/>
    <m/>
  </r>
  <r>
    <s v="CE51863"/>
    <s v="EDNA ROCIO MONCADA"/>
    <x v="3"/>
    <s v="CRM"/>
    <s v="KRYPTO"/>
    <e v="#NAME?"/>
    <s v="NOSDA- BAU $ BAU (Mantenimiento y peq. evolutivos)"/>
    <n v="0.02"/>
    <x v="0"/>
    <m/>
    <x v="0"/>
    <x v="0"/>
    <m/>
    <m/>
    <m/>
    <m/>
    <m/>
  </r>
  <r>
    <s v="CE51863"/>
    <s v="EDNA ROCIO MONCADA"/>
    <x v="3"/>
    <s v="Canales asistidos ATM"/>
    <s v="KRYPTO"/>
    <e v="#NAME?"/>
    <s v="SDATOOL-32991 $ Comisión de Acceso a ATM's"/>
    <n v="0.02"/>
    <x v="0"/>
    <m/>
    <x v="0"/>
    <x v="0"/>
    <m/>
    <m/>
    <m/>
    <m/>
    <m/>
  </r>
  <r>
    <s v="CE51863"/>
    <s v="EDNA ROCIO MONCADA"/>
    <x v="3"/>
    <s v="Canales asistidos ATM"/>
    <s v="KRYPTO"/>
    <e v="#NAME?"/>
    <s v="SDATOOL-36903 $ ATM's recicladores: Homologación y funcionalidad EtapaII"/>
    <n v="0.02"/>
    <x v="0"/>
    <m/>
    <x v="0"/>
    <x v="0"/>
    <m/>
    <m/>
    <m/>
    <m/>
    <m/>
  </r>
  <r>
    <s v="CE51863"/>
    <s v="EDNA ROCIO MONCADA"/>
    <x v="3"/>
    <s v="Canales asistidos ATM"/>
    <s v="KRYPTO"/>
    <e v="#NAME?"/>
    <s v="SDATOOL-40515 $ Acción de auditoria de Cobro de Comisiones"/>
    <n v="0.02"/>
    <x v="0"/>
    <m/>
    <x v="0"/>
    <x v="0"/>
    <m/>
    <m/>
    <m/>
    <m/>
    <m/>
  </r>
  <r>
    <s v="CE51863"/>
    <s v="EDNA ROCIO MONCADA"/>
    <x v="3"/>
    <s v="Open Market"/>
    <s v="KRYPTO"/>
    <e v="#NAME?"/>
    <s v="SDATOOL-39197 $ Tealeaf SaaS"/>
    <n v="0.02"/>
    <x v="0"/>
    <m/>
    <x v="0"/>
    <x v="0"/>
    <m/>
    <m/>
    <m/>
    <m/>
    <m/>
  </r>
  <r>
    <s v="CE51863"/>
    <s v="EDNA ROCIO MONCADA"/>
    <x v="3"/>
    <s v="Canales asistidos Call Center / Gest. remota"/>
    <s v="KRYPTO"/>
    <e v="#NAME?"/>
    <s v="SDATOOL-37100 $ Soluciones de voz/Internalización del IVR - Plan Ascenso Privado"/>
    <n v="0.02"/>
    <x v="0"/>
    <m/>
    <x v="0"/>
    <x v="0"/>
    <m/>
    <m/>
    <m/>
    <m/>
    <m/>
  </r>
  <r>
    <s v="CE51863"/>
    <s v="EDNA ROCIO MONCADA"/>
    <x v="3"/>
    <s v="Canales asistidos Call Center / Gest. remota"/>
    <s v="KRYPTO"/>
    <e v="#NAME?"/>
    <s v="SDATOOL-39870 $ Front - Unificación de pantallas Contac Center"/>
    <n v="0.02"/>
    <x v="0"/>
    <m/>
    <x v="0"/>
    <x v="0"/>
    <m/>
    <m/>
    <m/>
    <m/>
    <m/>
  </r>
  <r>
    <s v="CE51863"/>
    <s v="EDNA ROCIO MONCADA"/>
    <x v="3"/>
    <s v="Canales asistidos CB"/>
    <s v="KRYPTO"/>
    <e v="#NAME?"/>
    <s v="SDATOOL-33947 $ Sinergias Bancamia"/>
    <n v="0.02"/>
    <x v="0"/>
    <m/>
    <x v="0"/>
    <x v="0"/>
    <m/>
    <m/>
    <m/>
    <m/>
    <m/>
  </r>
  <r>
    <s v="CE51863"/>
    <s v="EDNA ROCIO MONCADA"/>
    <x v="3"/>
    <s v="Canales asistidos CB"/>
    <s v="KRYPTO"/>
    <e v="#NAME?"/>
    <s v="SDATOOL-38729 $ Mi CB Liviano 2022"/>
    <n v="0.02"/>
    <x v="0"/>
    <m/>
    <x v="0"/>
    <x v="0"/>
    <m/>
    <m/>
    <m/>
    <m/>
    <m/>
  </r>
  <r>
    <s v="CE51863"/>
    <s v="EDNA ROCIO MONCADA"/>
    <x v="3"/>
    <s v="Canales asistidos CB"/>
    <s v="KRYPTO"/>
    <e v="#NAME?"/>
    <s v="SDATOOL-39871 $ Cbs Gelsa Paga todo"/>
    <n v="0.02"/>
    <x v="0"/>
    <m/>
    <x v="0"/>
    <x v="0"/>
    <m/>
    <m/>
    <m/>
    <m/>
    <m/>
  </r>
  <r>
    <s v="CE51863"/>
    <s v="EDNA ROCIO MONCADA"/>
    <x v="3"/>
    <s v="Canales asistidos ATM"/>
    <s v="KRYPTO"/>
    <e v="#NAME?"/>
    <s v="SDATOOL-40506 $ Disponibilidad de canales físicos en móvil y página blanca"/>
    <n v="0.02"/>
    <x v="0"/>
    <m/>
    <x v="0"/>
    <x v="0"/>
    <m/>
    <m/>
    <m/>
    <m/>
    <m/>
  </r>
  <r>
    <s v="CE51863"/>
    <s v="EDNA ROCIO MONCADA"/>
    <x v="3"/>
    <s v="Canales asistidos CB"/>
    <s v="KRYPTO"/>
    <e v="#NAME?"/>
    <s v="SDATOOL-40581 $ Corresponsal Bancario Ya Ganaste"/>
    <n v="0.02"/>
    <x v="0"/>
    <m/>
    <x v="0"/>
    <x v="0"/>
    <m/>
    <m/>
    <m/>
    <m/>
    <m/>
  </r>
  <r>
    <s v="CE51863"/>
    <s v="EDNA ROCIO MONCADA"/>
    <x v="3"/>
    <s v="Canales asistidos CB"/>
    <s v="KRYPTO"/>
    <e v="#NAME?"/>
    <s v="SDATOOL-41709 $ Fraccionamiento de transacciones en CBs"/>
    <n v="0.02"/>
    <x v="0"/>
    <m/>
    <x v="0"/>
    <x v="0"/>
    <m/>
    <m/>
    <m/>
    <m/>
    <m/>
  </r>
  <r>
    <s v="CE51863"/>
    <s v="EDNA ROCIO MONCADA"/>
    <x v="3"/>
    <s v="Canales asistidos RPA"/>
    <s v="KRYPTO"/>
    <e v="#NAME?"/>
    <s v="SDATOOL-37750 $ Robotics 2022"/>
    <n v="0.02"/>
    <x v="0"/>
    <m/>
    <x v="0"/>
    <x v="0"/>
    <m/>
    <m/>
    <m/>
    <m/>
    <m/>
  </r>
  <r>
    <s v="CE51863"/>
    <s v="EDNA ROCIO MONCADA"/>
    <x v="3"/>
    <s v="Canales asistidos ATM"/>
    <s v="KRYPTO"/>
    <e v="#NAME?"/>
    <s v="SDATOOL-40529 $ Aplicativos Finanzas - 2023"/>
    <n v="0.02"/>
    <x v="0"/>
    <m/>
    <x v="0"/>
    <x v="0"/>
    <m/>
    <m/>
    <m/>
    <m/>
    <m/>
  </r>
  <r>
    <s v="CE51863"/>
    <s v="EDNA ROCIO MONCADA"/>
    <x v="3"/>
    <s v="CRM"/>
    <s v="KRYPTO"/>
    <e v="#NAME?"/>
    <s v="SDATOOL-37121 $ Plan CRM: Seguimiento al pipeline"/>
    <n v="0.02"/>
    <x v="0"/>
    <m/>
    <x v="0"/>
    <x v="0"/>
    <m/>
    <m/>
    <m/>
    <m/>
    <m/>
  </r>
  <r>
    <s v="CE51863"/>
    <s v="EDNA ROCIO MONCADA"/>
    <x v="3"/>
    <s v="CRM"/>
    <s v="KRYPTO"/>
    <e v="#NAME?"/>
    <s v="SDATOOL-39272 $ Cambio servicio APL (Aportes en línea)- Integración AUG con nuevo motor laboral (OVI)"/>
    <n v="0.02"/>
    <x v="0"/>
    <m/>
    <x v="0"/>
    <x v="0"/>
    <m/>
    <m/>
    <m/>
    <m/>
    <m/>
  </r>
  <r>
    <s v="CE51863"/>
    <s v="EDNA ROCIO MONCADA"/>
    <x v="3"/>
    <s v="CRM"/>
    <s v="KRYPTO"/>
    <e v="#NAME?"/>
    <s v="SDATOOL-40690 $ Plan CRM: Mejoras AUG (Banca Comercial y CSF) Equipo B"/>
    <n v="0.02"/>
    <x v="0"/>
    <m/>
    <x v="0"/>
    <x v="0"/>
    <m/>
    <m/>
    <m/>
    <m/>
    <m/>
  </r>
  <r>
    <s v="CE51863"/>
    <s v="EDNA ROCIO MONCADA"/>
    <x v="3"/>
    <s v="CRM"/>
    <s v="KRYPTO"/>
    <e v="#NAME?"/>
    <s v="SDATOOL-40672 $ Plan CRM: Mejoras AUG (Banca Comercial y CSF) Equipo A"/>
    <n v="0.02"/>
    <x v="0"/>
    <m/>
    <x v="0"/>
    <x v="0"/>
    <m/>
    <m/>
    <m/>
    <m/>
    <m/>
  </r>
  <r>
    <s v="CE51863"/>
    <s v="EDNA ROCIO MONCADA"/>
    <x v="3"/>
    <s v="Net"/>
    <s v="KRYPTO"/>
    <e v="#NAME?"/>
    <s v="SDATOOL-36558 $ Transfiya:Transferencias interbancarias inmediatas - Plan Ascenso Privado"/>
    <n v="0.03"/>
    <x v="0"/>
    <m/>
    <x v="0"/>
    <x v="0"/>
    <m/>
    <m/>
    <m/>
    <m/>
    <m/>
  </r>
  <r>
    <s v="CE51863"/>
    <s v="EDNA ROCIO MONCADA"/>
    <x v="3"/>
    <s v="Net"/>
    <s v="KRYPTO"/>
    <e v="#NAME?"/>
    <s v="SDATOOL-38527 $ Pagaré Electrónico en flujos de Contratación digital"/>
    <n v="0.03"/>
    <x v="0"/>
    <m/>
    <x v="0"/>
    <x v="0"/>
    <m/>
    <m/>
    <m/>
    <m/>
    <m/>
  </r>
  <r>
    <s v="CE51863"/>
    <s v="EDNA ROCIO MONCADA"/>
    <x v="3"/>
    <s v="Net"/>
    <s v="KRYPTO"/>
    <e v="#NAME?"/>
    <s v="SDATOOL-39246 $ Nuevo tipo de identificación para extranjeros"/>
    <n v="0.03"/>
    <x v="0"/>
    <m/>
    <x v="0"/>
    <x v="0"/>
    <m/>
    <m/>
    <m/>
    <m/>
    <m/>
  </r>
  <r>
    <s v="CE51863"/>
    <s v="EDNA ROCIO MONCADA"/>
    <x v="3"/>
    <s v="Net"/>
    <s v="KRYPTO"/>
    <e v="#NAME?"/>
    <s v="SDATOOL-39834 $ Recaudo en Línea Secretaría de Hacienda Distrital - Fase II:  Solución paramétrica de recaudos para la inclusión de 7 formularios tributarios en Canales electrónicos Web y Corresponsal Bancario."/>
    <n v="0.03"/>
    <x v="0"/>
    <m/>
    <x v="0"/>
    <x v="0"/>
    <m/>
    <m/>
    <m/>
    <m/>
    <m/>
  </r>
  <r>
    <s v="CE51863"/>
    <s v="EDNA ROCIO MONCADA"/>
    <x v="3"/>
    <s v="Net"/>
    <s v="KRYPTO"/>
    <e v="#NAME?"/>
    <s v="SDATOOL-39840 $ BBVA Valores en Canales (Net Cash / Net)"/>
    <n v="0.03"/>
    <x v="0"/>
    <m/>
    <x v="0"/>
    <x v="0"/>
    <m/>
    <m/>
    <m/>
    <m/>
    <m/>
  </r>
  <r>
    <s v="CE51863"/>
    <s v="EDNA ROCIO MONCADA"/>
    <x v="3"/>
    <s v="Oficina"/>
    <s v="KRYPTO"/>
    <e v="#NAME?"/>
    <s v="SDATOL-40269 $ Formularios cambio moneda extranjera Nacar"/>
    <n v="0.03"/>
    <x v="0"/>
    <m/>
    <x v="0"/>
    <x v="0"/>
    <m/>
    <m/>
    <m/>
    <m/>
    <m/>
  </r>
  <r>
    <s v="CE51863"/>
    <s v="EDNA ROCIO MONCADA"/>
    <x v="3"/>
    <s v="Oficina"/>
    <s v="KRYPTO"/>
    <e v="#NAME?"/>
    <s v="SDATOOL-35350 $ Lean Office (Biblioteca Transaccional y Nuevo Modelo de Impresión)"/>
    <n v="0.03"/>
    <x v="0"/>
    <m/>
    <x v="0"/>
    <x v="0"/>
    <m/>
    <m/>
    <m/>
    <m/>
    <m/>
  </r>
  <r>
    <s v="CE51863"/>
    <s v="EDNA ROCIO MONCADA"/>
    <x v="3"/>
    <s v="Oficina"/>
    <s v="KRYPTO"/>
    <e v="#NAME?"/>
    <s v="SDATOOL-37294 $ Gestión de Tráfico en Oficinas"/>
    <n v="0.03"/>
    <x v="0"/>
    <m/>
    <x v="0"/>
    <x v="0"/>
    <m/>
    <m/>
    <m/>
    <m/>
    <m/>
  </r>
  <r>
    <s v="CE51863"/>
    <s v="EDNA ROCIO MONCADA"/>
    <x v="3"/>
    <s v="Oficina"/>
    <s v="KRYPTO"/>
    <e v="#NAME?"/>
    <s v="SDATOOL-37761 $ Plan transformación de procesos"/>
    <n v="0.03"/>
    <x v="0"/>
    <m/>
    <x v="0"/>
    <x v="0"/>
    <m/>
    <m/>
    <m/>
    <m/>
    <m/>
  </r>
  <r>
    <s v="CE51863"/>
    <s v="EDNA ROCIO MONCADA"/>
    <x v="3"/>
    <s v="Oficina"/>
    <s v="KRYPTO"/>
    <e v="#NAME?"/>
    <s v="SDATOOL-36048 $ Repositorio flujos  ventas digitales flujos - Plan Ascenso Open Market"/>
    <n v="0.03"/>
    <x v="0"/>
    <m/>
    <x v="0"/>
    <x v="0"/>
    <m/>
    <m/>
    <m/>
    <m/>
    <m/>
  </r>
  <r>
    <s v="CE51863"/>
    <s v="EDNA ROCIO MONCADA"/>
    <x v="3"/>
    <s v="Open Market"/>
    <s v="KRYPTO"/>
    <e v="#NAME?"/>
    <s v="SDATOOL-36548 $ Optimización consumo web - Plan ascenso Open Market"/>
    <n v="0.03"/>
    <x v="0"/>
    <m/>
    <x v="0"/>
    <x v="0"/>
    <m/>
    <m/>
    <m/>
    <m/>
    <m/>
  </r>
  <r>
    <s v="CE51863"/>
    <s v="EDNA ROCIO MONCADA"/>
    <x v="3"/>
    <s v="Open Market"/>
    <s v="KRYPTO"/>
    <e v="#NAME?"/>
    <s v="SDATOOL-37055 $ Cash In - Recarga PSE en cuenta de ahorro, cuenta corriente y dinero móvil"/>
    <n v="0.03"/>
    <x v="0"/>
    <m/>
    <x v="0"/>
    <x v="0"/>
    <m/>
    <m/>
    <m/>
    <m/>
    <m/>
  </r>
  <r>
    <s v="CE51863"/>
    <s v="EDNA ROCIO MONCADA"/>
    <x v="3"/>
    <s v="Open Market"/>
    <s v="KRYPTO"/>
    <e v="#NAME?"/>
    <s v="SDATOOL-37136 $ Conexión simulador vía API Vehículo digital"/>
    <n v="0.03"/>
    <x v="0"/>
    <m/>
    <x v="0"/>
    <x v="0"/>
    <m/>
    <m/>
    <m/>
    <m/>
    <m/>
  </r>
  <r>
    <s v="CE51863"/>
    <s v="EDNA ROCIO MONCADA"/>
    <x v="3"/>
    <s v="Open Market"/>
    <s v="KRYPTO"/>
    <e v="#NAME?"/>
    <s v="SDATOOL-38419 $ Contratación cuenta en línea en Glomo"/>
    <n v="0.03"/>
    <x v="0"/>
    <m/>
    <x v="0"/>
    <x v="0"/>
    <m/>
    <m/>
    <m/>
    <m/>
    <m/>
  </r>
  <r>
    <s v="CE51863"/>
    <s v="EDNA ROCIO MONCADA"/>
    <x v="3"/>
    <s v="Open Market"/>
    <s v="KRYPTO"/>
    <e v="#NAME?"/>
    <s v="SDATOOL-39348 $ tarjeta de crédito Open Market Fallback product"/>
    <n v="0.03"/>
    <x v="0"/>
    <m/>
    <x v="0"/>
    <x v="0"/>
    <m/>
    <m/>
    <m/>
    <m/>
    <m/>
  </r>
  <r>
    <s v="CE51863"/>
    <s v="EDNA ROCIO MONCADA"/>
    <x v="3"/>
    <s v="Open Market"/>
    <s v="KRYPTO"/>
    <e v="#NAME?"/>
    <s v="SDATOOL-39836 $ Vivienda digital fase III"/>
    <n v="0.03"/>
    <x v="0"/>
    <m/>
    <x v="0"/>
    <x v="0"/>
    <m/>
    <m/>
    <m/>
    <m/>
    <m/>
  </r>
  <r>
    <s v="T008150"/>
    <s v="BRIGGTTE ALMENDRA BARBOZA NIETO"/>
    <x v="3"/>
    <s v="CRM"/>
    <s v="Neoris"/>
    <e v="#NAME?"/>
    <s v="SDATOOL-40672 $ Plan CRM: Mejoras AUG (Banca Comercial y CSF) Equipo A"/>
    <n v="1"/>
    <x v="1"/>
    <m/>
    <x v="0"/>
    <x v="0"/>
    <m/>
    <m/>
    <m/>
    <m/>
    <m/>
  </r>
  <r>
    <s v="T000159"/>
    <s v="BRYAN SMITH PATIÑO"/>
    <x v="2"/>
    <s v="Loans"/>
    <s v="Choucair"/>
    <e v="#NAME?"/>
    <s v="SDATOOL-35463 $ Gestión de Ingresos - Períodos de Gracia Libranzas"/>
    <n v="0.5"/>
    <x v="0"/>
    <m/>
    <x v="0"/>
    <x v="0"/>
    <m/>
    <m/>
    <m/>
    <m/>
    <m/>
  </r>
  <r>
    <s v="C810684"/>
    <s v="CACERES CRISTANCHO JUAN SEBASTIAN"/>
    <x v="0"/>
    <s v="Netcash"/>
    <s v="BBVA"/>
    <e v="#NAME?"/>
    <s v="SDATOOL-40555 $ ADELANTO DE VENTA EN GEMA"/>
    <n v="1"/>
    <x v="1"/>
    <m/>
    <x v="1"/>
    <x v="0"/>
    <m/>
    <m/>
    <m/>
    <m/>
    <m/>
  </r>
  <r>
    <s v="CE30852"/>
    <s v="CAMELO MORA LADY KATHERINE"/>
    <x v="0"/>
    <s v="Netcash"/>
    <s v="GGI / CMC"/>
    <e v="#NAME?"/>
    <s v="NOSDA- BAU $ BAU (Mantenimiento y peq. evolutivos)"/>
    <n v="1"/>
    <x v="1"/>
    <m/>
    <x v="0"/>
    <x v="0"/>
    <m/>
    <m/>
    <m/>
    <m/>
    <m/>
  </r>
  <r>
    <s v="C802316"/>
    <s v="CAMILO ALBERTO GARCES BELTRAN"/>
    <x v="4"/>
    <s v="Backoffice"/>
    <s v="BBVA"/>
    <e v="#NAME?"/>
    <s v="SDATOOL-33907 $ Manejo Fiscal Prima o Descuento Renta Fija"/>
    <n v="0.25"/>
    <x v="1"/>
    <m/>
    <x v="1"/>
    <x v="0"/>
    <m/>
    <m/>
    <m/>
    <m/>
    <m/>
  </r>
  <r>
    <s v="C802316"/>
    <s v="CAMILO ALBERTO GARCES BELTRAN"/>
    <x v="4"/>
    <s v="Backoffice"/>
    <s v="BBVA"/>
    <e v="#NAME?"/>
    <s v="SDATOOL-40529 $ Aplicativos Finanzas - 2023"/>
    <n v="0.5"/>
    <x v="1"/>
    <m/>
    <x v="1"/>
    <x v="0"/>
    <m/>
    <m/>
    <m/>
    <m/>
    <m/>
  </r>
  <r>
    <s v="C802316"/>
    <s v="CAMILO ALBERTO GARCES BELTRAN"/>
    <x v="4"/>
    <s v="Backoffice"/>
    <s v="BBVA"/>
    <e v="#NAME?"/>
    <s v="SDATOOL-40545 $ GRM Col - Mejoras Evolutivas de Aplicativos y Herramientas de Riesgos 2023"/>
    <n v="0.25"/>
    <x v="1"/>
    <m/>
    <x v="1"/>
    <x v="0"/>
    <m/>
    <m/>
    <m/>
    <m/>
    <m/>
  </r>
  <r>
    <s v="C342589"/>
    <s v="CAMILO ANDRES AGUIRRE"/>
    <x v="3"/>
    <s v="Open Market"/>
    <s v="BBVA"/>
    <e v="#NAME?"/>
    <s v="NOSDA- BAU $ BAU (Mantenimiento y peq. evolutivos)"/>
    <n v="0.25"/>
    <x v="2"/>
    <m/>
    <x v="1"/>
    <x v="0"/>
    <m/>
    <m/>
    <m/>
    <m/>
    <m/>
  </r>
  <r>
    <s v="C342589"/>
    <s v="CAMILO ANDRES AGUIRRE"/>
    <x v="3"/>
    <s v="Open Market"/>
    <s v="BBVA"/>
    <e v="#NAME?"/>
    <s v="SDATOOL-36048 $ Repositorio flujos  ventas digitales flujos - Plan Ascenso Open Market"/>
    <n v="0.25"/>
    <x v="2"/>
    <m/>
    <x v="1"/>
    <x v="0"/>
    <m/>
    <m/>
    <m/>
    <m/>
    <m/>
  </r>
  <r>
    <s v="C342589"/>
    <s v="CAMILO ANDRES AGUIRRE"/>
    <x v="3"/>
    <s v="Open Market"/>
    <s v="BBVA"/>
    <e v="#NAME?"/>
    <s v="SDATOOL-37136 $ Conexión simulador vía API Vehículo digital"/>
    <n v="0.25"/>
    <x v="2"/>
    <m/>
    <x v="1"/>
    <x v="0"/>
    <m/>
    <m/>
    <m/>
    <m/>
    <m/>
  </r>
  <r>
    <s v="C342589"/>
    <s v="CAMILO ANDRES AGUIRRE"/>
    <x v="3"/>
    <s v="Open Market"/>
    <s v="BBVA"/>
    <e v="#NAME?"/>
    <s v="SDATOOL-39348 $ tarjeta de crédito Open Market Fallback product"/>
    <n v="0.25"/>
    <x v="2"/>
    <m/>
    <x v="1"/>
    <x v="0"/>
    <m/>
    <m/>
    <m/>
    <m/>
    <m/>
  </r>
  <r>
    <s v="C804032"/>
    <s v="CAMILO ANDRES MORENO HURTADO"/>
    <x v="4"/>
    <s v="Global Market &amp; Comex"/>
    <s v="BBVA"/>
    <e v="#NAME?"/>
    <s v="SDATOOL-39217 $ Aplicativos Tesorería 2022"/>
    <n v="0.75"/>
    <x v="1"/>
    <m/>
    <x v="1"/>
    <x v="0"/>
    <m/>
    <m/>
    <m/>
    <m/>
    <m/>
  </r>
  <r>
    <s v="C804032"/>
    <s v="CAMILO ANDRES MORENO HURTADO"/>
    <x v="4"/>
    <s v="Global Market &amp; Comex"/>
    <s v="BBVA"/>
    <e v="#NAME?"/>
    <s v="SDATOOL-41308 $ Aplicativos Tesorería 2023"/>
    <n v="0.25"/>
    <x v="1"/>
    <m/>
    <x v="1"/>
    <x v="0"/>
    <m/>
    <m/>
    <m/>
    <m/>
    <m/>
  </r>
  <r>
    <s v="C796462"/>
    <s v="CAMILO ANDRES TELLEZ PRIETO"/>
    <x v="4"/>
    <s v="Global Market &amp; Comex"/>
    <s v="BBVA"/>
    <e v="#NAME?"/>
    <s v="NOSDA- BAU $ BAU (Mantenimiento y peq. evolutivos)"/>
    <n v="1"/>
    <x v="2"/>
    <s v="Gerente con asignación a torres"/>
    <x v="1"/>
    <x v="0"/>
    <m/>
    <m/>
    <m/>
    <m/>
    <m/>
  </r>
  <r>
    <s v="O001869"/>
    <s v="CAMILO CABRA"/>
    <x v="2"/>
    <s v="Loans"/>
    <s v="BBVA"/>
    <e v="#NAME?"/>
    <s v="SDATOOL-35463 $ Gestión de Ingresos - Períodos de Gracia Libranzas"/>
    <n v="0.1"/>
    <x v="2"/>
    <m/>
    <x v="1"/>
    <x v="0"/>
    <m/>
    <m/>
    <m/>
    <m/>
    <m/>
  </r>
  <r>
    <s v="O001869"/>
    <s v="CAMILO CABRA"/>
    <x v="2"/>
    <s v="Loans"/>
    <s v="BBVA"/>
    <e v="#NAME?"/>
    <s v="SDATOOL-33847 $ Resolución 0042 DIAN Documento Soporte"/>
    <n v="0.05"/>
    <x v="2"/>
    <m/>
    <x v="1"/>
    <x v="0"/>
    <m/>
    <m/>
    <m/>
    <m/>
    <m/>
  </r>
  <r>
    <s v="O001869"/>
    <s v="CAMILO CABRA"/>
    <x v="2"/>
    <s v="Loans"/>
    <s v="BBVA"/>
    <e v="#NAME?"/>
    <s v="NOSDA- BAU $ BAU (Mantenimiento y peq. evolutivos)"/>
    <n v="0.1"/>
    <x v="2"/>
    <m/>
    <x v="1"/>
    <x v="0"/>
    <m/>
    <m/>
    <m/>
    <m/>
    <m/>
  </r>
  <r>
    <s v="O001869"/>
    <s v="CAMILO CABRA"/>
    <x v="2"/>
    <s v="Loans"/>
    <s v="BBVA"/>
    <e v="#NAME?"/>
    <s v="SDATOOL-33846 $ SREP Data Quality- BCBS239 - Colombia"/>
    <n v="0.05"/>
    <x v="2"/>
    <m/>
    <x v="1"/>
    <x v="0"/>
    <m/>
    <m/>
    <m/>
    <m/>
    <m/>
  </r>
  <r>
    <s v="O001869"/>
    <s v="CAMILO CABRA"/>
    <x v="2"/>
    <s v="Loans"/>
    <s v="BBVA"/>
    <e v="#NAME?"/>
    <s v="SDATOOL-34157 $ Evolutivo Parthnership - Crédito en punto de venta de Aliados"/>
    <n v="0.15"/>
    <x v="2"/>
    <m/>
    <x v="1"/>
    <x v="0"/>
    <m/>
    <m/>
    <m/>
    <m/>
    <m/>
  </r>
  <r>
    <s v="O001869"/>
    <s v="CAMILO CABRA"/>
    <x v="2"/>
    <s v="Loans"/>
    <s v="BBVA"/>
    <e v="#NAME?"/>
    <s v="SDATOOL-40877 $ Centralización Garantías Especiales"/>
    <n v="0.05"/>
    <x v="2"/>
    <m/>
    <x v="1"/>
    <x v="0"/>
    <m/>
    <m/>
    <m/>
    <m/>
    <m/>
  </r>
  <r>
    <s v="O001869"/>
    <s v="CAMILO CABRA"/>
    <x v="2"/>
    <s v="Loans"/>
    <s v="BBVA"/>
    <e v="#NAME?"/>
    <s v="SDATOOL-40062 $ Implementación FGA en flujos de contratación digital"/>
    <n v="0.2"/>
    <x v="2"/>
    <m/>
    <x v="1"/>
    <x v="0"/>
    <m/>
    <m/>
    <m/>
    <m/>
    <m/>
  </r>
  <r>
    <s v="O001869"/>
    <s v="CAMILO CABRA"/>
    <x v="2"/>
    <s v="Loans"/>
    <s v="BBVA"/>
    <e v="#NAME?"/>
    <s v="SDATOOL-40466 $ Garantía FAG"/>
    <n v="0.15"/>
    <x v="2"/>
    <m/>
    <x v="1"/>
    <x v="0"/>
    <m/>
    <m/>
    <m/>
    <m/>
    <m/>
  </r>
  <r>
    <s v="O001869"/>
    <s v="CAMILO CABRA"/>
    <x v="2"/>
    <s v="Loans"/>
    <s v="BBVA"/>
    <e v="#NAME?"/>
    <s v="SDATOOL-41729 $ SEGUNDA LIBRANZA - APLICACION PAGOS Y VoBo PAGADOR"/>
    <n v="0.1"/>
    <x v="2"/>
    <m/>
    <x v="1"/>
    <x v="0"/>
    <m/>
    <m/>
    <m/>
    <m/>
    <m/>
  </r>
  <r>
    <s v="O001869"/>
    <s v="CAMILO CABRA"/>
    <x v="2"/>
    <s v="Loans"/>
    <s v="BBVA"/>
    <e v="#NAME?"/>
    <s v="SDATOOL-40225 $ Resolución 0124 Dian - 2021 - Ajustes para Reporte de Información Exógena año gravable 2022 - Ciclo 1"/>
    <n v="0.05"/>
    <x v="2"/>
    <m/>
    <x v="1"/>
    <x v="0"/>
    <m/>
    <m/>
    <m/>
    <m/>
    <m/>
  </r>
  <r>
    <s v="C810793"/>
    <s v="CAMILO ERNESTO MUÑOZ LOVERA"/>
    <x v="2"/>
    <s v="Payments"/>
    <s v="BBVA"/>
    <e v="#NAME?"/>
    <s v="SDATOOL-37061 $ Plan de Lealtad Comecios -Plan Ascenso Autónomos"/>
    <n v="1"/>
    <x v="1"/>
    <m/>
    <x v="1"/>
    <x v="0"/>
    <m/>
    <m/>
    <m/>
    <m/>
    <m/>
  </r>
  <r>
    <s v="C803933"/>
    <s v="CAMILO MONDRAGON"/>
    <x v="2"/>
    <s v="Accounts"/>
    <s v="BBVA"/>
    <e v="#NAME?"/>
    <s v="SDATOOL-37111 $ Cuenta Maestra Adres"/>
    <n v="0.5"/>
    <x v="1"/>
    <m/>
    <x v="1"/>
    <x v="0"/>
    <m/>
    <m/>
    <m/>
    <m/>
    <m/>
  </r>
  <r>
    <s v="C803933"/>
    <s v="CAMILO MONDRAGON"/>
    <x v="2"/>
    <s v="Accounts"/>
    <s v="BBVA"/>
    <e v="#NAME?"/>
    <s v="SDATOOL-40771 $ Resolución Cuentas Maestras y Cuentas Maestras para Pagos Electrónicos (PSE): Anexo Técnico - Nuevo reporte de información"/>
    <n v="0.5"/>
    <x v="1"/>
    <m/>
    <x v="1"/>
    <x v="0"/>
    <m/>
    <m/>
    <m/>
    <m/>
    <m/>
  </r>
  <r>
    <s v="C811379"/>
    <s v="Camilo Muñoz"/>
    <x v="3"/>
    <s v="Móvil"/>
    <s v="BBVA"/>
    <e v="#NAME?"/>
    <s v="NOSDA- BAU $ BAU (Mantenimiento y peq. evolutivos)"/>
    <n v="1"/>
    <x v="1"/>
    <m/>
    <x v="1"/>
    <x v="0"/>
    <m/>
    <m/>
    <m/>
    <m/>
    <m/>
  </r>
  <r>
    <s v="C811263"/>
    <s v="Cardozo Castro Diana Carolina"/>
    <x v="1"/>
    <s v="T&amp;C"/>
    <s v="BBVA"/>
    <e v="#NAME?"/>
    <s v="SDATOOL-33847 $ Resolución 0042 DIAN Documento Soporte"/>
    <n v="0.3"/>
    <x v="1"/>
    <m/>
    <x v="1"/>
    <x v="0"/>
    <m/>
    <m/>
    <m/>
    <m/>
    <m/>
  </r>
  <r>
    <s v="C811263"/>
    <s v="Cardozo Castro Diana Carolina"/>
    <x v="1"/>
    <s v="T&amp;C"/>
    <s v="BBVA"/>
    <e v="#NAME?"/>
    <s v="SDATOOL-40706 $ Validaciones en Captura de Terceros Aplicativo TBM"/>
    <n v="0.35"/>
    <x v="1"/>
    <m/>
    <x v="1"/>
    <x v="0"/>
    <m/>
    <m/>
    <m/>
    <m/>
    <m/>
  </r>
  <r>
    <s v="C811263"/>
    <s v="Cardozo Castro Diana Carolina"/>
    <x v="1"/>
    <s v="T&amp;C"/>
    <s v="BBVA"/>
    <e v="#NAME?"/>
    <s v="SDATOOL-40546 $ Mejoras Experiencia de Usuario TBM"/>
    <n v="0.35"/>
    <x v="1"/>
    <m/>
    <x v="1"/>
    <x v="0"/>
    <m/>
    <m/>
    <m/>
    <m/>
    <m/>
  </r>
  <r>
    <s v="C811277"/>
    <s v="CARLOS ALBERTO GUERRERO MONTAÑA"/>
    <x v="2"/>
    <s v="Accounts"/>
    <s v="BBVA"/>
    <e v="#NAME?"/>
    <s v="SDATOOL-38419 $ Contratación cuenta en línea en Glomo"/>
    <n v="1"/>
    <x v="1"/>
    <m/>
    <x v="1"/>
    <x v="0"/>
    <m/>
    <m/>
    <m/>
    <m/>
    <m/>
  </r>
  <r>
    <s v="T000210"/>
    <s v="Carlos Alberto Meneses Campohermoso"/>
    <x v="3"/>
    <s v="Open Market"/>
    <s v="Indra"/>
    <e v="#NAME?"/>
    <s v="SDATOOL-36048 $ Repositorio flujos  ventas digitales flujos - Plan Ascenso Open Market"/>
    <n v="1"/>
    <x v="1"/>
    <m/>
    <x v="0"/>
    <x v="0"/>
    <m/>
    <m/>
    <m/>
    <m/>
    <m/>
  </r>
  <r>
    <s v="C808842"/>
    <s v="CARLOS ALBERTO PARDO"/>
    <x v="0"/>
    <s v="Transaccionalidad"/>
    <s v="BBVA"/>
    <e v="#NAME?"/>
    <s v="SDATOOL-37116 $ Colpensiones - Incluir en la estructura del archivo de ORDENES DE NO PAGO dos nuevas causales de rechazo"/>
    <n v="0.5"/>
    <x v="1"/>
    <m/>
    <x v="1"/>
    <x v="0"/>
    <m/>
    <m/>
    <m/>
    <m/>
    <m/>
  </r>
  <r>
    <s v="C808842"/>
    <s v="CARLOS ALBERTO PARDO"/>
    <x v="0"/>
    <s v="Transaccionalidad"/>
    <s v="BBVA"/>
    <e v="#NAME?"/>
    <s v="NOSDA- BAU $ BAU (Mantenimiento y peq. evolutivos)"/>
    <n v="0.25"/>
    <x v="1"/>
    <m/>
    <x v="1"/>
    <x v="0"/>
    <m/>
    <m/>
    <m/>
    <m/>
    <m/>
  </r>
  <r>
    <s v="C808842"/>
    <s v="CARLOS ALBERTO PARDO"/>
    <x v="0"/>
    <s v="Transaccionalidad"/>
    <s v="BBVA"/>
    <e v="#NAME?"/>
    <s v="NOSDA- BAU $ BAU (Mantenimiento y peq. evolutivos)"/>
    <n v="0.25"/>
    <x v="1"/>
    <m/>
    <x v="1"/>
    <x v="0"/>
    <m/>
    <m/>
    <m/>
    <m/>
    <m/>
  </r>
  <r>
    <s v="CE63761"/>
    <s v="Carlos Andres Cely Vergara"/>
    <x v="1"/>
    <s v="Cumplimiento &amp; Auditoría"/>
    <s v="MS"/>
    <e v="#NAME?"/>
    <s v="SDATOOL-29998 $ Despliegue SAS AML en BBVA CO"/>
    <n v="1"/>
    <x v="1"/>
    <m/>
    <x v="0"/>
    <x v="0"/>
    <m/>
    <m/>
    <m/>
    <m/>
    <m/>
  </r>
  <r>
    <s v="T010294"/>
    <s v="Carlos Andres De la pava Jimenez"/>
    <x v="1"/>
    <s v="T&amp;C"/>
    <s v="Novatec"/>
    <e v="#NAME?"/>
    <s v="SDATOOL-28728 $ Contratación electrónica/digital de empleados y Carpeta Virtual 2.0"/>
    <n v="1"/>
    <x v="1"/>
    <m/>
    <x v="0"/>
    <x v="0"/>
    <m/>
    <m/>
    <m/>
    <m/>
    <m/>
  </r>
  <r>
    <s v="T005584"/>
    <s v="CARLOS ANDRES FLOREZ GODOY"/>
    <x v="3"/>
    <s v="CRM"/>
    <s v="Neoris"/>
    <e v="#NAME?"/>
    <s v="SDATOOL-40672 $ Plan CRM: Mejoras AUG (Banca Comercial y CSF) Equipo A"/>
    <n v="0.25"/>
    <x v="1"/>
    <m/>
    <x v="0"/>
    <x v="0"/>
    <m/>
    <m/>
    <m/>
    <m/>
    <m/>
  </r>
  <r>
    <s v="C342545"/>
    <s v="CARLOS ANDRES MARTINEZ BEDOYA"/>
    <x v="4"/>
    <s v="Global Market &amp; Comex"/>
    <s v="BBVA"/>
    <e v="#NAME?"/>
    <s v="NOSDA- BAU $ BAU (Mantenimiento y peq. evolutivos)"/>
    <n v="1"/>
    <x v="1"/>
    <m/>
    <x v="1"/>
    <x v="0"/>
    <m/>
    <m/>
    <m/>
    <m/>
    <m/>
  </r>
  <r>
    <s v="C811232"/>
    <s v="CARLOS ANDRES SUAREZ SALAZAR"/>
    <x v="0"/>
    <s v="Gema"/>
    <s v="BBVA"/>
    <e v="#NAME?"/>
    <s v="SDATOOL-39353 $ Redirección Mobile POS"/>
    <n v="0.75"/>
    <x v="1"/>
    <m/>
    <x v="1"/>
    <x v="0"/>
    <m/>
    <m/>
    <m/>
    <m/>
    <m/>
  </r>
  <r>
    <s v="C811232"/>
    <s v="CARLOS ANDRES SUAREZ SALAZAR"/>
    <x v="0"/>
    <s v="Gema"/>
    <s v="BBVA"/>
    <e v="#NAME?"/>
    <s v="SDATOOL-40676 $ Contratación y uso de mPOS desde APPs BBVA"/>
    <n v="0.25"/>
    <x v="1"/>
    <m/>
    <x v="1"/>
    <x v="0"/>
    <m/>
    <m/>
    <m/>
    <m/>
    <m/>
  </r>
  <r>
    <s v="O001659"/>
    <s v="CARLOS ARTURO PUENTES ZAMBRANO"/>
    <x v="3"/>
    <s v="Open Market"/>
    <s v="BBVA"/>
    <e v="#NAME?"/>
    <s v="SDATOOL-39348 $ tarjeta de crédito Open Market Fallback product"/>
    <n v="1"/>
    <x v="1"/>
    <m/>
    <x v="1"/>
    <x v="0"/>
    <m/>
    <m/>
    <m/>
    <m/>
    <m/>
  </r>
  <r>
    <s v="CE67220"/>
    <s v="Carlos Arturo Rodriguez Castañeda"/>
    <x v="3"/>
    <s v="Móvil"/>
    <s v="Neoris"/>
    <e v="#NAME?"/>
    <s v="SDATOOL-38489 $ Horizon BTGR - Colombia"/>
    <n v="1"/>
    <x v="1"/>
    <m/>
    <x v="0"/>
    <x v="0"/>
    <m/>
    <m/>
    <m/>
    <m/>
    <m/>
  </r>
  <r>
    <s v="C805971"/>
    <s v="CARLOS EDUARDO BELLO"/>
    <x v="0"/>
    <s v="Soluciones financieras (Factoring)"/>
    <s v="BBVA"/>
    <e v="#NAME?"/>
    <s v="NOSDA- BAU $ BAU (Mantenimiento y peq. evolutivos)"/>
    <n v="1"/>
    <x v="1"/>
    <m/>
    <x v="1"/>
    <x v="0"/>
    <m/>
    <m/>
    <m/>
    <m/>
    <m/>
  </r>
  <r>
    <s v="C811304"/>
    <s v="CARLOS EDUARDO YEPES ANGEL"/>
    <x v="2"/>
    <s v="Accounts"/>
    <s v="BBVA"/>
    <e v="#NAME?"/>
    <s v="SDATOOL-41797 $ Optimización Cuenta en línea Web"/>
    <n v="1"/>
    <x v="1"/>
    <m/>
    <x v="1"/>
    <x v="0"/>
    <m/>
    <m/>
    <m/>
    <m/>
    <m/>
  </r>
  <r>
    <s v="C805866"/>
    <s v="CARLOS ENRIQUE FAJARDO FAJARDO "/>
    <x v="2"/>
    <s v="Cross/Ventas asistidas CAP"/>
    <s v="BBVA"/>
    <e v="#NAME?"/>
    <s v="SDATOOL-37134 $ Oferta proactiva de segundo producto desde el momento cero - Plan Ascenso Cross Sell"/>
    <n v="0.9"/>
    <x v="2"/>
    <m/>
    <x v="1"/>
    <x v="0"/>
    <m/>
    <m/>
    <m/>
    <m/>
    <m/>
  </r>
  <r>
    <s v="C805866"/>
    <s v="CARLOS ENRIQUE FAJARDO FAJARDO "/>
    <x v="2"/>
    <s v="Cross/Ventas asistidas CAP"/>
    <s v="BBVA"/>
    <e v="#NAME?"/>
    <s v="NOSDA- BAU $ BAU (Mantenimiento y peq. evolutivos)"/>
    <n v="0.1"/>
    <x v="2"/>
    <s v="Soporte Aplicativo"/>
    <x v="1"/>
    <x v="0"/>
    <m/>
    <m/>
    <m/>
    <m/>
    <m/>
  </r>
  <r>
    <s v="C342057"/>
    <s v="CARLOS FABIAN GONZALEZ CORTES"/>
    <x v="2"/>
    <s v="Loans"/>
    <s v="BBVA"/>
    <e v="#NAME?"/>
    <s v="SDATOOL-36522 $ Libranza E2E digital Fase III - Plan Ascenso Privado"/>
    <n v="0.5"/>
    <x v="1"/>
    <m/>
    <x v="1"/>
    <x v="0"/>
    <m/>
    <m/>
    <m/>
    <m/>
    <m/>
  </r>
  <r>
    <s v="C342057"/>
    <s v="CARLOS FABIAN GONZALEZ CORTES"/>
    <x v="2"/>
    <s v="Loans"/>
    <s v="BBVA"/>
    <e v="#NAME?"/>
    <s v="SDATOOL-34910 $ Libranza Digital"/>
    <n v="0.2"/>
    <x v="1"/>
    <m/>
    <x v="1"/>
    <x v="0"/>
    <m/>
    <m/>
    <m/>
    <m/>
    <m/>
  </r>
  <r>
    <s v="C342057"/>
    <s v="CARLOS FABIAN GONZALEZ CORTES"/>
    <x v="2"/>
    <s v="Loans"/>
    <s v="BBVA"/>
    <e v="#NAME?"/>
    <s v="SDATOOL-36560 $ Pricing de libranza - Plan Ascenso Open Market"/>
    <n v="0.1"/>
    <x v="1"/>
    <m/>
    <x v="1"/>
    <x v="0"/>
    <m/>
    <m/>
    <m/>
    <m/>
    <m/>
  </r>
  <r>
    <s v="C342057"/>
    <s v="CARLOS FABIAN GONZALEZ CORTES"/>
    <x v="2"/>
    <s v="Loans"/>
    <s v="BBVA"/>
    <e v="#NAME?"/>
    <s v="SDATOOL-40670 $ Plan CRM: Mejoras DWP Jurídicos (Pymes, Empresas,Gobiernos)"/>
    <n v="0.2"/>
    <x v="1"/>
    <m/>
    <x v="1"/>
    <x v="0"/>
    <m/>
    <m/>
    <m/>
    <m/>
    <m/>
  </r>
  <r>
    <s v="C941085"/>
    <s v="CARLOS FRANCISCO TOVAR LOSADA"/>
    <x v="3"/>
    <s v="Net"/>
    <s v="BBVA"/>
    <e v="#NAME?"/>
    <s v="NOSDA- BAU $ BAU (Mantenimiento y peq. evolutivos)"/>
    <n v="1"/>
    <x v="1"/>
    <m/>
    <x v="1"/>
    <x v="0"/>
    <m/>
    <m/>
    <m/>
    <m/>
    <m/>
  </r>
  <r>
    <s v="C784494"/>
    <s v="CARLOS IVAN CHOCONTA"/>
    <x v="0"/>
    <s v="Transaccionalidad"/>
    <s v="BBVA"/>
    <e v="#NAME?"/>
    <s v="SDATOOL-37761 $ Plan transformación de procesos"/>
    <n v="0.75"/>
    <x v="1"/>
    <m/>
    <x v="1"/>
    <x v="0"/>
    <m/>
    <m/>
    <m/>
    <m/>
    <m/>
  </r>
  <r>
    <s v="C784494"/>
    <s v="CARLOS IVAN CHOCONTA"/>
    <x v="0"/>
    <s v="Transaccionalidad"/>
    <s v="BBVA"/>
    <e v="#NAME?"/>
    <s v="NOSDA- BAU $ BAU (Mantenimiento y peq. evolutivos)"/>
    <n v="0.25"/>
    <x v="1"/>
    <m/>
    <x v="1"/>
    <x v="0"/>
    <m/>
    <m/>
    <m/>
    <m/>
    <m/>
  </r>
  <r>
    <s v="C811302"/>
    <s v="CARLOS JULIO RAMIREZ MONTANO "/>
    <x v="0"/>
    <s v="Soluciones financieras (Leasing)"/>
    <s v="BBVA"/>
    <e v="#NAME?"/>
    <s v="SDATOOL-39334 $ GRM Col Reg - CE016-19 Modificados, reestructurados e incumplidos Leasing"/>
    <n v="1"/>
    <x v="1"/>
    <m/>
    <x v="1"/>
    <x v="0"/>
    <m/>
    <m/>
    <m/>
    <m/>
    <m/>
  </r>
  <r>
    <s v="C804547"/>
    <s v="CARLOS MARIO BERNAL"/>
    <x v="3"/>
    <s v="Móvil"/>
    <s v="BBVA"/>
    <e v="#NAME?"/>
    <s v="NOSDA- BAU $ BAU (Mantenimiento y peq. evolutivos)"/>
    <n v="0.25"/>
    <x v="2"/>
    <m/>
    <x v="1"/>
    <x v="0"/>
    <m/>
    <m/>
    <m/>
    <m/>
    <m/>
  </r>
  <r>
    <s v="C804547"/>
    <s v="CARLOS MARIO BERNAL"/>
    <x v="3"/>
    <s v="Móvil"/>
    <s v="BBVA"/>
    <e v="#NAME?"/>
    <s v="SDATOOL-9053 $ GloMo Colombia"/>
    <n v="0.75"/>
    <x v="2"/>
    <m/>
    <x v="1"/>
    <x v="0"/>
    <m/>
    <m/>
    <m/>
    <m/>
    <m/>
  </r>
  <r>
    <s v="CE43229"/>
    <s v="CARLOS MAURICIO AGUIRRE TOVAR"/>
    <x v="0"/>
    <s v="Transaccionalidad"/>
    <s v="Inetum"/>
    <e v="#NAME?"/>
    <s v="SDATOOL-38770 $ Marcación y cobro de comisiones PSE"/>
    <n v="1"/>
    <x v="1"/>
    <m/>
    <x v="0"/>
    <x v="0"/>
    <m/>
    <m/>
    <m/>
    <m/>
    <m/>
  </r>
  <r>
    <s v="O003461"/>
    <s v="CARLOS VICENTE SERRATO SERNA"/>
    <x v="2"/>
    <s v="Loans"/>
    <s v="BBVA"/>
    <e v="#NAME?"/>
    <s v="SDATOOL-40435 $ Cuota Segura créditos de libranza"/>
    <n v="1"/>
    <x v="1"/>
    <m/>
    <x v="1"/>
    <x v="0"/>
    <m/>
    <m/>
    <m/>
    <m/>
    <m/>
  </r>
  <r>
    <s v="CE54839"/>
    <s v="CARLOSFERNANDO SUAREZ"/>
    <x v="3"/>
    <s v="Oficina"/>
    <s v="Inetum"/>
    <e v="#NAME?"/>
    <s v="NOSDA- BAU $ BAU (Mantenimiento y peq. evolutivos)"/>
    <n v="1"/>
    <x v="1"/>
    <s v="Tester"/>
    <x v="0"/>
    <x v="0"/>
    <m/>
    <m/>
    <m/>
    <m/>
    <m/>
  </r>
  <r>
    <s v="O000159"/>
    <s v="CAROL VIVIANA CARVAJALNAGLES"/>
    <x v="0"/>
    <s v="Soluciones financieras (Factoring)"/>
    <s v="BBVA"/>
    <e v="#NAME?"/>
    <s v="SDATOOL-37125 $ Factoring - IBR"/>
    <n v="0.35"/>
    <x v="2"/>
    <m/>
    <x v="1"/>
    <x v="0"/>
    <m/>
    <m/>
    <m/>
    <m/>
    <m/>
  </r>
  <r>
    <s v="O000159"/>
    <s v="CAROL VIVIANA CARVAJALNAGLES"/>
    <x v="0"/>
    <s v="Soluciones financieras (Factoring)"/>
    <s v="BBVA"/>
    <e v="#NAME?"/>
    <s v="SDATOOL-37086 $ Factura electrónica (radian)"/>
    <n v="0.1"/>
    <x v="2"/>
    <m/>
    <x v="1"/>
    <x v="0"/>
    <m/>
    <m/>
    <m/>
    <m/>
    <m/>
  </r>
  <r>
    <s v="O000159"/>
    <s v="CAROL VIVIANA CARVAJALNAGLES"/>
    <x v="0"/>
    <s v="Soluciones financieras (Factoring)"/>
    <s v="BBVA"/>
    <e v="#NAME?"/>
    <s v="SDATOOL-40438 $ CIRCULAR 032 del 2021 - REQUERIMIENTO FISCALIA GENERAL DE LA NACION"/>
    <n v="0.1"/>
    <x v="2"/>
    <m/>
    <x v="1"/>
    <x v="0"/>
    <m/>
    <m/>
    <m/>
    <m/>
    <m/>
  </r>
  <r>
    <s v="O000159"/>
    <s v="CAROL VIVIANA CARVAJALNAGLES"/>
    <x v="0"/>
    <s v="Soluciones financieras (Factoring)"/>
    <s v="BBVA"/>
    <e v="#NAME?"/>
    <s v="SDATOOL-42106 $ Emisión Certificados Tributarios a  proveedores en  Operaciones Sin Recurso (Proyecto Normativo)"/>
    <n v="0.1"/>
    <x v="2"/>
    <m/>
    <x v="1"/>
    <x v="0"/>
    <m/>
    <m/>
    <m/>
    <m/>
    <m/>
  </r>
  <r>
    <s v="O000159"/>
    <s v="CAROL VIVIANA CARVAJALNAGLES"/>
    <x v="0"/>
    <s v="Soluciones financieras (Factoring)"/>
    <s v="BBVA"/>
    <e v="#NAME?"/>
    <s v="SDATOOL-36547 $ PLAN MAYOR -PLAN MENOR. Plan ascenso Open Market"/>
    <n v="0.35"/>
    <x v="2"/>
    <m/>
    <x v="1"/>
    <x v="0"/>
    <m/>
    <m/>
    <m/>
    <m/>
    <m/>
  </r>
  <r>
    <s v="C342171"/>
    <s v="CAROLINA BERNAL"/>
    <x v="0"/>
    <s v="Transaccionalidad"/>
    <s v="BBVA"/>
    <e v="#NAME?"/>
    <s v="SDATOOL-38427 $ Servicios transaccionales 2022"/>
    <n v="0.25"/>
    <x v="1"/>
    <m/>
    <x v="1"/>
    <x v="0"/>
    <m/>
    <m/>
    <m/>
    <m/>
    <m/>
  </r>
  <r>
    <s v="C342171"/>
    <s v="CAROLINA BERNAL"/>
    <x v="0"/>
    <s v="Transaccionalidad"/>
    <s v="BBVA"/>
    <e v="#NAME?"/>
    <s v="SDATOOL-37761 $ Plan transformación de procesos"/>
    <n v="0.25"/>
    <x v="1"/>
    <m/>
    <x v="1"/>
    <x v="0"/>
    <m/>
    <m/>
    <m/>
    <m/>
    <m/>
  </r>
  <r>
    <s v="C342171"/>
    <s v="CAROLINA BERNAL"/>
    <x v="0"/>
    <s v="Transaccionalidad"/>
    <s v="BBVA"/>
    <e v="#NAME?"/>
    <s v="SDATOOL-31340 $ Intercambio Electrónico de Archivos ACH y Cenit"/>
    <n v="0.25"/>
    <x v="1"/>
    <m/>
    <x v="1"/>
    <x v="0"/>
    <m/>
    <m/>
    <m/>
    <m/>
    <m/>
  </r>
  <r>
    <s v="C342171"/>
    <s v="CAROLINA BERNAL"/>
    <x v="0"/>
    <s v="Transaccionalidad"/>
    <s v="BBVA"/>
    <e v="#NAME?"/>
    <s v="SDATOOL-37116 $ Colpensiones - Incluir en la estructura del archivo de ORDENES DE NO PAGO dos nuevas causales de rechazo"/>
    <n v="0.25"/>
    <x v="1"/>
    <m/>
    <x v="1"/>
    <x v="0"/>
    <m/>
    <m/>
    <m/>
    <m/>
    <m/>
  </r>
  <r>
    <s v="T008622  "/>
    <s v="Carolina Garzón"/>
    <x v="3"/>
    <s v="Net"/>
    <s v="GGI / CMC"/>
    <e v="#NAME?"/>
    <s v="NOSDA- BAU $ BAU (Mantenimiento y peq. evolutivos)"/>
    <n v="1"/>
    <x v="1"/>
    <m/>
    <x v="0"/>
    <x v="0"/>
    <m/>
    <m/>
    <m/>
    <m/>
    <m/>
  </r>
  <r>
    <s v="C804326"/>
    <s v="CARVAJAL ARRAIZ ANGELICA ALEJANDRA"/>
    <x v="0"/>
    <s v="Netcash"/>
    <s v="BBVA"/>
    <e v="#NAME?"/>
    <s v="SDATOOL-39255 $ OBSOLESCENCIA APLICATIVA 2022"/>
    <n v="0.75"/>
    <x v="1"/>
    <m/>
    <x v="1"/>
    <x v="0"/>
    <m/>
    <m/>
    <m/>
    <m/>
    <m/>
  </r>
  <r>
    <s v="C804326"/>
    <s v="CARVAJAL ARRAIZ ANGELICA ALEJANDRA"/>
    <x v="0"/>
    <s v="Netcash"/>
    <s v="BBVA"/>
    <e v="#NAME?"/>
    <s v="NOSDA- BAU $ BAU (Mantenimiento y peq. evolutivos)"/>
    <n v="0.25"/>
    <x v="1"/>
    <m/>
    <x v="1"/>
    <x v="0"/>
    <m/>
    <m/>
    <m/>
    <m/>
    <m/>
  </r>
  <r>
    <s v="T009658"/>
    <s v="CARVAJAL LUIS FELIPE"/>
    <x v="0"/>
    <s v="Netcash"/>
    <s v="GGI / CMC"/>
    <e v="#NAME?"/>
    <s v="SDATOOL-37169 $ EGS: Salto país y softoken"/>
    <n v="1"/>
    <x v="1"/>
    <m/>
    <x v="0"/>
    <x v="0"/>
    <m/>
    <m/>
    <m/>
    <m/>
    <m/>
  </r>
  <r>
    <s v="CE70171"/>
    <s v="CASALLAS LEGUIZAMON NELSON SEBASTIAN"/>
    <x v="0"/>
    <s v="Netcash"/>
    <s v="GGI / CMC"/>
    <e v="#NAME?"/>
    <s v="NOSDA- BAU $ BAU (Mantenimiento y peq. evolutivos)"/>
    <n v="1"/>
    <x v="1"/>
    <m/>
    <x v="0"/>
    <x v="0"/>
    <m/>
    <m/>
    <m/>
    <m/>
    <m/>
  </r>
  <r>
    <s v="C810959"/>
    <s v="Castellanos Caicedo Marco Hernan"/>
    <x v="1"/>
    <s v="Riesgos"/>
    <s v="BBVA"/>
    <e v="#NAME?"/>
    <s v="SDATOOL-30053 $ GRM Col Reg - CE016-19 Modificados, reestructurados e incumplidos RV"/>
    <n v="0.35"/>
    <x v="1"/>
    <m/>
    <x v="1"/>
    <x v="0"/>
    <m/>
    <m/>
    <m/>
    <m/>
    <m/>
  </r>
  <r>
    <s v="C810959"/>
    <s v="Castellanos Caicedo Marco Hernan"/>
    <x v="1"/>
    <s v="Riesgos"/>
    <s v="BBVA"/>
    <e v="#NAME?"/>
    <s v="SDATOOL-42098 $ GRM Col CRONOS Batch - Campañas SMeS"/>
    <n v="0.25"/>
    <x v="1"/>
    <m/>
    <x v="1"/>
    <x v="0"/>
    <m/>
    <m/>
    <m/>
    <m/>
    <m/>
  </r>
  <r>
    <s v="C810959"/>
    <s v="Castellanos Caicedo Marco Hernan"/>
    <x v="1"/>
    <s v="Riesgos"/>
    <s v="BBVA"/>
    <e v="#NAME?"/>
    <s v="SDATOOL-42098 $ GRM Col CRONOS Batch - Campañas SMeS"/>
    <n v="0.05"/>
    <x v="1"/>
    <m/>
    <x v="1"/>
    <x v="0"/>
    <m/>
    <m/>
    <m/>
    <m/>
    <m/>
  </r>
  <r>
    <s v="C810959"/>
    <s v="Castellanos Caicedo Marco Hernan"/>
    <x v="1"/>
    <s v="Riesgos"/>
    <s v="BBVA"/>
    <e v="#NAME?"/>
    <s v="SDATOOL-33846 $ SREP Data Quality- BCBS239 - Colombia"/>
    <n v="0.35"/>
    <x v="1"/>
    <m/>
    <x v="1"/>
    <x v="0"/>
    <m/>
    <m/>
    <m/>
    <m/>
    <m/>
  </r>
  <r>
    <s v="T002735"/>
    <s v="CASTELLANOS RODRIGUEZ EDUARDO"/>
    <x v="1"/>
    <s v="Cumplimiento &amp; Auditoría"/>
    <s v="MS"/>
    <e v="#NAME?"/>
    <s v="SDATOOL-29998 $ Despliegue SAS AML en BBVA CO"/>
    <n v="1"/>
    <x v="1"/>
    <m/>
    <x v="0"/>
    <x v="0"/>
    <m/>
    <m/>
    <m/>
    <m/>
    <m/>
  </r>
  <r>
    <s v="CE61320"/>
    <s v="CASTILLO ALONSO GILBERTO"/>
    <x v="0"/>
    <s v="Netcash"/>
    <s v="GGI / CMC"/>
    <e v="#NAME?"/>
    <s v="SDATOOL-40555 $ ADELANTO DE VENTA EN GEMA"/>
    <n v="1"/>
    <x v="1"/>
    <m/>
    <x v="0"/>
    <x v="0"/>
    <m/>
    <m/>
    <m/>
    <m/>
    <m/>
  </r>
  <r>
    <s v="C811188"/>
    <s v="CASTRO PULIDO STEFANNY LIZETH"/>
    <x v="0"/>
    <s v="Netcash"/>
    <s v="BBVA"/>
    <e v="#NAME?"/>
    <s v="NOSDA- BAU $ BAU (Mantenimiento y peq. evolutivos)"/>
    <n v="1"/>
    <x v="3"/>
    <m/>
    <x v="1"/>
    <x v="0"/>
    <m/>
    <m/>
    <m/>
    <m/>
    <m/>
  </r>
  <r>
    <s v="CE52336"/>
    <s v="Cely Gutierrez Anderson Sneider"/>
    <x v="3"/>
    <s v="Oficina"/>
    <s v="Inetum"/>
    <e v="#NAME?"/>
    <s v="NOSDA- BAU $ BAU (Mantenimiento y peq. evolutivos)"/>
    <n v="1"/>
    <x v="1"/>
    <m/>
    <x v="0"/>
    <x v="0"/>
    <m/>
    <m/>
    <m/>
    <m/>
    <m/>
  </r>
  <r>
    <s v="T005769"/>
    <s v="Cesar Argenis Ruano Hernandez"/>
    <x v="1"/>
    <s v="Cumplimiento &amp; Auditoría"/>
    <s v="CAPGEMINI"/>
    <e v="#NAME?"/>
    <s v="SDATOOL-29998 $ Despliegue SAS AML en BBVA CO"/>
    <n v="1"/>
    <x v="1"/>
    <m/>
    <x v="0"/>
    <x v="0"/>
    <m/>
    <m/>
    <m/>
    <m/>
    <m/>
  </r>
  <r>
    <s v="CE30638"/>
    <s v="CESAR AUGUSTO MOLANO RUEDA"/>
    <x v="2"/>
    <s v="Loans"/>
    <s v="Inetum"/>
    <e v="#NAME?"/>
    <s v="SDATOOL-36548 $ Optimización consumo web - Plan ascenso Open Market"/>
    <n v="1"/>
    <x v="1"/>
    <m/>
    <x v="0"/>
    <x v="0"/>
    <m/>
    <m/>
    <m/>
    <m/>
    <m/>
  </r>
  <r>
    <s v="CE70202"/>
    <s v="Cesar Augusto Valbuena"/>
    <x v="3"/>
    <s v="Móvil"/>
    <s v="Neoris"/>
    <e v="#NAME?"/>
    <s v="SDATOOL-9053 $ GloMo Colombia"/>
    <n v="1"/>
    <x v="0"/>
    <m/>
    <x v="0"/>
    <x v="0"/>
    <m/>
    <m/>
    <m/>
    <m/>
    <m/>
  </r>
  <r>
    <s v="T009376"/>
    <s v="CESAR LEANDRO PESTANA ROMERO"/>
    <x v="0"/>
    <s v="Senda"/>
    <s v="Novatec"/>
    <e v="#NAME?"/>
    <s v="SDATOOL-40528 $ ETPB - SENDA PAGOS"/>
    <n v="1"/>
    <x v="1"/>
    <m/>
    <x v="0"/>
    <x v="0"/>
    <m/>
    <m/>
    <m/>
    <m/>
    <m/>
  </r>
  <r>
    <s v="CE63313"/>
    <s v="CESAR LEONEL MARTIN CASTILLO (QA)"/>
    <x v="0"/>
    <s v="Transaccionalidad"/>
    <s v="Inetum"/>
    <e v="#NAME?"/>
    <s v="SDATOOL-35041 $ Obsolescencia aplicativa 2021 -PSE Comercio"/>
    <n v="0.5"/>
    <x v="0"/>
    <m/>
    <x v="0"/>
    <x v="0"/>
    <m/>
    <m/>
    <m/>
    <m/>
    <m/>
  </r>
  <r>
    <s v="CE63313"/>
    <s v="CESAR LEONEL MARTIN CASTILLO (QA)"/>
    <x v="0"/>
    <s v="Transaccionalidad"/>
    <s v="Inetum"/>
    <e v="#NAME?"/>
    <s v="SDATOOL-38427 $ Servicios transaccionales 2022"/>
    <n v="0.5"/>
    <x v="0"/>
    <m/>
    <x v="0"/>
    <x v="0"/>
    <m/>
    <m/>
    <m/>
    <m/>
    <m/>
  </r>
  <r>
    <s v="C811314"/>
    <s v="CHAPARRO LOPEZ GONZALO"/>
    <x v="0"/>
    <s v="Netcash"/>
    <s v="BBVA"/>
    <e v="#NAME?"/>
    <s v="SDATOOL-33408 $ Biocatch"/>
    <n v="0.2"/>
    <x v="2"/>
    <m/>
    <x v="1"/>
    <x v="0"/>
    <m/>
    <m/>
    <m/>
    <m/>
    <m/>
  </r>
  <r>
    <s v="C811314"/>
    <s v="CHAPARRO LOPEZ GONZALO"/>
    <x v="0"/>
    <s v="Netcash"/>
    <s v="BBVA"/>
    <e v="#NAME?"/>
    <s v="SDATOOL-39255 $ OBSOLESCENCIA APLICATIVA 2022"/>
    <n v="0.2"/>
    <x v="2"/>
    <m/>
    <x v="1"/>
    <x v="0"/>
    <m/>
    <m/>
    <m/>
    <m/>
    <m/>
  </r>
  <r>
    <s v="C811314"/>
    <s v="CHAPARRO LOPEZ GONZALO"/>
    <x v="0"/>
    <s v="Netcash"/>
    <s v="BBVA"/>
    <e v="#NAME?"/>
    <s v="SDATOOL-39840 $ BBVA Valores en Canales (Net Cash / Net)"/>
    <n v="0.2"/>
    <x v="2"/>
    <m/>
    <x v="1"/>
    <x v="0"/>
    <m/>
    <m/>
    <m/>
    <m/>
    <m/>
  </r>
  <r>
    <s v="C811314"/>
    <s v="CHAPARRO LOPEZ GONZALO"/>
    <x v="0"/>
    <s v="Netcash"/>
    <s v="BBVA"/>
    <e v="#NAME?"/>
    <s v="SDATOOL-38731 $ Prenotificaciones Canales Directos"/>
    <n v="0.1"/>
    <x v="2"/>
    <m/>
    <x v="1"/>
    <x v="0"/>
    <m/>
    <m/>
    <m/>
    <m/>
    <m/>
  </r>
  <r>
    <s v="C811314"/>
    <s v="CHAPARRO LOPEZ GONZALO"/>
    <x v="0"/>
    <s v="Netcash"/>
    <s v="BBVA"/>
    <e v="#NAME?"/>
    <s v="NOSDA- BAU $ BAU (Mantenimiento y peq. evolutivos)"/>
    <n v="0.2"/>
    <x v="2"/>
    <m/>
    <x v="1"/>
    <x v="0"/>
    <m/>
    <m/>
    <m/>
    <m/>
    <m/>
  </r>
  <r>
    <s v="C811314"/>
    <s v="CHAPARRO LOPEZ GONZALO"/>
    <x v="0"/>
    <s v="Netcash"/>
    <s v="BBVA"/>
    <e v="#NAME?"/>
    <s v="SDATOOL-39246 $ NETCASH /CANAL GLOBAL - DISPERSIÓN DE NÓMINA -ID PPT"/>
    <n v="0.1"/>
    <x v="2"/>
    <m/>
    <x v="1"/>
    <x v="0"/>
    <m/>
    <m/>
    <m/>
    <m/>
    <m/>
  </r>
  <r>
    <s v="CE57157"/>
    <s v="CHAVES ANGEL JOAN NICOLAS"/>
    <x v="0"/>
    <s v="Netcash"/>
    <s v="GGI / CMC"/>
    <e v="#NAME?"/>
    <s v="NOSDA- BAU $ BAU (Mantenimiento y peq. evolutivos)"/>
    <n v="1"/>
    <x v="1"/>
    <m/>
    <x v="0"/>
    <x v="0"/>
    <m/>
    <m/>
    <m/>
    <m/>
    <m/>
  </r>
  <r>
    <s v="CE64217"/>
    <s v="CHRISTIAN CAMILO PERDOMO MEDINA"/>
    <x v="2"/>
    <s v="Accounts"/>
    <s v="SII"/>
    <e v="#NAME?"/>
    <s v="NOSDA- BAU $ BAU (Mantenimiento y peq. evolutivos)"/>
    <n v="1"/>
    <x v="1"/>
    <m/>
    <x v="0"/>
    <x v="0"/>
    <m/>
    <m/>
    <m/>
    <m/>
    <m/>
  </r>
  <r>
    <s v="C341759"/>
    <s v="CHRISTIAN EDUARDO DIAZ GARCIA "/>
    <x v="1"/>
    <s v="Finanzas"/>
    <s v="BBVA"/>
    <e v="#NAME?"/>
    <s v="SDATOOL-23176 $ ORION"/>
    <n v="0.05"/>
    <x v="2"/>
    <m/>
    <x v="1"/>
    <x v="0"/>
    <m/>
    <m/>
    <m/>
    <m/>
    <m/>
  </r>
  <r>
    <s v="C341759"/>
    <s v="CHRISTIAN EDUARDO DIAZ GARCIA "/>
    <x v="1"/>
    <s v="Finanzas"/>
    <s v="BBVA"/>
    <e v="#NAME?"/>
    <s v="SDATOOL-32520 $ CDD Based Reporting - Colombia"/>
    <n v="0.08"/>
    <x v="2"/>
    <m/>
    <x v="1"/>
    <x v="0"/>
    <m/>
    <m/>
    <m/>
    <m/>
    <m/>
  </r>
  <r>
    <s v="C341759"/>
    <s v="CHRISTIAN EDUARDO DIAZ GARCIA "/>
    <x v="1"/>
    <s v="Finanzas"/>
    <s v="BBVA"/>
    <e v="#NAME?"/>
    <s v="SDATOOL-36918 $ Conciliación Automática del Aplicativo Módulo de Notas Contables  - CKR1"/>
    <n v="0.05"/>
    <x v="2"/>
    <m/>
    <x v="1"/>
    <x v="0"/>
    <m/>
    <m/>
    <m/>
    <m/>
    <m/>
  </r>
  <r>
    <s v="C341759"/>
    <s v="CHRISTIAN EDUARDO DIAZ GARCIA "/>
    <x v="1"/>
    <s v="Finanzas"/>
    <s v="BBVA"/>
    <e v="#NAME?"/>
    <s v="SDATOOL-33846 $ SREP Data Quality- BCBS239 - Colombia"/>
    <n v="0.02"/>
    <x v="2"/>
    <m/>
    <x v="1"/>
    <x v="0"/>
    <m/>
    <m/>
    <m/>
    <m/>
    <m/>
  </r>
  <r>
    <s v="C341759"/>
    <s v="CHRISTIAN EDUARDO DIAZ GARCIA "/>
    <x v="1"/>
    <s v="Finanzas"/>
    <s v="BBVA"/>
    <e v="#NAME?"/>
    <s v="SDATOOL-36929 $ Ciclo 1 - Resolución 098 de 2020 DIAN - Reportes de Información Exogena"/>
    <n v="0.1"/>
    <x v="2"/>
    <m/>
    <x v="1"/>
    <x v="0"/>
    <m/>
    <m/>
    <m/>
    <m/>
    <m/>
  </r>
  <r>
    <s v="C341759"/>
    <s v="CHRISTIAN EDUARDO DIAZ GARCIA "/>
    <x v="1"/>
    <s v="Finanzas"/>
    <s v="BBVA"/>
    <e v="#NAME?"/>
    <s v="SDATOOL-37483 $ Aplicativos Finanzas - 2022"/>
    <n v="0.1"/>
    <x v="2"/>
    <m/>
    <x v="1"/>
    <x v="0"/>
    <m/>
    <m/>
    <m/>
    <m/>
    <m/>
  </r>
  <r>
    <s v="C341759"/>
    <s v="CHRISTIAN EDUARDO DIAZ GARCIA "/>
    <x v="1"/>
    <s v="Finanzas"/>
    <s v="BBVA"/>
    <e v="#NAME?"/>
    <s v="SDATOOL-37681 $ Ciclo 2 - Resolución 0098 de Octubre 28 de 2020 - Reportes información Exógena Base Impuestos"/>
    <n v="0.1"/>
    <x v="2"/>
    <m/>
    <x v="1"/>
    <x v="0"/>
    <m/>
    <m/>
    <m/>
    <m/>
    <m/>
  </r>
  <r>
    <s v="C341759"/>
    <s v="CHRISTIAN EDUARDO DIAZ GARCIA "/>
    <x v="1"/>
    <s v="Finanzas"/>
    <s v="BBVA"/>
    <e v="#NAME?"/>
    <s v="SDATOOL-38583 $ FUSIONES Y ACTUALIZACION DE IDENTIFICACIONES"/>
    <n v="0.1"/>
    <x v="2"/>
    <m/>
    <x v="1"/>
    <x v="0"/>
    <m/>
    <m/>
    <m/>
    <m/>
    <m/>
  </r>
  <r>
    <s v="C341759"/>
    <s v="CHRISTIAN EDUARDO DIAZ GARCIA "/>
    <x v="1"/>
    <s v="Finanzas"/>
    <s v="BBVA"/>
    <e v="#NAME?"/>
    <s v="SDATOOL-40003 $ Resolución 0124 DIAN 2021 - Créditos Hipotecarios para remodelación de Vivienda"/>
    <n v="0.05"/>
    <x v="2"/>
    <m/>
    <x v="1"/>
    <x v="0"/>
    <m/>
    <m/>
    <m/>
    <m/>
    <m/>
  </r>
  <r>
    <s v="C341759"/>
    <s v="CHRISTIAN EDUARDO DIAZ GARCIA "/>
    <x v="1"/>
    <s v="Finanzas"/>
    <s v="BBVA"/>
    <e v="#NAME?"/>
    <s v="SDATOOL-40225 $ Resolución 0124 Dian - 2021 - Ajustes para Reporte de Información Exógena año gravable 2022 - Ciclo 1"/>
    <n v="0.1"/>
    <x v="2"/>
    <m/>
    <x v="1"/>
    <x v="0"/>
    <m/>
    <m/>
    <m/>
    <m/>
    <m/>
  </r>
  <r>
    <s v="C341759"/>
    <s v="CHRISTIAN EDUARDO DIAZ GARCIA "/>
    <x v="1"/>
    <s v="Finanzas"/>
    <s v="BBVA"/>
    <e v="#NAME?"/>
    <s v="SDATOOL-40529 $ Aplicativos Finanzas - 2023"/>
    <n v="0.1"/>
    <x v="2"/>
    <m/>
    <x v="1"/>
    <x v="0"/>
    <m/>
    <m/>
    <m/>
    <m/>
    <m/>
  </r>
  <r>
    <s v="C341759"/>
    <s v="CHRISTIAN EDUARDO DIAZ GARCIA "/>
    <x v="1"/>
    <s v="Finanzas"/>
    <s v="BBVA"/>
    <e v="#NAME?"/>
    <s v="SDATOOL-40274 $ CIRCULAR 033 de 2021-SFC"/>
    <n v="0.05"/>
    <x v="2"/>
    <m/>
    <x v="1"/>
    <x v="0"/>
    <m/>
    <m/>
    <m/>
    <m/>
    <m/>
  </r>
  <r>
    <s v="C341759"/>
    <s v="CHRISTIAN EDUARDO DIAZ GARCIA "/>
    <x v="1"/>
    <s v="Finanzas"/>
    <s v="BBVA"/>
    <e v="#NAME?"/>
    <s v="SDATOOL-33847 $ Resolución 0042 DIAN Documento Soporte"/>
    <n v="7.0000000000000007E-2"/>
    <x v="2"/>
    <m/>
    <x v="1"/>
    <x v="0"/>
    <m/>
    <m/>
    <m/>
    <m/>
    <m/>
  </r>
  <r>
    <s v="C341759"/>
    <s v="CHRISTIAN EDUARDO DIAZ GARCIA "/>
    <x v="1"/>
    <s v="Finanzas"/>
    <s v="BBVA"/>
    <e v="#NAME?"/>
    <s v="SDATOOL-33862 $ NDoD Accounting"/>
    <n v="0.03"/>
    <x v="2"/>
    <m/>
    <x v="1"/>
    <x v="0"/>
    <m/>
    <m/>
    <m/>
    <m/>
    <m/>
  </r>
  <r>
    <s v="C341767"/>
    <s v="Cipagauta Rodriguez Edwin Guillermo"/>
    <x v="1"/>
    <s v="T&amp;C"/>
    <s v="BBVA"/>
    <e v="#NAME?"/>
    <s v="SDATOOL-35775 $ (Work Day)  Nueva Plataforma Core Colombia- Impacto en Terceros"/>
    <n v="0.3"/>
    <x v="1"/>
    <m/>
    <x v="1"/>
    <x v="0"/>
    <m/>
    <m/>
    <m/>
    <m/>
    <m/>
  </r>
  <r>
    <s v="C341767"/>
    <s v="Cipagauta Rodriguez Edwin Guillermo"/>
    <x v="1"/>
    <s v="T&amp;C"/>
    <s v="BBVA"/>
    <e v="#NAME?"/>
    <s v="SDATOOL-40406 $ Plan Mejora recobro de incapacidades"/>
    <n v="0.35"/>
    <x v="1"/>
    <m/>
    <x v="1"/>
    <x v="0"/>
    <m/>
    <m/>
    <m/>
    <m/>
    <m/>
  </r>
  <r>
    <s v="C341767"/>
    <s v="Cipagauta Rodriguez Edwin Guillermo"/>
    <x v="1"/>
    <s v="T&amp;C"/>
    <s v="BBVA"/>
    <e v="#NAME?"/>
    <s v="SDATOOL-37765 $ Optimización operativa S&amp;C"/>
    <n v="0.35"/>
    <x v="1"/>
    <m/>
    <x v="1"/>
    <x v="0"/>
    <m/>
    <m/>
    <m/>
    <m/>
    <m/>
  </r>
  <r>
    <s v="C811175"/>
    <s v="CIRO ALONSO RINCON HERNANDEZ"/>
    <x v="2"/>
    <s v="Payments"/>
    <s v="BBVA"/>
    <e v="#NAME?"/>
    <s v="SDATOOL-38447 $ GRM Col - Condonación y bajas automáticas en Medios de Pago"/>
    <n v="0.2"/>
    <x v="1"/>
    <m/>
    <x v="1"/>
    <x v="0"/>
    <m/>
    <m/>
    <m/>
    <m/>
    <m/>
  </r>
  <r>
    <s v="C811175"/>
    <s v="CIRO ALONSO RINCON HERNANDEZ"/>
    <x v="2"/>
    <s v="Payments"/>
    <s v="BBVA"/>
    <e v="#NAME?"/>
    <s v="SDATOOL-40438 $ CIRCULAR 032 del 2021 - REQUERIMIENTO FISCALIA GENERAL DE LA NACION"/>
    <n v="0.8"/>
    <x v="1"/>
    <m/>
    <x v="1"/>
    <x v="0"/>
    <m/>
    <m/>
    <m/>
    <m/>
    <m/>
  </r>
  <r>
    <s v="CE46835"/>
    <s v="CLAUDIA PALENCIA"/>
    <x v="2"/>
    <s v="Payments"/>
    <s v="KRYPTO"/>
    <e v="#NAME?"/>
    <s v="SDATOOL-36556 $ Parthnerships - Tarjeta de crédito en punto de venta físico  aliados"/>
    <n v="0.2"/>
    <x v="0"/>
    <m/>
    <x v="0"/>
    <x v="0"/>
    <m/>
    <m/>
    <m/>
    <m/>
    <m/>
  </r>
  <r>
    <s v="CE46835"/>
    <s v="CLAUDIA PALENCIA"/>
    <x v="2"/>
    <s v="Payments"/>
    <s v="KRYPTO"/>
    <e v="#NAME?"/>
    <s v="SDATOOL-37057 $ Pagos QR - Entre cuentas Redeban - Plan Ascenso Mercurio"/>
    <n v="0.5"/>
    <x v="0"/>
    <m/>
    <x v="0"/>
    <x v="0"/>
    <m/>
    <m/>
    <m/>
    <m/>
    <m/>
  </r>
  <r>
    <s v="CE46835"/>
    <s v="CLAUDIA PALENCIA"/>
    <x v="2"/>
    <s v="Payments"/>
    <s v="KRYPTO"/>
    <e v="#NAME?"/>
    <s v="NOSDA- BAU $ BAU (Mantenimiento y peq. evolutivos)"/>
    <n v="0.3"/>
    <x v="0"/>
    <m/>
    <x v="0"/>
    <x v="0"/>
    <m/>
    <m/>
    <m/>
    <m/>
    <m/>
  </r>
  <r>
    <s v="CE69505"/>
    <s v="CLAUDIA YURANI TAQUEZ CHALAPUD"/>
    <x v="2"/>
    <s v="Payments"/>
    <s v="KRYPTO"/>
    <e v="#NAME?"/>
    <s v="SDATOOL-36556 $ Parthnerships - Tarjeta de crédito en punto de venta físico  aliados"/>
    <n v="0.2"/>
    <x v="0"/>
    <m/>
    <x v="0"/>
    <x v="0"/>
    <m/>
    <m/>
    <m/>
    <m/>
    <m/>
  </r>
  <r>
    <s v="CE69505"/>
    <s v="CLAUDIA YURANI TAQUEZ CHALAPUD"/>
    <x v="2"/>
    <s v="Payments"/>
    <s v="KRYPTO"/>
    <e v="#NAME?"/>
    <s v="NOSDA- BAU $ BAU (Mantenimiento y peq. evolutivos)"/>
    <n v="0.3"/>
    <x v="0"/>
    <m/>
    <x v="0"/>
    <x v="0"/>
    <m/>
    <m/>
    <m/>
    <m/>
    <m/>
  </r>
  <r>
    <s v="CE69505"/>
    <s v="CLAUDIA YURANI TAQUEZ CHALAPUD"/>
    <x v="2"/>
    <s v="Payments"/>
    <s v="KRYPTO"/>
    <e v="#NAME?"/>
    <s v="SDATOOL-37057 $ Pagos QR - Entre cuentas Redeban - Plan Ascenso Mercurio"/>
    <n v="0.5"/>
    <x v="0"/>
    <m/>
    <x v="0"/>
    <x v="0"/>
    <m/>
    <m/>
    <m/>
    <m/>
    <m/>
  </r>
  <r>
    <s v="CE50160"/>
    <s v="Consuelo Molina Guerrero"/>
    <x v="0"/>
    <s v="Soluciones financieras (Leasing)"/>
    <s v="Inetum"/>
    <e v="#NAME?"/>
    <s v="NOSDA- BAU $ BAU (Mantenimiento y peq. evolutivos)"/>
    <n v="1"/>
    <x v="1"/>
    <m/>
    <x v="0"/>
    <x v="0"/>
    <m/>
    <m/>
    <m/>
    <m/>
    <m/>
  </r>
  <r>
    <s v="CE70844"/>
    <s v="CORONADO ALVARO FELIPE"/>
    <x v="0"/>
    <s v="Netcash"/>
    <s v="BBVA"/>
    <e v="#NAME?"/>
    <s v="SDATOOL-40482 $ Incluir tasa ponderada en Adquirencia Onboarding digital - Netcash"/>
    <n v="1"/>
    <x v="1"/>
    <m/>
    <x v="1"/>
    <x v="0"/>
    <m/>
    <m/>
    <m/>
    <m/>
    <m/>
  </r>
  <r>
    <s v="T003701"/>
    <s v="CORREA HURTADO KEVIN ALEJANDRO"/>
    <x v="0"/>
    <s v="Netcash"/>
    <s v="GGI / CMC"/>
    <e v="#NAME?"/>
    <s v="NOSDA- BAU $ BAU (Mantenimiento y peq. evolutivos)"/>
    <n v="1"/>
    <x v="1"/>
    <m/>
    <x v="0"/>
    <x v="0"/>
    <m/>
    <m/>
    <m/>
    <m/>
    <m/>
  </r>
  <r>
    <s v="C811397"/>
    <s v="CRISTHIAN CAMILO FIGUEROA ENRIQUEZ"/>
    <x v="0"/>
    <s v="Gema"/>
    <s v="BBVA"/>
    <e v="#NAME?"/>
    <s v="NOSDA- BAU $ BAU (Mantenimiento y peq. evolutivos)"/>
    <n v="1"/>
    <x v="1"/>
    <m/>
    <x v="1"/>
    <x v="0"/>
    <m/>
    <m/>
    <m/>
    <m/>
    <m/>
  </r>
  <r>
    <s v="C810711"/>
    <s v="CRISTIAN ALEXANDER ROJAS AZA"/>
    <x v="3"/>
    <s v="Net"/>
    <s v="BBVA"/>
    <e v="#NAME?"/>
    <s v="SDATOOL-36558 $ Transfiya:Transferencias interbancarias inmediatas - Plan Ascenso Privado"/>
    <n v="1"/>
    <x v="1"/>
    <m/>
    <x v="1"/>
    <x v="0"/>
    <m/>
    <m/>
    <m/>
    <m/>
    <m/>
  </r>
  <r>
    <s v="C811170"/>
    <s v="CRISTIAN ANDREY ANTOLINEZ BOHORQUEZ"/>
    <x v="3"/>
    <s v="Canales asistidos Call Center / Gest. remota"/>
    <s v="BBVA"/>
    <e v="#NAME?"/>
    <s v="SDATOOL-37100 $ Soluciones de voz/Internalización del IVR - Plan Ascenso Privado"/>
    <n v="1"/>
    <x v="1"/>
    <m/>
    <x v="1"/>
    <x v="0"/>
    <m/>
    <m/>
    <m/>
    <m/>
    <m/>
  </r>
  <r>
    <s v="C811284"/>
    <s v="CRISTIAN ARLEY AMORTEGUI AREVALO"/>
    <x v="4"/>
    <s v="Global Market &amp; Comex"/>
    <s v="BBVA"/>
    <e v="#NAME?"/>
    <s v="SDATOOL-35663 $ Capacidades FX GM"/>
    <n v="0.5"/>
    <x v="1"/>
    <m/>
    <x v="1"/>
    <x v="0"/>
    <m/>
    <m/>
    <m/>
    <m/>
    <m/>
  </r>
  <r>
    <s v="C811284"/>
    <s v="CRISTIAN ARLEY AMORTEGUI AREVALO"/>
    <x v="4"/>
    <s v="Global Market &amp; Comex"/>
    <s v="BBVA"/>
    <e v="#NAME?"/>
    <s v="SDATOOL-37114 $ Actualización Botón pagos PSE versión 2.0"/>
    <n v="0.25"/>
    <x v="1"/>
    <m/>
    <x v="1"/>
    <x v="0"/>
    <m/>
    <m/>
    <m/>
    <m/>
    <m/>
  </r>
  <r>
    <s v="C811284"/>
    <s v="CRISTIAN ARLEY AMORTEGUI AREVALO"/>
    <x v="4"/>
    <s v="Global Market &amp; Comex"/>
    <s v="BBVA"/>
    <e v="#NAME?"/>
    <s v="SDATOOL-41207 $ Derivados implícitos ( Triadas)"/>
    <n v="0.25"/>
    <x v="1"/>
    <m/>
    <x v="1"/>
    <x v="0"/>
    <m/>
    <m/>
    <m/>
    <m/>
    <m/>
  </r>
  <r>
    <s v="C808271"/>
    <s v="CRISTIAN CAMILO APONTE QUIROGA"/>
    <x v="2"/>
    <s v="Cross/BPM"/>
    <s v="BBVA"/>
    <e v="#NAME?"/>
    <s v="SDATOOL-31326 $ Legalización Hipotecario"/>
    <n v="0.4"/>
    <x v="1"/>
    <s v="desarrollos F7,8; Postimplantación F5 y6"/>
    <x v="1"/>
    <x v="0"/>
    <m/>
    <m/>
    <m/>
    <m/>
    <m/>
  </r>
  <r>
    <s v="C808271"/>
    <s v="CRISTIAN CAMILO APONTE QUIROGA"/>
    <x v="2"/>
    <s v="Cross/BPM"/>
    <s v="BBVA"/>
    <e v="#NAME?"/>
    <s v="SDATOOL-36509 $ Centralización de la formalización de desembolsos Pymes"/>
    <n v="0.4"/>
    <x v="1"/>
    <s v="apoyo en desarrollos, pasa a QA marzo 6"/>
    <x v="1"/>
    <x v="0"/>
    <m/>
    <m/>
    <m/>
    <m/>
    <m/>
  </r>
  <r>
    <s v="C808271"/>
    <s v="CRISTIAN CAMILO APONTE QUIROGA"/>
    <x v="2"/>
    <s v="Cross/BPM"/>
    <s v="BBVA"/>
    <e v="#NAME?"/>
    <s v="NOSDA- BAU $ BAU (Mantenimiento y peq. evolutivos)"/>
    <n v="0.2"/>
    <x v="1"/>
    <s v="apoyo equipo operacion"/>
    <x v="1"/>
    <x v="0"/>
    <m/>
    <m/>
    <m/>
    <m/>
    <m/>
  </r>
  <r>
    <s v="CE67309"/>
    <s v="Cristian Camilo Duarte"/>
    <x v="3"/>
    <s v="Móvil"/>
    <s v="GGI / CMC"/>
    <e v="#NAME?"/>
    <s v="SDATOOL-9053 $ GloMo Colombia"/>
    <n v="1"/>
    <x v="0"/>
    <m/>
    <x v="0"/>
    <x v="0"/>
    <m/>
    <m/>
    <m/>
    <m/>
    <m/>
  </r>
  <r>
    <s v="O000988"/>
    <s v="CRISTIAN CAMILO RATIVA PARRA"/>
    <x v="2"/>
    <s v="Payments"/>
    <s v="BBVA"/>
    <e v="#NAME?"/>
    <s v="SDATOOL-41757 $ AJUSTE AUTOMATIZACION CONCILIACION ARA"/>
    <n v="0.4"/>
    <x v="1"/>
    <m/>
    <x v="1"/>
    <x v="0"/>
    <m/>
    <m/>
    <m/>
    <m/>
    <m/>
  </r>
  <r>
    <s v="O000988"/>
    <s v="CRISTIAN CAMILO RATIVA PARRA"/>
    <x v="2"/>
    <s v="Payments"/>
    <s v="BBVA"/>
    <e v="#NAME?"/>
    <s v="SDATOOL-41709 $ Fraccionamiento de transacciones en CBs"/>
    <n v="0.4"/>
    <x v="1"/>
    <m/>
    <x v="1"/>
    <x v="0"/>
    <m/>
    <m/>
    <m/>
    <m/>
    <m/>
  </r>
  <r>
    <s v="O000988"/>
    <s v="CRISTIAN CAMILO RATIVA PARRA"/>
    <x v="2"/>
    <s v="Payments"/>
    <s v="BBVA"/>
    <e v="#NAME?"/>
    <s v="NOSDA- BAU $ BAU (Mantenimiento y peq. evolutivos)"/>
    <n v="0.2"/>
    <x v="1"/>
    <m/>
    <x v="1"/>
    <x v="0"/>
    <m/>
    <m/>
    <m/>
    <m/>
    <m/>
  </r>
  <r>
    <s v="O002375"/>
    <s v="CRISTIAN DAVID BELTRAN BARRANTES"/>
    <x v="2"/>
    <s v="Cross/BPM"/>
    <s v="BBVA"/>
    <e v="#NAME?"/>
    <s v="NOSDA- BAU $ BAU (Mantenimiento y peq. evolutivos)"/>
    <n v="1"/>
    <x v="1"/>
    <s v="Arandas, producción y backlog mantenimientos menores"/>
    <x v="1"/>
    <x v="0"/>
    <m/>
    <m/>
    <m/>
    <m/>
    <m/>
  </r>
  <r>
    <s v="O002594"/>
    <s v="CRISTIAN DAVID VARGAS SIERRA"/>
    <x v="1"/>
    <s v="Cumplimiento &amp; Auditoría"/>
    <s v="BBVA"/>
    <e v="#NAME?"/>
    <s v="SDATOOL-39265 $ Migración Operaciones Fircosoft"/>
    <n v="0.1"/>
    <x v="1"/>
    <m/>
    <x v="1"/>
    <x v="0"/>
    <m/>
    <m/>
    <m/>
    <m/>
    <m/>
  </r>
  <r>
    <s v="O002594"/>
    <s v="CRISTIAN DAVID VARGAS SIERRA"/>
    <x v="1"/>
    <s v="Cumplimiento &amp; Auditoría"/>
    <s v="BBVA"/>
    <e v="#NAME?"/>
    <s v="SDATOOL-39473 $ Actualización de Was 8 a was 9. RBA"/>
    <n v="0.1"/>
    <x v="1"/>
    <m/>
    <x v="1"/>
    <x v="0"/>
    <m/>
    <m/>
    <m/>
    <m/>
    <m/>
  </r>
  <r>
    <s v="O002594"/>
    <s v="CRISTIAN DAVID VARGAS SIERRA"/>
    <x v="1"/>
    <s v="Cumplimiento &amp; Auditoría"/>
    <s v="BBVA"/>
    <e v="#NAME?"/>
    <s v="SDATOOL-40984 $ Proyecto - Identificación e ingesta de las tablas necesarias en datio y la construcción del caso de uso para la identificación de vínculos - Colombia"/>
    <n v="0.2"/>
    <x v="1"/>
    <m/>
    <x v="1"/>
    <x v="0"/>
    <m/>
    <m/>
    <m/>
    <m/>
    <m/>
  </r>
  <r>
    <s v="O002594"/>
    <s v="CRISTIAN DAVID VARGAS SIERRA"/>
    <x v="1"/>
    <s v="Cumplimiento &amp; Auditoría"/>
    <s v="BBVA"/>
    <e v="#NAME?"/>
    <s v="SDATOOL-41031 $ Proyecto - Shadow IT - Migración a un nuevo aplicativo de la herramienta SIGLAFT"/>
    <n v="0.6"/>
    <x v="1"/>
    <m/>
    <x v="1"/>
    <x v="0"/>
    <m/>
    <m/>
    <m/>
    <m/>
    <m/>
  </r>
  <r>
    <s v="T006642"/>
    <s v="Cristian Daza"/>
    <x v="3"/>
    <s v="Móvil"/>
    <s v="Neoris"/>
    <e v="#NAME?"/>
    <s v="SDATOOL-9053 $ GloMo Colombia"/>
    <n v="1"/>
    <x v="1"/>
    <m/>
    <x v="0"/>
    <x v="0"/>
    <m/>
    <m/>
    <m/>
    <m/>
    <m/>
  </r>
  <r>
    <s v="C805965"/>
    <s v="CRISTIAN ESNEIDER VELASQUEZ"/>
    <x v="2"/>
    <s v="Loans"/>
    <s v="BBVA"/>
    <e v="#NAME?"/>
    <s v="SDATOOL-34157 $ Evolutivo Parthnership - Crédito en punto de venta de Aliados"/>
    <n v="0.1"/>
    <x v="1"/>
    <m/>
    <x v="1"/>
    <x v="0"/>
    <m/>
    <m/>
    <m/>
    <m/>
    <m/>
  </r>
  <r>
    <s v="C805965"/>
    <s v="CRISTIAN ESNEIDER VELASQUEZ"/>
    <x v="2"/>
    <s v="Loans"/>
    <s v="BBVA"/>
    <e v="#NAME?"/>
    <s v="SDATOOL-34157 $ Evolutivo Parthnership - Crédito en punto de venta de Aliados"/>
    <n v="0.1"/>
    <x v="1"/>
    <m/>
    <x v="1"/>
    <x v="0"/>
    <m/>
    <m/>
    <m/>
    <m/>
    <m/>
  </r>
  <r>
    <s v="C805965"/>
    <s v="CRISTIAN ESNEIDER VELASQUEZ"/>
    <x v="2"/>
    <s v="Loans"/>
    <s v="BBVA"/>
    <e v="#NAME?"/>
    <s v="SDATOOL-40062 $ Implementación FGA en flujos de contratación digital"/>
    <n v="0.8"/>
    <x v="1"/>
    <m/>
    <x v="1"/>
    <x v="0"/>
    <m/>
    <m/>
    <m/>
    <m/>
    <m/>
  </r>
  <r>
    <s v="CE69445"/>
    <s v="Cristian Fernando Hernandez Angarita"/>
    <x v="3"/>
    <s v="Móvil"/>
    <s v="Neoris"/>
    <e v="#NAME?"/>
    <s v="SDATOOL-9053 $ GloMo Colombia"/>
    <n v="1"/>
    <x v="1"/>
    <m/>
    <x v="0"/>
    <x v="0"/>
    <m/>
    <m/>
    <m/>
    <m/>
    <m/>
  </r>
  <r>
    <s v="C342543"/>
    <s v="CRISTIAN FRANCISCO FERNANDEZ"/>
    <x v="2"/>
    <s v="Loans"/>
    <s v="BBVA"/>
    <e v="#NAME?"/>
    <s v="SDATOOL-33847 $ Resolución 0042 DIAN Documento Soporte"/>
    <n v="0.1"/>
    <x v="1"/>
    <m/>
    <x v="1"/>
    <x v="0"/>
    <m/>
    <m/>
    <m/>
    <m/>
    <m/>
  </r>
  <r>
    <s v="C342543"/>
    <s v="CRISTIAN FRANCISCO FERNANDEZ"/>
    <x v="2"/>
    <s v="Loans"/>
    <s v="BBVA"/>
    <e v="#NAME?"/>
    <s v="NOSDA- BAU $ BAU (Mantenimiento y peq. evolutivos)"/>
    <n v="0.4"/>
    <x v="1"/>
    <m/>
    <x v="1"/>
    <x v="0"/>
    <m/>
    <m/>
    <m/>
    <m/>
    <m/>
  </r>
  <r>
    <s v="C342543"/>
    <s v="CRISTIAN FRANCISCO FERNANDEZ"/>
    <x v="2"/>
    <s v="Loans"/>
    <s v="BBVA"/>
    <e v="#NAME?"/>
    <s v="SDATOOL-33846 $ SREP Data Quality- BCBS239 - Colombia"/>
    <n v="0.1"/>
    <x v="1"/>
    <m/>
    <x v="1"/>
    <x v="0"/>
    <m/>
    <m/>
    <m/>
    <m/>
    <m/>
  </r>
  <r>
    <s v="C342543"/>
    <s v="CRISTIAN FRANCISCO FERNANDEZ"/>
    <x v="2"/>
    <s v="Loans"/>
    <s v="BBVA"/>
    <e v="#NAME?"/>
    <s v="SDATOOL-40062 $ Implementación FGA en flujos de contratación digital"/>
    <n v="0.1"/>
    <x v="1"/>
    <m/>
    <x v="1"/>
    <x v="0"/>
    <m/>
    <m/>
    <m/>
    <m/>
    <m/>
  </r>
  <r>
    <s v="C342543"/>
    <s v="CRISTIAN FRANCISCO FERNANDEZ"/>
    <x v="2"/>
    <s v="Loans"/>
    <s v="BBVA"/>
    <e v="#NAME?"/>
    <s v="SDATOOL-36548 $ Optimización consumo web - Plan ascenso Open Market"/>
    <n v="0.1"/>
    <x v="1"/>
    <m/>
    <x v="1"/>
    <x v="0"/>
    <m/>
    <m/>
    <m/>
    <m/>
    <m/>
  </r>
  <r>
    <s v="C342543"/>
    <s v="CRISTIAN FRANCISCO FERNANDEZ"/>
    <x v="2"/>
    <s v="Loans"/>
    <s v="BBVA"/>
    <e v="#NAME?"/>
    <s v="SDATOOL-41729 $ SEGUNDA LIBRANZA - APLICACION PAGOS Y VoBo PAGADOR"/>
    <n v="0.1"/>
    <x v="1"/>
    <m/>
    <x v="1"/>
    <x v="0"/>
    <m/>
    <m/>
    <m/>
    <m/>
    <m/>
  </r>
  <r>
    <s v="C342543"/>
    <s v="CRISTIAN FRANCISCO FERNANDEZ"/>
    <x v="2"/>
    <s v="Loans"/>
    <s v="BBVA"/>
    <e v="#NAME?"/>
    <s v="SDATOOL-35463 $ Gestión de Ingresos - Períodos de Gracia Libranzas"/>
    <n v="0.1"/>
    <x v="1"/>
    <m/>
    <x v="1"/>
    <x v="0"/>
    <m/>
    <m/>
    <m/>
    <m/>
    <m/>
  </r>
  <r>
    <s v="O003245"/>
    <s v="CRISTIAN RENE MENDEZ"/>
    <x v="3"/>
    <s v="Canales asistidos ATM"/>
    <s v="BBVA"/>
    <e v="#NAME?"/>
    <s v="NOSDA- BAU $ BAU (Mantenimiento y peq. evolutivos)"/>
    <n v="0.1"/>
    <x v="2"/>
    <m/>
    <x v="1"/>
    <x v="0"/>
    <m/>
    <m/>
    <m/>
    <m/>
    <m/>
  </r>
  <r>
    <s v="O003245"/>
    <s v="CRISTIAN RENE MENDEZ"/>
    <x v="3"/>
    <s v="Canales asistidos ATM"/>
    <s v="BBVA"/>
    <e v="#NAME?"/>
    <s v="SDATOOL-32991 $ Comisión de Acceso a ATM's"/>
    <n v="0.2"/>
    <x v="2"/>
    <m/>
    <x v="1"/>
    <x v="0"/>
    <m/>
    <m/>
    <m/>
    <m/>
    <m/>
  </r>
  <r>
    <s v="O003245"/>
    <s v="CRISTIAN RENE MENDEZ"/>
    <x v="3"/>
    <s v="Canales asistidos ATM"/>
    <s v="BBVA"/>
    <e v="#NAME?"/>
    <s v="SDATOOL-36903 $ ATM's recicladores: Homologación y funcionalidad EtapaII"/>
    <n v="0.2"/>
    <x v="2"/>
    <m/>
    <x v="1"/>
    <x v="0"/>
    <m/>
    <m/>
    <m/>
    <m/>
    <m/>
  </r>
  <r>
    <s v="O003245"/>
    <s v="CRISTIAN RENE MENDEZ"/>
    <x v="3"/>
    <s v="Canales asistidos ATM"/>
    <s v="BBVA"/>
    <e v="#NAME?"/>
    <s v="SDATOOL-40515 $ Acción de auditoria de Cobro de Comisiones"/>
    <n v="0.1"/>
    <x v="2"/>
    <m/>
    <x v="1"/>
    <x v="0"/>
    <m/>
    <m/>
    <m/>
    <m/>
    <m/>
  </r>
  <r>
    <s v="O003245"/>
    <s v="CRISTIAN RENE MENDEZ"/>
    <x v="3"/>
    <s v="Canales asistidos ATM"/>
    <s v="BBVA"/>
    <e v="#NAME?"/>
    <s v="SDATOOL-9053 $ GloMo Colombia"/>
    <n v="0.1"/>
    <x v="2"/>
    <m/>
    <x v="1"/>
    <x v="0"/>
    <m/>
    <m/>
    <m/>
    <m/>
    <m/>
  </r>
  <r>
    <s v="O003245"/>
    <s v="CRISTIAN RENE MENDEZ"/>
    <x v="3"/>
    <s v="Canales asistidos Call Center / Gest. remota"/>
    <s v="BBVA"/>
    <e v="#NAME?"/>
    <s v="NOSDA- BAU $ BAU (Mantenimiento y peq. evolutivos)"/>
    <n v="0.1"/>
    <x v="2"/>
    <m/>
    <x v="1"/>
    <x v="0"/>
    <m/>
    <m/>
    <m/>
    <m/>
    <m/>
  </r>
  <r>
    <s v="O003245"/>
    <s v="CRISTIAN RENE MENDEZ"/>
    <x v="3"/>
    <s v="Canales asistidos Call Center / Gest. remota"/>
    <s v="BBVA"/>
    <e v="#NAME?"/>
    <s v="SDATOOL-37100 $ Soluciones de voz/Internalización del IVR - Plan Ascenso Privado"/>
    <n v="0.1"/>
    <x v="2"/>
    <m/>
    <x v="1"/>
    <x v="0"/>
    <m/>
    <m/>
    <m/>
    <m/>
    <m/>
  </r>
  <r>
    <s v="O003245"/>
    <s v="CRISTIAN RENE MENDEZ"/>
    <x v="3"/>
    <s v="Canales asistidos Call Center / Gest. remota"/>
    <s v="BBVA"/>
    <e v="#NAME?"/>
    <s v="SDATOOL-39870 $ Front - Unificación de pantallas Contac Center"/>
    <n v="0.1"/>
    <x v="2"/>
    <m/>
    <x v="1"/>
    <x v="0"/>
    <m/>
    <m/>
    <m/>
    <m/>
    <m/>
  </r>
  <r>
    <s v="CE66714"/>
    <s v="Cristian Steven Abril"/>
    <x v="3"/>
    <s v="Open Market"/>
    <s v="Novatec"/>
    <e v="#NAME?"/>
    <s v="SDATOOL-39836 $ Vivienda digital fase III"/>
    <n v="1"/>
    <x v="1"/>
    <m/>
    <x v="0"/>
    <x v="0"/>
    <m/>
    <m/>
    <m/>
    <m/>
    <m/>
  </r>
  <r>
    <s v="CE66714"/>
    <s v="CRISTIAN STEVEN ABRIL ALDANA"/>
    <x v="2"/>
    <s v="Loans"/>
    <s v="Novatec"/>
    <e v="#NAME?"/>
    <s v="SDATOOL-34887 $ Vivienda Digital Open Market"/>
    <n v="0.35"/>
    <x v="1"/>
    <m/>
    <x v="0"/>
    <x v="0"/>
    <m/>
    <m/>
    <m/>
    <m/>
    <m/>
  </r>
  <r>
    <s v="CE66714"/>
    <s v="CRISTIAN STEVEN ABRIL ALDANA"/>
    <x v="2"/>
    <s v="Loans"/>
    <s v="Novatec"/>
    <e v="#NAME?"/>
    <s v="SDATOOL-39836 $ Vivienda digital fase III"/>
    <n v="0.3"/>
    <x v="1"/>
    <m/>
    <x v="0"/>
    <x v="0"/>
    <m/>
    <m/>
    <m/>
    <m/>
    <m/>
  </r>
  <r>
    <s v="CE66714"/>
    <s v="CRISTIAN STEVEN ABRIL ALDANA"/>
    <x v="2"/>
    <s v="Loans"/>
    <s v="Novatec"/>
    <e v="#NAME?"/>
    <s v="SDATOOL-39272 $ GRM-Col-Cambio servicio APL (Aportes en línea)"/>
    <n v="0.35"/>
    <x v="1"/>
    <m/>
    <x v="0"/>
    <x v="0"/>
    <m/>
    <m/>
    <m/>
    <m/>
    <m/>
  </r>
  <r>
    <s v="CE67847"/>
    <s v="CRISTIAN STIVEN SÀNCHEZ RUBIO"/>
    <x v="2"/>
    <s v="Loans"/>
    <s v="Inetum"/>
    <e v="#NAME?"/>
    <s v="SDATOOL-39836 $ Vivienda digital fase III"/>
    <n v="1"/>
    <x v="1"/>
    <m/>
    <x v="0"/>
    <x v="0"/>
    <m/>
    <m/>
    <m/>
    <m/>
    <m/>
  </r>
  <r>
    <s v="C805453"/>
    <s v="Cuervo Duran Francisco Hernan"/>
    <x v="3"/>
    <s v="Oficina"/>
    <s v="BBVA"/>
    <e v="#NAME?"/>
    <s v="SDATOOL-37761 $ Plan transformación de procesos"/>
    <n v="1"/>
    <x v="1"/>
    <m/>
    <x v="1"/>
    <x v="0"/>
    <m/>
    <m/>
    <m/>
    <m/>
    <m/>
  </r>
  <r>
    <s v="T006646"/>
    <s v="Dallana Paola Hernandez Gaviria"/>
    <x v="3"/>
    <s v="Open Market"/>
    <s v="Neoris"/>
    <e v="#NAME?"/>
    <s v="SDATOOL-39197 $ Tealeaf SaaS"/>
    <n v="1"/>
    <x v="0"/>
    <m/>
    <x v="0"/>
    <x v="0"/>
    <m/>
    <m/>
    <m/>
    <m/>
    <m/>
  </r>
  <r>
    <s v="CE53530"/>
    <s v="DANEL PULECIO GONZALEZ"/>
    <x v="3"/>
    <s v="CRM"/>
    <s v="Neoris"/>
    <e v="#NAME?"/>
    <s v="SDATOOL-40672 $ Plan CRM: Mejoras AUG (Banca Comercial y CSF) Equipo A"/>
    <n v="0.25"/>
    <x v="1"/>
    <m/>
    <x v="0"/>
    <x v="0"/>
    <m/>
    <m/>
    <m/>
    <m/>
    <m/>
  </r>
  <r>
    <s v="T004725"/>
    <s v="DANIEL ALEJANDRO ROA ACERO "/>
    <x v="0"/>
    <s v="Soluciones financieras (Leasing)"/>
    <s v="Inetum"/>
    <e v="#NAME?"/>
    <s v="SDATOOL-33847 $ Resolución 0042 DIAN Documento Soporte"/>
    <n v="1"/>
    <x v="0"/>
    <m/>
    <x v="0"/>
    <x v="0"/>
    <m/>
    <m/>
    <m/>
    <m/>
    <m/>
  </r>
  <r>
    <s v="O001978"/>
    <s v="DANIEL ALIRIO ROA ARIZMENDI"/>
    <x v="2"/>
    <s v="Loans"/>
    <s v="BBVA"/>
    <e v="#NAME?"/>
    <s v="SDATOOL-39384 $ Abonos a préstamos por canales"/>
    <n v="0.25"/>
    <x v="1"/>
    <m/>
    <x v="1"/>
    <x v="0"/>
    <m/>
    <m/>
    <m/>
    <m/>
    <m/>
  </r>
  <r>
    <s v="O001978"/>
    <s v="DANIEL ALIRIO ROA ARIZMENDI"/>
    <x v="2"/>
    <s v="Loans"/>
    <s v="BBVA"/>
    <e v="#NAME?"/>
    <s v="SDATOOL-40435 $ Cuota Segura créditos de libranza"/>
    <n v="0.75"/>
    <x v="1"/>
    <m/>
    <x v="1"/>
    <x v="0"/>
    <m/>
    <m/>
    <m/>
    <m/>
    <m/>
  </r>
  <r>
    <s v="T002414"/>
    <s v="Daniel Andres Bernal Valencia"/>
    <x v="3"/>
    <s v="Net"/>
    <s v="GGI / CMC"/>
    <e v="#NAME?"/>
    <s v="SDATOOL-36558 $ Transfiya:Transferencias interbancarias inmediatas - Plan Ascenso Privado"/>
    <n v="1"/>
    <x v="1"/>
    <m/>
    <x v="0"/>
    <x v="0"/>
    <m/>
    <m/>
    <m/>
    <m/>
    <m/>
  </r>
  <r>
    <s v="C802581"/>
    <s v="Daniel Antonio Aguilar"/>
    <x v="3"/>
    <s v="Móvil"/>
    <s v="BBVA"/>
    <e v="#NAME?"/>
    <s v="SDATOOL-9053 $ GloMo Colombia"/>
    <n v="1"/>
    <x v="1"/>
    <m/>
    <x v="1"/>
    <x v="0"/>
    <m/>
    <m/>
    <m/>
    <m/>
    <m/>
  </r>
  <r>
    <s v="CE46213"/>
    <s v="Daniel Antonio Camacho Ariza"/>
    <x v="3"/>
    <s v="Móvil"/>
    <s v="Neoris"/>
    <e v="#NAME?"/>
    <s v="SDATOOL-9053 $ GloMo Colombia"/>
    <n v="1"/>
    <x v="1"/>
    <m/>
    <x v="0"/>
    <x v="0"/>
    <m/>
    <m/>
    <m/>
    <m/>
    <m/>
  </r>
  <r>
    <s v="O000393"/>
    <s v="DANIEL FELIPE ZAPATA"/>
    <x v="0"/>
    <s v="Transaccionalidad"/>
    <s v="BBVA"/>
    <e v="#NAME?"/>
    <s v="SDATOOL-33408 $ Biocatch"/>
    <n v="0.25"/>
    <x v="1"/>
    <m/>
    <x v="1"/>
    <x v="0"/>
    <m/>
    <m/>
    <m/>
    <m/>
    <m/>
  </r>
  <r>
    <s v="O000393"/>
    <s v="DANIEL FELIPE ZAPATA"/>
    <x v="0"/>
    <s v="Transaccionalidad"/>
    <s v="BBVA"/>
    <e v="#NAME?"/>
    <s v="SDATOOL-38427 $ Servicios transaccionales 2022"/>
    <n v="0.5"/>
    <x v="1"/>
    <m/>
    <x v="1"/>
    <x v="0"/>
    <m/>
    <m/>
    <m/>
    <m/>
    <m/>
  </r>
  <r>
    <s v="O000393"/>
    <s v="DANIEL FELIPE ZAPATA"/>
    <x v="0"/>
    <s v="Transaccionalidad"/>
    <s v="BBVA"/>
    <e v="#NAME?"/>
    <s v="SDATOOL-41980 $ Modelo API´S Recaudo (CB´s)"/>
    <n v="0.25"/>
    <x v="1"/>
    <m/>
    <x v="1"/>
    <x v="0"/>
    <m/>
    <m/>
    <m/>
    <m/>
    <m/>
  </r>
  <r>
    <s v="CE68333"/>
    <s v="DANIEL FERNANDO DIAZ CACERES"/>
    <x v="0"/>
    <s v="Gema"/>
    <s v="GGI / CMC"/>
    <e v="#NAME?"/>
    <s v="SDATOOL-32905 $ Global Enterprises Mobile App (GEMA)"/>
    <n v="1"/>
    <x v="0"/>
    <m/>
    <x v="0"/>
    <x v="0"/>
    <m/>
    <m/>
    <m/>
    <m/>
    <m/>
  </r>
  <r>
    <s v="CE70911"/>
    <s v="DANIEL FERNANDO VELASQUEZ MORENO"/>
    <x v="4"/>
    <s v="Global Market &amp; Comex"/>
    <s v="GGI / CMC"/>
    <e v="#NAME?"/>
    <s v="SDATOOL-36047 $ Bloqueo Sobregiro para Pago Capital e Intereses"/>
    <n v="0.75"/>
    <x v="0"/>
    <m/>
    <x v="0"/>
    <x v="0"/>
    <m/>
    <m/>
    <m/>
    <m/>
    <m/>
  </r>
  <r>
    <s v="CE70911"/>
    <s v="DANIEL FERNANDO VELASQUEZ MORENO"/>
    <x v="4"/>
    <s v="Global Market &amp; Comex"/>
    <s v="GGI / CMC"/>
    <e v="#NAME?"/>
    <s v="NOSDA- BAU $ BAU (Mantenimiento y peq. evolutivos)"/>
    <n v="0.25"/>
    <x v="0"/>
    <m/>
    <x v="0"/>
    <x v="0"/>
    <m/>
    <m/>
    <m/>
    <m/>
    <m/>
  </r>
  <r>
    <s v="C805996"/>
    <s v="Daniel Orlando Garzon"/>
    <x v="3"/>
    <s v="CRM"/>
    <s v="BBVA"/>
    <e v="#NAME?"/>
    <s v="SDATOOL-40672 $ Plan CRM: Mejoras AUG (Banca Comercial y CSF) Equipo A"/>
    <n v="1"/>
    <x v="1"/>
    <m/>
    <x v="1"/>
    <x v="0"/>
    <m/>
    <m/>
    <m/>
    <m/>
    <m/>
  </r>
  <r>
    <s v="C805861"/>
    <s v="DANIEL SANTIAGO JARAMILLO"/>
    <x v="2"/>
    <s v="Payments"/>
    <s v="BBVA"/>
    <e v="#NAME?"/>
    <s v="SDATOOL-37057 $ Pagos QR - Entre cuentas Redeban - Plan Ascenso Mercurio"/>
    <n v="1"/>
    <x v="1"/>
    <m/>
    <x v="1"/>
    <x v="0"/>
    <m/>
    <m/>
    <m/>
    <m/>
    <m/>
  </r>
  <r>
    <s v="T003443"/>
    <s v="Daniela Alejandra Romero Cangrejo"/>
    <x v="1"/>
    <s v="Riesgos"/>
    <s v="Neoris"/>
    <e v="#NAME?"/>
    <s v="SDATOOL-28473 $ GRM Col - TMP Cobranzas - Módulo control acuerdos de pago"/>
    <n v="1"/>
    <x v="0"/>
    <m/>
    <x v="0"/>
    <x v="0"/>
    <m/>
    <m/>
    <m/>
    <m/>
    <m/>
  </r>
  <r>
    <s v="C805724"/>
    <s v="Daniela Arevalo"/>
    <x v="3"/>
    <s v="Móvil"/>
    <s v="BBVA"/>
    <e v="#NAME?"/>
    <s v="NOSDA- BAU $ BAU (Mantenimiento y peq. evolutivos)"/>
    <n v="1"/>
    <x v="1"/>
    <m/>
    <x v="1"/>
    <x v="0"/>
    <m/>
    <m/>
    <m/>
    <m/>
    <m/>
  </r>
  <r>
    <s v="CE54569"/>
    <s v="Danilo Cusba Pulido"/>
    <x v="1"/>
    <s v="Riesgos"/>
    <s v="Choucair"/>
    <e v="#NAME?"/>
    <s v="SDATOOL-39463 $ GRM Col - Actualización Versión Power Curve."/>
    <n v="0.45"/>
    <x v="0"/>
    <m/>
    <x v="0"/>
    <x v="0"/>
    <m/>
    <m/>
    <m/>
    <m/>
    <m/>
  </r>
  <r>
    <s v="CE54569"/>
    <s v="Danilo Cusba Pulido"/>
    <x v="1"/>
    <s v="Riesgos"/>
    <s v="Choucair"/>
    <e v="#NAME?"/>
    <s v="SDATOOL-40710 $ GRM Col - Cronos - Plan Ascenso - Mejoras CAP Pymes Fase II"/>
    <n v="0.3"/>
    <x v="0"/>
    <m/>
    <x v="0"/>
    <x v="0"/>
    <m/>
    <m/>
    <m/>
    <m/>
    <m/>
  </r>
  <r>
    <s v="CE54569"/>
    <s v="Danilo Cusba Pulido"/>
    <x v="1"/>
    <s v="Riesgos"/>
    <s v="Choucair"/>
    <e v="#NAME?"/>
    <s v="SDATOOL-39826 $ GRM Col- Plan Ascenso - Mejoras en CAP Pymes y disponibilización HdC"/>
    <n v="0.15"/>
    <x v="0"/>
    <m/>
    <x v="0"/>
    <x v="0"/>
    <m/>
    <m/>
    <m/>
    <m/>
    <m/>
  </r>
  <r>
    <s v="CE54569"/>
    <s v="Danilo Cusba Pulido"/>
    <x v="1"/>
    <s v="Riesgos"/>
    <s v="Choucair"/>
    <e v="#NAME?"/>
    <s v="SDATOOL-38443 $ Arce Empresas Colombia"/>
    <n v="0.1"/>
    <x v="0"/>
    <m/>
    <x v="0"/>
    <x v="0"/>
    <m/>
    <m/>
    <m/>
    <m/>
    <m/>
  </r>
  <r>
    <s v="CE63508"/>
    <s v="Danna Valeria Mesa Alfonso"/>
    <x v="0"/>
    <s v="Soluciones financieras (Leasing)"/>
    <s v="Inetum"/>
    <e v="#NAME?"/>
    <s v="NOSDA- BAU $ BAU (Mantenimiento y peq. evolutivos)"/>
    <n v="1"/>
    <x v="0"/>
    <m/>
    <x v="0"/>
    <x v="0"/>
    <m/>
    <m/>
    <m/>
    <m/>
    <m/>
  </r>
  <r>
    <s v="T007650"/>
    <s v="DANNY CAMILO BERNAL BERNAL"/>
    <x v="2"/>
    <s v="Cross/BPM"/>
    <s v="TRYCORE"/>
    <e v="#NAME?"/>
    <s v="SDATOOL-40435 $ Cuota Segura créditos de libranza"/>
    <n v="1"/>
    <x v="1"/>
    <s v="desarrollos en curso, envio a QA S3 de bril"/>
    <x v="0"/>
    <x v="0"/>
    <m/>
    <m/>
    <m/>
    <m/>
    <m/>
  </r>
  <r>
    <s v="O001639"/>
    <s v="DAVID ANDRES RODRIGUEZ BAEZ"/>
    <x v="1"/>
    <s v="Finanzas"/>
    <s v="BBVA"/>
    <e v="#NAME?"/>
    <s v="SDATOOL-40599 $ Proyecto - Circular 025"/>
    <n v="0.2"/>
    <x v="1"/>
    <m/>
    <x v="1"/>
    <x v="0"/>
    <m/>
    <m/>
    <m/>
    <m/>
    <m/>
  </r>
  <r>
    <s v="O001639"/>
    <s v="DAVID ANDRES RODRIGUEZ BAEZ"/>
    <x v="1"/>
    <s v="Finanzas"/>
    <s v="BBVA"/>
    <e v="#NAME?"/>
    <s v="SDATOOL-33847 $ Resolución 0042 DIAN Documento Soporte"/>
    <n v="0.3"/>
    <x v="1"/>
    <m/>
    <x v="1"/>
    <x v="0"/>
    <m/>
    <m/>
    <m/>
    <m/>
    <m/>
  </r>
  <r>
    <s v="O001639"/>
    <s v="DAVID ANDRES RODRIGUEZ BAEZ"/>
    <x v="1"/>
    <s v="Finanzas"/>
    <s v="BBVA"/>
    <e v="#NAME?"/>
    <s v="SDATOOL-36918 $ Conciliación Automática del Aplicativo Módulo de Notas Contables  - CKR1"/>
    <n v="0.1"/>
    <x v="1"/>
    <m/>
    <x v="1"/>
    <x v="0"/>
    <m/>
    <m/>
    <m/>
    <m/>
    <m/>
  </r>
  <r>
    <s v="O001639"/>
    <s v="DAVID ANDRES RODRIGUEZ BAEZ"/>
    <x v="1"/>
    <s v="Finanzas"/>
    <s v="BBVA"/>
    <e v="#NAME?"/>
    <s v="SDATOOL-37184 $ Actualizaciones Aplicativo ADA V2"/>
    <n v="0.2"/>
    <x v="1"/>
    <m/>
    <x v="1"/>
    <x v="0"/>
    <m/>
    <m/>
    <m/>
    <m/>
    <m/>
  </r>
  <r>
    <s v="O001639"/>
    <s v="DAVID ANDRES RODRIGUEZ BAEZ"/>
    <x v="1"/>
    <s v="Finanzas"/>
    <s v="BBVA"/>
    <e v="#NAME?"/>
    <s v="SDATOOL-40256 $ Auditoría Apuntes Manuales Contables Logs Notas Contables C-015"/>
    <n v="0.2"/>
    <x v="1"/>
    <m/>
    <x v="1"/>
    <x v="0"/>
    <m/>
    <m/>
    <m/>
    <m/>
    <m/>
  </r>
  <r>
    <s v="C808646"/>
    <s v="DAVID CAMILO CORREDOR RODRIGUEZ"/>
    <x v="0"/>
    <s v="Soluciones financieras (Factoring)"/>
    <s v="BBVA"/>
    <e v="#NAME?"/>
    <s v="NOSDA- BAU $ BAU (Mantenimiento y peq. evolutivos)"/>
    <n v="0.5"/>
    <x v="1"/>
    <m/>
    <x v="1"/>
    <x v="0"/>
    <m/>
    <m/>
    <m/>
    <m/>
    <m/>
  </r>
  <r>
    <s v="C808646"/>
    <s v="DAVID CAMILO CORREDOR RODRIGUEZ"/>
    <x v="0"/>
    <s v="Soluciones financieras (Factoring)"/>
    <s v="BBVA"/>
    <e v="#NAME?"/>
    <s v="SDATOOL-36547 $ PLAN MAYOR -PLAN MENOR. Plan ascenso Open Market"/>
    <n v="0.5"/>
    <x v="1"/>
    <m/>
    <x v="1"/>
    <x v="0"/>
    <m/>
    <m/>
    <m/>
    <m/>
    <m/>
  </r>
  <r>
    <s v="O002666"/>
    <s v="David Esteban Aragón Peñuela"/>
    <x v="3"/>
    <s v="Móvil"/>
    <s v="BBVA"/>
    <e v="#NAME?"/>
    <s v="SDATOOL-38489 $ Horizon BTGR - Colombia"/>
    <n v="1"/>
    <x v="1"/>
    <m/>
    <x v="1"/>
    <x v="0"/>
    <m/>
    <m/>
    <m/>
    <m/>
    <m/>
  </r>
  <r>
    <s v="C808771"/>
    <s v="DAVID FEILPE CIFUENTES"/>
    <x v="0"/>
    <s v="Transaccionalidad"/>
    <s v="BBVA"/>
    <e v="#NAME?"/>
    <s v="SDATOOL-35327 $ Impuestos 2021"/>
    <n v="0.5"/>
    <x v="1"/>
    <m/>
    <x v="1"/>
    <x v="0"/>
    <m/>
    <m/>
    <m/>
    <m/>
    <m/>
  </r>
  <r>
    <s v="C808771"/>
    <s v="DAVID FEILPE CIFUENTES"/>
    <x v="0"/>
    <s v="Transaccionalidad"/>
    <s v="BBVA"/>
    <e v="#NAME?"/>
    <s v="SDATOOL-37425 $ Recaudo DIAN Tarjetas de Crédito Propio Banco través del Botón de pagos PSE para los canales Banca Personas y Banca de Empresas"/>
    <n v="0.25"/>
    <x v="1"/>
    <m/>
    <x v="1"/>
    <x v="0"/>
    <m/>
    <m/>
    <m/>
    <m/>
    <m/>
  </r>
  <r>
    <s v="C808771"/>
    <s v="DAVID FEILPE CIFUENTES"/>
    <x v="0"/>
    <s v="Transaccionalidad"/>
    <s v="BBVA"/>
    <e v="#NAME?"/>
    <s v="NOSDA- BAU $ BAU (Mantenimiento y peq. evolutivos)"/>
    <n v="0.25"/>
    <x v="1"/>
    <m/>
    <x v="1"/>
    <x v="0"/>
    <m/>
    <m/>
    <m/>
    <m/>
    <m/>
  </r>
  <r>
    <s v="T000288"/>
    <s v="David Fernando Mendieta"/>
    <x v="3"/>
    <s v="Net"/>
    <s v="GGI / CMC"/>
    <e v="#NAME?"/>
    <s v="NOSDA- BAU $ BAU (Mantenimiento y peq. evolutivos)"/>
    <n v="1"/>
    <x v="1"/>
    <m/>
    <x v="0"/>
    <x v="0"/>
    <m/>
    <m/>
    <m/>
    <m/>
    <m/>
  </r>
  <r>
    <s v="CE69821"/>
    <s v="David Garrido"/>
    <x v="3"/>
    <s v="Móvil"/>
    <s v="Globant"/>
    <e v="#NAME?"/>
    <s v="SDATOOL-9053 $ GloMo Colombia"/>
    <n v="1"/>
    <x v="1"/>
    <m/>
    <x v="0"/>
    <x v="0"/>
    <m/>
    <m/>
    <m/>
    <m/>
    <m/>
  </r>
  <r>
    <s v="CE65598"/>
    <s v="DAVID GERMAN TORRES MOLANO"/>
    <x v="2"/>
    <s v="Loans"/>
    <s v="KRYPTO"/>
    <e v="#NAME?"/>
    <s v="SDATOOL-34887 $ Vivienda Digital Open Market"/>
    <n v="0.3"/>
    <x v="0"/>
    <m/>
    <x v="0"/>
    <x v="0"/>
    <m/>
    <m/>
    <m/>
    <m/>
    <m/>
  </r>
  <r>
    <s v="CE65598"/>
    <s v="DAVID GERMAN TORRES MOLANO"/>
    <x v="2"/>
    <s v="Loans"/>
    <s v="KRYPTO"/>
    <e v="#NAME?"/>
    <s v="SDATOOL-39836 $ Vivienda digital fase III"/>
    <n v="0.3"/>
    <x v="0"/>
    <m/>
    <x v="0"/>
    <x v="0"/>
    <m/>
    <m/>
    <m/>
    <m/>
    <m/>
  </r>
  <r>
    <s v="CE65598"/>
    <s v="DAVID GERMAN TORRES MOLANO"/>
    <x v="2"/>
    <s v="Loans"/>
    <s v="KRYPTO"/>
    <e v="#NAME?"/>
    <s v="SDATOOL-39272 $ GRM-Col-Cambio servicio APL (Aportes en línea)"/>
    <n v="0.4"/>
    <x v="0"/>
    <m/>
    <x v="0"/>
    <x v="0"/>
    <m/>
    <m/>
    <m/>
    <m/>
    <m/>
  </r>
  <r>
    <s v="T002801"/>
    <s v="DAVID GONZALO LARA DIAZ"/>
    <x v="3"/>
    <s v="CRM"/>
    <s v="Neoris"/>
    <e v="#NAME?"/>
    <s v="SDATOOL-40672 $ Plan CRM: Mejoras AUG (Banca Comercial y CSF) Equipo A"/>
    <n v="1"/>
    <x v="1"/>
    <m/>
    <x v="0"/>
    <x v="0"/>
    <m/>
    <m/>
    <m/>
    <m/>
    <m/>
  </r>
  <r>
    <s v="C342547"/>
    <s v="DAVID LEONARDO OBANDO CORTÉS"/>
    <x v="3"/>
    <s v="Canales asistidos ATM"/>
    <s v="BBVA"/>
    <e v="#NAME?"/>
    <s v="SDATOOL-32991 $ Comisión de Acceso a ATM's"/>
    <n v="0.75"/>
    <x v="1"/>
    <m/>
    <x v="1"/>
    <x v="0"/>
    <m/>
    <m/>
    <m/>
    <m/>
    <m/>
  </r>
  <r>
    <s v="C342547"/>
    <s v="DAVID LEONARDO OBANDO CORTÉS"/>
    <x v="3"/>
    <s v="Canales asistidos ATM"/>
    <s v="BBVA"/>
    <e v="#NAME?"/>
    <s v="SDATOOL-40515 $ Acción de auditoria de Cobro de Comisiones"/>
    <n v="0.25"/>
    <x v="1"/>
    <m/>
    <x v="1"/>
    <x v="0"/>
    <m/>
    <m/>
    <m/>
    <m/>
    <m/>
  </r>
  <r>
    <s v="CE59507"/>
    <s v="David Rodriguez Rangel"/>
    <x v="3"/>
    <s v="Canales asistidos ATM"/>
    <s v="Inetum"/>
    <e v="#NAME?"/>
    <s v="SDATOOL-32991 $ Comisión de Acceso a ATM's"/>
    <n v="0.75"/>
    <x v="1"/>
    <m/>
    <x v="0"/>
    <x v="0"/>
    <m/>
    <m/>
    <m/>
    <m/>
    <m/>
  </r>
  <r>
    <s v="CE59507"/>
    <s v="David Rodriguez Rangel"/>
    <x v="3"/>
    <s v="Canales asistidos ATM"/>
    <s v="Inetum"/>
    <e v="#NAME?"/>
    <s v="SDATOOL-40515 $ Acción de auditoria de Cobro de Comisiones"/>
    <n v="0.25"/>
    <x v="1"/>
    <m/>
    <x v="0"/>
    <x v="0"/>
    <m/>
    <m/>
    <m/>
    <m/>
    <m/>
  </r>
  <r>
    <s v="T004575"/>
    <s v="David Sandoval Arboleda"/>
    <x v="3"/>
    <s v="Open Market"/>
    <s v="Accenture"/>
    <e v="#NAME?"/>
    <s v="SDATOOL-39348 $ tarjeta de crédito Open Market Fallback product"/>
    <n v="1"/>
    <x v="1"/>
    <m/>
    <x v="0"/>
    <x v="0"/>
    <m/>
    <m/>
    <m/>
    <m/>
    <m/>
  </r>
  <r>
    <s v="T001903"/>
    <s v="David Santiago Quijano Ordoñez"/>
    <x v="3"/>
    <s v="Open Market"/>
    <s v="Choucair"/>
    <e v="#NAME?"/>
    <s v="SDATOOL-38419 $ Contratación cuenta en línea en Glomo"/>
    <n v="1"/>
    <x v="0"/>
    <m/>
    <x v="0"/>
    <x v="0"/>
    <m/>
    <m/>
    <m/>
    <m/>
    <m/>
  </r>
  <r>
    <s v="C809749"/>
    <s v="DEIMER DAVID JIMENEZ MAESTRE"/>
    <x v="0"/>
    <s v="Transaccionalidad"/>
    <s v="BBVA"/>
    <e v="#NAME?"/>
    <s v="SDATOOL-37130 $ Pago y domiciliación de recaudo"/>
    <n v="1"/>
    <x v="1"/>
    <m/>
    <x v="1"/>
    <x v="0"/>
    <m/>
    <m/>
    <m/>
    <m/>
    <m/>
  </r>
  <r>
    <s v="C342598"/>
    <s v="DEISON COLMENARES"/>
    <x v="2"/>
    <s v="Loans"/>
    <s v="BBVA"/>
    <e v="#NAME?"/>
    <s v="SDATOOL-34887 $ Vivienda Digital Open Market"/>
    <n v="0.1"/>
    <x v="1"/>
    <m/>
    <x v="1"/>
    <x v="0"/>
    <m/>
    <m/>
    <m/>
    <m/>
    <m/>
  </r>
  <r>
    <s v="C342598"/>
    <s v="DEISON COLMENARES"/>
    <x v="2"/>
    <s v="Loans"/>
    <s v="BBVA"/>
    <e v="#NAME?"/>
    <s v="SDATOOL-39836 $ Vivienda digital fase III"/>
    <n v="0.25"/>
    <x v="1"/>
    <m/>
    <x v="1"/>
    <x v="0"/>
    <m/>
    <m/>
    <m/>
    <m/>
    <m/>
  </r>
  <r>
    <s v="C342598"/>
    <s v="DEISON COLMENARES"/>
    <x v="2"/>
    <s v="Loans"/>
    <s v="BBVA"/>
    <e v="#NAME?"/>
    <s v="SDATOOL-39272 $ GRM-Col-Cambio servicio APL (Aportes en línea)"/>
    <n v="0.2"/>
    <x v="1"/>
    <m/>
    <x v="1"/>
    <x v="0"/>
    <m/>
    <m/>
    <m/>
    <m/>
    <m/>
  </r>
  <r>
    <s v="C342598"/>
    <s v="DEISON COLMENARES"/>
    <x v="2"/>
    <s v="Loans"/>
    <s v="BBVA"/>
    <e v="#NAME?"/>
    <s v="SDATOOL-37136 $ Conexión simulador vía API Vehículo digital"/>
    <n v="0.1"/>
    <x v="1"/>
    <m/>
    <x v="1"/>
    <x v="0"/>
    <m/>
    <m/>
    <m/>
    <m/>
    <m/>
  </r>
  <r>
    <s v="C342598"/>
    <s v="DEISON COLMENARES"/>
    <x v="2"/>
    <s v="Loans"/>
    <s v="BBVA"/>
    <e v="#NAME?"/>
    <s v="SDATOOL-41752 $ Consumo Openmk con Biometría Obligatoria por Nácar para desembolsar"/>
    <n v="0.1"/>
    <x v="1"/>
    <m/>
    <x v="1"/>
    <x v="0"/>
    <m/>
    <m/>
    <m/>
    <m/>
    <m/>
  </r>
  <r>
    <s v="C342598"/>
    <s v="DEISON COLMENARES"/>
    <x v="2"/>
    <s v="Loans"/>
    <s v="BBVA"/>
    <e v="#NAME?"/>
    <s v="SDATOOL-36548 $ Optimización consumo web - Plan ascenso Open Market"/>
    <n v="0.25"/>
    <x v="1"/>
    <m/>
    <x v="1"/>
    <x v="0"/>
    <m/>
    <m/>
    <m/>
    <m/>
    <m/>
  </r>
  <r>
    <s v="C808267"/>
    <s v="DEISY YOLIMA GUAQUETA ROMERO "/>
    <x v="0"/>
    <s v="Soluciones financieras (Leasing)"/>
    <s v="BBVA"/>
    <e v="#NAME?"/>
    <s v="SDATOOL-40466 $ Garantía FAG"/>
    <n v="0.05"/>
    <x v="1"/>
    <m/>
    <x v="1"/>
    <x v="0"/>
    <m/>
    <m/>
    <m/>
    <m/>
    <m/>
  </r>
  <r>
    <s v="C808267"/>
    <s v="DEISY YOLIMA GUAQUETA ROMERO "/>
    <x v="0"/>
    <s v="Soluciones financieras (Leasing)"/>
    <s v="BBVA"/>
    <e v="#NAME?"/>
    <s v="NOSDA- BAU $ BAU (Mantenimiento y peq. evolutivos)"/>
    <n v="0.25"/>
    <x v="1"/>
    <m/>
    <x v="1"/>
    <x v="0"/>
    <m/>
    <m/>
    <m/>
    <m/>
    <m/>
  </r>
  <r>
    <s v="C808267"/>
    <s v="DEISY YOLIMA GUAQUETA ROMERO "/>
    <x v="0"/>
    <s v="Soluciones financieras (Leasing)"/>
    <s v="BBVA"/>
    <e v="#NAME?"/>
    <s v="SDATOOL-41941 $ INTEGRACIÓN DE AS400 Y HOST Y  ESTABILIZACIÓN Y RESTABLECIMIENTO  DE lOS ENTORNOS DE LEASING AS400  DE DESARROLLO Y CALIDAD&quot;"/>
    <n v="0.7"/>
    <x v="1"/>
    <m/>
    <x v="1"/>
    <x v="0"/>
    <m/>
    <m/>
    <m/>
    <m/>
    <m/>
  </r>
  <r>
    <s v="C810754_x000a_"/>
    <s v="DEIVIS JAVIER MIRANDA RAMOS "/>
    <x v="2"/>
    <s v="Cross/Ventas asistidas CAP"/>
    <s v="BBVA"/>
    <e v="#NAME?"/>
    <s v="SDATOOL-37134 $ Oferta proactiva de segundo producto desde el momento cero - Plan Ascenso Cross Sell"/>
    <n v="1"/>
    <x v="1"/>
    <m/>
    <x v="1"/>
    <x v="0"/>
    <m/>
    <m/>
    <m/>
    <m/>
    <m/>
  </r>
  <r>
    <s v="CE43166"/>
    <s v="Deyson Emir Murillo Moreno"/>
    <x v="4"/>
    <s v="Backoffice"/>
    <s v="Tecnoevolución"/>
    <e v="#NAME?"/>
    <s v="SDATOOL-38642 $ CUPON INTERMEDIO"/>
    <n v="0.5"/>
    <x v="2"/>
    <m/>
    <x v="0"/>
    <x v="0"/>
    <m/>
    <m/>
    <m/>
    <m/>
    <m/>
  </r>
  <r>
    <s v="CE43166"/>
    <s v="Deyson Emir Murillo Moreno"/>
    <x v="4"/>
    <s v="Backoffice"/>
    <s v="Tecnoevolución"/>
    <e v="#NAME?"/>
    <s v="SDATOOL-35621 $ DOCUMENTO SOPORTE FASE II - DIALOGO"/>
    <n v="0.5"/>
    <x v="2"/>
    <m/>
    <x v="0"/>
    <x v="0"/>
    <m/>
    <m/>
    <m/>
    <m/>
    <m/>
  </r>
  <r>
    <s v="C810801"/>
    <s v="DIANA BARBOSA OSPINA"/>
    <x v="2"/>
    <s v="Loans"/>
    <s v="BBVA"/>
    <e v="#NAME?"/>
    <s v="SDATOOL-39358 $ Crédito Virtual"/>
    <n v="1"/>
    <x v="1"/>
    <m/>
    <x v="1"/>
    <x v="0"/>
    <m/>
    <m/>
    <m/>
    <m/>
    <m/>
  </r>
  <r>
    <s v="C985155"/>
    <s v="Diana Carolina Arteaga"/>
    <x v="3"/>
    <s v="Net"/>
    <s v="BBVA"/>
    <e v="#NAME?"/>
    <s v="NOSDA- BAU $ BAU (Mantenimiento y peq. evolutivos)"/>
    <n v="1"/>
    <x v="1"/>
    <m/>
    <x v="1"/>
    <x v="0"/>
    <m/>
    <m/>
    <m/>
    <m/>
    <m/>
  </r>
  <r>
    <s v="C810908"/>
    <s v="DIANA CAROLINA PEÑA PALOMINO"/>
    <x v="2"/>
    <s v="Loans"/>
    <s v="BBVA"/>
    <e v="#NAME?"/>
    <s v="SDATOOL-35771 $ Pricing enterprises products - Plan Ascenso Autónomos"/>
    <n v="0.75"/>
    <x v="1"/>
    <m/>
    <x v="1"/>
    <x v="0"/>
    <m/>
    <m/>
    <m/>
    <m/>
    <m/>
  </r>
  <r>
    <s v="C810908"/>
    <s v="DIANA CAROLINA PEÑA PALOMINO"/>
    <x v="2"/>
    <s v="Loans"/>
    <s v="BBVA"/>
    <e v="#NAME?"/>
    <s v="SDATOOL-40670 $ Plan CRM: Mejoras DWP Jurídicos (Pymes, Empresas,Gobiernos)"/>
    <n v="0.25"/>
    <x v="1"/>
    <m/>
    <x v="1"/>
    <x v="0"/>
    <m/>
    <m/>
    <m/>
    <m/>
    <m/>
  </r>
  <r>
    <s v="CE70245"/>
    <s v="Diana Duarte"/>
    <x v="3"/>
    <s v="Móvil"/>
    <s v="Accenture"/>
    <e v="#NAME?"/>
    <s v="SDATOOL-9053 $ GloMo Colombia"/>
    <n v="1"/>
    <x v="1"/>
    <m/>
    <x v="0"/>
    <x v="0"/>
    <m/>
    <m/>
    <m/>
    <m/>
    <m/>
  </r>
  <r>
    <s v="C985155"/>
    <s v="DIANA EDITH VILLEGAS RAMIREZ"/>
    <x v="3"/>
    <s v="Net"/>
    <s v="BBVA"/>
    <e v="#NAME?"/>
    <s v="SDATOOL-36558 $ Transfiya:Transferencias interbancarias inmediatas - Plan Ascenso Privado"/>
    <n v="1"/>
    <x v="1"/>
    <m/>
    <x v="1"/>
    <x v="0"/>
    <m/>
    <m/>
    <m/>
    <m/>
    <m/>
  </r>
  <r>
    <s v="CE68302"/>
    <s v="DIANA GRANADA"/>
    <x v="2"/>
    <s v="Loans"/>
    <s v="Choucair"/>
    <e v="#NAME?"/>
    <s v="SDATOOL-34157 $ Evolutivo Parthnership - Crédito en punto de venta de Aliados"/>
    <n v="1"/>
    <x v="0"/>
    <m/>
    <x v="0"/>
    <x v="0"/>
    <m/>
    <m/>
    <m/>
    <m/>
    <m/>
  </r>
  <r>
    <s v="CE71171"/>
    <s v="DIANA MARCELA MORENO ORTIZ"/>
    <x v="3"/>
    <s v="CRM"/>
    <s v="Neoris"/>
    <e v="#NAME?"/>
    <s v="SDATOOL-40672 $ Plan CRM: Mejoras AUG (Banca Comercial y CSF) Equipo A"/>
    <n v="1"/>
    <x v="1"/>
    <m/>
    <x v="0"/>
    <x v="0"/>
    <m/>
    <m/>
    <m/>
    <m/>
    <m/>
  </r>
  <r>
    <s v="C811296"/>
    <s v="DIANA MARCELA QUINTERO CASTILLO "/>
    <x v="0"/>
    <s v="Soluciones financieras (Leasing)"/>
    <s v="BBVA"/>
    <e v="#NAME?"/>
    <s v="SDATOOL-39783 $ Resolución 0124 de 2021 - Captura del base de Operaciones Anuladas en Leasing - Aplic. Leasing"/>
    <n v="0.75"/>
    <x v="1"/>
    <m/>
    <x v="1"/>
    <x v="0"/>
    <m/>
    <m/>
    <m/>
    <m/>
    <m/>
  </r>
  <r>
    <s v="C811296"/>
    <s v="DIANA MARCELA QUINTERO CASTILLO "/>
    <x v="0"/>
    <s v="Soluciones financieras (Leasing)"/>
    <s v="BBVA"/>
    <e v="#NAME?"/>
    <s v="SDATOOL-40438 $ CIRCULAR 032 del 2021 - REQUERIMIENTO FISCALIA GENERAL DE LA NACION"/>
    <n v="0.25"/>
    <x v="1"/>
    <m/>
    <x v="1"/>
    <x v="0"/>
    <m/>
    <m/>
    <m/>
    <m/>
    <m/>
  </r>
  <r>
    <s v="C811280"/>
    <s v="Diana Marcela Suarez Restrero"/>
    <x v="1"/>
    <s v="Riesgos"/>
    <s v="BBVA"/>
    <e v="#NAME?"/>
    <s v="SDATOOL-39836 $ Vivienda digital fase III"/>
    <n v="0.2"/>
    <x v="2"/>
    <m/>
    <x v="1"/>
    <x v="0"/>
    <m/>
    <m/>
    <m/>
    <m/>
    <m/>
  </r>
  <r>
    <s v="C811280"/>
    <s v="Diana Marcela Suarez Restrero"/>
    <x v="1"/>
    <s v="Riesgos"/>
    <s v="BBVA"/>
    <e v="#NAME?"/>
    <s v="SDATOOL-39246 $ Nuevo tipo de identificación para extranjeros"/>
    <n v="0.15"/>
    <x v="2"/>
    <m/>
    <x v="1"/>
    <x v="0"/>
    <m/>
    <m/>
    <m/>
    <m/>
    <m/>
  </r>
  <r>
    <s v="C811280"/>
    <s v="Diana Marcela Suarez Restrero"/>
    <x v="1"/>
    <s v="Riesgos"/>
    <s v="BBVA"/>
    <e v="#NAME?"/>
    <s v="SDATOOL-40545 $ GRM Col - Mejoras Evolutivas de Aplicativos y Herramientas de Riesgos 2023"/>
    <n v="0.3"/>
    <x v="2"/>
    <s v="Endeudamiento paralelo"/>
    <x v="1"/>
    <x v="0"/>
    <m/>
    <m/>
    <m/>
    <m/>
    <m/>
  </r>
  <r>
    <s v="C811280"/>
    <s v="Diana Marcela Suarez Restrero"/>
    <x v="1"/>
    <s v="Riesgos"/>
    <s v="BBVA"/>
    <e v="#NAME?"/>
    <s v="SDATOOL-42098 $ GRM Col CRONOS Batch - Campañas SMeS"/>
    <n v="0.15"/>
    <x v="2"/>
    <m/>
    <x v="1"/>
    <x v="0"/>
    <m/>
    <m/>
    <m/>
    <m/>
    <m/>
  </r>
  <r>
    <s v="C811280"/>
    <s v="Diana Marcela Suarez Restrero"/>
    <x v="1"/>
    <s v="Riesgos"/>
    <s v="BBVA"/>
    <e v="#NAME?"/>
    <s v="SDATOOL-40545 $ GRM Col - Mejoras Evolutivas de Aplicativos y Herramientas de Riesgos 2023"/>
    <n v="0.2"/>
    <x v="2"/>
    <s v="Actualizacion servicios aso evolutivos lineamientos de arquitectura, Optimizaciones next gen"/>
    <x v="1"/>
    <x v="0"/>
    <m/>
    <m/>
    <m/>
    <m/>
    <m/>
  </r>
  <r>
    <s v="CE58194"/>
    <s v="DIANA MAYERLY RAMIREZ"/>
    <x v="2"/>
    <s v="Payments"/>
    <s v="Inetum"/>
    <e v="#NAME?"/>
    <s v="SDATOOL-40455 $ Comisión porcentaje compras internacionales Mastercard y Visa Fase 2"/>
    <n v="1"/>
    <x v="0"/>
    <m/>
    <x v="0"/>
    <x v="0"/>
    <m/>
    <m/>
    <m/>
    <m/>
    <m/>
  </r>
  <r>
    <s v="C802128"/>
    <s v="DIANA MILENA SALAMANCA CHIQUILLO"/>
    <x v="2"/>
    <s v="Accounts"/>
    <s v="BBVA"/>
    <e v="#NAME?"/>
    <s v="SDATOOL-37344 $ Automatización Operaciones en Efectivo"/>
    <n v="0.5"/>
    <x v="1"/>
    <m/>
    <x v="1"/>
    <x v="0"/>
    <m/>
    <m/>
    <m/>
    <m/>
    <m/>
  </r>
  <r>
    <s v="C802128"/>
    <s v="DIANA MILENA SALAMANCA CHIQUILLO"/>
    <x v="2"/>
    <s v="Accounts"/>
    <s v="BBVA"/>
    <e v="#NAME?"/>
    <s v="SDATOOL-40438 $ CIRCULAR 032 del 2021 - REQUERIMIENTO FISCALIA GENERAL DE LA NACION"/>
    <n v="0.5"/>
    <x v="1"/>
    <m/>
    <x v="1"/>
    <x v="0"/>
    <m/>
    <m/>
    <m/>
    <m/>
    <m/>
  </r>
  <r>
    <s v="C342600"/>
    <s v="DIANA PATRICIA BARRANTES PEREZ"/>
    <x v="0"/>
    <s v="Soluciones financieras (Leasing)"/>
    <s v="BBVA"/>
    <e v="#NAME?"/>
    <s v="SDATOOL-40466 $ Garantía FAG"/>
    <n v="0.05"/>
    <x v="2"/>
    <m/>
    <x v="1"/>
    <x v="0"/>
    <m/>
    <m/>
    <m/>
    <m/>
    <m/>
  </r>
  <r>
    <s v="C342600"/>
    <s v="DIANA PATRICIA BARRANTES PEREZ"/>
    <x v="0"/>
    <s v="Soluciones financieras (Leasing)"/>
    <s v="BBVA"/>
    <e v="#NAME?"/>
    <s v="SDATOOL-36358 $ Pagos por Terceros (Mandato y/o Administración) - Información exógena DIAN - Resolución 0098 DIAN"/>
    <n v="0.2"/>
    <x v="2"/>
    <m/>
    <x v="1"/>
    <x v="0"/>
    <m/>
    <m/>
    <m/>
    <m/>
    <m/>
  </r>
  <r>
    <s v="C342600"/>
    <s v="DIANA PATRICIA BARRANTES PEREZ"/>
    <x v="0"/>
    <s v="Soluciones financieras (Leasing)"/>
    <s v="BBVA"/>
    <e v="#NAME?"/>
    <s v="SDATOOL-33847 $ Resolución 0042 DIAN Documento Soporte"/>
    <n v="0.15"/>
    <x v="2"/>
    <m/>
    <x v="1"/>
    <x v="0"/>
    <m/>
    <m/>
    <m/>
    <m/>
    <m/>
  </r>
  <r>
    <s v="C342600"/>
    <s v="DIANA PATRICIA BARRANTES PEREZ"/>
    <x v="0"/>
    <s v="Soluciones financieras (Leasing)"/>
    <s v="BBVA"/>
    <e v="#NAME?"/>
    <s v="SDATOOL-39334 $ GRM Col Reg - CE016-19 Modificados, reestructurados e incumplidos Leasing"/>
    <n v="0.1"/>
    <x v="2"/>
    <m/>
    <x v="1"/>
    <x v="0"/>
    <m/>
    <m/>
    <m/>
    <m/>
    <m/>
  </r>
  <r>
    <s v="C342600"/>
    <s v="DIANA PATRICIA BARRANTES PEREZ"/>
    <x v="0"/>
    <s v="Soluciones financieras (Leasing)"/>
    <s v="BBVA"/>
    <e v="#NAME?"/>
    <s v="NOSDA- BAU $ BAU (Mantenimiento y peq. evolutivos)"/>
    <n v="0.1"/>
    <x v="2"/>
    <m/>
    <x v="1"/>
    <x v="0"/>
    <m/>
    <m/>
    <m/>
    <m/>
    <m/>
  </r>
  <r>
    <s v="C342600"/>
    <s v="DIANA PATRICIA BARRANTES PEREZ"/>
    <x v="0"/>
    <s v="Soluciones financieras (Leasing)"/>
    <s v="BBVA"/>
    <e v="#NAME?"/>
    <s v="SDATOOL-41941 $ INTEGRACIÓN DE AS400 Y HOST Y  ESTABILIZACIÓN Y RESTABLECIMIENTO  DE lOS ENTORNOS DE LEASING AS400  DE DESARROLLO Y CALIDAD&quot;"/>
    <n v="0.1"/>
    <x v="2"/>
    <m/>
    <x v="1"/>
    <x v="0"/>
    <m/>
    <m/>
    <m/>
    <m/>
    <m/>
  </r>
  <r>
    <s v="C342600"/>
    <s v="DIANA PATRICIA BARRANTES PEREZ"/>
    <x v="0"/>
    <s v="Soluciones financieras (Leasing)"/>
    <s v="BBVA"/>
    <e v="#NAME?"/>
    <s v="SDATOOL-40438 $ CIRCULAR 032 del 2021 - REQUERIMIENTO FISCALIA GENERAL DE LA NACION"/>
    <n v="0.1"/>
    <x v="2"/>
    <m/>
    <x v="1"/>
    <x v="0"/>
    <m/>
    <m/>
    <m/>
    <m/>
    <m/>
  </r>
  <r>
    <s v="C342600"/>
    <s v="DIANA PATRICIA BARRANTES PEREZ"/>
    <x v="0"/>
    <s v="Soluciones financieras (Leasing)"/>
    <s v="BBVA"/>
    <e v="#NAME?"/>
    <s v="SDATOOL-33846 $ SREP Data Quality- BCBS239 - Colombia"/>
    <n v="0.1"/>
    <x v="2"/>
    <m/>
    <x v="1"/>
    <x v="0"/>
    <m/>
    <m/>
    <m/>
    <m/>
    <m/>
  </r>
  <r>
    <s v="C342600"/>
    <s v="DIANA PATRICIA BARRANTES PEREZ"/>
    <x v="0"/>
    <s v="Soluciones financieras (Leasing)"/>
    <s v="BBVA"/>
    <e v="#NAME?"/>
    <s v="SDATOOL-39783 $ Resolución 0124 de 2021 - Captura del base de Operaciones Anuladas en Leasing - Aplic. Leasing"/>
    <n v="0.1"/>
    <x v="2"/>
    <m/>
    <x v="1"/>
    <x v="0"/>
    <m/>
    <m/>
    <m/>
    <m/>
    <m/>
  </r>
  <r>
    <s v="C797928"/>
    <s v="DIANA ROCIO GERENA HERRERA"/>
    <x v="2"/>
    <s v="Accounts"/>
    <s v="BBVA"/>
    <e v="#NAME?"/>
    <s v="NOSDA- BAU $ BAU (Mantenimiento y peq. evolutivos)"/>
    <n v="0.4"/>
    <x v="2"/>
    <m/>
    <x v="1"/>
    <x v="0"/>
    <m/>
    <m/>
    <m/>
    <m/>
    <m/>
  </r>
  <r>
    <s v="C797928"/>
    <s v="DIANA ROCIO GERENA HERRERA"/>
    <x v="2"/>
    <s v="Accounts"/>
    <s v="BBVA"/>
    <e v="#NAME?"/>
    <s v="SDATOOL-37111 $ Cuenta Maestra Adres"/>
    <n v="0.15"/>
    <x v="2"/>
    <m/>
    <x v="1"/>
    <x v="0"/>
    <m/>
    <m/>
    <m/>
    <m/>
    <m/>
  </r>
  <r>
    <s v="C797928"/>
    <s v="DIANA ROCIO GERENA HERRERA"/>
    <x v="2"/>
    <s v="Accounts"/>
    <s v="BBVA"/>
    <e v="#NAME?"/>
    <s v="SDATOOL-40771 $ Resolución Cuentas Maestras y Cuentas Maestras para Pagos Electrónicos (PSE): Anexo Técnico - Nuevo reporte de información"/>
    <n v="0.15"/>
    <x v="2"/>
    <m/>
    <x v="1"/>
    <x v="0"/>
    <m/>
    <m/>
    <m/>
    <m/>
    <m/>
  </r>
  <r>
    <s v="C797928"/>
    <s v="DIANA ROCIO GERENA HERRERA"/>
    <x v="2"/>
    <s v="Accounts"/>
    <s v="BBVA"/>
    <e v="#NAME?"/>
    <s v="SDATOOL-38481 $ Pricing Pasivos (optimización portafolio) - Plan Ascenso Cross Sell"/>
    <n v="0.3"/>
    <x v="2"/>
    <m/>
    <x v="1"/>
    <x v="0"/>
    <m/>
    <m/>
    <m/>
    <m/>
    <m/>
  </r>
  <r>
    <s v="CE64257"/>
    <s v="DIAZ SALAZAR EDILBERTO"/>
    <x v="0"/>
    <s v="Netcash"/>
    <s v="KRYPTO"/>
    <e v="#NAME?"/>
    <s v="NOSDA- BAU $ BAU (Mantenimiento y peq. evolutivos)"/>
    <n v="1"/>
    <x v="3"/>
    <m/>
    <x v="0"/>
    <x v="0"/>
    <m/>
    <m/>
    <m/>
    <m/>
    <m/>
  </r>
  <r>
    <s v="T003442"/>
    <s v="DIDIER ALFREDO PASUY CASTANO"/>
    <x v="1"/>
    <s v="Riesgos"/>
    <s v="Neoris"/>
    <e v="#NAME?"/>
    <s v="SDATOOL-40710 $ GRM Col - Cronos - Plan Ascenso - Mejoras CAP Pymes Fase II"/>
    <n v="0.4"/>
    <x v="1"/>
    <m/>
    <x v="0"/>
    <x v="0"/>
    <m/>
    <m/>
    <m/>
    <m/>
    <m/>
  </r>
  <r>
    <s v="T003442"/>
    <s v="DIDIER ALFREDO PASUY CASTANO"/>
    <x v="1"/>
    <s v="Riesgos"/>
    <s v="Neoris"/>
    <e v="#NAME?"/>
    <s v="SDATOOL-38443 $ Arce Empresas Colombia"/>
    <n v="0.3"/>
    <x v="1"/>
    <m/>
    <x v="0"/>
    <x v="0"/>
    <m/>
    <m/>
    <m/>
    <m/>
    <m/>
  </r>
  <r>
    <s v="T003442"/>
    <s v="DIDIER ALFREDO PASUY CASTANO"/>
    <x v="1"/>
    <s v="Riesgos"/>
    <s v="Neoris"/>
    <e v="#NAME?"/>
    <s v="SDATOOL-39830 $ GRM Col - Plan Ascenso - Mejoras CAP Pymes"/>
    <n v="0.3"/>
    <x v="1"/>
    <m/>
    <x v="0"/>
    <x v="0"/>
    <m/>
    <m/>
    <m/>
    <m/>
    <m/>
  </r>
  <r>
    <s v="CE69625"/>
    <s v="DIEGO ALBERTO NÚÑEZ SÁNCHEZ"/>
    <x v="4"/>
    <s v="Global Market &amp; Comex"/>
    <s v="Accenture"/>
    <e v="#NAME?"/>
    <s v="SDATOOL-39217 $ Aplicativos Tesorería 2022"/>
    <n v="0.5"/>
    <x v="2"/>
    <m/>
    <x v="0"/>
    <x v="0"/>
    <m/>
    <m/>
    <m/>
    <m/>
    <m/>
  </r>
  <r>
    <s v="T002003"/>
    <s v="DIEGO ALEJANDRO ASTAZIA"/>
    <x v="3"/>
    <s v="Oficina"/>
    <s v="Choucair"/>
    <e v="#NAME?"/>
    <s v="SDATOOL-37761 $ Plan transformación de procesos"/>
    <n v="0.5"/>
    <x v="0"/>
    <s v="Tester"/>
    <x v="0"/>
    <x v="0"/>
    <m/>
    <m/>
    <m/>
    <m/>
    <m/>
  </r>
  <r>
    <s v="T002003"/>
    <s v="DIEGO ALEJANDRO ASTAZIA"/>
    <x v="3"/>
    <s v="Oficina"/>
    <s v="Choucair"/>
    <e v="#NAME?"/>
    <s v="NOSDA- BAU $ BAU (Mantenimiento y peq. evolutivos)"/>
    <n v="0.5"/>
    <x v="0"/>
    <s v="Tester"/>
    <x v="0"/>
    <x v="0"/>
    <m/>
    <m/>
    <m/>
    <m/>
    <m/>
  </r>
  <r>
    <s v="O004043"/>
    <s v="Diego Alejandro Galeano garzon"/>
    <x v="3"/>
    <s v="Open Market"/>
    <s v="BBVA"/>
    <e v="#NAME?"/>
    <s v="SDATOOL-39197 $ Tealeaf SaaS"/>
    <n v="1"/>
    <x v="1"/>
    <m/>
    <x v="1"/>
    <x v="0"/>
    <m/>
    <m/>
    <m/>
    <m/>
    <m/>
  </r>
  <r>
    <s v="T001912"/>
    <s v="Diego Alejandro Parra Nuñez"/>
    <x v="3"/>
    <s v="Móvil"/>
    <s v="Neoris"/>
    <e v="#NAME?"/>
    <s v="SDATOOL-9053 $ GloMo Colombia"/>
    <n v="1"/>
    <x v="0"/>
    <m/>
    <x v="0"/>
    <x v="0"/>
    <m/>
    <m/>
    <m/>
    <m/>
    <m/>
  </r>
  <r>
    <s v="O003809"/>
    <s v="DIEGO ANDRES GUTIERREZ MESA"/>
    <x v="2"/>
    <s v="Cross/Personas y Arq. Host"/>
    <s v="BBVA"/>
    <e v="#NAME?"/>
    <s v="SDATOOL-41171 $ CBS Core Banking Strategy Convivencia Clients and Contracts"/>
    <n v="1"/>
    <x v="2"/>
    <m/>
    <x v="1"/>
    <x v="0"/>
    <m/>
    <m/>
    <m/>
    <m/>
    <m/>
  </r>
  <r>
    <s v="C804845"/>
    <s v="DIEGO ANDRES JIMENEZ PABUENA"/>
    <x v="2"/>
    <s v="Cross/Gestor documental y SSDD"/>
    <s v="BBVA"/>
    <e v="#NAME?"/>
    <s v="SDATOOL-35329 $ Activo Particular 2021"/>
    <n v="0.3"/>
    <x v="1"/>
    <m/>
    <x v="1"/>
    <x v="0"/>
    <m/>
    <m/>
    <m/>
    <m/>
    <m/>
  </r>
  <r>
    <s v="C804845"/>
    <s v="DIEGO ANDRES JIMENEZ PABUENA"/>
    <x v="2"/>
    <s v="Cross/Gestor documental y SSDD"/>
    <s v="BBVA"/>
    <e v="#NAME?"/>
    <s v="SDATOOL-40435 $ Cuota Segura créditos de libranza"/>
    <n v="0.5"/>
    <x v="1"/>
    <m/>
    <x v="1"/>
    <x v="0"/>
    <m/>
    <m/>
    <m/>
    <m/>
    <m/>
  </r>
  <r>
    <s v="C804845"/>
    <s v="DIEGO ANDRES JIMENEZ PABUENA"/>
    <x v="2"/>
    <s v="Cross/Gestor documental y SSDD"/>
    <s v="BBVA"/>
    <e v="#NAME?"/>
    <s v="NOSDA- BAU $ BAU (Mantenimiento y peq. evolutivos)"/>
    <n v="0.2"/>
    <x v="1"/>
    <s v="Operación"/>
    <x v="1"/>
    <x v="0"/>
    <m/>
    <m/>
    <m/>
    <m/>
    <m/>
  </r>
  <r>
    <s v="T002802"/>
    <s v="Diego Andrés Mateus Triana"/>
    <x v="1"/>
    <s v="T&amp;C"/>
    <s v="Novatec"/>
    <e v="#NAME?"/>
    <s v="SDATOOL-28728 $ Contratación electrónica/digital de empleados y Carpeta Virtual 2.0"/>
    <n v="1"/>
    <x v="1"/>
    <m/>
    <x v="0"/>
    <x v="0"/>
    <m/>
    <m/>
    <m/>
    <m/>
    <m/>
  </r>
  <r>
    <s v="CE63123"/>
    <s v="DIEGO ARISTOBULO DIAZ PLATA"/>
    <x v="4"/>
    <s v="Backoffice"/>
    <s v="Tecnoevolución"/>
    <e v="#NAME?"/>
    <s v="NOSDA- BAU $ BAU (Mantenimiento y peq. evolutivos)"/>
    <n v="1"/>
    <x v="1"/>
    <m/>
    <x v="0"/>
    <x v="0"/>
    <m/>
    <m/>
    <m/>
    <m/>
    <m/>
  </r>
  <r>
    <s v="C811057"/>
    <s v="DIEGO CALLEJAS"/>
    <x v="2"/>
    <s v="Loans"/>
    <s v="BBVA"/>
    <e v="#NAME?"/>
    <s v="NOSDA- BAU $ BAU (Mantenimiento y peq. evolutivos)"/>
    <n v="1"/>
    <x v="1"/>
    <m/>
    <x v="1"/>
    <x v="0"/>
    <m/>
    <m/>
    <m/>
    <m/>
    <m/>
  </r>
  <r>
    <s v="CE69612"/>
    <s v="DIEGO DIAZ VIVAS"/>
    <x v="2"/>
    <s v="Loans"/>
    <s v="Accenture"/>
    <e v="#NAME?"/>
    <s v="SDATOOL-34910 $ Libranza Digital"/>
    <n v="1"/>
    <x v="1"/>
    <m/>
    <x v="0"/>
    <x v="0"/>
    <m/>
    <m/>
    <m/>
    <m/>
    <m/>
  </r>
  <r>
    <s v="CE52470"/>
    <s v="Diego Elejalde Cifuentes"/>
    <x v="3"/>
    <s v="Oficina"/>
    <s v="SII"/>
    <e v="#NAME?"/>
    <s v="SDATOOL-35350 $ Lean Office (Biblioteca Transaccional y Nuevo Modelo de Impresión)"/>
    <n v="1"/>
    <x v="1"/>
    <m/>
    <x v="0"/>
    <x v="0"/>
    <m/>
    <m/>
    <m/>
    <m/>
    <m/>
  </r>
  <r>
    <s v="C809616"/>
    <s v="DIEGO FERNANDO MONTEALEGRE ROZO"/>
    <x v="3"/>
    <s v="Canales asistidos CB"/>
    <s v="BBVA"/>
    <e v="#NAME?"/>
    <s v="NOSDA- BAU $ BAU (Mantenimiento y peq. evolutivos)"/>
    <n v="0.1"/>
    <x v="1"/>
    <m/>
    <x v="1"/>
    <x v="0"/>
    <m/>
    <m/>
    <m/>
    <m/>
    <m/>
  </r>
  <r>
    <s v="C809616"/>
    <s v="DIEGO FERNANDO MONTEALEGRE ROZO"/>
    <x v="3"/>
    <s v="Canales asistidos CB"/>
    <s v="BBVA"/>
    <e v="#NAME?"/>
    <s v="SDATOOL-40581 $ Corresponsal Bancario Ya Ganaste"/>
    <n v="0.6"/>
    <x v="1"/>
    <m/>
    <x v="1"/>
    <x v="0"/>
    <m/>
    <m/>
    <m/>
    <m/>
    <m/>
  </r>
  <r>
    <s v="C809616"/>
    <s v="DIEGO FERNANDO MONTEALEGRE ROZO"/>
    <x v="3"/>
    <s v="Canales asistidos CB"/>
    <s v="BBVA"/>
    <e v="#NAME?"/>
    <s v="SDATOOL-33947 $ Sinergias Bancamia"/>
    <n v="0.3"/>
    <x v="1"/>
    <m/>
    <x v="1"/>
    <x v="0"/>
    <m/>
    <m/>
    <m/>
    <m/>
    <m/>
  </r>
  <r>
    <s v="CE62655"/>
    <s v="DIEGO FRANCISCO FLORES DIAZ"/>
    <x v="1"/>
    <s v="Finanzas"/>
    <s v="Indra"/>
    <e v="#NAME?"/>
    <s v="NOSDA- BAU $ BAU (Mantenimiento y peq. evolutivos)"/>
    <n v="0.5"/>
    <x v="1"/>
    <m/>
    <x v="0"/>
    <x v="0"/>
    <m/>
    <m/>
    <m/>
    <m/>
    <m/>
  </r>
  <r>
    <s v="CE62655"/>
    <s v="Diego Francisco Florez Diaz"/>
    <x v="1"/>
    <s v="Cumplimiento &amp; Auditoría"/>
    <s v="Indra"/>
    <e v="#NAME?"/>
    <s v="SDATOOL-40599 $ Proyecto - Circular 025"/>
    <n v="0.5"/>
    <x v="1"/>
    <m/>
    <x v="0"/>
    <x v="0"/>
    <m/>
    <m/>
    <m/>
    <m/>
    <m/>
  </r>
  <r>
    <s v="C804782"/>
    <s v="DIEGO JAVIER MORENO"/>
    <x v="3"/>
    <s v="Móvil"/>
    <s v="BBVA"/>
    <e v="#NAME?"/>
    <s v="NOSDA- BAU $ BAU (Mantenimiento y peq. evolutivos)"/>
    <n v="0.2"/>
    <x v="2"/>
    <m/>
    <x v="1"/>
    <x v="0"/>
    <m/>
    <m/>
    <m/>
    <m/>
    <m/>
  </r>
  <r>
    <s v="C804782"/>
    <s v="DIEGO JAVIER MORENO"/>
    <x v="3"/>
    <s v="Móvil"/>
    <s v="BBVA"/>
    <e v="#NAME?"/>
    <s v="SDATOOL-9053 $ GloMo Colombia"/>
    <n v="0.6"/>
    <x v="2"/>
    <m/>
    <x v="1"/>
    <x v="0"/>
    <m/>
    <m/>
    <m/>
    <m/>
    <m/>
  </r>
  <r>
    <s v="C804782"/>
    <s v="DIEGO JAVIER MORENO"/>
    <x v="3"/>
    <s v="Móvil"/>
    <s v="BBVA"/>
    <e v="#NAME?"/>
    <s v="SDATOOL-38489 $ Horizon BTGR - Colombia"/>
    <n v="0.2"/>
    <x v="2"/>
    <m/>
    <x v="1"/>
    <x v="0"/>
    <m/>
    <m/>
    <m/>
    <m/>
    <m/>
  </r>
  <r>
    <s v="C802282"/>
    <s v="DIEGO SANTOS DUARTE CUELLAR"/>
    <x v="3"/>
    <s v="Móvil"/>
    <s v="BBVA"/>
    <e v="#NAME?"/>
    <s v="SDATOOL-9053 $ GloMo Colombia"/>
    <n v="1"/>
    <x v="1"/>
    <m/>
    <x v="1"/>
    <x v="0"/>
    <m/>
    <m/>
    <m/>
    <m/>
    <m/>
  </r>
  <r>
    <s v="C808223"/>
    <s v="DILAN ANDRES LOPEZ MENA"/>
    <x v="4"/>
    <s v="Backoffice"/>
    <s v="BBVA"/>
    <e v="#NAME?"/>
    <s v="NOSDA- BAU $ BAU (Mantenimiento y peq. evolutivos)"/>
    <n v="1"/>
    <x v="1"/>
    <m/>
    <x v="1"/>
    <x v="0"/>
    <m/>
    <m/>
    <m/>
    <m/>
    <m/>
  </r>
  <r>
    <s v="CE41979"/>
    <s v="DILSON PARDO SANTANA"/>
    <x v="0"/>
    <s v="Soluciones financieras (Leasing)"/>
    <s v="Inetum"/>
    <e v="#NAME?"/>
    <s v="SDATOOL-33847 $ Resolución 0042 DIAN Documento Soporte"/>
    <n v="0.125"/>
    <x v="0"/>
    <m/>
    <x v="0"/>
    <x v="0"/>
    <m/>
    <m/>
    <m/>
    <m/>
    <m/>
  </r>
  <r>
    <s v="CE41979"/>
    <s v="DILSON PARDO SANTANA"/>
    <x v="0"/>
    <s v="Soluciones financieras (Leasing)"/>
    <s v="Inetum"/>
    <e v="#NAME?"/>
    <s v="SDATOOL-36358 $ Pagos por Terceros (Mandato y/o Administración) - Información exógena DIAN - Resolución 0098 DIAN"/>
    <n v="0.125"/>
    <x v="0"/>
    <m/>
    <x v="0"/>
    <x v="0"/>
    <m/>
    <m/>
    <m/>
    <m/>
    <m/>
  </r>
  <r>
    <s v="CE41979"/>
    <s v="DILSON PARDO SANTANA"/>
    <x v="0"/>
    <s v="Soluciones financieras (Factoring)"/>
    <s v="Inetum"/>
    <e v="#NAME?"/>
    <s v="SDATOOL-36547 $ PLAN MAYOR -PLAN MENOR. Plan ascenso Open Market"/>
    <n v="0.15"/>
    <x v="0"/>
    <m/>
    <x v="0"/>
    <x v="0"/>
    <m/>
    <m/>
    <m/>
    <m/>
    <m/>
  </r>
  <r>
    <s v="CE41979"/>
    <s v="DILSON PARDO SANTANA"/>
    <x v="0"/>
    <s v="Soluciones financieras (Factoring)"/>
    <s v="Inetum"/>
    <e v="#NAME?"/>
    <s v="SDATOOL-37125 $ Factoring - IBR"/>
    <n v="0.1"/>
    <x v="0"/>
    <m/>
    <x v="0"/>
    <x v="0"/>
    <m/>
    <m/>
    <m/>
    <m/>
    <m/>
  </r>
  <r>
    <s v="CE41979"/>
    <s v="DILSON PARDO SANTANA"/>
    <x v="0"/>
    <s v="Soluciones financieras (Leasing)"/>
    <s v="Inetum"/>
    <e v="#NAME?"/>
    <s v="NOSDA- BAU $ BAU (Mantenimiento y peq. evolutivos)"/>
    <n v="0.25"/>
    <x v="0"/>
    <m/>
    <x v="0"/>
    <x v="0"/>
    <m/>
    <m/>
    <m/>
    <m/>
    <m/>
  </r>
  <r>
    <s v="CE41979"/>
    <s v="DILSON PARDO SANTANA"/>
    <x v="0"/>
    <s v="Soluciones financieras (Factoring)"/>
    <s v="Inetum"/>
    <e v="#NAME?"/>
    <s v="NOSDA- BAU $ BAU (Mantenimiento y peq. evolutivos)"/>
    <n v="0.25"/>
    <x v="0"/>
    <m/>
    <x v="0"/>
    <x v="0"/>
    <m/>
    <m/>
    <m/>
    <m/>
    <m/>
  </r>
  <r>
    <s v="CE71116"/>
    <s v="Dina Luz Perez"/>
    <x v="3"/>
    <s v="Móvil"/>
    <s v="Accenture"/>
    <e v="#NAME?"/>
    <s v="SDATOOL-9053 $ GloMo Colombia"/>
    <n v="1"/>
    <x v="0"/>
    <m/>
    <x v="0"/>
    <x v="0"/>
    <m/>
    <m/>
    <m/>
    <m/>
    <m/>
  </r>
  <r>
    <s v="CE69380"/>
    <s v="Diocleciano López Carbono"/>
    <x v="4"/>
    <s v="Backoffice"/>
    <s v="Tecnoevolución"/>
    <e v="#NAME?"/>
    <s v="SDATOOL-33907 $ Manejo Fiscal Prima o Descuento Renta Fija"/>
    <n v="1"/>
    <x v="1"/>
    <m/>
    <x v="0"/>
    <x v="0"/>
    <m/>
    <m/>
    <m/>
    <m/>
    <m/>
  </r>
  <r>
    <s v="O001338"/>
    <s v="DIVER ANDREY SUATERNA"/>
    <x v="3"/>
    <s v="Oficina"/>
    <s v="BBVA"/>
    <e v="#NAME?"/>
    <s v="SDATOOL-35350 $ Lean Office (Biblioteca Transaccional y Nuevo Modelo de Impresión)"/>
    <n v="1"/>
    <x v="1"/>
    <m/>
    <x v="1"/>
    <x v="0"/>
    <m/>
    <m/>
    <m/>
    <m/>
    <m/>
  </r>
  <r>
    <s v="C809592"/>
    <s v="DOUGLAS ROLANDO OVIES PULIDO"/>
    <x v="0"/>
    <s v="Soluciones financieras (Factoring)"/>
    <s v="BBVA"/>
    <e v="#NAME?"/>
    <s v="SDATOOL-36547 $ PLAN MAYOR -PLAN MENOR. Plan ascenso Open Market"/>
    <n v="0.25"/>
    <x v="1"/>
    <m/>
    <x v="1"/>
    <x v="0"/>
    <m/>
    <m/>
    <m/>
    <m/>
    <m/>
  </r>
  <r>
    <s v="C809592"/>
    <s v="DOUGLAS ROLANDO OVIES PULIDO"/>
    <x v="0"/>
    <s v="Soluciones financieras (Factoring)"/>
    <s v="BBVA"/>
    <e v="#NAME?"/>
    <s v="NOSDA- BAU $ BAU (Mantenimiento y peq. evolutivos)"/>
    <n v="0.75"/>
    <x v="1"/>
    <m/>
    <x v="1"/>
    <x v="0"/>
    <m/>
    <m/>
    <m/>
    <m/>
    <m/>
  </r>
  <r>
    <s v="T000273"/>
    <s v="Dubán Felipe Guarín"/>
    <x v="3"/>
    <s v="Net"/>
    <s v="GGI / CMC"/>
    <e v="#NAME?"/>
    <s v="SDATOOL-9053 $ GloMo Colombia"/>
    <n v="1"/>
    <x v="1"/>
    <m/>
    <x v="0"/>
    <x v="0"/>
    <m/>
    <m/>
    <m/>
    <m/>
    <m/>
  </r>
  <r>
    <s v="CE69094"/>
    <s v="DUVAN ALEJANDRO BERNATE PIAMBA "/>
    <x v="2"/>
    <s v="Loans"/>
    <s v="KRYPTO"/>
    <e v="#NAME?"/>
    <s v="SDATOOL-34887 $ Vivienda Digital Open Market"/>
    <n v="0.5"/>
    <x v="0"/>
    <m/>
    <x v="0"/>
    <x v="0"/>
    <m/>
    <m/>
    <m/>
    <m/>
    <m/>
  </r>
  <r>
    <s v="CE69094"/>
    <s v="DUVAN ALEJANDRO BERNATE PIAMBA "/>
    <x v="2"/>
    <s v="Loans"/>
    <s v="KRYPTO"/>
    <e v="#NAME?"/>
    <s v="SDATOOL-39836 $ Vivienda digital fase III"/>
    <n v="0.5"/>
    <x v="0"/>
    <m/>
    <x v="0"/>
    <x v="0"/>
    <m/>
    <m/>
    <m/>
    <m/>
    <m/>
  </r>
  <r>
    <s v="O001657"/>
    <s v="Duvan Alejandro Ramirez"/>
    <x v="3"/>
    <s v="CRM"/>
    <s v="BBVA"/>
    <e v="#NAME?"/>
    <s v="SDATOOL-37121 $ Plan CRM: Seguimiento al pipeline"/>
    <n v="1"/>
    <x v="1"/>
    <m/>
    <x v="1"/>
    <x v="0"/>
    <m/>
    <m/>
    <m/>
    <m/>
    <m/>
  </r>
  <r>
    <s v="C804037"/>
    <s v="Eddy Hernando Bogota Cangrejo"/>
    <x v="1"/>
    <s v="Riesgos"/>
    <s v="BBVA"/>
    <e v="#NAME?"/>
    <s v="SDATOOL-38443 $ Arce Empresas Colombia"/>
    <n v="0.15"/>
    <x v="2"/>
    <m/>
    <x v="1"/>
    <x v="0"/>
    <m/>
    <m/>
    <m/>
    <m/>
    <m/>
  </r>
  <r>
    <s v="C804037"/>
    <s v="Eddy Hernando Bogota Cangrejo"/>
    <x v="1"/>
    <s v="Riesgos"/>
    <s v="BBVA"/>
    <e v="#NAME?"/>
    <s v="SDATOOL-39826 $ GRM Col- Plan Ascenso - Mejoras en CAP Pymes y disponibilización HdC"/>
    <n v="0.15"/>
    <x v="2"/>
    <m/>
    <x v="1"/>
    <x v="0"/>
    <m/>
    <m/>
    <m/>
    <m/>
    <m/>
  </r>
  <r>
    <s v="C804037"/>
    <s v="Eddy Hernando Bogota Cangrejo"/>
    <x v="1"/>
    <s v="Riesgos"/>
    <s v="BBVA"/>
    <e v="#NAME?"/>
    <s v="SDATOOL-39830 $ GRM Col - Plan Ascenso - Mejoras CAP Pymes"/>
    <n v="0.15"/>
    <x v="2"/>
    <m/>
    <x v="1"/>
    <x v="0"/>
    <m/>
    <m/>
    <m/>
    <m/>
    <m/>
  </r>
  <r>
    <s v="C804037"/>
    <s v="Eddy Hernando Bogota Cangrejo"/>
    <x v="1"/>
    <s v="Riesgos"/>
    <s v="BBVA"/>
    <e v="#NAME?"/>
    <s v="SDATOOL-35656 $ Cupos y límites"/>
    <n v="0.15"/>
    <x v="2"/>
    <m/>
    <x v="1"/>
    <x v="0"/>
    <m/>
    <m/>
    <m/>
    <m/>
    <m/>
  </r>
  <r>
    <s v="C804037"/>
    <s v="Eddy Hernando Bogota Cangrejo"/>
    <x v="1"/>
    <s v="Riesgos"/>
    <s v="BBVA"/>
    <e v="#NAME?"/>
    <s v="SDATOOL-40710 $ GRM Col - Cronos - Plan Ascenso - Mejoras CAP Pymes Fase II"/>
    <n v="0.15"/>
    <x v="2"/>
    <m/>
    <x v="1"/>
    <x v="0"/>
    <m/>
    <m/>
    <m/>
    <m/>
    <m/>
  </r>
  <r>
    <s v="C804037"/>
    <s v="Eddy Hernando Bogota Cangrejo"/>
    <x v="1"/>
    <s v="Riesgos"/>
    <s v="BBVA"/>
    <e v="#NAME?"/>
    <s v="SDATOOL-42098 $ GRM Col CRONOS Batch - Campañas SMeS"/>
    <n v="0.15"/>
    <x v="2"/>
    <m/>
    <x v="1"/>
    <x v="0"/>
    <m/>
    <m/>
    <m/>
    <m/>
    <m/>
  </r>
  <r>
    <s v="C804037"/>
    <s v="Eddy Hernando Bogota Cangrejo"/>
    <x v="1"/>
    <s v="Riesgos"/>
    <s v="BBVA"/>
    <e v="#NAME?"/>
    <s v="NOSDA- BAU $ BAU (Mantenimiento y peq. evolutivos)"/>
    <n v="0.1"/>
    <x v="2"/>
    <m/>
    <x v="1"/>
    <x v="0"/>
    <m/>
    <m/>
    <m/>
    <m/>
    <m/>
  </r>
  <r>
    <s v="O001977"/>
    <s v="EDDY MAURICIO SUAREZ MOLINA"/>
    <x v="2"/>
    <s v="Loans"/>
    <s v="BBVA"/>
    <e v="#NAME?"/>
    <s v="SDATOOL-39384 $ Abonos a préstamos por canales"/>
    <n v="0.25"/>
    <x v="1"/>
    <m/>
    <x v="1"/>
    <x v="0"/>
    <m/>
    <m/>
    <m/>
    <m/>
    <m/>
  </r>
  <r>
    <s v="O001977"/>
    <s v="EDDY MAURICIO SUAREZ MOLINA"/>
    <x v="2"/>
    <s v="Loans"/>
    <s v="BBVA"/>
    <e v="#NAME?"/>
    <s v="SDATOOL-28278 $ GRM Col - TMP Cobranzas - Pago en Canales Alternos"/>
    <n v="0.75"/>
    <x v="1"/>
    <m/>
    <x v="1"/>
    <x v="0"/>
    <m/>
    <m/>
    <m/>
    <m/>
    <m/>
  </r>
  <r>
    <s v="T005394"/>
    <s v="Eder Alberto Niño Mora"/>
    <x v="1"/>
    <s v="Finanzas"/>
    <s v="GGI / CMC"/>
    <e v="#NAME?"/>
    <s v="SDATOOL-40225 $ Resolución 0124 Dian - 2021 - Ajustes para Reporte de Información Exógena año gravable 2022 - Ciclo 1"/>
    <n v="1"/>
    <x v="1"/>
    <m/>
    <x v="0"/>
    <x v="0"/>
    <m/>
    <m/>
    <m/>
    <m/>
    <m/>
  </r>
  <r>
    <s v="CE48051"/>
    <s v="EDGAR ANDRES GARZON"/>
    <x v="2"/>
    <s v="Accounts"/>
    <s v="Novatec"/>
    <e v="#NAME?"/>
    <s v="SDATOOL-38419 $ Contratación cuenta en línea en Glomo"/>
    <n v="1"/>
    <x v="1"/>
    <m/>
    <x v="0"/>
    <x v="0"/>
    <m/>
    <m/>
    <m/>
    <m/>
    <m/>
  </r>
  <r>
    <s v="CE48051"/>
    <s v="Edgar Andrés Garzon Rangel"/>
    <x v="3"/>
    <s v="Open Market"/>
    <s v="Novatec"/>
    <e v="#NAME?"/>
    <s v="SDATOOL-38419 $ Contratación cuenta en línea en Glomo"/>
    <n v="1"/>
    <x v="1"/>
    <m/>
    <x v="0"/>
    <x v="0"/>
    <m/>
    <m/>
    <m/>
    <m/>
    <m/>
  </r>
  <r>
    <s v="C342595"/>
    <s v="EDGAR IVAN ARIAS MALDONADO"/>
    <x v="3"/>
    <s v="Net"/>
    <s v="BBVA"/>
    <e v="#NAME?"/>
    <s v="SDATOOL-36558 $ Transfiya:Transferencias interbancarias inmediatas - Plan Ascenso Privado"/>
    <n v="1"/>
    <x v="1"/>
    <m/>
    <x v="1"/>
    <x v="0"/>
    <m/>
    <m/>
    <m/>
    <m/>
    <m/>
  </r>
  <r>
    <s v="C796415"/>
    <s v="EDGAR REY"/>
    <x v="2"/>
    <s v="Loans"/>
    <s v="BBVA"/>
    <e v="#NAME?"/>
    <s v="NOSDA- BAU $ BAU (Mantenimiento y peq. evolutivos)"/>
    <n v="1"/>
    <x v="2"/>
    <m/>
    <x v="1"/>
    <x v="0"/>
    <m/>
    <m/>
    <m/>
    <m/>
    <m/>
  </r>
  <r>
    <s v="O000444"/>
    <s v="EDGAR VASQUEZ RUIZ"/>
    <x v="2"/>
    <s v="Loans"/>
    <s v="BBVA"/>
    <e v="#NAME?"/>
    <s v="SDATOOL-40435 $ Cuota Segura créditos de libranza"/>
    <n v="1"/>
    <x v="1"/>
    <m/>
    <x v="1"/>
    <x v="0"/>
    <m/>
    <m/>
    <m/>
    <m/>
    <m/>
  </r>
  <r>
    <s v="C343334"/>
    <s v="Edison Jovanny Castillo"/>
    <x v="2"/>
    <s v="Cross/BPM"/>
    <s v="BBVA"/>
    <e v="#NAME?"/>
    <s v="NOSDA- BAU $ BAU (Mantenimiento y peq. evolutivos)"/>
    <n v="0.75"/>
    <x v="1"/>
    <s v="MN-cancelacion garantias"/>
    <x v="1"/>
    <x v="0"/>
    <m/>
    <m/>
    <m/>
    <m/>
    <m/>
  </r>
  <r>
    <s v="C343334"/>
    <s v="Edison Jovanny Castillo"/>
    <x v="2"/>
    <s v="Cross/BPM"/>
    <s v="BBVA"/>
    <e v="#NAME?"/>
    <s v="SDATOOL-41877 $ Apagado Bonita 5 Community e impulsar JBPM Corporativa"/>
    <n v="0.25"/>
    <x v="1"/>
    <s v="MN-cancelacion garantias"/>
    <x v="1"/>
    <x v="0"/>
    <m/>
    <m/>
    <m/>
    <m/>
    <m/>
  </r>
  <r>
    <s v="O001647"/>
    <s v="Edison Ramírez"/>
    <x v="3"/>
    <s v="Net"/>
    <s v="BBVA"/>
    <e v="#NAME?"/>
    <s v="SDATOOL-39246 $ Nuevo tipo de identificación para extranjeros"/>
    <n v="1"/>
    <x v="1"/>
    <m/>
    <x v="1"/>
    <x v="0"/>
    <m/>
    <m/>
    <m/>
    <m/>
    <m/>
  </r>
  <r>
    <s v="O000437"/>
    <s v="EDISON TRONCOSO PARADA"/>
    <x v="2"/>
    <s v="Cross/Personas y Arq. Host"/>
    <s v="BBVA"/>
    <e v="#NAME?"/>
    <s v="NOSDA- BAU $ BAU (Mantenimiento y peq. evolutivos)"/>
    <n v="0.5"/>
    <x v="1"/>
    <m/>
    <x v="1"/>
    <x v="0"/>
    <m/>
    <m/>
    <m/>
    <m/>
    <m/>
  </r>
  <r>
    <s v="O000437"/>
    <s v="EDISON TRONCOSO PARADA"/>
    <x v="2"/>
    <s v="Cross/Personas y Arq. Host"/>
    <s v="BBVA"/>
    <e v="#NAME?"/>
    <s v="SDATOOL-41171 $ CBS Core Banking Strategy Convivencia Clients and Contracts"/>
    <n v="0.3"/>
    <x v="1"/>
    <m/>
    <x v="1"/>
    <x v="0"/>
    <m/>
    <m/>
    <m/>
    <m/>
    <m/>
  </r>
  <r>
    <s v="O000437"/>
    <s v="EDISON TRONCOSO PARADA"/>
    <x v="2"/>
    <s v="Cross/Personas y Arq. Host"/>
    <s v="BBVA"/>
    <e v="#NAME?"/>
    <s v="SDATOOL-39246 $ Nuevo tipo de identificación para extranjeros"/>
    <n v="0.1"/>
    <x v="1"/>
    <m/>
    <x v="1"/>
    <x v="0"/>
    <m/>
    <m/>
    <m/>
    <m/>
    <m/>
  </r>
  <r>
    <s v="O000437"/>
    <s v="EDISON TRONCOSO PARADA"/>
    <x v="2"/>
    <s v="Cross/Personas y Arq. Host"/>
    <s v="BBVA"/>
    <e v="#NAME?"/>
    <s v="SDATOOL-41202 $ GRM Col - Ajustes Asset Allocation y Riesgo de Concentración"/>
    <n v="0.1"/>
    <x v="1"/>
    <m/>
    <x v="1"/>
    <x v="0"/>
    <m/>
    <m/>
    <m/>
    <m/>
    <m/>
  </r>
  <r>
    <s v="C808683"/>
    <s v="EDISON YESID GONZALEZ LANCHEROS"/>
    <x v="0"/>
    <s v="Soluciones financieras (Leasing)"/>
    <s v="BBVA"/>
    <e v="#NAME?"/>
    <s v="SDATOOL-36358 $ Pagos por Terceros (Mandato y/o Administración) - Información exógena DIAN - Resolución 0098 DIAN"/>
    <n v="0.1"/>
    <x v="1"/>
    <m/>
    <x v="1"/>
    <x v="0"/>
    <m/>
    <m/>
    <m/>
    <m/>
    <m/>
  </r>
  <r>
    <s v="C808683"/>
    <s v="EDISON YESID GONZALEZ LANCHEROS"/>
    <x v="0"/>
    <s v="Soluciones financieras (Leasing)"/>
    <s v="BBVA"/>
    <e v="#NAME?"/>
    <s v="SDATOOL-33847 $ Resolución 0042 DIAN Documento Soporte"/>
    <n v="0.85"/>
    <x v="1"/>
    <m/>
    <x v="1"/>
    <x v="0"/>
    <m/>
    <m/>
    <m/>
    <m/>
    <m/>
  </r>
  <r>
    <s v="C808683"/>
    <s v="EDISON YESID GONZALEZ LANCHEROS"/>
    <x v="0"/>
    <s v="Soluciones financieras (Leasing)"/>
    <s v="BBVA"/>
    <e v="#NAME?"/>
    <s v="SDATOOL-40466 $ Garantía FAG"/>
    <n v="0.05"/>
    <x v="1"/>
    <m/>
    <x v="1"/>
    <x v="0"/>
    <m/>
    <m/>
    <m/>
    <m/>
    <m/>
  </r>
  <r>
    <s v="C811398"/>
    <s v="EDISSON ARMANDO BLANCO SALAMANCA"/>
    <x v="0"/>
    <s v="Gema"/>
    <s v="BBVA"/>
    <e v="#NAME?"/>
    <s v="SDATOOL-39354 $ My business Open Pay - Plan Ascenso Mercurio"/>
    <n v="1"/>
    <x v="1"/>
    <m/>
    <x v="1"/>
    <x v="0"/>
    <m/>
    <m/>
    <m/>
    <m/>
    <m/>
  </r>
  <r>
    <s v="O003002"/>
    <s v="Edisson Iovani Rodriguez Socha"/>
    <x v="3"/>
    <s v="Móvil"/>
    <s v="BBVA"/>
    <e v="#NAME?"/>
    <s v="SDATOOL-38489 $ Horizon BTGR - Colombia"/>
    <n v="1"/>
    <x v="1"/>
    <m/>
    <x v="1"/>
    <x v="0"/>
    <m/>
    <m/>
    <m/>
    <m/>
    <m/>
  </r>
  <r>
    <s v="CE51863"/>
    <s v="EDNA ROCIO MONCADA"/>
    <x v="0"/>
    <s v="Net"/>
    <s v="KRYPTO"/>
    <e v="#NAME?"/>
    <s v="SDATOOL-32905 $ Global Enterprises Mobile App (GEMA)"/>
    <n v="0.5"/>
    <x v="0"/>
    <m/>
    <x v="0"/>
    <x v="0"/>
    <m/>
    <m/>
    <m/>
    <m/>
    <m/>
  </r>
  <r>
    <s v="CE69111"/>
    <s v="EDNA YURANI GIL"/>
    <x v="2"/>
    <s v="Cross/Ventas asistidas CAP"/>
    <s v="Choucair"/>
    <e v="#NAME?"/>
    <s v="SDATOOL-38091 $ Higiénicos Plataforma Digital de Oficinas CAP"/>
    <n v="1"/>
    <x v="0"/>
    <m/>
    <x v="0"/>
    <x v="0"/>
    <m/>
    <m/>
    <m/>
    <m/>
    <m/>
  </r>
  <r>
    <s v="CE67846"/>
    <s v="Edson Suarez"/>
    <x v="3"/>
    <s v="Móvil"/>
    <s v="Accenture"/>
    <e v="#NAME?"/>
    <s v="SDATOOL-9053 $ GloMo Colombia"/>
    <n v="1"/>
    <x v="0"/>
    <m/>
    <x v="0"/>
    <x v="0"/>
    <m/>
    <m/>
    <m/>
    <m/>
    <m/>
  </r>
  <r>
    <s v="O000448"/>
    <s v="EDUAR BOLAÑOS"/>
    <x v="2"/>
    <s v="Loans"/>
    <s v="BBVA"/>
    <e v="#NAME?"/>
    <s v="SDATOOL-39836 $ Vivienda digital fase III"/>
    <n v="0.5"/>
    <x v="1"/>
    <m/>
    <x v="1"/>
    <x v="0"/>
    <m/>
    <m/>
    <m/>
    <m/>
    <m/>
  </r>
  <r>
    <s v="O000448"/>
    <s v="EDUAR BOLAÑOS"/>
    <x v="2"/>
    <s v="Loans"/>
    <s v="BBVA"/>
    <e v="#NAME?"/>
    <s v="SDATOOL-34887 $ Vivienda Digital Open Market"/>
    <n v="0.2"/>
    <x v="1"/>
    <m/>
    <x v="1"/>
    <x v="0"/>
    <m/>
    <m/>
    <m/>
    <m/>
    <m/>
  </r>
  <r>
    <s v="O000448"/>
    <s v="EDUAR BOLAÑOS"/>
    <x v="2"/>
    <s v="Loans"/>
    <s v="BBVA"/>
    <e v="#NAME?"/>
    <s v="SDATOOL-39272 $ GRM-Col-Cambio servicio APL (Aportes en línea)"/>
    <n v="0.3"/>
    <x v="1"/>
    <m/>
    <x v="1"/>
    <x v="0"/>
    <m/>
    <m/>
    <m/>
    <m/>
    <m/>
  </r>
  <r>
    <s v="C804843"/>
    <s v="EDUAR DUBAN GONZALEZ JOYA"/>
    <x v="4"/>
    <s v="Global Market &amp; Comex"/>
    <s v="BBVA"/>
    <e v="#NAME?"/>
    <s v="SDATOOL-27736 $ Proyecto Plan de Transformación de Datos (PTD)"/>
    <n v="0.5"/>
    <x v="1"/>
    <m/>
    <x v="1"/>
    <x v="0"/>
    <m/>
    <m/>
    <m/>
    <m/>
    <m/>
  </r>
  <r>
    <s v="C804843"/>
    <s v="EDUAR DUBAN GONZALEZ JOYA"/>
    <x v="4"/>
    <s v="Global Market &amp; Comex"/>
    <s v="BBVA"/>
    <e v="#NAME?"/>
    <s v="SDATOOL-40269 $ Actualización y transmisión Declaraciones de Cambio – Banco de la República Abril 2022."/>
    <n v="0.25"/>
    <x v="1"/>
    <m/>
    <x v="1"/>
    <x v="0"/>
    <m/>
    <m/>
    <m/>
    <m/>
    <m/>
  </r>
  <r>
    <s v="C804843"/>
    <s v="EDUAR DUBAN GONZALEZ JOYA"/>
    <x v="4"/>
    <s v="Global Market &amp; Comex"/>
    <s v="BBVA"/>
    <e v="#NAME?"/>
    <s v="NOSDA- BAU $ BAU (Mantenimiento y peq. evolutivos)"/>
    <n v="0.25"/>
    <x v="1"/>
    <m/>
    <x v="1"/>
    <x v="0"/>
    <m/>
    <m/>
    <m/>
    <m/>
    <m/>
  </r>
  <r>
    <s v="O001722"/>
    <s v="EDWARD ALEXANDER DUQUE TAMAYO"/>
    <x v="2"/>
    <s v="Payments"/>
    <s v="BBVA"/>
    <e v="#NAME?"/>
    <s v="NOSDA- BAU $ BAU (Mantenimiento y peq. evolutivos)"/>
    <n v="1"/>
    <x v="1"/>
    <m/>
    <x v="1"/>
    <x v="0"/>
    <m/>
    <m/>
    <m/>
    <m/>
    <m/>
  </r>
  <r>
    <s v="C805770"/>
    <s v="Edward Enrique Vaca"/>
    <x v="2"/>
    <s v="Cross/BPM"/>
    <s v="BBVA"/>
    <e v="#NAME?"/>
    <s v="SDATOOL-40435 $ Cuota Segura créditos de libranza"/>
    <n v="0.5"/>
    <x v="1"/>
    <s v="Lider tecnico para BPM "/>
    <x v="1"/>
    <x v="0"/>
    <m/>
    <m/>
    <m/>
    <m/>
    <m/>
  </r>
  <r>
    <s v="C805770"/>
    <s v="Edward Enrique Vaca"/>
    <x v="2"/>
    <s v="Cross/BPM"/>
    <s v="BBVA"/>
    <e v="#NAME?"/>
    <s v="NOSDA- BAU $ BAU (Mantenimiento y peq. evolutivos)"/>
    <n v="0.5"/>
    <x v="1"/>
    <s v="MN-2091 Reingenieria proceso cancelacion de garantias, desarrollos con entrega a QA S3 agosto"/>
    <x v="1"/>
    <x v="0"/>
    <m/>
    <m/>
    <m/>
    <m/>
    <m/>
  </r>
  <r>
    <s v="C821589"/>
    <s v="Edward Moreno"/>
    <x v="3"/>
    <s v="Net"/>
    <s v="BBVA"/>
    <e v="#NAME?"/>
    <s v="SDATOOL-39246 $ Nuevo tipo de identificación para extranjeros"/>
    <n v="1"/>
    <x v="1"/>
    <m/>
    <x v="1"/>
    <x v="0"/>
    <m/>
    <m/>
    <m/>
    <m/>
    <m/>
  </r>
  <r>
    <s v="CE68712"/>
    <s v="EDWARD STIVEN RODRIGUEZ MORENO"/>
    <x v="1"/>
    <s v="Finanzas"/>
    <s v="BLUETAB"/>
    <e v="#NAME?"/>
    <s v="SDATOOL-33862 $ NDoD Accounting"/>
    <n v="0.4"/>
    <x v="1"/>
    <m/>
    <x v="0"/>
    <x v="0"/>
    <m/>
    <m/>
    <m/>
    <m/>
    <m/>
  </r>
  <r>
    <s v="CE68712"/>
    <s v="Edward Stiven Rodriguez Moreno"/>
    <x v="1"/>
    <s v="Riesgos"/>
    <s v="BLUETAB"/>
    <e v="#NAME?"/>
    <s v="SDATOOL-29029 $ EBA Guidelines (NDoD/PD/LGD) - Colombia"/>
    <n v="0.6"/>
    <x v="1"/>
    <m/>
    <x v="0"/>
    <x v="0"/>
    <m/>
    <m/>
    <m/>
    <m/>
    <m/>
  </r>
  <r>
    <s v="C810674"/>
    <s v="EDWIN ARMANDO CASTRO MARTIN"/>
    <x v="3"/>
    <s v="Canales asistidos Call Center / Gest. remota"/>
    <s v="BBVA"/>
    <e v="#NAME?"/>
    <s v="SDATOOL-39870 $ Front - Unificación de pantallas Contac Center"/>
    <n v="1"/>
    <x v="1"/>
    <m/>
    <x v="1"/>
    <x v="0"/>
    <m/>
    <m/>
    <m/>
    <m/>
    <m/>
  </r>
  <r>
    <s v="C811198"/>
    <s v="EDWIN DAVID TORO ECHEVERRIA"/>
    <x v="3"/>
    <s v="Móvil"/>
    <s v="BBVA"/>
    <e v="#NAME?"/>
    <s v="SDATOOL-38489 $ Horizon BTGR - Colombia"/>
    <n v="1"/>
    <x v="1"/>
    <m/>
    <x v="1"/>
    <x v="0"/>
    <m/>
    <m/>
    <m/>
    <m/>
    <m/>
  </r>
  <r>
    <s v="C804325"/>
    <s v="Edwin Giovanny Cetina Pinzón."/>
    <x v="2"/>
    <s v="Cross/BPM"/>
    <s v="BBVA"/>
    <e v="#NAME?"/>
    <s v="SDATOOL-40435 $ Cuota Segura créditos de libranza"/>
    <n v="0.4"/>
    <x v="1"/>
    <m/>
    <x v="1"/>
    <x v="0"/>
    <m/>
    <m/>
    <m/>
    <m/>
    <m/>
  </r>
  <r>
    <s v="C804325"/>
    <s v="Edwin Giovanny Cetina Pinzón."/>
    <x v="2"/>
    <s v="Cross/BPM"/>
    <s v="BBVA"/>
    <e v="#NAME?"/>
    <s v="SDATOOL-35384 $ Gestión Documental Pyme Admisión"/>
    <n v="0.05"/>
    <x v="1"/>
    <m/>
    <x v="1"/>
    <x v="0"/>
    <m/>
    <m/>
    <m/>
    <m/>
    <m/>
  </r>
  <r>
    <s v="C804325"/>
    <s v="Edwin Giovanny Cetina Pinzón."/>
    <x v="2"/>
    <s v="Cross/BPM"/>
    <s v="BBVA"/>
    <e v="#NAME?"/>
    <s v="SDATOOL-34782 $ Solicitud de cupo DIY"/>
    <n v="0.05"/>
    <x v="1"/>
    <m/>
    <x v="1"/>
    <x v="0"/>
    <m/>
    <m/>
    <m/>
    <m/>
    <m/>
  </r>
  <r>
    <s v="C804325"/>
    <s v="Edwin Giovanny Cetina Pinzón."/>
    <x v="2"/>
    <s v="Cross/BPM"/>
    <s v="BBVA"/>
    <e v="#NAME?"/>
    <s v="NOSDA- BAU $ BAU (Mantenimiento y peq. evolutivos)"/>
    <n v="0.5"/>
    <x v="1"/>
    <s v="CAP Retail"/>
    <x v="1"/>
    <x v="0"/>
    <m/>
    <m/>
    <m/>
    <m/>
    <m/>
  </r>
  <r>
    <s v="C809504"/>
    <s v="ELIEZER JOSUE CONEO VEGA"/>
    <x v="2"/>
    <s v="Payments"/>
    <s v="BBVA"/>
    <e v="#NAME?"/>
    <s v="SDATOOL-38447 $ GRM Col - Condonación y bajas automáticas en Medios de Pago"/>
    <n v="0.2"/>
    <x v="1"/>
    <m/>
    <x v="1"/>
    <x v="0"/>
    <m/>
    <m/>
    <m/>
    <m/>
    <m/>
  </r>
  <r>
    <s v="C809504"/>
    <s v="ELIEZER JOSUE CONEO VEGA"/>
    <x v="2"/>
    <s v="Payments"/>
    <s v="BBVA"/>
    <e v="#NAME?"/>
    <s v="SDATOOL-33846 $ SREP Data Quality- BCBS239 - Colombia"/>
    <n v="0.6"/>
    <x v="1"/>
    <m/>
    <x v="1"/>
    <x v="0"/>
    <m/>
    <m/>
    <m/>
    <m/>
    <m/>
  </r>
  <r>
    <s v="C809504"/>
    <s v="ELIEZER JOSUE CONEO VEGA"/>
    <x v="2"/>
    <s v="Payments"/>
    <s v="BBVA"/>
    <e v="#NAME?"/>
    <s v="NOSDA- BAU $ BAU (Mantenimiento y peq. evolutivos)"/>
    <n v="0.2"/>
    <x v="1"/>
    <m/>
    <x v="1"/>
    <x v="0"/>
    <m/>
    <m/>
    <m/>
    <m/>
    <m/>
  </r>
  <r>
    <s v="O000962"/>
    <s v="ELIZABETH  TRIANA PRIETO"/>
    <x v="2"/>
    <s v="Payments"/>
    <s v="BBVA"/>
    <e v="#NAME?"/>
    <s v="SDATOOL-36556 $ Parthnerships - Tarjeta de crédito en punto de venta físico  aliados"/>
    <n v="1"/>
    <x v="2"/>
    <m/>
    <x v="1"/>
    <x v="0"/>
    <m/>
    <m/>
    <m/>
    <m/>
    <m/>
  </r>
  <r>
    <s v="O001334"/>
    <s v="ELKIN FERNANDO RIVERA GOMEZ"/>
    <x v="0"/>
    <s v="Soluciones financieras (Factoring)"/>
    <s v="BBVA"/>
    <e v="#NAME?"/>
    <s v="SDATOOL-36547 $ PLAN MAYOR -PLAN MENOR. Plan ascenso Open Market"/>
    <n v="0.5"/>
    <x v="3"/>
    <m/>
    <x v="1"/>
    <x v="0"/>
    <m/>
    <m/>
    <m/>
    <m/>
    <m/>
  </r>
  <r>
    <s v="O001334"/>
    <s v="ELKIN FERNANDO RIVERA GOMEZ"/>
    <x v="0"/>
    <s v="Soluciones financieras (Factoring)"/>
    <s v="BBVA"/>
    <e v="#NAME?"/>
    <s v="SDATOOL-40438 $ CIRCULAR 032 del 2021 - REQUERIMIENTO FISCALIA GENERAL DE LA NACION"/>
    <n v="0.25"/>
    <x v="3"/>
    <m/>
    <x v="1"/>
    <x v="0"/>
    <m/>
    <m/>
    <m/>
    <m/>
    <m/>
  </r>
  <r>
    <s v="O001334"/>
    <s v="ELKIN FERNANDO RIVERA GOMEZ"/>
    <x v="0"/>
    <s v="Soluciones financieras (Factoring)"/>
    <s v="BBVA"/>
    <e v="#NAME?"/>
    <s v="SDATOOL-42106 $ Emisión Certificados Tributarios a  proveedores en  Operaciones Sin Recurso (Proyecto Normativo)"/>
    <n v="0.25"/>
    <x v="3"/>
    <m/>
    <x v="1"/>
    <x v="0"/>
    <m/>
    <m/>
    <m/>
    <m/>
    <m/>
  </r>
  <r>
    <s v="C809600"/>
    <s v="EMMA YADIRA CASTIBLANCO"/>
    <x v="3"/>
    <s v="Móvil"/>
    <s v="BBVA"/>
    <e v="#NAME?"/>
    <s v="SDATOOL-9053 $ GloMo Colombia"/>
    <n v="1"/>
    <x v="0"/>
    <m/>
    <x v="1"/>
    <x v="0"/>
    <m/>
    <m/>
    <m/>
    <m/>
    <m/>
  </r>
  <r>
    <s v="CE71118"/>
    <s v="Erick Bermejo"/>
    <x v="3"/>
    <s v="Móvil"/>
    <s v="Accenture"/>
    <e v="#NAME?"/>
    <s v="SDATOOL-9053 $ GloMo Colombia"/>
    <n v="1"/>
    <x v="0"/>
    <m/>
    <x v="0"/>
    <x v="0"/>
    <m/>
    <m/>
    <m/>
    <m/>
    <m/>
  </r>
  <r>
    <s v="T007567"/>
    <s v="ERIKA LILIANA ESPINOSA DUQUE"/>
    <x v="2"/>
    <s v="Loans"/>
    <s v="Choucair"/>
    <e v="#NAME?"/>
    <s v="SDATOOL-34910 $ Libranza Digital"/>
    <n v="1"/>
    <x v="0"/>
    <m/>
    <x v="0"/>
    <x v="0"/>
    <m/>
    <m/>
    <m/>
    <m/>
    <m/>
  </r>
  <r>
    <s v="C810846"/>
    <s v="ERIKA ZULEIMA MARTINEZ RODRIGUEZ"/>
    <x v="2"/>
    <s v="Loans"/>
    <s v="BBVA"/>
    <e v="#NAME?"/>
    <s v="SDATOOL-36560 $ Pricing de libranza - Plan Ascenso Open Market"/>
    <n v="1"/>
    <x v="1"/>
    <m/>
    <x v="1"/>
    <x v="0"/>
    <m/>
    <m/>
    <m/>
    <m/>
    <m/>
  </r>
  <r>
    <s v="C343151"/>
    <s v="ESPERANZA DIAZ HERNANDEZ"/>
    <x v="2"/>
    <s v="Accounts"/>
    <s v="BBVA"/>
    <e v="#NAME?"/>
    <s v="NOSDA- BAU $ BAU (Mantenimiento y peq. evolutivos)"/>
    <n v="1"/>
    <x v="1"/>
    <m/>
    <x v="1"/>
    <x v="0"/>
    <m/>
    <m/>
    <m/>
    <m/>
    <m/>
  </r>
  <r>
    <s v="XEA0692"/>
    <s v="Esperanza Ortega"/>
    <x v="3"/>
    <s v="Móvil"/>
    <s v="Accenture"/>
    <e v="#NAME?"/>
    <s v="SDATOOL-9053 $ GloMo Colombia"/>
    <n v="1"/>
    <x v="1"/>
    <m/>
    <x v="0"/>
    <x v="0"/>
    <m/>
    <m/>
    <m/>
    <m/>
    <m/>
  </r>
  <r>
    <s v="C805749"/>
    <s v="Espitia Montilla William Ricardo"/>
    <x v="1"/>
    <s v="Riesgos"/>
    <s v="BBVA"/>
    <e v="#NAME?"/>
    <s v="SDATOOL-40710 $ GRM Col - Cronos - Plan Ascenso - Mejoras CAP Pymes Fase II"/>
    <n v="0.5"/>
    <x v="1"/>
    <m/>
    <x v="1"/>
    <x v="0"/>
    <m/>
    <m/>
    <m/>
    <m/>
    <m/>
  </r>
  <r>
    <s v="C805749"/>
    <s v="Espitia Montilla William Ricardo"/>
    <x v="1"/>
    <s v="Riesgos"/>
    <s v="BBVA"/>
    <e v="#NAME?"/>
    <s v="SDATOOL-35656 $ Cupos y límites"/>
    <n v="0.4"/>
    <x v="1"/>
    <m/>
    <x v="1"/>
    <x v="0"/>
    <m/>
    <m/>
    <m/>
    <m/>
    <m/>
  </r>
  <r>
    <s v="C805749"/>
    <s v="Espitia Montilla William Ricardo"/>
    <x v="1"/>
    <s v="Riesgos"/>
    <s v="BBVA"/>
    <e v="#NAME?"/>
    <s v="SDATOOL-38443 $ Arce Empresas Colombia"/>
    <n v="0.1"/>
    <x v="1"/>
    <m/>
    <x v="1"/>
    <x v="0"/>
    <m/>
    <m/>
    <m/>
    <m/>
    <m/>
  </r>
  <r>
    <s v="O002373_x000a_"/>
    <s v="ESTEBAN ARIAS CARACAS "/>
    <x v="2"/>
    <s v="Cross/Ventas asistidas CAP"/>
    <s v="BBVA"/>
    <e v="#NAME?"/>
    <s v="SDATOOL-38757 $ Modelo administrativo de oficina - Omnicanalidad"/>
    <n v="1"/>
    <x v="1"/>
    <m/>
    <x v="1"/>
    <x v="0"/>
    <m/>
    <m/>
    <m/>
    <m/>
    <m/>
  </r>
  <r>
    <s v="C803962"/>
    <s v="Esteban Linares"/>
    <x v="3"/>
    <s v="Móvil"/>
    <s v="BBVA"/>
    <e v="#NAME?"/>
    <s v="SDATOOL-9053 $ GloMo Colombia"/>
    <n v="1"/>
    <x v="1"/>
    <m/>
    <x v="1"/>
    <x v="0"/>
    <m/>
    <m/>
    <m/>
    <m/>
    <m/>
  </r>
  <r>
    <s v="C803039"/>
    <s v="EVELIN LORENA PEDRAZA ROMERO"/>
    <x v="3"/>
    <s v="Canales asistidos CB"/>
    <s v="BBVA"/>
    <e v="#NAME?"/>
    <s v="NOSDA- BAU $ BAU (Mantenimiento y peq. evolutivos)"/>
    <n v="0.3"/>
    <x v="1"/>
    <m/>
    <x v="1"/>
    <x v="0"/>
    <m/>
    <m/>
    <m/>
    <m/>
    <m/>
  </r>
  <r>
    <s v="C803039"/>
    <s v="EVELIN LORENA PEDRAZA ROMERO"/>
    <x v="3"/>
    <s v="Canales asistidos CB"/>
    <s v="BBVA"/>
    <e v="#NAME?"/>
    <s v="SDATOOL-38729 $ Mi CB Liviano 2022"/>
    <n v="0.4"/>
    <x v="1"/>
    <m/>
    <x v="1"/>
    <x v="0"/>
    <m/>
    <m/>
    <m/>
    <m/>
    <m/>
  </r>
  <r>
    <s v="C803039"/>
    <s v="EVELIN LORENA PEDRAZA ROMERO"/>
    <x v="3"/>
    <s v="Canales asistidos CB"/>
    <s v="BBVA"/>
    <e v="#NAME?"/>
    <s v="SDATOOL-41709 $ Fraccionamiento de transacciones en CBs"/>
    <n v="0.3"/>
    <x v="1"/>
    <m/>
    <x v="1"/>
    <x v="0"/>
    <m/>
    <m/>
    <m/>
    <m/>
    <m/>
  </r>
  <r>
    <s v="T010289"/>
    <s v="Ever Alexander Bravo Vergara"/>
    <x v="1"/>
    <s v="T&amp;C"/>
    <s v="Novatec"/>
    <e v="#NAME?"/>
    <s v="SDATOOL-28728 $ Contratación electrónica/digital de empleados y Carpeta Virtual 2.0"/>
    <n v="1"/>
    <x v="1"/>
    <m/>
    <x v="0"/>
    <x v="0"/>
    <m/>
    <m/>
    <m/>
    <m/>
    <m/>
  </r>
  <r>
    <s v="C811389"/>
    <s v="FABER IVAN MAYORQUIN RESTREPO"/>
    <x v="2"/>
    <s v="Accounts"/>
    <s v="BBVA"/>
    <e v="#NAME?"/>
    <s v="SDATOOL-39383 $ AJUSTES HIGIENICOS DE PORTAFOLIO + REPORTE CENTRALIZADO DE NÓMINA"/>
    <n v="0.6"/>
    <x v="1"/>
    <m/>
    <x v="1"/>
    <x v="0"/>
    <m/>
    <m/>
    <m/>
    <m/>
    <m/>
  </r>
  <r>
    <s v="C811389"/>
    <s v="FABER IVAN MAYORQUIN RESTREPO"/>
    <x v="2"/>
    <s v="Accounts"/>
    <s v="BBVA"/>
    <e v="#NAME?"/>
    <s v="SDATOOL-39457 $ Generación MT940 Fines de Semana y Festivos"/>
    <n v="0.2"/>
    <x v="1"/>
    <m/>
    <x v="1"/>
    <x v="0"/>
    <m/>
    <m/>
    <m/>
    <m/>
    <m/>
  </r>
  <r>
    <s v="C811389"/>
    <s v="FABER IVAN MAYORQUIN RESTREPO"/>
    <x v="2"/>
    <s v="Accounts"/>
    <s v="BBVA"/>
    <e v="#NAME?"/>
    <s v="SDATOOL-39246 $ Nuevo tipo de identificación para extranjeros"/>
    <n v="0.2"/>
    <x v="1"/>
    <m/>
    <x v="1"/>
    <x v="0"/>
    <m/>
    <m/>
    <m/>
    <m/>
    <m/>
  </r>
  <r>
    <s v="C805527"/>
    <s v="FABIAN ALEJANDRO LOPEZ SUAREZ"/>
    <x v="3"/>
    <s v="Open Market"/>
    <s v="BBVA"/>
    <e v="#NAME?"/>
    <s v="SDATOOL-37136 $ Conexión simulador vía API Vehículo digital"/>
    <n v="1"/>
    <x v="1"/>
    <m/>
    <x v="1"/>
    <x v="0"/>
    <m/>
    <m/>
    <m/>
    <m/>
    <m/>
  </r>
  <r>
    <s v="T006280"/>
    <s v="Fabian andres valbuena aragon"/>
    <x v="1"/>
    <s v="Riesgos"/>
    <s v="Inetum"/>
    <e v="#NAME?"/>
    <s v="NOSDA- BAU $ BAU (Mantenimiento y peq. evolutivos)"/>
    <n v="1"/>
    <x v="1"/>
    <m/>
    <x v="0"/>
    <x v="0"/>
    <m/>
    <m/>
    <m/>
    <m/>
    <m/>
  </r>
  <r>
    <s v="CE70580"/>
    <s v="Fabian Arturo Ramirez Broche"/>
    <x v="3"/>
    <s v="Canales asistidos RPA"/>
    <s v="Inetum"/>
    <e v="#NAME?"/>
    <s v="SDATOOL-37750 $ Robotics 2022"/>
    <n v="0.5"/>
    <x v="1"/>
    <m/>
    <x v="0"/>
    <x v="0"/>
    <m/>
    <m/>
    <m/>
    <m/>
    <m/>
  </r>
  <r>
    <s v="CE70580"/>
    <s v="Fabian Arturo Ramirez Broche"/>
    <x v="3"/>
    <s v="Canales asistidos RPA"/>
    <s v="Inetum"/>
    <e v="#NAME?"/>
    <s v="NOSDA- BAU $ BAU (Mantenimiento y peq. evolutivos)"/>
    <n v="0.5"/>
    <x v="1"/>
    <m/>
    <x v="0"/>
    <x v="0"/>
    <m/>
    <m/>
    <m/>
    <m/>
    <m/>
  </r>
  <r>
    <s v="C805991"/>
    <s v="FABIANI LOZANO"/>
    <x v="2"/>
    <s v="Loans"/>
    <s v="BBVA"/>
    <e v="#NAME?"/>
    <s v="SDATOOL-36548 $ Optimización consumo web - Plan ascenso Open Market"/>
    <n v="0.2"/>
    <x v="1"/>
    <m/>
    <x v="1"/>
    <x v="0"/>
    <m/>
    <m/>
    <m/>
    <m/>
    <m/>
  </r>
  <r>
    <s v="C805991"/>
    <s v="FABIANI LOZANO"/>
    <x v="2"/>
    <s v="Loans"/>
    <s v="BBVA"/>
    <e v="#NAME?"/>
    <s v="SDATOOL-39272 $ GRM-Col-Cambio servicio APL (Aportes en línea)"/>
    <n v="0.3"/>
    <x v="1"/>
    <m/>
    <x v="1"/>
    <x v="0"/>
    <m/>
    <m/>
    <m/>
    <m/>
    <m/>
  </r>
  <r>
    <s v="C805991"/>
    <s v="FABIANI LOZANO"/>
    <x v="2"/>
    <s v="Loans"/>
    <s v="BBVA"/>
    <e v="#NAME?"/>
    <s v="SDATOOL-36548 $ Optimización consumo web - Plan ascenso Open Market"/>
    <n v="0.3"/>
    <x v="1"/>
    <m/>
    <x v="1"/>
    <x v="0"/>
    <m/>
    <m/>
    <m/>
    <m/>
    <m/>
  </r>
  <r>
    <s v="C805991"/>
    <s v="FABIANI LOZANO"/>
    <x v="2"/>
    <s v="Loans"/>
    <s v="BBVA"/>
    <e v="#NAME?"/>
    <s v="NOSDA- BAU $ BAU (Mantenimiento y peq. evolutivos)"/>
    <n v="0.2"/>
    <x v="1"/>
    <s v="Se esta revisando la mejora del Validate Products"/>
    <x v="1"/>
    <x v="0"/>
    <m/>
    <m/>
    <m/>
    <m/>
    <m/>
  </r>
  <r>
    <s v="C809713"/>
    <s v="FABRICIO AUGUSTO LOZANO TORRES"/>
    <x v="2"/>
    <s v="Loans"/>
    <s v="BBVA"/>
    <e v="#NAME?"/>
    <s v="SDATOOL-35697 $ GRM - Garantías Hipotecarias - Ingesta de Datos"/>
    <n v="1"/>
    <x v="1"/>
    <m/>
    <x v="1"/>
    <x v="0"/>
    <m/>
    <m/>
    <m/>
    <m/>
    <m/>
  </r>
  <r>
    <s v="O002418"/>
    <s v="Faiber Orlando Camelo Romero"/>
    <x v="2"/>
    <s v="Cross/BPM"/>
    <s v="BBVA"/>
    <e v="#NAME?"/>
    <s v="SDATOOL-36509 $ Centralización de la formalización de desembolsos Pymes"/>
    <n v="1"/>
    <x v="1"/>
    <m/>
    <x v="1"/>
    <x v="0"/>
    <m/>
    <m/>
    <m/>
    <m/>
    <m/>
  </r>
  <r>
    <s v="T004259"/>
    <s v="Faiber Rueda"/>
    <x v="3"/>
    <s v="Móvil"/>
    <s v="Accenture"/>
    <e v="#NAME?"/>
    <s v="SDATOOL-9053 $ GloMo Colombia"/>
    <n v="1"/>
    <x v="1"/>
    <m/>
    <x v="0"/>
    <x v="0"/>
    <m/>
    <m/>
    <m/>
    <m/>
    <m/>
  </r>
  <r>
    <s v="O000106"/>
    <s v="FELIPE ALEJANDO PEDRAZA ROBLES"/>
    <x v="2"/>
    <s v="Loans"/>
    <s v="BBVA"/>
    <e v="#NAME?"/>
    <s v="SDATOOL-40555 $ ADELANTO DE VENTA EN GEMA"/>
    <n v="0.5"/>
    <x v="1"/>
    <m/>
    <x v="1"/>
    <x v="0"/>
    <m/>
    <m/>
    <m/>
    <m/>
    <m/>
  </r>
  <r>
    <s v="O000106"/>
    <s v="FELIPE ALEJANDO PEDRAZA ROBLES"/>
    <x v="2"/>
    <s v="Loans"/>
    <s v="BBVA"/>
    <e v="#NAME?"/>
    <s v="SDATOOL-39786 $ Sostenibilidad Colombia Fase 2"/>
    <n v="0.5"/>
    <x v="1"/>
    <m/>
    <x v="1"/>
    <x v="0"/>
    <m/>
    <m/>
    <m/>
    <m/>
    <m/>
  </r>
  <r>
    <s v="O000108"/>
    <s v="FELIPE ALONSO SOTO CABALLERO"/>
    <x v="4"/>
    <s v="Backoffice"/>
    <s v="BBVA"/>
    <e v="#NAME?"/>
    <s v="SDATOOL-35621 $ DOCUMENTO SOPORTE FASE II - DIALOGO"/>
    <n v="0.5"/>
    <x v="1"/>
    <m/>
    <x v="1"/>
    <x v="0"/>
    <m/>
    <m/>
    <m/>
    <m/>
    <m/>
  </r>
  <r>
    <s v="O000108"/>
    <s v="FELIPE ALONSO SOTO CABALLERO"/>
    <x v="4"/>
    <s v="Backoffice"/>
    <s v="BBVA"/>
    <e v="#NAME?"/>
    <s v="SDATOOL-38642 $ CUPON INTERMEDIO"/>
    <n v="0.4"/>
    <x v="1"/>
    <m/>
    <x v="1"/>
    <x v="0"/>
    <m/>
    <m/>
    <m/>
    <m/>
    <m/>
  </r>
  <r>
    <s v="O000108"/>
    <s v="FELIPE ALONSO SOTO CABALLERO"/>
    <x v="4"/>
    <s v="Backoffice"/>
    <s v="BBVA"/>
    <e v="#NAME?"/>
    <s v="SDATOOL-32520 $ CDD Based Reporting - Colombia"/>
    <n v="0.1"/>
    <x v="1"/>
    <m/>
    <x v="1"/>
    <x v="0"/>
    <m/>
    <m/>
    <m/>
    <m/>
    <m/>
  </r>
  <r>
    <s v="O001975"/>
    <s v="FELIPE ANDRES QUINTERO HIGUITA"/>
    <x v="2"/>
    <s v="Cross/Personas y Arq. Host"/>
    <s v="BBVA"/>
    <e v="#NAME?"/>
    <s v="SDATOOL-41171 $ CBS Core Banking Strategy Convivencia Clients and Contracts"/>
    <n v="0.9"/>
    <x v="1"/>
    <m/>
    <x v="1"/>
    <x v="0"/>
    <m/>
    <m/>
    <m/>
    <m/>
    <m/>
  </r>
  <r>
    <s v="O001975"/>
    <s v="FELIPE ANDRES QUINTERO HIGUITA"/>
    <x v="2"/>
    <s v="Cross/Personas y Arq. Host"/>
    <s v="BBVA"/>
    <e v="#NAME?"/>
    <s v="NOSDA- BAU $ BAU (Mantenimiento y peq. evolutivos)"/>
    <n v="0.1"/>
    <x v="1"/>
    <m/>
    <x v="1"/>
    <x v="0"/>
    <m/>
    <m/>
    <m/>
    <m/>
    <m/>
  </r>
  <r>
    <s v="C805720"/>
    <s v="Fernando Bolivar"/>
    <x v="3"/>
    <s v="Móvil"/>
    <s v="BBVA"/>
    <e v="#NAME?"/>
    <s v="NOSDA- BAU $ BAU (Mantenimiento y peq. evolutivos)"/>
    <n v="1"/>
    <x v="1"/>
    <m/>
    <x v="1"/>
    <x v="0"/>
    <m/>
    <m/>
    <m/>
    <m/>
    <m/>
  </r>
  <r>
    <s v="O000111"/>
    <s v="FERNANDO TIBADUIZA GUTIERREZ"/>
    <x v="0"/>
    <s v="Transaccionalidad"/>
    <s v="BBVA"/>
    <e v="#NAME?"/>
    <s v="SDATOOL-35327 $ Impuestos 2021"/>
    <n v="0.75"/>
    <x v="1"/>
    <m/>
    <x v="1"/>
    <x v="0"/>
    <m/>
    <m/>
    <m/>
    <m/>
    <m/>
  </r>
  <r>
    <s v="O000111"/>
    <s v="FERNANDO TIBADUIZA GUTIERREZ"/>
    <x v="0"/>
    <s v="Transaccionalidad"/>
    <s v="BBVA"/>
    <e v="#NAME?"/>
    <s v="NOSDA- BAU $ BAU (Mantenimiento y peq. evolutivos)"/>
    <n v="0.25"/>
    <x v="1"/>
    <m/>
    <x v="1"/>
    <x v="0"/>
    <m/>
    <m/>
    <m/>
    <m/>
    <m/>
  </r>
  <r>
    <s v="O001038"/>
    <s v="FLOR ALICIA GALAN"/>
    <x v="2"/>
    <s v="Loans"/>
    <s v="BBVA"/>
    <e v="#NAME?"/>
    <s v="NOSDA- BAU $ BAU (Mantenimiento y peq. evolutivos)"/>
    <n v="1"/>
    <x v="1"/>
    <m/>
    <x v="1"/>
    <x v="0"/>
    <m/>
    <m/>
    <m/>
    <m/>
    <m/>
  </r>
  <r>
    <s v="C367168"/>
    <s v="FLOR MIREYA GONZALEZ VASQUEZ"/>
    <x v="2"/>
    <s v="Loans"/>
    <s v="BBVA"/>
    <e v="#NAME?"/>
    <s v="SDATOOL-33846 $ SREP Data Quality- BCBS239 - Colombia"/>
    <n v="0.3"/>
    <x v="2"/>
    <m/>
    <x v="1"/>
    <x v="0"/>
    <m/>
    <m/>
    <m/>
    <m/>
    <m/>
  </r>
  <r>
    <s v="C367168"/>
    <s v="FLOR MIREYA GONZALEZ VASQUEZ"/>
    <x v="2"/>
    <s v="Loans"/>
    <s v="BBVA"/>
    <e v="#NAME?"/>
    <s v="SDATOOL-37483 $ Aplicativos Finanzas - 2022"/>
    <n v="0.3"/>
    <x v="2"/>
    <m/>
    <x v="1"/>
    <x v="0"/>
    <m/>
    <m/>
    <m/>
    <m/>
    <m/>
  </r>
  <r>
    <s v="C367168"/>
    <s v="FLOR MIREYA GONZALEZ VASQUEZ"/>
    <x v="2"/>
    <s v="Loans"/>
    <s v="BBVA"/>
    <e v="#NAME?"/>
    <s v="SDATOOL-35697 $ GRM - Garantías Hipotecarias - Ingesta de Datos"/>
    <n v="0.4"/>
    <x v="2"/>
    <m/>
    <x v="1"/>
    <x v="0"/>
    <m/>
    <m/>
    <m/>
    <m/>
    <m/>
  </r>
  <r>
    <s v="C805314"/>
    <s v="Fonseca Ochoa Nelson Leonel"/>
    <x v="1"/>
    <s v="Riesgos"/>
    <s v="BBVA"/>
    <e v="#NAME?"/>
    <s v="SDATOOL-29029 $ EBA Guidelines (NDoD/PD/LGD) - Colombia"/>
    <n v="0.7"/>
    <x v="1"/>
    <m/>
    <x v="1"/>
    <x v="0"/>
    <m/>
    <m/>
    <m/>
    <m/>
    <m/>
  </r>
  <r>
    <s v="C805314"/>
    <s v="Fonseca Ochoa Nelson Leonel"/>
    <x v="1"/>
    <s v="Riesgos"/>
    <s v="BBVA"/>
    <e v="#NAME?"/>
    <s v="SDATOOL-33862 $ NDoD Accounting"/>
    <n v="0.3"/>
    <x v="1"/>
    <m/>
    <x v="1"/>
    <x v="0"/>
    <m/>
    <m/>
    <m/>
    <m/>
    <m/>
  </r>
  <r>
    <s v="CE66764"/>
    <s v="FORERO RUIZ JOSE ANTONIO"/>
    <x v="0"/>
    <s v="Netcash"/>
    <s v="GGI / CMC"/>
    <e v="#NAME?"/>
    <s v="SDATOOL-40555 $ ADELANTO DE VENTA EN GEMA"/>
    <n v="1"/>
    <x v="1"/>
    <m/>
    <x v="0"/>
    <x v="0"/>
    <m/>
    <m/>
    <m/>
    <m/>
    <m/>
  </r>
  <r>
    <s v="CE66884"/>
    <s v="FRANK HERRAN GARZON"/>
    <x v="2"/>
    <s v="Payments"/>
    <s v="Meraki"/>
    <e v="#NAME?"/>
    <s v="SDATOOL-36556 $ Parthnerships - Tarjeta de crédito en punto de venta físico  aliados"/>
    <n v="1"/>
    <x v="1"/>
    <m/>
    <x v="0"/>
    <x v="0"/>
    <m/>
    <m/>
    <m/>
    <m/>
    <m/>
  </r>
  <r>
    <s v="CE66884"/>
    <s v="Frank Nicolas Herran"/>
    <x v="3"/>
    <s v="CRM"/>
    <s v="Meraki"/>
    <e v="#NAME?"/>
    <s v="SDATOOL-40690 $ Plan CRM: Mejoras AUG (Banca Comercial y CSF) Equipo B"/>
    <n v="0.5"/>
    <x v="1"/>
    <m/>
    <x v="0"/>
    <x v="0"/>
    <m/>
    <m/>
    <m/>
    <m/>
    <m/>
  </r>
  <r>
    <s v="CE50152"/>
    <s v="FRANKLIN MEDINA"/>
    <x v="2"/>
    <s v="Loans"/>
    <s v="Inetum"/>
    <e v="#NAME?"/>
    <s v="NOSDA- BAU $ BAU (Mantenimiento y peq. evolutivos)"/>
    <n v="1"/>
    <x v="0"/>
    <m/>
    <x v="0"/>
    <x v="0"/>
    <m/>
    <m/>
    <m/>
    <m/>
    <m/>
  </r>
  <r>
    <s v="C811279"/>
    <s v="Fredy Mauricio Cely Hernandez"/>
    <x v="1"/>
    <s v="Riesgos"/>
    <s v="BBVA"/>
    <e v="#NAME?"/>
    <s v="SDATOOL-39272 $ GRM-Col-Cambio servicio APL (Aportes en línea)"/>
    <n v="0.3"/>
    <x v="2"/>
    <m/>
    <x v="1"/>
    <x v="0"/>
    <m/>
    <m/>
    <m/>
    <m/>
    <m/>
  </r>
  <r>
    <s v="C811279"/>
    <s v="Fredy Mauricio Cely Hernandez"/>
    <x v="1"/>
    <s v="Riesgos"/>
    <s v="BBVA"/>
    <e v="#NAME?"/>
    <s v="SDATOOL-33862 $ NDoD Accounting"/>
    <n v="0.15"/>
    <x v="2"/>
    <m/>
    <x v="1"/>
    <x v="0"/>
    <m/>
    <m/>
    <m/>
    <m/>
    <m/>
  </r>
  <r>
    <s v="C811279"/>
    <s v="Fredy Mauricio Cely Hernandez"/>
    <x v="1"/>
    <s v="Riesgos"/>
    <s v="BBVA"/>
    <e v="#NAME?"/>
    <s v="SDATOOL-33862 $ NDoD Accounting"/>
    <n v="0.15"/>
    <x v="2"/>
    <m/>
    <x v="1"/>
    <x v="0"/>
    <m/>
    <m/>
    <m/>
    <m/>
    <m/>
  </r>
  <r>
    <s v="C811279"/>
    <s v="Fredy Mauricio Cely Hernandez"/>
    <x v="1"/>
    <s v="Riesgos"/>
    <s v="BBVA"/>
    <e v="#NAME?"/>
    <s v="SDATOOL-41457 $ NGA - Colombia. EWS (ARCE)"/>
    <n v="0.2"/>
    <x v="2"/>
    <m/>
    <x v="1"/>
    <x v="0"/>
    <m/>
    <m/>
    <m/>
    <m/>
    <m/>
  </r>
  <r>
    <s v="C811279"/>
    <s v="Fredy Mauricio Cely Hernandez"/>
    <x v="1"/>
    <s v="Riesgos"/>
    <s v="BBVA"/>
    <e v="#NAME?"/>
    <s v="SDATOOL-41452 $ NGA - Colombia. Proactivo Cliente (CRONOS)"/>
    <n v="0.2"/>
    <x v="2"/>
    <m/>
    <x v="1"/>
    <x v="0"/>
    <m/>
    <m/>
    <m/>
    <m/>
    <m/>
  </r>
  <r>
    <s v="C809505"/>
    <s v="Fuentes Rojas Jose David"/>
    <x v="1"/>
    <s v="Riesgos"/>
    <s v="BBVA"/>
    <e v="#NAME?"/>
    <s v="SDATOOL-40710 $ GRM Col - Cronos - Plan Ascenso - Mejoras CAP Pymes Fase II"/>
    <n v="0.3"/>
    <x v="1"/>
    <m/>
    <x v="1"/>
    <x v="0"/>
    <m/>
    <m/>
    <m/>
    <m/>
    <m/>
  </r>
  <r>
    <s v="C809505"/>
    <s v="Fuentes Rojas Jose David"/>
    <x v="1"/>
    <s v="Riesgos"/>
    <s v="BBVA"/>
    <e v="#NAME?"/>
    <s v="SDATOOL-38443 $ Arce Empresas Colombia"/>
    <n v="0.3"/>
    <x v="1"/>
    <m/>
    <x v="1"/>
    <x v="0"/>
    <m/>
    <m/>
    <m/>
    <m/>
    <m/>
  </r>
  <r>
    <s v="C809505"/>
    <s v="Fuentes Rojas Jose David"/>
    <x v="1"/>
    <s v="Riesgos"/>
    <s v="BBVA"/>
    <e v="#NAME?"/>
    <s v="SDATOOL-41153 $ Cronos - Plan Ascenso - Cap Pymes Transformación circuito admisión"/>
    <n v="0.05"/>
    <x v="1"/>
    <m/>
    <x v="1"/>
    <x v="0"/>
    <m/>
    <m/>
    <m/>
    <m/>
    <m/>
  </r>
  <r>
    <s v="C809505"/>
    <s v="Fuentes Rojas Jose David"/>
    <x v="1"/>
    <s v="Riesgos"/>
    <s v="BBVA"/>
    <e v="#NAME?"/>
    <s v="SDATOOL-39830 $ GRM Col - Plan Ascenso - Mejoras CAP Pymes"/>
    <n v="0.35"/>
    <x v="1"/>
    <m/>
    <x v="1"/>
    <x v="0"/>
    <m/>
    <m/>
    <m/>
    <m/>
    <m/>
  </r>
  <r>
    <s v="C804101"/>
    <s v="FUQUENE CONTRERAS ADRIANA"/>
    <x v="0"/>
    <s v="Netcash"/>
    <s v="BBVA"/>
    <e v="#NAME?"/>
    <s v="SDATOOL-39358 $ Crédito Virtual"/>
    <n v="0.2"/>
    <x v="2"/>
    <m/>
    <x v="1"/>
    <x v="0"/>
    <m/>
    <m/>
    <m/>
    <m/>
    <m/>
  </r>
  <r>
    <s v="C804101"/>
    <s v="FUQUENE CONTRERAS ADRIANA"/>
    <x v="0"/>
    <s v="Netcash"/>
    <s v="BBVA"/>
    <e v="#NAME?"/>
    <s v="SDATOOL-40482 $ Incluir tasa ponderada en Adquirencia Onboarding digital - Netcash"/>
    <n v="0.1"/>
    <x v="2"/>
    <m/>
    <x v="1"/>
    <x v="0"/>
    <m/>
    <m/>
    <m/>
    <m/>
    <m/>
  </r>
  <r>
    <s v="C804101"/>
    <s v="FUQUENE CONTRERAS ADRIANA"/>
    <x v="0"/>
    <s v="Netcash"/>
    <s v="BBVA"/>
    <e v="#NAME?"/>
    <s v="SDATOOL-37169 $ EGS: Salto país y softoken"/>
    <n v="0.2"/>
    <x v="2"/>
    <m/>
    <x v="1"/>
    <x v="0"/>
    <m/>
    <m/>
    <m/>
    <m/>
    <m/>
  </r>
  <r>
    <s v="C804101"/>
    <s v="FUQUENE CONTRERAS ADRIANA"/>
    <x v="0"/>
    <s v="Netcash"/>
    <s v="BBVA"/>
    <e v="#NAME?"/>
    <s v="SDATOOL-40555 $ ADELANTO DE VENTA EN GEMA"/>
    <n v="0.5"/>
    <x v="2"/>
    <m/>
    <x v="1"/>
    <x v="0"/>
    <m/>
    <m/>
    <m/>
    <m/>
    <m/>
  </r>
  <r>
    <s v="C342316"/>
    <s v="GARCIA COBO ANA MILENA"/>
    <x v="1"/>
    <s v="Riesgos"/>
    <s v="BBVA"/>
    <e v="#NAME?"/>
    <s v="SDATOOL-39463 $ GRM Col - Actualización Versión Power Curve."/>
    <n v="0.7"/>
    <x v="1"/>
    <m/>
    <x v="1"/>
    <x v="0"/>
    <m/>
    <m/>
    <m/>
    <m/>
    <m/>
  </r>
  <r>
    <s v="C342316"/>
    <s v="Garcia Cobo Ana Milena"/>
    <x v="1"/>
    <s v="Riesgos"/>
    <s v="BBVA"/>
    <e v="#NAME?"/>
    <s v="SDATOOL-40545 $ GRM Col - Mejoras Evolutivas de Aplicativos y Herramientas de Riesgos 2023"/>
    <n v="0.3"/>
    <x v="1"/>
    <m/>
    <x v="1"/>
    <x v="0"/>
    <m/>
    <m/>
    <m/>
    <m/>
    <m/>
  </r>
  <r>
    <s v="C810885"/>
    <s v="GARCIA HERRERA MONICA LILIANA"/>
    <x v="0"/>
    <s v="Netcash"/>
    <s v="BBVA"/>
    <e v="#NAME?"/>
    <s v="SDATOOL-37425 $ Recaudo DIAN Tarjetas de Crédito Propio Banco través del Botón de pagos PSE para los canales Banca Personas y Banca de Empresas"/>
    <n v="0.2"/>
    <x v="2"/>
    <m/>
    <x v="1"/>
    <x v="0"/>
    <m/>
    <m/>
    <m/>
    <m/>
    <m/>
  </r>
  <r>
    <s v="C810885"/>
    <s v="GARCIA HERRERA MONICA LILIANA"/>
    <x v="0"/>
    <s v="Netcash"/>
    <s v="BBVA"/>
    <e v="#NAME?"/>
    <s v="SDATOOL-37130 $ Pago y domiciliación de recaudo"/>
    <n v="0.2"/>
    <x v="2"/>
    <m/>
    <x v="1"/>
    <x v="0"/>
    <m/>
    <m/>
    <m/>
    <m/>
    <m/>
  </r>
  <r>
    <s v="C810885"/>
    <s v="GARCIA HERRERA MONICA LILIANA"/>
    <x v="0"/>
    <s v="Netcash"/>
    <s v="BBVA"/>
    <e v="#NAME?"/>
    <s v="SDATOOL-40555 $ ADELANTO DE VENTA EN GEMA"/>
    <n v="0.2"/>
    <x v="2"/>
    <m/>
    <x v="1"/>
    <x v="0"/>
    <m/>
    <m/>
    <m/>
    <m/>
    <m/>
  </r>
  <r>
    <s v="C810885"/>
    <s v="GARCIA HERRERA MONICA LILIANA"/>
    <x v="0"/>
    <s v="Netcash"/>
    <s v="BBVA"/>
    <e v="#NAME?"/>
    <s v="SDATOOL-40482 $ Incluir tasa ponderada en Adquirencia Onboarding digital - Netcash"/>
    <n v="0.2"/>
    <x v="2"/>
    <m/>
    <x v="1"/>
    <x v="0"/>
    <m/>
    <m/>
    <m/>
    <m/>
    <m/>
  </r>
  <r>
    <s v="C810885"/>
    <s v="GARCIA HERRERA MONICA LILIANA"/>
    <x v="0"/>
    <s v="Netcash"/>
    <s v="BBVA"/>
    <e v="#NAME?"/>
    <s v="SDATOOL-34782 $ Solicitud de cupo DIY"/>
    <n v="0.2"/>
    <x v="2"/>
    <m/>
    <x v="1"/>
    <x v="0"/>
    <m/>
    <m/>
    <m/>
    <m/>
    <m/>
  </r>
  <r>
    <s v="CE52790"/>
    <s v="German Zarria Mendez"/>
    <x v="0"/>
    <s v="Soluciones financieras (Leasing)"/>
    <s v="Inetum"/>
    <e v="#NAME?"/>
    <s v="NOSDA- BAU $ BAU (Mantenimiento y peq. evolutivos)"/>
    <n v="1"/>
    <x v="1"/>
    <m/>
    <x v="0"/>
    <x v="0"/>
    <m/>
    <m/>
    <m/>
    <m/>
    <m/>
  </r>
  <r>
    <s v="C808193"/>
    <s v="GILBERTO SANCHEZ RODRIGUEZ"/>
    <x v="4"/>
    <s v="Global Market &amp; Comex"/>
    <s v="BBVA"/>
    <e v="#NAME?"/>
    <s v="SDATOOL-40438 $ CIRCULAR 032 del 2021 - REQUERIMIENTO FISCALIA GENERAL DE LA NACION"/>
    <n v="0.75"/>
    <x v="1"/>
    <m/>
    <x v="1"/>
    <x v="0"/>
    <m/>
    <m/>
    <m/>
    <m/>
    <m/>
  </r>
  <r>
    <s v="C808193"/>
    <s v="GILBERTO SANCHEZ RODRIGUEZ"/>
    <x v="4"/>
    <s v="Global Market &amp; Comex"/>
    <s v="BBVA"/>
    <e v="#NAME?"/>
    <s v="SDATOOL-37114 $ Actualización Botón pagos PSE versión 2.0"/>
    <n v="0.25"/>
    <x v="1"/>
    <m/>
    <x v="1"/>
    <x v="0"/>
    <m/>
    <m/>
    <m/>
    <m/>
    <m/>
  </r>
  <r>
    <s v="O001828"/>
    <s v="GILDARDO AGUIRRE RIOS"/>
    <x v="1"/>
    <s v="Riesgos"/>
    <s v="BBVA"/>
    <e v="#NAME?"/>
    <s v="NOSDA- BAU $ BAU (Mantenimiento y peq. evolutivos)"/>
    <n v="1"/>
    <x v="1"/>
    <m/>
    <x v="1"/>
    <x v="0"/>
    <m/>
    <m/>
    <m/>
    <m/>
    <m/>
  </r>
  <r>
    <s v="CE57567"/>
    <s v="Giovanni Esguerra Velandia"/>
    <x v="0"/>
    <s v="Soluciones financieras (Leasing)"/>
    <s v="Inetum"/>
    <e v="#NAME?"/>
    <s v="NOSDA- BAU $ BAU (Mantenimiento y peq. evolutivos)"/>
    <n v="1"/>
    <x v="1"/>
    <m/>
    <x v="0"/>
    <x v="0"/>
    <m/>
    <m/>
    <m/>
    <m/>
    <m/>
  </r>
  <r>
    <s v="CE64878"/>
    <s v="Giovanny  Francisco Alayón"/>
    <x v="4"/>
    <s v="Backoffice"/>
    <s v="Tecnoevolución"/>
    <e v="#NAME?"/>
    <s v="SDATOOL-38642 $ CUPON INTERMEDIO"/>
    <n v="0.1"/>
    <x v="1"/>
    <m/>
    <x v="0"/>
    <x v="0"/>
    <m/>
    <m/>
    <m/>
    <m/>
    <m/>
  </r>
  <r>
    <m/>
    <s v="GIOVANNY ALEXANDER PEÑA GUTIÉRREZ"/>
    <x v="0"/>
    <s v="Gema"/>
    <s v="Novatec"/>
    <e v="#NAME?"/>
    <s v="SDATOOL-39354 $ My business Open Pay - Plan Ascenso Mercurio"/>
    <n v="1"/>
    <x v="1"/>
    <m/>
    <x v="0"/>
    <x v="0"/>
    <m/>
    <m/>
    <m/>
    <m/>
    <m/>
  </r>
  <r>
    <s v="CE57088"/>
    <s v="GLENDA RAQUEL LOPEZ GARCIA"/>
    <x v="2"/>
    <s v="Accounts"/>
    <s v="SII"/>
    <e v="#NAME?"/>
    <s v="SDATOOL-40771 $ Resolución Cuentas Maestras y Cuentas Maestras para Pagos Electrónicos (PSE): Anexo Técnico - Nuevo reporte de información"/>
    <n v="0.4"/>
    <x v="1"/>
    <s v="Líder Fábrica"/>
    <x v="0"/>
    <x v="0"/>
    <m/>
    <m/>
    <m/>
    <m/>
    <m/>
  </r>
  <r>
    <s v="C809546"/>
    <s v="GOMEZ CUADRADO JENNY PAOLA"/>
    <x v="1"/>
    <s v="Finanzas"/>
    <s v="BBVA"/>
    <e v="#NAME?"/>
    <s v="SDATOOL-40599 $ Proyecto - Circular 025"/>
    <n v="0.15"/>
    <x v="1"/>
    <m/>
    <x v="1"/>
    <x v="0"/>
    <m/>
    <m/>
    <m/>
    <m/>
    <m/>
  </r>
  <r>
    <s v="C809546"/>
    <s v="GOMEZ CUADRADO JENNY PAOLA"/>
    <x v="1"/>
    <s v="Finanzas"/>
    <s v="BBVA"/>
    <e v="#NAME?"/>
    <s v="SDATOOL-36918 $ Conciliación Automática del Aplicativo Módulo de Notas Contables  - CKR1"/>
    <n v="0.1"/>
    <x v="1"/>
    <m/>
    <x v="1"/>
    <x v="0"/>
    <m/>
    <m/>
    <m/>
    <m/>
    <m/>
  </r>
  <r>
    <s v="C809546"/>
    <s v="GOMEZ CUADRADO JENNY PAOLA"/>
    <x v="1"/>
    <s v="Finanzas"/>
    <s v="BBVA"/>
    <e v="#NAME?"/>
    <s v="SDATOOL-36929 $ Ciclo 1 - Resolución 098 de 2020 DIAN - Reportes de Información Exogena"/>
    <n v="0.1"/>
    <x v="1"/>
    <m/>
    <x v="1"/>
    <x v="0"/>
    <m/>
    <m/>
    <m/>
    <m/>
    <m/>
  </r>
  <r>
    <s v="C809546"/>
    <s v="GOMEZ CUADRADO JENNY PAOLA"/>
    <x v="1"/>
    <s v="Finanzas"/>
    <s v="BBVA"/>
    <e v="#NAME?"/>
    <s v="SDATOOL-39823 $ REPORTERIA PROVISIONES _ S1, S2, S3, SA y CxP en Divisa"/>
    <n v="0.05"/>
    <x v="1"/>
    <m/>
    <x v="1"/>
    <x v="0"/>
    <m/>
    <m/>
    <m/>
    <m/>
    <m/>
  </r>
  <r>
    <s v="C809546"/>
    <s v="GOMEZ CUADRADO JENNY PAOLA"/>
    <x v="1"/>
    <s v="Finanzas"/>
    <s v="BBVA"/>
    <e v="#NAME?"/>
    <s v="SDATOOL-40191 $ Ajuste apuntes manuales CC0112 – GPS"/>
    <n v="0.05"/>
    <x v="1"/>
    <m/>
    <x v="1"/>
    <x v="0"/>
    <m/>
    <m/>
    <m/>
    <m/>
    <m/>
  </r>
  <r>
    <s v="C809546"/>
    <s v="GOMEZ CUADRADO JENNY PAOLA"/>
    <x v="1"/>
    <s v="Finanzas"/>
    <s v="BBVA"/>
    <e v="#NAME?"/>
    <s v="SDATOOL-40225 $ Resolución 0124 Dian - 2021 - Ajustes para Reporte de Información Exógena año gravable 2022 - Ciclo 1"/>
    <n v="0.25"/>
    <x v="1"/>
    <m/>
    <x v="1"/>
    <x v="0"/>
    <m/>
    <m/>
    <m/>
    <m/>
    <m/>
  </r>
  <r>
    <s v="C809546"/>
    <s v="GOMEZ CUADRADO JENNY PAOLA"/>
    <x v="1"/>
    <s v="Finanzas"/>
    <s v="BBVA"/>
    <e v="#NAME?"/>
    <s v="SDATOOL-40736 $ Curvas de Fondeo por Producto (ALM)"/>
    <n v="0.05"/>
    <x v="1"/>
    <m/>
    <x v="1"/>
    <x v="0"/>
    <m/>
    <m/>
    <m/>
    <m/>
    <m/>
  </r>
  <r>
    <s v="C809546"/>
    <s v="GOMEZ CUADRADO JENNY PAOLA"/>
    <x v="1"/>
    <s v="Finanzas"/>
    <s v="BBVA"/>
    <e v="#NAME?"/>
    <s v="SDATOOL-37681 $ Ciclo 2 - Resolución 0098 de Octubre 28 de 2020 - Reportes información Exógena Base Impuestos"/>
    <n v="0.1"/>
    <x v="1"/>
    <m/>
    <x v="1"/>
    <x v="0"/>
    <m/>
    <m/>
    <m/>
    <m/>
    <m/>
  </r>
  <r>
    <s v="C809546"/>
    <s v="GOMEZ CUADRADO JENNY PAOLA"/>
    <x v="1"/>
    <s v="Finanzas"/>
    <s v="BBVA"/>
    <e v="#NAME?"/>
    <s v="SDATOOL-40274 $ CIRCULAR 033 de 2021-SFC"/>
    <n v="0.15"/>
    <x v="1"/>
    <m/>
    <x v="1"/>
    <x v="0"/>
    <m/>
    <m/>
    <m/>
    <m/>
    <m/>
  </r>
  <r>
    <s v="C811316"/>
    <s v="Gonzalez Cardenas Oscar"/>
    <x v="3"/>
    <s v="Oficina"/>
    <s v="BBVA"/>
    <e v="#NAME?"/>
    <s v="SDATOOL-35350 $ Lean Office (Biblioteca Transaccional y Nuevo Modelo de Impresión)"/>
    <n v="1"/>
    <x v="1"/>
    <m/>
    <x v="1"/>
    <x v="0"/>
    <m/>
    <m/>
    <m/>
    <m/>
    <m/>
  </r>
  <r>
    <s v="CE51848"/>
    <s v="GORDO BELTRAN DANIEL FERNANDO"/>
    <x v="0"/>
    <s v="Netcash"/>
    <s v="Inetum"/>
    <e v="#NAME?"/>
    <s v="NOSDA- BAU $ BAU (Mantenimiento y peq. evolutivos)"/>
    <n v="0.5"/>
    <x v="0"/>
    <m/>
    <x v="0"/>
    <x v="0"/>
    <m/>
    <m/>
    <m/>
    <m/>
    <m/>
  </r>
  <r>
    <s v="C805963"/>
    <s v="Gorgeth Moscarella Martínez"/>
    <x v="3"/>
    <s v="CRM"/>
    <s v="BBVA"/>
    <e v="#NAME?"/>
    <s v="SDATOOL-40672 $ Plan CRM: Mejoras AUG (Banca Comercial y CSF) Equipo A"/>
    <n v="1"/>
    <x v="1"/>
    <m/>
    <x v="1"/>
    <x v="0"/>
    <m/>
    <m/>
    <m/>
    <m/>
    <m/>
  </r>
  <r>
    <s v="C341736"/>
    <s v="Guevara Castro Juan Andres"/>
    <x v="3"/>
    <s v="CRM"/>
    <s v="BBVA"/>
    <e v="#NAME?"/>
    <s v="NOSDA- BAU $ BAU (Mantenimiento y peq. evolutivos)"/>
    <n v="0.1"/>
    <x v="1"/>
    <m/>
    <x v="1"/>
    <x v="0"/>
    <m/>
    <m/>
    <m/>
    <m/>
    <m/>
  </r>
  <r>
    <s v="C810909"/>
    <s v="GUILIAN ANDREI TAFUR FUENTES"/>
    <x v="2"/>
    <s v="Payments"/>
    <s v="BBVA"/>
    <e v="#NAME?"/>
    <s v="SDATOOL-37057 $ Pagos QR - Entre cuentas Redeban - Plan Ascenso Mercurio"/>
    <n v="1"/>
    <x v="1"/>
    <m/>
    <x v="1"/>
    <x v="0"/>
    <m/>
    <m/>
    <m/>
    <m/>
    <m/>
  </r>
  <r>
    <s v="CE69969"/>
    <s v="Guisell Dayan Diaz Blanco"/>
    <x v="3"/>
    <s v="CRM"/>
    <s v="Choucair"/>
    <e v="#NAME?"/>
    <s v="SDATOOL-40690 $ Plan CRM: Mejoras AUG (Banca Comercial y CSF) Equipo B"/>
    <n v="1"/>
    <x v="0"/>
    <m/>
    <x v="0"/>
    <x v="0"/>
    <m/>
    <m/>
    <m/>
    <m/>
    <m/>
  </r>
  <r>
    <s v="CE52611"/>
    <s v="GUSTAVO ADOLFO SALAZAR BERNAL"/>
    <x v="4"/>
    <s v="Global Market &amp; Comex"/>
    <s v="SII"/>
    <e v="#NAME?"/>
    <s v="SDATOOL-40438 $ CIRCULAR 032 del 2021 - REQUERIMIENTO FISCALIA GENERAL DE LA NACION"/>
    <n v="0.5"/>
    <x v="3"/>
    <m/>
    <x v="0"/>
    <x v="0"/>
    <m/>
    <m/>
    <m/>
    <m/>
    <m/>
  </r>
  <r>
    <s v="CE52611"/>
    <s v="GUSTAVO ADOLFO SALAZAR BERNAL"/>
    <x v="4"/>
    <s v="Global Market &amp; Comex"/>
    <s v="SII"/>
    <e v="#NAME?"/>
    <s v="SDATOOL-37114 $ Actualización Botón pagos PSE versión 2.0"/>
    <n v="0.25"/>
    <x v="3"/>
    <m/>
    <x v="0"/>
    <x v="0"/>
    <m/>
    <m/>
    <m/>
    <m/>
    <m/>
  </r>
  <r>
    <s v="CE52611"/>
    <s v="GUSTAVO ADOLFO SALAZAR BERNAL"/>
    <x v="4"/>
    <s v="Global Market &amp; Comex"/>
    <s v="SII"/>
    <e v="#NAME?"/>
    <s v="SDATOOL-41205 $ Tagging Netcash, Net, e-markets"/>
    <n v="0.25"/>
    <x v="3"/>
    <m/>
    <x v="0"/>
    <x v="0"/>
    <m/>
    <m/>
    <m/>
    <m/>
    <m/>
  </r>
  <r>
    <s v="C805925"/>
    <s v="GUSTAVO ANDRES CAMARGO"/>
    <x v="0"/>
    <s v="Soluciones financieras (Factoring)"/>
    <s v="BBVA"/>
    <e v="#NAME?"/>
    <s v="SDATOOL-36547 $ PLAN MAYOR -PLAN MENOR. Plan ascenso Open Market"/>
    <n v="0.25"/>
    <x v="1"/>
    <m/>
    <x v="1"/>
    <x v="0"/>
    <m/>
    <m/>
    <m/>
    <m/>
    <m/>
  </r>
  <r>
    <s v="C805925"/>
    <s v="GUSTAVO ANDRES CAMARGO"/>
    <x v="0"/>
    <s v="Soluciones financieras (Factoring)"/>
    <s v="BBVA"/>
    <e v="#NAME?"/>
    <s v="NOSDA- BAU $ BAU (Mantenimiento y peq. evolutivos)"/>
    <n v="0.75"/>
    <x v="1"/>
    <m/>
    <x v="1"/>
    <x v="0"/>
    <m/>
    <m/>
    <m/>
    <m/>
    <m/>
  </r>
  <r>
    <s v="C809493"/>
    <s v="Guzman Gonzalez Jorge Enrique"/>
    <x v="1"/>
    <s v="Cumplimiento &amp; Auditoría"/>
    <s v="BBVA"/>
    <e v="#NAME?"/>
    <s v="SDATOOL-29998 $ Despliegue SAS AML en BBVA CO"/>
    <n v="0.4"/>
    <x v="1"/>
    <m/>
    <x v="1"/>
    <x v="0"/>
    <m/>
    <m/>
    <m/>
    <m/>
    <m/>
  </r>
  <r>
    <s v="C809493"/>
    <s v="Guzman Gonzalez Jorge Enrique"/>
    <x v="1"/>
    <s v="Cumplimiento &amp; Auditoría"/>
    <s v="BBVA"/>
    <e v="#NAME?"/>
    <s v="SDATOOL-39265 $ Migración Operaciones Fircosoft"/>
    <n v="0.1"/>
    <x v="1"/>
    <m/>
    <x v="1"/>
    <x v="0"/>
    <m/>
    <m/>
    <m/>
    <m/>
    <m/>
  </r>
  <r>
    <s v="C809493"/>
    <s v="Guzman Gonzalez Jorge Enrique"/>
    <x v="1"/>
    <s v="Cumplimiento &amp; Auditoría"/>
    <s v="BBVA"/>
    <e v="#NAME?"/>
    <s v="SDATOOL-39473 $ Actualización de Was 8 a was 9. RBA"/>
    <n v="0.1"/>
    <x v="1"/>
    <m/>
    <x v="1"/>
    <x v="0"/>
    <m/>
    <m/>
    <m/>
    <m/>
    <m/>
  </r>
  <r>
    <s v="C809493"/>
    <s v="Guzman Gonzalez Jorge Enrique"/>
    <x v="1"/>
    <s v="Cumplimiento &amp; Auditoría"/>
    <s v="BBVA"/>
    <e v="#NAME?"/>
    <s v="SDATOOL-39888 $ Proyecto - Evolutivo Sarlaft - Mejoras controles aplicativos"/>
    <n v="0.1"/>
    <x v="1"/>
    <m/>
    <x v="1"/>
    <x v="0"/>
    <m/>
    <m/>
    <m/>
    <m/>
    <m/>
  </r>
  <r>
    <s v="C809493"/>
    <s v="Guzman Gonzalez Jorge Enrique"/>
    <x v="1"/>
    <s v="Cumplimiento &amp; Auditoría"/>
    <s v="BBVA"/>
    <e v="#NAME?"/>
    <s v="SDATOOL-40984 $ Proyecto - Identificación e ingesta de las tablas necesarias en datio y la construcción del caso de uso para la identificación de vínculos - Colombia"/>
    <n v="0.3"/>
    <x v="1"/>
    <m/>
    <x v="1"/>
    <x v="0"/>
    <m/>
    <m/>
    <m/>
    <m/>
    <m/>
  </r>
  <r>
    <s v="C810708"/>
    <s v="HAROLD ANDRES CASTILLO CARVAJAL"/>
    <x v="3"/>
    <s v="Net"/>
    <s v="BBVA"/>
    <e v="#NAME?"/>
    <s v="SDATOOL-36558 $ Transfiya:Transferencias interbancarias inmediatas - Plan Ascenso Privado"/>
    <n v="1"/>
    <x v="1"/>
    <m/>
    <x v="1"/>
    <x v="0"/>
    <m/>
    <m/>
    <m/>
    <m/>
    <m/>
  </r>
  <r>
    <s v="CE69667"/>
    <s v="HAROLD ENRIQUE ROCANCIO JULIO"/>
    <x v="4"/>
    <s v="Global Market &amp; Comex"/>
    <s v="GGI / CMC"/>
    <e v="#NAME?"/>
    <s v="SDATOOL-37342 $ SWIFT ISO20022  Ajuste de mensajes Swift a la nueva estructura"/>
    <n v="0.75"/>
    <x v="3"/>
    <m/>
    <x v="0"/>
    <x v="0"/>
    <m/>
    <m/>
    <m/>
    <m/>
    <m/>
  </r>
  <r>
    <s v="CE69667"/>
    <s v="HAROLD ENRIQUE ROCANCIO JULIO"/>
    <x v="4"/>
    <s v="Global Market &amp; Comex"/>
    <s v="GGI / CMC"/>
    <e v="#NAME?"/>
    <s v="NOSDA- BAU $ BAU (Mantenimiento y peq. evolutivos)"/>
    <n v="0.25"/>
    <x v="3"/>
    <m/>
    <x v="0"/>
    <x v="0"/>
    <m/>
    <m/>
    <m/>
    <m/>
    <m/>
  </r>
  <r>
    <s v="T004295"/>
    <s v="Hayler Jair Caicedo"/>
    <x v="3"/>
    <s v="Open Market"/>
    <s v="Accenture"/>
    <e v="#NAME?"/>
    <s v="SDATOOL-37055 $ Cash in- PSE - Plan Ascenso Privado"/>
    <n v="1"/>
    <x v="1"/>
    <m/>
    <x v="0"/>
    <x v="0"/>
    <m/>
    <m/>
    <m/>
    <m/>
    <m/>
  </r>
  <r>
    <s v="CE60769"/>
    <s v="HECTOR FERNANDO JARAMILLO"/>
    <x v="2"/>
    <s v="Loans"/>
    <s v="Inetum"/>
    <e v="#NAME?"/>
    <s v="SDATOOL-39836 $ Vivienda digital fase III"/>
    <n v="1"/>
    <x v="1"/>
    <m/>
    <x v="0"/>
    <x v="0"/>
    <m/>
    <m/>
    <m/>
    <m/>
    <m/>
  </r>
  <r>
    <s v="CE65485"/>
    <s v="HECTOR JAIRO LEGUIZAMON "/>
    <x v="4"/>
    <s v="Global Market &amp; Comex"/>
    <s v="Accenture"/>
    <e v="#NAME?"/>
    <s v="NOSDA- BAU $ BAU (Mantenimiento y peq. evolutivos)"/>
    <n v="1"/>
    <x v="1"/>
    <m/>
    <x v="0"/>
    <x v="0"/>
    <m/>
    <m/>
    <m/>
    <m/>
    <m/>
  </r>
  <r>
    <s v="C804121"/>
    <s v="HECTOR JESUS SISO JIMENEZ"/>
    <x v="0"/>
    <s v="Gema"/>
    <s v="BBVA"/>
    <e v="#NAME?"/>
    <s v="NOSDA- BAU $ BAU (Mantenimiento y peq. evolutivos)"/>
    <n v="1"/>
    <x v="2"/>
    <m/>
    <x v="1"/>
    <x v="0"/>
    <m/>
    <m/>
    <m/>
    <m/>
    <m/>
  </r>
  <r>
    <s v="CE67849"/>
    <s v="Henry Cortes"/>
    <x v="3"/>
    <s v="Móvil"/>
    <s v="Accenture"/>
    <e v="#NAME?"/>
    <s v="SDATOOL-9053 $ GloMo Colombia"/>
    <n v="1"/>
    <x v="1"/>
    <m/>
    <x v="0"/>
    <x v="0"/>
    <m/>
    <m/>
    <m/>
    <m/>
    <m/>
  </r>
  <r>
    <s v="T002223"/>
    <s v="HERMES FERNANDO AMARIS"/>
    <x v="2"/>
    <s v="Payments"/>
    <s v="KRYPTO"/>
    <e v="#NAME?"/>
    <s v="NOSDA- BAU $ BAU (Mantenimiento y peq. evolutivos)"/>
    <n v="1"/>
    <x v="0"/>
    <m/>
    <x v="0"/>
    <x v="0"/>
    <m/>
    <m/>
    <m/>
    <m/>
    <m/>
  </r>
  <r>
    <s v="CE62622"/>
    <s v="HERNAN DARIO RAMOS ORTIZ"/>
    <x v="0"/>
    <s v="Gema"/>
    <s v="Novatec"/>
    <e v="#NAME?"/>
    <s v="SDATOOL-32905 $ Global Enterprises Mobile App (GEMA)"/>
    <n v="1"/>
    <x v="1"/>
    <m/>
    <x v="0"/>
    <x v="0"/>
    <m/>
    <m/>
    <m/>
    <m/>
    <m/>
  </r>
  <r>
    <s v="CE69249"/>
    <s v="Hernan Gabriel Fernandez"/>
    <x v="3"/>
    <s v="Móvil"/>
    <s v="Neoris"/>
    <e v="#NAME?"/>
    <s v="SDATOOL-9053 $ GloMo Colombia"/>
    <n v="1"/>
    <x v="1"/>
    <m/>
    <x v="0"/>
    <x v="0"/>
    <m/>
    <m/>
    <m/>
    <m/>
    <m/>
  </r>
  <r>
    <s v="CE58926"/>
    <s v="HEYBER FERNANDO NINO GUANUME."/>
    <x v="1"/>
    <s v="Riesgos"/>
    <s v="Neoris"/>
    <e v="#NAME?"/>
    <s v="SDATOOL-38443 $ Arce Empresas Colombia"/>
    <n v="1"/>
    <x v="1"/>
    <m/>
    <x v="0"/>
    <x v="0"/>
    <m/>
    <m/>
    <m/>
    <m/>
    <m/>
  </r>
  <r>
    <s v="CE56542"/>
    <s v="HUMBERTO MALAGON VARGAS"/>
    <x v="2"/>
    <s v="Payments"/>
    <s v="Novatec"/>
    <e v="#NAME?"/>
    <s v="NOSDA- BAU $ BAU (Mantenimiento y peq. evolutivos)"/>
    <n v="0.8"/>
    <x v="1"/>
    <m/>
    <x v="0"/>
    <x v="0"/>
    <m/>
    <m/>
    <m/>
    <m/>
    <m/>
  </r>
  <r>
    <s v="CE56542"/>
    <s v="HUMBERTO MALAGON VARGAS (Torre)"/>
    <x v="0"/>
    <s v="Transaccionalidad"/>
    <s v="Novatec"/>
    <e v="#NAME?"/>
    <s v="NOSDA- BAU $ BAU (Mantenimiento y peq. evolutivos)"/>
    <n v="0.2"/>
    <x v="3"/>
    <s v="CyA"/>
    <x v="0"/>
    <x v="0"/>
    <m/>
    <m/>
    <m/>
    <m/>
    <m/>
  </r>
  <r>
    <s v="C811300"/>
    <s v="INGRID JOHANNA PARRA CAICEDO"/>
    <x v="2"/>
    <s v="Payments"/>
    <s v="BBVA"/>
    <e v="#NAME?"/>
    <s v="SDATOOL-40384 $ Cobrar intereses corrientes entre la transacción y la pre-cancelación"/>
    <n v="0.8"/>
    <x v="1"/>
    <m/>
    <x v="1"/>
    <x v="0"/>
    <m/>
    <m/>
    <m/>
    <m/>
    <m/>
  </r>
  <r>
    <s v="C811300"/>
    <s v="INGRID JOHANNA PARRA CAICEDO"/>
    <x v="2"/>
    <s v="Payments"/>
    <s v="BBVA"/>
    <e v="#NAME?"/>
    <s v="SDATOOL-37753 $ Plan de transformación de operaciones 2022"/>
    <n v="0.2"/>
    <x v="1"/>
    <m/>
    <x v="1"/>
    <x v="0"/>
    <m/>
    <m/>
    <m/>
    <m/>
    <m/>
  </r>
  <r>
    <s v="CE68851"/>
    <s v="INGRID NATALIA SUESCUN CARVAJAL"/>
    <x v="0"/>
    <s v="Soluciones financieras (Factoring)"/>
    <s v="Choucair"/>
    <e v="#NAME?"/>
    <s v="NOSDA- BAU $ BAU (Mantenimiento y peq. evolutivos)"/>
    <n v="0.75"/>
    <x v="0"/>
    <m/>
    <x v="0"/>
    <x v="0"/>
    <m/>
    <m/>
    <m/>
    <m/>
    <m/>
  </r>
  <r>
    <s v="CE68432"/>
    <s v="INGRID NATALIA SUESCUN CARVAJAL"/>
    <x v="0"/>
    <s v="Soluciones financieras (Factoring)"/>
    <s v="Choucair"/>
    <e v="#NAME?"/>
    <s v="SDATOOL-36547 $ PLAN MAYOR -PLAN MENOR. Plan ascenso Open Market"/>
    <n v="0.25"/>
    <x v="0"/>
    <m/>
    <x v="0"/>
    <x v="0"/>
    <m/>
    <m/>
    <m/>
    <m/>
    <m/>
  </r>
  <r>
    <s v="T008176"/>
    <s v="IRWIN WALTER ACOSTA CHAVARRI"/>
    <x v="3"/>
    <s v="CRM"/>
    <s v="Neoris"/>
    <e v="#NAME?"/>
    <s v="SDATOOL-40672 $ Plan CRM: Mejoras AUG (Banca Comercial y CSF) Equipo A"/>
    <n v="1"/>
    <x v="1"/>
    <m/>
    <x v="0"/>
    <x v="0"/>
    <m/>
    <m/>
    <m/>
    <m/>
    <m/>
  </r>
  <r>
    <s v="CE52097"/>
    <s v="IVAN DE JESÚS RAMOS OSORIO"/>
    <x v="2"/>
    <s v="Loans"/>
    <s v="Neoris"/>
    <e v="#NAME?"/>
    <s v="NOSDA- BAU $ BAU (Mantenimiento y peq. evolutivos)"/>
    <n v="1"/>
    <x v="1"/>
    <m/>
    <x v="0"/>
    <x v="0"/>
    <m/>
    <m/>
    <m/>
    <m/>
    <m/>
  </r>
  <r>
    <s v="T005766"/>
    <s v="Iván Jonathan Romero Medina"/>
    <x v="1"/>
    <s v="Cumplimiento &amp; Auditoría"/>
    <s v="CAPGEMINI"/>
    <e v="#NAME?"/>
    <s v="SDATOOL-29998 $ Despliegue SAS AML en BBVA CO"/>
    <n v="1"/>
    <x v="1"/>
    <m/>
    <x v="0"/>
    <x v="0"/>
    <m/>
    <m/>
    <m/>
    <m/>
    <m/>
  </r>
  <r>
    <s v="CE71176"/>
    <s v="IVAN YESID REYES CALCETERO"/>
    <x v="2"/>
    <s v="Cross/Personas y Arq. Host"/>
    <s v="KRYPTO"/>
    <e v="#NAME?"/>
    <s v="SDATOOL-41171 $ CBS Core Banking Strategy Convivencia Clients and Contracts"/>
    <n v="0.5"/>
    <x v="0"/>
    <m/>
    <x v="0"/>
    <x v="0"/>
    <m/>
    <m/>
    <m/>
    <m/>
    <m/>
  </r>
  <r>
    <s v="T009381"/>
    <s v="Jaiber Daivison Nova"/>
    <x v="3"/>
    <s v="Net"/>
    <s v="GGI / CMC"/>
    <e v="#NAME?"/>
    <s v="NOSDA- BAU $ BAU (Mantenimiento y peq. evolutivos)"/>
    <n v="1"/>
    <x v="1"/>
    <m/>
    <x v="0"/>
    <x v="0"/>
    <m/>
    <m/>
    <m/>
    <m/>
    <m/>
  </r>
  <r>
    <s v="T002704"/>
    <s v="JAIME OSORIO"/>
    <x v="4"/>
    <s v="Global Market &amp; Comex"/>
    <s v="Accenture"/>
    <e v="#NAME?"/>
    <s v="SDATOOL-41308 $ Aplicativos Tesorería 2023"/>
    <n v="0.9"/>
    <x v="1"/>
    <m/>
    <x v="0"/>
    <x v="0"/>
    <m/>
    <m/>
    <m/>
    <m/>
    <m/>
  </r>
  <r>
    <s v="CE54753"/>
    <s v="Jaime Ricardo Leon "/>
    <x v="4"/>
    <s v="Backoffice"/>
    <s v="Tecnoevolución"/>
    <e v="#NAME?"/>
    <s v="SDATOOL-35621 $ DOCUMENTO SOPORTE FASE II - DIALOGO"/>
    <n v="1"/>
    <x v="1"/>
    <m/>
    <x v="0"/>
    <x v="0"/>
    <m/>
    <m/>
    <m/>
    <m/>
    <m/>
  </r>
  <r>
    <s v="CE54753"/>
    <s v="JAIME RICARDO LEON HERNANDEZ"/>
    <x v="4"/>
    <s v="Backoffice"/>
    <s v="Tecnoevolución"/>
    <e v="#NAME?"/>
    <s v="SDATOOL-37186 $ Migración Murex 3 Colombia (Servicios restantes MX3 -Fase 1)"/>
    <n v="1"/>
    <x v="1"/>
    <m/>
    <x v="0"/>
    <x v="0"/>
    <m/>
    <m/>
    <m/>
    <m/>
    <m/>
  </r>
  <r>
    <s v="NO TIENE"/>
    <s v="JAIR ERNESTO CABRA MENJURA-reemplazo Thalia"/>
    <x v="3"/>
    <s v="CRM"/>
    <s v="Neoris"/>
    <e v="#NAME?"/>
    <s v="SDATOOL-40672 $ Plan CRM: Mejoras AUG (Banca Comercial y CSF) Equipo A"/>
    <n v="1"/>
    <x v="1"/>
    <m/>
    <x v="0"/>
    <x v="0"/>
    <m/>
    <m/>
    <m/>
    <m/>
    <m/>
  </r>
  <r>
    <s v="T006279"/>
    <s v="Jairo Andres Ochoa"/>
    <x v="3"/>
    <s v="Open Market"/>
    <s v="Choucair"/>
    <e v="#NAME?"/>
    <s v="SDATOOL-37136 $ Conexión simulador vía API Vehículo digital"/>
    <n v="1"/>
    <x v="0"/>
    <m/>
    <x v="0"/>
    <x v="0"/>
    <m/>
    <m/>
    <m/>
    <m/>
    <m/>
  </r>
  <r>
    <s v="CE50117"/>
    <s v="JAIRO ANZOLA PLATA L"/>
    <x v="2"/>
    <s v="Accounts"/>
    <s v="SII"/>
    <e v="#NAME?"/>
    <s v="SDATOOL-38481 $ Pricing Pasivos (optimización portafolio) - Plan Ascenso Cross Sell"/>
    <n v="1"/>
    <x v="1"/>
    <m/>
    <x v="0"/>
    <x v="0"/>
    <m/>
    <m/>
    <m/>
    <m/>
    <m/>
  </r>
  <r>
    <s v="CE57635"/>
    <s v="JAIRO ARTURO BELTAN (Torre)"/>
    <x v="0"/>
    <s v="Transaccionalidad"/>
    <s v="Novatec"/>
    <e v="#NAME?"/>
    <s v="NOSDA- BAU $ BAU (Mantenimiento y peq. evolutivos)"/>
    <n v="1"/>
    <x v="1"/>
    <s v="CyA"/>
    <x v="0"/>
    <x v="0"/>
    <m/>
    <m/>
    <m/>
    <m/>
    <m/>
  </r>
  <r>
    <s v="C783725"/>
    <s v="Jairo Fernando Tamara Rubiano"/>
    <x v="1"/>
    <s v="Riesgos"/>
    <s v="BBVA"/>
    <e v="#NAME?"/>
    <s v="SDATOOL-33846 $ SREP Data Quality- BCBS239 - Colombia"/>
    <n v="0.2"/>
    <x v="2"/>
    <m/>
    <x v="1"/>
    <x v="0"/>
    <m/>
    <m/>
    <m/>
    <m/>
    <m/>
  </r>
  <r>
    <s v="C783725"/>
    <s v="Jairo Fernando Tamara Rubiano"/>
    <x v="1"/>
    <s v="Riesgos"/>
    <s v="BBVA"/>
    <e v="#NAME?"/>
    <s v="SDATOOL-30053 $ GRM Col Reg - CE016-19 Modificados, reestructurados e incumplidos RV"/>
    <n v="0.2"/>
    <x v="2"/>
    <m/>
    <x v="1"/>
    <x v="0"/>
    <m/>
    <m/>
    <m/>
    <m/>
    <m/>
  </r>
  <r>
    <s v="C783725"/>
    <s v="Jairo Fernando Tamara Rubiano"/>
    <x v="1"/>
    <s v="Riesgos"/>
    <s v="BBVA"/>
    <e v="#NAME?"/>
    <s v="SDATOOL-39463 $ GRM Col - Actualización Versión Power Curve."/>
    <n v="0.3"/>
    <x v="2"/>
    <m/>
    <x v="1"/>
    <x v="0"/>
    <m/>
    <m/>
    <m/>
    <m/>
    <m/>
  </r>
  <r>
    <s v="C783725"/>
    <s v="Jairo Fernando Tamara Rubiano"/>
    <x v="1"/>
    <s v="Riesgos"/>
    <s v="BBVA"/>
    <e v="#NAME?"/>
    <s v="NOSDA- BAU $ BAU (Mantenimiento y peq. evolutivos)"/>
    <n v="0.2"/>
    <x v="2"/>
    <m/>
    <x v="1"/>
    <x v="0"/>
    <m/>
    <m/>
    <m/>
    <m/>
    <m/>
  </r>
  <r>
    <s v="C783725"/>
    <s v="Jairo Fernando Tamara Rubiano"/>
    <x v="1"/>
    <s v="Riesgos"/>
    <s v="BBVA"/>
    <e v="#NAME?"/>
    <s v="SDATOOL-39923 $ MIGRO FASE II. TRANSFORMACIÓN DE LOS CIRCUITOS DE CAPTURA Y TRATAMIENTO DE LAS PÉRDIDAS OPERACIONALES - COLOMBIA"/>
    <n v="0.1"/>
    <x v="1"/>
    <m/>
    <x v="1"/>
    <x v="0"/>
    <m/>
    <m/>
    <m/>
    <m/>
    <m/>
  </r>
  <r>
    <s v="CE66758"/>
    <s v="Jairo Leon Espitia Botia"/>
    <x v="1"/>
    <s v="Riesgos"/>
    <s v="Inetum"/>
    <e v="#NAME?"/>
    <s v="NOSDA- BAU $ BAU (Mantenimiento y peq. evolutivos)"/>
    <n v="1"/>
    <x v="1"/>
    <m/>
    <x v="0"/>
    <x v="0"/>
    <m/>
    <m/>
    <m/>
    <m/>
    <m/>
  </r>
  <r>
    <s v="C342062"/>
    <s v="JAVIER CALDERON LOPEZ"/>
    <x v="0"/>
    <s v="Transaccionalidad"/>
    <s v="BBVA"/>
    <e v="#NAME?"/>
    <s v="SDATOOL-35041 $ Obsolescencia aplicativa 2021 -PSE Comercio"/>
    <n v="0.5"/>
    <x v="1"/>
    <m/>
    <x v="1"/>
    <x v="0"/>
    <m/>
    <m/>
    <m/>
    <m/>
    <m/>
  </r>
  <r>
    <s v="C342062"/>
    <s v="JAVIER CALDERON LOPEZ"/>
    <x v="0"/>
    <s v="Transaccionalidad"/>
    <s v="BBVA"/>
    <e v="#NAME?"/>
    <s v="SDATOOL-37055 $ Cash in- PSE - Plan Ascenso Privado"/>
    <n v="0.25"/>
    <x v="1"/>
    <m/>
    <x v="1"/>
    <x v="0"/>
    <m/>
    <m/>
    <m/>
    <m/>
    <m/>
  </r>
  <r>
    <s v="C342062"/>
    <s v="JAVIER CALDERON LOPEZ"/>
    <x v="0"/>
    <s v="Transaccionalidad"/>
    <s v="BBVA"/>
    <e v="#NAME?"/>
    <s v="NOSDA- BAU $ BAU (Mantenimiento y peq. evolutivos)"/>
    <n v="0.25"/>
    <x v="1"/>
    <m/>
    <x v="1"/>
    <x v="0"/>
    <m/>
    <m/>
    <m/>
    <m/>
    <m/>
  </r>
  <r>
    <s v="CE61638"/>
    <s v="JAVIER CORDOBA"/>
    <x v="2"/>
    <s v="Loans"/>
    <s v="KRYPTO"/>
    <e v="#NAME?"/>
    <s v="SDATOOL-35463 $ Gestión de Ingresos - Períodos de Gracia Libranzas"/>
    <n v="1"/>
    <x v="0"/>
    <m/>
    <x v="0"/>
    <x v="0"/>
    <m/>
    <m/>
    <m/>
    <m/>
    <m/>
  </r>
  <r>
    <s v="C604380"/>
    <s v="JAVIER FRANCISCO OSPINA RAMIREZ"/>
    <x v="2"/>
    <s v="Cross/Ventas asistidas CAP"/>
    <s v="BBVA"/>
    <e v="#NAME?"/>
    <s v="SDATOOL-38091 $ Higiénicos Plataforma Digital de Oficinas CAP"/>
    <n v="1"/>
    <x v="0"/>
    <m/>
    <x v="1"/>
    <x v="0"/>
    <m/>
    <m/>
    <m/>
    <m/>
    <m/>
  </r>
  <r>
    <s v="T002696"/>
    <s v="JEANN CARLOS SEQUEA MENDEZ "/>
    <x v="0"/>
    <s v="Senda"/>
    <s v="Accenture"/>
    <e v="#NAME?"/>
    <s v="SDATOOL-40457 $ SENDA (Base)"/>
    <n v="1"/>
    <x v="1"/>
    <m/>
    <x v="0"/>
    <x v="0"/>
    <m/>
    <m/>
    <m/>
    <m/>
    <m/>
  </r>
  <r>
    <s v="C811356"/>
    <s v="JEFFERSON CAMILO ROZO CASTILLO"/>
    <x v="0"/>
    <s v="Gema"/>
    <s v="BBVA"/>
    <e v="#NAME?"/>
    <s v="NOSDA- BAU $ BAU (Mantenimiento y peq. evolutivos)"/>
    <n v="0.5"/>
    <x v="2"/>
    <m/>
    <x v="1"/>
    <x v="0"/>
    <m/>
    <m/>
    <m/>
    <m/>
    <m/>
  </r>
  <r>
    <s v="C811356"/>
    <s v="JEFFERSON CAMILO ROZO CASTILLO"/>
    <x v="0"/>
    <s v="Gema"/>
    <s v="BBVA"/>
    <e v="#NAME?"/>
    <s v="SDATOOL-39353 $ Redirección Mobile POS"/>
    <n v="0.25"/>
    <x v="2"/>
    <m/>
    <x v="1"/>
    <x v="0"/>
    <m/>
    <m/>
    <m/>
    <m/>
    <m/>
  </r>
  <r>
    <s v="C811356"/>
    <s v="JEFFERSON CAMILO ROZO CASTILLO"/>
    <x v="0"/>
    <s v="Gema"/>
    <s v="BBVA"/>
    <e v="#NAME?"/>
    <s v="SDATOOL-40676 $ Contratación y uso de mPOS desde APPs BBVA"/>
    <n v="0.25"/>
    <x v="2"/>
    <m/>
    <x v="1"/>
    <x v="0"/>
    <m/>
    <m/>
    <m/>
    <m/>
    <m/>
  </r>
  <r>
    <s v="C809750"/>
    <s v="JEFFERSON JOSE ESQUEA SANCHEZ"/>
    <x v="3"/>
    <s v="Open Market"/>
    <s v="BBVA"/>
    <e v="#NAME?"/>
    <s v="NOSDA- BAU $ BAU (Mantenimiento y peq. evolutivos)"/>
    <n v="1"/>
    <x v="1"/>
    <m/>
    <x v="1"/>
    <x v="0"/>
    <m/>
    <m/>
    <m/>
    <m/>
    <m/>
  </r>
  <r>
    <s v="CE60767"/>
    <s v="JEIMMY ALEJANDRA SANCHEZ LOPEZ"/>
    <x v="0"/>
    <s v="Soluciones financieras (Factoring)"/>
    <s v="Choucair"/>
    <e v="#NAME?"/>
    <s v="SDATOOL-37125 $ Factoring - IBR"/>
    <n v="1"/>
    <x v="0"/>
    <m/>
    <x v="0"/>
    <x v="0"/>
    <m/>
    <m/>
    <m/>
    <m/>
    <m/>
  </r>
  <r>
    <s v="C805179"/>
    <s v="JEISON ANDRES VISBAL GOMEZ"/>
    <x v="4"/>
    <s v="Backoffice"/>
    <s v="BBVA"/>
    <e v="#NAME?"/>
    <s v="SDATOOL-42061 $ Murex Limit Control Intradía EOD"/>
    <n v="0.5"/>
    <x v="1"/>
    <m/>
    <x v="1"/>
    <x v="0"/>
    <m/>
    <m/>
    <m/>
    <m/>
    <m/>
  </r>
  <r>
    <s v="C805179"/>
    <s v="JEISON ANDRES VISBAL GOMEZ"/>
    <x v="4"/>
    <s v="Backoffice"/>
    <s v="BBVA"/>
    <e v="#NAME?"/>
    <s v="SDATOOL-42081 $ Evolutivos Migración Murex 3"/>
    <n v="0.5"/>
    <x v="1"/>
    <m/>
    <x v="1"/>
    <x v="0"/>
    <m/>
    <m/>
    <m/>
    <m/>
    <m/>
  </r>
  <r>
    <s v="O002144"/>
    <s v="JEISON EDUARDO HERNANDEZ"/>
    <x v="2"/>
    <s v="Cross/Gestor documental y SSDD"/>
    <s v="BBVA"/>
    <e v="#NAME?"/>
    <s v="SDATOOL-38742 $ Gestor Documental Retail"/>
    <n v="1"/>
    <x v="1"/>
    <m/>
    <x v="1"/>
    <x v="0"/>
    <m/>
    <m/>
    <m/>
    <m/>
    <m/>
  </r>
  <r>
    <s v="CE56090"/>
    <s v="Jeisson Andres Tequia Rincon"/>
    <x v="1"/>
    <s v="Cumplimiento &amp; Auditoría"/>
    <s v="MS"/>
    <e v="#NAME?"/>
    <s v="SDATOOL-29998 $ Despliegue SAS AML en BBVA CO"/>
    <n v="1"/>
    <x v="1"/>
    <m/>
    <x v="0"/>
    <x v="0"/>
    <m/>
    <m/>
    <m/>
    <m/>
    <m/>
  </r>
  <r>
    <s v="C805104"/>
    <s v="JEISSON SNEYDER GALLO RAMIREZ"/>
    <x v="4"/>
    <s v="Global Market &amp; Comex"/>
    <s v="BBVA"/>
    <e v="#NAME?"/>
    <s v="SDATOOL-36047 $ Bloqueo Sobregiro para Pago Capital e Intereses"/>
    <n v="1"/>
    <x v="1"/>
    <m/>
    <x v="1"/>
    <x v="0"/>
    <m/>
    <m/>
    <m/>
    <m/>
    <m/>
  </r>
  <r>
    <s v="CE69136"/>
    <s v="Jeisson Steven Rincon Mellizo"/>
    <x v="1"/>
    <s v="Finanzas"/>
    <s v="GGI / CMC"/>
    <e v="#NAME?"/>
    <s v="SDATOOL-37681 $ Ciclo 2 - Resolución 0098 de Octubre 28 de 2020 - Reportes información Exógena Base Impuestos"/>
    <n v="1"/>
    <x v="1"/>
    <m/>
    <x v="0"/>
    <x v="0"/>
    <m/>
    <m/>
    <m/>
    <m/>
    <m/>
  </r>
  <r>
    <s v="CE68565"/>
    <s v="JELBER STIBEN LOZANO PRADA"/>
    <x v="0"/>
    <s v="Soluciones financieras (Factoring)"/>
    <s v="Choucair"/>
    <e v="#NAME?"/>
    <s v="SDATOOL-36547 $ PLAN MAYOR -PLAN MENOR. Plan ascenso Open Market"/>
    <n v="1"/>
    <x v="0"/>
    <m/>
    <x v="0"/>
    <x v="0"/>
    <m/>
    <m/>
    <m/>
    <m/>
    <m/>
  </r>
  <r>
    <s v="CE42593"/>
    <s v="JENITH MARSELLA MANTILLA RODRIGUEZ"/>
    <x v="2"/>
    <s v="Accounts"/>
    <s v="SII"/>
    <e v="#NAME?"/>
    <s v="NOSDA- BAU $ BAU (Mantenimiento y peq. evolutivos)"/>
    <n v="1"/>
    <x v="1"/>
    <m/>
    <x v="0"/>
    <x v="0"/>
    <m/>
    <m/>
    <m/>
    <m/>
    <m/>
  </r>
  <r>
    <s v="C342035"/>
    <s v="JENNIFER ALZATE"/>
    <x v="2"/>
    <s v="Payments"/>
    <s v="BBVA"/>
    <e v="#NAME?"/>
    <s v="SDATOOL-36556 $ Parthnerships - Tarjeta de crédito en punto de venta físico  aliados"/>
    <n v="1"/>
    <x v="1"/>
    <m/>
    <x v="1"/>
    <x v="0"/>
    <m/>
    <m/>
    <m/>
    <m/>
    <m/>
  </r>
  <r>
    <s v="O001111"/>
    <s v="JENNIFER HAILINTH MORENO"/>
    <x v="2"/>
    <s v="Loans"/>
    <s v="BBVA"/>
    <e v="#NAME?"/>
    <s v="SDATOOL-36548 $ Optimización consumo web - Plan ascenso Open Market"/>
    <n v="1"/>
    <x v="1"/>
    <m/>
    <x v="1"/>
    <x v="0"/>
    <m/>
    <m/>
    <m/>
    <m/>
    <m/>
  </r>
  <r>
    <s v="CE57299"/>
    <s v="Jennifer Zamora"/>
    <x v="3"/>
    <s v="Net"/>
    <s v="GGI / CMC"/>
    <e v="#NAME?"/>
    <s v="SDATOOL-38527 $ Pagaré Electrónico en flujos de Contratación digital"/>
    <n v="1"/>
    <x v="1"/>
    <m/>
    <x v="0"/>
    <x v="0"/>
    <m/>
    <m/>
    <m/>
    <m/>
    <m/>
  </r>
  <r>
    <s v="CE61541"/>
    <s v="Jesus Andrés Cardenas"/>
    <x v="3"/>
    <s v="Net"/>
    <s v="GGI / CMC"/>
    <e v="#NAME?"/>
    <s v="SDATOOL-9053 $ GloMo Colombia"/>
    <n v="1"/>
    <x v="1"/>
    <m/>
    <x v="0"/>
    <x v="0"/>
    <m/>
    <m/>
    <m/>
    <m/>
    <m/>
  </r>
  <r>
    <s v="C805973"/>
    <s v="JESUS DAVID TELLO ARISTIZABAL"/>
    <x v="0"/>
    <s v="Soluciones financieras (Factoring)"/>
    <s v="BBVA"/>
    <e v="#NAME?"/>
    <s v="SDATOOL-37086 $ Factura electrónica (radian)"/>
    <n v="0.25"/>
    <x v="1"/>
    <m/>
    <x v="1"/>
    <x v="0"/>
    <m/>
    <m/>
    <m/>
    <m/>
    <m/>
  </r>
  <r>
    <s v="C805973"/>
    <s v="JESUS DAVID TELLO ARISTIZABAL"/>
    <x v="0"/>
    <s v="Soluciones financieras (Factoring)"/>
    <s v="BBVA"/>
    <e v="#NAME?"/>
    <s v="NOSDA- BAU $ BAU (Mantenimiento y peq. evolutivos)"/>
    <n v="0.75"/>
    <x v="1"/>
    <m/>
    <x v="1"/>
    <x v="0"/>
    <m/>
    <m/>
    <m/>
    <m/>
    <m/>
  </r>
  <r>
    <s v="O002496"/>
    <s v="Jesus Humberto Moreno "/>
    <x v="3"/>
    <s v="CRM"/>
    <s v="BBVA"/>
    <e v="#NAME?"/>
    <s v="SDATOOL-40690 $ Plan CRM: Mejoras AUG (Banca Comercial y CSF) Equipo B"/>
    <n v="1"/>
    <x v="1"/>
    <m/>
    <x v="1"/>
    <x v="0"/>
    <m/>
    <m/>
    <m/>
    <m/>
    <m/>
  </r>
  <r>
    <s v="CE69611"/>
    <s v="JESUS ROLDAN LAVERDE"/>
    <x v="2"/>
    <s v="Loans"/>
    <s v="Accenture"/>
    <e v="#NAME?"/>
    <s v="SDATOOL-39272 $ GRM-Col-Cambio servicio APL (Aportes en línea)"/>
    <n v="1"/>
    <x v="1"/>
    <m/>
    <x v="0"/>
    <x v="0"/>
    <m/>
    <m/>
    <m/>
    <m/>
    <m/>
  </r>
  <r>
    <s v="CE56568"/>
    <s v="Jesus Wellman"/>
    <x v="3"/>
    <s v="Móvil"/>
    <s v="Novatec"/>
    <e v="#NAME?"/>
    <s v="SDATOOL-38489 $ Horizon BTGR - Colombia"/>
    <n v="1"/>
    <x v="1"/>
    <m/>
    <x v="0"/>
    <x v="0"/>
    <m/>
    <m/>
    <m/>
    <m/>
    <m/>
  </r>
  <r>
    <s v="C804789"/>
    <s v="JHON ALEXANDER PINEDA ARIAS"/>
    <x v="4"/>
    <s v="Global Market &amp; Comex"/>
    <s v="BBVA"/>
    <e v="#NAME?"/>
    <s v="SDATOOL-37342 $ SWIFT ISO20022  Ajuste de mensajes Swift a la nueva estructura"/>
    <n v="0.5"/>
    <x v="1"/>
    <m/>
    <x v="1"/>
    <x v="0"/>
    <m/>
    <m/>
    <m/>
    <m/>
    <m/>
  </r>
  <r>
    <s v="C804789"/>
    <s v="JHON ALEXANDER PINEDA ARIAS"/>
    <x v="4"/>
    <s v="Global Market &amp; Comex"/>
    <s v="BBVA"/>
    <e v="#NAME?"/>
    <s v="SDATOOL-41737 $ Moneda Extranjera - Inclusión en SIGDOC"/>
    <n v="0.25"/>
    <x v="1"/>
    <m/>
    <x v="1"/>
    <x v="0"/>
    <m/>
    <m/>
    <m/>
    <m/>
    <m/>
  </r>
  <r>
    <s v="C804789"/>
    <s v="JHON ALEXANDER PINEDA ARIAS"/>
    <x v="4"/>
    <s v="Global Market &amp; Comex"/>
    <s v="BBVA"/>
    <e v="#NAME?"/>
    <s v="SDATOOL-40438 $ CIRCULAR 032 del 2021 - REQUERIMIENTO FISCALIA GENERAL DE LA NACION"/>
    <n v="0.25"/>
    <x v="1"/>
    <m/>
    <x v="1"/>
    <x v="0"/>
    <m/>
    <m/>
    <m/>
    <m/>
    <m/>
  </r>
  <r>
    <s v="CE67868"/>
    <s v="Jhon Alexander Santana"/>
    <x v="3"/>
    <s v="Open Market"/>
    <s v="Accenture"/>
    <e v="#NAME?"/>
    <s v="NOSDA- BAU $ BAU (Mantenimiento y peq. evolutivos)"/>
    <n v="1"/>
    <x v="1"/>
    <m/>
    <x v="0"/>
    <x v="0"/>
    <m/>
    <m/>
    <m/>
    <m/>
    <m/>
  </r>
  <r>
    <s v="CE66153"/>
    <s v="JHON EDWIN MENDOZA DAZA"/>
    <x v="2"/>
    <s v="Loans"/>
    <s v="Novatec"/>
    <e v="#NAME?"/>
    <s v="SDATOOL-39836 $ Vivienda digital fase III"/>
    <n v="0.7"/>
    <x v="1"/>
    <m/>
    <x v="0"/>
    <x v="0"/>
    <m/>
    <m/>
    <m/>
    <m/>
    <m/>
  </r>
  <r>
    <s v="CE66153"/>
    <s v="JHON EDWIN MENDOZA DAZA"/>
    <x v="2"/>
    <s v="Loans"/>
    <s v="Novatec"/>
    <e v="#NAME?"/>
    <s v="SDATOOL-39272 $ GRM-Col-Cambio servicio APL (Aportes en línea)"/>
    <n v="0.3"/>
    <x v="1"/>
    <m/>
    <x v="0"/>
    <x v="0"/>
    <m/>
    <m/>
    <m/>
    <m/>
    <m/>
  </r>
  <r>
    <s v="C808392"/>
    <s v="JHON FREDDY ZAPATA MUÑOZ"/>
    <x v="0"/>
    <s v="Transaccionalidad"/>
    <s v="BBVA"/>
    <e v="#NAME?"/>
    <s v="SDATOOL-35041 $ Obsolescencia aplicativa 2021 -PSE Comercio"/>
    <n v="1"/>
    <x v="1"/>
    <m/>
    <x v="1"/>
    <x v="0"/>
    <m/>
    <m/>
    <m/>
    <m/>
    <m/>
  </r>
  <r>
    <s v="C805565"/>
    <s v="JHON FREDY PACHECO AVELLA"/>
    <x v="2"/>
    <s v="Accounts"/>
    <s v="BBVA"/>
    <e v="#NAME?"/>
    <s v="SDATOOL-40589 $ Ajuste longitud de cuentas problema 7 digitos"/>
    <n v="0.8"/>
    <x v="1"/>
    <m/>
    <x v="1"/>
    <x v="0"/>
    <m/>
    <m/>
    <m/>
    <m/>
    <m/>
  </r>
  <r>
    <s v="C805565"/>
    <s v="JHON FREDY PACHECO AVELLA"/>
    <x v="2"/>
    <s v="Accounts"/>
    <s v="BBVA"/>
    <e v="#NAME?"/>
    <s v="SDATOOL-39246 $ Nuevo tipo de identificación para extranjeros"/>
    <n v="0.2"/>
    <x v="1"/>
    <m/>
    <x v="1"/>
    <x v="0"/>
    <m/>
    <m/>
    <m/>
    <m/>
    <m/>
  </r>
  <r>
    <s v="C809506"/>
    <s v="JHON FREDY PINZON PAEZ"/>
    <x v="2"/>
    <s v="Accounts"/>
    <s v="BBVA"/>
    <e v="#NAME?"/>
    <s v="NOSDA- BAU $ BAU (Mantenimiento y peq. evolutivos)"/>
    <n v="1"/>
    <x v="1"/>
    <m/>
    <x v="1"/>
    <x v="0"/>
    <m/>
    <m/>
    <m/>
    <m/>
    <m/>
  </r>
  <r>
    <s v="C811329"/>
    <s v="JHON MARIO FORERO"/>
    <x v="2"/>
    <s v="Loans"/>
    <s v="BBVA"/>
    <e v="#NAME?"/>
    <s v="NOSDA- BAU $ BAU (Mantenimiento y peq. evolutivos)"/>
    <n v="1"/>
    <x v="1"/>
    <m/>
    <x v="1"/>
    <x v="0"/>
    <m/>
    <m/>
    <m/>
    <m/>
    <m/>
  </r>
  <r>
    <s v="CE61687"/>
    <s v="JHONATAN STIV CUADROS CARDENAS"/>
    <x v="2"/>
    <s v="Loans"/>
    <s v="Accenture"/>
    <e v="#NAME?"/>
    <s v="SDATOOL-36548 $ Optimización consumo web - Plan ascenso Open Market"/>
    <n v="0.7"/>
    <x v="1"/>
    <m/>
    <x v="0"/>
    <x v="0"/>
    <m/>
    <m/>
    <m/>
    <m/>
    <m/>
  </r>
  <r>
    <s v="CE61687"/>
    <s v="JHONATAN STIV CUADROS CARDENAS"/>
    <x v="2"/>
    <s v="Loans"/>
    <s v="Accenture"/>
    <e v="#NAME?"/>
    <s v="SDATOOL-39272 $ GRM-Col-Cambio servicio APL (Aportes en línea)"/>
    <n v="0.3"/>
    <x v="1"/>
    <m/>
    <x v="0"/>
    <x v="0"/>
    <m/>
    <m/>
    <m/>
    <m/>
    <m/>
  </r>
  <r>
    <s v="T006637"/>
    <s v="Jhonathan Medina"/>
    <x v="3"/>
    <s v="Móvil"/>
    <s v="Neoris"/>
    <e v="#NAME?"/>
    <s v="SDATOOL-9053 $ GloMo Colombia"/>
    <n v="1"/>
    <x v="1"/>
    <m/>
    <x v="0"/>
    <x v="0"/>
    <m/>
    <m/>
    <m/>
    <m/>
    <m/>
  </r>
  <r>
    <s v="CE70146"/>
    <s v="JHONNY ALEXANDER LABRADOR SILGADO"/>
    <x v="4"/>
    <s v="Global Market &amp; Comex"/>
    <s v="GGI / CMC"/>
    <e v="#NAME?"/>
    <s v="SDATOOL-35663 $ Capacidades FX GM"/>
    <n v="1"/>
    <x v="1"/>
    <m/>
    <x v="0"/>
    <x v="0"/>
    <m/>
    <m/>
    <m/>
    <m/>
    <m/>
  </r>
  <r>
    <s v="C805978"/>
    <s v="Jimenez Garcia Ariel Andres"/>
    <x v="3"/>
    <s v="Oficina"/>
    <s v="BBVA"/>
    <e v="#NAME?"/>
    <s v="SDATOOL-35350 $ Lean Office (Biblioteca Transaccional y Nuevo Modelo de Impresión)"/>
    <n v="0.5"/>
    <x v="1"/>
    <m/>
    <x v="1"/>
    <x v="0"/>
    <m/>
    <m/>
    <m/>
    <m/>
    <m/>
  </r>
  <r>
    <s v="C805978"/>
    <s v="Jimenez Garcia Ariel Andres"/>
    <x v="3"/>
    <s v="Oficina"/>
    <s v="BBVA"/>
    <e v="#NAME?"/>
    <s v="SDATOOL-37294 $ Gestión de Tráfico en Oficinas"/>
    <n v="0.5"/>
    <x v="1"/>
    <m/>
    <x v="1"/>
    <x v="0"/>
    <m/>
    <m/>
    <m/>
    <m/>
    <m/>
  </r>
  <r>
    <s v="CE67424"/>
    <s v="JIMENEZ MUÑOZ ANA MARIA"/>
    <x v="0"/>
    <s v="Netcash"/>
    <s v="GGI / CMC"/>
    <e v="#NAME?"/>
    <s v="SDATOOL-37130 $ Pago y domiciliación de recaudo"/>
    <n v="1"/>
    <x v="1"/>
    <m/>
    <x v="0"/>
    <x v="0"/>
    <m/>
    <m/>
    <m/>
    <m/>
    <m/>
  </r>
  <r>
    <s v="O001222"/>
    <s v="JIOVANNY SUAREZ GONZALEZ"/>
    <x v="2"/>
    <s v="Accounts"/>
    <s v="BBVA"/>
    <e v="#NAME?"/>
    <s v="SDATOOL-37344 $ Automatización Operaciones en Efectivo"/>
    <n v="0.2"/>
    <x v="2"/>
    <m/>
    <x v="1"/>
    <x v="0"/>
    <m/>
    <m/>
    <m/>
    <m/>
    <m/>
  </r>
  <r>
    <s v="O001222"/>
    <s v="JIOVANNY SUAREZ GONZALEZ"/>
    <x v="2"/>
    <s v="Accounts"/>
    <s v="BBVA"/>
    <e v="#NAME?"/>
    <s v="SDATOOL-37753 $ Plan de transformación de operaciones 2022"/>
    <n v="0.2"/>
    <x v="2"/>
    <m/>
    <x v="1"/>
    <x v="0"/>
    <m/>
    <m/>
    <m/>
    <m/>
    <m/>
  </r>
  <r>
    <s v="O001222"/>
    <s v="JIOVANNY SUAREZ GONZALEZ"/>
    <x v="2"/>
    <s v="Accounts"/>
    <s v="BBVA"/>
    <e v="#NAME?"/>
    <s v="SDATOOL-38419 $ Contratación cuenta en línea en Glomo"/>
    <n v="0.2"/>
    <x v="2"/>
    <m/>
    <x v="1"/>
    <x v="0"/>
    <m/>
    <m/>
    <m/>
    <m/>
    <m/>
  </r>
  <r>
    <s v="O001222"/>
    <s v="JIOVANNY SUAREZ GONZALEZ"/>
    <x v="2"/>
    <s v="Accounts"/>
    <s v="BBVA"/>
    <e v="#NAME?"/>
    <s v="SDATOOL-41950 $ Migracion GMF-MQ Series"/>
    <n v="0.2"/>
    <x v="2"/>
    <m/>
    <x v="1"/>
    <x v="0"/>
    <m/>
    <m/>
    <m/>
    <m/>
    <m/>
  </r>
  <r>
    <s v="O001222"/>
    <s v="JIOVANNY SUAREZ GONZALEZ"/>
    <x v="2"/>
    <s v="Accounts"/>
    <s v="BBVA"/>
    <e v="#NAME?"/>
    <s v="SDATOOL-41797 $ Optimización Cuenta en línea Web"/>
    <n v="0.2"/>
    <x v="2"/>
    <m/>
    <x v="1"/>
    <x v="0"/>
    <m/>
    <m/>
    <m/>
    <m/>
    <m/>
  </r>
  <r>
    <s v="C809565"/>
    <s v="Joan Chivata"/>
    <x v="3"/>
    <s v="Móvil"/>
    <s v="BBVA"/>
    <e v="#NAME?"/>
    <s v="NOSDA- BAU $ BAU (Mantenimiento y peq. evolutivos)"/>
    <n v="1"/>
    <x v="1"/>
    <m/>
    <x v="1"/>
    <x v="0"/>
    <m/>
    <m/>
    <m/>
    <m/>
    <m/>
  </r>
  <r>
    <s v="C804602"/>
    <s v="JOAN DE JESUS SANCHEZ CANDANOZA"/>
    <x v="3"/>
    <s v="Canales asistidos RPA"/>
    <s v="BBVA"/>
    <e v="#NAME?"/>
    <s v="NOSDA- BAU $ BAU (Mantenimiento y peq. evolutivos)"/>
    <n v="0.3"/>
    <x v="1"/>
    <m/>
    <x v="1"/>
    <x v="0"/>
    <m/>
    <m/>
    <m/>
    <m/>
    <m/>
  </r>
  <r>
    <s v="C804602"/>
    <s v="JOAN DE JESUS SANCHEZ CANDANOZA"/>
    <x v="3"/>
    <s v="Canales asistidos RPA"/>
    <s v="BBVA"/>
    <e v="#NAME?"/>
    <s v="NOSDA- BAU $ BAU (Mantenimiento y peq. evolutivos)"/>
    <n v="0.5"/>
    <x v="1"/>
    <m/>
    <x v="1"/>
    <x v="0"/>
    <m/>
    <m/>
    <m/>
    <m/>
    <m/>
  </r>
  <r>
    <s v="C804602"/>
    <s v="JOAN DE JESUS SANCHEZ CANDANOZA"/>
    <x v="3"/>
    <s v="Canales asistidos RPA"/>
    <s v="BBVA"/>
    <e v="#NAME?"/>
    <s v="SDATOOL-37750 $ Robotics 2022"/>
    <n v="0.2"/>
    <x v="1"/>
    <m/>
    <x v="1"/>
    <x v="0"/>
    <m/>
    <m/>
    <m/>
    <m/>
    <m/>
  </r>
  <r>
    <s v="CE68193"/>
    <s v="JOAN FEDERICO MARIN RUIZ"/>
    <x v="0"/>
    <s v="Gema"/>
    <s v="Choucair"/>
    <e v="#NAME?"/>
    <s v="SDATOOL-32905 $ Global Enterprises Mobile App (GEMA)"/>
    <n v="1"/>
    <x v="0"/>
    <m/>
    <x v="0"/>
    <x v="0"/>
    <m/>
    <m/>
    <m/>
    <m/>
    <m/>
  </r>
  <r>
    <s v="C342444"/>
    <s v="JOE ESTUPINAN MONTANO"/>
    <x v="3"/>
    <s v="Net"/>
    <s v="BBVA"/>
    <e v="#NAME?"/>
    <s v="SDATOOL-36558 $ Transfiya:Transferencias interbancarias inmediatas - Plan Ascenso Privado"/>
    <n v="1"/>
    <x v="1"/>
    <m/>
    <x v="1"/>
    <x v="0"/>
    <m/>
    <m/>
    <m/>
    <m/>
    <m/>
  </r>
  <r>
    <s v="CE70183"/>
    <s v="Joel Andrés Cantillo Nieto"/>
    <x v="3"/>
    <s v="Canales asistidos Call Center / Gest. remota"/>
    <s v="GGI / CMC"/>
    <e v="#NAME?"/>
    <s v="SDATOOL-37100 $ Soluciones de voz/Internalización del IVR - Plan Ascenso Privado"/>
    <n v="1"/>
    <x v="1"/>
    <m/>
    <x v="0"/>
    <x v="0"/>
    <m/>
    <m/>
    <m/>
    <m/>
    <m/>
  </r>
  <r>
    <s v="C809352"/>
    <s v="JOHAN GARZON PEDRAZA"/>
    <x v="4"/>
    <s v="Global Market &amp; Comex"/>
    <s v="BBVA"/>
    <e v="#NAME?"/>
    <s v="NOSDA- BAU $ BAU (Mantenimiento y peq. evolutivos)"/>
    <n v="1"/>
    <x v="1"/>
    <m/>
    <x v="1"/>
    <x v="0"/>
    <m/>
    <m/>
    <m/>
    <m/>
    <m/>
  </r>
  <r>
    <s v="CE56092"/>
    <s v="Johan Sebastian Forero"/>
    <x v="3"/>
    <s v="Móvil"/>
    <s v="GGI / CMC"/>
    <e v="#NAME?"/>
    <s v="SDATOOL-9053 $ GloMo Colombia"/>
    <n v="1"/>
    <x v="0"/>
    <m/>
    <x v="0"/>
    <x v="0"/>
    <m/>
    <m/>
    <m/>
    <m/>
    <m/>
  </r>
  <r>
    <s v="CE65276"/>
    <s v="JOHANA IDALY GARZON RUIZ"/>
    <x v="0"/>
    <s v="Soluciones financieras (Factoring)"/>
    <s v="Choucair"/>
    <e v="#NAME?"/>
    <s v="SDATOOL-37125 $ Factoring - IBR"/>
    <n v="1"/>
    <x v="0"/>
    <m/>
    <x v="0"/>
    <x v="0"/>
    <m/>
    <m/>
    <m/>
    <m/>
    <m/>
  </r>
  <r>
    <m/>
    <s v="JOHANA KATHERIN VASQUEZ QUEVEDO "/>
    <x v="0"/>
    <s v="Senda"/>
    <s v="GGI / CMC"/>
    <e v="#NAME?"/>
    <s v="SDATOOL-40457 $ SENDA (Base)"/>
    <n v="1"/>
    <x v="1"/>
    <m/>
    <x v="0"/>
    <x v="0"/>
    <m/>
    <m/>
    <m/>
    <m/>
    <m/>
  </r>
  <r>
    <s v="CE66612"/>
    <s v="JOHN ANDRES DIAZ AYALA (Torre)"/>
    <x v="0"/>
    <s v="Transaccionalidad"/>
    <s v="Novatec"/>
    <e v="#NAME?"/>
    <s v="NOSDA- BAU $ BAU (Mantenimiento y peq. evolutivos)"/>
    <n v="1"/>
    <x v="1"/>
    <s v="CyA"/>
    <x v="0"/>
    <x v="0"/>
    <m/>
    <m/>
    <m/>
    <m/>
    <m/>
  </r>
  <r>
    <s v="CE34456"/>
    <s v="JOHN EDUAR LUNA SANCHEZ"/>
    <x v="4"/>
    <s v="Global Market &amp; Comex"/>
    <s v="GGI / CMC"/>
    <e v="#NAME?"/>
    <s v="SDATOOL-37342 $ SWIFT ISO20022  Ajuste de mensajes Swift a la nueva estructura"/>
    <n v="0.5"/>
    <x v="0"/>
    <m/>
    <x v="0"/>
    <x v="0"/>
    <m/>
    <m/>
    <m/>
    <m/>
    <m/>
  </r>
  <r>
    <s v="CE34456"/>
    <s v="JOHN EDUAR LUNA SANCHEZ"/>
    <x v="4"/>
    <s v="Global Market &amp; Comex"/>
    <s v="GGI / CMC"/>
    <e v="#NAME?"/>
    <s v="SDATOOL-40269 $ Actualización y transmisión Declaraciones de Cambio – Banco de la República Abril 2022."/>
    <n v="0.25"/>
    <x v="0"/>
    <m/>
    <x v="0"/>
    <x v="0"/>
    <m/>
    <m/>
    <m/>
    <m/>
    <m/>
  </r>
  <r>
    <s v="CE34456"/>
    <s v="JOHN EDUAR LUNA SANCHEZ"/>
    <x v="4"/>
    <s v="Global Market &amp; Comex"/>
    <s v="GGI / CMC"/>
    <e v="#NAME?"/>
    <s v="NOSDA- BAU $ BAU (Mantenimiento y peq. evolutivos)"/>
    <n v="0.25"/>
    <x v="0"/>
    <m/>
    <x v="0"/>
    <x v="0"/>
    <m/>
    <m/>
    <m/>
    <m/>
    <m/>
  </r>
  <r>
    <s v="T007646"/>
    <s v="John Edwin Riascos Castillo"/>
    <x v="2"/>
    <s v="Cross/BPM"/>
    <s v="TRYCORE"/>
    <e v="#NAME?"/>
    <s v="SDATOOL-36509 $ Centralización de la formalización de desembolsos Pymes"/>
    <n v="1"/>
    <x v="1"/>
    <m/>
    <x v="0"/>
    <x v="0"/>
    <m/>
    <m/>
    <m/>
    <m/>
    <m/>
  </r>
  <r>
    <s v="O001720"/>
    <s v="John Fernando Arevalo Bermudez"/>
    <x v="1"/>
    <s v="Riesgos"/>
    <s v="BBVA"/>
    <e v="#NAME?"/>
    <s v="SDATOOL-40658 $ GRM Col - Cronos Collections - Estrategia"/>
    <n v="0.5"/>
    <x v="1"/>
    <m/>
    <x v="1"/>
    <x v="0"/>
    <m/>
    <m/>
    <m/>
    <m/>
    <m/>
  </r>
  <r>
    <s v="O001720"/>
    <s v="John Fernando Arevalo Bermudez"/>
    <x v="1"/>
    <s v="Riesgos"/>
    <s v="BBVA"/>
    <e v="#NAME?"/>
    <s v="NOSDA- BAU $ BAU (Mantenimiento y peq. evolutivos)"/>
    <n v="0.2"/>
    <x v="1"/>
    <m/>
    <x v="1"/>
    <x v="0"/>
    <m/>
    <m/>
    <m/>
    <m/>
    <m/>
  </r>
  <r>
    <s v="O001720"/>
    <s v="John Fernando Arevalo Bermudez"/>
    <x v="1"/>
    <s v="Riesgos"/>
    <s v="BBVA"/>
    <e v="#NAME?"/>
    <s v="SDATOOL-42098 $ GRM Col CRONOS Batch - Campañas SMeS"/>
    <n v="0.3"/>
    <x v="1"/>
    <m/>
    <x v="1"/>
    <x v="0"/>
    <m/>
    <m/>
    <m/>
    <m/>
    <m/>
  </r>
  <r>
    <s v="C342550"/>
    <s v="JOHN FREDDY JIMENEZ"/>
    <x v="3"/>
    <s v="CRM"/>
    <s v="BBVA"/>
    <e v="#NAME?"/>
    <s v="NOSDA- BAU $ BAU (Mantenimiento y peq. evolutivos)"/>
    <n v="0.2"/>
    <x v="2"/>
    <m/>
    <x v="1"/>
    <x v="0"/>
    <m/>
    <m/>
    <m/>
    <m/>
    <m/>
  </r>
  <r>
    <s v="C342550"/>
    <s v="JOHN FREDDY JIMENEZ"/>
    <x v="3"/>
    <s v="CRM"/>
    <s v="BBVA"/>
    <e v="#NAME?"/>
    <s v="SDATOOL-37121 $ Plan CRM: Seguimiento al pipeline"/>
    <n v="0.2"/>
    <x v="2"/>
    <m/>
    <x v="1"/>
    <x v="0"/>
    <m/>
    <m/>
    <m/>
    <m/>
    <m/>
  </r>
  <r>
    <s v="C342550"/>
    <s v="JOHN FREDDY JIMENEZ"/>
    <x v="3"/>
    <s v="CRM"/>
    <s v="BBVA"/>
    <e v="#NAME?"/>
    <s v="SDATOOL-39272 $ Cambio servicio APL (Aportes en línea)- Integración AUG con nuevo motor laboral (OVI)"/>
    <n v="0.2"/>
    <x v="2"/>
    <m/>
    <x v="1"/>
    <x v="0"/>
    <m/>
    <m/>
    <m/>
    <m/>
    <m/>
  </r>
  <r>
    <s v="C342550"/>
    <s v="JOHN FREDDY JIMENEZ"/>
    <x v="3"/>
    <s v="CRM"/>
    <s v="BBVA"/>
    <e v="#NAME?"/>
    <s v="SDATOOL-40672 $ Plan CRM: Mejoras AUG (Banca Comercial y CSF) Equipo A"/>
    <n v="0.2"/>
    <x v="2"/>
    <m/>
    <x v="1"/>
    <x v="0"/>
    <m/>
    <m/>
    <m/>
    <m/>
    <m/>
  </r>
  <r>
    <s v="C342550"/>
    <s v="JOHN FREDDY JIMENEZ"/>
    <x v="3"/>
    <s v="CRM"/>
    <s v="BBVA"/>
    <e v="#NAME?"/>
    <s v="SDATOOL-40690 $ Plan CRM: Mejoras AUG (Banca Comercial y CSF) Equipo B"/>
    <n v="0.2"/>
    <x v="2"/>
    <m/>
    <x v="1"/>
    <x v="0"/>
    <m/>
    <m/>
    <m/>
    <m/>
    <m/>
  </r>
  <r>
    <s v="CE56244"/>
    <s v="JOHN HERRERA J"/>
    <x v="2"/>
    <s v="Accounts"/>
    <s v="SII"/>
    <e v="#NAME?"/>
    <s v="SDATOOL-37344 $ Automatización Operaciones en Efectivo"/>
    <n v="0.3"/>
    <x v="1"/>
    <s v="Líder Fábrica"/>
    <x v="0"/>
    <x v="0"/>
    <m/>
    <m/>
    <m/>
    <m/>
    <m/>
  </r>
  <r>
    <s v="C805564"/>
    <s v="JOHN JAIRO CARDENAS SANABRIA"/>
    <x v="3"/>
    <s v="Canales asistidos CB"/>
    <s v="BBVA"/>
    <e v="#NAME?"/>
    <s v="SDATOOL-39871 $ Cbs Gelsa Paga todo"/>
    <n v="0.6"/>
    <x v="1"/>
    <m/>
    <x v="1"/>
    <x v="0"/>
    <m/>
    <m/>
    <m/>
    <m/>
    <m/>
  </r>
  <r>
    <s v="C805564"/>
    <s v="JOHN JAIRO CARDENAS SANABRIA"/>
    <x v="3"/>
    <s v="Canales asistidos CB"/>
    <s v="BBVA"/>
    <e v="#NAME?"/>
    <s v="NOSDA- BAU $ BAU (Mantenimiento y peq. evolutivos)"/>
    <n v="0.1"/>
    <x v="1"/>
    <m/>
    <x v="1"/>
    <x v="0"/>
    <m/>
    <m/>
    <m/>
    <m/>
    <m/>
  </r>
  <r>
    <s v="C805564"/>
    <s v="JOHN JAIRO CARDENAS SANABRIA"/>
    <x v="3"/>
    <s v="Canales asistidos CB"/>
    <s v="BBVA"/>
    <e v="#NAME?"/>
    <s v="SDATOOL-40581 $ Corresponsal Bancario Ya Ganaste"/>
    <n v="0.3"/>
    <x v="1"/>
    <m/>
    <x v="1"/>
    <x v="0"/>
    <m/>
    <m/>
    <m/>
    <m/>
    <m/>
  </r>
  <r>
    <s v="CE70382"/>
    <s v="JOHN JAIRO RIVERA PENA "/>
    <x v="0"/>
    <s v="Soluciones financieras (Leasing)"/>
    <s v="Choucair"/>
    <e v="#NAME?"/>
    <s v="SDATOOL-33847 $ Resolución 0042 DIAN Documento Soporte"/>
    <n v="1"/>
    <x v="0"/>
    <m/>
    <x v="0"/>
    <x v="0"/>
    <m/>
    <m/>
    <m/>
    <m/>
    <m/>
  </r>
  <r>
    <s v="C810881"/>
    <s v="JOHN MAICOL NUÑEZ SANTA"/>
    <x v="0"/>
    <s v="Soluciones financieras (Factoring)"/>
    <s v="BBVA"/>
    <e v="#NAME?"/>
    <s v="SDATOOL-37086 $ Factura electrónica (radian)"/>
    <n v="0.25"/>
    <x v="1"/>
    <m/>
    <x v="1"/>
    <x v="0"/>
    <m/>
    <m/>
    <m/>
    <m/>
    <m/>
  </r>
  <r>
    <s v="C810881"/>
    <s v="JOHN MAICOL NUÑEZ SANTA"/>
    <x v="0"/>
    <s v="Soluciones financieras (Factoring)"/>
    <s v="BBVA"/>
    <e v="#NAME?"/>
    <s v="SDATOOL-40438 $ CIRCULAR 032 del 2021 - REQUERIMIENTO FISCALIA GENERAL DE LA NACION"/>
    <n v="0.75"/>
    <x v="1"/>
    <m/>
    <x v="1"/>
    <x v="0"/>
    <m/>
    <m/>
    <m/>
    <m/>
    <m/>
  </r>
  <r>
    <s v="CE65559"/>
    <s v="JOHN MARLON NUÑEZ NIÑO"/>
    <x v="0"/>
    <s v="Gema"/>
    <s v="Neoris"/>
    <e v="#NAME?"/>
    <s v="SDATOOL-32905 $ Global Enterprises Mobile App (GEMA)"/>
    <n v="1"/>
    <x v="1"/>
    <m/>
    <x v="0"/>
    <x v="0"/>
    <m/>
    <m/>
    <m/>
    <m/>
    <m/>
  </r>
  <r>
    <s v="T001731"/>
    <s v="John Zamora"/>
    <x v="3"/>
    <s v="Móvil"/>
    <s v="Indra"/>
    <e v="#NAME?"/>
    <s v="SDATOOL-9053 $ GloMo Colombia"/>
    <n v="1"/>
    <x v="1"/>
    <m/>
    <x v="0"/>
    <x v="0"/>
    <m/>
    <m/>
    <m/>
    <m/>
    <m/>
  </r>
  <r>
    <s v="CE69624"/>
    <s v="JONATHAN ALVARADO CHACON"/>
    <x v="2"/>
    <s v="Loans"/>
    <s v="Accenture"/>
    <e v="#NAME?"/>
    <s v="SDATOOL-34910 $ Libranza Digital"/>
    <n v="1"/>
    <x v="1"/>
    <m/>
    <x v="0"/>
    <x v="0"/>
    <m/>
    <m/>
    <m/>
    <m/>
    <m/>
  </r>
  <r>
    <s v="O000118"/>
    <s v="Jonathan Angel Murcia    "/>
    <x v="1"/>
    <s v="Finanzas"/>
    <s v="BBVA"/>
    <e v="#NAME?"/>
    <s v="NOSDA- BAU $ BAU (Mantenimiento y peq. evolutivos)"/>
    <n v="1"/>
    <x v="1"/>
    <m/>
    <x v="1"/>
    <x v="0"/>
    <m/>
    <m/>
    <m/>
    <m/>
    <m/>
  </r>
  <r>
    <s v="O001825"/>
    <s v="JONATHAN FABIAN PAEZ TORRES"/>
    <x v="4"/>
    <s v="Global Market &amp; Comex"/>
    <s v="BBVA"/>
    <e v="#NAME?"/>
    <s v="SDATOOL-39217 $ Aplicativos Tesorería 2022"/>
    <n v="0.5"/>
    <x v="1"/>
    <m/>
    <x v="1"/>
    <x v="0"/>
    <m/>
    <m/>
    <m/>
    <m/>
    <m/>
  </r>
  <r>
    <s v="O001825"/>
    <s v="JONATHAN FABIAN PAEZ TORRES"/>
    <x v="4"/>
    <s v="Global Market &amp; Comex"/>
    <s v="BBVA"/>
    <e v="#NAME?"/>
    <s v="SDATOOL-31461 $ Liquidación Swaps Cross Crurrency Delivery"/>
    <n v="0.25"/>
    <x v="1"/>
    <m/>
    <x v="1"/>
    <x v="0"/>
    <m/>
    <m/>
    <m/>
    <m/>
    <m/>
  </r>
  <r>
    <s v="O001825"/>
    <s v="JONATHAN FABIAN PAEZ TORRES"/>
    <x v="4"/>
    <s v="Global Market &amp; Comex"/>
    <s v="BBVA"/>
    <e v="#NAME?"/>
    <s v="SDATOOL-41308 $ Aplicativos Tesorería 2023"/>
    <n v="0.25"/>
    <x v="1"/>
    <m/>
    <x v="1"/>
    <x v="0"/>
    <m/>
    <m/>
    <m/>
    <m/>
    <m/>
  </r>
  <r>
    <s v="O002419"/>
    <s v="Jonathan Garzon Peña"/>
    <x v="3"/>
    <s v="CRM"/>
    <s v="BBVA"/>
    <e v="#NAME?"/>
    <s v="SDATOOL-37121 $ Plan CRM: Seguimiento al pipeline"/>
    <n v="1"/>
    <x v="1"/>
    <m/>
    <x v="1"/>
    <x v="0"/>
    <m/>
    <m/>
    <m/>
    <m/>
    <m/>
  </r>
  <r>
    <s v="C810664"/>
    <s v="Jonathan Marcell Gutierrez Riaño"/>
    <x v="3"/>
    <s v="Móvil"/>
    <s v="BBVA"/>
    <e v="#NAME?"/>
    <s v="NOSDA- BAU $ BAU (Mantenimiento y peq. evolutivos)"/>
    <n v="1"/>
    <x v="1"/>
    <m/>
    <x v="1"/>
    <x v="0"/>
    <m/>
    <m/>
    <m/>
    <m/>
    <m/>
  </r>
  <r>
    <s v="C808132"/>
    <s v="JONNATHAN ARMANDO ASTROZ MARIN"/>
    <x v="4"/>
    <s v="Backoffice"/>
    <s v="BBVA"/>
    <e v="#NAME?"/>
    <s v="NOSDA- BAU $ BAU (Mantenimiento y peq. evolutivos)"/>
    <n v="1"/>
    <x v="1"/>
    <m/>
    <x v="1"/>
    <x v="0"/>
    <m/>
    <m/>
    <m/>
    <m/>
    <m/>
  </r>
  <r>
    <s v="C810669"/>
    <s v="JORGE ANDRES MANRIQUE MARTINEZ"/>
    <x v="3"/>
    <s v="Canales asistidos Call Center / Gest. remota"/>
    <s v="BBVA"/>
    <e v="#NAME?"/>
    <s v="SDATOOL-37100 $ Soluciones de voz/Internalización del IVR - Plan Ascenso Privado"/>
    <n v="1"/>
    <x v="1"/>
    <m/>
    <x v="1"/>
    <x v="0"/>
    <m/>
    <m/>
    <m/>
    <m/>
    <m/>
  </r>
  <r>
    <s v="C811355"/>
    <s v="JORGE ANDRES REINA ANGULO"/>
    <x v="0"/>
    <s v="Gema"/>
    <s v="BBVA"/>
    <e v="#NAME?"/>
    <s v="SDATOOL-39354 $ My business Open Pay - Plan Ascenso Mercurio"/>
    <n v="1"/>
    <x v="1"/>
    <m/>
    <x v="1"/>
    <x v="0"/>
    <m/>
    <m/>
    <m/>
    <m/>
    <m/>
  </r>
  <r>
    <s v="C805972"/>
    <s v="JORGE ARMANDO MILLAN GOMEZ"/>
    <x v="0"/>
    <s v="Soluciones financieras (Factoring)"/>
    <s v="BBVA"/>
    <e v="#NAME?"/>
    <s v="SDATOOL-36547 $ PLAN MAYOR -PLAN MENOR. Plan ascenso Open Market"/>
    <n v="1"/>
    <x v="1"/>
    <m/>
    <x v="1"/>
    <x v="0"/>
    <m/>
    <m/>
    <m/>
    <m/>
    <m/>
  </r>
  <r>
    <s v="CE68404"/>
    <s v="JORGE ARMANDO YANQUEN YANQUEN"/>
    <x v="2"/>
    <s v="Loans"/>
    <s v="Choucair"/>
    <e v="#NAME?"/>
    <s v="SDATOOL-36522 $ Libranza E2E digital Fase III - Plan Ascenso Privado"/>
    <n v="1"/>
    <x v="0"/>
    <m/>
    <x v="0"/>
    <x v="0"/>
    <m/>
    <m/>
    <m/>
    <m/>
    <m/>
  </r>
  <r>
    <s v="CE59519"/>
    <s v="JORGE DANILO BUITRAGO HERNANDEZ"/>
    <x v="2"/>
    <s v="Loans"/>
    <s v="Inetum"/>
    <e v="#NAME?"/>
    <s v="SDATOOL-36560 $ Pricing de libranza - Plan Ascenso Open Market"/>
    <n v="1"/>
    <x v="1"/>
    <m/>
    <x v="0"/>
    <x v="0"/>
    <m/>
    <m/>
    <m/>
    <m/>
    <m/>
  </r>
  <r>
    <s v="CE66252"/>
    <s v="Jorge Enrique Carrillo Diaz"/>
    <x v="1"/>
    <s v="Riesgos"/>
    <s v="GGI / CMC"/>
    <e v="#NAME?"/>
    <s v="SDATOOL-39463 $ GRM Col - Actualización Versión Power Curve."/>
    <n v="0.7"/>
    <x v="0"/>
    <m/>
    <x v="0"/>
    <x v="0"/>
    <m/>
    <m/>
    <m/>
    <m/>
    <m/>
  </r>
  <r>
    <s v="CE66252"/>
    <s v="Jorge Enrique Carrillo Diaz"/>
    <x v="1"/>
    <s v="Riesgos"/>
    <s v="GGI / CMC"/>
    <e v="#NAME?"/>
    <s v="SDATOOL-40545 $ GRM Col - Mejoras Evolutivas de Aplicativos y Herramientas de Riesgos 2023"/>
    <n v="0.3"/>
    <x v="0"/>
    <m/>
    <x v="0"/>
    <x v="0"/>
    <m/>
    <m/>
    <m/>
    <m/>
    <m/>
  </r>
  <r>
    <s v="O000959"/>
    <s v="JORGE ESTEBAN LLANOS"/>
    <x v="3"/>
    <s v="Open Market"/>
    <s v="BBVA"/>
    <e v="#NAME?"/>
    <s v="SDATOOL-39348 $ tarjeta de crédito Open Market Fallback product"/>
    <n v="1"/>
    <x v="1"/>
    <m/>
    <x v="1"/>
    <x v="0"/>
    <m/>
    <m/>
    <m/>
    <m/>
    <m/>
  </r>
  <r>
    <s v="CE41784"/>
    <s v="JORGE HUMBERTO MARTINEZ MARIN"/>
    <x v="4"/>
    <s v="Global Market &amp; Comex"/>
    <s v="Novatec"/>
    <e v="#NAME?"/>
    <s v="SDATOOL-40269 $ Actualización y transmisión Declaraciones de Cambio – Banco de la República Abril 2022."/>
    <n v="1"/>
    <x v="1"/>
    <m/>
    <x v="0"/>
    <x v="0"/>
    <m/>
    <m/>
    <m/>
    <m/>
    <m/>
  </r>
  <r>
    <s v="T009935"/>
    <s v="JORGE LUIS MONTEJO (Torre)"/>
    <x v="0"/>
    <s v="Transaccionalidad"/>
    <s v="Novatec"/>
    <e v="#NAME?"/>
    <s v="NOSDA- BAU $ BAU (Mantenimiento y peq. evolutivos)"/>
    <n v="0.5"/>
    <x v="1"/>
    <s v="Recaudos"/>
    <x v="0"/>
    <x v="0"/>
    <m/>
    <m/>
    <m/>
    <m/>
    <m/>
  </r>
  <r>
    <s v="C811332"/>
    <s v="JORGE LUIS SALAMANCA ORTIZ"/>
    <x v="2"/>
    <s v="Accounts"/>
    <s v="BBVA"/>
    <e v="#NAME?"/>
    <s v="SDATOOL-37753 $ Plan de transformación de operaciones 2022"/>
    <n v="0.5"/>
    <x v="1"/>
    <m/>
    <x v="1"/>
    <x v="0"/>
    <m/>
    <m/>
    <m/>
    <m/>
    <m/>
  </r>
  <r>
    <s v="C811332"/>
    <s v="JORGE LUIS SALAMANCA ORTIZ"/>
    <x v="2"/>
    <s v="Accounts"/>
    <s v="BBVA"/>
    <e v="#NAME?"/>
    <s v="SDATOOL-40438 $ CIRCULAR 032 del 2021 - REQUERIMIENTO FISCALIA GENERAL DE LA NACION"/>
    <n v="0.5"/>
    <x v="1"/>
    <m/>
    <x v="1"/>
    <x v="0"/>
    <m/>
    <m/>
    <m/>
    <m/>
    <m/>
  </r>
  <r>
    <s v="C811264"/>
    <s v="JORGE LUIS URBINA"/>
    <x v="2"/>
    <s v="Payments"/>
    <s v="BBVA"/>
    <e v="#NAME?"/>
    <s v="SDATOOL-36556 $ Parthnerships - Tarjeta de crédito en punto de venta físico  aliados"/>
    <n v="0.2"/>
    <x v="1"/>
    <m/>
    <x v="1"/>
    <x v="0"/>
    <m/>
    <m/>
    <m/>
    <m/>
    <m/>
  </r>
  <r>
    <s v="C811264"/>
    <s v="JORGE LUIS URBINA"/>
    <x v="2"/>
    <s v="Payments"/>
    <s v="BBVA"/>
    <e v="#NAME?"/>
    <s v="NOSDA- BAU $ BAU (Mantenimiento y peq. evolutivos)"/>
    <n v="0.3"/>
    <x v="1"/>
    <m/>
    <x v="1"/>
    <x v="0"/>
    <m/>
    <m/>
    <m/>
    <m/>
    <m/>
  </r>
  <r>
    <s v="C811264"/>
    <s v="JORGE LUIS URBINA"/>
    <x v="2"/>
    <s v="Payments"/>
    <s v="BBVA"/>
    <e v="#NAME?"/>
    <s v="SDATOOL-40613 $ Códigos MAC"/>
    <n v="0.5"/>
    <x v="1"/>
    <m/>
    <x v="1"/>
    <x v="0"/>
    <m/>
    <m/>
    <m/>
    <m/>
    <m/>
  </r>
  <r>
    <s v="CE68692"/>
    <s v="JORGE MENESES"/>
    <x v="1"/>
    <s v="Finanzas"/>
    <s v="Indra"/>
    <e v="#NAME?"/>
    <s v="NOSDA- BAU $ BAU (Mantenimiento y peq. evolutivos)"/>
    <n v="1"/>
    <x v="1"/>
    <m/>
    <x v="0"/>
    <x v="0"/>
    <m/>
    <m/>
    <m/>
    <m/>
    <m/>
  </r>
  <r>
    <s v="C811393"/>
    <s v="JORGE NELSON GARCIA"/>
    <x v="2"/>
    <s v="Payments"/>
    <s v="BBVA"/>
    <e v="#NAME?"/>
    <s v="SDATOOL-38589 $ Mandatorio tokenización"/>
    <n v="0.3"/>
    <x v="1"/>
    <m/>
    <x v="1"/>
    <x v="0"/>
    <m/>
    <m/>
    <m/>
    <m/>
    <m/>
  </r>
  <r>
    <s v="C811393"/>
    <s v="JORGE NELSON GARCIA"/>
    <x v="2"/>
    <s v="Payments"/>
    <s v="BBVA"/>
    <e v="#NAME?"/>
    <s v="SDATOOL-40442 $ M4M - Tokenización Mastercard"/>
    <n v="0.25"/>
    <x v="1"/>
    <m/>
    <x v="1"/>
    <x v="0"/>
    <m/>
    <m/>
    <m/>
    <m/>
    <m/>
  </r>
  <r>
    <s v="C811393"/>
    <s v="JORGE NELSON GARCIA"/>
    <x v="2"/>
    <s v="Payments"/>
    <s v="BBVA"/>
    <e v="#NAME?"/>
    <s v="SDATOOL-41726 $ EXTRACUPO TARJETA DE CREDITO"/>
    <n v="0.3"/>
    <x v="1"/>
    <m/>
    <x v="1"/>
    <x v="0"/>
    <m/>
    <m/>
    <m/>
    <m/>
    <m/>
  </r>
  <r>
    <s v="C811393"/>
    <s v="JORGE NELSON GARCIA"/>
    <x v="2"/>
    <s v="Payments"/>
    <s v="BBVA"/>
    <e v="#NAME?"/>
    <s v="NOSDA- BAU $ BAU (Mantenimiento y peq. evolutivos)"/>
    <n v="0.15"/>
    <x v="1"/>
    <m/>
    <x v="1"/>
    <x v="0"/>
    <m/>
    <m/>
    <m/>
    <m/>
    <m/>
  </r>
  <r>
    <s v="C808164"/>
    <s v="JORGE SEBASTIAN RODRIGUEZ MORA"/>
    <x v="0"/>
    <s v="Transaccionalidad"/>
    <s v="BBVA"/>
    <e v="#NAME?"/>
    <s v="SDATOOL-38770 $ Marcación y cobro de comisiones PSE"/>
    <n v="1"/>
    <x v="1"/>
    <m/>
    <x v="1"/>
    <x v="0"/>
    <m/>
    <m/>
    <m/>
    <m/>
    <m/>
  </r>
  <r>
    <s v="CE49917"/>
    <s v="JORGE TAUTIVA MELO"/>
    <x v="2"/>
    <s v="Payments"/>
    <s v="Novatec"/>
    <e v="#NAME?"/>
    <s v="SDATOOL-37057 $ Pagos QR - Entre cuentas Redeban - Plan Ascenso Mercurio"/>
    <n v="0.5"/>
    <x v="1"/>
    <m/>
    <x v="0"/>
    <x v="0"/>
    <m/>
    <m/>
    <m/>
    <m/>
    <m/>
  </r>
  <r>
    <s v="CE49917"/>
    <s v="JORGE TAUTIVA MELO"/>
    <x v="2"/>
    <s v="Payments"/>
    <s v="Novatec"/>
    <e v="#NAME?"/>
    <s v="SDATOOL-37061 $ Plan de Lealtad Comecios -Plan Ascenso Autónomos"/>
    <n v="0.5"/>
    <x v="1"/>
    <m/>
    <x v="0"/>
    <x v="0"/>
    <m/>
    <m/>
    <m/>
    <m/>
    <m/>
  </r>
  <r>
    <s v="CE67104"/>
    <s v="JORGE TORRES"/>
    <x v="4"/>
    <s v="Global Market &amp; Comex"/>
    <s v="Accenture"/>
    <e v="#NAME?"/>
    <s v="SDATOOL-39217 $ Aplicativos Tesorería 2022"/>
    <n v="1"/>
    <x v="1"/>
    <m/>
    <x v="0"/>
    <x v="0"/>
    <m/>
    <m/>
    <m/>
    <m/>
    <m/>
  </r>
  <r>
    <s v="CE03425"/>
    <s v="JORGE VICENTE SALAS PERILLA"/>
    <x v="2"/>
    <s v="Accounts"/>
    <s v="KRYPTO"/>
    <e v="#NAME?"/>
    <s v="SDATOOL-40589 $ Ajuste longitud de cuentas problema 7 digitos"/>
    <n v="0.2"/>
    <x v="1"/>
    <m/>
    <x v="0"/>
    <x v="0"/>
    <m/>
    <m/>
    <m/>
    <m/>
    <m/>
  </r>
  <r>
    <s v="CE03425"/>
    <s v="JORGE VICENTE SALAS PERILLA"/>
    <x v="2"/>
    <s v="Accounts"/>
    <s v="KRYPTO"/>
    <e v="#NAME?"/>
    <s v="SDATOOL-37111 $ Cuenta Maestra Adres"/>
    <n v="0.4"/>
    <x v="1"/>
    <m/>
    <x v="0"/>
    <x v="0"/>
    <m/>
    <m/>
    <m/>
    <m/>
    <m/>
  </r>
  <r>
    <s v="CE03425"/>
    <s v="JORGE VICENTE SALAS PERILLA"/>
    <x v="2"/>
    <s v="Accounts"/>
    <s v="KRYPTO"/>
    <e v="#NAME?"/>
    <s v="SDATOOL-40771 $ Resolución Cuentas Maestras y Cuentas Maestras para Pagos Electrónicos (PSE): Anexo Técnico - Nuevo reporte de información"/>
    <n v="0.4"/>
    <x v="1"/>
    <m/>
    <x v="0"/>
    <x v="0"/>
    <m/>
    <m/>
    <m/>
    <m/>
    <m/>
  </r>
  <r>
    <s v="O002469"/>
    <s v="JOSE AGUSTIN PALOMINO PARDO"/>
    <x v="3"/>
    <s v="Canales asistidos CB"/>
    <s v="BBVA"/>
    <e v="#NAME?"/>
    <s v="NOSDA- BAU $ BAU (Mantenimiento y peq. evolutivos)"/>
    <n v="0.75"/>
    <x v="1"/>
    <m/>
    <x v="1"/>
    <x v="0"/>
    <m/>
    <m/>
    <m/>
    <m/>
    <m/>
  </r>
  <r>
    <s v="O002469"/>
    <s v="JOSE AGUSTIN PALOMINO PARDO"/>
    <x v="3"/>
    <s v="Canales asistidos CB"/>
    <s v="BBVA"/>
    <e v="#NAME?"/>
    <s v="SDATOOL-40581 $ Corresponsal Bancario Ya Ganaste"/>
    <n v="0.25"/>
    <x v="1"/>
    <m/>
    <x v="1"/>
    <x v="0"/>
    <m/>
    <m/>
    <m/>
    <m/>
    <m/>
  </r>
  <r>
    <s v="T000865 "/>
    <s v="JOSE ALEXIS CASTRILLON ESPINOSA "/>
    <x v="1"/>
    <s v="Finanzas"/>
    <s v="Indra"/>
    <e v="#NAME?"/>
    <s v="NOSDA- BAU $ BAU (Mantenimiento y peq. evolutivos)"/>
    <n v="1"/>
    <x v="1"/>
    <m/>
    <x v="0"/>
    <x v="0"/>
    <m/>
    <m/>
    <m/>
    <m/>
    <m/>
  </r>
  <r>
    <s v="C804723"/>
    <s v="JOSE BLADIMIR INAMPUES TUTALCHA"/>
    <x v="2"/>
    <s v="Payments"/>
    <s v="BBVA"/>
    <e v="#NAME?"/>
    <s v="SDATOOL-40455 $ Comisión porcentaje compras internacionales Mastercard y Visa Fase 2"/>
    <n v="0.3"/>
    <x v="1"/>
    <m/>
    <x v="1"/>
    <x v="0"/>
    <m/>
    <m/>
    <m/>
    <m/>
    <m/>
  </r>
  <r>
    <s v="C804723"/>
    <s v="JOSE BLADIMIR INAMPUES TUTALCHA"/>
    <x v="2"/>
    <s v="Payments"/>
    <s v="BBVA"/>
    <e v="#NAME?"/>
    <s v="NOSDA- BAU $ BAU (Mantenimiento y peq. evolutivos)"/>
    <n v="0.7"/>
    <x v="1"/>
    <m/>
    <x v="1"/>
    <x v="0"/>
    <m/>
    <m/>
    <m/>
    <m/>
    <m/>
  </r>
  <r>
    <s v="CE56755"/>
    <s v="JOSE DANIEL TORRES ANZOLA"/>
    <x v="2"/>
    <s v="Accounts"/>
    <s v="SII"/>
    <e v="#NAME?"/>
    <s v="SDATOOL-38481 $ Pricing Pasivos (optimización portafolio) - Plan Ascenso Cross Sell"/>
    <n v="0.3"/>
    <x v="1"/>
    <m/>
    <x v="0"/>
    <x v="0"/>
    <m/>
    <m/>
    <m/>
    <m/>
    <m/>
  </r>
  <r>
    <s v="CE68579"/>
    <s v="JOSE DOMENICO MEJIAS SAAVEDRA"/>
    <x v="2"/>
    <s v="Accounts"/>
    <s v="SII"/>
    <e v="#NAME?"/>
    <s v="SDATOOL-38481 $ Pricing Pasivos (optimización portafolio) - Plan Ascenso Cross Sell"/>
    <n v="1"/>
    <x v="1"/>
    <m/>
    <x v="0"/>
    <x v="0"/>
    <m/>
    <m/>
    <m/>
    <m/>
    <m/>
  </r>
  <r>
    <s v="O001644"/>
    <s v="JOSE LUIS SARTA ALVAREZ"/>
    <x v="0"/>
    <s v="Gema"/>
    <s v="BBVA"/>
    <e v="#NAME?"/>
    <s v="NOSDA- BAU $ BAU (Mantenimiento y peq. evolutivos)"/>
    <n v="1"/>
    <x v="1"/>
    <m/>
    <x v="1"/>
    <x v="0"/>
    <m/>
    <m/>
    <m/>
    <m/>
    <m/>
  </r>
  <r>
    <s v="C805323"/>
    <s v="JOSE MIGUEL PARDO"/>
    <x v="0"/>
    <s v="Soluciones financieras (Factoring)"/>
    <s v="BBVA"/>
    <e v="#NAME?"/>
    <s v="SDATOOL-37125 $ Factoring - IBR"/>
    <n v="1"/>
    <x v="1"/>
    <m/>
    <x v="1"/>
    <x v="0"/>
    <m/>
    <m/>
    <m/>
    <m/>
    <m/>
  </r>
  <r>
    <s v="C341931"/>
    <s v="JOSE MIGUEL SANCHEZ BARRANTES"/>
    <x v="2"/>
    <s v="Payments"/>
    <s v="BBVA"/>
    <e v="#NAME?"/>
    <s v="SDATOOL-37061 $ Plan de Lealtad Comecios -Plan Ascenso Autónomos"/>
    <n v="0.5"/>
    <x v="2"/>
    <m/>
    <x v="1"/>
    <x v="0"/>
    <m/>
    <m/>
    <m/>
    <m/>
    <m/>
  </r>
  <r>
    <s v="C341931"/>
    <s v="JOSE MIGUEL SANCHEZ BARRANTES"/>
    <x v="2"/>
    <s v="Payments"/>
    <s v="BBVA"/>
    <e v="#NAME?"/>
    <s v="SDATOOL-37057 $ Pagos QR - Entre cuentas Redeban - Plan Ascenso Mercurio"/>
    <n v="0.5"/>
    <x v="2"/>
    <m/>
    <x v="1"/>
    <x v="0"/>
    <m/>
    <m/>
    <m/>
    <m/>
    <m/>
  </r>
  <r>
    <s v="CE61162"/>
    <s v="JOSE PERFECTO"/>
    <x v="4"/>
    <s v="Global Market &amp; Comex"/>
    <s v="Accenture"/>
    <e v="#NAME?"/>
    <s v="SDATOOL-38735 $ Dynamic Pricing"/>
    <n v="0.4"/>
    <x v="2"/>
    <m/>
    <x v="0"/>
    <x v="0"/>
    <m/>
    <m/>
    <m/>
    <m/>
    <m/>
  </r>
  <r>
    <s v="CE61162"/>
    <s v="JOSE PERFECTO"/>
    <x v="4"/>
    <s v="Global Market &amp; Comex"/>
    <s v="Accenture"/>
    <e v="#NAME?"/>
    <s v="SDATOOL-31461 $ Liquidación Swaps Cross Crurrency Delivery"/>
    <n v="0.6"/>
    <x v="2"/>
    <m/>
    <x v="0"/>
    <x v="0"/>
    <m/>
    <m/>
    <m/>
    <m/>
    <m/>
  </r>
  <r>
    <s v="CE55773"/>
    <s v="JOSE SANCHEZ"/>
    <x v="2"/>
    <s v="Accounts"/>
    <s v="Novatec"/>
    <e v="#NAME?"/>
    <s v="SDATOOL-39246 $ Nuevo tipo de identificación para extranjeros"/>
    <n v="1"/>
    <x v="1"/>
    <m/>
    <x v="0"/>
    <x v="0"/>
    <m/>
    <m/>
    <m/>
    <m/>
    <m/>
  </r>
  <r>
    <s v="C808819"/>
    <s v="JOSEPH ALEANDER ROJAS"/>
    <x v="2"/>
    <s v="Loans"/>
    <s v="BBVA"/>
    <e v="#NAME?"/>
    <s v="SDATOOL-34887 $ Vivienda Digital Open Market"/>
    <n v="0.4"/>
    <x v="1"/>
    <m/>
    <x v="1"/>
    <x v="0"/>
    <m/>
    <m/>
    <m/>
    <m/>
    <m/>
  </r>
  <r>
    <s v="C808819"/>
    <s v="JOSEPH ALEANDER ROJAS"/>
    <x v="2"/>
    <s v="Loans"/>
    <s v="BBVA"/>
    <e v="#NAME?"/>
    <s v="SDATOOL-39836 $ Vivienda digital fase III"/>
    <n v="0.6"/>
    <x v="1"/>
    <m/>
    <x v="1"/>
    <x v="0"/>
    <m/>
    <m/>
    <m/>
    <m/>
    <m/>
  </r>
  <r>
    <s v="C811308"/>
    <s v="JOSMAN ALEXANDER KOOP SANTA"/>
    <x v="0"/>
    <s v="Gema"/>
    <s v="BBVA"/>
    <e v="#NAME?"/>
    <s v="SDATOOL-32905 $ Global Enterprises Mobile App (GEMA)"/>
    <n v="0.25"/>
    <x v="2"/>
    <m/>
    <x v="1"/>
    <x v="0"/>
    <m/>
    <m/>
    <m/>
    <m/>
    <m/>
  </r>
  <r>
    <s v="C811308"/>
    <s v="JOSMAN ALEXANDER KOOP SANTA"/>
    <x v="0"/>
    <s v="Gema"/>
    <s v="BBVA"/>
    <e v="#NAME?"/>
    <s v="SDATOOL-41750 $ Single APP"/>
    <n v="0.25"/>
    <x v="2"/>
    <m/>
    <x v="1"/>
    <x v="0"/>
    <m/>
    <m/>
    <m/>
    <m/>
    <m/>
  </r>
  <r>
    <s v="C811308"/>
    <s v="JOSMAN ALEXANDER KOOP SANTA"/>
    <x v="0"/>
    <s v="Gema"/>
    <s v="BBVA"/>
    <e v="#NAME?"/>
    <s v="SDATOOL-39354 $ My business Open Pay - Plan Ascenso Mercurio"/>
    <n v="0.25"/>
    <x v="2"/>
    <m/>
    <x v="1"/>
    <x v="0"/>
    <m/>
    <m/>
    <m/>
    <m/>
    <m/>
  </r>
  <r>
    <s v="C811308"/>
    <s v="JOSMAN ALEXANDER KOOP SANTA"/>
    <x v="0"/>
    <s v="Gema"/>
    <s v="BBVA"/>
    <e v="#NAME?"/>
    <s v="SDATOOL-41448 $ Compra de divisas mediante APP Empresas GEMA"/>
    <n v="0.25"/>
    <x v="2"/>
    <m/>
    <x v="1"/>
    <x v="0"/>
    <m/>
    <m/>
    <m/>
    <m/>
    <m/>
  </r>
  <r>
    <s v="CE53474"/>
    <s v="Josue David Fernandez Reyes"/>
    <x v="3"/>
    <s v="Móvil"/>
    <s v="Neoris"/>
    <e v="#NAME?"/>
    <s v="SDATOOL-9053 $ GloMo Colombia"/>
    <n v="1"/>
    <x v="1"/>
    <m/>
    <x v="0"/>
    <x v="0"/>
    <m/>
    <m/>
    <m/>
    <m/>
    <m/>
  </r>
  <r>
    <s v="T002660"/>
    <s v="JUAN ALEJANDRO RIOS PEREZ"/>
    <x v="1"/>
    <s v="Riesgos"/>
    <s v="Choucair"/>
    <e v="#NAME?"/>
    <s v="SDATOOL-40710 $ GRM Col - Cronos - Plan Ascenso - Mejoras CAP Pymes Fase II"/>
    <n v="0.3"/>
    <x v="0"/>
    <m/>
    <x v="0"/>
    <x v="0"/>
    <m/>
    <m/>
    <m/>
    <m/>
    <m/>
  </r>
  <r>
    <s v="T002660"/>
    <s v="JUAN ALEJANDRO RIOS PEREZ"/>
    <x v="1"/>
    <s v="Riesgos"/>
    <s v="Choucair"/>
    <e v="#NAME?"/>
    <s v="SDATOOL-39826 $ GRM Col- Plan Ascenso - Mejoras en CAP Pymes y disponibilización HdC"/>
    <n v="0.3"/>
    <x v="0"/>
    <m/>
    <x v="0"/>
    <x v="0"/>
    <m/>
    <m/>
    <m/>
    <m/>
    <m/>
  </r>
  <r>
    <s v="T002660"/>
    <s v="JUAN ALEJANDRO RIOS PEREZ"/>
    <x v="1"/>
    <s v="Riesgos"/>
    <s v="Choucair"/>
    <e v="#NAME?"/>
    <s v="SDATOOL-38443 $ Arce Empresas Colombia"/>
    <n v="0.4"/>
    <x v="0"/>
    <m/>
    <x v="0"/>
    <x v="0"/>
    <m/>
    <m/>
    <m/>
    <m/>
    <m/>
  </r>
  <r>
    <s v="C341736"/>
    <s v="Guevara Castro Juan Andres"/>
    <x v="3"/>
    <s v="CRM"/>
    <s v="BBVA"/>
    <e v="#NAME?"/>
    <s v="SDATOOL-40690 $ Plan CRM: Mejoras AUG (Banca Comercial y CSF) Equipo B"/>
    <n v="0.9"/>
    <x v="1"/>
    <m/>
    <x v="1"/>
    <x v="0"/>
    <m/>
    <m/>
    <m/>
    <m/>
    <m/>
  </r>
  <r>
    <s v="CE68863"/>
    <s v="JUAN CAMILO CASTANO RAMIREZ"/>
    <x v="0"/>
    <s v="Gema"/>
    <s v="GGI / CMC"/>
    <e v="#NAME?"/>
    <s v="SDATOOL-39353 $ Redirección Mobile POS"/>
    <n v="1"/>
    <x v="0"/>
    <m/>
    <x v="0"/>
    <x v="0"/>
    <m/>
    <m/>
    <m/>
    <m/>
    <m/>
  </r>
  <r>
    <s v="C805723"/>
    <s v="JUAN CAMILO JAIMES CORREDOR"/>
    <x v="3"/>
    <s v="Móvil"/>
    <s v="BBVA"/>
    <e v="#NAME?"/>
    <s v="NOSDA- BAU $ BAU (Mantenimiento y peq. evolutivos)"/>
    <n v="1"/>
    <x v="1"/>
    <m/>
    <x v="1"/>
    <x v="0"/>
    <m/>
    <m/>
    <m/>
    <m/>
    <m/>
  </r>
  <r>
    <s v="T007576"/>
    <s v="Juan camilo velasquez mantilla"/>
    <x v="1"/>
    <s v="Riesgos"/>
    <s v="Inetum"/>
    <e v="#NAME?"/>
    <s v="NOSDA- BAU $ BAU (Mantenimiento y peq. evolutivos)"/>
    <n v="1"/>
    <x v="1"/>
    <m/>
    <x v="0"/>
    <x v="0"/>
    <m/>
    <m/>
    <m/>
    <m/>
    <m/>
  </r>
  <r>
    <s v="CE64753"/>
    <s v="JUAN CARLOS PULIDO"/>
    <x v="2"/>
    <s v="Loans"/>
    <s v="KRYPTO"/>
    <e v="#NAME?"/>
    <s v="NOSDA- BAU $ BAU (Mantenimiento y peq. evolutivos)"/>
    <n v="1"/>
    <x v="0"/>
    <m/>
    <x v="0"/>
    <x v="0"/>
    <m/>
    <m/>
    <m/>
    <m/>
    <m/>
  </r>
  <r>
    <s v="CE67484"/>
    <s v="JUAN CARLOS SALDAÑA"/>
    <x v="4"/>
    <s v="Global Market &amp; Comex"/>
    <s v="Accenture"/>
    <e v="#NAME?"/>
    <s v="SDATOOL-39217 $ Aplicativos Tesorería 2022"/>
    <n v="0.1"/>
    <x v="2"/>
    <m/>
    <x v="0"/>
    <x v="0"/>
    <m/>
    <m/>
    <m/>
    <m/>
    <m/>
  </r>
  <r>
    <s v="CE67484"/>
    <s v="JUAN CARLOS SALDAÑA"/>
    <x v="4"/>
    <s v="Global Market &amp; Comex"/>
    <s v="Accenture"/>
    <e v="#NAME?"/>
    <s v="SDATOOL-38735 $ Dynamic Pricing"/>
    <n v="0.15"/>
    <x v="2"/>
    <m/>
    <x v="0"/>
    <x v="0"/>
    <m/>
    <m/>
    <m/>
    <m/>
    <m/>
  </r>
  <r>
    <s v="CE67484"/>
    <s v="JUAN CARLOS SALDAÑA"/>
    <x v="4"/>
    <s v="Global Market &amp; Comex"/>
    <s v="Accenture"/>
    <e v="#NAME?"/>
    <s v="SDATOOL-31461 $ Liquidación Swaps Cross Crurrency Delivery"/>
    <n v="0.15"/>
    <x v="2"/>
    <m/>
    <x v="0"/>
    <x v="0"/>
    <m/>
    <m/>
    <m/>
    <m/>
    <m/>
  </r>
  <r>
    <s v="CE67484"/>
    <s v="JUAN CARLOS SALDAÑA"/>
    <x v="4"/>
    <s v="Global Market &amp; Comex"/>
    <s v="Accenture"/>
    <e v="#NAME?"/>
    <s v="SDATOOL-41308 $ Aplicativos Tesorería 2023"/>
    <n v="0.15"/>
    <x v="2"/>
    <m/>
    <x v="0"/>
    <x v="0"/>
    <m/>
    <m/>
    <m/>
    <m/>
    <m/>
  </r>
  <r>
    <s v="O002495"/>
    <s v="Juan Daniel Bernal Marin"/>
    <x v="2"/>
    <s v="Cross/BPM"/>
    <s v="BBVA"/>
    <e v="#NAME?"/>
    <s v="NOSDA- BAU $ BAU (Mantenimiento y peq. evolutivos)"/>
    <n v="1"/>
    <x v="1"/>
    <s v="MN-Cancelación de garantias"/>
    <x v="1"/>
    <x v="0"/>
    <m/>
    <m/>
    <m/>
    <m/>
    <m/>
  </r>
  <r>
    <s v="CE68369"/>
    <s v="JUAN DAVID ACOSTA OBANDO (QA)"/>
    <x v="0"/>
    <s v="Transaccionalidad"/>
    <s v="Inetum"/>
    <e v="#NAME?"/>
    <s v="SDATOOL-38770 $ Marcación y cobro de comisiones PSE"/>
    <n v="1"/>
    <x v="0"/>
    <m/>
    <x v="0"/>
    <x v="0"/>
    <m/>
    <m/>
    <m/>
    <m/>
    <m/>
  </r>
  <r>
    <s v="C810746"/>
    <s v="JUAN DAVID BAEZ RAMOS"/>
    <x v="3"/>
    <s v="Net"/>
    <s v="BBVA"/>
    <e v="#NAME?"/>
    <s v="SDATOOL-36558 $ Transfiya:Transferencias interbancarias inmediatas - Plan Ascenso Privado"/>
    <n v="1"/>
    <x v="1"/>
    <m/>
    <x v="1"/>
    <x v="0"/>
    <m/>
    <m/>
    <m/>
    <m/>
    <m/>
  </r>
  <r>
    <s v="C805714"/>
    <s v="JUAN DAVID CELIS NUÑEZ"/>
    <x v="2"/>
    <s v="Accounts"/>
    <s v="BBVA"/>
    <e v="#NAME?"/>
    <s v="SDATOOL-33065 $ Remesas BTS"/>
    <n v="0.8"/>
    <x v="1"/>
    <m/>
    <x v="1"/>
    <x v="0"/>
    <m/>
    <m/>
    <m/>
    <m/>
    <m/>
  </r>
  <r>
    <s v="C805714"/>
    <s v="JUAN DAVID CELIS NUÑEZ"/>
    <x v="2"/>
    <s v="Accounts"/>
    <s v="BBVA"/>
    <e v="#NAME?"/>
    <s v="SDATOOL-37753 $ Plan de transformación de operaciones 2022"/>
    <n v="0.2"/>
    <x v="1"/>
    <m/>
    <x v="1"/>
    <x v="0"/>
    <m/>
    <m/>
    <m/>
    <m/>
    <m/>
  </r>
  <r>
    <s v="O001384"/>
    <s v="Juan David Gonzalez Monroy   "/>
    <x v="1"/>
    <s v="Finanzas"/>
    <s v="BBVA"/>
    <e v="#NAME?"/>
    <s v="NOSDA- BAU $ BAU (Mantenimiento y peq. evolutivos)"/>
    <n v="1"/>
    <x v="1"/>
    <m/>
    <x v="1"/>
    <x v="0"/>
    <m/>
    <m/>
    <m/>
    <m/>
    <m/>
  </r>
  <r>
    <s v="C811405"/>
    <s v="JUAN DAVID MONTERO BOGOTA"/>
    <x v="1"/>
    <s v="Finanzas"/>
    <s v="BBVA"/>
    <e v="#NAME?"/>
    <s v="SDATOOL-23176 $ ORION"/>
    <n v="0.3"/>
    <x v="1"/>
    <m/>
    <x v="1"/>
    <x v="0"/>
    <m/>
    <m/>
    <m/>
    <m/>
    <m/>
  </r>
  <r>
    <s v="C811405"/>
    <s v="JUAN DAVID MONTERO BOGOTA"/>
    <x v="1"/>
    <s v="Finanzas"/>
    <s v="BBVA"/>
    <e v="#NAME?"/>
    <s v="SDATOOL-37411 $ Infraestructura reportes regulatorios"/>
    <n v="0.7"/>
    <x v="1"/>
    <m/>
    <x v="1"/>
    <x v="0"/>
    <m/>
    <m/>
    <m/>
    <m/>
    <m/>
  </r>
  <r>
    <s v="CE65053"/>
    <s v="Juan David Rodriguez Ariza"/>
    <x v="3"/>
    <s v="Móvil"/>
    <s v="Globant"/>
    <e v="#NAME?"/>
    <s v="SDATOOL-9053 $ GloMo Colombia"/>
    <n v="1"/>
    <x v="1"/>
    <m/>
    <x v="0"/>
    <x v="0"/>
    <m/>
    <m/>
    <m/>
    <m/>
    <m/>
  </r>
  <r>
    <s v="CE59993"/>
    <s v="Juan David Velasquez"/>
    <x v="3"/>
    <s v="Móvil"/>
    <s v="Inetum"/>
    <e v="#NAME?"/>
    <s v="SDATOOL-9053 $ GloMo Colombia"/>
    <n v="1"/>
    <x v="1"/>
    <m/>
    <x v="0"/>
    <x v="0"/>
    <m/>
    <m/>
    <m/>
    <m/>
    <m/>
  </r>
  <r>
    <s v="C810712"/>
    <s v="JUAN DIEGO TROCHEZ MONTOYA"/>
    <x v="3"/>
    <s v="Móvil"/>
    <s v="BBVA"/>
    <e v="#NAME?"/>
    <s v="SDATOOL-38489 $ Horizon BTGR - Colombia"/>
    <n v="1"/>
    <x v="1"/>
    <m/>
    <x v="1"/>
    <x v="0"/>
    <m/>
    <m/>
    <m/>
    <m/>
    <m/>
  </r>
  <r>
    <s v="T006699"/>
    <s v="Juan Duque"/>
    <x v="3"/>
    <s v="Móvil"/>
    <s v="Neoris"/>
    <e v="#NAME?"/>
    <s v="SDATOOL-9053 $ GloMo Colombia"/>
    <n v="1"/>
    <x v="1"/>
    <m/>
    <x v="0"/>
    <x v="0"/>
    <m/>
    <m/>
    <m/>
    <m/>
    <m/>
  </r>
  <r>
    <s v="T007488"/>
    <s v="JUAN ESTEBAN ALARCON MIRANDA"/>
    <x v="0"/>
    <s v="Gema"/>
    <s v="Indra"/>
    <e v="#NAME?"/>
    <s v="SDATOOL-32905 $ Global Enterprises Mobile App (GEMA)"/>
    <n v="1"/>
    <x v="1"/>
    <m/>
    <x v="0"/>
    <x v="0"/>
    <m/>
    <m/>
    <m/>
    <m/>
    <m/>
  </r>
  <r>
    <s v="C811403"/>
    <s v="JUAN FELIPE FORERO"/>
    <x v="2"/>
    <s v="Payments"/>
    <s v="BBVA"/>
    <e v="#NAME?"/>
    <s v="SDATOOL-40384 $ Cobrar intereses corrientes entre la transacción y la pre-cancelación"/>
    <n v="0.15"/>
    <x v="2"/>
    <m/>
    <x v="1"/>
    <x v="0"/>
    <m/>
    <m/>
    <m/>
    <m/>
    <m/>
  </r>
  <r>
    <s v="C811403"/>
    <s v="JUAN FELIPE FORERO"/>
    <x v="2"/>
    <s v="Payments"/>
    <s v="BBVA"/>
    <e v="#NAME?"/>
    <s v="SDATOOL-40455 $ Comisión porcentaje compras internacionales Mastercard y Visa Fase 2"/>
    <n v="0.1"/>
    <x v="2"/>
    <m/>
    <x v="1"/>
    <x v="0"/>
    <m/>
    <m/>
    <m/>
    <m/>
    <m/>
  </r>
  <r>
    <s v="C811403"/>
    <s v="JUAN FELIPE FORERO"/>
    <x v="2"/>
    <s v="Payments"/>
    <s v="BBVA"/>
    <e v="#NAME?"/>
    <s v="SDATOOL-38447 $ GRM Col - Condonación y bajas automáticas en Medios de Pago"/>
    <n v="0.05"/>
    <x v="2"/>
    <m/>
    <x v="1"/>
    <x v="0"/>
    <m/>
    <m/>
    <m/>
    <m/>
    <m/>
  </r>
  <r>
    <s v="C811403"/>
    <s v="JUAN FELIPE FORERO"/>
    <x v="2"/>
    <s v="Payments"/>
    <s v="BBVA"/>
    <e v="#NAME?"/>
    <s v="SDATOOL-37753 $ Plan de transformación de operaciones 2022"/>
    <n v="0.05"/>
    <x v="2"/>
    <m/>
    <x v="1"/>
    <x v="0"/>
    <m/>
    <m/>
    <m/>
    <m/>
    <m/>
  </r>
  <r>
    <s v="C811403"/>
    <s v="JUAN FELIPE FORERO"/>
    <x v="2"/>
    <s v="Payments"/>
    <s v="BBVA"/>
    <e v="#NAME?"/>
    <s v="SDATOOL-33846 $ SREP Data Quality- BCBS239 - Colombia"/>
    <n v="0.15"/>
    <x v="2"/>
    <m/>
    <x v="1"/>
    <x v="0"/>
    <m/>
    <m/>
    <m/>
    <m/>
    <m/>
  </r>
  <r>
    <s v="C811403"/>
    <s v="JUAN FELIPE FORERO"/>
    <x v="2"/>
    <s v="Payments"/>
    <s v="BBVA"/>
    <e v="#NAME?"/>
    <s v="SDATOOL-40382 $ NUEVA Eliminar el PAN ( Orange 1.0)"/>
    <n v="0.1"/>
    <x v="2"/>
    <m/>
    <x v="1"/>
    <x v="0"/>
    <m/>
    <m/>
    <m/>
    <m/>
    <m/>
  </r>
  <r>
    <s v="C811403"/>
    <s v="JUAN FELIPE FORERO"/>
    <x v="2"/>
    <s v="Payments"/>
    <s v="BBVA"/>
    <e v="#NAME?"/>
    <s v="SDATOOL-40438 $ CIRCULAR 032 del 2021 - REQUERIMIENTO FISCALIA GENERAL DE LA NACION"/>
    <n v="0.1"/>
    <x v="2"/>
    <m/>
    <x v="1"/>
    <x v="0"/>
    <m/>
    <m/>
    <m/>
    <m/>
    <m/>
  </r>
  <r>
    <s v="C811403"/>
    <s v="JUAN FELIPE FORERO"/>
    <x v="2"/>
    <s v="Payments"/>
    <s v="BBVA"/>
    <e v="#NAME?"/>
    <s v="NOSDA- BAU $ BAU (Mantenimiento y peq. evolutivos)"/>
    <n v="0.3"/>
    <x v="2"/>
    <m/>
    <x v="1"/>
    <x v="0"/>
    <m/>
    <m/>
    <m/>
    <m/>
    <m/>
  </r>
  <r>
    <s v="O002162"/>
    <s v="JUAN FELIPE MARTÍN PUERTO"/>
    <x v="3"/>
    <s v="Open Market"/>
    <s v="BBVA"/>
    <e v="#NAME?"/>
    <s v="SDATOOL-36048 $ Repositorio flujos  ventas digitales flujos - Plan Ascenso Open Market"/>
    <n v="1"/>
    <x v="1"/>
    <m/>
    <x v="1"/>
    <x v="0"/>
    <m/>
    <m/>
    <m/>
    <m/>
    <m/>
  </r>
  <r>
    <s v="O001733"/>
    <s v="Juan Manuel Fraile "/>
    <x v="3"/>
    <s v="CRM"/>
    <s v="BBVA"/>
    <e v="#NAME?"/>
    <s v="SDATOOL-37121 $ Plan CRM: Seguimiento al pipeline"/>
    <n v="1"/>
    <x v="1"/>
    <m/>
    <x v="1"/>
    <x v="0"/>
    <m/>
    <m/>
    <m/>
    <m/>
    <m/>
  </r>
  <r>
    <s v="T005393"/>
    <s v="Juan Pablo Ahumada Avila"/>
    <x v="1"/>
    <s v="Finanzas"/>
    <s v="GGI / CMC"/>
    <e v="#NAME?"/>
    <s v="SDATOOL-38583 $ FUSIONES Y ACTUALIZACION DE IDENTIFICACIONES"/>
    <n v="1"/>
    <x v="1"/>
    <m/>
    <x v="0"/>
    <x v="0"/>
    <m/>
    <m/>
    <m/>
    <m/>
    <m/>
  </r>
  <r>
    <s v="CE57396"/>
    <s v="JUAN PABLO AREVALO MERCHAN"/>
    <x v="1"/>
    <s v="Finanzas"/>
    <s v="BLUETAB"/>
    <e v="#NAME?"/>
    <s v="SDATOOL-32520 $ CDD Based Reporting - Colombia"/>
    <n v="0.25"/>
    <x v="1"/>
    <m/>
    <x v="0"/>
    <x v="0"/>
    <m/>
    <m/>
    <m/>
    <m/>
    <m/>
  </r>
  <r>
    <s v="CE57396"/>
    <s v="JUAN PABLO AREVALO MERCHAN"/>
    <x v="1"/>
    <s v="Finanzas"/>
    <s v="BLUETAB"/>
    <e v="#NAME?"/>
    <s v="SDATOOL-40529 $ Aplicativos Finanzas - 2023"/>
    <n v="0.25"/>
    <x v="1"/>
    <m/>
    <x v="0"/>
    <x v="0"/>
    <m/>
    <m/>
    <m/>
    <m/>
    <m/>
  </r>
  <r>
    <s v="CE57396"/>
    <s v="Juan Pablo Arevalo Merchan"/>
    <x v="1"/>
    <s v="Riesgos"/>
    <s v="BLUETAB"/>
    <e v="#NAME?"/>
    <s v="SDATOOL-29029 $ EBA Guidelines (NDoD/PD/LGD) - Colombia"/>
    <n v="0.5"/>
    <x v="1"/>
    <m/>
    <x v="0"/>
    <x v="0"/>
    <m/>
    <m/>
    <m/>
    <m/>
    <m/>
  </r>
  <r>
    <s v="C811189"/>
    <s v="Juan Pablo Millan"/>
    <x v="3"/>
    <s v="Móvil"/>
    <s v="BBVA"/>
    <e v="#NAME?"/>
    <s v="NOSDA- BAU $ BAU (Mantenimiento y peq. evolutivos)"/>
    <n v="1"/>
    <x v="1"/>
    <m/>
    <x v="1"/>
    <x v="0"/>
    <m/>
    <m/>
    <m/>
    <m/>
    <m/>
  </r>
  <r>
    <s v="T003428_x000a_"/>
    <s v="JUAN PABLO MORA "/>
    <x v="2"/>
    <s v="Cross/Ventas asistidas CAP"/>
    <s v="Choucair"/>
    <e v="#NAME?"/>
    <s v="SDATOOL-31326 $ Legalización Hipotecario"/>
    <n v="1"/>
    <x v="0"/>
    <m/>
    <x v="0"/>
    <x v="0"/>
    <m/>
    <m/>
    <m/>
    <m/>
    <m/>
  </r>
  <r>
    <s v="C811281"/>
    <s v="JUAN PABLO VELEZ"/>
    <x v="3"/>
    <s v="Open Market"/>
    <s v="BBVA"/>
    <e v="#NAME?"/>
    <s v="SDATOOL-37055 $ Cash in- PSE - Plan Ascenso Privado"/>
    <n v="1"/>
    <x v="1"/>
    <m/>
    <x v="1"/>
    <x v="0"/>
    <m/>
    <m/>
    <m/>
    <m/>
    <m/>
  </r>
  <r>
    <s v="T004336"/>
    <s v="Juan Romero"/>
    <x v="3"/>
    <s v="Móvil"/>
    <s v="Accenture"/>
    <e v="#NAME?"/>
    <s v="SDATOOL-9053 $ GloMo Colombia"/>
    <n v="1"/>
    <x v="1"/>
    <m/>
    <x v="0"/>
    <x v="0"/>
    <m/>
    <m/>
    <m/>
    <m/>
    <m/>
  </r>
  <r>
    <s v="C804405"/>
    <s v="JUAN SALAZAR"/>
    <x v="2"/>
    <s v="Loans"/>
    <s v="BBVA"/>
    <e v="#NAME?"/>
    <s v="SDATOOL-41729 $ SEGUNDA LIBRANZA - APLICACION PAGOS Y VoBo PAGADOR"/>
    <n v="0.8"/>
    <x v="1"/>
    <m/>
    <x v="1"/>
    <x v="0"/>
    <m/>
    <m/>
    <m/>
    <m/>
    <m/>
  </r>
  <r>
    <s v="C804405"/>
    <s v="JUAN SALAZAR"/>
    <x v="2"/>
    <s v="Loans"/>
    <s v="BBVA"/>
    <e v="#NAME?"/>
    <s v="NOSDA- BAU $ BAU (Mantenimiento y peq. evolutivos)"/>
    <n v="0.2"/>
    <x v="1"/>
    <m/>
    <x v="1"/>
    <x v="0"/>
    <m/>
    <m/>
    <m/>
    <m/>
    <m/>
  </r>
  <r>
    <s v="C810952"/>
    <s v="Juan Sebastian Ayala"/>
    <x v="3"/>
    <s v="Móvil"/>
    <s v="BBVA"/>
    <e v="#NAME?"/>
    <s v="NOSDA- BAU $ BAU (Mantenimiento y peq. evolutivos)"/>
    <n v="1"/>
    <x v="1"/>
    <m/>
    <x v="1"/>
    <x v="0"/>
    <m/>
    <m/>
    <m/>
    <m/>
    <m/>
  </r>
  <r>
    <s v="T007157"/>
    <s v="JUAN SEBASTIAN BUSTOS"/>
    <x v="2"/>
    <s v="Cross/Ventas asistidas CAP"/>
    <s v="Choucair"/>
    <e v="#NAME?"/>
    <s v="SDATOOL-37134 $ Oferta proactiva de segundo producto desde el momento cero - Plan Ascenso Cross Sell"/>
    <n v="1"/>
    <x v="0"/>
    <m/>
    <x v="0"/>
    <x v="0"/>
    <m/>
    <m/>
    <m/>
    <m/>
    <m/>
  </r>
  <r>
    <s v="O003400"/>
    <s v="JUAN SEBASTIAN COLMENARES RODRIGUEZ"/>
    <x v="2"/>
    <s v="Loans"/>
    <s v="BBVA"/>
    <e v="#NAME?"/>
    <s v="SDATOOL-39358 $ Crédito Virtual"/>
    <n v="1"/>
    <x v="1"/>
    <m/>
    <x v="1"/>
    <x v="0"/>
    <m/>
    <m/>
    <m/>
    <m/>
    <m/>
  </r>
  <r>
    <s v="T004374"/>
    <s v="JUAN SEBASTIAN MINA"/>
    <x v="2"/>
    <s v="Payments"/>
    <s v="KRYPTO"/>
    <e v="#NAME?"/>
    <s v="SDATOOL-40442 $ M4M - Tokenización Mastercard"/>
    <n v="0.8"/>
    <x v="0"/>
    <m/>
    <x v="0"/>
    <x v="0"/>
    <m/>
    <m/>
    <m/>
    <m/>
    <m/>
  </r>
  <r>
    <s v="T004374"/>
    <s v="JUAN SEBASTIAN MINA"/>
    <x v="2"/>
    <s v="Payments"/>
    <s v="KRYPTO"/>
    <e v="#NAME?"/>
    <s v="NOSDA- BAU $ BAU (Mantenimiento y peq. evolutivos)"/>
    <n v="0.2"/>
    <x v="0"/>
    <m/>
    <x v="0"/>
    <x v="0"/>
    <m/>
    <m/>
    <m/>
    <m/>
    <m/>
  </r>
  <r>
    <s v="C810787"/>
    <s v="JUAN SEBASTÍAN RODRIGUEZ TOVAR"/>
    <x v="2"/>
    <s v="Cross/Ventas asistidas CAP"/>
    <s v="BBVA"/>
    <e v="#NAME?"/>
    <s v="SDATOOL-38091 $ Higiénicos Plataforma Digital de Oficinas CAP"/>
    <n v="0.6"/>
    <x v="1"/>
    <m/>
    <x v="1"/>
    <x v="0"/>
    <m/>
    <m/>
    <m/>
    <m/>
    <m/>
  </r>
  <r>
    <s v="C810787"/>
    <s v="JUAN SEBASTÍAN RODRIGUEZ TOVAR"/>
    <x v="2"/>
    <s v="Cross/Ventas asistidas CAP"/>
    <s v="BBVA"/>
    <e v="#NAME?"/>
    <s v="SDATOOL-40435 $ Cuota Segura créditos de libranza"/>
    <n v="0.2"/>
    <x v="1"/>
    <m/>
    <x v="1"/>
    <x v="0"/>
    <m/>
    <m/>
    <m/>
    <m/>
    <m/>
  </r>
  <r>
    <s v="C810787"/>
    <s v="JUAN SEBASTÍAN RODRIGUEZ TOVAR"/>
    <x v="2"/>
    <s v="Cross/Ventas asistidas CAP"/>
    <s v="BBVA"/>
    <e v="#NAME?"/>
    <s v="NOSDA- BAU $ BAU (Mantenimiento y peq. evolutivos)"/>
    <n v="0.2"/>
    <x v="1"/>
    <s v="Soporte Aplicativo "/>
    <x v="1"/>
    <x v="0"/>
    <m/>
    <m/>
    <m/>
    <m/>
    <m/>
  </r>
  <r>
    <s v="CE70901"/>
    <s v="JUAN SEBASTIAN SANCHEZ"/>
    <x v="1"/>
    <s v="T&amp;C"/>
    <s v="Novatec"/>
    <e v="#NAME?"/>
    <s v="SDATOOL-28728 $ Contratación electrónica/digital de empleados y Carpeta Virtual 2.0"/>
    <n v="1"/>
    <x v="1"/>
    <m/>
    <x v="0"/>
    <x v="0"/>
    <m/>
    <m/>
    <m/>
    <m/>
    <m/>
  </r>
  <r>
    <s v="CE67122"/>
    <s v="Juanita Garcia"/>
    <x v="3"/>
    <s v="Oficina"/>
    <s v="GGI / CMC"/>
    <e v="#NAME?"/>
    <s v="SDATOOL-35350 $ Lean Office (Biblioteca Transaccional y Nuevo Modelo de Impresión)"/>
    <n v="1"/>
    <x v="1"/>
    <s v="Tester"/>
    <x v="0"/>
    <x v="0"/>
    <m/>
    <m/>
    <m/>
    <m/>
    <m/>
  </r>
  <r>
    <s v="O001421"/>
    <s v="JULIAN ALBERTO HERRERA SALAZAR"/>
    <x v="1"/>
    <s v="Riesgos"/>
    <s v="BBVA"/>
    <e v="#NAME?"/>
    <s v="SDATOOL-28473 $ GRM Col - TMP Cobranzas - Módulo control acuerdos de pago"/>
    <n v="0.5"/>
    <x v="1"/>
    <m/>
    <x v="1"/>
    <x v="0"/>
    <m/>
    <m/>
    <m/>
    <m/>
    <m/>
  </r>
  <r>
    <s v="O001421"/>
    <s v="JULIAN ALBERTO HERRERA SALAZAR"/>
    <x v="1"/>
    <s v="Riesgos"/>
    <s v="BBVA"/>
    <e v="#NAME?"/>
    <s v="SDATOOL-40658 $ GRM Col - Cronos Collections - Estrategia"/>
    <n v="0.4"/>
    <x v="1"/>
    <m/>
    <x v="1"/>
    <x v="0"/>
    <m/>
    <m/>
    <m/>
    <m/>
    <m/>
  </r>
  <r>
    <s v="O001421"/>
    <s v="JULIAN ALBERTO HERRERA SALAZAR"/>
    <x v="1"/>
    <s v="Riesgos"/>
    <s v="BBVA"/>
    <e v="#NAME?"/>
    <s v="NOSDA- BAU $ BAU (Mantenimiento y peq. evolutivos)"/>
    <n v="0.1"/>
    <x v="1"/>
    <m/>
    <x v="1"/>
    <x v="0"/>
    <m/>
    <m/>
    <m/>
    <m/>
    <m/>
  </r>
  <r>
    <s v="C801604"/>
    <s v="JULIAN ALBERTO RODRIGUEZ"/>
    <x v="2"/>
    <s v="Cross/BPM"/>
    <s v="BBVA"/>
    <e v="#NAME?"/>
    <s v="NOSDA- BAU $ BAU (Mantenimiento y peq. evolutivos)"/>
    <n v="1"/>
    <x v="2"/>
    <s v="Operación"/>
    <x v="1"/>
    <x v="0"/>
    <m/>
    <m/>
    <m/>
    <m/>
    <m/>
  </r>
  <r>
    <s v="T005122"/>
    <s v="JULIAN ANDRES ARENAS"/>
    <x v="2"/>
    <s v="Payments"/>
    <s v="Choucair"/>
    <e v="#NAME?"/>
    <s v="SDATOOL-37061 $ Plan de Lealtad Comecios -Plan Ascenso Autónomos"/>
    <n v="1"/>
    <x v="0"/>
    <m/>
    <x v="0"/>
    <x v="0"/>
    <m/>
    <m/>
    <m/>
    <m/>
    <m/>
  </r>
  <r>
    <s v="CE65082"/>
    <s v="JULIAN CAMILO ESGUERRA PINEDA"/>
    <x v="2"/>
    <s v="Accounts"/>
    <s v="SII"/>
    <e v="#NAME?"/>
    <s v="NOSDA- BAU $ BAU (Mantenimiento y peq. evolutivos)"/>
    <n v="1"/>
    <x v="1"/>
    <m/>
    <x v="0"/>
    <x v="0"/>
    <m/>
    <m/>
    <m/>
    <m/>
    <m/>
  </r>
  <r>
    <s v="CE69858"/>
    <s v="Julián David Castañeda"/>
    <x v="3"/>
    <s v="CRM"/>
    <s v="Meraki"/>
    <e v="#NAME?"/>
    <s v="SDATOOL-39272 $ Cambio servicio APL (Aportes en línea)- Integración AUG con nuevo motor laboral (OVI)"/>
    <n v="1"/>
    <x v="1"/>
    <m/>
    <x v="0"/>
    <x v="0"/>
    <m/>
    <m/>
    <m/>
    <m/>
    <m/>
  </r>
  <r>
    <s v="C811006"/>
    <s v="JULIAN ESTIC LAGOS GALINDO"/>
    <x v="3"/>
    <s v="Open Market"/>
    <s v="BBVA"/>
    <e v="#NAME?"/>
    <s v="SDATOOL-39348 $ tarjeta de crédito Open Market Fallback product"/>
    <n v="1"/>
    <x v="1"/>
    <m/>
    <x v="1"/>
    <x v="0"/>
    <m/>
    <m/>
    <m/>
    <m/>
    <m/>
  </r>
  <r>
    <s v="CE70220"/>
    <s v="JULIAN FELIPE VEGA HERNANDEZ "/>
    <x v="0"/>
    <s v="Senda"/>
    <s v="Accenture"/>
    <e v="#NAME?"/>
    <s v="SDATOOL-40457 $ SENDA (Base)"/>
    <n v="1"/>
    <x v="1"/>
    <m/>
    <x v="0"/>
    <x v="0"/>
    <m/>
    <m/>
    <m/>
    <m/>
    <m/>
  </r>
  <r>
    <s v="CE57488"/>
    <s v="JULIAN FERNANDO MARTINEZ RODRIGUEZ"/>
    <x v="0"/>
    <s v="Gema"/>
    <s v="Novatec"/>
    <e v="#NAME?"/>
    <s v="SDATOOL-32905 $ Global Enterprises Mobile App (GEMA)"/>
    <n v="1"/>
    <x v="1"/>
    <m/>
    <x v="0"/>
    <x v="0"/>
    <m/>
    <m/>
    <m/>
    <m/>
    <m/>
  </r>
  <r>
    <s v="CE70176"/>
    <s v="JULIANA BALCERO "/>
    <x v="2"/>
    <s v="Cross/Ventas asistidas CAP"/>
    <s v="Choucair"/>
    <e v="#NAME?"/>
    <s v="SDATOOL-37134 $ Oferta proactiva de segundo producto desde el momento cero - Plan Ascenso Cross Sell"/>
    <n v="1"/>
    <x v="0"/>
    <m/>
    <x v="0"/>
    <x v="0"/>
    <m/>
    <m/>
    <m/>
    <m/>
    <m/>
  </r>
  <r>
    <s v="CE67314"/>
    <s v="Juliana Corredor"/>
    <x v="3"/>
    <s v="Open Market"/>
    <s v="Accenture"/>
    <e v="#NAME?"/>
    <s v="NOSDA- BAU $ BAU (Mantenimiento y peq. evolutivos)"/>
    <n v="1"/>
    <x v="1"/>
    <m/>
    <x v="0"/>
    <x v="0"/>
    <m/>
    <m/>
    <m/>
    <m/>
    <m/>
  </r>
  <r>
    <s v="C805729"/>
    <s v="JULIANA FERNANDA BONILLA RODRIGUEZ"/>
    <x v="2"/>
    <s v="Accounts"/>
    <s v="BBVA"/>
    <e v="#NAME?"/>
    <s v="NOSDA- BAU $ BAU (Mantenimiento y peq. evolutivos)"/>
    <n v="1"/>
    <x v="1"/>
    <m/>
    <x v="1"/>
    <x v="0"/>
    <m/>
    <m/>
    <m/>
    <m/>
    <m/>
  </r>
  <r>
    <s v="C809507"/>
    <s v="JULIE PAULETTE GARAVITO"/>
    <x v="2"/>
    <s v="Loans"/>
    <s v="BBVA"/>
    <e v="#NAME?"/>
    <s v="SDATOOL-35463 $ Gestión de Ingresos - Períodos de Gracia Libranzas"/>
    <n v="1"/>
    <x v="1"/>
    <m/>
    <x v="1"/>
    <x v="0"/>
    <m/>
    <m/>
    <m/>
    <m/>
    <m/>
  </r>
  <r>
    <s v="CE69608"/>
    <s v="Julieth Alejandra Bermudez Bernal"/>
    <x v="3"/>
    <s v="CRM"/>
    <s v="Choucair"/>
    <e v="#NAME?"/>
    <s v="SDATOOL-40672 $ Plan CRM: Mejoras AUG (Banca Comercial y CSF) Equipo A"/>
    <n v="1"/>
    <x v="0"/>
    <m/>
    <x v="0"/>
    <x v="0"/>
    <m/>
    <m/>
    <m/>
    <m/>
    <m/>
  </r>
  <r>
    <s v="CE66910"/>
    <s v="JULIO DIAZ PENAGOS "/>
    <x v="2"/>
    <s v="Accounts"/>
    <s v="SII"/>
    <e v="#NAME?"/>
    <s v="SDATOOL-33065 $ Remesas BTS"/>
    <n v="0.7"/>
    <x v="1"/>
    <m/>
    <x v="0"/>
    <x v="0"/>
    <m/>
    <m/>
    <m/>
    <m/>
    <m/>
  </r>
  <r>
    <s v="CE66910"/>
    <s v="JULIO DIAZ PENAGOS "/>
    <x v="2"/>
    <s v="Accounts"/>
    <s v="SII"/>
    <e v="#NAME?"/>
    <s v="SDATOOL-41950 $ Migracion GMF-MQ Series"/>
    <n v="0.3"/>
    <x v="1"/>
    <m/>
    <x v="0"/>
    <x v="0"/>
    <m/>
    <m/>
    <m/>
    <m/>
    <m/>
  </r>
  <r>
    <s v="CE51510"/>
    <s v="JULY VANESSA TORRES ZARATE"/>
    <x v="0"/>
    <s v="Soluciones financieras (Factoring)"/>
    <s v="Choucair"/>
    <e v="#NAME?"/>
    <s v="SDATOOL-37125 $ Factoring - IBR"/>
    <n v="0.25"/>
    <x v="0"/>
    <m/>
    <x v="0"/>
    <x v="0"/>
    <m/>
    <m/>
    <m/>
    <m/>
    <m/>
  </r>
  <r>
    <s v="CE51510"/>
    <s v="JULY VANESSA TORRES ZARATE"/>
    <x v="0"/>
    <s v="Soluciones financieras (Factoring)"/>
    <s v="Choucair"/>
    <e v="#NAME?"/>
    <s v="SDATOOL-36547 $ PLAN MAYOR -PLAN MENOR. Plan ascenso Open Market"/>
    <n v="0.75"/>
    <x v="0"/>
    <m/>
    <x v="0"/>
    <x v="0"/>
    <m/>
    <m/>
    <m/>
    <m/>
    <m/>
  </r>
  <r>
    <s v="CE67103"/>
    <s v="KAREN ANDREA BELTRÁN SILVA"/>
    <x v="4"/>
    <s v="Global Market &amp; Comex"/>
    <s v="Accenture"/>
    <e v="#NAME?"/>
    <s v="NOSDA- BAU $ BAU (Mantenimiento y peq. evolutivos)"/>
    <n v="1"/>
    <x v="1"/>
    <m/>
    <x v="0"/>
    <x v="0"/>
    <m/>
    <m/>
    <m/>
    <m/>
    <m/>
  </r>
  <r>
    <s v="CE57060"/>
    <s v="Karen Andrea Moreno Hernandez"/>
    <x v="1"/>
    <s v="Riesgos"/>
    <s v="GGI / CMC"/>
    <e v="#NAME?"/>
    <s v="SDATOOL-40545 $ GRM Col - Mejoras Evolutivas de Aplicativos y Herramientas de Riesgos 2023"/>
    <n v="1"/>
    <x v="0"/>
    <m/>
    <x v="0"/>
    <x v="0"/>
    <m/>
    <m/>
    <m/>
    <m/>
    <m/>
  </r>
  <r>
    <s v="T007470"/>
    <s v="KAREN ANGELICA ANDRADE"/>
    <x v="2"/>
    <s v="Cross/Ventas asistidas CAP"/>
    <s v="Inetum"/>
    <e v="#NAME?"/>
    <s v="NOSDA- BAU $ BAU (Mantenimiento y peq. evolutivos)"/>
    <n v="1"/>
    <x v="3"/>
    <s v="Soporte Aranda"/>
    <x v="0"/>
    <x v="0"/>
    <m/>
    <m/>
    <m/>
    <m/>
    <m/>
  </r>
  <r>
    <s v="CE47925"/>
    <s v="Karen Juliete Mahecha Rey"/>
    <x v="3"/>
    <s v="Móvil"/>
    <s v="Neoris"/>
    <e v="#NAME?"/>
    <s v="SDATOOL-9053 $ GloMo Colombia"/>
    <n v="1"/>
    <x v="1"/>
    <m/>
    <x v="0"/>
    <x v="0"/>
    <m/>
    <m/>
    <m/>
    <m/>
    <m/>
  </r>
  <r>
    <s v="C808802"/>
    <s v="KAREN MARGARITA ANGULO"/>
    <x v="2"/>
    <s v="Loans"/>
    <s v="BBVA"/>
    <e v="#NAME?"/>
    <s v="NOSDA- BAU $ BAU (Mantenimiento y peq. evolutivos)"/>
    <n v="0.9"/>
    <x v="1"/>
    <m/>
    <x v="1"/>
    <x v="0"/>
    <m/>
    <m/>
    <m/>
    <m/>
    <m/>
  </r>
  <r>
    <s v="C808802"/>
    <s v="KAREN MARGARITA ANGULO"/>
    <x v="2"/>
    <s v="Loans"/>
    <s v="BBVA"/>
    <e v="#NAME?"/>
    <s v="SDATOOL-36548 $ Optimización consumo web - Plan ascenso Open Market"/>
    <n v="0.1"/>
    <x v="1"/>
    <m/>
    <x v="1"/>
    <x v="0"/>
    <m/>
    <m/>
    <m/>
    <m/>
    <m/>
  </r>
  <r>
    <s v="O003310"/>
    <s v="KAREN MARGARITA ARENILLA TRIGOS"/>
    <x v="3"/>
    <s v="Canales asistidos CB"/>
    <s v="BBVA"/>
    <e v="#NAME?"/>
    <s v="NOSDA- BAU $ BAU (Mantenimiento y peq. evolutivos)"/>
    <n v="0.8"/>
    <x v="1"/>
    <m/>
    <x v="1"/>
    <x v="0"/>
    <m/>
    <m/>
    <m/>
    <m/>
    <m/>
  </r>
  <r>
    <s v="O003310"/>
    <s v="KAREN MARGARITA ARENILLA TRIGOS"/>
    <x v="3"/>
    <s v="Canales asistidos CB"/>
    <s v="BBVA"/>
    <e v="#NAME?"/>
    <s v="SDATOOL-40581 $ Corresponsal Bancario Ya Ganaste"/>
    <n v="0.2"/>
    <x v="1"/>
    <m/>
    <x v="1"/>
    <x v="0"/>
    <m/>
    <m/>
    <m/>
    <m/>
    <m/>
  </r>
  <r>
    <s v="CE70650"/>
    <s v="Karol Melissa Gómez Colmenares"/>
    <x v="3"/>
    <s v="Móvil"/>
    <s v="Neoris"/>
    <e v="#NAME?"/>
    <s v="SDATOOL-9053 $ GloMo Colombia"/>
    <n v="1"/>
    <x v="0"/>
    <m/>
    <x v="0"/>
    <x v="0"/>
    <m/>
    <m/>
    <m/>
    <m/>
    <m/>
  </r>
  <r>
    <s v="C803062"/>
    <s v="KATERINE CRUZ SUAREZ"/>
    <x v="2"/>
    <s v="Accounts"/>
    <s v="BBVA"/>
    <e v="#NAME?"/>
    <s v="NOSDA- BAU $ BAU (Mantenimiento y peq. evolutivos)"/>
    <n v="1"/>
    <x v="1"/>
    <m/>
    <x v="1"/>
    <x v="0"/>
    <m/>
    <m/>
    <m/>
    <m/>
    <m/>
  </r>
  <r>
    <s v="CE63473"/>
    <s v="Katherine Santana"/>
    <x v="3"/>
    <s v="Móvil"/>
    <s v="SII"/>
    <e v="#NAME?"/>
    <s v="SDATOOL-9053 $ GloMo Colombia"/>
    <n v="1"/>
    <x v="0"/>
    <m/>
    <x v="0"/>
    <x v="0"/>
    <m/>
    <m/>
    <m/>
    <m/>
    <m/>
  </r>
  <r>
    <s v="CE61903"/>
    <s v="Kelly Johanna Vanegas"/>
    <x v="4"/>
    <s v="Backoffice"/>
    <s v="Tecnoevolución"/>
    <e v="#NAME?"/>
    <s v="SDATOOL-33907 $ Manejo Fiscal Prima o Descuento Renta Fija"/>
    <n v="0.1"/>
    <x v="2"/>
    <m/>
    <x v="0"/>
    <x v="0"/>
    <m/>
    <m/>
    <m/>
    <m/>
    <m/>
  </r>
  <r>
    <s v="CE61903"/>
    <s v="Kelly Johanna Vanegas"/>
    <x v="4"/>
    <s v="Backoffice"/>
    <s v="Tecnoevolución"/>
    <e v="#NAME?"/>
    <s v="SDATOOL-38642 $ CUPON INTERMEDIO"/>
    <n v="0.1"/>
    <x v="2"/>
    <m/>
    <x v="0"/>
    <x v="0"/>
    <m/>
    <m/>
    <m/>
    <m/>
    <m/>
  </r>
  <r>
    <s v="CE61903"/>
    <s v="Kelly Johanna Vanegas"/>
    <x v="4"/>
    <s v="Backoffice"/>
    <s v="Tecnoevolución"/>
    <e v="#NAME?"/>
    <s v="SDATOOL-35621 $ DOCUMENTO SOPORTE FASE II - DIALOGO"/>
    <n v="0.1"/>
    <x v="2"/>
    <m/>
    <x v="0"/>
    <x v="0"/>
    <m/>
    <m/>
    <m/>
    <m/>
    <m/>
  </r>
  <r>
    <s v="CE61903"/>
    <s v="Kelly Johanna Vanegas"/>
    <x v="4"/>
    <s v="Backoffice"/>
    <s v="Tecnoevolución"/>
    <e v="#NAME?"/>
    <s v="SDATOOL-40545 $ GRM Col - Mejoras Evolutivas de Aplicativos y Herramientas de Riesgos 2023"/>
    <n v="0.1"/>
    <x v="2"/>
    <m/>
    <x v="0"/>
    <x v="0"/>
    <m/>
    <m/>
    <m/>
    <m/>
    <m/>
  </r>
  <r>
    <s v="CE55472"/>
    <s v="Kevin Danilo López Clopatofsky"/>
    <x v="2"/>
    <s v="Cross/BPM"/>
    <s v="TRYCORE"/>
    <e v="#NAME?"/>
    <s v="SDATOOL-31326 $ Legalización Hipotecario"/>
    <n v="1"/>
    <x v="1"/>
    <m/>
    <x v="0"/>
    <x v="0"/>
    <m/>
    <m/>
    <m/>
    <m/>
    <m/>
  </r>
  <r>
    <s v="CE69641"/>
    <s v="Kevin Sarmiento"/>
    <x v="3"/>
    <s v="Móvil"/>
    <s v="Accenture"/>
    <e v="#NAME?"/>
    <s v="SDATOOL-9053 $ GloMo Colombia"/>
    <n v="1"/>
    <x v="1"/>
    <m/>
    <x v="0"/>
    <x v="0"/>
    <m/>
    <m/>
    <m/>
    <m/>
    <m/>
  </r>
  <r>
    <s v="CE66305"/>
    <s v="LADY JOHANNA ARDILA ABELLO"/>
    <x v="0"/>
    <s v="Soluciones financieras (Factoring)"/>
    <s v="Choucair"/>
    <e v="#NAME?"/>
    <s v="SDATOOL-36547 $ PLAN MAYOR -PLAN MENOR. Plan ascenso Open Market"/>
    <n v="1"/>
    <x v="0"/>
    <m/>
    <x v="0"/>
    <x v="0"/>
    <m/>
    <m/>
    <m/>
    <m/>
    <m/>
  </r>
  <r>
    <s v="T000595"/>
    <s v="Laura Milena Duarte"/>
    <x v="3"/>
    <s v="Móvil"/>
    <s v="Novatec"/>
    <e v="#NAME?"/>
    <s v="SDATOOL-38489 $ Horizon BTGR - Colombia"/>
    <n v="1"/>
    <x v="1"/>
    <m/>
    <x v="0"/>
    <x v="0"/>
    <m/>
    <m/>
    <m/>
    <m/>
    <m/>
  </r>
  <r>
    <s v="C805746"/>
    <s v="LAURA NATHALY NIETO AMAYA"/>
    <x v="0"/>
    <s v="Gema"/>
    <s v="BBVA"/>
    <e v="#NAME?"/>
    <s v="NOSDA- BAU $ BAU (Mantenimiento y peq. evolutivos)"/>
    <n v="1"/>
    <x v="1"/>
    <m/>
    <x v="1"/>
    <x v="0"/>
    <m/>
    <m/>
    <m/>
    <m/>
    <m/>
  </r>
  <r>
    <s v="C810947"/>
    <s v="LAURA PULIDO DIAZ"/>
    <x v="0"/>
    <s v="Transaccionalidad"/>
    <s v="BBVA"/>
    <e v="#NAME?"/>
    <s v="SDATOOL-37130 $ Pago y domiciliación de recaudo"/>
    <n v="1"/>
    <x v="1"/>
    <m/>
    <x v="1"/>
    <x v="0"/>
    <m/>
    <m/>
    <m/>
    <m/>
    <m/>
  </r>
  <r>
    <s v="CE67221"/>
    <s v="LAURA STEFANY ROMERO TRUJILLO"/>
    <x v="3"/>
    <s v="Móvil"/>
    <s v="Neoris"/>
    <e v="#NAME?"/>
    <s v="SDATOOL-9053 $ GloMo Colombia"/>
    <n v="1"/>
    <x v="1"/>
    <m/>
    <x v="0"/>
    <x v="0"/>
    <m/>
    <m/>
    <m/>
    <m/>
    <m/>
  </r>
  <r>
    <s v="O002599"/>
    <s v="LAURA VALENTINA SANDOVAL MARIN"/>
    <x v="3"/>
    <s v="Canales asistidos Call Center / Gest. remota"/>
    <s v="BBVA"/>
    <e v="#NAME?"/>
    <s v="SDATOOL-37100 $ Soluciones de voz/Internalización del IVR - Plan Ascenso Privado"/>
    <n v="1"/>
    <x v="1"/>
    <m/>
    <x v="1"/>
    <x v="0"/>
    <m/>
    <m/>
    <m/>
    <m/>
    <m/>
  </r>
  <r>
    <s v="CE69994"/>
    <s v="Lautaro Nahuel Cuello"/>
    <x v="3"/>
    <s v="Open Market"/>
    <s v="Globant"/>
    <e v="#NAME?"/>
    <s v="SDATOOL-38419 $ Contratación cuenta en línea en Glomo"/>
    <n v="1"/>
    <x v="1"/>
    <m/>
    <x v="0"/>
    <x v="0"/>
    <m/>
    <m/>
    <m/>
    <m/>
    <m/>
  </r>
  <r>
    <s v="CE56948"/>
    <s v="LEANDRO AUGUSTO CHIGUASUQUE I."/>
    <x v="2"/>
    <s v="Cross/BPM"/>
    <s v="TRYCORE"/>
    <e v="#NAME?"/>
    <s v="NOSDA- BAU $ BAU (Mantenimiento y peq. evolutivos)"/>
    <n v="1"/>
    <x v="1"/>
    <s v="sopor prod"/>
    <x v="0"/>
    <x v="0"/>
    <m/>
    <m/>
    <m/>
    <m/>
    <m/>
  </r>
  <r>
    <s v="O001337"/>
    <s v="LEANDRO GOMEZ "/>
    <x v="3"/>
    <s v="Net"/>
    <s v="BBVA"/>
    <e v="#NAME?"/>
    <s v="SDATOOL-36558 $ Transfiya:Transferencias interbancarias inmediatas - Plan Ascenso Privado"/>
    <n v="1"/>
    <x v="2"/>
    <m/>
    <x v="1"/>
    <x v="0"/>
    <m/>
    <m/>
    <m/>
    <m/>
    <m/>
  </r>
  <r>
    <s v="O003306"/>
    <s v="LEIDY JOHANA RODRIGUEZ GARCIA"/>
    <x v="4"/>
    <s v="Global Market &amp; Comex"/>
    <s v="BBVA"/>
    <e v="#NAME?"/>
    <s v="SDATOOL-31461 $ Liquidación Swaps Cross Crurrency Delivery"/>
    <n v="0.5"/>
    <x v="1"/>
    <m/>
    <x v="1"/>
    <x v="0"/>
    <m/>
    <m/>
    <m/>
    <m/>
    <m/>
  </r>
  <r>
    <s v="O003306"/>
    <s v="LEIDY JOHANA RODRIGUEZ GARCIA"/>
    <x v="4"/>
    <s v="Global Market &amp; Comex"/>
    <s v="BBVA"/>
    <e v="#NAME?"/>
    <s v="SDATOOL-39217 $ Aplicativos Tesorería 2022"/>
    <n v="0.25"/>
    <x v="1"/>
    <m/>
    <x v="1"/>
    <x v="0"/>
    <m/>
    <m/>
    <m/>
    <m/>
    <m/>
  </r>
  <r>
    <s v="O003306"/>
    <s v="LEIDY JOHANA RODRIGUEZ GARCIA"/>
    <x v="4"/>
    <s v="Global Market &amp; Comex"/>
    <s v="BBVA"/>
    <e v="#NAME?"/>
    <s v="SDATOOL-41308 $ Aplicativos Tesorería 2023"/>
    <n v="0.25"/>
    <x v="1"/>
    <m/>
    <x v="1"/>
    <x v="0"/>
    <m/>
    <m/>
    <m/>
    <m/>
    <m/>
  </r>
  <r>
    <s v="T005395"/>
    <s v="Leidy Johanna Ospina Rodriguez"/>
    <x v="1"/>
    <s v="Finanzas"/>
    <s v="GGI / CMC"/>
    <e v="#NAME?"/>
    <s v="SDATOOL-40003 $ Resolución 0124 DIAN 2021 - Créditos Hipotecarios para remodelación de Vivienda"/>
    <n v="1"/>
    <x v="1"/>
    <m/>
    <x v="0"/>
    <x v="0"/>
    <m/>
    <m/>
    <m/>
    <m/>
    <m/>
  </r>
  <r>
    <s v="C343617"/>
    <s v="LEIDY NATALIA  GONZALEZ"/>
    <x v="2"/>
    <s v="Payments"/>
    <s v="BBVA"/>
    <e v="#NAME?"/>
    <s v="SDATOOL-37427 $ Adquirencia Premium"/>
    <n v="0.4"/>
    <x v="1"/>
    <m/>
    <x v="1"/>
    <x v="0"/>
    <m/>
    <m/>
    <m/>
    <m/>
    <m/>
  </r>
  <r>
    <s v="C343617"/>
    <s v="LEIDY NATALIA  GONZALEZ"/>
    <x v="2"/>
    <s v="Payments"/>
    <s v="BBVA"/>
    <e v="#NAME?"/>
    <s v="NOSDA- BAU $ BAU (Mantenimiento y peq. evolutivos)"/>
    <n v="0.6"/>
    <x v="1"/>
    <m/>
    <x v="1"/>
    <x v="0"/>
    <m/>
    <m/>
    <m/>
    <m/>
    <m/>
  </r>
  <r>
    <s v="C805939"/>
    <s v="LEISON FABIAN MEJIA GARCIA"/>
    <x v="2"/>
    <s v="Accounts"/>
    <s v="BBVA"/>
    <e v="#NAME?"/>
    <s v="SDATOOL-38419 $ Contratación cuenta en línea en Glomo"/>
    <n v="1"/>
    <x v="1"/>
    <m/>
    <x v="1"/>
    <x v="0"/>
    <m/>
    <m/>
    <m/>
    <m/>
    <m/>
  </r>
  <r>
    <s v="C810784"/>
    <s v="LENIN QUINTERO MUÑOZ"/>
    <x v="0"/>
    <s v="Transaccionalidad"/>
    <s v="BBVA"/>
    <e v="#NAME?"/>
    <s v="SDATOOL-37425 $ Recaudo DIAN Tarjetas de Crédito Propio Banco través del Botón de pagos PSE para los canales Banca Personas y Banca de Empresas"/>
    <n v="1"/>
    <x v="1"/>
    <m/>
    <x v="1"/>
    <x v="0"/>
    <m/>
    <m/>
    <m/>
    <m/>
    <m/>
  </r>
  <r>
    <s v="CE55339"/>
    <s v="Lenin Rafael Diaz Quintero"/>
    <x v="3"/>
    <s v="Net"/>
    <s v="SII"/>
    <e v="#NAME?"/>
    <s v="SDATOOL-36558 $ Transfiya:Transferencias interbancarias inmediatas - Plan Ascenso Privado"/>
    <n v="1"/>
    <x v="1"/>
    <m/>
    <x v="0"/>
    <x v="0"/>
    <m/>
    <m/>
    <m/>
    <m/>
    <m/>
  </r>
  <r>
    <s v="T000166"/>
    <s v="Leonardo Alberto Jimenez Rincon"/>
    <x v="3"/>
    <s v="Net"/>
    <s v="Choucair"/>
    <e v="#NAME?"/>
    <s v="SDATOOL-36558 $ Transfiya:Transferencias interbancarias inmediatas - Plan Ascenso Privado"/>
    <n v="1"/>
    <x v="0"/>
    <m/>
    <x v="0"/>
    <x v="0"/>
    <m/>
    <m/>
    <m/>
    <m/>
    <m/>
  </r>
  <r>
    <s v="C811392"/>
    <s v="LEONARDO SIMBAQUEBA ESGUERRA"/>
    <x v="2"/>
    <s v="Payments"/>
    <s v="BBVA"/>
    <e v="#NAME?"/>
    <s v="NOSDA- BAU $ BAU (Mantenimiento y peq. evolutivos)"/>
    <n v="0.6"/>
    <x v="1"/>
    <m/>
    <x v="1"/>
    <x v="0"/>
    <m/>
    <m/>
    <m/>
    <m/>
    <m/>
  </r>
  <r>
    <s v="C811392"/>
    <s v="LEONARDO SIMBAQUEBA ESGUERRA"/>
    <x v="2"/>
    <s v="Payments"/>
    <s v="BBVA"/>
    <e v="#NAME?"/>
    <s v="SDATOOL-40469 $ Reversión reintegros parciales Adquirencia - Ajustes de comercio LATAM"/>
    <n v="0.2"/>
    <x v="1"/>
    <m/>
    <x v="1"/>
    <x v="0"/>
    <m/>
    <m/>
    <m/>
    <m/>
    <m/>
  </r>
  <r>
    <s v="C811392"/>
    <s v="LEONARDO SIMBAQUEBA ESGUERRA"/>
    <x v="2"/>
    <s v="Payments"/>
    <s v="BBVA"/>
    <e v="#NAME?"/>
    <s v="SDATOOL-39354 $ My business Open Pay - Plan Ascenso Mercurio"/>
    <n v="0.2"/>
    <x v="1"/>
    <m/>
    <x v="1"/>
    <x v="0"/>
    <m/>
    <m/>
    <m/>
    <m/>
    <m/>
  </r>
  <r>
    <s v="O001827"/>
    <s v="LEONOR AZUCENA GOMEZ RINCON"/>
    <x v="2"/>
    <s v="Loans"/>
    <s v="BBVA"/>
    <e v="#NAME?"/>
    <s v="SDATOOL-34910 $ Libranza Digital"/>
    <n v="0.25"/>
    <x v="2"/>
    <m/>
    <x v="1"/>
    <x v="0"/>
    <m/>
    <m/>
    <m/>
    <m/>
    <m/>
  </r>
  <r>
    <s v="O001827"/>
    <s v="LEONOR AZUCENA GOMEZ RINCON"/>
    <x v="2"/>
    <s v="Loans"/>
    <s v="BBVA"/>
    <e v="#NAME?"/>
    <s v="SDATOOL-36522 $ Libranza E2E digital Fase III - Plan Ascenso Privado"/>
    <n v="0.25"/>
    <x v="2"/>
    <m/>
    <x v="1"/>
    <x v="0"/>
    <m/>
    <m/>
    <m/>
    <m/>
    <m/>
  </r>
  <r>
    <s v="O001827"/>
    <s v="LEONOR AZUCENA GOMEZ RINCON"/>
    <x v="2"/>
    <s v="Loans"/>
    <s v="BBVA"/>
    <e v="#NAME?"/>
    <s v="SDATOOL-36560 $ Pricing de libranza - Plan Ascenso Open Market"/>
    <n v="0.1"/>
    <x v="2"/>
    <m/>
    <x v="1"/>
    <x v="0"/>
    <m/>
    <m/>
    <m/>
    <m/>
    <m/>
  </r>
  <r>
    <s v="O001827"/>
    <s v="LEONOR AZUCENA GOMEZ RINCON"/>
    <x v="2"/>
    <s v="Loans"/>
    <s v="BBVA"/>
    <e v="#NAME?"/>
    <s v="SDATOOL-39384 $ Abonos a préstamos por canales"/>
    <n v="0.1"/>
    <x v="2"/>
    <m/>
    <x v="1"/>
    <x v="0"/>
    <m/>
    <m/>
    <m/>
    <m/>
    <m/>
  </r>
  <r>
    <s v="O001827"/>
    <s v="LEONOR AZUCENA GOMEZ RINCON"/>
    <x v="2"/>
    <s v="Loans"/>
    <s v="BBVA"/>
    <e v="#NAME?"/>
    <s v="SDATOOL-28278 $ GRM Col - TMP Cobranzas - Pago en Canales Alternos"/>
    <n v="0.1"/>
    <x v="2"/>
    <m/>
    <x v="1"/>
    <x v="0"/>
    <m/>
    <m/>
    <m/>
    <m/>
    <m/>
  </r>
  <r>
    <s v="O001827"/>
    <s v="LEONOR AZUCENA GOMEZ RINCON"/>
    <x v="2"/>
    <s v="Loans"/>
    <s v="BBVA"/>
    <e v="#NAME?"/>
    <s v="SDATOOL-40670 $ Plan CRM: Mejoras DWP Jurídicos (Pymes, Empresas,Gobiernos)"/>
    <n v="0.1"/>
    <x v="2"/>
    <m/>
    <x v="1"/>
    <x v="0"/>
    <m/>
    <m/>
    <m/>
    <m/>
    <m/>
  </r>
  <r>
    <s v="O001827"/>
    <s v="LEONOR AZUCENA GOMEZ RINCON"/>
    <x v="2"/>
    <s v="Loans"/>
    <s v="BBVA"/>
    <e v="#NAME?"/>
    <s v="SDATOOL-39272 $ GRM-Col-Cambio servicio APL (Aportes en línea)"/>
    <n v="0.1"/>
    <x v="2"/>
    <m/>
    <x v="1"/>
    <x v="0"/>
    <m/>
    <m/>
    <m/>
    <m/>
    <m/>
  </r>
  <r>
    <s v="CE64988"/>
    <s v="Levi Becerra"/>
    <x v="3"/>
    <s v="Móvil"/>
    <s v="Accenture"/>
    <e v="#NAME?"/>
    <s v="SDATOOL-9053 $ GloMo Colombia"/>
    <n v="1"/>
    <x v="1"/>
    <m/>
    <x v="0"/>
    <x v="0"/>
    <m/>
    <m/>
    <m/>
    <m/>
    <m/>
  </r>
  <r>
    <s v="C809507"/>
    <s v="LEYDI CAMARGO"/>
    <x v="2"/>
    <s v="Loans"/>
    <s v="BBVA"/>
    <e v="#NAME?"/>
    <s v="NOSDA- BAU $ BAU (Mantenimiento y peq. evolutivos)"/>
    <n v="0.8"/>
    <x v="1"/>
    <m/>
    <x v="1"/>
    <x v="0"/>
    <m/>
    <m/>
    <m/>
    <m/>
    <m/>
  </r>
  <r>
    <s v="C809507"/>
    <s v="LEYDI CAMARGO"/>
    <x v="2"/>
    <s v="Loans"/>
    <s v="BBVA"/>
    <e v="#NAME?"/>
    <s v="SDATOOL-34157 $ Evolutivo Parthnership - Crédito en punto de venta de Aliados"/>
    <n v="0.2"/>
    <x v="1"/>
    <m/>
    <x v="1"/>
    <x v="0"/>
    <m/>
    <m/>
    <m/>
    <m/>
    <m/>
  </r>
  <r>
    <s v="O000100"/>
    <s v="Liceth Yhomary Gonzalez Penagos"/>
    <x v="1"/>
    <s v="Riesgos"/>
    <s v="BBVA"/>
    <e v="#NAME?"/>
    <s v="SDATOOL-28473 $ GRM Col - TMP Cobranzas - Módulo control acuerdos de pago"/>
    <n v="0.3"/>
    <x v="1"/>
    <m/>
    <x v="1"/>
    <x v="0"/>
    <m/>
    <m/>
    <m/>
    <m/>
    <m/>
  </r>
  <r>
    <s v="O000100"/>
    <s v="Liceth Yhomary Gonzalez Penagos"/>
    <x v="1"/>
    <s v="Riesgos"/>
    <s v="BBVA"/>
    <e v="#NAME?"/>
    <s v="SDATOOL-40658 $ GRM Col - Cronos Collections - Estrategia"/>
    <n v="0.5"/>
    <x v="1"/>
    <m/>
    <x v="1"/>
    <x v="0"/>
    <m/>
    <m/>
    <m/>
    <m/>
    <m/>
  </r>
  <r>
    <s v="O000100"/>
    <s v="Liceth Yhomary Gonzalez Penagos"/>
    <x v="1"/>
    <s v="Riesgos"/>
    <s v="BBVA"/>
    <e v="#NAME?"/>
    <s v="NOSDA- BAU $ BAU (Mantenimiento y peq. evolutivos)"/>
    <n v="0.2"/>
    <x v="1"/>
    <m/>
    <x v="1"/>
    <x v="0"/>
    <m/>
    <m/>
    <m/>
    <m/>
    <m/>
  </r>
  <r>
    <s v="T001910"/>
    <s v="LIDA VIVIANA PINEDA"/>
    <x v="2"/>
    <s v="Loans"/>
    <s v="Neoris"/>
    <e v="#NAME?"/>
    <s v="NOSDA- BAU $ BAU (Mantenimiento y peq. evolutivos)"/>
    <n v="1"/>
    <x v="1"/>
    <m/>
    <x v="0"/>
    <x v="0"/>
    <m/>
    <m/>
    <m/>
    <m/>
    <m/>
  </r>
  <r>
    <s v="T003366"/>
    <s v="LILIAN BEDUD RIOJAS GONZALEZ"/>
    <x v="2"/>
    <s v="Payments"/>
    <s v="Novatec"/>
    <e v="#NAME?"/>
    <s v="SDATOOL-41757 $ AJUSTE AUTOMATIZACION CONCILIACION ARA"/>
    <n v="0.1"/>
    <x v="3"/>
    <m/>
    <x v="0"/>
    <x v="0"/>
    <m/>
    <m/>
    <m/>
    <m/>
    <m/>
  </r>
  <r>
    <s v="T003366"/>
    <s v="LILIAN BEDUD RIOJAS GONZALEZ"/>
    <x v="2"/>
    <s v="Payments"/>
    <s v="Novatec"/>
    <e v="#NAME?"/>
    <s v="SDATOOL-40295 $ Tokenización COF"/>
    <n v="0.3"/>
    <x v="3"/>
    <m/>
    <x v="0"/>
    <x v="0"/>
    <m/>
    <m/>
    <m/>
    <m/>
    <m/>
  </r>
  <r>
    <s v="T003366"/>
    <s v="LILIAN BEDUD RIOJAS GONZALEZ"/>
    <x v="2"/>
    <s v="Payments"/>
    <s v="Novatec"/>
    <e v="#NAME?"/>
    <s v="SDATOOL-40442 $ M4M - Tokenización Mastercard"/>
    <n v="0.3"/>
    <x v="3"/>
    <m/>
    <x v="0"/>
    <x v="0"/>
    <m/>
    <m/>
    <m/>
    <m/>
    <m/>
  </r>
  <r>
    <s v="T003366"/>
    <s v="LILIAN BEDUD RIOJAS GONZALEZ"/>
    <x v="2"/>
    <s v="Payments"/>
    <s v="Novatec"/>
    <e v="#NAME?"/>
    <s v="SDATOOL-41726 $ EXTRACUPO TARJETA DE CREDITO"/>
    <n v="0.15"/>
    <x v="3"/>
    <m/>
    <x v="0"/>
    <x v="0"/>
    <m/>
    <m/>
    <m/>
    <m/>
    <m/>
  </r>
  <r>
    <s v="T003366"/>
    <s v="LILIAN BEDUD RIOJAS GONZALEZ"/>
    <x v="2"/>
    <s v="Payments"/>
    <s v="Novatec"/>
    <e v="#NAME?"/>
    <s v="SDATOOL-40613 $ Códigos MAC"/>
    <n v="0.15"/>
    <x v="3"/>
    <m/>
    <x v="0"/>
    <x v="0"/>
    <m/>
    <m/>
    <m/>
    <m/>
    <m/>
  </r>
  <r>
    <s v="CE51577"/>
    <s v="LINA JULIETH REDONDO SOLER"/>
    <x v="0"/>
    <s v="Soluciones financieras (Factoring)"/>
    <s v="Choucair"/>
    <e v="#NAME?"/>
    <s v="SDATOOL-36547 $ PLAN MAYOR -PLAN MENOR. Plan ascenso Open Market"/>
    <n v="1"/>
    <x v="0"/>
    <m/>
    <x v="0"/>
    <x v="0"/>
    <m/>
    <m/>
    <m/>
    <m/>
    <m/>
  </r>
  <r>
    <s v="CE69750"/>
    <s v="Lina Vanessa Rincón Prada"/>
    <x v="3"/>
    <s v="Open Market"/>
    <s v="Choucair"/>
    <e v="#NAME?"/>
    <s v="SDATOOL-36048 $ Repositorio flujos  ventas digitales flujos - Plan Ascenso Open Market"/>
    <n v="1"/>
    <x v="0"/>
    <m/>
    <x v="0"/>
    <x v="0"/>
    <m/>
    <m/>
    <m/>
    <m/>
    <m/>
  </r>
  <r>
    <s v="C811354"/>
    <s v="LIZET VANESSA VEGA BONILLA"/>
    <x v="2"/>
    <s v="Payments"/>
    <s v="BBVA"/>
    <e v="#NAME?"/>
    <s v="SDATOOL-38447 $ GRM Col - Condonación y bajas automáticas en Medios de Pago"/>
    <n v="0.2"/>
    <x v="1"/>
    <m/>
    <x v="1"/>
    <x v="0"/>
    <m/>
    <m/>
    <m/>
    <m/>
    <m/>
  </r>
  <r>
    <s v="C811354"/>
    <s v="LIZET VANESSA VEGA BONILLA"/>
    <x v="2"/>
    <s v="Payments"/>
    <s v="BBVA"/>
    <e v="#NAME?"/>
    <s v="SDATOOL-37753 $ Plan de transformación de operaciones 2022"/>
    <n v="0.2"/>
    <x v="1"/>
    <m/>
    <x v="1"/>
    <x v="0"/>
    <m/>
    <m/>
    <m/>
    <m/>
    <m/>
  </r>
  <r>
    <s v="C811354"/>
    <s v="LIZET VANESSA VEGA BONILLA"/>
    <x v="2"/>
    <s v="Payments"/>
    <s v="BBVA"/>
    <e v="#NAME?"/>
    <s v="SDATOOL-33846 $ SREP Data Quality- BCBS239 - Colombia"/>
    <n v="0.2"/>
    <x v="1"/>
    <m/>
    <x v="1"/>
    <x v="0"/>
    <m/>
    <m/>
    <m/>
    <m/>
    <m/>
  </r>
  <r>
    <s v="C811354"/>
    <s v="LIZET VANESSA VEGA BONILLA"/>
    <x v="2"/>
    <s v="Payments"/>
    <s v="BBVA"/>
    <e v="#NAME?"/>
    <s v="SDATOOL-40438 $ CIRCULAR 032 del 2021 - REQUERIMIENTO FISCALIA GENERAL DE LA NACION"/>
    <n v="0.2"/>
    <x v="1"/>
    <m/>
    <x v="1"/>
    <x v="0"/>
    <m/>
    <m/>
    <m/>
    <m/>
    <m/>
  </r>
  <r>
    <s v="C811354"/>
    <s v="LIZET VANESSA VEGA BONILLA"/>
    <x v="2"/>
    <s v="Payments"/>
    <s v="BBVA"/>
    <e v="#NAME?"/>
    <s v="NOSDA- BAU $ BAU (Mantenimiento y peq. evolutivos)"/>
    <n v="0.2"/>
    <x v="1"/>
    <m/>
    <x v="1"/>
    <x v="0"/>
    <m/>
    <m/>
    <m/>
    <m/>
    <m/>
  </r>
  <r>
    <s v="CE70711"/>
    <s v="LIZETH DAYANA RODRIGUEZ ACOSTA"/>
    <x v="2"/>
    <s v="Payments"/>
    <s v="Novatec"/>
    <e v="#NAME?"/>
    <s v="NOSDA- BAU $ BAU (Mantenimiento y peq. evolutivos)"/>
    <n v="1"/>
    <x v="1"/>
    <m/>
    <x v="0"/>
    <x v="0"/>
    <m/>
    <m/>
    <m/>
    <m/>
    <m/>
  </r>
  <r>
    <s v="CE69376"/>
    <s v="Lizeth Dueñas"/>
    <x v="4"/>
    <s v="Backoffice"/>
    <s v="Tecnoevolución"/>
    <e v="#NAME?"/>
    <s v="SDATOOL-35621 $ DOCUMENTO SOPORTE FASE II - DIALOGO"/>
    <n v="0.5"/>
    <x v="1"/>
    <m/>
    <x v="0"/>
    <x v="0"/>
    <m/>
    <m/>
    <m/>
    <m/>
    <m/>
  </r>
  <r>
    <s v="CE69376"/>
    <s v="Lizeth Dueñas"/>
    <x v="4"/>
    <s v="Backoffice"/>
    <s v="Tecnoevolución"/>
    <e v="#NAME?"/>
    <s v="SDATOOL-38642 $ CUPON INTERMEDIO"/>
    <n v="0.5"/>
    <x v="1"/>
    <m/>
    <x v="0"/>
    <x v="0"/>
    <m/>
    <m/>
    <m/>
    <m/>
    <m/>
  </r>
  <r>
    <s v="CE55477"/>
    <s v="LIZZETH PAOLA FORERO"/>
    <x v="0"/>
    <s v="Soluciones financieras (Factoring)"/>
    <s v="Choucair"/>
    <e v="#NAME?"/>
    <s v="NOSDA- BAU $ BAU (Mantenimiento y peq. evolutivos)"/>
    <n v="1"/>
    <x v="0"/>
    <m/>
    <x v="0"/>
    <x v="0"/>
    <m/>
    <m/>
    <m/>
    <m/>
    <m/>
  </r>
  <r>
    <s v="C811410"/>
    <s v="Llanes Polo Michael Cesar"/>
    <x v="1"/>
    <s v="Riesgos"/>
    <s v="BBVA"/>
    <e v="#NAME?"/>
    <s v="SDATOOL-28473 $ GRM Col - TMP Cobranzas - Módulo control acuerdos de pago"/>
    <n v="0.7"/>
    <x v="1"/>
    <m/>
    <x v="1"/>
    <x v="0"/>
    <m/>
    <m/>
    <m/>
    <m/>
    <m/>
  </r>
  <r>
    <s v="C811410"/>
    <s v="Llanes Polo Michael Cesar"/>
    <x v="1"/>
    <s v="Riesgos"/>
    <s v="BBVA"/>
    <e v="#NAME?"/>
    <s v="NOSDA- BAU $ BAU (Mantenimiento y peq. evolutivos)"/>
    <n v="0.3"/>
    <x v="1"/>
    <m/>
    <x v="1"/>
    <x v="0"/>
    <m/>
    <m/>
    <m/>
    <m/>
    <m/>
  </r>
  <r>
    <s v="C782660"/>
    <s v="LUBDIVIA BARBOSA CASTILLO"/>
    <x v="2"/>
    <s v="Payments"/>
    <s v="BBVA"/>
    <e v="#NAME?"/>
    <s v="NOSDA- BAU $ BAU (Mantenimiento y peq. evolutivos)"/>
    <n v="1"/>
    <x v="3"/>
    <s v="INCAPACIDAD"/>
    <x v="1"/>
    <x v="0"/>
    <m/>
    <m/>
    <m/>
    <m/>
    <m/>
  </r>
  <r>
    <s v="C805983"/>
    <s v="Luber Fandiño Chito"/>
    <x v="3"/>
    <s v="Móvil"/>
    <s v="BBVA"/>
    <e v="#NAME?"/>
    <s v="NOSDA- BAU $ BAU (Mantenimiento y peq. evolutivos)"/>
    <n v="1"/>
    <x v="1"/>
    <m/>
    <x v="1"/>
    <x v="0"/>
    <m/>
    <m/>
    <m/>
    <m/>
    <m/>
  </r>
  <r>
    <s v="CE57264"/>
    <s v="LUCIO RAMIRO TAPIA VARGAS"/>
    <x v="4"/>
    <s v="Global Market &amp; Comex"/>
    <s v="Novatec"/>
    <e v="#NAME?"/>
    <s v="SDATOOL-40269 $ Actualización y transmisión Declaraciones de Cambio – Banco de la República Abril 2022."/>
    <n v="1"/>
    <x v="1"/>
    <m/>
    <x v="0"/>
    <x v="0"/>
    <m/>
    <m/>
    <m/>
    <m/>
    <m/>
  </r>
  <r>
    <s v="CE62380"/>
    <s v="LUIGUI SANTIAGO FAJARDO TOLOZA"/>
    <x v="1"/>
    <s v="Finanzas"/>
    <s v="ADENZA"/>
    <e v="#NAME?"/>
    <s v="SDATOOL-37411 $ Infraestructura reportes regulatorios"/>
    <n v="1"/>
    <x v="1"/>
    <m/>
    <x v="0"/>
    <x v="0"/>
    <m/>
    <m/>
    <m/>
    <m/>
    <m/>
  </r>
  <r>
    <s v="CE70161"/>
    <s v="Luis Alberto Caldera Chavez"/>
    <x v="1"/>
    <s v="Finanzas"/>
    <s v="GGI / CMC"/>
    <e v="#NAME?"/>
    <s v="SDATOOL-36929 $ Ciclo 1 - Resolución 098 de 2020 DIAN - Reportes de Información Exogena"/>
    <n v="1"/>
    <x v="1"/>
    <m/>
    <x v="0"/>
    <x v="0"/>
    <m/>
    <m/>
    <m/>
    <m/>
    <m/>
  </r>
  <r>
    <m/>
    <s v="LUIS ALEJANDRO BURGOS"/>
    <x v="0"/>
    <s v="Gema"/>
    <s v="Indra"/>
    <e v="#NAME?"/>
    <s v="SDATOOL-32905 $ Global Enterprises Mobile App (GEMA)"/>
    <n v="1"/>
    <x v="1"/>
    <m/>
    <x v="0"/>
    <x v="0"/>
    <m/>
    <m/>
    <m/>
    <m/>
    <m/>
  </r>
  <r>
    <s v="CE57066"/>
    <s v="LUIS EDIER BERMUDEZ RIOS"/>
    <x v="3"/>
    <s v="CRM"/>
    <s v="Neoris"/>
    <e v="#NAME?"/>
    <s v="SDATOOL-40672 $ Plan CRM: Mejoras AUG (Banca Comercial y CSF) Equipo A"/>
    <n v="1"/>
    <x v="1"/>
    <m/>
    <x v="0"/>
    <x v="0"/>
    <m/>
    <m/>
    <m/>
    <m/>
    <m/>
  </r>
  <r>
    <s v="T004934"/>
    <s v="Luis Eduardo Fonseca Fajardo"/>
    <x v="3"/>
    <s v="Open Market"/>
    <s v="Choucair"/>
    <e v="#NAME?"/>
    <s v="SDATOOL-39348 $ tarjeta de crédito Open Market Fallback product"/>
    <n v="1"/>
    <x v="0"/>
    <m/>
    <x v="0"/>
    <x v="0"/>
    <m/>
    <m/>
    <m/>
    <m/>
    <m/>
  </r>
  <r>
    <s v="CE69109"/>
    <s v="Luis Felipe González"/>
    <x v="3"/>
    <s v="Net"/>
    <s v="GGI / CMC"/>
    <e v="#NAME?"/>
    <s v="NOSDA- BAU $ BAU (Mantenimiento y peq. evolutivos)"/>
    <n v="1"/>
    <x v="1"/>
    <m/>
    <x v="0"/>
    <x v="0"/>
    <m/>
    <m/>
    <m/>
    <m/>
    <m/>
  </r>
  <r>
    <s v="C811207"/>
    <s v="LUIS FERNANDO GUTIERREZ PRADO"/>
    <x v="0"/>
    <s v="Transaccionalidad"/>
    <s v="BBVA"/>
    <e v="#NAME?"/>
    <s v="SDATOOL-37129 $ Conciliación Recaudo PSE"/>
    <n v="1"/>
    <x v="1"/>
    <m/>
    <x v="1"/>
    <x v="0"/>
    <m/>
    <m/>
    <m/>
    <m/>
    <m/>
  </r>
  <r>
    <s v="CE29535"/>
    <s v="LUIS FERNANDO PEÑA CAICEDO"/>
    <x v="0"/>
    <s v="Gema"/>
    <s v="Inetum"/>
    <e v="#NAME?"/>
    <s v="SDATOOL-39354 $ My business Open Pay - Plan Ascenso Mercurio"/>
    <n v="1"/>
    <x v="1"/>
    <m/>
    <x v="0"/>
    <x v="0"/>
    <m/>
    <m/>
    <m/>
    <m/>
    <m/>
  </r>
  <r>
    <s v="CE17711"/>
    <s v="LUIS FERNANDO RODRIGUEZ MEDINA"/>
    <x v="2"/>
    <s v="Accounts"/>
    <s v="KRYPTO"/>
    <e v="#NAME?"/>
    <s v="NOSDA- BAU $ BAU (Mantenimiento y peq. evolutivos)"/>
    <n v="0.5"/>
    <x v="0"/>
    <s v="Tester/Planificador"/>
    <x v="0"/>
    <x v="0"/>
    <m/>
    <m/>
    <m/>
    <m/>
    <m/>
  </r>
  <r>
    <s v="CE17711"/>
    <s v="LUIS FERNANDO RODRIGUEZ MEDINA"/>
    <x v="2"/>
    <s v="Accounts"/>
    <s v="KRYPTO"/>
    <e v="#NAME?"/>
    <s v="SDATOOL-39457 $ Generación MT940 Fines de Semana y Festivos"/>
    <n v="0.5"/>
    <x v="0"/>
    <s v="Tester/Planificador"/>
    <x v="0"/>
    <x v="0"/>
    <m/>
    <m/>
    <m/>
    <m/>
    <m/>
  </r>
  <r>
    <s v="C811322"/>
    <s v="LUIS FERNANDO SABROSO"/>
    <x v="2"/>
    <s v="Payments"/>
    <s v="BBVA"/>
    <e v="#NAME?"/>
    <s v="SDATOOL-36556 $ Parthnerships - Tarjeta de crédito en punto de venta físico  aliados"/>
    <n v="1"/>
    <x v="1"/>
    <m/>
    <x v="1"/>
    <x v="0"/>
    <m/>
    <m/>
    <m/>
    <m/>
    <m/>
  </r>
  <r>
    <s v="CE66135"/>
    <s v="LUIS FERNANDO TORRES AVENDAÑO"/>
    <x v="2"/>
    <s v="Payments"/>
    <s v="Inetum"/>
    <e v="#NAME?"/>
    <s v="SDATOOL-36556 $ Parthnerships - Tarjeta de crédito en punto de venta físico  aliados"/>
    <n v="1"/>
    <x v="1"/>
    <m/>
    <x v="0"/>
    <x v="0"/>
    <m/>
    <m/>
    <m/>
    <m/>
    <m/>
  </r>
  <r>
    <s v="CE64877"/>
    <s v="Luis Guillermo Sanchez"/>
    <x v="4"/>
    <s v="Backoffice"/>
    <s v="Tecnoevolución"/>
    <e v="#NAME?"/>
    <s v="SDATOOL-38642 $ CUPON INTERMEDIO"/>
    <n v="0.1"/>
    <x v="1"/>
    <m/>
    <x v="0"/>
    <x v="0"/>
    <m/>
    <m/>
    <m/>
    <m/>
    <m/>
  </r>
  <r>
    <s v="C342048"/>
    <s v="LUIS JAVIER RIVERA MORENO"/>
    <x v="2"/>
    <s v="Loans"/>
    <s v="BBVA"/>
    <e v="#NAME?"/>
    <s v="SDATOOL-40435 $ Cuota Segura créditos de libranza"/>
    <n v="0.75"/>
    <x v="1"/>
    <m/>
    <x v="1"/>
    <x v="0"/>
    <m/>
    <m/>
    <m/>
    <m/>
    <m/>
  </r>
  <r>
    <s v="C342048"/>
    <s v="LUIS JAVIER RIVERA MORENO"/>
    <x v="2"/>
    <s v="Loans"/>
    <s v="BBVA"/>
    <e v="#NAME?"/>
    <s v="SDATOOL-39358 $ Crédito Virtual"/>
    <n v="0.25"/>
    <x v="1"/>
    <m/>
    <x v="1"/>
    <x v="0"/>
    <m/>
    <m/>
    <m/>
    <m/>
    <m/>
  </r>
  <r>
    <s v="C808648"/>
    <s v="LUIS JAVIER SANDON"/>
    <x v="2"/>
    <s v="Loans"/>
    <s v="BBVA"/>
    <e v="#NAME?"/>
    <s v="SDATOOL-40466 $ Garantía FAG"/>
    <n v="0.7"/>
    <x v="1"/>
    <m/>
    <x v="1"/>
    <x v="0"/>
    <m/>
    <m/>
    <m/>
    <m/>
    <m/>
  </r>
  <r>
    <s v="C808648"/>
    <s v="LUIS JAVIER SANDON"/>
    <x v="2"/>
    <s v="Loans"/>
    <s v="BBVA"/>
    <e v="#NAME?"/>
    <s v="NOSDA- BAU $ BAU (Mantenimiento y peq. evolutivos)"/>
    <n v="0.3"/>
    <x v="1"/>
    <m/>
    <x v="1"/>
    <x v="0"/>
    <m/>
    <m/>
    <m/>
    <m/>
    <m/>
  </r>
  <r>
    <s v="T003696"/>
    <s v="LUIS LOZANO"/>
    <x v="4"/>
    <s v="Global Market &amp; Comex"/>
    <s v="Accenture"/>
    <e v="#NAME?"/>
    <s v="SDATOOL-38735 $ Dynamic Pricing"/>
    <n v="7.0000000000000007E-2"/>
    <x v="1"/>
    <m/>
    <x v="0"/>
    <x v="0"/>
    <m/>
    <m/>
    <m/>
    <m/>
    <m/>
  </r>
  <r>
    <s v="C801829"/>
    <s v="LUISA FERNANDA CASTRILLON"/>
    <x v="0"/>
    <s v="Transaccionalidad"/>
    <s v="BBVA"/>
    <e v="#NAME?"/>
    <s v="SDATOOL-38427 $ Servicios transaccionales 2022"/>
    <n v="0.25"/>
    <x v="2"/>
    <m/>
    <x v="1"/>
    <x v="0"/>
    <m/>
    <m/>
    <m/>
    <m/>
    <m/>
  </r>
  <r>
    <s v="C801829"/>
    <s v="LUISA FERNANDA CASTRILLON"/>
    <x v="0"/>
    <s v="Transaccionalidad"/>
    <s v="BBVA"/>
    <e v="#NAME?"/>
    <s v="SDATOOL-41980 $ Modelo API´S Recaudo (CB´s)"/>
    <n v="0.25"/>
    <x v="1"/>
    <m/>
    <x v="1"/>
    <x v="0"/>
    <m/>
    <m/>
    <m/>
    <m/>
    <m/>
  </r>
  <r>
    <s v="C801829"/>
    <s v="LUISA FERNANDA CASTRILLON"/>
    <x v="0"/>
    <s v="Transaccionalidad"/>
    <s v="BBVA"/>
    <e v="#NAME?"/>
    <s v="SDATOOL-42040 $ In House Bavaria"/>
    <n v="0.25"/>
    <x v="1"/>
    <m/>
    <x v="1"/>
    <x v="0"/>
    <m/>
    <m/>
    <m/>
    <m/>
    <m/>
  </r>
  <r>
    <s v="C801829"/>
    <s v="LUISA FERNANDA CASTRILLON"/>
    <x v="0"/>
    <s v="Transaccionalidad"/>
    <s v="BBVA"/>
    <e v="#NAME?"/>
    <s v="SDATOOL-42044 $ In House Sierracol"/>
    <n v="0.25"/>
    <x v="1"/>
    <m/>
    <x v="1"/>
    <x v="0"/>
    <m/>
    <m/>
    <m/>
    <m/>
    <m/>
  </r>
  <r>
    <s v="CE17709"/>
    <s v="LUZ  STELLA MARTINEZ"/>
    <x v="3"/>
    <s v="Net"/>
    <s v="KRYPTO"/>
    <e v="#NAME?"/>
    <s v="SDATOOL-38527 $ Pagaré Electrónico en flujos de Contratación digital"/>
    <n v="1"/>
    <x v="0"/>
    <m/>
    <x v="0"/>
    <x v="0"/>
    <m/>
    <m/>
    <m/>
    <m/>
    <m/>
  </r>
  <r>
    <s v="T003502"/>
    <s v="LUZ ANGELA BATTE NOVOA"/>
    <x v="2"/>
    <s v="Accounts"/>
    <s v="KRYPTO"/>
    <e v="#NAME?"/>
    <s v="NOSDA- BAU $ BAU (Mantenimiento y peq. evolutivos)"/>
    <n v="0.5"/>
    <x v="0"/>
    <s v="Tester"/>
    <x v="0"/>
    <x v="0"/>
    <m/>
    <m/>
    <m/>
    <m/>
    <m/>
  </r>
  <r>
    <s v="T003502"/>
    <s v="LUZ ANGELA BATTE NOVOA"/>
    <x v="2"/>
    <s v="Accounts"/>
    <s v="KRYPTO"/>
    <e v="#NAME?"/>
    <s v="SDATOOL-37753 $ Plan de transformación de operaciones 2022"/>
    <n v="0.5"/>
    <x v="0"/>
    <s v="Tester"/>
    <x v="0"/>
    <x v="0"/>
    <m/>
    <m/>
    <m/>
    <m/>
    <m/>
  </r>
  <r>
    <s v="CE70114"/>
    <s v="Luz Carola Giraldo García"/>
    <x v="3"/>
    <s v="Open Market"/>
    <s v="GGI / CMC"/>
    <e v="#NAME?"/>
    <s v="SDATOOL-39197 $ Tealeaf SaaS"/>
    <n v="1"/>
    <x v="0"/>
    <m/>
    <x v="0"/>
    <x v="0"/>
    <m/>
    <m/>
    <m/>
    <m/>
    <m/>
  </r>
  <r>
    <s v="CE69112"/>
    <s v="LUZ DARY PATINO PINTOR "/>
    <x v="0"/>
    <s v="Soluciones financieras (Leasing)"/>
    <s v="Choucair"/>
    <e v="#NAME?"/>
    <s v="SDATOOL-36358 $ Pagos por Terceros (Mandato y/o Administración) - Información exógena DIAN - Resolución 0098 DIAN"/>
    <n v="1"/>
    <x v="0"/>
    <m/>
    <x v="0"/>
    <x v="0"/>
    <m/>
    <m/>
    <m/>
    <m/>
    <m/>
  </r>
  <r>
    <s v="CE43328"/>
    <s v="LUZ ENEY ACEVEDO MATEUS"/>
    <x v="2"/>
    <s v="Payments"/>
    <s v="Novatec"/>
    <e v="#NAME?"/>
    <s v="NOSDA- BAU $ BAU (Mantenimiento y peq. evolutivos)"/>
    <n v="1"/>
    <x v="1"/>
    <m/>
    <x v="0"/>
    <x v="0"/>
    <m/>
    <m/>
    <m/>
    <m/>
    <m/>
  </r>
  <r>
    <s v="C343564"/>
    <s v="LUZ ESTELLA ORTEGA"/>
    <x v="2"/>
    <s v="Loans"/>
    <s v="BBVA"/>
    <e v="#NAME?"/>
    <s v="SDATOOL-34157 $ Evolutivo Parthnership - Crédito en punto de venta de Aliados"/>
    <n v="0.1"/>
    <x v="1"/>
    <m/>
    <x v="1"/>
    <x v="0"/>
    <m/>
    <m/>
    <m/>
    <m/>
    <m/>
  </r>
  <r>
    <s v="C343564"/>
    <s v="LUZ ESTELLA ORTEGA"/>
    <x v="2"/>
    <s v="Loans"/>
    <s v="BBVA"/>
    <e v="#NAME?"/>
    <s v="SDATOOL-34157 $ Evolutivo Parthnership - Crédito en punto de venta de Aliados"/>
    <n v="0.1"/>
    <x v="1"/>
    <m/>
    <x v="1"/>
    <x v="0"/>
    <m/>
    <m/>
    <m/>
    <m/>
    <m/>
  </r>
  <r>
    <s v="C343564"/>
    <s v="LUZ ESTELLA ORTEGA"/>
    <x v="2"/>
    <s v="Loans"/>
    <s v="BBVA"/>
    <e v="#NAME?"/>
    <s v="SDATOOL-40062 $ Implementación FGA en flujos de contratación digital"/>
    <n v="0.8"/>
    <x v="1"/>
    <m/>
    <x v="1"/>
    <x v="0"/>
    <m/>
    <m/>
    <m/>
    <m/>
    <m/>
  </r>
  <r>
    <s v="C805926"/>
    <s v="MAICOL STIVEN PEREZ"/>
    <x v="2"/>
    <s v="Loans"/>
    <s v="BBVA"/>
    <e v="#NAME?"/>
    <s v="SDATOOL-39836 $ Vivienda digital fase III"/>
    <n v="1"/>
    <x v="1"/>
    <m/>
    <x v="1"/>
    <x v="0"/>
    <m/>
    <m/>
    <m/>
    <m/>
    <m/>
  </r>
  <r>
    <s v="C804828"/>
    <s v="MAIRA ALEJANDRA GUERRERO CAMARGO"/>
    <x v="2"/>
    <s v="Loans"/>
    <s v="BBVA"/>
    <e v="#NAME?"/>
    <s v="SDATOOL-37483 $ Aplicativos Finanzas - 2022"/>
    <n v="0.5"/>
    <x v="1"/>
    <m/>
    <x v="1"/>
    <x v="0"/>
    <m/>
    <m/>
    <m/>
    <m/>
    <m/>
  </r>
  <r>
    <s v="C804828"/>
    <s v="MAIRA ALEJANDRA GUERRERO CAMARGO"/>
    <x v="2"/>
    <s v="Loans"/>
    <s v="BBVA"/>
    <e v="#NAME?"/>
    <s v="SDATOOL-33846 $ SREP Data Quality- BCBS239 - Colombia"/>
    <n v="0.5"/>
    <x v="1"/>
    <m/>
    <x v="1"/>
    <x v="0"/>
    <m/>
    <m/>
    <m/>
    <m/>
    <m/>
  </r>
  <r>
    <s v="C804103"/>
    <s v="MAIRON STIVENS JIMENEZ QUIROGA"/>
    <x v="0"/>
    <s v="Soluciones financieras (Factoring)"/>
    <s v="BBVA"/>
    <e v="#NAME?"/>
    <s v="SDATOOL-37125 $ Factoring - IBR"/>
    <n v="0.75"/>
    <x v="1"/>
    <m/>
    <x v="1"/>
    <x v="0"/>
    <m/>
    <m/>
    <m/>
    <m/>
    <m/>
  </r>
  <r>
    <s v="C804103"/>
    <s v="MAIRON STIVENS JIMENEZ QUIROGA"/>
    <x v="0"/>
    <s v="Soluciones financieras (Factoring)"/>
    <s v="BBVA"/>
    <e v="#NAME?"/>
    <s v="SDATOOL-42106 $ Emisión Certificados Tributarios a  proveedores en  Operaciones Sin Recurso (Proyecto Normativo)"/>
    <n v="0.25"/>
    <x v="1"/>
    <m/>
    <x v="1"/>
    <x v="0"/>
    <m/>
    <m/>
    <m/>
    <m/>
    <m/>
  </r>
  <r>
    <s v="T004335"/>
    <s v="MANCIPE JUAN DAVID"/>
    <x v="0"/>
    <s v="Netcash"/>
    <s v="GGI / CMC"/>
    <e v="#NAME?"/>
    <s v="SDATOOL-40555 $ ADELANTO DE VENTA EN GEMA"/>
    <n v="1"/>
    <x v="1"/>
    <m/>
    <x v="0"/>
    <x v="0"/>
    <m/>
    <m/>
    <m/>
    <m/>
    <m/>
  </r>
  <r>
    <s v="CE68849"/>
    <s v="Manuel Alberto Gil Isaziga"/>
    <x v="3"/>
    <s v="Móvil"/>
    <s v="Neoris"/>
    <e v="#NAME?"/>
    <s v="SDATOOL-9053 $ GloMo Colombia"/>
    <n v="1"/>
    <x v="1"/>
    <m/>
    <x v="0"/>
    <x v="0"/>
    <m/>
    <m/>
    <m/>
    <m/>
    <m/>
  </r>
  <r>
    <s v="CE68693"/>
    <s v="MANUEL ALEJANDRO MARENCO (Torre)"/>
    <x v="0"/>
    <s v="Transaccionalidad"/>
    <s v="Novatec"/>
    <e v="#NAME?"/>
    <s v="NOSDA- BAU $ BAU (Mantenimiento y peq. evolutivos)"/>
    <n v="1"/>
    <x v="1"/>
    <s v="Recaudos"/>
    <x v="0"/>
    <x v="0"/>
    <m/>
    <m/>
    <m/>
    <m/>
    <m/>
  </r>
  <r>
    <s v="CE70000"/>
    <s v="Manuel Augusto Vilchez Maticorena"/>
    <x v="3"/>
    <s v="Open Market"/>
    <s v="Globant"/>
    <e v="#NAME?"/>
    <s v="SDATOOL-38419 $ Contratación cuenta en línea en Glomo"/>
    <n v="1"/>
    <x v="1"/>
    <m/>
    <x v="0"/>
    <x v="0"/>
    <m/>
    <m/>
    <m/>
    <m/>
    <m/>
  </r>
  <r>
    <s v="T002449"/>
    <s v="Manuel Camilo Sanchez Sevilla"/>
    <x v="1"/>
    <s v="T&amp;C"/>
    <s v="Novatec"/>
    <e v="#NAME?"/>
    <s v="SDATOOL-28728 $ Contratación electrónica/digital de empleados y Carpeta Virtual 2.0"/>
    <n v="1"/>
    <x v="1"/>
    <m/>
    <x v="0"/>
    <x v="0"/>
    <m/>
    <m/>
    <m/>
    <m/>
    <m/>
  </r>
  <r>
    <s v="O001973"/>
    <s v="MANUEL ESTEBAN MORENO"/>
    <x v="0"/>
    <s v="Soluciones financieras (Factoring)"/>
    <s v="BBVA"/>
    <e v="#NAME?"/>
    <s v="NOSDA- BAU $ BAU (Mantenimiento y peq. evolutivos)"/>
    <n v="1"/>
    <x v="1"/>
    <m/>
    <x v="1"/>
    <x v="0"/>
    <m/>
    <m/>
    <m/>
    <m/>
    <m/>
  </r>
  <r>
    <s v="O002730"/>
    <s v="MARCELA LASSO"/>
    <x v="3"/>
    <s v="Móvil"/>
    <s v="BBVA"/>
    <e v="#NAME?"/>
    <s v="SDATOOL-9053 $ GloMo Colombia"/>
    <n v="1"/>
    <x v="0"/>
    <m/>
    <x v="1"/>
    <x v="0"/>
    <m/>
    <m/>
    <m/>
    <m/>
    <m/>
  </r>
  <r>
    <s v="O002998"/>
    <s v="Marco Fabian Zabala Villanueva"/>
    <x v="1"/>
    <s v="Riesgos"/>
    <s v="BBVA"/>
    <e v="#NAME?"/>
    <s v="NOSDA- BAU $ BAU (Mantenimiento y peq. evolutivos)"/>
    <n v="1"/>
    <x v="1"/>
    <m/>
    <x v="1"/>
    <x v="0"/>
    <m/>
    <m/>
    <m/>
    <m/>
    <m/>
  </r>
  <r>
    <s v="C783731"/>
    <s v="MARCO JULIO GOMEZ AMADO"/>
    <x v="0"/>
    <s v="Gema"/>
    <s v="BBVA"/>
    <e v="#NAME?"/>
    <s v="SDATOOL-32905 $ Global Enterprises Mobile App (GEMA)"/>
    <n v="0.75"/>
    <x v="2"/>
    <m/>
    <x v="1"/>
    <x v="0"/>
    <m/>
    <m/>
    <m/>
    <m/>
    <m/>
  </r>
  <r>
    <s v="C783731"/>
    <s v="MARCO JULIO GOMEZ AMADO"/>
    <x v="0"/>
    <s v="Gema"/>
    <s v="BBVA"/>
    <e v="#NAME?"/>
    <s v="SDATOOL-41750 $ Single APP"/>
    <n v="0.25"/>
    <x v="2"/>
    <m/>
    <x v="1"/>
    <x v="0"/>
    <m/>
    <m/>
    <m/>
    <m/>
    <m/>
  </r>
  <r>
    <s v="C810755"/>
    <s v="María Alejandra Varón"/>
    <x v="3"/>
    <s v="Net"/>
    <s v="BBVA"/>
    <e v="#NAME?"/>
    <s v="SDATOOL-39246 $ Nuevo tipo de identificación para extranjeros"/>
    <n v="1"/>
    <x v="1"/>
    <m/>
    <x v="1"/>
    <x v="0"/>
    <m/>
    <m/>
    <m/>
    <m/>
    <m/>
  </r>
  <r>
    <s v="C808303"/>
    <s v="MARIA CAMILA BUITRAGO"/>
    <x v="3"/>
    <s v="Canales asistidos CB"/>
    <s v="BBVA"/>
    <e v="#NAME?"/>
    <s v="NOSDA- BAU $ BAU (Mantenimiento y peq. evolutivos)"/>
    <n v="0.1"/>
    <x v="2"/>
    <m/>
    <x v="1"/>
    <x v="0"/>
    <m/>
    <m/>
    <m/>
    <m/>
    <m/>
  </r>
  <r>
    <s v="C808303"/>
    <s v="MARIA CAMILA BUITRAGO"/>
    <x v="3"/>
    <s v="Canales asistidos CB"/>
    <s v="BBVA"/>
    <e v="#NAME?"/>
    <s v="SDATOOL-33947 $ Sinergias Bancamia"/>
    <n v="0.1"/>
    <x v="2"/>
    <m/>
    <x v="1"/>
    <x v="0"/>
    <m/>
    <m/>
    <m/>
    <m/>
    <m/>
  </r>
  <r>
    <s v="C808303"/>
    <s v="MARIA CAMILA BUITRAGO"/>
    <x v="3"/>
    <s v="Canales asistidos CB"/>
    <s v="BBVA"/>
    <e v="#NAME?"/>
    <s v="SDATOOL-38729 $ Mi CB Liviano 2022"/>
    <n v="0.1"/>
    <x v="2"/>
    <m/>
    <x v="1"/>
    <x v="0"/>
    <m/>
    <m/>
    <m/>
    <m/>
    <m/>
  </r>
  <r>
    <s v="C808303"/>
    <s v="MARIA CAMILA BUITRAGO"/>
    <x v="3"/>
    <s v="Canales asistidos CB"/>
    <s v="BBVA"/>
    <e v="#NAME?"/>
    <s v="SDATOOL-39871 $ Cbs Gelsa Paga todo"/>
    <n v="0.1"/>
    <x v="2"/>
    <m/>
    <x v="1"/>
    <x v="0"/>
    <m/>
    <m/>
    <m/>
    <m/>
    <m/>
  </r>
  <r>
    <s v="C808303"/>
    <s v="MARIA CAMILA BUITRAGO"/>
    <x v="3"/>
    <s v="Canales asistidos CB"/>
    <s v="BBVA"/>
    <e v="#NAME?"/>
    <s v="SDATOOL-40506 $ Disponibilidad de canales físicos en móvil y página blanca"/>
    <n v="0.1"/>
    <x v="2"/>
    <m/>
    <x v="1"/>
    <x v="0"/>
    <m/>
    <m/>
    <m/>
    <m/>
    <m/>
  </r>
  <r>
    <s v="C808303"/>
    <s v="MARIA CAMILA BUITRAGO"/>
    <x v="3"/>
    <s v="Canales asistidos CB"/>
    <s v="BBVA"/>
    <e v="#NAME?"/>
    <s v="SDATOOL-40581 $ Corresponsal Bancario Ya Ganaste"/>
    <n v="0.1"/>
    <x v="2"/>
    <m/>
    <x v="1"/>
    <x v="0"/>
    <m/>
    <m/>
    <m/>
    <m/>
    <m/>
  </r>
  <r>
    <s v="C808303"/>
    <s v="MARIA CAMILA BUITRAGO"/>
    <x v="3"/>
    <s v="Canales asistidos CB"/>
    <s v="BBVA"/>
    <e v="#NAME?"/>
    <s v="SDATOOL-41709 $ Fraccionamiento de transacciones en CBs"/>
    <n v="0.1"/>
    <x v="2"/>
    <m/>
    <x v="1"/>
    <x v="0"/>
    <m/>
    <m/>
    <m/>
    <m/>
    <m/>
  </r>
  <r>
    <s v="C808303"/>
    <s v="MARIA CAMILA BUITRAGO"/>
    <x v="3"/>
    <s v="Canales asistidos RPA"/>
    <s v="BBVA"/>
    <e v="#NAME?"/>
    <s v="NOSDA- BAU $ BAU (Mantenimiento y peq. evolutivos)"/>
    <n v="0.1"/>
    <x v="2"/>
    <m/>
    <x v="1"/>
    <x v="0"/>
    <m/>
    <m/>
    <m/>
    <m/>
    <m/>
  </r>
  <r>
    <s v="C808303"/>
    <s v="MARIA CAMILA BUITRAGO"/>
    <x v="3"/>
    <s v="Canales asistidos RPA"/>
    <s v="BBVA"/>
    <e v="#NAME?"/>
    <s v="SDATOOL-37750 $ Robotics 2022"/>
    <n v="0.1"/>
    <x v="2"/>
    <m/>
    <x v="1"/>
    <x v="0"/>
    <m/>
    <m/>
    <m/>
    <m/>
    <m/>
  </r>
  <r>
    <s v="C808303"/>
    <s v="MARIA CAMILA BUITRAGO"/>
    <x v="3"/>
    <s v="Canales asistidos RPA"/>
    <s v="BBVA"/>
    <e v="#NAME?"/>
    <s v="SDATOOL-40529 $ Aplicativos Finanzas - 2023"/>
    <n v="0.1"/>
    <x v="2"/>
    <m/>
    <x v="1"/>
    <x v="0"/>
    <m/>
    <m/>
    <m/>
    <m/>
    <m/>
  </r>
  <r>
    <s v="T004935"/>
    <s v="Maria Camila Molina Alba"/>
    <x v="3"/>
    <s v="Net"/>
    <s v="Choucair"/>
    <e v="#NAME?"/>
    <s v="SDATOOL-36558 $ Transfiya:Transferencias interbancarias inmediatas - Plan Ascenso Privado"/>
    <n v="1"/>
    <x v="0"/>
    <m/>
    <x v="0"/>
    <x v="0"/>
    <m/>
    <m/>
    <m/>
    <m/>
    <m/>
  </r>
  <r>
    <s v="CE61656"/>
    <s v="MARIA DEL PILAR GARCIA  GONZALES"/>
    <x v="2"/>
    <s v="Accounts"/>
    <s v="KRYPTO"/>
    <e v="#NAME?"/>
    <s v="NOSDA- BAU $ BAU (Mantenimiento y peq. evolutivos)"/>
    <n v="1"/>
    <x v="0"/>
    <s v="Vacaciones /Tester"/>
    <x v="0"/>
    <x v="0"/>
    <m/>
    <m/>
    <m/>
    <m/>
    <m/>
  </r>
  <r>
    <s v="O000197"/>
    <s v="MARIA ESTELA SUAREZ"/>
    <x v="2"/>
    <s v="Loans"/>
    <s v="BBVA"/>
    <e v="#NAME?"/>
    <s v="SDATOOL-34887 $ Vivienda Digital Open Market"/>
    <n v="0.1"/>
    <x v="0"/>
    <m/>
    <x v="1"/>
    <x v="0"/>
    <m/>
    <m/>
    <m/>
    <m/>
    <m/>
  </r>
  <r>
    <s v="O000197"/>
    <s v="MARIA ESTELA SUAREZ"/>
    <x v="2"/>
    <s v="Loans"/>
    <s v="BBVA"/>
    <e v="#NAME?"/>
    <s v="SDATOOL-39836 $ Vivienda digital fase III"/>
    <n v="0.3"/>
    <x v="2"/>
    <m/>
    <x v="1"/>
    <x v="0"/>
    <m/>
    <m/>
    <m/>
    <m/>
    <m/>
  </r>
  <r>
    <s v="O000197"/>
    <s v="MARIA ESTELA SUAREZ"/>
    <x v="2"/>
    <s v="Loans"/>
    <s v="BBVA"/>
    <e v="#NAME?"/>
    <s v="SDATOOL-39272 $ GRM-Col-Cambio servicio APL (Aportes en línea)"/>
    <n v="0.1"/>
    <x v="2"/>
    <m/>
    <x v="1"/>
    <x v="0"/>
    <m/>
    <m/>
    <m/>
    <m/>
    <m/>
  </r>
  <r>
    <s v="O000197"/>
    <s v="MARIA ESTELA SUAREZ"/>
    <x v="2"/>
    <s v="Loans"/>
    <s v="BBVA"/>
    <e v="#NAME?"/>
    <s v="SDATOOL-37136 $ Conexión simulador vía API Vehículo digital"/>
    <n v="0.05"/>
    <x v="2"/>
    <m/>
    <x v="1"/>
    <x v="0"/>
    <m/>
    <m/>
    <m/>
    <m/>
    <m/>
  </r>
  <r>
    <s v="O000197"/>
    <s v="MARIA ESTELA SUAREZ"/>
    <x v="2"/>
    <s v="Loans"/>
    <s v="BBVA"/>
    <e v="#NAME?"/>
    <s v="SDATOOL-41752 $ Consumo Openmk con Biometría Obligatoria por Nácar para desembolsar"/>
    <n v="0.05"/>
    <x v="2"/>
    <m/>
    <x v="1"/>
    <x v="0"/>
    <m/>
    <m/>
    <m/>
    <m/>
    <m/>
  </r>
  <r>
    <s v="O000197"/>
    <s v="MARIA ESTELA SUAREZ"/>
    <x v="2"/>
    <s v="Loans"/>
    <s v="BBVA"/>
    <e v="#NAME?"/>
    <s v="SDATOOL-36548 $ Optimización consumo web - Plan ascenso Open Market"/>
    <n v="0.3"/>
    <x v="2"/>
    <m/>
    <x v="1"/>
    <x v="0"/>
    <m/>
    <m/>
    <m/>
    <m/>
    <m/>
  </r>
  <r>
    <s v="O000197"/>
    <s v="MARIA ESTELA SUAREZ"/>
    <x v="2"/>
    <s v="Loans"/>
    <s v="BBVA"/>
    <e v="#NAME?"/>
    <s v="NOSDA- BAU $ BAU (Mantenimiento y peq. evolutivos)"/>
    <n v="0.1"/>
    <x v="2"/>
    <m/>
    <x v="1"/>
    <x v="0"/>
    <m/>
    <m/>
    <m/>
    <m/>
    <m/>
  </r>
  <r>
    <s v="C808232"/>
    <s v="MARIA FERNANDA RUSSI"/>
    <x v="2"/>
    <s v="Payments"/>
    <s v="BBVA"/>
    <e v="#NAME?"/>
    <s v="NOSDA- BAU $ BAU (Mantenimiento y peq. evolutivos)"/>
    <n v="0.3"/>
    <x v="1"/>
    <m/>
    <x v="1"/>
    <x v="0"/>
    <m/>
    <m/>
    <m/>
    <m/>
    <m/>
  </r>
  <r>
    <s v="C808232"/>
    <s v="MARIA FERNANDA RUSSI"/>
    <x v="2"/>
    <s v="Payments"/>
    <s v="BBVA"/>
    <e v="#NAME?"/>
    <s v="SDATOOL-40295 $ Tokenización COF"/>
    <n v="0.7"/>
    <x v="1"/>
    <m/>
    <x v="1"/>
    <x v="0"/>
    <m/>
    <m/>
    <m/>
    <m/>
    <m/>
  </r>
  <r>
    <s v="C808227"/>
    <s v="MARIA PAULA ISAZA SANCHEZ"/>
    <x v="4"/>
    <s v="Global Market &amp; Comex"/>
    <s v="BBVA"/>
    <e v="#NAME?"/>
    <s v="SDATOOL-38736 $ Creación Tercero Miembro No Liquidador CRCC"/>
    <n v="1"/>
    <x v="1"/>
    <m/>
    <x v="1"/>
    <x v="0"/>
    <m/>
    <m/>
    <m/>
    <m/>
    <m/>
  </r>
  <r>
    <s v="O001338"/>
    <s v="MARIAMM YULIETH ALVAREZ"/>
    <x v="3"/>
    <s v="Oficina"/>
    <s v="BBVA"/>
    <e v="#NAME?"/>
    <s v="NOSDA- BAU $ BAU (Mantenimiento y peq. evolutivos)"/>
    <n v="0.2"/>
    <x v="2"/>
    <m/>
    <x v="1"/>
    <x v="0"/>
    <m/>
    <m/>
    <m/>
    <m/>
    <m/>
  </r>
  <r>
    <s v="O001338"/>
    <s v="MARIAMM YULIETH ALVAREZ"/>
    <x v="3"/>
    <s v="Oficina"/>
    <s v="BBVA"/>
    <e v="#NAME?"/>
    <s v="SDATOL-40269 $ Formularios cambio moneda extranjera Nacar"/>
    <n v="0.2"/>
    <x v="2"/>
    <m/>
    <x v="1"/>
    <x v="0"/>
    <m/>
    <m/>
    <m/>
    <m/>
    <m/>
  </r>
  <r>
    <s v="O001338"/>
    <s v="MARIAMM YULIETH ALVAREZ"/>
    <x v="3"/>
    <s v="Oficina"/>
    <s v="BBVA"/>
    <e v="#NAME?"/>
    <s v="SDATOOL-35350 $ Lean Office (Biblioteca Transaccional y Nuevo Modelo de Impresión)"/>
    <n v="0.2"/>
    <x v="2"/>
    <m/>
    <x v="1"/>
    <x v="0"/>
    <m/>
    <m/>
    <m/>
    <m/>
    <m/>
  </r>
  <r>
    <s v="O001338"/>
    <s v="MARIAMM YULIETH ALVAREZ"/>
    <x v="3"/>
    <s v="Oficina"/>
    <s v="BBVA"/>
    <e v="#NAME?"/>
    <s v="SDATOOL-37294 $ Gestión de Tráfico en Oficinas"/>
    <n v="0.2"/>
    <x v="2"/>
    <m/>
    <x v="1"/>
    <x v="0"/>
    <m/>
    <m/>
    <m/>
    <m/>
    <m/>
  </r>
  <r>
    <s v="O001338"/>
    <s v="MARIAMM YULIETH ALVAREZ"/>
    <x v="3"/>
    <s v="Oficina"/>
    <s v="BBVA"/>
    <e v="#NAME?"/>
    <s v="SDATOOL-37761 $ Plan transformación de procesos"/>
    <n v="0.2"/>
    <x v="2"/>
    <m/>
    <x v="1"/>
    <x v="0"/>
    <m/>
    <m/>
    <m/>
    <m/>
    <m/>
  </r>
  <r>
    <s v="C811301"/>
    <s v="Marianella Fandiño Nieto"/>
    <x v="1"/>
    <s v="Riesgos"/>
    <s v="BBVA"/>
    <e v="#NAME?"/>
    <s v="SDATOOL-28278 $ GRM Col - TMP Cobranzas - Pago en Canales Alternos"/>
    <n v="0.1"/>
    <x v="2"/>
    <m/>
    <x v="1"/>
    <x v="0"/>
    <m/>
    <m/>
    <m/>
    <m/>
    <m/>
  </r>
  <r>
    <s v="C811301"/>
    <s v="Marianella Fandiño Nieto"/>
    <x v="1"/>
    <s v="Riesgos"/>
    <s v="BBVA"/>
    <e v="#NAME?"/>
    <s v="SDATOOL-28473 $ GRM Col - TMP Cobranzas - Módulo control acuerdos de pago"/>
    <n v="0.15"/>
    <x v="2"/>
    <m/>
    <x v="1"/>
    <x v="0"/>
    <m/>
    <m/>
    <m/>
    <m/>
    <m/>
  </r>
  <r>
    <s v="C811301"/>
    <s v="Marianella Fandiño Nieto"/>
    <x v="1"/>
    <s v="Riesgos"/>
    <s v="BBVA"/>
    <e v="#NAME?"/>
    <s v="SDATOOL-29029 $ EBA Guidelines (NDoD/PD/LGD) - Colombia"/>
    <n v="0.15"/>
    <x v="2"/>
    <m/>
    <x v="1"/>
    <x v="0"/>
    <m/>
    <m/>
    <m/>
    <m/>
    <m/>
  </r>
  <r>
    <s v="C811301"/>
    <s v="Marianella Fandiño Nieto"/>
    <x v="1"/>
    <s v="Riesgos"/>
    <s v="BBVA"/>
    <e v="#NAME?"/>
    <s v="SDATOOL-40658 $ GRM Col - Cronos Collections - Estrategia"/>
    <n v="0.3"/>
    <x v="2"/>
    <m/>
    <x v="1"/>
    <x v="0"/>
    <m/>
    <m/>
    <m/>
    <m/>
    <m/>
  </r>
  <r>
    <s v="C811301"/>
    <s v="Marianella Fandiño Nieto"/>
    <x v="1"/>
    <s v="Riesgos"/>
    <s v="BBVA"/>
    <e v="#NAME?"/>
    <s v="SDATOOL-39408 $ GRM COL - Cronos Collections - Herramienta recuperaciones"/>
    <n v="0.15"/>
    <x v="2"/>
    <m/>
    <x v="1"/>
    <x v="0"/>
    <m/>
    <m/>
    <m/>
    <m/>
    <m/>
  </r>
  <r>
    <s v="C811301"/>
    <s v="Marianella Fandiño Nieto"/>
    <x v="1"/>
    <s v="Riesgos"/>
    <s v="BBVA"/>
    <e v="#NAME?"/>
    <s v="NOSDA- BAU $ BAU (Mantenimiento y peq. evolutivos)"/>
    <n v="0.15"/>
    <x v="2"/>
    <s v="Optimizaciones host de largo alcance"/>
    <x v="1"/>
    <x v="0"/>
    <m/>
    <m/>
    <m/>
    <m/>
    <m/>
  </r>
  <r>
    <s v="T009914"/>
    <s v="MARIELA CUBIDES  VILLAQUIRAN (Torre)"/>
    <x v="0"/>
    <s v="Transaccionalidad"/>
    <s v="Novatec"/>
    <e v="#NAME?"/>
    <s v="NOSDA- BAU $ BAU (Mantenimiento y peq. evolutivos)"/>
    <n v="1"/>
    <x v="1"/>
    <s v="Impuetos"/>
    <x v="0"/>
    <x v="0"/>
    <m/>
    <m/>
    <m/>
    <m/>
    <m/>
  </r>
  <r>
    <s v="CE62112"/>
    <s v="MARILUZ SANCHEZ MORENO"/>
    <x v="1"/>
    <s v="Finanzas"/>
    <s v="ADENZA"/>
    <e v="#NAME?"/>
    <s v="SDATOOL-23176 $ ORION"/>
    <n v="1"/>
    <x v="2"/>
    <m/>
    <x v="0"/>
    <x v="0"/>
    <m/>
    <m/>
    <m/>
    <m/>
    <m/>
  </r>
  <r>
    <s v="C804407"/>
    <s v="MARIO ALBERTO MORALES LEON"/>
    <x v="2"/>
    <s v="Accounts"/>
    <s v="BBVA"/>
    <e v="#NAME?"/>
    <s v="SDATOOL-41950 $ Migracion GMF-MQ Series"/>
    <n v="1"/>
    <x v="1"/>
    <m/>
    <x v="1"/>
    <x v="0"/>
    <m/>
    <m/>
    <m/>
    <m/>
    <m/>
  </r>
  <r>
    <s v="CE30639"/>
    <s v="MARIO FERNANDO RAMIREZ LEGUIZAMON"/>
    <x v="0"/>
    <s v="Gema"/>
    <s v="GGI / CMC"/>
    <e v="#NAME?"/>
    <s v="SDATOOL-32905 $ Global Enterprises Mobile App (GEMA)"/>
    <n v="1"/>
    <x v="0"/>
    <m/>
    <x v="0"/>
    <x v="0"/>
    <m/>
    <m/>
    <m/>
    <m/>
    <m/>
  </r>
  <r>
    <s v="T007048"/>
    <s v="Mario Perilla"/>
    <x v="3"/>
    <s v="Móvil"/>
    <s v="Accenture"/>
    <e v="#NAME?"/>
    <s v="SDATOOL-9053 $ GloMo Colombia"/>
    <n v="1"/>
    <x v="0"/>
    <m/>
    <x v="0"/>
    <x v="0"/>
    <m/>
    <m/>
    <m/>
    <m/>
    <m/>
  </r>
  <r>
    <m/>
    <s v="MARISOL VEGA JOYA (QA)"/>
    <x v="0"/>
    <s v="Transaccionalidad"/>
    <s v="GGI / CMC"/>
    <e v="#NAME?"/>
    <s v="SDATOOL-35327 $ Impuestos 2021"/>
    <n v="0.25"/>
    <x v="0"/>
    <m/>
    <x v="0"/>
    <x v="0"/>
    <m/>
    <m/>
    <m/>
    <m/>
    <m/>
  </r>
  <r>
    <m/>
    <s v="MARISOL VEGA JOYA (QA)"/>
    <x v="0"/>
    <s v="Transaccionalidad"/>
    <s v="GGI / CMC"/>
    <e v="#NAME?"/>
    <s v="SDATOOL-37425 $ Recaudo DIAN Tarjetas de Crédito Propio Banco través del Botón de pagos PSE para los canales Banca Personas y Banca de Empresas"/>
    <n v="0.25"/>
    <x v="0"/>
    <m/>
    <x v="0"/>
    <x v="0"/>
    <m/>
    <m/>
    <m/>
    <m/>
    <m/>
  </r>
  <r>
    <m/>
    <s v="MARISOL VEGA JOYA (QA)"/>
    <x v="0"/>
    <s v="Transaccionalidad"/>
    <s v="GGI / CMC"/>
    <e v="#NAME?"/>
    <s v="NOSDA- BAU $ BAU (Mantenimiento y peq. evolutivos)"/>
    <n v="0.25"/>
    <x v="0"/>
    <m/>
    <x v="0"/>
    <x v="0"/>
    <m/>
    <m/>
    <m/>
    <m/>
    <m/>
  </r>
  <r>
    <m/>
    <s v="MARISOL VEGA JOYA (QA)"/>
    <x v="0"/>
    <s v="Transaccionalidad"/>
    <s v="GGI / CMC"/>
    <e v="#NAME?"/>
    <s v="SDATOOL-37116 $ Colpensiones - Incluir en la estructura del archivo de ORDENES DE NO PAGO dos nuevas causales de rechazo"/>
    <n v="0.25"/>
    <x v="0"/>
    <m/>
    <x v="0"/>
    <x v="0"/>
    <m/>
    <m/>
    <m/>
    <m/>
    <m/>
  </r>
  <r>
    <s v="T008491"/>
    <s v="MARITZA CASTILLO NAVARRO"/>
    <x v="2"/>
    <s v="Payments"/>
    <s v="Inetum"/>
    <e v="#NAME?"/>
    <s v="SDATOOL-40295 $ Tokenización COF"/>
    <n v="0.4"/>
    <x v="3"/>
    <m/>
    <x v="0"/>
    <x v="0"/>
    <m/>
    <m/>
    <m/>
    <m/>
    <m/>
  </r>
  <r>
    <s v="T008491"/>
    <s v="MARITZA CASTILLO NAVARRO"/>
    <x v="2"/>
    <s v="Payments"/>
    <s v="Inetum"/>
    <e v="#NAME?"/>
    <s v="SDATOOL-40442 $ M4M - Tokenización Mastercard"/>
    <n v="0.4"/>
    <x v="3"/>
    <m/>
    <x v="0"/>
    <x v="0"/>
    <m/>
    <m/>
    <m/>
    <m/>
    <m/>
  </r>
  <r>
    <s v="T008491"/>
    <s v="MARITZA CASTILLO NAVARRO"/>
    <x v="2"/>
    <s v="Payments"/>
    <s v="Inetum"/>
    <e v="#NAME?"/>
    <s v="SDATOOL-41709 $ Fraccionamiento de transacciones en CBs"/>
    <n v="0.2"/>
    <x v="3"/>
    <m/>
    <x v="0"/>
    <x v="0"/>
    <m/>
    <m/>
    <m/>
    <m/>
    <m/>
  </r>
  <r>
    <s v="CE59254"/>
    <s v="Marlly Jazmin Vargas Garzón"/>
    <x v="3"/>
    <s v="Canales asistidos Call Center / Gest. remota"/>
    <s v="KRYPTO"/>
    <e v="#NAME?"/>
    <s v="SDATOOL-39870 $ Front - Unificación de pantallas Contac Center"/>
    <n v="1"/>
    <x v="0"/>
    <m/>
    <x v="0"/>
    <x v="0"/>
    <m/>
    <m/>
    <m/>
    <m/>
    <m/>
  </r>
  <r>
    <s v="C805074"/>
    <s v="MARLON STUART SUAREZ ."/>
    <x v="4"/>
    <s v="Global Market &amp; Comex"/>
    <s v="BBVA"/>
    <e v="#NAME?"/>
    <s v="SDATOOL-39217 $ Aplicativos Tesorería 2022"/>
    <n v="0.5"/>
    <x v="1"/>
    <m/>
    <x v="1"/>
    <x v="0"/>
    <m/>
    <m/>
    <m/>
    <m/>
    <m/>
  </r>
  <r>
    <s v="C805074"/>
    <s v="MARLON STUART SUAREZ ."/>
    <x v="4"/>
    <s v="Global Market &amp; Comex"/>
    <s v="BBVA"/>
    <e v="#NAME?"/>
    <s v="SDATOOL-31461 $ Liquidación Swaps Cross Crurrency Delivery"/>
    <n v="0.5"/>
    <x v="1"/>
    <m/>
    <x v="1"/>
    <x v="0"/>
    <m/>
    <m/>
    <m/>
    <m/>
    <m/>
  </r>
  <r>
    <s v="C805863"/>
    <s v="MARTA PATRICIA VELANDIA SIZA"/>
    <x v="2"/>
    <s v="Payments"/>
    <s v="BBVA"/>
    <e v="#NAME?"/>
    <s v="SDATOOL-37061 $ Plan de Lealtad Comecios -Plan Ascenso Autónomos"/>
    <n v="1"/>
    <x v="1"/>
    <m/>
    <x v="1"/>
    <x v="0"/>
    <m/>
    <m/>
    <m/>
    <m/>
    <m/>
  </r>
  <r>
    <s v="C809512"/>
    <s v="MARTHA BEATRIZ GALLEGO MARIN "/>
    <x v="2"/>
    <s v="Cross/Ventas asistidas CAP"/>
    <s v="BBVA"/>
    <e v="#NAME?"/>
    <s v="SDATOOL-38757 $ Modelo administrativo de oficina - Omnicanalidad"/>
    <n v="0.8"/>
    <x v="2"/>
    <m/>
    <x v="1"/>
    <x v="0"/>
    <m/>
    <m/>
    <m/>
    <m/>
    <m/>
  </r>
  <r>
    <s v="C809512"/>
    <s v="MARTHA BEATRIZ GALLEGO MARIN "/>
    <x v="2"/>
    <s v="Cross/Ventas asistidas CAP"/>
    <s v="BBVA"/>
    <e v="#NAME?"/>
    <s v="SDATOOL-41839 $ POSTULACIÓN DE GENERACIÓN NUEVOS EMPLEOS"/>
    <n v="0.2"/>
    <x v="2"/>
    <m/>
    <x v="1"/>
    <x v="0"/>
    <m/>
    <m/>
    <m/>
    <m/>
    <m/>
  </r>
  <r>
    <s v="O000190"/>
    <s v="MARTHA LILIANA RUSSY CHAVARRO"/>
    <x v="2"/>
    <s v="Payments"/>
    <s v="BBVA"/>
    <e v="#NAME?"/>
    <s v="SDATOOL-39785 $ Segmentación contratos ADN"/>
    <n v="0.2"/>
    <x v="1"/>
    <m/>
    <x v="1"/>
    <x v="0"/>
    <m/>
    <m/>
    <m/>
    <m/>
    <m/>
  </r>
  <r>
    <s v="O000190"/>
    <s v="MARTHA LILIANA RUSSY CHAVARRO"/>
    <x v="2"/>
    <s v="Payments"/>
    <s v="BBVA"/>
    <e v="#NAME?"/>
    <s v="NOSDA- BAU $ BAU (Mantenimiento y peq. evolutivos)"/>
    <n v="0.8"/>
    <x v="1"/>
    <m/>
    <x v="1"/>
    <x v="0"/>
    <m/>
    <m/>
    <m/>
    <m/>
    <m/>
  </r>
  <r>
    <s v="CE64615"/>
    <s v="Martha Lucia Aguirre"/>
    <x v="2"/>
    <s v="Cross/BPM"/>
    <s v="GGI / CMC"/>
    <e v="#NAME?"/>
    <s v="NOSDA- BAU $ BAU (Mantenimiento y peq. evolutivos)"/>
    <n v="0.75"/>
    <x v="0"/>
    <s v="Bonita y CAP Pymes Gestor Documental"/>
    <x v="0"/>
    <x v="0"/>
    <m/>
    <m/>
    <m/>
    <m/>
    <m/>
  </r>
  <r>
    <s v="CE64615"/>
    <s v="Martha Lucia Aguirre"/>
    <x v="2"/>
    <s v="Cross/BPM"/>
    <s v="GGI / CMC"/>
    <e v="#NAME?"/>
    <s v="SDATOOL-36509 $ Centralización de la formalización de desembolsos Pymes"/>
    <n v="0.25"/>
    <x v="0"/>
    <m/>
    <x v="0"/>
    <x v="0"/>
    <m/>
    <m/>
    <m/>
    <m/>
    <m/>
  </r>
  <r>
    <s v="CE59142"/>
    <s v="Martha Lucia Porras Guanga"/>
    <x v="0"/>
    <s v="Soluciones financieras (Leasing)"/>
    <s v="Inetum"/>
    <e v="#NAME?"/>
    <s v="NOSDA- BAU $ BAU (Mantenimiento y peq. evolutivos)"/>
    <n v="1"/>
    <x v="3"/>
    <m/>
    <x v="0"/>
    <x v="0"/>
    <m/>
    <m/>
    <m/>
    <m/>
    <m/>
  </r>
  <r>
    <s v="T001323"/>
    <s v="Martin Bournonville"/>
    <x v="3"/>
    <s v="Open Market"/>
    <s v="Globant"/>
    <e v="#NAME?"/>
    <s v="SDATOOL-36048 $ Repositorio flujos  ventas digitales flujos - Plan Ascenso Open Market"/>
    <n v="1"/>
    <x v="1"/>
    <m/>
    <x v="0"/>
    <x v="0"/>
    <m/>
    <m/>
    <m/>
    <m/>
    <m/>
  </r>
  <r>
    <s v="CE69613"/>
    <s v="MARTÍN RODRIGUEZ"/>
    <x v="4"/>
    <s v="Global Market &amp; Comex"/>
    <s v="Accenture"/>
    <e v="#NAME?"/>
    <s v="SDATOOL-31461 $ Liquidación Swaps Cross Crurrency Delivery"/>
    <n v="0.1"/>
    <x v="1"/>
    <m/>
    <x v="0"/>
    <x v="0"/>
    <m/>
    <m/>
    <m/>
    <m/>
    <m/>
  </r>
  <r>
    <s v="C805379"/>
    <s v="MARTIN ROMERO ORTIZ"/>
    <x v="2"/>
    <s v="Loans"/>
    <s v="BBVA"/>
    <e v="#NAME?"/>
    <s v="SDATOOL-34910 $ Libranza Digital"/>
    <n v="0.75"/>
    <x v="1"/>
    <m/>
    <x v="1"/>
    <x v="0"/>
    <m/>
    <m/>
    <m/>
    <m/>
    <m/>
  </r>
  <r>
    <s v="C805379"/>
    <s v="MARTIN ROMERO ORTIZ"/>
    <x v="2"/>
    <s v="Loans"/>
    <s v="BBVA"/>
    <e v="#NAME?"/>
    <s v="SDATOOL-36522 $ Libranza E2E digital Fase III - Plan Ascenso Privado"/>
    <n v="0.25"/>
    <x v="1"/>
    <m/>
    <x v="1"/>
    <x v="0"/>
    <m/>
    <m/>
    <m/>
    <m/>
    <m/>
  </r>
  <r>
    <s v="CE66364"/>
    <s v="Martin Theiler"/>
    <x v="3"/>
    <s v="Móvil"/>
    <s v="Globant"/>
    <e v="#NAME?"/>
    <s v="SDATOOL-9053 $ GloMo Colombia"/>
    <n v="1"/>
    <x v="1"/>
    <m/>
    <x v="0"/>
    <x v="0"/>
    <m/>
    <m/>
    <m/>
    <m/>
    <m/>
  </r>
  <r>
    <s v="CE18306"/>
    <s v="MARY LUZ RODRIGUEZ"/>
    <x v="2"/>
    <s v="Payments"/>
    <s v="Inetum"/>
    <e v="#NAME?"/>
    <s v="SDATOOL-36556 $ Parthnerships - Tarjeta de crédito en punto de venta físico  aliados"/>
    <n v="0.1"/>
    <x v="0"/>
    <m/>
    <x v="0"/>
    <x v="0"/>
    <m/>
    <m/>
    <m/>
    <m/>
    <m/>
  </r>
  <r>
    <s v="CE18306"/>
    <s v="MARY LUZ RODRIGUEZ"/>
    <x v="2"/>
    <s v="Payments"/>
    <s v="Inetum"/>
    <e v="#NAME?"/>
    <s v="NOSDA- BAU $ BAU (Mantenimiento y peq. evolutivos)"/>
    <n v="0.6"/>
    <x v="0"/>
    <m/>
    <x v="0"/>
    <x v="0"/>
    <m/>
    <m/>
    <m/>
    <m/>
    <m/>
  </r>
  <r>
    <s v="CE18306"/>
    <s v="MARY LUZ RODRIGUEZ"/>
    <x v="2"/>
    <s v="Payments"/>
    <s v="Inetum"/>
    <e v="#NAME?"/>
    <s v="SDATOOL-40455 $ Comisión porcentaje compras internacionales Mastercard y Visa Fase 2"/>
    <n v="0.2"/>
    <x v="0"/>
    <m/>
    <x v="0"/>
    <x v="0"/>
    <m/>
    <m/>
    <m/>
    <m/>
    <m/>
  </r>
  <r>
    <s v="CE18306"/>
    <s v="MARY LUZ RODRIGUEZ"/>
    <x v="2"/>
    <s v="Payments"/>
    <s v="Inetum"/>
    <e v="#NAME?"/>
    <s v="SDATOOL-37057 $ Pagos QR - Entre cuentas Redeban - Plan Ascenso Mercurio"/>
    <n v="0.1"/>
    <x v="0"/>
    <m/>
    <x v="0"/>
    <x v="0"/>
    <m/>
    <m/>
    <m/>
    <m/>
    <m/>
  </r>
  <r>
    <s v="O002790"/>
    <s v="MARYITH MOSQUERA LISCANO"/>
    <x v="2"/>
    <s v="Payments"/>
    <s v="BBVA"/>
    <e v="#NAME?"/>
    <s v="SDATOOL-37427 $ Adquirencia Premium"/>
    <n v="0.3"/>
    <x v="1"/>
    <m/>
    <x v="1"/>
    <x v="0"/>
    <m/>
    <m/>
    <m/>
    <m/>
    <m/>
  </r>
  <r>
    <s v="O002790"/>
    <s v="MARYITH MOSQUERA LISCANO"/>
    <x v="2"/>
    <s v="Payments"/>
    <s v="BBVA"/>
    <e v="#NAME?"/>
    <s v="NOSDA- BAU $ BAU (Mantenimiento y peq. evolutivos)"/>
    <n v="0.7"/>
    <x v="1"/>
    <m/>
    <x v="1"/>
    <x v="0"/>
    <m/>
    <m/>
    <m/>
    <m/>
    <m/>
  </r>
  <r>
    <s v="C810957"/>
    <s v="MATEO ECHEVERRY PELAEZ"/>
    <x v="2"/>
    <s v="Cross/Ventas asistidas CAP"/>
    <s v="BBVA"/>
    <e v="#NAME?"/>
    <s v="SDATOOL-37134 $ Oferta proactiva de segundo producto desde el momento cero - Plan Ascenso Cross Sell"/>
    <n v="1"/>
    <x v="1"/>
    <m/>
    <x v="1"/>
    <x v="0"/>
    <m/>
    <m/>
    <m/>
    <m/>
    <m/>
  </r>
  <r>
    <s v="C804844"/>
    <s v="MATEO OLAYA OSORIO"/>
    <x v="4"/>
    <s v="Backoffice"/>
    <s v="BBVA"/>
    <e v="#NAME?"/>
    <s v="SDATOOL-42061 $ Murex Limit Control Intradía EOD"/>
    <n v="0.5"/>
    <x v="1"/>
    <m/>
    <x v="1"/>
    <x v="0"/>
    <m/>
    <m/>
    <m/>
    <m/>
    <m/>
  </r>
  <r>
    <s v="C804844"/>
    <s v="MATEO OLAYA OSORIO"/>
    <x v="4"/>
    <s v="Backoffice"/>
    <s v="BBVA"/>
    <e v="#NAME?"/>
    <s v="SDATOOL-42081 $ Evolutivos Migración Murex 3"/>
    <n v="0.5"/>
    <x v="1"/>
    <m/>
    <x v="1"/>
    <x v="0"/>
    <m/>
    <m/>
    <m/>
    <m/>
    <m/>
  </r>
  <r>
    <s v="C805726"/>
    <s v="MAURICIO ANDRES NUÑEZ ORTEGON"/>
    <x v="2"/>
    <s v="Payments"/>
    <s v="BBVA"/>
    <e v="#NAME?"/>
    <s v="SDATOOL-38447 $ GRM Col - Condonación y bajas automáticas en Medios de Pago"/>
    <n v="0.6"/>
    <x v="1"/>
    <m/>
    <x v="1"/>
    <x v="0"/>
    <m/>
    <m/>
    <m/>
    <m/>
    <m/>
  </r>
  <r>
    <s v="C805726"/>
    <s v="MAURICIO ANDRES NUÑEZ ORTEGON"/>
    <x v="2"/>
    <s v="Payments"/>
    <s v="BBVA"/>
    <e v="#NAME?"/>
    <s v="SDATOOL-33846 $ SREP Data Quality- BCBS239 - Colombia"/>
    <n v="0.4"/>
    <x v="1"/>
    <m/>
    <x v="1"/>
    <x v="0"/>
    <m/>
    <m/>
    <m/>
    <m/>
    <m/>
  </r>
  <r>
    <s v="O000451"/>
    <s v="MAURICIO CORDOBA"/>
    <x v="2"/>
    <s v="Loans"/>
    <s v="BBVA"/>
    <e v="#NAME?"/>
    <s v="SDATOOL-39384 $ Abonos a préstamos por canales"/>
    <n v="1"/>
    <x v="1"/>
    <m/>
    <x v="1"/>
    <x v="0"/>
    <m/>
    <m/>
    <m/>
    <m/>
    <m/>
  </r>
  <r>
    <s v="C341738"/>
    <s v="MAURICIO PEÑA"/>
    <x v="2"/>
    <s v="Cross/BPM"/>
    <s v="BBVA"/>
    <e v="#NAME?"/>
    <s v="SDATOOL-36509 $ Centralización de la formalización de desembolsos Pymes"/>
    <n v="0.75"/>
    <x v="1"/>
    <m/>
    <x v="1"/>
    <x v="0"/>
    <m/>
    <m/>
    <m/>
    <m/>
    <m/>
  </r>
  <r>
    <s v="C341738"/>
    <s v="MAURICIO PEÑA"/>
    <x v="2"/>
    <s v="Cross/BPM"/>
    <s v="BBVA"/>
    <e v="#NAME?"/>
    <s v="NOSDA- BAU $ BAU (Mantenimiento y peq. evolutivos)"/>
    <n v="0.1"/>
    <x v="1"/>
    <s v="sopor prod"/>
    <x v="1"/>
    <x v="0"/>
    <m/>
    <m/>
    <m/>
    <m/>
    <m/>
  </r>
  <r>
    <s v="C341738"/>
    <s v="MAURICIO PEÑA"/>
    <x v="2"/>
    <s v="Cross/BPM"/>
    <s v="BBVA"/>
    <e v="#NAME?"/>
    <s v="SDATOOL-34910 $ Libranza Digital"/>
    <n v="0.15"/>
    <x v="1"/>
    <m/>
    <x v="1"/>
    <x v="0"/>
    <m/>
    <m/>
    <m/>
    <m/>
    <m/>
  </r>
  <r>
    <s v="O000158"/>
    <s v="MAURICIO RAMIREZ"/>
    <x v="2"/>
    <s v="Loans"/>
    <s v="BBVA"/>
    <e v="#NAME?"/>
    <s v="NOSDA- BAU $ BAU (Mantenimiento y peq. evolutivos)"/>
    <n v="1"/>
    <x v="1"/>
    <m/>
    <x v="1"/>
    <x v="0"/>
    <m/>
    <m/>
    <m/>
    <m/>
    <m/>
  </r>
  <r>
    <s v="C809625"/>
    <s v="MAYERLY TATIANA NARVAEZ MARIN"/>
    <x v="2"/>
    <s v="Accounts"/>
    <s v="BBVA"/>
    <e v="#NAME?"/>
    <s v="SDATOOL-38419 $ Contratación cuenta en línea en Glomo"/>
    <n v="1"/>
    <x v="1"/>
    <m/>
    <x v="1"/>
    <x v="0"/>
    <m/>
    <m/>
    <m/>
    <m/>
    <m/>
  </r>
  <r>
    <s v="C804381"/>
    <s v="MAYKER GUILLERMO LOPEZ"/>
    <x v="2"/>
    <s v="Payments"/>
    <s v="BBVA"/>
    <e v="#NAME?"/>
    <s v="SDATOOL-40468 $ Mapa de comercios adquirencia - Fase 2"/>
    <n v="0.4"/>
    <x v="1"/>
    <m/>
    <x v="1"/>
    <x v="0"/>
    <m/>
    <m/>
    <m/>
    <m/>
    <m/>
  </r>
  <r>
    <s v="C804381"/>
    <s v="MAYKER GUILLERMO LOPEZ"/>
    <x v="2"/>
    <s v="Payments"/>
    <s v="BBVA"/>
    <e v="#NAME?"/>
    <s v="SDATOOL-40414 $ Conciliación adquirencia plus"/>
    <n v="0.2"/>
    <x v="1"/>
    <m/>
    <x v="1"/>
    <x v="0"/>
    <m/>
    <m/>
    <m/>
    <m/>
    <m/>
  </r>
  <r>
    <s v="C804381"/>
    <s v="MAYKER GUILLERMO LOPEZ"/>
    <x v="2"/>
    <s v="Payments"/>
    <s v="BBVA"/>
    <e v="#NAME?"/>
    <s v="SDATOOL-40469 $ Reversión reintegros parciales Adquirencia - Ajustes de comercio LATAM"/>
    <n v="0.1"/>
    <x v="1"/>
    <m/>
    <x v="1"/>
    <x v="0"/>
    <m/>
    <m/>
    <m/>
    <m/>
    <m/>
  </r>
  <r>
    <s v="C804381"/>
    <s v="MAYKER GUILLERMO LOPEZ"/>
    <x v="2"/>
    <s v="Payments"/>
    <s v="BBVA"/>
    <e v="#NAME?"/>
    <s v="NOSDA- BAU $ BAU (Mantenimiento y peq. evolutivos)"/>
    <n v="0.3"/>
    <x v="1"/>
    <m/>
    <x v="1"/>
    <x v="0"/>
    <m/>
    <m/>
    <m/>
    <m/>
    <m/>
  </r>
  <r>
    <s v="T009653"/>
    <s v="MEJIA PAULA VALENTINA"/>
    <x v="0"/>
    <s v="Netcash"/>
    <s v="GGI / CMC"/>
    <e v="#NAME?"/>
    <s v="SDATOOL-39358 $ Crédito Virtual"/>
    <n v="1"/>
    <x v="1"/>
    <m/>
    <x v="0"/>
    <x v="0"/>
    <m/>
    <m/>
    <m/>
    <m/>
    <m/>
  </r>
  <r>
    <s v="CE47926"/>
    <s v="MELANIE QUIROZ"/>
    <x v="2"/>
    <s v="Loans"/>
    <s v="Neoris"/>
    <e v="#NAME?"/>
    <s v="NOSDA- BAU $ BAU (Mantenimiento y peq. evolutivos)"/>
    <n v="1"/>
    <x v="1"/>
    <m/>
    <x v="0"/>
    <x v="0"/>
    <m/>
    <m/>
    <m/>
    <m/>
    <m/>
  </r>
  <r>
    <s v="CE51434"/>
    <s v="MICHAEL ALEXANDER PINZON CRISTANCHO"/>
    <x v="2"/>
    <s v="Loans"/>
    <s v="Inetum"/>
    <e v="#NAME?"/>
    <s v="SDATOOL-35697 $ GRM - Garantías Hipotecarias - Ingesta de Datos"/>
    <n v="0.75"/>
    <x v="0"/>
    <m/>
    <x v="0"/>
    <x v="0"/>
    <m/>
    <m/>
    <m/>
    <m/>
    <m/>
  </r>
  <r>
    <s v="CE51434"/>
    <s v="MICHAEL ALEXANDER PINZON CRISTANCHO"/>
    <x v="2"/>
    <s v="Loans"/>
    <s v="Inetum"/>
    <e v="#NAME?"/>
    <s v="SDATOOL-37483 $ Aplicativos Finanzas - 2022"/>
    <n v="0.25"/>
    <x v="0"/>
    <m/>
    <x v="0"/>
    <x v="0"/>
    <m/>
    <m/>
    <m/>
    <m/>
    <m/>
  </r>
  <r>
    <s v="C810789"/>
    <s v="MICHAEL JULIAN GARZON"/>
    <x v="2"/>
    <s v="Payments"/>
    <s v="BBVA"/>
    <e v="#NAME?"/>
    <s v="SDATOOL-36556 $ Parthnerships - Tarjeta de crédito en punto de venta físico  aliados"/>
    <n v="0.8"/>
    <x v="1"/>
    <m/>
    <x v="1"/>
    <x v="0"/>
    <m/>
    <m/>
    <m/>
    <m/>
    <m/>
  </r>
  <r>
    <s v="C810789"/>
    <s v="MICHAEL JULIAN GARZON"/>
    <x v="2"/>
    <s v="Payments"/>
    <s v="BBVA"/>
    <e v="#NAME?"/>
    <s v="SDATOOL-39348 $ tarjeta de crédito Open Market Fallback product"/>
    <n v="0.2"/>
    <x v="1"/>
    <m/>
    <x v="1"/>
    <x v="0"/>
    <m/>
    <m/>
    <m/>
    <m/>
    <m/>
  </r>
  <r>
    <s v="C809712"/>
    <s v="MIGUEL ANGEL ALBARRACIN"/>
    <x v="2"/>
    <s v="Cross/Gestor documental y SSDD"/>
    <s v="BBVA"/>
    <e v="#NAME?"/>
    <s v="NOSDA- BAU $ BAU (Mantenimiento y peq. evolutivos)"/>
    <n v="1"/>
    <x v="1"/>
    <s v="MN-2165 Se debe poder quitar los problemas que tiene el aplicativo en el uso de los logs y los temporales, MN-2542  Se debe disponibilizar las cartas de bienvenida para el producto de préstamos"/>
    <x v="1"/>
    <x v="0"/>
    <m/>
    <m/>
    <m/>
    <m/>
    <m/>
  </r>
  <r>
    <s v="CE69603"/>
    <s v="Miguel Angel Luengas"/>
    <x v="3"/>
    <s v="Canales asistidos ATM"/>
    <s v="Choucair"/>
    <e v="#NAME?"/>
    <s v="SDATOOL-32991 $ Comisión de Acceso a ATM's"/>
    <n v="0.75"/>
    <x v="0"/>
    <m/>
    <x v="0"/>
    <x v="0"/>
    <m/>
    <m/>
    <m/>
    <m/>
    <m/>
  </r>
  <r>
    <s v="CE69603"/>
    <s v="Miguel Angel Luengas"/>
    <x v="3"/>
    <s v="Canales asistidos ATM"/>
    <s v="Choucair"/>
    <e v="#NAME?"/>
    <s v="SDATOOL-40515 $ Acción de auditoria de Cobro de Comisiones"/>
    <n v="0.25"/>
    <x v="0"/>
    <m/>
    <x v="0"/>
    <x v="0"/>
    <m/>
    <m/>
    <m/>
    <m/>
    <m/>
  </r>
  <r>
    <s v="C679763"/>
    <s v="MIGUEL ANGEL POLOCHE DIAZ"/>
    <x v="2"/>
    <s v="Payments"/>
    <s v="BBVA"/>
    <e v="#NAME?"/>
    <s v="SDATOOL-37427 $ Adquirencia Premium"/>
    <n v="0.1"/>
    <x v="2"/>
    <m/>
    <x v="1"/>
    <x v="0"/>
    <m/>
    <m/>
    <m/>
    <m/>
    <m/>
  </r>
  <r>
    <s v="C679763"/>
    <s v="MIGUEL ANGEL POLOCHE DIAZ"/>
    <x v="2"/>
    <s v="Payments"/>
    <s v="BBVA"/>
    <e v="#NAME?"/>
    <s v="NOSDA- BAU $ BAU (Mantenimiento y peq. evolutivos)"/>
    <n v="0.4"/>
    <x v="2"/>
    <m/>
    <x v="1"/>
    <x v="0"/>
    <m/>
    <m/>
    <m/>
    <m/>
    <m/>
  </r>
  <r>
    <s v="C679763"/>
    <s v="MIGUEL ANGEL POLOCHE DIAZ"/>
    <x v="2"/>
    <s v="Payments"/>
    <s v="BBVA"/>
    <e v="#NAME?"/>
    <s v="SDATOOL-40468 $ Mapa de comercios adquirencia - Fase 2"/>
    <n v="0.1"/>
    <x v="2"/>
    <m/>
    <x v="1"/>
    <x v="0"/>
    <m/>
    <m/>
    <m/>
    <m/>
    <m/>
  </r>
  <r>
    <s v="C679763"/>
    <s v="MIGUEL ANGEL POLOCHE DIAZ"/>
    <x v="2"/>
    <s v="Payments"/>
    <s v="BBVA"/>
    <e v="#NAME?"/>
    <s v="SDATOOL-40414 $ Conciliación adquirencia plus"/>
    <n v="0.1"/>
    <x v="2"/>
    <m/>
    <x v="1"/>
    <x v="0"/>
    <m/>
    <m/>
    <m/>
    <m/>
    <m/>
  </r>
  <r>
    <s v="C679763"/>
    <s v="MIGUEL ANGEL POLOCHE DIAZ"/>
    <x v="2"/>
    <s v="Payments"/>
    <s v="BBVA"/>
    <e v="#NAME?"/>
    <s v="SDATOOL-40469 $ Reversión reintegros parciales Adquirencia - Ajustes de comercio LATAM"/>
    <n v="0.1"/>
    <x v="2"/>
    <m/>
    <x v="1"/>
    <x v="0"/>
    <m/>
    <m/>
    <m/>
    <m/>
    <m/>
  </r>
  <r>
    <s v="C679763"/>
    <s v="MIGUEL ANGEL POLOCHE DIAZ"/>
    <x v="2"/>
    <s v="Payments"/>
    <s v="BBVA"/>
    <e v="#NAME?"/>
    <s v="SDATOOL-39785 $ Segmentación contratos ADN"/>
    <n v="0.1"/>
    <x v="2"/>
    <m/>
    <x v="1"/>
    <x v="0"/>
    <m/>
    <m/>
    <m/>
    <m/>
    <m/>
  </r>
  <r>
    <s v="C679763"/>
    <s v="MIGUEL ANGEL POLOCHE DIAZ"/>
    <x v="2"/>
    <s v="Payments"/>
    <s v="BBVA"/>
    <e v="#NAME?"/>
    <s v="SDATOOL-39354 $ My business Open Pay - Plan Ascenso Mercurio"/>
    <n v="0.1"/>
    <x v="2"/>
    <m/>
    <x v="1"/>
    <x v="0"/>
    <m/>
    <m/>
    <m/>
    <m/>
    <m/>
  </r>
  <r>
    <s v="C783729"/>
    <s v="MIGUEL ANTONIO GUIO ESPINOSA "/>
    <x v="1"/>
    <s v="Cumplimiento &amp; Auditoría"/>
    <s v="BBVA"/>
    <e v="#NAME?"/>
    <s v="SDATOOL-29998 $ Despliegue SAS AML en BBVA CO"/>
    <n v="0.4"/>
    <x v="2"/>
    <m/>
    <x v="1"/>
    <x v="0"/>
    <m/>
    <m/>
    <m/>
    <m/>
    <m/>
  </r>
  <r>
    <s v="C783729"/>
    <s v="MIGUEL ANTONIO GUIO ESPINOSA "/>
    <x v="1"/>
    <s v="Cumplimiento &amp; Auditoría"/>
    <s v="BBVA"/>
    <e v="#NAME?"/>
    <s v="SDATOOL-39265 $ Migración Operaciones Fircosoft"/>
    <n v="0.1"/>
    <x v="2"/>
    <m/>
    <x v="1"/>
    <x v="0"/>
    <m/>
    <m/>
    <m/>
    <m/>
    <m/>
  </r>
  <r>
    <s v="C783729"/>
    <s v="MIGUEL ANTONIO GUIO ESPINOSA "/>
    <x v="1"/>
    <s v="Cumplimiento &amp; Auditoría"/>
    <s v="BBVA"/>
    <e v="#NAME?"/>
    <s v="SDATOOL-39473 $ Actualización de Was 8 a was 9. RBA"/>
    <n v="0.1"/>
    <x v="2"/>
    <m/>
    <x v="1"/>
    <x v="0"/>
    <m/>
    <m/>
    <m/>
    <m/>
    <m/>
  </r>
  <r>
    <s v="C783729"/>
    <s v="MIGUEL ANTONIO GUIO ESPINOSA "/>
    <x v="1"/>
    <s v="Cumplimiento &amp; Auditoría"/>
    <s v="BBVA"/>
    <e v="#NAME?"/>
    <s v="SDATOOL-39888 $ Proyecto - Evolutivo Sarlaft - Mejoras controles aplicativos"/>
    <n v="0.2"/>
    <x v="2"/>
    <m/>
    <x v="1"/>
    <x v="0"/>
    <m/>
    <m/>
    <m/>
    <m/>
    <m/>
  </r>
  <r>
    <s v="C783729"/>
    <s v="MIGUEL ANTONIO GUIO ESPINOSA "/>
    <x v="1"/>
    <s v="Cumplimiento &amp; Auditoría"/>
    <s v="BBVA"/>
    <e v="#NAME?"/>
    <s v="SDATOOL-40984 $ Proyecto - Identificación e ingesta de las tablas necesarias en datio y la construcción del caso de uso para la identificación de vínculos - Colombia"/>
    <n v="0.1"/>
    <x v="2"/>
    <m/>
    <x v="1"/>
    <x v="0"/>
    <m/>
    <m/>
    <m/>
    <m/>
    <m/>
  </r>
  <r>
    <s v="C783729"/>
    <s v="MIGUEL ANTONIO GUIO ESPINOSA "/>
    <x v="1"/>
    <s v="Cumplimiento &amp; Auditoría"/>
    <s v="BBVA"/>
    <e v="#NAME?"/>
    <s v="SDATOOL-41031 $ Proyecto - Shadow IT - Migración a un nuevo aplicativo de la herramienta SIGLAFT"/>
    <n v="0.1"/>
    <x v="2"/>
    <m/>
    <x v="1"/>
    <x v="0"/>
    <m/>
    <m/>
    <m/>
    <m/>
    <m/>
  </r>
  <r>
    <s v="T004690"/>
    <s v="MIGUEL ORTE MORENO"/>
    <x v="2"/>
    <s v="Loans"/>
    <s v="Accenture"/>
    <e v="#NAME?"/>
    <s v="SDATOOL-34910 $ Libranza Digital"/>
    <n v="1"/>
    <x v="1"/>
    <m/>
    <x v="0"/>
    <x v="0"/>
    <m/>
    <m/>
    <m/>
    <m/>
    <m/>
  </r>
  <r>
    <s v="C804743"/>
    <s v="MILENA MARGARITA GONZALEZ PARRA "/>
    <x v="1"/>
    <s v="Finanzas"/>
    <s v="BBVA"/>
    <e v="#NAME?"/>
    <s v="SDATOOL-23176 $ ORION"/>
    <n v="0.3"/>
    <x v="1"/>
    <m/>
    <x v="1"/>
    <x v="0"/>
    <m/>
    <m/>
    <m/>
    <m/>
    <m/>
  </r>
  <r>
    <s v="C804743"/>
    <s v="MILENA MARGARITA GONZALEZ PARRA "/>
    <x v="1"/>
    <s v="Finanzas"/>
    <s v="BBVA"/>
    <e v="#NAME?"/>
    <s v="SDATOOL-37411 $ Infraestructura reportes regulatorios"/>
    <n v="0.7"/>
    <x v="1"/>
    <m/>
    <x v="1"/>
    <x v="0"/>
    <m/>
    <m/>
    <m/>
    <m/>
    <m/>
  </r>
  <r>
    <s v="CE64687"/>
    <s v="MILLER FERNANDO CAMARGO AMADO"/>
    <x v="2"/>
    <s v="Accounts"/>
    <s v="SII"/>
    <e v="#NAME?"/>
    <s v="NOSDA- BAU $ BAU (Mantenimiento y peq. evolutivos)"/>
    <n v="1"/>
    <x v="1"/>
    <m/>
    <x v="0"/>
    <x v="0"/>
    <m/>
    <m/>
    <m/>
    <m/>
    <m/>
  </r>
  <r>
    <s v="CE55340"/>
    <s v="Miller Gomez"/>
    <x v="3"/>
    <s v="Móvil"/>
    <s v="SII"/>
    <e v="#NAME?"/>
    <s v="SDATOOL-9053 $ GloMo Colombia"/>
    <n v="1"/>
    <x v="1"/>
    <m/>
    <x v="0"/>
    <x v="0"/>
    <m/>
    <m/>
    <m/>
    <m/>
    <m/>
  </r>
  <r>
    <s v="C811205"/>
    <s v="MIRYANI VARGAS"/>
    <x v="2"/>
    <s v="Loans"/>
    <s v="BBVA"/>
    <e v="#NAME?"/>
    <s v="NOSDA- BAU $ BAU (Mantenimiento y peq. evolutivos)"/>
    <n v="1"/>
    <x v="1"/>
    <m/>
    <x v="1"/>
    <x v="0"/>
    <m/>
    <m/>
    <m/>
    <m/>
    <m/>
  </r>
  <r>
    <s v="CE70380"/>
    <s v="MISAEL ARLEY TELLEZ SERRANO "/>
    <x v="0"/>
    <s v="Soluciones financieras (Leasing)"/>
    <s v="Choucair"/>
    <e v="#NAME?"/>
    <s v="SDATOOL-36358 $ Pagos por Terceros (Mandato y/o Administración) - Información exógena DIAN - Resolución 0098 DIAN"/>
    <n v="1"/>
    <x v="0"/>
    <m/>
    <x v="0"/>
    <x v="0"/>
    <m/>
    <m/>
    <m/>
    <m/>
    <m/>
  </r>
  <r>
    <s v="O003458"/>
    <s v="MOISES ABRAHAM LUNA MOJICA"/>
    <x v="2"/>
    <s v="Cross/Ventas asistidas CAP"/>
    <s v="BBVA"/>
    <e v="#NAME?"/>
    <s v="SDATOOL-38757 $ Modelo administrativo de oficina - Omnicanalidad"/>
    <n v="1"/>
    <x v="1"/>
    <m/>
    <x v="1"/>
    <x v="0"/>
    <m/>
    <m/>
    <m/>
    <m/>
    <m/>
  </r>
  <r>
    <s v="C811290"/>
    <s v="Montana Castro Camilo Arturo"/>
    <x v="1"/>
    <s v="T&amp;C"/>
    <s v="BBVA"/>
    <e v="#NAME?"/>
    <s v="SDATOOL-28728 $ Contratación electrónica/digital de empleados y Carpeta Virtual 2.0"/>
    <n v="0.7"/>
    <x v="1"/>
    <m/>
    <x v="1"/>
    <x v="0"/>
    <m/>
    <m/>
    <m/>
    <m/>
    <m/>
  </r>
  <r>
    <s v="C811290"/>
    <s v="Montana Castro Camilo Arturo"/>
    <x v="1"/>
    <s v="T&amp;C"/>
    <s v="BBVA"/>
    <e v="#NAME?"/>
    <s v="SDATOOL-38487 $ Mensualización Prima"/>
    <n v="0.3"/>
    <x v="1"/>
    <m/>
    <x v="1"/>
    <x v="0"/>
    <m/>
    <m/>
    <m/>
    <m/>
    <m/>
  </r>
  <r>
    <s v="O002003"/>
    <s v="MORENO ANGEL HEYDEN AUGUSTO"/>
    <x v="0"/>
    <s v="Netcash"/>
    <s v="BBVA"/>
    <e v="#NAME?"/>
    <s v="SDATOOL-39358 $ Crédito Virtual"/>
    <n v="0.75"/>
    <x v="1"/>
    <m/>
    <x v="1"/>
    <x v="0"/>
    <m/>
    <m/>
    <m/>
    <m/>
    <m/>
  </r>
  <r>
    <s v="O002003"/>
    <s v="MORENO ANGEL HEYDEN AUGUSTO"/>
    <x v="0"/>
    <s v="Netcash"/>
    <s v="BBVA"/>
    <e v="#NAME?"/>
    <s v="SDATOOL-40555 $ ADELANTO DE VENTA EN GEMA"/>
    <n v="0.25"/>
    <x v="1"/>
    <m/>
    <x v="1"/>
    <x v="0"/>
    <m/>
    <m/>
    <m/>
    <m/>
    <m/>
  </r>
  <r>
    <s v="C808471"/>
    <s v="Moreno Castellanos Omar Alfonso"/>
    <x v="3"/>
    <s v="Oficina"/>
    <s v="BBVA"/>
    <e v="#NAME?"/>
    <s v="SDATOOL-35350 $ Lean Office (Biblioteca Transaccional y Nuevo Modelo de Impresión)"/>
    <n v="0.5"/>
    <x v="1"/>
    <m/>
    <x v="1"/>
    <x v="0"/>
    <m/>
    <m/>
    <m/>
    <m/>
    <m/>
  </r>
  <r>
    <s v="C808471"/>
    <s v="Moreno Castellanos Omar Alfonso"/>
    <x v="3"/>
    <s v="Oficina"/>
    <s v="BBVA"/>
    <e v="#NAME?"/>
    <s v="NOSDA- BAU $ BAU (Mantenimiento y peq. evolutivos)"/>
    <n v="0.25"/>
    <x v="1"/>
    <m/>
    <x v="1"/>
    <x v="0"/>
    <m/>
    <m/>
    <m/>
    <m/>
    <m/>
  </r>
  <r>
    <s v="C808471"/>
    <s v="Moreno Castellanos Omar Alfonso"/>
    <x v="3"/>
    <s v="Oficina"/>
    <s v="BBVA"/>
    <e v="#NAME?"/>
    <s v="SDATOL-40269 $ Formularios cambio moneda extranjera Nacar"/>
    <n v="0.25"/>
    <x v="1"/>
    <m/>
    <x v="1"/>
    <x v="0"/>
    <m/>
    <m/>
    <m/>
    <m/>
    <m/>
  </r>
  <r>
    <s v="T002734"/>
    <s v="MORENO MUNOZ EMMANUEL"/>
    <x v="1"/>
    <s v="Cumplimiento &amp; Auditoría"/>
    <s v="CAPGEMINI"/>
    <e v="#NAME?"/>
    <s v="SDATOOL-29998 $ Despliegue SAS AML en BBVA CO"/>
    <n v="1"/>
    <x v="1"/>
    <m/>
    <x v="0"/>
    <x v="0"/>
    <m/>
    <m/>
    <m/>
    <m/>
    <m/>
  </r>
  <r>
    <s v="C809514"/>
    <s v="MUÑOZ CEDANO LEONEL"/>
    <x v="0"/>
    <s v="Netcash"/>
    <s v="BBVA"/>
    <e v="#NAME?"/>
    <s v="SDATOOL-37130 $ Pago y domiciliación de recaudo"/>
    <n v="0.75"/>
    <x v="1"/>
    <m/>
    <x v="1"/>
    <x v="0"/>
    <m/>
    <m/>
    <m/>
    <m/>
    <m/>
  </r>
  <r>
    <s v="C809514"/>
    <s v="MUÑOZ CEDANO LEONEL"/>
    <x v="0"/>
    <s v="Netcash"/>
    <s v="BBVA"/>
    <e v="#NAME?"/>
    <s v="SDATOOL-38770 $ Marcación y cobro de comisiones PSE"/>
    <n v="0.25"/>
    <x v="1"/>
    <m/>
    <x v="1"/>
    <x v="0"/>
    <m/>
    <m/>
    <m/>
    <m/>
    <m/>
  </r>
  <r>
    <s v="CE64919"/>
    <s v="MYRIAM GARCIA HERNANDEZ"/>
    <x v="1"/>
    <s v="Finanzas"/>
    <s v="Indra"/>
    <e v="#NAME?"/>
    <s v="NOSDA- BAU $ BAU (Mantenimiento y peq. evolutivos)"/>
    <n v="1"/>
    <x v="1"/>
    <m/>
    <x v="0"/>
    <x v="0"/>
    <m/>
    <m/>
    <m/>
    <m/>
    <m/>
  </r>
  <r>
    <s v="O002661"/>
    <s v="NANCY CATHERINE HERNANDEZ"/>
    <x v="2"/>
    <s v="Loans"/>
    <s v="BBVA"/>
    <e v="#NAME?"/>
    <s v="SDATOOL-34157 $ Evolutivo Parthnership - Crédito en punto de venta de Aliados"/>
    <n v="0.25"/>
    <x v="0"/>
    <m/>
    <x v="1"/>
    <x v="0"/>
    <m/>
    <m/>
    <m/>
    <m/>
    <m/>
  </r>
  <r>
    <s v="O002661"/>
    <s v="NANCY CATHERINE HERNANDEZ"/>
    <x v="2"/>
    <s v="Loans"/>
    <s v="BBVA"/>
    <e v="#NAME?"/>
    <s v="SDATOOL-36548 $ Optimización consumo web - Plan ascenso Open Market"/>
    <n v="0.25"/>
    <x v="0"/>
    <m/>
    <x v="1"/>
    <x v="0"/>
    <m/>
    <m/>
    <m/>
    <m/>
    <m/>
  </r>
  <r>
    <s v="O002661"/>
    <s v="NANCY CATHERINE HERNANDEZ"/>
    <x v="2"/>
    <s v="Loans"/>
    <s v="BBVA"/>
    <e v="#NAME?"/>
    <s v="SDATOOL-39836 $ Vivienda digital fase III"/>
    <n v="0.25"/>
    <x v="0"/>
    <m/>
    <x v="1"/>
    <x v="0"/>
    <m/>
    <m/>
    <m/>
    <m/>
    <m/>
  </r>
  <r>
    <s v="O002661"/>
    <s v="NANCY CATHERINE HERNANDEZ"/>
    <x v="2"/>
    <s v="Loans"/>
    <s v="BBVA"/>
    <e v="#NAME?"/>
    <s v="SDATOOL-34910 $ Libranza Digital"/>
    <n v="0.25"/>
    <x v="0"/>
    <m/>
    <x v="1"/>
    <x v="0"/>
    <m/>
    <m/>
    <m/>
    <m/>
    <m/>
  </r>
  <r>
    <s v="T004057"/>
    <s v="Nancy Yasmid Reatiga Carvajal"/>
    <x v="1"/>
    <s v="Riesgos"/>
    <s v="Inetum"/>
    <e v="#NAME?"/>
    <s v="NOSDA- BAU $ BAU (Mantenimiento y peq. evolutivos)"/>
    <n v="1"/>
    <x v="1"/>
    <m/>
    <x v="0"/>
    <x v="0"/>
    <m/>
    <m/>
    <m/>
    <m/>
    <m/>
  </r>
  <r>
    <s v="T005725"/>
    <s v="NARANJO WILMER FERNEY"/>
    <x v="0"/>
    <s v="Netcash"/>
    <s v="GGI / CMC"/>
    <e v="#NAME?"/>
    <s v="SDATOOL-40482 $ Incluir tasa ponderada en Adquirencia Onboarding digital - Netcash"/>
    <n v="0.5"/>
    <x v="1"/>
    <m/>
    <x v="0"/>
    <x v="0"/>
    <m/>
    <m/>
    <m/>
    <m/>
    <m/>
  </r>
  <r>
    <s v="T005725"/>
    <s v="NARANJO WILMER FERNEY"/>
    <x v="0"/>
    <s v="Netcash"/>
    <s v="GGI / CMC"/>
    <e v="#NAME?"/>
    <s v="SDATOOL-40555 $ ADELANTO DE VENTA EN GEMA"/>
    <n v="0.5"/>
    <x v="1"/>
    <m/>
    <x v="0"/>
    <x v="0"/>
    <m/>
    <m/>
    <m/>
    <m/>
    <m/>
  </r>
  <r>
    <s v="C805989"/>
    <s v="NATALIA ANDREA SAMBONI"/>
    <x v="2"/>
    <s v="Payments"/>
    <s v="BBVA"/>
    <e v="#NAME?"/>
    <s v="SDATOOL-40455 $ Comisión porcentaje compras internacionales Mastercard y Visa Fase 2"/>
    <n v="0.6"/>
    <x v="3"/>
    <m/>
    <x v="1"/>
    <x v="0"/>
    <m/>
    <m/>
    <m/>
    <m/>
    <m/>
  </r>
  <r>
    <s v="C805989"/>
    <s v="NATALIA ANDREA SAMBONI"/>
    <x v="2"/>
    <s v="Payments"/>
    <s v="BBVA"/>
    <e v="#NAME?"/>
    <s v="SDATOOL-40384 $ Cobrar intereses corrientes entre la transacción y la pre-cancelación"/>
    <n v="0.3"/>
    <x v="3"/>
    <m/>
    <x v="1"/>
    <x v="0"/>
    <m/>
    <m/>
    <m/>
    <m/>
    <m/>
  </r>
  <r>
    <s v="C805989"/>
    <s v="NATALIA ANDREA SAMBONI"/>
    <x v="2"/>
    <s v="Payments"/>
    <s v="BBVA"/>
    <e v="#NAME?"/>
    <s v="NOSDA- BAU $ BAU (Mantenimiento y peq. evolutivos)"/>
    <n v="0.1"/>
    <x v="3"/>
    <m/>
    <x v="1"/>
    <x v="0"/>
    <m/>
    <m/>
    <m/>
    <m/>
    <m/>
  </r>
  <r>
    <s v="CE57093"/>
    <s v="NATALIA CANAS YATE "/>
    <x v="0"/>
    <s v="Soluciones financieras (Leasing)"/>
    <s v="Choucair"/>
    <e v="#NAME?"/>
    <s v="SDATOOL-36358 $ Pagos por Terceros (Mandato y/o Administración) - Información exógena DIAN - Resolución 0098 DIAN"/>
    <n v="0.5"/>
    <x v="0"/>
    <m/>
    <x v="0"/>
    <x v="0"/>
    <m/>
    <m/>
    <m/>
    <m/>
    <m/>
  </r>
  <r>
    <s v="CE57093"/>
    <s v="NATALIA CANAS YATE "/>
    <x v="0"/>
    <s v="Soluciones financieras (Leasing)"/>
    <s v="Choucair"/>
    <e v="#NAME?"/>
    <s v="SDATOOL-33847 $ Resolución 0042 DIAN Documento Soporte"/>
    <n v="0.5"/>
    <x v="0"/>
    <m/>
    <x v="0"/>
    <x v="0"/>
    <m/>
    <m/>
    <m/>
    <m/>
    <m/>
  </r>
  <r>
    <s v="CE67866"/>
    <s v="NATALIA ORTIZ MALDONADO "/>
    <x v="0"/>
    <s v="Senda"/>
    <s v="Accenture"/>
    <e v="#NAME?"/>
    <s v="SDATOOL-40457 $ SENDA (Base)"/>
    <n v="1"/>
    <x v="1"/>
    <m/>
    <x v="0"/>
    <x v="0"/>
    <m/>
    <m/>
    <m/>
    <m/>
    <m/>
  </r>
  <r>
    <s v="C811233"/>
    <s v="NATALIA REYES LOPEZ"/>
    <x v="2"/>
    <s v="Accounts"/>
    <s v="BBVA"/>
    <e v="#NAME?"/>
    <s v="NOSDA- BAU $ BAU (Mantenimiento y peq. evolutivos)"/>
    <n v="0.5"/>
    <x v="0"/>
    <s v="Tester"/>
    <x v="1"/>
    <x v="0"/>
    <m/>
    <m/>
    <m/>
    <m/>
    <m/>
  </r>
  <r>
    <s v="C811233"/>
    <s v="NATALIA REYES LOPEZ"/>
    <x v="2"/>
    <s v="Accounts"/>
    <s v="BBVA"/>
    <e v="#NAME?"/>
    <s v="SDATOOL-39506 $ Cuenta Sostenible"/>
    <n v="0.5"/>
    <x v="0"/>
    <s v="Tester"/>
    <x v="1"/>
    <x v="0"/>
    <m/>
    <m/>
    <m/>
    <m/>
    <m/>
  </r>
  <r>
    <s v="C342537"/>
    <s v="Navarro Torres Javier Dario"/>
    <x v="3"/>
    <s v="Oficina"/>
    <s v="BBVA"/>
    <e v="#NAME?"/>
    <s v="SDATOOL-37761 $ Plan transformación de procesos"/>
    <n v="0.5"/>
    <x v="1"/>
    <m/>
    <x v="1"/>
    <x v="0"/>
    <m/>
    <m/>
    <m/>
    <m/>
    <m/>
  </r>
  <r>
    <s v="C342537"/>
    <s v="Navarro Torres Javier Dario"/>
    <x v="3"/>
    <s v="Oficina"/>
    <s v="BBVA"/>
    <e v="#NAME?"/>
    <s v="SDATOOL-35350 $ Lean Office (Biblioteca Transaccional y Nuevo Modelo de Impresión)"/>
    <n v="0.5"/>
    <x v="1"/>
    <m/>
    <x v="1"/>
    <x v="0"/>
    <m/>
    <m/>
    <m/>
    <m/>
    <m/>
  </r>
  <r>
    <s v="CE40475"/>
    <s v="Nelson Ferrucho"/>
    <x v="3"/>
    <s v="Net"/>
    <s v="SII"/>
    <e v="#NAME?"/>
    <s v="SDATOOL-38527 $ Pagaré Electrónico en flujos de Contratación digital"/>
    <n v="1"/>
    <x v="1"/>
    <m/>
    <x v="0"/>
    <x v="0"/>
    <m/>
    <m/>
    <m/>
    <m/>
    <m/>
  </r>
  <r>
    <s v="C342045"/>
    <s v="NELSON JAVIER MONCADA GELVES"/>
    <x v="3"/>
    <s v="Móvil"/>
    <s v="BBVA"/>
    <e v="#NAME?"/>
    <s v="SDATOOL-9053 $ GloMo Colombia"/>
    <n v="1"/>
    <x v="1"/>
    <m/>
    <x v="1"/>
    <x v="0"/>
    <m/>
    <m/>
    <m/>
    <m/>
    <m/>
  </r>
  <r>
    <s v="C802949"/>
    <s v="NESTOR EDUARDO SILVA VERGARA "/>
    <x v="1"/>
    <s v="Finanzas"/>
    <s v="BBVA"/>
    <e v="#NAME?"/>
    <s v="NOSDA- BAU $ BAU (Mantenimiento y peq. evolutivos)"/>
    <n v="1"/>
    <x v="2"/>
    <m/>
    <x v="1"/>
    <x v="0"/>
    <m/>
    <m/>
    <m/>
    <m/>
    <m/>
  </r>
  <r>
    <s v="C805958"/>
    <s v="NICO NIÑO VERGARA"/>
    <x v="2"/>
    <s v="Payments"/>
    <s v="BBVA"/>
    <e v="#NAME?"/>
    <s v="SDATOOL-37057 $ Pagos QR - Entre cuentas Redeban - Plan Ascenso Mercurio"/>
    <n v="1"/>
    <x v="1"/>
    <m/>
    <x v="1"/>
    <x v="0"/>
    <m/>
    <m/>
    <m/>
    <m/>
    <m/>
  </r>
  <r>
    <s v="CE69818"/>
    <s v="NICOLAS  MORENO AREVALO"/>
    <x v="0"/>
    <s v="Senda"/>
    <s v="GGI / CMC"/>
    <e v="#NAME?"/>
    <s v="SDATOOL-40528 $ ETPB - SENDA PAGOS"/>
    <n v="1"/>
    <x v="1"/>
    <m/>
    <x v="0"/>
    <x v="0"/>
    <m/>
    <m/>
    <m/>
    <m/>
    <m/>
  </r>
  <r>
    <s v="CE59970"/>
    <s v="NICOLAS ALEXANDER ALDANA MENDOZA"/>
    <x v="2"/>
    <s v="Accounts"/>
    <s v="SII"/>
    <e v="#NAME?"/>
    <s v="NOSDA- BAU $ BAU (Mantenimiento y peq. evolutivos)"/>
    <n v="1"/>
    <x v="1"/>
    <m/>
    <x v="0"/>
    <x v="0"/>
    <m/>
    <m/>
    <m/>
    <m/>
    <m/>
  </r>
  <r>
    <s v="CE70907"/>
    <s v="Nicolas Bedoya Montealegre"/>
    <x v="3"/>
    <s v="Móvil"/>
    <s v="Neoris"/>
    <e v="#NAME?"/>
    <s v="SDATOOL-38489 $ Horizon BTGR - Colombia"/>
    <n v="1"/>
    <x v="1"/>
    <m/>
    <x v="0"/>
    <x v="0"/>
    <m/>
    <m/>
    <m/>
    <m/>
    <m/>
  </r>
  <r>
    <s v="T000274"/>
    <s v="Nicolas Bohorquez Leguizamo"/>
    <x v="3"/>
    <s v="Net"/>
    <s v="GGI / CMC"/>
    <e v="#NAME?"/>
    <s v="SDATOOL-36558 $ Transfiya:Transferencias interbancarias inmediatas - Plan Ascenso Privado"/>
    <n v="1"/>
    <x v="1"/>
    <m/>
    <x v="0"/>
    <x v="0"/>
    <m/>
    <m/>
    <m/>
    <m/>
    <m/>
  </r>
  <r>
    <s v="CE66887"/>
    <s v="Nicolas Bolivar Battle"/>
    <x v="3"/>
    <s v="Net"/>
    <s v="KRYPTO"/>
    <e v="#NAME?"/>
    <s v="SDATOOL-38527 $ Pagaré Electrónico en flujos de Contratación digital"/>
    <n v="1"/>
    <x v="0"/>
    <m/>
    <x v="0"/>
    <x v="0"/>
    <m/>
    <m/>
    <m/>
    <m/>
    <m/>
  </r>
  <r>
    <s v="CE61633"/>
    <s v="Nicolas Eduardo Loaiza"/>
    <x v="3"/>
    <s v="Móvil"/>
    <s v="GGI / CMC"/>
    <e v="#NAME?"/>
    <s v="SDATOOL-9053 $ GloMo Colombia"/>
    <n v="1"/>
    <x v="0"/>
    <m/>
    <x v="0"/>
    <x v="0"/>
    <m/>
    <m/>
    <m/>
    <m/>
    <m/>
  </r>
  <r>
    <s v="T004574"/>
    <s v="Nicolás Enrique Arango Buitrago"/>
    <x v="3"/>
    <s v="Canales asistidos Call Center / Gest. remota"/>
    <s v="GGI / CMC"/>
    <e v="#NAME?"/>
    <s v="SDATOOL-39870 $ Front - Unificación de pantallas Contac Center"/>
    <n v="1"/>
    <x v="1"/>
    <m/>
    <x v="0"/>
    <x v="0"/>
    <m/>
    <m/>
    <m/>
    <m/>
    <m/>
  </r>
  <r>
    <s v="C805988"/>
    <s v="NICOLAS MUÑOZ"/>
    <x v="2"/>
    <s v="Loans"/>
    <s v="BBVA"/>
    <e v="#NAME?"/>
    <s v="SDATOOL-36522 $ Libranza E2E digital Fase III - Plan Ascenso Privado"/>
    <n v="0.75"/>
    <x v="1"/>
    <m/>
    <x v="1"/>
    <x v="0"/>
    <m/>
    <m/>
    <m/>
    <m/>
    <m/>
  </r>
  <r>
    <s v="C805988"/>
    <s v="NICOLAS MUÑOZ"/>
    <x v="2"/>
    <s v="Loans"/>
    <s v="BBVA"/>
    <e v="#NAME?"/>
    <s v="SDATOOL-39272 $ GRM-Col-Cambio servicio APL (Aportes en línea)"/>
    <n v="0.25"/>
    <x v="1"/>
    <m/>
    <x v="1"/>
    <x v="0"/>
    <m/>
    <m/>
    <m/>
    <m/>
    <m/>
  </r>
  <r>
    <s v="CE64752"/>
    <s v="NIDIA CONTRERAS HERNANDEZ"/>
    <x v="2"/>
    <s v="Cross/Personas y Arq. Host"/>
    <s v="KRYPTO"/>
    <e v="#NAME?"/>
    <s v="NOSDA- BAU $ BAU (Mantenimiento y peq. evolutivos)"/>
    <n v="0.5"/>
    <x v="0"/>
    <m/>
    <x v="0"/>
    <x v="0"/>
    <m/>
    <m/>
    <m/>
    <m/>
    <m/>
  </r>
  <r>
    <s v="T005765"/>
    <s v="Niteen Kumar Kanaiya"/>
    <x v="1"/>
    <s v="Cumplimiento &amp; Auditoría"/>
    <s v="CAPGEMINI"/>
    <e v="#NAME?"/>
    <s v="SDATOOL-29998 $ Despliegue SAS AML en BBVA CO"/>
    <n v="1"/>
    <x v="1"/>
    <m/>
    <x v="0"/>
    <x v="0"/>
    <m/>
    <m/>
    <m/>
    <m/>
    <m/>
  </r>
  <r>
    <s v="T007579"/>
    <s v="Nubia Sanchez"/>
    <x v="3"/>
    <s v="Open Market"/>
    <s v="Neoris"/>
    <e v="#NAME?"/>
    <s v="SDATOOL-37055 $ Cash in- PSE - Plan Ascenso Privado"/>
    <n v="1"/>
    <x v="1"/>
    <m/>
    <x v="0"/>
    <x v="0"/>
    <m/>
    <m/>
    <m/>
    <m/>
    <m/>
  </r>
  <r>
    <s v="CE68502"/>
    <s v="Nydia Forero"/>
    <x v="3"/>
    <s v="Móvil"/>
    <s v="SII"/>
    <e v="#NAME?"/>
    <s v="SDATOOL-9053 $ GloMo Colombia"/>
    <n v="1"/>
    <x v="0"/>
    <m/>
    <x v="0"/>
    <x v="0"/>
    <m/>
    <m/>
    <m/>
    <m/>
    <m/>
  </r>
  <r>
    <s v="CE66039"/>
    <s v="OCAMPO RODRIGUEZ JOHN JAILER"/>
    <x v="0"/>
    <s v="Netcash"/>
    <s v="GGI / CMC"/>
    <e v="#NAME?"/>
    <s v="SDATOOL-37169 $ EGS: Salto país y softoken"/>
    <n v="1"/>
    <x v="1"/>
    <m/>
    <x v="0"/>
    <x v="0"/>
    <m/>
    <m/>
    <m/>
    <m/>
    <m/>
  </r>
  <r>
    <s v="C809591"/>
    <s v="Ojeda Alvarez Kevin Orlando"/>
    <x v="1"/>
    <s v="Riesgos"/>
    <s v="BBVA"/>
    <e v="#NAME?"/>
    <s v="SDATOOL-39463 $ GRM Col - Actualización Versión Power Curve."/>
    <n v="0.5"/>
    <x v="1"/>
    <m/>
    <x v="1"/>
    <x v="0"/>
    <m/>
    <m/>
    <m/>
    <m/>
    <m/>
  </r>
  <r>
    <s v="C809591"/>
    <s v="Ojeda Alvarez Kevin Orlando"/>
    <x v="1"/>
    <s v="Riesgos"/>
    <s v="BBVA"/>
    <e v="#NAME?"/>
    <s v="SDATOOL-41203 $ Obsolescencia Aplicativa 2023"/>
    <n v="0.15"/>
    <x v="1"/>
    <m/>
    <x v="1"/>
    <x v="0"/>
    <m/>
    <m/>
    <m/>
    <m/>
    <m/>
  </r>
  <r>
    <s v="C809591"/>
    <s v="Ojeda Alvarez Kevin Orlando"/>
    <x v="1"/>
    <s v="Riesgos"/>
    <s v="BBVA"/>
    <e v="#NAME?"/>
    <s v="SDATOOL-33846 $ SREP Data Quality- BCBS239 - Colombia"/>
    <n v="0.35"/>
    <x v="1"/>
    <m/>
    <x v="1"/>
    <x v="0"/>
    <m/>
    <m/>
    <m/>
    <m/>
    <m/>
  </r>
  <r>
    <s v="C810910"/>
    <s v="OLIVOS FONSECA JONATHAN STEVEN"/>
    <x v="0"/>
    <s v="Netcash"/>
    <s v="BBVA"/>
    <e v="#NAME?"/>
    <s v="SDATOOL-38731 $ Prenotificaciones Canales Directos"/>
    <n v="0.25"/>
    <x v="1"/>
    <m/>
    <x v="1"/>
    <x v="0"/>
    <m/>
    <m/>
    <m/>
    <m/>
    <m/>
  </r>
  <r>
    <s v="C810910"/>
    <s v="OLIVOS FONSECA JONATHAN STEVEN"/>
    <x v="0"/>
    <s v="Netcash"/>
    <s v="BBVA"/>
    <e v="#NAME?"/>
    <s v="NOSDA- BAU $ BAU (Mantenimiento y peq. evolutivos)"/>
    <n v="0.75"/>
    <x v="1"/>
    <m/>
    <x v="1"/>
    <x v="0"/>
    <m/>
    <m/>
    <m/>
    <m/>
    <m/>
  </r>
  <r>
    <s v="CE57586"/>
    <s v="Omar Esteban Matuk"/>
    <x v="3"/>
    <s v="Canales asistidos CB"/>
    <s v="GGI / CMC"/>
    <e v="#NAME?"/>
    <s v="SDATOOL-40581 $ Corresponsal Bancario Ya Ganaste"/>
    <n v="0.5"/>
    <x v="1"/>
    <m/>
    <x v="0"/>
    <x v="0"/>
    <m/>
    <m/>
    <m/>
    <m/>
    <m/>
  </r>
  <r>
    <s v="CE57586"/>
    <s v="Omar Esteban Matuk"/>
    <x v="3"/>
    <s v="Canales asistidos CB"/>
    <s v="GGI / CMC"/>
    <e v="#NAME?"/>
    <s v="SDATOOL-39871 $ Cbs Gelsa Paga todo"/>
    <n v="0.25"/>
    <x v="1"/>
    <m/>
    <x v="0"/>
    <x v="0"/>
    <m/>
    <m/>
    <m/>
    <m/>
    <m/>
  </r>
  <r>
    <s v="CE57586"/>
    <s v="Omar Esteban Matuk"/>
    <x v="3"/>
    <s v="Canales asistidos CB"/>
    <s v="GGI / CMC"/>
    <e v="#NAME?"/>
    <s v="SDATOOL-41709 $ Fraccionamiento de transacciones en CBs"/>
    <n v="0.25"/>
    <x v="1"/>
    <m/>
    <x v="0"/>
    <x v="0"/>
    <m/>
    <m/>
    <m/>
    <m/>
    <m/>
  </r>
  <r>
    <s v="CE56109"/>
    <s v="OMAR FERNANDO ORTEGÓN VARGAS"/>
    <x v="2"/>
    <s v="Loans"/>
    <s v="Neoris"/>
    <e v="#NAME?"/>
    <s v="NOSDA- BAU $ BAU (Mantenimiento y peq. evolutivos)"/>
    <n v="1"/>
    <x v="1"/>
    <m/>
    <x v="0"/>
    <x v="0"/>
    <m/>
    <m/>
    <m/>
    <m/>
    <m/>
  </r>
  <r>
    <s v="CE52035"/>
    <s v="Orlando Salvador Mora Andrade"/>
    <x v="1"/>
    <s v="Finanzas"/>
    <s v="GGI / CMC"/>
    <e v="#NAME?"/>
    <s v="SDATOOL-36929 $ Ciclo 1 - Resolución 098 de 2020 DIAN - Reportes de Información Exogena"/>
    <n v="0.2"/>
    <x v="2"/>
    <m/>
    <x v="0"/>
    <x v="0"/>
    <m/>
    <m/>
    <m/>
    <m/>
    <m/>
  </r>
  <r>
    <s v="CE52035"/>
    <s v="Orlando Salvador Mora Andrade"/>
    <x v="1"/>
    <s v="Finanzas"/>
    <s v="GGI / CMC"/>
    <e v="#NAME?"/>
    <s v="SDATOOL-37681 $ Ciclo 2 - Resolución 0098 de Octubre 28 de 2020 - Reportes información Exógena Base Impuestos"/>
    <n v="0.2"/>
    <x v="2"/>
    <m/>
    <x v="0"/>
    <x v="0"/>
    <m/>
    <m/>
    <m/>
    <m/>
    <m/>
  </r>
  <r>
    <s v="CE52035"/>
    <s v="Orlando Salvador Mora Andrade"/>
    <x v="1"/>
    <s v="Finanzas"/>
    <s v="GGI / CMC"/>
    <e v="#NAME?"/>
    <s v="SDATOOL-40003 $ Resolución 0124 DIAN 2021 - Créditos Hipotecarios para remodelación de Vivienda"/>
    <n v="0.2"/>
    <x v="2"/>
    <m/>
    <x v="0"/>
    <x v="0"/>
    <m/>
    <m/>
    <m/>
    <m/>
    <m/>
  </r>
  <r>
    <s v="CE52035"/>
    <s v="Orlando Salvador Mora Andrade"/>
    <x v="1"/>
    <s v="Finanzas"/>
    <s v="GGI / CMC"/>
    <e v="#NAME?"/>
    <s v="SDATOOL-40225 $ Resolución 0124 Dian - 2021 - Ajustes para Reporte de Información Exógena año gravable 2022 - Ciclo 1"/>
    <n v="0.2"/>
    <x v="2"/>
    <m/>
    <x v="0"/>
    <x v="0"/>
    <m/>
    <m/>
    <m/>
    <m/>
    <m/>
  </r>
  <r>
    <s v="CE52035"/>
    <s v="Orlando Salvador Mora Andrade"/>
    <x v="1"/>
    <s v="Finanzas"/>
    <s v="GGI / CMC"/>
    <e v="#NAME?"/>
    <s v="SDATOOL-38583 $ FUSIONES Y ACTUALIZACION DE IDENTIFICACIONES"/>
    <n v="0.2"/>
    <x v="2"/>
    <m/>
    <x v="0"/>
    <x v="0"/>
    <m/>
    <m/>
    <m/>
    <m/>
    <m/>
  </r>
  <r>
    <s v="T003450"/>
    <s v="OSCAR ALBERTO SALAMANCA CHACON"/>
    <x v="2"/>
    <s v="Loans"/>
    <s v="Globant"/>
    <e v="#NAME?"/>
    <s v="SDATOOL-34910 $ Libranza Digital"/>
    <n v="1"/>
    <x v="1"/>
    <m/>
    <x v="0"/>
    <x v="0"/>
    <m/>
    <m/>
    <m/>
    <m/>
    <m/>
  </r>
  <r>
    <s v="T000607"/>
    <s v="Oscar Andres Bernal Quiroz"/>
    <x v="3"/>
    <s v="Móvil"/>
    <s v="Neoris"/>
    <e v="#NAME?"/>
    <s v="SDATOOL-38489 $ Horizon BTGR - Colombia"/>
    <n v="1"/>
    <x v="1"/>
    <m/>
    <x v="0"/>
    <x v="0"/>
    <m/>
    <m/>
    <m/>
    <m/>
    <m/>
  </r>
  <r>
    <s v="O001976"/>
    <s v="OSCAR ANDRES CARDOZA OLANO"/>
    <x v="2"/>
    <s v="Cross/Personas y Arq. Host"/>
    <s v="BBVA"/>
    <e v="#NAME?"/>
    <s v="SDATOOL-41171 $ CBS Core Banking Strategy Convivencia Clients and Contracts"/>
    <n v="0.9"/>
    <x v="1"/>
    <m/>
    <x v="1"/>
    <x v="0"/>
    <m/>
    <m/>
    <m/>
    <m/>
    <m/>
  </r>
  <r>
    <s v="O001976"/>
    <s v="OSCAR ANDRES CARDOZA OLANO"/>
    <x v="2"/>
    <s v="Cross/Personas y Arq. Host"/>
    <s v="BBVA"/>
    <e v="#NAME?"/>
    <s v="NOSDA- BAU $ BAU (Mantenimiento y peq. evolutivos)"/>
    <n v="0.1"/>
    <x v="1"/>
    <m/>
    <x v="1"/>
    <x v="0"/>
    <m/>
    <m/>
    <m/>
    <m/>
    <m/>
  </r>
  <r>
    <s v="O000443"/>
    <s v="OSCAR BARBOSA OSPINA"/>
    <x v="2"/>
    <s v="Cross/Personas y Arq. Host"/>
    <s v="BBVA"/>
    <e v="#NAME?"/>
    <s v="SDATOOL-28728 $ Contratación electrónica/digital de empleados y Carpeta Virtual 2.0"/>
    <n v="1"/>
    <x v="2"/>
    <m/>
    <x v="1"/>
    <x v="0"/>
    <m/>
    <m/>
    <m/>
    <m/>
    <m/>
  </r>
  <r>
    <s v="C810943"/>
    <s v="OSCAR DANIEL OÑATE CASTILLA"/>
    <x v="2"/>
    <s v="Loans"/>
    <s v="BBVA"/>
    <e v="#NAME?"/>
    <s v="SDATOOL-36522 $ Libranza E2E digital Fase III - Plan Ascenso Privado"/>
    <n v="1"/>
    <x v="1"/>
    <m/>
    <x v="1"/>
    <x v="0"/>
    <m/>
    <m/>
    <m/>
    <m/>
    <m/>
  </r>
  <r>
    <s v="C805907"/>
    <s v="Oscar Dario Velásquez"/>
    <x v="3"/>
    <s v="Net"/>
    <s v="BBVA"/>
    <e v="#NAME?"/>
    <s v="SDATOOL-39246 $ Nuevo tipo de identificación para extranjeros"/>
    <n v="0.25"/>
    <x v="1"/>
    <m/>
    <x v="1"/>
    <x v="0"/>
    <m/>
    <m/>
    <m/>
    <m/>
    <m/>
  </r>
  <r>
    <s v="C805907"/>
    <s v="Oscar Dario Velásquez"/>
    <x v="3"/>
    <s v="Net"/>
    <s v="BBVA"/>
    <e v="#NAME?"/>
    <s v="SDATOOL-9053 $ GloMo Colombia"/>
    <n v="0.75"/>
    <x v="1"/>
    <m/>
    <x v="1"/>
    <x v="0"/>
    <m/>
    <m/>
    <m/>
    <m/>
    <m/>
  </r>
  <r>
    <s v="C804047"/>
    <s v="OSCAR EDILBERTO MESA TRUJILLO"/>
    <x v="0"/>
    <s v="Senda"/>
    <s v="BBVA"/>
    <e v="#NAME?"/>
    <s v="SDATOOL-40528 $ ETPB - SENDA PAGOS"/>
    <n v="1"/>
    <x v="2"/>
    <m/>
    <x v="1"/>
    <x v="0"/>
    <m/>
    <m/>
    <m/>
    <m/>
    <m/>
  </r>
  <r>
    <s v="CE70651"/>
    <s v="Oscar Freddy Roncancio Zea"/>
    <x v="3"/>
    <s v="Móvil"/>
    <s v="Neoris"/>
    <e v="#NAME?"/>
    <s v="SDATOOL-9053 $ GloMo Colombia"/>
    <n v="1"/>
    <x v="0"/>
    <m/>
    <x v="0"/>
    <x v="0"/>
    <m/>
    <m/>
    <m/>
    <m/>
    <m/>
  </r>
  <r>
    <s v="CE65205"/>
    <s v="OSCAR JAVIER ALVAREZ CAMACHO"/>
    <x v="0"/>
    <s v="Gema"/>
    <s v="GGI / CMC"/>
    <e v="#NAME?"/>
    <s v="SDATOOL-32905 $ Global Enterprises Mobile App (GEMA)"/>
    <n v="1"/>
    <x v="3"/>
    <m/>
    <x v="0"/>
    <x v="0"/>
    <m/>
    <m/>
    <m/>
    <m/>
    <m/>
  </r>
  <r>
    <s v="CE27209"/>
    <s v="Oscar Manuel Diaz Fique"/>
    <x v="1"/>
    <s v="Finanzas"/>
    <s v="GGI / CMC"/>
    <e v="#NAME?"/>
    <s v="SDATOOL-40225 $ Resolución 0124 Dian - 2021 - Ajustes para Reporte de Información Exógena año gravable 2022 - Ciclo 1"/>
    <n v="1"/>
    <x v="1"/>
    <m/>
    <x v="0"/>
    <x v="0"/>
    <m/>
    <m/>
    <m/>
    <m/>
    <m/>
  </r>
  <r>
    <s v="CE67312"/>
    <s v="Oscar Mauricio Lozano"/>
    <x v="3"/>
    <s v="Móvil"/>
    <s v="GGI / CMC"/>
    <e v="#NAME?"/>
    <s v="SDATOOL-9053 $ GloMo Colombia"/>
    <n v="1"/>
    <x v="0"/>
    <m/>
    <x v="0"/>
    <x v="0"/>
    <m/>
    <m/>
    <m/>
    <m/>
    <m/>
  </r>
  <r>
    <s v="C804561"/>
    <s v="OSCAR ORLANDO ACEVEDO FERRER"/>
    <x v="2"/>
    <s v="Accounts"/>
    <s v="BBVA"/>
    <e v="#NAME?"/>
    <s v="SDATOOL-33065 $ Remesas BTS"/>
    <n v="0.15"/>
    <x v="1"/>
    <m/>
    <x v="1"/>
    <x v="0"/>
    <m/>
    <m/>
    <m/>
    <m/>
    <m/>
  </r>
  <r>
    <s v="C804561"/>
    <s v="OSCAR ORLANDO ACEVEDO FERRER"/>
    <x v="2"/>
    <s v="Accounts"/>
    <s v="BBVA"/>
    <e v="#NAME?"/>
    <s v="SDATOOL-39457 $ Generación MT940 Fines de Semana y Festivos"/>
    <n v="0.15"/>
    <x v="1"/>
    <m/>
    <x v="1"/>
    <x v="0"/>
    <m/>
    <m/>
    <m/>
    <m/>
    <m/>
  </r>
  <r>
    <s v="C804561"/>
    <s v="OSCAR ORLANDO ACEVEDO FERRER"/>
    <x v="2"/>
    <s v="Accounts"/>
    <s v="BBVA"/>
    <e v="#NAME?"/>
    <s v="SDATOOL-40653 $ GRM Col - Calibración de factores para el cálculo del Coeficiente de Fondeo Estable Neto"/>
    <n v="0.5"/>
    <x v="1"/>
    <m/>
    <x v="1"/>
    <x v="0"/>
    <m/>
    <m/>
    <m/>
    <m/>
    <m/>
  </r>
  <r>
    <s v="C804561"/>
    <s v="OSCAR ORLANDO ACEVEDO FERRER"/>
    <x v="2"/>
    <s v="Accounts"/>
    <s v="BBVA"/>
    <e v="#NAME?"/>
    <s v="NOSDA- BAU $ BAU (Mantenimiento y peq. evolutivos)"/>
    <n v="0.2"/>
    <x v="1"/>
    <m/>
    <x v="1"/>
    <x v="0"/>
    <m/>
    <m/>
    <m/>
    <m/>
    <m/>
  </r>
  <r>
    <s v="CE59964"/>
    <s v="OSCAR YECID  SANCHEZ ZAMORA"/>
    <x v="0"/>
    <s v="Senda"/>
    <s v="Neoris"/>
    <e v="#NAME?"/>
    <s v="SDATOOL-40528 $ ETPB - SENDA PAGOS"/>
    <n v="1"/>
    <x v="1"/>
    <m/>
    <x v="0"/>
    <x v="0"/>
    <m/>
    <m/>
    <m/>
    <m/>
    <m/>
  </r>
  <r>
    <s v="T002794"/>
    <s v="OSVALDO JAVIER LOPEZ CASTILLO"/>
    <x v="0"/>
    <s v="Soluciones financieras (Factoring)"/>
    <s v="DIMENSION"/>
    <e v="#NAME?"/>
    <s v="NOSDA- BAU $ BAU (Mantenimiento y peq. evolutivos)"/>
    <n v="1"/>
    <x v="1"/>
    <m/>
    <x v="0"/>
    <x v="0"/>
    <m/>
    <m/>
    <m/>
    <m/>
    <m/>
  </r>
  <r>
    <s v="C811005"/>
    <s v="OTALORA LEIVA LUIS FERNANDO"/>
    <x v="0"/>
    <s v="Netcash"/>
    <s v="BBVA"/>
    <e v="#NAME?"/>
    <s v="SDATOOL-39358 $ Crédito Virtual"/>
    <n v="0.75"/>
    <x v="1"/>
    <m/>
    <x v="1"/>
    <x v="0"/>
    <m/>
    <m/>
    <m/>
    <m/>
    <m/>
  </r>
  <r>
    <s v="C811005"/>
    <s v="OTALORA LEIVA LUIS FERNANDO"/>
    <x v="0"/>
    <s v="Netcash"/>
    <s v="BBVA"/>
    <e v="#NAME?"/>
    <s v="SDATOOL-40555 $ ADELANTO DE VENTA EN GEMA"/>
    <n v="0.25"/>
    <x v="1"/>
    <m/>
    <x v="1"/>
    <x v="0"/>
    <m/>
    <m/>
    <m/>
    <m/>
    <m/>
  </r>
  <r>
    <s v="C811321"/>
    <s v="OTTO JADIR SAGUIT SANTOS ALBARRACIN"/>
    <x v="0"/>
    <s v="Soluciones financieras (Leasing)"/>
    <s v="BBVA"/>
    <e v="#NAME?"/>
    <s v="SDATOOL-39334 $ GRM Col Reg - CE016-19 Modificados, reestructurados e incumplidos Leasing"/>
    <n v="1"/>
    <x v="1"/>
    <m/>
    <x v="1"/>
    <x v="0"/>
    <m/>
    <m/>
    <m/>
    <m/>
    <m/>
  </r>
  <r>
    <s v="CE59969"/>
    <s v="Pablo Antonio Marquez"/>
    <x v="3"/>
    <s v="Canales asistidos Call Center / Gest. remota"/>
    <s v="Novatec"/>
    <e v="#NAME?"/>
    <s v="SDATOOL-39870 $ Front - Unificación de pantallas Contac Center"/>
    <n v="1"/>
    <x v="1"/>
    <m/>
    <x v="0"/>
    <x v="0"/>
    <m/>
    <m/>
    <m/>
    <m/>
    <m/>
  </r>
  <r>
    <s v="C810855"/>
    <s v="PALACIO CHAVES ANDRES FELIPE"/>
    <x v="0"/>
    <s v="Netcash"/>
    <s v="BBVA"/>
    <e v="#NAME?"/>
    <s v="SDATOOL-40555 $ ADELANTO DE VENTA EN GEMA"/>
    <n v="0.25"/>
    <x v="1"/>
    <m/>
    <x v="1"/>
    <x v="0"/>
    <m/>
    <m/>
    <m/>
    <m/>
    <m/>
  </r>
  <r>
    <s v="C810855"/>
    <s v="PALACIO CHAVES ANDRES FELIPE"/>
    <x v="0"/>
    <s v="Netcash"/>
    <s v="BBVA"/>
    <e v="#NAME?"/>
    <s v="SDATOOL-40482 $ Incluir tasa ponderada en Adquirencia Onboarding digital - Netcash"/>
    <n v="0.5"/>
    <x v="1"/>
    <m/>
    <x v="1"/>
    <x v="0"/>
    <m/>
    <m/>
    <m/>
    <m/>
    <m/>
  </r>
  <r>
    <s v="C810855"/>
    <s v="PALACIO CHAVES ANDRES FELIPE"/>
    <x v="0"/>
    <s v="Netcash"/>
    <s v="BBVA"/>
    <e v="#NAME?"/>
    <s v="SDATOOL-37130 $ Pago y domiciliación de recaudo"/>
    <n v="0.25"/>
    <x v="1"/>
    <m/>
    <x v="1"/>
    <x v="0"/>
    <m/>
    <m/>
    <m/>
    <m/>
    <m/>
  </r>
  <r>
    <s v="C805239"/>
    <s v="Paola Marcela Moreno Sanabria"/>
    <x v="2"/>
    <s v="Cross/BPM"/>
    <s v="BBVA"/>
    <e v="#NAME?"/>
    <s v="NOSDA- BAU $ BAU (Mantenimiento y peq. evolutivos)"/>
    <n v="0.95"/>
    <x v="1"/>
    <s v="MN-Cancelacion de garatias"/>
    <x v="1"/>
    <x v="0"/>
    <m/>
    <m/>
    <m/>
    <m/>
    <m/>
  </r>
  <r>
    <s v="C805239"/>
    <s v="Paola Marcela Moreno Sanabria"/>
    <x v="2"/>
    <s v="Cross/BPM"/>
    <s v="BBVA"/>
    <e v="#NAME?"/>
    <s v="SDATOOL-37753 $ Plan de transformación de operaciones 2022"/>
    <n v="0.05"/>
    <x v="1"/>
    <s v="Wizard"/>
    <x v="1"/>
    <x v="0"/>
    <m/>
    <m/>
    <m/>
    <m/>
    <m/>
  </r>
  <r>
    <s v="CE68432"/>
    <s v="PAUL JONATHAN VALENCIA MUÑOZ"/>
    <x v="0"/>
    <s v="Soluciones financieras (Factoring)"/>
    <s v="Choucair"/>
    <e v="#NAME?"/>
    <s v="SDATOOL-36547 $ PLAN MAYOR -PLAN MENOR. Plan ascenso Open Market"/>
    <n v="1"/>
    <x v="0"/>
    <m/>
    <x v="0"/>
    <x v="0"/>
    <m/>
    <m/>
    <m/>
    <m/>
    <m/>
  </r>
  <r>
    <s v="T003439"/>
    <s v="Paula Janeth moreno Escobar"/>
    <x v="1"/>
    <s v="Riesgos"/>
    <s v="Neoris"/>
    <e v="#NAME?"/>
    <s v="SDATOOL-40710 $ GRM Col - Cronos - Plan Ascenso - Mejoras CAP Pymes Fase II"/>
    <n v="0.5"/>
    <x v="1"/>
    <m/>
    <x v="0"/>
    <x v="0"/>
    <m/>
    <m/>
    <m/>
    <m/>
    <m/>
  </r>
  <r>
    <s v="T003439"/>
    <s v="Paula Janeth moreno Escobar"/>
    <x v="1"/>
    <s v="Riesgos"/>
    <s v="Neoris"/>
    <e v="#NAME?"/>
    <s v="SDATOOL-39830 $ GRM Col - Plan Ascenso - Mejoras CAP Pymes"/>
    <n v="0.1"/>
    <x v="1"/>
    <m/>
    <x v="0"/>
    <x v="0"/>
    <m/>
    <m/>
    <m/>
    <m/>
    <m/>
  </r>
  <r>
    <s v="T003439"/>
    <s v="Paula Janeth moreno Escobar"/>
    <x v="1"/>
    <s v="Riesgos"/>
    <s v="Neoris"/>
    <e v="#NAME?"/>
    <s v="SDATOOL-38443 $ Arce Empresas Colombia"/>
    <n v="0.4"/>
    <x v="1"/>
    <m/>
    <x v="0"/>
    <x v="0"/>
    <m/>
    <m/>
    <m/>
    <m/>
    <m/>
  </r>
  <r>
    <s v="CE69341"/>
    <s v="PAULA MARCELA MOLINA LEGUIZAMO "/>
    <x v="0"/>
    <s v="Soluciones financieras (Leasing)"/>
    <s v="Choucair"/>
    <e v="#NAME?"/>
    <s v="SDATOOL-36358 $ Pagos por Terceros (Mandato y/o Administración) - Información exógena DIAN - Resolución 0098 DIAN"/>
    <n v="1"/>
    <x v="0"/>
    <m/>
    <x v="0"/>
    <x v="0"/>
    <m/>
    <m/>
    <m/>
    <m/>
    <m/>
  </r>
  <r>
    <s v="C805945"/>
    <s v="PAULO CESAR SALDARRIAGA"/>
    <x v="2"/>
    <s v="Cross/Personas y Arq. Host"/>
    <s v="BBVA"/>
    <e v="#NAME?"/>
    <s v="SDATOOL-41171 $ CBS Core Banking Strategy Convivencia Clients and Contracts"/>
    <n v="1"/>
    <x v="1"/>
    <m/>
    <x v="1"/>
    <x v="0"/>
    <m/>
    <m/>
    <m/>
    <m/>
    <m/>
  </r>
  <r>
    <s v="CE71170"/>
    <s v="Pedro Luis Melo Robayo"/>
    <x v="3"/>
    <s v="Móvil"/>
    <s v="Novatec"/>
    <e v="#NAME?"/>
    <s v="SDATOOL-38489 $ Horizon BTGR - Colombia"/>
    <n v="1"/>
    <x v="1"/>
    <m/>
    <x v="0"/>
    <x v="0"/>
    <m/>
    <m/>
    <m/>
    <m/>
    <m/>
  </r>
  <r>
    <s v="XP60574"/>
    <s v="PEDRO MOLLEHUANCA TORRES"/>
    <x v="0"/>
    <s v="Gema"/>
    <s v="Indra"/>
    <e v="#NAME?"/>
    <s v="SDATOOL-32905 $ Global Enterprises Mobile App (GEMA)"/>
    <n v="1"/>
    <x v="1"/>
    <m/>
    <x v="0"/>
    <x v="0"/>
    <m/>
    <m/>
    <m/>
    <m/>
    <m/>
  </r>
  <r>
    <s v="C808788"/>
    <s v="Pena Agudelo Rosario Elena"/>
    <x v="1"/>
    <s v="Cumplimiento &amp; Auditoría"/>
    <s v="BBVA"/>
    <e v="#NAME?"/>
    <s v="SDATOOL-29998 $ Despliegue SAS AML en BBVA CO"/>
    <n v="0.4"/>
    <x v="1"/>
    <m/>
    <x v="1"/>
    <x v="0"/>
    <m/>
    <m/>
    <m/>
    <m/>
    <m/>
  </r>
  <r>
    <s v="C808788"/>
    <s v="Pena Agudelo Rosario Elena"/>
    <x v="1"/>
    <s v="Cumplimiento &amp; Auditoría"/>
    <s v="BBVA"/>
    <e v="#NAME?"/>
    <s v="SDATOOL-39265 $ Migración Operaciones Fircosoft"/>
    <n v="0.25"/>
    <x v="1"/>
    <m/>
    <x v="1"/>
    <x v="0"/>
    <m/>
    <m/>
    <m/>
    <m/>
    <m/>
  </r>
  <r>
    <s v="C808788"/>
    <s v="Pena Agudelo Rosario Elena"/>
    <x v="1"/>
    <s v="Cumplimiento &amp; Auditoría"/>
    <s v="BBVA"/>
    <e v="#NAME?"/>
    <s v="SDATOOL-39473 $ Actualización de Was 8 a was 9. RBA"/>
    <n v="0.1"/>
    <x v="1"/>
    <m/>
    <x v="1"/>
    <x v="0"/>
    <m/>
    <m/>
    <m/>
    <m/>
    <m/>
  </r>
  <r>
    <s v="C808788"/>
    <s v="Pena Agudelo Rosario Elena"/>
    <x v="1"/>
    <s v="Cumplimiento &amp; Auditoría"/>
    <s v="BBVA"/>
    <e v="#NAME?"/>
    <s v="SDATOOL-39888 $ Proyecto - Evolutivo Sarlaft - Mejoras controles aplicativos"/>
    <n v="0.25"/>
    <x v="1"/>
    <m/>
    <x v="1"/>
    <x v="0"/>
    <m/>
    <m/>
    <m/>
    <m/>
    <m/>
  </r>
  <r>
    <s v="CE70945"/>
    <s v="PENA DIAZ EDGAR SEBASTIAN"/>
    <x v="0"/>
    <s v="Netcash"/>
    <s v="GGI / CMC"/>
    <e v="#NAME?"/>
    <s v="SDATOOL-40482 $ Incluir tasa ponderada en Adquirencia Onboarding digital - Netcash"/>
    <n v="1"/>
    <x v="1"/>
    <m/>
    <x v="0"/>
    <x v="0"/>
    <m/>
    <m/>
    <m/>
    <m/>
    <m/>
  </r>
  <r>
    <s v="CE66910"/>
    <s v="PENAGOS JULIO CESAR"/>
    <x v="0"/>
    <s v="Netcash"/>
    <s v="GGI / CMC"/>
    <e v="#NAME?"/>
    <s v="SDATOOL-40555 $ ADELANTO DE VENTA EN GEMA"/>
    <n v="1"/>
    <x v="1"/>
    <m/>
    <x v="0"/>
    <x v="0"/>
    <m/>
    <m/>
    <m/>
    <m/>
    <m/>
  </r>
  <r>
    <s v="C808875"/>
    <s v="PERDOMO HOYOS YEIMY PAOLA"/>
    <x v="1"/>
    <s v="Riesgos"/>
    <s v="BBVA"/>
    <e v="#NAME?"/>
    <s v="SDATOOL-39463 $ GRM Col - Actualización Versión Power Curve."/>
    <n v="1"/>
    <x v="1"/>
    <m/>
    <x v="1"/>
    <x v="0"/>
    <m/>
    <m/>
    <m/>
    <m/>
    <m/>
  </r>
  <r>
    <s v="T007566"/>
    <s v="PINEDA GALLEGO ZAMIR ALEJANDRO"/>
    <x v="0"/>
    <s v="Netcash"/>
    <s v="GGI / CMC"/>
    <e v="#NAME?"/>
    <s v="SDATOOL-40555 $ ADELANTO DE VENTA EN GEMA"/>
    <n v="0.5"/>
    <x v="1"/>
    <m/>
    <x v="0"/>
    <x v="0"/>
    <m/>
    <m/>
    <m/>
    <m/>
    <m/>
  </r>
  <r>
    <s v="T007566"/>
    <s v="PINEDA GALLEGO ZAMIR ALEJANDRO"/>
    <x v="0"/>
    <s v="Netcash"/>
    <s v="GGI / CMC"/>
    <e v="#NAME?"/>
    <s v="SDATOOL-39358 $ Crédito Virtual"/>
    <n v="0.5"/>
    <x v="1"/>
    <m/>
    <x v="0"/>
    <x v="0"/>
    <m/>
    <m/>
    <m/>
    <m/>
    <m/>
  </r>
  <r>
    <s v="T004577"/>
    <s v="PINEDA MAHECHA PABLO ENRIQUE"/>
    <x v="0"/>
    <s v="Netcash"/>
    <s v="GGI / CMC"/>
    <e v="#NAME?"/>
    <s v="NOSDA- BAU $ BAU (Mantenimiento y peq. evolutivos)"/>
    <n v="1"/>
    <x v="1"/>
    <m/>
    <x v="0"/>
    <x v="0"/>
    <m/>
    <m/>
    <m/>
    <m/>
    <m/>
  </r>
  <r>
    <s v="CE58814"/>
    <s v="PINZON VANEGAS MIGUEL ANGEL"/>
    <x v="0"/>
    <s v="Netcash"/>
    <s v="Inetum"/>
    <e v="#NAME?"/>
    <s v="SDATOOL-37169 $ EGS: Salto país y softoken"/>
    <n v="0.25"/>
    <x v="1"/>
    <m/>
    <x v="0"/>
    <x v="0"/>
    <m/>
    <m/>
    <m/>
    <m/>
    <m/>
  </r>
  <r>
    <s v="CE58814"/>
    <s v="PINZON VANEGAS MIGUEL ANGEL"/>
    <x v="0"/>
    <s v="Netcash"/>
    <s v="Inetum"/>
    <e v="#NAME?"/>
    <s v="SDATOOL-40555 $ ADELANTO DE VENTA EN GEMA"/>
    <n v="0.5"/>
    <x v="1"/>
    <m/>
    <x v="0"/>
    <x v="0"/>
    <m/>
    <m/>
    <m/>
    <m/>
    <m/>
  </r>
  <r>
    <s v="CE58814"/>
    <s v="PINZON VANEGAS MIGUEL ANGEL"/>
    <x v="0"/>
    <s v="Netcash"/>
    <s v="Inetum"/>
    <e v="#NAME?"/>
    <s v="SDATOOL-39358 $ Crédito Virtual"/>
    <n v="0.25"/>
    <x v="1"/>
    <m/>
    <x v="0"/>
    <x v="0"/>
    <m/>
    <m/>
    <m/>
    <m/>
    <m/>
  </r>
  <r>
    <s v="CE43579"/>
    <s v="Plinio Eduardo Martinez Espitia"/>
    <x v="3"/>
    <s v="Canales asistidos ATM"/>
    <s v="GGI / CMC"/>
    <e v="#NAME?"/>
    <s v="SDATOOL-9053 $ GloMo Colombia"/>
    <n v="0.5"/>
    <x v="0"/>
    <m/>
    <x v="0"/>
    <x v="0"/>
    <m/>
    <m/>
    <m/>
    <m/>
    <m/>
  </r>
  <r>
    <s v="CE43579"/>
    <s v="Plinio Eduardo Martinez Espitia"/>
    <x v="3"/>
    <s v="Canales asistidos ATM"/>
    <s v="GGI / CMC"/>
    <e v="#NAME?"/>
    <s v="NOSDA- BAU $ BAU (Mantenimiento y peq. evolutivos)"/>
    <n v="0.5"/>
    <x v="0"/>
    <m/>
    <x v="0"/>
    <x v="0"/>
    <m/>
    <m/>
    <m/>
    <m/>
    <m/>
  </r>
  <r>
    <s v="CE66581"/>
    <s v="POLANCO DANIEL LEONARDO"/>
    <x v="0"/>
    <s v="Netcash"/>
    <s v="GGI / CMC"/>
    <e v="#NAME?"/>
    <s v="SDATOOL-40555 $ ADELANTO DE VENTA EN GEMA"/>
    <n v="1"/>
    <x v="1"/>
    <m/>
    <x v="0"/>
    <x v="0"/>
    <m/>
    <m/>
    <m/>
    <m/>
    <m/>
  </r>
  <r>
    <s v="CE66043"/>
    <s v="QUINTERO GAITÁN CRISTIAN ALBERTO"/>
    <x v="0"/>
    <s v="Netcash"/>
    <s v="GGI / CMC"/>
    <e v="#NAME?"/>
    <s v="SDATOOL-39358 $ Crédito Virtual"/>
    <n v="0.5"/>
    <x v="1"/>
    <m/>
    <x v="0"/>
    <x v="0"/>
    <m/>
    <m/>
    <m/>
    <m/>
    <m/>
  </r>
  <r>
    <s v="CE66043"/>
    <s v="QUINTERO GAITÁN CRISTIAN ALBERTO"/>
    <x v="0"/>
    <s v="Netcash"/>
    <s v="GGI / CMC"/>
    <e v="#NAME?"/>
    <s v="SDATOOL-40482 $ Incluir tasa ponderada en Adquirencia Onboarding digital - Netcash"/>
    <n v="0.5"/>
    <x v="1"/>
    <m/>
    <x v="0"/>
    <x v="0"/>
    <m/>
    <m/>
    <m/>
    <m/>
    <m/>
  </r>
  <r>
    <s v="C804221"/>
    <s v="Quiroz Munoz Bryan Antonio"/>
    <x v="1"/>
    <s v="T&amp;C"/>
    <s v="BBVA"/>
    <e v="#NAME?"/>
    <s v="SDATOOL-28728 $ Contratación electrónica/digital de empleados y Carpeta Virtual 2.0"/>
    <n v="0.6"/>
    <x v="1"/>
    <m/>
    <x v="1"/>
    <x v="0"/>
    <m/>
    <m/>
    <m/>
    <m/>
    <m/>
  </r>
  <r>
    <s v="C804221"/>
    <s v="Quiroz Munoz Bryan Antonio"/>
    <x v="1"/>
    <s v="T&amp;C"/>
    <s v="BBVA"/>
    <e v="#NAME?"/>
    <s v="SDATOOL-38487 $ Mensualización Prima"/>
    <n v="0.4"/>
    <x v="1"/>
    <m/>
    <x v="1"/>
    <x v="0"/>
    <m/>
    <m/>
    <m/>
    <m/>
    <m/>
  </r>
  <r>
    <s v="T006644"/>
    <s v="Rafael Bonet"/>
    <x v="3"/>
    <s v="Móvil"/>
    <s v="Neoris"/>
    <e v="#NAME?"/>
    <s v="SDATOOL-9053 $ GloMo Colombia"/>
    <n v="1"/>
    <x v="0"/>
    <m/>
    <x v="0"/>
    <x v="0"/>
    <m/>
    <m/>
    <m/>
    <m/>
    <m/>
  </r>
  <r>
    <s v="CE47927"/>
    <s v="Rafael Eduardo Martinez Caceres"/>
    <x v="3"/>
    <s v="Móvil"/>
    <s v="Neoris"/>
    <e v="#NAME?"/>
    <s v="SDATOOL-9053 $ GloMo Colombia"/>
    <n v="1"/>
    <x v="1"/>
    <m/>
    <x v="0"/>
    <x v="0"/>
    <m/>
    <m/>
    <m/>
    <m/>
    <m/>
  </r>
  <r>
    <s v="CE67019"/>
    <s v="Reinaldo Guarin"/>
    <x v="3"/>
    <s v="Net"/>
    <s v="GGI / CMC"/>
    <e v="#NAME?"/>
    <s v="SDATOOL-39840 $ BBVA Valores en Canales (Net Cash / Net)"/>
    <n v="1"/>
    <x v="1"/>
    <m/>
    <x v="0"/>
    <x v="0"/>
    <m/>
    <m/>
    <m/>
    <m/>
    <m/>
  </r>
  <r>
    <s v="C808133"/>
    <s v="REMBERTO PRIOLO"/>
    <x v="2"/>
    <s v="Loans"/>
    <s v="BBVA"/>
    <e v="#NAME?"/>
    <s v="SDATOOL-40555 $ ADELANTO DE VENTA EN GEMA"/>
    <n v="1"/>
    <x v="1"/>
    <m/>
    <x v="1"/>
    <x v="0"/>
    <m/>
    <m/>
    <m/>
    <m/>
    <m/>
  </r>
  <r>
    <s v="C343619"/>
    <s v="REY GOMEZ ANDRES CAMILO"/>
    <x v="1"/>
    <s v="Finanzas"/>
    <s v="BBVA"/>
    <e v="#NAME?"/>
    <s v="SDATOOL-36929 $ Ciclo 1 - Resolución 098 de 2020 DIAN - Reportes de Información Exogena"/>
    <n v="0.1"/>
    <x v="1"/>
    <m/>
    <x v="1"/>
    <x v="0"/>
    <m/>
    <m/>
    <m/>
    <m/>
    <m/>
  </r>
  <r>
    <s v="C343619"/>
    <s v="REY GOMEZ ANDRES CAMILO"/>
    <x v="1"/>
    <s v="Finanzas"/>
    <s v="BBVA"/>
    <e v="#NAME?"/>
    <s v="SDATOOL-37681 $ Ciclo 2 - Resolución 0098 de Octubre 28 de 2020 - Reportes información Exógena Base Impuestos"/>
    <n v="0.3"/>
    <x v="1"/>
    <m/>
    <x v="1"/>
    <x v="0"/>
    <m/>
    <m/>
    <m/>
    <m/>
    <m/>
  </r>
  <r>
    <s v="C343619"/>
    <s v="REY GOMEZ ANDRES CAMILO"/>
    <x v="1"/>
    <s v="Finanzas"/>
    <s v="BBVA"/>
    <e v="#NAME?"/>
    <s v="SDATOOL-40003 $ Resolución 0124 DIAN 2021 - Créditos Hipotecarios para remodelación de Vivienda"/>
    <n v="0.3"/>
    <x v="1"/>
    <m/>
    <x v="1"/>
    <x v="0"/>
    <m/>
    <m/>
    <m/>
    <m/>
    <m/>
  </r>
  <r>
    <s v="C343619"/>
    <s v="REY GOMEZ ANDRES CAMILO"/>
    <x v="1"/>
    <s v="Finanzas"/>
    <s v="BBVA"/>
    <e v="#NAME?"/>
    <s v="SDATOOL-40225 $ Resolución 0124 Dian - 2021 - Ajustes para Reporte de Información Exógena año gravable 2022 - Ciclo 1"/>
    <n v="0.3"/>
    <x v="1"/>
    <m/>
    <x v="1"/>
    <x v="0"/>
    <m/>
    <m/>
    <m/>
    <m/>
    <m/>
  </r>
  <r>
    <s v="C808793"/>
    <s v="Rey Orozco Cristian Ivan"/>
    <x v="1"/>
    <s v="Riesgos"/>
    <s v="BBVA"/>
    <e v="#NAME?"/>
    <s v="SDATOOL-40710 $ GRM Col - Cronos - Plan Ascenso - Mejoras CAP Pymes Fase II"/>
    <n v="0.8"/>
    <x v="1"/>
    <m/>
    <x v="1"/>
    <x v="0"/>
    <m/>
    <m/>
    <m/>
    <m/>
    <m/>
  </r>
  <r>
    <s v="C808793"/>
    <s v="Rey Orozco Cristian Ivan"/>
    <x v="1"/>
    <s v="Riesgos"/>
    <s v="BBVA"/>
    <e v="#NAME?"/>
    <s v="SDATOOL-39826 $ GRM Col- Plan Ascenso - Mejoras en CAP Pymes y disponibilización HdC"/>
    <n v="0.2"/>
    <x v="1"/>
    <m/>
    <x v="1"/>
    <x v="0"/>
    <m/>
    <m/>
    <m/>
    <m/>
    <m/>
  </r>
  <r>
    <s v="C341681"/>
    <s v="RICARDO ALEXANDER CALVO JIMENEZ"/>
    <x v="1"/>
    <s v="Riesgos"/>
    <s v="BBVA"/>
    <e v="#NAME?"/>
    <s v="SDATOOL-33846 $ SREP Data Quality- BCBS239 - Colombia"/>
    <n v="1"/>
    <x v="1"/>
    <m/>
    <x v="1"/>
    <x v="0"/>
    <m/>
    <m/>
    <m/>
    <m/>
    <m/>
  </r>
  <r>
    <s v="CE70413"/>
    <s v="RICARDO AMAYA VIANCHA (QA)"/>
    <x v="0"/>
    <s v="Transaccionalidad"/>
    <s v="GGI / CMC"/>
    <e v="#NAME?"/>
    <s v="SDATOOL-35327 $ Impuestos 2021"/>
    <n v="0.5"/>
    <x v="0"/>
    <m/>
    <x v="0"/>
    <x v="0"/>
    <m/>
    <m/>
    <m/>
    <m/>
    <m/>
  </r>
  <r>
    <s v="CE70413"/>
    <s v="RICARDO AMAYA VIANCHA (QA)"/>
    <x v="0"/>
    <s v="Transaccionalidad"/>
    <s v="GGI / CMC"/>
    <e v="#NAME?"/>
    <s v="SDATOOL-37425 $ Recaudo DIAN Tarjetas de Crédito Propio Banco través del Botón de pagos PSE para los canales Banca Personas y Banca de Empresas"/>
    <n v="0.5"/>
    <x v="0"/>
    <m/>
    <x v="0"/>
    <x v="0"/>
    <m/>
    <m/>
    <m/>
    <m/>
    <m/>
  </r>
  <r>
    <s v="C342042"/>
    <s v="RICARDO ANDRES CERRATO"/>
    <x v="2"/>
    <s v="Payments"/>
    <s v="BBVA"/>
    <e v="#NAME?"/>
    <s v="SDATOOL-41757 $ AJUSTE AUTOMATIZACION CONCILIACION ARA"/>
    <n v="0.05"/>
    <x v="2"/>
    <m/>
    <x v="1"/>
    <x v="0"/>
    <m/>
    <m/>
    <m/>
    <m/>
    <m/>
  </r>
  <r>
    <s v="C342042"/>
    <s v="RICARDO ANDRES CERRATO"/>
    <x v="2"/>
    <s v="Payments"/>
    <s v="BBVA"/>
    <e v="#NAME?"/>
    <s v="SDATOOL-40295 $ Tokenización COF"/>
    <n v="0.3"/>
    <x v="2"/>
    <m/>
    <x v="1"/>
    <x v="0"/>
    <m/>
    <m/>
    <m/>
    <m/>
    <m/>
  </r>
  <r>
    <s v="C342042"/>
    <s v="RICARDO ANDRES CERRATO"/>
    <x v="2"/>
    <s v="Payments"/>
    <s v="BBVA"/>
    <e v="#NAME?"/>
    <s v="SDATOOL-40442 $ M4M - Tokenización Mastercard"/>
    <n v="0.35"/>
    <x v="2"/>
    <m/>
    <x v="1"/>
    <x v="0"/>
    <m/>
    <m/>
    <m/>
    <m/>
    <m/>
  </r>
  <r>
    <s v="C342042"/>
    <s v="RICARDO ANDRES CERRATO"/>
    <x v="2"/>
    <s v="Payments"/>
    <s v="BBVA"/>
    <e v="#NAME?"/>
    <s v="SDATOOL-41726 $ EXTRACUPO TARJETA DE CREDITO"/>
    <n v="0.05"/>
    <x v="2"/>
    <m/>
    <x v="1"/>
    <x v="0"/>
    <m/>
    <m/>
    <m/>
    <m/>
    <m/>
  </r>
  <r>
    <s v="C342042"/>
    <s v="RICARDO ANDRES CERRATO"/>
    <x v="2"/>
    <s v="Payments"/>
    <s v="BBVA"/>
    <e v="#NAME?"/>
    <s v="SDATOOL-41709 $ Fraccionamiento de transacciones en CBs"/>
    <n v="0.05"/>
    <x v="2"/>
    <m/>
    <x v="1"/>
    <x v="0"/>
    <m/>
    <m/>
    <m/>
    <m/>
    <m/>
  </r>
  <r>
    <s v="C342042"/>
    <s v="RICARDO ANDRES CERRATO"/>
    <x v="2"/>
    <s v="Payments"/>
    <s v="BBVA"/>
    <e v="#NAME?"/>
    <s v="SDATOOL-40613 $ Códigos MAC"/>
    <n v="0.1"/>
    <x v="2"/>
    <m/>
    <x v="1"/>
    <x v="0"/>
    <m/>
    <m/>
    <m/>
    <m/>
    <m/>
  </r>
  <r>
    <s v="C342042"/>
    <s v="RICARDO ANDRES CERRATO"/>
    <x v="2"/>
    <s v="Payments"/>
    <s v="BBVA"/>
    <e v="#NAME?"/>
    <s v="NOSDA- BAU $ BAU (Mantenimiento y peq. evolutivos)"/>
    <n v="0.1"/>
    <x v="2"/>
    <m/>
    <x v="1"/>
    <x v="0"/>
    <m/>
    <m/>
    <m/>
    <m/>
    <m/>
  </r>
  <r>
    <s v="C811305"/>
    <s v="Rigoberto Rios Hueso"/>
    <x v="1"/>
    <s v="Riesgos"/>
    <s v="BBVA"/>
    <e v="#NAME?"/>
    <s v="SDATOOL-39463 $ GRM Col - Actualización Versión Power Curve."/>
    <n v="0.4"/>
    <x v="1"/>
    <m/>
    <x v="1"/>
    <x v="0"/>
    <m/>
    <m/>
    <m/>
    <m/>
    <m/>
  </r>
  <r>
    <s v="C811305"/>
    <s v="Rigoberto Rios Hueso"/>
    <x v="1"/>
    <s v="Riesgos"/>
    <s v="BBVA"/>
    <e v="#NAME?"/>
    <s v="SDATOOL-39826 $ GRM Col- Plan Ascenso - Mejoras en CAP Pymes y disponibilización HdC"/>
    <n v="0.6"/>
    <x v="1"/>
    <m/>
    <x v="1"/>
    <x v="0"/>
    <m/>
    <m/>
    <m/>
    <m/>
    <m/>
  </r>
  <r>
    <s v="C810792"/>
    <s v="ROBER ESNEIDER PARRA POLANIA"/>
    <x v="2"/>
    <s v="Payments"/>
    <s v="BBVA"/>
    <e v="#NAME?"/>
    <s v="NOSDA- BAU $ BAU (Mantenimiento y peq. evolutivos)"/>
    <n v="0.6"/>
    <x v="1"/>
    <m/>
    <x v="1"/>
    <x v="0"/>
    <m/>
    <m/>
    <m/>
    <m/>
    <m/>
  </r>
  <r>
    <s v="C810792"/>
    <s v="ROBER ESNEIDER PARRA POLANIA"/>
    <x v="2"/>
    <s v="Payments"/>
    <s v="BBVA"/>
    <e v="#NAME?"/>
    <s v="SDATOOL-39785 $ Segmentación contratos ADN"/>
    <n v="0.4"/>
    <x v="1"/>
    <m/>
    <x v="1"/>
    <x v="0"/>
    <m/>
    <m/>
    <m/>
    <m/>
    <m/>
  </r>
  <r>
    <s v="CE30318"/>
    <s v="ROBERTO ANTONIO MARTINEZ"/>
    <x v="0"/>
    <s v="Soluciones financieras (Leasing)"/>
    <s v="KRYPTO"/>
    <e v="#NAME?"/>
    <s v="SDATOOL-36358 $ Pagos por Terceros (Mandato y/o Administración) - Información exógena DIAN - Resolución 0098 DIAN"/>
    <n v="0.25"/>
    <x v="0"/>
    <m/>
    <x v="0"/>
    <x v="0"/>
    <m/>
    <m/>
    <m/>
    <m/>
    <m/>
  </r>
  <r>
    <s v="CE30318"/>
    <s v="ROBERTO ANTONIO MARTINEZ"/>
    <x v="0"/>
    <s v="Soluciones financieras (Leasing)"/>
    <s v="KRYPTO"/>
    <e v="#NAME?"/>
    <s v="SDATOOL-33847 $ Resolución 0042 DIAN Documento Soporte"/>
    <n v="0.25"/>
    <x v="0"/>
    <m/>
    <x v="0"/>
    <x v="0"/>
    <m/>
    <m/>
    <m/>
    <m/>
    <m/>
  </r>
  <r>
    <s v="CE30318"/>
    <s v="ROBERTO ANTONIO MARTINEZ"/>
    <x v="0"/>
    <s v="Soluciones financieras (Factoring)"/>
    <s v="KRYPTO"/>
    <e v="#NAME?"/>
    <s v="SDATOOL-37125 $ Factoring - IBR"/>
    <n v="0.1"/>
    <x v="0"/>
    <m/>
    <x v="0"/>
    <x v="0"/>
    <m/>
    <m/>
    <m/>
    <m/>
    <m/>
  </r>
  <r>
    <s v="CE30318"/>
    <s v="ROBERTO ANTONIO MARTINEZ"/>
    <x v="0"/>
    <s v="Soluciones financieras (Factoring)"/>
    <s v="KRYPTO"/>
    <e v="#NAME?"/>
    <s v="SDATOOL-36547 $ PLAN MAYOR -PLAN MENOR. Plan ascenso Open Market"/>
    <n v="0.15"/>
    <x v="0"/>
    <m/>
    <x v="0"/>
    <x v="0"/>
    <m/>
    <m/>
    <m/>
    <m/>
    <m/>
  </r>
  <r>
    <s v="CE30318"/>
    <s v="ROBERTO ANTONIO MARTINEZ"/>
    <x v="0"/>
    <s v="Soluciones financieras (Factoring)"/>
    <s v="KRYPTO"/>
    <e v="#NAME?"/>
    <s v="NOSDA- BAU $ BAU (Mantenimiento y peq. evolutivos)"/>
    <n v="0.25"/>
    <x v="0"/>
    <m/>
    <x v="0"/>
    <x v="0"/>
    <m/>
    <m/>
    <m/>
    <m/>
    <m/>
  </r>
  <r>
    <s v="T000361"/>
    <s v="RODRIGO BARBIERI PEREZ"/>
    <x v="2"/>
    <s v="Loans"/>
    <s v="Globant"/>
    <e v="#NAME?"/>
    <s v="SDATOOL-36548 $ Optimización consumo web - Plan ascenso Open Market"/>
    <n v="0.7"/>
    <x v="1"/>
    <m/>
    <x v="0"/>
    <x v="0"/>
    <m/>
    <m/>
    <m/>
    <m/>
    <m/>
  </r>
  <r>
    <s v="T000361"/>
    <s v="RODRIGO BARBIERI PEREZ"/>
    <x v="2"/>
    <s v="Loans"/>
    <s v="Globant"/>
    <e v="#NAME?"/>
    <s v="SDATOOL-39272 $ GRM-Col-Cambio servicio APL (Aportes en línea)"/>
    <n v="0.3"/>
    <x v="1"/>
    <m/>
    <x v="0"/>
    <x v="0"/>
    <m/>
    <m/>
    <m/>
    <m/>
    <m/>
  </r>
  <r>
    <s v="CE60509"/>
    <s v="RODRIGUEZ RIVERA ANDRES CAMILO"/>
    <x v="0"/>
    <s v="Netcash"/>
    <s v="GGI / CMC"/>
    <e v="#NAME?"/>
    <s v="SDATOOL-40516 $ Filial Valores - BBVA Valores en Canales (Net Cash / Net)"/>
    <n v="1"/>
    <x v="1"/>
    <m/>
    <x v="0"/>
    <x v="0"/>
    <m/>
    <m/>
    <m/>
    <m/>
    <m/>
  </r>
  <r>
    <s v="CE65214"/>
    <s v="Roger Arias"/>
    <x v="3"/>
    <s v="Móvil"/>
    <s v="SII"/>
    <e v="#NAME?"/>
    <s v="SDATOOL-9053 $ GloMo Colombia"/>
    <n v="1"/>
    <x v="1"/>
    <m/>
    <x v="0"/>
    <x v="0"/>
    <m/>
    <m/>
    <m/>
    <m/>
    <m/>
  </r>
  <r>
    <s v="O000471"/>
    <s v="RONAL ALBERTO TABORDA MORENO "/>
    <x v="2"/>
    <s v="Cross/Ventas asistidas CAP"/>
    <s v="BBVA"/>
    <e v="#NAME?"/>
    <s v="SDATOOL-38757 $ Modelo administrativo de oficina - Omnicanalidad"/>
    <n v="1"/>
    <x v="1"/>
    <m/>
    <x v="1"/>
    <x v="0"/>
    <m/>
    <m/>
    <m/>
    <m/>
    <m/>
  </r>
  <r>
    <s v="C809501"/>
    <s v="RONALD ANTONIO ROMERO MONSALVE"/>
    <x v="0"/>
    <s v="Senda"/>
    <s v="BBVA"/>
    <e v="#NAME?"/>
    <s v="SDATOOL-40528 $ ETPB - SENDA PAGOS"/>
    <n v="1"/>
    <x v="1"/>
    <m/>
    <x v="1"/>
    <x v="0"/>
    <m/>
    <m/>
    <m/>
    <m/>
    <m/>
  </r>
  <r>
    <s v="CE58625"/>
    <s v="Ronald David Lara Hernandez"/>
    <x v="1"/>
    <s v="Finanzas"/>
    <s v="GGI / CMC"/>
    <e v="#NAME?"/>
    <s v="SDATOOL-40225 $ Resolución 0124 Dian - 2021 - Ajustes para Reporte de Información Exógena año gravable 2022 - Ciclo 1"/>
    <n v="1"/>
    <x v="1"/>
    <m/>
    <x v="0"/>
    <x v="0"/>
    <m/>
    <m/>
    <m/>
    <m/>
    <m/>
  </r>
  <r>
    <s v="CE47376"/>
    <s v="RUBEN DARIO DIAZ"/>
    <x v="3"/>
    <s v="CRM"/>
    <s v="Neoris"/>
    <e v="#NAME?"/>
    <s v="SDATOOL-40690 $ Plan CRM: Mejoras AUG (Banca Comercial y CSF) Equipo B"/>
    <n v="1"/>
    <x v="1"/>
    <m/>
    <x v="0"/>
    <x v="0"/>
    <m/>
    <m/>
    <m/>
    <m/>
    <m/>
  </r>
  <r>
    <s v="CE47376"/>
    <s v="RUBEN DARIO DIAZ"/>
    <x v="3"/>
    <s v="CRM"/>
    <s v="Neoris"/>
    <e v="#NAME?"/>
    <s v="NOSDA- BAU $ BAU (Mantenimiento y peq. evolutivos)"/>
    <n v="0.1"/>
    <x v="1"/>
    <m/>
    <x v="0"/>
    <x v="0"/>
    <m/>
    <m/>
    <m/>
    <m/>
    <m/>
  </r>
  <r>
    <s v="C343126"/>
    <s v="RUBERTH SAN MIGUEL PEREZ"/>
    <x v="2"/>
    <s v="Loans"/>
    <s v="BBVA"/>
    <e v="#NAME?"/>
    <s v="SDATOOL-33846 $ SREP Data Quality- BCBS239 - Colombia"/>
    <n v="1"/>
    <x v="1"/>
    <m/>
    <x v="1"/>
    <x v="0"/>
    <m/>
    <m/>
    <m/>
    <m/>
    <m/>
  </r>
  <r>
    <s v="C810813"/>
    <s v="Rubiano Marin William Eduardo"/>
    <x v="3"/>
    <s v="CRM"/>
    <s v="BBVA"/>
    <e v="#NAME?"/>
    <s v="SDATOOL-40672 $ Plan CRM: Mejoras AUG (Banca Comercial y CSF) Equipo A"/>
    <n v="0.7"/>
    <x v="1"/>
    <m/>
    <x v="1"/>
    <x v="0"/>
    <m/>
    <m/>
    <m/>
    <m/>
    <m/>
  </r>
  <r>
    <s v="C810813"/>
    <s v="Rubiano Marin William Eduardo"/>
    <x v="3"/>
    <s v="CRM"/>
    <s v="BBVA"/>
    <e v="#NAME?"/>
    <s v="NOSDA- BAU $ BAU (Mantenimiento y peq. evolutivos)"/>
    <n v="0.2"/>
    <x v="1"/>
    <m/>
    <x v="1"/>
    <x v="0"/>
    <m/>
    <m/>
    <m/>
    <m/>
    <m/>
  </r>
  <r>
    <s v="C810813"/>
    <s v="Rubiano Marin William Eduardo"/>
    <x v="3"/>
    <s v="CRM"/>
    <s v="BBVA"/>
    <e v="#NAME?"/>
    <s v="SDATOOL-39272 $ Cambio servicio APL (Aportes en línea)- Integración AUG con nuevo motor laboral (OVI)"/>
    <n v="0.1"/>
    <x v="1"/>
    <m/>
    <x v="1"/>
    <x v="0"/>
    <m/>
    <m/>
    <m/>
    <m/>
    <m/>
  </r>
  <r>
    <s v="T002010"/>
    <s v="SAIR GIOVANNY GARCIA BEJARANO"/>
    <x v="3"/>
    <s v="CRM"/>
    <s v="Neoris"/>
    <e v="#NAME?"/>
    <s v="SDATOOL-40672 $ Plan CRM: Mejoras AUG (Banca Comercial y CSF) Equipo A"/>
    <n v="1"/>
    <x v="1"/>
    <m/>
    <x v="0"/>
    <x v="0"/>
    <m/>
    <m/>
    <m/>
    <m/>
    <m/>
  </r>
  <r>
    <s v="O002178"/>
    <s v="SAMIR DE JESUS QUICENO BERMUDEZ"/>
    <x v="3"/>
    <s v="Oficina"/>
    <s v="BBVA"/>
    <e v="#NAME?"/>
    <s v="NOSDA- BAU $ BAU (Mantenimiento y peq. evolutivos)"/>
    <n v="1"/>
    <x v="1"/>
    <m/>
    <x v="1"/>
    <x v="0"/>
    <m/>
    <m/>
    <m/>
    <m/>
    <m/>
  </r>
  <r>
    <s v="CE62617"/>
    <s v="SANCHEZ RUBIO CRISTIAN STIVEN"/>
    <x v="0"/>
    <s v="Netcash"/>
    <s v="GGI / CMC"/>
    <e v="#NAME?"/>
    <s v="SDATOOL-40555 $ ADELANTO DE VENTA EN GEMA"/>
    <n v="1"/>
    <x v="1"/>
    <m/>
    <x v="0"/>
    <x v="0"/>
    <m/>
    <m/>
    <m/>
    <m/>
    <m/>
  </r>
  <r>
    <s v="C801586"/>
    <s v="Sandra Liliana Sanchez Pulido"/>
    <x v="0"/>
    <s v="Soluciones financieras (Leasing)"/>
    <s v="BBVA"/>
    <e v="#NAME?"/>
    <s v="NOSDA- BAU $ BAU (Mantenimiento y peq. evolutivos)"/>
    <n v="1"/>
    <x v="2"/>
    <m/>
    <x v="1"/>
    <x v="0"/>
    <m/>
    <m/>
    <m/>
    <m/>
    <m/>
  </r>
  <r>
    <s v="C805720"/>
    <s v="Sandra Patricia Redondo Huertas"/>
    <x v="3"/>
    <s v="Móvil"/>
    <s v="BBVA"/>
    <e v="#NAME?"/>
    <s v="NOSDA- BAU $ BAU (Mantenimiento y peq. evolutivos)"/>
    <n v="1"/>
    <x v="1"/>
    <m/>
    <x v="1"/>
    <x v="0"/>
    <m/>
    <m/>
    <m/>
    <m/>
    <m/>
  </r>
  <r>
    <s v="CE66251"/>
    <s v="SANTIAGO A SANTOS ESTRADA"/>
    <x v="4"/>
    <s v="Global Market &amp; Comex"/>
    <s v="GGI / CMC"/>
    <e v="#NAME?"/>
    <s v="SDATOOL-38735 $ Dynamic Pricing"/>
    <n v="0.5"/>
    <x v="0"/>
    <m/>
    <x v="0"/>
    <x v="0"/>
    <m/>
    <m/>
    <m/>
    <m/>
    <m/>
  </r>
  <r>
    <s v="CE66251"/>
    <s v="SANTIAGO A SANTOS ESTRADA"/>
    <x v="4"/>
    <s v="Global Market &amp; Comex"/>
    <s v="GGI / CMC"/>
    <e v="#NAME?"/>
    <s v="NOSDA- BAU $ BAU (Mantenimiento y peq. evolutivos)"/>
    <n v="0.5"/>
    <x v="0"/>
    <m/>
    <x v="0"/>
    <x v="0"/>
    <m/>
    <m/>
    <m/>
    <m/>
    <m/>
  </r>
  <r>
    <s v="CE64378"/>
    <s v="Santiago Alejandro Corredor "/>
    <x v="4"/>
    <s v="Backoffice"/>
    <s v="Tecnoevolución"/>
    <e v="#NAME?"/>
    <s v="SDATOOL-33907 $ Manejo Fiscal Prima o Descuento Renta Fija"/>
    <n v="0.9"/>
    <x v="1"/>
    <m/>
    <x v="0"/>
    <x v="0"/>
    <m/>
    <m/>
    <m/>
    <m/>
    <m/>
  </r>
  <r>
    <s v="CE64378"/>
    <s v="Santiago Alejandro Corredor "/>
    <x v="4"/>
    <s v="Backoffice"/>
    <s v="Tecnoevolución"/>
    <e v="#NAME?"/>
    <s v="SDATOOL-40545 $ GRM Col - Mejoras Evolutivas de Aplicativos y Herramientas de Riesgos 2023"/>
    <n v="0.1"/>
    <x v="1"/>
    <m/>
    <x v="0"/>
    <x v="0"/>
    <m/>
    <m/>
    <m/>
    <m/>
    <m/>
  </r>
  <r>
    <s v="C811282"/>
    <s v="Santiago Galindo Gutierrez"/>
    <x v="3"/>
    <s v="Open Market"/>
    <s v="BBVA"/>
    <e v="#NAME?"/>
    <s v="SDATOOL-38419 $ Contratación cuenta en línea en Glomo"/>
    <n v="1"/>
    <x v="1"/>
    <m/>
    <x v="1"/>
    <x v="0"/>
    <m/>
    <m/>
    <m/>
    <m/>
    <m/>
  </r>
  <r>
    <s v="CE69265"/>
    <s v="Santiago Martinez"/>
    <x v="3"/>
    <s v="Net"/>
    <s v="Choucair"/>
    <e v="#NAME?"/>
    <s v="SDATOOL-9053 $ GloMo Colombia"/>
    <n v="1"/>
    <x v="0"/>
    <m/>
    <x v="0"/>
    <x v="0"/>
    <m/>
    <m/>
    <m/>
    <m/>
    <m/>
  </r>
  <r>
    <s v="CE66579"/>
    <s v="Santiago Molina"/>
    <x v="3"/>
    <s v="Móvil"/>
    <s v="GGI / CMC"/>
    <e v="#NAME?"/>
    <s v="SDATOOL-9053 $ GloMo Colombia"/>
    <n v="1"/>
    <x v="0"/>
    <m/>
    <x v="0"/>
    <x v="0"/>
    <m/>
    <m/>
    <m/>
    <m/>
    <m/>
  </r>
  <r>
    <s v="CE71120"/>
    <s v="Santiago Montoya"/>
    <x v="3"/>
    <s v="Móvil"/>
    <s v="Accenture"/>
    <e v="#NAME?"/>
    <s v="SDATOOL-9053 $ GloMo Colombia"/>
    <n v="1"/>
    <x v="1"/>
    <m/>
    <x v="0"/>
    <x v="0"/>
    <m/>
    <m/>
    <m/>
    <m/>
    <m/>
  </r>
  <r>
    <s v="CE55865"/>
    <s v="Santiago Pulido Calderon"/>
    <x v="3"/>
    <s v="Open Market"/>
    <s v="GGI / CMC"/>
    <e v="#NAME?"/>
    <s v="SDATOOL-36048 $ Repositorio flujos  ventas digitales flujos - Plan Ascenso Open Market"/>
    <n v="1"/>
    <x v="1"/>
    <m/>
    <x v="0"/>
    <x v="0"/>
    <m/>
    <m/>
    <m/>
    <m/>
    <m/>
  </r>
  <r>
    <s v="CE66796"/>
    <s v="SANTIAGO SALAS CARRERA"/>
    <x v="1"/>
    <s v="T&amp;C"/>
    <s v="Novatec"/>
    <e v="#NAME?"/>
    <s v="SDATOOL-28728 $ Contratación electrónica/digital de empleados y Carpeta Virtual 2.0"/>
    <n v="0.8"/>
    <x v="1"/>
    <m/>
    <x v="0"/>
    <x v="0"/>
    <m/>
    <m/>
    <m/>
    <m/>
    <m/>
  </r>
  <r>
    <s v="CE66796"/>
    <s v="SANTIAGO SALAS CARRERA"/>
    <x v="2"/>
    <s v="Accounts"/>
    <s v="SII"/>
    <e v="#NAME?"/>
    <s v="SDATOOL-33065 $ Remesas BTS"/>
    <n v="0.2"/>
    <x v="1"/>
    <m/>
    <x v="0"/>
    <x v="0"/>
    <m/>
    <m/>
    <m/>
    <m/>
    <m/>
  </r>
  <r>
    <s v="CE68026"/>
    <s v="SDATOOL-27736 $ Proyecto Plan de Transformación de Datos (PTD)se"/>
    <x v="0"/>
    <s v="Senda"/>
    <s v="GGI / CMC"/>
    <e v="#NAME?"/>
    <s v="SDATOOL-40457 $ SENDA (Base)"/>
    <n v="1"/>
    <x v="1"/>
    <m/>
    <x v="0"/>
    <x v="0"/>
    <m/>
    <m/>
    <m/>
    <m/>
    <m/>
  </r>
  <r>
    <s v="C810818"/>
    <s v="SERGIO ALEJANDRO NUÑEZ MENDIVELSO"/>
    <x v="4"/>
    <s v="Global Market &amp; Comex"/>
    <s v="BBVA"/>
    <e v="#NAME?"/>
    <s v="SDATOOL-40269 $ Actualización y transmisión Declaraciones de Cambio – Banco de la República Abril 2022."/>
    <n v="1"/>
    <x v="1"/>
    <m/>
    <x v="1"/>
    <x v="0"/>
    <m/>
    <m/>
    <m/>
    <m/>
    <m/>
  </r>
  <r>
    <s v="CE70178 "/>
    <s v="SERGIO ANDRES BRAVO ROMERO"/>
    <x v="0"/>
    <s v="Gema"/>
    <s v="Neoris"/>
    <e v="#NAME?"/>
    <s v="SDATOOL-39354 $ My business Open Pay - Plan Ascenso Mercurio"/>
    <n v="1"/>
    <x v="1"/>
    <m/>
    <x v="0"/>
    <x v="0"/>
    <m/>
    <m/>
    <m/>
    <m/>
    <m/>
  </r>
  <r>
    <s v="O002482"/>
    <s v="SERGIO ANDRES SEPULVEDA CRUZ"/>
    <x v="1"/>
    <s v="Riesgos"/>
    <s v="BBVA"/>
    <e v="#NAME?"/>
    <s v="SDATOOL-39272 $ GRM-Col-Cambio servicio APL (Aportes en línea)"/>
    <n v="0.3"/>
    <x v="1"/>
    <m/>
    <x v="1"/>
    <x v="0"/>
    <m/>
    <m/>
    <m/>
    <m/>
    <m/>
  </r>
  <r>
    <s v="O002482"/>
    <s v="SERGIO ANDRES SEPULVEDA CRUZ"/>
    <x v="1"/>
    <s v="Riesgos"/>
    <s v="BBVA"/>
    <e v="#NAME?"/>
    <s v="SDATOOL-33862 $ NDoD Accounting"/>
    <n v="0.4"/>
    <x v="1"/>
    <m/>
    <x v="1"/>
    <x v="0"/>
    <m/>
    <m/>
    <m/>
    <m/>
    <m/>
  </r>
  <r>
    <s v="O002482"/>
    <s v="SERGIO ANDRES SEPULVEDA CRUZ"/>
    <x v="1"/>
    <s v="Riesgos"/>
    <s v="BBVA"/>
    <e v="#NAME?"/>
    <s v="SDATOOL-41203 $ Obsolescencia Aplicativa 2023"/>
    <n v="0.3"/>
    <x v="1"/>
    <m/>
    <x v="1"/>
    <x v="0"/>
    <m/>
    <m/>
    <m/>
    <m/>
    <m/>
  </r>
  <r>
    <s v="C803916"/>
    <s v="SERGIO EDUARDO MARTINEZ"/>
    <x v="3"/>
    <s v="Móvil"/>
    <s v="BBVA"/>
    <e v="#NAME?"/>
    <s v="NOSDA- BAU $ BAU (Mantenimiento y peq. evolutivos)"/>
    <n v="0.25"/>
    <x v="2"/>
    <m/>
    <x v="1"/>
    <x v="0"/>
    <m/>
    <m/>
    <m/>
    <m/>
    <m/>
  </r>
  <r>
    <s v="C803916"/>
    <s v="SERGIO EDUARDO MARTINEZ"/>
    <x v="3"/>
    <s v="Móvil"/>
    <s v="BBVA"/>
    <e v="#NAME?"/>
    <s v="SDATOOL-9053 $ GloMo Colombia"/>
    <n v="0.75"/>
    <x v="2"/>
    <m/>
    <x v="1"/>
    <x v="0"/>
    <m/>
    <m/>
    <m/>
    <m/>
    <m/>
  </r>
  <r>
    <s v="C805937"/>
    <s v="SERGIO IVAN SANCHEZ PLAZAS"/>
    <x v="3"/>
    <s v="Open Market"/>
    <s v="BBVA"/>
    <e v="#NAME?"/>
    <s v="SDATOOL-36048 $ Repositorio flujos  ventas digitales flujos - Plan Ascenso Open Market"/>
    <n v="1"/>
    <x v="1"/>
    <m/>
    <x v="1"/>
    <x v="0"/>
    <m/>
    <m/>
    <m/>
    <m/>
    <m/>
  </r>
  <r>
    <s v="C805683"/>
    <s v="SERGIO LEONARDO MENDOZA GASCA"/>
    <x v="4"/>
    <s v="Global Market &amp; Comex"/>
    <s v="BBVA"/>
    <e v="#NAME?"/>
    <s v="SDATOOL-38735 $ Dynamic Pricing"/>
    <n v="1"/>
    <x v="1"/>
    <m/>
    <x v="1"/>
    <x v="0"/>
    <m/>
    <m/>
    <m/>
    <m/>
    <m/>
  </r>
  <r>
    <s v="CE69114"/>
    <s v="SERGIO LUIS DIAZ TORO"/>
    <x v="0"/>
    <s v="Soluciones financieras (Factoring)"/>
    <s v="DIMENSION"/>
    <e v="#NAME?"/>
    <s v="NOSDA- BAU $ BAU (Mantenimiento y peq. evolutivos)"/>
    <n v="1"/>
    <x v="1"/>
    <m/>
    <x v="0"/>
    <x v="0"/>
    <m/>
    <m/>
    <m/>
    <m/>
    <m/>
  </r>
  <r>
    <s v="CE67850"/>
    <s v="Sergio Mercado"/>
    <x v="3"/>
    <s v="Móvil"/>
    <s v="Accenture"/>
    <e v="#NAME?"/>
    <s v="SDATOOL-9053 $ GloMo Colombia"/>
    <n v="1"/>
    <x v="0"/>
    <m/>
    <x v="0"/>
    <x v="0"/>
    <m/>
    <m/>
    <m/>
    <m/>
    <m/>
  </r>
  <r>
    <s v="CE51433"/>
    <s v="SERGIO OSWALDO ROJAS BERNAL  "/>
    <x v="2"/>
    <s v="Cross/Ventas asistidas CAP"/>
    <s v="Choucair"/>
    <e v="#NAME?"/>
    <s v="SDATOOL-37134 $ Oferta proactiva de segundo producto desde el momento cero - Plan Ascenso Cross Sell"/>
    <n v="1"/>
    <x v="1"/>
    <m/>
    <x v="0"/>
    <x v="0"/>
    <m/>
    <m/>
    <m/>
    <m/>
    <m/>
  </r>
  <r>
    <s v="T007886"/>
    <s v="SILVA ROMERO JULIAN DAVID"/>
    <x v="0"/>
    <s v="Netcash"/>
    <s v="GGI / CMC"/>
    <e v="#NAME?"/>
    <s v="SDATOOL-40555 $ ADELANTO DE VENTA EN GEMA"/>
    <n v="1"/>
    <x v="1"/>
    <m/>
    <x v="0"/>
    <x v="0"/>
    <m/>
    <m/>
    <m/>
    <m/>
    <m/>
  </r>
  <r>
    <s v="T003924"/>
    <s v="Stefan Nicolas Aponte Murcia"/>
    <x v="1"/>
    <s v="Riesgos"/>
    <s v="GGI / CMC"/>
    <e v="#NAME?"/>
    <s v="SDATOOL-40710 $ GRM Col - Cronos - Plan Ascenso - Mejoras CAP Pymes Fase II"/>
    <n v="0.6"/>
    <x v="1"/>
    <m/>
    <x v="0"/>
    <x v="0"/>
    <m/>
    <m/>
    <m/>
    <m/>
    <m/>
  </r>
  <r>
    <s v="T003924"/>
    <s v="Stefan Nicolas Aponte Murcia"/>
    <x v="1"/>
    <s v="Riesgos"/>
    <s v="GGI / CMC"/>
    <e v="#NAME?"/>
    <s v="SDATOOL-39830 $ GRM Col - Plan Ascenso - Mejoras CAP Pymes"/>
    <n v="0.4"/>
    <x v="1"/>
    <m/>
    <x v="0"/>
    <x v="0"/>
    <m/>
    <m/>
    <m/>
    <m/>
    <m/>
  </r>
  <r>
    <s v="C804805"/>
    <s v="STEFANY CAROLINA MEDINA VILLADIENGO"/>
    <x v="2"/>
    <s v="Cross/Gestor documental y SSDD"/>
    <s v="BBVA"/>
    <e v="#NAME?"/>
    <s v="SDATOOL-38742 $ Gestor Documental Retail"/>
    <n v="1"/>
    <x v="1"/>
    <m/>
    <x v="1"/>
    <x v="0"/>
    <m/>
    <m/>
    <m/>
    <m/>
    <m/>
  </r>
  <r>
    <s v="CE69992"/>
    <s v="Stephany L Ceron Salas"/>
    <x v="3"/>
    <s v="Open Market"/>
    <s v="Globant"/>
    <e v="#NAME?"/>
    <s v="SDATOOL-38419 $ Contratación cuenta en línea en Glomo"/>
    <n v="1"/>
    <x v="1"/>
    <m/>
    <x v="0"/>
    <x v="0"/>
    <m/>
    <m/>
    <m/>
    <m/>
    <m/>
  </r>
  <r>
    <s v="Pend"/>
    <s v="Stiven Carrillo"/>
    <x v="3"/>
    <s v="Móvil"/>
    <s v="SII"/>
    <e v="#NAME?"/>
    <s v="SDATOOL-9053 $ GloMo Colombia"/>
    <n v="1"/>
    <x v="1"/>
    <m/>
    <x v="0"/>
    <x v="0"/>
    <m/>
    <m/>
    <m/>
    <m/>
    <m/>
  </r>
  <r>
    <s v="O002757"/>
    <s v="SUSANA ANDREA PARRA CABRERA"/>
    <x v="2"/>
    <s v="Accounts"/>
    <s v="BBVA"/>
    <e v="#NAME?"/>
    <s v="SDATOOL-33065 $ Remesas BTS"/>
    <n v="0.5"/>
    <x v="1"/>
    <m/>
    <x v="1"/>
    <x v="0"/>
    <m/>
    <m/>
    <m/>
    <m/>
    <m/>
  </r>
  <r>
    <s v="O002757"/>
    <s v="SUSANA ANDREA PARRA CABRERA"/>
    <x v="2"/>
    <s v="Accounts"/>
    <s v="BBVA"/>
    <e v="#NAME?"/>
    <s v="SDATOOL-41950 $ Migracion GMF-MQ Series"/>
    <n v="0.5"/>
    <x v="1"/>
    <m/>
    <x v="1"/>
    <x v="0"/>
    <m/>
    <m/>
    <m/>
    <m/>
    <m/>
  </r>
  <r>
    <s v="O000103"/>
    <s v="TATIANA  PAOLA PEREIRA RIOS"/>
    <x v="2"/>
    <s v="Payments"/>
    <s v="BBVA"/>
    <e v="#NAME?"/>
    <s v="SDATOOL-40455 $ Comisión porcentaje compras internacionales Mastercard y Visa Fase 2"/>
    <n v="0.5"/>
    <x v="1"/>
    <m/>
    <x v="1"/>
    <x v="0"/>
    <m/>
    <m/>
    <m/>
    <m/>
    <m/>
  </r>
  <r>
    <s v="O000103"/>
    <s v="TATIANA  PAOLA PEREIRA RIOS"/>
    <x v="2"/>
    <s v="Payments"/>
    <s v="BBVA"/>
    <e v="#NAME?"/>
    <s v="NOSDA- BAU $ BAU (Mantenimiento y peq. evolutivos)"/>
    <n v="0.5"/>
    <x v="1"/>
    <m/>
    <x v="1"/>
    <x v="0"/>
    <m/>
    <m/>
    <m/>
    <m/>
    <m/>
  </r>
  <r>
    <s v="O002593"/>
    <s v="TATIANA CAROLINA AVELLANEDA"/>
    <x v="3"/>
    <s v="Open Market"/>
    <s v="BBVA"/>
    <e v="#NAME?"/>
    <s v="SDATOOL-37055 $ Cash In - Recarga PSE en cuenta de ahorro, cuenta corriente y dinero móvil"/>
    <n v="0.6"/>
    <x v="2"/>
    <m/>
    <x v="1"/>
    <x v="0"/>
    <m/>
    <m/>
    <m/>
    <m/>
    <m/>
  </r>
  <r>
    <s v="O002593"/>
    <s v="TATIANA CAROLINA AVELLANEDA"/>
    <x v="3"/>
    <s v="Open Market"/>
    <s v="BBVA"/>
    <e v="#NAME?"/>
    <s v="SDATOOL-39197 $ Tealeaf SaaS"/>
    <n v="0.3"/>
    <x v="2"/>
    <m/>
    <x v="1"/>
    <x v="0"/>
    <m/>
    <m/>
    <m/>
    <m/>
    <m/>
  </r>
  <r>
    <s v="O002593"/>
    <s v="TATIANA CAROLINA AVELLANEDA"/>
    <x v="3"/>
    <s v="Open Market"/>
    <s v="BBVA"/>
    <e v="#NAME?"/>
    <s v="NOSDA- BAU $ BAU (Mantenimiento y peq. evolutivos)"/>
    <n v="0.1"/>
    <x v="2"/>
    <m/>
    <x v="1"/>
    <x v="0"/>
    <m/>
    <m/>
    <m/>
    <m/>
    <m/>
  </r>
  <r>
    <s v="C805385"/>
    <s v="TATIANA SANCHEZ MONROY"/>
    <x v="2"/>
    <s v="Loans"/>
    <s v="BBVA"/>
    <e v="#NAME?"/>
    <s v="SDATOOL-34910 $ Libranza Digital"/>
    <n v="1"/>
    <x v="1"/>
    <m/>
    <x v="1"/>
    <x v="0"/>
    <m/>
    <m/>
    <m/>
    <m/>
    <m/>
  </r>
  <r>
    <s v="T007666"/>
    <s v="TEDDY JEFERSON POVEDA SARAY"/>
    <x v="0"/>
    <s v="Gema"/>
    <s v="GGI / CMC"/>
    <e v="#NAME?"/>
    <s v="SDATOOL-32905 $ Global Enterprises Mobile App (GEMA)"/>
    <n v="1"/>
    <x v="1"/>
    <m/>
    <x v="0"/>
    <x v="0"/>
    <m/>
    <m/>
    <m/>
    <m/>
    <m/>
  </r>
  <r>
    <s v="T009939"/>
    <s v="THALIA VALENTINA MANRIQUE BELLO"/>
    <x v="0"/>
    <s v="Senda"/>
    <s v="Neoris"/>
    <e v="#NAME?"/>
    <s v="SDATOOL-40528 $ ETPB - SENDA PAGOS"/>
    <n v="1"/>
    <x v="1"/>
    <m/>
    <x v="0"/>
    <x v="0"/>
    <m/>
    <m/>
    <m/>
    <m/>
    <m/>
  </r>
  <r>
    <s v="C811372"/>
    <s v="TORRES CASTILLO JOAN SEBASTIÁN"/>
    <x v="0"/>
    <s v="Netcash"/>
    <s v="BBVA"/>
    <e v="#NAME?"/>
    <s v="SDATOOL-40555 $ ADELANTO DE VENTA EN GEMA"/>
    <n v="0.25"/>
    <x v="1"/>
    <m/>
    <x v="1"/>
    <x v="0"/>
    <m/>
    <m/>
    <m/>
    <m/>
    <m/>
  </r>
  <r>
    <s v="C811372"/>
    <s v="TORRES CASTILLO JOAN SEBASTIÁN"/>
    <x v="0"/>
    <s v="Netcash"/>
    <s v="BBVA"/>
    <e v="#NAME?"/>
    <s v="SDATOOL-37169 $ EGS: Salto país y softoken"/>
    <n v="0.5"/>
    <x v="1"/>
    <m/>
    <x v="1"/>
    <x v="0"/>
    <m/>
    <m/>
    <m/>
    <m/>
    <m/>
  </r>
  <r>
    <s v="C811372"/>
    <s v="TORRES CASTILLO JOAN SEBASTIÁN"/>
    <x v="0"/>
    <s v="Netcash"/>
    <s v="BBVA"/>
    <e v="#NAME?"/>
    <s v="SDATOOL-40482 $ Incluir tasa ponderada en Adquirencia Onboarding digital - Netcash"/>
    <n v="0.25"/>
    <x v="1"/>
    <m/>
    <x v="1"/>
    <x v="0"/>
    <m/>
    <m/>
    <m/>
    <m/>
    <m/>
  </r>
  <r>
    <s v="C805333"/>
    <s v="Torres Laguado Juan Sebastian"/>
    <x v="1"/>
    <s v="T&amp;C"/>
    <s v="BBVA"/>
    <e v="#NAME?"/>
    <s v="SDATOOL-28728 $ Contratación electrónica/digital de empleados y Carpeta Virtual 2.0"/>
    <n v="0.8"/>
    <x v="1"/>
    <m/>
    <x v="1"/>
    <x v="0"/>
    <m/>
    <m/>
    <m/>
    <m/>
    <m/>
  </r>
  <r>
    <s v="C805333"/>
    <s v="Torres Laguado Juan Sebastian"/>
    <x v="1"/>
    <s v="T&amp;C"/>
    <s v="BBVA"/>
    <e v="#NAME?"/>
    <s v="SDATOOL-37765 $ Optimización operativa S&amp;C"/>
    <n v="0.2"/>
    <x v="1"/>
    <m/>
    <x v="1"/>
    <x v="0"/>
    <m/>
    <m/>
    <m/>
    <m/>
    <m/>
  </r>
  <r>
    <s v="T005244"/>
    <s v="TOVAR VELASQUEZ MEYER"/>
    <x v="1"/>
    <s v="Riesgos"/>
    <s v="Neoris"/>
    <e v="#NAME?"/>
    <s v="SDATOOL-40710 $ GRM Col - Cronos - Plan Ascenso - Mejoras CAP Pymes Fase II"/>
    <n v="0.45"/>
    <x v="1"/>
    <m/>
    <x v="0"/>
    <x v="0"/>
    <m/>
    <m/>
    <m/>
    <m/>
    <m/>
  </r>
  <r>
    <s v="T005244"/>
    <s v="TOVAR VELASQUEZ MEYER"/>
    <x v="1"/>
    <s v="Riesgos"/>
    <s v="Neoris"/>
    <e v="#NAME?"/>
    <s v="SDATOOL-39830 $ GRM Col - Plan Ascenso - Mejoras CAP Pymes"/>
    <n v="0.15"/>
    <x v="1"/>
    <m/>
    <x v="0"/>
    <x v="0"/>
    <m/>
    <m/>
    <m/>
    <m/>
    <m/>
  </r>
  <r>
    <s v="T005244"/>
    <s v="TOVAR VELASQUEZ MEYER"/>
    <x v="1"/>
    <s v="Riesgos"/>
    <s v="Neoris"/>
    <e v="#NAME?"/>
    <s v="SDATOOL-39826 $ GRM Col- Plan Ascenso - Mejoras en CAP Pymes y disponibilización HdC"/>
    <n v="0.2"/>
    <x v="1"/>
    <m/>
    <x v="0"/>
    <x v="0"/>
    <m/>
    <m/>
    <m/>
    <m/>
    <m/>
  </r>
  <r>
    <s v="T005244"/>
    <s v="TOVAR VELASQUEZ MEYER"/>
    <x v="1"/>
    <s v="Riesgos"/>
    <s v="Neoris"/>
    <e v="#NAME?"/>
    <s v="SDATOOL-38443 $ Arce Empresas Colombia"/>
    <n v="0.2"/>
    <x v="1"/>
    <m/>
    <x v="0"/>
    <x v="0"/>
    <m/>
    <m/>
    <m/>
    <m/>
    <m/>
  </r>
  <r>
    <s v="CE66182"/>
    <s v="Umaña Montenegro Juan Martin"/>
    <x v="0"/>
    <s v="Soluciones financieras (Leasing)"/>
    <s v="Inetum"/>
    <e v="#NAME?"/>
    <s v="NOSDA- BAU $ BAU (Mantenimiento y peq. evolutivos)"/>
    <n v="1"/>
    <x v="1"/>
    <m/>
    <x v="0"/>
    <x v="0"/>
    <m/>
    <m/>
    <m/>
    <m/>
    <m/>
  </r>
  <r>
    <s v="O003311"/>
    <s v="VACA BERNAL JAIRO ALEXIS"/>
    <x v="1"/>
    <s v="Finanzas"/>
    <s v="BBVA"/>
    <e v="#NAME?"/>
    <s v="SDATOOL-32520 $ CDD Based Reporting - Colombia"/>
    <n v="0.65"/>
    <x v="1"/>
    <m/>
    <x v="1"/>
    <x v="0"/>
    <m/>
    <m/>
    <m/>
    <m/>
    <m/>
  </r>
  <r>
    <s v="O003311"/>
    <s v="VACA BERNAL JAIRO ALEXIS"/>
    <x v="1"/>
    <s v="Finanzas"/>
    <s v="BBVA"/>
    <e v="#NAME?"/>
    <s v="SDATOOL-40869 $ Herramientas Regulatorias Regionales (FINREP/AE y Liquidez) 2023"/>
    <n v="0.05"/>
    <x v="1"/>
    <m/>
    <x v="1"/>
    <x v="0"/>
    <m/>
    <m/>
    <m/>
    <m/>
    <m/>
  </r>
  <r>
    <s v="O003311"/>
    <s v="VACA BERNAL JAIRO ALEXIS"/>
    <x v="1"/>
    <s v="Finanzas"/>
    <s v="BBVA"/>
    <e v="#NAME?"/>
    <s v="SDATOOL-40529 $ Aplicativos Finanzas - 2023"/>
    <n v="0.25"/>
    <x v="1"/>
    <m/>
    <x v="1"/>
    <x v="0"/>
    <m/>
    <m/>
    <m/>
    <m/>
    <m/>
  </r>
  <r>
    <s v="O003311"/>
    <s v="VACA BERNAL JAIRO ALEXIS"/>
    <x v="1"/>
    <s v="Finanzas"/>
    <s v="BBVA"/>
    <e v="#NAME?"/>
    <s v="SDATOOL-40694 $ Marca PYMES consumo APRS"/>
    <n v="0.05"/>
    <x v="1"/>
    <m/>
    <x v="1"/>
    <x v="0"/>
    <m/>
    <m/>
    <m/>
    <m/>
    <m/>
  </r>
  <r>
    <s v="C809517"/>
    <s v="Vargas Perez Wendy Maritza"/>
    <x v="1"/>
    <s v="Riesgos"/>
    <s v="BBVA"/>
    <e v="#NAME?"/>
    <s v="SDATOOL-40545 $ GRM Col - Mejoras Evolutivas de Aplicativos y Herramientas de Riesgos 2023"/>
    <n v="0.5"/>
    <x v="1"/>
    <s v="Endeudamiento paralelo"/>
    <x v="1"/>
    <x v="0"/>
    <m/>
    <m/>
    <m/>
    <m/>
    <m/>
  </r>
  <r>
    <s v="C809517"/>
    <s v="Vargas Perez Wendy Maritza"/>
    <x v="1"/>
    <s v="Riesgos"/>
    <s v="BBVA"/>
    <e v="#NAME?"/>
    <s v="SDATOOL-39836 $ Vivienda digital fase III"/>
    <n v="0.5"/>
    <x v="1"/>
    <m/>
    <x v="1"/>
    <x v="0"/>
    <m/>
    <m/>
    <m/>
    <m/>
    <m/>
  </r>
  <r>
    <s v="CE56879"/>
    <s v="Victor Hans De La Cruz Quispe"/>
    <x v="1"/>
    <s v="Finanzas"/>
    <s v="BLUETAB"/>
    <e v="#NAME?"/>
    <s v="SDATOOL-33846 $ SREP Data Quality- BCBS239 - Colombia"/>
    <n v="1"/>
    <x v="1"/>
    <m/>
    <x v="0"/>
    <x v="0"/>
    <m/>
    <m/>
    <m/>
    <m/>
    <m/>
  </r>
  <r>
    <s v="C343114"/>
    <s v="VICTOR HUGO DIAZ CERON"/>
    <x v="3"/>
    <s v="Móvil"/>
    <s v="BBVA"/>
    <e v="#NAME?"/>
    <s v="SDATOOL-9053 $ GloMo Colombia"/>
    <n v="1"/>
    <x v="1"/>
    <m/>
    <x v="1"/>
    <x v="0"/>
    <m/>
    <m/>
    <m/>
    <m/>
    <m/>
  </r>
  <r>
    <s v="C811395"/>
    <s v="VICTOR MANUEL PEREZ CONTRERAS"/>
    <x v="0"/>
    <s v="Gema"/>
    <s v="BBVA"/>
    <e v="#NAME?"/>
    <s v="SDATOOL-32905 $ Global Enterprises Mobile App (GEMA)"/>
    <n v="1"/>
    <x v="1"/>
    <m/>
    <x v="1"/>
    <x v="0"/>
    <m/>
    <m/>
    <m/>
    <m/>
    <m/>
  </r>
  <r>
    <s v="C782744"/>
    <s v="VICTOR WILSON AREVALO MARTIN"/>
    <x v="4"/>
    <s v="Global Market &amp; Comex"/>
    <s v="BBVA"/>
    <e v="#NAME?"/>
    <s v="SDATOOL-41206 $ Ordenes de pago recibidas (OPR)"/>
    <n v="0.5"/>
    <x v="1"/>
    <m/>
    <x v="1"/>
    <x v="0"/>
    <m/>
    <m/>
    <m/>
    <m/>
    <m/>
  </r>
  <r>
    <s v="C782744"/>
    <s v="VICTOR WILSON AREVALO MARTIN"/>
    <x v="4"/>
    <s v="Global Market &amp; Comex"/>
    <s v="BBVA"/>
    <e v="#NAME?"/>
    <s v="SDATOOL-37114 $ Actualización Botón pagos PSE versión 2.0"/>
    <n v="0.5"/>
    <x v="1"/>
    <m/>
    <x v="1"/>
    <x v="0"/>
    <m/>
    <m/>
    <m/>
    <m/>
    <m/>
  </r>
  <r>
    <s v="CE24417"/>
    <s v="VIVIAN JUALINY  ESPITIA BENITEZ"/>
    <x v="2"/>
    <s v="Accounts"/>
    <s v="KRYPTO"/>
    <e v="#NAME?"/>
    <s v="SDATOOL-37344 $ Automatización Operaciones en Efectivo"/>
    <n v="0.5"/>
    <x v="0"/>
    <s v="Tester"/>
    <x v="0"/>
    <x v="0"/>
    <m/>
    <m/>
    <m/>
    <m/>
    <m/>
  </r>
  <r>
    <s v="CE24417"/>
    <s v="VIVIAN JUALINY  ESPITIA BENITEZ"/>
    <x v="2"/>
    <s v="Accounts"/>
    <s v="KRYPTO"/>
    <e v="#NAME?"/>
    <s v="NOSDA- BAU $ BAU (Mantenimiento y peq. evolutivos)"/>
    <n v="0.5"/>
    <x v="0"/>
    <s v="Tester"/>
    <x v="0"/>
    <x v="0"/>
    <m/>
    <m/>
    <m/>
    <m/>
    <m/>
  </r>
  <r>
    <s v="C803834"/>
    <s v="VIVIANA ALARCON TORRES"/>
    <x v="1"/>
    <s v="Finanzas"/>
    <s v="BBVA"/>
    <e v="#NAME?"/>
    <s v="SDATOOL-33862 $ NDoD Accounting"/>
    <n v="0.4"/>
    <x v="1"/>
    <m/>
    <x v="1"/>
    <x v="0"/>
    <m/>
    <m/>
    <m/>
    <m/>
    <m/>
  </r>
  <r>
    <s v="C803834"/>
    <s v="VIVIANA ALARCON TORRES"/>
    <x v="1"/>
    <s v="Finanzas"/>
    <s v="BBVA"/>
    <e v="#NAME?"/>
    <s v="SDATOOL-37483 $ Aplicativos Finanzas - 2022"/>
    <n v="0.2"/>
    <x v="1"/>
    <s v="ALM"/>
    <x v="1"/>
    <x v="0"/>
    <m/>
    <m/>
    <m/>
    <m/>
    <m/>
  </r>
  <r>
    <s v="C803834"/>
    <s v="VIVIANA ALARCON TORRES"/>
    <x v="1"/>
    <s v="Finanzas"/>
    <s v="BBVA"/>
    <e v="#NAME?"/>
    <s v="SDATOOL-32520 $ CDD Based Reporting - Colombia"/>
    <n v="0.2"/>
    <x v="1"/>
    <s v="Pilar III"/>
    <x v="1"/>
    <x v="0"/>
    <m/>
    <m/>
    <m/>
    <m/>
    <m/>
  </r>
  <r>
    <s v="C803834"/>
    <s v="VIVIANA ALARCON TORRES"/>
    <x v="1"/>
    <s v="Finanzas"/>
    <s v="BBVA"/>
    <e v="#NAME?"/>
    <s v="SDATOOL-40529 $ Aplicativos Finanzas - 2023"/>
    <n v="0.2"/>
    <x v="1"/>
    <s v="Nexus"/>
    <x v="1"/>
    <x v="0"/>
    <m/>
    <m/>
    <m/>
    <m/>
    <m/>
  </r>
  <r>
    <s v="T004566"/>
    <s v="Walther Mauricio Guerrero"/>
    <x v="1"/>
    <s v="Finanzas"/>
    <s v="GGI / CMC"/>
    <e v="#NAME?"/>
    <s v="SDATOOL-38583 $ FUSIONES Y ACTUALIZACION DE IDENTIFICACIONES"/>
    <n v="1"/>
    <x v="1"/>
    <m/>
    <x v="0"/>
    <x v="0"/>
    <m/>
    <m/>
    <m/>
    <m/>
    <m/>
  </r>
  <r>
    <s v="C804684"/>
    <s v="WALTHER STIVENS ZAPATA TABERA"/>
    <x v="3"/>
    <s v="Canales asistidos ATM"/>
    <s v="BBVA"/>
    <e v="#NAME?"/>
    <s v="NOSDA- BAU $ BAU (Mantenimiento y peq. evolutivos)"/>
    <n v="1"/>
    <x v="1"/>
    <m/>
    <x v="1"/>
    <x v="0"/>
    <m/>
    <m/>
    <m/>
    <m/>
    <m/>
  </r>
  <r>
    <s v="C808282"/>
    <s v="WBEIMAR MURILLO"/>
    <x v="2"/>
    <s v="Payments"/>
    <s v="BBVA"/>
    <e v="#NAME?"/>
    <s v="NOSDA- BAU $ BAU (Mantenimiento y peq. evolutivos)"/>
    <n v="0.2"/>
    <x v="1"/>
    <m/>
    <x v="1"/>
    <x v="0"/>
    <m/>
    <m/>
    <m/>
    <m/>
    <m/>
  </r>
  <r>
    <s v="C808282"/>
    <s v="WBEIMAR MURILLO"/>
    <x v="2"/>
    <s v="Payments"/>
    <s v="BBVA"/>
    <e v="#NAME?"/>
    <s v="SDATOOL-40442 $ M4M - Tokenización Mastercard"/>
    <n v="0.8"/>
    <x v="1"/>
    <m/>
    <x v="1"/>
    <x v="0"/>
    <m/>
    <m/>
    <m/>
    <m/>
    <m/>
  </r>
  <r>
    <s v="C811315"/>
    <s v="Wilian Eduardo Lozano Beltran"/>
    <x v="1"/>
    <s v="Riesgos"/>
    <s v="BBVA"/>
    <e v="#NAME?"/>
    <s v="SDATOOL-39272 $ GRM-Col-Cambio servicio APL (Aportes en línea)"/>
    <n v="0.3"/>
    <x v="1"/>
    <m/>
    <x v="1"/>
    <x v="0"/>
    <m/>
    <m/>
    <m/>
    <m/>
    <m/>
  </r>
  <r>
    <s v="C811315"/>
    <s v="Wilian Eduardo Lozano Beltran"/>
    <x v="1"/>
    <s v="Riesgos"/>
    <s v="BBVA"/>
    <e v="#NAME?"/>
    <s v="SDATOOL-39836 $ Vivienda digital fase III"/>
    <n v="0.25"/>
    <x v="1"/>
    <m/>
    <x v="1"/>
    <x v="0"/>
    <m/>
    <m/>
    <m/>
    <m/>
    <m/>
  </r>
  <r>
    <s v="C811315"/>
    <s v="Wilian Eduardo Lozano Beltran"/>
    <x v="1"/>
    <s v="Riesgos"/>
    <s v="BBVA"/>
    <e v="#NAME?"/>
    <s v="SDATOOL-42098 $ GRM Col CRONOS Batch - Campañas SMeS"/>
    <n v="0.05"/>
    <x v="1"/>
    <m/>
    <x v="1"/>
    <x v="0"/>
    <m/>
    <m/>
    <m/>
    <m/>
    <m/>
  </r>
  <r>
    <s v="C811315"/>
    <s v="Wilian Eduardo Lozano Beltran"/>
    <x v="1"/>
    <s v="Riesgos"/>
    <s v="BBVA"/>
    <e v="#NAME?"/>
    <s v="SDATOOL-41203 $ Obsolescencia Aplicativa 2023"/>
    <n v="0.4"/>
    <x v="1"/>
    <m/>
    <x v="1"/>
    <x v="0"/>
    <m/>
    <m/>
    <m/>
    <m/>
    <m/>
  </r>
  <r>
    <s v="CE57920"/>
    <s v="WILLIAM ARMANDO BONILLA ACUÑA"/>
    <x v="2"/>
    <s v="Loans"/>
    <s v="Inetum"/>
    <e v="#NAME?"/>
    <s v="SDATOOL-39786 $ Sostenibilidad Colombia Fase 2"/>
    <n v="1"/>
    <x v="0"/>
    <m/>
    <x v="0"/>
    <x v="0"/>
    <m/>
    <m/>
    <m/>
    <m/>
    <m/>
  </r>
  <r>
    <s v="C810827"/>
    <s v="WILLIAM CAMILO RUBIO QUINTERO"/>
    <x v="0"/>
    <s v="Gema"/>
    <s v="BBVA"/>
    <e v="#NAME?"/>
    <s v="SDATOOL-32905 $ Global Enterprises Mobile App (GEMA)"/>
    <n v="0.5"/>
    <x v="2"/>
    <m/>
    <x v="1"/>
    <x v="0"/>
    <m/>
    <m/>
    <m/>
    <m/>
    <m/>
  </r>
  <r>
    <s v="C810827"/>
    <s v="WILLIAM CAMILO RUBIO QUINTERO"/>
    <x v="0"/>
    <s v="Gema"/>
    <s v="BBVA"/>
    <e v="#NAME?"/>
    <s v="SDATOOL-41448 $ Compra de divisas mediante APP Empresas GEMA"/>
    <n v="0.5"/>
    <x v="2"/>
    <m/>
    <x v="1"/>
    <x v="0"/>
    <m/>
    <m/>
    <m/>
    <m/>
    <m/>
  </r>
  <r>
    <s v="C808769"/>
    <s v="WILLIAM FERNANDO ALARCON"/>
    <x v="0"/>
    <s v="Transaccionalidad"/>
    <s v="BBVA"/>
    <e v="#NAME?"/>
    <s v="SDATOOL-37129 $ Conciliación Recaudo PSE"/>
    <n v="1"/>
    <x v="1"/>
    <m/>
    <x v="1"/>
    <x v="0"/>
    <m/>
    <m/>
    <m/>
    <m/>
    <m/>
  </r>
  <r>
    <s v="C343581"/>
    <s v="WILLIAM JAVIER VILLAMIL ZAPATA "/>
    <x v="0"/>
    <s v="Transaccionalidad"/>
    <s v="BBVA"/>
    <e v="#NAME?"/>
    <s v="SDATOOL-37130 $ Pago y domiciliación de recaudo"/>
    <n v="0.75"/>
    <x v="1"/>
    <m/>
    <x v="1"/>
    <x v="0"/>
    <m/>
    <m/>
    <m/>
    <m/>
    <m/>
  </r>
  <r>
    <s v="C343581"/>
    <s v="WILLIAM JAVIER VILLAMIL ZAPATA "/>
    <x v="0"/>
    <s v="Transaccionalidad"/>
    <s v="BBVA"/>
    <e v="#NAME?"/>
    <s v="NOSDA- BAU $ BAU (Mantenimiento y peq. evolutivos)"/>
    <n v="0.25"/>
    <x v="1"/>
    <m/>
    <x v="1"/>
    <x v="0"/>
    <m/>
    <m/>
    <m/>
    <m/>
    <m/>
  </r>
  <r>
    <s v="C343509"/>
    <s v="WILLIAM LEONARDO ESPITIA FRANCO"/>
    <x v="2"/>
    <s v="Payments"/>
    <s v="BBVA"/>
    <e v="#NAME?"/>
    <s v="SDATOOL-40384 $ Cobrar intereses corrientes entre la transacción y la pre-cancelación"/>
    <n v="1"/>
    <x v="1"/>
    <m/>
    <x v="1"/>
    <x v="0"/>
    <m/>
    <m/>
    <m/>
    <m/>
    <m/>
  </r>
  <r>
    <s v="CE69031"/>
    <s v="WILLIAM ROBERTO MORA BERNAL"/>
    <x v="0"/>
    <s v="Soluciones financieras (Leasing)"/>
    <s v="KRYPTO"/>
    <e v="#NAME?"/>
    <s v="SDATOOL-36358 $ Pagos por Terceros (Mandato y/o Administración) - Información exógena DIAN - Resolución 0098 DIAN"/>
    <n v="0.125"/>
    <x v="0"/>
    <m/>
    <x v="0"/>
    <x v="0"/>
    <m/>
    <m/>
    <m/>
    <m/>
    <m/>
  </r>
  <r>
    <s v="CE69031"/>
    <s v="WILLIAM ROBERTO MORA BERNAL"/>
    <x v="0"/>
    <s v="Soluciones financieras (Leasing)"/>
    <s v="KRYPTO"/>
    <e v="#NAME?"/>
    <s v="SDATOOL-33847 $ Resolución 0042 DIAN Documento Soporte"/>
    <n v="0.125"/>
    <x v="0"/>
    <m/>
    <x v="0"/>
    <x v="0"/>
    <m/>
    <m/>
    <m/>
    <m/>
    <m/>
  </r>
  <r>
    <s v="CE69031"/>
    <s v="WILLIAM ROBERTO MORA BERNAL"/>
    <x v="0"/>
    <s v="Soluciones financieras (Factoring)"/>
    <s v="KRYPTO"/>
    <e v="#NAME?"/>
    <s v="SDATOOL-36547 $ PLAN MAYOR -PLAN MENOR. Plan ascenso Open Market"/>
    <n v="0.25"/>
    <x v="0"/>
    <m/>
    <x v="0"/>
    <x v="0"/>
    <m/>
    <m/>
    <m/>
    <m/>
    <m/>
  </r>
  <r>
    <s v="CE69031"/>
    <s v="WILLIAM ROBERTO MORA BERNAL"/>
    <x v="0"/>
    <s v="Soluciones financieras (Leasing)"/>
    <s v="KRYPTO"/>
    <e v="#NAME?"/>
    <s v="NOSDA- BAU $ BAU (Mantenimiento y peq. evolutivos)"/>
    <n v="0.25"/>
    <x v="0"/>
    <m/>
    <x v="0"/>
    <x v="0"/>
    <m/>
    <m/>
    <m/>
    <m/>
    <m/>
  </r>
  <r>
    <s v="CE69031"/>
    <s v="WILLIAM ROBERTO MORA BERNAL"/>
    <x v="0"/>
    <s v="Soluciones financieras (Factoring)"/>
    <s v="KRYPTO"/>
    <e v="#NAME?"/>
    <s v="NOSDA- BAU $ BAU (Mantenimiento y peq. evolutivos)"/>
    <n v="0.25"/>
    <x v="0"/>
    <m/>
    <x v="0"/>
    <x v="0"/>
    <m/>
    <m/>
    <m/>
    <m/>
    <m/>
  </r>
  <r>
    <s v="O003083"/>
    <s v="WILMAR ALBERTO ROMERO"/>
    <x v="2"/>
    <s v="Accounts"/>
    <s v="BBVA"/>
    <e v="#NAME?"/>
    <s v="SDATOOL-38419 $ Contratación cuenta en línea en Glomo"/>
    <n v="1"/>
    <x v="1"/>
    <m/>
    <x v="1"/>
    <x v="0"/>
    <m/>
    <m/>
    <m/>
    <m/>
    <m/>
  </r>
  <r>
    <s v="C811390"/>
    <s v="WILMAR CRUZ MORA"/>
    <x v="0"/>
    <s v="Gema"/>
    <s v="BBVA"/>
    <e v="#NAME?"/>
    <s v="NOSDA- BAU $ BAU (Mantenimiento y peq. evolutivos)"/>
    <n v="1"/>
    <x v="1"/>
    <m/>
    <x v="1"/>
    <x v="0"/>
    <m/>
    <m/>
    <m/>
    <m/>
    <m/>
  </r>
  <r>
    <s v="CE14662"/>
    <s v="WILMER AUGUSTO PEREZ NIÑO"/>
    <x v="4"/>
    <s v="Backoffice"/>
    <s v="Tecnoevolución"/>
    <e v="#NAME?"/>
    <s v="NOSDA- BAU $ BAU (Mantenimiento y peq. evolutivos)"/>
    <n v="1"/>
    <x v="1"/>
    <m/>
    <x v="0"/>
    <x v="0"/>
    <m/>
    <m/>
    <m/>
    <m/>
    <m/>
  </r>
  <r>
    <s v="C811371"/>
    <s v="Wilson Daniel Bulla Martinez"/>
    <x v="2"/>
    <s v="Cross/BPM"/>
    <s v="BBVA"/>
    <e v="#NAME?"/>
    <s v="NOSDA- BAU $ BAU (Mantenimiento y peq. evolutivos)"/>
    <n v="1"/>
    <x v="1"/>
    <s v="operación"/>
    <x v="1"/>
    <x v="0"/>
    <m/>
    <m/>
    <m/>
    <m/>
    <m/>
  </r>
  <r>
    <s v="CE53295"/>
    <s v="WILSON DELFIN MONDRAGON AMAYA"/>
    <x v="2"/>
    <s v="Accounts"/>
    <s v="SII"/>
    <e v="#NAME?"/>
    <s v="NOSDA- BAU $ BAU (Mantenimiento y peq. evolutivos)"/>
    <n v="0.2"/>
    <x v="1"/>
    <s v="Líder Fábrica"/>
    <x v="0"/>
    <x v="0"/>
    <m/>
    <m/>
    <m/>
    <m/>
    <m/>
  </r>
  <r>
    <s v="O002304"/>
    <s v="WILVER MARTINEZ ALVARADO"/>
    <x v="0"/>
    <s v="Transaccionalidad"/>
    <s v="BBVA"/>
    <e v="#NAME?"/>
    <s v="SDATOOL-38770 $ Marcación y cobro de comisiones PSE"/>
    <n v="1"/>
    <x v="1"/>
    <m/>
    <x v="1"/>
    <x v="0"/>
    <m/>
    <m/>
    <m/>
    <m/>
    <m/>
  </r>
  <r>
    <s v="C796552"/>
    <s v="YADIRA COBOS ROMERO"/>
    <x v="3"/>
    <s v="Net"/>
    <s v="BBVA"/>
    <e v="#NAME?"/>
    <s v="NOSDA- BAU $ BAU (Mantenimiento y peq. evolutivos)"/>
    <n v="0.2"/>
    <x v="2"/>
    <m/>
    <x v="1"/>
    <x v="0"/>
    <m/>
    <m/>
    <m/>
    <m/>
    <m/>
  </r>
  <r>
    <s v="C796552"/>
    <s v="YADIRA COBOS ROMERO"/>
    <x v="3"/>
    <s v="Net"/>
    <s v="BBVA"/>
    <e v="#NAME?"/>
    <s v="SDATOOL-38527 $ Pagaré Electrónico en flujos de Contratación digital"/>
    <n v="0.2"/>
    <x v="2"/>
    <m/>
    <x v="1"/>
    <x v="0"/>
    <m/>
    <m/>
    <m/>
    <m/>
    <m/>
  </r>
  <r>
    <s v="C796552"/>
    <s v="YADIRA COBOS ROMERO"/>
    <x v="3"/>
    <s v="Net"/>
    <s v="BBVA"/>
    <e v="#NAME?"/>
    <s v="SDATOOL-39246 $ Nuevo tipo de identificación para extranjeros"/>
    <n v="0.2"/>
    <x v="2"/>
    <m/>
    <x v="1"/>
    <x v="0"/>
    <m/>
    <m/>
    <m/>
    <m/>
    <m/>
  </r>
  <r>
    <s v="C796552"/>
    <s v="YADIRA COBOS ROMERO"/>
    <x v="3"/>
    <s v="Net"/>
    <s v="BBVA"/>
    <e v="#NAME?"/>
    <s v="SDATOOL-39834 $ Recaudo en Línea Secretaría de Hacienda Distrital - Fase II:  Solución paramétrica de recaudos para la inclusión de 7 formularios tributarios en Canales electrónicos Web y Corresponsal Bancario."/>
    <n v="0.2"/>
    <x v="2"/>
    <m/>
    <x v="1"/>
    <x v="0"/>
    <m/>
    <m/>
    <m/>
    <m/>
    <m/>
  </r>
  <r>
    <s v="C796552"/>
    <s v="YADIRA COBOS ROMERO"/>
    <x v="3"/>
    <s v="Net"/>
    <s v="BBVA"/>
    <e v="#NAME?"/>
    <s v="SDATOOL-39840 $ BBVA Valores en Canales (Net Cash / Net)"/>
    <n v="0.2"/>
    <x v="2"/>
    <m/>
    <x v="1"/>
    <x v="0"/>
    <m/>
    <m/>
    <m/>
    <m/>
    <m/>
  </r>
  <r>
    <s v="C796552"/>
    <s v="YADIRA COBOS ROMERO"/>
    <x v="3"/>
    <s v="Net"/>
    <s v="BBVA"/>
    <e v="#NAME?"/>
    <s v="SDATOOL-9053 $ GloMo Colombia"/>
    <n v="0.2"/>
    <x v="2"/>
    <m/>
    <x v="1"/>
    <x v="0"/>
    <m/>
    <m/>
    <m/>
    <m/>
    <m/>
  </r>
  <r>
    <s v="CE67315"/>
    <s v="YEFERSON OCHOA"/>
    <x v="4"/>
    <s v="Global Market &amp; Comex"/>
    <s v="Accenture"/>
    <e v="#NAME?"/>
    <s v="SDATOOL-39217 $ Aplicativos Tesorería 2022"/>
    <n v="1"/>
    <x v="1"/>
    <m/>
    <x v="0"/>
    <x v="0"/>
    <m/>
    <m/>
    <m/>
    <m/>
    <m/>
  </r>
  <r>
    <s v="C808856"/>
    <s v="YEHIN STIVEN PATIÑO"/>
    <x v="0"/>
    <s v="Transaccionalidad"/>
    <s v="BBVA"/>
    <e v="#NAME?"/>
    <s v="SDATOOL-31340 $ Intercambio Electrónico de Archivos ACH y Cenit"/>
    <n v="0.5"/>
    <x v="1"/>
    <m/>
    <x v="1"/>
    <x v="0"/>
    <m/>
    <m/>
    <m/>
    <m/>
    <m/>
  </r>
  <r>
    <s v="C808856"/>
    <s v="YEHIN STIVEN PATIÑO"/>
    <x v="0"/>
    <s v="Transaccionalidad"/>
    <s v="BBVA"/>
    <e v="#NAME?"/>
    <s v="SDATOOL-40528 $ ETPB - SENDA PAGOS"/>
    <n v="0.5"/>
    <x v="1"/>
    <m/>
    <x v="1"/>
    <x v="0"/>
    <m/>
    <m/>
    <m/>
    <m/>
    <m/>
  </r>
  <r>
    <s v="CE67889"/>
    <s v="YEIMY PATRICIA PELAEZ ARENAS"/>
    <x v="0"/>
    <s v="Soluciones financieras (Factoring)"/>
    <s v="Choucair"/>
    <e v="#NAME?"/>
    <s v="SDATOOL-36547 $ PLAN MAYOR -PLAN MENOR. Plan ascenso Open Market"/>
    <n v="0.75"/>
    <x v="0"/>
    <m/>
    <x v="0"/>
    <x v="0"/>
    <m/>
    <m/>
    <m/>
    <m/>
    <m/>
  </r>
  <r>
    <s v="CE67889"/>
    <s v="YEIMY PATRICIA PELAEZ ARENAS"/>
    <x v="0"/>
    <s v="Soluciones financieras (Factoring)"/>
    <s v="Choucair"/>
    <e v="#NAME?"/>
    <s v="SDATOOL-37125 $ Factoring - IBR"/>
    <n v="0.25"/>
    <x v="0"/>
    <m/>
    <x v="0"/>
    <x v="0"/>
    <m/>
    <m/>
    <m/>
    <m/>
    <m/>
  </r>
  <r>
    <s v="T002011"/>
    <s v="YEIMY TATIANA ZAMORA GUEVARA"/>
    <x v="0"/>
    <s v="Soluciones financieras (Factoring)"/>
    <s v="Choucair"/>
    <e v="#NAME?"/>
    <s v="SDATOOL-37125 $ Factoring - IBR"/>
    <n v="1"/>
    <x v="0"/>
    <m/>
    <x v="0"/>
    <x v="0"/>
    <m/>
    <m/>
    <m/>
    <m/>
    <m/>
  </r>
  <r>
    <s v="T010288"/>
    <s v="yeison andres consuegra vega"/>
    <x v="1"/>
    <s v="T&amp;C"/>
    <s v="Novatec"/>
    <e v="#NAME?"/>
    <s v="SDATOOL-28728 $ Contratación electrónica/digital de empleados y Carpeta Virtual 2.0"/>
    <n v="1"/>
    <x v="1"/>
    <m/>
    <x v="0"/>
    <x v="0"/>
    <m/>
    <m/>
    <m/>
    <m/>
    <m/>
  </r>
  <r>
    <s v="C810668"/>
    <s v="YEISSON FABIAN GUALDRON VIVAS"/>
    <x v="3"/>
    <s v="Open Market"/>
    <s v="BBVA"/>
    <e v="#NAME?"/>
    <s v="SDATOOL-36548 $ Optimización consumo web - Plan ascenso Open Market"/>
    <n v="1"/>
    <x v="1"/>
    <m/>
    <x v="1"/>
    <x v="0"/>
    <m/>
    <m/>
    <m/>
    <m/>
    <m/>
  </r>
  <r>
    <s v="O000191"/>
    <s v="Yelitza Andrea Bohorquez Bedoya"/>
    <x v="3"/>
    <s v="CRM"/>
    <s v="BBVA"/>
    <e v="#NAME?"/>
    <s v="SDATOOL-40690 $ Plan CRM: Mejoras AUG (Banca Comercial y CSF) Equipo B"/>
    <n v="1"/>
    <x v="1"/>
    <m/>
    <x v="1"/>
    <x v="0"/>
    <m/>
    <m/>
    <m/>
    <m/>
    <m/>
  </r>
  <r>
    <s v="CE68929"/>
    <s v="Yenifer Arango Tabares"/>
    <x v="3"/>
    <s v="Canales asistidos Call Center / Gest. remota"/>
    <s v="Choucair"/>
    <e v="#NAME?"/>
    <s v="SDATOOL-37100 $ Soluciones de voz/Internalización del IVR - Plan Ascenso Privado"/>
    <n v="1"/>
    <x v="0"/>
    <m/>
    <x v="0"/>
    <x v="0"/>
    <m/>
    <m/>
    <m/>
    <m/>
    <m/>
  </r>
  <r>
    <s v="T005749"/>
    <s v="YESICA DANIELA VARGAS ESPITIA"/>
    <x v="1"/>
    <s v="Finanzas"/>
    <s v="BLUETAB"/>
    <e v="#NAME?"/>
    <s v="SDATOOL-37483 $ Aplicativos Finanzas - 2022"/>
    <n v="1"/>
    <x v="1"/>
    <m/>
    <x v="0"/>
    <x v="0"/>
    <m/>
    <m/>
    <m/>
    <m/>
    <m/>
  </r>
  <r>
    <s v="O001980"/>
    <s v="YESID ALEXANDER ROA VEGA"/>
    <x v="3"/>
    <s v="Net"/>
    <s v="BBVA"/>
    <e v="#NAME?"/>
    <s v="NOSDA- BAU $ BAU (Mantenimiento y peq. evolutivos)"/>
    <n v="1"/>
    <x v="1"/>
    <m/>
    <x v="1"/>
    <x v="0"/>
    <m/>
    <m/>
    <m/>
    <m/>
    <m/>
  </r>
  <r>
    <s v="C811362"/>
    <s v="YIGLIANA ALVAREZ MENDOZA"/>
    <x v="2"/>
    <s v="Accounts"/>
    <s v="BBVA"/>
    <e v="#NAME?"/>
    <s v="SDATOOL-39506 $ Cuenta Sostenible"/>
    <n v="0.3"/>
    <x v="1"/>
    <m/>
    <x v="1"/>
    <x v="0"/>
    <m/>
    <m/>
    <m/>
    <m/>
    <m/>
  </r>
  <r>
    <s v="C811362"/>
    <s v="YIGLIANA ALVAREZ MENDOZA"/>
    <x v="2"/>
    <s v="Accounts"/>
    <s v="BBVA"/>
    <e v="#NAME?"/>
    <s v="SDATOOL-39436 $ COLPENSIONES ONP: llevar el control cuándo llega más de una mesada para un mismo cliente."/>
    <n v="0.35"/>
    <x v="1"/>
    <m/>
    <x v="1"/>
    <x v="0"/>
    <m/>
    <m/>
    <m/>
    <m/>
    <m/>
  </r>
  <r>
    <s v="C811362"/>
    <s v="YIGLIANA ALVAREZ MENDOZA"/>
    <x v="2"/>
    <s v="Accounts"/>
    <s v="BBVA"/>
    <e v="#NAME?"/>
    <s v="SDATOOL-39385 $ COLPENSIONES - ONP MEJORA FECHA PRIMER RETIRO DEL PENSIONADO FALLECIDO"/>
    <n v="0.35"/>
    <x v="1"/>
    <m/>
    <x v="1"/>
    <x v="0"/>
    <m/>
    <m/>
    <m/>
    <m/>
    <m/>
  </r>
  <r>
    <s v="T005391"/>
    <s v="YINET CATALINA TORRES (QA)"/>
    <x v="0"/>
    <s v="Transaccionalidad"/>
    <s v="Inetum"/>
    <e v="#NAME?"/>
    <s v="SDATOOL-37130 $ Pago y domiciliación de recaudo"/>
    <n v="0.5"/>
    <x v="0"/>
    <m/>
    <x v="0"/>
    <x v="0"/>
    <m/>
    <m/>
    <m/>
    <m/>
    <m/>
  </r>
  <r>
    <s v="T005391"/>
    <s v="YINET CATALINA TORRES (QA)"/>
    <x v="0"/>
    <s v="Transaccionalidad"/>
    <s v="Inetum"/>
    <e v="#NAME?"/>
    <s v="NOSDA- BAU $ BAU (Mantenimiento y peq. evolutivos)"/>
    <n v="0.5"/>
    <x v="0"/>
    <m/>
    <x v="0"/>
    <x v="0"/>
    <m/>
    <m/>
    <m/>
    <m/>
    <m/>
  </r>
  <r>
    <s v="O000110"/>
    <s v="YINETH SANEY FRANCO HERNANDEZ "/>
    <x v="0"/>
    <s v="Senda"/>
    <s v="BBVA"/>
    <e v="#NAME?"/>
    <s v="SDATOOL-40457 $ SENDA (Base)"/>
    <n v="1"/>
    <x v="1"/>
    <m/>
    <x v="1"/>
    <x v="0"/>
    <m/>
    <m/>
    <m/>
    <m/>
    <m/>
  </r>
  <r>
    <s v="C804055"/>
    <s v="YOAN LEONARDO QUIROGA VASQUEZ "/>
    <x v="0"/>
    <s v="Soluciones financieras (Leasing)"/>
    <s v="BBVA"/>
    <e v="#NAME?"/>
    <s v="SDATOOL-40466 $ Garantía FAG"/>
    <n v="0.05"/>
    <x v="1"/>
    <m/>
    <x v="1"/>
    <x v="0"/>
    <m/>
    <m/>
    <m/>
    <m/>
    <m/>
  </r>
  <r>
    <s v="C804055"/>
    <s v="YOAN LEONARDO QUIROGA VASQUEZ "/>
    <x v="0"/>
    <s v="Soluciones financieras (Leasing)"/>
    <s v="BBVA"/>
    <e v="#NAME?"/>
    <s v="SDATOOL-36358 $ Pagos por Terceros (Mandato y/o Administración) - Información exógena DIAN - Resolución 0098 DIAN"/>
    <n v="0.05"/>
    <x v="1"/>
    <m/>
    <x v="1"/>
    <x v="0"/>
    <m/>
    <m/>
    <m/>
    <m/>
    <m/>
  </r>
  <r>
    <s v="C804055"/>
    <s v="YOAN LEONARDO QUIROGA VASQUEZ "/>
    <x v="0"/>
    <s v="Soluciones financieras (Leasing)"/>
    <s v="BBVA"/>
    <e v="#NAME?"/>
    <s v="SDATOOL-33847 $ Resolución 0042 DIAN Documento Soporte"/>
    <n v="0.5"/>
    <x v="1"/>
    <m/>
    <x v="1"/>
    <x v="0"/>
    <m/>
    <m/>
    <m/>
    <m/>
    <m/>
  </r>
  <r>
    <s v="C804055"/>
    <s v="YOAN LEONARDO QUIROGA VASQUEZ "/>
    <x v="0"/>
    <s v="Soluciones financieras (Leasing)"/>
    <s v="BBVA"/>
    <e v="#NAME?"/>
    <s v="SDATOOL-39334 $ GRM Col Reg - CE016-19 Modificados, reestructurados e incumplidos Leasing"/>
    <n v="0.05"/>
    <x v="1"/>
    <m/>
    <x v="1"/>
    <x v="0"/>
    <m/>
    <m/>
    <m/>
    <m/>
    <m/>
  </r>
  <r>
    <s v="C804055"/>
    <s v="YOAN LEONARDO QUIROGA VASQUEZ "/>
    <x v="0"/>
    <s v="Soluciones financieras (Leasing)"/>
    <s v="BBVA"/>
    <e v="#NAME?"/>
    <s v="NOSDA- BAU $ BAU (Mantenimiento y peq. evolutivos)"/>
    <n v="0.05"/>
    <x v="1"/>
    <m/>
    <x v="1"/>
    <x v="0"/>
    <m/>
    <m/>
    <m/>
    <m/>
    <m/>
  </r>
  <r>
    <s v="C804055"/>
    <s v="YOAN LEONARDO QUIROGA VASQUEZ "/>
    <x v="0"/>
    <s v="Soluciones financieras (Leasing)"/>
    <s v="BBVA"/>
    <e v="#NAME?"/>
    <s v="SDATOOL-41941 $ INTEGRACIÓN DE AS400 Y HOST Y  ESTABILIZACIÓN Y RESTABLECIMIENTO  DE lOS ENTORNOS DE LEASING AS400  DE DESARROLLO Y CALIDAD&quot;"/>
    <n v="0.05"/>
    <x v="1"/>
    <m/>
    <x v="1"/>
    <x v="0"/>
    <m/>
    <m/>
    <m/>
    <m/>
    <m/>
  </r>
  <r>
    <s v="C804055"/>
    <s v="YOAN LEONARDO QUIROGA VASQUEZ "/>
    <x v="0"/>
    <s v="Soluciones financieras (Leasing)"/>
    <s v="BBVA"/>
    <e v="#NAME?"/>
    <s v="SDATOOL-40438 $ CIRCULAR 032 del 2021 - REQUERIMIENTO FISCALIA GENERAL DE LA NACION"/>
    <n v="0.1"/>
    <x v="1"/>
    <m/>
    <x v="1"/>
    <x v="0"/>
    <m/>
    <m/>
    <m/>
    <m/>
    <m/>
  </r>
  <r>
    <s v="C804055"/>
    <s v="YOAN LEONARDO QUIROGA VASQUEZ "/>
    <x v="0"/>
    <s v="Soluciones financieras (Leasing)"/>
    <s v="BBVA"/>
    <e v="#NAME?"/>
    <s v="SDATOOL-33846 $ SREP Data Quality- BCBS239 - Colombia"/>
    <n v="0.1"/>
    <x v="1"/>
    <m/>
    <x v="1"/>
    <x v="0"/>
    <m/>
    <m/>
    <m/>
    <m/>
    <m/>
  </r>
  <r>
    <s v="C804055"/>
    <s v="YOAN LEONARDO QUIROGA VASQUEZ "/>
    <x v="0"/>
    <s v="Soluciones financieras (Leasing)"/>
    <s v="BBVA"/>
    <e v="#NAME?"/>
    <s v="SDATOOL-39783 $ Resolución 0124 de 2021 - Captura del base de Operaciones Anuladas en Leasing - Aplic. Leasing"/>
    <n v="0.05"/>
    <x v="1"/>
    <m/>
    <x v="1"/>
    <x v="0"/>
    <m/>
    <m/>
    <m/>
    <m/>
    <m/>
  </r>
  <r>
    <s v="C802977"/>
    <s v="YULY MARCELA OVALLE GOMEZ"/>
    <x v="2"/>
    <s v="Accounts"/>
    <s v="BBVA"/>
    <e v="#NAME?"/>
    <s v="SDATOOL-39246 $ Nuevo tipo de identificación para extranjeros"/>
    <n v="0.05"/>
    <x v="2"/>
    <m/>
    <x v="1"/>
    <x v="0"/>
    <m/>
    <m/>
    <m/>
    <m/>
    <m/>
  </r>
  <r>
    <s v="C802977"/>
    <s v="YULY MARCELA OVALLE GOMEZ"/>
    <x v="2"/>
    <s v="Accounts"/>
    <s v="BBVA"/>
    <e v="#NAME?"/>
    <s v="SDATOOL-40656 $ GRM Col - Recuperación sobre  cuentas pensionales"/>
    <n v="0.05"/>
    <x v="2"/>
    <m/>
    <x v="1"/>
    <x v="0"/>
    <m/>
    <m/>
    <m/>
    <m/>
    <m/>
  </r>
  <r>
    <s v="C802977"/>
    <s v="YULY MARCELA OVALLE GOMEZ"/>
    <x v="2"/>
    <s v="Accounts"/>
    <s v="BBVA"/>
    <e v="#NAME?"/>
    <s v="SDATOOL-39383 $ AJUSTES HIGIENICOS DE PORTAFOLIO + REPORTE CENTRALIZADO DE NÓMINA"/>
    <n v="0.1"/>
    <x v="2"/>
    <m/>
    <x v="1"/>
    <x v="0"/>
    <m/>
    <m/>
    <m/>
    <m/>
    <m/>
  </r>
  <r>
    <s v="C802977"/>
    <s v="YULY MARCELA OVALLE GOMEZ"/>
    <x v="2"/>
    <s v="Accounts"/>
    <s v="BBVA"/>
    <e v="#NAME?"/>
    <s v="SDATOOL-39457 $ Generación MT940 Fines de Semana y Festivos"/>
    <n v="0.1"/>
    <x v="2"/>
    <m/>
    <x v="1"/>
    <x v="0"/>
    <m/>
    <m/>
    <m/>
    <m/>
    <m/>
  </r>
  <r>
    <s v="C802977"/>
    <s v="YULY MARCELA OVALLE GOMEZ"/>
    <x v="2"/>
    <s v="Accounts"/>
    <s v="BBVA"/>
    <e v="#NAME?"/>
    <s v="SDATOOL-33065 $ Remesas BTS"/>
    <n v="0.15"/>
    <x v="2"/>
    <m/>
    <x v="1"/>
    <x v="0"/>
    <m/>
    <m/>
    <m/>
    <m/>
    <m/>
  </r>
  <r>
    <s v="C802977"/>
    <s v="YULY MARCELA OVALLE GOMEZ"/>
    <x v="2"/>
    <s v="Accounts"/>
    <s v="BBVA"/>
    <e v="#NAME?"/>
    <s v="SDATOOL-40653 $ GRM Col - Calibración de factores para el cálculo del Coeficiente de Fondeo Estable Neto"/>
    <n v="0.05"/>
    <x v="2"/>
    <m/>
    <x v="1"/>
    <x v="0"/>
    <m/>
    <m/>
    <m/>
    <m/>
    <m/>
  </r>
  <r>
    <s v="C802977"/>
    <s v="YULY MARCELA OVALLE GOMEZ"/>
    <x v="2"/>
    <s v="Accounts"/>
    <s v="BBVA"/>
    <e v="#NAME?"/>
    <s v="SDATOOL-39506 $ Cuenta Sostenible"/>
    <n v="0.05"/>
    <x v="2"/>
    <m/>
    <x v="1"/>
    <x v="0"/>
    <m/>
    <m/>
    <m/>
    <m/>
    <m/>
  </r>
  <r>
    <s v="C802977"/>
    <s v="YULY MARCELA OVALLE GOMEZ"/>
    <x v="2"/>
    <s v="Accounts"/>
    <s v="BBVA"/>
    <e v="#NAME?"/>
    <s v="SDATOOL-39436 $ COLPENSIONES ONP: llevar el control cuándo llega más de una mesada para un mismo cliente."/>
    <n v="0.1"/>
    <x v="2"/>
    <m/>
    <x v="1"/>
    <x v="0"/>
    <m/>
    <m/>
    <m/>
    <m/>
    <m/>
  </r>
  <r>
    <s v="C802977"/>
    <s v="YULY MARCELA OVALLE GOMEZ"/>
    <x v="2"/>
    <s v="Accounts"/>
    <s v="BBVA"/>
    <e v="#NAME?"/>
    <s v="SDATOOL-39385 $ COLPENSIONES - ONP MEJORA FECHA PRIMER RETIRO DEL PENSIONADO FALLECIDO"/>
    <n v="0.1"/>
    <x v="2"/>
    <m/>
    <x v="1"/>
    <x v="0"/>
    <m/>
    <m/>
    <m/>
    <m/>
    <m/>
  </r>
  <r>
    <s v="C802977"/>
    <s v="YULY MARCELA OVALLE GOMEZ"/>
    <x v="2"/>
    <s v="Accounts"/>
    <s v="BBVA"/>
    <e v="#NAME?"/>
    <s v="SDATOOL-40438 $ CIRCULAR 032 del 2021 - REQUERIMIENTO FISCALIA GENERAL DE LA NACION"/>
    <n v="0.1"/>
    <x v="2"/>
    <m/>
    <x v="1"/>
    <x v="0"/>
    <m/>
    <m/>
    <m/>
    <m/>
    <m/>
  </r>
  <r>
    <s v="C802977"/>
    <s v="YULY MARCELA OVALLE GOMEZ"/>
    <x v="2"/>
    <s v="Accounts"/>
    <s v="BBVA"/>
    <e v="#NAME?"/>
    <s v="SDATOOL-40589 $ Ajuste longitud de cuentas problema 7 digitos"/>
    <n v="0.15"/>
    <x v="2"/>
    <m/>
    <x v="1"/>
    <x v="0"/>
    <m/>
    <m/>
    <m/>
    <m/>
    <m/>
  </r>
  <r>
    <s v="T003286"/>
    <s v="YURI VALENTINA MUÑOZ"/>
    <x v="1"/>
    <s v="T&amp;C"/>
    <s v="Novatec"/>
    <e v="#NAME?"/>
    <s v="SDATOOL-28728 $ Contratación electrónica/digital de empleados y Carpeta Virtual 2.0"/>
    <n v="1"/>
    <x v="1"/>
    <m/>
    <x v="0"/>
    <x v="0"/>
    <m/>
    <m/>
    <m/>
    <m/>
    <m/>
  </r>
  <r>
    <s v="C808860"/>
    <s v="ZARATE PAVAS JOHN JAIRO"/>
    <x v="1"/>
    <s v="Finanzas"/>
    <s v="BBVA"/>
    <e v="#NAME?"/>
    <s v="SDATOOL-40225 $ Resolución 0124 Dian - 2021 - Ajustes para Reporte de Información Exógena año gravable 2022 - Ciclo 1"/>
    <n v="0.15"/>
    <x v="1"/>
    <m/>
    <x v="1"/>
    <x v="0"/>
    <m/>
    <m/>
    <m/>
    <m/>
    <m/>
  </r>
  <r>
    <s v="C808860"/>
    <s v="ZARATE PAVAS JOHN JAIRO"/>
    <x v="1"/>
    <s v="Finanzas"/>
    <s v="BBVA"/>
    <e v="#NAME?"/>
    <s v="SDATOOL-37681 $ Ciclo 2 - Resolución 0098 de Octubre 28 de 2020 - Reportes información Exógena Base Impuestos"/>
    <n v="0.25"/>
    <x v="1"/>
    <m/>
    <x v="1"/>
    <x v="0"/>
    <m/>
    <m/>
    <m/>
    <m/>
    <m/>
  </r>
  <r>
    <s v="C808860"/>
    <s v="ZARATE PAVAS JOHN JAIRO"/>
    <x v="1"/>
    <s v="Finanzas"/>
    <s v="BBVA"/>
    <e v="#NAME?"/>
    <s v="SDATOOL-38583 $ FUSIONES Y ACTUALIZACION DE IDENTIFICACIONES"/>
    <n v="0.25"/>
    <x v="1"/>
    <m/>
    <x v="1"/>
    <x v="0"/>
    <m/>
    <m/>
    <m/>
    <m/>
    <m/>
  </r>
  <r>
    <s v="C808860"/>
    <s v="ZARATE PAVAS JOHN JAIRO"/>
    <x v="1"/>
    <s v="Finanzas"/>
    <s v="BBVA"/>
    <e v="#NAME?"/>
    <s v="SDATOOL-35621 $ DOCUMENTO SOPORTE FASE II - DIALOGO"/>
    <n v="0.25"/>
    <x v="1"/>
    <m/>
    <x v="1"/>
    <x v="0"/>
    <m/>
    <m/>
    <m/>
    <m/>
    <m/>
  </r>
  <r>
    <s v="C808860"/>
    <s v="ZARATE PAVAS JOHN JAIRO"/>
    <x v="1"/>
    <s v="Finanzas"/>
    <s v="BBVA"/>
    <e v="#NAME?"/>
    <s v="SDATOOL-33847 $ Resolución 0042 DIAN Documento Soporte"/>
    <n v="0.1"/>
    <x v="1"/>
    <m/>
    <x v="1"/>
    <x v="0"/>
    <m/>
    <m/>
    <m/>
    <m/>
    <m/>
  </r>
  <r>
    <s v="T009396"/>
    <s v="ZULMA ZORAYA  PENAGOS TAVERA"/>
    <x v="0"/>
    <s v="Senda"/>
    <s v="Novatec"/>
    <e v="#NAME?"/>
    <s v="SDATOOL-40528 $ ETPB - SENDA PAGOS"/>
    <n v="1"/>
    <x v="1"/>
    <m/>
    <x v="0"/>
    <x v="0"/>
    <m/>
    <m/>
    <m/>
    <m/>
    <m/>
  </r>
  <r>
    <s v="CE66458"/>
    <s v="ROBERTO CARLOS NIETO SUAREZ"/>
    <x v="1"/>
    <s v="Finanzas"/>
    <s v="Inetum"/>
    <e v="#NAME?"/>
    <s v="SDATOOL-36929 $ Ciclo 1 - Resolución 098 de 2020 DIAN - Reportes de Información Exogena"/>
    <n v="1"/>
    <x v="0"/>
    <m/>
    <x v="0"/>
    <x v="0"/>
    <m/>
    <m/>
    <m/>
    <m/>
    <m/>
  </r>
  <r>
    <s v="CE67101"/>
    <s v="IVETTE AYCHELL MONROY SUAREZ"/>
    <x v="1"/>
    <s v="Finanzas"/>
    <s v="Inetum"/>
    <e v="#NAME?"/>
    <s v="SDATOOL-37681 $ Ciclo 2 - Resolución 0098 de Octubre 28 de 2020 - Reportes información Exógena Base Impuestos"/>
    <n v="1"/>
    <x v="0"/>
    <m/>
    <x v="0"/>
    <x v="0"/>
    <m/>
    <m/>
    <m/>
    <m/>
    <m/>
  </r>
  <r>
    <s v="CE64507"/>
    <s v="DANIEL ESTEBAN MORENO CARRILLO"/>
    <x v="1"/>
    <s v="Finanzas"/>
    <s v="Inetum"/>
    <e v="#NAME?"/>
    <s v="SDATOOL-40003 $ Resolución 0124 DIAN 2021 - Créditos Hipotecarios para remodelación de Vivienda"/>
    <n v="1"/>
    <x v="0"/>
    <m/>
    <x v="0"/>
    <x v="0"/>
    <m/>
    <m/>
    <m/>
    <m/>
    <m/>
  </r>
  <r>
    <s v="CE59467"/>
    <s v="NORMA CECILIA MORENO GONZALEZ"/>
    <x v="1"/>
    <s v="Finanzas"/>
    <s v="Inetum"/>
    <e v="#NAME?"/>
    <s v="SDATOOL-40225 $ Resolución 0124 Dian - 2021 - Ajustes para Reporte de Información Exógena año gravable 2022 - Ciclo 1"/>
    <n v="1"/>
    <x v="0"/>
    <m/>
    <x v="0"/>
    <x v="0"/>
    <m/>
    <m/>
    <m/>
    <m/>
    <m/>
  </r>
  <r>
    <s v="CE69363"/>
    <s v="CAROLINA AMAYA GUAYACAN_x000a_"/>
    <x v="1"/>
    <s v="Finanzas"/>
    <s v="Choucair"/>
    <e v="#NAME?"/>
    <s v="NOSDA- BAU $ BAU (Mantenimiento y peq. evolutivos)"/>
    <n v="1"/>
    <x v="0"/>
    <m/>
    <x v="0"/>
    <x v="0"/>
    <m/>
    <m/>
    <m/>
    <m/>
    <m/>
  </r>
  <r>
    <s v="T007669"/>
    <s v="SANTIAGO GALLEGO BEDOYA_x000a_"/>
    <x v="1"/>
    <s v="Finanzas"/>
    <s v="Neoris"/>
    <e v="#NAME?"/>
    <s v="SDATOOL-40274 $ CIRCULAR 033 de 2021-SFC"/>
    <n v="1"/>
    <x v="0"/>
    <m/>
    <x v="0"/>
    <x v="0"/>
    <m/>
    <m/>
    <m/>
    <m/>
    <m/>
  </r>
  <r>
    <s v="T005931"/>
    <s v="DANIEL MAURICIO RIANO PEDRAZA_x000a_"/>
    <x v="1"/>
    <s v="Finanzas"/>
    <s v="GGI / CMC"/>
    <e v="#NAME?"/>
    <s v="SDATOOL-32520 $ CDD Based Reporting - Colombia"/>
    <n v="0.1"/>
    <x v="0"/>
    <m/>
    <x v="0"/>
    <x v="0"/>
    <m/>
    <m/>
    <m/>
    <m/>
    <m/>
  </r>
  <r>
    <s v="T005931"/>
    <s v="DANIEL MAURICIO RIANO PEDRAZA_x000a_"/>
    <x v="1"/>
    <s v="Finanzas"/>
    <s v="GGI / CMC"/>
    <e v="#NAME?"/>
    <s v="SDATOOL-37483 $ Aplicativos Finanzas - 2022"/>
    <n v="0.1"/>
    <x v="0"/>
    <m/>
    <x v="0"/>
    <x v="0"/>
    <m/>
    <m/>
    <m/>
    <m/>
    <m/>
  </r>
  <r>
    <s v="T005931"/>
    <s v="DANIEL MAURICIO RIANO PEDRAZA_x000a_"/>
    <x v="1"/>
    <s v="Finanzas"/>
    <s v="GGI / CMC"/>
    <e v="#NAME?"/>
    <s v="SDATOOL-40529 $ Aplicativos Finanzas - 2023"/>
    <n v="0.1"/>
    <x v="0"/>
    <m/>
    <x v="0"/>
    <x v="0"/>
    <m/>
    <m/>
    <m/>
    <m/>
    <m/>
  </r>
  <r>
    <s v="T005931"/>
    <s v="DANIEL MAURICIO RIANO PEDRAZA_x000a_"/>
    <x v="1"/>
    <s v="Finanzas"/>
    <s v="GGI / CMC"/>
    <e v="#NAME?"/>
    <s v="SDATOOL-40274 $ CIRCULAR 033 de 2021-SFC"/>
    <n v="0.1"/>
    <x v="0"/>
    <m/>
    <x v="0"/>
    <x v="0"/>
    <m/>
    <m/>
    <m/>
    <m/>
    <m/>
  </r>
  <r>
    <s v="T005931"/>
    <s v="DANIEL MAURICIO RIANO PEDRAZA_x000a_"/>
    <x v="1"/>
    <s v="Finanzas"/>
    <s v="GGI / CMC"/>
    <e v="#NAME?"/>
    <s v="SDATOOL-33847 $ Resolución 0042 DIAN Documento Soporte"/>
    <n v="0.1"/>
    <x v="0"/>
    <m/>
    <x v="0"/>
    <x v="0"/>
    <m/>
    <m/>
    <m/>
    <m/>
    <m/>
  </r>
  <r>
    <s v="T005931"/>
    <s v="DANIEL MAURICIO RIANO PEDRAZA_x000a_"/>
    <x v="1"/>
    <s v="Finanzas"/>
    <s v="GGI / CMC"/>
    <e v="#NAME?"/>
    <s v="SDATOOL-33862 $ NDoD Accounting"/>
    <n v="0.1"/>
    <x v="0"/>
    <m/>
    <x v="0"/>
    <x v="0"/>
    <m/>
    <m/>
    <m/>
    <m/>
    <m/>
  </r>
  <r>
    <s v="T005931"/>
    <s v="DANIEL MAURICIO RIANO PEDRAZA_x000a_"/>
    <x v="1"/>
    <s v="Cumplimiento &amp; Auditoría"/>
    <s v="GGI / CMC"/>
    <e v="#NAME?"/>
    <s v="SDATOOL-29998 $ Despliegue SAS AML en BBVA CO"/>
    <n v="0.1"/>
    <x v="0"/>
    <m/>
    <x v="0"/>
    <x v="0"/>
    <m/>
    <m/>
    <m/>
    <m/>
    <m/>
  </r>
  <r>
    <s v="T005931"/>
    <s v="DANIEL MAURICIO RIANO PEDRAZA_x000a_"/>
    <x v="1"/>
    <s v="Cumplimiento &amp; Auditoría"/>
    <s v="GGI / CMC"/>
    <e v="#NAME?"/>
    <s v="SDATOOL-39265 $ Migración Operaciones Fircosoft"/>
    <n v="0.1"/>
    <x v="0"/>
    <m/>
    <x v="0"/>
    <x v="0"/>
    <m/>
    <m/>
    <m/>
    <m/>
    <m/>
  </r>
  <r>
    <s v="T005931"/>
    <s v="DANIEL MAURICIO RIANO PEDRAZA_x000a_"/>
    <x v="1"/>
    <s v="Cumplimiento &amp; Auditoría"/>
    <s v="GGI / CMC"/>
    <e v="#NAME?"/>
    <s v="SDATOOL-39888 $ Proyecto - Evolutivo Sarlaft - Mejoras controles aplicativos"/>
    <n v="0.1"/>
    <x v="0"/>
    <m/>
    <x v="0"/>
    <x v="0"/>
    <m/>
    <m/>
    <m/>
    <m/>
    <m/>
  </r>
  <r>
    <s v="T005931"/>
    <s v="DANIEL MAURICIO RIANO PEDRAZA_x000a_"/>
    <x v="1"/>
    <s v="Cumplimiento &amp; Auditoría"/>
    <s v="GGI / CMC"/>
    <e v="#NAME?"/>
    <s v="SDATOOL-40984 $ Proyecto - Identificación e ingesta de las tablas necesarias en datio y la construcción del caso de uso para la identificación de vínculos - Colombia"/>
    <n v="0.1"/>
    <x v="0"/>
    <m/>
    <x v="0"/>
    <x v="0"/>
    <m/>
    <m/>
    <m/>
    <m/>
    <m/>
  </r>
  <r>
    <s v="CE68547"/>
    <s v="JOSE ROBERTO GONZALEZ MELO_x000a_"/>
    <x v="1"/>
    <s v="Finanzas"/>
    <s v="KRYPTO"/>
    <e v="#NAME?"/>
    <s v="SDATOOL-32520 $ CDD Based Reporting - Colombia"/>
    <n v="0.1"/>
    <x v="0"/>
    <m/>
    <x v="0"/>
    <x v="0"/>
    <m/>
    <m/>
    <m/>
    <m/>
    <m/>
  </r>
  <r>
    <s v="CE68547"/>
    <s v="JOSE ROBERTO GONZALEZ MELO_x000a_"/>
    <x v="1"/>
    <s v="Finanzas"/>
    <s v="KRYPTO"/>
    <e v="#NAME?"/>
    <s v="SDATOOL-37483 $ Aplicativos Finanzas - 2022"/>
    <n v="0.1"/>
    <x v="0"/>
    <m/>
    <x v="0"/>
    <x v="0"/>
    <m/>
    <m/>
    <m/>
    <m/>
    <m/>
  </r>
  <r>
    <s v="CE68547"/>
    <s v="JOSE ROBERTO GONZALEZ MELO_x000a_"/>
    <x v="1"/>
    <s v="Finanzas"/>
    <s v="KRYPTO"/>
    <e v="#NAME?"/>
    <s v="SDATOOL-40529 $ Aplicativos Finanzas - 2023"/>
    <n v="0.1"/>
    <x v="0"/>
    <m/>
    <x v="0"/>
    <x v="0"/>
    <m/>
    <m/>
    <m/>
    <m/>
    <m/>
  </r>
  <r>
    <s v="CE68547"/>
    <s v="JOSE ROBERTO GONZALEZ MELO_x000a_"/>
    <x v="1"/>
    <s v="Finanzas"/>
    <s v="KRYPTO"/>
    <e v="#NAME?"/>
    <s v="SDATOOL-40274 $ CIRCULAR 033 de 2021-SFC"/>
    <n v="0.1"/>
    <x v="0"/>
    <m/>
    <x v="0"/>
    <x v="0"/>
    <m/>
    <m/>
    <m/>
    <m/>
    <m/>
  </r>
  <r>
    <s v="CE68547"/>
    <s v="JOSE ROBERTO GONZALEZ MELO_x000a_"/>
    <x v="1"/>
    <s v="Finanzas"/>
    <s v="KRYPTO"/>
    <e v="#NAME?"/>
    <s v="SDATOOL-33847 $ Resolución 0042 DIAN Documento Soporte"/>
    <n v="0.1"/>
    <x v="0"/>
    <m/>
    <x v="0"/>
    <x v="0"/>
    <m/>
    <m/>
    <m/>
    <m/>
    <m/>
  </r>
  <r>
    <s v="CE68547"/>
    <s v="JOSE ROBERTO GONZALEZ MELO_x000a_"/>
    <x v="1"/>
    <s v="Finanzas"/>
    <s v="KRYPTO"/>
    <e v="#NAME?"/>
    <s v="SDATOOL-33862 $ NDoD Accounting"/>
    <n v="0.1"/>
    <x v="0"/>
    <m/>
    <x v="0"/>
    <x v="0"/>
    <m/>
    <m/>
    <m/>
    <m/>
    <m/>
  </r>
  <r>
    <s v="CE68547"/>
    <s v="JOSE ROBERTO GONZALEZ MELO_x000a_"/>
    <x v="1"/>
    <s v="Cumplimiento &amp; Auditoría"/>
    <s v="KRYPTO"/>
    <e v="#NAME?"/>
    <s v="SDATOOL-29998 $ Despliegue SAS AML en BBVA CO"/>
    <n v="0.1"/>
    <x v="0"/>
    <m/>
    <x v="0"/>
    <x v="0"/>
    <m/>
    <m/>
    <m/>
    <m/>
    <m/>
  </r>
  <r>
    <s v="CE68547"/>
    <s v="JOSE ROBERTO GONZALEZ MELO_x000a_"/>
    <x v="1"/>
    <s v="Cumplimiento &amp; Auditoría"/>
    <s v="KRYPTO"/>
    <e v="#NAME?"/>
    <s v="SDATOOL-39265 $ Migración Operaciones Fircosoft"/>
    <n v="0.1"/>
    <x v="0"/>
    <m/>
    <x v="0"/>
    <x v="0"/>
    <m/>
    <m/>
    <m/>
    <m/>
    <m/>
  </r>
  <r>
    <s v="CE68547"/>
    <s v="JOSE ROBERTO GONZALEZ MELO_x000a_"/>
    <x v="1"/>
    <s v="Cumplimiento &amp; Auditoría"/>
    <s v="KRYPTO"/>
    <e v="#NAME?"/>
    <s v="SDATOOL-39888 $ Proyecto - Evolutivo Sarlaft - Mejoras controles aplicativos"/>
    <n v="0.1"/>
    <x v="0"/>
    <m/>
    <x v="0"/>
    <x v="0"/>
    <m/>
    <m/>
    <m/>
    <m/>
    <m/>
  </r>
  <r>
    <s v="CE68547"/>
    <s v="JOSE ROBERTO GONZALEZ MELO_x000a_"/>
    <x v="1"/>
    <s v="Cumplimiento &amp; Auditoría"/>
    <s v="KRYPTO"/>
    <e v="#NAME?"/>
    <s v="SDATOOL-40984 $ Proyecto - Identificación e ingesta de las tablas necesarias en datio y la construcción del caso de uso para la identificación de vínculos - Colombia"/>
    <n v="0.1"/>
    <x v="0"/>
    <m/>
    <x v="0"/>
    <x v="0"/>
    <m/>
    <m/>
    <m/>
    <m/>
    <m/>
  </r>
  <r>
    <s v="CE52434"/>
    <s v="HAROLD HERNANDO REYES VARGAS_x000a_"/>
    <x v="1"/>
    <s v="Finanzas"/>
    <s v="Inetum"/>
    <e v="#NAME?"/>
    <s v="SDATOOL-32520 $ CDD Based Reporting - Colombia"/>
    <n v="1"/>
    <x v="3"/>
    <m/>
    <x v="0"/>
    <x v="0"/>
    <m/>
    <m/>
    <m/>
    <m/>
    <m/>
  </r>
  <r>
    <s v="C810765"/>
    <s v="ANGELA MARIA DIAZ PEÑA "/>
    <x v="1"/>
    <s v="Finanzas"/>
    <s v="BBVA"/>
    <e v="#NAME?"/>
    <s v="SDATOOL-40225 $ Resolución 0124 Dian - 2021 - Ajustes para Reporte de Información Exógena año gravable 2022 - Ciclo 1"/>
    <n v="0.5"/>
    <x v="0"/>
    <s v="QC del Equipo "/>
    <x v="1"/>
    <x v="0"/>
    <m/>
    <m/>
    <m/>
    <m/>
    <m/>
  </r>
  <r>
    <s v="CE51848"/>
    <s v="GORDO BELTRAN DANIEL FERNANDO"/>
    <x v="0"/>
    <s v="Transaccionalidad"/>
    <s v="Inetum"/>
    <e v="#NAME?"/>
    <s v="NOSDA- BAU $ BAU (Mantenimiento y peq. evolutivos)"/>
    <n v="0.5"/>
    <x v="0"/>
    <m/>
    <x v="0"/>
    <x v="0"/>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Resumen x Dir" cacheId="61" applyNumberFormats="0" applyBorderFormats="0" applyFontFormats="0" applyPatternFormats="0" applyAlignmentFormats="0" applyWidthHeightFormats="0" dataCaption="" updatedVersion="8" compact="0" compactData="0">
  <location ref="A1:D8" firstHeaderRow="1" firstDataRow="2" firstDataCol="1"/>
  <pivotFields count="17">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6">
        <item x="1"/>
        <item x="4"/>
        <item x="2"/>
        <item x="0"/>
        <item x="3"/>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2"/>
  </rowFields>
  <rowItems count="6">
    <i>
      <x/>
    </i>
    <i>
      <x v="1"/>
    </i>
    <i>
      <x v="2"/>
    </i>
    <i>
      <x v="3"/>
    </i>
    <i>
      <x v="4"/>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Tabla dinámica 49" cacheId="55" applyNumberFormats="0" applyBorderFormats="0" applyFontFormats="0" applyPatternFormats="0" applyAlignmentFormats="0" applyWidthHeightFormats="0" dataCaption="" updatedVersion="8" compact="0" compactData="0">
  <location ref="A3:F14" firstHeaderRow="1" firstDataRow="2" firstDataCol="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axis="axisCol" compact="0" outline="0" multipleItemSelectionAllowed="1" showAll="0" sortType="ascending">
      <items count="5">
        <item x="0"/>
        <item x="3"/>
        <item x="2"/>
        <item x="1"/>
        <item t="default"/>
      </items>
    </pivotField>
    <pivotField name="TECNOLOGÌA" axis="axisRow" compact="0" outline="0" multipleItemSelectionAllowed="1" showAll="0" sortType="ascending">
      <items count="10">
        <item x="4"/>
        <item x="3"/>
        <item x="5"/>
        <item x="0"/>
        <item x="8"/>
        <item x="2"/>
        <item x="7"/>
        <item x="1"/>
        <item x="6"/>
        <item t="default"/>
      </items>
    </pivotField>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9"/>
  </rowFields>
  <rowItems count="10">
    <i>
      <x/>
    </i>
    <i>
      <x v="1"/>
    </i>
    <i>
      <x v="2"/>
    </i>
    <i>
      <x v="3"/>
    </i>
    <i>
      <x v="4"/>
    </i>
    <i>
      <x v="5"/>
    </i>
    <i>
      <x v="6"/>
    </i>
    <i>
      <x v="7"/>
    </i>
    <i>
      <x v="8"/>
    </i>
    <i t="grand">
      <x/>
    </i>
  </rowItems>
  <colFields count="1">
    <field x="8"/>
  </colFields>
  <colItems count="5">
    <i>
      <x/>
    </i>
    <i>
      <x v="1"/>
    </i>
    <i>
      <x v="2"/>
    </i>
    <i>
      <x v="3"/>
    </i>
    <i t="grand">
      <x/>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Tabla dinámica 48" cacheId="55" applyNumberFormats="0" applyBorderFormats="0" applyFontFormats="0" applyPatternFormats="0" applyAlignmentFormats="0" applyWidthHeightFormats="0" dataCaption="" updatedVersion="8" compact="0" compactData="0">
  <location ref="A3:A17" firstHeaderRow="1" firstDataRow="1" firstDataCol="1" rowPageCount="1" colPageCount="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axis="axisRow" compact="0" outline="0" multipleItemSelectionAllowed="1" showAll="0" sortType="ascending">
      <items count="32">
        <item x="9"/>
        <item x="1"/>
        <item x="23"/>
        <item x="24"/>
        <item x="22"/>
        <item x="25"/>
        <item x="19"/>
        <item x="29"/>
        <item x="27"/>
        <item x="28"/>
        <item x="30"/>
        <item x="7"/>
        <item x="18"/>
        <item x="5"/>
        <item x="10"/>
        <item x="16"/>
        <item x="15"/>
        <item x="21"/>
        <item x="26"/>
        <item x="17"/>
        <item x="20"/>
        <item x="14"/>
        <item x="11"/>
        <item x="8"/>
        <item x="13"/>
        <item x="3"/>
        <item x="4"/>
        <item x="0"/>
        <item x="6"/>
        <item x="2"/>
        <item x="12"/>
        <item t="default"/>
      </items>
    </pivotField>
    <pivotField name="Empresa" axis="axisPage" compact="0" outline="0" multipleItemSelectionAllowed="1" showAll="0">
      <items count="24">
        <item h="1" x="0"/>
        <item h="1" x="1"/>
        <item h="1" x="2"/>
        <item h="1" x="3"/>
        <item h="1" x="4"/>
        <item h="1" x="5"/>
        <item x="6"/>
        <item h="1" x="7"/>
        <item h="1" x="8"/>
        <item h="1" x="9"/>
        <item h="1" x="10"/>
        <item h="1" x="11"/>
        <item h="1" x="12"/>
        <item h="1" x="13"/>
        <item h="1" x="14"/>
        <item h="1" x="15"/>
        <item h="1" x="16"/>
        <item h="1" x="17"/>
        <item h="1" x="18"/>
        <item h="1" x="19"/>
        <item h="1" x="20"/>
        <item h="1" x="21"/>
        <item h="1" x="22"/>
        <item t="default"/>
      </items>
    </pivotField>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3"/>
  </rowFields>
  <rowItems count="14">
    <i>
      <x/>
    </i>
    <i>
      <x v="3"/>
    </i>
    <i>
      <x v="14"/>
    </i>
    <i>
      <x v="15"/>
    </i>
    <i>
      <x v="16"/>
    </i>
    <i>
      <x v="17"/>
    </i>
    <i>
      <x v="18"/>
    </i>
    <i>
      <x v="19"/>
    </i>
    <i>
      <x v="21"/>
    </i>
    <i>
      <x v="22"/>
    </i>
    <i>
      <x v="25"/>
    </i>
    <i>
      <x v="28"/>
    </i>
    <i>
      <x v="29"/>
    </i>
    <i t="grand">
      <x/>
    </i>
  </rowItems>
  <colItems count="1">
    <i/>
  </colItems>
  <pageFields count="1">
    <pageField fld="4"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Tabla dinámica 47" cacheId="49" applyNumberFormats="0" applyBorderFormats="0" applyFontFormats="0" applyPatternFormats="0" applyAlignmentFormats="0" applyWidthHeightFormats="0" dataCaption="" updatedVersion="8" compact="0" compactData="0">
  <location ref="A1:C18" firstHeaderRow="1" firstDataRow="1" firstDataCol="0"/>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TD 2" cacheId="61" applyNumberFormats="0" applyBorderFormats="0" applyFontFormats="0" applyPatternFormats="0" applyAlignmentFormats="0" applyWidthHeightFormats="0" dataCaption="" updatedVersion="8" compact="0" compactData="0">
  <location ref="H1:K8" firstHeaderRow="1" firstDataRow="2" firstDataCol="1"/>
  <pivotFields count="17">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6">
        <item x="1"/>
        <item x="4"/>
        <item x="2"/>
        <item x="0"/>
        <item x="3"/>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2"/>
  </rowFields>
  <rowItems count="6">
    <i>
      <x/>
    </i>
    <i>
      <x v="1"/>
    </i>
    <i>
      <x v="2"/>
    </i>
    <i>
      <x v="3"/>
    </i>
    <i>
      <x v="4"/>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TD" cacheId="49" applyNumberFormats="0" applyBorderFormats="0" applyFontFormats="0" applyPatternFormats="0" applyAlignmentFormats="0" applyWidthHeightFormats="0" dataCaption="" updatedVersion="8" compact="0" compactData="0">
  <location ref="A1:A8" firstHeaderRow="1" firstDataRow="1"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B00-000001000000}" name="Tablas para ppt SDT 2" cacheId="49" applyNumberFormats="0" applyBorderFormats="0" applyFontFormats="0" applyPatternFormats="0" applyAlignmentFormats="0" applyWidthHeightFormats="0" dataCaption="" updatedVersion="8" compact="0" compactData="0">
  <location ref="A45:C53" firstHeaderRow="1" firstDataRow="2"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axis="axisCol" compact="0" numFmtId="9" outline="0" multipleItemSelectionAllowed="1" showAll="0" sortType="ascending">
      <items count="7">
        <item m="1" x="1"/>
        <item m="1" x="2"/>
        <item m="1" x="4"/>
        <item m="1" x="5"/>
        <item x="0"/>
        <item m="1" x="3"/>
        <item t="default"/>
      </items>
    </pivotField>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Fields count="1">
    <field x="12"/>
  </colFields>
  <colItems count="2">
    <i>
      <x v="4"/>
    </i>
    <i t="grand">
      <x/>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B00-000002000000}" name="Tablas para ppt SDT 3" cacheId="49" applyNumberFormats="0" applyBorderFormats="0" applyFontFormats="0" applyPatternFormats="0" applyAlignmentFormats="0" applyWidthHeightFormats="0" dataCaption="" updatedVersion="8" compact="0" compactData="0">
  <location ref="A64:A65" firstHeaderRow="1" firstDataRow="1" firstDataCol="1" rowPageCount="1" colPageCount="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axis="axisRow" compact="0" outline="0" multipleItemSelectionAllowed="1" showAll="0" sortType="ascending">
      <items count="11">
        <item m="1" x="1"/>
        <item m="1" x="5"/>
        <item m="1" x="8"/>
        <item m="1" x="3"/>
        <item m="1" x="4"/>
        <item m="1" x="7"/>
        <item m="1" x="6"/>
        <item m="1" x="2"/>
        <item m="1" x="9"/>
        <item x="0"/>
        <item t="default"/>
      </items>
    </pivotField>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axis="axisPage" compact="0" numFmtId="9" outline="0" multipleItemSelectionAllowed="1" showAll="0">
      <items count="7">
        <item h="1" m="1" x="3"/>
        <item m="1" x="4"/>
        <item h="1" m="1" x="2"/>
        <item h="1" m="1" x="5"/>
        <item h="1" m="1" x="1"/>
        <item h="1" x="0"/>
        <item t="default"/>
      </items>
    </pivotField>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5"/>
  </rowFields>
  <rowItems count="1">
    <i t="grand">
      <x/>
    </i>
  </rowItems>
  <colItems count="1">
    <i/>
  </colItems>
  <pageFields count="1">
    <pageField fld="1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Tablas para ppt SDT" cacheId="49" applyNumberFormats="0" applyBorderFormats="0" applyFontFormats="0" applyPatternFormats="0" applyAlignmentFormats="0" applyWidthHeightFormats="0" dataCaption="" updatedVersion="8" compact="0" compactData="0">
  <location ref="A1:A8" firstHeaderRow="1" firstDataRow="1"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Tabla dinámica 30" cacheId="61" applyNumberFormats="0" applyBorderFormats="0" applyFontFormats="0" applyPatternFormats="0" applyAlignmentFormats="0" applyWidthHeightFormats="0" dataCaption="" updatedVersion="8" compact="0" compactData="0">
  <location ref="A1:C7" firstHeaderRow="1" firstDataRow="1" firstDataCol="2"/>
  <pivotFields count="17">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axis="axisRow" compact="0" outline="0" multipleItemSelectionAllowed="1" showAll="0" sortType="ascending">
      <items count="5">
        <item x="1"/>
        <item x="3"/>
        <item x="0"/>
        <item x="2"/>
        <item t="default"/>
      </items>
    </pivotField>
    <pivotField name="Comentarios" compact="0" outline="0" multipleItemSelectionAllowed="1" showAll="0"/>
    <pivotField name="Interno/ Externo" compact="0" numFmtId="9" outline="0" multipleItemSelectionAllowed="1" showAll="0"/>
    <pivotField name="Normativo" axis="axisRow" compact="0" numFmtId="9" outline="0" multipleItemSelectionAllowed="1" showAll="0" sortType="ascending">
      <items count="3">
        <item m="1" x="1"/>
        <item x="0"/>
        <item t="default"/>
      </items>
    </pivotField>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2">
    <field x="11"/>
    <field x="8"/>
  </rowFields>
  <rowItems count="6">
    <i>
      <x v="1"/>
      <x/>
    </i>
    <i r="1">
      <x v="1"/>
    </i>
    <i r="1">
      <x v="2"/>
    </i>
    <i r="1">
      <x v="3"/>
    </i>
    <i t="default">
      <x v="1"/>
    </i>
    <i t="grand">
      <x/>
    </i>
  </rowItems>
  <colItems count="1">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Tabla dinámica 23" cacheId="61" applyNumberFormats="0" applyBorderFormats="0" applyFontFormats="0" applyPatternFormats="0" applyAlignmentFormats="0" applyWidthHeightFormats="0" dataCaption="" updatedVersion="8" compact="0" compactData="0">
  <location ref="A1:D4" firstHeaderRow="1" firstDataRow="2" firstDataCol="1"/>
  <pivotFields count="17">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axis="axisRow" compact="0" numFmtId="9" outline="0" multipleItemSelectionAllowed="1" showAll="0" sortType="ascending">
      <items count="3">
        <item m="1" x="1"/>
        <item x="0"/>
        <item t="default"/>
      </items>
    </pivotField>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11"/>
  </rowFields>
  <rowItems count="2">
    <i>
      <x v="1"/>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Backoffice" cacheId="44" applyNumberFormats="0" applyBorderFormats="0" applyFontFormats="0" applyPatternFormats="0" applyAlignmentFormats="0" applyWidthHeightFormats="0" dataCaption="" updatedVersion="8" compact="0" compactData="0">
  <location ref="A4:C21"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h="1" x="11"/>
        <item x="12"/>
        <item x="13"/>
        <item x="14"/>
        <item x="15"/>
        <item x="16"/>
        <item x="17"/>
        <item x="18"/>
        <item h="1" x="19"/>
        <item x="20"/>
        <item x="21"/>
        <item h="1" x="22"/>
        <item h="1" x="23"/>
        <item x="24"/>
        <item x="25"/>
        <item x="26"/>
        <item h="1" x="27"/>
        <item x="28"/>
        <item x="29"/>
        <item x="30"/>
        <item x="31"/>
        <item x="32"/>
        <item x="33"/>
        <item x="34"/>
        <item h="1" x="35"/>
        <item h="1" x="36"/>
        <item h="1" x="37"/>
        <item h="1" x="38"/>
        <item h="1" x="39"/>
        <item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x="71"/>
        <item h="1" x="72"/>
        <item h="1" x="73"/>
        <item h="1" x="74"/>
        <item h="1" x="75"/>
        <item h="1" x="76"/>
        <item h="1" x="77"/>
        <item h="1" x="78"/>
        <item h="1" x="79"/>
        <item x="80"/>
        <item x="81"/>
        <item x="82"/>
        <item h="1" x="83"/>
        <item x="84"/>
        <item h="1" x="85"/>
        <item x="86"/>
        <item x="87"/>
        <item x="88"/>
        <item x="89"/>
        <item x="90"/>
        <item h="1" x="91"/>
        <item x="92"/>
        <item h="1" x="93"/>
        <item h="1" x="94"/>
        <item x="95"/>
        <item x="96"/>
        <item x="97"/>
        <item h="1" x="98"/>
        <item h="1" x="99"/>
        <item x="100"/>
        <item x="101"/>
        <item x="102"/>
        <item h="1" x="103"/>
        <item x="104"/>
        <item h="1" x="105"/>
        <item x="106"/>
        <item x="107"/>
        <item h="1" x="108"/>
        <item h="1" x="109"/>
        <item h="1" x="110"/>
        <item h="1" x="111"/>
        <item x="112"/>
        <item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x="135"/>
        <item x="136"/>
        <item x="137"/>
        <item x="138"/>
        <item x="139"/>
        <item x="140"/>
        <item x="141"/>
        <item x="142"/>
        <item x="143"/>
        <item x="144"/>
        <item x="145"/>
        <item x="146"/>
        <item h="1" x="147"/>
        <item h="1" x="148"/>
        <item h="1" x="149"/>
        <item h="1" x="150"/>
        <item h="1" x="151"/>
        <item h="1" x="152"/>
        <item h="1" x="153"/>
        <item h="1" x="154"/>
        <item h="1" x="155"/>
        <item h="1" x="156"/>
        <item h="1" x="157"/>
        <item h="1" x="158"/>
        <item h="1" x="159"/>
        <item h="1" x="160"/>
        <item h="1" x="161"/>
        <item h="1" x="162"/>
        <item h="1" x="163"/>
        <item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x="227"/>
        <item t="default"/>
      </items>
    </pivotField>
    <pivotField compact="0" outline="0" showAll="0" includeNewItemsInFilter="1"/>
  </pivotFields>
  <rowFields count="2">
    <field x="4"/>
    <field x="1"/>
  </rowFields>
  <rowItems count="17">
    <i>
      <x v="2"/>
      <x v="34"/>
    </i>
    <i r="1">
      <x v="110"/>
    </i>
    <i r="1">
      <x v="339"/>
    </i>
    <i r="1">
      <x v="420"/>
    </i>
    <i r="1">
      <x v="692"/>
    </i>
    <i t="default">
      <x v="2"/>
    </i>
    <i>
      <x v="19"/>
      <x v="35"/>
    </i>
    <i t="default">
      <x v="19"/>
    </i>
    <i>
      <x v="20"/>
      <x v="2"/>
    </i>
    <i r="1">
      <x v="3"/>
    </i>
    <i r="1">
      <x v="157"/>
    </i>
    <i r="1">
      <x v="242"/>
    </i>
    <i r="1">
      <x v="583"/>
    </i>
    <i r="1">
      <x v="635"/>
    </i>
    <i r="1">
      <x v="842"/>
    </i>
    <i t="default">
      <x v="20"/>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1000-000001000000}" name="CORE 1  2" cacheId="29" applyNumberFormats="0" applyBorderFormats="0" applyFontFormats="0" applyPatternFormats="0" applyAlignmentFormats="0" applyWidthHeightFormats="0" dataCaption="" updatedVersion="8" compact="0" compactData="0">
  <location ref="M3:M11" firstHeaderRow="1" firstDataRow="1" firstDataCol="1" rowPageCount="1" colPageCount="1"/>
  <pivotFields count="19">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ascending">
      <items count="33">
        <item x="9"/>
        <item x="1"/>
        <item x="23"/>
        <item x="24"/>
        <item x="22"/>
        <item x="25"/>
        <item x="19"/>
        <item x="29"/>
        <item x="27"/>
        <item x="28"/>
        <item x="30"/>
        <item x="7"/>
        <item x="18"/>
        <item x="5"/>
        <item x="10"/>
        <item x="16"/>
        <item x="15"/>
        <item x="21"/>
        <item x="26"/>
        <item x="17"/>
        <item x="20"/>
        <item x="14"/>
        <item x="11"/>
        <item x="8"/>
        <item x="13"/>
        <item x="3"/>
        <item x="4"/>
        <item x="0"/>
        <item x="6"/>
        <item x="2"/>
        <item x="12"/>
        <item x="31"/>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1">
    <field x="3"/>
  </rowFields>
  <rowItems count="8">
    <i>
      <x/>
    </i>
    <i>
      <x v="7"/>
    </i>
    <i>
      <x v="8"/>
    </i>
    <i>
      <x v="9"/>
    </i>
    <i>
      <x v="10"/>
    </i>
    <i>
      <x v="16"/>
    </i>
    <i>
      <x v="22"/>
    </i>
    <i t="grand">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CORE 1 " cacheId="24" applyNumberFormats="0" applyBorderFormats="0" applyFontFormats="0" applyPatternFormats="0" applyAlignmentFormats="0" applyWidthHeightFormats="0" dataCaption="" updatedVersion="8" rowGrandTotals="0" compact="0" compactData="0">
  <location ref="E4:G30" firstHeaderRow="1" firstDataRow="1" firstDataCol="2" rowPageCount="2" colPageCount="1"/>
  <pivotFields count="20">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Mesa" axis="axisRow" compact="0" outline="0" multipleItemSelectionAllowed="1" showAll="0" sortType="descending">
      <items count="33">
        <item x="31"/>
        <item x="12"/>
        <item x="2"/>
        <item x="6"/>
        <item x="0"/>
        <item x="4"/>
        <item x="3"/>
        <item x="13"/>
        <item x="8"/>
        <item x="11"/>
        <item x="14"/>
        <item x="20"/>
        <item x="17"/>
        <item x="26"/>
        <item x="21"/>
        <item x="15"/>
        <item x="16"/>
        <item x="10"/>
        <item x="5"/>
        <item x="18"/>
        <item x="7"/>
        <item x="30"/>
        <item x="28"/>
        <item x="27"/>
        <item x="29"/>
        <item x="19"/>
        <item x="25"/>
        <item x="22"/>
        <item x="24"/>
        <item x="23"/>
        <item x="1"/>
        <item x="9"/>
        <item t="default"/>
      </items>
    </pivotField>
    <pivotField name="Empresa" compact="0" outline="0" multipleItemSelectionAllowed="1" showAll="0"/>
    <pivotField name="Dominio" compact="0" outline="0" multipleItemSelectionAllowed="1" showAll="0"/>
    <pivotField name="Proyecto" axis="axisPage" compact="0" outline="0" multipleItemSelectionAllowed="1" showAll="0">
      <items count="229">
        <item x="0"/>
        <item x="1"/>
        <item x="2"/>
        <item h="1" x="3"/>
        <item x="4"/>
        <item x="5"/>
        <item x="6"/>
        <item x="7"/>
        <item h="1" x="8"/>
        <item x="9"/>
        <item x="10"/>
        <item x="11"/>
        <item x="12"/>
        <item x="13"/>
        <item x="14"/>
        <item x="15"/>
        <item x="16"/>
        <item x="17"/>
        <item x="18"/>
        <item x="19"/>
        <item x="20"/>
        <item x="21"/>
        <item x="22"/>
        <item h="1"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x="91"/>
        <item x="92"/>
        <item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h="1" x="201"/>
        <item x="202"/>
        <item x="203"/>
        <item x="204"/>
        <item x="205"/>
        <item x="206"/>
        <item x="207"/>
        <item x="208"/>
        <item x="209"/>
        <item x="210"/>
        <item x="211"/>
        <item x="212"/>
        <item x="213"/>
        <item x="214"/>
        <item x="215"/>
        <item x="216"/>
        <item x="217"/>
        <item x="218"/>
        <item h="1" x="219"/>
        <item x="220"/>
        <item x="221"/>
        <item x="222"/>
        <item x="223"/>
        <item x="224"/>
        <item x="225"/>
        <item h="1" x="226"/>
        <item h="1" x="227"/>
        <item t="default"/>
      </items>
    </pivotField>
    <pivotField compact="0" outline="0" showAll="0" includeNewItemsInFilter="1"/>
    <pivotField name="ROL" axis="axisRow" compact="0" outline="0" multipleItemSelectionAllowed="1" showAll="0" sortType="ascending">
      <items count="6">
        <item x="0"/>
        <item x="3"/>
        <item x="2"/>
        <item x="1"/>
        <item x="4"/>
        <item t="default"/>
      </items>
    </pivotField>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dataField="1" compact="0" outline="0" multipleItemSelectionAllowed="1" showAll="0"/>
  </pivotFields>
  <rowFields count="2">
    <field x="3"/>
    <field x="8"/>
  </rowFields>
  <rowItems count="26">
    <i>
      <x v="9"/>
      <x/>
    </i>
    <i r="1">
      <x v="1"/>
    </i>
    <i r="1">
      <x v="2"/>
    </i>
    <i r="1">
      <x v="3"/>
    </i>
    <i t="default">
      <x v="9"/>
    </i>
    <i>
      <x v="15"/>
      <x/>
    </i>
    <i r="1">
      <x v="2"/>
    </i>
    <i r="1">
      <x v="3"/>
    </i>
    <i t="default">
      <x v="15"/>
    </i>
    <i>
      <x v="21"/>
      <x/>
    </i>
    <i r="1">
      <x v="2"/>
    </i>
    <i r="1">
      <x v="3"/>
    </i>
    <i t="default">
      <x v="21"/>
    </i>
    <i>
      <x v="22"/>
      <x/>
    </i>
    <i r="1">
      <x v="2"/>
    </i>
    <i r="1">
      <x v="3"/>
    </i>
    <i t="default">
      <x v="22"/>
    </i>
    <i>
      <x v="23"/>
      <x/>
    </i>
    <i t="default">
      <x v="23"/>
    </i>
    <i>
      <x v="24"/>
      <x/>
    </i>
    <i r="1">
      <x v="2"/>
    </i>
    <i t="default">
      <x v="24"/>
    </i>
    <i>
      <x v="31"/>
      <x/>
    </i>
    <i r="1">
      <x v="1"/>
    </i>
    <i r="1">
      <x v="3"/>
    </i>
    <i t="default">
      <x v="31"/>
    </i>
  </rowItems>
  <colItems count="1">
    <i/>
  </colItems>
  <pageFields count="2">
    <pageField fld="2" hier="0"/>
    <pageField fld="6" hier="0"/>
  </pageFields>
  <dataFields count="1">
    <dataField name="SUM of Persona" fld="1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1100-000000000000}" name="Global Markets" cacheId="44" applyNumberFormats="0" applyBorderFormats="0" applyFontFormats="0" applyPatternFormats="0" applyAlignmentFormats="0" applyWidthHeightFormats="0" dataCaption="" updatedVersion="8" compact="0" compactData="0">
  <location ref="A4:C36"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h="1" x="12"/>
        <item h="1" x="13"/>
        <item h="1" x="14"/>
        <item h="1" x="15"/>
        <item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32">
    <i>
      <x/>
      <x v="507"/>
    </i>
    <i r="1">
      <x v="521"/>
    </i>
    <i r="1">
      <x v="638"/>
    </i>
    <i r="1">
      <x v="685"/>
    </i>
    <i r="1">
      <x v="910"/>
    </i>
    <i t="default">
      <x/>
    </i>
    <i>
      <x v="2"/>
      <x v="18"/>
    </i>
    <i r="1">
      <x v="112"/>
    </i>
    <i r="1">
      <x v="179"/>
    </i>
    <i r="1">
      <x v="303"/>
    </i>
    <i r="1">
      <x v="356"/>
    </i>
    <i r="1">
      <x v="423"/>
    </i>
    <i r="1">
      <x v="439"/>
    </i>
    <i r="1">
      <x v="476"/>
    </i>
    <i r="1">
      <x v="599"/>
    </i>
    <i r="1">
      <x v="665"/>
    </i>
    <i r="1">
      <x v="678"/>
    </i>
    <i r="1">
      <x v="854"/>
    </i>
    <i r="1">
      <x v="859"/>
    </i>
    <i r="1">
      <x v="890"/>
    </i>
    <i t="default">
      <x v="2"/>
    </i>
    <i>
      <x v="9"/>
      <x v="102"/>
    </i>
    <i r="1">
      <x v="465"/>
    </i>
    <i r="1">
      <x v="837"/>
    </i>
    <i r="1">
      <x v="841"/>
    </i>
    <i t="default">
      <x v="9"/>
    </i>
    <i>
      <x v="18"/>
      <x v="489"/>
    </i>
    <i r="1">
      <x v="622"/>
    </i>
    <i t="default">
      <x v="18"/>
    </i>
    <i>
      <x v="19"/>
      <x v="371"/>
    </i>
    <i t="default">
      <x v="19"/>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200-000000000000}" name="Fiduciaria" cacheId="44" applyNumberFormats="0" applyBorderFormats="0" applyFontFormats="0" applyPatternFormats="0" applyAlignmentFormats="0" applyWidthHeightFormats="0" dataCaption="" updatedVersion="8" compact="0" compactData="0">
  <location ref="A4:C36"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h="1" x="12"/>
        <item h="1" x="13"/>
        <item h="1" x="14"/>
        <item h="1" x="15"/>
        <item h="1" x="16"/>
        <item h="1" x="17"/>
        <item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32">
    <i>
      <x v="3"/>
      <x v="24"/>
    </i>
    <i r="1">
      <x v="101"/>
    </i>
    <i r="1">
      <x v="151"/>
    </i>
    <i r="1">
      <x v="183"/>
    </i>
    <i r="1">
      <x v="254"/>
    </i>
    <i r="1">
      <x v="313"/>
    </i>
    <i r="1">
      <x v="411"/>
    </i>
    <i r="1">
      <x v="430"/>
    </i>
    <i r="1">
      <x v="483"/>
    </i>
    <i r="1">
      <x v="516"/>
    </i>
    <i r="1">
      <x v="639"/>
    </i>
    <i r="1">
      <x v="666"/>
    </i>
    <i r="1">
      <x v="771"/>
    </i>
    <i r="1">
      <x v="773"/>
    </i>
    <i r="1">
      <x v="817"/>
    </i>
    <i r="1">
      <x v="864"/>
    </i>
    <i t="default">
      <x v="3"/>
    </i>
    <i>
      <x v="9"/>
      <x v="83"/>
    </i>
    <i r="1">
      <x v="479"/>
    </i>
    <i r="1">
      <x v="751"/>
    </i>
    <i t="default">
      <x v="9"/>
    </i>
    <i>
      <x v="12"/>
      <x v="813"/>
    </i>
    <i t="default">
      <x v="12"/>
    </i>
    <i>
      <x v="19"/>
      <x v="13"/>
    </i>
    <i r="1">
      <x v="62"/>
    </i>
    <i r="1">
      <x v="412"/>
    </i>
    <i r="1">
      <x v="438"/>
    </i>
    <i r="1">
      <x v="552"/>
    </i>
    <i r="1">
      <x v="704"/>
    </i>
    <i r="1">
      <x v="742"/>
    </i>
    <i t="default">
      <x v="19"/>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300-000000000000}" name="Valores" cacheId="44" applyNumberFormats="0" applyBorderFormats="0" applyFontFormats="0" applyPatternFormats="0" applyAlignmentFormats="0" applyWidthHeightFormats="0" dataCaption="" updatedVersion="8" compact="0" compactData="0">
  <location ref="A4:C8"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x="12"/>
        <item h="1" x="13"/>
        <item h="1" x="14"/>
        <item h="1" x="15"/>
        <item h="1"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4">
    <i>
      <x v="2"/>
      <x v="400"/>
    </i>
    <i r="1">
      <x v="852"/>
    </i>
    <i t="default">
      <x v="2"/>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1400-000000000000}" name="Enter.TD" cacheId="38" applyNumberFormats="0" applyBorderFormats="0" applyFontFormats="0" applyPatternFormats="0" applyAlignmentFormats="0" applyWidthHeightFormats="0" dataCaption="" updatedVersion="8" compact="0" compactData="0">
  <location ref="A4:A11" firstHeaderRow="1" firstDataRow="1" firstDataCol="1" rowPageCount="1" colPageCount="1"/>
  <pivotFields count="23">
    <pivotField name="Código" compact="0" outline="0" multipleItemSelectionAllowed="1" showAll="0"/>
    <pivotField name="Nombre" compact="0" outline="0" multipleItemSelectionAllowed="1" showAll="0"/>
    <pivotField name="Dirección" axis="axisPage" compact="0" outline="0" multipleItemSelectionAllowed="1" showAll="0">
      <items count="7">
        <item x="0"/>
        <item h="1" x="1"/>
        <item h="1" x="2"/>
        <item h="1" x="3"/>
        <item h="1" x="4"/>
        <item h="1" x="5"/>
        <item t="default"/>
      </items>
    </pivotField>
    <pivotField name="Servicio" axis="axisRow" compact="0" outline="0" multipleItemSelectionAllowed="1" showAll="0" sortType="ascending">
      <items count="28">
        <item x="9"/>
        <item x="1"/>
        <item x="23"/>
        <item x="24"/>
        <item x="22"/>
        <item x="25"/>
        <item x="19"/>
        <item x="7"/>
        <item x="18"/>
        <item x="5"/>
        <item x="10"/>
        <item x="16"/>
        <item x="15"/>
        <item x="21"/>
        <item x="26"/>
        <item x="17"/>
        <item x="20"/>
        <item x="14"/>
        <item x="11"/>
        <item x="8"/>
        <item x="13"/>
        <item x="3"/>
        <item x="4"/>
        <item x="0"/>
        <item x="6"/>
        <item x="2"/>
        <item x="12"/>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 name=" 3" compact="0" outline="0" multipleItemSelectionAllowed="1" showAll="0"/>
    <pivotField name=" 4" compact="0" outline="0" multipleItemSelectionAllowed="1" showAll="0"/>
    <pivotField name=" 5" compact="0" outline="0" multipleItemSelectionAllowed="1" showAll="0"/>
  </pivotFields>
  <rowFields count="1">
    <field x="3"/>
  </rowFields>
  <rowItems count="7">
    <i>
      <x v="10"/>
    </i>
    <i>
      <x v="15"/>
    </i>
    <i>
      <x v="21"/>
    </i>
    <i>
      <x v="22"/>
    </i>
    <i>
      <x v="23"/>
    </i>
    <i>
      <x v="25"/>
    </i>
    <i t="grand">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1400-000001000000}" name="Enter.TD 2" cacheId="34" applyNumberFormats="0" applyBorderFormats="0" applyFontFormats="0" applyPatternFormats="0" applyAlignmentFormats="0" applyWidthHeightFormats="0" dataCaption="" updatedVersion="8" compact="0" compactData="0">
  <location ref="A15:D24" firstHeaderRow="1" firstDataRow="2" firstDataCol="1" rowPageCount="1" colPageCount="1"/>
  <pivotFields count="17">
    <pivotField name="Código" compact="0" outline="0" multipleItemSelectionAllowed="1" showAll="0"/>
    <pivotField name="Nombre" compact="0" outline="0" multipleItemSelectionAllowed="1" showAll="0"/>
    <pivotField name="Dirección" axis="axisPage" compact="0" outline="0" multipleItemSelectionAllowed="1" showAll="0">
      <items count="7">
        <item x="0"/>
        <item h="1" x="1"/>
        <item h="1" x="2"/>
        <item h="1" x="3"/>
        <item h="1" x="4"/>
        <item h="1" x="5"/>
        <item t="default"/>
      </items>
    </pivotField>
    <pivotField name="Servicio" axis="axisRow" compact="0" outline="0" multipleItemSelectionAllowed="1" showAll="0" sortType="ascending">
      <items count="30">
        <item x="2"/>
        <item x="14"/>
        <item x="23"/>
        <item x="19"/>
        <item x="13"/>
        <item x="24"/>
        <item x="4"/>
        <item x="20"/>
        <item x="17"/>
        <item x="11"/>
        <item x="12"/>
        <item x="26"/>
        <item x="10"/>
        <item x="15"/>
        <item x="9"/>
        <item x="3"/>
        <item x="6"/>
        <item x="7"/>
        <item x="8"/>
        <item x="25"/>
        <item x="16"/>
        <item x="5"/>
        <item x="1"/>
        <item x="18"/>
        <item x="0"/>
        <item x="27"/>
        <item x="21"/>
        <item x="22"/>
        <item x="28"/>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4">
        <item x="0"/>
        <item x="1"/>
        <item x="2"/>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3"/>
  </rowFields>
  <rowItems count="8">
    <i>
      <x v="13"/>
    </i>
    <i>
      <x v="17"/>
    </i>
    <i>
      <x v="18"/>
    </i>
    <i>
      <x v="23"/>
    </i>
    <i>
      <x v="24"/>
    </i>
    <i>
      <x v="25"/>
    </i>
    <i>
      <x v="27"/>
    </i>
    <i t="grand">
      <x/>
    </i>
  </rowItems>
  <colFields count="1">
    <field x="10"/>
  </colFields>
  <colItems count="3">
    <i>
      <x/>
    </i>
    <i>
      <x v="1"/>
    </i>
    <i t="grand">
      <x/>
    </i>
  </colItems>
  <pageFields count="1">
    <pageField fld="2" hier="0"/>
  </pageField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1500-000000000000}" name="CORE 2" cacheId="29" applyNumberFormats="0" applyBorderFormats="0" applyFontFormats="0" applyPatternFormats="0" applyAlignmentFormats="0" applyWidthHeightFormats="0" dataCaption="" updatedVersion="8" rowGrandTotals="0" compact="0" compactData="0">
  <location ref="A3:B114" firstHeaderRow="1" firstDataRow="1" firstDataCol="2" rowPageCount="1" colPageCount="1"/>
  <pivotFields count="19">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descending" defaultSubtotal="0">
      <items count="32">
        <item x="31"/>
        <item x="12"/>
        <item x="2"/>
        <item x="6"/>
        <item x="0"/>
        <item x="4"/>
        <item x="3"/>
        <item x="13"/>
        <item x="8"/>
        <item x="11"/>
        <item x="14"/>
        <item x="20"/>
        <item x="17"/>
        <item x="26"/>
        <item x="21"/>
        <item x="15"/>
        <item x="16"/>
        <item x="10"/>
        <item x="5"/>
        <item x="18"/>
        <item x="7"/>
        <item x="30"/>
        <item x="28"/>
        <item x="27"/>
        <item x="29"/>
        <item x="19"/>
        <item x="25"/>
        <item x="22"/>
        <item x="24"/>
        <item x="23"/>
        <item x="1"/>
        <item x="9"/>
      </items>
    </pivotField>
    <pivotField name="Empresa" compact="0" outline="0" multipleItemSelectionAllowed="1" showAll="0"/>
    <pivotField name="Dominio" compact="0" outline="0" multipleItemSelectionAllowed="1" showAll="0"/>
    <pivotField name="Proyecto" axis="axisRow" compact="0" outline="0" multipleItemSelectionAllowed="1" showAll="0" sortType="descending">
      <items count="229">
        <item x="227"/>
        <item x="160"/>
        <item x="8"/>
        <item x="97"/>
        <item x="73"/>
        <item x="108"/>
        <item x="98"/>
        <item x="13"/>
        <item x="92"/>
        <item x="133"/>
        <item x="159"/>
        <item x="210"/>
        <item x="29"/>
        <item x="99"/>
        <item x="83"/>
        <item x="11"/>
        <item x="10"/>
        <item x="58"/>
        <item x="27"/>
        <item x="66"/>
        <item x="26"/>
        <item x="101"/>
        <item x="74"/>
        <item x="4"/>
        <item x="9"/>
        <item x="89"/>
        <item x="164"/>
        <item x="158"/>
        <item x="219"/>
        <item x="68"/>
        <item x="78"/>
        <item x="161"/>
        <item x="178"/>
        <item x="204"/>
        <item x="94"/>
        <item x="127"/>
        <item x="144"/>
        <item x="209"/>
        <item x="181"/>
        <item x="165"/>
        <item x="168"/>
        <item x="24"/>
        <item x="85"/>
        <item x="226"/>
        <item x="137"/>
        <item x="138"/>
        <item x="142"/>
        <item x="40"/>
        <item x="217"/>
        <item x="216"/>
        <item x="47"/>
        <item x="77"/>
        <item x="46"/>
        <item x="206"/>
        <item x="60"/>
        <item x="197"/>
        <item x="153"/>
        <item x="65"/>
        <item x="107"/>
        <item x="109"/>
        <item x="100"/>
        <item x="62"/>
        <item x="112"/>
        <item x="38"/>
        <item x="155"/>
        <item x="90"/>
        <item x="154"/>
        <item x="123"/>
        <item x="81"/>
        <item x="72"/>
        <item x="150"/>
        <item x="162"/>
        <item x="179"/>
        <item x="48"/>
        <item x="167"/>
        <item x="130"/>
        <item x="152"/>
        <item x="151"/>
        <item x="39"/>
        <item x="71"/>
        <item x="120"/>
        <item x="163"/>
        <item x="61"/>
        <item x="22"/>
        <item x="172"/>
        <item x="128"/>
        <item x="147"/>
        <item x="192"/>
        <item x="188"/>
        <item x="187"/>
        <item x="208"/>
        <item x="93"/>
        <item x="182"/>
        <item x="185"/>
        <item x="5"/>
        <item x="124"/>
        <item x="191"/>
        <item x="36"/>
        <item x="37"/>
        <item x="183"/>
        <item x="184"/>
        <item x="105"/>
        <item x="189"/>
        <item x="57"/>
        <item x="146"/>
        <item x="129"/>
        <item x="148"/>
        <item x="53"/>
        <item x="55"/>
        <item x="207"/>
        <item x="198"/>
        <item x="52"/>
        <item x="45"/>
        <item x="166"/>
        <item x="170"/>
        <item x="95"/>
        <item x="84"/>
        <item x="201"/>
        <item x="114"/>
        <item x="54"/>
        <item x="190"/>
        <item x="7"/>
        <item x="196"/>
        <item x="195"/>
        <item x="79"/>
        <item x="44"/>
        <item x="87"/>
        <item x="121"/>
        <item x="70"/>
        <item x="131"/>
        <item x="88"/>
        <item x="115"/>
        <item x="140"/>
        <item x="2"/>
        <item x="149"/>
        <item x="194"/>
        <item x="86"/>
        <item x="43"/>
        <item x="20"/>
        <item x="136"/>
        <item x="117"/>
        <item x="18"/>
        <item x="215"/>
        <item x="213"/>
        <item x="135"/>
        <item x="139"/>
        <item x="12"/>
        <item x="180"/>
        <item x="51"/>
        <item x="200"/>
        <item x="193"/>
        <item x="64"/>
        <item x="177"/>
        <item x="113"/>
        <item x="67"/>
        <item x="104"/>
        <item x="224"/>
        <item x="96"/>
        <item x="225"/>
        <item x="41"/>
        <item x="19"/>
        <item x="75"/>
        <item x="50"/>
        <item x="132"/>
        <item x="186"/>
        <item x="15"/>
        <item x="49"/>
        <item x="69"/>
        <item x="143"/>
        <item x="157"/>
        <item x="56"/>
        <item x="102"/>
        <item x="212"/>
        <item x="211"/>
        <item x="223"/>
        <item x="25"/>
        <item x="31"/>
        <item x="156"/>
        <item x="23"/>
        <item x="63"/>
        <item x="173"/>
        <item x="30"/>
        <item x="176"/>
        <item x="175"/>
        <item x="16"/>
        <item x="126"/>
        <item x="199"/>
        <item x="174"/>
        <item x="118"/>
        <item x="28"/>
        <item x="125"/>
        <item x="222"/>
        <item x="106"/>
        <item x="0"/>
        <item x="116"/>
        <item x="145"/>
        <item x="134"/>
        <item x="34"/>
        <item x="111"/>
        <item x="205"/>
        <item x="220"/>
        <item x="214"/>
        <item x="14"/>
        <item x="119"/>
        <item x="203"/>
        <item x="221"/>
        <item x="103"/>
        <item x="110"/>
        <item x="202"/>
        <item x="169"/>
        <item x="33"/>
        <item x="59"/>
        <item x="1"/>
        <item x="6"/>
        <item x="17"/>
        <item x="76"/>
        <item x="171"/>
        <item x="91"/>
        <item x="32"/>
        <item x="141"/>
        <item x="21"/>
        <item x="218"/>
        <item x="42"/>
        <item x="82"/>
        <item x="35"/>
        <item x="80"/>
        <item x="122"/>
        <item x="3"/>
        <item t="default"/>
      </items>
    </pivotField>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2">
    <field x="3"/>
    <field x="6"/>
  </rowFields>
  <rowItems count="111">
    <i>
      <x v="9"/>
      <x v="24"/>
    </i>
    <i r="1">
      <x v="32"/>
    </i>
    <i r="1">
      <x v="38"/>
    </i>
    <i r="1">
      <x v="39"/>
    </i>
    <i r="1">
      <x v="72"/>
    </i>
    <i r="1">
      <x v="87"/>
    </i>
    <i r="1">
      <x v="88"/>
    </i>
    <i r="1">
      <x v="89"/>
    </i>
    <i r="1">
      <x v="92"/>
    </i>
    <i r="1">
      <x v="93"/>
    </i>
    <i r="1">
      <x v="94"/>
    </i>
    <i r="1">
      <x v="96"/>
    </i>
    <i r="1">
      <x v="99"/>
    </i>
    <i r="1">
      <x v="100"/>
    </i>
    <i r="1">
      <x v="102"/>
    </i>
    <i r="1">
      <x v="120"/>
    </i>
    <i r="1">
      <x v="130"/>
    </i>
    <i r="1">
      <x v="131"/>
    </i>
    <i r="1">
      <x v="147"/>
    </i>
    <i r="1">
      <x v="152"/>
    </i>
    <i r="1">
      <x v="161"/>
    </i>
    <i r="1">
      <x v="164"/>
    </i>
    <i r="1">
      <x v="182"/>
    </i>
    <i r="1">
      <x v="183"/>
    </i>
    <i r="1">
      <x v="187"/>
    </i>
    <i r="1">
      <x v="213"/>
    </i>
    <i r="1">
      <x v="227"/>
    </i>
    <i>
      <x v="15"/>
      <x v="9"/>
    </i>
    <i r="1">
      <x v="11"/>
    </i>
    <i r="1">
      <x v="24"/>
    </i>
    <i r="1">
      <x v="33"/>
    </i>
    <i r="1">
      <x v="35"/>
    </i>
    <i r="1">
      <x v="37"/>
    </i>
    <i r="1">
      <x v="53"/>
    </i>
    <i r="1">
      <x v="67"/>
    </i>
    <i r="1">
      <x v="75"/>
    </i>
    <i r="1">
      <x v="85"/>
    </i>
    <i r="1">
      <x v="90"/>
    </i>
    <i r="1">
      <x v="95"/>
    </i>
    <i r="1">
      <x v="105"/>
    </i>
    <i r="1">
      <x v="107"/>
    </i>
    <i r="1">
      <x v="109"/>
    </i>
    <i r="1">
      <x v="116"/>
    </i>
    <i r="1">
      <x v="127"/>
    </i>
    <i r="1">
      <x v="129"/>
    </i>
    <i r="1">
      <x v="136"/>
    </i>
    <i r="1">
      <x v="163"/>
    </i>
    <i r="1">
      <x v="173"/>
    </i>
    <i r="1">
      <x v="185"/>
    </i>
    <i r="1">
      <x v="188"/>
    </i>
    <i r="1">
      <x v="190"/>
    </i>
    <i r="1">
      <x v="196"/>
    </i>
    <i r="1">
      <x v="199"/>
    </i>
    <i r="1">
      <x v="203"/>
    </i>
    <i r="1">
      <x v="204"/>
    </i>
    <i r="1">
      <x v="208"/>
    </i>
    <i r="1">
      <x v="212"/>
    </i>
    <i r="1">
      <x v="213"/>
    </i>
    <i r="1">
      <x v="226"/>
    </i>
    <i r="1">
      <x v="227"/>
    </i>
    <i>
      <x v="21"/>
      <x v="95"/>
    </i>
    <i r="1">
      <x v="136"/>
    </i>
    <i r="1">
      <x v="142"/>
    </i>
    <i r="1">
      <x v="156"/>
    </i>
    <i r="1">
      <x v="158"/>
    </i>
    <i r="1">
      <x v="161"/>
    </i>
    <i r="1">
      <x v="174"/>
    </i>
    <i r="1">
      <x v="221"/>
    </i>
    <i r="1">
      <x v="227"/>
    </i>
    <i>
      <x v="22"/>
      <x v="48"/>
    </i>
    <i r="1">
      <x v="49"/>
    </i>
    <i r="1">
      <x v="107"/>
    </i>
    <i r="1">
      <x v="138"/>
    </i>
    <i r="1">
      <x v="227"/>
    </i>
    <i>
      <x v="23"/>
      <x v="47"/>
    </i>
    <i r="1">
      <x v="95"/>
    </i>
    <i r="1">
      <x v="115"/>
    </i>
    <i r="1">
      <x v="142"/>
    </i>
    <i r="1">
      <x v="143"/>
    </i>
    <i r="1">
      <x v="161"/>
    </i>
    <i r="1">
      <x v="199"/>
    </i>
    <i r="1">
      <x v="201"/>
    </i>
    <i r="1">
      <x v="227"/>
    </i>
    <i>
      <x v="24"/>
      <x v="28"/>
    </i>
    <i r="1">
      <x v="95"/>
    </i>
    <i r="1">
      <x v="161"/>
    </i>
    <i r="1">
      <x v="191"/>
    </i>
    <i r="1">
      <x v="200"/>
    </i>
    <i r="1">
      <x v="205"/>
    </i>
    <i r="1">
      <x v="221"/>
    </i>
    <i r="1">
      <x v="227"/>
    </i>
    <i>
      <x v="31"/>
      <x v="4"/>
    </i>
    <i r="1">
      <x v="19"/>
    </i>
    <i r="1">
      <x v="22"/>
    </i>
    <i r="1">
      <x v="29"/>
    </i>
    <i r="1">
      <x v="30"/>
    </i>
    <i r="1">
      <x v="51"/>
    </i>
    <i r="1">
      <x v="57"/>
    </i>
    <i r="1">
      <x v="69"/>
    </i>
    <i r="1">
      <x v="79"/>
    </i>
    <i r="1">
      <x v="94"/>
    </i>
    <i r="1">
      <x v="124"/>
    </i>
    <i r="1">
      <x v="128"/>
    </i>
    <i r="1">
      <x v="138"/>
    </i>
    <i r="1">
      <x v="151"/>
    </i>
    <i r="1">
      <x v="154"/>
    </i>
    <i r="1">
      <x v="161"/>
    </i>
    <i r="1">
      <x v="167"/>
    </i>
    <i r="1">
      <x v="179"/>
    </i>
    <i r="1">
      <x v="215"/>
    </i>
    <i r="1">
      <x v="227"/>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1600-000000000000}" name="revisión core" cacheId="18" applyNumberFormats="0" applyBorderFormats="0" applyFontFormats="0" applyPatternFormats="0" applyAlignmentFormats="0" applyWidthHeightFormats="0" dataCaption="" updatedVersion="8" rowGrandTotals="0" compact="0" compactData="0">
  <location ref="A3:B233" firstHeaderRow="1" firstDataRow="1" firstDataCol="2" rowPageCount="1" colPageCount="1"/>
  <pivotFields count="19">
    <pivotField name="Código" compact="0" outline="0" multipleItemSelectionAllowed="1" showAll="0"/>
    <pivotField name="Nombre" axis="axisRow" compact="0" outline="0" multipleItemSelectionAllowed="1" showAll="0" sortType="ascending" defaultSubtotal="0">
      <items count="929">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s>
    </pivotField>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ascending">
      <items count="33">
        <item x="9"/>
        <item x="1"/>
        <item x="23"/>
        <item x="24"/>
        <item x="22"/>
        <item x="25"/>
        <item x="19"/>
        <item x="29"/>
        <item x="27"/>
        <item x="28"/>
        <item x="30"/>
        <item x="7"/>
        <item x="18"/>
        <item x="5"/>
        <item x="10"/>
        <item x="16"/>
        <item x="15"/>
        <item x="21"/>
        <item x="26"/>
        <item x="17"/>
        <item x="20"/>
        <item x="14"/>
        <item x="11"/>
        <item x="8"/>
        <item x="13"/>
        <item x="3"/>
        <item x="4"/>
        <item x="0"/>
        <item x="6"/>
        <item x="2"/>
        <item x="12"/>
        <item x="31"/>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2">
    <field x="1"/>
    <field x="3"/>
  </rowFields>
  <rowItems count="230">
    <i>
      <x v="5"/>
      <x/>
    </i>
    <i>
      <x v="6"/>
      <x v="16"/>
    </i>
    <i>
      <x v="8"/>
      <x v="22"/>
    </i>
    <i>
      <x v="11"/>
      <x v="22"/>
    </i>
    <i>
      <x v="15"/>
      <x/>
    </i>
    <i>
      <x v="20"/>
      <x v="9"/>
    </i>
    <i>
      <x v="21"/>
      <x v="9"/>
    </i>
    <i>
      <x v="22"/>
      <x v="10"/>
    </i>
    <i>
      <x v="23"/>
      <x v="8"/>
    </i>
    <i>
      <x v="25"/>
      <x/>
    </i>
    <i>
      <x v="32"/>
      <x v="9"/>
    </i>
    <i>
      <x v="42"/>
      <x v="22"/>
    </i>
    <i>
      <x v="44"/>
      <x v="16"/>
    </i>
    <i>
      <x v="47"/>
      <x v="16"/>
    </i>
    <i>
      <x v="49"/>
      <x v="16"/>
    </i>
    <i>
      <x v="54"/>
      <x v="22"/>
    </i>
    <i>
      <x v="57"/>
      <x v="16"/>
    </i>
    <i>
      <x v="58"/>
      <x v="16"/>
    </i>
    <i>
      <x v="59"/>
      <x v="16"/>
    </i>
    <i>
      <x v="60"/>
      <x v="8"/>
    </i>
    <i>
      <x v="69"/>
      <x v="7"/>
    </i>
    <i>
      <x v="71"/>
      <x v="16"/>
    </i>
    <i>
      <x v="73"/>
      <x v="10"/>
    </i>
    <i>
      <x v="75"/>
      <x v="22"/>
    </i>
    <i>
      <x v="77"/>
      <x v="16"/>
    </i>
    <i>
      <x v="96"/>
      <x v="16"/>
    </i>
    <i>
      <x v="97"/>
      <x v="16"/>
    </i>
    <i>
      <x v="105"/>
      <x v="16"/>
    </i>
    <i>
      <x v="109"/>
      <x v="16"/>
    </i>
    <i>
      <x v="115"/>
      <x v="16"/>
    </i>
    <i>
      <x v="116"/>
      <x v="22"/>
    </i>
    <i>
      <x v="117"/>
      <x/>
    </i>
    <i>
      <x v="120"/>
      <x/>
    </i>
    <i>
      <x v="132"/>
      <x/>
    </i>
    <i>
      <x v="133"/>
      <x v="10"/>
    </i>
    <i>
      <x v="134"/>
      <x v="16"/>
    </i>
    <i>
      <x v="139"/>
      <x v="16"/>
    </i>
    <i>
      <x v="154"/>
      <x v="16"/>
    </i>
    <i>
      <x v="161"/>
      <x/>
    </i>
    <i>
      <x v="164"/>
      <x v="22"/>
    </i>
    <i>
      <x v="167"/>
      <x v="22"/>
    </i>
    <i>
      <x v="168"/>
      <x v="22"/>
    </i>
    <i>
      <x v="175"/>
      <x v="8"/>
    </i>
    <i>
      <x v="180"/>
      <x v="7"/>
    </i>
    <i>
      <x v="182"/>
      <x v="22"/>
    </i>
    <i>
      <x v="184"/>
      <x v="7"/>
    </i>
    <i>
      <x v="187"/>
      <x v="16"/>
    </i>
    <i>
      <x v="189"/>
      <x v="16"/>
    </i>
    <i>
      <x v="192"/>
      <x v="16"/>
    </i>
    <i>
      <x v="193"/>
      <x v="16"/>
    </i>
    <i>
      <x v="198"/>
      <x v="16"/>
    </i>
    <i>
      <x v="201"/>
      <x v="16"/>
    </i>
    <i>
      <x v="208"/>
      <x v="22"/>
    </i>
    <i>
      <x v="212"/>
      <x v="7"/>
    </i>
    <i>
      <x v="221"/>
      <x v="16"/>
    </i>
    <i>
      <x v="228"/>
      <x v="16"/>
    </i>
    <i>
      <x v="229"/>
      <x v="10"/>
    </i>
    <i>
      <x v="243"/>
      <x v="16"/>
    </i>
    <i>
      <x v="245"/>
      <x v="16"/>
    </i>
    <i>
      <x v="248"/>
      <x v="16"/>
    </i>
    <i>
      <x v="250"/>
      <x v="22"/>
    </i>
    <i>
      <x v="251"/>
      <x/>
    </i>
    <i>
      <x v="253"/>
      <x/>
    </i>
    <i>
      <x v="262"/>
      <x v="9"/>
    </i>
    <i>
      <x v="263"/>
      <x v="8"/>
    </i>
    <i>
      <x v="267"/>
      <x v="16"/>
    </i>
    <i>
      <x v="268"/>
      <x v="16"/>
    </i>
    <i>
      <x v="281"/>
      <x v="16"/>
    </i>
    <i>
      <x v="284"/>
      <x v="16"/>
    </i>
    <i>
      <x v="286"/>
      <x/>
    </i>
    <i>
      <x v="290"/>
      <x v="16"/>
    </i>
    <i>
      <x v="291"/>
      <x v="16"/>
    </i>
    <i>
      <x v="292"/>
      <x v="7"/>
    </i>
    <i>
      <x v="294"/>
      <x v="9"/>
    </i>
    <i>
      <x v="299"/>
      <x v="10"/>
    </i>
    <i>
      <x v="302"/>
      <x v="16"/>
    </i>
    <i>
      <x v="304"/>
      <x v="22"/>
    </i>
    <i>
      <x v="305"/>
      <x v="7"/>
    </i>
    <i>
      <x v="310"/>
      <x v="7"/>
    </i>
    <i>
      <x v="311"/>
      <x v="22"/>
    </i>
    <i>
      <x v="312"/>
      <x v="22"/>
    </i>
    <i>
      <x v="316"/>
      <x/>
    </i>
    <i>
      <x v="320"/>
      <x v="16"/>
    </i>
    <i>
      <x v="321"/>
      <x v="16"/>
    </i>
    <i>
      <x v="322"/>
      <x/>
    </i>
    <i>
      <x v="325"/>
      <x v="8"/>
    </i>
    <i>
      <x v="326"/>
      <x v="10"/>
    </i>
    <i>
      <x v="330"/>
      <x/>
    </i>
    <i>
      <x v="334"/>
      <x v="16"/>
    </i>
    <i>
      <x v="335"/>
      <x v="16"/>
    </i>
    <i>
      <x v="336"/>
      <x v="7"/>
    </i>
    <i>
      <x v="338"/>
      <x v="16"/>
    </i>
    <i>
      <x v="340"/>
      <x v="9"/>
    </i>
    <i>
      <x v="344"/>
      <x v="16"/>
    </i>
    <i>
      <x v="345"/>
      <x v="16"/>
    </i>
    <i>
      <x v="348"/>
      <x v="22"/>
    </i>
    <i>
      <x v="350"/>
      <x v="16"/>
    </i>
    <i>
      <x v="369"/>
      <x v="22"/>
    </i>
    <i>
      <x v="379"/>
      <x v="16"/>
    </i>
    <i>
      <x v="385"/>
      <x v="22"/>
    </i>
    <i>
      <x v="390"/>
      <x v="22"/>
    </i>
    <i>
      <x v="393"/>
      <x v="16"/>
    </i>
    <i>
      <x v="395"/>
      <x v="9"/>
    </i>
    <i>
      <x v="403"/>
      <x/>
    </i>
    <i>
      <x v="409"/>
      <x v="16"/>
    </i>
    <i>
      <x v="410"/>
      <x v="10"/>
    </i>
    <i>
      <x v="418"/>
      <x v="8"/>
    </i>
    <i>
      <x v="426"/>
      <x/>
    </i>
    <i>
      <x v="427"/>
      <x v="22"/>
    </i>
    <i>
      <x v="428"/>
      <x v="16"/>
    </i>
    <i>
      <x v="436"/>
      <x v="16"/>
    </i>
    <i>
      <x v="441"/>
      <x v="16"/>
    </i>
    <i>
      <x v="443"/>
      <x/>
    </i>
    <i>
      <x v="444"/>
      <x/>
    </i>
    <i>
      <x v="445"/>
      <x v="16"/>
    </i>
    <i>
      <x v="446"/>
      <x v="16"/>
    </i>
    <i>
      <x v="450"/>
      <x/>
    </i>
    <i>
      <x v="466"/>
      <x v="7"/>
    </i>
    <i>
      <x v="486"/>
      <x v="16"/>
    </i>
    <i>
      <x v="491"/>
      <x/>
    </i>
    <i>
      <x v="492"/>
      <x v="22"/>
    </i>
    <i>
      <x v="493"/>
      <x v="22"/>
    </i>
    <i>
      <x v="496"/>
      <x v="22"/>
    </i>
    <i>
      <x v="497"/>
      <x/>
    </i>
    <i>
      <x v="501"/>
      <x v="22"/>
    </i>
    <i>
      <x v="503"/>
      <x v="7"/>
    </i>
    <i>
      <x v="506"/>
      <x v="22"/>
    </i>
    <i>
      <x v="509"/>
      <x v="16"/>
    </i>
    <i>
      <x v="512"/>
      <x v="7"/>
    </i>
    <i>
      <x v="520"/>
      <x v="16"/>
    </i>
    <i>
      <x v="522"/>
      <x v="7"/>
    </i>
    <i>
      <x v="525"/>
      <x/>
    </i>
    <i>
      <x v="526"/>
      <x v="16"/>
    </i>
    <i>
      <x v="534"/>
      <x v="22"/>
    </i>
    <i>
      <x v="541"/>
      <x v="10"/>
    </i>
    <i>
      <x v="544"/>
      <x v="16"/>
    </i>
    <i>
      <x v="546"/>
      <x v="10"/>
    </i>
    <i>
      <x v="547"/>
      <x v="16"/>
    </i>
    <i>
      <x v="548"/>
      <x v="22"/>
    </i>
    <i>
      <x v="550"/>
      <x v="10"/>
    </i>
    <i>
      <x v="555"/>
      <x v="22"/>
    </i>
    <i>
      <x v="556"/>
      <x/>
    </i>
    <i>
      <x v="565"/>
      <x v="10"/>
    </i>
    <i>
      <x v="567"/>
      <x/>
    </i>
    <i>
      <x v="568"/>
      <x v="16"/>
    </i>
    <i>
      <x v="570"/>
      <x/>
    </i>
    <i>
      <x v="573"/>
      <x v="10"/>
    </i>
    <i>
      <x v="576"/>
      <x v="16"/>
    </i>
    <i>
      <x v="579"/>
      <x/>
    </i>
    <i>
      <x v="584"/>
      <x v="7"/>
    </i>
    <i>
      <x v="596"/>
      <x v="7"/>
    </i>
    <i>
      <x v="601"/>
      <x v="22"/>
    </i>
    <i>
      <x v="602"/>
      <x/>
    </i>
    <i>
      <x v="606"/>
      <x v="22"/>
    </i>
    <i>
      <x v="607"/>
      <x v="16"/>
    </i>
    <i>
      <x v="610"/>
      <x v="16"/>
    </i>
    <i>
      <x v="612"/>
      <x v="16"/>
    </i>
    <i>
      <x v="613"/>
      <x v="22"/>
    </i>
    <i>
      <x v="617"/>
      <x v="22"/>
    </i>
    <i>
      <x v="618"/>
      <x v="22"/>
    </i>
    <i>
      <x v="632"/>
      <x/>
    </i>
    <i>
      <x v="633"/>
      <x v="22"/>
    </i>
    <i>
      <x v="634"/>
      <x v="22"/>
    </i>
    <i>
      <x v="636"/>
      <x v="16"/>
    </i>
    <i>
      <x v="637"/>
      <x v="16"/>
    </i>
    <i>
      <x v="644"/>
      <x v="22"/>
    </i>
    <i>
      <x v="645"/>
      <x v="16"/>
    </i>
    <i>
      <x v="646"/>
      <x v="16"/>
    </i>
    <i>
      <x v="647"/>
      <x v="16"/>
    </i>
    <i>
      <x v="648"/>
      <x v="16"/>
    </i>
    <i>
      <x v="662"/>
      <x/>
    </i>
    <i>
      <x v="663"/>
      <x v="16"/>
    </i>
    <i>
      <x v="664"/>
      <x v="22"/>
    </i>
    <i>
      <x v="672"/>
      <x/>
    </i>
    <i>
      <x v="676"/>
      <x v="22"/>
    </i>
    <i>
      <x v="679"/>
      <x v="22"/>
    </i>
    <i>
      <x v="680"/>
      <x v="10"/>
    </i>
    <i>
      <x v="681"/>
      <x v="22"/>
    </i>
    <i>
      <x v="682"/>
      <x v="7"/>
    </i>
    <i>
      <x v="686"/>
      <x v="16"/>
    </i>
    <i>
      <x v="689"/>
      <x v="22"/>
    </i>
    <i>
      <x v="691"/>
      <x v="10"/>
    </i>
    <i>
      <x v="693"/>
      <x v="22"/>
    </i>
    <i>
      <x v="694"/>
      <x v="16"/>
    </i>
    <i>
      <x v="695"/>
      <x v="16"/>
    </i>
    <i>
      <x v="696"/>
      <x/>
    </i>
    <i>
      <x v="697"/>
      <x v="22"/>
    </i>
    <i>
      <x v="699"/>
      <x v="16"/>
    </i>
    <i>
      <x v="701"/>
      <x v="16"/>
    </i>
    <i>
      <x v="705"/>
      <x v="22"/>
    </i>
    <i>
      <x v="706"/>
      <x v="8"/>
    </i>
    <i>
      <x v="708"/>
      <x v="22"/>
    </i>
    <i>
      <x v="714"/>
      <x/>
    </i>
    <i>
      <x v="716"/>
      <x v="16"/>
    </i>
    <i>
      <x v="718"/>
      <x v="10"/>
    </i>
    <i>
      <x v="727"/>
      <x v="16"/>
    </i>
    <i>
      <x v="732"/>
      <x v="22"/>
    </i>
    <i>
      <x v="735"/>
      <x/>
    </i>
    <i>
      <x v="743"/>
      <x v="22"/>
    </i>
    <i>
      <x v="745"/>
      <x/>
    </i>
    <i>
      <x v="752"/>
      <x v="16"/>
    </i>
    <i>
      <x v="753"/>
      <x v="9"/>
    </i>
    <i>
      <x v="761"/>
      <x v="16"/>
    </i>
    <i>
      <x v="764"/>
      <x v="9"/>
    </i>
    <i>
      <x v="765"/>
      <x v="9"/>
    </i>
    <i>
      <x v="766"/>
      <x v="16"/>
    </i>
    <i>
      <x v="777"/>
      <x/>
    </i>
    <i>
      <x v="785"/>
      <x v="7"/>
    </i>
    <i>
      <x v="790"/>
      <x v="9"/>
    </i>
    <i>
      <x v="810"/>
      <x v="16"/>
    </i>
    <i>
      <x v="816"/>
      <x v="22"/>
    </i>
    <i>
      <x v="819"/>
      <x v="22"/>
    </i>
    <i>
      <x v="822"/>
      <x v="16"/>
    </i>
    <i>
      <x v="827"/>
      <x v="8"/>
    </i>
    <i>
      <x v="828"/>
      <x v="10"/>
    </i>
    <i>
      <x v="832"/>
      <x v="16"/>
    </i>
    <i>
      <x v="862"/>
      <x v="10"/>
    </i>
    <i>
      <x v="866"/>
      <x v="8"/>
    </i>
    <i>
      <x v="870"/>
      <x/>
    </i>
    <i>
      <x v="872"/>
      <x v="22"/>
    </i>
    <i>
      <x v="874"/>
      <x v="16"/>
    </i>
    <i>
      <x v="891"/>
      <x/>
    </i>
    <i>
      <x v="895"/>
      <x v="22"/>
    </i>
    <i>
      <x v="896"/>
      <x v="16"/>
    </i>
    <i>
      <x v="900"/>
      <x v="22"/>
    </i>
    <i>
      <x v="902"/>
      <x/>
    </i>
    <i>
      <x v="905"/>
      <x v="16"/>
    </i>
    <i>
      <x v="906"/>
      <x v="7"/>
    </i>
    <i>
      <x v="921"/>
      <x/>
    </i>
    <i>
      <x v="924"/>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RES-JC" cacheId="13" applyNumberFormats="0" applyBorderFormats="0" applyFontFormats="0" applyPatternFormats="0" applyAlignmentFormats="0" applyWidthHeightFormats="0" dataCaption="" updatedVersion="8" compact="0" compactData="0">
  <location ref="A1:B11" firstHeaderRow="1" firstDataRow="1" firstDataCol="2"/>
  <pivotFields count="23">
    <pivotField name="Código" compact="0" outline="0" multipleItemSelectionAllowed="1" showAll="0"/>
    <pivotField name="Nombre" compact="0" outline="0" multipleItemSelectionAllowed="1" showAll="0"/>
    <pivotField name="Dirección" compact="0" outline="0" multipleItemSelectionAllowed="1" showAll="0"/>
    <pivotField name="Servicio" axis="axisRow" compact="0" outline="0" multipleItemSelectionAllowed="1" showAll="0" sortType="ascending">
      <items count="32">
        <item h="1" x="9"/>
        <item h="1" x="1"/>
        <item h="1" x="23"/>
        <item h="1" x="24"/>
        <item h="1" x="22"/>
        <item h="1" x="25"/>
        <item h="1" x="19"/>
        <item h="1" x="29"/>
        <item h="1" x="27"/>
        <item h="1" x="28"/>
        <item h="1" x="30"/>
        <item h="1" x="7"/>
        <item h="1" x="18"/>
        <item h="1" x="5"/>
        <item h="1" x="10"/>
        <item h="1" x="16"/>
        <item h="1" x="15"/>
        <item h="1" x="21"/>
        <item x="26"/>
        <item h="1" x="17"/>
        <item h="1" x="20"/>
        <item h="1" x="14"/>
        <item h="1" x="11"/>
        <item h="1" x="8"/>
        <item h="1" x="13"/>
        <item h="1" x="3"/>
        <item h="1" x="4"/>
        <item h="1" x="0"/>
        <item h="1" x="6"/>
        <item h="1" x="2"/>
        <item h="1" x="12"/>
        <item t="default"/>
      </items>
    </pivotField>
    <pivotField name="Empresa" compact="0" outline="0" multipleItemSelectionAllowed="1" showAll="0"/>
    <pivotField name="Dominio" compact="0" outline="0" multipleItemSelectionAllowed="1" showAll="0"/>
    <pivotField name="Proyecto" axis="axisRow" compact="0" outline="0" multipleItemSelectionAllowed="1" showAll="0" sortType="ascending">
      <items count="228">
        <item x="3"/>
        <item x="122"/>
        <item x="80"/>
        <item x="35"/>
        <item x="82"/>
        <item x="42"/>
        <item x="218"/>
        <item x="21"/>
        <item x="141"/>
        <item x="32"/>
        <item x="91"/>
        <item x="171"/>
        <item x="76"/>
        <item x="17"/>
        <item x="6"/>
        <item x="1"/>
        <item x="59"/>
        <item x="33"/>
        <item x="169"/>
        <item x="202"/>
        <item x="110"/>
        <item x="103"/>
        <item x="221"/>
        <item x="203"/>
        <item x="119"/>
        <item x="14"/>
        <item x="214"/>
        <item x="220"/>
        <item x="205"/>
        <item x="111"/>
        <item x="34"/>
        <item x="134"/>
        <item x="145"/>
        <item x="116"/>
        <item x="0"/>
        <item x="106"/>
        <item x="222"/>
        <item x="125"/>
        <item x="28"/>
        <item x="118"/>
        <item x="174"/>
        <item x="199"/>
        <item x="126"/>
        <item x="16"/>
        <item x="175"/>
        <item x="176"/>
        <item x="30"/>
        <item x="173"/>
        <item x="63"/>
        <item x="23"/>
        <item x="156"/>
        <item x="31"/>
        <item x="25"/>
        <item x="223"/>
        <item x="211"/>
        <item x="212"/>
        <item x="102"/>
        <item x="56"/>
        <item x="157"/>
        <item x="143"/>
        <item x="69"/>
        <item x="49"/>
        <item x="15"/>
        <item x="186"/>
        <item x="132"/>
        <item x="50"/>
        <item x="75"/>
        <item x="19"/>
        <item x="41"/>
        <item x="225"/>
        <item x="96"/>
        <item x="224"/>
        <item x="104"/>
        <item x="67"/>
        <item x="113"/>
        <item x="177"/>
        <item x="64"/>
        <item x="193"/>
        <item x="200"/>
        <item x="51"/>
        <item x="180"/>
        <item x="12"/>
        <item x="139"/>
        <item x="135"/>
        <item x="213"/>
        <item x="215"/>
        <item x="18"/>
        <item x="117"/>
        <item x="136"/>
        <item x="20"/>
        <item x="43"/>
        <item x="86"/>
        <item x="194"/>
        <item x="149"/>
        <item x="2"/>
        <item x="140"/>
        <item x="115"/>
        <item x="88"/>
        <item x="131"/>
        <item x="70"/>
        <item x="121"/>
        <item x="87"/>
        <item x="44"/>
        <item x="79"/>
        <item x="195"/>
        <item x="196"/>
        <item x="7"/>
        <item x="190"/>
        <item x="54"/>
        <item x="114"/>
        <item x="201"/>
        <item x="84"/>
        <item x="95"/>
        <item x="170"/>
        <item x="166"/>
        <item x="45"/>
        <item x="52"/>
        <item x="198"/>
        <item x="207"/>
        <item x="55"/>
        <item x="53"/>
        <item x="148"/>
        <item x="129"/>
        <item x="146"/>
        <item x="57"/>
        <item x="189"/>
        <item x="105"/>
        <item x="184"/>
        <item x="183"/>
        <item x="37"/>
        <item x="36"/>
        <item x="191"/>
        <item x="124"/>
        <item x="5"/>
        <item x="185"/>
        <item x="182"/>
        <item x="93"/>
        <item x="208"/>
        <item x="187"/>
        <item x="188"/>
        <item x="192"/>
        <item x="147"/>
        <item x="128"/>
        <item x="172"/>
        <item x="22"/>
        <item x="61"/>
        <item x="163"/>
        <item x="120"/>
        <item x="71"/>
        <item x="39"/>
        <item x="151"/>
        <item x="152"/>
        <item x="130"/>
        <item x="167"/>
        <item x="48"/>
        <item x="179"/>
        <item x="162"/>
        <item x="150"/>
        <item x="72"/>
        <item x="81"/>
        <item x="123"/>
        <item x="154"/>
        <item x="90"/>
        <item x="155"/>
        <item x="38"/>
        <item x="112"/>
        <item x="62"/>
        <item x="100"/>
        <item x="109"/>
        <item x="107"/>
        <item x="65"/>
        <item x="153"/>
        <item x="197"/>
        <item x="60"/>
        <item x="206"/>
        <item x="46"/>
        <item x="77"/>
        <item x="47"/>
        <item x="216"/>
        <item x="217"/>
        <item x="40"/>
        <item x="142"/>
        <item x="138"/>
        <item x="137"/>
        <item x="226"/>
        <item x="85"/>
        <item x="24"/>
        <item x="168"/>
        <item x="165"/>
        <item x="181"/>
        <item x="209"/>
        <item x="144"/>
        <item x="127"/>
        <item x="94"/>
        <item x="204"/>
        <item x="178"/>
        <item x="161"/>
        <item x="78"/>
        <item x="68"/>
        <item x="219"/>
        <item x="158"/>
        <item x="164"/>
        <item x="89"/>
        <item x="9"/>
        <item x="4"/>
        <item x="74"/>
        <item x="101"/>
        <item x="26"/>
        <item x="66"/>
        <item x="27"/>
        <item x="58"/>
        <item x="10"/>
        <item x="11"/>
        <item x="83"/>
        <item x="99"/>
        <item x="29"/>
        <item x="210"/>
        <item x="159"/>
        <item x="133"/>
        <item x="92"/>
        <item x="13"/>
        <item x="98"/>
        <item x="108"/>
        <item x="73"/>
        <item x="97"/>
        <item x="8"/>
        <item x="160"/>
        <item t="default"/>
      </items>
    </pivotField>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 name=" 3" compact="0" outline="0" multipleItemSelectionAllowed="1" showAll="0"/>
    <pivotField name=" 4" compact="0" outline="0" multipleItemSelectionAllowed="1" showAll="0"/>
    <pivotField name=" 5" compact="0" outline="0" multipleItemSelectionAllowed="1" showAll="0"/>
  </pivotFields>
  <rowFields count="2">
    <field x="3"/>
    <field x="6"/>
  </rowFields>
  <rowItems count="10">
    <i>
      <x v="18"/>
      <x/>
    </i>
    <i r="1">
      <x v="41"/>
    </i>
    <i r="1">
      <x v="78"/>
    </i>
    <i r="1">
      <x v="89"/>
    </i>
    <i r="1">
      <x v="110"/>
    </i>
    <i r="1">
      <x v="112"/>
    </i>
    <i r="1">
      <x v="217"/>
    </i>
    <i r="1">
      <x v="226"/>
    </i>
    <i t="default">
      <x v="18"/>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522" Type="http://schemas.openxmlformats.org/officeDocument/2006/relationships/hyperlink" Target="http://andrea.rengifo-bbva.com/" TargetMode="External"/><Relationship Id="rId1827" Type="http://schemas.openxmlformats.org/officeDocument/2006/relationships/hyperlink" Target="http://edilberto.morales-bbva.com/" TargetMode="External"/><Relationship Id="rId21" Type="http://schemas.openxmlformats.org/officeDocument/2006/relationships/hyperlink" Target="http://mariaalejandra.ramirez.jimene-bbva.com/" TargetMode="External"/><Relationship Id="rId170" Type="http://schemas.openxmlformats.org/officeDocument/2006/relationships/hyperlink" Target="http://juana.vergara-bbva.com/" TargetMode="External"/><Relationship Id="rId268" Type="http://schemas.openxmlformats.org/officeDocument/2006/relationships/hyperlink" Target="http://karenalexandra.martinez-bbva.com/" TargetMode="External"/><Relationship Id="rId475" Type="http://schemas.openxmlformats.org/officeDocument/2006/relationships/hyperlink" Target="http://josemleal-bbva.com/" TargetMode="External"/><Relationship Id="rId682" Type="http://schemas.openxmlformats.org/officeDocument/2006/relationships/hyperlink" Target="http://monica.zamudio-bbva.com/" TargetMode="External"/><Relationship Id="rId128" Type="http://schemas.openxmlformats.org/officeDocument/2006/relationships/hyperlink" Target="http://monica.zamudio-bbva.com/" TargetMode="External"/><Relationship Id="rId335" Type="http://schemas.openxmlformats.org/officeDocument/2006/relationships/hyperlink" Target="http://alcibiades.rodriguez-bbva.com/" TargetMode="External"/><Relationship Id="rId542" Type="http://schemas.openxmlformats.org/officeDocument/2006/relationships/hyperlink" Target="http://david.juvinao-bbva.com/" TargetMode="External"/><Relationship Id="rId987" Type="http://schemas.openxmlformats.org/officeDocument/2006/relationships/hyperlink" Target="http://alcibiades.rodriguez-bbva.com/" TargetMode="External"/><Relationship Id="rId1172" Type="http://schemas.openxmlformats.org/officeDocument/2006/relationships/hyperlink" Target="http://manuel.villamil-bbva.com/" TargetMode="External"/><Relationship Id="rId402" Type="http://schemas.openxmlformats.org/officeDocument/2006/relationships/hyperlink" Target="http://yinet.acevedo-bbva.com/" TargetMode="External"/><Relationship Id="rId847" Type="http://schemas.openxmlformats.org/officeDocument/2006/relationships/hyperlink" Target="http://john.ardila-bbva.com/" TargetMode="External"/><Relationship Id="rId1032" Type="http://schemas.openxmlformats.org/officeDocument/2006/relationships/hyperlink" Target="http://marthapatric.cruz-bbva.com/" TargetMode="External"/><Relationship Id="rId1477" Type="http://schemas.openxmlformats.org/officeDocument/2006/relationships/hyperlink" Target="http://judy.prieto-bbva.com/" TargetMode="External"/><Relationship Id="rId1684" Type="http://schemas.openxmlformats.org/officeDocument/2006/relationships/hyperlink" Target="http://angie.castaneda-bbva.com/" TargetMode="External"/><Relationship Id="rId1891" Type="http://schemas.openxmlformats.org/officeDocument/2006/relationships/hyperlink" Target="http://jhonathan.gaona-bbva.com/" TargetMode="External"/><Relationship Id="rId707" Type="http://schemas.openxmlformats.org/officeDocument/2006/relationships/hyperlink" Target="http://jorge.blanco-bbva.com/" TargetMode="External"/><Relationship Id="rId914" Type="http://schemas.openxmlformats.org/officeDocument/2006/relationships/hyperlink" Target="http://mariajuliana.rodriguez-bbva.com/" TargetMode="External"/><Relationship Id="rId1337" Type="http://schemas.openxmlformats.org/officeDocument/2006/relationships/hyperlink" Target="http://felipe.guzman-bbva.com/" TargetMode="External"/><Relationship Id="rId1544" Type="http://schemas.openxmlformats.org/officeDocument/2006/relationships/hyperlink" Target="http://andres.carrandi-bbva.com/" TargetMode="External"/><Relationship Id="rId1751" Type="http://schemas.openxmlformats.org/officeDocument/2006/relationships/hyperlink" Target="http://jeissonandres.diaz.rodriguez-bbva.com/" TargetMode="External"/><Relationship Id="rId43" Type="http://schemas.openxmlformats.org/officeDocument/2006/relationships/hyperlink" Target="http://manuelignacio.trujillo-bbva.com/" TargetMode="External"/><Relationship Id="rId1404" Type="http://schemas.openxmlformats.org/officeDocument/2006/relationships/hyperlink" Target="http://miguelangel.castellanos-bbva.com/" TargetMode="External"/><Relationship Id="rId1611" Type="http://schemas.openxmlformats.org/officeDocument/2006/relationships/hyperlink" Target="http://josealejandro.duenas-bbva.com/" TargetMode="External"/><Relationship Id="rId1849" Type="http://schemas.openxmlformats.org/officeDocument/2006/relationships/hyperlink" Target="http://huvertyadir.ramirez-bbva.com/" TargetMode="External"/><Relationship Id="rId192" Type="http://schemas.openxmlformats.org/officeDocument/2006/relationships/hyperlink" Target="http://marthapatric.cruz-bbva.com/" TargetMode="External"/><Relationship Id="rId1709" Type="http://schemas.openxmlformats.org/officeDocument/2006/relationships/hyperlink" Target="http://cristiancamilo.aponte-bbva.com/" TargetMode="External"/><Relationship Id="rId1916" Type="http://schemas.openxmlformats.org/officeDocument/2006/relationships/hyperlink" Target="http://monicaandrea.sanabria-bbva.com/" TargetMode="External"/><Relationship Id="rId497" Type="http://schemas.openxmlformats.org/officeDocument/2006/relationships/hyperlink" Target="http://mario.charry-bbva.com/" TargetMode="External"/><Relationship Id="rId357" Type="http://schemas.openxmlformats.org/officeDocument/2006/relationships/hyperlink" Target="http://marialuisa.suarez-bbva.com/" TargetMode="External"/><Relationship Id="rId1194" Type="http://schemas.openxmlformats.org/officeDocument/2006/relationships/hyperlink" Target="http://leidyjohanna.zambrano-bbva.com/" TargetMode="External"/><Relationship Id="rId217" Type="http://schemas.openxmlformats.org/officeDocument/2006/relationships/hyperlink" Target="http://manuel.villamil-bbva.com/" TargetMode="External"/><Relationship Id="rId564" Type="http://schemas.openxmlformats.org/officeDocument/2006/relationships/hyperlink" Target="http://monica.zamudio-bbva.com/" TargetMode="External"/><Relationship Id="rId771" Type="http://schemas.openxmlformats.org/officeDocument/2006/relationships/hyperlink" Target="http://monica.zamudio-bbva.com/" TargetMode="External"/><Relationship Id="rId869" Type="http://schemas.openxmlformats.org/officeDocument/2006/relationships/hyperlink" Target="http://david.juvinao-bbva.com/" TargetMode="External"/><Relationship Id="rId1499" Type="http://schemas.openxmlformats.org/officeDocument/2006/relationships/hyperlink" Target="http://ivan_dario.ariza-bbva.com/" TargetMode="External"/><Relationship Id="rId424" Type="http://schemas.openxmlformats.org/officeDocument/2006/relationships/hyperlink" Target="http://carlos.barreto-bbva.com/" TargetMode="External"/><Relationship Id="rId631" Type="http://schemas.openxmlformats.org/officeDocument/2006/relationships/hyperlink" Target="http://pedro.moreno-bbva.com/" TargetMode="External"/><Relationship Id="rId729" Type="http://schemas.openxmlformats.org/officeDocument/2006/relationships/hyperlink" Target="http://david.robayo-bbva.com/" TargetMode="External"/><Relationship Id="rId1054" Type="http://schemas.openxmlformats.org/officeDocument/2006/relationships/hyperlink" Target="http://maritza.guerrero-bbva.com/" TargetMode="External"/><Relationship Id="rId1261" Type="http://schemas.openxmlformats.org/officeDocument/2006/relationships/hyperlink" Target="http://andresfelipe.granados-bbva.com/" TargetMode="External"/><Relationship Id="rId1359" Type="http://schemas.openxmlformats.org/officeDocument/2006/relationships/hyperlink" Target="http://monicaandrea.abogado-bbva.com/" TargetMode="External"/><Relationship Id="rId936" Type="http://schemas.openxmlformats.org/officeDocument/2006/relationships/hyperlink" Target="http://ivanmauricio.perez-bbva.com/" TargetMode="External"/><Relationship Id="rId1121" Type="http://schemas.openxmlformats.org/officeDocument/2006/relationships/hyperlink" Target="http://nathaliamaria.torres-bbva.com/" TargetMode="External"/><Relationship Id="rId1219" Type="http://schemas.openxmlformats.org/officeDocument/2006/relationships/hyperlink" Target="http://juan.orozco-bbva.com/" TargetMode="External"/><Relationship Id="rId1566" Type="http://schemas.openxmlformats.org/officeDocument/2006/relationships/hyperlink" Target="http://andres.carrandi-bbva.com/" TargetMode="External"/><Relationship Id="rId1773" Type="http://schemas.openxmlformats.org/officeDocument/2006/relationships/hyperlink" Target="http://taniaalexandra.jula-bbva.com/" TargetMode="External"/><Relationship Id="rId65" Type="http://schemas.openxmlformats.org/officeDocument/2006/relationships/hyperlink" Target="http://vickyalexandra.mora-bbva.com/" TargetMode="External"/><Relationship Id="rId1426" Type="http://schemas.openxmlformats.org/officeDocument/2006/relationships/hyperlink" Target="http://alvaro.ortiz-bbva.com/" TargetMode="External"/><Relationship Id="rId1633" Type="http://schemas.openxmlformats.org/officeDocument/2006/relationships/hyperlink" Target="http://paolaandrea.hermosa-bbva.com/" TargetMode="External"/><Relationship Id="rId1840" Type="http://schemas.openxmlformats.org/officeDocument/2006/relationships/hyperlink" Target="http://angiejulieth.rodriguez.chaves-bbva.com/" TargetMode="External"/><Relationship Id="rId1700" Type="http://schemas.openxmlformats.org/officeDocument/2006/relationships/hyperlink" Target="http://hernanmauricio.lozada-bbva.com/" TargetMode="External"/><Relationship Id="rId281" Type="http://schemas.openxmlformats.org/officeDocument/2006/relationships/hyperlink" Target="http://david.robayo-bbva.com/" TargetMode="External"/><Relationship Id="rId141" Type="http://schemas.openxmlformats.org/officeDocument/2006/relationships/hyperlink" Target="http://erikajulieth.ruiz-bbva.com/" TargetMode="External"/><Relationship Id="rId379" Type="http://schemas.openxmlformats.org/officeDocument/2006/relationships/hyperlink" Target="http://mario.lobo-bbva.com/" TargetMode="External"/><Relationship Id="rId586" Type="http://schemas.openxmlformats.org/officeDocument/2006/relationships/hyperlink" Target="http://sandrajohanna.gonzalez-bbva.com/" TargetMode="External"/><Relationship Id="rId793" Type="http://schemas.openxmlformats.org/officeDocument/2006/relationships/hyperlink" Target="http://hugo.mongua-bbva.com/" TargetMode="External"/><Relationship Id="rId7" Type="http://schemas.openxmlformats.org/officeDocument/2006/relationships/hyperlink" Target="http://angelica.granados-bbva.com/" TargetMode="External"/><Relationship Id="rId239" Type="http://schemas.openxmlformats.org/officeDocument/2006/relationships/hyperlink" Target="http://ader.anaya-bbva.com/" TargetMode="External"/><Relationship Id="rId446" Type="http://schemas.openxmlformats.org/officeDocument/2006/relationships/hyperlink" Target="http://jorgeh.cruz-bbva.com/" TargetMode="External"/><Relationship Id="rId653" Type="http://schemas.openxmlformats.org/officeDocument/2006/relationships/hyperlink" Target="http://alvaro.ortiz-bbva.com/" TargetMode="External"/><Relationship Id="rId1076" Type="http://schemas.openxmlformats.org/officeDocument/2006/relationships/hyperlink" Target="http://sandrajohanna.gonzalez-bbva.com/" TargetMode="External"/><Relationship Id="rId1283" Type="http://schemas.openxmlformats.org/officeDocument/2006/relationships/hyperlink" Target="http://tatiana.lizarazo-bbva.com/" TargetMode="External"/><Relationship Id="rId1490" Type="http://schemas.openxmlformats.org/officeDocument/2006/relationships/hyperlink" Target="http://camilo.aguirre-bbva.com/" TargetMode="External"/><Relationship Id="rId306" Type="http://schemas.openxmlformats.org/officeDocument/2006/relationships/hyperlink" Target="http://josealejandro.duenas-bbva.com/" TargetMode="External"/><Relationship Id="rId860" Type="http://schemas.openxmlformats.org/officeDocument/2006/relationships/hyperlink" Target="http://mariaelena.torres-bbva.com/" TargetMode="External"/><Relationship Id="rId958" Type="http://schemas.openxmlformats.org/officeDocument/2006/relationships/hyperlink" Target="http://mariaelena.torres-bbva.com/" TargetMode="External"/><Relationship Id="rId1143" Type="http://schemas.openxmlformats.org/officeDocument/2006/relationships/hyperlink" Target="http://andrea.orrego-bbva.com/" TargetMode="External"/><Relationship Id="rId1588" Type="http://schemas.openxmlformats.org/officeDocument/2006/relationships/hyperlink" Target="http://andresfelipe.granados-bbva.com/" TargetMode="External"/><Relationship Id="rId1795" Type="http://schemas.openxmlformats.org/officeDocument/2006/relationships/hyperlink" Target="http://jordi.sole-bbva.com/" TargetMode="External"/><Relationship Id="rId87" Type="http://schemas.openxmlformats.org/officeDocument/2006/relationships/hyperlink" Target="http://flor.duarte-bbva.com/" TargetMode="External"/><Relationship Id="rId513" Type="http://schemas.openxmlformats.org/officeDocument/2006/relationships/hyperlink" Target="http://paulocesar.sastoque-bbva.com/" TargetMode="External"/><Relationship Id="rId720" Type="http://schemas.openxmlformats.org/officeDocument/2006/relationships/hyperlink" Target="http://alcibiades.rodriguez-bbva.com/" TargetMode="External"/><Relationship Id="rId818" Type="http://schemas.openxmlformats.org/officeDocument/2006/relationships/hyperlink" Target="http://cesar_gomez-bbva.com/" TargetMode="External"/><Relationship Id="rId1350" Type="http://schemas.openxmlformats.org/officeDocument/2006/relationships/hyperlink" Target="http://juan.orozco-bbva.com/" TargetMode="External"/><Relationship Id="rId1448" Type="http://schemas.openxmlformats.org/officeDocument/2006/relationships/hyperlink" Target="http://cesar_gomez-bbva.com/" TargetMode="External"/><Relationship Id="rId1655" Type="http://schemas.openxmlformats.org/officeDocument/2006/relationships/hyperlink" Target="http://hugo.mongua-bbva.com/" TargetMode="External"/><Relationship Id="rId1003" Type="http://schemas.openxmlformats.org/officeDocument/2006/relationships/hyperlink" Target="http://luzmarina.gutierrez-bbva.com/" TargetMode="External"/><Relationship Id="rId1210" Type="http://schemas.openxmlformats.org/officeDocument/2006/relationships/hyperlink" Target="http://carlosalberto.barreto-bbva.com/" TargetMode="External"/><Relationship Id="rId1308" Type="http://schemas.openxmlformats.org/officeDocument/2006/relationships/hyperlink" Target="http://davidesteban.fajardo-bbva.com/" TargetMode="External"/><Relationship Id="rId1862" Type="http://schemas.openxmlformats.org/officeDocument/2006/relationships/hyperlink" Target="http://sebastian.martinez.jaramillo-bbva.com/" TargetMode="External"/><Relationship Id="rId1515" Type="http://schemas.openxmlformats.org/officeDocument/2006/relationships/hyperlink" Target="http://lizethsofia.garcia-bbva.com/" TargetMode="External"/><Relationship Id="rId1722" Type="http://schemas.openxmlformats.org/officeDocument/2006/relationships/hyperlink" Target="http://hugoalberto.abreo-bbva.com/" TargetMode="External"/><Relationship Id="rId14" Type="http://schemas.openxmlformats.org/officeDocument/2006/relationships/hyperlink" Target="http://james.veitia-bbva.com/" TargetMode="External"/><Relationship Id="rId163" Type="http://schemas.openxmlformats.org/officeDocument/2006/relationships/hyperlink" Target="http://carlosalberto.barreto-bbva.com/" TargetMode="External"/><Relationship Id="rId370" Type="http://schemas.openxmlformats.org/officeDocument/2006/relationships/hyperlink" Target="http://dianamaritza.pineros-bbva.com/" TargetMode="External"/><Relationship Id="rId230" Type="http://schemas.openxmlformats.org/officeDocument/2006/relationships/hyperlink" Target="http://paolaandrea.guzman-bbva.com/" TargetMode="External"/><Relationship Id="rId468" Type="http://schemas.openxmlformats.org/officeDocument/2006/relationships/hyperlink" Target="http://gustavo.ferrucho-bbva.com/" TargetMode="External"/><Relationship Id="rId675" Type="http://schemas.openxmlformats.org/officeDocument/2006/relationships/hyperlink" Target="http://juan.moralesp-bbva.com/" TargetMode="External"/><Relationship Id="rId882" Type="http://schemas.openxmlformats.org/officeDocument/2006/relationships/hyperlink" Target="http://hugo.mongua-bbva.com/" TargetMode="External"/><Relationship Id="rId1098" Type="http://schemas.openxmlformats.org/officeDocument/2006/relationships/hyperlink" Target="http://marthapatric.cruz-bbva.com/" TargetMode="External"/><Relationship Id="rId328" Type="http://schemas.openxmlformats.org/officeDocument/2006/relationships/hyperlink" Target="http://edwinmauricio.ariza-bbva.com/" TargetMode="External"/><Relationship Id="rId535" Type="http://schemas.openxmlformats.org/officeDocument/2006/relationships/hyperlink" Target="http://ivanjesus.esparragoza-bbva.com/" TargetMode="External"/><Relationship Id="rId742" Type="http://schemas.openxmlformats.org/officeDocument/2006/relationships/hyperlink" Target="http://andresfelipe.granados-bbva.com/" TargetMode="External"/><Relationship Id="rId1165" Type="http://schemas.openxmlformats.org/officeDocument/2006/relationships/hyperlink" Target="http://jhonalexander.chaparro-bbva.com/" TargetMode="External"/><Relationship Id="rId1372" Type="http://schemas.openxmlformats.org/officeDocument/2006/relationships/hyperlink" Target="http://sandra.meza-bbva.com/" TargetMode="External"/><Relationship Id="rId602" Type="http://schemas.openxmlformats.org/officeDocument/2006/relationships/hyperlink" Target="http://ana.traslavina-bbva.com/" TargetMode="External"/><Relationship Id="rId1025" Type="http://schemas.openxmlformats.org/officeDocument/2006/relationships/hyperlink" Target="http://manuel.villamil-bbva.com/" TargetMode="External"/><Relationship Id="rId1232" Type="http://schemas.openxmlformats.org/officeDocument/2006/relationships/hyperlink" Target="http://jhon.molina-bbva.com/" TargetMode="External"/><Relationship Id="rId1677" Type="http://schemas.openxmlformats.org/officeDocument/2006/relationships/hyperlink" Target="http://alirio.bermudez-bbva.com/" TargetMode="External"/><Relationship Id="rId1884" Type="http://schemas.openxmlformats.org/officeDocument/2006/relationships/hyperlink" Target="http://leidi.jimenez-bbva.com/" TargetMode="External"/><Relationship Id="rId907" Type="http://schemas.openxmlformats.org/officeDocument/2006/relationships/hyperlink" Target="http://andres.carrandi-bbva.com/" TargetMode="External"/><Relationship Id="rId1537" Type="http://schemas.openxmlformats.org/officeDocument/2006/relationships/hyperlink" Target="http://julio.avila2-bbva.com/" TargetMode="External"/><Relationship Id="rId1744" Type="http://schemas.openxmlformats.org/officeDocument/2006/relationships/hyperlink" Target="http://felipe.guzman-bbva.com/" TargetMode="External"/><Relationship Id="rId36" Type="http://schemas.openxmlformats.org/officeDocument/2006/relationships/hyperlink" Target="http://alcibiades.rodriguez-bbva.com/" TargetMode="External"/><Relationship Id="rId1604" Type="http://schemas.openxmlformats.org/officeDocument/2006/relationships/hyperlink" Target="http://nicolas.galindo-bbva.com/" TargetMode="External"/><Relationship Id="rId185" Type="http://schemas.openxmlformats.org/officeDocument/2006/relationships/hyperlink" Target="http://andres.carrandi-bbva.com/" TargetMode="External"/><Relationship Id="rId1811" Type="http://schemas.openxmlformats.org/officeDocument/2006/relationships/hyperlink" Target="http://clara.mora-bbva.com/" TargetMode="External"/><Relationship Id="rId1909" Type="http://schemas.openxmlformats.org/officeDocument/2006/relationships/hyperlink" Target="http://hugoalberto.abreo-bbva.com/" TargetMode="External"/><Relationship Id="rId392" Type="http://schemas.openxmlformats.org/officeDocument/2006/relationships/hyperlink" Target="http://alcibiades.rodriguez-bbva.com/" TargetMode="External"/><Relationship Id="rId697" Type="http://schemas.openxmlformats.org/officeDocument/2006/relationships/hyperlink" Target="http://sandrajohanna.gonzalez-bbva.com/" TargetMode="External"/><Relationship Id="rId252" Type="http://schemas.openxmlformats.org/officeDocument/2006/relationships/hyperlink" Target="http://sandrajohanna.gonzalez-bbva.com/" TargetMode="External"/><Relationship Id="rId1187" Type="http://schemas.openxmlformats.org/officeDocument/2006/relationships/hyperlink" Target="http://katherine.michaels-bbva.com/" TargetMode="External"/><Relationship Id="rId112" Type="http://schemas.openxmlformats.org/officeDocument/2006/relationships/hyperlink" Target="http://katherine.michaels-bbva.com/" TargetMode="External"/><Relationship Id="rId557" Type="http://schemas.openxmlformats.org/officeDocument/2006/relationships/hyperlink" Target="http://humberto.patarroyo.osorio-bbva.com/" TargetMode="External"/><Relationship Id="rId764" Type="http://schemas.openxmlformats.org/officeDocument/2006/relationships/hyperlink" Target="http://rafael.lopesierra-bbva.com/" TargetMode="External"/><Relationship Id="rId971" Type="http://schemas.openxmlformats.org/officeDocument/2006/relationships/hyperlink" Target="http://nelsonleonel.fonseca-bbva.com/" TargetMode="External"/><Relationship Id="rId1394" Type="http://schemas.openxmlformats.org/officeDocument/2006/relationships/hyperlink" Target="http://elkinmauricio.lopez-bbva.com/" TargetMode="External"/><Relationship Id="rId1699" Type="http://schemas.openxmlformats.org/officeDocument/2006/relationships/hyperlink" Target="http://monicaandrea.sanabria-bbva.com/" TargetMode="External"/><Relationship Id="rId417" Type="http://schemas.openxmlformats.org/officeDocument/2006/relationships/hyperlink" Target="http://magda.pedraza-bbva.com/" TargetMode="External"/><Relationship Id="rId624" Type="http://schemas.openxmlformats.org/officeDocument/2006/relationships/hyperlink" Target="http://andres.carrandi-bbva.com/" TargetMode="External"/><Relationship Id="rId831" Type="http://schemas.openxmlformats.org/officeDocument/2006/relationships/hyperlink" Target="http://josealejandro.duenas-bbva.com/" TargetMode="External"/><Relationship Id="rId1047" Type="http://schemas.openxmlformats.org/officeDocument/2006/relationships/hyperlink" Target="http://jesusalejandro.moreno-bbva.com/" TargetMode="External"/><Relationship Id="rId1254" Type="http://schemas.openxmlformats.org/officeDocument/2006/relationships/hyperlink" Target="http://william.paez-bbva.com/" TargetMode="External"/><Relationship Id="rId1461" Type="http://schemas.openxmlformats.org/officeDocument/2006/relationships/hyperlink" Target="http://julio.avila2-bbva.com/" TargetMode="External"/><Relationship Id="rId929" Type="http://schemas.openxmlformats.org/officeDocument/2006/relationships/hyperlink" Target="http://jeissonandres.diaz.rodriguez-bbva.com/" TargetMode="External"/><Relationship Id="rId1114" Type="http://schemas.openxmlformats.org/officeDocument/2006/relationships/hyperlink" Target="http://milagros.lastra-bbva.com/" TargetMode="External"/><Relationship Id="rId1321" Type="http://schemas.openxmlformats.org/officeDocument/2006/relationships/hyperlink" Target="http://ivanjesus.esparragoza-bbva.com/" TargetMode="External"/><Relationship Id="rId1559" Type="http://schemas.openxmlformats.org/officeDocument/2006/relationships/hyperlink" Target="http://henryr.rodriguez-bbva.com/" TargetMode="External"/><Relationship Id="rId1766" Type="http://schemas.openxmlformats.org/officeDocument/2006/relationships/hyperlink" Target="http://jhonathan.gaona-bbva.com/" TargetMode="External"/><Relationship Id="rId58" Type="http://schemas.openxmlformats.org/officeDocument/2006/relationships/hyperlink" Target="http://rafael.jimenez.jimenez-bbva.com/" TargetMode="External"/><Relationship Id="rId1419" Type="http://schemas.openxmlformats.org/officeDocument/2006/relationships/hyperlink" Target="http://jair.gomez-bbva.com/" TargetMode="External"/><Relationship Id="rId1626" Type="http://schemas.openxmlformats.org/officeDocument/2006/relationships/hyperlink" Target="http://monicaandrea.sanabria-bbva.com/" TargetMode="External"/><Relationship Id="rId1833" Type="http://schemas.openxmlformats.org/officeDocument/2006/relationships/hyperlink" Target="http://pabloalexand.ortiz-bbva.com/" TargetMode="External"/><Relationship Id="rId1900" Type="http://schemas.openxmlformats.org/officeDocument/2006/relationships/hyperlink" Target="http://paolaandrea.guzman-bbva.com/" TargetMode="External"/><Relationship Id="rId274" Type="http://schemas.openxmlformats.org/officeDocument/2006/relationships/hyperlink" Target="http://erikajulieth.ruiz-bbva.com/" TargetMode="External"/><Relationship Id="rId481" Type="http://schemas.openxmlformats.org/officeDocument/2006/relationships/hyperlink" Target="http://hugo.mongua-bbva.com/" TargetMode="External"/><Relationship Id="rId134" Type="http://schemas.openxmlformats.org/officeDocument/2006/relationships/hyperlink" Target="http://andres.carrandi-bbva.com/" TargetMode="External"/><Relationship Id="rId579" Type="http://schemas.openxmlformats.org/officeDocument/2006/relationships/hyperlink" Target="http://janethrojas-csf.com.co/" TargetMode="External"/><Relationship Id="rId786" Type="http://schemas.openxmlformats.org/officeDocument/2006/relationships/hyperlink" Target="http://sandrajohanna.gonzalez-bbva.com/" TargetMode="External"/><Relationship Id="rId993" Type="http://schemas.openxmlformats.org/officeDocument/2006/relationships/hyperlink" Target="http://carlos.combita-bbva.com/" TargetMode="External"/><Relationship Id="rId341" Type="http://schemas.openxmlformats.org/officeDocument/2006/relationships/hyperlink" Target="http://edwin.vargas-bbva.com/" TargetMode="External"/><Relationship Id="rId439" Type="http://schemas.openxmlformats.org/officeDocument/2006/relationships/hyperlink" Target="http://carlos.barreto-bbva.com/" TargetMode="External"/><Relationship Id="rId646" Type="http://schemas.openxmlformats.org/officeDocument/2006/relationships/hyperlink" Target="http://ana.naiza-bbva.com/" TargetMode="External"/><Relationship Id="rId1069" Type="http://schemas.openxmlformats.org/officeDocument/2006/relationships/hyperlink" Target="http://juan.orozco-bbva.com/" TargetMode="External"/><Relationship Id="rId1276" Type="http://schemas.openxmlformats.org/officeDocument/2006/relationships/hyperlink" Target="http://william.vargas-bbva.com/" TargetMode="External"/><Relationship Id="rId1483" Type="http://schemas.openxmlformats.org/officeDocument/2006/relationships/hyperlink" Target="http://monicaandrea.sanabria-bbva.com/" TargetMode="External"/><Relationship Id="rId201" Type="http://schemas.openxmlformats.org/officeDocument/2006/relationships/hyperlink" Target="http://brigitteyesenia.beltran-bbva.com/" TargetMode="External"/><Relationship Id="rId506" Type="http://schemas.openxmlformats.org/officeDocument/2006/relationships/hyperlink" Target="http://katherine.michaels-bbva.com/" TargetMode="External"/><Relationship Id="rId853" Type="http://schemas.openxmlformats.org/officeDocument/2006/relationships/hyperlink" Target="http://maritza.guerrero-bbva.com/" TargetMode="External"/><Relationship Id="rId1136" Type="http://schemas.openxmlformats.org/officeDocument/2006/relationships/hyperlink" Target="http://alirio.bermudez-bbva.com/" TargetMode="External"/><Relationship Id="rId1690" Type="http://schemas.openxmlformats.org/officeDocument/2006/relationships/hyperlink" Target="http://marthapatric.cruz-bbva.com/" TargetMode="External"/><Relationship Id="rId1788" Type="http://schemas.openxmlformats.org/officeDocument/2006/relationships/hyperlink" Target="http://alcibiades.rodriguez-bbva.com/" TargetMode="External"/><Relationship Id="rId713" Type="http://schemas.openxmlformats.org/officeDocument/2006/relationships/hyperlink" Target="http://dianapaola.angel-bbva.com/" TargetMode="External"/><Relationship Id="rId920" Type="http://schemas.openxmlformats.org/officeDocument/2006/relationships/hyperlink" Target="http://erikajulieth.ruiz-bbva.com/" TargetMode="External"/><Relationship Id="rId1343" Type="http://schemas.openxmlformats.org/officeDocument/2006/relationships/hyperlink" Target="http://elizabeth.diaz-bbva.com/" TargetMode="External"/><Relationship Id="rId1550" Type="http://schemas.openxmlformats.org/officeDocument/2006/relationships/hyperlink" Target="http://andres.carrandi-bbva.com/" TargetMode="External"/><Relationship Id="rId1648" Type="http://schemas.openxmlformats.org/officeDocument/2006/relationships/hyperlink" Target="http://hugoalberto.abreo-bbva.com/" TargetMode="External"/><Relationship Id="rId1203" Type="http://schemas.openxmlformats.org/officeDocument/2006/relationships/hyperlink" Target="http://vivianamarcela.rueda-bbva.com/" TargetMode="External"/><Relationship Id="rId1410" Type="http://schemas.openxmlformats.org/officeDocument/2006/relationships/hyperlink" Target="http://leonardo.jimenez-bbva.com/" TargetMode="External"/><Relationship Id="rId1508" Type="http://schemas.openxmlformats.org/officeDocument/2006/relationships/hyperlink" Target="http://elizabeth.diaz-bbva.com/" TargetMode="External"/><Relationship Id="rId1855" Type="http://schemas.openxmlformats.org/officeDocument/2006/relationships/hyperlink" Target="http://sebastian.valencia.ramirez.contractor-bbva.com/" TargetMode="External"/><Relationship Id="rId1715" Type="http://schemas.openxmlformats.org/officeDocument/2006/relationships/hyperlink" Target="http://hayden.cardenas-bbva.com/" TargetMode="External"/><Relationship Id="rId1922" Type="http://schemas.openxmlformats.org/officeDocument/2006/relationships/hyperlink" Target="http://henryr.rodriguez-bbva.com/" TargetMode="External"/><Relationship Id="rId296" Type="http://schemas.openxmlformats.org/officeDocument/2006/relationships/hyperlink" Target="http://yesid.forero-bbva.com/" TargetMode="External"/><Relationship Id="rId156" Type="http://schemas.openxmlformats.org/officeDocument/2006/relationships/hyperlink" Target="http://marioalberto.sanchez-bbva.com/" TargetMode="External"/><Relationship Id="rId363" Type="http://schemas.openxmlformats.org/officeDocument/2006/relationships/hyperlink" Target="http://milena.patino-bbva.com/" TargetMode="External"/><Relationship Id="rId570" Type="http://schemas.openxmlformats.org/officeDocument/2006/relationships/hyperlink" Target="http://andres.carrandi-bbva.com/" TargetMode="External"/><Relationship Id="rId223" Type="http://schemas.openxmlformats.org/officeDocument/2006/relationships/hyperlink" Target="http://maritza.guerrero-bbva.com/" TargetMode="External"/><Relationship Id="rId430" Type="http://schemas.openxmlformats.org/officeDocument/2006/relationships/hyperlink" Target="http://julio.avila2-bbva.com/" TargetMode="External"/><Relationship Id="rId668" Type="http://schemas.openxmlformats.org/officeDocument/2006/relationships/hyperlink" Target="http://manuela.murillo-bbva.com/" TargetMode="External"/><Relationship Id="rId875" Type="http://schemas.openxmlformats.org/officeDocument/2006/relationships/hyperlink" Target="http://natalializeth.guio-bbva.com/" TargetMode="External"/><Relationship Id="rId1060" Type="http://schemas.openxmlformats.org/officeDocument/2006/relationships/hyperlink" Target="http://manuel.villamil-bbva.com/" TargetMode="External"/><Relationship Id="rId1298" Type="http://schemas.openxmlformats.org/officeDocument/2006/relationships/hyperlink" Target="http://pabloalexand.ortiz-bbva.com/" TargetMode="External"/><Relationship Id="rId528" Type="http://schemas.openxmlformats.org/officeDocument/2006/relationships/hyperlink" Target="http://jeissonandres.diaz.rodriguez-bbva.com/" TargetMode="External"/><Relationship Id="rId735" Type="http://schemas.openxmlformats.org/officeDocument/2006/relationships/hyperlink" Target="http://milagros.lastra-bbva.com/" TargetMode="External"/><Relationship Id="rId942" Type="http://schemas.openxmlformats.org/officeDocument/2006/relationships/hyperlink" Target="http://katherine.duque-bbva.com/" TargetMode="External"/><Relationship Id="rId1158" Type="http://schemas.openxmlformats.org/officeDocument/2006/relationships/hyperlink" Target="http://alirio.bermudez-bbva.com/" TargetMode="External"/><Relationship Id="rId1365" Type="http://schemas.openxmlformats.org/officeDocument/2006/relationships/hyperlink" Target="http://paolaandrea.gil-bbva.com/" TargetMode="External"/><Relationship Id="rId1572" Type="http://schemas.openxmlformats.org/officeDocument/2006/relationships/hyperlink" Target="http://nelson.ruiz-bbva.com/" TargetMode="External"/><Relationship Id="rId1018" Type="http://schemas.openxmlformats.org/officeDocument/2006/relationships/hyperlink" Target="http://yeraldineandrea.sierra-bbva.com/" TargetMode="External"/><Relationship Id="rId1225" Type="http://schemas.openxmlformats.org/officeDocument/2006/relationships/hyperlink" Target="http://juan.orozco-bbva.com/" TargetMode="External"/><Relationship Id="rId1432" Type="http://schemas.openxmlformats.org/officeDocument/2006/relationships/hyperlink" Target="http://jair.gomez-bbva.com/" TargetMode="External"/><Relationship Id="rId1877" Type="http://schemas.openxmlformats.org/officeDocument/2006/relationships/hyperlink" Target="http://yeraldineandrea.sierra-bbva.com/" TargetMode="External"/><Relationship Id="rId71" Type="http://schemas.openxmlformats.org/officeDocument/2006/relationships/hyperlink" Target="http://carlosalberto.barreto-bbva.com/" TargetMode="External"/><Relationship Id="rId802" Type="http://schemas.openxmlformats.org/officeDocument/2006/relationships/hyperlink" Target="http://paolaandrea.gil-bbva.com/" TargetMode="External"/><Relationship Id="rId1737" Type="http://schemas.openxmlformats.org/officeDocument/2006/relationships/hyperlink" Target="http://diana.barrantes-bbva.com/" TargetMode="External"/><Relationship Id="rId29" Type="http://schemas.openxmlformats.org/officeDocument/2006/relationships/hyperlink" Target="http://jose.garcia.usma-bbva.com/" TargetMode="External"/><Relationship Id="rId178" Type="http://schemas.openxmlformats.org/officeDocument/2006/relationships/hyperlink" Target="http://milagros.lastra-bbva.com/" TargetMode="External"/><Relationship Id="rId1804" Type="http://schemas.openxmlformats.org/officeDocument/2006/relationships/hyperlink" Target="http://paulocesar.sastoque-bbva.com/" TargetMode="External"/><Relationship Id="rId385" Type="http://schemas.openxmlformats.org/officeDocument/2006/relationships/hyperlink" Target="http://mariofelipe.caro-bbva.com/" TargetMode="External"/><Relationship Id="rId592" Type="http://schemas.openxmlformats.org/officeDocument/2006/relationships/hyperlink" Target="http://ader.anaya-bbva.com/" TargetMode="External"/><Relationship Id="rId245" Type="http://schemas.openxmlformats.org/officeDocument/2006/relationships/hyperlink" Target="http://july.miranda-bbva.com/" TargetMode="External"/><Relationship Id="rId452" Type="http://schemas.openxmlformats.org/officeDocument/2006/relationships/hyperlink" Target="http://ana.naiza-bbva.com/" TargetMode="External"/><Relationship Id="rId897" Type="http://schemas.openxmlformats.org/officeDocument/2006/relationships/hyperlink" Target="http://daniela.cifuentes.ariza-bbva.com/" TargetMode="External"/><Relationship Id="rId1082" Type="http://schemas.openxmlformats.org/officeDocument/2006/relationships/hyperlink" Target="http://elizabeth.diaz-bbva.com/" TargetMode="External"/><Relationship Id="rId105" Type="http://schemas.openxmlformats.org/officeDocument/2006/relationships/hyperlink" Target="http://mariajuliana.rodriguez-bbva.com/" TargetMode="External"/><Relationship Id="rId312" Type="http://schemas.openxmlformats.org/officeDocument/2006/relationships/hyperlink" Target="http://monica.zamudio-bbva.com/" TargetMode="External"/><Relationship Id="rId757" Type="http://schemas.openxmlformats.org/officeDocument/2006/relationships/hyperlink" Target="http://irene.angel-bbva.com/" TargetMode="External"/><Relationship Id="rId964" Type="http://schemas.openxmlformats.org/officeDocument/2006/relationships/hyperlink" Target="http://july.miranda-bbva.com/" TargetMode="External"/><Relationship Id="rId1387" Type="http://schemas.openxmlformats.org/officeDocument/2006/relationships/hyperlink" Target="http://patricia.romero-bbva.com/" TargetMode="External"/><Relationship Id="rId1594" Type="http://schemas.openxmlformats.org/officeDocument/2006/relationships/hyperlink" Target="http://nicolas.galindo-bbva.com/" TargetMode="External"/><Relationship Id="rId93" Type="http://schemas.openxmlformats.org/officeDocument/2006/relationships/hyperlink" Target="http://sandrajohanna.gonzalez-bbva.com/" TargetMode="External"/><Relationship Id="rId617" Type="http://schemas.openxmlformats.org/officeDocument/2006/relationships/hyperlink" Target="http://manuel.villamil-bbva.com/" TargetMode="External"/><Relationship Id="rId824" Type="http://schemas.openxmlformats.org/officeDocument/2006/relationships/hyperlink" Target="http://juan.orozco-bbva.com/" TargetMode="External"/><Relationship Id="rId1247" Type="http://schemas.openxmlformats.org/officeDocument/2006/relationships/hyperlink" Target="http://juhan.lozano-bbva.com/" TargetMode="External"/><Relationship Id="rId1454" Type="http://schemas.openxmlformats.org/officeDocument/2006/relationships/hyperlink" Target="http://mairanela.ramirez.salazar-bbva.com/" TargetMode="External"/><Relationship Id="rId1661" Type="http://schemas.openxmlformats.org/officeDocument/2006/relationships/hyperlink" Target="http://martha.reyes-bbva.com/" TargetMode="External"/><Relationship Id="rId1899" Type="http://schemas.openxmlformats.org/officeDocument/2006/relationships/hyperlink" Target="http://carlosandres.moque-bbva.com/" TargetMode="External"/><Relationship Id="rId1107" Type="http://schemas.openxmlformats.org/officeDocument/2006/relationships/hyperlink" Target="http://manuel.villamil-bbva.com/" TargetMode="External"/><Relationship Id="rId1314" Type="http://schemas.openxmlformats.org/officeDocument/2006/relationships/hyperlink" Target="http://martha.reyes-bbva.com/" TargetMode="External"/><Relationship Id="rId1521" Type="http://schemas.openxmlformats.org/officeDocument/2006/relationships/hyperlink" Target="http://wilson.camacho-bbva.com/" TargetMode="External"/><Relationship Id="rId1759" Type="http://schemas.openxmlformats.org/officeDocument/2006/relationships/hyperlink" Target="http://henryr.rodriguez-bbva.com/" TargetMode="External"/><Relationship Id="rId1619" Type="http://schemas.openxmlformats.org/officeDocument/2006/relationships/hyperlink" Target="http://mairanela.ramirez.salazar-bbva.com/" TargetMode="External"/><Relationship Id="rId1826" Type="http://schemas.openxmlformats.org/officeDocument/2006/relationships/hyperlink" Target="http://sandrajohanna.gonzalez-bbva.com/" TargetMode="External"/><Relationship Id="rId20" Type="http://schemas.openxmlformats.org/officeDocument/2006/relationships/hyperlink" Target="http://juan.bejarano-bbva.com/" TargetMode="External"/><Relationship Id="rId267" Type="http://schemas.openxmlformats.org/officeDocument/2006/relationships/hyperlink" Target="http://josealejandro.duenas-bbva.com/" TargetMode="External"/><Relationship Id="rId474" Type="http://schemas.openxmlformats.org/officeDocument/2006/relationships/hyperlink" Target="http://gustavo.ferrucho-bbva.com/" TargetMode="External"/><Relationship Id="rId127" Type="http://schemas.openxmlformats.org/officeDocument/2006/relationships/hyperlink" Target="http://william.vargas-bbva.com/" TargetMode="External"/><Relationship Id="rId681" Type="http://schemas.openxmlformats.org/officeDocument/2006/relationships/hyperlink" Target="http://carlos.combita-bbva.com/" TargetMode="External"/><Relationship Id="rId779" Type="http://schemas.openxmlformats.org/officeDocument/2006/relationships/hyperlink" Target="http://manuel.villamil-bbva.com/" TargetMode="External"/><Relationship Id="rId986" Type="http://schemas.openxmlformats.org/officeDocument/2006/relationships/hyperlink" Target="http://camila.nino-bbva.com/" TargetMode="External"/><Relationship Id="rId334" Type="http://schemas.openxmlformats.org/officeDocument/2006/relationships/hyperlink" Target="http://camila.nino-bbva.com/" TargetMode="External"/><Relationship Id="rId541" Type="http://schemas.openxmlformats.org/officeDocument/2006/relationships/hyperlink" Target="http://manuel.villamil-bbva.com/" TargetMode="External"/><Relationship Id="rId639" Type="http://schemas.openxmlformats.org/officeDocument/2006/relationships/hyperlink" Target="http://marthapatric.cruz-bbva.com/" TargetMode="External"/><Relationship Id="rId1171" Type="http://schemas.openxmlformats.org/officeDocument/2006/relationships/hyperlink" Target="http://jhonalexander.chaparro-bbva.com/" TargetMode="External"/><Relationship Id="rId1269" Type="http://schemas.openxmlformats.org/officeDocument/2006/relationships/hyperlink" Target="http://rubendario.nunez-bbva.com/" TargetMode="External"/><Relationship Id="rId1476" Type="http://schemas.openxmlformats.org/officeDocument/2006/relationships/hyperlink" Target="http://andresfelipe.granados-bbva.com/" TargetMode="External"/><Relationship Id="rId401" Type="http://schemas.openxmlformats.org/officeDocument/2006/relationships/hyperlink" Target="http://wilson.hernandez-bbva.com/" TargetMode="External"/><Relationship Id="rId846" Type="http://schemas.openxmlformats.org/officeDocument/2006/relationships/hyperlink" Target="http://dianapaola.angel-bbva.com/" TargetMode="External"/><Relationship Id="rId1031" Type="http://schemas.openxmlformats.org/officeDocument/2006/relationships/hyperlink" Target="http://johnbayron.zambrano-bbva.com/" TargetMode="External"/><Relationship Id="rId1129" Type="http://schemas.openxmlformats.org/officeDocument/2006/relationships/hyperlink" Target="http://manuel.villamil-bbva.com/" TargetMode="External"/><Relationship Id="rId1683" Type="http://schemas.openxmlformats.org/officeDocument/2006/relationships/hyperlink" Target="http://andresfelipe.granados-bbva.com/" TargetMode="External"/><Relationship Id="rId1890" Type="http://schemas.openxmlformats.org/officeDocument/2006/relationships/hyperlink" Target="http://taniaalexandra.jula-bbva.com/" TargetMode="External"/><Relationship Id="rId706" Type="http://schemas.openxmlformats.org/officeDocument/2006/relationships/hyperlink" Target="http://fernando.garciameza-bbva.com/" TargetMode="External"/><Relationship Id="rId913" Type="http://schemas.openxmlformats.org/officeDocument/2006/relationships/hyperlink" Target="http://manuelignacio.trujillo-bbva.com/" TargetMode="External"/><Relationship Id="rId1336" Type="http://schemas.openxmlformats.org/officeDocument/2006/relationships/hyperlink" Target="http://elkinfernando.burbano-bbva.com/" TargetMode="External"/><Relationship Id="rId1543" Type="http://schemas.openxmlformats.org/officeDocument/2006/relationships/hyperlink" Target="http://angie.castaneda-bbva.com/" TargetMode="External"/><Relationship Id="rId1750" Type="http://schemas.openxmlformats.org/officeDocument/2006/relationships/hyperlink" Target="http://josealejandro.duenas-bbva.com/" TargetMode="External"/><Relationship Id="rId42" Type="http://schemas.openxmlformats.org/officeDocument/2006/relationships/hyperlink" Target="http://bryanantonio.quiroz-bbva.com/" TargetMode="External"/><Relationship Id="rId1403" Type="http://schemas.openxmlformats.org/officeDocument/2006/relationships/hyperlink" Target="http://liztatiana.lopez-bbva.com/" TargetMode="External"/><Relationship Id="rId1610" Type="http://schemas.openxmlformats.org/officeDocument/2006/relationships/hyperlink" Target="http://bryanantonio.quiroz-bbva.com/" TargetMode="External"/><Relationship Id="rId1848" Type="http://schemas.openxmlformats.org/officeDocument/2006/relationships/hyperlink" Target="http://andres.carrandi-bbva.com/" TargetMode="External"/><Relationship Id="rId191" Type="http://schemas.openxmlformats.org/officeDocument/2006/relationships/hyperlink" Target="http://sandrajohanna.gonzalez-bbva.com/" TargetMode="External"/><Relationship Id="rId1708" Type="http://schemas.openxmlformats.org/officeDocument/2006/relationships/hyperlink" Target="http://e.castillog-bbva.com/" TargetMode="External"/><Relationship Id="rId1915" Type="http://schemas.openxmlformats.org/officeDocument/2006/relationships/hyperlink" Target="http://jordi.sole-bbva.com/" TargetMode="External"/><Relationship Id="rId289" Type="http://schemas.openxmlformats.org/officeDocument/2006/relationships/hyperlink" Target="http://olga.lara-bbva.com/" TargetMode="External"/><Relationship Id="rId496" Type="http://schemas.openxmlformats.org/officeDocument/2006/relationships/hyperlink" Target="http://jennifer.zamudio-bbva.com/" TargetMode="External"/><Relationship Id="rId149" Type="http://schemas.openxmlformats.org/officeDocument/2006/relationships/hyperlink" Target="http://flor.duarte-bbva.com/" TargetMode="External"/><Relationship Id="rId356" Type="http://schemas.openxmlformats.org/officeDocument/2006/relationships/hyperlink" Target="http://hernanmauricio.lozada-bbva.com/" TargetMode="External"/><Relationship Id="rId563" Type="http://schemas.openxmlformats.org/officeDocument/2006/relationships/hyperlink" Target="http://john.calvo-bbva.com/" TargetMode="External"/><Relationship Id="rId770" Type="http://schemas.openxmlformats.org/officeDocument/2006/relationships/hyperlink" Target="http://sebastian.martinez.jaramillo-bbva.com/" TargetMode="External"/><Relationship Id="rId1193" Type="http://schemas.openxmlformats.org/officeDocument/2006/relationships/hyperlink" Target="http://elizabeth.diaz-bbva.com/" TargetMode="External"/><Relationship Id="rId216" Type="http://schemas.openxmlformats.org/officeDocument/2006/relationships/hyperlink" Target="http://judy.prieto-bbva.com/" TargetMode="External"/><Relationship Id="rId423" Type="http://schemas.openxmlformats.org/officeDocument/2006/relationships/hyperlink" Target="http://piedad.corzo-bbva.com/" TargetMode="External"/><Relationship Id="rId868" Type="http://schemas.openxmlformats.org/officeDocument/2006/relationships/hyperlink" Target="http://mariofelipe.caro-bbva.com/" TargetMode="External"/><Relationship Id="rId1053" Type="http://schemas.openxmlformats.org/officeDocument/2006/relationships/hyperlink" Target="http://hectormanuel.rodriguez.martin-bbva.com/" TargetMode="External"/><Relationship Id="rId1260" Type="http://schemas.openxmlformats.org/officeDocument/2006/relationships/hyperlink" Target="http://mairanela.ramirez.salazar-bbva.com/" TargetMode="External"/><Relationship Id="rId1498" Type="http://schemas.openxmlformats.org/officeDocument/2006/relationships/hyperlink" Target="http://ivanmauricio.perez-bbva.com/" TargetMode="External"/><Relationship Id="rId630" Type="http://schemas.openxmlformats.org/officeDocument/2006/relationships/hyperlink" Target="http://cindytatiana.perilla-bbva.com/" TargetMode="External"/><Relationship Id="rId728" Type="http://schemas.openxmlformats.org/officeDocument/2006/relationships/hyperlink" Target="http://nelson.ruiz-bbva.com/" TargetMode="External"/><Relationship Id="rId935" Type="http://schemas.openxmlformats.org/officeDocument/2006/relationships/hyperlink" Target="http://lilianavictoria.rivera-bbva.com/" TargetMode="External"/><Relationship Id="rId1358" Type="http://schemas.openxmlformats.org/officeDocument/2006/relationships/hyperlink" Target="http://ivan_dario.ariza-bbva.com/" TargetMode="External"/><Relationship Id="rId1565" Type="http://schemas.openxmlformats.org/officeDocument/2006/relationships/hyperlink" Target="http://pabloandres.villada-bbva.com/" TargetMode="External"/><Relationship Id="rId1772" Type="http://schemas.openxmlformats.org/officeDocument/2006/relationships/hyperlink" Target="http://jhonathan.gaona-bbva.com/" TargetMode="External"/><Relationship Id="rId64" Type="http://schemas.openxmlformats.org/officeDocument/2006/relationships/hyperlink" Target="http://andres.carrandi-bbva.com/" TargetMode="External"/><Relationship Id="rId1120" Type="http://schemas.openxmlformats.org/officeDocument/2006/relationships/hyperlink" Target="http://manuel.villamil-bbva.com/" TargetMode="External"/><Relationship Id="rId1218" Type="http://schemas.openxmlformats.org/officeDocument/2006/relationships/hyperlink" Target="http://luisrodrigo.ulloa.marin-bbva.com/" TargetMode="External"/><Relationship Id="rId1425" Type="http://schemas.openxmlformats.org/officeDocument/2006/relationships/hyperlink" Target="http://ana.naiza-bbva.com/" TargetMode="External"/><Relationship Id="rId1632" Type="http://schemas.openxmlformats.org/officeDocument/2006/relationships/hyperlink" Target="http://maritza.guerrero-bbva.com/" TargetMode="External"/><Relationship Id="rId280" Type="http://schemas.openxmlformats.org/officeDocument/2006/relationships/hyperlink" Target="http://nelson.ruiz-bbva.com/" TargetMode="External"/><Relationship Id="rId140" Type="http://schemas.openxmlformats.org/officeDocument/2006/relationships/hyperlink" Target="http://jhon.molina-bbva.com/" TargetMode="External"/><Relationship Id="rId378" Type="http://schemas.openxmlformats.org/officeDocument/2006/relationships/hyperlink" Target="http://milena.patino-bbva.com/" TargetMode="External"/><Relationship Id="rId585" Type="http://schemas.openxmlformats.org/officeDocument/2006/relationships/hyperlink" Target="http://alcibiades.rodriguez-bbva.com/" TargetMode="External"/><Relationship Id="rId792" Type="http://schemas.openxmlformats.org/officeDocument/2006/relationships/hyperlink" Target="http://monica.zamudio-bbva.com/" TargetMode="External"/><Relationship Id="rId6" Type="http://schemas.openxmlformats.org/officeDocument/2006/relationships/hyperlink" Target="http://yesid.forero-bbva.com/" TargetMode="External"/><Relationship Id="rId238" Type="http://schemas.openxmlformats.org/officeDocument/2006/relationships/hyperlink" Target="http://pabloandres.villada-bbva.com/" TargetMode="External"/><Relationship Id="rId445" Type="http://schemas.openxmlformats.org/officeDocument/2006/relationships/hyperlink" Target="http://julio.avila2-bbva.com/" TargetMode="External"/><Relationship Id="rId652" Type="http://schemas.openxmlformats.org/officeDocument/2006/relationships/hyperlink" Target="http://william.vargas-bbva.com/" TargetMode="External"/><Relationship Id="rId1075" Type="http://schemas.openxmlformats.org/officeDocument/2006/relationships/hyperlink" Target="http://manuel.villamil-bbva.com/" TargetMode="External"/><Relationship Id="rId1282" Type="http://schemas.openxmlformats.org/officeDocument/2006/relationships/hyperlink" Target="http://erickson.soler-bbva.com/" TargetMode="External"/><Relationship Id="rId305" Type="http://schemas.openxmlformats.org/officeDocument/2006/relationships/hyperlink" Target="http://edgar.corzo-bbva.com/" TargetMode="External"/><Relationship Id="rId512" Type="http://schemas.openxmlformats.org/officeDocument/2006/relationships/hyperlink" Target="http://katherine.michaels-bbva.com/" TargetMode="External"/><Relationship Id="rId957" Type="http://schemas.openxmlformats.org/officeDocument/2006/relationships/hyperlink" Target="http://ivanjesus.esparragoza-bbva.com/" TargetMode="External"/><Relationship Id="rId1142" Type="http://schemas.openxmlformats.org/officeDocument/2006/relationships/hyperlink" Target="http://sandrajohanna.gonzalez-bbva.com/" TargetMode="External"/><Relationship Id="rId1587" Type="http://schemas.openxmlformats.org/officeDocument/2006/relationships/hyperlink" Target="http://maritza.guerrero-bbva.com/" TargetMode="External"/><Relationship Id="rId1794" Type="http://schemas.openxmlformats.org/officeDocument/2006/relationships/hyperlink" Target="http://ivan.martinez-bbva.com/" TargetMode="External"/><Relationship Id="rId86" Type="http://schemas.openxmlformats.org/officeDocument/2006/relationships/hyperlink" Target="http://alcibiades.rodriguez-bbva.com/" TargetMode="External"/><Relationship Id="rId817" Type="http://schemas.openxmlformats.org/officeDocument/2006/relationships/hyperlink" Target="http://cesar_gomez-bbva.com/" TargetMode="External"/><Relationship Id="rId1002" Type="http://schemas.openxmlformats.org/officeDocument/2006/relationships/hyperlink" Target="http://juan.orozco-bbva.com/" TargetMode="External"/><Relationship Id="rId1447" Type="http://schemas.openxmlformats.org/officeDocument/2006/relationships/hyperlink" Target="http://lady.cervera-bbva.com/" TargetMode="External"/><Relationship Id="rId1654" Type="http://schemas.openxmlformats.org/officeDocument/2006/relationships/hyperlink" Target="http://jhon.molina-bbva.com/" TargetMode="External"/><Relationship Id="rId1861" Type="http://schemas.openxmlformats.org/officeDocument/2006/relationships/hyperlink" Target="http://brayanalexander.salazar-bbva.com/" TargetMode="External"/><Relationship Id="rId1307" Type="http://schemas.openxmlformats.org/officeDocument/2006/relationships/hyperlink" Target="http://pabloalexand.ortiz-bbva.com/" TargetMode="External"/><Relationship Id="rId1514" Type="http://schemas.openxmlformats.org/officeDocument/2006/relationships/hyperlink" Target="http://hugoalberto.abreo-bbva.com/" TargetMode="External"/><Relationship Id="rId1721" Type="http://schemas.openxmlformats.org/officeDocument/2006/relationships/hyperlink" Target="http://ivanmauricio.perez-bbva.com/" TargetMode="External"/><Relationship Id="rId13" Type="http://schemas.openxmlformats.org/officeDocument/2006/relationships/hyperlink" Target="http://juansebastian.silva-bbva.com/" TargetMode="External"/><Relationship Id="rId1819" Type="http://schemas.openxmlformats.org/officeDocument/2006/relationships/hyperlink" Target="http://sebastian.martinez.jaramillo-bbva.com/" TargetMode="External"/><Relationship Id="rId162" Type="http://schemas.openxmlformats.org/officeDocument/2006/relationships/hyperlink" Target="http://angiez.cubides-bbva.com/" TargetMode="External"/><Relationship Id="rId467" Type="http://schemas.openxmlformats.org/officeDocument/2006/relationships/hyperlink" Target="http://jair.gomez-bbva.com/" TargetMode="External"/><Relationship Id="rId1097" Type="http://schemas.openxmlformats.org/officeDocument/2006/relationships/hyperlink" Target="http://sandrajohanna.gonzalez-bbva.com/" TargetMode="External"/><Relationship Id="rId674" Type="http://schemas.openxmlformats.org/officeDocument/2006/relationships/hyperlink" Target="http://manuela.murillo-bbva.com/" TargetMode="External"/><Relationship Id="rId881" Type="http://schemas.openxmlformats.org/officeDocument/2006/relationships/hyperlink" Target="http://monica.zamudio-bbva.com/" TargetMode="External"/><Relationship Id="rId979" Type="http://schemas.openxmlformats.org/officeDocument/2006/relationships/hyperlink" Target="http://edgar.silva-bbva.com/" TargetMode="External"/><Relationship Id="rId327" Type="http://schemas.openxmlformats.org/officeDocument/2006/relationships/hyperlink" Target="http://milena.patino-bbva.com/" TargetMode="External"/><Relationship Id="rId534" Type="http://schemas.openxmlformats.org/officeDocument/2006/relationships/hyperlink" Target="http://maritza.sarmiento-bbva.com/" TargetMode="External"/><Relationship Id="rId741" Type="http://schemas.openxmlformats.org/officeDocument/2006/relationships/hyperlink" Target="http://mairanela.ramirez.salazar-bbva.com/" TargetMode="External"/><Relationship Id="rId839" Type="http://schemas.openxmlformats.org/officeDocument/2006/relationships/hyperlink" Target="http://andres.carrandi-bbva.com/" TargetMode="External"/><Relationship Id="rId1164" Type="http://schemas.openxmlformats.org/officeDocument/2006/relationships/hyperlink" Target="http://alirio.bermudez-bbva.com/" TargetMode="External"/><Relationship Id="rId1371" Type="http://schemas.openxmlformats.org/officeDocument/2006/relationships/hyperlink" Target="http://eduardo.robayo-bbva.com/" TargetMode="External"/><Relationship Id="rId1469" Type="http://schemas.openxmlformats.org/officeDocument/2006/relationships/hyperlink" Target="http://hernanmauricio.lozada-bbva.com/" TargetMode="External"/><Relationship Id="rId601" Type="http://schemas.openxmlformats.org/officeDocument/2006/relationships/hyperlink" Target="http://wilson.torres-bbva.com/" TargetMode="External"/><Relationship Id="rId1024" Type="http://schemas.openxmlformats.org/officeDocument/2006/relationships/hyperlink" Target="http://marthapatric.cruz-bbva.com/" TargetMode="External"/><Relationship Id="rId1231" Type="http://schemas.openxmlformats.org/officeDocument/2006/relationships/hyperlink" Target="http://ivanmauricio.perez-bbva.com/" TargetMode="External"/><Relationship Id="rId1676" Type="http://schemas.openxmlformats.org/officeDocument/2006/relationships/hyperlink" Target="http://manuel.villamil-bbva.com/" TargetMode="External"/><Relationship Id="rId1883" Type="http://schemas.openxmlformats.org/officeDocument/2006/relationships/hyperlink" Target="http://nelsonandres.bohorquez-bbva.com/" TargetMode="External"/><Relationship Id="rId906" Type="http://schemas.openxmlformats.org/officeDocument/2006/relationships/hyperlink" Target="http://carlosandres.moque-bbva.com/" TargetMode="External"/><Relationship Id="rId1329" Type="http://schemas.openxmlformats.org/officeDocument/2006/relationships/hyperlink" Target="http://mariajuliana.rodriguez-bbva.com/" TargetMode="External"/><Relationship Id="rId1536" Type="http://schemas.openxmlformats.org/officeDocument/2006/relationships/hyperlink" Target="http://julio.avila2-bbva.com/" TargetMode="External"/><Relationship Id="rId1743" Type="http://schemas.openxmlformats.org/officeDocument/2006/relationships/hyperlink" Target="http://ivanjesus.esparragoza-bbva.com/" TargetMode="External"/><Relationship Id="rId35" Type="http://schemas.openxmlformats.org/officeDocument/2006/relationships/hyperlink" Target="http://diegofernando.uribe-bbva.com/" TargetMode="External"/><Relationship Id="rId1603" Type="http://schemas.openxmlformats.org/officeDocument/2006/relationships/hyperlink" Target="http://paulocesar.sastoque-bbva.com/" TargetMode="External"/><Relationship Id="rId1810" Type="http://schemas.openxmlformats.org/officeDocument/2006/relationships/hyperlink" Target="http://ivan_dario.ariza-bbva.com/" TargetMode="External"/><Relationship Id="rId184" Type="http://schemas.openxmlformats.org/officeDocument/2006/relationships/hyperlink" Target="http://yesid.forero-bbva.com/" TargetMode="External"/><Relationship Id="rId391" Type="http://schemas.openxmlformats.org/officeDocument/2006/relationships/hyperlink" Target="http://wilson.torres-bbva.com/" TargetMode="External"/><Relationship Id="rId1908" Type="http://schemas.openxmlformats.org/officeDocument/2006/relationships/hyperlink" Target="http://ivanmauricio.perez-bbva.com/" TargetMode="External"/><Relationship Id="rId251" Type="http://schemas.openxmlformats.org/officeDocument/2006/relationships/hyperlink" Target="http://alcibiades.rodriguez-bbva.com/" TargetMode="External"/><Relationship Id="rId489" Type="http://schemas.openxmlformats.org/officeDocument/2006/relationships/hyperlink" Target="http://rubendario.nunez-bbva.com/" TargetMode="External"/><Relationship Id="rId696" Type="http://schemas.openxmlformats.org/officeDocument/2006/relationships/hyperlink" Target="http://alcibiades.rodriguez-bbva.com/" TargetMode="External"/><Relationship Id="rId349" Type="http://schemas.openxmlformats.org/officeDocument/2006/relationships/hyperlink" Target="http://yeraldineandrea.sierra-bbva.com/" TargetMode="External"/><Relationship Id="rId556" Type="http://schemas.openxmlformats.org/officeDocument/2006/relationships/hyperlink" Target="http://julio.avila2-bbva.com/" TargetMode="External"/><Relationship Id="rId763" Type="http://schemas.openxmlformats.org/officeDocument/2006/relationships/hyperlink" Target="http://vickyalexandra.mora-bbva.com/" TargetMode="External"/><Relationship Id="rId1186" Type="http://schemas.openxmlformats.org/officeDocument/2006/relationships/hyperlink" Target="http://felipe.guzman-bbva.com/" TargetMode="External"/><Relationship Id="rId1393" Type="http://schemas.openxmlformats.org/officeDocument/2006/relationships/hyperlink" Target="http://rubendario.nunez-bbva.com/" TargetMode="External"/><Relationship Id="rId111" Type="http://schemas.openxmlformats.org/officeDocument/2006/relationships/hyperlink" Target="http://mariajuliana.rodriguez-bbva.com/" TargetMode="External"/><Relationship Id="rId209" Type="http://schemas.openxmlformats.org/officeDocument/2006/relationships/hyperlink" Target="http://monica.zamudio-bbva.com/" TargetMode="External"/><Relationship Id="rId416" Type="http://schemas.openxmlformats.org/officeDocument/2006/relationships/hyperlink" Target="http://john.ardila-bbva.com/" TargetMode="External"/><Relationship Id="rId970" Type="http://schemas.openxmlformats.org/officeDocument/2006/relationships/hyperlink" Target="http://carlos.combita-bbva.com/" TargetMode="External"/><Relationship Id="rId1046" Type="http://schemas.openxmlformats.org/officeDocument/2006/relationships/hyperlink" Target="http://fabio.camelo-bbva.com/" TargetMode="External"/><Relationship Id="rId1253" Type="http://schemas.openxmlformats.org/officeDocument/2006/relationships/hyperlink" Target="http://william.paez-bbva.com/" TargetMode="External"/><Relationship Id="rId1698" Type="http://schemas.openxmlformats.org/officeDocument/2006/relationships/hyperlink" Target="http://jordi.sole-bbva.com/" TargetMode="External"/><Relationship Id="rId623" Type="http://schemas.openxmlformats.org/officeDocument/2006/relationships/hyperlink" Target="http://ivan.martinez-bbva.com/" TargetMode="External"/><Relationship Id="rId830" Type="http://schemas.openxmlformats.org/officeDocument/2006/relationships/hyperlink" Target="http://juan.orozco-bbva.com/" TargetMode="External"/><Relationship Id="rId928" Type="http://schemas.openxmlformats.org/officeDocument/2006/relationships/hyperlink" Target="http://elizabeth.diaz-bbva.com/" TargetMode="External"/><Relationship Id="rId1460" Type="http://schemas.openxmlformats.org/officeDocument/2006/relationships/hyperlink" Target="http://alfredojose.pertuz-bbva.com/" TargetMode="External"/><Relationship Id="rId1558" Type="http://schemas.openxmlformats.org/officeDocument/2006/relationships/hyperlink" Target="http://henryr.rodriguez-bbva.com/" TargetMode="External"/><Relationship Id="rId1765" Type="http://schemas.openxmlformats.org/officeDocument/2006/relationships/hyperlink" Target="http://alfredojose.pertuz-bbva.com/" TargetMode="External"/><Relationship Id="rId57" Type="http://schemas.openxmlformats.org/officeDocument/2006/relationships/hyperlink" Target="http://josenicolas.gomez-bbva.com/" TargetMode="External"/><Relationship Id="rId1113" Type="http://schemas.openxmlformats.org/officeDocument/2006/relationships/hyperlink" Target="http://monicaandrea.abogado-bbva.com/" TargetMode="External"/><Relationship Id="rId1320" Type="http://schemas.openxmlformats.org/officeDocument/2006/relationships/hyperlink" Target="http://omairapaola.santiesteban-bbva.com/" TargetMode="External"/><Relationship Id="rId1418" Type="http://schemas.openxmlformats.org/officeDocument/2006/relationships/hyperlink" Target="http://jordi.sole-bbva.com/" TargetMode="External"/><Relationship Id="rId1625" Type="http://schemas.openxmlformats.org/officeDocument/2006/relationships/hyperlink" Target="http://jordi.sole-bbva.com/" TargetMode="External"/><Relationship Id="rId1832" Type="http://schemas.openxmlformats.org/officeDocument/2006/relationships/hyperlink" Target="http://andres.carrandi-bbva.com/" TargetMode="External"/><Relationship Id="rId273" Type="http://schemas.openxmlformats.org/officeDocument/2006/relationships/hyperlink" Target="http://juhan.lozano-bbva.com/" TargetMode="External"/><Relationship Id="rId480" Type="http://schemas.openxmlformats.org/officeDocument/2006/relationships/hyperlink" Target="http://josealejandro.duenas-bbva.com/" TargetMode="External"/><Relationship Id="rId133" Type="http://schemas.openxmlformats.org/officeDocument/2006/relationships/hyperlink" Target="http://manuel.villamil-bbva.com/" TargetMode="External"/><Relationship Id="rId340" Type="http://schemas.openxmlformats.org/officeDocument/2006/relationships/hyperlink" Target="http://dianapaola.angel-bbva.com/" TargetMode="External"/><Relationship Id="rId578" Type="http://schemas.openxmlformats.org/officeDocument/2006/relationships/hyperlink" Target="http://ader.anaya-bbva.com/" TargetMode="External"/><Relationship Id="rId785" Type="http://schemas.openxmlformats.org/officeDocument/2006/relationships/hyperlink" Target="http://manuel.villamil-bbva.com/" TargetMode="External"/><Relationship Id="rId992" Type="http://schemas.openxmlformats.org/officeDocument/2006/relationships/hyperlink" Target="http://elkinmauricio.lopez-bbva.com/" TargetMode="External"/><Relationship Id="rId200" Type="http://schemas.openxmlformats.org/officeDocument/2006/relationships/hyperlink" Target="http://monica.zamudio-bbva.com/" TargetMode="External"/><Relationship Id="rId438" Type="http://schemas.openxmlformats.org/officeDocument/2006/relationships/hyperlink" Target="http://piedad.corzo-bbva.com/" TargetMode="External"/><Relationship Id="rId645" Type="http://schemas.openxmlformats.org/officeDocument/2006/relationships/hyperlink" Target="http://ana.naiza-bbva.com/" TargetMode="External"/><Relationship Id="rId852" Type="http://schemas.openxmlformats.org/officeDocument/2006/relationships/hyperlink" Target="http://marthapatric.cruz-bbva.com/" TargetMode="External"/><Relationship Id="rId1068" Type="http://schemas.openxmlformats.org/officeDocument/2006/relationships/hyperlink" Target="http://jorge.blanco-bbva.com/" TargetMode="External"/><Relationship Id="rId1275" Type="http://schemas.openxmlformats.org/officeDocument/2006/relationships/hyperlink" Target="http://paolaandrea.gil-bbva.com/" TargetMode="External"/><Relationship Id="rId1482" Type="http://schemas.openxmlformats.org/officeDocument/2006/relationships/hyperlink" Target="http://jordi.sole-bbva.com/" TargetMode="External"/><Relationship Id="rId505" Type="http://schemas.openxmlformats.org/officeDocument/2006/relationships/hyperlink" Target="http://mariajuliana.rodriguez-bbva.com/" TargetMode="External"/><Relationship Id="rId712" Type="http://schemas.openxmlformats.org/officeDocument/2006/relationships/hyperlink" Target="http://juanpablo.herrera.gutierrez-bbva.com/" TargetMode="External"/><Relationship Id="rId1135" Type="http://schemas.openxmlformats.org/officeDocument/2006/relationships/hyperlink" Target="http://david.robayo-bbva.com/" TargetMode="External"/><Relationship Id="rId1342" Type="http://schemas.openxmlformats.org/officeDocument/2006/relationships/hyperlink" Target="http://katherine.michaels-bbva.com/" TargetMode="External"/><Relationship Id="rId1787" Type="http://schemas.openxmlformats.org/officeDocument/2006/relationships/hyperlink" Target="http://camila.nino-bbva.com/" TargetMode="External"/><Relationship Id="rId79" Type="http://schemas.openxmlformats.org/officeDocument/2006/relationships/hyperlink" Target="http://mariluz.ardila-bbva.com/" TargetMode="External"/><Relationship Id="rId1202" Type="http://schemas.openxmlformats.org/officeDocument/2006/relationships/hyperlink" Target="http://juana.vergara-bbva.com/" TargetMode="External"/><Relationship Id="rId1647" Type="http://schemas.openxmlformats.org/officeDocument/2006/relationships/hyperlink" Target="http://carlosandres.moque-bbva.com/" TargetMode="External"/><Relationship Id="rId1854" Type="http://schemas.openxmlformats.org/officeDocument/2006/relationships/hyperlink" Target="http://alfredojose.pertuz-bbva.com/" TargetMode="External"/><Relationship Id="rId1507" Type="http://schemas.openxmlformats.org/officeDocument/2006/relationships/hyperlink" Target="http://edwin.vargas-bbva.com/" TargetMode="External"/><Relationship Id="rId1714" Type="http://schemas.openxmlformats.org/officeDocument/2006/relationships/hyperlink" Target="http://pabloalexand.ortiz-bbva.com/" TargetMode="External"/><Relationship Id="rId295" Type="http://schemas.openxmlformats.org/officeDocument/2006/relationships/hyperlink" Target="http://lizethalejandra.caseres-bbva.com/" TargetMode="External"/><Relationship Id="rId1921" Type="http://schemas.openxmlformats.org/officeDocument/2006/relationships/hyperlink" Target="http://andres.carrandi-bbva.com/" TargetMode="External"/><Relationship Id="rId155" Type="http://schemas.openxmlformats.org/officeDocument/2006/relationships/hyperlink" Target="http://marioalberto.sanchez-bbva.com/" TargetMode="External"/><Relationship Id="rId362" Type="http://schemas.openxmlformats.org/officeDocument/2006/relationships/hyperlink" Target="http://alcibiades.rodriguez-bbva.com/" TargetMode="External"/><Relationship Id="rId1297" Type="http://schemas.openxmlformats.org/officeDocument/2006/relationships/hyperlink" Target="http://pabloandres.villada-bbva.com/" TargetMode="External"/><Relationship Id="rId222" Type="http://schemas.openxmlformats.org/officeDocument/2006/relationships/hyperlink" Target="http://diegofernand.castro-bbva.com/" TargetMode="External"/><Relationship Id="rId667" Type="http://schemas.openxmlformats.org/officeDocument/2006/relationships/hyperlink" Target="http://miguelangel.castellanos-bbva.com/" TargetMode="External"/><Relationship Id="rId874" Type="http://schemas.openxmlformats.org/officeDocument/2006/relationships/hyperlink" Target="http://joseagustin.rodriguez.contractor-bbva.com/" TargetMode="External"/><Relationship Id="rId527" Type="http://schemas.openxmlformats.org/officeDocument/2006/relationships/hyperlink" Target="http://josealejandro.duenas-bbva.com/" TargetMode="External"/><Relationship Id="rId734" Type="http://schemas.openxmlformats.org/officeDocument/2006/relationships/hyperlink" Target="http://luisafernanda.pereira-bbva.com/" TargetMode="External"/><Relationship Id="rId941" Type="http://schemas.openxmlformats.org/officeDocument/2006/relationships/hyperlink" Target="http://vickyalexandra.mora-bbva.com/" TargetMode="External"/><Relationship Id="rId1157" Type="http://schemas.openxmlformats.org/officeDocument/2006/relationships/hyperlink" Target="http://john.ardila-bbva.com/" TargetMode="External"/><Relationship Id="rId1364" Type="http://schemas.openxmlformats.org/officeDocument/2006/relationships/hyperlink" Target="http://jimmyalejandro.bonilla-bbva.com/" TargetMode="External"/><Relationship Id="rId1571" Type="http://schemas.openxmlformats.org/officeDocument/2006/relationships/hyperlink" Target="http://yurimilena.moreno-bbva.com/" TargetMode="External"/><Relationship Id="rId70" Type="http://schemas.openxmlformats.org/officeDocument/2006/relationships/hyperlink" Target="http://carlosalbert.perez-bbva.com/" TargetMode="External"/><Relationship Id="rId801" Type="http://schemas.openxmlformats.org/officeDocument/2006/relationships/hyperlink" Target="http://paolaandrea.gil-bbva.com/" TargetMode="External"/><Relationship Id="rId1017" Type="http://schemas.openxmlformats.org/officeDocument/2006/relationships/hyperlink" Target="http://ivan_dario.ariza-bbva.com/" TargetMode="External"/><Relationship Id="rId1224" Type="http://schemas.openxmlformats.org/officeDocument/2006/relationships/hyperlink" Target="http://jorge.blanco-bbva.com/" TargetMode="External"/><Relationship Id="rId1431" Type="http://schemas.openxmlformats.org/officeDocument/2006/relationships/hyperlink" Target="http://jordi.sole-bbva.com/" TargetMode="External"/><Relationship Id="rId1669" Type="http://schemas.openxmlformats.org/officeDocument/2006/relationships/hyperlink" Target="http://andres.carrandi-bbva.com/" TargetMode="External"/><Relationship Id="rId1876" Type="http://schemas.openxmlformats.org/officeDocument/2006/relationships/hyperlink" Target="http://ivan_dario.ariza-bbva.com/" TargetMode="External"/><Relationship Id="rId1529" Type="http://schemas.openxmlformats.org/officeDocument/2006/relationships/hyperlink" Target="http://john.ardila-bbva.com/" TargetMode="External"/><Relationship Id="rId1736" Type="http://schemas.openxmlformats.org/officeDocument/2006/relationships/hyperlink" Target="http://diana.barrantes-bbva.com/" TargetMode="External"/><Relationship Id="rId28" Type="http://schemas.openxmlformats.org/officeDocument/2006/relationships/hyperlink" Target="http://jose.garcia.usma-bbva.com/" TargetMode="External"/><Relationship Id="rId1803" Type="http://schemas.openxmlformats.org/officeDocument/2006/relationships/hyperlink" Target="http://edwin.vargas-bbva.com/" TargetMode="External"/><Relationship Id="rId177" Type="http://schemas.openxmlformats.org/officeDocument/2006/relationships/hyperlink" Target="http://martha.reyes-bbva.com/" TargetMode="External"/><Relationship Id="rId384" Type="http://schemas.openxmlformats.org/officeDocument/2006/relationships/hyperlink" Target="http://liliana.velandia-bbva.com/" TargetMode="External"/><Relationship Id="rId591" Type="http://schemas.openxmlformats.org/officeDocument/2006/relationships/hyperlink" Target="http://carlos.rivera-bbva.com/" TargetMode="External"/><Relationship Id="rId244" Type="http://schemas.openxmlformats.org/officeDocument/2006/relationships/hyperlink" Target="http://alcibiades.rodriguez-bbva.com/" TargetMode="External"/><Relationship Id="rId689" Type="http://schemas.openxmlformats.org/officeDocument/2006/relationships/hyperlink" Target="http://cesaraugusto.soto-bbva.com/" TargetMode="External"/><Relationship Id="rId896" Type="http://schemas.openxmlformats.org/officeDocument/2006/relationships/hyperlink" Target="http://paolaandrea.hermosa-bbva.com/" TargetMode="External"/><Relationship Id="rId1081" Type="http://schemas.openxmlformats.org/officeDocument/2006/relationships/hyperlink" Target="http://pedro.moreno-bbva.com/" TargetMode="External"/><Relationship Id="rId451" Type="http://schemas.openxmlformats.org/officeDocument/2006/relationships/hyperlink" Target="http://milena.patino-bbva.com/" TargetMode="External"/><Relationship Id="rId549" Type="http://schemas.openxmlformats.org/officeDocument/2006/relationships/hyperlink" Target="http://erickson.soler-bbva.com/" TargetMode="External"/><Relationship Id="rId756" Type="http://schemas.openxmlformats.org/officeDocument/2006/relationships/hyperlink" Target="http://josealejandro.duenas-bbva.com/" TargetMode="External"/><Relationship Id="rId1179" Type="http://schemas.openxmlformats.org/officeDocument/2006/relationships/hyperlink" Target="http://yurimilena.moreno-bbva.com/" TargetMode="External"/><Relationship Id="rId1386" Type="http://schemas.openxmlformats.org/officeDocument/2006/relationships/hyperlink" Target="http://rubendario.nunez-bbva.com/" TargetMode="External"/><Relationship Id="rId1593" Type="http://schemas.openxmlformats.org/officeDocument/2006/relationships/hyperlink" Target="http://paulocesar.sastoque-bbva.com/" TargetMode="External"/><Relationship Id="rId104" Type="http://schemas.openxmlformats.org/officeDocument/2006/relationships/hyperlink" Target="http://manuelignacio.trujillo-bbva.com/" TargetMode="External"/><Relationship Id="rId311" Type="http://schemas.openxmlformats.org/officeDocument/2006/relationships/hyperlink" Target="http://hernan.riveros-bbva.com/" TargetMode="External"/><Relationship Id="rId409" Type="http://schemas.openxmlformats.org/officeDocument/2006/relationships/hyperlink" Target="http://alvaro.rodriguez-bbva.com/" TargetMode="External"/><Relationship Id="rId963" Type="http://schemas.openxmlformats.org/officeDocument/2006/relationships/hyperlink" Target="http://edwin.vargas-bbva.com/" TargetMode="External"/><Relationship Id="rId1039" Type="http://schemas.openxmlformats.org/officeDocument/2006/relationships/hyperlink" Target="http://pedro.moreno-bbva.com/" TargetMode="External"/><Relationship Id="rId1246" Type="http://schemas.openxmlformats.org/officeDocument/2006/relationships/hyperlink" Target="http://manuel.villamil-bbva.com/" TargetMode="External"/><Relationship Id="rId1898" Type="http://schemas.openxmlformats.org/officeDocument/2006/relationships/hyperlink" Target="http://andreacarolina.camacho-bbva.com/" TargetMode="External"/><Relationship Id="rId92" Type="http://schemas.openxmlformats.org/officeDocument/2006/relationships/hyperlink" Target="http://camilo.aguirre-bbva.com/" TargetMode="External"/><Relationship Id="rId616" Type="http://schemas.openxmlformats.org/officeDocument/2006/relationships/hyperlink" Target="http://jhonathan.gaona-bbva.com/" TargetMode="External"/><Relationship Id="rId823" Type="http://schemas.openxmlformats.org/officeDocument/2006/relationships/hyperlink" Target="http://juan.orozco-bbva.com/" TargetMode="External"/><Relationship Id="rId1453" Type="http://schemas.openxmlformats.org/officeDocument/2006/relationships/hyperlink" Target="http://sebastian.valencia.ramirez.contractor-bbva.com/" TargetMode="External"/><Relationship Id="rId1660" Type="http://schemas.openxmlformats.org/officeDocument/2006/relationships/hyperlink" Target="http://samuel.ortiz-bbva.com/" TargetMode="External"/><Relationship Id="rId1758" Type="http://schemas.openxmlformats.org/officeDocument/2006/relationships/hyperlink" Target="http://andres.carrandi-bbva.com/" TargetMode="External"/><Relationship Id="rId1106" Type="http://schemas.openxmlformats.org/officeDocument/2006/relationships/hyperlink" Target="http://nathaliamaria.torres-bbva.com/" TargetMode="External"/><Relationship Id="rId1313" Type="http://schemas.openxmlformats.org/officeDocument/2006/relationships/hyperlink" Target="http://july.miranda-bbva.com/" TargetMode="External"/><Relationship Id="rId1520" Type="http://schemas.openxmlformats.org/officeDocument/2006/relationships/hyperlink" Target="http://andrea.rengifo-bbva.com/" TargetMode="External"/><Relationship Id="rId1618" Type="http://schemas.openxmlformats.org/officeDocument/2006/relationships/hyperlink" Target="http://pablodaniel.santos-bbva.com/" TargetMode="External"/><Relationship Id="rId1825" Type="http://schemas.openxmlformats.org/officeDocument/2006/relationships/hyperlink" Target="http://maritza.guerrero-bbva.com/" TargetMode="External"/><Relationship Id="rId199" Type="http://schemas.openxmlformats.org/officeDocument/2006/relationships/hyperlink" Target="http://leonardodavid.valencia-bbva.com/" TargetMode="External"/><Relationship Id="rId266" Type="http://schemas.openxmlformats.org/officeDocument/2006/relationships/hyperlink" Target="http://ivanmauricio.perez-bbva.com/" TargetMode="External"/><Relationship Id="rId473" Type="http://schemas.openxmlformats.org/officeDocument/2006/relationships/hyperlink" Target="http://henryr.rodriguez-bbva.com/" TargetMode="External"/><Relationship Id="rId680" Type="http://schemas.openxmlformats.org/officeDocument/2006/relationships/hyperlink" Target="http://ricardo.suarez-bbva.com/" TargetMode="External"/><Relationship Id="rId126" Type="http://schemas.openxmlformats.org/officeDocument/2006/relationships/hyperlink" Target="http://nelson.ruiz-bbva.com/" TargetMode="External"/><Relationship Id="rId333" Type="http://schemas.openxmlformats.org/officeDocument/2006/relationships/hyperlink" Target="http://david.iscar-bbva.com/" TargetMode="External"/><Relationship Id="rId540" Type="http://schemas.openxmlformats.org/officeDocument/2006/relationships/hyperlink" Target="http://dianaesperanza.pareja-bbva.com/" TargetMode="External"/><Relationship Id="rId778" Type="http://schemas.openxmlformats.org/officeDocument/2006/relationships/hyperlink" Target="http://marthapatric.cruz-bbva.com/" TargetMode="External"/><Relationship Id="rId985" Type="http://schemas.openxmlformats.org/officeDocument/2006/relationships/hyperlink" Target="http://natalializeth.guio-bbva.com/" TargetMode="External"/><Relationship Id="rId1170" Type="http://schemas.openxmlformats.org/officeDocument/2006/relationships/hyperlink" Target="http://sandrajohanna.gonzalez-bbva.com/" TargetMode="External"/><Relationship Id="rId638" Type="http://schemas.openxmlformats.org/officeDocument/2006/relationships/hyperlink" Target="http://sandrajohanna.gonzalez-bbva.com/" TargetMode="External"/><Relationship Id="rId845" Type="http://schemas.openxmlformats.org/officeDocument/2006/relationships/hyperlink" Target="http://carlosgabriel.garcia-bbva.com/" TargetMode="External"/><Relationship Id="rId1030" Type="http://schemas.openxmlformats.org/officeDocument/2006/relationships/hyperlink" Target="http://leonardo.jimenez-bbva.com/" TargetMode="External"/><Relationship Id="rId1268" Type="http://schemas.openxmlformats.org/officeDocument/2006/relationships/hyperlink" Target="http://angie.castaneda-bbva.com/" TargetMode="External"/><Relationship Id="rId1475" Type="http://schemas.openxmlformats.org/officeDocument/2006/relationships/hyperlink" Target="http://hernanmauricio.lozada-bbva.com/" TargetMode="External"/><Relationship Id="rId1682" Type="http://schemas.openxmlformats.org/officeDocument/2006/relationships/hyperlink" Target="http://alexandra.vargas-bbva.com/" TargetMode="External"/><Relationship Id="rId400" Type="http://schemas.openxmlformats.org/officeDocument/2006/relationships/hyperlink" Target="http://cesaraugusto.soto-bbva.com/" TargetMode="External"/><Relationship Id="rId705" Type="http://schemas.openxmlformats.org/officeDocument/2006/relationships/hyperlink" Target="http://camilo.aguirre-bbva.com/" TargetMode="External"/><Relationship Id="rId1128" Type="http://schemas.openxmlformats.org/officeDocument/2006/relationships/hyperlink" Target="http://ivethkatherine.malambo-bbva.com/" TargetMode="External"/><Relationship Id="rId1335" Type="http://schemas.openxmlformats.org/officeDocument/2006/relationships/hyperlink" Target="http://dianacarolina.gonzalez.castri-bbva.com/" TargetMode="External"/><Relationship Id="rId1542" Type="http://schemas.openxmlformats.org/officeDocument/2006/relationships/hyperlink" Target="http://andresfelipe.granados-bbva.com/" TargetMode="External"/><Relationship Id="rId912" Type="http://schemas.openxmlformats.org/officeDocument/2006/relationships/hyperlink" Target="http://daniel.ferreira-bbva.com/" TargetMode="External"/><Relationship Id="rId1847" Type="http://schemas.openxmlformats.org/officeDocument/2006/relationships/hyperlink" Target="http://william.vargas-bbva.com/" TargetMode="External"/><Relationship Id="rId41" Type="http://schemas.openxmlformats.org/officeDocument/2006/relationships/hyperlink" Target="http://jorge.parra-bbva.com/" TargetMode="External"/><Relationship Id="rId1402" Type="http://schemas.openxmlformats.org/officeDocument/2006/relationships/hyperlink" Target="http://mario.loaiza-bbva.com/" TargetMode="External"/><Relationship Id="rId1707" Type="http://schemas.openxmlformats.org/officeDocument/2006/relationships/hyperlink" Target="http://gloria.hernandez-bbva.com/" TargetMode="External"/><Relationship Id="rId190" Type="http://schemas.openxmlformats.org/officeDocument/2006/relationships/hyperlink" Target="http://rafael.lopesierra-bbva.com/" TargetMode="External"/><Relationship Id="rId288" Type="http://schemas.openxmlformats.org/officeDocument/2006/relationships/hyperlink" Target="http://monica.zamudio-bbva.com/" TargetMode="External"/><Relationship Id="rId1914" Type="http://schemas.openxmlformats.org/officeDocument/2006/relationships/hyperlink" Target="http://miguel.poloche-bbva.com/" TargetMode="External"/><Relationship Id="rId495" Type="http://schemas.openxmlformats.org/officeDocument/2006/relationships/hyperlink" Target="http://julio.avila2-bbva.com/" TargetMode="External"/><Relationship Id="rId148" Type="http://schemas.openxmlformats.org/officeDocument/2006/relationships/hyperlink" Target="http://jorge.morales.ayala-bbva.com/" TargetMode="External"/><Relationship Id="rId355" Type="http://schemas.openxmlformats.org/officeDocument/2006/relationships/hyperlink" Target="http://hernanmauricio.lozada-bbva.com/" TargetMode="External"/><Relationship Id="rId562" Type="http://schemas.openxmlformats.org/officeDocument/2006/relationships/hyperlink" Target="http://david.juvinao-bbva.com/" TargetMode="External"/><Relationship Id="rId1192" Type="http://schemas.openxmlformats.org/officeDocument/2006/relationships/hyperlink" Target="http://paolaandrea.guzman-bbva.com/" TargetMode="External"/><Relationship Id="rId215" Type="http://schemas.openxmlformats.org/officeDocument/2006/relationships/hyperlink" Target="http://sandrajohanna.gonzalez-bbva.com/" TargetMode="External"/><Relationship Id="rId422" Type="http://schemas.openxmlformats.org/officeDocument/2006/relationships/hyperlink" Target="http://ronal.saavedra-bbva.com/" TargetMode="External"/><Relationship Id="rId867" Type="http://schemas.openxmlformats.org/officeDocument/2006/relationships/hyperlink" Target="http://mariofelipe.caro-bbva.com/" TargetMode="External"/><Relationship Id="rId1052" Type="http://schemas.openxmlformats.org/officeDocument/2006/relationships/hyperlink" Target="http://jorgeeduardo.gomez.forero-bbva.com/" TargetMode="External"/><Relationship Id="rId1497" Type="http://schemas.openxmlformats.org/officeDocument/2006/relationships/hyperlink" Target="http://nelson.ramirez-bbva.com/" TargetMode="External"/><Relationship Id="rId727" Type="http://schemas.openxmlformats.org/officeDocument/2006/relationships/hyperlink" Target="http://elizabeth.diaz-bbva.com/" TargetMode="External"/><Relationship Id="rId934" Type="http://schemas.openxmlformats.org/officeDocument/2006/relationships/hyperlink" Target="http://josealejandro.duenas-bbva.com/" TargetMode="External"/><Relationship Id="rId1357" Type="http://schemas.openxmlformats.org/officeDocument/2006/relationships/hyperlink" Target="http://alcibiades.rodriguez-bbva.com/" TargetMode="External"/><Relationship Id="rId1564" Type="http://schemas.openxmlformats.org/officeDocument/2006/relationships/hyperlink" Target="http://deisyjohana.medina-bbva.com/" TargetMode="External"/><Relationship Id="rId1771" Type="http://schemas.openxmlformats.org/officeDocument/2006/relationships/hyperlink" Target="http://edwinfrancisco.romero-bbva.com/" TargetMode="External"/><Relationship Id="rId63" Type="http://schemas.openxmlformats.org/officeDocument/2006/relationships/hyperlink" Target="http://diego.sinisterra-bbva.com/" TargetMode="External"/><Relationship Id="rId1217" Type="http://schemas.openxmlformats.org/officeDocument/2006/relationships/hyperlink" Target="http://juan.orozco-bbva.com/" TargetMode="External"/><Relationship Id="rId1424" Type="http://schemas.openxmlformats.org/officeDocument/2006/relationships/hyperlink" Target="http://ana.naiza-bbva.com/" TargetMode="External"/><Relationship Id="rId1631" Type="http://schemas.openxmlformats.org/officeDocument/2006/relationships/hyperlink" Target="http://andres.gordon-bbva.com/" TargetMode="External"/><Relationship Id="rId1869" Type="http://schemas.openxmlformats.org/officeDocument/2006/relationships/hyperlink" Target="http://cristhian.lancheros-bbva.com/" TargetMode="External"/><Relationship Id="rId1729" Type="http://schemas.openxmlformats.org/officeDocument/2006/relationships/hyperlink" Target="http://ximena.barrera-bbva.com/" TargetMode="External"/><Relationship Id="rId377" Type="http://schemas.openxmlformats.org/officeDocument/2006/relationships/hyperlink" Target="http://manuel.villamil-bbva.com/" TargetMode="External"/><Relationship Id="rId584" Type="http://schemas.openxmlformats.org/officeDocument/2006/relationships/hyperlink" Target="http://martha.reyes-bbva.com/" TargetMode="External"/><Relationship Id="rId5" Type="http://schemas.openxmlformats.org/officeDocument/2006/relationships/hyperlink" Target="http://ivethkatherine.malambo-bbva.com/" TargetMode="External"/><Relationship Id="rId237" Type="http://schemas.openxmlformats.org/officeDocument/2006/relationships/hyperlink" Target="http://pabloandres.villada-bbva.com/" TargetMode="External"/><Relationship Id="rId791" Type="http://schemas.openxmlformats.org/officeDocument/2006/relationships/hyperlink" Target="http://katherine.duque-bbva.com/" TargetMode="External"/><Relationship Id="rId889" Type="http://schemas.openxmlformats.org/officeDocument/2006/relationships/hyperlink" Target="http://ivanjesus.esparragoza-bbva.com/" TargetMode="External"/><Relationship Id="rId1074" Type="http://schemas.openxmlformats.org/officeDocument/2006/relationships/hyperlink" Target="http://marthapatric.cruz-bbva.com/" TargetMode="External"/><Relationship Id="rId444" Type="http://schemas.openxmlformats.org/officeDocument/2006/relationships/hyperlink" Target="http://francisco.fgil-bbva.com/" TargetMode="External"/><Relationship Id="rId651" Type="http://schemas.openxmlformats.org/officeDocument/2006/relationships/hyperlink" Target="http://leidyjohanna.zambrano-bbva.com/" TargetMode="External"/><Relationship Id="rId749" Type="http://schemas.openxmlformats.org/officeDocument/2006/relationships/hyperlink" Target="http://jennymaria.urdaneta-bbva.com/" TargetMode="External"/><Relationship Id="rId1281" Type="http://schemas.openxmlformats.org/officeDocument/2006/relationships/hyperlink" Target="http://vivianamarcela.rueda-bbva.com/" TargetMode="External"/><Relationship Id="rId1379" Type="http://schemas.openxmlformats.org/officeDocument/2006/relationships/hyperlink" Target="http://patricia.romero-bbva.com/" TargetMode="External"/><Relationship Id="rId1586" Type="http://schemas.openxmlformats.org/officeDocument/2006/relationships/hyperlink" Target="http://olga.lara-bbva.com/" TargetMode="External"/><Relationship Id="rId304" Type="http://schemas.openxmlformats.org/officeDocument/2006/relationships/hyperlink" Target="http://jennymaria.urdaneta-bbva.com/" TargetMode="External"/><Relationship Id="rId511" Type="http://schemas.openxmlformats.org/officeDocument/2006/relationships/hyperlink" Target="http://mariajuliana.rodriguez-bbva.com/" TargetMode="External"/><Relationship Id="rId609" Type="http://schemas.openxmlformats.org/officeDocument/2006/relationships/hyperlink" Target="http://sandrajohanna.gonzalez-bbva.com/" TargetMode="External"/><Relationship Id="rId956" Type="http://schemas.openxmlformats.org/officeDocument/2006/relationships/hyperlink" Target="http://diegofernando.uribe-bbva.com/" TargetMode="External"/><Relationship Id="rId1141" Type="http://schemas.openxmlformats.org/officeDocument/2006/relationships/hyperlink" Target="http://manuel.villamil-bbva.com/" TargetMode="External"/><Relationship Id="rId1239" Type="http://schemas.openxmlformats.org/officeDocument/2006/relationships/hyperlink" Target="http://miguelangel.chavarro-bbva.com/" TargetMode="External"/><Relationship Id="rId1793" Type="http://schemas.openxmlformats.org/officeDocument/2006/relationships/hyperlink" Target="http://sebastian.valencia.ramirez.contractor-bbva.com/" TargetMode="External"/><Relationship Id="rId85" Type="http://schemas.openxmlformats.org/officeDocument/2006/relationships/hyperlink" Target="http://wilson.torres-bbva.com/" TargetMode="External"/><Relationship Id="rId816" Type="http://schemas.openxmlformats.org/officeDocument/2006/relationships/hyperlink" Target="http://david.robayo-bbva.com/" TargetMode="External"/><Relationship Id="rId1001" Type="http://schemas.openxmlformats.org/officeDocument/2006/relationships/hyperlink" Target="http://celso.hernandez-bbva.com/" TargetMode="External"/><Relationship Id="rId1446" Type="http://schemas.openxmlformats.org/officeDocument/2006/relationships/hyperlink" Target="http://juancarlosdavid.barbosa-bbva.com/" TargetMode="External"/><Relationship Id="rId1653" Type="http://schemas.openxmlformats.org/officeDocument/2006/relationships/hyperlink" Target="http://sebastian.martinez.jaramillo-bbva.com/" TargetMode="External"/><Relationship Id="rId1860" Type="http://schemas.openxmlformats.org/officeDocument/2006/relationships/hyperlink" Target="http://juandavid.quintero-bbva.com/" TargetMode="External"/><Relationship Id="rId1306" Type="http://schemas.openxmlformats.org/officeDocument/2006/relationships/hyperlink" Target="http://william.vargas-bbva.com/" TargetMode="External"/><Relationship Id="rId1513" Type="http://schemas.openxmlformats.org/officeDocument/2006/relationships/hyperlink" Target="http://hernanmauricio.lozada-bbva.com/" TargetMode="External"/><Relationship Id="rId1720" Type="http://schemas.openxmlformats.org/officeDocument/2006/relationships/hyperlink" Target="http://sirlleny.vasquez-bbva.com/" TargetMode="External"/><Relationship Id="rId12" Type="http://schemas.openxmlformats.org/officeDocument/2006/relationships/hyperlink" Target="http://ingrid.cortes-bbva.com/" TargetMode="External"/><Relationship Id="rId1818" Type="http://schemas.openxmlformats.org/officeDocument/2006/relationships/hyperlink" Target="http://judy.bernal-bbva.com/" TargetMode="External"/><Relationship Id="rId161" Type="http://schemas.openxmlformats.org/officeDocument/2006/relationships/hyperlink" Target="http://ivan_dario.ariza-bbva.com/" TargetMode="External"/><Relationship Id="rId399" Type="http://schemas.openxmlformats.org/officeDocument/2006/relationships/hyperlink" Target="http://cesaraugusto.soto-bbva.com/" TargetMode="External"/><Relationship Id="rId259" Type="http://schemas.openxmlformats.org/officeDocument/2006/relationships/hyperlink" Target="http://ivethkatherine.malambo-bbva.com/" TargetMode="External"/><Relationship Id="rId466" Type="http://schemas.openxmlformats.org/officeDocument/2006/relationships/hyperlink" Target="http://jair.gomez-bbva.com/" TargetMode="External"/><Relationship Id="rId673" Type="http://schemas.openxmlformats.org/officeDocument/2006/relationships/hyperlink" Target="http://raquel.llerena-bbva.com/" TargetMode="External"/><Relationship Id="rId880" Type="http://schemas.openxmlformats.org/officeDocument/2006/relationships/hyperlink" Target="http://ivanjesus.esparragoza-bbva.com/" TargetMode="External"/><Relationship Id="rId1096" Type="http://schemas.openxmlformats.org/officeDocument/2006/relationships/hyperlink" Target="http://miguel.poloche-bbva.com/" TargetMode="External"/><Relationship Id="rId119" Type="http://schemas.openxmlformats.org/officeDocument/2006/relationships/hyperlink" Target="http://monica.zamudio-bbva.com/" TargetMode="External"/><Relationship Id="rId326" Type="http://schemas.openxmlformats.org/officeDocument/2006/relationships/hyperlink" Target="http://katherine.michaels-bbva.com/" TargetMode="External"/><Relationship Id="rId533" Type="http://schemas.openxmlformats.org/officeDocument/2006/relationships/hyperlink" Target="http://carlosmauricio.torres-bbva.com/" TargetMode="External"/><Relationship Id="rId978" Type="http://schemas.openxmlformats.org/officeDocument/2006/relationships/hyperlink" Target="http://sebastian.martinez.jaramillo-bbva.com/" TargetMode="External"/><Relationship Id="rId1163" Type="http://schemas.openxmlformats.org/officeDocument/2006/relationships/hyperlink" Target="http://manuel.villamil-bbva.com/" TargetMode="External"/><Relationship Id="rId1370" Type="http://schemas.openxmlformats.org/officeDocument/2006/relationships/hyperlink" Target="http://rubendario.nunez-bbva.com/" TargetMode="External"/><Relationship Id="rId740" Type="http://schemas.openxmlformats.org/officeDocument/2006/relationships/hyperlink" Target="http://ximena.barrera-bbva.com/" TargetMode="External"/><Relationship Id="rId838" Type="http://schemas.openxmlformats.org/officeDocument/2006/relationships/hyperlink" Target="http://manuel.villamil-bbva.com/" TargetMode="External"/><Relationship Id="rId1023" Type="http://schemas.openxmlformats.org/officeDocument/2006/relationships/hyperlink" Target="http://andresfelipe.granados-bbva.com/" TargetMode="External"/><Relationship Id="rId1468" Type="http://schemas.openxmlformats.org/officeDocument/2006/relationships/hyperlink" Target="http://williamenrique.mendez-bbva.com/" TargetMode="External"/><Relationship Id="rId1675" Type="http://schemas.openxmlformats.org/officeDocument/2006/relationships/hyperlink" Target="http://andresfelipe.granados-bbva.com/" TargetMode="External"/><Relationship Id="rId1882" Type="http://schemas.openxmlformats.org/officeDocument/2006/relationships/hyperlink" Target="http://nathiahayosara.amado-bbva.com/" TargetMode="External"/><Relationship Id="rId600" Type="http://schemas.openxmlformats.org/officeDocument/2006/relationships/hyperlink" Target="http://josedaniel.munoz-bbva.com/" TargetMode="External"/><Relationship Id="rId1230" Type="http://schemas.openxmlformats.org/officeDocument/2006/relationships/hyperlink" Target="http://irene.angel-bbva.com/" TargetMode="External"/><Relationship Id="rId1328" Type="http://schemas.openxmlformats.org/officeDocument/2006/relationships/hyperlink" Target="http://felipe.guzman-bbva.com/" TargetMode="External"/><Relationship Id="rId1535" Type="http://schemas.openxmlformats.org/officeDocument/2006/relationships/hyperlink" Target="http://julio.avila2-bbva.com/" TargetMode="External"/><Relationship Id="rId905" Type="http://schemas.openxmlformats.org/officeDocument/2006/relationships/hyperlink" Target="http://hugoalberto.abreo-bbva.com/" TargetMode="External"/><Relationship Id="rId1742" Type="http://schemas.openxmlformats.org/officeDocument/2006/relationships/hyperlink" Target="http://diegofernando.uribe-bbva.com/" TargetMode="External"/><Relationship Id="rId34" Type="http://schemas.openxmlformats.org/officeDocument/2006/relationships/hyperlink" Target="http://marialuisa.suarez-bbva.com/" TargetMode="External"/><Relationship Id="rId1602" Type="http://schemas.openxmlformats.org/officeDocument/2006/relationships/hyperlink" Target="http://nicolas.galindo-bbva.com/" TargetMode="External"/><Relationship Id="rId183" Type="http://schemas.openxmlformats.org/officeDocument/2006/relationships/hyperlink" Target="http://jorgeenrique.vivas-bbva.com/" TargetMode="External"/><Relationship Id="rId390" Type="http://schemas.openxmlformats.org/officeDocument/2006/relationships/hyperlink" Target="http://o.rodriguez-bbva.com/" TargetMode="External"/><Relationship Id="rId1907" Type="http://schemas.openxmlformats.org/officeDocument/2006/relationships/hyperlink" Target="http://clara.mora-bbva.com/" TargetMode="External"/><Relationship Id="rId250" Type="http://schemas.openxmlformats.org/officeDocument/2006/relationships/hyperlink" Target="http://camila.nino-bbva.com/" TargetMode="External"/><Relationship Id="rId488" Type="http://schemas.openxmlformats.org/officeDocument/2006/relationships/hyperlink" Target="http://gustavo.ferrucho-bbva.com/" TargetMode="External"/><Relationship Id="rId695" Type="http://schemas.openxmlformats.org/officeDocument/2006/relationships/hyperlink" Target="http://diegofernando.uribe-bbva.com/" TargetMode="External"/><Relationship Id="rId110" Type="http://schemas.openxmlformats.org/officeDocument/2006/relationships/hyperlink" Target="http://katherine.michaels-bbva.com/" TargetMode="External"/><Relationship Id="rId348" Type="http://schemas.openxmlformats.org/officeDocument/2006/relationships/hyperlink" Target="http://josealejandro.duenas-bbva.com/" TargetMode="External"/><Relationship Id="rId555" Type="http://schemas.openxmlformats.org/officeDocument/2006/relationships/hyperlink" Target="http://julio.avila2-bbva.com/" TargetMode="External"/><Relationship Id="rId762" Type="http://schemas.openxmlformats.org/officeDocument/2006/relationships/hyperlink" Target="http://andres.carrandi-bbva.com/" TargetMode="External"/><Relationship Id="rId1185" Type="http://schemas.openxmlformats.org/officeDocument/2006/relationships/hyperlink" Target="http://josedaniel.sanabria-bbva.com/" TargetMode="External"/><Relationship Id="rId1392" Type="http://schemas.openxmlformats.org/officeDocument/2006/relationships/hyperlink" Target="http://david.robayo-bbva.com/" TargetMode="External"/><Relationship Id="rId208" Type="http://schemas.openxmlformats.org/officeDocument/2006/relationships/hyperlink" Target="http://ivanmauricio.perez-bbva.com/" TargetMode="External"/><Relationship Id="rId415" Type="http://schemas.openxmlformats.org/officeDocument/2006/relationships/hyperlink" Target="http://andrea.rengifo-bbva.com/" TargetMode="External"/><Relationship Id="rId622" Type="http://schemas.openxmlformats.org/officeDocument/2006/relationships/hyperlink" Target="http://valentina.giraldo-bbva.com/" TargetMode="External"/><Relationship Id="rId1045" Type="http://schemas.openxmlformats.org/officeDocument/2006/relationships/hyperlink" Target="http://hernanmauricio.lozada-bbva.com/" TargetMode="External"/><Relationship Id="rId1252" Type="http://schemas.openxmlformats.org/officeDocument/2006/relationships/hyperlink" Target="http://sebastian.martinez.jaramillo-bbva.com/" TargetMode="External"/><Relationship Id="rId1697" Type="http://schemas.openxmlformats.org/officeDocument/2006/relationships/hyperlink" Target="http://mairanela.ramirez.salazar-bbva.com/" TargetMode="External"/><Relationship Id="rId927" Type="http://schemas.openxmlformats.org/officeDocument/2006/relationships/hyperlink" Target="http://alcibiades.rodriguez-bbva.com/" TargetMode="External"/><Relationship Id="rId1112" Type="http://schemas.openxmlformats.org/officeDocument/2006/relationships/hyperlink" Target="http://ivan_dario.ariza-bbva.com/" TargetMode="External"/><Relationship Id="rId1557" Type="http://schemas.openxmlformats.org/officeDocument/2006/relationships/hyperlink" Target="http://andres.carrandi-bbva.com/" TargetMode="External"/><Relationship Id="rId1764" Type="http://schemas.openxmlformats.org/officeDocument/2006/relationships/hyperlink" Target="http://sebastian.valencia.ramirez.contractor-bbva.com/" TargetMode="External"/><Relationship Id="rId56" Type="http://schemas.openxmlformats.org/officeDocument/2006/relationships/hyperlink" Target="http://juancamilo.mosquera-bbva.com/" TargetMode="External"/><Relationship Id="rId1417" Type="http://schemas.openxmlformats.org/officeDocument/2006/relationships/hyperlink" Target="http://wilson.hernandez-bbva.com/" TargetMode="External"/><Relationship Id="rId1624" Type="http://schemas.openxmlformats.org/officeDocument/2006/relationships/hyperlink" Target="http://manuel.villamil-bbva.com/" TargetMode="External"/><Relationship Id="rId1831" Type="http://schemas.openxmlformats.org/officeDocument/2006/relationships/hyperlink" Target="http://flor.gonzalez-bbva.com/" TargetMode="External"/><Relationship Id="rId272" Type="http://schemas.openxmlformats.org/officeDocument/2006/relationships/hyperlink" Target="http://rafael.lopesierra-bbva.com/" TargetMode="External"/><Relationship Id="rId577" Type="http://schemas.openxmlformats.org/officeDocument/2006/relationships/hyperlink" Target="http://ader.anaya-bbva.com/" TargetMode="External"/><Relationship Id="rId132" Type="http://schemas.openxmlformats.org/officeDocument/2006/relationships/hyperlink" Target="http://maritza.castillo-bbva.com/" TargetMode="External"/><Relationship Id="rId784" Type="http://schemas.openxmlformats.org/officeDocument/2006/relationships/hyperlink" Target="http://maritza.castillo-bbva.com/" TargetMode="External"/><Relationship Id="rId991" Type="http://schemas.openxmlformats.org/officeDocument/2006/relationships/hyperlink" Target="http://juan.moralesp-bbva.com/" TargetMode="External"/><Relationship Id="rId1067" Type="http://schemas.openxmlformats.org/officeDocument/2006/relationships/hyperlink" Target="http://fernando.garciameza-bbva.com/" TargetMode="External"/><Relationship Id="rId437" Type="http://schemas.openxmlformats.org/officeDocument/2006/relationships/hyperlink" Target="http://ronal.saavedra-bbva.com/" TargetMode="External"/><Relationship Id="rId644" Type="http://schemas.openxmlformats.org/officeDocument/2006/relationships/hyperlink" Target="http://jordi.sole-bbva.com/" TargetMode="External"/><Relationship Id="rId851" Type="http://schemas.openxmlformats.org/officeDocument/2006/relationships/hyperlink" Target="http://carlosdavid.pacheco-bbva.com/" TargetMode="External"/><Relationship Id="rId1274" Type="http://schemas.openxmlformats.org/officeDocument/2006/relationships/hyperlink" Target="http://ximena.barrera-bbva.com/" TargetMode="External"/><Relationship Id="rId1481" Type="http://schemas.openxmlformats.org/officeDocument/2006/relationships/hyperlink" Target="http://jorgeh.cruz-bbva.com/" TargetMode="External"/><Relationship Id="rId1579" Type="http://schemas.openxmlformats.org/officeDocument/2006/relationships/hyperlink" Target="http://sandrajohanna.gonzalez-bbva.com/" TargetMode="External"/><Relationship Id="rId504" Type="http://schemas.openxmlformats.org/officeDocument/2006/relationships/hyperlink" Target="http://sandracarolina.miranda-bbva.com/" TargetMode="External"/><Relationship Id="rId711" Type="http://schemas.openxmlformats.org/officeDocument/2006/relationships/hyperlink" Target="http://juan.orozco-bbva.com/" TargetMode="External"/><Relationship Id="rId949" Type="http://schemas.openxmlformats.org/officeDocument/2006/relationships/hyperlink" Target="http://milena.patino-bbva.com/" TargetMode="External"/><Relationship Id="rId1134" Type="http://schemas.openxmlformats.org/officeDocument/2006/relationships/hyperlink" Target="http://paolaandrea.guzman-bbva.com/" TargetMode="External"/><Relationship Id="rId1341" Type="http://schemas.openxmlformats.org/officeDocument/2006/relationships/hyperlink" Target="http://dianacarolina.gonzalez.castri-bbva.com/" TargetMode="External"/><Relationship Id="rId1786" Type="http://schemas.openxmlformats.org/officeDocument/2006/relationships/hyperlink" Target="http://natalializeth.guio-bbva.com/" TargetMode="External"/><Relationship Id="rId78" Type="http://schemas.openxmlformats.org/officeDocument/2006/relationships/hyperlink" Target="http://mariluz.ardila-bbva.com/" TargetMode="External"/><Relationship Id="rId809" Type="http://schemas.openxmlformats.org/officeDocument/2006/relationships/hyperlink" Target="http://alcibiades.rodriguez-bbva.com/" TargetMode="External"/><Relationship Id="rId1201" Type="http://schemas.openxmlformats.org/officeDocument/2006/relationships/hyperlink" Target="http://erickson.soler-bbva.com/" TargetMode="External"/><Relationship Id="rId1439" Type="http://schemas.openxmlformats.org/officeDocument/2006/relationships/hyperlink" Target="http://ivanjesus.esparragoza-bbva.com/" TargetMode="External"/><Relationship Id="rId1646" Type="http://schemas.openxmlformats.org/officeDocument/2006/relationships/hyperlink" Target="http://yudycarolina.pascagaza-bbva.com/" TargetMode="External"/><Relationship Id="rId1853" Type="http://schemas.openxmlformats.org/officeDocument/2006/relationships/hyperlink" Target="http://alfredojose.pertuz-bbva.com/" TargetMode="External"/><Relationship Id="rId1506" Type="http://schemas.openxmlformats.org/officeDocument/2006/relationships/hyperlink" Target="http://juansebastian.silva-bbva.com/" TargetMode="External"/><Relationship Id="rId1713" Type="http://schemas.openxmlformats.org/officeDocument/2006/relationships/hyperlink" Target="http://andres.carrandi-bbva.com/" TargetMode="External"/><Relationship Id="rId1920" Type="http://schemas.openxmlformats.org/officeDocument/2006/relationships/hyperlink" Target="http://sebastian.martinez.jaramillo-bbva.com/" TargetMode="External"/><Relationship Id="rId294" Type="http://schemas.openxmlformats.org/officeDocument/2006/relationships/hyperlink" Target="http://rocio.garces-bbva.com/" TargetMode="External"/><Relationship Id="rId154" Type="http://schemas.openxmlformats.org/officeDocument/2006/relationships/hyperlink" Target="http://ivanjesus.esparragoza-bbva.com/" TargetMode="External"/><Relationship Id="rId361" Type="http://schemas.openxmlformats.org/officeDocument/2006/relationships/hyperlink" Target="http://williamyesid.marin-bbva.com/" TargetMode="External"/><Relationship Id="rId599" Type="http://schemas.openxmlformats.org/officeDocument/2006/relationships/hyperlink" Target="http://mairanela.ramirez.salazar-bbva.com/" TargetMode="External"/><Relationship Id="rId459" Type="http://schemas.openxmlformats.org/officeDocument/2006/relationships/hyperlink" Target="http://julio.avila2-bbva.com/" TargetMode="External"/><Relationship Id="rId666" Type="http://schemas.openxmlformats.org/officeDocument/2006/relationships/hyperlink" Target="http://alexandra.vargas-bbva.com/" TargetMode="External"/><Relationship Id="rId873" Type="http://schemas.openxmlformats.org/officeDocument/2006/relationships/hyperlink" Target="http://mariajuliana.rodriguez-bbva.com/" TargetMode="External"/><Relationship Id="rId1089" Type="http://schemas.openxmlformats.org/officeDocument/2006/relationships/hyperlink" Target="http://monicaandrea.abogado-bbva.com/" TargetMode="External"/><Relationship Id="rId1296" Type="http://schemas.openxmlformats.org/officeDocument/2006/relationships/hyperlink" Target="http://jessicalorena.moncaleano-bbva.com/" TargetMode="External"/><Relationship Id="rId221" Type="http://schemas.openxmlformats.org/officeDocument/2006/relationships/hyperlink" Target="http://monica.zamudio-bbva.com/" TargetMode="External"/><Relationship Id="rId319" Type="http://schemas.openxmlformats.org/officeDocument/2006/relationships/hyperlink" Target="http://diegoandres.rodriguez-bbva.com/" TargetMode="External"/><Relationship Id="rId526" Type="http://schemas.openxmlformats.org/officeDocument/2006/relationships/hyperlink" Target="http://alexandra.vargas-bbva.com/" TargetMode="External"/><Relationship Id="rId1156" Type="http://schemas.openxmlformats.org/officeDocument/2006/relationships/hyperlink" Target="http://vickyalexandra.mora-bbva.com/" TargetMode="External"/><Relationship Id="rId1363" Type="http://schemas.openxmlformats.org/officeDocument/2006/relationships/hyperlink" Target="http://alcibiades.rodriguez-bbva.com/" TargetMode="External"/><Relationship Id="rId733" Type="http://schemas.openxmlformats.org/officeDocument/2006/relationships/hyperlink" Target="http://edna.sanchez-bbva.com/" TargetMode="External"/><Relationship Id="rId940" Type="http://schemas.openxmlformats.org/officeDocument/2006/relationships/hyperlink" Target="http://andres.carrandi-bbva.com/" TargetMode="External"/><Relationship Id="rId1016" Type="http://schemas.openxmlformats.org/officeDocument/2006/relationships/hyperlink" Target="http://pedro.moreno-bbva.com/" TargetMode="External"/><Relationship Id="rId1570" Type="http://schemas.openxmlformats.org/officeDocument/2006/relationships/hyperlink" Target="http://jorge.vargas-csf.com.co/" TargetMode="External"/><Relationship Id="rId1668" Type="http://schemas.openxmlformats.org/officeDocument/2006/relationships/hyperlink" Target="http://hayden.cardenas-bbva.com/" TargetMode="External"/><Relationship Id="rId1875" Type="http://schemas.openxmlformats.org/officeDocument/2006/relationships/hyperlink" Target="http://jorge.vargas-csf.com.co/" TargetMode="External"/><Relationship Id="rId800" Type="http://schemas.openxmlformats.org/officeDocument/2006/relationships/hyperlink" Target="http://carlosandres.moque-bbva.com/" TargetMode="External"/><Relationship Id="rId1223" Type="http://schemas.openxmlformats.org/officeDocument/2006/relationships/hyperlink" Target="http://juan.orozco-bbva.com/" TargetMode="External"/><Relationship Id="rId1430" Type="http://schemas.openxmlformats.org/officeDocument/2006/relationships/hyperlink" Target="http://jair.gomez-bbva.com/" TargetMode="External"/><Relationship Id="rId1528" Type="http://schemas.openxmlformats.org/officeDocument/2006/relationships/hyperlink" Target="http://marcoantonio.guzman-bbva.com/" TargetMode="External"/><Relationship Id="rId1735" Type="http://schemas.openxmlformats.org/officeDocument/2006/relationships/hyperlink" Target="http://milagros.lastra-bbva.com/" TargetMode="External"/><Relationship Id="rId27" Type="http://schemas.openxmlformats.org/officeDocument/2006/relationships/hyperlink" Target="http://juan.sandoval-bbva.com/" TargetMode="External"/><Relationship Id="rId1802" Type="http://schemas.openxmlformats.org/officeDocument/2006/relationships/hyperlink" Target="http://sergioalexander.parra-bbva.com/" TargetMode="External"/><Relationship Id="rId176" Type="http://schemas.openxmlformats.org/officeDocument/2006/relationships/hyperlink" Target="http://july.miranda-bbva.com/" TargetMode="External"/><Relationship Id="rId383" Type="http://schemas.openxmlformats.org/officeDocument/2006/relationships/hyperlink" Target="http://alcibiades.rodriguez-bbva.com/" TargetMode="External"/><Relationship Id="rId590" Type="http://schemas.openxmlformats.org/officeDocument/2006/relationships/hyperlink" Target="http://jhonathan.gaona-bbva.com/" TargetMode="External"/><Relationship Id="rId243" Type="http://schemas.openxmlformats.org/officeDocument/2006/relationships/hyperlink" Target="http://camila.nino-bbva.com/" TargetMode="External"/><Relationship Id="rId450" Type="http://schemas.openxmlformats.org/officeDocument/2006/relationships/hyperlink" Target="http://hernanmauricio.lozada-bbva.com/" TargetMode="External"/><Relationship Id="rId688" Type="http://schemas.openxmlformats.org/officeDocument/2006/relationships/hyperlink" Target="http://gustavo.ferrucho-bbva.com/" TargetMode="External"/><Relationship Id="rId895" Type="http://schemas.openxmlformats.org/officeDocument/2006/relationships/hyperlink" Target="http://maritza.guerrero-bbva.com/" TargetMode="External"/><Relationship Id="rId1080" Type="http://schemas.openxmlformats.org/officeDocument/2006/relationships/hyperlink" Target="http://marthapatric.cruz-bbva.com/" TargetMode="External"/><Relationship Id="rId103" Type="http://schemas.openxmlformats.org/officeDocument/2006/relationships/hyperlink" Target="http://carlosalberto.barreto-bbva.com/" TargetMode="External"/><Relationship Id="rId310" Type="http://schemas.openxmlformats.org/officeDocument/2006/relationships/hyperlink" Target="http://leidyjohanna.zambrano-bbva.com/" TargetMode="External"/><Relationship Id="rId548" Type="http://schemas.openxmlformats.org/officeDocument/2006/relationships/hyperlink" Target="http://erickson.soler-bbva.com/" TargetMode="External"/><Relationship Id="rId755" Type="http://schemas.openxmlformats.org/officeDocument/2006/relationships/hyperlink" Target="http://diego.sinisterra-bbva.com/" TargetMode="External"/><Relationship Id="rId962" Type="http://schemas.openxmlformats.org/officeDocument/2006/relationships/hyperlink" Target="http://paulajimena.cely-bbva.com/" TargetMode="External"/><Relationship Id="rId1178" Type="http://schemas.openxmlformats.org/officeDocument/2006/relationships/hyperlink" Target="http://manuel.villamil-bbva.com/" TargetMode="External"/><Relationship Id="rId1385" Type="http://schemas.openxmlformats.org/officeDocument/2006/relationships/hyperlink" Target="http://patricia.romero-bbva.com/" TargetMode="External"/><Relationship Id="rId1592" Type="http://schemas.openxmlformats.org/officeDocument/2006/relationships/hyperlink" Target="http://milagros.lastra-bbva.com/" TargetMode="External"/><Relationship Id="rId91" Type="http://schemas.openxmlformats.org/officeDocument/2006/relationships/hyperlink" Target="http://erikajulieth.ruiz-bbva.com/" TargetMode="External"/><Relationship Id="rId408" Type="http://schemas.openxmlformats.org/officeDocument/2006/relationships/hyperlink" Target="http://luis.plata-bbva.com/" TargetMode="External"/><Relationship Id="rId615" Type="http://schemas.openxmlformats.org/officeDocument/2006/relationships/hyperlink" Target="http://diegofernando.correa-bbva.com/" TargetMode="External"/><Relationship Id="rId822" Type="http://schemas.openxmlformats.org/officeDocument/2006/relationships/hyperlink" Target="http://fernando.garciameza-bbva.com/" TargetMode="External"/><Relationship Id="rId1038" Type="http://schemas.openxmlformats.org/officeDocument/2006/relationships/hyperlink" Target="http://marthapatric.cruz-bbva.com/" TargetMode="External"/><Relationship Id="rId1245" Type="http://schemas.openxmlformats.org/officeDocument/2006/relationships/hyperlink" Target="http://nelson.ramirez-bbva.com/" TargetMode="External"/><Relationship Id="rId1452" Type="http://schemas.openxmlformats.org/officeDocument/2006/relationships/hyperlink" Target="http://sebastian.valencia.ramirez.contractor-bbva.com/" TargetMode="External"/><Relationship Id="rId1897" Type="http://schemas.openxmlformats.org/officeDocument/2006/relationships/hyperlink" Target="http://hugoalberto.abreo-bbva.com/" TargetMode="External"/><Relationship Id="rId1105" Type="http://schemas.openxmlformats.org/officeDocument/2006/relationships/hyperlink" Target="http://alexandra.vargas-bbva.com/" TargetMode="External"/><Relationship Id="rId1312" Type="http://schemas.openxmlformats.org/officeDocument/2006/relationships/hyperlink" Target="http://alcibiades.rodriguez-bbva.com/" TargetMode="External"/><Relationship Id="rId1757" Type="http://schemas.openxmlformats.org/officeDocument/2006/relationships/hyperlink" Target="http://alcibiades.rodriguez-bbva.com/" TargetMode="External"/><Relationship Id="rId49" Type="http://schemas.openxmlformats.org/officeDocument/2006/relationships/hyperlink" Target="http://luz.rodriguez-bbva.com/" TargetMode="External"/><Relationship Id="rId1617" Type="http://schemas.openxmlformats.org/officeDocument/2006/relationships/hyperlink" Target="http://pablodaniel.santos-bbva.com/" TargetMode="External"/><Relationship Id="rId1824" Type="http://schemas.openxmlformats.org/officeDocument/2006/relationships/hyperlink" Target="http://brayanalexander.salazar-bbva.com/" TargetMode="External"/><Relationship Id="rId198" Type="http://schemas.openxmlformats.org/officeDocument/2006/relationships/hyperlink" Target="http://olga.lara-bbva.com/" TargetMode="External"/><Relationship Id="rId265" Type="http://schemas.openxmlformats.org/officeDocument/2006/relationships/hyperlink" Target="http://clara.mora-bbva.com/" TargetMode="External"/><Relationship Id="rId472" Type="http://schemas.openxmlformats.org/officeDocument/2006/relationships/hyperlink" Target="http://henryr.rodriguez-bbva.com/" TargetMode="External"/><Relationship Id="rId125" Type="http://schemas.openxmlformats.org/officeDocument/2006/relationships/hyperlink" Target="http://elizabeth.diaz-bbva.com/" TargetMode="External"/><Relationship Id="rId332" Type="http://schemas.openxmlformats.org/officeDocument/2006/relationships/hyperlink" Target="http://javier.sotom-bbva.com/" TargetMode="External"/><Relationship Id="rId777" Type="http://schemas.openxmlformats.org/officeDocument/2006/relationships/hyperlink" Target="http://sandrajohanna.gonzalez-bbva.com/" TargetMode="External"/><Relationship Id="rId984" Type="http://schemas.openxmlformats.org/officeDocument/2006/relationships/hyperlink" Target="http://alcibiades.rodriguez-bbva.com/" TargetMode="External"/><Relationship Id="rId637" Type="http://schemas.openxmlformats.org/officeDocument/2006/relationships/hyperlink" Target="http://williamenrique.mendez-bbva.com/" TargetMode="External"/><Relationship Id="rId844" Type="http://schemas.openxmlformats.org/officeDocument/2006/relationships/hyperlink" Target="http://milagros.lastra-bbva.com/" TargetMode="External"/><Relationship Id="rId1267" Type="http://schemas.openxmlformats.org/officeDocument/2006/relationships/hyperlink" Target="http://monica.zamudio-bbva.com/" TargetMode="External"/><Relationship Id="rId1474" Type="http://schemas.openxmlformats.org/officeDocument/2006/relationships/hyperlink" Target="http://ana.naiza-bbva.com/" TargetMode="External"/><Relationship Id="rId1681" Type="http://schemas.openxmlformats.org/officeDocument/2006/relationships/hyperlink" Target="http://angie.castaneda-bbva.com/" TargetMode="External"/><Relationship Id="rId704" Type="http://schemas.openxmlformats.org/officeDocument/2006/relationships/hyperlink" Target="http://judy.prieto-bbva.com/" TargetMode="External"/><Relationship Id="rId911" Type="http://schemas.openxmlformats.org/officeDocument/2006/relationships/hyperlink" Target="http://rodrigo.ardila-bbva.com/" TargetMode="External"/><Relationship Id="rId1127" Type="http://schemas.openxmlformats.org/officeDocument/2006/relationships/hyperlink" Target="http://nathaliamaria.torres-bbva.com/" TargetMode="External"/><Relationship Id="rId1334" Type="http://schemas.openxmlformats.org/officeDocument/2006/relationships/hyperlink" Target="http://felipe.guzman-bbva.com/" TargetMode="External"/><Relationship Id="rId1541" Type="http://schemas.openxmlformats.org/officeDocument/2006/relationships/hyperlink" Target="http://sandrajohanna.gonzalez-bbva.com/" TargetMode="External"/><Relationship Id="rId1779" Type="http://schemas.openxmlformats.org/officeDocument/2006/relationships/hyperlink" Target="http://taniaalexandra.jula-bbva.com/" TargetMode="External"/><Relationship Id="rId40" Type="http://schemas.openxmlformats.org/officeDocument/2006/relationships/hyperlink" Target="http://juan.moralesp-bbva.com/" TargetMode="External"/><Relationship Id="rId1401" Type="http://schemas.openxmlformats.org/officeDocument/2006/relationships/hyperlink" Target="http://juliocesar.avila.garcia.contractor-bbva.com/" TargetMode="External"/><Relationship Id="rId1639" Type="http://schemas.openxmlformats.org/officeDocument/2006/relationships/hyperlink" Target="http://andres.carrandi-bbva.com/" TargetMode="External"/><Relationship Id="rId1846" Type="http://schemas.openxmlformats.org/officeDocument/2006/relationships/hyperlink" Target="http://nelson.ruiz-bbva.com/" TargetMode="External"/><Relationship Id="rId1706" Type="http://schemas.openxmlformats.org/officeDocument/2006/relationships/hyperlink" Target="http://hernanmauricio.lozada-bbva.com/" TargetMode="External"/><Relationship Id="rId1913" Type="http://schemas.openxmlformats.org/officeDocument/2006/relationships/hyperlink" Target="http://nathaliamaria.torres-bbva.com/" TargetMode="External"/><Relationship Id="rId287" Type="http://schemas.openxmlformats.org/officeDocument/2006/relationships/hyperlink" Target="http://yesid.forero-bbva.com/" TargetMode="External"/><Relationship Id="rId494" Type="http://schemas.openxmlformats.org/officeDocument/2006/relationships/hyperlink" Target="http://victorrafael.ramos-bbva.com/" TargetMode="External"/><Relationship Id="rId147" Type="http://schemas.openxmlformats.org/officeDocument/2006/relationships/hyperlink" Target="http://danielfelipe.rodriguez-bbva.com/" TargetMode="External"/><Relationship Id="rId354" Type="http://schemas.openxmlformats.org/officeDocument/2006/relationships/hyperlink" Target="http://milena.patino-bbva.com/" TargetMode="External"/><Relationship Id="rId799" Type="http://schemas.openxmlformats.org/officeDocument/2006/relationships/hyperlink" Target="http://lizethsofia.garcia-bbva.com/" TargetMode="External"/><Relationship Id="rId1191" Type="http://schemas.openxmlformats.org/officeDocument/2006/relationships/hyperlink" Target="http://manuel.villamil-bbva.com/" TargetMode="External"/><Relationship Id="rId561" Type="http://schemas.openxmlformats.org/officeDocument/2006/relationships/hyperlink" Target="http://jose.tibruza-bbva.com/" TargetMode="External"/><Relationship Id="rId659" Type="http://schemas.openxmlformats.org/officeDocument/2006/relationships/hyperlink" Target="http://yeraldineandrea.sierra-bbva.com/" TargetMode="External"/><Relationship Id="rId866" Type="http://schemas.openxmlformats.org/officeDocument/2006/relationships/hyperlink" Target="http://mauricio.gutierrez-bbva.com/" TargetMode="External"/><Relationship Id="rId1289" Type="http://schemas.openxmlformats.org/officeDocument/2006/relationships/hyperlink" Target="http://ingrid.cortes-bbva.com/" TargetMode="External"/><Relationship Id="rId1496" Type="http://schemas.openxmlformats.org/officeDocument/2006/relationships/hyperlink" Target="http://elizabeth.diaz-bbva.com/" TargetMode="External"/><Relationship Id="rId214" Type="http://schemas.openxmlformats.org/officeDocument/2006/relationships/hyperlink" Target="http://sebastian.martinez.jaramillo-bbva.com/" TargetMode="External"/><Relationship Id="rId421" Type="http://schemas.openxmlformats.org/officeDocument/2006/relationships/hyperlink" Target="http://henryr.rodriguez-bbva.com/" TargetMode="External"/><Relationship Id="rId519" Type="http://schemas.openxmlformats.org/officeDocument/2006/relationships/hyperlink" Target="http://sandracarolina.miranda-bbva.com/" TargetMode="External"/><Relationship Id="rId1051" Type="http://schemas.openxmlformats.org/officeDocument/2006/relationships/hyperlink" Target="http://armandorafael.vasquez.altamar-bbva.com/" TargetMode="External"/><Relationship Id="rId1149" Type="http://schemas.openxmlformats.org/officeDocument/2006/relationships/hyperlink" Target="http://judy.prieto-bbva.com/" TargetMode="External"/><Relationship Id="rId1356" Type="http://schemas.openxmlformats.org/officeDocument/2006/relationships/hyperlink" Target="http://wilson.torres-bbva.com/" TargetMode="External"/><Relationship Id="rId726" Type="http://schemas.openxmlformats.org/officeDocument/2006/relationships/hyperlink" Target="http://camilo.aguirre-bbva.com/" TargetMode="External"/><Relationship Id="rId933" Type="http://schemas.openxmlformats.org/officeDocument/2006/relationships/hyperlink" Target="http://milagros.lastra-bbva.com/" TargetMode="External"/><Relationship Id="rId1009" Type="http://schemas.openxmlformats.org/officeDocument/2006/relationships/hyperlink" Target="http://milena.patino-bbva.com/" TargetMode="External"/><Relationship Id="rId1563" Type="http://schemas.openxmlformats.org/officeDocument/2006/relationships/hyperlink" Target="http://david.juvinao-bbva.com/" TargetMode="External"/><Relationship Id="rId1770" Type="http://schemas.openxmlformats.org/officeDocument/2006/relationships/hyperlink" Target="http://katherine.pardo-bbva.com/" TargetMode="External"/><Relationship Id="rId1868" Type="http://schemas.openxmlformats.org/officeDocument/2006/relationships/hyperlink" Target="http://elkinfernando.burbano-bbva.com/" TargetMode="External"/><Relationship Id="rId62" Type="http://schemas.openxmlformats.org/officeDocument/2006/relationships/hyperlink" Target="http://jennymaria.urdaneta-bbva.com/" TargetMode="External"/><Relationship Id="rId1216" Type="http://schemas.openxmlformats.org/officeDocument/2006/relationships/hyperlink" Target="http://carolina.cardozo-bbva.com/" TargetMode="External"/><Relationship Id="rId1423" Type="http://schemas.openxmlformats.org/officeDocument/2006/relationships/hyperlink" Target="http://jordi.sole-bbva.com/" TargetMode="External"/><Relationship Id="rId1630" Type="http://schemas.openxmlformats.org/officeDocument/2006/relationships/hyperlink" Target="http://maria.rojas-bbva.com/" TargetMode="External"/><Relationship Id="rId1728" Type="http://schemas.openxmlformats.org/officeDocument/2006/relationships/hyperlink" Target="http://manuela.guarnizo-bbva.com/" TargetMode="External"/><Relationship Id="rId169" Type="http://schemas.openxmlformats.org/officeDocument/2006/relationships/hyperlink" Target="http://yeraldineandrea.sierra-bbva.com/" TargetMode="External"/><Relationship Id="rId376" Type="http://schemas.openxmlformats.org/officeDocument/2006/relationships/hyperlink" Target="http://paolaandrea.gil-bbva.com/" TargetMode="External"/><Relationship Id="rId583" Type="http://schemas.openxmlformats.org/officeDocument/2006/relationships/hyperlink" Target="http://july.miranda-bbva.com/" TargetMode="External"/><Relationship Id="rId790" Type="http://schemas.openxmlformats.org/officeDocument/2006/relationships/hyperlink" Target="http://dianaesperanza.pareja-bbva.com/" TargetMode="External"/><Relationship Id="rId4" Type="http://schemas.openxmlformats.org/officeDocument/2006/relationships/hyperlink" Target="http://juan.bejarano-bbva.com/" TargetMode="External"/><Relationship Id="rId236" Type="http://schemas.openxmlformats.org/officeDocument/2006/relationships/hyperlink" Target="http://pabloandres.villada-bbva.com/" TargetMode="External"/><Relationship Id="rId443" Type="http://schemas.openxmlformats.org/officeDocument/2006/relationships/hyperlink" Target="http://mabel.diaz-bbva.com/" TargetMode="External"/><Relationship Id="rId650" Type="http://schemas.openxmlformats.org/officeDocument/2006/relationships/hyperlink" Target="http://josealejandro.duenas-bbva.com/" TargetMode="External"/><Relationship Id="rId888" Type="http://schemas.openxmlformats.org/officeDocument/2006/relationships/hyperlink" Target="http://maritza.sarmiento-bbva.com/" TargetMode="External"/><Relationship Id="rId1073" Type="http://schemas.openxmlformats.org/officeDocument/2006/relationships/hyperlink" Target="http://andresfelipe.granados-bbva.com/" TargetMode="External"/><Relationship Id="rId1280" Type="http://schemas.openxmlformats.org/officeDocument/2006/relationships/hyperlink" Target="http://carolina.monterrey-bbva.com/" TargetMode="External"/><Relationship Id="rId303" Type="http://schemas.openxmlformats.org/officeDocument/2006/relationships/hyperlink" Target="http://josealejandro.duenas-bbva.com/" TargetMode="External"/><Relationship Id="rId748" Type="http://schemas.openxmlformats.org/officeDocument/2006/relationships/hyperlink" Target="http://nathaliamaria.torres-bbva.com/" TargetMode="External"/><Relationship Id="rId955" Type="http://schemas.openxmlformats.org/officeDocument/2006/relationships/hyperlink" Target="http://edgar.hernandez-bbva.com/" TargetMode="External"/><Relationship Id="rId1140" Type="http://schemas.openxmlformats.org/officeDocument/2006/relationships/hyperlink" Target="http://jhonalexander.chaparro-bbva.com/" TargetMode="External"/><Relationship Id="rId1378" Type="http://schemas.openxmlformats.org/officeDocument/2006/relationships/hyperlink" Target="http://rubendario.nunez-bbva.com/" TargetMode="External"/><Relationship Id="rId1585" Type="http://schemas.openxmlformats.org/officeDocument/2006/relationships/hyperlink" Target="http://rociomarcela.lopez-bbva.com/" TargetMode="External"/><Relationship Id="rId1792" Type="http://schemas.openxmlformats.org/officeDocument/2006/relationships/hyperlink" Target="http://josemleal-bbva.com/" TargetMode="External"/><Relationship Id="rId84" Type="http://schemas.openxmlformats.org/officeDocument/2006/relationships/hyperlink" Target="http://claudiarocio.lopez-bbva.com/" TargetMode="External"/><Relationship Id="rId510" Type="http://schemas.openxmlformats.org/officeDocument/2006/relationships/hyperlink" Target="http://sandracarolina.miranda-bbva.com/" TargetMode="External"/><Relationship Id="rId608" Type="http://schemas.openxmlformats.org/officeDocument/2006/relationships/hyperlink" Target="http://rafael.lopesierra-bbva.com/" TargetMode="External"/><Relationship Id="rId815" Type="http://schemas.openxmlformats.org/officeDocument/2006/relationships/hyperlink" Target="http://sebastian.martinez.jaramillo-bbva.com/" TargetMode="External"/><Relationship Id="rId1238" Type="http://schemas.openxmlformats.org/officeDocument/2006/relationships/hyperlink" Target="http://diegofernando.correa-bbva.com/" TargetMode="External"/><Relationship Id="rId1445" Type="http://schemas.openxmlformats.org/officeDocument/2006/relationships/hyperlink" Target="http://carlosandres.moque-bbva.com/" TargetMode="External"/><Relationship Id="rId1652" Type="http://schemas.openxmlformats.org/officeDocument/2006/relationships/hyperlink" Target="http://katryn.verjel-bbva.com/" TargetMode="External"/><Relationship Id="rId1000" Type="http://schemas.openxmlformats.org/officeDocument/2006/relationships/hyperlink" Target="http://juan.orozco-bbva.com/" TargetMode="External"/><Relationship Id="rId1305" Type="http://schemas.openxmlformats.org/officeDocument/2006/relationships/hyperlink" Target="http://paolaandrea.gil-bbva.com/" TargetMode="External"/><Relationship Id="rId1512" Type="http://schemas.openxmlformats.org/officeDocument/2006/relationships/hyperlink" Target="http://monicaandrea.sanabria-bbva.com/" TargetMode="External"/><Relationship Id="rId1817" Type="http://schemas.openxmlformats.org/officeDocument/2006/relationships/hyperlink" Target="http://paolaandrea.hermosa-bbva.com/" TargetMode="External"/><Relationship Id="rId11" Type="http://schemas.openxmlformats.org/officeDocument/2006/relationships/hyperlink" Target="http://mairanela.ramirez.salazar-bbva.com/" TargetMode="External"/><Relationship Id="rId398" Type="http://schemas.openxmlformats.org/officeDocument/2006/relationships/hyperlink" Target="http://gustavo.ferrucho-bbva.com/" TargetMode="External"/><Relationship Id="rId160" Type="http://schemas.openxmlformats.org/officeDocument/2006/relationships/hyperlink" Target="http://hernan.riveros-bbva.com/" TargetMode="External"/><Relationship Id="rId258" Type="http://schemas.openxmlformats.org/officeDocument/2006/relationships/hyperlink" Target="http://sandrajohanna.gonzalez-bbva.com/" TargetMode="External"/><Relationship Id="rId465" Type="http://schemas.openxmlformats.org/officeDocument/2006/relationships/hyperlink" Target="http://milena.patino-bbva.com/" TargetMode="External"/><Relationship Id="rId672" Type="http://schemas.openxmlformats.org/officeDocument/2006/relationships/hyperlink" Target="http://mairanela.ramirez.salazar-bbva.com/" TargetMode="External"/><Relationship Id="rId1095" Type="http://schemas.openxmlformats.org/officeDocument/2006/relationships/hyperlink" Target="http://marthapatric.cruz-bbva.com/" TargetMode="External"/><Relationship Id="rId118" Type="http://schemas.openxmlformats.org/officeDocument/2006/relationships/hyperlink" Target="http://hernan.riveros-bbva.com/" TargetMode="External"/><Relationship Id="rId325" Type="http://schemas.openxmlformats.org/officeDocument/2006/relationships/hyperlink" Target="http://paola.trivino-bbva.com/" TargetMode="External"/><Relationship Id="rId532" Type="http://schemas.openxmlformats.org/officeDocument/2006/relationships/hyperlink" Target="http://hernan.riveros-bbva.com/" TargetMode="External"/><Relationship Id="rId977" Type="http://schemas.openxmlformats.org/officeDocument/2006/relationships/hyperlink" Target="http://katherine.pardo-bbva.com/" TargetMode="External"/><Relationship Id="rId1162" Type="http://schemas.openxmlformats.org/officeDocument/2006/relationships/hyperlink" Target="http://claudiaviviana.medina-bbva.com/" TargetMode="External"/><Relationship Id="rId837" Type="http://schemas.openxmlformats.org/officeDocument/2006/relationships/hyperlink" Target="http://judy.prieto-bbva.com/" TargetMode="External"/><Relationship Id="rId1022" Type="http://schemas.openxmlformats.org/officeDocument/2006/relationships/hyperlink" Target="http://alcibiades.rodriguez-bbva.com/" TargetMode="External"/><Relationship Id="rId1467" Type="http://schemas.openxmlformats.org/officeDocument/2006/relationships/hyperlink" Target="http://jordi.sole-bbva.com/" TargetMode="External"/><Relationship Id="rId1674" Type="http://schemas.openxmlformats.org/officeDocument/2006/relationships/hyperlink" Target="http://alirio.bermudez-bbva.com/" TargetMode="External"/><Relationship Id="rId1881" Type="http://schemas.openxmlformats.org/officeDocument/2006/relationships/hyperlink" Target="http://andresfelipe.lopez.sandoval-bbva.com/" TargetMode="External"/><Relationship Id="rId904" Type="http://schemas.openxmlformats.org/officeDocument/2006/relationships/hyperlink" Target="http://maritza.guerrero-bbva.com/" TargetMode="External"/><Relationship Id="rId1327" Type="http://schemas.openxmlformats.org/officeDocument/2006/relationships/hyperlink" Target="http://carlosandres.mora-bbva.com/" TargetMode="External"/><Relationship Id="rId1534" Type="http://schemas.openxmlformats.org/officeDocument/2006/relationships/hyperlink" Target="http://marcoantonio.guzman-bbva.com/" TargetMode="External"/><Relationship Id="rId1741" Type="http://schemas.openxmlformats.org/officeDocument/2006/relationships/hyperlink" Target="http://alexander.galindo-bbva.com/" TargetMode="External"/><Relationship Id="rId33" Type="http://schemas.openxmlformats.org/officeDocument/2006/relationships/hyperlink" Target="http://yadira.cobos-bbva.com/" TargetMode="External"/><Relationship Id="rId1601" Type="http://schemas.openxmlformats.org/officeDocument/2006/relationships/hyperlink" Target="http://paulocesar.sastoque-bbva.com/" TargetMode="External"/><Relationship Id="rId1839" Type="http://schemas.openxmlformats.org/officeDocument/2006/relationships/hyperlink" Target="http://elizabeth.diaz-bbva.com/" TargetMode="External"/><Relationship Id="rId182" Type="http://schemas.openxmlformats.org/officeDocument/2006/relationships/hyperlink" Target="http://pabloalexand.ortiz-bbva.com/" TargetMode="External"/><Relationship Id="rId1906" Type="http://schemas.openxmlformats.org/officeDocument/2006/relationships/hyperlink" Target="http://ivan_dario.ariza-bbva.com/" TargetMode="External"/><Relationship Id="rId487" Type="http://schemas.openxmlformats.org/officeDocument/2006/relationships/hyperlink" Target="http://andrea.rengifo-bbva.com/" TargetMode="External"/><Relationship Id="rId694" Type="http://schemas.openxmlformats.org/officeDocument/2006/relationships/hyperlink" Target="http://cindyrocio.diaz.carvajal-bbva.com/" TargetMode="External"/><Relationship Id="rId347" Type="http://schemas.openxmlformats.org/officeDocument/2006/relationships/hyperlink" Target="http://oscar.bejarano-bbva.com/" TargetMode="External"/><Relationship Id="rId999" Type="http://schemas.openxmlformats.org/officeDocument/2006/relationships/hyperlink" Target="http://joseagustin.rodriguez.contractor-bbva.com/" TargetMode="External"/><Relationship Id="rId1184" Type="http://schemas.openxmlformats.org/officeDocument/2006/relationships/hyperlink" Target="http://carlosandres.moque-bbva.com/" TargetMode="External"/><Relationship Id="rId554" Type="http://schemas.openxmlformats.org/officeDocument/2006/relationships/hyperlink" Target="http://jennifer.zamudio-bbva.com/" TargetMode="External"/><Relationship Id="rId761" Type="http://schemas.openxmlformats.org/officeDocument/2006/relationships/hyperlink" Target="http://victorrafael.ramos-bbva.com/" TargetMode="External"/><Relationship Id="rId859" Type="http://schemas.openxmlformats.org/officeDocument/2006/relationships/hyperlink" Target="http://camilo.aguirre-bbva.com/" TargetMode="External"/><Relationship Id="rId1391" Type="http://schemas.openxmlformats.org/officeDocument/2006/relationships/hyperlink" Target="http://olga.lara-bbva.com/" TargetMode="External"/><Relationship Id="rId1489" Type="http://schemas.openxmlformats.org/officeDocument/2006/relationships/hyperlink" Target="http://geovany.ramirez-bbva.com/" TargetMode="External"/><Relationship Id="rId1696" Type="http://schemas.openxmlformats.org/officeDocument/2006/relationships/hyperlink" Target="http://yeraldineandrea.sierra-bbva.com/" TargetMode="External"/><Relationship Id="rId207" Type="http://schemas.openxmlformats.org/officeDocument/2006/relationships/hyperlink" Target="http://clara.mora-bbva.com/" TargetMode="External"/><Relationship Id="rId414" Type="http://schemas.openxmlformats.org/officeDocument/2006/relationships/hyperlink" Target="http://andrea.rengifo-bbva.com/" TargetMode="External"/><Relationship Id="rId621" Type="http://schemas.openxmlformats.org/officeDocument/2006/relationships/hyperlink" Target="http://valentina.giraldo-bbva.com/" TargetMode="External"/><Relationship Id="rId1044" Type="http://schemas.openxmlformats.org/officeDocument/2006/relationships/hyperlink" Target="http://monicaandrea.sanabria-bbva.com/" TargetMode="External"/><Relationship Id="rId1251" Type="http://schemas.openxmlformats.org/officeDocument/2006/relationships/hyperlink" Target="http://hugo.mongua-bbva.com/" TargetMode="External"/><Relationship Id="rId1349" Type="http://schemas.openxmlformats.org/officeDocument/2006/relationships/hyperlink" Target="http://juan.orozco-bbva.com/" TargetMode="External"/><Relationship Id="rId719" Type="http://schemas.openxmlformats.org/officeDocument/2006/relationships/hyperlink" Target="http://diegofernando.uribe-bbva.com/" TargetMode="External"/><Relationship Id="rId926" Type="http://schemas.openxmlformats.org/officeDocument/2006/relationships/hyperlink" Target="http://diegofernando.uribe-bbva.com/" TargetMode="External"/><Relationship Id="rId1111" Type="http://schemas.openxmlformats.org/officeDocument/2006/relationships/hyperlink" Target="http://manuel.villamil-bbva.com/" TargetMode="External"/><Relationship Id="rId1556" Type="http://schemas.openxmlformats.org/officeDocument/2006/relationships/hyperlink" Target="http://rubendario.nunez-bbva.com/" TargetMode="External"/><Relationship Id="rId1763" Type="http://schemas.openxmlformats.org/officeDocument/2006/relationships/hyperlink" Target="http://adriana.lopezb-bbva.com/" TargetMode="External"/><Relationship Id="rId55" Type="http://schemas.openxmlformats.org/officeDocument/2006/relationships/hyperlink" Target="http://juancamilo.mosquera-bbva.com/" TargetMode="External"/><Relationship Id="rId1209" Type="http://schemas.openxmlformats.org/officeDocument/2006/relationships/hyperlink" Target="http://geovany.ramirez-bbva.com/" TargetMode="External"/><Relationship Id="rId1416" Type="http://schemas.openxmlformats.org/officeDocument/2006/relationships/hyperlink" Target="http://yinet.acevedo-bbva.com/" TargetMode="External"/><Relationship Id="rId1623" Type="http://schemas.openxmlformats.org/officeDocument/2006/relationships/hyperlink" Target="http://giulianaandrea.guarin-bbva.com/" TargetMode="External"/><Relationship Id="rId1830" Type="http://schemas.openxmlformats.org/officeDocument/2006/relationships/hyperlink" Target="http://mariaalejandra.ramirez.jimene-bbva.com/" TargetMode="External"/><Relationship Id="rId271" Type="http://schemas.openxmlformats.org/officeDocument/2006/relationships/hyperlink" Target="http://erikajulieth.ruiz-bbva.com/" TargetMode="External"/><Relationship Id="rId131" Type="http://schemas.openxmlformats.org/officeDocument/2006/relationships/hyperlink" Target="http://sandrajohanna.gonzalez-bbva.com/" TargetMode="External"/><Relationship Id="rId369" Type="http://schemas.openxmlformats.org/officeDocument/2006/relationships/hyperlink" Target="http://josealejandro.duenas-bbva.com/" TargetMode="External"/><Relationship Id="rId576" Type="http://schemas.openxmlformats.org/officeDocument/2006/relationships/hyperlink" Target="http://andres.carrandi-bbva.com/" TargetMode="External"/><Relationship Id="rId783" Type="http://schemas.openxmlformats.org/officeDocument/2006/relationships/hyperlink" Target="http://sandrajohanna.gonzalez-bbva.com/" TargetMode="External"/><Relationship Id="rId990" Type="http://schemas.openxmlformats.org/officeDocument/2006/relationships/hyperlink" Target="http://mairanela.ramirez.salazar-bbva.com/" TargetMode="External"/><Relationship Id="rId229" Type="http://schemas.openxmlformats.org/officeDocument/2006/relationships/hyperlink" Target="http://mairanela.ramirez.salazar-bbva.com/" TargetMode="External"/><Relationship Id="rId436" Type="http://schemas.openxmlformats.org/officeDocument/2006/relationships/hyperlink" Target="http://john.ardila-bbva.com/" TargetMode="External"/><Relationship Id="rId643" Type="http://schemas.openxmlformats.org/officeDocument/2006/relationships/hyperlink" Target="http://milagros.lastra-bbva.com/" TargetMode="External"/><Relationship Id="rId1066" Type="http://schemas.openxmlformats.org/officeDocument/2006/relationships/hyperlink" Target="http://andresfelipe.fuentes-bbva.com/" TargetMode="External"/><Relationship Id="rId1273" Type="http://schemas.openxmlformats.org/officeDocument/2006/relationships/hyperlink" Target="http://juan.orozco-bbva.com/" TargetMode="External"/><Relationship Id="rId1480" Type="http://schemas.openxmlformats.org/officeDocument/2006/relationships/hyperlink" Target="http://luz.cifuentes-bbva.com/" TargetMode="External"/><Relationship Id="rId850" Type="http://schemas.openxmlformats.org/officeDocument/2006/relationships/hyperlink" Target="http://manuel.villamil-bbva.com/" TargetMode="External"/><Relationship Id="rId948" Type="http://schemas.openxmlformats.org/officeDocument/2006/relationships/hyperlink" Target="http://maritza.guerrero-bbva.com/" TargetMode="External"/><Relationship Id="rId1133" Type="http://schemas.openxmlformats.org/officeDocument/2006/relationships/hyperlink" Target="http://sandrajohanna.gonzalez-bbva.com/" TargetMode="External"/><Relationship Id="rId1578" Type="http://schemas.openxmlformats.org/officeDocument/2006/relationships/hyperlink" Target="http://william.vargas-bbva.com/" TargetMode="External"/><Relationship Id="rId1785" Type="http://schemas.openxmlformats.org/officeDocument/2006/relationships/hyperlink" Target="http://magda.pedraza-bbva.com/" TargetMode="External"/><Relationship Id="rId77" Type="http://schemas.openxmlformats.org/officeDocument/2006/relationships/hyperlink" Target="http://jorgeh.cruz-bbva.com/" TargetMode="External"/><Relationship Id="rId503" Type="http://schemas.openxmlformats.org/officeDocument/2006/relationships/hyperlink" Target="http://lyda.cabanzo-bbva.com/" TargetMode="External"/><Relationship Id="rId710" Type="http://schemas.openxmlformats.org/officeDocument/2006/relationships/hyperlink" Target="http://celso.hernandez-bbva.com/" TargetMode="External"/><Relationship Id="rId808" Type="http://schemas.openxmlformats.org/officeDocument/2006/relationships/hyperlink" Target="http://diegofernando.uribe-bbva.com/" TargetMode="External"/><Relationship Id="rId1340" Type="http://schemas.openxmlformats.org/officeDocument/2006/relationships/hyperlink" Target="http://felipe.guzman-bbva.com/" TargetMode="External"/><Relationship Id="rId1438" Type="http://schemas.openxmlformats.org/officeDocument/2006/relationships/hyperlink" Target="http://lady.cervera-bbva.com/" TargetMode="External"/><Relationship Id="rId1645" Type="http://schemas.openxmlformats.org/officeDocument/2006/relationships/hyperlink" Target="http://hugoalberto.abreo-bbva.com/" TargetMode="External"/><Relationship Id="rId1200" Type="http://schemas.openxmlformats.org/officeDocument/2006/relationships/hyperlink" Target="http://jorge.carvajal-bbva.com/" TargetMode="External"/><Relationship Id="rId1852" Type="http://schemas.openxmlformats.org/officeDocument/2006/relationships/hyperlink" Target="http://sebastian.valencia.ramirez.contractor-bbva.com/" TargetMode="External"/><Relationship Id="rId1505" Type="http://schemas.openxmlformats.org/officeDocument/2006/relationships/hyperlink" Target="http://jaime.trujillo-bbva.com/" TargetMode="External"/><Relationship Id="rId1712" Type="http://schemas.openxmlformats.org/officeDocument/2006/relationships/hyperlink" Target="http://sebastian.martinez.jaramillo-bbva.com/" TargetMode="External"/><Relationship Id="rId293" Type="http://schemas.openxmlformats.org/officeDocument/2006/relationships/hyperlink" Target="http://pabloandres.villada-bbva.com/" TargetMode="External"/><Relationship Id="rId153" Type="http://schemas.openxmlformats.org/officeDocument/2006/relationships/hyperlink" Target="http://nelson.ramirez-bbva.com/" TargetMode="External"/><Relationship Id="rId360" Type="http://schemas.openxmlformats.org/officeDocument/2006/relationships/hyperlink" Target="http://angelica.granados-bbva.com/" TargetMode="External"/><Relationship Id="rId598" Type="http://schemas.openxmlformats.org/officeDocument/2006/relationships/hyperlink" Target="http://camila.nino-bbva.com/" TargetMode="External"/><Relationship Id="rId220" Type="http://schemas.openxmlformats.org/officeDocument/2006/relationships/hyperlink" Target="http://david.robayo-bbva.com/" TargetMode="External"/><Relationship Id="rId458" Type="http://schemas.openxmlformats.org/officeDocument/2006/relationships/hyperlink" Target="http://liztatiana.lopez-bbva.com/" TargetMode="External"/><Relationship Id="rId665" Type="http://schemas.openxmlformats.org/officeDocument/2006/relationships/hyperlink" Target="http://geovany.ramirez-bbva.com/" TargetMode="External"/><Relationship Id="rId872" Type="http://schemas.openxmlformats.org/officeDocument/2006/relationships/hyperlink" Target="http://felipe.guzman-bbva.com/" TargetMode="External"/><Relationship Id="rId1088" Type="http://schemas.openxmlformats.org/officeDocument/2006/relationships/hyperlink" Target="http://ivan_dario.ariza-bbva.com/" TargetMode="External"/><Relationship Id="rId1295" Type="http://schemas.openxmlformats.org/officeDocument/2006/relationships/hyperlink" Target="http://pabloalexand.ortiz-bbva.com/" TargetMode="External"/><Relationship Id="rId318" Type="http://schemas.openxmlformats.org/officeDocument/2006/relationships/hyperlink" Target="http://alejandro.fandino-bbva.com/" TargetMode="External"/><Relationship Id="rId525" Type="http://schemas.openxmlformats.org/officeDocument/2006/relationships/hyperlink" Target="http://katherine.pardo-bbva.com/" TargetMode="External"/><Relationship Id="rId732" Type="http://schemas.openxmlformats.org/officeDocument/2006/relationships/hyperlink" Target="http://william.vargas-bbva.com/" TargetMode="External"/><Relationship Id="rId1155" Type="http://schemas.openxmlformats.org/officeDocument/2006/relationships/hyperlink" Target="http://yurimilena.moreno-bbva.com/" TargetMode="External"/><Relationship Id="rId1362" Type="http://schemas.openxmlformats.org/officeDocument/2006/relationships/hyperlink" Target="http://diegofernando.uribe-bbva.com/" TargetMode="External"/><Relationship Id="rId99" Type="http://schemas.openxmlformats.org/officeDocument/2006/relationships/hyperlink" Target="http://juancamilo.mosquera-bbva.com/" TargetMode="External"/><Relationship Id="rId1015" Type="http://schemas.openxmlformats.org/officeDocument/2006/relationships/hyperlink" Target="http://monicaandrea.abogado-bbva.com/" TargetMode="External"/><Relationship Id="rId1222" Type="http://schemas.openxmlformats.org/officeDocument/2006/relationships/hyperlink" Target="http://milagros.lastra-bbva.com/" TargetMode="External"/><Relationship Id="rId1667" Type="http://schemas.openxmlformats.org/officeDocument/2006/relationships/hyperlink" Target="http://marcoantonio.molano-bbva.com/" TargetMode="External"/><Relationship Id="rId1874" Type="http://schemas.openxmlformats.org/officeDocument/2006/relationships/hyperlink" Target="http://monica.zamudio-bbva.com/" TargetMode="External"/><Relationship Id="rId1527" Type="http://schemas.openxmlformats.org/officeDocument/2006/relationships/hyperlink" Target="http://marcoantonio.guzman-bbva.com/" TargetMode="External"/><Relationship Id="rId1734" Type="http://schemas.openxmlformats.org/officeDocument/2006/relationships/hyperlink" Target="http://diana.barrantes-bbva.com/" TargetMode="External"/><Relationship Id="rId26" Type="http://schemas.openxmlformats.org/officeDocument/2006/relationships/hyperlink" Target="http://elkinmauricio.lopez-bbva.com/" TargetMode="External"/><Relationship Id="rId175" Type="http://schemas.openxmlformats.org/officeDocument/2006/relationships/hyperlink" Target="http://rafael.lopesierra-bbva.com/" TargetMode="External"/><Relationship Id="rId743" Type="http://schemas.openxmlformats.org/officeDocument/2006/relationships/hyperlink" Target="http://judy.prieto-bbva.com/" TargetMode="External"/><Relationship Id="rId950" Type="http://schemas.openxmlformats.org/officeDocument/2006/relationships/hyperlink" Target="http://williamenrique.mendez-bbva.com/" TargetMode="External"/><Relationship Id="rId1026" Type="http://schemas.openxmlformats.org/officeDocument/2006/relationships/hyperlink" Target="http://felipe.guzman-bbva.com/" TargetMode="External"/><Relationship Id="rId1580" Type="http://schemas.openxmlformats.org/officeDocument/2006/relationships/hyperlink" Target="http://marthapatric.cruz-bbva.com/" TargetMode="External"/><Relationship Id="rId1678" Type="http://schemas.openxmlformats.org/officeDocument/2006/relationships/hyperlink" Target="http://andresfelipe.granados-bbva.com/" TargetMode="External"/><Relationship Id="rId1801" Type="http://schemas.openxmlformats.org/officeDocument/2006/relationships/hyperlink" Target="http://christian.aranda-bbva.com/" TargetMode="External"/><Relationship Id="rId1885" Type="http://schemas.openxmlformats.org/officeDocument/2006/relationships/hyperlink" Target="http://daniel.ferreira-bbva.com/" TargetMode="External"/><Relationship Id="rId382" Type="http://schemas.openxmlformats.org/officeDocument/2006/relationships/hyperlink" Target="http://wilson.torres-bbva.com/" TargetMode="External"/><Relationship Id="rId603" Type="http://schemas.openxmlformats.org/officeDocument/2006/relationships/hyperlink" Target="http://sandrajohanna.gonzalez-bbva.com/" TargetMode="External"/><Relationship Id="rId687" Type="http://schemas.openxmlformats.org/officeDocument/2006/relationships/hyperlink" Target="http://william.vargas-bbva.com/" TargetMode="External"/><Relationship Id="rId810" Type="http://schemas.openxmlformats.org/officeDocument/2006/relationships/hyperlink" Target="http://hugoalberto.abreo-bbva.com/" TargetMode="External"/><Relationship Id="rId908" Type="http://schemas.openxmlformats.org/officeDocument/2006/relationships/hyperlink" Target="http://nancymayerly.castiblanco-bbva.com/" TargetMode="External"/><Relationship Id="rId1233" Type="http://schemas.openxmlformats.org/officeDocument/2006/relationships/hyperlink" Target="http://irene.angel-bbva.com/" TargetMode="External"/><Relationship Id="rId1440" Type="http://schemas.openxmlformats.org/officeDocument/2006/relationships/hyperlink" Target="http://raul.decelis-bbva.com/" TargetMode="External"/><Relationship Id="rId1538" Type="http://schemas.openxmlformats.org/officeDocument/2006/relationships/hyperlink" Target="http://david.juvinao-bbva.com/" TargetMode="External"/><Relationship Id="rId242" Type="http://schemas.openxmlformats.org/officeDocument/2006/relationships/hyperlink" Target="http://luzmarina.gutierrez-bbva.com/" TargetMode="External"/><Relationship Id="rId894" Type="http://schemas.openxmlformats.org/officeDocument/2006/relationships/hyperlink" Target="http://liliana.marquez-bbva.com/" TargetMode="External"/><Relationship Id="rId1177" Type="http://schemas.openxmlformats.org/officeDocument/2006/relationships/hyperlink" Target="http://andresfelipe.granados-bbva.com/" TargetMode="External"/><Relationship Id="rId1300" Type="http://schemas.openxmlformats.org/officeDocument/2006/relationships/hyperlink" Target="http://yesid.forero-bbva.com/" TargetMode="External"/><Relationship Id="rId1745" Type="http://schemas.openxmlformats.org/officeDocument/2006/relationships/hyperlink" Target="http://dianacarolina.gonzalez.castri-bbva.com/" TargetMode="External"/><Relationship Id="rId37" Type="http://schemas.openxmlformats.org/officeDocument/2006/relationships/hyperlink" Target="http://jorgeeduardo.gomez.forero-bbva.com/" TargetMode="External"/><Relationship Id="rId102" Type="http://schemas.openxmlformats.org/officeDocument/2006/relationships/hyperlink" Target="http://dianacarolina.gonzalez.castri-bbva.com/" TargetMode="External"/><Relationship Id="rId547" Type="http://schemas.openxmlformats.org/officeDocument/2006/relationships/hyperlink" Target="http://alcibiades.rodriguez-bbva.com/" TargetMode="External"/><Relationship Id="rId754" Type="http://schemas.openxmlformats.org/officeDocument/2006/relationships/hyperlink" Target="http://josealejandro.duenas-bbva.com/" TargetMode="External"/><Relationship Id="rId961" Type="http://schemas.openxmlformats.org/officeDocument/2006/relationships/hyperlink" Target="http://david.juvinao-bbva.com/" TargetMode="External"/><Relationship Id="rId1384" Type="http://schemas.openxmlformats.org/officeDocument/2006/relationships/hyperlink" Target="http://rubendario.nunez-bbva.com/" TargetMode="External"/><Relationship Id="rId1591" Type="http://schemas.openxmlformats.org/officeDocument/2006/relationships/hyperlink" Target="http://clara.mora-bbva.com/" TargetMode="External"/><Relationship Id="rId1605" Type="http://schemas.openxmlformats.org/officeDocument/2006/relationships/hyperlink" Target="http://rociomarcela.lopez-bbva.com/" TargetMode="External"/><Relationship Id="rId1689" Type="http://schemas.openxmlformats.org/officeDocument/2006/relationships/hyperlink" Target="http://andresfelipe.granados-bbva.com/" TargetMode="External"/><Relationship Id="rId1812" Type="http://schemas.openxmlformats.org/officeDocument/2006/relationships/hyperlink" Target="http://ivanmauricio.perez-bbva.com/" TargetMode="External"/><Relationship Id="rId90" Type="http://schemas.openxmlformats.org/officeDocument/2006/relationships/hyperlink" Target="http://juhan.lozano-bbva.com/" TargetMode="External"/><Relationship Id="rId186" Type="http://schemas.openxmlformats.org/officeDocument/2006/relationships/hyperlink" Target="http://oscar.bejarano-bbva.com/" TargetMode="External"/><Relationship Id="rId393" Type="http://schemas.openxmlformats.org/officeDocument/2006/relationships/hyperlink" Target="http://juan.bejarano-bbva.com/" TargetMode="External"/><Relationship Id="rId407" Type="http://schemas.openxmlformats.org/officeDocument/2006/relationships/hyperlink" Target="http://luis.plata-bbva.com/" TargetMode="External"/><Relationship Id="rId614" Type="http://schemas.openxmlformats.org/officeDocument/2006/relationships/hyperlink" Target="http://hernan.riveros-bbva.com/" TargetMode="External"/><Relationship Id="rId821" Type="http://schemas.openxmlformats.org/officeDocument/2006/relationships/hyperlink" Target="http://juan.orozco-bbva.com/" TargetMode="External"/><Relationship Id="rId1037" Type="http://schemas.openxmlformats.org/officeDocument/2006/relationships/hyperlink" Target="http://sandrajohanna.gonzalez-bbva.com/" TargetMode="External"/><Relationship Id="rId1244" Type="http://schemas.openxmlformats.org/officeDocument/2006/relationships/hyperlink" Target="http://nathaliamaria.torres-bbva.com/" TargetMode="External"/><Relationship Id="rId1451" Type="http://schemas.openxmlformats.org/officeDocument/2006/relationships/hyperlink" Target="http://cesaraugusto.soto-bbva.com/" TargetMode="External"/><Relationship Id="rId1896" Type="http://schemas.openxmlformats.org/officeDocument/2006/relationships/hyperlink" Target="http://elkinmauricio.lopez-bbva.com/" TargetMode="External"/><Relationship Id="rId253" Type="http://schemas.openxmlformats.org/officeDocument/2006/relationships/hyperlink" Target="http://lizethlorena.rodriguez-bbva.com/" TargetMode="External"/><Relationship Id="rId460" Type="http://schemas.openxmlformats.org/officeDocument/2006/relationships/hyperlink" Target="http://victorrafael.ramos-bbva.com/" TargetMode="External"/><Relationship Id="rId698" Type="http://schemas.openxmlformats.org/officeDocument/2006/relationships/hyperlink" Target="http://marthapatric.cruz-bbva.com/" TargetMode="External"/><Relationship Id="rId919" Type="http://schemas.openxmlformats.org/officeDocument/2006/relationships/hyperlink" Target="http://juhan.lozano-bbva.com/" TargetMode="External"/><Relationship Id="rId1090" Type="http://schemas.openxmlformats.org/officeDocument/2006/relationships/hyperlink" Target="http://milagros.lastra-bbva.com/" TargetMode="External"/><Relationship Id="rId1104" Type="http://schemas.openxmlformats.org/officeDocument/2006/relationships/hyperlink" Target="http://fredy.pineda-bbva.com/" TargetMode="External"/><Relationship Id="rId1311" Type="http://schemas.openxmlformats.org/officeDocument/2006/relationships/hyperlink" Target="http://camila.nino-bbva.com/" TargetMode="External"/><Relationship Id="rId1549" Type="http://schemas.openxmlformats.org/officeDocument/2006/relationships/hyperlink" Target="http://john.ardila-bbva.com/" TargetMode="External"/><Relationship Id="rId1756" Type="http://schemas.openxmlformats.org/officeDocument/2006/relationships/hyperlink" Target="http://lady.cervera-bbva.com/" TargetMode="External"/><Relationship Id="rId48" Type="http://schemas.openxmlformats.org/officeDocument/2006/relationships/hyperlink" Target="http://luis.plata-bbva.com/" TargetMode="External"/><Relationship Id="rId113" Type="http://schemas.openxmlformats.org/officeDocument/2006/relationships/hyperlink" Target="http://josealejandro.duenas-bbva.com/" TargetMode="External"/><Relationship Id="rId320" Type="http://schemas.openxmlformats.org/officeDocument/2006/relationships/hyperlink" Target="http://maritza.guerrero-bbva.com/" TargetMode="External"/><Relationship Id="rId558" Type="http://schemas.openxmlformats.org/officeDocument/2006/relationships/hyperlink" Target="http://julio.avila2-bbva.com/" TargetMode="External"/><Relationship Id="rId765" Type="http://schemas.openxmlformats.org/officeDocument/2006/relationships/hyperlink" Target="http://juancamilo.mosquera-bbva.com/" TargetMode="External"/><Relationship Id="rId972" Type="http://schemas.openxmlformats.org/officeDocument/2006/relationships/hyperlink" Target="http://bryanantonio.quiroz-bbva.com/" TargetMode="External"/><Relationship Id="rId1188" Type="http://schemas.openxmlformats.org/officeDocument/2006/relationships/hyperlink" Target="http://nathaliamaria.torres-bbva.com/" TargetMode="External"/><Relationship Id="rId1395" Type="http://schemas.openxmlformats.org/officeDocument/2006/relationships/hyperlink" Target="http://manuelignacio.trujillo-bbva.com/" TargetMode="External"/><Relationship Id="rId1409" Type="http://schemas.openxmlformats.org/officeDocument/2006/relationships/hyperlink" Target="http://luis.plata-bbva.com/" TargetMode="External"/><Relationship Id="rId1616" Type="http://schemas.openxmlformats.org/officeDocument/2006/relationships/hyperlink" Target="http://maritza.guerrero-bbva.com/" TargetMode="External"/><Relationship Id="rId1823" Type="http://schemas.openxmlformats.org/officeDocument/2006/relationships/hyperlink" Target="http://david.iscar-bbva.com/" TargetMode="External"/><Relationship Id="rId197" Type="http://schemas.openxmlformats.org/officeDocument/2006/relationships/hyperlink" Target="http://alejandro.fandino-bbva.com/" TargetMode="External"/><Relationship Id="rId418" Type="http://schemas.openxmlformats.org/officeDocument/2006/relationships/hyperlink" Target="http://rafael.lopesierra-bbva.com/" TargetMode="External"/><Relationship Id="rId625" Type="http://schemas.openxmlformats.org/officeDocument/2006/relationships/hyperlink" Target="http://oscar.bejarano-bbva.com/" TargetMode="External"/><Relationship Id="rId832" Type="http://schemas.openxmlformats.org/officeDocument/2006/relationships/hyperlink" Target="http://hugo.mongua-bbva.com/" TargetMode="External"/><Relationship Id="rId1048" Type="http://schemas.openxmlformats.org/officeDocument/2006/relationships/hyperlink" Target="http://armandorafael.vasquez.altamar-bbva.com/" TargetMode="External"/><Relationship Id="rId1255" Type="http://schemas.openxmlformats.org/officeDocument/2006/relationships/hyperlink" Target="http://alexander.galindo-bbva.com/" TargetMode="External"/><Relationship Id="rId1462" Type="http://schemas.openxmlformats.org/officeDocument/2006/relationships/hyperlink" Target="http://humberto.patarroyo.osorio-bbva.com/" TargetMode="External"/><Relationship Id="rId264" Type="http://schemas.openxmlformats.org/officeDocument/2006/relationships/hyperlink" Target="http://josealejandro.duenas-bbva.com/" TargetMode="External"/><Relationship Id="rId471" Type="http://schemas.openxmlformats.org/officeDocument/2006/relationships/hyperlink" Target="http://gustavo.ferrucho-bbva.com/" TargetMode="External"/><Relationship Id="rId1115" Type="http://schemas.openxmlformats.org/officeDocument/2006/relationships/hyperlink" Target="http://nathaliamaria.torres-bbva.com/" TargetMode="External"/><Relationship Id="rId1322" Type="http://schemas.openxmlformats.org/officeDocument/2006/relationships/hyperlink" Target="http://david.iscar-bbva.com/" TargetMode="External"/><Relationship Id="rId1767" Type="http://schemas.openxmlformats.org/officeDocument/2006/relationships/hyperlink" Target="http://taniaalexandra.jula-bbva.com/" TargetMode="External"/><Relationship Id="rId59" Type="http://schemas.openxmlformats.org/officeDocument/2006/relationships/hyperlink" Target="http://angelica.granados-bbva.com/" TargetMode="External"/><Relationship Id="rId124" Type="http://schemas.openxmlformats.org/officeDocument/2006/relationships/hyperlink" Target="http://james.veitia-bbva.com/" TargetMode="External"/><Relationship Id="rId569" Type="http://schemas.openxmlformats.org/officeDocument/2006/relationships/hyperlink" Target="http://ader.anaya-bbva.com/" TargetMode="External"/><Relationship Id="rId776" Type="http://schemas.openxmlformats.org/officeDocument/2006/relationships/hyperlink" Target="http://sebastian.martinez.jaramillo-bbva.com/" TargetMode="External"/><Relationship Id="rId983" Type="http://schemas.openxmlformats.org/officeDocument/2006/relationships/hyperlink" Target="http://angelica.granados-bbva.com/" TargetMode="External"/><Relationship Id="rId1199" Type="http://schemas.openxmlformats.org/officeDocument/2006/relationships/hyperlink" Target="http://yurimilena.moreno-bbva.com/" TargetMode="External"/><Relationship Id="rId1627" Type="http://schemas.openxmlformats.org/officeDocument/2006/relationships/hyperlink" Target="http://hernanmauricio.lozada-bbva.com/" TargetMode="External"/><Relationship Id="rId1834" Type="http://schemas.openxmlformats.org/officeDocument/2006/relationships/hyperlink" Target="http://hayden.cardenas-bbva.com/" TargetMode="External"/><Relationship Id="rId331" Type="http://schemas.openxmlformats.org/officeDocument/2006/relationships/hyperlink" Target="http://javier.sotom-bbva.com/" TargetMode="External"/><Relationship Id="rId429" Type="http://schemas.openxmlformats.org/officeDocument/2006/relationships/hyperlink" Target="http://humberto.patarroyo.osorio-bbva.com/" TargetMode="External"/><Relationship Id="rId636" Type="http://schemas.openxmlformats.org/officeDocument/2006/relationships/hyperlink" Target="http://williamenrique.mendez-bbva.com/" TargetMode="External"/><Relationship Id="rId1059" Type="http://schemas.openxmlformats.org/officeDocument/2006/relationships/hyperlink" Target="http://paolaandrea.gil-bbva.com/" TargetMode="External"/><Relationship Id="rId1266" Type="http://schemas.openxmlformats.org/officeDocument/2006/relationships/hyperlink" Target="http://erickson.soler-bbva.com/" TargetMode="External"/><Relationship Id="rId1473" Type="http://schemas.openxmlformats.org/officeDocument/2006/relationships/hyperlink" Target="http://jordi.sole-bbva.com/" TargetMode="External"/><Relationship Id="rId843" Type="http://schemas.openxmlformats.org/officeDocument/2006/relationships/hyperlink" Target="http://martha.reyes-bbva.com/" TargetMode="External"/><Relationship Id="rId1126" Type="http://schemas.openxmlformats.org/officeDocument/2006/relationships/hyperlink" Target="http://manuel.villamil-bbva.com/" TargetMode="External"/><Relationship Id="rId1680" Type="http://schemas.openxmlformats.org/officeDocument/2006/relationships/hyperlink" Target="http://andresfelipe.granados-bbva.com/" TargetMode="External"/><Relationship Id="rId1778" Type="http://schemas.openxmlformats.org/officeDocument/2006/relationships/hyperlink" Target="http://jhonathan.gaona-bbva.com/" TargetMode="External"/><Relationship Id="rId1901" Type="http://schemas.openxmlformats.org/officeDocument/2006/relationships/hyperlink" Target="http://manuel.villamil-bbva.com/" TargetMode="External"/><Relationship Id="rId275" Type="http://schemas.openxmlformats.org/officeDocument/2006/relationships/hyperlink" Target="http://julio.avila2-bbva.com/" TargetMode="External"/><Relationship Id="rId482" Type="http://schemas.openxmlformats.org/officeDocument/2006/relationships/hyperlink" Target="http://hugo.mongua-bbva.com/" TargetMode="External"/><Relationship Id="rId703" Type="http://schemas.openxmlformats.org/officeDocument/2006/relationships/hyperlink" Target="http://sandrajohanna.gonzalez-bbva.com/" TargetMode="External"/><Relationship Id="rId910" Type="http://schemas.openxmlformats.org/officeDocument/2006/relationships/hyperlink" Target="http://rocio.garces-bbva.com/" TargetMode="External"/><Relationship Id="rId1333" Type="http://schemas.openxmlformats.org/officeDocument/2006/relationships/hyperlink" Target="http://carlosandres.mora-bbva.com/" TargetMode="External"/><Relationship Id="rId1540" Type="http://schemas.openxmlformats.org/officeDocument/2006/relationships/hyperlink" Target="http://edwin.vargas-bbva.com/" TargetMode="External"/><Relationship Id="rId1638" Type="http://schemas.openxmlformats.org/officeDocument/2006/relationships/hyperlink" Target="http://carlosandres.moque-bbva.com/" TargetMode="External"/><Relationship Id="rId135" Type="http://schemas.openxmlformats.org/officeDocument/2006/relationships/hyperlink" Target="http://fabian.vargas-bbva.com/" TargetMode="External"/><Relationship Id="rId342" Type="http://schemas.openxmlformats.org/officeDocument/2006/relationships/hyperlink" Target="http://johnjairo.martinez-bbva.com/" TargetMode="External"/><Relationship Id="rId787" Type="http://schemas.openxmlformats.org/officeDocument/2006/relationships/hyperlink" Target="http://marthapatric.cruz-bbva.com/" TargetMode="External"/><Relationship Id="rId994" Type="http://schemas.openxmlformats.org/officeDocument/2006/relationships/hyperlink" Target="http://july.miranda-bbva.com/" TargetMode="External"/><Relationship Id="rId1400" Type="http://schemas.openxmlformats.org/officeDocument/2006/relationships/hyperlink" Target="http://ivanjesus.esparragoza-bbva.com/" TargetMode="External"/><Relationship Id="rId1845" Type="http://schemas.openxmlformats.org/officeDocument/2006/relationships/hyperlink" Target="http://elizabeth.diaz-bbva.com/" TargetMode="External"/><Relationship Id="rId202" Type="http://schemas.openxmlformats.org/officeDocument/2006/relationships/hyperlink" Target="http://maritza.guerrero-bbva.com/" TargetMode="External"/><Relationship Id="rId647" Type="http://schemas.openxmlformats.org/officeDocument/2006/relationships/hyperlink" Target="http://carlosgabriel.garcia-bbva.com/" TargetMode="External"/><Relationship Id="rId854" Type="http://schemas.openxmlformats.org/officeDocument/2006/relationships/hyperlink" Target="http://sandra.meza-bbva.com/" TargetMode="External"/><Relationship Id="rId1277" Type="http://schemas.openxmlformats.org/officeDocument/2006/relationships/hyperlink" Target="http://ximena.barrera-bbva.com/" TargetMode="External"/><Relationship Id="rId1484" Type="http://schemas.openxmlformats.org/officeDocument/2006/relationships/hyperlink" Target="http://hernanmauricio.lozada-bbva.com/" TargetMode="External"/><Relationship Id="rId1691" Type="http://schemas.openxmlformats.org/officeDocument/2006/relationships/hyperlink" Target="http://manuel.villamil-bbva.com/" TargetMode="External"/><Relationship Id="rId1705" Type="http://schemas.openxmlformats.org/officeDocument/2006/relationships/hyperlink" Target="http://williamenrique.mendez-bbva.com/" TargetMode="External"/><Relationship Id="rId1912" Type="http://schemas.openxmlformats.org/officeDocument/2006/relationships/hyperlink" Target="http://sandrajohanna.gonzalez-bbva.com/" TargetMode="External"/><Relationship Id="rId286" Type="http://schemas.openxmlformats.org/officeDocument/2006/relationships/hyperlink" Target="http://carolina.calvachi-bbva.com/" TargetMode="External"/><Relationship Id="rId493" Type="http://schemas.openxmlformats.org/officeDocument/2006/relationships/hyperlink" Target="http://elkinmauricio.lopez-bbva.com/" TargetMode="External"/><Relationship Id="rId507" Type="http://schemas.openxmlformats.org/officeDocument/2006/relationships/hyperlink" Target="http://mariana.gil.escobar-bbva.com/" TargetMode="External"/><Relationship Id="rId714" Type="http://schemas.openxmlformats.org/officeDocument/2006/relationships/hyperlink" Target="http://alcibiades.rodriguez-bbva.com/" TargetMode="External"/><Relationship Id="rId921" Type="http://schemas.openxmlformats.org/officeDocument/2006/relationships/hyperlink" Target="http://mariacamila.buitrago-bbva.com/" TargetMode="External"/><Relationship Id="rId1137" Type="http://schemas.openxmlformats.org/officeDocument/2006/relationships/hyperlink" Target="http://andresfelipe.granados-bbva.com/" TargetMode="External"/><Relationship Id="rId1344" Type="http://schemas.openxmlformats.org/officeDocument/2006/relationships/hyperlink" Target="http://nelson.ruiz-bbva.com/" TargetMode="External"/><Relationship Id="rId1551" Type="http://schemas.openxmlformats.org/officeDocument/2006/relationships/hyperlink" Target="http://rubendario.nunez-bbva.com/" TargetMode="External"/><Relationship Id="rId1789" Type="http://schemas.openxmlformats.org/officeDocument/2006/relationships/hyperlink" Target="http://josemleal-bbva.com/" TargetMode="External"/><Relationship Id="rId50" Type="http://schemas.openxmlformats.org/officeDocument/2006/relationships/hyperlink" Target="http://wilson.vera-bbva.com/" TargetMode="External"/><Relationship Id="rId146" Type="http://schemas.openxmlformats.org/officeDocument/2006/relationships/hyperlink" Target="http://carlosmauricio.torres-bbva.com/" TargetMode="External"/><Relationship Id="rId353" Type="http://schemas.openxmlformats.org/officeDocument/2006/relationships/hyperlink" Target="http://julio.avila2-bbva.com/" TargetMode="External"/><Relationship Id="rId560" Type="http://schemas.openxmlformats.org/officeDocument/2006/relationships/hyperlink" Target="http://jose.tibruza-bbva.com/" TargetMode="External"/><Relationship Id="rId798" Type="http://schemas.openxmlformats.org/officeDocument/2006/relationships/hyperlink" Target="http://hugoalberto.abreo-bbva.com/" TargetMode="External"/><Relationship Id="rId1190" Type="http://schemas.openxmlformats.org/officeDocument/2006/relationships/hyperlink" Target="http://nathaliamaria.torres-bbva.com/" TargetMode="External"/><Relationship Id="rId1204" Type="http://schemas.openxmlformats.org/officeDocument/2006/relationships/hyperlink" Target="http://vivianamarcela.rueda-bbva.com/" TargetMode="External"/><Relationship Id="rId1411" Type="http://schemas.openxmlformats.org/officeDocument/2006/relationships/hyperlink" Target="http://leonardo.jimenez-bbva.com/" TargetMode="External"/><Relationship Id="rId1649" Type="http://schemas.openxmlformats.org/officeDocument/2006/relationships/hyperlink" Target="http://andreacarolina.camacho-bbva.com/" TargetMode="External"/><Relationship Id="rId1856" Type="http://schemas.openxmlformats.org/officeDocument/2006/relationships/hyperlink" Target="http://camiloandres.moreno-bbva.com/" TargetMode="External"/><Relationship Id="rId213" Type="http://schemas.openxmlformats.org/officeDocument/2006/relationships/hyperlink" Target="http://jimy.catolico-bbva.com/" TargetMode="External"/><Relationship Id="rId420" Type="http://schemas.openxmlformats.org/officeDocument/2006/relationships/hyperlink" Target="http://henryr.rodriguez-bbva.com/" TargetMode="External"/><Relationship Id="rId658" Type="http://schemas.openxmlformats.org/officeDocument/2006/relationships/hyperlink" Target="http://josealejandro.duenas-bbva.com/" TargetMode="External"/><Relationship Id="rId865" Type="http://schemas.openxmlformats.org/officeDocument/2006/relationships/hyperlink" Target="http://camilo.aguirre-bbva.com/" TargetMode="External"/><Relationship Id="rId1050" Type="http://schemas.openxmlformats.org/officeDocument/2006/relationships/hyperlink" Target="http://jesusalejandro.moreno-bbva.com/" TargetMode="External"/><Relationship Id="rId1288" Type="http://schemas.openxmlformats.org/officeDocument/2006/relationships/hyperlink" Target="http://sebastian.martinez.jaramillo-bbva.com/" TargetMode="External"/><Relationship Id="rId1495" Type="http://schemas.openxmlformats.org/officeDocument/2006/relationships/hyperlink" Target="http://giovanny.vargas-bbva.com/" TargetMode="External"/><Relationship Id="rId1509" Type="http://schemas.openxmlformats.org/officeDocument/2006/relationships/hyperlink" Target="http://jeissonandres.diaz.rodriguez-bbva.com/" TargetMode="External"/><Relationship Id="rId1716" Type="http://schemas.openxmlformats.org/officeDocument/2006/relationships/hyperlink" Target="http://jordi.sole-bbva.com/" TargetMode="External"/><Relationship Id="rId1923" Type="http://schemas.openxmlformats.org/officeDocument/2006/relationships/printerSettings" Target="../printerSettings/printerSettings1.bin"/><Relationship Id="rId297" Type="http://schemas.openxmlformats.org/officeDocument/2006/relationships/hyperlink" Target="http://josealejandro.duenas-bbva.com/" TargetMode="External"/><Relationship Id="rId518" Type="http://schemas.openxmlformats.org/officeDocument/2006/relationships/hyperlink" Target="http://sandrapatricia.ramirez-bbva.com/" TargetMode="External"/><Relationship Id="rId725" Type="http://schemas.openxmlformats.org/officeDocument/2006/relationships/hyperlink" Target="http://judy.prieto-bbva.com/" TargetMode="External"/><Relationship Id="rId932" Type="http://schemas.openxmlformats.org/officeDocument/2006/relationships/hyperlink" Target="http://clara.mora-bbva.com/" TargetMode="External"/><Relationship Id="rId1148" Type="http://schemas.openxmlformats.org/officeDocument/2006/relationships/hyperlink" Target="http://nelsonfelipe.medina-bbva.com/" TargetMode="External"/><Relationship Id="rId1355" Type="http://schemas.openxmlformats.org/officeDocument/2006/relationships/hyperlink" Target="http://luzmarina.gutierrez-bbva.com/" TargetMode="External"/><Relationship Id="rId1562" Type="http://schemas.openxmlformats.org/officeDocument/2006/relationships/hyperlink" Target="http://henryr.rodriguez-bbva.com/" TargetMode="External"/><Relationship Id="rId157" Type="http://schemas.openxmlformats.org/officeDocument/2006/relationships/hyperlink" Target="http://mairanela.ramirez.salazar-bbva.com/" TargetMode="External"/><Relationship Id="rId364" Type="http://schemas.openxmlformats.org/officeDocument/2006/relationships/hyperlink" Target="http://mario.lobo-bbva.com/" TargetMode="External"/><Relationship Id="rId1008" Type="http://schemas.openxmlformats.org/officeDocument/2006/relationships/hyperlink" Target="http://juan.orozco-bbva.com/" TargetMode="External"/><Relationship Id="rId1215" Type="http://schemas.openxmlformats.org/officeDocument/2006/relationships/hyperlink" Target="http://mariofelipe.caro-bbva.com/" TargetMode="External"/><Relationship Id="rId1422" Type="http://schemas.openxmlformats.org/officeDocument/2006/relationships/hyperlink" Target="http://hayden.cardenas-bbva.com/" TargetMode="External"/><Relationship Id="rId1867" Type="http://schemas.openxmlformats.org/officeDocument/2006/relationships/hyperlink" Target="http://dianacarolina.gonzalez.castri-bbva.com/" TargetMode="External"/><Relationship Id="rId61" Type="http://schemas.openxmlformats.org/officeDocument/2006/relationships/hyperlink" Target="http://josealejandro.duenas-bbva.com/" TargetMode="External"/><Relationship Id="rId571" Type="http://schemas.openxmlformats.org/officeDocument/2006/relationships/hyperlink" Target="http://hernanmauricio.lozada-bbva.com/" TargetMode="External"/><Relationship Id="rId669" Type="http://schemas.openxmlformats.org/officeDocument/2006/relationships/hyperlink" Target="http://carlos.combita-bbva.com/" TargetMode="External"/><Relationship Id="rId876" Type="http://schemas.openxmlformats.org/officeDocument/2006/relationships/hyperlink" Target="http://wilson.torres-bbva.com/" TargetMode="External"/><Relationship Id="rId1299" Type="http://schemas.openxmlformats.org/officeDocument/2006/relationships/hyperlink" Target="http://jorgeenrique.vivas-bbva.com/" TargetMode="External"/><Relationship Id="rId1727" Type="http://schemas.openxmlformats.org/officeDocument/2006/relationships/hyperlink" Target="http://williamenrique.mendez-bbva.com/" TargetMode="External"/><Relationship Id="rId19" Type="http://schemas.openxmlformats.org/officeDocument/2006/relationships/hyperlink" Target="http://javier.palencia-bbva.com/" TargetMode="External"/><Relationship Id="rId224" Type="http://schemas.openxmlformats.org/officeDocument/2006/relationships/hyperlink" Target="http://elias.noguera-bbva.com/" TargetMode="External"/><Relationship Id="rId431" Type="http://schemas.openxmlformats.org/officeDocument/2006/relationships/hyperlink" Target="http://milena.patino-bbva.com/" TargetMode="External"/><Relationship Id="rId529" Type="http://schemas.openxmlformats.org/officeDocument/2006/relationships/hyperlink" Target="http://william.vargas-bbva.com/" TargetMode="External"/><Relationship Id="rId736" Type="http://schemas.openxmlformats.org/officeDocument/2006/relationships/hyperlink" Target="http://elizabeth.diaz-bbva.com/" TargetMode="External"/><Relationship Id="rId1061" Type="http://schemas.openxmlformats.org/officeDocument/2006/relationships/hyperlink" Target="http://sandramilena.rodriguez.romero-bbva.com/" TargetMode="External"/><Relationship Id="rId1159" Type="http://schemas.openxmlformats.org/officeDocument/2006/relationships/hyperlink" Target="http://claudiaviviana.medina-bbva.com/" TargetMode="External"/><Relationship Id="rId1366" Type="http://schemas.openxmlformats.org/officeDocument/2006/relationships/hyperlink" Target="http://sebastian.martinez.jaramillo-bbva.com/" TargetMode="External"/><Relationship Id="rId168" Type="http://schemas.openxmlformats.org/officeDocument/2006/relationships/hyperlink" Target="http://yeraldineandrea.sierra-bbva.com/" TargetMode="External"/><Relationship Id="rId943" Type="http://schemas.openxmlformats.org/officeDocument/2006/relationships/hyperlink" Target="http://jhon.molina-bbva.com/" TargetMode="External"/><Relationship Id="rId1019" Type="http://schemas.openxmlformats.org/officeDocument/2006/relationships/hyperlink" Target="http://yeraldineandrea.sierra-bbva.com/" TargetMode="External"/><Relationship Id="rId1573" Type="http://schemas.openxmlformats.org/officeDocument/2006/relationships/hyperlink" Target="http://david.robayo-bbva.com/" TargetMode="External"/><Relationship Id="rId1780" Type="http://schemas.openxmlformats.org/officeDocument/2006/relationships/hyperlink" Target="http://jhonathan.gaona-bbva.com/" TargetMode="External"/><Relationship Id="rId1878" Type="http://schemas.openxmlformats.org/officeDocument/2006/relationships/hyperlink" Target="http://camilo.tellez-bbva.com/" TargetMode="External"/><Relationship Id="rId72" Type="http://schemas.openxmlformats.org/officeDocument/2006/relationships/hyperlink" Target="http://josealejandro.duenas-bbva.com/" TargetMode="External"/><Relationship Id="rId375" Type="http://schemas.openxmlformats.org/officeDocument/2006/relationships/hyperlink" Target="http://ximena.barrera-bbva.com/" TargetMode="External"/><Relationship Id="rId582" Type="http://schemas.openxmlformats.org/officeDocument/2006/relationships/hyperlink" Target="http://carlos.barreto-bbva.com/" TargetMode="External"/><Relationship Id="rId803" Type="http://schemas.openxmlformats.org/officeDocument/2006/relationships/hyperlink" Target="http://sebastian.martinez.jaramillo-bbva.com/" TargetMode="External"/><Relationship Id="rId1226" Type="http://schemas.openxmlformats.org/officeDocument/2006/relationships/hyperlink" Target="http://rudyyolima.aguilar-bbva.com/" TargetMode="External"/><Relationship Id="rId1433" Type="http://schemas.openxmlformats.org/officeDocument/2006/relationships/hyperlink" Target="http://hernanmauricio.lozada-bbva.com/" TargetMode="External"/><Relationship Id="rId1640" Type="http://schemas.openxmlformats.org/officeDocument/2006/relationships/hyperlink" Target="http://pabloalexand.ortiz-bbva.com/" TargetMode="External"/><Relationship Id="rId1738" Type="http://schemas.openxmlformats.org/officeDocument/2006/relationships/hyperlink" Target="http://sebastian.martinez.jaramillo-bbva.com/" TargetMode="External"/><Relationship Id="rId3" Type="http://schemas.openxmlformats.org/officeDocument/2006/relationships/hyperlink" Target="http://mairanela.ramirez.salazar-bbva.com/" TargetMode="External"/><Relationship Id="rId235" Type="http://schemas.openxmlformats.org/officeDocument/2006/relationships/hyperlink" Target="http://hugofernando.parra-bbva.com/" TargetMode="External"/><Relationship Id="rId442" Type="http://schemas.openxmlformats.org/officeDocument/2006/relationships/hyperlink" Target="http://victorrafael.ramos-bbva.com/" TargetMode="External"/><Relationship Id="rId887" Type="http://schemas.openxmlformats.org/officeDocument/2006/relationships/hyperlink" Target="http://christian.aranda-bbva.com/" TargetMode="External"/><Relationship Id="rId1072" Type="http://schemas.openxmlformats.org/officeDocument/2006/relationships/hyperlink" Target="http://milagros.lastra-bbva.com/" TargetMode="External"/><Relationship Id="rId1500" Type="http://schemas.openxmlformats.org/officeDocument/2006/relationships/hyperlink" Target="http://angiez.cubides-bbva.com/" TargetMode="External"/><Relationship Id="rId302" Type="http://schemas.openxmlformats.org/officeDocument/2006/relationships/hyperlink" Target="http://carlos.barreto-bbva.com/" TargetMode="External"/><Relationship Id="rId747" Type="http://schemas.openxmlformats.org/officeDocument/2006/relationships/hyperlink" Target="http://ivanmauricio.perez-bbva.com/" TargetMode="External"/><Relationship Id="rId954" Type="http://schemas.openxmlformats.org/officeDocument/2006/relationships/hyperlink" Target="http://jorgeh.cruz-bbva.com/" TargetMode="External"/><Relationship Id="rId1377" Type="http://schemas.openxmlformats.org/officeDocument/2006/relationships/hyperlink" Target="http://elmer.fajardo-bbva.com/" TargetMode="External"/><Relationship Id="rId1584" Type="http://schemas.openxmlformats.org/officeDocument/2006/relationships/hyperlink" Target="http://maritza.guerrero-bbva.com/" TargetMode="External"/><Relationship Id="rId1791" Type="http://schemas.openxmlformats.org/officeDocument/2006/relationships/hyperlink" Target="http://ivan.martinez-bbva.com/" TargetMode="External"/><Relationship Id="rId1805" Type="http://schemas.openxmlformats.org/officeDocument/2006/relationships/hyperlink" Target="http://dianacarolina.gonzalez.castri-bbva.com/" TargetMode="External"/><Relationship Id="rId83" Type="http://schemas.openxmlformats.org/officeDocument/2006/relationships/hyperlink" Target="http://milagros.lastra-bbva.com/" TargetMode="External"/><Relationship Id="rId179" Type="http://schemas.openxmlformats.org/officeDocument/2006/relationships/hyperlink" Target="http://felipe.guzman-bbva.com/" TargetMode="External"/><Relationship Id="rId386" Type="http://schemas.openxmlformats.org/officeDocument/2006/relationships/hyperlink" Target="http://carlos.combita-bbva.com/" TargetMode="External"/><Relationship Id="rId593" Type="http://schemas.openxmlformats.org/officeDocument/2006/relationships/hyperlink" Target="http://alejandroman.romero-bbva.com/" TargetMode="External"/><Relationship Id="rId607" Type="http://schemas.openxmlformats.org/officeDocument/2006/relationships/hyperlink" Target="http://paolaandrea.gil-bbva.com/" TargetMode="External"/><Relationship Id="rId814" Type="http://schemas.openxmlformats.org/officeDocument/2006/relationships/hyperlink" Target="http://paolaandrea.gil-bbva.com/" TargetMode="External"/><Relationship Id="rId1237" Type="http://schemas.openxmlformats.org/officeDocument/2006/relationships/hyperlink" Target="http://mairanela.ramirez.salazar-bbva.com/" TargetMode="External"/><Relationship Id="rId1444" Type="http://schemas.openxmlformats.org/officeDocument/2006/relationships/hyperlink" Target="http://carlosandres.moque-bbva.com/" TargetMode="External"/><Relationship Id="rId1651" Type="http://schemas.openxmlformats.org/officeDocument/2006/relationships/hyperlink" Target="http://monica.zamudio-bbva.com/" TargetMode="External"/><Relationship Id="rId1889" Type="http://schemas.openxmlformats.org/officeDocument/2006/relationships/hyperlink" Target="http://jhonathan.gaona-bbva.com/" TargetMode="External"/><Relationship Id="rId246" Type="http://schemas.openxmlformats.org/officeDocument/2006/relationships/hyperlink" Target="http://martha.reyes-bbva.com/" TargetMode="External"/><Relationship Id="rId453" Type="http://schemas.openxmlformats.org/officeDocument/2006/relationships/hyperlink" Target="http://ana.naiza-bbva.com/" TargetMode="External"/><Relationship Id="rId660" Type="http://schemas.openxmlformats.org/officeDocument/2006/relationships/hyperlink" Target="http://martin.torres-bbva.com/" TargetMode="External"/><Relationship Id="rId898" Type="http://schemas.openxmlformats.org/officeDocument/2006/relationships/hyperlink" Target="http://sebastian.martinez.jaramillo-bbva.com/" TargetMode="External"/><Relationship Id="rId1083" Type="http://schemas.openxmlformats.org/officeDocument/2006/relationships/hyperlink" Target="http://leidyjohanna.zambrano-bbva.com/" TargetMode="External"/><Relationship Id="rId1290" Type="http://schemas.openxmlformats.org/officeDocument/2006/relationships/hyperlink" Target="http://dianaesperanza.pareja-bbva.com/" TargetMode="External"/><Relationship Id="rId1304" Type="http://schemas.openxmlformats.org/officeDocument/2006/relationships/hyperlink" Target="http://ximena.barrera-bbva.com/" TargetMode="External"/><Relationship Id="rId1511" Type="http://schemas.openxmlformats.org/officeDocument/2006/relationships/hyperlink" Target="http://jordi.sole-bbva.com/" TargetMode="External"/><Relationship Id="rId1749" Type="http://schemas.openxmlformats.org/officeDocument/2006/relationships/hyperlink" Target="http://alexander.tibocha-bbva.com/" TargetMode="External"/><Relationship Id="rId106" Type="http://schemas.openxmlformats.org/officeDocument/2006/relationships/hyperlink" Target="http://katherine.michaels-bbva.com/" TargetMode="External"/><Relationship Id="rId313" Type="http://schemas.openxmlformats.org/officeDocument/2006/relationships/hyperlink" Target="http://daniela.cifuentes.ariza-bbva.com/" TargetMode="External"/><Relationship Id="rId758" Type="http://schemas.openxmlformats.org/officeDocument/2006/relationships/hyperlink" Target="http://hernan.riveros-bbva.com/" TargetMode="External"/><Relationship Id="rId965" Type="http://schemas.openxmlformats.org/officeDocument/2006/relationships/hyperlink" Target="http://martha.reyes-bbva.com/" TargetMode="External"/><Relationship Id="rId1150" Type="http://schemas.openxmlformats.org/officeDocument/2006/relationships/hyperlink" Target="http://paolaandrea.hermosa-bbva.com/" TargetMode="External"/><Relationship Id="rId1388" Type="http://schemas.openxmlformats.org/officeDocument/2006/relationships/hyperlink" Target="http://rubendario.nunez-bbva.com/" TargetMode="External"/><Relationship Id="rId1595" Type="http://schemas.openxmlformats.org/officeDocument/2006/relationships/hyperlink" Target="http://ivan_dario.ariza-bbva.com/" TargetMode="External"/><Relationship Id="rId1609" Type="http://schemas.openxmlformats.org/officeDocument/2006/relationships/hyperlink" Target="http://javier.palencia-bbva.com/" TargetMode="External"/><Relationship Id="rId1816" Type="http://schemas.openxmlformats.org/officeDocument/2006/relationships/hyperlink" Target="http://elkinmauricio.lopez-bbva.com/" TargetMode="External"/><Relationship Id="rId10" Type="http://schemas.openxmlformats.org/officeDocument/2006/relationships/hyperlink" Target="http://pablodaniel.santos-bbva.com/" TargetMode="External"/><Relationship Id="rId94" Type="http://schemas.openxmlformats.org/officeDocument/2006/relationships/hyperlink" Target="http://carlosalberto.barreto-bbva.com/" TargetMode="External"/><Relationship Id="rId397" Type="http://schemas.openxmlformats.org/officeDocument/2006/relationships/hyperlink" Target="http://marcoantonio.guzman-bbva.com/" TargetMode="External"/><Relationship Id="rId520" Type="http://schemas.openxmlformats.org/officeDocument/2006/relationships/hyperlink" Target="http://mariajuliana.rodriguez-bbva.com/" TargetMode="External"/><Relationship Id="rId618" Type="http://schemas.openxmlformats.org/officeDocument/2006/relationships/hyperlink" Target="http://ximena.barrera-bbva.com/" TargetMode="External"/><Relationship Id="rId825" Type="http://schemas.openxmlformats.org/officeDocument/2006/relationships/hyperlink" Target="http://felipesantiago.araujo-bbva.com/" TargetMode="External"/><Relationship Id="rId1248" Type="http://schemas.openxmlformats.org/officeDocument/2006/relationships/hyperlink" Target="http://giulianaandrea.guarin-bbva.com/" TargetMode="External"/><Relationship Id="rId1455" Type="http://schemas.openxmlformats.org/officeDocument/2006/relationships/hyperlink" Target="http://sebastian.valencia.ramirez.contractor-bbva.com/" TargetMode="External"/><Relationship Id="rId1662" Type="http://schemas.openxmlformats.org/officeDocument/2006/relationships/hyperlink" Target="http://alcibiades.rodriguez-bbva.com/" TargetMode="External"/><Relationship Id="rId257" Type="http://schemas.openxmlformats.org/officeDocument/2006/relationships/hyperlink" Target="http://william.vargas-bbva.com/" TargetMode="External"/><Relationship Id="rId464" Type="http://schemas.openxmlformats.org/officeDocument/2006/relationships/hyperlink" Target="http://hernanmauricio.lozada-bbva.com/" TargetMode="External"/><Relationship Id="rId1010" Type="http://schemas.openxmlformats.org/officeDocument/2006/relationships/hyperlink" Target="http://hernanmauricio.lozada-bbva.com/" TargetMode="External"/><Relationship Id="rId1094" Type="http://schemas.openxmlformats.org/officeDocument/2006/relationships/hyperlink" Target="http://sandrajohanna.gonzalez-bbva.com/" TargetMode="External"/><Relationship Id="rId1108" Type="http://schemas.openxmlformats.org/officeDocument/2006/relationships/hyperlink" Target="http://nathaliamaria.torres-bbva.com/" TargetMode="External"/><Relationship Id="rId1315" Type="http://schemas.openxmlformats.org/officeDocument/2006/relationships/hyperlink" Target="http://christian.diaz-bbva.com/" TargetMode="External"/><Relationship Id="rId117" Type="http://schemas.openxmlformats.org/officeDocument/2006/relationships/hyperlink" Target="http://nelson.ramirez-bbva.com/" TargetMode="External"/><Relationship Id="rId671" Type="http://schemas.openxmlformats.org/officeDocument/2006/relationships/hyperlink" Target="http://sebastian.valencia.ramirez.contractor-bbva.com/" TargetMode="External"/><Relationship Id="rId769" Type="http://schemas.openxmlformats.org/officeDocument/2006/relationships/hyperlink" Target="http://hugo.mongua-bbva.com/" TargetMode="External"/><Relationship Id="rId976" Type="http://schemas.openxmlformats.org/officeDocument/2006/relationships/hyperlink" Target="http://monica.zamudio-bbva.com/" TargetMode="External"/><Relationship Id="rId1399" Type="http://schemas.openxmlformats.org/officeDocument/2006/relationships/hyperlink" Target="http://maritza.sarmiento-bbva.com/" TargetMode="External"/><Relationship Id="rId324" Type="http://schemas.openxmlformats.org/officeDocument/2006/relationships/hyperlink" Target="http://felipe.guzman-bbva.com/" TargetMode="External"/><Relationship Id="rId531" Type="http://schemas.openxmlformats.org/officeDocument/2006/relationships/hyperlink" Target="http://leidyviviana.patino-bbva.com/" TargetMode="External"/><Relationship Id="rId629" Type="http://schemas.openxmlformats.org/officeDocument/2006/relationships/hyperlink" Target="http://andres.carrandi-bbva.com/" TargetMode="External"/><Relationship Id="rId1161" Type="http://schemas.openxmlformats.org/officeDocument/2006/relationships/hyperlink" Target="http://alirio.bermudez-bbva.com/" TargetMode="External"/><Relationship Id="rId1259" Type="http://schemas.openxmlformats.org/officeDocument/2006/relationships/hyperlink" Target="http://luisafernanda.pereira-bbva.com/" TargetMode="External"/><Relationship Id="rId1466" Type="http://schemas.openxmlformats.org/officeDocument/2006/relationships/hyperlink" Target="http://wilson.camacho-bbva.com/" TargetMode="External"/><Relationship Id="rId836" Type="http://schemas.openxmlformats.org/officeDocument/2006/relationships/hyperlink" Target="http://andresfelipe.granados-bbva.com/" TargetMode="External"/><Relationship Id="rId1021" Type="http://schemas.openxmlformats.org/officeDocument/2006/relationships/hyperlink" Target="http://marthapatric.cruz-bbva.com/" TargetMode="External"/><Relationship Id="rId1119" Type="http://schemas.openxmlformats.org/officeDocument/2006/relationships/hyperlink" Target="http://leidyviviana.patino-bbva.com/" TargetMode="External"/><Relationship Id="rId1673" Type="http://schemas.openxmlformats.org/officeDocument/2006/relationships/hyperlink" Target="http://john.ardila-bbva.com/" TargetMode="External"/><Relationship Id="rId1880" Type="http://schemas.openxmlformats.org/officeDocument/2006/relationships/hyperlink" Target="http://jesusalejandro.moreno-bbva.com/" TargetMode="External"/><Relationship Id="rId903" Type="http://schemas.openxmlformats.org/officeDocument/2006/relationships/hyperlink" Target="http://brigitteyesenia.beltran-bbva.com/" TargetMode="External"/><Relationship Id="rId1326" Type="http://schemas.openxmlformats.org/officeDocument/2006/relationships/hyperlink" Target="http://mariajuliana.rodriguez-bbva.com/" TargetMode="External"/><Relationship Id="rId1533" Type="http://schemas.openxmlformats.org/officeDocument/2006/relationships/hyperlink" Target="http://marcoantonio.guzman-bbva.com/" TargetMode="External"/><Relationship Id="rId1740" Type="http://schemas.openxmlformats.org/officeDocument/2006/relationships/hyperlink" Target="http://jiovanny.suarez-bbva.com/" TargetMode="External"/><Relationship Id="rId32" Type="http://schemas.openxmlformats.org/officeDocument/2006/relationships/hyperlink" Target="http://camila.leon-bbva.com/" TargetMode="External"/><Relationship Id="rId1600" Type="http://schemas.openxmlformats.org/officeDocument/2006/relationships/hyperlink" Target="http://mairanela.ramirez.salazar-bbva.com/" TargetMode="External"/><Relationship Id="rId1838" Type="http://schemas.openxmlformats.org/officeDocument/2006/relationships/hyperlink" Target="http://sandrapatricia.ramirez-bbva.com/" TargetMode="External"/><Relationship Id="rId181" Type="http://schemas.openxmlformats.org/officeDocument/2006/relationships/hyperlink" Target="http://katherine.michaels-bbva.com/" TargetMode="External"/><Relationship Id="rId1905" Type="http://schemas.openxmlformats.org/officeDocument/2006/relationships/hyperlink" Target="http://manuel.villamil-bbva.com/" TargetMode="External"/><Relationship Id="rId279" Type="http://schemas.openxmlformats.org/officeDocument/2006/relationships/hyperlink" Target="http://elizabeth.diaz-bbva.com/" TargetMode="External"/><Relationship Id="rId486" Type="http://schemas.openxmlformats.org/officeDocument/2006/relationships/hyperlink" Target="http://gustavo.ferrucho-bbva.com/" TargetMode="External"/><Relationship Id="rId693" Type="http://schemas.openxmlformats.org/officeDocument/2006/relationships/hyperlink" Target="http://pabloandres.villada-bbva.com/" TargetMode="External"/><Relationship Id="rId139" Type="http://schemas.openxmlformats.org/officeDocument/2006/relationships/hyperlink" Target="http://alcibiades.rodriguez-bbva.com/" TargetMode="External"/><Relationship Id="rId346" Type="http://schemas.openxmlformats.org/officeDocument/2006/relationships/hyperlink" Target="http://oscar.bejarano-bbva.com/" TargetMode="External"/><Relationship Id="rId553" Type="http://schemas.openxmlformats.org/officeDocument/2006/relationships/hyperlink" Target="http://julio.avila2-bbva.com/" TargetMode="External"/><Relationship Id="rId760" Type="http://schemas.openxmlformats.org/officeDocument/2006/relationships/hyperlink" Target="http://pabloalexand.ortiz-bbva.com/" TargetMode="External"/><Relationship Id="rId998" Type="http://schemas.openxmlformats.org/officeDocument/2006/relationships/hyperlink" Target="http://dianacarolina.gonzalez.castri-bbva.com/" TargetMode="External"/><Relationship Id="rId1183" Type="http://schemas.openxmlformats.org/officeDocument/2006/relationships/hyperlink" Target="http://carlosandres.moque-bbva.com/" TargetMode="External"/><Relationship Id="rId1390" Type="http://schemas.openxmlformats.org/officeDocument/2006/relationships/hyperlink" Target="http://andres.gordon-bbva.com/" TargetMode="External"/><Relationship Id="rId206" Type="http://schemas.openxmlformats.org/officeDocument/2006/relationships/hyperlink" Target="http://josealejandro.duenas-bbva.com/" TargetMode="External"/><Relationship Id="rId413" Type="http://schemas.openxmlformats.org/officeDocument/2006/relationships/hyperlink" Target="http://gustavo.ferrucho-bbva.com/" TargetMode="External"/><Relationship Id="rId858" Type="http://schemas.openxmlformats.org/officeDocument/2006/relationships/hyperlink" Target="http://judy.prieto-bbva.com/" TargetMode="External"/><Relationship Id="rId1043" Type="http://schemas.openxmlformats.org/officeDocument/2006/relationships/hyperlink" Target="http://milena.patino-bbva.com/" TargetMode="External"/><Relationship Id="rId1488" Type="http://schemas.openxmlformats.org/officeDocument/2006/relationships/hyperlink" Target="http://santiago.campuzano-bbva.com/" TargetMode="External"/><Relationship Id="rId1695" Type="http://schemas.openxmlformats.org/officeDocument/2006/relationships/hyperlink" Target="http://ivan_dario.ariza-bbva.com/" TargetMode="External"/><Relationship Id="rId620" Type="http://schemas.openxmlformats.org/officeDocument/2006/relationships/hyperlink" Target="http://mairanela.ramirez.salazar-bbva.com/" TargetMode="External"/><Relationship Id="rId718" Type="http://schemas.openxmlformats.org/officeDocument/2006/relationships/hyperlink" Target="http://marialuisa.suarez-bbva.com/" TargetMode="External"/><Relationship Id="rId925" Type="http://schemas.openxmlformats.org/officeDocument/2006/relationships/hyperlink" Target="http://marialuisa.suarez-bbva.com/" TargetMode="External"/><Relationship Id="rId1250" Type="http://schemas.openxmlformats.org/officeDocument/2006/relationships/hyperlink" Target="http://paolaandrea.hermosa-bbva.com/" TargetMode="External"/><Relationship Id="rId1348" Type="http://schemas.openxmlformats.org/officeDocument/2006/relationships/hyperlink" Target="http://juan.orozco-bbva.com/" TargetMode="External"/><Relationship Id="rId1555" Type="http://schemas.openxmlformats.org/officeDocument/2006/relationships/hyperlink" Target="http://andres.carrandi-bbva.com/" TargetMode="External"/><Relationship Id="rId1762" Type="http://schemas.openxmlformats.org/officeDocument/2006/relationships/hyperlink" Target="http://maritza.guerrero-bbva.com/" TargetMode="External"/><Relationship Id="rId1110" Type="http://schemas.openxmlformats.org/officeDocument/2006/relationships/hyperlink" Target="http://nathaliamaria.torres-bbva.com/" TargetMode="External"/><Relationship Id="rId1208" Type="http://schemas.openxmlformats.org/officeDocument/2006/relationships/hyperlink" Target="http://santiago.campuzano-bbva.com/" TargetMode="External"/><Relationship Id="rId1415" Type="http://schemas.openxmlformats.org/officeDocument/2006/relationships/hyperlink" Target="http://raul.decelis-bbva.com/" TargetMode="External"/><Relationship Id="rId54" Type="http://schemas.openxmlformats.org/officeDocument/2006/relationships/hyperlink" Target="http://hernanmauricio.lozada-bbva.com/" TargetMode="External"/><Relationship Id="rId1622" Type="http://schemas.openxmlformats.org/officeDocument/2006/relationships/hyperlink" Target="http://juhan.lozano-bbva.com/" TargetMode="External"/><Relationship Id="rId270" Type="http://schemas.openxmlformats.org/officeDocument/2006/relationships/hyperlink" Target="http://juhan.lozano-bbva.com/" TargetMode="External"/><Relationship Id="rId130" Type="http://schemas.openxmlformats.org/officeDocument/2006/relationships/hyperlink" Target="http://lady.cervera-bbva.com/" TargetMode="External"/><Relationship Id="rId368" Type="http://schemas.openxmlformats.org/officeDocument/2006/relationships/hyperlink" Target="http://hector.murcia-bbva.com/" TargetMode="External"/><Relationship Id="rId575" Type="http://schemas.openxmlformats.org/officeDocument/2006/relationships/hyperlink" Target="http://janethrojas-csf.com.co/" TargetMode="External"/><Relationship Id="rId782" Type="http://schemas.openxmlformats.org/officeDocument/2006/relationships/hyperlink" Target="http://mairanela.ramirez.salazar-bbva.com/" TargetMode="External"/><Relationship Id="rId228" Type="http://schemas.openxmlformats.org/officeDocument/2006/relationships/hyperlink" Target="http://ximena.barrera-bbva.com/" TargetMode="External"/><Relationship Id="rId435" Type="http://schemas.openxmlformats.org/officeDocument/2006/relationships/hyperlink" Target="http://angela.navarro-bbva.com/" TargetMode="External"/><Relationship Id="rId642" Type="http://schemas.openxmlformats.org/officeDocument/2006/relationships/hyperlink" Target="http://monicaandrea.abogado-bbva.com/" TargetMode="External"/><Relationship Id="rId1065" Type="http://schemas.openxmlformats.org/officeDocument/2006/relationships/hyperlink" Target="http://nicolas.galindo-bbva.com/" TargetMode="External"/><Relationship Id="rId1272" Type="http://schemas.openxmlformats.org/officeDocument/2006/relationships/hyperlink" Target="http://luisrodrigo.ulloa.marin-bbva.com/" TargetMode="External"/><Relationship Id="rId502" Type="http://schemas.openxmlformats.org/officeDocument/2006/relationships/hyperlink" Target="http://cindytatiana.perilla-bbva.com/" TargetMode="External"/><Relationship Id="rId947" Type="http://schemas.openxmlformats.org/officeDocument/2006/relationships/hyperlink" Target="http://edgaralexander.avila-bbva.com/" TargetMode="External"/><Relationship Id="rId1132" Type="http://schemas.openxmlformats.org/officeDocument/2006/relationships/hyperlink" Target="http://maritza.guerrero-bbva.com/" TargetMode="External"/><Relationship Id="rId1577" Type="http://schemas.openxmlformats.org/officeDocument/2006/relationships/hyperlink" Target="http://jeissonandres.diaz.rodriguez-bbva.com/" TargetMode="External"/><Relationship Id="rId1784" Type="http://schemas.openxmlformats.org/officeDocument/2006/relationships/hyperlink" Target="http://carlosdavid.pacheco-bbva.com/" TargetMode="External"/><Relationship Id="rId76" Type="http://schemas.openxmlformats.org/officeDocument/2006/relationships/hyperlink" Target="http://monicaandrea.sanabria-bbva.com/" TargetMode="External"/><Relationship Id="rId807" Type="http://schemas.openxmlformats.org/officeDocument/2006/relationships/hyperlink" Target="http://marialuisa.suarez-bbva.com/" TargetMode="External"/><Relationship Id="rId1437" Type="http://schemas.openxmlformats.org/officeDocument/2006/relationships/hyperlink" Target="http://jorgeeduardo.gomez.forero-bbva.com/" TargetMode="External"/><Relationship Id="rId1644" Type="http://schemas.openxmlformats.org/officeDocument/2006/relationships/hyperlink" Target="http://edwin.vargas-bbva.com/" TargetMode="External"/><Relationship Id="rId1851" Type="http://schemas.openxmlformats.org/officeDocument/2006/relationships/hyperlink" Target="http://josemleal-bbva.com/" TargetMode="External"/><Relationship Id="rId1504" Type="http://schemas.openxmlformats.org/officeDocument/2006/relationships/hyperlink" Target="http://edwin.vargas-bbva.com/" TargetMode="External"/><Relationship Id="rId1711" Type="http://schemas.openxmlformats.org/officeDocument/2006/relationships/hyperlink" Target="http://hugo.mongua-bbva.com/" TargetMode="External"/><Relationship Id="rId292" Type="http://schemas.openxmlformats.org/officeDocument/2006/relationships/hyperlink" Target="http://brigitteandrea.rincon-bbva.com/" TargetMode="External"/><Relationship Id="rId1809" Type="http://schemas.openxmlformats.org/officeDocument/2006/relationships/hyperlink" Target="http://sandrapatricia.ramirez-bbva.com/" TargetMode="External"/><Relationship Id="rId597" Type="http://schemas.openxmlformats.org/officeDocument/2006/relationships/hyperlink" Target="http://josedaniel.munoz-bbva.com/" TargetMode="External"/><Relationship Id="rId152" Type="http://schemas.openxmlformats.org/officeDocument/2006/relationships/hyperlink" Target="http://josealejandro.duenas-bbva.com/" TargetMode="External"/><Relationship Id="rId457" Type="http://schemas.openxmlformats.org/officeDocument/2006/relationships/hyperlink" Target="http://julio.avila2-bbva.com/" TargetMode="External"/><Relationship Id="rId1087" Type="http://schemas.openxmlformats.org/officeDocument/2006/relationships/hyperlink" Target="http://manuel.villamil-bbva.com/" TargetMode="External"/><Relationship Id="rId1294" Type="http://schemas.openxmlformats.org/officeDocument/2006/relationships/hyperlink" Target="http://pabloandres.villada-bbva.com/" TargetMode="External"/><Relationship Id="rId664" Type="http://schemas.openxmlformats.org/officeDocument/2006/relationships/hyperlink" Target="http://juana.vergara-bbva.com/" TargetMode="External"/><Relationship Id="rId871" Type="http://schemas.openxmlformats.org/officeDocument/2006/relationships/hyperlink" Target="http://pabloandres.villada-bbva.com/" TargetMode="External"/><Relationship Id="rId969" Type="http://schemas.openxmlformats.org/officeDocument/2006/relationships/hyperlink" Target="http://juan.orozco-bbva.com/" TargetMode="External"/><Relationship Id="rId1599" Type="http://schemas.openxmlformats.org/officeDocument/2006/relationships/hyperlink" Target="http://yeraldineandrea.sierra-bbva.com/" TargetMode="External"/><Relationship Id="rId317" Type="http://schemas.openxmlformats.org/officeDocument/2006/relationships/hyperlink" Target="http://alexandra.vargas-bbva.com/" TargetMode="External"/><Relationship Id="rId524" Type="http://schemas.openxmlformats.org/officeDocument/2006/relationships/hyperlink" Target="http://monica.zamudio-bbva.com/" TargetMode="External"/><Relationship Id="rId731" Type="http://schemas.openxmlformats.org/officeDocument/2006/relationships/hyperlink" Target="http://nelson.ruiz-bbva.com/" TargetMode="External"/><Relationship Id="rId1154" Type="http://schemas.openxmlformats.org/officeDocument/2006/relationships/hyperlink" Target="http://rafael.lopesierra-bbva.com/" TargetMode="External"/><Relationship Id="rId1361" Type="http://schemas.openxmlformats.org/officeDocument/2006/relationships/hyperlink" Target="http://marialuisa.suarez-bbva.com/" TargetMode="External"/><Relationship Id="rId1459" Type="http://schemas.openxmlformats.org/officeDocument/2006/relationships/hyperlink" Target="http://sebastian.valencia.ramirez.contractor-bbva.com/" TargetMode="External"/><Relationship Id="rId98" Type="http://schemas.openxmlformats.org/officeDocument/2006/relationships/hyperlink" Target="http://juancamilo.mosquera-bbva.com/" TargetMode="External"/><Relationship Id="rId829" Type="http://schemas.openxmlformats.org/officeDocument/2006/relationships/hyperlink" Target="http://juan.orozco-bbva.com/" TargetMode="External"/><Relationship Id="rId1014" Type="http://schemas.openxmlformats.org/officeDocument/2006/relationships/hyperlink" Target="http://ivan_dario.ariza-bbva.com/" TargetMode="External"/><Relationship Id="rId1221" Type="http://schemas.openxmlformats.org/officeDocument/2006/relationships/hyperlink" Target="http://monicaandrea.abogado-bbva.com/" TargetMode="External"/><Relationship Id="rId1666" Type="http://schemas.openxmlformats.org/officeDocument/2006/relationships/hyperlink" Target="http://andres.carrandi-bbva.com/" TargetMode="External"/><Relationship Id="rId1873" Type="http://schemas.openxmlformats.org/officeDocument/2006/relationships/hyperlink" Target="http://hayden.cardenas-bbva.com/" TargetMode="External"/><Relationship Id="rId1319" Type="http://schemas.openxmlformats.org/officeDocument/2006/relationships/hyperlink" Target="http://christian.aranda-bbva.com/" TargetMode="External"/><Relationship Id="rId1526" Type="http://schemas.openxmlformats.org/officeDocument/2006/relationships/hyperlink" Target="http://marcoantonio.guzman-bbva.com/" TargetMode="External"/><Relationship Id="rId1733" Type="http://schemas.openxmlformats.org/officeDocument/2006/relationships/hyperlink" Target="http://luisafernanda.pereira-bbva.com/" TargetMode="External"/><Relationship Id="rId25" Type="http://schemas.openxmlformats.org/officeDocument/2006/relationships/hyperlink" Target="http://rubendario.nunez-bbva.com/" TargetMode="External"/><Relationship Id="rId1800" Type="http://schemas.openxmlformats.org/officeDocument/2006/relationships/hyperlink" Target="http://hernanmauricio.lozada-bbva.com/" TargetMode="External"/><Relationship Id="rId174" Type="http://schemas.openxmlformats.org/officeDocument/2006/relationships/hyperlink" Target="http://giulianaandrea.guarin-bbva.com/" TargetMode="External"/><Relationship Id="rId381" Type="http://schemas.openxmlformats.org/officeDocument/2006/relationships/hyperlink" Target="http://angelica.granados-bbva.com/" TargetMode="External"/><Relationship Id="rId241" Type="http://schemas.openxmlformats.org/officeDocument/2006/relationships/hyperlink" Target="http://rafael.lopesierra-bbva.com/" TargetMode="External"/><Relationship Id="rId479" Type="http://schemas.openxmlformats.org/officeDocument/2006/relationships/hyperlink" Target="http://cesar_gomez-bbva.com/" TargetMode="External"/><Relationship Id="rId686" Type="http://schemas.openxmlformats.org/officeDocument/2006/relationships/hyperlink" Target="http://hugo.mongua-bbva.com/" TargetMode="External"/><Relationship Id="rId893" Type="http://schemas.openxmlformats.org/officeDocument/2006/relationships/hyperlink" Target="http://monica.zamudio-bbva.com/" TargetMode="External"/><Relationship Id="rId339" Type="http://schemas.openxmlformats.org/officeDocument/2006/relationships/hyperlink" Target="http://yheymy.mora-bbva.com/" TargetMode="External"/><Relationship Id="rId546" Type="http://schemas.openxmlformats.org/officeDocument/2006/relationships/hyperlink" Target="http://javier.palencia-bbva.com/" TargetMode="External"/><Relationship Id="rId753" Type="http://schemas.openxmlformats.org/officeDocument/2006/relationships/hyperlink" Target="http://ivanmauricio.perez-bbva.com/" TargetMode="External"/><Relationship Id="rId1176" Type="http://schemas.openxmlformats.org/officeDocument/2006/relationships/hyperlink" Target="http://andrea.orrego-bbva.com/" TargetMode="External"/><Relationship Id="rId1383" Type="http://schemas.openxmlformats.org/officeDocument/2006/relationships/hyperlink" Target="http://patricia.romero-bbva.com/" TargetMode="External"/><Relationship Id="rId101" Type="http://schemas.openxmlformats.org/officeDocument/2006/relationships/hyperlink" Target="http://sandracarolina.miranda-bbva.com/" TargetMode="External"/><Relationship Id="rId406" Type="http://schemas.openxmlformats.org/officeDocument/2006/relationships/hyperlink" Target="http://alvaro.rodriguez-bbva.com/" TargetMode="External"/><Relationship Id="rId960" Type="http://schemas.openxmlformats.org/officeDocument/2006/relationships/hyperlink" Target="http://juan.orozco-bbva.com/" TargetMode="External"/><Relationship Id="rId1036" Type="http://schemas.openxmlformats.org/officeDocument/2006/relationships/hyperlink" Target="http://miguel.poloche-bbva.com/" TargetMode="External"/><Relationship Id="rId1243" Type="http://schemas.openxmlformats.org/officeDocument/2006/relationships/hyperlink" Target="http://davidalejandro.agelvis-bbva.com/" TargetMode="External"/><Relationship Id="rId1590" Type="http://schemas.openxmlformats.org/officeDocument/2006/relationships/hyperlink" Target="http://ivan_dario.ariza-bbva.com/" TargetMode="External"/><Relationship Id="rId1688" Type="http://schemas.openxmlformats.org/officeDocument/2006/relationships/hyperlink" Target="http://daniela.cifuentes.ariza-bbva.com/" TargetMode="External"/><Relationship Id="rId1895" Type="http://schemas.openxmlformats.org/officeDocument/2006/relationships/hyperlink" Target="http://rubendario.nunez-bbva.com/" TargetMode="External"/><Relationship Id="rId613" Type="http://schemas.openxmlformats.org/officeDocument/2006/relationships/hyperlink" Target="http://jimmyalejandro.bonilla-bbva.com/" TargetMode="External"/><Relationship Id="rId820" Type="http://schemas.openxmlformats.org/officeDocument/2006/relationships/hyperlink" Target="http://juan.orozco-bbva.com/" TargetMode="External"/><Relationship Id="rId918" Type="http://schemas.openxmlformats.org/officeDocument/2006/relationships/hyperlink" Target="http://rafael.lopesierra-bbva.com/" TargetMode="External"/><Relationship Id="rId1450" Type="http://schemas.openxmlformats.org/officeDocument/2006/relationships/hyperlink" Target="http://faride.ortiz-bbva.com/" TargetMode="External"/><Relationship Id="rId1548" Type="http://schemas.openxmlformats.org/officeDocument/2006/relationships/hyperlink" Target="http://yurimilena.moreno-bbva.com/" TargetMode="External"/><Relationship Id="rId1755" Type="http://schemas.openxmlformats.org/officeDocument/2006/relationships/hyperlink" Target="http://jorgeeduardo.gomez.forero-bbva.com/" TargetMode="External"/><Relationship Id="rId1103" Type="http://schemas.openxmlformats.org/officeDocument/2006/relationships/hyperlink" Target="http://rociomarcela.lopez-bbva.com/" TargetMode="External"/><Relationship Id="rId1310" Type="http://schemas.openxmlformats.org/officeDocument/2006/relationships/hyperlink" Target="http://felipe.vega.aguilera-bbva.com/" TargetMode="External"/><Relationship Id="rId1408" Type="http://schemas.openxmlformats.org/officeDocument/2006/relationships/hyperlink" Target="http://cesar_gomez-bbva.com/" TargetMode="External"/><Relationship Id="rId47" Type="http://schemas.openxmlformats.org/officeDocument/2006/relationships/hyperlink" Target="http://luis.plata-bbva.com/" TargetMode="External"/><Relationship Id="rId1615" Type="http://schemas.openxmlformats.org/officeDocument/2006/relationships/hyperlink" Target="http://sandra.espinosa-bbva.com/" TargetMode="External"/><Relationship Id="rId1822" Type="http://schemas.openxmlformats.org/officeDocument/2006/relationships/hyperlink" Target="http://manuel.villamil-bbva.com/" TargetMode="External"/><Relationship Id="rId196" Type="http://schemas.openxmlformats.org/officeDocument/2006/relationships/hyperlink" Target="http://josemiguel.sanchez.barrantes-bbva.com/" TargetMode="External"/><Relationship Id="rId263" Type="http://schemas.openxmlformats.org/officeDocument/2006/relationships/hyperlink" Target="http://manuel.villamil-bbva.com/" TargetMode="External"/><Relationship Id="rId470" Type="http://schemas.openxmlformats.org/officeDocument/2006/relationships/hyperlink" Target="http://gustavo.ferrucho-bbva.com/" TargetMode="External"/><Relationship Id="rId123" Type="http://schemas.openxmlformats.org/officeDocument/2006/relationships/hyperlink" Target="http://brigitteyesenia.beltran-bbva.com/" TargetMode="External"/><Relationship Id="rId330" Type="http://schemas.openxmlformats.org/officeDocument/2006/relationships/hyperlink" Target="http://javier.sotom-bbva.com/" TargetMode="External"/><Relationship Id="rId568" Type="http://schemas.openxmlformats.org/officeDocument/2006/relationships/hyperlink" Target="http://ader.anaya-bbva.com/" TargetMode="External"/><Relationship Id="rId775" Type="http://schemas.openxmlformats.org/officeDocument/2006/relationships/hyperlink" Target="http://hugo.mongua-bbva.com/" TargetMode="External"/><Relationship Id="rId982" Type="http://schemas.openxmlformats.org/officeDocument/2006/relationships/hyperlink" Target="http://carlosgabriel.garcia-bbva.com/" TargetMode="External"/><Relationship Id="rId1198" Type="http://schemas.openxmlformats.org/officeDocument/2006/relationships/hyperlink" Target="http://alcibiades.rodriguez-bbva.com/" TargetMode="External"/><Relationship Id="rId428" Type="http://schemas.openxmlformats.org/officeDocument/2006/relationships/hyperlink" Target="http://julio.avila2-bbva.com/" TargetMode="External"/><Relationship Id="rId635" Type="http://schemas.openxmlformats.org/officeDocument/2006/relationships/hyperlink" Target="http://milena.patino-bbva.com/" TargetMode="External"/><Relationship Id="rId842" Type="http://schemas.openxmlformats.org/officeDocument/2006/relationships/hyperlink" Target="http://july.miranda-bbva.com/" TargetMode="External"/><Relationship Id="rId1058" Type="http://schemas.openxmlformats.org/officeDocument/2006/relationships/hyperlink" Target="http://ximena.barrera-bbva.com/" TargetMode="External"/><Relationship Id="rId1265" Type="http://schemas.openxmlformats.org/officeDocument/2006/relationships/hyperlink" Target="http://jorge.carvajal-bbva.com/" TargetMode="External"/><Relationship Id="rId1472" Type="http://schemas.openxmlformats.org/officeDocument/2006/relationships/hyperlink" Target="http://ana.naiza-bbva.com/" TargetMode="External"/><Relationship Id="rId702" Type="http://schemas.openxmlformats.org/officeDocument/2006/relationships/hyperlink" Target="http://ivanjesus.esparragoza-bbva.com/" TargetMode="External"/><Relationship Id="rId1125" Type="http://schemas.openxmlformats.org/officeDocument/2006/relationships/hyperlink" Target="http://leidyviviana.patino-bbva.com/" TargetMode="External"/><Relationship Id="rId1332" Type="http://schemas.openxmlformats.org/officeDocument/2006/relationships/hyperlink" Target="http://mariajuliana.rodriguez-bbva.com/" TargetMode="External"/><Relationship Id="rId1777" Type="http://schemas.openxmlformats.org/officeDocument/2006/relationships/hyperlink" Target="http://jhonathan.gaona-bbva.com/" TargetMode="External"/><Relationship Id="rId69" Type="http://schemas.openxmlformats.org/officeDocument/2006/relationships/hyperlink" Target="http://andres.carrandi-bbva.com/" TargetMode="External"/><Relationship Id="rId1637" Type="http://schemas.openxmlformats.org/officeDocument/2006/relationships/hyperlink" Target="http://lizethsofia.garcia-bbva.com/" TargetMode="External"/><Relationship Id="rId1844" Type="http://schemas.openxmlformats.org/officeDocument/2006/relationships/hyperlink" Target="http://hernan.riveros-bbva.com/" TargetMode="External"/><Relationship Id="rId1704" Type="http://schemas.openxmlformats.org/officeDocument/2006/relationships/hyperlink" Target="http://jordi.sole-bbva.com/" TargetMode="External"/><Relationship Id="rId285" Type="http://schemas.openxmlformats.org/officeDocument/2006/relationships/hyperlink" Target="http://javierenrique.almonacid-bbva.com/" TargetMode="External"/><Relationship Id="rId1911" Type="http://schemas.openxmlformats.org/officeDocument/2006/relationships/hyperlink" Target="http://carlosandres.moque-bbva.com/" TargetMode="External"/><Relationship Id="rId492" Type="http://schemas.openxmlformats.org/officeDocument/2006/relationships/hyperlink" Target="http://monica.viveros-bbva.com/" TargetMode="External"/><Relationship Id="rId797" Type="http://schemas.openxmlformats.org/officeDocument/2006/relationships/hyperlink" Target="http://andrea.rengifo-bbva.com/" TargetMode="External"/><Relationship Id="rId145" Type="http://schemas.openxmlformats.org/officeDocument/2006/relationships/hyperlink" Target="http://maritza.guerrero-bbva.com/" TargetMode="External"/><Relationship Id="rId352" Type="http://schemas.openxmlformats.org/officeDocument/2006/relationships/hyperlink" Target="http://hugo.mongua-bbva.com/" TargetMode="External"/><Relationship Id="rId1287" Type="http://schemas.openxmlformats.org/officeDocument/2006/relationships/hyperlink" Target="http://sergioalexander.parra-bbva.com/" TargetMode="External"/><Relationship Id="rId212" Type="http://schemas.openxmlformats.org/officeDocument/2006/relationships/hyperlink" Target="http://josealejandro.duenas-bbva.com/" TargetMode="External"/><Relationship Id="rId657" Type="http://schemas.openxmlformats.org/officeDocument/2006/relationships/hyperlink" Target="http://mairanela.ramirez.salazar-bbva.com/" TargetMode="External"/><Relationship Id="rId864" Type="http://schemas.openxmlformats.org/officeDocument/2006/relationships/hyperlink" Target="http://judy.prieto-bbva.com/" TargetMode="External"/><Relationship Id="rId1494" Type="http://schemas.openxmlformats.org/officeDocument/2006/relationships/hyperlink" Target="http://carolina.monterrey-bbva.com/" TargetMode="External"/><Relationship Id="rId1799" Type="http://schemas.openxmlformats.org/officeDocument/2006/relationships/hyperlink" Target="http://monicaandrea.sanabria-bbva.com/" TargetMode="External"/><Relationship Id="rId517" Type="http://schemas.openxmlformats.org/officeDocument/2006/relationships/hyperlink" Target="http://mariajuliana.rodriguez-bbva.com/" TargetMode="External"/><Relationship Id="rId724" Type="http://schemas.openxmlformats.org/officeDocument/2006/relationships/hyperlink" Target="http://andresfelipe.granados-bbva.com/" TargetMode="External"/><Relationship Id="rId931" Type="http://schemas.openxmlformats.org/officeDocument/2006/relationships/hyperlink" Target="http://josealejandro.duenas-bbva.com/" TargetMode="External"/><Relationship Id="rId1147" Type="http://schemas.openxmlformats.org/officeDocument/2006/relationships/hyperlink" Target="http://manuel.villamil-bbva.com/" TargetMode="External"/><Relationship Id="rId1354" Type="http://schemas.openxmlformats.org/officeDocument/2006/relationships/hyperlink" Target="http://pabloandres.villada-bbva.com/" TargetMode="External"/><Relationship Id="rId1561" Type="http://schemas.openxmlformats.org/officeDocument/2006/relationships/hyperlink" Target="http://henryr.rodriguez-bbva.com/" TargetMode="External"/><Relationship Id="rId60" Type="http://schemas.openxmlformats.org/officeDocument/2006/relationships/hyperlink" Target="http://dianapaola.angel-bbva.com/" TargetMode="External"/><Relationship Id="rId1007" Type="http://schemas.openxmlformats.org/officeDocument/2006/relationships/hyperlink" Target="http://julianna.martinez-bbva.com/" TargetMode="External"/><Relationship Id="rId1214" Type="http://schemas.openxmlformats.org/officeDocument/2006/relationships/hyperlink" Target="http://nestor.pacacira-bbva.com/" TargetMode="External"/><Relationship Id="rId1421" Type="http://schemas.openxmlformats.org/officeDocument/2006/relationships/hyperlink" Target="http://juan.sandoval-bbva.com/" TargetMode="External"/><Relationship Id="rId1659" Type="http://schemas.openxmlformats.org/officeDocument/2006/relationships/hyperlink" Target="http://daniel.ferreira-bbva.com/" TargetMode="External"/><Relationship Id="rId1866" Type="http://schemas.openxmlformats.org/officeDocument/2006/relationships/hyperlink" Target="http://felipe.guzman-bbva.com/" TargetMode="External"/><Relationship Id="rId1519" Type="http://schemas.openxmlformats.org/officeDocument/2006/relationships/hyperlink" Target="http://mabel.diaz-bbva.com/" TargetMode="External"/><Relationship Id="rId1726" Type="http://schemas.openxmlformats.org/officeDocument/2006/relationships/hyperlink" Target="http://jordi.sole-bbva.com/" TargetMode="External"/><Relationship Id="rId18" Type="http://schemas.openxmlformats.org/officeDocument/2006/relationships/hyperlink" Target="http://miguelangel.castellanos-bbva.com/" TargetMode="External"/><Relationship Id="rId167" Type="http://schemas.openxmlformats.org/officeDocument/2006/relationships/hyperlink" Target="http://josealejandro.duenas-bbva.com/" TargetMode="External"/><Relationship Id="rId374" Type="http://schemas.openxmlformats.org/officeDocument/2006/relationships/hyperlink" Target="http://hernan.riveros-bbva.com/" TargetMode="External"/><Relationship Id="rId581" Type="http://schemas.openxmlformats.org/officeDocument/2006/relationships/hyperlink" Target="http://camila.leon-bbva.com/" TargetMode="External"/><Relationship Id="rId234" Type="http://schemas.openxmlformats.org/officeDocument/2006/relationships/hyperlink" Target="http://geovany.ramirez-bbva.com/" TargetMode="External"/><Relationship Id="rId679" Type="http://schemas.openxmlformats.org/officeDocument/2006/relationships/hyperlink" Target="http://mauricio.gutierrez-bbva.com/" TargetMode="External"/><Relationship Id="rId886" Type="http://schemas.openxmlformats.org/officeDocument/2006/relationships/hyperlink" Target="http://yadira.cobos-bbva.com/" TargetMode="External"/><Relationship Id="rId2" Type="http://schemas.openxmlformats.org/officeDocument/2006/relationships/hyperlink" Target="http://aura.castellanos-bbva.com/" TargetMode="External"/><Relationship Id="rId441" Type="http://schemas.openxmlformats.org/officeDocument/2006/relationships/hyperlink" Target="http://john.ardila-bbva.com/" TargetMode="External"/><Relationship Id="rId539" Type="http://schemas.openxmlformats.org/officeDocument/2006/relationships/hyperlink" Target="http://ingrid.cortes-bbva.com/" TargetMode="External"/><Relationship Id="rId746" Type="http://schemas.openxmlformats.org/officeDocument/2006/relationships/hyperlink" Target="http://jennymaria.urdaneta-bbva.com/" TargetMode="External"/><Relationship Id="rId1071" Type="http://schemas.openxmlformats.org/officeDocument/2006/relationships/hyperlink" Target="http://fabio.buitrago-bbva.com/" TargetMode="External"/><Relationship Id="rId1169" Type="http://schemas.openxmlformats.org/officeDocument/2006/relationships/hyperlink" Target="http://manuel.villamil-bbva.com/" TargetMode="External"/><Relationship Id="rId1376" Type="http://schemas.openxmlformats.org/officeDocument/2006/relationships/hyperlink" Target="http://jimmyalejandro.pena-bbva.com/" TargetMode="External"/><Relationship Id="rId1583" Type="http://schemas.openxmlformats.org/officeDocument/2006/relationships/hyperlink" Target="http://olga.lara-bbva.com/" TargetMode="External"/><Relationship Id="rId301" Type="http://schemas.openxmlformats.org/officeDocument/2006/relationships/hyperlink" Target="http://wilder.suarez-bbva.com/" TargetMode="External"/><Relationship Id="rId953" Type="http://schemas.openxmlformats.org/officeDocument/2006/relationships/hyperlink" Target="http://katherine.pardo-bbva.com/" TargetMode="External"/><Relationship Id="rId1029" Type="http://schemas.openxmlformats.org/officeDocument/2006/relationships/hyperlink" Target="http://rocio.garces-bbva.com/" TargetMode="External"/><Relationship Id="rId1236" Type="http://schemas.openxmlformats.org/officeDocument/2006/relationships/hyperlink" Target="http://carolina.ramirezlopez-bbva.com/" TargetMode="External"/><Relationship Id="rId1790" Type="http://schemas.openxmlformats.org/officeDocument/2006/relationships/hyperlink" Target="http://rubendario.perilla-bbva.com/" TargetMode="External"/><Relationship Id="rId1888" Type="http://schemas.openxmlformats.org/officeDocument/2006/relationships/hyperlink" Target="http://jhonathan.gaona-bbva.com/" TargetMode="External"/><Relationship Id="rId82" Type="http://schemas.openxmlformats.org/officeDocument/2006/relationships/hyperlink" Target="http://martha.reyes-bbva.com/" TargetMode="External"/><Relationship Id="rId606" Type="http://schemas.openxmlformats.org/officeDocument/2006/relationships/hyperlink" Target="http://diegofernando.correa-bbva.com/" TargetMode="External"/><Relationship Id="rId813" Type="http://schemas.openxmlformats.org/officeDocument/2006/relationships/hyperlink" Target="http://diegofernando.correa-bbva.com/" TargetMode="External"/><Relationship Id="rId1443" Type="http://schemas.openxmlformats.org/officeDocument/2006/relationships/hyperlink" Target="http://andreacarolina.camacho-bbva.com/" TargetMode="External"/><Relationship Id="rId1650" Type="http://schemas.openxmlformats.org/officeDocument/2006/relationships/hyperlink" Target="http://carlosandres.moque-bbva.com/" TargetMode="External"/><Relationship Id="rId1748" Type="http://schemas.openxmlformats.org/officeDocument/2006/relationships/hyperlink" Target="http://yenny.mancipe-bbva.com/" TargetMode="External"/><Relationship Id="rId1303" Type="http://schemas.openxmlformats.org/officeDocument/2006/relationships/hyperlink" Target="http://ivanmauricio.perez-bbva.com/" TargetMode="External"/><Relationship Id="rId1510" Type="http://schemas.openxmlformats.org/officeDocument/2006/relationships/hyperlink" Target="http://william.vargas-bbva.com/" TargetMode="External"/><Relationship Id="rId1608" Type="http://schemas.openxmlformats.org/officeDocument/2006/relationships/hyperlink" Target="http://miguelangel.castellanos-bbva.com/" TargetMode="External"/><Relationship Id="rId1815" Type="http://schemas.openxmlformats.org/officeDocument/2006/relationships/hyperlink" Target="http://liliana.velandia-bbva.com/" TargetMode="External"/><Relationship Id="rId189" Type="http://schemas.openxmlformats.org/officeDocument/2006/relationships/hyperlink" Target="http://giulianaandrea.guarin-bbva.com/" TargetMode="External"/><Relationship Id="rId396" Type="http://schemas.openxmlformats.org/officeDocument/2006/relationships/hyperlink" Target="http://marcoantonio.guzman-bbva.com/" TargetMode="External"/><Relationship Id="rId256" Type="http://schemas.openxmlformats.org/officeDocument/2006/relationships/hyperlink" Target="http://leidymaritza.futinico-bbva.com/" TargetMode="External"/><Relationship Id="rId463" Type="http://schemas.openxmlformats.org/officeDocument/2006/relationships/hyperlink" Target="http://hernanmauricio.lozada-bbva.com/" TargetMode="External"/><Relationship Id="rId670" Type="http://schemas.openxmlformats.org/officeDocument/2006/relationships/hyperlink" Target="http://sebastian.valencia.ramirez.contractor-bbva.com/" TargetMode="External"/><Relationship Id="rId1093" Type="http://schemas.openxmlformats.org/officeDocument/2006/relationships/hyperlink" Target="http://maritza.guerrero-bbva.com/" TargetMode="External"/><Relationship Id="rId116" Type="http://schemas.openxmlformats.org/officeDocument/2006/relationships/hyperlink" Target="http://josealejandro.duenas-bbva.com/" TargetMode="External"/><Relationship Id="rId323" Type="http://schemas.openxmlformats.org/officeDocument/2006/relationships/hyperlink" Target="http://hernan.riveros-bbva.com/" TargetMode="External"/><Relationship Id="rId530" Type="http://schemas.openxmlformats.org/officeDocument/2006/relationships/hyperlink" Target="http://sandrajohanna.gonzalez-bbva.com/" TargetMode="External"/><Relationship Id="rId768" Type="http://schemas.openxmlformats.org/officeDocument/2006/relationships/hyperlink" Target="http://monica.zamudio-bbva.com/" TargetMode="External"/><Relationship Id="rId975" Type="http://schemas.openxmlformats.org/officeDocument/2006/relationships/hyperlink" Target="http://maritza.guerrero-bbva.com/" TargetMode="External"/><Relationship Id="rId1160" Type="http://schemas.openxmlformats.org/officeDocument/2006/relationships/hyperlink" Target="http://manuel.villamil-bbva.com/" TargetMode="External"/><Relationship Id="rId1398" Type="http://schemas.openxmlformats.org/officeDocument/2006/relationships/hyperlink" Target="http://christian.aranda-bbva.com/" TargetMode="External"/><Relationship Id="rId628" Type="http://schemas.openxmlformats.org/officeDocument/2006/relationships/hyperlink" Target="http://ingridvanessa.ortiz.verano-bbva.com/" TargetMode="External"/><Relationship Id="rId835" Type="http://schemas.openxmlformats.org/officeDocument/2006/relationships/hyperlink" Target="http://nicolas.galindo-bbva.com/" TargetMode="External"/><Relationship Id="rId1258" Type="http://schemas.openxmlformats.org/officeDocument/2006/relationships/hyperlink" Target="http://jorgeeduardo.gomez.forero-bbva.com/" TargetMode="External"/><Relationship Id="rId1465" Type="http://schemas.openxmlformats.org/officeDocument/2006/relationships/hyperlink" Target="http://wilson.camacho-bbva.com/" TargetMode="External"/><Relationship Id="rId1672" Type="http://schemas.openxmlformats.org/officeDocument/2006/relationships/hyperlink" Target="http://pabloalexand.ortiz-bbva.com/" TargetMode="External"/><Relationship Id="rId1020" Type="http://schemas.openxmlformats.org/officeDocument/2006/relationships/hyperlink" Target="http://yurimilena.moreno-bbva.com/" TargetMode="External"/><Relationship Id="rId1118" Type="http://schemas.openxmlformats.org/officeDocument/2006/relationships/hyperlink" Target="http://nathaliamaria.torres-bbva.com/" TargetMode="External"/><Relationship Id="rId1325" Type="http://schemas.openxmlformats.org/officeDocument/2006/relationships/hyperlink" Target="http://felipe.guzman-bbva.com/" TargetMode="External"/><Relationship Id="rId1532" Type="http://schemas.openxmlformats.org/officeDocument/2006/relationships/hyperlink" Target="http://marcoantonio.guzman-bbva.com/" TargetMode="External"/><Relationship Id="rId902" Type="http://schemas.openxmlformats.org/officeDocument/2006/relationships/hyperlink" Target="http://monica.zamudio-bbva.com/" TargetMode="External"/><Relationship Id="rId1837" Type="http://schemas.openxmlformats.org/officeDocument/2006/relationships/hyperlink" Target="http://dianacarolina.gonzalez.castri-bbva.com/" TargetMode="External"/><Relationship Id="rId31" Type="http://schemas.openxmlformats.org/officeDocument/2006/relationships/hyperlink" Target="http://hector.murcia-bbva.com/" TargetMode="External"/><Relationship Id="rId180" Type="http://schemas.openxmlformats.org/officeDocument/2006/relationships/hyperlink" Target="http://mariajuliana.rodriguez-bbva.com/" TargetMode="External"/><Relationship Id="rId278" Type="http://schemas.openxmlformats.org/officeDocument/2006/relationships/hyperlink" Target="http://camilo.aguirre-bbva.com/" TargetMode="External"/><Relationship Id="rId1904" Type="http://schemas.openxmlformats.org/officeDocument/2006/relationships/hyperlink" Target="http://paolaandrea.guzman-bbva.com/" TargetMode="External"/><Relationship Id="rId485" Type="http://schemas.openxmlformats.org/officeDocument/2006/relationships/hyperlink" Target="http://carlos.barreto-bbva.com/" TargetMode="External"/><Relationship Id="rId692" Type="http://schemas.openxmlformats.org/officeDocument/2006/relationships/hyperlink" Target="http://nancymayerly.castiblanco-bbva.com/" TargetMode="External"/><Relationship Id="rId138" Type="http://schemas.openxmlformats.org/officeDocument/2006/relationships/hyperlink" Target="http://martha.reyes-bbva.com/" TargetMode="External"/><Relationship Id="rId345" Type="http://schemas.openxmlformats.org/officeDocument/2006/relationships/hyperlink" Target="http://yurimilena.moreno-bbva.com/" TargetMode="External"/><Relationship Id="rId552" Type="http://schemas.openxmlformats.org/officeDocument/2006/relationships/hyperlink" Target="http://luisfernando.diaz.devos-bbva.com/" TargetMode="External"/><Relationship Id="rId997" Type="http://schemas.openxmlformats.org/officeDocument/2006/relationships/hyperlink" Target="http://manuelignacio.trujillo-bbva.com/" TargetMode="External"/><Relationship Id="rId1182" Type="http://schemas.openxmlformats.org/officeDocument/2006/relationships/hyperlink" Target="http://hugoalberto.abreo-bbva.com/" TargetMode="External"/><Relationship Id="rId205" Type="http://schemas.openxmlformats.org/officeDocument/2006/relationships/hyperlink" Target="http://maritza.guerrero-bbva.com/" TargetMode="External"/><Relationship Id="rId412" Type="http://schemas.openxmlformats.org/officeDocument/2006/relationships/hyperlink" Target="http://edgara.camargo-bbva.com/" TargetMode="External"/><Relationship Id="rId857" Type="http://schemas.openxmlformats.org/officeDocument/2006/relationships/hyperlink" Target="http://andresfelipe.granados-bbva.com/" TargetMode="External"/><Relationship Id="rId1042" Type="http://schemas.openxmlformats.org/officeDocument/2006/relationships/hyperlink" Target="http://josemiguel.sanchez.barrantes-bbva.com/" TargetMode="External"/><Relationship Id="rId1487" Type="http://schemas.openxmlformats.org/officeDocument/2006/relationships/hyperlink" Target="http://mairanela.ramirez.salazar-bbva.com/" TargetMode="External"/><Relationship Id="rId1694" Type="http://schemas.openxmlformats.org/officeDocument/2006/relationships/hyperlink" Target="http://carlosandres.moque-bbva.com/" TargetMode="External"/><Relationship Id="rId717" Type="http://schemas.openxmlformats.org/officeDocument/2006/relationships/hyperlink" Target="http://alcibiades.rodriguez-bbva.com/" TargetMode="External"/><Relationship Id="rId924" Type="http://schemas.openxmlformats.org/officeDocument/2006/relationships/hyperlink" Target="http://julio.avila2-bbva.com/" TargetMode="External"/><Relationship Id="rId1347" Type="http://schemas.openxmlformats.org/officeDocument/2006/relationships/hyperlink" Target="http://luisrodrigo.ulloa.marin-bbva.com/" TargetMode="External"/><Relationship Id="rId1554" Type="http://schemas.openxmlformats.org/officeDocument/2006/relationships/hyperlink" Target="http://francisco.fgil-bbva.com/" TargetMode="External"/><Relationship Id="rId1761" Type="http://schemas.openxmlformats.org/officeDocument/2006/relationships/hyperlink" Target="http://sirlleny.vasquez-bbva.com/" TargetMode="External"/><Relationship Id="rId53" Type="http://schemas.openxmlformats.org/officeDocument/2006/relationships/hyperlink" Target="http://williamenrique.mendez-bbva.com/" TargetMode="External"/><Relationship Id="rId1207" Type="http://schemas.openxmlformats.org/officeDocument/2006/relationships/hyperlink" Target="http://erickson.soler-bbva.com/" TargetMode="External"/><Relationship Id="rId1414" Type="http://schemas.openxmlformats.org/officeDocument/2006/relationships/hyperlink" Target="http://wilson.hernandez-bbva.com/" TargetMode="External"/><Relationship Id="rId1621" Type="http://schemas.openxmlformats.org/officeDocument/2006/relationships/hyperlink" Target="http://geovany.ramirez-bbva.com/" TargetMode="External"/><Relationship Id="rId1859" Type="http://schemas.openxmlformats.org/officeDocument/2006/relationships/hyperlink" Target="http://carlosandres.moque-bbva.com/" TargetMode="External"/><Relationship Id="rId1719" Type="http://schemas.openxmlformats.org/officeDocument/2006/relationships/hyperlink" Target="http://josealejandro.duenas-bbva.com/" TargetMode="External"/><Relationship Id="rId367" Type="http://schemas.openxmlformats.org/officeDocument/2006/relationships/hyperlink" Target="http://hector.murcia-bbva.com/" TargetMode="External"/><Relationship Id="rId574" Type="http://schemas.openxmlformats.org/officeDocument/2006/relationships/hyperlink" Target="http://ader.anaya-bbva.com/" TargetMode="External"/><Relationship Id="rId227" Type="http://schemas.openxmlformats.org/officeDocument/2006/relationships/hyperlink" Target="http://ximena.barrera-bbva.com/" TargetMode="External"/><Relationship Id="rId781" Type="http://schemas.openxmlformats.org/officeDocument/2006/relationships/hyperlink" Target="http://sebastian.valencia.ramirez.contractor-bbva.com/" TargetMode="External"/><Relationship Id="rId879" Type="http://schemas.openxmlformats.org/officeDocument/2006/relationships/hyperlink" Target="http://maritza.sarmiento-bbva.com/" TargetMode="External"/><Relationship Id="rId434" Type="http://schemas.openxmlformats.org/officeDocument/2006/relationships/hyperlink" Target="http://john.ardila-bbva.com/" TargetMode="External"/><Relationship Id="rId641" Type="http://schemas.openxmlformats.org/officeDocument/2006/relationships/hyperlink" Target="http://josealejandro.duenas-bbva.com/" TargetMode="External"/><Relationship Id="rId739" Type="http://schemas.openxmlformats.org/officeDocument/2006/relationships/hyperlink" Target="http://ximena.barrera-bbva.com/" TargetMode="External"/><Relationship Id="rId1064" Type="http://schemas.openxmlformats.org/officeDocument/2006/relationships/hyperlink" Target="http://paulocesar.sastoque-bbva.com/" TargetMode="External"/><Relationship Id="rId1271" Type="http://schemas.openxmlformats.org/officeDocument/2006/relationships/hyperlink" Target="http://juan.orozco-bbva.com/" TargetMode="External"/><Relationship Id="rId1369" Type="http://schemas.openxmlformats.org/officeDocument/2006/relationships/hyperlink" Target="http://alcibiades.rodriguez-bbva.com/" TargetMode="External"/><Relationship Id="rId1576" Type="http://schemas.openxmlformats.org/officeDocument/2006/relationships/hyperlink" Target="http://josealejandro.duenas-bbva.com/" TargetMode="External"/><Relationship Id="rId501" Type="http://schemas.openxmlformats.org/officeDocument/2006/relationships/hyperlink" Target="http://rocio.garces-bbva.com/" TargetMode="External"/><Relationship Id="rId946" Type="http://schemas.openxmlformats.org/officeDocument/2006/relationships/hyperlink" Target="http://paolaandrea.guzman-bbva.com/" TargetMode="External"/><Relationship Id="rId1131" Type="http://schemas.openxmlformats.org/officeDocument/2006/relationships/hyperlink" Target="http://nicolas.galindo-bbva.com/" TargetMode="External"/><Relationship Id="rId1229" Type="http://schemas.openxmlformats.org/officeDocument/2006/relationships/hyperlink" Target="http://ivan_dario.ariza-bbva.com/" TargetMode="External"/><Relationship Id="rId1783" Type="http://schemas.openxmlformats.org/officeDocument/2006/relationships/hyperlink" Target="http://maritza.guerrero-bbva.com/" TargetMode="External"/><Relationship Id="rId75" Type="http://schemas.openxmlformats.org/officeDocument/2006/relationships/hyperlink" Target="http://milena.patino-bbva.com/" TargetMode="External"/><Relationship Id="rId806" Type="http://schemas.openxmlformats.org/officeDocument/2006/relationships/hyperlink" Target="http://ivanjesus.esparragoza-bbva.com/" TargetMode="External"/><Relationship Id="rId1436" Type="http://schemas.openxmlformats.org/officeDocument/2006/relationships/hyperlink" Target="http://hernanmauricio.lozada-bbva.com/" TargetMode="External"/><Relationship Id="rId1643" Type="http://schemas.openxmlformats.org/officeDocument/2006/relationships/hyperlink" Target="http://jorge.morales.ayala-bbva.com/" TargetMode="External"/><Relationship Id="rId1850" Type="http://schemas.openxmlformats.org/officeDocument/2006/relationships/hyperlink" Target="http://katherine.duque-bbva.com/" TargetMode="External"/><Relationship Id="rId1503" Type="http://schemas.openxmlformats.org/officeDocument/2006/relationships/hyperlink" Target="http://juansebastian.silva-bbva.com/" TargetMode="External"/><Relationship Id="rId1710" Type="http://schemas.openxmlformats.org/officeDocument/2006/relationships/hyperlink" Target="http://andresfelipe.lopez.sandoval-bbva.com/" TargetMode="External"/><Relationship Id="rId291" Type="http://schemas.openxmlformats.org/officeDocument/2006/relationships/hyperlink" Target="http://josealejandro.duenas-bbva.com/" TargetMode="External"/><Relationship Id="rId1808" Type="http://schemas.openxmlformats.org/officeDocument/2006/relationships/hyperlink" Target="http://dianacarolina.gonzalez.castri-bbva.com/" TargetMode="External"/><Relationship Id="rId151" Type="http://schemas.openxmlformats.org/officeDocument/2006/relationships/hyperlink" Target="http://alcibiades.rodriguez-bbva.com/" TargetMode="External"/><Relationship Id="rId389" Type="http://schemas.openxmlformats.org/officeDocument/2006/relationships/hyperlink" Target="http://alcibiades.rodriguez-bbva.com/" TargetMode="External"/><Relationship Id="rId596" Type="http://schemas.openxmlformats.org/officeDocument/2006/relationships/hyperlink" Target="http://hugo.mongua-bbva.com/" TargetMode="External"/><Relationship Id="rId249" Type="http://schemas.openxmlformats.org/officeDocument/2006/relationships/hyperlink" Target="http://luzmarina.gutierrez-bbva.com/" TargetMode="External"/><Relationship Id="rId456" Type="http://schemas.openxmlformats.org/officeDocument/2006/relationships/hyperlink" Target="http://hernanmauricio.lozada-bbva.com/" TargetMode="External"/><Relationship Id="rId663" Type="http://schemas.openxmlformats.org/officeDocument/2006/relationships/hyperlink" Target="http://wilson.camacho-bbva.com/" TargetMode="External"/><Relationship Id="rId870" Type="http://schemas.openxmlformats.org/officeDocument/2006/relationships/hyperlink" Target="http://deisyjohana.medina-bbva.com/" TargetMode="External"/><Relationship Id="rId1086" Type="http://schemas.openxmlformats.org/officeDocument/2006/relationships/hyperlink" Target="http://marthapatric.cruz-bbva.com/" TargetMode="External"/><Relationship Id="rId1293" Type="http://schemas.openxmlformats.org/officeDocument/2006/relationships/hyperlink" Target="http://brigitteandrea.rincon-bbva.com/" TargetMode="External"/><Relationship Id="rId109" Type="http://schemas.openxmlformats.org/officeDocument/2006/relationships/hyperlink" Target="http://katherine.michaels-bbva.com/" TargetMode="External"/><Relationship Id="rId316" Type="http://schemas.openxmlformats.org/officeDocument/2006/relationships/hyperlink" Target="http://diegoandres.rodriguez-bbva.com/" TargetMode="External"/><Relationship Id="rId523" Type="http://schemas.openxmlformats.org/officeDocument/2006/relationships/hyperlink" Target="http://elkinfernando.burbano-bbva.com/" TargetMode="External"/><Relationship Id="rId968" Type="http://schemas.openxmlformats.org/officeDocument/2006/relationships/hyperlink" Target="http://mariaelena.torres-bbva.com/" TargetMode="External"/><Relationship Id="rId1153" Type="http://schemas.openxmlformats.org/officeDocument/2006/relationships/hyperlink" Target="http://vickyalexandra.mora-bbva.com/" TargetMode="External"/><Relationship Id="rId1598" Type="http://schemas.openxmlformats.org/officeDocument/2006/relationships/hyperlink" Target="http://ivan_dario.ariza-bbva.com/" TargetMode="External"/><Relationship Id="rId97" Type="http://schemas.openxmlformats.org/officeDocument/2006/relationships/hyperlink" Target="http://pabloandres.villada-bbva.com/" TargetMode="External"/><Relationship Id="rId730" Type="http://schemas.openxmlformats.org/officeDocument/2006/relationships/hyperlink" Target="http://elizabeth.diaz-bbva.com/" TargetMode="External"/><Relationship Id="rId828" Type="http://schemas.openxmlformats.org/officeDocument/2006/relationships/hyperlink" Target="http://felipesantiago.araujo-bbva.com/" TargetMode="External"/><Relationship Id="rId1013" Type="http://schemas.openxmlformats.org/officeDocument/2006/relationships/hyperlink" Target="http://edwin.vargas-bbva.com/" TargetMode="External"/><Relationship Id="rId1360" Type="http://schemas.openxmlformats.org/officeDocument/2006/relationships/hyperlink" Target="http://maritza.guerrero-bbva.com/" TargetMode="External"/><Relationship Id="rId1458" Type="http://schemas.openxmlformats.org/officeDocument/2006/relationships/hyperlink" Target="http://marioalberto.sanchez-bbva.com/" TargetMode="External"/><Relationship Id="rId1665" Type="http://schemas.openxmlformats.org/officeDocument/2006/relationships/hyperlink" Target="http://hayden.cardenas-bbva.com/" TargetMode="External"/><Relationship Id="rId1872" Type="http://schemas.openxmlformats.org/officeDocument/2006/relationships/hyperlink" Target="http://pabloalexand.ortiz-bbva.com/" TargetMode="External"/><Relationship Id="rId1220" Type="http://schemas.openxmlformats.org/officeDocument/2006/relationships/hyperlink" Target="http://ivan_dario.ariza-bbva.com/" TargetMode="External"/><Relationship Id="rId1318" Type="http://schemas.openxmlformats.org/officeDocument/2006/relationships/hyperlink" Target="http://christian.diaz-bbva.com/" TargetMode="External"/><Relationship Id="rId1525" Type="http://schemas.openxmlformats.org/officeDocument/2006/relationships/hyperlink" Target="http://julio.avila2-bbva.com/" TargetMode="External"/><Relationship Id="rId1732" Type="http://schemas.openxmlformats.org/officeDocument/2006/relationships/hyperlink" Target="http://jorgeeduardo.gomez.forero-bbva.com/" TargetMode="External"/><Relationship Id="rId24" Type="http://schemas.openxmlformats.org/officeDocument/2006/relationships/hyperlink" Target="http://camila.nino-bbva.com/" TargetMode="External"/><Relationship Id="rId173" Type="http://schemas.openxmlformats.org/officeDocument/2006/relationships/hyperlink" Target="http://juhan.lozano-bbva.com/" TargetMode="External"/><Relationship Id="rId380" Type="http://schemas.openxmlformats.org/officeDocument/2006/relationships/hyperlink" Target="http://mario.lopez2-bbva.com/" TargetMode="External"/><Relationship Id="rId240" Type="http://schemas.openxmlformats.org/officeDocument/2006/relationships/hyperlink" Target="http://vickyalexandra.mora-bbva.com/" TargetMode="External"/><Relationship Id="rId478" Type="http://schemas.openxmlformats.org/officeDocument/2006/relationships/hyperlink" Target="http://hugo.mongua-bbva.com/" TargetMode="External"/><Relationship Id="rId685" Type="http://schemas.openxmlformats.org/officeDocument/2006/relationships/hyperlink" Target="http://david.juvinao-bbva.com/" TargetMode="External"/><Relationship Id="rId892" Type="http://schemas.openxmlformats.org/officeDocument/2006/relationships/hyperlink" Target="http://william.vargas-bbva.com/" TargetMode="External"/><Relationship Id="rId100" Type="http://schemas.openxmlformats.org/officeDocument/2006/relationships/hyperlink" Target="http://mairanela.ramirez.salazar-bbva.com/" TargetMode="External"/><Relationship Id="rId338" Type="http://schemas.openxmlformats.org/officeDocument/2006/relationships/hyperlink" Target="http://mairanela.ramirez.salazar-bbva.com/" TargetMode="External"/><Relationship Id="rId545" Type="http://schemas.openxmlformats.org/officeDocument/2006/relationships/hyperlink" Target="http://liliana.velandia-bbva.com/" TargetMode="External"/><Relationship Id="rId752" Type="http://schemas.openxmlformats.org/officeDocument/2006/relationships/hyperlink" Target="http://freddyorlando.guzman-bbva.com/" TargetMode="External"/><Relationship Id="rId1175" Type="http://schemas.openxmlformats.org/officeDocument/2006/relationships/hyperlink" Target="http://luzs.martinez.contractor-bbva.com/" TargetMode="External"/><Relationship Id="rId1382" Type="http://schemas.openxmlformats.org/officeDocument/2006/relationships/hyperlink" Target="http://rubendario.nunez-bbva.com/" TargetMode="External"/><Relationship Id="rId405" Type="http://schemas.openxmlformats.org/officeDocument/2006/relationships/hyperlink" Target="http://luis.plata-bbva.com/" TargetMode="External"/><Relationship Id="rId612" Type="http://schemas.openxmlformats.org/officeDocument/2006/relationships/hyperlink" Target="http://diegofernando.correa-bbva.com/" TargetMode="External"/><Relationship Id="rId1035" Type="http://schemas.openxmlformats.org/officeDocument/2006/relationships/hyperlink" Target="http://marthapatric.cruz-bbva.com/" TargetMode="External"/><Relationship Id="rId1242" Type="http://schemas.openxmlformats.org/officeDocument/2006/relationships/hyperlink" Target="http://geovany.ramirez-bbva.com/" TargetMode="External"/><Relationship Id="rId1687" Type="http://schemas.openxmlformats.org/officeDocument/2006/relationships/hyperlink" Target="http://jimy.catolico-bbva.com/" TargetMode="External"/><Relationship Id="rId1894" Type="http://schemas.openxmlformats.org/officeDocument/2006/relationships/hyperlink" Target="http://carlosandres.mora-bbva.com/" TargetMode="External"/><Relationship Id="rId917" Type="http://schemas.openxmlformats.org/officeDocument/2006/relationships/hyperlink" Target="http://carlosalbert.perez-bbva.com/" TargetMode="External"/><Relationship Id="rId1102" Type="http://schemas.openxmlformats.org/officeDocument/2006/relationships/hyperlink" Target="http://maritza.guerrero-bbva.com/" TargetMode="External"/><Relationship Id="rId1547" Type="http://schemas.openxmlformats.org/officeDocument/2006/relationships/hyperlink" Target="http://andres.carrandi-bbva.com/" TargetMode="External"/><Relationship Id="rId1754" Type="http://schemas.openxmlformats.org/officeDocument/2006/relationships/hyperlink" Target="http://elkinmauricio.lopez-bbva.com/" TargetMode="External"/><Relationship Id="rId46" Type="http://schemas.openxmlformats.org/officeDocument/2006/relationships/hyperlink" Target="http://gustavo.ferrucho-bbva.com/" TargetMode="External"/><Relationship Id="rId1407" Type="http://schemas.openxmlformats.org/officeDocument/2006/relationships/hyperlink" Target="http://cesar_gomez-bbva.com/" TargetMode="External"/><Relationship Id="rId1614" Type="http://schemas.openxmlformats.org/officeDocument/2006/relationships/hyperlink" Target="http://rociomarcela.lopez-bbva.com/" TargetMode="External"/><Relationship Id="rId1821" Type="http://schemas.openxmlformats.org/officeDocument/2006/relationships/hyperlink" Target="http://judy.prieto-bbva.com/" TargetMode="External"/><Relationship Id="rId195" Type="http://schemas.openxmlformats.org/officeDocument/2006/relationships/hyperlink" Target="http://marthapatric.cruz-bbva.com/" TargetMode="External"/><Relationship Id="rId1919" Type="http://schemas.openxmlformats.org/officeDocument/2006/relationships/hyperlink" Target="http://judy.bernal-bbva.com/" TargetMode="External"/><Relationship Id="rId262" Type="http://schemas.openxmlformats.org/officeDocument/2006/relationships/hyperlink" Target="http://freddyorlando.guzman-bbva.com/" TargetMode="External"/><Relationship Id="rId567" Type="http://schemas.openxmlformats.org/officeDocument/2006/relationships/hyperlink" Target="http://ader.anaya-bbva.com/" TargetMode="External"/><Relationship Id="rId1197" Type="http://schemas.openxmlformats.org/officeDocument/2006/relationships/hyperlink" Target="http://camila.nino-bbva.com/" TargetMode="External"/><Relationship Id="rId122" Type="http://schemas.openxmlformats.org/officeDocument/2006/relationships/hyperlink" Target="http://monica.zamudio-bbva.com/" TargetMode="External"/><Relationship Id="rId774" Type="http://schemas.openxmlformats.org/officeDocument/2006/relationships/hyperlink" Target="http://elizabeth.diaz-bbva.com/" TargetMode="External"/><Relationship Id="rId981" Type="http://schemas.openxmlformats.org/officeDocument/2006/relationships/hyperlink" Target="http://pabloandres.villada-bbva.com/" TargetMode="External"/><Relationship Id="rId1057" Type="http://schemas.openxmlformats.org/officeDocument/2006/relationships/hyperlink" Target="http://alexandra.vargas-bbva.com/" TargetMode="External"/><Relationship Id="rId427" Type="http://schemas.openxmlformats.org/officeDocument/2006/relationships/hyperlink" Target="http://hernanmauricio.lozada-bbva.com/" TargetMode="External"/><Relationship Id="rId634" Type="http://schemas.openxmlformats.org/officeDocument/2006/relationships/hyperlink" Target="http://william.vargas-bbva.com/" TargetMode="External"/><Relationship Id="rId841" Type="http://schemas.openxmlformats.org/officeDocument/2006/relationships/hyperlink" Target="http://brenda.monsalve-bbva.com/" TargetMode="External"/><Relationship Id="rId1264" Type="http://schemas.openxmlformats.org/officeDocument/2006/relationships/hyperlink" Target="http://yurimilena.moreno-bbva.com/" TargetMode="External"/><Relationship Id="rId1471" Type="http://schemas.openxmlformats.org/officeDocument/2006/relationships/hyperlink" Target="http://ana.naiza-bbva.com/" TargetMode="External"/><Relationship Id="rId1569" Type="http://schemas.openxmlformats.org/officeDocument/2006/relationships/hyperlink" Target="http://janethrojas-csf.com.co/" TargetMode="External"/><Relationship Id="rId701" Type="http://schemas.openxmlformats.org/officeDocument/2006/relationships/hyperlink" Target="http://hectormanuel.rodriguez.martin-bbva.com/" TargetMode="External"/><Relationship Id="rId939" Type="http://schemas.openxmlformats.org/officeDocument/2006/relationships/hyperlink" Target="http://clara.mora-bbva.com/" TargetMode="External"/><Relationship Id="rId1124" Type="http://schemas.openxmlformats.org/officeDocument/2006/relationships/hyperlink" Target="http://nathaliamaria.torres-bbva.com/" TargetMode="External"/><Relationship Id="rId1331" Type="http://schemas.openxmlformats.org/officeDocument/2006/relationships/hyperlink" Target="http://felipe.guzman-bbva.com/" TargetMode="External"/><Relationship Id="rId1776" Type="http://schemas.openxmlformats.org/officeDocument/2006/relationships/hyperlink" Target="http://taniaalexandra.jula-bbva.com/" TargetMode="External"/><Relationship Id="rId68" Type="http://schemas.openxmlformats.org/officeDocument/2006/relationships/hyperlink" Target="http://ximena.barrera-bbva.com/" TargetMode="External"/><Relationship Id="rId1429" Type="http://schemas.openxmlformats.org/officeDocument/2006/relationships/hyperlink" Target="http://jair.gomez-bbva.com/" TargetMode="External"/><Relationship Id="rId1636" Type="http://schemas.openxmlformats.org/officeDocument/2006/relationships/hyperlink" Target="http://hugoalberto.abreo-bbva.com/" TargetMode="External"/><Relationship Id="rId1843" Type="http://schemas.openxmlformats.org/officeDocument/2006/relationships/hyperlink" Target="http://huvertyadir.ramirez-bbva.com/" TargetMode="External"/><Relationship Id="rId1703" Type="http://schemas.openxmlformats.org/officeDocument/2006/relationships/hyperlink" Target="http://hernanmauricio.lozada-bbva.com/" TargetMode="External"/><Relationship Id="rId1910" Type="http://schemas.openxmlformats.org/officeDocument/2006/relationships/hyperlink" Target="http://oscardavid.rico-bbva.com/" TargetMode="External"/><Relationship Id="rId284" Type="http://schemas.openxmlformats.org/officeDocument/2006/relationships/hyperlink" Target="http://juan.orozco-bbva.com/" TargetMode="External"/><Relationship Id="rId491" Type="http://schemas.openxmlformats.org/officeDocument/2006/relationships/hyperlink" Target="http://nurys.cervera-bbva.com/" TargetMode="External"/><Relationship Id="rId144" Type="http://schemas.openxmlformats.org/officeDocument/2006/relationships/hyperlink" Target="http://wilson.torres-bbva.com/" TargetMode="External"/><Relationship Id="rId589" Type="http://schemas.openxmlformats.org/officeDocument/2006/relationships/hyperlink" Target="http://diegofernando.correa-bbva.com/" TargetMode="External"/><Relationship Id="rId796" Type="http://schemas.openxmlformats.org/officeDocument/2006/relationships/hyperlink" Target="http://wilson.camacho-bbva.com/" TargetMode="External"/><Relationship Id="rId351" Type="http://schemas.openxmlformats.org/officeDocument/2006/relationships/hyperlink" Target="http://monica.zamudio-bbva.com/" TargetMode="External"/><Relationship Id="rId449" Type="http://schemas.openxmlformats.org/officeDocument/2006/relationships/hyperlink" Target="http://monicaandrea.sanabria-bbva.com/" TargetMode="External"/><Relationship Id="rId656" Type="http://schemas.openxmlformats.org/officeDocument/2006/relationships/hyperlink" Target="http://martha.reyes-bbva.com/" TargetMode="External"/><Relationship Id="rId863" Type="http://schemas.openxmlformats.org/officeDocument/2006/relationships/hyperlink" Target="http://andresfelipe.granados-bbva.com/" TargetMode="External"/><Relationship Id="rId1079" Type="http://schemas.openxmlformats.org/officeDocument/2006/relationships/hyperlink" Target="http://sandrajohanna.gonzalez-bbva.com/" TargetMode="External"/><Relationship Id="rId1286" Type="http://schemas.openxmlformats.org/officeDocument/2006/relationships/hyperlink" Target="http://ingrid.cortes-bbva.com/" TargetMode="External"/><Relationship Id="rId1493" Type="http://schemas.openxmlformats.org/officeDocument/2006/relationships/hyperlink" Target="http://camilo.aguirre-bbva.com/" TargetMode="External"/><Relationship Id="rId211" Type="http://schemas.openxmlformats.org/officeDocument/2006/relationships/hyperlink" Target="http://maritza.guerrero-bbva.com/" TargetMode="External"/><Relationship Id="rId309" Type="http://schemas.openxmlformats.org/officeDocument/2006/relationships/hyperlink" Target="http://josealejandro.duenas-bbva.com/" TargetMode="External"/><Relationship Id="rId516" Type="http://schemas.openxmlformats.org/officeDocument/2006/relationships/hyperlink" Target="http://paulocesar.sastoque-bbva.com/" TargetMode="External"/><Relationship Id="rId1146" Type="http://schemas.openxmlformats.org/officeDocument/2006/relationships/hyperlink" Target="http://andresfelipe.granados-bbva.com/" TargetMode="External"/><Relationship Id="rId1798" Type="http://schemas.openxmlformats.org/officeDocument/2006/relationships/hyperlink" Target="http://jordi.sole-bbva.com/" TargetMode="External"/><Relationship Id="rId723" Type="http://schemas.openxmlformats.org/officeDocument/2006/relationships/hyperlink" Target="http://mairanela.ramirez.salazar-bbva.com/" TargetMode="External"/><Relationship Id="rId930" Type="http://schemas.openxmlformats.org/officeDocument/2006/relationships/hyperlink" Target="http://jeissonandres.diaz.rodriguez-bbva.com/" TargetMode="External"/><Relationship Id="rId1006" Type="http://schemas.openxmlformats.org/officeDocument/2006/relationships/hyperlink" Target="http://mariaelena.torres-bbva.com/" TargetMode="External"/><Relationship Id="rId1353" Type="http://schemas.openxmlformats.org/officeDocument/2006/relationships/hyperlink" Target="http://jorge.carvajal-bbva.com/" TargetMode="External"/><Relationship Id="rId1560" Type="http://schemas.openxmlformats.org/officeDocument/2006/relationships/hyperlink" Target="http://andres.carrandi-bbva.com/" TargetMode="External"/><Relationship Id="rId1658" Type="http://schemas.openxmlformats.org/officeDocument/2006/relationships/hyperlink" Target="http://camila.nino-bbva.com/" TargetMode="External"/><Relationship Id="rId1865" Type="http://schemas.openxmlformats.org/officeDocument/2006/relationships/hyperlink" Target="http://sandrapatricia.ramirez-bbva.com/" TargetMode="External"/><Relationship Id="rId1213" Type="http://schemas.openxmlformats.org/officeDocument/2006/relationships/hyperlink" Target="http://ivanjesus.esparragoza-bbva.com/" TargetMode="External"/><Relationship Id="rId1420" Type="http://schemas.openxmlformats.org/officeDocument/2006/relationships/hyperlink" Target="http://hernanmauricio.lozada-bbva.com/" TargetMode="External"/><Relationship Id="rId1518" Type="http://schemas.openxmlformats.org/officeDocument/2006/relationships/hyperlink" Target="http://mabel.diaz-bbva.com/" TargetMode="External"/><Relationship Id="rId1725" Type="http://schemas.openxmlformats.org/officeDocument/2006/relationships/hyperlink" Target="http://mariofelipe.caro-bbva.com/" TargetMode="External"/><Relationship Id="rId17" Type="http://schemas.openxmlformats.org/officeDocument/2006/relationships/hyperlink" Target="http://ivanjesus.esparragoza-bbva.com/" TargetMode="External"/><Relationship Id="rId166" Type="http://schemas.openxmlformats.org/officeDocument/2006/relationships/hyperlink" Target="http://carlos.combita-bbva.com/" TargetMode="External"/><Relationship Id="rId373" Type="http://schemas.openxmlformats.org/officeDocument/2006/relationships/hyperlink" Target="http://nelson.ruiz-bbva.com/" TargetMode="External"/><Relationship Id="rId580" Type="http://schemas.openxmlformats.org/officeDocument/2006/relationships/hyperlink" Target="http://alejandro.fandino-bbva.com/" TargetMode="External"/><Relationship Id="rId1" Type="http://schemas.openxmlformats.org/officeDocument/2006/relationships/hyperlink" Target="http://juana.vergara-bbva.com/" TargetMode="External"/><Relationship Id="rId233" Type="http://schemas.openxmlformats.org/officeDocument/2006/relationships/hyperlink" Target="http://juana.vergara-bbva.com/" TargetMode="External"/><Relationship Id="rId440" Type="http://schemas.openxmlformats.org/officeDocument/2006/relationships/hyperlink" Target="http://hector.murcia-bbva.com/" TargetMode="External"/><Relationship Id="rId678" Type="http://schemas.openxmlformats.org/officeDocument/2006/relationships/hyperlink" Target="http://katherine.michaels-bbva.com/" TargetMode="External"/><Relationship Id="rId885" Type="http://schemas.openxmlformats.org/officeDocument/2006/relationships/hyperlink" Target="http://nicolas.galindo-bbva.com/" TargetMode="External"/><Relationship Id="rId1070" Type="http://schemas.openxmlformats.org/officeDocument/2006/relationships/hyperlink" Target="http://john.lozada-bbva.com/" TargetMode="External"/><Relationship Id="rId300" Type="http://schemas.openxmlformats.org/officeDocument/2006/relationships/hyperlink" Target="http://josealejandro.duenas-bbva.com/" TargetMode="External"/><Relationship Id="rId538" Type="http://schemas.openxmlformats.org/officeDocument/2006/relationships/hyperlink" Target="http://manuel.villamil-bbva.com/" TargetMode="External"/><Relationship Id="rId745" Type="http://schemas.openxmlformats.org/officeDocument/2006/relationships/hyperlink" Target="http://josealejandro.duenas-bbva.com/" TargetMode="External"/><Relationship Id="rId952" Type="http://schemas.openxmlformats.org/officeDocument/2006/relationships/hyperlink" Target="http://juana.vergara-bbva.com/" TargetMode="External"/><Relationship Id="rId1168" Type="http://schemas.openxmlformats.org/officeDocument/2006/relationships/hyperlink" Target="http://jhonalexander.chaparro-bbva.com/" TargetMode="External"/><Relationship Id="rId1375" Type="http://schemas.openxmlformats.org/officeDocument/2006/relationships/hyperlink" Target="http://eder.pinzon-bbva.com/" TargetMode="External"/><Relationship Id="rId1582" Type="http://schemas.openxmlformats.org/officeDocument/2006/relationships/hyperlink" Target="http://rociomarcela.lopez-bbva.com/" TargetMode="External"/><Relationship Id="rId81" Type="http://schemas.openxmlformats.org/officeDocument/2006/relationships/hyperlink" Target="http://flor.duarte-bbva.com/" TargetMode="External"/><Relationship Id="rId605" Type="http://schemas.openxmlformats.org/officeDocument/2006/relationships/hyperlink" Target="http://jorgeh.cruz-bbva.com/" TargetMode="External"/><Relationship Id="rId812" Type="http://schemas.openxmlformats.org/officeDocument/2006/relationships/hyperlink" Target="http://victorrafael.ramos-bbva.com/" TargetMode="External"/><Relationship Id="rId1028" Type="http://schemas.openxmlformats.org/officeDocument/2006/relationships/hyperlink" Target="http://katherine.michaels-bbva.com/" TargetMode="External"/><Relationship Id="rId1235" Type="http://schemas.openxmlformats.org/officeDocument/2006/relationships/hyperlink" Target="http://ximena.barrera-bbva.com/" TargetMode="External"/><Relationship Id="rId1442" Type="http://schemas.openxmlformats.org/officeDocument/2006/relationships/hyperlink" Target="http://john.ardila-bbva.com/" TargetMode="External"/><Relationship Id="rId1887" Type="http://schemas.openxmlformats.org/officeDocument/2006/relationships/hyperlink" Target="http://taniaalexandra.jula-bbva.com/" TargetMode="External"/><Relationship Id="rId1302" Type="http://schemas.openxmlformats.org/officeDocument/2006/relationships/hyperlink" Target="http://freddyorlando.guzman-bbva.com/" TargetMode="External"/><Relationship Id="rId1747" Type="http://schemas.openxmlformats.org/officeDocument/2006/relationships/hyperlink" Target="http://ronal.saavedra-bbva.com/" TargetMode="External"/><Relationship Id="rId39" Type="http://schemas.openxmlformats.org/officeDocument/2006/relationships/hyperlink" Target="http://ivanjesus.esparragoza-bbva.com/" TargetMode="External"/><Relationship Id="rId1607" Type="http://schemas.openxmlformats.org/officeDocument/2006/relationships/hyperlink" Target="http://maritza.guerrero-bbva.com/" TargetMode="External"/><Relationship Id="rId1814" Type="http://schemas.openxmlformats.org/officeDocument/2006/relationships/hyperlink" Target="http://alexander.tibocha-bbva.com/" TargetMode="External"/><Relationship Id="rId188" Type="http://schemas.openxmlformats.org/officeDocument/2006/relationships/hyperlink" Target="http://juhan.lozano-bbva.com/" TargetMode="External"/><Relationship Id="rId395" Type="http://schemas.openxmlformats.org/officeDocument/2006/relationships/hyperlink" Target="http://victorrafael.ramos-bbva.com/" TargetMode="External"/><Relationship Id="rId255" Type="http://schemas.openxmlformats.org/officeDocument/2006/relationships/hyperlink" Target="http://monica.zamudio-bbva.com/" TargetMode="External"/><Relationship Id="rId462" Type="http://schemas.openxmlformats.org/officeDocument/2006/relationships/hyperlink" Target="http://milena.patino-bbva.com/" TargetMode="External"/><Relationship Id="rId1092" Type="http://schemas.openxmlformats.org/officeDocument/2006/relationships/hyperlink" Target="http://monicaandrea.abogado-bbva.com/" TargetMode="External"/><Relationship Id="rId1397" Type="http://schemas.openxmlformats.org/officeDocument/2006/relationships/hyperlink" Target="http://sandrapatricia.ramirez-bbva.com/" TargetMode="External"/><Relationship Id="rId115" Type="http://schemas.openxmlformats.org/officeDocument/2006/relationships/hyperlink" Target="http://hernan.riveros-bbva.com/" TargetMode="External"/><Relationship Id="rId322" Type="http://schemas.openxmlformats.org/officeDocument/2006/relationships/hyperlink" Target="http://huvertyadir.ramirez-bbva.com/" TargetMode="External"/><Relationship Id="rId767" Type="http://schemas.openxmlformats.org/officeDocument/2006/relationships/hyperlink" Target="http://mairanela.ramirez.salazar-bbva.com/" TargetMode="External"/><Relationship Id="rId974" Type="http://schemas.openxmlformats.org/officeDocument/2006/relationships/hyperlink" Target="http://diegoandres.rodriguez-bbva.com/" TargetMode="External"/><Relationship Id="rId627" Type="http://schemas.openxmlformats.org/officeDocument/2006/relationships/hyperlink" Target="http://jorge.antorveza-bbva.com/" TargetMode="External"/><Relationship Id="rId834" Type="http://schemas.openxmlformats.org/officeDocument/2006/relationships/hyperlink" Target="http://paulocesar.sastoque-bbva.com/" TargetMode="External"/><Relationship Id="rId1257" Type="http://schemas.openxmlformats.org/officeDocument/2006/relationships/hyperlink" Target="http://alcibiades.rodriguez-bbva.com/" TargetMode="External"/><Relationship Id="rId1464" Type="http://schemas.openxmlformats.org/officeDocument/2006/relationships/hyperlink" Target="http://andrea.rengifo-bbva.com/" TargetMode="External"/><Relationship Id="rId1671" Type="http://schemas.openxmlformats.org/officeDocument/2006/relationships/hyperlink" Target="http://andres.carrandi-bbva.com/" TargetMode="External"/><Relationship Id="rId901" Type="http://schemas.openxmlformats.org/officeDocument/2006/relationships/hyperlink" Target="http://camilo.aguirre-bbva.com/" TargetMode="External"/><Relationship Id="rId1117" Type="http://schemas.openxmlformats.org/officeDocument/2006/relationships/hyperlink" Target="http://manuel.villamil-bbva.com/" TargetMode="External"/><Relationship Id="rId1324" Type="http://schemas.openxmlformats.org/officeDocument/2006/relationships/hyperlink" Target="http://alcibiades.rodriguez-bbva.com/" TargetMode="External"/><Relationship Id="rId1531" Type="http://schemas.openxmlformats.org/officeDocument/2006/relationships/hyperlink" Target="http://john.ardila-bbva.com/" TargetMode="External"/><Relationship Id="rId1769" Type="http://schemas.openxmlformats.org/officeDocument/2006/relationships/hyperlink" Target="http://paolaandrea.hermosa-bbva.com/" TargetMode="External"/><Relationship Id="rId30" Type="http://schemas.openxmlformats.org/officeDocument/2006/relationships/hyperlink" Target="http://ivan.martinez-bbva.com/" TargetMode="External"/><Relationship Id="rId1629" Type="http://schemas.openxmlformats.org/officeDocument/2006/relationships/hyperlink" Target="http://alexander.tibocha-bbva.com/" TargetMode="External"/><Relationship Id="rId1836" Type="http://schemas.openxmlformats.org/officeDocument/2006/relationships/hyperlink" Target="http://felipe.guzman-bbva.com/" TargetMode="External"/><Relationship Id="rId1903" Type="http://schemas.openxmlformats.org/officeDocument/2006/relationships/hyperlink" Target="http://hayden.cardenas-bbva.com/" TargetMode="External"/><Relationship Id="rId277" Type="http://schemas.openxmlformats.org/officeDocument/2006/relationships/hyperlink" Target="http://juliocesar.estupinan-bbva.com/" TargetMode="External"/><Relationship Id="rId484" Type="http://schemas.openxmlformats.org/officeDocument/2006/relationships/hyperlink" Target="http://victorrafael.ramos-bbva.com/" TargetMode="External"/><Relationship Id="rId137" Type="http://schemas.openxmlformats.org/officeDocument/2006/relationships/hyperlink" Target="http://july.miranda-bbva.com/" TargetMode="External"/><Relationship Id="rId344" Type="http://schemas.openxmlformats.org/officeDocument/2006/relationships/hyperlink" Target="http://ivan.martinez-bbva.com/" TargetMode="External"/><Relationship Id="rId691" Type="http://schemas.openxmlformats.org/officeDocument/2006/relationships/hyperlink" Target="http://nidia.moreno-bbva.com/" TargetMode="External"/><Relationship Id="rId789" Type="http://schemas.openxmlformats.org/officeDocument/2006/relationships/hyperlink" Target="http://ingrid.cortes-bbva.com/" TargetMode="External"/><Relationship Id="rId996" Type="http://schemas.openxmlformats.org/officeDocument/2006/relationships/hyperlink" Target="http://alcibiades.rodriguez-bbva.com/" TargetMode="External"/><Relationship Id="rId551" Type="http://schemas.openxmlformats.org/officeDocument/2006/relationships/hyperlink" Target="http://jennifer.zamudio-bbva.com/" TargetMode="External"/><Relationship Id="rId649" Type="http://schemas.openxmlformats.org/officeDocument/2006/relationships/hyperlink" Target="http://alcibiades.rodriguez-bbva.com/" TargetMode="External"/><Relationship Id="rId856" Type="http://schemas.openxmlformats.org/officeDocument/2006/relationships/hyperlink" Target="http://henryr.rodriguez-bbva.com/" TargetMode="External"/><Relationship Id="rId1181" Type="http://schemas.openxmlformats.org/officeDocument/2006/relationships/hyperlink" Target="http://john.ardila-bbva.com/" TargetMode="External"/><Relationship Id="rId1279" Type="http://schemas.openxmlformats.org/officeDocument/2006/relationships/hyperlink" Target="http://hernan.riveros-bbva.com/" TargetMode="External"/><Relationship Id="rId1486" Type="http://schemas.openxmlformats.org/officeDocument/2006/relationships/hyperlink" Target="http://sebastian.valencia.ramirez.contractor-bbva.com/" TargetMode="External"/><Relationship Id="rId204" Type="http://schemas.openxmlformats.org/officeDocument/2006/relationships/hyperlink" Target="http://diegoandres.rodriguez-bbva.com/" TargetMode="External"/><Relationship Id="rId411" Type="http://schemas.openxmlformats.org/officeDocument/2006/relationships/hyperlink" Target="http://wilson.hernandez-bbva.com/" TargetMode="External"/><Relationship Id="rId509" Type="http://schemas.openxmlformats.org/officeDocument/2006/relationships/hyperlink" Target="http://sandrapatricia.ramirez-bbva.com/" TargetMode="External"/><Relationship Id="rId1041" Type="http://schemas.openxmlformats.org/officeDocument/2006/relationships/hyperlink" Target="http://marthapatric.cruz-bbva.com/" TargetMode="External"/><Relationship Id="rId1139" Type="http://schemas.openxmlformats.org/officeDocument/2006/relationships/hyperlink" Target="http://alirio.bermudez-bbva.com/" TargetMode="External"/><Relationship Id="rId1346" Type="http://schemas.openxmlformats.org/officeDocument/2006/relationships/hyperlink" Target="http://mariaelena.torres-bbva.com/" TargetMode="External"/><Relationship Id="rId1693" Type="http://schemas.openxmlformats.org/officeDocument/2006/relationships/hyperlink" Target="http://blancamilena.cardona-bbva.com/" TargetMode="External"/><Relationship Id="rId716" Type="http://schemas.openxmlformats.org/officeDocument/2006/relationships/hyperlink" Target="http://martha.reyes-bbva.com/" TargetMode="External"/><Relationship Id="rId923" Type="http://schemas.openxmlformats.org/officeDocument/2006/relationships/hyperlink" Target="http://edgaralexander.avila-bbva.com/" TargetMode="External"/><Relationship Id="rId1553" Type="http://schemas.openxmlformats.org/officeDocument/2006/relationships/hyperlink" Target="http://giulianaandrea.guarin-bbva.com/" TargetMode="External"/><Relationship Id="rId1760" Type="http://schemas.openxmlformats.org/officeDocument/2006/relationships/hyperlink" Target="http://ivan_dario.ariza-bbva.com/" TargetMode="External"/><Relationship Id="rId1858" Type="http://schemas.openxmlformats.org/officeDocument/2006/relationships/hyperlink" Target="http://claudia.fajardo-bbva.com/" TargetMode="External"/><Relationship Id="rId52" Type="http://schemas.openxmlformats.org/officeDocument/2006/relationships/hyperlink" Target="http://milena.patino-bbva.com/" TargetMode="External"/><Relationship Id="rId1206" Type="http://schemas.openxmlformats.org/officeDocument/2006/relationships/hyperlink" Target="http://vivianamarcela.rueda-bbva.com/" TargetMode="External"/><Relationship Id="rId1413" Type="http://schemas.openxmlformats.org/officeDocument/2006/relationships/hyperlink" Target="http://yinet.acevedo-bbva.com/" TargetMode="External"/><Relationship Id="rId1620" Type="http://schemas.openxmlformats.org/officeDocument/2006/relationships/hyperlink" Target="http://santiago.campuzano-bbva.com/" TargetMode="External"/><Relationship Id="rId1718" Type="http://schemas.openxmlformats.org/officeDocument/2006/relationships/hyperlink" Target="http://hernanmauricio.lozada-bbva.com/" TargetMode="External"/><Relationship Id="rId299" Type="http://schemas.openxmlformats.org/officeDocument/2006/relationships/hyperlink" Target="http://ivanmauricio.perez-bbva.com/" TargetMode="External"/><Relationship Id="rId159" Type="http://schemas.openxmlformats.org/officeDocument/2006/relationships/hyperlink" Target="http://omar.monroyp-bbva.com/" TargetMode="External"/><Relationship Id="rId366" Type="http://schemas.openxmlformats.org/officeDocument/2006/relationships/hyperlink" Target="http://ader.anaya-bbva.com/" TargetMode="External"/><Relationship Id="rId573" Type="http://schemas.openxmlformats.org/officeDocument/2006/relationships/hyperlink" Target="http://victorrafael.ramos-bbva.com/" TargetMode="External"/><Relationship Id="rId780" Type="http://schemas.openxmlformats.org/officeDocument/2006/relationships/hyperlink" Target="http://sebastian.valencia.ramirez.contractor-bbva.com/" TargetMode="External"/><Relationship Id="rId226" Type="http://schemas.openxmlformats.org/officeDocument/2006/relationships/hyperlink" Target="http://alcibiades.rodriguez-bbva.com/" TargetMode="External"/><Relationship Id="rId433" Type="http://schemas.openxmlformats.org/officeDocument/2006/relationships/hyperlink" Target="http://hernanmauricio.lozada-bbva.com/" TargetMode="External"/><Relationship Id="rId878" Type="http://schemas.openxmlformats.org/officeDocument/2006/relationships/hyperlink" Target="http://christian.aranda-bbva.com/" TargetMode="External"/><Relationship Id="rId1063" Type="http://schemas.openxmlformats.org/officeDocument/2006/relationships/hyperlink" Target="http://maritza.guerrero-bbva.com/" TargetMode="External"/><Relationship Id="rId1270" Type="http://schemas.openxmlformats.org/officeDocument/2006/relationships/hyperlink" Target="http://ruthnoemi.mendez-bbva.com/" TargetMode="External"/><Relationship Id="rId640" Type="http://schemas.openxmlformats.org/officeDocument/2006/relationships/hyperlink" Target="http://marthapatric.cruz-bbva.com/" TargetMode="External"/><Relationship Id="rId738" Type="http://schemas.openxmlformats.org/officeDocument/2006/relationships/hyperlink" Target="http://william.vargas-bbva.com/" TargetMode="External"/><Relationship Id="rId945" Type="http://schemas.openxmlformats.org/officeDocument/2006/relationships/hyperlink" Target="http://maritza.guerrero-bbva.com/" TargetMode="External"/><Relationship Id="rId1368" Type="http://schemas.openxmlformats.org/officeDocument/2006/relationships/hyperlink" Target="http://diegofernando.uribe-bbva.com/" TargetMode="External"/><Relationship Id="rId1575" Type="http://schemas.openxmlformats.org/officeDocument/2006/relationships/hyperlink" Target="http://nicolas.galindo-bbva.com/" TargetMode="External"/><Relationship Id="rId1782" Type="http://schemas.openxmlformats.org/officeDocument/2006/relationships/hyperlink" Target="http://diegoandres.rodriguez-bbva.com/" TargetMode="External"/><Relationship Id="rId74" Type="http://schemas.openxmlformats.org/officeDocument/2006/relationships/hyperlink" Target="http://ivanmauricio.perez-bbva.com/" TargetMode="External"/><Relationship Id="rId500" Type="http://schemas.openxmlformats.org/officeDocument/2006/relationships/hyperlink" Target="http://carolina.galvis-bbva.com/" TargetMode="External"/><Relationship Id="rId805" Type="http://schemas.openxmlformats.org/officeDocument/2006/relationships/hyperlink" Target="http://carolina.calvachi-bbva.com/" TargetMode="External"/><Relationship Id="rId1130" Type="http://schemas.openxmlformats.org/officeDocument/2006/relationships/hyperlink" Target="http://paulocesar.sastoque-bbva.com/" TargetMode="External"/><Relationship Id="rId1228" Type="http://schemas.openxmlformats.org/officeDocument/2006/relationships/hyperlink" Target="http://erickson.soler-bbva.com/" TargetMode="External"/><Relationship Id="rId1435" Type="http://schemas.openxmlformats.org/officeDocument/2006/relationships/hyperlink" Target="http://jair.gomez-bbva.com/" TargetMode="External"/><Relationship Id="rId1642" Type="http://schemas.openxmlformats.org/officeDocument/2006/relationships/hyperlink" Target="http://juan.bejarano-bbva.com/" TargetMode="External"/><Relationship Id="rId1502" Type="http://schemas.openxmlformats.org/officeDocument/2006/relationships/hyperlink" Target="http://jaime.trujillo-bbva.com/" TargetMode="External"/><Relationship Id="rId1807" Type="http://schemas.openxmlformats.org/officeDocument/2006/relationships/hyperlink" Target="http://felipe.guzman-bbva.com/" TargetMode="External"/><Relationship Id="rId290" Type="http://schemas.openxmlformats.org/officeDocument/2006/relationships/hyperlink" Target="http://maritza.guerrero-bbva.com/" TargetMode="External"/><Relationship Id="rId388" Type="http://schemas.openxmlformats.org/officeDocument/2006/relationships/hyperlink" Target="http://martha.reyes-bbva.com/" TargetMode="External"/><Relationship Id="rId150" Type="http://schemas.openxmlformats.org/officeDocument/2006/relationships/hyperlink" Target="http://wilson.torres-bbva.com/" TargetMode="External"/><Relationship Id="rId595" Type="http://schemas.openxmlformats.org/officeDocument/2006/relationships/hyperlink" Target="http://hugo.mongua-bbva.com/" TargetMode="External"/><Relationship Id="rId248" Type="http://schemas.openxmlformats.org/officeDocument/2006/relationships/hyperlink" Target="http://edwinalberto.barrios-bbva.com/" TargetMode="External"/><Relationship Id="rId455" Type="http://schemas.openxmlformats.org/officeDocument/2006/relationships/hyperlink" Target="http://hernanmauricio.lozada-bbva.com/" TargetMode="External"/><Relationship Id="rId662" Type="http://schemas.openxmlformats.org/officeDocument/2006/relationships/hyperlink" Target="http://wilson.camacho-bbva.com/" TargetMode="External"/><Relationship Id="rId1085" Type="http://schemas.openxmlformats.org/officeDocument/2006/relationships/hyperlink" Target="http://nathaliamaria.torres-bbva.com/" TargetMode="External"/><Relationship Id="rId1292" Type="http://schemas.openxmlformats.org/officeDocument/2006/relationships/hyperlink" Target="http://marthaconsuelo.parra-bbva.com/" TargetMode="External"/><Relationship Id="rId108" Type="http://schemas.openxmlformats.org/officeDocument/2006/relationships/hyperlink" Target="http://mariajuliana.rodriguez-bbva.com/" TargetMode="External"/><Relationship Id="rId315" Type="http://schemas.openxmlformats.org/officeDocument/2006/relationships/hyperlink" Target="http://monica.zamudio-bbva.com/" TargetMode="External"/><Relationship Id="rId522" Type="http://schemas.openxmlformats.org/officeDocument/2006/relationships/hyperlink" Target="http://manuelignacio.trujillo-bbva.com/" TargetMode="External"/><Relationship Id="rId967" Type="http://schemas.openxmlformats.org/officeDocument/2006/relationships/hyperlink" Target="http://mauricio.wandurraga-bbva.com/" TargetMode="External"/><Relationship Id="rId1152" Type="http://schemas.openxmlformats.org/officeDocument/2006/relationships/hyperlink" Target="http://yurimilena.moreno-bbva.com/" TargetMode="External"/><Relationship Id="rId1597" Type="http://schemas.openxmlformats.org/officeDocument/2006/relationships/hyperlink" Target="http://mairanela.ramirez.salazar-bbva.com/" TargetMode="External"/><Relationship Id="rId96" Type="http://schemas.openxmlformats.org/officeDocument/2006/relationships/hyperlink" Target="http://nancymayerly.castiblanco-bbva.com/" TargetMode="External"/><Relationship Id="rId827" Type="http://schemas.openxmlformats.org/officeDocument/2006/relationships/hyperlink" Target="http://juan.orozco-bbva.com/" TargetMode="External"/><Relationship Id="rId1012" Type="http://schemas.openxmlformats.org/officeDocument/2006/relationships/hyperlink" Target="http://jaime.trujillo-bbva.com/" TargetMode="External"/><Relationship Id="rId1457" Type="http://schemas.openxmlformats.org/officeDocument/2006/relationships/hyperlink" Target="http://mairanela.ramirez.salazar-bbva.com/" TargetMode="External"/><Relationship Id="rId1664" Type="http://schemas.openxmlformats.org/officeDocument/2006/relationships/hyperlink" Target="http://marcoantonio.molano-bbva.com/" TargetMode="External"/><Relationship Id="rId1871" Type="http://schemas.openxmlformats.org/officeDocument/2006/relationships/hyperlink" Target="http://andres.carrandi-bbva.com/" TargetMode="External"/><Relationship Id="rId1317" Type="http://schemas.openxmlformats.org/officeDocument/2006/relationships/hyperlink" Target="http://martha.reyes-bbva.com/" TargetMode="External"/><Relationship Id="rId1524" Type="http://schemas.openxmlformats.org/officeDocument/2006/relationships/hyperlink" Target="http://jennifer.zamudio-bbva.com/" TargetMode="External"/><Relationship Id="rId1731" Type="http://schemas.openxmlformats.org/officeDocument/2006/relationships/hyperlink" Target="http://alfredojose.pertuz-bbva.com/" TargetMode="External"/><Relationship Id="rId23" Type="http://schemas.openxmlformats.org/officeDocument/2006/relationships/hyperlink" Target="http://flor.duarte-bbva.com/" TargetMode="External"/><Relationship Id="rId1829" Type="http://schemas.openxmlformats.org/officeDocument/2006/relationships/hyperlink" Target="http://jhon.reyes-bbva.com/" TargetMode="External"/><Relationship Id="rId172" Type="http://schemas.openxmlformats.org/officeDocument/2006/relationships/hyperlink" Target="http://alexandra.vargas-bbva.com/" TargetMode="External"/><Relationship Id="rId477" Type="http://schemas.openxmlformats.org/officeDocument/2006/relationships/hyperlink" Target="http://david.juvinao-bbva.com/" TargetMode="External"/><Relationship Id="rId684" Type="http://schemas.openxmlformats.org/officeDocument/2006/relationships/hyperlink" Target="http://camilo.aguirre-bbva.com/" TargetMode="External"/><Relationship Id="rId337" Type="http://schemas.openxmlformats.org/officeDocument/2006/relationships/hyperlink" Target="http://david.perez.martinez-bbva.com/" TargetMode="External"/><Relationship Id="rId891" Type="http://schemas.openxmlformats.org/officeDocument/2006/relationships/hyperlink" Target="http://nelson.ruiz-bbva.com/" TargetMode="External"/><Relationship Id="rId989" Type="http://schemas.openxmlformats.org/officeDocument/2006/relationships/hyperlink" Target="http://camila.nino-bbva.com/" TargetMode="External"/><Relationship Id="rId544" Type="http://schemas.openxmlformats.org/officeDocument/2006/relationships/hyperlink" Target="http://sebastian.martinez.jaramillo-bbva.com/" TargetMode="External"/><Relationship Id="rId751" Type="http://schemas.openxmlformats.org/officeDocument/2006/relationships/hyperlink" Target="http://sandrajohanna.gonzalez-bbva.com/" TargetMode="External"/><Relationship Id="rId849" Type="http://schemas.openxmlformats.org/officeDocument/2006/relationships/hyperlink" Target="http://marthapatric.cruz-bbva.com/" TargetMode="External"/><Relationship Id="rId1174" Type="http://schemas.openxmlformats.org/officeDocument/2006/relationships/hyperlink" Target="http://fredy.pineda-bbva.com/" TargetMode="External"/><Relationship Id="rId1381" Type="http://schemas.openxmlformats.org/officeDocument/2006/relationships/hyperlink" Target="http://patricia.romero-bbva.com/" TargetMode="External"/><Relationship Id="rId1479" Type="http://schemas.openxmlformats.org/officeDocument/2006/relationships/hyperlink" Target="http://olga.benitez-bbva.com/" TargetMode="External"/><Relationship Id="rId1686" Type="http://schemas.openxmlformats.org/officeDocument/2006/relationships/hyperlink" Target="http://andresfelipe.granados-bbva.com/" TargetMode="External"/><Relationship Id="rId404" Type="http://schemas.openxmlformats.org/officeDocument/2006/relationships/hyperlink" Target="http://raul.decelis-bbva.com/" TargetMode="External"/><Relationship Id="rId611" Type="http://schemas.openxmlformats.org/officeDocument/2006/relationships/hyperlink" Target="http://manuel.villamil-bbva.com/" TargetMode="External"/><Relationship Id="rId1034" Type="http://schemas.openxmlformats.org/officeDocument/2006/relationships/hyperlink" Target="http://sandrajohanna.gonzalez-bbva.com/" TargetMode="External"/><Relationship Id="rId1241" Type="http://schemas.openxmlformats.org/officeDocument/2006/relationships/hyperlink" Target="http://juana.vergara-bbva.com/" TargetMode="External"/><Relationship Id="rId1339" Type="http://schemas.openxmlformats.org/officeDocument/2006/relationships/hyperlink" Target="http://sandrapatricia.ramirez-bbva.com/" TargetMode="External"/><Relationship Id="rId1893" Type="http://schemas.openxmlformats.org/officeDocument/2006/relationships/hyperlink" Target="http://monicaandrea.rodriguez.penago-bbva.com/" TargetMode="External"/><Relationship Id="rId709" Type="http://schemas.openxmlformats.org/officeDocument/2006/relationships/hyperlink" Target="http://juan.orozco-bbva.com/" TargetMode="External"/><Relationship Id="rId916" Type="http://schemas.openxmlformats.org/officeDocument/2006/relationships/hyperlink" Target="http://william.paez-bbva.com/" TargetMode="External"/><Relationship Id="rId1101" Type="http://schemas.openxmlformats.org/officeDocument/2006/relationships/hyperlink" Target="http://angie.castaneda-bbva.com/" TargetMode="External"/><Relationship Id="rId1546" Type="http://schemas.openxmlformats.org/officeDocument/2006/relationships/hyperlink" Target="http://john.ardila-bbva.com/" TargetMode="External"/><Relationship Id="rId1753" Type="http://schemas.openxmlformats.org/officeDocument/2006/relationships/hyperlink" Target="http://rubendario.nunez-bbva.com/" TargetMode="External"/><Relationship Id="rId45" Type="http://schemas.openxmlformats.org/officeDocument/2006/relationships/hyperlink" Target="http://katherine.michaels-bbva.com/" TargetMode="External"/><Relationship Id="rId1406" Type="http://schemas.openxmlformats.org/officeDocument/2006/relationships/hyperlink" Target="http://david.robayo-bbva.com/" TargetMode="External"/><Relationship Id="rId1613" Type="http://schemas.openxmlformats.org/officeDocument/2006/relationships/hyperlink" Target="http://ivanmauricio.perez-bbva.com/" TargetMode="External"/><Relationship Id="rId1820" Type="http://schemas.openxmlformats.org/officeDocument/2006/relationships/hyperlink" Target="http://sandrajohanna.gonzalez-bbva.com/" TargetMode="External"/><Relationship Id="rId194" Type="http://schemas.openxmlformats.org/officeDocument/2006/relationships/hyperlink" Target="http://sandrajohanna.gonzalez-bbva.com/" TargetMode="External"/><Relationship Id="rId1918" Type="http://schemas.openxmlformats.org/officeDocument/2006/relationships/hyperlink" Target="http://paolaandrea.hermosa-bbva.com/" TargetMode="External"/><Relationship Id="rId261" Type="http://schemas.openxmlformats.org/officeDocument/2006/relationships/hyperlink" Target="http://sandrajohanna.gonzalez-bbva.com/" TargetMode="External"/><Relationship Id="rId499" Type="http://schemas.openxmlformats.org/officeDocument/2006/relationships/hyperlink" Target="http://mariajuliana.rodriguez-bbva.com/" TargetMode="External"/><Relationship Id="rId359" Type="http://schemas.openxmlformats.org/officeDocument/2006/relationships/hyperlink" Target="http://carlos.barreto-bbva.com/" TargetMode="External"/><Relationship Id="rId566" Type="http://schemas.openxmlformats.org/officeDocument/2006/relationships/hyperlink" Target="http://jorgeh.cruz-bbva.com/" TargetMode="External"/><Relationship Id="rId773" Type="http://schemas.openxmlformats.org/officeDocument/2006/relationships/hyperlink" Target="http://james.veitia-bbva.com/" TargetMode="External"/><Relationship Id="rId1196" Type="http://schemas.openxmlformats.org/officeDocument/2006/relationships/hyperlink" Target="http://angelica.granados-bbva.com/" TargetMode="External"/><Relationship Id="rId121" Type="http://schemas.openxmlformats.org/officeDocument/2006/relationships/hyperlink" Target="http://julio.avila2-bbva.com/" TargetMode="External"/><Relationship Id="rId219" Type="http://schemas.openxmlformats.org/officeDocument/2006/relationships/hyperlink" Target="http://edilberto.morales-bbva.com/" TargetMode="External"/><Relationship Id="rId426" Type="http://schemas.openxmlformats.org/officeDocument/2006/relationships/hyperlink" Target="http://williamenrique.mendez-bbva.com/" TargetMode="External"/><Relationship Id="rId633" Type="http://schemas.openxmlformats.org/officeDocument/2006/relationships/hyperlink" Target="http://sirlleny.vasquez-bbva.com/" TargetMode="External"/><Relationship Id="rId980" Type="http://schemas.openxmlformats.org/officeDocument/2006/relationships/hyperlink" Target="http://camila.nino-bbva.com/" TargetMode="External"/><Relationship Id="rId1056" Type="http://schemas.openxmlformats.org/officeDocument/2006/relationships/hyperlink" Target="http://judy.prieto-bbva.com/" TargetMode="External"/><Relationship Id="rId1263" Type="http://schemas.openxmlformats.org/officeDocument/2006/relationships/hyperlink" Target="http://manuel.villamil-bbva.com/" TargetMode="External"/><Relationship Id="rId840" Type="http://schemas.openxmlformats.org/officeDocument/2006/relationships/hyperlink" Target="http://pabloalexand.ortiz-bbva.com/" TargetMode="External"/><Relationship Id="rId938" Type="http://schemas.openxmlformats.org/officeDocument/2006/relationships/hyperlink" Target="http://clara.mora-bbva.com/" TargetMode="External"/><Relationship Id="rId1470" Type="http://schemas.openxmlformats.org/officeDocument/2006/relationships/hyperlink" Target="http://jordi.sole-bbva.com/" TargetMode="External"/><Relationship Id="rId1568" Type="http://schemas.openxmlformats.org/officeDocument/2006/relationships/hyperlink" Target="http://andres.carrandi-bbva.com/" TargetMode="External"/><Relationship Id="rId1775" Type="http://schemas.openxmlformats.org/officeDocument/2006/relationships/hyperlink" Target="http://jhonathan.gaona-bbva.com/" TargetMode="External"/><Relationship Id="rId67" Type="http://schemas.openxmlformats.org/officeDocument/2006/relationships/hyperlink" Target="http://ximena.barrera-bbva.com/" TargetMode="External"/><Relationship Id="rId700" Type="http://schemas.openxmlformats.org/officeDocument/2006/relationships/hyperlink" Target="http://nelson.antorveza-bbva.com/" TargetMode="External"/><Relationship Id="rId1123" Type="http://schemas.openxmlformats.org/officeDocument/2006/relationships/hyperlink" Target="http://manuel.villamil-bbva.com/" TargetMode="External"/><Relationship Id="rId1330" Type="http://schemas.openxmlformats.org/officeDocument/2006/relationships/hyperlink" Target="http://katherine.michaels-bbva.com/" TargetMode="External"/><Relationship Id="rId1428" Type="http://schemas.openxmlformats.org/officeDocument/2006/relationships/hyperlink" Target="http://jordi.sole-bbva.com/" TargetMode="External"/><Relationship Id="rId1635" Type="http://schemas.openxmlformats.org/officeDocument/2006/relationships/hyperlink" Target="http://sebastian.martinez.jaramillo-bbva.com/" TargetMode="External"/><Relationship Id="rId1842" Type="http://schemas.openxmlformats.org/officeDocument/2006/relationships/hyperlink" Target="http://andresfelipe.lopez.sandoval-bbva.com/" TargetMode="External"/><Relationship Id="rId1702" Type="http://schemas.openxmlformats.org/officeDocument/2006/relationships/hyperlink" Target="http://monicaandrea.castillo-bbva.com/" TargetMode="External"/><Relationship Id="rId283" Type="http://schemas.openxmlformats.org/officeDocument/2006/relationships/hyperlink" Target="http://juan.orozco-bbva.com/" TargetMode="External"/><Relationship Id="rId490" Type="http://schemas.openxmlformats.org/officeDocument/2006/relationships/hyperlink" Target="http://patricia.romero-bbva.com/" TargetMode="External"/><Relationship Id="rId143" Type="http://schemas.openxmlformats.org/officeDocument/2006/relationships/hyperlink" Target="http://felipe.vega.aguilera-bbva.com/" TargetMode="External"/><Relationship Id="rId350" Type="http://schemas.openxmlformats.org/officeDocument/2006/relationships/hyperlink" Target="http://mairanela.ramirez.salazar-bbva.com/" TargetMode="External"/><Relationship Id="rId588" Type="http://schemas.openxmlformats.org/officeDocument/2006/relationships/hyperlink" Target="http://manuel.villamil-bbva.com/" TargetMode="External"/><Relationship Id="rId795" Type="http://schemas.openxmlformats.org/officeDocument/2006/relationships/hyperlink" Target="http://gustavo.ferrucho-bbva.com/" TargetMode="External"/><Relationship Id="rId9" Type="http://schemas.openxmlformats.org/officeDocument/2006/relationships/hyperlink" Target="http://rafael.jimenez.jimenez-bbva.com/" TargetMode="External"/><Relationship Id="rId210" Type="http://schemas.openxmlformats.org/officeDocument/2006/relationships/hyperlink" Target="http://sandra.espinosa-bbva.com/" TargetMode="External"/><Relationship Id="rId448" Type="http://schemas.openxmlformats.org/officeDocument/2006/relationships/hyperlink" Target="http://milena.patino-bbva.com/" TargetMode="External"/><Relationship Id="rId655" Type="http://schemas.openxmlformats.org/officeDocument/2006/relationships/hyperlink" Target="http://july.miranda-bbva.com/" TargetMode="External"/><Relationship Id="rId862" Type="http://schemas.openxmlformats.org/officeDocument/2006/relationships/hyperlink" Target="http://juan.orozco-bbva.com/" TargetMode="External"/><Relationship Id="rId1078" Type="http://schemas.openxmlformats.org/officeDocument/2006/relationships/hyperlink" Target="http://manuel.villamil-bbva.com/" TargetMode="External"/><Relationship Id="rId1285" Type="http://schemas.openxmlformats.org/officeDocument/2006/relationships/hyperlink" Target="http://cesar_gomez-bbva.com/" TargetMode="External"/><Relationship Id="rId1492" Type="http://schemas.openxmlformats.org/officeDocument/2006/relationships/hyperlink" Target="http://geovany.ramirez-bbva.com/" TargetMode="External"/><Relationship Id="rId308" Type="http://schemas.openxmlformats.org/officeDocument/2006/relationships/hyperlink" Target="http://william.vargas-bbva.com/" TargetMode="External"/><Relationship Id="rId515" Type="http://schemas.openxmlformats.org/officeDocument/2006/relationships/hyperlink" Target="http://sandrapatricia.ramirez-bbva.com/" TargetMode="External"/><Relationship Id="rId722" Type="http://schemas.openxmlformats.org/officeDocument/2006/relationships/hyperlink" Target="http://dianaesperanza.pareja-bbva.com/" TargetMode="External"/><Relationship Id="rId1145" Type="http://schemas.openxmlformats.org/officeDocument/2006/relationships/hyperlink" Target="http://alirio.bermudez-bbva.com/" TargetMode="External"/><Relationship Id="rId1352" Type="http://schemas.openxmlformats.org/officeDocument/2006/relationships/hyperlink" Target="http://magnolia.aristizabal-bbva.com/" TargetMode="External"/><Relationship Id="rId1797" Type="http://schemas.openxmlformats.org/officeDocument/2006/relationships/hyperlink" Target="http://hernanmauricio.lozada-bbva.com/" TargetMode="External"/><Relationship Id="rId89" Type="http://schemas.openxmlformats.org/officeDocument/2006/relationships/hyperlink" Target="http://mairanela.ramirez.salazar-bbva.com/" TargetMode="External"/><Relationship Id="rId1005" Type="http://schemas.openxmlformats.org/officeDocument/2006/relationships/hyperlink" Target="http://alcibiades.rodriguez-bbva.com/" TargetMode="External"/><Relationship Id="rId1212" Type="http://schemas.openxmlformats.org/officeDocument/2006/relationships/hyperlink" Target="http://carolina.calvachi-bbva.com/" TargetMode="External"/><Relationship Id="rId1657" Type="http://schemas.openxmlformats.org/officeDocument/2006/relationships/hyperlink" Target="http://joseantonio.torres2-bbva.com/" TargetMode="External"/><Relationship Id="rId1864" Type="http://schemas.openxmlformats.org/officeDocument/2006/relationships/hyperlink" Target="http://dianacarolina.gonzalez.castri-bbva.com/" TargetMode="External"/><Relationship Id="rId1517" Type="http://schemas.openxmlformats.org/officeDocument/2006/relationships/hyperlink" Target="http://mabel.diaz-bbva.com/" TargetMode="External"/><Relationship Id="rId1724" Type="http://schemas.openxmlformats.org/officeDocument/2006/relationships/hyperlink" Target="http://mauricio.gutierrez-bbva.com/" TargetMode="External"/><Relationship Id="rId16" Type="http://schemas.openxmlformats.org/officeDocument/2006/relationships/hyperlink" Target="http://mariaalejandra.ramirez.jimene-bbva.com/" TargetMode="External"/><Relationship Id="rId165" Type="http://schemas.openxmlformats.org/officeDocument/2006/relationships/hyperlink" Target="http://jorge.parra-bbva.com/" TargetMode="External"/><Relationship Id="rId372" Type="http://schemas.openxmlformats.org/officeDocument/2006/relationships/hyperlink" Target="http://elizabeth.diaz-bbva.com/" TargetMode="External"/><Relationship Id="rId677" Type="http://schemas.openxmlformats.org/officeDocument/2006/relationships/hyperlink" Target="http://mariajuliana.rodriguez-bbva.com/" TargetMode="External"/><Relationship Id="rId232" Type="http://schemas.openxmlformats.org/officeDocument/2006/relationships/hyperlink" Target="http://manuel.villamil-bbva.com/" TargetMode="External"/><Relationship Id="rId884" Type="http://schemas.openxmlformats.org/officeDocument/2006/relationships/hyperlink" Target="http://milena.patino-bbva.com/" TargetMode="External"/><Relationship Id="rId537" Type="http://schemas.openxmlformats.org/officeDocument/2006/relationships/hyperlink" Target="http://dianaesperanza.pareja-bbva.com/" TargetMode="External"/><Relationship Id="rId744" Type="http://schemas.openxmlformats.org/officeDocument/2006/relationships/hyperlink" Target="http://alexandra.vargas-bbva.com/" TargetMode="External"/><Relationship Id="rId951" Type="http://schemas.openxmlformats.org/officeDocument/2006/relationships/hyperlink" Target="http://hernanmauricio.lozada-bbva.com/" TargetMode="External"/><Relationship Id="rId1167" Type="http://schemas.openxmlformats.org/officeDocument/2006/relationships/hyperlink" Target="http://alirio.bermudez-bbva.com/" TargetMode="External"/><Relationship Id="rId1374" Type="http://schemas.openxmlformats.org/officeDocument/2006/relationships/hyperlink" Target="http://jorge.linares-bbva.com/" TargetMode="External"/><Relationship Id="rId1581" Type="http://schemas.openxmlformats.org/officeDocument/2006/relationships/hyperlink" Target="http://manuel.villamil-bbva.com/" TargetMode="External"/><Relationship Id="rId1679" Type="http://schemas.openxmlformats.org/officeDocument/2006/relationships/hyperlink" Target="http://manuel.villamil-bbva.com/" TargetMode="External"/><Relationship Id="rId80" Type="http://schemas.openxmlformats.org/officeDocument/2006/relationships/hyperlink" Target="http://ivanjesus.esparragoza-bbva.com/" TargetMode="External"/><Relationship Id="rId604" Type="http://schemas.openxmlformats.org/officeDocument/2006/relationships/hyperlink" Target="http://diegoandres.rodriguez-bbva.com/" TargetMode="External"/><Relationship Id="rId811" Type="http://schemas.openxmlformats.org/officeDocument/2006/relationships/hyperlink" Target="http://marthaconsuelo.parra-bbva.com/" TargetMode="External"/><Relationship Id="rId1027" Type="http://schemas.openxmlformats.org/officeDocument/2006/relationships/hyperlink" Target="http://dianacarolina.gonzalez.castri-bbva.com/" TargetMode="External"/><Relationship Id="rId1234" Type="http://schemas.openxmlformats.org/officeDocument/2006/relationships/hyperlink" Target="http://hernan.riveros-bbva.com/" TargetMode="External"/><Relationship Id="rId1441" Type="http://schemas.openxmlformats.org/officeDocument/2006/relationships/hyperlink" Target="http://henryr.rodriguez-bbva.com/" TargetMode="External"/><Relationship Id="rId1886" Type="http://schemas.openxmlformats.org/officeDocument/2006/relationships/hyperlink" Target="http://jhonathan.gaona-bbva.com/" TargetMode="External"/><Relationship Id="rId909" Type="http://schemas.openxmlformats.org/officeDocument/2006/relationships/hyperlink" Target="http://pabloandres.villada-bbva.com/" TargetMode="External"/><Relationship Id="rId1301" Type="http://schemas.openxmlformats.org/officeDocument/2006/relationships/hyperlink" Target="http://nathaliamaria.torres-bbva.com/" TargetMode="External"/><Relationship Id="rId1539" Type="http://schemas.openxmlformats.org/officeDocument/2006/relationships/hyperlink" Target="http://paulajimena.cely-bbva.com/" TargetMode="External"/><Relationship Id="rId1746" Type="http://schemas.openxmlformats.org/officeDocument/2006/relationships/hyperlink" Target="http://joseagustin.rodriguez.contractor-bbva.com/" TargetMode="External"/><Relationship Id="rId38" Type="http://schemas.openxmlformats.org/officeDocument/2006/relationships/hyperlink" Target="http://luisafernanda.pereira-bbva.com/" TargetMode="External"/><Relationship Id="rId1606" Type="http://schemas.openxmlformats.org/officeDocument/2006/relationships/hyperlink" Target="http://olga.lara-bbva.com/" TargetMode="External"/><Relationship Id="rId1813" Type="http://schemas.openxmlformats.org/officeDocument/2006/relationships/hyperlink" Target="http://andres.carrandi-bbva.com/" TargetMode="External"/><Relationship Id="rId187" Type="http://schemas.openxmlformats.org/officeDocument/2006/relationships/hyperlink" Target="http://oscar.bejarano-bbva.com/" TargetMode="External"/><Relationship Id="rId394" Type="http://schemas.openxmlformats.org/officeDocument/2006/relationships/hyperlink" Target="http://ivanjesus.esparragoza-bbva.com/" TargetMode="External"/><Relationship Id="rId254" Type="http://schemas.openxmlformats.org/officeDocument/2006/relationships/hyperlink" Target="http://carlos.barreto-bbva.com/" TargetMode="External"/><Relationship Id="rId699" Type="http://schemas.openxmlformats.org/officeDocument/2006/relationships/hyperlink" Target="http://manuel.villamil-bbva.com/" TargetMode="External"/><Relationship Id="rId1091" Type="http://schemas.openxmlformats.org/officeDocument/2006/relationships/hyperlink" Target="http://ivan_dario.ariza-bbva.com/" TargetMode="External"/><Relationship Id="rId114" Type="http://schemas.openxmlformats.org/officeDocument/2006/relationships/hyperlink" Target="http://nelson.ramirez-bbva.com/" TargetMode="External"/><Relationship Id="rId461" Type="http://schemas.openxmlformats.org/officeDocument/2006/relationships/hyperlink" Target="http://marcoantonio.guzman-bbva.com/" TargetMode="External"/><Relationship Id="rId559" Type="http://schemas.openxmlformats.org/officeDocument/2006/relationships/hyperlink" Target="http://julio.avila2-bbva.com/" TargetMode="External"/><Relationship Id="rId766" Type="http://schemas.openxmlformats.org/officeDocument/2006/relationships/hyperlink" Target="http://johnjairo.martinez-bbva.com/" TargetMode="External"/><Relationship Id="rId1189" Type="http://schemas.openxmlformats.org/officeDocument/2006/relationships/hyperlink" Target="http://manuel.villamil-bbva.com/" TargetMode="External"/><Relationship Id="rId1396" Type="http://schemas.openxmlformats.org/officeDocument/2006/relationships/hyperlink" Target="http://dianacarolina.gonzalez.castri-bbva.com/" TargetMode="External"/><Relationship Id="rId321" Type="http://schemas.openxmlformats.org/officeDocument/2006/relationships/hyperlink" Target="http://josealejandro.duenas-bbva.com/" TargetMode="External"/><Relationship Id="rId419" Type="http://schemas.openxmlformats.org/officeDocument/2006/relationships/hyperlink" Target="http://gustavo.ferrucho-bbva.com/" TargetMode="External"/><Relationship Id="rId626" Type="http://schemas.openxmlformats.org/officeDocument/2006/relationships/hyperlink" Target="http://oscar.bejarano-bbva.com/" TargetMode="External"/><Relationship Id="rId973" Type="http://schemas.openxmlformats.org/officeDocument/2006/relationships/hyperlink" Target="http://sandrajohanna.gonzalez-bbva.com/" TargetMode="External"/><Relationship Id="rId1049" Type="http://schemas.openxmlformats.org/officeDocument/2006/relationships/hyperlink" Target="http://andreajulieth.perez-bbva.com/" TargetMode="External"/><Relationship Id="rId1256" Type="http://schemas.openxmlformats.org/officeDocument/2006/relationships/hyperlink" Target="http://diegofernando.uribe-bbva.com/" TargetMode="External"/><Relationship Id="rId833" Type="http://schemas.openxmlformats.org/officeDocument/2006/relationships/hyperlink" Target="http://sebastian.martinez.jaramillo-bbva.com/" TargetMode="External"/><Relationship Id="rId1116" Type="http://schemas.openxmlformats.org/officeDocument/2006/relationships/hyperlink" Target="http://leidyviviana.patino-bbva.com/" TargetMode="External"/><Relationship Id="rId1463" Type="http://schemas.openxmlformats.org/officeDocument/2006/relationships/hyperlink" Target="http://humberto.patarroyo.osorio-bbva.com/" TargetMode="External"/><Relationship Id="rId1670" Type="http://schemas.openxmlformats.org/officeDocument/2006/relationships/hyperlink" Target="http://javier.guio-bbva.com/" TargetMode="External"/><Relationship Id="rId1768" Type="http://schemas.openxmlformats.org/officeDocument/2006/relationships/hyperlink" Target="http://jhonathan.gaona-bbva.com/" TargetMode="External"/><Relationship Id="rId900" Type="http://schemas.openxmlformats.org/officeDocument/2006/relationships/hyperlink" Target="http://judy.prieto-bbva.com/" TargetMode="External"/><Relationship Id="rId1323" Type="http://schemas.openxmlformats.org/officeDocument/2006/relationships/hyperlink" Target="http://camila.nino-bbva.com/" TargetMode="External"/><Relationship Id="rId1530" Type="http://schemas.openxmlformats.org/officeDocument/2006/relationships/hyperlink" Target="http://magda.pedraza-bbva.com/" TargetMode="External"/><Relationship Id="rId1628" Type="http://schemas.openxmlformats.org/officeDocument/2006/relationships/hyperlink" Target="http://alexander.tibocha-bbva.com/" TargetMode="External"/><Relationship Id="rId1835" Type="http://schemas.openxmlformats.org/officeDocument/2006/relationships/hyperlink" Target="http://andres.carrandi-bbva.com/" TargetMode="External"/><Relationship Id="rId1902" Type="http://schemas.openxmlformats.org/officeDocument/2006/relationships/hyperlink" Target="http://paolaandrea.guzman-bbva.com/" TargetMode="External"/><Relationship Id="rId276" Type="http://schemas.openxmlformats.org/officeDocument/2006/relationships/hyperlink" Target="http://yurimilena.moreno-bbva.com/" TargetMode="External"/><Relationship Id="rId483" Type="http://schemas.openxmlformats.org/officeDocument/2006/relationships/hyperlink" Target="http://victorrafael.ramos-bbva.com/" TargetMode="External"/><Relationship Id="rId690" Type="http://schemas.openxmlformats.org/officeDocument/2006/relationships/hyperlink" Target="http://cesar.sotomayor.diaz-bbva.com/" TargetMode="External"/><Relationship Id="rId136" Type="http://schemas.openxmlformats.org/officeDocument/2006/relationships/hyperlink" Target="http://jorgeh.cruz-bbva.com/" TargetMode="External"/><Relationship Id="rId343" Type="http://schemas.openxmlformats.org/officeDocument/2006/relationships/hyperlink" Target="http://johnjairo.martinez-bbva.com/" TargetMode="External"/><Relationship Id="rId550" Type="http://schemas.openxmlformats.org/officeDocument/2006/relationships/hyperlink" Target="http://julio.avila2-bbva.com/" TargetMode="External"/><Relationship Id="rId788" Type="http://schemas.openxmlformats.org/officeDocument/2006/relationships/hyperlink" Target="http://manuel.villamil-bbva.com/" TargetMode="External"/><Relationship Id="rId995" Type="http://schemas.openxmlformats.org/officeDocument/2006/relationships/hyperlink" Target="http://martha.reyes-bbva.com/" TargetMode="External"/><Relationship Id="rId1180" Type="http://schemas.openxmlformats.org/officeDocument/2006/relationships/hyperlink" Target="http://vickyalexandra.mora-bbva.com/" TargetMode="External"/><Relationship Id="rId203" Type="http://schemas.openxmlformats.org/officeDocument/2006/relationships/hyperlink" Target="http://monica.zamudio-bbva.com/" TargetMode="External"/><Relationship Id="rId648" Type="http://schemas.openxmlformats.org/officeDocument/2006/relationships/hyperlink" Target="http://angelica.granados-bbva.com/" TargetMode="External"/><Relationship Id="rId855" Type="http://schemas.openxmlformats.org/officeDocument/2006/relationships/hyperlink" Target="http://diegofernando.uribe-bbva.com/" TargetMode="External"/><Relationship Id="rId1040" Type="http://schemas.openxmlformats.org/officeDocument/2006/relationships/hyperlink" Target="http://sandrajohanna.gonzalez-bbva.com/" TargetMode="External"/><Relationship Id="rId1278" Type="http://schemas.openxmlformats.org/officeDocument/2006/relationships/hyperlink" Target="http://paolaandrea.gil-bbva.com/" TargetMode="External"/><Relationship Id="rId1485" Type="http://schemas.openxmlformats.org/officeDocument/2006/relationships/hyperlink" Target="http://sebastian.valencia.ramirez.contractor-bbva.com/" TargetMode="External"/><Relationship Id="rId1692" Type="http://schemas.openxmlformats.org/officeDocument/2006/relationships/hyperlink" Target="http://hugoalberto.abreo-bbva.com/" TargetMode="External"/><Relationship Id="rId410" Type="http://schemas.openxmlformats.org/officeDocument/2006/relationships/hyperlink" Target="http://wilson.hernandez-bbva.com/" TargetMode="External"/><Relationship Id="rId508" Type="http://schemas.openxmlformats.org/officeDocument/2006/relationships/hyperlink" Target="http://mariajuliana.rodriguez-bbva.com/" TargetMode="External"/><Relationship Id="rId715" Type="http://schemas.openxmlformats.org/officeDocument/2006/relationships/hyperlink" Target="http://july.miranda-bbva.com/" TargetMode="External"/><Relationship Id="rId922" Type="http://schemas.openxmlformats.org/officeDocument/2006/relationships/hyperlink" Target="http://paolaandrea.guzman-bbva.com/" TargetMode="External"/><Relationship Id="rId1138" Type="http://schemas.openxmlformats.org/officeDocument/2006/relationships/hyperlink" Target="http://manuel.villamil-bbva.com/" TargetMode="External"/><Relationship Id="rId1345" Type="http://schemas.openxmlformats.org/officeDocument/2006/relationships/hyperlink" Target="http://david.robayo-bbva.com/" TargetMode="External"/><Relationship Id="rId1552" Type="http://schemas.openxmlformats.org/officeDocument/2006/relationships/hyperlink" Target="http://juhan.lozano-bbva.com/" TargetMode="External"/><Relationship Id="rId1205" Type="http://schemas.openxmlformats.org/officeDocument/2006/relationships/hyperlink" Target="http://carolina.monterrey-bbva.com/" TargetMode="External"/><Relationship Id="rId1857" Type="http://schemas.openxmlformats.org/officeDocument/2006/relationships/hyperlink" Target="http://hugoalberto.abreo-bbva.com/" TargetMode="External"/><Relationship Id="rId51" Type="http://schemas.openxmlformats.org/officeDocument/2006/relationships/hyperlink" Target="http://pedro.moreno-bbva.com/" TargetMode="External"/><Relationship Id="rId1412" Type="http://schemas.openxmlformats.org/officeDocument/2006/relationships/hyperlink" Target="http://raul.decelis-bbva.com/" TargetMode="External"/><Relationship Id="rId1717" Type="http://schemas.openxmlformats.org/officeDocument/2006/relationships/hyperlink" Target="http://monicaandrea.sanabria-bbva.com/" TargetMode="External"/><Relationship Id="rId298" Type="http://schemas.openxmlformats.org/officeDocument/2006/relationships/hyperlink" Target="http://karenalexandra.martinez-bbva.com/" TargetMode="External"/><Relationship Id="rId158" Type="http://schemas.openxmlformats.org/officeDocument/2006/relationships/hyperlink" Target="http://nelson.antorveza-bbva.com/" TargetMode="External"/><Relationship Id="rId365" Type="http://schemas.openxmlformats.org/officeDocument/2006/relationships/hyperlink" Target="http://mario.lobo-bbva.com/" TargetMode="External"/><Relationship Id="rId572" Type="http://schemas.openxmlformats.org/officeDocument/2006/relationships/hyperlink" Target="http://andres.carrandi-bbva.com/" TargetMode="External"/><Relationship Id="rId225" Type="http://schemas.openxmlformats.org/officeDocument/2006/relationships/hyperlink" Target="http://omairapaola.santiesteban-bbva.com/" TargetMode="External"/><Relationship Id="rId432" Type="http://schemas.openxmlformats.org/officeDocument/2006/relationships/hyperlink" Target="http://laura.gallardo.selma-bbva.com/" TargetMode="External"/><Relationship Id="rId877" Type="http://schemas.openxmlformats.org/officeDocument/2006/relationships/hyperlink" Target="http://alcibiades.rodriguez-bbva.com/" TargetMode="External"/><Relationship Id="rId1062" Type="http://schemas.openxmlformats.org/officeDocument/2006/relationships/hyperlink" Target="http://marthapatric.cruz-bbva.com/" TargetMode="External"/><Relationship Id="rId737" Type="http://schemas.openxmlformats.org/officeDocument/2006/relationships/hyperlink" Target="http://nelson.ruiz-bbva.com/" TargetMode="External"/><Relationship Id="rId944" Type="http://schemas.openxmlformats.org/officeDocument/2006/relationships/hyperlink" Target="http://angiez.cubides-bbva.com/" TargetMode="External"/><Relationship Id="rId1367" Type="http://schemas.openxmlformats.org/officeDocument/2006/relationships/hyperlink" Target="http://marialuisa.suarez-bbva.com/" TargetMode="External"/><Relationship Id="rId1574" Type="http://schemas.openxmlformats.org/officeDocument/2006/relationships/hyperlink" Target="http://paulocesar.sastoque-bbva.com/" TargetMode="External"/><Relationship Id="rId1781" Type="http://schemas.openxmlformats.org/officeDocument/2006/relationships/hyperlink" Target="http://david.juvinao-bbva.com/" TargetMode="External"/><Relationship Id="rId73" Type="http://schemas.openxmlformats.org/officeDocument/2006/relationships/hyperlink" Target="http://clara.mora-bbva.com/" TargetMode="External"/><Relationship Id="rId804" Type="http://schemas.openxmlformats.org/officeDocument/2006/relationships/hyperlink" Target="http://juan.bejarano-bbva.com/" TargetMode="External"/><Relationship Id="rId1227" Type="http://schemas.openxmlformats.org/officeDocument/2006/relationships/hyperlink" Target="http://lizethlorena.rodriguez-bbva.com/" TargetMode="External"/><Relationship Id="rId1434" Type="http://schemas.openxmlformats.org/officeDocument/2006/relationships/hyperlink" Target="http://jordi.sole-bbva.com/" TargetMode="External"/><Relationship Id="rId1641" Type="http://schemas.openxmlformats.org/officeDocument/2006/relationships/hyperlink" Target="http://hayden.cardenas-bbva.com/" TargetMode="External"/><Relationship Id="rId1879" Type="http://schemas.openxmlformats.org/officeDocument/2006/relationships/hyperlink" Target="http://carlosagustin.segura-bbva.com/" TargetMode="External"/><Relationship Id="rId1501" Type="http://schemas.openxmlformats.org/officeDocument/2006/relationships/hyperlink" Target="http://ivanmauricio.perez-bbva.com/" TargetMode="External"/><Relationship Id="rId1739" Type="http://schemas.openxmlformats.org/officeDocument/2006/relationships/hyperlink" Target="http://jiovanny.suarez-bbva.com/" TargetMode="External"/><Relationship Id="rId1806" Type="http://schemas.openxmlformats.org/officeDocument/2006/relationships/hyperlink" Target="http://sandrapatricia.ramirez-bbva.com/" TargetMode="External"/><Relationship Id="rId387" Type="http://schemas.openxmlformats.org/officeDocument/2006/relationships/hyperlink" Target="http://july.miranda-bbva.com/" TargetMode="External"/><Relationship Id="rId594" Type="http://schemas.openxmlformats.org/officeDocument/2006/relationships/hyperlink" Target="http://monica.zamudio-bbva.com/" TargetMode="External"/><Relationship Id="rId247" Type="http://schemas.openxmlformats.org/officeDocument/2006/relationships/hyperlink" Target="http://alcibiades.rodriguez-bbva.com/" TargetMode="External"/><Relationship Id="rId899" Type="http://schemas.openxmlformats.org/officeDocument/2006/relationships/hyperlink" Target="http://andresfelipe.granados-bbva.com/" TargetMode="External"/><Relationship Id="rId1084" Type="http://schemas.openxmlformats.org/officeDocument/2006/relationships/hyperlink" Target="http://hernan.riveros-bbva.com/" TargetMode="External"/><Relationship Id="rId107" Type="http://schemas.openxmlformats.org/officeDocument/2006/relationships/hyperlink" Target="http://manuelignacio.trujillo-bbva.com/" TargetMode="External"/><Relationship Id="rId454" Type="http://schemas.openxmlformats.org/officeDocument/2006/relationships/hyperlink" Target="http://milena.patino-bbva.com/" TargetMode="External"/><Relationship Id="rId661" Type="http://schemas.openxmlformats.org/officeDocument/2006/relationships/hyperlink" Target="http://gustavo.ferrucho-bbva.com/" TargetMode="External"/><Relationship Id="rId759" Type="http://schemas.openxmlformats.org/officeDocument/2006/relationships/hyperlink" Target="http://andres.carrandi-bbva.com/" TargetMode="External"/><Relationship Id="rId966" Type="http://schemas.openxmlformats.org/officeDocument/2006/relationships/hyperlink" Target="http://alcibiades.rodriguez-bbva.com/" TargetMode="External"/><Relationship Id="rId1291" Type="http://schemas.openxmlformats.org/officeDocument/2006/relationships/hyperlink" Target="http://ivanjesus.esparragoza-bbva.com/" TargetMode="External"/><Relationship Id="rId1389" Type="http://schemas.openxmlformats.org/officeDocument/2006/relationships/hyperlink" Target="http://patricia.romero-bbva.com/" TargetMode="External"/><Relationship Id="rId1596" Type="http://schemas.openxmlformats.org/officeDocument/2006/relationships/hyperlink" Target="http://yeraldineandrea.sierra-bbva.com/" TargetMode="External"/><Relationship Id="rId314" Type="http://schemas.openxmlformats.org/officeDocument/2006/relationships/hyperlink" Target="http://maritza.guerrero-bbva.com/" TargetMode="External"/><Relationship Id="rId521" Type="http://schemas.openxmlformats.org/officeDocument/2006/relationships/hyperlink" Target="http://katherine.michaels-bbva.com/" TargetMode="External"/><Relationship Id="rId619" Type="http://schemas.openxmlformats.org/officeDocument/2006/relationships/hyperlink" Target="http://ximena.barrera-bbva.com/" TargetMode="External"/><Relationship Id="rId1151" Type="http://schemas.openxmlformats.org/officeDocument/2006/relationships/hyperlink" Target="http://angie.castaneda-bbva.com/" TargetMode="External"/><Relationship Id="rId1249" Type="http://schemas.openxmlformats.org/officeDocument/2006/relationships/hyperlink" Target="http://mariacamila.buitrago-bbva.com/" TargetMode="External"/><Relationship Id="rId95" Type="http://schemas.openxmlformats.org/officeDocument/2006/relationships/hyperlink" Target="http://andres.carrandi-bbva.com/" TargetMode="External"/><Relationship Id="rId826" Type="http://schemas.openxmlformats.org/officeDocument/2006/relationships/hyperlink" Target="http://juan.orozco-bbva.com/" TargetMode="External"/><Relationship Id="rId1011" Type="http://schemas.openxmlformats.org/officeDocument/2006/relationships/hyperlink" Target="http://hernanmauricio.lozada-bbva.com/" TargetMode="External"/><Relationship Id="rId1109" Type="http://schemas.openxmlformats.org/officeDocument/2006/relationships/hyperlink" Target="http://manuel.villamil-bbva.com/" TargetMode="External"/><Relationship Id="rId1456" Type="http://schemas.openxmlformats.org/officeDocument/2006/relationships/hyperlink" Target="http://ximena.barrera-bbva.com/" TargetMode="External"/><Relationship Id="rId1663" Type="http://schemas.openxmlformats.org/officeDocument/2006/relationships/hyperlink" Target="http://andres.carrandi-bbva.com/" TargetMode="External"/><Relationship Id="rId1870" Type="http://schemas.openxmlformats.org/officeDocument/2006/relationships/hyperlink" Target="http://luisafernanda.pereira-bbva.com/" TargetMode="External"/><Relationship Id="rId1316" Type="http://schemas.openxmlformats.org/officeDocument/2006/relationships/hyperlink" Target="http://july.miranda-bbva.com/" TargetMode="External"/><Relationship Id="rId1523" Type="http://schemas.openxmlformats.org/officeDocument/2006/relationships/hyperlink" Target="http://julio.avila2-bbva.com/" TargetMode="External"/><Relationship Id="rId1730" Type="http://schemas.openxmlformats.org/officeDocument/2006/relationships/hyperlink" Target="http://santiago.morera-bbva.com/" TargetMode="External"/><Relationship Id="rId22" Type="http://schemas.openxmlformats.org/officeDocument/2006/relationships/hyperlink" Target="http://ivanjesus.esparragoza-bbva.com/" TargetMode="External"/><Relationship Id="rId1828" Type="http://schemas.openxmlformats.org/officeDocument/2006/relationships/hyperlink" Target="http://wilsonfavian.amaya-bbva.com/" TargetMode="External"/><Relationship Id="rId171" Type="http://schemas.openxmlformats.org/officeDocument/2006/relationships/hyperlink" Target="http://geovany.ramirez-bbva.com/" TargetMode="External"/><Relationship Id="rId269" Type="http://schemas.openxmlformats.org/officeDocument/2006/relationships/hyperlink" Target="http://ivanmauricio.perez-bbva.com/" TargetMode="External"/><Relationship Id="rId476" Type="http://schemas.openxmlformats.org/officeDocument/2006/relationships/hyperlink" Target="http://luis.plata-bbva.com/" TargetMode="External"/><Relationship Id="rId683" Type="http://schemas.openxmlformats.org/officeDocument/2006/relationships/hyperlink" Target="http://brigitteyesenia.beltran-bbva.com/" TargetMode="External"/><Relationship Id="rId890" Type="http://schemas.openxmlformats.org/officeDocument/2006/relationships/hyperlink" Target="http://josealejandro.duenas-bbva.com/" TargetMode="External"/><Relationship Id="rId129" Type="http://schemas.openxmlformats.org/officeDocument/2006/relationships/hyperlink" Target="http://marthapatric.cruz-bbva.com/" TargetMode="External"/><Relationship Id="rId336" Type="http://schemas.openxmlformats.org/officeDocument/2006/relationships/hyperlink" Target="http://sebastian.valencia.ramirez.contractor-bbva.com/" TargetMode="External"/><Relationship Id="rId543" Type="http://schemas.openxmlformats.org/officeDocument/2006/relationships/hyperlink" Target="http://judy.bernal-bbva.com/" TargetMode="External"/><Relationship Id="rId988" Type="http://schemas.openxmlformats.org/officeDocument/2006/relationships/hyperlink" Target="http://josedaniel.munoz-bbva.com/" TargetMode="External"/><Relationship Id="rId1173" Type="http://schemas.openxmlformats.org/officeDocument/2006/relationships/hyperlink" Target="http://rociomarcela.lopez-bbva.com/" TargetMode="External"/><Relationship Id="rId1380" Type="http://schemas.openxmlformats.org/officeDocument/2006/relationships/hyperlink" Target="http://rubendario.nunez-bbva.com/" TargetMode="External"/><Relationship Id="rId403" Type="http://schemas.openxmlformats.org/officeDocument/2006/relationships/hyperlink" Target="http://yinet.acevedo-bbva.com/" TargetMode="External"/><Relationship Id="rId750" Type="http://schemas.openxmlformats.org/officeDocument/2006/relationships/hyperlink" Target="http://ivanmauricio.perez-bbva.com/" TargetMode="External"/><Relationship Id="rId848" Type="http://schemas.openxmlformats.org/officeDocument/2006/relationships/hyperlink" Target="http://monica.zamudio-bbva.com/" TargetMode="External"/><Relationship Id="rId1033" Type="http://schemas.openxmlformats.org/officeDocument/2006/relationships/hyperlink" Target="http://manuel.villamil-bbva.com/" TargetMode="External"/><Relationship Id="rId1478" Type="http://schemas.openxmlformats.org/officeDocument/2006/relationships/hyperlink" Target="http://manuel.villamil-bbva.com/" TargetMode="External"/><Relationship Id="rId1685" Type="http://schemas.openxmlformats.org/officeDocument/2006/relationships/hyperlink" Target="http://alexandra.vargas-bbva.com/" TargetMode="External"/><Relationship Id="rId1892" Type="http://schemas.openxmlformats.org/officeDocument/2006/relationships/hyperlink" Target="http://felipe.guzman-bbva.com/" TargetMode="External"/><Relationship Id="rId610" Type="http://schemas.openxmlformats.org/officeDocument/2006/relationships/hyperlink" Target="http://judy.prieto-bbva.com/" TargetMode="External"/><Relationship Id="rId708" Type="http://schemas.openxmlformats.org/officeDocument/2006/relationships/hyperlink" Target="http://juan.orozco-bbva.com/" TargetMode="External"/><Relationship Id="rId915" Type="http://schemas.openxmlformats.org/officeDocument/2006/relationships/hyperlink" Target="http://carlosandres.mora-bbva.com/" TargetMode="External"/><Relationship Id="rId1240" Type="http://schemas.openxmlformats.org/officeDocument/2006/relationships/hyperlink" Target="http://mairanela.ramirez.salazar-bbva.com/" TargetMode="External"/><Relationship Id="rId1338" Type="http://schemas.openxmlformats.org/officeDocument/2006/relationships/hyperlink" Target="http://yehimymeliza.santamaria-bbva.com/" TargetMode="External"/><Relationship Id="rId1545" Type="http://schemas.openxmlformats.org/officeDocument/2006/relationships/hyperlink" Target="http://yurimilena.moreno-bbva.com/" TargetMode="External"/><Relationship Id="rId1100" Type="http://schemas.openxmlformats.org/officeDocument/2006/relationships/hyperlink" Target="http://rociomarcela.lopez-bbva.com/" TargetMode="External"/><Relationship Id="rId1405" Type="http://schemas.openxmlformats.org/officeDocument/2006/relationships/hyperlink" Target="http://manuela.murillo-bbva.com/" TargetMode="External"/><Relationship Id="rId1752" Type="http://schemas.openxmlformats.org/officeDocument/2006/relationships/hyperlink" Target="http://william.vargas-bbva.com/" TargetMode="External"/><Relationship Id="rId44" Type="http://schemas.openxmlformats.org/officeDocument/2006/relationships/hyperlink" Target="http://mariajuliana.rodriguez-bbva.com/" TargetMode="External"/><Relationship Id="rId1612" Type="http://schemas.openxmlformats.org/officeDocument/2006/relationships/hyperlink" Target="http://wilder.suarez-bbva.com/" TargetMode="External"/><Relationship Id="rId1917" Type="http://schemas.openxmlformats.org/officeDocument/2006/relationships/hyperlink" Target="http://hernanmauricio.lozada-bbva.com/" TargetMode="External"/><Relationship Id="rId193" Type="http://schemas.openxmlformats.org/officeDocument/2006/relationships/hyperlink" Target="http://miguel.poloche-bbva.com/" TargetMode="External"/><Relationship Id="rId498" Type="http://schemas.openxmlformats.org/officeDocument/2006/relationships/hyperlink" Target="http://felipe.guzman-bbva.com/" TargetMode="External"/><Relationship Id="rId260" Type="http://schemas.openxmlformats.org/officeDocument/2006/relationships/hyperlink" Target="http://manuel.villamil-bbva.com/" TargetMode="External"/><Relationship Id="rId120" Type="http://schemas.openxmlformats.org/officeDocument/2006/relationships/hyperlink" Target="http://liliana.marquez-bbva.com/" TargetMode="External"/><Relationship Id="rId358" Type="http://schemas.openxmlformats.org/officeDocument/2006/relationships/hyperlink" Target="http://diegofernando.uribe-bbva.com/" TargetMode="External"/><Relationship Id="rId565" Type="http://schemas.openxmlformats.org/officeDocument/2006/relationships/hyperlink" Target="http://fredy.pineda-bbva.com/" TargetMode="External"/><Relationship Id="rId772" Type="http://schemas.openxmlformats.org/officeDocument/2006/relationships/hyperlink" Target="http://olga.lara-bbva.com/" TargetMode="External"/><Relationship Id="rId1195" Type="http://schemas.openxmlformats.org/officeDocument/2006/relationships/hyperlink" Target="http://hernan.riveros-bbva.com/" TargetMode="External"/><Relationship Id="rId218" Type="http://schemas.openxmlformats.org/officeDocument/2006/relationships/hyperlink" Target="http://sandrajohanna.gonzalez-bbva.com/" TargetMode="External"/><Relationship Id="rId425" Type="http://schemas.openxmlformats.org/officeDocument/2006/relationships/hyperlink" Target="http://milena.patino-bbva.com/" TargetMode="External"/><Relationship Id="rId632" Type="http://schemas.openxmlformats.org/officeDocument/2006/relationships/hyperlink" Target="http://josealejandro.duenas-bbva.com/" TargetMode="External"/><Relationship Id="rId1055" Type="http://schemas.openxmlformats.org/officeDocument/2006/relationships/hyperlink" Target="http://juana.vergara-bbva.com/" TargetMode="External"/><Relationship Id="rId1262" Type="http://schemas.openxmlformats.org/officeDocument/2006/relationships/hyperlink" Target="http://marthapatric.cruz-bbva.com/" TargetMode="External"/><Relationship Id="rId937" Type="http://schemas.openxmlformats.org/officeDocument/2006/relationships/hyperlink" Target="http://josealejandro.duenas-bbva.com/" TargetMode="External"/><Relationship Id="rId1122" Type="http://schemas.openxmlformats.org/officeDocument/2006/relationships/hyperlink" Target="http://leidyviviana.patino-bbva.com/" TargetMode="External"/><Relationship Id="rId1567" Type="http://schemas.openxmlformats.org/officeDocument/2006/relationships/hyperlink" Target="http://janethrojas-csf.com.co/" TargetMode="External"/><Relationship Id="rId1774" Type="http://schemas.openxmlformats.org/officeDocument/2006/relationships/hyperlink" Target="http://jhonathan.gaona-bbva.com/" TargetMode="External"/><Relationship Id="rId66" Type="http://schemas.openxmlformats.org/officeDocument/2006/relationships/hyperlink" Target="http://joe.valenzuela-bbva.com/" TargetMode="External"/><Relationship Id="rId1427" Type="http://schemas.openxmlformats.org/officeDocument/2006/relationships/hyperlink" Target="http://alvaro.ortiz-bbva.com/" TargetMode="External"/><Relationship Id="rId1634" Type="http://schemas.openxmlformats.org/officeDocument/2006/relationships/hyperlink" Target="http://hugo.mongua-bbva.com/" TargetMode="External"/><Relationship Id="rId1841" Type="http://schemas.openxmlformats.org/officeDocument/2006/relationships/hyperlink" Target="http://ivanmauricio.perez-bbva.com/" TargetMode="External"/><Relationship Id="rId1701" Type="http://schemas.openxmlformats.org/officeDocument/2006/relationships/hyperlink" Target="http://jordi.sole-bbva.com/" TargetMode="External"/><Relationship Id="rId282" Type="http://schemas.openxmlformats.org/officeDocument/2006/relationships/hyperlink" Target="http://mauricio.wandurraga-bbva.com/" TargetMode="External"/><Relationship Id="rId587" Type="http://schemas.openxmlformats.org/officeDocument/2006/relationships/hyperlink" Target="http://marthapatric.cruz-bbva.com/" TargetMode="External"/><Relationship Id="rId8" Type="http://schemas.openxmlformats.org/officeDocument/2006/relationships/hyperlink" Target="http://edwin.vargas-bbva.com/" TargetMode="External"/><Relationship Id="rId142" Type="http://schemas.openxmlformats.org/officeDocument/2006/relationships/hyperlink" Target="http://david.robayo-bbva.com/" TargetMode="External"/><Relationship Id="rId447" Type="http://schemas.openxmlformats.org/officeDocument/2006/relationships/hyperlink" Target="http://carlos.barreto-bbva.com/" TargetMode="External"/><Relationship Id="rId794" Type="http://schemas.openxmlformats.org/officeDocument/2006/relationships/hyperlink" Target="http://sebastian.martinez.jaramillo-bbva.com/" TargetMode="External"/><Relationship Id="rId1077" Type="http://schemas.openxmlformats.org/officeDocument/2006/relationships/hyperlink" Target="http://alirio.bermudez-bbva.com/" TargetMode="External"/><Relationship Id="rId654" Type="http://schemas.openxmlformats.org/officeDocument/2006/relationships/hyperlink" Target="http://juana.tellez-bbva.com/" TargetMode="External"/><Relationship Id="rId861" Type="http://schemas.openxmlformats.org/officeDocument/2006/relationships/hyperlink" Target="http://julianna.martinez-bbva.com/" TargetMode="External"/><Relationship Id="rId959" Type="http://schemas.openxmlformats.org/officeDocument/2006/relationships/hyperlink" Target="http://julioenrique.ramos-bbva.com/" TargetMode="External"/><Relationship Id="rId1284" Type="http://schemas.openxmlformats.org/officeDocument/2006/relationships/hyperlink" Target="http://sergioalexander.parra-bbva.com/" TargetMode="External"/><Relationship Id="rId1491" Type="http://schemas.openxmlformats.org/officeDocument/2006/relationships/hyperlink" Target="http://santiago.campuzano-bbva.com/" TargetMode="External"/><Relationship Id="rId1589" Type="http://schemas.openxmlformats.org/officeDocument/2006/relationships/hyperlink" Target="http://manuel.villamil-bbva.com/" TargetMode="External"/><Relationship Id="rId307" Type="http://schemas.openxmlformats.org/officeDocument/2006/relationships/hyperlink" Target="http://sirlleny.vasquez-bbva.com/" TargetMode="External"/><Relationship Id="rId514" Type="http://schemas.openxmlformats.org/officeDocument/2006/relationships/hyperlink" Target="http://mariajuliana.rodriguez-bbva.com/" TargetMode="External"/><Relationship Id="rId721" Type="http://schemas.openxmlformats.org/officeDocument/2006/relationships/hyperlink" Target="http://rubendario.perilla-bbva.com/" TargetMode="External"/><Relationship Id="rId1144" Type="http://schemas.openxmlformats.org/officeDocument/2006/relationships/hyperlink" Target="http://manuel.villamil-bbva.com/" TargetMode="External"/><Relationship Id="rId1351" Type="http://schemas.openxmlformats.org/officeDocument/2006/relationships/hyperlink" Target="http://juan.orozco-bbva.com/" TargetMode="External"/><Relationship Id="rId1449" Type="http://schemas.openxmlformats.org/officeDocument/2006/relationships/hyperlink" Target="http://raul.decelis-bbva.com/" TargetMode="External"/><Relationship Id="rId1796" Type="http://schemas.openxmlformats.org/officeDocument/2006/relationships/hyperlink" Target="http://monicaandrea.sanabria-bbva.com/" TargetMode="External"/><Relationship Id="rId88" Type="http://schemas.openxmlformats.org/officeDocument/2006/relationships/hyperlink" Target="http://camila.nino-bbva.com/" TargetMode="External"/><Relationship Id="rId819" Type="http://schemas.openxmlformats.org/officeDocument/2006/relationships/hyperlink" Target="http://fernando.garciameza-bbva.com/" TargetMode="External"/><Relationship Id="rId1004" Type="http://schemas.openxmlformats.org/officeDocument/2006/relationships/hyperlink" Target="http://camila.nino-bbva.com/" TargetMode="External"/><Relationship Id="rId1211" Type="http://schemas.openxmlformats.org/officeDocument/2006/relationships/hyperlink" Target="http://juan.bejarano-bbva.com/" TargetMode="External"/><Relationship Id="rId1656" Type="http://schemas.openxmlformats.org/officeDocument/2006/relationships/hyperlink" Target="http://marthabeatriz.gallego-bbva.com/" TargetMode="External"/><Relationship Id="rId1863" Type="http://schemas.openxmlformats.org/officeDocument/2006/relationships/hyperlink" Target="http://felipe.guzman-bbva.com/" TargetMode="External"/><Relationship Id="rId1309" Type="http://schemas.openxmlformats.org/officeDocument/2006/relationships/hyperlink" Target="http://yesid.forero-bbva.com/" TargetMode="External"/><Relationship Id="rId1516" Type="http://schemas.openxmlformats.org/officeDocument/2006/relationships/hyperlink" Target="http://mariavictoria.gonzalez.fajard-bbva.com/" TargetMode="External"/><Relationship Id="rId1723" Type="http://schemas.openxmlformats.org/officeDocument/2006/relationships/hyperlink" Target="http://carlosandres.moque-bbva.com/" TargetMode="External"/><Relationship Id="rId15" Type="http://schemas.openxmlformats.org/officeDocument/2006/relationships/hyperlink" Target="http://jhon.reyes-bbva.com/" TargetMode="External"/><Relationship Id="rId164" Type="http://schemas.openxmlformats.org/officeDocument/2006/relationships/hyperlink" Target="http://juan.moralesp-bbva.com/" TargetMode="External"/><Relationship Id="rId371" Type="http://schemas.openxmlformats.org/officeDocument/2006/relationships/hyperlink" Target="http://william.vargas-bbva.com/" TargetMode="External"/><Relationship Id="rId469" Type="http://schemas.openxmlformats.org/officeDocument/2006/relationships/hyperlink" Target="http://henryr.rodriguez-bbva.com/" TargetMode="External"/><Relationship Id="rId676" Type="http://schemas.openxmlformats.org/officeDocument/2006/relationships/hyperlink" Target="http://manuelignacio.trujillo-bbva.com/" TargetMode="External"/><Relationship Id="rId883" Type="http://schemas.openxmlformats.org/officeDocument/2006/relationships/hyperlink" Target="http://yadira.cobos-bbva.com/" TargetMode="External"/><Relationship Id="rId1099" Type="http://schemas.openxmlformats.org/officeDocument/2006/relationships/hyperlink" Target="http://miguel.poloche-bbva.com/" TargetMode="External"/><Relationship Id="rId231" Type="http://schemas.openxmlformats.org/officeDocument/2006/relationships/hyperlink" Target="http://judy.prieto-bbva.com/" TargetMode="External"/><Relationship Id="rId329" Type="http://schemas.openxmlformats.org/officeDocument/2006/relationships/hyperlink" Target="http://hernanmauricio.lozada-bbva.com/" TargetMode="External"/><Relationship Id="rId536" Type="http://schemas.openxmlformats.org/officeDocument/2006/relationships/hyperlink" Target="http://ingrid.cortes-bbva.com/" TargetMode="External"/><Relationship Id="rId1166" Type="http://schemas.openxmlformats.org/officeDocument/2006/relationships/hyperlink" Target="http://manuel.villamil-bbva.com/" TargetMode="External"/><Relationship Id="rId1373" Type="http://schemas.openxmlformats.org/officeDocument/2006/relationships/hyperlink" Target="http://diegofernando.uribe-bbva.com/"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drive.google.com/uc?export=view&amp;id=14A5D_EANsA0o4lPDytKuNgnk1W2nx3Ic%22" TargetMode="External"/><Relationship Id="rId671" Type="http://schemas.openxmlformats.org/officeDocument/2006/relationships/hyperlink" Target="https://drive.google.com/uc?export=view&amp;id=14A5D_EANsA0o4lPDytKuNgnk1W2nx3Ic%22" TargetMode="External"/><Relationship Id="rId769" Type="http://schemas.openxmlformats.org/officeDocument/2006/relationships/hyperlink" Target="https://drive.google.com/uc?export=view&amp;id=14A5D_EANsA0o4lPDytKuNgnk1W2nx3Ic%22" TargetMode="External"/><Relationship Id="rId21" Type="http://schemas.openxmlformats.org/officeDocument/2006/relationships/hyperlink" Target="https://drive.google.com/uc?export=view&amp;id=14A5D_EANsA0o4lPDytKuNgnk1W2nx3Ic%22" TargetMode="External"/><Relationship Id="rId324" Type="http://schemas.openxmlformats.org/officeDocument/2006/relationships/hyperlink" Target="https://drive.google.com/uc?export=view&amp;id=14A5D_EANsA0o4lPDytKuNgnk1W2nx3Ic%22" TargetMode="External"/><Relationship Id="rId531" Type="http://schemas.openxmlformats.org/officeDocument/2006/relationships/hyperlink" Target="https://drive.google.com/uc?export=view&amp;id=14A5D_EANsA0o4lPDytKuNgnk1W2nx3Ic%22" TargetMode="External"/><Relationship Id="rId629" Type="http://schemas.openxmlformats.org/officeDocument/2006/relationships/hyperlink" Target="https://drive.google.com/uc?export=view&amp;id=14A5D_EANsA0o4lPDytKuNgnk1W2nx3Ic%22" TargetMode="External"/><Relationship Id="rId170" Type="http://schemas.openxmlformats.org/officeDocument/2006/relationships/hyperlink" Target="https://drive.google.com/uc?export=view&amp;id=14A5D_EANsA0o4lPDytKuNgnk1W2nx3Ic%22" TargetMode="External"/><Relationship Id="rId836" Type="http://schemas.openxmlformats.org/officeDocument/2006/relationships/hyperlink" Target="https://drive.google.com/uc?export=view&amp;id=14A5D_EANsA0o4lPDytKuNgnk1W2nx3Ic%22" TargetMode="External"/><Relationship Id="rId268" Type="http://schemas.openxmlformats.org/officeDocument/2006/relationships/hyperlink" Target="https://drive.google.com/uc?export=view&amp;id=14A5D_EANsA0o4lPDytKuNgnk1W2nx3Ic%22" TargetMode="External"/><Relationship Id="rId475" Type="http://schemas.openxmlformats.org/officeDocument/2006/relationships/hyperlink" Target="https://drive.google.com/uc?export=view&amp;id=14A5D_EANsA0o4lPDytKuNgnk1W2nx3Ic%22" TargetMode="External"/><Relationship Id="rId682" Type="http://schemas.openxmlformats.org/officeDocument/2006/relationships/hyperlink" Target="https://drive.google.com/uc?export=view&amp;id=14A5D_EANsA0o4lPDytKuNgnk1W2nx3Ic%22" TargetMode="External"/><Relationship Id="rId32" Type="http://schemas.openxmlformats.org/officeDocument/2006/relationships/hyperlink" Target="https://drive.google.com/uc?export=view&amp;id=14A5D_EANsA0o4lPDytKuNgnk1W2nx3Ic%22" TargetMode="External"/><Relationship Id="rId128" Type="http://schemas.openxmlformats.org/officeDocument/2006/relationships/hyperlink" Target="https://drive.google.com/uc?export=view&amp;id=14A5D_EANsA0o4lPDytKuNgnk1W2nx3Ic%22" TargetMode="External"/><Relationship Id="rId335" Type="http://schemas.openxmlformats.org/officeDocument/2006/relationships/hyperlink" Target="https://drive.google.com/uc?export=view&amp;id=14A5D_EANsA0o4lPDytKuNgnk1W2nx3Ic%22" TargetMode="External"/><Relationship Id="rId542" Type="http://schemas.openxmlformats.org/officeDocument/2006/relationships/hyperlink" Target="https://drive.google.com/uc?export=view&amp;id=14A5D_EANsA0o4lPDytKuNgnk1W2nx3Ic%22" TargetMode="External"/><Relationship Id="rId181" Type="http://schemas.openxmlformats.org/officeDocument/2006/relationships/hyperlink" Target="https://drive.google.com/uc?export=view&amp;id=14A5D_EANsA0o4lPDytKuNgnk1W2nx3Ic%22" TargetMode="External"/><Relationship Id="rId402" Type="http://schemas.openxmlformats.org/officeDocument/2006/relationships/hyperlink" Target="https://drive.google.com/uc?export=view&amp;id=14A5D_EANsA0o4lPDytKuNgnk1W2nx3Ic%22" TargetMode="External"/><Relationship Id="rId847" Type="http://schemas.openxmlformats.org/officeDocument/2006/relationships/hyperlink" Target="https://drive.google.com/uc?export=view&amp;id=14A5D_EANsA0o4lPDytKuNgnk1W2nx3Ic%22" TargetMode="External"/><Relationship Id="rId279" Type="http://schemas.openxmlformats.org/officeDocument/2006/relationships/hyperlink" Target="https://drive.google.com/uc?export=view&amp;id=14A5D_EANsA0o4lPDytKuNgnk1W2nx3Ic%22" TargetMode="External"/><Relationship Id="rId486" Type="http://schemas.openxmlformats.org/officeDocument/2006/relationships/hyperlink" Target="https://drive.google.com/uc?export=view&amp;id=14A5D_EANsA0o4lPDytKuNgnk1W2nx3Ic%22" TargetMode="External"/><Relationship Id="rId693" Type="http://schemas.openxmlformats.org/officeDocument/2006/relationships/hyperlink" Target="https://drive.google.com/uc?export=view&amp;id=14A5D_EANsA0o4lPDytKuNgnk1W2nx3Ic%22" TargetMode="External"/><Relationship Id="rId707" Type="http://schemas.openxmlformats.org/officeDocument/2006/relationships/hyperlink" Target="https://drive.google.com/uc?export=view&amp;id=14A5D_EANsA0o4lPDytKuNgnk1W2nx3Ic%22" TargetMode="External"/><Relationship Id="rId43" Type="http://schemas.openxmlformats.org/officeDocument/2006/relationships/hyperlink" Target="https://drive.google.com/uc?export=view&amp;id=14A5D_EANsA0o4lPDytKuNgnk1W2nx3Ic%22" TargetMode="External"/><Relationship Id="rId139" Type="http://schemas.openxmlformats.org/officeDocument/2006/relationships/hyperlink" Target="https://drive.google.com/uc?export=view&amp;id=14A5D_EANsA0o4lPDytKuNgnk1W2nx3Ic%22" TargetMode="External"/><Relationship Id="rId346" Type="http://schemas.openxmlformats.org/officeDocument/2006/relationships/hyperlink" Target="https://drive.google.com/uc?export=view&amp;id=14A5D_EANsA0o4lPDytKuNgnk1W2nx3Ic%22" TargetMode="External"/><Relationship Id="rId553" Type="http://schemas.openxmlformats.org/officeDocument/2006/relationships/hyperlink" Target="https://drive.google.com/uc?export=view&amp;id=14A5D_EANsA0o4lPDytKuNgnk1W2nx3Ic%22" TargetMode="External"/><Relationship Id="rId760" Type="http://schemas.openxmlformats.org/officeDocument/2006/relationships/hyperlink" Target="https://drive.google.com/uc?export=view&amp;id=14A5D_EANsA0o4lPDytKuNgnk1W2nx3Ic%22" TargetMode="External"/><Relationship Id="rId192" Type="http://schemas.openxmlformats.org/officeDocument/2006/relationships/hyperlink" Target="https://drive.google.com/uc?export=view&amp;id=14A5D_EANsA0o4lPDytKuNgnk1W2nx3Ic%22" TargetMode="External"/><Relationship Id="rId206" Type="http://schemas.openxmlformats.org/officeDocument/2006/relationships/hyperlink" Target="https://drive.google.com/uc?export=view&amp;id=14A5D_EANsA0o4lPDytKuNgnk1W2nx3Ic%22" TargetMode="External"/><Relationship Id="rId413" Type="http://schemas.openxmlformats.org/officeDocument/2006/relationships/hyperlink" Target="https://drive.google.com/uc?export=view&amp;id=14A5D_EANsA0o4lPDytKuNgnk1W2nx3Ic%22" TargetMode="External"/><Relationship Id="rId858" Type="http://schemas.openxmlformats.org/officeDocument/2006/relationships/hyperlink" Target="https://drive.google.com/uc?export=view&amp;id=14A5D_EANsA0o4lPDytKuNgnk1W2nx3Ic%22" TargetMode="External"/><Relationship Id="rId497" Type="http://schemas.openxmlformats.org/officeDocument/2006/relationships/hyperlink" Target="https://drive.google.com/uc?export=view&amp;id=14A5D_EANsA0o4lPDytKuNgnk1W2nx3Ic%22" TargetMode="External"/><Relationship Id="rId620" Type="http://schemas.openxmlformats.org/officeDocument/2006/relationships/hyperlink" Target="https://drive.google.com/uc?export=view&amp;id=14A5D_EANsA0o4lPDytKuNgnk1W2nx3Ic%22" TargetMode="External"/><Relationship Id="rId718" Type="http://schemas.openxmlformats.org/officeDocument/2006/relationships/hyperlink" Target="https://drive.google.com/uc?export=view&amp;id=14A5D_EANsA0o4lPDytKuNgnk1W2nx3Ic%22" TargetMode="External"/><Relationship Id="rId357" Type="http://schemas.openxmlformats.org/officeDocument/2006/relationships/hyperlink" Target="https://drive.google.com/uc?export=view&amp;id=14A5D_EANsA0o4lPDytKuNgnk1W2nx3Ic%22" TargetMode="External"/><Relationship Id="rId54" Type="http://schemas.openxmlformats.org/officeDocument/2006/relationships/hyperlink" Target="https://drive.google.com/uc?export=view&amp;id=14A5D_EANsA0o4lPDytKuNgnk1W2nx3Ic%22" TargetMode="External"/><Relationship Id="rId217" Type="http://schemas.openxmlformats.org/officeDocument/2006/relationships/hyperlink" Target="https://drive.google.com/uc?export=view&amp;id=14A5D_EANsA0o4lPDytKuNgnk1W2nx3Ic%22" TargetMode="External"/><Relationship Id="rId564" Type="http://schemas.openxmlformats.org/officeDocument/2006/relationships/hyperlink" Target="https://drive.google.com/uc?export=view&amp;id=14A5D_EANsA0o4lPDytKuNgnk1W2nx3Ic%22" TargetMode="External"/><Relationship Id="rId771" Type="http://schemas.openxmlformats.org/officeDocument/2006/relationships/hyperlink" Target="https://drive.google.com/uc?export=view&amp;id=14A5D_EANsA0o4lPDytKuNgnk1W2nx3Ic%22" TargetMode="External"/><Relationship Id="rId869" Type="http://schemas.openxmlformats.org/officeDocument/2006/relationships/hyperlink" Target="https://drive.google.com/uc?export=view&amp;id=14A5D_EANsA0o4lPDytKuNgnk1W2nx3Ic%22" TargetMode="External"/><Relationship Id="rId424" Type="http://schemas.openxmlformats.org/officeDocument/2006/relationships/hyperlink" Target="https://drive.google.com/uc?export=view&amp;id=14A5D_EANsA0o4lPDytKuNgnk1W2nx3Ic%22" TargetMode="External"/><Relationship Id="rId631" Type="http://schemas.openxmlformats.org/officeDocument/2006/relationships/hyperlink" Target="https://drive.google.com/uc?export=view&amp;id=14A5D_EANsA0o4lPDytKuNgnk1W2nx3Ic%22" TargetMode="External"/><Relationship Id="rId729" Type="http://schemas.openxmlformats.org/officeDocument/2006/relationships/hyperlink" Target="https://drive.google.com/uc?export=view&amp;id=14A5D_EANsA0o4lPDytKuNgnk1W2nx3Ic%22" TargetMode="External"/><Relationship Id="rId270" Type="http://schemas.openxmlformats.org/officeDocument/2006/relationships/hyperlink" Target="https://drive.google.com/uc?export=view&amp;id=14A5D_EANsA0o4lPDytKuNgnk1W2nx3Ic%22" TargetMode="External"/><Relationship Id="rId65" Type="http://schemas.openxmlformats.org/officeDocument/2006/relationships/hyperlink" Target="https://drive.google.com/uc?export=view&amp;id=14A5D_EANsA0o4lPDytKuNgnk1W2nx3Ic%22" TargetMode="External"/><Relationship Id="rId130" Type="http://schemas.openxmlformats.org/officeDocument/2006/relationships/hyperlink" Target="https://drive.google.com/uc?export=view&amp;id=14A5D_EANsA0o4lPDytKuNgnk1W2nx3Ic%22" TargetMode="External"/><Relationship Id="rId368" Type="http://schemas.openxmlformats.org/officeDocument/2006/relationships/hyperlink" Target="https://drive.google.com/uc?export=view&amp;id=14A5D_EANsA0o4lPDytKuNgnk1W2nx3Ic%22" TargetMode="External"/><Relationship Id="rId575" Type="http://schemas.openxmlformats.org/officeDocument/2006/relationships/hyperlink" Target="https://drive.google.com/uc?export=view&amp;id=14A5D_EANsA0o4lPDytKuNgnk1W2nx3Ic%22" TargetMode="External"/><Relationship Id="rId782" Type="http://schemas.openxmlformats.org/officeDocument/2006/relationships/hyperlink" Target="https://drive.google.com/uc?export=view&amp;id=14A5D_EANsA0o4lPDytKuNgnk1W2nx3Ic%22" TargetMode="External"/><Relationship Id="rId228" Type="http://schemas.openxmlformats.org/officeDocument/2006/relationships/hyperlink" Target="https://drive.google.com/uc?export=view&amp;id=14A5D_EANsA0o4lPDytKuNgnk1W2nx3Ic%22" TargetMode="External"/><Relationship Id="rId435" Type="http://schemas.openxmlformats.org/officeDocument/2006/relationships/hyperlink" Target="https://drive.google.com/uc?export=view&amp;id=14A5D_EANsA0o4lPDytKuNgnk1W2nx3Ic%22" TargetMode="External"/><Relationship Id="rId642" Type="http://schemas.openxmlformats.org/officeDocument/2006/relationships/hyperlink" Target="https://drive.google.com/uc?export=view&amp;id=14A5D_EANsA0o4lPDytKuNgnk1W2nx3Ic%22" TargetMode="External"/><Relationship Id="rId281" Type="http://schemas.openxmlformats.org/officeDocument/2006/relationships/hyperlink" Target="https://drive.google.com/uc?export=view&amp;id=14A5D_EANsA0o4lPDytKuNgnk1W2nx3Ic%22" TargetMode="External"/><Relationship Id="rId502" Type="http://schemas.openxmlformats.org/officeDocument/2006/relationships/hyperlink" Target="https://drive.google.com/uc?export=view&amp;id=14A5D_EANsA0o4lPDytKuNgnk1W2nx3Ic%22" TargetMode="External"/><Relationship Id="rId76" Type="http://schemas.openxmlformats.org/officeDocument/2006/relationships/hyperlink" Target="https://drive.google.com/uc?export=view&amp;id=14A5D_EANsA0o4lPDytKuNgnk1W2nx3Ic%22" TargetMode="External"/><Relationship Id="rId141" Type="http://schemas.openxmlformats.org/officeDocument/2006/relationships/hyperlink" Target="https://drive.google.com/uc?export=view&amp;id=14A5D_EANsA0o4lPDytKuNgnk1W2nx3Ic%22" TargetMode="External"/><Relationship Id="rId379" Type="http://schemas.openxmlformats.org/officeDocument/2006/relationships/hyperlink" Target="https://drive.google.com/uc?export=view&amp;id=14A5D_EANsA0o4lPDytKuNgnk1W2nx3Ic%22" TargetMode="External"/><Relationship Id="rId586" Type="http://schemas.openxmlformats.org/officeDocument/2006/relationships/hyperlink" Target="https://drive.google.com/uc?export=view&amp;id=14A5D_EANsA0o4lPDytKuNgnk1W2nx3Ic%22" TargetMode="External"/><Relationship Id="rId793" Type="http://schemas.openxmlformats.org/officeDocument/2006/relationships/hyperlink" Target="https://drive.google.com/uc?export=view&amp;id=14A5D_EANsA0o4lPDytKuNgnk1W2nx3Ic%22" TargetMode="External"/><Relationship Id="rId807" Type="http://schemas.openxmlformats.org/officeDocument/2006/relationships/hyperlink" Target="https://drive.google.com/uc?export=view&amp;id=14A5D_EANsA0o4lPDytKuNgnk1W2nx3Ic%22" TargetMode="External"/><Relationship Id="rId7" Type="http://schemas.openxmlformats.org/officeDocument/2006/relationships/hyperlink" Target="https://drive.google.com/uc?export=view&amp;id=14A5D_EANsA0o4lPDytKuNgnk1W2nx3Ic%22" TargetMode="External"/><Relationship Id="rId239" Type="http://schemas.openxmlformats.org/officeDocument/2006/relationships/hyperlink" Target="https://drive.google.com/uc?export=view&amp;id=14A5D_EANsA0o4lPDytKuNgnk1W2nx3Ic%22" TargetMode="External"/><Relationship Id="rId446" Type="http://schemas.openxmlformats.org/officeDocument/2006/relationships/hyperlink" Target="https://drive.google.com/uc?export=view&amp;id=14A5D_EANsA0o4lPDytKuNgnk1W2nx3Ic%22" TargetMode="External"/><Relationship Id="rId653" Type="http://schemas.openxmlformats.org/officeDocument/2006/relationships/hyperlink" Target="https://drive.google.com/uc?export=view&amp;id=14A5D_EANsA0o4lPDytKuNgnk1W2nx3Ic%22" TargetMode="External"/><Relationship Id="rId292" Type="http://schemas.openxmlformats.org/officeDocument/2006/relationships/hyperlink" Target="https://drive.google.com/uc?export=view&amp;id=14A5D_EANsA0o4lPDytKuNgnk1W2nx3Ic%22" TargetMode="External"/><Relationship Id="rId306" Type="http://schemas.openxmlformats.org/officeDocument/2006/relationships/hyperlink" Target="https://drive.google.com/uc?export=view&amp;id=14A5D_EANsA0o4lPDytKuNgnk1W2nx3Ic%22" TargetMode="External"/><Relationship Id="rId860" Type="http://schemas.openxmlformats.org/officeDocument/2006/relationships/hyperlink" Target="https://drive.google.com/uc?export=view&amp;id=14A5D_EANsA0o4lPDytKuNgnk1W2nx3Ic%22" TargetMode="External"/><Relationship Id="rId87" Type="http://schemas.openxmlformats.org/officeDocument/2006/relationships/hyperlink" Target="https://drive.google.com/uc?export=view&amp;id=14A5D_EANsA0o4lPDytKuNgnk1W2nx3Ic%22" TargetMode="External"/><Relationship Id="rId513" Type="http://schemas.openxmlformats.org/officeDocument/2006/relationships/hyperlink" Target="https://drive.google.com/uc?export=view&amp;id=14A5D_EANsA0o4lPDytKuNgnk1W2nx3Ic%22" TargetMode="External"/><Relationship Id="rId597" Type="http://schemas.openxmlformats.org/officeDocument/2006/relationships/hyperlink" Target="https://drive.google.com/uc?export=view&amp;id=14A5D_EANsA0o4lPDytKuNgnk1W2nx3Ic%22" TargetMode="External"/><Relationship Id="rId720" Type="http://schemas.openxmlformats.org/officeDocument/2006/relationships/hyperlink" Target="https://drive.google.com/uc?export=view&amp;id=14A5D_EANsA0o4lPDytKuNgnk1W2nx3Ic%22" TargetMode="External"/><Relationship Id="rId818" Type="http://schemas.openxmlformats.org/officeDocument/2006/relationships/hyperlink" Target="https://drive.google.com/uc?export=view&amp;id=14A5D_EANsA0o4lPDytKuNgnk1W2nx3Ic%22" TargetMode="External"/><Relationship Id="rId152" Type="http://schemas.openxmlformats.org/officeDocument/2006/relationships/hyperlink" Target="https://drive.google.com/uc?export=view&amp;id=14A5D_EANsA0o4lPDytKuNgnk1W2nx3Ic%22" TargetMode="External"/><Relationship Id="rId457" Type="http://schemas.openxmlformats.org/officeDocument/2006/relationships/hyperlink" Target="https://drive.google.com/uc?export=view&amp;id=14A5D_EANsA0o4lPDytKuNgnk1W2nx3Ic%22" TargetMode="External"/><Relationship Id="rId664" Type="http://schemas.openxmlformats.org/officeDocument/2006/relationships/hyperlink" Target="https://drive.google.com/uc?export=view&amp;id=14A5D_EANsA0o4lPDytKuNgnk1W2nx3Ic%22" TargetMode="External"/><Relationship Id="rId871" Type="http://schemas.openxmlformats.org/officeDocument/2006/relationships/hyperlink" Target="https://drive.google.com/uc?export=view&amp;id=14A5D_EANsA0o4lPDytKuNgnk1W2nx3Ic%22" TargetMode="External"/><Relationship Id="rId14" Type="http://schemas.openxmlformats.org/officeDocument/2006/relationships/hyperlink" Target="https://drive.google.com/uc?export=view&amp;id=14A5D_EANsA0o4lPDytKuNgnk1W2nx3Ic%22" TargetMode="External"/><Relationship Id="rId317" Type="http://schemas.openxmlformats.org/officeDocument/2006/relationships/hyperlink" Target="https://drive.google.com/uc?export=view&amp;id=14A5D_EANsA0o4lPDytKuNgnk1W2nx3Ic%22" TargetMode="External"/><Relationship Id="rId524" Type="http://schemas.openxmlformats.org/officeDocument/2006/relationships/hyperlink" Target="https://drive.google.com/uc?export=view&amp;id=14A5D_EANsA0o4lPDytKuNgnk1W2nx3Ic%22" TargetMode="External"/><Relationship Id="rId731" Type="http://schemas.openxmlformats.org/officeDocument/2006/relationships/hyperlink" Target="https://drive.google.com/uc?export=view&amp;id=14A5D_EANsA0o4lPDytKuNgnk1W2nx3Ic%22" TargetMode="External"/><Relationship Id="rId98" Type="http://schemas.openxmlformats.org/officeDocument/2006/relationships/hyperlink" Target="https://drive.google.com/uc?export=view&amp;id=14A5D_EANsA0o4lPDytKuNgnk1W2nx3Ic%22" TargetMode="External"/><Relationship Id="rId163" Type="http://schemas.openxmlformats.org/officeDocument/2006/relationships/hyperlink" Target="https://drive.google.com/uc?export=view&amp;id=14A5D_EANsA0o4lPDytKuNgnk1W2nx3Ic%22" TargetMode="External"/><Relationship Id="rId370" Type="http://schemas.openxmlformats.org/officeDocument/2006/relationships/hyperlink" Target="https://drive.google.com/uc?export=view&amp;id=14A5D_EANsA0o4lPDytKuNgnk1W2nx3Ic%22" TargetMode="External"/><Relationship Id="rId829" Type="http://schemas.openxmlformats.org/officeDocument/2006/relationships/hyperlink" Target="https://drive.google.com/uc?export=view&amp;id=14A5D_EANsA0o4lPDytKuNgnk1W2nx3Ic%22" TargetMode="External"/><Relationship Id="rId230" Type="http://schemas.openxmlformats.org/officeDocument/2006/relationships/hyperlink" Target="https://drive.google.com/uc?export=view&amp;id=14A5D_EANsA0o4lPDytKuNgnk1W2nx3Ic%22" TargetMode="External"/><Relationship Id="rId468" Type="http://schemas.openxmlformats.org/officeDocument/2006/relationships/hyperlink" Target="https://drive.google.com/uc?export=view&amp;id=14A5D_EANsA0o4lPDytKuNgnk1W2nx3Ic%22" TargetMode="External"/><Relationship Id="rId675" Type="http://schemas.openxmlformats.org/officeDocument/2006/relationships/hyperlink" Target="https://drive.google.com/uc?export=view&amp;id=14A5D_EANsA0o4lPDytKuNgnk1W2nx3Ic%22" TargetMode="External"/><Relationship Id="rId882" Type="http://schemas.openxmlformats.org/officeDocument/2006/relationships/hyperlink" Target="https://drive.google.com/uc?export=view&amp;id=14A5D_EANsA0o4lPDytKuNgnk1W2nx3Ic%22" TargetMode="External"/><Relationship Id="rId25" Type="http://schemas.openxmlformats.org/officeDocument/2006/relationships/hyperlink" Target="https://drive.google.com/uc?export=view&amp;id=14A5D_EANsA0o4lPDytKuNgnk1W2nx3Ic%22" TargetMode="External"/><Relationship Id="rId328" Type="http://schemas.openxmlformats.org/officeDocument/2006/relationships/hyperlink" Target="https://drive.google.com/uc?export=view&amp;id=14A5D_EANsA0o4lPDytKuNgnk1W2nx3Ic%22" TargetMode="External"/><Relationship Id="rId535" Type="http://schemas.openxmlformats.org/officeDocument/2006/relationships/hyperlink" Target="https://drive.google.com/uc?export=view&amp;id=14A5D_EANsA0o4lPDytKuNgnk1W2nx3Ic%22" TargetMode="External"/><Relationship Id="rId742" Type="http://schemas.openxmlformats.org/officeDocument/2006/relationships/hyperlink" Target="https://drive.google.com/uc?export=view&amp;id=14A5D_EANsA0o4lPDytKuNgnk1W2nx3Ic%22" TargetMode="External"/><Relationship Id="rId174" Type="http://schemas.openxmlformats.org/officeDocument/2006/relationships/hyperlink" Target="https://drive.google.com/uc?export=view&amp;id=14A5D_EANsA0o4lPDytKuNgnk1W2nx3Ic%22" TargetMode="External"/><Relationship Id="rId381" Type="http://schemas.openxmlformats.org/officeDocument/2006/relationships/hyperlink" Target="https://drive.google.com/uc?export=view&amp;id=14A5D_EANsA0o4lPDytKuNgnk1W2nx3Ic%22" TargetMode="External"/><Relationship Id="rId602" Type="http://schemas.openxmlformats.org/officeDocument/2006/relationships/hyperlink" Target="https://drive.google.com/uc?export=view&amp;id=14A5D_EANsA0o4lPDytKuNgnk1W2nx3Ic%22" TargetMode="External"/><Relationship Id="rId241" Type="http://schemas.openxmlformats.org/officeDocument/2006/relationships/hyperlink" Target="https://drive.google.com/uc?export=view&amp;id=14A5D_EANsA0o4lPDytKuNgnk1W2nx3Ic%22" TargetMode="External"/><Relationship Id="rId479" Type="http://schemas.openxmlformats.org/officeDocument/2006/relationships/hyperlink" Target="https://drive.google.com/uc?export=view&amp;id=14A5D_EANsA0o4lPDytKuNgnk1W2nx3Ic%22" TargetMode="External"/><Relationship Id="rId686" Type="http://schemas.openxmlformats.org/officeDocument/2006/relationships/hyperlink" Target="https://drive.google.com/uc?export=view&amp;id=14A5D_EANsA0o4lPDytKuNgnk1W2nx3Ic%22" TargetMode="External"/><Relationship Id="rId36" Type="http://schemas.openxmlformats.org/officeDocument/2006/relationships/hyperlink" Target="https://drive.google.com/uc?export=view&amp;id=14A5D_EANsA0o4lPDytKuNgnk1W2nx3Ic%22" TargetMode="External"/><Relationship Id="rId339" Type="http://schemas.openxmlformats.org/officeDocument/2006/relationships/hyperlink" Target="https://drive.google.com/uc?export=view&amp;id=14A5D_EANsA0o4lPDytKuNgnk1W2nx3Ic%22" TargetMode="External"/><Relationship Id="rId546" Type="http://schemas.openxmlformats.org/officeDocument/2006/relationships/hyperlink" Target="https://drive.google.com/uc?export=view&amp;id=14A5D_EANsA0o4lPDytKuNgnk1W2nx3Ic%22" TargetMode="External"/><Relationship Id="rId753" Type="http://schemas.openxmlformats.org/officeDocument/2006/relationships/hyperlink" Target="https://drive.google.com/uc?export=view&amp;id=14A5D_EANsA0o4lPDytKuNgnk1W2nx3Ic%22" TargetMode="External"/><Relationship Id="rId101" Type="http://schemas.openxmlformats.org/officeDocument/2006/relationships/hyperlink" Target="https://drive.google.com/uc?export=view&amp;id=14A5D_EANsA0o4lPDytKuNgnk1W2nx3Ic%22" TargetMode="External"/><Relationship Id="rId185" Type="http://schemas.openxmlformats.org/officeDocument/2006/relationships/hyperlink" Target="https://drive.google.com/uc?export=view&amp;id=14A5D_EANsA0o4lPDytKuNgnk1W2nx3Ic%22" TargetMode="External"/><Relationship Id="rId406" Type="http://schemas.openxmlformats.org/officeDocument/2006/relationships/hyperlink" Target="https://drive.google.com/uc?export=view&amp;id=14A5D_EANsA0o4lPDytKuNgnk1W2nx3Ic%22" TargetMode="External"/><Relationship Id="rId392" Type="http://schemas.openxmlformats.org/officeDocument/2006/relationships/hyperlink" Target="https://drive.google.com/uc?export=view&amp;id=14A5D_EANsA0o4lPDytKuNgnk1W2nx3Ic%22" TargetMode="External"/><Relationship Id="rId613" Type="http://schemas.openxmlformats.org/officeDocument/2006/relationships/hyperlink" Target="https://drive.google.com/uc?export=view&amp;id=14A5D_EANsA0o4lPDytKuNgnk1W2nx3Ic%22" TargetMode="External"/><Relationship Id="rId697" Type="http://schemas.openxmlformats.org/officeDocument/2006/relationships/hyperlink" Target="https://drive.google.com/uc?export=view&amp;id=14A5D_EANsA0o4lPDytKuNgnk1W2nx3Ic%22" TargetMode="External"/><Relationship Id="rId820" Type="http://schemas.openxmlformats.org/officeDocument/2006/relationships/hyperlink" Target="https://drive.google.com/uc?export=view&amp;id=14A5D_EANsA0o4lPDytKuNgnk1W2nx3Ic%22" TargetMode="External"/><Relationship Id="rId252" Type="http://schemas.openxmlformats.org/officeDocument/2006/relationships/hyperlink" Target="https://drive.google.com/uc?export=view&amp;id=14A5D_EANsA0o4lPDytKuNgnk1W2nx3Ic%22" TargetMode="External"/><Relationship Id="rId47" Type="http://schemas.openxmlformats.org/officeDocument/2006/relationships/hyperlink" Target="https://drive.google.com/uc?export=view&amp;id=14A5D_EANsA0o4lPDytKuNgnk1W2nx3Ic%22" TargetMode="External"/><Relationship Id="rId112" Type="http://schemas.openxmlformats.org/officeDocument/2006/relationships/hyperlink" Target="https://drive.google.com/uc?export=view&amp;id=14A5D_EANsA0o4lPDytKuNgnk1W2nx3Ic%22" TargetMode="External"/><Relationship Id="rId557" Type="http://schemas.openxmlformats.org/officeDocument/2006/relationships/hyperlink" Target="https://drive.google.com/uc?export=view&amp;id=14A5D_EANsA0o4lPDytKuNgnk1W2nx3Ic%22" TargetMode="External"/><Relationship Id="rId764" Type="http://schemas.openxmlformats.org/officeDocument/2006/relationships/hyperlink" Target="https://drive.google.com/uc?export=view&amp;id=14A5D_EANsA0o4lPDytKuNgnk1W2nx3Ic%22" TargetMode="External"/><Relationship Id="rId196" Type="http://schemas.openxmlformats.org/officeDocument/2006/relationships/hyperlink" Target="https://drive.google.com/uc?export=view&amp;id=14A5D_EANsA0o4lPDytKuNgnk1W2nx3Ic%22" TargetMode="External"/><Relationship Id="rId417" Type="http://schemas.openxmlformats.org/officeDocument/2006/relationships/hyperlink" Target="https://drive.google.com/uc?export=view&amp;id=14A5D_EANsA0o4lPDytKuNgnk1W2nx3Ic%22" TargetMode="External"/><Relationship Id="rId624" Type="http://schemas.openxmlformats.org/officeDocument/2006/relationships/hyperlink" Target="https://drive.google.com/uc?export=view&amp;id=14A5D_EANsA0o4lPDytKuNgnk1W2nx3Ic%22" TargetMode="External"/><Relationship Id="rId831" Type="http://schemas.openxmlformats.org/officeDocument/2006/relationships/hyperlink" Target="https://drive.google.com/uc?export=view&amp;id=14A5D_EANsA0o4lPDytKuNgnk1W2nx3Ic%22" TargetMode="External"/><Relationship Id="rId263" Type="http://schemas.openxmlformats.org/officeDocument/2006/relationships/hyperlink" Target="https://drive.google.com/uc?export=view&amp;id=14A5D_EANsA0o4lPDytKuNgnk1W2nx3Ic%22" TargetMode="External"/><Relationship Id="rId470" Type="http://schemas.openxmlformats.org/officeDocument/2006/relationships/hyperlink" Target="https://drive.google.com/uc?export=view&amp;id=14A5D_EANsA0o4lPDytKuNgnk1W2nx3Ic%22" TargetMode="External"/><Relationship Id="rId58" Type="http://schemas.openxmlformats.org/officeDocument/2006/relationships/hyperlink" Target="https://drive.google.com/uc?export=view&amp;id=14A5D_EANsA0o4lPDytKuNgnk1W2nx3Ic%22" TargetMode="External"/><Relationship Id="rId123" Type="http://schemas.openxmlformats.org/officeDocument/2006/relationships/hyperlink" Target="https://drive.google.com/uc?export=view&amp;id=14A5D_EANsA0o4lPDytKuNgnk1W2nx3Ic%22" TargetMode="External"/><Relationship Id="rId330" Type="http://schemas.openxmlformats.org/officeDocument/2006/relationships/hyperlink" Target="https://drive.google.com/uc?export=view&amp;id=14A5D_EANsA0o4lPDytKuNgnk1W2nx3Ic%22" TargetMode="External"/><Relationship Id="rId568" Type="http://schemas.openxmlformats.org/officeDocument/2006/relationships/hyperlink" Target="https://drive.google.com/uc?export=view&amp;id=14A5D_EANsA0o4lPDytKuNgnk1W2nx3Ic%22" TargetMode="External"/><Relationship Id="rId775" Type="http://schemas.openxmlformats.org/officeDocument/2006/relationships/hyperlink" Target="https://drive.google.com/uc?export=view&amp;id=14A5D_EANsA0o4lPDytKuNgnk1W2nx3Ic%22" TargetMode="External"/><Relationship Id="rId428" Type="http://schemas.openxmlformats.org/officeDocument/2006/relationships/hyperlink" Target="https://drive.google.com/uc?export=view&amp;id=14A5D_EANsA0o4lPDytKuNgnk1W2nx3Ic%22" TargetMode="External"/><Relationship Id="rId635" Type="http://schemas.openxmlformats.org/officeDocument/2006/relationships/hyperlink" Target="https://drive.google.com/uc?export=view&amp;id=14A5D_EANsA0o4lPDytKuNgnk1W2nx3Ic%22" TargetMode="External"/><Relationship Id="rId842" Type="http://schemas.openxmlformats.org/officeDocument/2006/relationships/hyperlink" Target="https://drive.google.com/uc?export=view&amp;id=14A5D_EANsA0o4lPDytKuNgnk1W2nx3Ic%22" TargetMode="External"/><Relationship Id="rId274" Type="http://schemas.openxmlformats.org/officeDocument/2006/relationships/hyperlink" Target="https://drive.google.com/uc?export=view&amp;id=14A5D_EANsA0o4lPDytKuNgnk1W2nx3Ic%22" TargetMode="External"/><Relationship Id="rId481" Type="http://schemas.openxmlformats.org/officeDocument/2006/relationships/hyperlink" Target="https://drive.google.com/uc?export=view&amp;id=14A5D_EANsA0o4lPDytKuNgnk1W2nx3Ic%22" TargetMode="External"/><Relationship Id="rId702" Type="http://schemas.openxmlformats.org/officeDocument/2006/relationships/hyperlink" Target="https://drive.google.com/uc?export=view&amp;id=14A5D_EANsA0o4lPDytKuNgnk1W2nx3Ic%22" TargetMode="External"/><Relationship Id="rId69" Type="http://schemas.openxmlformats.org/officeDocument/2006/relationships/hyperlink" Target="https://drive.google.com/uc?export=view&amp;id=14A5D_EANsA0o4lPDytKuNgnk1W2nx3Ic%22" TargetMode="External"/><Relationship Id="rId134" Type="http://schemas.openxmlformats.org/officeDocument/2006/relationships/hyperlink" Target="https://drive.google.com/uc?export=view&amp;id=14A5D_EANsA0o4lPDytKuNgnk1W2nx3Ic%22" TargetMode="External"/><Relationship Id="rId579" Type="http://schemas.openxmlformats.org/officeDocument/2006/relationships/hyperlink" Target="https://drive.google.com/uc?export=view&amp;id=14A5D_EANsA0o4lPDytKuNgnk1W2nx3Ic%22" TargetMode="External"/><Relationship Id="rId786" Type="http://schemas.openxmlformats.org/officeDocument/2006/relationships/hyperlink" Target="https://drive.google.com/uc?export=view&amp;id=14A5D_EANsA0o4lPDytKuNgnk1W2nx3Ic%22" TargetMode="External"/><Relationship Id="rId341" Type="http://schemas.openxmlformats.org/officeDocument/2006/relationships/hyperlink" Target="https://drive.google.com/uc?export=view&amp;id=14A5D_EANsA0o4lPDytKuNgnk1W2nx3Ic%22" TargetMode="External"/><Relationship Id="rId439" Type="http://schemas.openxmlformats.org/officeDocument/2006/relationships/hyperlink" Target="https://drive.google.com/uc?export=view&amp;id=14A5D_EANsA0o4lPDytKuNgnk1W2nx3Ic%22" TargetMode="External"/><Relationship Id="rId646" Type="http://schemas.openxmlformats.org/officeDocument/2006/relationships/hyperlink" Target="https://drive.google.com/uc?export=view&amp;id=14A5D_EANsA0o4lPDytKuNgnk1W2nx3Ic%22" TargetMode="External"/><Relationship Id="rId201" Type="http://schemas.openxmlformats.org/officeDocument/2006/relationships/hyperlink" Target="https://drive.google.com/uc?export=view&amp;id=14A5D_EANsA0o4lPDytKuNgnk1W2nx3Ic%22" TargetMode="External"/><Relationship Id="rId285" Type="http://schemas.openxmlformats.org/officeDocument/2006/relationships/hyperlink" Target="https://drive.google.com/uc?export=view&amp;id=14A5D_EANsA0o4lPDytKuNgnk1W2nx3Ic%22" TargetMode="External"/><Relationship Id="rId506" Type="http://schemas.openxmlformats.org/officeDocument/2006/relationships/hyperlink" Target="https://drive.google.com/uc?export=view&amp;id=14A5D_EANsA0o4lPDytKuNgnk1W2nx3Ic%22" TargetMode="External"/><Relationship Id="rId853" Type="http://schemas.openxmlformats.org/officeDocument/2006/relationships/hyperlink" Target="https://drive.google.com/uc?export=view&amp;id=14A5D_EANsA0o4lPDytKuNgnk1W2nx3Ic%22" TargetMode="External"/><Relationship Id="rId492" Type="http://schemas.openxmlformats.org/officeDocument/2006/relationships/hyperlink" Target="https://drive.google.com/uc?export=view&amp;id=14A5D_EANsA0o4lPDytKuNgnk1W2nx3Ic%22" TargetMode="External"/><Relationship Id="rId713" Type="http://schemas.openxmlformats.org/officeDocument/2006/relationships/hyperlink" Target="https://drive.google.com/uc?export=view&amp;id=14A5D_EANsA0o4lPDytKuNgnk1W2nx3Ic%22" TargetMode="External"/><Relationship Id="rId797" Type="http://schemas.openxmlformats.org/officeDocument/2006/relationships/hyperlink" Target="https://drive.google.com/uc?export=view&amp;id=14A5D_EANsA0o4lPDytKuNgnk1W2nx3Ic%22" TargetMode="External"/><Relationship Id="rId145" Type="http://schemas.openxmlformats.org/officeDocument/2006/relationships/hyperlink" Target="https://drive.google.com/uc?export=view&amp;id=14A5D_EANsA0o4lPDytKuNgnk1W2nx3Ic%22" TargetMode="External"/><Relationship Id="rId352" Type="http://schemas.openxmlformats.org/officeDocument/2006/relationships/hyperlink" Target="https://drive.google.com/uc?export=view&amp;id=14A5D_EANsA0o4lPDytKuNgnk1W2nx3Ic%22" TargetMode="External"/><Relationship Id="rId212" Type="http://schemas.openxmlformats.org/officeDocument/2006/relationships/hyperlink" Target="https://drive.google.com/uc?export=view&amp;id=14A5D_EANsA0o4lPDytKuNgnk1W2nx3Ic%22" TargetMode="External"/><Relationship Id="rId657" Type="http://schemas.openxmlformats.org/officeDocument/2006/relationships/hyperlink" Target="https://drive.google.com/uc?export=view&amp;id=14A5D_EANsA0o4lPDytKuNgnk1W2nx3Ic%22" TargetMode="External"/><Relationship Id="rId864" Type="http://schemas.openxmlformats.org/officeDocument/2006/relationships/hyperlink" Target="https://drive.google.com/uc?export=view&amp;id=14A5D_EANsA0o4lPDytKuNgnk1W2nx3Ic%22" TargetMode="External"/><Relationship Id="rId296" Type="http://schemas.openxmlformats.org/officeDocument/2006/relationships/hyperlink" Target="https://drive.google.com/uc?export=view&amp;id=14A5D_EANsA0o4lPDytKuNgnk1W2nx3Ic%22" TargetMode="External"/><Relationship Id="rId517" Type="http://schemas.openxmlformats.org/officeDocument/2006/relationships/hyperlink" Target="https://drive.google.com/uc?export=view&amp;id=14A5D_EANsA0o4lPDytKuNgnk1W2nx3Ic%22" TargetMode="External"/><Relationship Id="rId724" Type="http://schemas.openxmlformats.org/officeDocument/2006/relationships/hyperlink" Target="https://drive.google.com/uc?export=view&amp;id=14A5D_EANsA0o4lPDytKuNgnk1W2nx3Ic%22" TargetMode="External"/><Relationship Id="rId60" Type="http://schemas.openxmlformats.org/officeDocument/2006/relationships/hyperlink" Target="https://drive.google.com/uc?export=view&amp;id=14A5D_EANsA0o4lPDytKuNgnk1W2nx3Ic%22" TargetMode="External"/><Relationship Id="rId156" Type="http://schemas.openxmlformats.org/officeDocument/2006/relationships/hyperlink" Target="https://drive.google.com/uc?export=view&amp;id=14A5D_EANsA0o4lPDytKuNgnk1W2nx3Ic%22" TargetMode="External"/><Relationship Id="rId363" Type="http://schemas.openxmlformats.org/officeDocument/2006/relationships/hyperlink" Target="https://drive.google.com/uc?export=view&amp;id=14A5D_EANsA0o4lPDytKuNgnk1W2nx3Ic%22" TargetMode="External"/><Relationship Id="rId570" Type="http://schemas.openxmlformats.org/officeDocument/2006/relationships/hyperlink" Target="https://drive.google.com/uc?export=view&amp;id=14A5D_EANsA0o4lPDytKuNgnk1W2nx3Ic%22" TargetMode="External"/><Relationship Id="rId223" Type="http://schemas.openxmlformats.org/officeDocument/2006/relationships/hyperlink" Target="https://drive.google.com/uc?export=view&amp;id=14A5D_EANsA0o4lPDytKuNgnk1W2nx3Ic%22" TargetMode="External"/><Relationship Id="rId430" Type="http://schemas.openxmlformats.org/officeDocument/2006/relationships/hyperlink" Target="https://drive.google.com/uc?export=view&amp;id=14A5D_EANsA0o4lPDytKuNgnk1W2nx3Ic%22" TargetMode="External"/><Relationship Id="rId668" Type="http://schemas.openxmlformats.org/officeDocument/2006/relationships/hyperlink" Target="https://drive.google.com/uc?export=view&amp;id=14A5D_EANsA0o4lPDytKuNgnk1W2nx3Ic%22" TargetMode="External"/><Relationship Id="rId875" Type="http://schemas.openxmlformats.org/officeDocument/2006/relationships/hyperlink" Target="https://drive.google.com/uc?export=view&amp;id=14A5D_EANsA0o4lPDytKuNgnk1W2nx3Ic%22" TargetMode="External"/><Relationship Id="rId18" Type="http://schemas.openxmlformats.org/officeDocument/2006/relationships/hyperlink" Target="https://drive.google.com/uc?export=view&amp;id=14A5D_EANsA0o4lPDytKuNgnk1W2nx3Ic%22" TargetMode="External"/><Relationship Id="rId528" Type="http://schemas.openxmlformats.org/officeDocument/2006/relationships/hyperlink" Target="https://drive.google.com/uc?export=view&amp;id=14A5D_EANsA0o4lPDytKuNgnk1W2nx3Ic%22" TargetMode="External"/><Relationship Id="rId735" Type="http://schemas.openxmlformats.org/officeDocument/2006/relationships/hyperlink" Target="https://drive.google.com/uc?export=view&amp;id=14A5D_EANsA0o4lPDytKuNgnk1W2nx3Ic%22" TargetMode="External"/><Relationship Id="rId167" Type="http://schemas.openxmlformats.org/officeDocument/2006/relationships/hyperlink" Target="https://drive.google.com/uc?export=view&amp;id=14A5D_EANsA0o4lPDytKuNgnk1W2nx3Ic%22" TargetMode="External"/><Relationship Id="rId374" Type="http://schemas.openxmlformats.org/officeDocument/2006/relationships/hyperlink" Target="https://drive.google.com/uc?export=view&amp;id=14A5D_EANsA0o4lPDytKuNgnk1W2nx3Ic%22" TargetMode="External"/><Relationship Id="rId581" Type="http://schemas.openxmlformats.org/officeDocument/2006/relationships/hyperlink" Target="https://drive.google.com/uc?export=view&amp;id=14A5D_EANsA0o4lPDytKuNgnk1W2nx3Ic%22" TargetMode="External"/><Relationship Id="rId71" Type="http://schemas.openxmlformats.org/officeDocument/2006/relationships/hyperlink" Target="https://drive.google.com/uc?export=view&amp;id=14A5D_EANsA0o4lPDytKuNgnk1W2nx3Ic%22" TargetMode="External"/><Relationship Id="rId234" Type="http://schemas.openxmlformats.org/officeDocument/2006/relationships/hyperlink" Target="https://drive.google.com/uc?export=view&amp;id=14A5D_EANsA0o4lPDytKuNgnk1W2nx3Ic%22" TargetMode="External"/><Relationship Id="rId679" Type="http://schemas.openxmlformats.org/officeDocument/2006/relationships/hyperlink" Target="https://drive.google.com/uc?export=view&amp;id=14A5D_EANsA0o4lPDytKuNgnk1W2nx3Ic%22" TargetMode="External"/><Relationship Id="rId802" Type="http://schemas.openxmlformats.org/officeDocument/2006/relationships/hyperlink" Target="https://drive.google.com/uc?export=view&amp;id=14A5D_EANsA0o4lPDytKuNgnk1W2nx3Ic%22" TargetMode="External"/><Relationship Id="rId2" Type="http://schemas.openxmlformats.org/officeDocument/2006/relationships/hyperlink" Target="https://drive.google.com/uc?export=view&amp;id=14A5D_EANsA0o4lPDytKuNgnk1W2nx3Ic%22" TargetMode="External"/><Relationship Id="rId29" Type="http://schemas.openxmlformats.org/officeDocument/2006/relationships/hyperlink" Target="https://drive.google.com/uc?export=view&amp;id=14A5D_EANsA0o4lPDytKuNgnk1W2nx3Ic%22" TargetMode="External"/><Relationship Id="rId441" Type="http://schemas.openxmlformats.org/officeDocument/2006/relationships/hyperlink" Target="https://drive.google.com/uc?export=view&amp;id=14A5D_EANsA0o4lPDytKuNgnk1W2nx3Ic%22" TargetMode="External"/><Relationship Id="rId539" Type="http://schemas.openxmlformats.org/officeDocument/2006/relationships/hyperlink" Target="https://drive.google.com/uc?export=view&amp;id=14A5D_EANsA0o4lPDytKuNgnk1W2nx3Ic%22" TargetMode="External"/><Relationship Id="rId746" Type="http://schemas.openxmlformats.org/officeDocument/2006/relationships/hyperlink" Target="https://drive.google.com/uc?export=view&amp;id=14A5D_EANsA0o4lPDytKuNgnk1W2nx3Ic%22" TargetMode="External"/><Relationship Id="rId178" Type="http://schemas.openxmlformats.org/officeDocument/2006/relationships/hyperlink" Target="https://drive.google.com/uc?export=view&amp;id=14A5D_EANsA0o4lPDytKuNgnk1W2nx3Ic%22" TargetMode="External"/><Relationship Id="rId301" Type="http://schemas.openxmlformats.org/officeDocument/2006/relationships/hyperlink" Target="https://drive.google.com/uc?export=view&amp;id=14A5D_EANsA0o4lPDytKuNgnk1W2nx3Ic%22" TargetMode="External"/><Relationship Id="rId82" Type="http://schemas.openxmlformats.org/officeDocument/2006/relationships/hyperlink" Target="https://drive.google.com/uc?export=view&amp;id=14A5D_EANsA0o4lPDytKuNgnk1W2nx3Ic%22" TargetMode="External"/><Relationship Id="rId385" Type="http://schemas.openxmlformats.org/officeDocument/2006/relationships/hyperlink" Target="https://drive.google.com/uc?export=view&amp;id=14A5D_EANsA0o4lPDytKuNgnk1W2nx3Ic%22" TargetMode="External"/><Relationship Id="rId592" Type="http://schemas.openxmlformats.org/officeDocument/2006/relationships/hyperlink" Target="https://drive.google.com/uc?export=view&amp;id=14A5D_EANsA0o4lPDytKuNgnk1W2nx3Ic%22" TargetMode="External"/><Relationship Id="rId606" Type="http://schemas.openxmlformats.org/officeDocument/2006/relationships/hyperlink" Target="https://drive.google.com/uc?export=view&amp;id=14A5D_EANsA0o4lPDytKuNgnk1W2nx3Ic%22" TargetMode="External"/><Relationship Id="rId813" Type="http://schemas.openxmlformats.org/officeDocument/2006/relationships/hyperlink" Target="https://drive.google.com/uc?export=view&amp;id=14A5D_EANsA0o4lPDytKuNgnk1W2nx3Ic%22" TargetMode="External"/><Relationship Id="rId245" Type="http://schemas.openxmlformats.org/officeDocument/2006/relationships/hyperlink" Target="https://drive.google.com/uc?export=view&amp;id=14A5D_EANsA0o4lPDytKuNgnk1W2nx3Ic%22" TargetMode="External"/><Relationship Id="rId452" Type="http://schemas.openxmlformats.org/officeDocument/2006/relationships/hyperlink" Target="https://drive.google.com/uc?export=view&amp;id=14A5D_EANsA0o4lPDytKuNgnk1W2nx3Ic%22" TargetMode="External"/><Relationship Id="rId105" Type="http://schemas.openxmlformats.org/officeDocument/2006/relationships/hyperlink" Target="https://drive.google.com/uc?export=view&amp;id=14A5D_EANsA0o4lPDytKuNgnk1W2nx3Ic%22" TargetMode="External"/><Relationship Id="rId312" Type="http://schemas.openxmlformats.org/officeDocument/2006/relationships/hyperlink" Target="https://drive.google.com/uc?export=view&amp;id=14A5D_EANsA0o4lPDytKuNgnk1W2nx3Ic%22" TargetMode="External"/><Relationship Id="rId757" Type="http://schemas.openxmlformats.org/officeDocument/2006/relationships/hyperlink" Target="https://drive.google.com/uc?export=view&amp;id=14A5D_EANsA0o4lPDytKuNgnk1W2nx3Ic%22" TargetMode="External"/><Relationship Id="rId93" Type="http://schemas.openxmlformats.org/officeDocument/2006/relationships/hyperlink" Target="https://drive.google.com/uc?export=view&amp;id=14A5D_EANsA0o4lPDytKuNgnk1W2nx3Ic%22" TargetMode="External"/><Relationship Id="rId189" Type="http://schemas.openxmlformats.org/officeDocument/2006/relationships/hyperlink" Target="https://drive.google.com/uc?export=view&amp;id=14A5D_EANsA0o4lPDytKuNgnk1W2nx3Ic%22" TargetMode="External"/><Relationship Id="rId396" Type="http://schemas.openxmlformats.org/officeDocument/2006/relationships/hyperlink" Target="https://drive.google.com/uc?export=view&amp;id=14A5D_EANsA0o4lPDytKuNgnk1W2nx3Ic%22" TargetMode="External"/><Relationship Id="rId617" Type="http://schemas.openxmlformats.org/officeDocument/2006/relationships/hyperlink" Target="https://drive.google.com/uc?export=view&amp;id=14A5D_EANsA0o4lPDytKuNgnk1W2nx3Ic%22" TargetMode="External"/><Relationship Id="rId824" Type="http://schemas.openxmlformats.org/officeDocument/2006/relationships/hyperlink" Target="https://drive.google.com/uc?export=view&amp;id=14A5D_EANsA0o4lPDytKuNgnk1W2nx3Ic%22" TargetMode="External"/><Relationship Id="rId256" Type="http://schemas.openxmlformats.org/officeDocument/2006/relationships/hyperlink" Target="https://drive.google.com/uc?export=view&amp;id=14A5D_EANsA0o4lPDytKuNgnk1W2nx3Ic%22" TargetMode="External"/><Relationship Id="rId463" Type="http://schemas.openxmlformats.org/officeDocument/2006/relationships/hyperlink" Target="https://drive.google.com/uc?export=view&amp;id=14A5D_EANsA0o4lPDytKuNgnk1W2nx3Ic%22" TargetMode="External"/><Relationship Id="rId670" Type="http://schemas.openxmlformats.org/officeDocument/2006/relationships/hyperlink" Target="https://drive.google.com/uc?export=view&amp;id=14A5D_EANsA0o4lPDytKuNgnk1W2nx3Ic%22" TargetMode="External"/><Relationship Id="rId116" Type="http://schemas.openxmlformats.org/officeDocument/2006/relationships/hyperlink" Target="https://drive.google.com/uc?export=view&amp;id=14A5D_EANsA0o4lPDytKuNgnk1W2nx3Ic%22" TargetMode="External"/><Relationship Id="rId323" Type="http://schemas.openxmlformats.org/officeDocument/2006/relationships/hyperlink" Target="https://drive.google.com/uc?export=view&amp;id=14A5D_EANsA0o4lPDytKuNgnk1W2nx3Ic%22" TargetMode="External"/><Relationship Id="rId530" Type="http://schemas.openxmlformats.org/officeDocument/2006/relationships/hyperlink" Target="https://drive.google.com/uc?export=view&amp;id=14A5D_EANsA0o4lPDytKuNgnk1W2nx3Ic%22" TargetMode="External"/><Relationship Id="rId768" Type="http://schemas.openxmlformats.org/officeDocument/2006/relationships/hyperlink" Target="https://drive.google.com/uc?export=view&amp;id=14A5D_EANsA0o4lPDytKuNgnk1W2nx3Ic%22" TargetMode="External"/><Relationship Id="rId20" Type="http://schemas.openxmlformats.org/officeDocument/2006/relationships/hyperlink" Target="https://drive.google.com/uc?export=view&amp;id=14A5D_EANsA0o4lPDytKuNgnk1W2nx3Ic%22" TargetMode="External"/><Relationship Id="rId628" Type="http://schemas.openxmlformats.org/officeDocument/2006/relationships/hyperlink" Target="https://drive.google.com/uc?export=view&amp;id=14A5D_EANsA0o4lPDytKuNgnk1W2nx3Ic%22" TargetMode="External"/><Relationship Id="rId835" Type="http://schemas.openxmlformats.org/officeDocument/2006/relationships/hyperlink" Target="https://drive.google.com/uc?export=view&amp;id=14A5D_EANsA0o4lPDytKuNgnk1W2nx3Ic%22" TargetMode="External"/><Relationship Id="rId267" Type="http://schemas.openxmlformats.org/officeDocument/2006/relationships/hyperlink" Target="https://drive.google.com/uc?export=view&amp;id=14A5D_EANsA0o4lPDytKuNgnk1W2nx3Ic%22" TargetMode="External"/><Relationship Id="rId474" Type="http://schemas.openxmlformats.org/officeDocument/2006/relationships/hyperlink" Target="https://drive.google.com/uc?export=view&amp;id=14A5D_EANsA0o4lPDytKuNgnk1W2nx3Ic%22" TargetMode="External"/><Relationship Id="rId127" Type="http://schemas.openxmlformats.org/officeDocument/2006/relationships/hyperlink" Target="https://drive.google.com/uc?export=view&amp;id=14A5D_EANsA0o4lPDytKuNgnk1W2nx3Ic%22" TargetMode="External"/><Relationship Id="rId681" Type="http://schemas.openxmlformats.org/officeDocument/2006/relationships/hyperlink" Target="https://drive.google.com/uc?export=view&amp;id=14A5D_EANsA0o4lPDytKuNgnk1W2nx3Ic%22" TargetMode="External"/><Relationship Id="rId779" Type="http://schemas.openxmlformats.org/officeDocument/2006/relationships/hyperlink" Target="https://drive.google.com/uc?export=view&amp;id=14A5D_EANsA0o4lPDytKuNgnk1W2nx3Ic%22" TargetMode="External"/><Relationship Id="rId31" Type="http://schemas.openxmlformats.org/officeDocument/2006/relationships/hyperlink" Target="https://drive.google.com/uc?export=view&amp;id=14A5D_EANsA0o4lPDytKuNgnk1W2nx3Ic%22" TargetMode="External"/><Relationship Id="rId334" Type="http://schemas.openxmlformats.org/officeDocument/2006/relationships/hyperlink" Target="https://drive.google.com/uc?export=view&amp;id=14A5D_EANsA0o4lPDytKuNgnk1W2nx3Ic%22" TargetMode="External"/><Relationship Id="rId541" Type="http://schemas.openxmlformats.org/officeDocument/2006/relationships/hyperlink" Target="https://drive.google.com/uc?export=view&amp;id=14A5D_EANsA0o4lPDytKuNgnk1W2nx3Ic%22" TargetMode="External"/><Relationship Id="rId639" Type="http://schemas.openxmlformats.org/officeDocument/2006/relationships/hyperlink" Target="https://drive.google.com/uc?export=view&amp;id=14A5D_EANsA0o4lPDytKuNgnk1W2nx3Ic%22" TargetMode="External"/><Relationship Id="rId180" Type="http://schemas.openxmlformats.org/officeDocument/2006/relationships/hyperlink" Target="https://drive.google.com/uc?export=view&amp;id=14A5D_EANsA0o4lPDytKuNgnk1W2nx3Ic%22" TargetMode="External"/><Relationship Id="rId278" Type="http://schemas.openxmlformats.org/officeDocument/2006/relationships/hyperlink" Target="https://drive.google.com/uc?export=view&amp;id=14A5D_EANsA0o4lPDytKuNgnk1W2nx3Ic%22" TargetMode="External"/><Relationship Id="rId401" Type="http://schemas.openxmlformats.org/officeDocument/2006/relationships/hyperlink" Target="https://drive.google.com/uc?export=view&amp;id=14A5D_EANsA0o4lPDytKuNgnk1W2nx3Ic%22" TargetMode="External"/><Relationship Id="rId846" Type="http://schemas.openxmlformats.org/officeDocument/2006/relationships/hyperlink" Target="https://drive.google.com/uc?export=view&amp;id=14A5D_EANsA0o4lPDytKuNgnk1W2nx3Ic%22" TargetMode="External"/><Relationship Id="rId485" Type="http://schemas.openxmlformats.org/officeDocument/2006/relationships/hyperlink" Target="https://drive.google.com/uc?export=view&amp;id=14A5D_EANsA0o4lPDytKuNgnk1W2nx3Ic%22" TargetMode="External"/><Relationship Id="rId692" Type="http://schemas.openxmlformats.org/officeDocument/2006/relationships/hyperlink" Target="https://drive.google.com/uc?export=view&amp;id=14A5D_EANsA0o4lPDytKuNgnk1W2nx3Ic%22" TargetMode="External"/><Relationship Id="rId706" Type="http://schemas.openxmlformats.org/officeDocument/2006/relationships/hyperlink" Target="https://drive.google.com/uc?export=view&amp;id=14A5D_EANsA0o4lPDytKuNgnk1W2nx3Ic%22" TargetMode="External"/><Relationship Id="rId42" Type="http://schemas.openxmlformats.org/officeDocument/2006/relationships/hyperlink" Target="https://drive.google.com/uc?export=view&amp;id=14A5D_EANsA0o4lPDytKuNgnk1W2nx3Ic%22" TargetMode="External"/><Relationship Id="rId138" Type="http://schemas.openxmlformats.org/officeDocument/2006/relationships/hyperlink" Target="https://drive.google.com/uc?export=view&amp;id=14A5D_EANsA0o4lPDytKuNgnk1W2nx3Ic%22" TargetMode="External"/><Relationship Id="rId345" Type="http://schemas.openxmlformats.org/officeDocument/2006/relationships/hyperlink" Target="https://drive.google.com/uc?export=view&amp;id=14A5D_EANsA0o4lPDytKuNgnk1W2nx3Ic%22" TargetMode="External"/><Relationship Id="rId552" Type="http://schemas.openxmlformats.org/officeDocument/2006/relationships/hyperlink" Target="https://drive.google.com/uc?export=view&amp;id=14A5D_EANsA0o4lPDytKuNgnk1W2nx3Ic%22" TargetMode="External"/><Relationship Id="rId191" Type="http://schemas.openxmlformats.org/officeDocument/2006/relationships/hyperlink" Target="https://drive.google.com/uc?export=view&amp;id=14A5D_EANsA0o4lPDytKuNgnk1W2nx3Ic%22" TargetMode="External"/><Relationship Id="rId205" Type="http://schemas.openxmlformats.org/officeDocument/2006/relationships/hyperlink" Target="https://drive.google.com/uc?export=view&amp;id=14A5D_EANsA0o4lPDytKuNgnk1W2nx3Ic%22" TargetMode="External"/><Relationship Id="rId412" Type="http://schemas.openxmlformats.org/officeDocument/2006/relationships/hyperlink" Target="https://drive.google.com/uc?export=view&amp;id=14A5D_EANsA0o4lPDytKuNgnk1W2nx3Ic%22" TargetMode="External"/><Relationship Id="rId857" Type="http://schemas.openxmlformats.org/officeDocument/2006/relationships/hyperlink" Target="https://drive.google.com/uc?export=view&amp;id=14A5D_EANsA0o4lPDytKuNgnk1W2nx3Ic%22" TargetMode="External"/><Relationship Id="rId289" Type="http://schemas.openxmlformats.org/officeDocument/2006/relationships/hyperlink" Target="https://drive.google.com/uc?export=view&amp;id=14A5D_EANsA0o4lPDytKuNgnk1W2nx3Ic%22" TargetMode="External"/><Relationship Id="rId496" Type="http://schemas.openxmlformats.org/officeDocument/2006/relationships/hyperlink" Target="https://drive.google.com/uc?export=view&amp;id=14A5D_EANsA0o4lPDytKuNgnk1W2nx3Ic%22" TargetMode="External"/><Relationship Id="rId717" Type="http://schemas.openxmlformats.org/officeDocument/2006/relationships/hyperlink" Target="https://drive.google.com/uc?export=view&amp;id=14A5D_EANsA0o4lPDytKuNgnk1W2nx3Ic%22" TargetMode="External"/><Relationship Id="rId53" Type="http://schemas.openxmlformats.org/officeDocument/2006/relationships/hyperlink" Target="https://drive.google.com/uc?export=view&amp;id=14A5D_EANsA0o4lPDytKuNgnk1W2nx3Ic%22" TargetMode="External"/><Relationship Id="rId149" Type="http://schemas.openxmlformats.org/officeDocument/2006/relationships/hyperlink" Target="https://drive.google.com/uc?export=view&amp;id=14A5D_EANsA0o4lPDytKuNgnk1W2nx3Ic%22" TargetMode="External"/><Relationship Id="rId356" Type="http://schemas.openxmlformats.org/officeDocument/2006/relationships/hyperlink" Target="https://drive.google.com/uc?export=view&amp;id=14A5D_EANsA0o4lPDytKuNgnk1W2nx3Ic%22" TargetMode="External"/><Relationship Id="rId563" Type="http://schemas.openxmlformats.org/officeDocument/2006/relationships/hyperlink" Target="https://drive.google.com/uc?export=view&amp;id=14A5D_EANsA0o4lPDytKuNgnk1W2nx3Ic%22" TargetMode="External"/><Relationship Id="rId770" Type="http://schemas.openxmlformats.org/officeDocument/2006/relationships/hyperlink" Target="https://drive.google.com/uc?export=view&amp;id=14A5D_EANsA0o4lPDytKuNgnk1W2nx3Ic%22" TargetMode="External"/><Relationship Id="rId216" Type="http://schemas.openxmlformats.org/officeDocument/2006/relationships/hyperlink" Target="https://drive.google.com/uc?export=view&amp;id=14A5D_EANsA0o4lPDytKuNgnk1W2nx3Ic%22" TargetMode="External"/><Relationship Id="rId423" Type="http://schemas.openxmlformats.org/officeDocument/2006/relationships/hyperlink" Target="https://drive.google.com/uc?export=view&amp;id=14A5D_EANsA0o4lPDytKuNgnk1W2nx3Ic%22" TargetMode="External"/><Relationship Id="rId868" Type="http://schemas.openxmlformats.org/officeDocument/2006/relationships/hyperlink" Target="https://drive.google.com/uc?export=view&amp;id=14A5D_EANsA0o4lPDytKuNgnk1W2nx3Ic%22" TargetMode="External"/><Relationship Id="rId630" Type="http://schemas.openxmlformats.org/officeDocument/2006/relationships/hyperlink" Target="https://drive.google.com/uc?export=view&amp;id=14A5D_EANsA0o4lPDytKuNgnk1W2nx3Ic%22" TargetMode="External"/><Relationship Id="rId728" Type="http://schemas.openxmlformats.org/officeDocument/2006/relationships/hyperlink" Target="https://drive.google.com/uc?export=view&amp;id=14A5D_EANsA0o4lPDytKuNgnk1W2nx3Ic%22" TargetMode="External"/><Relationship Id="rId64" Type="http://schemas.openxmlformats.org/officeDocument/2006/relationships/hyperlink" Target="https://drive.google.com/uc?export=view&amp;id=14A5D_EANsA0o4lPDytKuNgnk1W2nx3Ic%22" TargetMode="External"/><Relationship Id="rId367" Type="http://schemas.openxmlformats.org/officeDocument/2006/relationships/hyperlink" Target="https://drive.google.com/uc?export=view&amp;id=14A5D_EANsA0o4lPDytKuNgnk1W2nx3Ic%22" TargetMode="External"/><Relationship Id="rId574" Type="http://schemas.openxmlformats.org/officeDocument/2006/relationships/hyperlink" Target="https://drive.google.com/uc?export=view&amp;id=14A5D_EANsA0o4lPDytKuNgnk1W2nx3Ic%22" TargetMode="External"/><Relationship Id="rId227" Type="http://schemas.openxmlformats.org/officeDocument/2006/relationships/hyperlink" Target="https://drive.google.com/uc?export=view&amp;id=14A5D_EANsA0o4lPDytKuNgnk1W2nx3Ic%22" TargetMode="External"/><Relationship Id="rId781" Type="http://schemas.openxmlformats.org/officeDocument/2006/relationships/hyperlink" Target="https://drive.google.com/uc?export=view&amp;id=14A5D_EANsA0o4lPDytKuNgnk1W2nx3Ic%22" TargetMode="External"/><Relationship Id="rId879" Type="http://schemas.openxmlformats.org/officeDocument/2006/relationships/hyperlink" Target="https://drive.google.com/uc?export=view&amp;id=14A5D_EANsA0o4lPDytKuNgnk1W2nx3Ic%22" TargetMode="External"/><Relationship Id="rId434" Type="http://schemas.openxmlformats.org/officeDocument/2006/relationships/hyperlink" Target="https://drive.google.com/uc?export=view&amp;id=14A5D_EANsA0o4lPDytKuNgnk1W2nx3Ic%22" TargetMode="External"/><Relationship Id="rId641" Type="http://schemas.openxmlformats.org/officeDocument/2006/relationships/hyperlink" Target="https://drive.google.com/uc?export=view&amp;id=14A5D_EANsA0o4lPDytKuNgnk1W2nx3Ic%22" TargetMode="External"/><Relationship Id="rId739" Type="http://schemas.openxmlformats.org/officeDocument/2006/relationships/hyperlink" Target="https://drive.google.com/uc?export=view&amp;id=14A5D_EANsA0o4lPDytKuNgnk1W2nx3Ic%22" TargetMode="External"/><Relationship Id="rId280" Type="http://schemas.openxmlformats.org/officeDocument/2006/relationships/hyperlink" Target="https://drive.google.com/uc?export=view&amp;id=14A5D_EANsA0o4lPDytKuNgnk1W2nx3Ic%22" TargetMode="External"/><Relationship Id="rId501" Type="http://schemas.openxmlformats.org/officeDocument/2006/relationships/hyperlink" Target="https://drive.google.com/uc?export=view&amp;id=14A5D_EANsA0o4lPDytKuNgnk1W2nx3Ic%22" TargetMode="External"/><Relationship Id="rId75" Type="http://schemas.openxmlformats.org/officeDocument/2006/relationships/hyperlink" Target="https://drive.google.com/uc?export=view&amp;id=14A5D_EANsA0o4lPDytKuNgnk1W2nx3Ic%22" TargetMode="External"/><Relationship Id="rId140" Type="http://schemas.openxmlformats.org/officeDocument/2006/relationships/hyperlink" Target="https://drive.google.com/uc?export=view&amp;id=14A5D_EANsA0o4lPDytKuNgnk1W2nx3Ic%22" TargetMode="External"/><Relationship Id="rId378" Type="http://schemas.openxmlformats.org/officeDocument/2006/relationships/hyperlink" Target="https://drive.google.com/uc?export=view&amp;id=14A5D_EANsA0o4lPDytKuNgnk1W2nx3Ic%22" TargetMode="External"/><Relationship Id="rId585" Type="http://schemas.openxmlformats.org/officeDocument/2006/relationships/hyperlink" Target="https://drive.google.com/uc?export=view&amp;id=14A5D_EANsA0o4lPDytKuNgnk1W2nx3Ic%22" TargetMode="External"/><Relationship Id="rId792" Type="http://schemas.openxmlformats.org/officeDocument/2006/relationships/hyperlink" Target="https://drive.google.com/uc?export=view&amp;id=14A5D_EANsA0o4lPDytKuNgnk1W2nx3Ic%22" TargetMode="External"/><Relationship Id="rId806" Type="http://schemas.openxmlformats.org/officeDocument/2006/relationships/hyperlink" Target="https://drive.google.com/uc?export=view&amp;id=14A5D_EANsA0o4lPDytKuNgnk1W2nx3Ic%22" TargetMode="External"/><Relationship Id="rId6" Type="http://schemas.openxmlformats.org/officeDocument/2006/relationships/hyperlink" Target="https://drive.google.com/uc?export=view&amp;id=14A5D_EANsA0o4lPDytKuNgnk1W2nx3Ic%22" TargetMode="External"/><Relationship Id="rId238" Type="http://schemas.openxmlformats.org/officeDocument/2006/relationships/hyperlink" Target="https://drive.google.com/uc?export=view&amp;id=14A5D_EANsA0o4lPDytKuNgnk1W2nx3Ic%22" TargetMode="External"/><Relationship Id="rId445" Type="http://schemas.openxmlformats.org/officeDocument/2006/relationships/hyperlink" Target="https://drive.google.com/uc?export=view&amp;id=14A5D_EANsA0o4lPDytKuNgnk1W2nx3Ic%22" TargetMode="External"/><Relationship Id="rId652" Type="http://schemas.openxmlformats.org/officeDocument/2006/relationships/hyperlink" Target="https://drive.google.com/uc?export=view&amp;id=14A5D_EANsA0o4lPDytKuNgnk1W2nx3Ic%22" TargetMode="External"/><Relationship Id="rId291" Type="http://schemas.openxmlformats.org/officeDocument/2006/relationships/hyperlink" Target="https://drive.google.com/uc?export=view&amp;id=14A5D_EANsA0o4lPDytKuNgnk1W2nx3Ic%22" TargetMode="External"/><Relationship Id="rId305" Type="http://schemas.openxmlformats.org/officeDocument/2006/relationships/hyperlink" Target="https://drive.google.com/uc?export=view&amp;id=14A5D_EANsA0o4lPDytKuNgnk1W2nx3Ic%22" TargetMode="External"/><Relationship Id="rId512" Type="http://schemas.openxmlformats.org/officeDocument/2006/relationships/hyperlink" Target="https://drive.google.com/uc?export=view&amp;id=14A5D_EANsA0o4lPDytKuNgnk1W2nx3Ic%22" TargetMode="External"/><Relationship Id="rId86" Type="http://schemas.openxmlformats.org/officeDocument/2006/relationships/hyperlink" Target="https://drive.google.com/uc?export=view&amp;id=14A5D_EANsA0o4lPDytKuNgnk1W2nx3Ic%22" TargetMode="External"/><Relationship Id="rId151" Type="http://schemas.openxmlformats.org/officeDocument/2006/relationships/hyperlink" Target="https://drive.google.com/uc?export=view&amp;id=14A5D_EANsA0o4lPDytKuNgnk1W2nx3Ic%22" TargetMode="External"/><Relationship Id="rId389" Type="http://schemas.openxmlformats.org/officeDocument/2006/relationships/hyperlink" Target="https://drive.google.com/uc?export=view&amp;id=14A5D_EANsA0o4lPDytKuNgnk1W2nx3Ic%22" TargetMode="External"/><Relationship Id="rId596" Type="http://schemas.openxmlformats.org/officeDocument/2006/relationships/hyperlink" Target="https://drive.google.com/uc?export=view&amp;id=14A5D_EANsA0o4lPDytKuNgnk1W2nx3Ic%22" TargetMode="External"/><Relationship Id="rId817" Type="http://schemas.openxmlformats.org/officeDocument/2006/relationships/hyperlink" Target="https://drive.google.com/uc?export=view&amp;id=14A5D_EANsA0o4lPDytKuNgnk1W2nx3Ic%22" TargetMode="External"/><Relationship Id="rId249" Type="http://schemas.openxmlformats.org/officeDocument/2006/relationships/hyperlink" Target="https://drive.google.com/uc?export=view&amp;id=14A5D_EANsA0o4lPDytKuNgnk1W2nx3Ic%22" TargetMode="External"/><Relationship Id="rId456" Type="http://schemas.openxmlformats.org/officeDocument/2006/relationships/hyperlink" Target="https://drive.google.com/uc?export=view&amp;id=14A5D_EANsA0o4lPDytKuNgnk1W2nx3Ic%22" TargetMode="External"/><Relationship Id="rId663" Type="http://schemas.openxmlformats.org/officeDocument/2006/relationships/hyperlink" Target="https://drive.google.com/uc?export=view&amp;id=14A5D_EANsA0o4lPDytKuNgnk1W2nx3Ic%22" TargetMode="External"/><Relationship Id="rId870" Type="http://schemas.openxmlformats.org/officeDocument/2006/relationships/hyperlink" Target="https://drive.google.com/uc?export=view&amp;id=14A5D_EANsA0o4lPDytKuNgnk1W2nx3Ic%22" TargetMode="External"/><Relationship Id="rId13" Type="http://schemas.openxmlformats.org/officeDocument/2006/relationships/hyperlink" Target="https://drive.google.com/uc?export=view&amp;id=14A5D_EANsA0o4lPDytKuNgnk1W2nx3Ic%22" TargetMode="External"/><Relationship Id="rId109" Type="http://schemas.openxmlformats.org/officeDocument/2006/relationships/hyperlink" Target="https://drive.google.com/uc?export=view&amp;id=14A5D_EANsA0o4lPDytKuNgnk1W2nx3Ic%22" TargetMode="External"/><Relationship Id="rId316" Type="http://schemas.openxmlformats.org/officeDocument/2006/relationships/hyperlink" Target="https://drive.google.com/uc?export=view&amp;id=14A5D_EANsA0o4lPDytKuNgnk1W2nx3Ic%22" TargetMode="External"/><Relationship Id="rId523" Type="http://schemas.openxmlformats.org/officeDocument/2006/relationships/hyperlink" Target="https://drive.google.com/uc?export=view&amp;id=14A5D_EANsA0o4lPDytKuNgnk1W2nx3Ic%22" TargetMode="External"/><Relationship Id="rId97" Type="http://schemas.openxmlformats.org/officeDocument/2006/relationships/hyperlink" Target="https://drive.google.com/uc?export=view&amp;id=14A5D_EANsA0o4lPDytKuNgnk1W2nx3Ic%22" TargetMode="External"/><Relationship Id="rId730" Type="http://schemas.openxmlformats.org/officeDocument/2006/relationships/hyperlink" Target="https://drive.google.com/uc?export=view&amp;id=14A5D_EANsA0o4lPDytKuNgnk1W2nx3Ic%22" TargetMode="External"/><Relationship Id="rId828" Type="http://schemas.openxmlformats.org/officeDocument/2006/relationships/hyperlink" Target="https://drive.google.com/uc?export=view&amp;id=14A5D_EANsA0o4lPDytKuNgnk1W2nx3Ic%22" TargetMode="External"/><Relationship Id="rId162" Type="http://schemas.openxmlformats.org/officeDocument/2006/relationships/hyperlink" Target="https://drive.google.com/uc?export=view&amp;id=14A5D_EANsA0o4lPDytKuNgnk1W2nx3Ic%22" TargetMode="External"/><Relationship Id="rId467" Type="http://schemas.openxmlformats.org/officeDocument/2006/relationships/hyperlink" Target="https://drive.google.com/uc?export=view&amp;id=14A5D_EANsA0o4lPDytKuNgnk1W2nx3Ic%22" TargetMode="External"/><Relationship Id="rId674" Type="http://schemas.openxmlformats.org/officeDocument/2006/relationships/hyperlink" Target="https://drive.google.com/uc?export=view&amp;id=14A5D_EANsA0o4lPDytKuNgnk1W2nx3Ic%22" TargetMode="External"/><Relationship Id="rId881" Type="http://schemas.openxmlformats.org/officeDocument/2006/relationships/hyperlink" Target="https://drive.google.com/uc?export=view&amp;id=14A5D_EANsA0o4lPDytKuNgnk1W2nx3Ic%22" TargetMode="External"/><Relationship Id="rId24" Type="http://schemas.openxmlformats.org/officeDocument/2006/relationships/hyperlink" Target="https://drive.google.com/uc?export=view&amp;id=14A5D_EANsA0o4lPDytKuNgnk1W2nx3Ic%22" TargetMode="External"/><Relationship Id="rId327" Type="http://schemas.openxmlformats.org/officeDocument/2006/relationships/hyperlink" Target="https://drive.google.com/uc?export=view&amp;id=14A5D_EANsA0o4lPDytKuNgnk1W2nx3Ic%22" TargetMode="External"/><Relationship Id="rId534" Type="http://schemas.openxmlformats.org/officeDocument/2006/relationships/hyperlink" Target="https://drive.google.com/uc?export=view&amp;id=14A5D_EANsA0o4lPDytKuNgnk1W2nx3Ic%22" TargetMode="External"/><Relationship Id="rId741" Type="http://schemas.openxmlformats.org/officeDocument/2006/relationships/hyperlink" Target="https://drive.google.com/uc?export=view&amp;id=14A5D_EANsA0o4lPDytKuNgnk1W2nx3Ic%22" TargetMode="External"/><Relationship Id="rId839" Type="http://schemas.openxmlformats.org/officeDocument/2006/relationships/hyperlink" Target="https://drive.google.com/uc?export=view&amp;id=14A5D_EANsA0o4lPDytKuNgnk1W2nx3Ic%22" TargetMode="External"/><Relationship Id="rId173" Type="http://schemas.openxmlformats.org/officeDocument/2006/relationships/hyperlink" Target="https://drive.google.com/uc?export=view&amp;id=14A5D_EANsA0o4lPDytKuNgnk1W2nx3Ic%22" TargetMode="External"/><Relationship Id="rId380" Type="http://schemas.openxmlformats.org/officeDocument/2006/relationships/hyperlink" Target="https://drive.google.com/uc?export=view&amp;id=14A5D_EANsA0o4lPDytKuNgnk1W2nx3Ic%22" TargetMode="External"/><Relationship Id="rId601" Type="http://schemas.openxmlformats.org/officeDocument/2006/relationships/hyperlink" Target="https://drive.google.com/uc?export=view&amp;id=14A5D_EANsA0o4lPDytKuNgnk1W2nx3Ic%22" TargetMode="External"/><Relationship Id="rId240" Type="http://schemas.openxmlformats.org/officeDocument/2006/relationships/hyperlink" Target="https://drive.google.com/uc?export=view&amp;id=14A5D_EANsA0o4lPDytKuNgnk1W2nx3Ic%22" TargetMode="External"/><Relationship Id="rId478" Type="http://schemas.openxmlformats.org/officeDocument/2006/relationships/hyperlink" Target="https://drive.google.com/uc?export=view&amp;id=14A5D_EANsA0o4lPDytKuNgnk1W2nx3Ic%22" TargetMode="External"/><Relationship Id="rId685" Type="http://schemas.openxmlformats.org/officeDocument/2006/relationships/hyperlink" Target="https://drive.google.com/uc?export=view&amp;id=14A5D_EANsA0o4lPDytKuNgnk1W2nx3Ic%22" TargetMode="External"/><Relationship Id="rId35" Type="http://schemas.openxmlformats.org/officeDocument/2006/relationships/hyperlink" Target="https://drive.google.com/uc?export=view&amp;id=14A5D_EANsA0o4lPDytKuNgnk1W2nx3Ic%22" TargetMode="External"/><Relationship Id="rId100" Type="http://schemas.openxmlformats.org/officeDocument/2006/relationships/hyperlink" Target="https://drive.google.com/uc?export=view&amp;id=14A5D_EANsA0o4lPDytKuNgnk1W2nx3Ic%22" TargetMode="External"/><Relationship Id="rId338" Type="http://schemas.openxmlformats.org/officeDocument/2006/relationships/hyperlink" Target="https://drive.google.com/uc?export=view&amp;id=14A5D_EANsA0o4lPDytKuNgnk1W2nx3Ic%22" TargetMode="External"/><Relationship Id="rId545" Type="http://schemas.openxmlformats.org/officeDocument/2006/relationships/hyperlink" Target="https://drive.google.com/uc?export=view&amp;id=14A5D_EANsA0o4lPDytKuNgnk1W2nx3Ic%22" TargetMode="External"/><Relationship Id="rId752" Type="http://schemas.openxmlformats.org/officeDocument/2006/relationships/hyperlink" Target="https://drive.google.com/uc?export=view&amp;id=14A5D_EANsA0o4lPDytKuNgnk1W2nx3Ic%22" TargetMode="External"/><Relationship Id="rId184" Type="http://schemas.openxmlformats.org/officeDocument/2006/relationships/hyperlink" Target="https://drive.google.com/uc?export=view&amp;id=14A5D_EANsA0o4lPDytKuNgnk1W2nx3Ic%22" TargetMode="External"/><Relationship Id="rId391" Type="http://schemas.openxmlformats.org/officeDocument/2006/relationships/hyperlink" Target="https://drive.google.com/uc?export=view&amp;id=14A5D_EANsA0o4lPDytKuNgnk1W2nx3Ic%22" TargetMode="External"/><Relationship Id="rId405" Type="http://schemas.openxmlformats.org/officeDocument/2006/relationships/hyperlink" Target="https://drive.google.com/uc?export=view&amp;id=14A5D_EANsA0o4lPDytKuNgnk1W2nx3Ic%22" TargetMode="External"/><Relationship Id="rId612" Type="http://schemas.openxmlformats.org/officeDocument/2006/relationships/hyperlink" Target="https://drive.google.com/uc?export=view&amp;id=14A5D_EANsA0o4lPDytKuNgnk1W2nx3Ic%22" TargetMode="External"/><Relationship Id="rId251" Type="http://schemas.openxmlformats.org/officeDocument/2006/relationships/hyperlink" Target="https://drive.google.com/uc?export=view&amp;id=14A5D_EANsA0o4lPDytKuNgnk1W2nx3Ic%22" TargetMode="External"/><Relationship Id="rId489" Type="http://schemas.openxmlformats.org/officeDocument/2006/relationships/hyperlink" Target="https://drive.google.com/uc?export=view&amp;id=14A5D_EANsA0o4lPDytKuNgnk1W2nx3Ic%22" TargetMode="External"/><Relationship Id="rId696" Type="http://schemas.openxmlformats.org/officeDocument/2006/relationships/hyperlink" Target="https://drive.google.com/uc?export=view&amp;id=14A5D_EANsA0o4lPDytKuNgnk1W2nx3Ic%22" TargetMode="External"/><Relationship Id="rId46" Type="http://schemas.openxmlformats.org/officeDocument/2006/relationships/hyperlink" Target="https://drive.google.com/uc?export=view&amp;id=14A5D_EANsA0o4lPDytKuNgnk1W2nx3Ic%22" TargetMode="External"/><Relationship Id="rId349" Type="http://schemas.openxmlformats.org/officeDocument/2006/relationships/hyperlink" Target="https://drive.google.com/uc?export=view&amp;id=14A5D_EANsA0o4lPDytKuNgnk1W2nx3Ic%22" TargetMode="External"/><Relationship Id="rId556" Type="http://schemas.openxmlformats.org/officeDocument/2006/relationships/hyperlink" Target="https://drive.google.com/uc?export=view&amp;id=14A5D_EANsA0o4lPDytKuNgnk1W2nx3Ic%22" TargetMode="External"/><Relationship Id="rId763" Type="http://schemas.openxmlformats.org/officeDocument/2006/relationships/hyperlink" Target="https://drive.google.com/uc?export=view&amp;id=14A5D_EANsA0o4lPDytKuNgnk1W2nx3Ic%22" TargetMode="External"/><Relationship Id="rId111" Type="http://schemas.openxmlformats.org/officeDocument/2006/relationships/hyperlink" Target="https://drive.google.com/uc?export=view&amp;id=14A5D_EANsA0o4lPDytKuNgnk1W2nx3Ic%22" TargetMode="External"/><Relationship Id="rId195" Type="http://schemas.openxmlformats.org/officeDocument/2006/relationships/hyperlink" Target="https://drive.google.com/uc?export=view&amp;id=14A5D_EANsA0o4lPDytKuNgnk1W2nx3Ic%22" TargetMode="External"/><Relationship Id="rId209" Type="http://schemas.openxmlformats.org/officeDocument/2006/relationships/hyperlink" Target="https://drive.google.com/uc?export=view&amp;id=14A5D_EANsA0o4lPDytKuNgnk1W2nx3Ic%22" TargetMode="External"/><Relationship Id="rId416" Type="http://schemas.openxmlformats.org/officeDocument/2006/relationships/hyperlink" Target="https://drive.google.com/uc?export=view&amp;id=14A5D_EANsA0o4lPDytKuNgnk1W2nx3Ic%22" TargetMode="External"/><Relationship Id="rId623" Type="http://schemas.openxmlformats.org/officeDocument/2006/relationships/hyperlink" Target="https://drive.google.com/uc?export=view&amp;id=14A5D_EANsA0o4lPDytKuNgnk1W2nx3Ic%22" TargetMode="External"/><Relationship Id="rId830" Type="http://schemas.openxmlformats.org/officeDocument/2006/relationships/hyperlink" Target="https://drive.google.com/uc?export=view&amp;id=14A5D_EANsA0o4lPDytKuNgnk1W2nx3Ic%22" TargetMode="External"/><Relationship Id="rId15" Type="http://schemas.openxmlformats.org/officeDocument/2006/relationships/hyperlink" Target="https://drive.google.com/uc?export=view&amp;id=14A5D_EANsA0o4lPDytKuNgnk1W2nx3Ic%22" TargetMode="External"/><Relationship Id="rId57" Type="http://schemas.openxmlformats.org/officeDocument/2006/relationships/hyperlink" Target="https://drive.google.com/uc?export=view&amp;id=14A5D_EANsA0o4lPDytKuNgnk1W2nx3Ic%22" TargetMode="External"/><Relationship Id="rId262" Type="http://schemas.openxmlformats.org/officeDocument/2006/relationships/hyperlink" Target="https://drive.google.com/uc?export=view&amp;id=14A5D_EANsA0o4lPDytKuNgnk1W2nx3Ic%22" TargetMode="External"/><Relationship Id="rId318" Type="http://schemas.openxmlformats.org/officeDocument/2006/relationships/hyperlink" Target="https://drive.google.com/uc?export=view&amp;id=14A5D_EANsA0o4lPDytKuNgnk1W2nx3Ic%22" TargetMode="External"/><Relationship Id="rId525" Type="http://schemas.openxmlformats.org/officeDocument/2006/relationships/hyperlink" Target="https://drive.google.com/uc?export=view&amp;id=14A5D_EANsA0o4lPDytKuNgnk1W2nx3Ic%22" TargetMode="External"/><Relationship Id="rId567" Type="http://schemas.openxmlformats.org/officeDocument/2006/relationships/hyperlink" Target="https://drive.google.com/uc?export=view&amp;id=14A5D_EANsA0o4lPDytKuNgnk1W2nx3Ic%22" TargetMode="External"/><Relationship Id="rId732" Type="http://schemas.openxmlformats.org/officeDocument/2006/relationships/hyperlink" Target="https://drive.google.com/uc?export=view&amp;id=14A5D_EANsA0o4lPDytKuNgnk1W2nx3Ic%22" TargetMode="External"/><Relationship Id="rId99" Type="http://schemas.openxmlformats.org/officeDocument/2006/relationships/hyperlink" Target="https://drive.google.com/uc?export=view&amp;id=14A5D_EANsA0o4lPDytKuNgnk1W2nx3Ic%22" TargetMode="External"/><Relationship Id="rId122" Type="http://schemas.openxmlformats.org/officeDocument/2006/relationships/hyperlink" Target="https://drive.google.com/uc?export=view&amp;id=14A5D_EANsA0o4lPDytKuNgnk1W2nx3Ic%22" TargetMode="External"/><Relationship Id="rId164" Type="http://schemas.openxmlformats.org/officeDocument/2006/relationships/hyperlink" Target="https://drive.google.com/uc?export=view&amp;id=14A5D_EANsA0o4lPDytKuNgnk1W2nx3Ic%22" TargetMode="External"/><Relationship Id="rId371" Type="http://schemas.openxmlformats.org/officeDocument/2006/relationships/hyperlink" Target="https://drive.google.com/uc?export=view&amp;id=14A5D_EANsA0o4lPDytKuNgnk1W2nx3Ic%22" TargetMode="External"/><Relationship Id="rId774" Type="http://schemas.openxmlformats.org/officeDocument/2006/relationships/hyperlink" Target="https://drive.google.com/uc?export=view&amp;id=14A5D_EANsA0o4lPDytKuNgnk1W2nx3Ic%22" TargetMode="External"/><Relationship Id="rId427" Type="http://schemas.openxmlformats.org/officeDocument/2006/relationships/hyperlink" Target="https://drive.google.com/uc?export=view&amp;id=14A5D_EANsA0o4lPDytKuNgnk1W2nx3Ic%22" TargetMode="External"/><Relationship Id="rId469" Type="http://schemas.openxmlformats.org/officeDocument/2006/relationships/hyperlink" Target="https://drive.google.com/uc?export=view&amp;id=14A5D_EANsA0o4lPDytKuNgnk1W2nx3Ic%22" TargetMode="External"/><Relationship Id="rId634" Type="http://schemas.openxmlformats.org/officeDocument/2006/relationships/hyperlink" Target="https://drive.google.com/uc?export=view&amp;id=14A5D_EANsA0o4lPDytKuNgnk1W2nx3Ic%22" TargetMode="External"/><Relationship Id="rId676" Type="http://schemas.openxmlformats.org/officeDocument/2006/relationships/hyperlink" Target="https://drive.google.com/uc?export=view&amp;id=14A5D_EANsA0o4lPDytKuNgnk1W2nx3Ic%22" TargetMode="External"/><Relationship Id="rId841" Type="http://schemas.openxmlformats.org/officeDocument/2006/relationships/hyperlink" Target="https://drive.google.com/uc?export=view&amp;id=14A5D_EANsA0o4lPDytKuNgnk1W2nx3Ic%22" TargetMode="External"/><Relationship Id="rId26" Type="http://schemas.openxmlformats.org/officeDocument/2006/relationships/hyperlink" Target="https://drive.google.com/uc?export=view&amp;id=14A5D_EANsA0o4lPDytKuNgnk1W2nx3Ic%22" TargetMode="External"/><Relationship Id="rId231" Type="http://schemas.openxmlformats.org/officeDocument/2006/relationships/hyperlink" Target="https://drive.google.com/uc?export=view&amp;id=14A5D_EANsA0o4lPDytKuNgnk1W2nx3Ic%22" TargetMode="External"/><Relationship Id="rId273" Type="http://schemas.openxmlformats.org/officeDocument/2006/relationships/hyperlink" Target="https://drive.google.com/uc?export=view&amp;id=14A5D_EANsA0o4lPDytKuNgnk1W2nx3Ic%22" TargetMode="External"/><Relationship Id="rId329" Type="http://schemas.openxmlformats.org/officeDocument/2006/relationships/hyperlink" Target="https://drive.google.com/uc?export=view&amp;id=14A5D_EANsA0o4lPDytKuNgnk1W2nx3Ic%22" TargetMode="External"/><Relationship Id="rId480" Type="http://schemas.openxmlformats.org/officeDocument/2006/relationships/hyperlink" Target="https://drive.google.com/uc?export=view&amp;id=14A5D_EANsA0o4lPDytKuNgnk1W2nx3Ic%22" TargetMode="External"/><Relationship Id="rId536" Type="http://schemas.openxmlformats.org/officeDocument/2006/relationships/hyperlink" Target="https://drive.google.com/uc?export=view&amp;id=14A5D_EANsA0o4lPDytKuNgnk1W2nx3Ic%22" TargetMode="External"/><Relationship Id="rId701" Type="http://schemas.openxmlformats.org/officeDocument/2006/relationships/hyperlink" Target="https://drive.google.com/uc?export=view&amp;id=14A5D_EANsA0o4lPDytKuNgnk1W2nx3Ic%22" TargetMode="External"/><Relationship Id="rId68" Type="http://schemas.openxmlformats.org/officeDocument/2006/relationships/hyperlink" Target="https://drive.google.com/uc?export=view&amp;id=14A5D_EANsA0o4lPDytKuNgnk1W2nx3Ic%22" TargetMode="External"/><Relationship Id="rId133" Type="http://schemas.openxmlformats.org/officeDocument/2006/relationships/hyperlink" Target="https://drive.google.com/uc?export=view&amp;id=14A5D_EANsA0o4lPDytKuNgnk1W2nx3Ic%22" TargetMode="External"/><Relationship Id="rId175" Type="http://schemas.openxmlformats.org/officeDocument/2006/relationships/hyperlink" Target="https://drive.google.com/uc?export=view&amp;id=14A5D_EANsA0o4lPDytKuNgnk1W2nx3Ic%22" TargetMode="External"/><Relationship Id="rId340" Type="http://schemas.openxmlformats.org/officeDocument/2006/relationships/hyperlink" Target="https://drive.google.com/uc?export=view&amp;id=14A5D_EANsA0o4lPDytKuNgnk1W2nx3Ic%22" TargetMode="External"/><Relationship Id="rId578" Type="http://schemas.openxmlformats.org/officeDocument/2006/relationships/hyperlink" Target="https://drive.google.com/uc?export=view&amp;id=14A5D_EANsA0o4lPDytKuNgnk1W2nx3Ic%22" TargetMode="External"/><Relationship Id="rId743" Type="http://schemas.openxmlformats.org/officeDocument/2006/relationships/hyperlink" Target="https://drive.google.com/uc?export=view&amp;id=14A5D_EANsA0o4lPDytKuNgnk1W2nx3Ic%22" TargetMode="External"/><Relationship Id="rId785" Type="http://schemas.openxmlformats.org/officeDocument/2006/relationships/hyperlink" Target="https://drive.google.com/uc?export=view&amp;id=14A5D_EANsA0o4lPDytKuNgnk1W2nx3Ic%22" TargetMode="External"/><Relationship Id="rId200" Type="http://schemas.openxmlformats.org/officeDocument/2006/relationships/hyperlink" Target="https://drive.google.com/uc?export=view&amp;id=14A5D_EANsA0o4lPDytKuNgnk1W2nx3Ic%22" TargetMode="External"/><Relationship Id="rId382" Type="http://schemas.openxmlformats.org/officeDocument/2006/relationships/hyperlink" Target="https://drive.google.com/uc?export=view&amp;id=14A5D_EANsA0o4lPDytKuNgnk1W2nx3Ic%22" TargetMode="External"/><Relationship Id="rId438" Type="http://schemas.openxmlformats.org/officeDocument/2006/relationships/hyperlink" Target="https://drive.google.com/uc?export=view&amp;id=14A5D_EANsA0o4lPDytKuNgnk1W2nx3Ic%22" TargetMode="External"/><Relationship Id="rId603" Type="http://schemas.openxmlformats.org/officeDocument/2006/relationships/hyperlink" Target="https://drive.google.com/uc?export=view&amp;id=14A5D_EANsA0o4lPDytKuNgnk1W2nx3Ic%22" TargetMode="External"/><Relationship Id="rId645" Type="http://schemas.openxmlformats.org/officeDocument/2006/relationships/hyperlink" Target="https://drive.google.com/uc?export=view&amp;id=14A5D_EANsA0o4lPDytKuNgnk1W2nx3Ic%22" TargetMode="External"/><Relationship Id="rId687" Type="http://schemas.openxmlformats.org/officeDocument/2006/relationships/hyperlink" Target="https://drive.google.com/uc?export=view&amp;id=14A5D_EANsA0o4lPDytKuNgnk1W2nx3Ic%22" TargetMode="External"/><Relationship Id="rId810" Type="http://schemas.openxmlformats.org/officeDocument/2006/relationships/hyperlink" Target="https://drive.google.com/uc?export=view&amp;id=14A5D_EANsA0o4lPDytKuNgnk1W2nx3Ic%22" TargetMode="External"/><Relationship Id="rId852" Type="http://schemas.openxmlformats.org/officeDocument/2006/relationships/hyperlink" Target="https://drive.google.com/uc?export=view&amp;id=14A5D_EANsA0o4lPDytKuNgnk1W2nx3Ic%22" TargetMode="External"/><Relationship Id="rId242" Type="http://schemas.openxmlformats.org/officeDocument/2006/relationships/hyperlink" Target="https://drive.google.com/uc?export=view&amp;id=14A5D_EANsA0o4lPDytKuNgnk1W2nx3Ic%22" TargetMode="External"/><Relationship Id="rId284" Type="http://schemas.openxmlformats.org/officeDocument/2006/relationships/hyperlink" Target="https://drive.google.com/uc?export=view&amp;id=14A5D_EANsA0o4lPDytKuNgnk1W2nx3Ic%22" TargetMode="External"/><Relationship Id="rId491" Type="http://schemas.openxmlformats.org/officeDocument/2006/relationships/hyperlink" Target="https://drive.google.com/uc?export=view&amp;id=14A5D_EANsA0o4lPDytKuNgnk1W2nx3Ic%22" TargetMode="External"/><Relationship Id="rId505" Type="http://schemas.openxmlformats.org/officeDocument/2006/relationships/hyperlink" Target="https://drive.google.com/uc?export=view&amp;id=14A5D_EANsA0o4lPDytKuNgnk1W2nx3Ic%22" TargetMode="External"/><Relationship Id="rId712" Type="http://schemas.openxmlformats.org/officeDocument/2006/relationships/hyperlink" Target="https://drive.google.com/uc?export=view&amp;id=14A5D_EANsA0o4lPDytKuNgnk1W2nx3Ic%22" TargetMode="External"/><Relationship Id="rId37" Type="http://schemas.openxmlformats.org/officeDocument/2006/relationships/hyperlink" Target="https://drive.google.com/uc?export=view&amp;id=14A5D_EANsA0o4lPDytKuNgnk1W2nx3Ic%22" TargetMode="External"/><Relationship Id="rId79" Type="http://schemas.openxmlformats.org/officeDocument/2006/relationships/hyperlink" Target="https://drive.google.com/uc?export=view&amp;id=14A5D_EANsA0o4lPDytKuNgnk1W2nx3Ic%22" TargetMode="External"/><Relationship Id="rId102" Type="http://schemas.openxmlformats.org/officeDocument/2006/relationships/hyperlink" Target="https://drive.google.com/uc?export=view&amp;id=14A5D_EANsA0o4lPDytKuNgnk1W2nx3Ic%22" TargetMode="External"/><Relationship Id="rId144" Type="http://schemas.openxmlformats.org/officeDocument/2006/relationships/hyperlink" Target="https://drive.google.com/uc?export=view&amp;id=14A5D_EANsA0o4lPDytKuNgnk1W2nx3Ic%22" TargetMode="External"/><Relationship Id="rId547" Type="http://schemas.openxmlformats.org/officeDocument/2006/relationships/hyperlink" Target="https://drive.google.com/uc?export=view&amp;id=14A5D_EANsA0o4lPDytKuNgnk1W2nx3Ic%22" TargetMode="External"/><Relationship Id="rId589" Type="http://schemas.openxmlformats.org/officeDocument/2006/relationships/hyperlink" Target="https://drive.google.com/uc?export=view&amp;id=14A5D_EANsA0o4lPDytKuNgnk1W2nx3Ic%22" TargetMode="External"/><Relationship Id="rId754" Type="http://schemas.openxmlformats.org/officeDocument/2006/relationships/hyperlink" Target="https://drive.google.com/uc?export=view&amp;id=14A5D_EANsA0o4lPDytKuNgnk1W2nx3Ic%22" TargetMode="External"/><Relationship Id="rId796" Type="http://schemas.openxmlformats.org/officeDocument/2006/relationships/hyperlink" Target="https://drive.google.com/uc?export=view&amp;id=14A5D_EANsA0o4lPDytKuNgnk1W2nx3Ic%22" TargetMode="External"/><Relationship Id="rId90" Type="http://schemas.openxmlformats.org/officeDocument/2006/relationships/hyperlink" Target="https://drive.google.com/uc?export=view&amp;id=14A5D_EANsA0o4lPDytKuNgnk1W2nx3Ic%22" TargetMode="External"/><Relationship Id="rId186" Type="http://schemas.openxmlformats.org/officeDocument/2006/relationships/hyperlink" Target="https://drive.google.com/uc?export=view&amp;id=14A5D_EANsA0o4lPDytKuNgnk1W2nx3Ic%22" TargetMode="External"/><Relationship Id="rId351" Type="http://schemas.openxmlformats.org/officeDocument/2006/relationships/hyperlink" Target="https://drive.google.com/uc?export=view&amp;id=14A5D_EANsA0o4lPDytKuNgnk1W2nx3Ic%22" TargetMode="External"/><Relationship Id="rId393" Type="http://schemas.openxmlformats.org/officeDocument/2006/relationships/hyperlink" Target="https://drive.google.com/uc?export=view&amp;id=14A5D_EANsA0o4lPDytKuNgnk1W2nx3Ic%22" TargetMode="External"/><Relationship Id="rId407" Type="http://schemas.openxmlformats.org/officeDocument/2006/relationships/hyperlink" Target="https://drive.google.com/uc?export=view&amp;id=14A5D_EANsA0o4lPDytKuNgnk1W2nx3Ic%22" TargetMode="External"/><Relationship Id="rId449" Type="http://schemas.openxmlformats.org/officeDocument/2006/relationships/hyperlink" Target="https://drive.google.com/uc?export=view&amp;id=14A5D_EANsA0o4lPDytKuNgnk1W2nx3Ic%22" TargetMode="External"/><Relationship Id="rId614" Type="http://schemas.openxmlformats.org/officeDocument/2006/relationships/hyperlink" Target="https://drive.google.com/uc?export=view&amp;id=14A5D_EANsA0o4lPDytKuNgnk1W2nx3Ic%22" TargetMode="External"/><Relationship Id="rId656" Type="http://schemas.openxmlformats.org/officeDocument/2006/relationships/hyperlink" Target="https://drive.google.com/uc?export=view&amp;id=14A5D_EANsA0o4lPDytKuNgnk1W2nx3Ic%22" TargetMode="External"/><Relationship Id="rId821" Type="http://schemas.openxmlformats.org/officeDocument/2006/relationships/hyperlink" Target="https://drive.google.com/uc?export=view&amp;id=14A5D_EANsA0o4lPDytKuNgnk1W2nx3Ic%22" TargetMode="External"/><Relationship Id="rId863" Type="http://schemas.openxmlformats.org/officeDocument/2006/relationships/hyperlink" Target="https://drive.google.com/uc?export=view&amp;id=14A5D_EANsA0o4lPDytKuNgnk1W2nx3Ic%22" TargetMode="External"/><Relationship Id="rId211" Type="http://schemas.openxmlformats.org/officeDocument/2006/relationships/hyperlink" Target="https://drive.google.com/uc?export=view&amp;id=14A5D_EANsA0o4lPDytKuNgnk1W2nx3Ic%22" TargetMode="External"/><Relationship Id="rId253" Type="http://schemas.openxmlformats.org/officeDocument/2006/relationships/hyperlink" Target="https://drive.google.com/uc?export=view&amp;id=14A5D_EANsA0o4lPDytKuNgnk1W2nx3Ic%22" TargetMode="External"/><Relationship Id="rId295" Type="http://schemas.openxmlformats.org/officeDocument/2006/relationships/hyperlink" Target="https://drive.google.com/uc?export=view&amp;id=14A5D_EANsA0o4lPDytKuNgnk1W2nx3Ic%22" TargetMode="External"/><Relationship Id="rId309" Type="http://schemas.openxmlformats.org/officeDocument/2006/relationships/hyperlink" Target="https://drive.google.com/uc?export=view&amp;id=14A5D_EANsA0o4lPDytKuNgnk1W2nx3Ic%22" TargetMode="External"/><Relationship Id="rId460" Type="http://schemas.openxmlformats.org/officeDocument/2006/relationships/hyperlink" Target="https://drive.google.com/uc?export=view&amp;id=14A5D_EANsA0o4lPDytKuNgnk1W2nx3Ic%22" TargetMode="External"/><Relationship Id="rId516" Type="http://schemas.openxmlformats.org/officeDocument/2006/relationships/hyperlink" Target="https://drive.google.com/uc?export=view&amp;id=14A5D_EANsA0o4lPDytKuNgnk1W2nx3Ic%22" TargetMode="External"/><Relationship Id="rId698" Type="http://schemas.openxmlformats.org/officeDocument/2006/relationships/hyperlink" Target="https://drive.google.com/uc?export=view&amp;id=14A5D_EANsA0o4lPDytKuNgnk1W2nx3Ic%22" TargetMode="External"/><Relationship Id="rId48" Type="http://schemas.openxmlformats.org/officeDocument/2006/relationships/hyperlink" Target="https://drive.google.com/uc?export=view&amp;id=14A5D_EANsA0o4lPDytKuNgnk1W2nx3Ic%22" TargetMode="External"/><Relationship Id="rId113" Type="http://schemas.openxmlformats.org/officeDocument/2006/relationships/hyperlink" Target="https://drive.google.com/uc?export=view&amp;id=14A5D_EANsA0o4lPDytKuNgnk1W2nx3Ic%22" TargetMode="External"/><Relationship Id="rId320" Type="http://schemas.openxmlformats.org/officeDocument/2006/relationships/hyperlink" Target="https://drive.google.com/uc?export=view&amp;id=14A5D_EANsA0o4lPDytKuNgnk1W2nx3Ic%22" TargetMode="External"/><Relationship Id="rId558" Type="http://schemas.openxmlformats.org/officeDocument/2006/relationships/hyperlink" Target="https://drive.google.com/uc?export=view&amp;id=14A5D_EANsA0o4lPDytKuNgnk1W2nx3Ic%22" TargetMode="External"/><Relationship Id="rId723" Type="http://schemas.openxmlformats.org/officeDocument/2006/relationships/hyperlink" Target="https://drive.google.com/uc?export=view&amp;id=14A5D_EANsA0o4lPDytKuNgnk1W2nx3Ic%22" TargetMode="External"/><Relationship Id="rId765" Type="http://schemas.openxmlformats.org/officeDocument/2006/relationships/hyperlink" Target="https://drive.google.com/uc?export=view&amp;id=14A5D_EANsA0o4lPDytKuNgnk1W2nx3Ic%22" TargetMode="External"/><Relationship Id="rId155" Type="http://schemas.openxmlformats.org/officeDocument/2006/relationships/hyperlink" Target="https://drive.google.com/uc?export=view&amp;id=14A5D_EANsA0o4lPDytKuNgnk1W2nx3Ic%22" TargetMode="External"/><Relationship Id="rId197" Type="http://schemas.openxmlformats.org/officeDocument/2006/relationships/hyperlink" Target="https://drive.google.com/uc?export=view&amp;id=14A5D_EANsA0o4lPDytKuNgnk1W2nx3Ic%22" TargetMode="External"/><Relationship Id="rId362" Type="http://schemas.openxmlformats.org/officeDocument/2006/relationships/hyperlink" Target="https://drive.google.com/uc?export=view&amp;id=14A5D_EANsA0o4lPDytKuNgnk1W2nx3Ic%22" TargetMode="External"/><Relationship Id="rId418" Type="http://schemas.openxmlformats.org/officeDocument/2006/relationships/hyperlink" Target="https://drive.google.com/uc?export=view&amp;id=14A5D_EANsA0o4lPDytKuNgnk1W2nx3Ic%22" TargetMode="External"/><Relationship Id="rId625" Type="http://schemas.openxmlformats.org/officeDocument/2006/relationships/hyperlink" Target="https://drive.google.com/uc?export=view&amp;id=14A5D_EANsA0o4lPDytKuNgnk1W2nx3Ic%22" TargetMode="External"/><Relationship Id="rId832" Type="http://schemas.openxmlformats.org/officeDocument/2006/relationships/hyperlink" Target="https://drive.google.com/uc?export=view&amp;id=14A5D_EANsA0o4lPDytKuNgnk1W2nx3Ic%22" TargetMode="External"/><Relationship Id="rId222" Type="http://schemas.openxmlformats.org/officeDocument/2006/relationships/hyperlink" Target="https://drive.google.com/uc?export=view&amp;id=14A5D_EANsA0o4lPDytKuNgnk1W2nx3Ic%22" TargetMode="External"/><Relationship Id="rId264" Type="http://schemas.openxmlformats.org/officeDocument/2006/relationships/hyperlink" Target="https://drive.google.com/uc?export=view&amp;id=14A5D_EANsA0o4lPDytKuNgnk1W2nx3Ic%22" TargetMode="External"/><Relationship Id="rId471" Type="http://schemas.openxmlformats.org/officeDocument/2006/relationships/hyperlink" Target="https://drive.google.com/uc?export=view&amp;id=14A5D_EANsA0o4lPDytKuNgnk1W2nx3Ic%22" TargetMode="External"/><Relationship Id="rId667" Type="http://schemas.openxmlformats.org/officeDocument/2006/relationships/hyperlink" Target="https://drive.google.com/uc?export=view&amp;id=14A5D_EANsA0o4lPDytKuNgnk1W2nx3Ic%22" TargetMode="External"/><Relationship Id="rId874" Type="http://schemas.openxmlformats.org/officeDocument/2006/relationships/hyperlink" Target="https://drive.google.com/uc?export=view&amp;id=14A5D_EANsA0o4lPDytKuNgnk1W2nx3Ic%22" TargetMode="External"/><Relationship Id="rId17" Type="http://schemas.openxmlformats.org/officeDocument/2006/relationships/hyperlink" Target="https://drive.google.com/uc?export=view&amp;id=14A5D_EANsA0o4lPDytKuNgnk1W2nx3Ic%22" TargetMode="External"/><Relationship Id="rId59" Type="http://schemas.openxmlformats.org/officeDocument/2006/relationships/hyperlink" Target="https://drive.google.com/uc?export=view&amp;id=14A5D_EANsA0o4lPDytKuNgnk1W2nx3Ic%22" TargetMode="External"/><Relationship Id="rId124" Type="http://schemas.openxmlformats.org/officeDocument/2006/relationships/hyperlink" Target="https://drive.google.com/uc?export=view&amp;id=14A5D_EANsA0o4lPDytKuNgnk1W2nx3Ic%22" TargetMode="External"/><Relationship Id="rId527" Type="http://schemas.openxmlformats.org/officeDocument/2006/relationships/hyperlink" Target="https://drive.google.com/uc?export=view&amp;id=14A5D_EANsA0o4lPDytKuNgnk1W2nx3Ic%22" TargetMode="External"/><Relationship Id="rId569" Type="http://schemas.openxmlformats.org/officeDocument/2006/relationships/hyperlink" Target="https://drive.google.com/uc?export=view&amp;id=14A5D_EANsA0o4lPDytKuNgnk1W2nx3Ic%22" TargetMode="External"/><Relationship Id="rId734" Type="http://schemas.openxmlformats.org/officeDocument/2006/relationships/hyperlink" Target="https://drive.google.com/uc?export=view&amp;id=14A5D_EANsA0o4lPDytKuNgnk1W2nx3Ic%22" TargetMode="External"/><Relationship Id="rId776" Type="http://schemas.openxmlformats.org/officeDocument/2006/relationships/hyperlink" Target="https://drive.google.com/uc?export=view&amp;id=14A5D_EANsA0o4lPDytKuNgnk1W2nx3Ic%22" TargetMode="External"/><Relationship Id="rId70" Type="http://schemas.openxmlformats.org/officeDocument/2006/relationships/hyperlink" Target="https://drive.google.com/uc?export=view&amp;id=14A5D_EANsA0o4lPDytKuNgnk1W2nx3Ic%22" TargetMode="External"/><Relationship Id="rId166" Type="http://schemas.openxmlformats.org/officeDocument/2006/relationships/hyperlink" Target="https://drive.google.com/uc?export=view&amp;id=14A5D_EANsA0o4lPDytKuNgnk1W2nx3Ic%22" TargetMode="External"/><Relationship Id="rId331" Type="http://schemas.openxmlformats.org/officeDocument/2006/relationships/hyperlink" Target="https://drive.google.com/uc?export=view&amp;id=14A5D_EANsA0o4lPDytKuNgnk1W2nx3Ic%22" TargetMode="External"/><Relationship Id="rId373" Type="http://schemas.openxmlformats.org/officeDocument/2006/relationships/hyperlink" Target="https://drive.google.com/uc?export=view&amp;id=14A5D_EANsA0o4lPDytKuNgnk1W2nx3Ic%22" TargetMode="External"/><Relationship Id="rId429" Type="http://schemas.openxmlformats.org/officeDocument/2006/relationships/hyperlink" Target="https://drive.google.com/uc?export=view&amp;id=14A5D_EANsA0o4lPDytKuNgnk1W2nx3Ic%22" TargetMode="External"/><Relationship Id="rId580" Type="http://schemas.openxmlformats.org/officeDocument/2006/relationships/hyperlink" Target="https://drive.google.com/uc?export=view&amp;id=14A5D_EANsA0o4lPDytKuNgnk1W2nx3Ic%22" TargetMode="External"/><Relationship Id="rId636" Type="http://schemas.openxmlformats.org/officeDocument/2006/relationships/hyperlink" Target="https://drive.google.com/uc?export=view&amp;id=14A5D_EANsA0o4lPDytKuNgnk1W2nx3Ic%22" TargetMode="External"/><Relationship Id="rId801" Type="http://schemas.openxmlformats.org/officeDocument/2006/relationships/hyperlink" Target="https://drive.google.com/uc?export=view&amp;id=14A5D_EANsA0o4lPDytKuNgnk1W2nx3Ic%22" TargetMode="External"/><Relationship Id="rId1" Type="http://schemas.openxmlformats.org/officeDocument/2006/relationships/hyperlink" Target="https://lh3.googleusercontent.com/a/AGNmyxZBenGPWAq5zaZjSVdR7tWT7G1oPHmLclaI-8cfPg=s83-c-mo" TargetMode="External"/><Relationship Id="rId233" Type="http://schemas.openxmlformats.org/officeDocument/2006/relationships/hyperlink" Target="https://drive.google.com/uc?export=view&amp;id=14A5D_EANsA0o4lPDytKuNgnk1W2nx3Ic%22" TargetMode="External"/><Relationship Id="rId440" Type="http://schemas.openxmlformats.org/officeDocument/2006/relationships/hyperlink" Target="https://drive.google.com/uc?export=view&amp;id=14A5D_EANsA0o4lPDytKuNgnk1W2nx3Ic%22" TargetMode="External"/><Relationship Id="rId678" Type="http://schemas.openxmlformats.org/officeDocument/2006/relationships/hyperlink" Target="https://drive.google.com/uc?export=view&amp;id=14A5D_EANsA0o4lPDytKuNgnk1W2nx3Ic%22" TargetMode="External"/><Relationship Id="rId843" Type="http://schemas.openxmlformats.org/officeDocument/2006/relationships/hyperlink" Target="https://drive.google.com/uc?export=view&amp;id=14A5D_EANsA0o4lPDytKuNgnk1W2nx3Ic%22" TargetMode="External"/><Relationship Id="rId28" Type="http://schemas.openxmlformats.org/officeDocument/2006/relationships/hyperlink" Target="https://drive.google.com/uc?export=view&amp;id=14A5D_EANsA0o4lPDytKuNgnk1W2nx3Ic%22" TargetMode="External"/><Relationship Id="rId275" Type="http://schemas.openxmlformats.org/officeDocument/2006/relationships/hyperlink" Target="https://drive.google.com/uc?export=view&amp;id=14A5D_EANsA0o4lPDytKuNgnk1W2nx3Ic%22" TargetMode="External"/><Relationship Id="rId300" Type="http://schemas.openxmlformats.org/officeDocument/2006/relationships/hyperlink" Target="https://drive.google.com/uc?export=view&amp;id=14A5D_EANsA0o4lPDytKuNgnk1W2nx3Ic%22" TargetMode="External"/><Relationship Id="rId482" Type="http://schemas.openxmlformats.org/officeDocument/2006/relationships/hyperlink" Target="https://drive.google.com/uc?export=view&amp;id=14A5D_EANsA0o4lPDytKuNgnk1W2nx3Ic%22" TargetMode="External"/><Relationship Id="rId538" Type="http://schemas.openxmlformats.org/officeDocument/2006/relationships/hyperlink" Target="https://drive.google.com/uc?export=view&amp;id=14A5D_EANsA0o4lPDytKuNgnk1W2nx3Ic%22" TargetMode="External"/><Relationship Id="rId703" Type="http://schemas.openxmlformats.org/officeDocument/2006/relationships/hyperlink" Target="https://drive.google.com/uc?export=view&amp;id=14A5D_EANsA0o4lPDytKuNgnk1W2nx3Ic%22" TargetMode="External"/><Relationship Id="rId745" Type="http://schemas.openxmlformats.org/officeDocument/2006/relationships/hyperlink" Target="https://drive.google.com/uc?export=view&amp;id=14A5D_EANsA0o4lPDytKuNgnk1W2nx3Ic%22" TargetMode="External"/><Relationship Id="rId81" Type="http://schemas.openxmlformats.org/officeDocument/2006/relationships/hyperlink" Target="https://drive.google.com/uc?export=view&amp;id=14A5D_EANsA0o4lPDytKuNgnk1W2nx3Ic%22" TargetMode="External"/><Relationship Id="rId135" Type="http://schemas.openxmlformats.org/officeDocument/2006/relationships/hyperlink" Target="https://drive.google.com/uc?export=view&amp;id=14A5D_EANsA0o4lPDytKuNgnk1W2nx3Ic%22" TargetMode="External"/><Relationship Id="rId177" Type="http://schemas.openxmlformats.org/officeDocument/2006/relationships/hyperlink" Target="https://drive.google.com/uc?export=view&amp;id=14A5D_EANsA0o4lPDytKuNgnk1W2nx3Ic%22" TargetMode="External"/><Relationship Id="rId342" Type="http://schemas.openxmlformats.org/officeDocument/2006/relationships/hyperlink" Target="https://drive.google.com/uc?export=view&amp;id=14A5D_EANsA0o4lPDytKuNgnk1W2nx3Ic%22" TargetMode="External"/><Relationship Id="rId384" Type="http://schemas.openxmlformats.org/officeDocument/2006/relationships/hyperlink" Target="https://drive.google.com/uc?export=view&amp;id=14A5D_EANsA0o4lPDytKuNgnk1W2nx3Ic%22" TargetMode="External"/><Relationship Id="rId591" Type="http://schemas.openxmlformats.org/officeDocument/2006/relationships/hyperlink" Target="https://drive.google.com/uc?export=view&amp;id=14A5D_EANsA0o4lPDytKuNgnk1W2nx3Ic%22" TargetMode="External"/><Relationship Id="rId605" Type="http://schemas.openxmlformats.org/officeDocument/2006/relationships/hyperlink" Target="https://drive.google.com/uc?export=view&amp;id=14A5D_EANsA0o4lPDytKuNgnk1W2nx3Ic%22" TargetMode="External"/><Relationship Id="rId787" Type="http://schemas.openxmlformats.org/officeDocument/2006/relationships/hyperlink" Target="https://drive.google.com/uc?export=view&amp;id=14A5D_EANsA0o4lPDytKuNgnk1W2nx3Ic%22" TargetMode="External"/><Relationship Id="rId812" Type="http://schemas.openxmlformats.org/officeDocument/2006/relationships/hyperlink" Target="https://drive.google.com/uc?export=view&amp;id=14A5D_EANsA0o4lPDytKuNgnk1W2nx3Ic%22" TargetMode="External"/><Relationship Id="rId202" Type="http://schemas.openxmlformats.org/officeDocument/2006/relationships/hyperlink" Target="https://drive.google.com/uc?export=view&amp;id=14A5D_EANsA0o4lPDytKuNgnk1W2nx3Ic%22" TargetMode="External"/><Relationship Id="rId244" Type="http://schemas.openxmlformats.org/officeDocument/2006/relationships/hyperlink" Target="https://drive.google.com/uc?export=view&amp;id=14A5D_EANsA0o4lPDytKuNgnk1W2nx3Ic%22" TargetMode="External"/><Relationship Id="rId647" Type="http://schemas.openxmlformats.org/officeDocument/2006/relationships/hyperlink" Target="https://drive.google.com/uc?export=view&amp;id=14A5D_EANsA0o4lPDytKuNgnk1W2nx3Ic%22" TargetMode="External"/><Relationship Id="rId689" Type="http://schemas.openxmlformats.org/officeDocument/2006/relationships/hyperlink" Target="https://drive.google.com/uc?export=view&amp;id=14A5D_EANsA0o4lPDytKuNgnk1W2nx3Ic%22" TargetMode="External"/><Relationship Id="rId854" Type="http://schemas.openxmlformats.org/officeDocument/2006/relationships/hyperlink" Target="https://drive.google.com/uc?export=view&amp;id=14A5D_EANsA0o4lPDytKuNgnk1W2nx3Ic%22" TargetMode="External"/><Relationship Id="rId39" Type="http://schemas.openxmlformats.org/officeDocument/2006/relationships/hyperlink" Target="https://drive.google.com/uc?export=view&amp;id=14A5D_EANsA0o4lPDytKuNgnk1W2nx3Ic%22" TargetMode="External"/><Relationship Id="rId286" Type="http://schemas.openxmlformats.org/officeDocument/2006/relationships/hyperlink" Target="https://drive.google.com/uc?export=view&amp;id=14A5D_EANsA0o4lPDytKuNgnk1W2nx3Ic%22" TargetMode="External"/><Relationship Id="rId451" Type="http://schemas.openxmlformats.org/officeDocument/2006/relationships/hyperlink" Target="https://drive.google.com/uc?export=view&amp;id=14A5D_EANsA0o4lPDytKuNgnk1W2nx3Ic%22" TargetMode="External"/><Relationship Id="rId493" Type="http://schemas.openxmlformats.org/officeDocument/2006/relationships/hyperlink" Target="https://drive.google.com/uc?export=view&amp;id=14A5D_EANsA0o4lPDytKuNgnk1W2nx3Ic%22" TargetMode="External"/><Relationship Id="rId507" Type="http://schemas.openxmlformats.org/officeDocument/2006/relationships/hyperlink" Target="https://drive.google.com/uc?export=view&amp;id=14A5D_EANsA0o4lPDytKuNgnk1W2nx3Ic%22" TargetMode="External"/><Relationship Id="rId549" Type="http://schemas.openxmlformats.org/officeDocument/2006/relationships/hyperlink" Target="https://drive.google.com/uc?export=view&amp;id=14A5D_EANsA0o4lPDytKuNgnk1W2nx3Ic%22" TargetMode="External"/><Relationship Id="rId714" Type="http://schemas.openxmlformats.org/officeDocument/2006/relationships/hyperlink" Target="https://drive.google.com/uc?export=view&amp;id=14A5D_EANsA0o4lPDytKuNgnk1W2nx3Ic%22" TargetMode="External"/><Relationship Id="rId756" Type="http://schemas.openxmlformats.org/officeDocument/2006/relationships/hyperlink" Target="https://drive.google.com/uc?export=view&amp;id=14A5D_EANsA0o4lPDytKuNgnk1W2nx3Ic%22" TargetMode="External"/><Relationship Id="rId50" Type="http://schemas.openxmlformats.org/officeDocument/2006/relationships/hyperlink" Target="https://drive.google.com/uc?export=view&amp;id=14A5D_EANsA0o4lPDytKuNgnk1W2nx3Ic%22" TargetMode="External"/><Relationship Id="rId104" Type="http://schemas.openxmlformats.org/officeDocument/2006/relationships/hyperlink" Target="https://drive.google.com/uc?export=view&amp;id=14A5D_EANsA0o4lPDytKuNgnk1W2nx3Ic%22" TargetMode="External"/><Relationship Id="rId146" Type="http://schemas.openxmlformats.org/officeDocument/2006/relationships/hyperlink" Target="https://drive.google.com/uc?export=view&amp;id=14A5D_EANsA0o4lPDytKuNgnk1W2nx3Ic%22" TargetMode="External"/><Relationship Id="rId188" Type="http://schemas.openxmlformats.org/officeDocument/2006/relationships/hyperlink" Target="https://drive.google.com/uc?export=view&amp;id=14A5D_EANsA0o4lPDytKuNgnk1W2nx3Ic%22" TargetMode="External"/><Relationship Id="rId311" Type="http://schemas.openxmlformats.org/officeDocument/2006/relationships/hyperlink" Target="https://drive.google.com/uc?export=view&amp;id=14A5D_EANsA0o4lPDytKuNgnk1W2nx3Ic%22" TargetMode="External"/><Relationship Id="rId353" Type="http://schemas.openxmlformats.org/officeDocument/2006/relationships/hyperlink" Target="https://drive.google.com/uc?export=view&amp;id=14A5D_EANsA0o4lPDytKuNgnk1W2nx3Ic%22" TargetMode="External"/><Relationship Id="rId395" Type="http://schemas.openxmlformats.org/officeDocument/2006/relationships/hyperlink" Target="https://drive.google.com/uc?export=view&amp;id=14A5D_EANsA0o4lPDytKuNgnk1W2nx3Ic%22" TargetMode="External"/><Relationship Id="rId409" Type="http://schemas.openxmlformats.org/officeDocument/2006/relationships/hyperlink" Target="https://drive.google.com/uc?export=view&amp;id=14A5D_EANsA0o4lPDytKuNgnk1W2nx3Ic%22" TargetMode="External"/><Relationship Id="rId560" Type="http://schemas.openxmlformats.org/officeDocument/2006/relationships/hyperlink" Target="https://drive.google.com/uc?export=view&amp;id=14A5D_EANsA0o4lPDytKuNgnk1W2nx3Ic%22" TargetMode="External"/><Relationship Id="rId798" Type="http://schemas.openxmlformats.org/officeDocument/2006/relationships/hyperlink" Target="https://drive.google.com/uc?export=view&amp;id=14A5D_EANsA0o4lPDytKuNgnk1W2nx3Ic%22" TargetMode="External"/><Relationship Id="rId92" Type="http://schemas.openxmlformats.org/officeDocument/2006/relationships/hyperlink" Target="https://drive.google.com/uc?export=view&amp;id=14A5D_EANsA0o4lPDytKuNgnk1W2nx3Ic%22" TargetMode="External"/><Relationship Id="rId213" Type="http://schemas.openxmlformats.org/officeDocument/2006/relationships/hyperlink" Target="https://drive.google.com/uc?export=view&amp;id=14A5D_EANsA0o4lPDytKuNgnk1W2nx3Ic%22" TargetMode="External"/><Relationship Id="rId420" Type="http://schemas.openxmlformats.org/officeDocument/2006/relationships/hyperlink" Target="https://drive.google.com/uc?export=view&amp;id=14A5D_EANsA0o4lPDytKuNgnk1W2nx3Ic%22" TargetMode="External"/><Relationship Id="rId616" Type="http://schemas.openxmlformats.org/officeDocument/2006/relationships/hyperlink" Target="https://drive.google.com/uc?export=view&amp;id=14A5D_EANsA0o4lPDytKuNgnk1W2nx3Ic%22" TargetMode="External"/><Relationship Id="rId658" Type="http://schemas.openxmlformats.org/officeDocument/2006/relationships/hyperlink" Target="https://drive.google.com/uc?export=view&amp;id=14A5D_EANsA0o4lPDytKuNgnk1W2nx3Ic%22" TargetMode="External"/><Relationship Id="rId823" Type="http://schemas.openxmlformats.org/officeDocument/2006/relationships/hyperlink" Target="https://drive.google.com/uc?export=view&amp;id=14A5D_EANsA0o4lPDytKuNgnk1W2nx3Ic%22" TargetMode="External"/><Relationship Id="rId865" Type="http://schemas.openxmlformats.org/officeDocument/2006/relationships/hyperlink" Target="https://drive.google.com/uc?export=view&amp;id=14A5D_EANsA0o4lPDytKuNgnk1W2nx3Ic%22" TargetMode="External"/><Relationship Id="rId255" Type="http://schemas.openxmlformats.org/officeDocument/2006/relationships/hyperlink" Target="https://drive.google.com/uc?export=view&amp;id=14A5D_EANsA0o4lPDytKuNgnk1W2nx3Ic%22" TargetMode="External"/><Relationship Id="rId297" Type="http://schemas.openxmlformats.org/officeDocument/2006/relationships/hyperlink" Target="https://drive.google.com/uc?export=view&amp;id=14A5D_EANsA0o4lPDytKuNgnk1W2nx3Ic%22" TargetMode="External"/><Relationship Id="rId462" Type="http://schemas.openxmlformats.org/officeDocument/2006/relationships/hyperlink" Target="https://drive.google.com/uc?export=view&amp;id=14A5D_EANsA0o4lPDytKuNgnk1W2nx3Ic%22" TargetMode="External"/><Relationship Id="rId518" Type="http://schemas.openxmlformats.org/officeDocument/2006/relationships/hyperlink" Target="https://drive.google.com/uc?export=view&amp;id=14A5D_EANsA0o4lPDytKuNgnk1W2nx3Ic%22" TargetMode="External"/><Relationship Id="rId725" Type="http://schemas.openxmlformats.org/officeDocument/2006/relationships/hyperlink" Target="https://drive.google.com/uc?export=view&amp;id=14A5D_EANsA0o4lPDytKuNgnk1W2nx3Ic%22" TargetMode="External"/><Relationship Id="rId115" Type="http://schemas.openxmlformats.org/officeDocument/2006/relationships/hyperlink" Target="https://drive.google.com/uc?export=view&amp;id=14A5D_EANsA0o4lPDytKuNgnk1W2nx3Ic%22" TargetMode="External"/><Relationship Id="rId157" Type="http://schemas.openxmlformats.org/officeDocument/2006/relationships/hyperlink" Target="https://drive.google.com/uc?export=view&amp;id=14A5D_EANsA0o4lPDytKuNgnk1W2nx3Ic%22" TargetMode="External"/><Relationship Id="rId322" Type="http://schemas.openxmlformats.org/officeDocument/2006/relationships/hyperlink" Target="https://drive.google.com/uc?export=view&amp;id=14A5D_EANsA0o4lPDytKuNgnk1W2nx3Ic%22" TargetMode="External"/><Relationship Id="rId364" Type="http://schemas.openxmlformats.org/officeDocument/2006/relationships/hyperlink" Target="https://drive.google.com/uc?export=view&amp;id=14A5D_EANsA0o4lPDytKuNgnk1W2nx3Ic%22" TargetMode="External"/><Relationship Id="rId767" Type="http://schemas.openxmlformats.org/officeDocument/2006/relationships/hyperlink" Target="https://drive.google.com/uc?export=view&amp;id=14A5D_EANsA0o4lPDytKuNgnk1W2nx3Ic%22" TargetMode="External"/><Relationship Id="rId61" Type="http://schemas.openxmlformats.org/officeDocument/2006/relationships/hyperlink" Target="https://drive.google.com/uc?export=view&amp;id=14A5D_EANsA0o4lPDytKuNgnk1W2nx3Ic%22" TargetMode="External"/><Relationship Id="rId199" Type="http://schemas.openxmlformats.org/officeDocument/2006/relationships/hyperlink" Target="https://drive.google.com/uc?export=view&amp;id=14A5D_EANsA0o4lPDytKuNgnk1W2nx3Ic%22" TargetMode="External"/><Relationship Id="rId571" Type="http://schemas.openxmlformats.org/officeDocument/2006/relationships/hyperlink" Target="https://drive.google.com/uc?export=view&amp;id=14A5D_EANsA0o4lPDytKuNgnk1W2nx3Ic%22" TargetMode="External"/><Relationship Id="rId627" Type="http://schemas.openxmlformats.org/officeDocument/2006/relationships/hyperlink" Target="https://drive.google.com/uc?export=view&amp;id=14A5D_EANsA0o4lPDytKuNgnk1W2nx3Ic%22" TargetMode="External"/><Relationship Id="rId669" Type="http://schemas.openxmlformats.org/officeDocument/2006/relationships/hyperlink" Target="https://drive.google.com/uc?export=view&amp;id=14A5D_EANsA0o4lPDytKuNgnk1W2nx3Ic%22" TargetMode="External"/><Relationship Id="rId834" Type="http://schemas.openxmlformats.org/officeDocument/2006/relationships/hyperlink" Target="https://drive.google.com/uc?export=view&amp;id=14A5D_EANsA0o4lPDytKuNgnk1W2nx3Ic%22" TargetMode="External"/><Relationship Id="rId876" Type="http://schemas.openxmlformats.org/officeDocument/2006/relationships/hyperlink" Target="https://drive.google.com/uc?export=view&amp;id=14A5D_EANsA0o4lPDytKuNgnk1W2nx3Ic%22" TargetMode="External"/><Relationship Id="rId19" Type="http://schemas.openxmlformats.org/officeDocument/2006/relationships/hyperlink" Target="https://drive.google.com/uc?export=view&amp;id=14A5D_EANsA0o4lPDytKuNgnk1W2nx3Ic%22" TargetMode="External"/><Relationship Id="rId224" Type="http://schemas.openxmlformats.org/officeDocument/2006/relationships/hyperlink" Target="https://drive.google.com/uc?export=view&amp;id=14A5D_EANsA0o4lPDytKuNgnk1W2nx3Ic%22" TargetMode="External"/><Relationship Id="rId266" Type="http://schemas.openxmlformats.org/officeDocument/2006/relationships/hyperlink" Target="https://drive.google.com/uc?export=view&amp;id=14A5D_EANsA0o4lPDytKuNgnk1W2nx3Ic%22" TargetMode="External"/><Relationship Id="rId431" Type="http://schemas.openxmlformats.org/officeDocument/2006/relationships/hyperlink" Target="https://drive.google.com/uc?export=view&amp;id=14A5D_EANsA0o4lPDytKuNgnk1W2nx3Ic%22" TargetMode="External"/><Relationship Id="rId473" Type="http://schemas.openxmlformats.org/officeDocument/2006/relationships/hyperlink" Target="https://drive.google.com/uc?export=view&amp;id=14A5D_EANsA0o4lPDytKuNgnk1W2nx3Ic%22" TargetMode="External"/><Relationship Id="rId529" Type="http://schemas.openxmlformats.org/officeDocument/2006/relationships/hyperlink" Target="https://drive.google.com/uc?export=view&amp;id=14A5D_EANsA0o4lPDytKuNgnk1W2nx3Ic%22" TargetMode="External"/><Relationship Id="rId680" Type="http://schemas.openxmlformats.org/officeDocument/2006/relationships/hyperlink" Target="https://drive.google.com/uc?export=view&amp;id=14A5D_EANsA0o4lPDytKuNgnk1W2nx3Ic%22" TargetMode="External"/><Relationship Id="rId736" Type="http://schemas.openxmlformats.org/officeDocument/2006/relationships/hyperlink" Target="https://drive.google.com/uc?export=view&amp;id=14A5D_EANsA0o4lPDytKuNgnk1W2nx3Ic%22" TargetMode="External"/><Relationship Id="rId30" Type="http://schemas.openxmlformats.org/officeDocument/2006/relationships/hyperlink" Target="https://drive.google.com/uc?export=view&amp;id=14A5D_EANsA0o4lPDytKuNgnk1W2nx3Ic%22" TargetMode="External"/><Relationship Id="rId126" Type="http://schemas.openxmlformats.org/officeDocument/2006/relationships/hyperlink" Target="https://drive.google.com/uc?export=view&amp;id=14A5D_EANsA0o4lPDytKuNgnk1W2nx3Ic%22" TargetMode="External"/><Relationship Id="rId168" Type="http://schemas.openxmlformats.org/officeDocument/2006/relationships/hyperlink" Target="https://drive.google.com/uc?export=view&amp;id=14A5D_EANsA0o4lPDytKuNgnk1W2nx3Ic%22" TargetMode="External"/><Relationship Id="rId333" Type="http://schemas.openxmlformats.org/officeDocument/2006/relationships/hyperlink" Target="https://drive.google.com/uc?export=view&amp;id=14A5D_EANsA0o4lPDytKuNgnk1W2nx3Ic%22" TargetMode="External"/><Relationship Id="rId540" Type="http://schemas.openxmlformats.org/officeDocument/2006/relationships/hyperlink" Target="https://drive.google.com/uc?export=view&amp;id=14A5D_EANsA0o4lPDytKuNgnk1W2nx3Ic%22" TargetMode="External"/><Relationship Id="rId778" Type="http://schemas.openxmlformats.org/officeDocument/2006/relationships/hyperlink" Target="https://drive.google.com/uc?export=view&amp;id=14A5D_EANsA0o4lPDytKuNgnk1W2nx3Ic%22" TargetMode="External"/><Relationship Id="rId72" Type="http://schemas.openxmlformats.org/officeDocument/2006/relationships/hyperlink" Target="https://drive.google.com/uc?export=view&amp;id=14A5D_EANsA0o4lPDytKuNgnk1W2nx3Ic%22" TargetMode="External"/><Relationship Id="rId375" Type="http://schemas.openxmlformats.org/officeDocument/2006/relationships/hyperlink" Target="https://drive.google.com/uc?export=view&amp;id=14A5D_EANsA0o4lPDytKuNgnk1W2nx3Ic%22" TargetMode="External"/><Relationship Id="rId582" Type="http://schemas.openxmlformats.org/officeDocument/2006/relationships/hyperlink" Target="https://drive.google.com/uc?export=view&amp;id=14A5D_EANsA0o4lPDytKuNgnk1W2nx3Ic%22" TargetMode="External"/><Relationship Id="rId638" Type="http://schemas.openxmlformats.org/officeDocument/2006/relationships/hyperlink" Target="https://drive.google.com/uc?export=view&amp;id=14A5D_EANsA0o4lPDytKuNgnk1W2nx3Ic%22" TargetMode="External"/><Relationship Id="rId803" Type="http://schemas.openxmlformats.org/officeDocument/2006/relationships/hyperlink" Target="https://drive.google.com/uc?export=view&amp;id=14A5D_EANsA0o4lPDytKuNgnk1W2nx3Ic%22" TargetMode="External"/><Relationship Id="rId845" Type="http://schemas.openxmlformats.org/officeDocument/2006/relationships/hyperlink" Target="https://drive.google.com/uc?export=view&amp;id=14A5D_EANsA0o4lPDytKuNgnk1W2nx3Ic%22" TargetMode="External"/><Relationship Id="rId3" Type="http://schemas.openxmlformats.org/officeDocument/2006/relationships/hyperlink" Target="https://drive.google.com/uc?export=view&amp;id=14A5D_EANsA0o4lPDytKuNgnk1W2nx3Ic%22" TargetMode="External"/><Relationship Id="rId235" Type="http://schemas.openxmlformats.org/officeDocument/2006/relationships/hyperlink" Target="https://drive.google.com/uc?export=view&amp;id=14A5D_EANsA0o4lPDytKuNgnk1W2nx3Ic%22" TargetMode="External"/><Relationship Id="rId277" Type="http://schemas.openxmlformats.org/officeDocument/2006/relationships/hyperlink" Target="https://drive.google.com/uc?export=view&amp;id=14A5D_EANsA0o4lPDytKuNgnk1W2nx3Ic%22" TargetMode="External"/><Relationship Id="rId400" Type="http://schemas.openxmlformats.org/officeDocument/2006/relationships/hyperlink" Target="https://drive.google.com/uc?export=view&amp;id=14A5D_EANsA0o4lPDytKuNgnk1W2nx3Ic%22" TargetMode="External"/><Relationship Id="rId442" Type="http://schemas.openxmlformats.org/officeDocument/2006/relationships/hyperlink" Target="https://drive.google.com/uc?export=view&amp;id=14A5D_EANsA0o4lPDytKuNgnk1W2nx3Ic%22" TargetMode="External"/><Relationship Id="rId484" Type="http://schemas.openxmlformats.org/officeDocument/2006/relationships/hyperlink" Target="https://drive.google.com/uc?export=view&amp;id=14A5D_EANsA0o4lPDytKuNgnk1W2nx3Ic%22" TargetMode="External"/><Relationship Id="rId705" Type="http://schemas.openxmlformats.org/officeDocument/2006/relationships/hyperlink" Target="https://drive.google.com/uc?export=view&amp;id=14A5D_EANsA0o4lPDytKuNgnk1W2nx3Ic%22" TargetMode="External"/><Relationship Id="rId137" Type="http://schemas.openxmlformats.org/officeDocument/2006/relationships/hyperlink" Target="https://drive.google.com/uc?export=view&amp;id=14A5D_EANsA0o4lPDytKuNgnk1W2nx3Ic%22" TargetMode="External"/><Relationship Id="rId302" Type="http://schemas.openxmlformats.org/officeDocument/2006/relationships/hyperlink" Target="https://drive.google.com/uc?export=view&amp;id=14A5D_EANsA0o4lPDytKuNgnk1W2nx3Ic%22" TargetMode="External"/><Relationship Id="rId344" Type="http://schemas.openxmlformats.org/officeDocument/2006/relationships/hyperlink" Target="https://drive.google.com/uc?export=view&amp;id=14A5D_EANsA0o4lPDytKuNgnk1W2nx3Ic%22" TargetMode="External"/><Relationship Id="rId691" Type="http://schemas.openxmlformats.org/officeDocument/2006/relationships/hyperlink" Target="https://drive.google.com/uc?export=view&amp;id=14A5D_EANsA0o4lPDytKuNgnk1W2nx3Ic%22" TargetMode="External"/><Relationship Id="rId747" Type="http://schemas.openxmlformats.org/officeDocument/2006/relationships/hyperlink" Target="https://drive.google.com/uc?export=view&amp;id=14A5D_EANsA0o4lPDytKuNgnk1W2nx3Ic%22" TargetMode="External"/><Relationship Id="rId789" Type="http://schemas.openxmlformats.org/officeDocument/2006/relationships/hyperlink" Target="https://drive.google.com/uc?export=view&amp;id=14A5D_EANsA0o4lPDytKuNgnk1W2nx3Ic%22" TargetMode="External"/><Relationship Id="rId41" Type="http://schemas.openxmlformats.org/officeDocument/2006/relationships/hyperlink" Target="https://drive.google.com/uc?export=view&amp;id=14A5D_EANsA0o4lPDytKuNgnk1W2nx3Ic%22" TargetMode="External"/><Relationship Id="rId83" Type="http://schemas.openxmlformats.org/officeDocument/2006/relationships/hyperlink" Target="https://drive.google.com/uc?export=view&amp;id=14A5D_EANsA0o4lPDytKuNgnk1W2nx3Ic%22" TargetMode="External"/><Relationship Id="rId179" Type="http://schemas.openxmlformats.org/officeDocument/2006/relationships/hyperlink" Target="https://drive.google.com/uc?export=view&amp;id=14A5D_EANsA0o4lPDytKuNgnk1W2nx3Ic%22" TargetMode="External"/><Relationship Id="rId386" Type="http://schemas.openxmlformats.org/officeDocument/2006/relationships/hyperlink" Target="https://drive.google.com/uc?export=view&amp;id=14A5D_EANsA0o4lPDytKuNgnk1W2nx3Ic%22" TargetMode="External"/><Relationship Id="rId551" Type="http://schemas.openxmlformats.org/officeDocument/2006/relationships/hyperlink" Target="https://drive.google.com/uc?export=view&amp;id=14A5D_EANsA0o4lPDytKuNgnk1W2nx3Ic%22" TargetMode="External"/><Relationship Id="rId593" Type="http://schemas.openxmlformats.org/officeDocument/2006/relationships/hyperlink" Target="https://drive.google.com/uc?export=view&amp;id=14A5D_EANsA0o4lPDytKuNgnk1W2nx3Ic%22" TargetMode="External"/><Relationship Id="rId607" Type="http://schemas.openxmlformats.org/officeDocument/2006/relationships/hyperlink" Target="https://drive.google.com/uc?export=view&amp;id=14A5D_EANsA0o4lPDytKuNgnk1W2nx3Ic%22" TargetMode="External"/><Relationship Id="rId649" Type="http://schemas.openxmlformats.org/officeDocument/2006/relationships/hyperlink" Target="https://drive.google.com/uc?export=view&amp;id=14A5D_EANsA0o4lPDytKuNgnk1W2nx3Ic%22" TargetMode="External"/><Relationship Id="rId814" Type="http://schemas.openxmlformats.org/officeDocument/2006/relationships/hyperlink" Target="https://drive.google.com/uc?export=view&amp;id=14A5D_EANsA0o4lPDytKuNgnk1W2nx3Ic%22" TargetMode="External"/><Relationship Id="rId856" Type="http://schemas.openxmlformats.org/officeDocument/2006/relationships/hyperlink" Target="https://drive.google.com/uc?export=view&amp;id=14A5D_EANsA0o4lPDytKuNgnk1W2nx3Ic%22" TargetMode="External"/><Relationship Id="rId190" Type="http://schemas.openxmlformats.org/officeDocument/2006/relationships/hyperlink" Target="https://drive.google.com/uc?export=view&amp;id=14A5D_EANsA0o4lPDytKuNgnk1W2nx3Ic%22" TargetMode="External"/><Relationship Id="rId204" Type="http://schemas.openxmlformats.org/officeDocument/2006/relationships/hyperlink" Target="https://drive.google.com/uc?export=view&amp;id=14A5D_EANsA0o4lPDytKuNgnk1W2nx3Ic%22" TargetMode="External"/><Relationship Id="rId246" Type="http://schemas.openxmlformats.org/officeDocument/2006/relationships/hyperlink" Target="https://drive.google.com/uc?export=view&amp;id=14A5D_EANsA0o4lPDytKuNgnk1W2nx3Ic%22" TargetMode="External"/><Relationship Id="rId288" Type="http://schemas.openxmlformats.org/officeDocument/2006/relationships/hyperlink" Target="https://drive.google.com/uc?export=view&amp;id=14A5D_EANsA0o4lPDytKuNgnk1W2nx3Ic%22" TargetMode="External"/><Relationship Id="rId411" Type="http://schemas.openxmlformats.org/officeDocument/2006/relationships/hyperlink" Target="https://drive.google.com/uc?export=view&amp;id=14A5D_EANsA0o4lPDytKuNgnk1W2nx3Ic%22" TargetMode="External"/><Relationship Id="rId453" Type="http://schemas.openxmlformats.org/officeDocument/2006/relationships/hyperlink" Target="https://drive.google.com/uc?export=view&amp;id=14A5D_EANsA0o4lPDytKuNgnk1W2nx3Ic%22" TargetMode="External"/><Relationship Id="rId509" Type="http://schemas.openxmlformats.org/officeDocument/2006/relationships/hyperlink" Target="https://drive.google.com/uc?export=view&amp;id=14A5D_EANsA0o4lPDytKuNgnk1W2nx3Ic%22" TargetMode="External"/><Relationship Id="rId660" Type="http://schemas.openxmlformats.org/officeDocument/2006/relationships/hyperlink" Target="https://drive.google.com/uc?export=view&amp;id=14A5D_EANsA0o4lPDytKuNgnk1W2nx3Ic%22" TargetMode="External"/><Relationship Id="rId106" Type="http://schemas.openxmlformats.org/officeDocument/2006/relationships/hyperlink" Target="https://drive.google.com/uc?export=view&amp;id=14A5D_EANsA0o4lPDytKuNgnk1W2nx3Ic%22" TargetMode="External"/><Relationship Id="rId313" Type="http://schemas.openxmlformats.org/officeDocument/2006/relationships/hyperlink" Target="https://drive.google.com/uc?export=view&amp;id=14A5D_EANsA0o4lPDytKuNgnk1W2nx3Ic%22" TargetMode="External"/><Relationship Id="rId495" Type="http://schemas.openxmlformats.org/officeDocument/2006/relationships/hyperlink" Target="https://drive.google.com/uc?export=view&amp;id=14A5D_EANsA0o4lPDytKuNgnk1W2nx3Ic%22" TargetMode="External"/><Relationship Id="rId716" Type="http://schemas.openxmlformats.org/officeDocument/2006/relationships/hyperlink" Target="https://drive.google.com/uc?export=view&amp;id=14A5D_EANsA0o4lPDytKuNgnk1W2nx3Ic%22" TargetMode="External"/><Relationship Id="rId758" Type="http://schemas.openxmlformats.org/officeDocument/2006/relationships/hyperlink" Target="https://drive.google.com/uc?export=view&amp;id=14A5D_EANsA0o4lPDytKuNgnk1W2nx3Ic%22" TargetMode="External"/><Relationship Id="rId10" Type="http://schemas.openxmlformats.org/officeDocument/2006/relationships/hyperlink" Target="https://drive.google.com/uc?export=view&amp;id=14A5D_EANsA0o4lPDytKuNgnk1W2nx3Ic%22" TargetMode="External"/><Relationship Id="rId52" Type="http://schemas.openxmlformats.org/officeDocument/2006/relationships/hyperlink" Target="https://drive.google.com/uc?export=view&amp;id=14A5D_EANsA0o4lPDytKuNgnk1W2nx3Ic%22" TargetMode="External"/><Relationship Id="rId94" Type="http://schemas.openxmlformats.org/officeDocument/2006/relationships/hyperlink" Target="https://drive.google.com/uc?export=view&amp;id=14A5D_EANsA0o4lPDytKuNgnk1W2nx3Ic%22" TargetMode="External"/><Relationship Id="rId148" Type="http://schemas.openxmlformats.org/officeDocument/2006/relationships/hyperlink" Target="https://drive.google.com/uc?export=view&amp;id=14A5D_EANsA0o4lPDytKuNgnk1W2nx3Ic%22" TargetMode="External"/><Relationship Id="rId355" Type="http://schemas.openxmlformats.org/officeDocument/2006/relationships/hyperlink" Target="https://drive.google.com/uc?export=view&amp;id=14A5D_EANsA0o4lPDytKuNgnk1W2nx3Ic%22" TargetMode="External"/><Relationship Id="rId397" Type="http://schemas.openxmlformats.org/officeDocument/2006/relationships/hyperlink" Target="https://drive.google.com/uc?export=view&amp;id=14A5D_EANsA0o4lPDytKuNgnk1W2nx3Ic%22" TargetMode="External"/><Relationship Id="rId520" Type="http://schemas.openxmlformats.org/officeDocument/2006/relationships/hyperlink" Target="https://drive.google.com/uc?export=view&amp;id=14A5D_EANsA0o4lPDytKuNgnk1W2nx3Ic%22" TargetMode="External"/><Relationship Id="rId562" Type="http://schemas.openxmlformats.org/officeDocument/2006/relationships/hyperlink" Target="https://drive.google.com/uc?export=view&amp;id=14A5D_EANsA0o4lPDytKuNgnk1W2nx3Ic%22" TargetMode="External"/><Relationship Id="rId618" Type="http://schemas.openxmlformats.org/officeDocument/2006/relationships/hyperlink" Target="https://drive.google.com/uc?export=view&amp;id=14A5D_EANsA0o4lPDytKuNgnk1W2nx3Ic%22" TargetMode="External"/><Relationship Id="rId825" Type="http://schemas.openxmlformats.org/officeDocument/2006/relationships/hyperlink" Target="https://drive.google.com/uc?export=view&amp;id=14A5D_EANsA0o4lPDytKuNgnk1W2nx3Ic%22" TargetMode="External"/><Relationship Id="rId215" Type="http://schemas.openxmlformats.org/officeDocument/2006/relationships/hyperlink" Target="https://drive.google.com/uc?export=view&amp;id=14A5D_EANsA0o4lPDytKuNgnk1W2nx3Ic%22" TargetMode="External"/><Relationship Id="rId257" Type="http://schemas.openxmlformats.org/officeDocument/2006/relationships/hyperlink" Target="https://drive.google.com/uc?export=view&amp;id=14A5D_EANsA0o4lPDytKuNgnk1W2nx3Ic%22" TargetMode="External"/><Relationship Id="rId422" Type="http://schemas.openxmlformats.org/officeDocument/2006/relationships/hyperlink" Target="https://drive.google.com/uc?export=view&amp;id=14A5D_EANsA0o4lPDytKuNgnk1W2nx3Ic%22" TargetMode="External"/><Relationship Id="rId464" Type="http://schemas.openxmlformats.org/officeDocument/2006/relationships/hyperlink" Target="https://drive.google.com/uc?export=view&amp;id=14A5D_EANsA0o4lPDytKuNgnk1W2nx3Ic%22" TargetMode="External"/><Relationship Id="rId867" Type="http://schemas.openxmlformats.org/officeDocument/2006/relationships/hyperlink" Target="https://drive.google.com/uc?export=view&amp;id=14A5D_EANsA0o4lPDytKuNgnk1W2nx3Ic%22" TargetMode="External"/><Relationship Id="rId299" Type="http://schemas.openxmlformats.org/officeDocument/2006/relationships/hyperlink" Target="https://drive.google.com/uc?export=view&amp;id=14A5D_EANsA0o4lPDytKuNgnk1W2nx3Ic%22" TargetMode="External"/><Relationship Id="rId727" Type="http://schemas.openxmlformats.org/officeDocument/2006/relationships/hyperlink" Target="https://drive.google.com/uc?export=view&amp;id=14A5D_EANsA0o4lPDytKuNgnk1W2nx3Ic%22" TargetMode="External"/><Relationship Id="rId63" Type="http://schemas.openxmlformats.org/officeDocument/2006/relationships/hyperlink" Target="https://drive.google.com/uc?export=view&amp;id=14A5D_EANsA0o4lPDytKuNgnk1W2nx3Ic%22" TargetMode="External"/><Relationship Id="rId159" Type="http://schemas.openxmlformats.org/officeDocument/2006/relationships/hyperlink" Target="https://drive.google.com/uc?export=view&amp;id=14A5D_EANsA0o4lPDytKuNgnk1W2nx3Ic%22" TargetMode="External"/><Relationship Id="rId366" Type="http://schemas.openxmlformats.org/officeDocument/2006/relationships/hyperlink" Target="https://drive.google.com/uc?export=view&amp;id=14A5D_EANsA0o4lPDytKuNgnk1W2nx3Ic%22" TargetMode="External"/><Relationship Id="rId573" Type="http://schemas.openxmlformats.org/officeDocument/2006/relationships/hyperlink" Target="https://drive.google.com/uc?export=view&amp;id=14A5D_EANsA0o4lPDytKuNgnk1W2nx3Ic%22" TargetMode="External"/><Relationship Id="rId780" Type="http://schemas.openxmlformats.org/officeDocument/2006/relationships/hyperlink" Target="https://drive.google.com/uc?export=view&amp;id=14A5D_EANsA0o4lPDytKuNgnk1W2nx3Ic%22" TargetMode="External"/><Relationship Id="rId226" Type="http://schemas.openxmlformats.org/officeDocument/2006/relationships/hyperlink" Target="https://drive.google.com/uc?export=view&amp;id=14A5D_EANsA0o4lPDytKuNgnk1W2nx3Ic%22" TargetMode="External"/><Relationship Id="rId433" Type="http://schemas.openxmlformats.org/officeDocument/2006/relationships/hyperlink" Target="https://drive.google.com/uc?export=view&amp;id=14A5D_EANsA0o4lPDytKuNgnk1W2nx3Ic%22" TargetMode="External"/><Relationship Id="rId878" Type="http://schemas.openxmlformats.org/officeDocument/2006/relationships/hyperlink" Target="https://drive.google.com/uc?export=view&amp;id=14A5D_EANsA0o4lPDytKuNgnk1W2nx3Ic%22" TargetMode="External"/><Relationship Id="rId640" Type="http://schemas.openxmlformats.org/officeDocument/2006/relationships/hyperlink" Target="https://drive.google.com/uc?export=view&amp;id=14A5D_EANsA0o4lPDytKuNgnk1W2nx3Ic%22" TargetMode="External"/><Relationship Id="rId738" Type="http://schemas.openxmlformats.org/officeDocument/2006/relationships/hyperlink" Target="https://drive.google.com/uc?export=view&amp;id=14A5D_EANsA0o4lPDytKuNgnk1W2nx3Ic%22" TargetMode="External"/><Relationship Id="rId74" Type="http://schemas.openxmlformats.org/officeDocument/2006/relationships/hyperlink" Target="https://drive.google.com/uc?export=view&amp;id=14A5D_EANsA0o4lPDytKuNgnk1W2nx3Ic%22" TargetMode="External"/><Relationship Id="rId377" Type="http://schemas.openxmlformats.org/officeDocument/2006/relationships/hyperlink" Target="https://drive.google.com/uc?export=view&amp;id=14A5D_EANsA0o4lPDytKuNgnk1W2nx3Ic%22" TargetMode="External"/><Relationship Id="rId500" Type="http://schemas.openxmlformats.org/officeDocument/2006/relationships/hyperlink" Target="https://drive.google.com/uc?export=view&amp;id=14A5D_EANsA0o4lPDytKuNgnk1W2nx3Ic%22" TargetMode="External"/><Relationship Id="rId584" Type="http://schemas.openxmlformats.org/officeDocument/2006/relationships/hyperlink" Target="https://drive.google.com/uc?export=view&amp;id=14A5D_EANsA0o4lPDytKuNgnk1W2nx3Ic%22" TargetMode="External"/><Relationship Id="rId805" Type="http://schemas.openxmlformats.org/officeDocument/2006/relationships/hyperlink" Target="https://drive.google.com/uc?export=view&amp;id=14A5D_EANsA0o4lPDytKuNgnk1W2nx3Ic%22" TargetMode="External"/><Relationship Id="rId5" Type="http://schemas.openxmlformats.org/officeDocument/2006/relationships/hyperlink" Target="https://drive.google.com/uc?export=view&amp;id=14A5D_EANsA0o4lPDytKuNgnk1W2nx3Ic%22" TargetMode="External"/><Relationship Id="rId237" Type="http://schemas.openxmlformats.org/officeDocument/2006/relationships/hyperlink" Target="https://drive.google.com/uc?export=view&amp;id=14A5D_EANsA0o4lPDytKuNgnk1W2nx3Ic%22" TargetMode="External"/><Relationship Id="rId791" Type="http://schemas.openxmlformats.org/officeDocument/2006/relationships/hyperlink" Target="https://drive.google.com/uc?export=view&amp;id=14A5D_EANsA0o4lPDytKuNgnk1W2nx3Ic%22" TargetMode="External"/><Relationship Id="rId444" Type="http://schemas.openxmlformats.org/officeDocument/2006/relationships/hyperlink" Target="https://drive.google.com/uc?export=view&amp;id=14A5D_EANsA0o4lPDytKuNgnk1W2nx3Ic%22" TargetMode="External"/><Relationship Id="rId651" Type="http://schemas.openxmlformats.org/officeDocument/2006/relationships/hyperlink" Target="https://drive.google.com/uc?export=view&amp;id=14A5D_EANsA0o4lPDytKuNgnk1W2nx3Ic%22" TargetMode="External"/><Relationship Id="rId749" Type="http://schemas.openxmlformats.org/officeDocument/2006/relationships/hyperlink" Target="https://drive.google.com/uc?export=view&amp;id=14A5D_EANsA0o4lPDytKuNgnk1W2nx3Ic%22" TargetMode="External"/><Relationship Id="rId290" Type="http://schemas.openxmlformats.org/officeDocument/2006/relationships/hyperlink" Target="https://drive.google.com/uc?export=view&amp;id=14A5D_EANsA0o4lPDytKuNgnk1W2nx3Ic%22" TargetMode="External"/><Relationship Id="rId304" Type="http://schemas.openxmlformats.org/officeDocument/2006/relationships/hyperlink" Target="https://drive.google.com/uc?export=view&amp;id=14A5D_EANsA0o4lPDytKuNgnk1W2nx3Ic%22" TargetMode="External"/><Relationship Id="rId388" Type="http://schemas.openxmlformats.org/officeDocument/2006/relationships/hyperlink" Target="https://drive.google.com/uc?export=view&amp;id=14A5D_EANsA0o4lPDytKuNgnk1W2nx3Ic%22" TargetMode="External"/><Relationship Id="rId511" Type="http://schemas.openxmlformats.org/officeDocument/2006/relationships/hyperlink" Target="https://drive.google.com/uc?export=view&amp;id=14A5D_EANsA0o4lPDytKuNgnk1W2nx3Ic%22" TargetMode="External"/><Relationship Id="rId609" Type="http://schemas.openxmlformats.org/officeDocument/2006/relationships/hyperlink" Target="https://drive.google.com/uc?export=view&amp;id=14A5D_EANsA0o4lPDytKuNgnk1W2nx3Ic%22" TargetMode="External"/><Relationship Id="rId85" Type="http://schemas.openxmlformats.org/officeDocument/2006/relationships/hyperlink" Target="https://drive.google.com/uc?export=view&amp;id=14A5D_EANsA0o4lPDytKuNgnk1W2nx3Ic%22" TargetMode="External"/><Relationship Id="rId150" Type="http://schemas.openxmlformats.org/officeDocument/2006/relationships/hyperlink" Target="https://drive.google.com/uc?export=view&amp;id=14A5D_EANsA0o4lPDytKuNgnk1W2nx3Ic%22" TargetMode="External"/><Relationship Id="rId595" Type="http://schemas.openxmlformats.org/officeDocument/2006/relationships/hyperlink" Target="https://drive.google.com/uc?export=view&amp;id=14A5D_EANsA0o4lPDytKuNgnk1W2nx3Ic%22" TargetMode="External"/><Relationship Id="rId816" Type="http://schemas.openxmlformats.org/officeDocument/2006/relationships/hyperlink" Target="https://drive.google.com/uc?export=view&amp;id=14A5D_EANsA0o4lPDytKuNgnk1W2nx3Ic%22" TargetMode="External"/><Relationship Id="rId248" Type="http://schemas.openxmlformats.org/officeDocument/2006/relationships/hyperlink" Target="https://drive.google.com/uc?export=view&amp;id=14A5D_EANsA0o4lPDytKuNgnk1W2nx3Ic%22" TargetMode="External"/><Relationship Id="rId455" Type="http://schemas.openxmlformats.org/officeDocument/2006/relationships/hyperlink" Target="https://drive.google.com/uc?export=view&amp;id=14A5D_EANsA0o4lPDytKuNgnk1W2nx3Ic%22" TargetMode="External"/><Relationship Id="rId662" Type="http://schemas.openxmlformats.org/officeDocument/2006/relationships/hyperlink" Target="https://drive.google.com/uc?export=view&amp;id=14A5D_EANsA0o4lPDytKuNgnk1W2nx3Ic%22" TargetMode="External"/><Relationship Id="rId12" Type="http://schemas.openxmlformats.org/officeDocument/2006/relationships/hyperlink" Target="https://drive.google.com/uc?export=view&amp;id=14A5D_EANsA0o4lPDytKuNgnk1W2nx3Ic%22" TargetMode="External"/><Relationship Id="rId108" Type="http://schemas.openxmlformats.org/officeDocument/2006/relationships/hyperlink" Target="https://drive.google.com/uc?export=view&amp;id=14A5D_EANsA0o4lPDytKuNgnk1W2nx3Ic%22" TargetMode="External"/><Relationship Id="rId315" Type="http://schemas.openxmlformats.org/officeDocument/2006/relationships/hyperlink" Target="https://drive.google.com/uc?export=view&amp;id=14A5D_EANsA0o4lPDytKuNgnk1W2nx3Ic%22" TargetMode="External"/><Relationship Id="rId522" Type="http://schemas.openxmlformats.org/officeDocument/2006/relationships/hyperlink" Target="https://drive.google.com/uc?export=view&amp;id=14A5D_EANsA0o4lPDytKuNgnk1W2nx3Ic%22" TargetMode="External"/><Relationship Id="rId96" Type="http://schemas.openxmlformats.org/officeDocument/2006/relationships/hyperlink" Target="https://drive.google.com/uc?export=view&amp;id=14A5D_EANsA0o4lPDytKuNgnk1W2nx3Ic%22" TargetMode="External"/><Relationship Id="rId161" Type="http://schemas.openxmlformats.org/officeDocument/2006/relationships/hyperlink" Target="https://drive.google.com/uc?export=view&amp;id=14A5D_EANsA0o4lPDytKuNgnk1W2nx3Ic%22" TargetMode="External"/><Relationship Id="rId399" Type="http://schemas.openxmlformats.org/officeDocument/2006/relationships/hyperlink" Target="https://drive.google.com/uc?export=view&amp;id=14A5D_EANsA0o4lPDytKuNgnk1W2nx3Ic%22" TargetMode="External"/><Relationship Id="rId827" Type="http://schemas.openxmlformats.org/officeDocument/2006/relationships/hyperlink" Target="https://drive.google.com/uc?export=view&amp;id=14A5D_EANsA0o4lPDytKuNgnk1W2nx3Ic%22" TargetMode="External"/><Relationship Id="rId259" Type="http://schemas.openxmlformats.org/officeDocument/2006/relationships/hyperlink" Target="https://drive.google.com/uc?export=view&amp;id=14A5D_EANsA0o4lPDytKuNgnk1W2nx3Ic%22" TargetMode="External"/><Relationship Id="rId466" Type="http://schemas.openxmlformats.org/officeDocument/2006/relationships/hyperlink" Target="https://drive.google.com/uc?export=view&amp;id=14A5D_EANsA0o4lPDytKuNgnk1W2nx3Ic%22" TargetMode="External"/><Relationship Id="rId673" Type="http://schemas.openxmlformats.org/officeDocument/2006/relationships/hyperlink" Target="https://drive.google.com/uc?export=view&amp;id=14A5D_EANsA0o4lPDytKuNgnk1W2nx3Ic%22" TargetMode="External"/><Relationship Id="rId880" Type="http://schemas.openxmlformats.org/officeDocument/2006/relationships/hyperlink" Target="https://drive.google.com/uc?export=view&amp;id=14A5D_EANsA0o4lPDytKuNgnk1W2nx3Ic%22" TargetMode="External"/><Relationship Id="rId23" Type="http://schemas.openxmlformats.org/officeDocument/2006/relationships/hyperlink" Target="https://drive.google.com/uc?export=view&amp;id=14A5D_EANsA0o4lPDytKuNgnk1W2nx3Ic%22" TargetMode="External"/><Relationship Id="rId119" Type="http://schemas.openxmlformats.org/officeDocument/2006/relationships/hyperlink" Target="https://drive.google.com/uc?export=view&amp;id=14A5D_EANsA0o4lPDytKuNgnk1W2nx3Ic%22" TargetMode="External"/><Relationship Id="rId326" Type="http://schemas.openxmlformats.org/officeDocument/2006/relationships/hyperlink" Target="https://drive.google.com/uc?export=view&amp;id=14A5D_EANsA0o4lPDytKuNgnk1W2nx3Ic%22" TargetMode="External"/><Relationship Id="rId533" Type="http://schemas.openxmlformats.org/officeDocument/2006/relationships/hyperlink" Target="https://drive.google.com/uc?export=view&amp;id=14A5D_EANsA0o4lPDytKuNgnk1W2nx3Ic%22" TargetMode="External"/><Relationship Id="rId740" Type="http://schemas.openxmlformats.org/officeDocument/2006/relationships/hyperlink" Target="https://drive.google.com/uc?export=view&amp;id=14A5D_EANsA0o4lPDytKuNgnk1W2nx3Ic%22" TargetMode="External"/><Relationship Id="rId838" Type="http://schemas.openxmlformats.org/officeDocument/2006/relationships/hyperlink" Target="https://drive.google.com/uc?export=view&amp;id=14A5D_EANsA0o4lPDytKuNgnk1W2nx3Ic%22" TargetMode="External"/><Relationship Id="rId172" Type="http://schemas.openxmlformats.org/officeDocument/2006/relationships/hyperlink" Target="https://drive.google.com/uc?export=view&amp;id=14A5D_EANsA0o4lPDytKuNgnk1W2nx3Ic%22" TargetMode="External"/><Relationship Id="rId477" Type="http://schemas.openxmlformats.org/officeDocument/2006/relationships/hyperlink" Target="https://drive.google.com/uc?export=view&amp;id=14A5D_EANsA0o4lPDytKuNgnk1W2nx3Ic%22" TargetMode="External"/><Relationship Id="rId600" Type="http://schemas.openxmlformats.org/officeDocument/2006/relationships/hyperlink" Target="https://drive.google.com/uc?export=view&amp;id=14A5D_EANsA0o4lPDytKuNgnk1W2nx3Ic%22" TargetMode="External"/><Relationship Id="rId684" Type="http://schemas.openxmlformats.org/officeDocument/2006/relationships/hyperlink" Target="https://drive.google.com/uc?export=view&amp;id=14A5D_EANsA0o4lPDytKuNgnk1W2nx3Ic%22" TargetMode="External"/><Relationship Id="rId337" Type="http://schemas.openxmlformats.org/officeDocument/2006/relationships/hyperlink" Target="https://drive.google.com/uc?export=view&amp;id=14A5D_EANsA0o4lPDytKuNgnk1W2nx3Ic%22" TargetMode="External"/><Relationship Id="rId34" Type="http://schemas.openxmlformats.org/officeDocument/2006/relationships/hyperlink" Target="https://drive.google.com/uc?export=view&amp;id=14A5D_EANsA0o4lPDytKuNgnk1W2nx3Ic%22" TargetMode="External"/><Relationship Id="rId544" Type="http://schemas.openxmlformats.org/officeDocument/2006/relationships/hyperlink" Target="https://drive.google.com/uc?export=view&amp;id=14A5D_EANsA0o4lPDytKuNgnk1W2nx3Ic%22" TargetMode="External"/><Relationship Id="rId751" Type="http://schemas.openxmlformats.org/officeDocument/2006/relationships/hyperlink" Target="https://drive.google.com/uc?export=view&amp;id=14A5D_EANsA0o4lPDytKuNgnk1W2nx3Ic%22" TargetMode="External"/><Relationship Id="rId849" Type="http://schemas.openxmlformats.org/officeDocument/2006/relationships/hyperlink" Target="https://drive.google.com/uc?export=view&amp;id=14A5D_EANsA0o4lPDytKuNgnk1W2nx3Ic%22" TargetMode="External"/><Relationship Id="rId183" Type="http://schemas.openxmlformats.org/officeDocument/2006/relationships/hyperlink" Target="https://drive.google.com/uc?export=view&amp;id=14A5D_EANsA0o4lPDytKuNgnk1W2nx3Ic%22" TargetMode="External"/><Relationship Id="rId390" Type="http://schemas.openxmlformats.org/officeDocument/2006/relationships/hyperlink" Target="https://drive.google.com/uc?export=view&amp;id=14A5D_EANsA0o4lPDytKuNgnk1W2nx3Ic%22" TargetMode="External"/><Relationship Id="rId404" Type="http://schemas.openxmlformats.org/officeDocument/2006/relationships/hyperlink" Target="https://drive.google.com/uc?export=view&amp;id=14A5D_EANsA0o4lPDytKuNgnk1W2nx3Ic%22" TargetMode="External"/><Relationship Id="rId611" Type="http://schemas.openxmlformats.org/officeDocument/2006/relationships/hyperlink" Target="https://drive.google.com/uc?export=view&amp;id=14A5D_EANsA0o4lPDytKuNgnk1W2nx3Ic%22" TargetMode="External"/><Relationship Id="rId250" Type="http://schemas.openxmlformats.org/officeDocument/2006/relationships/hyperlink" Target="https://drive.google.com/uc?export=view&amp;id=14A5D_EANsA0o4lPDytKuNgnk1W2nx3Ic%22" TargetMode="External"/><Relationship Id="rId488" Type="http://schemas.openxmlformats.org/officeDocument/2006/relationships/hyperlink" Target="https://drive.google.com/uc?export=view&amp;id=14A5D_EANsA0o4lPDytKuNgnk1W2nx3Ic%22" TargetMode="External"/><Relationship Id="rId695" Type="http://schemas.openxmlformats.org/officeDocument/2006/relationships/hyperlink" Target="https://drive.google.com/uc?export=view&amp;id=14A5D_EANsA0o4lPDytKuNgnk1W2nx3Ic%22" TargetMode="External"/><Relationship Id="rId709" Type="http://schemas.openxmlformats.org/officeDocument/2006/relationships/hyperlink" Target="https://drive.google.com/uc?export=view&amp;id=14A5D_EANsA0o4lPDytKuNgnk1W2nx3Ic%22" TargetMode="External"/><Relationship Id="rId45" Type="http://schemas.openxmlformats.org/officeDocument/2006/relationships/hyperlink" Target="https://drive.google.com/uc?export=view&amp;id=14A5D_EANsA0o4lPDytKuNgnk1W2nx3Ic%22" TargetMode="External"/><Relationship Id="rId110" Type="http://schemas.openxmlformats.org/officeDocument/2006/relationships/hyperlink" Target="https://drive.google.com/uc?export=view&amp;id=14A5D_EANsA0o4lPDytKuNgnk1W2nx3Ic%22" TargetMode="External"/><Relationship Id="rId348" Type="http://schemas.openxmlformats.org/officeDocument/2006/relationships/hyperlink" Target="https://drive.google.com/uc?export=view&amp;id=14A5D_EANsA0o4lPDytKuNgnk1W2nx3Ic%22" TargetMode="External"/><Relationship Id="rId555" Type="http://schemas.openxmlformats.org/officeDocument/2006/relationships/hyperlink" Target="https://drive.google.com/uc?export=view&amp;id=14A5D_EANsA0o4lPDytKuNgnk1W2nx3Ic%22" TargetMode="External"/><Relationship Id="rId762" Type="http://schemas.openxmlformats.org/officeDocument/2006/relationships/hyperlink" Target="https://drive.google.com/uc?export=view&amp;id=14A5D_EANsA0o4lPDytKuNgnk1W2nx3Ic%22" TargetMode="External"/><Relationship Id="rId194" Type="http://schemas.openxmlformats.org/officeDocument/2006/relationships/hyperlink" Target="https://drive.google.com/uc?export=view&amp;id=14A5D_EANsA0o4lPDytKuNgnk1W2nx3Ic%22" TargetMode="External"/><Relationship Id="rId208" Type="http://schemas.openxmlformats.org/officeDocument/2006/relationships/hyperlink" Target="https://drive.google.com/uc?export=view&amp;id=14A5D_EANsA0o4lPDytKuNgnk1W2nx3Ic%22" TargetMode="External"/><Relationship Id="rId415" Type="http://schemas.openxmlformats.org/officeDocument/2006/relationships/hyperlink" Target="https://drive.google.com/uc?export=view&amp;id=14A5D_EANsA0o4lPDytKuNgnk1W2nx3Ic%22" TargetMode="External"/><Relationship Id="rId622" Type="http://schemas.openxmlformats.org/officeDocument/2006/relationships/hyperlink" Target="https://drive.google.com/uc?export=view&amp;id=14A5D_EANsA0o4lPDytKuNgnk1W2nx3Ic%22" TargetMode="External"/><Relationship Id="rId261" Type="http://schemas.openxmlformats.org/officeDocument/2006/relationships/hyperlink" Target="https://drive.google.com/uc?export=view&amp;id=14A5D_EANsA0o4lPDytKuNgnk1W2nx3Ic%22" TargetMode="External"/><Relationship Id="rId499" Type="http://schemas.openxmlformats.org/officeDocument/2006/relationships/hyperlink" Target="https://drive.google.com/uc?export=view&amp;id=14A5D_EANsA0o4lPDytKuNgnk1W2nx3Ic%22" TargetMode="External"/><Relationship Id="rId56" Type="http://schemas.openxmlformats.org/officeDocument/2006/relationships/hyperlink" Target="https://drive.google.com/uc?export=view&amp;id=14A5D_EANsA0o4lPDytKuNgnk1W2nx3Ic%22" TargetMode="External"/><Relationship Id="rId359" Type="http://schemas.openxmlformats.org/officeDocument/2006/relationships/hyperlink" Target="https://drive.google.com/uc?export=view&amp;id=14A5D_EANsA0o4lPDytKuNgnk1W2nx3Ic%22" TargetMode="External"/><Relationship Id="rId566" Type="http://schemas.openxmlformats.org/officeDocument/2006/relationships/hyperlink" Target="https://drive.google.com/uc?export=view&amp;id=14A5D_EANsA0o4lPDytKuNgnk1W2nx3Ic%22" TargetMode="External"/><Relationship Id="rId773" Type="http://schemas.openxmlformats.org/officeDocument/2006/relationships/hyperlink" Target="https://drive.google.com/uc?export=view&amp;id=14A5D_EANsA0o4lPDytKuNgnk1W2nx3Ic%22" TargetMode="External"/><Relationship Id="rId121" Type="http://schemas.openxmlformats.org/officeDocument/2006/relationships/hyperlink" Target="https://drive.google.com/uc?export=view&amp;id=14A5D_EANsA0o4lPDytKuNgnk1W2nx3Ic%22" TargetMode="External"/><Relationship Id="rId219" Type="http://schemas.openxmlformats.org/officeDocument/2006/relationships/hyperlink" Target="https://drive.google.com/uc?export=view&amp;id=14A5D_EANsA0o4lPDytKuNgnk1W2nx3Ic%22" TargetMode="External"/><Relationship Id="rId426" Type="http://schemas.openxmlformats.org/officeDocument/2006/relationships/hyperlink" Target="https://drive.google.com/uc?export=view&amp;id=14A5D_EANsA0o4lPDytKuNgnk1W2nx3Ic%22" TargetMode="External"/><Relationship Id="rId633" Type="http://schemas.openxmlformats.org/officeDocument/2006/relationships/hyperlink" Target="https://drive.google.com/uc?export=view&amp;id=14A5D_EANsA0o4lPDytKuNgnk1W2nx3Ic%22" TargetMode="External"/><Relationship Id="rId840" Type="http://schemas.openxmlformats.org/officeDocument/2006/relationships/hyperlink" Target="https://drive.google.com/uc?export=view&amp;id=14A5D_EANsA0o4lPDytKuNgnk1W2nx3Ic%22" TargetMode="External"/><Relationship Id="rId67" Type="http://schemas.openxmlformats.org/officeDocument/2006/relationships/hyperlink" Target="https://drive.google.com/uc?export=view&amp;id=14A5D_EANsA0o4lPDytKuNgnk1W2nx3Ic%22" TargetMode="External"/><Relationship Id="rId272" Type="http://schemas.openxmlformats.org/officeDocument/2006/relationships/hyperlink" Target="https://drive.google.com/uc?export=view&amp;id=14A5D_EANsA0o4lPDytKuNgnk1W2nx3Ic%22" TargetMode="External"/><Relationship Id="rId577" Type="http://schemas.openxmlformats.org/officeDocument/2006/relationships/hyperlink" Target="https://drive.google.com/uc?export=view&amp;id=14A5D_EANsA0o4lPDytKuNgnk1W2nx3Ic%22" TargetMode="External"/><Relationship Id="rId700" Type="http://schemas.openxmlformats.org/officeDocument/2006/relationships/hyperlink" Target="https://drive.google.com/uc?export=view&amp;id=14A5D_EANsA0o4lPDytKuNgnk1W2nx3Ic%22" TargetMode="External"/><Relationship Id="rId132" Type="http://schemas.openxmlformats.org/officeDocument/2006/relationships/hyperlink" Target="https://drive.google.com/uc?export=view&amp;id=14A5D_EANsA0o4lPDytKuNgnk1W2nx3Ic%22" TargetMode="External"/><Relationship Id="rId784" Type="http://schemas.openxmlformats.org/officeDocument/2006/relationships/hyperlink" Target="https://drive.google.com/uc?export=view&amp;id=14A5D_EANsA0o4lPDytKuNgnk1W2nx3Ic%22" TargetMode="External"/><Relationship Id="rId437" Type="http://schemas.openxmlformats.org/officeDocument/2006/relationships/hyperlink" Target="https://drive.google.com/uc?export=view&amp;id=14A5D_EANsA0o4lPDytKuNgnk1W2nx3Ic%22" TargetMode="External"/><Relationship Id="rId644" Type="http://schemas.openxmlformats.org/officeDocument/2006/relationships/hyperlink" Target="https://drive.google.com/uc?export=view&amp;id=14A5D_EANsA0o4lPDytKuNgnk1W2nx3Ic%22" TargetMode="External"/><Relationship Id="rId851" Type="http://schemas.openxmlformats.org/officeDocument/2006/relationships/hyperlink" Target="https://drive.google.com/uc?export=view&amp;id=14A5D_EANsA0o4lPDytKuNgnk1W2nx3Ic%22" TargetMode="External"/><Relationship Id="rId283" Type="http://schemas.openxmlformats.org/officeDocument/2006/relationships/hyperlink" Target="https://drive.google.com/uc?export=view&amp;id=14A5D_EANsA0o4lPDytKuNgnk1W2nx3Ic%22" TargetMode="External"/><Relationship Id="rId490" Type="http://schemas.openxmlformats.org/officeDocument/2006/relationships/hyperlink" Target="https://drive.google.com/uc?export=view&amp;id=14A5D_EANsA0o4lPDytKuNgnk1W2nx3Ic%22" TargetMode="External"/><Relationship Id="rId504" Type="http://schemas.openxmlformats.org/officeDocument/2006/relationships/hyperlink" Target="https://drive.google.com/uc?export=view&amp;id=14A5D_EANsA0o4lPDytKuNgnk1W2nx3Ic%22" TargetMode="External"/><Relationship Id="rId711" Type="http://schemas.openxmlformats.org/officeDocument/2006/relationships/hyperlink" Target="https://drive.google.com/uc?export=view&amp;id=14A5D_EANsA0o4lPDytKuNgnk1W2nx3Ic%22" TargetMode="External"/><Relationship Id="rId78" Type="http://schemas.openxmlformats.org/officeDocument/2006/relationships/hyperlink" Target="https://drive.google.com/uc?export=view&amp;id=14A5D_EANsA0o4lPDytKuNgnk1W2nx3Ic%22" TargetMode="External"/><Relationship Id="rId143" Type="http://schemas.openxmlformats.org/officeDocument/2006/relationships/hyperlink" Target="https://drive.google.com/uc?export=view&amp;id=14A5D_EANsA0o4lPDytKuNgnk1W2nx3Ic%22" TargetMode="External"/><Relationship Id="rId350" Type="http://schemas.openxmlformats.org/officeDocument/2006/relationships/hyperlink" Target="https://drive.google.com/uc?export=view&amp;id=14A5D_EANsA0o4lPDytKuNgnk1W2nx3Ic%22" TargetMode="External"/><Relationship Id="rId588" Type="http://schemas.openxmlformats.org/officeDocument/2006/relationships/hyperlink" Target="https://drive.google.com/uc?export=view&amp;id=14A5D_EANsA0o4lPDytKuNgnk1W2nx3Ic%22" TargetMode="External"/><Relationship Id="rId795" Type="http://schemas.openxmlformats.org/officeDocument/2006/relationships/hyperlink" Target="https://drive.google.com/uc?export=view&amp;id=14A5D_EANsA0o4lPDytKuNgnk1W2nx3Ic%22" TargetMode="External"/><Relationship Id="rId809" Type="http://schemas.openxmlformats.org/officeDocument/2006/relationships/hyperlink" Target="https://drive.google.com/uc?export=view&amp;id=14A5D_EANsA0o4lPDytKuNgnk1W2nx3Ic%22" TargetMode="External"/><Relationship Id="rId9" Type="http://schemas.openxmlformats.org/officeDocument/2006/relationships/hyperlink" Target="https://drive.google.com/uc?export=view&amp;id=14A5D_EANsA0o4lPDytKuNgnk1W2nx3Ic%22" TargetMode="External"/><Relationship Id="rId210" Type="http://schemas.openxmlformats.org/officeDocument/2006/relationships/hyperlink" Target="https://drive.google.com/uc?export=view&amp;id=14A5D_EANsA0o4lPDytKuNgnk1W2nx3Ic%22" TargetMode="External"/><Relationship Id="rId448" Type="http://schemas.openxmlformats.org/officeDocument/2006/relationships/hyperlink" Target="https://drive.google.com/uc?export=view&amp;id=14A5D_EANsA0o4lPDytKuNgnk1W2nx3Ic%22" TargetMode="External"/><Relationship Id="rId655" Type="http://schemas.openxmlformats.org/officeDocument/2006/relationships/hyperlink" Target="https://drive.google.com/uc?export=view&amp;id=14A5D_EANsA0o4lPDytKuNgnk1W2nx3Ic%22" TargetMode="External"/><Relationship Id="rId862" Type="http://schemas.openxmlformats.org/officeDocument/2006/relationships/hyperlink" Target="https://drive.google.com/uc?export=view&amp;id=14A5D_EANsA0o4lPDytKuNgnk1W2nx3Ic%22" TargetMode="External"/><Relationship Id="rId294" Type="http://schemas.openxmlformats.org/officeDocument/2006/relationships/hyperlink" Target="https://drive.google.com/uc?export=view&amp;id=14A5D_EANsA0o4lPDytKuNgnk1W2nx3Ic%22" TargetMode="External"/><Relationship Id="rId308" Type="http://schemas.openxmlformats.org/officeDocument/2006/relationships/hyperlink" Target="https://drive.google.com/uc?export=view&amp;id=14A5D_EANsA0o4lPDytKuNgnk1W2nx3Ic%22" TargetMode="External"/><Relationship Id="rId515" Type="http://schemas.openxmlformats.org/officeDocument/2006/relationships/hyperlink" Target="https://drive.google.com/uc?export=view&amp;id=14A5D_EANsA0o4lPDytKuNgnk1W2nx3Ic%22" TargetMode="External"/><Relationship Id="rId722" Type="http://schemas.openxmlformats.org/officeDocument/2006/relationships/hyperlink" Target="https://drive.google.com/uc?export=view&amp;id=14A5D_EANsA0o4lPDytKuNgnk1W2nx3Ic%22" TargetMode="External"/><Relationship Id="rId89" Type="http://schemas.openxmlformats.org/officeDocument/2006/relationships/hyperlink" Target="https://drive.google.com/uc?export=view&amp;id=14A5D_EANsA0o4lPDytKuNgnk1W2nx3Ic%22" TargetMode="External"/><Relationship Id="rId154" Type="http://schemas.openxmlformats.org/officeDocument/2006/relationships/hyperlink" Target="https://drive.google.com/uc?export=view&amp;id=14A5D_EANsA0o4lPDytKuNgnk1W2nx3Ic%22" TargetMode="External"/><Relationship Id="rId361" Type="http://schemas.openxmlformats.org/officeDocument/2006/relationships/hyperlink" Target="https://drive.google.com/uc?export=view&amp;id=14A5D_EANsA0o4lPDytKuNgnk1W2nx3Ic%22" TargetMode="External"/><Relationship Id="rId599" Type="http://schemas.openxmlformats.org/officeDocument/2006/relationships/hyperlink" Target="https://drive.google.com/uc?export=view&amp;id=14A5D_EANsA0o4lPDytKuNgnk1W2nx3Ic%22" TargetMode="External"/><Relationship Id="rId459" Type="http://schemas.openxmlformats.org/officeDocument/2006/relationships/hyperlink" Target="https://drive.google.com/uc?export=view&amp;id=14A5D_EANsA0o4lPDytKuNgnk1W2nx3Ic%22" TargetMode="External"/><Relationship Id="rId666" Type="http://schemas.openxmlformats.org/officeDocument/2006/relationships/hyperlink" Target="https://drive.google.com/uc?export=view&amp;id=14A5D_EANsA0o4lPDytKuNgnk1W2nx3Ic%22" TargetMode="External"/><Relationship Id="rId873" Type="http://schemas.openxmlformats.org/officeDocument/2006/relationships/hyperlink" Target="https://drive.google.com/uc?export=view&amp;id=14A5D_EANsA0o4lPDytKuNgnk1W2nx3Ic%22" TargetMode="External"/><Relationship Id="rId16" Type="http://schemas.openxmlformats.org/officeDocument/2006/relationships/hyperlink" Target="https://drive.google.com/uc?export=view&amp;id=14A5D_EANsA0o4lPDytKuNgnk1W2nx3Ic%22" TargetMode="External"/><Relationship Id="rId221" Type="http://schemas.openxmlformats.org/officeDocument/2006/relationships/hyperlink" Target="https://drive.google.com/uc?export=view&amp;id=14A5D_EANsA0o4lPDytKuNgnk1W2nx3Ic%22" TargetMode="External"/><Relationship Id="rId319" Type="http://schemas.openxmlformats.org/officeDocument/2006/relationships/hyperlink" Target="https://drive.google.com/uc?export=view&amp;id=14A5D_EANsA0o4lPDytKuNgnk1W2nx3Ic%22" TargetMode="External"/><Relationship Id="rId526" Type="http://schemas.openxmlformats.org/officeDocument/2006/relationships/hyperlink" Target="https://drive.google.com/uc?export=view&amp;id=14A5D_EANsA0o4lPDytKuNgnk1W2nx3Ic%22" TargetMode="External"/><Relationship Id="rId733" Type="http://schemas.openxmlformats.org/officeDocument/2006/relationships/hyperlink" Target="https://drive.google.com/uc?export=view&amp;id=14A5D_EANsA0o4lPDytKuNgnk1W2nx3Ic%22" TargetMode="External"/><Relationship Id="rId165" Type="http://schemas.openxmlformats.org/officeDocument/2006/relationships/hyperlink" Target="https://drive.google.com/uc?export=view&amp;id=14A5D_EANsA0o4lPDytKuNgnk1W2nx3Ic%22" TargetMode="External"/><Relationship Id="rId372" Type="http://schemas.openxmlformats.org/officeDocument/2006/relationships/hyperlink" Target="https://drive.google.com/uc?export=view&amp;id=14A5D_EANsA0o4lPDytKuNgnk1W2nx3Ic%22" TargetMode="External"/><Relationship Id="rId677" Type="http://schemas.openxmlformats.org/officeDocument/2006/relationships/hyperlink" Target="https://drive.google.com/uc?export=view&amp;id=14A5D_EANsA0o4lPDytKuNgnk1W2nx3Ic%22" TargetMode="External"/><Relationship Id="rId800" Type="http://schemas.openxmlformats.org/officeDocument/2006/relationships/hyperlink" Target="https://drive.google.com/uc?export=view&amp;id=14A5D_EANsA0o4lPDytKuNgnk1W2nx3Ic%22" TargetMode="External"/><Relationship Id="rId232" Type="http://schemas.openxmlformats.org/officeDocument/2006/relationships/hyperlink" Target="https://drive.google.com/uc?export=view&amp;id=14A5D_EANsA0o4lPDytKuNgnk1W2nx3Ic%22" TargetMode="External"/><Relationship Id="rId27" Type="http://schemas.openxmlformats.org/officeDocument/2006/relationships/hyperlink" Target="https://drive.google.com/uc?export=view&amp;id=14A5D_EANsA0o4lPDytKuNgnk1W2nx3Ic%22" TargetMode="External"/><Relationship Id="rId537" Type="http://schemas.openxmlformats.org/officeDocument/2006/relationships/hyperlink" Target="https://drive.google.com/uc?export=view&amp;id=14A5D_EANsA0o4lPDytKuNgnk1W2nx3Ic%22" TargetMode="External"/><Relationship Id="rId744" Type="http://schemas.openxmlformats.org/officeDocument/2006/relationships/hyperlink" Target="https://drive.google.com/uc?export=view&amp;id=14A5D_EANsA0o4lPDytKuNgnk1W2nx3Ic%22" TargetMode="External"/><Relationship Id="rId80" Type="http://schemas.openxmlformats.org/officeDocument/2006/relationships/hyperlink" Target="https://drive.google.com/uc?export=view&amp;id=14A5D_EANsA0o4lPDytKuNgnk1W2nx3Ic%22" TargetMode="External"/><Relationship Id="rId176" Type="http://schemas.openxmlformats.org/officeDocument/2006/relationships/hyperlink" Target="https://drive.google.com/uc?export=view&amp;id=14A5D_EANsA0o4lPDytKuNgnk1W2nx3Ic%22" TargetMode="External"/><Relationship Id="rId383" Type="http://schemas.openxmlformats.org/officeDocument/2006/relationships/hyperlink" Target="https://drive.google.com/uc?export=view&amp;id=14A5D_EANsA0o4lPDytKuNgnk1W2nx3Ic%22" TargetMode="External"/><Relationship Id="rId590" Type="http://schemas.openxmlformats.org/officeDocument/2006/relationships/hyperlink" Target="https://drive.google.com/uc?export=view&amp;id=14A5D_EANsA0o4lPDytKuNgnk1W2nx3Ic%22" TargetMode="External"/><Relationship Id="rId604" Type="http://schemas.openxmlformats.org/officeDocument/2006/relationships/hyperlink" Target="https://drive.google.com/uc?export=view&amp;id=14A5D_EANsA0o4lPDytKuNgnk1W2nx3Ic%22" TargetMode="External"/><Relationship Id="rId811" Type="http://schemas.openxmlformats.org/officeDocument/2006/relationships/hyperlink" Target="https://drive.google.com/uc?export=view&amp;id=14A5D_EANsA0o4lPDytKuNgnk1W2nx3Ic%22" TargetMode="External"/><Relationship Id="rId243" Type="http://schemas.openxmlformats.org/officeDocument/2006/relationships/hyperlink" Target="https://drive.google.com/uc?export=view&amp;id=14A5D_EANsA0o4lPDytKuNgnk1W2nx3Ic%22" TargetMode="External"/><Relationship Id="rId450" Type="http://schemas.openxmlformats.org/officeDocument/2006/relationships/hyperlink" Target="https://drive.google.com/uc?export=view&amp;id=14A5D_EANsA0o4lPDytKuNgnk1W2nx3Ic%22" TargetMode="External"/><Relationship Id="rId688" Type="http://schemas.openxmlformats.org/officeDocument/2006/relationships/hyperlink" Target="https://drive.google.com/uc?export=view&amp;id=14A5D_EANsA0o4lPDytKuNgnk1W2nx3Ic%22" TargetMode="External"/><Relationship Id="rId38" Type="http://schemas.openxmlformats.org/officeDocument/2006/relationships/hyperlink" Target="https://drive.google.com/uc?export=view&amp;id=14A5D_EANsA0o4lPDytKuNgnk1W2nx3Ic%22" TargetMode="External"/><Relationship Id="rId103" Type="http://schemas.openxmlformats.org/officeDocument/2006/relationships/hyperlink" Target="https://drive.google.com/uc?export=view&amp;id=14A5D_EANsA0o4lPDytKuNgnk1W2nx3Ic%22" TargetMode="External"/><Relationship Id="rId310" Type="http://schemas.openxmlformats.org/officeDocument/2006/relationships/hyperlink" Target="https://drive.google.com/uc?export=view&amp;id=14A5D_EANsA0o4lPDytKuNgnk1W2nx3Ic%22" TargetMode="External"/><Relationship Id="rId548" Type="http://schemas.openxmlformats.org/officeDocument/2006/relationships/hyperlink" Target="https://drive.google.com/uc?export=view&amp;id=14A5D_EANsA0o4lPDytKuNgnk1W2nx3Ic%22" TargetMode="External"/><Relationship Id="rId755" Type="http://schemas.openxmlformats.org/officeDocument/2006/relationships/hyperlink" Target="https://drive.google.com/uc?export=view&amp;id=14A5D_EANsA0o4lPDytKuNgnk1W2nx3Ic%22" TargetMode="External"/><Relationship Id="rId91" Type="http://schemas.openxmlformats.org/officeDocument/2006/relationships/hyperlink" Target="https://drive.google.com/uc?export=view&amp;id=14A5D_EANsA0o4lPDytKuNgnk1W2nx3Ic%22" TargetMode="External"/><Relationship Id="rId187" Type="http://schemas.openxmlformats.org/officeDocument/2006/relationships/hyperlink" Target="https://drive.google.com/uc?export=view&amp;id=14A5D_EANsA0o4lPDytKuNgnk1W2nx3Ic%22" TargetMode="External"/><Relationship Id="rId394" Type="http://schemas.openxmlformats.org/officeDocument/2006/relationships/hyperlink" Target="https://drive.google.com/uc?export=view&amp;id=14A5D_EANsA0o4lPDytKuNgnk1W2nx3Ic%22" TargetMode="External"/><Relationship Id="rId408" Type="http://schemas.openxmlformats.org/officeDocument/2006/relationships/hyperlink" Target="https://drive.google.com/uc?export=view&amp;id=14A5D_EANsA0o4lPDytKuNgnk1W2nx3Ic%22" TargetMode="External"/><Relationship Id="rId615" Type="http://schemas.openxmlformats.org/officeDocument/2006/relationships/hyperlink" Target="https://drive.google.com/uc?export=view&amp;id=14A5D_EANsA0o4lPDytKuNgnk1W2nx3Ic%22" TargetMode="External"/><Relationship Id="rId822" Type="http://schemas.openxmlformats.org/officeDocument/2006/relationships/hyperlink" Target="https://drive.google.com/uc?export=view&amp;id=14A5D_EANsA0o4lPDytKuNgnk1W2nx3Ic%22" TargetMode="External"/><Relationship Id="rId254" Type="http://schemas.openxmlformats.org/officeDocument/2006/relationships/hyperlink" Target="https://drive.google.com/uc?export=view&amp;id=14A5D_EANsA0o4lPDytKuNgnk1W2nx3Ic%22" TargetMode="External"/><Relationship Id="rId699" Type="http://schemas.openxmlformats.org/officeDocument/2006/relationships/hyperlink" Target="https://drive.google.com/uc?export=view&amp;id=14A5D_EANsA0o4lPDytKuNgnk1W2nx3Ic%22" TargetMode="External"/><Relationship Id="rId49" Type="http://schemas.openxmlformats.org/officeDocument/2006/relationships/hyperlink" Target="https://drive.google.com/uc?export=view&amp;id=14A5D_EANsA0o4lPDytKuNgnk1W2nx3Ic%22" TargetMode="External"/><Relationship Id="rId114" Type="http://schemas.openxmlformats.org/officeDocument/2006/relationships/hyperlink" Target="https://drive.google.com/uc?export=view&amp;id=14A5D_EANsA0o4lPDytKuNgnk1W2nx3Ic%22" TargetMode="External"/><Relationship Id="rId461" Type="http://schemas.openxmlformats.org/officeDocument/2006/relationships/hyperlink" Target="https://drive.google.com/uc?export=view&amp;id=14A5D_EANsA0o4lPDytKuNgnk1W2nx3Ic%22" TargetMode="External"/><Relationship Id="rId559" Type="http://schemas.openxmlformats.org/officeDocument/2006/relationships/hyperlink" Target="https://drive.google.com/uc?export=view&amp;id=14A5D_EANsA0o4lPDytKuNgnk1W2nx3Ic%22" TargetMode="External"/><Relationship Id="rId766" Type="http://schemas.openxmlformats.org/officeDocument/2006/relationships/hyperlink" Target="https://drive.google.com/uc?export=view&amp;id=14A5D_EANsA0o4lPDytKuNgnk1W2nx3Ic%22" TargetMode="External"/><Relationship Id="rId198" Type="http://schemas.openxmlformats.org/officeDocument/2006/relationships/hyperlink" Target="https://drive.google.com/uc?export=view&amp;id=14A5D_EANsA0o4lPDytKuNgnk1W2nx3Ic%22" TargetMode="External"/><Relationship Id="rId321" Type="http://schemas.openxmlformats.org/officeDocument/2006/relationships/hyperlink" Target="https://drive.google.com/uc?export=view&amp;id=14A5D_EANsA0o4lPDytKuNgnk1W2nx3Ic%22" TargetMode="External"/><Relationship Id="rId419" Type="http://schemas.openxmlformats.org/officeDocument/2006/relationships/hyperlink" Target="https://drive.google.com/uc?export=view&amp;id=14A5D_EANsA0o4lPDytKuNgnk1W2nx3Ic%22" TargetMode="External"/><Relationship Id="rId626" Type="http://schemas.openxmlformats.org/officeDocument/2006/relationships/hyperlink" Target="https://drive.google.com/uc?export=view&amp;id=14A5D_EANsA0o4lPDytKuNgnk1W2nx3Ic%22" TargetMode="External"/><Relationship Id="rId833" Type="http://schemas.openxmlformats.org/officeDocument/2006/relationships/hyperlink" Target="https://drive.google.com/uc?export=view&amp;id=14A5D_EANsA0o4lPDytKuNgnk1W2nx3Ic%22" TargetMode="External"/><Relationship Id="rId265" Type="http://schemas.openxmlformats.org/officeDocument/2006/relationships/hyperlink" Target="https://drive.google.com/uc?export=view&amp;id=14A5D_EANsA0o4lPDytKuNgnk1W2nx3Ic%22" TargetMode="External"/><Relationship Id="rId472" Type="http://schemas.openxmlformats.org/officeDocument/2006/relationships/hyperlink" Target="https://drive.google.com/uc?export=view&amp;id=14A5D_EANsA0o4lPDytKuNgnk1W2nx3Ic%22" TargetMode="External"/><Relationship Id="rId125" Type="http://schemas.openxmlformats.org/officeDocument/2006/relationships/hyperlink" Target="https://drive.google.com/uc?export=view&amp;id=14A5D_EANsA0o4lPDytKuNgnk1W2nx3Ic%22" TargetMode="External"/><Relationship Id="rId332" Type="http://schemas.openxmlformats.org/officeDocument/2006/relationships/hyperlink" Target="https://drive.google.com/uc?export=view&amp;id=14A5D_EANsA0o4lPDytKuNgnk1W2nx3Ic%22" TargetMode="External"/><Relationship Id="rId777" Type="http://schemas.openxmlformats.org/officeDocument/2006/relationships/hyperlink" Target="https://drive.google.com/uc?export=view&amp;id=14A5D_EANsA0o4lPDytKuNgnk1W2nx3Ic%22" TargetMode="External"/><Relationship Id="rId637" Type="http://schemas.openxmlformats.org/officeDocument/2006/relationships/hyperlink" Target="https://drive.google.com/uc?export=view&amp;id=14A5D_EANsA0o4lPDytKuNgnk1W2nx3Ic%22" TargetMode="External"/><Relationship Id="rId844" Type="http://schemas.openxmlformats.org/officeDocument/2006/relationships/hyperlink" Target="https://drive.google.com/uc?export=view&amp;id=14A5D_EANsA0o4lPDytKuNgnk1W2nx3Ic%22" TargetMode="External"/><Relationship Id="rId276" Type="http://schemas.openxmlformats.org/officeDocument/2006/relationships/hyperlink" Target="https://drive.google.com/uc?export=view&amp;id=14A5D_EANsA0o4lPDytKuNgnk1W2nx3Ic%22" TargetMode="External"/><Relationship Id="rId483" Type="http://schemas.openxmlformats.org/officeDocument/2006/relationships/hyperlink" Target="https://drive.google.com/uc?export=view&amp;id=14A5D_EANsA0o4lPDytKuNgnk1W2nx3Ic%22" TargetMode="External"/><Relationship Id="rId690" Type="http://schemas.openxmlformats.org/officeDocument/2006/relationships/hyperlink" Target="https://drive.google.com/uc?export=view&amp;id=14A5D_EANsA0o4lPDytKuNgnk1W2nx3Ic%22" TargetMode="External"/><Relationship Id="rId704" Type="http://schemas.openxmlformats.org/officeDocument/2006/relationships/hyperlink" Target="https://drive.google.com/uc?export=view&amp;id=14A5D_EANsA0o4lPDytKuNgnk1W2nx3Ic%22" TargetMode="External"/><Relationship Id="rId40" Type="http://schemas.openxmlformats.org/officeDocument/2006/relationships/hyperlink" Target="https://drive.google.com/uc?export=view&amp;id=14A5D_EANsA0o4lPDytKuNgnk1W2nx3Ic%22" TargetMode="External"/><Relationship Id="rId136" Type="http://schemas.openxmlformats.org/officeDocument/2006/relationships/hyperlink" Target="https://drive.google.com/uc?export=view&amp;id=14A5D_EANsA0o4lPDytKuNgnk1W2nx3Ic%22" TargetMode="External"/><Relationship Id="rId343" Type="http://schemas.openxmlformats.org/officeDocument/2006/relationships/hyperlink" Target="https://drive.google.com/uc?export=view&amp;id=14A5D_EANsA0o4lPDytKuNgnk1W2nx3Ic%22" TargetMode="External"/><Relationship Id="rId550" Type="http://schemas.openxmlformats.org/officeDocument/2006/relationships/hyperlink" Target="https://drive.google.com/uc?export=view&amp;id=14A5D_EANsA0o4lPDytKuNgnk1W2nx3Ic%22" TargetMode="External"/><Relationship Id="rId788" Type="http://schemas.openxmlformats.org/officeDocument/2006/relationships/hyperlink" Target="https://drive.google.com/uc?export=view&amp;id=14A5D_EANsA0o4lPDytKuNgnk1W2nx3Ic%22" TargetMode="External"/><Relationship Id="rId203" Type="http://schemas.openxmlformats.org/officeDocument/2006/relationships/hyperlink" Target="https://drive.google.com/uc?export=view&amp;id=14A5D_EANsA0o4lPDytKuNgnk1W2nx3Ic%22" TargetMode="External"/><Relationship Id="rId648" Type="http://schemas.openxmlformats.org/officeDocument/2006/relationships/hyperlink" Target="https://drive.google.com/uc?export=view&amp;id=14A5D_EANsA0o4lPDytKuNgnk1W2nx3Ic%22" TargetMode="External"/><Relationship Id="rId855" Type="http://schemas.openxmlformats.org/officeDocument/2006/relationships/hyperlink" Target="https://drive.google.com/uc?export=view&amp;id=14A5D_EANsA0o4lPDytKuNgnk1W2nx3Ic%22" TargetMode="External"/><Relationship Id="rId287" Type="http://schemas.openxmlformats.org/officeDocument/2006/relationships/hyperlink" Target="https://drive.google.com/uc?export=view&amp;id=14A5D_EANsA0o4lPDytKuNgnk1W2nx3Ic%22" TargetMode="External"/><Relationship Id="rId410" Type="http://schemas.openxmlformats.org/officeDocument/2006/relationships/hyperlink" Target="https://drive.google.com/uc?export=view&amp;id=14A5D_EANsA0o4lPDytKuNgnk1W2nx3Ic%22" TargetMode="External"/><Relationship Id="rId494" Type="http://schemas.openxmlformats.org/officeDocument/2006/relationships/hyperlink" Target="https://drive.google.com/uc?export=view&amp;id=14A5D_EANsA0o4lPDytKuNgnk1W2nx3Ic%22" TargetMode="External"/><Relationship Id="rId508" Type="http://schemas.openxmlformats.org/officeDocument/2006/relationships/hyperlink" Target="https://drive.google.com/uc?export=view&amp;id=14A5D_EANsA0o4lPDytKuNgnk1W2nx3Ic%22" TargetMode="External"/><Relationship Id="rId715" Type="http://schemas.openxmlformats.org/officeDocument/2006/relationships/hyperlink" Target="https://drive.google.com/uc?export=view&amp;id=14A5D_EANsA0o4lPDytKuNgnk1W2nx3Ic%22" TargetMode="External"/><Relationship Id="rId147" Type="http://schemas.openxmlformats.org/officeDocument/2006/relationships/hyperlink" Target="https://drive.google.com/uc?export=view&amp;id=14A5D_EANsA0o4lPDytKuNgnk1W2nx3Ic%22" TargetMode="External"/><Relationship Id="rId354" Type="http://schemas.openxmlformats.org/officeDocument/2006/relationships/hyperlink" Target="https://drive.google.com/uc?export=view&amp;id=14A5D_EANsA0o4lPDytKuNgnk1W2nx3Ic%22" TargetMode="External"/><Relationship Id="rId799" Type="http://schemas.openxmlformats.org/officeDocument/2006/relationships/hyperlink" Target="https://drive.google.com/uc?export=view&amp;id=14A5D_EANsA0o4lPDytKuNgnk1W2nx3Ic%22" TargetMode="External"/><Relationship Id="rId51" Type="http://schemas.openxmlformats.org/officeDocument/2006/relationships/hyperlink" Target="https://drive.google.com/uc?export=view&amp;id=14A5D_EANsA0o4lPDytKuNgnk1W2nx3Ic%22" TargetMode="External"/><Relationship Id="rId561" Type="http://schemas.openxmlformats.org/officeDocument/2006/relationships/hyperlink" Target="https://drive.google.com/uc?export=view&amp;id=14A5D_EANsA0o4lPDytKuNgnk1W2nx3Ic%22" TargetMode="External"/><Relationship Id="rId659" Type="http://schemas.openxmlformats.org/officeDocument/2006/relationships/hyperlink" Target="https://drive.google.com/uc?export=view&amp;id=14A5D_EANsA0o4lPDytKuNgnk1W2nx3Ic%22" TargetMode="External"/><Relationship Id="rId866" Type="http://schemas.openxmlformats.org/officeDocument/2006/relationships/hyperlink" Target="https://drive.google.com/uc?export=view&amp;id=14A5D_EANsA0o4lPDytKuNgnk1W2nx3Ic%22" TargetMode="External"/><Relationship Id="rId214" Type="http://schemas.openxmlformats.org/officeDocument/2006/relationships/hyperlink" Target="https://drive.google.com/uc?export=view&amp;id=14A5D_EANsA0o4lPDytKuNgnk1W2nx3Ic%22" TargetMode="External"/><Relationship Id="rId298" Type="http://schemas.openxmlformats.org/officeDocument/2006/relationships/hyperlink" Target="https://drive.google.com/uc?export=view&amp;id=14A5D_EANsA0o4lPDytKuNgnk1W2nx3Ic%22" TargetMode="External"/><Relationship Id="rId421" Type="http://schemas.openxmlformats.org/officeDocument/2006/relationships/hyperlink" Target="https://drive.google.com/uc?export=view&amp;id=14A5D_EANsA0o4lPDytKuNgnk1W2nx3Ic%22" TargetMode="External"/><Relationship Id="rId519" Type="http://schemas.openxmlformats.org/officeDocument/2006/relationships/hyperlink" Target="https://drive.google.com/uc?export=view&amp;id=14A5D_EANsA0o4lPDytKuNgnk1W2nx3Ic%22" TargetMode="External"/><Relationship Id="rId158" Type="http://schemas.openxmlformats.org/officeDocument/2006/relationships/hyperlink" Target="https://drive.google.com/uc?export=view&amp;id=14A5D_EANsA0o4lPDytKuNgnk1W2nx3Ic%22" TargetMode="External"/><Relationship Id="rId726" Type="http://schemas.openxmlformats.org/officeDocument/2006/relationships/hyperlink" Target="https://drive.google.com/uc?export=view&amp;id=14A5D_EANsA0o4lPDytKuNgnk1W2nx3Ic%22" TargetMode="External"/><Relationship Id="rId62" Type="http://schemas.openxmlformats.org/officeDocument/2006/relationships/hyperlink" Target="https://drive.google.com/uc?export=view&amp;id=14A5D_EANsA0o4lPDytKuNgnk1W2nx3Ic%22" TargetMode="External"/><Relationship Id="rId365" Type="http://schemas.openxmlformats.org/officeDocument/2006/relationships/hyperlink" Target="https://drive.google.com/uc?export=view&amp;id=14A5D_EANsA0o4lPDytKuNgnk1W2nx3Ic%22" TargetMode="External"/><Relationship Id="rId572" Type="http://schemas.openxmlformats.org/officeDocument/2006/relationships/hyperlink" Target="https://drive.google.com/uc?export=view&amp;id=14A5D_EANsA0o4lPDytKuNgnk1W2nx3Ic%22" TargetMode="External"/><Relationship Id="rId225" Type="http://schemas.openxmlformats.org/officeDocument/2006/relationships/hyperlink" Target="https://drive.google.com/uc?export=view&amp;id=14A5D_EANsA0o4lPDytKuNgnk1W2nx3Ic%22" TargetMode="External"/><Relationship Id="rId432" Type="http://schemas.openxmlformats.org/officeDocument/2006/relationships/hyperlink" Target="https://drive.google.com/uc?export=view&amp;id=14A5D_EANsA0o4lPDytKuNgnk1W2nx3Ic%22" TargetMode="External"/><Relationship Id="rId877" Type="http://schemas.openxmlformats.org/officeDocument/2006/relationships/hyperlink" Target="https://drive.google.com/uc?export=view&amp;id=14A5D_EANsA0o4lPDytKuNgnk1W2nx3Ic%22" TargetMode="External"/><Relationship Id="rId737" Type="http://schemas.openxmlformats.org/officeDocument/2006/relationships/hyperlink" Target="https://drive.google.com/uc?export=view&amp;id=14A5D_EANsA0o4lPDytKuNgnk1W2nx3Ic%22" TargetMode="External"/><Relationship Id="rId73" Type="http://schemas.openxmlformats.org/officeDocument/2006/relationships/hyperlink" Target="https://drive.google.com/uc?export=view&amp;id=14A5D_EANsA0o4lPDytKuNgnk1W2nx3Ic%22" TargetMode="External"/><Relationship Id="rId169" Type="http://schemas.openxmlformats.org/officeDocument/2006/relationships/hyperlink" Target="https://drive.google.com/uc?export=view&amp;id=14A5D_EANsA0o4lPDytKuNgnk1W2nx3Ic%22" TargetMode="External"/><Relationship Id="rId376" Type="http://schemas.openxmlformats.org/officeDocument/2006/relationships/hyperlink" Target="https://drive.google.com/uc?export=view&amp;id=14A5D_EANsA0o4lPDytKuNgnk1W2nx3Ic%22" TargetMode="External"/><Relationship Id="rId583" Type="http://schemas.openxmlformats.org/officeDocument/2006/relationships/hyperlink" Target="https://drive.google.com/uc?export=view&amp;id=14A5D_EANsA0o4lPDytKuNgnk1W2nx3Ic%22" TargetMode="External"/><Relationship Id="rId790" Type="http://schemas.openxmlformats.org/officeDocument/2006/relationships/hyperlink" Target="https://drive.google.com/uc?export=view&amp;id=14A5D_EANsA0o4lPDytKuNgnk1W2nx3Ic%22" TargetMode="External"/><Relationship Id="rId804" Type="http://schemas.openxmlformats.org/officeDocument/2006/relationships/hyperlink" Target="https://drive.google.com/uc?export=view&amp;id=14A5D_EANsA0o4lPDytKuNgnk1W2nx3Ic%22" TargetMode="External"/><Relationship Id="rId4" Type="http://schemas.openxmlformats.org/officeDocument/2006/relationships/hyperlink" Target="https://drive.google.com/uc?export=view&amp;id=14A5D_EANsA0o4lPDytKuNgnk1W2nx3Ic%22" TargetMode="External"/><Relationship Id="rId236" Type="http://schemas.openxmlformats.org/officeDocument/2006/relationships/hyperlink" Target="https://drive.google.com/uc?export=view&amp;id=14A5D_EANsA0o4lPDytKuNgnk1W2nx3Ic%22" TargetMode="External"/><Relationship Id="rId443" Type="http://schemas.openxmlformats.org/officeDocument/2006/relationships/hyperlink" Target="https://drive.google.com/uc?export=view&amp;id=14A5D_EANsA0o4lPDytKuNgnk1W2nx3Ic%22" TargetMode="External"/><Relationship Id="rId650" Type="http://schemas.openxmlformats.org/officeDocument/2006/relationships/hyperlink" Target="https://drive.google.com/uc?export=view&amp;id=14A5D_EANsA0o4lPDytKuNgnk1W2nx3Ic%22" TargetMode="External"/><Relationship Id="rId303" Type="http://schemas.openxmlformats.org/officeDocument/2006/relationships/hyperlink" Target="https://drive.google.com/uc?export=view&amp;id=14A5D_EANsA0o4lPDytKuNgnk1W2nx3Ic%22" TargetMode="External"/><Relationship Id="rId748" Type="http://schemas.openxmlformats.org/officeDocument/2006/relationships/hyperlink" Target="https://drive.google.com/uc?export=view&amp;id=14A5D_EANsA0o4lPDytKuNgnk1W2nx3Ic%22" TargetMode="External"/><Relationship Id="rId84" Type="http://schemas.openxmlformats.org/officeDocument/2006/relationships/hyperlink" Target="https://drive.google.com/uc?export=view&amp;id=14A5D_EANsA0o4lPDytKuNgnk1W2nx3Ic%22" TargetMode="External"/><Relationship Id="rId387" Type="http://schemas.openxmlformats.org/officeDocument/2006/relationships/hyperlink" Target="https://drive.google.com/uc?export=view&amp;id=14A5D_EANsA0o4lPDytKuNgnk1W2nx3Ic%22" TargetMode="External"/><Relationship Id="rId510" Type="http://schemas.openxmlformats.org/officeDocument/2006/relationships/hyperlink" Target="https://drive.google.com/uc?export=view&amp;id=14A5D_EANsA0o4lPDytKuNgnk1W2nx3Ic%22" TargetMode="External"/><Relationship Id="rId594" Type="http://schemas.openxmlformats.org/officeDocument/2006/relationships/hyperlink" Target="https://drive.google.com/uc?export=view&amp;id=14A5D_EANsA0o4lPDytKuNgnk1W2nx3Ic%22" TargetMode="External"/><Relationship Id="rId608" Type="http://schemas.openxmlformats.org/officeDocument/2006/relationships/hyperlink" Target="https://drive.google.com/uc?export=view&amp;id=14A5D_EANsA0o4lPDytKuNgnk1W2nx3Ic%22" TargetMode="External"/><Relationship Id="rId815" Type="http://schemas.openxmlformats.org/officeDocument/2006/relationships/hyperlink" Target="https://drive.google.com/uc?export=view&amp;id=14A5D_EANsA0o4lPDytKuNgnk1W2nx3Ic%22" TargetMode="External"/><Relationship Id="rId247" Type="http://schemas.openxmlformats.org/officeDocument/2006/relationships/hyperlink" Target="https://drive.google.com/uc?export=view&amp;id=14A5D_EANsA0o4lPDytKuNgnk1W2nx3Ic%22" TargetMode="External"/><Relationship Id="rId107" Type="http://schemas.openxmlformats.org/officeDocument/2006/relationships/hyperlink" Target="https://drive.google.com/uc?export=view&amp;id=14A5D_EANsA0o4lPDytKuNgnk1W2nx3Ic%22" TargetMode="External"/><Relationship Id="rId454" Type="http://schemas.openxmlformats.org/officeDocument/2006/relationships/hyperlink" Target="https://drive.google.com/uc?export=view&amp;id=14A5D_EANsA0o4lPDytKuNgnk1W2nx3Ic%22" TargetMode="External"/><Relationship Id="rId661" Type="http://schemas.openxmlformats.org/officeDocument/2006/relationships/hyperlink" Target="https://drive.google.com/uc?export=view&amp;id=14A5D_EANsA0o4lPDytKuNgnk1W2nx3Ic%22" TargetMode="External"/><Relationship Id="rId759" Type="http://schemas.openxmlformats.org/officeDocument/2006/relationships/hyperlink" Target="https://drive.google.com/uc?export=view&amp;id=14A5D_EANsA0o4lPDytKuNgnk1W2nx3Ic%22" TargetMode="External"/><Relationship Id="rId11" Type="http://schemas.openxmlformats.org/officeDocument/2006/relationships/hyperlink" Target="https://drive.google.com/uc?export=view&amp;id=14A5D_EANsA0o4lPDytKuNgnk1W2nx3Ic%22" TargetMode="External"/><Relationship Id="rId314" Type="http://schemas.openxmlformats.org/officeDocument/2006/relationships/hyperlink" Target="https://drive.google.com/uc?export=view&amp;id=14A5D_EANsA0o4lPDytKuNgnk1W2nx3Ic%22" TargetMode="External"/><Relationship Id="rId398" Type="http://schemas.openxmlformats.org/officeDocument/2006/relationships/hyperlink" Target="https://drive.google.com/uc?export=view&amp;id=14A5D_EANsA0o4lPDytKuNgnk1W2nx3Ic%22" TargetMode="External"/><Relationship Id="rId521" Type="http://schemas.openxmlformats.org/officeDocument/2006/relationships/hyperlink" Target="https://drive.google.com/uc?export=view&amp;id=14A5D_EANsA0o4lPDytKuNgnk1W2nx3Ic%22" TargetMode="External"/><Relationship Id="rId619" Type="http://schemas.openxmlformats.org/officeDocument/2006/relationships/hyperlink" Target="https://drive.google.com/uc?export=view&amp;id=14A5D_EANsA0o4lPDytKuNgnk1W2nx3Ic%22" TargetMode="External"/><Relationship Id="rId95" Type="http://schemas.openxmlformats.org/officeDocument/2006/relationships/hyperlink" Target="https://drive.google.com/uc?export=view&amp;id=14A5D_EANsA0o4lPDytKuNgnk1W2nx3Ic%22" TargetMode="External"/><Relationship Id="rId160" Type="http://schemas.openxmlformats.org/officeDocument/2006/relationships/hyperlink" Target="https://drive.google.com/uc?export=view&amp;id=14A5D_EANsA0o4lPDytKuNgnk1W2nx3Ic%22" TargetMode="External"/><Relationship Id="rId826" Type="http://schemas.openxmlformats.org/officeDocument/2006/relationships/hyperlink" Target="https://drive.google.com/uc?export=view&amp;id=14A5D_EANsA0o4lPDytKuNgnk1W2nx3Ic%22" TargetMode="External"/><Relationship Id="rId258" Type="http://schemas.openxmlformats.org/officeDocument/2006/relationships/hyperlink" Target="https://drive.google.com/uc?export=view&amp;id=14A5D_EANsA0o4lPDytKuNgnk1W2nx3Ic%22" TargetMode="External"/><Relationship Id="rId465" Type="http://schemas.openxmlformats.org/officeDocument/2006/relationships/hyperlink" Target="https://drive.google.com/uc?export=view&amp;id=14A5D_EANsA0o4lPDytKuNgnk1W2nx3Ic%22" TargetMode="External"/><Relationship Id="rId672" Type="http://schemas.openxmlformats.org/officeDocument/2006/relationships/hyperlink" Target="https://drive.google.com/uc?export=view&amp;id=14A5D_EANsA0o4lPDytKuNgnk1W2nx3Ic%22" TargetMode="External"/><Relationship Id="rId22" Type="http://schemas.openxmlformats.org/officeDocument/2006/relationships/hyperlink" Target="https://drive.google.com/uc?export=view&amp;id=14A5D_EANsA0o4lPDytKuNgnk1W2nx3Ic%22" TargetMode="External"/><Relationship Id="rId118" Type="http://schemas.openxmlformats.org/officeDocument/2006/relationships/hyperlink" Target="https://drive.google.com/uc?export=view&amp;id=14A5D_EANsA0o4lPDytKuNgnk1W2nx3Ic%22" TargetMode="External"/><Relationship Id="rId325" Type="http://schemas.openxmlformats.org/officeDocument/2006/relationships/hyperlink" Target="https://drive.google.com/uc?export=view&amp;id=14A5D_EANsA0o4lPDytKuNgnk1W2nx3Ic%22" TargetMode="External"/><Relationship Id="rId532" Type="http://schemas.openxmlformats.org/officeDocument/2006/relationships/hyperlink" Target="https://drive.google.com/uc?export=view&amp;id=14A5D_EANsA0o4lPDytKuNgnk1W2nx3Ic%22" TargetMode="External"/><Relationship Id="rId171" Type="http://schemas.openxmlformats.org/officeDocument/2006/relationships/hyperlink" Target="https://drive.google.com/uc?export=view&amp;id=14A5D_EANsA0o4lPDytKuNgnk1W2nx3Ic%22" TargetMode="External"/><Relationship Id="rId837" Type="http://schemas.openxmlformats.org/officeDocument/2006/relationships/hyperlink" Target="https://drive.google.com/uc?export=view&amp;id=14A5D_EANsA0o4lPDytKuNgnk1W2nx3Ic%22" TargetMode="External"/><Relationship Id="rId269" Type="http://schemas.openxmlformats.org/officeDocument/2006/relationships/hyperlink" Target="https://drive.google.com/uc?export=view&amp;id=14A5D_EANsA0o4lPDytKuNgnk1W2nx3Ic%22" TargetMode="External"/><Relationship Id="rId476" Type="http://schemas.openxmlformats.org/officeDocument/2006/relationships/hyperlink" Target="https://drive.google.com/uc?export=view&amp;id=14A5D_EANsA0o4lPDytKuNgnk1W2nx3Ic%22" TargetMode="External"/><Relationship Id="rId683" Type="http://schemas.openxmlformats.org/officeDocument/2006/relationships/hyperlink" Target="https://drive.google.com/uc?export=view&amp;id=14A5D_EANsA0o4lPDytKuNgnk1W2nx3Ic%22" TargetMode="External"/><Relationship Id="rId33" Type="http://schemas.openxmlformats.org/officeDocument/2006/relationships/hyperlink" Target="https://drive.google.com/uc?export=view&amp;id=14A5D_EANsA0o4lPDytKuNgnk1W2nx3Ic%22" TargetMode="External"/><Relationship Id="rId129" Type="http://schemas.openxmlformats.org/officeDocument/2006/relationships/hyperlink" Target="https://drive.google.com/uc?export=view&amp;id=14A5D_EANsA0o4lPDytKuNgnk1W2nx3Ic%22" TargetMode="External"/><Relationship Id="rId336" Type="http://schemas.openxmlformats.org/officeDocument/2006/relationships/hyperlink" Target="https://drive.google.com/uc?export=view&amp;id=14A5D_EANsA0o4lPDytKuNgnk1W2nx3Ic%22" TargetMode="External"/><Relationship Id="rId543" Type="http://schemas.openxmlformats.org/officeDocument/2006/relationships/hyperlink" Target="https://drive.google.com/uc?export=view&amp;id=14A5D_EANsA0o4lPDytKuNgnk1W2nx3Ic%22" TargetMode="External"/><Relationship Id="rId182" Type="http://schemas.openxmlformats.org/officeDocument/2006/relationships/hyperlink" Target="https://drive.google.com/uc?export=view&amp;id=14A5D_EANsA0o4lPDytKuNgnk1W2nx3Ic%22" TargetMode="External"/><Relationship Id="rId403" Type="http://schemas.openxmlformats.org/officeDocument/2006/relationships/hyperlink" Target="https://drive.google.com/uc?export=view&amp;id=14A5D_EANsA0o4lPDytKuNgnk1W2nx3Ic%22" TargetMode="External"/><Relationship Id="rId750" Type="http://schemas.openxmlformats.org/officeDocument/2006/relationships/hyperlink" Target="https://drive.google.com/uc?export=view&amp;id=14A5D_EANsA0o4lPDytKuNgnk1W2nx3Ic%22" TargetMode="External"/><Relationship Id="rId848" Type="http://schemas.openxmlformats.org/officeDocument/2006/relationships/hyperlink" Target="https://drive.google.com/uc?export=view&amp;id=14A5D_EANsA0o4lPDytKuNgnk1W2nx3Ic%22" TargetMode="External"/><Relationship Id="rId487" Type="http://schemas.openxmlformats.org/officeDocument/2006/relationships/hyperlink" Target="https://drive.google.com/uc?export=view&amp;id=14A5D_EANsA0o4lPDytKuNgnk1W2nx3Ic%22" TargetMode="External"/><Relationship Id="rId610" Type="http://schemas.openxmlformats.org/officeDocument/2006/relationships/hyperlink" Target="https://drive.google.com/uc?export=view&amp;id=14A5D_EANsA0o4lPDytKuNgnk1W2nx3Ic%22" TargetMode="External"/><Relationship Id="rId694" Type="http://schemas.openxmlformats.org/officeDocument/2006/relationships/hyperlink" Target="https://drive.google.com/uc?export=view&amp;id=14A5D_EANsA0o4lPDytKuNgnk1W2nx3Ic%22" TargetMode="External"/><Relationship Id="rId708" Type="http://schemas.openxmlformats.org/officeDocument/2006/relationships/hyperlink" Target="https://drive.google.com/uc?export=view&amp;id=14A5D_EANsA0o4lPDytKuNgnk1W2nx3Ic%22" TargetMode="External"/><Relationship Id="rId347" Type="http://schemas.openxmlformats.org/officeDocument/2006/relationships/hyperlink" Target="https://drive.google.com/uc?export=view&amp;id=14A5D_EANsA0o4lPDytKuNgnk1W2nx3Ic%22" TargetMode="External"/><Relationship Id="rId44" Type="http://schemas.openxmlformats.org/officeDocument/2006/relationships/hyperlink" Target="https://drive.google.com/uc?export=view&amp;id=14A5D_EANsA0o4lPDytKuNgnk1W2nx3Ic%22" TargetMode="External"/><Relationship Id="rId554" Type="http://schemas.openxmlformats.org/officeDocument/2006/relationships/hyperlink" Target="https://drive.google.com/uc?export=view&amp;id=14A5D_EANsA0o4lPDytKuNgnk1W2nx3Ic%22" TargetMode="External"/><Relationship Id="rId761" Type="http://schemas.openxmlformats.org/officeDocument/2006/relationships/hyperlink" Target="https://drive.google.com/uc?export=view&amp;id=14A5D_EANsA0o4lPDytKuNgnk1W2nx3Ic%22" TargetMode="External"/><Relationship Id="rId859" Type="http://schemas.openxmlformats.org/officeDocument/2006/relationships/hyperlink" Target="https://drive.google.com/uc?export=view&amp;id=14A5D_EANsA0o4lPDytKuNgnk1W2nx3Ic%22" TargetMode="External"/><Relationship Id="rId193" Type="http://schemas.openxmlformats.org/officeDocument/2006/relationships/hyperlink" Target="https://drive.google.com/uc?export=view&amp;id=14A5D_EANsA0o4lPDytKuNgnk1W2nx3Ic%22" TargetMode="External"/><Relationship Id="rId207" Type="http://schemas.openxmlformats.org/officeDocument/2006/relationships/hyperlink" Target="https://drive.google.com/uc?export=view&amp;id=14A5D_EANsA0o4lPDytKuNgnk1W2nx3Ic%22" TargetMode="External"/><Relationship Id="rId414" Type="http://schemas.openxmlformats.org/officeDocument/2006/relationships/hyperlink" Target="https://drive.google.com/uc?export=view&amp;id=14A5D_EANsA0o4lPDytKuNgnk1W2nx3Ic%22" TargetMode="External"/><Relationship Id="rId498" Type="http://schemas.openxmlformats.org/officeDocument/2006/relationships/hyperlink" Target="https://drive.google.com/uc?export=view&amp;id=14A5D_EANsA0o4lPDytKuNgnk1W2nx3Ic%22" TargetMode="External"/><Relationship Id="rId621" Type="http://schemas.openxmlformats.org/officeDocument/2006/relationships/hyperlink" Target="https://drive.google.com/uc?export=view&amp;id=14A5D_EANsA0o4lPDytKuNgnk1W2nx3Ic%22" TargetMode="External"/><Relationship Id="rId260" Type="http://schemas.openxmlformats.org/officeDocument/2006/relationships/hyperlink" Target="https://drive.google.com/uc?export=view&amp;id=14A5D_EANsA0o4lPDytKuNgnk1W2nx3Ic%22" TargetMode="External"/><Relationship Id="rId719" Type="http://schemas.openxmlformats.org/officeDocument/2006/relationships/hyperlink" Target="https://drive.google.com/uc?export=view&amp;id=14A5D_EANsA0o4lPDytKuNgnk1W2nx3Ic%22" TargetMode="External"/><Relationship Id="rId55" Type="http://schemas.openxmlformats.org/officeDocument/2006/relationships/hyperlink" Target="https://drive.google.com/uc?export=view&amp;id=14A5D_EANsA0o4lPDytKuNgnk1W2nx3Ic%22" TargetMode="External"/><Relationship Id="rId120" Type="http://schemas.openxmlformats.org/officeDocument/2006/relationships/hyperlink" Target="https://drive.google.com/uc?export=view&amp;id=14A5D_EANsA0o4lPDytKuNgnk1W2nx3Ic%22" TargetMode="External"/><Relationship Id="rId358" Type="http://schemas.openxmlformats.org/officeDocument/2006/relationships/hyperlink" Target="https://drive.google.com/uc?export=view&amp;id=14A5D_EANsA0o4lPDytKuNgnk1W2nx3Ic%22" TargetMode="External"/><Relationship Id="rId565" Type="http://schemas.openxmlformats.org/officeDocument/2006/relationships/hyperlink" Target="https://drive.google.com/uc?export=view&amp;id=14A5D_EANsA0o4lPDytKuNgnk1W2nx3Ic%22" TargetMode="External"/><Relationship Id="rId772" Type="http://schemas.openxmlformats.org/officeDocument/2006/relationships/hyperlink" Target="https://drive.google.com/uc?export=view&amp;id=14A5D_EANsA0o4lPDytKuNgnk1W2nx3Ic%22" TargetMode="External"/><Relationship Id="rId218" Type="http://schemas.openxmlformats.org/officeDocument/2006/relationships/hyperlink" Target="https://drive.google.com/uc?export=view&amp;id=14A5D_EANsA0o4lPDytKuNgnk1W2nx3Ic%22" TargetMode="External"/><Relationship Id="rId425" Type="http://schemas.openxmlformats.org/officeDocument/2006/relationships/hyperlink" Target="https://drive.google.com/uc?export=view&amp;id=14A5D_EANsA0o4lPDytKuNgnk1W2nx3Ic%22" TargetMode="External"/><Relationship Id="rId632" Type="http://schemas.openxmlformats.org/officeDocument/2006/relationships/hyperlink" Target="https://drive.google.com/uc?export=view&amp;id=14A5D_EANsA0o4lPDytKuNgnk1W2nx3Ic%22" TargetMode="External"/><Relationship Id="rId271" Type="http://schemas.openxmlformats.org/officeDocument/2006/relationships/hyperlink" Target="https://drive.google.com/uc?export=view&amp;id=14A5D_EANsA0o4lPDytKuNgnk1W2nx3Ic%22" TargetMode="External"/><Relationship Id="rId66" Type="http://schemas.openxmlformats.org/officeDocument/2006/relationships/hyperlink" Target="https://drive.google.com/uc?export=view&amp;id=14A5D_EANsA0o4lPDytKuNgnk1W2nx3Ic%22" TargetMode="External"/><Relationship Id="rId131" Type="http://schemas.openxmlformats.org/officeDocument/2006/relationships/hyperlink" Target="https://drive.google.com/uc?export=view&amp;id=14A5D_EANsA0o4lPDytKuNgnk1W2nx3Ic%22" TargetMode="External"/><Relationship Id="rId369" Type="http://schemas.openxmlformats.org/officeDocument/2006/relationships/hyperlink" Target="https://drive.google.com/uc?export=view&amp;id=14A5D_EANsA0o4lPDytKuNgnk1W2nx3Ic%22" TargetMode="External"/><Relationship Id="rId576" Type="http://schemas.openxmlformats.org/officeDocument/2006/relationships/hyperlink" Target="https://drive.google.com/uc?export=view&amp;id=14A5D_EANsA0o4lPDytKuNgnk1W2nx3Ic%22" TargetMode="External"/><Relationship Id="rId783" Type="http://schemas.openxmlformats.org/officeDocument/2006/relationships/hyperlink" Target="https://drive.google.com/uc?export=view&amp;id=14A5D_EANsA0o4lPDytKuNgnk1W2nx3Ic%22" TargetMode="External"/><Relationship Id="rId229" Type="http://schemas.openxmlformats.org/officeDocument/2006/relationships/hyperlink" Target="https://drive.google.com/uc?export=view&amp;id=14A5D_EANsA0o4lPDytKuNgnk1W2nx3Ic%22" TargetMode="External"/><Relationship Id="rId436" Type="http://schemas.openxmlformats.org/officeDocument/2006/relationships/hyperlink" Target="https://drive.google.com/uc?export=view&amp;id=14A5D_EANsA0o4lPDytKuNgnk1W2nx3Ic%22" TargetMode="External"/><Relationship Id="rId643" Type="http://schemas.openxmlformats.org/officeDocument/2006/relationships/hyperlink" Target="https://drive.google.com/uc?export=view&amp;id=14A5D_EANsA0o4lPDytKuNgnk1W2nx3Ic%22" TargetMode="External"/><Relationship Id="rId850" Type="http://schemas.openxmlformats.org/officeDocument/2006/relationships/hyperlink" Target="https://drive.google.com/uc?export=view&amp;id=14A5D_EANsA0o4lPDytKuNgnk1W2nx3Ic%22" TargetMode="External"/><Relationship Id="rId77" Type="http://schemas.openxmlformats.org/officeDocument/2006/relationships/hyperlink" Target="https://drive.google.com/uc?export=view&amp;id=14A5D_EANsA0o4lPDytKuNgnk1W2nx3Ic%22" TargetMode="External"/><Relationship Id="rId282" Type="http://schemas.openxmlformats.org/officeDocument/2006/relationships/hyperlink" Target="https://drive.google.com/uc?export=view&amp;id=14A5D_EANsA0o4lPDytKuNgnk1W2nx3Ic%22" TargetMode="External"/><Relationship Id="rId503" Type="http://schemas.openxmlformats.org/officeDocument/2006/relationships/hyperlink" Target="https://drive.google.com/uc?export=view&amp;id=14A5D_EANsA0o4lPDytKuNgnk1W2nx3Ic%22" TargetMode="External"/><Relationship Id="rId587" Type="http://schemas.openxmlformats.org/officeDocument/2006/relationships/hyperlink" Target="https://drive.google.com/uc?export=view&amp;id=14A5D_EANsA0o4lPDytKuNgnk1W2nx3Ic%22" TargetMode="External"/><Relationship Id="rId710" Type="http://schemas.openxmlformats.org/officeDocument/2006/relationships/hyperlink" Target="https://drive.google.com/uc?export=view&amp;id=14A5D_EANsA0o4lPDytKuNgnk1W2nx3Ic%22" TargetMode="External"/><Relationship Id="rId808" Type="http://schemas.openxmlformats.org/officeDocument/2006/relationships/hyperlink" Target="https://drive.google.com/uc?export=view&amp;id=14A5D_EANsA0o4lPDytKuNgnk1W2nx3Ic%22" TargetMode="External"/><Relationship Id="rId8" Type="http://schemas.openxmlformats.org/officeDocument/2006/relationships/hyperlink" Target="https://drive.google.com/uc?export=view&amp;id=14A5D_EANsA0o4lPDytKuNgnk1W2nx3Ic%22" TargetMode="External"/><Relationship Id="rId142" Type="http://schemas.openxmlformats.org/officeDocument/2006/relationships/hyperlink" Target="https://drive.google.com/uc?export=view&amp;id=14A5D_EANsA0o4lPDytKuNgnk1W2nx3Ic%22" TargetMode="External"/><Relationship Id="rId447" Type="http://schemas.openxmlformats.org/officeDocument/2006/relationships/hyperlink" Target="https://drive.google.com/uc?export=view&amp;id=14A5D_EANsA0o4lPDytKuNgnk1W2nx3Ic%22" TargetMode="External"/><Relationship Id="rId794" Type="http://schemas.openxmlformats.org/officeDocument/2006/relationships/hyperlink" Target="https://drive.google.com/uc?export=view&amp;id=14A5D_EANsA0o4lPDytKuNgnk1W2nx3Ic%22" TargetMode="External"/><Relationship Id="rId654" Type="http://schemas.openxmlformats.org/officeDocument/2006/relationships/hyperlink" Target="https://drive.google.com/uc?export=view&amp;id=14A5D_EANsA0o4lPDytKuNgnk1W2nx3Ic%22" TargetMode="External"/><Relationship Id="rId861" Type="http://schemas.openxmlformats.org/officeDocument/2006/relationships/hyperlink" Target="https://drive.google.com/uc?export=view&amp;id=14A5D_EANsA0o4lPDytKuNgnk1W2nx3Ic%22" TargetMode="External"/><Relationship Id="rId293" Type="http://schemas.openxmlformats.org/officeDocument/2006/relationships/hyperlink" Target="https://drive.google.com/uc?export=view&amp;id=14A5D_EANsA0o4lPDytKuNgnk1W2nx3Ic%22" TargetMode="External"/><Relationship Id="rId307" Type="http://schemas.openxmlformats.org/officeDocument/2006/relationships/hyperlink" Target="https://drive.google.com/uc?export=view&amp;id=14A5D_EANsA0o4lPDytKuNgnk1W2nx3Ic%22" TargetMode="External"/><Relationship Id="rId514" Type="http://schemas.openxmlformats.org/officeDocument/2006/relationships/hyperlink" Target="https://drive.google.com/uc?export=view&amp;id=14A5D_EANsA0o4lPDytKuNgnk1W2nx3Ic%22" TargetMode="External"/><Relationship Id="rId721" Type="http://schemas.openxmlformats.org/officeDocument/2006/relationships/hyperlink" Target="https://drive.google.com/uc?export=view&amp;id=14A5D_EANsA0o4lPDytKuNgnk1W2nx3Ic%22" TargetMode="External"/><Relationship Id="rId88" Type="http://schemas.openxmlformats.org/officeDocument/2006/relationships/hyperlink" Target="https://drive.google.com/uc?export=view&amp;id=14A5D_EANsA0o4lPDytKuNgnk1W2nx3Ic%22" TargetMode="External"/><Relationship Id="rId153" Type="http://schemas.openxmlformats.org/officeDocument/2006/relationships/hyperlink" Target="https://drive.google.com/uc?export=view&amp;id=14A5D_EANsA0o4lPDytKuNgnk1W2nx3Ic%22" TargetMode="External"/><Relationship Id="rId360" Type="http://schemas.openxmlformats.org/officeDocument/2006/relationships/hyperlink" Target="https://drive.google.com/uc?export=view&amp;id=14A5D_EANsA0o4lPDytKuNgnk1W2nx3Ic%22" TargetMode="External"/><Relationship Id="rId598" Type="http://schemas.openxmlformats.org/officeDocument/2006/relationships/hyperlink" Target="https://drive.google.com/uc?export=view&amp;id=14A5D_EANsA0o4lPDytKuNgnk1W2nx3Ic%22" TargetMode="External"/><Relationship Id="rId819" Type="http://schemas.openxmlformats.org/officeDocument/2006/relationships/hyperlink" Target="https://drive.google.com/uc?export=view&amp;id=14A5D_EANsA0o4lPDytKuNgnk1W2nx3Ic%22" TargetMode="External"/><Relationship Id="rId220" Type="http://schemas.openxmlformats.org/officeDocument/2006/relationships/hyperlink" Target="https://drive.google.com/uc?export=view&amp;id=14A5D_EANsA0o4lPDytKuNgnk1W2nx3Ic%22" TargetMode="External"/><Relationship Id="rId458" Type="http://schemas.openxmlformats.org/officeDocument/2006/relationships/hyperlink" Target="https://drive.google.com/uc?export=view&amp;id=14A5D_EANsA0o4lPDytKuNgnk1W2nx3Ic%22" TargetMode="External"/><Relationship Id="rId665" Type="http://schemas.openxmlformats.org/officeDocument/2006/relationships/hyperlink" Target="https://drive.google.com/uc?export=view&amp;id=14A5D_EANsA0o4lPDytKuNgnk1W2nx3Ic%22" TargetMode="External"/><Relationship Id="rId872" Type="http://schemas.openxmlformats.org/officeDocument/2006/relationships/hyperlink" Target="https://drive.google.com/uc?export=view&amp;id=14A5D_EANsA0o4lPDytKuNgnk1W2nx3Ic%22"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827" Type="http://schemas.openxmlformats.org/officeDocument/2006/relationships/hyperlink" Target="http://marthapatric.cruz-bbva.com/" TargetMode="External"/><Relationship Id="rId170" Type="http://schemas.openxmlformats.org/officeDocument/2006/relationships/hyperlink" Target="http://yurimilena.moreno-bbva.com/" TargetMode="External"/><Relationship Id="rId987" Type="http://schemas.openxmlformats.org/officeDocument/2006/relationships/hyperlink" Target="http://nathiahayosara.amado-bbva.com/" TargetMode="External"/><Relationship Id="rId847" Type="http://schemas.openxmlformats.org/officeDocument/2006/relationships/hyperlink" Target="http://clara.mora-bbva.com/" TargetMode="External"/><Relationship Id="rId1477" Type="http://schemas.openxmlformats.org/officeDocument/2006/relationships/hyperlink" Target="http://fredy.pineda-bbva.com/" TargetMode="External"/><Relationship Id="rId1684" Type="http://schemas.openxmlformats.org/officeDocument/2006/relationships/hyperlink" Target="http://nelson.ruiz-bbva.com/" TargetMode="External"/><Relationship Id="rId1891" Type="http://schemas.openxmlformats.org/officeDocument/2006/relationships/hyperlink" Target="http://alirio.bermudez-bbva.com/" TargetMode="External"/><Relationship Id="rId2528" Type="http://schemas.openxmlformats.org/officeDocument/2006/relationships/hyperlink" Target="https://globaldevtools.bbva.com/jira/browse/COLWSVALOR-148" TargetMode="External"/><Relationship Id="rId707" Type="http://schemas.openxmlformats.org/officeDocument/2006/relationships/hyperlink" Target="http://leidyjohanna.zambrano-bbva.com/" TargetMode="External"/><Relationship Id="rId914" Type="http://schemas.openxmlformats.org/officeDocument/2006/relationships/hyperlink" Target="http://elizabeth.diaz-bbva.com/" TargetMode="External"/><Relationship Id="rId1337" Type="http://schemas.openxmlformats.org/officeDocument/2006/relationships/hyperlink" Target="http://angie.castaneda-bbva.com/" TargetMode="External"/><Relationship Id="rId1544" Type="http://schemas.openxmlformats.org/officeDocument/2006/relationships/hyperlink" Target="http://hugofernando.parra-bbva.com/" TargetMode="External"/><Relationship Id="rId1751" Type="http://schemas.openxmlformats.org/officeDocument/2006/relationships/hyperlink" Target="http://nelson.ruiz-bbva.com/" TargetMode="External"/><Relationship Id="rId43" Type="http://schemas.openxmlformats.org/officeDocument/2006/relationships/hyperlink" Target="http://pabloalexand.ortiz-bbva.com/" TargetMode="External"/><Relationship Id="rId1404" Type="http://schemas.openxmlformats.org/officeDocument/2006/relationships/hyperlink" Target="http://geovany.ramirez-bbva.com/" TargetMode="External"/><Relationship Id="rId1611" Type="http://schemas.openxmlformats.org/officeDocument/2006/relationships/hyperlink" Target="https://globaldevtools.bbva.com/jira/browse/COLWSCANAL-13585" TargetMode="External"/><Relationship Id="rId497" Type="http://schemas.openxmlformats.org/officeDocument/2006/relationships/hyperlink" Target="http://giulianaandrea.guarin-bbva.com/" TargetMode="External"/><Relationship Id="rId2178" Type="http://schemas.openxmlformats.org/officeDocument/2006/relationships/hyperlink" Target="https://globaldevtools.bbva.com/jira/browse/COLWSSEGUR-52" TargetMode="External"/><Relationship Id="rId2385" Type="http://schemas.openxmlformats.org/officeDocument/2006/relationships/hyperlink" Target="http://fernando.garciameza-bbva.com/" TargetMode="External"/><Relationship Id="rId357" Type="http://schemas.openxmlformats.org/officeDocument/2006/relationships/hyperlink" Target="http://jimy.catolico-bbva.com/" TargetMode="External"/><Relationship Id="rId1194" Type="http://schemas.openxmlformats.org/officeDocument/2006/relationships/hyperlink" Target="http://angie.castaneda-bbva.com/" TargetMode="External"/><Relationship Id="rId2038" Type="http://schemas.openxmlformats.org/officeDocument/2006/relationships/hyperlink" Target="http://monica.zamudio-bbva.com/" TargetMode="External"/><Relationship Id="rId2592" Type="http://schemas.openxmlformats.org/officeDocument/2006/relationships/hyperlink" Target="http://ronal.saavedra-bbva.com/" TargetMode="External"/><Relationship Id="rId217" Type="http://schemas.openxmlformats.org/officeDocument/2006/relationships/hyperlink" Target="http://yurimilena.moreno-bbva.com/" TargetMode="External"/><Relationship Id="rId564" Type="http://schemas.openxmlformats.org/officeDocument/2006/relationships/hyperlink" Target="http://catalina.villamil-bbva.com/" TargetMode="External"/><Relationship Id="rId771" Type="http://schemas.openxmlformats.org/officeDocument/2006/relationships/hyperlink" Target="https://globaldevtools.bbva.com/jira/browse/COLWSCONTA-26" TargetMode="External"/><Relationship Id="rId2245" Type="http://schemas.openxmlformats.org/officeDocument/2006/relationships/hyperlink" Target="http://katherine.michaels-bbva.com/" TargetMode="External"/><Relationship Id="rId2452" Type="http://schemas.openxmlformats.org/officeDocument/2006/relationships/hyperlink" Target="http://jorge.blanco-bbva.com/" TargetMode="External"/><Relationship Id="rId424" Type="http://schemas.openxmlformats.org/officeDocument/2006/relationships/hyperlink" Target="https://globaldevtools.bbva.com/jira/browse/COLWSCANAL-6281" TargetMode="External"/><Relationship Id="rId631" Type="http://schemas.openxmlformats.org/officeDocument/2006/relationships/hyperlink" Target="https://globaldevtools.bbva.com/jira/browse/COLWSMEDIO-431" TargetMode="External"/><Relationship Id="rId1054" Type="http://schemas.openxmlformats.org/officeDocument/2006/relationships/hyperlink" Target="http://jeissonandres.diaz.rodriguez-bbva.com/" TargetMode="External"/><Relationship Id="rId1261" Type="http://schemas.openxmlformats.org/officeDocument/2006/relationships/hyperlink" Target="http://angie.castaneda-bbva.com/" TargetMode="External"/><Relationship Id="rId2105" Type="http://schemas.openxmlformats.org/officeDocument/2006/relationships/hyperlink" Target="http://hugo.mongua-bbva.com/" TargetMode="External"/><Relationship Id="rId2312" Type="http://schemas.openxmlformats.org/officeDocument/2006/relationships/hyperlink" Target="http://katherine.michaels-bbva.com/" TargetMode="External"/><Relationship Id="rId1121" Type="http://schemas.openxmlformats.org/officeDocument/2006/relationships/hyperlink" Target="http://rociomarcela.lopez-bbva.com/" TargetMode="External"/><Relationship Id="rId1938" Type="http://schemas.openxmlformats.org/officeDocument/2006/relationships/hyperlink" Target="https://globaldevtools.bbva.com/jira/browse/COLWSMEDIO-2569" TargetMode="External"/><Relationship Id="rId281" Type="http://schemas.openxmlformats.org/officeDocument/2006/relationships/hyperlink" Target="http://jimy.catolico-bbva.com/" TargetMode="External"/><Relationship Id="rId141" Type="http://schemas.openxmlformats.org/officeDocument/2006/relationships/hyperlink" Target="http://nelsonandres.bohorquez-bbva.com/" TargetMode="External"/><Relationship Id="rId7" Type="http://schemas.openxmlformats.org/officeDocument/2006/relationships/hyperlink" Target="http://marthaconsuelo.parra-bbva.com/" TargetMode="External"/><Relationship Id="rId958" Type="http://schemas.openxmlformats.org/officeDocument/2006/relationships/hyperlink" Target="http://elizabeth.diaz-bbva.com/" TargetMode="External"/><Relationship Id="rId1588" Type="http://schemas.openxmlformats.org/officeDocument/2006/relationships/hyperlink" Target="http://andrea.orrego-bbva.com/" TargetMode="External"/><Relationship Id="rId1795" Type="http://schemas.openxmlformats.org/officeDocument/2006/relationships/hyperlink" Target="http://ivan_dario.ariza-bbva.com/" TargetMode="External"/><Relationship Id="rId87" Type="http://schemas.openxmlformats.org/officeDocument/2006/relationships/hyperlink" Target="http://pabloalexand.ortiz-bbva.com/" TargetMode="External"/><Relationship Id="rId818" Type="http://schemas.openxmlformats.org/officeDocument/2006/relationships/hyperlink" Target="http://nathiahayosara.amado-bbva.com/" TargetMode="External"/><Relationship Id="rId1448" Type="http://schemas.openxmlformats.org/officeDocument/2006/relationships/hyperlink" Target="http://hugofernando.parra-bbva.com/" TargetMode="External"/><Relationship Id="rId1655" Type="http://schemas.openxmlformats.org/officeDocument/2006/relationships/hyperlink" Target="http://elizabeth.diaz-bbva.com/" TargetMode="External"/><Relationship Id="rId1308" Type="http://schemas.openxmlformats.org/officeDocument/2006/relationships/hyperlink" Target="http://paolaandrea.guzman-bbva.com/" TargetMode="External"/><Relationship Id="rId1862" Type="http://schemas.openxmlformats.org/officeDocument/2006/relationships/hyperlink" Target="http://alirio.bermudez-bbva.com/" TargetMode="External"/><Relationship Id="rId1515" Type="http://schemas.openxmlformats.org/officeDocument/2006/relationships/hyperlink" Target="http://david.juvinao-bbva.com/" TargetMode="External"/><Relationship Id="rId1722" Type="http://schemas.openxmlformats.org/officeDocument/2006/relationships/hyperlink" Target="http://alirio.bermudez-bbva.com/" TargetMode="External"/><Relationship Id="rId14" Type="http://schemas.openxmlformats.org/officeDocument/2006/relationships/hyperlink" Target="http://brigitteandrea.rincon-bbva.com/" TargetMode="External"/><Relationship Id="rId2289" Type="http://schemas.openxmlformats.org/officeDocument/2006/relationships/hyperlink" Target="http://katherine.michaels-bbva.com/" TargetMode="External"/><Relationship Id="rId2496" Type="http://schemas.openxmlformats.org/officeDocument/2006/relationships/hyperlink" Target="http://ivan_dario.ariza-bbva.com/" TargetMode="External"/><Relationship Id="rId468" Type="http://schemas.openxmlformats.org/officeDocument/2006/relationships/hyperlink" Target="https://globaldevtools.bbva.com/jira/browse/COLWSCANAL-12681" TargetMode="External"/><Relationship Id="rId675" Type="http://schemas.openxmlformats.org/officeDocument/2006/relationships/hyperlink" Target="https://globaldevtools.bbva.com/jira/browse/COLWSCANAL-14514" TargetMode="External"/><Relationship Id="rId882" Type="http://schemas.openxmlformats.org/officeDocument/2006/relationships/hyperlink" Target="http://nathiahayosara.amado-bbva.com/" TargetMode="External"/><Relationship Id="rId1098" Type="http://schemas.openxmlformats.org/officeDocument/2006/relationships/hyperlink" Target="http://rociomarcela.lopez-bbva.com/" TargetMode="External"/><Relationship Id="rId2149" Type="http://schemas.openxmlformats.org/officeDocument/2006/relationships/hyperlink" Target="http://monica.zamudio-bbva.com/" TargetMode="External"/><Relationship Id="rId2356" Type="http://schemas.openxmlformats.org/officeDocument/2006/relationships/hyperlink" Target="http://monicaandrea.rodriguez.penago-bbva.com/" TargetMode="External"/><Relationship Id="rId2563" Type="http://schemas.openxmlformats.org/officeDocument/2006/relationships/hyperlink" Target="http://nathaliamaria.torres-bbva.com/" TargetMode="External"/><Relationship Id="rId328" Type="http://schemas.openxmlformats.org/officeDocument/2006/relationships/hyperlink" Target="http://jimy.catolico-bbva.com/" TargetMode="External"/><Relationship Id="rId535" Type="http://schemas.openxmlformats.org/officeDocument/2006/relationships/hyperlink" Target="http://jhon.molina-bbva.com/" TargetMode="External"/><Relationship Id="rId742" Type="http://schemas.openxmlformats.org/officeDocument/2006/relationships/hyperlink" Target="http://leidyjohanna.zambrano-bbva.com/" TargetMode="External"/><Relationship Id="rId1165" Type="http://schemas.openxmlformats.org/officeDocument/2006/relationships/hyperlink" Target="https://globaldevtools.bbva.com/jira/browse/COLWSCUENT-2017" TargetMode="External"/><Relationship Id="rId1372" Type="http://schemas.openxmlformats.org/officeDocument/2006/relationships/hyperlink" Target="http://angie.castaneda-bbva.com/" TargetMode="External"/><Relationship Id="rId2009" Type="http://schemas.openxmlformats.org/officeDocument/2006/relationships/hyperlink" Target="http://olga.lara-bbva.com/" TargetMode="External"/><Relationship Id="rId2216" Type="http://schemas.openxmlformats.org/officeDocument/2006/relationships/hyperlink" Target="http://katherine.michaels-bbva.com/" TargetMode="External"/><Relationship Id="rId2423" Type="http://schemas.openxmlformats.org/officeDocument/2006/relationships/hyperlink" Target="http://juan.orozco-bbva.com/" TargetMode="External"/><Relationship Id="rId602" Type="http://schemas.openxmlformats.org/officeDocument/2006/relationships/hyperlink" Target="http://elizabeth.diaz-bbva.com/" TargetMode="External"/><Relationship Id="rId1025" Type="http://schemas.openxmlformats.org/officeDocument/2006/relationships/hyperlink" Target="http://nathiahayosara.amado-bbva.com/" TargetMode="External"/><Relationship Id="rId1232" Type="http://schemas.openxmlformats.org/officeDocument/2006/relationships/hyperlink" Target="http://angie.castaneda-bbva.com/" TargetMode="External"/><Relationship Id="rId185" Type="http://schemas.openxmlformats.org/officeDocument/2006/relationships/hyperlink" Target="http://monica.zamudio-bbva.com/" TargetMode="External"/><Relationship Id="rId1909" Type="http://schemas.openxmlformats.org/officeDocument/2006/relationships/hyperlink" Target="http://alirio.bermudez-bbva.com/" TargetMode="External"/><Relationship Id="rId392" Type="http://schemas.openxmlformats.org/officeDocument/2006/relationships/hyperlink" Target="https://globaldevtools.bbva.com/jira/browse/COLWSMEDIO-4080" TargetMode="External"/><Relationship Id="rId2073" Type="http://schemas.openxmlformats.org/officeDocument/2006/relationships/hyperlink" Target="http://monica.zamudio-bbva.com/" TargetMode="External"/><Relationship Id="rId2280" Type="http://schemas.openxmlformats.org/officeDocument/2006/relationships/hyperlink" Target="https://globaldevtools.bbva.com/jira/browse/COLWSSEGUR-7" TargetMode="External"/><Relationship Id="rId252" Type="http://schemas.openxmlformats.org/officeDocument/2006/relationships/hyperlink" Target="http://juliocesar.estupinan-bbva.com/" TargetMode="External"/><Relationship Id="rId2140" Type="http://schemas.openxmlformats.org/officeDocument/2006/relationships/hyperlink" Target="http://hugo.mongua-bbva.com/" TargetMode="External"/><Relationship Id="rId112" Type="http://schemas.openxmlformats.org/officeDocument/2006/relationships/hyperlink" Target="http://brenda.monsalve-bbva.com/" TargetMode="External"/><Relationship Id="rId1699" Type="http://schemas.openxmlformats.org/officeDocument/2006/relationships/hyperlink" Target="http://alirio.bermudez-bbva.com/" TargetMode="External"/><Relationship Id="rId2000" Type="http://schemas.openxmlformats.org/officeDocument/2006/relationships/hyperlink" Target="https://globaldevtools.bbva.com/jira/browse/COLWSCANAL-5619" TargetMode="External"/><Relationship Id="rId929" Type="http://schemas.openxmlformats.org/officeDocument/2006/relationships/hyperlink" Target="http://jeissonandres.diaz.rodriguez-bbva.com/" TargetMode="External"/><Relationship Id="rId1559" Type="http://schemas.openxmlformats.org/officeDocument/2006/relationships/hyperlink" Target="https://globaldevtools.bbva.com/jira/browse/COLWSCANAL-13481" TargetMode="External"/><Relationship Id="rId1766" Type="http://schemas.openxmlformats.org/officeDocument/2006/relationships/hyperlink" Target="http://alirio.bermudez-bbva.com/" TargetMode="External"/><Relationship Id="rId1973" Type="http://schemas.openxmlformats.org/officeDocument/2006/relationships/hyperlink" Target="http://ivan_dario.ariza-bbva.com/" TargetMode="External"/><Relationship Id="rId58" Type="http://schemas.openxmlformats.org/officeDocument/2006/relationships/hyperlink" Target="http://jorgeenrique.vivas-bbva.com/" TargetMode="External"/><Relationship Id="rId1419" Type="http://schemas.openxmlformats.org/officeDocument/2006/relationships/hyperlink" Target="https://globaldevtools.bbva.com/jira/browse/COLWSPREST-2155" TargetMode="External"/><Relationship Id="rId1626" Type="http://schemas.openxmlformats.org/officeDocument/2006/relationships/hyperlink" Target="http://yurimilena.moreno-bbva.com/" TargetMode="External"/><Relationship Id="rId1833" Type="http://schemas.openxmlformats.org/officeDocument/2006/relationships/hyperlink" Target="https://globaldevtools.bbva.com/jira/browse/COLWSNORMA-343" TargetMode="External"/><Relationship Id="rId1900" Type="http://schemas.openxmlformats.org/officeDocument/2006/relationships/hyperlink" Target="http://andresfelipe.granados-bbva.com/" TargetMode="External"/><Relationship Id="rId579" Type="http://schemas.openxmlformats.org/officeDocument/2006/relationships/hyperlink" Target="https://globaldevtools.bbva.com/jira/browse/COLWSCANAL-8564" TargetMode="External"/><Relationship Id="rId786" Type="http://schemas.openxmlformats.org/officeDocument/2006/relationships/hyperlink" Target="http://elizabeth.diaz-bbva.com/" TargetMode="External"/><Relationship Id="rId993" Type="http://schemas.openxmlformats.org/officeDocument/2006/relationships/hyperlink" Target="http://nathiahayosara.amado-bbva.com/" TargetMode="External"/><Relationship Id="rId2467" Type="http://schemas.openxmlformats.org/officeDocument/2006/relationships/hyperlink" Target="http://juan.orozco-bbva.com/" TargetMode="External"/><Relationship Id="rId439" Type="http://schemas.openxmlformats.org/officeDocument/2006/relationships/hyperlink" Target="http://juhan.lozano-bbva.com/" TargetMode="External"/><Relationship Id="rId646" Type="http://schemas.openxmlformats.org/officeDocument/2006/relationships/hyperlink" Target="http://jhon.molina-bbva.com/" TargetMode="External"/><Relationship Id="rId1069" Type="http://schemas.openxmlformats.org/officeDocument/2006/relationships/hyperlink" Target="http://jeissonandres.diaz.rodriguez-bbva.com/" TargetMode="External"/><Relationship Id="rId1276" Type="http://schemas.openxmlformats.org/officeDocument/2006/relationships/hyperlink" Target="http://monica.zamudio-bbva.com/" TargetMode="External"/><Relationship Id="rId1483" Type="http://schemas.openxmlformats.org/officeDocument/2006/relationships/hyperlink" Target="http://hugofernando.parra-bbva.com/" TargetMode="External"/><Relationship Id="rId2327" Type="http://schemas.openxmlformats.org/officeDocument/2006/relationships/hyperlink" Target="https://globaldevtools.bbva.com/jira/browse/COLWSSEGUR-206" TargetMode="External"/><Relationship Id="rId506" Type="http://schemas.openxmlformats.org/officeDocument/2006/relationships/hyperlink" Target="http://giulianaandrea.guarin-bbva.com/" TargetMode="External"/><Relationship Id="rId853" Type="http://schemas.openxmlformats.org/officeDocument/2006/relationships/hyperlink" Target="https://globaldevtools.bbva.com/jira/browse/COLWSPREST-345" TargetMode="External"/><Relationship Id="rId1136" Type="http://schemas.openxmlformats.org/officeDocument/2006/relationships/hyperlink" Target="http://angie.castaneda-bbva.com/" TargetMode="External"/><Relationship Id="rId1690" Type="http://schemas.openxmlformats.org/officeDocument/2006/relationships/hyperlink" Target="https://globaldevtools.bbva.com/jira/browse/COLWSCONTA-243" TargetMode="External"/><Relationship Id="rId2534" Type="http://schemas.openxmlformats.org/officeDocument/2006/relationships/hyperlink" Target="http://catalina.villamil-bbva.com/" TargetMode="External"/><Relationship Id="rId713" Type="http://schemas.openxmlformats.org/officeDocument/2006/relationships/hyperlink" Target="https://globaldevtools.bbva.com/jira/browse/COLWSCANAL-12747" TargetMode="External"/><Relationship Id="rId920" Type="http://schemas.openxmlformats.org/officeDocument/2006/relationships/hyperlink" Target="http://nathiahayosara.amado-bbva.com/" TargetMode="External"/><Relationship Id="rId1343" Type="http://schemas.openxmlformats.org/officeDocument/2006/relationships/hyperlink" Target="http://paolaandrea.guzman-bbva.com/" TargetMode="External"/><Relationship Id="rId1550" Type="http://schemas.openxmlformats.org/officeDocument/2006/relationships/hyperlink" Target="http://paulocesar.sastoque-bbva.com/" TargetMode="External"/><Relationship Id="rId2601" Type="http://schemas.openxmlformats.org/officeDocument/2006/relationships/hyperlink" Target="http://lizethalejandra.caseres-bbva.com/" TargetMode="External"/><Relationship Id="rId1203" Type="http://schemas.openxmlformats.org/officeDocument/2006/relationships/hyperlink" Target="http://sandra.espinosa-bbva.com/" TargetMode="External"/><Relationship Id="rId1410" Type="http://schemas.openxmlformats.org/officeDocument/2006/relationships/hyperlink" Target="http://hugofernando.parra-bbva.com/" TargetMode="External"/><Relationship Id="rId296" Type="http://schemas.openxmlformats.org/officeDocument/2006/relationships/hyperlink" Target="http://jimy.catolico-bbva.com/" TargetMode="External"/><Relationship Id="rId2184" Type="http://schemas.openxmlformats.org/officeDocument/2006/relationships/hyperlink" Target="http://mariajuliana.rodriguez-bbva.com/" TargetMode="External"/><Relationship Id="rId2391" Type="http://schemas.openxmlformats.org/officeDocument/2006/relationships/hyperlink" Target="http://juan.orozco-bbva.com/" TargetMode="External"/><Relationship Id="rId156" Type="http://schemas.openxmlformats.org/officeDocument/2006/relationships/hyperlink" Target="https://globaldevtools.bbva.com/jira/browse/COLWSDATIO-3188" TargetMode="External"/><Relationship Id="rId363" Type="http://schemas.openxmlformats.org/officeDocument/2006/relationships/hyperlink" Target="http://luz.rodriguez-bbva.com/" TargetMode="External"/><Relationship Id="rId570" Type="http://schemas.openxmlformats.org/officeDocument/2006/relationships/hyperlink" Target="http://nathaliamaria.torres-bbva.com/" TargetMode="External"/><Relationship Id="rId2044" Type="http://schemas.openxmlformats.org/officeDocument/2006/relationships/hyperlink" Target="http://marthapatric.cruz-bbva.com/" TargetMode="External"/><Relationship Id="rId2251" Type="http://schemas.openxmlformats.org/officeDocument/2006/relationships/hyperlink" Target="http://felipe.guzman-bbva.com/" TargetMode="External"/><Relationship Id="rId223" Type="http://schemas.openxmlformats.org/officeDocument/2006/relationships/hyperlink" Target="http://jimy.catolico-bbva.com/" TargetMode="External"/><Relationship Id="rId430" Type="http://schemas.openxmlformats.org/officeDocument/2006/relationships/hyperlink" Target="http://giulianaandrea.guarin-bbva.com/" TargetMode="External"/><Relationship Id="rId1060" Type="http://schemas.openxmlformats.org/officeDocument/2006/relationships/hyperlink" Target="http://nathiahayosara.amado-bbva.com/" TargetMode="External"/><Relationship Id="rId2111" Type="http://schemas.openxmlformats.org/officeDocument/2006/relationships/hyperlink" Target="https://globaldevtools.bbva.com/jira/browse/COLWSCUENT-2385" TargetMode="External"/><Relationship Id="rId1877" Type="http://schemas.openxmlformats.org/officeDocument/2006/relationships/hyperlink" Target="http://alirio.bermudez-bbva.com/" TargetMode="External"/><Relationship Id="rId1737" Type="http://schemas.openxmlformats.org/officeDocument/2006/relationships/hyperlink" Target="https://globaldevtools.bbva.com/jira/browse/COLWSCUENT-296" TargetMode="External"/><Relationship Id="rId1944" Type="http://schemas.openxmlformats.org/officeDocument/2006/relationships/hyperlink" Target="http://yeraldineandrea.sierra-bbva.com/" TargetMode="External"/><Relationship Id="rId29" Type="http://schemas.openxmlformats.org/officeDocument/2006/relationships/hyperlink" Target="http://pabloalexand.ortiz-bbva.com/" TargetMode="External"/><Relationship Id="rId1804" Type="http://schemas.openxmlformats.org/officeDocument/2006/relationships/hyperlink" Target="https://globaldevtools.bbva.com/jira/browse/COLWSPREST-8593" TargetMode="External"/><Relationship Id="rId897" Type="http://schemas.openxmlformats.org/officeDocument/2006/relationships/hyperlink" Target="http://karenalexandra.martinez-bbva.com/" TargetMode="External"/><Relationship Id="rId2578" Type="http://schemas.openxmlformats.org/officeDocument/2006/relationships/hyperlink" Target="http://nelsonandres.bohorquez-bbva.com/" TargetMode="External"/><Relationship Id="rId757" Type="http://schemas.openxmlformats.org/officeDocument/2006/relationships/hyperlink" Target="http://leidyjohanna.zambrano-bbva.com/" TargetMode="External"/><Relationship Id="rId964" Type="http://schemas.openxmlformats.org/officeDocument/2006/relationships/hyperlink" Target="http://nathiahayosara.amado-bbva.com/" TargetMode="External"/><Relationship Id="rId1387" Type="http://schemas.openxmlformats.org/officeDocument/2006/relationships/hyperlink" Target="https://globaldevtools.bbva.com/jira/browse/COLWSDATIO-640" TargetMode="External"/><Relationship Id="rId1594" Type="http://schemas.openxmlformats.org/officeDocument/2006/relationships/hyperlink" Target="http://yurimilena.moreno-bbva.com/" TargetMode="External"/><Relationship Id="rId2438" Type="http://schemas.openxmlformats.org/officeDocument/2006/relationships/hyperlink" Target="https://globaldevtools.bbva.com/jira/browse/CCSS-16487" TargetMode="External"/><Relationship Id="rId93" Type="http://schemas.openxmlformats.org/officeDocument/2006/relationships/hyperlink" Target="http://ana.santamaria-bbva.com/" TargetMode="External"/><Relationship Id="rId617" Type="http://schemas.openxmlformats.org/officeDocument/2006/relationships/hyperlink" Target="http://wilder.suarez-bbva.com/" TargetMode="External"/><Relationship Id="rId824" Type="http://schemas.openxmlformats.org/officeDocument/2006/relationships/hyperlink" Target="http://ivan_dario.ariza-bbva.com/" TargetMode="External"/><Relationship Id="rId1247" Type="http://schemas.openxmlformats.org/officeDocument/2006/relationships/hyperlink" Target="http://angie.castaneda-bbva.com/" TargetMode="External"/><Relationship Id="rId1454" Type="http://schemas.openxmlformats.org/officeDocument/2006/relationships/hyperlink" Target="http://santiago.campuzano-bbva.com/" TargetMode="External"/><Relationship Id="rId1661" Type="http://schemas.openxmlformats.org/officeDocument/2006/relationships/hyperlink" Target="http://elizabeth.diaz-bbva.com/" TargetMode="External"/><Relationship Id="rId2505" Type="http://schemas.openxmlformats.org/officeDocument/2006/relationships/hyperlink" Target="http://paulocesar.sastoque-bbva.com/" TargetMode="External"/><Relationship Id="rId1107" Type="http://schemas.openxmlformats.org/officeDocument/2006/relationships/hyperlink" Target="https://globaldevtools.bbva.com/jira/browse/COLWSCANAL-6538" TargetMode="External"/><Relationship Id="rId1314" Type="http://schemas.openxmlformats.org/officeDocument/2006/relationships/hyperlink" Target="http://angie.castaneda-bbva.com/" TargetMode="External"/><Relationship Id="rId1521" Type="http://schemas.openxmlformats.org/officeDocument/2006/relationships/hyperlink" Target="http://hugofernando.parra-bbva.com/" TargetMode="External"/><Relationship Id="rId20" Type="http://schemas.openxmlformats.org/officeDocument/2006/relationships/hyperlink" Target="http://ana.santamaria-bbva.com/" TargetMode="External"/><Relationship Id="rId2088" Type="http://schemas.openxmlformats.org/officeDocument/2006/relationships/hyperlink" Target="http://alirio.bermudez-bbva.com/" TargetMode="External"/><Relationship Id="rId2295" Type="http://schemas.openxmlformats.org/officeDocument/2006/relationships/hyperlink" Target="http://felipe.guzman-bbva.com/" TargetMode="External"/><Relationship Id="rId267" Type="http://schemas.openxmlformats.org/officeDocument/2006/relationships/hyperlink" Target="http://jimy.catolico-bbva.com/" TargetMode="External"/><Relationship Id="rId474" Type="http://schemas.openxmlformats.org/officeDocument/2006/relationships/hyperlink" Target="http://juhan.lozano-bbva.com/" TargetMode="External"/><Relationship Id="rId2155" Type="http://schemas.openxmlformats.org/officeDocument/2006/relationships/hyperlink" Target="http://alirio.bermudez-bbva.com/" TargetMode="External"/><Relationship Id="rId127" Type="http://schemas.openxmlformats.org/officeDocument/2006/relationships/hyperlink" Target="http://ana.santamaria-bbva.com/" TargetMode="External"/><Relationship Id="rId681" Type="http://schemas.openxmlformats.org/officeDocument/2006/relationships/hyperlink" Target="http://andres.carrandi-bbva.com/" TargetMode="External"/><Relationship Id="rId2362" Type="http://schemas.openxmlformats.org/officeDocument/2006/relationships/hyperlink" Target="https://globaldevtools.bbva.com/jira/browse/COLWSSEGUR-239" TargetMode="External"/><Relationship Id="rId334" Type="http://schemas.openxmlformats.org/officeDocument/2006/relationships/hyperlink" Target="https://globaldevtools.bbva.com/jira/browse/COLWSCANAL-2430" TargetMode="External"/><Relationship Id="rId541" Type="http://schemas.openxmlformats.org/officeDocument/2006/relationships/hyperlink" Target="http://catalina.villamil-bbva.com/" TargetMode="External"/><Relationship Id="rId1171" Type="http://schemas.openxmlformats.org/officeDocument/2006/relationships/hyperlink" Target="http://paolaandrea.hermosa-bbva.com/" TargetMode="External"/><Relationship Id="rId2015" Type="http://schemas.openxmlformats.org/officeDocument/2006/relationships/hyperlink" Target="https://globaldevtools.bbva.com/jira/browse/COLWSPREST-11665" TargetMode="External"/><Relationship Id="rId2222" Type="http://schemas.openxmlformats.org/officeDocument/2006/relationships/hyperlink" Target="https://globaldevtools.bbva.com/jira/browse/COLWSSEGUR-58" TargetMode="External"/><Relationship Id="rId401" Type="http://schemas.openxmlformats.org/officeDocument/2006/relationships/hyperlink" Target="http://jimy.catolico-bbva.com/" TargetMode="External"/><Relationship Id="rId1031" Type="http://schemas.openxmlformats.org/officeDocument/2006/relationships/hyperlink" Target="http://elizabeth.diaz-bbva.com/" TargetMode="External"/><Relationship Id="rId1988" Type="http://schemas.openxmlformats.org/officeDocument/2006/relationships/hyperlink" Target="https://globaldevtools.bbva.com/jira/browse/COLWSCANAL-2225" TargetMode="External"/><Relationship Id="rId1848" Type="http://schemas.openxmlformats.org/officeDocument/2006/relationships/hyperlink" Target="http://yurimilena.moreno-bbva.com/" TargetMode="External"/><Relationship Id="rId191" Type="http://schemas.openxmlformats.org/officeDocument/2006/relationships/hyperlink" Target="http://jimy.catolico-bbva.com/" TargetMode="External"/><Relationship Id="rId1708" Type="http://schemas.openxmlformats.org/officeDocument/2006/relationships/hyperlink" Target="http://nelson.ruiz-bbva.com/" TargetMode="External"/><Relationship Id="rId1915" Type="http://schemas.openxmlformats.org/officeDocument/2006/relationships/hyperlink" Target="https://globaldevtools.bbva.com/jira/browse/COLWSMEDIO-194" TargetMode="External"/><Relationship Id="rId868" Type="http://schemas.openxmlformats.org/officeDocument/2006/relationships/hyperlink" Target="http://ivan_dario.ariza-bbva.com/" TargetMode="External"/><Relationship Id="rId1498" Type="http://schemas.openxmlformats.org/officeDocument/2006/relationships/hyperlink" Target="http://hugofernando.parra-bbva.com/" TargetMode="External"/><Relationship Id="rId2549" Type="http://schemas.openxmlformats.org/officeDocument/2006/relationships/hyperlink" Target="http://paulocesar.sastoque-bbva.com/" TargetMode="External"/><Relationship Id="rId728" Type="http://schemas.openxmlformats.org/officeDocument/2006/relationships/hyperlink" Target="https://globaldevtools.bbva.com/jira/browse/COLWSCANAL-13939" TargetMode="External"/><Relationship Id="rId935" Type="http://schemas.openxmlformats.org/officeDocument/2006/relationships/hyperlink" Target="https://globaldevtools.bbva.com/jira/browse/COLWSCANAL-5866" TargetMode="External"/><Relationship Id="rId1358" Type="http://schemas.openxmlformats.org/officeDocument/2006/relationships/hyperlink" Target="http://judy.prieto-bbva.com/" TargetMode="External"/><Relationship Id="rId1565" Type="http://schemas.openxmlformats.org/officeDocument/2006/relationships/hyperlink" Target="http://vivianamarcela.rueda-bbva.com/" TargetMode="External"/><Relationship Id="rId1772" Type="http://schemas.openxmlformats.org/officeDocument/2006/relationships/hyperlink" Target="http://elizabeth.diaz-bbva.com/" TargetMode="External"/><Relationship Id="rId2409" Type="http://schemas.openxmlformats.org/officeDocument/2006/relationships/hyperlink" Target="http://felipesantiago.araujo-bbva.com/" TargetMode="External"/><Relationship Id="rId64" Type="http://schemas.openxmlformats.org/officeDocument/2006/relationships/hyperlink" Target="http://ana.santamaria-bbva.com/" TargetMode="External"/><Relationship Id="rId1218" Type="http://schemas.openxmlformats.org/officeDocument/2006/relationships/hyperlink" Target="http://diegoandres.rodriguez-bbva.com/" TargetMode="External"/><Relationship Id="rId1425" Type="http://schemas.openxmlformats.org/officeDocument/2006/relationships/hyperlink" Target="http://geovany.ramirez-bbva.com/" TargetMode="External"/><Relationship Id="rId1632" Type="http://schemas.openxmlformats.org/officeDocument/2006/relationships/hyperlink" Target="http://andrea.orrego-bbva.com/" TargetMode="External"/><Relationship Id="rId2199" Type="http://schemas.openxmlformats.org/officeDocument/2006/relationships/hyperlink" Target="http://mariajuliana.rodriguez-bbva.com/" TargetMode="External"/><Relationship Id="rId378" Type="http://schemas.openxmlformats.org/officeDocument/2006/relationships/hyperlink" Target="http://erikajulieth.ruiz-bbva.com/" TargetMode="External"/><Relationship Id="rId585" Type="http://schemas.openxmlformats.org/officeDocument/2006/relationships/hyperlink" Target="http://freddyorlando.guzman-bbva.com/" TargetMode="External"/><Relationship Id="rId792" Type="http://schemas.openxmlformats.org/officeDocument/2006/relationships/hyperlink" Target="http://nathiahayosara.amado-bbva.com/" TargetMode="External"/><Relationship Id="rId2059" Type="http://schemas.openxmlformats.org/officeDocument/2006/relationships/hyperlink" Target="http://marthapatric.cruz-bbva.com/" TargetMode="External"/><Relationship Id="rId2266" Type="http://schemas.openxmlformats.org/officeDocument/2006/relationships/hyperlink" Target="http://paola.trivino-bbva.com/" TargetMode="External"/><Relationship Id="rId2473" Type="http://schemas.openxmlformats.org/officeDocument/2006/relationships/hyperlink" Target="http://juan.orozco-bbva.com/" TargetMode="External"/><Relationship Id="rId238" Type="http://schemas.openxmlformats.org/officeDocument/2006/relationships/hyperlink" Target="https://globaldevtools.bbva.com/jira/browse/COLWSCANAL-13028" TargetMode="External"/><Relationship Id="rId445" Type="http://schemas.openxmlformats.org/officeDocument/2006/relationships/hyperlink" Target="http://jimy.catolico-bbva.com/" TargetMode="External"/><Relationship Id="rId652" Type="http://schemas.openxmlformats.org/officeDocument/2006/relationships/hyperlink" Target="http://catalina.villamil-bbva.com/" TargetMode="External"/><Relationship Id="rId1075" Type="http://schemas.openxmlformats.org/officeDocument/2006/relationships/hyperlink" Target="https://globaldevtools.bbva.com/jira/browse/COLWSCANAL-3390" TargetMode="External"/><Relationship Id="rId1282" Type="http://schemas.openxmlformats.org/officeDocument/2006/relationships/hyperlink" Target="http://liliana.marquez-bbva.com/" TargetMode="External"/><Relationship Id="rId2126" Type="http://schemas.openxmlformats.org/officeDocument/2006/relationships/hyperlink" Target="http://david.juvinao-bbva.com/" TargetMode="External"/><Relationship Id="rId2333" Type="http://schemas.openxmlformats.org/officeDocument/2006/relationships/hyperlink" Target="http://mariajuliana.rodriguez-bbva.com/" TargetMode="External"/><Relationship Id="rId2540" Type="http://schemas.openxmlformats.org/officeDocument/2006/relationships/hyperlink" Target="http://andrea.orrego-bbva.com/" TargetMode="External"/><Relationship Id="rId305" Type="http://schemas.openxmlformats.org/officeDocument/2006/relationships/hyperlink" Target="http://daniela.cifuentes.ariza-bbva.com/" TargetMode="External"/><Relationship Id="rId512" Type="http://schemas.openxmlformats.org/officeDocument/2006/relationships/hyperlink" Target="http://jimy.catolico-bbva.com/" TargetMode="External"/><Relationship Id="rId1142" Type="http://schemas.openxmlformats.org/officeDocument/2006/relationships/hyperlink" Target="http://andresfelipe.granados-bbva.com/" TargetMode="External"/><Relationship Id="rId2400" Type="http://schemas.openxmlformats.org/officeDocument/2006/relationships/hyperlink" Target="http://julioenrique.ramos-bbva.com/" TargetMode="External"/><Relationship Id="rId1002" Type="http://schemas.openxmlformats.org/officeDocument/2006/relationships/hyperlink" Target="http://jeissonandres.diaz.rodriguez-bbva.com/" TargetMode="External"/><Relationship Id="rId1959" Type="http://schemas.openxmlformats.org/officeDocument/2006/relationships/hyperlink" Target="http://alirio.bermudez-bbva.com/" TargetMode="External"/><Relationship Id="rId1819" Type="http://schemas.openxmlformats.org/officeDocument/2006/relationships/hyperlink" Target="http://marthapatric.cruz-bbva.com/" TargetMode="External"/><Relationship Id="rId2190" Type="http://schemas.openxmlformats.org/officeDocument/2006/relationships/hyperlink" Target="http://katherine.michaels-bbva.com/" TargetMode="External"/><Relationship Id="rId162" Type="http://schemas.openxmlformats.org/officeDocument/2006/relationships/hyperlink" Target="http://william.paez-bbva.com/" TargetMode="External"/><Relationship Id="rId2050" Type="http://schemas.openxmlformats.org/officeDocument/2006/relationships/hyperlink" Target="http://marthapatric.cruz-bbva.com/" TargetMode="External"/><Relationship Id="rId979" Type="http://schemas.openxmlformats.org/officeDocument/2006/relationships/hyperlink" Target="https://globaldevtools.bbva.com/jira/browse/COLWSCANAL-5005" TargetMode="External"/><Relationship Id="rId839" Type="http://schemas.openxmlformats.org/officeDocument/2006/relationships/hyperlink" Target="http://lilianavictoria.rivera-bbva.com/" TargetMode="External"/><Relationship Id="rId1469" Type="http://schemas.openxmlformats.org/officeDocument/2006/relationships/hyperlink" Target="http://fredy.pineda-bbva.com/" TargetMode="External"/><Relationship Id="rId1676" Type="http://schemas.openxmlformats.org/officeDocument/2006/relationships/hyperlink" Target="http://nelson.ruiz-bbva.com/" TargetMode="External"/><Relationship Id="rId1883" Type="http://schemas.openxmlformats.org/officeDocument/2006/relationships/hyperlink" Target="http://alirio.bermudez-bbva.com/" TargetMode="External"/><Relationship Id="rId906" Type="http://schemas.openxmlformats.org/officeDocument/2006/relationships/hyperlink" Target="http://elizabeth.diaz-bbva.com/" TargetMode="External"/><Relationship Id="rId1329" Type="http://schemas.openxmlformats.org/officeDocument/2006/relationships/hyperlink" Target="https://globaldevtools.bbva.com/jira/browse/COLWSMEDIO-4853" TargetMode="External"/><Relationship Id="rId1536" Type="http://schemas.openxmlformats.org/officeDocument/2006/relationships/hyperlink" Target="http://hugofernando.parra-bbva.com/" TargetMode="External"/><Relationship Id="rId1743" Type="http://schemas.openxmlformats.org/officeDocument/2006/relationships/hyperlink" Target="http://nelson.ruiz-bbva.com/" TargetMode="External"/><Relationship Id="rId1950" Type="http://schemas.openxmlformats.org/officeDocument/2006/relationships/hyperlink" Target="https://globaldevtools.bbva.com/jira/browse/COLWSMONED-3" TargetMode="External"/><Relationship Id="rId35" Type="http://schemas.openxmlformats.org/officeDocument/2006/relationships/hyperlink" Target="http://pabloalexand.ortiz-bbva.com/" TargetMode="External"/><Relationship Id="rId1603" Type="http://schemas.openxmlformats.org/officeDocument/2006/relationships/hyperlink" Target="https://globaldevtools.bbva.com/jira/browse/COLWSCANAL-15016" TargetMode="External"/><Relationship Id="rId1810" Type="http://schemas.openxmlformats.org/officeDocument/2006/relationships/hyperlink" Target="http://monicaandrea.abogado-bbva.com/" TargetMode="External"/><Relationship Id="rId489" Type="http://schemas.openxmlformats.org/officeDocument/2006/relationships/hyperlink" Target="http://juhan.lozano-bbva.com/" TargetMode="External"/><Relationship Id="rId696" Type="http://schemas.openxmlformats.org/officeDocument/2006/relationships/hyperlink" Target="http://leidyjohanna.zambrano-bbva.com/" TargetMode="External"/><Relationship Id="rId2377" Type="http://schemas.openxmlformats.org/officeDocument/2006/relationships/hyperlink" Target="http://felipe.guzman-bbva.com/" TargetMode="External"/><Relationship Id="rId2584" Type="http://schemas.openxmlformats.org/officeDocument/2006/relationships/hyperlink" Target="http://carlosdavid.pacheco-bbva.com/" TargetMode="External"/><Relationship Id="rId349" Type="http://schemas.openxmlformats.org/officeDocument/2006/relationships/hyperlink" Target="http://jimy.catolico-bbva.com/" TargetMode="External"/><Relationship Id="rId556" Type="http://schemas.openxmlformats.org/officeDocument/2006/relationships/hyperlink" Target="https://globaldevtools.bbva.com/jira/browse/COLWSPREST-11677" TargetMode="External"/><Relationship Id="rId763" Type="http://schemas.openxmlformats.org/officeDocument/2006/relationships/hyperlink" Target="https://globaldevtools.bbva.com/jira/browse/COLWSCANAL-14061" TargetMode="External"/><Relationship Id="rId1186" Type="http://schemas.openxmlformats.org/officeDocument/2006/relationships/hyperlink" Target="http://angie.castaneda-bbva.com/" TargetMode="External"/><Relationship Id="rId1393" Type="http://schemas.openxmlformats.org/officeDocument/2006/relationships/hyperlink" Target="http://juana.vergara-bbva.com/" TargetMode="External"/><Relationship Id="rId2237" Type="http://schemas.openxmlformats.org/officeDocument/2006/relationships/hyperlink" Target="https://globaldevtools.bbva.com/jira/browse/COLWSSEGUR-268" TargetMode="External"/><Relationship Id="rId2444" Type="http://schemas.openxmlformats.org/officeDocument/2006/relationships/hyperlink" Target="http://jorge.blanco-bbva.com/" TargetMode="External"/><Relationship Id="rId209" Type="http://schemas.openxmlformats.org/officeDocument/2006/relationships/hyperlink" Target="http://yurimilena.moreno-bbva.com/" TargetMode="External"/><Relationship Id="rId416" Type="http://schemas.openxmlformats.org/officeDocument/2006/relationships/hyperlink" Target="https://globaldevtools.bbva.com/jira/browse/COLWSCANAL-870" TargetMode="External"/><Relationship Id="rId970" Type="http://schemas.openxmlformats.org/officeDocument/2006/relationships/hyperlink" Target="http://elizabeth.diaz-bbva.com/" TargetMode="External"/><Relationship Id="rId1046" Type="http://schemas.openxmlformats.org/officeDocument/2006/relationships/hyperlink" Target="http://jeissonandres.diaz.rodriguez-bbva.com/" TargetMode="External"/><Relationship Id="rId1253" Type="http://schemas.openxmlformats.org/officeDocument/2006/relationships/hyperlink" Target="http://paolaandrea.guzman-bbva.com/" TargetMode="External"/><Relationship Id="rId623" Type="http://schemas.openxmlformats.org/officeDocument/2006/relationships/hyperlink" Target="https://globaldevtools.bbva.com/jira/browse/COLWSCANAL-11393" TargetMode="External"/><Relationship Id="rId830" Type="http://schemas.openxmlformats.org/officeDocument/2006/relationships/hyperlink" Target="http://nathiahayosara.amado-bbva.com/" TargetMode="External"/><Relationship Id="rId1460" Type="http://schemas.openxmlformats.org/officeDocument/2006/relationships/hyperlink" Target="http://hugofernando.parra-bbva.com/" TargetMode="External"/><Relationship Id="rId2304" Type="http://schemas.openxmlformats.org/officeDocument/2006/relationships/hyperlink" Target="https://globaldevtools.bbva.com/jira/browse/COLWSSEGUR-146" TargetMode="External"/><Relationship Id="rId2511" Type="http://schemas.openxmlformats.org/officeDocument/2006/relationships/hyperlink" Target="http://yeraldineandrea.sierra-bbva.com/" TargetMode="External"/><Relationship Id="rId1113" Type="http://schemas.openxmlformats.org/officeDocument/2006/relationships/hyperlink" Target="http://brigitteyesenia.beltran-bbva.com/" TargetMode="External"/><Relationship Id="rId1320" Type="http://schemas.openxmlformats.org/officeDocument/2006/relationships/hyperlink" Target="http://paolaandrea.guzman-bbva.com/" TargetMode="External"/><Relationship Id="rId2094" Type="http://schemas.openxmlformats.org/officeDocument/2006/relationships/hyperlink" Target="http://david.juvinao-bbva.com/" TargetMode="External"/><Relationship Id="rId273" Type="http://schemas.openxmlformats.org/officeDocument/2006/relationships/hyperlink" Target="http://jimy.catolico-bbva.com/" TargetMode="External"/><Relationship Id="rId480" Type="http://schemas.openxmlformats.org/officeDocument/2006/relationships/hyperlink" Target="http://juhan.lozano-bbva.com/" TargetMode="External"/><Relationship Id="rId2161" Type="http://schemas.openxmlformats.org/officeDocument/2006/relationships/hyperlink" Target="http://paolaandrea.hermosa-bbva.com/" TargetMode="External"/><Relationship Id="rId133" Type="http://schemas.openxmlformats.org/officeDocument/2006/relationships/hyperlink" Target="http://john.calvo-bbva.com/" TargetMode="External"/><Relationship Id="rId340" Type="http://schemas.openxmlformats.org/officeDocument/2006/relationships/hyperlink" Target="http://wilson.vera-bbva.com/" TargetMode="External"/><Relationship Id="rId2021" Type="http://schemas.openxmlformats.org/officeDocument/2006/relationships/hyperlink" Target="http://olga.lara-bbva.com/" TargetMode="External"/><Relationship Id="rId200" Type="http://schemas.openxmlformats.org/officeDocument/2006/relationships/hyperlink" Target="http://diegofernand.castro-bbva.com/" TargetMode="External"/><Relationship Id="rId1787" Type="http://schemas.openxmlformats.org/officeDocument/2006/relationships/hyperlink" Target="http://ivan_dario.ariza-bbva.com/" TargetMode="External"/><Relationship Id="rId1994" Type="http://schemas.openxmlformats.org/officeDocument/2006/relationships/hyperlink" Target="http://olga.lara-bbva.com/" TargetMode="External"/><Relationship Id="rId79" Type="http://schemas.openxmlformats.org/officeDocument/2006/relationships/hyperlink" Target="http://pabloalexand.ortiz-bbva.com/" TargetMode="External"/><Relationship Id="rId1647" Type="http://schemas.openxmlformats.org/officeDocument/2006/relationships/hyperlink" Target="http://jorge.carvajal-bbva.com/" TargetMode="External"/><Relationship Id="rId1854" Type="http://schemas.openxmlformats.org/officeDocument/2006/relationships/hyperlink" Target="http://alirio.bermudez-bbva.com/" TargetMode="External"/><Relationship Id="rId1507" Type="http://schemas.openxmlformats.org/officeDocument/2006/relationships/hyperlink" Target="http://hugofernando.parra-bbva.com/" TargetMode="External"/><Relationship Id="rId1714" Type="http://schemas.openxmlformats.org/officeDocument/2006/relationships/hyperlink" Target="http://alirio.bermudez-bbva.com/" TargetMode="External"/><Relationship Id="rId1921" Type="http://schemas.openxmlformats.org/officeDocument/2006/relationships/hyperlink" Target="http://marthapatric.cruz-bbva.com/" TargetMode="External"/><Relationship Id="rId2488" Type="http://schemas.openxmlformats.org/officeDocument/2006/relationships/hyperlink" Target="http://nancymayerly.castiblanco-bbva.com/" TargetMode="External"/><Relationship Id="rId1297" Type="http://schemas.openxmlformats.org/officeDocument/2006/relationships/hyperlink" Target="http://liliana.marquez-bbva.com/" TargetMode="External"/><Relationship Id="rId667" Type="http://schemas.openxmlformats.org/officeDocument/2006/relationships/hyperlink" Target="https://globaldevtools.bbva.com/jira/browse/COLWSCANAL-8971" TargetMode="External"/><Relationship Id="rId874" Type="http://schemas.openxmlformats.org/officeDocument/2006/relationships/hyperlink" Target="http://nathiahayosara.amado-bbva.com/" TargetMode="External"/><Relationship Id="rId2348" Type="http://schemas.openxmlformats.org/officeDocument/2006/relationships/hyperlink" Target="http://dianacarolina.gonzalez.castri-bbva.com/" TargetMode="External"/><Relationship Id="rId2555" Type="http://schemas.openxmlformats.org/officeDocument/2006/relationships/hyperlink" Target="http://mariavictoria.gonzalez.fajard-bbva.com/" TargetMode="External"/><Relationship Id="rId527" Type="http://schemas.openxmlformats.org/officeDocument/2006/relationships/hyperlink" Target="http://jimy.catolico-bbva.com/" TargetMode="External"/><Relationship Id="rId734" Type="http://schemas.openxmlformats.org/officeDocument/2006/relationships/hyperlink" Target="http://leidyjohanna.zambrano-bbva.com/" TargetMode="External"/><Relationship Id="rId941" Type="http://schemas.openxmlformats.org/officeDocument/2006/relationships/hyperlink" Target="http://jeissonandres.diaz.rodriguez-bbva.com/" TargetMode="External"/><Relationship Id="rId1157" Type="http://schemas.openxmlformats.org/officeDocument/2006/relationships/hyperlink" Target="https://globaldevtools.bbva.com/jira/browse/COLWSCUENT-2822" TargetMode="External"/><Relationship Id="rId1364" Type="http://schemas.openxmlformats.org/officeDocument/2006/relationships/hyperlink" Target="https://globaldevtools.bbva.com/jira/browse/COLWSOPENM-3" TargetMode="External"/><Relationship Id="rId1571" Type="http://schemas.openxmlformats.org/officeDocument/2006/relationships/hyperlink" Target="http://andrea.orrego-bbva.com/" TargetMode="External"/><Relationship Id="rId2208" Type="http://schemas.openxmlformats.org/officeDocument/2006/relationships/hyperlink" Target="http://sandracarolina.miranda-bbva.com/" TargetMode="External"/><Relationship Id="rId2415" Type="http://schemas.openxmlformats.org/officeDocument/2006/relationships/hyperlink" Target="http://juan.orozco-bbva.com/" TargetMode="External"/><Relationship Id="rId70" Type="http://schemas.openxmlformats.org/officeDocument/2006/relationships/hyperlink" Target="http://pabloalexand.ortiz-bbva.com/" TargetMode="External"/><Relationship Id="rId801" Type="http://schemas.openxmlformats.org/officeDocument/2006/relationships/hyperlink" Target="http://sirlleny.vasquez-bbva.com/" TargetMode="External"/><Relationship Id="rId1017" Type="http://schemas.openxmlformats.org/officeDocument/2006/relationships/hyperlink" Target="http://nathiahayosara.amado-bbva.com/" TargetMode="External"/><Relationship Id="rId1224" Type="http://schemas.openxmlformats.org/officeDocument/2006/relationships/hyperlink" Target="https://globaldevtools.bbva.com/jira/browse/COLWSCUENT-2269" TargetMode="External"/><Relationship Id="rId1431" Type="http://schemas.openxmlformats.org/officeDocument/2006/relationships/hyperlink" Target="https://globaldevtools.bbva.com/jira/browse/COLWSPREST-2205" TargetMode="External"/><Relationship Id="rId177" Type="http://schemas.openxmlformats.org/officeDocument/2006/relationships/hyperlink" Target="http://oscar.bejarano-bbva.com/" TargetMode="External"/><Relationship Id="rId384" Type="http://schemas.openxmlformats.org/officeDocument/2006/relationships/hyperlink" Target="https://globaldevtools.bbva.com/jira/browse/CCSS-5046" TargetMode="External"/><Relationship Id="rId591" Type="http://schemas.openxmlformats.org/officeDocument/2006/relationships/hyperlink" Target="http://catalina.villamil-bbva.com/" TargetMode="External"/><Relationship Id="rId2065" Type="http://schemas.openxmlformats.org/officeDocument/2006/relationships/hyperlink" Target="http://alirio.bermudez-bbva.com/" TargetMode="External"/><Relationship Id="rId2272" Type="http://schemas.openxmlformats.org/officeDocument/2006/relationships/hyperlink" Target="https://globaldevtools.bbva.com/jira/browse/COLWSSEGUR-1756" TargetMode="External"/><Relationship Id="rId244" Type="http://schemas.openxmlformats.org/officeDocument/2006/relationships/hyperlink" Target="http://juliocesar.estupinan-bbva.com/" TargetMode="External"/><Relationship Id="rId1081" Type="http://schemas.openxmlformats.org/officeDocument/2006/relationships/hyperlink" Target="http://jeissonandres.diaz.rodriguez-bbva.com/" TargetMode="External"/><Relationship Id="rId451" Type="http://schemas.openxmlformats.org/officeDocument/2006/relationships/hyperlink" Target="http://juhan.lozano-bbva.com/" TargetMode="External"/><Relationship Id="rId2132" Type="http://schemas.openxmlformats.org/officeDocument/2006/relationships/hyperlink" Target="http://hugo.mongua-bbva.com/" TargetMode="External"/><Relationship Id="rId104" Type="http://schemas.openxmlformats.org/officeDocument/2006/relationships/hyperlink" Target="http://davidesteban.fajardo-bbva.com/" TargetMode="External"/><Relationship Id="rId311" Type="http://schemas.openxmlformats.org/officeDocument/2006/relationships/hyperlink" Target="https://globaldevtools.bbva.com/jira/browse/COLWSCANAL-1376" TargetMode="External"/><Relationship Id="rId1898" Type="http://schemas.openxmlformats.org/officeDocument/2006/relationships/hyperlink" Target="http://alirio.bermudez-bbva.com/" TargetMode="External"/><Relationship Id="rId1758" Type="http://schemas.openxmlformats.org/officeDocument/2006/relationships/hyperlink" Target="http://alirio.bermudez-bbva.com/" TargetMode="External"/><Relationship Id="rId1965" Type="http://schemas.openxmlformats.org/officeDocument/2006/relationships/hyperlink" Target="http://ivan_dario.ariza-bbva.com/" TargetMode="External"/><Relationship Id="rId1618" Type="http://schemas.openxmlformats.org/officeDocument/2006/relationships/hyperlink" Target="http://paolaandrea.hermosa-bbva.com/" TargetMode="External"/><Relationship Id="rId1825" Type="http://schemas.openxmlformats.org/officeDocument/2006/relationships/hyperlink" Target="https://globaldevtools.bbva.com/jira/browse/COLWSMEDIO-869" TargetMode="External"/><Relationship Id="rId2599" Type="http://schemas.openxmlformats.org/officeDocument/2006/relationships/hyperlink" Target="https://globaldevtools.bbva.com/jira/browse/COLWSFNDIR-366" TargetMode="External"/><Relationship Id="rId778" Type="http://schemas.openxmlformats.org/officeDocument/2006/relationships/hyperlink" Target="http://elizabeth.diaz-bbva.com/" TargetMode="External"/><Relationship Id="rId985" Type="http://schemas.openxmlformats.org/officeDocument/2006/relationships/hyperlink" Target="http://jeissonandres.diaz.rodriguez-bbva.com/" TargetMode="External"/><Relationship Id="rId2459" Type="http://schemas.openxmlformats.org/officeDocument/2006/relationships/hyperlink" Target="http://juan.orozco-bbva.com/" TargetMode="External"/><Relationship Id="rId638" Type="http://schemas.openxmlformats.org/officeDocument/2006/relationships/hyperlink" Target="http://nathaliamaria.torres-bbva.com/" TargetMode="External"/><Relationship Id="rId845" Type="http://schemas.openxmlformats.org/officeDocument/2006/relationships/hyperlink" Target="https://globaldevtools.bbva.com/jira/browse/COLWSPREST-2722" TargetMode="External"/><Relationship Id="rId1268" Type="http://schemas.openxmlformats.org/officeDocument/2006/relationships/hyperlink" Target="http://angie.castaneda-bbva.com/" TargetMode="External"/><Relationship Id="rId1475" Type="http://schemas.openxmlformats.org/officeDocument/2006/relationships/hyperlink" Target="https://globaldevtools.bbva.com/jira/browse/COLWSCANAL-2977" TargetMode="External"/><Relationship Id="rId1682" Type="http://schemas.openxmlformats.org/officeDocument/2006/relationships/hyperlink" Target="https://globaldevtools.bbva.com/jira/browse/COLWSCONTA-1735" TargetMode="External"/><Relationship Id="rId2319" Type="http://schemas.openxmlformats.org/officeDocument/2006/relationships/hyperlink" Target="https://globaldevtools.bbva.com/jira/browse/COLWSSEGUR-571" TargetMode="External"/><Relationship Id="rId2526" Type="http://schemas.openxmlformats.org/officeDocument/2006/relationships/hyperlink" Target="http://blancamilena.cardona-bbva.com/" TargetMode="External"/><Relationship Id="rId705" Type="http://schemas.openxmlformats.org/officeDocument/2006/relationships/hyperlink" Target="https://globaldevtools.bbva.com/jira/browse/COLWSCANAL-12773" TargetMode="External"/><Relationship Id="rId1128" Type="http://schemas.openxmlformats.org/officeDocument/2006/relationships/hyperlink" Target="http://rociomarcela.lopez-bbva.com/" TargetMode="External"/><Relationship Id="rId1335" Type="http://schemas.openxmlformats.org/officeDocument/2006/relationships/hyperlink" Target="http://judy.prieto-bbva.com/" TargetMode="External"/><Relationship Id="rId1542" Type="http://schemas.openxmlformats.org/officeDocument/2006/relationships/hyperlink" Target="http://paulocesar.sastoque-bbva.com/" TargetMode="External"/><Relationship Id="rId912" Type="http://schemas.openxmlformats.org/officeDocument/2006/relationships/hyperlink" Target="http://nathiahayosara.amado-bbva.com/" TargetMode="External"/><Relationship Id="rId41" Type="http://schemas.openxmlformats.org/officeDocument/2006/relationships/hyperlink" Target="http://ana.santamaria-bbva.com/" TargetMode="External"/><Relationship Id="rId1402" Type="http://schemas.openxmlformats.org/officeDocument/2006/relationships/hyperlink" Target="http://juana.vergara-bbva.com/" TargetMode="External"/><Relationship Id="rId288" Type="http://schemas.openxmlformats.org/officeDocument/2006/relationships/hyperlink" Target="http://jimy.catolico-bbva.com/" TargetMode="External"/><Relationship Id="rId495" Type="http://schemas.openxmlformats.org/officeDocument/2006/relationships/hyperlink" Target="http://juhan.lozano-bbva.com/" TargetMode="External"/><Relationship Id="rId2176" Type="http://schemas.openxmlformats.org/officeDocument/2006/relationships/hyperlink" Target="http://dianacarolina.gonzalez.castri-bbva.com/" TargetMode="External"/><Relationship Id="rId2383" Type="http://schemas.openxmlformats.org/officeDocument/2006/relationships/hyperlink" Target="http://juan.orozco-bbva.com/" TargetMode="External"/><Relationship Id="rId2590" Type="http://schemas.openxmlformats.org/officeDocument/2006/relationships/hyperlink" Target="http://juan.sandoval-bbva.com/" TargetMode="External"/><Relationship Id="rId148" Type="http://schemas.openxmlformats.org/officeDocument/2006/relationships/hyperlink" Target="http://rodrigo.ardila-bbva.com/" TargetMode="External"/><Relationship Id="rId355" Type="http://schemas.openxmlformats.org/officeDocument/2006/relationships/hyperlink" Target="http://luz.rodriguez-bbva.com/" TargetMode="External"/><Relationship Id="rId562" Type="http://schemas.openxmlformats.org/officeDocument/2006/relationships/hyperlink" Target="http://nathaliamaria.torres-bbva.com/" TargetMode="External"/><Relationship Id="rId1192" Type="http://schemas.openxmlformats.org/officeDocument/2006/relationships/hyperlink" Target="http://rociomarcela.lopez-bbva.com/" TargetMode="External"/><Relationship Id="rId2036" Type="http://schemas.openxmlformats.org/officeDocument/2006/relationships/hyperlink" Target="http://alirio.bermudez-bbva.com/" TargetMode="External"/><Relationship Id="rId2243" Type="http://schemas.openxmlformats.org/officeDocument/2006/relationships/hyperlink" Target="http://felipe.guzman-bbva.com/" TargetMode="External"/><Relationship Id="rId2450" Type="http://schemas.openxmlformats.org/officeDocument/2006/relationships/hyperlink" Target="https://globaldevtools.bbva.com/jira/browse/COLWSFIDUC-31" TargetMode="External"/><Relationship Id="rId215" Type="http://schemas.openxmlformats.org/officeDocument/2006/relationships/hyperlink" Target="http://jimy.catolico-bbva.com/" TargetMode="External"/><Relationship Id="rId422" Type="http://schemas.openxmlformats.org/officeDocument/2006/relationships/hyperlink" Target="http://giulianaandrea.guarin-bbva.com/" TargetMode="External"/><Relationship Id="rId1052" Type="http://schemas.openxmlformats.org/officeDocument/2006/relationships/hyperlink" Target="https://globaldevtools.bbva.com/jira/browse/COLWSCONTA-363" TargetMode="External"/><Relationship Id="rId2103" Type="http://schemas.openxmlformats.org/officeDocument/2006/relationships/hyperlink" Target="https://globaldevtools.bbva.com/jira/browse/COLWSCUENT-1830" TargetMode="External"/><Relationship Id="rId2310" Type="http://schemas.openxmlformats.org/officeDocument/2006/relationships/hyperlink" Target="http://mariajuliana.rodriguez-bbva.com/" TargetMode="External"/><Relationship Id="rId1869" Type="http://schemas.openxmlformats.org/officeDocument/2006/relationships/hyperlink" Target="http://alirio.bermudez-bbva.com/" TargetMode="External"/><Relationship Id="rId1729" Type="http://schemas.openxmlformats.org/officeDocument/2006/relationships/hyperlink" Target="https://globaldevtools.bbva.com/jira/browse/CCSS-7500" TargetMode="External"/><Relationship Id="rId1936" Type="http://schemas.openxmlformats.org/officeDocument/2006/relationships/hyperlink" Target="http://marthapatric.cruz-bbva.com/" TargetMode="External"/><Relationship Id="rId5" Type="http://schemas.openxmlformats.org/officeDocument/2006/relationships/hyperlink" Target="http://ana.santamaria-bbva.com/" TargetMode="External"/><Relationship Id="rId889" Type="http://schemas.openxmlformats.org/officeDocument/2006/relationships/hyperlink" Target="http://nathiahayosara.amado-bbva.com/" TargetMode="External"/><Relationship Id="rId749" Type="http://schemas.openxmlformats.org/officeDocument/2006/relationships/hyperlink" Target="http://nathiahayosara.amado-bbva.com/" TargetMode="External"/><Relationship Id="rId1379" Type="http://schemas.openxmlformats.org/officeDocument/2006/relationships/hyperlink" Target="https://globaldevtools.bbva.com/jira/browse/COLWSMEDIO-6274" TargetMode="External"/><Relationship Id="rId1586" Type="http://schemas.openxmlformats.org/officeDocument/2006/relationships/hyperlink" Target="http://vivianamarcela.rueda-bbva.com/" TargetMode="External"/><Relationship Id="rId609" Type="http://schemas.openxmlformats.org/officeDocument/2006/relationships/hyperlink" Target="http://angiez.cubides-bbva.com/" TargetMode="External"/><Relationship Id="rId956" Type="http://schemas.openxmlformats.org/officeDocument/2006/relationships/hyperlink" Target="http://nathiahayosara.amado-bbva.com/" TargetMode="External"/><Relationship Id="rId1239" Type="http://schemas.openxmlformats.org/officeDocument/2006/relationships/hyperlink" Target="http://angie.castaneda-bbva.com/" TargetMode="External"/><Relationship Id="rId1793" Type="http://schemas.openxmlformats.org/officeDocument/2006/relationships/hyperlink" Target="http://alirio.bermudez-bbva.com/" TargetMode="External"/><Relationship Id="rId85" Type="http://schemas.openxmlformats.org/officeDocument/2006/relationships/hyperlink" Target="http://ana.santamaria-bbva.com/" TargetMode="External"/><Relationship Id="rId816" Type="http://schemas.openxmlformats.org/officeDocument/2006/relationships/hyperlink" Target="http://ivan_dario.ariza-bbva.com/" TargetMode="External"/><Relationship Id="rId1446" Type="http://schemas.openxmlformats.org/officeDocument/2006/relationships/hyperlink" Target="http://santiago.campuzano-bbva.com/" TargetMode="External"/><Relationship Id="rId1653" Type="http://schemas.openxmlformats.org/officeDocument/2006/relationships/hyperlink" Target="http://alirio.bermudez-bbva.com/" TargetMode="External"/><Relationship Id="rId1860" Type="http://schemas.openxmlformats.org/officeDocument/2006/relationships/hyperlink" Target="http://yurimilena.moreno-bbva.com/" TargetMode="External"/><Relationship Id="rId1306" Type="http://schemas.openxmlformats.org/officeDocument/2006/relationships/hyperlink" Target="http://angie.castaneda-bbva.com/" TargetMode="External"/><Relationship Id="rId1513" Type="http://schemas.openxmlformats.org/officeDocument/2006/relationships/hyperlink" Target="http://hugofernando.parra-bbva.com/" TargetMode="External"/><Relationship Id="rId1720" Type="http://schemas.openxmlformats.org/officeDocument/2006/relationships/hyperlink" Target="http://elizabeth.diaz-bbva.com/" TargetMode="External"/><Relationship Id="rId12" Type="http://schemas.openxmlformats.org/officeDocument/2006/relationships/hyperlink" Target="https://globaldevtools.bbva.com/jira/browse/COLWSCRM-540" TargetMode="External"/><Relationship Id="rId161" Type="http://schemas.openxmlformats.org/officeDocument/2006/relationships/hyperlink" Target="http://carlosalbert.perez-bbva.com/" TargetMode="External"/><Relationship Id="rId399" Type="http://schemas.openxmlformats.org/officeDocument/2006/relationships/hyperlink" Target="http://juhan.lozano-bbva.com/" TargetMode="External"/><Relationship Id="rId2287" Type="http://schemas.openxmlformats.org/officeDocument/2006/relationships/hyperlink" Target="http://felipe.guzman-bbva.com/" TargetMode="External"/><Relationship Id="rId2494" Type="http://schemas.openxmlformats.org/officeDocument/2006/relationships/hyperlink" Target="http://nathiahayosara.amado-bbva.com/" TargetMode="External"/><Relationship Id="rId259" Type="http://schemas.openxmlformats.org/officeDocument/2006/relationships/hyperlink" Target="http://jimy.catolico-bbva.com/" TargetMode="External"/><Relationship Id="rId466" Type="http://schemas.openxmlformats.org/officeDocument/2006/relationships/hyperlink" Target="http://giulianaandrea.guarin-bbva.com/" TargetMode="External"/><Relationship Id="rId673" Type="http://schemas.openxmlformats.org/officeDocument/2006/relationships/hyperlink" Target="http://huvertyadir.ramirez-bbva.com/" TargetMode="External"/><Relationship Id="rId880" Type="http://schemas.openxmlformats.org/officeDocument/2006/relationships/hyperlink" Target="http://ivan_dario.ariza-bbva.com/" TargetMode="External"/><Relationship Id="rId1096" Type="http://schemas.openxmlformats.org/officeDocument/2006/relationships/hyperlink" Target="http://angie.castaneda-bbva.com/" TargetMode="External"/><Relationship Id="rId2147" Type="http://schemas.openxmlformats.org/officeDocument/2006/relationships/hyperlink" Target="http://alirio.bermudez-bbva.com/" TargetMode="External"/><Relationship Id="rId2354" Type="http://schemas.openxmlformats.org/officeDocument/2006/relationships/hyperlink" Target="https://globaldevtools.bbva.com/jira/browse/COLWSSEGUR-1040" TargetMode="External"/><Relationship Id="rId2561" Type="http://schemas.openxmlformats.org/officeDocument/2006/relationships/hyperlink" Target="http://paolaandrea.guzman-bbva.com/" TargetMode="External"/><Relationship Id="rId119" Type="http://schemas.openxmlformats.org/officeDocument/2006/relationships/hyperlink" Target="http://ana.santamaria-bbva.com/" TargetMode="External"/><Relationship Id="rId326" Type="http://schemas.openxmlformats.org/officeDocument/2006/relationships/hyperlink" Target="http://rocio.garces-bbva.com/" TargetMode="External"/><Relationship Id="rId533" Type="http://schemas.openxmlformats.org/officeDocument/2006/relationships/hyperlink" Target="http://catalina.villamil-bbva.com/" TargetMode="External"/><Relationship Id="rId978" Type="http://schemas.openxmlformats.org/officeDocument/2006/relationships/hyperlink" Target="http://elizabeth.diaz-bbva.com/" TargetMode="External"/><Relationship Id="rId1163" Type="http://schemas.openxmlformats.org/officeDocument/2006/relationships/hyperlink" Target="http://katherine.pardo-bbva.com/" TargetMode="External"/><Relationship Id="rId1370" Type="http://schemas.openxmlformats.org/officeDocument/2006/relationships/hyperlink" Target="http://andresfelipe.granados-bbva.com/" TargetMode="External"/><Relationship Id="rId2007" Type="http://schemas.openxmlformats.org/officeDocument/2006/relationships/hyperlink" Target="http://monica.zamudio-bbva.com/" TargetMode="External"/><Relationship Id="rId2214" Type="http://schemas.openxmlformats.org/officeDocument/2006/relationships/hyperlink" Target="http://mariajuliana.rodriguez-bbva.com/" TargetMode="External"/><Relationship Id="rId740" Type="http://schemas.openxmlformats.org/officeDocument/2006/relationships/hyperlink" Target="https://globaldevtools.bbva.com/jira/browse/COLWSCANAL-11832" TargetMode="External"/><Relationship Id="rId838" Type="http://schemas.openxmlformats.org/officeDocument/2006/relationships/hyperlink" Target="http://nathiahayosara.amado-bbva.com/" TargetMode="External"/><Relationship Id="rId1023" Type="http://schemas.openxmlformats.org/officeDocument/2006/relationships/hyperlink" Target="http://elizabeth.diaz-bbva.com/" TargetMode="External"/><Relationship Id="rId1468" Type="http://schemas.openxmlformats.org/officeDocument/2006/relationships/hyperlink" Target="http://hugofernando.parra-bbva.com/" TargetMode="External"/><Relationship Id="rId1675" Type="http://schemas.openxmlformats.org/officeDocument/2006/relationships/hyperlink" Target="http://alirio.bermudez-bbva.com/" TargetMode="External"/><Relationship Id="rId1882" Type="http://schemas.openxmlformats.org/officeDocument/2006/relationships/hyperlink" Target="http://sandrajohanna.gonzalez-bbva.com/" TargetMode="External"/><Relationship Id="rId2421" Type="http://schemas.openxmlformats.org/officeDocument/2006/relationships/hyperlink" Target="http://felipesantiago.araujo-bbva.com/" TargetMode="External"/><Relationship Id="rId2519" Type="http://schemas.openxmlformats.org/officeDocument/2006/relationships/hyperlink" Target="http://claudia.fajardo-bbva.com/" TargetMode="External"/><Relationship Id="rId600" Type="http://schemas.openxmlformats.org/officeDocument/2006/relationships/hyperlink" Target="http://catalina.villamil-bbva.com/" TargetMode="External"/><Relationship Id="rId1230" Type="http://schemas.openxmlformats.org/officeDocument/2006/relationships/hyperlink" Target="http://paolaandrea.guzman-bbva.com/" TargetMode="External"/><Relationship Id="rId1328" Type="http://schemas.openxmlformats.org/officeDocument/2006/relationships/hyperlink" Target="http://paolaandrea.guzman-bbva.com/" TargetMode="External"/><Relationship Id="rId1535" Type="http://schemas.openxmlformats.org/officeDocument/2006/relationships/hyperlink" Target="https://globaldevtools.bbva.com/jira/browse/COLWSCANAL-9653" TargetMode="External"/><Relationship Id="rId905" Type="http://schemas.openxmlformats.org/officeDocument/2006/relationships/hyperlink" Target="http://jeissonandres.diaz.rodriguez-bbva.com/" TargetMode="External"/><Relationship Id="rId1742" Type="http://schemas.openxmlformats.org/officeDocument/2006/relationships/hyperlink" Target="http://alirio.bermudez-bbva.com/" TargetMode="External"/><Relationship Id="rId34" Type="http://schemas.openxmlformats.org/officeDocument/2006/relationships/hyperlink" Target="http://jessicalorena.moncaleano-bbva.com/" TargetMode="External"/><Relationship Id="rId1602" Type="http://schemas.openxmlformats.org/officeDocument/2006/relationships/hyperlink" Target="http://nathaliamaria.torres-bbva.com/" TargetMode="External"/><Relationship Id="rId183" Type="http://schemas.openxmlformats.org/officeDocument/2006/relationships/hyperlink" Target="http://jimy.catolico-bbva.com/" TargetMode="External"/><Relationship Id="rId390" Type="http://schemas.openxmlformats.org/officeDocument/2006/relationships/hyperlink" Target="http://giulianaandrea.guarin-bbva.com/" TargetMode="External"/><Relationship Id="rId1907" Type="http://schemas.openxmlformats.org/officeDocument/2006/relationships/hyperlink" Target="http://marthapatric.cruz-bbva.com/" TargetMode="External"/><Relationship Id="rId2071" Type="http://schemas.openxmlformats.org/officeDocument/2006/relationships/hyperlink" Target="http://alirio.bermudez-bbva.com/" TargetMode="External"/><Relationship Id="rId250" Type="http://schemas.openxmlformats.org/officeDocument/2006/relationships/hyperlink" Target="https://globaldevtools.bbva.com/jira/browse/COLWSCANAL-14667" TargetMode="External"/><Relationship Id="rId488" Type="http://schemas.openxmlformats.org/officeDocument/2006/relationships/hyperlink" Target="http://giulianaandrea.guarin-bbva.com/" TargetMode="External"/><Relationship Id="rId695" Type="http://schemas.openxmlformats.org/officeDocument/2006/relationships/hyperlink" Target="http://nathiahayosara.amado-bbva.com/" TargetMode="External"/><Relationship Id="rId2169" Type="http://schemas.openxmlformats.org/officeDocument/2006/relationships/hyperlink" Target="http://sandracarolina.miranda-bbva.com/" TargetMode="External"/><Relationship Id="rId2376" Type="http://schemas.openxmlformats.org/officeDocument/2006/relationships/hyperlink" Target="http://dianacarolina.gonzalez.castri-bbva.com/" TargetMode="External"/><Relationship Id="rId2583" Type="http://schemas.openxmlformats.org/officeDocument/2006/relationships/hyperlink" Target="http://carlosdavid.pacheco-bbva.com/" TargetMode="External"/><Relationship Id="rId110" Type="http://schemas.openxmlformats.org/officeDocument/2006/relationships/hyperlink" Target="https://globaldevtools.bbva.com/jira/browse/COLWSCRM-787" TargetMode="External"/><Relationship Id="rId348" Type="http://schemas.openxmlformats.org/officeDocument/2006/relationships/hyperlink" Target="https://globaldevtools.bbva.com/jira/browse/COLWSCANAL-9677" TargetMode="External"/><Relationship Id="rId555" Type="http://schemas.openxmlformats.org/officeDocument/2006/relationships/hyperlink" Target="http://ivan_dario.ariza-bbva.com/" TargetMode="External"/><Relationship Id="rId762" Type="http://schemas.openxmlformats.org/officeDocument/2006/relationships/hyperlink" Target="http://elizabeth.diaz-bbva.com/" TargetMode="External"/><Relationship Id="rId1185" Type="http://schemas.openxmlformats.org/officeDocument/2006/relationships/hyperlink" Target="http://paolaandrea.hermosa-bbva.com/" TargetMode="External"/><Relationship Id="rId1392" Type="http://schemas.openxmlformats.org/officeDocument/2006/relationships/hyperlink" Target="http://geovany.ramirez-bbva.com/" TargetMode="External"/><Relationship Id="rId2029" Type="http://schemas.openxmlformats.org/officeDocument/2006/relationships/hyperlink" Target="http://monica.zamudio-bbva.com/" TargetMode="External"/><Relationship Id="rId2236" Type="http://schemas.openxmlformats.org/officeDocument/2006/relationships/hyperlink" Target="http://felipe.guzman-bbva.com/" TargetMode="External"/><Relationship Id="rId2443" Type="http://schemas.openxmlformats.org/officeDocument/2006/relationships/hyperlink" Target="http://juan.orozco-bbva.com/" TargetMode="External"/><Relationship Id="rId208" Type="http://schemas.openxmlformats.org/officeDocument/2006/relationships/hyperlink" Target="http://juliocesar.estupinan-bbva.com/" TargetMode="External"/><Relationship Id="rId415" Type="http://schemas.openxmlformats.org/officeDocument/2006/relationships/hyperlink" Target="http://juhan.lozano-bbva.com/" TargetMode="External"/><Relationship Id="rId622" Type="http://schemas.openxmlformats.org/officeDocument/2006/relationships/hyperlink" Target="http://josealejandro.duenas-bbva.com/" TargetMode="External"/><Relationship Id="rId1045" Type="http://schemas.openxmlformats.org/officeDocument/2006/relationships/hyperlink" Target="http://nathiahayosara.amado-bbva.com/" TargetMode="External"/><Relationship Id="rId1252" Type="http://schemas.openxmlformats.org/officeDocument/2006/relationships/hyperlink" Target="http://diegoandres.rodriguez-bbva.com/" TargetMode="External"/><Relationship Id="rId1697" Type="http://schemas.openxmlformats.org/officeDocument/2006/relationships/hyperlink" Target="http://elizabeth.diaz-bbva.com/" TargetMode="External"/><Relationship Id="rId2303" Type="http://schemas.openxmlformats.org/officeDocument/2006/relationships/hyperlink" Target="http://felipe.guzman-bbva.com/" TargetMode="External"/><Relationship Id="rId2510" Type="http://schemas.openxmlformats.org/officeDocument/2006/relationships/hyperlink" Target="http://alirio.bermudez-bbva.com/" TargetMode="External"/><Relationship Id="rId927" Type="http://schemas.openxmlformats.org/officeDocument/2006/relationships/hyperlink" Target="https://globaldevtools.bbva.com/jira/browse/COLWSCANAL-2664" TargetMode="External"/><Relationship Id="rId1112" Type="http://schemas.openxmlformats.org/officeDocument/2006/relationships/hyperlink" Target="http://angie.castaneda-bbva.com/" TargetMode="External"/><Relationship Id="rId1557" Type="http://schemas.openxmlformats.org/officeDocument/2006/relationships/hyperlink" Target="http://vivianamarcela.rueda-bbva.com/" TargetMode="External"/><Relationship Id="rId1764" Type="http://schemas.openxmlformats.org/officeDocument/2006/relationships/hyperlink" Target="http://elizabeth.diaz-bbva.com/" TargetMode="External"/><Relationship Id="rId1971" Type="http://schemas.openxmlformats.org/officeDocument/2006/relationships/hyperlink" Target="http://alirio.bermudez-bbva.com/" TargetMode="External"/><Relationship Id="rId56" Type="http://schemas.openxmlformats.org/officeDocument/2006/relationships/hyperlink" Target="https://globaldevtools.bbva.com/jira/browse/COLWSCRM-2360" TargetMode="External"/><Relationship Id="rId1417" Type="http://schemas.openxmlformats.org/officeDocument/2006/relationships/hyperlink" Target="http://geovany.ramirez-bbva.com/" TargetMode="External"/><Relationship Id="rId1624" Type="http://schemas.openxmlformats.org/officeDocument/2006/relationships/hyperlink" Target="http://andrea.orrego-bbva.com/" TargetMode="External"/><Relationship Id="rId1831" Type="http://schemas.openxmlformats.org/officeDocument/2006/relationships/hyperlink" Target="http://marthapatric.cruz-bbva.com/" TargetMode="External"/><Relationship Id="rId1929" Type="http://schemas.openxmlformats.org/officeDocument/2006/relationships/hyperlink" Target="http://marthapatric.cruz-bbva.com/" TargetMode="External"/><Relationship Id="rId2093" Type="http://schemas.openxmlformats.org/officeDocument/2006/relationships/hyperlink" Target="http://hugo.mongua-bbva.com/" TargetMode="External"/><Relationship Id="rId2398" Type="http://schemas.openxmlformats.org/officeDocument/2006/relationships/hyperlink" Target="https://globaldevtools.bbva.com/jira/browse/CFS1-166" TargetMode="External"/><Relationship Id="rId272" Type="http://schemas.openxmlformats.org/officeDocument/2006/relationships/hyperlink" Target="http://andres.carrandi-bbva.com/" TargetMode="External"/><Relationship Id="rId577" Type="http://schemas.openxmlformats.org/officeDocument/2006/relationships/hyperlink" Target="http://jennymaria.urdaneta-bbva.com/" TargetMode="External"/><Relationship Id="rId2160" Type="http://schemas.openxmlformats.org/officeDocument/2006/relationships/hyperlink" Target="http://hugo.mongua-bbva.com/" TargetMode="External"/><Relationship Id="rId2258" Type="http://schemas.openxmlformats.org/officeDocument/2006/relationships/hyperlink" Target="http://paola.trivino-bbva.com/" TargetMode="External"/><Relationship Id="rId132" Type="http://schemas.openxmlformats.org/officeDocument/2006/relationships/hyperlink" Target="http://deisyjohana.medina-bbva.com/" TargetMode="External"/><Relationship Id="rId784" Type="http://schemas.openxmlformats.org/officeDocument/2006/relationships/hyperlink" Target="http://nathiahayosara.amado-bbva.com/" TargetMode="External"/><Relationship Id="rId991" Type="http://schemas.openxmlformats.org/officeDocument/2006/relationships/hyperlink" Target="http://jeissonandres.diaz.rodriguez-bbva.com/" TargetMode="External"/><Relationship Id="rId1067" Type="http://schemas.openxmlformats.org/officeDocument/2006/relationships/hyperlink" Target="https://globaldevtools.bbva.com/jira/browse/COLWSCANAL-13302" TargetMode="External"/><Relationship Id="rId2020" Type="http://schemas.openxmlformats.org/officeDocument/2006/relationships/hyperlink" Target="http://alirio.bermudez-bbva.com/" TargetMode="External"/><Relationship Id="rId2465" Type="http://schemas.openxmlformats.org/officeDocument/2006/relationships/hyperlink" Target="http://juan.orozco-bbva.com/" TargetMode="External"/><Relationship Id="rId437" Type="http://schemas.openxmlformats.org/officeDocument/2006/relationships/hyperlink" Target="http://jimy.catolico-bbva.com/" TargetMode="External"/><Relationship Id="rId644" Type="http://schemas.openxmlformats.org/officeDocument/2006/relationships/hyperlink" Target="http://catalina.villamil-bbva.com/" TargetMode="External"/><Relationship Id="rId851" Type="http://schemas.openxmlformats.org/officeDocument/2006/relationships/hyperlink" Target="http://karenalexandra.martinez-bbva.com/" TargetMode="External"/><Relationship Id="rId1274" Type="http://schemas.openxmlformats.org/officeDocument/2006/relationships/hyperlink" Target="http://angie.castaneda-bbva.com/" TargetMode="External"/><Relationship Id="rId1481" Type="http://schemas.openxmlformats.org/officeDocument/2006/relationships/hyperlink" Target="http://fredy.pineda-bbva.com/" TargetMode="External"/><Relationship Id="rId1579" Type="http://schemas.openxmlformats.org/officeDocument/2006/relationships/hyperlink" Target="http://andrea.orrego-bbva.com/" TargetMode="External"/><Relationship Id="rId2118" Type="http://schemas.openxmlformats.org/officeDocument/2006/relationships/hyperlink" Target="http://david.juvinao-bbva.com/" TargetMode="External"/><Relationship Id="rId2325" Type="http://schemas.openxmlformats.org/officeDocument/2006/relationships/hyperlink" Target="http://dianacarolina.gonzalez.castri-bbva.com/" TargetMode="External"/><Relationship Id="rId2532" Type="http://schemas.openxmlformats.org/officeDocument/2006/relationships/hyperlink" Target="http://leidyviviana.patino-bbva.com/" TargetMode="External"/><Relationship Id="rId504" Type="http://schemas.openxmlformats.org/officeDocument/2006/relationships/hyperlink" Target="http://monica.zamudio-bbva.com/" TargetMode="External"/><Relationship Id="rId711" Type="http://schemas.openxmlformats.org/officeDocument/2006/relationships/hyperlink" Target="http://leidyjohanna.zambrano-bbva.com/" TargetMode="External"/><Relationship Id="rId949" Type="http://schemas.openxmlformats.org/officeDocument/2006/relationships/hyperlink" Target="http://jeissonandres.diaz.rodriguez-bbva.com/" TargetMode="External"/><Relationship Id="rId1134" Type="http://schemas.openxmlformats.org/officeDocument/2006/relationships/hyperlink" Target="http://andresfelipe.granados-bbva.com/" TargetMode="External"/><Relationship Id="rId1341" Type="http://schemas.openxmlformats.org/officeDocument/2006/relationships/hyperlink" Target="http://angie.castaneda-bbva.com/" TargetMode="External"/><Relationship Id="rId1786" Type="http://schemas.openxmlformats.org/officeDocument/2006/relationships/hyperlink" Target="http://monicaandrea.abogado-bbva.com/" TargetMode="External"/><Relationship Id="rId1993" Type="http://schemas.openxmlformats.org/officeDocument/2006/relationships/hyperlink" Target="http://alirio.bermudez-bbva.com/" TargetMode="External"/><Relationship Id="rId78" Type="http://schemas.openxmlformats.org/officeDocument/2006/relationships/hyperlink" Target="http://davidesteban.fajardo-bbva.com/" TargetMode="External"/><Relationship Id="rId809" Type="http://schemas.openxmlformats.org/officeDocument/2006/relationships/hyperlink" Target="http://sirlleny.vasquez-bbva.com/" TargetMode="External"/><Relationship Id="rId1201" Type="http://schemas.openxmlformats.org/officeDocument/2006/relationships/hyperlink" Target="https://globaldevtools.bbva.com/jira/browse/COLWSPREST-806" TargetMode="External"/><Relationship Id="rId1439" Type="http://schemas.openxmlformats.org/officeDocument/2006/relationships/hyperlink" Target="https://globaldevtools.bbva.com/jira/browse/COLWSPREST-2204" TargetMode="External"/><Relationship Id="rId1646" Type="http://schemas.openxmlformats.org/officeDocument/2006/relationships/hyperlink" Target="http://andrea.orrego-bbva.com/" TargetMode="External"/><Relationship Id="rId1853" Type="http://schemas.openxmlformats.org/officeDocument/2006/relationships/hyperlink" Target="https://globaldevtools.bbva.com/jira/browse/COLWSNORMA-1014" TargetMode="External"/><Relationship Id="rId1506" Type="http://schemas.openxmlformats.org/officeDocument/2006/relationships/hyperlink" Target="http://rociomarcela.lopez-bbva.com/" TargetMode="External"/><Relationship Id="rId1713" Type="http://schemas.openxmlformats.org/officeDocument/2006/relationships/hyperlink" Target="http://elizabeth.diaz-bbva.com/" TargetMode="External"/><Relationship Id="rId1920" Type="http://schemas.openxmlformats.org/officeDocument/2006/relationships/hyperlink" Target="http://alirio.bermudez-bbva.com/" TargetMode="External"/><Relationship Id="rId294" Type="http://schemas.openxmlformats.org/officeDocument/2006/relationships/hyperlink" Target="http://paolaandrea.hermosa-bbva.com/" TargetMode="External"/><Relationship Id="rId2182" Type="http://schemas.openxmlformats.org/officeDocument/2006/relationships/hyperlink" Target="https://globaldevtools.bbva.com/jira/browse/COLWSSEGUR-1752" TargetMode="External"/><Relationship Id="rId154" Type="http://schemas.openxmlformats.org/officeDocument/2006/relationships/hyperlink" Target="http://rodrigo.ardila-bbva.com/" TargetMode="External"/><Relationship Id="rId361" Type="http://schemas.openxmlformats.org/officeDocument/2006/relationships/hyperlink" Target="http://jimy.catolico-bbva.com/" TargetMode="External"/><Relationship Id="rId599" Type="http://schemas.openxmlformats.org/officeDocument/2006/relationships/hyperlink" Target="http://elizabeth.diaz-bbva.com/" TargetMode="External"/><Relationship Id="rId2042" Type="http://schemas.openxmlformats.org/officeDocument/2006/relationships/hyperlink" Target="http://monica.zamudio-bbva.com/" TargetMode="External"/><Relationship Id="rId2487" Type="http://schemas.openxmlformats.org/officeDocument/2006/relationships/hyperlink" Target="http://ana.santamaria-bbva.com/" TargetMode="External"/><Relationship Id="rId459" Type="http://schemas.openxmlformats.org/officeDocument/2006/relationships/hyperlink" Target="http://juhan.lozano-bbva.com/" TargetMode="External"/><Relationship Id="rId666" Type="http://schemas.openxmlformats.org/officeDocument/2006/relationships/hyperlink" Target="http://elizabeth.diaz-bbva.com/" TargetMode="External"/><Relationship Id="rId873" Type="http://schemas.openxmlformats.org/officeDocument/2006/relationships/hyperlink" Target="https://globaldevtools.bbva.com/jira/browse/COLWSPREST-1318" TargetMode="External"/><Relationship Id="rId1089" Type="http://schemas.openxmlformats.org/officeDocument/2006/relationships/hyperlink" Target="http://brigitteyesenia.beltran-bbva.com/" TargetMode="External"/><Relationship Id="rId1296" Type="http://schemas.openxmlformats.org/officeDocument/2006/relationships/hyperlink" Target="http://angie.castaneda-bbva.com/" TargetMode="External"/><Relationship Id="rId2347" Type="http://schemas.openxmlformats.org/officeDocument/2006/relationships/hyperlink" Target="http://katherine.michaels-bbva.com/" TargetMode="External"/><Relationship Id="rId2554" Type="http://schemas.openxmlformats.org/officeDocument/2006/relationships/hyperlink" Target="https://globaldevtools.bbva.com/jira/browse/COLWSPREST-10270" TargetMode="External"/><Relationship Id="rId221" Type="http://schemas.openxmlformats.org/officeDocument/2006/relationships/hyperlink" Target="http://yurimilena.moreno-bbva.com/" TargetMode="External"/><Relationship Id="rId319" Type="http://schemas.openxmlformats.org/officeDocument/2006/relationships/hyperlink" Target="https://globaldevtools.bbva.com/jira/browse/COLWSCANAL-11532" TargetMode="External"/><Relationship Id="rId526" Type="http://schemas.openxmlformats.org/officeDocument/2006/relationships/hyperlink" Target="http://marthaconsuelo.parra-bbva.com/" TargetMode="External"/><Relationship Id="rId1156" Type="http://schemas.openxmlformats.org/officeDocument/2006/relationships/hyperlink" Target="http://paolaandrea.hermosa-bbva.com/" TargetMode="External"/><Relationship Id="rId1363" Type="http://schemas.openxmlformats.org/officeDocument/2006/relationships/hyperlink" Target="http://andresfelipe.granados-bbva.com/" TargetMode="External"/><Relationship Id="rId2207" Type="http://schemas.openxmlformats.org/officeDocument/2006/relationships/hyperlink" Target="http://mariajuliana.rodriguez-bbva.com/" TargetMode="External"/><Relationship Id="rId733" Type="http://schemas.openxmlformats.org/officeDocument/2006/relationships/hyperlink" Target="http://nathiahayosara.amado-bbva.com/" TargetMode="External"/><Relationship Id="rId940" Type="http://schemas.openxmlformats.org/officeDocument/2006/relationships/hyperlink" Target="http://nathiahayosara.amado-bbva.com/" TargetMode="External"/><Relationship Id="rId1016" Type="http://schemas.openxmlformats.org/officeDocument/2006/relationships/hyperlink" Target="https://globaldevtools.bbva.com/jira/browse/COLWSCONTA-829" TargetMode="External"/><Relationship Id="rId1570" Type="http://schemas.openxmlformats.org/officeDocument/2006/relationships/hyperlink" Target="https://globaldevtools.bbva.com/jira/browse/COLWSCANAL-13434" TargetMode="External"/><Relationship Id="rId1668" Type="http://schemas.openxmlformats.org/officeDocument/2006/relationships/hyperlink" Target="http://nelson.ruiz-bbva.com/" TargetMode="External"/><Relationship Id="rId1875" Type="http://schemas.openxmlformats.org/officeDocument/2006/relationships/hyperlink" Target="http://nathaliamaria.torres-bbva.com/" TargetMode="External"/><Relationship Id="rId2414" Type="http://schemas.openxmlformats.org/officeDocument/2006/relationships/hyperlink" Target="https://globaldevtools.bbva.com/jira/browse/CFS1-113" TargetMode="External"/><Relationship Id="rId800" Type="http://schemas.openxmlformats.org/officeDocument/2006/relationships/hyperlink" Target="http://nathiahayosara.amado-bbva.com/" TargetMode="External"/><Relationship Id="rId1223" Type="http://schemas.openxmlformats.org/officeDocument/2006/relationships/hyperlink" Target="http://monica.zamudio-bbva.com/" TargetMode="External"/><Relationship Id="rId1430" Type="http://schemas.openxmlformats.org/officeDocument/2006/relationships/hyperlink" Target="http://juana.vergara-bbva.com/" TargetMode="External"/><Relationship Id="rId1528" Type="http://schemas.openxmlformats.org/officeDocument/2006/relationships/hyperlink" Target="http://hugofernando.parra-bbva.com/" TargetMode="External"/><Relationship Id="rId1735" Type="http://schemas.openxmlformats.org/officeDocument/2006/relationships/hyperlink" Target="http://nelson.ruiz-bbva.com/" TargetMode="External"/><Relationship Id="rId1942" Type="http://schemas.openxmlformats.org/officeDocument/2006/relationships/hyperlink" Target="https://globaldevtools.bbva.com/jira/browse/COLWSMEDIO-4488" TargetMode="External"/><Relationship Id="rId27" Type="http://schemas.openxmlformats.org/officeDocument/2006/relationships/hyperlink" Target="http://ana.santamaria-bbva.com/" TargetMode="External"/><Relationship Id="rId1802" Type="http://schemas.openxmlformats.org/officeDocument/2006/relationships/hyperlink" Target="http://monicaandrea.abogado-bbva.com/" TargetMode="External"/><Relationship Id="rId176" Type="http://schemas.openxmlformats.org/officeDocument/2006/relationships/hyperlink" Target="http://jimy.catolico-bbva.com/" TargetMode="External"/><Relationship Id="rId383" Type="http://schemas.openxmlformats.org/officeDocument/2006/relationships/hyperlink" Target="http://juhan.lozano-bbva.com/" TargetMode="External"/><Relationship Id="rId590" Type="http://schemas.openxmlformats.org/officeDocument/2006/relationships/hyperlink" Target="http://elizabeth.diaz-bbva.com/" TargetMode="External"/><Relationship Id="rId2064" Type="http://schemas.openxmlformats.org/officeDocument/2006/relationships/hyperlink" Target="https://globaldevtools.bbva.com/jira/browse/COLWSPREST-759" TargetMode="External"/><Relationship Id="rId2271" Type="http://schemas.openxmlformats.org/officeDocument/2006/relationships/hyperlink" Target="http://felipe.guzman-bbva.com/" TargetMode="External"/><Relationship Id="rId243" Type="http://schemas.openxmlformats.org/officeDocument/2006/relationships/hyperlink" Target="http://jimy.catolico-bbva.com/" TargetMode="External"/><Relationship Id="rId450" Type="http://schemas.openxmlformats.org/officeDocument/2006/relationships/hyperlink" Target="http://erikajulieth.ruiz-bbva.com/" TargetMode="External"/><Relationship Id="rId688" Type="http://schemas.openxmlformats.org/officeDocument/2006/relationships/hyperlink" Target="https://globaldevtools.bbva.com/jira/browse/COLWSCANAL-3040" TargetMode="External"/><Relationship Id="rId895" Type="http://schemas.openxmlformats.org/officeDocument/2006/relationships/hyperlink" Target="https://globaldevtools.bbva.com/jira/browse/COLWSPREST-10349" TargetMode="External"/><Relationship Id="rId1080" Type="http://schemas.openxmlformats.org/officeDocument/2006/relationships/hyperlink" Target="http://nathiahayosara.amado-bbva.com/" TargetMode="External"/><Relationship Id="rId2131" Type="http://schemas.openxmlformats.org/officeDocument/2006/relationships/hyperlink" Target="http://alirio.bermudez-bbva.com/" TargetMode="External"/><Relationship Id="rId2369" Type="http://schemas.openxmlformats.org/officeDocument/2006/relationships/hyperlink" Target="http://felipe.guzman-bbva.com/" TargetMode="External"/><Relationship Id="rId2576" Type="http://schemas.openxmlformats.org/officeDocument/2006/relationships/hyperlink" Target="http://davidcamilo.poveda-bbva.com/" TargetMode="External"/><Relationship Id="rId103" Type="http://schemas.openxmlformats.org/officeDocument/2006/relationships/hyperlink" Target="http://ana.santamaria-bbva.com/" TargetMode="External"/><Relationship Id="rId310" Type="http://schemas.openxmlformats.org/officeDocument/2006/relationships/hyperlink" Target="http://rocio.garces-bbva.com/" TargetMode="External"/><Relationship Id="rId548" Type="http://schemas.openxmlformats.org/officeDocument/2006/relationships/hyperlink" Target="https://globaldevtools.bbva.com/jira/browse/COLWSPREST-2157" TargetMode="External"/><Relationship Id="rId755" Type="http://schemas.openxmlformats.org/officeDocument/2006/relationships/hyperlink" Target="http://elizabeth.diaz-bbva.com/" TargetMode="External"/><Relationship Id="rId962" Type="http://schemas.openxmlformats.org/officeDocument/2006/relationships/hyperlink" Target="http://elizabeth.diaz-bbva.com/" TargetMode="External"/><Relationship Id="rId1178" Type="http://schemas.openxmlformats.org/officeDocument/2006/relationships/hyperlink" Target="https://globaldevtools.bbva.com/jira/browse/COLWSCUENT-2992" TargetMode="External"/><Relationship Id="rId1385" Type="http://schemas.openxmlformats.org/officeDocument/2006/relationships/hyperlink" Target="http://geovany.ramirez-bbva.com/" TargetMode="External"/><Relationship Id="rId1592" Type="http://schemas.openxmlformats.org/officeDocument/2006/relationships/hyperlink" Target="http://andrea.orrego-bbva.com/" TargetMode="External"/><Relationship Id="rId2229" Type="http://schemas.openxmlformats.org/officeDocument/2006/relationships/hyperlink" Target="http://felipe.guzman-bbva.com/" TargetMode="External"/><Relationship Id="rId2436" Type="http://schemas.openxmlformats.org/officeDocument/2006/relationships/hyperlink" Target="http://jorge.blanco-bbva.com/" TargetMode="External"/><Relationship Id="rId91" Type="http://schemas.openxmlformats.org/officeDocument/2006/relationships/hyperlink" Target="http://pabloalexand.ortiz-bbva.com/" TargetMode="External"/><Relationship Id="rId408" Type="http://schemas.openxmlformats.org/officeDocument/2006/relationships/hyperlink" Target="https://globaldevtools.bbva.com/jira/browse/COLWSCANAL-1050" TargetMode="External"/><Relationship Id="rId615" Type="http://schemas.openxmlformats.org/officeDocument/2006/relationships/hyperlink" Target="https://globaldevtools.bbva.com/jira/browse/COLWSCANAL-3395" TargetMode="External"/><Relationship Id="rId822" Type="http://schemas.openxmlformats.org/officeDocument/2006/relationships/hyperlink" Target="http://nathiahayosara.amado-bbva.com/" TargetMode="External"/><Relationship Id="rId1038" Type="http://schemas.openxmlformats.org/officeDocument/2006/relationships/hyperlink" Target="http://jeissonandres.diaz.rodriguez-bbva.com/" TargetMode="External"/><Relationship Id="rId1245" Type="http://schemas.openxmlformats.org/officeDocument/2006/relationships/hyperlink" Target="http://paolaandrea.guzman-bbva.com/" TargetMode="External"/><Relationship Id="rId1452" Type="http://schemas.openxmlformats.org/officeDocument/2006/relationships/hyperlink" Target="http://hugofernando.parra-bbva.com/" TargetMode="External"/><Relationship Id="rId1897" Type="http://schemas.openxmlformats.org/officeDocument/2006/relationships/hyperlink" Target="https://globaldevtools.bbva.com/jira/browse/COLWSMEDIO-2336" TargetMode="External"/><Relationship Id="rId2503" Type="http://schemas.openxmlformats.org/officeDocument/2006/relationships/hyperlink" Target="http://hugofernando.parra-bbva.com/" TargetMode="External"/><Relationship Id="rId1105" Type="http://schemas.openxmlformats.org/officeDocument/2006/relationships/hyperlink" Target="http://brigitteyesenia.beltran-bbva.com/" TargetMode="External"/><Relationship Id="rId1312" Type="http://schemas.openxmlformats.org/officeDocument/2006/relationships/hyperlink" Target="http://paolaandrea.guzman-bbva.com/" TargetMode="External"/><Relationship Id="rId1757" Type="http://schemas.openxmlformats.org/officeDocument/2006/relationships/hyperlink" Target="https://globaldevtools.bbva.com/jira/browse/COLWSCUENT-596" TargetMode="External"/><Relationship Id="rId1964" Type="http://schemas.openxmlformats.org/officeDocument/2006/relationships/hyperlink" Target="http://yeraldineandrea.sierra-bbva.com/" TargetMode="External"/><Relationship Id="rId49" Type="http://schemas.openxmlformats.org/officeDocument/2006/relationships/hyperlink" Target="http://ana.santamaria-bbva.com/" TargetMode="External"/><Relationship Id="rId1617" Type="http://schemas.openxmlformats.org/officeDocument/2006/relationships/hyperlink" Target="http://leidymaritza.futinico-bbva.com/" TargetMode="External"/><Relationship Id="rId1824" Type="http://schemas.openxmlformats.org/officeDocument/2006/relationships/hyperlink" Target="http://monica.zamudio-bbva.com/" TargetMode="External"/><Relationship Id="rId198" Type="http://schemas.openxmlformats.org/officeDocument/2006/relationships/hyperlink" Target="https://globaldevtools.bbva.com/jira/browse/COLWSPREST-7249" TargetMode="External"/><Relationship Id="rId2086" Type="http://schemas.openxmlformats.org/officeDocument/2006/relationships/hyperlink" Target="http://david.juvinao-bbva.com/" TargetMode="External"/><Relationship Id="rId2293" Type="http://schemas.openxmlformats.org/officeDocument/2006/relationships/hyperlink" Target="http://katherine.michaels-bbva.com/" TargetMode="External"/><Relationship Id="rId2598" Type="http://schemas.openxmlformats.org/officeDocument/2006/relationships/hyperlink" Target="http://andres.carrandi-bbva.com/" TargetMode="External"/><Relationship Id="rId265" Type="http://schemas.openxmlformats.org/officeDocument/2006/relationships/hyperlink" Target="http://andres.carrandi-bbva.com/" TargetMode="External"/><Relationship Id="rId472" Type="http://schemas.openxmlformats.org/officeDocument/2006/relationships/hyperlink" Target="http://jimy.catolico-bbva.com/" TargetMode="External"/><Relationship Id="rId2153" Type="http://schemas.openxmlformats.org/officeDocument/2006/relationships/hyperlink" Target="http://paolaandrea.hermosa-bbva.com/" TargetMode="External"/><Relationship Id="rId2360" Type="http://schemas.openxmlformats.org/officeDocument/2006/relationships/hyperlink" Target="http://yehimymeliza.santamaria-bbva.com/" TargetMode="External"/><Relationship Id="rId125" Type="http://schemas.openxmlformats.org/officeDocument/2006/relationships/hyperlink" Target="http://david.juvinao-bbva.com/" TargetMode="External"/><Relationship Id="rId332" Type="http://schemas.openxmlformats.org/officeDocument/2006/relationships/hyperlink" Target="http://wilson.vera-bbva.com/" TargetMode="External"/><Relationship Id="rId777" Type="http://schemas.openxmlformats.org/officeDocument/2006/relationships/hyperlink" Target="http://leidyjohanna.zambrano-bbva.com/" TargetMode="External"/><Relationship Id="rId984" Type="http://schemas.openxmlformats.org/officeDocument/2006/relationships/hyperlink" Target="http://nathiahayosara.amado-bbva.com/" TargetMode="External"/><Relationship Id="rId2013" Type="http://schemas.openxmlformats.org/officeDocument/2006/relationships/hyperlink" Target="http://olga.lara-bbva.com/" TargetMode="External"/><Relationship Id="rId2220" Type="http://schemas.openxmlformats.org/officeDocument/2006/relationships/hyperlink" Target="http://mariajuliana.rodriguez-bbva.com/" TargetMode="External"/><Relationship Id="rId2458" Type="http://schemas.openxmlformats.org/officeDocument/2006/relationships/hyperlink" Target="https://globaldevtools.bbva.com/jira/browse/COLWSFIDUC-41" TargetMode="External"/><Relationship Id="rId637" Type="http://schemas.openxmlformats.org/officeDocument/2006/relationships/hyperlink" Target="http://leidyviviana.patino-bbva.com/" TargetMode="External"/><Relationship Id="rId844" Type="http://schemas.openxmlformats.org/officeDocument/2006/relationships/hyperlink" Target="http://ivan_dario.ariza-bbva.com/" TargetMode="External"/><Relationship Id="rId1267" Type="http://schemas.openxmlformats.org/officeDocument/2006/relationships/hyperlink" Target="https://globaldevtools.bbva.com/jira/browse/COLWSPREST-10626" TargetMode="External"/><Relationship Id="rId1474" Type="http://schemas.openxmlformats.org/officeDocument/2006/relationships/hyperlink" Target="http://monica.zamudio-bbva.com/" TargetMode="External"/><Relationship Id="rId1681" Type="http://schemas.openxmlformats.org/officeDocument/2006/relationships/hyperlink" Target="http://elizabeth.diaz-bbva.com/" TargetMode="External"/><Relationship Id="rId2318" Type="http://schemas.openxmlformats.org/officeDocument/2006/relationships/hyperlink" Target="http://felipe.guzman-bbva.com/" TargetMode="External"/><Relationship Id="rId2525" Type="http://schemas.openxmlformats.org/officeDocument/2006/relationships/hyperlink" Target="http://mariavictoria.gonzalez.fajard-bbva.com/" TargetMode="External"/><Relationship Id="rId704" Type="http://schemas.openxmlformats.org/officeDocument/2006/relationships/hyperlink" Target="http://elizabeth.diaz-bbva.com/" TargetMode="External"/><Relationship Id="rId911" Type="http://schemas.openxmlformats.org/officeDocument/2006/relationships/hyperlink" Target="https://globaldevtools.bbva.com/jira/browse/COLWSCANAL-1301" TargetMode="External"/><Relationship Id="rId1127" Type="http://schemas.openxmlformats.org/officeDocument/2006/relationships/hyperlink" Target="http://brigitteyesenia.beltran-bbva.com/" TargetMode="External"/><Relationship Id="rId1334" Type="http://schemas.openxmlformats.org/officeDocument/2006/relationships/hyperlink" Target="http://angie.castaneda-bbva.com/" TargetMode="External"/><Relationship Id="rId1541" Type="http://schemas.openxmlformats.org/officeDocument/2006/relationships/hyperlink" Target="http://nicolas.galindo-bbva.com/" TargetMode="External"/><Relationship Id="rId1779" Type="http://schemas.openxmlformats.org/officeDocument/2006/relationships/hyperlink" Target="http://nelson.ruiz-bbva.com/" TargetMode="External"/><Relationship Id="rId1986" Type="http://schemas.openxmlformats.org/officeDocument/2006/relationships/hyperlink" Target="http://olga.lara-bbva.com/" TargetMode="External"/><Relationship Id="rId40" Type="http://schemas.openxmlformats.org/officeDocument/2006/relationships/hyperlink" Target="https://globaldevtools.bbva.com/jira/browse/COLWSDATIO-2403" TargetMode="External"/><Relationship Id="rId1401" Type="http://schemas.openxmlformats.org/officeDocument/2006/relationships/hyperlink" Target="http://geovany.ramirez-bbva.com/" TargetMode="External"/><Relationship Id="rId1639" Type="http://schemas.openxmlformats.org/officeDocument/2006/relationships/hyperlink" Target="http://ivethkatherine.malambo-bbva.com/" TargetMode="External"/><Relationship Id="rId1846" Type="http://schemas.openxmlformats.org/officeDocument/2006/relationships/hyperlink" Target="http://alirio.bermudez-bbva.com/" TargetMode="External"/><Relationship Id="rId1706" Type="http://schemas.openxmlformats.org/officeDocument/2006/relationships/hyperlink" Target="https://globaldevtools.bbva.com/jira/browse/COLWSCANAL-13700" TargetMode="External"/><Relationship Id="rId1913" Type="http://schemas.openxmlformats.org/officeDocument/2006/relationships/hyperlink" Target="http://marthapatric.cruz-bbva.com/" TargetMode="External"/><Relationship Id="rId287" Type="http://schemas.openxmlformats.org/officeDocument/2006/relationships/hyperlink" Target="https://globaldevtools.bbva.com/jira/browse/COLWSCANAL-12246" TargetMode="External"/><Relationship Id="rId494" Type="http://schemas.openxmlformats.org/officeDocument/2006/relationships/hyperlink" Target="http://giulianaandrea.guarin-bbva.com/" TargetMode="External"/><Relationship Id="rId2175" Type="http://schemas.openxmlformats.org/officeDocument/2006/relationships/hyperlink" Target="http://katherine.michaels-bbva.com/" TargetMode="External"/><Relationship Id="rId2382" Type="http://schemas.openxmlformats.org/officeDocument/2006/relationships/hyperlink" Target="https://globaldevtools.bbva.com/jira/browse/COLWSCUENT-1329" TargetMode="External"/><Relationship Id="rId147" Type="http://schemas.openxmlformats.org/officeDocument/2006/relationships/hyperlink" Target="http://ana.santamaria-bbva.com/" TargetMode="External"/><Relationship Id="rId354" Type="http://schemas.openxmlformats.org/officeDocument/2006/relationships/hyperlink" Target="http://wilson.vera-bbva.com/" TargetMode="External"/><Relationship Id="rId799" Type="http://schemas.openxmlformats.org/officeDocument/2006/relationships/hyperlink" Target="https://globaldevtools.bbva.com/jira/browse/COLWSCANAL-2211" TargetMode="External"/><Relationship Id="rId1191" Type="http://schemas.openxmlformats.org/officeDocument/2006/relationships/hyperlink" Target="http://sandra.espinosa-bbva.com/" TargetMode="External"/><Relationship Id="rId2035" Type="http://schemas.openxmlformats.org/officeDocument/2006/relationships/hyperlink" Target="http://monica.zamudio-bbva.com/" TargetMode="External"/><Relationship Id="rId561" Type="http://schemas.openxmlformats.org/officeDocument/2006/relationships/hyperlink" Target="http://freddyorlando.guzman-bbva.com/" TargetMode="External"/><Relationship Id="rId659" Type="http://schemas.openxmlformats.org/officeDocument/2006/relationships/hyperlink" Target="https://globaldevtools.bbva.com/jira/browse/COLWSRIESG-3631" TargetMode="External"/><Relationship Id="rId866" Type="http://schemas.openxmlformats.org/officeDocument/2006/relationships/hyperlink" Target="http://nathiahayosara.amado-bbva.com/" TargetMode="External"/><Relationship Id="rId1289" Type="http://schemas.openxmlformats.org/officeDocument/2006/relationships/hyperlink" Target="http://angie.castaneda-bbva.com/" TargetMode="External"/><Relationship Id="rId1496" Type="http://schemas.openxmlformats.org/officeDocument/2006/relationships/hyperlink" Target="http://fredy.pineda-bbva.com/" TargetMode="External"/><Relationship Id="rId2242" Type="http://schemas.openxmlformats.org/officeDocument/2006/relationships/hyperlink" Target="http://paola.trivino-bbva.com/" TargetMode="External"/><Relationship Id="rId2547" Type="http://schemas.openxmlformats.org/officeDocument/2006/relationships/hyperlink" Target="http://nathaliamaria.torres-bbva.com/" TargetMode="External"/><Relationship Id="rId214" Type="http://schemas.openxmlformats.org/officeDocument/2006/relationships/hyperlink" Target="https://globaldevtools.bbva.com/jira/browse/COLWSCANAL-1150" TargetMode="External"/><Relationship Id="rId421" Type="http://schemas.openxmlformats.org/officeDocument/2006/relationships/hyperlink" Target="http://jimy.catolico-bbva.com/" TargetMode="External"/><Relationship Id="rId519" Type="http://schemas.openxmlformats.org/officeDocument/2006/relationships/hyperlink" Target="https://globaldevtools.bbva.com/jira/browse/CCSS-7138" TargetMode="External"/><Relationship Id="rId1051" Type="http://schemas.openxmlformats.org/officeDocument/2006/relationships/hyperlink" Target="http://elizabeth.diaz-bbva.com/" TargetMode="External"/><Relationship Id="rId1149" Type="http://schemas.openxmlformats.org/officeDocument/2006/relationships/hyperlink" Target="http://juana.vergara-bbva.com/" TargetMode="External"/><Relationship Id="rId1356" Type="http://schemas.openxmlformats.org/officeDocument/2006/relationships/hyperlink" Target="https://globaldevtools.bbva.com/jira/browse/COLWSMEDIO-6142" TargetMode="External"/><Relationship Id="rId2102" Type="http://schemas.openxmlformats.org/officeDocument/2006/relationships/hyperlink" Target="http://david.juvinao-bbva.com/" TargetMode="External"/><Relationship Id="rId726" Type="http://schemas.openxmlformats.org/officeDocument/2006/relationships/hyperlink" Target="http://leidyjohanna.zambrano-bbva.com/" TargetMode="External"/><Relationship Id="rId933" Type="http://schemas.openxmlformats.org/officeDocument/2006/relationships/hyperlink" Target="http://jeissonandres.diaz.rodriguez-bbva.com/" TargetMode="External"/><Relationship Id="rId1009" Type="http://schemas.openxmlformats.org/officeDocument/2006/relationships/hyperlink" Target="http://nathiahayosara.amado-bbva.com/" TargetMode="External"/><Relationship Id="rId1563" Type="http://schemas.openxmlformats.org/officeDocument/2006/relationships/hyperlink" Target="https://globaldevtools.bbva.com/jira/browse/CCSS-4686" TargetMode="External"/><Relationship Id="rId1770" Type="http://schemas.openxmlformats.org/officeDocument/2006/relationships/hyperlink" Target="http://alirio.bermudez-bbva.com/" TargetMode="External"/><Relationship Id="rId1868" Type="http://schemas.openxmlformats.org/officeDocument/2006/relationships/hyperlink" Target="http://sandramilena.rodriguez.romero-bbva.com/" TargetMode="External"/><Relationship Id="rId2407" Type="http://schemas.openxmlformats.org/officeDocument/2006/relationships/hyperlink" Target="http://juan.orozco-bbva.com/" TargetMode="External"/><Relationship Id="rId62" Type="http://schemas.openxmlformats.org/officeDocument/2006/relationships/hyperlink" Target="http://jorgeenrique.vivas-bbva.com/" TargetMode="External"/><Relationship Id="rId1216" Type="http://schemas.openxmlformats.org/officeDocument/2006/relationships/hyperlink" Target="https://globaldevtools.bbva.com/jira/browse/COLWSPREST-5219" TargetMode="External"/><Relationship Id="rId1423" Type="http://schemas.openxmlformats.org/officeDocument/2006/relationships/hyperlink" Target="https://globaldevtools.bbva.com/jira/browse/COLWSPREST-2206" TargetMode="External"/><Relationship Id="rId1630" Type="http://schemas.openxmlformats.org/officeDocument/2006/relationships/hyperlink" Target="http://yurimilena.moreno-bbva.com/" TargetMode="External"/><Relationship Id="rId1728" Type="http://schemas.openxmlformats.org/officeDocument/2006/relationships/hyperlink" Target="http://elizabeth.diaz-bbva.com/" TargetMode="External"/><Relationship Id="rId1935" Type="http://schemas.openxmlformats.org/officeDocument/2006/relationships/hyperlink" Target="http://alirio.bermudez-bbva.com/" TargetMode="External"/><Relationship Id="rId2197" Type="http://schemas.openxmlformats.org/officeDocument/2006/relationships/hyperlink" Target="https://globaldevtools.bbva.com/jira/browse/COLWSSEGUR-67" TargetMode="External"/><Relationship Id="rId169" Type="http://schemas.openxmlformats.org/officeDocument/2006/relationships/hyperlink" Target="http://oscar.bejarano-bbva.com/" TargetMode="External"/><Relationship Id="rId376" Type="http://schemas.openxmlformats.org/officeDocument/2006/relationships/hyperlink" Target="https://globaldevtools.bbva.com/jira/browse/COLWSCANAL-13449" TargetMode="External"/><Relationship Id="rId583" Type="http://schemas.openxmlformats.org/officeDocument/2006/relationships/hyperlink" Target="https://globaldevtools.bbva.com/jira/browse/COLWSCANAL-8589" TargetMode="External"/><Relationship Id="rId790" Type="http://schemas.openxmlformats.org/officeDocument/2006/relationships/hyperlink" Target="http://elizabeth.diaz-bbva.com/" TargetMode="External"/><Relationship Id="rId2057" Type="http://schemas.openxmlformats.org/officeDocument/2006/relationships/hyperlink" Target="http://monica.zamudio-bbva.com/" TargetMode="External"/><Relationship Id="rId2264" Type="http://schemas.openxmlformats.org/officeDocument/2006/relationships/hyperlink" Target="https://globaldevtools.bbva.com/jira/browse/COLWSSEGUR-3" TargetMode="External"/><Relationship Id="rId2471" Type="http://schemas.openxmlformats.org/officeDocument/2006/relationships/hyperlink" Target="http://juan.orozco-bbva.com/" TargetMode="External"/><Relationship Id="rId4" Type="http://schemas.openxmlformats.org/officeDocument/2006/relationships/hyperlink" Target="https://globaldevtools.bbva.com/jira/browse/COLWSCRM-900" TargetMode="External"/><Relationship Id="rId236" Type="http://schemas.openxmlformats.org/officeDocument/2006/relationships/hyperlink" Target="http://juliocesar.estupinan-bbva.com/" TargetMode="External"/><Relationship Id="rId443" Type="http://schemas.openxmlformats.org/officeDocument/2006/relationships/hyperlink" Target="http://juhan.lozano-bbva.com/" TargetMode="External"/><Relationship Id="rId650" Type="http://schemas.openxmlformats.org/officeDocument/2006/relationships/hyperlink" Target="http://elizabeth.diaz-bbva.com/" TargetMode="External"/><Relationship Id="rId888" Type="http://schemas.openxmlformats.org/officeDocument/2006/relationships/hyperlink" Target="https://globaldevtools.bbva.com/jira/browse/COLWSPREST-10138" TargetMode="External"/><Relationship Id="rId1073" Type="http://schemas.openxmlformats.org/officeDocument/2006/relationships/hyperlink" Target="http://jeissonandres.diaz.rodriguez-bbva.com/" TargetMode="External"/><Relationship Id="rId1280" Type="http://schemas.openxmlformats.org/officeDocument/2006/relationships/hyperlink" Target="https://globaldevtools.bbva.com/jira/browse/CCSS-6000" TargetMode="External"/><Relationship Id="rId2124" Type="http://schemas.openxmlformats.org/officeDocument/2006/relationships/hyperlink" Target="http://alirio.bermudez-bbva.com/" TargetMode="External"/><Relationship Id="rId2331" Type="http://schemas.openxmlformats.org/officeDocument/2006/relationships/hyperlink" Target="https://globaldevtools.bbva.com/jira/browse/COLWSSEGUR-87" TargetMode="External"/><Relationship Id="rId2569" Type="http://schemas.openxmlformats.org/officeDocument/2006/relationships/hyperlink" Target="http://judy.bernal-bbva.com/" TargetMode="External"/><Relationship Id="rId303" Type="http://schemas.openxmlformats.org/officeDocument/2006/relationships/hyperlink" Target="https://globaldevtools.bbva.com/jira/browse/COLWSMEDIO-2341" TargetMode="External"/><Relationship Id="rId748" Type="http://schemas.openxmlformats.org/officeDocument/2006/relationships/hyperlink" Target="https://globaldevtools.bbva.com/jira/browse/COLWSCANAL-13936" TargetMode="External"/><Relationship Id="rId955" Type="http://schemas.openxmlformats.org/officeDocument/2006/relationships/hyperlink" Target="https://globaldevtools.bbva.com/jira/browse/COLWSCONTA-29" TargetMode="External"/><Relationship Id="rId1140" Type="http://schemas.openxmlformats.org/officeDocument/2006/relationships/hyperlink" Target="http://angie.castaneda-bbva.com/" TargetMode="External"/><Relationship Id="rId1378" Type="http://schemas.openxmlformats.org/officeDocument/2006/relationships/hyperlink" Target="http://juana.vergara-bbva.com/" TargetMode="External"/><Relationship Id="rId1585" Type="http://schemas.openxmlformats.org/officeDocument/2006/relationships/hyperlink" Target="http://andrea.orrego-bbva.com/" TargetMode="External"/><Relationship Id="rId1792" Type="http://schemas.openxmlformats.org/officeDocument/2006/relationships/hyperlink" Target="https://globaldevtools.bbva.com/jira/browse/COLWSPREST-10375" TargetMode="External"/><Relationship Id="rId2429" Type="http://schemas.openxmlformats.org/officeDocument/2006/relationships/hyperlink" Target="http://juan.orozco-bbva.com/" TargetMode="External"/><Relationship Id="rId84" Type="http://schemas.openxmlformats.org/officeDocument/2006/relationships/hyperlink" Target="https://globaldevtools.bbva.com/jira/browse/COLWSCRM-2230" TargetMode="External"/><Relationship Id="rId510" Type="http://schemas.openxmlformats.org/officeDocument/2006/relationships/hyperlink" Target="http://marthaconsuelo.parra-bbva.com/" TargetMode="External"/><Relationship Id="rId608" Type="http://schemas.openxmlformats.org/officeDocument/2006/relationships/hyperlink" Target="http://catalina.villamil-bbva.com/" TargetMode="External"/><Relationship Id="rId815" Type="http://schemas.openxmlformats.org/officeDocument/2006/relationships/hyperlink" Target="http://karenalexandra.martinez-bbva.com/" TargetMode="External"/><Relationship Id="rId1238" Type="http://schemas.openxmlformats.org/officeDocument/2006/relationships/hyperlink" Target="https://globaldevtools.bbva.com/jira/browse/CCSS-6820" TargetMode="External"/><Relationship Id="rId1445" Type="http://schemas.openxmlformats.org/officeDocument/2006/relationships/hyperlink" Target="http://geovany.ramirez-bbva.com/" TargetMode="External"/><Relationship Id="rId1652" Type="http://schemas.openxmlformats.org/officeDocument/2006/relationships/hyperlink" Target="http://elizabeth.diaz-bbva.com/" TargetMode="External"/><Relationship Id="rId1000" Type="http://schemas.openxmlformats.org/officeDocument/2006/relationships/hyperlink" Target="https://globaldevtools.bbva.com/jira/browse/COLWSCANAL-7084" TargetMode="External"/><Relationship Id="rId1305" Type="http://schemas.openxmlformats.org/officeDocument/2006/relationships/hyperlink" Target="http://monica.zamudio-bbva.com/" TargetMode="External"/><Relationship Id="rId1957" Type="http://schemas.openxmlformats.org/officeDocument/2006/relationships/hyperlink" Target="http://ivan_dario.ariza-bbva.com/" TargetMode="External"/><Relationship Id="rId1512" Type="http://schemas.openxmlformats.org/officeDocument/2006/relationships/hyperlink" Target="http://paolaandrea.hermosa-bbva.com/" TargetMode="External"/><Relationship Id="rId1817" Type="http://schemas.openxmlformats.org/officeDocument/2006/relationships/hyperlink" Target="http://ivan_dario.ariza-bbva.com/" TargetMode="External"/><Relationship Id="rId11" Type="http://schemas.openxmlformats.org/officeDocument/2006/relationships/hyperlink" Target="http://marthaconsuelo.parra-bbva.com/" TargetMode="External"/><Relationship Id="rId398" Type="http://schemas.openxmlformats.org/officeDocument/2006/relationships/hyperlink" Target="http://giulianaandrea.guarin-bbva.com/" TargetMode="External"/><Relationship Id="rId2079" Type="http://schemas.openxmlformats.org/officeDocument/2006/relationships/hyperlink" Target="http://monica.zamudio-bbva.com/" TargetMode="External"/><Relationship Id="rId160" Type="http://schemas.openxmlformats.org/officeDocument/2006/relationships/hyperlink" Target="http://jimy.catolico-bbva.com/" TargetMode="External"/><Relationship Id="rId2286" Type="http://schemas.openxmlformats.org/officeDocument/2006/relationships/hyperlink" Target="http://mariajuliana.rodriguez-bbva.com/" TargetMode="External"/><Relationship Id="rId2493" Type="http://schemas.openxmlformats.org/officeDocument/2006/relationships/hyperlink" Target="http://andresfelipe.granados-bbva.com/" TargetMode="External"/><Relationship Id="rId258" Type="http://schemas.openxmlformats.org/officeDocument/2006/relationships/hyperlink" Target="https://globaldevtools.bbva.com/jira/browse/COLWSCANAL-2506" TargetMode="External"/><Relationship Id="rId465" Type="http://schemas.openxmlformats.org/officeDocument/2006/relationships/hyperlink" Target="http://jimy.catolico-bbva.com/" TargetMode="External"/><Relationship Id="rId672" Type="http://schemas.openxmlformats.org/officeDocument/2006/relationships/hyperlink" Target="http://nathiahayosara.amado-bbva.com/" TargetMode="External"/><Relationship Id="rId1095" Type="http://schemas.openxmlformats.org/officeDocument/2006/relationships/hyperlink" Target="https://globaldevtools.bbva.com/jira/browse/COLWSPREST-793" TargetMode="External"/><Relationship Id="rId2146" Type="http://schemas.openxmlformats.org/officeDocument/2006/relationships/hyperlink" Target="https://globaldevtools.bbva.com/jira/browse/COLWSCUENT-2159" TargetMode="External"/><Relationship Id="rId2353" Type="http://schemas.openxmlformats.org/officeDocument/2006/relationships/hyperlink" Target="http://felipe.guzman-bbva.com/" TargetMode="External"/><Relationship Id="rId2560" Type="http://schemas.openxmlformats.org/officeDocument/2006/relationships/hyperlink" Target="http://paolaandrea.guzman-bbva.com/" TargetMode="External"/><Relationship Id="rId118" Type="http://schemas.openxmlformats.org/officeDocument/2006/relationships/hyperlink" Target="https://globaldevtools.bbva.com/jira/browse/COLWSCRM-2301" TargetMode="External"/><Relationship Id="rId325" Type="http://schemas.openxmlformats.org/officeDocument/2006/relationships/hyperlink" Target="http://cindytatiana.perilla-bbva.com/" TargetMode="External"/><Relationship Id="rId532" Type="http://schemas.openxmlformats.org/officeDocument/2006/relationships/hyperlink" Target="http://monica.zamudio-bbva.com/" TargetMode="External"/><Relationship Id="rId977" Type="http://schemas.openxmlformats.org/officeDocument/2006/relationships/hyperlink" Target="http://jeissonandres.diaz.rodriguez-bbva.com/" TargetMode="External"/><Relationship Id="rId1162" Type="http://schemas.openxmlformats.org/officeDocument/2006/relationships/hyperlink" Target="http://angie.castaneda-bbva.com/" TargetMode="External"/><Relationship Id="rId2006" Type="http://schemas.openxmlformats.org/officeDocument/2006/relationships/hyperlink" Target="http://olga.lara-bbva.com/" TargetMode="External"/><Relationship Id="rId2213" Type="http://schemas.openxmlformats.org/officeDocument/2006/relationships/hyperlink" Target="http://katherine.michaels-bbva.com/" TargetMode="External"/><Relationship Id="rId2420" Type="http://schemas.openxmlformats.org/officeDocument/2006/relationships/hyperlink" Target="http://juan.orozco-bbva.com/" TargetMode="External"/><Relationship Id="rId837" Type="http://schemas.openxmlformats.org/officeDocument/2006/relationships/hyperlink" Target="https://globaldevtools.bbva.com/jira/browse/COLWSPREST-8704" TargetMode="External"/><Relationship Id="rId1022" Type="http://schemas.openxmlformats.org/officeDocument/2006/relationships/hyperlink" Target="http://jeissonandres.diaz.rodriguez-bbva.com/" TargetMode="External"/><Relationship Id="rId1467" Type="http://schemas.openxmlformats.org/officeDocument/2006/relationships/hyperlink" Target="https://globaldevtools.bbva.com/jira/browse/COLWSPREST-7867" TargetMode="External"/><Relationship Id="rId1674" Type="http://schemas.openxmlformats.org/officeDocument/2006/relationships/hyperlink" Target="https://globaldevtools.bbva.com/jira/browse/COLWSCONTA-258" TargetMode="External"/><Relationship Id="rId1881" Type="http://schemas.openxmlformats.org/officeDocument/2006/relationships/hyperlink" Target="http://marthapatric.cruz-bbva.com/" TargetMode="External"/><Relationship Id="rId2518" Type="http://schemas.openxmlformats.org/officeDocument/2006/relationships/hyperlink" Target="http://mariavictoria.gonzalez.fajard-bbva.com/" TargetMode="External"/><Relationship Id="rId904" Type="http://schemas.openxmlformats.org/officeDocument/2006/relationships/hyperlink" Target="http://nathiahayosara.amado-bbva.com/" TargetMode="External"/><Relationship Id="rId1327" Type="http://schemas.openxmlformats.org/officeDocument/2006/relationships/hyperlink" Target="http://judy.prieto-bbva.com/" TargetMode="External"/><Relationship Id="rId1534" Type="http://schemas.openxmlformats.org/officeDocument/2006/relationships/hyperlink" Target="http://paulocesar.sastoque-bbva.com/" TargetMode="External"/><Relationship Id="rId1741" Type="http://schemas.openxmlformats.org/officeDocument/2006/relationships/hyperlink" Target="https://globaldevtools.bbva.com/jira/browse/COLWSCUENT-295" TargetMode="External"/><Relationship Id="rId1979" Type="http://schemas.openxmlformats.org/officeDocument/2006/relationships/hyperlink" Target="http://alirio.bermudez-bbva.com/" TargetMode="External"/><Relationship Id="rId33" Type="http://schemas.openxmlformats.org/officeDocument/2006/relationships/hyperlink" Target="http://ana.santamaria-bbva.com/" TargetMode="External"/><Relationship Id="rId1601" Type="http://schemas.openxmlformats.org/officeDocument/2006/relationships/hyperlink" Target="http://edilberto.morales-bbva.com/" TargetMode="External"/><Relationship Id="rId1839" Type="http://schemas.openxmlformats.org/officeDocument/2006/relationships/hyperlink" Target="http://marthapatric.cruz-bbva.com/" TargetMode="External"/><Relationship Id="rId182" Type="http://schemas.openxmlformats.org/officeDocument/2006/relationships/hyperlink" Target="http://yurimilena.moreno-bbva.com/" TargetMode="External"/><Relationship Id="rId1906" Type="http://schemas.openxmlformats.org/officeDocument/2006/relationships/hyperlink" Target="http://alirio.bermudez-bbva.com/" TargetMode="External"/><Relationship Id="rId487" Type="http://schemas.openxmlformats.org/officeDocument/2006/relationships/hyperlink" Target="http://jimy.catolico-bbva.com/" TargetMode="External"/><Relationship Id="rId694" Type="http://schemas.openxmlformats.org/officeDocument/2006/relationships/hyperlink" Target="https://globaldevtools.bbva.com/jira/browse/COLWSCANAL-13913" TargetMode="External"/><Relationship Id="rId2070" Type="http://schemas.openxmlformats.org/officeDocument/2006/relationships/hyperlink" Target="http://monica.zamudio-bbva.com/" TargetMode="External"/><Relationship Id="rId2168" Type="http://schemas.openxmlformats.org/officeDocument/2006/relationships/hyperlink" Target="http://dianacarolina.gonzalez.castri-bbva.com/" TargetMode="External"/><Relationship Id="rId2375" Type="http://schemas.openxmlformats.org/officeDocument/2006/relationships/hyperlink" Target="http://katherine.michaels-bbva.com/" TargetMode="External"/><Relationship Id="rId347" Type="http://schemas.openxmlformats.org/officeDocument/2006/relationships/hyperlink" Target="http://luz.rodriguez-bbva.com/" TargetMode="External"/><Relationship Id="rId999" Type="http://schemas.openxmlformats.org/officeDocument/2006/relationships/hyperlink" Target="http://elizabeth.diaz-bbva.com/" TargetMode="External"/><Relationship Id="rId1184" Type="http://schemas.openxmlformats.org/officeDocument/2006/relationships/hyperlink" Target="http://katherine.pardo-bbva.com/" TargetMode="External"/><Relationship Id="rId2028" Type="http://schemas.openxmlformats.org/officeDocument/2006/relationships/hyperlink" Target="http://marthapatric.cruz-bbva.com/" TargetMode="External"/><Relationship Id="rId2582" Type="http://schemas.openxmlformats.org/officeDocument/2006/relationships/hyperlink" Target="http://carlosdavid.pacheco-bbva.com/" TargetMode="External"/><Relationship Id="rId554" Type="http://schemas.openxmlformats.org/officeDocument/2006/relationships/hyperlink" Target="http://irene.angel-bbva.com/" TargetMode="External"/><Relationship Id="rId761" Type="http://schemas.openxmlformats.org/officeDocument/2006/relationships/hyperlink" Target="http://leidyjohanna.zambrano-bbva.com/" TargetMode="External"/><Relationship Id="rId859" Type="http://schemas.openxmlformats.org/officeDocument/2006/relationships/hyperlink" Target="http://karenalexandra.martinez-bbva.com/" TargetMode="External"/><Relationship Id="rId1391" Type="http://schemas.openxmlformats.org/officeDocument/2006/relationships/hyperlink" Target="http://hugofernando.parra-bbva.com/" TargetMode="External"/><Relationship Id="rId1489" Type="http://schemas.openxmlformats.org/officeDocument/2006/relationships/hyperlink" Target="http://hugofernando.parra-bbva.com/" TargetMode="External"/><Relationship Id="rId1696" Type="http://schemas.openxmlformats.org/officeDocument/2006/relationships/hyperlink" Target="http://nelson.ruiz-bbva.com/" TargetMode="External"/><Relationship Id="rId2235" Type="http://schemas.openxmlformats.org/officeDocument/2006/relationships/hyperlink" Target="http://mariajuliana.rodriguez-bbva.com/" TargetMode="External"/><Relationship Id="rId2442" Type="http://schemas.openxmlformats.org/officeDocument/2006/relationships/hyperlink" Target="https://globaldevtools.bbva.com/jira/browse/COLWSFIDUC-43" TargetMode="External"/><Relationship Id="rId207" Type="http://schemas.openxmlformats.org/officeDocument/2006/relationships/hyperlink" Target="http://jimy.catolico-bbva.com/" TargetMode="External"/><Relationship Id="rId414" Type="http://schemas.openxmlformats.org/officeDocument/2006/relationships/hyperlink" Target="http://giulianaandrea.guarin-bbva.com/" TargetMode="External"/><Relationship Id="rId621" Type="http://schemas.openxmlformats.org/officeDocument/2006/relationships/hyperlink" Target="http://wilder.suarez-bbva.com/" TargetMode="External"/><Relationship Id="rId1044" Type="http://schemas.openxmlformats.org/officeDocument/2006/relationships/hyperlink" Target="https://globaldevtools.bbva.com/jira/browse/COLWSCONTA-484" TargetMode="External"/><Relationship Id="rId1251" Type="http://schemas.openxmlformats.org/officeDocument/2006/relationships/hyperlink" Target="http://angie.castaneda-bbva.com/" TargetMode="External"/><Relationship Id="rId1349" Type="http://schemas.openxmlformats.org/officeDocument/2006/relationships/hyperlink" Target="http://angie.castaneda-bbva.com/" TargetMode="External"/><Relationship Id="rId2302" Type="http://schemas.openxmlformats.org/officeDocument/2006/relationships/hyperlink" Target="http://dianacarolina.gonzalez.castri-bbva.com/" TargetMode="External"/><Relationship Id="rId719" Type="http://schemas.openxmlformats.org/officeDocument/2006/relationships/hyperlink" Target="http://leidyjohanna.zambrano-bbva.com/" TargetMode="External"/><Relationship Id="rId926" Type="http://schemas.openxmlformats.org/officeDocument/2006/relationships/hyperlink" Target="http://elizabeth.diaz-bbva.com/" TargetMode="External"/><Relationship Id="rId1111" Type="http://schemas.openxmlformats.org/officeDocument/2006/relationships/hyperlink" Target="https://globaldevtools.bbva.com/jira/browse/COLWSCANAL-3400" TargetMode="External"/><Relationship Id="rId1556" Type="http://schemas.openxmlformats.org/officeDocument/2006/relationships/hyperlink" Target="http://andrea.orrego-bbva.com/" TargetMode="External"/><Relationship Id="rId1763" Type="http://schemas.openxmlformats.org/officeDocument/2006/relationships/hyperlink" Target="http://nelson.ruiz-bbva.com/" TargetMode="External"/><Relationship Id="rId1970" Type="http://schemas.openxmlformats.org/officeDocument/2006/relationships/hyperlink" Target="https://globaldevtools.bbva.com/jira/browse/COLWSMONED-1366" TargetMode="External"/><Relationship Id="rId55" Type="http://schemas.openxmlformats.org/officeDocument/2006/relationships/hyperlink" Target="http://pabloalexand.ortiz-bbva.com/" TargetMode="External"/><Relationship Id="rId1209" Type="http://schemas.openxmlformats.org/officeDocument/2006/relationships/hyperlink" Target="http://angie.castaneda-bbva.com/" TargetMode="External"/><Relationship Id="rId1416" Type="http://schemas.openxmlformats.org/officeDocument/2006/relationships/hyperlink" Target="http://hugofernando.parra-bbva.com/" TargetMode="External"/><Relationship Id="rId1623" Type="http://schemas.openxmlformats.org/officeDocument/2006/relationships/hyperlink" Target="https://globaldevtools.bbva.com/jira/browse/CCSS-5044" TargetMode="External"/><Relationship Id="rId1830" Type="http://schemas.openxmlformats.org/officeDocument/2006/relationships/hyperlink" Target="http://alirio.bermudez-bbva.com/" TargetMode="External"/><Relationship Id="rId1928" Type="http://schemas.openxmlformats.org/officeDocument/2006/relationships/hyperlink" Target="http://alirio.bermudez-bbva.com/" TargetMode="External"/><Relationship Id="rId2092" Type="http://schemas.openxmlformats.org/officeDocument/2006/relationships/hyperlink" Target="http://alirio.bermudez-bbva.com/" TargetMode="External"/><Relationship Id="rId271" Type="http://schemas.openxmlformats.org/officeDocument/2006/relationships/hyperlink" Target="http://oscar.bejarano-bbva.com/" TargetMode="External"/><Relationship Id="rId2397" Type="http://schemas.openxmlformats.org/officeDocument/2006/relationships/hyperlink" Target="http://julioenrique.ramos-bbva.com/" TargetMode="External"/><Relationship Id="rId131" Type="http://schemas.openxmlformats.org/officeDocument/2006/relationships/hyperlink" Target="http://ana.santamaria-bbva.com/" TargetMode="External"/><Relationship Id="rId369" Type="http://schemas.openxmlformats.org/officeDocument/2006/relationships/hyperlink" Target="http://jimy.catolico-bbva.com/" TargetMode="External"/><Relationship Id="rId576" Type="http://schemas.openxmlformats.org/officeDocument/2006/relationships/hyperlink" Target="http://catalina.villamil-bbva.com/" TargetMode="External"/><Relationship Id="rId783" Type="http://schemas.openxmlformats.org/officeDocument/2006/relationships/hyperlink" Target="https://globaldevtools.bbva.com/jira/browse/COLWSCANAL-13133" TargetMode="External"/><Relationship Id="rId990" Type="http://schemas.openxmlformats.org/officeDocument/2006/relationships/hyperlink" Target="http://nathiahayosara.amado-bbva.com/" TargetMode="External"/><Relationship Id="rId2257" Type="http://schemas.openxmlformats.org/officeDocument/2006/relationships/hyperlink" Target="http://katherine.michaels-bbva.com/" TargetMode="External"/><Relationship Id="rId2464" Type="http://schemas.openxmlformats.org/officeDocument/2006/relationships/hyperlink" Target="http://jorge.blanco-bbva.com/" TargetMode="External"/><Relationship Id="rId229" Type="http://schemas.openxmlformats.org/officeDocument/2006/relationships/hyperlink" Target="http://yurimilena.moreno-bbva.com/" TargetMode="External"/><Relationship Id="rId436" Type="http://schemas.openxmlformats.org/officeDocument/2006/relationships/hyperlink" Target="https://globaldevtools.bbva.com/jira/browse/COLWSCANAL-6287" TargetMode="External"/><Relationship Id="rId643" Type="http://schemas.openxmlformats.org/officeDocument/2006/relationships/hyperlink" Target="https://globaldevtools.bbva.com/jira/browse/COLWSPREST-1948" TargetMode="External"/><Relationship Id="rId1066" Type="http://schemas.openxmlformats.org/officeDocument/2006/relationships/hyperlink" Target="http://elizabeth.diaz-bbva.com/" TargetMode="External"/><Relationship Id="rId1273" Type="http://schemas.openxmlformats.org/officeDocument/2006/relationships/hyperlink" Target="http://monica.zamudio-bbva.com/" TargetMode="External"/><Relationship Id="rId1480" Type="http://schemas.openxmlformats.org/officeDocument/2006/relationships/hyperlink" Target="http://hugofernando.parra-bbva.com/" TargetMode="External"/><Relationship Id="rId2117" Type="http://schemas.openxmlformats.org/officeDocument/2006/relationships/hyperlink" Target="http://hugo.mongua-bbva.com/" TargetMode="External"/><Relationship Id="rId2324" Type="http://schemas.openxmlformats.org/officeDocument/2006/relationships/hyperlink" Target="http://katherine.michaels-bbva.com/" TargetMode="External"/><Relationship Id="rId850" Type="http://schemas.openxmlformats.org/officeDocument/2006/relationships/hyperlink" Target="http://nathiahayosara.amado-bbva.com/" TargetMode="External"/><Relationship Id="rId948" Type="http://schemas.openxmlformats.org/officeDocument/2006/relationships/hyperlink" Target="http://nathiahayosara.amado-bbva.com/" TargetMode="External"/><Relationship Id="rId1133" Type="http://schemas.openxmlformats.org/officeDocument/2006/relationships/hyperlink" Target="http://diegoandres.rodriguez-bbva.com/" TargetMode="External"/><Relationship Id="rId1578" Type="http://schemas.openxmlformats.org/officeDocument/2006/relationships/hyperlink" Target="https://globaldevtools.bbva.com/jira/browse/GLOMOCO-25705" TargetMode="External"/><Relationship Id="rId1785" Type="http://schemas.openxmlformats.org/officeDocument/2006/relationships/hyperlink" Target="http://alirio.bermudez-bbva.com/" TargetMode="External"/><Relationship Id="rId1992" Type="http://schemas.openxmlformats.org/officeDocument/2006/relationships/hyperlink" Target="https://globaldevtools.bbva.com/jira/browse/COLWSCANAL-2231" TargetMode="External"/><Relationship Id="rId2531" Type="http://schemas.openxmlformats.org/officeDocument/2006/relationships/hyperlink" Target="http://catalina.villamil-bbva.com/" TargetMode="External"/><Relationship Id="rId77" Type="http://schemas.openxmlformats.org/officeDocument/2006/relationships/hyperlink" Target="http://ana.santamaria-bbva.com/" TargetMode="External"/><Relationship Id="rId503" Type="http://schemas.openxmlformats.org/officeDocument/2006/relationships/hyperlink" Target="http://giulianaandrea.guarin-bbva.com/" TargetMode="External"/><Relationship Id="rId710" Type="http://schemas.openxmlformats.org/officeDocument/2006/relationships/hyperlink" Target="http://nathiahayosara.amado-bbva.com/" TargetMode="External"/><Relationship Id="rId808" Type="http://schemas.openxmlformats.org/officeDocument/2006/relationships/hyperlink" Target="http://nathiahayosara.amado-bbva.com/" TargetMode="External"/><Relationship Id="rId1340" Type="http://schemas.openxmlformats.org/officeDocument/2006/relationships/hyperlink" Target="https://globaldevtools.bbva.com/jira/browse/COLWSMEDIO-4854" TargetMode="External"/><Relationship Id="rId1438" Type="http://schemas.openxmlformats.org/officeDocument/2006/relationships/hyperlink" Target="http://juana.vergara-bbva.com/" TargetMode="External"/><Relationship Id="rId1645" Type="http://schemas.openxmlformats.org/officeDocument/2006/relationships/hyperlink" Target="https://globaldevtools.bbva.com/jira/browse/COLWSMEDIO-6203" TargetMode="External"/><Relationship Id="rId1200" Type="http://schemas.openxmlformats.org/officeDocument/2006/relationships/hyperlink" Target="http://rociomarcela.lopez-bbva.com/" TargetMode="External"/><Relationship Id="rId1852" Type="http://schemas.openxmlformats.org/officeDocument/2006/relationships/hyperlink" Target="http://yurimilena.moreno-bbva.com/" TargetMode="External"/><Relationship Id="rId1505" Type="http://schemas.openxmlformats.org/officeDocument/2006/relationships/hyperlink" Target="http://fredy.pineda-bbva.com/" TargetMode="External"/><Relationship Id="rId1712" Type="http://schemas.openxmlformats.org/officeDocument/2006/relationships/hyperlink" Target="http://nelson.ruiz-bbva.com/" TargetMode="External"/><Relationship Id="rId293" Type="http://schemas.openxmlformats.org/officeDocument/2006/relationships/hyperlink" Target="http://daniela.cifuentes.ariza-bbva.com/" TargetMode="External"/><Relationship Id="rId2181" Type="http://schemas.openxmlformats.org/officeDocument/2006/relationships/hyperlink" Target="http://sandracarolina.miranda-bbva.com/" TargetMode="External"/><Relationship Id="rId153" Type="http://schemas.openxmlformats.org/officeDocument/2006/relationships/hyperlink" Target="http://ana.santamaria-bbva.com/" TargetMode="External"/><Relationship Id="rId360" Type="http://schemas.openxmlformats.org/officeDocument/2006/relationships/hyperlink" Target="https://globaldevtools.bbva.com/jira/browse/COLWSCANAL-13516" TargetMode="External"/><Relationship Id="rId598" Type="http://schemas.openxmlformats.org/officeDocument/2006/relationships/hyperlink" Target="http://jennymaria.urdaneta-bbva.com/" TargetMode="External"/><Relationship Id="rId2041" Type="http://schemas.openxmlformats.org/officeDocument/2006/relationships/hyperlink" Target="http://marthapatric.cruz-bbva.com/" TargetMode="External"/><Relationship Id="rId2279" Type="http://schemas.openxmlformats.org/officeDocument/2006/relationships/hyperlink" Target="http://sandracarolina.miranda-bbva.com/" TargetMode="External"/><Relationship Id="rId2486" Type="http://schemas.openxmlformats.org/officeDocument/2006/relationships/hyperlink" Target="http://paulocesar.sastoque-bbva.com/" TargetMode="External"/><Relationship Id="rId220" Type="http://schemas.openxmlformats.org/officeDocument/2006/relationships/hyperlink" Target="http://juliocesar.estupinan-bbva.com/" TargetMode="External"/><Relationship Id="rId458" Type="http://schemas.openxmlformats.org/officeDocument/2006/relationships/hyperlink" Target="http://erikajulieth.ruiz-bbva.com/" TargetMode="External"/><Relationship Id="rId665" Type="http://schemas.openxmlformats.org/officeDocument/2006/relationships/hyperlink" Target="http://huvertyadir.ramirez-bbva.com/" TargetMode="External"/><Relationship Id="rId872" Type="http://schemas.openxmlformats.org/officeDocument/2006/relationships/hyperlink" Target="http://ivan_dario.ariza-bbva.com/" TargetMode="External"/><Relationship Id="rId1088" Type="http://schemas.openxmlformats.org/officeDocument/2006/relationships/hyperlink" Target="http://angie.castaneda-bbva.com/" TargetMode="External"/><Relationship Id="rId1295" Type="http://schemas.openxmlformats.org/officeDocument/2006/relationships/hyperlink" Target="http://monica.zamudio-bbva.com/" TargetMode="External"/><Relationship Id="rId2139" Type="http://schemas.openxmlformats.org/officeDocument/2006/relationships/hyperlink" Target="http://alirio.bermudez-bbva.com/" TargetMode="External"/><Relationship Id="rId2346" Type="http://schemas.openxmlformats.org/officeDocument/2006/relationships/hyperlink" Target="https://globaldevtools.bbva.com/jira/browse/COLWSSEGUR-14" TargetMode="External"/><Relationship Id="rId2553" Type="http://schemas.openxmlformats.org/officeDocument/2006/relationships/hyperlink" Target="http://ivan_dario.ariza-bbva.com/" TargetMode="External"/><Relationship Id="rId318" Type="http://schemas.openxmlformats.org/officeDocument/2006/relationships/hyperlink" Target="http://rocio.garces-bbva.com/" TargetMode="External"/><Relationship Id="rId525" Type="http://schemas.openxmlformats.org/officeDocument/2006/relationships/hyperlink" Target="http://oscar.bejarano-bbva.com/" TargetMode="External"/><Relationship Id="rId732" Type="http://schemas.openxmlformats.org/officeDocument/2006/relationships/hyperlink" Target="https://globaldevtools.bbva.com/jira/browse/COLWSCANAL-14064" TargetMode="External"/><Relationship Id="rId1155" Type="http://schemas.openxmlformats.org/officeDocument/2006/relationships/hyperlink" Target="http://katherine.pardo-bbva.com/" TargetMode="External"/><Relationship Id="rId1362" Type="http://schemas.openxmlformats.org/officeDocument/2006/relationships/hyperlink" Target="http://judy.prieto-bbva.com/" TargetMode="External"/><Relationship Id="rId2206" Type="http://schemas.openxmlformats.org/officeDocument/2006/relationships/hyperlink" Target="http://katherine.michaels-bbva.com/" TargetMode="External"/><Relationship Id="rId2413" Type="http://schemas.openxmlformats.org/officeDocument/2006/relationships/hyperlink" Target="http://fernando.garciameza-bbva.com/" TargetMode="External"/><Relationship Id="rId99" Type="http://schemas.openxmlformats.org/officeDocument/2006/relationships/hyperlink" Target="http://pabloalexand.ortiz-bbva.com/" TargetMode="External"/><Relationship Id="rId1015" Type="http://schemas.openxmlformats.org/officeDocument/2006/relationships/hyperlink" Target="http://elizabeth.diaz-bbva.com/" TargetMode="External"/><Relationship Id="rId1222" Type="http://schemas.openxmlformats.org/officeDocument/2006/relationships/hyperlink" Target="http://katryn.verjel-bbva.com/" TargetMode="External"/><Relationship Id="rId1667" Type="http://schemas.openxmlformats.org/officeDocument/2006/relationships/hyperlink" Target="http://alirio.bermudez-bbva.com/" TargetMode="External"/><Relationship Id="rId1874" Type="http://schemas.openxmlformats.org/officeDocument/2006/relationships/hyperlink" Target="http://marthapatric.cruz-bbva.com/" TargetMode="External"/><Relationship Id="rId1527" Type="http://schemas.openxmlformats.org/officeDocument/2006/relationships/hyperlink" Target="http://paolaandrea.hermosa-bbva.com/" TargetMode="External"/><Relationship Id="rId1734" Type="http://schemas.openxmlformats.org/officeDocument/2006/relationships/hyperlink" Target="http://alirio.bermudez-bbva.com/" TargetMode="External"/><Relationship Id="rId1941" Type="http://schemas.openxmlformats.org/officeDocument/2006/relationships/hyperlink" Target="http://andresfelipe.granados-bbva.com/" TargetMode="External"/><Relationship Id="rId26" Type="http://schemas.openxmlformats.org/officeDocument/2006/relationships/hyperlink" Target="https://globaldevtools.bbva.com/jira/browse/COLWSDATIO-2553" TargetMode="External"/><Relationship Id="rId175" Type="http://schemas.openxmlformats.org/officeDocument/2006/relationships/hyperlink" Target="https://globaldevtools.bbva.com/jira/browse/COLWSCANAL-3125" TargetMode="External"/><Relationship Id="rId1801" Type="http://schemas.openxmlformats.org/officeDocument/2006/relationships/hyperlink" Target="http://alirio.bermudez-bbva.com/" TargetMode="External"/><Relationship Id="rId382" Type="http://schemas.openxmlformats.org/officeDocument/2006/relationships/hyperlink" Target="http://erikajulieth.ruiz-bbva.com/" TargetMode="External"/><Relationship Id="rId687" Type="http://schemas.openxmlformats.org/officeDocument/2006/relationships/hyperlink" Target="http://hugoalberto.abreo-bbva.com/" TargetMode="External"/><Relationship Id="rId2063" Type="http://schemas.openxmlformats.org/officeDocument/2006/relationships/hyperlink" Target="http://monica.zamudio-bbva.com/" TargetMode="External"/><Relationship Id="rId2270" Type="http://schemas.openxmlformats.org/officeDocument/2006/relationships/hyperlink" Target="http://paola.trivino-bbva.com/" TargetMode="External"/><Relationship Id="rId2368" Type="http://schemas.openxmlformats.org/officeDocument/2006/relationships/hyperlink" Target="http://monicaandrea.rodriguez.penago-bbva.com/" TargetMode="External"/><Relationship Id="rId242" Type="http://schemas.openxmlformats.org/officeDocument/2006/relationships/hyperlink" Target="https://globaldevtools.bbva.com/jira/browse/COLWSCANAL-14992" TargetMode="External"/><Relationship Id="rId894" Type="http://schemas.openxmlformats.org/officeDocument/2006/relationships/hyperlink" Target="http://ivan_dario.ariza-bbva.com/" TargetMode="External"/><Relationship Id="rId1177" Type="http://schemas.openxmlformats.org/officeDocument/2006/relationships/hyperlink" Target="http://paolaandrea.hermosa-bbva.com/" TargetMode="External"/><Relationship Id="rId2130" Type="http://schemas.openxmlformats.org/officeDocument/2006/relationships/hyperlink" Target="http://david.juvinao-bbva.com/" TargetMode="External"/><Relationship Id="rId2575" Type="http://schemas.openxmlformats.org/officeDocument/2006/relationships/hyperlink" Target="http://andresfelipe.lopez.sandoval-bbva.com/" TargetMode="External"/><Relationship Id="rId102" Type="http://schemas.openxmlformats.org/officeDocument/2006/relationships/hyperlink" Target="http://pabloalexand.ortiz-bbva.com/" TargetMode="External"/><Relationship Id="rId547" Type="http://schemas.openxmlformats.org/officeDocument/2006/relationships/hyperlink" Target="http://ivan_dario.ariza-bbva.com/" TargetMode="External"/><Relationship Id="rId754" Type="http://schemas.openxmlformats.org/officeDocument/2006/relationships/hyperlink" Target="http://leidyjohanna.zambrano-bbva.com/" TargetMode="External"/><Relationship Id="rId961" Type="http://schemas.openxmlformats.org/officeDocument/2006/relationships/hyperlink" Target="http://jeissonandres.diaz.rodriguez-bbva.com/" TargetMode="External"/><Relationship Id="rId1384" Type="http://schemas.openxmlformats.org/officeDocument/2006/relationships/hyperlink" Target="http://hugofernando.parra-bbva.com/" TargetMode="External"/><Relationship Id="rId1591" Type="http://schemas.openxmlformats.org/officeDocument/2006/relationships/hyperlink" Target="https://globaldevtools.bbva.com/jira/browse/COLWSCANAL-8632" TargetMode="External"/><Relationship Id="rId1689" Type="http://schemas.openxmlformats.org/officeDocument/2006/relationships/hyperlink" Target="http://elizabeth.diaz-bbva.com/" TargetMode="External"/><Relationship Id="rId2228" Type="http://schemas.openxmlformats.org/officeDocument/2006/relationships/hyperlink" Target="http://mariajuliana.rodriguez-bbva.com/" TargetMode="External"/><Relationship Id="rId2435" Type="http://schemas.openxmlformats.org/officeDocument/2006/relationships/hyperlink" Target="http://juan.orozco-bbva.com/" TargetMode="External"/><Relationship Id="rId90" Type="http://schemas.openxmlformats.org/officeDocument/2006/relationships/hyperlink" Target="http://davidesteban.fajardo-bbva.com/" TargetMode="External"/><Relationship Id="rId407" Type="http://schemas.openxmlformats.org/officeDocument/2006/relationships/hyperlink" Target="http://juhan.lozano-bbva.com/" TargetMode="External"/><Relationship Id="rId614" Type="http://schemas.openxmlformats.org/officeDocument/2006/relationships/hyperlink" Target="http://jhon.molina-bbva.com/" TargetMode="External"/><Relationship Id="rId821" Type="http://schemas.openxmlformats.org/officeDocument/2006/relationships/hyperlink" Target="https://globaldevtools.bbva.com/jira/browse/COLWSSUPPL-36" TargetMode="External"/><Relationship Id="rId1037" Type="http://schemas.openxmlformats.org/officeDocument/2006/relationships/hyperlink" Target="http://nathiahayosara.amado-bbva.com/" TargetMode="External"/><Relationship Id="rId1244" Type="http://schemas.openxmlformats.org/officeDocument/2006/relationships/hyperlink" Target="http://angie.castaneda-bbva.com/" TargetMode="External"/><Relationship Id="rId1451" Type="http://schemas.openxmlformats.org/officeDocument/2006/relationships/hyperlink" Target="https://globaldevtools.bbva.com/jira/browse/COLWSPREST-7865" TargetMode="External"/><Relationship Id="rId1896" Type="http://schemas.openxmlformats.org/officeDocument/2006/relationships/hyperlink" Target="http://andresfelipe.granados-bbva.com/" TargetMode="External"/><Relationship Id="rId2502" Type="http://schemas.openxmlformats.org/officeDocument/2006/relationships/hyperlink" Target="http://paulocesar.sastoque-bbva.com/" TargetMode="External"/><Relationship Id="rId919" Type="http://schemas.openxmlformats.org/officeDocument/2006/relationships/hyperlink" Target="https://globaldevtools.bbva.com/jira/browse/COLWSCONTA-24" TargetMode="External"/><Relationship Id="rId1104" Type="http://schemas.openxmlformats.org/officeDocument/2006/relationships/hyperlink" Target="http://angie.castaneda-bbva.com/" TargetMode="External"/><Relationship Id="rId1311" Type="http://schemas.openxmlformats.org/officeDocument/2006/relationships/hyperlink" Target="http://judy.prieto-bbva.com/" TargetMode="External"/><Relationship Id="rId1549" Type="http://schemas.openxmlformats.org/officeDocument/2006/relationships/hyperlink" Target="http://nicolas.galindo-bbva.com/" TargetMode="External"/><Relationship Id="rId1756" Type="http://schemas.openxmlformats.org/officeDocument/2006/relationships/hyperlink" Target="http://elizabeth.diaz-bbva.com/" TargetMode="External"/><Relationship Id="rId1963" Type="http://schemas.openxmlformats.org/officeDocument/2006/relationships/hyperlink" Target="http://alirio.bermudez-bbva.com/" TargetMode="External"/><Relationship Id="rId48" Type="http://schemas.openxmlformats.org/officeDocument/2006/relationships/hyperlink" Target="https://globaldevtools.bbva.com/jira/browse/COLWSCRM-602" TargetMode="External"/><Relationship Id="rId1409" Type="http://schemas.openxmlformats.org/officeDocument/2006/relationships/hyperlink" Target="https://globaldevtools.bbva.com/jira/browse/COLWSCANAL-14125" TargetMode="External"/><Relationship Id="rId1616" Type="http://schemas.openxmlformats.org/officeDocument/2006/relationships/hyperlink" Target="http://andrea.orrego-bbva.com/" TargetMode="External"/><Relationship Id="rId1823" Type="http://schemas.openxmlformats.org/officeDocument/2006/relationships/hyperlink" Target="http://marthapatric.cruz-bbva.com/" TargetMode="External"/><Relationship Id="rId197" Type="http://schemas.openxmlformats.org/officeDocument/2006/relationships/hyperlink" Target="http://monica.zamudio-bbva.com/" TargetMode="External"/><Relationship Id="rId2085" Type="http://schemas.openxmlformats.org/officeDocument/2006/relationships/hyperlink" Target="http://hugo.mongua-bbva.com/" TargetMode="External"/><Relationship Id="rId2292" Type="http://schemas.openxmlformats.org/officeDocument/2006/relationships/hyperlink" Target="https://globaldevtools.bbva.com/jira/browse/COLWSSEGUR-50" TargetMode="External"/><Relationship Id="rId264" Type="http://schemas.openxmlformats.org/officeDocument/2006/relationships/hyperlink" Target="http://oscar.bejarano-bbva.com/" TargetMode="External"/><Relationship Id="rId471" Type="http://schemas.openxmlformats.org/officeDocument/2006/relationships/hyperlink" Target="http://juhan.lozano-bbva.com/" TargetMode="External"/><Relationship Id="rId2152" Type="http://schemas.openxmlformats.org/officeDocument/2006/relationships/hyperlink" Target="http://hugo.mongua-bbva.com/" TargetMode="External"/><Relationship Id="rId2597" Type="http://schemas.openxmlformats.org/officeDocument/2006/relationships/hyperlink" Target="http://marthaconsuelo.parra-bbva.com/" TargetMode="External"/><Relationship Id="rId124" Type="http://schemas.openxmlformats.org/officeDocument/2006/relationships/hyperlink" Target="http://deisyjohana.medina-bbva.com/" TargetMode="External"/><Relationship Id="rId569" Type="http://schemas.openxmlformats.org/officeDocument/2006/relationships/hyperlink" Target="http://freddyorlando.guzman-bbva.com/" TargetMode="External"/><Relationship Id="rId776" Type="http://schemas.openxmlformats.org/officeDocument/2006/relationships/hyperlink" Target="http://nathiahayosara.amado-bbva.com/" TargetMode="External"/><Relationship Id="rId983" Type="http://schemas.openxmlformats.org/officeDocument/2006/relationships/hyperlink" Target="https://globaldevtools.bbva.com/jira/browse/COLWSCANAL-6391" TargetMode="External"/><Relationship Id="rId1199" Type="http://schemas.openxmlformats.org/officeDocument/2006/relationships/hyperlink" Target="http://sandra.espinosa-bbva.com/" TargetMode="External"/><Relationship Id="rId2457" Type="http://schemas.openxmlformats.org/officeDocument/2006/relationships/hyperlink" Target="http://juan.orozco-bbva.com/" TargetMode="External"/><Relationship Id="rId331" Type="http://schemas.openxmlformats.org/officeDocument/2006/relationships/hyperlink" Target="http://jimy.catolico-bbva.com/" TargetMode="External"/><Relationship Id="rId429" Type="http://schemas.openxmlformats.org/officeDocument/2006/relationships/hyperlink" Target="http://jimy.catolico-bbva.com/" TargetMode="External"/><Relationship Id="rId636" Type="http://schemas.openxmlformats.org/officeDocument/2006/relationships/hyperlink" Target="http://catalina.villamil-bbva.com/" TargetMode="External"/><Relationship Id="rId1059" Type="http://schemas.openxmlformats.org/officeDocument/2006/relationships/hyperlink" Target="https://globaldevtools.bbva.com/jira/browse/COLWSCANAL-12471" TargetMode="External"/><Relationship Id="rId1266" Type="http://schemas.openxmlformats.org/officeDocument/2006/relationships/hyperlink" Target="http://paolaandrea.guzman-bbva.com/" TargetMode="External"/><Relationship Id="rId1473" Type="http://schemas.openxmlformats.org/officeDocument/2006/relationships/hyperlink" Target="http://fredy.pineda-bbva.com/" TargetMode="External"/><Relationship Id="rId2012" Type="http://schemas.openxmlformats.org/officeDocument/2006/relationships/hyperlink" Target="http://alirio.bermudez-bbva.com/" TargetMode="External"/><Relationship Id="rId2317" Type="http://schemas.openxmlformats.org/officeDocument/2006/relationships/hyperlink" Target="http://mariajuliana.rodriguez-bbva.com/" TargetMode="External"/><Relationship Id="rId843" Type="http://schemas.openxmlformats.org/officeDocument/2006/relationships/hyperlink" Target="http://clara.mora-bbva.com/" TargetMode="External"/><Relationship Id="rId1126" Type="http://schemas.openxmlformats.org/officeDocument/2006/relationships/hyperlink" Target="http://angie.castaneda-bbva.com/" TargetMode="External"/><Relationship Id="rId1680" Type="http://schemas.openxmlformats.org/officeDocument/2006/relationships/hyperlink" Target="http://nelson.ruiz-bbva.com/" TargetMode="External"/><Relationship Id="rId1778" Type="http://schemas.openxmlformats.org/officeDocument/2006/relationships/hyperlink" Target="http://alirio.bermudez-bbva.com/" TargetMode="External"/><Relationship Id="rId1985" Type="http://schemas.openxmlformats.org/officeDocument/2006/relationships/hyperlink" Target="http://alirio.bermudez-bbva.com/" TargetMode="External"/><Relationship Id="rId2524" Type="http://schemas.openxmlformats.org/officeDocument/2006/relationships/hyperlink" Target="http://andresfelipe.granados-bbva.com/" TargetMode="External"/><Relationship Id="rId703" Type="http://schemas.openxmlformats.org/officeDocument/2006/relationships/hyperlink" Target="http://leidyjohanna.zambrano-bbva.com/" TargetMode="External"/><Relationship Id="rId910" Type="http://schemas.openxmlformats.org/officeDocument/2006/relationships/hyperlink" Target="http://elizabeth.diaz-bbva.com/" TargetMode="External"/><Relationship Id="rId1333" Type="http://schemas.openxmlformats.org/officeDocument/2006/relationships/hyperlink" Target="https://globaldevtools.bbva.com/jira/browse/COLWSMEDIO-4855" TargetMode="External"/><Relationship Id="rId1540" Type="http://schemas.openxmlformats.org/officeDocument/2006/relationships/hyperlink" Target="http://hugofernando.parra-bbva.com/" TargetMode="External"/><Relationship Id="rId1638" Type="http://schemas.openxmlformats.org/officeDocument/2006/relationships/hyperlink" Target="http://andrea.orrego-bbva.com/" TargetMode="External"/><Relationship Id="rId1400" Type="http://schemas.openxmlformats.org/officeDocument/2006/relationships/hyperlink" Target="http://hugofernando.parra-bbva.com/" TargetMode="External"/><Relationship Id="rId1845" Type="http://schemas.openxmlformats.org/officeDocument/2006/relationships/hyperlink" Target="https://globaldevtools.bbva.com/jira/browse/COLWSNORMA-912" TargetMode="External"/><Relationship Id="rId1705" Type="http://schemas.openxmlformats.org/officeDocument/2006/relationships/hyperlink" Target="http://elizabeth.diaz-bbva.com/" TargetMode="External"/><Relationship Id="rId1912" Type="http://schemas.openxmlformats.org/officeDocument/2006/relationships/hyperlink" Target="http://alirio.bermudez-bbva.com/" TargetMode="External"/><Relationship Id="rId286" Type="http://schemas.openxmlformats.org/officeDocument/2006/relationships/hyperlink" Target="http://jhon.molina-bbva.com/" TargetMode="External"/><Relationship Id="rId493" Type="http://schemas.openxmlformats.org/officeDocument/2006/relationships/hyperlink" Target="http://jimy.catolico-bbva.com/" TargetMode="External"/><Relationship Id="rId2174" Type="http://schemas.openxmlformats.org/officeDocument/2006/relationships/hyperlink" Target="https://globaldevtools.bbva.com/jira/browse/CIS-293" TargetMode="External"/><Relationship Id="rId2381" Type="http://schemas.openxmlformats.org/officeDocument/2006/relationships/hyperlink" Target="http://fernando.garciameza-bbva.com/" TargetMode="External"/><Relationship Id="rId146" Type="http://schemas.openxmlformats.org/officeDocument/2006/relationships/hyperlink" Target="https://globaldevtools.bbva.com/jira/browse/COLWSDATIO-1324" TargetMode="External"/><Relationship Id="rId353" Type="http://schemas.openxmlformats.org/officeDocument/2006/relationships/hyperlink" Target="http://jimy.catolico-bbva.com/" TargetMode="External"/><Relationship Id="rId560" Type="http://schemas.openxmlformats.org/officeDocument/2006/relationships/hyperlink" Target="http://catalina.villamil-bbva.com/" TargetMode="External"/><Relationship Id="rId798" Type="http://schemas.openxmlformats.org/officeDocument/2006/relationships/hyperlink" Target="http://elizabeth.diaz-bbva.com/" TargetMode="External"/><Relationship Id="rId1190" Type="http://schemas.openxmlformats.org/officeDocument/2006/relationships/hyperlink" Target="http://angie.castaneda-bbva.com/" TargetMode="External"/><Relationship Id="rId2034" Type="http://schemas.openxmlformats.org/officeDocument/2006/relationships/hyperlink" Target="http://marthapatric.cruz-bbva.com/" TargetMode="External"/><Relationship Id="rId2241" Type="http://schemas.openxmlformats.org/officeDocument/2006/relationships/hyperlink" Target="http://katherine.michaels-bbva.com/" TargetMode="External"/><Relationship Id="rId2479" Type="http://schemas.openxmlformats.org/officeDocument/2006/relationships/hyperlink" Target="https://globaldevtools.bbva.com/jira/browse/COLWSVALOR-106" TargetMode="External"/><Relationship Id="rId213" Type="http://schemas.openxmlformats.org/officeDocument/2006/relationships/hyperlink" Target="http://yurimilena.moreno-bbva.com/" TargetMode="External"/><Relationship Id="rId420" Type="http://schemas.openxmlformats.org/officeDocument/2006/relationships/hyperlink" Target="https://globaldevtools.bbva.com/jira/browse/COLWSCANAL-6282" TargetMode="External"/><Relationship Id="rId658" Type="http://schemas.openxmlformats.org/officeDocument/2006/relationships/hyperlink" Target="http://jhon.molina-bbva.com/" TargetMode="External"/><Relationship Id="rId865" Type="http://schemas.openxmlformats.org/officeDocument/2006/relationships/hyperlink" Target="https://globaldevtools.bbva.com/jira/browse/CCSS-8758" TargetMode="External"/><Relationship Id="rId1050" Type="http://schemas.openxmlformats.org/officeDocument/2006/relationships/hyperlink" Target="http://jeissonandres.diaz.rodriguez-bbva.com/" TargetMode="External"/><Relationship Id="rId1288" Type="http://schemas.openxmlformats.org/officeDocument/2006/relationships/hyperlink" Target="https://globaldevtools.bbva.com/jira/browse/COLWSPREST-400" TargetMode="External"/><Relationship Id="rId1495" Type="http://schemas.openxmlformats.org/officeDocument/2006/relationships/hyperlink" Target="http://hugofernando.parra-bbva.com/" TargetMode="External"/><Relationship Id="rId2101" Type="http://schemas.openxmlformats.org/officeDocument/2006/relationships/hyperlink" Target="http://hugo.mongua-bbva.com/" TargetMode="External"/><Relationship Id="rId2339" Type="http://schemas.openxmlformats.org/officeDocument/2006/relationships/hyperlink" Target="http://katherine.michaels-bbva.com/" TargetMode="External"/><Relationship Id="rId2546" Type="http://schemas.openxmlformats.org/officeDocument/2006/relationships/hyperlink" Target="http://alirio.bermudez-bbva.com/" TargetMode="External"/><Relationship Id="rId518" Type="http://schemas.openxmlformats.org/officeDocument/2006/relationships/hyperlink" Target="http://andres.carrandi-bbva.com/" TargetMode="External"/><Relationship Id="rId725" Type="http://schemas.openxmlformats.org/officeDocument/2006/relationships/hyperlink" Target="http://nathiahayosara.amado-bbva.com/" TargetMode="External"/><Relationship Id="rId932" Type="http://schemas.openxmlformats.org/officeDocument/2006/relationships/hyperlink" Target="http://nathiahayosara.amado-bbva.com/" TargetMode="External"/><Relationship Id="rId1148" Type="http://schemas.openxmlformats.org/officeDocument/2006/relationships/hyperlink" Target="http://katherine.pardo-bbva.com/" TargetMode="External"/><Relationship Id="rId1355" Type="http://schemas.openxmlformats.org/officeDocument/2006/relationships/hyperlink" Target="http://andresfelipe.granados-bbva.com/" TargetMode="External"/><Relationship Id="rId1562" Type="http://schemas.openxmlformats.org/officeDocument/2006/relationships/hyperlink" Target="http://yurimilena.moreno-bbva.com/" TargetMode="External"/><Relationship Id="rId2406" Type="http://schemas.openxmlformats.org/officeDocument/2006/relationships/hyperlink" Target="https://globaldevtools.bbva.com/jira/browse/CFS1-172" TargetMode="External"/><Relationship Id="rId1008" Type="http://schemas.openxmlformats.org/officeDocument/2006/relationships/hyperlink" Target="https://globaldevtools.bbva.com/jira/browse/COLWSCONTA-1101" TargetMode="External"/><Relationship Id="rId1215" Type="http://schemas.openxmlformats.org/officeDocument/2006/relationships/hyperlink" Target="http://monica.zamudio-bbva.com/" TargetMode="External"/><Relationship Id="rId1422" Type="http://schemas.openxmlformats.org/officeDocument/2006/relationships/hyperlink" Target="http://juana.vergara-bbva.com/" TargetMode="External"/><Relationship Id="rId1867" Type="http://schemas.openxmlformats.org/officeDocument/2006/relationships/hyperlink" Target="http://marthapatric.cruz-bbva.com/" TargetMode="External"/><Relationship Id="rId61" Type="http://schemas.openxmlformats.org/officeDocument/2006/relationships/hyperlink" Target="http://ana.santamaria-bbva.com/" TargetMode="External"/><Relationship Id="rId1727" Type="http://schemas.openxmlformats.org/officeDocument/2006/relationships/hyperlink" Target="http://nelson.ruiz-bbva.com/" TargetMode="External"/><Relationship Id="rId1934" Type="http://schemas.openxmlformats.org/officeDocument/2006/relationships/hyperlink" Target="http://johnbayron.zambrano-bbva.com/" TargetMode="External"/><Relationship Id="rId19" Type="http://schemas.openxmlformats.org/officeDocument/2006/relationships/hyperlink" Target="http://marthaconsuelo.parra-bbva.com/" TargetMode="External"/><Relationship Id="rId2196" Type="http://schemas.openxmlformats.org/officeDocument/2006/relationships/hyperlink" Target="http://katherine.michaels-bbva.com/" TargetMode="External"/><Relationship Id="rId168" Type="http://schemas.openxmlformats.org/officeDocument/2006/relationships/hyperlink" Target="http://jimy.catolico-bbva.com/" TargetMode="External"/><Relationship Id="rId375" Type="http://schemas.openxmlformats.org/officeDocument/2006/relationships/hyperlink" Target="http://juhan.lozano-bbva.com/" TargetMode="External"/><Relationship Id="rId582" Type="http://schemas.openxmlformats.org/officeDocument/2006/relationships/hyperlink" Target="http://nathaliamaria.torres-bbva.com/" TargetMode="External"/><Relationship Id="rId2056" Type="http://schemas.openxmlformats.org/officeDocument/2006/relationships/hyperlink" Target="http://marthapatric.cruz-bbva.com/" TargetMode="External"/><Relationship Id="rId2263" Type="http://schemas.openxmlformats.org/officeDocument/2006/relationships/hyperlink" Target="http://felipe.guzman-bbva.com/" TargetMode="External"/><Relationship Id="rId2470" Type="http://schemas.openxmlformats.org/officeDocument/2006/relationships/hyperlink" Target="http://juan.orozco-bbva.com/" TargetMode="External"/><Relationship Id="rId3" Type="http://schemas.openxmlformats.org/officeDocument/2006/relationships/hyperlink" Target="http://marthaconsuelo.parra-bbva.com/" TargetMode="External"/><Relationship Id="rId235" Type="http://schemas.openxmlformats.org/officeDocument/2006/relationships/hyperlink" Target="http://jimy.catolico-bbva.com/" TargetMode="External"/><Relationship Id="rId442" Type="http://schemas.openxmlformats.org/officeDocument/2006/relationships/hyperlink" Target="http://erikajulieth.ruiz-bbva.com/" TargetMode="External"/><Relationship Id="rId887" Type="http://schemas.openxmlformats.org/officeDocument/2006/relationships/hyperlink" Target="http://ivan_dario.ariza-bbva.com/" TargetMode="External"/><Relationship Id="rId1072" Type="http://schemas.openxmlformats.org/officeDocument/2006/relationships/hyperlink" Target="http://nathiahayosara.amado-bbva.com/" TargetMode="External"/><Relationship Id="rId2123" Type="http://schemas.openxmlformats.org/officeDocument/2006/relationships/hyperlink" Target="https://globaldevtools.bbva.com/jira/browse/COLWSCUENT-1835" TargetMode="External"/><Relationship Id="rId2330" Type="http://schemas.openxmlformats.org/officeDocument/2006/relationships/hyperlink" Target="http://felipe.guzman-bbva.com/" TargetMode="External"/><Relationship Id="rId2568" Type="http://schemas.openxmlformats.org/officeDocument/2006/relationships/hyperlink" Target="http://hugofernando.parra-bbva.com/" TargetMode="External"/><Relationship Id="rId302" Type="http://schemas.openxmlformats.org/officeDocument/2006/relationships/hyperlink" Target="http://paolaandrea.hermosa-bbva.com/" TargetMode="External"/><Relationship Id="rId747" Type="http://schemas.openxmlformats.org/officeDocument/2006/relationships/hyperlink" Target="http://elizabeth.diaz-bbva.com/" TargetMode="External"/><Relationship Id="rId954" Type="http://schemas.openxmlformats.org/officeDocument/2006/relationships/hyperlink" Target="http://elizabeth.diaz-bbva.com/" TargetMode="External"/><Relationship Id="rId1377" Type="http://schemas.openxmlformats.org/officeDocument/2006/relationships/hyperlink" Target="http://geovany.ramirez-bbva.com/" TargetMode="External"/><Relationship Id="rId1584" Type="http://schemas.openxmlformats.org/officeDocument/2006/relationships/hyperlink" Target="http://carolina.monterrey-bbva.com/" TargetMode="External"/><Relationship Id="rId1791" Type="http://schemas.openxmlformats.org/officeDocument/2006/relationships/hyperlink" Target="http://ivan_dario.ariza-bbva.com/" TargetMode="External"/><Relationship Id="rId2428" Type="http://schemas.openxmlformats.org/officeDocument/2006/relationships/hyperlink" Target="http://jorge.blanco-bbva.com/" TargetMode="External"/><Relationship Id="rId83" Type="http://schemas.openxmlformats.org/officeDocument/2006/relationships/hyperlink" Target="http://pabloalexand.ortiz-bbva.com/" TargetMode="External"/><Relationship Id="rId607" Type="http://schemas.openxmlformats.org/officeDocument/2006/relationships/hyperlink" Target="https://globaldevtools.bbva.com/jira/browse/COLWSCANAL-14527" TargetMode="External"/><Relationship Id="rId814" Type="http://schemas.openxmlformats.org/officeDocument/2006/relationships/hyperlink" Target="http://nathiahayosara.amado-bbva.com/" TargetMode="External"/><Relationship Id="rId1237" Type="http://schemas.openxmlformats.org/officeDocument/2006/relationships/hyperlink" Target="http://paolaandrea.guzman-bbva.com/" TargetMode="External"/><Relationship Id="rId1444" Type="http://schemas.openxmlformats.org/officeDocument/2006/relationships/hyperlink" Target="http://hugofernando.parra-bbva.com/" TargetMode="External"/><Relationship Id="rId1651" Type="http://schemas.openxmlformats.org/officeDocument/2006/relationships/hyperlink" Target="http://nelson.ruiz-bbva.com/" TargetMode="External"/><Relationship Id="rId1889" Type="http://schemas.openxmlformats.org/officeDocument/2006/relationships/hyperlink" Target="http://nathaliamaria.torres-bbva.com/" TargetMode="External"/><Relationship Id="rId1304" Type="http://schemas.openxmlformats.org/officeDocument/2006/relationships/hyperlink" Target="http://liliana.marquez-bbva.com/" TargetMode="External"/><Relationship Id="rId1511" Type="http://schemas.openxmlformats.org/officeDocument/2006/relationships/hyperlink" Target="http://judy.bernal-bbva.com/" TargetMode="External"/><Relationship Id="rId1749" Type="http://schemas.openxmlformats.org/officeDocument/2006/relationships/hyperlink" Target="https://globaldevtools.bbva.com/jira/browse/COLWSCANAL-1303" TargetMode="External"/><Relationship Id="rId1956" Type="http://schemas.openxmlformats.org/officeDocument/2006/relationships/hyperlink" Target="http://yeraldineandrea.sierra-bbva.com/" TargetMode="External"/><Relationship Id="rId1609" Type="http://schemas.openxmlformats.org/officeDocument/2006/relationships/hyperlink" Target="http://leidymaritza.futinico-bbva.com/" TargetMode="External"/><Relationship Id="rId1816" Type="http://schemas.openxmlformats.org/officeDocument/2006/relationships/hyperlink" Target="http://monicaandrea.abogado-bbva.com/" TargetMode="External"/><Relationship Id="rId10" Type="http://schemas.openxmlformats.org/officeDocument/2006/relationships/hyperlink" Target="http://brigitteandrea.rincon-bbva.com/" TargetMode="External"/><Relationship Id="rId397" Type="http://schemas.openxmlformats.org/officeDocument/2006/relationships/hyperlink" Target="http://jimy.catolico-bbva.com/" TargetMode="External"/><Relationship Id="rId2078" Type="http://schemas.openxmlformats.org/officeDocument/2006/relationships/hyperlink" Target="http://marthapatric.cruz-bbva.com/" TargetMode="External"/><Relationship Id="rId2285" Type="http://schemas.openxmlformats.org/officeDocument/2006/relationships/hyperlink" Target="http://katherine.michaels-bbva.com/" TargetMode="External"/><Relationship Id="rId2492" Type="http://schemas.openxmlformats.org/officeDocument/2006/relationships/hyperlink" Target="http://andresfelipe.granados-bbva.com/" TargetMode="External"/><Relationship Id="rId257" Type="http://schemas.openxmlformats.org/officeDocument/2006/relationships/hyperlink" Target="http://andres.carrandi-bbva.com/" TargetMode="External"/><Relationship Id="rId464" Type="http://schemas.openxmlformats.org/officeDocument/2006/relationships/hyperlink" Target="https://globaldevtools.bbva.com/jira/browse/COLWSMEDIO-4584" TargetMode="External"/><Relationship Id="rId1094" Type="http://schemas.openxmlformats.org/officeDocument/2006/relationships/hyperlink" Target="http://rociomarcela.lopez-bbva.com/" TargetMode="External"/><Relationship Id="rId2145" Type="http://schemas.openxmlformats.org/officeDocument/2006/relationships/hyperlink" Target="http://monica.zamudio-bbva.com/" TargetMode="External"/><Relationship Id="rId117" Type="http://schemas.openxmlformats.org/officeDocument/2006/relationships/hyperlink" Target="http://josedanilo.virguez-bbva.com/" TargetMode="External"/><Relationship Id="rId671" Type="http://schemas.openxmlformats.org/officeDocument/2006/relationships/hyperlink" Target="https://globaldevtools.bbva.com/jira/browse/COLWSCANAL-11452" TargetMode="External"/><Relationship Id="rId769" Type="http://schemas.openxmlformats.org/officeDocument/2006/relationships/hyperlink" Target="http://leidyjohanna.zambrano-bbva.com/" TargetMode="External"/><Relationship Id="rId976" Type="http://schemas.openxmlformats.org/officeDocument/2006/relationships/hyperlink" Target="http://nathiahayosara.amado-bbva.com/" TargetMode="External"/><Relationship Id="rId1399" Type="http://schemas.openxmlformats.org/officeDocument/2006/relationships/hyperlink" Target="http://juana.vergara-bbva.com/" TargetMode="External"/><Relationship Id="rId2352" Type="http://schemas.openxmlformats.org/officeDocument/2006/relationships/hyperlink" Target="http://dianacarolina.gonzalez.castri-bbva.com/" TargetMode="External"/><Relationship Id="rId324" Type="http://schemas.openxmlformats.org/officeDocument/2006/relationships/hyperlink" Target="http://jimy.catolico-bbva.com/" TargetMode="External"/><Relationship Id="rId531" Type="http://schemas.openxmlformats.org/officeDocument/2006/relationships/hyperlink" Target="http://jimy.catolico-bbva.com/" TargetMode="External"/><Relationship Id="rId629" Type="http://schemas.openxmlformats.org/officeDocument/2006/relationships/hyperlink" Target="http://leidyviviana.patino-bbva.com/" TargetMode="External"/><Relationship Id="rId1161" Type="http://schemas.openxmlformats.org/officeDocument/2006/relationships/hyperlink" Target="https://globaldevtools.bbva.com/jira/browse/COLWSCUENT-2943" TargetMode="External"/><Relationship Id="rId1259" Type="http://schemas.openxmlformats.org/officeDocument/2006/relationships/hyperlink" Target="http://diegoandres.rodriguez-bbva.com/" TargetMode="External"/><Relationship Id="rId1466" Type="http://schemas.openxmlformats.org/officeDocument/2006/relationships/hyperlink" Target="http://juana.vergara-bbva.com/" TargetMode="External"/><Relationship Id="rId2005" Type="http://schemas.openxmlformats.org/officeDocument/2006/relationships/hyperlink" Target="http://alirio.bermudez-bbva.com/" TargetMode="External"/><Relationship Id="rId2212" Type="http://schemas.openxmlformats.org/officeDocument/2006/relationships/hyperlink" Target="http://felipe.guzman-bbva.com/" TargetMode="External"/><Relationship Id="rId836" Type="http://schemas.openxmlformats.org/officeDocument/2006/relationships/hyperlink" Target="http://ivan_dario.ariza-bbva.com/" TargetMode="External"/><Relationship Id="rId1021" Type="http://schemas.openxmlformats.org/officeDocument/2006/relationships/hyperlink" Target="http://nathiahayosara.amado-bbva.com/" TargetMode="External"/><Relationship Id="rId1119" Type="http://schemas.openxmlformats.org/officeDocument/2006/relationships/hyperlink" Target="http://angie.castaneda-bbva.com/" TargetMode="External"/><Relationship Id="rId1673" Type="http://schemas.openxmlformats.org/officeDocument/2006/relationships/hyperlink" Target="http://elizabeth.diaz-bbva.com/" TargetMode="External"/><Relationship Id="rId1880" Type="http://schemas.openxmlformats.org/officeDocument/2006/relationships/hyperlink" Target="http://alirio.bermudez-bbva.com/" TargetMode="External"/><Relationship Id="rId1978" Type="http://schemas.openxmlformats.org/officeDocument/2006/relationships/hyperlink" Target="https://globaldevtools.bbva.com/jira/browse/COLWSMONED-1368" TargetMode="External"/><Relationship Id="rId2517" Type="http://schemas.openxmlformats.org/officeDocument/2006/relationships/hyperlink" Target="http://andres.carrandi-bbva.com/" TargetMode="External"/><Relationship Id="rId903" Type="http://schemas.openxmlformats.org/officeDocument/2006/relationships/hyperlink" Target="https://globaldevtools.bbva.com/jira/browse/COLWSCONTA-32" TargetMode="External"/><Relationship Id="rId1326" Type="http://schemas.openxmlformats.org/officeDocument/2006/relationships/hyperlink" Target="http://angie.castaneda-bbva.com/" TargetMode="External"/><Relationship Id="rId1533" Type="http://schemas.openxmlformats.org/officeDocument/2006/relationships/hyperlink" Target="http://nicolas.galindo-bbva.com/" TargetMode="External"/><Relationship Id="rId1740" Type="http://schemas.openxmlformats.org/officeDocument/2006/relationships/hyperlink" Target="http://elizabeth.diaz-bbva.com/" TargetMode="External"/><Relationship Id="rId32" Type="http://schemas.openxmlformats.org/officeDocument/2006/relationships/hyperlink" Target="http://pabloalexand.ortiz-bbva.com/" TargetMode="External"/><Relationship Id="rId1600" Type="http://schemas.openxmlformats.org/officeDocument/2006/relationships/hyperlink" Target="http://andrea.orrego-bbva.com/" TargetMode="External"/><Relationship Id="rId1838" Type="http://schemas.openxmlformats.org/officeDocument/2006/relationships/hyperlink" Target="http://alirio.bermudez-bbva.com/" TargetMode="External"/><Relationship Id="rId181" Type="http://schemas.openxmlformats.org/officeDocument/2006/relationships/hyperlink" Target="http://oscar.bejarano-bbva.com/" TargetMode="External"/><Relationship Id="rId1905" Type="http://schemas.openxmlformats.org/officeDocument/2006/relationships/hyperlink" Target="https://globaldevtools.bbva.com/jira/browse/COLWSMEDIO-2273" TargetMode="External"/><Relationship Id="rId279" Type="http://schemas.openxmlformats.org/officeDocument/2006/relationships/hyperlink" Target="http://jhon.molina-bbva.com/" TargetMode="External"/><Relationship Id="rId486" Type="http://schemas.openxmlformats.org/officeDocument/2006/relationships/hyperlink" Target="http://juhan.lozano-bbva.com/" TargetMode="External"/><Relationship Id="rId693" Type="http://schemas.openxmlformats.org/officeDocument/2006/relationships/hyperlink" Target="http://elizabeth.diaz-bbva.com/" TargetMode="External"/><Relationship Id="rId2167" Type="http://schemas.openxmlformats.org/officeDocument/2006/relationships/hyperlink" Target="http://katherine.michaels-bbva.com/" TargetMode="External"/><Relationship Id="rId2374" Type="http://schemas.openxmlformats.org/officeDocument/2006/relationships/hyperlink" Target="https://globaldevtools.bbva.com/jira/browse/COLWSSEGUR-1631" TargetMode="External"/><Relationship Id="rId2581" Type="http://schemas.openxmlformats.org/officeDocument/2006/relationships/hyperlink" Target="http://carlosdavid.pacheco-bbva.com/" TargetMode="External"/><Relationship Id="rId139" Type="http://schemas.openxmlformats.org/officeDocument/2006/relationships/hyperlink" Target="http://ana.santamaria-bbva.com/" TargetMode="External"/><Relationship Id="rId346" Type="http://schemas.openxmlformats.org/officeDocument/2006/relationships/hyperlink" Target="http://wilson.vera-bbva.com/" TargetMode="External"/><Relationship Id="rId553" Type="http://schemas.openxmlformats.org/officeDocument/2006/relationships/hyperlink" Target="http://catalina.villamil-bbva.com/" TargetMode="External"/><Relationship Id="rId760" Type="http://schemas.openxmlformats.org/officeDocument/2006/relationships/hyperlink" Target="http://nathiahayosara.amado-bbva.com/" TargetMode="External"/><Relationship Id="rId998" Type="http://schemas.openxmlformats.org/officeDocument/2006/relationships/hyperlink" Target="http://jeissonandres.diaz.rodriguez-bbva.com/" TargetMode="External"/><Relationship Id="rId1183" Type="http://schemas.openxmlformats.org/officeDocument/2006/relationships/hyperlink" Target="http://angie.castaneda-bbva.com/" TargetMode="External"/><Relationship Id="rId1390" Type="http://schemas.openxmlformats.org/officeDocument/2006/relationships/hyperlink" Target="http://juana.vergara-bbva.com/" TargetMode="External"/><Relationship Id="rId2027" Type="http://schemas.openxmlformats.org/officeDocument/2006/relationships/hyperlink" Target="http://alirio.bermudez-bbva.com/" TargetMode="External"/><Relationship Id="rId2234" Type="http://schemas.openxmlformats.org/officeDocument/2006/relationships/hyperlink" Target="http://katherine.michaels-bbva.com/" TargetMode="External"/><Relationship Id="rId2441" Type="http://schemas.openxmlformats.org/officeDocument/2006/relationships/hyperlink" Target="http://juan.orozco-bbva.com/" TargetMode="External"/><Relationship Id="rId206" Type="http://schemas.openxmlformats.org/officeDocument/2006/relationships/hyperlink" Target="https://globaldevtools.bbva.com/jira/browse/COLWSPREST-11464" TargetMode="External"/><Relationship Id="rId413" Type="http://schemas.openxmlformats.org/officeDocument/2006/relationships/hyperlink" Target="http://jimy.catolico-bbva.com/" TargetMode="External"/><Relationship Id="rId858" Type="http://schemas.openxmlformats.org/officeDocument/2006/relationships/hyperlink" Target="http://nathiahayosara.amado-bbva.com/" TargetMode="External"/><Relationship Id="rId1043" Type="http://schemas.openxmlformats.org/officeDocument/2006/relationships/hyperlink" Target="http://elizabeth.diaz-bbva.com/" TargetMode="External"/><Relationship Id="rId1488" Type="http://schemas.openxmlformats.org/officeDocument/2006/relationships/hyperlink" Target="http://rociomarcela.lopez-bbva.com/" TargetMode="External"/><Relationship Id="rId1695" Type="http://schemas.openxmlformats.org/officeDocument/2006/relationships/hyperlink" Target="http://alirio.bermudez-bbva.com/" TargetMode="External"/><Relationship Id="rId2539" Type="http://schemas.openxmlformats.org/officeDocument/2006/relationships/hyperlink" Target="http://nathaliamaria.torres-bbva.com/" TargetMode="External"/><Relationship Id="rId620" Type="http://schemas.openxmlformats.org/officeDocument/2006/relationships/hyperlink" Target="http://catalina.villamil-bbva.com/" TargetMode="External"/><Relationship Id="rId718" Type="http://schemas.openxmlformats.org/officeDocument/2006/relationships/hyperlink" Target="http://nathiahayosara.amado-bbva.com/" TargetMode="External"/><Relationship Id="rId925" Type="http://schemas.openxmlformats.org/officeDocument/2006/relationships/hyperlink" Target="http://jeissonandres.diaz.rodriguez-bbva.com/" TargetMode="External"/><Relationship Id="rId1250" Type="http://schemas.openxmlformats.org/officeDocument/2006/relationships/hyperlink" Target="https://globaldevtools.bbva.com/jira/browse/COLWSPREST-12045" TargetMode="External"/><Relationship Id="rId1348" Type="http://schemas.openxmlformats.org/officeDocument/2006/relationships/hyperlink" Target="https://globaldevtools.bbva.com/jira/browse/COLWSMEDIO-133" TargetMode="External"/><Relationship Id="rId1555" Type="http://schemas.openxmlformats.org/officeDocument/2006/relationships/hyperlink" Target="https://globaldevtools.bbva.com/jira/browse/COLWSPREST-7670" TargetMode="External"/><Relationship Id="rId1762" Type="http://schemas.openxmlformats.org/officeDocument/2006/relationships/hyperlink" Target="http://alirio.bermudez-bbva.com/" TargetMode="External"/><Relationship Id="rId2301" Type="http://schemas.openxmlformats.org/officeDocument/2006/relationships/hyperlink" Target="http://katherine.michaels-bbva.com/" TargetMode="External"/><Relationship Id="rId1110" Type="http://schemas.openxmlformats.org/officeDocument/2006/relationships/hyperlink" Target="http://monica.zamudio-bbva.com/" TargetMode="External"/><Relationship Id="rId1208" Type="http://schemas.openxmlformats.org/officeDocument/2006/relationships/hyperlink" Target="https://globaldevtools.bbva.com/jira/browse/COLWSPREST-2740" TargetMode="External"/><Relationship Id="rId1415" Type="http://schemas.openxmlformats.org/officeDocument/2006/relationships/hyperlink" Target="http://santiago.campuzano-bbva.com/" TargetMode="External"/><Relationship Id="rId54" Type="http://schemas.openxmlformats.org/officeDocument/2006/relationships/hyperlink" Target="http://jorgeenrique.vivas-bbva.com/" TargetMode="External"/><Relationship Id="rId1622" Type="http://schemas.openxmlformats.org/officeDocument/2006/relationships/hyperlink" Target="http://yurimilena.moreno-bbva.com/" TargetMode="External"/><Relationship Id="rId1927" Type="http://schemas.openxmlformats.org/officeDocument/2006/relationships/hyperlink" Target="https://globaldevtools.bbva.com/jira/browse/COLWSMEDIO-2345" TargetMode="External"/><Relationship Id="rId2091" Type="http://schemas.openxmlformats.org/officeDocument/2006/relationships/hyperlink" Target="https://globaldevtools.bbva.com/jira/browse/COLWSCUENT-1225" TargetMode="External"/><Relationship Id="rId2189" Type="http://schemas.openxmlformats.org/officeDocument/2006/relationships/hyperlink" Target="http://katherine.michaels-bbva.com/" TargetMode="External"/><Relationship Id="rId270" Type="http://schemas.openxmlformats.org/officeDocument/2006/relationships/hyperlink" Target="http://jimy.catolico-bbva.com/" TargetMode="External"/><Relationship Id="rId2396" Type="http://schemas.openxmlformats.org/officeDocument/2006/relationships/hyperlink" Target="http://julioenrique.ramos-bbva.com/" TargetMode="External"/><Relationship Id="rId130" Type="http://schemas.openxmlformats.org/officeDocument/2006/relationships/hyperlink" Target="https://globaldevtools.bbva.com/jira/browse/COLWSDATIO-1891" TargetMode="External"/><Relationship Id="rId368" Type="http://schemas.openxmlformats.org/officeDocument/2006/relationships/hyperlink" Target="https://globaldevtools.bbva.com/jira/browse/COLWSCANAL-13518" TargetMode="External"/><Relationship Id="rId575" Type="http://schemas.openxmlformats.org/officeDocument/2006/relationships/hyperlink" Target="https://globaldevtools.bbva.com/jira/browse/COLWSCANAL-8508" TargetMode="External"/><Relationship Id="rId782" Type="http://schemas.openxmlformats.org/officeDocument/2006/relationships/hyperlink" Target="http://elizabeth.diaz-bbva.com/" TargetMode="External"/><Relationship Id="rId2049" Type="http://schemas.openxmlformats.org/officeDocument/2006/relationships/hyperlink" Target="http://alirio.bermudez-bbva.com/" TargetMode="External"/><Relationship Id="rId2256" Type="http://schemas.openxmlformats.org/officeDocument/2006/relationships/hyperlink" Target="https://globaldevtools.bbva.com/jira/browse/COLWSSEGUR-1" TargetMode="External"/><Relationship Id="rId2463" Type="http://schemas.openxmlformats.org/officeDocument/2006/relationships/hyperlink" Target="http://juan.orozco-bbva.com/" TargetMode="External"/><Relationship Id="rId228" Type="http://schemas.openxmlformats.org/officeDocument/2006/relationships/hyperlink" Target="http://juliocesar.estupinan-bbva.com/" TargetMode="External"/><Relationship Id="rId435" Type="http://schemas.openxmlformats.org/officeDocument/2006/relationships/hyperlink" Target="http://juhan.lozano-bbva.com/" TargetMode="External"/><Relationship Id="rId642" Type="http://schemas.openxmlformats.org/officeDocument/2006/relationships/hyperlink" Target="http://jhon.molina-bbva.com/" TargetMode="External"/><Relationship Id="rId1065" Type="http://schemas.openxmlformats.org/officeDocument/2006/relationships/hyperlink" Target="http://jeissonandres.diaz.rodriguez-bbva.com/" TargetMode="External"/><Relationship Id="rId1272" Type="http://schemas.openxmlformats.org/officeDocument/2006/relationships/hyperlink" Target="http://liliana.marquez-bbva.com/" TargetMode="External"/><Relationship Id="rId2116" Type="http://schemas.openxmlformats.org/officeDocument/2006/relationships/hyperlink" Target="http://alirio.bermudez-bbva.com/" TargetMode="External"/><Relationship Id="rId2323" Type="http://schemas.openxmlformats.org/officeDocument/2006/relationships/hyperlink" Target="https://globaldevtools.bbva.com/jira/browse/COLWSSEGUR-1204" TargetMode="External"/><Relationship Id="rId2530" Type="http://schemas.openxmlformats.org/officeDocument/2006/relationships/hyperlink" Target="http://rociomarcela.lopez-bbva.com/" TargetMode="External"/><Relationship Id="rId502" Type="http://schemas.openxmlformats.org/officeDocument/2006/relationships/hyperlink" Target="http://jimy.catolico-bbva.com/" TargetMode="External"/><Relationship Id="rId947" Type="http://schemas.openxmlformats.org/officeDocument/2006/relationships/hyperlink" Target="https://globaldevtools.bbva.com/jira/browse/COLWSCONTA-8" TargetMode="External"/><Relationship Id="rId1132" Type="http://schemas.openxmlformats.org/officeDocument/2006/relationships/hyperlink" Target="http://angie.castaneda-bbva.com/" TargetMode="External"/><Relationship Id="rId1577" Type="http://schemas.openxmlformats.org/officeDocument/2006/relationships/hyperlink" Target="http://yurimilena.moreno-bbva.com/" TargetMode="External"/><Relationship Id="rId1784" Type="http://schemas.openxmlformats.org/officeDocument/2006/relationships/hyperlink" Target="https://globaldevtools.bbva.com/jira/browse/COLWSMEDIO-3146" TargetMode="External"/><Relationship Id="rId1991" Type="http://schemas.openxmlformats.org/officeDocument/2006/relationships/hyperlink" Target="http://monica.zamudio-bbva.com/" TargetMode="External"/><Relationship Id="rId76" Type="http://schemas.openxmlformats.org/officeDocument/2006/relationships/hyperlink" Target="http://pabloalexand.ortiz-bbva.com/" TargetMode="External"/><Relationship Id="rId807" Type="http://schemas.openxmlformats.org/officeDocument/2006/relationships/hyperlink" Target="https://globaldevtools.bbva.com/jira/browse/COLWSCANAL-5404" TargetMode="External"/><Relationship Id="rId1437" Type="http://schemas.openxmlformats.org/officeDocument/2006/relationships/hyperlink" Target="http://geovany.ramirez-bbva.com/" TargetMode="External"/><Relationship Id="rId1644" Type="http://schemas.openxmlformats.org/officeDocument/2006/relationships/hyperlink" Target="http://juanita.velasquez-bbva.com/" TargetMode="External"/><Relationship Id="rId1851" Type="http://schemas.openxmlformats.org/officeDocument/2006/relationships/hyperlink" Target="http://marthapatric.cruz-bbva.com/" TargetMode="External"/><Relationship Id="rId1504" Type="http://schemas.openxmlformats.org/officeDocument/2006/relationships/hyperlink" Target="http://hugofernando.parra-bbva.com/" TargetMode="External"/><Relationship Id="rId1711" Type="http://schemas.openxmlformats.org/officeDocument/2006/relationships/hyperlink" Target="http://alirio.bermudez-bbva.com/" TargetMode="External"/><Relationship Id="rId1949" Type="http://schemas.openxmlformats.org/officeDocument/2006/relationships/hyperlink" Target="http://ivan_dario.ariza-bbva.com/" TargetMode="External"/><Relationship Id="rId292" Type="http://schemas.openxmlformats.org/officeDocument/2006/relationships/hyperlink" Target="http://jimy.catolico-bbva.com/" TargetMode="External"/><Relationship Id="rId1809" Type="http://schemas.openxmlformats.org/officeDocument/2006/relationships/hyperlink" Target="http://alirio.bermudez-bbva.com/" TargetMode="External"/><Relationship Id="rId597" Type="http://schemas.openxmlformats.org/officeDocument/2006/relationships/hyperlink" Target="http://catalina.villamil-bbva.com/" TargetMode="External"/><Relationship Id="rId2180" Type="http://schemas.openxmlformats.org/officeDocument/2006/relationships/hyperlink" Target="http://dianacarolina.gonzalez.castri-bbva.com/" TargetMode="External"/><Relationship Id="rId2278" Type="http://schemas.openxmlformats.org/officeDocument/2006/relationships/hyperlink" Target="http://mariajuliana.rodriguez-bbva.com/" TargetMode="External"/><Relationship Id="rId2485" Type="http://schemas.openxmlformats.org/officeDocument/2006/relationships/hyperlink" Target="http://nicolas.galindo-bbva.com/" TargetMode="External"/><Relationship Id="rId152" Type="http://schemas.openxmlformats.org/officeDocument/2006/relationships/hyperlink" Target="http://nelsonandres.bohorquez-bbva.com/" TargetMode="External"/><Relationship Id="rId457" Type="http://schemas.openxmlformats.org/officeDocument/2006/relationships/hyperlink" Target="http://jimy.catolico-bbva.com/" TargetMode="External"/><Relationship Id="rId1087" Type="http://schemas.openxmlformats.org/officeDocument/2006/relationships/hyperlink" Target="https://globaldevtools.bbva.com/jira/browse/CCSS-5190" TargetMode="External"/><Relationship Id="rId1294" Type="http://schemas.openxmlformats.org/officeDocument/2006/relationships/hyperlink" Target="http://liliana.marquez-bbva.com/" TargetMode="External"/><Relationship Id="rId2040" Type="http://schemas.openxmlformats.org/officeDocument/2006/relationships/hyperlink" Target="http://alirio.bermudez-bbva.com/" TargetMode="External"/><Relationship Id="rId2138" Type="http://schemas.openxmlformats.org/officeDocument/2006/relationships/hyperlink" Target="https://globaldevtools.bbva.com/jira/browse/COLWSCUENT-552" TargetMode="External"/><Relationship Id="rId664" Type="http://schemas.openxmlformats.org/officeDocument/2006/relationships/hyperlink" Target="http://nathiahayosara.amado-bbva.com/" TargetMode="External"/><Relationship Id="rId871" Type="http://schemas.openxmlformats.org/officeDocument/2006/relationships/hyperlink" Target="http://karenalexandra.martinez-bbva.com/" TargetMode="External"/><Relationship Id="rId969" Type="http://schemas.openxmlformats.org/officeDocument/2006/relationships/hyperlink" Target="http://jeissonandres.diaz.rodriguez-bbva.com/" TargetMode="External"/><Relationship Id="rId1599" Type="http://schemas.openxmlformats.org/officeDocument/2006/relationships/hyperlink" Target="https://globaldevtools.bbva.com/jira/browse/CCSS-17849" TargetMode="External"/><Relationship Id="rId2345" Type="http://schemas.openxmlformats.org/officeDocument/2006/relationships/hyperlink" Target="http://felipe.guzman-bbva.com/" TargetMode="External"/><Relationship Id="rId2552" Type="http://schemas.openxmlformats.org/officeDocument/2006/relationships/hyperlink" Target="http://clara.mora-bbva.com/" TargetMode="External"/><Relationship Id="rId317" Type="http://schemas.openxmlformats.org/officeDocument/2006/relationships/hyperlink" Target="http://cindytatiana.perilla-bbva.com/" TargetMode="External"/><Relationship Id="rId524" Type="http://schemas.openxmlformats.org/officeDocument/2006/relationships/hyperlink" Target="http://jimy.catolico-bbva.com/" TargetMode="External"/><Relationship Id="rId731" Type="http://schemas.openxmlformats.org/officeDocument/2006/relationships/hyperlink" Target="http://elizabeth.diaz-bbva.com/" TargetMode="External"/><Relationship Id="rId1154" Type="http://schemas.openxmlformats.org/officeDocument/2006/relationships/hyperlink" Target="http://angie.castaneda-bbva.com/" TargetMode="External"/><Relationship Id="rId1361" Type="http://schemas.openxmlformats.org/officeDocument/2006/relationships/hyperlink" Target="http://angie.castaneda-bbva.com/" TargetMode="External"/><Relationship Id="rId1459" Type="http://schemas.openxmlformats.org/officeDocument/2006/relationships/hyperlink" Target="https://globaldevtools.bbva.com/jira/browse/COLWSPREST-7863" TargetMode="External"/><Relationship Id="rId2205" Type="http://schemas.openxmlformats.org/officeDocument/2006/relationships/hyperlink" Target="https://globaldevtools.bbva.com/jira/browse/COLWSSEGUR-124" TargetMode="External"/><Relationship Id="rId2412" Type="http://schemas.openxmlformats.org/officeDocument/2006/relationships/hyperlink" Target="http://juan.orozco-bbva.com/" TargetMode="External"/><Relationship Id="rId98" Type="http://schemas.openxmlformats.org/officeDocument/2006/relationships/hyperlink" Target="http://davidesteban.fajardo-bbva.com/" TargetMode="External"/><Relationship Id="rId829" Type="http://schemas.openxmlformats.org/officeDocument/2006/relationships/hyperlink" Target="https://globaldevtools.bbva.com/jira/browse/COLWSSUPPL-35" TargetMode="External"/><Relationship Id="rId1014" Type="http://schemas.openxmlformats.org/officeDocument/2006/relationships/hyperlink" Target="http://jeissonandres.diaz.rodriguez-bbva.com/" TargetMode="External"/><Relationship Id="rId1221" Type="http://schemas.openxmlformats.org/officeDocument/2006/relationships/hyperlink" Target="http://angie.castaneda-bbva.com/" TargetMode="External"/><Relationship Id="rId1666" Type="http://schemas.openxmlformats.org/officeDocument/2006/relationships/hyperlink" Target="https://globaldevtools.bbva.com/jira/browse/CCSS-4355" TargetMode="External"/><Relationship Id="rId1873" Type="http://schemas.openxmlformats.org/officeDocument/2006/relationships/hyperlink" Target="http://alirio.bermudez-bbva.com/" TargetMode="External"/><Relationship Id="rId1319" Type="http://schemas.openxmlformats.org/officeDocument/2006/relationships/hyperlink" Target="http://judy.prieto-bbva.com/" TargetMode="External"/><Relationship Id="rId1526" Type="http://schemas.openxmlformats.org/officeDocument/2006/relationships/hyperlink" Target="http://judy.bernal-bbva.com/" TargetMode="External"/><Relationship Id="rId1733" Type="http://schemas.openxmlformats.org/officeDocument/2006/relationships/hyperlink" Target="https://globaldevtools.bbva.com/jira/browse/CCSS-7499" TargetMode="External"/><Relationship Id="rId1940" Type="http://schemas.openxmlformats.org/officeDocument/2006/relationships/hyperlink" Target="http://marthapatric.cruz-bbva.com/" TargetMode="External"/><Relationship Id="rId25" Type="http://schemas.openxmlformats.org/officeDocument/2006/relationships/hyperlink" Target="http://pabloalexand.ortiz-bbva.com/" TargetMode="External"/><Relationship Id="rId1800" Type="http://schemas.openxmlformats.org/officeDocument/2006/relationships/hyperlink" Target="https://globaldevtools.bbva.com/jira/browse/COLWSLEASI-402" TargetMode="External"/><Relationship Id="rId174" Type="http://schemas.openxmlformats.org/officeDocument/2006/relationships/hyperlink" Target="http://yurimilena.moreno-bbva.com/" TargetMode="External"/><Relationship Id="rId381" Type="http://schemas.openxmlformats.org/officeDocument/2006/relationships/hyperlink" Target="http://jimy.catolico-bbva.com/" TargetMode="External"/><Relationship Id="rId2062" Type="http://schemas.openxmlformats.org/officeDocument/2006/relationships/hyperlink" Target="http://marthapatric.cruz-bbva.com/" TargetMode="External"/><Relationship Id="rId241" Type="http://schemas.openxmlformats.org/officeDocument/2006/relationships/hyperlink" Target="http://yurimilena.moreno-bbva.com/" TargetMode="External"/><Relationship Id="rId479" Type="http://schemas.openxmlformats.org/officeDocument/2006/relationships/hyperlink" Target="http://erikajulieth.ruiz-bbva.com/" TargetMode="External"/><Relationship Id="rId686" Type="http://schemas.openxmlformats.org/officeDocument/2006/relationships/hyperlink" Target="http://nathiahayosara.amado-bbva.com/" TargetMode="External"/><Relationship Id="rId893" Type="http://schemas.openxmlformats.org/officeDocument/2006/relationships/hyperlink" Target="http://karenalexandra.martinez-bbva.com/" TargetMode="External"/><Relationship Id="rId2367" Type="http://schemas.openxmlformats.org/officeDocument/2006/relationships/hyperlink" Target="http://katherine.michaels-bbva.com/" TargetMode="External"/><Relationship Id="rId2574" Type="http://schemas.openxmlformats.org/officeDocument/2006/relationships/hyperlink" Target="http://huvertyadir.ramirez-bbva.com/" TargetMode="External"/><Relationship Id="rId339" Type="http://schemas.openxmlformats.org/officeDocument/2006/relationships/hyperlink" Target="http://jimy.catolico-bbva.com/" TargetMode="External"/><Relationship Id="rId546" Type="http://schemas.openxmlformats.org/officeDocument/2006/relationships/hyperlink" Target="http://irene.angel-bbva.com/" TargetMode="External"/><Relationship Id="rId753" Type="http://schemas.openxmlformats.org/officeDocument/2006/relationships/hyperlink" Target="http://nathiahayosara.amado-bbva.com/" TargetMode="External"/><Relationship Id="rId1176" Type="http://schemas.openxmlformats.org/officeDocument/2006/relationships/hyperlink" Target="http://katherine.pardo-bbva.com/" TargetMode="External"/><Relationship Id="rId1383" Type="http://schemas.openxmlformats.org/officeDocument/2006/relationships/hyperlink" Target="https://globaldevtools.bbva.com/jira/browse/COLWSMEDIO-6273" TargetMode="External"/><Relationship Id="rId2227" Type="http://schemas.openxmlformats.org/officeDocument/2006/relationships/hyperlink" Target="http://katherine.michaels-bbva.com/" TargetMode="External"/><Relationship Id="rId2434" Type="http://schemas.openxmlformats.org/officeDocument/2006/relationships/hyperlink" Target="https://globaldevtools.bbva.com/jira/browse/CFS1-167" TargetMode="External"/><Relationship Id="rId101" Type="http://schemas.openxmlformats.org/officeDocument/2006/relationships/hyperlink" Target="http://davidesteban.fajardo-bbva.com/" TargetMode="External"/><Relationship Id="rId406" Type="http://schemas.openxmlformats.org/officeDocument/2006/relationships/hyperlink" Target="http://giulianaandrea.guarin-bbva.com/" TargetMode="External"/><Relationship Id="rId960" Type="http://schemas.openxmlformats.org/officeDocument/2006/relationships/hyperlink" Target="http://nathiahayosara.amado-bbva.com/" TargetMode="External"/><Relationship Id="rId1036" Type="http://schemas.openxmlformats.org/officeDocument/2006/relationships/hyperlink" Target="https://globaldevtools.bbva.com/jira/browse/COLWSCONTA-567" TargetMode="External"/><Relationship Id="rId1243" Type="http://schemas.openxmlformats.org/officeDocument/2006/relationships/hyperlink" Target="http://paolaandrea.guzman-bbva.com/" TargetMode="External"/><Relationship Id="rId1590" Type="http://schemas.openxmlformats.org/officeDocument/2006/relationships/hyperlink" Target="http://rudyyolima.aguilar-bbva.com/" TargetMode="External"/><Relationship Id="rId1688" Type="http://schemas.openxmlformats.org/officeDocument/2006/relationships/hyperlink" Target="http://nelson.ruiz-bbva.com/" TargetMode="External"/><Relationship Id="rId1895" Type="http://schemas.openxmlformats.org/officeDocument/2006/relationships/hyperlink" Target="http://marthapatric.cruz-bbva.com/" TargetMode="External"/><Relationship Id="rId613" Type="http://schemas.openxmlformats.org/officeDocument/2006/relationships/hyperlink" Target="http://angiez.cubides-bbva.com/" TargetMode="External"/><Relationship Id="rId820" Type="http://schemas.openxmlformats.org/officeDocument/2006/relationships/hyperlink" Target="http://ivan_dario.ariza-bbva.com/" TargetMode="External"/><Relationship Id="rId918" Type="http://schemas.openxmlformats.org/officeDocument/2006/relationships/hyperlink" Target="http://elizabeth.diaz-bbva.com/" TargetMode="External"/><Relationship Id="rId1450" Type="http://schemas.openxmlformats.org/officeDocument/2006/relationships/hyperlink" Target="http://santiago.campuzano-bbva.com/" TargetMode="External"/><Relationship Id="rId1548" Type="http://schemas.openxmlformats.org/officeDocument/2006/relationships/hyperlink" Target="http://hugofernando.parra-bbva.com/" TargetMode="External"/><Relationship Id="rId1755" Type="http://schemas.openxmlformats.org/officeDocument/2006/relationships/hyperlink" Target="http://nelson.ruiz-bbva.com/" TargetMode="External"/><Relationship Id="rId2501" Type="http://schemas.openxmlformats.org/officeDocument/2006/relationships/hyperlink" Target="http://nicolas.galindo-bbva.com/" TargetMode="External"/><Relationship Id="rId1103" Type="http://schemas.openxmlformats.org/officeDocument/2006/relationships/hyperlink" Target="https://globaldevtools.bbva.com/jira/browse/COLWSPREST-10164" TargetMode="External"/><Relationship Id="rId1310" Type="http://schemas.openxmlformats.org/officeDocument/2006/relationships/hyperlink" Target="http://angie.castaneda-bbva.com/" TargetMode="External"/><Relationship Id="rId1408" Type="http://schemas.openxmlformats.org/officeDocument/2006/relationships/hyperlink" Target="http://juana.vergara-bbva.com/" TargetMode="External"/><Relationship Id="rId1962" Type="http://schemas.openxmlformats.org/officeDocument/2006/relationships/hyperlink" Target="https://globaldevtools.bbva.com/jira/browse/COLWSMONED-1296" TargetMode="External"/><Relationship Id="rId47" Type="http://schemas.openxmlformats.org/officeDocument/2006/relationships/hyperlink" Target="http://pabloalexand.ortiz-bbva.com/" TargetMode="External"/><Relationship Id="rId1615" Type="http://schemas.openxmlformats.org/officeDocument/2006/relationships/hyperlink" Target="https://globaldevtools.bbva.com/jira/browse/COLWSCANAL-5800" TargetMode="External"/><Relationship Id="rId1822" Type="http://schemas.openxmlformats.org/officeDocument/2006/relationships/hyperlink" Target="http://alirio.bermudez-bbva.com/" TargetMode="External"/><Relationship Id="rId196" Type="http://schemas.openxmlformats.org/officeDocument/2006/relationships/hyperlink" Target="http://diegofernand.castro-bbva.com/" TargetMode="External"/><Relationship Id="rId2084" Type="http://schemas.openxmlformats.org/officeDocument/2006/relationships/hyperlink" Target="http://alirio.bermudez-bbva.com/" TargetMode="External"/><Relationship Id="rId2291" Type="http://schemas.openxmlformats.org/officeDocument/2006/relationships/hyperlink" Target="http://felipe.guzman-bbva.com/" TargetMode="External"/><Relationship Id="rId263" Type="http://schemas.openxmlformats.org/officeDocument/2006/relationships/hyperlink" Target="http://jimy.catolico-bbva.com/" TargetMode="External"/><Relationship Id="rId470" Type="http://schemas.openxmlformats.org/officeDocument/2006/relationships/hyperlink" Target="http://erikajulieth.ruiz-bbva.com/" TargetMode="External"/><Relationship Id="rId2151" Type="http://schemas.openxmlformats.org/officeDocument/2006/relationships/hyperlink" Target="http://alirio.bermudez-bbva.com/" TargetMode="External"/><Relationship Id="rId2389" Type="http://schemas.openxmlformats.org/officeDocument/2006/relationships/hyperlink" Target="http://julioenrique.ramos-bbva.com/" TargetMode="External"/><Relationship Id="rId2596" Type="http://schemas.openxmlformats.org/officeDocument/2006/relationships/hyperlink" Target="https://globaldevtools.bbva.com/jira/browse/COLWSFNDIR-367" TargetMode="External"/><Relationship Id="rId123" Type="http://schemas.openxmlformats.org/officeDocument/2006/relationships/hyperlink" Target="http://ana.santamaria-bbva.com/" TargetMode="External"/><Relationship Id="rId330" Type="http://schemas.openxmlformats.org/officeDocument/2006/relationships/hyperlink" Target="http://luz.rodriguez-bbva.com/" TargetMode="External"/><Relationship Id="rId568" Type="http://schemas.openxmlformats.org/officeDocument/2006/relationships/hyperlink" Target="http://catalina.villamil-bbva.com/" TargetMode="External"/><Relationship Id="rId775" Type="http://schemas.openxmlformats.org/officeDocument/2006/relationships/hyperlink" Target="https://globaldevtools.bbva.com/jira/browse/COLWSCANAL-3348" TargetMode="External"/><Relationship Id="rId982" Type="http://schemas.openxmlformats.org/officeDocument/2006/relationships/hyperlink" Target="http://elizabeth.diaz-bbva.com/" TargetMode="External"/><Relationship Id="rId1198" Type="http://schemas.openxmlformats.org/officeDocument/2006/relationships/hyperlink" Target="http://angie.castaneda-bbva.com/" TargetMode="External"/><Relationship Id="rId2011" Type="http://schemas.openxmlformats.org/officeDocument/2006/relationships/hyperlink" Target="https://globaldevtools.bbva.com/jira/browse/COLWSPREST-620" TargetMode="External"/><Relationship Id="rId2249" Type="http://schemas.openxmlformats.org/officeDocument/2006/relationships/hyperlink" Target="http://katherine.michaels-bbva.com/" TargetMode="External"/><Relationship Id="rId2456" Type="http://schemas.openxmlformats.org/officeDocument/2006/relationships/hyperlink" Target="http://jorge.blanco-bbva.com/" TargetMode="External"/><Relationship Id="rId428" Type="http://schemas.openxmlformats.org/officeDocument/2006/relationships/hyperlink" Target="https://globaldevtools.bbva.com/jira/browse/COLWSCANAL-13332" TargetMode="External"/><Relationship Id="rId635" Type="http://schemas.openxmlformats.org/officeDocument/2006/relationships/hyperlink" Target="https://globaldevtools.bbva.com/jira/browse/COLWSMEDIO-437" TargetMode="External"/><Relationship Id="rId842" Type="http://schemas.openxmlformats.org/officeDocument/2006/relationships/hyperlink" Target="http://nathiahayosara.amado-bbva.com/" TargetMode="External"/><Relationship Id="rId1058" Type="http://schemas.openxmlformats.org/officeDocument/2006/relationships/hyperlink" Target="http://elizabeth.diaz-bbva.com/" TargetMode="External"/><Relationship Id="rId1265" Type="http://schemas.openxmlformats.org/officeDocument/2006/relationships/hyperlink" Target="http://diegoandres.rodriguez-bbva.com/" TargetMode="External"/><Relationship Id="rId1472" Type="http://schemas.openxmlformats.org/officeDocument/2006/relationships/hyperlink" Target="http://hugofernando.parra-bbva.com/" TargetMode="External"/><Relationship Id="rId2109" Type="http://schemas.openxmlformats.org/officeDocument/2006/relationships/hyperlink" Target="http://hugo.mongua-bbva.com/" TargetMode="External"/><Relationship Id="rId2316" Type="http://schemas.openxmlformats.org/officeDocument/2006/relationships/hyperlink" Target="http://katherine.michaels-bbva.com/" TargetMode="External"/><Relationship Id="rId2523" Type="http://schemas.openxmlformats.org/officeDocument/2006/relationships/hyperlink" Target="http://andresfelipe.granados-bbva.com/" TargetMode="External"/><Relationship Id="rId702" Type="http://schemas.openxmlformats.org/officeDocument/2006/relationships/hyperlink" Target="http://nathiahayosara.amado-bbva.com/" TargetMode="External"/><Relationship Id="rId1125" Type="http://schemas.openxmlformats.org/officeDocument/2006/relationships/hyperlink" Target="https://globaldevtools.bbva.com/jira/browse/COLWSPREST-2745" TargetMode="External"/><Relationship Id="rId1332" Type="http://schemas.openxmlformats.org/officeDocument/2006/relationships/hyperlink" Target="http://paolaandrea.guzman-bbva.com/" TargetMode="External"/><Relationship Id="rId1777" Type="http://schemas.openxmlformats.org/officeDocument/2006/relationships/hyperlink" Target="https://globaldevtools.bbva.com/jira/browse/COLWSCUENT-1636" TargetMode="External"/><Relationship Id="rId1984" Type="http://schemas.openxmlformats.org/officeDocument/2006/relationships/hyperlink" Target="http://ivan_dario.ariza-bbva.com/" TargetMode="External"/><Relationship Id="rId69" Type="http://schemas.openxmlformats.org/officeDocument/2006/relationships/hyperlink" Target="http://jorgeenrique.vivas-bbva.com/" TargetMode="External"/><Relationship Id="rId1637" Type="http://schemas.openxmlformats.org/officeDocument/2006/relationships/hyperlink" Target="http://yurimilena.moreno-bbva.com/" TargetMode="External"/><Relationship Id="rId1844" Type="http://schemas.openxmlformats.org/officeDocument/2006/relationships/hyperlink" Target="http://yurimilena.moreno-bbva.com/" TargetMode="External"/><Relationship Id="rId1704" Type="http://schemas.openxmlformats.org/officeDocument/2006/relationships/hyperlink" Target="http://nelson.ruiz-bbva.com/" TargetMode="External"/><Relationship Id="rId285" Type="http://schemas.openxmlformats.org/officeDocument/2006/relationships/hyperlink" Target="http://erikajulieth.ruiz-bbva.com/" TargetMode="External"/><Relationship Id="rId1911" Type="http://schemas.openxmlformats.org/officeDocument/2006/relationships/hyperlink" Target="http://sandrajohanna.gonzalez-bbva.com/" TargetMode="External"/><Relationship Id="rId492" Type="http://schemas.openxmlformats.org/officeDocument/2006/relationships/hyperlink" Target="http://juhan.lozano-bbva.com/" TargetMode="External"/><Relationship Id="rId797" Type="http://schemas.openxmlformats.org/officeDocument/2006/relationships/hyperlink" Target="http://sirlleny.vasquez-bbva.com/" TargetMode="External"/><Relationship Id="rId2173" Type="http://schemas.openxmlformats.org/officeDocument/2006/relationships/hyperlink" Target="http://sandracarolina.miranda-bbva.com/" TargetMode="External"/><Relationship Id="rId2380" Type="http://schemas.openxmlformats.org/officeDocument/2006/relationships/hyperlink" Target="http://jorge.blanco-bbva.com/" TargetMode="External"/><Relationship Id="rId2478" Type="http://schemas.openxmlformats.org/officeDocument/2006/relationships/hyperlink" Target="http://hugoalberto.abreo-bbva.com/" TargetMode="External"/><Relationship Id="rId145" Type="http://schemas.openxmlformats.org/officeDocument/2006/relationships/hyperlink" Target="http://nelsonandres.bohorquez-bbva.com/" TargetMode="External"/><Relationship Id="rId352" Type="http://schemas.openxmlformats.org/officeDocument/2006/relationships/hyperlink" Target="https://globaldevtools.bbva.com/jira/browse/COLWSCANAL-2741" TargetMode="External"/><Relationship Id="rId1287" Type="http://schemas.openxmlformats.org/officeDocument/2006/relationships/hyperlink" Target="http://monica.zamudio-bbva.com/" TargetMode="External"/><Relationship Id="rId2033" Type="http://schemas.openxmlformats.org/officeDocument/2006/relationships/hyperlink" Target="http://alirio.bermudez-bbva.com/" TargetMode="External"/><Relationship Id="rId2240" Type="http://schemas.openxmlformats.org/officeDocument/2006/relationships/hyperlink" Target="http://felipe.guzman-bbva.com/" TargetMode="External"/><Relationship Id="rId212" Type="http://schemas.openxmlformats.org/officeDocument/2006/relationships/hyperlink" Target="http://juliocesar.estupinan-bbva.com/" TargetMode="External"/><Relationship Id="rId657" Type="http://schemas.openxmlformats.org/officeDocument/2006/relationships/hyperlink" Target="http://nelson.ramirez-bbva.com/" TargetMode="External"/><Relationship Id="rId864" Type="http://schemas.openxmlformats.org/officeDocument/2006/relationships/hyperlink" Target="http://ivan_dario.ariza-bbva.com/" TargetMode="External"/><Relationship Id="rId1494" Type="http://schemas.openxmlformats.org/officeDocument/2006/relationships/hyperlink" Target="http://rociomarcela.lopez-bbva.com/" TargetMode="External"/><Relationship Id="rId1799" Type="http://schemas.openxmlformats.org/officeDocument/2006/relationships/hyperlink" Target="http://ivan_dario.ariza-bbva.com/" TargetMode="External"/><Relationship Id="rId2100" Type="http://schemas.openxmlformats.org/officeDocument/2006/relationships/hyperlink" Target="http://alirio.bermudez-bbva.com/" TargetMode="External"/><Relationship Id="rId2338" Type="http://schemas.openxmlformats.org/officeDocument/2006/relationships/hyperlink" Target="http://paulocesar.sastoque-bbva.com/" TargetMode="External"/><Relationship Id="rId2545" Type="http://schemas.openxmlformats.org/officeDocument/2006/relationships/hyperlink" Target="http://nathaliamaria.torres-bbva.com/" TargetMode="External"/><Relationship Id="rId517" Type="http://schemas.openxmlformats.org/officeDocument/2006/relationships/hyperlink" Target="http://oscar.bejarano-bbva.com/" TargetMode="External"/><Relationship Id="rId724" Type="http://schemas.openxmlformats.org/officeDocument/2006/relationships/hyperlink" Target="http://elizabeth.diaz-bbva.com/" TargetMode="External"/><Relationship Id="rId931" Type="http://schemas.openxmlformats.org/officeDocument/2006/relationships/hyperlink" Target="https://globaldevtools.bbva.com/jira/browse/COLWSCONTA-640" TargetMode="External"/><Relationship Id="rId1147" Type="http://schemas.openxmlformats.org/officeDocument/2006/relationships/hyperlink" Target="http://angie.castaneda-bbva.com/" TargetMode="External"/><Relationship Id="rId1354" Type="http://schemas.openxmlformats.org/officeDocument/2006/relationships/hyperlink" Target="http://judy.prieto-bbva.com/" TargetMode="External"/><Relationship Id="rId1561" Type="http://schemas.openxmlformats.org/officeDocument/2006/relationships/hyperlink" Target="http://vivianamarcela.rueda-bbva.com/" TargetMode="External"/><Relationship Id="rId2405" Type="http://schemas.openxmlformats.org/officeDocument/2006/relationships/hyperlink" Target="http://julioenrique.ramos-bbva.com/" TargetMode="External"/><Relationship Id="rId60" Type="http://schemas.openxmlformats.org/officeDocument/2006/relationships/hyperlink" Target="https://globaldevtools.bbva.com/jira/browse/COLWSCRM-2304" TargetMode="External"/><Relationship Id="rId1007" Type="http://schemas.openxmlformats.org/officeDocument/2006/relationships/hyperlink" Target="http://elizabeth.diaz-bbva.com/" TargetMode="External"/><Relationship Id="rId1214" Type="http://schemas.openxmlformats.org/officeDocument/2006/relationships/hyperlink" Target="http://diegoandres.rodriguez-bbva.com/" TargetMode="External"/><Relationship Id="rId1421" Type="http://schemas.openxmlformats.org/officeDocument/2006/relationships/hyperlink" Target="http://geovany.ramirez-bbva.com/" TargetMode="External"/><Relationship Id="rId1659" Type="http://schemas.openxmlformats.org/officeDocument/2006/relationships/hyperlink" Target="http://alirio.bermudez-bbva.com/" TargetMode="External"/><Relationship Id="rId1866" Type="http://schemas.openxmlformats.org/officeDocument/2006/relationships/hyperlink" Target="http://alirio.bermudez-bbva.com/" TargetMode="External"/><Relationship Id="rId1519" Type="http://schemas.openxmlformats.org/officeDocument/2006/relationships/hyperlink" Target="http://david.juvinao-bbva.com/" TargetMode="External"/><Relationship Id="rId1726" Type="http://schemas.openxmlformats.org/officeDocument/2006/relationships/hyperlink" Target="http://alirio.bermudez-bbva.com/" TargetMode="External"/><Relationship Id="rId1933" Type="http://schemas.openxmlformats.org/officeDocument/2006/relationships/hyperlink" Target="http://marthapatric.cruz-bbva.com/" TargetMode="External"/><Relationship Id="rId18" Type="http://schemas.openxmlformats.org/officeDocument/2006/relationships/hyperlink" Target="http://brigitteandrea.rincon-bbva.com/" TargetMode="External"/><Relationship Id="rId2195" Type="http://schemas.openxmlformats.org/officeDocument/2006/relationships/hyperlink" Target="http://mariajuliana.rodriguez-bbva.com/" TargetMode="External"/><Relationship Id="rId167" Type="http://schemas.openxmlformats.org/officeDocument/2006/relationships/hyperlink" Target="https://globaldevtools.bbva.com/jira/browse/COLWSCANAL-10228" TargetMode="External"/><Relationship Id="rId374" Type="http://schemas.openxmlformats.org/officeDocument/2006/relationships/hyperlink" Target="http://erikajulieth.ruiz-bbva.com/" TargetMode="External"/><Relationship Id="rId581" Type="http://schemas.openxmlformats.org/officeDocument/2006/relationships/hyperlink" Target="http://freddyorlando.guzman-bbva.com/" TargetMode="External"/><Relationship Id="rId2055" Type="http://schemas.openxmlformats.org/officeDocument/2006/relationships/hyperlink" Target="http://alirio.bermudez-bbva.com/" TargetMode="External"/><Relationship Id="rId2262" Type="http://schemas.openxmlformats.org/officeDocument/2006/relationships/hyperlink" Target="http://paola.trivino-bbva.com/" TargetMode="External"/><Relationship Id="rId234" Type="http://schemas.openxmlformats.org/officeDocument/2006/relationships/hyperlink" Target="https://globaldevtools.bbva.com/jira/browse/COLWSCANAL-13541" TargetMode="External"/><Relationship Id="rId679" Type="http://schemas.openxmlformats.org/officeDocument/2006/relationships/hyperlink" Target="http://nathiahayosara.amado-bbva.com/" TargetMode="External"/><Relationship Id="rId886" Type="http://schemas.openxmlformats.org/officeDocument/2006/relationships/hyperlink" Target="http://karenalexandra.martinez-bbva.com/" TargetMode="External"/><Relationship Id="rId2567" Type="http://schemas.openxmlformats.org/officeDocument/2006/relationships/hyperlink" Target="http://yurimilena.moreno-bbva.com/" TargetMode="External"/><Relationship Id="rId2" Type="http://schemas.openxmlformats.org/officeDocument/2006/relationships/hyperlink" Target="http://brigitteandrea.rincon-bbva.com/" TargetMode="External"/><Relationship Id="rId441" Type="http://schemas.openxmlformats.org/officeDocument/2006/relationships/hyperlink" Target="http://jimy.catolico-bbva.com/" TargetMode="External"/><Relationship Id="rId539" Type="http://schemas.openxmlformats.org/officeDocument/2006/relationships/hyperlink" Target="http://jhon.molina-bbva.com/" TargetMode="External"/><Relationship Id="rId746" Type="http://schemas.openxmlformats.org/officeDocument/2006/relationships/hyperlink" Target="http://leidyjohanna.zambrano-bbva.com/" TargetMode="External"/><Relationship Id="rId1071" Type="http://schemas.openxmlformats.org/officeDocument/2006/relationships/hyperlink" Target="https://globaldevtools.bbva.com/jira/browse/COLWSCONTA-1690" TargetMode="External"/><Relationship Id="rId1169" Type="http://schemas.openxmlformats.org/officeDocument/2006/relationships/hyperlink" Target="http://angie.castaneda-bbva.com/" TargetMode="External"/><Relationship Id="rId1376" Type="http://schemas.openxmlformats.org/officeDocument/2006/relationships/hyperlink" Target="http://hugofernando.parra-bbva.com/" TargetMode="External"/><Relationship Id="rId1583" Type="http://schemas.openxmlformats.org/officeDocument/2006/relationships/hyperlink" Target="http://vivianamarcela.rueda-bbva.com/" TargetMode="External"/><Relationship Id="rId2122" Type="http://schemas.openxmlformats.org/officeDocument/2006/relationships/hyperlink" Target="http://david.juvinao-bbva.com/" TargetMode="External"/><Relationship Id="rId2427" Type="http://schemas.openxmlformats.org/officeDocument/2006/relationships/hyperlink" Target="http://juan.orozco-bbva.com/" TargetMode="External"/><Relationship Id="rId301" Type="http://schemas.openxmlformats.org/officeDocument/2006/relationships/hyperlink" Target="http://daniela.cifuentes.ariza-bbva.com/" TargetMode="External"/><Relationship Id="rId953" Type="http://schemas.openxmlformats.org/officeDocument/2006/relationships/hyperlink" Target="http://jeissonandres.diaz.rodriguez-bbva.com/" TargetMode="External"/><Relationship Id="rId1029" Type="http://schemas.openxmlformats.org/officeDocument/2006/relationships/hyperlink" Target="http://nathiahayosara.amado-bbva.com/" TargetMode="External"/><Relationship Id="rId1236" Type="http://schemas.openxmlformats.org/officeDocument/2006/relationships/hyperlink" Target="http://angie.castaneda-bbva.com/" TargetMode="External"/><Relationship Id="rId1790" Type="http://schemas.openxmlformats.org/officeDocument/2006/relationships/hyperlink" Target="http://monicaandrea.abogado-bbva.com/" TargetMode="External"/><Relationship Id="rId1888" Type="http://schemas.openxmlformats.org/officeDocument/2006/relationships/hyperlink" Target="http://marthapatric.cruz-bbva.com/" TargetMode="External"/><Relationship Id="rId82" Type="http://schemas.openxmlformats.org/officeDocument/2006/relationships/hyperlink" Target="http://davidesteban.fajardo-bbva.com/" TargetMode="External"/><Relationship Id="rId606" Type="http://schemas.openxmlformats.org/officeDocument/2006/relationships/hyperlink" Target="http://ivan_dario.ariza-bbva.com/" TargetMode="External"/><Relationship Id="rId813" Type="http://schemas.openxmlformats.org/officeDocument/2006/relationships/hyperlink" Target="http://ivan_dario.ariza-bbva.com/" TargetMode="External"/><Relationship Id="rId1443" Type="http://schemas.openxmlformats.org/officeDocument/2006/relationships/hyperlink" Target="https://globaldevtools.bbva.com/jira/browse/COLWSPREST-7861" TargetMode="External"/><Relationship Id="rId1650" Type="http://schemas.openxmlformats.org/officeDocument/2006/relationships/hyperlink" Target="http://alirio.bermudez-bbva.com/" TargetMode="External"/><Relationship Id="rId1748" Type="http://schemas.openxmlformats.org/officeDocument/2006/relationships/hyperlink" Target="http://elizabeth.diaz-bbva.com/" TargetMode="External"/><Relationship Id="rId1303" Type="http://schemas.openxmlformats.org/officeDocument/2006/relationships/hyperlink" Target="http://angie.castaneda-bbva.com/" TargetMode="External"/><Relationship Id="rId1510" Type="http://schemas.openxmlformats.org/officeDocument/2006/relationships/hyperlink" Target="http://hugofernando.parra-bbva.com/" TargetMode="External"/><Relationship Id="rId1955" Type="http://schemas.openxmlformats.org/officeDocument/2006/relationships/hyperlink" Target="http://alirio.bermudez-bbva.com/" TargetMode="External"/><Relationship Id="rId1608" Type="http://schemas.openxmlformats.org/officeDocument/2006/relationships/hyperlink" Target="http://andrea.orrego-bbva.com/" TargetMode="External"/><Relationship Id="rId1815" Type="http://schemas.openxmlformats.org/officeDocument/2006/relationships/hyperlink" Target="http://alirio.bermudez-bbva.com/" TargetMode="External"/><Relationship Id="rId189" Type="http://schemas.openxmlformats.org/officeDocument/2006/relationships/hyperlink" Target="http://monica.zamudio-bbva.com/" TargetMode="External"/><Relationship Id="rId396" Type="http://schemas.openxmlformats.org/officeDocument/2006/relationships/hyperlink" Target="https://globaldevtools.bbva.com/jira/browse/COLWSCANAL-1051" TargetMode="External"/><Relationship Id="rId2077" Type="http://schemas.openxmlformats.org/officeDocument/2006/relationships/hyperlink" Target="http://alirio.bermudez-bbva.com/" TargetMode="External"/><Relationship Id="rId2284" Type="http://schemas.openxmlformats.org/officeDocument/2006/relationships/hyperlink" Target="https://globaldevtools.bbva.com/jira/browse/COLWSSEGUR-196" TargetMode="External"/><Relationship Id="rId2491" Type="http://schemas.openxmlformats.org/officeDocument/2006/relationships/hyperlink" Target="http://alirio.bermudez-bbva.com/" TargetMode="External"/><Relationship Id="rId256" Type="http://schemas.openxmlformats.org/officeDocument/2006/relationships/hyperlink" Target="http://cindytatiana.perilla-bbva.com/" TargetMode="External"/><Relationship Id="rId463" Type="http://schemas.openxmlformats.org/officeDocument/2006/relationships/hyperlink" Target="http://juhan.lozano-bbva.com/" TargetMode="External"/><Relationship Id="rId670" Type="http://schemas.openxmlformats.org/officeDocument/2006/relationships/hyperlink" Target="http://elizabeth.diaz-bbva.com/" TargetMode="External"/><Relationship Id="rId1093" Type="http://schemas.openxmlformats.org/officeDocument/2006/relationships/hyperlink" Target="http://brigitteyesenia.beltran-bbva.com/" TargetMode="External"/><Relationship Id="rId2144" Type="http://schemas.openxmlformats.org/officeDocument/2006/relationships/hyperlink" Target="http://hugo.mongua-bbva.com/" TargetMode="External"/><Relationship Id="rId2351" Type="http://schemas.openxmlformats.org/officeDocument/2006/relationships/hyperlink" Target="http://katherine.michaels-bbva.com/" TargetMode="External"/><Relationship Id="rId2589" Type="http://schemas.openxmlformats.org/officeDocument/2006/relationships/hyperlink" Target="https://globaldevtools.bbva.com/jira/browse/CCSS-20563" TargetMode="External"/><Relationship Id="rId116" Type="http://schemas.openxmlformats.org/officeDocument/2006/relationships/hyperlink" Target="http://brenda.monsalve-bbva.com/" TargetMode="External"/><Relationship Id="rId323" Type="http://schemas.openxmlformats.org/officeDocument/2006/relationships/hyperlink" Target="https://globaldevtools.bbva.com/jira/browse/COLWSCANAL-13513" TargetMode="External"/><Relationship Id="rId530" Type="http://schemas.openxmlformats.org/officeDocument/2006/relationships/hyperlink" Target="https://globaldevtools.bbva.com/jira/browse/COLWSCUENT-2220" TargetMode="External"/><Relationship Id="rId768" Type="http://schemas.openxmlformats.org/officeDocument/2006/relationships/hyperlink" Target="http://nathiahayosara.amado-bbva.com/" TargetMode="External"/><Relationship Id="rId975" Type="http://schemas.openxmlformats.org/officeDocument/2006/relationships/hyperlink" Target="https://globaldevtools.bbva.com/jira/browse/COLWSCONTA-237" TargetMode="External"/><Relationship Id="rId1160" Type="http://schemas.openxmlformats.org/officeDocument/2006/relationships/hyperlink" Target="http://paolaandrea.hermosa-bbva.com/" TargetMode="External"/><Relationship Id="rId1398" Type="http://schemas.openxmlformats.org/officeDocument/2006/relationships/hyperlink" Target="http://geovany.ramirez-bbva.com/" TargetMode="External"/><Relationship Id="rId2004" Type="http://schemas.openxmlformats.org/officeDocument/2006/relationships/hyperlink" Target="https://globaldevtools.bbva.com/jira/browse/COLWSPREST-11498" TargetMode="External"/><Relationship Id="rId2211" Type="http://schemas.openxmlformats.org/officeDocument/2006/relationships/hyperlink" Target="http://mariajuliana.rodriguez-bbva.com/" TargetMode="External"/><Relationship Id="rId2449" Type="http://schemas.openxmlformats.org/officeDocument/2006/relationships/hyperlink" Target="http://juan.orozco-bbva.com/" TargetMode="External"/><Relationship Id="rId628" Type="http://schemas.openxmlformats.org/officeDocument/2006/relationships/hyperlink" Target="http://catalina.villamil-bbva.com/" TargetMode="External"/><Relationship Id="rId835" Type="http://schemas.openxmlformats.org/officeDocument/2006/relationships/hyperlink" Target="http://karenalexandra.martinez-bbva.com/" TargetMode="External"/><Relationship Id="rId1258" Type="http://schemas.openxmlformats.org/officeDocument/2006/relationships/hyperlink" Target="http://angie.castaneda-bbva.com/" TargetMode="External"/><Relationship Id="rId1465" Type="http://schemas.openxmlformats.org/officeDocument/2006/relationships/hyperlink" Target="http://geovany.ramirez-bbva.com/" TargetMode="External"/><Relationship Id="rId1672" Type="http://schemas.openxmlformats.org/officeDocument/2006/relationships/hyperlink" Target="http://nelson.ruiz-bbva.com/" TargetMode="External"/><Relationship Id="rId2309" Type="http://schemas.openxmlformats.org/officeDocument/2006/relationships/hyperlink" Target="http://katherine.michaels-bbva.com/" TargetMode="External"/><Relationship Id="rId2516" Type="http://schemas.openxmlformats.org/officeDocument/2006/relationships/hyperlink" Target="http://andresfelipe.lopez.sandoval-bbva.com/" TargetMode="External"/><Relationship Id="rId1020" Type="http://schemas.openxmlformats.org/officeDocument/2006/relationships/hyperlink" Target="https://globaldevtools.bbva.com/jira/browse/COLWSCONTA-1448" TargetMode="External"/><Relationship Id="rId1118" Type="http://schemas.openxmlformats.org/officeDocument/2006/relationships/hyperlink" Target="http://rociomarcela.lopez-bbva.com/" TargetMode="External"/><Relationship Id="rId1325" Type="http://schemas.openxmlformats.org/officeDocument/2006/relationships/hyperlink" Target="https://globaldevtools.bbva.com/jira/browse/COLWSMEDIO-4859" TargetMode="External"/><Relationship Id="rId1532" Type="http://schemas.openxmlformats.org/officeDocument/2006/relationships/hyperlink" Target="http://hugofernando.parra-bbva.com/" TargetMode="External"/><Relationship Id="rId1977" Type="http://schemas.openxmlformats.org/officeDocument/2006/relationships/hyperlink" Target="http://ivan_dario.ariza-bbva.com/" TargetMode="External"/><Relationship Id="rId902" Type="http://schemas.openxmlformats.org/officeDocument/2006/relationships/hyperlink" Target="http://elizabeth.diaz-bbva.com/" TargetMode="External"/><Relationship Id="rId1837" Type="http://schemas.openxmlformats.org/officeDocument/2006/relationships/hyperlink" Target="https://globaldevtools.bbva.com/jira/browse/COLWSNORMA-678" TargetMode="External"/><Relationship Id="rId31" Type="http://schemas.openxmlformats.org/officeDocument/2006/relationships/hyperlink" Target="http://jessicalorena.moncaleano-bbva.com/" TargetMode="External"/><Relationship Id="rId2099" Type="http://schemas.openxmlformats.org/officeDocument/2006/relationships/hyperlink" Target="https://globaldevtools.bbva.com/jira/browse/COLWSCUENT-1824" TargetMode="External"/><Relationship Id="rId180" Type="http://schemas.openxmlformats.org/officeDocument/2006/relationships/hyperlink" Target="http://jimy.catolico-bbva.com/" TargetMode="External"/><Relationship Id="rId278" Type="http://schemas.openxmlformats.org/officeDocument/2006/relationships/hyperlink" Target="http://erikajulieth.ruiz-bbva.com/" TargetMode="External"/><Relationship Id="rId1904" Type="http://schemas.openxmlformats.org/officeDocument/2006/relationships/hyperlink" Target="http://andresfelipe.granados-bbva.com/" TargetMode="External"/><Relationship Id="rId485" Type="http://schemas.openxmlformats.org/officeDocument/2006/relationships/hyperlink" Target="http://giulianaandrea.guarin-bbva.com/" TargetMode="External"/><Relationship Id="rId692" Type="http://schemas.openxmlformats.org/officeDocument/2006/relationships/hyperlink" Target="http://leidyjohanna.zambrano-bbva.com/" TargetMode="External"/><Relationship Id="rId2166" Type="http://schemas.openxmlformats.org/officeDocument/2006/relationships/hyperlink" Target="https://globaldevtools.bbva.com/jira/browse/CIS-328" TargetMode="External"/><Relationship Id="rId2373" Type="http://schemas.openxmlformats.org/officeDocument/2006/relationships/hyperlink" Target="http://felipe.guzman-bbva.com/" TargetMode="External"/><Relationship Id="rId2580" Type="http://schemas.openxmlformats.org/officeDocument/2006/relationships/hyperlink" Target="http://carlosdavid.pacheco-bbva.com/" TargetMode="External"/><Relationship Id="rId138" Type="http://schemas.openxmlformats.org/officeDocument/2006/relationships/hyperlink" Target="https://globaldevtools.bbva.com/jira/browse/COLWSDATIO-2921" TargetMode="External"/><Relationship Id="rId345" Type="http://schemas.openxmlformats.org/officeDocument/2006/relationships/hyperlink" Target="http://jimy.catolico-bbva.com/" TargetMode="External"/><Relationship Id="rId552" Type="http://schemas.openxmlformats.org/officeDocument/2006/relationships/hyperlink" Target="https://globaldevtools.bbva.com/jira/browse/COLWSPREST-10567" TargetMode="External"/><Relationship Id="rId997" Type="http://schemas.openxmlformats.org/officeDocument/2006/relationships/hyperlink" Target="http://nathiahayosara.amado-bbva.com/" TargetMode="External"/><Relationship Id="rId1182" Type="http://schemas.openxmlformats.org/officeDocument/2006/relationships/hyperlink" Target="https://globaldevtools.bbva.com/jira/browse/COLWSCUENT-2484" TargetMode="External"/><Relationship Id="rId2026" Type="http://schemas.openxmlformats.org/officeDocument/2006/relationships/hyperlink" Target="https://globaldevtools.bbva.com/jira/browse/COLWSPREST-11486" TargetMode="External"/><Relationship Id="rId2233" Type="http://schemas.openxmlformats.org/officeDocument/2006/relationships/hyperlink" Target="http://felipe.guzman-bbva.com/" TargetMode="External"/><Relationship Id="rId2440" Type="http://schemas.openxmlformats.org/officeDocument/2006/relationships/hyperlink" Target="http://jorge.blanco-bbva.com/" TargetMode="External"/><Relationship Id="rId205" Type="http://schemas.openxmlformats.org/officeDocument/2006/relationships/hyperlink" Target="http://monica.zamudio-bbva.com/" TargetMode="External"/><Relationship Id="rId412" Type="http://schemas.openxmlformats.org/officeDocument/2006/relationships/hyperlink" Target="https://globaldevtools.bbva.com/jira/browse/CCSS-8851" TargetMode="External"/><Relationship Id="rId857" Type="http://schemas.openxmlformats.org/officeDocument/2006/relationships/hyperlink" Target="https://globaldevtools.bbva.com/jira/browse/COLWSPREST-347" TargetMode="External"/><Relationship Id="rId1042" Type="http://schemas.openxmlformats.org/officeDocument/2006/relationships/hyperlink" Target="http://jeissonandres.diaz.rodriguez-bbva.com/" TargetMode="External"/><Relationship Id="rId1487" Type="http://schemas.openxmlformats.org/officeDocument/2006/relationships/hyperlink" Target="http://fredy.pineda-bbva.com/" TargetMode="External"/><Relationship Id="rId1694" Type="http://schemas.openxmlformats.org/officeDocument/2006/relationships/hyperlink" Target="https://globaldevtools.bbva.com/jira/browse/CCSS-209" TargetMode="External"/><Relationship Id="rId2300" Type="http://schemas.openxmlformats.org/officeDocument/2006/relationships/hyperlink" Target="https://globaldevtools.bbva.com/jira/browse/COLWSSEGUR-37" TargetMode="External"/><Relationship Id="rId2538" Type="http://schemas.openxmlformats.org/officeDocument/2006/relationships/hyperlink" Target="http://leidyviviana.patino-bbva.com/" TargetMode="External"/><Relationship Id="rId717" Type="http://schemas.openxmlformats.org/officeDocument/2006/relationships/hyperlink" Target="https://globaldevtools.bbva.com/jira/browse/COLWSCANAL-11453" TargetMode="External"/><Relationship Id="rId924" Type="http://schemas.openxmlformats.org/officeDocument/2006/relationships/hyperlink" Target="http://nathiahayosara.amado-bbva.com/" TargetMode="External"/><Relationship Id="rId1347" Type="http://schemas.openxmlformats.org/officeDocument/2006/relationships/hyperlink" Target="http://paolaandrea.guzman-bbva.com/" TargetMode="External"/><Relationship Id="rId1554" Type="http://schemas.openxmlformats.org/officeDocument/2006/relationships/hyperlink" Target="http://paulocesar.sastoque-bbva.com/" TargetMode="External"/><Relationship Id="rId1761" Type="http://schemas.openxmlformats.org/officeDocument/2006/relationships/hyperlink" Target="https://globaldevtools.bbva.com/jira/browse/COLWSCUENT-1970" TargetMode="External"/><Relationship Id="rId1999" Type="http://schemas.openxmlformats.org/officeDocument/2006/relationships/hyperlink" Target="http://monica.zamudio-bbva.com/" TargetMode="External"/><Relationship Id="rId53" Type="http://schemas.openxmlformats.org/officeDocument/2006/relationships/hyperlink" Target="http://ana.santamaria-bbva.com/" TargetMode="External"/><Relationship Id="rId1207" Type="http://schemas.openxmlformats.org/officeDocument/2006/relationships/hyperlink" Target="http://rociomarcela.lopez-bbva.com/" TargetMode="External"/><Relationship Id="rId1414" Type="http://schemas.openxmlformats.org/officeDocument/2006/relationships/hyperlink" Target="http://geovany.ramirez-bbva.com/" TargetMode="External"/><Relationship Id="rId1621" Type="http://schemas.openxmlformats.org/officeDocument/2006/relationships/hyperlink" Target="http://vickyalexandra.mora-bbva.com/" TargetMode="External"/><Relationship Id="rId1859" Type="http://schemas.openxmlformats.org/officeDocument/2006/relationships/hyperlink" Target="http://marthapatric.cruz-bbva.com/" TargetMode="External"/><Relationship Id="rId1719" Type="http://schemas.openxmlformats.org/officeDocument/2006/relationships/hyperlink" Target="http://nelson.ruiz-bbva.com/" TargetMode="External"/><Relationship Id="rId1926" Type="http://schemas.openxmlformats.org/officeDocument/2006/relationships/hyperlink" Target="http://andresfelipe.granados-bbva.com/" TargetMode="External"/><Relationship Id="rId2090" Type="http://schemas.openxmlformats.org/officeDocument/2006/relationships/hyperlink" Target="http://david.juvinao-bbva.com/" TargetMode="External"/><Relationship Id="rId2188" Type="http://schemas.openxmlformats.org/officeDocument/2006/relationships/hyperlink" Target="http://mariajuliana.rodriguez-bbva.com/" TargetMode="External"/><Relationship Id="rId2395" Type="http://schemas.openxmlformats.org/officeDocument/2006/relationships/hyperlink" Target="http://juan.orozco-bbva.com/" TargetMode="External"/><Relationship Id="rId367" Type="http://schemas.openxmlformats.org/officeDocument/2006/relationships/hyperlink" Target="http://luz.rodriguez-bbva.com/" TargetMode="External"/><Relationship Id="rId574" Type="http://schemas.openxmlformats.org/officeDocument/2006/relationships/hyperlink" Target="http://nathaliamaria.torres-bbva.com/" TargetMode="External"/><Relationship Id="rId2048" Type="http://schemas.openxmlformats.org/officeDocument/2006/relationships/hyperlink" Target="http://monica.zamudio-bbva.com/" TargetMode="External"/><Relationship Id="rId2255" Type="http://schemas.openxmlformats.org/officeDocument/2006/relationships/hyperlink" Target="http://felipe.guzman-bbva.com/" TargetMode="External"/><Relationship Id="rId227" Type="http://schemas.openxmlformats.org/officeDocument/2006/relationships/hyperlink" Target="http://jimy.catolico-bbva.com/" TargetMode="External"/><Relationship Id="rId781" Type="http://schemas.openxmlformats.org/officeDocument/2006/relationships/hyperlink" Target="http://leidyjohanna.zambrano-bbva.com/" TargetMode="External"/><Relationship Id="rId879" Type="http://schemas.openxmlformats.org/officeDocument/2006/relationships/hyperlink" Target="http://karenalexandra.martinez-bbva.com/" TargetMode="External"/><Relationship Id="rId2462" Type="http://schemas.openxmlformats.org/officeDocument/2006/relationships/hyperlink" Target="https://globaldevtools.bbva.com/jira/browse/CFS1-170" TargetMode="External"/><Relationship Id="rId434" Type="http://schemas.openxmlformats.org/officeDocument/2006/relationships/hyperlink" Target="http://giulianaandrea.guarin-bbva.com/" TargetMode="External"/><Relationship Id="rId641" Type="http://schemas.openxmlformats.org/officeDocument/2006/relationships/hyperlink" Target="http://nelson.ramirez-bbva.com/" TargetMode="External"/><Relationship Id="rId739" Type="http://schemas.openxmlformats.org/officeDocument/2006/relationships/hyperlink" Target="http://elizabeth.diaz-bbva.com/" TargetMode="External"/><Relationship Id="rId1064" Type="http://schemas.openxmlformats.org/officeDocument/2006/relationships/hyperlink" Target="http://nathiahayosara.amado-bbva.com/" TargetMode="External"/><Relationship Id="rId1271" Type="http://schemas.openxmlformats.org/officeDocument/2006/relationships/hyperlink" Target="http://angie.castaneda-bbva.com/" TargetMode="External"/><Relationship Id="rId1369" Type="http://schemas.openxmlformats.org/officeDocument/2006/relationships/hyperlink" Target="http://judy.prieto-bbva.com/" TargetMode="External"/><Relationship Id="rId1576" Type="http://schemas.openxmlformats.org/officeDocument/2006/relationships/hyperlink" Target="http://vivianamarcela.rueda-bbva.com/" TargetMode="External"/><Relationship Id="rId2115" Type="http://schemas.openxmlformats.org/officeDocument/2006/relationships/hyperlink" Target="https://globaldevtools.bbva.com/jira/browse/COLWSCUENT-1828" TargetMode="External"/><Relationship Id="rId2322" Type="http://schemas.openxmlformats.org/officeDocument/2006/relationships/hyperlink" Target="http://felipe.guzman-bbva.com/" TargetMode="External"/><Relationship Id="rId501" Type="http://schemas.openxmlformats.org/officeDocument/2006/relationships/hyperlink" Target="http://monica.zamudio-bbva.com/" TargetMode="External"/><Relationship Id="rId946" Type="http://schemas.openxmlformats.org/officeDocument/2006/relationships/hyperlink" Target="http://elizabeth.diaz-bbva.com/" TargetMode="External"/><Relationship Id="rId1131" Type="http://schemas.openxmlformats.org/officeDocument/2006/relationships/hyperlink" Target="http://andresfelipe.granados-bbva.com/" TargetMode="External"/><Relationship Id="rId1229" Type="http://schemas.openxmlformats.org/officeDocument/2006/relationships/hyperlink" Target="http://angie.castaneda-bbva.com/" TargetMode="External"/><Relationship Id="rId1783" Type="http://schemas.openxmlformats.org/officeDocument/2006/relationships/hyperlink" Target="http://ivan_dario.ariza-bbva.com/" TargetMode="External"/><Relationship Id="rId1990" Type="http://schemas.openxmlformats.org/officeDocument/2006/relationships/hyperlink" Target="http://olga.lara-bbva.com/" TargetMode="External"/><Relationship Id="rId75" Type="http://schemas.openxmlformats.org/officeDocument/2006/relationships/hyperlink" Target="http://jorgeenrique.vivas-bbva.com/" TargetMode="External"/><Relationship Id="rId806" Type="http://schemas.openxmlformats.org/officeDocument/2006/relationships/hyperlink" Target="http://elizabeth.diaz-bbva.com/" TargetMode="External"/><Relationship Id="rId1436" Type="http://schemas.openxmlformats.org/officeDocument/2006/relationships/hyperlink" Target="http://hugofernando.parra-bbva.com/" TargetMode="External"/><Relationship Id="rId1643" Type="http://schemas.openxmlformats.org/officeDocument/2006/relationships/hyperlink" Target="http://ivethkatherine.malambo-bbva.com/" TargetMode="External"/><Relationship Id="rId1850" Type="http://schemas.openxmlformats.org/officeDocument/2006/relationships/hyperlink" Target="http://alirio.bermudez-bbva.com/" TargetMode="External"/><Relationship Id="rId1503" Type="http://schemas.openxmlformats.org/officeDocument/2006/relationships/hyperlink" Target="http://rociomarcela.lopez-bbva.com/" TargetMode="External"/><Relationship Id="rId1710" Type="http://schemas.openxmlformats.org/officeDocument/2006/relationships/hyperlink" Target="https://globaldevtools.bbva.com/jira/browse/COLWSCANAL-6555" TargetMode="External"/><Relationship Id="rId1948" Type="http://schemas.openxmlformats.org/officeDocument/2006/relationships/hyperlink" Target="http://yeraldineandrea.sierra-bbva.com/" TargetMode="External"/><Relationship Id="rId291" Type="http://schemas.openxmlformats.org/officeDocument/2006/relationships/hyperlink" Target="https://globaldevtools.bbva.com/jira/browse/COLWSMEDIO-306" TargetMode="External"/><Relationship Id="rId1808" Type="http://schemas.openxmlformats.org/officeDocument/2006/relationships/hyperlink" Target="https://globaldevtools.bbva.com/jira/browse/COLWSPREST-11894" TargetMode="External"/><Relationship Id="rId151" Type="http://schemas.openxmlformats.org/officeDocument/2006/relationships/hyperlink" Target="http://rodrigo.ardila-bbva.com/" TargetMode="External"/><Relationship Id="rId389" Type="http://schemas.openxmlformats.org/officeDocument/2006/relationships/hyperlink" Target="http://jimy.catolico-bbva.com/" TargetMode="External"/><Relationship Id="rId596" Type="http://schemas.openxmlformats.org/officeDocument/2006/relationships/hyperlink" Target="http://elizabeth.diaz-bbva.com/" TargetMode="External"/><Relationship Id="rId2277" Type="http://schemas.openxmlformats.org/officeDocument/2006/relationships/hyperlink" Target="http://katherine.michaels-bbva.com/" TargetMode="External"/><Relationship Id="rId2484" Type="http://schemas.openxmlformats.org/officeDocument/2006/relationships/hyperlink" Target="http://hugofernando.parra-bbva.com/" TargetMode="External"/><Relationship Id="rId249" Type="http://schemas.openxmlformats.org/officeDocument/2006/relationships/hyperlink" Target="http://yurimilena.moreno-bbva.com/" TargetMode="External"/><Relationship Id="rId456" Type="http://schemas.openxmlformats.org/officeDocument/2006/relationships/hyperlink" Target="https://globaldevtools.bbva.com/jira/browse/COLWSCANAL-13468" TargetMode="External"/><Relationship Id="rId663" Type="http://schemas.openxmlformats.org/officeDocument/2006/relationships/hyperlink" Target="https://globaldevtools.bbva.com/jira/browse/COLWSCANAL-5806" TargetMode="External"/><Relationship Id="rId870" Type="http://schemas.openxmlformats.org/officeDocument/2006/relationships/hyperlink" Target="http://nathiahayosara.amado-bbva.com/" TargetMode="External"/><Relationship Id="rId1086" Type="http://schemas.openxmlformats.org/officeDocument/2006/relationships/hyperlink" Target="http://rociomarcela.lopez-bbva.com/" TargetMode="External"/><Relationship Id="rId1293" Type="http://schemas.openxmlformats.org/officeDocument/2006/relationships/hyperlink" Target="http://angie.castaneda-bbva.com/" TargetMode="External"/><Relationship Id="rId2137" Type="http://schemas.openxmlformats.org/officeDocument/2006/relationships/hyperlink" Target="http://camilo.gutierrez-bbva.com/" TargetMode="External"/><Relationship Id="rId2344" Type="http://schemas.openxmlformats.org/officeDocument/2006/relationships/hyperlink" Target="http://dianacarolina.gonzalez.castri-bbva.com/" TargetMode="External"/><Relationship Id="rId2551" Type="http://schemas.openxmlformats.org/officeDocument/2006/relationships/hyperlink" Target="http://nathiahayosara.amado-bbva.com/" TargetMode="External"/><Relationship Id="rId109" Type="http://schemas.openxmlformats.org/officeDocument/2006/relationships/hyperlink" Target="http://josedanilo.virguez-bbva.com/" TargetMode="External"/><Relationship Id="rId316" Type="http://schemas.openxmlformats.org/officeDocument/2006/relationships/hyperlink" Target="http://jimy.catolico-bbva.com/" TargetMode="External"/><Relationship Id="rId523" Type="http://schemas.openxmlformats.org/officeDocument/2006/relationships/hyperlink" Target="https://globaldevtools.bbva.com/jira/browse/COLWSCANAL-2103" TargetMode="External"/><Relationship Id="rId968" Type="http://schemas.openxmlformats.org/officeDocument/2006/relationships/hyperlink" Target="http://nathiahayosara.amado-bbva.com/" TargetMode="External"/><Relationship Id="rId1153" Type="http://schemas.openxmlformats.org/officeDocument/2006/relationships/hyperlink" Target="https://globaldevtools.bbva.com/jira/browse/COLWSCUENT-895" TargetMode="External"/><Relationship Id="rId1598" Type="http://schemas.openxmlformats.org/officeDocument/2006/relationships/hyperlink" Target="http://yurimilena.moreno-bbva.com/" TargetMode="External"/><Relationship Id="rId2204" Type="http://schemas.openxmlformats.org/officeDocument/2006/relationships/hyperlink" Target="http://sandracarolina.miranda-bbva.com/" TargetMode="External"/><Relationship Id="rId97" Type="http://schemas.openxmlformats.org/officeDocument/2006/relationships/hyperlink" Target="http://ana.santamaria-bbva.com/" TargetMode="External"/><Relationship Id="rId730" Type="http://schemas.openxmlformats.org/officeDocument/2006/relationships/hyperlink" Target="http://leidyjohanna.zambrano-bbva.com/" TargetMode="External"/><Relationship Id="rId828" Type="http://schemas.openxmlformats.org/officeDocument/2006/relationships/hyperlink" Target="http://ivan_dario.ariza-bbva.com/" TargetMode="External"/><Relationship Id="rId1013" Type="http://schemas.openxmlformats.org/officeDocument/2006/relationships/hyperlink" Target="http://nathiahayosara.amado-bbva.com/" TargetMode="External"/><Relationship Id="rId1360" Type="http://schemas.openxmlformats.org/officeDocument/2006/relationships/hyperlink" Target="https://globaldevtools.bbva.com/jira/browse/COLWSMEDIO-4606" TargetMode="External"/><Relationship Id="rId1458" Type="http://schemas.openxmlformats.org/officeDocument/2006/relationships/hyperlink" Target="http://santiago.campuzano-bbva.com/" TargetMode="External"/><Relationship Id="rId1665" Type="http://schemas.openxmlformats.org/officeDocument/2006/relationships/hyperlink" Target="http://elizabeth.diaz-bbva.com/" TargetMode="External"/><Relationship Id="rId1872" Type="http://schemas.openxmlformats.org/officeDocument/2006/relationships/hyperlink" Target="https://globaldevtools.bbva.com/jira/browse/COLWSMEDIO-596" TargetMode="External"/><Relationship Id="rId2411" Type="http://schemas.openxmlformats.org/officeDocument/2006/relationships/hyperlink" Target="http://juan.orozco-bbva.com/" TargetMode="External"/><Relationship Id="rId2509" Type="http://schemas.openxmlformats.org/officeDocument/2006/relationships/hyperlink" Target="http://andresfelipe.granados-bbva.com/" TargetMode="External"/><Relationship Id="rId1220" Type="http://schemas.openxmlformats.org/officeDocument/2006/relationships/hyperlink" Target="https://globaldevtools.bbva.com/jira/browse/COLWSPREST-11645" TargetMode="External"/><Relationship Id="rId1318" Type="http://schemas.openxmlformats.org/officeDocument/2006/relationships/hyperlink" Target="http://angie.castaneda-bbva.com/" TargetMode="External"/><Relationship Id="rId1525" Type="http://schemas.openxmlformats.org/officeDocument/2006/relationships/hyperlink" Target="http://hugofernando.parra-bbva.com/" TargetMode="External"/><Relationship Id="rId1732" Type="http://schemas.openxmlformats.org/officeDocument/2006/relationships/hyperlink" Target="http://elizabeth.diaz-bbva.com/" TargetMode="External"/><Relationship Id="rId24" Type="http://schemas.openxmlformats.org/officeDocument/2006/relationships/hyperlink" Target="http://jessicalorena.moncaleano-bbva.com/" TargetMode="External"/><Relationship Id="rId2299" Type="http://schemas.openxmlformats.org/officeDocument/2006/relationships/hyperlink" Target="http://sandracarolina.miranda-bbva.com/" TargetMode="External"/><Relationship Id="rId173" Type="http://schemas.openxmlformats.org/officeDocument/2006/relationships/hyperlink" Target="http://oscar.bejarano-bbva.com/" TargetMode="External"/><Relationship Id="rId380" Type="http://schemas.openxmlformats.org/officeDocument/2006/relationships/hyperlink" Target="https://globaldevtools.bbva.com/jira/browse/CCSS-7004" TargetMode="External"/><Relationship Id="rId2061" Type="http://schemas.openxmlformats.org/officeDocument/2006/relationships/hyperlink" Target="http://alirio.bermudez-bbva.com/" TargetMode="External"/><Relationship Id="rId240" Type="http://schemas.openxmlformats.org/officeDocument/2006/relationships/hyperlink" Target="http://juliocesar.estupinan-bbva.com/" TargetMode="External"/><Relationship Id="rId478" Type="http://schemas.openxmlformats.org/officeDocument/2006/relationships/hyperlink" Target="http://jimy.catolico-bbva.com/" TargetMode="External"/><Relationship Id="rId685" Type="http://schemas.openxmlformats.org/officeDocument/2006/relationships/hyperlink" Target="https://globaldevtools.bbva.com/jira/browse/COLWSCANAL-3186" TargetMode="External"/><Relationship Id="rId892" Type="http://schemas.openxmlformats.org/officeDocument/2006/relationships/hyperlink" Target="http://nathiahayosara.amado-bbva.com/" TargetMode="External"/><Relationship Id="rId2159" Type="http://schemas.openxmlformats.org/officeDocument/2006/relationships/hyperlink" Target="http://alirio.bermudez-bbva.com/" TargetMode="External"/><Relationship Id="rId2366" Type="http://schemas.openxmlformats.org/officeDocument/2006/relationships/hyperlink" Target="https://globaldevtools.bbva.com/jira/browse/COLWSSEGUR-918" TargetMode="External"/><Relationship Id="rId2573" Type="http://schemas.openxmlformats.org/officeDocument/2006/relationships/hyperlink" Target="http://ivan_dario.ariza-bbva.com/" TargetMode="External"/><Relationship Id="rId100" Type="http://schemas.openxmlformats.org/officeDocument/2006/relationships/hyperlink" Target="http://ana.santamaria-bbva.com/" TargetMode="External"/><Relationship Id="rId338" Type="http://schemas.openxmlformats.org/officeDocument/2006/relationships/hyperlink" Target="https://globaldevtools.bbva.com/jira/browse/COLWSCANAL-2403" TargetMode="External"/><Relationship Id="rId545" Type="http://schemas.openxmlformats.org/officeDocument/2006/relationships/hyperlink" Target="http://catalina.villamil-bbva.com/" TargetMode="External"/><Relationship Id="rId752" Type="http://schemas.openxmlformats.org/officeDocument/2006/relationships/hyperlink" Target="https://globaldevtools.bbva.com/jira/browse/COLWSCANAL-11469" TargetMode="External"/><Relationship Id="rId1175" Type="http://schemas.openxmlformats.org/officeDocument/2006/relationships/hyperlink" Target="http://angie.castaneda-bbva.com/" TargetMode="External"/><Relationship Id="rId1382" Type="http://schemas.openxmlformats.org/officeDocument/2006/relationships/hyperlink" Target="http://juana.vergara-bbva.com/" TargetMode="External"/><Relationship Id="rId2019" Type="http://schemas.openxmlformats.org/officeDocument/2006/relationships/hyperlink" Target="https://globaldevtools.bbva.com/jira/browse/COLWSPREST-9364" TargetMode="External"/><Relationship Id="rId2226" Type="http://schemas.openxmlformats.org/officeDocument/2006/relationships/hyperlink" Target="https://globaldevtools.bbva.com/jira/browse/COLWSSEGUR-57" TargetMode="External"/><Relationship Id="rId2433" Type="http://schemas.openxmlformats.org/officeDocument/2006/relationships/hyperlink" Target="http://mauricio.wandurraga-bbva.com/" TargetMode="External"/><Relationship Id="rId405" Type="http://schemas.openxmlformats.org/officeDocument/2006/relationships/hyperlink" Target="http://jimy.catolico-bbva.com/" TargetMode="External"/><Relationship Id="rId612" Type="http://schemas.openxmlformats.org/officeDocument/2006/relationships/hyperlink" Target="http://catalina.villamil-bbva.com/" TargetMode="External"/><Relationship Id="rId1035" Type="http://schemas.openxmlformats.org/officeDocument/2006/relationships/hyperlink" Target="http://elizabeth.diaz-bbva.com/" TargetMode="External"/><Relationship Id="rId1242" Type="http://schemas.openxmlformats.org/officeDocument/2006/relationships/hyperlink" Target="http://angie.castaneda-bbva.com/" TargetMode="External"/><Relationship Id="rId1687" Type="http://schemas.openxmlformats.org/officeDocument/2006/relationships/hyperlink" Target="http://alirio.bermudez-bbva.com/" TargetMode="External"/><Relationship Id="rId1894" Type="http://schemas.openxmlformats.org/officeDocument/2006/relationships/hyperlink" Target="http://alirio.bermudez-bbva.com/" TargetMode="External"/><Relationship Id="rId2500" Type="http://schemas.openxmlformats.org/officeDocument/2006/relationships/hyperlink" Target="http://hugofernando.parra-bbva.com/" TargetMode="External"/><Relationship Id="rId917" Type="http://schemas.openxmlformats.org/officeDocument/2006/relationships/hyperlink" Target="http://jeissonandres.diaz.rodriguez-bbva.com/" TargetMode="External"/><Relationship Id="rId1102" Type="http://schemas.openxmlformats.org/officeDocument/2006/relationships/hyperlink" Target="http://rociomarcela.lopez-bbva.com/" TargetMode="External"/><Relationship Id="rId1547" Type="http://schemas.openxmlformats.org/officeDocument/2006/relationships/hyperlink" Target="https://globaldevtools.bbva.com/jira/browse/COLWSPREST-10436" TargetMode="External"/><Relationship Id="rId1754" Type="http://schemas.openxmlformats.org/officeDocument/2006/relationships/hyperlink" Target="http://alirio.bermudez-bbva.com/" TargetMode="External"/><Relationship Id="rId1961" Type="http://schemas.openxmlformats.org/officeDocument/2006/relationships/hyperlink" Target="http://ivan_dario.ariza-bbva.com/" TargetMode="External"/><Relationship Id="rId46" Type="http://schemas.openxmlformats.org/officeDocument/2006/relationships/hyperlink" Target="http://jorgeenrique.vivas-bbva.com/" TargetMode="External"/><Relationship Id="rId1407" Type="http://schemas.openxmlformats.org/officeDocument/2006/relationships/hyperlink" Target="http://geovany.ramirez-bbva.com/" TargetMode="External"/><Relationship Id="rId1614" Type="http://schemas.openxmlformats.org/officeDocument/2006/relationships/hyperlink" Target="http://paolaandrea.hermosa-bbva.com/" TargetMode="External"/><Relationship Id="rId1821" Type="http://schemas.openxmlformats.org/officeDocument/2006/relationships/hyperlink" Target="https://globaldevtools.bbva.com/jira/browse/COLWSPREST-1941" TargetMode="External"/><Relationship Id="rId195" Type="http://schemas.openxmlformats.org/officeDocument/2006/relationships/hyperlink" Target="http://jimy.catolico-bbva.com/" TargetMode="External"/><Relationship Id="rId1919" Type="http://schemas.openxmlformats.org/officeDocument/2006/relationships/hyperlink" Target="https://globaldevtools.bbva.com/jira/browse/COLWSMEDIO-2243" TargetMode="External"/><Relationship Id="rId2083" Type="http://schemas.openxmlformats.org/officeDocument/2006/relationships/hyperlink" Target="http://david.juvinao-bbva.com/" TargetMode="External"/><Relationship Id="rId2290" Type="http://schemas.openxmlformats.org/officeDocument/2006/relationships/hyperlink" Target="http://mariajuliana.rodriguez-bbva.com/" TargetMode="External"/><Relationship Id="rId2388" Type="http://schemas.openxmlformats.org/officeDocument/2006/relationships/hyperlink" Target="http://julioenrique.ramos-bbva.com/" TargetMode="External"/><Relationship Id="rId2595" Type="http://schemas.openxmlformats.org/officeDocument/2006/relationships/hyperlink" Target="http://andres.carrandi-bbva.com/" TargetMode="External"/><Relationship Id="rId262" Type="http://schemas.openxmlformats.org/officeDocument/2006/relationships/hyperlink" Target="https://globaldevtools.bbva.com/jira/browse/COLWSCANAL-13515" TargetMode="External"/><Relationship Id="rId567" Type="http://schemas.openxmlformats.org/officeDocument/2006/relationships/hyperlink" Target="https://globaldevtools.bbva.com/jira/browse/COLWSCANAL-2788" TargetMode="External"/><Relationship Id="rId1197" Type="http://schemas.openxmlformats.org/officeDocument/2006/relationships/hyperlink" Target="https://globaldevtools.bbva.com/jira/browse/COLWSPREST-11951" TargetMode="External"/><Relationship Id="rId2150" Type="http://schemas.openxmlformats.org/officeDocument/2006/relationships/hyperlink" Target="https://globaldevtools.bbva.com/jira/browse/COLWSCUENT-617" TargetMode="External"/><Relationship Id="rId2248" Type="http://schemas.openxmlformats.org/officeDocument/2006/relationships/hyperlink" Target="https://globaldevtools.bbva.com/jira/browse/COLWSSEGUR-64" TargetMode="External"/><Relationship Id="rId122" Type="http://schemas.openxmlformats.org/officeDocument/2006/relationships/hyperlink" Target="https://globaldevtools.bbva.com/jira/browse/COLWSCRM-2358" TargetMode="External"/><Relationship Id="rId774" Type="http://schemas.openxmlformats.org/officeDocument/2006/relationships/hyperlink" Target="http://elizabeth.diaz-bbva.com/" TargetMode="External"/><Relationship Id="rId981" Type="http://schemas.openxmlformats.org/officeDocument/2006/relationships/hyperlink" Target="http://jeissonandres.diaz.rodriguez-bbva.com/" TargetMode="External"/><Relationship Id="rId1057" Type="http://schemas.openxmlformats.org/officeDocument/2006/relationships/hyperlink" Target="http://jeissonandres.diaz.rodriguez-bbva.com/" TargetMode="External"/><Relationship Id="rId2010" Type="http://schemas.openxmlformats.org/officeDocument/2006/relationships/hyperlink" Target="http://monica.zamudio-bbva.com/" TargetMode="External"/><Relationship Id="rId2455" Type="http://schemas.openxmlformats.org/officeDocument/2006/relationships/hyperlink" Target="http://juan.orozco-bbva.com/" TargetMode="External"/><Relationship Id="rId427" Type="http://schemas.openxmlformats.org/officeDocument/2006/relationships/hyperlink" Target="http://juhan.lozano-bbva.com/" TargetMode="External"/><Relationship Id="rId634" Type="http://schemas.openxmlformats.org/officeDocument/2006/relationships/hyperlink" Target="http://nathaliamaria.torres-bbva.com/" TargetMode="External"/><Relationship Id="rId841" Type="http://schemas.openxmlformats.org/officeDocument/2006/relationships/hyperlink" Target="https://globaldevtools.bbva.com/jira/browse/COLWSPREST-2721" TargetMode="External"/><Relationship Id="rId1264" Type="http://schemas.openxmlformats.org/officeDocument/2006/relationships/hyperlink" Target="http://angie.castaneda-bbva.com/" TargetMode="External"/><Relationship Id="rId1471" Type="http://schemas.openxmlformats.org/officeDocument/2006/relationships/hyperlink" Target="https://globaldevtools.bbva.com/jira/browse/COLWSCANAL-2520" TargetMode="External"/><Relationship Id="rId1569" Type="http://schemas.openxmlformats.org/officeDocument/2006/relationships/hyperlink" Target="http://yurimilena.moreno-bbva.com/" TargetMode="External"/><Relationship Id="rId2108" Type="http://schemas.openxmlformats.org/officeDocument/2006/relationships/hyperlink" Target="http://alirio.bermudez-bbva.com/" TargetMode="External"/><Relationship Id="rId2315" Type="http://schemas.openxmlformats.org/officeDocument/2006/relationships/hyperlink" Target="https://globaldevtools.bbva.com/jira/browse/COLWSSEGUR-1190" TargetMode="External"/><Relationship Id="rId2522" Type="http://schemas.openxmlformats.org/officeDocument/2006/relationships/hyperlink" Target="http://andrea.orrego-bbva.com/" TargetMode="External"/><Relationship Id="rId701" Type="http://schemas.openxmlformats.org/officeDocument/2006/relationships/hyperlink" Target="http://elizabeth.diaz-bbva.com/" TargetMode="External"/><Relationship Id="rId939" Type="http://schemas.openxmlformats.org/officeDocument/2006/relationships/hyperlink" Target="https://globaldevtools.bbva.com/jira/browse/COLWSCONTA-25" TargetMode="External"/><Relationship Id="rId1124" Type="http://schemas.openxmlformats.org/officeDocument/2006/relationships/hyperlink" Target="http://rociomarcela.lopez-bbva.com/" TargetMode="External"/><Relationship Id="rId1331" Type="http://schemas.openxmlformats.org/officeDocument/2006/relationships/hyperlink" Target="http://judy.prieto-bbva.com/" TargetMode="External"/><Relationship Id="rId1776" Type="http://schemas.openxmlformats.org/officeDocument/2006/relationships/hyperlink" Target="http://elizabeth.diaz-bbva.com/" TargetMode="External"/><Relationship Id="rId1983" Type="http://schemas.openxmlformats.org/officeDocument/2006/relationships/hyperlink" Target="http://yeraldineandrea.sierra-bbva.com/" TargetMode="External"/><Relationship Id="rId68" Type="http://schemas.openxmlformats.org/officeDocument/2006/relationships/hyperlink" Target="http://ana.santamaria-bbva.com/" TargetMode="External"/><Relationship Id="rId1429" Type="http://schemas.openxmlformats.org/officeDocument/2006/relationships/hyperlink" Target="http://geovany.ramirez-bbva.com/" TargetMode="External"/><Relationship Id="rId1636" Type="http://schemas.openxmlformats.org/officeDocument/2006/relationships/hyperlink" Target="http://vickyalexandra.mora-bbva.com/" TargetMode="External"/><Relationship Id="rId1843" Type="http://schemas.openxmlformats.org/officeDocument/2006/relationships/hyperlink" Target="http://marthapatric.cruz-bbva.com/" TargetMode="External"/><Relationship Id="rId1703" Type="http://schemas.openxmlformats.org/officeDocument/2006/relationships/hyperlink" Target="http://alirio.bermudez-bbva.com/" TargetMode="External"/><Relationship Id="rId1910" Type="http://schemas.openxmlformats.org/officeDocument/2006/relationships/hyperlink" Target="http://marthapatric.cruz-bbva.com/" TargetMode="External"/><Relationship Id="rId284" Type="http://schemas.openxmlformats.org/officeDocument/2006/relationships/hyperlink" Target="http://jimy.catolico-bbva.com/" TargetMode="External"/><Relationship Id="rId491" Type="http://schemas.openxmlformats.org/officeDocument/2006/relationships/hyperlink" Target="http://giulianaandrea.guarin-bbva.com/" TargetMode="External"/><Relationship Id="rId2172" Type="http://schemas.openxmlformats.org/officeDocument/2006/relationships/hyperlink" Target="http://dianacarolina.gonzalez.castri-bbva.com/" TargetMode="External"/><Relationship Id="rId144" Type="http://schemas.openxmlformats.org/officeDocument/2006/relationships/hyperlink" Target="http://rodrigo.ardila-bbva.com/" TargetMode="External"/><Relationship Id="rId589" Type="http://schemas.openxmlformats.org/officeDocument/2006/relationships/hyperlink" Target="http://jennymaria.urdaneta-bbva.com/" TargetMode="External"/><Relationship Id="rId796" Type="http://schemas.openxmlformats.org/officeDocument/2006/relationships/hyperlink" Target="http://nathiahayosara.amado-bbva.com/" TargetMode="External"/><Relationship Id="rId2477" Type="http://schemas.openxmlformats.org/officeDocument/2006/relationships/hyperlink" Target="http://carlosandres.moque-bbva.com/" TargetMode="External"/><Relationship Id="rId351" Type="http://schemas.openxmlformats.org/officeDocument/2006/relationships/hyperlink" Target="http://luz.rodriguez-bbva.com/" TargetMode="External"/><Relationship Id="rId449" Type="http://schemas.openxmlformats.org/officeDocument/2006/relationships/hyperlink" Target="http://jimy.catolico-bbva.com/" TargetMode="External"/><Relationship Id="rId656" Type="http://schemas.openxmlformats.org/officeDocument/2006/relationships/hyperlink" Target="http://catalina.villamil-bbva.com/" TargetMode="External"/><Relationship Id="rId863" Type="http://schemas.openxmlformats.org/officeDocument/2006/relationships/hyperlink" Target="http://karenalexandra.martinez-bbva.com/" TargetMode="External"/><Relationship Id="rId1079" Type="http://schemas.openxmlformats.org/officeDocument/2006/relationships/hyperlink" Target="https://globaldevtools.bbva.com/jira/browse/COLWSCONTA-313" TargetMode="External"/><Relationship Id="rId1286" Type="http://schemas.openxmlformats.org/officeDocument/2006/relationships/hyperlink" Target="http://liliana.marquez-bbva.com/" TargetMode="External"/><Relationship Id="rId1493" Type="http://schemas.openxmlformats.org/officeDocument/2006/relationships/hyperlink" Target="http://fredy.pineda-bbva.com/" TargetMode="External"/><Relationship Id="rId2032" Type="http://schemas.openxmlformats.org/officeDocument/2006/relationships/hyperlink" Target="http://monica.zamudio-bbva.com/" TargetMode="External"/><Relationship Id="rId2337" Type="http://schemas.openxmlformats.org/officeDocument/2006/relationships/hyperlink" Target="http://dianacarolina.gonzalez.castri-bbva.com/" TargetMode="External"/><Relationship Id="rId2544" Type="http://schemas.openxmlformats.org/officeDocument/2006/relationships/hyperlink" Target="http://alirio.bermudez-bbva.com/" TargetMode="External"/><Relationship Id="rId211" Type="http://schemas.openxmlformats.org/officeDocument/2006/relationships/hyperlink" Target="http://jimy.catolico-bbva.com/" TargetMode="External"/><Relationship Id="rId309" Type="http://schemas.openxmlformats.org/officeDocument/2006/relationships/hyperlink" Target="http://cindytatiana.perilla-bbva.com/" TargetMode="External"/><Relationship Id="rId516" Type="http://schemas.openxmlformats.org/officeDocument/2006/relationships/hyperlink" Target="http://jimy.catolico-bbva.com/" TargetMode="External"/><Relationship Id="rId1146" Type="http://schemas.openxmlformats.org/officeDocument/2006/relationships/hyperlink" Target="https://globaldevtools.bbva.com/jira/browse/COLWSCUENT-1595" TargetMode="External"/><Relationship Id="rId1798" Type="http://schemas.openxmlformats.org/officeDocument/2006/relationships/hyperlink" Target="http://monicaandrea.abogado-bbva.com/" TargetMode="External"/><Relationship Id="rId723" Type="http://schemas.openxmlformats.org/officeDocument/2006/relationships/hyperlink" Target="http://leidyjohanna.zambrano-bbva.com/" TargetMode="External"/><Relationship Id="rId930" Type="http://schemas.openxmlformats.org/officeDocument/2006/relationships/hyperlink" Target="http://elizabeth.diaz-bbva.com/" TargetMode="External"/><Relationship Id="rId1006" Type="http://schemas.openxmlformats.org/officeDocument/2006/relationships/hyperlink" Target="http://jeissonandres.diaz.rodriguez-bbva.com/" TargetMode="External"/><Relationship Id="rId1353" Type="http://schemas.openxmlformats.org/officeDocument/2006/relationships/hyperlink" Target="http://angie.castaneda-bbva.com/" TargetMode="External"/><Relationship Id="rId1560" Type="http://schemas.openxmlformats.org/officeDocument/2006/relationships/hyperlink" Target="http://andrea.orrego-bbva.com/" TargetMode="External"/><Relationship Id="rId1658" Type="http://schemas.openxmlformats.org/officeDocument/2006/relationships/hyperlink" Target="http://elizabeth.diaz-bbva.com/" TargetMode="External"/><Relationship Id="rId1865" Type="http://schemas.openxmlformats.org/officeDocument/2006/relationships/hyperlink" Target="https://globaldevtools.bbva.com/jira/browse/COLWSNORMA-1060" TargetMode="External"/><Relationship Id="rId2404" Type="http://schemas.openxmlformats.org/officeDocument/2006/relationships/hyperlink" Target="http://julioenrique.ramos-bbva.com/" TargetMode="External"/><Relationship Id="rId1213" Type="http://schemas.openxmlformats.org/officeDocument/2006/relationships/hyperlink" Target="http://angie.castaneda-bbva.com/" TargetMode="External"/><Relationship Id="rId1420" Type="http://schemas.openxmlformats.org/officeDocument/2006/relationships/hyperlink" Target="http://hugofernando.parra-bbva.com/" TargetMode="External"/><Relationship Id="rId1518" Type="http://schemas.openxmlformats.org/officeDocument/2006/relationships/hyperlink" Target="http://judy.bernal-bbva.com/" TargetMode="External"/><Relationship Id="rId1725" Type="http://schemas.openxmlformats.org/officeDocument/2006/relationships/hyperlink" Target="https://globaldevtools.bbva.com/jira/browse/COLWSCONTA-1855" TargetMode="External"/><Relationship Id="rId1932" Type="http://schemas.openxmlformats.org/officeDocument/2006/relationships/hyperlink" Target="http://alirio.bermudez-bbva.com/" TargetMode="External"/><Relationship Id="rId17" Type="http://schemas.openxmlformats.org/officeDocument/2006/relationships/hyperlink" Target="http://ana.santamaria-bbva.com/" TargetMode="External"/><Relationship Id="rId2194" Type="http://schemas.openxmlformats.org/officeDocument/2006/relationships/hyperlink" Target="http://katherine.michaels-bbva.com/" TargetMode="External"/><Relationship Id="rId166" Type="http://schemas.openxmlformats.org/officeDocument/2006/relationships/hyperlink" Target="http://william.paez-bbva.com/" TargetMode="External"/><Relationship Id="rId373" Type="http://schemas.openxmlformats.org/officeDocument/2006/relationships/hyperlink" Target="http://jimy.catolico-bbva.com/" TargetMode="External"/><Relationship Id="rId580" Type="http://schemas.openxmlformats.org/officeDocument/2006/relationships/hyperlink" Target="http://catalina.villamil-bbva.com/" TargetMode="External"/><Relationship Id="rId2054" Type="http://schemas.openxmlformats.org/officeDocument/2006/relationships/hyperlink" Target="http://monica.zamudio-bbva.com/" TargetMode="External"/><Relationship Id="rId2261" Type="http://schemas.openxmlformats.org/officeDocument/2006/relationships/hyperlink" Target="http://katherine.michaels-bbva.com/" TargetMode="External"/><Relationship Id="rId2499" Type="http://schemas.openxmlformats.org/officeDocument/2006/relationships/hyperlink" Target="http://ivan_dario.ariza-bbva.com/" TargetMode="External"/><Relationship Id="rId1" Type="http://schemas.openxmlformats.org/officeDocument/2006/relationships/hyperlink" Target="http://ana.santamaria-bbva.com/" TargetMode="External"/><Relationship Id="rId233" Type="http://schemas.openxmlformats.org/officeDocument/2006/relationships/hyperlink" Target="http://yurimilena.moreno-bbva.com/" TargetMode="External"/><Relationship Id="rId440" Type="http://schemas.openxmlformats.org/officeDocument/2006/relationships/hyperlink" Target="https://globaldevtools.bbva.com/jira/browse/COLWSCANAL-14067" TargetMode="External"/><Relationship Id="rId678" Type="http://schemas.openxmlformats.org/officeDocument/2006/relationships/hyperlink" Target="http://elizabeth.diaz-bbva.com/" TargetMode="External"/><Relationship Id="rId885" Type="http://schemas.openxmlformats.org/officeDocument/2006/relationships/hyperlink" Target="http://nathiahayosara.amado-bbva.com/" TargetMode="External"/><Relationship Id="rId1070" Type="http://schemas.openxmlformats.org/officeDocument/2006/relationships/hyperlink" Target="http://elizabeth.diaz-bbva.com/" TargetMode="External"/><Relationship Id="rId2121" Type="http://schemas.openxmlformats.org/officeDocument/2006/relationships/hyperlink" Target="http://hugo.mongua-bbva.com/" TargetMode="External"/><Relationship Id="rId2359" Type="http://schemas.openxmlformats.org/officeDocument/2006/relationships/hyperlink" Target="http://katherine.michaels-bbva.com/" TargetMode="External"/><Relationship Id="rId2566" Type="http://schemas.openxmlformats.org/officeDocument/2006/relationships/hyperlink" Target="http://jorge.carvajal-bbva.com/" TargetMode="External"/><Relationship Id="rId300" Type="http://schemas.openxmlformats.org/officeDocument/2006/relationships/hyperlink" Target="http://jimy.catolico-bbva.com/" TargetMode="External"/><Relationship Id="rId538" Type="http://schemas.openxmlformats.org/officeDocument/2006/relationships/hyperlink" Target="http://irene.angel-bbva.com/" TargetMode="External"/><Relationship Id="rId745" Type="http://schemas.openxmlformats.org/officeDocument/2006/relationships/hyperlink" Target="http://nathiahayosara.amado-bbva.com/" TargetMode="External"/><Relationship Id="rId952" Type="http://schemas.openxmlformats.org/officeDocument/2006/relationships/hyperlink" Target="http://nathiahayosara.amado-bbva.com/" TargetMode="External"/><Relationship Id="rId1168" Type="http://schemas.openxmlformats.org/officeDocument/2006/relationships/hyperlink" Target="http://paolaandrea.hermosa-bbva.com/" TargetMode="External"/><Relationship Id="rId1375" Type="http://schemas.openxmlformats.org/officeDocument/2006/relationships/hyperlink" Target="https://globaldevtools.bbva.com/jira/browse/COLWSMEDIO-6505" TargetMode="External"/><Relationship Id="rId1582" Type="http://schemas.openxmlformats.org/officeDocument/2006/relationships/hyperlink" Target="http://andrea.orrego-bbva.com/" TargetMode="External"/><Relationship Id="rId2219" Type="http://schemas.openxmlformats.org/officeDocument/2006/relationships/hyperlink" Target="http://katherine.michaels-bbva.com/" TargetMode="External"/><Relationship Id="rId2426" Type="http://schemas.openxmlformats.org/officeDocument/2006/relationships/hyperlink" Target="https://globaldevtools.bbva.com/jira/browse/COLWSFIDUC-24" TargetMode="External"/><Relationship Id="rId81" Type="http://schemas.openxmlformats.org/officeDocument/2006/relationships/hyperlink" Target="http://ana.santamaria-bbva.com/" TargetMode="External"/><Relationship Id="rId605" Type="http://schemas.openxmlformats.org/officeDocument/2006/relationships/hyperlink" Target="http://angiez.cubides-bbva.com/" TargetMode="External"/><Relationship Id="rId812" Type="http://schemas.openxmlformats.org/officeDocument/2006/relationships/hyperlink" Target="http://karenalexandra.martinez-bbva.com/" TargetMode="External"/><Relationship Id="rId1028" Type="http://schemas.openxmlformats.org/officeDocument/2006/relationships/hyperlink" Target="https://globaldevtools.bbva.com/jira/browse/COLWSCONTA-428" TargetMode="External"/><Relationship Id="rId1235" Type="http://schemas.openxmlformats.org/officeDocument/2006/relationships/hyperlink" Target="http://paolaandrea.guzman-bbva.com/" TargetMode="External"/><Relationship Id="rId1442" Type="http://schemas.openxmlformats.org/officeDocument/2006/relationships/hyperlink" Target="http://santiago.campuzano-bbva.com/" TargetMode="External"/><Relationship Id="rId1887" Type="http://schemas.openxmlformats.org/officeDocument/2006/relationships/hyperlink" Target="http://alirio.bermudez-bbva.com/" TargetMode="External"/><Relationship Id="rId1302" Type="http://schemas.openxmlformats.org/officeDocument/2006/relationships/hyperlink" Target="http://monica.zamudio-bbva.com/" TargetMode="External"/><Relationship Id="rId1747" Type="http://schemas.openxmlformats.org/officeDocument/2006/relationships/hyperlink" Target="http://nelson.ruiz-bbva.com/" TargetMode="External"/><Relationship Id="rId1954" Type="http://schemas.openxmlformats.org/officeDocument/2006/relationships/hyperlink" Target="https://globaldevtools.bbva.com/jira/browse/COLWSMONED-2" TargetMode="External"/><Relationship Id="rId39" Type="http://schemas.openxmlformats.org/officeDocument/2006/relationships/hyperlink" Target="http://david.juvinao-bbva.com/" TargetMode="External"/><Relationship Id="rId1607" Type="http://schemas.openxmlformats.org/officeDocument/2006/relationships/hyperlink" Target="https://globaldevtools.bbva.com/jira/browse/COLWSCANAL-4440" TargetMode="External"/><Relationship Id="rId1814" Type="http://schemas.openxmlformats.org/officeDocument/2006/relationships/hyperlink" Target="http://ivan_dario.ariza-bbva.com/" TargetMode="External"/><Relationship Id="rId188" Type="http://schemas.openxmlformats.org/officeDocument/2006/relationships/hyperlink" Target="http://diegofernand.castro-bbva.com/" TargetMode="External"/><Relationship Id="rId395" Type="http://schemas.openxmlformats.org/officeDocument/2006/relationships/hyperlink" Target="http://juhan.lozano-bbva.com/" TargetMode="External"/><Relationship Id="rId2076" Type="http://schemas.openxmlformats.org/officeDocument/2006/relationships/hyperlink" Target="http://monica.zamudio-bbva.com/" TargetMode="External"/><Relationship Id="rId2283" Type="http://schemas.openxmlformats.org/officeDocument/2006/relationships/hyperlink" Target="http://sandracarolina.miranda-bbva.com/" TargetMode="External"/><Relationship Id="rId2490" Type="http://schemas.openxmlformats.org/officeDocument/2006/relationships/hyperlink" Target="https://globaldevtools.bbva.com/jira/browse/COLWSDATIO-638" TargetMode="External"/><Relationship Id="rId2588" Type="http://schemas.openxmlformats.org/officeDocument/2006/relationships/hyperlink" Target="http://luz.rodriguez-bbva.com/" TargetMode="External"/><Relationship Id="rId255" Type="http://schemas.openxmlformats.org/officeDocument/2006/relationships/hyperlink" Target="http://jimy.catolico-bbva.com/" TargetMode="External"/><Relationship Id="rId462" Type="http://schemas.openxmlformats.org/officeDocument/2006/relationships/hyperlink" Target="http://giulianaandrea.guarin-bbva.com/" TargetMode="External"/><Relationship Id="rId1092" Type="http://schemas.openxmlformats.org/officeDocument/2006/relationships/hyperlink" Target="http://angie.castaneda-bbva.com/" TargetMode="External"/><Relationship Id="rId1397" Type="http://schemas.openxmlformats.org/officeDocument/2006/relationships/hyperlink" Target="http://hugofernando.parra-bbva.com/" TargetMode="External"/><Relationship Id="rId2143" Type="http://schemas.openxmlformats.org/officeDocument/2006/relationships/hyperlink" Target="http://alirio.bermudez-bbva.com/" TargetMode="External"/><Relationship Id="rId2350" Type="http://schemas.openxmlformats.org/officeDocument/2006/relationships/hyperlink" Target="https://globaldevtools.bbva.com/jira/browse/COLWSSEGUR-223" TargetMode="External"/><Relationship Id="rId115" Type="http://schemas.openxmlformats.org/officeDocument/2006/relationships/hyperlink" Target="http://ana.santamaria-bbva.com/" TargetMode="External"/><Relationship Id="rId322" Type="http://schemas.openxmlformats.org/officeDocument/2006/relationships/hyperlink" Target="http://rocio.garces-bbva.com/" TargetMode="External"/><Relationship Id="rId767" Type="http://schemas.openxmlformats.org/officeDocument/2006/relationships/hyperlink" Target="https://globaldevtools.bbva.com/jira/browse/COLWSCANAL-3268" TargetMode="External"/><Relationship Id="rId974" Type="http://schemas.openxmlformats.org/officeDocument/2006/relationships/hyperlink" Target="http://elizabeth.diaz-bbva.com/" TargetMode="External"/><Relationship Id="rId2003" Type="http://schemas.openxmlformats.org/officeDocument/2006/relationships/hyperlink" Target="http://monica.zamudio-bbva.com/" TargetMode="External"/><Relationship Id="rId2210" Type="http://schemas.openxmlformats.org/officeDocument/2006/relationships/hyperlink" Target="http://katherine.michaels-bbva.com/" TargetMode="External"/><Relationship Id="rId2448" Type="http://schemas.openxmlformats.org/officeDocument/2006/relationships/hyperlink" Target="http://jorge.blanco-bbva.com/" TargetMode="External"/><Relationship Id="rId627" Type="http://schemas.openxmlformats.org/officeDocument/2006/relationships/hyperlink" Target="https://globaldevtools.bbva.com/jira/browse/COLWSCANAL-11383" TargetMode="External"/><Relationship Id="rId834" Type="http://schemas.openxmlformats.org/officeDocument/2006/relationships/hyperlink" Target="http://nathiahayosara.amado-bbva.com/" TargetMode="External"/><Relationship Id="rId1257" Type="http://schemas.openxmlformats.org/officeDocument/2006/relationships/hyperlink" Target="http://paolaandrea.guzman-bbva.com/" TargetMode="External"/><Relationship Id="rId1464" Type="http://schemas.openxmlformats.org/officeDocument/2006/relationships/hyperlink" Target="http://hugofernando.parra-bbva.com/" TargetMode="External"/><Relationship Id="rId1671" Type="http://schemas.openxmlformats.org/officeDocument/2006/relationships/hyperlink" Target="http://alirio.bermudez-bbva.com/" TargetMode="External"/><Relationship Id="rId2308" Type="http://schemas.openxmlformats.org/officeDocument/2006/relationships/hyperlink" Target="https://globaldevtools.bbva.com/jira/browse/COLWSSEGUR-179" TargetMode="External"/><Relationship Id="rId2515" Type="http://schemas.openxmlformats.org/officeDocument/2006/relationships/hyperlink" Target="http://hugo.mongua-bbva.com/" TargetMode="External"/><Relationship Id="rId901" Type="http://schemas.openxmlformats.org/officeDocument/2006/relationships/hyperlink" Target="http://jeissonandres.diaz.rodriguez-bbva.com/" TargetMode="External"/><Relationship Id="rId1117" Type="http://schemas.openxmlformats.org/officeDocument/2006/relationships/hyperlink" Target="http://brigitteyesenia.beltran-bbva.com/" TargetMode="External"/><Relationship Id="rId1324" Type="http://schemas.openxmlformats.org/officeDocument/2006/relationships/hyperlink" Target="http://paolaandrea.guzman-bbva.com/" TargetMode="External"/><Relationship Id="rId1531" Type="http://schemas.openxmlformats.org/officeDocument/2006/relationships/hyperlink" Target="https://globaldevtools.bbva.com/jira/browse/COLWSCANAL-9660" TargetMode="External"/><Relationship Id="rId1769" Type="http://schemas.openxmlformats.org/officeDocument/2006/relationships/hyperlink" Target="https://globaldevtools.bbva.com/jira/browse/COLWSCUENT-1665" TargetMode="External"/><Relationship Id="rId1976" Type="http://schemas.openxmlformats.org/officeDocument/2006/relationships/hyperlink" Target="http://yeraldineandrea.sierra-bbva.com/" TargetMode="External"/><Relationship Id="rId30" Type="http://schemas.openxmlformats.org/officeDocument/2006/relationships/hyperlink" Target="http://ana.santamaria-bbva.com/" TargetMode="External"/><Relationship Id="rId1629" Type="http://schemas.openxmlformats.org/officeDocument/2006/relationships/hyperlink" Target="http://vickyalexandra.mora-bbva.com/" TargetMode="External"/><Relationship Id="rId1836" Type="http://schemas.openxmlformats.org/officeDocument/2006/relationships/hyperlink" Target="http://yurimilena.moreno-bbva.com/" TargetMode="External"/><Relationship Id="rId1903" Type="http://schemas.openxmlformats.org/officeDocument/2006/relationships/hyperlink" Target="http://marthapatric.cruz-bbva.com/" TargetMode="External"/><Relationship Id="rId2098" Type="http://schemas.openxmlformats.org/officeDocument/2006/relationships/hyperlink" Target="http://david.juvinao-bbva.com/" TargetMode="External"/><Relationship Id="rId277" Type="http://schemas.openxmlformats.org/officeDocument/2006/relationships/hyperlink" Target="http://jimy.catolico-bbva.com/" TargetMode="External"/><Relationship Id="rId484" Type="http://schemas.openxmlformats.org/officeDocument/2006/relationships/hyperlink" Target="http://jimy.catolico-bbva.com/" TargetMode="External"/><Relationship Id="rId2165" Type="http://schemas.openxmlformats.org/officeDocument/2006/relationships/hyperlink" Target="http://sandracarolina.miranda-bbva.com/" TargetMode="External"/><Relationship Id="rId137" Type="http://schemas.openxmlformats.org/officeDocument/2006/relationships/hyperlink" Target="http://john.calvo-bbva.com/" TargetMode="External"/><Relationship Id="rId344" Type="http://schemas.openxmlformats.org/officeDocument/2006/relationships/hyperlink" Target="http://luz.rodriguez-bbva.com/" TargetMode="External"/><Relationship Id="rId691" Type="http://schemas.openxmlformats.org/officeDocument/2006/relationships/hyperlink" Target="http://nathiahayosara.amado-bbva.com/" TargetMode="External"/><Relationship Id="rId789" Type="http://schemas.openxmlformats.org/officeDocument/2006/relationships/hyperlink" Target="http://sirlleny.vasquez-bbva.com/" TargetMode="External"/><Relationship Id="rId996" Type="http://schemas.openxmlformats.org/officeDocument/2006/relationships/hyperlink" Target="https://globaldevtools.bbva.com/jira/browse/COLWSCONTA-307" TargetMode="External"/><Relationship Id="rId2025" Type="http://schemas.openxmlformats.org/officeDocument/2006/relationships/hyperlink" Target="http://rociomarcela.lopez-bbva.com/" TargetMode="External"/><Relationship Id="rId2372" Type="http://schemas.openxmlformats.org/officeDocument/2006/relationships/hyperlink" Target="http://monicaandrea.rodriguez.penago-bbva.com/" TargetMode="External"/><Relationship Id="rId551" Type="http://schemas.openxmlformats.org/officeDocument/2006/relationships/hyperlink" Target="http://ivan_dario.ariza-bbva.com/" TargetMode="External"/><Relationship Id="rId649" Type="http://schemas.openxmlformats.org/officeDocument/2006/relationships/hyperlink" Target="http://angiejulieth.rodriguez.chaves-bbva.com/" TargetMode="External"/><Relationship Id="rId856" Type="http://schemas.openxmlformats.org/officeDocument/2006/relationships/hyperlink" Target="http://ivan_dario.ariza-bbva.com/" TargetMode="External"/><Relationship Id="rId1181" Type="http://schemas.openxmlformats.org/officeDocument/2006/relationships/hyperlink" Target="http://paolaandrea.hermosa-bbva.com/" TargetMode="External"/><Relationship Id="rId1279" Type="http://schemas.openxmlformats.org/officeDocument/2006/relationships/hyperlink" Target="http://monica.zamudio-bbva.com/" TargetMode="External"/><Relationship Id="rId1486" Type="http://schemas.openxmlformats.org/officeDocument/2006/relationships/hyperlink" Target="http://hugofernando.parra-bbva.com/" TargetMode="External"/><Relationship Id="rId2232" Type="http://schemas.openxmlformats.org/officeDocument/2006/relationships/hyperlink" Target="http://mariajuliana.rodriguez-bbva.com/" TargetMode="External"/><Relationship Id="rId2537" Type="http://schemas.openxmlformats.org/officeDocument/2006/relationships/hyperlink" Target="http://catalina.villamil-bbva.com/" TargetMode="External"/><Relationship Id="rId204" Type="http://schemas.openxmlformats.org/officeDocument/2006/relationships/hyperlink" Target="http://diegofernand.castro-bbva.com/" TargetMode="External"/><Relationship Id="rId411" Type="http://schemas.openxmlformats.org/officeDocument/2006/relationships/hyperlink" Target="http://juhan.lozano-bbva.com/" TargetMode="External"/><Relationship Id="rId509" Type="http://schemas.openxmlformats.org/officeDocument/2006/relationships/hyperlink" Target="http://oscar.bejarano-bbva.com/" TargetMode="External"/><Relationship Id="rId1041" Type="http://schemas.openxmlformats.org/officeDocument/2006/relationships/hyperlink" Target="http://nathiahayosara.amado-bbva.com/" TargetMode="External"/><Relationship Id="rId1139" Type="http://schemas.openxmlformats.org/officeDocument/2006/relationships/hyperlink" Target="https://globaldevtools.bbva.com/jira/browse/COLWSCUENT-268" TargetMode="External"/><Relationship Id="rId1346" Type="http://schemas.openxmlformats.org/officeDocument/2006/relationships/hyperlink" Target="http://judy.prieto-bbva.com/" TargetMode="External"/><Relationship Id="rId1693" Type="http://schemas.openxmlformats.org/officeDocument/2006/relationships/hyperlink" Target="http://elizabeth.diaz-bbva.com/" TargetMode="External"/><Relationship Id="rId1998" Type="http://schemas.openxmlformats.org/officeDocument/2006/relationships/hyperlink" Target="http://olga.lara-bbva.com/" TargetMode="External"/><Relationship Id="rId716" Type="http://schemas.openxmlformats.org/officeDocument/2006/relationships/hyperlink" Target="http://elizabeth.diaz-bbva.com/" TargetMode="External"/><Relationship Id="rId923" Type="http://schemas.openxmlformats.org/officeDocument/2006/relationships/hyperlink" Target="https://globaldevtools.bbva.com/jira/browse/COLWSCONTA-186" TargetMode="External"/><Relationship Id="rId1553" Type="http://schemas.openxmlformats.org/officeDocument/2006/relationships/hyperlink" Target="http://nicolas.galindo-bbva.com/" TargetMode="External"/><Relationship Id="rId1760" Type="http://schemas.openxmlformats.org/officeDocument/2006/relationships/hyperlink" Target="http://elizabeth.diaz-bbva.com/" TargetMode="External"/><Relationship Id="rId1858" Type="http://schemas.openxmlformats.org/officeDocument/2006/relationships/hyperlink" Target="http://alirio.bermudez-bbva.com/" TargetMode="External"/><Relationship Id="rId52" Type="http://schemas.openxmlformats.org/officeDocument/2006/relationships/hyperlink" Target="https://globaldevtools.bbva.com/jira/browse/COLWSCRM-2235" TargetMode="External"/><Relationship Id="rId1206" Type="http://schemas.openxmlformats.org/officeDocument/2006/relationships/hyperlink" Target="http://sandra.espinosa-bbva.com/" TargetMode="External"/><Relationship Id="rId1413" Type="http://schemas.openxmlformats.org/officeDocument/2006/relationships/hyperlink" Target="http://hugofernando.parra-bbva.com/" TargetMode="External"/><Relationship Id="rId1620" Type="http://schemas.openxmlformats.org/officeDocument/2006/relationships/hyperlink" Target="http://andrea.orrego-bbva.com/" TargetMode="External"/><Relationship Id="rId1718" Type="http://schemas.openxmlformats.org/officeDocument/2006/relationships/hyperlink" Target="http://alirio.bermudez-bbva.com/" TargetMode="External"/><Relationship Id="rId1925" Type="http://schemas.openxmlformats.org/officeDocument/2006/relationships/hyperlink" Target="http://marthapatric.cruz-bbva.com/" TargetMode="External"/><Relationship Id="rId299" Type="http://schemas.openxmlformats.org/officeDocument/2006/relationships/hyperlink" Target="https://globaldevtools.bbva.com/jira/browse/COLWSMEDIO-6212" TargetMode="External"/><Relationship Id="rId2187" Type="http://schemas.openxmlformats.org/officeDocument/2006/relationships/hyperlink" Target="http://katherine.michaels-bbva.com/" TargetMode="External"/><Relationship Id="rId2394" Type="http://schemas.openxmlformats.org/officeDocument/2006/relationships/hyperlink" Target="https://globaldevtools.bbva.com/jira/browse/CFS1-132" TargetMode="External"/><Relationship Id="rId159" Type="http://schemas.openxmlformats.org/officeDocument/2006/relationships/hyperlink" Target="http://nelsonandres.bohorquez-bbva.com/" TargetMode="External"/><Relationship Id="rId366" Type="http://schemas.openxmlformats.org/officeDocument/2006/relationships/hyperlink" Target="http://wilson.vera-bbva.com/" TargetMode="External"/><Relationship Id="rId573" Type="http://schemas.openxmlformats.org/officeDocument/2006/relationships/hyperlink" Target="http://nelson.ramirez-bbva.com/" TargetMode="External"/><Relationship Id="rId780" Type="http://schemas.openxmlformats.org/officeDocument/2006/relationships/hyperlink" Target="http://nathiahayosara.amado-bbva.com/" TargetMode="External"/><Relationship Id="rId2047" Type="http://schemas.openxmlformats.org/officeDocument/2006/relationships/hyperlink" Target="http://marthapatric.cruz-bbva.com/" TargetMode="External"/><Relationship Id="rId2254" Type="http://schemas.openxmlformats.org/officeDocument/2006/relationships/hyperlink" Target="http://paola.trivino-bbva.com/" TargetMode="External"/><Relationship Id="rId2461" Type="http://schemas.openxmlformats.org/officeDocument/2006/relationships/hyperlink" Target="http://mariaelena.torres-bbva.com/" TargetMode="External"/><Relationship Id="rId226" Type="http://schemas.openxmlformats.org/officeDocument/2006/relationships/hyperlink" Target="https://globaldevtools.bbva.com/jira/browse/COLWSCANAL-6856" TargetMode="External"/><Relationship Id="rId433" Type="http://schemas.openxmlformats.org/officeDocument/2006/relationships/hyperlink" Target="http://jimy.catolico-bbva.com/" TargetMode="External"/><Relationship Id="rId878" Type="http://schemas.openxmlformats.org/officeDocument/2006/relationships/hyperlink" Target="http://nathiahayosara.amado-bbva.com/" TargetMode="External"/><Relationship Id="rId1063" Type="http://schemas.openxmlformats.org/officeDocument/2006/relationships/hyperlink" Target="https://globaldevtools.bbva.com/jira/browse/COLWSCONTA-1604" TargetMode="External"/><Relationship Id="rId1270" Type="http://schemas.openxmlformats.org/officeDocument/2006/relationships/hyperlink" Target="http://john.calvo-bbva.com/" TargetMode="External"/><Relationship Id="rId2114" Type="http://schemas.openxmlformats.org/officeDocument/2006/relationships/hyperlink" Target="http://david.juvinao-bbva.com/" TargetMode="External"/><Relationship Id="rId2559" Type="http://schemas.openxmlformats.org/officeDocument/2006/relationships/hyperlink" Target="http://andres.carrandi-bbva.com/" TargetMode="External"/><Relationship Id="rId640" Type="http://schemas.openxmlformats.org/officeDocument/2006/relationships/hyperlink" Target="http://catalina.villamil-bbva.com/" TargetMode="External"/><Relationship Id="rId738" Type="http://schemas.openxmlformats.org/officeDocument/2006/relationships/hyperlink" Target="http://leidyjohanna.zambrano-bbva.com/" TargetMode="External"/><Relationship Id="rId945" Type="http://schemas.openxmlformats.org/officeDocument/2006/relationships/hyperlink" Target="http://jeissonandres.diaz.rodriguez-bbva.com/" TargetMode="External"/><Relationship Id="rId1368" Type="http://schemas.openxmlformats.org/officeDocument/2006/relationships/hyperlink" Target="http://angie.castaneda-bbva.com/" TargetMode="External"/><Relationship Id="rId1575" Type="http://schemas.openxmlformats.org/officeDocument/2006/relationships/hyperlink" Target="http://andrea.orrego-bbva.com/" TargetMode="External"/><Relationship Id="rId1782" Type="http://schemas.openxmlformats.org/officeDocument/2006/relationships/hyperlink" Target="http://monicaandrea.abogado-bbva.com/" TargetMode="External"/><Relationship Id="rId2321" Type="http://schemas.openxmlformats.org/officeDocument/2006/relationships/hyperlink" Target="http://mariajuliana.rodriguez-bbva.com/" TargetMode="External"/><Relationship Id="rId2419" Type="http://schemas.openxmlformats.org/officeDocument/2006/relationships/hyperlink" Target="http://juan.orozco-bbva.com/" TargetMode="External"/><Relationship Id="rId74" Type="http://schemas.openxmlformats.org/officeDocument/2006/relationships/hyperlink" Target="http://ana.santamaria-bbva.com/" TargetMode="External"/><Relationship Id="rId500" Type="http://schemas.openxmlformats.org/officeDocument/2006/relationships/hyperlink" Target="http://giulianaandrea.guarin-bbva.com/" TargetMode="External"/><Relationship Id="rId805" Type="http://schemas.openxmlformats.org/officeDocument/2006/relationships/hyperlink" Target="http://sirlleny.vasquez-bbva.com/" TargetMode="External"/><Relationship Id="rId1130" Type="http://schemas.openxmlformats.org/officeDocument/2006/relationships/hyperlink" Target="http://diegoandres.rodriguez-bbva.com/" TargetMode="External"/><Relationship Id="rId1228" Type="http://schemas.openxmlformats.org/officeDocument/2006/relationships/hyperlink" Target="https://globaldevtools.bbva.com/jira/browse/COLWSCUENT-2996" TargetMode="External"/><Relationship Id="rId1435" Type="http://schemas.openxmlformats.org/officeDocument/2006/relationships/hyperlink" Target="https://globaldevtools.bbva.com/jira/browse/COLWSPREST-2203" TargetMode="External"/><Relationship Id="rId1642" Type="http://schemas.openxmlformats.org/officeDocument/2006/relationships/hyperlink" Target="http://andrea.orrego-bbva.com/" TargetMode="External"/><Relationship Id="rId1947" Type="http://schemas.openxmlformats.org/officeDocument/2006/relationships/hyperlink" Target="http://alirio.bermudez-bbva.com/" TargetMode="External"/><Relationship Id="rId1502" Type="http://schemas.openxmlformats.org/officeDocument/2006/relationships/hyperlink" Target="http://fredy.pineda-bbva.com/" TargetMode="External"/><Relationship Id="rId1807" Type="http://schemas.openxmlformats.org/officeDocument/2006/relationships/hyperlink" Target="http://ivan_dario.ariza-bbva.com/" TargetMode="External"/><Relationship Id="rId290" Type="http://schemas.openxmlformats.org/officeDocument/2006/relationships/hyperlink" Target="http://paolaandrea.hermosa-bbva.com/" TargetMode="External"/><Relationship Id="rId388" Type="http://schemas.openxmlformats.org/officeDocument/2006/relationships/hyperlink" Target="https://globaldevtools.bbva.com/jira/browse/COLWSCANAL-935" TargetMode="External"/><Relationship Id="rId2069" Type="http://schemas.openxmlformats.org/officeDocument/2006/relationships/hyperlink" Target="http://marthapatric.cruz-bbva.com/" TargetMode="External"/><Relationship Id="rId150" Type="http://schemas.openxmlformats.org/officeDocument/2006/relationships/hyperlink" Target="http://ana.santamaria-bbva.com/" TargetMode="External"/><Relationship Id="rId595" Type="http://schemas.openxmlformats.org/officeDocument/2006/relationships/hyperlink" Target="http://jennymaria.urdaneta-bbva.com/" TargetMode="External"/><Relationship Id="rId2276" Type="http://schemas.openxmlformats.org/officeDocument/2006/relationships/hyperlink" Target="https://globaldevtools.bbva.com/jira/browse/COLWSSEGUR-1755" TargetMode="External"/><Relationship Id="rId2483" Type="http://schemas.openxmlformats.org/officeDocument/2006/relationships/hyperlink" Target="http://carlosdavid.pacheco-bbva.com/" TargetMode="External"/><Relationship Id="rId248" Type="http://schemas.openxmlformats.org/officeDocument/2006/relationships/hyperlink" Target="http://juliocesar.estupinan-bbva.com/" TargetMode="External"/><Relationship Id="rId455" Type="http://schemas.openxmlformats.org/officeDocument/2006/relationships/hyperlink" Target="http://juhan.lozano-bbva.com/" TargetMode="External"/><Relationship Id="rId662" Type="http://schemas.openxmlformats.org/officeDocument/2006/relationships/hyperlink" Target="http://elizabeth.diaz-bbva.com/" TargetMode="External"/><Relationship Id="rId1085" Type="http://schemas.openxmlformats.org/officeDocument/2006/relationships/hyperlink" Target="http://brigitteyesenia.beltran-bbva.com/" TargetMode="External"/><Relationship Id="rId1292" Type="http://schemas.openxmlformats.org/officeDocument/2006/relationships/hyperlink" Target="https://globaldevtools.bbva.com/jira/browse/COLWSPREST-10008" TargetMode="External"/><Relationship Id="rId2136" Type="http://schemas.openxmlformats.org/officeDocument/2006/relationships/hyperlink" Target="http://hugo.mongua-bbva.com/" TargetMode="External"/><Relationship Id="rId2343" Type="http://schemas.openxmlformats.org/officeDocument/2006/relationships/hyperlink" Target="http://katherine.michaels-bbva.com/" TargetMode="External"/><Relationship Id="rId2550" Type="http://schemas.openxmlformats.org/officeDocument/2006/relationships/hyperlink" Target="http://andresfelipe.granados-bbva.com/" TargetMode="External"/><Relationship Id="rId108" Type="http://schemas.openxmlformats.org/officeDocument/2006/relationships/hyperlink" Target="http://brenda.monsalve-bbva.com/" TargetMode="External"/><Relationship Id="rId315" Type="http://schemas.openxmlformats.org/officeDocument/2006/relationships/hyperlink" Target="https://globaldevtools.bbva.com/jira/browse/COLWSPREST-7788" TargetMode="External"/><Relationship Id="rId522" Type="http://schemas.openxmlformats.org/officeDocument/2006/relationships/hyperlink" Target="http://marthaconsuelo.parra-bbva.com/" TargetMode="External"/><Relationship Id="rId967" Type="http://schemas.openxmlformats.org/officeDocument/2006/relationships/hyperlink" Target="https://globaldevtools.bbva.com/jira/browse/COLWSCONTA-44" TargetMode="External"/><Relationship Id="rId1152" Type="http://schemas.openxmlformats.org/officeDocument/2006/relationships/hyperlink" Target="http://juana.vergara-bbva.com/" TargetMode="External"/><Relationship Id="rId1597" Type="http://schemas.openxmlformats.org/officeDocument/2006/relationships/hyperlink" Target="http://jorge.carvajal-bbva.com/" TargetMode="External"/><Relationship Id="rId2203" Type="http://schemas.openxmlformats.org/officeDocument/2006/relationships/hyperlink" Target="http://mariajuliana.rodriguez-bbva.com/" TargetMode="External"/><Relationship Id="rId2410" Type="http://schemas.openxmlformats.org/officeDocument/2006/relationships/hyperlink" Target="https://globaldevtools.bbva.com/jira/browse/COLWSFNFIL-3" TargetMode="External"/><Relationship Id="rId96" Type="http://schemas.openxmlformats.org/officeDocument/2006/relationships/hyperlink" Target="https://globaldevtools.bbva.com/jira/browse/CCSS-19939" TargetMode="External"/><Relationship Id="rId827" Type="http://schemas.openxmlformats.org/officeDocument/2006/relationships/hyperlink" Target="http://karenalexandra.martinez-bbva.com/" TargetMode="External"/><Relationship Id="rId1012" Type="http://schemas.openxmlformats.org/officeDocument/2006/relationships/hyperlink" Target="https://globaldevtools.bbva.com/jira/browse/COLWSCANAL-6436" TargetMode="External"/><Relationship Id="rId1457" Type="http://schemas.openxmlformats.org/officeDocument/2006/relationships/hyperlink" Target="http://geovany.ramirez-bbva.com/" TargetMode="External"/><Relationship Id="rId1664" Type="http://schemas.openxmlformats.org/officeDocument/2006/relationships/hyperlink" Target="http://nelson.ruiz-bbva.com/" TargetMode="External"/><Relationship Id="rId1871" Type="http://schemas.openxmlformats.org/officeDocument/2006/relationships/hyperlink" Target="http://sandrajohanna.gonzalez-bbva.com/" TargetMode="External"/><Relationship Id="rId2508" Type="http://schemas.openxmlformats.org/officeDocument/2006/relationships/hyperlink" Target="http://andresfelipe.granados-bbva.com/" TargetMode="External"/><Relationship Id="rId1317" Type="http://schemas.openxmlformats.org/officeDocument/2006/relationships/hyperlink" Target="https://globaldevtools.bbva.com/jira/browse/COLWSMEDIO-4866" TargetMode="External"/><Relationship Id="rId1524" Type="http://schemas.openxmlformats.org/officeDocument/2006/relationships/hyperlink" Target="https://globaldevtools.bbva.com/jira/browse/COLWSCUENT-2427" TargetMode="External"/><Relationship Id="rId1731" Type="http://schemas.openxmlformats.org/officeDocument/2006/relationships/hyperlink" Target="http://nelson.ruiz-bbva.com/" TargetMode="External"/><Relationship Id="rId1969" Type="http://schemas.openxmlformats.org/officeDocument/2006/relationships/hyperlink" Target="http://ivan_dario.ariza-bbva.com/" TargetMode="External"/><Relationship Id="rId23" Type="http://schemas.openxmlformats.org/officeDocument/2006/relationships/hyperlink" Target="http://ana.santamaria-bbva.com/" TargetMode="External"/><Relationship Id="rId1829" Type="http://schemas.openxmlformats.org/officeDocument/2006/relationships/hyperlink" Target="https://globaldevtools.bbva.com/jira/browse/COLWSNORMA-337" TargetMode="External"/><Relationship Id="rId2298" Type="http://schemas.openxmlformats.org/officeDocument/2006/relationships/hyperlink" Target="http://mariajuliana.rodriguez-bbva.com/" TargetMode="External"/><Relationship Id="rId172" Type="http://schemas.openxmlformats.org/officeDocument/2006/relationships/hyperlink" Target="http://jimy.catolico-bbva.com/" TargetMode="External"/><Relationship Id="rId477" Type="http://schemas.openxmlformats.org/officeDocument/2006/relationships/hyperlink" Target="http://juhan.lozano-bbva.com/" TargetMode="External"/><Relationship Id="rId684" Type="http://schemas.openxmlformats.org/officeDocument/2006/relationships/hyperlink" Target="http://hugoalberto.abreo-bbva.com/" TargetMode="External"/><Relationship Id="rId2060" Type="http://schemas.openxmlformats.org/officeDocument/2006/relationships/hyperlink" Target="http://monica.zamudio-bbva.com/" TargetMode="External"/><Relationship Id="rId2158" Type="http://schemas.openxmlformats.org/officeDocument/2006/relationships/hyperlink" Target="https://globaldevtools.bbva.com/jira/browse/COLWSCUENT-2162" TargetMode="External"/><Relationship Id="rId2365" Type="http://schemas.openxmlformats.org/officeDocument/2006/relationships/hyperlink" Target="http://felipe.guzman-bbva.com/" TargetMode="External"/><Relationship Id="rId337" Type="http://schemas.openxmlformats.org/officeDocument/2006/relationships/hyperlink" Target="http://luz.rodriguez-bbva.com/" TargetMode="External"/><Relationship Id="rId891" Type="http://schemas.openxmlformats.org/officeDocument/2006/relationships/hyperlink" Target="http://ivan_dario.ariza-bbva.com/" TargetMode="External"/><Relationship Id="rId989" Type="http://schemas.openxmlformats.org/officeDocument/2006/relationships/hyperlink" Target="http://elizabeth.diaz-bbva.com/" TargetMode="External"/><Relationship Id="rId2018" Type="http://schemas.openxmlformats.org/officeDocument/2006/relationships/hyperlink" Target="http://rociomarcela.lopez-bbva.com/" TargetMode="External"/><Relationship Id="rId2572" Type="http://schemas.openxmlformats.org/officeDocument/2006/relationships/hyperlink" Target="http://monicaandrea.abogado-bbva.com/" TargetMode="External"/><Relationship Id="rId544" Type="http://schemas.openxmlformats.org/officeDocument/2006/relationships/hyperlink" Target="https://globaldevtools.bbva.com/jira/browse/COLWSCANAL-12251" TargetMode="External"/><Relationship Id="rId751" Type="http://schemas.openxmlformats.org/officeDocument/2006/relationships/hyperlink" Target="http://elizabeth.diaz-bbva.com/" TargetMode="External"/><Relationship Id="rId849" Type="http://schemas.openxmlformats.org/officeDocument/2006/relationships/hyperlink" Target="https://globaldevtools.bbva.com/jira/browse/COLWSPREST-2724" TargetMode="External"/><Relationship Id="rId1174" Type="http://schemas.openxmlformats.org/officeDocument/2006/relationships/hyperlink" Target="http://paolaandrea.hermosa-bbva.com/" TargetMode="External"/><Relationship Id="rId1381" Type="http://schemas.openxmlformats.org/officeDocument/2006/relationships/hyperlink" Target="http://geovany.ramirez-bbva.com/" TargetMode="External"/><Relationship Id="rId1479" Type="http://schemas.openxmlformats.org/officeDocument/2006/relationships/hyperlink" Target="https://globaldevtools.bbva.com/jira/browse/COLWSCANAL-5676" TargetMode="External"/><Relationship Id="rId1686" Type="http://schemas.openxmlformats.org/officeDocument/2006/relationships/hyperlink" Target="https://globaldevtools.bbva.com/jira/browse/COLWSCANAL-1294" TargetMode="External"/><Relationship Id="rId2225" Type="http://schemas.openxmlformats.org/officeDocument/2006/relationships/hyperlink" Target="http://felipe.guzman-bbva.com/" TargetMode="External"/><Relationship Id="rId2432" Type="http://schemas.openxmlformats.org/officeDocument/2006/relationships/hyperlink" Target="http://diana.bedoya-bbva.com/" TargetMode="External"/><Relationship Id="rId404" Type="http://schemas.openxmlformats.org/officeDocument/2006/relationships/hyperlink" Target="https://globaldevtools.bbva.com/jira/browse/COLWSCANAL-869" TargetMode="External"/><Relationship Id="rId611" Type="http://schemas.openxmlformats.org/officeDocument/2006/relationships/hyperlink" Target="https://globaldevtools.bbva.com/jira/browse/COLWSCANAL-1036" TargetMode="External"/><Relationship Id="rId1034" Type="http://schemas.openxmlformats.org/officeDocument/2006/relationships/hyperlink" Target="http://jeissonandres.diaz.rodriguez-bbva.com/" TargetMode="External"/><Relationship Id="rId1241" Type="http://schemas.openxmlformats.org/officeDocument/2006/relationships/hyperlink" Target="https://globaldevtools.bbva.com/jira/browse/COLWSPREST-7326" TargetMode="External"/><Relationship Id="rId1339" Type="http://schemas.openxmlformats.org/officeDocument/2006/relationships/hyperlink" Target="http://paolaandrea.guzman-bbva.com/" TargetMode="External"/><Relationship Id="rId1893" Type="http://schemas.openxmlformats.org/officeDocument/2006/relationships/hyperlink" Target="http://nathaliamaria.torres-bbva.com/" TargetMode="External"/><Relationship Id="rId709" Type="http://schemas.openxmlformats.org/officeDocument/2006/relationships/hyperlink" Target="https://globaldevtools.bbva.com/jira/browse/COLWSCANAL-14307" TargetMode="External"/><Relationship Id="rId916" Type="http://schemas.openxmlformats.org/officeDocument/2006/relationships/hyperlink" Target="http://nathiahayosara.amado-bbva.com/" TargetMode="External"/><Relationship Id="rId1101" Type="http://schemas.openxmlformats.org/officeDocument/2006/relationships/hyperlink" Target="http://brigitteyesenia.beltran-bbva.com/" TargetMode="External"/><Relationship Id="rId1546" Type="http://schemas.openxmlformats.org/officeDocument/2006/relationships/hyperlink" Target="http://paulocesar.sastoque-bbva.com/" TargetMode="External"/><Relationship Id="rId1753" Type="http://schemas.openxmlformats.org/officeDocument/2006/relationships/hyperlink" Target="https://globaldevtools.bbva.com/jira/browse/CCSS-7501" TargetMode="External"/><Relationship Id="rId1960" Type="http://schemas.openxmlformats.org/officeDocument/2006/relationships/hyperlink" Target="http://yeraldineandrea.sierra-bbva.com/" TargetMode="External"/><Relationship Id="rId45" Type="http://schemas.openxmlformats.org/officeDocument/2006/relationships/hyperlink" Target="http://ana.santamaria-bbva.com/" TargetMode="External"/><Relationship Id="rId1406" Type="http://schemas.openxmlformats.org/officeDocument/2006/relationships/hyperlink" Target="http://hugofernando.parra-bbva.com/" TargetMode="External"/><Relationship Id="rId1613" Type="http://schemas.openxmlformats.org/officeDocument/2006/relationships/hyperlink" Target="http://leidymaritza.futinico-bbva.com/" TargetMode="External"/><Relationship Id="rId1820" Type="http://schemas.openxmlformats.org/officeDocument/2006/relationships/hyperlink" Target="http://carlosdavid.pacheco-bbva.com/" TargetMode="External"/><Relationship Id="rId194" Type="http://schemas.openxmlformats.org/officeDocument/2006/relationships/hyperlink" Target="https://globaldevtools.bbva.com/jira/browse/COLWSPREST-3775" TargetMode="External"/><Relationship Id="rId1918" Type="http://schemas.openxmlformats.org/officeDocument/2006/relationships/hyperlink" Target="http://andresfelipe.granados-bbva.com/" TargetMode="External"/><Relationship Id="rId2082" Type="http://schemas.openxmlformats.org/officeDocument/2006/relationships/hyperlink" Target="http://hugo.mongua-bbva.com/" TargetMode="External"/><Relationship Id="rId261" Type="http://schemas.openxmlformats.org/officeDocument/2006/relationships/hyperlink" Target="http://andres.carrandi-bbva.com/" TargetMode="External"/><Relationship Id="rId499" Type="http://schemas.openxmlformats.org/officeDocument/2006/relationships/hyperlink" Target="http://jimy.catolico-bbva.com/" TargetMode="External"/><Relationship Id="rId2387" Type="http://schemas.openxmlformats.org/officeDocument/2006/relationships/hyperlink" Target="http://juan.orozco-bbva.com/" TargetMode="External"/><Relationship Id="rId2594" Type="http://schemas.openxmlformats.org/officeDocument/2006/relationships/hyperlink" Target="http://marthaconsuelo.parra-bbva.com/" TargetMode="External"/><Relationship Id="rId359" Type="http://schemas.openxmlformats.org/officeDocument/2006/relationships/hyperlink" Target="http://luz.rodriguez-bbva.com/" TargetMode="External"/><Relationship Id="rId566" Type="http://schemas.openxmlformats.org/officeDocument/2006/relationships/hyperlink" Target="http://nathaliamaria.torres-bbva.com/" TargetMode="External"/><Relationship Id="rId773" Type="http://schemas.openxmlformats.org/officeDocument/2006/relationships/hyperlink" Target="http://leidyjohanna.zambrano-bbva.com/" TargetMode="External"/><Relationship Id="rId1196" Type="http://schemas.openxmlformats.org/officeDocument/2006/relationships/hyperlink" Target="http://rociomarcela.lopez-bbva.com/" TargetMode="External"/><Relationship Id="rId2247" Type="http://schemas.openxmlformats.org/officeDocument/2006/relationships/hyperlink" Target="http://felipe.guzman-bbva.com/" TargetMode="External"/><Relationship Id="rId2454" Type="http://schemas.openxmlformats.org/officeDocument/2006/relationships/hyperlink" Target="https://globaldevtools.bbva.com/jira/browse/CFS1-165" TargetMode="External"/><Relationship Id="rId121" Type="http://schemas.openxmlformats.org/officeDocument/2006/relationships/hyperlink" Target="http://josedanilo.virguez-bbva.com/" TargetMode="External"/><Relationship Id="rId219" Type="http://schemas.openxmlformats.org/officeDocument/2006/relationships/hyperlink" Target="http://jimy.catolico-bbva.com/" TargetMode="External"/><Relationship Id="rId426" Type="http://schemas.openxmlformats.org/officeDocument/2006/relationships/hyperlink" Target="http://giulianaandrea.guarin-bbva.com/" TargetMode="External"/><Relationship Id="rId633" Type="http://schemas.openxmlformats.org/officeDocument/2006/relationships/hyperlink" Target="http://leidyviviana.patino-bbva.com/" TargetMode="External"/><Relationship Id="rId980" Type="http://schemas.openxmlformats.org/officeDocument/2006/relationships/hyperlink" Target="http://nathiahayosara.amado-bbva.com/" TargetMode="External"/><Relationship Id="rId1056" Type="http://schemas.openxmlformats.org/officeDocument/2006/relationships/hyperlink" Target="http://nathiahayosara.amado-bbva.com/" TargetMode="External"/><Relationship Id="rId1263" Type="http://schemas.openxmlformats.org/officeDocument/2006/relationships/hyperlink" Target="http://paolaandrea.guzman-bbva.com/" TargetMode="External"/><Relationship Id="rId2107" Type="http://schemas.openxmlformats.org/officeDocument/2006/relationships/hyperlink" Target="https://globaldevtools.bbva.com/jira/browse/COLWSCUENT-1833" TargetMode="External"/><Relationship Id="rId2314" Type="http://schemas.openxmlformats.org/officeDocument/2006/relationships/hyperlink" Target="http://felipe.guzman-bbva.com/" TargetMode="External"/><Relationship Id="rId840" Type="http://schemas.openxmlformats.org/officeDocument/2006/relationships/hyperlink" Target="http://josealejandro.duenas-bbva.com/" TargetMode="External"/><Relationship Id="rId938" Type="http://schemas.openxmlformats.org/officeDocument/2006/relationships/hyperlink" Target="http://elizabeth.diaz-bbva.com/" TargetMode="External"/><Relationship Id="rId1470" Type="http://schemas.openxmlformats.org/officeDocument/2006/relationships/hyperlink" Target="http://monica.zamudio-bbva.com/" TargetMode="External"/><Relationship Id="rId1568" Type="http://schemas.openxmlformats.org/officeDocument/2006/relationships/hyperlink" Target="http://vivianamarcela.rueda-bbva.com/" TargetMode="External"/><Relationship Id="rId1775" Type="http://schemas.openxmlformats.org/officeDocument/2006/relationships/hyperlink" Target="http://nelson.ruiz-bbva.com/" TargetMode="External"/><Relationship Id="rId2521" Type="http://schemas.openxmlformats.org/officeDocument/2006/relationships/hyperlink" Target="http://nathaliamaria.torres-bbva.com/" TargetMode="External"/><Relationship Id="rId67" Type="http://schemas.openxmlformats.org/officeDocument/2006/relationships/hyperlink" Target="https://globaldevtools.bbva.com/jira/browse/COLWSCRM-2173" TargetMode="External"/><Relationship Id="rId700" Type="http://schemas.openxmlformats.org/officeDocument/2006/relationships/hyperlink" Target="http://leidyjohanna.zambrano-bbva.com/" TargetMode="External"/><Relationship Id="rId1123" Type="http://schemas.openxmlformats.org/officeDocument/2006/relationships/hyperlink" Target="http://brigitteyesenia.beltran-bbva.com/" TargetMode="External"/><Relationship Id="rId1330" Type="http://schemas.openxmlformats.org/officeDocument/2006/relationships/hyperlink" Target="http://angie.castaneda-bbva.com/" TargetMode="External"/><Relationship Id="rId1428" Type="http://schemas.openxmlformats.org/officeDocument/2006/relationships/hyperlink" Target="http://hugofernando.parra-bbva.com/" TargetMode="External"/><Relationship Id="rId1635" Type="http://schemas.openxmlformats.org/officeDocument/2006/relationships/hyperlink" Target="http://andrea.orrego-bbva.com/" TargetMode="External"/><Relationship Id="rId1982" Type="http://schemas.openxmlformats.org/officeDocument/2006/relationships/hyperlink" Target="http://alirio.bermudez-bbva.com/" TargetMode="External"/><Relationship Id="rId1842" Type="http://schemas.openxmlformats.org/officeDocument/2006/relationships/hyperlink" Target="http://alirio.bermudez-bbva.com/" TargetMode="External"/><Relationship Id="rId1702" Type="http://schemas.openxmlformats.org/officeDocument/2006/relationships/hyperlink" Target="https://globaldevtools.bbva.com/jira/browse/COLWSCANAL-14969" TargetMode="External"/><Relationship Id="rId283" Type="http://schemas.openxmlformats.org/officeDocument/2006/relationships/hyperlink" Target="http://jhon.molina-bbva.com/" TargetMode="External"/><Relationship Id="rId490" Type="http://schemas.openxmlformats.org/officeDocument/2006/relationships/hyperlink" Target="http://jimy.catolico-bbva.com/" TargetMode="External"/><Relationship Id="rId2171" Type="http://schemas.openxmlformats.org/officeDocument/2006/relationships/hyperlink" Target="http://katherine.michaels-bbva.com/" TargetMode="External"/><Relationship Id="rId143" Type="http://schemas.openxmlformats.org/officeDocument/2006/relationships/hyperlink" Target="http://ana.santamaria-bbva.com/" TargetMode="External"/><Relationship Id="rId350" Type="http://schemas.openxmlformats.org/officeDocument/2006/relationships/hyperlink" Target="http://wilson.vera-bbva.com/" TargetMode="External"/><Relationship Id="rId588" Type="http://schemas.openxmlformats.org/officeDocument/2006/relationships/hyperlink" Target="http://catalina.villamil-bbva.com/" TargetMode="External"/><Relationship Id="rId795" Type="http://schemas.openxmlformats.org/officeDocument/2006/relationships/hyperlink" Target="https://globaldevtools.bbva.com/jira/browse/COLWSCANAL-13893" TargetMode="External"/><Relationship Id="rId2031" Type="http://schemas.openxmlformats.org/officeDocument/2006/relationships/hyperlink" Target="http://marthapatric.cruz-bbva.com/" TargetMode="External"/><Relationship Id="rId2269" Type="http://schemas.openxmlformats.org/officeDocument/2006/relationships/hyperlink" Target="http://katherine.michaels-bbva.com/" TargetMode="External"/><Relationship Id="rId2476" Type="http://schemas.openxmlformats.org/officeDocument/2006/relationships/hyperlink" Target="http://carlosandres.moque-bbva.com/" TargetMode="External"/><Relationship Id="rId9" Type="http://schemas.openxmlformats.org/officeDocument/2006/relationships/hyperlink" Target="http://ana.santamaria-bbva.com/" TargetMode="External"/><Relationship Id="rId210" Type="http://schemas.openxmlformats.org/officeDocument/2006/relationships/hyperlink" Target="https://globaldevtools.bbva.com/jira/browse/COLWSCANAL-6848" TargetMode="External"/><Relationship Id="rId448" Type="http://schemas.openxmlformats.org/officeDocument/2006/relationships/hyperlink" Target="https://globaldevtools.bbva.com/jira/browse/COLWSCANAL-13342" TargetMode="External"/><Relationship Id="rId655" Type="http://schemas.openxmlformats.org/officeDocument/2006/relationships/hyperlink" Target="https://globaldevtools.bbva.com/jira/browse/COLWSCANAL-11607" TargetMode="External"/><Relationship Id="rId862" Type="http://schemas.openxmlformats.org/officeDocument/2006/relationships/hyperlink" Target="http://nathiahayosara.amado-bbva.com/" TargetMode="External"/><Relationship Id="rId1078" Type="http://schemas.openxmlformats.org/officeDocument/2006/relationships/hyperlink" Target="http://elizabeth.diaz-bbva.com/" TargetMode="External"/><Relationship Id="rId1285" Type="http://schemas.openxmlformats.org/officeDocument/2006/relationships/hyperlink" Target="http://angie.castaneda-bbva.com/" TargetMode="External"/><Relationship Id="rId1492" Type="http://schemas.openxmlformats.org/officeDocument/2006/relationships/hyperlink" Target="http://hugofernando.parra-bbva.com/" TargetMode="External"/><Relationship Id="rId2129" Type="http://schemas.openxmlformats.org/officeDocument/2006/relationships/hyperlink" Target="http://hugo.mongua-bbva.com/" TargetMode="External"/><Relationship Id="rId2336" Type="http://schemas.openxmlformats.org/officeDocument/2006/relationships/hyperlink" Target="http://katherine.michaels-bbva.com/" TargetMode="External"/><Relationship Id="rId2543" Type="http://schemas.openxmlformats.org/officeDocument/2006/relationships/hyperlink" Target="http://rociomarcela.lopez-bbva.com/" TargetMode="External"/><Relationship Id="rId308" Type="http://schemas.openxmlformats.org/officeDocument/2006/relationships/hyperlink" Target="http://jimy.catolico-bbva.com/" TargetMode="External"/><Relationship Id="rId515" Type="http://schemas.openxmlformats.org/officeDocument/2006/relationships/hyperlink" Target="https://globaldevtools.bbva.com/jira/browse/CCSS-7138" TargetMode="External"/><Relationship Id="rId722" Type="http://schemas.openxmlformats.org/officeDocument/2006/relationships/hyperlink" Target="http://nathiahayosara.amado-bbva.com/" TargetMode="External"/><Relationship Id="rId1145" Type="http://schemas.openxmlformats.org/officeDocument/2006/relationships/hyperlink" Target="http://andresfelipe.granados-bbva.com/" TargetMode="External"/><Relationship Id="rId1352" Type="http://schemas.openxmlformats.org/officeDocument/2006/relationships/hyperlink" Target="https://globaldevtools.bbva.com/jira/browse/COLWSMEDIO-6117" TargetMode="External"/><Relationship Id="rId1797" Type="http://schemas.openxmlformats.org/officeDocument/2006/relationships/hyperlink" Target="http://alirio.bermudez-bbva.com/" TargetMode="External"/><Relationship Id="rId2403" Type="http://schemas.openxmlformats.org/officeDocument/2006/relationships/hyperlink" Target="http://juan.orozco-bbva.com/" TargetMode="External"/><Relationship Id="rId89" Type="http://schemas.openxmlformats.org/officeDocument/2006/relationships/hyperlink" Target="http://ana.santamaria-bbva.com/" TargetMode="External"/><Relationship Id="rId1005" Type="http://schemas.openxmlformats.org/officeDocument/2006/relationships/hyperlink" Target="http://nathiahayosara.amado-bbva.com/" TargetMode="External"/><Relationship Id="rId1212" Type="http://schemas.openxmlformats.org/officeDocument/2006/relationships/hyperlink" Target="https://globaldevtools.bbva.com/jira/browse/COLWSPREST-7932" TargetMode="External"/><Relationship Id="rId1657" Type="http://schemas.openxmlformats.org/officeDocument/2006/relationships/hyperlink" Target="http://nelson.ruiz-bbva.com/" TargetMode="External"/><Relationship Id="rId1864" Type="http://schemas.openxmlformats.org/officeDocument/2006/relationships/hyperlink" Target="http://yurimilena.moreno-bbva.com/" TargetMode="External"/><Relationship Id="rId1517" Type="http://schemas.openxmlformats.org/officeDocument/2006/relationships/hyperlink" Target="http://hugofernando.parra-bbva.com/" TargetMode="External"/><Relationship Id="rId1724" Type="http://schemas.openxmlformats.org/officeDocument/2006/relationships/hyperlink" Target="http://elizabeth.diaz-bbva.com/" TargetMode="External"/><Relationship Id="rId16" Type="http://schemas.openxmlformats.org/officeDocument/2006/relationships/hyperlink" Target="https://globaldevtools.bbva.com/jira/browse/COLWSCRM-2287" TargetMode="External"/><Relationship Id="rId1931" Type="http://schemas.openxmlformats.org/officeDocument/2006/relationships/hyperlink" Target="https://globaldevtools.bbva.com/jira/browse/COLWSMEDIO-2346" TargetMode="External"/><Relationship Id="rId2193" Type="http://schemas.openxmlformats.org/officeDocument/2006/relationships/hyperlink" Target="https://globaldevtools.bbva.com/jira/browse/COLWSSEGUR-72" TargetMode="External"/><Relationship Id="rId2498" Type="http://schemas.openxmlformats.org/officeDocument/2006/relationships/hyperlink" Target="http://yeraldineandrea.sierra-bbva.com/" TargetMode="External"/><Relationship Id="rId165" Type="http://schemas.openxmlformats.org/officeDocument/2006/relationships/hyperlink" Target="http://carlosalbert.perez-bbva.com/" TargetMode="External"/><Relationship Id="rId372" Type="http://schemas.openxmlformats.org/officeDocument/2006/relationships/hyperlink" Target="https://globaldevtools.bbva.com/jira/browse/COLWSCANAL-933" TargetMode="External"/><Relationship Id="rId677" Type="http://schemas.openxmlformats.org/officeDocument/2006/relationships/hyperlink" Target="http://huvertyadir.ramirez-bbva.com/" TargetMode="External"/><Relationship Id="rId2053" Type="http://schemas.openxmlformats.org/officeDocument/2006/relationships/hyperlink" Target="http://marthapatric.cruz-bbva.com/" TargetMode="External"/><Relationship Id="rId2260" Type="http://schemas.openxmlformats.org/officeDocument/2006/relationships/hyperlink" Target="https://globaldevtools.bbva.com/jira/browse/CIS-363" TargetMode="External"/><Relationship Id="rId2358" Type="http://schemas.openxmlformats.org/officeDocument/2006/relationships/hyperlink" Target="https://globaldevtools.bbva.com/jira/browse/COLWSSEGUR-1263" TargetMode="External"/><Relationship Id="rId232" Type="http://schemas.openxmlformats.org/officeDocument/2006/relationships/hyperlink" Target="http://juliocesar.estupinan-bbva.com/" TargetMode="External"/><Relationship Id="rId884" Type="http://schemas.openxmlformats.org/officeDocument/2006/relationships/hyperlink" Target="http://ivan_dario.ariza-bbva.com/" TargetMode="External"/><Relationship Id="rId2120" Type="http://schemas.openxmlformats.org/officeDocument/2006/relationships/hyperlink" Target="http://alirio.bermudez-bbva.com/" TargetMode="External"/><Relationship Id="rId2565" Type="http://schemas.openxmlformats.org/officeDocument/2006/relationships/hyperlink" Target="http://andrea.orrego-bbva.com/" TargetMode="External"/><Relationship Id="rId537" Type="http://schemas.openxmlformats.org/officeDocument/2006/relationships/hyperlink" Target="http://catalina.villamil-bbva.com/" TargetMode="External"/><Relationship Id="rId744" Type="http://schemas.openxmlformats.org/officeDocument/2006/relationships/hyperlink" Target="https://globaldevtools.bbva.com/jira/browse/COLWSCANAL-13934" TargetMode="External"/><Relationship Id="rId951" Type="http://schemas.openxmlformats.org/officeDocument/2006/relationships/hyperlink" Target="https://globaldevtools.bbva.com/jira/browse/COLWSCONTA-33" TargetMode="External"/><Relationship Id="rId1167" Type="http://schemas.openxmlformats.org/officeDocument/2006/relationships/hyperlink" Target="http://katherine.pardo-bbva.com/" TargetMode="External"/><Relationship Id="rId1374" Type="http://schemas.openxmlformats.org/officeDocument/2006/relationships/hyperlink" Target="http://andresfelipe.granados-bbva.com/" TargetMode="External"/><Relationship Id="rId1581" Type="http://schemas.openxmlformats.org/officeDocument/2006/relationships/hyperlink" Target="http://juana.vergara-bbva.com/" TargetMode="External"/><Relationship Id="rId1679" Type="http://schemas.openxmlformats.org/officeDocument/2006/relationships/hyperlink" Target="http://alirio.bermudez-bbva.com/" TargetMode="External"/><Relationship Id="rId2218" Type="http://schemas.openxmlformats.org/officeDocument/2006/relationships/hyperlink" Target="http://felipe.guzman-bbva.com/" TargetMode="External"/><Relationship Id="rId2425" Type="http://schemas.openxmlformats.org/officeDocument/2006/relationships/hyperlink" Target="http://felipesantiago.araujo-bbva.com/" TargetMode="External"/><Relationship Id="rId80" Type="http://schemas.openxmlformats.org/officeDocument/2006/relationships/hyperlink" Target="https://globaldevtools.bbva.com/jira/browse/COLWSCRM-2297" TargetMode="External"/><Relationship Id="rId604" Type="http://schemas.openxmlformats.org/officeDocument/2006/relationships/hyperlink" Target="http://catalina.villamil-bbva.com/" TargetMode="External"/><Relationship Id="rId811" Type="http://schemas.openxmlformats.org/officeDocument/2006/relationships/hyperlink" Target="http://nathiahayosara.amado-bbva.com/" TargetMode="External"/><Relationship Id="rId1027" Type="http://schemas.openxmlformats.org/officeDocument/2006/relationships/hyperlink" Target="http://elizabeth.diaz-bbva.com/" TargetMode="External"/><Relationship Id="rId1234" Type="http://schemas.openxmlformats.org/officeDocument/2006/relationships/hyperlink" Target="http://angie.castaneda-bbva.com/" TargetMode="External"/><Relationship Id="rId1441" Type="http://schemas.openxmlformats.org/officeDocument/2006/relationships/hyperlink" Target="http://geovany.ramirez-bbva.com/" TargetMode="External"/><Relationship Id="rId1886" Type="http://schemas.openxmlformats.org/officeDocument/2006/relationships/hyperlink" Target="https://globaldevtools.bbva.com/jira/browse/COLWSMEDIO-6460" TargetMode="External"/><Relationship Id="rId909" Type="http://schemas.openxmlformats.org/officeDocument/2006/relationships/hyperlink" Target="http://jeissonandres.diaz.rodriguez-bbva.com/" TargetMode="External"/><Relationship Id="rId1301" Type="http://schemas.openxmlformats.org/officeDocument/2006/relationships/hyperlink" Target="http://liliana.marquez-bbva.com/" TargetMode="External"/><Relationship Id="rId1539" Type="http://schemas.openxmlformats.org/officeDocument/2006/relationships/hyperlink" Target="https://globaldevtools.bbva.com/jira/browse/COLWSSWTC-230" TargetMode="External"/><Relationship Id="rId1746" Type="http://schemas.openxmlformats.org/officeDocument/2006/relationships/hyperlink" Target="http://alirio.bermudez-bbva.com/" TargetMode="External"/><Relationship Id="rId1953" Type="http://schemas.openxmlformats.org/officeDocument/2006/relationships/hyperlink" Target="http://ivan_dario.ariza-bbva.com/" TargetMode="External"/><Relationship Id="rId38" Type="http://schemas.openxmlformats.org/officeDocument/2006/relationships/hyperlink" Target="http://paulajimena.cely-bbva.com/" TargetMode="External"/><Relationship Id="rId1606" Type="http://schemas.openxmlformats.org/officeDocument/2006/relationships/hyperlink" Target="http://sandrajohanna.gonzalez-bbva.com/" TargetMode="External"/><Relationship Id="rId1813" Type="http://schemas.openxmlformats.org/officeDocument/2006/relationships/hyperlink" Target="http://monicaandrea.abogado-bbva.com/" TargetMode="External"/><Relationship Id="rId187" Type="http://schemas.openxmlformats.org/officeDocument/2006/relationships/hyperlink" Target="http://jimy.catolico-bbva.com/" TargetMode="External"/><Relationship Id="rId394" Type="http://schemas.openxmlformats.org/officeDocument/2006/relationships/hyperlink" Target="http://giulianaandrea.guarin-bbva.com/" TargetMode="External"/><Relationship Id="rId2075" Type="http://schemas.openxmlformats.org/officeDocument/2006/relationships/hyperlink" Target="http://marthapatric.cruz-bbva.com/" TargetMode="External"/><Relationship Id="rId2282" Type="http://schemas.openxmlformats.org/officeDocument/2006/relationships/hyperlink" Target="http://mariajuliana.rodriguez-bbva.com/" TargetMode="External"/><Relationship Id="rId254" Type="http://schemas.openxmlformats.org/officeDocument/2006/relationships/hyperlink" Target="https://globaldevtools.bbva.com/jira/browse/COLWSCANAL-14723" TargetMode="External"/><Relationship Id="rId699" Type="http://schemas.openxmlformats.org/officeDocument/2006/relationships/hyperlink" Target="http://nathiahayosara.amado-bbva.com/" TargetMode="External"/><Relationship Id="rId1091" Type="http://schemas.openxmlformats.org/officeDocument/2006/relationships/hyperlink" Target="https://globaldevtools.bbva.com/jira/browse/COLWSHERRA-1" TargetMode="External"/><Relationship Id="rId2587" Type="http://schemas.openxmlformats.org/officeDocument/2006/relationships/hyperlink" Target="http://jimy.catolico-bbva.com/" TargetMode="External"/><Relationship Id="rId114" Type="http://schemas.openxmlformats.org/officeDocument/2006/relationships/hyperlink" Target="https://globaldevtools.bbva.com/jira/browse/COLWSCRM-2300" TargetMode="External"/><Relationship Id="rId461" Type="http://schemas.openxmlformats.org/officeDocument/2006/relationships/hyperlink" Target="http://jimy.catolico-bbva.com/" TargetMode="External"/><Relationship Id="rId559" Type="http://schemas.openxmlformats.org/officeDocument/2006/relationships/hyperlink" Target="http://ivan_dario.ariza-bbva.com/" TargetMode="External"/><Relationship Id="rId766" Type="http://schemas.openxmlformats.org/officeDocument/2006/relationships/hyperlink" Target="http://elizabeth.diaz-bbva.com/" TargetMode="External"/><Relationship Id="rId1189" Type="http://schemas.openxmlformats.org/officeDocument/2006/relationships/hyperlink" Target="https://globaldevtools.bbva.com/jira/browse/COLWSPREST-7002" TargetMode="External"/><Relationship Id="rId1396" Type="http://schemas.openxmlformats.org/officeDocument/2006/relationships/hyperlink" Target="http://juana.vergara-bbva.com/" TargetMode="External"/><Relationship Id="rId2142" Type="http://schemas.openxmlformats.org/officeDocument/2006/relationships/hyperlink" Target="https://globaldevtools.bbva.com/jira/browse/COLWSCUENT-551" TargetMode="External"/><Relationship Id="rId2447" Type="http://schemas.openxmlformats.org/officeDocument/2006/relationships/hyperlink" Target="http://juan.orozco-bbva.com/" TargetMode="External"/><Relationship Id="rId321" Type="http://schemas.openxmlformats.org/officeDocument/2006/relationships/hyperlink" Target="http://cindytatiana.perilla-bbva.com/" TargetMode="External"/><Relationship Id="rId419" Type="http://schemas.openxmlformats.org/officeDocument/2006/relationships/hyperlink" Target="http://juhan.lozano-bbva.com/" TargetMode="External"/><Relationship Id="rId626" Type="http://schemas.openxmlformats.org/officeDocument/2006/relationships/hyperlink" Target="http://josealejandro.duenas-bbva.com/" TargetMode="External"/><Relationship Id="rId973" Type="http://schemas.openxmlformats.org/officeDocument/2006/relationships/hyperlink" Target="http://jeissonandres.diaz.rodriguez-bbva.com/" TargetMode="External"/><Relationship Id="rId1049" Type="http://schemas.openxmlformats.org/officeDocument/2006/relationships/hyperlink" Target="http://nathiahayosara.amado-bbva.com/" TargetMode="External"/><Relationship Id="rId1256" Type="http://schemas.openxmlformats.org/officeDocument/2006/relationships/hyperlink" Target="http://diegoandres.rodriguez-bbva.com/" TargetMode="External"/><Relationship Id="rId2002" Type="http://schemas.openxmlformats.org/officeDocument/2006/relationships/hyperlink" Target="http://olga.lara-bbva.com/" TargetMode="External"/><Relationship Id="rId2307" Type="http://schemas.openxmlformats.org/officeDocument/2006/relationships/hyperlink" Target="http://josedaniel.sanabria-bbva.com/" TargetMode="External"/><Relationship Id="rId833" Type="http://schemas.openxmlformats.org/officeDocument/2006/relationships/hyperlink" Target="https://globaldevtools.bbva.com/jira/browse/COLWSPREST-5260" TargetMode="External"/><Relationship Id="rId1116" Type="http://schemas.openxmlformats.org/officeDocument/2006/relationships/hyperlink" Target="http://angie.castaneda-bbva.com/" TargetMode="External"/><Relationship Id="rId1463" Type="http://schemas.openxmlformats.org/officeDocument/2006/relationships/hyperlink" Target="https://globaldevtools.bbva.com/jira/browse/COLWSPREST-7862" TargetMode="External"/><Relationship Id="rId1670" Type="http://schemas.openxmlformats.org/officeDocument/2006/relationships/hyperlink" Target="https://globaldevtools.bbva.com/jira/browse/CCSS-6399" TargetMode="External"/><Relationship Id="rId1768" Type="http://schemas.openxmlformats.org/officeDocument/2006/relationships/hyperlink" Target="http://elizabeth.diaz-bbva.com/" TargetMode="External"/><Relationship Id="rId2514" Type="http://schemas.openxmlformats.org/officeDocument/2006/relationships/hyperlink" Target="http://alirio.bermudez-bbva.com/" TargetMode="External"/><Relationship Id="rId900" Type="http://schemas.openxmlformats.org/officeDocument/2006/relationships/hyperlink" Target="http://nathiahayosara.amado-bbva.com/" TargetMode="External"/><Relationship Id="rId1323" Type="http://schemas.openxmlformats.org/officeDocument/2006/relationships/hyperlink" Target="http://judy.prieto-bbva.com/" TargetMode="External"/><Relationship Id="rId1530" Type="http://schemas.openxmlformats.org/officeDocument/2006/relationships/hyperlink" Target="http://paulocesar.sastoque-bbva.com/" TargetMode="External"/><Relationship Id="rId1628" Type="http://schemas.openxmlformats.org/officeDocument/2006/relationships/hyperlink" Target="http://andrea.orrego-bbva.com/" TargetMode="External"/><Relationship Id="rId1975" Type="http://schemas.openxmlformats.org/officeDocument/2006/relationships/hyperlink" Target="http://alirio.bermudez-bbva.com/" TargetMode="External"/><Relationship Id="rId1835" Type="http://schemas.openxmlformats.org/officeDocument/2006/relationships/hyperlink" Target="http://marthapatric.cruz-bbva.com/" TargetMode="External"/><Relationship Id="rId1902" Type="http://schemas.openxmlformats.org/officeDocument/2006/relationships/hyperlink" Target="http://alirio.bermudez-bbva.com/" TargetMode="External"/><Relationship Id="rId2097" Type="http://schemas.openxmlformats.org/officeDocument/2006/relationships/hyperlink" Target="http://hugo.mongua-bbva.com/" TargetMode="External"/><Relationship Id="rId276" Type="http://schemas.openxmlformats.org/officeDocument/2006/relationships/hyperlink" Target="https://globaldevtools.bbva.com/jira/browse/COLWSCANAL-14068" TargetMode="External"/><Relationship Id="rId483" Type="http://schemas.openxmlformats.org/officeDocument/2006/relationships/hyperlink" Target="http://juhan.lozano-bbva.com/" TargetMode="External"/><Relationship Id="rId690" Type="http://schemas.openxmlformats.org/officeDocument/2006/relationships/hyperlink" Target="http://hugoalberto.abreo-bbva.com/" TargetMode="External"/><Relationship Id="rId2164" Type="http://schemas.openxmlformats.org/officeDocument/2006/relationships/hyperlink" Target="http://dianacarolina.gonzalez.castri-bbva.com/" TargetMode="External"/><Relationship Id="rId2371" Type="http://schemas.openxmlformats.org/officeDocument/2006/relationships/hyperlink" Target="http://katherine.michaels-bbva.com/" TargetMode="External"/><Relationship Id="rId136" Type="http://schemas.openxmlformats.org/officeDocument/2006/relationships/hyperlink" Target="http://paulajimena.cely-bbva.com/" TargetMode="External"/><Relationship Id="rId343" Type="http://schemas.openxmlformats.org/officeDocument/2006/relationships/hyperlink" Target="http://wilson.vera-bbva.com/" TargetMode="External"/><Relationship Id="rId550" Type="http://schemas.openxmlformats.org/officeDocument/2006/relationships/hyperlink" Target="http://irene.angel-bbva.com/" TargetMode="External"/><Relationship Id="rId788" Type="http://schemas.openxmlformats.org/officeDocument/2006/relationships/hyperlink" Target="http://nathiahayosara.amado-bbva.com/" TargetMode="External"/><Relationship Id="rId995" Type="http://schemas.openxmlformats.org/officeDocument/2006/relationships/hyperlink" Target="http://elizabeth.diaz-bbva.com/" TargetMode="External"/><Relationship Id="rId1180" Type="http://schemas.openxmlformats.org/officeDocument/2006/relationships/hyperlink" Target="http://katherine.pardo-bbva.com/" TargetMode="External"/><Relationship Id="rId2024" Type="http://schemas.openxmlformats.org/officeDocument/2006/relationships/hyperlink" Target="http://olga.lara-bbva.com/" TargetMode="External"/><Relationship Id="rId2231" Type="http://schemas.openxmlformats.org/officeDocument/2006/relationships/hyperlink" Target="http://katherine.michaels-bbva.com/" TargetMode="External"/><Relationship Id="rId2469" Type="http://schemas.openxmlformats.org/officeDocument/2006/relationships/hyperlink" Target="http://fernando.garciameza-bbva.com/" TargetMode="External"/><Relationship Id="rId203" Type="http://schemas.openxmlformats.org/officeDocument/2006/relationships/hyperlink" Target="http://jimy.catolico-bbva.com/" TargetMode="External"/><Relationship Id="rId648" Type="http://schemas.openxmlformats.org/officeDocument/2006/relationships/hyperlink" Target="http://catalina.villamil-bbva.com/" TargetMode="External"/><Relationship Id="rId855" Type="http://schemas.openxmlformats.org/officeDocument/2006/relationships/hyperlink" Target="http://karenalexandra.martinez-bbva.com/" TargetMode="External"/><Relationship Id="rId1040" Type="http://schemas.openxmlformats.org/officeDocument/2006/relationships/hyperlink" Target="https://globaldevtools.bbva.com/jira/browse/COLWSCONTA-575" TargetMode="External"/><Relationship Id="rId1278" Type="http://schemas.openxmlformats.org/officeDocument/2006/relationships/hyperlink" Target="http://liliana.marquez-bbva.com/" TargetMode="External"/><Relationship Id="rId1485" Type="http://schemas.openxmlformats.org/officeDocument/2006/relationships/hyperlink" Target="http://rociomarcela.lopez-bbva.com/" TargetMode="External"/><Relationship Id="rId1692" Type="http://schemas.openxmlformats.org/officeDocument/2006/relationships/hyperlink" Target="http://nelson.ruiz-bbva.com/" TargetMode="External"/><Relationship Id="rId2329" Type="http://schemas.openxmlformats.org/officeDocument/2006/relationships/hyperlink" Target="http://dianacarolina.gonzalez.castri-bbva.com/" TargetMode="External"/><Relationship Id="rId2536" Type="http://schemas.openxmlformats.org/officeDocument/2006/relationships/hyperlink" Target="http://nathaliamaria.torres-bbva.com/" TargetMode="External"/><Relationship Id="rId410" Type="http://schemas.openxmlformats.org/officeDocument/2006/relationships/hyperlink" Target="http://giulianaandrea.guarin-bbva.com/" TargetMode="External"/><Relationship Id="rId508" Type="http://schemas.openxmlformats.org/officeDocument/2006/relationships/hyperlink" Target="http://jimy.catolico-bbva.com/" TargetMode="External"/><Relationship Id="rId715" Type="http://schemas.openxmlformats.org/officeDocument/2006/relationships/hyperlink" Target="http://leidyjohanna.zambrano-bbva.com/" TargetMode="External"/><Relationship Id="rId922" Type="http://schemas.openxmlformats.org/officeDocument/2006/relationships/hyperlink" Target="http://elizabeth.diaz-bbva.com/" TargetMode="External"/><Relationship Id="rId1138" Type="http://schemas.openxmlformats.org/officeDocument/2006/relationships/hyperlink" Target="http://andresfelipe.granados-bbva.com/" TargetMode="External"/><Relationship Id="rId1345" Type="http://schemas.openxmlformats.org/officeDocument/2006/relationships/hyperlink" Target="http://angie.castaneda-bbva.com/" TargetMode="External"/><Relationship Id="rId1552" Type="http://schemas.openxmlformats.org/officeDocument/2006/relationships/hyperlink" Target="http://hugofernando.parra-bbva.com/" TargetMode="External"/><Relationship Id="rId1997" Type="http://schemas.openxmlformats.org/officeDocument/2006/relationships/hyperlink" Target="http://alirio.bermudez-bbva.com/" TargetMode="External"/><Relationship Id="rId2603" Type="http://schemas.openxmlformats.org/officeDocument/2006/relationships/hyperlink" Target="https://globaldevtools.bbva.com/jira/browse/COLWSCRM-2442" TargetMode="External"/><Relationship Id="rId1205" Type="http://schemas.openxmlformats.org/officeDocument/2006/relationships/hyperlink" Target="http://angie.castaneda-bbva.com/" TargetMode="External"/><Relationship Id="rId1857" Type="http://schemas.openxmlformats.org/officeDocument/2006/relationships/hyperlink" Target="https://globaldevtools.bbva.com/jira/browse/COLWSNORMA-1038" TargetMode="External"/><Relationship Id="rId51" Type="http://schemas.openxmlformats.org/officeDocument/2006/relationships/hyperlink" Target="http://pabloalexand.ortiz-bbva.com/" TargetMode="External"/><Relationship Id="rId1412" Type="http://schemas.openxmlformats.org/officeDocument/2006/relationships/hyperlink" Target="http://santiago.campuzano-bbva.com/" TargetMode="External"/><Relationship Id="rId1717" Type="http://schemas.openxmlformats.org/officeDocument/2006/relationships/hyperlink" Target="https://globaldevtools.bbva.com/jira/browse/COLWSCONTA-1557" TargetMode="External"/><Relationship Id="rId1924" Type="http://schemas.openxmlformats.org/officeDocument/2006/relationships/hyperlink" Target="http://alirio.bermudez-bbva.com/" TargetMode="External"/><Relationship Id="rId298" Type="http://schemas.openxmlformats.org/officeDocument/2006/relationships/hyperlink" Target="http://paolaandrea.hermosa-bbva.com/" TargetMode="External"/><Relationship Id="rId158" Type="http://schemas.openxmlformats.org/officeDocument/2006/relationships/hyperlink" Target="http://rodrigo.ardila-bbva.com/" TargetMode="External"/><Relationship Id="rId2186" Type="http://schemas.openxmlformats.org/officeDocument/2006/relationships/hyperlink" Target="https://globaldevtools.bbva.com/jira/browse/COLWSSEGUR-78" TargetMode="External"/><Relationship Id="rId2393" Type="http://schemas.openxmlformats.org/officeDocument/2006/relationships/hyperlink" Target="http://julioenrique.ramos-bbva.com/" TargetMode="External"/><Relationship Id="rId365" Type="http://schemas.openxmlformats.org/officeDocument/2006/relationships/hyperlink" Target="http://jimy.catolico-bbva.com/" TargetMode="External"/><Relationship Id="rId572" Type="http://schemas.openxmlformats.org/officeDocument/2006/relationships/hyperlink" Target="http://catalina.villamil-bbva.com/" TargetMode="External"/><Relationship Id="rId2046" Type="http://schemas.openxmlformats.org/officeDocument/2006/relationships/hyperlink" Target="http://alirio.bermudez-bbva.com/" TargetMode="External"/><Relationship Id="rId2253" Type="http://schemas.openxmlformats.org/officeDocument/2006/relationships/hyperlink" Target="http://katherine.michaels-bbva.com/" TargetMode="External"/><Relationship Id="rId2460" Type="http://schemas.openxmlformats.org/officeDocument/2006/relationships/hyperlink" Target="http://jorge.blanco-bbva.com/" TargetMode="External"/><Relationship Id="rId225" Type="http://schemas.openxmlformats.org/officeDocument/2006/relationships/hyperlink" Target="http://yurimilena.moreno-bbva.com/" TargetMode="External"/><Relationship Id="rId432" Type="http://schemas.openxmlformats.org/officeDocument/2006/relationships/hyperlink" Target="https://globaldevtools.bbva.com/jira/browse/COLWSCANAL-6288" TargetMode="External"/><Relationship Id="rId877" Type="http://schemas.openxmlformats.org/officeDocument/2006/relationships/hyperlink" Target="https://globaldevtools.bbva.com/jira/browse/COLWSPREST-1462" TargetMode="External"/><Relationship Id="rId1062" Type="http://schemas.openxmlformats.org/officeDocument/2006/relationships/hyperlink" Target="http://elizabeth.diaz-bbva.com/" TargetMode="External"/><Relationship Id="rId2113" Type="http://schemas.openxmlformats.org/officeDocument/2006/relationships/hyperlink" Target="http://hugo.mongua-bbva.com/" TargetMode="External"/><Relationship Id="rId2320" Type="http://schemas.openxmlformats.org/officeDocument/2006/relationships/hyperlink" Target="http://katherine.michaels-bbva.com/" TargetMode="External"/><Relationship Id="rId2558" Type="http://schemas.openxmlformats.org/officeDocument/2006/relationships/hyperlink" Target="https://globaldevtools.bbva.com/jira/browse/COLWSVALOR-194" TargetMode="External"/><Relationship Id="rId737" Type="http://schemas.openxmlformats.org/officeDocument/2006/relationships/hyperlink" Target="http://nathiahayosara.amado-bbva.com/" TargetMode="External"/><Relationship Id="rId944" Type="http://schemas.openxmlformats.org/officeDocument/2006/relationships/hyperlink" Target="http://nathiahayosara.amado-bbva.com/" TargetMode="External"/><Relationship Id="rId1367" Type="http://schemas.openxmlformats.org/officeDocument/2006/relationships/hyperlink" Target="http://andresfelipe.granados-bbva.com/" TargetMode="External"/><Relationship Id="rId1574" Type="http://schemas.openxmlformats.org/officeDocument/2006/relationships/hyperlink" Target="https://globaldevtools.bbva.com/jira/browse/CCSS-4687" TargetMode="External"/><Relationship Id="rId1781" Type="http://schemas.openxmlformats.org/officeDocument/2006/relationships/hyperlink" Target="http://alirio.bermudez-bbva.com/" TargetMode="External"/><Relationship Id="rId2418" Type="http://schemas.openxmlformats.org/officeDocument/2006/relationships/hyperlink" Target="https://globaldevtools.bbva.com/jira/browse/CFS1-124" TargetMode="External"/><Relationship Id="rId73" Type="http://schemas.openxmlformats.org/officeDocument/2006/relationships/hyperlink" Target="http://pabloalexand.ortiz-bbva.com/" TargetMode="External"/><Relationship Id="rId804" Type="http://schemas.openxmlformats.org/officeDocument/2006/relationships/hyperlink" Target="http://nathiahayosara.amado-bbva.com/" TargetMode="External"/><Relationship Id="rId1227" Type="http://schemas.openxmlformats.org/officeDocument/2006/relationships/hyperlink" Target="http://monica.zamudio-bbva.com/" TargetMode="External"/><Relationship Id="rId1434" Type="http://schemas.openxmlformats.org/officeDocument/2006/relationships/hyperlink" Target="http://juana.vergara-bbva.com/" TargetMode="External"/><Relationship Id="rId1641" Type="http://schemas.openxmlformats.org/officeDocument/2006/relationships/hyperlink" Target="https://globaldevtools.bbva.com/jira/browse/COLWSCANAL-1335" TargetMode="External"/><Relationship Id="rId1879" Type="http://schemas.openxmlformats.org/officeDocument/2006/relationships/hyperlink" Target="http://sandrajohanna.gonzalez-bbva.com/" TargetMode="External"/><Relationship Id="rId1501" Type="http://schemas.openxmlformats.org/officeDocument/2006/relationships/hyperlink" Target="http://hugofernando.parra-bbva.com/" TargetMode="External"/><Relationship Id="rId1739" Type="http://schemas.openxmlformats.org/officeDocument/2006/relationships/hyperlink" Target="http://nelson.ruiz-bbva.com/" TargetMode="External"/><Relationship Id="rId1946" Type="http://schemas.openxmlformats.org/officeDocument/2006/relationships/hyperlink" Target="https://globaldevtools.bbva.com/jira/browse/COLWSMONED-1143" TargetMode="External"/><Relationship Id="rId1806" Type="http://schemas.openxmlformats.org/officeDocument/2006/relationships/hyperlink" Target="http://monicaandrea.abogado-bbva.com/" TargetMode="External"/><Relationship Id="rId387" Type="http://schemas.openxmlformats.org/officeDocument/2006/relationships/hyperlink" Target="http://juhan.lozano-bbva.com/" TargetMode="External"/><Relationship Id="rId594" Type="http://schemas.openxmlformats.org/officeDocument/2006/relationships/hyperlink" Target="http://catalina.villamil-bbva.com/" TargetMode="External"/><Relationship Id="rId2068" Type="http://schemas.openxmlformats.org/officeDocument/2006/relationships/hyperlink" Target="http://alirio.bermudez-bbva.com/" TargetMode="External"/><Relationship Id="rId2275" Type="http://schemas.openxmlformats.org/officeDocument/2006/relationships/hyperlink" Target="http://felipe.guzman-bbva.com/" TargetMode="External"/><Relationship Id="rId247" Type="http://schemas.openxmlformats.org/officeDocument/2006/relationships/hyperlink" Target="http://jimy.catolico-bbva.com/" TargetMode="External"/><Relationship Id="rId899" Type="http://schemas.openxmlformats.org/officeDocument/2006/relationships/hyperlink" Target="https://globaldevtools.bbva.com/jira/browse/COLWSSUPPL-21" TargetMode="External"/><Relationship Id="rId1084" Type="http://schemas.openxmlformats.org/officeDocument/2006/relationships/hyperlink" Target="http://angie.castaneda-bbva.com/" TargetMode="External"/><Relationship Id="rId2482" Type="http://schemas.openxmlformats.org/officeDocument/2006/relationships/hyperlink" Target="http://edwinalberto.barrios-bbva.com/" TargetMode="External"/><Relationship Id="rId107" Type="http://schemas.openxmlformats.org/officeDocument/2006/relationships/hyperlink" Target="http://ana.santamaria-bbva.com/" TargetMode="External"/><Relationship Id="rId454" Type="http://schemas.openxmlformats.org/officeDocument/2006/relationships/hyperlink" Target="http://erikajulieth.ruiz-bbva.com/" TargetMode="External"/><Relationship Id="rId661" Type="http://schemas.openxmlformats.org/officeDocument/2006/relationships/hyperlink" Target="http://huvertyadir.ramirez-bbva.com/" TargetMode="External"/><Relationship Id="rId759" Type="http://schemas.openxmlformats.org/officeDocument/2006/relationships/hyperlink" Target="https://globaldevtools.bbva.com/jira/browse/COLWSCANAL-14060" TargetMode="External"/><Relationship Id="rId966" Type="http://schemas.openxmlformats.org/officeDocument/2006/relationships/hyperlink" Target="http://elizabeth.diaz-bbva.com/" TargetMode="External"/><Relationship Id="rId1291" Type="http://schemas.openxmlformats.org/officeDocument/2006/relationships/hyperlink" Target="http://monica.zamudio-bbva.com/" TargetMode="External"/><Relationship Id="rId1389" Type="http://schemas.openxmlformats.org/officeDocument/2006/relationships/hyperlink" Target="http://geovany.ramirez-bbva.com/" TargetMode="External"/><Relationship Id="rId1596" Type="http://schemas.openxmlformats.org/officeDocument/2006/relationships/hyperlink" Target="http://andrea.orrego-bbva.com/" TargetMode="External"/><Relationship Id="rId2135" Type="http://schemas.openxmlformats.org/officeDocument/2006/relationships/hyperlink" Target="http://alirio.bermudez-bbva.com/" TargetMode="External"/><Relationship Id="rId2342" Type="http://schemas.openxmlformats.org/officeDocument/2006/relationships/hyperlink" Target="https://globaldevtools.bbva.com/jira/browse/COLWSSEGUR-220" TargetMode="External"/><Relationship Id="rId314" Type="http://schemas.openxmlformats.org/officeDocument/2006/relationships/hyperlink" Target="http://rocio.garces-bbva.com/" TargetMode="External"/><Relationship Id="rId521" Type="http://schemas.openxmlformats.org/officeDocument/2006/relationships/hyperlink" Target="http://oscar.bejarano-bbva.com/" TargetMode="External"/><Relationship Id="rId619" Type="http://schemas.openxmlformats.org/officeDocument/2006/relationships/hyperlink" Target="https://globaldevtools.bbva.com/jira/browse/COLWSCANAL-11392" TargetMode="External"/><Relationship Id="rId1151" Type="http://schemas.openxmlformats.org/officeDocument/2006/relationships/hyperlink" Target="http://katherine.pardo-bbva.com/" TargetMode="External"/><Relationship Id="rId1249" Type="http://schemas.openxmlformats.org/officeDocument/2006/relationships/hyperlink" Target="http://paolaandrea.guzman-bbva.com/" TargetMode="External"/><Relationship Id="rId2202" Type="http://schemas.openxmlformats.org/officeDocument/2006/relationships/hyperlink" Target="http://katherine.michaels-bbva.com/" TargetMode="External"/><Relationship Id="rId95" Type="http://schemas.openxmlformats.org/officeDocument/2006/relationships/hyperlink" Target="http://pabloalexand.ortiz-bbva.com/" TargetMode="External"/><Relationship Id="rId826" Type="http://schemas.openxmlformats.org/officeDocument/2006/relationships/hyperlink" Target="http://nathiahayosara.amado-bbva.com/" TargetMode="External"/><Relationship Id="rId1011" Type="http://schemas.openxmlformats.org/officeDocument/2006/relationships/hyperlink" Target="http://elizabeth.diaz-bbva.com/" TargetMode="External"/><Relationship Id="rId1109" Type="http://schemas.openxmlformats.org/officeDocument/2006/relationships/hyperlink" Target="http://brigitteyesenia.beltran-bbva.com/" TargetMode="External"/><Relationship Id="rId1456" Type="http://schemas.openxmlformats.org/officeDocument/2006/relationships/hyperlink" Target="http://hugofernando.parra-bbva.com/" TargetMode="External"/><Relationship Id="rId1663" Type="http://schemas.openxmlformats.org/officeDocument/2006/relationships/hyperlink" Target="http://alirio.bermudez-bbva.com/" TargetMode="External"/><Relationship Id="rId1870" Type="http://schemas.openxmlformats.org/officeDocument/2006/relationships/hyperlink" Target="http://marthapatric.cruz-bbva.com/" TargetMode="External"/><Relationship Id="rId1968" Type="http://schemas.openxmlformats.org/officeDocument/2006/relationships/hyperlink" Target="http://yeraldineandrea.sierra-bbva.com/" TargetMode="External"/><Relationship Id="rId2507" Type="http://schemas.openxmlformats.org/officeDocument/2006/relationships/hyperlink" Target="http://alirio.bermudez-bbva.com/" TargetMode="External"/><Relationship Id="rId1316" Type="http://schemas.openxmlformats.org/officeDocument/2006/relationships/hyperlink" Target="http://paolaandrea.guzman-bbva.com/" TargetMode="External"/><Relationship Id="rId1523" Type="http://schemas.openxmlformats.org/officeDocument/2006/relationships/hyperlink" Target="http://david.juvinao-bbva.com/" TargetMode="External"/><Relationship Id="rId1730" Type="http://schemas.openxmlformats.org/officeDocument/2006/relationships/hyperlink" Target="http://alirio.bermudez-bbva.com/" TargetMode="External"/><Relationship Id="rId22" Type="http://schemas.openxmlformats.org/officeDocument/2006/relationships/hyperlink" Target="http://marthaconsuelo.parra-bbva.com/" TargetMode="External"/><Relationship Id="rId1828" Type="http://schemas.openxmlformats.org/officeDocument/2006/relationships/hyperlink" Target="http://yurimilena.moreno-bbva.com/" TargetMode="External"/><Relationship Id="rId171" Type="http://schemas.openxmlformats.org/officeDocument/2006/relationships/hyperlink" Target="https://globaldevtools.bbva.com/jira/browse/COLWSCANAL-3088" TargetMode="External"/><Relationship Id="rId2297" Type="http://schemas.openxmlformats.org/officeDocument/2006/relationships/hyperlink" Target="http://katherine.michaels-bbva.com/" TargetMode="External"/><Relationship Id="rId269" Type="http://schemas.openxmlformats.org/officeDocument/2006/relationships/hyperlink" Target="http://andres.carrandi-bbva.com/" TargetMode="External"/><Relationship Id="rId476" Type="http://schemas.openxmlformats.org/officeDocument/2006/relationships/hyperlink" Target="http://erikajulieth.ruiz-bbva.com/" TargetMode="External"/><Relationship Id="rId683" Type="http://schemas.openxmlformats.org/officeDocument/2006/relationships/hyperlink" Target="http://nathiahayosara.amado-bbva.com/" TargetMode="External"/><Relationship Id="rId890" Type="http://schemas.openxmlformats.org/officeDocument/2006/relationships/hyperlink" Target="http://karenalexandra.martinez-bbva.com/" TargetMode="External"/><Relationship Id="rId2157" Type="http://schemas.openxmlformats.org/officeDocument/2006/relationships/hyperlink" Target="http://jhon.molina-bbva.com/" TargetMode="External"/><Relationship Id="rId2364" Type="http://schemas.openxmlformats.org/officeDocument/2006/relationships/hyperlink" Target="http://yehimymeliza.santamaria-bbva.com/" TargetMode="External"/><Relationship Id="rId2571" Type="http://schemas.openxmlformats.org/officeDocument/2006/relationships/hyperlink" Target="http://alirio.bermudez-bbva.com/" TargetMode="External"/><Relationship Id="rId129" Type="http://schemas.openxmlformats.org/officeDocument/2006/relationships/hyperlink" Target="http://david.juvinao-bbva.com/" TargetMode="External"/><Relationship Id="rId336" Type="http://schemas.openxmlformats.org/officeDocument/2006/relationships/hyperlink" Target="http://wilson.vera-bbva.com/" TargetMode="External"/><Relationship Id="rId543" Type="http://schemas.openxmlformats.org/officeDocument/2006/relationships/hyperlink" Target="http://jhon.molina-bbva.com/" TargetMode="External"/><Relationship Id="rId988" Type="http://schemas.openxmlformats.org/officeDocument/2006/relationships/hyperlink" Target="http://jeissonandres.diaz.rodriguez-bbva.com/" TargetMode="External"/><Relationship Id="rId1173" Type="http://schemas.openxmlformats.org/officeDocument/2006/relationships/hyperlink" Target="http://katherine.pardo-bbva.com/" TargetMode="External"/><Relationship Id="rId1380" Type="http://schemas.openxmlformats.org/officeDocument/2006/relationships/hyperlink" Target="http://hugofernando.parra-bbva.com/" TargetMode="External"/><Relationship Id="rId2017" Type="http://schemas.openxmlformats.org/officeDocument/2006/relationships/hyperlink" Target="http://olga.lara-bbva.com/" TargetMode="External"/><Relationship Id="rId2224" Type="http://schemas.openxmlformats.org/officeDocument/2006/relationships/hyperlink" Target="http://mariajuliana.rodriguez-bbva.com/" TargetMode="External"/><Relationship Id="rId403" Type="http://schemas.openxmlformats.org/officeDocument/2006/relationships/hyperlink" Target="http://juhan.lozano-bbva.com/" TargetMode="External"/><Relationship Id="rId750" Type="http://schemas.openxmlformats.org/officeDocument/2006/relationships/hyperlink" Target="http://leidyjohanna.zambrano-bbva.com/" TargetMode="External"/><Relationship Id="rId848" Type="http://schemas.openxmlformats.org/officeDocument/2006/relationships/hyperlink" Target="http://josealejandro.duenas-bbva.com/" TargetMode="External"/><Relationship Id="rId1033" Type="http://schemas.openxmlformats.org/officeDocument/2006/relationships/hyperlink" Target="http://nathiahayosara.amado-bbva.com/" TargetMode="External"/><Relationship Id="rId1478" Type="http://schemas.openxmlformats.org/officeDocument/2006/relationships/hyperlink" Target="http://rociomarcela.lopez-bbva.com/" TargetMode="External"/><Relationship Id="rId1685" Type="http://schemas.openxmlformats.org/officeDocument/2006/relationships/hyperlink" Target="http://elizabeth.diaz-bbva.com/" TargetMode="External"/><Relationship Id="rId1892" Type="http://schemas.openxmlformats.org/officeDocument/2006/relationships/hyperlink" Target="http://marthapatric.cruz-bbva.com/" TargetMode="External"/><Relationship Id="rId2431" Type="http://schemas.openxmlformats.org/officeDocument/2006/relationships/hyperlink" Target="http://juan.orozco-bbva.com/" TargetMode="External"/><Relationship Id="rId2529" Type="http://schemas.openxmlformats.org/officeDocument/2006/relationships/hyperlink" Target="http://angie.castaneda-bbva.com/" TargetMode="External"/><Relationship Id="rId610" Type="http://schemas.openxmlformats.org/officeDocument/2006/relationships/hyperlink" Target="http://jhon.molina-bbva.com/" TargetMode="External"/><Relationship Id="rId708" Type="http://schemas.openxmlformats.org/officeDocument/2006/relationships/hyperlink" Target="http://elizabeth.diaz-bbva.com/" TargetMode="External"/><Relationship Id="rId915" Type="http://schemas.openxmlformats.org/officeDocument/2006/relationships/hyperlink" Target="https://globaldevtools.bbva.com/jira/browse/COLWSCONTA-477" TargetMode="External"/><Relationship Id="rId1240" Type="http://schemas.openxmlformats.org/officeDocument/2006/relationships/hyperlink" Target="http://paolaandrea.guzman-bbva.com/" TargetMode="External"/><Relationship Id="rId1338" Type="http://schemas.openxmlformats.org/officeDocument/2006/relationships/hyperlink" Target="http://judy.prieto-bbva.com/" TargetMode="External"/><Relationship Id="rId1545" Type="http://schemas.openxmlformats.org/officeDocument/2006/relationships/hyperlink" Target="http://nicolas.galindo-bbva.com/" TargetMode="External"/><Relationship Id="rId1100" Type="http://schemas.openxmlformats.org/officeDocument/2006/relationships/hyperlink" Target="http://angie.castaneda-bbva.com/" TargetMode="External"/><Relationship Id="rId1405" Type="http://schemas.openxmlformats.org/officeDocument/2006/relationships/hyperlink" Target="http://juana.vergara-bbva.com/" TargetMode="External"/><Relationship Id="rId1752" Type="http://schemas.openxmlformats.org/officeDocument/2006/relationships/hyperlink" Target="http://elizabeth.diaz-bbva.com/" TargetMode="External"/><Relationship Id="rId44" Type="http://schemas.openxmlformats.org/officeDocument/2006/relationships/hyperlink" Target="https://globaldevtools.bbva.com/jira/browse/COLWSCRM-642" TargetMode="External"/><Relationship Id="rId1612" Type="http://schemas.openxmlformats.org/officeDocument/2006/relationships/hyperlink" Target="http://andrea.orrego-bbva.com/" TargetMode="External"/><Relationship Id="rId1917" Type="http://schemas.openxmlformats.org/officeDocument/2006/relationships/hyperlink" Target="http://marthapatric.cruz-bbva.com/" TargetMode="External"/><Relationship Id="rId193" Type="http://schemas.openxmlformats.org/officeDocument/2006/relationships/hyperlink" Target="http://monica.zamudio-bbva.com/" TargetMode="External"/><Relationship Id="rId498" Type="http://schemas.openxmlformats.org/officeDocument/2006/relationships/hyperlink" Target="http://juhan.lozano-bbva.com/" TargetMode="External"/><Relationship Id="rId2081" Type="http://schemas.openxmlformats.org/officeDocument/2006/relationships/hyperlink" Target="http://alirio.bermudez-bbva.com/" TargetMode="External"/><Relationship Id="rId2179" Type="http://schemas.openxmlformats.org/officeDocument/2006/relationships/hyperlink" Target="http://katherine.michaels-bbva.com/" TargetMode="External"/><Relationship Id="rId260" Type="http://schemas.openxmlformats.org/officeDocument/2006/relationships/hyperlink" Target="http://cindytatiana.perilla-bbva.com/" TargetMode="External"/><Relationship Id="rId2386" Type="http://schemas.openxmlformats.org/officeDocument/2006/relationships/hyperlink" Target="https://globaldevtools.bbva.com/jira/browse/COLWSCUENT-1637" TargetMode="External"/><Relationship Id="rId2593" Type="http://schemas.openxmlformats.org/officeDocument/2006/relationships/hyperlink" Target="https://globaldevtools.bbva.com/jira/browse/COLWSMEDIO-6279" TargetMode="External"/><Relationship Id="rId120" Type="http://schemas.openxmlformats.org/officeDocument/2006/relationships/hyperlink" Target="http://brenda.monsalve-bbva.com/" TargetMode="External"/><Relationship Id="rId358" Type="http://schemas.openxmlformats.org/officeDocument/2006/relationships/hyperlink" Target="http://wilson.vera-bbva.com/" TargetMode="External"/><Relationship Id="rId565" Type="http://schemas.openxmlformats.org/officeDocument/2006/relationships/hyperlink" Target="http://freddyorlando.guzman-bbva.com/" TargetMode="External"/><Relationship Id="rId772" Type="http://schemas.openxmlformats.org/officeDocument/2006/relationships/hyperlink" Target="http://nathiahayosara.amado-bbva.com/" TargetMode="External"/><Relationship Id="rId1195" Type="http://schemas.openxmlformats.org/officeDocument/2006/relationships/hyperlink" Target="http://sandra.espinosa-bbva.com/" TargetMode="External"/><Relationship Id="rId2039" Type="http://schemas.openxmlformats.org/officeDocument/2006/relationships/hyperlink" Target="https://globaldevtools.bbva.com/jira/browse/CCSS-7120" TargetMode="External"/><Relationship Id="rId2246" Type="http://schemas.openxmlformats.org/officeDocument/2006/relationships/hyperlink" Target="http://paola.trivino-bbva.com/" TargetMode="External"/><Relationship Id="rId2453" Type="http://schemas.openxmlformats.org/officeDocument/2006/relationships/hyperlink" Target="http://juan.orozco-bbva.com/" TargetMode="External"/><Relationship Id="rId218" Type="http://schemas.openxmlformats.org/officeDocument/2006/relationships/hyperlink" Target="https://globaldevtools.bbva.com/jira/browse/COLWSCANAL-4353" TargetMode="External"/><Relationship Id="rId425" Type="http://schemas.openxmlformats.org/officeDocument/2006/relationships/hyperlink" Target="http://jimy.catolico-bbva.com/" TargetMode="External"/><Relationship Id="rId632" Type="http://schemas.openxmlformats.org/officeDocument/2006/relationships/hyperlink" Target="http://catalina.villamil-bbva.com/" TargetMode="External"/><Relationship Id="rId1055" Type="http://schemas.openxmlformats.org/officeDocument/2006/relationships/hyperlink" Target="http://elizabeth.diaz-bbva.com/" TargetMode="External"/><Relationship Id="rId1262" Type="http://schemas.openxmlformats.org/officeDocument/2006/relationships/hyperlink" Target="http://diegoandres.rodriguez-bbva.com/" TargetMode="External"/><Relationship Id="rId2106" Type="http://schemas.openxmlformats.org/officeDocument/2006/relationships/hyperlink" Target="http://david.juvinao-bbva.com/" TargetMode="External"/><Relationship Id="rId2313" Type="http://schemas.openxmlformats.org/officeDocument/2006/relationships/hyperlink" Target="http://mariajuliana.rodriguez-bbva.com/" TargetMode="External"/><Relationship Id="rId2520" Type="http://schemas.openxmlformats.org/officeDocument/2006/relationships/hyperlink" Target="http://hugoalberto.abreo-bbva.com/" TargetMode="External"/><Relationship Id="rId937" Type="http://schemas.openxmlformats.org/officeDocument/2006/relationships/hyperlink" Target="http://jeissonandres.diaz.rodriguez-bbva.com/" TargetMode="External"/><Relationship Id="rId1122" Type="http://schemas.openxmlformats.org/officeDocument/2006/relationships/hyperlink" Target="http://angie.castaneda-bbva.com/" TargetMode="External"/><Relationship Id="rId1567" Type="http://schemas.openxmlformats.org/officeDocument/2006/relationships/hyperlink" Target="http://andrea.orrego-bbva.com/" TargetMode="External"/><Relationship Id="rId1774" Type="http://schemas.openxmlformats.org/officeDocument/2006/relationships/hyperlink" Target="http://alirio.bermudez-bbva.com/" TargetMode="External"/><Relationship Id="rId1981" Type="http://schemas.openxmlformats.org/officeDocument/2006/relationships/hyperlink" Target="http://ivan_dario.ariza-bbva.com/" TargetMode="External"/><Relationship Id="rId66" Type="http://schemas.openxmlformats.org/officeDocument/2006/relationships/hyperlink" Target="http://pabloalexand.ortiz-bbva.com/" TargetMode="External"/><Relationship Id="rId1427" Type="http://schemas.openxmlformats.org/officeDocument/2006/relationships/hyperlink" Target="https://globaldevtools.bbva.com/jira/browse/COLWSPREST-2202" TargetMode="External"/><Relationship Id="rId1634" Type="http://schemas.openxmlformats.org/officeDocument/2006/relationships/hyperlink" Target="http://yurimilena.moreno-bbva.com/" TargetMode="External"/><Relationship Id="rId1841" Type="http://schemas.openxmlformats.org/officeDocument/2006/relationships/hyperlink" Target="https://globaldevtools.bbva.com/jira/browse/COLWSNORMA-859" TargetMode="External"/><Relationship Id="rId1939" Type="http://schemas.openxmlformats.org/officeDocument/2006/relationships/hyperlink" Target="http://alirio.bermudez-bbva.com/" TargetMode="External"/><Relationship Id="rId1701" Type="http://schemas.openxmlformats.org/officeDocument/2006/relationships/hyperlink" Target="http://elizabeth.diaz-bbva.com/" TargetMode="External"/><Relationship Id="rId282" Type="http://schemas.openxmlformats.org/officeDocument/2006/relationships/hyperlink" Target="http://erikajulieth.ruiz-bbva.com/" TargetMode="External"/><Relationship Id="rId587" Type="http://schemas.openxmlformats.org/officeDocument/2006/relationships/hyperlink" Target="https://globaldevtools.bbva.com/jira/browse/COLWSCANAL-8592" TargetMode="External"/><Relationship Id="rId2170" Type="http://schemas.openxmlformats.org/officeDocument/2006/relationships/hyperlink" Target="https://globaldevtools.bbva.com/jira/browse/CIS-333" TargetMode="External"/><Relationship Id="rId2268" Type="http://schemas.openxmlformats.org/officeDocument/2006/relationships/hyperlink" Target="https://globaldevtools.bbva.com/jira/browse/COLWSSEGUR-313" TargetMode="External"/><Relationship Id="rId8" Type="http://schemas.openxmlformats.org/officeDocument/2006/relationships/hyperlink" Target="https://globaldevtools.bbva.com/jira/browse/COLWSPREST-6784" TargetMode="External"/><Relationship Id="rId142" Type="http://schemas.openxmlformats.org/officeDocument/2006/relationships/hyperlink" Target="https://globaldevtools.bbva.com/jira/browse/COLWSDATIO-2092" TargetMode="External"/><Relationship Id="rId447" Type="http://schemas.openxmlformats.org/officeDocument/2006/relationships/hyperlink" Target="http://juhan.lozano-bbva.com/" TargetMode="External"/><Relationship Id="rId794" Type="http://schemas.openxmlformats.org/officeDocument/2006/relationships/hyperlink" Target="http://ivan_dario.ariza-bbva.com/" TargetMode="External"/><Relationship Id="rId1077" Type="http://schemas.openxmlformats.org/officeDocument/2006/relationships/hyperlink" Target="http://jeissonandres.diaz.rodriguez-bbva.com/" TargetMode="External"/><Relationship Id="rId2030" Type="http://schemas.openxmlformats.org/officeDocument/2006/relationships/hyperlink" Target="http://alirio.bermudez-bbva.com/" TargetMode="External"/><Relationship Id="rId2128" Type="http://schemas.openxmlformats.org/officeDocument/2006/relationships/hyperlink" Target="http://alirio.bermudez-bbva.com/" TargetMode="External"/><Relationship Id="rId2475" Type="http://schemas.openxmlformats.org/officeDocument/2006/relationships/hyperlink" Target="http://fernando.garciameza-bbva.com/" TargetMode="External"/><Relationship Id="rId654" Type="http://schemas.openxmlformats.org/officeDocument/2006/relationships/hyperlink" Target="http://elizabeth.diaz-bbva.com/" TargetMode="External"/><Relationship Id="rId861" Type="http://schemas.openxmlformats.org/officeDocument/2006/relationships/hyperlink" Target="https://globaldevtools.bbva.com/jira/browse/COLWSPREST-348" TargetMode="External"/><Relationship Id="rId959" Type="http://schemas.openxmlformats.org/officeDocument/2006/relationships/hyperlink" Target="https://globaldevtools.bbva.com/jira/browse/COLWSCONTA-22" TargetMode="External"/><Relationship Id="rId1284" Type="http://schemas.openxmlformats.org/officeDocument/2006/relationships/hyperlink" Target="https://globaldevtools.bbva.com/jira/browse/COLWSPREST-386" TargetMode="External"/><Relationship Id="rId1491" Type="http://schemas.openxmlformats.org/officeDocument/2006/relationships/hyperlink" Target="http://rociomarcela.lopez-bbva.com/" TargetMode="External"/><Relationship Id="rId1589" Type="http://schemas.openxmlformats.org/officeDocument/2006/relationships/hyperlink" Target="http://lizethlorena.rodriguez-bbva.com/" TargetMode="External"/><Relationship Id="rId2335" Type="http://schemas.openxmlformats.org/officeDocument/2006/relationships/hyperlink" Target="https://globaldevtools.bbva.com/jira/browse/COLWSSEGUR-116" TargetMode="External"/><Relationship Id="rId2542" Type="http://schemas.openxmlformats.org/officeDocument/2006/relationships/hyperlink" Target="http://fredy.pineda-bbva.com/" TargetMode="External"/><Relationship Id="rId307" Type="http://schemas.openxmlformats.org/officeDocument/2006/relationships/hyperlink" Target="https://globaldevtools.bbva.com/jira/browse/COLWSMEDIO-6220" TargetMode="External"/><Relationship Id="rId514" Type="http://schemas.openxmlformats.org/officeDocument/2006/relationships/hyperlink" Target="http://andres.carrandi-bbva.com/" TargetMode="External"/><Relationship Id="rId721" Type="http://schemas.openxmlformats.org/officeDocument/2006/relationships/hyperlink" Target="https://globaldevtools.bbva.com/jira/browse/COLWSCANAL-7085" TargetMode="External"/><Relationship Id="rId1144" Type="http://schemas.openxmlformats.org/officeDocument/2006/relationships/hyperlink" Target="http://diegoandres.rodriguez-bbva.com/" TargetMode="External"/><Relationship Id="rId1351" Type="http://schemas.openxmlformats.org/officeDocument/2006/relationships/hyperlink" Target="http://paolaandrea.guzman-bbva.com/" TargetMode="External"/><Relationship Id="rId1449" Type="http://schemas.openxmlformats.org/officeDocument/2006/relationships/hyperlink" Target="http://geovany.ramirez-bbva.com/" TargetMode="External"/><Relationship Id="rId1796" Type="http://schemas.openxmlformats.org/officeDocument/2006/relationships/hyperlink" Target="https://globaldevtools.bbva.com/jira/browse/COLWSPREST-7969" TargetMode="External"/><Relationship Id="rId2402" Type="http://schemas.openxmlformats.org/officeDocument/2006/relationships/hyperlink" Target="https://globaldevtools.bbva.com/jira/browse/CFS1-171" TargetMode="External"/><Relationship Id="rId88" Type="http://schemas.openxmlformats.org/officeDocument/2006/relationships/hyperlink" Target="https://globaldevtools.bbva.com/jira/browse/CCSS-19695" TargetMode="External"/><Relationship Id="rId819" Type="http://schemas.openxmlformats.org/officeDocument/2006/relationships/hyperlink" Target="http://karenalexandra.martinez-bbva.com/" TargetMode="External"/><Relationship Id="rId1004" Type="http://schemas.openxmlformats.org/officeDocument/2006/relationships/hyperlink" Target="https://globaldevtools.bbva.com/jira/browse/COLWSCONTA-100" TargetMode="External"/><Relationship Id="rId1211" Type="http://schemas.openxmlformats.org/officeDocument/2006/relationships/hyperlink" Target="http://rociomarcela.lopez-bbva.com/" TargetMode="External"/><Relationship Id="rId1656" Type="http://schemas.openxmlformats.org/officeDocument/2006/relationships/hyperlink" Target="http://alirio.bermudez-bbva.com/" TargetMode="External"/><Relationship Id="rId1863" Type="http://schemas.openxmlformats.org/officeDocument/2006/relationships/hyperlink" Target="http://marthapatric.cruz-bbva.com/" TargetMode="External"/><Relationship Id="rId1309" Type="http://schemas.openxmlformats.org/officeDocument/2006/relationships/hyperlink" Target="https://globaldevtools.bbva.com/jira/browse/COLWSMEDIO-429" TargetMode="External"/><Relationship Id="rId1516" Type="http://schemas.openxmlformats.org/officeDocument/2006/relationships/hyperlink" Target="https://globaldevtools.bbva.com/jira/browse/CCSS-703" TargetMode="External"/><Relationship Id="rId1723" Type="http://schemas.openxmlformats.org/officeDocument/2006/relationships/hyperlink" Target="http://nelson.ruiz-bbva.com/" TargetMode="External"/><Relationship Id="rId1930" Type="http://schemas.openxmlformats.org/officeDocument/2006/relationships/hyperlink" Target="http://andresfelipe.granados-bbva.com/" TargetMode="External"/><Relationship Id="rId15" Type="http://schemas.openxmlformats.org/officeDocument/2006/relationships/hyperlink" Target="http://marthaconsuelo.parra-bbva.com/" TargetMode="External"/><Relationship Id="rId2192" Type="http://schemas.openxmlformats.org/officeDocument/2006/relationships/hyperlink" Target="http://katherine.michaels-bbva.com/" TargetMode="External"/><Relationship Id="rId164" Type="http://schemas.openxmlformats.org/officeDocument/2006/relationships/hyperlink" Target="http://jimy.catolico-bbva.com/" TargetMode="External"/><Relationship Id="rId371" Type="http://schemas.openxmlformats.org/officeDocument/2006/relationships/hyperlink" Target="http://juhan.lozano-bbva.com/" TargetMode="External"/><Relationship Id="rId2052" Type="http://schemas.openxmlformats.org/officeDocument/2006/relationships/hyperlink" Target="http://alirio.bermudez-bbva.com/" TargetMode="External"/><Relationship Id="rId2497" Type="http://schemas.openxmlformats.org/officeDocument/2006/relationships/hyperlink" Target="http://alirio.bermudez-bbva.com/" TargetMode="External"/><Relationship Id="rId469" Type="http://schemas.openxmlformats.org/officeDocument/2006/relationships/hyperlink" Target="http://jimy.catolico-bbva.com/" TargetMode="External"/><Relationship Id="rId676" Type="http://schemas.openxmlformats.org/officeDocument/2006/relationships/hyperlink" Target="http://nathiahayosara.amado-bbva.com/" TargetMode="External"/><Relationship Id="rId883" Type="http://schemas.openxmlformats.org/officeDocument/2006/relationships/hyperlink" Target="http://karenalexandra.martinez-bbva.com/" TargetMode="External"/><Relationship Id="rId1099" Type="http://schemas.openxmlformats.org/officeDocument/2006/relationships/hyperlink" Target="https://globaldevtools.bbva.com/jira/browse/COLWSPREST-6782" TargetMode="External"/><Relationship Id="rId2357" Type="http://schemas.openxmlformats.org/officeDocument/2006/relationships/hyperlink" Target="http://felipe.guzman-bbva.com/" TargetMode="External"/><Relationship Id="rId2564" Type="http://schemas.openxmlformats.org/officeDocument/2006/relationships/hyperlink" Target="http://nathaliamaria.torres-bbva.com/" TargetMode="External"/><Relationship Id="rId231" Type="http://schemas.openxmlformats.org/officeDocument/2006/relationships/hyperlink" Target="http://jimy.catolico-bbva.com/" TargetMode="External"/><Relationship Id="rId329" Type="http://schemas.openxmlformats.org/officeDocument/2006/relationships/hyperlink" Target="http://wilson.vera-bbva.com/" TargetMode="External"/><Relationship Id="rId536" Type="http://schemas.openxmlformats.org/officeDocument/2006/relationships/hyperlink" Target="https://globaldevtools.bbva.com/jira/browse/COLWSCANAL-14990" TargetMode="External"/><Relationship Id="rId1166" Type="http://schemas.openxmlformats.org/officeDocument/2006/relationships/hyperlink" Target="http://angie.castaneda-bbva.com/" TargetMode="External"/><Relationship Id="rId1373" Type="http://schemas.openxmlformats.org/officeDocument/2006/relationships/hyperlink" Target="http://judy.prieto-bbva.com/" TargetMode="External"/><Relationship Id="rId2217" Type="http://schemas.openxmlformats.org/officeDocument/2006/relationships/hyperlink" Target="http://mariajuliana.rodriguez-bbva.com/" TargetMode="External"/><Relationship Id="rId743" Type="http://schemas.openxmlformats.org/officeDocument/2006/relationships/hyperlink" Target="http://elizabeth.diaz-bbva.com/" TargetMode="External"/><Relationship Id="rId950" Type="http://schemas.openxmlformats.org/officeDocument/2006/relationships/hyperlink" Target="http://elizabeth.diaz-bbva.com/" TargetMode="External"/><Relationship Id="rId1026" Type="http://schemas.openxmlformats.org/officeDocument/2006/relationships/hyperlink" Target="http://jeissonandres.diaz.rodriguez-bbva.com/" TargetMode="External"/><Relationship Id="rId1580" Type="http://schemas.openxmlformats.org/officeDocument/2006/relationships/hyperlink" Target="http://vivianamarcela.rueda-bbva.com/" TargetMode="External"/><Relationship Id="rId1678" Type="http://schemas.openxmlformats.org/officeDocument/2006/relationships/hyperlink" Target="https://globaldevtools.bbva.com/jira/browse/CCSS-14509" TargetMode="External"/><Relationship Id="rId1885" Type="http://schemas.openxmlformats.org/officeDocument/2006/relationships/hyperlink" Target="http://nathaliamaria.torres-bbva.com/" TargetMode="External"/><Relationship Id="rId2424" Type="http://schemas.openxmlformats.org/officeDocument/2006/relationships/hyperlink" Target="http://juan.orozco-bbva.com/" TargetMode="External"/><Relationship Id="rId603" Type="http://schemas.openxmlformats.org/officeDocument/2006/relationships/hyperlink" Target="https://globaldevtools.bbva.com/jira/browse/CCSS-4103" TargetMode="External"/><Relationship Id="rId810" Type="http://schemas.openxmlformats.org/officeDocument/2006/relationships/hyperlink" Target="http://elizabeth.diaz-bbva.com/" TargetMode="External"/><Relationship Id="rId908" Type="http://schemas.openxmlformats.org/officeDocument/2006/relationships/hyperlink" Target="http://nathiahayosara.amado-bbva.com/" TargetMode="External"/><Relationship Id="rId1233" Type="http://schemas.openxmlformats.org/officeDocument/2006/relationships/hyperlink" Target="http://paolaandrea.guzman-bbva.com/" TargetMode="External"/><Relationship Id="rId1440" Type="http://schemas.openxmlformats.org/officeDocument/2006/relationships/hyperlink" Target="http://hugofernando.parra-bbva.com/" TargetMode="External"/><Relationship Id="rId1538" Type="http://schemas.openxmlformats.org/officeDocument/2006/relationships/hyperlink" Target="http://paulocesar.sastoque-bbva.com/" TargetMode="External"/><Relationship Id="rId1300" Type="http://schemas.openxmlformats.org/officeDocument/2006/relationships/hyperlink" Target="http://angie.castaneda-bbva.com/" TargetMode="External"/><Relationship Id="rId1745" Type="http://schemas.openxmlformats.org/officeDocument/2006/relationships/hyperlink" Target="https://globaldevtools.bbva.com/jira/browse/COLWSCUENT-200" TargetMode="External"/><Relationship Id="rId1952" Type="http://schemas.openxmlformats.org/officeDocument/2006/relationships/hyperlink" Target="http://yeraldineandrea.sierra-bbva.com/" TargetMode="External"/><Relationship Id="rId37" Type="http://schemas.openxmlformats.org/officeDocument/2006/relationships/hyperlink" Target="http://ana.santamaria-bbva.com/" TargetMode="External"/><Relationship Id="rId1605" Type="http://schemas.openxmlformats.org/officeDocument/2006/relationships/hyperlink" Target="http://edilberto.morales-bbva.com/" TargetMode="External"/><Relationship Id="rId1812" Type="http://schemas.openxmlformats.org/officeDocument/2006/relationships/hyperlink" Target="http://alirio.bermudez-bbva.com/" TargetMode="External"/><Relationship Id="rId186" Type="http://schemas.openxmlformats.org/officeDocument/2006/relationships/hyperlink" Target="https://globaldevtools.bbva.com/jira/browse/COLWSPREST-847" TargetMode="External"/><Relationship Id="rId393" Type="http://schemas.openxmlformats.org/officeDocument/2006/relationships/hyperlink" Target="http://jimy.catolico-bbva.com/" TargetMode="External"/><Relationship Id="rId2074" Type="http://schemas.openxmlformats.org/officeDocument/2006/relationships/hyperlink" Target="http://alirio.bermudez-bbva.com/" TargetMode="External"/><Relationship Id="rId2281" Type="http://schemas.openxmlformats.org/officeDocument/2006/relationships/hyperlink" Target="http://katherine.michaels-bbva.com/" TargetMode="External"/><Relationship Id="rId253" Type="http://schemas.openxmlformats.org/officeDocument/2006/relationships/hyperlink" Target="http://yurimilena.moreno-bbva.com/" TargetMode="External"/><Relationship Id="rId460" Type="http://schemas.openxmlformats.org/officeDocument/2006/relationships/hyperlink" Target="https://globaldevtools.bbva.com/jira/browse/COLWSCANAL-13467" TargetMode="External"/><Relationship Id="rId698" Type="http://schemas.openxmlformats.org/officeDocument/2006/relationships/hyperlink" Target="https://globaldevtools.bbva.com/jira/browse/COLWSCANAL-11454" TargetMode="External"/><Relationship Id="rId1090" Type="http://schemas.openxmlformats.org/officeDocument/2006/relationships/hyperlink" Target="http://rociomarcela.lopez-bbva.com/" TargetMode="External"/><Relationship Id="rId2141" Type="http://schemas.openxmlformats.org/officeDocument/2006/relationships/hyperlink" Target="http://monica.zamudio-bbva.com/" TargetMode="External"/><Relationship Id="rId2379" Type="http://schemas.openxmlformats.org/officeDocument/2006/relationships/hyperlink" Target="http://juan.orozco-bbva.com/" TargetMode="External"/><Relationship Id="rId2586" Type="http://schemas.openxmlformats.org/officeDocument/2006/relationships/hyperlink" Target="http://jimy.catolico-bbva.com/" TargetMode="External"/><Relationship Id="rId113" Type="http://schemas.openxmlformats.org/officeDocument/2006/relationships/hyperlink" Target="http://josedanilo.virguez-bbva.com/" TargetMode="External"/><Relationship Id="rId320" Type="http://schemas.openxmlformats.org/officeDocument/2006/relationships/hyperlink" Target="http://jimy.catolico-bbva.com/" TargetMode="External"/><Relationship Id="rId558" Type="http://schemas.openxmlformats.org/officeDocument/2006/relationships/hyperlink" Target="http://irene.angel-bbva.com/" TargetMode="External"/><Relationship Id="rId765" Type="http://schemas.openxmlformats.org/officeDocument/2006/relationships/hyperlink" Target="http://leidyjohanna.zambrano-bbva.com/" TargetMode="External"/><Relationship Id="rId972" Type="http://schemas.openxmlformats.org/officeDocument/2006/relationships/hyperlink" Target="http://nathiahayosara.amado-bbva.com/" TargetMode="External"/><Relationship Id="rId1188" Type="http://schemas.openxmlformats.org/officeDocument/2006/relationships/hyperlink" Target="http://rociomarcela.lopez-bbva.com/" TargetMode="External"/><Relationship Id="rId1395" Type="http://schemas.openxmlformats.org/officeDocument/2006/relationships/hyperlink" Target="http://geovany.ramirez-bbva.com/" TargetMode="External"/><Relationship Id="rId2001" Type="http://schemas.openxmlformats.org/officeDocument/2006/relationships/hyperlink" Target="http://alirio.bermudez-bbva.com/" TargetMode="External"/><Relationship Id="rId2239" Type="http://schemas.openxmlformats.org/officeDocument/2006/relationships/hyperlink" Target="http://paola.trivino-bbva.com/" TargetMode="External"/><Relationship Id="rId2446" Type="http://schemas.openxmlformats.org/officeDocument/2006/relationships/hyperlink" Target="https://globaldevtools.bbva.com/jira/browse/COLWSFIDUC-37" TargetMode="External"/><Relationship Id="rId418" Type="http://schemas.openxmlformats.org/officeDocument/2006/relationships/hyperlink" Target="http://giulianaandrea.guarin-bbva.com/" TargetMode="External"/><Relationship Id="rId625" Type="http://schemas.openxmlformats.org/officeDocument/2006/relationships/hyperlink" Target="http://wilder.suarez-bbva.com/" TargetMode="External"/><Relationship Id="rId832" Type="http://schemas.openxmlformats.org/officeDocument/2006/relationships/hyperlink" Target="http://ivan_dario.ariza-bbva.com/" TargetMode="External"/><Relationship Id="rId1048" Type="http://schemas.openxmlformats.org/officeDocument/2006/relationships/hyperlink" Target="https://globaldevtools.bbva.com/jira/browse/COLWSCANAL-11448" TargetMode="External"/><Relationship Id="rId1255" Type="http://schemas.openxmlformats.org/officeDocument/2006/relationships/hyperlink" Target="http://angie.castaneda-bbva.com/" TargetMode="External"/><Relationship Id="rId1462" Type="http://schemas.openxmlformats.org/officeDocument/2006/relationships/hyperlink" Target="http://santiago.campuzano-bbva.com/" TargetMode="External"/><Relationship Id="rId2306" Type="http://schemas.openxmlformats.org/officeDocument/2006/relationships/hyperlink" Target="http://felipe.guzman-bbva.com/" TargetMode="External"/><Relationship Id="rId2513" Type="http://schemas.openxmlformats.org/officeDocument/2006/relationships/hyperlink" Target="https://globaldevtools.bbva.com/jira/browse/COLWSMONED-1254" TargetMode="External"/><Relationship Id="rId1115" Type="http://schemas.openxmlformats.org/officeDocument/2006/relationships/hyperlink" Target="https://globaldevtools.bbva.com/jira/browse/COLWSCANAL-3396" TargetMode="External"/><Relationship Id="rId1322" Type="http://schemas.openxmlformats.org/officeDocument/2006/relationships/hyperlink" Target="http://angie.castaneda-bbva.com/" TargetMode="External"/><Relationship Id="rId1767" Type="http://schemas.openxmlformats.org/officeDocument/2006/relationships/hyperlink" Target="http://nelson.ruiz-bbva.com/" TargetMode="External"/><Relationship Id="rId1974" Type="http://schemas.openxmlformats.org/officeDocument/2006/relationships/hyperlink" Target="https://globaldevtools.bbva.com/jira/browse/COLWSMONED-1365" TargetMode="External"/><Relationship Id="rId59" Type="http://schemas.openxmlformats.org/officeDocument/2006/relationships/hyperlink" Target="http://pabloalexand.ortiz-bbva.com/" TargetMode="External"/><Relationship Id="rId1627" Type="http://schemas.openxmlformats.org/officeDocument/2006/relationships/hyperlink" Target="https://globaldevtools.bbva.com/jira/browse/COLWSCANAL-5675" TargetMode="External"/><Relationship Id="rId1834" Type="http://schemas.openxmlformats.org/officeDocument/2006/relationships/hyperlink" Target="http://alirio.bermudez-bbva.com/" TargetMode="External"/><Relationship Id="rId2096" Type="http://schemas.openxmlformats.org/officeDocument/2006/relationships/hyperlink" Target="http://alirio.bermudez-bbva.com/" TargetMode="External"/><Relationship Id="rId1901" Type="http://schemas.openxmlformats.org/officeDocument/2006/relationships/hyperlink" Target="https://globaldevtools.bbva.com/jira/browse/COLWSMEDIO-2344" TargetMode="External"/><Relationship Id="rId275" Type="http://schemas.openxmlformats.org/officeDocument/2006/relationships/hyperlink" Target="http://andres.carrandi-bbva.com/" TargetMode="External"/><Relationship Id="rId482" Type="http://schemas.openxmlformats.org/officeDocument/2006/relationships/hyperlink" Target="http://erikajulieth.ruiz-bbva.com/" TargetMode="External"/><Relationship Id="rId2163" Type="http://schemas.openxmlformats.org/officeDocument/2006/relationships/hyperlink" Target="http://katherine.michaels-bbva.com/" TargetMode="External"/><Relationship Id="rId2370" Type="http://schemas.openxmlformats.org/officeDocument/2006/relationships/hyperlink" Target="https://globaldevtools.bbva.com/jira/browse/COLWSSEGUR-1629" TargetMode="External"/><Relationship Id="rId135" Type="http://schemas.openxmlformats.org/officeDocument/2006/relationships/hyperlink" Target="http://ana.santamaria-bbva.com/" TargetMode="External"/><Relationship Id="rId342" Type="http://schemas.openxmlformats.org/officeDocument/2006/relationships/hyperlink" Target="http://jimy.catolico-bbva.com/" TargetMode="External"/><Relationship Id="rId787" Type="http://schemas.openxmlformats.org/officeDocument/2006/relationships/hyperlink" Target="https://globaldevtools.bbva.com/jira/browse/COLWSCANAL-6685" TargetMode="External"/><Relationship Id="rId994" Type="http://schemas.openxmlformats.org/officeDocument/2006/relationships/hyperlink" Target="http://jeissonandres.diaz.rodriguez-bbva.com/" TargetMode="External"/><Relationship Id="rId2023" Type="http://schemas.openxmlformats.org/officeDocument/2006/relationships/hyperlink" Target="http://alirio.bermudez-bbva.com/" TargetMode="External"/><Relationship Id="rId2230" Type="http://schemas.openxmlformats.org/officeDocument/2006/relationships/hyperlink" Target="https://globaldevtools.bbva.com/jira/browse/COLWSSEGUR-59" TargetMode="External"/><Relationship Id="rId2468" Type="http://schemas.openxmlformats.org/officeDocument/2006/relationships/hyperlink" Target="http://juan.orozco-bbva.com/" TargetMode="External"/><Relationship Id="rId202" Type="http://schemas.openxmlformats.org/officeDocument/2006/relationships/hyperlink" Target="https://globaldevtools.bbva.com/jira/browse/COLWSPREST-10591" TargetMode="External"/><Relationship Id="rId647" Type="http://schemas.openxmlformats.org/officeDocument/2006/relationships/hyperlink" Target="https://globaldevtools.bbva.com/jira/browse/COLWSPREST-1277" TargetMode="External"/><Relationship Id="rId854" Type="http://schemas.openxmlformats.org/officeDocument/2006/relationships/hyperlink" Target="http://nathiahayosara.amado-bbva.com/" TargetMode="External"/><Relationship Id="rId1277" Type="http://schemas.openxmlformats.org/officeDocument/2006/relationships/hyperlink" Target="http://angie.castaneda-bbva.com/" TargetMode="External"/><Relationship Id="rId1484" Type="http://schemas.openxmlformats.org/officeDocument/2006/relationships/hyperlink" Target="http://fredy.pineda-bbva.com/" TargetMode="External"/><Relationship Id="rId1691" Type="http://schemas.openxmlformats.org/officeDocument/2006/relationships/hyperlink" Target="http://alirio.bermudez-bbva.com/" TargetMode="External"/><Relationship Id="rId2328" Type="http://schemas.openxmlformats.org/officeDocument/2006/relationships/hyperlink" Target="http://katherine.michaels-bbva.com/" TargetMode="External"/><Relationship Id="rId2535" Type="http://schemas.openxmlformats.org/officeDocument/2006/relationships/hyperlink" Target="http://leidyviviana.patino-bbva.com/" TargetMode="External"/><Relationship Id="rId507" Type="http://schemas.openxmlformats.org/officeDocument/2006/relationships/hyperlink" Target="http://monica.zamudio-bbva.com/" TargetMode="External"/><Relationship Id="rId714" Type="http://schemas.openxmlformats.org/officeDocument/2006/relationships/hyperlink" Target="http://nathiahayosara.amado-bbva.com/" TargetMode="External"/><Relationship Id="rId921" Type="http://schemas.openxmlformats.org/officeDocument/2006/relationships/hyperlink" Target="http://jeissonandres.diaz.rodriguez-bbva.com/" TargetMode="External"/><Relationship Id="rId1137" Type="http://schemas.openxmlformats.org/officeDocument/2006/relationships/hyperlink" Target="http://diegoandres.rodriguez-bbva.com/" TargetMode="External"/><Relationship Id="rId1344" Type="http://schemas.openxmlformats.org/officeDocument/2006/relationships/hyperlink" Target="https://globaldevtools.bbva.com/jira/browse/COLWSMEDIO-4858" TargetMode="External"/><Relationship Id="rId1551" Type="http://schemas.openxmlformats.org/officeDocument/2006/relationships/hyperlink" Target="https://globaldevtools.bbva.com/jira/browse/COLWSPREST-10498" TargetMode="External"/><Relationship Id="rId1789" Type="http://schemas.openxmlformats.org/officeDocument/2006/relationships/hyperlink" Target="http://alirio.bermudez-bbva.com/" TargetMode="External"/><Relationship Id="rId1996" Type="http://schemas.openxmlformats.org/officeDocument/2006/relationships/hyperlink" Target="https://globaldevtools.bbva.com/jira/browse/COLWSCANAL-12931" TargetMode="External"/><Relationship Id="rId2602" Type="http://schemas.openxmlformats.org/officeDocument/2006/relationships/hyperlink" Target="http://josedanilo.virguez-bbva.com/" TargetMode="External"/><Relationship Id="rId50" Type="http://schemas.openxmlformats.org/officeDocument/2006/relationships/hyperlink" Target="http://jorgeenrique.vivas-bbva.com/" TargetMode="External"/><Relationship Id="rId1204" Type="http://schemas.openxmlformats.org/officeDocument/2006/relationships/hyperlink" Target="http://rociomarcela.lopez-bbva.com/" TargetMode="External"/><Relationship Id="rId1411" Type="http://schemas.openxmlformats.org/officeDocument/2006/relationships/hyperlink" Target="http://geovany.ramirez-bbva.com/" TargetMode="External"/><Relationship Id="rId1649" Type="http://schemas.openxmlformats.org/officeDocument/2006/relationships/hyperlink" Target="https://globaldevtools.bbva.com/jira/browse/COLWSCRM-840" TargetMode="External"/><Relationship Id="rId1856" Type="http://schemas.openxmlformats.org/officeDocument/2006/relationships/hyperlink" Target="http://yurimilena.moreno-bbva.com/" TargetMode="External"/><Relationship Id="rId1509" Type="http://schemas.openxmlformats.org/officeDocument/2006/relationships/hyperlink" Target="http://rociomarcela.lopez-bbva.com/" TargetMode="External"/><Relationship Id="rId1716" Type="http://schemas.openxmlformats.org/officeDocument/2006/relationships/hyperlink" Target="http://elizabeth.diaz-bbva.com/" TargetMode="External"/><Relationship Id="rId1923" Type="http://schemas.openxmlformats.org/officeDocument/2006/relationships/hyperlink" Target="https://globaldevtools.bbva.com/jira/browse/COLWSMEDIO-2250" TargetMode="External"/><Relationship Id="rId297" Type="http://schemas.openxmlformats.org/officeDocument/2006/relationships/hyperlink" Target="http://daniela.cifuentes.ariza-bbva.com/" TargetMode="External"/><Relationship Id="rId2185" Type="http://schemas.openxmlformats.org/officeDocument/2006/relationships/hyperlink" Target="http://katherine.michaels-bbva.com/" TargetMode="External"/><Relationship Id="rId2392" Type="http://schemas.openxmlformats.org/officeDocument/2006/relationships/hyperlink" Target="http://julioenrique.ramos-bbva.com/" TargetMode="External"/><Relationship Id="rId157" Type="http://schemas.openxmlformats.org/officeDocument/2006/relationships/hyperlink" Target="http://ana.santamaria-bbva.com/" TargetMode="External"/><Relationship Id="rId364" Type="http://schemas.openxmlformats.org/officeDocument/2006/relationships/hyperlink" Target="https://globaldevtools.bbva.com/jira/browse/COLWSCANAL-11853" TargetMode="External"/><Relationship Id="rId2045" Type="http://schemas.openxmlformats.org/officeDocument/2006/relationships/hyperlink" Target="http://monica.zamudio-bbva.com/" TargetMode="External"/><Relationship Id="rId571" Type="http://schemas.openxmlformats.org/officeDocument/2006/relationships/hyperlink" Target="https://globaldevtools.bbva.com/jira/browse/COLWSCANAL-710" TargetMode="External"/><Relationship Id="rId669" Type="http://schemas.openxmlformats.org/officeDocument/2006/relationships/hyperlink" Target="http://huvertyadir.ramirez-bbva.com/" TargetMode="External"/><Relationship Id="rId876" Type="http://schemas.openxmlformats.org/officeDocument/2006/relationships/hyperlink" Target="http://ivan_dario.ariza-bbva.com/" TargetMode="External"/><Relationship Id="rId1299" Type="http://schemas.openxmlformats.org/officeDocument/2006/relationships/hyperlink" Target="https://globaldevtools.bbva.com/jira/browse/COLWSRIESG-3247" TargetMode="External"/><Relationship Id="rId2252" Type="http://schemas.openxmlformats.org/officeDocument/2006/relationships/hyperlink" Target="https://globaldevtools.bbva.com/jira/browse/COLWSSEGUR-65" TargetMode="External"/><Relationship Id="rId2557" Type="http://schemas.openxmlformats.org/officeDocument/2006/relationships/hyperlink" Target="http://hugoalberto.abreo-bbva.com/" TargetMode="External"/><Relationship Id="rId224" Type="http://schemas.openxmlformats.org/officeDocument/2006/relationships/hyperlink" Target="http://juliocesar.estupinan-bbva.com/" TargetMode="External"/><Relationship Id="rId431" Type="http://schemas.openxmlformats.org/officeDocument/2006/relationships/hyperlink" Target="http://juhan.lozano-bbva.com/" TargetMode="External"/><Relationship Id="rId529" Type="http://schemas.openxmlformats.org/officeDocument/2006/relationships/hyperlink" Target="http://paolaandrea.hermosa-bbva.com/" TargetMode="External"/><Relationship Id="rId736" Type="http://schemas.openxmlformats.org/officeDocument/2006/relationships/hyperlink" Target="https://globaldevtools.bbva.com/jira/browse/COLWSCANAL-11018" TargetMode="External"/><Relationship Id="rId1061" Type="http://schemas.openxmlformats.org/officeDocument/2006/relationships/hyperlink" Target="http://jeissonandres.diaz.rodriguez-bbva.com/" TargetMode="External"/><Relationship Id="rId1159" Type="http://schemas.openxmlformats.org/officeDocument/2006/relationships/hyperlink" Target="http://katherine.pardo-bbva.com/" TargetMode="External"/><Relationship Id="rId1366" Type="http://schemas.openxmlformats.org/officeDocument/2006/relationships/hyperlink" Target="http://judy.prieto-bbva.com/" TargetMode="External"/><Relationship Id="rId2112" Type="http://schemas.openxmlformats.org/officeDocument/2006/relationships/hyperlink" Target="http://alirio.bermudez-bbva.com/" TargetMode="External"/><Relationship Id="rId2417" Type="http://schemas.openxmlformats.org/officeDocument/2006/relationships/hyperlink" Target="http://fernando.garciameza-bbva.com/" TargetMode="External"/><Relationship Id="rId943" Type="http://schemas.openxmlformats.org/officeDocument/2006/relationships/hyperlink" Target="https://globaldevtools.bbva.com/jira/browse/COLWSCONTA-9" TargetMode="External"/><Relationship Id="rId1019" Type="http://schemas.openxmlformats.org/officeDocument/2006/relationships/hyperlink" Target="http://elizabeth.diaz-bbva.com/" TargetMode="External"/><Relationship Id="rId1573" Type="http://schemas.openxmlformats.org/officeDocument/2006/relationships/hyperlink" Target="http://yurimilena.moreno-bbva.com/" TargetMode="External"/><Relationship Id="rId1780" Type="http://schemas.openxmlformats.org/officeDocument/2006/relationships/hyperlink" Target="http://elizabeth.diaz-bbva.com/" TargetMode="External"/><Relationship Id="rId1878" Type="http://schemas.openxmlformats.org/officeDocument/2006/relationships/hyperlink" Target="http://marthapatric.cruz-bbva.com/" TargetMode="External"/><Relationship Id="rId72" Type="http://schemas.openxmlformats.org/officeDocument/2006/relationships/hyperlink" Target="http://jorgeenrique.vivas-bbva.com/" TargetMode="External"/><Relationship Id="rId803" Type="http://schemas.openxmlformats.org/officeDocument/2006/relationships/hyperlink" Target="https://globaldevtools.bbva.com/jira/browse/COLWSCANAL-5405" TargetMode="External"/><Relationship Id="rId1226" Type="http://schemas.openxmlformats.org/officeDocument/2006/relationships/hyperlink" Target="http://katryn.verjel-bbva.com/" TargetMode="External"/><Relationship Id="rId1433" Type="http://schemas.openxmlformats.org/officeDocument/2006/relationships/hyperlink" Target="http://geovany.ramirez-bbva.com/" TargetMode="External"/><Relationship Id="rId1640" Type="http://schemas.openxmlformats.org/officeDocument/2006/relationships/hyperlink" Target="http://nathaliamaria.torres-bbva.com/" TargetMode="External"/><Relationship Id="rId1738" Type="http://schemas.openxmlformats.org/officeDocument/2006/relationships/hyperlink" Target="http://alirio.bermudez-bbva.com/" TargetMode="External"/><Relationship Id="rId1500" Type="http://schemas.openxmlformats.org/officeDocument/2006/relationships/hyperlink" Target="http://rociomarcela.lopez-bbva.com/" TargetMode="External"/><Relationship Id="rId1945" Type="http://schemas.openxmlformats.org/officeDocument/2006/relationships/hyperlink" Target="http://ivan_dario.ariza-bbva.com/" TargetMode="External"/><Relationship Id="rId1805" Type="http://schemas.openxmlformats.org/officeDocument/2006/relationships/hyperlink" Target="http://alirio.bermudez-bbva.com/" TargetMode="External"/><Relationship Id="rId179" Type="http://schemas.openxmlformats.org/officeDocument/2006/relationships/hyperlink" Target="https://globaldevtools.bbva.com/jira/browse/COLWSCANAL-3124" TargetMode="External"/><Relationship Id="rId386" Type="http://schemas.openxmlformats.org/officeDocument/2006/relationships/hyperlink" Target="http://erikajulieth.ruiz-bbva.com/" TargetMode="External"/><Relationship Id="rId593" Type="http://schemas.openxmlformats.org/officeDocument/2006/relationships/hyperlink" Target="http://elizabeth.diaz-bbva.com/" TargetMode="External"/><Relationship Id="rId2067" Type="http://schemas.openxmlformats.org/officeDocument/2006/relationships/hyperlink" Target="http://monica.zamudio-bbva.com/" TargetMode="External"/><Relationship Id="rId2274" Type="http://schemas.openxmlformats.org/officeDocument/2006/relationships/hyperlink" Target="http://paola.trivino-bbva.com/" TargetMode="External"/><Relationship Id="rId2481" Type="http://schemas.openxmlformats.org/officeDocument/2006/relationships/hyperlink" Target="http://sandrajohanna.gonzalez-bbva.com/" TargetMode="External"/><Relationship Id="rId246" Type="http://schemas.openxmlformats.org/officeDocument/2006/relationships/hyperlink" Target="https://globaldevtools.bbva.com/jira/browse/COLWSCANAL-14670" TargetMode="External"/><Relationship Id="rId453" Type="http://schemas.openxmlformats.org/officeDocument/2006/relationships/hyperlink" Target="http://jimy.catolico-bbva.com/" TargetMode="External"/><Relationship Id="rId660" Type="http://schemas.openxmlformats.org/officeDocument/2006/relationships/hyperlink" Target="http://nathiahayosara.amado-bbva.com/" TargetMode="External"/><Relationship Id="rId898" Type="http://schemas.openxmlformats.org/officeDocument/2006/relationships/hyperlink" Target="http://ivan_dario.ariza-bbva.com/" TargetMode="External"/><Relationship Id="rId1083" Type="http://schemas.openxmlformats.org/officeDocument/2006/relationships/hyperlink" Target="https://globaldevtools.bbva.com/jira/browse/COLWSCONTA-481" TargetMode="External"/><Relationship Id="rId1290" Type="http://schemas.openxmlformats.org/officeDocument/2006/relationships/hyperlink" Target="http://liliana.marquez-bbva.com/" TargetMode="External"/><Relationship Id="rId2134" Type="http://schemas.openxmlformats.org/officeDocument/2006/relationships/hyperlink" Target="https://globaldevtools.bbva.com/jira/browse/COLWSCUENT-2398" TargetMode="External"/><Relationship Id="rId2341" Type="http://schemas.openxmlformats.org/officeDocument/2006/relationships/hyperlink" Target="http://felipe.guzman-bbva.com/" TargetMode="External"/><Relationship Id="rId2579" Type="http://schemas.openxmlformats.org/officeDocument/2006/relationships/hyperlink" Target="http://carlosdavid.pacheco-bbva.com/" TargetMode="External"/><Relationship Id="rId106" Type="http://schemas.openxmlformats.org/officeDocument/2006/relationships/hyperlink" Target="https://globaldevtools.bbva.com/jira/browse/CCSS-17575" TargetMode="External"/><Relationship Id="rId313" Type="http://schemas.openxmlformats.org/officeDocument/2006/relationships/hyperlink" Target="http://cindytatiana.perilla-bbva.com/" TargetMode="External"/><Relationship Id="rId758" Type="http://schemas.openxmlformats.org/officeDocument/2006/relationships/hyperlink" Target="http://elizabeth.diaz-bbva.com/" TargetMode="External"/><Relationship Id="rId965" Type="http://schemas.openxmlformats.org/officeDocument/2006/relationships/hyperlink" Target="http://jeissonandres.diaz.rodriguez-bbva.com/" TargetMode="External"/><Relationship Id="rId1150" Type="http://schemas.openxmlformats.org/officeDocument/2006/relationships/hyperlink" Target="http://angie.castaneda-bbva.com/" TargetMode="External"/><Relationship Id="rId1388" Type="http://schemas.openxmlformats.org/officeDocument/2006/relationships/hyperlink" Target="http://hugofernando.parra-bbva.com/" TargetMode="External"/><Relationship Id="rId1595" Type="http://schemas.openxmlformats.org/officeDocument/2006/relationships/hyperlink" Target="https://globaldevtools.bbva.com/jira/browse/CCSS-17843" TargetMode="External"/><Relationship Id="rId2439" Type="http://schemas.openxmlformats.org/officeDocument/2006/relationships/hyperlink" Target="http://juan.orozco-bbva.com/" TargetMode="External"/><Relationship Id="rId94" Type="http://schemas.openxmlformats.org/officeDocument/2006/relationships/hyperlink" Target="http://davidesteban.fajardo-bbva.com/" TargetMode="External"/><Relationship Id="rId520" Type="http://schemas.openxmlformats.org/officeDocument/2006/relationships/hyperlink" Target="http://jimy.catolico-bbva.com/" TargetMode="External"/><Relationship Id="rId618" Type="http://schemas.openxmlformats.org/officeDocument/2006/relationships/hyperlink" Target="http://josealejandro.duenas-bbva.com/" TargetMode="External"/><Relationship Id="rId825" Type="http://schemas.openxmlformats.org/officeDocument/2006/relationships/hyperlink" Target="https://globaldevtools.bbva.com/jira/browse/COLWSPREST-2100" TargetMode="External"/><Relationship Id="rId1248" Type="http://schemas.openxmlformats.org/officeDocument/2006/relationships/hyperlink" Target="http://diegoandres.rodriguez-bbva.com/" TargetMode="External"/><Relationship Id="rId1455" Type="http://schemas.openxmlformats.org/officeDocument/2006/relationships/hyperlink" Target="https://globaldevtools.bbva.com/jira/browse/COLWSPREST-7864" TargetMode="External"/><Relationship Id="rId1662" Type="http://schemas.openxmlformats.org/officeDocument/2006/relationships/hyperlink" Target="https://globaldevtools.bbva.com/jira/browse/CCSS-5576" TargetMode="External"/><Relationship Id="rId2201" Type="http://schemas.openxmlformats.org/officeDocument/2006/relationships/hyperlink" Target="https://globaldevtools.bbva.com/jira/browse/COLWSSEGUR-25" TargetMode="External"/><Relationship Id="rId2506" Type="http://schemas.openxmlformats.org/officeDocument/2006/relationships/hyperlink" Target="http://santiago.campuzano-bbva.com/" TargetMode="External"/><Relationship Id="rId1010" Type="http://schemas.openxmlformats.org/officeDocument/2006/relationships/hyperlink" Target="http://jeissonandres.diaz.rodriguez-bbva.com/" TargetMode="External"/><Relationship Id="rId1108" Type="http://schemas.openxmlformats.org/officeDocument/2006/relationships/hyperlink" Target="http://angie.castaneda-bbva.com/" TargetMode="External"/><Relationship Id="rId1315" Type="http://schemas.openxmlformats.org/officeDocument/2006/relationships/hyperlink" Target="http://judy.prieto-bbva.com/" TargetMode="External"/><Relationship Id="rId1967" Type="http://schemas.openxmlformats.org/officeDocument/2006/relationships/hyperlink" Target="http://alirio.bermudez-bbva.com/" TargetMode="External"/><Relationship Id="rId1522" Type="http://schemas.openxmlformats.org/officeDocument/2006/relationships/hyperlink" Target="http://judy.bernal-bbva.com/" TargetMode="External"/><Relationship Id="rId21" Type="http://schemas.openxmlformats.org/officeDocument/2006/relationships/hyperlink" Target="http://brigitteandrea.rincon-bbva.com/" TargetMode="External"/><Relationship Id="rId2089" Type="http://schemas.openxmlformats.org/officeDocument/2006/relationships/hyperlink" Target="http://hugo.mongua-bbva.com/" TargetMode="External"/><Relationship Id="rId2296" Type="http://schemas.openxmlformats.org/officeDocument/2006/relationships/hyperlink" Target="https://globaldevtools.bbva.com/jira/browse/COLWSSEGUR-31" TargetMode="External"/><Relationship Id="rId268" Type="http://schemas.openxmlformats.org/officeDocument/2006/relationships/hyperlink" Target="http://oscar.bejarano-bbva.com/" TargetMode="External"/><Relationship Id="rId475" Type="http://schemas.openxmlformats.org/officeDocument/2006/relationships/hyperlink" Target="http://jimy.catolico-bbva.com/" TargetMode="External"/><Relationship Id="rId682" Type="http://schemas.openxmlformats.org/officeDocument/2006/relationships/hyperlink" Target="https://globaldevtools.bbva.com/jira/browse/COLWSCANAL-11470" TargetMode="External"/><Relationship Id="rId2156" Type="http://schemas.openxmlformats.org/officeDocument/2006/relationships/hyperlink" Target="http://hugo.mongua-bbva.com/" TargetMode="External"/><Relationship Id="rId2363" Type="http://schemas.openxmlformats.org/officeDocument/2006/relationships/hyperlink" Target="http://katherine.michaels-bbva.com/" TargetMode="External"/><Relationship Id="rId2570" Type="http://schemas.openxmlformats.org/officeDocument/2006/relationships/hyperlink" Target="http://john.calvo-bbva.com/" TargetMode="External"/><Relationship Id="rId128" Type="http://schemas.openxmlformats.org/officeDocument/2006/relationships/hyperlink" Target="http://deisyjohana.medina-bbva.com/" TargetMode="External"/><Relationship Id="rId335" Type="http://schemas.openxmlformats.org/officeDocument/2006/relationships/hyperlink" Target="http://jimy.catolico-bbva.com/" TargetMode="External"/><Relationship Id="rId542" Type="http://schemas.openxmlformats.org/officeDocument/2006/relationships/hyperlink" Target="http://irene.angel-bbva.com/" TargetMode="External"/><Relationship Id="rId1172" Type="http://schemas.openxmlformats.org/officeDocument/2006/relationships/hyperlink" Target="http://angie.castaneda-bbva.com/" TargetMode="External"/><Relationship Id="rId2016" Type="http://schemas.openxmlformats.org/officeDocument/2006/relationships/hyperlink" Target="http://alirio.bermudez-bbva.com/" TargetMode="External"/><Relationship Id="rId2223" Type="http://schemas.openxmlformats.org/officeDocument/2006/relationships/hyperlink" Target="http://katherine.michaels-bbva.com/" TargetMode="External"/><Relationship Id="rId2430" Type="http://schemas.openxmlformats.org/officeDocument/2006/relationships/hyperlink" Target="https://globaldevtools.bbva.com/jira/browse/CFS1-168" TargetMode="External"/><Relationship Id="rId402" Type="http://schemas.openxmlformats.org/officeDocument/2006/relationships/hyperlink" Target="http://giulianaandrea.guarin-bbva.com/" TargetMode="External"/><Relationship Id="rId1032" Type="http://schemas.openxmlformats.org/officeDocument/2006/relationships/hyperlink" Target="https://globaldevtools.bbva.com/jira/browse/COLWSCONTA-512" TargetMode="External"/><Relationship Id="rId1989" Type="http://schemas.openxmlformats.org/officeDocument/2006/relationships/hyperlink" Target="http://alirio.bermudez-bbva.com/" TargetMode="External"/><Relationship Id="rId1849" Type="http://schemas.openxmlformats.org/officeDocument/2006/relationships/hyperlink" Target="https://globaldevtools.bbva.com/jira/browse/COLWSNORMA-1008" TargetMode="External"/><Relationship Id="rId192" Type="http://schemas.openxmlformats.org/officeDocument/2006/relationships/hyperlink" Target="http://diegofernand.castro-bbva.com/" TargetMode="External"/><Relationship Id="rId1709" Type="http://schemas.openxmlformats.org/officeDocument/2006/relationships/hyperlink" Target="http://elizabeth.diaz-bbva.com/" TargetMode="External"/><Relationship Id="rId1916" Type="http://schemas.openxmlformats.org/officeDocument/2006/relationships/hyperlink" Target="http://alirio.bermudez-bbva.com/" TargetMode="External"/><Relationship Id="rId2080" Type="http://schemas.openxmlformats.org/officeDocument/2006/relationships/hyperlink" Target="https://globaldevtools.bbva.com/jira/browse/CCSS-7454" TargetMode="External"/><Relationship Id="rId869" Type="http://schemas.openxmlformats.org/officeDocument/2006/relationships/hyperlink" Target="https://globaldevtools.bbva.com/jira/browse/COLWSPREST-5235" TargetMode="External"/><Relationship Id="rId1499" Type="http://schemas.openxmlformats.org/officeDocument/2006/relationships/hyperlink" Target="http://fredy.pineda-bbva.com/" TargetMode="External"/><Relationship Id="rId729" Type="http://schemas.openxmlformats.org/officeDocument/2006/relationships/hyperlink" Target="http://nathiahayosara.amado-bbva.com/" TargetMode="External"/><Relationship Id="rId1359" Type="http://schemas.openxmlformats.org/officeDocument/2006/relationships/hyperlink" Target="http://paolaandrea.guzman-bbva.com/" TargetMode="External"/><Relationship Id="rId936" Type="http://schemas.openxmlformats.org/officeDocument/2006/relationships/hyperlink" Target="http://nathiahayosara.amado-bbva.com/" TargetMode="External"/><Relationship Id="rId1219" Type="http://schemas.openxmlformats.org/officeDocument/2006/relationships/hyperlink" Target="http://monica.zamudio-bbva.com/" TargetMode="External"/><Relationship Id="rId1566" Type="http://schemas.openxmlformats.org/officeDocument/2006/relationships/hyperlink" Target="http://yurimilena.moreno-bbva.com/" TargetMode="External"/><Relationship Id="rId1773" Type="http://schemas.openxmlformats.org/officeDocument/2006/relationships/hyperlink" Target="https://globaldevtools.bbva.com/jira/browse/COLWSCUENT-338" TargetMode="External"/><Relationship Id="rId1980" Type="http://schemas.openxmlformats.org/officeDocument/2006/relationships/hyperlink" Target="http://yeraldineandrea.sierra-bbva.com/" TargetMode="External"/><Relationship Id="rId65" Type="http://schemas.openxmlformats.org/officeDocument/2006/relationships/hyperlink" Target="http://jorgeenrique.vivas-bbva.com/" TargetMode="External"/><Relationship Id="rId1426" Type="http://schemas.openxmlformats.org/officeDocument/2006/relationships/hyperlink" Target="http://juana.vergara-bbva.com/" TargetMode="External"/><Relationship Id="rId1633" Type="http://schemas.openxmlformats.org/officeDocument/2006/relationships/hyperlink" Target="http://vickyalexandra.mora-bbva.com/" TargetMode="External"/><Relationship Id="rId1840" Type="http://schemas.openxmlformats.org/officeDocument/2006/relationships/hyperlink" Target="http://yurimilena.moreno-bbva.com/" TargetMode="External"/><Relationship Id="rId1700" Type="http://schemas.openxmlformats.org/officeDocument/2006/relationships/hyperlink" Target="http://nelson.ruiz-bbva.com/" TargetMode="External"/><Relationship Id="rId379" Type="http://schemas.openxmlformats.org/officeDocument/2006/relationships/hyperlink" Target="http://juhan.lozano-bbva.com/" TargetMode="External"/><Relationship Id="rId586" Type="http://schemas.openxmlformats.org/officeDocument/2006/relationships/hyperlink" Target="http://nathaliamaria.torres-bbva.com/" TargetMode="External"/><Relationship Id="rId793" Type="http://schemas.openxmlformats.org/officeDocument/2006/relationships/hyperlink" Target="http://sirlleny.vasquez-bbva.com/" TargetMode="External"/><Relationship Id="rId2267" Type="http://schemas.openxmlformats.org/officeDocument/2006/relationships/hyperlink" Target="http://felipe.guzman-bbva.com/" TargetMode="External"/><Relationship Id="rId2474" Type="http://schemas.openxmlformats.org/officeDocument/2006/relationships/hyperlink" Target="http://juan.orozco-bbva.com/" TargetMode="External"/><Relationship Id="rId239" Type="http://schemas.openxmlformats.org/officeDocument/2006/relationships/hyperlink" Target="http://jimy.catolico-bbva.com/" TargetMode="External"/><Relationship Id="rId446" Type="http://schemas.openxmlformats.org/officeDocument/2006/relationships/hyperlink" Target="http://erikajulieth.ruiz-bbva.com/" TargetMode="External"/><Relationship Id="rId653" Type="http://schemas.openxmlformats.org/officeDocument/2006/relationships/hyperlink" Target="http://angiejulieth.rodriguez.chaves-bbva.com/" TargetMode="External"/><Relationship Id="rId1076" Type="http://schemas.openxmlformats.org/officeDocument/2006/relationships/hyperlink" Target="http://nathiahayosara.amado-bbva.com/" TargetMode="External"/><Relationship Id="rId1283" Type="http://schemas.openxmlformats.org/officeDocument/2006/relationships/hyperlink" Target="http://monica.zamudio-bbva.com/" TargetMode="External"/><Relationship Id="rId1490" Type="http://schemas.openxmlformats.org/officeDocument/2006/relationships/hyperlink" Target="http://fredy.pineda-bbva.com/" TargetMode="External"/><Relationship Id="rId2127" Type="http://schemas.openxmlformats.org/officeDocument/2006/relationships/hyperlink" Target="https://globaldevtools.bbva.com/jira/browse/COLWSCUENT-1826" TargetMode="External"/><Relationship Id="rId2334" Type="http://schemas.openxmlformats.org/officeDocument/2006/relationships/hyperlink" Target="http://felipe.guzman-bbva.com/" TargetMode="External"/><Relationship Id="rId306" Type="http://schemas.openxmlformats.org/officeDocument/2006/relationships/hyperlink" Target="http://paolaandrea.hermosa-bbva.com/" TargetMode="External"/><Relationship Id="rId860" Type="http://schemas.openxmlformats.org/officeDocument/2006/relationships/hyperlink" Target="http://ivan_dario.ariza-bbva.com/" TargetMode="External"/><Relationship Id="rId1143" Type="http://schemas.openxmlformats.org/officeDocument/2006/relationships/hyperlink" Target="http://angie.castaneda-bbva.com/" TargetMode="External"/><Relationship Id="rId2541" Type="http://schemas.openxmlformats.org/officeDocument/2006/relationships/hyperlink" Target="http://rudyyolima.aguilar-bbva.com/" TargetMode="External"/><Relationship Id="rId513" Type="http://schemas.openxmlformats.org/officeDocument/2006/relationships/hyperlink" Target="http://oscar.bejarano-bbva.com/" TargetMode="External"/><Relationship Id="rId720" Type="http://schemas.openxmlformats.org/officeDocument/2006/relationships/hyperlink" Target="http://elizabeth.diaz-bbva.com/" TargetMode="External"/><Relationship Id="rId1350" Type="http://schemas.openxmlformats.org/officeDocument/2006/relationships/hyperlink" Target="http://judy.prieto-bbva.com/" TargetMode="External"/><Relationship Id="rId2401" Type="http://schemas.openxmlformats.org/officeDocument/2006/relationships/hyperlink" Target="http://julioenrique.ramos-bbva.com/" TargetMode="External"/><Relationship Id="rId1003" Type="http://schemas.openxmlformats.org/officeDocument/2006/relationships/hyperlink" Target="http://elizabeth.diaz-bbva.com/" TargetMode="External"/><Relationship Id="rId1210" Type="http://schemas.openxmlformats.org/officeDocument/2006/relationships/hyperlink" Target="http://sandra.espinosa-bbva.com/" TargetMode="External"/><Relationship Id="rId2191" Type="http://schemas.openxmlformats.org/officeDocument/2006/relationships/hyperlink" Target="http://mariajuliana.rodriguez-bbva.com/" TargetMode="External"/><Relationship Id="rId163" Type="http://schemas.openxmlformats.org/officeDocument/2006/relationships/hyperlink" Target="https://globaldevtools.bbva.com/jira/browse/COLWSCANAL-14855" TargetMode="External"/><Relationship Id="rId370" Type="http://schemas.openxmlformats.org/officeDocument/2006/relationships/hyperlink" Target="http://erikajulieth.ruiz-bbva.com/" TargetMode="External"/><Relationship Id="rId2051" Type="http://schemas.openxmlformats.org/officeDocument/2006/relationships/hyperlink" Target="http://monica.zamudio-bbva.com/" TargetMode="External"/><Relationship Id="rId230" Type="http://schemas.openxmlformats.org/officeDocument/2006/relationships/hyperlink" Target="https://globaldevtools.bbva.com/jira/browse/COLWSCANAL-14977" TargetMode="External"/><Relationship Id="rId1677" Type="http://schemas.openxmlformats.org/officeDocument/2006/relationships/hyperlink" Target="http://elizabeth.diaz-bbva.com/" TargetMode="External"/><Relationship Id="rId1884" Type="http://schemas.openxmlformats.org/officeDocument/2006/relationships/hyperlink" Target="http://marthapatric.cruz-bbva.com/" TargetMode="External"/><Relationship Id="rId907" Type="http://schemas.openxmlformats.org/officeDocument/2006/relationships/hyperlink" Target="https://globaldevtools.bbva.com/jira/browse/COLWSCONTA-10" TargetMode="External"/><Relationship Id="rId1537" Type="http://schemas.openxmlformats.org/officeDocument/2006/relationships/hyperlink" Target="http://nicolas.galindo-bbva.com/" TargetMode="External"/><Relationship Id="rId1744" Type="http://schemas.openxmlformats.org/officeDocument/2006/relationships/hyperlink" Target="http://elizabeth.diaz-bbva.com/" TargetMode="External"/><Relationship Id="rId1951" Type="http://schemas.openxmlformats.org/officeDocument/2006/relationships/hyperlink" Target="http://alirio.bermudez-bbva.com/" TargetMode="External"/><Relationship Id="rId36" Type="http://schemas.openxmlformats.org/officeDocument/2006/relationships/hyperlink" Target="https://globaldevtools.bbva.com/jira/browse/COLWSDATIO-3339" TargetMode="External"/><Relationship Id="rId1604" Type="http://schemas.openxmlformats.org/officeDocument/2006/relationships/hyperlink" Target="http://andrea.orrego-bbva.com/" TargetMode="External"/><Relationship Id="rId1811" Type="http://schemas.openxmlformats.org/officeDocument/2006/relationships/hyperlink" Target="http://ivan_dario.ariza-bbva.com/" TargetMode="External"/><Relationship Id="rId697" Type="http://schemas.openxmlformats.org/officeDocument/2006/relationships/hyperlink" Target="http://elizabeth.diaz-bbva.com/" TargetMode="External"/><Relationship Id="rId2378" Type="http://schemas.openxmlformats.org/officeDocument/2006/relationships/hyperlink" Target="https://globaldevtools.bbva.com/jira/browse/COLWSSEGUR-1622" TargetMode="External"/><Relationship Id="rId1187" Type="http://schemas.openxmlformats.org/officeDocument/2006/relationships/hyperlink" Target="http://sandra.espinosa-bbva.com/" TargetMode="External"/><Relationship Id="rId2585" Type="http://schemas.openxmlformats.org/officeDocument/2006/relationships/hyperlink" Target="http://carlosdavid.pacheco-bbva.com/" TargetMode="External"/><Relationship Id="rId557" Type="http://schemas.openxmlformats.org/officeDocument/2006/relationships/hyperlink" Target="http://catalina.villamil-bbva.com/" TargetMode="External"/><Relationship Id="rId764" Type="http://schemas.openxmlformats.org/officeDocument/2006/relationships/hyperlink" Target="http://nathiahayosara.amado-bbva.com/" TargetMode="External"/><Relationship Id="rId971" Type="http://schemas.openxmlformats.org/officeDocument/2006/relationships/hyperlink" Target="https://globaldevtools.bbva.com/jira/browse/COLWSCANAL-3799" TargetMode="External"/><Relationship Id="rId1394" Type="http://schemas.openxmlformats.org/officeDocument/2006/relationships/hyperlink" Target="http://hugofernando.parra-bbva.com/" TargetMode="External"/><Relationship Id="rId2238" Type="http://schemas.openxmlformats.org/officeDocument/2006/relationships/hyperlink" Target="http://katherine.michaels-bbva.com/" TargetMode="External"/><Relationship Id="rId2445" Type="http://schemas.openxmlformats.org/officeDocument/2006/relationships/hyperlink" Target="http://juan.orozco-bbva.com/" TargetMode="External"/><Relationship Id="rId417" Type="http://schemas.openxmlformats.org/officeDocument/2006/relationships/hyperlink" Target="http://jimy.catolico-bbva.com/" TargetMode="External"/><Relationship Id="rId624" Type="http://schemas.openxmlformats.org/officeDocument/2006/relationships/hyperlink" Target="http://catalina.villamil-bbva.com/" TargetMode="External"/><Relationship Id="rId831" Type="http://schemas.openxmlformats.org/officeDocument/2006/relationships/hyperlink" Target="http://karenalexandra.martinez-bbva.com/" TargetMode="External"/><Relationship Id="rId1047" Type="http://schemas.openxmlformats.org/officeDocument/2006/relationships/hyperlink" Target="http://elizabeth.diaz-bbva.com/" TargetMode="External"/><Relationship Id="rId1254" Type="http://schemas.openxmlformats.org/officeDocument/2006/relationships/hyperlink" Target="https://globaldevtools.bbva.com/jira/browse/COLWSPREST-10649" TargetMode="External"/><Relationship Id="rId1461" Type="http://schemas.openxmlformats.org/officeDocument/2006/relationships/hyperlink" Target="http://geovany.ramirez-bbva.com/" TargetMode="External"/><Relationship Id="rId2305" Type="http://schemas.openxmlformats.org/officeDocument/2006/relationships/hyperlink" Target="http://katherine.michaels-bbva.com/" TargetMode="External"/><Relationship Id="rId2512" Type="http://schemas.openxmlformats.org/officeDocument/2006/relationships/hyperlink" Target="http://ivan_dario.ariza-bbva.com/" TargetMode="External"/><Relationship Id="rId1114" Type="http://schemas.openxmlformats.org/officeDocument/2006/relationships/hyperlink" Target="http://rociomarcela.lopez-bbva.com/" TargetMode="External"/><Relationship Id="rId1321" Type="http://schemas.openxmlformats.org/officeDocument/2006/relationships/hyperlink" Target="https://globaldevtools.bbva.com/jira/browse/COLWSMEDIO-4857" TargetMode="External"/><Relationship Id="rId2095" Type="http://schemas.openxmlformats.org/officeDocument/2006/relationships/hyperlink" Target="https://globaldevtools.bbva.com/jira/browse/COLWSCUENT-1961" TargetMode="External"/><Relationship Id="rId274" Type="http://schemas.openxmlformats.org/officeDocument/2006/relationships/hyperlink" Target="http://oscar.bejarano-bbva.com/" TargetMode="External"/><Relationship Id="rId481" Type="http://schemas.openxmlformats.org/officeDocument/2006/relationships/hyperlink" Target="http://jimy.catolico-bbva.com/" TargetMode="External"/><Relationship Id="rId2162" Type="http://schemas.openxmlformats.org/officeDocument/2006/relationships/hyperlink" Target="https://globaldevtools.bbva.com/jira/browse/COLWSCUENT-2889" TargetMode="External"/><Relationship Id="rId134" Type="http://schemas.openxmlformats.org/officeDocument/2006/relationships/hyperlink" Target="https://globaldevtools.bbva.com/jira/browse/COLWSDATIO-1955" TargetMode="External"/><Relationship Id="rId341" Type="http://schemas.openxmlformats.org/officeDocument/2006/relationships/hyperlink" Target="http://luz.rodriguez-bbva.com/" TargetMode="External"/><Relationship Id="rId2022" Type="http://schemas.openxmlformats.org/officeDocument/2006/relationships/hyperlink" Target="http://rociomarcela.lopez-bbva.com/" TargetMode="External"/><Relationship Id="rId201" Type="http://schemas.openxmlformats.org/officeDocument/2006/relationships/hyperlink" Target="http://monica.zamudio-bbva.com/" TargetMode="External"/><Relationship Id="rId1788" Type="http://schemas.openxmlformats.org/officeDocument/2006/relationships/hyperlink" Target="https://globaldevtools.bbva.com/jira/browse/COLWSPREST-4367" TargetMode="External"/><Relationship Id="rId1995" Type="http://schemas.openxmlformats.org/officeDocument/2006/relationships/hyperlink" Target="http://monica.zamudio-bbva.com/" TargetMode="External"/><Relationship Id="rId1648" Type="http://schemas.openxmlformats.org/officeDocument/2006/relationships/hyperlink" Target="http://magnolia.aristizabal-bbva.com/" TargetMode="External"/><Relationship Id="rId1508" Type="http://schemas.openxmlformats.org/officeDocument/2006/relationships/hyperlink" Target="http://fredy.pineda-bbva.com/" TargetMode="External"/><Relationship Id="rId1855" Type="http://schemas.openxmlformats.org/officeDocument/2006/relationships/hyperlink" Target="http://marthapatric.cruz-bbva.com/" TargetMode="External"/><Relationship Id="rId1715" Type="http://schemas.openxmlformats.org/officeDocument/2006/relationships/hyperlink" Target="http://nelson.ruiz-bbva.com/" TargetMode="External"/><Relationship Id="rId1922" Type="http://schemas.openxmlformats.org/officeDocument/2006/relationships/hyperlink" Target="http://andresfelipe.granados-bbva.com/" TargetMode="External"/><Relationship Id="rId2489" Type="http://schemas.openxmlformats.org/officeDocument/2006/relationships/hyperlink" Target="http://nidia.moreno-bbva.com/" TargetMode="External"/><Relationship Id="rId668" Type="http://schemas.openxmlformats.org/officeDocument/2006/relationships/hyperlink" Target="http://nathiahayosara.amado-bbva.com/" TargetMode="External"/><Relationship Id="rId875" Type="http://schemas.openxmlformats.org/officeDocument/2006/relationships/hyperlink" Target="http://karenalexandra.martinez-bbva.com/" TargetMode="External"/><Relationship Id="rId1298" Type="http://schemas.openxmlformats.org/officeDocument/2006/relationships/hyperlink" Target="http://monica.zamudio-bbva.com/" TargetMode="External"/><Relationship Id="rId2349" Type="http://schemas.openxmlformats.org/officeDocument/2006/relationships/hyperlink" Target="http://felipe.guzman-bbva.com/" TargetMode="External"/><Relationship Id="rId2556" Type="http://schemas.openxmlformats.org/officeDocument/2006/relationships/hyperlink" Target="http://oscardavid.rico-bbva.com/" TargetMode="External"/><Relationship Id="rId528" Type="http://schemas.openxmlformats.org/officeDocument/2006/relationships/hyperlink" Target="http://daniela.cifuentes.ariza-bbva.com/" TargetMode="External"/><Relationship Id="rId735" Type="http://schemas.openxmlformats.org/officeDocument/2006/relationships/hyperlink" Target="http://elizabeth.diaz-bbva.com/" TargetMode="External"/><Relationship Id="rId942" Type="http://schemas.openxmlformats.org/officeDocument/2006/relationships/hyperlink" Target="http://elizabeth.diaz-bbva.com/" TargetMode="External"/><Relationship Id="rId1158" Type="http://schemas.openxmlformats.org/officeDocument/2006/relationships/hyperlink" Target="http://angie.castaneda-bbva.com/" TargetMode="External"/><Relationship Id="rId1365" Type="http://schemas.openxmlformats.org/officeDocument/2006/relationships/hyperlink" Target="http://angie.castaneda-bbva.com/" TargetMode="External"/><Relationship Id="rId1572" Type="http://schemas.openxmlformats.org/officeDocument/2006/relationships/hyperlink" Target="http://vivianamarcela.rueda-bbva.com/" TargetMode="External"/><Relationship Id="rId2209" Type="http://schemas.openxmlformats.org/officeDocument/2006/relationships/hyperlink" Target="https://globaldevtools.bbva.com/jira/browse/COLWSSEGUR-88" TargetMode="External"/><Relationship Id="rId2416" Type="http://schemas.openxmlformats.org/officeDocument/2006/relationships/hyperlink" Target="http://juan.orozco-bbva.com/" TargetMode="External"/><Relationship Id="rId1018" Type="http://schemas.openxmlformats.org/officeDocument/2006/relationships/hyperlink" Target="http://jeissonandres.diaz.rodriguez-bbva.com/" TargetMode="External"/><Relationship Id="rId1225" Type="http://schemas.openxmlformats.org/officeDocument/2006/relationships/hyperlink" Target="http://angie.castaneda-bbva.com/" TargetMode="External"/><Relationship Id="rId1432" Type="http://schemas.openxmlformats.org/officeDocument/2006/relationships/hyperlink" Target="http://hugofernando.parra-bbva.com/" TargetMode="External"/><Relationship Id="rId71" Type="http://schemas.openxmlformats.org/officeDocument/2006/relationships/hyperlink" Target="http://ana.santamaria-bbva.com/" TargetMode="External"/><Relationship Id="rId802" Type="http://schemas.openxmlformats.org/officeDocument/2006/relationships/hyperlink" Target="http://elizabeth.diaz-bbva.com/" TargetMode="External"/><Relationship Id="rId178" Type="http://schemas.openxmlformats.org/officeDocument/2006/relationships/hyperlink" Target="http://yurimilena.moreno-bbva.com/" TargetMode="External"/><Relationship Id="rId385" Type="http://schemas.openxmlformats.org/officeDocument/2006/relationships/hyperlink" Target="http://jimy.catolico-bbva.com/" TargetMode="External"/><Relationship Id="rId592" Type="http://schemas.openxmlformats.org/officeDocument/2006/relationships/hyperlink" Target="http://jennymaria.urdaneta-bbva.com/" TargetMode="External"/><Relationship Id="rId2066" Type="http://schemas.openxmlformats.org/officeDocument/2006/relationships/hyperlink" Target="http://marthapatric.cruz-bbva.com/" TargetMode="External"/><Relationship Id="rId2273" Type="http://schemas.openxmlformats.org/officeDocument/2006/relationships/hyperlink" Target="http://katherine.michaels-bbva.com/" TargetMode="External"/><Relationship Id="rId2480" Type="http://schemas.openxmlformats.org/officeDocument/2006/relationships/hyperlink" Target="http://paolaandrea.guzman-bbva.com/" TargetMode="External"/><Relationship Id="rId245" Type="http://schemas.openxmlformats.org/officeDocument/2006/relationships/hyperlink" Target="http://yurimilena.moreno-bbva.com/" TargetMode="External"/><Relationship Id="rId452" Type="http://schemas.openxmlformats.org/officeDocument/2006/relationships/hyperlink" Target="https://globaldevtools.bbva.com/jira/browse/COLWSCANAL-13340" TargetMode="External"/><Relationship Id="rId1082" Type="http://schemas.openxmlformats.org/officeDocument/2006/relationships/hyperlink" Target="http://elizabeth.diaz-bbva.com/" TargetMode="External"/><Relationship Id="rId2133" Type="http://schemas.openxmlformats.org/officeDocument/2006/relationships/hyperlink" Target="http://elizabeth.diaz-bbva.com/" TargetMode="External"/><Relationship Id="rId2340" Type="http://schemas.openxmlformats.org/officeDocument/2006/relationships/hyperlink" Target="http://dianacarolina.gonzalez.castri-bbva.com/" TargetMode="External"/><Relationship Id="rId105" Type="http://schemas.openxmlformats.org/officeDocument/2006/relationships/hyperlink" Target="http://pabloalexand.ortiz-bbva.com/" TargetMode="External"/><Relationship Id="rId312" Type="http://schemas.openxmlformats.org/officeDocument/2006/relationships/hyperlink" Target="http://jimy.catolico-bbva.com/" TargetMode="External"/><Relationship Id="rId2200" Type="http://schemas.openxmlformats.org/officeDocument/2006/relationships/hyperlink" Target="http://sandracarolina.miranda-bbva.com/" TargetMode="External"/><Relationship Id="rId1899" Type="http://schemas.openxmlformats.org/officeDocument/2006/relationships/hyperlink" Target="http://marthapatric.cruz-bbva.com/" TargetMode="External"/><Relationship Id="rId1759" Type="http://schemas.openxmlformats.org/officeDocument/2006/relationships/hyperlink" Target="http://nelson.ruiz-bbva.com/" TargetMode="External"/><Relationship Id="rId1966" Type="http://schemas.openxmlformats.org/officeDocument/2006/relationships/hyperlink" Target="https://globaldevtools.bbva.com/jira/browse/CCIBS-1776" TargetMode="External"/><Relationship Id="rId1619" Type="http://schemas.openxmlformats.org/officeDocument/2006/relationships/hyperlink" Target="https://globaldevtools.bbva.com/jira/browse/COLWSCANAL-2978" TargetMode="External"/><Relationship Id="rId1826" Type="http://schemas.openxmlformats.org/officeDocument/2006/relationships/hyperlink" Target="http://alirio.bermudez-bbva.com/" TargetMode="External"/><Relationship Id="rId779" Type="http://schemas.openxmlformats.org/officeDocument/2006/relationships/hyperlink" Target="https://globaldevtools.bbva.com/jira/browse/COLWSCANAL-6431" TargetMode="External"/><Relationship Id="rId986" Type="http://schemas.openxmlformats.org/officeDocument/2006/relationships/hyperlink" Target="http://elizabeth.diaz-bbva.com/" TargetMode="External"/><Relationship Id="rId639" Type="http://schemas.openxmlformats.org/officeDocument/2006/relationships/hyperlink" Target="https://globaldevtools.bbva.com/jira/browse/COLWSMEDIO-6449" TargetMode="External"/><Relationship Id="rId1269" Type="http://schemas.openxmlformats.org/officeDocument/2006/relationships/hyperlink" Target="http://diegoandres.rodriguez-bbva.com/" TargetMode="External"/><Relationship Id="rId1476" Type="http://schemas.openxmlformats.org/officeDocument/2006/relationships/hyperlink" Target="http://hugofernando.parra-bbva.com/" TargetMode="External"/><Relationship Id="rId846" Type="http://schemas.openxmlformats.org/officeDocument/2006/relationships/hyperlink" Target="http://nathiahayosara.amado-bbva.com/" TargetMode="External"/><Relationship Id="rId1129" Type="http://schemas.openxmlformats.org/officeDocument/2006/relationships/hyperlink" Target="http://angie.castaneda-bbva.com/" TargetMode="External"/><Relationship Id="rId1683" Type="http://schemas.openxmlformats.org/officeDocument/2006/relationships/hyperlink" Target="http://alirio.bermudez-bbva.com/" TargetMode="External"/><Relationship Id="rId1890" Type="http://schemas.openxmlformats.org/officeDocument/2006/relationships/hyperlink" Target="https://globaldevtools.bbva.com/jira/browse/COLWSMEDIO-4794" TargetMode="External"/><Relationship Id="rId2527" Type="http://schemas.openxmlformats.org/officeDocument/2006/relationships/hyperlink" Target="http://hugoalberto.abreo-bbva.com/" TargetMode="External"/><Relationship Id="rId706" Type="http://schemas.openxmlformats.org/officeDocument/2006/relationships/hyperlink" Target="http://nathiahayosara.amado-bbva.com/" TargetMode="External"/><Relationship Id="rId913" Type="http://schemas.openxmlformats.org/officeDocument/2006/relationships/hyperlink" Target="http://jeissonandres.diaz.rodriguez-bbva.com/" TargetMode="External"/><Relationship Id="rId1336" Type="http://schemas.openxmlformats.org/officeDocument/2006/relationships/hyperlink" Target="http://paolaandrea.guzman-bbva.com/" TargetMode="External"/><Relationship Id="rId1543" Type="http://schemas.openxmlformats.org/officeDocument/2006/relationships/hyperlink" Target="https://globaldevtools.bbva.com/jira/browse/COLWSPREST-12058" TargetMode="External"/><Relationship Id="rId1750" Type="http://schemas.openxmlformats.org/officeDocument/2006/relationships/hyperlink" Target="http://alirio.bermudez-bbva.com/" TargetMode="External"/><Relationship Id="rId42" Type="http://schemas.openxmlformats.org/officeDocument/2006/relationships/hyperlink" Target="http://jorgeenrique.vivas-bbva.com/" TargetMode="External"/><Relationship Id="rId1403" Type="http://schemas.openxmlformats.org/officeDocument/2006/relationships/hyperlink" Target="http://hugofernando.parra-bbva.com/" TargetMode="External"/><Relationship Id="rId1610" Type="http://schemas.openxmlformats.org/officeDocument/2006/relationships/hyperlink" Target="http://paolaandrea.hermosa-bbva.com/" TargetMode="External"/><Relationship Id="rId289" Type="http://schemas.openxmlformats.org/officeDocument/2006/relationships/hyperlink" Target="http://daniela.cifuentes.ariza-bbva.com/" TargetMode="External"/><Relationship Id="rId496" Type="http://schemas.openxmlformats.org/officeDocument/2006/relationships/hyperlink" Target="http://jimy.catolico-bbva.com/" TargetMode="External"/><Relationship Id="rId2177" Type="http://schemas.openxmlformats.org/officeDocument/2006/relationships/hyperlink" Target="http://sandracarolina.miranda-bbva.com/" TargetMode="External"/><Relationship Id="rId2384" Type="http://schemas.openxmlformats.org/officeDocument/2006/relationships/hyperlink" Target="http://jorge.blanco-bbva.com/" TargetMode="External"/><Relationship Id="rId2591" Type="http://schemas.openxmlformats.org/officeDocument/2006/relationships/hyperlink" Target="https://globaldevtools.bbva.com/jira/browse/COLWSFNDIR-368" TargetMode="External"/><Relationship Id="rId149" Type="http://schemas.openxmlformats.org/officeDocument/2006/relationships/hyperlink" Target="http://nelsonandres.bohorquez-bbva.com/" TargetMode="External"/><Relationship Id="rId356" Type="http://schemas.openxmlformats.org/officeDocument/2006/relationships/hyperlink" Target="https://globaldevtools.bbva.com/jira/browse/COLWSCANAL-11949" TargetMode="External"/><Relationship Id="rId563" Type="http://schemas.openxmlformats.org/officeDocument/2006/relationships/hyperlink" Target="https://globaldevtools.bbva.com/jira/browse/COLWSCANAL-3414" TargetMode="External"/><Relationship Id="rId770" Type="http://schemas.openxmlformats.org/officeDocument/2006/relationships/hyperlink" Target="http://elizabeth.diaz-bbva.com/" TargetMode="External"/><Relationship Id="rId1193" Type="http://schemas.openxmlformats.org/officeDocument/2006/relationships/hyperlink" Target="https://globaldevtools.bbva.com/jira/browse/COLWSPREST-7331" TargetMode="External"/><Relationship Id="rId2037" Type="http://schemas.openxmlformats.org/officeDocument/2006/relationships/hyperlink" Target="http://marthapatric.cruz-bbva.com/" TargetMode="External"/><Relationship Id="rId2244" Type="http://schemas.openxmlformats.org/officeDocument/2006/relationships/hyperlink" Target="https://globaldevtools.bbva.com/jira/browse/COLWSSEGUR-62" TargetMode="External"/><Relationship Id="rId2451" Type="http://schemas.openxmlformats.org/officeDocument/2006/relationships/hyperlink" Target="http://juan.orozco-bbva.com/" TargetMode="External"/><Relationship Id="rId216" Type="http://schemas.openxmlformats.org/officeDocument/2006/relationships/hyperlink" Target="http://juliocesar.estupinan-bbva.com/" TargetMode="External"/><Relationship Id="rId423" Type="http://schemas.openxmlformats.org/officeDocument/2006/relationships/hyperlink" Target="http://juhan.lozano-bbva.com/" TargetMode="External"/><Relationship Id="rId1053" Type="http://schemas.openxmlformats.org/officeDocument/2006/relationships/hyperlink" Target="http://nathiahayosara.amado-bbva.com/" TargetMode="External"/><Relationship Id="rId1260" Type="http://schemas.openxmlformats.org/officeDocument/2006/relationships/hyperlink" Target="http://paolaandrea.guzman-bbva.com/" TargetMode="External"/><Relationship Id="rId2104" Type="http://schemas.openxmlformats.org/officeDocument/2006/relationships/hyperlink" Target="http://alirio.bermudez-bbva.com/" TargetMode="External"/><Relationship Id="rId630" Type="http://schemas.openxmlformats.org/officeDocument/2006/relationships/hyperlink" Target="http://nathaliamaria.torres-bbva.com/" TargetMode="External"/><Relationship Id="rId2311" Type="http://schemas.openxmlformats.org/officeDocument/2006/relationships/hyperlink" Target="http://felipe.guzman-bbva.com/" TargetMode="External"/><Relationship Id="rId1120" Type="http://schemas.openxmlformats.org/officeDocument/2006/relationships/hyperlink" Target="http://brigitteyesenia.beltran-bbva.com/" TargetMode="External"/><Relationship Id="rId1937" Type="http://schemas.openxmlformats.org/officeDocument/2006/relationships/hyperlink" Target="http://andresfelipe.granados-bbva.com/" TargetMode="External"/><Relationship Id="rId280" Type="http://schemas.openxmlformats.org/officeDocument/2006/relationships/hyperlink" Target="https://globaldevtools.bbva.com/jira/browse/COLWSCANAL-6693" TargetMode="External"/><Relationship Id="rId140" Type="http://schemas.openxmlformats.org/officeDocument/2006/relationships/hyperlink" Target="http://rodrigo.ardila-bbva.com/" TargetMode="External"/><Relationship Id="rId6" Type="http://schemas.openxmlformats.org/officeDocument/2006/relationships/hyperlink" Target="http://brigitteandrea.rincon-bbva.com/" TargetMode="External"/><Relationship Id="rId957" Type="http://schemas.openxmlformats.org/officeDocument/2006/relationships/hyperlink" Target="http://jeissonandres.diaz.rodriguez-bbva.com/" TargetMode="External"/><Relationship Id="rId1587" Type="http://schemas.openxmlformats.org/officeDocument/2006/relationships/hyperlink" Target="http://carolina.monterrey-bbva.com/" TargetMode="External"/><Relationship Id="rId1794" Type="http://schemas.openxmlformats.org/officeDocument/2006/relationships/hyperlink" Target="http://monicaandrea.abogado-bbva.com/" TargetMode="External"/><Relationship Id="rId86" Type="http://schemas.openxmlformats.org/officeDocument/2006/relationships/hyperlink" Target="http://davidesteban.fajardo-bbva.com/" TargetMode="External"/><Relationship Id="rId817" Type="http://schemas.openxmlformats.org/officeDocument/2006/relationships/hyperlink" Target="https://globaldevtools.bbva.com/jira/browse/COLWSPREST-312" TargetMode="External"/><Relationship Id="rId1447" Type="http://schemas.openxmlformats.org/officeDocument/2006/relationships/hyperlink" Target="https://globaldevtools.bbva.com/jira/browse/COLWSPREST-7866" TargetMode="External"/><Relationship Id="rId1654" Type="http://schemas.openxmlformats.org/officeDocument/2006/relationships/hyperlink" Target="http://nelson.ruiz-bbva.com/" TargetMode="External"/><Relationship Id="rId1861" Type="http://schemas.openxmlformats.org/officeDocument/2006/relationships/hyperlink" Target="https://globaldevtools.bbva.com/jira/browse/COLWSNORMA-1057" TargetMode="External"/><Relationship Id="rId1307" Type="http://schemas.openxmlformats.org/officeDocument/2006/relationships/hyperlink" Target="http://judy.prieto-bbva.com/" TargetMode="External"/><Relationship Id="rId1514" Type="http://schemas.openxmlformats.org/officeDocument/2006/relationships/hyperlink" Target="http://judy.bernal-bbva.com/" TargetMode="External"/><Relationship Id="rId1721" Type="http://schemas.openxmlformats.org/officeDocument/2006/relationships/hyperlink" Target="https://globaldevtools.bbva.com/jira/browse/COLWSCONTA-1765" TargetMode="External"/><Relationship Id="rId13" Type="http://schemas.openxmlformats.org/officeDocument/2006/relationships/hyperlink" Target="http://ana.santamaria-bbva.com/" TargetMode="External"/><Relationship Id="rId2288" Type="http://schemas.openxmlformats.org/officeDocument/2006/relationships/hyperlink" Target="https://globaldevtools.bbva.com/jira/browse/COLWSSEGUR-9" TargetMode="External"/><Relationship Id="rId2495" Type="http://schemas.openxmlformats.org/officeDocument/2006/relationships/hyperlink" Target="http://clara.mora-bbva.com/" TargetMode="External"/><Relationship Id="rId467" Type="http://schemas.openxmlformats.org/officeDocument/2006/relationships/hyperlink" Target="http://juhan.lozano-bbva.com/" TargetMode="External"/><Relationship Id="rId1097" Type="http://schemas.openxmlformats.org/officeDocument/2006/relationships/hyperlink" Target="http://brigitteyesenia.beltran-bbva.com/" TargetMode="External"/><Relationship Id="rId2148" Type="http://schemas.openxmlformats.org/officeDocument/2006/relationships/hyperlink" Target="http://hugo.mongua-bbva.com/" TargetMode="External"/><Relationship Id="rId674" Type="http://schemas.openxmlformats.org/officeDocument/2006/relationships/hyperlink" Target="http://elizabeth.diaz-bbva.com/" TargetMode="External"/><Relationship Id="rId881" Type="http://schemas.openxmlformats.org/officeDocument/2006/relationships/hyperlink" Target="https://globaldevtools.bbva.com/jira/browse/COLWSPREST-8268" TargetMode="External"/><Relationship Id="rId2355" Type="http://schemas.openxmlformats.org/officeDocument/2006/relationships/hyperlink" Target="http://katherine.michaels-bbva.com/" TargetMode="External"/><Relationship Id="rId2562" Type="http://schemas.openxmlformats.org/officeDocument/2006/relationships/hyperlink" Target="http://catalina.villamil-bbva.com/" TargetMode="External"/><Relationship Id="rId327" Type="http://schemas.openxmlformats.org/officeDocument/2006/relationships/hyperlink" Target="https://globaldevtools.bbva.com/jira/browse/COLWSCANAL-13514" TargetMode="External"/><Relationship Id="rId534" Type="http://schemas.openxmlformats.org/officeDocument/2006/relationships/hyperlink" Target="http://irene.angel-bbva.com/" TargetMode="External"/><Relationship Id="rId741" Type="http://schemas.openxmlformats.org/officeDocument/2006/relationships/hyperlink" Target="http://nathiahayosara.amado-bbva.com/" TargetMode="External"/><Relationship Id="rId1164" Type="http://schemas.openxmlformats.org/officeDocument/2006/relationships/hyperlink" Target="http://paolaandrea.hermosa-bbva.com/" TargetMode="External"/><Relationship Id="rId1371" Type="http://schemas.openxmlformats.org/officeDocument/2006/relationships/hyperlink" Target="https://globaldevtools.bbva.com/jira/browse/COLWSMEDIO-4823" TargetMode="External"/><Relationship Id="rId2008" Type="http://schemas.openxmlformats.org/officeDocument/2006/relationships/hyperlink" Target="http://alirio.bermudez-bbva.com/" TargetMode="External"/><Relationship Id="rId2215" Type="http://schemas.openxmlformats.org/officeDocument/2006/relationships/hyperlink" Target="http://felipe.guzman-bbva.com/" TargetMode="External"/><Relationship Id="rId2422" Type="http://schemas.openxmlformats.org/officeDocument/2006/relationships/hyperlink" Target="https://globaldevtools.bbva.com/jira/browse/COLWSFIDUC-5" TargetMode="External"/><Relationship Id="rId601" Type="http://schemas.openxmlformats.org/officeDocument/2006/relationships/hyperlink" Target="http://jennymaria.urdaneta-bbva.com/" TargetMode="External"/><Relationship Id="rId1024" Type="http://schemas.openxmlformats.org/officeDocument/2006/relationships/hyperlink" Target="https://globaldevtools.bbva.com/jira/browse/COLWSCONTA-472" TargetMode="External"/><Relationship Id="rId1231" Type="http://schemas.openxmlformats.org/officeDocument/2006/relationships/hyperlink" Target="https://globaldevtools.bbva.com/jira/browse/CCSS-15566" TargetMode="External"/><Relationship Id="rId184" Type="http://schemas.openxmlformats.org/officeDocument/2006/relationships/hyperlink" Target="http://diegofernand.castro-bbva.com/" TargetMode="External"/><Relationship Id="rId391" Type="http://schemas.openxmlformats.org/officeDocument/2006/relationships/hyperlink" Target="http://juhan.lozano-bbva.com/" TargetMode="External"/><Relationship Id="rId1908" Type="http://schemas.openxmlformats.org/officeDocument/2006/relationships/hyperlink" Target="http://sandrajohanna.gonzalez-bbva.com/" TargetMode="External"/><Relationship Id="rId2072" Type="http://schemas.openxmlformats.org/officeDocument/2006/relationships/hyperlink" Target="http://marthapatric.cruz-bbva.com/" TargetMode="External"/><Relationship Id="rId251" Type="http://schemas.openxmlformats.org/officeDocument/2006/relationships/hyperlink" Target="http://jimy.catolico-bbva.com/" TargetMode="External"/><Relationship Id="rId111" Type="http://schemas.openxmlformats.org/officeDocument/2006/relationships/hyperlink" Target="http://ana.santamaria-bbva.com/" TargetMode="External"/><Relationship Id="rId1698" Type="http://schemas.openxmlformats.org/officeDocument/2006/relationships/hyperlink" Target="https://globaldevtools.bbva.com/jira/browse/COLWSCONTA-527" TargetMode="External"/><Relationship Id="rId928" Type="http://schemas.openxmlformats.org/officeDocument/2006/relationships/hyperlink" Target="http://nathiahayosara.amado-bbva.com/" TargetMode="External"/><Relationship Id="rId1558" Type="http://schemas.openxmlformats.org/officeDocument/2006/relationships/hyperlink" Target="http://yurimilena.moreno-bbva.com/" TargetMode="External"/><Relationship Id="rId1765" Type="http://schemas.openxmlformats.org/officeDocument/2006/relationships/hyperlink" Target="https://globaldevtools.bbva.com/jira/browse/COLWSCUENT-2488" TargetMode="External"/><Relationship Id="rId57" Type="http://schemas.openxmlformats.org/officeDocument/2006/relationships/hyperlink" Target="http://ana.santamaria-bbva.com/" TargetMode="External"/><Relationship Id="rId1418" Type="http://schemas.openxmlformats.org/officeDocument/2006/relationships/hyperlink" Target="http://juana.vergara-bbva.com/" TargetMode="External"/><Relationship Id="rId1972" Type="http://schemas.openxmlformats.org/officeDocument/2006/relationships/hyperlink" Target="http://yeraldineandrea.sierra-bbva.com/" TargetMode="External"/><Relationship Id="rId1625" Type="http://schemas.openxmlformats.org/officeDocument/2006/relationships/hyperlink" Target="http://vickyalexandra.mora-bbva.com/" TargetMode="External"/><Relationship Id="rId1832" Type="http://schemas.openxmlformats.org/officeDocument/2006/relationships/hyperlink" Target="http://yurimilena.moreno-bbva.com/" TargetMode="External"/><Relationship Id="rId2399" Type="http://schemas.openxmlformats.org/officeDocument/2006/relationships/hyperlink" Target="http://juan.orozco-bbva.com/" TargetMode="External"/><Relationship Id="rId578" Type="http://schemas.openxmlformats.org/officeDocument/2006/relationships/hyperlink" Target="http://nathaliamaria.torres-bbva.com/" TargetMode="External"/><Relationship Id="rId785" Type="http://schemas.openxmlformats.org/officeDocument/2006/relationships/hyperlink" Target="http://sirlleny.vasquez-bbva.com/" TargetMode="External"/><Relationship Id="rId992" Type="http://schemas.openxmlformats.org/officeDocument/2006/relationships/hyperlink" Target="http://elizabeth.diaz-bbva.com/" TargetMode="External"/><Relationship Id="rId2259" Type="http://schemas.openxmlformats.org/officeDocument/2006/relationships/hyperlink" Target="http://felipe.guzman-bbva.com/" TargetMode="External"/><Relationship Id="rId2466" Type="http://schemas.openxmlformats.org/officeDocument/2006/relationships/hyperlink" Target="https://globaldevtools.bbva.com/jira/browse/CFS1-169" TargetMode="External"/><Relationship Id="rId438" Type="http://schemas.openxmlformats.org/officeDocument/2006/relationships/hyperlink" Target="http://giulianaandrea.guarin-bbva.com/" TargetMode="External"/><Relationship Id="rId645" Type="http://schemas.openxmlformats.org/officeDocument/2006/relationships/hyperlink" Target="http://nelson.ramirez-bbva.com/" TargetMode="External"/><Relationship Id="rId852" Type="http://schemas.openxmlformats.org/officeDocument/2006/relationships/hyperlink" Target="http://ivan_dario.ariza-bbva.com/" TargetMode="External"/><Relationship Id="rId1068" Type="http://schemas.openxmlformats.org/officeDocument/2006/relationships/hyperlink" Target="http://nathiahayosara.amado-bbva.com/" TargetMode="External"/><Relationship Id="rId1275" Type="http://schemas.openxmlformats.org/officeDocument/2006/relationships/hyperlink" Target="http://liliana.marquez-bbva.com/" TargetMode="External"/><Relationship Id="rId1482" Type="http://schemas.openxmlformats.org/officeDocument/2006/relationships/hyperlink" Target="http://rociomarcela.lopez-bbva.com/" TargetMode="External"/><Relationship Id="rId2119" Type="http://schemas.openxmlformats.org/officeDocument/2006/relationships/hyperlink" Target="https://globaldevtools.bbva.com/jira/browse/COLWSCUENT-1838" TargetMode="External"/><Relationship Id="rId2326" Type="http://schemas.openxmlformats.org/officeDocument/2006/relationships/hyperlink" Target="http://felipe.guzman-bbva.com/" TargetMode="External"/><Relationship Id="rId2533" Type="http://schemas.openxmlformats.org/officeDocument/2006/relationships/hyperlink" Target="http://nathaliamaria.torres-bbva.com/" TargetMode="External"/><Relationship Id="rId505" Type="http://schemas.openxmlformats.org/officeDocument/2006/relationships/hyperlink" Target="http://jimy.catolico-bbva.com/" TargetMode="External"/><Relationship Id="rId712" Type="http://schemas.openxmlformats.org/officeDocument/2006/relationships/hyperlink" Target="http://elizabeth.diaz-bbva.com/" TargetMode="External"/><Relationship Id="rId1135" Type="http://schemas.openxmlformats.org/officeDocument/2006/relationships/hyperlink" Target="https://globaldevtools.bbva.com/jira/browse/COLWSCUENT-363" TargetMode="External"/><Relationship Id="rId1342" Type="http://schemas.openxmlformats.org/officeDocument/2006/relationships/hyperlink" Target="http://judy.prieto-bbva.com/" TargetMode="External"/><Relationship Id="rId1202" Type="http://schemas.openxmlformats.org/officeDocument/2006/relationships/hyperlink" Target="http://angie.castaneda-bbva.com/" TargetMode="External"/><Relationship Id="rId2600" Type="http://schemas.openxmlformats.org/officeDocument/2006/relationships/hyperlink" Target="http://ana.santamaria-bbva.com/" TargetMode="External"/><Relationship Id="rId295" Type="http://schemas.openxmlformats.org/officeDocument/2006/relationships/hyperlink" Target="https://globaldevtools.bbva.com/jira/browse/COLWSMEDIO-3496" TargetMode="External"/><Relationship Id="rId2183" Type="http://schemas.openxmlformats.org/officeDocument/2006/relationships/hyperlink" Target="http://katherine.michaels-bbva.com/" TargetMode="External"/><Relationship Id="rId2390" Type="http://schemas.openxmlformats.org/officeDocument/2006/relationships/hyperlink" Target="https://globaldevtools.bbva.com/jira/browse/CFS1-153" TargetMode="External"/><Relationship Id="rId155" Type="http://schemas.openxmlformats.org/officeDocument/2006/relationships/hyperlink" Target="http://nelsonandres.bohorquez-bbva.com/" TargetMode="External"/><Relationship Id="rId362" Type="http://schemas.openxmlformats.org/officeDocument/2006/relationships/hyperlink" Target="http://wilson.vera-bbva.com/" TargetMode="External"/><Relationship Id="rId2043" Type="http://schemas.openxmlformats.org/officeDocument/2006/relationships/hyperlink" Target="http://alirio.bermudez-bbva.com/" TargetMode="External"/><Relationship Id="rId2250" Type="http://schemas.openxmlformats.org/officeDocument/2006/relationships/hyperlink" Target="http://paola.trivino-bbva.com/" TargetMode="External"/><Relationship Id="rId222" Type="http://schemas.openxmlformats.org/officeDocument/2006/relationships/hyperlink" Target="https://globaldevtools.bbva.com/jira/browse/COLWSCANAL-4193" TargetMode="External"/><Relationship Id="rId2110" Type="http://schemas.openxmlformats.org/officeDocument/2006/relationships/hyperlink" Target="http://david.juvinao-bbva.com/" TargetMode="External"/><Relationship Id="rId1669" Type="http://schemas.openxmlformats.org/officeDocument/2006/relationships/hyperlink" Target="http://elizabeth.diaz-bbva.com/" TargetMode="External"/><Relationship Id="rId1876" Type="http://schemas.openxmlformats.org/officeDocument/2006/relationships/hyperlink" Target="https://globaldevtools.bbva.com/jira/browse/COLWSMEDIO-2558" TargetMode="External"/><Relationship Id="rId1529" Type="http://schemas.openxmlformats.org/officeDocument/2006/relationships/hyperlink" Target="http://nicolas.galindo-bbva.com/" TargetMode="External"/><Relationship Id="rId1736" Type="http://schemas.openxmlformats.org/officeDocument/2006/relationships/hyperlink" Target="http://elizabeth.diaz-bbva.com/" TargetMode="External"/><Relationship Id="rId1943" Type="http://schemas.openxmlformats.org/officeDocument/2006/relationships/hyperlink" Target="http://alirio.bermudez-bbva.com/" TargetMode="External"/><Relationship Id="rId28" Type="http://schemas.openxmlformats.org/officeDocument/2006/relationships/hyperlink" Target="http://jessicalorena.moncaleano-bbva.com/" TargetMode="External"/><Relationship Id="rId1803" Type="http://schemas.openxmlformats.org/officeDocument/2006/relationships/hyperlink" Target="http://ivan_dario.ariza-bbva.com/" TargetMode="External"/><Relationship Id="rId689" Type="http://schemas.openxmlformats.org/officeDocument/2006/relationships/hyperlink" Target="http://nathiahayosara.amado-bbva.com/" TargetMode="External"/><Relationship Id="rId896" Type="http://schemas.openxmlformats.org/officeDocument/2006/relationships/hyperlink" Target="http://nathiahayosara.amado-bbva.com/" TargetMode="External"/><Relationship Id="rId2577" Type="http://schemas.openxmlformats.org/officeDocument/2006/relationships/hyperlink" Target="http://leidi.jimenez-bbva.com/" TargetMode="External"/><Relationship Id="rId549" Type="http://schemas.openxmlformats.org/officeDocument/2006/relationships/hyperlink" Target="http://catalina.villamil-bbva.com/" TargetMode="External"/><Relationship Id="rId756" Type="http://schemas.openxmlformats.org/officeDocument/2006/relationships/hyperlink" Target="http://nathiahayosara.amado-bbva.com/" TargetMode="External"/><Relationship Id="rId1179" Type="http://schemas.openxmlformats.org/officeDocument/2006/relationships/hyperlink" Target="http://angie.castaneda-bbva.com/" TargetMode="External"/><Relationship Id="rId1386" Type="http://schemas.openxmlformats.org/officeDocument/2006/relationships/hyperlink" Target="http://juana.vergara-bbva.com/" TargetMode="External"/><Relationship Id="rId1593" Type="http://schemas.openxmlformats.org/officeDocument/2006/relationships/hyperlink" Target="http://jorge.carvajal-bbva.com/" TargetMode="External"/><Relationship Id="rId2437" Type="http://schemas.openxmlformats.org/officeDocument/2006/relationships/hyperlink" Target="http://fernando.garciameza-bbva.com/" TargetMode="External"/><Relationship Id="rId409" Type="http://schemas.openxmlformats.org/officeDocument/2006/relationships/hyperlink" Target="http://jimy.catolico-bbva.com/" TargetMode="External"/><Relationship Id="rId963" Type="http://schemas.openxmlformats.org/officeDocument/2006/relationships/hyperlink" Target="https://globaldevtools.bbva.com/jira/browse/COLWSCONTA-136" TargetMode="External"/><Relationship Id="rId1039" Type="http://schemas.openxmlformats.org/officeDocument/2006/relationships/hyperlink" Target="http://elizabeth.diaz-bbva.com/" TargetMode="External"/><Relationship Id="rId1246" Type="http://schemas.openxmlformats.org/officeDocument/2006/relationships/hyperlink" Target="https://globaldevtools.bbva.com/jira/browse/COLWSPREST-7327" TargetMode="External"/><Relationship Id="rId92" Type="http://schemas.openxmlformats.org/officeDocument/2006/relationships/hyperlink" Target="https://globaldevtools.bbva.com/jira/browse/CCSS-19495" TargetMode="External"/><Relationship Id="rId616" Type="http://schemas.openxmlformats.org/officeDocument/2006/relationships/hyperlink" Target="http://catalina.villamil-bbva.com/" TargetMode="External"/><Relationship Id="rId823" Type="http://schemas.openxmlformats.org/officeDocument/2006/relationships/hyperlink" Target="http://karenalexandra.martinez-bbva.com/" TargetMode="External"/><Relationship Id="rId1453" Type="http://schemas.openxmlformats.org/officeDocument/2006/relationships/hyperlink" Target="http://geovany.ramirez-bbva.com/" TargetMode="External"/><Relationship Id="rId1660" Type="http://schemas.openxmlformats.org/officeDocument/2006/relationships/hyperlink" Target="http://nelson.ruiz-bbva.com/" TargetMode="External"/><Relationship Id="rId2504" Type="http://schemas.openxmlformats.org/officeDocument/2006/relationships/hyperlink" Target="http://nicolas.galindo-bbva.com/" TargetMode="External"/><Relationship Id="rId1106" Type="http://schemas.openxmlformats.org/officeDocument/2006/relationships/hyperlink" Target="http://rociomarcela.lopez-bbva.com/" TargetMode="External"/><Relationship Id="rId1313" Type="http://schemas.openxmlformats.org/officeDocument/2006/relationships/hyperlink" Target="https://globaldevtools.bbva.com/jira/browse/COLWSMEDIO-433" TargetMode="External"/><Relationship Id="rId1520" Type="http://schemas.openxmlformats.org/officeDocument/2006/relationships/hyperlink" Target="https://globaldevtools.bbva.com/jira/browse/CCIBS-1774" TargetMode="External"/><Relationship Id="rId199" Type="http://schemas.openxmlformats.org/officeDocument/2006/relationships/hyperlink" Target="http://jimy.catolico-bbva.com/" TargetMode="External"/><Relationship Id="rId2087" Type="http://schemas.openxmlformats.org/officeDocument/2006/relationships/hyperlink" Target="https://globaldevtools.bbva.com/jira/browse/COLWSCUENT-304" TargetMode="External"/><Relationship Id="rId2294" Type="http://schemas.openxmlformats.org/officeDocument/2006/relationships/hyperlink" Target="http://mariajuliana.rodriguez-bbva.com/" TargetMode="External"/><Relationship Id="rId266" Type="http://schemas.openxmlformats.org/officeDocument/2006/relationships/hyperlink" Target="https://globaldevtools.bbva.com/jira/browse/COLWSCANAL-13512" TargetMode="External"/><Relationship Id="rId473" Type="http://schemas.openxmlformats.org/officeDocument/2006/relationships/hyperlink" Target="http://erikajulieth.ruiz-bbva.com/" TargetMode="External"/><Relationship Id="rId680" Type="http://schemas.openxmlformats.org/officeDocument/2006/relationships/hyperlink" Target="http://huvertyadir.ramirez-bbva.com/" TargetMode="External"/><Relationship Id="rId2154" Type="http://schemas.openxmlformats.org/officeDocument/2006/relationships/hyperlink" Target="https://globaldevtools.bbva.com/jira/browse/COLWSCUENT-1602" TargetMode="External"/><Relationship Id="rId2361" Type="http://schemas.openxmlformats.org/officeDocument/2006/relationships/hyperlink" Target="http://felipe.guzman-bbva.com/" TargetMode="External"/><Relationship Id="rId126" Type="http://schemas.openxmlformats.org/officeDocument/2006/relationships/hyperlink" Target="https://globaldevtools.bbva.com/jira/browse/COLWSDATIO-502" TargetMode="External"/><Relationship Id="rId333" Type="http://schemas.openxmlformats.org/officeDocument/2006/relationships/hyperlink" Target="http://luz.rodriguez-bbva.com/" TargetMode="External"/><Relationship Id="rId540" Type="http://schemas.openxmlformats.org/officeDocument/2006/relationships/hyperlink" Target="https://globaldevtools.bbva.com/jira/browse/COLWSCANAL-8736" TargetMode="External"/><Relationship Id="rId1170" Type="http://schemas.openxmlformats.org/officeDocument/2006/relationships/hyperlink" Target="http://katherine.pardo-bbva.com/" TargetMode="External"/><Relationship Id="rId2014" Type="http://schemas.openxmlformats.org/officeDocument/2006/relationships/hyperlink" Target="http://rociomarcela.lopez-bbva.com/" TargetMode="External"/><Relationship Id="rId2221" Type="http://schemas.openxmlformats.org/officeDocument/2006/relationships/hyperlink" Target="http://felipe.guzman-bbva.com/" TargetMode="External"/><Relationship Id="rId1030" Type="http://schemas.openxmlformats.org/officeDocument/2006/relationships/hyperlink" Target="http://jeissonandres.diaz.rodriguez-bbva.com/" TargetMode="External"/><Relationship Id="rId400" Type="http://schemas.openxmlformats.org/officeDocument/2006/relationships/hyperlink" Target="https://globaldevtools.bbva.com/jira/browse/CCSS-8850" TargetMode="External"/><Relationship Id="rId1987" Type="http://schemas.openxmlformats.org/officeDocument/2006/relationships/hyperlink" Target="http://monica.zamudio-bbva.com/" TargetMode="External"/><Relationship Id="rId1847" Type="http://schemas.openxmlformats.org/officeDocument/2006/relationships/hyperlink" Target="http://marthapatric.cruz-bbva.com/" TargetMode="External"/><Relationship Id="rId1707" Type="http://schemas.openxmlformats.org/officeDocument/2006/relationships/hyperlink" Target="http://alirio.bermudez-bbva.com/" TargetMode="External"/><Relationship Id="rId190" Type="http://schemas.openxmlformats.org/officeDocument/2006/relationships/hyperlink" Target="https://globaldevtools.bbva.com/jira/browse/COLWSPREST-54" TargetMode="External"/><Relationship Id="rId1914" Type="http://schemas.openxmlformats.org/officeDocument/2006/relationships/hyperlink" Target="http://andresfelipe.granados-bbva.com/" TargetMode="External"/><Relationship Id="rId867" Type="http://schemas.openxmlformats.org/officeDocument/2006/relationships/hyperlink" Target="http://karenalexandra.martinez-bbva.com/" TargetMode="External"/><Relationship Id="rId1497" Type="http://schemas.openxmlformats.org/officeDocument/2006/relationships/hyperlink" Target="http://rociomarcela.lopez-bbva.com/" TargetMode="External"/><Relationship Id="rId2548" Type="http://schemas.openxmlformats.org/officeDocument/2006/relationships/hyperlink" Target="http://nicolas.galindo-bbva.com/" TargetMode="External"/><Relationship Id="rId727" Type="http://schemas.openxmlformats.org/officeDocument/2006/relationships/hyperlink" Target="http://elizabeth.diaz-bbva.com/" TargetMode="External"/><Relationship Id="rId934" Type="http://schemas.openxmlformats.org/officeDocument/2006/relationships/hyperlink" Target="http://elizabeth.diaz-bbva.com/" TargetMode="External"/><Relationship Id="rId1357" Type="http://schemas.openxmlformats.org/officeDocument/2006/relationships/hyperlink" Target="http://angie.castaneda-bbva.com/" TargetMode="External"/><Relationship Id="rId1564" Type="http://schemas.openxmlformats.org/officeDocument/2006/relationships/hyperlink" Target="http://andrea.orrego-bbva.com/" TargetMode="External"/><Relationship Id="rId1771" Type="http://schemas.openxmlformats.org/officeDocument/2006/relationships/hyperlink" Target="http://nelson.ruiz-bbva.com/" TargetMode="External"/><Relationship Id="rId2408" Type="http://schemas.openxmlformats.org/officeDocument/2006/relationships/hyperlink" Target="http://juan.orozco-bbva.com/" TargetMode="External"/><Relationship Id="rId63" Type="http://schemas.openxmlformats.org/officeDocument/2006/relationships/hyperlink" Target="http://pabloalexand.ortiz-bbva.com/" TargetMode="External"/><Relationship Id="rId1217" Type="http://schemas.openxmlformats.org/officeDocument/2006/relationships/hyperlink" Target="http://angie.castaneda-bbva.com/" TargetMode="External"/><Relationship Id="rId1424" Type="http://schemas.openxmlformats.org/officeDocument/2006/relationships/hyperlink" Target="http://hugofernando.parra-bbva.com/" TargetMode="External"/><Relationship Id="rId1631" Type="http://schemas.openxmlformats.org/officeDocument/2006/relationships/hyperlink" Target="https://globaldevtools.bbva.com/jira/browse/COLWSCANAL-14568" TargetMode="External"/><Relationship Id="rId2198" Type="http://schemas.openxmlformats.org/officeDocument/2006/relationships/hyperlink" Target="http://katherine.michaels-bbva.com/" TargetMode="External"/><Relationship Id="rId377" Type="http://schemas.openxmlformats.org/officeDocument/2006/relationships/hyperlink" Target="http://jimy.catolico-bbva.com/" TargetMode="External"/><Relationship Id="rId584" Type="http://schemas.openxmlformats.org/officeDocument/2006/relationships/hyperlink" Target="http://catalina.villamil-bbva.com/" TargetMode="External"/><Relationship Id="rId2058" Type="http://schemas.openxmlformats.org/officeDocument/2006/relationships/hyperlink" Target="http://alirio.bermudez-bbva.com/" TargetMode="External"/><Relationship Id="rId2265" Type="http://schemas.openxmlformats.org/officeDocument/2006/relationships/hyperlink" Target="http://katherine.michaels-bbva.com/" TargetMode="External"/><Relationship Id="rId237" Type="http://schemas.openxmlformats.org/officeDocument/2006/relationships/hyperlink" Target="http://yurimilena.moreno-bbva.com/" TargetMode="External"/><Relationship Id="rId791" Type="http://schemas.openxmlformats.org/officeDocument/2006/relationships/hyperlink" Target="https://globaldevtools.bbva.com/jira/browse/COLWSCANAL-1221" TargetMode="External"/><Relationship Id="rId1074" Type="http://schemas.openxmlformats.org/officeDocument/2006/relationships/hyperlink" Target="http://elizabeth.diaz-bbva.com/" TargetMode="External"/><Relationship Id="rId2472" Type="http://schemas.openxmlformats.org/officeDocument/2006/relationships/hyperlink" Target="http://fernando.garciameza-bbva.com/" TargetMode="External"/><Relationship Id="rId444" Type="http://schemas.openxmlformats.org/officeDocument/2006/relationships/hyperlink" Target="https://globaldevtools.bbva.com/jira/browse/COLWSCANAL-14240" TargetMode="External"/><Relationship Id="rId651" Type="http://schemas.openxmlformats.org/officeDocument/2006/relationships/hyperlink" Target="https://globaldevtools.bbva.com/jira/browse/COLWSCANAL-13437" TargetMode="External"/><Relationship Id="rId1281" Type="http://schemas.openxmlformats.org/officeDocument/2006/relationships/hyperlink" Target="http://angie.castaneda-bbva.com/" TargetMode="External"/><Relationship Id="rId2125" Type="http://schemas.openxmlformats.org/officeDocument/2006/relationships/hyperlink" Target="http://hugo.mongua-bbva.com/" TargetMode="External"/><Relationship Id="rId2332" Type="http://schemas.openxmlformats.org/officeDocument/2006/relationships/hyperlink" Target="http://katherine.michaels-bbva.com/" TargetMode="External"/><Relationship Id="rId304" Type="http://schemas.openxmlformats.org/officeDocument/2006/relationships/hyperlink" Target="http://jimy.catolico-bbva.com/" TargetMode="External"/><Relationship Id="rId511" Type="http://schemas.openxmlformats.org/officeDocument/2006/relationships/hyperlink" Target="https://globaldevtools.bbva.com/jira/browse/CCSS-7138" TargetMode="External"/><Relationship Id="rId1141" Type="http://schemas.openxmlformats.org/officeDocument/2006/relationships/hyperlink" Target="http://diegoandres.rodriguez-bbva.com/" TargetMode="External"/><Relationship Id="rId1001" Type="http://schemas.openxmlformats.org/officeDocument/2006/relationships/hyperlink" Target="http://nathiahayosara.amado-bbva.com/" TargetMode="External"/><Relationship Id="rId1958" Type="http://schemas.openxmlformats.org/officeDocument/2006/relationships/hyperlink" Target="https://globaldevtools.bbva.com/jira/browse/COLWSMONED-1" TargetMode="External"/><Relationship Id="rId1818" Type="http://schemas.openxmlformats.org/officeDocument/2006/relationships/hyperlink" Target="http://alirio.bermudez-bbva.com/" TargetMode="Externa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1.xml.rels><?xml version="1.0" encoding="UTF-8" standalone="yes"?>
<Relationships xmlns="http://schemas.openxmlformats.org/package/2006/relationships"><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6D01"/>
    <outlinePr summaryBelow="0" summaryRight="0"/>
  </sheetPr>
  <dimension ref="A1:I34"/>
  <sheetViews>
    <sheetView workbookViewId="0">
      <pane ySplit="1" topLeftCell="A16" activePane="bottomLeft" state="frozen"/>
      <selection pane="bottomLeft" activeCell="D2" sqref="D2:E34"/>
    </sheetView>
  </sheetViews>
  <sheetFormatPr baseColWidth="10" defaultColWidth="12.5703125" defaultRowHeight="15.75" customHeight="1" x14ac:dyDescent="0.2"/>
  <cols>
    <col min="2" max="7" width="12.140625" customWidth="1"/>
  </cols>
  <sheetData>
    <row r="1" spans="1:9" ht="15.75" customHeight="1" x14ac:dyDescent="0.35">
      <c r="A1" t="s">
        <v>5951</v>
      </c>
      <c r="B1" s="1" t="s">
        <v>0</v>
      </c>
      <c r="C1" s="1" t="s">
        <v>1</v>
      </c>
      <c r="D1" s="1" t="s">
        <v>2</v>
      </c>
      <c r="E1" s="2" t="s">
        <v>5943</v>
      </c>
      <c r="F1" s="1" t="s">
        <v>3</v>
      </c>
      <c r="G1" s="1" t="s">
        <v>4</v>
      </c>
      <c r="H1" s="3" t="s">
        <v>5</v>
      </c>
      <c r="I1" s="3" t="s">
        <v>6</v>
      </c>
    </row>
    <row r="2" spans="1:9" ht="15.75" customHeight="1" x14ac:dyDescent="0.35">
      <c r="A2">
        <v>1</v>
      </c>
      <c r="B2" s="2" t="s">
        <v>7</v>
      </c>
      <c r="C2" s="2" t="s">
        <v>8</v>
      </c>
      <c r="D2" s="2" t="s">
        <v>9</v>
      </c>
      <c r="E2" s="2" t="s">
        <v>10</v>
      </c>
      <c r="F2" s="2" t="s">
        <v>11</v>
      </c>
      <c r="G2" s="2" t="s">
        <v>12</v>
      </c>
      <c r="H2" s="4" t="s">
        <v>14</v>
      </c>
      <c r="I2" s="5" t="s">
        <v>15</v>
      </c>
    </row>
    <row r="3" spans="1:9" ht="15.75" customHeight="1" x14ac:dyDescent="0.35">
      <c r="A3">
        <v>1</v>
      </c>
      <c r="B3" s="2" t="s">
        <v>7</v>
      </c>
      <c r="C3" s="2" t="s">
        <v>16</v>
      </c>
      <c r="D3" s="2" t="s">
        <v>17</v>
      </c>
      <c r="E3" s="2" t="s">
        <v>10</v>
      </c>
      <c r="F3" s="2" t="s">
        <v>18</v>
      </c>
      <c r="G3" s="2" t="s">
        <v>19</v>
      </c>
      <c r="H3" s="5" t="s">
        <v>21</v>
      </c>
      <c r="I3" s="5" t="s">
        <v>22</v>
      </c>
    </row>
    <row r="4" spans="1:9" ht="15.75" customHeight="1" x14ac:dyDescent="0.35">
      <c r="A4">
        <v>1</v>
      </c>
      <c r="B4" s="2" t="s">
        <v>7</v>
      </c>
      <c r="C4" s="2" t="s">
        <v>23</v>
      </c>
      <c r="D4" s="2" t="s">
        <v>24</v>
      </c>
      <c r="E4" s="2" t="s">
        <v>10</v>
      </c>
      <c r="F4" s="2" t="s">
        <v>25</v>
      </c>
      <c r="G4" s="2" t="s">
        <v>26</v>
      </c>
      <c r="H4" s="5" t="s">
        <v>28</v>
      </c>
      <c r="I4" s="5" t="s">
        <v>29</v>
      </c>
    </row>
    <row r="5" spans="1:9" ht="15.75" customHeight="1" x14ac:dyDescent="0.35">
      <c r="A5">
        <v>1</v>
      </c>
      <c r="B5" s="2" t="s">
        <v>7</v>
      </c>
      <c r="C5" s="2" t="s">
        <v>30</v>
      </c>
      <c r="D5" s="2" t="s">
        <v>31</v>
      </c>
      <c r="E5" s="2" t="s">
        <v>10</v>
      </c>
      <c r="F5" s="2" t="s">
        <v>32</v>
      </c>
      <c r="G5" s="2" t="s">
        <v>33</v>
      </c>
      <c r="H5" s="5" t="s">
        <v>35</v>
      </c>
      <c r="I5" s="5" t="s">
        <v>36</v>
      </c>
    </row>
    <row r="6" spans="1:9" ht="15.75" customHeight="1" x14ac:dyDescent="0.35">
      <c r="A6">
        <v>2</v>
      </c>
      <c r="B6" s="2" t="s">
        <v>37</v>
      </c>
      <c r="C6" s="2" t="s">
        <v>38</v>
      </c>
      <c r="D6" s="2" t="s">
        <v>39</v>
      </c>
      <c r="E6" s="2" t="s">
        <v>40</v>
      </c>
      <c r="F6" s="2"/>
      <c r="G6" s="2" t="s">
        <v>41</v>
      </c>
      <c r="H6" s="5" t="s">
        <v>43</v>
      </c>
      <c r="I6" s="4" t="s">
        <v>44</v>
      </c>
    </row>
    <row r="7" spans="1:9" ht="15.75" customHeight="1" x14ac:dyDescent="0.35">
      <c r="A7">
        <v>2</v>
      </c>
      <c r="B7" s="2" t="s">
        <v>37</v>
      </c>
      <c r="C7" s="2" t="s">
        <v>45</v>
      </c>
      <c r="D7" s="2" t="s">
        <v>46</v>
      </c>
      <c r="E7" s="2" t="s">
        <v>47</v>
      </c>
      <c r="F7" s="2"/>
      <c r="G7" s="2" t="s">
        <v>48</v>
      </c>
      <c r="H7" s="5" t="s">
        <v>50</v>
      </c>
      <c r="I7" s="4" t="s">
        <v>51</v>
      </c>
    </row>
    <row r="8" spans="1:9" ht="15.75" customHeight="1" x14ac:dyDescent="0.35">
      <c r="A8">
        <v>2</v>
      </c>
      <c r="B8" s="2" t="s">
        <v>37</v>
      </c>
      <c r="C8" s="2" t="s">
        <v>52</v>
      </c>
      <c r="D8" s="2" t="s">
        <v>53</v>
      </c>
      <c r="E8" s="2" t="s">
        <v>47</v>
      </c>
      <c r="F8" s="2"/>
      <c r="G8" s="2" t="s">
        <v>54</v>
      </c>
      <c r="H8" s="5" t="s">
        <v>56</v>
      </c>
      <c r="I8" s="4" t="s">
        <v>57</v>
      </c>
    </row>
    <row r="9" spans="1:9" ht="15.75" customHeight="1" x14ac:dyDescent="0.35">
      <c r="A9">
        <v>3</v>
      </c>
      <c r="B9" s="2" t="s">
        <v>58</v>
      </c>
      <c r="C9" s="2" t="s">
        <v>59</v>
      </c>
      <c r="D9" s="2" t="s">
        <v>60</v>
      </c>
      <c r="E9" s="2" t="s">
        <v>47</v>
      </c>
      <c r="F9" s="2"/>
      <c r="G9" s="2" t="s">
        <v>61</v>
      </c>
      <c r="H9" s="4" t="s">
        <v>63</v>
      </c>
    </row>
    <row r="10" spans="1:9" ht="15.75" customHeight="1" x14ac:dyDescent="0.35">
      <c r="A10">
        <v>4</v>
      </c>
      <c r="B10" s="2" t="s">
        <v>64</v>
      </c>
      <c r="C10" s="2" t="s">
        <v>65</v>
      </c>
      <c r="D10" s="2" t="s">
        <v>66</v>
      </c>
      <c r="E10" s="2" t="s">
        <v>10</v>
      </c>
      <c r="F10" s="2"/>
      <c r="G10" s="2" t="s">
        <v>67</v>
      </c>
      <c r="H10" s="5" t="s">
        <v>69</v>
      </c>
    </row>
    <row r="11" spans="1:9" ht="15.75" customHeight="1" x14ac:dyDescent="0.35">
      <c r="A11">
        <v>4</v>
      </c>
      <c r="B11" s="2" t="s">
        <v>64</v>
      </c>
      <c r="C11" s="2" t="s">
        <v>70</v>
      </c>
      <c r="D11" s="2" t="s">
        <v>71</v>
      </c>
      <c r="E11" s="2" t="s">
        <v>10</v>
      </c>
      <c r="F11" s="2"/>
      <c r="G11" s="2" t="s">
        <v>72</v>
      </c>
      <c r="H11" s="5" t="s">
        <v>30</v>
      </c>
    </row>
    <row r="12" spans="1:9" ht="15.75" customHeight="1" x14ac:dyDescent="0.35">
      <c r="A12">
        <v>4</v>
      </c>
      <c r="B12" s="2" t="s">
        <v>64</v>
      </c>
      <c r="C12" s="2" t="s">
        <v>74</v>
      </c>
      <c r="D12" s="2" t="s">
        <v>75</v>
      </c>
      <c r="E12" s="2" t="s">
        <v>10</v>
      </c>
      <c r="F12" s="2"/>
      <c r="G12" s="2" t="s">
        <v>76</v>
      </c>
    </row>
    <row r="13" spans="1:9" ht="15.75" customHeight="1" x14ac:dyDescent="0.35">
      <c r="A13">
        <v>4</v>
      </c>
      <c r="B13" s="2" t="s">
        <v>64</v>
      </c>
      <c r="C13" s="2" t="s">
        <v>78</v>
      </c>
      <c r="D13" s="2" t="s">
        <v>79</v>
      </c>
      <c r="E13" s="2" t="s">
        <v>10</v>
      </c>
      <c r="F13" s="2"/>
      <c r="G13" s="2" t="s">
        <v>80</v>
      </c>
    </row>
    <row r="14" spans="1:9" ht="15.75" customHeight="1" x14ac:dyDescent="0.35">
      <c r="A14">
        <v>4</v>
      </c>
      <c r="B14" s="2" t="s">
        <v>64</v>
      </c>
      <c r="C14" s="2" t="s">
        <v>82</v>
      </c>
      <c r="D14" s="2" t="s">
        <v>83</v>
      </c>
      <c r="E14" s="2" t="s">
        <v>10</v>
      </c>
      <c r="F14" s="2"/>
      <c r="G14" s="2" t="s">
        <v>84</v>
      </c>
    </row>
    <row r="15" spans="1:9" ht="15.75" customHeight="1" x14ac:dyDescent="0.35">
      <c r="A15">
        <v>4</v>
      </c>
      <c r="B15" s="2" t="s">
        <v>64</v>
      </c>
      <c r="C15" s="2" t="s">
        <v>86</v>
      </c>
      <c r="D15" s="2" t="s">
        <v>87</v>
      </c>
      <c r="E15" s="2" t="s">
        <v>10</v>
      </c>
      <c r="F15" s="2"/>
      <c r="G15" s="2"/>
    </row>
    <row r="16" spans="1:9" ht="15.75" customHeight="1" x14ac:dyDescent="0.35">
      <c r="A16">
        <v>4</v>
      </c>
      <c r="B16" s="2" t="s">
        <v>64</v>
      </c>
      <c r="C16" s="2" t="s">
        <v>89</v>
      </c>
      <c r="D16" s="2" t="s">
        <v>90</v>
      </c>
      <c r="E16" s="2" t="s">
        <v>10</v>
      </c>
      <c r="F16" s="2"/>
      <c r="G16" s="2"/>
    </row>
    <row r="17" spans="1:7" ht="15.75" customHeight="1" x14ac:dyDescent="0.35">
      <c r="A17">
        <v>4</v>
      </c>
      <c r="B17" s="2" t="s">
        <v>64</v>
      </c>
      <c r="C17" s="2" t="s">
        <v>92</v>
      </c>
      <c r="D17" s="2" t="s">
        <v>93</v>
      </c>
      <c r="E17" s="2" t="s">
        <v>10</v>
      </c>
      <c r="F17" s="2"/>
      <c r="G17" s="2"/>
    </row>
    <row r="18" spans="1:7" ht="15.75" customHeight="1" x14ac:dyDescent="0.35">
      <c r="A18">
        <v>4</v>
      </c>
      <c r="B18" s="2" t="s">
        <v>64</v>
      </c>
      <c r="C18" s="2" t="s">
        <v>95</v>
      </c>
      <c r="D18" s="2" t="s">
        <v>96</v>
      </c>
      <c r="E18" s="2" t="s">
        <v>10</v>
      </c>
      <c r="F18" s="2"/>
      <c r="G18" s="2"/>
    </row>
    <row r="19" spans="1:7" ht="15.75" customHeight="1" x14ac:dyDescent="0.35">
      <c r="A19">
        <v>5</v>
      </c>
      <c r="B19" s="2" t="s">
        <v>98</v>
      </c>
      <c r="C19" s="2" t="s">
        <v>99</v>
      </c>
      <c r="D19" s="2" t="s">
        <v>100</v>
      </c>
      <c r="E19" s="2" t="s">
        <v>10</v>
      </c>
      <c r="F19" s="2"/>
      <c r="G19" s="2"/>
    </row>
    <row r="20" spans="1:7" ht="15.75" customHeight="1" x14ac:dyDescent="0.35">
      <c r="A20">
        <v>5</v>
      </c>
      <c r="B20" s="2" t="s">
        <v>98</v>
      </c>
      <c r="C20" s="2" t="s">
        <v>102</v>
      </c>
      <c r="D20" s="2" t="s">
        <v>103</v>
      </c>
      <c r="E20" s="2" t="s">
        <v>10</v>
      </c>
      <c r="F20" s="2"/>
      <c r="G20" s="2"/>
    </row>
    <row r="21" spans="1:7" ht="15.75" customHeight="1" x14ac:dyDescent="0.35">
      <c r="A21">
        <v>5</v>
      </c>
      <c r="B21" s="2" t="s">
        <v>98</v>
      </c>
      <c r="C21" s="2" t="s">
        <v>105</v>
      </c>
      <c r="D21" s="2" t="s">
        <v>106</v>
      </c>
      <c r="E21" s="2" t="s">
        <v>10</v>
      </c>
      <c r="F21" s="2"/>
      <c r="G21" s="2"/>
    </row>
    <row r="22" spans="1:7" ht="15.75" customHeight="1" x14ac:dyDescent="0.35">
      <c r="A22">
        <v>5</v>
      </c>
      <c r="B22" s="2" t="s">
        <v>98</v>
      </c>
      <c r="C22" s="2" t="s">
        <v>107</v>
      </c>
      <c r="D22" s="2" t="s">
        <v>108</v>
      </c>
      <c r="E22" s="2" t="s">
        <v>10</v>
      </c>
      <c r="F22" s="2"/>
      <c r="G22" s="2"/>
    </row>
    <row r="23" spans="1:7" ht="15.75" customHeight="1" x14ac:dyDescent="0.35">
      <c r="A23">
        <v>5</v>
      </c>
      <c r="B23" s="2" t="s">
        <v>98</v>
      </c>
      <c r="C23" s="2" t="s">
        <v>110</v>
      </c>
      <c r="D23" s="2" t="s">
        <v>111</v>
      </c>
      <c r="E23" s="2" t="s">
        <v>10</v>
      </c>
      <c r="F23" s="2"/>
      <c r="G23" s="2"/>
    </row>
    <row r="24" spans="1:7" ht="16.5" x14ac:dyDescent="0.35">
      <c r="A24">
        <v>5</v>
      </c>
      <c r="B24" s="2" t="s">
        <v>98</v>
      </c>
      <c r="C24" s="2" t="s">
        <v>113</v>
      </c>
      <c r="D24" s="2" t="s">
        <v>114</v>
      </c>
      <c r="E24" s="2" t="s">
        <v>10</v>
      </c>
      <c r="F24" s="2"/>
      <c r="G24" s="2"/>
    </row>
    <row r="25" spans="1:7" ht="16.5" x14ac:dyDescent="0.35">
      <c r="A25">
        <v>6</v>
      </c>
      <c r="B25" s="2" t="s">
        <v>115</v>
      </c>
      <c r="C25" s="2" t="s">
        <v>116</v>
      </c>
      <c r="D25" s="2" t="s">
        <v>117</v>
      </c>
      <c r="E25" s="2" t="s">
        <v>10</v>
      </c>
      <c r="F25" s="2"/>
      <c r="G25" s="2"/>
    </row>
    <row r="26" spans="1:7" ht="16.5" x14ac:dyDescent="0.35">
      <c r="A26">
        <v>6</v>
      </c>
      <c r="B26" s="2" t="s">
        <v>115</v>
      </c>
      <c r="C26" s="2" t="s">
        <v>119</v>
      </c>
      <c r="D26" s="2" t="s">
        <v>120</v>
      </c>
      <c r="E26" s="2" t="s">
        <v>10</v>
      </c>
      <c r="F26" s="2"/>
      <c r="G26" s="2"/>
    </row>
    <row r="27" spans="1:7" ht="16.5" x14ac:dyDescent="0.35">
      <c r="A27">
        <v>6</v>
      </c>
      <c r="B27" s="2" t="s">
        <v>115</v>
      </c>
      <c r="C27" s="2" t="s">
        <v>122</v>
      </c>
      <c r="D27" s="2" t="s">
        <v>123</v>
      </c>
      <c r="E27" s="2" t="s">
        <v>10</v>
      </c>
      <c r="F27" s="2"/>
      <c r="G27" s="2"/>
    </row>
    <row r="28" spans="1:7" ht="16.5" x14ac:dyDescent="0.35">
      <c r="A28">
        <v>6</v>
      </c>
      <c r="B28" s="2" t="s">
        <v>115</v>
      </c>
      <c r="C28" s="2" t="s">
        <v>125</v>
      </c>
      <c r="D28" s="2" t="s">
        <v>126</v>
      </c>
      <c r="E28" s="2" t="s">
        <v>10</v>
      </c>
      <c r="F28" s="2"/>
      <c r="G28" s="2"/>
    </row>
    <row r="29" spans="1:7" ht="16.5" x14ac:dyDescent="0.35">
      <c r="A29">
        <v>6</v>
      </c>
      <c r="B29" s="2" t="s">
        <v>115</v>
      </c>
      <c r="C29" s="2" t="s">
        <v>128</v>
      </c>
      <c r="D29" s="2" t="s">
        <v>129</v>
      </c>
      <c r="E29" s="2" t="s">
        <v>10</v>
      </c>
      <c r="F29" s="2"/>
      <c r="G29" s="2"/>
    </row>
    <row r="30" spans="1:7" ht="16.5" x14ac:dyDescent="0.35">
      <c r="A30">
        <v>6</v>
      </c>
      <c r="B30" s="2" t="s">
        <v>115</v>
      </c>
      <c r="C30" s="2" t="s">
        <v>131</v>
      </c>
      <c r="D30" s="2" t="s">
        <v>132</v>
      </c>
      <c r="E30" s="2" t="s">
        <v>10</v>
      </c>
      <c r="F30" s="2"/>
      <c r="G30" s="2"/>
    </row>
    <row r="31" spans="1:7" ht="16.5" x14ac:dyDescent="0.35">
      <c r="A31">
        <v>6</v>
      </c>
      <c r="B31" s="2" t="s">
        <v>115</v>
      </c>
      <c r="C31" s="2" t="s">
        <v>134</v>
      </c>
      <c r="D31" s="2" t="s">
        <v>135</v>
      </c>
      <c r="E31" s="2" t="s">
        <v>10</v>
      </c>
      <c r="F31" s="2"/>
      <c r="G31" s="2"/>
    </row>
    <row r="32" spans="1:7" ht="16.5" x14ac:dyDescent="0.35">
      <c r="A32">
        <v>7</v>
      </c>
      <c r="B32" s="2" t="s">
        <v>136</v>
      </c>
      <c r="C32" s="2" t="s">
        <v>137</v>
      </c>
      <c r="D32" s="2" t="s">
        <v>138</v>
      </c>
      <c r="E32" s="2" t="s">
        <v>10</v>
      </c>
      <c r="F32" s="2"/>
      <c r="G32" s="2"/>
    </row>
    <row r="33" spans="2:7" ht="16.5" x14ac:dyDescent="0.35">
      <c r="B33" s="2"/>
      <c r="C33" s="2"/>
      <c r="D33" s="2" t="s">
        <v>139</v>
      </c>
      <c r="E33" s="2" t="s">
        <v>10</v>
      </c>
      <c r="F33" s="2"/>
      <c r="G33" s="2"/>
    </row>
    <row r="34" spans="2:7" ht="16.5" x14ac:dyDescent="0.35">
      <c r="B34" s="2"/>
      <c r="C34" s="2"/>
      <c r="D34" s="2" t="s">
        <v>141</v>
      </c>
      <c r="E34" s="2" t="s">
        <v>10</v>
      </c>
      <c r="F34" s="2"/>
      <c r="G34" s="2"/>
    </row>
  </sheetData>
  <autoFilter ref="B1:C32" xr:uid="{00000000-0009-0000-0000-000000000000}"/>
  <customSheetViews>
    <customSheetView guid="{648D94F2-2741-4756-B129-0144F3ABB902}" filter="1" showAutoFilter="1">
      <pageMargins left="0.7" right="0.7" top="0.75" bottom="0.75" header="0.3" footer="0.3"/>
      <autoFilter ref="A1:P2000" xr:uid="{98937C52-686E-46E9-9B9B-57096DE854F8}"/>
    </customSheetView>
    <customSheetView guid="{4C9FF4DE-D27F-4717-B68E-A26853E433FC}" filter="1" showAutoFilter="1">
      <pageMargins left="0.7" right="0.7" top="0.75" bottom="0.75" header="0.3" footer="0.3"/>
      <autoFilter ref="A1:P2000" xr:uid="{D60FB24C-63EB-4FA4-BF90-EF914D976A6E}"/>
    </customSheetView>
  </customSheetView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rgb="FFFF6D01"/>
    <outlinePr summaryBelow="0" summaryRight="0"/>
  </sheetPr>
  <dimension ref="A1:AC674"/>
  <sheetViews>
    <sheetView topLeftCell="M1" workbookViewId="0">
      <pane ySplit="1" topLeftCell="A207" activePane="bottomLeft" state="frozen"/>
      <selection pane="bottomLeft" activeCell="Y219" sqref="Y219"/>
    </sheetView>
  </sheetViews>
  <sheetFormatPr baseColWidth="10" defaultColWidth="12.5703125" defaultRowHeight="15.75" customHeight="1" x14ac:dyDescent="0.2"/>
  <cols>
    <col min="1" max="1" width="64" customWidth="1"/>
  </cols>
  <sheetData>
    <row r="1" spans="1:29" ht="16.5" customHeight="1" x14ac:dyDescent="0.2">
      <c r="A1" s="8" t="s">
        <v>5950</v>
      </c>
      <c r="B1" s="9" t="s">
        <v>158</v>
      </c>
      <c r="C1" s="9" t="s">
        <v>159</v>
      </c>
      <c r="D1" s="9" t="s">
        <v>160</v>
      </c>
      <c r="E1" s="3" t="s">
        <v>161</v>
      </c>
      <c r="F1" s="3" t="s">
        <v>5</v>
      </c>
      <c r="G1" s="3" t="s">
        <v>162</v>
      </c>
      <c r="H1" s="3" t="s">
        <v>163</v>
      </c>
      <c r="I1" s="3" t="s">
        <v>186</v>
      </c>
      <c r="J1" s="3" t="s">
        <v>164</v>
      </c>
      <c r="K1" s="3" t="s">
        <v>165</v>
      </c>
      <c r="L1" s="3" t="s">
        <v>166</v>
      </c>
      <c r="M1" s="3" t="s">
        <v>167</v>
      </c>
      <c r="N1" s="3" t="s">
        <v>6</v>
      </c>
      <c r="O1" s="3" t="s">
        <v>168</v>
      </c>
      <c r="P1" s="3" t="s">
        <v>169</v>
      </c>
      <c r="Q1" s="3" t="s">
        <v>170</v>
      </c>
      <c r="R1" s="3" t="s">
        <v>171</v>
      </c>
      <c r="S1" s="10" t="s">
        <v>172</v>
      </c>
      <c r="T1" s="10" t="s">
        <v>173</v>
      </c>
      <c r="U1" s="3" t="s">
        <v>174</v>
      </c>
      <c r="V1" s="3" t="s">
        <v>2</v>
      </c>
      <c r="W1" s="3" t="s">
        <v>175</v>
      </c>
      <c r="X1" s="3" t="s">
        <v>176</v>
      </c>
      <c r="Y1" s="3" t="s">
        <v>177</v>
      </c>
      <c r="Z1" s="3" t="s">
        <v>178</v>
      </c>
      <c r="AA1" s="3" t="s">
        <v>179</v>
      </c>
      <c r="AB1" s="145" t="s">
        <v>180</v>
      </c>
      <c r="AC1" s="145" t="s">
        <v>5949</v>
      </c>
    </row>
    <row r="2" spans="1:29" ht="16.5" customHeight="1" x14ac:dyDescent="0.2">
      <c r="A2" s="6" t="str">
        <f t="shared" ref="A2" si="0">B2&amp;" $ "&amp;C2</f>
        <v>SDATOOL-9053 $ GloMo Colombia</v>
      </c>
      <c r="B2" s="4" t="s">
        <v>181</v>
      </c>
      <c r="C2" s="4" t="s">
        <v>182</v>
      </c>
      <c r="D2" s="4" t="s">
        <v>183</v>
      </c>
      <c r="E2" s="5" t="s">
        <v>184</v>
      </c>
      <c r="F2" s="5" t="s">
        <v>28</v>
      </c>
      <c r="G2" s="5" t="s">
        <v>185</v>
      </c>
      <c r="H2" s="5" t="s">
        <v>186</v>
      </c>
      <c r="I2" s="5" t="s">
        <v>186</v>
      </c>
      <c r="J2" s="5" t="s">
        <v>187</v>
      </c>
      <c r="K2" s="5" t="s">
        <v>188</v>
      </c>
      <c r="L2" s="5" t="s">
        <v>189</v>
      </c>
      <c r="M2" s="5" t="s">
        <v>190</v>
      </c>
      <c r="N2" s="5" t="s">
        <v>29</v>
      </c>
      <c r="O2" s="11" t="s">
        <v>191</v>
      </c>
      <c r="P2" s="11" t="s">
        <v>192</v>
      </c>
      <c r="Q2" s="11" t="s">
        <v>193</v>
      </c>
      <c r="R2" s="5" t="s">
        <v>194</v>
      </c>
      <c r="S2" s="7" t="e">
        <f ca="1">IF(_xludf.ifna(VLOOKUP(B2,Parámetros!#REF!,1,0),"")="","No","Sí")</f>
        <v>#NAME?</v>
      </c>
      <c r="T2" s="7" t="str">
        <f>IF(U8="None","No normativo","Normativo")</f>
        <v>No normativo</v>
      </c>
      <c r="U2" s="5" t="s">
        <v>195</v>
      </c>
      <c r="V2" s="5" t="s">
        <v>39</v>
      </c>
      <c r="W2" s="5" t="s">
        <v>196</v>
      </c>
      <c r="X2" s="5" t="s">
        <v>197</v>
      </c>
      <c r="Y2" s="5" t="s">
        <v>198</v>
      </c>
      <c r="Z2" s="5">
        <v>29980349108</v>
      </c>
      <c r="AA2" s="5">
        <v>30521032031</v>
      </c>
      <c r="AB2" s="5" t="s">
        <v>180</v>
      </c>
      <c r="AC2">
        <v>1</v>
      </c>
    </row>
    <row r="3" spans="1:29" ht="16.5" hidden="1" customHeight="1" x14ac:dyDescent="0.2">
      <c r="A3" s="6" t="str">
        <f t="shared" ref="A3:A66" si="1">B3&amp;" $ "&amp;C3</f>
        <v>SDATOOL-13410 $ GRM Col - Consumo Servicios Datacrédito - Experian</v>
      </c>
      <c r="B3" s="4" t="s">
        <v>200</v>
      </c>
      <c r="C3" s="4" t="s">
        <v>201</v>
      </c>
      <c r="D3" s="4" t="s">
        <v>183</v>
      </c>
      <c r="E3" s="5" t="s">
        <v>202</v>
      </c>
      <c r="F3" s="5" t="s">
        <v>56</v>
      </c>
      <c r="G3" s="5" t="s">
        <v>185</v>
      </c>
      <c r="H3" s="5" t="s">
        <v>203</v>
      </c>
      <c r="I3" s="5"/>
      <c r="J3" s="5" t="s">
        <v>204</v>
      </c>
      <c r="K3" s="5" t="s">
        <v>205</v>
      </c>
      <c r="L3" s="5" t="s">
        <v>206</v>
      </c>
      <c r="M3" s="5" t="s">
        <v>207</v>
      </c>
      <c r="N3" s="5" t="s">
        <v>29</v>
      </c>
      <c r="O3" s="11" t="s">
        <v>208</v>
      </c>
      <c r="P3" s="11" t="s">
        <v>209</v>
      </c>
      <c r="Q3" s="11" t="s">
        <v>210</v>
      </c>
      <c r="R3" s="5" t="s">
        <v>211</v>
      </c>
      <c r="S3" s="7" t="e">
        <f ca="1">IF(_xludf.ifna(VLOOKUP(B3,Parámetros!#REF!,1,0),"")="","No","Sí")</f>
        <v>#NAME?</v>
      </c>
      <c r="T3" s="7" t="str">
        <f t="shared" ref="T3:T66" si="2">IF(U9="None","No normativo","Normativo")</f>
        <v>Normativo</v>
      </c>
      <c r="U3" s="5" t="s">
        <v>195</v>
      </c>
      <c r="V3" s="5" t="s">
        <v>39</v>
      </c>
      <c r="W3" s="5" t="s">
        <v>212</v>
      </c>
      <c r="X3" s="5" t="s">
        <v>213</v>
      </c>
      <c r="Y3" s="5" t="s">
        <v>214</v>
      </c>
      <c r="Z3" s="5">
        <v>1017503952</v>
      </c>
      <c r="AA3" s="5">
        <v>1017503952</v>
      </c>
      <c r="AB3" s="5" t="s">
        <v>215</v>
      </c>
      <c r="AC3">
        <v>2</v>
      </c>
    </row>
    <row r="4" spans="1:29" ht="16.5" hidden="1" customHeight="1" x14ac:dyDescent="0.2">
      <c r="A4" s="6" t="str">
        <f t="shared" si="1"/>
        <v>SDATOOL-23176 $ ORION</v>
      </c>
      <c r="B4" s="4" t="s">
        <v>216</v>
      </c>
      <c r="C4" s="4" t="s">
        <v>217</v>
      </c>
      <c r="D4" s="4" t="s">
        <v>183</v>
      </c>
      <c r="E4" s="5" t="s">
        <v>218</v>
      </c>
      <c r="F4" s="4" t="s">
        <v>50</v>
      </c>
      <c r="G4" s="4" t="s">
        <v>185</v>
      </c>
      <c r="H4" s="4" t="s">
        <v>203</v>
      </c>
      <c r="K4" s="4" t="s">
        <v>219</v>
      </c>
      <c r="L4" s="4" t="s">
        <v>206</v>
      </c>
      <c r="M4" s="4" t="s">
        <v>220</v>
      </c>
      <c r="N4" s="5" t="s">
        <v>15</v>
      </c>
      <c r="O4" s="13" t="s">
        <v>221</v>
      </c>
      <c r="Q4" s="13" t="s">
        <v>222</v>
      </c>
      <c r="R4" s="4" t="s">
        <v>223</v>
      </c>
      <c r="S4" s="7" t="e">
        <f ca="1">IF(_xludf.ifna(VLOOKUP(B4,Parámetros!#REF!,1,0),"")="","No","Sí")</f>
        <v>#NAME?</v>
      </c>
      <c r="T4" s="7" t="str">
        <f t="shared" si="2"/>
        <v>Normativo</v>
      </c>
      <c r="U4" s="4" t="s">
        <v>224</v>
      </c>
      <c r="V4" s="5" t="s">
        <v>39</v>
      </c>
      <c r="W4" s="4" t="s">
        <v>196</v>
      </c>
      <c r="X4" s="4" t="s">
        <v>225</v>
      </c>
      <c r="Y4" s="4" t="s">
        <v>226</v>
      </c>
      <c r="Z4" s="5">
        <v>6652105660</v>
      </c>
      <c r="AA4" s="5">
        <v>6652105660</v>
      </c>
      <c r="AB4" s="4" t="s">
        <v>215</v>
      </c>
      <c r="AC4">
        <v>3</v>
      </c>
    </row>
    <row r="5" spans="1:29" ht="16.5" customHeight="1" x14ac:dyDescent="0.2">
      <c r="A5" s="6" t="str">
        <f t="shared" si="1"/>
        <v>SDATOOL-27703 $ Fixed Income Digital Cross Selling - COL</v>
      </c>
      <c r="B5" s="4" t="s">
        <v>227</v>
      </c>
      <c r="C5" s="4" t="s">
        <v>228</v>
      </c>
      <c r="D5" s="4" t="s">
        <v>183</v>
      </c>
      <c r="E5" s="4" t="s">
        <v>229</v>
      </c>
      <c r="F5" s="4" t="s">
        <v>21</v>
      </c>
      <c r="G5" s="4" t="s">
        <v>185</v>
      </c>
      <c r="H5" s="4" t="s">
        <v>186</v>
      </c>
      <c r="J5" s="4" t="s">
        <v>187</v>
      </c>
      <c r="K5" s="4" t="s">
        <v>188</v>
      </c>
      <c r="L5" s="4" t="s">
        <v>189</v>
      </c>
      <c r="M5" s="4" t="s">
        <v>230</v>
      </c>
      <c r="N5" s="4" t="s">
        <v>44</v>
      </c>
      <c r="O5" s="13" t="s">
        <v>231</v>
      </c>
      <c r="P5" s="13" t="s">
        <v>232</v>
      </c>
      <c r="Q5" s="13" t="s">
        <v>193</v>
      </c>
      <c r="S5" s="7" t="e">
        <f ca="1">IF(_xludf.ifna(VLOOKUP(B5,Parámetros!#REF!,1,0),"")="","No","Sí")</f>
        <v>#NAME?</v>
      </c>
      <c r="T5" s="7" t="str">
        <f t="shared" si="2"/>
        <v>No normativo</v>
      </c>
      <c r="U5" s="4" t="s">
        <v>195</v>
      </c>
      <c r="V5" s="4" t="s">
        <v>39</v>
      </c>
      <c r="W5" s="4" t="s">
        <v>233</v>
      </c>
      <c r="X5" s="4" t="s">
        <v>234</v>
      </c>
      <c r="Y5" s="4" t="s">
        <v>235</v>
      </c>
      <c r="Z5" s="5">
        <v>2245004046</v>
      </c>
      <c r="AA5" s="5">
        <v>2367004046</v>
      </c>
      <c r="AB5" s="4" t="s">
        <v>215</v>
      </c>
      <c r="AC5">
        <v>4</v>
      </c>
    </row>
    <row r="6" spans="1:29" ht="16.5" customHeight="1" x14ac:dyDescent="0.2">
      <c r="A6" s="6" t="str">
        <f t="shared" si="1"/>
        <v>SDATOOL-28278 $ GRM Col - TMP Cobranzas - Pago en Canales Alternativos</v>
      </c>
      <c r="B6" s="4" t="s">
        <v>236</v>
      </c>
      <c r="C6" s="4" t="s">
        <v>237</v>
      </c>
      <c r="D6" s="4" t="s">
        <v>183</v>
      </c>
      <c r="E6" s="4" t="s">
        <v>238</v>
      </c>
      <c r="F6" s="4" t="s">
        <v>56</v>
      </c>
      <c r="G6" s="4" t="s">
        <v>185</v>
      </c>
      <c r="H6" s="4" t="s">
        <v>186</v>
      </c>
      <c r="I6" s="4" t="s">
        <v>186</v>
      </c>
      <c r="J6" s="4" t="s">
        <v>204</v>
      </c>
      <c r="K6" s="4" t="s">
        <v>239</v>
      </c>
      <c r="L6" s="4" t="s">
        <v>240</v>
      </c>
      <c r="M6" s="4" t="s">
        <v>241</v>
      </c>
      <c r="N6" s="4" t="s">
        <v>29</v>
      </c>
      <c r="O6" s="13" t="s">
        <v>242</v>
      </c>
      <c r="P6" s="13" t="s">
        <v>243</v>
      </c>
      <c r="Q6" s="13" t="s">
        <v>244</v>
      </c>
      <c r="R6" s="4" t="s">
        <v>245</v>
      </c>
      <c r="S6" s="7" t="e">
        <f ca="1">IF(_xludf.ifna(VLOOKUP(B6,Parámetros!#REF!,1,0),"")="","No","Sí")</f>
        <v>#NAME?</v>
      </c>
      <c r="T6" s="7" t="str">
        <f t="shared" si="2"/>
        <v>Normativo</v>
      </c>
      <c r="U6" s="4" t="s">
        <v>195</v>
      </c>
      <c r="V6" s="4" t="s">
        <v>39</v>
      </c>
      <c r="W6" s="4" t="s">
        <v>196</v>
      </c>
      <c r="X6" s="4" t="s">
        <v>246</v>
      </c>
      <c r="Y6" s="4" t="s">
        <v>247</v>
      </c>
      <c r="Z6" s="5">
        <v>307749684</v>
      </c>
      <c r="AA6" s="5">
        <v>1200497672</v>
      </c>
      <c r="AB6" s="4" t="s">
        <v>180</v>
      </c>
      <c r="AC6">
        <v>5</v>
      </c>
    </row>
    <row r="7" spans="1:29" ht="16.5" customHeight="1" x14ac:dyDescent="0.2">
      <c r="A7" s="6" t="str">
        <f t="shared" si="1"/>
        <v>SDATOOL-28473 $ GRM Col - TMP Cobranzas - Módulo control acuerdos de pago</v>
      </c>
      <c r="B7" s="4" t="s">
        <v>248</v>
      </c>
      <c r="C7" s="4" t="s">
        <v>249</v>
      </c>
      <c r="D7" s="4" t="s">
        <v>183</v>
      </c>
      <c r="E7" s="4" t="s">
        <v>250</v>
      </c>
      <c r="F7" s="4" t="s">
        <v>56</v>
      </c>
      <c r="G7" s="4" t="s">
        <v>185</v>
      </c>
      <c r="H7" s="4" t="s">
        <v>186</v>
      </c>
      <c r="I7" s="4" t="s">
        <v>186</v>
      </c>
      <c r="J7" s="4" t="s">
        <v>204</v>
      </c>
      <c r="K7" s="4" t="s">
        <v>251</v>
      </c>
      <c r="L7" s="4" t="s">
        <v>189</v>
      </c>
      <c r="M7" s="4" t="s">
        <v>252</v>
      </c>
      <c r="N7" s="4" t="s">
        <v>29</v>
      </c>
      <c r="O7" s="13" t="s">
        <v>253</v>
      </c>
      <c r="P7" s="13" t="s">
        <v>254</v>
      </c>
      <c r="Q7" s="13" t="s">
        <v>255</v>
      </c>
      <c r="R7" s="4" t="s">
        <v>256</v>
      </c>
      <c r="S7" s="7" t="e">
        <f ca="1">IF(_xludf.ifna(VLOOKUP(B7,Parámetros!#REF!,1,0),"")="","No","Sí")</f>
        <v>#NAME?</v>
      </c>
      <c r="T7" s="7" t="str">
        <f t="shared" si="2"/>
        <v>Normativo</v>
      </c>
      <c r="U7" s="4" t="s">
        <v>195</v>
      </c>
      <c r="V7" s="4" t="s">
        <v>39</v>
      </c>
      <c r="W7" s="4" t="s">
        <v>196</v>
      </c>
      <c r="X7" s="4" t="s">
        <v>246</v>
      </c>
      <c r="Y7" s="4" t="s">
        <v>247</v>
      </c>
      <c r="Z7" s="5">
        <v>221614342</v>
      </c>
      <c r="AA7" s="5">
        <v>494089674</v>
      </c>
      <c r="AB7" s="4" t="s">
        <v>180</v>
      </c>
      <c r="AC7">
        <v>6</v>
      </c>
    </row>
    <row r="8" spans="1:29" ht="16.5" customHeight="1" x14ac:dyDescent="0.2">
      <c r="A8" s="6" t="str">
        <f t="shared" si="1"/>
        <v>SDATOOL-28728 $ Contratación electrónica/digital de empleados y Carpeta Virtual 2.0</v>
      </c>
      <c r="B8" s="4" t="s">
        <v>257</v>
      </c>
      <c r="C8" s="4" t="s">
        <v>258</v>
      </c>
      <c r="D8" s="4" t="s">
        <v>183</v>
      </c>
      <c r="E8" s="4" t="s">
        <v>259</v>
      </c>
      <c r="F8" s="4" t="s">
        <v>30</v>
      </c>
      <c r="G8" s="4" t="s">
        <v>185</v>
      </c>
      <c r="H8" s="4" t="s">
        <v>186</v>
      </c>
      <c r="I8" s="4" t="s">
        <v>186</v>
      </c>
      <c r="K8" s="4" t="s">
        <v>260</v>
      </c>
      <c r="L8" s="4" t="s">
        <v>189</v>
      </c>
      <c r="M8" s="4" t="s">
        <v>261</v>
      </c>
      <c r="N8" s="4" t="s">
        <v>15</v>
      </c>
      <c r="O8" s="13" t="s">
        <v>262</v>
      </c>
      <c r="P8" s="13" t="s">
        <v>263</v>
      </c>
      <c r="R8" s="4" t="s">
        <v>264</v>
      </c>
      <c r="S8" s="7" t="e">
        <f ca="1">IF(_xludf.ifna(VLOOKUP(B8,Parámetros!#REF!,1,0),"")="","No","Sí")</f>
        <v>#NAME?</v>
      </c>
      <c r="T8" s="7" t="str">
        <f t="shared" si="2"/>
        <v>Normativo</v>
      </c>
      <c r="U8" s="4" t="s">
        <v>195</v>
      </c>
      <c r="V8" s="4" t="s">
        <v>39</v>
      </c>
      <c r="W8" s="4" t="s">
        <v>196</v>
      </c>
      <c r="X8" s="4" t="s">
        <v>246</v>
      </c>
      <c r="Y8" s="4" t="s">
        <v>265</v>
      </c>
      <c r="Z8" s="5">
        <v>370512146</v>
      </c>
      <c r="AA8" s="5">
        <v>360440815</v>
      </c>
      <c r="AB8" s="4" t="s">
        <v>180</v>
      </c>
      <c r="AC8">
        <v>7</v>
      </c>
    </row>
    <row r="9" spans="1:29" ht="16.5" customHeight="1" x14ac:dyDescent="0.2">
      <c r="A9" s="6" t="str">
        <f t="shared" si="1"/>
        <v>SDATOOL-29029 $ EBA Guidelines (NDoD/PD/LGD) - Colombia</v>
      </c>
      <c r="B9" s="4" t="s">
        <v>266</v>
      </c>
      <c r="C9" s="4" t="s">
        <v>267</v>
      </c>
      <c r="D9" s="4" t="s">
        <v>183</v>
      </c>
      <c r="E9" s="4" t="s">
        <v>268</v>
      </c>
      <c r="F9" s="4" t="s">
        <v>56</v>
      </c>
      <c r="G9" s="4" t="s">
        <v>185</v>
      </c>
      <c r="H9" s="4" t="s">
        <v>186</v>
      </c>
      <c r="J9" s="4" t="s">
        <v>204</v>
      </c>
      <c r="K9" s="4" t="s">
        <v>239</v>
      </c>
      <c r="L9" s="4" t="s">
        <v>189</v>
      </c>
      <c r="M9" s="4" t="s">
        <v>269</v>
      </c>
      <c r="N9" s="4" t="s">
        <v>15</v>
      </c>
      <c r="O9" s="13" t="s">
        <v>208</v>
      </c>
      <c r="P9" s="13" t="s">
        <v>254</v>
      </c>
      <c r="Q9" s="13" t="s">
        <v>255</v>
      </c>
      <c r="R9" s="4" t="s">
        <v>270</v>
      </c>
      <c r="S9" s="7" t="e">
        <f ca="1">IF(_xludf.ifna(VLOOKUP(B9,Parámetros!#REF!,1,0),"")="","No","Sí")</f>
        <v>#NAME?</v>
      </c>
      <c r="T9" s="7" t="str">
        <f t="shared" si="2"/>
        <v>Normativo</v>
      </c>
      <c r="U9" s="4" t="s">
        <v>224</v>
      </c>
      <c r="V9" s="4" t="s">
        <v>39</v>
      </c>
      <c r="W9" s="4" t="s">
        <v>196</v>
      </c>
      <c r="X9" s="4" t="s">
        <v>271</v>
      </c>
      <c r="Y9" s="4" t="s">
        <v>272</v>
      </c>
      <c r="Z9" s="5">
        <v>4055775880</v>
      </c>
      <c r="AA9" s="5">
        <v>3482838981</v>
      </c>
      <c r="AB9" s="4" t="s">
        <v>180</v>
      </c>
      <c r="AC9">
        <v>8</v>
      </c>
    </row>
    <row r="10" spans="1:29" ht="16.5" hidden="1" customHeight="1" x14ac:dyDescent="0.2">
      <c r="A10" s="6" t="str">
        <f t="shared" si="1"/>
        <v>SDATOOL-29044 $ Ley de Financiamiento (Ley 1943 del 28 de diciembre de 2018)</v>
      </c>
      <c r="B10" s="4" t="s">
        <v>273</v>
      </c>
      <c r="C10" s="4" t="s">
        <v>274</v>
      </c>
      <c r="D10" s="4" t="s">
        <v>183</v>
      </c>
      <c r="E10" s="4" t="s">
        <v>275</v>
      </c>
      <c r="F10" s="4" t="s">
        <v>50</v>
      </c>
      <c r="G10" s="4" t="s">
        <v>185</v>
      </c>
      <c r="H10" s="4" t="s">
        <v>276</v>
      </c>
      <c r="K10" s="4" t="s">
        <v>188</v>
      </c>
      <c r="L10" s="4" t="s">
        <v>189</v>
      </c>
      <c r="M10" s="4" t="s">
        <v>277</v>
      </c>
      <c r="N10" s="4" t="s">
        <v>15</v>
      </c>
      <c r="O10" s="13" t="s">
        <v>278</v>
      </c>
      <c r="P10" s="13" t="s">
        <v>279</v>
      </c>
      <c r="Q10" s="4" t="s">
        <v>280</v>
      </c>
      <c r="R10" s="4" t="s">
        <v>281</v>
      </c>
      <c r="S10" s="7" t="e">
        <f ca="1">IF(_xludf.ifna(VLOOKUP(B10,Parámetros!#REF!,1,0),"")="","No","Sí")</f>
        <v>#NAME?</v>
      </c>
      <c r="T10" s="7" t="str">
        <f t="shared" si="2"/>
        <v>No normativo</v>
      </c>
      <c r="U10" s="4" t="s">
        <v>224</v>
      </c>
      <c r="V10" s="4" t="s">
        <v>39</v>
      </c>
      <c r="W10" s="4" t="s">
        <v>196</v>
      </c>
      <c r="X10" s="4" t="s">
        <v>246</v>
      </c>
      <c r="Y10" s="4" t="s">
        <v>265</v>
      </c>
      <c r="Z10" s="5">
        <v>1506541175</v>
      </c>
      <c r="AA10" s="5">
        <v>1506541175</v>
      </c>
      <c r="AB10" s="4" t="s">
        <v>215</v>
      </c>
      <c r="AC10">
        <v>9</v>
      </c>
    </row>
    <row r="11" spans="1:29" ht="16.5" hidden="1" customHeight="1" x14ac:dyDescent="0.2">
      <c r="A11" s="6" t="str">
        <f t="shared" si="1"/>
        <v>SDATOOL-29464 $ Diversidad y Conciliación (Home Office)</v>
      </c>
      <c r="B11" s="4" t="s">
        <v>283</v>
      </c>
      <c r="C11" s="4" t="s">
        <v>284</v>
      </c>
      <c r="D11" s="4" t="s">
        <v>183</v>
      </c>
      <c r="E11" s="4" t="s">
        <v>285</v>
      </c>
      <c r="F11" s="4" t="s">
        <v>30</v>
      </c>
      <c r="G11" s="4" t="s">
        <v>185</v>
      </c>
      <c r="H11" s="4" t="s">
        <v>203</v>
      </c>
      <c r="K11" s="4" t="s">
        <v>260</v>
      </c>
      <c r="L11" s="4" t="s">
        <v>206</v>
      </c>
      <c r="M11" s="4" t="s">
        <v>286</v>
      </c>
      <c r="N11" s="4" t="s">
        <v>15</v>
      </c>
      <c r="O11" s="13" t="s">
        <v>287</v>
      </c>
      <c r="P11" s="13" t="s">
        <v>288</v>
      </c>
      <c r="Q11" s="13" t="s">
        <v>289</v>
      </c>
      <c r="R11" s="4" t="s">
        <v>290</v>
      </c>
      <c r="S11" s="7" t="e">
        <f ca="1">IF(_xludf.ifna(VLOOKUP(B11,Parámetros!#REF!,1,0),"")="","No","Sí")</f>
        <v>#NAME?</v>
      </c>
      <c r="T11" s="7" t="str">
        <f t="shared" si="2"/>
        <v>Normativo</v>
      </c>
      <c r="U11" s="4" t="s">
        <v>195</v>
      </c>
      <c r="V11" s="4" t="s">
        <v>39</v>
      </c>
      <c r="W11" s="4" t="s">
        <v>291</v>
      </c>
      <c r="X11" s="4" t="s">
        <v>292</v>
      </c>
      <c r="Y11" s="4" t="s">
        <v>293</v>
      </c>
      <c r="Z11" s="5">
        <v>3383851874</v>
      </c>
      <c r="AA11" s="5">
        <v>3375847829</v>
      </c>
      <c r="AB11" s="4" t="s">
        <v>215</v>
      </c>
      <c r="AC11">
        <v>10</v>
      </c>
    </row>
    <row r="12" spans="1:29" ht="16.5" hidden="1" customHeight="1" x14ac:dyDescent="0.2">
      <c r="A12" s="6" t="str">
        <f t="shared" si="1"/>
        <v>SDATOOL-29577 $ IBORs TRANSITION BBVA COLOMBIA</v>
      </c>
      <c r="B12" s="4" t="s">
        <v>294</v>
      </c>
      <c r="C12" s="4" t="s">
        <v>295</v>
      </c>
      <c r="D12" s="4" t="s">
        <v>183</v>
      </c>
      <c r="E12" s="4" t="s">
        <v>296</v>
      </c>
      <c r="F12" s="4" t="s">
        <v>21</v>
      </c>
      <c r="G12" s="4" t="s">
        <v>185</v>
      </c>
      <c r="H12" s="4" t="s">
        <v>203</v>
      </c>
      <c r="J12" s="4" t="s">
        <v>204</v>
      </c>
      <c r="K12" s="4" t="s">
        <v>260</v>
      </c>
      <c r="L12" s="4" t="s">
        <v>206</v>
      </c>
      <c r="M12" s="4" t="s">
        <v>297</v>
      </c>
      <c r="N12" s="4" t="s">
        <v>36</v>
      </c>
      <c r="O12" s="13" t="s">
        <v>298</v>
      </c>
      <c r="P12" s="13" t="s">
        <v>298</v>
      </c>
      <c r="Q12" s="13" t="s">
        <v>299</v>
      </c>
      <c r="S12" s="7" t="e">
        <f ca="1">IF(_xludf.ifna(VLOOKUP(B12,Parámetros!#REF!,1,0),"")="","No","Sí")</f>
        <v>#NAME?</v>
      </c>
      <c r="T12" s="7" t="str">
        <f t="shared" si="2"/>
        <v>No normativo</v>
      </c>
      <c r="U12" s="4" t="s">
        <v>224</v>
      </c>
      <c r="V12" s="4" t="s">
        <v>39</v>
      </c>
      <c r="W12" s="4" t="s">
        <v>300</v>
      </c>
      <c r="X12" s="4" t="s">
        <v>301</v>
      </c>
      <c r="Y12" s="4" t="s">
        <v>302</v>
      </c>
      <c r="Z12" s="5">
        <v>1895904856</v>
      </c>
      <c r="AA12" s="5">
        <v>1895904856</v>
      </c>
      <c r="AB12" s="4" t="s">
        <v>215</v>
      </c>
      <c r="AC12">
        <v>11</v>
      </c>
    </row>
    <row r="13" spans="1:29" ht="16.5" hidden="1" customHeight="1" x14ac:dyDescent="0.2">
      <c r="A13" s="6" t="str">
        <f t="shared" si="1"/>
        <v>SDATOOL-29750 $ Biometría</v>
      </c>
      <c r="B13" s="4" t="s">
        <v>303</v>
      </c>
      <c r="C13" s="4" t="s">
        <v>304</v>
      </c>
      <c r="D13" s="4" t="s">
        <v>183</v>
      </c>
      <c r="E13" s="4" t="s">
        <v>305</v>
      </c>
      <c r="F13" s="4" t="s">
        <v>43</v>
      </c>
      <c r="G13" s="4" t="s">
        <v>185</v>
      </c>
      <c r="H13" s="4" t="s">
        <v>203</v>
      </c>
      <c r="J13" s="4" t="s">
        <v>204</v>
      </c>
      <c r="K13" s="4" t="s">
        <v>260</v>
      </c>
      <c r="L13" s="4" t="s">
        <v>206</v>
      </c>
      <c r="M13" s="4" t="s">
        <v>306</v>
      </c>
      <c r="N13" s="4" t="s">
        <v>15</v>
      </c>
      <c r="O13" s="13" t="s">
        <v>307</v>
      </c>
      <c r="P13" s="13" t="s">
        <v>308</v>
      </c>
      <c r="Q13" s="13" t="s">
        <v>309</v>
      </c>
      <c r="R13" s="4" t="s">
        <v>305</v>
      </c>
      <c r="S13" s="7" t="e">
        <f ca="1">IF(_xludf.ifna(VLOOKUP(B13,Parámetros!#REF!,1,0),"")="","No","Sí")</f>
        <v>#NAME?</v>
      </c>
      <c r="T13" s="7" t="str">
        <f t="shared" si="2"/>
        <v>No normativo</v>
      </c>
      <c r="U13" s="4" t="s">
        <v>224</v>
      </c>
      <c r="V13" s="4" t="s">
        <v>39</v>
      </c>
      <c r="W13" s="4" t="s">
        <v>196</v>
      </c>
      <c r="X13" s="4" t="s">
        <v>225</v>
      </c>
      <c r="Y13" s="4" t="s">
        <v>226</v>
      </c>
      <c r="Z13" s="5">
        <v>345835505</v>
      </c>
      <c r="AA13" s="5">
        <v>345835505</v>
      </c>
      <c r="AB13" s="4" t="s">
        <v>215</v>
      </c>
      <c r="AC13">
        <v>12</v>
      </c>
    </row>
    <row r="14" spans="1:29" ht="16.5" customHeight="1" x14ac:dyDescent="0.2">
      <c r="A14" s="6" t="str">
        <f t="shared" si="1"/>
        <v>SDATOOL-29998 $ Despliegue SAS AML en BBVA CO</v>
      </c>
      <c r="B14" s="4" t="s">
        <v>310</v>
      </c>
      <c r="C14" s="4" t="s">
        <v>311</v>
      </c>
      <c r="D14" s="4" t="s">
        <v>183</v>
      </c>
      <c r="E14" s="4" t="s">
        <v>312</v>
      </c>
      <c r="F14" s="4" t="s">
        <v>69</v>
      </c>
      <c r="G14" s="4" t="s">
        <v>185</v>
      </c>
      <c r="H14" s="4" t="s">
        <v>186</v>
      </c>
      <c r="J14" s="4" t="s">
        <v>187</v>
      </c>
      <c r="K14" s="4" t="s">
        <v>313</v>
      </c>
      <c r="L14" s="4" t="s">
        <v>314</v>
      </c>
      <c r="M14" s="4" t="s">
        <v>315</v>
      </c>
      <c r="N14" s="4" t="s">
        <v>15</v>
      </c>
      <c r="O14" s="13" t="s">
        <v>316</v>
      </c>
      <c r="P14" s="13" t="s">
        <v>317</v>
      </c>
      <c r="Q14" s="13" t="s">
        <v>318</v>
      </c>
      <c r="R14" s="4" t="s">
        <v>319</v>
      </c>
      <c r="S14" s="7" t="e">
        <f ca="1">IF(_xludf.ifna(VLOOKUP(B14,Parámetros!#REF!,1,0),"")="","No","Sí")</f>
        <v>#NAME?</v>
      </c>
      <c r="T14" s="7" t="str">
        <f t="shared" si="2"/>
        <v>No normativo</v>
      </c>
      <c r="U14" s="4" t="s">
        <v>224</v>
      </c>
      <c r="V14" s="4" t="s">
        <v>39</v>
      </c>
      <c r="W14" s="4" t="s">
        <v>196</v>
      </c>
      <c r="X14" s="4" t="s">
        <v>225</v>
      </c>
      <c r="Y14" s="4" t="s">
        <v>320</v>
      </c>
      <c r="Z14" s="5">
        <v>3644563605</v>
      </c>
      <c r="AA14" s="5">
        <v>3644563605</v>
      </c>
      <c r="AB14" s="4" t="s">
        <v>180</v>
      </c>
      <c r="AC14">
        <v>13</v>
      </c>
    </row>
    <row r="15" spans="1:29" ht="16.5" customHeight="1" x14ac:dyDescent="0.2">
      <c r="A15" s="6" t="str">
        <f t="shared" si="1"/>
        <v>SDATOOL-30053 $ GRM Col Reg - CE016-19 Modificados, reestructurados e incumplidos RV</v>
      </c>
      <c r="B15" s="4" t="s">
        <v>321</v>
      </c>
      <c r="C15" s="4" t="s">
        <v>322</v>
      </c>
      <c r="D15" s="4" t="s">
        <v>183</v>
      </c>
      <c r="E15" s="4" t="s">
        <v>323</v>
      </c>
      <c r="F15" s="4" t="s">
        <v>56</v>
      </c>
      <c r="G15" s="4" t="s">
        <v>185</v>
      </c>
      <c r="H15" s="4" t="s">
        <v>186</v>
      </c>
      <c r="K15" s="4" t="s">
        <v>239</v>
      </c>
      <c r="L15" s="4" t="s">
        <v>189</v>
      </c>
      <c r="M15" s="4" t="s">
        <v>324</v>
      </c>
      <c r="N15" s="4" t="s">
        <v>29</v>
      </c>
      <c r="O15" s="13" t="s">
        <v>325</v>
      </c>
      <c r="P15" s="13" t="s">
        <v>326</v>
      </c>
      <c r="Q15" s="13" t="s">
        <v>255</v>
      </c>
      <c r="R15" s="4" t="s">
        <v>327</v>
      </c>
      <c r="S15" s="7" t="e">
        <f ca="1">IF(_xludf.ifna(VLOOKUP(B15,Parámetros!#REF!,1,0),"")="","No","Sí")</f>
        <v>#NAME?</v>
      </c>
      <c r="T15" s="7" t="str">
        <f t="shared" si="2"/>
        <v>No normativo</v>
      </c>
      <c r="U15" s="4" t="s">
        <v>224</v>
      </c>
      <c r="V15" s="4" t="s">
        <v>39</v>
      </c>
      <c r="W15" s="4" t="s">
        <v>196</v>
      </c>
      <c r="X15" s="4" t="s">
        <v>328</v>
      </c>
      <c r="Y15" s="4" t="s">
        <v>329</v>
      </c>
      <c r="Z15" s="5">
        <v>100360766</v>
      </c>
      <c r="AA15" s="5">
        <v>83229663</v>
      </c>
      <c r="AB15" s="4" t="s">
        <v>180</v>
      </c>
      <c r="AC15">
        <v>14</v>
      </c>
    </row>
    <row r="16" spans="1:29" ht="16.5" hidden="1" customHeight="1" x14ac:dyDescent="0.2">
      <c r="A16" s="6" t="str">
        <f t="shared" si="1"/>
        <v>SDATOOL-30527 $ (Work Day) Nueva Plataforma Core de Talento y Cultura Colombia</v>
      </c>
      <c r="B16" s="4" t="s">
        <v>330</v>
      </c>
      <c r="C16" s="4" t="s">
        <v>331</v>
      </c>
      <c r="D16" s="4" t="s">
        <v>183</v>
      </c>
      <c r="E16" s="4" t="s">
        <v>332</v>
      </c>
      <c r="F16" s="4" t="s">
        <v>30</v>
      </c>
      <c r="G16" s="4" t="s">
        <v>185</v>
      </c>
      <c r="H16" s="4" t="s">
        <v>203</v>
      </c>
      <c r="K16" s="4" t="s">
        <v>313</v>
      </c>
      <c r="L16" s="4" t="s">
        <v>206</v>
      </c>
      <c r="M16" s="4" t="s">
        <v>333</v>
      </c>
      <c r="N16" s="4" t="s">
        <v>15</v>
      </c>
      <c r="O16" s="13" t="s">
        <v>334</v>
      </c>
      <c r="P16" s="13" t="s">
        <v>335</v>
      </c>
      <c r="Q16" s="13" t="s">
        <v>336</v>
      </c>
      <c r="R16" s="4" t="s">
        <v>337</v>
      </c>
      <c r="S16" s="7" t="e">
        <f ca="1">IF(_xludf.ifna(VLOOKUP(B16,Parámetros!#REF!,1,0),"")="","No","Sí")</f>
        <v>#NAME?</v>
      </c>
      <c r="T16" s="7" t="str">
        <f t="shared" si="2"/>
        <v>No normativo</v>
      </c>
      <c r="U16" s="4" t="s">
        <v>195</v>
      </c>
      <c r="V16" s="4" t="s">
        <v>39</v>
      </c>
      <c r="W16" s="4" t="s">
        <v>291</v>
      </c>
      <c r="X16" s="4" t="s">
        <v>292</v>
      </c>
      <c r="Y16" s="4" t="s">
        <v>338</v>
      </c>
      <c r="Z16" s="5">
        <v>685385000</v>
      </c>
      <c r="AA16" s="5">
        <v>685385000</v>
      </c>
      <c r="AB16" s="4" t="s">
        <v>215</v>
      </c>
      <c r="AC16">
        <v>15</v>
      </c>
    </row>
    <row r="17" spans="1:29" ht="16.5" hidden="1" customHeight="1" x14ac:dyDescent="0.2">
      <c r="A17" s="6" t="str">
        <f t="shared" si="1"/>
        <v>SDATOOL-30587 $ Seguros - IFRS 17</v>
      </c>
      <c r="B17" s="4" t="s">
        <v>339</v>
      </c>
      <c r="C17" s="4" t="s">
        <v>340</v>
      </c>
      <c r="D17" s="4" t="s">
        <v>183</v>
      </c>
      <c r="E17" s="4" t="s">
        <v>341</v>
      </c>
      <c r="F17" s="4" t="s">
        <v>28</v>
      </c>
      <c r="G17" s="4" t="s">
        <v>185</v>
      </c>
      <c r="H17" s="4" t="s">
        <v>203</v>
      </c>
      <c r="J17" s="4" t="s">
        <v>204</v>
      </c>
      <c r="K17" s="4" t="s">
        <v>313</v>
      </c>
      <c r="L17" s="4" t="s">
        <v>206</v>
      </c>
      <c r="M17" s="4" t="s">
        <v>342</v>
      </c>
      <c r="N17" s="4" t="s">
        <v>15</v>
      </c>
      <c r="O17" s="13" t="s">
        <v>343</v>
      </c>
      <c r="P17" s="13" t="s">
        <v>344</v>
      </c>
      <c r="Q17" s="13" t="s">
        <v>345</v>
      </c>
      <c r="R17" s="4" t="s">
        <v>346</v>
      </c>
      <c r="S17" s="7" t="e">
        <f ca="1">IF(_xludf.ifna(VLOOKUP(B17,Parámetros!#REF!,1,0),"")="","No","Sí")</f>
        <v>#NAME?</v>
      </c>
      <c r="T17" s="7" t="str">
        <f t="shared" si="2"/>
        <v>Normativo</v>
      </c>
      <c r="U17" s="4" t="s">
        <v>224</v>
      </c>
      <c r="V17" s="4" t="s">
        <v>347</v>
      </c>
      <c r="W17" s="4" t="s">
        <v>196</v>
      </c>
      <c r="X17" s="4" t="s">
        <v>246</v>
      </c>
      <c r="Y17" s="4" t="s">
        <v>265</v>
      </c>
      <c r="Z17" s="5">
        <v>4945492214</v>
      </c>
      <c r="AA17" s="5">
        <v>4945492214</v>
      </c>
      <c r="AB17" s="4" t="s">
        <v>215</v>
      </c>
      <c r="AC17">
        <v>16</v>
      </c>
    </row>
    <row r="18" spans="1:29" ht="16.5" hidden="1" customHeight="1" x14ac:dyDescent="0.2">
      <c r="A18" s="6" t="str">
        <f t="shared" si="1"/>
        <v>SDATOOL-31307 $ Eliminar Obsolescencia Switch Oficinas</v>
      </c>
      <c r="B18" s="4" t="s">
        <v>348</v>
      </c>
      <c r="C18" s="4" t="s">
        <v>349</v>
      </c>
      <c r="D18" s="4" t="s">
        <v>183</v>
      </c>
      <c r="E18" s="4" t="s">
        <v>350</v>
      </c>
      <c r="F18" s="4" t="s">
        <v>43</v>
      </c>
      <c r="G18" s="4" t="s">
        <v>185</v>
      </c>
      <c r="H18" s="4" t="s">
        <v>203</v>
      </c>
      <c r="J18" s="4" t="s">
        <v>204</v>
      </c>
      <c r="K18" s="4" t="s">
        <v>351</v>
      </c>
      <c r="L18" s="4" t="s">
        <v>206</v>
      </c>
      <c r="M18" s="4" t="s">
        <v>352</v>
      </c>
      <c r="N18" s="4" t="s">
        <v>15</v>
      </c>
      <c r="O18" s="13" t="s">
        <v>353</v>
      </c>
      <c r="P18" s="13" t="s">
        <v>354</v>
      </c>
      <c r="Q18" s="13" t="s">
        <v>354</v>
      </c>
      <c r="R18" s="4" t="s">
        <v>355</v>
      </c>
      <c r="S18" s="7" t="e">
        <f ca="1">IF(_xludf.ifna(VLOOKUP(B18,Parámetros!#REF!,1,0),"")="","No","Sí")</f>
        <v>#NAME?</v>
      </c>
      <c r="T18" s="7" t="str">
        <f t="shared" si="2"/>
        <v>No normativo</v>
      </c>
      <c r="U18" s="4" t="s">
        <v>195</v>
      </c>
      <c r="V18" s="4" t="s">
        <v>39</v>
      </c>
      <c r="W18" s="4" t="s">
        <v>212</v>
      </c>
      <c r="X18" s="4" t="s">
        <v>356</v>
      </c>
      <c r="Y18" s="4" t="s">
        <v>357</v>
      </c>
      <c r="Z18" s="5">
        <v>3273579445</v>
      </c>
      <c r="AA18" s="5">
        <v>3273579445</v>
      </c>
      <c r="AB18" s="4" t="s">
        <v>215</v>
      </c>
      <c r="AC18">
        <v>17</v>
      </c>
    </row>
    <row r="19" spans="1:29" ht="16.5" customHeight="1" x14ac:dyDescent="0.2">
      <c r="A19" s="6" t="str">
        <f t="shared" si="1"/>
        <v>SDATOOL-31326 $ Legalización Hipotecario</v>
      </c>
      <c r="B19" s="4" t="s">
        <v>358</v>
      </c>
      <c r="C19" s="4" t="s">
        <v>359</v>
      </c>
      <c r="D19" s="4" t="s">
        <v>183</v>
      </c>
      <c r="E19" s="4" t="s">
        <v>360</v>
      </c>
      <c r="F19" s="4" t="s">
        <v>28</v>
      </c>
      <c r="G19" s="4" t="s">
        <v>185</v>
      </c>
      <c r="H19" s="4" t="s">
        <v>186</v>
      </c>
      <c r="I19" s="4" t="s">
        <v>186</v>
      </c>
      <c r="J19" s="4" t="s">
        <v>187</v>
      </c>
      <c r="K19" s="4" t="s">
        <v>361</v>
      </c>
      <c r="L19" s="4" t="s">
        <v>189</v>
      </c>
      <c r="M19" s="4" t="s">
        <v>362</v>
      </c>
      <c r="N19" s="4" t="s">
        <v>15</v>
      </c>
      <c r="O19" s="13" t="s">
        <v>363</v>
      </c>
      <c r="P19" s="13" t="s">
        <v>364</v>
      </c>
      <c r="Q19" s="13" t="s">
        <v>365</v>
      </c>
      <c r="R19" s="4" t="s">
        <v>366</v>
      </c>
      <c r="S19" s="7" t="e">
        <f ca="1">IF(_xludf.ifna(VLOOKUP(B19,Parámetros!#REF!,1,0),"")="","No","Sí")</f>
        <v>#NAME?</v>
      </c>
      <c r="T19" s="7" t="str">
        <f t="shared" si="2"/>
        <v>No normativo</v>
      </c>
      <c r="U19" s="4" t="s">
        <v>195</v>
      </c>
      <c r="V19" s="4" t="s">
        <v>39</v>
      </c>
      <c r="W19" s="4" t="s">
        <v>196</v>
      </c>
      <c r="X19" s="4" t="s">
        <v>246</v>
      </c>
      <c r="Y19" s="4" t="s">
        <v>265</v>
      </c>
      <c r="Z19" s="5">
        <v>1981242601</v>
      </c>
      <c r="AA19" s="5">
        <v>1916940104</v>
      </c>
      <c r="AB19" s="4" t="s">
        <v>180</v>
      </c>
      <c r="AC19">
        <v>18</v>
      </c>
    </row>
    <row r="20" spans="1:29" ht="16.5" customHeight="1" x14ac:dyDescent="0.2">
      <c r="A20" s="6" t="str">
        <f t="shared" si="1"/>
        <v>SDATOOL-31340 $ Intercambio Electrónico de Archivos ACH y Cenit</v>
      </c>
      <c r="B20" s="4" t="s">
        <v>367</v>
      </c>
      <c r="C20" s="4" t="s">
        <v>368</v>
      </c>
      <c r="D20" s="4" t="s">
        <v>183</v>
      </c>
      <c r="E20" s="4" t="s">
        <v>369</v>
      </c>
      <c r="F20" s="4" t="s">
        <v>43</v>
      </c>
      <c r="G20" s="4" t="s">
        <v>185</v>
      </c>
      <c r="H20" s="4" t="s">
        <v>186</v>
      </c>
      <c r="I20" s="4" t="e">
        <v>#N/A</v>
      </c>
      <c r="J20" s="4" t="s">
        <v>204</v>
      </c>
      <c r="K20" s="4" t="s">
        <v>351</v>
      </c>
      <c r="L20" s="4" t="s">
        <v>189</v>
      </c>
      <c r="M20" s="4" t="s">
        <v>370</v>
      </c>
      <c r="N20" s="4" t="s">
        <v>22</v>
      </c>
      <c r="O20" s="13" t="s">
        <v>371</v>
      </c>
      <c r="P20" s="13" t="s">
        <v>372</v>
      </c>
      <c r="Q20" s="13" t="s">
        <v>373</v>
      </c>
      <c r="R20" s="4" t="s">
        <v>374</v>
      </c>
      <c r="S20" s="7" t="e">
        <f ca="1">IF(_xludf.ifna(VLOOKUP(B20,Parámetros!#REF!,1,0),"")="","No","Sí")</f>
        <v>#NAME?</v>
      </c>
      <c r="T20" s="7" t="str">
        <f t="shared" si="2"/>
        <v>No normativo</v>
      </c>
      <c r="U20" s="4" t="s">
        <v>195</v>
      </c>
      <c r="V20" s="4" t="s">
        <v>39</v>
      </c>
      <c r="W20" s="4" t="s">
        <v>212</v>
      </c>
      <c r="X20" s="4" t="s">
        <v>375</v>
      </c>
      <c r="Y20" s="4" t="s">
        <v>376</v>
      </c>
      <c r="Z20" s="5">
        <v>71591691</v>
      </c>
      <c r="AA20" s="5">
        <v>61862752</v>
      </c>
      <c r="AB20" s="4" t="s">
        <v>180</v>
      </c>
      <c r="AC20">
        <v>19</v>
      </c>
    </row>
    <row r="21" spans="1:29" ht="16.5" hidden="1" customHeight="1" x14ac:dyDescent="0.2">
      <c r="A21" s="6" t="str">
        <f t="shared" si="1"/>
        <v>SDATOOL-31457 $ Deal Compare Front</v>
      </c>
      <c r="B21" s="4" t="s">
        <v>377</v>
      </c>
      <c r="C21" s="4" t="s">
        <v>378</v>
      </c>
      <c r="D21" s="4" t="s">
        <v>183</v>
      </c>
      <c r="E21" s="4" t="s">
        <v>379</v>
      </c>
      <c r="F21" s="4" t="s">
        <v>21</v>
      </c>
      <c r="G21" s="4" t="s">
        <v>185</v>
      </c>
      <c r="H21" s="4" t="s">
        <v>203</v>
      </c>
      <c r="K21" s="4" t="s">
        <v>351</v>
      </c>
      <c r="L21" s="4" t="s">
        <v>206</v>
      </c>
      <c r="M21" s="4" t="s">
        <v>380</v>
      </c>
      <c r="N21" s="4" t="s">
        <v>29</v>
      </c>
      <c r="O21" s="13" t="s">
        <v>381</v>
      </c>
      <c r="P21" s="13" t="s">
        <v>381</v>
      </c>
      <c r="Q21" s="4" t="s">
        <v>382</v>
      </c>
      <c r="S21" s="7" t="e">
        <f ca="1">IF(_xludf.ifna(VLOOKUP(B21,Parámetros!#REF!,1,0),"")="","No","Sí")</f>
        <v>#NAME?</v>
      </c>
      <c r="T21" s="7" t="str">
        <f t="shared" si="2"/>
        <v>No normativo</v>
      </c>
      <c r="U21" s="4" t="s">
        <v>195</v>
      </c>
      <c r="V21" s="4" t="s">
        <v>39</v>
      </c>
      <c r="W21" s="4" t="s">
        <v>196</v>
      </c>
      <c r="X21" s="4" t="s">
        <v>246</v>
      </c>
      <c r="Y21" s="4" t="s">
        <v>265</v>
      </c>
      <c r="Z21" s="5">
        <v>384577790</v>
      </c>
      <c r="AA21" s="5">
        <v>384577790</v>
      </c>
      <c r="AB21" s="4" t="s">
        <v>215</v>
      </c>
      <c r="AC21">
        <v>20</v>
      </c>
    </row>
    <row r="22" spans="1:29" ht="16.5" customHeight="1" x14ac:dyDescent="0.2">
      <c r="A22" s="6" t="str">
        <f t="shared" si="1"/>
        <v>SDATOOL-31461 $ Liquidación Swaps Cross Crurrency Delivery</v>
      </c>
      <c r="B22" s="4" t="s">
        <v>383</v>
      </c>
      <c r="C22" s="4" t="s">
        <v>384</v>
      </c>
      <c r="D22" s="4" t="s">
        <v>183</v>
      </c>
      <c r="E22" s="4" t="s">
        <v>385</v>
      </c>
      <c r="F22" s="4" t="s">
        <v>21</v>
      </c>
      <c r="G22" s="4" t="s">
        <v>185</v>
      </c>
      <c r="H22" s="4" t="s">
        <v>186</v>
      </c>
      <c r="K22" s="4" t="s">
        <v>351</v>
      </c>
      <c r="L22" s="4" t="s">
        <v>386</v>
      </c>
      <c r="M22" s="4" t="s">
        <v>387</v>
      </c>
      <c r="N22" s="4" t="s">
        <v>29</v>
      </c>
      <c r="O22" s="13" t="s">
        <v>388</v>
      </c>
      <c r="P22" s="13" t="s">
        <v>231</v>
      </c>
      <c r="Q22" s="4" t="s">
        <v>382</v>
      </c>
      <c r="S22" s="7" t="e">
        <f ca="1">IF(_xludf.ifna(VLOOKUP(B22,Parámetros!#REF!,1,0),"")="","No","Sí")</f>
        <v>#NAME?</v>
      </c>
      <c r="T22" s="7" t="str">
        <f t="shared" si="2"/>
        <v>No normativo</v>
      </c>
      <c r="U22" s="4" t="s">
        <v>195</v>
      </c>
      <c r="V22" s="4" t="s">
        <v>39</v>
      </c>
      <c r="W22" s="4" t="s">
        <v>233</v>
      </c>
      <c r="X22" s="4" t="s">
        <v>234</v>
      </c>
      <c r="Y22" s="4" t="s">
        <v>389</v>
      </c>
      <c r="Z22" s="5">
        <v>342287969</v>
      </c>
      <c r="AA22" s="5">
        <v>275498694</v>
      </c>
      <c r="AB22" s="4" t="s">
        <v>215</v>
      </c>
      <c r="AC22">
        <v>21</v>
      </c>
    </row>
    <row r="23" spans="1:29" ht="16.5" customHeight="1" x14ac:dyDescent="0.2">
      <c r="A23" s="6" t="str">
        <f t="shared" si="1"/>
        <v>SDATOOL-32520 $ CDD Based Reporting - Colombia</v>
      </c>
      <c r="B23" s="4" t="s">
        <v>390</v>
      </c>
      <c r="C23" s="4" t="s">
        <v>391</v>
      </c>
      <c r="D23" s="4" t="s">
        <v>183</v>
      </c>
      <c r="E23" s="4" t="s">
        <v>392</v>
      </c>
      <c r="F23" s="4" t="s">
        <v>50</v>
      </c>
      <c r="G23" s="4" t="s">
        <v>185</v>
      </c>
      <c r="H23" s="4" t="s">
        <v>186</v>
      </c>
      <c r="J23" s="4" t="s">
        <v>204</v>
      </c>
      <c r="K23" s="4" t="s">
        <v>393</v>
      </c>
      <c r="L23" s="4" t="s">
        <v>394</v>
      </c>
      <c r="M23" s="4" t="s">
        <v>395</v>
      </c>
      <c r="N23" s="4" t="s">
        <v>15</v>
      </c>
      <c r="O23" s="13" t="s">
        <v>221</v>
      </c>
      <c r="P23" s="13" t="s">
        <v>396</v>
      </c>
      <c r="Q23" s="4" t="s">
        <v>397</v>
      </c>
      <c r="R23" s="4" t="s">
        <v>398</v>
      </c>
      <c r="S23" s="7" t="e">
        <f ca="1">IF(_xludf.ifna(VLOOKUP(B23,Parámetros!#REF!,1,0),"")="","No","Sí")</f>
        <v>#NAME?</v>
      </c>
      <c r="T23" s="7" t="str">
        <f t="shared" si="2"/>
        <v>No normativo</v>
      </c>
      <c r="U23" s="4" t="s">
        <v>399</v>
      </c>
      <c r="V23" s="4" t="s">
        <v>39</v>
      </c>
      <c r="W23" s="4" t="s">
        <v>212</v>
      </c>
      <c r="X23" s="4" t="s">
        <v>213</v>
      </c>
      <c r="Y23" s="4" t="s">
        <v>400</v>
      </c>
      <c r="Z23" s="5">
        <v>48216555520</v>
      </c>
      <c r="AA23" s="5">
        <v>40320735448</v>
      </c>
      <c r="AB23" s="4" t="s">
        <v>180</v>
      </c>
      <c r="AC23">
        <v>22</v>
      </c>
    </row>
    <row r="24" spans="1:29" ht="16.5" customHeight="1" x14ac:dyDescent="0.2">
      <c r="A24" s="6" t="str">
        <f t="shared" si="1"/>
        <v>SDATOOL-32905 $ Global Enterprises Mobile App (GEMA)</v>
      </c>
      <c r="B24" s="4" t="s">
        <v>104</v>
      </c>
      <c r="C24" s="4" t="s">
        <v>401</v>
      </c>
      <c r="D24" s="4" t="s">
        <v>183</v>
      </c>
      <c r="E24" s="4" t="s">
        <v>402</v>
      </c>
      <c r="F24" s="4" t="s">
        <v>28</v>
      </c>
      <c r="G24" s="4" t="s">
        <v>185</v>
      </c>
      <c r="H24" s="4" t="s">
        <v>186</v>
      </c>
      <c r="J24" s="4" t="s">
        <v>204</v>
      </c>
      <c r="K24" s="4" t="s">
        <v>351</v>
      </c>
      <c r="L24" s="4" t="s">
        <v>386</v>
      </c>
      <c r="M24" s="4" t="s">
        <v>403</v>
      </c>
      <c r="N24" s="4" t="s">
        <v>51</v>
      </c>
      <c r="O24" s="13" t="s">
        <v>404</v>
      </c>
      <c r="P24" s="13" t="s">
        <v>405</v>
      </c>
      <c r="Q24" s="13" t="s">
        <v>406</v>
      </c>
      <c r="R24" s="4" t="s">
        <v>366</v>
      </c>
      <c r="S24" s="7" t="e">
        <f ca="1">IF(_xludf.ifna(VLOOKUP(B24,Parámetros!#REF!,1,0),"")="","No","Sí")</f>
        <v>#NAME?</v>
      </c>
      <c r="T24" s="7" t="str">
        <f t="shared" si="2"/>
        <v>Normativo</v>
      </c>
      <c r="U24" s="4" t="s">
        <v>195</v>
      </c>
      <c r="V24" s="4" t="s">
        <v>39</v>
      </c>
      <c r="W24" s="4" t="s">
        <v>212</v>
      </c>
      <c r="X24" s="4" t="s">
        <v>407</v>
      </c>
      <c r="Y24" s="4" t="s">
        <v>408</v>
      </c>
      <c r="Z24" s="5">
        <v>4917085165</v>
      </c>
      <c r="AA24" s="5">
        <v>4828088475</v>
      </c>
      <c r="AB24" s="4" t="s">
        <v>215</v>
      </c>
      <c r="AC24">
        <v>23</v>
      </c>
    </row>
    <row r="25" spans="1:29" ht="16.5" customHeight="1" x14ac:dyDescent="0.2">
      <c r="A25" s="6" t="str">
        <f t="shared" si="1"/>
        <v>SDATOOL-32991 $ Comisión de Acceso a ATM's</v>
      </c>
      <c r="B25" s="4" t="s">
        <v>153</v>
      </c>
      <c r="C25" s="4" t="s">
        <v>409</v>
      </c>
      <c r="D25" s="4" t="s">
        <v>183</v>
      </c>
      <c r="E25" s="4" t="s">
        <v>410</v>
      </c>
      <c r="F25" s="4" t="s">
        <v>28</v>
      </c>
      <c r="G25" s="4" t="s">
        <v>185</v>
      </c>
      <c r="H25" s="4" t="s">
        <v>186</v>
      </c>
      <c r="I25" s="4" t="s">
        <v>186</v>
      </c>
      <c r="J25" s="4" t="s">
        <v>204</v>
      </c>
      <c r="K25" s="4" t="s">
        <v>251</v>
      </c>
      <c r="L25" s="4" t="s">
        <v>189</v>
      </c>
      <c r="M25" s="4" t="s">
        <v>411</v>
      </c>
      <c r="N25" s="4" t="s">
        <v>29</v>
      </c>
      <c r="O25" s="13" t="s">
        <v>412</v>
      </c>
      <c r="P25" s="13" t="s">
        <v>413</v>
      </c>
      <c r="Q25" s="13" t="s">
        <v>414</v>
      </c>
      <c r="R25" s="4" t="s">
        <v>366</v>
      </c>
      <c r="S25" s="7" t="e">
        <f ca="1">IF(_xludf.ifna(VLOOKUP(B25,Parámetros!#REF!,1,0),"")="","No","Sí")</f>
        <v>#NAME?</v>
      </c>
      <c r="T25" s="7" t="str">
        <f t="shared" si="2"/>
        <v>Normativo</v>
      </c>
      <c r="U25" s="4" t="s">
        <v>195</v>
      </c>
      <c r="V25" s="4" t="s">
        <v>39</v>
      </c>
      <c r="W25" s="4" t="s">
        <v>196</v>
      </c>
      <c r="X25" s="4" t="s">
        <v>246</v>
      </c>
      <c r="Y25" s="4" t="s">
        <v>265</v>
      </c>
      <c r="Z25" s="5">
        <v>1367255789</v>
      </c>
      <c r="AA25" s="5">
        <v>646007047</v>
      </c>
      <c r="AB25" s="4" t="s">
        <v>180</v>
      </c>
      <c r="AC25">
        <v>24</v>
      </c>
    </row>
    <row r="26" spans="1:29" ht="16.5" customHeight="1" x14ac:dyDescent="0.2">
      <c r="A26" s="6" t="str">
        <f t="shared" si="1"/>
        <v>SDATOOL-33065 $ Remesas BTS</v>
      </c>
      <c r="B26" s="4" t="s">
        <v>415</v>
      </c>
      <c r="C26" s="4" t="s">
        <v>416</v>
      </c>
      <c r="D26" s="4" t="s">
        <v>183</v>
      </c>
      <c r="E26" s="4" t="s">
        <v>417</v>
      </c>
      <c r="F26" s="4" t="s">
        <v>21</v>
      </c>
      <c r="G26" s="4" t="s">
        <v>185</v>
      </c>
      <c r="H26" s="4" t="s">
        <v>186</v>
      </c>
      <c r="I26" s="4" t="s">
        <v>186</v>
      </c>
      <c r="K26" s="4" t="s">
        <v>361</v>
      </c>
      <c r="L26" s="4" t="s">
        <v>189</v>
      </c>
      <c r="M26" s="4" t="s">
        <v>418</v>
      </c>
      <c r="N26" s="4" t="s">
        <v>36</v>
      </c>
      <c r="O26" s="13" t="s">
        <v>419</v>
      </c>
      <c r="P26" s="13" t="s">
        <v>419</v>
      </c>
      <c r="Q26" s="4" t="s">
        <v>420</v>
      </c>
      <c r="S26" s="7" t="e">
        <f ca="1">IF(_xludf.ifna(VLOOKUP(B26,Parámetros!#REF!,1,0),"")="","No","Sí")</f>
        <v>#NAME?</v>
      </c>
      <c r="T26" s="7" t="str">
        <f t="shared" si="2"/>
        <v>Normativo</v>
      </c>
      <c r="U26" s="4" t="s">
        <v>195</v>
      </c>
      <c r="V26" s="4" t="s">
        <v>39</v>
      </c>
      <c r="W26" s="4" t="s">
        <v>233</v>
      </c>
      <c r="X26" s="4" t="s">
        <v>234</v>
      </c>
      <c r="Y26" s="4" t="s">
        <v>389</v>
      </c>
      <c r="Z26" s="5">
        <v>242804619</v>
      </c>
      <c r="AA26" s="5">
        <v>324729307</v>
      </c>
      <c r="AB26" s="4" t="s">
        <v>180</v>
      </c>
      <c r="AC26">
        <v>25</v>
      </c>
    </row>
    <row r="27" spans="1:29" ht="16.5" hidden="1" customHeight="1" x14ac:dyDescent="0.2">
      <c r="A27" s="6" t="str">
        <f t="shared" si="1"/>
        <v>SDATOOL-33265 $ Remote Model Retail</v>
      </c>
      <c r="B27" s="4" t="s">
        <v>68</v>
      </c>
      <c r="C27" s="4" t="s">
        <v>421</v>
      </c>
      <c r="D27" s="4" t="s">
        <v>183</v>
      </c>
      <c r="E27" s="4" t="s">
        <v>422</v>
      </c>
      <c r="F27" s="4" t="s">
        <v>28</v>
      </c>
      <c r="G27" s="4" t="s">
        <v>185</v>
      </c>
      <c r="H27" s="4" t="s">
        <v>203</v>
      </c>
      <c r="J27" s="4" t="s">
        <v>204</v>
      </c>
      <c r="K27" s="4" t="s">
        <v>393</v>
      </c>
      <c r="L27" s="4" t="s">
        <v>206</v>
      </c>
      <c r="M27" s="4" t="s">
        <v>423</v>
      </c>
      <c r="N27" s="4" t="s">
        <v>29</v>
      </c>
      <c r="O27" s="13" t="s">
        <v>412</v>
      </c>
      <c r="P27" s="13" t="s">
        <v>424</v>
      </c>
      <c r="Q27" s="13" t="s">
        <v>425</v>
      </c>
      <c r="R27" s="4" t="s">
        <v>366</v>
      </c>
      <c r="S27" s="7" t="e">
        <f ca="1">IF(_xludf.ifna(VLOOKUP(B27,Parámetros!#REF!,1,0),"")="","No","Sí")</f>
        <v>#NAME?</v>
      </c>
      <c r="T27" s="7" t="str">
        <f t="shared" si="2"/>
        <v>Normativo</v>
      </c>
      <c r="U27" s="4" t="s">
        <v>195</v>
      </c>
      <c r="V27" s="4" t="s">
        <v>39</v>
      </c>
      <c r="W27" s="4" t="s">
        <v>196</v>
      </c>
      <c r="X27" s="4" t="s">
        <v>426</v>
      </c>
      <c r="Y27" s="4" t="s">
        <v>427</v>
      </c>
      <c r="Z27" s="5">
        <v>1827142413</v>
      </c>
      <c r="AA27" s="5">
        <v>1824593315</v>
      </c>
      <c r="AB27" s="4" t="s">
        <v>215</v>
      </c>
      <c r="AC27">
        <v>26</v>
      </c>
    </row>
    <row r="28" spans="1:29" ht="16.5" hidden="1" customHeight="1" x14ac:dyDescent="0.2">
      <c r="A28" s="6" t="str">
        <f t="shared" si="1"/>
        <v>SDATOOL-33292 $ Global Supply Chain Finance (démica)</v>
      </c>
      <c r="B28" s="4" t="s">
        <v>428</v>
      </c>
      <c r="C28" s="4" t="s">
        <v>429</v>
      </c>
      <c r="D28" s="4" t="s">
        <v>183</v>
      </c>
      <c r="E28" s="4" t="s">
        <v>430</v>
      </c>
      <c r="F28" s="4" t="s">
        <v>28</v>
      </c>
      <c r="G28" s="4" t="s">
        <v>185</v>
      </c>
      <c r="H28" s="4" t="s">
        <v>203</v>
      </c>
      <c r="J28" s="4" t="s">
        <v>431</v>
      </c>
      <c r="K28" s="4" t="s">
        <v>251</v>
      </c>
      <c r="L28" s="4" t="s">
        <v>206</v>
      </c>
      <c r="M28" s="4" t="s">
        <v>432</v>
      </c>
      <c r="N28" s="4" t="s">
        <v>22</v>
      </c>
      <c r="O28" s="13" t="s">
        <v>404</v>
      </c>
      <c r="P28" s="13" t="s">
        <v>433</v>
      </c>
      <c r="Q28" s="13" t="s">
        <v>434</v>
      </c>
      <c r="R28" s="4" t="s">
        <v>366</v>
      </c>
      <c r="S28" s="7" t="e">
        <f ca="1">IF(_xludf.ifna(VLOOKUP(B28,Parámetros!#REF!,1,0),"")="","No","Sí")</f>
        <v>#NAME?</v>
      </c>
      <c r="T28" s="7" t="str">
        <f t="shared" si="2"/>
        <v>No normativo</v>
      </c>
      <c r="U28" s="4" t="s">
        <v>195</v>
      </c>
      <c r="V28" s="4" t="s">
        <v>39</v>
      </c>
      <c r="W28" s="4" t="s">
        <v>233</v>
      </c>
      <c r="X28" s="4" t="s">
        <v>234</v>
      </c>
      <c r="Y28" s="4" t="s">
        <v>435</v>
      </c>
      <c r="Z28" s="5">
        <v>887005914</v>
      </c>
      <c r="AA28" s="5">
        <v>887005914</v>
      </c>
      <c r="AB28" s="4" t="s">
        <v>215</v>
      </c>
      <c r="AC28">
        <v>27</v>
      </c>
    </row>
    <row r="29" spans="1:29" ht="16.5" customHeight="1" x14ac:dyDescent="0.2">
      <c r="A29" s="6" t="str">
        <f t="shared" si="1"/>
        <v>SDATOOL-33408 $ Biocatch</v>
      </c>
      <c r="B29" s="4" t="s">
        <v>436</v>
      </c>
      <c r="C29" s="4" t="s">
        <v>437</v>
      </c>
      <c r="D29" s="4" t="s">
        <v>183</v>
      </c>
      <c r="E29" s="4" t="s">
        <v>438</v>
      </c>
      <c r="F29" s="4" t="s">
        <v>43</v>
      </c>
      <c r="G29" s="4" t="s">
        <v>185</v>
      </c>
      <c r="H29" s="4" t="s">
        <v>186</v>
      </c>
      <c r="I29" s="4" t="s">
        <v>186</v>
      </c>
      <c r="J29" s="4" t="s">
        <v>204</v>
      </c>
      <c r="K29" s="4" t="s">
        <v>251</v>
      </c>
      <c r="L29" s="4" t="s">
        <v>240</v>
      </c>
      <c r="M29" s="4" t="s">
        <v>439</v>
      </c>
      <c r="N29" s="4" t="s">
        <v>15</v>
      </c>
      <c r="O29" s="13" t="s">
        <v>371</v>
      </c>
      <c r="P29" s="13" t="s">
        <v>440</v>
      </c>
      <c r="Q29" s="13" t="s">
        <v>441</v>
      </c>
      <c r="R29" s="4" t="s">
        <v>442</v>
      </c>
      <c r="S29" s="7" t="e">
        <f ca="1">IF(_xludf.ifna(VLOOKUP(B29,Parámetros!#REF!,1,0),"")="","No","Sí")</f>
        <v>#NAME?</v>
      </c>
      <c r="T29" s="7" t="str">
        <f t="shared" si="2"/>
        <v>No normativo</v>
      </c>
      <c r="U29" s="4" t="s">
        <v>195</v>
      </c>
      <c r="V29" s="4" t="s">
        <v>39</v>
      </c>
      <c r="W29" s="4" t="s">
        <v>212</v>
      </c>
      <c r="X29" s="4" t="s">
        <v>375</v>
      </c>
      <c r="Y29" s="4" t="s">
        <v>443</v>
      </c>
      <c r="Z29" s="5">
        <v>17461910574</v>
      </c>
      <c r="AA29" s="5">
        <v>17461010934</v>
      </c>
      <c r="AB29" s="4" t="s">
        <v>180</v>
      </c>
      <c r="AC29">
        <v>28</v>
      </c>
    </row>
    <row r="30" spans="1:29" ht="16.5" customHeight="1" x14ac:dyDescent="0.2">
      <c r="A30" s="6" t="str">
        <f t="shared" si="1"/>
        <v>SDATOOL-33846 $ SREP Data Quality- BCBS239 - Colombia</v>
      </c>
      <c r="B30" s="4" t="s">
        <v>444</v>
      </c>
      <c r="C30" s="4" t="s">
        <v>445</v>
      </c>
      <c r="D30" s="4" t="s">
        <v>183</v>
      </c>
      <c r="E30" s="4" t="s">
        <v>446</v>
      </c>
      <c r="F30" s="4" t="s">
        <v>43</v>
      </c>
      <c r="G30" s="4" t="s">
        <v>185</v>
      </c>
      <c r="H30" s="4" t="s">
        <v>186</v>
      </c>
      <c r="J30" s="4" t="s">
        <v>204</v>
      </c>
      <c r="K30" s="4" t="s">
        <v>251</v>
      </c>
      <c r="L30" s="4" t="s">
        <v>394</v>
      </c>
      <c r="M30" s="4" t="s">
        <v>447</v>
      </c>
      <c r="N30" s="4" t="s">
        <v>15</v>
      </c>
      <c r="O30" s="13" t="s">
        <v>448</v>
      </c>
      <c r="P30" s="13" t="s">
        <v>448</v>
      </c>
      <c r="Q30" s="13" t="s">
        <v>255</v>
      </c>
      <c r="R30" s="4" t="s">
        <v>449</v>
      </c>
      <c r="S30" s="7" t="e">
        <f ca="1">IF(_xludf.ifna(VLOOKUP(B30,Parámetros!#REF!,1,0),"")="","No","Sí")</f>
        <v>#NAME?</v>
      </c>
      <c r="T30" s="7" t="str">
        <f t="shared" si="2"/>
        <v>No normativo</v>
      </c>
      <c r="U30" s="4" t="s">
        <v>224</v>
      </c>
      <c r="V30" s="4" t="s">
        <v>39</v>
      </c>
      <c r="W30" s="4" t="s">
        <v>212</v>
      </c>
      <c r="X30" s="4" t="s">
        <v>213</v>
      </c>
      <c r="Y30" s="4" t="s">
        <v>400</v>
      </c>
      <c r="Z30" s="5">
        <v>11996000741</v>
      </c>
      <c r="AA30" s="5">
        <v>11401143413</v>
      </c>
      <c r="AB30" s="4" t="s">
        <v>180</v>
      </c>
      <c r="AC30">
        <v>29</v>
      </c>
    </row>
    <row r="31" spans="1:29" ht="16.5" customHeight="1" x14ac:dyDescent="0.2">
      <c r="A31" s="6" t="str">
        <f t="shared" si="1"/>
        <v>SDATOOL-33847 $ Resolución 0042 DIAN Documento Soporte</v>
      </c>
      <c r="B31" s="4" t="s">
        <v>450</v>
      </c>
      <c r="C31" s="4" t="s">
        <v>451</v>
      </c>
      <c r="D31" s="4" t="s">
        <v>183</v>
      </c>
      <c r="E31" s="4" t="s">
        <v>452</v>
      </c>
      <c r="F31" s="4" t="s">
        <v>50</v>
      </c>
      <c r="G31" s="4" t="s">
        <v>185</v>
      </c>
      <c r="H31" s="4" t="s">
        <v>186</v>
      </c>
      <c r="J31" s="4" t="s">
        <v>204</v>
      </c>
      <c r="K31" s="4" t="s">
        <v>453</v>
      </c>
      <c r="L31" s="4" t="s">
        <v>314</v>
      </c>
      <c r="M31" s="4" t="s">
        <v>454</v>
      </c>
      <c r="N31" s="4" t="s">
        <v>15</v>
      </c>
      <c r="O31" s="13" t="s">
        <v>278</v>
      </c>
      <c r="P31" s="13" t="s">
        <v>455</v>
      </c>
      <c r="Q31" s="13" t="s">
        <v>456</v>
      </c>
      <c r="R31" s="4" t="s">
        <v>457</v>
      </c>
      <c r="S31" s="7" t="e">
        <f ca="1">IF(_xludf.ifna(VLOOKUP(B31,Parámetros!#REF!,1,0),"")="","No","Sí")</f>
        <v>#NAME?</v>
      </c>
      <c r="T31" s="7" t="str">
        <f t="shared" si="2"/>
        <v>No normativo</v>
      </c>
      <c r="U31" s="4" t="s">
        <v>224</v>
      </c>
      <c r="V31" s="4" t="s">
        <v>39</v>
      </c>
      <c r="W31" s="4" t="s">
        <v>196</v>
      </c>
      <c r="X31" s="4" t="s">
        <v>246</v>
      </c>
      <c r="Y31" s="4" t="s">
        <v>265</v>
      </c>
      <c r="Z31" s="5">
        <v>1273354022</v>
      </c>
      <c r="AA31" s="5">
        <v>936685358</v>
      </c>
      <c r="AB31" s="4" t="s">
        <v>180</v>
      </c>
      <c r="AC31">
        <v>30</v>
      </c>
    </row>
    <row r="32" spans="1:29" ht="16.5" customHeight="1" x14ac:dyDescent="0.2">
      <c r="A32" s="6" t="str">
        <f t="shared" si="1"/>
        <v>SDATOOL-33862 $ NDoD Accounting</v>
      </c>
      <c r="B32" s="4" t="s">
        <v>458</v>
      </c>
      <c r="C32" s="4" t="s">
        <v>459</v>
      </c>
      <c r="D32" s="4" t="s">
        <v>183</v>
      </c>
      <c r="E32" s="4" t="s">
        <v>460</v>
      </c>
      <c r="F32" s="4" t="s">
        <v>50</v>
      </c>
      <c r="G32" s="4" t="s">
        <v>185</v>
      </c>
      <c r="H32" s="4" t="s">
        <v>186</v>
      </c>
      <c r="J32" s="4" t="s">
        <v>204</v>
      </c>
      <c r="K32" s="4" t="s">
        <v>453</v>
      </c>
      <c r="L32" s="4" t="s">
        <v>189</v>
      </c>
      <c r="M32" s="4" t="s">
        <v>269</v>
      </c>
      <c r="N32" s="4" t="s">
        <v>15</v>
      </c>
      <c r="O32" s="13" t="s">
        <v>461</v>
      </c>
      <c r="P32" s="13" t="s">
        <v>462</v>
      </c>
      <c r="Q32" s="13" t="s">
        <v>318</v>
      </c>
      <c r="R32" s="4" t="s">
        <v>463</v>
      </c>
      <c r="S32" s="7" t="e">
        <f ca="1">IF(_xludf.ifna(VLOOKUP(B32,Parámetros!#REF!,1,0),"")="","No","Sí")</f>
        <v>#NAME?</v>
      </c>
      <c r="T32" s="7" t="str">
        <f t="shared" si="2"/>
        <v>No normativo</v>
      </c>
      <c r="U32" s="4" t="s">
        <v>224</v>
      </c>
      <c r="V32" s="4" t="s">
        <v>39</v>
      </c>
      <c r="W32" s="4" t="s">
        <v>196</v>
      </c>
      <c r="X32" s="4" t="s">
        <v>271</v>
      </c>
      <c r="Y32" s="4" t="s">
        <v>272</v>
      </c>
      <c r="Z32" s="5">
        <v>431443478</v>
      </c>
      <c r="AA32" s="5">
        <v>431443478</v>
      </c>
      <c r="AB32" s="4" t="s">
        <v>215</v>
      </c>
      <c r="AC32">
        <v>31</v>
      </c>
    </row>
    <row r="33" spans="1:29" ht="16.5" customHeight="1" x14ac:dyDescent="0.2">
      <c r="A33" s="6" t="str">
        <f t="shared" si="1"/>
        <v>SDATOOL-33907 $ Manejo Fiscal Prima o Descuento Renta Fija</v>
      </c>
      <c r="B33" s="4" t="s">
        <v>464</v>
      </c>
      <c r="C33" s="4" t="s">
        <v>465</v>
      </c>
      <c r="D33" s="4" t="s">
        <v>183</v>
      </c>
      <c r="E33" s="4" t="s">
        <v>466</v>
      </c>
      <c r="F33" s="4" t="s">
        <v>50</v>
      </c>
      <c r="G33" s="4" t="s">
        <v>185</v>
      </c>
      <c r="H33" s="4" t="s">
        <v>186</v>
      </c>
      <c r="K33" s="4" t="s">
        <v>251</v>
      </c>
      <c r="L33" s="4" t="s">
        <v>394</v>
      </c>
      <c r="M33" s="4" t="s">
        <v>467</v>
      </c>
      <c r="N33" s="4" t="s">
        <v>15</v>
      </c>
      <c r="O33" s="13" t="s">
        <v>278</v>
      </c>
      <c r="P33" s="13" t="s">
        <v>279</v>
      </c>
      <c r="Q33" s="13" t="s">
        <v>193</v>
      </c>
      <c r="R33" s="4" t="s">
        <v>468</v>
      </c>
      <c r="S33" s="7" t="e">
        <f ca="1">IF(_xludf.ifna(VLOOKUP(B33,Parámetros!#REF!,1,0),"")="","No","Sí")</f>
        <v>#NAME?</v>
      </c>
      <c r="T33" s="7" t="str">
        <f t="shared" si="2"/>
        <v>No normativo</v>
      </c>
      <c r="U33" s="4" t="s">
        <v>224</v>
      </c>
      <c r="V33" s="4" t="s">
        <v>39</v>
      </c>
      <c r="W33" s="4" t="s">
        <v>196</v>
      </c>
      <c r="X33" s="4" t="s">
        <v>246</v>
      </c>
      <c r="Y33" s="4" t="s">
        <v>265</v>
      </c>
      <c r="Z33" s="5">
        <v>194310520</v>
      </c>
      <c r="AA33" s="5">
        <v>336310520</v>
      </c>
      <c r="AB33" s="4" t="s">
        <v>180</v>
      </c>
      <c r="AC33">
        <v>32</v>
      </c>
    </row>
    <row r="34" spans="1:29" ht="16.5" customHeight="1" x14ac:dyDescent="0.2">
      <c r="A34" s="6" t="str">
        <f t="shared" si="1"/>
        <v>SDATOOL-33947 $ Sinergias Bancamia</v>
      </c>
      <c r="B34" s="4" t="s">
        <v>469</v>
      </c>
      <c r="C34" s="4" t="s">
        <v>470</v>
      </c>
      <c r="D34" s="4" t="s">
        <v>183</v>
      </c>
      <c r="E34" s="4" t="s">
        <v>471</v>
      </c>
      <c r="F34" s="4" t="s">
        <v>28</v>
      </c>
      <c r="G34" s="4" t="s">
        <v>185</v>
      </c>
      <c r="H34" s="4" t="s">
        <v>186</v>
      </c>
      <c r="I34" s="4" t="e">
        <v>#N/A</v>
      </c>
      <c r="J34" s="4" t="s">
        <v>187</v>
      </c>
      <c r="K34" s="4" t="s">
        <v>453</v>
      </c>
      <c r="L34" s="4" t="s">
        <v>314</v>
      </c>
      <c r="M34" s="4" t="s">
        <v>472</v>
      </c>
      <c r="N34" s="4" t="s">
        <v>22</v>
      </c>
      <c r="O34" s="13" t="s">
        <v>473</v>
      </c>
      <c r="P34" s="13" t="s">
        <v>474</v>
      </c>
      <c r="Q34" s="13" t="s">
        <v>475</v>
      </c>
      <c r="R34" s="4" t="s">
        <v>366</v>
      </c>
      <c r="S34" s="7" t="e">
        <f ca="1">IF(_xludf.ifna(VLOOKUP(B34,Parámetros!#REF!,1,0),"")="","No","Sí")</f>
        <v>#NAME?</v>
      </c>
      <c r="T34" s="7" t="str">
        <f t="shared" si="2"/>
        <v>No normativo</v>
      </c>
      <c r="U34" s="4" t="s">
        <v>195</v>
      </c>
      <c r="V34" s="4" t="s">
        <v>39</v>
      </c>
      <c r="W34" s="4" t="s">
        <v>196</v>
      </c>
      <c r="X34" s="4" t="s">
        <v>426</v>
      </c>
      <c r="Y34" s="4" t="s">
        <v>427</v>
      </c>
      <c r="Z34" s="5">
        <v>847139459</v>
      </c>
      <c r="AA34" s="5">
        <v>463492127</v>
      </c>
      <c r="AB34" s="4" t="s">
        <v>180</v>
      </c>
      <c r="AC34">
        <v>33</v>
      </c>
    </row>
    <row r="35" spans="1:29" ht="16.5" customHeight="1" x14ac:dyDescent="0.2">
      <c r="A35" s="6" t="str">
        <f t="shared" si="1"/>
        <v>SDATOOL-34157 $ Evolutivo Parthnership - Crédito en punto de venta de Aliados</v>
      </c>
      <c r="B35" s="4" t="s">
        <v>476</v>
      </c>
      <c r="C35" s="4" t="s">
        <v>477</v>
      </c>
      <c r="D35" s="4" t="s">
        <v>183</v>
      </c>
      <c r="E35" s="4" t="s">
        <v>478</v>
      </c>
      <c r="F35" s="4" t="s">
        <v>28</v>
      </c>
      <c r="G35" s="4" t="s">
        <v>185</v>
      </c>
      <c r="H35" s="4" t="s">
        <v>186</v>
      </c>
      <c r="J35" s="4" t="s">
        <v>204</v>
      </c>
      <c r="K35" s="4" t="s">
        <v>453</v>
      </c>
      <c r="L35" s="4" t="s">
        <v>386</v>
      </c>
      <c r="M35" s="4" t="s">
        <v>479</v>
      </c>
      <c r="N35" s="4" t="s">
        <v>29</v>
      </c>
      <c r="O35" s="13" t="s">
        <v>480</v>
      </c>
      <c r="Q35" s="13" t="s">
        <v>425</v>
      </c>
      <c r="R35" s="4" t="s">
        <v>366</v>
      </c>
      <c r="S35" s="7" t="e">
        <f ca="1">IF(_xludf.ifna(VLOOKUP(B35,Parámetros!#REF!,1,0),"")="","No","Sí")</f>
        <v>#NAME?</v>
      </c>
      <c r="T35" s="7" t="str">
        <f t="shared" si="2"/>
        <v>No normativo</v>
      </c>
      <c r="U35" s="4" t="s">
        <v>195</v>
      </c>
      <c r="V35" s="4" t="s">
        <v>39</v>
      </c>
      <c r="W35" s="4" t="s">
        <v>233</v>
      </c>
      <c r="X35" s="4" t="s">
        <v>92</v>
      </c>
      <c r="Y35" s="4" t="s">
        <v>481</v>
      </c>
      <c r="Z35" s="5">
        <v>1585081718</v>
      </c>
      <c r="AA35" s="5">
        <v>1496634732</v>
      </c>
      <c r="AB35" s="4" t="s">
        <v>215</v>
      </c>
      <c r="AC35">
        <v>34</v>
      </c>
    </row>
    <row r="36" spans="1:29" ht="16.5" customHeight="1" x14ac:dyDescent="0.2">
      <c r="A36" s="6" t="str">
        <f t="shared" si="1"/>
        <v>SDATOOL-34168 $ DWP Banca Wealth Colombia</v>
      </c>
      <c r="B36" s="4" t="s">
        <v>482</v>
      </c>
      <c r="C36" s="4" t="s">
        <v>483</v>
      </c>
      <c r="D36" s="4" t="s">
        <v>183</v>
      </c>
      <c r="E36" s="4" t="s">
        <v>484</v>
      </c>
      <c r="F36" s="4" t="s">
        <v>28</v>
      </c>
      <c r="G36" s="4" t="s">
        <v>185</v>
      </c>
      <c r="H36" s="4" t="s">
        <v>186</v>
      </c>
      <c r="J36" s="4" t="s">
        <v>187</v>
      </c>
      <c r="K36" s="4" t="s">
        <v>485</v>
      </c>
      <c r="L36" s="4" t="s">
        <v>386</v>
      </c>
      <c r="M36" s="4" t="s">
        <v>486</v>
      </c>
      <c r="N36" s="4" t="s">
        <v>29</v>
      </c>
      <c r="O36" s="13" t="s">
        <v>412</v>
      </c>
      <c r="P36" s="13" t="s">
        <v>487</v>
      </c>
      <c r="Q36" s="13" t="s">
        <v>488</v>
      </c>
      <c r="R36" s="4" t="s">
        <v>366</v>
      </c>
      <c r="S36" s="7" t="e">
        <f ca="1">IF(_xludf.ifna(VLOOKUP(B36,Parámetros!#REF!,1,0),"")="","No","Sí")</f>
        <v>#NAME?</v>
      </c>
      <c r="T36" s="7" t="str">
        <f t="shared" si="2"/>
        <v>No normativo</v>
      </c>
      <c r="U36" s="4" t="s">
        <v>195</v>
      </c>
      <c r="V36" s="4" t="s">
        <v>39</v>
      </c>
      <c r="W36" s="4" t="s">
        <v>233</v>
      </c>
      <c r="X36" s="4" t="s">
        <v>234</v>
      </c>
      <c r="Y36" s="4" t="s">
        <v>489</v>
      </c>
      <c r="Z36" s="5">
        <v>716606133</v>
      </c>
      <c r="AA36" s="5">
        <v>600410916</v>
      </c>
      <c r="AB36" s="4" t="s">
        <v>215</v>
      </c>
      <c r="AC36">
        <v>35</v>
      </c>
    </row>
    <row r="37" spans="1:29" ht="16.5" hidden="1" customHeight="1" x14ac:dyDescent="0.2">
      <c r="A37" s="6" t="str">
        <f t="shared" si="1"/>
        <v>SDATOOL-34598 $ Macros Procesos de Negocio</v>
      </c>
      <c r="B37" s="4" t="s">
        <v>490</v>
      </c>
      <c r="C37" s="4" t="s">
        <v>491</v>
      </c>
      <c r="D37" s="4" t="s">
        <v>183</v>
      </c>
      <c r="E37" s="4" t="s">
        <v>492</v>
      </c>
      <c r="F37" s="4" t="s">
        <v>21</v>
      </c>
      <c r="G37" s="4" t="s">
        <v>185</v>
      </c>
      <c r="H37" s="4" t="s">
        <v>203</v>
      </c>
      <c r="K37" s="4" t="s">
        <v>361</v>
      </c>
      <c r="L37" s="4" t="s">
        <v>206</v>
      </c>
      <c r="M37" s="4" t="s">
        <v>493</v>
      </c>
      <c r="N37" s="4" t="s">
        <v>36</v>
      </c>
      <c r="O37" s="13" t="s">
        <v>381</v>
      </c>
      <c r="P37" s="13" t="s">
        <v>381</v>
      </c>
      <c r="Q37" s="13" t="s">
        <v>193</v>
      </c>
      <c r="S37" s="7" t="e">
        <f ca="1">IF(_xludf.ifna(VLOOKUP(B37,Parámetros!#REF!,1,0),"")="","No","Sí")</f>
        <v>#NAME?</v>
      </c>
      <c r="T37" s="7" t="str">
        <f t="shared" si="2"/>
        <v>No normativo</v>
      </c>
      <c r="U37" s="4" t="s">
        <v>195</v>
      </c>
      <c r="V37" s="4" t="s">
        <v>39</v>
      </c>
      <c r="W37" s="4" t="s">
        <v>196</v>
      </c>
      <c r="X37" s="4" t="s">
        <v>225</v>
      </c>
      <c r="Y37" s="4" t="s">
        <v>320</v>
      </c>
      <c r="Z37" s="5">
        <v>278522968</v>
      </c>
      <c r="AA37" s="5">
        <v>278522968</v>
      </c>
      <c r="AB37" s="4" t="s">
        <v>215</v>
      </c>
      <c r="AC37">
        <v>36</v>
      </c>
    </row>
    <row r="38" spans="1:29" ht="16.5" customHeight="1" x14ac:dyDescent="0.2">
      <c r="A38" s="6" t="str">
        <f t="shared" si="1"/>
        <v>SDATOOL-34750 $ Seguros - Suscripción/Siniestros Seguros Licitación</v>
      </c>
      <c r="B38" s="4" t="s">
        <v>494</v>
      </c>
      <c r="C38" s="4" t="s">
        <v>495</v>
      </c>
      <c r="D38" s="4" t="s">
        <v>183</v>
      </c>
      <c r="E38" s="4" t="s">
        <v>496</v>
      </c>
      <c r="F38" s="4" t="s">
        <v>28</v>
      </c>
      <c r="G38" s="4" t="s">
        <v>185</v>
      </c>
      <c r="H38" s="4" t="s">
        <v>186</v>
      </c>
      <c r="J38" s="4" t="s">
        <v>204</v>
      </c>
      <c r="K38" s="4" t="s">
        <v>361</v>
      </c>
      <c r="L38" s="4" t="s">
        <v>189</v>
      </c>
      <c r="M38" s="4" t="s">
        <v>497</v>
      </c>
      <c r="N38" s="4" t="s">
        <v>29</v>
      </c>
      <c r="O38" s="13" t="s">
        <v>498</v>
      </c>
      <c r="P38" s="13" t="s">
        <v>499</v>
      </c>
      <c r="Q38" s="13" t="s">
        <v>425</v>
      </c>
      <c r="R38" s="4" t="s">
        <v>500</v>
      </c>
      <c r="S38" s="7" t="e">
        <f ca="1">IF(_xludf.ifna(VLOOKUP(B38,Parámetros!#REF!,1,0),"")="","No","Sí")</f>
        <v>#NAME?</v>
      </c>
      <c r="T38" s="7" t="str">
        <f t="shared" si="2"/>
        <v>No normativo</v>
      </c>
      <c r="U38" s="4" t="s">
        <v>195</v>
      </c>
      <c r="V38" s="4" t="s">
        <v>347</v>
      </c>
      <c r="W38" s="4" t="s">
        <v>233</v>
      </c>
      <c r="X38" s="4" t="s">
        <v>234</v>
      </c>
      <c r="Y38" s="4" t="s">
        <v>501</v>
      </c>
      <c r="Z38" s="5">
        <v>645328691</v>
      </c>
      <c r="AA38" s="5">
        <v>645328691</v>
      </c>
      <c r="AB38" s="4" t="s">
        <v>180</v>
      </c>
      <c r="AC38">
        <v>37</v>
      </c>
    </row>
    <row r="39" spans="1:29" ht="16.5" hidden="1" customHeight="1" x14ac:dyDescent="0.2">
      <c r="A39" s="6" t="str">
        <f t="shared" si="1"/>
        <v>SDATOOL-34751 $ Seguros - Automatización Bancaempresas</v>
      </c>
      <c r="B39" s="4" t="s">
        <v>502</v>
      </c>
      <c r="C39" s="4" t="s">
        <v>503</v>
      </c>
      <c r="D39" s="4" t="s">
        <v>183</v>
      </c>
      <c r="E39" s="4" t="s">
        <v>504</v>
      </c>
      <c r="F39" s="4" t="s">
        <v>28</v>
      </c>
      <c r="G39" s="4" t="s">
        <v>185</v>
      </c>
      <c r="H39" s="4" t="s">
        <v>203</v>
      </c>
      <c r="J39" s="4" t="s">
        <v>204</v>
      </c>
      <c r="K39" s="4" t="s">
        <v>361</v>
      </c>
      <c r="L39" s="4" t="s">
        <v>206</v>
      </c>
      <c r="M39" s="4" t="s">
        <v>497</v>
      </c>
      <c r="N39" s="4" t="s">
        <v>51</v>
      </c>
      <c r="O39" s="13" t="s">
        <v>343</v>
      </c>
      <c r="P39" s="13" t="s">
        <v>344</v>
      </c>
      <c r="Q39" s="13" t="s">
        <v>345</v>
      </c>
      <c r="R39" s="4" t="s">
        <v>505</v>
      </c>
      <c r="S39" s="7" t="e">
        <f ca="1">IF(_xludf.ifna(VLOOKUP(B39,Parámetros!#REF!,1,0),"")="","No","Sí")</f>
        <v>#NAME?</v>
      </c>
      <c r="T39" s="7" t="str">
        <f t="shared" si="2"/>
        <v>No normativo</v>
      </c>
      <c r="U39" s="4" t="s">
        <v>195</v>
      </c>
      <c r="V39" s="4" t="s">
        <v>347</v>
      </c>
      <c r="W39" s="4" t="s">
        <v>233</v>
      </c>
      <c r="X39" s="4" t="s">
        <v>234</v>
      </c>
      <c r="Y39" s="4" t="s">
        <v>501</v>
      </c>
      <c r="Z39" s="5">
        <v>475250000</v>
      </c>
      <c r="AA39" s="5">
        <v>475250000</v>
      </c>
      <c r="AB39" s="4" t="s">
        <v>215</v>
      </c>
      <c r="AC39">
        <v>38</v>
      </c>
    </row>
    <row r="40" spans="1:29" ht="16.5" hidden="1" customHeight="1" x14ac:dyDescent="0.2">
      <c r="A40" s="6" t="str">
        <f t="shared" si="1"/>
        <v>SDATOOL-34752 $ Seguros - Reportería y Data Quality</v>
      </c>
      <c r="B40" s="4" t="s">
        <v>506</v>
      </c>
      <c r="C40" s="4" t="s">
        <v>507</v>
      </c>
      <c r="D40" s="4" t="s">
        <v>183</v>
      </c>
      <c r="E40" s="4" t="s">
        <v>508</v>
      </c>
      <c r="F40" s="4" t="s">
        <v>28</v>
      </c>
      <c r="G40" s="4" t="s">
        <v>185</v>
      </c>
      <c r="H40" s="4" t="s">
        <v>203</v>
      </c>
      <c r="J40" s="4" t="s">
        <v>204</v>
      </c>
      <c r="K40" s="4" t="s">
        <v>361</v>
      </c>
      <c r="L40" s="4" t="s">
        <v>206</v>
      </c>
      <c r="M40" s="4" t="s">
        <v>497</v>
      </c>
      <c r="N40" s="4" t="s">
        <v>29</v>
      </c>
      <c r="O40" s="13" t="s">
        <v>343</v>
      </c>
      <c r="P40" s="13" t="s">
        <v>344</v>
      </c>
      <c r="Q40" s="13" t="s">
        <v>345</v>
      </c>
      <c r="R40" s="4" t="s">
        <v>509</v>
      </c>
      <c r="S40" s="7" t="e">
        <f ca="1">IF(_xludf.ifna(VLOOKUP(B40,Parámetros!#REF!,1,0),"")="","No","Sí")</f>
        <v>#NAME?</v>
      </c>
      <c r="T40" s="7" t="str">
        <f t="shared" si="2"/>
        <v>No normativo</v>
      </c>
      <c r="U40" s="4" t="s">
        <v>195</v>
      </c>
      <c r="V40" s="4" t="s">
        <v>347</v>
      </c>
      <c r="W40" s="4" t="s">
        <v>233</v>
      </c>
      <c r="X40" s="4" t="s">
        <v>234</v>
      </c>
      <c r="Y40" s="4" t="s">
        <v>501</v>
      </c>
      <c r="Z40" s="5">
        <v>444981467</v>
      </c>
      <c r="AA40" s="5">
        <v>444981467</v>
      </c>
      <c r="AB40" s="4" t="s">
        <v>215</v>
      </c>
      <c r="AC40">
        <v>39</v>
      </c>
    </row>
    <row r="41" spans="1:29" ht="16.5" customHeight="1" x14ac:dyDescent="0.2">
      <c r="A41" s="6" t="str">
        <f t="shared" si="1"/>
        <v>SDATOOL-34755 $ Seguros - Obsolescencia 2021</v>
      </c>
      <c r="B41" s="4" t="s">
        <v>510</v>
      </c>
      <c r="C41" s="4" t="s">
        <v>511</v>
      </c>
      <c r="D41" s="4" t="s">
        <v>183</v>
      </c>
      <c r="E41" s="4" t="s">
        <v>512</v>
      </c>
      <c r="F41" s="4" t="s">
        <v>28</v>
      </c>
      <c r="G41" s="4" t="s">
        <v>185</v>
      </c>
      <c r="H41" s="4" t="s">
        <v>186</v>
      </c>
      <c r="J41" s="4" t="s">
        <v>204</v>
      </c>
      <c r="K41" s="4" t="s">
        <v>361</v>
      </c>
      <c r="L41" s="4" t="s">
        <v>189</v>
      </c>
      <c r="M41" s="4" t="s">
        <v>497</v>
      </c>
      <c r="N41" s="4" t="s">
        <v>29</v>
      </c>
      <c r="O41" s="13" t="s">
        <v>345</v>
      </c>
      <c r="P41" s="13" t="s">
        <v>344</v>
      </c>
      <c r="Q41" s="13" t="s">
        <v>345</v>
      </c>
      <c r="R41" s="4" t="s">
        <v>513</v>
      </c>
      <c r="S41" s="7" t="e">
        <f ca="1">IF(_xludf.ifna(VLOOKUP(B41,Parámetros!#REF!,1,0),"")="","No","Sí")</f>
        <v>#NAME?</v>
      </c>
      <c r="T41" s="7" t="str">
        <f t="shared" si="2"/>
        <v>No normativo</v>
      </c>
      <c r="U41" s="4" t="s">
        <v>195</v>
      </c>
      <c r="V41" s="4" t="s">
        <v>347</v>
      </c>
      <c r="W41" s="4" t="s">
        <v>233</v>
      </c>
      <c r="X41" s="4" t="s">
        <v>234</v>
      </c>
      <c r="Y41" s="4" t="s">
        <v>501</v>
      </c>
      <c r="Z41" s="5">
        <v>767800000</v>
      </c>
      <c r="AA41" s="5">
        <v>767800000</v>
      </c>
      <c r="AB41" s="4" t="s">
        <v>215</v>
      </c>
      <c r="AC41">
        <v>40</v>
      </c>
    </row>
    <row r="42" spans="1:29" ht="16.5" hidden="1" customHeight="1" x14ac:dyDescent="0.2">
      <c r="A42" s="6" t="str">
        <f t="shared" si="1"/>
        <v>SDATOOL-34778 $ [Growth] Adelanto de venta</v>
      </c>
      <c r="B42" s="4" t="s">
        <v>514</v>
      </c>
      <c r="C42" s="4" t="s">
        <v>515</v>
      </c>
      <c r="D42" s="4" t="s">
        <v>183</v>
      </c>
      <c r="E42" s="4" t="s">
        <v>516</v>
      </c>
      <c r="F42" s="4" t="s">
        <v>28</v>
      </c>
      <c r="G42" s="4" t="s">
        <v>185</v>
      </c>
      <c r="H42" s="4" t="s">
        <v>203</v>
      </c>
      <c r="J42" s="4" t="s">
        <v>204</v>
      </c>
      <c r="K42" s="4" t="s">
        <v>453</v>
      </c>
      <c r="L42" s="4" t="s">
        <v>206</v>
      </c>
      <c r="M42" s="4" t="s">
        <v>517</v>
      </c>
      <c r="N42" s="4" t="s">
        <v>51</v>
      </c>
      <c r="O42" s="13" t="s">
        <v>404</v>
      </c>
      <c r="P42" s="13" t="s">
        <v>518</v>
      </c>
      <c r="Q42" s="13" t="s">
        <v>519</v>
      </c>
      <c r="R42" s="4" t="s">
        <v>366</v>
      </c>
      <c r="S42" s="7" t="e">
        <f ca="1">IF(_xludf.ifna(VLOOKUP(B42,Parámetros!#REF!,1,0),"")="","No","Sí")</f>
        <v>#NAME?</v>
      </c>
      <c r="T42" s="7" t="str">
        <f t="shared" si="2"/>
        <v>No normativo</v>
      </c>
      <c r="U42" s="4" t="s">
        <v>195</v>
      </c>
      <c r="V42" s="4" t="s">
        <v>39</v>
      </c>
      <c r="W42" s="4" t="s">
        <v>233</v>
      </c>
      <c r="X42" s="4" t="s">
        <v>234</v>
      </c>
      <c r="Y42" s="4" t="s">
        <v>520</v>
      </c>
      <c r="Z42" s="5">
        <v>2073002530</v>
      </c>
      <c r="AA42" s="5">
        <v>2073002530</v>
      </c>
      <c r="AB42" s="4" t="s">
        <v>215</v>
      </c>
      <c r="AC42">
        <v>41</v>
      </c>
    </row>
    <row r="43" spans="1:29" ht="16.5" customHeight="1" x14ac:dyDescent="0.2">
      <c r="A43" s="6" t="str">
        <f t="shared" si="1"/>
        <v>SDATOOL-34782 $ Solicitud de cupo DIY</v>
      </c>
      <c r="B43" s="4" t="s">
        <v>521</v>
      </c>
      <c r="C43" s="4" t="s">
        <v>522</v>
      </c>
      <c r="D43" s="4" t="s">
        <v>183</v>
      </c>
      <c r="E43" s="4" t="s">
        <v>523</v>
      </c>
      <c r="F43" s="4" t="s">
        <v>28</v>
      </c>
      <c r="G43" s="4" t="s">
        <v>185</v>
      </c>
      <c r="H43" s="4" t="s">
        <v>186</v>
      </c>
      <c r="J43" s="4" t="s">
        <v>204</v>
      </c>
      <c r="K43" s="4" t="s">
        <v>453</v>
      </c>
      <c r="L43" s="4" t="s">
        <v>386</v>
      </c>
      <c r="M43" s="4" t="s">
        <v>524</v>
      </c>
      <c r="N43" s="4" t="s">
        <v>51</v>
      </c>
      <c r="O43" s="13" t="s">
        <v>404</v>
      </c>
      <c r="P43" s="13" t="s">
        <v>518</v>
      </c>
      <c r="Q43" s="13" t="s">
        <v>519</v>
      </c>
      <c r="R43" s="4" t="s">
        <v>366</v>
      </c>
      <c r="S43" s="7" t="e">
        <f ca="1">IF(_xludf.ifna(VLOOKUP(B43,Parámetros!#REF!,1,0),"")="","No","Sí")</f>
        <v>#NAME?</v>
      </c>
      <c r="T43" s="7" t="str">
        <f t="shared" si="2"/>
        <v>No normativo</v>
      </c>
      <c r="U43" s="4" t="s">
        <v>195</v>
      </c>
      <c r="V43" s="4" t="s">
        <v>39</v>
      </c>
      <c r="W43" s="4" t="s">
        <v>233</v>
      </c>
      <c r="X43" s="4" t="s">
        <v>234</v>
      </c>
      <c r="Y43" s="4" t="s">
        <v>525</v>
      </c>
      <c r="Z43" s="5">
        <v>1502962722</v>
      </c>
      <c r="AA43" s="5">
        <v>1502962722</v>
      </c>
      <c r="AB43" s="4" t="s">
        <v>215</v>
      </c>
      <c r="AC43">
        <v>42</v>
      </c>
    </row>
    <row r="44" spans="1:29" ht="16.5" customHeight="1" x14ac:dyDescent="0.2">
      <c r="A44" s="6" t="str">
        <f t="shared" si="1"/>
        <v>SDATOOL-34887 $ Vivienda Digital Open Market</v>
      </c>
      <c r="B44" s="4" t="s">
        <v>526</v>
      </c>
      <c r="C44" s="4" t="s">
        <v>527</v>
      </c>
      <c r="D44" s="4" t="s">
        <v>183</v>
      </c>
      <c r="E44" s="4" t="s">
        <v>528</v>
      </c>
      <c r="F44" s="4" t="s">
        <v>28</v>
      </c>
      <c r="G44" s="4" t="s">
        <v>185</v>
      </c>
      <c r="H44" s="4" t="s">
        <v>186</v>
      </c>
      <c r="J44" s="4" t="s">
        <v>204</v>
      </c>
      <c r="K44" s="4" t="s">
        <v>351</v>
      </c>
      <c r="L44" s="4" t="s">
        <v>386</v>
      </c>
      <c r="M44" s="4" t="s">
        <v>529</v>
      </c>
      <c r="N44" s="4" t="s">
        <v>29</v>
      </c>
      <c r="O44" s="13" t="s">
        <v>530</v>
      </c>
      <c r="P44" s="13" t="s">
        <v>531</v>
      </c>
      <c r="Q44" s="13" t="s">
        <v>532</v>
      </c>
      <c r="R44" s="4" t="s">
        <v>366</v>
      </c>
      <c r="S44" s="7" t="e">
        <f ca="1">IF(_xludf.ifna(VLOOKUP(B44,Parámetros!#REF!,1,0),"")="","No","Sí")</f>
        <v>#NAME?</v>
      </c>
      <c r="T44" s="7" t="str">
        <f t="shared" si="2"/>
        <v>Normativo</v>
      </c>
      <c r="U44" s="4" t="s">
        <v>195</v>
      </c>
      <c r="V44" s="4" t="s">
        <v>39</v>
      </c>
      <c r="W44" s="4" t="s">
        <v>233</v>
      </c>
      <c r="X44" s="4" t="s">
        <v>92</v>
      </c>
      <c r="Y44" s="4" t="s">
        <v>533</v>
      </c>
      <c r="Z44" s="5">
        <v>2010956460</v>
      </c>
      <c r="AA44" s="5">
        <v>1735876485</v>
      </c>
      <c r="AB44" s="4" t="s">
        <v>215</v>
      </c>
      <c r="AC44">
        <v>43</v>
      </c>
    </row>
    <row r="45" spans="1:29" ht="16.5" customHeight="1" x14ac:dyDescent="0.2">
      <c r="A45" s="6" t="str">
        <f t="shared" si="1"/>
        <v>SDATOOL-34910 $ Libranza Digital</v>
      </c>
      <c r="B45" s="4" t="s">
        <v>143</v>
      </c>
      <c r="C45" s="4" t="s">
        <v>534</v>
      </c>
      <c r="D45" s="4" t="s">
        <v>183</v>
      </c>
      <c r="E45" s="4" t="s">
        <v>535</v>
      </c>
      <c r="F45" s="4" t="s">
        <v>28</v>
      </c>
      <c r="G45" s="4" t="s">
        <v>185</v>
      </c>
      <c r="H45" s="4" t="s">
        <v>186</v>
      </c>
      <c r="I45" s="4" t="e">
        <v>#N/A</v>
      </c>
      <c r="J45" s="4" t="s">
        <v>204</v>
      </c>
      <c r="K45" s="4" t="s">
        <v>351</v>
      </c>
      <c r="L45" s="4" t="s">
        <v>189</v>
      </c>
      <c r="M45" s="4" t="s">
        <v>529</v>
      </c>
      <c r="N45" s="4" t="s">
        <v>29</v>
      </c>
      <c r="O45" s="13" t="s">
        <v>530</v>
      </c>
      <c r="P45" s="13" t="s">
        <v>536</v>
      </c>
      <c r="Q45" s="13" t="s">
        <v>244</v>
      </c>
      <c r="R45" s="4" t="s">
        <v>366</v>
      </c>
      <c r="S45" s="7" t="e">
        <f ca="1">IF(_xludf.ifna(VLOOKUP(B45,Parámetros!#REF!,1,0),"")="","No","Sí")</f>
        <v>#NAME?</v>
      </c>
      <c r="T45" s="7" t="str">
        <f t="shared" si="2"/>
        <v>No normativo</v>
      </c>
      <c r="U45" s="4" t="s">
        <v>195</v>
      </c>
      <c r="V45" s="4" t="s">
        <v>39</v>
      </c>
      <c r="W45" s="4" t="s">
        <v>233</v>
      </c>
      <c r="X45" s="4" t="s">
        <v>92</v>
      </c>
      <c r="Y45" s="4" t="s">
        <v>533</v>
      </c>
      <c r="Z45" s="5">
        <v>1212309508</v>
      </c>
      <c r="AA45" s="5">
        <v>1525826923</v>
      </c>
      <c r="AB45" s="4" t="s">
        <v>180</v>
      </c>
      <c r="AC45">
        <v>44</v>
      </c>
    </row>
    <row r="46" spans="1:29" ht="16.5" customHeight="1" x14ac:dyDescent="0.2">
      <c r="A46" s="6" t="str">
        <f t="shared" si="1"/>
        <v>SDATOOL-35327 $ Impuestos 2021</v>
      </c>
      <c r="B46" s="4" t="s">
        <v>537</v>
      </c>
      <c r="C46" s="4" t="s">
        <v>538</v>
      </c>
      <c r="D46" s="4" t="s">
        <v>183</v>
      </c>
      <c r="E46" s="4" t="s">
        <v>539</v>
      </c>
      <c r="F46" s="4" t="s">
        <v>28</v>
      </c>
      <c r="G46" s="4" t="s">
        <v>185</v>
      </c>
      <c r="H46" s="4" t="s">
        <v>186</v>
      </c>
      <c r="I46" s="4" t="s">
        <v>186</v>
      </c>
      <c r="J46" s="4" t="s">
        <v>204</v>
      </c>
      <c r="K46" s="4" t="s">
        <v>361</v>
      </c>
      <c r="L46" s="4" t="s">
        <v>189</v>
      </c>
      <c r="M46" s="4" t="s">
        <v>540</v>
      </c>
      <c r="N46" s="4" t="s">
        <v>29</v>
      </c>
      <c r="O46" s="13" t="s">
        <v>541</v>
      </c>
      <c r="P46" s="13" t="s">
        <v>542</v>
      </c>
      <c r="Q46" s="13" t="s">
        <v>543</v>
      </c>
      <c r="R46" s="4" t="s">
        <v>366</v>
      </c>
      <c r="S46" s="7" t="e">
        <f ca="1">IF(_xludf.ifna(VLOOKUP(B46,Parámetros!#REF!,1,0),"")="","No","Sí")</f>
        <v>#NAME?</v>
      </c>
      <c r="T46" s="7" t="str">
        <f t="shared" si="2"/>
        <v>No normativo</v>
      </c>
      <c r="U46" s="4" t="s">
        <v>195</v>
      </c>
      <c r="V46" s="4" t="s">
        <v>39</v>
      </c>
      <c r="W46" s="4" t="s">
        <v>300</v>
      </c>
      <c r="X46" s="4" t="s">
        <v>301</v>
      </c>
      <c r="Y46" s="4" t="s">
        <v>302</v>
      </c>
      <c r="Z46" s="5">
        <v>395993797</v>
      </c>
      <c r="AA46" s="5">
        <v>445600748</v>
      </c>
      <c r="AB46" s="4" t="s">
        <v>180</v>
      </c>
      <c r="AC46">
        <v>45</v>
      </c>
    </row>
    <row r="47" spans="1:29" ht="16.5" hidden="1" customHeight="1" x14ac:dyDescent="0.2">
      <c r="A47" s="6" t="str">
        <f t="shared" si="1"/>
        <v>SDATOOL-35329 $ Activo Particular 2021</v>
      </c>
      <c r="B47" s="4" t="s">
        <v>544</v>
      </c>
      <c r="C47" s="4" t="s">
        <v>545</v>
      </c>
      <c r="D47" s="4" t="s">
        <v>183</v>
      </c>
      <c r="E47" s="4" t="s">
        <v>546</v>
      </c>
      <c r="F47" s="4" t="s">
        <v>28</v>
      </c>
      <c r="G47" s="4" t="s">
        <v>185</v>
      </c>
      <c r="H47" s="4" t="s">
        <v>203</v>
      </c>
      <c r="J47" s="4" t="s">
        <v>204</v>
      </c>
      <c r="K47" s="4" t="s">
        <v>361</v>
      </c>
      <c r="L47" s="4" t="s">
        <v>206</v>
      </c>
      <c r="M47" s="4" t="s">
        <v>547</v>
      </c>
      <c r="N47" s="4" t="s">
        <v>29</v>
      </c>
      <c r="O47" s="13" t="s">
        <v>530</v>
      </c>
      <c r="P47" s="13" t="s">
        <v>548</v>
      </c>
      <c r="Q47" s="13" t="s">
        <v>549</v>
      </c>
      <c r="R47" s="4" t="s">
        <v>366</v>
      </c>
      <c r="S47" s="7" t="e">
        <f ca="1">IF(_xludf.ifna(VLOOKUP(B47,Parámetros!#REF!,1,0),"")="","No","Sí")</f>
        <v>#NAME?</v>
      </c>
      <c r="T47" s="7" t="str">
        <f t="shared" si="2"/>
        <v>No normativo</v>
      </c>
      <c r="U47" s="4" t="s">
        <v>195</v>
      </c>
      <c r="V47" s="4" t="s">
        <v>39</v>
      </c>
      <c r="W47" s="4" t="s">
        <v>300</v>
      </c>
      <c r="X47" s="4" t="s">
        <v>301</v>
      </c>
      <c r="Y47" s="4" t="s">
        <v>302</v>
      </c>
      <c r="Z47" s="5">
        <v>326560734</v>
      </c>
      <c r="AA47" s="5">
        <v>313516992</v>
      </c>
      <c r="AB47" s="4" t="s">
        <v>215</v>
      </c>
      <c r="AC47">
        <v>46</v>
      </c>
    </row>
    <row r="48" spans="1:29" ht="16.5" hidden="1" customHeight="1" x14ac:dyDescent="0.2">
      <c r="A48" s="6" t="str">
        <f t="shared" si="1"/>
        <v>SDATOOL-35336 $ MdP 2021</v>
      </c>
      <c r="B48" s="4" t="s">
        <v>550</v>
      </c>
      <c r="C48" s="4" t="s">
        <v>551</v>
      </c>
      <c r="D48" s="4" t="s">
        <v>183</v>
      </c>
      <c r="E48" s="4" t="s">
        <v>552</v>
      </c>
      <c r="F48" s="4" t="s">
        <v>28</v>
      </c>
      <c r="G48" s="4" t="s">
        <v>185</v>
      </c>
      <c r="H48" s="4" t="s">
        <v>203</v>
      </c>
      <c r="J48" s="4" t="s">
        <v>204</v>
      </c>
      <c r="K48" s="4" t="s">
        <v>361</v>
      </c>
      <c r="L48" s="4" t="s">
        <v>206</v>
      </c>
      <c r="M48" s="4" t="s">
        <v>553</v>
      </c>
      <c r="N48" s="4" t="s">
        <v>29</v>
      </c>
      <c r="O48" s="13" t="s">
        <v>480</v>
      </c>
      <c r="P48" s="13" t="s">
        <v>554</v>
      </c>
      <c r="Q48" s="13" t="s">
        <v>555</v>
      </c>
      <c r="R48" s="4" t="s">
        <v>366</v>
      </c>
      <c r="S48" s="7" t="e">
        <f ca="1">IF(_xludf.ifna(VLOOKUP(B48,Parámetros!#REF!,1,0),"")="","No","Sí")</f>
        <v>#NAME?</v>
      </c>
      <c r="T48" s="7" t="str">
        <f t="shared" si="2"/>
        <v>Normativo</v>
      </c>
      <c r="U48" s="4" t="s">
        <v>195</v>
      </c>
      <c r="V48" s="4" t="s">
        <v>39</v>
      </c>
      <c r="W48" s="4" t="s">
        <v>233</v>
      </c>
      <c r="X48" s="4" t="s">
        <v>234</v>
      </c>
      <c r="Y48" s="4" t="s">
        <v>556</v>
      </c>
      <c r="Z48" s="5">
        <v>300337723</v>
      </c>
      <c r="AA48" s="5">
        <v>300337723</v>
      </c>
      <c r="AB48" s="4" t="s">
        <v>215</v>
      </c>
      <c r="AC48">
        <v>47</v>
      </c>
    </row>
    <row r="49" spans="1:29" ht="16.5" customHeight="1" x14ac:dyDescent="0.2">
      <c r="A49" s="6" t="str">
        <f t="shared" si="1"/>
        <v>SDATOOL-35350 $ Lean Office (Biblioteca Transaccional y Nuevo Modelo de Impresión)</v>
      </c>
      <c r="B49" s="4" t="s">
        <v>557</v>
      </c>
      <c r="C49" s="4" t="s">
        <v>558</v>
      </c>
      <c r="D49" s="4" t="s">
        <v>183</v>
      </c>
      <c r="E49" s="4" t="s">
        <v>559</v>
      </c>
      <c r="F49" s="4" t="s">
        <v>35</v>
      </c>
      <c r="G49" s="4" t="s">
        <v>185</v>
      </c>
      <c r="H49" s="4" t="s">
        <v>186</v>
      </c>
      <c r="J49" s="4" t="s">
        <v>431</v>
      </c>
      <c r="K49" s="4" t="s">
        <v>361</v>
      </c>
      <c r="L49" s="4" t="s">
        <v>386</v>
      </c>
      <c r="M49" s="4" t="s">
        <v>560</v>
      </c>
      <c r="N49" s="4" t="s">
        <v>29</v>
      </c>
      <c r="O49" s="13" t="s">
        <v>412</v>
      </c>
      <c r="P49" s="13" t="s">
        <v>561</v>
      </c>
      <c r="Q49" s="13" t="s">
        <v>441</v>
      </c>
      <c r="S49" s="7" t="e">
        <f ca="1">IF(_xludf.ifna(VLOOKUP(B49,Parámetros!#REF!,1,0),"")="","No","Sí")</f>
        <v>#NAME?</v>
      </c>
      <c r="T49" s="7" t="str">
        <f t="shared" si="2"/>
        <v>No normativo</v>
      </c>
      <c r="U49" s="4" t="s">
        <v>195</v>
      </c>
      <c r="V49" s="4" t="s">
        <v>39</v>
      </c>
      <c r="W49" s="4" t="s">
        <v>300</v>
      </c>
      <c r="X49" s="4" t="s">
        <v>562</v>
      </c>
      <c r="Y49" s="4" t="s">
        <v>563</v>
      </c>
      <c r="Z49" s="5">
        <v>426256924</v>
      </c>
      <c r="AA49" s="5">
        <v>445915675</v>
      </c>
      <c r="AB49" s="4" t="s">
        <v>215</v>
      </c>
      <c r="AC49">
        <v>48</v>
      </c>
    </row>
    <row r="50" spans="1:29" ht="16.5" hidden="1" customHeight="1" x14ac:dyDescent="0.2">
      <c r="A50" s="6" t="str">
        <f t="shared" si="1"/>
        <v>SDATOOL-35357 $ Normativo Local - DIAN - 2021</v>
      </c>
      <c r="B50" s="4" t="s">
        <v>564</v>
      </c>
      <c r="C50" s="4" t="s">
        <v>565</v>
      </c>
      <c r="D50" s="4" t="s">
        <v>183</v>
      </c>
      <c r="E50" s="4" t="s">
        <v>566</v>
      </c>
      <c r="F50" s="4" t="s">
        <v>50</v>
      </c>
      <c r="G50" s="4" t="s">
        <v>185</v>
      </c>
      <c r="H50" s="4" t="s">
        <v>203</v>
      </c>
      <c r="K50" s="4" t="s">
        <v>361</v>
      </c>
      <c r="L50" s="4" t="s">
        <v>206</v>
      </c>
      <c r="M50" s="4" t="s">
        <v>567</v>
      </c>
      <c r="N50" s="4" t="s">
        <v>15</v>
      </c>
      <c r="O50" s="13" t="s">
        <v>568</v>
      </c>
      <c r="P50" s="13" t="s">
        <v>455</v>
      </c>
      <c r="Q50" s="13" t="s">
        <v>318</v>
      </c>
      <c r="R50" s="4" t="s">
        <v>457</v>
      </c>
      <c r="S50" s="7" t="e">
        <f ca="1">IF(_xludf.ifna(VLOOKUP(B50,Parámetros!#REF!,1,0),"")="","No","Sí")</f>
        <v>#NAME?</v>
      </c>
      <c r="T50" s="7" t="str">
        <f t="shared" si="2"/>
        <v>No normativo</v>
      </c>
      <c r="U50" s="4" t="s">
        <v>224</v>
      </c>
      <c r="V50" s="4" t="s">
        <v>39</v>
      </c>
      <c r="W50" s="4" t="s">
        <v>196</v>
      </c>
      <c r="X50" s="4" t="s">
        <v>246</v>
      </c>
      <c r="Y50" s="4" t="s">
        <v>265</v>
      </c>
      <c r="Z50" s="5">
        <v>1459197161</v>
      </c>
      <c r="AA50" s="5">
        <v>1459197161</v>
      </c>
      <c r="AB50" s="4" t="s">
        <v>215</v>
      </c>
      <c r="AC50">
        <v>49</v>
      </c>
    </row>
    <row r="51" spans="1:29" ht="16.5" customHeight="1" x14ac:dyDescent="0.2">
      <c r="A51" s="6" t="str">
        <f t="shared" si="1"/>
        <v>SDATOOL-35384 $ Gestión Documental Pyme Admisión</v>
      </c>
      <c r="B51" s="4" t="s">
        <v>569</v>
      </c>
      <c r="C51" s="4" t="s">
        <v>570</v>
      </c>
      <c r="D51" s="4" t="s">
        <v>183</v>
      </c>
      <c r="E51" s="4" t="s">
        <v>571</v>
      </c>
      <c r="F51" s="4" t="s">
        <v>28</v>
      </c>
      <c r="G51" s="4" t="s">
        <v>185</v>
      </c>
      <c r="H51" s="4" t="s">
        <v>186</v>
      </c>
      <c r="I51" s="4" t="s">
        <v>186</v>
      </c>
      <c r="J51" s="4" t="s">
        <v>204</v>
      </c>
      <c r="K51" s="4" t="s">
        <v>361</v>
      </c>
      <c r="L51" s="4" t="s">
        <v>189</v>
      </c>
      <c r="M51" s="4" t="s">
        <v>572</v>
      </c>
      <c r="N51" s="4" t="s">
        <v>36</v>
      </c>
      <c r="O51" s="13" t="s">
        <v>573</v>
      </c>
      <c r="P51" s="13" t="s">
        <v>474</v>
      </c>
      <c r="Q51" s="13" t="s">
        <v>574</v>
      </c>
      <c r="R51" s="4" t="s">
        <v>366</v>
      </c>
      <c r="S51" s="7" t="e">
        <f ca="1">IF(_xludf.ifna(VLOOKUP(B51,Parámetros!#REF!,1,0),"")="","No","Sí")</f>
        <v>#NAME?</v>
      </c>
      <c r="T51" s="7" t="str">
        <f t="shared" si="2"/>
        <v>No normativo</v>
      </c>
      <c r="U51" s="4" t="s">
        <v>195</v>
      </c>
      <c r="V51" s="4" t="s">
        <v>39</v>
      </c>
      <c r="W51" s="4" t="s">
        <v>300</v>
      </c>
      <c r="X51" s="4" t="s">
        <v>301</v>
      </c>
      <c r="Y51" s="4" t="s">
        <v>302</v>
      </c>
      <c r="Z51" s="5">
        <v>833060318</v>
      </c>
      <c r="AA51" s="5">
        <v>933060318</v>
      </c>
      <c r="AB51" s="4" t="s">
        <v>180</v>
      </c>
      <c r="AC51">
        <v>50</v>
      </c>
    </row>
    <row r="52" spans="1:29" ht="16.5" customHeight="1" x14ac:dyDescent="0.2">
      <c r="A52" s="6" t="str">
        <f t="shared" si="1"/>
        <v>SDATOOL-35463 $ Gestión de Ingresos - Períodos de Gracia Libranzas</v>
      </c>
      <c r="B52" s="4" t="s">
        <v>575</v>
      </c>
      <c r="C52" s="4" t="s">
        <v>576</v>
      </c>
      <c r="D52" s="4" t="s">
        <v>183</v>
      </c>
      <c r="E52" s="4" t="s">
        <v>577</v>
      </c>
      <c r="F52" s="4" t="s">
        <v>50</v>
      </c>
      <c r="G52" s="4" t="s">
        <v>185</v>
      </c>
      <c r="H52" s="4" t="s">
        <v>186</v>
      </c>
      <c r="I52" s="4" t="s">
        <v>186</v>
      </c>
      <c r="K52" s="4" t="s">
        <v>361</v>
      </c>
      <c r="L52" s="4" t="s">
        <v>189</v>
      </c>
      <c r="M52" s="4" t="s">
        <v>578</v>
      </c>
      <c r="N52" s="4" t="s">
        <v>29</v>
      </c>
      <c r="O52" s="13" t="s">
        <v>579</v>
      </c>
      <c r="P52" s="13" t="s">
        <v>462</v>
      </c>
      <c r="Q52" s="13" t="s">
        <v>580</v>
      </c>
      <c r="R52" s="4" t="s">
        <v>581</v>
      </c>
      <c r="S52" s="7" t="e">
        <f ca="1">IF(_xludf.ifna(VLOOKUP(B52,Parámetros!#REF!,1,0),"")="","No","Sí")</f>
        <v>#NAME?</v>
      </c>
      <c r="T52" s="7" t="str">
        <f t="shared" si="2"/>
        <v>No normativo</v>
      </c>
      <c r="U52" s="4" t="s">
        <v>195</v>
      </c>
      <c r="V52" s="4" t="s">
        <v>39</v>
      </c>
      <c r="W52" s="4" t="s">
        <v>196</v>
      </c>
      <c r="X52" s="4" t="s">
        <v>271</v>
      </c>
      <c r="Y52" s="4" t="s">
        <v>582</v>
      </c>
      <c r="Z52" s="5">
        <v>349349003</v>
      </c>
      <c r="AA52" s="5">
        <v>353825350</v>
      </c>
      <c r="AB52" s="4" t="s">
        <v>180</v>
      </c>
      <c r="AC52">
        <v>51</v>
      </c>
    </row>
    <row r="53" spans="1:29" ht="16.5" hidden="1" customHeight="1" x14ac:dyDescent="0.2">
      <c r="A53" s="6" t="str">
        <f t="shared" si="1"/>
        <v>SDATOOL-35464 $ GRM Col - Arce Corporates - Licencias Saleforce</v>
      </c>
      <c r="B53" s="4" t="s">
        <v>583</v>
      </c>
      <c r="C53" s="4" t="s">
        <v>584</v>
      </c>
      <c r="D53" s="4" t="s">
        <v>183</v>
      </c>
      <c r="E53" s="4" t="s">
        <v>585</v>
      </c>
      <c r="F53" s="4" t="s">
        <v>56</v>
      </c>
      <c r="G53" s="4" t="s">
        <v>185</v>
      </c>
      <c r="H53" s="4" t="s">
        <v>276</v>
      </c>
      <c r="J53" s="4" t="s">
        <v>204</v>
      </c>
      <c r="K53" s="4" t="s">
        <v>361</v>
      </c>
      <c r="L53" s="4" t="s">
        <v>586</v>
      </c>
      <c r="M53" s="4" t="s">
        <v>587</v>
      </c>
      <c r="N53" s="4" t="s">
        <v>44</v>
      </c>
      <c r="O53" s="13" t="s">
        <v>588</v>
      </c>
      <c r="P53" s="13" t="s">
        <v>589</v>
      </c>
      <c r="Q53" s="13" t="s">
        <v>590</v>
      </c>
      <c r="R53" s="4" t="s">
        <v>591</v>
      </c>
      <c r="S53" s="7" t="e">
        <f ca="1">IF(_xludf.ifna(VLOOKUP(B53,Parámetros!#REF!,1,0),"")="","No","Sí")</f>
        <v>#NAME?</v>
      </c>
      <c r="T53" s="7" t="str">
        <f t="shared" si="2"/>
        <v>No normativo</v>
      </c>
      <c r="U53" s="4" t="s">
        <v>195</v>
      </c>
      <c r="V53" s="4" t="s">
        <v>39</v>
      </c>
      <c r="W53" s="4" t="s">
        <v>196</v>
      </c>
      <c r="X53" s="4" t="s">
        <v>426</v>
      </c>
      <c r="Y53" s="4" t="s">
        <v>592</v>
      </c>
      <c r="Z53" s="5">
        <v>591470896</v>
      </c>
      <c r="AA53" s="5">
        <v>526857496</v>
      </c>
      <c r="AB53" s="4" t="s">
        <v>215</v>
      </c>
      <c r="AC53">
        <v>52</v>
      </c>
    </row>
    <row r="54" spans="1:29" ht="16.5" customHeight="1" x14ac:dyDescent="0.2">
      <c r="A54" s="6" t="str">
        <f t="shared" si="1"/>
        <v>SDATOOL-35621 $ DOCUMENTO SOPORTE FASE II - DIALOGO</v>
      </c>
      <c r="B54" s="4" t="s">
        <v>593</v>
      </c>
      <c r="C54" s="4" t="s">
        <v>594</v>
      </c>
      <c r="D54" s="4" t="s">
        <v>183</v>
      </c>
      <c r="E54" s="4" t="s">
        <v>595</v>
      </c>
      <c r="F54" s="4" t="s">
        <v>50</v>
      </c>
      <c r="G54" s="4" t="s">
        <v>185</v>
      </c>
      <c r="H54" s="4" t="s">
        <v>186</v>
      </c>
      <c r="J54" s="4" t="s">
        <v>204</v>
      </c>
      <c r="K54" s="4" t="s">
        <v>361</v>
      </c>
      <c r="L54" s="4" t="s">
        <v>386</v>
      </c>
      <c r="M54" s="4" t="s">
        <v>596</v>
      </c>
      <c r="N54" s="4" t="s">
        <v>15</v>
      </c>
      <c r="O54" s="13" t="s">
        <v>278</v>
      </c>
      <c r="P54" s="13" t="s">
        <v>462</v>
      </c>
      <c r="Q54" s="13" t="s">
        <v>318</v>
      </c>
      <c r="R54" s="4" t="s">
        <v>597</v>
      </c>
      <c r="S54" s="7" t="e">
        <f ca="1">IF(_xludf.ifna(VLOOKUP(B54,Parámetros!#REF!,1,0),"")="","No","Sí")</f>
        <v>#NAME?</v>
      </c>
      <c r="T54" s="7" t="str">
        <f t="shared" si="2"/>
        <v>No normativo</v>
      </c>
      <c r="U54" s="4" t="s">
        <v>224</v>
      </c>
      <c r="V54" s="4" t="s">
        <v>39</v>
      </c>
      <c r="W54" s="4" t="s">
        <v>196</v>
      </c>
      <c r="X54" s="4" t="s">
        <v>246</v>
      </c>
      <c r="Y54" s="4" t="s">
        <v>265</v>
      </c>
      <c r="Z54" s="5">
        <v>262116356</v>
      </c>
      <c r="AA54" s="5">
        <v>259117100</v>
      </c>
      <c r="AB54" s="4" t="s">
        <v>215</v>
      </c>
      <c r="AC54">
        <v>53</v>
      </c>
    </row>
    <row r="55" spans="1:29" ht="16.5" customHeight="1" x14ac:dyDescent="0.2">
      <c r="A55" s="6" t="str">
        <f t="shared" si="1"/>
        <v>SDATOOL-35656 $ Cupos y límites</v>
      </c>
      <c r="B55" s="4" t="s">
        <v>118</v>
      </c>
      <c r="C55" s="4" t="s">
        <v>598</v>
      </c>
      <c r="D55" s="4" t="s">
        <v>183</v>
      </c>
      <c r="E55" s="4" t="s">
        <v>599</v>
      </c>
      <c r="F55" s="4" t="s">
        <v>28</v>
      </c>
      <c r="G55" s="4" t="s">
        <v>185</v>
      </c>
      <c r="H55" s="4" t="s">
        <v>186</v>
      </c>
      <c r="I55" s="4" t="s">
        <v>186</v>
      </c>
      <c r="J55" s="4" t="s">
        <v>204</v>
      </c>
      <c r="K55" s="4" t="s">
        <v>361</v>
      </c>
      <c r="L55" s="4" t="s">
        <v>314</v>
      </c>
      <c r="M55" s="4" t="s">
        <v>600</v>
      </c>
      <c r="N55" s="4" t="s">
        <v>51</v>
      </c>
      <c r="O55" s="13" t="s">
        <v>404</v>
      </c>
      <c r="P55" s="13" t="s">
        <v>518</v>
      </c>
      <c r="Q55" s="13" t="s">
        <v>255</v>
      </c>
      <c r="S55" s="7" t="e">
        <f ca="1">IF(_xludf.ifna(VLOOKUP(B55,Parámetros!#REF!,1,0),"")="","No","Sí")</f>
        <v>#NAME?</v>
      </c>
      <c r="T55" s="7" t="str">
        <f t="shared" si="2"/>
        <v>No normativo</v>
      </c>
      <c r="U55" s="4" t="s">
        <v>195</v>
      </c>
      <c r="V55" s="4" t="s">
        <v>39</v>
      </c>
      <c r="W55" s="4" t="s">
        <v>233</v>
      </c>
      <c r="X55" s="4" t="s">
        <v>234</v>
      </c>
      <c r="Y55" s="4" t="s">
        <v>520</v>
      </c>
      <c r="Z55" s="5">
        <v>3855334818</v>
      </c>
      <c r="AA55" s="5">
        <v>989667409</v>
      </c>
      <c r="AB55" s="4" t="s">
        <v>180</v>
      </c>
      <c r="AC55">
        <v>54</v>
      </c>
    </row>
    <row r="56" spans="1:29" ht="16.5" customHeight="1" x14ac:dyDescent="0.2">
      <c r="A56" s="6" t="str">
        <f t="shared" si="1"/>
        <v>SDATOOL-35663 $ Capacidades FX GM</v>
      </c>
      <c r="B56" s="4" t="s">
        <v>601</v>
      </c>
      <c r="C56" s="4" t="s">
        <v>602</v>
      </c>
      <c r="D56" s="4" t="s">
        <v>183</v>
      </c>
      <c r="E56" s="4" t="s">
        <v>603</v>
      </c>
      <c r="F56" s="4" t="s">
        <v>21</v>
      </c>
      <c r="G56" s="4" t="s">
        <v>185</v>
      </c>
      <c r="H56" s="4" t="s">
        <v>186</v>
      </c>
      <c r="I56" s="4" t="s">
        <v>186</v>
      </c>
      <c r="K56" s="4" t="s">
        <v>604</v>
      </c>
      <c r="L56" s="4" t="s">
        <v>189</v>
      </c>
      <c r="M56" s="4" t="s">
        <v>418</v>
      </c>
      <c r="N56" s="4" t="s">
        <v>36</v>
      </c>
      <c r="O56" s="13" t="s">
        <v>605</v>
      </c>
      <c r="P56" s="13" t="s">
        <v>605</v>
      </c>
      <c r="Q56" s="13" t="s">
        <v>193</v>
      </c>
      <c r="S56" s="7" t="e">
        <f ca="1">IF(_xludf.ifna(VLOOKUP(B56,Parámetros!#REF!,1,0),"")="","No","Sí")</f>
        <v>#NAME?</v>
      </c>
      <c r="T56" s="7" t="str">
        <f t="shared" si="2"/>
        <v>No normativo</v>
      </c>
      <c r="U56" s="4" t="s">
        <v>195</v>
      </c>
      <c r="V56" s="4" t="s">
        <v>39</v>
      </c>
      <c r="W56" s="4" t="s">
        <v>233</v>
      </c>
      <c r="X56" s="4" t="s">
        <v>234</v>
      </c>
      <c r="Y56" s="4" t="s">
        <v>389</v>
      </c>
      <c r="Z56" s="5">
        <v>533617097</v>
      </c>
      <c r="AA56" s="5">
        <v>480507585</v>
      </c>
      <c r="AB56" s="4" t="s">
        <v>180</v>
      </c>
      <c r="AC56">
        <v>55</v>
      </c>
    </row>
    <row r="57" spans="1:29" ht="16.5" customHeight="1" x14ac:dyDescent="0.2">
      <c r="A57" s="6" t="str">
        <f t="shared" si="1"/>
        <v>SDATOOL-35697 $ GRM - Garantías Hipotecarias - Ingesta de Datos</v>
      </c>
      <c r="B57" s="4" t="s">
        <v>606</v>
      </c>
      <c r="C57" s="4" t="s">
        <v>607</v>
      </c>
      <c r="D57" s="4" t="s">
        <v>183</v>
      </c>
      <c r="E57" s="4" t="s">
        <v>608</v>
      </c>
      <c r="F57" s="4" t="s">
        <v>56</v>
      </c>
      <c r="G57" s="4" t="s">
        <v>185</v>
      </c>
      <c r="H57" s="4" t="s">
        <v>186</v>
      </c>
      <c r="I57" s="4" t="s">
        <v>186</v>
      </c>
      <c r="K57" s="4" t="s">
        <v>604</v>
      </c>
      <c r="L57" s="4" t="s">
        <v>189</v>
      </c>
      <c r="M57" s="4" t="s">
        <v>609</v>
      </c>
      <c r="N57" s="4" t="s">
        <v>36</v>
      </c>
      <c r="O57" s="13" t="s">
        <v>610</v>
      </c>
      <c r="P57" s="13" t="s">
        <v>611</v>
      </c>
      <c r="Q57" s="13" t="s">
        <v>519</v>
      </c>
      <c r="R57" s="4" t="s">
        <v>612</v>
      </c>
      <c r="S57" s="7" t="e">
        <f ca="1">IF(_xludf.ifna(VLOOKUP(B57,Parámetros!#REF!,1,0),"")="","No","Sí")</f>
        <v>#NAME?</v>
      </c>
      <c r="T57" s="7" t="str">
        <f t="shared" si="2"/>
        <v>Normativo</v>
      </c>
      <c r="U57" s="4" t="s">
        <v>195</v>
      </c>
      <c r="V57" s="4" t="s">
        <v>39</v>
      </c>
      <c r="W57" s="4" t="s">
        <v>196</v>
      </c>
      <c r="X57" s="4" t="s">
        <v>225</v>
      </c>
      <c r="Y57" s="4" t="s">
        <v>613</v>
      </c>
      <c r="Z57" s="5">
        <v>71658351</v>
      </c>
      <c r="AA57" s="5">
        <v>397750892</v>
      </c>
      <c r="AB57" s="4" t="s">
        <v>180</v>
      </c>
      <c r="AC57">
        <v>56</v>
      </c>
    </row>
    <row r="58" spans="1:29" ht="16.5" hidden="1" customHeight="1" x14ac:dyDescent="0.2">
      <c r="A58" s="6" t="str">
        <f t="shared" si="1"/>
        <v>SDATOOL-35771 $ Pricing enterprises products - Plan Ascenso Autónomos</v>
      </c>
      <c r="B58" s="4" t="s">
        <v>614</v>
      </c>
      <c r="C58" s="4" t="s">
        <v>615</v>
      </c>
      <c r="D58" s="4" t="s">
        <v>183</v>
      </c>
      <c r="E58" s="4" t="s">
        <v>616</v>
      </c>
      <c r="F58" s="4" t="s">
        <v>28</v>
      </c>
      <c r="G58" s="4" t="s">
        <v>185</v>
      </c>
      <c r="H58" s="4" t="s">
        <v>276</v>
      </c>
      <c r="J58" s="4" t="s">
        <v>204</v>
      </c>
      <c r="K58" s="4" t="s">
        <v>485</v>
      </c>
      <c r="L58" s="4" t="s">
        <v>386</v>
      </c>
      <c r="M58" s="4" t="s">
        <v>600</v>
      </c>
      <c r="N58" s="4" t="s">
        <v>51</v>
      </c>
      <c r="O58" s="13" t="s">
        <v>617</v>
      </c>
      <c r="P58" s="13" t="s">
        <v>618</v>
      </c>
      <c r="Q58" s="13" t="s">
        <v>425</v>
      </c>
      <c r="R58" s="4" t="s">
        <v>366</v>
      </c>
      <c r="S58" s="7" t="e">
        <f ca="1">IF(_xludf.ifna(VLOOKUP(B58,Parámetros!#REF!,1,0),"")="","No","Sí")</f>
        <v>#NAME?</v>
      </c>
      <c r="T58" s="7" t="str">
        <f t="shared" si="2"/>
        <v>No normativo</v>
      </c>
      <c r="U58" s="4" t="s">
        <v>195</v>
      </c>
      <c r="V58" s="4" t="s">
        <v>39</v>
      </c>
      <c r="W58" s="4" t="s">
        <v>233</v>
      </c>
      <c r="X58" s="4" t="s">
        <v>234</v>
      </c>
      <c r="Y58" s="4" t="s">
        <v>520</v>
      </c>
      <c r="Z58" s="5">
        <v>131067019</v>
      </c>
      <c r="AA58" s="5">
        <v>151064134</v>
      </c>
      <c r="AB58" s="4" t="s">
        <v>215</v>
      </c>
      <c r="AC58">
        <v>57</v>
      </c>
    </row>
    <row r="59" spans="1:29" ht="16.5" customHeight="1" x14ac:dyDescent="0.2">
      <c r="A59" s="6" t="str">
        <f t="shared" si="1"/>
        <v>SDATOOL-35775 $ (Work Day) Nueva Plataforma Core Colombia- Impacto en Terceros</v>
      </c>
      <c r="B59" s="4" t="s">
        <v>619</v>
      </c>
      <c r="C59" s="4" t="s">
        <v>620</v>
      </c>
      <c r="D59" s="4" t="s">
        <v>183</v>
      </c>
      <c r="E59" s="4" t="s">
        <v>621</v>
      </c>
      <c r="F59" s="4" t="s">
        <v>30</v>
      </c>
      <c r="G59" s="4" t="s">
        <v>185</v>
      </c>
      <c r="H59" s="4" t="s">
        <v>186</v>
      </c>
      <c r="K59" s="4" t="s">
        <v>361</v>
      </c>
      <c r="L59" s="4" t="s">
        <v>386</v>
      </c>
      <c r="M59" s="4" t="s">
        <v>622</v>
      </c>
      <c r="N59" s="4" t="s">
        <v>15</v>
      </c>
      <c r="O59" s="13" t="s">
        <v>334</v>
      </c>
      <c r="P59" s="13" t="s">
        <v>335</v>
      </c>
      <c r="Q59" s="13" t="s">
        <v>623</v>
      </c>
      <c r="R59" s="4" t="s">
        <v>624</v>
      </c>
      <c r="S59" s="7" t="e">
        <f ca="1">IF(_xludf.ifna(VLOOKUP(B59,Parámetros!#REF!,1,0),"")="","No","Sí")</f>
        <v>#NAME?</v>
      </c>
      <c r="T59" s="7" t="str">
        <f t="shared" si="2"/>
        <v>No normativo</v>
      </c>
      <c r="U59" s="4" t="s">
        <v>195</v>
      </c>
      <c r="V59" s="4" t="s">
        <v>39</v>
      </c>
      <c r="W59" s="4" t="s">
        <v>291</v>
      </c>
      <c r="X59" s="4" t="s">
        <v>292</v>
      </c>
      <c r="Y59" s="4" t="s">
        <v>338</v>
      </c>
      <c r="Z59" s="5">
        <v>60568412</v>
      </c>
      <c r="AA59" s="5">
        <v>60568412</v>
      </c>
      <c r="AB59" s="4" t="s">
        <v>215</v>
      </c>
      <c r="AC59">
        <v>58</v>
      </c>
    </row>
    <row r="60" spans="1:29" ht="16.5" customHeight="1" x14ac:dyDescent="0.2">
      <c r="A60" s="6" t="str">
        <f t="shared" si="1"/>
        <v>SDATOOL-36047 $ Bloqueo Sobregiro para Pago Capital e Intereses</v>
      </c>
      <c r="B60" s="4" t="s">
        <v>625</v>
      </c>
      <c r="C60" s="4" t="s">
        <v>626</v>
      </c>
      <c r="D60" s="4" t="s">
        <v>183</v>
      </c>
      <c r="E60" s="4" t="s">
        <v>627</v>
      </c>
      <c r="F60" s="4" t="s">
        <v>28</v>
      </c>
      <c r="G60" s="4" t="s">
        <v>185</v>
      </c>
      <c r="H60" s="4" t="s">
        <v>186</v>
      </c>
      <c r="J60" s="4" t="s">
        <v>204</v>
      </c>
      <c r="K60" s="4" t="s">
        <v>604</v>
      </c>
      <c r="L60" s="4" t="s">
        <v>189</v>
      </c>
      <c r="M60" s="4" t="s">
        <v>540</v>
      </c>
      <c r="N60" s="4" t="s">
        <v>15</v>
      </c>
      <c r="O60" s="13" t="s">
        <v>404</v>
      </c>
      <c r="P60" s="13" t="s">
        <v>628</v>
      </c>
      <c r="Q60" s="13" t="s">
        <v>628</v>
      </c>
      <c r="R60" s="4" t="s">
        <v>366</v>
      </c>
      <c r="S60" s="7" t="e">
        <f ca="1">IF(_xludf.ifna(VLOOKUP(B60,Parámetros!#REF!,1,0),"")="","No","Sí")</f>
        <v>#NAME?</v>
      </c>
      <c r="T60" s="7" t="str">
        <f t="shared" si="2"/>
        <v>No normativo</v>
      </c>
      <c r="U60" s="4" t="s">
        <v>195</v>
      </c>
      <c r="V60" s="4" t="s">
        <v>39</v>
      </c>
      <c r="W60" s="4" t="s">
        <v>300</v>
      </c>
      <c r="X60" s="4" t="s">
        <v>301</v>
      </c>
      <c r="Y60" s="4" t="s">
        <v>302</v>
      </c>
      <c r="Z60" s="5">
        <v>359999217</v>
      </c>
      <c r="AA60" s="5">
        <v>150000000</v>
      </c>
      <c r="AB60" s="4" t="s">
        <v>180</v>
      </c>
      <c r="AC60">
        <v>59</v>
      </c>
    </row>
    <row r="61" spans="1:29" ht="16.5" customHeight="1" x14ac:dyDescent="0.2">
      <c r="A61" s="6" t="str">
        <f t="shared" si="1"/>
        <v>SDATOOL-36048 $ Repositorio flujos ventas digitales flujos - Plan Ascenso Open Market</v>
      </c>
      <c r="B61" s="4" t="s">
        <v>151</v>
      </c>
      <c r="C61" s="4" t="s">
        <v>629</v>
      </c>
      <c r="D61" s="4" t="s">
        <v>183</v>
      </c>
      <c r="E61" s="4" t="s">
        <v>630</v>
      </c>
      <c r="F61" s="4" t="s">
        <v>28</v>
      </c>
      <c r="G61" s="4" t="s">
        <v>185</v>
      </c>
      <c r="H61" s="4" t="s">
        <v>186</v>
      </c>
      <c r="I61" s="4" t="s">
        <v>186</v>
      </c>
      <c r="J61" s="4" t="s">
        <v>204</v>
      </c>
      <c r="K61" s="4" t="s">
        <v>485</v>
      </c>
      <c r="L61" s="4" t="s">
        <v>189</v>
      </c>
      <c r="M61" s="4" t="s">
        <v>529</v>
      </c>
      <c r="N61" s="4" t="s">
        <v>29</v>
      </c>
      <c r="O61" s="13" t="s">
        <v>191</v>
      </c>
      <c r="P61" s="13" t="s">
        <v>631</v>
      </c>
      <c r="Q61" s="13" t="s">
        <v>632</v>
      </c>
      <c r="R61" s="4" t="s">
        <v>366</v>
      </c>
      <c r="S61" s="7" t="e">
        <f ca="1">IF(_xludf.ifna(VLOOKUP(B61,Parámetros!#REF!,1,0),"")="","No","Sí")</f>
        <v>#NAME?</v>
      </c>
      <c r="T61" s="7" t="str">
        <f t="shared" si="2"/>
        <v>No normativo</v>
      </c>
      <c r="U61" s="4" t="s">
        <v>195</v>
      </c>
      <c r="V61" s="4" t="s">
        <v>39</v>
      </c>
      <c r="W61" s="4" t="s">
        <v>233</v>
      </c>
      <c r="X61" s="4" t="s">
        <v>92</v>
      </c>
      <c r="Y61" s="4" t="s">
        <v>533</v>
      </c>
      <c r="Z61" s="5">
        <v>1940887059</v>
      </c>
      <c r="AA61" s="5">
        <v>1378284598</v>
      </c>
      <c r="AB61" s="4" t="s">
        <v>180</v>
      </c>
      <c r="AC61">
        <v>60</v>
      </c>
    </row>
    <row r="62" spans="1:29" ht="16.5" customHeight="1" x14ac:dyDescent="0.2">
      <c r="A62" s="6" t="str">
        <f t="shared" si="1"/>
        <v>SDATOOL-36229 $ Corresponsal Bancario PTM</v>
      </c>
      <c r="B62" s="4" t="s">
        <v>633</v>
      </c>
      <c r="C62" s="4" t="s">
        <v>634</v>
      </c>
      <c r="D62" s="4" t="s">
        <v>183</v>
      </c>
      <c r="E62" s="4" t="s">
        <v>635</v>
      </c>
      <c r="F62" s="4" t="s">
        <v>28</v>
      </c>
      <c r="G62" s="4" t="s">
        <v>185</v>
      </c>
      <c r="H62" s="4" t="s">
        <v>186</v>
      </c>
      <c r="J62" s="4" t="s">
        <v>204</v>
      </c>
      <c r="K62" s="4" t="s">
        <v>485</v>
      </c>
      <c r="L62" s="4" t="s">
        <v>386</v>
      </c>
      <c r="M62" s="4" t="s">
        <v>636</v>
      </c>
      <c r="N62" s="4" t="s">
        <v>22</v>
      </c>
      <c r="O62" s="13" t="s">
        <v>473</v>
      </c>
      <c r="P62" s="13" t="s">
        <v>637</v>
      </c>
      <c r="Q62" s="13" t="s">
        <v>638</v>
      </c>
      <c r="R62" s="4" t="s">
        <v>366</v>
      </c>
      <c r="S62" s="7" t="e">
        <f ca="1">IF(_xludf.ifna(VLOOKUP(B62,Parámetros!#REF!,1,0),"")="","No","Sí")</f>
        <v>#NAME?</v>
      </c>
      <c r="T62" s="7" t="str">
        <f t="shared" si="2"/>
        <v>No normativo</v>
      </c>
      <c r="U62" s="4" t="s">
        <v>195</v>
      </c>
      <c r="V62" s="4" t="s">
        <v>39</v>
      </c>
      <c r="W62" s="4" t="s">
        <v>196</v>
      </c>
      <c r="X62" s="4" t="s">
        <v>426</v>
      </c>
      <c r="Y62" s="4" t="s">
        <v>427</v>
      </c>
      <c r="Z62" s="5">
        <v>259401201</v>
      </c>
      <c r="AA62" s="5">
        <v>238843225</v>
      </c>
      <c r="AB62" s="4" t="s">
        <v>215</v>
      </c>
      <c r="AC62">
        <v>61</v>
      </c>
    </row>
    <row r="63" spans="1:29" ht="16.5" customHeight="1" x14ac:dyDescent="0.2">
      <c r="A63" s="6" t="str">
        <f t="shared" si="1"/>
        <v>SDATOOL-36358 $ Pagos por Terceros (Mandato y/o Administración) - Información exógena DIAN - Resolución 0098 DIAN</v>
      </c>
      <c r="B63" s="4" t="s">
        <v>639</v>
      </c>
      <c r="C63" s="4" t="s">
        <v>640</v>
      </c>
      <c r="D63" s="4" t="s">
        <v>183</v>
      </c>
      <c r="E63" s="4" t="s">
        <v>641</v>
      </c>
      <c r="F63" s="4" t="s">
        <v>50</v>
      </c>
      <c r="G63" s="4" t="s">
        <v>185</v>
      </c>
      <c r="H63" s="4" t="s">
        <v>186</v>
      </c>
      <c r="J63" s="4" t="s">
        <v>204</v>
      </c>
      <c r="K63" s="4" t="s">
        <v>604</v>
      </c>
      <c r="L63" s="4" t="s">
        <v>189</v>
      </c>
      <c r="M63" s="4" t="s">
        <v>642</v>
      </c>
      <c r="N63" s="4" t="s">
        <v>15</v>
      </c>
      <c r="O63" s="13" t="s">
        <v>568</v>
      </c>
      <c r="P63" s="13" t="s">
        <v>455</v>
      </c>
      <c r="Q63" s="13" t="s">
        <v>456</v>
      </c>
      <c r="R63" s="4" t="s">
        <v>457</v>
      </c>
      <c r="S63" s="7" t="e">
        <f ca="1">IF(_xludf.ifna(VLOOKUP(B63,Parámetros!#REF!,1,0),"")="","No","Sí")</f>
        <v>#NAME?</v>
      </c>
      <c r="T63" s="7" t="str">
        <f t="shared" si="2"/>
        <v>No normativo</v>
      </c>
      <c r="U63" s="4" t="s">
        <v>224</v>
      </c>
      <c r="V63" s="4" t="s">
        <v>39</v>
      </c>
      <c r="W63" s="4" t="s">
        <v>196</v>
      </c>
      <c r="X63" s="4" t="s">
        <v>246</v>
      </c>
      <c r="Y63" s="4" t="s">
        <v>265</v>
      </c>
      <c r="Z63" s="5">
        <v>735393810</v>
      </c>
      <c r="AA63" s="5">
        <v>635393852</v>
      </c>
      <c r="AB63" s="4" t="s">
        <v>180</v>
      </c>
      <c r="AC63">
        <v>62</v>
      </c>
    </row>
    <row r="64" spans="1:29" ht="16.5" customHeight="1" x14ac:dyDescent="0.2">
      <c r="A64" s="6" t="str">
        <f t="shared" si="1"/>
        <v>SDATOOL-36501 $ Seguros - Cobro de seguros libres en créditos - Desempleo Fase 2</v>
      </c>
      <c r="B64" s="4" t="s">
        <v>643</v>
      </c>
      <c r="C64" s="4" t="s">
        <v>644</v>
      </c>
      <c r="D64" s="4" t="s">
        <v>183</v>
      </c>
      <c r="E64" s="4" t="s">
        <v>645</v>
      </c>
      <c r="F64" s="4" t="s">
        <v>28</v>
      </c>
      <c r="G64" s="4" t="s">
        <v>185</v>
      </c>
      <c r="H64" s="4" t="s">
        <v>186</v>
      </c>
      <c r="I64" s="4" t="s">
        <v>186</v>
      </c>
      <c r="J64" s="4" t="s">
        <v>204</v>
      </c>
      <c r="K64" s="4" t="s">
        <v>485</v>
      </c>
      <c r="L64" s="4" t="s">
        <v>189</v>
      </c>
      <c r="M64" s="4" t="s">
        <v>497</v>
      </c>
      <c r="N64" s="4" t="s">
        <v>22</v>
      </c>
      <c r="O64" s="13" t="s">
        <v>646</v>
      </c>
      <c r="P64" s="13" t="s">
        <v>344</v>
      </c>
      <c r="Q64" s="13" t="s">
        <v>345</v>
      </c>
      <c r="R64" s="4" t="s">
        <v>366</v>
      </c>
      <c r="S64" s="7" t="e">
        <f ca="1">IF(_xludf.ifna(VLOOKUP(B64,Parámetros!#REF!,1,0),"")="","No","Sí")</f>
        <v>#NAME?</v>
      </c>
      <c r="T64" s="7" t="str">
        <f t="shared" si="2"/>
        <v>No normativo</v>
      </c>
      <c r="U64" s="4" t="s">
        <v>195</v>
      </c>
      <c r="V64" s="4" t="s">
        <v>347</v>
      </c>
      <c r="W64" s="4" t="s">
        <v>233</v>
      </c>
      <c r="X64" s="4" t="s">
        <v>234</v>
      </c>
      <c r="Y64" s="4" t="s">
        <v>501</v>
      </c>
      <c r="Z64" s="5">
        <v>1197476144</v>
      </c>
      <c r="AA64" s="5">
        <v>1197476144</v>
      </c>
      <c r="AB64" s="4" t="s">
        <v>180</v>
      </c>
      <c r="AC64">
        <v>63</v>
      </c>
    </row>
    <row r="65" spans="1:29" ht="16.5" customHeight="1" x14ac:dyDescent="0.2">
      <c r="A65" s="6" t="str">
        <f t="shared" si="1"/>
        <v>SDATOOL-36508 $ CRM (AUG) optimization - Plan Ascenso - Cross Sell</v>
      </c>
      <c r="B65" s="4" t="s">
        <v>42</v>
      </c>
      <c r="C65" s="4" t="s">
        <v>647</v>
      </c>
      <c r="D65" s="4" t="s">
        <v>183</v>
      </c>
      <c r="E65" s="4" t="s">
        <v>648</v>
      </c>
      <c r="F65" s="4" t="s">
        <v>28</v>
      </c>
      <c r="G65" s="4" t="s">
        <v>185</v>
      </c>
      <c r="H65" s="4" t="s">
        <v>186</v>
      </c>
      <c r="J65" s="4" t="s">
        <v>204</v>
      </c>
      <c r="K65" s="4" t="s">
        <v>485</v>
      </c>
      <c r="L65" s="4" t="s">
        <v>386</v>
      </c>
      <c r="M65" s="4" t="s">
        <v>649</v>
      </c>
      <c r="N65" s="4" t="s">
        <v>51</v>
      </c>
      <c r="O65" s="13" t="s">
        <v>650</v>
      </c>
      <c r="P65" s="13" t="s">
        <v>651</v>
      </c>
      <c r="Q65" s="13" t="s">
        <v>210</v>
      </c>
      <c r="R65" s="4" t="s">
        <v>366</v>
      </c>
      <c r="S65" s="7" t="e">
        <f ca="1">IF(_xludf.ifna(VLOOKUP(B65,Parámetros!#REF!,1,0),"")="","No","Sí")</f>
        <v>#NAME?</v>
      </c>
      <c r="T65" s="7" t="str">
        <f t="shared" si="2"/>
        <v>No normativo</v>
      </c>
      <c r="U65" s="4" t="s">
        <v>195</v>
      </c>
      <c r="V65" s="4" t="s">
        <v>39</v>
      </c>
      <c r="W65" s="4" t="s">
        <v>196</v>
      </c>
      <c r="X65" s="4" t="s">
        <v>197</v>
      </c>
      <c r="Y65" s="4" t="s">
        <v>95</v>
      </c>
      <c r="Z65" s="5">
        <v>432672275</v>
      </c>
      <c r="AA65" s="5">
        <v>290324229</v>
      </c>
      <c r="AB65" s="4" t="s">
        <v>215</v>
      </c>
      <c r="AC65">
        <v>64</v>
      </c>
    </row>
    <row r="66" spans="1:29" ht="16.5" customHeight="1" x14ac:dyDescent="0.2">
      <c r="A66" s="6" t="str">
        <f t="shared" si="1"/>
        <v>SDATOOL-36509 $ Centralización de la formalización de desembolsos Pymes</v>
      </c>
      <c r="B66" s="4" t="s">
        <v>652</v>
      </c>
      <c r="C66" s="4" t="s">
        <v>653</v>
      </c>
      <c r="D66" s="4" t="s">
        <v>183</v>
      </c>
      <c r="E66" s="4" t="s">
        <v>654</v>
      </c>
      <c r="F66" s="4" t="s">
        <v>28</v>
      </c>
      <c r="G66" s="4" t="s">
        <v>185</v>
      </c>
      <c r="H66" s="4" t="s">
        <v>186</v>
      </c>
      <c r="I66" s="4" t="s">
        <v>186</v>
      </c>
      <c r="J66" s="4" t="s">
        <v>204</v>
      </c>
      <c r="K66" s="4" t="s">
        <v>485</v>
      </c>
      <c r="L66" s="4" t="s">
        <v>189</v>
      </c>
      <c r="M66" s="4" t="s">
        <v>655</v>
      </c>
      <c r="N66" s="4" t="s">
        <v>51</v>
      </c>
      <c r="O66" s="13" t="s">
        <v>412</v>
      </c>
      <c r="P66" s="13" t="s">
        <v>656</v>
      </c>
      <c r="Q66" s="13" t="s">
        <v>656</v>
      </c>
      <c r="R66" s="4" t="s">
        <v>366</v>
      </c>
      <c r="S66" s="7" t="e">
        <f ca="1">IF(_xludf.ifna(VLOOKUP(B66,Parámetros!#REF!,1,0),"")="","No","Sí")</f>
        <v>#NAME?</v>
      </c>
      <c r="T66" s="7" t="str">
        <f t="shared" si="2"/>
        <v>No normativo</v>
      </c>
      <c r="U66" s="4" t="s">
        <v>195</v>
      </c>
      <c r="V66" s="4" t="s">
        <v>39</v>
      </c>
      <c r="W66" s="4" t="s">
        <v>196</v>
      </c>
      <c r="X66" s="4" t="s">
        <v>426</v>
      </c>
      <c r="Y66" s="4" t="s">
        <v>592</v>
      </c>
      <c r="Z66" s="5">
        <v>571987561</v>
      </c>
      <c r="AA66" s="5">
        <v>371987652</v>
      </c>
      <c r="AB66" s="4" t="s">
        <v>180</v>
      </c>
      <c r="AC66">
        <v>65</v>
      </c>
    </row>
    <row r="67" spans="1:29" ht="16.5" customHeight="1" x14ac:dyDescent="0.2">
      <c r="A67" s="6" t="str">
        <f t="shared" ref="A67:A130" si="3">B67&amp;" $ "&amp;C67</f>
        <v>SDATOOL-36510 $ Corresponsal Bancario Su RED</v>
      </c>
      <c r="B67" s="4" t="s">
        <v>657</v>
      </c>
      <c r="C67" s="4" t="s">
        <v>658</v>
      </c>
      <c r="D67" s="4" t="s">
        <v>183</v>
      </c>
      <c r="E67" s="4" t="s">
        <v>659</v>
      </c>
      <c r="F67" s="4" t="s">
        <v>28</v>
      </c>
      <c r="G67" s="4" t="s">
        <v>185</v>
      </c>
      <c r="H67" s="4" t="s">
        <v>186</v>
      </c>
      <c r="J67" s="4" t="s">
        <v>204</v>
      </c>
      <c r="K67" s="4" t="s">
        <v>485</v>
      </c>
      <c r="L67" s="4" t="s">
        <v>386</v>
      </c>
      <c r="M67" s="4" t="s">
        <v>660</v>
      </c>
      <c r="N67" s="4" t="s">
        <v>22</v>
      </c>
      <c r="O67" s="13" t="s">
        <v>473</v>
      </c>
      <c r="P67" s="13" t="s">
        <v>637</v>
      </c>
      <c r="Q67" s="13" t="s">
        <v>638</v>
      </c>
      <c r="R67" s="4" t="s">
        <v>366</v>
      </c>
      <c r="S67" s="7" t="e">
        <f ca="1">IF(_xludf.ifna(VLOOKUP(B67,Parámetros!#REF!,1,0),"")="","No","Sí")</f>
        <v>#NAME?</v>
      </c>
      <c r="T67" s="7" t="str">
        <f t="shared" ref="T67:T130" si="4">IF(U73="None","No normativo","Normativo")</f>
        <v>No normativo</v>
      </c>
      <c r="U67" s="4" t="s">
        <v>195</v>
      </c>
      <c r="V67" s="4" t="s">
        <v>39</v>
      </c>
      <c r="W67" s="4" t="s">
        <v>196</v>
      </c>
      <c r="X67" s="4" t="s">
        <v>426</v>
      </c>
      <c r="Y67" s="4" t="s">
        <v>427</v>
      </c>
      <c r="Z67" s="5">
        <v>276068663</v>
      </c>
      <c r="AA67" s="5">
        <v>266068711</v>
      </c>
      <c r="AB67" s="4" t="s">
        <v>215</v>
      </c>
      <c r="AC67">
        <v>66</v>
      </c>
    </row>
    <row r="68" spans="1:29" ht="16.5" hidden="1" customHeight="1" x14ac:dyDescent="0.2">
      <c r="A68" s="6" t="str">
        <f t="shared" si="3"/>
        <v>SDATOOL-36512 $ Actualización Titulares de Códigos Únicos -Modelo Agregador Bolsa de Códigos</v>
      </c>
      <c r="B68" s="4" t="s">
        <v>661</v>
      </c>
      <c r="C68" s="4" t="s">
        <v>662</v>
      </c>
      <c r="D68" s="4" t="s">
        <v>183</v>
      </c>
      <c r="E68" s="4" t="s">
        <v>663</v>
      </c>
      <c r="F68" s="4" t="s">
        <v>28</v>
      </c>
      <c r="G68" s="4" t="s">
        <v>185</v>
      </c>
      <c r="H68" s="4" t="s">
        <v>203</v>
      </c>
      <c r="J68" s="4" t="s">
        <v>204</v>
      </c>
      <c r="K68" s="4" t="s">
        <v>664</v>
      </c>
      <c r="L68" s="4" t="s">
        <v>206</v>
      </c>
      <c r="M68" s="4" t="s">
        <v>665</v>
      </c>
      <c r="N68" s="4" t="s">
        <v>29</v>
      </c>
      <c r="O68" s="13" t="s">
        <v>480</v>
      </c>
      <c r="P68" s="13" t="s">
        <v>548</v>
      </c>
      <c r="Q68" s="13" t="s">
        <v>666</v>
      </c>
      <c r="S68" s="7" t="e">
        <f ca="1">IF(_xludf.ifna(VLOOKUP(B68,Parámetros!#REF!,1,0),"")="","No","Sí")</f>
        <v>#NAME?</v>
      </c>
      <c r="T68" s="7" t="str">
        <f t="shared" si="4"/>
        <v>No normativo</v>
      </c>
      <c r="U68" s="4" t="s">
        <v>195</v>
      </c>
      <c r="V68" s="4" t="s">
        <v>39</v>
      </c>
      <c r="W68" s="4" t="s">
        <v>233</v>
      </c>
      <c r="X68" s="4" t="s">
        <v>234</v>
      </c>
      <c r="Y68" s="4" t="s">
        <v>667</v>
      </c>
      <c r="Z68" s="5">
        <v>6784611</v>
      </c>
      <c r="AA68" s="5">
        <v>29847760</v>
      </c>
      <c r="AB68" s="4" t="s">
        <v>215</v>
      </c>
      <c r="AC68">
        <v>67</v>
      </c>
    </row>
    <row r="69" spans="1:29" ht="16.5" hidden="1" customHeight="1" x14ac:dyDescent="0.2">
      <c r="A69" s="6" t="str">
        <f t="shared" si="3"/>
        <v>SDATOOL-36519 $ Bin 8 digitos</v>
      </c>
      <c r="B69" s="4" t="s">
        <v>668</v>
      </c>
      <c r="C69" s="4" t="s">
        <v>669</v>
      </c>
      <c r="D69" s="4" t="s">
        <v>183</v>
      </c>
      <c r="E69" s="4" t="s">
        <v>670</v>
      </c>
      <c r="F69" s="4" t="s">
        <v>28</v>
      </c>
      <c r="G69" s="4" t="s">
        <v>185</v>
      </c>
      <c r="H69" s="4" t="s">
        <v>203</v>
      </c>
      <c r="J69" s="4" t="s">
        <v>204</v>
      </c>
      <c r="K69" s="4" t="s">
        <v>485</v>
      </c>
      <c r="L69" s="4" t="s">
        <v>206</v>
      </c>
      <c r="M69" s="4" t="s">
        <v>553</v>
      </c>
      <c r="N69" s="4" t="s">
        <v>29</v>
      </c>
      <c r="O69" s="13" t="s">
        <v>480</v>
      </c>
      <c r="P69" s="13" t="s">
        <v>548</v>
      </c>
      <c r="Q69" s="13" t="s">
        <v>671</v>
      </c>
      <c r="R69" s="4" t="s">
        <v>366</v>
      </c>
      <c r="S69" s="7" t="e">
        <f ca="1">IF(_xludf.ifna(VLOOKUP(B69,Parámetros!#REF!,1,0),"")="","No","Sí")</f>
        <v>#NAME?</v>
      </c>
      <c r="T69" s="7" t="str">
        <f t="shared" si="4"/>
        <v>No normativo</v>
      </c>
      <c r="U69" s="4" t="s">
        <v>195</v>
      </c>
      <c r="V69" s="4" t="s">
        <v>39</v>
      </c>
      <c r="W69" s="4" t="s">
        <v>233</v>
      </c>
      <c r="X69" s="4" t="s">
        <v>234</v>
      </c>
      <c r="Y69" s="4" t="s">
        <v>556</v>
      </c>
      <c r="Z69" s="5">
        <v>157279374</v>
      </c>
      <c r="AA69" s="5">
        <v>154794461</v>
      </c>
      <c r="AB69" s="4" t="s">
        <v>215</v>
      </c>
      <c r="AC69">
        <v>68</v>
      </c>
    </row>
    <row r="70" spans="1:29" ht="16.5" hidden="1" customHeight="1" x14ac:dyDescent="0.2">
      <c r="A70" s="6" t="str">
        <f t="shared" si="3"/>
        <v>SDATOOL-36521 $ Despriorizado - Fase 2 Bonita 7 Vehículo</v>
      </c>
      <c r="B70" s="4" t="s">
        <v>672</v>
      </c>
      <c r="C70" s="4" t="s">
        <v>673</v>
      </c>
      <c r="D70" s="4" t="s">
        <v>183</v>
      </c>
      <c r="E70" s="4" t="s">
        <v>674</v>
      </c>
      <c r="F70" s="4" t="s">
        <v>28</v>
      </c>
      <c r="G70" s="4" t="s">
        <v>185</v>
      </c>
      <c r="H70" s="4" t="s">
        <v>203</v>
      </c>
      <c r="J70" s="4" t="s">
        <v>204</v>
      </c>
      <c r="K70" s="4" t="s">
        <v>485</v>
      </c>
      <c r="L70" s="4" t="s">
        <v>206</v>
      </c>
      <c r="M70" s="4" t="s">
        <v>675</v>
      </c>
      <c r="N70" s="4" t="s">
        <v>29</v>
      </c>
      <c r="O70" s="13" t="s">
        <v>676</v>
      </c>
      <c r="P70" s="13" t="s">
        <v>677</v>
      </c>
      <c r="Q70" s="13" t="s">
        <v>678</v>
      </c>
      <c r="S70" s="7" t="e">
        <f ca="1">IF(_xludf.ifna(VLOOKUP(B70,Parámetros!#REF!,1,0),"")="","No","Sí")</f>
        <v>#NAME?</v>
      </c>
      <c r="T70" s="7" t="str">
        <f t="shared" si="4"/>
        <v>No normativo</v>
      </c>
      <c r="U70" s="4" t="s">
        <v>195</v>
      </c>
      <c r="V70" s="4" t="s">
        <v>39</v>
      </c>
      <c r="W70" s="4" t="s">
        <v>300</v>
      </c>
      <c r="X70" s="4" t="s">
        <v>301</v>
      </c>
      <c r="Y70" s="4" t="s">
        <v>302</v>
      </c>
      <c r="Z70" s="4">
        <v>0</v>
      </c>
      <c r="AA70" s="4">
        <v>0</v>
      </c>
      <c r="AB70" s="4" t="s">
        <v>215</v>
      </c>
      <c r="AC70">
        <v>69</v>
      </c>
    </row>
    <row r="71" spans="1:29" ht="16.5" customHeight="1" x14ac:dyDescent="0.2">
      <c r="A71" s="6" t="str">
        <f t="shared" si="3"/>
        <v>SDATOOL-36522 $ Libranza E2E digital Fase III - Plan Ascenso Privado</v>
      </c>
      <c r="B71" s="4" t="s">
        <v>144</v>
      </c>
      <c r="C71" s="4" t="s">
        <v>679</v>
      </c>
      <c r="D71" s="4" t="s">
        <v>183</v>
      </c>
      <c r="E71" s="4" t="s">
        <v>680</v>
      </c>
      <c r="F71" s="4" t="s">
        <v>28</v>
      </c>
      <c r="G71" s="4" t="s">
        <v>185</v>
      </c>
      <c r="H71" s="4" t="s">
        <v>186</v>
      </c>
      <c r="I71" s="4" t="s">
        <v>186</v>
      </c>
      <c r="J71" s="4" t="s">
        <v>204</v>
      </c>
      <c r="K71" s="4" t="s">
        <v>485</v>
      </c>
      <c r="L71" s="4" t="s">
        <v>394</v>
      </c>
      <c r="M71" s="4" t="s">
        <v>529</v>
      </c>
      <c r="N71" s="4" t="s">
        <v>29</v>
      </c>
      <c r="O71" s="13" t="s">
        <v>530</v>
      </c>
      <c r="P71" s="13" t="s">
        <v>536</v>
      </c>
      <c r="Q71" s="13" t="s">
        <v>580</v>
      </c>
      <c r="R71" s="4" t="s">
        <v>366</v>
      </c>
      <c r="S71" s="7" t="e">
        <f ca="1">IF(_xludf.ifna(VLOOKUP(B71,Parámetros!#REF!,1,0),"")="","No","Sí")</f>
        <v>#NAME?</v>
      </c>
      <c r="T71" s="7" t="str">
        <f t="shared" si="4"/>
        <v>No normativo</v>
      </c>
      <c r="U71" s="4" t="s">
        <v>195</v>
      </c>
      <c r="V71" s="4" t="s">
        <v>39</v>
      </c>
      <c r="W71" s="4" t="s">
        <v>233</v>
      </c>
      <c r="X71" s="4" t="s">
        <v>92</v>
      </c>
      <c r="Y71" s="4" t="s">
        <v>533</v>
      </c>
      <c r="Z71" s="5">
        <v>1502668390</v>
      </c>
      <c r="AA71" s="5">
        <v>948734960</v>
      </c>
      <c r="AB71" s="4" t="s">
        <v>180</v>
      </c>
      <c r="AC71">
        <v>70</v>
      </c>
    </row>
    <row r="72" spans="1:29" ht="16.5" hidden="1" customHeight="1" x14ac:dyDescent="0.2">
      <c r="A72" s="6" t="str">
        <f t="shared" si="3"/>
        <v>SDATOOL-36534 $ Vehículo E2E digital fase IV</v>
      </c>
      <c r="B72" s="4" t="s">
        <v>140</v>
      </c>
      <c r="C72" s="4" t="s">
        <v>681</v>
      </c>
      <c r="D72" s="4" t="s">
        <v>183</v>
      </c>
      <c r="E72" s="4" t="s">
        <v>682</v>
      </c>
      <c r="F72" s="4" t="s">
        <v>28</v>
      </c>
      <c r="G72" s="4" t="s">
        <v>185</v>
      </c>
      <c r="H72" s="4" t="s">
        <v>203</v>
      </c>
      <c r="J72" s="4" t="s">
        <v>204</v>
      </c>
      <c r="K72" s="4" t="s">
        <v>485</v>
      </c>
      <c r="L72" s="4" t="s">
        <v>206</v>
      </c>
      <c r="M72" s="4" t="s">
        <v>529</v>
      </c>
      <c r="N72" s="4" t="s">
        <v>29</v>
      </c>
      <c r="O72" s="13" t="s">
        <v>530</v>
      </c>
      <c r="P72" s="13" t="s">
        <v>683</v>
      </c>
      <c r="Q72" s="13" t="s">
        <v>580</v>
      </c>
      <c r="R72" s="4" t="s">
        <v>366</v>
      </c>
      <c r="S72" s="7" t="e">
        <f ca="1">IF(_xludf.ifna(VLOOKUP(B72,Parámetros!#REF!,1,0),"")="","No","Sí")</f>
        <v>#NAME?</v>
      </c>
      <c r="T72" s="7" t="str">
        <f t="shared" si="4"/>
        <v>No normativo</v>
      </c>
      <c r="U72" s="4" t="s">
        <v>195</v>
      </c>
      <c r="V72" s="4" t="s">
        <v>39</v>
      </c>
      <c r="W72" s="4" t="s">
        <v>233</v>
      </c>
      <c r="X72" s="4" t="s">
        <v>92</v>
      </c>
      <c r="Y72" s="4" t="s">
        <v>533</v>
      </c>
      <c r="Z72" s="4">
        <v>0</v>
      </c>
      <c r="AA72" s="5">
        <v>180670439</v>
      </c>
      <c r="AB72" s="4" t="s">
        <v>215</v>
      </c>
      <c r="AC72">
        <v>71</v>
      </c>
    </row>
    <row r="73" spans="1:29" ht="16.5" customHeight="1" x14ac:dyDescent="0.2">
      <c r="A73" s="6" t="str">
        <f t="shared" si="3"/>
        <v>SDATOOL-36547 $ PLAN MAYOR -PLAN MENOR. Plan ascenso Open Market</v>
      </c>
      <c r="B73" s="4" t="s">
        <v>684</v>
      </c>
      <c r="C73" s="4" t="s">
        <v>685</v>
      </c>
      <c r="D73" s="4" t="s">
        <v>183</v>
      </c>
      <c r="E73" s="4" t="s">
        <v>686</v>
      </c>
      <c r="F73" s="4" t="s">
        <v>28</v>
      </c>
      <c r="G73" s="4" t="s">
        <v>185</v>
      </c>
      <c r="H73" s="4" t="s">
        <v>186</v>
      </c>
      <c r="I73" s="4" t="s">
        <v>186</v>
      </c>
      <c r="J73" s="4" t="s">
        <v>204</v>
      </c>
      <c r="K73" s="4" t="s">
        <v>485</v>
      </c>
      <c r="L73" s="4" t="s">
        <v>394</v>
      </c>
      <c r="M73" s="4" t="s">
        <v>687</v>
      </c>
      <c r="N73" s="4" t="s">
        <v>22</v>
      </c>
      <c r="O73" s="13" t="s">
        <v>404</v>
      </c>
      <c r="P73" s="13" t="s">
        <v>433</v>
      </c>
      <c r="Q73" s="13" t="s">
        <v>434</v>
      </c>
      <c r="R73" s="4" t="s">
        <v>366</v>
      </c>
      <c r="S73" s="7" t="e">
        <f ca="1">IF(_xludf.ifna(VLOOKUP(B73,Parámetros!#REF!,1,0),"")="","No","Sí")</f>
        <v>#NAME?</v>
      </c>
      <c r="T73" s="7" t="str">
        <f t="shared" si="4"/>
        <v>Normativo</v>
      </c>
      <c r="U73" s="4" t="s">
        <v>195</v>
      </c>
      <c r="V73" s="4" t="s">
        <v>39</v>
      </c>
      <c r="W73" s="4" t="s">
        <v>196</v>
      </c>
      <c r="X73" s="4" t="s">
        <v>197</v>
      </c>
      <c r="Y73" s="4" t="s">
        <v>688</v>
      </c>
      <c r="Z73" s="5">
        <v>6612728460</v>
      </c>
      <c r="AA73" s="5">
        <v>3426493477</v>
      </c>
      <c r="AB73" s="4" t="s">
        <v>180</v>
      </c>
      <c r="AC73">
        <v>72</v>
      </c>
    </row>
    <row r="74" spans="1:29" ht="16.5" customHeight="1" x14ac:dyDescent="0.2">
      <c r="A74" s="6" t="str">
        <f t="shared" si="3"/>
        <v>SDATOOL-36548 $ Optimización consumo web - Plan ascenso Open Market</v>
      </c>
      <c r="B74" s="4" t="s">
        <v>145</v>
      </c>
      <c r="C74" s="4" t="s">
        <v>689</v>
      </c>
      <c r="D74" s="4" t="s">
        <v>183</v>
      </c>
      <c r="E74" s="4" t="s">
        <v>690</v>
      </c>
      <c r="F74" s="4" t="s">
        <v>28</v>
      </c>
      <c r="G74" s="4" t="s">
        <v>185</v>
      </c>
      <c r="H74" s="4" t="s">
        <v>186</v>
      </c>
      <c r="I74" s="4" t="s">
        <v>186</v>
      </c>
      <c r="J74" s="4" t="s">
        <v>204</v>
      </c>
      <c r="K74" s="4" t="s">
        <v>485</v>
      </c>
      <c r="L74" s="4" t="s">
        <v>394</v>
      </c>
      <c r="M74" s="4" t="s">
        <v>529</v>
      </c>
      <c r="N74" s="4" t="s">
        <v>29</v>
      </c>
      <c r="O74" s="13" t="s">
        <v>530</v>
      </c>
      <c r="P74" s="13" t="s">
        <v>691</v>
      </c>
      <c r="Q74" s="13" t="s">
        <v>580</v>
      </c>
      <c r="R74" s="4" t="s">
        <v>366</v>
      </c>
      <c r="S74" s="7" t="e">
        <f ca="1">IF(_xludf.ifna(VLOOKUP(B74,Parámetros!#REF!,1,0),"")="","No","Sí")</f>
        <v>#NAME?</v>
      </c>
      <c r="T74" s="7" t="str">
        <f t="shared" si="4"/>
        <v>No normativo</v>
      </c>
      <c r="U74" s="4" t="s">
        <v>195</v>
      </c>
      <c r="V74" s="4" t="s">
        <v>39</v>
      </c>
      <c r="W74" s="4" t="s">
        <v>233</v>
      </c>
      <c r="X74" s="4" t="s">
        <v>92</v>
      </c>
      <c r="Y74" s="4" t="s">
        <v>533</v>
      </c>
      <c r="Z74" s="5">
        <v>563957432</v>
      </c>
      <c r="AA74" s="5">
        <v>1465044612</v>
      </c>
      <c r="AB74" s="4" t="s">
        <v>180</v>
      </c>
      <c r="AC74">
        <v>73</v>
      </c>
    </row>
    <row r="75" spans="1:29" ht="16.5" hidden="1" customHeight="1" x14ac:dyDescent="0.2">
      <c r="A75" s="6" t="str">
        <f t="shared" si="3"/>
        <v>SDATOOL-36554 $ Despriorizado - Modelo Scoring PYME - Plan Ascenso - Autónomos</v>
      </c>
      <c r="B75" s="4" t="s">
        <v>692</v>
      </c>
      <c r="C75" s="4" t="s">
        <v>693</v>
      </c>
      <c r="D75" s="4" t="s">
        <v>183</v>
      </c>
      <c r="E75" s="4" t="s">
        <v>694</v>
      </c>
      <c r="F75" s="4" t="s">
        <v>28</v>
      </c>
      <c r="G75" s="4" t="s">
        <v>185</v>
      </c>
      <c r="H75" s="4" t="s">
        <v>203</v>
      </c>
      <c r="J75" s="4" t="s">
        <v>204</v>
      </c>
      <c r="K75" s="4" t="s">
        <v>485</v>
      </c>
      <c r="L75" s="4" t="s">
        <v>206</v>
      </c>
      <c r="M75" s="4" t="s">
        <v>695</v>
      </c>
      <c r="N75" s="4" t="s">
        <v>51</v>
      </c>
      <c r="O75" s="13" t="s">
        <v>404</v>
      </c>
      <c r="P75" s="13" t="s">
        <v>696</v>
      </c>
      <c r="Q75" s="13" t="s">
        <v>697</v>
      </c>
      <c r="S75" s="7" t="e">
        <f ca="1">IF(_xludf.ifna(VLOOKUP(B75,Parámetros!#REF!,1,0),"")="","No","Sí")</f>
        <v>#NAME?</v>
      </c>
      <c r="T75" s="7" t="str">
        <f t="shared" si="4"/>
        <v>No normativo</v>
      </c>
      <c r="U75" s="4" t="s">
        <v>195</v>
      </c>
      <c r="V75" s="4" t="s">
        <v>39</v>
      </c>
      <c r="W75" s="4" t="s">
        <v>233</v>
      </c>
      <c r="X75" s="4" t="s">
        <v>234</v>
      </c>
      <c r="Y75" s="4" t="s">
        <v>525</v>
      </c>
      <c r="Z75" s="4">
        <v>0</v>
      </c>
      <c r="AA75" s="4">
        <v>0</v>
      </c>
      <c r="AB75" s="4" t="s">
        <v>215</v>
      </c>
      <c r="AC75">
        <v>74</v>
      </c>
    </row>
    <row r="76" spans="1:29" ht="16.5" customHeight="1" x14ac:dyDescent="0.2">
      <c r="A76" s="6" t="str">
        <f t="shared" si="3"/>
        <v>SDATOOL-36556 $ Parthnerships - Tarjeta de crédito en punto de venta físico aliados</v>
      </c>
      <c r="B76" s="4" t="s">
        <v>698</v>
      </c>
      <c r="C76" s="4" t="s">
        <v>699</v>
      </c>
      <c r="D76" s="4" t="s">
        <v>183</v>
      </c>
      <c r="E76" s="4" t="s">
        <v>700</v>
      </c>
      <c r="F76" s="4" t="s">
        <v>28</v>
      </c>
      <c r="G76" s="4" t="s">
        <v>185</v>
      </c>
      <c r="H76" s="4" t="s">
        <v>186</v>
      </c>
      <c r="I76" s="4" t="e">
        <v>#N/A</v>
      </c>
      <c r="J76" s="4" t="s">
        <v>204</v>
      </c>
      <c r="K76" s="4" t="s">
        <v>485</v>
      </c>
      <c r="L76" s="4" t="s">
        <v>189</v>
      </c>
      <c r="M76" s="4" t="s">
        <v>479</v>
      </c>
      <c r="N76" s="4" t="s">
        <v>29</v>
      </c>
      <c r="O76" s="13" t="s">
        <v>480</v>
      </c>
      <c r="P76" s="13" t="s">
        <v>701</v>
      </c>
      <c r="Q76" s="13" t="s">
        <v>555</v>
      </c>
      <c r="R76" s="4" t="s">
        <v>366</v>
      </c>
      <c r="S76" s="7" t="e">
        <f ca="1">IF(_xludf.ifna(VLOOKUP(B76,Parámetros!#REF!,1,0),"")="","No","Sí")</f>
        <v>#NAME?</v>
      </c>
      <c r="T76" s="7" t="str">
        <f t="shared" si="4"/>
        <v>No normativo</v>
      </c>
      <c r="U76" s="4" t="s">
        <v>195</v>
      </c>
      <c r="V76" s="4" t="s">
        <v>39</v>
      </c>
      <c r="W76" s="4" t="s">
        <v>233</v>
      </c>
      <c r="X76" s="4" t="s">
        <v>92</v>
      </c>
      <c r="Y76" s="4" t="s">
        <v>481</v>
      </c>
      <c r="Z76" s="5">
        <v>704655967</v>
      </c>
      <c r="AA76" s="5">
        <v>1214627869</v>
      </c>
      <c r="AB76" s="4" t="s">
        <v>180</v>
      </c>
      <c r="AC76">
        <v>75</v>
      </c>
    </row>
    <row r="77" spans="1:29" ht="16.5" customHeight="1" x14ac:dyDescent="0.2">
      <c r="A77" s="6" t="str">
        <f t="shared" si="3"/>
        <v>SDATOOL-36558 $ Transfiya:Transferencias interbancarias inmediatas - Plan Ascenso Privado</v>
      </c>
      <c r="B77" s="4" t="s">
        <v>155</v>
      </c>
      <c r="C77" s="4" t="s">
        <v>702</v>
      </c>
      <c r="D77" s="4" t="s">
        <v>183</v>
      </c>
      <c r="E77" s="4" t="s">
        <v>703</v>
      </c>
      <c r="F77" s="4" t="s">
        <v>28</v>
      </c>
      <c r="G77" s="4" t="s">
        <v>185</v>
      </c>
      <c r="H77" s="4" t="s">
        <v>186</v>
      </c>
      <c r="I77" s="4" t="s">
        <v>186</v>
      </c>
      <c r="J77" s="4" t="s">
        <v>204</v>
      </c>
      <c r="K77" s="4" t="s">
        <v>485</v>
      </c>
      <c r="L77" s="4" t="s">
        <v>240</v>
      </c>
      <c r="M77" s="4" t="s">
        <v>665</v>
      </c>
      <c r="N77" s="4" t="s">
        <v>29</v>
      </c>
      <c r="O77" s="13" t="s">
        <v>480</v>
      </c>
      <c r="P77" s="13" t="s">
        <v>704</v>
      </c>
      <c r="Q77" s="13" t="s">
        <v>574</v>
      </c>
      <c r="R77" s="4" t="s">
        <v>366</v>
      </c>
      <c r="S77" s="7" t="e">
        <f ca="1">IF(_xludf.ifna(VLOOKUP(B77,Parámetros!#REF!,1,0),"")="","No","Sí")</f>
        <v>#NAME?</v>
      </c>
      <c r="T77" s="7" t="str">
        <f t="shared" si="4"/>
        <v>Normativo</v>
      </c>
      <c r="U77" s="4" t="s">
        <v>195</v>
      </c>
      <c r="V77" s="4" t="s">
        <v>39</v>
      </c>
      <c r="W77" s="4" t="s">
        <v>233</v>
      </c>
      <c r="X77" s="4" t="s">
        <v>234</v>
      </c>
      <c r="Y77" s="4" t="s">
        <v>667</v>
      </c>
      <c r="Z77" s="5">
        <v>2805593780</v>
      </c>
      <c r="AA77" s="5">
        <v>1389116298</v>
      </c>
      <c r="AB77" s="4" t="s">
        <v>180</v>
      </c>
      <c r="AC77">
        <v>76</v>
      </c>
    </row>
    <row r="78" spans="1:29" ht="16.5" customHeight="1" x14ac:dyDescent="0.2">
      <c r="A78" s="6" t="str">
        <f t="shared" si="3"/>
        <v>SDATOOL-36560 $ Pricing de libranza - Plan Ascenso Open Market</v>
      </c>
      <c r="B78" s="4" t="s">
        <v>77</v>
      </c>
      <c r="C78" s="4" t="s">
        <v>705</v>
      </c>
      <c r="D78" s="4" t="s">
        <v>183</v>
      </c>
      <c r="E78" s="4" t="s">
        <v>706</v>
      </c>
      <c r="F78" s="4" t="s">
        <v>28</v>
      </c>
      <c r="G78" s="4" t="s">
        <v>185</v>
      </c>
      <c r="H78" s="4" t="s">
        <v>186</v>
      </c>
      <c r="I78" s="4" t="s">
        <v>186</v>
      </c>
      <c r="J78" s="4" t="s">
        <v>204</v>
      </c>
      <c r="K78" s="4" t="s">
        <v>485</v>
      </c>
      <c r="L78" s="4" t="s">
        <v>314</v>
      </c>
      <c r="M78" s="4" t="s">
        <v>529</v>
      </c>
      <c r="N78" s="4" t="s">
        <v>29</v>
      </c>
      <c r="O78" s="13" t="s">
        <v>530</v>
      </c>
      <c r="P78" s="13" t="s">
        <v>707</v>
      </c>
      <c r="Q78" s="13" t="s">
        <v>580</v>
      </c>
      <c r="R78" s="4" t="s">
        <v>366</v>
      </c>
      <c r="S78" s="7" t="e">
        <f ca="1">IF(_xludf.ifna(VLOOKUP(B78,Parámetros!#REF!,1,0),"")="","No","Sí")</f>
        <v>#NAME?</v>
      </c>
      <c r="T78" s="7" t="str">
        <f t="shared" si="4"/>
        <v>No normativo</v>
      </c>
      <c r="U78" s="4" t="s">
        <v>195</v>
      </c>
      <c r="V78" s="4" t="s">
        <v>39</v>
      </c>
      <c r="W78" s="4" t="s">
        <v>233</v>
      </c>
      <c r="X78" s="4" t="s">
        <v>92</v>
      </c>
      <c r="Y78" s="4" t="s">
        <v>533</v>
      </c>
      <c r="Z78" s="5">
        <v>1563097944</v>
      </c>
      <c r="AA78" s="5">
        <v>827224839</v>
      </c>
      <c r="AB78" s="4" t="s">
        <v>180</v>
      </c>
      <c r="AC78">
        <v>77</v>
      </c>
    </row>
    <row r="79" spans="1:29" ht="16.5" hidden="1" customHeight="1" x14ac:dyDescent="0.2">
      <c r="A79" s="6" t="str">
        <f t="shared" si="3"/>
        <v>SDATOOL-36685 $ GRM Col - Mejora proceso evaluación de cartera</v>
      </c>
      <c r="B79" s="4" t="s">
        <v>708</v>
      </c>
      <c r="C79" s="4" t="s">
        <v>709</v>
      </c>
      <c r="D79" s="4" t="s">
        <v>183</v>
      </c>
      <c r="E79" s="4" t="s">
        <v>710</v>
      </c>
      <c r="F79" s="4" t="s">
        <v>56</v>
      </c>
      <c r="G79" s="4" t="s">
        <v>185</v>
      </c>
      <c r="H79" s="4" t="s">
        <v>276</v>
      </c>
      <c r="K79" s="4" t="s">
        <v>485</v>
      </c>
      <c r="L79" s="4" t="s">
        <v>189</v>
      </c>
      <c r="M79" s="4" t="s">
        <v>711</v>
      </c>
      <c r="N79" s="4" t="s">
        <v>15</v>
      </c>
      <c r="O79" s="13" t="s">
        <v>712</v>
      </c>
      <c r="P79" s="13" t="s">
        <v>713</v>
      </c>
      <c r="Q79" s="13" t="s">
        <v>318</v>
      </c>
      <c r="R79" s="4" t="s">
        <v>714</v>
      </c>
      <c r="S79" s="7" t="e">
        <f ca="1">IF(_xludf.ifna(VLOOKUP(B79,Parámetros!#REF!,1,0),"")="","No","Sí")</f>
        <v>#NAME?</v>
      </c>
      <c r="T79" s="7" t="str">
        <f t="shared" si="4"/>
        <v>No normativo</v>
      </c>
      <c r="U79" s="4" t="s">
        <v>224</v>
      </c>
      <c r="V79" s="4" t="s">
        <v>39</v>
      </c>
      <c r="W79" s="4" t="s">
        <v>196</v>
      </c>
      <c r="X79" s="4" t="s">
        <v>246</v>
      </c>
      <c r="Y79" s="4" t="s">
        <v>715</v>
      </c>
      <c r="Z79" s="5">
        <v>60000000</v>
      </c>
      <c r="AA79" s="5">
        <v>72027166</v>
      </c>
      <c r="AB79" s="4" t="s">
        <v>215</v>
      </c>
      <c r="AC79">
        <v>78</v>
      </c>
    </row>
    <row r="80" spans="1:29" ht="16.5" hidden="1" customHeight="1" x14ac:dyDescent="0.2">
      <c r="A80" s="6" t="str">
        <f t="shared" si="3"/>
        <v>SDATOOL-36689 $ BOTON PSE -FX</v>
      </c>
      <c r="B80" s="4" t="s">
        <v>716</v>
      </c>
      <c r="C80" s="4" t="s">
        <v>717</v>
      </c>
      <c r="D80" s="4" t="s">
        <v>183</v>
      </c>
      <c r="E80" s="4" t="s">
        <v>718</v>
      </c>
      <c r="F80" s="4" t="s">
        <v>21</v>
      </c>
      <c r="G80" s="4" t="s">
        <v>185</v>
      </c>
      <c r="H80" s="4" t="s">
        <v>203</v>
      </c>
      <c r="K80" s="4" t="s">
        <v>485</v>
      </c>
      <c r="L80" s="4" t="s">
        <v>206</v>
      </c>
      <c r="M80" s="4" t="s">
        <v>418</v>
      </c>
      <c r="N80" s="4" t="s">
        <v>29</v>
      </c>
      <c r="O80" s="13" t="s">
        <v>419</v>
      </c>
      <c r="P80" s="13" t="s">
        <v>419</v>
      </c>
      <c r="Q80" s="13" t="s">
        <v>193</v>
      </c>
      <c r="S80" s="7" t="e">
        <f ca="1">IF(_xludf.ifna(VLOOKUP(B80,Parámetros!#REF!,1,0),"")="","No","Sí")</f>
        <v>#NAME?</v>
      </c>
      <c r="T80" s="7" t="str">
        <f t="shared" si="4"/>
        <v>Normativo</v>
      </c>
      <c r="U80" s="4" t="s">
        <v>195</v>
      </c>
      <c r="V80" s="4" t="s">
        <v>39</v>
      </c>
      <c r="W80" s="4" t="s">
        <v>233</v>
      </c>
      <c r="X80" s="4" t="s">
        <v>234</v>
      </c>
      <c r="Y80" s="4" t="s">
        <v>389</v>
      </c>
      <c r="Z80" s="5">
        <v>18332376</v>
      </c>
      <c r="AA80" s="5">
        <v>965418529</v>
      </c>
      <c r="AB80" s="4" t="s">
        <v>215</v>
      </c>
      <c r="AC80">
        <v>79</v>
      </c>
    </row>
    <row r="81" spans="1:29" ht="16.5" customHeight="1" x14ac:dyDescent="0.2">
      <c r="A81" s="6" t="str">
        <f t="shared" si="3"/>
        <v>SDATOOL-36740 $ Third Parties Sales e-commerce credit cards</v>
      </c>
      <c r="B81" s="4" t="s">
        <v>142</v>
      </c>
      <c r="C81" s="4" t="s">
        <v>719</v>
      </c>
      <c r="D81" s="4" t="s">
        <v>183</v>
      </c>
      <c r="E81" s="4" t="s">
        <v>720</v>
      </c>
      <c r="F81" s="4" t="s">
        <v>28</v>
      </c>
      <c r="G81" s="4" t="s">
        <v>185</v>
      </c>
      <c r="H81" s="4" t="s">
        <v>186</v>
      </c>
      <c r="I81" s="4" t="s">
        <v>186</v>
      </c>
      <c r="J81" s="4" t="s">
        <v>204</v>
      </c>
      <c r="K81" s="4" t="s">
        <v>604</v>
      </c>
      <c r="L81" s="4" t="s">
        <v>240</v>
      </c>
      <c r="M81" s="4" t="s">
        <v>479</v>
      </c>
      <c r="N81" s="4" t="s">
        <v>29</v>
      </c>
      <c r="O81" s="13" t="s">
        <v>721</v>
      </c>
      <c r="P81" s="13" t="s">
        <v>701</v>
      </c>
      <c r="Q81" s="13" t="s">
        <v>555</v>
      </c>
      <c r="S81" s="7" t="e">
        <f ca="1">IF(_xludf.ifna(VLOOKUP(B81,Parámetros!#REF!,1,0),"")="","No","Sí")</f>
        <v>#NAME?</v>
      </c>
      <c r="T81" s="7" t="str">
        <f t="shared" si="4"/>
        <v>No normativo</v>
      </c>
      <c r="U81" s="4" t="s">
        <v>195</v>
      </c>
      <c r="V81" s="4" t="s">
        <v>39</v>
      </c>
      <c r="W81" s="4" t="s">
        <v>233</v>
      </c>
      <c r="X81" s="4" t="s">
        <v>92</v>
      </c>
      <c r="Y81" s="4" t="s">
        <v>481</v>
      </c>
      <c r="Z81" s="5">
        <v>375000001</v>
      </c>
      <c r="AA81" s="5">
        <v>300000001</v>
      </c>
      <c r="AB81" s="4" t="s">
        <v>180</v>
      </c>
      <c r="AC81">
        <v>80</v>
      </c>
    </row>
    <row r="82" spans="1:29" ht="16.5" hidden="1" customHeight="1" x14ac:dyDescent="0.2">
      <c r="A82" s="6" t="str">
        <f t="shared" si="3"/>
        <v>SDATOOL-36741 $ Cookieless Marketing</v>
      </c>
      <c r="B82" s="4" t="s">
        <v>722</v>
      </c>
      <c r="C82" s="4" t="s">
        <v>723</v>
      </c>
      <c r="D82" s="4" t="s">
        <v>183</v>
      </c>
      <c r="E82" s="4" t="s">
        <v>724</v>
      </c>
      <c r="F82" s="4" t="s">
        <v>28</v>
      </c>
      <c r="G82" s="4" t="s">
        <v>185</v>
      </c>
      <c r="H82" s="4" t="s">
        <v>203</v>
      </c>
      <c r="J82" s="4" t="s">
        <v>204</v>
      </c>
      <c r="K82" s="4" t="s">
        <v>485</v>
      </c>
      <c r="L82" s="4" t="s">
        <v>206</v>
      </c>
      <c r="M82" s="4" t="s">
        <v>529</v>
      </c>
      <c r="N82" s="4" t="s">
        <v>29</v>
      </c>
      <c r="O82" s="13" t="s">
        <v>191</v>
      </c>
      <c r="P82" s="13" t="s">
        <v>631</v>
      </c>
      <c r="Q82" s="13" t="s">
        <v>725</v>
      </c>
      <c r="S82" s="7" t="e">
        <f ca="1">IF(_xludf.ifna(VLOOKUP(B82,Parámetros!#REF!,1,0),"")="","No","Sí")</f>
        <v>#NAME?</v>
      </c>
      <c r="T82" s="7" t="str">
        <f t="shared" si="4"/>
        <v>No normativo</v>
      </c>
      <c r="U82" s="4" t="s">
        <v>195</v>
      </c>
      <c r="V82" s="4" t="s">
        <v>39</v>
      </c>
      <c r="W82" s="4" t="s">
        <v>233</v>
      </c>
      <c r="X82" s="4" t="s">
        <v>92</v>
      </c>
      <c r="Y82" s="4" t="s">
        <v>533</v>
      </c>
      <c r="Z82" s="4">
        <v>0</v>
      </c>
      <c r="AA82" s="4">
        <v>0</v>
      </c>
      <c r="AB82" s="4" t="s">
        <v>215</v>
      </c>
      <c r="AC82">
        <v>81</v>
      </c>
    </row>
    <row r="83" spans="1:29" ht="16.5" customHeight="1" x14ac:dyDescent="0.2">
      <c r="A83" s="6" t="str">
        <f t="shared" si="3"/>
        <v>SDATOOL-36869 $ Horizon Data - Colombia</v>
      </c>
      <c r="B83" s="4" t="s">
        <v>726</v>
      </c>
      <c r="C83" s="4" t="s">
        <v>727</v>
      </c>
      <c r="D83" s="4" t="s">
        <v>183</v>
      </c>
      <c r="E83" s="4" t="s">
        <v>728</v>
      </c>
      <c r="F83" s="4" t="s">
        <v>43</v>
      </c>
      <c r="G83" s="4" t="s">
        <v>185</v>
      </c>
      <c r="H83" s="4" t="s">
        <v>186</v>
      </c>
      <c r="J83" s="4" t="s">
        <v>204</v>
      </c>
      <c r="K83" s="4" t="s">
        <v>485</v>
      </c>
      <c r="L83" s="4" t="s">
        <v>729</v>
      </c>
      <c r="M83" s="4" t="s">
        <v>730</v>
      </c>
      <c r="N83" s="4" t="s">
        <v>15</v>
      </c>
      <c r="O83" s="13" t="s">
        <v>488</v>
      </c>
      <c r="P83" s="13" t="s">
        <v>488</v>
      </c>
      <c r="Q83" s="13" t="s">
        <v>488</v>
      </c>
      <c r="R83" s="4" t="s">
        <v>731</v>
      </c>
      <c r="S83" s="7" t="e">
        <f ca="1">IF(_xludf.ifna(VLOOKUP(B83,Parámetros!#REF!,1,0),"")="","No","Sí")</f>
        <v>#NAME?</v>
      </c>
      <c r="T83" s="7" t="str">
        <f t="shared" si="4"/>
        <v>No normativo</v>
      </c>
      <c r="U83" s="4" t="s">
        <v>732</v>
      </c>
      <c r="V83" s="4" t="s">
        <v>39</v>
      </c>
      <c r="W83" s="4" t="s">
        <v>212</v>
      </c>
      <c r="X83" s="4" t="s">
        <v>407</v>
      </c>
      <c r="Y83" s="4" t="s">
        <v>733</v>
      </c>
      <c r="Z83" s="5">
        <v>11064411698</v>
      </c>
      <c r="AA83" s="5">
        <v>10614094115</v>
      </c>
      <c r="AB83" s="4" t="s">
        <v>215</v>
      </c>
      <c r="AC83">
        <v>82</v>
      </c>
    </row>
    <row r="84" spans="1:29" ht="16.5" hidden="1" customHeight="1" x14ac:dyDescent="0.2">
      <c r="A84" s="6" t="str">
        <f t="shared" si="3"/>
        <v>SDATOOL-36903 $ ATM's recicladores: Homologación y funcionalidad EtapaII</v>
      </c>
      <c r="B84" s="4" t="s">
        <v>734</v>
      </c>
      <c r="C84" s="4" t="s">
        <v>735</v>
      </c>
      <c r="D84" s="4" t="s">
        <v>183</v>
      </c>
      <c r="E84" s="4" t="s">
        <v>736</v>
      </c>
      <c r="F84" s="4" t="s">
        <v>35</v>
      </c>
      <c r="G84" s="4" t="s">
        <v>185</v>
      </c>
      <c r="H84" s="4" t="s">
        <v>203</v>
      </c>
      <c r="J84" s="4" t="s">
        <v>204</v>
      </c>
      <c r="K84" s="4" t="s">
        <v>485</v>
      </c>
      <c r="L84" s="4" t="s">
        <v>206</v>
      </c>
      <c r="M84" s="4" t="s">
        <v>737</v>
      </c>
      <c r="N84" s="4" t="s">
        <v>29</v>
      </c>
      <c r="O84" s="13" t="s">
        <v>738</v>
      </c>
      <c r="P84" s="13" t="s">
        <v>413</v>
      </c>
      <c r="Q84" s="13" t="s">
        <v>638</v>
      </c>
      <c r="R84" s="4" t="s">
        <v>366</v>
      </c>
      <c r="S84" s="7" t="e">
        <f ca="1">IF(_xludf.ifna(VLOOKUP(B84,Parámetros!#REF!,1,0),"")="","No","Sí")</f>
        <v>#NAME?</v>
      </c>
      <c r="T84" s="7" t="str">
        <f t="shared" si="4"/>
        <v>No normativo</v>
      </c>
      <c r="U84" s="4" t="s">
        <v>195</v>
      </c>
      <c r="V84" s="4" t="s">
        <v>39</v>
      </c>
      <c r="W84" s="4" t="s">
        <v>196</v>
      </c>
      <c r="X84" s="4" t="s">
        <v>246</v>
      </c>
      <c r="Y84" s="4" t="s">
        <v>265</v>
      </c>
      <c r="Z84" s="5">
        <v>248594336</v>
      </c>
      <c r="AA84" s="5">
        <v>231968338</v>
      </c>
      <c r="AB84" s="4" t="s">
        <v>215</v>
      </c>
      <c r="AC84">
        <v>83</v>
      </c>
    </row>
    <row r="85" spans="1:29" ht="16.5" customHeight="1" x14ac:dyDescent="0.2">
      <c r="A85" s="6" t="str">
        <f t="shared" si="3"/>
        <v>SDATOOL-36918 $ Conciliación Automática del Aplicativo Módulo de Notas Contables - CKR1</v>
      </c>
      <c r="B85" s="4" t="s">
        <v>739</v>
      </c>
      <c r="C85" s="4" t="s">
        <v>740</v>
      </c>
      <c r="D85" s="4" t="s">
        <v>183</v>
      </c>
      <c r="E85" s="4" t="s">
        <v>741</v>
      </c>
      <c r="F85" s="4" t="s">
        <v>50</v>
      </c>
      <c r="G85" s="4" t="s">
        <v>185</v>
      </c>
      <c r="H85" s="4" t="s">
        <v>186</v>
      </c>
      <c r="J85" s="4" t="s">
        <v>204</v>
      </c>
      <c r="K85" s="4" t="s">
        <v>664</v>
      </c>
      <c r="L85" s="4" t="s">
        <v>386</v>
      </c>
      <c r="M85" s="4" t="s">
        <v>742</v>
      </c>
      <c r="N85" s="4" t="s">
        <v>15</v>
      </c>
      <c r="O85" s="13" t="s">
        <v>743</v>
      </c>
      <c r="P85" s="13" t="s">
        <v>279</v>
      </c>
      <c r="Q85" s="13" t="s">
        <v>318</v>
      </c>
      <c r="R85" s="4" t="s">
        <v>744</v>
      </c>
      <c r="S85" s="7" t="e">
        <f ca="1">IF(_xludf.ifna(VLOOKUP(B85,Parámetros!#REF!,1,0),"")="","No","Sí")</f>
        <v>#NAME?</v>
      </c>
      <c r="T85" s="7" t="str">
        <f t="shared" si="4"/>
        <v>No normativo</v>
      </c>
      <c r="U85" s="4" t="s">
        <v>195</v>
      </c>
      <c r="V85" s="4" t="s">
        <v>39</v>
      </c>
      <c r="W85" s="4" t="s">
        <v>196</v>
      </c>
      <c r="X85" s="4" t="s">
        <v>246</v>
      </c>
      <c r="Y85" s="4" t="s">
        <v>265</v>
      </c>
      <c r="Z85" s="5">
        <v>14000136</v>
      </c>
      <c r="AA85" s="5">
        <v>19315927</v>
      </c>
      <c r="AB85" s="4" t="s">
        <v>215</v>
      </c>
      <c r="AC85">
        <v>84</v>
      </c>
    </row>
    <row r="86" spans="1:29" ht="16.5" customHeight="1" x14ac:dyDescent="0.2">
      <c r="A86" s="6" t="str">
        <f t="shared" si="3"/>
        <v>SDATOOL-36929 $ Ciclo 1 - Resolución 098 de 2020 DIAN - Reportes de Información Exogena</v>
      </c>
      <c r="B86" s="4" t="s">
        <v>745</v>
      </c>
      <c r="C86" s="4" t="s">
        <v>746</v>
      </c>
      <c r="D86" s="4" t="s">
        <v>183</v>
      </c>
      <c r="E86" s="4" t="s">
        <v>747</v>
      </c>
      <c r="F86" s="4" t="s">
        <v>50</v>
      </c>
      <c r="G86" s="4" t="s">
        <v>185</v>
      </c>
      <c r="H86" s="4" t="s">
        <v>186</v>
      </c>
      <c r="K86" s="4" t="s">
        <v>485</v>
      </c>
      <c r="L86" s="4" t="s">
        <v>386</v>
      </c>
      <c r="M86" s="4" t="s">
        <v>748</v>
      </c>
      <c r="N86" s="4" t="s">
        <v>15</v>
      </c>
      <c r="O86" s="13" t="s">
        <v>568</v>
      </c>
      <c r="P86" s="13" t="s">
        <v>455</v>
      </c>
      <c r="Q86" s="13" t="s">
        <v>318</v>
      </c>
      <c r="R86" s="4" t="s">
        <v>457</v>
      </c>
      <c r="S86" s="7" t="e">
        <f ca="1">IF(_xludf.ifna(VLOOKUP(B86,Parámetros!#REF!,1,0),"")="","No","Sí")</f>
        <v>#NAME?</v>
      </c>
      <c r="T86" s="7" t="str">
        <f t="shared" si="4"/>
        <v>No normativo</v>
      </c>
      <c r="U86" s="4" t="s">
        <v>224</v>
      </c>
      <c r="V86" s="4" t="s">
        <v>39</v>
      </c>
      <c r="W86" s="4" t="s">
        <v>196</v>
      </c>
      <c r="X86" s="4" t="s">
        <v>246</v>
      </c>
      <c r="Y86" s="4" t="s">
        <v>265</v>
      </c>
      <c r="Z86" s="5">
        <v>260223583</v>
      </c>
      <c r="AA86" s="5">
        <v>253351691</v>
      </c>
      <c r="AB86" s="4" t="s">
        <v>215</v>
      </c>
      <c r="AC86">
        <v>85</v>
      </c>
    </row>
    <row r="87" spans="1:29" ht="16.5" hidden="1" customHeight="1" x14ac:dyDescent="0.2">
      <c r="A87" s="6" t="str">
        <f t="shared" si="3"/>
        <v>SDATOOL-36949 $ Consultoría para presentación de proyectos I+D+I a Colciencias para acceso a beneficios tributarios.</v>
      </c>
      <c r="B87" s="4" t="s">
        <v>749</v>
      </c>
      <c r="C87" s="4" t="s">
        <v>750</v>
      </c>
      <c r="D87" s="4" t="s">
        <v>183</v>
      </c>
      <c r="E87" s="4" t="s">
        <v>751</v>
      </c>
      <c r="F87" s="4" t="s">
        <v>28</v>
      </c>
      <c r="G87" s="4" t="s">
        <v>185</v>
      </c>
      <c r="H87" s="4" t="s">
        <v>752</v>
      </c>
      <c r="J87" s="4" t="s">
        <v>204</v>
      </c>
      <c r="K87" s="4" t="s">
        <v>361</v>
      </c>
      <c r="L87" s="4" t="s">
        <v>394</v>
      </c>
      <c r="M87" s="4" t="s">
        <v>753</v>
      </c>
      <c r="N87" s="4" t="s">
        <v>15</v>
      </c>
      <c r="O87" s="13" t="s">
        <v>754</v>
      </c>
      <c r="S87" s="7" t="e">
        <f ca="1">IF(_xludf.ifna(VLOOKUP(B87,Parámetros!#REF!,1,0),"")="","No","Sí")</f>
        <v>#NAME?</v>
      </c>
      <c r="T87" s="7" t="str">
        <f t="shared" si="4"/>
        <v>No normativo</v>
      </c>
      <c r="U87" s="4" t="s">
        <v>195</v>
      </c>
      <c r="V87" s="4" t="s">
        <v>39</v>
      </c>
      <c r="W87" s="4" t="s">
        <v>300</v>
      </c>
      <c r="X87" s="4" t="s">
        <v>301</v>
      </c>
      <c r="Y87" s="4" t="s">
        <v>755</v>
      </c>
      <c r="Z87" s="5">
        <v>231824527</v>
      </c>
      <c r="AA87" s="5">
        <v>231824527</v>
      </c>
      <c r="AB87" s="4" t="s">
        <v>215</v>
      </c>
      <c r="AC87">
        <v>86</v>
      </c>
    </row>
    <row r="88" spans="1:29" ht="16.5" hidden="1" customHeight="1" x14ac:dyDescent="0.2">
      <c r="A88" s="6" t="str">
        <f t="shared" si="3"/>
        <v>SDATOOL-37009 $ Margen Financiero de Interés - impactado por el proceso de IFRS</v>
      </c>
      <c r="B88" s="4" t="s">
        <v>756</v>
      </c>
      <c r="C88" s="4" t="s">
        <v>757</v>
      </c>
      <c r="D88" s="4" t="s">
        <v>183</v>
      </c>
      <c r="E88" s="4" t="s">
        <v>758</v>
      </c>
      <c r="F88" s="4" t="s">
        <v>50</v>
      </c>
      <c r="G88" s="4" t="s">
        <v>185</v>
      </c>
      <c r="H88" s="4" t="s">
        <v>203</v>
      </c>
      <c r="J88" s="4" t="s">
        <v>204</v>
      </c>
      <c r="K88" s="4" t="s">
        <v>664</v>
      </c>
      <c r="L88" s="4" t="s">
        <v>206</v>
      </c>
      <c r="M88" s="4" t="s">
        <v>759</v>
      </c>
      <c r="N88" s="4" t="s">
        <v>15</v>
      </c>
      <c r="O88" s="13" t="s">
        <v>743</v>
      </c>
      <c r="P88" s="13" t="s">
        <v>279</v>
      </c>
      <c r="Q88" s="13" t="s">
        <v>318</v>
      </c>
      <c r="R88" s="4" t="s">
        <v>760</v>
      </c>
      <c r="S88" s="7" t="e">
        <f ca="1">IF(_xludf.ifna(VLOOKUP(B88,Parámetros!#REF!,1,0),"")="","No","Sí")</f>
        <v>#NAME?</v>
      </c>
      <c r="T88" s="7" t="str">
        <f t="shared" si="4"/>
        <v>No normativo</v>
      </c>
      <c r="U88" s="4" t="s">
        <v>195</v>
      </c>
      <c r="V88" s="4" t="s">
        <v>39</v>
      </c>
      <c r="W88" s="4" t="s">
        <v>196</v>
      </c>
      <c r="X88" s="4" t="s">
        <v>246</v>
      </c>
      <c r="Y88" s="4" t="s">
        <v>265</v>
      </c>
      <c r="Z88" s="5">
        <v>5139984</v>
      </c>
      <c r="AA88" s="5">
        <v>5139984</v>
      </c>
      <c r="AB88" s="4" t="s">
        <v>215</v>
      </c>
      <c r="AC88">
        <v>87</v>
      </c>
    </row>
    <row r="89" spans="1:29" ht="16.5" hidden="1" customHeight="1" x14ac:dyDescent="0.2">
      <c r="A89" s="6" t="str">
        <f t="shared" si="3"/>
        <v>SDATOOL-37054 $ Módulo de Conciliación.</v>
      </c>
      <c r="B89" s="4" t="s">
        <v>761</v>
      </c>
      <c r="C89" s="4" t="s">
        <v>762</v>
      </c>
      <c r="D89" s="4" t="s">
        <v>763</v>
      </c>
      <c r="E89" s="4" t="s">
        <v>764</v>
      </c>
      <c r="F89" s="4" t="s">
        <v>28</v>
      </c>
      <c r="G89" s="4" t="s">
        <v>185</v>
      </c>
      <c r="H89" s="4" t="s">
        <v>203</v>
      </c>
      <c r="J89" s="4" t="s">
        <v>204</v>
      </c>
      <c r="K89" s="4" t="s">
        <v>485</v>
      </c>
      <c r="L89" s="4" t="s">
        <v>206</v>
      </c>
      <c r="M89" s="4" t="s">
        <v>765</v>
      </c>
      <c r="N89" s="4" t="s">
        <v>51</v>
      </c>
      <c r="O89" s="13" t="s">
        <v>480</v>
      </c>
      <c r="P89" s="13" t="s">
        <v>766</v>
      </c>
      <c r="Q89" s="13" t="s">
        <v>767</v>
      </c>
      <c r="S89" s="7" t="e">
        <f ca="1">IF(_xludf.ifna(VLOOKUP(B89,Parámetros!#REF!,1,0),"")="","No","Sí")</f>
        <v>#NAME?</v>
      </c>
      <c r="T89" s="7" t="str">
        <f t="shared" si="4"/>
        <v>No normativo</v>
      </c>
      <c r="U89" s="4" t="s">
        <v>195</v>
      </c>
      <c r="V89" s="4" t="s">
        <v>39</v>
      </c>
      <c r="W89" s="4" t="s">
        <v>196</v>
      </c>
      <c r="X89" s="4" t="s">
        <v>197</v>
      </c>
      <c r="Y89" s="4" t="s">
        <v>198</v>
      </c>
      <c r="Z89" s="4">
        <v>0</v>
      </c>
      <c r="AA89" s="4">
        <v>0</v>
      </c>
      <c r="AB89" s="4" t="s">
        <v>215</v>
      </c>
      <c r="AC89">
        <v>88</v>
      </c>
    </row>
    <row r="90" spans="1:29" ht="16.5" customHeight="1" x14ac:dyDescent="0.2">
      <c r="A90" s="6" t="str">
        <f t="shared" si="3"/>
        <v>SDATOOL-37055 $ Cash in- PSE - Plan Ascenso Privado</v>
      </c>
      <c r="B90" s="4" t="s">
        <v>157</v>
      </c>
      <c r="C90" s="4" t="s">
        <v>768</v>
      </c>
      <c r="D90" s="4" t="s">
        <v>183</v>
      </c>
      <c r="E90" s="4" t="s">
        <v>769</v>
      </c>
      <c r="F90" s="4" t="s">
        <v>28</v>
      </c>
      <c r="G90" s="4" t="s">
        <v>185</v>
      </c>
      <c r="H90" s="4" t="s">
        <v>186</v>
      </c>
      <c r="I90" s="4" t="s">
        <v>186</v>
      </c>
      <c r="J90" s="4" t="s">
        <v>204</v>
      </c>
      <c r="K90" s="4" t="s">
        <v>770</v>
      </c>
      <c r="L90" s="4" t="s">
        <v>240</v>
      </c>
      <c r="M90" s="4" t="s">
        <v>529</v>
      </c>
      <c r="N90" s="4" t="s">
        <v>29</v>
      </c>
      <c r="O90" s="13" t="s">
        <v>530</v>
      </c>
      <c r="P90" s="13" t="s">
        <v>771</v>
      </c>
      <c r="Q90" s="13" t="s">
        <v>543</v>
      </c>
      <c r="S90" s="7" t="e">
        <f ca="1">IF(_xludf.ifna(VLOOKUP(B90,Parámetros!#REF!,1,0),"")="","No","Sí")</f>
        <v>#NAME?</v>
      </c>
      <c r="T90" s="7" t="str">
        <f t="shared" si="4"/>
        <v>No normativo</v>
      </c>
      <c r="U90" s="4" t="s">
        <v>195</v>
      </c>
      <c r="V90" s="4" t="s">
        <v>39</v>
      </c>
      <c r="W90" s="4" t="s">
        <v>233</v>
      </c>
      <c r="X90" s="4" t="s">
        <v>92</v>
      </c>
      <c r="Y90" s="4" t="s">
        <v>533</v>
      </c>
      <c r="Z90" s="5">
        <v>2426939163</v>
      </c>
      <c r="AA90" s="5">
        <v>686599099</v>
      </c>
      <c r="AB90" s="4" t="s">
        <v>180</v>
      </c>
      <c r="AC90">
        <v>89</v>
      </c>
    </row>
    <row r="91" spans="1:29" ht="16.5" customHeight="1" x14ac:dyDescent="0.2">
      <c r="A91" s="6" t="str">
        <f t="shared" si="3"/>
        <v>SDATOOL-37057 $ Pagos QR - Entre cuentas Redeban - Plan Ascenso Mercurio</v>
      </c>
      <c r="B91" s="4" t="s">
        <v>156</v>
      </c>
      <c r="C91" s="4" t="s">
        <v>772</v>
      </c>
      <c r="D91" s="4" t="s">
        <v>183</v>
      </c>
      <c r="E91" s="4" t="s">
        <v>773</v>
      </c>
      <c r="F91" s="4" t="s">
        <v>28</v>
      </c>
      <c r="G91" s="4" t="s">
        <v>185</v>
      </c>
      <c r="H91" s="4" t="s">
        <v>186</v>
      </c>
      <c r="J91" s="4" t="s">
        <v>204</v>
      </c>
      <c r="K91" s="4" t="s">
        <v>664</v>
      </c>
      <c r="L91" s="4" t="s">
        <v>386</v>
      </c>
      <c r="M91" s="4" t="s">
        <v>665</v>
      </c>
      <c r="N91" s="4" t="s">
        <v>29</v>
      </c>
      <c r="O91" s="13" t="s">
        <v>480</v>
      </c>
      <c r="P91" s="13" t="s">
        <v>209</v>
      </c>
      <c r="Q91" s="13" t="s">
        <v>555</v>
      </c>
      <c r="R91" s="4" t="s">
        <v>366</v>
      </c>
      <c r="S91" s="7" t="e">
        <f ca="1">IF(_xludf.ifna(VLOOKUP(B91,Parámetros!#REF!,1,0),"")="","No","Sí")</f>
        <v>#NAME?</v>
      </c>
      <c r="T91" s="7" t="str">
        <f t="shared" si="4"/>
        <v>No normativo</v>
      </c>
      <c r="U91" s="4" t="s">
        <v>195</v>
      </c>
      <c r="V91" s="4" t="s">
        <v>39</v>
      </c>
      <c r="W91" s="4" t="s">
        <v>233</v>
      </c>
      <c r="X91" s="4" t="s">
        <v>234</v>
      </c>
      <c r="Y91" s="4" t="s">
        <v>667</v>
      </c>
      <c r="Z91" s="5">
        <v>208756456</v>
      </c>
      <c r="AA91" s="5">
        <v>307510332</v>
      </c>
      <c r="AB91" s="4" t="s">
        <v>215</v>
      </c>
      <c r="AC91">
        <v>90</v>
      </c>
    </row>
    <row r="92" spans="1:29" ht="16.5" customHeight="1" x14ac:dyDescent="0.2">
      <c r="A92" s="6" t="str">
        <f t="shared" si="3"/>
        <v>SDATOOL-37061 $ Plan de Lealtad Comecios -Plan Ascenso Autónomos</v>
      </c>
      <c r="B92" s="4" t="s">
        <v>101</v>
      </c>
      <c r="C92" s="4" t="s">
        <v>774</v>
      </c>
      <c r="D92" s="4" t="s">
        <v>183</v>
      </c>
      <c r="E92" s="4" t="s">
        <v>775</v>
      </c>
      <c r="F92" s="4" t="s">
        <v>28</v>
      </c>
      <c r="G92" s="4" t="s">
        <v>185</v>
      </c>
      <c r="H92" s="4" t="s">
        <v>186</v>
      </c>
      <c r="J92" s="4" t="s">
        <v>204</v>
      </c>
      <c r="K92" s="4" t="s">
        <v>664</v>
      </c>
      <c r="L92" s="4" t="s">
        <v>386</v>
      </c>
      <c r="M92" s="4" t="s">
        <v>665</v>
      </c>
      <c r="N92" s="4" t="s">
        <v>51</v>
      </c>
      <c r="O92" s="13" t="s">
        <v>480</v>
      </c>
      <c r="P92" s="13" t="s">
        <v>776</v>
      </c>
      <c r="Q92" s="13" t="s">
        <v>555</v>
      </c>
      <c r="R92" s="4" t="s">
        <v>366</v>
      </c>
      <c r="S92" s="7" t="e">
        <f ca="1">IF(_xludf.ifna(VLOOKUP(B92,Parámetros!#REF!,1,0),"")="","No","Sí")</f>
        <v>#NAME?</v>
      </c>
      <c r="T92" s="7" t="str">
        <f t="shared" si="4"/>
        <v>No normativo</v>
      </c>
      <c r="U92" s="4" t="s">
        <v>195</v>
      </c>
      <c r="V92" s="4" t="s">
        <v>39</v>
      </c>
      <c r="W92" s="4" t="s">
        <v>233</v>
      </c>
      <c r="X92" s="4" t="s">
        <v>234</v>
      </c>
      <c r="Y92" s="4" t="s">
        <v>667</v>
      </c>
      <c r="Z92" s="5">
        <v>525863849</v>
      </c>
      <c r="AA92" s="5">
        <v>732884163</v>
      </c>
      <c r="AB92" s="4" t="s">
        <v>215</v>
      </c>
      <c r="AC92">
        <v>91</v>
      </c>
    </row>
    <row r="93" spans="1:29" ht="16.5" hidden="1" customHeight="1" x14ac:dyDescent="0.2">
      <c r="A93" s="6" t="str">
        <f t="shared" si="3"/>
        <v>SDATOOL-37085 $ Factoring - Tigo</v>
      </c>
      <c r="B93" s="4" t="s">
        <v>777</v>
      </c>
      <c r="C93" s="4" t="s">
        <v>778</v>
      </c>
      <c r="D93" s="4" t="s">
        <v>183</v>
      </c>
      <c r="E93" s="4" t="s">
        <v>779</v>
      </c>
      <c r="F93" s="4" t="s">
        <v>28</v>
      </c>
      <c r="G93" s="4" t="s">
        <v>185</v>
      </c>
      <c r="H93" s="4" t="s">
        <v>203</v>
      </c>
      <c r="J93" s="4" t="s">
        <v>204</v>
      </c>
      <c r="K93" s="4" t="s">
        <v>485</v>
      </c>
      <c r="L93" s="4" t="s">
        <v>206</v>
      </c>
      <c r="M93" s="4" t="s">
        <v>780</v>
      </c>
      <c r="N93" s="4" t="s">
        <v>44</v>
      </c>
      <c r="O93" s="13" t="s">
        <v>404</v>
      </c>
      <c r="P93" s="13" t="s">
        <v>433</v>
      </c>
      <c r="Q93" s="13" t="s">
        <v>434</v>
      </c>
      <c r="R93" s="4" t="s">
        <v>366</v>
      </c>
      <c r="S93" s="7" t="e">
        <f ca="1">IF(_xludf.ifna(VLOOKUP(B93,Parámetros!#REF!,1,0),"")="","No","Sí")</f>
        <v>#NAME?</v>
      </c>
      <c r="T93" s="7" t="str">
        <f t="shared" si="4"/>
        <v>No normativo</v>
      </c>
      <c r="U93" s="4" t="s">
        <v>195</v>
      </c>
      <c r="V93" s="4" t="s">
        <v>39</v>
      </c>
      <c r="W93" s="4" t="s">
        <v>300</v>
      </c>
      <c r="X93" s="4" t="s">
        <v>301</v>
      </c>
      <c r="Y93" s="4" t="s">
        <v>302</v>
      </c>
      <c r="Z93" s="5">
        <v>258303097</v>
      </c>
      <c r="AA93" s="5">
        <v>258303097</v>
      </c>
      <c r="AB93" s="4" t="s">
        <v>215</v>
      </c>
      <c r="AC93">
        <v>92</v>
      </c>
    </row>
    <row r="94" spans="1:29" ht="16.5" customHeight="1" x14ac:dyDescent="0.2">
      <c r="A94" s="6" t="str">
        <f t="shared" si="3"/>
        <v>SDATOOL-37086 $ Factura electrónica (radian)</v>
      </c>
      <c r="B94" s="4" t="s">
        <v>781</v>
      </c>
      <c r="C94" s="4" t="s">
        <v>782</v>
      </c>
      <c r="D94" s="4" t="s">
        <v>183</v>
      </c>
      <c r="E94" s="4" t="s">
        <v>783</v>
      </c>
      <c r="F94" s="4" t="s">
        <v>28</v>
      </c>
      <c r="G94" s="4" t="s">
        <v>185</v>
      </c>
      <c r="H94" s="4" t="s">
        <v>186</v>
      </c>
      <c r="J94" s="4" t="s">
        <v>204</v>
      </c>
      <c r="K94" s="4" t="s">
        <v>664</v>
      </c>
      <c r="L94" s="4" t="s">
        <v>394</v>
      </c>
      <c r="M94" s="4" t="s">
        <v>540</v>
      </c>
      <c r="N94" s="4" t="s">
        <v>44</v>
      </c>
      <c r="O94" s="13" t="s">
        <v>404</v>
      </c>
      <c r="P94" s="13" t="s">
        <v>784</v>
      </c>
      <c r="Q94" s="13" t="s">
        <v>434</v>
      </c>
      <c r="R94" s="4" t="s">
        <v>366</v>
      </c>
      <c r="S94" s="7" t="e">
        <f ca="1">IF(_xludf.ifna(VLOOKUP(B94,Parámetros!#REF!,1,0),"")="","No","Sí")</f>
        <v>#NAME?</v>
      </c>
      <c r="T94" s="7" t="str">
        <f t="shared" si="4"/>
        <v>No normativo</v>
      </c>
      <c r="U94" s="4" t="s">
        <v>195</v>
      </c>
      <c r="V94" s="4" t="s">
        <v>39</v>
      </c>
      <c r="W94" s="4" t="s">
        <v>300</v>
      </c>
      <c r="X94" s="4" t="s">
        <v>301</v>
      </c>
      <c r="Y94" s="4" t="s">
        <v>302</v>
      </c>
      <c r="Z94" s="5">
        <v>1162928067</v>
      </c>
      <c r="AA94" s="5">
        <v>1085038578</v>
      </c>
      <c r="AB94" s="4" t="s">
        <v>180</v>
      </c>
      <c r="AC94">
        <v>93</v>
      </c>
    </row>
    <row r="95" spans="1:29" ht="16.5" customHeight="1" x14ac:dyDescent="0.2">
      <c r="A95" s="6" t="str">
        <f t="shared" si="3"/>
        <v>SDATOOL-37098 $ Pago de préstamos en CBs</v>
      </c>
      <c r="B95" s="4" t="s">
        <v>785</v>
      </c>
      <c r="C95" s="4" t="s">
        <v>786</v>
      </c>
      <c r="D95" s="4" t="s">
        <v>183</v>
      </c>
      <c r="E95" s="4" t="s">
        <v>787</v>
      </c>
      <c r="F95" s="4" t="s">
        <v>28</v>
      </c>
      <c r="G95" s="4" t="s">
        <v>185</v>
      </c>
      <c r="H95" s="4" t="s">
        <v>186</v>
      </c>
      <c r="J95" s="4" t="s">
        <v>204</v>
      </c>
      <c r="K95" s="4" t="s">
        <v>664</v>
      </c>
      <c r="L95" s="4" t="s">
        <v>386</v>
      </c>
      <c r="M95" s="4" t="s">
        <v>788</v>
      </c>
      <c r="N95" s="4" t="s">
        <v>29</v>
      </c>
      <c r="O95" s="13" t="s">
        <v>473</v>
      </c>
      <c r="P95" s="13" t="s">
        <v>474</v>
      </c>
      <c r="Q95" s="13" t="s">
        <v>638</v>
      </c>
      <c r="S95" s="7" t="e">
        <f ca="1">IF(_xludf.ifna(VLOOKUP(B95,Parámetros!#REF!,1,0),"")="","No","Sí")</f>
        <v>#NAME?</v>
      </c>
      <c r="T95" s="7" t="str">
        <f t="shared" si="4"/>
        <v>No normativo</v>
      </c>
      <c r="U95" s="4" t="s">
        <v>195</v>
      </c>
      <c r="V95" s="4" t="s">
        <v>39</v>
      </c>
      <c r="W95" s="4" t="s">
        <v>196</v>
      </c>
      <c r="X95" s="4" t="s">
        <v>246</v>
      </c>
      <c r="Y95" s="4" t="s">
        <v>265</v>
      </c>
      <c r="Z95" s="5">
        <v>59999844</v>
      </c>
      <c r="AA95" s="5">
        <v>67499855</v>
      </c>
      <c r="AB95" s="4" t="s">
        <v>215</v>
      </c>
      <c r="AC95">
        <v>94</v>
      </c>
    </row>
    <row r="96" spans="1:29" ht="16.5" customHeight="1" x14ac:dyDescent="0.2">
      <c r="A96" s="6" t="str">
        <f t="shared" si="3"/>
        <v>SDATOOL-37099 $ Pago de tarjeta de crédito en CBs</v>
      </c>
      <c r="B96" s="4" t="s">
        <v>789</v>
      </c>
      <c r="C96" s="4" t="s">
        <v>790</v>
      </c>
      <c r="D96" s="4" t="s">
        <v>183</v>
      </c>
      <c r="E96" s="4" t="s">
        <v>787</v>
      </c>
      <c r="F96" s="4" t="s">
        <v>28</v>
      </c>
      <c r="G96" s="4" t="s">
        <v>185</v>
      </c>
      <c r="H96" s="4" t="s">
        <v>186</v>
      </c>
      <c r="J96" s="4" t="s">
        <v>204</v>
      </c>
      <c r="K96" s="4" t="s">
        <v>664</v>
      </c>
      <c r="L96" s="4" t="s">
        <v>386</v>
      </c>
      <c r="M96" s="4" t="s">
        <v>788</v>
      </c>
      <c r="N96" s="4" t="s">
        <v>29</v>
      </c>
      <c r="O96" s="13" t="s">
        <v>473</v>
      </c>
      <c r="P96" s="13" t="s">
        <v>474</v>
      </c>
      <c r="Q96" s="13" t="s">
        <v>532</v>
      </c>
      <c r="S96" s="7" t="e">
        <f ca="1">IF(_xludf.ifna(VLOOKUP(B96,Parámetros!#REF!,1,0),"")="","No","Sí")</f>
        <v>#NAME?</v>
      </c>
      <c r="T96" s="7" t="str">
        <f t="shared" si="4"/>
        <v>No normativo</v>
      </c>
      <c r="U96" s="4" t="s">
        <v>195</v>
      </c>
      <c r="V96" s="4" t="s">
        <v>39</v>
      </c>
      <c r="W96" s="4" t="s">
        <v>196</v>
      </c>
      <c r="X96" s="4" t="s">
        <v>246</v>
      </c>
      <c r="Y96" s="4" t="s">
        <v>265</v>
      </c>
      <c r="Z96" s="5">
        <v>59999766</v>
      </c>
      <c r="AA96" s="5">
        <v>97499698</v>
      </c>
      <c r="AB96" s="4" t="s">
        <v>215</v>
      </c>
      <c r="AC96">
        <v>95</v>
      </c>
    </row>
    <row r="97" spans="1:29" ht="16.5" customHeight="1" x14ac:dyDescent="0.2">
      <c r="A97" s="6" t="str">
        <f t="shared" si="3"/>
        <v>SDATOOL-37100 $ Soluciones de voz/Internalización del IVR - Plan Ascenso Privado</v>
      </c>
      <c r="B97" s="4" t="s">
        <v>62</v>
      </c>
      <c r="C97" s="4" t="s">
        <v>791</v>
      </c>
      <c r="D97" s="4" t="s">
        <v>183</v>
      </c>
      <c r="E97" s="4" t="s">
        <v>792</v>
      </c>
      <c r="F97" s="4" t="s">
        <v>28</v>
      </c>
      <c r="G97" s="4" t="s">
        <v>185</v>
      </c>
      <c r="H97" s="4" t="s">
        <v>186</v>
      </c>
      <c r="I97" s="4" t="s">
        <v>186</v>
      </c>
      <c r="J97" s="4" t="s">
        <v>204</v>
      </c>
      <c r="K97" s="4" t="s">
        <v>664</v>
      </c>
      <c r="L97" s="4" t="s">
        <v>394</v>
      </c>
      <c r="M97" s="4" t="s">
        <v>793</v>
      </c>
      <c r="N97" s="4" t="s">
        <v>29</v>
      </c>
      <c r="O97" s="13" t="s">
        <v>794</v>
      </c>
      <c r="P97" s="13" t="s">
        <v>795</v>
      </c>
      <c r="Q97" s="13" t="s">
        <v>475</v>
      </c>
      <c r="R97" s="4" t="s">
        <v>366</v>
      </c>
      <c r="S97" s="7" t="e">
        <f ca="1">IF(_xludf.ifna(VLOOKUP(B97,Parámetros!#REF!,1,0),"")="","No","Sí")</f>
        <v>#NAME?</v>
      </c>
      <c r="T97" s="7" t="str">
        <f t="shared" si="4"/>
        <v>No normativo</v>
      </c>
      <c r="U97" s="4" t="s">
        <v>195</v>
      </c>
      <c r="V97" s="4" t="s">
        <v>39</v>
      </c>
      <c r="W97" s="4" t="s">
        <v>196</v>
      </c>
      <c r="X97" s="4" t="s">
        <v>426</v>
      </c>
      <c r="Y97" s="4" t="s">
        <v>427</v>
      </c>
      <c r="Z97" s="4">
        <v>0</v>
      </c>
      <c r="AA97" s="5">
        <v>745808942</v>
      </c>
      <c r="AB97" s="4" t="s">
        <v>180</v>
      </c>
      <c r="AC97">
        <v>96</v>
      </c>
    </row>
    <row r="98" spans="1:29" ht="16.5" customHeight="1" x14ac:dyDescent="0.2">
      <c r="A98" s="6" t="str">
        <f t="shared" si="3"/>
        <v>SDATOOL-37111 $ Cuenta Maestra Adres</v>
      </c>
      <c r="B98" s="4" t="s">
        <v>796</v>
      </c>
      <c r="C98" s="4" t="s">
        <v>797</v>
      </c>
      <c r="D98" s="4" t="s">
        <v>183</v>
      </c>
      <c r="E98" s="4" t="s">
        <v>798</v>
      </c>
      <c r="F98" s="4" t="s">
        <v>28</v>
      </c>
      <c r="G98" s="4" t="s">
        <v>185</v>
      </c>
      <c r="H98" s="4" t="s">
        <v>186</v>
      </c>
      <c r="J98" s="4" t="s">
        <v>204</v>
      </c>
      <c r="K98" s="4" t="s">
        <v>485</v>
      </c>
      <c r="L98" s="4" t="s">
        <v>189</v>
      </c>
      <c r="M98" s="4" t="s">
        <v>540</v>
      </c>
      <c r="N98" s="4" t="s">
        <v>36</v>
      </c>
      <c r="O98" s="13" t="s">
        <v>541</v>
      </c>
      <c r="P98" s="13" t="s">
        <v>542</v>
      </c>
      <c r="Q98" s="13" t="s">
        <v>574</v>
      </c>
      <c r="R98" s="4" t="s">
        <v>366</v>
      </c>
      <c r="S98" s="7" t="e">
        <f ca="1">IF(_xludf.ifna(VLOOKUP(B98,Parámetros!#REF!,1,0),"")="","No","Sí")</f>
        <v>#NAME?</v>
      </c>
      <c r="T98" s="7" t="str">
        <f t="shared" si="4"/>
        <v>No normativo</v>
      </c>
      <c r="U98" s="4" t="s">
        <v>195</v>
      </c>
      <c r="V98" s="4" t="s">
        <v>39</v>
      </c>
      <c r="W98" s="4" t="s">
        <v>300</v>
      </c>
      <c r="X98" s="4" t="s">
        <v>301</v>
      </c>
      <c r="Y98" s="4" t="s">
        <v>302</v>
      </c>
      <c r="Z98" s="5">
        <v>407247623</v>
      </c>
      <c r="AA98" s="5">
        <v>421662255</v>
      </c>
      <c r="AB98" s="4" t="s">
        <v>180</v>
      </c>
      <c r="AC98">
        <v>97</v>
      </c>
    </row>
    <row r="99" spans="1:29" ht="16.5" customHeight="1" x14ac:dyDescent="0.2">
      <c r="A99" s="6" t="str">
        <f t="shared" si="3"/>
        <v>SDATOOL-37114 $ Actualización Botón pagos PSE versión 2.0</v>
      </c>
      <c r="B99" s="4" t="s">
        <v>799</v>
      </c>
      <c r="C99" s="4" t="s">
        <v>800</v>
      </c>
      <c r="D99" s="4" t="s">
        <v>183</v>
      </c>
      <c r="E99" s="4" t="s">
        <v>801</v>
      </c>
      <c r="F99" s="4" t="s">
        <v>28</v>
      </c>
      <c r="G99" s="4" t="s">
        <v>185</v>
      </c>
      <c r="H99" s="4" t="s">
        <v>186</v>
      </c>
      <c r="J99" s="4" t="s">
        <v>204</v>
      </c>
      <c r="K99" s="4" t="s">
        <v>485</v>
      </c>
      <c r="L99" s="4" t="s">
        <v>386</v>
      </c>
      <c r="M99" s="4" t="s">
        <v>802</v>
      </c>
      <c r="N99" s="4" t="s">
        <v>22</v>
      </c>
      <c r="O99" s="13" t="s">
        <v>803</v>
      </c>
      <c r="P99" s="13" t="s">
        <v>804</v>
      </c>
      <c r="Q99" s="13" t="s">
        <v>804</v>
      </c>
      <c r="S99" s="7" t="e">
        <f ca="1">IF(_xludf.ifna(VLOOKUP(B99,Parámetros!#REF!,1,0),"")="","No","Sí")</f>
        <v>#NAME?</v>
      </c>
      <c r="T99" s="7" t="str">
        <f t="shared" si="4"/>
        <v>No normativo</v>
      </c>
      <c r="U99" s="4" t="s">
        <v>195</v>
      </c>
      <c r="V99" s="4" t="s">
        <v>805</v>
      </c>
      <c r="W99" s="4" t="s">
        <v>233</v>
      </c>
      <c r="X99" s="4" t="s">
        <v>234</v>
      </c>
      <c r="Y99" s="4" t="s">
        <v>806</v>
      </c>
      <c r="Z99" s="5">
        <v>90000000</v>
      </c>
      <c r="AA99" s="5">
        <v>90000000</v>
      </c>
      <c r="AB99" s="4" t="s">
        <v>215</v>
      </c>
      <c r="AC99">
        <v>98</v>
      </c>
    </row>
    <row r="100" spans="1:29" ht="16.5" hidden="1" customHeight="1" x14ac:dyDescent="0.2">
      <c r="A100" s="6" t="str">
        <f t="shared" si="3"/>
        <v>SDATOOL-37115 $ GRM Col -Implementación de modelos reestimados - Tarjeta de crédito</v>
      </c>
      <c r="B100" s="4" t="s">
        <v>807</v>
      </c>
      <c r="C100" s="4" t="s">
        <v>808</v>
      </c>
      <c r="D100" s="4" t="s">
        <v>183</v>
      </c>
      <c r="E100" s="4" t="s">
        <v>809</v>
      </c>
      <c r="F100" s="4" t="s">
        <v>56</v>
      </c>
      <c r="G100" s="4" t="s">
        <v>185</v>
      </c>
      <c r="H100" s="4" t="s">
        <v>203</v>
      </c>
      <c r="K100" s="4" t="s">
        <v>770</v>
      </c>
      <c r="L100" s="4" t="s">
        <v>206</v>
      </c>
      <c r="M100" s="4" t="s">
        <v>810</v>
      </c>
      <c r="N100" s="4" t="s">
        <v>22</v>
      </c>
      <c r="O100" s="13" t="s">
        <v>811</v>
      </c>
      <c r="P100" s="13" t="s">
        <v>812</v>
      </c>
      <c r="Q100" s="13" t="s">
        <v>210</v>
      </c>
      <c r="R100" s="4" t="s">
        <v>813</v>
      </c>
      <c r="S100" s="7" t="e">
        <f ca="1">IF(_xludf.ifna(VLOOKUP(B100,Parámetros!#REF!,1,0),"")="","No","Sí")</f>
        <v>#NAME?</v>
      </c>
      <c r="T100" s="7" t="str">
        <f t="shared" si="4"/>
        <v>No normativo</v>
      </c>
      <c r="U100" s="4" t="s">
        <v>195</v>
      </c>
      <c r="V100" s="4" t="s">
        <v>39</v>
      </c>
      <c r="W100" s="4" t="s">
        <v>212</v>
      </c>
      <c r="X100" s="4" t="s">
        <v>213</v>
      </c>
      <c r="Y100" s="4" t="s">
        <v>814</v>
      </c>
      <c r="Z100" s="5">
        <v>42666</v>
      </c>
      <c r="AA100" s="5">
        <v>147831346</v>
      </c>
      <c r="AB100" s="4" t="s">
        <v>215</v>
      </c>
      <c r="AC100">
        <v>99</v>
      </c>
    </row>
    <row r="101" spans="1:29" ht="16.5" hidden="1" customHeight="1" x14ac:dyDescent="0.2">
      <c r="A101" s="6" t="str">
        <f t="shared" si="3"/>
        <v>SDATOOL-37119 $ Compra Inteligente Vehículo</v>
      </c>
      <c r="B101" s="4" t="s">
        <v>815</v>
      </c>
      <c r="C101" s="4" t="s">
        <v>816</v>
      </c>
      <c r="D101" s="4" t="s">
        <v>183</v>
      </c>
      <c r="E101" s="4" t="s">
        <v>817</v>
      </c>
      <c r="F101" s="4" t="s">
        <v>28</v>
      </c>
      <c r="G101" s="4" t="s">
        <v>185</v>
      </c>
      <c r="H101" s="4" t="s">
        <v>276</v>
      </c>
      <c r="J101" s="4" t="s">
        <v>204</v>
      </c>
      <c r="K101" s="4" t="s">
        <v>664</v>
      </c>
      <c r="L101" s="4" t="s">
        <v>189</v>
      </c>
      <c r="M101" s="4" t="s">
        <v>818</v>
      </c>
      <c r="N101" s="4" t="s">
        <v>29</v>
      </c>
      <c r="O101" s="13" t="s">
        <v>530</v>
      </c>
      <c r="P101" s="13" t="s">
        <v>677</v>
      </c>
      <c r="Q101" s="13" t="s">
        <v>580</v>
      </c>
      <c r="S101" s="7" t="e">
        <f ca="1">IF(_xludf.ifna(VLOOKUP(B101,Parámetros!#REF!,1,0),"")="","No","Sí")</f>
        <v>#NAME?</v>
      </c>
      <c r="T101" s="7" t="str">
        <f t="shared" si="4"/>
        <v>No normativo</v>
      </c>
      <c r="U101" s="4" t="s">
        <v>195</v>
      </c>
      <c r="V101" s="4" t="s">
        <v>39</v>
      </c>
      <c r="W101" s="4" t="s">
        <v>300</v>
      </c>
      <c r="X101" s="4" t="s">
        <v>301</v>
      </c>
      <c r="Y101" s="4" t="s">
        <v>302</v>
      </c>
      <c r="Z101" s="5">
        <v>27319724</v>
      </c>
      <c r="AA101" s="5">
        <v>27319724</v>
      </c>
      <c r="AB101" s="4" t="s">
        <v>215</v>
      </c>
      <c r="AC101">
        <v>100</v>
      </c>
    </row>
    <row r="102" spans="1:29" ht="16.5" customHeight="1" x14ac:dyDescent="0.2">
      <c r="A102" s="6" t="str">
        <f t="shared" si="3"/>
        <v>SDATOOL-37120 $ Plan experiencia única en DWP</v>
      </c>
      <c r="B102" s="4" t="s">
        <v>819</v>
      </c>
      <c r="C102" s="4" t="s">
        <v>820</v>
      </c>
      <c r="D102" s="4" t="s">
        <v>183</v>
      </c>
      <c r="E102" s="4" t="s">
        <v>821</v>
      </c>
      <c r="F102" s="4" t="s">
        <v>28</v>
      </c>
      <c r="G102" s="4" t="s">
        <v>185</v>
      </c>
      <c r="H102" s="4" t="s">
        <v>186</v>
      </c>
      <c r="J102" s="4" t="s">
        <v>204</v>
      </c>
      <c r="K102" s="4" t="s">
        <v>664</v>
      </c>
      <c r="L102" s="4" t="s">
        <v>386</v>
      </c>
      <c r="M102" s="4" t="s">
        <v>655</v>
      </c>
      <c r="N102" s="4" t="s">
        <v>22</v>
      </c>
      <c r="O102" s="13" t="s">
        <v>404</v>
      </c>
      <c r="P102" s="13" t="s">
        <v>822</v>
      </c>
      <c r="Q102" s="13" t="s">
        <v>488</v>
      </c>
      <c r="R102" s="4" t="s">
        <v>366</v>
      </c>
      <c r="S102" s="7" t="e">
        <f ca="1">IF(_xludf.ifna(VLOOKUP(B102,Parámetros!#REF!,1,0),"")="","No","Sí")</f>
        <v>#NAME?</v>
      </c>
      <c r="T102" s="7" t="str">
        <f t="shared" si="4"/>
        <v>No normativo</v>
      </c>
      <c r="U102" s="4" t="s">
        <v>195</v>
      </c>
      <c r="V102" s="4" t="s">
        <v>39</v>
      </c>
      <c r="W102" s="4" t="s">
        <v>196</v>
      </c>
      <c r="X102" s="4" t="s">
        <v>426</v>
      </c>
      <c r="Y102" s="4" t="s">
        <v>592</v>
      </c>
      <c r="Z102" s="5">
        <v>592268338</v>
      </c>
      <c r="AA102" s="5">
        <v>517636552</v>
      </c>
      <c r="AB102" s="4" t="s">
        <v>215</v>
      </c>
      <c r="AC102">
        <v>101</v>
      </c>
    </row>
    <row r="103" spans="1:29" ht="16.5" customHeight="1" x14ac:dyDescent="0.2">
      <c r="A103" s="6" t="str">
        <f t="shared" si="3"/>
        <v>SDATOOL-37121 $ Plan CRM: Seguimiento al pipeline</v>
      </c>
      <c r="B103" s="4" t="s">
        <v>34</v>
      </c>
      <c r="C103" s="4" t="s">
        <v>823</v>
      </c>
      <c r="D103" s="4" t="s">
        <v>183</v>
      </c>
      <c r="E103" s="4" t="s">
        <v>824</v>
      </c>
      <c r="F103" s="4" t="s">
        <v>28</v>
      </c>
      <c r="G103" s="4" t="s">
        <v>185</v>
      </c>
      <c r="H103" s="4" t="s">
        <v>186</v>
      </c>
      <c r="I103" s="4" t="s">
        <v>186</v>
      </c>
      <c r="J103" s="4" t="s">
        <v>204</v>
      </c>
      <c r="K103" s="4" t="s">
        <v>664</v>
      </c>
      <c r="L103" s="4" t="s">
        <v>586</v>
      </c>
      <c r="M103" s="4" t="s">
        <v>649</v>
      </c>
      <c r="N103" s="4" t="s">
        <v>29</v>
      </c>
      <c r="O103" s="13" t="s">
        <v>825</v>
      </c>
      <c r="P103" s="13" t="s">
        <v>826</v>
      </c>
      <c r="Q103" s="13" t="s">
        <v>210</v>
      </c>
      <c r="S103" s="7" t="e">
        <f ca="1">IF(_xludf.ifna(VLOOKUP(B103,Parámetros!#REF!,1,0),"")="","No","Sí")</f>
        <v>#NAME?</v>
      </c>
      <c r="T103" s="7" t="str">
        <f t="shared" si="4"/>
        <v>No normativo</v>
      </c>
      <c r="U103" s="4" t="s">
        <v>195</v>
      </c>
      <c r="V103" s="4" t="s">
        <v>39</v>
      </c>
      <c r="W103" s="4" t="s">
        <v>196</v>
      </c>
      <c r="X103" s="4" t="s">
        <v>197</v>
      </c>
      <c r="Y103" s="4" t="s">
        <v>95</v>
      </c>
      <c r="Z103" s="5">
        <v>18424266615</v>
      </c>
      <c r="AA103" s="5">
        <v>13805689002</v>
      </c>
      <c r="AB103" s="4" t="s">
        <v>180</v>
      </c>
      <c r="AC103">
        <v>102</v>
      </c>
    </row>
    <row r="104" spans="1:29" ht="16.5" customHeight="1" x14ac:dyDescent="0.2">
      <c r="A104" s="6" t="str">
        <f t="shared" si="3"/>
        <v>SDATOOL-37125 $ Factoring - IBR</v>
      </c>
      <c r="B104" s="4" t="s">
        <v>827</v>
      </c>
      <c r="C104" s="4" t="s">
        <v>828</v>
      </c>
      <c r="D104" s="4" t="s">
        <v>183</v>
      </c>
      <c r="E104" s="4" t="s">
        <v>829</v>
      </c>
      <c r="F104" s="4" t="s">
        <v>28</v>
      </c>
      <c r="G104" s="4" t="s">
        <v>185</v>
      </c>
      <c r="H104" s="4" t="s">
        <v>186</v>
      </c>
      <c r="I104" s="4" t="s">
        <v>186</v>
      </c>
      <c r="J104" s="4" t="s">
        <v>204</v>
      </c>
      <c r="K104" s="4" t="s">
        <v>664</v>
      </c>
      <c r="L104" s="4" t="s">
        <v>189</v>
      </c>
      <c r="M104" s="4" t="s">
        <v>830</v>
      </c>
      <c r="N104" s="4" t="s">
        <v>44</v>
      </c>
      <c r="O104" s="13" t="s">
        <v>404</v>
      </c>
      <c r="P104" s="13" t="s">
        <v>784</v>
      </c>
      <c r="Q104" s="13" t="s">
        <v>434</v>
      </c>
      <c r="R104" s="4" t="s">
        <v>366</v>
      </c>
      <c r="S104" s="7" t="e">
        <f ca="1">IF(_xludf.ifna(VLOOKUP(B104,Parámetros!#REF!,1,0),"")="","No","Sí")</f>
        <v>#NAME?</v>
      </c>
      <c r="T104" s="7" t="str">
        <f t="shared" si="4"/>
        <v>No normativo</v>
      </c>
      <c r="U104" s="4" t="s">
        <v>195</v>
      </c>
      <c r="V104" s="4" t="s">
        <v>39</v>
      </c>
      <c r="W104" s="4" t="s">
        <v>300</v>
      </c>
      <c r="X104" s="4" t="s">
        <v>301</v>
      </c>
      <c r="Y104" s="4" t="s">
        <v>302</v>
      </c>
      <c r="Z104" s="5">
        <v>1469045601</v>
      </c>
      <c r="AA104" s="5">
        <v>1954974275</v>
      </c>
      <c r="AB104" s="4" t="s">
        <v>180</v>
      </c>
      <c r="AC104">
        <v>103</v>
      </c>
    </row>
    <row r="105" spans="1:29" ht="16.5" hidden="1" customHeight="1" x14ac:dyDescent="0.2">
      <c r="A105" s="6" t="str">
        <f t="shared" si="3"/>
        <v>SDATOOL-37126 $ Gema: Traditional POS (atlas Pymes)</v>
      </c>
      <c r="B105" s="4" t="s">
        <v>831</v>
      </c>
      <c r="C105" s="4" t="s">
        <v>832</v>
      </c>
      <c r="D105" s="4" t="s">
        <v>183</v>
      </c>
      <c r="E105" s="4" t="s">
        <v>833</v>
      </c>
      <c r="F105" s="4" t="s">
        <v>28</v>
      </c>
      <c r="G105" s="4" t="s">
        <v>185</v>
      </c>
      <c r="H105" s="4" t="s">
        <v>203</v>
      </c>
      <c r="J105" s="4" t="s">
        <v>204</v>
      </c>
      <c r="K105" s="4" t="s">
        <v>664</v>
      </c>
      <c r="L105" s="4" t="s">
        <v>206</v>
      </c>
      <c r="M105" s="4" t="s">
        <v>665</v>
      </c>
      <c r="N105" s="4" t="s">
        <v>51</v>
      </c>
      <c r="O105" s="13" t="s">
        <v>404</v>
      </c>
      <c r="P105" s="13" t="s">
        <v>834</v>
      </c>
      <c r="Q105" s="13" t="s">
        <v>767</v>
      </c>
      <c r="S105" s="7" t="e">
        <f ca="1">IF(_xludf.ifna(VLOOKUP(B105,Parámetros!#REF!,1,0),"")="","No","Sí")</f>
        <v>#NAME?</v>
      </c>
      <c r="T105" s="7" t="str">
        <f t="shared" si="4"/>
        <v>No normativo</v>
      </c>
      <c r="U105" s="4" t="s">
        <v>195</v>
      </c>
      <c r="V105" s="4" t="s">
        <v>39</v>
      </c>
      <c r="W105" s="4" t="s">
        <v>233</v>
      </c>
      <c r="X105" s="4" t="s">
        <v>234</v>
      </c>
      <c r="Y105" s="4" t="s">
        <v>667</v>
      </c>
      <c r="Z105" s="4">
        <v>0</v>
      </c>
      <c r="AA105" s="4">
        <v>0</v>
      </c>
      <c r="AB105" s="4" t="s">
        <v>215</v>
      </c>
      <c r="AC105">
        <v>104</v>
      </c>
    </row>
    <row r="106" spans="1:29" ht="16.5" hidden="1" customHeight="1" x14ac:dyDescent="0.2">
      <c r="A106" s="6" t="str">
        <f t="shared" si="3"/>
        <v>SDATOOL-37127 $ Gema: Pay by link</v>
      </c>
      <c r="B106" s="4" t="s">
        <v>835</v>
      </c>
      <c r="C106" s="4" t="s">
        <v>836</v>
      </c>
      <c r="D106" s="4" t="s">
        <v>183</v>
      </c>
      <c r="E106" s="4" t="s">
        <v>837</v>
      </c>
      <c r="F106" s="4" t="s">
        <v>28</v>
      </c>
      <c r="G106" s="4" t="s">
        <v>185</v>
      </c>
      <c r="H106" s="4" t="s">
        <v>203</v>
      </c>
      <c r="J106" s="4" t="s">
        <v>204</v>
      </c>
      <c r="K106" s="4" t="s">
        <v>664</v>
      </c>
      <c r="L106" s="4" t="s">
        <v>206</v>
      </c>
      <c r="M106" s="4" t="s">
        <v>838</v>
      </c>
      <c r="N106" s="4" t="s">
        <v>51</v>
      </c>
      <c r="O106" s="13" t="s">
        <v>404</v>
      </c>
      <c r="P106" s="13" t="s">
        <v>405</v>
      </c>
      <c r="Q106" s="13" t="s">
        <v>839</v>
      </c>
      <c r="S106" s="7" t="e">
        <f ca="1">IF(_xludf.ifna(VLOOKUP(B106,Parámetros!#REF!,1,0),"")="","No","Sí")</f>
        <v>#NAME?</v>
      </c>
      <c r="T106" s="7" t="str">
        <f t="shared" si="4"/>
        <v>No normativo</v>
      </c>
      <c r="U106" s="4" t="s">
        <v>195</v>
      </c>
      <c r="V106" s="4" t="s">
        <v>39</v>
      </c>
      <c r="W106" s="4" t="s">
        <v>196</v>
      </c>
      <c r="X106" s="4" t="s">
        <v>197</v>
      </c>
      <c r="Y106" s="4" t="s">
        <v>688</v>
      </c>
      <c r="Z106" s="4">
        <v>0</v>
      </c>
      <c r="AA106" s="4">
        <v>0</v>
      </c>
      <c r="AB106" s="4" t="s">
        <v>215</v>
      </c>
      <c r="AC106">
        <v>105</v>
      </c>
    </row>
    <row r="107" spans="1:29" ht="16.5" customHeight="1" x14ac:dyDescent="0.2">
      <c r="A107" s="6" t="str">
        <f t="shared" si="3"/>
        <v>SDATOOL-37129 $ Conciliación Recaudo PSE</v>
      </c>
      <c r="B107" s="4" t="s">
        <v>130</v>
      </c>
      <c r="C107" s="4" t="s">
        <v>840</v>
      </c>
      <c r="D107" s="4" t="s">
        <v>183</v>
      </c>
      <c r="E107" s="4" t="s">
        <v>841</v>
      </c>
      <c r="F107" s="4" t="s">
        <v>28</v>
      </c>
      <c r="G107" s="4" t="s">
        <v>185</v>
      </c>
      <c r="H107" s="4" t="s">
        <v>186</v>
      </c>
      <c r="I107" s="4" t="s">
        <v>186</v>
      </c>
      <c r="J107" s="4" t="s">
        <v>204</v>
      </c>
      <c r="K107" s="4" t="s">
        <v>664</v>
      </c>
      <c r="L107" s="4" t="s">
        <v>189</v>
      </c>
      <c r="M107" s="4" t="s">
        <v>842</v>
      </c>
      <c r="N107" s="4" t="s">
        <v>22</v>
      </c>
      <c r="O107" s="13" t="s">
        <v>404</v>
      </c>
      <c r="P107" s="13" t="s">
        <v>843</v>
      </c>
      <c r="Q107" s="13" t="s">
        <v>543</v>
      </c>
      <c r="R107" s="4" t="s">
        <v>366</v>
      </c>
      <c r="S107" s="7" t="e">
        <f ca="1">IF(_xludf.ifna(VLOOKUP(B107,Parámetros!#REF!,1,0),"")="","No","Sí")</f>
        <v>#NAME?</v>
      </c>
      <c r="T107" s="7" t="str">
        <f t="shared" si="4"/>
        <v>No normativo</v>
      </c>
      <c r="U107" s="4" t="s">
        <v>195</v>
      </c>
      <c r="V107" s="4" t="s">
        <v>39</v>
      </c>
      <c r="W107" s="4" t="s">
        <v>196</v>
      </c>
      <c r="X107" s="4" t="s">
        <v>197</v>
      </c>
      <c r="Y107" s="4" t="s">
        <v>688</v>
      </c>
      <c r="Z107" s="5">
        <v>648999885</v>
      </c>
      <c r="AA107" s="5">
        <v>256999961</v>
      </c>
      <c r="AB107" s="4" t="s">
        <v>180</v>
      </c>
      <c r="AC107">
        <v>106</v>
      </c>
    </row>
    <row r="108" spans="1:29" ht="16.5" customHeight="1" x14ac:dyDescent="0.2">
      <c r="A108" s="6" t="str">
        <f t="shared" si="3"/>
        <v>SDATOOL-37130 $ Pago y domiciliación de recaudo</v>
      </c>
      <c r="B108" s="4" t="s">
        <v>844</v>
      </c>
      <c r="C108" s="4" t="s">
        <v>845</v>
      </c>
      <c r="D108" s="4" t="s">
        <v>183</v>
      </c>
      <c r="E108" s="4" t="s">
        <v>846</v>
      </c>
      <c r="F108" s="4" t="s">
        <v>28</v>
      </c>
      <c r="G108" s="4" t="s">
        <v>185</v>
      </c>
      <c r="H108" s="4" t="s">
        <v>186</v>
      </c>
      <c r="J108" s="4" t="s">
        <v>204</v>
      </c>
      <c r="K108" s="4" t="s">
        <v>664</v>
      </c>
      <c r="L108" s="4" t="s">
        <v>386</v>
      </c>
      <c r="M108" s="4" t="s">
        <v>847</v>
      </c>
      <c r="N108" s="4" t="s">
        <v>22</v>
      </c>
      <c r="O108" s="13" t="s">
        <v>404</v>
      </c>
      <c r="P108" s="13" t="s">
        <v>848</v>
      </c>
      <c r="Q108" s="13" t="s">
        <v>519</v>
      </c>
      <c r="R108" s="4" t="s">
        <v>366</v>
      </c>
      <c r="S108" s="7" t="e">
        <f ca="1">IF(_xludf.ifna(VLOOKUP(B108,Parámetros!#REF!,1,0),"")="","No","Sí")</f>
        <v>#NAME?</v>
      </c>
      <c r="T108" s="7" t="str">
        <f t="shared" si="4"/>
        <v>No normativo</v>
      </c>
      <c r="U108" s="4" t="s">
        <v>195</v>
      </c>
      <c r="V108" s="4" t="s">
        <v>39</v>
      </c>
      <c r="W108" s="4" t="s">
        <v>196</v>
      </c>
      <c r="X108" s="4" t="s">
        <v>197</v>
      </c>
      <c r="Y108" s="4" t="s">
        <v>688</v>
      </c>
      <c r="Z108" s="5">
        <v>320675814</v>
      </c>
      <c r="AA108" s="5">
        <v>1285463578</v>
      </c>
      <c r="AB108" s="4" t="s">
        <v>215</v>
      </c>
      <c r="AC108">
        <v>107</v>
      </c>
    </row>
    <row r="109" spans="1:29" ht="16.5" customHeight="1" x14ac:dyDescent="0.2">
      <c r="A109" s="6" t="str">
        <f t="shared" si="3"/>
        <v>SDATOOL-37134 $ Oferta proactiva de segundo producto desde el momento cero - Plan Ascenso Cross Sell</v>
      </c>
      <c r="B109" s="4" t="s">
        <v>73</v>
      </c>
      <c r="C109" s="4" t="s">
        <v>849</v>
      </c>
      <c r="D109" s="4" t="s">
        <v>183</v>
      </c>
      <c r="E109" s="4" t="s">
        <v>850</v>
      </c>
      <c r="F109" s="4" t="s">
        <v>28</v>
      </c>
      <c r="G109" s="4" t="s">
        <v>185</v>
      </c>
      <c r="H109" s="4" t="s">
        <v>186</v>
      </c>
      <c r="I109" s="4" t="s">
        <v>186</v>
      </c>
      <c r="J109" s="4" t="s">
        <v>204</v>
      </c>
      <c r="K109" s="4" t="s">
        <v>664</v>
      </c>
      <c r="L109" s="4" t="s">
        <v>394</v>
      </c>
      <c r="M109" s="4" t="s">
        <v>851</v>
      </c>
      <c r="N109" s="4" t="s">
        <v>29</v>
      </c>
      <c r="O109" s="13" t="s">
        <v>530</v>
      </c>
      <c r="P109" s="13" t="s">
        <v>852</v>
      </c>
      <c r="Q109" s="13" t="s">
        <v>580</v>
      </c>
      <c r="R109" s="4" t="s">
        <v>366</v>
      </c>
      <c r="S109" s="7" t="e">
        <f ca="1">IF(_xludf.ifna(VLOOKUP(B109,Parámetros!#REF!,1,0),"")="","No","Sí")</f>
        <v>#NAME?</v>
      </c>
      <c r="T109" s="7" t="str">
        <f t="shared" si="4"/>
        <v>No normativo</v>
      </c>
      <c r="U109" s="4" t="s">
        <v>195</v>
      </c>
      <c r="V109" s="4" t="s">
        <v>39</v>
      </c>
      <c r="W109" s="4" t="s">
        <v>196</v>
      </c>
      <c r="X109" s="4" t="s">
        <v>197</v>
      </c>
      <c r="Y109" s="4" t="s">
        <v>688</v>
      </c>
      <c r="Z109" s="5">
        <v>928639893</v>
      </c>
      <c r="AA109" s="5">
        <v>639364493</v>
      </c>
      <c r="AB109" s="4" t="s">
        <v>180</v>
      </c>
      <c r="AC109">
        <v>108</v>
      </c>
    </row>
    <row r="110" spans="1:29" ht="16.5" customHeight="1" x14ac:dyDescent="0.2">
      <c r="A110" s="6" t="str">
        <f t="shared" si="3"/>
        <v>SDATOOL-37136 $ Conexión simulador vía API Vehículo digital</v>
      </c>
      <c r="B110" s="4" t="s">
        <v>853</v>
      </c>
      <c r="C110" s="4" t="s">
        <v>854</v>
      </c>
      <c r="D110" s="4" t="s">
        <v>183</v>
      </c>
      <c r="E110" s="4" t="s">
        <v>855</v>
      </c>
      <c r="F110" s="4" t="s">
        <v>28</v>
      </c>
      <c r="G110" s="4" t="s">
        <v>185</v>
      </c>
      <c r="H110" s="4" t="s">
        <v>186</v>
      </c>
      <c r="J110" s="4" t="s">
        <v>204</v>
      </c>
      <c r="K110" s="4" t="s">
        <v>664</v>
      </c>
      <c r="L110" s="4" t="s">
        <v>386</v>
      </c>
      <c r="M110" s="4" t="s">
        <v>529</v>
      </c>
      <c r="N110" s="4" t="s">
        <v>29</v>
      </c>
      <c r="O110" s="13" t="s">
        <v>530</v>
      </c>
      <c r="P110" s="13" t="s">
        <v>683</v>
      </c>
      <c r="Q110" s="13" t="s">
        <v>632</v>
      </c>
      <c r="S110" s="7" t="e">
        <f ca="1">IF(_xludf.ifna(VLOOKUP(B110,Parámetros!#REF!,1,0),"")="","No","Sí")</f>
        <v>#NAME?</v>
      </c>
      <c r="T110" s="7" t="str">
        <f t="shared" si="4"/>
        <v>No normativo</v>
      </c>
      <c r="U110" s="4" t="s">
        <v>195</v>
      </c>
      <c r="V110" s="4" t="s">
        <v>39</v>
      </c>
      <c r="W110" s="4" t="s">
        <v>233</v>
      </c>
      <c r="X110" s="4" t="s">
        <v>92</v>
      </c>
      <c r="Y110" s="4" t="s">
        <v>533</v>
      </c>
      <c r="Z110" s="5">
        <v>99393312</v>
      </c>
      <c r="AA110" s="5">
        <v>646183855</v>
      </c>
      <c r="AB110" s="4" t="s">
        <v>215</v>
      </c>
      <c r="AC110">
        <v>109</v>
      </c>
    </row>
    <row r="111" spans="1:29" ht="16.5" hidden="1" customHeight="1" x14ac:dyDescent="0.2">
      <c r="A111" s="6" t="str">
        <f t="shared" si="3"/>
        <v>SDATOOL-37137 $ Despriorizado - Proceso de venta digital White lebel Vehículo - Mazda</v>
      </c>
      <c r="B111" s="4" t="s">
        <v>856</v>
      </c>
      <c r="C111" s="4" t="s">
        <v>857</v>
      </c>
      <c r="D111" s="4" t="s">
        <v>183</v>
      </c>
      <c r="E111" s="4" t="s">
        <v>858</v>
      </c>
      <c r="F111" s="4" t="s">
        <v>28</v>
      </c>
      <c r="G111" s="4" t="s">
        <v>185</v>
      </c>
      <c r="H111" s="4" t="s">
        <v>203</v>
      </c>
      <c r="J111" s="4" t="s">
        <v>204</v>
      </c>
      <c r="K111" s="4" t="s">
        <v>664</v>
      </c>
      <c r="L111" s="4" t="s">
        <v>206</v>
      </c>
      <c r="M111" s="4" t="s">
        <v>529</v>
      </c>
      <c r="N111" s="4" t="s">
        <v>29</v>
      </c>
      <c r="O111" s="13" t="s">
        <v>676</v>
      </c>
      <c r="P111" s="13" t="s">
        <v>683</v>
      </c>
      <c r="Q111" s="13" t="s">
        <v>580</v>
      </c>
      <c r="S111" s="7" t="e">
        <f ca="1">IF(_xludf.ifna(VLOOKUP(B111,Parámetros!#REF!,1,0),"")="","No","Sí")</f>
        <v>#NAME?</v>
      </c>
      <c r="T111" s="7" t="str">
        <f t="shared" si="4"/>
        <v>No normativo</v>
      </c>
      <c r="U111" s="4" t="s">
        <v>195</v>
      </c>
      <c r="V111" s="4" t="s">
        <v>39</v>
      </c>
      <c r="W111" s="4" t="s">
        <v>233</v>
      </c>
      <c r="X111" s="4" t="s">
        <v>92</v>
      </c>
      <c r="Y111" s="4" t="s">
        <v>533</v>
      </c>
      <c r="Z111" s="4">
        <v>0</v>
      </c>
      <c r="AA111" s="4">
        <v>0</v>
      </c>
      <c r="AB111" s="4" t="s">
        <v>215</v>
      </c>
      <c r="AC111">
        <v>110</v>
      </c>
    </row>
    <row r="112" spans="1:29" ht="16.5" customHeight="1" x14ac:dyDescent="0.2">
      <c r="A112" s="6" t="str">
        <f t="shared" si="3"/>
        <v>SDATOOL-37169 $ EGS: Salto país y softoken</v>
      </c>
      <c r="B112" s="4" t="s">
        <v>124</v>
      </c>
      <c r="C112" s="4" t="s">
        <v>859</v>
      </c>
      <c r="D112" s="4" t="s">
        <v>183</v>
      </c>
      <c r="E112" s="4" t="s">
        <v>860</v>
      </c>
      <c r="F112" s="4" t="s">
        <v>28</v>
      </c>
      <c r="G112" s="4" t="s">
        <v>185</v>
      </c>
      <c r="H112" s="4" t="s">
        <v>186</v>
      </c>
      <c r="I112" s="4" t="s">
        <v>186</v>
      </c>
      <c r="J112" s="4" t="s">
        <v>204</v>
      </c>
      <c r="K112" s="4" t="s">
        <v>664</v>
      </c>
      <c r="L112" s="4" t="s">
        <v>189</v>
      </c>
      <c r="M112" s="4" t="s">
        <v>486</v>
      </c>
      <c r="N112" s="4" t="s">
        <v>44</v>
      </c>
      <c r="O112" s="13" t="s">
        <v>404</v>
      </c>
      <c r="P112" s="13" t="s">
        <v>861</v>
      </c>
      <c r="Q112" s="13" t="s">
        <v>519</v>
      </c>
      <c r="R112" s="4" t="s">
        <v>366</v>
      </c>
      <c r="S112" s="7" t="e">
        <f ca="1">IF(_xludf.ifna(VLOOKUP(B112,Parámetros!#REF!,1,0),"")="","No","Sí")</f>
        <v>#NAME?</v>
      </c>
      <c r="T112" s="7" t="str">
        <f t="shared" si="4"/>
        <v>No normativo</v>
      </c>
      <c r="U112" s="4" t="s">
        <v>195</v>
      </c>
      <c r="V112" s="4" t="s">
        <v>39</v>
      </c>
      <c r="W112" s="4" t="s">
        <v>233</v>
      </c>
      <c r="X112" s="4" t="s">
        <v>234</v>
      </c>
      <c r="Y112" s="4" t="s">
        <v>489</v>
      </c>
      <c r="Z112" s="5">
        <v>633986948</v>
      </c>
      <c r="AA112" s="5">
        <v>793328820</v>
      </c>
      <c r="AB112" s="4" t="s">
        <v>180</v>
      </c>
      <c r="AC112">
        <v>111</v>
      </c>
    </row>
    <row r="113" spans="1:29" ht="16.5" customHeight="1" x14ac:dyDescent="0.2">
      <c r="A113" s="6" t="str">
        <f t="shared" si="3"/>
        <v>SDATOOL-37170 $ Seguros - LIS Coaseguro en Seguros Libres</v>
      </c>
      <c r="B113" s="4" t="s">
        <v>862</v>
      </c>
      <c r="C113" s="4" t="s">
        <v>863</v>
      </c>
      <c r="D113" s="4" t="s">
        <v>183</v>
      </c>
      <c r="E113" s="4" t="s">
        <v>864</v>
      </c>
      <c r="F113" s="4" t="s">
        <v>28</v>
      </c>
      <c r="G113" s="4" t="s">
        <v>185</v>
      </c>
      <c r="H113" s="4" t="s">
        <v>186</v>
      </c>
      <c r="I113" s="4" t="s">
        <v>186</v>
      </c>
      <c r="J113" s="4" t="s">
        <v>204</v>
      </c>
      <c r="K113" s="4" t="s">
        <v>485</v>
      </c>
      <c r="L113" s="4" t="s">
        <v>189</v>
      </c>
      <c r="M113" s="4" t="s">
        <v>497</v>
      </c>
      <c r="N113" s="4" t="s">
        <v>22</v>
      </c>
      <c r="O113" s="13" t="s">
        <v>646</v>
      </c>
      <c r="P113" s="13" t="s">
        <v>865</v>
      </c>
      <c r="Q113" s="13" t="s">
        <v>345</v>
      </c>
      <c r="R113" s="4" t="s">
        <v>366</v>
      </c>
      <c r="S113" s="7" t="e">
        <f ca="1">IF(_xludf.ifna(VLOOKUP(B113,Parámetros!#REF!,1,0),"")="","No","Sí")</f>
        <v>#NAME?</v>
      </c>
      <c r="T113" s="7" t="str">
        <f t="shared" si="4"/>
        <v>Normativo</v>
      </c>
      <c r="U113" s="4" t="s">
        <v>195</v>
      </c>
      <c r="V113" s="4" t="s">
        <v>347</v>
      </c>
      <c r="W113" s="4" t="s">
        <v>233</v>
      </c>
      <c r="X113" s="4" t="s">
        <v>234</v>
      </c>
      <c r="Y113" s="4" t="s">
        <v>501</v>
      </c>
      <c r="Z113" s="5">
        <v>1151737695</v>
      </c>
      <c r="AA113" s="5">
        <v>1111737695</v>
      </c>
      <c r="AB113" s="4" t="s">
        <v>180</v>
      </c>
      <c r="AC113">
        <v>112</v>
      </c>
    </row>
    <row r="114" spans="1:29" ht="16.5" hidden="1" customHeight="1" x14ac:dyDescent="0.2">
      <c r="A114" s="6" t="str">
        <f t="shared" si="3"/>
        <v>SDATOOL-37178 $ Cyberark Fase III</v>
      </c>
      <c r="B114" s="4" t="s">
        <v>866</v>
      </c>
      <c r="C114" s="4" t="s">
        <v>867</v>
      </c>
      <c r="D114" s="4" t="s">
        <v>183</v>
      </c>
      <c r="E114" s="4" t="s">
        <v>868</v>
      </c>
      <c r="F114" s="4" t="s">
        <v>43</v>
      </c>
      <c r="G114" s="4" t="s">
        <v>185</v>
      </c>
      <c r="H114" s="4" t="s">
        <v>203</v>
      </c>
      <c r="J114" s="4" t="s">
        <v>204</v>
      </c>
      <c r="K114" s="4" t="s">
        <v>664</v>
      </c>
      <c r="L114" s="4" t="s">
        <v>206</v>
      </c>
      <c r="M114" s="4" t="s">
        <v>869</v>
      </c>
      <c r="N114" s="4" t="s">
        <v>15</v>
      </c>
      <c r="O114" s="13" t="s">
        <v>371</v>
      </c>
      <c r="P114" s="13" t="s">
        <v>870</v>
      </c>
      <c r="Q114" s="13" t="s">
        <v>373</v>
      </c>
      <c r="R114" s="4" t="s">
        <v>871</v>
      </c>
      <c r="S114" s="7" t="e">
        <f ca="1">IF(_xludf.ifna(VLOOKUP(B114,Parámetros!#REF!,1,0),"")="","No","Sí")</f>
        <v>#NAME?</v>
      </c>
      <c r="T114" s="7" t="str">
        <f t="shared" si="4"/>
        <v>No normativo</v>
      </c>
      <c r="U114" s="4" t="s">
        <v>195</v>
      </c>
      <c r="V114" s="4" t="s">
        <v>39</v>
      </c>
      <c r="W114" s="4" t="s">
        <v>212</v>
      </c>
      <c r="X114" s="4" t="s">
        <v>375</v>
      </c>
      <c r="Y114" s="4" t="s">
        <v>872</v>
      </c>
      <c r="Z114" s="5">
        <v>220479822</v>
      </c>
      <c r="AA114" s="5">
        <v>220479822</v>
      </c>
      <c r="AB114" s="4" t="s">
        <v>215</v>
      </c>
      <c r="AC114">
        <v>113</v>
      </c>
    </row>
    <row r="115" spans="1:29" ht="16.5" hidden="1" customHeight="1" x14ac:dyDescent="0.2">
      <c r="A115" s="6" t="str">
        <f t="shared" si="3"/>
        <v>SDATOOL-37179 $ Global IAM</v>
      </c>
      <c r="B115" s="4" t="s">
        <v>873</v>
      </c>
      <c r="C115" s="4" t="s">
        <v>874</v>
      </c>
      <c r="D115" s="4" t="s">
        <v>183</v>
      </c>
      <c r="E115" s="4" t="s">
        <v>875</v>
      </c>
      <c r="F115" s="4" t="s">
        <v>43</v>
      </c>
      <c r="G115" s="4" t="s">
        <v>185</v>
      </c>
      <c r="H115" s="4" t="s">
        <v>203</v>
      </c>
      <c r="K115" s="4" t="s">
        <v>664</v>
      </c>
      <c r="L115" s="4" t="s">
        <v>206</v>
      </c>
      <c r="M115" s="4" t="s">
        <v>876</v>
      </c>
      <c r="N115" s="4" t="s">
        <v>15</v>
      </c>
      <c r="O115" s="13" t="s">
        <v>877</v>
      </c>
      <c r="P115" s="13" t="s">
        <v>877</v>
      </c>
      <c r="Q115" s="13" t="s">
        <v>877</v>
      </c>
      <c r="S115" s="7" t="e">
        <f ca="1">IF(_xludf.ifna(VLOOKUP(B115,Parámetros!#REF!,1,0),"")="","No","Sí")</f>
        <v>#NAME?</v>
      </c>
      <c r="T115" s="7" t="str">
        <f t="shared" si="4"/>
        <v>No normativo</v>
      </c>
      <c r="U115" s="4" t="s">
        <v>195</v>
      </c>
      <c r="V115" s="4" t="s">
        <v>39</v>
      </c>
      <c r="W115" s="4" t="s">
        <v>212</v>
      </c>
      <c r="X115" s="4" t="s">
        <v>375</v>
      </c>
      <c r="Y115" s="4" t="s">
        <v>878</v>
      </c>
      <c r="Z115" s="4">
        <v>0</v>
      </c>
      <c r="AA115" s="4">
        <v>0</v>
      </c>
      <c r="AB115" s="4" t="s">
        <v>215</v>
      </c>
      <c r="AC115">
        <v>114</v>
      </c>
    </row>
    <row r="116" spans="1:29" ht="16.5" customHeight="1" x14ac:dyDescent="0.2">
      <c r="A116" s="6" t="str">
        <f t="shared" si="3"/>
        <v>SDATOOL-37184 $ Actualizaciones Aplicativo ADA V2</v>
      </c>
      <c r="B116" s="4" t="s">
        <v>879</v>
      </c>
      <c r="C116" s="4" t="s">
        <v>880</v>
      </c>
      <c r="D116" s="4" t="s">
        <v>183</v>
      </c>
      <c r="E116" s="4" t="s">
        <v>881</v>
      </c>
      <c r="F116" s="4" t="s">
        <v>50</v>
      </c>
      <c r="G116" s="4" t="s">
        <v>185</v>
      </c>
      <c r="H116" s="4" t="s">
        <v>186</v>
      </c>
      <c r="I116" s="4" t="e">
        <v>#N/A</v>
      </c>
      <c r="K116" s="4" t="s">
        <v>485</v>
      </c>
      <c r="L116" s="4" t="s">
        <v>394</v>
      </c>
      <c r="M116" s="4" t="s">
        <v>882</v>
      </c>
      <c r="N116" s="4" t="s">
        <v>15</v>
      </c>
      <c r="O116" s="13" t="s">
        <v>883</v>
      </c>
      <c r="P116" s="13" t="s">
        <v>279</v>
      </c>
      <c r="Q116" s="13" t="s">
        <v>318</v>
      </c>
      <c r="R116" s="4" t="s">
        <v>884</v>
      </c>
      <c r="S116" s="7" t="e">
        <f ca="1">IF(_xludf.ifna(VLOOKUP(B116,Parámetros!#REF!,1,0),"")="","No","Sí")</f>
        <v>#NAME?</v>
      </c>
      <c r="T116" s="7" t="str">
        <f t="shared" si="4"/>
        <v>No normativo</v>
      </c>
      <c r="U116" s="4" t="s">
        <v>195</v>
      </c>
      <c r="V116" s="4" t="s">
        <v>39</v>
      </c>
      <c r="W116" s="4" t="s">
        <v>300</v>
      </c>
      <c r="X116" s="4" t="s">
        <v>301</v>
      </c>
      <c r="Y116" s="4" t="s">
        <v>755</v>
      </c>
      <c r="Z116" s="5">
        <v>275000000</v>
      </c>
      <c r="AA116" s="5">
        <v>275000000</v>
      </c>
      <c r="AB116" s="4" t="s">
        <v>180</v>
      </c>
      <c r="AC116">
        <v>115</v>
      </c>
    </row>
    <row r="117" spans="1:29" ht="16.5" customHeight="1" x14ac:dyDescent="0.2">
      <c r="A117" s="6" t="str">
        <f t="shared" si="3"/>
        <v>SDATOOL-37186 $ Migración Murex 3 Colombia (Servicios restantes MX3 -Fase 1)</v>
      </c>
      <c r="B117" s="4" t="s">
        <v>885</v>
      </c>
      <c r="C117" s="4" t="s">
        <v>886</v>
      </c>
      <c r="D117" s="4" t="s">
        <v>183</v>
      </c>
      <c r="E117" s="4" t="s">
        <v>887</v>
      </c>
      <c r="F117" s="4" t="s">
        <v>21</v>
      </c>
      <c r="G117" s="4" t="s">
        <v>185</v>
      </c>
      <c r="H117" s="4" t="s">
        <v>186</v>
      </c>
      <c r="K117" s="4" t="s">
        <v>664</v>
      </c>
      <c r="L117" s="4" t="s">
        <v>189</v>
      </c>
      <c r="M117" s="4" t="s">
        <v>888</v>
      </c>
      <c r="N117" s="4" t="s">
        <v>36</v>
      </c>
      <c r="O117" s="13" t="s">
        <v>889</v>
      </c>
      <c r="P117" s="13" t="s">
        <v>890</v>
      </c>
      <c r="Q117" s="13" t="s">
        <v>193</v>
      </c>
      <c r="S117" s="7" t="e">
        <f ca="1">IF(_xludf.ifna(VLOOKUP(B117,Parámetros!#REF!,1,0),"")="","No","Sí")</f>
        <v>#NAME?</v>
      </c>
      <c r="T117" s="7" t="str">
        <f t="shared" si="4"/>
        <v>Normativo</v>
      </c>
      <c r="U117" s="4" t="s">
        <v>195</v>
      </c>
      <c r="V117" s="4" t="s">
        <v>39</v>
      </c>
      <c r="W117" s="4" t="s">
        <v>233</v>
      </c>
      <c r="X117" s="4" t="s">
        <v>234</v>
      </c>
      <c r="Y117" s="4" t="s">
        <v>891</v>
      </c>
      <c r="Z117" s="5">
        <v>16660447039</v>
      </c>
      <c r="AA117" s="5">
        <v>14157377046</v>
      </c>
      <c r="AB117" s="4" t="s">
        <v>215</v>
      </c>
      <c r="AC117">
        <v>116</v>
      </c>
    </row>
    <row r="118" spans="1:29" ht="16.5" hidden="1" customHeight="1" x14ac:dyDescent="0.2">
      <c r="A118" s="6" t="str">
        <f t="shared" si="3"/>
        <v>SDATOOL-37237 $ DELTA-Informacional</v>
      </c>
      <c r="B118" s="4" t="s">
        <v>892</v>
      </c>
      <c r="C118" s="4" t="s">
        <v>893</v>
      </c>
      <c r="D118" s="4" t="s">
        <v>183</v>
      </c>
      <c r="E118" s="4" t="s">
        <v>894</v>
      </c>
      <c r="F118" s="4" t="s">
        <v>50</v>
      </c>
      <c r="G118" s="4" t="s">
        <v>185</v>
      </c>
      <c r="H118" s="4" t="s">
        <v>203</v>
      </c>
      <c r="J118" s="4" t="s">
        <v>204</v>
      </c>
      <c r="K118" s="4" t="s">
        <v>361</v>
      </c>
      <c r="L118" s="4" t="s">
        <v>206</v>
      </c>
      <c r="M118" s="4" t="s">
        <v>895</v>
      </c>
      <c r="N118" s="4" t="s">
        <v>15</v>
      </c>
      <c r="O118" s="13" t="s">
        <v>896</v>
      </c>
      <c r="P118" s="13" t="s">
        <v>396</v>
      </c>
      <c r="Q118" s="13" t="s">
        <v>222</v>
      </c>
      <c r="R118" s="4" t="s">
        <v>894</v>
      </c>
      <c r="S118" s="7" t="e">
        <f ca="1">IF(_xludf.ifna(VLOOKUP(B118,Parámetros!#REF!,1,0),"")="","No","Sí")</f>
        <v>#NAME?</v>
      </c>
      <c r="T118" s="7" t="str">
        <f t="shared" si="4"/>
        <v>No normativo</v>
      </c>
      <c r="U118" s="4" t="s">
        <v>195</v>
      </c>
      <c r="V118" s="4" t="s">
        <v>39</v>
      </c>
      <c r="W118" s="4" t="s">
        <v>212</v>
      </c>
      <c r="X118" s="4" t="s">
        <v>213</v>
      </c>
      <c r="Y118" s="4" t="s">
        <v>400</v>
      </c>
      <c r="Z118" s="4">
        <v>0</v>
      </c>
      <c r="AA118" s="5">
        <v>220389724</v>
      </c>
      <c r="AB118" s="4" t="s">
        <v>215</v>
      </c>
      <c r="AC118">
        <v>117</v>
      </c>
    </row>
    <row r="119" spans="1:29" ht="16.5" customHeight="1" x14ac:dyDescent="0.2">
      <c r="A119" s="6" t="str">
        <f t="shared" si="3"/>
        <v>SDATOOL-37271 $ ISO20022 MENSAJES SWIFT DIALOGO</v>
      </c>
      <c r="B119" s="4" t="s">
        <v>897</v>
      </c>
      <c r="C119" s="4" t="s">
        <v>898</v>
      </c>
      <c r="D119" s="4" t="s">
        <v>183</v>
      </c>
      <c r="E119" s="4" t="s">
        <v>899</v>
      </c>
      <c r="F119" s="4" t="s">
        <v>21</v>
      </c>
      <c r="G119" s="4" t="s">
        <v>185</v>
      </c>
      <c r="H119" s="4" t="s">
        <v>186</v>
      </c>
      <c r="K119" s="4" t="s">
        <v>664</v>
      </c>
      <c r="L119" s="4" t="s">
        <v>386</v>
      </c>
      <c r="M119" s="4" t="s">
        <v>900</v>
      </c>
      <c r="N119" s="4" t="s">
        <v>36</v>
      </c>
      <c r="O119" s="13" t="s">
        <v>901</v>
      </c>
      <c r="P119" s="13" t="s">
        <v>901</v>
      </c>
      <c r="Q119" s="13" t="s">
        <v>299</v>
      </c>
      <c r="S119" s="7" t="e">
        <f ca="1">IF(_xludf.ifna(VLOOKUP(B119,Parámetros!#REF!,1,0),"")="","No","Sí")</f>
        <v>#NAME?</v>
      </c>
      <c r="T119" s="7" t="str">
        <f t="shared" si="4"/>
        <v>No normativo</v>
      </c>
      <c r="U119" s="4" t="s">
        <v>224</v>
      </c>
      <c r="V119" s="4" t="s">
        <v>39</v>
      </c>
      <c r="W119" s="4" t="s">
        <v>196</v>
      </c>
      <c r="X119" s="4" t="s">
        <v>225</v>
      </c>
      <c r="Y119" s="4" t="s">
        <v>320</v>
      </c>
      <c r="Z119" s="5">
        <v>37000000</v>
      </c>
      <c r="AA119" s="5">
        <v>147004424</v>
      </c>
      <c r="AB119" s="4" t="s">
        <v>215</v>
      </c>
      <c r="AC119">
        <v>118</v>
      </c>
    </row>
    <row r="120" spans="1:29" ht="16.5" customHeight="1" x14ac:dyDescent="0.2">
      <c r="A120" s="6" t="str">
        <f t="shared" si="3"/>
        <v>SDATOOL-37294 $ Gestión de Tráfico en Oficinas</v>
      </c>
      <c r="B120" s="4" t="s">
        <v>902</v>
      </c>
      <c r="C120" s="4" t="s">
        <v>903</v>
      </c>
      <c r="D120" s="4" t="s">
        <v>183</v>
      </c>
      <c r="E120" s="4" t="s">
        <v>904</v>
      </c>
      <c r="F120" s="4" t="s">
        <v>28</v>
      </c>
      <c r="G120" s="4" t="s">
        <v>185</v>
      </c>
      <c r="H120" s="4" t="s">
        <v>186</v>
      </c>
      <c r="I120" s="4" t="s">
        <v>186</v>
      </c>
      <c r="J120" s="4" t="s">
        <v>204</v>
      </c>
      <c r="K120" s="4" t="s">
        <v>770</v>
      </c>
      <c r="L120" s="4" t="s">
        <v>586</v>
      </c>
      <c r="M120" s="4" t="s">
        <v>423</v>
      </c>
      <c r="N120" s="4" t="s">
        <v>29</v>
      </c>
      <c r="O120" s="13" t="s">
        <v>794</v>
      </c>
      <c r="P120" s="13" t="s">
        <v>656</v>
      </c>
      <c r="Q120" s="13" t="s">
        <v>656</v>
      </c>
      <c r="S120" s="7" t="e">
        <f ca="1">IF(_xludf.ifna(VLOOKUP(B120,Parámetros!#REF!,1,0),"")="","No","Sí")</f>
        <v>#NAME?</v>
      </c>
      <c r="T120" s="7" t="str">
        <f t="shared" si="4"/>
        <v>No normativo</v>
      </c>
      <c r="U120" s="4" t="s">
        <v>195</v>
      </c>
      <c r="V120" s="4" t="s">
        <v>39</v>
      </c>
      <c r="W120" s="4" t="s">
        <v>196</v>
      </c>
      <c r="X120" s="4" t="s">
        <v>426</v>
      </c>
      <c r="Y120" s="4" t="s">
        <v>427</v>
      </c>
      <c r="Z120" s="5">
        <v>4058057973</v>
      </c>
      <c r="AA120" s="5">
        <v>4025959874</v>
      </c>
      <c r="AB120" s="4" t="s">
        <v>180</v>
      </c>
      <c r="AC120">
        <v>119</v>
      </c>
    </row>
    <row r="121" spans="1:29" ht="16.5" customHeight="1" x14ac:dyDescent="0.2">
      <c r="A121" s="6" t="str">
        <f t="shared" si="3"/>
        <v>SDATOOL-37342 $ SWIFT ISO20022 Ajuste de mensajes Swift a la nueva estructura</v>
      </c>
      <c r="B121" s="4" t="s">
        <v>905</v>
      </c>
      <c r="C121" s="4" t="s">
        <v>906</v>
      </c>
      <c r="D121" s="4" t="s">
        <v>183</v>
      </c>
      <c r="E121" s="4" t="s">
        <v>907</v>
      </c>
      <c r="F121" s="4" t="s">
        <v>28</v>
      </c>
      <c r="G121" s="4" t="s">
        <v>185</v>
      </c>
      <c r="H121" s="4" t="s">
        <v>186</v>
      </c>
      <c r="J121" s="4" t="s">
        <v>204</v>
      </c>
      <c r="K121" s="4" t="s">
        <v>664</v>
      </c>
      <c r="L121" s="4" t="s">
        <v>394</v>
      </c>
      <c r="M121" s="4" t="s">
        <v>540</v>
      </c>
      <c r="N121" s="4" t="s">
        <v>22</v>
      </c>
      <c r="O121" s="13" t="s">
        <v>404</v>
      </c>
      <c r="P121" s="13" t="s">
        <v>628</v>
      </c>
      <c r="Q121" s="13" t="s">
        <v>193</v>
      </c>
      <c r="R121" s="4" t="s">
        <v>366</v>
      </c>
      <c r="S121" s="7" t="e">
        <f ca="1">IF(_xludf.ifna(VLOOKUP(B121,Parámetros!#REF!,1,0),"")="","No","Sí")</f>
        <v>#NAME?</v>
      </c>
      <c r="T121" s="7" t="str">
        <f t="shared" si="4"/>
        <v>No normativo</v>
      </c>
      <c r="U121" s="4" t="s">
        <v>195</v>
      </c>
      <c r="V121" s="4" t="s">
        <v>39</v>
      </c>
      <c r="W121" s="4" t="s">
        <v>300</v>
      </c>
      <c r="X121" s="4" t="s">
        <v>301</v>
      </c>
      <c r="Y121" s="4" t="s">
        <v>302</v>
      </c>
      <c r="Z121" s="5">
        <v>876755807</v>
      </c>
      <c r="AA121" s="5">
        <v>1566287120</v>
      </c>
      <c r="AB121" s="4" t="s">
        <v>180</v>
      </c>
      <c r="AC121">
        <v>120</v>
      </c>
    </row>
    <row r="122" spans="1:29" ht="16.5" customHeight="1" x14ac:dyDescent="0.2">
      <c r="A122" s="6" t="str">
        <f t="shared" si="3"/>
        <v>SDATOOL-37344 $ Automatización Operaciones en Efectivo</v>
      </c>
      <c r="B122" s="4" t="s">
        <v>908</v>
      </c>
      <c r="C122" s="4" t="s">
        <v>909</v>
      </c>
      <c r="D122" s="4" t="s">
        <v>183</v>
      </c>
      <c r="E122" s="4" t="s">
        <v>910</v>
      </c>
      <c r="F122" s="4" t="s">
        <v>28</v>
      </c>
      <c r="G122" s="4" t="s">
        <v>185</v>
      </c>
      <c r="H122" s="4" t="s">
        <v>186</v>
      </c>
      <c r="J122" s="4" t="s">
        <v>204</v>
      </c>
      <c r="K122" s="4" t="s">
        <v>770</v>
      </c>
      <c r="L122" s="4" t="s">
        <v>386</v>
      </c>
      <c r="M122" s="4" t="s">
        <v>540</v>
      </c>
      <c r="N122" s="4" t="s">
        <v>29</v>
      </c>
      <c r="O122" s="13" t="s">
        <v>530</v>
      </c>
      <c r="P122" s="13" t="s">
        <v>911</v>
      </c>
      <c r="Q122" s="13" t="s">
        <v>532</v>
      </c>
      <c r="R122" s="4" t="s">
        <v>366</v>
      </c>
      <c r="S122" s="7" t="e">
        <f ca="1">IF(_xludf.ifna(VLOOKUP(B122,Parámetros!#REF!,1,0),"")="","No","Sí")</f>
        <v>#NAME?</v>
      </c>
      <c r="T122" s="7" t="str">
        <f t="shared" si="4"/>
        <v>No normativo</v>
      </c>
      <c r="U122" s="4" t="s">
        <v>195</v>
      </c>
      <c r="V122" s="4" t="s">
        <v>39</v>
      </c>
      <c r="W122" s="4" t="s">
        <v>300</v>
      </c>
      <c r="X122" s="4" t="s">
        <v>301</v>
      </c>
      <c r="Y122" s="4" t="s">
        <v>302</v>
      </c>
      <c r="Z122" s="5">
        <v>94652778</v>
      </c>
      <c r="AA122" s="5">
        <v>460742104</v>
      </c>
      <c r="AB122" s="4" t="s">
        <v>215</v>
      </c>
      <c r="AC122">
        <v>121</v>
      </c>
    </row>
    <row r="123" spans="1:29" ht="16.5" hidden="1" customHeight="1" x14ac:dyDescent="0.2">
      <c r="A123" s="6" t="str">
        <f t="shared" si="3"/>
        <v>SDATOOL-37373 $ Renovación por Obsolescencia de los sistemas Alarmas, Video y Cerraduras Bauusa</v>
      </c>
      <c r="B123" s="4" t="s">
        <v>912</v>
      </c>
      <c r="C123" s="4" t="s">
        <v>913</v>
      </c>
      <c r="D123" s="4" t="s">
        <v>183</v>
      </c>
      <c r="E123" s="4" t="s">
        <v>914</v>
      </c>
      <c r="F123" s="4" t="s">
        <v>43</v>
      </c>
      <c r="G123" s="4" t="s">
        <v>185</v>
      </c>
      <c r="H123" s="4" t="s">
        <v>203</v>
      </c>
      <c r="K123" s="4" t="s">
        <v>664</v>
      </c>
      <c r="L123" s="4" t="s">
        <v>206</v>
      </c>
      <c r="M123" s="4" t="s">
        <v>915</v>
      </c>
      <c r="N123" s="4" t="s">
        <v>15</v>
      </c>
      <c r="O123" s="13" t="s">
        <v>371</v>
      </c>
      <c r="P123" s="13" t="s">
        <v>373</v>
      </c>
      <c r="Q123" s="13" t="s">
        <v>373</v>
      </c>
      <c r="R123" s="4" t="s">
        <v>916</v>
      </c>
      <c r="S123" s="7" t="e">
        <f ca="1">IF(_xludf.ifna(VLOOKUP(B123,Parámetros!#REF!,1,0),"")="","No","Sí")</f>
        <v>#NAME?</v>
      </c>
      <c r="T123" s="7" t="str">
        <f t="shared" si="4"/>
        <v>No normativo</v>
      </c>
      <c r="U123" s="4" t="s">
        <v>224</v>
      </c>
      <c r="V123" s="4" t="s">
        <v>39</v>
      </c>
      <c r="W123" s="4" t="s">
        <v>212</v>
      </c>
      <c r="X123" s="4" t="s">
        <v>375</v>
      </c>
      <c r="Y123" s="4" t="s">
        <v>443</v>
      </c>
      <c r="Z123" s="4">
        <v>0</v>
      </c>
      <c r="AA123" s="4">
        <v>0</v>
      </c>
      <c r="AB123" s="4" t="s">
        <v>215</v>
      </c>
      <c r="AC123">
        <v>122</v>
      </c>
    </row>
    <row r="124" spans="1:29" ht="16.5" hidden="1" customHeight="1" x14ac:dyDescent="0.2">
      <c r="A124" s="6" t="str">
        <f t="shared" si="3"/>
        <v>SDATOOL-37406 $ DECRETO 830 DE 2021 - (PEP)</v>
      </c>
      <c r="B124" s="4" t="s">
        <v>917</v>
      </c>
      <c r="C124" s="4" t="s">
        <v>918</v>
      </c>
      <c r="D124" s="4" t="s">
        <v>183</v>
      </c>
      <c r="E124" s="4" t="s">
        <v>919</v>
      </c>
      <c r="F124" s="4" t="s">
        <v>69</v>
      </c>
      <c r="G124" s="4" t="s">
        <v>185</v>
      </c>
      <c r="H124" s="4" t="s">
        <v>203</v>
      </c>
      <c r="K124" s="4" t="s">
        <v>664</v>
      </c>
      <c r="L124" s="4" t="s">
        <v>206</v>
      </c>
      <c r="M124" s="4" t="s">
        <v>920</v>
      </c>
      <c r="N124" s="4" t="s">
        <v>15</v>
      </c>
      <c r="O124" s="13" t="s">
        <v>316</v>
      </c>
      <c r="P124" s="13" t="s">
        <v>317</v>
      </c>
      <c r="Q124" s="13" t="s">
        <v>767</v>
      </c>
      <c r="S124" s="7" t="e">
        <f ca="1">IF(_xludf.ifna(VLOOKUP(B124,Parámetros!#REF!,1,0),"")="","No","Sí")</f>
        <v>#NAME?</v>
      </c>
      <c r="T124" s="7" t="str">
        <f t="shared" si="4"/>
        <v>No normativo</v>
      </c>
      <c r="U124" s="4" t="s">
        <v>195</v>
      </c>
      <c r="V124" s="4" t="s">
        <v>39</v>
      </c>
      <c r="W124" s="4" t="s">
        <v>196</v>
      </c>
      <c r="X124" s="4" t="s">
        <v>225</v>
      </c>
      <c r="Y124" s="4" t="s">
        <v>320</v>
      </c>
      <c r="Z124" s="5">
        <v>5015404</v>
      </c>
      <c r="AA124" s="5">
        <v>54944789</v>
      </c>
      <c r="AB124" s="4" t="s">
        <v>215</v>
      </c>
      <c r="AC124">
        <v>123</v>
      </c>
    </row>
    <row r="125" spans="1:29" ht="16.5" customHeight="1" x14ac:dyDescent="0.2">
      <c r="A125" s="6" t="str">
        <f t="shared" si="3"/>
        <v>SDATOOL-37411 $ Infraestructura reportes regulatorios</v>
      </c>
      <c r="B125" s="4" t="s">
        <v>921</v>
      </c>
      <c r="C125" s="4" t="s">
        <v>922</v>
      </c>
      <c r="D125" s="4" t="s">
        <v>183</v>
      </c>
      <c r="E125" s="4" t="s">
        <v>923</v>
      </c>
      <c r="F125" s="4" t="s">
        <v>50</v>
      </c>
      <c r="G125" s="4" t="s">
        <v>185</v>
      </c>
      <c r="H125" s="4" t="s">
        <v>186</v>
      </c>
      <c r="I125" s="4" t="s">
        <v>186</v>
      </c>
      <c r="K125" s="4" t="s">
        <v>770</v>
      </c>
      <c r="L125" s="4" t="s">
        <v>394</v>
      </c>
      <c r="M125" s="4" t="s">
        <v>923</v>
      </c>
      <c r="N125" s="4" t="s">
        <v>15</v>
      </c>
      <c r="O125" s="13" t="s">
        <v>221</v>
      </c>
      <c r="P125" s="13" t="s">
        <v>924</v>
      </c>
      <c r="Q125" s="13" t="s">
        <v>318</v>
      </c>
      <c r="S125" s="7" t="e">
        <f ca="1">IF(_xludf.ifna(VLOOKUP(B125,Parámetros!#REF!,1,0),"")="","No","Sí")</f>
        <v>#NAME?</v>
      </c>
      <c r="T125" s="7" t="str">
        <f t="shared" si="4"/>
        <v>No normativo</v>
      </c>
      <c r="U125" s="4" t="s">
        <v>195</v>
      </c>
      <c r="V125" s="4" t="s">
        <v>39</v>
      </c>
      <c r="W125" s="4" t="s">
        <v>196</v>
      </c>
      <c r="X125" s="4" t="s">
        <v>225</v>
      </c>
      <c r="Y125" s="4" t="s">
        <v>925</v>
      </c>
      <c r="Z125" s="5">
        <v>2042857206</v>
      </c>
      <c r="AA125" s="5">
        <v>1085007392</v>
      </c>
      <c r="AB125" s="4" t="s">
        <v>180</v>
      </c>
      <c r="AC125">
        <v>124</v>
      </c>
    </row>
    <row r="126" spans="1:29" ht="16.5" hidden="1" customHeight="1" x14ac:dyDescent="0.2">
      <c r="A126" s="6" t="str">
        <f t="shared" si="3"/>
        <v>SDATOOL-37418 $ Automatizaciones procesos para acceso lógico - novedades de personal</v>
      </c>
      <c r="B126" s="4" t="s">
        <v>926</v>
      </c>
      <c r="C126" s="4" t="s">
        <v>927</v>
      </c>
      <c r="D126" s="4" t="s">
        <v>763</v>
      </c>
      <c r="E126" s="4" t="s">
        <v>928</v>
      </c>
      <c r="F126" s="4" t="s">
        <v>43</v>
      </c>
      <c r="G126" s="4" t="s">
        <v>185</v>
      </c>
      <c r="H126" s="4" t="s">
        <v>203</v>
      </c>
      <c r="J126" s="4" t="s">
        <v>204</v>
      </c>
      <c r="K126" s="4" t="s">
        <v>664</v>
      </c>
      <c r="L126" s="4" t="s">
        <v>206</v>
      </c>
      <c r="M126" s="4" t="s">
        <v>929</v>
      </c>
      <c r="N126" s="4" t="s">
        <v>15</v>
      </c>
      <c r="O126" s="13" t="s">
        <v>371</v>
      </c>
      <c r="P126" s="13" t="s">
        <v>930</v>
      </c>
      <c r="Q126" s="13" t="s">
        <v>930</v>
      </c>
      <c r="S126" s="7" t="e">
        <f ca="1">IF(_xludf.ifna(VLOOKUP(B126,Parámetros!#REF!,1,0),"")="","No","Sí")</f>
        <v>#NAME?</v>
      </c>
      <c r="T126" s="7" t="str">
        <f t="shared" si="4"/>
        <v>No normativo</v>
      </c>
      <c r="U126" s="4" t="s">
        <v>195</v>
      </c>
      <c r="V126" s="4" t="s">
        <v>39</v>
      </c>
      <c r="W126" s="4" t="s">
        <v>212</v>
      </c>
      <c r="X126" s="4" t="s">
        <v>375</v>
      </c>
      <c r="Y126" s="4" t="s">
        <v>872</v>
      </c>
      <c r="Z126" s="4">
        <v>0</v>
      </c>
      <c r="AA126" s="4">
        <v>0</v>
      </c>
      <c r="AB126" s="4" t="s">
        <v>215</v>
      </c>
      <c r="AC126">
        <v>125</v>
      </c>
    </row>
    <row r="127" spans="1:29" ht="16.5" hidden="1" customHeight="1" x14ac:dyDescent="0.2">
      <c r="A127" s="6" t="str">
        <f t="shared" si="3"/>
        <v>SDATOOL-37422 $ Mejoras en Biometría 2.0: Actualización anexo técnico</v>
      </c>
      <c r="B127" s="4" t="s">
        <v>931</v>
      </c>
      <c r="C127" s="4" t="s">
        <v>932</v>
      </c>
      <c r="D127" s="4" t="s">
        <v>183</v>
      </c>
      <c r="E127" s="4" t="s">
        <v>933</v>
      </c>
      <c r="F127" s="4" t="s">
        <v>35</v>
      </c>
      <c r="G127" s="4" t="s">
        <v>185</v>
      </c>
      <c r="H127" s="4" t="s">
        <v>203</v>
      </c>
      <c r="J127" s="4" t="s">
        <v>204</v>
      </c>
      <c r="K127" s="4" t="s">
        <v>664</v>
      </c>
      <c r="L127" s="4" t="s">
        <v>206</v>
      </c>
      <c r="M127" s="4" t="s">
        <v>934</v>
      </c>
      <c r="N127" s="4" t="s">
        <v>36</v>
      </c>
      <c r="O127" s="13" t="s">
        <v>738</v>
      </c>
      <c r="P127" s="13" t="s">
        <v>307</v>
      </c>
      <c r="Q127" s="13" t="s">
        <v>307</v>
      </c>
      <c r="S127" s="7" t="e">
        <f ca="1">IF(_xludf.ifna(VLOOKUP(B127,Parámetros!#REF!,1,0),"")="","No","Sí")</f>
        <v>#NAME?</v>
      </c>
      <c r="T127" s="7" t="str">
        <f t="shared" si="4"/>
        <v>No normativo</v>
      </c>
      <c r="U127" s="4" t="s">
        <v>195</v>
      </c>
      <c r="V127" s="4" t="s">
        <v>39</v>
      </c>
      <c r="W127" s="4" t="s">
        <v>300</v>
      </c>
      <c r="X127" s="4" t="s">
        <v>301</v>
      </c>
      <c r="Y127" s="4" t="s">
        <v>302</v>
      </c>
      <c r="Z127" s="5">
        <v>107100000</v>
      </c>
      <c r="AA127" s="4">
        <v>0</v>
      </c>
      <c r="AB127" s="4" t="s">
        <v>215</v>
      </c>
      <c r="AC127">
        <v>126</v>
      </c>
    </row>
    <row r="128" spans="1:29" ht="16.5" customHeight="1" x14ac:dyDescent="0.2">
      <c r="A128" s="6" t="str">
        <f t="shared" si="3"/>
        <v>SDATOOL-37423 $ Apertura Inhouse Santiago de Putumayo</v>
      </c>
      <c r="B128" s="4" t="s">
        <v>935</v>
      </c>
      <c r="C128" s="4" t="s">
        <v>936</v>
      </c>
      <c r="D128" s="4" t="s">
        <v>183</v>
      </c>
      <c r="E128" s="4" t="s">
        <v>937</v>
      </c>
      <c r="F128" s="4" t="s">
        <v>35</v>
      </c>
      <c r="G128" s="4" t="s">
        <v>185</v>
      </c>
      <c r="H128" s="4" t="s">
        <v>186</v>
      </c>
      <c r="J128" s="4" t="s">
        <v>204</v>
      </c>
      <c r="K128" s="4" t="s">
        <v>770</v>
      </c>
      <c r="L128" s="4" t="s">
        <v>386</v>
      </c>
      <c r="M128" s="4" t="s">
        <v>938</v>
      </c>
      <c r="N128" s="4" t="s">
        <v>36</v>
      </c>
      <c r="O128" s="13" t="s">
        <v>404</v>
      </c>
      <c r="P128" s="13" t="s">
        <v>939</v>
      </c>
      <c r="Q128" s="13" t="s">
        <v>543</v>
      </c>
      <c r="R128" s="4" t="s">
        <v>366</v>
      </c>
      <c r="S128" s="7" t="e">
        <f ca="1">IF(_xludf.ifna(VLOOKUP(B128,Parámetros!#REF!,1,0),"")="","No","Sí")</f>
        <v>#NAME?</v>
      </c>
      <c r="T128" s="7" t="str">
        <f t="shared" si="4"/>
        <v>Normativo</v>
      </c>
      <c r="U128" s="4" t="s">
        <v>195</v>
      </c>
      <c r="V128" s="4" t="s">
        <v>39</v>
      </c>
      <c r="W128" s="4" t="s">
        <v>196</v>
      </c>
      <c r="X128" s="4" t="s">
        <v>426</v>
      </c>
      <c r="Y128" s="4" t="s">
        <v>427</v>
      </c>
      <c r="Z128" s="5">
        <v>885853520</v>
      </c>
      <c r="AA128" s="5">
        <v>993260712</v>
      </c>
      <c r="AB128" s="4" t="s">
        <v>215</v>
      </c>
      <c r="AC128">
        <v>127</v>
      </c>
    </row>
    <row r="129" spans="1:29" ht="16.5" customHeight="1" x14ac:dyDescent="0.2">
      <c r="A129" s="6" t="str">
        <f t="shared" si="3"/>
        <v>SDATOOL-37425 $ Recaudo DIAN Tarjetas de Crédito Propio Banco través del Botón de pagos PSE para los canales Banca Personas y Banca de Empresas</v>
      </c>
      <c r="B129" s="4" t="s">
        <v>940</v>
      </c>
      <c r="C129" s="4" t="s">
        <v>941</v>
      </c>
      <c r="D129" s="4" t="s">
        <v>183</v>
      </c>
      <c r="E129" s="4" t="s">
        <v>942</v>
      </c>
      <c r="F129" s="4" t="s">
        <v>28</v>
      </c>
      <c r="G129" s="4" t="s">
        <v>185</v>
      </c>
      <c r="H129" s="4" t="s">
        <v>186</v>
      </c>
      <c r="J129" s="4" t="s">
        <v>204</v>
      </c>
      <c r="K129" s="4" t="s">
        <v>770</v>
      </c>
      <c r="L129" s="4" t="s">
        <v>189</v>
      </c>
      <c r="M129" s="4" t="s">
        <v>540</v>
      </c>
      <c r="N129" s="4" t="s">
        <v>36</v>
      </c>
      <c r="O129" s="13" t="s">
        <v>541</v>
      </c>
      <c r="P129" s="13" t="s">
        <v>542</v>
      </c>
      <c r="Q129" s="13" t="s">
        <v>519</v>
      </c>
      <c r="S129" s="7" t="e">
        <f ca="1">IF(_xludf.ifna(VLOOKUP(B129,Parámetros!#REF!,1,0),"")="","No","Sí")</f>
        <v>#NAME?</v>
      </c>
      <c r="T129" s="7" t="str">
        <f t="shared" si="4"/>
        <v>No normativo</v>
      </c>
      <c r="U129" s="4" t="s">
        <v>195</v>
      </c>
      <c r="V129" s="4" t="s">
        <v>39</v>
      </c>
      <c r="W129" s="4" t="s">
        <v>300</v>
      </c>
      <c r="X129" s="4" t="s">
        <v>301</v>
      </c>
      <c r="Y129" s="4" t="s">
        <v>302</v>
      </c>
      <c r="Z129" s="5">
        <v>309205678</v>
      </c>
      <c r="AA129" s="5">
        <v>343356128</v>
      </c>
      <c r="AB129" s="4" t="s">
        <v>180</v>
      </c>
      <c r="AC129">
        <v>128</v>
      </c>
    </row>
    <row r="130" spans="1:29" ht="16.5" customHeight="1" x14ac:dyDescent="0.2">
      <c r="A130" s="6" t="str">
        <f t="shared" si="3"/>
        <v>SDATOOL-37427 $ Adquirencia Premium</v>
      </c>
      <c r="B130" s="4" t="s">
        <v>943</v>
      </c>
      <c r="C130" s="4" t="s">
        <v>944</v>
      </c>
      <c r="D130" s="4" t="s">
        <v>183</v>
      </c>
      <c r="E130" s="4" t="s">
        <v>945</v>
      </c>
      <c r="F130" s="4" t="s">
        <v>21</v>
      </c>
      <c r="G130" s="4" t="s">
        <v>185</v>
      </c>
      <c r="H130" s="4" t="s">
        <v>186</v>
      </c>
      <c r="J130" s="4" t="s">
        <v>204</v>
      </c>
      <c r="K130" s="4" t="s">
        <v>770</v>
      </c>
      <c r="L130" s="4" t="s">
        <v>386</v>
      </c>
      <c r="M130" s="4" t="s">
        <v>946</v>
      </c>
      <c r="N130" s="4" t="s">
        <v>44</v>
      </c>
      <c r="O130" s="13" t="s">
        <v>419</v>
      </c>
      <c r="P130" s="13" t="s">
        <v>947</v>
      </c>
      <c r="Q130" s="13" t="s">
        <v>555</v>
      </c>
      <c r="S130" s="7" t="e">
        <f ca="1">IF(_xludf.ifna(VLOOKUP(B130,Parámetros!#REF!,1,0),"")="","No","Sí")</f>
        <v>#NAME?</v>
      </c>
      <c r="T130" s="7" t="str">
        <f t="shared" si="4"/>
        <v>No normativo</v>
      </c>
      <c r="U130" s="4" t="s">
        <v>195</v>
      </c>
      <c r="V130" s="4" t="s">
        <v>39</v>
      </c>
      <c r="W130" s="4" t="s">
        <v>233</v>
      </c>
      <c r="X130" s="4" t="s">
        <v>234</v>
      </c>
      <c r="Y130" s="4" t="s">
        <v>948</v>
      </c>
      <c r="Z130" s="5">
        <v>65000000</v>
      </c>
      <c r="AA130" s="5">
        <v>65000000</v>
      </c>
      <c r="AB130" s="4" t="s">
        <v>215</v>
      </c>
      <c r="AC130">
        <v>129</v>
      </c>
    </row>
    <row r="131" spans="1:29" ht="16.5" hidden="1" customHeight="1" x14ac:dyDescent="0.2">
      <c r="A131" s="6" t="str">
        <f t="shared" ref="A131:A194" si="5">B131&amp;" $ "&amp;C131</f>
        <v>SDATOOL-37468 $ PCI Pin transaccional V 3.0 2021</v>
      </c>
      <c r="B131" s="4" t="s">
        <v>949</v>
      </c>
      <c r="C131" s="4" t="s">
        <v>950</v>
      </c>
      <c r="D131" s="4" t="s">
        <v>763</v>
      </c>
      <c r="E131" s="4" t="s">
        <v>951</v>
      </c>
      <c r="F131" s="4" t="s">
        <v>43</v>
      </c>
      <c r="G131" s="4" t="s">
        <v>185</v>
      </c>
      <c r="H131" s="4" t="s">
        <v>752</v>
      </c>
      <c r="K131" s="4" t="s">
        <v>664</v>
      </c>
      <c r="L131" s="4" t="s">
        <v>386</v>
      </c>
      <c r="M131" s="4" t="s">
        <v>952</v>
      </c>
      <c r="N131" s="4" t="s">
        <v>15</v>
      </c>
      <c r="O131" s="13" t="s">
        <v>371</v>
      </c>
      <c r="P131" s="13" t="s">
        <v>930</v>
      </c>
      <c r="Q131" s="13" t="s">
        <v>953</v>
      </c>
      <c r="S131" s="7" t="e">
        <f ca="1">IF(_xludf.ifna(VLOOKUP(B131,Parámetros!#REF!,1,0),"")="","No","Sí")</f>
        <v>#NAME?</v>
      </c>
      <c r="T131" s="7" t="str">
        <f t="shared" ref="T131:T194" si="6">IF(U137="None","No normativo","Normativo")</f>
        <v>No normativo</v>
      </c>
      <c r="U131" s="4" t="s">
        <v>195</v>
      </c>
      <c r="V131" s="4" t="s">
        <v>39</v>
      </c>
      <c r="W131" s="4" t="s">
        <v>196</v>
      </c>
      <c r="X131" s="4" t="s">
        <v>225</v>
      </c>
      <c r="Y131" s="4" t="s">
        <v>925</v>
      </c>
      <c r="Z131" s="4">
        <v>1</v>
      </c>
      <c r="AA131" s="4">
        <v>1</v>
      </c>
      <c r="AB131" s="4" t="s">
        <v>215</v>
      </c>
      <c r="AC131">
        <v>130</v>
      </c>
    </row>
    <row r="132" spans="1:29" ht="16.5" customHeight="1" x14ac:dyDescent="0.2">
      <c r="A132" s="6" t="str">
        <f t="shared" si="5"/>
        <v>SDATOOL-37483 $ Aplicativos Finanzas - 2022</v>
      </c>
      <c r="B132" s="4" t="s">
        <v>954</v>
      </c>
      <c r="C132" s="4" t="s">
        <v>955</v>
      </c>
      <c r="D132" s="4" t="s">
        <v>183</v>
      </c>
      <c r="E132" s="4" t="s">
        <v>956</v>
      </c>
      <c r="F132" s="4" t="s">
        <v>50</v>
      </c>
      <c r="G132" s="4" t="s">
        <v>185</v>
      </c>
      <c r="H132" s="4" t="s">
        <v>186</v>
      </c>
      <c r="K132" s="4" t="s">
        <v>770</v>
      </c>
      <c r="L132" s="4" t="s">
        <v>189</v>
      </c>
      <c r="M132" s="4" t="s">
        <v>957</v>
      </c>
      <c r="N132" s="4" t="s">
        <v>15</v>
      </c>
      <c r="O132" s="13" t="s">
        <v>221</v>
      </c>
      <c r="P132" s="13" t="s">
        <v>462</v>
      </c>
      <c r="Q132" s="13" t="s">
        <v>318</v>
      </c>
      <c r="R132" s="4" t="s">
        <v>958</v>
      </c>
      <c r="S132" s="7" t="e">
        <f ca="1">IF(_xludf.ifna(VLOOKUP(B132,Parámetros!#REF!,1,0),"")="","No","Sí")</f>
        <v>#NAME?</v>
      </c>
      <c r="T132" s="7" t="str">
        <f t="shared" si="6"/>
        <v>No normativo</v>
      </c>
      <c r="U132" s="4" t="s">
        <v>195</v>
      </c>
      <c r="V132" s="4" t="s">
        <v>39</v>
      </c>
      <c r="W132" s="4" t="s">
        <v>196</v>
      </c>
      <c r="X132" s="4" t="s">
        <v>246</v>
      </c>
      <c r="Y132" s="4" t="s">
        <v>265</v>
      </c>
      <c r="Z132" s="5">
        <v>100399100</v>
      </c>
      <c r="AA132" s="5">
        <v>264045292</v>
      </c>
      <c r="AB132" s="4" t="s">
        <v>215</v>
      </c>
      <c r="AC132">
        <v>131</v>
      </c>
    </row>
    <row r="133" spans="1:29" ht="16.5" hidden="1" customHeight="1" x14ac:dyDescent="0.2">
      <c r="A133" s="6" t="str">
        <f t="shared" si="5"/>
        <v>SDATOOL-37531 $ Proceso De Transmisión Interfaz Tubo</v>
      </c>
      <c r="B133" s="4" t="s">
        <v>959</v>
      </c>
      <c r="C133" s="4" t="s">
        <v>960</v>
      </c>
      <c r="D133" s="4" t="s">
        <v>183</v>
      </c>
      <c r="E133" s="4" t="s">
        <v>961</v>
      </c>
      <c r="F133" s="4" t="s">
        <v>30</v>
      </c>
      <c r="G133" s="4" t="s">
        <v>185</v>
      </c>
      <c r="H133" s="4" t="s">
        <v>203</v>
      </c>
      <c r="K133" s="4" t="s">
        <v>962</v>
      </c>
      <c r="L133" s="4" t="s">
        <v>206</v>
      </c>
      <c r="M133" s="4" t="s">
        <v>963</v>
      </c>
      <c r="N133" s="4" t="s">
        <v>15</v>
      </c>
      <c r="O133" s="13" t="s">
        <v>964</v>
      </c>
      <c r="P133" s="13" t="s">
        <v>965</v>
      </c>
      <c r="Q133" s="13" t="s">
        <v>623</v>
      </c>
      <c r="R133" s="4" t="s">
        <v>966</v>
      </c>
      <c r="S133" s="7" t="e">
        <f ca="1">IF(_xludf.ifna(VLOOKUP(B133,Parámetros!#REF!,1,0),"")="","No","Sí")</f>
        <v>#NAME?</v>
      </c>
      <c r="T133" s="7" t="str">
        <f t="shared" si="6"/>
        <v>No normativo</v>
      </c>
      <c r="U133" s="4" t="s">
        <v>195</v>
      </c>
      <c r="V133" s="4" t="s">
        <v>39</v>
      </c>
      <c r="W133" s="4" t="s">
        <v>212</v>
      </c>
      <c r="X133" s="4" t="s">
        <v>213</v>
      </c>
      <c r="Y133" s="4" t="s">
        <v>967</v>
      </c>
      <c r="Z133" s="4">
        <v>0</v>
      </c>
      <c r="AA133" s="5">
        <v>743768</v>
      </c>
      <c r="AB133" s="4" t="s">
        <v>215</v>
      </c>
      <c r="AC133">
        <v>132</v>
      </c>
    </row>
    <row r="134" spans="1:29" ht="16.5" customHeight="1" x14ac:dyDescent="0.2">
      <c r="A134" s="6" t="str">
        <f t="shared" si="5"/>
        <v>SDATOOL-37681 $ Ciclo 2 - Resolución 0098 de Octubre 28 de 2020 - Reportes información Exógena Base Impuestos</v>
      </c>
      <c r="B134" s="4" t="s">
        <v>968</v>
      </c>
      <c r="C134" s="4" t="s">
        <v>969</v>
      </c>
      <c r="D134" s="4" t="s">
        <v>183</v>
      </c>
      <c r="E134" s="4" t="s">
        <v>566</v>
      </c>
      <c r="F134" s="4" t="s">
        <v>50</v>
      </c>
      <c r="G134" s="4" t="s">
        <v>185</v>
      </c>
      <c r="H134" s="4" t="s">
        <v>186</v>
      </c>
      <c r="K134" s="4" t="s">
        <v>664</v>
      </c>
      <c r="L134" s="4" t="s">
        <v>189</v>
      </c>
      <c r="M134" s="4" t="s">
        <v>567</v>
      </c>
      <c r="N134" s="4" t="s">
        <v>15</v>
      </c>
      <c r="O134" s="13" t="s">
        <v>568</v>
      </c>
      <c r="P134" s="13" t="s">
        <v>455</v>
      </c>
      <c r="Q134" s="13" t="s">
        <v>318</v>
      </c>
      <c r="R134" s="4" t="s">
        <v>457</v>
      </c>
      <c r="S134" s="7" t="e">
        <f ca="1">IF(_xludf.ifna(VLOOKUP(B134,Parámetros!#REF!,1,0),"")="","No","Sí")</f>
        <v>#NAME?</v>
      </c>
      <c r="T134" s="7" t="str">
        <f t="shared" si="6"/>
        <v>No normativo</v>
      </c>
      <c r="U134" s="4" t="s">
        <v>224</v>
      </c>
      <c r="V134" s="4" t="s">
        <v>39</v>
      </c>
      <c r="W134" s="4" t="s">
        <v>196</v>
      </c>
      <c r="X134" s="4" t="s">
        <v>246</v>
      </c>
      <c r="Y134" s="4" t="s">
        <v>265</v>
      </c>
      <c r="Z134" s="5">
        <v>995983785</v>
      </c>
      <c r="AA134" s="5">
        <v>773942270</v>
      </c>
      <c r="AB134" s="4" t="s">
        <v>180</v>
      </c>
      <c r="AC134">
        <v>133</v>
      </c>
    </row>
    <row r="135" spans="1:29" ht="16.5" hidden="1" customHeight="1" x14ac:dyDescent="0.2">
      <c r="A135" s="6" t="str">
        <f t="shared" si="5"/>
        <v>SDATOOL-37709 $ Herramientas Regulatorias Regionales (FINREP/AE y Liquidez) 2022</v>
      </c>
      <c r="B135" s="4" t="s">
        <v>970</v>
      </c>
      <c r="C135" s="4" t="s">
        <v>971</v>
      </c>
      <c r="D135" s="4" t="s">
        <v>183</v>
      </c>
      <c r="E135" s="4" t="s">
        <v>972</v>
      </c>
      <c r="F135" s="4" t="s">
        <v>50</v>
      </c>
      <c r="G135" s="4" t="s">
        <v>185</v>
      </c>
      <c r="H135" s="4" t="s">
        <v>203</v>
      </c>
      <c r="K135" s="4" t="s">
        <v>770</v>
      </c>
      <c r="L135" s="4" t="s">
        <v>206</v>
      </c>
      <c r="M135" s="4" t="s">
        <v>973</v>
      </c>
      <c r="N135" s="4" t="s">
        <v>15</v>
      </c>
      <c r="O135" s="13" t="s">
        <v>974</v>
      </c>
      <c r="P135" s="13" t="s">
        <v>462</v>
      </c>
      <c r="Q135" s="13" t="s">
        <v>318</v>
      </c>
      <c r="R135" s="4" t="s">
        <v>975</v>
      </c>
      <c r="S135" s="7" t="e">
        <f ca="1">IF(_xludf.ifna(VLOOKUP(B135,Parámetros!#REF!,1,0),"")="","No","Sí")</f>
        <v>#NAME?</v>
      </c>
      <c r="T135" s="7" t="str">
        <f t="shared" si="6"/>
        <v>No normativo</v>
      </c>
      <c r="U135" s="4" t="s">
        <v>195</v>
      </c>
      <c r="V135" s="4" t="s">
        <v>39</v>
      </c>
      <c r="W135" s="4" t="s">
        <v>196</v>
      </c>
      <c r="X135" s="4" t="s">
        <v>246</v>
      </c>
      <c r="Y135" s="4" t="s">
        <v>715</v>
      </c>
      <c r="Z135" s="5">
        <v>1529933</v>
      </c>
      <c r="AA135" s="5">
        <v>186527149</v>
      </c>
      <c r="AB135" s="4" t="s">
        <v>215</v>
      </c>
      <c r="AC135">
        <v>134</v>
      </c>
    </row>
    <row r="136" spans="1:29" ht="16.5" customHeight="1" x14ac:dyDescent="0.2">
      <c r="A136" s="6" t="str">
        <f t="shared" si="5"/>
        <v>SDATOOL-37736 $ GRM Col - Mejoras Evolutivas de Aplicativos y Herramientas de Riesgos 2022</v>
      </c>
      <c r="B136" s="4" t="s">
        <v>976</v>
      </c>
      <c r="C136" s="4" t="s">
        <v>977</v>
      </c>
      <c r="D136" s="4" t="s">
        <v>183</v>
      </c>
      <c r="E136" s="4" t="s">
        <v>978</v>
      </c>
      <c r="F136" s="4" t="s">
        <v>56</v>
      </c>
      <c r="G136" s="4" t="s">
        <v>185</v>
      </c>
      <c r="H136" s="4" t="s">
        <v>186</v>
      </c>
      <c r="J136" s="4" t="s">
        <v>204</v>
      </c>
      <c r="K136" s="4" t="s">
        <v>770</v>
      </c>
      <c r="L136" s="4" t="s">
        <v>386</v>
      </c>
      <c r="M136" s="4" t="s">
        <v>979</v>
      </c>
      <c r="N136" s="4" t="s">
        <v>36</v>
      </c>
      <c r="O136" s="13" t="s">
        <v>208</v>
      </c>
      <c r="Q136" s="13" t="s">
        <v>255</v>
      </c>
      <c r="S136" s="7" t="e">
        <f ca="1">IF(_xludf.ifna(VLOOKUP(B136,Parámetros!#REF!,1,0),"")="","No","Sí")</f>
        <v>#NAME?</v>
      </c>
      <c r="T136" s="7" t="str">
        <f t="shared" si="6"/>
        <v>No normativo</v>
      </c>
      <c r="U136" s="4" t="s">
        <v>195</v>
      </c>
      <c r="V136" s="4" t="s">
        <v>39</v>
      </c>
      <c r="W136" s="4" t="s">
        <v>300</v>
      </c>
      <c r="X136" s="4" t="s">
        <v>301</v>
      </c>
      <c r="Y136" s="4" t="s">
        <v>755</v>
      </c>
      <c r="Z136" s="5">
        <v>47455753</v>
      </c>
      <c r="AA136" s="5">
        <v>143638308</v>
      </c>
      <c r="AB136" s="4" t="s">
        <v>215</v>
      </c>
      <c r="AC136">
        <v>135</v>
      </c>
    </row>
    <row r="137" spans="1:29" ht="16.5" hidden="1" customHeight="1" x14ac:dyDescent="0.2">
      <c r="A137" s="6" t="str">
        <f t="shared" si="5"/>
        <v>SDATOOL-37737 $ The Ninja Project Colombia</v>
      </c>
      <c r="B137" s="4" t="s">
        <v>980</v>
      </c>
      <c r="C137" s="4" t="s">
        <v>981</v>
      </c>
      <c r="D137" s="4" t="s">
        <v>183</v>
      </c>
      <c r="E137" s="4" t="s">
        <v>982</v>
      </c>
      <c r="F137" s="4" t="s">
        <v>43</v>
      </c>
      <c r="G137" s="4" t="s">
        <v>185</v>
      </c>
      <c r="H137" s="4" t="s">
        <v>203</v>
      </c>
      <c r="J137" s="4" t="s">
        <v>187</v>
      </c>
      <c r="K137" s="4" t="s">
        <v>770</v>
      </c>
      <c r="L137" s="4" t="s">
        <v>206</v>
      </c>
      <c r="M137" s="4" t="s">
        <v>983</v>
      </c>
      <c r="N137" s="4" t="s">
        <v>15</v>
      </c>
      <c r="O137" s="13" t="s">
        <v>984</v>
      </c>
      <c r="P137" s="13" t="s">
        <v>985</v>
      </c>
      <c r="Q137" s="13" t="s">
        <v>985</v>
      </c>
      <c r="R137" s="4" t="s">
        <v>986</v>
      </c>
      <c r="S137" s="7" t="e">
        <f ca="1">IF(_xludf.ifna(VLOOKUP(B137,Parámetros!#REF!,1,0),"")="","No","Sí")</f>
        <v>#NAME?</v>
      </c>
      <c r="T137" s="7" t="str">
        <f t="shared" si="6"/>
        <v>No normativo</v>
      </c>
      <c r="U137" s="4" t="s">
        <v>195</v>
      </c>
      <c r="V137" s="4" t="s">
        <v>39</v>
      </c>
      <c r="W137" s="4" t="s">
        <v>291</v>
      </c>
      <c r="X137" s="4" t="s">
        <v>292</v>
      </c>
      <c r="Y137" s="4" t="s">
        <v>987</v>
      </c>
      <c r="Z137" s="4">
        <v>0</v>
      </c>
      <c r="AA137" s="4">
        <v>0</v>
      </c>
      <c r="AB137" s="4" t="s">
        <v>215</v>
      </c>
      <c r="AC137">
        <v>136</v>
      </c>
    </row>
    <row r="138" spans="1:29" ht="16.5" hidden="1" customHeight="1" x14ac:dyDescent="0.2">
      <c r="A138" s="6" t="str">
        <f t="shared" si="5"/>
        <v>SDATOOL-37738 $ Optimizaciones Mainframe 2022</v>
      </c>
      <c r="B138" s="4" t="s">
        <v>988</v>
      </c>
      <c r="C138" s="4" t="s">
        <v>989</v>
      </c>
      <c r="D138" s="4" t="s">
        <v>183</v>
      </c>
      <c r="E138" s="4" t="s">
        <v>990</v>
      </c>
      <c r="F138" s="4" t="s">
        <v>43</v>
      </c>
      <c r="G138" s="4" t="s">
        <v>185</v>
      </c>
      <c r="H138" s="4" t="s">
        <v>203</v>
      </c>
      <c r="J138" s="4" t="s">
        <v>204</v>
      </c>
      <c r="K138" s="4" t="s">
        <v>770</v>
      </c>
      <c r="L138" s="4" t="s">
        <v>206</v>
      </c>
      <c r="M138" s="4" t="s">
        <v>991</v>
      </c>
      <c r="N138" s="4" t="s">
        <v>15</v>
      </c>
      <c r="O138" s="13" t="s">
        <v>353</v>
      </c>
      <c r="P138" s="13" t="s">
        <v>992</v>
      </c>
      <c r="Q138" s="13" t="s">
        <v>992</v>
      </c>
      <c r="R138" s="4" t="s">
        <v>993</v>
      </c>
      <c r="S138" s="7" t="e">
        <f ca="1">IF(_xludf.ifna(VLOOKUP(B138,Parámetros!#REF!,1,0),"")="","No","Sí")</f>
        <v>#NAME?</v>
      </c>
      <c r="T138" s="7" t="str">
        <f t="shared" si="6"/>
        <v>No normativo</v>
      </c>
      <c r="U138" s="4" t="s">
        <v>195</v>
      </c>
      <c r="V138" s="4" t="s">
        <v>39</v>
      </c>
      <c r="W138" s="4" t="s">
        <v>212</v>
      </c>
      <c r="X138" s="4" t="s">
        <v>356</v>
      </c>
      <c r="Y138" s="4" t="s">
        <v>994</v>
      </c>
      <c r="Z138" s="5">
        <v>85131011</v>
      </c>
      <c r="AA138" s="5">
        <v>635752945</v>
      </c>
      <c r="AB138" s="4" t="s">
        <v>215</v>
      </c>
      <c r="AC138">
        <v>137</v>
      </c>
    </row>
    <row r="139" spans="1:29" ht="16.5" customHeight="1" x14ac:dyDescent="0.2">
      <c r="A139" s="6" t="str">
        <f t="shared" si="5"/>
        <v>SDATOOL-37741 $ Reemplazo de la plataforma de Almacenamiento NetApp</v>
      </c>
      <c r="B139" s="4" t="s">
        <v>995</v>
      </c>
      <c r="C139" s="4" t="s">
        <v>996</v>
      </c>
      <c r="D139" s="4" t="s">
        <v>183</v>
      </c>
      <c r="E139" s="4" t="s">
        <v>997</v>
      </c>
      <c r="F139" s="4" t="s">
        <v>43</v>
      </c>
      <c r="G139" s="4" t="s">
        <v>185</v>
      </c>
      <c r="H139" s="4" t="s">
        <v>186</v>
      </c>
      <c r="I139" s="4" t="s">
        <v>186</v>
      </c>
      <c r="K139" s="4" t="s">
        <v>770</v>
      </c>
      <c r="L139" s="4" t="s">
        <v>998</v>
      </c>
      <c r="M139" s="4" t="s">
        <v>999</v>
      </c>
      <c r="N139" s="4" t="s">
        <v>15</v>
      </c>
      <c r="O139" s="13" t="s">
        <v>1000</v>
      </c>
      <c r="P139" s="13" t="s">
        <v>1001</v>
      </c>
      <c r="Q139" s="13" t="s">
        <v>1001</v>
      </c>
      <c r="R139" s="4" t="s">
        <v>1002</v>
      </c>
      <c r="S139" s="7" t="e">
        <f ca="1">IF(_xludf.ifna(VLOOKUP(B139,Parámetros!#REF!,1,0),"")="","No","Sí")</f>
        <v>#NAME?</v>
      </c>
      <c r="T139" s="7" t="str">
        <f t="shared" si="6"/>
        <v>No normativo</v>
      </c>
      <c r="U139" s="4" t="s">
        <v>195</v>
      </c>
      <c r="V139" s="4" t="s">
        <v>39</v>
      </c>
      <c r="W139" s="4" t="s">
        <v>212</v>
      </c>
      <c r="X139" s="4" t="s">
        <v>356</v>
      </c>
      <c r="Y139" s="4" t="s">
        <v>1003</v>
      </c>
      <c r="Z139" s="4">
        <v>0</v>
      </c>
      <c r="AA139" s="5">
        <v>9784794662</v>
      </c>
      <c r="AB139" s="4" t="s">
        <v>180</v>
      </c>
      <c r="AC139">
        <v>138</v>
      </c>
    </row>
    <row r="140" spans="1:29" ht="16.5" customHeight="1" x14ac:dyDescent="0.2">
      <c r="A140" s="6" t="str">
        <f t="shared" si="5"/>
        <v>SDATOOL-37742 $ Switches ACI DMZ Seguridad y Wan Edge - Teusaquillo</v>
      </c>
      <c r="B140" s="4" t="s">
        <v>1004</v>
      </c>
      <c r="C140" s="4" t="s">
        <v>1005</v>
      </c>
      <c r="D140" s="4" t="s">
        <v>183</v>
      </c>
      <c r="E140" s="4" t="s">
        <v>1006</v>
      </c>
      <c r="F140" s="4" t="s">
        <v>43</v>
      </c>
      <c r="G140" s="4" t="s">
        <v>185</v>
      </c>
      <c r="H140" s="4" t="s">
        <v>186</v>
      </c>
      <c r="I140" s="4" t="s">
        <v>186</v>
      </c>
      <c r="J140" s="4" t="s">
        <v>204</v>
      </c>
      <c r="K140" s="4" t="s">
        <v>770</v>
      </c>
      <c r="L140" s="4" t="s">
        <v>189</v>
      </c>
      <c r="M140" s="4" t="s">
        <v>1007</v>
      </c>
      <c r="N140" s="4" t="s">
        <v>15</v>
      </c>
      <c r="O140" s="13" t="s">
        <v>1008</v>
      </c>
      <c r="P140" s="13" t="s">
        <v>354</v>
      </c>
      <c r="Q140" s="13" t="s">
        <v>1009</v>
      </c>
      <c r="R140" s="4" t="s">
        <v>1010</v>
      </c>
      <c r="S140" s="7" t="e">
        <f ca="1">IF(_xludf.ifna(VLOOKUP(B140,Parámetros!#REF!,1,0),"")="","No","Sí")</f>
        <v>#NAME?</v>
      </c>
      <c r="T140" s="7" t="str">
        <f t="shared" si="6"/>
        <v>No normativo</v>
      </c>
      <c r="U140" s="4" t="s">
        <v>195</v>
      </c>
      <c r="V140" s="4" t="s">
        <v>39</v>
      </c>
      <c r="W140" s="4" t="s">
        <v>212</v>
      </c>
      <c r="X140" s="4" t="s">
        <v>356</v>
      </c>
      <c r="Y140" s="4" t="s">
        <v>1011</v>
      </c>
      <c r="Z140" s="5">
        <v>3169671658</v>
      </c>
      <c r="AA140" s="5">
        <v>2752031676</v>
      </c>
      <c r="AB140" s="4" t="s">
        <v>180</v>
      </c>
      <c r="AC140">
        <v>139</v>
      </c>
    </row>
    <row r="141" spans="1:29" ht="16.5" customHeight="1" x14ac:dyDescent="0.2">
      <c r="A141" s="6" t="str">
        <f t="shared" si="5"/>
        <v>SDATOOL-37744 $ Infraestructura Firewall a nivel nacional</v>
      </c>
      <c r="B141" s="4" t="s">
        <v>1012</v>
      </c>
      <c r="C141" s="4" t="s">
        <v>1013</v>
      </c>
      <c r="D141" s="4" t="s">
        <v>183</v>
      </c>
      <c r="E141" s="4" t="s">
        <v>1014</v>
      </c>
      <c r="F141" s="4" t="s">
        <v>43</v>
      </c>
      <c r="G141" s="4" t="s">
        <v>185</v>
      </c>
      <c r="H141" s="4" t="s">
        <v>186</v>
      </c>
      <c r="I141" s="4" t="s">
        <v>186</v>
      </c>
      <c r="K141" s="4" t="s">
        <v>770</v>
      </c>
      <c r="L141" s="4" t="s">
        <v>189</v>
      </c>
      <c r="M141" s="4" t="s">
        <v>1015</v>
      </c>
      <c r="N141" s="4" t="s">
        <v>15</v>
      </c>
      <c r="O141" s="13" t="s">
        <v>354</v>
      </c>
      <c r="P141" s="13" t="s">
        <v>354</v>
      </c>
      <c r="Q141" s="13" t="s">
        <v>1009</v>
      </c>
      <c r="R141" s="4" t="s">
        <v>1016</v>
      </c>
      <c r="S141" s="7" t="e">
        <f ca="1">IF(_xludf.ifna(VLOOKUP(B141,Parámetros!#REF!,1,0),"")="","No","Sí")</f>
        <v>#NAME?</v>
      </c>
      <c r="T141" s="7" t="str">
        <f t="shared" si="6"/>
        <v>No normativo</v>
      </c>
      <c r="U141" s="4" t="s">
        <v>195</v>
      </c>
      <c r="V141" s="4" t="s">
        <v>39</v>
      </c>
      <c r="W141" s="4" t="s">
        <v>212</v>
      </c>
      <c r="X141" s="4" t="s">
        <v>356</v>
      </c>
      <c r="Y141" s="4" t="s">
        <v>1003</v>
      </c>
      <c r="Z141" s="5">
        <v>11223705018</v>
      </c>
      <c r="AA141" s="5">
        <v>7504357848</v>
      </c>
      <c r="AB141" s="4" t="s">
        <v>180</v>
      </c>
      <c r="AC141">
        <v>140</v>
      </c>
    </row>
    <row r="142" spans="1:29" ht="16.5" customHeight="1" x14ac:dyDescent="0.2">
      <c r="A142" s="6" t="str">
        <f t="shared" si="5"/>
        <v>SDATOOL-37747 $ Renovación por Obsolescencia de HW Oracle SuperCluster</v>
      </c>
      <c r="B142" s="4" t="s">
        <v>1017</v>
      </c>
      <c r="C142" s="4" t="s">
        <v>1018</v>
      </c>
      <c r="D142" s="4" t="s">
        <v>183</v>
      </c>
      <c r="E142" s="4" t="s">
        <v>1019</v>
      </c>
      <c r="F142" s="4" t="s">
        <v>43</v>
      </c>
      <c r="G142" s="4" t="s">
        <v>185</v>
      </c>
      <c r="H142" s="4" t="s">
        <v>186</v>
      </c>
      <c r="I142" s="4" t="s">
        <v>186</v>
      </c>
      <c r="J142" s="4" t="s">
        <v>204</v>
      </c>
      <c r="K142" s="4" t="s">
        <v>770</v>
      </c>
      <c r="L142" s="4" t="s">
        <v>394</v>
      </c>
      <c r="M142" s="4" t="s">
        <v>1020</v>
      </c>
      <c r="N142" s="4" t="s">
        <v>15</v>
      </c>
      <c r="O142" s="13" t="s">
        <v>1000</v>
      </c>
      <c r="P142" s="13" t="s">
        <v>1000</v>
      </c>
      <c r="Q142" s="13" t="s">
        <v>1021</v>
      </c>
      <c r="R142" s="4" t="s">
        <v>1022</v>
      </c>
      <c r="S142" s="7" t="e">
        <f ca="1">IF(_xludf.ifna(VLOOKUP(B142,Parámetros!#REF!,1,0),"")="","No","Sí")</f>
        <v>#NAME?</v>
      </c>
      <c r="T142" s="7" t="str">
        <f t="shared" si="6"/>
        <v>No normativo</v>
      </c>
      <c r="U142" s="4" t="s">
        <v>195</v>
      </c>
      <c r="V142" s="4" t="s">
        <v>39</v>
      </c>
      <c r="W142" s="4" t="s">
        <v>212</v>
      </c>
      <c r="X142" s="4" t="s">
        <v>356</v>
      </c>
      <c r="Y142" s="4" t="s">
        <v>1011</v>
      </c>
      <c r="Z142" s="5">
        <v>5791744359</v>
      </c>
      <c r="AA142" s="5">
        <v>3819458216</v>
      </c>
      <c r="AB142" s="4" t="s">
        <v>180</v>
      </c>
      <c r="AC142">
        <v>141</v>
      </c>
    </row>
    <row r="143" spans="1:29" ht="16.5" hidden="1" customHeight="1" x14ac:dyDescent="0.2">
      <c r="A143" s="6" t="str">
        <f t="shared" si="5"/>
        <v>SDATOOL-37749 $ Entornos Previos 2022</v>
      </c>
      <c r="B143" s="4" t="s">
        <v>1023</v>
      </c>
      <c r="C143" s="4" t="s">
        <v>1024</v>
      </c>
      <c r="D143" s="4" t="s">
        <v>183</v>
      </c>
      <c r="E143" s="4" t="s">
        <v>1025</v>
      </c>
      <c r="F143" s="4" t="s">
        <v>43</v>
      </c>
      <c r="G143" s="4" t="s">
        <v>185</v>
      </c>
      <c r="H143" s="4" t="s">
        <v>203</v>
      </c>
      <c r="J143" s="4" t="s">
        <v>204</v>
      </c>
      <c r="K143" s="4" t="s">
        <v>770</v>
      </c>
      <c r="L143" s="4" t="s">
        <v>206</v>
      </c>
      <c r="M143" s="4" t="s">
        <v>1026</v>
      </c>
      <c r="N143" s="4" t="s">
        <v>15</v>
      </c>
      <c r="O143" s="13" t="s">
        <v>353</v>
      </c>
      <c r="P143" s="13" t="s">
        <v>1027</v>
      </c>
      <c r="Q143" s="13" t="s">
        <v>1027</v>
      </c>
      <c r="R143" s="4" t="s">
        <v>1028</v>
      </c>
      <c r="S143" s="7" t="e">
        <f ca="1">IF(_xludf.ifna(VLOOKUP(B143,Parámetros!#REF!,1,0),"")="","No","Sí")</f>
        <v>#NAME?</v>
      </c>
      <c r="T143" s="7" t="str">
        <f t="shared" si="6"/>
        <v>No normativo</v>
      </c>
      <c r="U143" s="4" t="s">
        <v>195</v>
      </c>
      <c r="V143" s="4" t="s">
        <v>39</v>
      </c>
      <c r="W143" s="4" t="s">
        <v>212</v>
      </c>
      <c r="X143" s="4" t="s">
        <v>356</v>
      </c>
      <c r="Y143" s="4" t="s">
        <v>357</v>
      </c>
      <c r="Z143" s="4">
        <v>0</v>
      </c>
      <c r="AA143" s="4">
        <v>0</v>
      </c>
      <c r="AB143" s="4" t="s">
        <v>215</v>
      </c>
      <c r="AC143">
        <v>142</v>
      </c>
    </row>
    <row r="144" spans="1:29" ht="16.5" customHeight="1" x14ac:dyDescent="0.2">
      <c r="A144" s="6" t="str">
        <f t="shared" si="5"/>
        <v>SDATOOL-37750 $ Robotics 2022</v>
      </c>
      <c r="B144" s="4" t="s">
        <v>1029</v>
      </c>
      <c r="C144" s="4" t="s">
        <v>1030</v>
      </c>
      <c r="D144" s="4" t="s">
        <v>183</v>
      </c>
      <c r="E144" s="4" t="s">
        <v>1031</v>
      </c>
      <c r="F144" s="4" t="s">
        <v>43</v>
      </c>
      <c r="G144" s="4" t="s">
        <v>185</v>
      </c>
      <c r="H144" s="4" t="s">
        <v>186</v>
      </c>
      <c r="J144" s="4" t="s">
        <v>204</v>
      </c>
      <c r="K144" s="4" t="s">
        <v>770</v>
      </c>
      <c r="L144" s="4" t="s">
        <v>386</v>
      </c>
      <c r="M144" s="4" t="s">
        <v>1032</v>
      </c>
      <c r="N144" s="4" t="s">
        <v>15</v>
      </c>
      <c r="O144" s="13" t="s">
        <v>1033</v>
      </c>
      <c r="P144" s="13" t="s">
        <v>1034</v>
      </c>
      <c r="Q144" s="13" t="s">
        <v>638</v>
      </c>
      <c r="R144" s="4" t="s">
        <v>1035</v>
      </c>
      <c r="S144" s="7" t="e">
        <f ca="1">IF(_xludf.ifna(VLOOKUP(B144,Parámetros!#REF!,1,0),"")="","No","Sí")</f>
        <v>#NAME?</v>
      </c>
      <c r="T144" s="7" t="str">
        <f t="shared" si="6"/>
        <v>No normativo</v>
      </c>
      <c r="U144" s="4" t="s">
        <v>195</v>
      </c>
      <c r="V144" s="4" t="s">
        <v>39</v>
      </c>
      <c r="W144" s="4" t="s">
        <v>196</v>
      </c>
      <c r="X144" s="4" t="s">
        <v>246</v>
      </c>
      <c r="Y144" s="4" t="s">
        <v>265</v>
      </c>
      <c r="Z144" s="5">
        <v>4050843</v>
      </c>
      <c r="AA144" s="5">
        <v>194967713</v>
      </c>
      <c r="AB144" s="4" t="s">
        <v>215</v>
      </c>
      <c r="AC144">
        <v>143</v>
      </c>
    </row>
    <row r="145" spans="1:29" ht="16.5" hidden="1" customHeight="1" x14ac:dyDescent="0.2">
      <c r="A145" s="6" t="str">
        <f t="shared" si="5"/>
        <v>SDATOOL-37751 $ Workplace AACC 2022</v>
      </c>
      <c r="B145" s="4" t="s">
        <v>1036</v>
      </c>
      <c r="C145" s="4" t="s">
        <v>1037</v>
      </c>
      <c r="D145" s="4" t="s">
        <v>183</v>
      </c>
      <c r="E145" s="4" t="s">
        <v>1038</v>
      </c>
      <c r="F145" s="4" t="s">
        <v>43</v>
      </c>
      <c r="G145" s="4" t="s">
        <v>185</v>
      </c>
      <c r="H145" s="4" t="s">
        <v>203</v>
      </c>
      <c r="K145" s="4" t="s">
        <v>770</v>
      </c>
      <c r="L145" s="4" t="s">
        <v>206</v>
      </c>
      <c r="M145" s="4" t="s">
        <v>1039</v>
      </c>
      <c r="N145" s="4" t="s">
        <v>29</v>
      </c>
      <c r="O145" s="13" t="s">
        <v>353</v>
      </c>
      <c r="P145" s="13" t="s">
        <v>1040</v>
      </c>
      <c r="Q145" s="13" t="s">
        <v>1040</v>
      </c>
      <c r="R145" s="4" t="s">
        <v>1041</v>
      </c>
      <c r="S145" s="7" t="e">
        <f ca="1">IF(_xludf.ifna(VLOOKUP(B145,Parámetros!#REF!,1,0),"")="","No","Sí")</f>
        <v>#NAME?</v>
      </c>
      <c r="T145" s="7" t="str">
        <f t="shared" si="6"/>
        <v>No normativo</v>
      </c>
      <c r="U145" s="4" t="s">
        <v>195</v>
      </c>
      <c r="V145" s="4" t="s">
        <v>39</v>
      </c>
      <c r="W145" s="4" t="s">
        <v>291</v>
      </c>
      <c r="X145" s="4" t="s">
        <v>292</v>
      </c>
      <c r="Y145" s="4" t="s">
        <v>338</v>
      </c>
      <c r="Z145" s="5">
        <v>380950525</v>
      </c>
      <c r="AA145" s="5">
        <v>6711604660</v>
      </c>
      <c r="AB145" s="4" t="s">
        <v>215</v>
      </c>
      <c r="AC145">
        <v>144</v>
      </c>
    </row>
    <row r="146" spans="1:29" ht="16.5" customHeight="1" x14ac:dyDescent="0.2">
      <c r="A146" s="6" t="str">
        <f t="shared" si="5"/>
        <v>SDATOOL-37753 $ Plan de transformación de operaciones 2022</v>
      </c>
      <c r="B146" s="4" t="s">
        <v>1042</v>
      </c>
      <c r="C146" s="4" t="s">
        <v>1043</v>
      </c>
      <c r="D146" s="4" t="s">
        <v>183</v>
      </c>
      <c r="E146" s="4" t="s">
        <v>1044</v>
      </c>
      <c r="F146" s="4" t="s">
        <v>43</v>
      </c>
      <c r="G146" s="4" t="s">
        <v>185</v>
      </c>
      <c r="H146" s="4" t="s">
        <v>186</v>
      </c>
      <c r="I146" s="4" t="s">
        <v>186</v>
      </c>
      <c r="J146" s="4" t="s">
        <v>204</v>
      </c>
      <c r="K146" s="4" t="s">
        <v>770</v>
      </c>
      <c r="L146" s="4" t="s">
        <v>394</v>
      </c>
      <c r="M146" s="4" t="s">
        <v>1045</v>
      </c>
      <c r="N146" s="4" t="s">
        <v>15</v>
      </c>
      <c r="O146" s="13" t="s">
        <v>1046</v>
      </c>
      <c r="P146" s="13" t="s">
        <v>1047</v>
      </c>
      <c r="Q146" s="13" t="s">
        <v>767</v>
      </c>
      <c r="R146" s="4" t="s">
        <v>1048</v>
      </c>
      <c r="S146" s="7" t="e">
        <f ca="1">IF(_xludf.ifna(VLOOKUP(B146,Parámetros!#REF!,1,0),"")="","No","Sí")</f>
        <v>#NAME?</v>
      </c>
      <c r="T146" s="7" t="str">
        <f t="shared" si="6"/>
        <v>No normativo</v>
      </c>
      <c r="U146" s="4" t="s">
        <v>195</v>
      </c>
      <c r="V146" s="4" t="s">
        <v>39</v>
      </c>
      <c r="W146" s="4" t="s">
        <v>196</v>
      </c>
      <c r="X146" s="4" t="s">
        <v>246</v>
      </c>
      <c r="Y146" s="4" t="s">
        <v>265</v>
      </c>
      <c r="Z146" s="5">
        <v>4081462140</v>
      </c>
      <c r="AA146" s="5">
        <v>1880730512</v>
      </c>
      <c r="AB146" s="4" t="s">
        <v>180</v>
      </c>
      <c r="AC146">
        <v>145</v>
      </c>
    </row>
    <row r="147" spans="1:29" ht="16.5" hidden="1" customHeight="1" x14ac:dyDescent="0.2">
      <c r="A147" s="6" t="str">
        <f t="shared" si="5"/>
        <v>SDATOOL-37754 $ PCI - Forensic</v>
      </c>
      <c r="B147" s="4" t="s">
        <v>1049</v>
      </c>
      <c r="C147" s="4" t="s">
        <v>1050</v>
      </c>
      <c r="D147" s="4" t="s">
        <v>183</v>
      </c>
      <c r="E147" s="4" t="s">
        <v>1051</v>
      </c>
      <c r="F147" s="4" t="s">
        <v>43</v>
      </c>
      <c r="G147" s="4" t="s">
        <v>185</v>
      </c>
      <c r="H147" s="4" t="s">
        <v>203</v>
      </c>
      <c r="K147" s="4" t="s">
        <v>770</v>
      </c>
      <c r="L147" s="4" t="s">
        <v>206</v>
      </c>
      <c r="M147" s="4" t="s">
        <v>1052</v>
      </c>
      <c r="N147" s="4" t="s">
        <v>15</v>
      </c>
      <c r="O147" s="13" t="s">
        <v>371</v>
      </c>
      <c r="P147" s="13" t="s">
        <v>372</v>
      </c>
      <c r="Q147" s="13" t="s">
        <v>373</v>
      </c>
      <c r="R147" s="4" t="s">
        <v>1053</v>
      </c>
      <c r="S147" s="7" t="e">
        <f ca="1">IF(_xludf.ifna(VLOOKUP(B147,Parámetros!#REF!,1,0),"")="","No","Sí")</f>
        <v>#NAME?</v>
      </c>
      <c r="T147" s="7" t="str">
        <f t="shared" si="6"/>
        <v>No normativo</v>
      </c>
      <c r="U147" s="4" t="s">
        <v>195</v>
      </c>
      <c r="V147" s="4" t="s">
        <v>39</v>
      </c>
      <c r="W147" s="4" t="s">
        <v>212</v>
      </c>
      <c r="X147" s="4" t="s">
        <v>375</v>
      </c>
      <c r="Y147" s="4" t="s">
        <v>872</v>
      </c>
      <c r="Z147" s="4">
        <v>0</v>
      </c>
      <c r="AA147" s="5">
        <v>208961066</v>
      </c>
      <c r="AB147" s="4" t="s">
        <v>215</v>
      </c>
      <c r="AC147">
        <v>146</v>
      </c>
    </row>
    <row r="148" spans="1:29" ht="16.5" customHeight="1" x14ac:dyDescent="0.2">
      <c r="A148" s="6" t="str">
        <f t="shared" si="5"/>
        <v>SDATOOL-37755 $ Robnett - Disminución ELA 2023</v>
      </c>
      <c r="B148" s="4" t="s">
        <v>1054</v>
      </c>
      <c r="C148" s="4" t="s">
        <v>1055</v>
      </c>
      <c r="D148" s="4" t="s">
        <v>183</v>
      </c>
      <c r="E148" s="4" t="s">
        <v>1056</v>
      </c>
      <c r="F148" s="4" t="s">
        <v>43</v>
      </c>
      <c r="G148" s="4" t="s">
        <v>185</v>
      </c>
      <c r="H148" s="4" t="s">
        <v>186</v>
      </c>
      <c r="I148" s="4" t="s">
        <v>186</v>
      </c>
      <c r="J148" s="4" t="s">
        <v>204</v>
      </c>
      <c r="K148" s="4" t="s">
        <v>770</v>
      </c>
      <c r="L148" s="4" t="s">
        <v>189</v>
      </c>
      <c r="M148" s="4" t="s">
        <v>1057</v>
      </c>
      <c r="N148" s="4" t="s">
        <v>15</v>
      </c>
      <c r="O148" s="13" t="s">
        <v>532</v>
      </c>
      <c r="P148" s="13" t="s">
        <v>1058</v>
      </c>
      <c r="Q148" s="13" t="s">
        <v>532</v>
      </c>
      <c r="R148" s="4" t="s">
        <v>1059</v>
      </c>
      <c r="S148" s="7" t="e">
        <f ca="1">IF(_xludf.ifna(VLOOKUP(B148,Parámetros!#REF!,1,0),"")="","No","Sí")</f>
        <v>#NAME?</v>
      </c>
      <c r="T148" s="7" t="str">
        <f t="shared" si="6"/>
        <v>No normativo</v>
      </c>
      <c r="U148" s="4" t="s">
        <v>195</v>
      </c>
      <c r="V148" s="4" t="s">
        <v>39</v>
      </c>
      <c r="W148" s="4" t="s">
        <v>212</v>
      </c>
      <c r="X148" s="4" t="s">
        <v>356</v>
      </c>
      <c r="Y148" s="4" t="s">
        <v>1003</v>
      </c>
      <c r="Z148" s="5">
        <v>4427733834</v>
      </c>
      <c r="AA148" s="5">
        <v>4018896724</v>
      </c>
      <c r="AB148" s="4" t="s">
        <v>180</v>
      </c>
      <c r="AC148">
        <v>147</v>
      </c>
    </row>
    <row r="149" spans="1:29" ht="16.5" customHeight="1" x14ac:dyDescent="0.2">
      <c r="A149" s="6" t="str">
        <f t="shared" si="5"/>
        <v>SDATOOL-37756 $ Nueva herramienta de monitoreo transaccional Feature Space</v>
      </c>
      <c r="B149" s="4" t="s">
        <v>1060</v>
      </c>
      <c r="C149" s="4" t="s">
        <v>1061</v>
      </c>
      <c r="D149" s="4" t="s">
        <v>183</v>
      </c>
      <c r="E149" s="4" t="s">
        <v>1062</v>
      </c>
      <c r="F149" s="4" t="s">
        <v>43</v>
      </c>
      <c r="G149" s="4" t="s">
        <v>185</v>
      </c>
      <c r="H149" s="4" t="s">
        <v>186</v>
      </c>
      <c r="I149" s="4" t="s">
        <v>186</v>
      </c>
      <c r="J149" s="4" t="s">
        <v>204</v>
      </c>
      <c r="K149" s="4" t="s">
        <v>664</v>
      </c>
      <c r="L149" s="4" t="s">
        <v>394</v>
      </c>
      <c r="M149" s="4" t="s">
        <v>1063</v>
      </c>
      <c r="N149" s="4" t="s">
        <v>15</v>
      </c>
      <c r="O149" s="13" t="s">
        <v>371</v>
      </c>
      <c r="P149" s="13" t="s">
        <v>1064</v>
      </c>
      <c r="Q149" s="13" t="s">
        <v>373</v>
      </c>
      <c r="R149" s="4" t="s">
        <v>1065</v>
      </c>
      <c r="S149" s="7" t="e">
        <f ca="1">IF(_xludf.ifna(VLOOKUP(B149,Parámetros!#REF!,1,0),"")="","No","Sí")</f>
        <v>#NAME?</v>
      </c>
      <c r="T149" s="7" t="str">
        <f t="shared" si="6"/>
        <v>No normativo</v>
      </c>
      <c r="U149" s="4" t="s">
        <v>195</v>
      </c>
      <c r="V149" s="4" t="s">
        <v>39</v>
      </c>
      <c r="W149" s="4" t="s">
        <v>212</v>
      </c>
      <c r="X149" s="4" t="s">
        <v>375</v>
      </c>
      <c r="Y149" s="4" t="s">
        <v>443</v>
      </c>
      <c r="Z149" s="4">
        <v>0</v>
      </c>
      <c r="AA149" s="5">
        <v>7739313797</v>
      </c>
      <c r="AB149" s="4" t="s">
        <v>180</v>
      </c>
      <c r="AC149">
        <v>148</v>
      </c>
    </row>
    <row r="150" spans="1:29" ht="16.5" customHeight="1" x14ac:dyDescent="0.2">
      <c r="A150" s="6" t="str">
        <f t="shared" si="5"/>
        <v>SDATOOL-37761 $ Plan transformación de procesos</v>
      </c>
      <c r="B150" s="4" t="s">
        <v>1066</v>
      </c>
      <c r="C150" s="4" t="s">
        <v>1067</v>
      </c>
      <c r="D150" s="4" t="s">
        <v>183</v>
      </c>
      <c r="E150" s="4" t="s">
        <v>1068</v>
      </c>
      <c r="F150" s="4" t="s">
        <v>43</v>
      </c>
      <c r="G150" s="4" t="s">
        <v>185</v>
      </c>
      <c r="H150" s="4" t="s">
        <v>186</v>
      </c>
      <c r="I150" s="4" t="s">
        <v>186</v>
      </c>
      <c r="J150" s="4" t="s">
        <v>204</v>
      </c>
      <c r="K150" s="4" t="s">
        <v>770</v>
      </c>
      <c r="L150" s="4" t="s">
        <v>394</v>
      </c>
      <c r="M150" s="4" t="s">
        <v>1068</v>
      </c>
      <c r="N150" s="4" t="s">
        <v>15</v>
      </c>
      <c r="O150" s="13" t="s">
        <v>1033</v>
      </c>
      <c r="P150" s="13" t="s">
        <v>1069</v>
      </c>
      <c r="Q150" s="13" t="s">
        <v>1033</v>
      </c>
      <c r="R150" s="4" t="s">
        <v>1070</v>
      </c>
      <c r="S150" s="7" t="e">
        <f ca="1">IF(_xludf.ifna(VLOOKUP(B150,Parámetros!#REF!,1,0),"")="","No","Sí")</f>
        <v>#NAME?</v>
      </c>
      <c r="T150" s="7" t="str">
        <f t="shared" si="6"/>
        <v>No normativo</v>
      </c>
      <c r="U150" s="4" t="s">
        <v>195</v>
      </c>
      <c r="V150" s="4" t="s">
        <v>39</v>
      </c>
      <c r="W150" s="4" t="s">
        <v>196</v>
      </c>
      <c r="X150" s="4" t="s">
        <v>246</v>
      </c>
      <c r="Y150" s="4" t="s">
        <v>265</v>
      </c>
      <c r="Z150" s="5">
        <v>833412516</v>
      </c>
      <c r="AA150" s="5">
        <v>928344698</v>
      </c>
      <c r="AB150" s="4" t="s">
        <v>180</v>
      </c>
      <c r="AC150">
        <v>149</v>
      </c>
    </row>
    <row r="151" spans="1:29" ht="16.5" hidden="1" customHeight="1" x14ac:dyDescent="0.2">
      <c r="A151" s="6" t="str">
        <f t="shared" si="5"/>
        <v>SDATOOL-37762 $ TITAN -2022</v>
      </c>
      <c r="B151" s="4" t="s">
        <v>1071</v>
      </c>
      <c r="C151" s="4" t="s">
        <v>1072</v>
      </c>
      <c r="D151" s="4" t="s">
        <v>183</v>
      </c>
      <c r="E151" s="4" t="s">
        <v>1073</v>
      </c>
      <c r="F151" s="4" t="s">
        <v>43</v>
      </c>
      <c r="G151" s="4" t="s">
        <v>185</v>
      </c>
      <c r="H151" s="4" t="s">
        <v>203</v>
      </c>
      <c r="J151" s="4" t="s">
        <v>204</v>
      </c>
      <c r="K151" s="4" t="s">
        <v>770</v>
      </c>
      <c r="L151" s="4" t="s">
        <v>206</v>
      </c>
      <c r="M151" s="4" t="s">
        <v>1074</v>
      </c>
      <c r="N151" s="4" t="s">
        <v>15</v>
      </c>
      <c r="O151" s="13" t="s">
        <v>1046</v>
      </c>
      <c r="P151" s="13" t="s">
        <v>1047</v>
      </c>
      <c r="Q151" s="13" t="s">
        <v>767</v>
      </c>
      <c r="R151" s="4" t="s">
        <v>1075</v>
      </c>
      <c r="S151" s="7" t="e">
        <f ca="1">IF(_xludf.ifna(VLOOKUP(B151,Parámetros!#REF!,1,0),"")="","No","Sí")</f>
        <v>#NAME?</v>
      </c>
      <c r="T151" s="7" t="str">
        <f t="shared" si="6"/>
        <v>No normativo</v>
      </c>
      <c r="U151" s="4" t="s">
        <v>195</v>
      </c>
      <c r="V151" s="4" t="s">
        <v>39</v>
      </c>
      <c r="W151" s="4" t="s">
        <v>196</v>
      </c>
      <c r="X151" s="4" t="s">
        <v>246</v>
      </c>
      <c r="Y151" s="4" t="s">
        <v>265</v>
      </c>
      <c r="Z151" s="4">
        <v>0</v>
      </c>
      <c r="AA151" s="5">
        <v>45638618</v>
      </c>
      <c r="AB151" s="4" t="s">
        <v>215</v>
      </c>
      <c r="AC151">
        <v>150</v>
      </c>
    </row>
    <row r="152" spans="1:29" ht="16.5" hidden="1" customHeight="1" x14ac:dyDescent="0.2">
      <c r="A152" s="6" t="str">
        <f t="shared" si="5"/>
        <v>SDATOOL-37763 $ ITR3P (IT Risk in Third Parties) COLOMBIA</v>
      </c>
      <c r="B152" s="4" t="s">
        <v>1076</v>
      </c>
      <c r="C152" s="4" t="s">
        <v>1077</v>
      </c>
      <c r="D152" s="4" t="s">
        <v>183</v>
      </c>
      <c r="E152" s="4" t="s">
        <v>1078</v>
      </c>
      <c r="F152" s="4" t="s">
        <v>43</v>
      </c>
      <c r="G152" s="4" t="s">
        <v>185</v>
      </c>
      <c r="H152" s="4" t="s">
        <v>203</v>
      </c>
      <c r="J152" s="4" t="s">
        <v>204</v>
      </c>
      <c r="K152" s="4" t="s">
        <v>770</v>
      </c>
      <c r="L152" s="4" t="s">
        <v>206</v>
      </c>
      <c r="M152" s="4" t="s">
        <v>1079</v>
      </c>
      <c r="N152" s="4" t="s">
        <v>15</v>
      </c>
      <c r="O152" s="13" t="s">
        <v>307</v>
      </c>
      <c r="Q152" s="13" t="s">
        <v>1033</v>
      </c>
      <c r="R152" s="4" t="s">
        <v>1080</v>
      </c>
      <c r="S152" s="7" t="e">
        <f ca="1">IF(_xludf.ifna(VLOOKUP(B152,Parámetros!#REF!,1,0),"")="","No","Sí")</f>
        <v>#NAME?</v>
      </c>
      <c r="T152" s="7" t="str">
        <f t="shared" si="6"/>
        <v>No normativo</v>
      </c>
      <c r="U152" s="4" t="s">
        <v>195</v>
      </c>
      <c r="V152" s="4" t="s">
        <v>39</v>
      </c>
      <c r="W152" s="4" t="s">
        <v>196</v>
      </c>
      <c r="X152" s="4" t="s">
        <v>225</v>
      </c>
      <c r="Y152" s="4" t="s">
        <v>320</v>
      </c>
      <c r="Z152" s="4">
        <v>0</v>
      </c>
      <c r="AA152" s="5">
        <v>175193927</v>
      </c>
      <c r="AB152" s="4" t="s">
        <v>215</v>
      </c>
      <c r="AC152">
        <v>151</v>
      </c>
    </row>
    <row r="153" spans="1:29" ht="16.5" customHeight="1" x14ac:dyDescent="0.2">
      <c r="A153" s="6" t="str">
        <f t="shared" si="5"/>
        <v>SDATOOL-37765 $ Optimización operativa S&amp;C</v>
      </c>
      <c r="B153" s="4" t="s">
        <v>1081</v>
      </c>
      <c r="C153" s="4" t="s">
        <v>1082</v>
      </c>
      <c r="D153" s="4" t="s">
        <v>183</v>
      </c>
      <c r="E153" s="4" t="s">
        <v>1083</v>
      </c>
      <c r="F153" s="4" t="s">
        <v>43</v>
      </c>
      <c r="G153" s="4" t="s">
        <v>185</v>
      </c>
      <c r="H153" s="4" t="s">
        <v>186</v>
      </c>
      <c r="I153" s="4" t="s">
        <v>186</v>
      </c>
      <c r="K153" s="4" t="s">
        <v>770</v>
      </c>
      <c r="L153" s="4" t="s">
        <v>394</v>
      </c>
      <c r="M153" s="4" t="s">
        <v>1083</v>
      </c>
      <c r="N153" s="4" t="s">
        <v>15</v>
      </c>
      <c r="O153" s="13" t="s">
        <v>984</v>
      </c>
      <c r="P153" s="13" t="s">
        <v>1084</v>
      </c>
      <c r="Q153" s="13" t="s">
        <v>1085</v>
      </c>
      <c r="S153" s="7" t="e">
        <f ca="1">IF(_xludf.ifna(VLOOKUP(B153,Parámetros!#REF!,1,0),"")="","No","Sí")</f>
        <v>#NAME?</v>
      </c>
      <c r="T153" s="7" t="str">
        <f t="shared" si="6"/>
        <v>No normativo</v>
      </c>
      <c r="U153" s="4" t="s">
        <v>195</v>
      </c>
      <c r="V153" s="4" t="s">
        <v>39</v>
      </c>
      <c r="W153" s="4" t="s">
        <v>196</v>
      </c>
      <c r="X153" s="4" t="s">
        <v>246</v>
      </c>
      <c r="Y153" s="4" t="s">
        <v>265</v>
      </c>
      <c r="Z153" s="5">
        <v>270749425</v>
      </c>
      <c r="AA153" s="5">
        <v>291749425</v>
      </c>
      <c r="AB153" s="4" t="s">
        <v>180</v>
      </c>
      <c r="AC153">
        <v>152</v>
      </c>
    </row>
    <row r="154" spans="1:29" ht="16.5" hidden="1" customHeight="1" x14ac:dyDescent="0.2">
      <c r="A154" s="6" t="str">
        <f t="shared" si="5"/>
        <v>SDATOOL-37766 $ Banking Runtimes 2022</v>
      </c>
      <c r="B154" s="4" t="s">
        <v>1086</v>
      </c>
      <c r="C154" s="4" t="s">
        <v>1087</v>
      </c>
      <c r="D154" s="4" t="s">
        <v>763</v>
      </c>
      <c r="E154" s="4" t="s">
        <v>1088</v>
      </c>
      <c r="F154" s="4" t="s">
        <v>43</v>
      </c>
      <c r="G154" s="4" t="s">
        <v>185</v>
      </c>
      <c r="H154" s="4" t="s">
        <v>203</v>
      </c>
      <c r="K154" s="4" t="s">
        <v>770</v>
      </c>
      <c r="L154" s="4" t="s">
        <v>206</v>
      </c>
      <c r="M154" s="4" t="s">
        <v>1089</v>
      </c>
      <c r="N154" s="4" t="s">
        <v>36</v>
      </c>
      <c r="O154" s="13" t="s">
        <v>532</v>
      </c>
      <c r="P154" s="13" t="s">
        <v>441</v>
      </c>
      <c r="Q154" s="13" t="s">
        <v>767</v>
      </c>
      <c r="R154" s="4" t="s">
        <v>1090</v>
      </c>
      <c r="S154" s="7" t="e">
        <f ca="1">IF(_xludf.ifna(VLOOKUP(B154,Parámetros!#REF!,1,0),"")="","No","Sí")</f>
        <v>#NAME?</v>
      </c>
      <c r="T154" s="7" t="str">
        <f t="shared" si="6"/>
        <v>No normativo</v>
      </c>
      <c r="U154" s="4" t="s">
        <v>195</v>
      </c>
      <c r="V154" s="4" t="s">
        <v>39</v>
      </c>
      <c r="W154" s="4" t="s">
        <v>212</v>
      </c>
      <c r="X154" s="4" t="s">
        <v>356</v>
      </c>
      <c r="Y154" s="4" t="s">
        <v>1091</v>
      </c>
      <c r="Z154" s="4">
        <v>0</v>
      </c>
      <c r="AA154" s="4">
        <v>0</v>
      </c>
      <c r="AB154" s="4" t="s">
        <v>215</v>
      </c>
      <c r="AC154">
        <v>153</v>
      </c>
    </row>
    <row r="155" spans="1:29" ht="16.5" hidden="1" customHeight="1" x14ac:dyDescent="0.2">
      <c r="A155" s="6" t="str">
        <f t="shared" si="5"/>
        <v>SDATOOL-37769 $ FRM Integración</v>
      </c>
      <c r="B155" s="4" t="s">
        <v>1092</v>
      </c>
      <c r="C155" s="4" t="s">
        <v>1093</v>
      </c>
      <c r="D155" s="4" t="s">
        <v>183</v>
      </c>
      <c r="E155" s="4" t="s">
        <v>1094</v>
      </c>
      <c r="F155" s="4" t="s">
        <v>43</v>
      </c>
      <c r="G155" s="4" t="s">
        <v>185</v>
      </c>
      <c r="H155" s="4" t="s">
        <v>203</v>
      </c>
      <c r="K155" s="4" t="s">
        <v>770</v>
      </c>
      <c r="L155" s="4" t="s">
        <v>206</v>
      </c>
      <c r="M155" s="4" t="s">
        <v>1095</v>
      </c>
      <c r="N155" s="4" t="s">
        <v>15</v>
      </c>
      <c r="O155" s="13" t="s">
        <v>371</v>
      </c>
      <c r="P155" s="13" t="s">
        <v>440</v>
      </c>
      <c r="Q155" s="13" t="s">
        <v>373</v>
      </c>
      <c r="R155" s="4" t="s">
        <v>1096</v>
      </c>
      <c r="S155" s="7" t="e">
        <f ca="1">IF(_xludf.ifna(VLOOKUP(B155,Parámetros!#REF!,1,0),"")="","No","Sí")</f>
        <v>#NAME?</v>
      </c>
      <c r="T155" s="7" t="str">
        <f t="shared" si="6"/>
        <v>No normativo</v>
      </c>
      <c r="U155" s="4" t="s">
        <v>195</v>
      </c>
      <c r="V155" s="4" t="s">
        <v>39</v>
      </c>
      <c r="W155" s="4" t="s">
        <v>212</v>
      </c>
      <c r="X155" s="4" t="s">
        <v>375</v>
      </c>
      <c r="Y155" s="4" t="s">
        <v>443</v>
      </c>
      <c r="Z155" s="5">
        <v>22982112</v>
      </c>
      <c r="AA155" s="5">
        <v>41493747</v>
      </c>
      <c r="AB155" s="4" t="s">
        <v>215</v>
      </c>
      <c r="AC155">
        <v>154</v>
      </c>
    </row>
    <row r="156" spans="1:29" ht="16.5" hidden="1" customHeight="1" x14ac:dyDescent="0.2">
      <c r="A156" s="6" t="str">
        <f t="shared" si="5"/>
        <v>SDATOOL-37770 $ Adquisición Licencias BeyondCorp</v>
      </c>
      <c r="B156" s="4" t="s">
        <v>1097</v>
      </c>
      <c r="C156" s="4" t="s">
        <v>1098</v>
      </c>
      <c r="D156" s="4" t="s">
        <v>183</v>
      </c>
      <c r="E156" s="4" t="s">
        <v>1099</v>
      </c>
      <c r="F156" s="4" t="s">
        <v>43</v>
      </c>
      <c r="G156" s="4" t="s">
        <v>185</v>
      </c>
      <c r="H156" s="4" t="s">
        <v>203</v>
      </c>
      <c r="J156" s="4" t="s">
        <v>204</v>
      </c>
      <c r="K156" s="4" t="s">
        <v>770</v>
      </c>
      <c r="L156" s="4" t="s">
        <v>206</v>
      </c>
      <c r="M156" s="4" t="s">
        <v>1100</v>
      </c>
      <c r="N156" s="4" t="s">
        <v>15</v>
      </c>
      <c r="O156" s="13" t="s">
        <v>371</v>
      </c>
      <c r="P156" s="13" t="s">
        <v>1101</v>
      </c>
      <c r="Q156" s="13" t="s">
        <v>1101</v>
      </c>
      <c r="R156" s="4" t="s">
        <v>1102</v>
      </c>
      <c r="S156" s="7" t="e">
        <f ca="1">IF(_xludf.ifna(VLOOKUP(B156,Parámetros!#REF!,1,0),"")="","No","Sí")</f>
        <v>#NAME?</v>
      </c>
      <c r="T156" s="7" t="str">
        <f t="shared" si="6"/>
        <v>No normativo</v>
      </c>
      <c r="U156" s="4" t="s">
        <v>195</v>
      </c>
      <c r="V156" s="4" t="s">
        <v>39</v>
      </c>
      <c r="W156" s="4" t="s">
        <v>212</v>
      </c>
      <c r="X156" s="4" t="s">
        <v>375</v>
      </c>
      <c r="Y156" s="4" t="s">
        <v>376</v>
      </c>
      <c r="Z156" s="4">
        <v>0</v>
      </c>
      <c r="AA156" s="4">
        <v>0</v>
      </c>
      <c r="AB156" s="4" t="s">
        <v>215</v>
      </c>
      <c r="AC156">
        <v>155</v>
      </c>
    </row>
    <row r="157" spans="1:29" ht="16.5" customHeight="1" x14ac:dyDescent="0.2">
      <c r="A157" s="6" t="str">
        <f t="shared" si="5"/>
        <v>SDATOOL-37771 $ Automatización y mejoras de procesos de Corporate Security</v>
      </c>
      <c r="B157" s="4" t="s">
        <v>1103</v>
      </c>
      <c r="C157" s="4" t="s">
        <v>1104</v>
      </c>
      <c r="D157" s="4" t="s">
        <v>183</v>
      </c>
      <c r="E157" s="4" t="s">
        <v>1105</v>
      </c>
      <c r="F157" s="4" t="s">
        <v>43</v>
      </c>
      <c r="G157" s="4" t="s">
        <v>185</v>
      </c>
      <c r="H157" s="4" t="s">
        <v>186</v>
      </c>
      <c r="J157" s="4" t="s">
        <v>204</v>
      </c>
      <c r="K157" s="4" t="s">
        <v>770</v>
      </c>
      <c r="L157" s="4" t="s">
        <v>386</v>
      </c>
      <c r="M157" s="4" t="s">
        <v>1106</v>
      </c>
      <c r="N157" s="4" t="s">
        <v>15</v>
      </c>
      <c r="O157" s="13" t="s">
        <v>371</v>
      </c>
      <c r="P157" s="13" t="s">
        <v>373</v>
      </c>
      <c r="Q157" s="13" t="s">
        <v>373</v>
      </c>
      <c r="R157" s="4" t="s">
        <v>1107</v>
      </c>
      <c r="S157" s="7" t="e">
        <f ca="1">IF(_xludf.ifna(VLOOKUP(B157,Parámetros!#REF!,1,0),"")="","No","Sí")</f>
        <v>#NAME?</v>
      </c>
      <c r="T157" s="7" t="str">
        <f t="shared" si="6"/>
        <v>No normativo</v>
      </c>
      <c r="U157" s="4" t="s">
        <v>195</v>
      </c>
      <c r="V157" s="4" t="s">
        <v>39</v>
      </c>
      <c r="W157" s="4" t="s">
        <v>212</v>
      </c>
      <c r="X157" s="4" t="s">
        <v>375</v>
      </c>
      <c r="Y157" s="4" t="s">
        <v>872</v>
      </c>
      <c r="Z157" s="5">
        <v>1419940</v>
      </c>
      <c r="AA157" s="5">
        <v>39185834</v>
      </c>
      <c r="AB157" s="4" t="s">
        <v>215</v>
      </c>
      <c r="AC157">
        <v>156</v>
      </c>
    </row>
    <row r="158" spans="1:29" ht="16.5" customHeight="1" x14ac:dyDescent="0.2">
      <c r="A158" s="6" t="str">
        <f t="shared" si="5"/>
        <v>SDATOOL-37776 $ DevOps: Estandarización del Ciclo de Vida 2022</v>
      </c>
      <c r="B158" s="4" t="s">
        <v>1108</v>
      </c>
      <c r="C158" s="4" t="s">
        <v>1109</v>
      </c>
      <c r="D158" s="4" t="s">
        <v>183</v>
      </c>
      <c r="E158" s="4" t="s">
        <v>1110</v>
      </c>
      <c r="F158" s="4" t="s">
        <v>43</v>
      </c>
      <c r="G158" s="4" t="s">
        <v>185</v>
      </c>
      <c r="H158" s="4" t="s">
        <v>186</v>
      </c>
      <c r="K158" s="4" t="s">
        <v>770</v>
      </c>
      <c r="L158" s="4" t="s">
        <v>386</v>
      </c>
      <c r="M158" s="4" t="s">
        <v>1111</v>
      </c>
      <c r="N158" s="4" t="s">
        <v>15</v>
      </c>
      <c r="O158" s="13" t="s">
        <v>532</v>
      </c>
      <c r="P158" s="13" t="s">
        <v>1112</v>
      </c>
      <c r="Q158" s="13" t="s">
        <v>532</v>
      </c>
      <c r="R158" s="4" t="s">
        <v>1113</v>
      </c>
      <c r="S158" s="7" t="e">
        <f ca="1">IF(_xludf.ifna(VLOOKUP(B158,Parámetros!#REF!,1,0),"")="","No","Sí")</f>
        <v>#NAME?</v>
      </c>
      <c r="T158" s="7" t="str">
        <f t="shared" si="6"/>
        <v>No normativo</v>
      </c>
      <c r="U158" s="4" t="s">
        <v>195</v>
      </c>
      <c r="V158" s="4" t="s">
        <v>39</v>
      </c>
      <c r="W158" s="4" t="s">
        <v>212</v>
      </c>
      <c r="X158" s="4" t="s">
        <v>1114</v>
      </c>
      <c r="Y158" s="4" t="s">
        <v>1115</v>
      </c>
      <c r="Z158" s="5">
        <v>139755062</v>
      </c>
      <c r="AA158" s="5">
        <v>602093511</v>
      </c>
      <c r="AB158" s="4" t="s">
        <v>215</v>
      </c>
      <c r="AC158">
        <v>157</v>
      </c>
    </row>
    <row r="159" spans="1:29" ht="16.5" hidden="1" customHeight="1" x14ac:dyDescent="0.2">
      <c r="A159" s="6" t="str">
        <f t="shared" si="5"/>
        <v>SDATOOL-37778 $ Tech University Colombia 2022</v>
      </c>
      <c r="B159" s="4" t="s">
        <v>1116</v>
      </c>
      <c r="C159" s="4" t="s">
        <v>1117</v>
      </c>
      <c r="D159" s="4" t="s">
        <v>183</v>
      </c>
      <c r="E159" s="4" t="s">
        <v>1118</v>
      </c>
      <c r="F159" s="4" t="s">
        <v>43</v>
      </c>
      <c r="G159" s="4" t="s">
        <v>185</v>
      </c>
      <c r="H159" s="4" t="s">
        <v>203</v>
      </c>
      <c r="K159" s="4" t="s">
        <v>770</v>
      </c>
      <c r="L159" s="4" t="s">
        <v>206</v>
      </c>
      <c r="M159" s="4" t="s">
        <v>1119</v>
      </c>
      <c r="N159" s="4" t="s">
        <v>15</v>
      </c>
      <c r="O159" s="13" t="s">
        <v>984</v>
      </c>
      <c r="P159" s="13" t="s">
        <v>985</v>
      </c>
      <c r="Q159" s="4" t="s">
        <v>1120</v>
      </c>
      <c r="R159" s="4" t="s">
        <v>1121</v>
      </c>
      <c r="S159" s="7" t="e">
        <f ca="1">IF(_xludf.ifna(VLOOKUP(B159,Parámetros!#REF!,1,0),"")="","No","Sí")</f>
        <v>#NAME?</v>
      </c>
      <c r="T159" s="7" t="str">
        <f t="shared" si="6"/>
        <v>No normativo</v>
      </c>
      <c r="U159" s="4" t="s">
        <v>195</v>
      </c>
      <c r="V159" s="4" t="s">
        <v>39</v>
      </c>
      <c r="W159" s="4" t="s">
        <v>291</v>
      </c>
      <c r="X159" s="4" t="s">
        <v>292</v>
      </c>
      <c r="Y159" s="4" t="s">
        <v>987</v>
      </c>
      <c r="Z159" s="4">
        <v>0</v>
      </c>
      <c r="AA159" s="4">
        <v>0</v>
      </c>
      <c r="AB159" s="4" t="s">
        <v>215</v>
      </c>
      <c r="AC159">
        <v>158</v>
      </c>
    </row>
    <row r="160" spans="1:29" ht="16.5" hidden="1" customHeight="1" x14ac:dyDescent="0.2">
      <c r="A160" s="6" t="str">
        <f t="shared" si="5"/>
        <v>SDATOOL-37779 $ Compra e instalación sistema de detección y prevención de incendios para los edificios DG, Teusaquillo y Santa Monica Cali</v>
      </c>
      <c r="B160" s="4" t="s">
        <v>1122</v>
      </c>
      <c r="C160" s="4" t="s">
        <v>1123</v>
      </c>
      <c r="D160" s="4" t="s">
        <v>183</v>
      </c>
      <c r="E160" s="4" t="s">
        <v>1124</v>
      </c>
      <c r="F160" s="4" t="s">
        <v>43</v>
      </c>
      <c r="G160" s="4" t="s">
        <v>185</v>
      </c>
      <c r="H160" s="4" t="s">
        <v>203</v>
      </c>
      <c r="J160" s="4" t="s">
        <v>204</v>
      </c>
      <c r="K160" s="4" t="s">
        <v>770</v>
      </c>
      <c r="L160" s="4" t="s">
        <v>206</v>
      </c>
      <c r="M160" s="4" t="s">
        <v>1125</v>
      </c>
      <c r="N160" s="4" t="s">
        <v>15</v>
      </c>
      <c r="O160" s="13" t="s">
        <v>371</v>
      </c>
      <c r="P160" s="13" t="s">
        <v>373</v>
      </c>
      <c r="Q160" s="13" t="s">
        <v>373</v>
      </c>
      <c r="R160" s="4" t="s">
        <v>1126</v>
      </c>
      <c r="S160" s="7" t="e">
        <f ca="1">IF(_xludf.ifna(VLOOKUP(B160,Parámetros!#REF!,1,0),"")="","No","Sí")</f>
        <v>#NAME?</v>
      </c>
      <c r="T160" s="7" t="str">
        <f t="shared" si="6"/>
        <v>No normativo</v>
      </c>
      <c r="U160" s="4" t="s">
        <v>195</v>
      </c>
      <c r="V160" s="4" t="s">
        <v>39</v>
      </c>
      <c r="W160" s="4" t="s">
        <v>196</v>
      </c>
      <c r="X160" s="4" t="s">
        <v>225</v>
      </c>
      <c r="Y160" s="4" t="s">
        <v>1127</v>
      </c>
      <c r="Z160" s="4">
        <v>0</v>
      </c>
      <c r="AA160" s="4">
        <v>0</v>
      </c>
      <c r="AB160" s="4" t="s">
        <v>215</v>
      </c>
      <c r="AC160">
        <v>159</v>
      </c>
    </row>
    <row r="161" spans="1:29" ht="16.5" hidden="1" customHeight="1" x14ac:dyDescent="0.2">
      <c r="A161" s="6" t="str">
        <f t="shared" si="5"/>
        <v>SDATOOL-37780 $ Reposición sistema Alarmas y Video</v>
      </c>
      <c r="B161" s="4" t="s">
        <v>1128</v>
      </c>
      <c r="C161" s="4" t="s">
        <v>1129</v>
      </c>
      <c r="D161" s="4" t="s">
        <v>183</v>
      </c>
      <c r="E161" s="4" t="s">
        <v>1130</v>
      </c>
      <c r="F161" s="4" t="s">
        <v>43</v>
      </c>
      <c r="G161" s="4" t="s">
        <v>185</v>
      </c>
      <c r="H161" s="4" t="s">
        <v>203</v>
      </c>
      <c r="J161" s="4" t="s">
        <v>204</v>
      </c>
      <c r="K161" s="4" t="s">
        <v>664</v>
      </c>
      <c r="L161" s="4" t="s">
        <v>206</v>
      </c>
      <c r="M161" s="4" t="s">
        <v>1131</v>
      </c>
      <c r="N161" s="4" t="s">
        <v>15</v>
      </c>
      <c r="O161" s="13" t="s">
        <v>371</v>
      </c>
      <c r="P161" s="13" t="s">
        <v>1132</v>
      </c>
      <c r="Q161" s="13" t="s">
        <v>1132</v>
      </c>
      <c r="S161" s="7" t="e">
        <f ca="1">IF(_xludf.ifna(VLOOKUP(B161,Parámetros!#REF!,1,0),"")="","No","Sí")</f>
        <v>#NAME?</v>
      </c>
      <c r="T161" s="7" t="str">
        <f t="shared" si="6"/>
        <v>No normativo</v>
      </c>
      <c r="U161" s="4" t="s">
        <v>195</v>
      </c>
      <c r="V161" s="4" t="s">
        <v>39</v>
      </c>
      <c r="W161" s="4" t="s">
        <v>196</v>
      </c>
      <c r="X161" s="4" t="s">
        <v>225</v>
      </c>
      <c r="Y161" s="4" t="s">
        <v>1127</v>
      </c>
      <c r="Z161" s="5">
        <v>15462218</v>
      </c>
      <c r="AA161" s="5">
        <v>172422514</v>
      </c>
      <c r="AB161" s="4" t="s">
        <v>215</v>
      </c>
      <c r="AC161">
        <v>160</v>
      </c>
    </row>
    <row r="162" spans="1:29" ht="16.5" hidden="1" customHeight="1" x14ac:dyDescent="0.2">
      <c r="A162" s="6" t="str">
        <f t="shared" si="5"/>
        <v>SDATOOL-37782 $ licencias Proactivanet</v>
      </c>
      <c r="B162" s="4" t="s">
        <v>1133</v>
      </c>
      <c r="C162" s="4" t="s">
        <v>1134</v>
      </c>
      <c r="D162" s="4" t="s">
        <v>183</v>
      </c>
      <c r="E162" s="4" t="s">
        <v>1135</v>
      </c>
      <c r="F162" s="4" t="s">
        <v>43</v>
      </c>
      <c r="G162" s="4" t="s">
        <v>185</v>
      </c>
      <c r="H162" s="4" t="s">
        <v>203</v>
      </c>
      <c r="J162" s="4" t="s">
        <v>204</v>
      </c>
      <c r="K162" s="4" t="s">
        <v>770</v>
      </c>
      <c r="L162" s="4" t="s">
        <v>206</v>
      </c>
      <c r="M162" s="4" t="s">
        <v>1136</v>
      </c>
      <c r="N162" s="4" t="s">
        <v>15</v>
      </c>
      <c r="O162" s="13" t="s">
        <v>353</v>
      </c>
      <c r="P162" s="13" t="s">
        <v>1040</v>
      </c>
      <c r="Q162" s="13" t="s">
        <v>353</v>
      </c>
      <c r="R162" s="4" t="s">
        <v>1137</v>
      </c>
      <c r="S162" s="7" t="e">
        <f ca="1">IF(_xludf.ifna(VLOOKUP(B162,Parámetros!#REF!,1,0),"")="","No","Sí")</f>
        <v>#NAME?</v>
      </c>
      <c r="T162" s="7" t="str">
        <f t="shared" si="6"/>
        <v>No normativo</v>
      </c>
      <c r="U162" s="4" t="s">
        <v>195</v>
      </c>
      <c r="V162" s="4" t="s">
        <v>39</v>
      </c>
      <c r="W162" s="4" t="s">
        <v>300</v>
      </c>
      <c r="X162" s="4" t="s">
        <v>1138</v>
      </c>
      <c r="Y162" s="4" t="s">
        <v>1139</v>
      </c>
      <c r="Z162" s="4">
        <v>0</v>
      </c>
      <c r="AA162" s="5">
        <v>205373860</v>
      </c>
      <c r="AB162" s="4" t="s">
        <v>215</v>
      </c>
      <c r="AC162">
        <v>161</v>
      </c>
    </row>
    <row r="163" spans="1:29" ht="16.5" hidden="1" customHeight="1" x14ac:dyDescent="0.2">
      <c r="A163" s="6" t="str">
        <f t="shared" si="5"/>
        <v>SDATOOL-37783 $ Licencias Aranda</v>
      </c>
      <c r="B163" s="4" t="s">
        <v>1140</v>
      </c>
      <c r="C163" s="4" t="s">
        <v>1141</v>
      </c>
      <c r="D163" s="4" t="s">
        <v>183</v>
      </c>
      <c r="E163" s="4" t="s">
        <v>1142</v>
      </c>
      <c r="F163" s="4" t="s">
        <v>43</v>
      </c>
      <c r="G163" s="4" t="s">
        <v>185</v>
      </c>
      <c r="H163" s="4" t="s">
        <v>203</v>
      </c>
      <c r="J163" s="4" t="s">
        <v>204</v>
      </c>
      <c r="K163" s="4" t="s">
        <v>770</v>
      </c>
      <c r="L163" s="4" t="s">
        <v>206</v>
      </c>
      <c r="M163" s="4" t="s">
        <v>1143</v>
      </c>
      <c r="N163" s="4" t="s">
        <v>15</v>
      </c>
      <c r="O163" s="13" t="s">
        <v>353</v>
      </c>
      <c r="P163" s="13" t="s">
        <v>1040</v>
      </c>
      <c r="Q163" s="13" t="s">
        <v>1040</v>
      </c>
      <c r="R163" s="4" t="s">
        <v>1144</v>
      </c>
      <c r="S163" s="7" t="e">
        <f ca="1">IF(_xludf.ifna(VLOOKUP(B163,Parámetros!#REF!,1,0),"")="","No","Sí")</f>
        <v>#NAME?</v>
      </c>
      <c r="T163" s="7" t="str">
        <f t="shared" si="6"/>
        <v>No normativo</v>
      </c>
      <c r="U163" s="4" t="s">
        <v>195</v>
      </c>
      <c r="V163" s="4" t="s">
        <v>39</v>
      </c>
      <c r="W163" s="4" t="s">
        <v>300</v>
      </c>
      <c r="X163" s="4" t="s">
        <v>1138</v>
      </c>
      <c r="Y163" s="4" t="s">
        <v>1139</v>
      </c>
      <c r="Z163" s="4">
        <v>0</v>
      </c>
      <c r="AA163" s="5">
        <v>71548818</v>
      </c>
      <c r="AB163" s="4" t="s">
        <v>215</v>
      </c>
      <c r="AC163">
        <v>162</v>
      </c>
    </row>
    <row r="164" spans="1:29" ht="16.5" hidden="1" customHeight="1" x14ac:dyDescent="0.2">
      <c r="A164" s="6" t="str">
        <f t="shared" si="5"/>
        <v>SDATOOL-37824 $ Plataforma Telefonía y Sistema de Grabación Mesa de Tesorería para Banco, BBVA Seguros, Fiduciaria y Valores</v>
      </c>
      <c r="B164" s="4" t="s">
        <v>1145</v>
      </c>
      <c r="C164" s="4" t="s">
        <v>1146</v>
      </c>
      <c r="D164" s="4" t="s">
        <v>183</v>
      </c>
      <c r="E164" s="4" t="s">
        <v>1147</v>
      </c>
      <c r="F164" s="4" t="s">
        <v>43</v>
      </c>
      <c r="G164" s="4" t="s">
        <v>185</v>
      </c>
      <c r="H164" s="4" t="s">
        <v>203</v>
      </c>
      <c r="J164" s="4" t="s">
        <v>204</v>
      </c>
      <c r="K164" s="4" t="s">
        <v>664</v>
      </c>
      <c r="L164" s="4" t="s">
        <v>206</v>
      </c>
      <c r="M164" s="4" t="s">
        <v>1148</v>
      </c>
      <c r="N164" s="4" t="s">
        <v>44</v>
      </c>
      <c r="O164" s="13" t="s">
        <v>353</v>
      </c>
      <c r="P164" s="13" t="s">
        <v>1149</v>
      </c>
      <c r="Q164" s="13" t="s">
        <v>354</v>
      </c>
      <c r="R164" s="4" t="s">
        <v>1150</v>
      </c>
      <c r="S164" s="7" t="e">
        <f ca="1">IF(_xludf.ifna(VLOOKUP(B164,Parámetros!#REF!,1,0),"")="","No","Sí")</f>
        <v>#NAME?</v>
      </c>
      <c r="T164" s="7" t="str">
        <f t="shared" si="6"/>
        <v>No normativo</v>
      </c>
      <c r="U164" s="4" t="s">
        <v>195</v>
      </c>
      <c r="V164" s="4" t="s">
        <v>39</v>
      </c>
      <c r="W164" s="4" t="s">
        <v>300</v>
      </c>
      <c r="X164" s="4" t="s">
        <v>301</v>
      </c>
      <c r="Y164" s="4" t="s">
        <v>302</v>
      </c>
      <c r="Z164" s="4">
        <v>0</v>
      </c>
      <c r="AA164" s="5">
        <v>5798524043</v>
      </c>
      <c r="AB164" s="4" t="s">
        <v>215</v>
      </c>
      <c r="AC164">
        <v>163</v>
      </c>
    </row>
    <row r="165" spans="1:29" ht="16.5" hidden="1" customHeight="1" x14ac:dyDescent="0.2">
      <c r="A165" s="6" t="str">
        <f t="shared" si="5"/>
        <v>SDATOOL-37867 $ Cambio Forma de Marcar Teléfonos Fijos y Celulares</v>
      </c>
      <c r="B165" s="4" t="s">
        <v>1151</v>
      </c>
      <c r="C165" s="4" t="s">
        <v>1152</v>
      </c>
      <c r="D165" s="4" t="s">
        <v>183</v>
      </c>
      <c r="E165" s="4" t="s">
        <v>1153</v>
      </c>
      <c r="F165" s="4" t="s">
        <v>28</v>
      </c>
      <c r="G165" s="4" t="s">
        <v>185</v>
      </c>
      <c r="H165" s="4" t="s">
        <v>203</v>
      </c>
      <c r="J165" s="4" t="s">
        <v>204</v>
      </c>
      <c r="K165" s="4" t="s">
        <v>770</v>
      </c>
      <c r="L165" s="4" t="s">
        <v>206</v>
      </c>
      <c r="M165" s="4" t="s">
        <v>540</v>
      </c>
      <c r="N165" s="4" t="s">
        <v>29</v>
      </c>
      <c r="O165" s="13" t="s">
        <v>1154</v>
      </c>
      <c r="P165" s="13" t="s">
        <v>911</v>
      </c>
      <c r="Q165" s="13" t="s">
        <v>1155</v>
      </c>
      <c r="S165" s="7" t="e">
        <f ca="1">IF(_xludf.ifna(VLOOKUP(B165,Parámetros!#REF!,1,0),"")="","No","Sí")</f>
        <v>#NAME?</v>
      </c>
      <c r="T165" s="7" t="str">
        <f t="shared" si="6"/>
        <v>No normativo</v>
      </c>
      <c r="U165" s="4" t="s">
        <v>195</v>
      </c>
      <c r="V165" s="4" t="s">
        <v>39</v>
      </c>
      <c r="W165" s="4" t="s">
        <v>300</v>
      </c>
      <c r="X165" s="4" t="s">
        <v>301</v>
      </c>
      <c r="Y165" s="4" t="s">
        <v>302</v>
      </c>
      <c r="Z165" s="5">
        <v>597712</v>
      </c>
      <c r="AA165" s="5">
        <v>17493550</v>
      </c>
      <c r="AB165" s="4" t="s">
        <v>215</v>
      </c>
      <c r="AC165">
        <v>164</v>
      </c>
    </row>
    <row r="166" spans="1:29" ht="16.5" hidden="1" customHeight="1" x14ac:dyDescent="0.2">
      <c r="A166" s="6" t="str">
        <f t="shared" si="5"/>
        <v>SDATOOL-37899 $ Formularios Subsidios (PAEF, Jóvenes y Afectados por el paro)</v>
      </c>
      <c r="B166" s="4" t="s">
        <v>1156</v>
      </c>
      <c r="C166" s="4" t="s">
        <v>1157</v>
      </c>
      <c r="D166" s="4" t="s">
        <v>183</v>
      </c>
      <c r="E166" s="4" t="s">
        <v>1158</v>
      </c>
      <c r="F166" s="4" t="s">
        <v>28</v>
      </c>
      <c r="G166" s="4" t="s">
        <v>185</v>
      </c>
      <c r="H166" s="4" t="s">
        <v>203</v>
      </c>
      <c r="J166" s="4" t="s">
        <v>204</v>
      </c>
      <c r="K166" s="4" t="s">
        <v>664</v>
      </c>
      <c r="L166" s="4" t="s">
        <v>206</v>
      </c>
      <c r="M166" s="4" t="s">
        <v>540</v>
      </c>
      <c r="N166" s="4" t="s">
        <v>29</v>
      </c>
      <c r="O166" s="13" t="s">
        <v>404</v>
      </c>
      <c r="P166" s="13" t="s">
        <v>911</v>
      </c>
      <c r="Q166" s="13" t="s">
        <v>911</v>
      </c>
      <c r="S166" s="7" t="e">
        <f ca="1">IF(_xludf.ifna(VLOOKUP(B166,Parámetros!#REF!,1,0),"")="","No","Sí")</f>
        <v>#NAME?</v>
      </c>
      <c r="T166" s="7" t="str">
        <f t="shared" si="6"/>
        <v>No normativo</v>
      </c>
      <c r="U166" s="4" t="s">
        <v>195</v>
      </c>
      <c r="V166" s="4" t="s">
        <v>39</v>
      </c>
      <c r="W166" s="4" t="s">
        <v>300</v>
      </c>
      <c r="X166" s="4" t="s">
        <v>301</v>
      </c>
      <c r="Y166" s="4" t="s">
        <v>302</v>
      </c>
      <c r="Z166" s="5">
        <v>151401517</v>
      </c>
      <c r="AA166" s="5">
        <v>151401517</v>
      </c>
      <c r="AB166" s="4" t="s">
        <v>215</v>
      </c>
      <c r="AC166">
        <v>165</v>
      </c>
    </row>
    <row r="167" spans="1:29" ht="16.5" hidden="1" customHeight="1" x14ac:dyDescent="0.2">
      <c r="A167" s="6" t="str">
        <f t="shared" si="5"/>
        <v>SDATOOL-37914 $ Soporte y mantenimiento servicios tecnológicos 2022 - CEL</v>
      </c>
      <c r="B167" s="4" t="s">
        <v>1159</v>
      </c>
      <c r="C167" s="4" t="s">
        <v>1160</v>
      </c>
      <c r="D167" s="4" t="s">
        <v>183</v>
      </c>
      <c r="E167" s="4" t="s">
        <v>1161</v>
      </c>
      <c r="F167" s="4" t="s">
        <v>43</v>
      </c>
      <c r="G167" s="4" t="s">
        <v>185</v>
      </c>
      <c r="H167" s="4" t="s">
        <v>203</v>
      </c>
      <c r="J167" s="4" t="s">
        <v>204</v>
      </c>
      <c r="K167" s="4" t="s">
        <v>770</v>
      </c>
      <c r="L167" s="4" t="s">
        <v>206</v>
      </c>
      <c r="M167" s="4" t="s">
        <v>1162</v>
      </c>
      <c r="N167" s="4" t="s">
        <v>15</v>
      </c>
      <c r="O167" s="13" t="s">
        <v>984</v>
      </c>
      <c r="P167" s="13" t="s">
        <v>984</v>
      </c>
      <c r="Q167" s="13" t="s">
        <v>767</v>
      </c>
      <c r="R167" s="4" t="s">
        <v>1163</v>
      </c>
      <c r="S167" s="7" t="e">
        <f ca="1">IF(_xludf.ifna(VLOOKUP(B167,Parámetros!#REF!,1,0),"")="","No","Sí")</f>
        <v>#NAME?</v>
      </c>
      <c r="T167" s="7" t="str">
        <f t="shared" si="6"/>
        <v>No normativo</v>
      </c>
      <c r="U167" s="4" t="s">
        <v>195</v>
      </c>
      <c r="V167" s="4" t="s">
        <v>39</v>
      </c>
      <c r="W167" s="4" t="s">
        <v>300</v>
      </c>
      <c r="X167" s="4" t="s">
        <v>301</v>
      </c>
      <c r="Y167" s="4" t="s">
        <v>755</v>
      </c>
      <c r="Z167" s="4">
        <v>0</v>
      </c>
      <c r="AA167" s="4">
        <v>0</v>
      </c>
      <c r="AB167" s="4" t="s">
        <v>215</v>
      </c>
      <c r="AC167">
        <v>166</v>
      </c>
    </row>
    <row r="168" spans="1:29" ht="16.5" hidden="1" customHeight="1" x14ac:dyDescent="0.2">
      <c r="A168" s="6" t="str">
        <f t="shared" si="5"/>
        <v>SDATOOL-37916 $ Certificación de Incidencias, Cancelaciones y Broadcast 2022 - CEL</v>
      </c>
      <c r="B168" s="4" t="s">
        <v>1164</v>
      </c>
      <c r="C168" s="4" t="s">
        <v>1165</v>
      </c>
      <c r="D168" s="4" t="s">
        <v>183</v>
      </c>
      <c r="E168" s="4" t="s">
        <v>1166</v>
      </c>
      <c r="F168" s="4" t="s">
        <v>43</v>
      </c>
      <c r="G168" s="4" t="s">
        <v>185</v>
      </c>
      <c r="H168" s="4" t="s">
        <v>203</v>
      </c>
      <c r="J168" s="4" t="s">
        <v>204</v>
      </c>
      <c r="K168" s="4" t="s">
        <v>770</v>
      </c>
      <c r="L168" s="4" t="s">
        <v>206</v>
      </c>
      <c r="M168" s="4" t="s">
        <v>1167</v>
      </c>
      <c r="N168" s="4" t="s">
        <v>15</v>
      </c>
      <c r="O168" s="13" t="s">
        <v>353</v>
      </c>
      <c r="P168" s="13" t="s">
        <v>1027</v>
      </c>
      <c r="Q168" s="13" t="s">
        <v>353</v>
      </c>
      <c r="R168" s="4" t="s">
        <v>1168</v>
      </c>
      <c r="S168" s="7" t="e">
        <f ca="1">IF(_xludf.ifna(VLOOKUP(B168,Parámetros!#REF!,1,0),"")="","No","Sí")</f>
        <v>#NAME?</v>
      </c>
      <c r="T168" s="7" t="str">
        <f t="shared" si="6"/>
        <v>No normativo</v>
      </c>
      <c r="U168" s="4" t="s">
        <v>195</v>
      </c>
      <c r="V168" s="4" t="s">
        <v>39</v>
      </c>
      <c r="W168" s="4" t="s">
        <v>300</v>
      </c>
      <c r="X168" s="4" t="s">
        <v>301</v>
      </c>
      <c r="Y168" s="4" t="s">
        <v>755</v>
      </c>
      <c r="Z168" s="4">
        <v>0</v>
      </c>
      <c r="AA168" s="4">
        <v>0</v>
      </c>
      <c r="AB168" s="4" t="s">
        <v>215</v>
      </c>
      <c r="AC168">
        <v>167</v>
      </c>
    </row>
    <row r="169" spans="1:29" ht="16.5" customHeight="1" x14ac:dyDescent="0.2">
      <c r="A169" s="6" t="str">
        <f t="shared" si="5"/>
        <v>SDATOOL-37924 $ Equipo y mobiliarios AACC 2022</v>
      </c>
      <c r="B169" s="4" t="s">
        <v>1169</v>
      </c>
      <c r="C169" s="4" t="s">
        <v>1170</v>
      </c>
      <c r="D169" s="4" t="s">
        <v>183</v>
      </c>
      <c r="E169" s="4" t="s">
        <v>1171</v>
      </c>
      <c r="F169" s="4" t="s">
        <v>30</v>
      </c>
      <c r="G169" s="4" t="s">
        <v>185</v>
      </c>
      <c r="H169" s="4" t="s">
        <v>186</v>
      </c>
      <c r="I169" s="4" t="s">
        <v>186</v>
      </c>
      <c r="K169" s="4" t="s">
        <v>770</v>
      </c>
      <c r="L169" s="4" t="s">
        <v>189</v>
      </c>
      <c r="M169" s="4" t="s">
        <v>1172</v>
      </c>
      <c r="N169" s="4" t="s">
        <v>15</v>
      </c>
      <c r="O169" s="13" t="s">
        <v>287</v>
      </c>
      <c r="P169" s="13" t="s">
        <v>1173</v>
      </c>
      <c r="Q169" s="13" t="s">
        <v>1174</v>
      </c>
      <c r="S169" s="7" t="e">
        <f ca="1">IF(_xludf.ifna(VLOOKUP(B169,Parámetros!#REF!,1,0),"")="","No","Sí")</f>
        <v>#NAME?</v>
      </c>
      <c r="T169" s="7" t="str">
        <f t="shared" si="6"/>
        <v>No normativo</v>
      </c>
      <c r="U169" s="4" t="s">
        <v>195</v>
      </c>
      <c r="V169" s="4" t="s">
        <v>39</v>
      </c>
      <c r="W169" s="4" t="s">
        <v>300</v>
      </c>
      <c r="X169" s="4" t="s">
        <v>1138</v>
      </c>
      <c r="Y169" s="4" t="s">
        <v>1139</v>
      </c>
      <c r="Z169" s="5">
        <v>2743979296</v>
      </c>
      <c r="AA169" s="5">
        <v>1532379494</v>
      </c>
      <c r="AB169" s="4" t="s">
        <v>180</v>
      </c>
      <c r="AC169">
        <v>168</v>
      </c>
    </row>
    <row r="170" spans="1:29" ht="16.5" hidden="1" customHeight="1" x14ac:dyDescent="0.2">
      <c r="A170" s="6" t="str">
        <f t="shared" si="5"/>
        <v>SDATOOL-37926 $ Nueva Sede Colombia</v>
      </c>
      <c r="B170" s="4" t="s">
        <v>1175</v>
      </c>
      <c r="C170" s="4" t="s">
        <v>1176</v>
      </c>
      <c r="D170" s="4" t="s">
        <v>183</v>
      </c>
      <c r="E170" s="4" t="s">
        <v>1177</v>
      </c>
      <c r="F170" s="4" t="s">
        <v>30</v>
      </c>
      <c r="G170" s="4" t="s">
        <v>185</v>
      </c>
      <c r="H170" s="4" t="s">
        <v>203</v>
      </c>
      <c r="K170" s="4" t="s">
        <v>770</v>
      </c>
      <c r="L170" s="4" t="s">
        <v>206</v>
      </c>
      <c r="M170" s="4" t="s">
        <v>1178</v>
      </c>
      <c r="N170" s="4" t="s">
        <v>15</v>
      </c>
      <c r="O170" s="13" t="s">
        <v>1179</v>
      </c>
      <c r="P170" s="13" t="s">
        <v>288</v>
      </c>
      <c r="Q170" s="13" t="s">
        <v>984</v>
      </c>
      <c r="S170" s="7" t="e">
        <f ca="1">IF(_xludf.ifna(VLOOKUP(B170,Parámetros!#REF!,1,0),"")="","No","Sí")</f>
        <v>#NAME?</v>
      </c>
      <c r="T170" s="7" t="str">
        <f t="shared" si="6"/>
        <v>No normativo</v>
      </c>
      <c r="U170" s="4" t="s">
        <v>195</v>
      </c>
      <c r="V170" s="4" t="s">
        <v>39</v>
      </c>
      <c r="W170" s="4" t="s">
        <v>300</v>
      </c>
      <c r="X170" s="4" t="s">
        <v>1138</v>
      </c>
      <c r="Y170" s="4" t="s">
        <v>1139</v>
      </c>
      <c r="Z170" s="4">
        <v>0</v>
      </c>
      <c r="AA170" s="4">
        <v>0</v>
      </c>
      <c r="AB170" s="4" t="s">
        <v>215</v>
      </c>
      <c r="AC170">
        <v>169</v>
      </c>
    </row>
    <row r="171" spans="1:29" ht="16.5" hidden="1" customHeight="1" x14ac:dyDescent="0.2">
      <c r="A171" s="6" t="str">
        <f t="shared" si="5"/>
        <v>SDATOOL-38079 $ Analytic Runtimes 2022</v>
      </c>
      <c r="B171" s="4" t="s">
        <v>1180</v>
      </c>
      <c r="C171" s="4" t="s">
        <v>1181</v>
      </c>
      <c r="D171" s="4" t="s">
        <v>183</v>
      </c>
      <c r="E171" s="4" t="s">
        <v>1182</v>
      </c>
      <c r="F171" s="4" t="s">
        <v>43</v>
      </c>
      <c r="G171" s="4" t="s">
        <v>185</v>
      </c>
      <c r="H171" s="4" t="s">
        <v>203</v>
      </c>
      <c r="J171" s="4" t="s">
        <v>204</v>
      </c>
      <c r="K171" s="4" t="s">
        <v>770</v>
      </c>
      <c r="L171" s="4" t="s">
        <v>206</v>
      </c>
      <c r="M171" s="4" t="s">
        <v>1183</v>
      </c>
      <c r="N171" s="4" t="s">
        <v>57</v>
      </c>
      <c r="O171" s="13" t="s">
        <v>532</v>
      </c>
      <c r="P171" s="13" t="s">
        <v>1184</v>
      </c>
      <c r="Q171" s="13" t="s">
        <v>1185</v>
      </c>
      <c r="R171" s="4" t="s">
        <v>1186</v>
      </c>
      <c r="S171" s="7" t="e">
        <f ca="1">IF(_xludf.ifna(VLOOKUP(B171,Parámetros!#REF!,1,0),"")="","No","Sí")</f>
        <v>#NAME?</v>
      </c>
      <c r="T171" s="7" t="str">
        <f t="shared" si="6"/>
        <v>No normativo</v>
      </c>
      <c r="U171" s="4" t="s">
        <v>195</v>
      </c>
      <c r="V171" s="4" t="s">
        <v>39</v>
      </c>
      <c r="W171" s="4" t="s">
        <v>212</v>
      </c>
      <c r="X171" s="4" t="s">
        <v>356</v>
      </c>
      <c r="Y171" s="4" t="s">
        <v>1091</v>
      </c>
      <c r="Z171" s="4">
        <v>0</v>
      </c>
      <c r="AA171" s="4">
        <v>0</v>
      </c>
      <c r="AB171" s="4" t="s">
        <v>215</v>
      </c>
      <c r="AC171">
        <v>170</v>
      </c>
    </row>
    <row r="172" spans="1:29" ht="16.5" customHeight="1" x14ac:dyDescent="0.2">
      <c r="A172" s="6" t="str">
        <f t="shared" si="5"/>
        <v>SDATOOL-38080 $ Seguros - LIS Coaseguro Aceptado Autos</v>
      </c>
      <c r="B172" s="4" t="s">
        <v>1187</v>
      </c>
      <c r="C172" s="4" t="s">
        <v>1188</v>
      </c>
      <c r="D172" s="4" t="s">
        <v>183</v>
      </c>
      <c r="E172" s="4" t="s">
        <v>1189</v>
      </c>
      <c r="F172" s="4" t="s">
        <v>28</v>
      </c>
      <c r="G172" s="4" t="s">
        <v>185</v>
      </c>
      <c r="H172" s="4" t="s">
        <v>186</v>
      </c>
      <c r="I172" s="4" t="s">
        <v>186</v>
      </c>
      <c r="J172" s="4" t="s">
        <v>204</v>
      </c>
      <c r="K172" s="4" t="s">
        <v>770</v>
      </c>
      <c r="L172" s="4" t="s">
        <v>394</v>
      </c>
      <c r="M172" s="4" t="s">
        <v>497</v>
      </c>
      <c r="N172" s="4" t="s">
        <v>22</v>
      </c>
      <c r="O172" s="13" t="s">
        <v>646</v>
      </c>
      <c r="P172" s="13" t="s">
        <v>344</v>
      </c>
      <c r="Q172" s="13" t="s">
        <v>1190</v>
      </c>
      <c r="S172" s="7" t="e">
        <f ca="1">IF(_xludf.ifna(VLOOKUP(B172,Parámetros!#REF!,1,0),"")="","No","Sí")</f>
        <v>#NAME?</v>
      </c>
      <c r="T172" s="7" t="str">
        <f t="shared" si="6"/>
        <v>No normativo</v>
      </c>
      <c r="U172" s="4" t="s">
        <v>195</v>
      </c>
      <c r="V172" s="4" t="s">
        <v>347</v>
      </c>
      <c r="W172" s="4" t="s">
        <v>233</v>
      </c>
      <c r="X172" s="4" t="s">
        <v>234</v>
      </c>
      <c r="Y172" s="4" t="s">
        <v>501</v>
      </c>
      <c r="Z172" s="5">
        <v>628416000</v>
      </c>
      <c r="AA172" s="5">
        <v>1344416000</v>
      </c>
      <c r="AB172" s="4" t="s">
        <v>180</v>
      </c>
      <c r="AC172">
        <v>171</v>
      </c>
    </row>
    <row r="173" spans="1:29" ht="16.5" customHeight="1" x14ac:dyDescent="0.2">
      <c r="A173" s="6" t="str">
        <f t="shared" si="5"/>
        <v>SDATOOL-38091 $ Higiénicos Plataforma Digital de Oficinas CAP</v>
      </c>
      <c r="B173" s="4" t="s">
        <v>1191</v>
      </c>
      <c r="C173" s="4" t="s">
        <v>1192</v>
      </c>
      <c r="D173" s="4" t="s">
        <v>183</v>
      </c>
      <c r="E173" s="4" t="s">
        <v>1193</v>
      </c>
      <c r="F173" s="4" t="s">
        <v>28</v>
      </c>
      <c r="G173" s="4" t="s">
        <v>185</v>
      </c>
      <c r="H173" s="4" t="s">
        <v>186</v>
      </c>
      <c r="I173" s="4" t="s">
        <v>186</v>
      </c>
      <c r="J173" s="4" t="s">
        <v>204</v>
      </c>
      <c r="K173" s="4" t="s">
        <v>770</v>
      </c>
      <c r="L173" s="4" t="s">
        <v>189</v>
      </c>
      <c r="M173" s="4" t="s">
        <v>1194</v>
      </c>
      <c r="N173" s="4" t="s">
        <v>29</v>
      </c>
      <c r="O173" s="13" t="s">
        <v>825</v>
      </c>
      <c r="P173" s="13" t="s">
        <v>1195</v>
      </c>
      <c r="Q173" s="13" t="s">
        <v>1196</v>
      </c>
      <c r="R173" s="4" t="s">
        <v>366</v>
      </c>
      <c r="S173" s="7" t="e">
        <f ca="1">IF(_xludf.ifna(VLOOKUP(B173,Parámetros!#REF!,1,0),"")="","No","Sí")</f>
        <v>#NAME?</v>
      </c>
      <c r="T173" s="7" t="str">
        <f t="shared" si="6"/>
        <v>No normativo</v>
      </c>
      <c r="U173" s="4" t="s">
        <v>195</v>
      </c>
      <c r="V173" s="4" t="s">
        <v>39</v>
      </c>
      <c r="W173" s="4" t="s">
        <v>300</v>
      </c>
      <c r="X173" s="4" t="s">
        <v>562</v>
      </c>
      <c r="Y173" s="4" t="s">
        <v>1197</v>
      </c>
      <c r="Z173" s="5">
        <v>103549036</v>
      </c>
      <c r="AA173" s="5">
        <v>473327814</v>
      </c>
      <c r="AB173" s="4" t="s">
        <v>180</v>
      </c>
      <c r="AC173">
        <v>172</v>
      </c>
    </row>
    <row r="174" spans="1:29" ht="16.5" customHeight="1" x14ac:dyDescent="0.2">
      <c r="A174" s="6" t="str">
        <f t="shared" si="5"/>
        <v>SDATOOL-38222 $ Seguros - Optimización de productos 2022</v>
      </c>
      <c r="B174" s="4" t="s">
        <v>1198</v>
      </c>
      <c r="C174" s="4" t="s">
        <v>1199</v>
      </c>
      <c r="D174" s="4" t="s">
        <v>183</v>
      </c>
      <c r="E174" s="4" t="s">
        <v>1200</v>
      </c>
      <c r="F174" s="4" t="s">
        <v>28</v>
      </c>
      <c r="G174" s="4" t="s">
        <v>185</v>
      </c>
      <c r="H174" s="4" t="s">
        <v>186</v>
      </c>
      <c r="J174" s="4" t="s">
        <v>204</v>
      </c>
      <c r="K174" s="4" t="s">
        <v>770</v>
      </c>
      <c r="L174" s="4" t="s">
        <v>386</v>
      </c>
      <c r="M174" s="4" t="s">
        <v>497</v>
      </c>
      <c r="N174" s="4" t="s">
        <v>29</v>
      </c>
      <c r="O174" s="13" t="s">
        <v>498</v>
      </c>
      <c r="P174" s="13" t="s">
        <v>344</v>
      </c>
      <c r="Q174" s="13" t="s">
        <v>345</v>
      </c>
      <c r="S174" s="7" t="e">
        <f ca="1">IF(_xludf.ifna(VLOOKUP(B174,Parámetros!#REF!,1,0),"")="","No","Sí")</f>
        <v>#NAME?</v>
      </c>
      <c r="T174" s="7" t="str">
        <f t="shared" si="6"/>
        <v>No normativo</v>
      </c>
      <c r="U174" s="4" t="s">
        <v>195</v>
      </c>
      <c r="V174" s="4" t="s">
        <v>347</v>
      </c>
      <c r="W174" s="4" t="s">
        <v>233</v>
      </c>
      <c r="X174" s="4" t="s">
        <v>234</v>
      </c>
      <c r="Y174" s="4" t="s">
        <v>501</v>
      </c>
      <c r="Z174" s="5">
        <v>90000001</v>
      </c>
      <c r="AA174" s="5">
        <v>345000001</v>
      </c>
      <c r="AB174" s="4" t="s">
        <v>215</v>
      </c>
      <c r="AC174">
        <v>173</v>
      </c>
    </row>
    <row r="175" spans="1:29" ht="16.5" hidden="1" customHeight="1" x14ac:dyDescent="0.2">
      <c r="A175" s="6" t="str">
        <f t="shared" si="5"/>
        <v>SDATOOL-38224 $ Seguros - Evolutivos Agencia de Seguros 2022</v>
      </c>
      <c r="B175" s="4" t="s">
        <v>1201</v>
      </c>
      <c r="C175" s="4" t="s">
        <v>1202</v>
      </c>
      <c r="D175" s="4" t="s">
        <v>183</v>
      </c>
      <c r="E175" s="4" t="s">
        <v>1203</v>
      </c>
      <c r="F175" s="4" t="s">
        <v>28</v>
      </c>
      <c r="G175" s="4" t="s">
        <v>185</v>
      </c>
      <c r="H175" s="4" t="s">
        <v>203</v>
      </c>
      <c r="J175" s="4" t="s">
        <v>204</v>
      </c>
      <c r="K175" s="4" t="s">
        <v>770</v>
      </c>
      <c r="L175" s="4" t="s">
        <v>206</v>
      </c>
      <c r="M175" s="4" t="s">
        <v>1204</v>
      </c>
      <c r="N175" s="4" t="s">
        <v>15</v>
      </c>
      <c r="O175" s="13" t="s">
        <v>1205</v>
      </c>
      <c r="P175" s="13" t="s">
        <v>344</v>
      </c>
      <c r="Q175" s="13" t="s">
        <v>1206</v>
      </c>
      <c r="S175" s="7" t="e">
        <f ca="1">IF(_xludf.ifna(VLOOKUP(B175,Parámetros!#REF!,1,0),"")="","No","Sí")</f>
        <v>#NAME?</v>
      </c>
      <c r="T175" s="7" t="str">
        <f t="shared" si="6"/>
        <v>No normativo</v>
      </c>
      <c r="U175" s="4" t="s">
        <v>195</v>
      </c>
      <c r="V175" s="4" t="s">
        <v>347</v>
      </c>
      <c r="W175" s="4" t="s">
        <v>233</v>
      </c>
      <c r="X175" s="4" t="s">
        <v>234</v>
      </c>
      <c r="Y175" s="4" t="s">
        <v>501</v>
      </c>
      <c r="Z175" s="4">
        <v>0</v>
      </c>
      <c r="AA175" s="4">
        <v>0</v>
      </c>
      <c r="AB175" s="4" t="s">
        <v>215</v>
      </c>
      <c r="AC175">
        <v>174</v>
      </c>
    </row>
    <row r="176" spans="1:29" ht="16.5" customHeight="1" x14ac:dyDescent="0.2">
      <c r="A176" s="6" t="str">
        <f t="shared" si="5"/>
        <v>SDATOOL-38225 $ Seguros - Mandatorios 2022</v>
      </c>
      <c r="B176" s="4" t="s">
        <v>1207</v>
      </c>
      <c r="C176" s="4" t="s">
        <v>1208</v>
      </c>
      <c r="D176" s="4" t="s">
        <v>183</v>
      </c>
      <c r="E176" s="4" t="s">
        <v>1209</v>
      </c>
      <c r="F176" s="4" t="s">
        <v>28</v>
      </c>
      <c r="G176" s="4" t="s">
        <v>185</v>
      </c>
      <c r="H176" s="4" t="s">
        <v>186</v>
      </c>
      <c r="J176" s="4" t="s">
        <v>204</v>
      </c>
      <c r="K176" s="4" t="s">
        <v>770</v>
      </c>
      <c r="L176" s="4" t="s">
        <v>189</v>
      </c>
      <c r="M176" s="4" t="s">
        <v>497</v>
      </c>
      <c r="N176" s="4" t="s">
        <v>29</v>
      </c>
      <c r="O176" s="13" t="s">
        <v>498</v>
      </c>
      <c r="P176" s="13" t="s">
        <v>344</v>
      </c>
      <c r="Q176" s="13" t="s">
        <v>345</v>
      </c>
      <c r="S176" s="7" t="e">
        <f ca="1">IF(_xludf.ifna(VLOOKUP(B176,Parámetros!#REF!,1,0),"")="","No","Sí")</f>
        <v>#NAME?</v>
      </c>
      <c r="T176" s="7" t="str">
        <f t="shared" si="6"/>
        <v>No normativo</v>
      </c>
      <c r="U176" s="4" t="s">
        <v>195</v>
      </c>
      <c r="V176" s="4" t="s">
        <v>347</v>
      </c>
      <c r="W176" s="4" t="s">
        <v>233</v>
      </c>
      <c r="X176" s="4" t="s">
        <v>234</v>
      </c>
      <c r="Y176" s="4" t="s">
        <v>501</v>
      </c>
      <c r="Z176" s="5">
        <v>90000000</v>
      </c>
      <c r="AA176" s="5">
        <v>300000001</v>
      </c>
      <c r="AB176" s="4" t="s">
        <v>215</v>
      </c>
      <c r="AC176">
        <v>175</v>
      </c>
    </row>
    <row r="177" spans="1:29" ht="16.5" hidden="1" customHeight="1" x14ac:dyDescent="0.2">
      <c r="A177" s="6" t="str">
        <f t="shared" si="5"/>
        <v>SDATOOL-38226 $ Seguros - Optimización de productos Bancaseguros 2022</v>
      </c>
      <c r="B177" s="4" t="s">
        <v>1210</v>
      </c>
      <c r="C177" s="4" t="s">
        <v>1211</v>
      </c>
      <c r="D177" s="4" t="s">
        <v>183</v>
      </c>
      <c r="E177" s="4" t="s">
        <v>1212</v>
      </c>
      <c r="F177" s="4" t="s">
        <v>28</v>
      </c>
      <c r="G177" s="4" t="s">
        <v>185</v>
      </c>
      <c r="H177" s="4" t="s">
        <v>203</v>
      </c>
      <c r="J177" s="4" t="s">
        <v>204</v>
      </c>
      <c r="K177" s="4" t="s">
        <v>770</v>
      </c>
      <c r="L177" s="4" t="s">
        <v>206</v>
      </c>
      <c r="M177" s="4" t="s">
        <v>497</v>
      </c>
      <c r="N177" s="4" t="s">
        <v>29</v>
      </c>
      <c r="O177" s="13" t="s">
        <v>1213</v>
      </c>
      <c r="P177" s="13" t="s">
        <v>344</v>
      </c>
      <c r="Q177" s="13" t="s">
        <v>1206</v>
      </c>
      <c r="S177" s="7" t="e">
        <f ca="1">IF(_xludf.ifna(VLOOKUP(B177,Parámetros!#REF!,1,0),"")="","No","Sí")</f>
        <v>#NAME?</v>
      </c>
      <c r="T177" s="7" t="str">
        <f t="shared" si="6"/>
        <v>No normativo</v>
      </c>
      <c r="U177" s="4" t="s">
        <v>195</v>
      </c>
      <c r="V177" s="4" t="s">
        <v>347</v>
      </c>
      <c r="W177" s="4" t="s">
        <v>233</v>
      </c>
      <c r="X177" s="4" t="s">
        <v>234</v>
      </c>
      <c r="Y177" s="4" t="s">
        <v>501</v>
      </c>
      <c r="Z177" s="4">
        <v>0</v>
      </c>
      <c r="AA177" s="5">
        <v>245000000</v>
      </c>
      <c r="AB177" s="4" t="s">
        <v>215</v>
      </c>
      <c r="AC177">
        <v>176</v>
      </c>
    </row>
    <row r="178" spans="1:29" ht="16.5" hidden="1" customHeight="1" x14ac:dyDescent="0.2">
      <c r="A178" s="6" t="str">
        <f t="shared" si="5"/>
        <v>SDATOOL-38227 $ Despriorizado - Seguros - LIS Coaseguro Autos Deudores</v>
      </c>
      <c r="B178" s="4" t="s">
        <v>1214</v>
      </c>
      <c r="C178" s="4" t="s">
        <v>1215</v>
      </c>
      <c r="D178" s="4" t="s">
        <v>183</v>
      </c>
      <c r="E178" s="4" t="s">
        <v>1216</v>
      </c>
      <c r="F178" s="4" t="s">
        <v>28</v>
      </c>
      <c r="G178" s="4" t="s">
        <v>185</v>
      </c>
      <c r="H178" s="4" t="s">
        <v>203</v>
      </c>
      <c r="J178" s="4" t="s">
        <v>204</v>
      </c>
      <c r="K178" s="4" t="s">
        <v>770</v>
      </c>
      <c r="L178" s="4" t="s">
        <v>206</v>
      </c>
      <c r="M178" s="4" t="s">
        <v>1216</v>
      </c>
      <c r="N178" s="4" t="s">
        <v>22</v>
      </c>
      <c r="O178" s="13" t="s">
        <v>1213</v>
      </c>
      <c r="P178" s="13" t="s">
        <v>344</v>
      </c>
      <c r="Q178" s="13" t="s">
        <v>1206</v>
      </c>
      <c r="S178" s="7" t="e">
        <f ca="1">IF(_xludf.ifna(VLOOKUP(B178,Parámetros!#REF!,1,0),"")="","No","Sí")</f>
        <v>#NAME?</v>
      </c>
      <c r="T178" s="7" t="str">
        <f t="shared" si="6"/>
        <v>No normativo</v>
      </c>
      <c r="U178" s="4" t="s">
        <v>195</v>
      </c>
      <c r="V178" s="4" t="s">
        <v>347</v>
      </c>
      <c r="W178" s="4" t="s">
        <v>233</v>
      </c>
      <c r="X178" s="4" t="s">
        <v>234</v>
      </c>
      <c r="Y178" s="4" t="s">
        <v>501</v>
      </c>
      <c r="Z178" s="4">
        <v>0</v>
      </c>
      <c r="AA178" s="4">
        <v>0</v>
      </c>
      <c r="AB178" s="4" t="s">
        <v>215</v>
      </c>
      <c r="AC178">
        <v>177</v>
      </c>
    </row>
    <row r="179" spans="1:29" ht="16.5" customHeight="1" x14ac:dyDescent="0.2">
      <c r="A179" s="6" t="str">
        <f t="shared" si="5"/>
        <v>SDATOOL-38228 $ Seguros - Smartsupervision y el Sistema de Atención al Consumidor Financiero (SAC)</v>
      </c>
      <c r="B179" s="4" t="s">
        <v>1217</v>
      </c>
      <c r="C179" s="4" t="s">
        <v>1218</v>
      </c>
      <c r="D179" s="4" t="s">
        <v>183</v>
      </c>
      <c r="E179" s="4" t="s">
        <v>1219</v>
      </c>
      <c r="F179" s="4" t="s">
        <v>28</v>
      </c>
      <c r="G179" s="4" t="s">
        <v>185</v>
      </c>
      <c r="H179" s="4" t="s">
        <v>186</v>
      </c>
      <c r="J179" s="4" t="s">
        <v>204</v>
      </c>
      <c r="K179" s="4" t="s">
        <v>770</v>
      </c>
      <c r="L179" s="4" t="s">
        <v>386</v>
      </c>
      <c r="M179" s="4" t="s">
        <v>497</v>
      </c>
      <c r="N179" s="4" t="s">
        <v>15</v>
      </c>
      <c r="O179" s="13" t="s">
        <v>498</v>
      </c>
      <c r="P179" s="13" t="s">
        <v>344</v>
      </c>
      <c r="Q179" s="13" t="s">
        <v>345</v>
      </c>
      <c r="R179" s="4" t="s">
        <v>366</v>
      </c>
      <c r="S179" s="7" t="e">
        <f ca="1">IF(_xludf.ifna(VLOOKUP(B179,Parámetros!#REF!,1,0),"")="","No","Sí")</f>
        <v>#NAME?</v>
      </c>
      <c r="T179" s="7" t="str">
        <f t="shared" si="6"/>
        <v>No normativo</v>
      </c>
      <c r="U179" s="4" t="s">
        <v>195</v>
      </c>
      <c r="V179" s="4" t="s">
        <v>347</v>
      </c>
      <c r="W179" s="4" t="s">
        <v>233</v>
      </c>
      <c r="X179" s="4" t="s">
        <v>234</v>
      </c>
      <c r="Y179" s="4" t="s">
        <v>501</v>
      </c>
      <c r="Z179" s="5">
        <v>100000000</v>
      </c>
      <c r="AA179" s="5">
        <v>632000000</v>
      </c>
      <c r="AB179" s="4" t="s">
        <v>215</v>
      </c>
      <c r="AC179">
        <v>178</v>
      </c>
    </row>
    <row r="180" spans="1:29" ht="16.5" hidden="1" customHeight="1" x14ac:dyDescent="0.2">
      <c r="A180" s="6" t="str">
        <f t="shared" si="5"/>
        <v>SDATOOL-38229 $ Seguros - Infraestructura y Workplace 2022</v>
      </c>
      <c r="B180" s="4" t="s">
        <v>1220</v>
      </c>
      <c r="C180" s="4" t="s">
        <v>1221</v>
      </c>
      <c r="D180" s="4" t="s">
        <v>183</v>
      </c>
      <c r="E180" s="4" t="s">
        <v>1222</v>
      </c>
      <c r="F180" s="4" t="s">
        <v>28</v>
      </c>
      <c r="G180" s="4" t="s">
        <v>185</v>
      </c>
      <c r="H180" s="4" t="s">
        <v>203</v>
      </c>
      <c r="J180" s="4" t="s">
        <v>204</v>
      </c>
      <c r="K180" s="4" t="s">
        <v>770</v>
      </c>
      <c r="L180" s="4" t="s">
        <v>206</v>
      </c>
      <c r="M180" s="4" t="s">
        <v>497</v>
      </c>
      <c r="N180" s="4" t="s">
        <v>29</v>
      </c>
      <c r="O180" s="13" t="s">
        <v>343</v>
      </c>
      <c r="Q180" s="13" t="s">
        <v>1223</v>
      </c>
      <c r="S180" s="7" t="e">
        <f ca="1">IF(_xludf.ifna(VLOOKUP(B180,Parámetros!#REF!,1,0),"")="","No","Sí")</f>
        <v>#NAME?</v>
      </c>
      <c r="T180" s="7" t="str">
        <f t="shared" si="6"/>
        <v>No normativo</v>
      </c>
      <c r="U180" s="4" t="s">
        <v>195</v>
      </c>
      <c r="V180" s="4" t="s">
        <v>347</v>
      </c>
      <c r="W180" s="4" t="s">
        <v>233</v>
      </c>
      <c r="X180" s="4" t="s">
        <v>234</v>
      </c>
      <c r="Y180" s="4" t="s">
        <v>501</v>
      </c>
      <c r="Z180" s="4">
        <v>0</v>
      </c>
      <c r="AA180" s="5">
        <v>100000000</v>
      </c>
      <c r="AB180" s="4" t="s">
        <v>215</v>
      </c>
      <c r="AC180">
        <v>179</v>
      </c>
    </row>
    <row r="181" spans="1:29" ht="16.5" customHeight="1" x14ac:dyDescent="0.2">
      <c r="A181" s="6" t="str">
        <f t="shared" si="5"/>
        <v>SDATOOL-38419 $ Contratación cuenta en línea en Glomo</v>
      </c>
      <c r="B181" s="4" t="s">
        <v>1224</v>
      </c>
      <c r="C181" s="4" t="s">
        <v>1225</v>
      </c>
      <c r="D181" s="4" t="s">
        <v>183</v>
      </c>
      <c r="E181" s="4" t="s">
        <v>1226</v>
      </c>
      <c r="F181" s="4" t="s">
        <v>28</v>
      </c>
      <c r="G181" s="4" t="s">
        <v>185</v>
      </c>
      <c r="H181" s="4" t="s">
        <v>186</v>
      </c>
      <c r="I181" s="4" t="s">
        <v>186</v>
      </c>
      <c r="J181" s="4" t="s">
        <v>204</v>
      </c>
      <c r="K181" s="4" t="s">
        <v>770</v>
      </c>
      <c r="L181" s="4" t="s">
        <v>394</v>
      </c>
      <c r="M181" s="4" t="s">
        <v>190</v>
      </c>
      <c r="N181" s="4" t="s">
        <v>29</v>
      </c>
      <c r="O181" s="13" t="s">
        <v>530</v>
      </c>
      <c r="P181" s="13" t="s">
        <v>1227</v>
      </c>
      <c r="Q181" s="13" t="s">
        <v>632</v>
      </c>
      <c r="S181" s="7" t="e">
        <f ca="1">IF(_xludf.ifna(VLOOKUP(B181,Parámetros!#REF!,1,0),"")="","No","Sí")</f>
        <v>#NAME?</v>
      </c>
      <c r="T181" s="7" t="str">
        <f t="shared" si="6"/>
        <v>No normativo</v>
      </c>
      <c r="U181" s="4" t="s">
        <v>195</v>
      </c>
      <c r="V181" s="4" t="s">
        <v>39</v>
      </c>
      <c r="W181" s="4" t="s">
        <v>196</v>
      </c>
      <c r="X181" s="4" t="s">
        <v>197</v>
      </c>
      <c r="Y181" s="4" t="s">
        <v>198</v>
      </c>
      <c r="Z181" s="5">
        <v>1114002627</v>
      </c>
      <c r="AA181" s="5">
        <v>2277901175</v>
      </c>
      <c r="AB181" s="4" t="s">
        <v>180</v>
      </c>
      <c r="AC181">
        <v>180</v>
      </c>
    </row>
    <row r="182" spans="1:29" ht="16.5" customHeight="1" x14ac:dyDescent="0.2">
      <c r="A182" s="6" t="str">
        <f t="shared" si="5"/>
        <v>SDATOOL-38427 $ Servicios transaccionales 2022</v>
      </c>
      <c r="B182" s="4" t="s">
        <v>1228</v>
      </c>
      <c r="C182" s="4" t="s">
        <v>1229</v>
      </c>
      <c r="D182" s="4" t="s">
        <v>183</v>
      </c>
      <c r="E182" s="4" t="s">
        <v>1230</v>
      </c>
      <c r="F182" s="4" t="s">
        <v>28</v>
      </c>
      <c r="G182" s="4" t="s">
        <v>185</v>
      </c>
      <c r="H182" s="4" t="s">
        <v>186</v>
      </c>
      <c r="J182" s="4" t="s">
        <v>204</v>
      </c>
      <c r="K182" s="4" t="s">
        <v>770</v>
      </c>
      <c r="L182" s="4" t="s">
        <v>386</v>
      </c>
      <c r="M182" s="4" t="s">
        <v>1231</v>
      </c>
      <c r="N182" s="4" t="s">
        <v>22</v>
      </c>
      <c r="O182" s="13" t="s">
        <v>404</v>
      </c>
      <c r="P182" s="13" t="s">
        <v>1232</v>
      </c>
      <c r="Q182" s="13" t="s">
        <v>543</v>
      </c>
      <c r="R182" s="4" t="s">
        <v>366</v>
      </c>
      <c r="S182" s="7" t="e">
        <f ca="1">IF(_xludf.ifna(VLOOKUP(B182,Parámetros!#REF!,1,0),"")="","No","Sí")</f>
        <v>#NAME?</v>
      </c>
      <c r="T182" s="7" t="str">
        <f t="shared" si="6"/>
        <v>No normativo</v>
      </c>
      <c r="U182" s="4" t="s">
        <v>195</v>
      </c>
      <c r="V182" s="4" t="s">
        <v>39</v>
      </c>
      <c r="W182" s="4" t="s">
        <v>233</v>
      </c>
      <c r="X182" s="4" t="s">
        <v>234</v>
      </c>
      <c r="Y182" s="4" t="s">
        <v>435</v>
      </c>
      <c r="Z182" s="5">
        <v>76843477</v>
      </c>
      <c r="AA182" s="5">
        <v>150763389</v>
      </c>
      <c r="AB182" s="4" t="s">
        <v>215</v>
      </c>
      <c r="AC182">
        <v>181</v>
      </c>
    </row>
    <row r="183" spans="1:29" ht="16.5" customHeight="1" x14ac:dyDescent="0.2">
      <c r="A183" s="6" t="str">
        <f t="shared" si="5"/>
        <v>SDATOOL-38428 $ Traditional POS Net Cash (traslados)</v>
      </c>
      <c r="B183" s="4" t="s">
        <v>88</v>
      </c>
      <c r="C183" s="4" t="s">
        <v>1233</v>
      </c>
      <c r="D183" s="4" t="s">
        <v>183</v>
      </c>
      <c r="E183" s="4" t="s">
        <v>1234</v>
      </c>
      <c r="F183" s="4" t="s">
        <v>28</v>
      </c>
      <c r="G183" s="4" t="s">
        <v>185</v>
      </c>
      <c r="H183" s="4" t="s">
        <v>186</v>
      </c>
      <c r="J183" s="4" t="s">
        <v>204</v>
      </c>
      <c r="K183" s="4" t="s">
        <v>770</v>
      </c>
      <c r="L183" s="4" t="s">
        <v>386</v>
      </c>
      <c r="M183" s="4" t="s">
        <v>665</v>
      </c>
      <c r="N183" s="4" t="s">
        <v>51</v>
      </c>
      <c r="O183" s="13" t="s">
        <v>480</v>
      </c>
      <c r="P183" s="13" t="s">
        <v>1235</v>
      </c>
      <c r="Q183" s="13" t="s">
        <v>519</v>
      </c>
      <c r="S183" s="7" t="e">
        <f ca="1">IF(_xludf.ifna(VLOOKUP(B183,Parámetros!#REF!,1,0),"")="","No","Sí")</f>
        <v>#NAME?</v>
      </c>
      <c r="T183" s="7" t="str">
        <f t="shared" si="6"/>
        <v>No normativo</v>
      </c>
      <c r="U183" s="4" t="s">
        <v>195</v>
      </c>
      <c r="V183" s="4" t="s">
        <v>39</v>
      </c>
      <c r="W183" s="4" t="s">
        <v>233</v>
      </c>
      <c r="X183" s="4" t="s">
        <v>234</v>
      </c>
      <c r="Y183" s="4" t="s">
        <v>667</v>
      </c>
      <c r="Z183" s="5">
        <v>149999882</v>
      </c>
      <c r="AA183" s="5">
        <v>816133407</v>
      </c>
      <c r="AB183" s="4" t="s">
        <v>215</v>
      </c>
      <c r="AC183">
        <v>182</v>
      </c>
    </row>
    <row r="184" spans="1:29" ht="16.5" customHeight="1" x14ac:dyDescent="0.2">
      <c r="A184" s="6" t="str">
        <f t="shared" si="5"/>
        <v>SDATOOL-38443 $ Arce Empresas Colombia</v>
      </c>
      <c r="B184" s="4" t="s">
        <v>1236</v>
      </c>
      <c r="C184" s="4" t="s">
        <v>1237</v>
      </c>
      <c r="D184" s="4" t="s">
        <v>183</v>
      </c>
      <c r="E184" s="4" t="s">
        <v>1238</v>
      </c>
      <c r="F184" s="4" t="s">
        <v>56</v>
      </c>
      <c r="G184" s="4" t="s">
        <v>185</v>
      </c>
      <c r="H184" s="4" t="s">
        <v>186</v>
      </c>
      <c r="I184" s="4" t="s">
        <v>186</v>
      </c>
      <c r="K184" s="4" t="s">
        <v>770</v>
      </c>
      <c r="L184" s="4" t="s">
        <v>394</v>
      </c>
      <c r="M184" s="4" t="s">
        <v>1239</v>
      </c>
      <c r="N184" s="4" t="s">
        <v>36</v>
      </c>
      <c r="O184" s="13" t="s">
        <v>588</v>
      </c>
      <c r="P184" s="13" t="s">
        <v>1240</v>
      </c>
      <c r="Q184" s="13" t="s">
        <v>255</v>
      </c>
      <c r="R184" s="4" t="s">
        <v>1241</v>
      </c>
      <c r="S184" s="7" t="e">
        <f ca="1">IF(_xludf.ifna(VLOOKUP(B184,Parámetros!#REF!,1,0),"")="","No","Sí")</f>
        <v>#NAME?</v>
      </c>
      <c r="T184" s="7" t="str">
        <f t="shared" si="6"/>
        <v>No normativo</v>
      </c>
      <c r="U184" s="4" t="s">
        <v>195</v>
      </c>
      <c r="V184" s="4" t="s">
        <v>39</v>
      </c>
      <c r="W184" s="4" t="s">
        <v>196</v>
      </c>
      <c r="X184" s="4" t="s">
        <v>426</v>
      </c>
      <c r="Y184" s="4" t="s">
        <v>592</v>
      </c>
      <c r="Z184" s="5">
        <v>1768510312</v>
      </c>
      <c r="AA184" s="5">
        <v>2531252883</v>
      </c>
      <c r="AB184" s="4" t="s">
        <v>180</v>
      </c>
      <c r="AC184">
        <v>183</v>
      </c>
    </row>
    <row r="185" spans="1:29" ht="16.5" customHeight="1" x14ac:dyDescent="0.2">
      <c r="A185" s="6" t="str">
        <f t="shared" si="5"/>
        <v>SDATOOL-38447 $ GRM Col - Condonación y bajas automáticas en Medios de Pago</v>
      </c>
      <c r="B185" s="4" t="s">
        <v>1242</v>
      </c>
      <c r="C185" s="4" t="s">
        <v>1243</v>
      </c>
      <c r="D185" s="4" t="s">
        <v>183</v>
      </c>
      <c r="E185" s="4" t="s">
        <v>1244</v>
      </c>
      <c r="F185" s="4" t="s">
        <v>56</v>
      </c>
      <c r="G185" s="4" t="s">
        <v>185</v>
      </c>
      <c r="H185" s="4" t="s">
        <v>186</v>
      </c>
      <c r="J185" s="4" t="s">
        <v>204</v>
      </c>
      <c r="K185" s="4" t="s">
        <v>770</v>
      </c>
      <c r="L185" s="4" t="s">
        <v>189</v>
      </c>
      <c r="M185" s="4" t="s">
        <v>1245</v>
      </c>
      <c r="N185" s="4" t="s">
        <v>29</v>
      </c>
      <c r="O185" s="13" t="s">
        <v>242</v>
      </c>
      <c r="P185" s="13" t="s">
        <v>1246</v>
      </c>
      <c r="Q185" s="13" t="s">
        <v>555</v>
      </c>
      <c r="S185" s="7" t="e">
        <f ca="1">IF(_xludf.ifna(VLOOKUP(B185,Parámetros!#REF!,1,0),"")="","No","Sí")</f>
        <v>#NAME?</v>
      </c>
      <c r="T185" s="7" t="str">
        <f t="shared" si="6"/>
        <v>No normativo</v>
      </c>
      <c r="U185" s="4" t="s">
        <v>195</v>
      </c>
      <c r="V185" s="4" t="s">
        <v>39</v>
      </c>
      <c r="W185" s="4" t="s">
        <v>196</v>
      </c>
      <c r="X185" s="4" t="s">
        <v>246</v>
      </c>
      <c r="Y185" s="4" t="s">
        <v>265</v>
      </c>
      <c r="Z185" s="5">
        <v>35999954</v>
      </c>
      <c r="AA185" s="5">
        <v>36000000</v>
      </c>
      <c r="AB185" s="4" t="s">
        <v>180</v>
      </c>
      <c r="AC185">
        <v>184</v>
      </c>
    </row>
    <row r="186" spans="1:29" ht="16.5" hidden="1" customHeight="1" x14ac:dyDescent="0.2">
      <c r="A186" s="6" t="str">
        <f t="shared" si="5"/>
        <v>SDATOOL-38454 $ GRM Col - Aplicación de rediferidos es Cascada en Medios de Pago</v>
      </c>
      <c r="B186" s="4" t="s">
        <v>1247</v>
      </c>
      <c r="C186" s="4" t="s">
        <v>1248</v>
      </c>
      <c r="D186" s="4" t="s">
        <v>183</v>
      </c>
      <c r="E186" s="4" t="s">
        <v>1249</v>
      </c>
      <c r="F186" s="4" t="s">
        <v>56</v>
      </c>
      <c r="G186" s="4" t="s">
        <v>185</v>
      </c>
      <c r="H186" s="4" t="s">
        <v>203</v>
      </c>
      <c r="K186" s="4" t="s">
        <v>770</v>
      </c>
      <c r="L186" s="4" t="s">
        <v>206</v>
      </c>
      <c r="M186" s="4" t="s">
        <v>1250</v>
      </c>
      <c r="N186" s="4" t="s">
        <v>29</v>
      </c>
      <c r="O186" s="13" t="s">
        <v>242</v>
      </c>
      <c r="P186" s="13" t="s">
        <v>1246</v>
      </c>
      <c r="Q186" s="13" t="s">
        <v>555</v>
      </c>
      <c r="S186" s="7" t="e">
        <f ca="1">IF(_xludf.ifna(VLOOKUP(B186,Parámetros!#REF!,1,0),"")="","No","Sí")</f>
        <v>#NAME?</v>
      </c>
      <c r="T186" s="7" t="str">
        <f t="shared" si="6"/>
        <v>No normativo</v>
      </c>
      <c r="U186" s="4" t="s">
        <v>195</v>
      </c>
      <c r="V186" s="4" t="s">
        <v>39</v>
      </c>
      <c r="W186" s="4" t="s">
        <v>196</v>
      </c>
      <c r="X186" s="4" t="s">
        <v>246</v>
      </c>
      <c r="Y186" s="4" t="s">
        <v>265</v>
      </c>
      <c r="Z186" s="5">
        <v>2971970</v>
      </c>
      <c r="AA186" s="5">
        <v>4227978</v>
      </c>
      <c r="AB186" s="4" t="s">
        <v>215</v>
      </c>
      <c r="AC186">
        <v>185</v>
      </c>
    </row>
    <row r="187" spans="1:29" ht="16.5" customHeight="1" x14ac:dyDescent="0.2">
      <c r="A187" s="6" t="str">
        <f t="shared" si="5"/>
        <v>SDATOOL-38481 $ Pricing Pasivos (optimización portafolio) - Plan Ascenso Cross Sell</v>
      </c>
      <c r="B187" s="4" t="s">
        <v>152</v>
      </c>
      <c r="C187" s="4" t="s">
        <v>1251</v>
      </c>
      <c r="D187" s="4" t="s">
        <v>183</v>
      </c>
      <c r="E187" s="4" t="s">
        <v>1252</v>
      </c>
      <c r="F187" s="4" t="s">
        <v>28</v>
      </c>
      <c r="G187" s="4" t="s">
        <v>185</v>
      </c>
      <c r="H187" s="4" t="s">
        <v>186</v>
      </c>
      <c r="I187" s="4" t="s">
        <v>186</v>
      </c>
      <c r="J187" s="4" t="s">
        <v>204</v>
      </c>
      <c r="K187" s="4" t="s">
        <v>770</v>
      </c>
      <c r="L187" s="4" t="s">
        <v>394</v>
      </c>
      <c r="M187" s="4" t="s">
        <v>1252</v>
      </c>
      <c r="N187" s="4" t="s">
        <v>29</v>
      </c>
      <c r="O187" s="13" t="s">
        <v>1154</v>
      </c>
      <c r="P187" s="13" t="s">
        <v>1253</v>
      </c>
      <c r="Q187" s="13" t="s">
        <v>697</v>
      </c>
      <c r="R187" s="4" t="s">
        <v>366</v>
      </c>
      <c r="S187" s="7" t="e">
        <f ca="1">IF(_xludf.ifna(VLOOKUP(B187,Parámetros!#REF!,1,0),"")="","No","Sí")</f>
        <v>#NAME?</v>
      </c>
      <c r="T187" s="7" t="str">
        <f t="shared" si="6"/>
        <v>No normativo</v>
      </c>
      <c r="U187" s="4" t="s">
        <v>195</v>
      </c>
      <c r="V187" s="4" t="s">
        <v>39</v>
      </c>
      <c r="W187" s="4" t="s">
        <v>233</v>
      </c>
      <c r="X187" s="4" t="s">
        <v>92</v>
      </c>
      <c r="Y187" s="4" t="s">
        <v>533</v>
      </c>
      <c r="Z187" s="5">
        <v>607341501</v>
      </c>
      <c r="AA187" s="5">
        <v>343580166</v>
      </c>
      <c r="AB187" s="4" t="s">
        <v>180</v>
      </c>
      <c r="AC187">
        <v>186</v>
      </c>
    </row>
    <row r="188" spans="1:29" ht="16.5" customHeight="1" x14ac:dyDescent="0.2">
      <c r="A188" s="6" t="str">
        <f t="shared" si="5"/>
        <v>SDATOOL-38487 $ Mensualización Prima</v>
      </c>
      <c r="B188" s="4" t="s">
        <v>1254</v>
      </c>
      <c r="C188" s="4" t="s">
        <v>1255</v>
      </c>
      <c r="D188" s="4" t="s">
        <v>183</v>
      </c>
      <c r="E188" s="4" t="s">
        <v>1256</v>
      </c>
      <c r="F188" s="4" t="s">
        <v>30</v>
      </c>
      <c r="G188" s="4" t="s">
        <v>185</v>
      </c>
      <c r="H188" s="4" t="s">
        <v>186</v>
      </c>
      <c r="I188" s="4" t="e">
        <v>#N/A</v>
      </c>
      <c r="K188" s="4" t="s">
        <v>770</v>
      </c>
      <c r="L188" s="4" t="s">
        <v>189</v>
      </c>
      <c r="M188" s="4" t="s">
        <v>1257</v>
      </c>
      <c r="N188" s="4" t="s">
        <v>15</v>
      </c>
      <c r="O188" s="13" t="s">
        <v>964</v>
      </c>
      <c r="P188" s="13" t="s">
        <v>263</v>
      </c>
      <c r="Q188" s="13" t="s">
        <v>318</v>
      </c>
      <c r="R188" s="4" t="s">
        <v>1258</v>
      </c>
      <c r="S188" s="7" t="e">
        <f ca="1">IF(_xludf.ifna(VLOOKUP(B188,Parámetros!#REF!,1,0),"")="","No","Sí")</f>
        <v>#NAME?</v>
      </c>
      <c r="T188" s="7" t="str">
        <f t="shared" si="6"/>
        <v>No normativo</v>
      </c>
      <c r="U188" s="4" t="s">
        <v>195</v>
      </c>
      <c r="V188" s="4" t="s">
        <v>39</v>
      </c>
      <c r="W188" s="4" t="s">
        <v>291</v>
      </c>
      <c r="X188" s="4" t="s">
        <v>292</v>
      </c>
      <c r="Y188" s="4" t="s">
        <v>1259</v>
      </c>
      <c r="Z188" s="5">
        <v>61049999</v>
      </c>
      <c r="AA188" s="5">
        <v>57954500</v>
      </c>
      <c r="AB188" s="4" t="s">
        <v>180</v>
      </c>
      <c r="AC188">
        <v>187</v>
      </c>
    </row>
    <row r="189" spans="1:29" ht="16.5" customHeight="1" x14ac:dyDescent="0.2">
      <c r="A189" s="6" t="str">
        <f t="shared" si="5"/>
        <v>SDATOOL-38489 $ Horizon BTGR - Colombia</v>
      </c>
      <c r="B189" s="4" t="s">
        <v>1260</v>
      </c>
      <c r="C189" s="4" t="s">
        <v>1261</v>
      </c>
      <c r="D189" s="4" t="s">
        <v>183</v>
      </c>
      <c r="E189" s="4" t="s">
        <v>1262</v>
      </c>
      <c r="F189" s="4" t="s">
        <v>43</v>
      </c>
      <c r="G189" s="4" t="s">
        <v>185</v>
      </c>
      <c r="H189" s="4" t="s">
        <v>186</v>
      </c>
      <c r="J189" s="4" t="s">
        <v>204</v>
      </c>
      <c r="K189" s="4" t="s">
        <v>770</v>
      </c>
      <c r="L189" s="4" t="s">
        <v>394</v>
      </c>
      <c r="M189" s="4" t="s">
        <v>1263</v>
      </c>
      <c r="N189" s="4" t="s">
        <v>15</v>
      </c>
      <c r="O189" s="13" t="s">
        <v>1264</v>
      </c>
      <c r="Q189" s="13" t="s">
        <v>1264</v>
      </c>
      <c r="R189" s="4" t="s">
        <v>1265</v>
      </c>
      <c r="S189" s="7" t="e">
        <f ca="1">IF(_xludf.ifna(VLOOKUP(B189,Parámetros!#REF!,1,0),"")="","No","Sí")</f>
        <v>#NAME?</v>
      </c>
      <c r="T189" s="7" t="str">
        <f t="shared" si="6"/>
        <v>No normativo</v>
      </c>
      <c r="U189" s="4" t="s">
        <v>195</v>
      </c>
      <c r="V189" s="4" t="s">
        <v>39</v>
      </c>
      <c r="W189" s="4" t="s">
        <v>212</v>
      </c>
      <c r="X189" s="4" t="s">
        <v>407</v>
      </c>
      <c r="Y189" s="4" t="s">
        <v>1266</v>
      </c>
      <c r="Z189" s="5">
        <v>4280511947</v>
      </c>
      <c r="AA189" s="5">
        <v>5435905985</v>
      </c>
      <c r="AB189" s="4" t="s">
        <v>215</v>
      </c>
      <c r="AC189">
        <v>188</v>
      </c>
    </row>
    <row r="190" spans="1:29" ht="16.5" hidden="1" customHeight="1" x14ac:dyDescent="0.2">
      <c r="A190" s="6" t="str">
        <f t="shared" si="5"/>
        <v>SDATOOL-38490 $ Horizon Financial batch - Colombia</v>
      </c>
      <c r="B190" s="4" t="s">
        <v>1267</v>
      </c>
      <c r="C190" s="4" t="s">
        <v>1268</v>
      </c>
      <c r="D190" s="4" t="s">
        <v>183</v>
      </c>
      <c r="E190" s="4" t="s">
        <v>1269</v>
      </c>
      <c r="F190" s="4" t="s">
        <v>43</v>
      </c>
      <c r="G190" s="4" t="s">
        <v>185</v>
      </c>
      <c r="H190" s="4" t="s">
        <v>203</v>
      </c>
      <c r="K190" s="4" t="s">
        <v>770</v>
      </c>
      <c r="L190" s="4" t="s">
        <v>206</v>
      </c>
      <c r="M190" s="4" t="s">
        <v>1270</v>
      </c>
      <c r="N190" s="4" t="s">
        <v>15</v>
      </c>
      <c r="O190" s="13" t="s">
        <v>532</v>
      </c>
      <c r="P190" s="13" t="s">
        <v>1184</v>
      </c>
      <c r="Q190" s="13" t="s">
        <v>1271</v>
      </c>
      <c r="R190" s="4" t="s">
        <v>1272</v>
      </c>
      <c r="S190" s="7" t="e">
        <f ca="1">IF(_xludf.ifna(VLOOKUP(B190,Parámetros!#REF!,1,0),"")="","No","Sí")</f>
        <v>#NAME?</v>
      </c>
      <c r="T190" s="7" t="str">
        <f t="shared" si="6"/>
        <v>No normativo</v>
      </c>
      <c r="U190" s="4" t="s">
        <v>195</v>
      </c>
      <c r="V190" s="4" t="s">
        <v>39</v>
      </c>
      <c r="W190" s="4" t="s">
        <v>212</v>
      </c>
      <c r="X190" s="4" t="s">
        <v>407</v>
      </c>
      <c r="Y190" s="4" t="s">
        <v>1273</v>
      </c>
      <c r="Z190" s="4">
        <v>0</v>
      </c>
      <c r="AA190" s="4">
        <v>0</v>
      </c>
      <c r="AB190" s="4" t="s">
        <v>215</v>
      </c>
      <c r="AC190">
        <v>189</v>
      </c>
    </row>
    <row r="191" spans="1:29" ht="16.5" customHeight="1" x14ac:dyDescent="0.2">
      <c r="A191" s="6" t="str">
        <f t="shared" si="5"/>
        <v>SDATOOL-38492 $ Horizon Alpha - Colombia</v>
      </c>
      <c r="B191" s="4" t="s">
        <v>1274</v>
      </c>
      <c r="C191" s="4" t="s">
        <v>1275</v>
      </c>
      <c r="D191" s="4" t="s">
        <v>183</v>
      </c>
      <c r="E191" s="4" t="s">
        <v>1276</v>
      </c>
      <c r="F191" s="4" t="s">
        <v>43</v>
      </c>
      <c r="G191" s="4" t="s">
        <v>185</v>
      </c>
      <c r="H191" s="4" t="s">
        <v>186</v>
      </c>
      <c r="J191" s="4" t="s">
        <v>204</v>
      </c>
      <c r="K191" s="4" t="s">
        <v>770</v>
      </c>
      <c r="L191" s="4" t="s">
        <v>394</v>
      </c>
      <c r="M191" s="4" t="s">
        <v>1277</v>
      </c>
      <c r="N191" s="4" t="s">
        <v>15</v>
      </c>
      <c r="O191" s="13" t="s">
        <v>532</v>
      </c>
      <c r="P191" s="13" t="s">
        <v>1184</v>
      </c>
      <c r="Q191" s="13" t="s">
        <v>532</v>
      </c>
      <c r="R191" s="4" t="s">
        <v>1278</v>
      </c>
      <c r="S191" s="7" t="e">
        <f ca="1">IF(_xludf.ifna(VLOOKUP(B191,Parámetros!#REF!,1,0),"")="","No","Sí")</f>
        <v>#NAME?</v>
      </c>
      <c r="T191" s="7" t="str">
        <f t="shared" si="6"/>
        <v>No normativo</v>
      </c>
      <c r="U191" s="4" t="s">
        <v>195</v>
      </c>
      <c r="V191" s="4" t="s">
        <v>39</v>
      </c>
      <c r="W191" s="4" t="s">
        <v>212</v>
      </c>
      <c r="X191" s="4" t="s">
        <v>407</v>
      </c>
      <c r="Y191" s="4" t="s">
        <v>1273</v>
      </c>
      <c r="Z191" s="5">
        <v>1820269259</v>
      </c>
      <c r="AA191" s="5">
        <v>1879781559</v>
      </c>
      <c r="AB191" s="4" t="s">
        <v>215</v>
      </c>
      <c r="AC191">
        <v>190</v>
      </c>
    </row>
    <row r="192" spans="1:29" ht="16.5" customHeight="1" x14ac:dyDescent="0.2">
      <c r="A192" s="6" t="str">
        <f t="shared" si="5"/>
        <v>SDATOOL-38497 $ Genetics - Local Steel Plan</v>
      </c>
      <c r="B192" s="4" t="s">
        <v>1279</v>
      </c>
      <c r="C192" s="4" t="s">
        <v>1280</v>
      </c>
      <c r="D192" s="4" t="s">
        <v>183</v>
      </c>
      <c r="E192" s="4" t="s">
        <v>1281</v>
      </c>
      <c r="F192" s="4" t="s">
        <v>43</v>
      </c>
      <c r="G192" s="4" t="s">
        <v>185</v>
      </c>
      <c r="H192" s="4" t="s">
        <v>186</v>
      </c>
      <c r="I192" s="4" t="s">
        <v>186</v>
      </c>
      <c r="J192" s="4" t="s">
        <v>204</v>
      </c>
      <c r="K192" s="4" t="s">
        <v>770</v>
      </c>
      <c r="L192" s="4" t="s">
        <v>394</v>
      </c>
      <c r="M192" s="4" t="s">
        <v>1282</v>
      </c>
      <c r="N192" s="4" t="s">
        <v>15</v>
      </c>
      <c r="O192" s="13" t="s">
        <v>532</v>
      </c>
      <c r="P192" s="13" t="s">
        <v>1058</v>
      </c>
      <c r="Q192" s="13" t="s">
        <v>532</v>
      </c>
      <c r="R192" s="4" t="s">
        <v>1283</v>
      </c>
      <c r="S192" s="7" t="e">
        <f ca="1">IF(_xludf.ifna(VLOOKUP(B192,Parámetros!#REF!,1,0),"")="","No","Sí")</f>
        <v>#NAME?</v>
      </c>
      <c r="T192" s="7" t="str">
        <f t="shared" si="6"/>
        <v>No normativo</v>
      </c>
      <c r="U192" s="4" t="s">
        <v>195</v>
      </c>
      <c r="V192" s="4" t="s">
        <v>39</v>
      </c>
      <c r="W192" s="4" t="s">
        <v>212</v>
      </c>
      <c r="X192" s="4" t="s">
        <v>356</v>
      </c>
      <c r="Y192" s="4" t="s">
        <v>1011</v>
      </c>
      <c r="Z192" s="5">
        <v>1094636967</v>
      </c>
      <c r="AA192" s="5">
        <v>1227636967</v>
      </c>
      <c r="AB192" s="4" t="s">
        <v>180</v>
      </c>
      <c r="AC192">
        <v>191</v>
      </c>
    </row>
    <row r="193" spans="1:29" ht="16.5" customHeight="1" x14ac:dyDescent="0.2">
      <c r="A193" s="6" t="str">
        <f t="shared" si="5"/>
        <v>SDATOOL-38500 $ Horizon Security Journeys - Colombia</v>
      </c>
      <c r="B193" s="4" t="s">
        <v>1284</v>
      </c>
      <c r="C193" s="4" t="s">
        <v>1285</v>
      </c>
      <c r="D193" s="4" t="s">
        <v>183</v>
      </c>
      <c r="E193" s="4" t="s">
        <v>1286</v>
      </c>
      <c r="F193" s="4" t="s">
        <v>43</v>
      </c>
      <c r="G193" s="4" t="s">
        <v>185</v>
      </c>
      <c r="H193" s="4" t="s">
        <v>186</v>
      </c>
      <c r="J193" s="4" t="s">
        <v>204</v>
      </c>
      <c r="K193" s="4" t="s">
        <v>770</v>
      </c>
      <c r="L193" s="4" t="s">
        <v>729</v>
      </c>
      <c r="M193" s="4" t="s">
        <v>1287</v>
      </c>
      <c r="N193" s="4" t="s">
        <v>15</v>
      </c>
      <c r="O193" s="13" t="s">
        <v>532</v>
      </c>
      <c r="P193" s="13" t="s">
        <v>1288</v>
      </c>
      <c r="Q193" s="13" t="s">
        <v>1288</v>
      </c>
      <c r="R193" s="4" t="s">
        <v>1289</v>
      </c>
      <c r="S193" s="7" t="e">
        <f ca="1">IF(_xludf.ifna(VLOOKUP(B193,Parámetros!#REF!,1,0),"")="","No","Sí")</f>
        <v>#NAME?</v>
      </c>
      <c r="T193" s="7" t="str">
        <f t="shared" si="6"/>
        <v>No normativo</v>
      </c>
      <c r="U193" s="4" t="s">
        <v>195</v>
      </c>
      <c r="V193" s="4" t="s">
        <v>39</v>
      </c>
      <c r="W193" s="4" t="s">
        <v>212</v>
      </c>
      <c r="X193" s="4" t="s">
        <v>407</v>
      </c>
      <c r="Y193" s="4" t="s">
        <v>1273</v>
      </c>
      <c r="Z193" s="5">
        <v>425527401</v>
      </c>
      <c r="AA193" s="5">
        <v>488989128</v>
      </c>
      <c r="AB193" s="4" t="s">
        <v>215</v>
      </c>
      <c r="AC193">
        <v>192</v>
      </c>
    </row>
    <row r="194" spans="1:29" ht="16.5" hidden="1" customHeight="1" x14ac:dyDescent="0.2">
      <c r="A194" s="6" t="str">
        <f t="shared" si="5"/>
        <v>SDATOOL-38509 $ Disponilización diccionaria para el informe d+0 diario</v>
      </c>
      <c r="B194" s="4" t="s">
        <v>1290</v>
      </c>
      <c r="C194" s="4" t="s">
        <v>1291</v>
      </c>
      <c r="D194" s="4" t="s">
        <v>763</v>
      </c>
      <c r="E194" s="4" t="s">
        <v>1292</v>
      </c>
      <c r="F194" s="4" t="s">
        <v>28</v>
      </c>
      <c r="G194" s="4" t="s">
        <v>185</v>
      </c>
      <c r="H194" s="4" t="s">
        <v>203</v>
      </c>
      <c r="J194" s="4" t="s">
        <v>204</v>
      </c>
      <c r="K194" s="4" t="s">
        <v>664</v>
      </c>
      <c r="L194" s="4" t="s">
        <v>206</v>
      </c>
      <c r="M194" s="4" t="s">
        <v>1293</v>
      </c>
      <c r="N194" s="4" t="s">
        <v>29</v>
      </c>
      <c r="O194" s="13" t="s">
        <v>1154</v>
      </c>
      <c r="P194" s="13" t="s">
        <v>1294</v>
      </c>
      <c r="S194" s="7" t="e">
        <f ca="1">IF(_xludf.ifna(VLOOKUP(B194,Parámetros!#REF!,1,0),"")="","No","Sí")</f>
        <v>#NAME?</v>
      </c>
      <c r="T194" s="7" t="str">
        <f t="shared" si="6"/>
        <v>No normativo</v>
      </c>
      <c r="U194" s="4" t="s">
        <v>195</v>
      </c>
      <c r="V194" s="4" t="s">
        <v>39</v>
      </c>
      <c r="W194" s="4" t="s">
        <v>300</v>
      </c>
      <c r="X194" s="4" t="s">
        <v>301</v>
      </c>
      <c r="Y194" s="4" t="s">
        <v>302</v>
      </c>
      <c r="Z194" s="4">
        <v>0</v>
      </c>
      <c r="AA194" s="4">
        <v>0</v>
      </c>
      <c r="AB194" s="4" t="s">
        <v>215</v>
      </c>
      <c r="AC194">
        <v>193</v>
      </c>
    </row>
    <row r="195" spans="1:29" ht="16.5" customHeight="1" x14ac:dyDescent="0.2">
      <c r="A195" s="6" t="str">
        <f t="shared" ref="A195:A258" si="7">B195&amp;" $ "&amp;C195</f>
        <v>SDATOOL-38527 $ Pagaré Electrónico en flujos de Contratación digital</v>
      </c>
      <c r="B195" s="4" t="s">
        <v>1295</v>
      </c>
      <c r="C195" s="4" t="s">
        <v>1296</v>
      </c>
      <c r="D195" s="4" t="s">
        <v>183</v>
      </c>
      <c r="E195" s="4" t="s">
        <v>1297</v>
      </c>
      <c r="F195" s="4" t="s">
        <v>28</v>
      </c>
      <c r="G195" s="4" t="s">
        <v>185</v>
      </c>
      <c r="H195" s="4" t="s">
        <v>186</v>
      </c>
      <c r="J195" s="4" t="s">
        <v>204</v>
      </c>
      <c r="K195" s="4" t="s">
        <v>770</v>
      </c>
      <c r="L195" s="4" t="s">
        <v>386</v>
      </c>
      <c r="M195" s="4" t="s">
        <v>1298</v>
      </c>
      <c r="N195" s="4" t="s">
        <v>29</v>
      </c>
      <c r="O195" s="13" t="s">
        <v>530</v>
      </c>
      <c r="P195" s="13" t="s">
        <v>1299</v>
      </c>
      <c r="Q195" s="13" t="s">
        <v>441</v>
      </c>
      <c r="S195" s="7" t="e">
        <f ca="1">IF(_xludf.ifna(VLOOKUP(B195,Parámetros!#REF!,1,0),"")="","No","Sí")</f>
        <v>#NAME?</v>
      </c>
      <c r="T195" s="7" t="str">
        <f t="shared" ref="T195:T258" si="8">IF(U201="None","No normativo","Normativo")</f>
        <v>No normativo</v>
      </c>
      <c r="U195" s="4" t="s">
        <v>195</v>
      </c>
      <c r="V195" s="4" t="s">
        <v>39</v>
      </c>
      <c r="W195" s="4" t="s">
        <v>196</v>
      </c>
      <c r="X195" s="4" t="s">
        <v>197</v>
      </c>
      <c r="Y195" s="4" t="s">
        <v>688</v>
      </c>
      <c r="Z195" s="5">
        <v>314581752</v>
      </c>
      <c r="AA195" s="5">
        <v>1199385744</v>
      </c>
      <c r="AB195" s="4" t="s">
        <v>215</v>
      </c>
      <c r="AC195">
        <v>194</v>
      </c>
    </row>
    <row r="196" spans="1:29" ht="16.5" customHeight="1" x14ac:dyDescent="0.2">
      <c r="A196" s="6" t="str">
        <f t="shared" si="7"/>
        <v>SDATOOL-38529 $ Renovación ATM's 2022</v>
      </c>
      <c r="B196" s="4" t="s">
        <v>1300</v>
      </c>
      <c r="C196" s="4" t="s">
        <v>1301</v>
      </c>
      <c r="D196" s="4" t="s">
        <v>183</v>
      </c>
      <c r="E196" s="4" t="s">
        <v>1302</v>
      </c>
      <c r="F196" s="4" t="s">
        <v>35</v>
      </c>
      <c r="G196" s="4" t="s">
        <v>185</v>
      </c>
      <c r="H196" s="4" t="s">
        <v>186</v>
      </c>
      <c r="J196" s="4" t="s">
        <v>204</v>
      </c>
      <c r="K196" s="4" t="s">
        <v>770</v>
      </c>
      <c r="L196" s="4" t="s">
        <v>386</v>
      </c>
      <c r="M196" s="4" t="s">
        <v>1303</v>
      </c>
      <c r="N196" s="4" t="s">
        <v>36</v>
      </c>
      <c r="O196" s="13" t="s">
        <v>738</v>
      </c>
      <c r="S196" s="7" t="e">
        <f ca="1">IF(_xludf.ifna(VLOOKUP(B196,Parámetros!#REF!,1,0),"")="","No","Sí")</f>
        <v>#NAME?</v>
      </c>
      <c r="T196" s="7" t="str">
        <f t="shared" si="8"/>
        <v>No normativo</v>
      </c>
      <c r="U196" s="4" t="s">
        <v>195</v>
      </c>
      <c r="V196" s="4" t="s">
        <v>39</v>
      </c>
      <c r="W196" s="4" t="s">
        <v>300</v>
      </c>
      <c r="X196" s="4" t="s">
        <v>562</v>
      </c>
      <c r="Y196" s="4" t="s">
        <v>1304</v>
      </c>
      <c r="Z196" s="5">
        <v>2906262306</v>
      </c>
      <c r="AA196" s="5">
        <v>7607337711</v>
      </c>
      <c r="AB196" s="4" t="s">
        <v>215</v>
      </c>
      <c r="AC196">
        <v>195</v>
      </c>
    </row>
    <row r="197" spans="1:29" ht="16.5" customHeight="1" x14ac:dyDescent="0.2">
      <c r="A197" s="6" t="str">
        <f t="shared" si="7"/>
        <v>SDATOOL-38531 $ Expansión ATMs 2022</v>
      </c>
      <c r="B197" s="4" t="s">
        <v>1305</v>
      </c>
      <c r="C197" s="4" t="s">
        <v>1306</v>
      </c>
      <c r="D197" s="4" t="s">
        <v>183</v>
      </c>
      <c r="E197" s="4" t="s">
        <v>1307</v>
      </c>
      <c r="F197" s="4" t="s">
        <v>35</v>
      </c>
      <c r="G197" s="4" t="s">
        <v>185</v>
      </c>
      <c r="H197" s="4" t="s">
        <v>186</v>
      </c>
      <c r="J197" s="4" t="s">
        <v>204</v>
      </c>
      <c r="K197" s="4" t="s">
        <v>770</v>
      </c>
      <c r="L197" s="4" t="s">
        <v>386</v>
      </c>
      <c r="M197" s="4" t="s">
        <v>1308</v>
      </c>
      <c r="N197" s="4" t="s">
        <v>36</v>
      </c>
      <c r="O197" s="13" t="s">
        <v>738</v>
      </c>
      <c r="S197" s="7" t="e">
        <f ca="1">IF(_xludf.ifna(VLOOKUP(B197,Parámetros!#REF!,1,0),"")="","No","Sí")</f>
        <v>#NAME?</v>
      </c>
      <c r="T197" s="7" t="str">
        <f t="shared" si="8"/>
        <v>No normativo</v>
      </c>
      <c r="U197" s="4" t="s">
        <v>195</v>
      </c>
      <c r="V197" s="4" t="s">
        <v>39</v>
      </c>
      <c r="W197" s="4" t="s">
        <v>300</v>
      </c>
      <c r="X197" s="4" t="s">
        <v>562</v>
      </c>
      <c r="Y197" s="4" t="s">
        <v>1304</v>
      </c>
      <c r="Z197" s="5">
        <v>761621385</v>
      </c>
      <c r="AA197" s="5">
        <v>4382482008</v>
      </c>
      <c r="AB197" s="4" t="s">
        <v>215</v>
      </c>
      <c r="AC197">
        <v>196</v>
      </c>
    </row>
    <row r="198" spans="1:29" ht="16.5" customHeight="1" x14ac:dyDescent="0.2">
      <c r="A198" s="6" t="str">
        <f t="shared" si="7"/>
        <v>SDATOOL-38532 $ Reubicación ATMs 2022</v>
      </c>
      <c r="B198" s="4" t="s">
        <v>1309</v>
      </c>
      <c r="C198" s="4" t="s">
        <v>1310</v>
      </c>
      <c r="D198" s="4" t="s">
        <v>183</v>
      </c>
      <c r="E198" s="4" t="s">
        <v>1311</v>
      </c>
      <c r="F198" s="4" t="s">
        <v>35</v>
      </c>
      <c r="G198" s="4" t="s">
        <v>185</v>
      </c>
      <c r="H198" s="4" t="s">
        <v>186</v>
      </c>
      <c r="J198" s="4" t="s">
        <v>204</v>
      </c>
      <c r="K198" s="4" t="s">
        <v>770</v>
      </c>
      <c r="L198" s="4" t="s">
        <v>386</v>
      </c>
      <c r="M198" s="4" t="s">
        <v>1312</v>
      </c>
      <c r="N198" s="4" t="s">
        <v>36</v>
      </c>
      <c r="O198" s="13" t="s">
        <v>738</v>
      </c>
      <c r="S198" s="7" t="e">
        <f ca="1">IF(_xludf.ifna(VLOOKUP(B198,Parámetros!#REF!,1,0),"")="","No","Sí")</f>
        <v>#NAME?</v>
      </c>
      <c r="T198" s="7" t="str">
        <f t="shared" si="8"/>
        <v>No normativo</v>
      </c>
      <c r="U198" s="4" t="s">
        <v>195</v>
      </c>
      <c r="V198" s="4" t="s">
        <v>39</v>
      </c>
      <c r="W198" s="4" t="s">
        <v>300</v>
      </c>
      <c r="X198" s="4" t="s">
        <v>562</v>
      </c>
      <c r="Y198" s="4" t="s">
        <v>1304</v>
      </c>
      <c r="Z198" s="5">
        <v>1289125485</v>
      </c>
      <c r="AA198" s="5">
        <v>1991360114</v>
      </c>
      <c r="AB198" s="4" t="s">
        <v>215</v>
      </c>
      <c r="AC198">
        <v>197</v>
      </c>
    </row>
    <row r="199" spans="1:29" ht="16.5" customHeight="1" x14ac:dyDescent="0.2">
      <c r="A199" s="6" t="str">
        <f t="shared" si="7"/>
        <v>SDATOOL-38533 $ Remodelación de oficinas 2022</v>
      </c>
      <c r="B199" s="4" t="s">
        <v>1313</v>
      </c>
      <c r="C199" s="4" t="s">
        <v>1314</v>
      </c>
      <c r="D199" s="4" t="s">
        <v>183</v>
      </c>
      <c r="E199" s="4" t="s">
        <v>1315</v>
      </c>
      <c r="F199" s="4" t="s">
        <v>35</v>
      </c>
      <c r="G199" s="4" t="s">
        <v>185</v>
      </c>
      <c r="H199" s="4" t="s">
        <v>186</v>
      </c>
      <c r="I199" s="4" t="s">
        <v>186</v>
      </c>
      <c r="J199" s="4" t="s">
        <v>431</v>
      </c>
      <c r="K199" s="4" t="s">
        <v>770</v>
      </c>
      <c r="L199" s="4" t="s">
        <v>189</v>
      </c>
      <c r="M199" s="4" t="s">
        <v>1316</v>
      </c>
      <c r="N199" s="4" t="s">
        <v>36</v>
      </c>
      <c r="O199" s="13" t="s">
        <v>412</v>
      </c>
      <c r="Q199" s="13" t="s">
        <v>373</v>
      </c>
      <c r="R199" s="4" t="s">
        <v>366</v>
      </c>
      <c r="S199" s="7" t="e">
        <f ca="1">IF(_xludf.ifna(VLOOKUP(B199,Parámetros!#REF!,1,0),"")="","No","Sí")</f>
        <v>#NAME?</v>
      </c>
      <c r="T199" s="7" t="str">
        <f t="shared" si="8"/>
        <v>No normativo</v>
      </c>
      <c r="U199" s="4" t="s">
        <v>195</v>
      </c>
      <c r="V199" s="4" t="s">
        <v>39</v>
      </c>
      <c r="W199" s="4" t="s">
        <v>300</v>
      </c>
      <c r="X199" s="4" t="s">
        <v>562</v>
      </c>
      <c r="Y199" s="4" t="s">
        <v>1197</v>
      </c>
      <c r="Z199" s="5">
        <v>4848804787</v>
      </c>
      <c r="AA199" s="5">
        <v>5068804787</v>
      </c>
      <c r="AB199" s="4" t="s">
        <v>180</v>
      </c>
      <c r="AC199">
        <v>198</v>
      </c>
    </row>
    <row r="200" spans="1:29" ht="16.5" customHeight="1" x14ac:dyDescent="0.2">
      <c r="A200" s="6" t="str">
        <f t="shared" si="7"/>
        <v>SDATOOL-38534 $ Workplace Oficinas 2022</v>
      </c>
      <c r="B200" s="4" t="s">
        <v>1317</v>
      </c>
      <c r="C200" s="4" t="s">
        <v>1318</v>
      </c>
      <c r="D200" s="4" t="s">
        <v>183</v>
      </c>
      <c r="E200" s="4" t="s">
        <v>1319</v>
      </c>
      <c r="F200" s="4" t="s">
        <v>35</v>
      </c>
      <c r="G200" s="4" t="s">
        <v>185</v>
      </c>
      <c r="H200" s="4" t="s">
        <v>186</v>
      </c>
      <c r="J200" s="4" t="s">
        <v>431</v>
      </c>
      <c r="K200" s="4" t="s">
        <v>770</v>
      </c>
      <c r="L200" s="4" t="s">
        <v>386</v>
      </c>
      <c r="M200" s="4" t="s">
        <v>1320</v>
      </c>
      <c r="N200" s="4" t="s">
        <v>15</v>
      </c>
      <c r="O200" s="13" t="s">
        <v>412</v>
      </c>
      <c r="Q200" s="13" t="s">
        <v>984</v>
      </c>
      <c r="R200" s="4" t="s">
        <v>366</v>
      </c>
      <c r="S200" s="7" t="e">
        <f ca="1">IF(_xludf.ifna(VLOOKUP(B200,Parámetros!#REF!,1,0),"")="","No","Sí")</f>
        <v>#NAME?</v>
      </c>
      <c r="T200" s="7" t="str">
        <f t="shared" si="8"/>
        <v>Normativo</v>
      </c>
      <c r="U200" s="4" t="s">
        <v>195</v>
      </c>
      <c r="V200" s="4" t="s">
        <v>39</v>
      </c>
      <c r="W200" s="4" t="s">
        <v>300</v>
      </c>
      <c r="X200" s="4" t="s">
        <v>562</v>
      </c>
      <c r="Y200" s="4" t="s">
        <v>1321</v>
      </c>
      <c r="Z200" s="5">
        <v>264941265</v>
      </c>
      <c r="AA200" s="5">
        <v>4258884101</v>
      </c>
      <c r="AB200" s="4" t="s">
        <v>215</v>
      </c>
      <c r="AC200">
        <v>199</v>
      </c>
    </row>
    <row r="201" spans="1:29" ht="16.5" customHeight="1" x14ac:dyDescent="0.2">
      <c r="A201" s="6" t="str">
        <f t="shared" si="7"/>
        <v>SDATOOL-38535 $ Workplace CSF 2022</v>
      </c>
      <c r="B201" s="4" t="s">
        <v>1322</v>
      </c>
      <c r="C201" s="4" t="s">
        <v>1323</v>
      </c>
      <c r="D201" s="4" t="s">
        <v>183</v>
      </c>
      <c r="E201" s="4" t="s">
        <v>1324</v>
      </c>
      <c r="F201" s="4" t="s">
        <v>35</v>
      </c>
      <c r="G201" s="4" t="s">
        <v>185</v>
      </c>
      <c r="H201" s="4" t="s">
        <v>186</v>
      </c>
      <c r="J201" s="4" t="s">
        <v>431</v>
      </c>
      <c r="K201" s="4" t="s">
        <v>770</v>
      </c>
      <c r="L201" s="4" t="s">
        <v>386</v>
      </c>
      <c r="M201" s="4" t="s">
        <v>1325</v>
      </c>
      <c r="N201" s="4" t="s">
        <v>15</v>
      </c>
      <c r="O201" s="13" t="s">
        <v>738</v>
      </c>
      <c r="P201" s="13" t="s">
        <v>1326</v>
      </c>
      <c r="R201" s="4" t="s">
        <v>366</v>
      </c>
      <c r="S201" s="7" t="e">
        <f ca="1">IF(_xludf.ifna(VLOOKUP(B201,Parámetros!#REF!,1,0),"")="","No","Sí")</f>
        <v>#NAME?</v>
      </c>
      <c r="T201" s="7" t="str">
        <f t="shared" si="8"/>
        <v>No normativo</v>
      </c>
      <c r="U201" s="4" t="s">
        <v>195</v>
      </c>
      <c r="V201" s="4" t="s">
        <v>1327</v>
      </c>
      <c r="W201" s="4" t="s">
        <v>300</v>
      </c>
      <c r="X201" s="4" t="s">
        <v>562</v>
      </c>
      <c r="Y201" s="4" t="s">
        <v>563</v>
      </c>
      <c r="Z201" s="4">
        <v>0</v>
      </c>
      <c r="AA201" s="5">
        <v>50000000</v>
      </c>
      <c r="AB201" s="4" t="s">
        <v>215</v>
      </c>
      <c r="AC201">
        <v>200</v>
      </c>
    </row>
    <row r="202" spans="1:29" ht="16.5" customHeight="1" x14ac:dyDescent="0.2">
      <c r="A202" s="6" t="str">
        <f t="shared" si="7"/>
        <v>SDATOOL-38536 $ Equipos y Mobiliario Oficinas 2022</v>
      </c>
      <c r="B202" s="4" t="s">
        <v>1328</v>
      </c>
      <c r="C202" s="4" t="s">
        <v>1329</v>
      </c>
      <c r="D202" s="4" t="s">
        <v>183</v>
      </c>
      <c r="E202" s="4" t="s">
        <v>1330</v>
      </c>
      <c r="F202" s="4" t="s">
        <v>35</v>
      </c>
      <c r="G202" s="4" t="s">
        <v>185</v>
      </c>
      <c r="H202" s="4" t="s">
        <v>186</v>
      </c>
      <c r="J202" s="4" t="s">
        <v>431</v>
      </c>
      <c r="K202" s="4" t="s">
        <v>770</v>
      </c>
      <c r="L202" s="4" t="s">
        <v>386</v>
      </c>
      <c r="M202" s="4" t="s">
        <v>1331</v>
      </c>
      <c r="N202" s="4" t="s">
        <v>15</v>
      </c>
      <c r="O202" s="13" t="s">
        <v>412</v>
      </c>
      <c r="R202" s="4" t="s">
        <v>366</v>
      </c>
      <c r="S202" s="7" t="e">
        <f ca="1">IF(_xludf.ifna(VLOOKUP(B202,Parámetros!#REF!,1,0),"")="","No","Sí")</f>
        <v>#NAME?</v>
      </c>
      <c r="T202" s="7" t="str">
        <f t="shared" si="8"/>
        <v>No normativo</v>
      </c>
      <c r="U202" s="4" t="s">
        <v>195</v>
      </c>
      <c r="V202" s="4" t="s">
        <v>39</v>
      </c>
      <c r="W202" s="4" t="s">
        <v>300</v>
      </c>
      <c r="X202" s="4" t="s">
        <v>562</v>
      </c>
      <c r="Y202" s="4" t="s">
        <v>1197</v>
      </c>
      <c r="Z202" s="5">
        <v>414829138</v>
      </c>
      <c r="AA202" s="5">
        <v>1348500205</v>
      </c>
      <c r="AB202" s="4" t="s">
        <v>215</v>
      </c>
      <c r="AC202">
        <v>201</v>
      </c>
    </row>
    <row r="203" spans="1:29" ht="16.5" customHeight="1" x14ac:dyDescent="0.2">
      <c r="A203" s="6" t="str">
        <f t="shared" si="7"/>
        <v>SDATOOL-38537 $ Dotación elementos de ATM´s 2022</v>
      </c>
      <c r="B203" s="4" t="s">
        <v>1332</v>
      </c>
      <c r="C203" s="4" t="s">
        <v>1333</v>
      </c>
      <c r="D203" s="4" t="s">
        <v>183</v>
      </c>
      <c r="E203" s="4" t="s">
        <v>1334</v>
      </c>
      <c r="F203" s="4" t="s">
        <v>35</v>
      </c>
      <c r="G203" s="4" t="s">
        <v>185</v>
      </c>
      <c r="H203" s="4" t="s">
        <v>186</v>
      </c>
      <c r="J203" s="4" t="s">
        <v>431</v>
      </c>
      <c r="K203" s="4" t="s">
        <v>770</v>
      </c>
      <c r="L203" s="4" t="s">
        <v>386</v>
      </c>
      <c r="M203" s="4" t="s">
        <v>1335</v>
      </c>
      <c r="N203" s="4" t="s">
        <v>36</v>
      </c>
      <c r="O203" s="13" t="s">
        <v>738</v>
      </c>
      <c r="R203" s="4" t="s">
        <v>366</v>
      </c>
      <c r="S203" s="7" t="e">
        <f ca="1">IF(_xludf.ifna(VLOOKUP(B203,Parámetros!#REF!,1,0),"")="","No","Sí")</f>
        <v>#NAME?</v>
      </c>
      <c r="T203" s="7" t="str">
        <f t="shared" si="8"/>
        <v>No normativo</v>
      </c>
      <c r="U203" s="4" t="s">
        <v>195</v>
      </c>
      <c r="V203" s="4" t="s">
        <v>39</v>
      </c>
      <c r="W203" s="4" t="s">
        <v>300</v>
      </c>
      <c r="X203" s="4" t="s">
        <v>562</v>
      </c>
      <c r="Y203" s="4" t="s">
        <v>1304</v>
      </c>
      <c r="Z203" s="5">
        <v>339798856</v>
      </c>
      <c r="AA203" s="5">
        <v>854241803</v>
      </c>
      <c r="AB203" s="4" t="s">
        <v>215</v>
      </c>
      <c r="AC203">
        <v>202</v>
      </c>
    </row>
    <row r="204" spans="1:29" ht="16.5" customHeight="1" x14ac:dyDescent="0.2">
      <c r="A204" s="6" t="str">
        <f t="shared" si="7"/>
        <v>SDATOOL-38538 $ Equipos y Mobiliario CSF 2022</v>
      </c>
      <c r="B204" s="4" t="s">
        <v>1336</v>
      </c>
      <c r="C204" s="4" t="s">
        <v>1337</v>
      </c>
      <c r="D204" s="4" t="s">
        <v>183</v>
      </c>
      <c r="E204" s="4" t="s">
        <v>1338</v>
      </c>
      <c r="F204" s="4" t="s">
        <v>35</v>
      </c>
      <c r="G204" s="4" t="s">
        <v>185</v>
      </c>
      <c r="H204" s="4" t="s">
        <v>186</v>
      </c>
      <c r="J204" s="4" t="s">
        <v>431</v>
      </c>
      <c r="K204" s="4" t="s">
        <v>770</v>
      </c>
      <c r="L204" s="4" t="s">
        <v>386</v>
      </c>
      <c r="M204" s="4" t="s">
        <v>1339</v>
      </c>
      <c r="N204" s="4" t="s">
        <v>15</v>
      </c>
      <c r="O204" s="13" t="s">
        <v>738</v>
      </c>
      <c r="P204" s="13" t="s">
        <v>1326</v>
      </c>
      <c r="R204" s="4" t="s">
        <v>366</v>
      </c>
      <c r="S204" s="7" t="e">
        <f ca="1">IF(_xludf.ifna(VLOOKUP(B204,Parámetros!#REF!,1,0),"")="","No","Sí")</f>
        <v>#NAME?</v>
      </c>
      <c r="T204" s="7" t="str">
        <f t="shared" si="8"/>
        <v>No normativo</v>
      </c>
      <c r="U204" s="4" t="s">
        <v>195</v>
      </c>
      <c r="V204" s="4" t="s">
        <v>1327</v>
      </c>
      <c r="W204" s="4" t="s">
        <v>300</v>
      </c>
      <c r="X204" s="4" t="s">
        <v>562</v>
      </c>
      <c r="Y204" s="4" t="s">
        <v>563</v>
      </c>
      <c r="Z204" s="4">
        <v>0</v>
      </c>
      <c r="AA204" s="5">
        <v>206320178</v>
      </c>
      <c r="AB204" s="4" t="s">
        <v>215</v>
      </c>
      <c r="AC204">
        <v>203</v>
      </c>
    </row>
    <row r="205" spans="1:29" ht="16.5" hidden="1" customHeight="1" x14ac:dyDescent="0.2">
      <c r="A205" s="6" t="str">
        <f t="shared" si="7"/>
        <v>SDATOOL-38582 $ Optimización y mejora en la cascada de apertura de cuentas</v>
      </c>
      <c r="B205" s="4" t="s">
        <v>1340</v>
      </c>
      <c r="C205" s="4" t="s">
        <v>1341</v>
      </c>
      <c r="D205" s="4" t="s">
        <v>183</v>
      </c>
      <c r="E205" s="4" t="s">
        <v>1342</v>
      </c>
      <c r="F205" s="4" t="s">
        <v>35</v>
      </c>
      <c r="G205" s="4" t="s">
        <v>185</v>
      </c>
      <c r="H205" s="4" t="s">
        <v>203</v>
      </c>
      <c r="J205" s="4" t="s">
        <v>431</v>
      </c>
      <c r="K205" s="4" t="s">
        <v>770</v>
      </c>
      <c r="L205" s="4" t="s">
        <v>206</v>
      </c>
      <c r="M205" s="4" t="s">
        <v>1343</v>
      </c>
      <c r="N205" s="4" t="s">
        <v>36</v>
      </c>
      <c r="O205" s="13" t="s">
        <v>676</v>
      </c>
      <c r="P205" s="13" t="s">
        <v>308</v>
      </c>
      <c r="Q205" s="13" t="s">
        <v>767</v>
      </c>
      <c r="R205" s="4" t="s">
        <v>366</v>
      </c>
      <c r="S205" s="7" t="e">
        <f ca="1">IF(_xludf.ifna(VLOOKUP(B205,Parámetros!#REF!,1,0),"")="","No","Sí")</f>
        <v>#NAME?</v>
      </c>
      <c r="T205" s="7" t="str">
        <f t="shared" si="8"/>
        <v>No normativo</v>
      </c>
      <c r="U205" s="4" t="s">
        <v>195</v>
      </c>
      <c r="V205" s="4" t="s">
        <v>39</v>
      </c>
      <c r="W205" s="4" t="s">
        <v>300</v>
      </c>
      <c r="X205" s="4" t="s">
        <v>301</v>
      </c>
      <c r="Y205" s="4" t="s">
        <v>302</v>
      </c>
      <c r="Z205" s="4">
        <v>0</v>
      </c>
      <c r="AA205" s="5">
        <v>57422325</v>
      </c>
      <c r="AB205" s="4" t="s">
        <v>215</v>
      </c>
      <c r="AC205">
        <v>204</v>
      </c>
    </row>
    <row r="206" spans="1:29" ht="16.5" customHeight="1" x14ac:dyDescent="0.2">
      <c r="A206" s="6" t="str">
        <f t="shared" si="7"/>
        <v>SDATOOL-38583 $ FUSIONES Y ACTUALIZACION DE IDENTIFICACIONES</v>
      </c>
      <c r="B206" s="4" t="s">
        <v>1344</v>
      </c>
      <c r="C206" s="4" t="s">
        <v>1345</v>
      </c>
      <c r="D206" s="4" t="s">
        <v>763</v>
      </c>
      <c r="E206" s="4" t="s">
        <v>1346</v>
      </c>
      <c r="F206" s="4" t="s">
        <v>50</v>
      </c>
      <c r="G206" s="4" t="s">
        <v>185</v>
      </c>
      <c r="H206" s="4" t="s">
        <v>186</v>
      </c>
      <c r="J206" s="4" t="s">
        <v>204</v>
      </c>
      <c r="K206" s="4" t="s">
        <v>962</v>
      </c>
      <c r="L206" s="4" t="s">
        <v>394</v>
      </c>
      <c r="M206" s="4" t="s">
        <v>1347</v>
      </c>
      <c r="N206" s="4" t="s">
        <v>15</v>
      </c>
      <c r="O206" s="13" t="s">
        <v>568</v>
      </c>
      <c r="P206" s="13" t="s">
        <v>455</v>
      </c>
      <c r="Q206" s="13" t="s">
        <v>318</v>
      </c>
      <c r="R206" s="4" t="s">
        <v>457</v>
      </c>
      <c r="S206" s="7" t="e">
        <f ca="1">IF(_xludf.ifna(VLOOKUP(B206,Parámetros!#REF!,1,0),"")="","No","Sí")</f>
        <v>#NAME?</v>
      </c>
      <c r="T206" s="7" t="str">
        <f t="shared" si="8"/>
        <v>No normativo</v>
      </c>
      <c r="U206" s="4" t="s">
        <v>224</v>
      </c>
      <c r="V206" s="4" t="s">
        <v>39</v>
      </c>
      <c r="W206" s="4" t="s">
        <v>196</v>
      </c>
      <c r="X206" s="4" t="s">
        <v>246</v>
      </c>
      <c r="Y206" s="4" t="s">
        <v>265</v>
      </c>
      <c r="Z206" s="5">
        <v>192931879</v>
      </c>
      <c r="AA206" s="5">
        <v>195494725</v>
      </c>
      <c r="AB206" s="4" t="s">
        <v>180</v>
      </c>
      <c r="AC206">
        <v>205</v>
      </c>
    </row>
    <row r="207" spans="1:29" ht="16.5" customHeight="1" x14ac:dyDescent="0.2">
      <c r="A207" s="6" t="str">
        <f t="shared" si="7"/>
        <v>SDATOOL-38589 $ Mandatorio tokenización</v>
      </c>
      <c r="B207" s="4" t="s">
        <v>1348</v>
      </c>
      <c r="C207" s="4" t="s">
        <v>1349</v>
      </c>
      <c r="D207" s="4" t="s">
        <v>183</v>
      </c>
      <c r="E207" s="4" t="s">
        <v>1350</v>
      </c>
      <c r="F207" s="4" t="s">
        <v>28</v>
      </c>
      <c r="G207" s="4" t="s">
        <v>185</v>
      </c>
      <c r="H207" s="4" t="s">
        <v>186</v>
      </c>
      <c r="J207" s="4" t="s">
        <v>204</v>
      </c>
      <c r="K207" s="4" t="s">
        <v>770</v>
      </c>
      <c r="L207" s="4" t="s">
        <v>314</v>
      </c>
      <c r="M207" s="4" t="s">
        <v>540</v>
      </c>
      <c r="N207" s="4" t="s">
        <v>29</v>
      </c>
      <c r="O207" s="13" t="s">
        <v>480</v>
      </c>
      <c r="P207" s="13" t="s">
        <v>548</v>
      </c>
      <c r="Q207" s="13" t="s">
        <v>555</v>
      </c>
      <c r="R207" s="4" t="s">
        <v>366</v>
      </c>
      <c r="S207" s="7" t="e">
        <f ca="1">IF(_xludf.ifna(VLOOKUP(B207,Parámetros!#REF!,1,0),"")="","No","Sí")</f>
        <v>#NAME?</v>
      </c>
      <c r="T207" s="7" t="str">
        <f t="shared" si="8"/>
        <v>No normativo</v>
      </c>
      <c r="U207" s="4" t="s">
        <v>195</v>
      </c>
      <c r="V207" s="4" t="s">
        <v>39</v>
      </c>
      <c r="W207" s="4" t="s">
        <v>300</v>
      </c>
      <c r="X207" s="4" t="s">
        <v>301</v>
      </c>
      <c r="Y207" s="4" t="s">
        <v>302</v>
      </c>
      <c r="Z207" s="5">
        <v>7729630</v>
      </c>
      <c r="AA207" s="5">
        <v>26845818</v>
      </c>
      <c r="AB207" s="4" t="s">
        <v>180</v>
      </c>
      <c r="AC207">
        <v>206</v>
      </c>
    </row>
    <row r="208" spans="1:29" ht="16.5" customHeight="1" x14ac:dyDescent="0.2">
      <c r="A208" s="6" t="str">
        <f t="shared" si="7"/>
        <v>SDATOOL-38590 $ Inhouses CIB 2022</v>
      </c>
      <c r="B208" s="4" t="s">
        <v>1351</v>
      </c>
      <c r="C208" s="4" t="s">
        <v>1352</v>
      </c>
      <c r="D208" s="4" t="s">
        <v>183</v>
      </c>
      <c r="E208" s="4" t="s">
        <v>1353</v>
      </c>
      <c r="F208" s="4" t="s">
        <v>21</v>
      </c>
      <c r="G208" s="4" t="s">
        <v>185</v>
      </c>
      <c r="H208" s="4" t="s">
        <v>186</v>
      </c>
      <c r="J208" s="4" t="s">
        <v>187</v>
      </c>
      <c r="K208" s="4" t="s">
        <v>770</v>
      </c>
      <c r="L208" s="4" t="s">
        <v>386</v>
      </c>
      <c r="M208" s="4" t="s">
        <v>1354</v>
      </c>
      <c r="N208" s="4" t="s">
        <v>29</v>
      </c>
      <c r="O208" s="13" t="s">
        <v>1355</v>
      </c>
      <c r="P208" s="13" t="s">
        <v>1356</v>
      </c>
      <c r="Q208" s="13" t="s">
        <v>1357</v>
      </c>
      <c r="S208" s="7" t="e">
        <f ca="1">IF(_xludf.ifna(VLOOKUP(B208,Parámetros!#REF!,1,0),"")="","No","Sí")</f>
        <v>#NAME?</v>
      </c>
      <c r="T208" s="7" t="str">
        <f t="shared" si="8"/>
        <v>No normativo</v>
      </c>
      <c r="U208" s="4" t="s">
        <v>195</v>
      </c>
      <c r="V208" s="4" t="s">
        <v>39</v>
      </c>
      <c r="W208" s="4" t="s">
        <v>196</v>
      </c>
      <c r="X208" s="4" t="s">
        <v>426</v>
      </c>
      <c r="Y208" s="4" t="s">
        <v>427</v>
      </c>
      <c r="Z208" s="5">
        <v>1323313891</v>
      </c>
      <c r="AA208" s="5">
        <v>1509904784</v>
      </c>
      <c r="AB208" s="4" t="s">
        <v>215</v>
      </c>
      <c r="AC208">
        <v>207</v>
      </c>
    </row>
    <row r="209" spans="1:29" ht="16.5" hidden="1" customHeight="1" x14ac:dyDescent="0.2">
      <c r="A209" s="6" t="str">
        <f t="shared" si="7"/>
        <v>SDATOOL-38607 $ Adecuaciones físicas y dotaciones Banca Retail</v>
      </c>
      <c r="B209" s="4" t="s">
        <v>1358</v>
      </c>
      <c r="C209" s="4" t="s">
        <v>1359</v>
      </c>
      <c r="D209" s="4" t="s">
        <v>183</v>
      </c>
      <c r="E209" s="4" t="s">
        <v>1360</v>
      </c>
      <c r="F209" s="4" t="s">
        <v>35</v>
      </c>
      <c r="G209" s="4" t="s">
        <v>185</v>
      </c>
      <c r="H209" s="4" t="s">
        <v>203</v>
      </c>
      <c r="J209" s="4" t="s">
        <v>431</v>
      </c>
      <c r="K209" s="4" t="s">
        <v>770</v>
      </c>
      <c r="L209" s="4" t="s">
        <v>206</v>
      </c>
      <c r="M209" s="4" t="s">
        <v>1361</v>
      </c>
      <c r="N209" s="4" t="s">
        <v>29</v>
      </c>
      <c r="O209" s="13" t="s">
        <v>738</v>
      </c>
      <c r="P209" s="13" t="s">
        <v>1362</v>
      </c>
      <c r="R209" s="4" t="s">
        <v>366</v>
      </c>
      <c r="S209" s="7" t="e">
        <f ca="1">IF(_xludf.ifna(VLOOKUP(B209,Parámetros!#REF!,1,0),"")="","No","Sí")</f>
        <v>#NAME?</v>
      </c>
      <c r="T209" s="7" t="str">
        <f t="shared" si="8"/>
        <v>No normativo</v>
      </c>
      <c r="U209" s="4" t="s">
        <v>195</v>
      </c>
      <c r="V209" s="4" t="s">
        <v>39</v>
      </c>
      <c r="W209" s="4" t="s">
        <v>300</v>
      </c>
      <c r="X209" s="4" t="s">
        <v>301</v>
      </c>
      <c r="Y209" s="4" t="s">
        <v>302</v>
      </c>
      <c r="Z209" s="5">
        <v>4635243</v>
      </c>
      <c r="AA209" s="5">
        <v>62766054</v>
      </c>
      <c r="AB209" s="4" t="s">
        <v>215</v>
      </c>
      <c r="AC209">
        <v>208</v>
      </c>
    </row>
    <row r="210" spans="1:29" ht="16.5" hidden="1" customHeight="1" x14ac:dyDescent="0.2">
      <c r="A210" s="6" t="str">
        <f t="shared" si="7"/>
        <v>SDATOOL-38620 $ Generación informe cobro de comisiones en ATMs</v>
      </c>
      <c r="B210" s="4" t="s">
        <v>1363</v>
      </c>
      <c r="C210" s="4" t="s">
        <v>1364</v>
      </c>
      <c r="D210" s="4" t="s">
        <v>183</v>
      </c>
      <c r="E210" s="4" t="s">
        <v>1365</v>
      </c>
      <c r="F210" s="4" t="s">
        <v>28</v>
      </c>
      <c r="G210" s="4" t="s">
        <v>185</v>
      </c>
      <c r="H210" s="4" t="s">
        <v>203</v>
      </c>
      <c r="J210" s="4" t="s">
        <v>204</v>
      </c>
      <c r="K210" s="4" t="s">
        <v>962</v>
      </c>
      <c r="L210" s="4" t="s">
        <v>206</v>
      </c>
      <c r="M210" s="4" t="s">
        <v>540</v>
      </c>
      <c r="N210" s="4" t="s">
        <v>29</v>
      </c>
      <c r="O210" s="13" t="s">
        <v>530</v>
      </c>
      <c r="P210" s="13" t="s">
        <v>911</v>
      </c>
      <c r="Q210" s="13" t="s">
        <v>911</v>
      </c>
      <c r="S210" s="7" t="e">
        <f ca="1">IF(_xludf.ifna(VLOOKUP(B210,Parámetros!#REF!,1,0),"")="","No","Sí")</f>
        <v>#NAME?</v>
      </c>
      <c r="T210" s="7" t="str">
        <f t="shared" si="8"/>
        <v>No normativo</v>
      </c>
      <c r="U210" s="4" t="s">
        <v>195</v>
      </c>
      <c r="V210" s="4" t="s">
        <v>39</v>
      </c>
      <c r="W210" s="4" t="s">
        <v>300</v>
      </c>
      <c r="X210" s="4" t="s">
        <v>301</v>
      </c>
      <c r="Y210" s="4" t="s">
        <v>302</v>
      </c>
      <c r="Z210" s="4">
        <v>0</v>
      </c>
      <c r="AA210" s="5">
        <v>49993446</v>
      </c>
      <c r="AB210" s="4" t="s">
        <v>215</v>
      </c>
      <c r="AC210">
        <v>209</v>
      </c>
    </row>
    <row r="211" spans="1:29" ht="16.5" customHeight="1" x14ac:dyDescent="0.2">
      <c r="A211" s="6" t="str">
        <f t="shared" si="7"/>
        <v>SDATOOL-38626 $ Ajuste CVA-DVA Días no hábiles</v>
      </c>
      <c r="B211" s="4" t="s">
        <v>1366</v>
      </c>
      <c r="C211" s="4" t="s">
        <v>1367</v>
      </c>
      <c r="D211" s="4" t="s">
        <v>183</v>
      </c>
      <c r="E211" s="4" t="s">
        <v>1368</v>
      </c>
      <c r="F211" s="4" t="s">
        <v>50</v>
      </c>
      <c r="G211" s="4" t="s">
        <v>185</v>
      </c>
      <c r="H211" s="4" t="s">
        <v>186</v>
      </c>
      <c r="J211" s="4" t="s">
        <v>187</v>
      </c>
      <c r="K211" s="4" t="s">
        <v>962</v>
      </c>
      <c r="L211" s="4" t="s">
        <v>386</v>
      </c>
      <c r="M211" s="4" t="s">
        <v>1369</v>
      </c>
      <c r="N211" s="4" t="s">
        <v>15</v>
      </c>
      <c r="O211" s="13" t="s">
        <v>1370</v>
      </c>
      <c r="P211" s="13" t="s">
        <v>279</v>
      </c>
      <c r="Q211" s="13" t="s">
        <v>193</v>
      </c>
      <c r="R211" s="4" t="s">
        <v>1371</v>
      </c>
      <c r="S211" s="7" t="e">
        <f ca="1">IF(_xludf.ifna(VLOOKUP(B211,Parámetros!#REF!,1,0),"")="","No","Sí")</f>
        <v>#NAME?</v>
      </c>
      <c r="T211" s="7" t="str">
        <f t="shared" si="8"/>
        <v>No normativo</v>
      </c>
      <c r="U211" s="4" t="s">
        <v>195</v>
      </c>
      <c r="V211" s="4" t="s">
        <v>39</v>
      </c>
      <c r="W211" s="4" t="s">
        <v>196</v>
      </c>
      <c r="X211" s="4" t="s">
        <v>225</v>
      </c>
      <c r="Y211" s="4" t="s">
        <v>1372</v>
      </c>
      <c r="Z211" s="5">
        <v>30325382</v>
      </c>
      <c r="AA211" s="5">
        <v>83580260</v>
      </c>
      <c r="AB211" s="4" t="s">
        <v>215</v>
      </c>
      <c r="AC211">
        <v>210</v>
      </c>
    </row>
    <row r="212" spans="1:29" ht="16.5" customHeight="1" x14ac:dyDescent="0.2">
      <c r="A212" s="6" t="str">
        <f t="shared" si="7"/>
        <v>SDATOOL-38642 $ CUPON INTERMEDIO</v>
      </c>
      <c r="B212" s="4" t="s">
        <v>1373</v>
      </c>
      <c r="C212" s="4" t="s">
        <v>1374</v>
      </c>
      <c r="D212" s="4" t="s">
        <v>183</v>
      </c>
      <c r="E212" s="4" t="s">
        <v>1375</v>
      </c>
      <c r="F212" s="4" t="s">
        <v>50</v>
      </c>
      <c r="G212" s="4" t="s">
        <v>185</v>
      </c>
      <c r="H212" s="4" t="s">
        <v>186</v>
      </c>
      <c r="I212" s="4" t="s">
        <v>186</v>
      </c>
      <c r="K212" s="4" t="s">
        <v>386</v>
      </c>
      <c r="L212" s="4" t="s">
        <v>314</v>
      </c>
      <c r="M212" s="4" t="s">
        <v>1376</v>
      </c>
      <c r="N212" s="4" t="s">
        <v>15</v>
      </c>
      <c r="O212" s="13" t="s">
        <v>1370</v>
      </c>
      <c r="P212" s="13" t="s">
        <v>462</v>
      </c>
      <c r="Q212" s="13" t="s">
        <v>1377</v>
      </c>
      <c r="R212" s="4" t="s">
        <v>1378</v>
      </c>
      <c r="S212" s="7" t="e">
        <f ca="1">IF(_xludf.ifna(VLOOKUP(B212,Parámetros!#REF!,1,0),"")="","No","Sí")</f>
        <v>#NAME?</v>
      </c>
      <c r="T212" s="7" t="str">
        <f t="shared" si="8"/>
        <v>No normativo</v>
      </c>
      <c r="U212" s="4" t="s">
        <v>195</v>
      </c>
      <c r="V212" s="4" t="s">
        <v>39</v>
      </c>
      <c r="W212" s="4" t="s">
        <v>196</v>
      </c>
      <c r="X212" s="4" t="s">
        <v>328</v>
      </c>
      <c r="Y212" s="4" t="s">
        <v>1379</v>
      </c>
      <c r="Z212" s="4">
        <v>0</v>
      </c>
      <c r="AA212" s="5">
        <v>259331400</v>
      </c>
      <c r="AB212" s="4" t="s">
        <v>180</v>
      </c>
      <c r="AC212">
        <v>211</v>
      </c>
    </row>
    <row r="213" spans="1:29" ht="16.5" customHeight="1" x14ac:dyDescent="0.2">
      <c r="A213" s="6" t="str">
        <f t="shared" si="7"/>
        <v>SDATOOL-38693 $ Optimización oferta D+0 y ADN en canal digital</v>
      </c>
      <c r="B213" s="4" t="s">
        <v>1380</v>
      </c>
      <c r="C213" s="4" t="s">
        <v>1381</v>
      </c>
      <c r="D213" s="4" t="s">
        <v>183</v>
      </c>
      <c r="E213" s="4" t="s">
        <v>1382</v>
      </c>
      <c r="F213" s="4" t="s">
        <v>28</v>
      </c>
      <c r="G213" s="4" t="s">
        <v>185</v>
      </c>
      <c r="H213" s="4" t="s">
        <v>186</v>
      </c>
      <c r="J213" s="4" t="s">
        <v>204</v>
      </c>
      <c r="K213" s="4" t="s">
        <v>770</v>
      </c>
      <c r="L213" s="4" t="s">
        <v>386</v>
      </c>
      <c r="M213" s="4" t="s">
        <v>529</v>
      </c>
      <c r="N213" s="4" t="s">
        <v>22</v>
      </c>
      <c r="O213" s="13" t="s">
        <v>480</v>
      </c>
      <c r="P213" s="13" t="s">
        <v>683</v>
      </c>
      <c r="Q213" s="13" t="s">
        <v>441</v>
      </c>
      <c r="S213" s="7" t="e">
        <f ca="1">IF(_xludf.ifna(VLOOKUP(B213,Parámetros!#REF!,1,0),"")="","No","Sí")</f>
        <v>#NAME?</v>
      </c>
      <c r="T213" s="7" t="str">
        <f t="shared" si="8"/>
        <v>No normativo</v>
      </c>
      <c r="U213" s="4" t="s">
        <v>195</v>
      </c>
      <c r="V213" s="4" t="s">
        <v>39</v>
      </c>
      <c r="W213" s="4" t="s">
        <v>233</v>
      </c>
      <c r="X213" s="4" t="s">
        <v>92</v>
      </c>
      <c r="Y213" s="4" t="s">
        <v>533</v>
      </c>
      <c r="Z213" s="5">
        <v>129767884</v>
      </c>
      <c r="AA213" s="5">
        <v>383078801</v>
      </c>
      <c r="AB213" s="4" t="s">
        <v>215</v>
      </c>
      <c r="AC213">
        <v>212</v>
      </c>
    </row>
    <row r="214" spans="1:29" ht="16.5" customHeight="1" x14ac:dyDescent="0.2">
      <c r="A214" s="6" t="str">
        <f t="shared" si="7"/>
        <v>SDATOOL-38729 $ Mi CB Liviano 2022</v>
      </c>
      <c r="B214" s="4" t="s">
        <v>1383</v>
      </c>
      <c r="C214" s="4" t="s">
        <v>1384</v>
      </c>
      <c r="D214" s="4" t="s">
        <v>183</v>
      </c>
      <c r="E214" s="4" t="s">
        <v>1385</v>
      </c>
      <c r="F214" s="4" t="s">
        <v>21</v>
      </c>
      <c r="G214" s="4" t="s">
        <v>185</v>
      </c>
      <c r="H214" s="4" t="s">
        <v>186</v>
      </c>
      <c r="J214" s="4" t="s">
        <v>204</v>
      </c>
      <c r="K214" s="4" t="s">
        <v>962</v>
      </c>
      <c r="L214" s="4" t="s">
        <v>386</v>
      </c>
      <c r="M214" s="4" t="s">
        <v>1386</v>
      </c>
      <c r="N214" s="4" t="s">
        <v>44</v>
      </c>
      <c r="O214" s="13" t="s">
        <v>1355</v>
      </c>
      <c r="P214" s="13" t="s">
        <v>947</v>
      </c>
      <c r="Q214" s="13" t="s">
        <v>638</v>
      </c>
      <c r="S214" s="7" t="e">
        <f ca="1">IF(_xludf.ifna(VLOOKUP(B214,Parámetros!#REF!,1,0),"")="","No","Sí")</f>
        <v>#NAME?</v>
      </c>
      <c r="T214" s="7" t="str">
        <f t="shared" si="8"/>
        <v>No normativo</v>
      </c>
      <c r="U214" s="4" t="s">
        <v>195</v>
      </c>
      <c r="V214" s="4" t="s">
        <v>39</v>
      </c>
      <c r="W214" s="4" t="s">
        <v>233</v>
      </c>
      <c r="X214" s="4" t="s">
        <v>234</v>
      </c>
      <c r="Y214" s="4" t="s">
        <v>948</v>
      </c>
      <c r="Z214" s="5">
        <v>99999976</v>
      </c>
      <c r="AA214" s="5">
        <v>149999863</v>
      </c>
      <c r="AB214" s="4" t="s">
        <v>215</v>
      </c>
      <c r="AC214">
        <v>213</v>
      </c>
    </row>
    <row r="215" spans="1:29" ht="16.5" hidden="1" customHeight="1" x14ac:dyDescent="0.2">
      <c r="A215" s="6" t="str">
        <f t="shared" si="7"/>
        <v>SDATOOL-38730 $ Tarjeta de crédito E2E digital fase II</v>
      </c>
      <c r="B215" s="4" t="s">
        <v>1387</v>
      </c>
      <c r="C215" s="4" t="s">
        <v>1388</v>
      </c>
      <c r="D215" s="4" t="s">
        <v>183</v>
      </c>
      <c r="E215" s="4" t="s">
        <v>1389</v>
      </c>
      <c r="F215" s="4" t="s">
        <v>28</v>
      </c>
      <c r="G215" s="4" t="s">
        <v>185</v>
      </c>
      <c r="H215" s="4" t="s">
        <v>203</v>
      </c>
      <c r="J215" s="4" t="s">
        <v>204</v>
      </c>
      <c r="K215" s="4" t="s">
        <v>770</v>
      </c>
      <c r="L215" s="4" t="s">
        <v>206</v>
      </c>
      <c r="M215" s="4" t="s">
        <v>529</v>
      </c>
      <c r="N215" s="4" t="s">
        <v>29</v>
      </c>
      <c r="O215" s="13" t="s">
        <v>480</v>
      </c>
      <c r="P215" s="13" t="s">
        <v>701</v>
      </c>
      <c r="Q215" s="13" t="s">
        <v>555</v>
      </c>
      <c r="S215" s="7" t="e">
        <f ca="1">IF(_xludf.ifna(VLOOKUP(B215,Parámetros!#REF!,1,0),"")="","No","Sí")</f>
        <v>#NAME?</v>
      </c>
      <c r="T215" s="7" t="str">
        <f t="shared" si="8"/>
        <v>No normativo</v>
      </c>
      <c r="U215" s="4" t="s">
        <v>195</v>
      </c>
      <c r="V215" s="4" t="s">
        <v>39</v>
      </c>
      <c r="W215" s="4" t="s">
        <v>233</v>
      </c>
      <c r="X215" s="4" t="s">
        <v>92</v>
      </c>
      <c r="Y215" s="4" t="s">
        <v>533</v>
      </c>
      <c r="Z215" s="5">
        <v>31444183</v>
      </c>
      <c r="AA215" s="5">
        <v>294054170</v>
      </c>
      <c r="AB215" s="4" t="s">
        <v>215</v>
      </c>
      <c r="AC215">
        <v>214</v>
      </c>
    </row>
    <row r="216" spans="1:29" ht="16.5" customHeight="1" x14ac:dyDescent="0.2">
      <c r="A216" s="6" t="str">
        <f t="shared" si="7"/>
        <v>SDATOOL-38731 $ Prenotificaciones Canales Directos</v>
      </c>
      <c r="B216" s="4" t="s">
        <v>1390</v>
      </c>
      <c r="C216" s="4" t="s">
        <v>1391</v>
      </c>
      <c r="D216" s="4" t="s">
        <v>183</v>
      </c>
      <c r="E216" s="4" t="s">
        <v>1392</v>
      </c>
      <c r="F216" s="4" t="s">
        <v>21</v>
      </c>
      <c r="G216" s="4" t="s">
        <v>185</v>
      </c>
      <c r="H216" s="4" t="s">
        <v>186</v>
      </c>
      <c r="J216" s="4" t="s">
        <v>204</v>
      </c>
      <c r="K216" s="4" t="s">
        <v>962</v>
      </c>
      <c r="L216" s="4" t="s">
        <v>386</v>
      </c>
      <c r="M216" s="4" t="s">
        <v>1393</v>
      </c>
      <c r="N216" s="4" t="s">
        <v>44</v>
      </c>
      <c r="O216" s="13" t="s">
        <v>1355</v>
      </c>
      <c r="P216" s="13" t="s">
        <v>1394</v>
      </c>
      <c r="Q216" s="13" t="s">
        <v>519</v>
      </c>
      <c r="S216" s="7" t="e">
        <f ca="1">IF(_xludf.ifna(VLOOKUP(B216,Parámetros!#REF!,1,0),"")="","No","Sí")</f>
        <v>#NAME?</v>
      </c>
      <c r="T216" s="7" t="str">
        <f t="shared" si="8"/>
        <v>No normativo</v>
      </c>
      <c r="U216" s="4" t="s">
        <v>195</v>
      </c>
      <c r="V216" s="4" t="s">
        <v>39</v>
      </c>
      <c r="W216" s="4" t="s">
        <v>233</v>
      </c>
      <c r="X216" s="4" t="s">
        <v>234</v>
      </c>
      <c r="Y216" s="4" t="s">
        <v>948</v>
      </c>
      <c r="Z216" s="5">
        <v>26051778</v>
      </c>
      <c r="AA216" s="5">
        <v>34948147</v>
      </c>
      <c r="AB216" s="4" t="s">
        <v>215</v>
      </c>
      <c r="AC216">
        <v>215</v>
      </c>
    </row>
    <row r="217" spans="1:29" ht="16.5" hidden="1" customHeight="1" x14ac:dyDescent="0.2">
      <c r="A217" s="6" t="str">
        <f t="shared" si="7"/>
        <v>SDATOOL-38732 $ Marketplace</v>
      </c>
      <c r="B217" s="4" t="s">
        <v>1395</v>
      </c>
      <c r="C217" s="4" t="s">
        <v>1396</v>
      </c>
      <c r="D217" s="4" t="s">
        <v>763</v>
      </c>
      <c r="E217" s="4" t="s">
        <v>1397</v>
      </c>
      <c r="F217" s="4" t="s">
        <v>21</v>
      </c>
      <c r="G217" s="4" t="s">
        <v>185</v>
      </c>
      <c r="H217" s="4" t="s">
        <v>203</v>
      </c>
      <c r="J217" s="4" t="s">
        <v>204</v>
      </c>
      <c r="K217" s="4" t="s">
        <v>962</v>
      </c>
      <c r="L217" s="4" t="s">
        <v>206</v>
      </c>
      <c r="M217" s="4" t="s">
        <v>1398</v>
      </c>
      <c r="N217" s="4" t="s">
        <v>44</v>
      </c>
      <c r="O217" s="13" t="s">
        <v>1355</v>
      </c>
      <c r="P217" s="13" t="s">
        <v>1356</v>
      </c>
      <c r="Q217" s="13" t="s">
        <v>555</v>
      </c>
      <c r="S217" s="7" t="e">
        <f ca="1">IF(_xludf.ifna(VLOOKUP(B217,Parámetros!#REF!,1,0),"")="","No","Sí")</f>
        <v>#NAME?</v>
      </c>
      <c r="T217" s="7" t="str">
        <f t="shared" si="8"/>
        <v>No normativo</v>
      </c>
      <c r="U217" s="4" t="s">
        <v>195</v>
      </c>
      <c r="V217" s="4" t="s">
        <v>39</v>
      </c>
      <c r="W217" s="4" t="s">
        <v>233</v>
      </c>
      <c r="X217" s="4" t="s">
        <v>234</v>
      </c>
      <c r="Y217" s="4" t="s">
        <v>948</v>
      </c>
      <c r="Z217" s="4">
        <v>0</v>
      </c>
      <c r="AA217" s="4">
        <v>0</v>
      </c>
      <c r="AB217" s="4" t="s">
        <v>215</v>
      </c>
      <c r="AC217">
        <v>216</v>
      </c>
    </row>
    <row r="218" spans="1:29" ht="16.5" customHeight="1" x14ac:dyDescent="0.2">
      <c r="A218" s="6" t="str">
        <f t="shared" si="7"/>
        <v>SDATOOL-38735 $ Dynamic Pricing</v>
      </c>
      <c r="B218" s="4" t="s">
        <v>1399</v>
      </c>
      <c r="C218" s="4" t="s">
        <v>1400</v>
      </c>
      <c r="D218" s="4" t="s">
        <v>183</v>
      </c>
      <c r="E218" s="4" t="s">
        <v>1401</v>
      </c>
      <c r="F218" s="4" t="s">
        <v>21</v>
      </c>
      <c r="G218" s="4" t="s">
        <v>185</v>
      </c>
      <c r="H218" s="4" t="s">
        <v>186</v>
      </c>
      <c r="I218" s="4" t="s">
        <v>186</v>
      </c>
      <c r="K218" s="4" t="s">
        <v>962</v>
      </c>
      <c r="L218" s="4" t="s">
        <v>189</v>
      </c>
      <c r="M218" s="4" t="s">
        <v>418</v>
      </c>
      <c r="N218" s="4" t="s">
        <v>44</v>
      </c>
      <c r="O218" s="13" t="s">
        <v>419</v>
      </c>
      <c r="P218" s="13" t="s">
        <v>419</v>
      </c>
      <c r="Q218" s="13" t="s">
        <v>193</v>
      </c>
      <c r="S218" s="7" t="e">
        <f ca="1">IF(_xludf.ifna(VLOOKUP(B218,Parámetros!#REF!,1,0),"")="","No","Sí")</f>
        <v>#NAME?</v>
      </c>
      <c r="T218" s="7" t="str">
        <f t="shared" si="8"/>
        <v>No normativo</v>
      </c>
      <c r="U218" s="4" t="s">
        <v>195</v>
      </c>
      <c r="V218" s="4" t="s">
        <v>39</v>
      </c>
      <c r="W218" s="4" t="s">
        <v>233</v>
      </c>
      <c r="X218" s="4" t="s">
        <v>234</v>
      </c>
      <c r="Y218" s="4" t="s">
        <v>389</v>
      </c>
      <c r="Z218" s="5">
        <v>1167599529</v>
      </c>
      <c r="AA218" s="5">
        <v>975138825</v>
      </c>
      <c r="AB218" s="4" t="s">
        <v>180</v>
      </c>
      <c r="AC218">
        <v>217</v>
      </c>
    </row>
    <row r="219" spans="1:29" ht="16.5" customHeight="1" x14ac:dyDescent="0.2">
      <c r="A219" s="6" t="str">
        <f t="shared" si="7"/>
        <v>SDATOOL-38736 $ Creación Tercero Miembro No Liquidador CRCC</v>
      </c>
      <c r="B219" s="4" t="s">
        <v>1402</v>
      </c>
      <c r="C219" s="4" t="s">
        <v>1403</v>
      </c>
      <c r="D219" s="4" t="s">
        <v>183</v>
      </c>
      <c r="E219" s="4" t="s">
        <v>1404</v>
      </c>
      <c r="F219" s="4" t="s">
        <v>21</v>
      </c>
      <c r="G219" s="4" t="s">
        <v>185</v>
      </c>
      <c r="H219" s="4" t="s">
        <v>186</v>
      </c>
      <c r="J219" s="4" t="s">
        <v>204</v>
      </c>
      <c r="K219" s="4" t="s">
        <v>962</v>
      </c>
      <c r="L219" s="4" t="s">
        <v>386</v>
      </c>
      <c r="M219" s="4" t="s">
        <v>1405</v>
      </c>
      <c r="N219" s="4" t="s">
        <v>44</v>
      </c>
      <c r="O219" s="13" t="s">
        <v>1406</v>
      </c>
      <c r="P219" s="13" t="s">
        <v>1406</v>
      </c>
      <c r="Q219" s="13" t="s">
        <v>299</v>
      </c>
      <c r="S219" s="7" t="e">
        <f ca="1">IF(_xludf.ifna(VLOOKUP(B219,Parámetros!#REF!,1,0),"")="","No","Sí")</f>
        <v>#NAME?</v>
      </c>
      <c r="T219" s="7" t="str">
        <f t="shared" si="8"/>
        <v>No normativo</v>
      </c>
      <c r="U219" s="4" t="s">
        <v>195</v>
      </c>
      <c r="V219" s="4" t="s">
        <v>39</v>
      </c>
      <c r="W219" s="4" t="s">
        <v>233</v>
      </c>
      <c r="X219" s="4" t="s">
        <v>234</v>
      </c>
      <c r="Y219" s="4" t="s">
        <v>1407</v>
      </c>
      <c r="Z219" s="5">
        <v>33040847</v>
      </c>
      <c r="AA219" s="5">
        <v>99522689</v>
      </c>
      <c r="AB219" s="4" t="s">
        <v>215</v>
      </c>
      <c r="AC219">
        <v>218</v>
      </c>
    </row>
    <row r="220" spans="1:29" ht="16.5" customHeight="1" x14ac:dyDescent="0.2">
      <c r="A220" s="6" t="str">
        <f t="shared" si="7"/>
        <v>SDATOOL-38742 $ Gestor Documental Retail</v>
      </c>
      <c r="B220" s="4" t="s">
        <v>81</v>
      </c>
      <c r="C220" s="4" t="s">
        <v>1408</v>
      </c>
      <c r="D220" s="4" t="s">
        <v>183</v>
      </c>
      <c r="E220" s="4" t="s">
        <v>1409</v>
      </c>
      <c r="F220" s="4" t="s">
        <v>28</v>
      </c>
      <c r="G220" s="4" t="s">
        <v>185</v>
      </c>
      <c r="H220" s="4" t="s">
        <v>752</v>
      </c>
      <c r="I220" s="4" t="s">
        <v>186</v>
      </c>
      <c r="J220" s="4" t="s">
        <v>204</v>
      </c>
      <c r="K220" s="4" t="s">
        <v>962</v>
      </c>
      <c r="L220" s="4" t="s">
        <v>729</v>
      </c>
      <c r="M220" s="4" t="s">
        <v>423</v>
      </c>
      <c r="N220" s="4" t="s">
        <v>29</v>
      </c>
      <c r="O220" s="13" t="s">
        <v>412</v>
      </c>
      <c r="P220" s="13" t="s">
        <v>656</v>
      </c>
      <c r="Q220" s="13" t="s">
        <v>656</v>
      </c>
      <c r="S220" s="7" t="e">
        <f ca="1">IF(_xludf.ifna(VLOOKUP(B220,Parámetros!#REF!,1,0),"")="","No","Sí")</f>
        <v>#NAME?</v>
      </c>
      <c r="T220" s="7" t="str">
        <f t="shared" si="8"/>
        <v>No normativo</v>
      </c>
      <c r="U220" s="4" t="s">
        <v>195</v>
      </c>
      <c r="V220" s="4" t="s">
        <v>39</v>
      </c>
      <c r="W220" s="4" t="s">
        <v>196</v>
      </c>
      <c r="X220" s="4" t="s">
        <v>426</v>
      </c>
      <c r="Y220" s="4" t="s">
        <v>427</v>
      </c>
      <c r="Z220" s="5">
        <v>1440000000</v>
      </c>
      <c r="AA220" s="5">
        <v>1700000000</v>
      </c>
      <c r="AB220" s="4" t="s">
        <v>180</v>
      </c>
      <c r="AC220">
        <v>219</v>
      </c>
    </row>
    <row r="221" spans="1:29" ht="16.5" hidden="1" customHeight="1" x14ac:dyDescent="0.2">
      <c r="A221" s="6" t="str">
        <f t="shared" si="7"/>
        <v>SDATOOL-38752 $ Out House CIB 2022</v>
      </c>
      <c r="B221" s="4" t="s">
        <v>1410</v>
      </c>
      <c r="C221" s="4" t="s">
        <v>1411</v>
      </c>
      <c r="D221" s="4" t="s">
        <v>183</v>
      </c>
      <c r="E221" s="4" t="s">
        <v>1412</v>
      </c>
      <c r="F221" s="4" t="s">
        <v>21</v>
      </c>
      <c r="G221" s="4" t="s">
        <v>185</v>
      </c>
      <c r="H221" s="4" t="s">
        <v>203</v>
      </c>
      <c r="J221" s="4" t="s">
        <v>204</v>
      </c>
      <c r="K221" s="4" t="s">
        <v>962</v>
      </c>
      <c r="L221" s="4" t="s">
        <v>206</v>
      </c>
      <c r="M221" s="4" t="s">
        <v>1413</v>
      </c>
      <c r="N221" s="4" t="s">
        <v>44</v>
      </c>
      <c r="O221" s="13" t="s">
        <v>1414</v>
      </c>
      <c r="P221" s="13" t="s">
        <v>1415</v>
      </c>
      <c r="S221" s="7" t="e">
        <f ca="1">IF(_xludf.ifna(VLOOKUP(B221,Parámetros!#REF!,1,0),"")="","No","Sí")</f>
        <v>#NAME?</v>
      </c>
      <c r="T221" s="7" t="str">
        <f t="shared" si="8"/>
        <v>Normativo</v>
      </c>
      <c r="U221" s="4" t="s">
        <v>195</v>
      </c>
      <c r="V221" s="4" t="s">
        <v>39</v>
      </c>
      <c r="W221" s="4" t="s">
        <v>233</v>
      </c>
      <c r="X221" s="4" t="s">
        <v>234</v>
      </c>
      <c r="Y221" s="4" t="s">
        <v>435</v>
      </c>
      <c r="Z221" s="4">
        <v>0</v>
      </c>
      <c r="AA221" s="4">
        <v>0</v>
      </c>
      <c r="AB221" s="4" t="s">
        <v>215</v>
      </c>
      <c r="AC221">
        <v>220</v>
      </c>
    </row>
    <row r="222" spans="1:29" ht="16.5" customHeight="1" x14ac:dyDescent="0.2">
      <c r="A222" s="6" t="str">
        <f t="shared" si="7"/>
        <v>SDATOOL-38757 $ Modelo administrativo de oficina - Omnicanalidad</v>
      </c>
      <c r="B222" s="4" t="s">
        <v>85</v>
      </c>
      <c r="C222" s="4" t="s">
        <v>1416</v>
      </c>
      <c r="D222" s="4" t="s">
        <v>183</v>
      </c>
      <c r="E222" s="4" t="s">
        <v>1417</v>
      </c>
      <c r="F222" s="4" t="s">
        <v>28</v>
      </c>
      <c r="G222" s="4" t="s">
        <v>185</v>
      </c>
      <c r="H222" s="4" t="s">
        <v>186</v>
      </c>
      <c r="I222" s="4" t="s">
        <v>186</v>
      </c>
      <c r="J222" s="4" t="s">
        <v>204</v>
      </c>
      <c r="K222" s="4" t="s">
        <v>962</v>
      </c>
      <c r="L222" s="4" t="s">
        <v>729</v>
      </c>
      <c r="M222" s="4" t="s">
        <v>423</v>
      </c>
      <c r="N222" s="4" t="s">
        <v>29</v>
      </c>
      <c r="O222" s="13" t="s">
        <v>412</v>
      </c>
      <c r="P222" s="13" t="s">
        <v>1195</v>
      </c>
      <c r="Q222" s="13" t="s">
        <v>365</v>
      </c>
      <c r="S222" s="7" t="e">
        <f ca="1">IF(_xludf.ifna(VLOOKUP(B222,Parámetros!#REF!,1,0),"")="","No","Sí")</f>
        <v>#NAME?</v>
      </c>
      <c r="T222" s="7" t="str">
        <f t="shared" si="8"/>
        <v>No normativo</v>
      </c>
      <c r="U222" s="4" t="s">
        <v>195</v>
      </c>
      <c r="V222" s="4" t="s">
        <v>39</v>
      </c>
      <c r="W222" s="4" t="s">
        <v>196</v>
      </c>
      <c r="X222" s="4" t="s">
        <v>426</v>
      </c>
      <c r="Y222" s="4" t="s">
        <v>427</v>
      </c>
      <c r="Z222" s="5">
        <v>1641664395</v>
      </c>
      <c r="AA222" s="5">
        <v>1938331443</v>
      </c>
      <c r="AB222" s="4" t="s">
        <v>180</v>
      </c>
      <c r="AC222">
        <v>221</v>
      </c>
    </row>
    <row r="223" spans="1:29" ht="16.5" customHeight="1" x14ac:dyDescent="0.2">
      <c r="A223" s="6" t="str">
        <f t="shared" si="7"/>
        <v>SDATOOL-38770 $ Marcación y cobro de comisiones PSE</v>
      </c>
      <c r="B223" s="4" t="s">
        <v>127</v>
      </c>
      <c r="C223" s="4" t="s">
        <v>1418</v>
      </c>
      <c r="D223" s="4" t="s">
        <v>183</v>
      </c>
      <c r="E223" s="4" t="s">
        <v>1419</v>
      </c>
      <c r="F223" s="4" t="s">
        <v>28</v>
      </c>
      <c r="G223" s="4" t="s">
        <v>185</v>
      </c>
      <c r="H223" s="4" t="s">
        <v>186</v>
      </c>
      <c r="I223" s="4" t="s">
        <v>186</v>
      </c>
      <c r="J223" s="4" t="s">
        <v>204</v>
      </c>
      <c r="K223" s="4" t="s">
        <v>962</v>
      </c>
      <c r="L223" s="4" t="s">
        <v>314</v>
      </c>
      <c r="M223" s="4" t="s">
        <v>540</v>
      </c>
      <c r="N223" s="4" t="s">
        <v>22</v>
      </c>
      <c r="O223" s="13" t="s">
        <v>404</v>
      </c>
      <c r="P223" s="13" t="s">
        <v>843</v>
      </c>
      <c r="Q223" s="13" t="s">
        <v>543</v>
      </c>
      <c r="S223" s="7" t="e">
        <f ca="1">IF(_xludf.ifna(VLOOKUP(B223,Parámetros!#REF!,1,0),"")="","No","Sí")</f>
        <v>#NAME?</v>
      </c>
      <c r="T223" s="7" t="str">
        <f t="shared" si="8"/>
        <v>No normativo</v>
      </c>
      <c r="U223" s="4" t="s">
        <v>195</v>
      </c>
      <c r="V223" s="4" t="s">
        <v>39</v>
      </c>
      <c r="W223" s="4" t="s">
        <v>300</v>
      </c>
      <c r="X223" s="4" t="s">
        <v>301</v>
      </c>
      <c r="Y223" s="4" t="s">
        <v>302</v>
      </c>
      <c r="Z223" s="5">
        <v>830792885</v>
      </c>
      <c r="AA223" s="5">
        <v>319034988</v>
      </c>
      <c r="AB223" s="4" t="s">
        <v>180</v>
      </c>
      <c r="AC223">
        <v>222</v>
      </c>
    </row>
    <row r="224" spans="1:29" ht="16.5" hidden="1" customHeight="1" x14ac:dyDescent="0.2">
      <c r="A224" s="6" t="str">
        <f t="shared" si="7"/>
        <v>SDATOOL-38816 $ Bitlocker</v>
      </c>
      <c r="B224" s="4" t="s">
        <v>1420</v>
      </c>
      <c r="C224" s="4" t="s">
        <v>1421</v>
      </c>
      <c r="D224" s="4" t="s">
        <v>763</v>
      </c>
      <c r="E224" s="4" t="s">
        <v>1422</v>
      </c>
      <c r="F224" s="4" t="s">
        <v>43</v>
      </c>
      <c r="G224" s="4" t="s">
        <v>185</v>
      </c>
      <c r="H224" s="4" t="s">
        <v>203</v>
      </c>
      <c r="J224" s="4" t="s">
        <v>431</v>
      </c>
      <c r="K224" s="4" t="s">
        <v>962</v>
      </c>
      <c r="L224" s="4" t="s">
        <v>206</v>
      </c>
      <c r="M224" s="4" t="s">
        <v>1423</v>
      </c>
      <c r="N224" s="4" t="s">
        <v>15</v>
      </c>
      <c r="O224" s="13" t="s">
        <v>371</v>
      </c>
      <c r="P224" s="13" t="s">
        <v>372</v>
      </c>
      <c r="Q224" s="13" t="s">
        <v>372</v>
      </c>
      <c r="R224" s="4" t="s">
        <v>1424</v>
      </c>
      <c r="S224" s="7" t="e">
        <f ca="1">IF(_xludf.ifna(VLOOKUP(B224,Parámetros!#REF!,1,0),"")="","No","Sí")</f>
        <v>#NAME?</v>
      </c>
      <c r="T224" s="7" t="str">
        <f t="shared" si="8"/>
        <v>Normativo</v>
      </c>
      <c r="U224" s="4" t="s">
        <v>195</v>
      </c>
      <c r="V224" s="4" t="s">
        <v>39</v>
      </c>
      <c r="W224" s="4" t="s">
        <v>212</v>
      </c>
      <c r="X224" s="4" t="s">
        <v>375</v>
      </c>
      <c r="Y224" s="4" t="s">
        <v>872</v>
      </c>
      <c r="Z224" s="4">
        <v>0</v>
      </c>
      <c r="AA224" s="4">
        <v>0</v>
      </c>
      <c r="AB224" s="4" t="s">
        <v>215</v>
      </c>
      <c r="AC224">
        <v>223</v>
      </c>
    </row>
    <row r="225" spans="1:29" ht="16.5" hidden="1" customHeight="1" x14ac:dyDescent="0.2">
      <c r="A225" s="6" t="str">
        <f t="shared" si="7"/>
        <v>SDATOOL-38892 $ Entrega Inmediata de Tarjeta de Crédito en Oficina</v>
      </c>
      <c r="B225" s="4" t="s">
        <v>1425</v>
      </c>
      <c r="C225" s="4" t="s">
        <v>1426</v>
      </c>
      <c r="D225" s="4" t="s">
        <v>183</v>
      </c>
      <c r="E225" s="4" t="s">
        <v>1427</v>
      </c>
      <c r="F225" s="4" t="s">
        <v>28</v>
      </c>
      <c r="G225" s="4" t="s">
        <v>185</v>
      </c>
      <c r="H225" s="4" t="s">
        <v>203</v>
      </c>
      <c r="J225" s="4" t="s">
        <v>204</v>
      </c>
      <c r="K225" s="4" t="s">
        <v>962</v>
      </c>
      <c r="L225" s="4" t="s">
        <v>206</v>
      </c>
      <c r="M225" s="4" t="s">
        <v>553</v>
      </c>
      <c r="N225" s="4" t="s">
        <v>29</v>
      </c>
      <c r="O225" s="13" t="s">
        <v>480</v>
      </c>
      <c r="P225" s="13" t="s">
        <v>548</v>
      </c>
      <c r="Q225" s="13" t="s">
        <v>548</v>
      </c>
      <c r="R225" s="4" t="s">
        <v>366</v>
      </c>
      <c r="S225" s="7" t="e">
        <f ca="1">IF(_xludf.ifna(VLOOKUP(B225,Parámetros!#REF!,1,0),"")="","No","Sí")</f>
        <v>#NAME?</v>
      </c>
      <c r="T225" s="7" t="str">
        <f t="shared" si="8"/>
        <v>Normativo</v>
      </c>
      <c r="U225" s="4" t="s">
        <v>195</v>
      </c>
      <c r="V225" s="4" t="s">
        <v>39</v>
      </c>
      <c r="W225" s="4" t="s">
        <v>233</v>
      </c>
      <c r="X225" s="4" t="s">
        <v>234</v>
      </c>
      <c r="Y225" s="4" t="s">
        <v>556</v>
      </c>
      <c r="Z225" s="5">
        <v>8190150</v>
      </c>
      <c r="AA225" s="5">
        <v>9117347</v>
      </c>
      <c r="AB225" s="4" t="s">
        <v>215</v>
      </c>
      <c r="AC225">
        <v>224</v>
      </c>
    </row>
    <row r="226" spans="1:29" ht="16.5" hidden="1" customHeight="1" x14ac:dyDescent="0.2">
      <c r="A226" s="6" t="str">
        <f t="shared" si="7"/>
        <v>SDATOOL-38897 $ Despriorizado - Garantias Leasing</v>
      </c>
      <c r="B226" s="4" t="s">
        <v>1428</v>
      </c>
      <c r="C226" s="4" t="s">
        <v>1429</v>
      </c>
      <c r="D226" s="4" t="s">
        <v>763</v>
      </c>
      <c r="E226" s="4" t="s">
        <v>1430</v>
      </c>
      <c r="F226" s="4" t="s">
        <v>28</v>
      </c>
      <c r="G226" s="4" t="s">
        <v>185</v>
      </c>
      <c r="H226" s="4" t="s">
        <v>203</v>
      </c>
      <c r="J226" s="4" t="s">
        <v>204</v>
      </c>
      <c r="K226" s="4" t="s">
        <v>770</v>
      </c>
      <c r="L226" s="4" t="s">
        <v>206</v>
      </c>
      <c r="M226" s="4" t="s">
        <v>1431</v>
      </c>
      <c r="N226" s="4" t="s">
        <v>29</v>
      </c>
      <c r="O226" s="13" t="s">
        <v>404</v>
      </c>
      <c r="P226" s="13" t="s">
        <v>1432</v>
      </c>
      <c r="Q226" s="13" t="s">
        <v>456</v>
      </c>
      <c r="R226" s="4" t="s">
        <v>366</v>
      </c>
      <c r="S226" s="7" t="e">
        <f ca="1">IF(_xludf.ifna(VLOOKUP(B226,Parámetros!#REF!,1,0),"")="","No","Sí")</f>
        <v>#NAME?</v>
      </c>
      <c r="T226" s="7" t="str">
        <f t="shared" si="8"/>
        <v>No normativo</v>
      </c>
      <c r="U226" s="4" t="s">
        <v>195</v>
      </c>
      <c r="V226" s="4" t="s">
        <v>39</v>
      </c>
      <c r="W226" s="4" t="s">
        <v>300</v>
      </c>
      <c r="X226" s="4" t="s">
        <v>301</v>
      </c>
      <c r="Y226" s="4" t="s">
        <v>302</v>
      </c>
      <c r="Z226" s="4">
        <v>0</v>
      </c>
      <c r="AA226" s="4">
        <v>0</v>
      </c>
      <c r="AB226" s="4" t="s">
        <v>215</v>
      </c>
      <c r="AC226">
        <v>225</v>
      </c>
    </row>
    <row r="227" spans="1:29" ht="16.5" customHeight="1" x14ac:dyDescent="0.2">
      <c r="A227" s="6" t="str">
        <f t="shared" si="7"/>
        <v>SDATOOL-38909 $ Key Data Mapping , discovery and classification</v>
      </c>
      <c r="B227" s="4" t="s">
        <v>1433</v>
      </c>
      <c r="C227" s="4" t="s">
        <v>1434</v>
      </c>
      <c r="D227" s="4" t="s">
        <v>763</v>
      </c>
      <c r="E227" s="4" t="s">
        <v>1435</v>
      </c>
      <c r="F227" s="4" t="s">
        <v>43</v>
      </c>
      <c r="G227" s="4" t="s">
        <v>185</v>
      </c>
      <c r="H227" s="4" t="s">
        <v>186</v>
      </c>
      <c r="J227" s="4" t="s">
        <v>204</v>
      </c>
      <c r="K227" s="4" t="s">
        <v>770</v>
      </c>
      <c r="L227" s="4" t="s">
        <v>394</v>
      </c>
      <c r="M227" s="4" t="s">
        <v>1436</v>
      </c>
      <c r="N227" s="4" t="s">
        <v>15</v>
      </c>
      <c r="O227" s="13" t="s">
        <v>1437</v>
      </c>
      <c r="P227" s="13" t="s">
        <v>1101</v>
      </c>
      <c r="Q227" s="13" t="s">
        <v>1101</v>
      </c>
      <c r="R227" s="4" t="s">
        <v>1438</v>
      </c>
      <c r="S227" s="7" t="e">
        <f ca="1">IF(_xludf.ifna(VLOOKUP(B227,Parámetros!#REF!,1,0),"")="","No","Sí")</f>
        <v>#NAME?</v>
      </c>
      <c r="T227" s="7" t="str">
        <f t="shared" si="8"/>
        <v>No normativo</v>
      </c>
      <c r="U227" s="4" t="s">
        <v>224</v>
      </c>
      <c r="V227" s="4" t="s">
        <v>39</v>
      </c>
      <c r="W227" s="4" t="s">
        <v>212</v>
      </c>
      <c r="X227" s="4" t="s">
        <v>375</v>
      </c>
      <c r="Y227" s="4" t="s">
        <v>872</v>
      </c>
      <c r="Z227" s="5">
        <v>1316640864</v>
      </c>
      <c r="AA227" s="5">
        <v>1279103910</v>
      </c>
      <c r="AB227" s="4" t="s">
        <v>180</v>
      </c>
      <c r="AC227">
        <v>226</v>
      </c>
    </row>
    <row r="228" spans="1:29" ht="16.5" hidden="1" customHeight="1" x14ac:dyDescent="0.2">
      <c r="A228" s="6" t="str">
        <f t="shared" si="7"/>
        <v>SDATOOL-38931 $ Implementar nuevos formatos SFC</v>
      </c>
      <c r="B228" s="4" t="s">
        <v>1439</v>
      </c>
      <c r="C228" s="4" t="s">
        <v>1440</v>
      </c>
      <c r="D228" s="4" t="s">
        <v>183</v>
      </c>
      <c r="E228" s="4" t="s">
        <v>1441</v>
      </c>
      <c r="F228" s="4" t="s">
        <v>50</v>
      </c>
      <c r="G228" s="4" t="s">
        <v>185</v>
      </c>
      <c r="H228" s="4" t="s">
        <v>203</v>
      </c>
      <c r="K228" s="4" t="s">
        <v>770</v>
      </c>
      <c r="L228" s="4" t="s">
        <v>206</v>
      </c>
      <c r="M228" s="4" t="s">
        <v>1442</v>
      </c>
      <c r="N228" s="4" t="s">
        <v>15</v>
      </c>
      <c r="O228" s="13" t="s">
        <v>1443</v>
      </c>
      <c r="P228" s="13" t="s">
        <v>221</v>
      </c>
      <c r="Q228" s="13" t="s">
        <v>318</v>
      </c>
      <c r="R228" s="4" t="s">
        <v>1444</v>
      </c>
      <c r="S228" s="7" t="e">
        <f ca="1">IF(_xludf.ifna(VLOOKUP(B228,Parámetros!#REF!,1,0),"")="","No","Sí")</f>
        <v>#NAME?</v>
      </c>
      <c r="T228" s="7" t="str">
        <f t="shared" si="8"/>
        <v>No normativo</v>
      </c>
      <c r="U228" s="4" t="s">
        <v>195</v>
      </c>
      <c r="V228" s="4" t="s">
        <v>39</v>
      </c>
      <c r="W228" s="4" t="s">
        <v>196</v>
      </c>
      <c r="X228" s="4" t="s">
        <v>225</v>
      </c>
      <c r="Y228" s="4" t="s">
        <v>226</v>
      </c>
      <c r="Z228" s="5">
        <v>8810901</v>
      </c>
      <c r="AA228" s="5">
        <v>227493735</v>
      </c>
      <c r="AB228" s="4" t="s">
        <v>215</v>
      </c>
      <c r="AC228">
        <v>227</v>
      </c>
    </row>
    <row r="229" spans="1:29" ht="16.5" hidden="1" customHeight="1" x14ac:dyDescent="0.2">
      <c r="A229" s="6" t="str">
        <f t="shared" si="7"/>
        <v>SDATOOL-38950 $ Despriorizado - Actualización Módulo de Pagos en Net Cash</v>
      </c>
      <c r="B229" s="4" t="s">
        <v>1445</v>
      </c>
      <c r="C229" s="4" t="s">
        <v>1446</v>
      </c>
      <c r="D229" s="4" t="s">
        <v>183</v>
      </c>
      <c r="E229" s="4" t="s">
        <v>1447</v>
      </c>
      <c r="F229" s="4" t="s">
        <v>28</v>
      </c>
      <c r="G229" s="4" t="s">
        <v>185</v>
      </c>
      <c r="H229" s="4" t="s">
        <v>203</v>
      </c>
      <c r="J229" s="4" t="s">
        <v>204</v>
      </c>
      <c r="K229" s="4" t="s">
        <v>770</v>
      </c>
      <c r="L229" s="4" t="s">
        <v>206</v>
      </c>
      <c r="M229" s="4" t="s">
        <v>1448</v>
      </c>
      <c r="N229" s="4" t="s">
        <v>22</v>
      </c>
      <c r="O229" s="13" t="s">
        <v>404</v>
      </c>
      <c r="P229" s="13" t="s">
        <v>848</v>
      </c>
      <c r="Q229" s="13" t="s">
        <v>543</v>
      </c>
      <c r="S229" s="7" t="e">
        <f ca="1">IF(_xludf.ifna(VLOOKUP(B229,Parámetros!#REF!,1,0),"")="","No","Sí")</f>
        <v>#NAME?</v>
      </c>
      <c r="T229" s="7" t="str">
        <f t="shared" si="8"/>
        <v>No normativo</v>
      </c>
      <c r="U229" s="4" t="s">
        <v>195</v>
      </c>
      <c r="V229" s="4" t="s">
        <v>39</v>
      </c>
      <c r="W229" s="4" t="s">
        <v>196</v>
      </c>
      <c r="X229" s="4" t="s">
        <v>197</v>
      </c>
      <c r="Y229" s="4" t="s">
        <v>198</v>
      </c>
      <c r="Z229" s="4">
        <v>0</v>
      </c>
      <c r="AA229" s="4">
        <v>0</v>
      </c>
      <c r="AB229" s="4" t="s">
        <v>215</v>
      </c>
      <c r="AC229">
        <v>228</v>
      </c>
    </row>
    <row r="230" spans="1:29" ht="16.5" hidden="1" customHeight="1" x14ac:dyDescent="0.2">
      <c r="A230" s="6" t="str">
        <f t="shared" si="7"/>
        <v>SDATOOL-38988 $ Colombia Measuring the economic activity from the supply side (GVA sectors) in real time and high definition</v>
      </c>
      <c r="B230" s="4" t="s">
        <v>1449</v>
      </c>
      <c r="C230" s="4" t="s">
        <v>1450</v>
      </c>
      <c r="D230" s="4" t="s">
        <v>183</v>
      </c>
      <c r="E230" s="4" t="s">
        <v>1451</v>
      </c>
      <c r="F230" s="4" t="s">
        <v>63</v>
      </c>
      <c r="G230" s="4" t="s">
        <v>185</v>
      </c>
      <c r="H230" s="4" t="s">
        <v>203</v>
      </c>
      <c r="J230" s="4" t="s">
        <v>204</v>
      </c>
      <c r="K230" s="4" t="s">
        <v>962</v>
      </c>
      <c r="L230" s="4" t="s">
        <v>206</v>
      </c>
      <c r="M230" s="4" t="s">
        <v>1452</v>
      </c>
      <c r="N230" s="4" t="s">
        <v>15</v>
      </c>
      <c r="O230" s="13" t="s">
        <v>1453</v>
      </c>
      <c r="P230" s="13" t="s">
        <v>1454</v>
      </c>
      <c r="S230" s="7" t="e">
        <f ca="1">IF(_xludf.ifna(VLOOKUP(B230,Parámetros!#REF!,1,0),"")="","No","Sí")</f>
        <v>#NAME?</v>
      </c>
      <c r="T230" s="7" t="str">
        <f t="shared" si="8"/>
        <v>No normativo</v>
      </c>
      <c r="U230" s="4" t="s">
        <v>732</v>
      </c>
      <c r="V230" s="4" t="s">
        <v>39</v>
      </c>
      <c r="W230" s="4" t="s">
        <v>212</v>
      </c>
      <c r="X230" s="4" t="s">
        <v>213</v>
      </c>
      <c r="Y230" s="4" t="s">
        <v>814</v>
      </c>
      <c r="Z230" s="4">
        <v>0</v>
      </c>
      <c r="AA230" s="4">
        <v>0</v>
      </c>
      <c r="AB230" s="4" t="s">
        <v>215</v>
      </c>
      <c r="AC230">
        <v>229</v>
      </c>
    </row>
    <row r="231" spans="1:29" ht="16.5" customHeight="1" x14ac:dyDescent="0.2">
      <c r="A231" s="6" t="str">
        <f t="shared" si="7"/>
        <v>SDATOOL-38996 $ Resolución 000124 del 28-10-2021 Medios Magnéticos 2022 - Diálogo</v>
      </c>
      <c r="B231" s="4" t="s">
        <v>1455</v>
      </c>
      <c r="C231" s="4" t="s">
        <v>1456</v>
      </c>
      <c r="D231" s="4" t="s">
        <v>183</v>
      </c>
      <c r="E231" s="4" t="s">
        <v>1457</v>
      </c>
      <c r="F231" s="4" t="s">
        <v>50</v>
      </c>
      <c r="G231" s="4" t="s">
        <v>185</v>
      </c>
      <c r="H231" s="4" t="s">
        <v>186</v>
      </c>
      <c r="J231" s="4" t="s">
        <v>204</v>
      </c>
      <c r="K231" s="4" t="s">
        <v>962</v>
      </c>
      <c r="L231" s="4" t="s">
        <v>386</v>
      </c>
      <c r="M231" s="4" t="s">
        <v>1458</v>
      </c>
      <c r="N231" s="4" t="s">
        <v>15</v>
      </c>
      <c r="O231" s="13" t="s">
        <v>568</v>
      </c>
      <c r="P231" s="13" t="s">
        <v>455</v>
      </c>
      <c r="Q231" s="13" t="s">
        <v>193</v>
      </c>
      <c r="R231" s="4" t="s">
        <v>1459</v>
      </c>
      <c r="S231" s="7" t="e">
        <f ca="1">IF(_xludf.ifna(VLOOKUP(B231,Parámetros!#REF!,1,0),"")="","No","Sí")</f>
        <v>#NAME?</v>
      </c>
      <c r="T231" s="7" t="str">
        <f t="shared" si="8"/>
        <v>No normativo</v>
      </c>
      <c r="U231" s="4" t="s">
        <v>224</v>
      </c>
      <c r="V231" s="4" t="s">
        <v>39</v>
      </c>
      <c r="W231" s="4" t="s">
        <v>196</v>
      </c>
      <c r="X231" s="4" t="s">
        <v>246</v>
      </c>
      <c r="Y231" s="4" t="s">
        <v>265</v>
      </c>
      <c r="Z231" s="5">
        <v>567116</v>
      </c>
      <c r="AA231" s="5">
        <v>13395509</v>
      </c>
      <c r="AB231" s="4" t="s">
        <v>215</v>
      </c>
      <c r="AC231">
        <v>230</v>
      </c>
    </row>
    <row r="232" spans="1:29" ht="16.5" hidden="1" customHeight="1" x14ac:dyDescent="0.2">
      <c r="A232" s="6" t="str">
        <f t="shared" si="7"/>
        <v>SDATOOL-39008 $ Exógena Resolución 161 Dian</v>
      </c>
      <c r="B232" s="4" t="s">
        <v>1460</v>
      </c>
      <c r="C232" s="4" t="s">
        <v>1461</v>
      </c>
      <c r="D232" s="4" t="s">
        <v>183</v>
      </c>
      <c r="E232" s="4" t="s">
        <v>1462</v>
      </c>
      <c r="F232" s="4" t="s">
        <v>28</v>
      </c>
      <c r="G232" s="4" t="s">
        <v>185</v>
      </c>
      <c r="H232" s="4" t="s">
        <v>203</v>
      </c>
      <c r="J232" s="4" t="s">
        <v>204</v>
      </c>
      <c r="K232" s="4" t="s">
        <v>770</v>
      </c>
      <c r="L232" s="4" t="s">
        <v>206</v>
      </c>
      <c r="M232" s="4" t="s">
        <v>540</v>
      </c>
      <c r="N232" s="4" t="s">
        <v>15</v>
      </c>
      <c r="O232" s="13" t="s">
        <v>404</v>
      </c>
      <c r="P232" s="13" t="s">
        <v>628</v>
      </c>
      <c r="Q232" s="13" t="s">
        <v>1463</v>
      </c>
      <c r="R232" s="4" t="s">
        <v>366</v>
      </c>
      <c r="S232" s="7" t="e">
        <f ca="1">IF(_xludf.ifna(VLOOKUP(B232,Parámetros!#REF!,1,0),"")="","No","Sí")</f>
        <v>#NAME?</v>
      </c>
      <c r="T232" s="7" t="str">
        <f t="shared" si="8"/>
        <v>No normativo</v>
      </c>
      <c r="U232" s="4" t="s">
        <v>195</v>
      </c>
      <c r="V232" s="4" t="s">
        <v>39</v>
      </c>
      <c r="W232" s="4" t="s">
        <v>300</v>
      </c>
      <c r="X232" s="4" t="s">
        <v>301</v>
      </c>
      <c r="Y232" s="4" t="s">
        <v>302</v>
      </c>
      <c r="Z232" s="4">
        <v>0</v>
      </c>
      <c r="AA232" s="5">
        <v>340225343</v>
      </c>
      <c r="AB232" s="4" t="s">
        <v>215</v>
      </c>
      <c r="AC232">
        <v>231</v>
      </c>
    </row>
    <row r="233" spans="1:29" ht="16.5" hidden="1" customHeight="1" x14ac:dyDescent="0.2">
      <c r="A233" s="6" t="str">
        <f t="shared" si="7"/>
        <v>SDATOOL-39054 $ Actualización Herramienta Versionado Dimensions Colombia</v>
      </c>
      <c r="B233" s="4" t="s">
        <v>1464</v>
      </c>
      <c r="C233" s="4" t="s">
        <v>1465</v>
      </c>
      <c r="D233" s="4" t="s">
        <v>763</v>
      </c>
      <c r="E233" s="4" t="s">
        <v>1466</v>
      </c>
      <c r="F233" s="4" t="s">
        <v>43</v>
      </c>
      <c r="G233" s="4" t="s">
        <v>185</v>
      </c>
      <c r="H233" s="4" t="s">
        <v>203</v>
      </c>
      <c r="K233" s="4" t="s">
        <v>962</v>
      </c>
      <c r="L233" s="4" t="s">
        <v>206</v>
      </c>
      <c r="M233" s="4" t="s">
        <v>1467</v>
      </c>
      <c r="N233" s="4" t="s">
        <v>15</v>
      </c>
      <c r="O233" s="13" t="s">
        <v>353</v>
      </c>
      <c r="P233" s="13" t="s">
        <v>1468</v>
      </c>
      <c r="Q233" s="13" t="s">
        <v>1468</v>
      </c>
      <c r="R233" s="4" t="s">
        <v>1469</v>
      </c>
      <c r="S233" s="7" t="e">
        <f ca="1">IF(_xludf.ifna(VLOOKUP(B233,Parámetros!#REF!,1,0),"")="","No","Sí")</f>
        <v>#NAME?</v>
      </c>
      <c r="T233" s="7" t="str">
        <f t="shared" si="8"/>
        <v>No normativo</v>
      </c>
      <c r="U233" s="4" t="s">
        <v>195</v>
      </c>
      <c r="V233" s="4" t="s">
        <v>39</v>
      </c>
      <c r="W233" s="4" t="s">
        <v>196</v>
      </c>
      <c r="X233" s="4" t="s">
        <v>225</v>
      </c>
      <c r="Y233" s="4" t="s">
        <v>925</v>
      </c>
      <c r="Z233" s="4">
        <v>0</v>
      </c>
      <c r="AA233" s="5">
        <v>175425009</v>
      </c>
      <c r="AB233" s="4" t="s">
        <v>215</v>
      </c>
      <c r="AC233">
        <v>232</v>
      </c>
    </row>
    <row r="234" spans="1:29" ht="16.5" customHeight="1" x14ac:dyDescent="0.2">
      <c r="A234" s="6" t="str">
        <f t="shared" si="7"/>
        <v>SDATOOL-39197 $ Tealeaf SaaS</v>
      </c>
      <c r="B234" s="4" t="s">
        <v>1470</v>
      </c>
      <c r="C234" s="4" t="s">
        <v>1471</v>
      </c>
      <c r="D234" s="4" t="s">
        <v>183</v>
      </c>
      <c r="E234" s="4" t="s">
        <v>1472</v>
      </c>
      <c r="F234" s="4" t="s">
        <v>28</v>
      </c>
      <c r="G234" s="4" t="s">
        <v>185</v>
      </c>
      <c r="H234" s="4" t="s">
        <v>186</v>
      </c>
      <c r="I234" s="4" t="s">
        <v>186</v>
      </c>
      <c r="J234" s="4" t="s">
        <v>204</v>
      </c>
      <c r="K234" s="4" t="s">
        <v>770</v>
      </c>
      <c r="L234" s="4" t="s">
        <v>394</v>
      </c>
      <c r="M234" s="4" t="s">
        <v>1472</v>
      </c>
      <c r="N234" s="4" t="s">
        <v>29</v>
      </c>
      <c r="O234" s="13" t="s">
        <v>191</v>
      </c>
      <c r="P234" s="13" t="s">
        <v>631</v>
      </c>
      <c r="Q234" s="13" t="s">
        <v>632</v>
      </c>
      <c r="S234" s="7" t="e">
        <f ca="1">IF(_xludf.ifna(VLOOKUP(B234,Parámetros!#REF!,1,0),"")="","No","Sí")</f>
        <v>#NAME?</v>
      </c>
      <c r="T234" s="7" t="str">
        <f t="shared" si="8"/>
        <v>No normativo</v>
      </c>
      <c r="U234" s="4" t="s">
        <v>195</v>
      </c>
      <c r="V234" s="4" t="s">
        <v>39</v>
      </c>
      <c r="W234" s="4" t="s">
        <v>212</v>
      </c>
      <c r="X234" s="4" t="s">
        <v>213</v>
      </c>
      <c r="Y234" s="4" t="s">
        <v>967</v>
      </c>
      <c r="Z234" s="5">
        <v>332504150</v>
      </c>
      <c r="AA234" s="5">
        <v>141609876</v>
      </c>
      <c r="AB234" s="4" t="s">
        <v>180</v>
      </c>
      <c r="AC234">
        <v>233</v>
      </c>
    </row>
    <row r="235" spans="1:29" ht="16.5" hidden="1" customHeight="1" x14ac:dyDescent="0.2">
      <c r="A235" s="6" t="str">
        <f t="shared" si="7"/>
        <v>SDATOOL-39198 $ Talento Digital</v>
      </c>
      <c r="B235" s="4" t="s">
        <v>1473</v>
      </c>
      <c r="C235" s="4" t="s">
        <v>1474</v>
      </c>
      <c r="D235" s="4" t="s">
        <v>183</v>
      </c>
      <c r="E235" s="4" t="s">
        <v>1475</v>
      </c>
      <c r="F235" s="4" t="s">
        <v>30</v>
      </c>
      <c r="G235" s="4" t="s">
        <v>185</v>
      </c>
      <c r="H235" s="4" t="s">
        <v>203</v>
      </c>
      <c r="K235" s="4" t="s">
        <v>962</v>
      </c>
      <c r="L235" s="4" t="s">
        <v>206</v>
      </c>
      <c r="M235" s="4" t="s">
        <v>1476</v>
      </c>
      <c r="N235" s="4" t="s">
        <v>15</v>
      </c>
      <c r="O235" s="13" t="s">
        <v>262</v>
      </c>
      <c r="P235" s="13" t="s">
        <v>1477</v>
      </c>
      <c r="Q235" s="13" t="s">
        <v>623</v>
      </c>
      <c r="S235" s="7" t="e">
        <f ca="1">IF(_xludf.ifna(VLOOKUP(B235,Parámetros!#REF!,1,0),"")="","No","Sí")</f>
        <v>#NAME?</v>
      </c>
      <c r="T235" s="7" t="str">
        <f t="shared" si="8"/>
        <v>No normativo</v>
      </c>
      <c r="U235" s="4" t="s">
        <v>195</v>
      </c>
      <c r="V235" s="4" t="s">
        <v>39</v>
      </c>
      <c r="W235" s="4" t="s">
        <v>291</v>
      </c>
      <c r="X235" s="4" t="s">
        <v>292</v>
      </c>
      <c r="Y235" s="4" t="s">
        <v>1478</v>
      </c>
      <c r="Z235" s="4">
        <v>0</v>
      </c>
      <c r="AA235" s="4">
        <v>0</v>
      </c>
      <c r="AB235" s="4" t="s">
        <v>215</v>
      </c>
      <c r="AC235">
        <v>234</v>
      </c>
    </row>
    <row r="236" spans="1:29" ht="16.5" customHeight="1" x14ac:dyDescent="0.2">
      <c r="A236" s="6" t="str">
        <f t="shared" si="7"/>
        <v>SDATOOL-39217 $ Aplicativos Tesorería 2022</v>
      </c>
      <c r="B236" s="4" t="s">
        <v>1479</v>
      </c>
      <c r="C236" s="4" t="s">
        <v>1480</v>
      </c>
      <c r="D236" s="4" t="s">
        <v>183</v>
      </c>
      <c r="E236" s="4" t="s">
        <v>1481</v>
      </c>
      <c r="F236" s="4" t="s">
        <v>21</v>
      </c>
      <c r="G236" s="4" t="s">
        <v>185</v>
      </c>
      <c r="H236" s="4" t="s">
        <v>186</v>
      </c>
      <c r="J236" s="4" t="s">
        <v>204</v>
      </c>
      <c r="K236" s="4" t="s">
        <v>770</v>
      </c>
      <c r="L236" s="4" t="s">
        <v>386</v>
      </c>
      <c r="M236" s="4" t="s">
        <v>1481</v>
      </c>
      <c r="N236" s="4" t="s">
        <v>36</v>
      </c>
      <c r="O236" s="13" t="s">
        <v>889</v>
      </c>
      <c r="P236" s="13" t="s">
        <v>889</v>
      </c>
      <c r="Q236" s="13" t="s">
        <v>193</v>
      </c>
      <c r="S236" s="7" t="e">
        <f ca="1">IF(_xludf.ifna(VLOOKUP(B236,Parámetros!#REF!,1,0),"")="","No","Sí")</f>
        <v>#NAME?</v>
      </c>
      <c r="T236" s="7" t="str">
        <f t="shared" si="8"/>
        <v>No normativo</v>
      </c>
      <c r="U236" s="4" t="s">
        <v>195</v>
      </c>
      <c r="V236" s="4" t="s">
        <v>39</v>
      </c>
      <c r="W236" s="4" t="s">
        <v>300</v>
      </c>
      <c r="X236" s="4" t="s">
        <v>301</v>
      </c>
      <c r="Y236" s="4" t="s">
        <v>302</v>
      </c>
      <c r="Z236" s="5">
        <v>594145020</v>
      </c>
      <c r="AA236" s="5">
        <v>315995923</v>
      </c>
      <c r="AB236" s="4" t="s">
        <v>215</v>
      </c>
      <c r="AC236">
        <v>235</v>
      </c>
    </row>
    <row r="237" spans="1:29" ht="16.5" customHeight="1" x14ac:dyDescent="0.2">
      <c r="A237" s="6" t="str">
        <f t="shared" si="7"/>
        <v>SDATOOL-39233 $ Certificaciones Diversidad T&amp;C</v>
      </c>
      <c r="B237" s="4" t="s">
        <v>1482</v>
      </c>
      <c r="C237" s="4" t="s">
        <v>1483</v>
      </c>
      <c r="D237" s="4" t="s">
        <v>183</v>
      </c>
      <c r="E237" s="4" t="s">
        <v>1484</v>
      </c>
      <c r="F237" s="4" t="s">
        <v>30</v>
      </c>
      <c r="G237" s="4" t="s">
        <v>185</v>
      </c>
      <c r="H237" s="4" t="s">
        <v>186</v>
      </c>
      <c r="I237" s="4" t="s">
        <v>186</v>
      </c>
      <c r="K237" s="4" t="s">
        <v>962</v>
      </c>
      <c r="L237" s="4" t="s">
        <v>189</v>
      </c>
      <c r="M237" s="4" t="s">
        <v>1485</v>
      </c>
      <c r="N237" s="4" t="s">
        <v>15</v>
      </c>
      <c r="O237" s="13" t="s">
        <v>1486</v>
      </c>
      <c r="P237" s="13" t="s">
        <v>1477</v>
      </c>
      <c r="Q237" s="13" t="s">
        <v>334</v>
      </c>
      <c r="S237" s="7" t="e">
        <f ca="1">IF(_xludf.ifna(VLOOKUP(B237,Parámetros!#REF!,1,0),"")="","No","Sí")</f>
        <v>#NAME?</v>
      </c>
      <c r="T237" s="7" t="str">
        <f t="shared" si="8"/>
        <v>No normativo</v>
      </c>
      <c r="U237" s="4" t="s">
        <v>195</v>
      </c>
      <c r="V237" s="4" t="s">
        <v>39</v>
      </c>
      <c r="W237" s="4" t="s">
        <v>291</v>
      </c>
      <c r="X237" s="4" t="s">
        <v>292</v>
      </c>
      <c r="Y237" s="4" t="s">
        <v>293</v>
      </c>
      <c r="Z237" s="4">
        <v>0</v>
      </c>
      <c r="AA237" s="4">
        <v>0</v>
      </c>
      <c r="AB237" s="4" t="s">
        <v>180</v>
      </c>
      <c r="AC237">
        <v>236</v>
      </c>
    </row>
    <row r="238" spans="1:29" ht="16.5" hidden="1" customHeight="1" x14ac:dyDescent="0.2">
      <c r="A238" s="6" t="str">
        <f t="shared" si="7"/>
        <v>SDATOOL-39237 $ Seguros - Partnership masivos</v>
      </c>
      <c r="B238" s="4" t="s">
        <v>1487</v>
      </c>
      <c r="C238" s="4" t="s">
        <v>1488</v>
      </c>
      <c r="D238" s="4" t="s">
        <v>183</v>
      </c>
      <c r="E238" s="4" t="s">
        <v>1489</v>
      </c>
      <c r="F238" s="4" t="s">
        <v>28</v>
      </c>
      <c r="G238" s="4" t="s">
        <v>185</v>
      </c>
      <c r="H238" s="4" t="s">
        <v>203</v>
      </c>
      <c r="J238" s="4" t="s">
        <v>204</v>
      </c>
      <c r="K238" s="4" t="s">
        <v>962</v>
      </c>
      <c r="L238" s="4" t="s">
        <v>206</v>
      </c>
      <c r="M238" s="4" t="s">
        <v>497</v>
      </c>
      <c r="N238" s="4" t="s">
        <v>22</v>
      </c>
      <c r="O238" s="13" t="s">
        <v>343</v>
      </c>
      <c r="P238" s="13" t="s">
        <v>344</v>
      </c>
      <c r="Q238" s="13" t="s">
        <v>345</v>
      </c>
      <c r="S238" s="7" t="e">
        <f ca="1">IF(_xludf.ifna(VLOOKUP(B238,Parámetros!#REF!,1,0),"")="","No","Sí")</f>
        <v>#NAME?</v>
      </c>
      <c r="T238" s="7" t="str">
        <f t="shared" si="8"/>
        <v>No normativo</v>
      </c>
      <c r="U238" s="4" t="s">
        <v>195</v>
      </c>
      <c r="V238" s="4" t="s">
        <v>347</v>
      </c>
      <c r="W238" s="4" t="s">
        <v>233</v>
      </c>
      <c r="X238" s="4" t="s">
        <v>234</v>
      </c>
      <c r="Y238" s="4" t="s">
        <v>501</v>
      </c>
      <c r="Z238" s="4">
        <v>0</v>
      </c>
      <c r="AA238" s="5">
        <v>55000000</v>
      </c>
      <c r="AB238" s="4" t="s">
        <v>215</v>
      </c>
      <c r="AC238">
        <v>237</v>
      </c>
    </row>
    <row r="239" spans="1:29" ht="16.5" hidden="1" customHeight="1" x14ac:dyDescent="0.2">
      <c r="A239" s="6" t="str">
        <f t="shared" si="7"/>
        <v>SDATOOL-39240 $ Focus Audit - Consultas entre Funcionarios</v>
      </c>
      <c r="B239" s="4" t="s">
        <v>1490</v>
      </c>
      <c r="C239" s="4" t="s">
        <v>1491</v>
      </c>
      <c r="D239" s="4" t="s">
        <v>183</v>
      </c>
      <c r="E239" s="4" t="s">
        <v>1492</v>
      </c>
      <c r="F239" s="4" t="s">
        <v>30</v>
      </c>
      <c r="G239" s="4" t="s">
        <v>185</v>
      </c>
      <c r="H239" s="4" t="s">
        <v>203</v>
      </c>
      <c r="K239" s="4" t="s">
        <v>962</v>
      </c>
      <c r="L239" s="4" t="s">
        <v>206</v>
      </c>
      <c r="M239" s="4" t="s">
        <v>1493</v>
      </c>
      <c r="N239" s="4" t="s">
        <v>15</v>
      </c>
      <c r="O239" s="13" t="s">
        <v>1494</v>
      </c>
      <c r="P239" s="13" t="s">
        <v>1495</v>
      </c>
      <c r="Q239" s="13" t="s">
        <v>623</v>
      </c>
      <c r="R239" s="4" t="s">
        <v>1496</v>
      </c>
      <c r="S239" s="7" t="e">
        <f ca="1">IF(_xludf.ifna(VLOOKUP(B239,Parámetros!#REF!,1,0),"")="","No","Sí")</f>
        <v>#NAME?</v>
      </c>
      <c r="T239" s="7" t="str">
        <f t="shared" si="8"/>
        <v>No normativo</v>
      </c>
      <c r="U239" s="4" t="s">
        <v>195</v>
      </c>
      <c r="V239" s="4" t="s">
        <v>39</v>
      </c>
      <c r="W239" s="4" t="s">
        <v>212</v>
      </c>
      <c r="X239" s="4" t="s">
        <v>213</v>
      </c>
      <c r="Y239" s="4" t="s">
        <v>214</v>
      </c>
      <c r="Z239" s="4">
        <v>0</v>
      </c>
      <c r="AA239" s="5">
        <v>61226506</v>
      </c>
      <c r="AB239" s="4" t="s">
        <v>215</v>
      </c>
      <c r="AC239">
        <v>238</v>
      </c>
    </row>
    <row r="240" spans="1:29" ht="16.5" hidden="1" customHeight="1" x14ac:dyDescent="0.2">
      <c r="A240" s="6" t="str">
        <f t="shared" si="7"/>
        <v>SDATOOL-39244 $ Pricing libranza digital y capitalización de intereses</v>
      </c>
      <c r="B240" s="4" t="s">
        <v>1497</v>
      </c>
      <c r="C240" s="4" t="s">
        <v>1498</v>
      </c>
      <c r="D240" s="4" t="s">
        <v>183</v>
      </c>
      <c r="E240" s="4" t="s">
        <v>1499</v>
      </c>
      <c r="F240" s="4" t="s">
        <v>28</v>
      </c>
      <c r="G240" s="4" t="s">
        <v>185</v>
      </c>
      <c r="H240" s="4" t="s">
        <v>203</v>
      </c>
      <c r="J240" s="4" t="s">
        <v>204</v>
      </c>
      <c r="K240" s="4" t="s">
        <v>770</v>
      </c>
      <c r="L240" s="4" t="s">
        <v>206</v>
      </c>
      <c r="M240" s="4" t="s">
        <v>529</v>
      </c>
      <c r="N240" s="4" t="s">
        <v>29</v>
      </c>
      <c r="O240" s="13" t="s">
        <v>530</v>
      </c>
      <c r="P240" s="13" t="s">
        <v>536</v>
      </c>
      <c r="Q240" s="13" t="s">
        <v>475</v>
      </c>
      <c r="S240" s="7" t="e">
        <f ca="1">IF(_xludf.ifna(VLOOKUP(B240,Parámetros!#REF!,1,0),"")="","No","Sí")</f>
        <v>#NAME?</v>
      </c>
      <c r="T240" s="7" t="str">
        <f t="shared" si="8"/>
        <v>No normativo</v>
      </c>
      <c r="U240" s="4" t="s">
        <v>195</v>
      </c>
      <c r="V240" s="4" t="s">
        <v>39</v>
      </c>
      <c r="W240" s="4" t="s">
        <v>233</v>
      </c>
      <c r="X240" s="4" t="s">
        <v>92</v>
      </c>
      <c r="Y240" s="4" t="s">
        <v>533</v>
      </c>
      <c r="Z240" s="4">
        <v>0</v>
      </c>
      <c r="AA240" s="4">
        <v>0</v>
      </c>
      <c r="AB240" s="4" t="s">
        <v>215</v>
      </c>
      <c r="AC240">
        <v>239</v>
      </c>
    </row>
    <row r="241" spans="1:29" ht="16.5" customHeight="1" x14ac:dyDescent="0.2">
      <c r="A241" s="6" t="str">
        <f t="shared" si="7"/>
        <v>SDATOOL-39246 $ Nuevo tipo de identificación para extranjeros</v>
      </c>
      <c r="B241" s="4" t="s">
        <v>1500</v>
      </c>
      <c r="C241" s="4" t="s">
        <v>1501</v>
      </c>
      <c r="D241" s="4" t="s">
        <v>183</v>
      </c>
      <c r="E241" s="4" t="s">
        <v>1502</v>
      </c>
      <c r="F241" s="4" t="s">
        <v>28</v>
      </c>
      <c r="G241" s="4" t="s">
        <v>185</v>
      </c>
      <c r="H241" s="4" t="s">
        <v>186</v>
      </c>
      <c r="J241" s="4" t="s">
        <v>204</v>
      </c>
      <c r="K241" s="4" t="s">
        <v>1503</v>
      </c>
      <c r="L241" s="4" t="s">
        <v>394</v>
      </c>
      <c r="M241" s="4" t="s">
        <v>540</v>
      </c>
      <c r="N241" s="4" t="s">
        <v>29</v>
      </c>
      <c r="O241" s="13" t="s">
        <v>1154</v>
      </c>
      <c r="P241" s="13" t="s">
        <v>911</v>
      </c>
      <c r="Q241" s="13" t="s">
        <v>543</v>
      </c>
      <c r="R241" s="4" t="s">
        <v>1504</v>
      </c>
      <c r="S241" s="7" t="e">
        <f ca="1">IF(_xludf.ifna(VLOOKUP(B241,Parámetros!#REF!,1,0),"")="","No","Sí")</f>
        <v>#NAME?</v>
      </c>
      <c r="T241" s="7" t="str">
        <f t="shared" si="8"/>
        <v>No normativo</v>
      </c>
      <c r="U241" s="4" t="s">
        <v>195</v>
      </c>
      <c r="V241" s="4" t="s">
        <v>39</v>
      </c>
      <c r="W241" s="4" t="s">
        <v>300</v>
      </c>
      <c r="X241" s="4" t="s">
        <v>301</v>
      </c>
      <c r="Y241" s="4" t="s">
        <v>302</v>
      </c>
      <c r="Z241" s="5">
        <v>41455984</v>
      </c>
      <c r="AA241" s="5">
        <v>287404407</v>
      </c>
      <c r="AB241" s="4" t="s">
        <v>180</v>
      </c>
      <c r="AC241">
        <v>240</v>
      </c>
    </row>
    <row r="242" spans="1:29" ht="16.5" customHeight="1" x14ac:dyDescent="0.2">
      <c r="A242" s="6" t="str">
        <f t="shared" si="7"/>
        <v>SDATOOL-39255 $ OBSOLESCENCIA APLICATIVA 2022</v>
      </c>
      <c r="B242" s="4" t="s">
        <v>1505</v>
      </c>
      <c r="C242" s="4" t="s">
        <v>1506</v>
      </c>
      <c r="D242" s="4" t="s">
        <v>183</v>
      </c>
      <c r="E242" s="4" t="s">
        <v>1507</v>
      </c>
      <c r="F242" s="4" t="s">
        <v>43</v>
      </c>
      <c r="G242" s="4" t="s">
        <v>185</v>
      </c>
      <c r="H242" s="4" t="s">
        <v>186</v>
      </c>
      <c r="K242" s="4" t="s">
        <v>962</v>
      </c>
      <c r="L242" s="4" t="s">
        <v>189</v>
      </c>
      <c r="M242" s="4" t="s">
        <v>1508</v>
      </c>
      <c r="N242" s="4" t="s">
        <v>29</v>
      </c>
      <c r="O242" s="13" t="s">
        <v>353</v>
      </c>
      <c r="P242" s="13" t="s">
        <v>992</v>
      </c>
      <c r="Q242" s="13" t="s">
        <v>1509</v>
      </c>
      <c r="S242" s="7" t="e">
        <f ca="1">IF(_xludf.ifna(VLOOKUP(B242,Parámetros!#REF!,1,0),"")="","No","Sí")</f>
        <v>#NAME?</v>
      </c>
      <c r="T242" s="7" t="str">
        <f t="shared" si="8"/>
        <v>No normativo</v>
      </c>
      <c r="U242" s="4" t="s">
        <v>195</v>
      </c>
      <c r="V242" s="4" t="s">
        <v>39</v>
      </c>
      <c r="W242" s="4" t="s">
        <v>212</v>
      </c>
      <c r="X242" s="4" t="s">
        <v>356</v>
      </c>
      <c r="Y242" s="4" t="s">
        <v>1091</v>
      </c>
      <c r="Z242" s="5">
        <v>40830242</v>
      </c>
      <c r="AA242" s="5">
        <v>128414959</v>
      </c>
      <c r="AB242" s="4" t="s">
        <v>215</v>
      </c>
      <c r="AC242">
        <v>241</v>
      </c>
    </row>
    <row r="243" spans="1:29" ht="16.5" hidden="1" customHeight="1" x14ac:dyDescent="0.2">
      <c r="A243" s="6" t="str">
        <f t="shared" si="7"/>
        <v>SDATOOL-39264 $ Nueva Instancia TDE para SFMC</v>
      </c>
      <c r="B243" s="4" t="s">
        <v>1510</v>
      </c>
      <c r="C243" s="4" t="s">
        <v>1511</v>
      </c>
      <c r="D243" s="4" t="s">
        <v>183</v>
      </c>
      <c r="E243" s="4" t="s">
        <v>1512</v>
      </c>
      <c r="F243" s="4" t="s">
        <v>28</v>
      </c>
      <c r="G243" s="4" t="s">
        <v>185</v>
      </c>
      <c r="H243" s="4" t="s">
        <v>276</v>
      </c>
      <c r="J243" s="4" t="s">
        <v>204</v>
      </c>
      <c r="K243" s="4" t="s">
        <v>770</v>
      </c>
      <c r="L243" s="4" t="s">
        <v>586</v>
      </c>
      <c r="M243" s="4" t="s">
        <v>649</v>
      </c>
      <c r="N243" s="4" t="s">
        <v>29</v>
      </c>
      <c r="O243" s="13" t="s">
        <v>1513</v>
      </c>
      <c r="P243" s="13" t="s">
        <v>487</v>
      </c>
      <c r="Q243" s="13" t="s">
        <v>488</v>
      </c>
      <c r="S243" s="7" t="e">
        <f ca="1">IF(_xludf.ifna(VLOOKUP(B243,Parámetros!#REF!,1,0),"")="","No","Sí")</f>
        <v>#NAME?</v>
      </c>
      <c r="T243" s="7" t="str">
        <f t="shared" si="8"/>
        <v>Normativo</v>
      </c>
      <c r="U243" s="4" t="s">
        <v>195</v>
      </c>
      <c r="V243" s="4" t="s">
        <v>39</v>
      </c>
      <c r="W243" s="4" t="s">
        <v>196</v>
      </c>
      <c r="X243" s="4" t="s">
        <v>197</v>
      </c>
      <c r="Y243" s="4" t="s">
        <v>95</v>
      </c>
      <c r="Z243" s="4">
        <v>0</v>
      </c>
      <c r="AA243" s="4">
        <v>0</v>
      </c>
      <c r="AB243" s="4" t="s">
        <v>215</v>
      </c>
      <c r="AC243">
        <v>242</v>
      </c>
    </row>
    <row r="244" spans="1:29" ht="16.5" customHeight="1" x14ac:dyDescent="0.2">
      <c r="A244" s="6" t="str">
        <f t="shared" si="7"/>
        <v>SDATOOL-39265 $ Migración Operaciones Fircosoft</v>
      </c>
      <c r="B244" s="4" t="s">
        <v>1514</v>
      </c>
      <c r="C244" s="4" t="s">
        <v>1515</v>
      </c>
      <c r="D244" s="4" t="s">
        <v>183</v>
      </c>
      <c r="E244" s="4" t="s">
        <v>1516</v>
      </c>
      <c r="F244" s="4" t="s">
        <v>69</v>
      </c>
      <c r="G244" s="4" t="s">
        <v>185</v>
      </c>
      <c r="H244" s="4" t="s">
        <v>186</v>
      </c>
      <c r="K244" s="4" t="s">
        <v>1503</v>
      </c>
      <c r="L244" s="4" t="s">
        <v>386</v>
      </c>
      <c r="M244" s="4" t="s">
        <v>1517</v>
      </c>
      <c r="N244" s="4" t="s">
        <v>29</v>
      </c>
      <c r="O244" s="13" t="s">
        <v>1518</v>
      </c>
      <c r="P244" s="13" t="s">
        <v>317</v>
      </c>
      <c r="Q244" s="13" t="s">
        <v>318</v>
      </c>
      <c r="S244" s="7" t="e">
        <f ca="1">IF(_xludf.ifna(VLOOKUP(B244,Parámetros!#REF!,1,0),"")="","No","Sí")</f>
        <v>#NAME?</v>
      </c>
      <c r="T244" s="7" t="str">
        <f t="shared" si="8"/>
        <v>No normativo</v>
      </c>
      <c r="U244" s="4" t="s">
        <v>195</v>
      </c>
      <c r="V244" s="4" t="s">
        <v>39</v>
      </c>
      <c r="W244" s="4" t="s">
        <v>196</v>
      </c>
      <c r="X244" s="4" t="s">
        <v>246</v>
      </c>
      <c r="Y244" s="4" t="s">
        <v>265</v>
      </c>
      <c r="Z244" s="5">
        <v>4000005</v>
      </c>
      <c r="AA244" s="5">
        <v>22620776</v>
      </c>
      <c r="AB244" s="4" t="s">
        <v>215</v>
      </c>
      <c r="AC244">
        <v>243</v>
      </c>
    </row>
    <row r="245" spans="1:29" ht="16.5" hidden="1" customHeight="1" x14ac:dyDescent="0.2">
      <c r="A245" s="6" t="str">
        <f t="shared" si="7"/>
        <v>SDATOOL-39271 $ Auditoría - Inventarios de plásticos</v>
      </c>
      <c r="B245" s="4" t="s">
        <v>1519</v>
      </c>
      <c r="C245" s="4" t="s">
        <v>1520</v>
      </c>
      <c r="D245" s="4" t="s">
        <v>183</v>
      </c>
      <c r="E245" s="4" t="s">
        <v>1521</v>
      </c>
      <c r="F245" s="4" t="s">
        <v>28</v>
      </c>
      <c r="G245" s="4" t="s">
        <v>185</v>
      </c>
      <c r="H245" s="4" t="s">
        <v>203</v>
      </c>
      <c r="J245" s="4" t="s">
        <v>204</v>
      </c>
      <c r="K245" s="4" t="s">
        <v>962</v>
      </c>
      <c r="L245" s="4" t="s">
        <v>206</v>
      </c>
      <c r="M245" s="4" t="s">
        <v>553</v>
      </c>
      <c r="N245" s="4" t="s">
        <v>29</v>
      </c>
      <c r="O245" s="13" t="s">
        <v>480</v>
      </c>
      <c r="P245" s="13" t="s">
        <v>548</v>
      </c>
      <c r="Q245" s="13" t="s">
        <v>555</v>
      </c>
      <c r="R245" s="4" t="s">
        <v>366</v>
      </c>
      <c r="S245" s="7" t="e">
        <f ca="1">IF(_xludf.ifna(VLOOKUP(B245,Parámetros!#REF!,1,0),"")="","No","Sí")</f>
        <v>#NAME?</v>
      </c>
      <c r="T245" s="7" t="str">
        <f t="shared" si="8"/>
        <v>Normativo</v>
      </c>
      <c r="U245" s="4" t="s">
        <v>195</v>
      </c>
      <c r="V245" s="4" t="s">
        <v>39</v>
      </c>
      <c r="W245" s="4" t="s">
        <v>233</v>
      </c>
      <c r="X245" s="4" t="s">
        <v>234</v>
      </c>
      <c r="Y245" s="4" t="s">
        <v>556</v>
      </c>
      <c r="Z245" s="5">
        <v>6305522</v>
      </c>
      <c r="AA245" s="5">
        <v>4746330</v>
      </c>
      <c r="AB245" s="4" t="s">
        <v>215</v>
      </c>
      <c r="AC245">
        <v>244</v>
      </c>
    </row>
    <row r="246" spans="1:29" ht="16.5" customHeight="1" x14ac:dyDescent="0.2">
      <c r="A246" s="6" t="str">
        <f t="shared" si="7"/>
        <v>SDATOOL-39272 $ GRM-Col-Cambio servicio APL (Aportes en línea)</v>
      </c>
      <c r="B246" s="4" t="s">
        <v>1522</v>
      </c>
      <c r="C246" s="4" t="s">
        <v>1523</v>
      </c>
      <c r="D246" s="4" t="s">
        <v>183</v>
      </c>
      <c r="E246" s="4" t="s">
        <v>1524</v>
      </c>
      <c r="F246" s="4" t="s">
        <v>56</v>
      </c>
      <c r="G246" s="4" t="s">
        <v>185</v>
      </c>
      <c r="H246" s="4" t="s">
        <v>186</v>
      </c>
      <c r="I246" s="4" t="s">
        <v>186</v>
      </c>
      <c r="K246" s="4" t="s">
        <v>1503</v>
      </c>
      <c r="L246" s="4" t="s">
        <v>314</v>
      </c>
      <c r="M246" s="4" t="s">
        <v>1525</v>
      </c>
      <c r="N246" s="4" t="s">
        <v>22</v>
      </c>
      <c r="O246" s="13" t="s">
        <v>610</v>
      </c>
      <c r="P246" s="13" t="s">
        <v>1526</v>
      </c>
      <c r="Q246" s="13" t="s">
        <v>255</v>
      </c>
      <c r="R246" s="4" t="s">
        <v>1527</v>
      </c>
      <c r="S246" s="7" t="e">
        <f ca="1">IF(_xludf.ifna(VLOOKUP(B246,Parámetros!#REF!,1,0),"")="","No","Sí")</f>
        <v>#NAME?</v>
      </c>
      <c r="T246" s="7" t="str">
        <f t="shared" si="8"/>
        <v>Normativo</v>
      </c>
      <c r="U246" s="4" t="s">
        <v>195</v>
      </c>
      <c r="V246" s="4" t="s">
        <v>39</v>
      </c>
      <c r="W246" s="4" t="s">
        <v>196</v>
      </c>
      <c r="X246" s="4" t="s">
        <v>225</v>
      </c>
      <c r="Y246" s="4" t="s">
        <v>613</v>
      </c>
      <c r="Z246" s="5">
        <v>568554425</v>
      </c>
      <c r="AA246" s="5">
        <v>563516140</v>
      </c>
      <c r="AB246" s="4" t="s">
        <v>180</v>
      </c>
      <c r="AC246">
        <v>245</v>
      </c>
    </row>
    <row r="247" spans="1:29" ht="16.5" hidden="1" customHeight="1" x14ac:dyDescent="0.2">
      <c r="A247" s="6" t="str">
        <f t="shared" si="7"/>
        <v>SDATOOL-39273 $ Integración pre aprobados tarjeta de crédito Open market</v>
      </c>
      <c r="B247" s="4" t="s">
        <v>1528</v>
      </c>
      <c r="C247" s="4" t="s">
        <v>1529</v>
      </c>
      <c r="D247" s="4" t="s">
        <v>763</v>
      </c>
      <c r="E247" s="4" t="s">
        <v>1530</v>
      </c>
      <c r="F247" s="4" t="s">
        <v>28</v>
      </c>
      <c r="G247" s="4" t="s">
        <v>185</v>
      </c>
      <c r="H247" s="4" t="s">
        <v>203</v>
      </c>
      <c r="J247" s="4" t="s">
        <v>204</v>
      </c>
      <c r="K247" s="4" t="s">
        <v>770</v>
      </c>
      <c r="L247" s="4" t="s">
        <v>206</v>
      </c>
      <c r="M247" s="4" t="s">
        <v>1530</v>
      </c>
      <c r="N247" s="4" t="s">
        <v>29</v>
      </c>
      <c r="O247" s="13" t="s">
        <v>480</v>
      </c>
      <c r="P247" s="13" t="s">
        <v>701</v>
      </c>
      <c r="Q247" s="13" t="s">
        <v>475</v>
      </c>
      <c r="S247" s="7" t="e">
        <f ca="1">IF(_xludf.ifna(VLOOKUP(B247,Parámetros!#REF!,1,0),"")="","No","Sí")</f>
        <v>#NAME?</v>
      </c>
      <c r="T247" s="7" t="str">
        <f t="shared" si="8"/>
        <v>No normativo</v>
      </c>
      <c r="U247" s="4" t="s">
        <v>195</v>
      </c>
      <c r="V247" s="4" t="s">
        <v>39</v>
      </c>
      <c r="W247" s="4" t="s">
        <v>233</v>
      </c>
      <c r="X247" s="4" t="s">
        <v>92</v>
      </c>
      <c r="Y247" s="4" t="s">
        <v>533</v>
      </c>
      <c r="Z247" s="4">
        <v>0</v>
      </c>
      <c r="AA247" s="4">
        <v>0</v>
      </c>
      <c r="AB247" s="4" t="s">
        <v>215</v>
      </c>
      <c r="AC247">
        <v>246</v>
      </c>
    </row>
    <row r="248" spans="1:29" ht="16.5" hidden="1" customHeight="1" x14ac:dyDescent="0.2">
      <c r="A248" s="6" t="str">
        <f t="shared" si="7"/>
        <v>SDATOOL-39282 $ Fiduciaria - Alta y domiciliación Fondos de inversión jurídicos en Gema</v>
      </c>
      <c r="B248" s="4" t="s">
        <v>1531</v>
      </c>
      <c r="C248" s="4" t="s">
        <v>1532</v>
      </c>
      <c r="D248" s="4" t="s">
        <v>183</v>
      </c>
      <c r="E248" s="4" t="s">
        <v>1533</v>
      </c>
      <c r="F248" s="4" t="s">
        <v>28</v>
      </c>
      <c r="G248" s="4" t="s">
        <v>185</v>
      </c>
      <c r="H248" s="4" t="s">
        <v>276</v>
      </c>
      <c r="I248" s="4" t="s">
        <v>186</v>
      </c>
      <c r="J248" s="4" t="s">
        <v>204</v>
      </c>
      <c r="K248" s="4" t="s">
        <v>1503</v>
      </c>
      <c r="L248" s="4" t="s">
        <v>394</v>
      </c>
      <c r="M248" s="4" t="s">
        <v>1534</v>
      </c>
      <c r="N248" s="4" t="s">
        <v>51</v>
      </c>
      <c r="O248" s="13" t="s">
        <v>1535</v>
      </c>
      <c r="P248" s="13" t="s">
        <v>1536</v>
      </c>
      <c r="Q248" s="13" t="s">
        <v>804</v>
      </c>
      <c r="S248" s="7" t="e">
        <f ca="1">IF(_xludf.ifna(VLOOKUP(B248,Parámetros!#REF!,1,0),"")="","No","Sí")</f>
        <v>#NAME?</v>
      </c>
      <c r="T248" s="7" t="str">
        <f t="shared" si="8"/>
        <v>No normativo</v>
      </c>
      <c r="U248" s="4" t="s">
        <v>195</v>
      </c>
      <c r="V248" s="4" t="s">
        <v>805</v>
      </c>
      <c r="W248" s="4" t="s">
        <v>196</v>
      </c>
      <c r="X248" s="4" t="s">
        <v>197</v>
      </c>
      <c r="Y248" s="4" t="s">
        <v>1537</v>
      </c>
      <c r="Z248" s="5">
        <v>430500000</v>
      </c>
      <c r="AA248" s="5">
        <v>287000000</v>
      </c>
      <c r="AB248" s="4" t="s">
        <v>180</v>
      </c>
      <c r="AC248">
        <v>247</v>
      </c>
    </row>
    <row r="249" spans="1:29" ht="16.5" hidden="1" customHeight="1" x14ac:dyDescent="0.2">
      <c r="A249" s="6" t="str">
        <f t="shared" si="7"/>
        <v>SDATOOL-39283 $ Fiduciaria - Obsolescencia software Base aplicativo Central</v>
      </c>
      <c r="B249" s="4" t="s">
        <v>1538</v>
      </c>
      <c r="C249" s="4" t="s">
        <v>1539</v>
      </c>
      <c r="D249" s="4" t="s">
        <v>763</v>
      </c>
      <c r="E249" s="4" t="s">
        <v>1540</v>
      </c>
      <c r="F249" s="4" t="s">
        <v>28</v>
      </c>
      <c r="G249" s="4" t="s">
        <v>185</v>
      </c>
      <c r="H249" s="4" t="s">
        <v>276</v>
      </c>
      <c r="I249" s="4" t="e">
        <v>#N/A</v>
      </c>
      <c r="J249" s="4" t="s">
        <v>204</v>
      </c>
      <c r="K249" s="4" t="s">
        <v>962</v>
      </c>
      <c r="L249" s="4" t="s">
        <v>189</v>
      </c>
      <c r="M249" s="4" t="s">
        <v>802</v>
      </c>
      <c r="N249" s="4" t="s">
        <v>15</v>
      </c>
      <c r="O249" s="13" t="s">
        <v>804</v>
      </c>
      <c r="P249" s="13" t="s">
        <v>1541</v>
      </c>
      <c r="Q249" s="13" t="s">
        <v>804</v>
      </c>
      <c r="S249" s="7" t="e">
        <f ca="1">IF(_xludf.ifna(VLOOKUP(B249,Parámetros!#REF!,1,0),"")="","No","Sí")</f>
        <v>#NAME?</v>
      </c>
      <c r="T249" s="7" t="str">
        <f t="shared" si="8"/>
        <v>Normativo</v>
      </c>
      <c r="U249" s="4" t="s">
        <v>1542</v>
      </c>
      <c r="V249" s="4" t="s">
        <v>805</v>
      </c>
      <c r="W249" s="4" t="s">
        <v>233</v>
      </c>
      <c r="X249" s="4" t="s">
        <v>234</v>
      </c>
      <c r="Y249" s="4" t="s">
        <v>806</v>
      </c>
      <c r="Z249" s="5">
        <v>104000000</v>
      </c>
      <c r="AA249" s="5">
        <v>52000000</v>
      </c>
      <c r="AB249" s="4" t="s">
        <v>180</v>
      </c>
      <c r="AC249">
        <v>248</v>
      </c>
    </row>
    <row r="250" spans="1:29" ht="16.5" hidden="1" customHeight="1" x14ac:dyDescent="0.2">
      <c r="A250" s="6" t="str">
        <f t="shared" si="7"/>
        <v>SDATOOL-39284 $ Automatización Catálogos - ALM</v>
      </c>
      <c r="B250" s="4" t="s">
        <v>1543</v>
      </c>
      <c r="C250" s="4" t="s">
        <v>1544</v>
      </c>
      <c r="D250" s="4" t="s">
        <v>183</v>
      </c>
      <c r="E250" s="4" t="s">
        <v>1545</v>
      </c>
      <c r="F250" s="4" t="s">
        <v>50</v>
      </c>
      <c r="G250" s="4" t="s">
        <v>185</v>
      </c>
      <c r="H250" s="4" t="s">
        <v>203</v>
      </c>
      <c r="J250" s="4" t="s">
        <v>187</v>
      </c>
      <c r="K250" s="4" t="s">
        <v>1503</v>
      </c>
      <c r="L250" s="4" t="s">
        <v>206</v>
      </c>
      <c r="M250" s="4" t="s">
        <v>1546</v>
      </c>
      <c r="N250" s="4" t="s">
        <v>15</v>
      </c>
      <c r="O250" s="13" t="s">
        <v>1547</v>
      </c>
      <c r="P250" s="13" t="s">
        <v>396</v>
      </c>
      <c r="Q250" s="13" t="s">
        <v>318</v>
      </c>
      <c r="R250" s="4" t="s">
        <v>1548</v>
      </c>
      <c r="S250" s="7" t="e">
        <f ca="1">IF(_xludf.ifna(VLOOKUP(B250,Parámetros!#REF!,1,0),"")="","No","Sí")</f>
        <v>#NAME?</v>
      </c>
      <c r="T250" s="7" t="str">
        <f t="shared" si="8"/>
        <v>Normativo</v>
      </c>
      <c r="U250" s="4" t="s">
        <v>195</v>
      </c>
      <c r="V250" s="4" t="s">
        <v>39</v>
      </c>
      <c r="W250" s="4" t="s">
        <v>196</v>
      </c>
      <c r="X250" s="4" t="s">
        <v>271</v>
      </c>
      <c r="Y250" s="4" t="s">
        <v>272</v>
      </c>
      <c r="Z250" s="4">
        <v>0</v>
      </c>
      <c r="AA250" s="4">
        <v>0</v>
      </c>
      <c r="AB250" s="4" t="s">
        <v>215</v>
      </c>
      <c r="AC250">
        <v>249</v>
      </c>
    </row>
    <row r="251" spans="1:29" ht="16.5" hidden="1" customHeight="1" x14ac:dyDescent="0.2">
      <c r="A251" s="6" t="str">
        <f t="shared" si="7"/>
        <v>SDATOOL-39285 $ Resolución 0029 del 02 de Marzo de 2022 - Certificado de Rentas de Trabajo</v>
      </c>
      <c r="B251" s="4" t="s">
        <v>1549</v>
      </c>
      <c r="C251" s="4" t="s">
        <v>1550</v>
      </c>
      <c r="D251" s="4" t="s">
        <v>763</v>
      </c>
      <c r="E251" s="4" t="s">
        <v>1551</v>
      </c>
      <c r="F251" s="4" t="s">
        <v>50</v>
      </c>
      <c r="G251" s="4" t="s">
        <v>185</v>
      </c>
      <c r="H251" s="4" t="s">
        <v>203</v>
      </c>
      <c r="J251" s="4" t="s">
        <v>204</v>
      </c>
      <c r="K251" s="4" t="s">
        <v>962</v>
      </c>
      <c r="L251" s="4" t="s">
        <v>206</v>
      </c>
      <c r="M251" s="4" t="s">
        <v>1552</v>
      </c>
      <c r="N251" s="4" t="s">
        <v>15</v>
      </c>
      <c r="O251" s="13" t="s">
        <v>568</v>
      </c>
      <c r="P251" s="13" t="s">
        <v>455</v>
      </c>
      <c r="Q251" s="13" t="s">
        <v>318</v>
      </c>
      <c r="R251" s="4" t="s">
        <v>1553</v>
      </c>
      <c r="S251" s="7" t="e">
        <f ca="1">IF(_xludf.ifna(VLOOKUP(B251,Parámetros!#REF!,1,0),"")="","No","Sí")</f>
        <v>#NAME?</v>
      </c>
      <c r="T251" s="7" t="str">
        <f t="shared" si="8"/>
        <v>Normativo</v>
      </c>
      <c r="U251" s="4" t="s">
        <v>224</v>
      </c>
      <c r="V251" s="4" t="s">
        <v>39</v>
      </c>
      <c r="W251" s="4" t="s">
        <v>196</v>
      </c>
      <c r="X251" s="4" t="s">
        <v>246</v>
      </c>
      <c r="Y251" s="4" t="s">
        <v>265</v>
      </c>
      <c r="Z251" s="4">
        <v>0</v>
      </c>
      <c r="AA251" s="5">
        <v>23356992</v>
      </c>
      <c r="AB251" s="4" t="s">
        <v>215</v>
      </c>
      <c r="AC251">
        <v>250</v>
      </c>
    </row>
    <row r="252" spans="1:29" ht="16.5" hidden="1" customHeight="1" x14ac:dyDescent="0.2">
      <c r="A252" s="6" t="str">
        <f t="shared" si="7"/>
        <v>SDATOOL-39317 $ Migración de ficheros Plataforma Informacional que alimentan RBA</v>
      </c>
      <c r="B252" s="4" t="s">
        <v>1554</v>
      </c>
      <c r="C252" s="4" t="s">
        <v>1555</v>
      </c>
      <c r="D252" s="4" t="s">
        <v>183</v>
      </c>
      <c r="E252" s="4" t="s">
        <v>1556</v>
      </c>
      <c r="F252" s="4" t="s">
        <v>69</v>
      </c>
      <c r="G252" s="4" t="s">
        <v>185</v>
      </c>
      <c r="H252" s="4" t="s">
        <v>203</v>
      </c>
      <c r="K252" s="4" t="s">
        <v>1503</v>
      </c>
      <c r="L252" s="4" t="s">
        <v>206</v>
      </c>
      <c r="M252" s="4" t="s">
        <v>1557</v>
      </c>
      <c r="N252" s="4" t="s">
        <v>15</v>
      </c>
      <c r="O252" s="13" t="s">
        <v>316</v>
      </c>
      <c r="P252" s="13" t="s">
        <v>317</v>
      </c>
      <c r="Q252" s="13" t="s">
        <v>318</v>
      </c>
      <c r="S252" s="7" t="e">
        <f ca="1">IF(_xludf.ifna(VLOOKUP(B252,Parámetros!#REF!,1,0),"")="","No","Sí")</f>
        <v>#NAME?</v>
      </c>
      <c r="T252" s="7" t="str">
        <f t="shared" si="8"/>
        <v>Normativo</v>
      </c>
      <c r="U252" s="4" t="s">
        <v>1542</v>
      </c>
      <c r="V252" s="4" t="s">
        <v>39</v>
      </c>
      <c r="W252" s="4" t="s">
        <v>196</v>
      </c>
      <c r="X252" s="4" t="s">
        <v>225</v>
      </c>
      <c r="Y252" s="4" t="s">
        <v>320</v>
      </c>
      <c r="Z252" s="5">
        <v>4000004</v>
      </c>
      <c r="AA252" s="5">
        <v>2956303</v>
      </c>
      <c r="AB252" s="4" t="s">
        <v>215</v>
      </c>
      <c r="AC252">
        <v>251</v>
      </c>
    </row>
    <row r="253" spans="1:29" ht="16.5" customHeight="1" x14ac:dyDescent="0.2">
      <c r="A253" s="6" t="str">
        <f t="shared" si="7"/>
        <v>SDATOOL-39321 $ GRM Col Asset control - Eficiencia en procesos</v>
      </c>
      <c r="B253" s="4" t="s">
        <v>1558</v>
      </c>
      <c r="C253" s="4" t="s">
        <v>1559</v>
      </c>
      <c r="D253" s="4" t="s">
        <v>183</v>
      </c>
      <c r="E253" s="4" t="s">
        <v>1560</v>
      </c>
      <c r="F253" s="4" t="s">
        <v>56</v>
      </c>
      <c r="G253" s="4" t="s">
        <v>185</v>
      </c>
      <c r="H253" s="4" t="s">
        <v>186</v>
      </c>
      <c r="K253" s="4" t="s">
        <v>1503</v>
      </c>
      <c r="L253" s="4" t="s">
        <v>386</v>
      </c>
      <c r="M253" s="4" t="s">
        <v>1561</v>
      </c>
      <c r="N253" s="4" t="s">
        <v>15</v>
      </c>
      <c r="O253" s="13" t="s">
        <v>1562</v>
      </c>
      <c r="P253" s="13" t="s">
        <v>1246</v>
      </c>
      <c r="Q253" s="13" t="s">
        <v>193</v>
      </c>
      <c r="S253" s="7" t="e">
        <f ca="1">IF(_xludf.ifna(VLOOKUP(B253,Parámetros!#REF!,1,0),"")="","No","Sí")</f>
        <v>#NAME?</v>
      </c>
      <c r="T253" s="7" t="str">
        <f t="shared" si="8"/>
        <v>No normativo</v>
      </c>
      <c r="U253" s="4" t="s">
        <v>195</v>
      </c>
      <c r="V253" s="4" t="s">
        <v>39</v>
      </c>
      <c r="W253" s="4" t="s">
        <v>196</v>
      </c>
      <c r="X253" s="4" t="s">
        <v>328</v>
      </c>
      <c r="Y253" s="4" t="s">
        <v>1379</v>
      </c>
      <c r="Z253" s="4">
        <v>0</v>
      </c>
      <c r="AA253" s="5">
        <v>82899917</v>
      </c>
      <c r="AB253" s="4" t="s">
        <v>215</v>
      </c>
      <c r="AC253">
        <v>252</v>
      </c>
    </row>
    <row r="254" spans="1:29" ht="16.5" hidden="1" customHeight="1" x14ac:dyDescent="0.2">
      <c r="A254" s="6" t="str">
        <f t="shared" si="7"/>
        <v>SDATOOL-39326 $ Tarjeta de crédito Open market 7x24</v>
      </c>
      <c r="B254" s="4" t="s">
        <v>1563</v>
      </c>
      <c r="C254" s="4" t="s">
        <v>1564</v>
      </c>
      <c r="D254" s="4" t="s">
        <v>183</v>
      </c>
      <c r="E254" s="4" t="s">
        <v>1565</v>
      </c>
      <c r="F254" s="4" t="s">
        <v>28</v>
      </c>
      <c r="G254" s="4" t="s">
        <v>185</v>
      </c>
      <c r="H254" s="4" t="s">
        <v>203</v>
      </c>
      <c r="J254" s="4" t="s">
        <v>204</v>
      </c>
      <c r="K254" s="4" t="s">
        <v>770</v>
      </c>
      <c r="L254" s="4" t="s">
        <v>206</v>
      </c>
      <c r="M254" s="4" t="s">
        <v>529</v>
      </c>
      <c r="N254" s="4" t="s">
        <v>29</v>
      </c>
      <c r="O254" s="13" t="s">
        <v>1566</v>
      </c>
      <c r="P254" s="13" t="s">
        <v>701</v>
      </c>
      <c r="Q254" s="13" t="s">
        <v>475</v>
      </c>
      <c r="S254" s="7" t="e">
        <f ca="1">IF(_xludf.ifna(VLOOKUP(B254,Parámetros!#REF!,1,0),"")="","No","Sí")</f>
        <v>#NAME?</v>
      </c>
      <c r="T254" s="7" t="str">
        <f t="shared" si="8"/>
        <v>No normativo</v>
      </c>
      <c r="U254" s="4" t="s">
        <v>195</v>
      </c>
      <c r="V254" s="4" t="s">
        <v>39</v>
      </c>
      <c r="W254" s="4" t="s">
        <v>233</v>
      </c>
      <c r="X254" s="4" t="s">
        <v>92</v>
      </c>
      <c r="Y254" s="4" t="s">
        <v>533</v>
      </c>
      <c r="Z254" s="5">
        <v>1605480</v>
      </c>
      <c r="AA254" s="5">
        <v>75343060</v>
      </c>
      <c r="AB254" s="4" t="s">
        <v>215</v>
      </c>
      <c r="AC254">
        <v>253</v>
      </c>
    </row>
    <row r="255" spans="1:29" ht="16.5" customHeight="1" x14ac:dyDescent="0.2">
      <c r="A255" s="6" t="str">
        <f t="shared" si="7"/>
        <v>SDATOOL-39327 $ Subproducto Cuenta Maestra</v>
      </c>
      <c r="B255" s="4" t="s">
        <v>1567</v>
      </c>
      <c r="C255" s="4" t="s">
        <v>1568</v>
      </c>
      <c r="D255" s="4" t="s">
        <v>183</v>
      </c>
      <c r="E255" s="4" t="s">
        <v>1569</v>
      </c>
      <c r="F255" s="4" t="s">
        <v>28</v>
      </c>
      <c r="G255" s="4" t="s">
        <v>185</v>
      </c>
      <c r="H255" s="4" t="s">
        <v>186</v>
      </c>
      <c r="J255" s="4" t="s">
        <v>204</v>
      </c>
      <c r="K255" s="4" t="s">
        <v>1503</v>
      </c>
      <c r="L255" s="4" t="s">
        <v>586</v>
      </c>
      <c r="M255" s="4" t="s">
        <v>540</v>
      </c>
      <c r="N255" s="4" t="s">
        <v>15</v>
      </c>
      <c r="O255" s="13" t="s">
        <v>541</v>
      </c>
      <c r="P255" s="13" t="s">
        <v>542</v>
      </c>
      <c r="Q255" s="13" t="s">
        <v>574</v>
      </c>
      <c r="S255" s="7" t="e">
        <f ca="1">IF(_xludf.ifna(VLOOKUP(B255,Parámetros!#REF!,1,0),"")="","No","Sí")</f>
        <v>#NAME?</v>
      </c>
      <c r="T255" s="7" t="str">
        <f t="shared" si="8"/>
        <v>No normativo</v>
      </c>
      <c r="U255" s="4" t="s">
        <v>224</v>
      </c>
      <c r="V255" s="4" t="s">
        <v>39</v>
      </c>
      <c r="W255" s="4" t="s">
        <v>300</v>
      </c>
      <c r="X255" s="4" t="s">
        <v>301</v>
      </c>
      <c r="Y255" s="4" t="s">
        <v>302</v>
      </c>
      <c r="Z255" s="5">
        <v>250000000</v>
      </c>
      <c r="AA255" s="5">
        <v>250000000</v>
      </c>
      <c r="AB255" s="4" t="s">
        <v>180</v>
      </c>
      <c r="AC255">
        <v>254</v>
      </c>
    </row>
    <row r="256" spans="1:29" ht="16.5" hidden="1" customHeight="1" x14ac:dyDescent="0.2">
      <c r="A256" s="6" t="str">
        <f t="shared" si="7"/>
        <v>SDATOOL-39333 $ Pago de Impuestos Nacionales y Aduaneros con Títulos TIDIS,CERT y TRT</v>
      </c>
      <c r="B256" s="4" t="s">
        <v>1570</v>
      </c>
      <c r="C256" s="4" t="s">
        <v>1571</v>
      </c>
      <c r="D256" s="4" t="s">
        <v>763</v>
      </c>
      <c r="E256" s="4" t="s">
        <v>1572</v>
      </c>
      <c r="F256" s="4" t="s">
        <v>28</v>
      </c>
      <c r="G256" s="4" t="s">
        <v>185</v>
      </c>
      <c r="H256" s="4" t="s">
        <v>203</v>
      </c>
      <c r="J256" s="4" t="s">
        <v>204</v>
      </c>
      <c r="K256" s="4" t="s">
        <v>206</v>
      </c>
      <c r="L256" s="4" t="s">
        <v>206</v>
      </c>
      <c r="M256" s="4" t="s">
        <v>1573</v>
      </c>
      <c r="N256" s="4" t="s">
        <v>22</v>
      </c>
      <c r="O256" s="13" t="s">
        <v>541</v>
      </c>
      <c r="P256" s="13" t="s">
        <v>542</v>
      </c>
      <c r="Q256" s="13" t="s">
        <v>543</v>
      </c>
      <c r="S256" s="7" t="e">
        <f ca="1">IF(_xludf.ifna(VLOOKUP(B256,Parámetros!#REF!,1,0),"")="","No","Sí")</f>
        <v>#NAME?</v>
      </c>
      <c r="T256" s="7" t="str">
        <f t="shared" si="8"/>
        <v>No normativo</v>
      </c>
      <c r="U256" s="4" t="s">
        <v>224</v>
      </c>
      <c r="V256" s="4" t="s">
        <v>39</v>
      </c>
      <c r="W256" s="4" t="s">
        <v>300</v>
      </c>
      <c r="X256" s="4" t="s">
        <v>301</v>
      </c>
      <c r="Y256" s="4" t="s">
        <v>302</v>
      </c>
      <c r="Z256" s="4">
        <v>0</v>
      </c>
      <c r="AA256" s="4">
        <v>0</v>
      </c>
      <c r="AB256" s="4" t="s">
        <v>215</v>
      </c>
      <c r="AC256">
        <v>255</v>
      </c>
    </row>
    <row r="257" spans="1:29" ht="16.5" customHeight="1" x14ac:dyDescent="0.2">
      <c r="A257" s="6" t="str">
        <f t="shared" si="7"/>
        <v>SDATOOL-39334 $ GRM Col Reg - CE016-19 Modificados, reestructurados e incumplidos Leasing</v>
      </c>
      <c r="B257" s="4" t="s">
        <v>1574</v>
      </c>
      <c r="C257" s="4" t="s">
        <v>1575</v>
      </c>
      <c r="D257" s="4" t="s">
        <v>183</v>
      </c>
      <c r="E257" s="4" t="s">
        <v>1576</v>
      </c>
      <c r="F257" s="4" t="s">
        <v>56</v>
      </c>
      <c r="G257" s="4" t="s">
        <v>185</v>
      </c>
      <c r="H257" s="4" t="s">
        <v>186</v>
      </c>
      <c r="K257" s="4" t="s">
        <v>1503</v>
      </c>
      <c r="L257" s="4" t="s">
        <v>586</v>
      </c>
      <c r="M257" s="4" t="s">
        <v>1577</v>
      </c>
      <c r="N257" s="4" t="s">
        <v>29</v>
      </c>
      <c r="O257" s="13" t="s">
        <v>1578</v>
      </c>
      <c r="P257" s="13" t="s">
        <v>326</v>
      </c>
      <c r="Q257" s="13" t="s">
        <v>456</v>
      </c>
      <c r="R257" s="4" t="s">
        <v>327</v>
      </c>
      <c r="S257" s="7" t="e">
        <f ca="1">IF(_xludf.ifna(VLOOKUP(B257,Parámetros!#REF!,1,0),"")="","No","Sí")</f>
        <v>#NAME?</v>
      </c>
      <c r="T257" s="7" t="str">
        <f t="shared" si="8"/>
        <v>No normativo</v>
      </c>
      <c r="U257" s="4" t="s">
        <v>224</v>
      </c>
      <c r="V257" s="4" t="s">
        <v>39</v>
      </c>
      <c r="W257" s="4" t="s">
        <v>196</v>
      </c>
      <c r="X257" s="4" t="s">
        <v>328</v>
      </c>
      <c r="Y257" s="4" t="s">
        <v>329</v>
      </c>
      <c r="Z257" s="5">
        <v>417335000</v>
      </c>
      <c r="AA257" s="5">
        <v>321000000</v>
      </c>
      <c r="AB257" s="4" t="s">
        <v>180</v>
      </c>
      <c r="AC257">
        <v>256</v>
      </c>
    </row>
    <row r="258" spans="1:29" ht="16.5" hidden="1" customHeight="1" x14ac:dyDescent="0.2">
      <c r="A258" s="6" t="str">
        <f t="shared" si="7"/>
        <v>SDATOOL-39340 $ Integración Botón de Pagos PSE (Proveedores) al Módulo de Impuestos Departamentales</v>
      </c>
      <c r="B258" s="4" t="s">
        <v>1579</v>
      </c>
      <c r="C258" s="4" t="s">
        <v>1580</v>
      </c>
      <c r="D258" s="4" t="s">
        <v>763</v>
      </c>
      <c r="E258" s="4" t="s">
        <v>1581</v>
      </c>
      <c r="F258" s="4" t="s">
        <v>28</v>
      </c>
      <c r="G258" s="4" t="s">
        <v>185</v>
      </c>
      <c r="H258" s="4" t="s">
        <v>203</v>
      </c>
      <c r="J258" s="4" t="s">
        <v>204</v>
      </c>
      <c r="K258" s="4" t="s">
        <v>1503</v>
      </c>
      <c r="L258" s="4" t="s">
        <v>206</v>
      </c>
      <c r="M258" s="4" t="s">
        <v>1582</v>
      </c>
      <c r="N258" s="4" t="s">
        <v>22</v>
      </c>
      <c r="O258" s="13" t="s">
        <v>541</v>
      </c>
      <c r="P258" s="13" t="s">
        <v>542</v>
      </c>
      <c r="Q258" s="13" t="s">
        <v>543</v>
      </c>
      <c r="S258" s="7" t="e">
        <f ca="1">IF(_xludf.ifna(VLOOKUP(B258,Parámetros!#REF!,1,0),"")="","No","Sí")</f>
        <v>#NAME?</v>
      </c>
      <c r="T258" s="7" t="str">
        <f t="shared" si="8"/>
        <v>No normativo</v>
      </c>
      <c r="U258" s="4" t="s">
        <v>224</v>
      </c>
      <c r="V258" s="4" t="s">
        <v>39</v>
      </c>
      <c r="W258" s="4" t="s">
        <v>300</v>
      </c>
      <c r="X258" s="4" t="s">
        <v>301</v>
      </c>
      <c r="Y258" s="4" t="s">
        <v>302</v>
      </c>
      <c r="Z258" s="4">
        <v>0</v>
      </c>
      <c r="AA258" s="4">
        <v>0</v>
      </c>
      <c r="AB258" s="4" t="s">
        <v>215</v>
      </c>
      <c r="AC258">
        <v>257</v>
      </c>
    </row>
    <row r="259" spans="1:29" ht="16.5" customHeight="1" x14ac:dyDescent="0.2">
      <c r="A259" s="6" t="str">
        <f t="shared" ref="A259:A322" si="9">B259&amp;" $ "&amp;C259</f>
        <v>SDATOOL-39347 $ Alertas Personalizadas FX</v>
      </c>
      <c r="B259" s="4" t="s">
        <v>1583</v>
      </c>
      <c r="C259" s="4" t="s">
        <v>1584</v>
      </c>
      <c r="D259" s="4" t="s">
        <v>763</v>
      </c>
      <c r="E259" s="4" t="s">
        <v>1585</v>
      </c>
      <c r="F259" s="4" t="s">
        <v>21</v>
      </c>
      <c r="G259" s="4" t="s">
        <v>185</v>
      </c>
      <c r="H259" s="4" t="s">
        <v>186</v>
      </c>
      <c r="K259" s="4" t="s">
        <v>1503</v>
      </c>
      <c r="L259" s="4" t="s">
        <v>314</v>
      </c>
      <c r="M259" s="4" t="s">
        <v>418</v>
      </c>
      <c r="N259" s="4" t="s">
        <v>44</v>
      </c>
      <c r="O259" s="13" t="s">
        <v>419</v>
      </c>
      <c r="P259" s="13" t="s">
        <v>419</v>
      </c>
      <c r="Q259" s="13" t="s">
        <v>193</v>
      </c>
      <c r="S259" s="7" t="e">
        <f ca="1">IF(_xludf.ifna(VLOOKUP(B259,Parámetros!#REF!,1,0),"")="","No","Sí")</f>
        <v>#NAME?</v>
      </c>
      <c r="T259" s="7" t="str">
        <f t="shared" ref="T259:T322" si="10">IF(U265="None","No normativo","Normativo")</f>
        <v>No normativo</v>
      </c>
      <c r="U259" s="4" t="s">
        <v>195</v>
      </c>
      <c r="V259" s="4" t="s">
        <v>39</v>
      </c>
      <c r="W259" s="4" t="s">
        <v>233</v>
      </c>
      <c r="X259" s="4" t="s">
        <v>234</v>
      </c>
      <c r="Y259" s="4" t="s">
        <v>389</v>
      </c>
      <c r="Z259" s="5">
        <v>662900000</v>
      </c>
      <c r="AA259" s="5">
        <v>600000000</v>
      </c>
      <c r="AB259" s="4" t="s">
        <v>215</v>
      </c>
      <c r="AC259">
        <v>258</v>
      </c>
    </row>
    <row r="260" spans="1:29" ht="16.5" customHeight="1" x14ac:dyDescent="0.2">
      <c r="A260" s="6" t="str">
        <f t="shared" si="9"/>
        <v>SDATOOL-39348 $ tarjeta de crédito Open Market Fallback product</v>
      </c>
      <c r="B260" s="4" t="s">
        <v>1586</v>
      </c>
      <c r="C260" s="4" t="s">
        <v>1587</v>
      </c>
      <c r="D260" s="4" t="s">
        <v>183</v>
      </c>
      <c r="E260" s="4" t="s">
        <v>1588</v>
      </c>
      <c r="F260" s="4" t="s">
        <v>28</v>
      </c>
      <c r="G260" s="4" t="s">
        <v>185</v>
      </c>
      <c r="H260" s="4" t="s">
        <v>186</v>
      </c>
      <c r="I260" s="4" t="s">
        <v>186</v>
      </c>
      <c r="J260" s="4" t="s">
        <v>204</v>
      </c>
      <c r="K260" s="4" t="s">
        <v>962</v>
      </c>
      <c r="L260" s="4" t="s">
        <v>189</v>
      </c>
      <c r="M260" s="4" t="s">
        <v>529</v>
      </c>
      <c r="N260" s="4" t="s">
        <v>29</v>
      </c>
      <c r="O260" s="13" t="s">
        <v>1566</v>
      </c>
      <c r="P260" s="13" t="s">
        <v>701</v>
      </c>
      <c r="Q260" s="13" t="s">
        <v>632</v>
      </c>
      <c r="S260" s="7" t="e">
        <f ca="1">IF(_xludf.ifna(VLOOKUP(B260,Parámetros!#REF!,1,0),"")="","No","Sí")</f>
        <v>#NAME?</v>
      </c>
      <c r="T260" s="7" t="str">
        <f t="shared" si="10"/>
        <v>No normativo</v>
      </c>
      <c r="U260" s="4" t="s">
        <v>195</v>
      </c>
      <c r="V260" s="4" t="s">
        <v>39</v>
      </c>
      <c r="W260" s="4" t="s">
        <v>233</v>
      </c>
      <c r="X260" s="4" t="s">
        <v>92</v>
      </c>
      <c r="Y260" s="4" t="s">
        <v>533</v>
      </c>
      <c r="Z260" s="5">
        <v>714341046</v>
      </c>
      <c r="AA260" s="5">
        <v>758964127</v>
      </c>
      <c r="AB260" s="4" t="s">
        <v>180</v>
      </c>
      <c r="AC260">
        <v>259</v>
      </c>
    </row>
    <row r="261" spans="1:29" ht="16.5" hidden="1" customHeight="1" x14ac:dyDescent="0.2">
      <c r="A261" s="6" t="str">
        <f t="shared" si="9"/>
        <v>SDATOOL-39352 $ Gema: Solicitud de tarjeta de crédito</v>
      </c>
      <c r="B261" s="4" t="s">
        <v>1589</v>
      </c>
      <c r="C261" s="4" t="s">
        <v>1590</v>
      </c>
      <c r="D261" s="4" t="s">
        <v>763</v>
      </c>
      <c r="E261" s="4" t="s">
        <v>1591</v>
      </c>
      <c r="F261" s="4" t="s">
        <v>28</v>
      </c>
      <c r="G261" s="4" t="s">
        <v>185</v>
      </c>
      <c r="H261" s="4" t="s">
        <v>752</v>
      </c>
      <c r="J261" s="4" t="s">
        <v>204</v>
      </c>
      <c r="K261" s="4" t="s">
        <v>962</v>
      </c>
      <c r="L261" s="4" t="s">
        <v>314</v>
      </c>
      <c r="M261" s="4" t="s">
        <v>1592</v>
      </c>
      <c r="N261" s="4" t="s">
        <v>51</v>
      </c>
      <c r="O261" s="13" t="s">
        <v>404</v>
      </c>
      <c r="P261" s="13" t="s">
        <v>405</v>
      </c>
      <c r="Q261" s="13" t="s">
        <v>434</v>
      </c>
      <c r="S261" s="7" t="e">
        <f ca="1">IF(_xludf.ifna(VLOOKUP(B261,Parámetros!#REF!,1,0),"")="","No","Sí")</f>
        <v>#NAME?</v>
      </c>
      <c r="T261" s="7" t="str">
        <f t="shared" si="10"/>
        <v>No normativo</v>
      </c>
      <c r="U261" s="4" t="s">
        <v>195</v>
      </c>
      <c r="V261" s="4" t="s">
        <v>39</v>
      </c>
      <c r="W261" s="4" t="s">
        <v>233</v>
      </c>
      <c r="X261" s="4" t="s">
        <v>234</v>
      </c>
      <c r="Y261" s="4" t="s">
        <v>525</v>
      </c>
      <c r="Z261" s="4">
        <v>0</v>
      </c>
      <c r="AA261" s="4">
        <v>0</v>
      </c>
      <c r="AB261" s="4" t="s">
        <v>215</v>
      </c>
      <c r="AC261">
        <v>260</v>
      </c>
    </row>
    <row r="262" spans="1:29" ht="16.5" customHeight="1" x14ac:dyDescent="0.2">
      <c r="A262" s="6" t="str">
        <f t="shared" si="9"/>
        <v>SDATOOL-39353 $ Redirección Mobile POS</v>
      </c>
      <c r="B262" s="4" t="s">
        <v>112</v>
      </c>
      <c r="C262" s="4" t="s">
        <v>1593</v>
      </c>
      <c r="D262" s="4" t="s">
        <v>183</v>
      </c>
      <c r="E262" s="4" t="s">
        <v>1594</v>
      </c>
      <c r="F262" s="4" t="s">
        <v>28</v>
      </c>
      <c r="G262" s="4" t="s">
        <v>185</v>
      </c>
      <c r="H262" s="4" t="s">
        <v>186</v>
      </c>
      <c r="J262" s="4" t="s">
        <v>204</v>
      </c>
      <c r="K262" s="4" t="s">
        <v>962</v>
      </c>
      <c r="L262" s="4" t="s">
        <v>386</v>
      </c>
      <c r="M262" s="4" t="s">
        <v>665</v>
      </c>
      <c r="N262" s="4" t="s">
        <v>51</v>
      </c>
      <c r="O262" s="13" t="s">
        <v>1595</v>
      </c>
      <c r="P262" s="13" t="s">
        <v>405</v>
      </c>
      <c r="Q262" s="13" t="s">
        <v>434</v>
      </c>
      <c r="S262" s="7" t="e">
        <f ca="1">IF(_xludf.ifna(VLOOKUP(B262,Parámetros!#REF!,1,0),"")="","No","Sí")</f>
        <v>#NAME?</v>
      </c>
      <c r="T262" s="7" t="str">
        <f t="shared" si="10"/>
        <v>Normativo</v>
      </c>
      <c r="U262" s="4" t="s">
        <v>195</v>
      </c>
      <c r="V262" s="4" t="s">
        <v>39</v>
      </c>
      <c r="W262" s="4" t="s">
        <v>233</v>
      </c>
      <c r="X262" s="4" t="s">
        <v>234</v>
      </c>
      <c r="Y262" s="4" t="s">
        <v>667</v>
      </c>
      <c r="Z262" s="5">
        <v>355955745</v>
      </c>
      <c r="AA262" s="5">
        <v>348917038</v>
      </c>
      <c r="AB262" s="4" t="s">
        <v>215</v>
      </c>
      <c r="AC262">
        <v>261</v>
      </c>
    </row>
    <row r="263" spans="1:29" ht="16.5" customHeight="1" x14ac:dyDescent="0.2">
      <c r="A263" s="6" t="str">
        <f t="shared" si="9"/>
        <v>SDATOOL-39354 $ My business Open Pay - Plan Ascenso Mercurio</v>
      </c>
      <c r="B263" s="4" t="s">
        <v>109</v>
      </c>
      <c r="C263" s="4" t="s">
        <v>1596</v>
      </c>
      <c r="D263" s="4" t="s">
        <v>183</v>
      </c>
      <c r="E263" s="4" t="s">
        <v>1597</v>
      </c>
      <c r="F263" s="4" t="s">
        <v>28</v>
      </c>
      <c r="G263" s="4" t="s">
        <v>185</v>
      </c>
      <c r="H263" s="4" t="s">
        <v>186</v>
      </c>
      <c r="I263" s="4" t="s">
        <v>186</v>
      </c>
      <c r="J263" s="4" t="s">
        <v>204</v>
      </c>
      <c r="K263" s="4" t="s">
        <v>962</v>
      </c>
      <c r="L263" s="4" t="s">
        <v>394</v>
      </c>
      <c r="M263" s="4" t="s">
        <v>665</v>
      </c>
      <c r="N263" s="4" t="s">
        <v>51</v>
      </c>
      <c r="O263" s="13" t="s">
        <v>480</v>
      </c>
      <c r="P263" s="13" t="s">
        <v>776</v>
      </c>
      <c r="Q263" s="13" t="s">
        <v>434</v>
      </c>
      <c r="S263" s="7" t="e">
        <f ca="1">IF(_xludf.ifna(VLOOKUP(B263,Parámetros!#REF!,1,0),"")="","No","Sí")</f>
        <v>#NAME?</v>
      </c>
      <c r="T263" s="7" t="str">
        <f t="shared" si="10"/>
        <v>No normativo</v>
      </c>
      <c r="U263" s="4" t="s">
        <v>195</v>
      </c>
      <c r="V263" s="4" t="s">
        <v>39</v>
      </c>
      <c r="W263" s="4" t="s">
        <v>233</v>
      </c>
      <c r="X263" s="4" t="s">
        <v>234</v>
      </c>
      <c r="Y263" s="4" t="s">
        <v>667</v>
      </c>
      <c r="Z263" s="5">
        <v>2008512001</v>
      </c>
      <c r="AA263" s="5">
        <v>550000000</v>
      </c>
      <c r="AB263" s="4" t="s">
        <v>180</v>
      </c>
      <c r="AC263">
        <v>262</v>
      </c>
    </row>
    <row r="264" spans="1:29" ht="16.5" hidden="1" customHeight="1" x14ac:dyDescent="0.2">
      <c r="A264" s="6" t="str">
        <f t="shared" si="9"/>
        <v>SDATOOL-39357 $ Despriorizado - Single APP</v>
      </c>
      <c r="B264" s="4" t="s">
        <v>1598</v>
      </c>
      <c r="C264" s="4" t="s">
        <v>1599</v>
      </c>
      <c r="D264" s="4" t="s">
        <v>183</v>
      </c>
      <c r="E264" s="4" t="s">
        <v>1600</v>
      </c>
      <c r="F264" s="4" t="s">
        <v>28</v>
      </c>
      <c r="G264" s="4" t="s">
        <v>185</v>
      </c>
      <c r="H264" s="4" t="s">
        <v>276</v>
      </c>
      <c r="J264" s="4" t="s">
        <v>204</v>
      </c>
      <c r="K264" s="4" t="s">
        <v>962</v>
      </c>
      <c r="L264" s="4" t="s">
        <v>386</v>
      </c>
      <c r="M264" s="4" t="s">
        <v>1601</v>
      </c>
      <c r="N264" s="4" t="s">
        <v>51</v>
      </c>
      <c r="O264" s="13" t="s">
        <v>404</v>
      </c>
      <c r="Q264" s="13" t="s">
        <v>406</v>
      </c>
      <c r="S264" s="7" t="e">
        <f ca="1">IF(_xludf.ifna(VLOOKUP(B264,Parámetros!#REF!,1,0),"")="","No","Sí")</f>
        <v>#NAME?</v>
      </c>
      <c r="T264" s="7" t="str">
        <f t="shared" si="10"/>
        <v>No normativo</v>
      </c>
      <c r="U264" s="4" t="s">
        <v>195</v>
      </c>
      <c r="V264" s="4" t="s">
        <v>39</v>
      </c>
      <c r="W264" s="4" t="s">
        <v>300</v>
      </c>
      <c r="X264" s="4" t="s">
        <v>301</v>
      </c>
      <c r="Y264" s="4" t="s">
        <v>302</v>
      </c>
      <c r="Z264" s="5">
        <v>900000000</v>
      </c>
      <c r="AA264" s="5">
        <v>900000000</v>
      </c>
      <c r="AB264" s="4" t="s">
        <v>215</v>
      </c>
      <c r="AC264">
        <v>263</v>
      </c>
    </row>
    <row r="265" spans="1:29" ht="16.5" customHeight="1" x14ac:dyDescent="0.2">
      <c r="A265" s="6" t="str">
        <f t="shared" si="9"/>
        <v>SDATOOL-39358 $ Crédito Virtual</v>
      </c>
      <c r="B265" s="4" t="s">
        <v>97</v>
      </c>
      <c r="C265" s="4" t="s">
        <v>1602</v>
      </c>
      <c r="D265" s="4" t="s">
        <v>183</v>
      </c>
      <c r="E265" s="4" t="s">
        <v>1603</v>
      </c>
      <c r="F265" s="4" t="s">
        <v>28</v>
      </c>
      <c r="G265" s="4" t="s">
        <v>185</v>
      </c>
      <c r="H265" s="4" t="s">
        <v>186</v>
      </c>
      <c r="I265" s="4" t="s">
        <v>186</v>
      </c>
      <c r="J265" s="4" t="s">
        <v>204</v>
      </c>
      <c r="K265" s="4" t="s">
        <v>1503</v>
      </c>
      <c r="L265" s="4" t="s">
        <v>314</v>
      </c>
      <c r="M265" s="4" t="s">
        <v>600</v>
      </c>
      <c r="N265" s="4" t="s">
        <v>51</v>
      </c>
      <c r="O265" s="13" t="s">
        <v>404</v>
      </c>
      <c r="P265" s="13" t="s">
        <v>1604</v>
      </c>
      <c r="Q265" s="13" t="s">
        <v>519</v>
      </c>
      <c r="S265" s="7" t="e">
        <f ca="1">IF(_xludf.ifna(VLOOKUP(B265,Parámetros!#REF!,1,0),"")="","No","Sí")</f>
        <v>#NAME?</v>
      </c>
      <c r="T265" s="7" t="str">
        <f t="shared" si="10"/>
        <v>No normativo</v>
      </c>
      <c r="U265" s="4" t="s">
        <v>195</v>
      </c>
      <c r="V265" s="4" t="s">
        <v>39</v>
      </c>
      <c r="W265" s="4" t="s">
        <v>233</v>
      </c>
      <c r="X265" s="4" t="s">
        <v>234</v>
      </c>
      <c r="Y265" s="4" t="s">
        <v>520</v>
      </c>
      <c r="Z265" s="5">
        <v>2179084807</v>
      </c>
      <c r="AA265" s="5">
        <v>607661343</v>
      </c>
      <c r="AB265" s="4" t="s">
        <v>180</v>
      </c>
      <c r="AC265">
        <v>264</v>
      </c>
    </row>
    <row r="266" spans="1:29" ht="16.5" customHeight="1" x14ac:dyDescent="0.2">
      <c r="A266" s="6" t="str">
        <f t="shared" si="9"/>
        <v>SDATOOL-39365 $ Adecuación física nueva Estructura Redes</v>
      </c>
      <c r="B266" s="4" t="s">
        <v>1605</v>
      </c>
      <c r="C266" s="4" t="s">
        <v>1606</v>
      </c>
      <c r="D266" s="4" t="s">
        <v>183</v>
      </c>
      <c r="E266" s="4" t="s">
        <v>1607</v>
      </c>
      <c r="F266" s="4" t="s">
        <v>35</v>
      </c>
      <c r="G266" s="4" t="s">
        <v>185</v>
      </c>
      <c r="H266" s="4" t="s">
        <v>186</v>
      </c>
      <c r="J266" s="4" t="s">
        <v>204</v>
      </c>
      <c r="K266" s="4" t="s">
        <v>1503</v>
      </c>
      <c r="L266" s="4" t="s">
        <v>386</v>
      </c>
      <c r="M266" s="4" t="s">
        <v>1608</v>
      </c>
      <c r="N266" s="4" t="s">
        <v>15</v>
      </c>
      <c r="O266" s="13" t="s">
        <v>412</v>
      </c>
      <c r="P266" s="13" t="s">
        <v>650</v>
      </c>
      <c r="Q266" s="13" t="s">
        <v>984</v>
      </c>
      <c r="S266" s="7" t="e">
        <f ca="1">IF(_xludf.ifna(VLOOKUP(B266,Parámetros!#REF!,1,0),"")="","No","Sí")</f>
        <v>#NAME?</v>
      </c>
      <c r="T266" s="7" t="str">
        <f t="shared" si="10"/>
        <v>Normativo</v>
      </c>
      <c r="U266" s="4" t="s">
        <v>195</v>
      </c>
      <c r="V266" s="4" t="s">
        <v>39</v>
      </c>
      <c r="W266" s="4" t="s">
        <v>300</v>
      </c>
      <c r="X266" s="4" t="s">
        <v>562</v>
      </c>
      <c r="Y266" s="4" t="s">
        <v>1197</v>
      </c>
      <c r="Z266" s="5">
        <v>39140444</v>
      </c>
      <c r="AA266" s="5">
        <v>1156544847</v>
      </c>
      <c r="AB266" s="4" t="s">
        <v>215</v>
      </c>
      <c r="AC266">
        <v>265</v>
      </c>
    </row>
    <row r="267" spans="1:29" ht="16.5" hidden="1" customHeight="1" x14ac:dyDescent="0.2">
      <c r="A267" s="6" t="str">
        <f t="shared" si="9"/>
        <v>SDATOOL-39371 $ Pagaré Electrónico en ATM</v>
      </c>
      <c r="B267" s="4" t="s">
        <v>1609</v>
      </c>
      <c r="C267" s="4" t="s">
        <v>1610</v>
      </c>
      <c r="D267" s="4" t="s">
        <v>183</v>
      </c>
      <c r="E267" s="4" t="s">
        <v>1611</v>
      </c>
      <c r="F267" s="4" t="s">
        <v>28</v>
      </c>
      <c r="G267" s="4" t="s">
        <v>185</v>
      </c>
      <c r="H267" s="4" t="s">
        <v>203</v>
      </c>
      <c r="J267" s="4" t="s">
        <v>187</v>
      </c>
      <c r="K267" s="4" t="s">
        <v>962</v>
      </c>
      <c r="L267" s="4" t="s">
        <v>206</v>
      </c>
      <c r="M267" s="4" t="s">
        <v>1612</v>
      </c>
      <c r="N267" s="4" t="s">
        <v>29</v>
      </c>
      <c r="O267" s="13" t="s">
        <v>412</v>
      </c>
      <c r="P267" s="13" t="s">
        <v>413</v>
      </c>
      <c r="Q267" s="13" t="s">
        <v>638</v>
      </c>
      <c r="S267" s="7" t="e">
        <f ca="1">IF(_xludf.ifna(VLOOKUP(B267,Parámetros!#REF!,1,0),"")="","No","Sí")</f>
        <v>#NAME?</v>
      </c>
      <c r="T267" s="7" t="str">
        <f t="shared" si="10"/>
        <v>No normativo</v>
      </c>
      <c r="U267" s="4" t="s">
        <v>195</v>
      </c>
      <c r="V267" s="4" t="s">
        <v>39</v>
      </c>
      <c r="W267" s="4" t="s">
        <v>196</v>
      </c>
      <c r="X267" s="4" t="s">
        <v>197</v>
      </c>
      <c r="Y267" s="4" t="s">
        <v>688</v>
      </c>
      <c r="Z267" s="4">
        <v>0</v>
      </c>
      <c r="AA267" s="4">
        <v>0</v>
      </c>
      <c r="AB267" s="4" t="s">
        <v>215</v>
      </c>
      <c r="AC267">
        <v>266</v>
      </c>
    </row>
    <row r="268" spans="1:29" ht="16.5" hidden="1" customHeight="1" x14ac:dyDescent="0.2">
      <c r="A268" s="6" t="str">
        <f t="shared" si="9"/>
        <v>SDATOOL-39372 $ Formato 415 Derivado SFC</v>
      </c>
      <c r="B268" s="4" t="s">
        <v>1613</v>
      </c>
      <c r="C268" s="4" t="s">
        <v>1614</v>
      </c>
      <c r="D268" s="4" t="s">
        <v>183</v>
      </c>
      <c r="E268" s="4" t="s">
        <v>1615</v>
      </c>
      <c r="F268" s="4" t="s">
        <v>21</v>
      </c>
      <c r="G268" s="4" t="s">
        <v>185</v>
      </c>
      <c r="H268" s="4" t="s">
        <v>203</v>
      </c>
      <c r="K268" s="4" t="s">
        <v>962</v>
      </c>
      <c r="L268" s="4" t="s">
        <v>206</v>
      </c>
      <c r="M268" s="4" t="s">
        <v>1616</v>
      </c>
      <c r="N268" s="4" t="s">
        <v>15</v>
      </c>
      <c r="O268" s="13" t="s">
        <v>381</v>
      </c>
      <c r="P268" s="13" t="s">
        <v>901</v>
      </c>
      <c r="Q268" s="13" t="s">
        <v>193</v>
      </c>
      <c r="S268" s="7" t="e">
        <f ca="1">IF(_xludf.ifna(VLOOKUP(B268,Parámetros!#REF!,1,0),"")="","No","Sí")</f>
        <v>#NAME?</v>
      </c>
      <c r="T268" s="7" t="str">
        <f t="shared" si="10"/>
        <v>No normativo</v>
      </c>
      <c r="U268" s="4" t="s">
        <v>224</v>
      </c>
      <c r="V268" s="4" t="s">
        <v>39</v>
      </c>
      <c r="W268" s="4" t="s">
        <v>196</v>
      </c>
      <c r="X268" s="4" t="s">
        <v>225</v>
      </c>
      <c r="Y268" s="4" t="s">
        <v>226</v>
      </c>
      <c r="Z268" s="5">
        <v>39635394</v>
      </c>
      <c r="AA268" s="5">
        <v>379043163</v>
      </c>
      <c r="AB268" s="4" t="s">
        <v>215</v>
      </c>
      <c r="AC268">
        <v>267</v>
      </c>
    </row>
    <row r="269" spans="1:29" ht="16.5" customHeight="1" x14ac:dyDescent="0.2">
      <c r="A269" s="6" t="str">
        <f t="shared" si="9"/>
        <v>SDATOOL-39383 $ AJUSTES HIGIENICOS DE PORTAFOLIO + REPORTE CENTRALIZADO DE NÓMINA</v>
      </c>
      <c r="B269" s="4" t="s">
        <v>1617</v>
      </c>
      <c r="C269" s="4" t="s">
        <v>1618</v>
      </c>
      <c r="D269" s="4" t="s">
        <v>183</v>
      </c>
      <c r="E269" s="4" t="s">
        <v>1619</v>
      </c>
      <c r="F269" s="4" t="s">
        <v>28</v>
      </c>
      <c r="G269" s="4" t="s">
        <v>185</v>
      </c>
      <c r="H269" s="4" t="s">
        <v>186</v>
      </c>
      <c r="I269" s="4" t="s">
        <v>186</v>
      </c>
      <c r="J269" s="4" t="s">
        <v>204</v>
      </c>
      <c r="K269" s="4" t="s">
        <v>1503</v>
      </c>
      <c r="L269" s="4" t="s">
        <v>189</v>
      </c>
      <c r="M269" s="4" t="s">
        <v>1620</v>
      </c>
      <c r="N269" s="4" t="s">
        <v>29</v>
      </c>
      <c r="O269" s="13" t="s">
        <v>530</v>
      </c>
      <c r="P269" s="13" t="s">
        <v>911</v>
      </c>
      <c r="Q269" s="13" t="s">
        <v>697</v>
      </c>
      <c r="S269" s="7" t="e">
        <f ca="1">IF(_xludf.ifna(VLOOKUP(B269,Parámetros!#REF!,1,0),"")="","No","Sí")</f>
        <v>#NAME?</v>
      </c>
      <c r="T269" s="7" t="str">
        <f t="shared" si="10"/>
        <v>No normativo</v>
      </c>
      <c r="U269" s="4" t="s">
        <v>195</v>
      </c>
      <c r="V269" s="4" t="s">
        <v>39</v>
      </c>
      <c r="W269" s="4" t="s">
        <v>300</v>
      </c>
      <c r="X269" s="4" t="s">
        <v>301</v>
      </c>
      <c r="Y269" s="4" t="s">
        <v>302</v>
      </c>
      <c r="Z269" s="5">
        <v>438634527</v>
      </c>
      <c r="AA269" s="5">
        <v>166000000</v>
      </c>
      <c r="AB269" s="4" t="s">
        <v>180</v>
      </c>
      <c r="AC269">
        <v>268</v>
      </c>
    </row>
    <row r="270" spans="1:29" ht="16.5" customHeight="1" x14ac:dyDescent="0.2">
      <c r="A270" s="6" t="str">
        <f t="shared" si="9"/>
        <v>SDATOOL-39384 $ Abonos a préstamos por canales</v>
      </c>
      <c r="B270" s="4" t="s">
        <v>1621</v>
      </c>
      <c r="C270" s="4" t="s">
        <v>1622</v>
      </c>
      <c r="D270" s="4" t="s">
        <v>183</v>
      </c>
      <c r="E270" s="4" t="s">
        <v>1623</v>
      </c>
      <c r="F270" s="4" t="s">
        <v>28</v>
      </c>
      <c r="G270" s="4" t="s">
        <v>185</v>
      </c>
      <c r="H270" s="4" t="s">
        <v>186</v>
      </c>
      <c r="J270" s="4" t="s">
        <v>187</v>
      </c>
      <c r="K270" s="4" t="s">
        <v>1503</v>
      </c>
      <c r="L270" s="4" t="s">
        <v>394</v>
      </c>
      <c r="M270" s="4" t="s">
        <v>540</v>
      </c>
      <c r="N270" s="4" t="s">
        <v>29</v>
      </c>
      <c r="O270" s="13" t="s">
        <v>530</v>
      </c>
      <c r="P270" s="13" t="s">
        <v>677</v>
      </c>
      <c r="Q270" s="13" t="s">
        <v>244</v>
      </c>
      <c r="S270" s="7" t="e">
        <f ca="1">IF(_xludf.ifna(VLOOKUP(B270,Parámetros!#REF!,1,0),"")="","No","Sí")</f>
        <v>#NAME?</v>
      </c>
      <c r="T270" s="7" t="str">
        <f t="shared" si="10"/>
        <v>No normativo</v>
      </c>
      <c r="U270" s="4" t="s">
        <v>195</v>
      </c>
      <c r="V270" s="4" t="s">
        <v>39</v>
      </c>
      <c r="W270" s="4" t="s">
        <v>300</v>
      </c>
      <c r="X270" s="4" t="s">
        <v>301</v>
      </c>
      <c r="Y270" s="4" t="s">
        <v>302</v>
      </c>
      <c r="Z270" s="5">
        <v>415210502</v>
      </c>
      <c r="AA270" s="5">
        <v>75042658</v>
      </c>
      <c r="AB270" s="4" t="s">
        <v>180</v>
      </c>
      <c r="AC270">
        <v>269</v>
      </c>
    </row>
    <row r="271" spans="1:29" ht="16.5" customHeight="1" x14ac:dyDescent="0.2">
      <c r="A271" s="6" t="str">
        <f t="shared" si="9"/>
        <v>SDATOOL-39385 $ COLPENSIONES - ONP MEJORA FECHA PRIMER RETIRO DEL PENSIONADO FALLECIDO</v>
      </c>
      <c r="B271" s="4" t="s">
        <v>1624</v>
      </c>
      <c r="C271" s="4" t="s">
        <v>1625</v>
      </c>
      <c r="D271" s="4" t="s">
        <v>183</v>
      </c>
      <c r="E271" s="4" t="s">
        <v>1626</v>
      </c>
      <c r="F271" s="4" t="s">
        <v>28</v>
      </c>
      <c r="G271" s="4" t="s">
        <v>185</v>
      </c>
      <c r="H271" s="4" t="s">
        <v>186</v>
      </c>
      <c r="J271" s="4" t="s">
        <v>204</v>
      </c>
      <c r="K271" s="4" t="s">
        <v>1503</v>
      </c>
      <c r="L271" s="4" t="s">
        <v>386</v>
      </c>
      <c r="M271" s="4" t="s">
        <v>540</v>
      </c>
      <c r="N271" s="4" t="s">
        <v>29</v>
      </c>
      <c r="O271" s="13" t="s">
        <v>541</v>
      </c>
      <c r="P271" s="13" t="s">
        <v>911</v>
      </c>
      <c r="Q271" s="13" t="s">
        <v>697</v>
      </c>
      <c r="S271" s="7" t="e">
        <f ca="1">IF(_xludf.ifna(VLOOKUP(B271,Parámetros!#REF!,1,0),"")="","No","Sí")</f>
        <v>#NAME?</v>
      </c>
      <c r="T271" s="7" t="str">
        <f t="shared" si="10"/>
        <v>No normativo</v>
      </c>
      <c r="U271" s="4" t="s">
        <v>195</v>
      </c>
      <c r="V271" s="4" t="s">
        <v>39</v>
      </c>
      <c r="W271" s="4" t="s">
        <v>300</v>
      </c>
      <c r="X271" s="4" t="s">
        <v>301</v>
      </c>
      <c r="Y271" s="4" t="s">
        <v>302</v>
      </c>
      <c r="Z271" s="5">
        <v>399281641</v>
      </c>
      <c r="AA271" s="5">
        <v>340980811</v>
      </c>
      <c r="AB271" s="4" t="s">
        <v>215</v>
      </c>
      <c r="AC271">
        <v>270</v>
      </c>
    </row>
    <row r="272" spans="1:29" ht="16.5" hidden="1" customHeight="1" x14ac:dyDescent="0.2">
      <c r="A272" s="6" t="str">
        <f t="shared" si="9"/>
        <v>SDATOOL-39387 $ Auditoría - Controles disminución de cupo y control automático para no liberar saldos</v>
      </c>
      <c r="B272" s="4" t="s">
        <v>1627</v>
      </c>
      <c r="C272" s="4" t="s">
        <v>1628</v>
      </c>
      <c r="D272" s="4" t="s">
        <v>183</v>
      </c>
      <c r="E272" s="4" t="s">
        <v>1629</v>
      </c>
      <c r="F272" s="4" t="s">
        <v>28</v>
      </c>
      <c r="G272" s="4" t="s">
        <v>185</v>
      </c>
      <c r="H272" s="4" t="s">
        <v>203</v>
      </c>
      <c r="J272" s="4" t="s">
        <v>204</v>
      </c>
      <c r="K272" s="4" t="s">
        <v>1503</v>
      </c>
      <c r="L272" s="4" t="s">
        <v>206</v>
      </c>
      <c r="M272" s="4" t="s">
        <v>553</v>
      </c>
      <c r="N272" s="4" t="s">
        <v>22</v>
      </c>
      <c r="O272" s="13" t="s">
        <v>480</v>
      </c>
      <c r="P272" s="13" t="s">
        <v>548</v>
      </c>
      <c r="Q272" s="13" t="s">
        <v>555</v>
      </c>
      <c r="S272" s="7" t="e">
        <f ca="1">IF(_xludf.ifna(VLOOKUP(B272,Parámetros!#REF!,1,0),"")="","No","Sí")</f>
        <v>#NAME?</v>
      </c>
      <c r="T272" s="7" t="str">
        <f t="shared" si="10"/>
        <v>No normativo</v>
      </c>
      <c r="U272" s="4" t="s">
        <v>1630</v>
      </c>
      <c r="V272" s="4" t="s">
        <v>39</v>
      </c>
      <c r="W272" s="4" t="s">
        <v>233</v>
      </c>
      <c r="X272" s="4" t="s">
        <v>234</v>
      </c>
      <c r="Y272" s="4" t="s">
        <v>556</v>
      </c>
      <c r="Z272" s="5">
        <v>8005282</v>
      </c>
      <c r="AA272" s="5">
        <v>19594114</v>
      </c>
      <c r="AB272" s="4" t="s">
        <v>215</v>
      </c>
      <c r="AC272">
        <v>271</v>
      </c>
    </row>
    <row r="273" spans="1:29" ht="16.5" customHeight="1" x14ac:dyDescent="0.2">
      <c r="A273" s="6" t="str">
        <f t="shared" si="9"/>
        <v>SDATOOL-39389 $ Comunicación con clientes medios alternativos whatsapp - hangouts</v>
      </c>
      <c r="B273" s="4" t="s">
        <v>1631</v>
      </c>
      <c r="C273" s="4" t="s">
        <v>1632</v>
      </c>
      <c r="D273" s="4" t="s">
        <v>763</v>
      </c>
      <c r="E273" s="4" t="s">
        <v>1633</v>
      </c>
      <c r="F273" s="4" t="s">
        <v>21</v>
      </c>
      <c r="G273" s="4" t="s">
        <v>185</v>
      </c>
      <c r="H273" s="4" t="s">
        <v>186</v>
      </c>
      <c r="K273" s="4" t="s">
        <v>962</v>
      </c>
      <c r="L273" s="4" t="s">
        <v>386</v>
      </c>
      <c r="M273" s="4" t="s">
        <v>1634</v>
      </c>
      <c r="N273" s="4" t="s">
        <v>36</v>
      </c>
      <c r="O273" s="13" t="s">
        <v>889</v>
      </c>
      <c r="P273" s="13" t="s">
        <v>889</v>
      </c>
      <c r="Q273" s="13" t="s">
        <v>193</v>
      </c>
      <c r="S273" s="7" t="e">
        <f ca="1">IF(_xludf.ifna(VLOOKUP(B273,Parámetros!#REF!,1,0),"")="","No","Sí")</f>
        <v>#NAME?</v>
      </c>
      <c r="T273" s="7" t="str">
        <f t="shared" si="10"/>
        <v>Normativo</v>
      </c>
      <c r="U273" s="4" t="s">
        <v>195</v>
      </c>
      <c r="V273" s="4" t="s">
        <v>39</v>
      </c>
      <c r="W273" s="4" t="s">
        <v>196</v>
      </c>
      <c r="X273" s="4" t="s">
        <v>225</v>
      </c>
      <c r="Y273" s="4" t="s">
        <v>320</v>
      </c>
      <c r="Z273" s="5">
        <v>100000000</v>
      </c>
      <c r="AA273" s="5">
        <v>100000000</v>
      </c>
      <c r="AB273" s="4" t="s">
        <v>215</v>
      </c>
      <c r="AC273">
        <v>272</v>
      </c>
    </row>
    <row r="274" spans="1:29" ht="16.5" hidden="1" customHeight="1" x14ac:dyDescent="0.2">
      <c r="A274" s="6" t="str">
        <f t="shared" si="9"/>
        <v>SDATOOL-39390 $ Ajustes en las parametrias de CVV dinámico</v>
      </c>
      <c r="B274" s="4" t="s">
        <v>1635</v>
      </c>
      <c r="C274" s="4" t="s">
        <v>1636</v>
      </c>
      <c r="D274" s="4" t="s">
        <v>183</v>
      </c>
      <c r="E274" s="4" t="s">
        <v>1637</v>
      </c>
      <c r="F274" s="4" t="s">
        <v>28</v>
      </c>
      <c r="G274" s="4" t="s">
        <v>185</v>
      </c>
      <c r="H274" s="4" t="s">
        <v>203</v>
      </c>
      <c r="J274" s="4" t="s">
        <v>204</v>
      </c>
      <c r="K274" s="4" t="s">
        <v>1503</v>
      </c>
      <c r="L274" s="4" t="s">
        <v>206</v>
      </c>
      <c r="M274" s="4" t="s">
        <v>1638</v>
      </c>
      <c r="N274" s="4" t="s">
        <v>29</v>
      </c>
      <c r="O274" s="13" t="s">
        <v>480</v>
      </c>
      <c r="P274" s="13" t="s">
        <v>554</v>
      </c>
      <c r="Q274" s="13" t="s">
        <v>555</v>
      </c>
      <c r="S274" s="7" t="e">
        <f ca="1">IF(_xludf.ifna(VLOOKUP(B274,Parámetros!#REF!,1,0),"")="","No","Sí")</f>
        <v>#NAME?</v>
      </c>
      <c r="T274" s="7" t="str">
        <f t="shared" si="10"/>
        <v>No normativo</v>
      </c>
      <c r="U274" s="4" t="s">
        <v>195</v>
      </c>
      <c r="V274" s="4" t="s">
        <v>39</v>
      </c>
      <c r="W274" s="4" t="s">
        <v>300</v>
      </c>
      <c r="X274" s="4" t="s">
        <v>301</v>
      </c>
      <c r="Y274" s="4" t="s">
        <v>302</v>
      </c>
      <c r="Z274" s="5">
        <v>3474473</v>
      </c>
      <c r="AA274" s="5">
        <v>33675434</v>
      </c>
      <c r="AB274" s="4" t="s">
        <v>215</v>
      </c>
      <c r="AC274">
        <v>273</v>
      </c>
    </row>
    <row r="275" spans="1:29" ht="16.5" hidden="1" customHeight="1" x14ac:dyDescent="0.2">
      <c r="A275" s="6" t="str">
        <f t="shared" si="9"/>
        <v>SDATOOL-39391 $ Centralización de Contracargos</v>
      </c>
      <c r="B275" s="4" t="s">
        <v>1639</v>
      </c>
      <c r="C275" s="4" t="s">
        <v>1640</v>
      </c>
      <c r="D275" s="4" t="s">
        <v>183</v>
      </c>
      <c r="E275" s="4" t="s">
        <v>1641</v>
      </c>
      <c r="F275" s="4" t="s">
        <v>28</v>
      </c>
      <c r="G275" s="4" t="s">
        <v>185</v>
      </c>
      <c r="H275" s="4" t="s">
        <v>276</v>
      </c>
      <c r="J275" s="4" t="s">
        <v>204</v>
      </c>
      <c r="K275" s="4" t="s">
        <v>962</v>
      </c>
      <c r="L275" s="4" t="s">
        <v>386</v>
      </c>
      <c r="M275" s="4" t="s">
        <v>665</v>
      </c>
      <c r="N275" s="4" t="s">
        <v>29</v>
      </c>
      <c r="O275" s="13" t="s">
        <v>480</v>
      </c>
      <c r="P275" s="13" t="s">
        <v>548</v>
      </c>
      <c r="Q275" s="13" t="s">
        <v>555</v>
      </c>
      <c r="S275" s="7" t="e">
        <f ca="1">IF(_xludf.ifna(VLOOKUP(B275,Parámetros!#REF!,1,0),"")="","No","Sí")</f>
        <v>#NAME?</v>
      </c>
      <c r="T275" s="7" t="str">
        <f t="shared" si="10"/>
        <v>No normativo</v>
      </c>
      <c r="U275" s="4" t="s">
        <v>195</v>
      </c>
      <c r="V275" s="4" t="s">
        <v>39</v>
      </c>
      <c r="W275" s="4" t="s">
        <v>233</v>
      </c>
      <c r="X275" s="4" t="s">
        <v>234</v>
      </c>
      <c r="Y275" s="4" t="s">
        <v>667</v>
      </c>
      <c r="Z275" s="5">
        <v>13227740</v>
      </c>
      <c r="AA275" s="5">
        <v>25258456</v>
      </c>
      <c r="AB275" s="4" t="s">
        <v>215</v>
      </c>
      <c r="AC275">
        <v>274</v>
      </c>
    </row>
    <row r="276" spans="1:29" ht="16.5" hidden="1" customHeight="1" x14ac:dyDescent="0.2">
      <c r="A276" s="6" t="str">
        <f t="shared" si="9"/>
        <v>SDATOOL-39408 $ GRM COL - Cronos Collections - Herramienta recuperaciones</v>
      </c>
      <c r="B276" s="4" t="s">
        <v>1642</v>
      </c>
      <c r="C276" s="4" t="s">
        <v>1643</v>
      </c>
      <c r="D276" s="4" t="s">
        <v>183</v>
      </c>
      <c r="E276" s="4" t="s">
        <v>1644</v>
      </c>
      <c r="F276" s="4" t="s">
        <v>56</v>
      </c>
      <c r="G276" s="4" t="s">
        <v>185</v>
      </c>
      <c r="H276" s="4" t="s">
        <v>752</v>
      </c>
      <c r="K276" s="4" t="s">
        <v>206</v>
      </c>
      <c r="L276" s="4" t="s">
        <v>998</v>
      </c>
      <c r="M276" s="4" t="s">
        <v>1645</v>
      </c>
      <c r="N276" s="4" t="s">
        <v>15</v>
      </c>
      <c r="O276" s="13" t="s">
        <v>242</v>
      </c>
      <c r="P276" s="13" t="s">
        <v>1246</v>
      </c>
      <c r="Q276" s="13" t="s">
        <v>1646</v>
      </c>
      <c r="S276" s="7" t="e">
        <f ca="1">IF(_xludf.ifna(VLOOKUP(B276,Parámetros!#REF!,1,0),"")="","No","Sí")</f>
        <v>#NAME?</v>
      </c>
      <c r="T276" s="7" t="str">
        <f t="shared" si="10"/>
        <v>Normativo</v>
      </c>
      <c r="U276" s="4" t="s">
        <v>195</v>
      </c>
      <c r="V276" s="4" t="s">
        <v>39</v>
      </c>
      <c r="W276" s="4" t="s">
        <v>196</v>
      </c>
      <c r="X276" s="4" t="s">
        <v>246</v>
      </c>
      <c r="Y276" s="4" t="s">
        <v>1647</v>
      </c>
      <c r="Z276" s="4">
        <v>0</v>
      </c>
      <c r="AA276" s="4">
        <v>0</v>
      </c>
      <c r="AB276" s="4" t="s">
        <v>215</v>
      </c>
      <c r="AC276">
        <v>275</v>
      </c>
    </row>
    <row r="277" spans="1:29" ht="16.5" customHeight="1" x14ac:dyDescent="0.2">
      <c r="A277" s="6" t="str">
        <f t="shared" si="9"/>
        <v>SDATOOL-39436 $ COLPENSIONES ONP: llevar el control cuándo llega más de una mesada para un mismo cliente.</v>
      </c>
      <c r="B277" s="4" t="s">
        <v>1648</v>
      </c>
      <c r="C277" s="4" t="s">
        <v>1649</v>
      </c>
      <c r="D277" s="4" t="s">
        <v>183</v>
      </c>
      <c r="E277" s="4" t="s">
        <v>1650</v>
      </c>
      <c r="F277" s="4" t="s">
        <v>28</v>
      </c>
      <c r="G277" s="4" t="s">
        <v>185</v>
      </c>
      <c r="H277" s="4" t="s">
        <v>186</v>
      </c>
      <c r="J277" s="4" t="s">
        <v>204</v>
      </c>
      <c r="K277" s="4" t="s">
        <v>1503</v>
      </c>
      <c r="L277" s="4" t="s">
        <v>386</v>
      </c>
      <c r="M277" s="4" t="s">
        <v>1650</v>
      </c>
      <c r="N277" s="4" t="s">
        <v>29</v>
      </c>
      <c r="O277" s="13" t="s">
        <v>530</v>
      </c>
      <c r="P277" s="13" t="s">
        <v>911</v>
      </c>
      <c r="Q277" s="13" t="s">
        <v>697</v>
      </c>
      <c r="R277" s="4" t="s">
        <v>366</v>
      </c>
      <c r="S277" s="7" t="e">
        <f ca="1">IF(_xludf.ifna(VLOOKUP(B277,Parámetros!#REF!,1,0),"")="","No","Sí")</f>
        <v>#NAME?</v>
      </c>
      <c r="T277" s="7" t="str">
        <f t="shared" si="10"/>
        <v>No normativo</v>
      </c>
      <c r="U277" s="4" t="s">
        <v>195</v>
      </c>
      <c r="V277" s="4" t="s">
        <v>39</v>
      </c>
      <c r="W277" s="4" t="s">
        <v>300</v>
      </c>
      <c r="X277" s="4" t="s">
        <v>301</v>
      </c>
      <c r="Y277" s="4" t="s">
        <v>302</v>
      </c>
      <c r="Z277" s="4">
        <v>0</v>
      </c>
      <c r="AA277" s="5">
        <v>320000000</v>
      </c>
      <c r="AB277" s="4" t="s">
        <v>215</v>
      </c>
      <c r="AC277">
        <v>276</v>
      </c>
    </row>
    <row r="278" spans="1:29" ht="16.5" hidden="1" customHeight="1" x14ac:dyDescent="0.2">
      <c r="A278" s="6" t="str">
        <f t="shared" si="9"/>
        <v>SDATOOL-39445 $ Automatización Centro de Pruebas</v>
      </c>
      <c r="B278" s="4" t="s">
        <v>1651</v>
      </c>
      <c r="C278" s="4" t="s">
        <v>1652</v>
      </c>
      <c r="D278" s="4" t="s">
        <v>183</v>
      </c>
      <c r="E278" s="4" t="s">
        <v>1653</v>
      </c>
      <c r="F278" s="4" t="s">
        <v>43</v>
      </c>
      <c r="G278" s="4" t="s">
        <v>185</v>
      </c>
      <c r="H278" s="4" t="s">
        <v>203</v>
      </c>
      <c r="J278" s="4" t="s">
        <v>204</v>
      </c>
      <c r="K278" s="4" t="s">
        <v>962</v>
      </c>
      <c r="L278" s="4" t="s">
        <v>206</v>
      </c>
      <c r="M278" s="4" t="s">
        <v>1654</v>
      </c>
      <c r="N278" s="4" t="s">
        <v>15</v>
      </c>
      <c r="O278" s="13" t="s">
        <v>353</v>
      </c>
      <c r="P278" s="13" t="s">
        <v>1468</v>
      </c>
      <c r="Q278" s="13" t="s">
        <v>1027</v>
      </c>
      <c r="S278" s="7" t="e">
        <f ca="1">IF(_xludf.ifna(VLOOKUP(B278,Parámetros!#REF!,1,0),"")="","No","Sí")</f>
        <v>#NAME?</v>
      </c>
      <c r="T278" s="7" t="str">
        <f t="shared" si="10"/>
        <v>No normativo</v>
      </c>
      <c r="U278" s="4" t="s">
        <v>195</v>
      </c>
      <c r="V278" s="4" t="s">
        <v>39</v>
      </c>
      <c r="W278" s="4" t="s">
        <v>212</v>
      </c>
      <c r="X278" s="4" t="s">
        <v>356</v>
      </c>
      <c r="Y278" s="4" t="s">
        <v>357</v>
      </c>
      <c r="Z278" s="4">
        <v>0</v>
      </c>
      <c r="AA278" s="5">
        <v>76417494</v>
      </c>
      <c r="AB278" s="4" t="s">
        <v>215</v>
      </c>
      <c r="AC278">
        <v>277</v>
      </c>
    </row>
    <row r="279" spans="1:29" ht="16.5" hidden="1" customHeight="1" x14ac:dyDescent="0.2">
      <c r="A279" s="6" t="str">
        <f t="shared" si="9"/>
        <v>SDATOOL-39447 $ Normativos BBVA Valores 2022</v>
      </c>
      <c r="B279" s="4" t="s">
        <v>1655</v>
      </c>
      <c r="C279" s="4" t="s">
        <v>1656</v>
      </c>
      <c r="D279" s="4" t="s">
        <v>183</v>
      </c>
      <c r="E279" s="4" t="s">
        <v>1657</v>
      </c>
      <c r="F279" s="4" t="s">
        <v>21</v>
      </c>
      <c r="G279" s="4" t="s">
        <v>185</v>
      </c>
      <c r="H279" s="4" t="s">
        <v>752</v>
      </c>
      <c r="J279" s="4" t="s">
        <v>204</v>
      </c>
      <c r="K279" s="4" t="s">
        <v>962</v>
      </c>
      <c r="L279" s="4" t="s">
        <v>386</v>
      </c>
      <c r="M279" s="4" t="s">
        <v>1658</v>
      </c>
      <c r="N279" s="4" t="s">
        <v>15</v>
      </c>
      <c r="O279" s="13" t="s">
        <v>1659</v>
      </c>
      <c r="P279" s="13" t="s">
        <v>1660</v>
      </c>
      <c r="Q279" s="13" t="s">
        <v>1661</v>
      </c>
      <c r="S279" s="7" t="e">
        <f ca="1">IF(_xludf.ifna(VLOOKUP(B279,Parámetros!#REF!,1,0),"")="","No","Sí")</f>
        <v>#NAME?</v>
      </c>
      <c r="T279" s="7" t="str">
        <f t="shared" si="10"/>
        <v>No normativo</v>
      </c>
      <c r="U279" s="4" t="s">
        <v>224</v>
      </c>
      <c r="V279" s="4" t="s">
        <v>1662</v>
      </c>
      <c r="W279" s="4" t="s">
        <v>196</v>
      </c>
      <c r="X279" s="4" t="s">
        <v>225</v>
      </c>
      <c r="Y279" s="4" t="s">
        <v>226</v>
      </c>
      <c r="Z279" s="5">
        <v>15000000</v>
      </c>
      <c r="AA279" s="5">
        <v>15000000</v>
      </c>
      <c r="AB279" s="4" t="s">
        <v>215</v>
      </c>
      <c r="AC279">
        <v>278</v>
      </c>
    </row>
    <row r="280" spans="1:29" ht="16.5" customHeight="1" x14ac:dyDescent="0.2">
      <c r="A280" s="6" t="str">
        <f t="shared" si="9"/>
        <v>SDATOOL-39457 $ Generación MT940 Fines de Semana y Festivos</v>
      </c>
      <c r="B280" s="4" t="s">
        <v>1663</v>
      </c>
      <c r="C280" s="4" t="s">
        <v>1664</v>
      </c>
      <c r="D280" s="4" t="s">
        <v>763</v>
      </c>
      <c r="E280" s="4" t="s">
        <v>1665</v>
      </c>
      <c r="F280" s="4" t="s">
        <v>21</v>
      </c>
      <c r="G280" s="4" t="s">
        <v>185</v>
      </c>
      <c r="H280" s="4" t="s">
        <v>186</v>
      </c>
      <c r="K280" s="4" t="s">
        <v>1503</v>
      </c>
      <c r="L280" s="4" t="s">
        <v>386</v>
      </c>
      <c r="M280" s="4" t="s">
        <v>1666</v>
      </c>
      <c r="N280" s="4" t="s">
        <v>44</v>
      </c>
      <c r="O280" s="13" t="s">
        <v>947</v>
      </c>
      <c r="P280" s="13" t="s">
        <v>947</v>
      </c>
      <c r="Q280" s="13" t="s">
        <v>697</v>
      </c>
      <c r="S280" s="7" t="e">
        <f ca="1">IF(_xludf.ifna(VLOOKUP(B280,Parámetros!#REF!,1,0),"")="","No","Sí")</f>
        <v>#NAME?</v>
      </c>
      <c r="T280" s="7" t="str">
        <f t="shared" si="10"/>
        <v>No normativo</v>
      </c>
      <c r="U280" s="4" t="s">
        <v>195</v>
      </c>
      <c r="V280" s="4" t="s">
        <v>39</v>
      </c>
      <c r="W280" s="4" t="s">
        <v>233</v>
      </c>
      <c r="X280" s="4" t="s">
        <v>234</v>
      </c>
      <c r="Y280" s="4" t="s">
        <v>435</v>
      </c>
      <c r="Z280" s="5">
        <v>136051908</v>
      </c>
      <c r="AA280" s="5">
        <v>136025954</v>
      </c>
      <c r="AB280" s="4" t="s">
        <v>215</v>
      </c>
      <c r="AC280">
        <v>279</v>
      </c>
    </row>
    <row r="281" spans="1:29" ht="16.5" customHeight="1" x14ac:dyDescent="0.2">
      <c r="A281" s="6" t="str">
        <f t="shared" si="9"/>
        <v>SDATOOL-39463 $ GRM Col - Actualización Versión Power Curve.</v>
      </c>
      <c r="B281" s="4" t="s">
        <v>1667</v>
      </c>
      <c r="C281" s="4" t="s">
        <v>1668</v>
      </c>
      <c r="D281" s="4" t="s">
        <v>183</v>
      </c>
      <c r="E281" s="4" t="s">
        <v>1669</v>
      </c>
      <c r="F281" s="4" t="s">
        <v>56</v>
      </c>
      <c r="G281" s="4" t="s">
        <v>185</v>
      </c>
      <c r="H281" s="4" t="s">
        <v>186</v>
      </c>
      <c r="I281" s="4" t="s">
        <v>186</v>
      </c>
      <c r="K281" s="4" t="s">
        <v>1503</v>
      </c>
      <c r="L281" s="4" t="s">
        <v>189</v>
      </c>
      <c r="M281" s="4" t="s">
        <v>1670</v>
      </c>
      <c r="N281" s="4" t="s">
        <v>36</v>
      </c>
      <c r="O281" s="13" t="s">
        <v>208</v>
      </c>
      <c r="P281" s="13" t="s">
        <v>812</v>
      </c>
      <c r="Q281" s="13" t="s">
        <v>255</v>
      </c>
      <c r="R281" s="4" t="s">
        <v>1670</v>
      </c>
      <c r="S281" s="7" t="e">
        <f ca="1">IF(_xludf.ifna(VLOOKUP(B281,Parámetros!#REF!,1,0),"")="","No","Sí")</f>
        <v>#NAME?</v>
      </c>
      <c r="T281" s="7" t="str">
        <f t="shared" si="10"/>
        <v>No normativo</v>
      </c>
      <c r="U281" s="4" t="s">
        <v>195</v>
      </c>
      <c r="V281" s="4" t="s">
        <v>39</v>
      </c>
      <c r="W281" s="4" t="s">
        <v>300</v>
      </c>
      <c r="X281" s="4" t="s">
        <v>301</v>
      </c>
      <c r="Y281" s="4" t="s">
        <v>755</v>
      </c>
      <c r="Z281" s="5">
        <v>543688522</v>
      </c>
      <c r="AA281" s="5">
        <v>328317380</v>
      </c>
      <c r="AB281" s="4" t="s">
        <v>180</v>
      </c>
      <c r="AC281">
        <v>280</v>
      </c>
    </row>
    <row r="282" spans="1:29" ht="16.5" customHeight="1" x14ac:dyDescent="0.2">
      <c r="A282" s="6" t="str">
        <f t="shared" si="9"/>
        <v>SDATOOL-39473 $ Actualización de Was 8 a was 9. RBA</v>
      </c>
      <c r="B282" s="4" t="s">
        <v>1671</v>
      </c>
      <c r="C282" s="4" t="s">
        <v>1672</v>
      </c>
      <c r="D282" s="4" t="s">
        <v>183</v>
      </c>
      <c r="E282" s="4" t="s">
        <v>1673</v>
      </c>
      <c r="F282" s="4" t="s">
        <v>69</v>
      </c>
      <c r="G282" s="4" t="s">
        <v>185</v>
      </c>
      <c r="H282" s="4" t="s">
        <v>186</v>
      </c>
      <c r="I282" s="4" t="e">
        <v>#N/A</v>
      </c>
      <c r="J282" s="4" t="s">
        <v>204</v>
      </c>
      <c r="K282" s="4" t="s">
        <v>1503</v>
      </c>
      <c r="L282" s="4" t="s">
        <v>189</v>
      </c>
      <c r="M282" s="4" t="s">
        <v>1674</v>
      </c>
      <c r="N282" s="4" t="s">
        <v>15</v>
      </c>
      <c r="O282" s="13" t="s">
        <v>316</v>
      </c>
      <c r="P282" s="13" t="s">
        <v>317</v>
      </c>
      <c r="Q282" s="13" t="s">
        <v>318</v>
      </c>
      <c r="R282" s="4" t="s">
        <v>1675</v>
      </c>
      <c r="S282" s="7" t="e">
        <f ca="1">IF(_xludf.ifna(VLOOKUP(B282,Parámetros!#REF!,1,0),"")="","No","Sí")</f>
        <v>#NAME?</v>
      </c>
      <c r="T282" s="7" t="str">
        <f t="shared" si="10"/>
        <v>No normativo</v>
      </c>
      <c r="U282" s="4" t="s">
        <v>732</v>
      </c>
      <c r="V282" s="4" t="s">
        <v>39</v>
      </c>
      <c r="W282" s="4" t="s">
        <v>212</v>
      </c>
      <c r="X282" s="4" t="s">
        <v>375</v>
      </c>
      <c r="Y282" s="4" t="s">
        <v>443</v>
      </c>
      <c r="Z282" s="4">
        <v>0</v>
      </c>
      <c r="AA282" s="4">
        <v>0</v>
      </c>
      <c r="AB282" s="4" t="s">
        <v>180</v>
      </c>
      <c r="AC282">
        <v>281</v>
      </c>
    </row>
    <row r="283" spans="1:29" ht="16.5" hidden="1" customHeight="1" x14ac:dyDescent="0.2">
      <c r="A283" s="6" t="str">
        <f t="shared" si="9"/>
        <v>SDATOOL-39502 $ Adecuación física BBVA Valores</v>
      </c>
      <c r="B283" s="4" t="s">
        <v>1676</v>
      </c>
      <c r="C283" s="4" t="s">
        <v>1677</v>
      </c>
      <c r="D283" s="4" t="s">
        <v>183</v>
      </c>
      <c r="E283" s="4" t="s">
        <v>1678</v>
      </c>
      <c r="F283" s="4" t="s">
        <v>35</v>
      </c>
      <c r="G283" s="4" t="s">
        <v>185</v>
      </c>
      <c r="H283" s="4" t="s">
        <v>203</v>
      </c>
      <c r="J283" s="4" t="s">
        <v>187</v>
      </c>
      <c r="K283" s="4" t="s">
        <v>962</v>
      </c>
      <c r="L283" s="4" t="s">
        <v>206</v>
      </c>
      <c r="M283" s="4" t="s">
        <v>1679</v>
      </c>
      <c r="N283" s="4" t="s">
        <v>36</v>
      </c>
      <c r="O283" s="13" t="s">
        <v>1659</v>
      </c>
      <c r="P283" s="13" t="s">
        <v>1680</v>
      </c>
      <c r="Q283" s="13" t="s">
        <v>984</v>
      </c>
      <c r="S283" s="7" t="e">
        <f ca="1">IF(_xludf.ifna(VLOOKUP(B283,Parámetros!#REF!,1,0),"")="","No","Sí")</f>
        <v>#NAME?</v>
      </c>
      <c r="T283" s="7" t="str">
        <f t="shared" si="10"/>
        <v>No normativo</v>
      </c>
      <c r="U283" s="4" t="s">
        <v>195</v>
      </c>
      <c r="V283" s="4" t="s">
        <v>39</v>
      </c>
      <c r="W283" s="4" t="s">
        <v>196</v>
      </c>
      <c r="X283" s="4" t="s">
        <v>426</v>
      </c>
      <c r="Y283" s="4" t="s">
        <v>427</v>
      </c>
      <c r="Z283" s="5">
        <v>-403172</v>
      </c>
      <c r="AA283" s="5">
        <v>117156454</v>
      </c>
      <c r="AB283" s="4" t="s">
        <v>215</v>
      </c>
      <c r="AC283">
        <v>282</v>
      </c>
    </row>
    <row r="284" spans="1:29" ht="16.5" customHeight="1" x14ac:dyDescent="0.2">
      <c r="A284" s="6" t="str">
        <f t="shared" si="9"/>
        <v>SDATOOL-39506 $ Cuenta Sostenible</v>
      </c>
      <c r="B284" s="4" t="s">
        <v>1681</v>
      </c>
      <c r="C284" s="4" t="s">
        <v>1682</v>
      </c>
      <c r="D284" s="4" t="s">
        <v>183</v>
      </c>
      <c r="E284" s="4" t="s">
        <v>1683</v>
      </c>
      <c r="F284" s="4" t="s">
        <v>21</v>
      </c>
      <c r="G284" s="4" t="s">
        <v>185</v>
      </c>
      <c r="H284" s="4" t="s">
        <v>186</v>
      </c>
      <c r="K284" s="4" t="s">
        <v>1503</v>
      </c>
      <c r="L284" s="4" t="s">
        <v>386</v>
      </c>
      <c r="M284" s="4" t="s">
        <v>1684</v>
      </c>
      <c r="N284" s="4" t="s">
        <v>44</v>
      </c>
      <c r="O284" s="13" t="s">
        <v>1355</v>
      </c>
      <c r="P284" s="13" t="s">
        <v>947</v>
      </c>
      <c r="Q284" s="13" t="s">
        <v>697</v>
      </c>
      <c r="S284" s="7" t="e">
        <f ca="1">IF(_xludf.ifna(VLOOKUP(B284,Parámetros!#REF!,1,0),"")="","No","Sí")</f>
        <v>#NAME?</v>
      </c>
      <c r="T284" s="7" t="str">
        <f t="shared" si="10"/>
        <v>No normativo</v>
      </c>
      <c r="U284" s="4" t="s">
        <v>195</v>
      </c>
      <c r="V284" s="4" t="s">
        <v>39</v>
      </c>
      <c r="W284" s="4" t="s">
        <v>1685</v>
      </c>
      <c r="X284" s="4" t="s">
        <v>1685</v>
      </c>
      <c r="Y284" s="4" t="s">
        <v>1686</v>
      </c>
      <c r="Z284" s="5">
        <v>63866246</v>
      </c>
      <c r="AA284" s="5">
        <v>43933123</v>
      </c>
      <c r="AB284" s="4" t="s">
        <v>215</v>
      </c>
      <c r="AC284">
        <v>283</v>
      </c>
    </row>
    <row r="285" spans="1:29" ht="16.5" customHeight="1" x14ac:dyDescent="0.2">
      <c r="A285" s="6" t="str">
        <f t="shared" si="9"/>
        <v>SDATOOL-39525 $ CBS Core Banking Strategy Convivencia Servicio ListCustomer</v>
      </c>
      <c r="B285" s="4" t="s">
        <v>1687</v>
      </c>
      <c r="C285" s="4" t="s">
        <v>1688</v>
      </c>
      <c r="D285" s="4" t="s">
        <v>183</v>
      </c>
      <c r="E285" s="4" t="s">
        <v>1689</v>
      </c>
      <c r="F285" s="4" t="s">
        <v>43</v>
      </c>
      <c r="G285" s="4" t="s">
        <v>185</v>
      </c>
      <c r="H285" s="4" t="s">
        <v>186</v>
      </c>
      <c r="J285" s="4" t="s">
        <v>204</v>
      </c>
      <c r="K285" s="4" t="s">
        <v>1503</v>
      </c>
      <c r="L285" s="4" t="s">
        <v>386</v>
      </c>
      <c r="M285" s="4" t="s">
        <v>1690</v>
      </c>
      <c r="N285" s="4" t="s">
        <v>22</v>
      </c>
      <c r="O285" s="13" t="s">
        <v>574</v>
      </c>
      <c r="P285" s="13" t="s">
        <v>1155</v>
      </c>
      <c r="Q285" s="13" t="s">
        <v>1155</v>
      </c>
      <c r="R285" s="4" t="s">
        <v>1691</v>
      </c>
      <c r="S285" s="7" t="e">
        <f ca="1">IF(_xludf.ifna(VLOOKUP(B285,Parámetros!#REF!,1,0),"")="","No","Sí")</f>
        <v>#NAME?</v>
      </c>
      <c r="T285" s="7" t="str">
        <f t="shared" si="10"/>
        <v>No normativo</v>
      </c>
      <c r="U285" s="4" t="s">
        <v>195</v>
      </c>
      <c r="V285" s="4" t="s">
        <v>39</v>
      </c>
      <c r="W285" s="4" t="s">
        <v>212</v>
      </c>
      <c r="X285" s="4" t="s">
        <v>1114</v>
      </c>
      <c r="Y285" s="4" t="s">
        <v>1115</v>
      </c>
      <c r="Z285" s="5">
        <v>19999990</v>
      </c>
      <c r="AA285" s="5">
        <v>41855016</v>
      </c>
      <c r="AB285" s="4" t="s">
        <v>215</v>
      </c>
      <c r="AC285">
        <v>284</v>
      </c>
    </row>
    <row r="286" spans="1:29" ht="16.5" customHeight="1" x14ac:dyDescent="0.2">
      <c r="A286" s="6" t="str">
        <f t="shared" si="9"/>
        <v>SDATOOL-39551 $ Fiduciaria - Estrategia Fondos Estructurados</v>
      </c>
      <c r="B286" s="4" t="s">
        <v>1692</v>
      </c>
      <c r="C286" s="4" t="s">
        <v>1693</v>
      </c>
      <c r="D286" s="4" t="s">
        <v>183</v>
      </c>
      <c r="E286" s="4" t="s">
        <v>1694</v>
      </c>
      <c r="F286" s="4" t="s">
        <v>28</v>
      </c>
      <c r="G286" s="4" t="s">
        <v>185</v>
      </c>
      <c r="H286" s="4" t="s">
        <v>186</v>
      </c>
      <c r="J286" s="4" t="s">
        <v>204</v>
      </c>
      <c r="K286" s="4" t="s">
        <v>962</v>
      </c>
      <c r="L286" s="4" t="s">
        <v>386</v>
      </c>
      <c r="M286" s="4" t="s">
        <v>802</v>
      </c>
      <c r="N286" s="4" t="s">
        <v>29</v>
      </c>
      <c r="O286" s="13" t="s">
        <v>1535</v>
      </c>
      <c r="P286" s="13" t="s">
        <v>804</v>
      </c>
      <c r="Q286" s="13" t="s">
        <v>804</v>
      </c>
      <c r="S286" s="7" t="e">
        <f ca="1">IF(_xludf.ifna(VLOOKUP(B286,Parámetros!#REF!,1,0),"")="","No","Sí")</f>
        <v>#NAME?</v>
      </c>
      <c r="T286" s="7" t="str">
        <f t="shared" si="10"/>
        <v>No normativo</v>
      </c>
      <c r="U286" s="4" t="s">
        <v>195</v>
      </c>
      <c r="V286" s="4" t="s">
        <v>805</v>
      </c>
      <c r="W286" s="4" t="s">
        <v>233</v>
      </c>
      <c r="X286" s="4" t="s">
        <v>234</v>
      </c>
      <c r="Y286" s="4" t="s">
        <v>806</v>
      </c>
      <c r="Z286" s="5">
        <v>76000000</v>
      </c>
      <c r="AA286" s="5">
        <v>56750000</v>
      </c>
      <c r="AB286" s="4" t="s">
        <v>215</v>
      </c>
      <c r="AC286">
        <v>285</v>
      </c>
    </row>
    <row r="287" spans="1:29" ht="16.5" customHeight="1" x14ac:dyDescent="0.2">
      <c r="A287" s="6" t="str">
        <f t="shared" si="9"/>
        <v>SDATOOL-39554 $ Fiduciaria -Optimizacion procesos Comerciales Fondos de Inversion</v>
      </c>
      <c r="B287" s="4" t="s">
        <v>1695</v>
      </c>
      <c r="C287" s="4" t="s">
        <v>1696</v>
      </c>
      <c r="D287" s="4" t="s">
        <v>183</v>
      </c>
      <c r="E287" s="4" t="s">
        <v>1697</v>
      </c>
      <c r="F287" s="4" t="s">
        <v>28</v>
      </c>
      <c r="G287" s="4" t="s">
        <v>185</v>
      </c>
      <c r="H287" s="4" t="s">
        <v>186</v>
      </c>
      <c r="J287" s="4" t="s">
        <v>204</v>
      </c>
      <c r="K287" s="4" t="s">
        <v>962</v>
      </c>
      <c r="L287" s="4" t="s">
        <v>386</v>
      </c>
      <c r="M287" s="4" t="s">
        <v>802</v>
      </c>
      <c r="N287" s="4" t="s">
        <v>29</v>
      </c>
      <c r="O287" s="13" t="s">
        <v>1535</v>
      </c>
      <c r="P287" s="13" t="s">
        <v>804</v>
      </c>
      <c r="Q287" s="13" t="s">
        <v>804</v>
      </c>
      <c r="S287" s="7" t="e">
        <f ca="1">IF(_xludf.ifna(VLOOKUP(B287,Parámetros!#REF!,1,0),"")="","No","Sí")</f>
        <v>#NAME?</v>
      </c>
      <c r="T287" s="7" t="str">
        <f t="shared" si="10"/>
        <v>No normativo</v>
      </c>
      <c r="U287" s="4" t="s">
        <v>195</v>
      </c>
      <c r="V287" s="4" t="s">
        <v>805</v>
      </c>
      <c r="W287" s="4" t="s">
        <v>233</v>
      </c>
      <c r="X287" s="4" t="s">
        <v>234</v>
      </c>
      <c r="Y287" s="4" t="s">
        <v>806</v>
      </c>
      <c r="Z287" s="5">
        <v>80000000</v>
      </c>
      <c r="AA287" s="5">
        <v>60000000</v>
      </c>
      <c r="AB287" s="4" t="s">
        <v>215</v>
      </c>
      <c r="AC287">
        <v>286</v>
      </c>
    </row>
    <row r="288" spans="1:29" ht="16.5" customHeight="1" x14ac:dyDescent="0.2">
      <c r="A288" s="6" t="str">
        <f t="shared" si="9"/>
        <v>SDATOOL-39555 $ Fiduciaria - Vinculación digital de clientes a través de productos inmobiliarios</v>
      </c>
      <c r="B288" s="4" t="s">
        <v>148</v>
      </c>
      <c r="C288" s="4" t="s">
        <v>1698</v>
      </c>
      <c r="D288" s="4" t="s">
        <v>183</v>
      </c>
      <c r="E288" s="4" t="s">
        <v>1699</v>
      </c>
      <c r="F288" s="4" t="s">
        <v>28</v>
      </c>
      <c r="G288" s="4" t="s">
        <v>185</v>
      </c>
      <c r="H288" s="4" t="s">
        <v>186</v>
      </c>
      <c r="I288" s="4" t="s">
        <v>186</v>
      </c>
      <c r="J288" s="4" t="s">
        <v>204</v>
      </c>
      <c r="K288" s="4" t="s">
        <v>1503</v>
      </c>
      <c r="L288" s="4" t="s">
        <v>314</v>
      </c>
      <c r="M288" s="4" t="s">
        <v>802</v>
      </c>
      <c r="N288" s="4" t="s">
        <v>22</v>
      </c>
      <c r="O288" s="13" t="s">
        <v>1700</v>
      </c>
      <c r="P288" s="13" t="s">
        <v>804</v>
      </c>
      <c r="Q288" s="13" t="s">
        <v>804</v>
      </c>
      <c r="S288" s="7" t="e">
        <f ca="1">IF(_xludf.ifna(VLOOKUP(B288,Parámetros!#REF!,1,0),"")="","No","Sí")</f>
        <v>#NAME?</v>
      </c>
      <c r="T288" s="7" t="str">
        <f t="shared" si="10"/>
        <v>Normativo</v>
      </c>
      <c r="U288" s="4" t="s">
        <v>195</v>
      </c>
      <c r="V288" s="4" t="s">
        <v>805</v>
      </c>
      <c r="W288" s="4" t="s">
        <v>233</v>
      </c>
      <c r="X288" s="4" t="s">
        <v>234</v>
      </c>
      <c r="Y288" s="4" t="s">
        <v>806</v>
      </c>
      <c r="Z288" s="5">
        <v>862000001</v>
      </c>
      <c r="AA288" s="5">
        <v>430000000</v>
      </c>
      <c r="AB288" s="4" t="s">
        <v>180</v>
      </c>
      <c r="AC288">
        <v>287</v>
      </c>
    </row>
    <row r="289" spans="1:29" ht="16.5" customHeight="1" x14ac:dyDescent="0.2">
      <c r="A289" s="6" t="str">
        <f t="shared" si="9"/>
        <v>SDATOOL-39572 $ Fiduciaria - Autogestión documental en la vinculación productos inmobiliarios</v>
      </c>
      <c r="B289" s="4" t="s">
        <v>149</v>
      </c>
      <c r="C289" s="4" t="s">
        <v>1701</v>
      </c>
      <c r="D289" s="4" t="s">
        <v>183</v>
      </c>
      <c r="E289" s="4" t="s">
        <v>1702</v>
      </c>
      <c r="F289" s="4" t="s">
        <v>28</v>
      </c>
      <c r="G289" s="4" t="s">
        <v>185</v>
      </c>
      <c r="H289" s="4" t="s">
        <v>186</v>
      </c>
      <c r="I289" s="4" t="s">
        <v>186</v>
      </c>
      <c r="J289" s="4" t="s">
        <v>204</v>
      </c>
      <c r="K289" s="4" t="s">
        <v>1503</v>
      </c>
      <c r="L289" s="4" t="s">
        <v>314</v>
      </c>
      <c r="M289" s="4" t="s">
        <v>802</v>
      </c>
      <c r="N289" s="4" t="s">
        <v>22</v>
      </c>
      <c r="O289" s="13" t="s">
        <v>1700</v>
      </c>
      <c r="P289" s="13" t="s">
        <v>804</v>
      </c>
      <c r="Q289" s="13" t="s">
        <v>804</v>
      </c>
      <c r="S289" s="7" t="e">
        <f ca="1">IF(_xludf.ifna(VLOOKUP(B289,Parámetros!#REF!,1,0),"")="","No","Sí")</f>
        <v>#NAME?</v>
      </c>
      <c r="T289" s="7" t="str">
        <f t="shared" si="10"/>
        <v>No normativo</v>
      </c>
      <c r="U289" s="4" t="s">
        <v>195</v>
      </c>
      <c r="V289" s="4" t="s">
        <v>805</v>
      </c>
      <c r="W289" s="4" t="s">
        <v>233</v>
      </c>
      <c r="X289" s="4" t="s">
        <v>234</v>
      </c>
      <c r="Y289" s="4" t="s">
        <v>806</v>
      </c>
      <c r="Z289" s="5">
        <v>1414000001</v>
      </c>
      <c r="AA289" s="5">
        <v>424000000</v>
      </c>
      <c r="AB289" s="4" t="s">
        <v>180</v>
      </c>
      <c r="AC289">
        <v>288</v>
      </c>
    </row>
    <row r="290" spans="1:29" ht="16.5" hidden="1" customHeight="1" x14ac:dyDescent="0.2">
      <c r="A290" s="6" t="str">
        <f t="shared" si="9"/>
        <v>SDATOOL-39680 $ COLPENSIONES - Reintegros en ONPS , desbloqueo subproducto 14 de jubilados.</v>
      </c>
      <c r="B290" s="4" t="s">
        <v>1703</v>
      </c>
      <c r="C290" s="4" t="s">
        <v>1704</v>
      </c>
      <c r="D290" s="4" t="s">
        <v>183</v>
      </c>
      <c r="E290" s="4" t="s">
        <v>1705</v>
      </c>
      <c r="F290" s="4" t="s">
        <v>28</v>
      </c>
      <c r="G290" s="4" t="s">
        <v>185</v>
      </c>
      <c r="H290" s="4" t="s">
        <v>203</v>
      </c>
      <c r="J290" s="4" t="s">
        <v>204</v>
      </c>
      <c r="K290" s="4" t="s">
        <v>1503</v>
      </c>
      <c r="L290" s="4" t="s">
        <v>206</v>
      </c>
      <c r="M290" s="4" t="s">
        <v>1706</v>
      </c>
      <c r="N290" s="4" t="s">
        <v>29</v>
      </c>
      <c r="O290" s="13" t="s">
        <v>404</v>
      </c>
      <c r="P290" s="13" t="s">
        <v>911</v>
      </c>
      <c r="Q290" s="13" t="s">
        <v>697</v>
      </c>
      <c r="R290" s="4" t="s">
        <v>1707</v>
      </c>
      <c r="S290" s="7" t="e">
        <f ca="1">IF(_xludf.ifna(VLOOKUP(B290,Parámetros!#REF!,1,0),"")="","No","Sí")</f>
        <v>#NAME?</v>
      </c>
      <c r="T290" s="7" t="str">
        <f t="shared" si="10"/>
        <v>No normativo</v>
      </c>
      <c r="U290" s="4" t="s">
        <v>195</v>
      </c>
      <c r="V290" s="4" t="s">
        <v>39</v>
      </c>
      <c r="W290" s="4" t="s">
        <v>300</v>
      </c>
      <c r="X290" s="4" t="s">
        <v>301</v>
      </c>
      <c r="Y290" s="4" t="s">
        <v>302</v>
      </c>
      <c r="Z290" s="4">
        <v>0</v>
      </c>
      <c r="AA290" s="5">
        <v>4320952</v>
      </c>
      <c r="AB290" s="4" t="s">
        <v>215</v>
      </c>
      <c r="AC290">
        <v>289</v>
      </c>
    </row>
    <row r="291" spans="1:29" ht="16.5" hidden="1" customHeight="1" x14ac:dyDescent="0.2">
      <c r="A291" s="6" t="str">
        <f t="shared" si="9"/>
        <v>SDATOOL-39749 $ Licitación Operador Logístico Pólizas de Seguros</v>
      </c>
      <c r="B291" s="4" t="s">
        <v>1708</v>
      </c>
      <c r="C291" s="4" t="s">
        <v>1709</v>
      </c>
      <c r="D291" s="4" t="s">
        <v>763</v>
      </c>
      <c r="E291" s="4" t="s">
        <v>1710</v>
      </c>
      <c r="F291" s="4" t="s">
        <v>28</v>
      </c>
      <c r="G291" s="4" t="s">
        <v>185</v>
      </c>
      <c r="H291" s="4" t="s">
        <v>203</v>
      </c>
      <c r="J291" s="4" t="s">
        <v>204</v>
      </c>
      <c r="K291" s="4" t="s">
        <v>1503</v>
      </c>
      <c r="L291" s="4" t="s">
        <v>206</v>
      </c>
      <c r="M291" s="4" t="s">
        <v>1711</v>
      </c>
      <c r="N291" s="4" t="s">
        <v>29</v>
      </c>
      <c r="O291" s="13" t="s">
        <v>1213</v>
      </c>
      <c r="P291" s="13" t="s">
        <v>1712</v>
      </c>
      <c r="S291" s="7" t="e">
        <f ca="1">IF(_xludf.ifna(VLOOKUP(B291,Parámetros!#REF!,1,0),"")="","No","Sí")</f>
        <v>#NAME?</v>
      </c>
      <c r="T291" s="7" t="str">
        <f t="shared" si="10"/>
        <v>No normativo</v>
      </c>
      <c r="U291" s="4" t="s">
        <v>195</v>
      </c>
      <c r="V291" s="4" t="s">
        <v>39</v>
      </c>
      <c r="W291" s="4" t="s">
        <v>196</v>
      </c>
      <c r="X291" s="4" t="s">
        <v>246</v>
      </c>
      <c r="Y291" s="4" t="s">
        <v>1713</v>
      </c>
      <c r="Z291" s="4">
        <v>0</v>
      </c>
      <c r="AA291" s="4">
        <v>0</v>
      </c>
      <c r="AB291" s="4" t="s">
        <v>215</v>
      </c>
      <c r="AC291">
        <v>290</v>
      </c>
    </row>
    <row r="292" spans="1:29" ht="16.5" hidden="1" customHeight="1" x14ac:dyDescent="0.2">
      <c r="A292" s="6" t="str">
        <f t="shared" si="9"/>
        <v>SDATOOL-39764 $ Biometría en entrega de plástico de tarjeta de crédito</v>
      </c>
      <c r="B292" s="4" t="s">
        <v>1714</v>
      </c>
      <c r="C292" s="4" t="s">
        <v>1715</v>
      </c>
      <c r="D292" s="4" t="s">
        <v>183</v>
      </c>
      <c r="E292" s="4" t="s">
        <v>1716</v>
      </c>
      <c r="F292" s="4" t="s">
        <v>28</v>
      </c>
      <c r="G292" s="4" t="s">
        <v>185</v>
      </c>
      <c r="H292" s="4" t="s">
        <v>203</v>
      </c>
      <c r="J292" s="4" t="s">
        <v>204</v>
      </c>
      <c r="K292" s="4" t="s">
        <v>962</v>
      </c>
      <c r="L292" s="4" t="s">
        <v>206</v>
      </c>
      <c r="M292" s="4" t="s">
        <v>1716</v>
      </c>
      <c r="N292" s="4" t="s">
        <v>29</v>
      </c>
      <c r="O292" s="13" t="s">
        <v>1566</v>
      </c>
      <c r="P292" s="13" t="s">
        <v>701</v>
      </c>
      <c r="Q292" s="13" t="s">
        <v>555</v>
      </c>
      <c r="S292" s="7" t="e">
        <f ca="1">IF(_xludf.ifna(VLOOKUP(B292,Parámetros!#REF!,1,0),"")="","No","Sí")</f>
        <v>#NAME?</v>
      </c>
      <c r="T292" s="7" t="str">
        <f t="shared" si="10"/>
        <v>No normativo</v>
      </c>
      <c r="U292" s="4" t="s">
        <v>195</v>
      </c>
      <c r="V292" s="4" t="s">
        <v>39</v>
      </c>
      <c r="W292" s="4" t="s">
        <v>233</v>
      </c>
      <c r="X292" s="4" t="s">
        <v>92</v>
      </c>
      <c r="Y292" s="4" t="s">
        <v>533</v>
      </c>
      <c r="Z292" s="5">
        <v>8441227</v>
      </c>
      <c r="AA292" s="5">
        <v>1558657</v>
      </c>
      <c r="AB292" s="4" t="s">
        <v>215</v>
      </c>
      <c r="AC292">
        <v>291</v>
      </c>
    </row>
    <row r="293" spans="1:29" ht="16.5" customHeight="1" x14ac:dyDescent="0.2">
      <c r="A293" s="6" t="str">
        <f t="shared" si="9"/>
        <v>SDATOOL-39779 $ Adecuación física Banca Wealth</v>
      </c>
      <c r="B293" s="4" t="s">
        <v>1717</v>
      </c>
      <c r="C293" s="4" t="s">
        <v>1718</v>
      </c>
      <c r="D293" s="4" t="s">
        <v>183</v>
      </c>
      <c r="E293" s="4" t="s">
        <v>1719</v>
      </c>
      <c r="F293" s="4" t="s">
        <v>35</v>
      </c>
      <c r="G293" s="4" t="s">
        <v>185</v>
      </c>
      <c r="H293" s="4" t="s">
        <v>186</v>
      </c>
      <c r="I293" s="4" t="s">
        <v>186</v>
      </c>
      <c r="J293" s="4" t="s">
        <v>204</v>
      </c>
      <c r="K293" s="4" t="s">
        <v>1503</v>
      </c>
      <c r="L293" s="4" t="s">
        <v>189</v>
      </c>
      <c r="M293" s="4" t="s">
        <v>1719</v>
      </c>
      <c r="N293" s="4" t="s">
        <v>57</v>
      </c>
      <c r="O293" s="13" t="s">
        <v>412</v>
      </c>
      <c r="P293" s="13" t="s">
        <v>650</v>
      </c>
      <c r="Q293" s="13" t="s">
        <v>1720</v>
      </c>
      <c r="S293" s="7" t="e">
        <f ca="1">IF(_xludf.ifna(VLOOKUP(B293,Parámetros!#REF!,1,0),"")="","No","Sí")</f>
        <v>#NAME?</v>
      </c>
      <c r="T293" s="7" t="str">
        <f t="shared" si="10"/>
        <v>No normativo</v>
      </c>
      <c r="U293" s="4" t="s">
        <v>195</v>
      </c>
      <c r="V293" s="4" t="s">
        <v>39</v>
      </c>
      <c r="W293" s="4" t="s">
        <v>196</v>
      </c>
      <c r="X293" s="4" t="s">
        <v>426</v>
      </c>
      <c r="Y293" s="4" t="s">
        <v>427</v>
      </c>
      <c r="Z293" s="5">
        <v>3169000000</v>
      </c>
      <c r="AA293" s="5">
        <v>3198744061</v>
      </c>
      <c r="AB293" s="4" t="s">
        <v>180</v>
      </c>
      <c r="AC293">
        <v>292</v>
      </c>
    </row>
    <row r="294" spans="1:29" ht="16.5" customHeight="1" x14ac:dyDescent="0.2">
      <c r="A294" s="6" t="str">
        <f t="shared" si="9"/>
        <v>SDATOOL-39783 $ Resolución 0124 de 2021 - Captura del base de Operaciones Anuladas en Leasing - Aplic. Leasing</v>
      </c>
      <c r="B294" s="4" t="s">
        <v>1721</v>
      </c>
      <c r="C294" s="4" t="s">
        <v>1722</v>
      </c>
      <c r="D294" s="4" t="s">
        <v>183</v>
      </c>
      <c r="E294" s="4" t="s">
        <v>1723</v>
      </c>
      <c r="F294" s="4" t="s">
        <v>50</v>
      </c>
      <c r="G294" s="4" t="s">
        <v>185</v>
      </c>
      <c r="H294" s="4" t="s">
        <v>186</v>
      </c>
      <c r="J294" s="4" t="s">
        <v>204</v>
      </c>
      <c r="K294" s="4" t="s">
        <v>206</v>
      </c>
      <c r="L294" s="4" t="s">
        <v>189</v>
      </c>
      <c r="M294" s="4" t="s">
        <v>1724</v>
      </c>
      <c r="N294" s="4" t="s">
        <v>15</v>
      </c>
      <c r="O294" s="13" t="s">
        <v>568</v>
      </c>
      <c r="P294" s="13" t="s">
        <v>455</v>
      </c>
      <c r="Q294" s="13" t="s">
        <v>456</v>
      </c>
      <c r="S294" s="7" t="e">
        <f ca="1">IF(_xludf.ifna(VLOOKUP(B294,Parámetros!#REF!,1,0),"")="","No","Sí")</f>
        <v>#NAME?</v>
      </c>
      <c r="T294" s="7" t="str">
        <f t="shared" si="10"/>
        <v>Normativo</v>
      </c>
      <c r="U294" s="4" t="s">
        <v>224</v>
      </c>
      <c r="V294" s="4" t="s">
        <v>39</v>
      </c>
      <c r="W294" s="4" t="s">
        <v>196</v>
      </c>
      <c r="X294" s="4" t="s">
        <v>246</v>
      </c>
      <c r="Y294" s="4" t="s">
        <v>265</v>
      </c>
      <c r="Z294" s="4">
        <v>0</v>
      </c>
      <c r="AA294" s="4">
        <v>0</v>
      </c>
      <c r="AB294" s="4" t="s">
        <v>215</v>
      </c>
      <c r="AC294">
        <v>293</v>
      </c>
    </row>
    <row r="295" spans="1:29" ht="16.5" hidden="1" customHeight="1" x14ac:dyDescent="0.2">
      <c r="A295" s="6" t="str">
        <f t="shared" si="9"/>
        <v>SDATOOL-39784 $ Plan de Acción Data Colombia</v>
      </c>
      <c r="B295" s="4" t="s">
        <v>1725</v>
      </c>
      <c r="C295" s="4" t="s">
        <v>1726</v>
      </c>
      <c r="D295" s="4" t="s">
        <v>183</v>
      </c>
      <c r="E295" s="4" t="s">
        <v>1727</v>
      </c>
      <c r="F295" s="4" t="s">
        <v>50</v>
      </c>
      <c r="G295" s="4" t="s">
        <v>185</v>
      </c>
      <c r="H295" s="4" t="s">
        <v>276</v>
      </c>
      <c r="J295" s="4" t="s">
        <v>204</v>
      </c>
      <c r="K295" s="4" t="s">
        <v>1503</v>
      </c>
      <c r="L295" s="4" t="s">
        <v>386</v>
      </c>
      <c r="M295" s="4" t="s">
        <v>1728</v>
      </c>
      <c r="N295" s="4" t="s">
        <v>15</v>
      </c>
      <c r="O295" s="13" t="s">
        <v>1443</v>
      </c>
      <c r="P295" s="13" t="s">
        <v>396</v>
      </c>
      <c r="Q295" s="13" t="s">
        <v>1033</v>
      </c>
      <c r="R295" s="4" t="s">
        <v>1729</v>
      </c>
      <c r="S295" s="7" t="e">
        <f ca="1">IF(_xludf.ifna(VLOOKUP(B295,Parámetros!#REF!,1,0),"")="","No","Sí")</f>
        <v>#NAME?</v>
      </c>
      <c r="T295" s="7" t="str">
        <f t="shared" si="10"/>
        <v>No normativo</v>
      </c>
      <c r="U295" s="4" t="s">
        <v>195</v>
      </c>
      <c r="V295" s="4" t="s">
        <v>39</v>
      </c>
      <c r="W295" s="4" t="s">
        <v>212</v>
      </c>
      <c r="X295" s="4" t="s">
        <v>213</v>
      </c>
      <c r="Y295" s="4" t="s">
        <v>400</v>
      </c>
      <c r="Z295" s="4">
        <v>0</v>
      </c>
      <c r="AA295" s="5">
        <v>226591045</v>
      </c>
      <c r="AB295" s="4" t="s">
        <v>215</v>
      </c>
      <c r="AC295">
        <v>294</v>
      </c>
    </row>
    <row r="296" spans="1:29" ht="16.5" customHeight="1" x14ac:dyDescent="0.2">
      <c r="A296" s="6" t="str">
        <f t="shared" si="9"/>
        <v>SDATOOL-39785 $ Segmentación contratos ADN</v>
      </c>
      <c r="B296" s="4" t="s">
        <v>1730</v>
      </c>
      <c r="C296" s="4" t="s">
        <v>1731</v>
      </c>
      <c r="D296" s="4" t="s">
        <v>183</v>
      </c>
      <c r="E296" s="4" t="s">
        <v>1732</v>
      </c>
      <c r="F296" s="4" t="s">
        <v>28</v>
      </c>
      <c r="G296" s="4" t="s">
        <v>185</v>
      </c>
      <c r="H296" s="4" t="s">
        <v>186</v>
      </c>
      <c r="J296" s="4" t="s">
        <v>204</v>
      </c>
      <c r="K296" s="4" t="s">
        <v>1503</v>
      </c>
      <c r="L296" s="4" t="s">
        <v>386</v>
      </c>
      <c r="M296" s="4" t="s">
        <v>1733</v>
      </c>
      <c r="N296" s="4" t="s">
        <v>29</v>
      </c>
      <c r="O296" s="13" t="s">
        <v>530</v>
      </c>
      <c r="P296" s="13" t="s">
        <v>548</v>
      </c>
      <c r="Q296" s="13" t="s">
        <v>555</v>
      </c>
      <c r="S296" s="7" t="e">
        <f ca="1">IF(_xludf.ifna(VLOOKUP(B296,Parámetros!#REF!,1,0),"")="","No","Sí")</f>
        <v>#NAME?</v>
      </c>
      <c r="T296" s="7" t="str">
        <f t="shared" si="10"/>
        <v>Normativo</v>
      </c>
      <c r="U296" s="4" t="s">
        <v>195</v>
      </c>
      <c r="V296" s="4" t="s">
        <v>39</v>
      </c>
      <c r="W296" s="4" t="s">
        <v>300</v>
      </c>
      <c r="X296" s="4" t="s">
        <v>301</v>
      </c>
      <c r="Y296" s="4" t="s">
        <v>302</v>
      </c>
      <c r="Z296" s="5">
        <v>23999854</v>
      </c>
      <c r="AA296" s="5">
        <v>35999928</v>
      </c>
      <c r="AB296" s="4" t="s">
        <v>215</v>
      </c>
      <c r="AC296">
        <v>295</v>
      </c>
    </row>
    <row r="297" spans="1:29" ht="16.5" customHeight="1" x14ac:dyDescent="0.2">
      <c r="A297" s="6" t="str">
        <f t="shared" si="9"/>
        <v>SDATOOL-39786 $ Sostenibilidad Colombia Fase 2</v>
      </c>
      <c r="B297" s="4" t="s">
        <v>1734</v>
      </c>
      <c r="C297" s="4" t="s">
        <v>1735</v>
      </c>
      <c r="D297" s="4" t="s">
        <v>183</v>
      </c>
      <c r="E297" s="4" t="s">
        <v>1736</v>
      </c>
      <c r="F297" s="4" t="s">
        <v>28</v>
      </c>
      <c r="G297" s="4" t="s">
        <v>185</v>
      </c>
      <c r="H297" s="4" t="s">
        <v>186</v>
      </c>
      <c r="J297" s="4" t="s">
        <v>187</v>
      </c>
      <c r="K297" s="4" t="s">
        <v>962</v>
      </c>
      <c r="L297" s="4" t="s">
        <v>386</v>
      </c>
      <c r="M297" s="4" t="s">
        <v>1737</v>
      </c>
      <c r="N297" s="4" t="s">
        <v>15</v>
      </c>
      <c r="O297" s="13" t="s">
        <v>1738</v>
      </c>
      <c r="P297" s="13" t="s">
        <v>548</v>
      </c>
      <c r="Q297" s="13" t="s">
        <v>580</v>
      </c>
      <c r="S297" s="7" t="e">
        <f ca="1">IF(_xludf.ifna(VLOOKUP(B297,Parámetros!#REF!,1,0),"")="","No","Sí")</f>
        <v>#NAME?</v>
      </c>
      <c r="T297" s="7" t="str">
        <f t="shared" si="10"/>
        <v>Normativo</v>
      </c>
      <c r="U297" s="4" t="s">
        <v>195</v>
      </c>
      <c r="V297" s="4" t="s">
        <v>39</v>
      </c>
      <c r="W297" s="4" t="s">
        <v>1685</v>
      </c>
      <c r="X297" s="4" t="s">
        <v>1685</v>
      </c>
      <c r="Y297" s="4" t="s">
        <v>1686</v>
      </c>
      <c r="Z297" s="5">
        <v>22639922</v>
      </c>
      <c r="AA297" s="5">
        <v>44551073</v>
      </c>
      <c r="AB297" s="4" t="s">
        <v>215</v>
      </c>
      <c r="AC297">
        <v>296</v>
      </c>
    </row>
    <row r="298" spans="1:29" ht="16.5" hidden="1" customHeight="1" x14ac:dyDescent="0.2">
      <c r="A298" s="6" t="str">
        <f t="shared" si="9"/>
        <v>SDATOOL-39787 $ Adquisición de equipos área RIC - (Validación Interna - RCS Riesgos) - (BEX-Cumplimiento)</v>
      </c>
      <c r="B298" s="4" t="s">
        <v>1739</v>
      </c>
      <c r="C298" s="4" t="s">
        <v>1740</v>
      </c>
      <c r="D298" s="4" t="s">
        <v>183</v>
      </c>
      <c r="E298" s="4" t="s">
        <v>1741</v>
      </c>
      <c r="F298" s="4" t="s">
        <v>69</v>
      </c>
      <c r="G298" s="4" t="s">
        <v>185</v>
      </c>
      <c r="H298" s="4" t="s">
        <v>203</v>
      </c>
      <c r="K298" s="4" t="s">
        <v>1503</v>
      </c>
      <c r="L298" s="4" t="s">
        <v>206</v>
      </c>
      <c r="M298" s="4" t="s">
        <v>1742</v>
      </c>
      <c r="N298" s="4" t="s">
        <v>15</v>
      </c>
      <c r="O298" s="13" t="s">
        <v>1743</v>
      </c>
      <c r="P298" s="13" t="s">
        <v>317</v>
      </c>
      <c r="Q298" s="13" t="s">
        <v>1040</v>
      </c>
      <c r="S298" s="7" t="e">
        <f ca="1">IF(_xludf.ifna(VLOOKUP(B298,Parámetros!#REF!,1,0),"")="","No","Sí")</f>
        <v>#NAME?</v>
      </c>
      <c r="T298" s="7" t="str">
        <f t="shared" si="10"/>
        <v>No normativo</v>
      </c>
      <c r="U298" s="4" t="s">
        <v>195</v>
      </c>
      <c r="V298" s="4" t="s">
        <v>39</v>
      </c>
      <c r="W298" s="4" t="s">
        <v>300</v>
      </c>
      <c r="X298" s="4" t="s">
        <v>1138</v>
      </c>
      <c r="Y298" s="4" t="s">
        <v>1139</v>
      </c>
      <c r="Z298" s="4">
        <v>0</v>
      </c>
      <c r="AA298" s="4">
        <v>0</v>
      </c>
      <c r="AB298" s="4" t="s">
        <v>215</v>
      </c>
      <c r="AC298">
        <v>297</v>
      </c>
    </row>
    <row r="299" spans="1:29" ht="16.5" hidden="1" customHeight="1" x14ac:dyDescent="0.2">
      <c r="A299" s="6" t="str">
        <f t="shared" si="9"/>
        <v>SDATOOL-39792 $ Validación número de celular en activación de tarjeta de crédito Open market</v>
      </c>
      <c r="B299" s="4" t="s">
        <v>1744</v>
      </c>
      <c r="C299" s="4" t="s">
        <v>1745</v>
      </c>
      <c r="D299" s="4" t="s">
        <v>763</v>
      </c>
      <c r="E299" s="4" t="s">
        <v>1746</v>
      </c>
      <c r="F299" s="4" t="s">
        <v>28</v>
      </c>
      <c r="G299" s="4" t="s">
        <v>185</v>
      </c>
      <c r="H299" s="4" t="s">
        <v>203</v>
      </c>
      <c r="J299" s="4" t="s">
        <v>204</v>
      </c>
      <c r="K299" s="4" t="s">
        <v>962</v>
      </c>
      <c r="L299" s="4" t="s">
        <v>206</v>
      </c>
      <c r="M299" s="4" t="s">
        <v>1746</v>
      </c>
      <c r="N299" s="4" t="s">
        <v>29</v>
      </c>
      <c r="O299" s="13" t="s">
        <v>1566</v>
      </c>
      <c r="P299" s="13" t="s">
        <v>701</v>
      </c>
      <c r="Q299" s="13" t="s">
        <v>475</v>
      </c>
      <c r="S299" s="7" t="e">
        <f ca="1">IF(_xludf.ifna(VLOOKUP(B299,Parámetros!#REF!,1,0),"")="","No","Sí")</f>
        <v>#NAME?</v>
      </c>
      <c r="T299" s="7" t="str">
        <f t="shared" si="10"/>
        <v>Normativo</v>
      </c>
      <c r="U299" s="4" t="s">
        <v>195</v>
      </c>
      <c r="V299" s="4" t="s">
        <v>39</v>
      </c>
      <c r="W299" s="4" t="s">
        <v>233</v>
      </c>
      <c r="X299" s="4" t="s">
        <v>92</v>
      </c>
      <c r="Y299" s="4" t="s">
        <v>533</v>
      </c>
      <c r="Z299" s="4">
        <v>0</v>
      </c>
      <c r="AA299" s="4">
        <v>0</v>
      </c>
      <c r="AB299" s="4" t="s">
        <v>215</v>
      </c>
      <c r="AC299">
        <v>298</v>
      </c>
    </row>
    <row r="300" spans="1:29" ht="16.5" hidden="1" customHeight="1" x14ac:dyDescent="0.2">
      <c r="A300" s="6" t="str">
        <f t="shared" si="9"/>
        <v>SDATOOL-39798 $ Fiduciaria - Workplace 2022</v>
      </c>
      <c r="B300" s="4" t="s">
        <v>1747</v>
      </c>
      <c r="C300" s="4" t="s">
        <v>1748</v>
      </c>
      <c r="D300" s="4" t="s">
        <v>183</v>
      </c>
      <c r="E300" s="4" t="s">
        <v>1749</v>
      </c>
      <c r="F300" s="4" t="s">
        <v>28</v>
      </c>
      <c r="G300" s="4" t="s">
        <v>185</v>
      </c>
      <c r="H300" s="4" t="s">
        <v>203</v>
      </c>
      <c r="J300" s="4" t="s">
        <v>204</v>
      </c>
      <c r="K300" s="4" t="s">
        <v>962</v>
      </c>
      <c r="L300" s="4" t="s">
        <v>206</v>
      </c>
      <c r="M300" s="4" t="s">
        <v>802</v>
      </c>
      <c r="N300" s="4" t="s">
        <v>15</v>
      </c>
      <c r="O300" s="13" t="s">
        <v>1750</v>
      </c>
      <c r="P300" s="13" t="s">
        <v>1751</v>
      </c>
      <c r="Q300" s="13" t="s">
        <v>804</v>
      </c>
      <c r="S300" s="7" t="e">
        <f ca="1">IF(_xludf.ifna(VLOOKUP(B300,Parámetros!#REF!,1,0),"")="","No","Sí")</f>
        <v>#NAME?</v>
      </c>
      <c r="T300" s="7" t="str">
        <f t="shared" si="10"/>
        <v>No normativo</v>
      </c>
      <c r="U300" s="4" t="s">
        <v>1542</v>
      </c>
      <c r="V300" s="4" t="s">
        <v>805</v>
      </c>
      <c r="W300" s="4" t="s">
        <v>233</v>
      </c>
      <c r="X300" s="4" t="s">
        <v>234</v>
      </c>
      <c r="Y300" s="4" t="s">
        <v>806</v>
      </c>
      <c r="Z300" s="4">
        <v>0</v>
      </c>
      <c r="AA300" s="5">
        <v>235882582</v>
      </c>
      <c r="AB300" s="4" t="s">
        <v>215</v>
      </c>
      <c r="AC300">
        <v>299</v>
      </c>
    </row>
    <row r="301" spans="1:29" ht="16.5" hidden="1" customHeight="1" x14ac:dyDescent="0.2">
      <c r="A301" s="6" t="str">
        <f t="shared" si="9"/>
        <v>SDATOOL-39799 $ Envío extractos tarjeta de crédito Open Market</v>
      </c>
      <c r="B301" s="4" t="s">
        <v>1752</v>
      </c>
      <c r="C301" s="4" t="s">
        <v>1753</v>
      </c>
      <c r="D301" s="4" t="s">
        <v>183</v>
      </c>
      <c r="E301" s="4" t="s">
        <v>1754</v>
      </c>
      <c r="F301" s="4" t="s">
        <v>28</v>
      </c>
      <c r="G301" s="4" t="s">
        <v>185</v>
      </c>
      <c r="H301" s="4" t="s">
        <v>203</v>
      </c>
      <c r="J301" s="4" t="s">
        <v>204</v>
      </c>
      <c r="K301" s="4" t="s">
        <v>962</v>
      </c>
      <c r="L301" s="4" t="s">
        <v>206</v>
      </c>
      <c r="M301" s="4" t="s">
        <v>1754</v>
      </c>
      <c r="N301" s="4" t="s">
        <v>29</v>
      </c>
      <c r="O301" s="13" t="s">
        <v>1566</v>
      </c>
      <c r="P301" s="13" t="s">
        <v>701</v>
      </c>
      <c r="Q301" s="13" t="s">
        <v>475</v>
      </c>
      <c r="S301" s="7" t="e">
        <f ca="1">IF(_xludf.ifna(VLOOKUP(B301,Parámetros!#REF!,1,0),"")="","No","Sí")</f>
        <v>#NAME?</v>
      </c>
      <c r="T301" s="7" t="str">
        <f t="shared" si="10"/>
        <v>No normativo</v>
      </c>
      <c r="U301" s="4" t="s">
        <v>195</v>
      </c>
      <c r="V301" s="4" t="s">
        <v>39</v>
      </c>
      <c r="W301" s="4" t="s">
        <v>233</v>
      </c>
      <c r="X301" s="4" t="s">
        <v>92</v>
      </c>
      <c r="Y301" s="4" t="s">
        <v>533</v>
      </c>
      <c r="Z301" s="5">
        <v>301162</v>
      </c>
      <c r="AA301" s="5">
        <v>14698674</v>
      </c>
      <c r="AB301" s="4" t="s">
        <v>215</v>
      </c>
      <c r="AC301">
        <v>300</v>
      </c>
    </row>
    <row r="302" spans="1:29" ht="16.5" customHeight="1" x14ac:dyDescent="0.2">
      <c r="A302" s="6" t="str">
        <f t="shared" si="9"/>
        <v>SDATOOL-39808 $ Implementación Wizard T&amp;C</v>
      </c>
      <c r="B302" s="4" t="s">
        <v>1755</v>
      </c>
      <c r="C302" s="4" t="s">
        <v>1756</v>
      </c>
      <c r="D302" s="4" t="s">
        <v>183</v>
      </c>
      <c r="E302" s="4" t="s">
        <v>1757</v>
      </c>
      <c r="F302" s="4" t="s">
        <v>30</v>
      </c>
      <c r="G302" s="4" t="s">
        <v>185</v>
      </c>
      <c r="H302" s="4" t="s">
        <v>186</v>
      </c>
      <c r="J302" s="4" t="s">
        <v>204</v>
      </c>
      <c r="K302" s="4" t="s">
        <v>1503</v>
      </c>
      <c r="L302" s="4" t="s">
        <v>386</v>
      </c>
      <c r="M302" s="4" t="s">
        <v>1758</v>
      </c>
      <c r="N302" s="4" t="s">
        <v>15</v>
      </c>
      <c r="O302" s="13" t="s">
        <v>1494</v>
      </c>
      <c r="P302" s="13" t="s">
        <v>965</v>
      </c>
      <c r="Q302" s="13" t="s">
        <v>965</v>
      </c>
      <c r="R302" s="4" t="s">
        <v>1759</v>
      </c>
      <c r="S302" s="7" t="e">
        <f ca="1">IF(_xludf.ifna(VLOOKUP(B302,Parámetros!#REF!,1,0),"")="","No","Sí")</f>
        <v>#NAME?</v>
      </c>
      <c r="T302" s="7" t="str">
        <f t="shared" si="10"/>
        <v>No normativo</v>
      </c>
      <c r="U302" s="4" t="s">
        <v>1542</v>
      </c>
      <c r="V302" s="4" t="s">
        <v>39</v>
      </c>
      <c r="W302" s="4" t="s">
        <v>300</v>
      </c>
      <c r="X302" s="4" t="s">
        <v>301</v>
      </c>
      <c r="Y302" s="4" t="s">
        <v>755</v>
      </c>
      <c r="Z302" s="4">
        <v>0</v>
      </c>
      <c r="AA302" s="4">
        <v>0</v>
      </c>
      <c r="AB302" s="4" t="s">
        <v>215</v>
      </c>
      <c r="AC302">
        <v>301</v>
      </c>
    </row>
    <row r="303" spans="1:29" ht="16.5" customHeight="1" x14ac:dyDescent="0.2">
      <c r="A303" s="6" t="str">
        <f t="shared" si="9"/>
        <v>SDATOOL-39819 $ Automatización casos de uso analítica CS</v>
      </c>
      <c r="B303" s="4" t="s">
        <v>1760</v>
      </c>
      <c r="C303" s="4" t="s">
        <v>1761</v>
      </c>
      <c r="D303" s="4" t="s">
        <v>183</v>
      </c>
      <c r="E303" s="4" t="s">
        <v>1762</v>
      </c>
      <c r="F303" s="4" t="s">
        <v>28</v>
      </c>
      <c r="G303" s="4" t="s">
        <v>185</v>
      </c>
      <c r="H303" s="4" t="s">
        <v>186</v>
      </c>
      <c r="J303" s="4" t="s">
        <v>204</v>
      </c>
      <c r="K303" s="4" t="s">
        <v>1503</v>
      </c>
      <c r="L303" s="4" t="s">
        <v>386</v>
      </c>
      <c r="M303" s="4" t="s">
        <v>649</v>
      </c>
      <c r="N303" s="4" t="s">
        <v>51</v>
      </c>
      <c r="O303" s="13" t="s">
        <v>1154</v>
      </c>
      <c r="P303" s="13" t="s">
        <v>1763</v>
      </c>
      <c r="Q303" s="13" t="s">
        <v>488</v>
      </c>
      <c r="S303" s="7" t="e">
        <f ca="1">IF(_xludf.ifna(VLOOKUP(B303,Parámetros!#REF!,1,0),"")="","No","Sí")</f>
        <v>#NAME?</v>
      </c>
      <c r="T303" s="7" t="str">
        <f t="shared" si="10"/>
        <v>No normativo</v>
      </c>
      <c r="U303" s="4" t="s">
        <v>732</v>
      </c>
      <c r="V303" s="4" t="s">
        <v>39</v>
      </c>
      <c r="W303" s="4" t="s">
        <v>196</v>
      </c>
      <c r="X303" s="4" t="s">
        <v>197</v>
      </c>
      <c r="Y303" s="4" t="s">
        <v>95</v>
      </c>
      <c r="Z303" s="4">
        <v>1</v>
      </c>
      <c r="AA303" s="5">
        <v>83888013</v>
      </c>
      <c r="AB303" s="4" t="s">
        <v>215</v>
      </c>
      <c r="AC303">
        <v>302</v>
      </c>
    </row>
    <row r="304" spans="1:29" ht="16.5" hidden="1" customHeight="1" x14ac:dyDescent="0.2">
      <c r="A304" s="6" t="str">
        <f t="shared" si="9"/>
        <v>SDATOOL-39822 $ Seguros - Obsolescencia Seguros</v>
      </c>
      <c r="B304" s="4" t="s">
        <v>1764</v>
      </c>
      <c r="C304" s="4" t="s">
        <v>1765</v>
      </c>
      <c r="D304" s="4" t="s">
        <v>763</v>
      </c>
      <c r="E304" s="4" t="s">
        <v>1766</v>
      </c>
      <c r="F304" s="4" t="s">
        <v>28</v>
      </c>
      <c r="G304" s="4" t="s">
        <v>185</v>
      </c>
      <c r="H304" s="4" t="s">
        <v>752</v>
      </c>
      <c r="J304" s="4" t="s">
        <v>204</v>
      </c>
      <c r="K304" s="4" t="s">
        <v>386</v>
      </c>
      <c r="L304" s="4" t="s">
        <v>394</v>
      </c>
      <c r="M304" s="4" t="s">
        <v>497</v>
      </c>
      <c r="N304" s="4" t="s">
        <v>29</v>
      </c>
      <c r="O304" s="13" t="s">
        <v>646</v>
      </c>
      <c r="P304" s="13" t="s">
        <v>344</v>
      </c>
      <c r="Q304" s="13" t="s">
        <v>1767</v>
      </c>
      <c r="S304" s="7" t="e">
        <f ca="1">IF(_xludf.ifna(VLOOKUP(B304,Parámetros!#REF!,1,0),"")="","No","Sí")</f>
        <v>#NAME?</v>
      </c>
      <c r="T304" s="7" t="str">
        <f t="shared" si="10"/>
        <v>Normativo</v>
      </c>
      <c r="U304" s="4" t="s">
        <v>195</v>
      </c>
      <c r="V304" s="4" t="s">
        <v>347</v>
      </c>
      <c r="W304" s="4" t="s">
        <v>233</v>
      </c>
      <c r="X304" s="4" t="s">
        <v>234</v>
      </c>
      <c r="Y304" s="4" t="s">
        <v>501</v>
      </c>
      <c r="Z304" s="4">
        <v>1</v>
      </c>
      <c r="AA304" s="4">
        <v>1</v>
      </c>
      <c r="AB304" s="4" t="s">
        <v>215</v>
      </c>
      <c r="AC304">
        <v>303</v>
      </c>
    </row>
    <row r="305" spans="1:29" ht="16.5" customHeight="1" x14ac:dyDescent="0.2">
      <c r="A305" s="6" t="str">
        <f t="shared" si="9"/>
        <v>SDATOOL-39823 $ REPORTERIA PROVISIONES _ S1, S2, S3, SA y CxP en Divisa</v>
      </c>
      <c r="B305" s="4" t="s">
        <v>1768</v>
      </c>
      <c r="C305" s="4" t="s">
        <v>1769</v>
      </c>
      <c r="D305" s="4" t="s">
        <v>183</v>
      </c>
      <c r="E305" s="4" t="s">
        <v>1770</v>
      </c>
      <c r="F305" s="4" t="s">
        <v>50</v>
      </c>
      <c r="G305" s="4" t="s">
        <v>185</v>
      </c>
      <c r="H305" s="4" t="s">
        <v>186</v>
      </c>
      <c r="I305" s="4" t="s">
        <v>186</v>
      </c>
      <c r="J305" s="4" t="s">
        <v>204</v>
      </c>
      <c r="K305" s="4" t="s">
        <v>1503</v>
      </c>
      <c r="L305" s="4" t="s">
        <v>189</v>
      </c>
      <c r="M305" s="4" t="s">
        <v>1771</v>
      </c>
      <c r="N305" s="4" t="s">
        <v>15</v>
      </c>
      <c r="O305" s="13" t="s">
        <v>1772</v>
      </c>
      <c r="P305" s="13" t="s">
        <v>462</v>
      </c>
      <c r="Q305" s="13" t="s">
        <v>318</v>
      </c>
      <c r="R305" s="4" t="s">
        <v>1773</v>
      </c>
      <c r="S305" s="7" t="e">
        <f ca="1">IF(_xludf.ifna(VLOOKUP(B305,Parámetros!#REF!,1,0),"")="","No","Sí")</f>
        <v>#NAME?</v>
      </c>
      <c r="T305" s="7" t="str">
        <f t="shared" si="10"/>
        <v>No normativo</v>
      </c>
      <c r="U305" s="4" t="s">
        <v>224</v>
      </c>
      <c r="V305" s="4" t="s">
        <v>39</v>
      </c>
      <c r="W305" s="4" t="s">
        <v>196</v>
      </c>
      <c r="X305" s="4" t="s">
        <v>225</v>
      </c>
      <c r="Y305" s="4" t="s">
        <v>1372</v>
      </c>
      <c r="Z305" s="4">
        <v>0</v>
      </c>
      <c r="AA305" s="5">
        <v>127220421</v>
      </c>
      <c r="AB305" s="4" t="s">
        <v>180</v>
      </c>
      <c r="AC305">
        <v>304</v>
      </c>
    </row>
    <row r="306" spans="1:29" ht="16.5" customHeight="1" x14ac:dyDescent="0.2">
      <c r="A306" s="6" t="str">
        <f t="shared" si="9"/>
        <v>SDATOOL-39826 $ GRM Col- Plan Ascenso - Mejoras en CAP Pymes y disponibilización HdC</v>
      </c>
      <c r="B306" s="4" t="s">
        <v>1774</v>
      </c>
      <c r="C306" s="4" t="s">
        <v>1775</v>
      </c>
      <c r="D306" s="4" t="s">
        <v>183</v>
      </c>
      <c r="E306" s="4" t="s">
        <v>1776</v>
      </c>
      <c r="F306" s="4" t="s">
        <v>56</v>
      </c>
      <c r="G306" s="4" t="s">
        <v>185</v>
      </c>
      <c r="H306" s="4" t="s">
        <v>186</v>
      </c>
      <c r="I306" s="4" t="s">
        <v>186</v>
      </c>
      <c r="K306" s="4" t="s">
        <v>206</v>
      </c>
      <c r="L306" s="4" t="s">
        <v>189</v>
      </c>
      <c r="M306" s="4" t="s">
        <v>1777</v>
      </c>
      <c r="N306" s="4" t="s">
        <v>29</v>
      </c>
      <c r="O306" s="13" t="s">
        <v>1778</v>
      </c>
      <c r="P306" s="13" t="s">
        <v>1240</v>
      </c>
      <c r="Q306" s="13" t="s">
        <v>255</v>
      </c>
      <c r="R306" s="4" t="s">
        <v>1779</v>
      </c>
      <c r="S306" s="7" t="e">
        <f ca="1">IF(_xludf.ifna(VLOOKUP(B306,Parámetros!#REF!,1,0),"")="","No","Sí")</f>
        <v>#NAME?</v>
      </c>
      <c r="T306" s="7" t="str">
        <f t="shared" si="10"/>
        <v>No normativo</v>
      </c>
      <c r="U306" s="4" t="s">
        <v>195</v>
      </c>
      <c r="V306" s="4" t="s">
        <v>39</v>
      </c>
      <c r="W306" s="4" t="s">
        <v>233</v>
      </c>
      <c r="X306" s="4" t="s">
        <v>234</v>
      </c>
      <c r="Y306" s="4" t="s">
        <v>520</v>
      </c>
      <c r="Z306" s="5">
        <v>23000000</v>
      </c>
      <c r="AA306" s="5">
        <v>63000000</v>
      </c>
      <c r="AB306" s="4" t="s">
        <v>180</v>
      </c>
      <c r="AC306">
        <v>305</v>
      </c>
    </row>
    <row r="307" spans="1:29" ht="16.5" hidden="1" customHeight="1" x14ac:dyDescent="0.2">
      <c r="A307" s="6" t="str">
        <f t="shared" si="9"/>
        <v>SDATOOL-39827 $ Certificaciones Cuentas Persona Natural y Jurídica Cantidad de Dígitos.</v>
      </c>
      <c r="B307" s="4" t="s">
        <v>1780</v>
      </c>
      <c r="C307" s="4" t="s">
        <v>1781</v>
      </c>
      <c r="D307" s="4" t="s">
        <v>183</v>
      </c>
      <c r="E307" s="4" t="s">
        <v>1782</v>
      </c>
      <c r="F307" s="4" t="s">
        <v>28</v>
      </c>
      <c r="G307" s="4" t="s">
        <v>185</v>
      </c>
      <c r="H307" s="4" t="s">
        <v>203</v>
      </c>
      <c r="J307" s="4" t="s">
        <v>204</v>
      </c>
      <c r="K307" s="4" t="s">
        <v>1503</v>
      </c>
      <c r="L307" s="4" t="s">
        <v>206</v>
      </c>
      <c r="M307" s="4" t="s">
        <v>1783</v>
      </c>
      <c r="N307" s="4" t="s">
        <v>29</v>
      </c>
      <c r="O307" s="13" t="s">
        <v>530</v>
      </c>
      <c r="P307" s="13" t="s">
        <v>911</v>
      </c>
      <c r="Q307" s="13" t="s">
        <v>309</v>
      </c>
      <c r="S307" s="7" t="e">
        <f ca="1">IF(_xludf.ifna(VLOOKUP(B307,Parámetros!#REF!,1,0),"")="","No","Sí")</f>
        <v>#NAME?</v>
      </c>
      <c r="T307" s="7" t="str">
        <f t="shared" si="10"/>
        <v>No normativo</v>
      </c>
      <c r="U307" s="4" t="s">
        <v>195</v>
      </c>
      <c r="V307" s="4" t="s">
        <v>39</v>
      </c>
      <c r="W307" s="4" t="s">
        <v>300</v>
      </c>
      <c r="X307" s="4" t="s">
        <v>301</v>
      </c>
      <c r="Y307" s="4" t="s">
        <v>302</v>
      </c>
      <c r="Z307" s="5">
        <v>390887</v>
      </c>
      <c r="AA307" s="5">
        <v>4138192</v>
      </c>
      <c r="AB307" s="4" t="s">
        <v>215</v>
      </c>
      <c r="AC307">
        <v>306</v>
      </c>
    </row>
    <row r="308" spans="1:29" ht="16.5" hidden="1" customHeight="1" x14ac:dyDescent="0.2">
      <c r="A308" s="6" t="str">
        <f t="shared" si="9"/>
        <v>SDATOOL-39828 $ Acciones CorpSec en la banca móvil</v>
      </c>
      <c r="B308" s="4" t="s">
        <v>1784</v>
      </c>
      <c r="C308" s="4" t="s">
        <v>1785</v>
      </c>
      <c r="D308" s="4" t="s">
        <v>763</v>
      </c>
      <c r="E308" s="4" t="s">
        <v>1786</v>
      </c>
      <c r="F308" s="4" t="s">
        <v>28</v>
      </c>
      <c r="G308" s="4" t="s">
        <v>185</v>
      </c>
      <c r="H308" s="4" t="s">
        <v>203</v>
      </c>
      <c r="J308" s="4" t="s">
        <v>204</v>
      </c>
      <c r="K308" s="4" t="s">
        <v>1503</v>
      </c>
      <c r="L308" s="4" t="s">
        <v>206</v>
      </c>
      <c r="M308" s="4" t="s">
        <v>540</v>
      </c>
      <c r="N308" s="4" t="s">
        <v>29</v>
      </c>
      <c r="O308" s="13" t="s">
        <v>371</v>
      </c>
      <c r="P308" s="13" t="s">
        <v>1712</v>
      </c>
      <c r="Q308" s="13" t="s">
        <v>309</v>
      </c>
      <c r="S308" s="7" t="e">
        <f ca="1">IF(_xludf.ifna(VLOOKUP(B308,Parámetros!#REF!,1,0),"")="","No","Sí")</f>
        <v>#NAME?</v>
      </c>
      <c r="T308" s="7" t="str">
        <f t="shared" si="10"/>
        <v>No normativo</v>
      </c>
      <c r="U308" s="4" t="s">
        <v>195</v>
      </c>
      <c r="V308" s="4" t="s">
        <v>39</v>
      </c>
      <c r="W308" s="4" t="s">
        <v>300</v>
      </c>
      <c r="X308" s="4" t="s">
        <v>301</v>
      </c>
      <c r="Y308" s="4" t="s">
        <v>302</v>
      </c>
      <c r="Z308" s="4">
        <v>0</v>
      </c>
      <c r="AA308" s="4">
        <v>0</v>
      </c>
      <c r="AB308" s="4" t="s">
        <v>215</v>
      </c>
      <c r="AC308">
        <v>307</v>
      </c>
    </row>
    <row r="309" spans="1:29" ht="16.5" customHeight="1" x14ac:dyDescent="0.2">
      <c r="A309" s="6" t="str">
        <f t="shared" si="9"/>
        <v>SDATOOL-39830 $ GRM Col - Plan Ascenso - Mejoras CAP Pymes</v>
      </c>
      <c r="B309" s="4" t="s">
        <v>1787</v>
      </c>
      <c r="C309" s="4" t="s">
        <v>1788</v>
      </c>
      <c r="D309" s="4" t="s">
        <v>183</v>
      </c>
      <c r="E309" s="4" t="s">
        <v>1789</v>
      </c>
      <c r="F309" s="4" t="s">
        <v>56</v>
      </c>
      <c r="G309" s="4" t="s">
        <v>185</v>
      </c>
      <c r="H309" s="4" t="s">
        <v>186</v>
      </c>
      <c r="K309" s="4" t="s">
        <v>1503</v>
      </c>
      <c r="L309" s="4" t="s">
        <v>386</v>
      </c>
      <c r="M309" s="4" t="s">
        <v>1790</v>
      </c>
      <c r="N309" s="4" t="s">
        <v>29</v>
      </c>
      <c r="O309" s="13" t="s">
        <v>1778</v>
      </c>
      <c r="P309" s="13" t="s">
        <v>1240</v>
      </c>
      <c r="Q309" s="13" t="s">
        <v>255</v>
      </c>
      <c r="R309" s="4" t="s">
        <v>1791</v>
      </c>
      <c r="S309" s="7" t="e">
        <f ca="1">IF(_xludf.ifna(VLOOKUP(B309,Parámetros!#REF!,1,0),"")="","No","Sí")</f>
        <v>#NAME?</v>
      </c>
      <c r="T309" s="7" t="str">
        <f t="shared" si="10"/>
        <v>No normativo</v>
      </c>
      <c r="U309" s="4" t="s">
        <v>195</v>
      </c>
      <c r="V309" s="4" t="s">
        <v>39</v>
      </c>
      <c r="W309" s="4" t="s">
        <v>233</v>
      </c>
      <c r="X309" s="4" t="s">
        <v>234</v>
      </c>
      <c r="Y309" s="4" t="s">
        <v>520</v>
      </c>
      <c r="Z309" s="5">
        <v>36000000</v>
      </c>
      <c r="AA309" s="5">
        <v>247313798</v>
      </c>
      <c r="AB309" s="4" t="s">
        <v>215</v>
      </c>
      <c r="AC309">
        <v>308</v>
      </c>
    </row>
    <row r="310" spans="1:29" ht="16.5" hidden="1" customHeight="1" x14ac:dyDescent="0.2">
      <c r="A310" s="6" t="str">
        <f t="shared" si="9"/>
        <v>SDATOOL-39834 $ Recaudo en Línea Secretaría de Hacienda Distrital - Fase II: Solución paramétrica de recaudos para la inclusión de 7 formularios tributarios en Canales electrónicos Web y Corresponsal Bancario.</v>
      </c>
      <c r="B310" s="4" t="s">
        <v>1792</v>
      </c>
      <c r="C310" s="4" t="s">
        <v>1793</v>
      </c>
      <c r="D310" s="4" t="s">
        <v>763</v>
      </c>
      <c r="E310" s="4" t="s">
        <v>1794</v>
      </c>
      <c r="F310" s="4" t="s">
        <v>28</v>
      </c>
      <c r="G310" s="4" t="s">
        <v>185</v>
      </c>
      <c r="H310" s="4" t="s">
        <v>752</v>
      </c>
      <c r="J310" s="4" t="s">
        <v>204</v>
      </c>
      <c r="K310" s="4" t="s">
        <v>189</v>
      </c>
      <c r="L310" s="4" t="s">
        <v>394</v>
      </c>
      <c r="M310" s="4" t="s">
        <v>1795</v>
      </c>
      <c r="N310" s="4" t="s">
        <v>29</v>
      </c>
      <c r="O310" s="13" t="s">
        <v>404</v>
      </c>
      <c r="P310" s="13" t="s">
        <v>542</v>
      </c>
      <c r="Q310" s="13" t="s">
        <v>543</v>
      </c>
      <c r="S310" s="7" t="e">
        <f ca="1">IF(_xludf.ifna(VLOOKUP(B310,Parámetros!#REF!,1,0),"")="","No","Sí")</f>
        <v>#NAME?</v>
      </c>
      <c r="T310" s="7" t="str">
        <f t="shared" si="10"/>
        <v>No normativo</v>
      </c>
      <c r="U310" s="4" t="s">
        <v>224</v>
      </c>
      <c r="V310" s="4" t="s">
        <v>39</v>
      </c>
      <c r="W310" s="4" t="s">
        <v>300</v>
      </c>
      <c r="X310" s="4" t="s">
        <v>301</v>
      </c>
      <c r="Y310" s="4" t="s">
        <v>302</v>
      </c>
      <c r="Z310" s="4">
        <v>0</v>
      </c>
      <c r="AA310" s="4">
        <v>0</v>
      </c>
      <c r="AB310" s="4" t="s">
        <v>180</v>
      </c>
      <c r="AC310">
        <v>309</v>
      </c>
    </row>
    <row r="311" spans="1:29" ht="16.5" customHeight="1" x14ac:dyDescent="0.2">
      <c r="A311" s="6" t="str">
        <f t="shared" si="9"/>
        <v>SDATOOL-39836 $ Vivienda digital fase III</v>
      </c>
      <c r="B311" s="4" t="s">
        <v>146</v>
      </c>
      <c r="C311" s="4" t="s">
        <v>1796</v>
      </c>
      <c r="D311" s="4" t="s">
        <v>763</v>
      </c>
      <c r="E311" s="4" t="s">
        <v>1797</v>
      </c>
      <c r="F311" s="4" t="s">
        <v>28</v>
      </c>
      <c r="G311" s="4" t="s">
        <v>185</v>
      </c>
      <c r="H311" s="4" t="s">
        <v>186</v>
      </c>
      <c r="I311" s="4" t="e">
        <v>#N/A</v>
      </c>
      <c r="J311" s="4" t="s">
        <v>204</v>
      </c>
      <c r="K311" s="4" t="s">
        <v>1503</v>
      </c>
      <c r="L311" s="4" t="s">
        <v>394</v>
      </c>
      <c r="M311" s="4" t="s">
        <v>529</v>
      </c>
      <c r="N311" s="4" t="s">
        <v>29</v>
      </c>
      <c r="O311" s="13" t="s">
        <v>530</v>
      </c>
      <c r="P311" s="13" t="s">
        <v>531</v>
      </c>
      <c r="Q311" s="13" t="s">
        <v>580</v>
      </c>
      <c r="S311" s="7" t="e">
        <f ca="1">IF(_xludf.ifna(VLOOKUP(B311,Parámetros!#REF!,1,0),"")="","No","Sí")</f>
        <v>#NAME?</v>
      </c>
      <c r="T311" s="7" t="str">
        <f t="shared" si="10"/>
        <v>No normativo</v>
      </c>
      <c r="U311" s="4" t="s">
        <v>195</v>
      </c>
      <c r="V311" s="4" t="s">
        <v>39</v>
      </c>
      <c r="W311" s="4" t="s">
        <v>233</v>
      </c>
      <c r="X311" s="4" t="s">
        <v>92</v>
      </c>
      <c r="Y311" s="4" t="s">
        <v>533</v>
      </c>
      <c r="Z311" s="5">
        <v>2400000000</v>
      </c>
      <c r="AA311" s="5">
        <v>1481000000</v>
      </c>
      <c r="AB311" s="4" t="s">
        <v>180</v>
      </c>
      <c r="AC311">
        <v>310</v>
      </c>
    </row>
    <row r="312" spans="1:29" ht="16.5" hidden="1" customHeight="1" x14ac:dyDescent="0.2">
      <c r="A312" s="6" t="str">
        <f t="shared" si="9"/>
        <v>SDATOOL-39837 $ Alta masiva Fase II</v>
      </c>
      <c r="B312" s="4" t="s">
        <v>1798</v>
      </c>
      <c r="C312" s="4" t="s">
        <v>1799</v>
      </c>
      <c r="D312" s="4" t="s">
        <v>763</v>
      </c>
      <c r="E312" s="4" t="s">
        <v>1800</v>
      </c>
      <c r="F312" s="4" t="s">
        <v>28</v>
      </c>
      <c r="G312" s="4" t="s">
        <v>185</v>
      </c>
      <c r="H312" s="4" t="s">
        <v>276</v>
      </c>
      <c r="I312" s="4" t="e">
        <v>#N/A</v>
      </c>
      <c r="J312" s="4" t="s">
        <v>204</v>
      </c>
      <c r="K312" s="4" t="s">
        <v>1503</v>
      </c>
      <c r="L312" s="4" t="s">
        <v>394</v>
      </c>
      <c r="M312" s="4" t="s">
        <v>529</v>
      </c>
      <c r="N312" s="4" t="s">
        <v>29</v>
      </c>
      <c r="O312" s="13" t="s">
        <v>1801</v>
      </c>
      <c r="P312" s="13" t="s">
        <v>852</v>
      </c>
      <c r="Q312" s="13" t="s">
        <v>697</v>
      </c>
      <c r="S312" s="7" t="e">
        <f ca="1">IF(_xludf.ifna(VLOOKUP(B312,Parámetros!#REF!,1,0),"")="","No","Sí")</f>
        <v>#NAME?</v>
      </c>
      <c r="T312" s="7" t="str">
        <f t="shared" si="10"/>
        <v>No normativo</v>
      </c>
      <c r="U312" s="4" t="s">
        <v>195</v>
      </c>
      <c r="V312" s="4" t="s">
        <v>39</v>
      </c>
      <c r="W312" s="4" t="s">
        <v>233</v>
      </c>
      <c r="X312" s="4" t="s">
        <v>92</v>
      </c>
      <c r="Y312" s="4" t="s">
        <v>533</v>
      </c>
      <c r="Z312" s="4">
        <v>1</v>
      </c>
      <c r="AA312" s="4">
        <v>1</v>
      </c>
      <c r="AB312" s="4" t="s">
        <v>180</v>
      </c>
      <c r="AC312">
        <v>311</v>
      </c>
    </row>
    <row r="313" spans="1:29" ht="16.5" hidden="1" customHeight="1" x14ac:dyDescent="0.2">
      <c r="A313" s="6" t="str">
        <f t="shared" si="9"/>
        <v>SDATOOL-39838 $ Retargeting estructural con TRUORA tarjeta de crédito</v>
      </c>
      <c r="B313" s="4" t="s">
        <v>1802</v>
      </c>
      <c r="C313" s="4" t="s">
        <v>1803</v>
      </c>
      <c r="D313" s="4" t="s">
        <v>763</v>
      </c>
      <c r="E313" s="4" t="s">
        <v>1804</v>
      </c>
      <c r="F313" s="4" t="s">
        <v>28</v>
      </c>
      <c r="G313" s="4" t="s">
        <v>185</v>
      </c>
      <c r="H313" s="4" t="s">
        <v>752</v>
      </c>
      <c r="J313" s="4" t="s">
        <v>204</v>
      </c>
      <c r="K313" s="4" t="s">
        <v>1503</v>
      </c>
      <c r="L313" s="4" t="s">
        <v>394</v>
      </c>
      <c r="M313" s="4" t="s">
        <v>1804</v>
      </c>
      <c r="N313" s="4" t="s">
        <v>29</v>
      </c>
      <c r="O313" s="13" t="s">
        <v>1566</v>
      </c>
      <c r="P313" s="13" t="s">
        <v>701</v>
      </c>
      <c r="Q313" s="13" t="s">
        <v>475</v>
      </c>
      <c r="S313" s="7" t="e">
        <f ca="1">IF(_xludf.ifna(VLOOKUP(B313,Parámetros!#REF!,1,0),"")="","No","Sí")</f>
        <v>#NAME?</v>
      </c>
      <c r="T313" s="7" t="str">
        <f t="shared" si="10"/>
        <v>No normativo</v>
      </c>
      <c r="U313" s="4" t="s">
        <v>195</v>
      </c>
      <c r="V313" s="4" t="s">
        <v>39</v>
      </c>
      <c r="W313" s="4" t="s">
        <v>233</v>
      </c>
      <c r="X313" s="4" t="s">
        <v>92</v>
      </c>
      <c r="Y313" s="4" t="s">
        <v>533</v>
      </c>
      <c r="Z313" s="4">
        <v>0</v>
      </c>
      <c r="AA313" s="4">
        <v>0</v>
      </c>
      <c r="AB313" s="4" t="s">
        <v>215</v>
      </c>
      <c r="AC313">
        <v>312</v>
      </c>
    </row>
    <row r="314" spans="1:29" ht="16.5" customHeight="1" x14ac:dyDescent="0.2">
      <c r="A314" s="6" t="str">
        <f t="shared" si="9"/>
        <v>SDATOOL-39839 $ Fase 2 Libranza digital Front Cliente retoma y tracking</v>
      </c>
      <c r="B314" s="4" t="s">
        <v>1805</v>
      </c>
      <c r="C314" s="4" t="s">
        <v>1806</v>
      </c>
      <c r="D314" s="4" t="s">
        <v>763</v>
      </c>
      <c r="E314" s="4" t="s">
        <v>1807</v>
      </c>
      <c r="F314" s="4" t="s">
        <v>28</v>
      </c>
      <c r="G314" s="4" t="s">
        <v>185</v>
      </c>
      <c r="H314" s="4" t="s">
        <v>186</v>
      </c>
      <c r="J314" s="4" t="s">
        <v>204</v>
      </c>
      <c r="K314" s="4" t="s">
        <v>1503</v>
      </c>
      <c r="L314" s="4" t="s">
        <v>394</v>
      </c>
      <c r="M314" s="4" t="s">
        <v>529</v>
      </c>
      <c r="N314" s="4" t="s">
        <v>29</v>
      </c>
      <c r="O314" s="13" t="s">
        <v>530</v>
      </c>
      <c r="P314" s="13" t="s">
        <v>536</v>
      </c>
      <c r="Q314" s="13" t="s">
        <v>580</v>
      </c>
      <c r="S314" s="7" t="e">
        <f ca="1">IF(_xludf.ifna(VLOOKUP(B314,Parámetros!#REF!,1,0),"")="","No","Sí")</f>
        <v>#NAME?</v>
      </c>
      <c r="T314" s="7" t="str">
        <f t="shared" si="10"/>
        <v>No normativo</v>
      </c>
      <c r="U314" s="4" t="s">
        <v>195</v>
      </c>
      <c r="V314" s="4" t="s">
        <v>39</v>
      </c>
      <c r="W314" s="4" t="s">
        <v>233</v>
      </c>
      <c r="X314" s="4" t="s">
        <v>92</v>
      </c>
      <c r="Y314" s="4" t="s">
        <v>533</v>
      </c>
      <c r="Z314" s="5">
        <v>1800500000</v>
      </c>
      <c r="AA314" s="5">
        <v>2251500000</v>
      </c>
      <c r="AB314" s="4" t="s">
        <v>215</v>
      </c>
      <c r="AC314">
        <v>313</v>
      </c>
    </row>
    <row r="315" spans="1:29" ht="16.5" customHeight="1" x14ac:dyDescent="0.2">
      <c r="A315" s="6" t="str">
        <f t="shared" si="9"/>
        <v>SDATOOL-39840 $ BBVA Valores en Canales (Net Cash / Net)</v>
      </c>
      <c r="B315" s="4" t="s">
        <v>1808</v>
      </c>
      <c r="C315" s="4" t="s">
        <v>1809</v>
      </c>
      <c r="D315" s="4" t="s">
        <v>183</v>
      </c>
      <c r="E315" s="4" t="s">
        <v>1810</v>
      </c>
      <c r="F315" s="4" t="s">
        <v>28</v>
      </c>
      <c r="G315" s="4" t="s">
        <v>185</v>
      </c>
      <c r="H315" s="4" t="s">
        <v>186</v>
      </c>
      <c r="I315" s="4" t="e">
        <v>#N/A</v>
      </c>
      <c r="J315" s="4" t="s">
        <v>204</v>
      </c>
      <c r="K315" s="4" t="s">
        <v>1503</v>
      </c>
      <c r="L315" s="4" t="s">
        <v>314</v>
      </c>
      <c r="M315" s="4" t="s">
        <v>1811</v>
      </c>
      <c r="N315" s="4" t="s">
        <v>22</v>
      </c>
      <c r="O315" s="13" t="s">
        <v>1659</v>
      </c>
      <c r="Q315" s="13" t="s">
        <v>1661</v>
      </c>
      <c r="S315" s="7" t="e">
        <f ca="1">IF(_xludf.ifna(VLOOKUP(B315,Parámetros!#REF!,1,0),"")="","No","Sí")</f>
        <v>#NAME?</v>
      </c>
      <c r="T315" s="7" t="str">
        <f t="shared" si="10"/>
        <v>No normativo</v>
      </c>
      <c r="U315" s="4" t="s">
        <v>195</v>
      </c>
      <c r="V315" s="4" t="s">
        <v>39</v>
      </c>
      <c r="W315" s="4" t="s">
        <v>196</v>
      </c>
      <c r="X315" s="4" t="s">
        <v>271</v>
      </c>
      <c r="Y315" s="4" t="s">
        <v>582</v>
      </c>
      <c r="Z315" s="5">
        <v>1655107740</v>
      </c>
      <c r="AA315" s="5">
        <v>774599755</v>
      </c>
      <c r="AB315" s="4" t="s">
        <v>180</v>
      </c>
      <c r="AC315">
        <v>314</v>
      </c>
    </row>
    <row r="316" spans="1:29" ht="16.5" hidden="1" customHeight="1" x14ac:dyDescent="0.2">
      <c r="A316" s="6" t="str">
        <f t="shared" si="9"/>
        <v>SDATOOL-39841 $ DWP Banca Pymes y Banca Personal</v>
      </c>
      <c r="B316" s="4" t="s">
        <v>1812</v>
      </c>
      <c r="C316" s="4" t="s">
        <v>1813</v>
      </c>
      <c r="D316" s="4" t="s">
        <v>183</v>
      </c>
      <c r="E316" s="4" t="s">
        <v>1814</v>
      </c>
      <c r="F316" s="4" t="s">
        <v>28</v>
      </c>
      <c r="G316" s="4" t="s">
        <v>185</v>
      </c>
      <c r="H316" s="4" t="s">
        <v>276</v>
      </c>
      <c r="J316" s="4" t="s">
        <v>204</v>
      </c>
      <c r="K316" s="4" t="s">
        <v>206</v>
      </c>
      <c r="L316" s="4" t="s">
        <v>386</v>
      </c>
      <c r="M316" s="4" t="s">
        <v>655</v>
      </c>
      <c r="N316" s="4" t="s">
        <v>22</v>
      </c>
      <c r="O316" s="13" t="s">
        <v>412</v>
      </c>
      <c r="P316" s="13" t="s">
        <v>487</v>
      </c>
      <c r="Q316" s="13" t="s">
        <v>488</v>
      </c>
      <c r="S316" s="7" t="e">
        <f ca="1">IF(_xludf.ifna(VLOOKUP(B316,Parámetros!#REF!,1,0),"")="","No","Sí")</f>
        <v>#NAME?</v>
      </c>
      <c r="T316" s="7" t="str">
        <f t="shared" si="10"/>
        <v>Normativo</v>
      </c>
      <c r="U316" s="4" t="s">
        <v>195</v>
      </c>
      <c r="V316" s="4" t="s">
        <v>39</v>
      </c>
      <c r="W316" s="4" t="s">
        <v>196</v>
      </c>
      <c r="X316" s="4" t="s">
        <v>426</v>
      </c>
      <c r="Y316" s="4" t="s">
        <v>592</v>
      </c>
      <c r="Z316" s="5">
        <v>128365602</v>
      </c>
      <c r="AA316" s="5">
        <v>647867750</v>
      </c>
      <c r="AB316" s="4" t="s">
        <v>215</v>
      </c>
      <c r="AC316">
        <v>315</v>
      </c>
    </row>
    <row r="317" spans="1:29" ht="16.5" customHeight="1" x14ac:dyDescent="0.2">
      <c r="A317" s="6" t="str">
        <f t="shared" si="9"/>
        <v>SDATOOL-39842 $ Plan CRM: Nueva plataforma para disponibilizar informes de gestión para las redes</v>
      </c>
      <c r="B317" s="4" t="s">
        <v>27</v>
      </c>
      <c r="C317" s="4" t="s">
        <v>1815</v>
      </c>
      <c r="D317" s="4" t="s">
        <v>183</v>
      </c>
      <c r="E317" s="4" t="s">
        <v>1816</v>
      </c>
      <c r="F317" s="4" t="s">
        <v>28</v>
      </c>
      <c r="G317" s="4" t="s">
        <v>185</v>
      </c>
      <c r="H317" s="4" t="s">
        <v>186</v>
      </c>
      <c r="I317" s="4" t="s">
        <v>186</v>
      </c>
      <c r="J317" s="4" t="s">
        <v>204</v>
      </c>
      <c r="K317" s="4" t="s">
        <v>206</v>
      </c>
      <c r="L317" s="4" t="s">
        <v>586</v>
      </c>
      <c r="M317" s="4" t="s">
        <v>649</v>
      </c>
      <c r="N317" s="4" t="s">
        <v>36</v>
      </c>
      <c r="O317" s="13" t="s">
        <v>825</v>
      </c>
      <c r="P317" s="13" t="s">
        <v>1817</v>
      </c>
      <c r="Q317" s="13" t="s">
        <v>1818</v>
      </c>
      <c r="S317" s="7" t="e">
        <f ca="1">IF(_xludf.ifna(VLOOKUP(B317,Parámetros!#REF!,1,0),"")="","No","Sí")</f>
        <v>#NAME?</v>
      </c>
      <c r="T317" s="7" t="str">
        <f t="shared" si="10"/>
        <v>No normativo</v>
      </c>
      <c r="U317" s="4" t="s">
        <v>195</v>
      </c>
      <c r="V317" s="4" t="s">
        <v>39</v>
      </c>
      <c r="W317" s="4" t="s">
        <v>196</v>
      </c>
      <c r="X317" s="4" t="s">
        <v>197</v>
      </c>
      <c r="Y317" s="4" t="s">
        <v>95</v>
      </c>
      <c r="Z317" s="5">
        <v>6895180254</v>
      </c>
      <c r="AA317" s="5">
        <v>7083031264</v>
      </c>
      <c r="AB317" s="4" t="s">
        <v>180</v>
      </c>
      <c r="AC317">
        <v>316</v>
      </c>
    </row>
    <row r="318" spans="1:29" ht="16.5" hidden="1" customHeight="1" x14ac:dyDescent="0.2">
      <c r="A318" s="6" t="str">
        <f t="shared" si="9"/>
        <v>SDATOOL-39844 $ Seguros - Reporte RUSS</v>
      </c>
      <c r="B318" s="4" t="s">
        <v>1819</v>
      </c>
      <c r="C318" s="4" t="s">
        <v>1820</v>
      </c>
      <c r="D318" s="4" t="s">
        <v>763</v>
      </c>
      <c r="E318" s="4" t="s">
        <v>1821</v>
      </c>
      <c r="F318" s="4" t="s">
        <v>28</v>
      </c>
      <c r="G318" s="4" t="s">
        <v>185</v>
      </c>
      <c r="H318" s="4" t="s">
        <v>203</v>
      </c>
      <c r="J318" s="4" t="s">
        <v>204</v>
      </c>
      <c r="K318" s="4" t="s">
        <v>1503</v>
      </c>
      <c r="L318" s="4" t="s">
        <v>206</v>
      </c>
      <c r="M318" s="4" t="s">
        <v>497</v>
      </c>
      <c r="N318" s="4" t="s">
        <v>29</v>
      </c>
      <c r="O318" s="13" t="s">
        <v>343</v>
      </c>
      <c r="P318" s="13" t="s">
        <v>344</v>
      </c>
      <c r="Q318" s="13" t="s">
        <v>1822</v>
      </c>
      <c r="S318" s="7" t="e">
        <f ca="1">IF(_xludf.ifna(VLOOKUP(B318,Parámetros!#REF!,1,0),"")="","No","Sí")</f>
        <v>#NAME?</v>
      </c>
      <c r="T318" s="7" t="str">
        <f t="shared" si="10"/>
        <v>Normativo</v>
      </c>
      <c r="U318" s="4" t="s">
        <v>195</v>
      </c>
      <c r="V318" s="4" t="s">
        <v>347</v>
      </c>
      <c r="W318" s="4" t="s">
        <v>233</v>
      </c>
      <c r="X318" s="4" t="s">
        <v>234</v>
      </c>
      <c r="Y318" s="4" t="s">
        <v>501</v>
      </c>
      <c r="Z318" s="4">
        <v>0</v>
      </c>
      <c r="AA318" s="4">
        <v>0</v>
      </c>
      <c r="AB318" s="4" t="s">
        <v>215</v>
      </c>
      <c r="AC318">
        <v>317</v>
      </c>
    </row>
    <row r="319" spans="1:29" ht="16.5" customHeight="1" x14ac:dyDescent="0.2">
      <c r="A319" s="6" t="str">
        <f t="shared" si="9"/>
        <v>SDATOOL-39870 $ Front - Unificación de pantallas Contac Center</v>
      </c>
      <c r="B319" s="4" t="s">
        <v>1823</v>
      </c>
      <c r="C319" s="4" t="s">
        <v>1824</v>
      </c>
      <c r="D319" s="4" t="s">
        <v>183</v>
      </c>
      <c r="E319" s="4" t="s">
        <v>1825</v>
      </c>
      <c r="F319" s="4" t="s">
        <v>28</v>
      </c>
      <c r="G319" s="4" t="s">
        <v>185</v>
      </c>
      <c r="H319" s="4" t="s">
        <v>186</v>
      </c>
      <c r="I319" s="4" t="s">
        <v>186</v>
      </c>
      <c r="J319" s="4" t="s">
        <v>204</v>
      </c>
      <c r="K319" s="4" t="s">
        <v>206</v>
      </c>
      <c r="L319" s="4" t="s">
        <v>240</v>
      </c>
      <c r="M319" s="4" t="s">
        <v>423</v>
      </c>
      <c r="N319" s="4" t="s">
        <v>29</v>
      </c>
      <c r="O319" s="13" t="s">
        <v>1826</v>
      </c>
      <c r="P319" s="13" t="s">
        <v>424</v>
      </c>
      <c r="Q319" s="13" t="s">
        <v>638</v>
      </c>
      <c r="S319" s="7" t="e">
        <f ca="1">IF(_xludf.ifna(VLOOKUP(B319,Parámetros!#REF!,1,0),"")="","No","Sí")</f>
        <v>#NAME?</v>
      </c>
      <c r="T319" s="7" t="str">
        <f t="shared" si="10"/>
        <v>No normativo</v>
      </c>
      <c r="U319" s="4" t="s">
        <v>195</v>
      </c>
      <c r="V319" s="4" t="s">
        <v>39</v>
      </c>
      <c r="W319" s="4" t="s">
        <v>196</v>
      </c>
      <c r="X319" s="4" t="s">
        <v>426</v>
      </c>
      <c r="Y319" s="4" t="s">
        <v>427</v>
      </c>
      <c r="Z319" s="5">
        <v>2900209646</v>
      </c>
      <c r="AA319" s="5">
        <v>2749585739</v>
      </c>
      <c r="AB319" s="4" t="s">
        <v>180</v>
      </c>
      <c r="AC319">
        <v>318</v>
      </c>
    </row>
    <row r="320" spans="1:29" ht="16.5" customHeight="1" x14ac:dyDescent="0.2">
      <c r="A320" s="6" t="str">
        <f t="shared" si="9"/>
        <v>SDATOOL-39871 $ Cbs Gelsa Paga todo</v>
      </c>
      <c r="B320" s="4" t="s">
        <v>1827</v>
      </c>
      <c r="C320" s="4" t="s">
        <v>1828</v>
      </c>
      <c r="D320" s="4" t="s">
        <v>763</v>
      </c>
      <c r="E320" s="4" t="s">
        <v>1829</v>
      </c>
      <c r="F320" s="4" t="s">
        <v>28</v>
      </c>
      <c r="G320" s="4" t="s">
        <v>185</v>
      </c>
      <c r="H320" s="4" t="s">
        <v>186</v>
      </c>
      <c r="I320" s="4" t="s">
        <v>752</v>
      </c>
      <c r="J320" s="4" t="s">
        <v>204</v>
      </c>
      <c r="K320" s="4" t="s">
        <v>206</v>
      </c>
      <c r="L320" s="4" t="s">
        <v>314</v>
      </c>
      <c r="M320" s="4" t="s">
        <v>1830</v>
      </c>
      <c r="N320" s="4" t="s">
        <v>29</v>
      </c>
      <c r="O320" s="13" t="s">
        <v>473</v>
      </c>
      <c r="P320" s="13" t="s">
        <v>474</v>
      </c>
      <c r="Q320" s="13" t="s">
        <v>1831</v>
      </c>
      <c r="S320" s="7" t="e">
        <f ca="1">IF(_xludf.ifna(VLOOKUP(B320,Parámetros!#REF!,1,0),"")="","No","Sí")</f>
        <v>#NAME?</v>
      </c>
      <c r="T320" s="7" t="str">
        <f t="shared" si="10"/>
        <v>No normativo</v>
      </c>
      <c r="U320" s="4" t="s">
        <v>195</v>
      </c>
      <c r="V320" s="4" t="s">
        <v>39</v>
      </c>
      <c r="W320" s="4" t="s">
        <v>300</v>
      </c>
      <c r="X320" s="4" t="s">
        <v>562</v>
      </c>
      <c r="Y320" s="4" t="s">
        <v>563</v>
      </c>
      <c r="Z320" s="5">
        <v>300000000</v>
      </c>
      <c r="AA320" s="5">
        <v>190000000</v>
      </c>
      <c r="AB320" s="4" t="s">
        <v>180</v>
      </c>
      <c r="AC320">
        <v>319</v>
      </c>
    </row>
    <row r="321" spans="1:29" ht="16.5" hidden="1" customHeight="1" x14ac:dyDescent="0.2">
      <c r="A321" s="6" t="str">
        <f t="shared" si="9"/>
        <v>SDATOOL-39885 $ Open banking APIcrédito de vehículo</v>
      </c>
      <c r="B321" s="4" t="s">
        <v>1832</v>
      </c>
      <c r="C321" s="4" t="s">
        <v>1833</v>
      </c>
      <c r="D321" s="4" t="s">
        <v>763</v>
      </c>
      <c r="E321" s="4" t="s">
        <v>1834</v>
      </c>
      <c r="F321" s="4" t="s">
        <v>28</v>
      </c>
      <c r="G321" s="4" t="s">
        <v>185</v>
      </c>
      <c r="H321" s="4" t="s">
        <v>752</v>
      </c>
      <c r="J321" s="4" t="s">
        <v>204</v>
      </c>
      <c r="K321" s="4" t="s">
        <v>1503</v>
      </c>
      <c r="L321" s="4" t="s">
        <v>394</v>
      </c>
      <c r="M321" s="4" t="s">
        <v>1835</v>
      </c>
      <c r="N321" s="4" t="s">
        <v>29</v>
      </c>
      <c r="O321" s="13" t="s">
        <v>721</v>
      </c>
      <c r="P321" s="13" t="s">
        <v>1836</v>
      </c>
      <c r="Q321" s="13" t="s">
        <v>532</v>
      </c>
      <c r="S321" s="7" t="e">
        <f ca="1">IF(_xludf.ifna(VLOOKUP(B321,Parámetros!#REF!,1,0),"")="","No","Sí")</f>
        <v>#NAME?</v>
      </c>
      <c r="T321" s="7" t="str">
        <f t="shared" si="10"/>
        <v>No normativo</v>
      </c>
      <c r="U321" s="4" t="s">
        <v>195</v>
      </c>
      <c r="V321" s="4" t="s">
        <v>39</v>
      </c>
      <c r="W321" s="4" t="s">
        <v>233</v>
      </c>
      <c r="X321" s="4" t="s">
        <v>92</v>
      </c>
      <c r="Y321" s="4" t="s">
        <v>481</v>
      </c>
      <c r="Z321" s="4">
        <v>0</v>
      </c>
      <c r="AA321" s="4">
        <v>0</v>
      </c>
      <c r="AB321" s="4" t="s">
        <v>215</v>
      </c>
      <c r="AC321">
        <v>320</v>
      </c>
    </row>
    <row r="322" spans="1:29" ht="16.5" customHeight="1" x14ac:dyDescent="0.2">
      <c r="A322" s="6" t="str">
        <f t="shared" si="9"/>
        <v>SDATOOL-39888 $ Proyecto - Evolutivo Sarlaft - Mejoras controles aplicativos</v>
      </c>
      <c r="B322" s="4" t="s">
        <v>1837</v>
      </c>
      <c r="C322" s="4" t="s">
        <v>1838</v>
      </c>
      <c r="D322" s="4" t="s">
        <v>183</v>
      </c>
      <c r="E322" s="4" t="s">
        <v>1839</v>
      </c>
      <c r="F322" s="4" t="s">
        <v>69</v>
      </c>
      <c r="G322" s="4" t="s">
        <v>185</v>
      </c>
      <c r="H322" s="4" t="s">
        <v>186</v>
      </c>
      <c r="K322" s="4" t="s">
        <v>386</v>
      </c>
      <c r="L322" s="4" t="s">
        <v>314</v>
      </c>
      <c r="M322" s="4" t="s">
        <v>1840</v>
      </c>
      <c r="N322" s="4" t="s">
        <v>15</v>
      </c>
      <c r="O322" s="13" t="s">
        <v>316</v>
      </c>
      <c r="P322" s="13" t="s">
        <v>317</v>
      </c>
      <c r="Q322" s="13" t="s">
        <v>318</v>
      </c>
      <c r="R322" s="4" t="s">
        <v>1841</v>
      </c>
      <c r="S322" s="7" t="e">
        <f ca="1">IF(_xludf.ifna(VLOOKUP(B322,Parámetros!#REF!,1,0),"")="","No","Sí")</f>
        <v>#NAME?</v>
      </c>
      <c r="T322" s="7" t="str">
        <f t="shared" si="10"/>
        <v>No normativo</v>
      </c>
      <c r="U322" s="4" t="s">
        <v>1842</v>
      </c>
      <c r="V322" s="4" t="s">
        <v>39</v>
      </c>
      <c r="W322" s="4" t="s">
        <v>196</v>
      </c>
      <c r="X322" s="4" t="s">
        <v>225</v>
      </c>
      <c r="Y322" s="4" t="s">
        <v>320</v>
      </c>
      <c r="Z322" s="4">
        <v>1</v>
      </c>
      <c r="AA322" s="5">
        <v>170000000</v>
      </c>
      <c r="AB322" s="4" t="s">
        <v>180</v>
      </c>
      <c r="AC322">
        <v>321</v>
      </c>
    </row>
    <row r="323" spans="1:29" ht="16.5" customHeight="1" x14ac:dyDescent="0.2">
      <c r="A323" s="6" t="str">
        <f t="shared" ref="A323:A386" si="11">B323&amp;" $ "&amp;C323</f>
        <v>SDATOOL-39892 $ Firma Digital</v>
      </c>
      <c r="B323" s="4" t="s">
        <v>1843</v>
      </c>
      <c r="C323" s="4" t="s">
        <v>1844</v>
      </c>
      <c r="D323" s="4" t="s">
        <v>763</v>
      </c>
      <c r="E323" s="4" t="s">
        <v>1845</v>
      </c>
      <c r="F323" s="4" t="s">
        <v>28</v>
      </c>
      <c r="G323" s="4" t="s">
        <v>185</v>
      </c>
      <c r="H323" s="4" t="s">
        <v>186</v>
      </c>
      <c r="I323" s="4" t="e">
        <v>#N/A</v>
      </c>
      <c r="J323" s="4" t="s">
        <v>204</v>
      </c>
      <c r="K323" s="4" t="s">
        <v>206</v>
      </c>
      <c r="L323" s="4" t="s">
        <v>189</v>
      </c>
      <c r="M323" s="4" t="s">
        <v>1846</v>
      </c>
      <c r="N323" s="4" t="s">
        <v>51</v>
      </c>
      <c r="O323" s="13" t="s">
        <v>541</v>
      </c>
      <c r="P323" s="13" t="s">
        <v>1232</v>
      </c>
      <c r="Q323" s="13" t="s">
        <v>1232</v>
      </c>
      <c r="S323" s="7" t="e">
        <f ca="1">IF(_xludf.ifna(VLOOKUP(B323,Parámetros!#REF!,1,0),"")="","No","Sí")</f>
        <v>#NAME?</v>
      </c>
      <c r="T323" s="7" t="str">
        <f t="shared" ref="T323:T386" si="12">IF(U329="None","No normativo","Normativo")</f>
        <v>No normativo</v>
      </c>
      <c r="U323" s="4" t="s">
        <v>195</v>
      </c>
      <c r="V323" s="4" t="s">
        <v>39</v>
      </c>
      <c r="W323" s="4" t="s">
        <v>291</v>
      </c>
      <c r="X323" s="4" t="s">
        <v>292</v>
      </c>
      <c r="Y323" s="4" t="s">
        <v>1478</v>
      </c>
      <c r="Z323" s="5">
        <v>50000000</v>
      </c>
      <c r="AA323" s="4">
        <v>1</v>
      </c>
      <c r="AB323" s="4" t="s">
        <v>180</v>
      </c>
      <c r="AC323">
        <v>322</v>
      </c>
    </row>
    <row r="324" spans="1:29" ht="16.5" hidden="1" customHeight="1" x14ac:dyDescent="0.2">
      <c r="A324" s="6" t="str">
        <f t="shared" si="11"/>
        <v>SDATOOL-39893 $ PLATAFORMA DIMENSION - PLAN CORRECTOR 1 - DESEMBOLSOS</v>
      </c>
      <c r="B324" s="4" t="s">
        <v>1847</v>
      </c>
      <c r="C324" s="4" t="s">
        <v>1848</v>
      </c>
      <c r="D324" s="4" t="s">
        <v>183</v>
      </c>
      <c r="E324" s="4" t="s">
        <v>1849</v>
      </c>
      <c r="F324" s="4" t="s">
        <v>28</v>
      </c>
      <c r="G324" s="4" t="s">
        <v>185</v>
      </c>
      <c r="H324" s="4" t="s">
        <v>276</v>
      </c>
      <c r="J324" s="4" t="s">
        <v>204</v>
      </c>
      <c r="K324" s="4" t="s">
        <v>206</v>
      </c>
      <c r="L324" s="4" t="s">
        <v>394</v>
      </c>
      <c r="M324" s="4" t="s">
        <v>540</v>
      </c>
      <c r="N324" s="4" t="s">
        <v>22</v>
      </c>
      <c r="O324" s="13" t="s">
        <v>404</v>
      </c>
      <c r="P324" s="13" t="s">
        <v>433</v>
      </c>
      <c r="Q324" s="13" t="s">
        <v>456</v>
      </c>
      <c r="S324" s="7" t="e">
        <f ca="1">IF(_xludf.ifna(VLOOKUP(B324,Parámetros!#REF!,1,0),"")="","No","Sí")</f>
        <v>#NAME?</v>
      </c>
      <c r="T324" s="7" t="str">
        <f t="shared" si="12"/>
        <v>No normativo</v>
      </c>
      <c r="U324" s="4" t="s">
        <v>1542</v>
      </c>
      <c r="V324" s="4" t="s">
        <v>39</v>
      </c>
      <c r="W324" s="4" t="s">
        <v>300</v>
      </c>
      <c r="X324" s="4" t="s">
        <v>301</v>
      </c>
      <c r="Y324" s="4" t="s">
        <v>302</v>
      </c>
      <c r="Z324" s="4">
        <v>0</v>
      </c>
      <c r="AA324" s="4">
        <v>0</v>
      </c>
      <c r="AB324" s="4" t="s">
        <v>215</v>
      </c>
      <c r="AC324">
        <v>323</v>
      </c>
    </row>
    <row r="325" spans="1:29" ht="16.5" hidden="1" customHeight="1" x14ac:dyDescent="0.2">
      <c r="A325" s="6" t="str">
        <f t="shared" si="11"/>
        <v>SDATOOL-39894 $ PLATAFORMA DIMENSION - PLAN CORRECTOR 2- PAGOS</v>
      </c>
      <c r="B325" s="4" t="s">
        <v>1850</v>
      </c>
      <c r="C325" s="4" t="s">
        <v>1851</v>
      </c>
      <c r="D325" s="4" t="s">
        <v>183</v>
      </c>
      <c r="E325" s="4" t="s">
        <v>1852</v>
      </c>
      <c r="F325" s="4" t="s">
        <v>28</v>
      </c>
      <c r="G325" s="4" t="s">
        <v>185</v>
      </c>
      <c r="H325" s="4" t="s">
        <v>276</v>
      </c>
      <c r="J325" s="4" t="s">
        <v>204</v>
      </c>
      <c r="K325" s="4" t="s">
        <v>206</v>
      </c>
      <c r="L325" s="4" t="s">
        <v>394</v>
      </c>
      <c r="M325" s="4" t="s">
        <v>540</v>
      </c>
      <c r="N325" s="4" t="s">
        <v>22</v>
      </c>
      <c r="O325" s="13" t="s">
        <v>404</v>
      </c>
      <c r="P325" s="13" t="s">
        <v>1853</v>
      </c>
      <c r="Q325" s="13" t="s">
        <v>434</v>
      </c>
      <c r="S325" s="7" t="e">
        <f ca="1">IF(_xludf.ifna(VLOOKUP(B325,Parámetros!#REF!,1,0),"")="","No","Sí")</f>
        <v>#NAME?</v>
      </c>
      <c r="T325" s="7" t="str">
        <f t="shared" si="12"/>
        <v>No normativo</v>
      </c>
      <c r="U325" s="4" t="s">
        <v>195</v>
      </c>
      <c r="V325" s="4" t="s">
        <v>39</v>
      </c>
      <c r="W325" s="4" t="s">
        <v>300</v>
      </c>
      <c r="X325" s="4" t="s">
        <v>301</v>
      </c>
      <c r="Y325" s="4" t="s">
        <v>302</v>
      </c>
      <c r="Z325" s="4">
        <v>0</v>
      </c>
      <c r="AA325" s="4">
        <v>0</v>
      </c>
      <c r="AB325" s="4" t="s">
        <v>215</v>
      </c>
      <c r="AC325">
        <v>324</v>
      </c>
    </row>
    <row r="326" spans="1:29" ht="16.5" customHeight="1" x14ac:dyDescent="0.2">
      <c r="A326" s="6" t="str">
        <f t="shared" si="11"/>
        <v>SDATOOL-39895 $ PRODUCTO AGROFACTORING</v>
      </c>
      <c r="B326" s="4" t="s">
        <v>1854</v>
      </c>
      <c r="C326" s="4" t="s">
        <v>1855</v>
      </c>
      <c r="D326" s="4" t="s">
        <v>763</v>
      </c>
      <c r="E326" s="4" t="s">
        <v>1856</v>
      </c>
      <c r="F326" s="4" t="s">
        <v>28</v>
      </c>
      <c r="G326" s="4" t="s">
        <v>185</v>
      </c>
      <c r="H326" s="4" t="s">
        <v>186</v>
      </c>
      <c r="I326" s="4" t="s">
        <v>186</v>
      </c>
      <c r="J326" s="4" t="s">
        <v>204</v>
      </c>
      <c r="K326" s="4" t="s">
        <v>206</v>
      </c>
      <c r="L326" s="4" t="s">
        <v>394</v>
      </c>
      <c r="M326" s="4" t="s">
        <v>1857</v>
      </c>
      <c r="N326" s="4" t="s">
        <v>22</v>
      </c>
      <c r="O326" s="13" t="s">
        <v>404</v>
      </c>
      <c r="P326" s="13" t="s">
        <v>433</v>
      </c>
      <c r="Q326" s="13" t="s">
        <v>433</v>
      </c>
      <c r="S326" s="7" t="e">
        <f ca="1">IF(_xludf.ifna(VLOOKUP(B326,Parámetros!#REF!,1,0),"")="","No","Sí")</f>
        <v>#NAME?</v>
      </c>
      <c r="T326" s="7" t="str">
        <f t="shared" si="12"/>
        <v>Normativo</v>
      </c>
      <c r="U326" s="4" t="s">
        <v>195</v>
      </c>
      <c r="V326" s="4" t="s">
        <v>39</v>
      </c>
      <c r="W326" s="4" t="s">
        <v>196</v>
      </c>
      <c r="X326" s="4" t="s">
        <v>197</v>
      </c>
      <c r="Y326" s="4" t="s">
        <v>688</v>
      </c>
      <c r="Z326" s="5">
        <v>3700000000</v>
      </c>
      <c r="AA326" s="5">
        <v>1800000000</v>
      </c>
      <c r="AB326" s="4" t="s">
        <v>180</v>
      </c>
      <c r="AC326">
        <v>325</v>
      </c>
    </row>
    <row r="327" spans="1:29" ht="16.5" hidden="1" customHeight="1" x14ac:dyDescent="0.2">
      <c r="A327" s="6" t="str">
        <f t="shared" si="11"/>
        <v>SDATOOL-39896 $ DCC en ATM</v>
      </c>
      <c r="B327" s="4" t="s">
        <v>1858</v>
      </c>
      <c r="C327" s="4" t="s">
        <v>1859</v>
      </c>
      <c r="D327" s="4" t="s">
        <v>763</v>
      </c>
      <c r="E327" s="4" t="s">
        <v>1860</v>
      </c>
      <c r="F327" s="4" t="s">
        <v>28</v>
      </c>
      <c r="G327" s="4" t="s">
        <v>185</v>
      </c>
      <c r="H327" s="4" t="s">
        <v>752</v>
      </c>
      <c r="I327" s="4" t="e">
        <v>#N/A</v>
      </c>
      <c r="J327" s="4" t="s">
        <v>204</v>
      </c>
      <c r="K327" s="4" t="s">
        <v>206</v>
      </c>
      <c r="L327" s="4" t="s">
        <v>394</v>
      </c>
      <c r="M327" s="4" t="s">
        <v>1861</v>
      </c>
      <c r="N327" s="4" t="s">
        <v>29</v>
      </c>
      <c r="O327" s="13" t="s">
        <v>412</v>
      </c>
      <c r="P327" s="13" t="s">
        <v>413</v>
      </c>
      <c r="Q327" s="13" t="s">
        <v>1646</v>
      </c>
      <c r="S327" s="7" t="e">
        <f ca="1">IF(_xludf.ifna(VLOOKUP(B327,Parámetros!#REF!,1,0),"")="","No","Sí")</f>
        <v>#NAME?</v>
      </c>
      <c r="T327" s="7" t="str">
        <f t="shared" si="12"/>
        <v>No normativo</v>
      </c>
      <c r="U327" s="4" t="s">
        <v>195</v>
      </c>
      <c r="V327" s="4" t="s">
        <v>39</v>
      </c>
      <c r="W327" s="4" t="s">
        <v>300</v>
      </c>
      <c r="X327" s="4" t="s">
        <v>562</v>
      </c>
      <c r="Y327" s="4" t="s">
        <v>1304</v>
      </c>
      <c r="Z327" s="4">
        <v>0</v>
      </c>
      <c r="AA327" s="4">
        <v>0</v>
      </c>
      <c r="AB327" s="4" t="s">
        <v>180</v>
      </c>
      <c r="AC327">
        <v>326</v>
      </c>
    </row>
    <row r="328" spans="1:29" ht="16.5" customHeight="1" x14ac:dyDescent="0.2">
      <c r="A328" s="6" t="str">
        <f t="shared" si="11"/>
        <v>SDATOOL-39897 $ Pricing Preaprobados</v>
      </c>
      <c r="B328" s="4" t="s">
        <v>91</v>
      </c>
      <c r="C328" s="4" t="s">
        <v>1862</v>
      </c>
      <c r="D328" s="4" t="s">
        <v>763</v>
      </c>
      <c r="E328" s="4" t="s">
        <v>1863</v>
      </c>
      <c r="F328" s="4" t="s">
        <v>28</v>
      </c>
      <c r="G328" s="4" t="s">
        <v>185</v>
      </c>
      <c r="H328" s="4" t="s">
        <v>186</v>
      </c>
      <c r="I328" s="4" t="e">
        <v>#N/A</v>
      </c>
      <c r="J328" s="4" t="s">
        <v>204</v>
      </c>
      <c r="K328" s="4" t="s">
        <v>1503</v>
      </c>
      <c r="L328" s="4" t="s">
        <v>189</v>
      </c>
      <c r="M328" s="4" t="s">
        <v>600</v>
      </c>
      <c r="N328" s="4" t="s">
        <v>51</v>
      </c>
      <c r="O328" s="13" t="s">
        <v>573</v>
      </c>
      <c r="P328" s="13" t="s">
        <v>618</v>
      </c>
      <c r="Q328" s="13" t="s">
        <v>580</v>
      </c>
      <c r="S328" s="7" t="e">
        <f ca="1">IF(_xludf.ifna(VLOOKUP(B328,Parámetros!#REF!,1,0),"")="","No","Sí")</f>
        <v>#NAME?</v>
      </c>
      <c r="T328" s="7" t="str">
        <f t="shared" si="12"/>
        <v>No normativo</v>
      </c>
      <c r="U328" s="4" t="s">
        <v>195</v>
      </c>
      <c r="V328" s="4" t="s">
        <v>39</v>
      </c>
      <c r="W328" s="4" t="s">
        <v>233</v>
      </c>
      <c r="X328" s="4" t="s">
        <v>234</v>
      </c>
      <c r="Y328" s="4" t="s">
        <v>520</v>
      </c>
      <c r="Z328" s="5">
        <v>100000000</v>
      </c>
      <c r="AA328" s="5">
        <v>100000000</v>
      </c>
      <c r="AB328" s="4" t="s">
        <v>180</v>
      </c>
      <c r="AC328">
        <v>327</v>
      </c>
    </row>
    <row r="329" spans="1:29" ht="16.5" hidden="1" customHeight="1" x14ac:dyDescent="0.2">
      <c r="A329" s="6" t="str">
        <f t="shared" si="11"/>
        <v>SDATOOL-39900 $ Reporte mensual # clientes JVs Colombia</v>
      </c>
      <c r="B329" s="4" t="s">
        <v>1864</v>
      </c>
      <c r="C329" s="4" t="s">
        <v>1865</v>
      </c>
      <c r="D329" s="4" t="s">
        <v>763</v>
      </c>
      <c r="E329" s="4" t="s">
        <v>1866</v>
      </c>
      <c r="F329" s="4" t="s">
        <v>28</v>
      </c>
      <c r="G329" s="4" t="s">
        <v>185</v>
      </c>
      <c r="H329" s="4" t="s">
        <v>203</v>
      </c>
      <c r="J329" s="4" t="s">
        <v>204</v>
      </c>
      <c r="K329" s="4" t="s">
        <v>1503</v>
      </c>
      <c r="L329" s="4" t="s">
        <v>206</v>
      </c>
      <c r="M329" s="4" t="s">
        <v>1866</v>
      </c>
      <c r="N329" s="4" t="s">
        <v>29</v>
      </c>
      <c r="O329" s="13" t="s">
        <v>721</v>
      </c>
      <c r="P329" s="13" t="s">
        <v>1836</v>
      </c>
      <c r="Q329" s="13" t="s">
        <v>580</v>
      </c>
      <c r="S329" s="7" t="e">
        <f ca="1">IF(_xludf.ifna(VLOOKUP(B329,Parámetros!#REF!,1,0),"")="","No","Sí")</f>
        <v>#NAME?</v>
      </c>
      <c r="T329" s="7" t="str">
        <f t="shared" si="12"/>
        <v>Normativo</v>
      </c>
      <c r="U329" s="4" t="s">
        <v>195</v>
      </c>
      <c r="V329" s="4" t="s">
        <v>39</v>
      </c>
      <c r="W329" s="4" t="s">
        <v>233</v>
      </c>
      <c r="X329" s="4" t="s">
        <v>92</v>
      </c>
      <c r="Y329" s="4" t="s">
        <v>533</v>
      </c>
      <c r="Z329" s="4">
        <v>0</v>
      </c>
      <c r="AA329" s="4">
        <v>0</v>
      </c>
      <c r="AB329" s="4" t="s">
        <v>215</v>
      </c>
      <c r="AC329">
        <v>328</v>
      </c>
    </row>
    <row r="330" spans="1:29" ht="16.5" hidden="1" customHeight="1" x14ac:dyDescent="0.2">
      <c r="A330" s="6" t="str">
        <f t="shared" si="11"/>
        <v>SDATOOL-39908 $ Hacking ético continuo con robots</v>
      </c>
      <c r="B330" s="4" t="s">
        <v>1867</v>
      </c>
      <c r="C330" s="4" t="s">
        <v>1868</v>
      </c>
      <c r="D330" s="4" t="s">
        <v>183</v>
      </c>
      <c r="E330" s="4" t="s">
        <v>1869</v>
      </c>
      <c r="F330" s="4" t="s">
        <v>43</v>
      </c>
      <c r="G330" s="4" t="s">
        <v>185</v>
      </c>
      <c r="H330" s="4" t="s">
        <v>276</v>
      </c>
      <c r="J330" s="4" t="s">
        <v>204</v>
      </c>
      <c r="K330" s="4" t="s">
        <v>1503</v>
      </c>
      <c r="L330" s="4" t="s">
        <v>189</v>
      </c>
      <c r="M330" s="4" t="s">
        <v>1870</v>
      </c>
      <c r="N330" s="4" t="s">
        <v>15</v>
      </c>
      <c r="O330" s="13" t="s">
        <v>371</v>
      </c>
      <c r="P330" s="13" t="s">
        <v>372</v>
      </c>
      <c r="Q330" s="13" t="s">
        <v>373</v>
      </c>
      <c r="S330" s="7" t="e">
        <f ca="1">IF(_xludf.ifna(VLOOKUP(B330,Parámetros!#REF!,1,0),"")="","No","Sí")</f>
        <v>#NAME?</v>
      </c>
      <c r="T330" s="7" t="str">
        <f t="shared" si="12"/>
        <v>Normativo</v>
      </c>
      <c r="U330" s="4" t="s">
        <v>195</v>
      </c>
      <c r="V330" s="4" t="s">
        <v>39</v>
      </c>
      <c r="W330" s="4" t="s">
        <v>212</v>
      </c>
      <c r="X330" s="4" t="s">
        <v>375</v>
      </c>
      <c r="Y330" s="4" t="s">
        <v>872</v>
      </c>
      <c r="Z330" s="4">
        <v>0</v>
      </c>
      <c r="AA330" s="5">
        <v>27417600</v>
      </c>
      <c r="AB330" s="4" t="s">
        <v>215</v>
      </c>
      <c r="AC330">
        <v>329</v>
      </c>
    </row>
    <row r="331" spans="1:29" ht="16.5" customHeight="1" x14ac:dyDescent="0.2">
      <c r="A331" s="6" t="str">
        <f t="shared" si="11"/>
        <v>SDATOOL-39921 $ Mejoras cuenta en línea BBVA Móvil</v>
      </c>
      <c r="B331" s="4" t="s">
        <v>1871</v>
      </c>
      <c r="C331" s="4" t="s">
        <v>1872</v>
      </c>
      <c r="D331" s="4" t="s">
        <v>183</v>
      </c>
      <c r="E331" s="4" t="s">
        <v>1873</v>
      </c>
      <c r="F331" s="4" t="s">
        <v>28</v>
      </c>
      <c r="G331" s="4" t="s">
        <v>185</v>
      </c>
      <c r="H331" s="4" t="s">
        <v>186</v>
      </c>
      <c r="J331" s="4" t="s">
        <v>204</v>
      </c>
      <c r="K331" s="4" t="s">
        <v>1503</v>
      </c>
      <c r="L331" s="4" t="s">
        <v>386</v>
      </c>
      <c r="M331" s="4" t="s">
        <v>1873</v>
      </c>
      <c r="N331" s="4" t="s">
        <v>29</v>
      </c>
      <c r="O331" s="13" t="s">
        <v>191</v>
      </c>
      <c r="P331" s="13" t="s">
        <v>1227</v>
      </c>
      <c r="Q331" s="13" t="s">
        <v>441</v>
      </c>
      <c r="S331" s="7" t="e">
        <f ca="1">IF(_xludf.ifna(VLOOKUP(B331,Parámetros!#REF!,1,0),"")="","No","Sí")</f>
        <v>#NAME?</v>
      </c>
      <c r="T331" s="7" t="str">
        <f t="shared" si="12"/>
        <v>No normativo</v>
      </c>
      <c r="U331" s="4" t="s">
        <v>195</v>
      </c>
      <c r="V331" s="4" t="s">
        <v>39</v>
      </c>
      <c r="W331" s="4" t="s">
        <v>233</v>
      </c>
      <c r="X331" s="4" t="s">
        <v>92</v>
      </c>
      <c r="Y331" s="4" t="s">
        <v>533</v>
      </c>
      <c r="Z331" s="5">
        <v>82064744</v>
      </c>
      <c r="AA331" s="5">
        <v>41032372</v>
      </c>
      <c r="AB331" s="4" t="s">
        <v>215</v>
      </c>
      <c r="AC331">
        <v>330</v>
      </c>
    </row>
    <row r="332" spans="1:29" ht="16.5" hidden="1" customHeight="1" x14ac:dyDescent="0.2">
      <c r="A332" s="6" t="str">
        <f t="shared" si="11"/>
        <v>SDATOOL-39923 $ MIGRO FASE II. TRANSFORMACIÓN DE LOS CIRCUITOS DE CAPTURA Y TRATAMIENTO DE LAS PÉRDIDAS OPERACIONALES - COLOMBIA</v>
      </c>
      <c r="B332" s="4" t="s">
        <v>1874</v>
      </c>
      <c r="C332" s="4" t="s">
        <v>1875</v>
      </c>
      <c r="D332" s="4" t="s">
        <v>183</v>
      </c>
      <c r="E332" s="4" t="s">
        <v>1876</v>
      </c>
      <c r="F332" s="4" t="s">
        <v>69</v>
      </c>
      <c r="G332" s="4" t="s">
        <v>185</v>
      </c>
      <c r="H332" s="4" t="s">
        <v>203</v>
      </c>
      <c r="J332" s="4" t="s">
        <v>204</v>
      </c>
      <c r="K332" s="4" t="s">
        <v>1503</v>
      </c>
      <c r="L332" s="4" t="s">
        <v>206</v>
      </c>
      <c r="M332" s="4" t="s">
        <v>1877</v>
      </c>
      <c r="N332" s="4" t="s">
        <v>15</v>
      </c>
      <c r="O332" s="13" t="s">
        <v>1878</v>
      </c>
      <c r="P332" s="13" t="s">
        <v>317</v>
      </c>
      <c r="Q332" s="13" t="s">
        <v>255</v>
      </c>
      <c r="S332" s="7" t="e">
        <f ca="1">IF(_xludf.ifna(VLOOKUP(B332,Parámetros!#REF!,1,0),"")="","No","Sí")</f>
        <v>#NAME?</v>
      </c>
      <c r="T332" s="7" t="str">
        <f t="shared" si="12"/>
        <v>No normativo</v>
      </c>
      <c r="U332" s="4" t="s">
        <v>1542</v>
      </c>
      <c r="V332" s="4" t="s">
        <v>39</v>
      </c>
      <c r="W332" s="4" t="s">
        <v>196</v>
      </c>
      <c r="X332" s="4" t="s">
        <v>225</v>
      </c>
      <c r="Y332" s="4" t="s">
        <v>320</v>
      </c>
      <c r="Z332" s="4">
        <v>0</v>
      </c>
      <c r="AA332" s="4">
        <v>0</v>
      </c>
      <c r="AB332" s="4" t="s">
        <v>215</v>
      </c>
      <c r="AC332">
        <v>331</v>
      </c>
    </row>
    <row r="333" spans="1:29" ht="16.5" customHeight="1" x14ac:dyDescent="0.2">
      <c r="A333" s="6" t="str">
        <f t="shared" si="11"/>
        <v>SDATOOL-39944 $ Fiduciaria - Requerimientos Legales y Normativos 2022</v>
      </c>
      <c r="B333" s="4" t="s">
        <v>1879</v>
      </c>
      <c r="C333" s="4" t="s">
        <v>1880</v>
      </c>
      <c r="D333" s="4" t="s">
        <v>183</v>
      </c>
      <c r="E333" s="4" t="s">
        <v>1881</v>
      </c>
      <c r="F333" s="4" t="s">
        <v>28</v>
      </c>
      <c r="G333" s="4" t="s">
        <v>185</v>
      </c>
      <c r="H333" s="4" t="s">
        <v>186</v>
      </c>
      <c r="J333" s="4" t="s">
        <v>204</v>
      </c>
      <c r="K333" s="4" t="s">
        <v>1503</v>
      </c>
      <c r="L333" s="4" t="s">
        <v>386</v>
      </c>
      <c r="M333" s="4" t="s">
        <v>802</v>
      </c>
      <c r="N333" s="4" t="s">
        <v>51</v>
      </c>
      <c r="O333" s="13" t="s">
        <v>1750</v>
      </c>
      <c r="P333" s="13" t="s">
        <v>1882</v>
      </c>
      <c r="Q333" s="13" t="s">
        <v>804</v>
      </c>
      <c r="S333" s="7" t="e">
        <f ca="1">IF(_xludf.ifna(VLOOKUP(B333,Parámetros!#REF!,1,0),"")="","No","Sí")</f>
        <v>#NAME?</v>
      </c>
      <c r="T333" s="7" t="str">
        <f t="shared" si="12"/>
        <v>No normativo</v>
      </c>
      <c r="U333" s="4" t="s">
        <v>195</v>
      </c>
      <c r="V333" s="4" t="s">
        <v>805</v>
      </c>
      <c r="W333" s="4" t="s">
        <v>233</v>
      </c>
      <c r="X333" s="4" t="s">
        <v>234</v>
      </c>
      <c r="Y333" s="4" t="s">
        <v>806</v>
      </c>
      <c r="Z333" s="5">
        <v>144000001</v>
      </c>
      <c r="AA333" s="5">
        <v>286000001</v>
      </c>
      <c r="AB333" s="4" t="s">
        <v>215</v>
      </c>
      <c r="AC333">
        <v>332</v>
      </c>
    </row>
    <row r="334" spans="1:29" ht="16.5" customHeight="1" x14ac:dyDescent="0.2">
      <c r="A334" s="6" t="str">
        <f t="shared" si="11"/>
        <v>SDATOOL-39951 $ Automatización de transmisión de información entre Datio y los Canales de Gestión (SFMC, DWP, AUG) para Leads, Campañas y Journeys</v>
      </c>
      <c r="B334" s="4" t="s">
        <v>55</v>
      </c>
      <c r="C334" s="4" t="s">
        <v>1883</v>
      </c>
      <c r="D334" s="4" t="s">
        <v>763</v>
      </c>
      <c r="E334" s="4" t="s">
        <v>1884</v>
      </c>
      <c r="F334" s="4" t="s">
        <v>28</v>
      </c>
      <c r="G334" s="4" t="s">
        <v>185</v>
      </c>
      <c r="H334" s="4" t="s">
        <v>186</v>
      </c>
      <c r="I334" s="4" t="s">
        <v>186</v>
      </c>
      <c r="J334" s="4" t="s">
        <v>204</v>
      </c>
      <c r="K334" s="4" t="s">
        <v>386</v>
      </c>
      <c r="L334" s="4" t="s">
        <v>394</v>
      </c>
      <c r="M334" s="4" t="s">
        <v>649</v>
      </c>
      <c r="N334" s="4" t="s">
        <v>36</v>
      </c>
      <c r="O334" s="13" t="s">
        <v>1154</v>
      </c>
      <c r="P334" s="13" t="s">
        <v>1885</v>
      </c>
      <c r="Q334" s="13" t="s">
        <v>222</v>
      </c>
      <c r="S334" s="7" t="e">
        <f ca="1">IF(_xludf.ifna(VLOOKUP(B334,Parámetros!#REF!,1,0),"")="","No","Sí")</f>
        <v>#NAME?</v>
      </c>
      <c r="T334" s="7" t="str">
        <f t="shared" si="12"/>
        <v>No normativo</v>
      </c>
      <c r="U334" s="4" t="s">
        <v>195</v>
      </c>
      <c r="V334" s="4" t="s">
        <v>39</v>
      </c>
      <c r="W334" s="4" t="s">
        <v>196</v>
      </c>
      <c r="X334" s="4" t="s">
        <v>197</v>
      </c>
      <c r="Y334" s="4" t="s">
        <v>95</v>
      </c>
      <c r="Z334" s="5">
        <v>1710000002</v>
      </c>
      <c r="AA334" s="5">
        <v>815000001</v>
      </c>
      <c r="AB334" s="4" t="s">
        <v>180</v>
      </c>
      <c r="AC334">
        <v>333</v>
      </c>
    </row>
    <row r="335" spans="1:29" ht="16.5" customHeight="1" x14ac:dyDescent="0.2">
      <c r="A335" s="6" t="str">
        <f t="shared" si="11"/>
        <v>SDATOOL-40003 $ Resolución 0124 DIAN 2021 - Créditos Hipotecarios para remodelación de Vivienda</v>
      </c>
      <c r="B335" s="4" t="s">
        <v>1886</v>
      </c>
      <c r="C335" s="4" t="s">
        <v>1887</v>
      </c>
      <c r="D335" s="4" t="s">
        <v>183</v>
      </c>
      <c r="E335" s="4" t="s">
        <v>1888</v>
      </c>
      <c r="F335" s="4" t="s">
        <v>50</v>
      </c>
      <c r="G335" s="4" t="s">
        <v>185</v>
      </c>
      <c r="H335" s="4" t="s">
        <v>186</v>
      </c>
      <c r="J335" s="4" t="s">
        <v>204</v>
      </c>
      <c r="K335" s="4" t="s">
        <v>1503</v>
      </c>
      <c r="L335" s="4" t="s">
        <v>189</v>
      </c>
      <c r="M335" s="4" t="s">
        <v>1889</v>
      </c>
      <c r="N335" s="4" t="s">
        <v>15</v>
      </c>
      <c r="O335" s="13" t="s">
        <v>568</v>
      </c>
      <c r="P335" s="13" t="s">
        <v>455</v>
      </c>
      <c r="Q335" s="13" t="s">
        <v>318</v>
      </c>
      <c r="S335" s="7" t="e">
        <f ca="1">IF(_xludf.ifna(VLOOKUP(B335,Parámetros!#REF!,1,0),"")="","No","Sí")</f>
        <v>#NAME?</v>
      </c>
      <c r="T335" s="7" t="str">
        <f t="shared" si="12"/>
        <v>No normativo</v>
      </c>
      <c r="U335" s="4" t="s">
        <v>224</v>
      </c>
      <c r="V335" s="4" t="s">
        <v>39</v>
      </c>
      <c r="W335" s="4" t="s">
        <v>196</v>
      </c>
      <c r="X335" s="4" t="s">
        <v>246</v>
      </c>
      <c r="Y335" s="4" t="s">
        <v>265</v>
      </c>
      <c r="Z335" s="5">
        <v>353763738</v>
      </c>
      <c r="AA335" s="5">
        <v>246359130</v>
      </c>
      <c r="AB335" s="4" t="s">
        <v>180</v>
      </c>
      <c r="AC335">
        <v>334</v>
      </c>
    </row>
    <row r="336" spans="1:29" ht="16.5" hidden="1" customHeight="1" x14ac:dyDescent="0.2">
      <c r="A336" s="6" t="str">
        <f t="shared" si="11"/>
        <v>SDATOOL-40012 $ Fiduciaria - Obsolecencia aplicativa para los módulos de rendición de cuentas, Telefónica Factoring y EEFF</v>
      </c>
      <c r="B336" s="4" t="s">
        <v>1890</v>
      </c>
      <c r="C336" s="4" t="s">
        <v>1891</v>
      </c>
      <c r="D336" s="4" t="s">
        <v>763</v>
      </c>
      <c r="E336" s="4" t="s">
        <v>1892</v>
      </c>
      <c r="F336" s="4" t="s">
        <v>28</v>
      </c>
      <c r="G336" s="4" t="s">
        <v>185</v>
      </c>
      <c r="H336" s="4" t="s">
        <v>752</v>
      </c>
      <c r="I336" s="4" t="s">
        <v>186</v>
      </c>
      <c r="J336" s="4" t="s">
        <v>204</v>
      </c>
      <c r="K336" s="4" t="s">
        <v>386</v>
      </c>
      <c r="L336" s="4" t="s">
        <v>189</v>
      </c>
      <c r="M336" s="4" t="s">
        <v>802</v>
      </c>
      <c r="N336" s="4" t="s">
        <v>15</v>
      </c>
      <c r="O336" s="13" t="s">
        <v>803</v>
      </c>
      <c r="P336" s="13" t="s">
        <v>1750</v>
      </c>
      <c r="Q336" s="13" t="s">
        <v>804</v>
      </c>
      <c r="S336" s="7" t="e">
        <f ca="1">IF(_xludf.ifna(VLOOKUP(B336,Parámetros!#REF!,1,0),"")="","No","Sí")</f>
        <v>#NAME?</v>
      </c>
      <c r="T336" s="7" t="str">
        <f t="shared" si="12"/>
        <v>No normativo</v>
      </c>
      <c r="U336" s="4" t="s">
        <v>1542</v>
      </c>
      <c r="V336" s="4" t="s">
        <v>805</v>
      </c>
      <c r="W336" s="4" t="s">
        <v>233</v>
      </c>
      <c r="X336" s="4" t="s">
        <v>234</v>
      </c>
      <c r="Y336" s="4" t="s">
        <v>806</v>
      </c>
      <c r="Z336" s="5">
        <v>164000000</v>
      </c>
      <c r="AA336" s="5">
        <v>82000000</v>
      </c>
      <c r="AB336" s="4" t="s">
        <v>180</v>
      </c>
      <c r="AC336">
        <v>335</v>
      </c>
    </row>
    <row r="337" spans="1:29" ht="16.5" hidden="1" customHeight="1" x14ac:dyDescent="0.2">
      <c r="A337" s="6" t="str">
        <f t="shared" si="11"/>
        <v>SDATOOL-40036 $ Migración Data Center ECP</v>
      </c>
      <c r="B337" s="4" t="s">
        <v>1893</v>
      </c>
      <c r="C337" s="4" t="s">
        <v>1894</v>
      </c>
      <c r="D337" s="4" t="s">
        <v>183</v>
      </c>
      <c r="E337" s="4" t="s">
        <v>1895</v>
      </c>
      <c r="F337" s="4" t="s">
        <v>43</v>
      </c>
      <c r="G337" s="4" t="s">
        <v>185</v>
      </c>
      <c r="H337" s="4" t="s">
        <v>203</v>
      </c>
      <c r="J337" s="4" t="s">
        <v>204</v>
      </c>
      <c r="K337" s="4" t="s">
        <v>1503</v>
      </c>
      <c r="L337" s="4" t="s">
        <v>206</v>
      </c>
      <c r="M337" s="4" t="s">
        <v>1896</v>
      </c>
      <c r="N337" s="4" t="s">
        <v>15</v>
      </c>
      <c r="O337" s="13" t="s">
        <v>623</v>
      </c>
      <c r="P337" s="13" t="s">
        <v>1897</v>
      </c>
      <c r="Q337" s="13" t="s">
        <v>336</v>
      </c>
      <c r="S337" s="7" t="e">
        <f ca="1">IF(_xludf.ifna(VLOOKUP(B337,Parámetros!#REF!,1,0),"")="","No","Sí")</f>
        <v>#NAME?</v>
      </c>
      <c r="T337" s="7" t="str">
        <f t="shared" si="12"/>
        <v>No normativo</v>
      </c>
      <c r="U337" s="4" t="s">
        <v>195</v>
      </c>
      <c r="V337" s="4" t="s">
        <v>39</v>
      </c>
      <c r="W337" s="4" t="s">
        <v>212</v>
      </c>
      <c r="X337" s="4" t="s">
        <v>375</v>
      </c>
      <c r="Y337" s="4" t="s">
        <v>872</v>
      </c>
      <c r="Z337" s="4">
        <v>0</v>
      </c>
      <c r="AA337" s="4">
        <v>0</v>
      </c>
      <c r="AB337" s="4" t="s">
        <v>215</v>
      </c>
      <c r="AC337">
        <v>336</v>
      </c>
    </row>
    <row r="338" spans="1:29" ht="16.5" customHeight="1" x14ac:dyDescent="0.2">
      <c r="A338" s="6" t="str">
        <f t="shared" si="11"/>
        <v>SDATOOL-40062 $ Implementación FGA en flujos de contratación digital</v>
      </c>
      <c r="B338" s="4" t="s">
        <v>1898</v>
      </c>
      <c r="C338" s="4" t="s">
        <v>1899</v>
      </c>
      <c r="D338" s="4" t="s">
        <v>183</v>
      </c>
      <c r="E338" s="4" t="s">
        <v>1900</v>
      </c>
      <c r="F338" s="4" t="s">
        <v>28</v>
      </c>
      <c r="G338" s="4" t="s">
        <v>185</v>
      </c>
      <c r="H338" s="4" t="s">
        <v>186</v>
      </c>
      <c r="I338" s="4" t="s">
        <v>752</v>
      </c>
      <c r="J338" s="4" t="s">
        <v>204</v>
      </c>
      <c r="K338" s="4" t="s">
        <v>206</v>
      </c>
      <c r="L338" s="4" t="s">
        <v>394</v>
      </c>
      <c r="M338" s="4" t="s">
        <v>1901</v>
      </c>
      <c r="N338" s="4" t="s">
        <v>29</v>
      </c>
      <c r="O338" s="13" t="s">
        <v>480</v>
      </c>
      <c r="P338" s="13" t="s">
        <v>683</v>
      </c>
      <c r="Q338" s="13" t="s">
        <v>580</v>
      </c>
      <c r="S338" s="7" t="e">
        <f ca="1">IF(_xludf.ifna(VLOOKUP(B338,Parámetros!#REF!,1,0),"")="","No","Sí")</f>
        <v>#NAME?</v>
      </c>
      <c r="T338" s="7" t="str">
        <f t="shared" si="12"/>
        <v>Normativo</v>
      </c>
      <c r="U338" s="4" t="s">
        <v>195</v>
      </c>
      <c r="V338" s="4" t="s">
        <v>39</v>
      </c>
      <c r="W338" s="4" t="s">
        <v>233</v>
      </c>
      <c r="X338" s="4" t="s">
        <v>92</v>
      </c>
      <c r="Y338" s="4" t="s">
        <v>481</v>
      </c>
      <c r="Z338" s="5">
        <v>1310000000</v>
      </c>
      <c r="AA338" s="5">
        <v>1000000000</v>
      </c>
      <c r="AB338" s="4" t="s">
        <v>180</v>
      </c>
      <c r="AC338">
        <v>337</v>
      </c>
    </row>
    <row r="339" spans="1:29" ht="16.5" hidden="1" customHeight="1" x14ac:dyDescent="0.2">
      <c r="A339" s="6" t="str">
        <f t="shared" si="11"/>
        <v>SDATOOL-40064 $ Member get member cuenta en línea</v>
      </c>
      <c r="B339" s="4" t="s">
        <v>1902</v>
      </c>
      <c r="C339" s="4" t="s">
        <v>1903</v>
      </c>
      <c r="D339" s="4" t="s">
        <v>763</v>
      </c>
      <c r="E339" s="4" t="s">
        <v>1904</v>
      </c>
      <c r="F339" s="4" t="s">
        <v>28</v>
      </c>
      <c r="G339" s="4" t="s">
        <v>185</v>
      </c>
      <c r="H339" s="4" t="s">
        <v>752</v>
      </c>
      <c r="J339" s="4" t="s">
        <v>204</v>
      </c>
      <c r="K339" s="4" t="s">
        <v>206</v>
      </c>
      <c r="L339" s="4" t="s">
        <v>394</v>
      </c>
      <c r="M339" s="4" t="s">
        <v>1904</v>
      </c>
      <c r="N339" s="4" t="s">
        <v>29</v>
      </c>
      <c r="O339" s="13" t="s">
        <v>530</v>
      </c>
      <c r="P339" s="13" t="s">
        <v>1227</v>
      </c>
      <c r="Q339" s="13" t="s">
        <v>697</v>
      </c>
      <c r="S339" s="7" t="e">
        <f ca="1">IF(_xludf.ifna(VLOOKUP(B339,Parámetros!#REF!,1,0),"")="","No","Sí")</f>
        <v>#NAME?</v>
      </c>
      <c r="T339" s="7" t="str">
        <f t="shared" si="12"/>
        <v>Normativo</v>
      </c>
      <c r="U339" s="4" t="s">
        <v>195</v>
      </c>
      <c r="V339" s="4" t="s">
        <v>39</v>
      </c>
      <c r="W339" s="4" t="s">
        <v>233</v>
      </c>
      <c r="X339" s="4" t="s">
        <v>92</v>
      </c>
      <c r="Y339" s="4" t="s">
        <v>533</v>
      </c>
      <c r="Z339" s="4">
        <v>0</v>
      </c>
      <c r="AA339" s="4">
        <v>0</v>
      </c>
      <c r="AB339" s="4" t="s">
        <v>215</v>
      </c>
      <c r="AC339">
        <v>338</v>
      </c>
    </row>
    <row r="340" spans="1:29" ht="16.5" customHeight="1" x14ac:dyDescent="0.2">
      <c r="A340" s="6" t="str">
        <f t="shared" si="11"/>
        <v>SDATOOL-40075 $ Bancas de Gestión</v>
      </c>
      <c r="B340" s="4" t="s">
        <v>1905</v>
      </c>
      <c r="C340" s="4" t="s">
        <v>1906</v>
      </c>
      <c r="D340" s="4" t="s">
        <v>183</v>
      </c>
      <c r="E340" s="4" t="s">
        <v>1907</v>
      </c>
      <c r="F340" s="4" t="s">
        <v>50</v>
      </c>
      <c r="G340" s="4" t="s">
        <v>185</v>
      </c>
      <c r="H340" s="4" t="s">
        <v>186</v>
      </c>
      <c r="I340" s="4" t="s">
        <v>186</v>
      </c>
      <c r="J340" s="4" t="s">
        <v>204</v>
      </c>
      <c r="K340" s="4" t="s">
        <v>206</v>
      </c>
      <c r="L340" s="4" t="s">
        <v>394</v>
      </c>
      <c r="M340" s="4" t="s">
        <v>1908</v>
      </c>
      <c r="N340" s="4" t="s">
        <v>15</v>
      </c>
      <c r="O340" s="13" t="s">
        <v>1909</v>
      </c>
      <c r="P340" s="13" t="s">
        <v>279</v>
      </c>
      <c r="Q340" s="13" t="s">
        <v>488</v>
      </c>
      <c r="R340" s="4" t="s">
        <v>1910</v>
      </c>
      <c r="S340" s="7" t="e">
        <f ca="1">IF(_xludf.ifna(VLOOKUP(B340,Parámetros!#REF!,1,0),"")="","No","Sí")</f>
        <v>#NAME?</v>
      </c>
      <c r="T340" s="7" t="str">
        <f t="shared" si="12"/>
        <v>No normativo</v>
      </c>
      <c r="U340" s="4" t="s">
        <v>195</v>
      </c>
      <c r="V340" s="4" t="s">
        <v>39</v>
      </c>
      <c r="W340" s="4" t="s">
        <v>196</v>
      </c>
      <c r="X340" s="4" t="s">
        <v>225</v>
      </c>
      <c r="Y340" s="4" t="s">
        <v>1372</v>
      </c>
      <c r="Z340" s="5">
        <v>90000000</v>
      </c>
      <c r="AA340" s="5">
        <v>90000000</v>
      </c>
      <c r="AB340" s="4" t="s">
        <v>180</v>
      </c>
      <c r="AC340">
        <v>339</v>
      </c>
    </row>
    <row r="341" spans="1:29" ht="16.5" hidden="1" customHeight="1" x14ac:dyDescent="0.2">
      <c r="A341" s="6" t="str">
        <f t="shared" si="11"/>
        <v>SDATOOL-40078 $ Infraestructura reportes regulatorios II</v>
      </c>
      <c r="B341" s="4" t="s">
        <v>1911</v>
      </c>
      <c r="C341" s="4" t="s">
        <v>1912</v>
      </c>
      <c r="D341" s="4" t="s">
        <v>183</v>
      </c>
      <c r="E341" s="4" t="s">
        <v>923</v>
      </c>
      <c r="F341" s="4" t="s">
        <v>50</v>
      </c>
      <c r="G341" s="4" t="s">
        <v>185</v>
      </c>
      <c r="H341" s="4" t="s">
        <v>276</v>
      </c>
      <c r="K341" s="4" t="s">
        <v>1503</v>
      </c>
      <c r="L341" s="4" t="s">
        <v>394</v>
      </c>
      <c r="M341" s="4" t="s">
        <v>923</v>
      </c>
      <c r="N341" s="4" t="s">
        <v>15</v>
      </c>
      <c r="O341" s="13" t="s">
        <v>1443</v>
      </c>
      <c r="P341" s="13" t="s">
        <v>221</v>
      </c>
      <c r="Q341" s="13" t="s">
        <v>318</v>
      </c>
      <c r="S341" s="7" t="e">
        <f ca="1">IF(_xludf.ifna(VLOOKUP(B341,Parámetros!#REF!,1,0),"")="","No","Sí")</f>
        <v>#NAME?</v>
      </c>
      <c r="T341" s="7" t="str">
        <f t="shared" si="12"/>
        <v>Normativo</v>
      </c>
      <c r="U341" s="4" t="s">
        <v>195</v>
      </c>
      <c r="V341" s="4" t="s">
        <v>39</v>
      </c>
      <c r="W341" s="4" t="s">
        <v>196</v>
      </c>
      <c r="X341" s="4" t="s">
        <v>225</v>
      </c>
      <c r="Y341" s="4" t="s">
        <v>226</v>
      </c>
      <c r="Z341" s="5">
        <v>258000000</v>
      </c>
      <c r="AA341" s="5">
        <v>258000000</v>
      </c>
      <c r="AB341" s="4" t="s">
        <v>215</v>
      </c>
      <c r="AC341">
        <v>340</v>
      </c>
    </row>
    <row r="342" spans="1:29" ht="16.5" customHeight="1" x14ac:dyDescent="0.2">
      <c r="A342" s="6" t="str">
        <f t="shared" si="11"/>
        <v>SDATOOL-40191 $ Ajuste apuntes manuales CC0112 – GPS</v>
      </c>
      <c r="B342" s="4" t="s">
        <v>1913</v>
      </c>
      <c r="C342" s="4" t="s">
        <v>1914</v>
      </c>
      <c r="D342" s="4" t="s">
        <v>183</v>
      </c>
      <c r="E342" s="4" t="s">
        <v>1915</v>
      </c>
      <c r="F342" s="4" t="s">
        <v>50</v>
      </c>
      <c r="G342" s="4" t="s">
        <v>185</v>
      </c>
      <c r="H342" s="4" t="s">
        <v>186</v>
      </c>
      <c r="I342" s="4" t="s">
        <v>186</v>
      </c>
      <c r="J342" s="4" t="s">
        <v>204</v>
      </c>
      <c r="K342" s="4" t="s">
        <v>206</v>
      </c>
      <c r="L342" s="4" t="s">
        <v>189</v>
      </c>
      <c r="M342" s="4" t="s">
        <v>1916</v>
      </c>
      <c r="N342" s="4" t="s">
        <v>15</v>
      </c>
      <c r="O342" s="13" t="s">
        <v>1772</v>
      </c>
      <c r="P342" s="13" t="s">
        <v>279</v>
      </c>
      <c r="Q342" s="13" t="s">
        <v>318</v>
      </c>
      <c r="R342" s="4" t="s">
        <v>1917</v>
      </c>
      <c r="S342" s="7" t="e">
        <f ca="1">IF(_xludf.ifna(VLOOKUP(B342,Parámetros!#REF!,1,0),"")="","No","Sí")</f>
        <v>#NAME?</v>
      </c>
      <c r="T342" s="7" t="str">
        <f t="shared" si="12"/>
        <v>Normativo</v>
      </c>
      <c r="U342" s="4" t="s">
        <v>195</v>
      </c>
      <c r="V342" s="4" t="s">
        <v>39</v>
      </c>
      <c r="W342" s="4" t="s">
        <v>196</v>
      </c>
      <c r="X342" s="4" t="s">
        <v>246</v>
      </c>
      <c r="Y342" s="4" t="s">
        <v>265</v>
      </c>
      <c r="Z342" s="5">
        <v>39999910</v>
      </c>
      <c r="AA342" s="5">
        <v>19999955</v>
      </c>
      <c r="AB342" s="4" t="s">
        <v>180</v>
      </c>
      <c r="AC342">
        <v>341</v>
      </c>
    </row>
    <row r="343" spans="1:29" ht="16.5" customHeight="1" x14ac:dyDescent="0.2">
      <c r="A343" s="6" t="str">
        <f t="shared" si="11"/>
        <v>SDATOOL-40193 $ Proceso archivos cámara cierre diario - Diálogo</v>
      </c>
      <c r="B343" s="4" t="s">
        <v>1918</v>
      </c>
      <c r="C343" s="4" t="s">
        <v>1919</v>
      </c>
      <c r="D343" s="4" t="s">
        <v>183</v>
      </c>
      <c r="E343" s="4" t="s">
        <v>1920</v>
      </c>
      <c r="F343" s="4" t="s">
        <v>50</v>
      </c>
      <c r="G343" s="4" t="s">
        <v>185</v>
      </c>
      <c r="H343" s="4" t="s">
        <v>186</v>
      </c>
      <c r="J343" s="4" t="s">
        <v>204</v>
      </c>
      <c r="K343" s="4" t="s">
        <v>206</v>
      </c>
      <c r="L343" s="4" t="s">
        <v>189</v>
      </c>
      <c r="M343" s="4" t="s">
        <v>1921</v>
      </c>
      <c r="N343" s="4" t="s">
        <v>15</v>
      </c>
      <c r="O343" s="13" t="s">
        <v>1370</v>
      </c>
      <c r="P343" s="13" t="s">
        <v>279</v>
      </c>
      <c r="Q343" s="13" t="s">
        <v>193</v>
      </c>
      <c r="S343" s="7" t="e">
        <f ca="1">IF(_xludf.ifna(VLOOKUP(B343,Parámetros!#REF!,1,0),"")="","No","Sí")</f>
        <v>#NAME?</v>
      </c>
      <c r="T343" s="7" t="str">
        <f t="shared" si="12"/>
        <v>Normativo</v>
      </c>
      <c r="U343" s="4" t="s">
        <v>195</v>
      </c>
      <c r="V343" s="4" t="s">
        <v>39</v>
      </c>
      <c r="W343" s="4" t="s">
        <v>196</v>
      </c>
      <c r="X343" s="4" t="s">
        <v>246</v>
      </c>
      <c r="Y343" s="4" t="s">
        <v>265</v>
      </c>
      <c r="Z343" s="5">
        <v>22926970</v>
      </c>
      <c r="AA343" s="5">
        <v>18288363</v>
      </c>
      <c r="AB343" s="4" t="s">
        <v>215</v>
      </c>
      <c r="AC343">
        <v>342</v>
      </c>
    </row>
    <row r="344" spans="1:29" ht="16.5" hidden="1" customHeight="1" x14ac:dyDescent="0.2">
      <c r="A344" s="6" t="str">
        <f t="shared" si="11"/>
        <v>SDATOOL-40220 $ Encuesta percepción Red</v>
      </c>
      <c r="B344" s="4" t="s">
        <v>1922</v>
      </c>
      <c r="C344" s="4" t="s">
        <v>1923</v>
      </c>
      <c r="D344" s="4" t="s">
        <v>183</v>
      </c>
      <c r="E344" s="4" t="s">
        <v>1924</v>
      </c>
      <c r="F344" s="4" t="s">
        <v>30</v>
      </c>
      <c r="G344" s="4" t="s">
        <v>185</v>
      </c>
      <c r="H344" s="4" t="s">
        <v>203</v>
      </c>
      <c r="K344" s="4" t="s">
        <v>1503</v>
      </c>
      <c r="L344" s="4" t="s">
        <v>206</v>
      </c>
      <c r="M344" s="4" t="s">
        <v>1924</v>
      </c>
      <c r="N344" s="4" t="s">
        <v>15</v>
      </c>
      <c r="O344" s="13" t="s">
        <v>334</v>
      </c>
      <c r="P344" s="13" t="s">
        <v>288</v>
      </c>
      <c r="Q344" s="13" t="s">
        <v>623</v>
      </c>
      <c r="S344" s="7" t="e">
        <f ca="1">IF(_xludf.ifna(VLOOKUP(B344,Parámetros!#REF!,1,0),"")="","No","Sí")</f>
        <v>#NAME?</v>
      </c>
      <c r="T344" s="7" t="str">
        <f t="shared" si="12"/>
        <v>No normativo</v>
      </c>
      <c r="U344" s="4" t="s">
        <v>1630</v>
      </c>
      <c r="V344" s="4" t="s">
        <v>39</v>
      </c>
      <c r="W344" s="4" t="s">
        <v>291</v>
      </c>
      <c r="X344" s="4" t="s">
        <v>292</v>
      </c>
      <c r="Y344" s="4" t="s">
        <v>1478</v>
      </c>
      <c r="Z344" s="4">
        <v>0</v>
      </c>
      <c r="AA344" s="4">
        <v>0</v>
      </c>
      <c r="AB344" s="4" t="s">
        <v>215</v>
      </c>
      <c r="AC344">
        <v>343</v>
      </c>
    </row>
    <row r="345" spans="1:29" ht="16.5" customHeight="1" x14ac:dyDescent="0.2">
      <c r="A345" s="6" t="str">
        <f t="shared" si="11"/>
        <v>SDATOOL-40225 $ Resolución 0124 Dian - 2021 - Ajustes para Reporte de Información Exógena año gravable 2022 - Ciclo 1</v>
      </c>
      <c r="B345" s="4" t="s">
        <v>1925</v>
      </c>
      <c r="C345" s="4" t="s">
        <v>1926</v>
      </c>
      <c r="D345" s="4" t="s">
        <v>183</v>
      </c>
      <c r="E345" s="4" t="s">
        <v>1927</v>
      </c>
      <c r="F345" s="4" t="s">
        <v>50</v>
      </c>
      <c r="G345" s="4" t="s">
        <v>185</v>
      </c>
      <c r="H345" s="4" t="s">
        <v>186</v>
      </c>
      <c r="J345" s="4" t="s">
        <v>204</v>
      </c>
      <c r="K345" s="4" t="s">
        <v>206</v>
      </c>
      <c r="L345" s="4" t="s">
        <v>189</v>
      </c>
      <c r="M345" s="4" t="s">
        <v>1928</v>
      </c>
      <c r="N345" s="4" t="s">
        <v>15</v>
      </c>
      <c r="O345" s="13" t="s">
        <v>568</v>
      </c>
      <c r="P345" s="13" t="s">
        <v>455</v>
      </c>
      <c r="Q345" s="13" t="s">
        <v>318</v>
      </c>
      <c r="S345" s="7" t="e">
        <f ca="1">IF(_xludf.ifna(VLOOKUP(B345,Parámetros!#REF!,1,0),"")="","No","Sí")</f>
        <v>#NAME?</v>
      </c>
      <c r="T345" s="7" t="str">
        <f t="shared" si="12"/>
        <v>No normativo</v>
      </c>
      <c r="U345" s="4" t="s">
        <v>224</v>
      </c>
      <c r="V345" s="4" t="s">
        <v>39</v>
      </c>
      <c r="W345" s="4" t="s">
        <v>196</v>
      </c>
      <c r="X345" s="4" t="s">
        <v>246</v>
      </c>
      <c r="Y345" s="4" t="s">
        <v>265</v>
      </c>
      <c r="Z345" s="5">
        <v>121235282</v>
      </c>
      <c r="AA345" s="5">
        <v>107600000</v>
      </c>
      <c r="AB345" s="4" t="s">
        <v>180</v>
      </c>
      <c r="AC345">
        <v>344</v>
      </c>
    </row>
    <row r="346" spans="1:29" ht="16.5" hidden="1" customHeight="1" x14ac:dyDescent="0.2">
      <c r="A346" s="6" t="str">
        <f t="shared" si="11"/>
        <v>SDATOOL-40228 $ Seguros - Actualización Aplus</v>
      </c>
      <c r="B346" s="4" t="s">
        <v>1929</v>
      </c>
      <c r="C346" s="4" t="s">
        <v>1930</v>
      </c>
      <c r="D346" s="4" t="s">
        <v>763</v>
      </c>
      <c r="E346" s="4" t="s">
        <v>1931</v>
      </c>
      <c r="F346" s="4" t="s">
        <v>28</v>
      </c>
      <c r="G346" s="4" t="s">
        <v>185</v>
      </c>
      <c r="H346" s="4" t="s">
        <v>203</v>
      </c>
      <c r="J346" s="4" t="s">
        <v>204</v>
      </c>
      <c r="K346" s="4" t="s">
        <v>1503</v>
      </c>
      <c r="L346" s="4" t="s">
        <v>206</v>
      </c>
      <c r="M346" s="4" t="s">
        <v>497</v>
      </c>
      <c r="N346" s="4" t="s">
        <v>29</v>
      </c>
      <c r="O346" s="13" t="s">
        <v>343</v>
      </c>
      <c r="P346" s="13" t="s">
        <v>499</v>
      </c>
      <c r="Q346" s="13" t="s">
        <v>1767</v>
      </c>
      <c r="S346" s="7" t="e">
        <f ca="1">IF(_xludf.ifna(VLOOKUP(B346,Parámetros!#REF!,1,0),"")="","No","Sí")</f>
        <v>#NAME?</v>
      </c>
      <c r="T346" s="7" t="str">
        <f t="shared" si="12"/>
        <v>Normativo</v>
      </c>
      <c r="U346" s="4" t="s">
        <v>195</v>
      </c>
      <c r="V346" s="4" t="s">
        <v>347</v>
      </c>
      <c r="W346" s="4" t="s">
        <v>233</v>
      </c>
      <c r="X346" s="4" t="s">
        <v>234</v>
      </c>
      <c r="Y346" s="4" t="s">
        <v>501</v>
      </c>
      <c r="Z346" s="4">
        <v>0</v>
      </c>
      <c r="AA346" s="4">
        <v>0</v>
      </c>
      <c r="AB346" s="4" t="s">
        <v>215</v>
      </c>
      <c r="AC346">
        <v>345</v>
      </c>
    </row>
    <row r="347" spans="1:29" ht="16.5" customHeight="1" x14ac:dyDescent="0.2">
      <c r="A347" s="6" t="str">
        <f t="shared" si="11"/>
        <v>SDATOOL-40242 $ Fiduciaria - Obsolescencia software Base aplicativo MIDAS</v>
      </c>
      <c r="B347" s="4" t="s">
        <v>1932</v>
      </c>
      <c r="C347" s="4" t="s">
        <v>1933</v>
      </c>
      <c r="D347" s="4" t="s">
        <v>763</v>
      </c>
      <c r="E347" s="4" t="s">
        <v>1934</v>
      </c>
      <c r="F347" s="4" t="s">
        <v>28</v>
      </c>
      <c r="G347" s="4" t="s">
        <v>185</v>
      </c>
      <c r="H347" s="4" t="s">
        <v>186</v>
      </c>
      <c r="I347" s="4" t="s">
        <v>186</v>
      </c>
      <c r="J347" s="4" t="s">
        <v>204</v>
      </c>
      <c r="K347" s="4" t="s">
        <v>206</v>
      </c>
      <c r="L347" s="4" t="s">
        <v>189</v>
      </c>
      <c r="M347" s="4" t="s">
        <v>802</v>
      </c>
      <c r="N347" s="4" t="s">
        <v>22</v>
      </c>
      <c r="O347" s="13" t="s">
        <v>804</v>
      </c>
      <c r="P347" s="13" t="s">
        <v>1541</v>
      </c>
      <c r="Q347" s="13" t="s">
        <v>804</v>
      </c>
      <c r="S347" s="7" t="e">
        <f ca="1">IF(_xludf.ifna(VLOOKUP(B347,Parámetros!#REF!,1,0),"")="","No","Sí")</f>
        <v>#NAME?</v>
      </c>
      <c r="T347" s="7" t="str">
        <f t="shared" si="12"/>
        <v>No normativo</v>
      </c>
      <c r="U347" s="4" t="s">
        <v>1542</v>
      </c>
      <c r="V347" s="4" t="s">
        <v>805</v>
      </c>
      <c r="W347" s="4" t="s">
        <v>233</v>
      </c>
      <c r="X347" s="4" t="s">
        <v>234</v>
      </c>
      <c r="Y347" s="4" t="s">
        <v>806</v>
      </c>
      <c r="Z347" s="5">
        <v>104000000</v>
      </c>
      <c r="AA347" s="5">
        <v>78000000</v>
      </c>
      <c r="AB347" s="4" t="s">
        <v>180</v>
      </c>
      <c r="AC347">
        <v>346</v>
      </c>
    </row>
    <row r="348" spans="1:29" ht="16.5" customHeight="1" x14ac:dyDescent="0.2">
      <c r="A348" s="6" t="str">
        <f t="shared" si="11"/>
        <v>SDATOOL-40256 $ Auditoría Apuntes Manuales Contables Logs Notas Contables C-015</v>
      </c>
      <c r="B348" s="4" t="s">
        <v>1935</v>
      </c>
      <c r="C348" s="4" t="s">
        <v>1936</v>
      </c>
      <c r="D348" s="4" t="s">
        <v>183</v>
      </c>
      <c r="E348" s="4" t="s">
        <v>1937</v>
      </c>
      <c r="F348" s="4" t="s">
        <v>50</v>
      </c>
      <c r="G348" s="4" t="s">
        <v>185</v>
      </c>
      <c r="H348" s="4" t="s">
        <v>186</v>
      </c>
      <c r="J348" s="4" t="s">
        <v>204</v>
      </c>
      <c r="K348" s="4" t="s">
        <v>1503</v>
      </c>
      <c r="L348" s="4" t="s">
        <v>189</v>
      </c>
      <c r="M348" s="4" t="s">
        <v>1938</v>
      </c>
      <c r="N348" s="4" t="s">
        <v>15</v>
      </c>
      <c r="O348" s="13" t="s">
        <v>743</v>
      </c>
      <c r="P348" s="13" t="s">
        <v>279</v>
      </c>
      <c r="Q348" s="13" t="s">
        <v>318</v>
      </c>
      <c r="R348" s="4" t="s">
        <v>1939</v>
      </c>
      <c r="S348" s="7" t="e">
        <f ca="1">IF(_xludf.ifna(VLOOKUP(B348,Parámetros!#REF!,1,0),"")="","No","Sí")</f>
        <v>#NAME?</v>
      </c>
      <c r="T348" s="7" t="str">
        <f t="shared" si="12"/>
        <v>Normativo</v>
      </c>
      <c r="U348" s="4" t="s">
        <v>224</v>
      </c>
      <c r="V348" s="4" t="s">
        <v>39</v>
      </c>
      <c r="W348" s="4" t="s">
        <v>196</v>
      </c>
      <c r="X348" s="4" t="s">
        <v>225</v>
      </c>
      <c r="Y348" s="4" t="s">
        <v>226</v>
      </c>
      <c r="Z348" s="5">
        <v>24999906</v>
      </c>
      <c r="AA348" s="5">
        <v>20000000</v>
      </c>
      <c r="AB348" s="4" t="s">
        <v>215</v>
      </c>
      <c r="AC348">
        <v>347</v>
      </c>
    </row>
    <row r="349" spans="1:29" ht="16.5" hidden="1" customHeight="1" x14ac:dyDescent="0.2">
      <c r="A349" s="6" t="str">
        <f t="shared" si="11"/>
        <v>SDATOOL-40257 $ Fiduciaria - Compra sillas</v>
      </c>
      <c r="B349" s="4" t="s">
        <v>1940</v>
      </c>
      <c r="C349" s="4" t="s">
        <v>1941</v>
      </c>
      <c r="D349" s="4" t="s">
        <v>183</v>
      </c>
      <c r="E349" s="4" t="s">
        <v>1942</v>
      </c>
      <c r="F349" s="4" t="s">
        <v>28</v>
      </c>
      <c r="G349" s="4" t="s">
        <v>185</v>
      </c>
      <c r="H349" s="4" t="s">
        <v>203</v>
      </c>
      <c r="J349" s="4" t="s">
        <v>204</v>
      </c>
      <c r="K349" s="4" t="s">
        <v>1503</v>
      </c>
      <c r="L349" s="4" t="s">
        <v>206</v>
      </c>
      <c r="M349" s="4" t="s">
        <v>1943</v>
      </c>
      <c r="N349" s="4" t="s">
        <v>15</v>
      </c>
      <c r="O349" s="13" t="s">
        <v>1750</v>
      </c>
      <c r="P349" s="13" t="s">
        <v>1751</v>
      </c>
      <c r="Q349" s="13" t="s">
        <v>804</v>
      </c>
      <c r="S349" s="7" t="e">
        <f ca="1">IF(_xludf.ifna(VLOOKUP(B349,Parámetros!#REF!,1,0),"")="","No","Sí")</f>
        <v>#NAME?</v>
      </c>
      <c r="T349" s="7" t="str">
        <f t="shared" si="12"/>
        <v>No normativo</v>
      </c>
      <c r="U349" s="4" t="s">
        <v>1542</v>
      </c>
      <c r="V349" s="4" t="s">
        <v>805</v>
      </c>
      <c r="W349" s="4" t="s">
        <v>300</v>
      </c>
      <c r="X349" s="4" t="s">
        <v>1138</v>
      </c>
      <c r="Y349" s="4" t="s">
        <v>1139</v>
      </c>
      <c r="Z349" s="4">
        <v>0</v>
      </c>
      <c r="AA349" s="5">
        <v>56005000</v>
      </c>
      <c r="AB349" s="4" t="s">
        <v>215</v>
      </c>
      <c r="AC349">
        <v>348</v>
      </c>
    </row>
    <row r="350" spans="1:29" ht="16.5" hidden="1" customHeight="1" x14ac:dyDescent="0.2">
      <c r="A350" s="6" t="str">
        <f t="shared" si="11"/>
        <v>SDATOOL-40258 $ SimSwap</v>
      </c>
      <c r="B350" s="4" t="s">
        <v>1944</v>
      </c>
      <c r="C350" s="4" t="s">
        <v>1945</v>
      </c>
      <c r="D350" s="4" t="s">
        <v>183</v>
      </c>
      <c r="E350" s="4" t="s">
        <v>1946</v>
      </c>
      <c r="F350" s="4" t="s">
        <v>43</v>
      </c>
      <c r="G350" s="4" t="s">
        <v>185</v>
      </c>
      <c r="H350" s="4" t="s">
        <v>203</v>
      </c>
      <c r="J350" s="4" t="s">
        <v>204</v>
      </c>
      <c r="K350" s="4" t="s">
        <v>1503</v>
      </c>
      <c r="L350" s="4" t="s">
        <v>206</v>
      </c>
      <c r="M350" s="4" t="s">
        <v>1947</v>
      </c>
      <c r="N350" s="4" t="s">
        <v>15</v>
      </c>
      <c r="O350" s="13" t="s">
        <v>371</v>
      </c>
      <c r="P350" s="13" t="s">
        <v>373</v>
      </c>
      <c r="Q350" s="13" t="s">
        <v>373</v>
      </c>
      <c r="R350" s="4" t="s">
        <v>1102</v>
      </c>
      <c r="S350" s="7" t="e">
        <f ca="1">IF(_xludf.ifna(VLOOKUP(B350,Parámetros!#REF!,1,0),"")="","No","Sí")</f>
        <v>#NAME?</v>
      </c>
      <c r="T350" s="7" t="str">
        <f t="shared" si="12"/>
        <v>No normativo</v>
      </c>
      <c r="U350" s="4" t="s">
        <v>195</v>
      </c>
      <c r="V350" s="4" t="s">
        <v>39</v>
      </c>
      <c r="W350" s="4" t="s">
        <v>212</v>
      </c>
      <c r="X350" s="4" t="s">
        <v>375</v>
      </c>
      <c r="Y350" s="4" t="s">
        <v>443</v>
      </c>
      <c r="Z350" s="4">
        <v>0</v>
      </c>
      <c r="AA350" s="4">
        <v>0</v>
      </c>
      <c r="AB350" s="4" t="s">
        <v>215</v>
      </c>
      <c r="AC350">
        <v>349</v>
      </c>
    </row>
    <row r="351" spans="1:29" ht="16.5" hidden="1" customHeight="1" x14ac:dyDescent="0.2">
      <c r="A351" s="6" t="str">
        <f t="shared" si="11"/>
        <v>SDATOOL-40265 $ GRM Col -Next Generation Analytics (NGA) - Colombia</v>
      </c>
      <c r="B351" s="4" t="s">
        <v>1948</v>
      </c>
      <c r="C351" s="4" t="s">
        <v>1949</v>
      </c>
      <c r="D351" s="4" t="s">
        <v>763</v>
      </c>
      <c r="E351" s="4" t="s">
        <v>1950</v>
      </c>
      <c r="F351" s="4" t="s">
        <v>56</v>
      </c>
      <c r="G351" s="4" t="s">
        <v>185</v>
      </c>
      <c r="H351" s="4" t="s">
        <v>752</v>
      </c>
      <c r="J351" s="4" t="s">
        <v>204</v>
      </c>
      <c r="K351" s="4" t="s">
        <v>206</v>
      </c>
      <c r="L351" s="4" t="s">
        <v>729</v>
      </c>
      <c r="M351" s="4" t="s">
        <v>1951</v>
      </c>
      <c r="N351" s="4" t="s">
        <v>36</v>
      </c>
      <c r="O351" s="13" t="s">
        <v>1952</v>
      </c>
      <c r="Q351" s="13" t="s">
        <v>222</v>
      </c>
      <c r="S351" s="7" t="e">
        <f ca="1">IF(_xludf.ifna(VLOOKUP(B351,Parámetros!#REF!,1,0),"")="","No","Sí")</f>
        <v>#NAME?</v>
      </c>
      <c r="T351" s="7" t="str">
        <f t="shared" si="12"/>
        <v>No normativo</v>
      </c>
      <c r="U351" s="4" t="s">
        <v>195</v>
      </c>
      <c r="V351" s="4" t="s">
        <v>39</v>
      </c>
      <c r="W351" s="4" t="s">
        <v>196</v>
      </c>
      <c r="X351" s="4" t="s">
        <v>328</v>
      </c>
      <c r="Y351" s="4" t="s">
        <v>1953</v>
      </c>
      <c r="Z351" s="4">
        <v>0</v>
      </c>
      <c r="AA351" s="4">
        <v>0</v>
      </c>
      <c r="AB351" s="4" t="s">
        <v>215</v>
      </c>
      <c r="AC351">
        <v>350</v>
      </c>
    </row>
    <row r="352" spans="1:29" ht="16.5" customHeight="1" x14ac:dyDescent="0.2">
      <c r="A352" s="6" t="str">
        <f t="shared" si="11"/>
        <v>SDATOOL-40268 $ CLASIFICACION DE TIPO DE PRODUCTOR -CIRCULAR 48 FINAGRO</v>
      </c>
      <c r="B352" s="4" t="s">
        <v>1954</v>
      </c>
      <c r="C352" s="4" t="s">
        <v>1955</v>
      </c>
      <c r="D352" s="4" t="s">
        <v>183</v>
      </c>
      <c r="E352" s="4" t="s">
        <v>1956</v>
      </c>
      <c r="F352" s="4" t="s">
        <v>28</v>
      </c>
      <c r="G352" s="4" t="s">
        <v>185</v>
      </c>
      <c r="H352" s="4" t="s">
        <v>186</v>
      </c>
      <c r="J352" s="4" t="s">
        <v>204</v>
      </c>
      <c r="K352" s="4" t="s">
        <v>206</v>
      </c>
      <c r="L352" s="4" t="s">
        <v>394</v>
      </c>
      <c r="M352" s="4" t="s">
        <v>540</v>
      </c>
      <c r="N352" s="4" t="s">
        <v>29</v>
      </c>
      <c r="O352" s="13" t="s">
        <v>617</v>
      </c>
      <c r="P352" s="13" t="s">
        <v>1432</v>
      </c>
      <c r="Q352" s="13" t="s">
        <v>365</v>
      </c>
      <c r="S352" s="7" t="e">
        <f ca="1">IF(_xludf.ifna(VLOOKUP(B352,Parámetros!#REF!,1,0),"")="","No","Sí")</f>
        <v>#NAME?</v>
      </c>
      <c r="T352" s="7" t="str">
        <f t="shared" si="12"/>
        <v>No normativo</v>
      </c>
      <c r="U352" s="4" t="s">
        <v>224</v>
      </c>
      <c r="V352" s="4" t="s">
        <v>39</v>
      </c>
      <c r="W352" s="4" t="s">
        <v>300</v>
      </c>
      <c r="X352" s="4" t="s">
        <v>301</v>
      </c>
      <c r="Y352" s="4" t="s">
        <v>302</v>
      </c>
      <c r="Z352" s="5">
        <v>30631361</v>
      </c>
      <c r="AA352" s="5">
        <v>100284884</v>
      </c>
      <c r="AB352" s="4" t="s">
        <v>180</v>
      </c>
      <c r="AC352">
        <v>351</v>
      </c>
    </row>
    <row r="353" spans="1:29" ht="16.5" customHeight="1" x14ac:dyDescent="0.2">
      <c r="A353" s="6" t="str">
        <f t="shared" si="11"/>
        <v>SDATOOL-40269 $ Actualización y transmisión Declaraciones de Cambio – Banco de la República Abril 2022.</v>
      </c>
      <c r="B353" s="4" t="s">
        <v>1957</v>
      </c>
      <c r="C353" s="4" t="s">
        <v>1958</v>
      </c>
      <c r="D353" s="4" t="s">
        <v>763</v>
      </c>
      <c r="E353" s="4" t="s">
        <v>1959</v>
      </c>
      <c r="F353" s="4" t="s">
        <v>28</v>
      </c>
      <c r="G353" s="4" t="s">
        <v>185</v>
      </c>
      <c r="H353" s="4" t="s">
        <v>186</v>
      </c>
      <c r="J353" s="4" t="s">
        <v>204</v>
      </c>
      <c r="K353" s="4" t="s">
        <v>206</v>
      </c>
      <c r="L353" s="4" t="s">
        <v>314</v>
      </c>
      <c r="M353" s="4" t="s">
        <v>540</v>
      </c>
      <c r="N353" s="4" t="s">
        <v>15</v>
      </c>
      <c r="O353" s="13" t="s">
        <v>617</v>
      </c>
      <c r="P353" s="13" t="s">
        <v>628</v>
      </c>
      <c r="Q353" s="13" t="s">
        <v>628</v>
      </c>
      <c r="S353" s="7" t="e">
        <f ca="1">IF(_xludf.ifna(VLOOKUP(B353,Parámetros!#REF!,1,0),"")="","No","Sí")</f>
        <v>#NAME?</v>
      </c>
      <c r="T353" s="7" t="str">
        <f t="shared" si="12"/>
        <v>No normativo</v>
      </c>
      <c r="U353" s="4" t="s">
        <v>195</v>
      </c>
      <c r="V353" s="4" t="s">
        <v>39</v>
      </c>
      <c r="W353" s="4" t="s">
        <v>300</v>
      </c>
      <c r="X353" s="4" t="s">
        <v>301</v>
      </c>
      <c r="Y353" s="4" t="s">
        <v>302</v>
      </c>
      <c r="Z353" s="5">
        <v>1677000001</v>
      </c>
      <c r="AA353" s="5">
        <v>380000001</v>
      </c>
      <c r="AB353" s="4" t="s">
        <v>180</v>
      </c>
      <c r="AC353">
        <v>352</v>
      </c>
    </row>
    <row r="354" spans="1:29" ht="16.5" customHeight="1" x14ac:dyDescent="0.2">
      <c r="A354" s="6" t="str">
        <f t="shared" si="11"/>
        <v>SDATOOL-40274 $ CIRCULAR 033 de 2021-SFC</v>
      </c>
      <c r="B354" s="4" t="s">
        <v>1960</v>
      </c>
      <c r="C354" s="4" t="s">
        <v>1961</v>
      </c>
      <c r="D354" s="4" t="s">
        <v>183</v>
      </c>
      <c r="E354" s="4" t="s">
        <v>1962</v>
      </c>
      <c r="F354" s="4" t="s">
        <v>28</v>
      </c>
      <c r="G354" s="4" t="s">
        <v>185</v>
      </c>
      <c r="H354" s="4" t="s">
        <v>186</v>
      </c>
      <c r="J354" s="4" t="s">
        <v>204</v>
      </c>
      <c r="K354" s="4" t="s">
        <v>1503</v>
      </c>
      <c r="L354" s="4" t="s">
        <v>189</v>
      </c>
      <c r="M354" s="4" t="s">
        <v>540</v>
      </c>
      <c r="N354" s="4" t="s">
        <v>29</v>
      </c>
      <c r="O354" s="13" t="s">
        <v>794</v>
      </c>
      <c r="P354" s="13" t="s">
        <v>548</v>
      </c>
      <c r="Q354" s="13" t="s">
        <v>318</v>
      </c>
      <c r="S354" s="7" t="e">
        <f ca="1">IF(_xludf.ifna(VLOOKUP(B354,Parámetros!#REF!,1,0),"")="","No","Sí")</f>
        <v>#NAME?</v>
      </c>
      <c r="T354" s="7" t="str">
        <f t="shared" si="12"/>
        <v>No normativo</v>
      </c>
      <c r="U354" s="4" t="s">
        <v>224</v>
      </c>
      <c r="V354" s="4" t="s">
        <v>39</v>
      </c>
      <c r="W354" s="4" t="s">
        <v>300</v>
      </c>
      <c r="X354" s="4" t="s">
        <v>301</v>
      </c>
      <c r="Y354" s="4" t="s">
        <v>302</v>
      </c>
      <c r="Z354" s="5">
        <v>133464738</v>
      </c>
      <c r="AA354" s="5">
        <v>88034830</v>
      </c>
      <c r="AB354" s="4" t="s">
        <v>180</v>
      </c>
      <c r="AC354">
        <v>353</v>
      </c>
    </row>
    <row r="355" spans="1:29" ht="16.5" customHeight="1" x14ac:dyDescent="0.2">
      <c r="A355" s="6" t="str">
        <f t="shared" si="11"/>
        <v>SDATOOL-40295 $ Tokenización COF</v>
      </c>
      <c r="B355" s="4" t="s">
        <v>1963</v>
      </c>
      <c r="C355" s="4" t="s">
        <v>1964</v>
      </c>
      <c r="D355" s="4" t="s">
        <v>183</v>
      </c>
      <c r="E355" s="4" t="s">
        <v>1965</v>
      </c>
      <c r="F355" s="4" t="s">
        <v>28</v>
      </c>
      <c r="G355" s="4" t="s">
        <v>185</v>
      </c>
      <c r="H355" s="4" t="s">
        <v>186</v>
      </c>
      <c r="J355" s="4" t="s">
        <v>204</v>
      </c>
      <c r="K355" s="4" t="s">
        <v>1503</v>
      </c>
      <c r="L355" s="4" t="s">
        <v>314</v>
      </c>
      <c r="M355" s="4" t="s">
        <v>540</v>
      </c>
      <c r="N355" s="4" t="s">
        <v>22</v>
      </c>
      <c r="O355" s="13" t="s">
        <v>1566</v>
      </c>
      <c r="P355" s="13" t="s">
        <v>548</v>
      </c>
      <c r="Q355" s="13" t="s">
        <v>555</v>
      </c>
      <c r="R355" s="4" t="s">
        <v>1966</v>
      </c>
      <c r="S355" s="7" t="e">
        <f ca="1">IF(_xludf.ifna(VLOOKUP(B355,Parámetros!#REF!,1,0),"")="","No","Sí")</f>
        <v>#NAME?</v>
      </c>
      <c r="T355" s="7" t="str">
        <f t="shared" si="12"/>
        <v>No normativo</v>
      </c>
      <c r="U355" s="4" t="s">
        <v>195</v>
      </c>
      <c r="V355" s="4" t="s">
        <v>39</v>
      </c>
      <c r="W355" s="4" t="s">
        <v>300</v>
      </c>
      <c r="X355" s="4" t="s">
        <v>301</v>
      </c>
      <c r="Y355" s="4" t="s">
        <v>302</v>
      </c>
      <c r="Z355" s="5">
        <v>242153239</v>
      </c>
      <c r="AA355" s="5">
        <v>75099963</v>
      </c>
      <c r="AB355" s="4" t="s">
        <v>180</v>
      </c>
      <c r="AC355">
        <v>354</v>
      </c>
    </row>
    <row r="356" spans="1:29" ht="16.5" customHeight="1" x14ac:dyDescent="0.2">
      <c r="A356" s="6" t="str">
        <f t="shared" si="11"/>
        <v>SDATOOL-40300 $ Seguros - Reintegro automático a tarjetas crédito</v>
      </c>
      <c r="B356" s="4" t="s">
        <v>1967</v>
      </c>
      <c r="C356" s="4" t="s">
        <v>1968</v>
      </c>
      <c r="D356" s="4" t="s">
        <v>763</v>
      </c>
      <c r="E356" s="4" t="s">
        <v>1969</v>
      </c>
      <c r="F356" s="4" t="s">
        <v>28</v>
      </c>
      <c r="G356" s="4" t="s">
        <v>185</v>
      </c>
      <c r="H356" s="4" t="s">
        <v>186</v>
      </c>
      <c r="J356" s="4" t="s">
        <v>204</v>
      </c>
      <c r="K356" s="4" t="s">
        <v>1503</v>
      </c>
      <c r="L356" s="4" t="s">
        <v>386</v>
      </c>
      <c r="M356" s="4" t="s">
        <v>497</v>
      </c>
      <c r="N356" s="4" t="s">
        <v>15</v>
      </c>
      <c r="O356" s="13" t="s">
        <v>646</v>
      </c>
      <c r="P356" s="13" t="s">
        <v>499</v>
      </c>
      <c r="Q356" s="13" t="s">
        <v>345</v>
      </c>
      <c r="S356" s="7" t="e">
        <f ca="1">IF(_xludf.ifna(VLOOKUP(B356,Parámetros!#REF!,1,0),"")="","No","Sí")</f>
        <v>#NAME?</v>
      </c>
      <c r="T356" s="7" t="str">
        <f t="shared" si="12"/>
        <v>No normativo</v>
      </c>
      <c r="U356" s="4" t="s">
        <v>195</v>
      </c>
      <c r="V356" s="4" t="s">
        <v>347</v>
      </c>
      <c r="W356" s="4" t="s">
        <v>233</v>
      </c>
      <c r="X356" s="4" t="s">
        <v>234</v>
      </c>
      <c r="Y356" s="4" t="s">
        <v>501</v>
      </c>
      <c r="Z356" s="5">
        <v>100000000</v>
      </c>
      <c r="AA356" s="5">
        <v>100000000</v>
      </c>
      <c r="AB356" s="4" t="s">
        <v>215</v>
      </c>
      <c r="AC356">
        <v>355</v>
      </c>
    </row>
    <row r="357" spans="1:29" ht="16.5" hidden="1" customHeight="1" x14ac:dyDescent="0.2">
      <c r="A357" s="6" t="str">
        <f t="shared" si="11"/>
        <v>SDATOOL-40303 $ Licitación Contact center</v>
      </c>
      <c r="B357" s="4" t="s">
        <v>1970</v>
      </c>
      <c r="C357" s="4" t="s">
        <v>1971</v>
      </c>
      <c r="D357" s="4" t="s">
        <v>763</v>
      </c>
      <c r="E357" s="4" t="s">
        <v>1972</v>
      </c>
      <c r="F357" s="4" t="s">
        <v>28</v>
      </c>
      <c r="G357" s="4" t="s">
        <v>185</v>
      </c>
      <c r="H357" s="4" t="s">
        <v>203</v>
      </c>
      <c r="J357" s="4" t="s">
        <v>204</v>
      </c>
      <c r="K357" s="4" t="s">
        <v>1503</v>
      </c>
      <c r="L357" s="4" t="s">
        <v>206</v>
      </c>
      <c r="M357" s="4" t="s">
        <v>1973</v>
      </c>
      <c r="N357" s="4" t="s">
        <v>36</v>
      </c>
      <c r="O357" s="13" t="s">
        <v>825</v>
      </c>
      <c r="Q357" s="13" t="s">
        <v>1974</v>
      </c>
      <c r="S357" s="7" t="e">
        <f ca="1">IF(_xludf.ifna(VLOOKUP(B357,Parámetros!#REF!,1,0),"")="","No","Sí")</f>
        <v>#NAME?</v>
      </c>
      <c r="T357" s="7" t="str">
        <f t="shared" si="12"/>
        <v>No normativo</v>
      </c>
      <c r="U357" s="4" t="s">
        <v>195</v>
      </c>
      <c r="V357" s="4" t="s">
        <v>39</v>
      </c>
      <c r="W357" s="4" t="s">
        <v>291</v>
      </c>
      <c r="X357" s="4" t="s">
        <v>292</v>
      </c>
      <c r="Y357" s="4" t="s">
        <v>1478</v>
      </c>
      <c r="Z357" s="4">
        <v>0</v>
      </c>
      <c r="AA357" s="4">
        <v>0</v>
      </c>
      <c r="AB357" s="4" t="s">
        <v>215</v>
      </c>
      <c r="AC357">
        <v>356</v>
      </c>
    </row>
    <row r="358" spans="1:29" ht="16.5" customHeight="1" x14ac:dyDescent="0.2">
      <c r="A358" s="6" t="str">
        <f t="shared" si="11"/>
        <v>SDATOOL-40382 $ NUEVA Eliminar el PAN ( Orange 1.0)</v>
      </c>
      <c r="B358" s="4" t="s">
        <v>1975</v>
      </c>
      <c r="C358" s="4" t="s">
        <v>1976</v>
      </c>
      <c r="D358" s="4" t="s">
        <v>183</v>
      </c>
      <c r="E358" s="4" t="s">
        <v>1977</v>
      </c>
      <c r="F358" s="4" t="s">
        <v>28</v>
      </c>
      <c r="G358" s="4" t="s">
        <v>185</v>
      </c>
      <c r="H358" s="4" t="s">
        <v>186</v>
      </c>
      <c r="I358" s="4" t="s">
        <v>186</v>
      </c>
      <c r="J358" s="4" t="s">
        <v>204</v>
      </c>
      <c r="K358" s="4" t="s">
        <v>206</v>
      </c>
      <c r="L358" s="4" t="s">
        <v>189</v>
      </c>
      <c r="M358" s="4" t="s">
        <v>553</v>
      </c>
      <c r="N358" s="4" t="s">
        <v>29</v>
      </c>
      <c r="O358" s="13" t="s">
        <v>1978</v>
      </c>
      <c r="P358" s="13" t="s">
        <v>548</v>
      </c>
      <c r="Q358" s="13" t="s">
        <v>555</v>
      </c>
      <c r="S358" s="7" t="e">
        <f ca="1">IF(_xludf.ifna(VLOOKUP(B358,Parámetros!#REF!,1,0),"")="","No","Sí")</f>
        <v>#NAME?</v>
      </c>
      <c r="T358" s="7" t="str">
        <f t="shared" si="12"/>
        <v>No normativo</v>
      </c>
      <c r="U358" s="4" t="s">
        <v>195</v>
      </c>
      <c r="V358" s="4" t="s">
        <v>39</v>
      </c>
      <c r="W358" s="4" t="s">
        <v>233</v>
      </c>
      <c r="X358" s="4" t="s">
        <v>234</v>
      </c>
      <c r="Y358" s="4" t="s">
        <v>556</v>
      </c>
      <c r="Z358" s="5">
        <v>250000000</v>
      </c>
      <c r="AA358" s="5">
        <v>300000000</v>
      </c>
      <c r="AB358" s="4" t="s">
        <v>180</v>
      </c>
      <c r="AC358">
        <v>357</v>
      </c>
    </row>
    <row r="359" spans="1:29" ht="16.5" hidden="1" customHeight="1" x14ac:dyDescent="0.2">
      <c r="A359" s="6" t="str">
        <f t="shared" si="11"/>
        <v>SDATOOL-40383 $ Procesamiento Nuevas Franquicias</v>
      </c>
      <c r="B359" s="4" t="s">
        <v>1979</v>
      </c>
      <c r="C359" s="4" t="s">
        <v>1980</v>
      </c>
      <c r="D359" s="4" t="s">
        <v>183</v>
      </c>
      <c r="E359" s="4" t="s">
        <v>1981</v>
      </c>
      <c r="F359" s="4" t="s">
        <v>28</v>
      </c>
      <c r="G359" s="4" t="s">
        <v>185</v>
      </c>
      <c r="H359" s="4" t="s">
        <v>276</v>
      </c>
      <c r="J359" s="4" t="s">
        <v>204</v>
      </c>
      <c r="K359" s="4" t="s">
        <v>206</v>
      </c>
      <c r="L359" s="4" t="s">
        <v>189</v>
      </c>
      <c r="M359" s="4" t="s">
        <v>665</v>
      </c>
      <c r="N359" s="4" t="s">
        <v>29</v>
      </c>
      <c r="O359" s="13" t="s">
        <v>480</v>
      </c>
      <c r="P359" s="13" t="s">
        <v>548</v>
      </c>
      <c r="Q359" s="13" t="s">
        <v>666</v>
      </c>
      <c r="S359" s="7" t="e">
        <f ca="1">IF(_xludf.ifna(VLOOKUP(B359,Parámetros!#REF!,1,0),"")="","No","Sí")</f>
        <v>#NAME?</v>
      </c>
      <c r="T359" s="7" t="str">
        <f t="shared" si="12"/>
        <v>No normativo</v>
      </c>
      <c r="U359" s="4" t="s">
        <v>195</v>
      </c>
      <c r="V359" s="4" t="s">
        <v>39</v>
      </c>
      <c r="W359" s="4" t="s">
        <v>233</v>
      </c>
      <c r="X359" s="4" t="s">
        <v>234</v>
      </c>
      <c r="Y359" s="4" t="s">
        <v>667</v>
      </c>
      <c r="Z359" s="5">
        <v>26666667</v>
      </c>
      <c r="AA359" s="5">
        <v>26666667</v>
      </c>
      <c r="AB359" s="4" t="s">
        <v>215</v>
      </c>
      <c r="AC359">
        <v>358</v>
      </c>
    </row>
    <row r="360" spans="1:29" ht="16.5" customHeight="1" x14ac:dyDescent="0.2">
      <c r="A360" s="6" t="str">
        <f t="shared" si="11"/>
        <v>SDATOOL-40384 $ Cobrar intereses corrientes entre la transacción y la pre-cancelación</v>
      </c>
      <c r="B360" s="4" t="s">
        <v>1982</v>
      </c>
      <c r="C360" s="4" t="s">
        <v>1983</v>
      </c>
      <c r="D360" s="4" t="s">
        <v>183</v>
      </c>
      <c r="E360" s="4" t="s">
        <v>1984</v>
      </c>
      <c r="F360" s="4" t="s">
        <v>28</v>
      </c>
      <c r="G360" s="4" t="s">
        <v>185</v>
      </c>
      <c r="H360" s="4" t="s">
        <v>186</v>
      </c>
      <c r="I360" s="4" t="s">
        <v>186</v>
      </c>
      <c r="J360" s="4" t="s">
        <v>204</v>
      </c>
      <c r="K360" s="4" t="s">
        <v>206</v>
      </c>
      <c r="L360" s="4" t="s">
        <v>189</v>
      </c>
      <c r="M360" s="4" t="s">
        <v>553</v>
      </c>
      <c r="N360" s="4" t="s">
        <v>29</v>
      </c>
      <c r="O360" s="13" t="s">
        <v>480</v>
      </c>
      <c r="P360" s="13" t="s">
        <v>548</v>
      </c>
      <c r="Q360" s="13" t="s">
        <v>365</v>
      </c>
      <c r="S360" s="7" t="e">
        <f ca="1">IF(_xludf.ifna(VLOOKUP(B360,Parámetros!#REF!,1,0),"")="","No","Sí")</f>
        <v>#NAME?</v>
      </c>
      <c r="T360" s="7" t="str">
        <f t="shared" si="12"/>
        <v>No normativo</v>
      </c>
      <c r="U360" s="4" t="s">
        <v>195</v>
      </c>
      <c r="V360" s="4" t="s">
        <v>39</v>
      </c>
      <c r="W360" s="4" t="s">
        <v>233</v>
      </c>
      <c r="X360" s="4" t="s">
        <v>234</v>
      </c>
      <c r="Y360" s="4" t="s">
        <v>556</v>
      </c>
      <c r="Z360" s="5">
        <v>33000000</v>
      </c>
      <c r="AA360" s="5">
        <v>40000000</v>
      </c>
      <c r="AB360" s="4" t="s">
        <v>180</v>
      </c>
      <c r="AC360">
        <v>359</v>
      </c>
    </row>
    <row r="361" spans="1:29" ht="16.5" hidden="1" customHeight="1" x14ac:dyDescent="0.2">
      <c r="A361" s="6" t="str">
        <f t="shared" si="11"/>
        <v>SDATOOL-40385 $ Cobrar interés moratorio desde el primer día de atraso</v>
      </c>
      <c r="B361" s="4" t="s">
        <v>1985</v>
      </c>
      <c r="C361" s="4" t="s">
        <v>1986</v>
      </c>
      <c r="D361" s="4" t="s">
        <v>183</v>
      </c>
      <c r="E361" s="4" t="s">
        <v>1987</v>
      </c>
      <c r="F361" s="4" t="s">
        <v>28</v>
      </c>
      <c r="G361" s="4" t="s">
        <v>185</v>
      </c>
      <c r="H361" s="4" t="s">
        <v>276</v>
      </c>
      <c r="J361" s="4" t="s">
        <v>204</v>
      </c>
      <c r="K361" s="4" t="s">
        <v>206</v>
      </c>
      <c r="L361" s="4" t="s">
        <v>189</v>
      </c>
      <c r="M361" s="4" t="s">
        <v>553</v>
      </c>
      <c r="N361" s="4" t="s">
        <v>29</v>
      </c>
      <c r="O361" s="13" t="s">
        <v>480</v>
      </c>
      <c r="P361" s="13" t="s">
        <v>548</v>
      </c>
      <c r="Q361" s="13" t="s">
        <v>671</v>
      </c>
      <c r="S361" s="7" t="e">
        <f ca="1">IF(_xludf.ifna(VLOOKUP(B361,Parámetros!#REF!,1,0),"")="","No","Sí")</f>
        <v>#NAME?</v>
      </c>
      <c r="T361" s="7" t="str">
        <f t="shared" si="12"/>
        <v>No normativo</v>
      </c>
      <c r="U361" s="4" t="s">
        <v>195</v>
      </c>
      <c r="V361" s="4" t="s">
        <v>39</v>
      </c>
      <c r="W361" s="4" t="s">
        <v>233</v>
      </c>
      <c r="X361" s="4" t="s">
        <v>234</v>
      </c>
      <c r="Y361" s="4" t="s">
        <v>556</v>
      </c>
      <c r="Z361" s="5">
        <v>40000000</v>
      </c>
      <c r="AA361" s="5">
        <v>40000000</v>
      </c>
      <c r="AB361" s="4" t="s">
        <v>215</v>
      </c>
      <c r="AC361">
        <v>360</v>
      </c>
    </row>
    <row r="362" spans="1:29" ht="16.5" customHeight="1" x14ac:dyDescent="0.2">
      <c r="A362" s="6" t="str">
        <f t="shared" si="11"/>
        <v>SDATOOL-40395 $ Back Office Veridas</v>
      </c>
      <c r="B362" s="4" t="s">
        <v>1988</v>
      </c>
      <c r="C362" s="4" t="s">
        <v>1989</v>
      </c>
      <c r="D362" s="4" t="s">
        <v>763</v>
      </c>
      <c r="E362" s="4" t="s">
        <v>1990</v>
      </c>
      <c r="F362" s="4" t="s">
        <v>43</v>
      </c>
      <c r="G362" s="4" t="s">
        <v>185</v>
      </c>
      <c r="H362" s="4" t="s">
        <v>186</v>
      </c>
      <c r="K362" s="4" t="s">
        <v>206</v>
      </c>
      <c r="L362" s="4" t="s">
        <v>386</v>
      </c>
      <c r="M362" s="4" t="s">
        <v>1991</v>
      </c>
      <c r="N362" s="4" t="s">
        <v>15</v>
      </c>
      <c r="O362" s="13" t="s">
        <v>371</v>
      </c>
      <c r="P362" s="13" t="s">
        <v>440</v>
      </c>
      <c r="Q362" s="13" t="s">
        <v>373</v>
      </c>
      <c r="R362" s="4" t="s">
        <v>1102</v>
      </c>
      <c r="S362" s="7" t="e">
        <f ca="1">IF(_xludf.ifna(VLOOKUP(B362,Parámetros!#REF!,1,0),"")="","No","Sí")</f>
        <v>#NAME?</v>
      </c>
      <c r="T362" s="7" t="str">
        <f t="shared" si="12"/>
        <v>Normativo</v>
      </c>
      <c r="U362" s="4" t="s">
        <v>195</v>
      </c>
      <c r="V362" s="4" t="s">
        <v>39</v>
      </c>
      <c r="W362" s="4" t="s">
        <v>212</v>
      </c>
      <c r="X362" s="4" t="s">
        <v>375</v>
      </c>
      <c r="Y362" s="4" t="s">
        <v>443</v>
      </c>
      <c r="Z362" s="5">
        <v>234130254</v>
      </c>
      <c r="AA362" s="5">
        <v>121874020</v>
      </c>
      <c r="AB362" s="4" t="s">
        <v>215</v>
      </c>
      <c r="AC362">
        <v>361</v>
      </c>
    </row>
    <row r="363" spans="1:29" ht="16.5" customHeight="1" x14ac:dyDescent="0.2">
      <c r="A363" s="6" t="str">
        <f t="shared" si="11"/>
        <v>SDATOOL-40406 $ Plan Mejora recobro de incapacidades</v>
      </c>
      <c r="B363" s="4" t="s">
        <v>1992</v>
      </c>
      <c r="C363" s="4" t="s">
        <v>1993</v>
      </c>
      <c r="D363" s="4" t="s">
        <v>183</v>
      </c>
      <c r="E363" s="4" t="s">
        <v>1994</v>
      </c>
      <c r="F363" s="4" t="s">
        <v>30</v>
      </c>
      <c r="G363" s="4" t="s">
        <v>185</v>
      </c>
      <c r="H363" s="4" t="s">
        <v>186</v>
      </c>
      <c r="I363" s="4" t="s">
        <v>186</v>
      </c>
      <c r="K363" s="4" t="s">
        <v>206</v>
      </c>
      <c r="L363" s="4" t="s">
        <v>314</v>
      </c>
      <c r="M363" s="4" t="s">
        <v>1995</v>
      </c>
      <c r="N363" s="4" t="s">
        <v>15</v>
      </c>
      <c r="O363" s="13" t="s">
        <v>1996</v>
      </c>
      <c r="P363" s="13" t="s">
        <v>1997</v>
      </c>
      <c r="Q363" s="13" t="s">
        <v>1998</v>
      </c>
      <c r="R363" s="4" t="s">
        <v>1999</v>
      </c>
      <c r="S363" s="7" t="e">
        <f ca="1">IF(_xludf.ifna(VLOOKUP(B363,Parámetros!#REF!,1,0),"")="","No","Sí")</f>
        <v>#NAME?</v>
      </c>
      <c r="T363" s="7" t="str">
        <f t="shared" si="12"/>
        <v>No normativo</v>
      </c>
      <c r="U363" s="4" t="s">
        <v>195</v>
      </c>
      <c r="V363" s="4" t="s">
        <v>39</v>
      </c>
      <c r="W363" s="4" t="s">
        <v>291</v>
      </c>
      <c r="X363" s="4" t="s">
        <v>292</v>
      </c>
      <c r="Y363" s="4" t="s">
        <v>1478</v>
      </c>
      <c r="Z363" s="5">
        <v>127568313</v>
      </c>
      <c r="AA363" s="5">
        <v>64000000</v>
      </c>
      <c r="AB363" s="4" t="s">
        <v>180</v>
      </c>
      <c r="AC363">
        <v>362</v>
      </c>
    </row>
    <row r="364" spans="1:29" ht="16.5" customHeight="1" x14ac:dyDescent="0.2">
      <c r="A364" s="6" t="str">
        <f t="shared" si="11"/>
        <v>SDATOOL-40407 $ Envío de información sensible entes internos y externos</v>
      </c>
      <c r="B364" s="4" t="s">
        <v>2000</v>
      </c>
      <c r="C364" s="4" t="s">
        <v>2001</v>
      </c>
      <c r="D364" s="4" t="s">
        <v>183</v>
      </c>
      <c r="E364" s="4" t="s">
        <v>2002</v>
      </c>
      <c r="F364" s="4" t="s">
        <v>30</v>
      </c>
      <c r="G364" s="4" t="s">
        <v>185</v>
      </c>
      <c r="H364" s="4" t="s">
        <v>186</v>
      </c>
      <c r="I364" s="4" t="e">
        <v>#N/A</v>
      </c>
      <c r="K364" s="4" t="s">
        <v>206</v>
      </c>
      <c r="L364" s="4" t="s">
        <v>394</v>
      </c>
      <c r="M364" s="4" t="s">
        <v>2003</v>
      </c>
      <c r="N364" s="4" t="s">
        <v>15</v>
      </c>
      <c r="O364" s="13" t="s">
        <v>2004</v>
      </c>
      <c r="P364" s="13" t="s">
        <v>1997</v>
      </c>
      <c r="Q364" s="13" t="s">
        <v>1998</v>
      </c>
      <c r="S364" s="7" t="e">
        <f ca="1">IF(_xludf.ifna(VLOOKUP(B364,Parámetros!#REF!,1,0),"")="","No","Sí")</f>
        <v>#NAME?</v>
      </c>
      <c r="T364" s="7" t="str">
        <f t="shared" si="12"/>
        <v>No normativo</v>
      </c>
      <c r="U364" s="4" t="s">
        <v>195</v>
      </c>
      <c r="V364" s="4" t="s">
        <v>39</v>
      </c>
      <c r="W364" s="4" t="s">
        <v>300</v>
      </c>
      <c r="X364" s="4" t="s">
        <v>301</v>
      </c>
      <c r="Y364" s="4" t="s">
        <v>755</v>
      </c>
      <c r="Z364" s="4">
        <v>0</v>
      </c>
      <c r="AA364" s="5">
        <v>40000000</v>
      </c>
      <c r="AB364" s="4" t="s">
        <v>180</v>
      </c>
      <c r="AC364">
        <v>363</v>
      </c>
    </row>
    <row r="365" spans="1:29" ht="16.5" hidden="1" customHeight="1" x14ac:dyDescent="0.2">
      <c r="A365" s="6" t="str">
        <f t="shared" si="11"/>
        <v>SDATOOL-40408 $ GRM Col - Reporte de intereses de crédito empleado en endeudamiento</v>
      </c>
      <c r="B365" s="4" t="s">
        <v>2005</v>
      </c>
      <c r="C365" s="4" t="s">
        <v>2006</v>
      </c>
      <c r="D365" s="4" t="s">
        <v>183</v>
      </c>
      <c r="E365" s="4" t="s">
        <v>2007</v>
      </c>
      <c r="F365" s="4" t="s">
        <v>56</v>
      </c>
      <c r="G365" s="4" t="s">
        <v>185</v>
      </c>
      <c r="H365" s="4" t="s">
        <v>276</v>
      </c>
      <c r="K365" s="4" t="s">
        <v>206</v>
      </c>
      <c r="L365" s="4" t="s">
        <v>386</v>
      </c>
      <c r="M365" s="4" t="s">
        <v>2008</v>
      </c>
      <c r="N365" s="4" t="s">
        <v>15</v>
      </c>
      <c r="O365" s="13" t="s">
        <v>325</v>
      </c>
      <c r="P365" s="13" t="s">
        <v>1526</v>
      </c>
      <c r="Q365" s="13" t="s">
        <v>580</v>
      </c>
      <c r="R365" s="4" t="s">
        <v>2009</v>
      </c>
      <c r="S365" s="7" t="e">
        <f ca="1">IF(_xludf.ifna(VLOOKUP(B365,Parámetros!#REF!,1,0),"")="","No","Sí")</f>
        <v>#NAME?</v>
      </c>
      <c r="T365" s="7" t="str">
        <f t="shared" si="12"/>
        <v>No normativo</v>
      </c>
      <c r="U365" s="4" t="s">
        <v>195</v>
      </c>
      <c r="V365" s="4" t="s">
        <v>39</v>
      </c>
      <c r="W365" s="4" t="s">
        <v>300</v>
      </c>
      <c r="X365" s="4" t="s">
        <v>562</v>
      </c>
      <c r="Y365" s="4" t="s">
        <v>1197</v>
      </c>
      <c r="Z365" s="5">
        <v>71331291</v>
      </c>
      <c r="AA365" s="5">
        <v>73179482</v>
      </c>
      <c r="AB365" s="4" t="s">
        <v>215</v>
      </c>
      <c r="AC365">
        <v>364</v>
      </c>
    </row>
    <row r="366" spans="1:29" ht="16.5" hidden="1" customHeight="1" x14ac:dyDescent="0.2">
      <c r="A366" s="6" t="str">
        <f t="shared" si="11"/>
        <v>SDATOOL-40409 $ Quick wins tarjeta de crédito OM</v>
      </c>
      <c r="B366" s="4" t="s">
        <v>2010</v>
      </c>
      <c r="C366" s="4" t="s">
        <v>2011</v>
      </c>
      <c r="D366" s="4" t="s">
        <v>763</v>
      </c>
      <c r="E366" s="4" t="s">
        <v>2012</v>
      </c>
      <c r="F366" s="4" t="s">
        <v>28</v>
      </c>
      <c r="G366" s="4" t="s">
        <v>185</v>
      </c>
      <c r="H366" s="4" t="s">
        <v>752</v>
      </c>
      <c r="J366" s="4" t="s">
        <v>204</v>
      </c>
      <c r="K366" s="4" t="s">
        <v>386</v>
      </c>
      <c r="L366" s="4" t="s">
        <v>394</v>
      </c>
      <c r="M366" s="4" t="s">
        <v>2012</v>
      </c>
      <c r="N366" s="4" t="s">
        <v>29</v>
      </c>
      <c r="O366" s="13" t="s">
        <v>191</v>
      </c>
      <c r="P366" s="13" t="s">
        <v>701</v>
      </c>
      <c r="Q366" s="13" t="s">
        <v>632</v>
      </c>
      <c r="S366" s="7" t="e">
        <f ca="1">IF(_xludf.ifna(VLOOKUP(B366,Parámetros!#REF!,1,0),"")="","No","Sí")</f>
        <v>#NAME?</v>
      </c>
      <c r="T366" s="7" t="str">
        <f t="shared" si="12"/>
        <v>Normativo</v>
      </c>
      <c r="U366" s="4" t="s">
        <v>195</v>
      </c>
      <c r="V366" s="4" t="s">
        <v>39</v>
      </c>
      <c r="W366" s="4" t="s">
        <v>233</v>
      </c>
      <c r="X366" s="4" t="s">
        <v>92</v>
      </c>
      <c r="Y366" s="4" t="s">
        <v>533</v>
      </c>
      <c r="Z366" s="4">
        <v>1</v>
      </c>
      <c r="AA366" s="4">
        <v>1</v>
      </c>
      <c r="AB366" s="4" t="s">
        <v>215</v>
      </c>
      <c r="AC366">
        <v>365</v>
      </c>
    </row>
    <row r="367" spans="1:29" ht="16.5" customHeight="1" x14ac:dyDescent="0.2">
      <c r="A367" s="6" t="str">
        <f t="shared" si="11"/>
        <v>SDATOOL-40414 $ Conciliación adquirencia plus</v>
      </c>
      <c r="B367" s="4" t="s">
        <v>2013</v>
      </c>
      <c r="C367" s="4" t="s">
        <v>2014</v>
      </c>
      <c r="D367" s="4" t="s">
        <v>183</v>
      </c>
      <c r="E367" s="4" t="s">
        <v>2015</v>
      </c>
      <c r="F367" s="4" t="s">
        <v>21</v>
      </c>
      <c r="G367" s="4" t="s">
        <v>185</v>
      </c>
      <c r="H367" s="4" t="s">
        <v>186</v>
      </c>
      <c r="J367" s="4" t="s">
        <v>204</v>
      </c>
      <c r="K367" s="4" t="s">
        <v>206</v>
      </c>
      <c r="L367" s="4" t="s">
        <v>386</v>
      </c>
      <c r="M367" s="4" t="s">
        <v>2016</v>
      </c>
      <c r="N367" s="4" t="s">
        <v>44</v>
      </c>
      <c r="O367" s="13" t="s">
        <v>419</v>
      </c>
      <c r="P367" s="13" t="s">
        <v>947</v>
      </c>
      <c r="Q367" s="13" t="s">
        <v>555</v>
      </c>
      <c r="S367" s="7" t="e">
        <f ca="1">IF(_xludf.ifna(VLOOKUP(B367,Parámetros!#REF!,1,0),"")="","No","Sí")</f>
        <v>#NAME?</v>
      </c>
      <c r="T367" s="7" t="str">
        <f t="shared" si="12"/>
        <v>Normativo</v>
      </c>
      <c r="U367" s="4" t="s">
        <v>195</v>
      </c>
      <c r="V367" s="4" t="s">
        <v>39</v>
      </c>
      <c r="W367" s="4" t="s">
        <v>233</v>
      </c>
      <c r="X367" s="4" t="s">
        <v>234</v>
      </c>
      <c r="Y367" s="4" t="s">
        <v>435</v>
      </c>
      <c r="Z367" s="5">
        <v>137999969</v>
      </c>
      <c r="AA367" s="5">
        <v>120000000</v>
      </c>
      <c r="AB367" s="4" t="s">
        <v>215</v>
      </c>
      <c r="AC367">
        <v>366</v>
      </c>
    </row>
    <row r="368" spans="1:29" ht="16.5" customHeight="1" x14ac:dyDescent="0.2">
      <c r="A368" s="6" t="str">
        <f t="shared" si="11"/>
        <v>SDATOOL-40433 $ Actualización de tarifas y desarrollos Multicompañía -Seguros</v>
      </c>
      <c r="B368" s="4" t="s">
        <v>2017</v>
      </c>
      <c r="C368" s="4" t="s">
        <v>2018</v>
      </c>
      <c r="D368" s="4" t="s">
        <v>183</v>
      </c>
      <c r="E368" s="4" t="s">
        <v>2019</v>
      </c>
      <c r="F368" s="4" t="s">
        <v>28</v>
      </c>
      <c r="G368" s="4" t="s">
        <v>185</v>
      </c>
      <c r="H368" s="4" t="s">
        <v>186</v>
      </c>
      <c r="J368" s="4" t="s">
        <v>204</v>
      </c>
      <c r="K368" s="4" t="s">
        <v>386</v>
      </c>
      <c r="L368" s="4" t="s">
        <v>394</v>
      </c>
      <c r="M368" s="4" t="s">
        <v>540</v>
      </c>
      <c r="N368" s="4" t="s">
        <v>29</v>
      </c>
      <c r="O368" s="13" t="s">
        <v>2020</v>
      </c>
      <c r="P368" s="13" t="s">
        <v>548</v>
      </c>
      <c r="Q368" s="13" t="s">
        <v>580</v>
      </c>
      <c r="S368" s="7" t="e">
        <f ca="1">IF(_xludf.ifna(VLOOKUP(B368,Parámetros!#REF!,1,0),"")="","No","Sí")</f>
        <v>#NAME?</v>
      </c>
      <c r="T368" s="7" t="str">
        <f t="shared" si="12"/>
        <v>No normativo</v>
      </c>
      <c r="U368" s="4" t="s">
        <v>224</v>
      </c>
      <c r="V368" s="4" t="s">
        <v>347</v>
      </c>
      <c r="W368" s="4" t="s">
        <v>300</v>
      </c>
      <c r="X368" s="4" t="s">
        <v>301</v>
      </c>
      <c r="Y368" s="4" t="s">
        <v>302</v>
      </c>
      <c r="Z368" s="4">
        <v>1</v>
      </c>
      <c r="AA368" s="4">
        <v>1</v>
      </c>
      <c r="AB368" s="4" t="s">
        <v>215</v>
      </c>
      <c r="AC368">
        <v>367</v>
      </c>
    </row>
    <row r="369" spans="1:29" ht="16.5" customHeight="1" x14ac:dyDescent="0.2">
      <c r="A369" s="6" t="str">
        <f t="shared" si="11"/>
        <v>SDATOOL-40435 $ Cuota Segura créditos de libranza</v>
      </c>
      <c r="B369" s="4" t="s">
        <v>2021</v>
      </c>
      <c r="C369" s="4" t="s">
        <v>2022</v>
      </c>
      <c r="D369" s="4" t="s">
        <v>763</v>
      </c>
      <c r="E369" s="4" t="s">
        <v>2023</v>
      </c>
      <c r="F369" s="4" t="s">
        <v>28</v>
      </c>
      <c r="G369" s="4" t="s">
        <v>185</v>
      </c>
      <c r="H369" s="4" t="s">
        <v>186</v>
      </c>
      <c r="I369" s="4" t="s">
        <v>752</v>
      </c>
      <c r="J369" s="4" t="s">
        <v>204</v>
      </c>
      <c r="K369" s="4" t="s">
        <v>386</v>
      </c>
      <c r="L369" s="4" t="s">
        <v>394</v>
      </c>
      <c r="M369" s="4" t="s">
        <v>2024</v>
      </c>
      <c r="N369" s="4" t="s">
        <v>29</v>
      </c>
      <c r="O369" s="13" t="s">
        <v>1213</v>
      </c>
      <c r="P369" s="13" t="s">
        <v>1712</v>
      </c>
      <c r="Q369" s="13" t="s">
        <v>2025</v>
      </c>
      <c r="S369" s="7" t="e">
        <f ca="1">IF(_xludf.ifna(VLOOKUP(B369,Parámetros!#REF!,1,0),"")="","No","Sí")</f>
        <v>#NAME?</v>
      </c>
      <c r="T369" s="7" t="str">
        <f t="shared" si="12"/>
        <v>No normativo</v>
      </c>
      <c r="U369" s="4" t="s">
        <v>195</v>
      </c>
      <c r="V369" s="4" t="s">
        <v>39</v>
      </c>
      <c r="W369" s="4" t="s">
        <v>300</v>
      </c>
      <c r="X369" s="4" t="s">
        <v>301</v>
      </c>
      <c r="Y369" s="4" t="s">
        <v>302</v>
      </c>
      <c r="Z369" s="5">
        <v>1343824262</v>
      </c>
      <c r="AA369" s="5">
        <v>1140000000</v>
      </c>
      <c r="AB369" s="4" t="s">
        <v>180</v>
      </c>
      <c r="AC369">
        <v>368</v>
      </c>
    </row>
    <row r="370" spans="1:29" ht="16.5" hidden="1" customHeight="1" x14ac:dyDescent="0.2">
      <c r="A370" s="6" t="str">
        <f t="shared" si="11"/>
        <v>SDATOOL-40437 $ Fiduciaria - Tagging Open market Fondos de Inversion</v>
      </c>
      <c r="B370" s="4" t="s">
        <v>147</v>
      </c>
      <c r="C370" s="4" t="s">
        <v>2026</v>
      </c>
      <c r="D370" s="4" t="s">
        <v>763</v>
      </c>
      <c r="E370" s="4" t="s">
        <v>2027</v>
      </c>
      <c r="F370" s="4" t="s">
        <v>28</v>
      </c>
      <c r="G370" s="4" t="s">
        <v>185</v>
      </c>
      <c r="H370" s="4" t="s">
        <v>752</v>
      </c>
      <c r="J370" s="4" t="s">
        <v>204</v>
      </c>
      <c r="K370" s="4" t="s">
        <v>1503</v>
      </c>
      <c r="L370" s="4" t="s">
        <v>386</v>
      </c>
      <c r="M370" s="4" t="s">
        <v>802</v>
      </c>
      <c r="N370" s="4" t="s">
        <v>29</v>
      </c>
      <c r="O370" s="13" t="s">
        <v>1535</v>
      </c>
      <c r="P370" s="13" t="s">
        <v>1536</v>
      </c>
      <c r="Q370" s="13" t="s">
        <v>804</v>
      </c>
      <c r="S370" s="7" t="e">
        <f ca="1">IF(_xludf.ifna(VLOOKUP(B370,Parámetros!#REF!,1,0),"")="","No","Sí")</f>
        <v>#NAME?</v>
      </c>
      <c r="T370" s="7" t="str">
        <f t="shared" si="12"/>
        <v>No normativo</v>
      </c>
      <c r="U370" s="4" t="s">
        <v>195</v>
      </c>
      <c r="V370" s="4" t="s">
        <v>805</v>
      </c>
      <c r="W370" s="4" t="s">
        <v>233</v>
      </c>
      <c r="X370" s="4" t="s">
        <v>234</v>
      </c>
      <c r="Y370" s="4" t="s">
        <v>806</v>
      </c>
      <c r="Z370" s="4">
        <v>0</v>
      </c>
      <c r="AA370" s="4">
        <v>0</v>
      </c>
      <c r="AB370" s="4" t="s">
        <v>215</v>
      </c>
      <c r="AC370">
        <v>369</v>
      </c>
    </row>
    <row r="371" spans="1:29" ht="16.5" customHeight="1" x14ac:dyDescent="0.2">
      <c r="A371" s="6" t="str">
        <f t="shared" si="11"/>
        <v>SDATOOL-40438 $ CIRCULAR 032 del 2021 - REQUERIMIENTO FISCALIA GENERAL DE LA NACION</v>
      </c>
      <c r="B371" s="4" t="s">
        <v>2028</v>
      </c>
      <c r="C371" s="4" t="s">
        <v>2029</v>
      </c>
      <c r="D371" s="4" t="s">
        <v>183</v>
      </c>
      <c r="E371" s="4" t="s">
        <v>2030</v>
      </c>
      <c r="F371" s="4" t="s">
        <v>43</v>
      </c>
      <c r="G371" s="4" t="s">
        <v>185</v>
      </c>
      <c r="H371" s="4" t="s">
        <v>186</v>
      </c>
      <c r="J371" s="4" t="s">
        <v>204</v>
      </c>
      <c r="K371" s="4" t="s">
        <v>1503</v>
      </c>
      <c r="L371" s="4" t="s">
        <v>394</v>
      </c>
      <c r="M371" s="4" t="s">
        <v>2031</v>
      </c>
      <c r="N371" s="4" t="s">
        <v>15</v>
      </c>
      <c r="O371" s="13" t="s">
        <v>2032</v>
      </c>
      <c r="P371" s="13" t="s">
        <v>2033</v>
      </c>
      <c r="Q371" s="13" t="s">
        <v>456</v>
      </c>
      <c r="R371" s="4" t="s">
        <v>2034</v>
      </c>
      <c r="S371" s="7" t="e">
        <f ca="1">IF(_xludf.ifna(VLOOKUP(B371,Parámetros!#REF!,1,0),"")="","No","Sí")</f>
        <v>#NAME?</v>
      </c>
      <c r="T371" s="7" t="str">
        <f t="shared" si="12"/>
        <v>Normativo</v>
      </c>
      <c r="U371" s="4" t="s">
        <v>195</v>
      </c>
      <c r="V371" s="4" t="s">
        <v>39</v>
      </c>
      <c r="W371" s="4" t="s">
        <v>196</v>
      </c>
      <c r="X371" s="4" t="s">
        <v>246</v>
      </c>
      <c r="Y371" s="4" t="s">
        <v>265</v>
      </c>
      <c r="Z371" s="5">
        <v>197411008</v>
      </c>
      <c r="AA371" s="5">
        <v>150122463</v>
      </c>
      <c r="AB371" s="4" t="s">
        <v>180</v>
      </c>
      <c r="AC371">
        <v>370</v>
      </c>
    </row>
    <row r="372" spans="1:29" ht="16.5" customHeight="1" x14ac:dyDescent="0.2">
      <c r="A372" s="6" t="str">
        <f t="shared" si="11"/>
        <v>SDATOOL-40442 $ M4M - Tokenización Mastercard</v>
      </c>
      <c r="B372" s="4" t="s">
        <v>2035</v>
      </c>
      <c r="C372" s="4" t="s">
        <v>2036</v>
      </c>
      <c r="D372" s="4" t="s">
        <v>183</v>
      </c>
      <c r="E372" s="4" t="s">
        <v>2037</v>
      </c>
      <c r="F372" s="4" t="s">
        <v>28</v>
      </c>
      <c r="G372" s="4" t="s">
        <v>185</v>
      </c>
      <c r="H372" s="4" t="s">
        <v>186</v>
      </c>
      <c r="J372" s="4" t="s">
        <v>204</v>
      </c>
      <c r="K372" s="4" t="s">
        <v>206</v>
      </c>
      <c r="L372" s="4" t="s">
        <v>189</v>
      </c>
      <c r="M372" s="4" t="s">
        <v>540</v>
      </c>
      <c r="N372" s="4" t="s">
        <v>36</v>
      </c>
      <c r="O372" s="13" t="s">
        <v>1566</v>
      </c>
      <c r="P372" s="13" t="s">
        <v>548</v>
      </c>
      <c r="Q372" s="13" t="s">
        <v>555</v>
      </c>
      <c r="R372" s="4" t="s">
        <v>2038</v>
      </c>
      <c r="S372" s="7" t="e">
        <f ca="1">IF(_xludf.ifna(VLOOKUP(B372,Parámetros!#REF!,1,0),"")="","No","Sí")</f>
        <v>#NAME?</v>
      </c>
      <c r="T372" s="7" t="str">
        <f t="shared" si="12"/>
        <v>No normativo</v>
      </c>
      <c r="U372" s="4" t="s">
        <v>224</v>
      </c>
      <c r="V372" s="4" t="s">
        <v>39</v>
      </c>
      <c r="W372" s="4" t="s">
        <v>300</v>
      </c>
      <c r="X372" s="4" t="s">
        <v>301</v>
      </c>
      <c r="Y372" s="4" t="s">
        <v>302</v>
      </c>
      <c r="Z372" s="5">
        <v>89512644</v>
      </c>
      <c r="AA372" s="5">
        <v>137886743</v>
      </c>
      <c r="AB372" s="4" t="s">
        <v>180</v>
      </c>
      <c r="AC372">
        <v>371</v>
      </c>
    </row>
    <row r="373" spans="1:29" ht="16.5" hidden="1" customHeight="1" x14ac:dyDescent="0.2">
      <c r="A373" s="6" t="str">
        <f t="shared" si="11"/>
        <v>SDATOOL-40450 $ Automatización redenciones jurídicas</v>
      </c>
      <c r="B373" s="4" t="s">
        <v>2039</v>
      </c>
      <c r="C373" s="4" t="s">
        <v>2040</v>
      </c>
      <c r="D373" s="4" t="s">
        <v>763</v>
      </c>
      <c r="E373" s="4" t="s">
        <v>2041</v>
      </c>
      <c r="F373" s="4" t="s">
        <v>28</v>
      </c>
      <c r="G373" s="4" t="s">
        <v>185</v>
      </c>
      <c r="H373" s="4" t="s">
        <v>752</v>
      </c>
      <c r="J373" s="4" t="s">
        <v>204</v>
      </c>
      <c r="K373" s="4" t="s">
        <v>386</v>
      </c>
      <c r="L373" s="4" t="s">
        <v>386</v>
      </c>
      <c r="M373" s="4" t="s">
        <v>2042</v>
      </c>
      <c r="N373" s="4" t="s">
        <v>36</v>
      </c>
      <c r="O373" s="13" t="s">
        <v>480</v>
      </c>
      <c r="P373" s="13" t="s">
        <v>2043</v>
      </c>
      <c r="Q373" s="13" t="s">
        <v>555</v>
      </c>
      <c r="R373" s="4" t="s">
        <v>2044</v>
      </c>
      <c r="S373" s="7" t="e">
        <f ca="1">IF(_xludf.ifna(VLOOKUP(B373,Parámetros!#REF!,1,0),"")="","No","Sí")</f>
        <v>#NAME?</v>
      </c>
      <c r="T373" s="7" t="str">
        <f t="shared" si="12"/>
        <v>No normativo</v>
      </c>
      <c r="U373" s="4" t="s">
        <v>732</v>
      </c>
      <c r="V373" s="4" t="s">
        <v>39</v>
      </c>
      <c r="W373" s="4" t="s">
        <v>300</v>
      </c>
      <c r="X373" s="4" t="s">
        <v>301</v>
      </c>
      <c r="Y373" s="4" t="s">
        <v>755</v>
      </c>
      <c r="Z373" s="4">
        <v>0</v>
      </c>
      <c r="AA373" s="4">
        <v>0</v>
      </c>
      <c r="AB373" s="4" t="s">
        <v>215</v>
      </c>
      <c r="AC373">
        <v>372</v>
      </c>
    </row>
    <row r="374" spans="1:29" ht="16.5" customHeight="1" x14ac:dyDescent="0.2">
      <c r="A374" s="6" t="str">
        <f t="shared" si="11"/>
        <v>SDATOOL-40455 $ Comisión porcentaje compras internacionales Mastercard y Visa Fase 2</v>
      </c>
      <c r="B374" s="4" t="s">
        <v>2045</v>
      </c>
      <c r="C374" s="4" t="s">
        <v>2046</v>
      </c>
      <c r="D374" s="4" t="s">
        <v>763</v>
      </c>
      <c r="E374" s="4" t="s">
        <v>2047</v>
      </c>
      <c r="F374" s="4" t="s">
        <v>28</v>
      </c>
      <c r="G374" s="4" t="s">
        <v>185</v>
      </c>
      <c r="H374" s="4" t="s">
        <v>186</v>
      </c>
      <c r="I374" s="4" t="s">
        <v>186</v>
      </c>
      <c r="J374" s="4" t="s">
        <v>204</v>
      </c>
      <c r="K374" s="4" t="s">
        <v>206</v>
      </c>
      <c r="L374" s="4" t="s">
        <v>189</v>
      </c>
      <c r="M374" s="4" t="s">
        <v>553</v>
      </c>
      <c r="N374" s="4" t="s">
        <v>29</v>
      </c>
      <c r="O374" s="13" t="s">
        <v>480</v>
      </c>
      <c r="P374" s="13" t="s">
        <v>548</v>
      </c>
      <c r="Q374" s="13" t="s">
        <v>365</v>
      </c>
      <c r="R374" s="4" t="s">
        <v>2048</v>
      </c>
      <c r="S374" s="7" t="e">
        <f ca="1">IF(_xludf.ifna(VLOOKUP(B374,Parámetros!#REF!,1,0),"")="","No","Sí")</f>
        <v>#NAME?</v>
      </c>
      <c r="T374" s="7" t="str">
        <f t="shared" si="12"/>
        <v>No normativo</v>
      </c>
      <c r="U374" s="4" t="s">
        <v>195</v>
      </c>
      <c r="V374" s="4" t="s">
        <v>39</v>
      </c>
      <c r="W374" s="4" t="s">
        <v>233</v>
      </c>
      <c r="X374" s="4" t="s">
        <v>234</v>
      </c>
      <c r="Y374" s="4" t="s">
        <v>556</v>
      </c>
      <c r="Z374" s="5">
        <v>149999939</v>
      </c>
      <c r="AA374" s="5">
        <v>50000000</v>
      </c>
      <c r="AB374" s="4" t="s">
        <v>180</v>
      </c>
      <c r="AC374">
        <v>373</v>
      </c>
    </row>
    <row r="375" spans="1:29" ht="16.5" customHeight="1" x14ac:dyDescent="0.2">
      <c r="A375" s="6" t="str">
        <f t="shared" si="11"/>
        <v>SDATOOL-40457 $ SENDA (Base)</v>
      </c>
      <c r="B375" s="4" t="s">
        <v>2049</v>
      </c>
      <c r="C375" s="4" t="s">
        <v>2050</v>
      </c>
      <c r="D375" s="4" t="s">
        <v>183</v>
      </c>
      <c r="E375" s="4" t="s">
        <v>2051</v>
      </c>
      <c r="F375" s="4" t="s">
        <v>28</v>
      </c>
      <c r="G375" s="4" t="s">
        <v>185</v>
      </c>
      <c r="H375" s="4" t="s">
        <v>186</v>
      </c>
      <c r="J375" s="4" t="s">
        <v>204</v>
      </c>
      <c r="K375" s="4" t="s">
        <v>206</v>
      </c>
      <c r="L375" s="4" t="s">
        <v>394</v>
      </c>
      <c r="M375" s="4" t="s">
        <v>2052</v>
      </c>
      <c r="N375" s="4" t="s">
        <v>22</v>
      </c>
      <c r="O375" s="13" t="s">
        <v>541</v>
      </c>
      <c r="P375" s="13" t="s">
        <v>848</v>
      </c>
      <c r="Q375" s="13" t="s">
        <v>519</v>
      </c>
      <c r="S375" s="7" t="e">
        <f ca="1">IF(_xludf.ifna(VLOOKUP(B375,Parámetros!#REF!,1,0),"")="","No","Sí")</f>
        <v>#NAME?</v>
      </c>
      <c r="T375" s="7" t="str">
        <f t="shared" si="12"/>
        <v>Normativo</v>
      </c>
      <c r="U375" s="4" t="s">
        <v>195</v>
      </c>
      <c r="V375" s="4" t="s">
        <v>39</v>
      </c>
      <c r="W375" s="4" t="s">
        <v>212</v>
      </c>
      <c r="X375" s="4" t="s">
        <v>407</v>
      </c>
      <c r="Y375" s="4" t="s">
        <v>408</v>
      </c>
      <c r="Z375" s="5">
        <v>1726771569</v>
      </c>
      <c r="AA375" s="5">
        <v>1892552664</v>
      </c>
      <c r="AB375" s="4" t="s">
        <v>215</v>
      </c>
      <c r="AC375">
        <v>374</v>
      </c>
    </row>
    <row r="376" spans="1:29" ht="16.5" customHeight="1" x14ac:dyDescent="0.2">
      <c r="A376" s="6" t="str">
        <f t="shared" si="11"/>
        <v>SDATOOL-40462 $ Ajustes en archivo de conciliación de Adquirencia fines de semana cliente D1</v>
      </c>
      <c r="B376" s="4" t="s">
        <v>2053</v>
      </c>
      <c r="C376" s="4" t="s">
        <v>2054</v>
      </c>
      <c r="D376" s="4" t="s">
        <v>183</v>
      </c>
      <c r="E376" s="4" t="s">
        <v>2055</v>
      </c>
      <c r="F376" s="4" t="s">
        <v>28</v>
      </c>
      <c r="G376" s="4" t="s">
        <v>185</v>
      </c>
      <c r="H376" s="4" t="s">
        <v>186</v>
      </c>
      <c r="J376" s="4" t="s">
        <v>204</v>
      </c>
      <c r="K376" s="4" t="s">
        <v>206</v>
      </c>
      <c r="L376" s="4" t="s">
        <v>386</v>
      </c>
      <c r="M376" s="4" t="s">
        <v>2056</v>
      </c>
      <c r="N376" s="4" t="s">
        <v>36</v>
      </c>
      <c r="O376" s="13" t="s">
        <v>1595</v>
      </c>
      <c r="P376" s="13" t="s">
        <v>548</v>
      </c>
      <c r="Q376" s="13" t="s">
        <v>555</v>
      </c>
      <c r="S376" s="7" t="e">
        <f ca="1">IF(_xludf.ifna(VLOOKUP(B376,Parámetros!#REF!,1,0),"")="","No","Sí")</f>
        <v>#NAME?</v>
      </c>
      <c r="T376" s="7" t="str">
        <f t="shared" si="12"/>
        <v>Normativo</v>
      </c>
      <c r="U376" s="4" t="s">
        <v>195</v>
      </c>
      <c r="V376" s="4" t="s">
        <v>39</v>
      </c>
      <c r="W376" s="4" t="s">
        <v>300</v>
      </c>
      <c r="X376" s="4" t="s">
        <v>301</v>
      </c>
      <c r="Y376" s="4" t="s">
        <v>302</v>
      </c>
      <c r="Z376" s="5">
        <v>38999868</v>
      </c>
      <c r="AA376" s="5">
        <v>25999934</v>
      </c>
      <c r="AB376" s="4" t="s">
        <v>215</v>
      </c>
      <c r="AC376">
        <v>375</v>
      </c>
    </row>
    <row r="377" spans="1:29" ht="16.5" hidden="1" customHeight="1" x14ac:dyDescent="0.2">
      <c r="A377" s="6" t="str">
        <f t="shared" si="11"/>
        <v>SDATOOL-40465 $ Aplicativo Préstamos - Ajuste para control de Uso de Sobregiros para pago Capital e Intereses</v>
      </c>
      <c r="B377" s="4" t="s">
        <v>2057</v>
      </c>
      <c r="C377" s="4" t="s">
        <v>2058</v>
      </c>
      <c r="D377" s="4" t="s">
        <v>763</v>
      </c>
      <c r="E377" s="4" t="s">
        <v>2059</v>
      </c>
      <c r="F377" s="4" t="s">
        <v>28</v>
      </c>
      <c r="G377" s="4" t="s">
        <v>185</v>
      </c>
      <c r="H377" s="4" t="s">
        <v>752</v>
      </c>
      <c r="J377" s="4" t="s">
        <v>204</v>
      </c>
      <c r="K377" s="4" t="s">
        <v>386</v>
      </c>
      <c r="L377" s="4" t="s">
        <v>394</v>
      </c>
      <c r="M377" s="4" t="s">
        <v>2060</v>
      </c>
      <c r="N377" s="4" t="s">
        <v>22</v>
      </c>
      <c r="O377" s="13" t="s">
        <v>617</v>
      </c>
      <c r="P377" s="13" t="s">
        <v>1432</v>
      </c>
      <c r="Q377" s="13" t="s">
        <v>456</v>
      </c>
      <c r="R377" s="4" t="s">
        <v>2061</v>
      </c>
      <c r="S377" s="7" t="e">
        <f ca="1">IF(_xludf.ifna(VLOOKUP(B377,Parámetros!#REF!,1,0),"")="","No","Sí")</f>
        <v>#NAME?</v>
      </c>
      <c r="T377" s="7" t="str">
        <f t="shared" si="12"/>
        <v>No normativo</v>
      </c>
      <c r="U377" s="4" t="s">
        <v>224</v>
      </c>
      <c r="V377" s="4" t="s">
        <v>39</v>
      </c>
      <c r="W377" s="4" t="s">
        <v>196</v>
      </c>
      <c r="X377" s="4" t="s">
        <v>225</v>
      </c>
      <c r="Y377" s="4" t="s">
        <v>226</v>
      </c>
      <c r="Z377" s="4">
        <v>0</v>
      </c>
      <c r="AA377" s="4">
        <v>0</v>
      </c>
      <c r="AB377" s="4" t="s">
        <v>215</v>
      </c>
      <c r="AC377">
        <v>376</v>
      </c>
    </row>
    <row r="378" spans="1:29" ht="16.5" customHeight="1" x14ac:dyDescent="0.2">
      <c r="A378" s="6" t="str">
        <f t="shared" si="11"/>
        <v>SDATOOL-40466 $ Garantía FAG</v>
      </c>
      <c r="B378" s="4" t="s">
        <v>2062</v>
      </c>
      <c r="C378" s="4" t="s">
        <v>2063</v>
      </c>
      <c r="D378" s="4" t="s">
        <v>763</v>
      </c>
      <c r="E378" s="4" t="s">
        <v>2064</v>
      </c>
      <c r="F378" s="4" t="s">
        <v>28</v>
      </c>
      <c r="G378" s="4" t="s">
        <v>185</v>
      </c>
      <c r="H378" s="4" t="s">
        <v>186</v>
      </c>
      <c r="I378" s="4" t="s">
        <v>752</v>
      </c>
      <c r="J378" s="4" t="s">
        <v>187</v>
      </c>
      <c r="K378" s="4" t="s">
        <v>386</v>
      </c>
      <c r="L378" s="4" t="s">
        <v>394</v>
      </c>
      <c r="M378" s="4" t="s">
        <v>2065</v>
      </c>
      <c r="N378" s="4" t="s">
        <v>51</v>
      </c>
      <c r="O378" s="13" t="s">
        <v>617</v>
      </c>
      <c r="P378" s="13" t="s">
        <v>1432</v>
      </c>
      <c r="Q378" s="13" t="s">
        <v>580</v>
      </c>
      <c r="R378" s="4" t="s">
        <v>2066</v>
      </c>
      <c r="S378" s="7" t="e">
        <f ca="1">IF(_xludf.ifna(VLOOKUP(B378,Parámetros!#REF!,1,0),"")="","No","Sí")</f>
        <v>#NAME?</v>
      </c>
      <c r="T378" s="7" t="str">
        <f t="shared" si="12"/>
        <v>No normativo</v>
      </c>
      <c r="U378" s="4" t="s">
        <v>195</v>
      </c>
      <c r="V378" s="4" t="s">
        <v>39</v>
      </c>
      <c r="W378" s="4" t="s">
        <v>233</v>
      </c>
      <c r="X378" s="4" t="s">
        <v>234</v>
      </c>
      <c r="Y378" s="4" t="s">
        <v>525</v>
      </c>
      <c r="Z378" s="5">
        <v>1002628367</v>
      </c>
      <c r="AA378" s="5">
        <v>1149804002</v>
      </c>
      <c r="AB378" s="4" t="s">
        <v>180</v>
      </c>
      <c r="AC378">
        <v>377</v>
      </c>
    </row>
    <row r="379" spans="1:29" ht="16.5" customHeight="1" x14ac:dyDescent="0.2">
      <c r="A379" s="6" t="str">
        <f t="shared" si="11"/>
        <v>SDATOOL-40468 $ Mapa de comercios adquirencia - Fase 2</v>
      </c>
      <c r="B379" s="4" t="s">
        <v>2067</v>
      </c>
      <c r="C379" s="4" t="s">
        <v>2068</v>
      </c>
      <c r="D379" s="4" t="s">
        <v>763</v>
      </c>
      <c r="E379" s="4" t="s">
        <v>2069</v>
      </c>
      <c r="F379" s="4" t="s">
        <v>28</v>
      </c>
      <c r="G379" s="4" t="s">
        <v>185</v>
      </c>
      <c r="H379" s="4" t="s">
        <v>186</v>
      </c>
      <c r="I379" s="4" t="e">
        <v>#N/A</v>
      </c>
      <c r="J379" s="4" t="s">
        <v>204</v>
      </c>
      <c r="K379" s="4" t="s">
        <v>206</v>
      </c>
      <c r="L379" s="4" t="s">
        <v>189</v>
      </c>
      <c r="M379" s="4" t="s">
        <v>2070</v>
      </c>
      <c r="N379" s="4" t="s">
        <v>29</v>
      </c>
      <c r="O379" s="13" t="s">
        <v>480</v>
      </c>
      <c r="P379" s="13" t="s">
        <v>548</v>
      </c>
      <c r="Q379" s="13" t="s">
        <v>666</v>
      </c>
      <c r="S379" s="7" t="e">
        <f ca="1">IF(_xludf.ifna(VLOOKUP(B379,Parámetros!#REF!,1,0),"")="","No","Sí")</f>
        <v>#NAME?</v>
      </c>
      <c r="T379" s="7" t="str">
        <f t="shared" si="12"/>
        <v>No normativo</v>
      </c>
      <c r="U379" s="4" t="s">
        <v>195</v>
      </c>
      <c r="V379" s="4" t="s">
        <v>39</v>
      </c>
      <c r="W379" s="4" t="s">
        <v>300</v>
      </c>
      <c r="X379" s="4" t="s">
        <v>301</v>
      </c>
      <c r="Y379" s="4" t="s">
        <v>302</v>
      </c>
      <c r="Z379" s="4">
        <v>2</v>
      </c>
      <c r="AA379" s="4">
        <v>2</v>
      </c>
      <c r="AB379" s="4" t="s">
        <v>180</v>
      </c>
      <c r="AC379">
        <v>378</v>
      </c>
    </row>
    <row r="380" spans="1:29" ht="16.5" customHeight="1" x14ac:dyDescent="0.2">
      <c r="A380" s="6" t="str">
        <f t="shared" si="11"/>
        <v>SDATOOL-40469 $ Reversión reintegros parciales Adquirencia - Ajustes de comercio LATAM</v>
      </c>
      <c r="B380" s="4" t="s">
        <v>2071</v>
      </c>
      <c r="C380" s="4" t="s">
        <v>2072</v>
      </c>
      <c r="D380" s="4" t="s">
        <v>183</v>
      </c>
      <c r="E380" s="4" t="s">
        <v>2073</v>
      </c>
      <c r="F380" s="4" t="s">
        <v>28</v>
      </c>
      <c r="G380" s="4" t="s">
        <v>185</v>
      </c>
      <c r="H380" s="4" t="s">
        <v>186</v>
      </c>
      <c r="I380" s="4" t="e">
        <v>#N/A</v>
      </c>
      <c r="J380" s="4" t="s">
        <v>204</v>
      </c>
      <c r="K380" s="4" t="s">
        <v>206</v>
      </c>
      <c r="L380" s="4" t="s">
        <v>189</v>
      </c>
      <c r="M380" s="4" t="s">
        <v>2074</v>
      </c>
      <c r="N380" s="4" t="s">
        <v>29</v>
      </c>
      <c r="O380" s="13" t="s">
        <v>480</v>
      </c>
      <c r="P380" s="13" t="s">
        <v>548</v>
      </c>
      <c r="Q380" s="13" t="s">
        <v>666</v>
      </c>
      <c r="S380" s="7" t="e">
        <f ca="1">IF(_xludf.ifna(VLOOKUP(B380,Parámetros!#REF!,1,0),"")="","No","Sí")</f>
        <v>#NAME?</v>
      </c>
      <c r="T380" s="7" t="str">
        <f t="shared" si="12"/>
        <v>Normativo</v>
      </c>
      <c r="U380" s="4" t="s">
        <v>195</v>
      </c>
      <c r="V380" s="4" t="s">
        <v>39</v>
      </c>
      <c r="W380" s="4" t="s">
        <v>300</v>
      </c>
      <c r="X380" s="4" t="s">
        <v>301</v>
      </c>
      <c r="Y380" s="4" t="s">
        <v>302</v>
      </c>
      <c r="Z380" s="4">
        <v>2</v>
      </c>
      <c r="AA380" s="4">
        <v>2</v>
      </c>
      <c r="AB380" s="4" t="s">
        <v>180</v>
      </c>
      <c r="AC380">
        <v>379</v>
      </c>
    </row>
    <row r="381" spans="1:29" ht="16.5" hidden="1" customHeight="1" x14ac:dyDescent="0.2">
      <c r="A381" s="6" t="str">
        <f t="shared" si="11"/>
        <v>SDATOOL-40470 $ Mandatorio - Prenda Electrónica</v>
      </c>
      <c r="B381" s="4" t="s">
        <v>2075</v>
      </c>
      <c r="C381" s="4" t="s">
        <v>2076</v>
      </c>
      <c r="D381" s="4" t="s">
        <v>763</v>
      </c>
      <c r="E381" s="4" t="s">
        <v>2077</v>
      </c>
      <c r="F381" s="4" t="s">
        <v>28</v>
      </c>
      <c r="G381" s="4" t="s">
        <v>185</v>
      </c>
      <c r="H381" s="4" t="s">
        <v>752</v>
      </c>
      <c r="J381" s="4" t="s">
        <v>204</v>
      </c>
      <c r="K381" s="4" t="s">
        <v>386</v>
      </c>
      <c r="L381" s="4" t="s">
        <v>189</v>
      </c>
      <c r="M381" s="4" t="s">
        <v>2078</v>
      </c>
      <c r="N381" s="4" t="s">
        <v>29</v>
      </c>
      <c r="O381" s="13" t="s">
        <v>2079</v>
      </c>
      <c r="P381" s="13" t="s">
        <v>2080</v>
      </c>
      <c r="Q381" s="13" t="s">
        <v>580</v>
      </c>
      <c r="R381" s="4" t="s">
        <v>2038</v>
      </c>
      <c r="S381" s="7" t="e">
        <f ca="1">IF(_xludf.ifna(VLOOKUP(B381,Parámetros!#REF!,1,0),"")="","No","Sí")</f>
        <v>#NAME?</v>
      </c>
      <c r="T381" s="7" t="str">
        <f t="shared" si="12"/>
        <v>No normativo</v>
      </c>
      <c r="U381" s="4" t="s">
        <v>224</v>
      </c>
      <c r="V381" s="4" t="s">
        <v>39</v>
      </c>
      <c r="W381" s="4" t="s">
        <v>300</v>
      </c>
      <c r="X381" s="4" t="s">
        <v>301</v>
      </c>
      <c r="Y381" s="4" t="s">
        <v>302</v>
      </c>
      <c r="Z381" s="4">
        <v>0</v>
      </c>
      <c r="AA381" s="4">
        <v>0</v>
      </c>
      <c r="AB381" s="4" t="s">
        <v>215</v>
      </c>
      <c r="AC381">
        <v>380</v>
      </c>
    </row>
    <row r="382" spans="1:29" ht="16.5" customHeight="1" x14ac:dyDescent="0.2">
      <c r="A382" s="6" t="str">
        <f t="shared" si="11"/>
        <v>SDATOOL-40472 $ OPTIMIZACION PREAPROBADOS</v>
      </c>
      <c r="B382" s="4" t="s">
        <v>150</v>
      </c>
      <c r="C382" s="4" t="s">
        <v>2081</v>
      </c>
      <c r="D382" s="4" t="s">
        <v>763</v>
      </c>
      <c r="E382" s="4" t="s">
        <v>2082</v>
      </c>
      <c r="F382" s="4" t="s">
        <v>28</v>
      </c>
      <c r="G382" s="4" t="s">
        <v>185</v>
      </c>
      <c r="H382" s="4" t="s">
        <v>186</v>
      </c>
      <c r="I382" s="4" t="s">
        <v>752</v>
      </c>
      <c r="J382" s="4" t="s">
        <v>204</v>
      </c>
      <c r="K382" s="4" t="s">
        <v>386</v>
      </c>
      <c r="L382" s="4" t="s">
        <v>394</v>
      </c>
      <c r="M382" s="4" t="s">
        <v>2083</v>
      </c>
      <c r="N382" s="4" t="s">
        <v>29</v>
      </c>
      <c r="O382" s="13" t="s">
        <v>2079</v>
      </c>
      <c r="P382" s="13" t="s">
        <v>1299</v>
      </c>
      <c r="Q382" s="13" t="s">
        <v>632</v>
      </c>
      <c r="S382" s="7" t="e">
        <f ca="1">IF(_xludf.ifna(VLOOKUP(B382,Parámetros!#REF!,1,0),"")="","No","Sí")</f>
        <v>#NAME?</v>
      </c>
      <c r="T382" s="7" t="str">
        <f t="shared" si="12"/>
        <v>No normativo</v>
      </c>
      <c r="U382" s="4" t="s">
        <v>732</v>
      </c>
      <c r="V382" s="4" t="s">
        <v>39</v>
      </c>
      <c r="W382" s="4" t="s">
        <v>300</v>
      </c>
      <c r="X382" s="4" t="s">
        <v>301</v>
      </c>
      <c r="Y382" s="4" t="s">
        <v>302</v>
      </c>
      <c r="Z382" s="5">
        <v>137000000</v>
      </c>
      <c r="AA382" s="5">
        <v>411000000</v>
      </c>
      <c r="AB382" s="4" t="s">
        <v>180</v>
      </c>
      <c r="AC382">
        <v>381</v>
      </c>
    </row>
    <row r="383" spans="1:29" ht="16.5" hidden="1" customHeight="1" x14ac:dyDescent="0.2">
      <c r="A383" s="6" t="str">
        <f t="shared" si="11"/>
        <v>SDATOOL-40476 $ Conexión Directa con las Franquicias Visa y Mastercard</v>
      </c>
      <c r="B383" s="4" t="s">
        <v>2084</v>
      </c>
      <c r="C383" s="4" t="s">
        <v>2085</v>
      </c>
      <c r="D383" s="4" t="s">
        <v>763</v>
      </c>
      <c r="E383" s="4" t="s">
        <v>2086</v>
      </c>
      <c r="F383" s="4" t="s">
        <v>28</v>
      </c>
      <c r="G383" s="4" t="s">
        <v>185</v>
      </c>
      <c r="H383" s="4" t="s">
        <v>752</v>
      </c>
      <c r="I383" s="4" t="e">
        <v>#N/A</v>
      </c>
      <c r="J383" s="4" t="s">
        <v>204</v>
      </c>
      <c r="K383" s="4" t="s">
        <v>386</v>
      </c>
      <c r="L383" s="4" t="s">
        <v>394</v>
      </c>
      <c r="M383" s="4" t="s">
        <v>2086</v>
      </c>
      <c r="N383" s="4" t="s">
        <v>36</v>
      </c>
      <c r="O383" s="13" t="s">
        <v>1595</v>
      </c>
      <c r="Q383" s="13" t="s">
        <v>555</v>
      </c>
      <c r="S383" s="7" t="e">
        <f ca="1">IF(_xludf.ifna(VLOOKUP(B383,Parámetros!#REF!,1,0),"")="","No","Sí")</f>
        <v>#NAME?</v>
      </c>
      <c r="T383" s="7" t="str">
        <f t="shared" si="12"/>
        <v>No normativo</v>
      </c>
      <c r="U383" s="4" t="s">
        <v>195</v>
      </c>
      <c r="V383" s="4" t="s">
        <v>39</v>
      </c>
      <c r="W383" s="4" t="s">
        <v>300</v>
      </c>
      <c r="X383" s="4" t="s">
        <v>301</v>
      </c>
      <c r="Y383" s="4" t="s">
        <v>302</v>
      </c>
      <c r="Z383" s="4">
        <v>0</v>
      </c>
      <c r="AA383" s="4">
        <v>0</v>
      </c>
      <c r="AB383" s="4" t="s">
        <v>180</v>
      </c>
      <c r="AC383">
        <v>382</v>
      </c>
    </row>
    <row r="384" spans="1:29" ht="16.5" hidden="1" customHeight="1" x14ac:dyDescent="0.2">
      <c r="A384" s="6" t="str">
        <f t="shared" si="11"/>
        <v>SDATOOL-40477 $ Onboarding digital end to end</v>
      </c>
      <c r="B384" s="4" t="s">
        <v>2087</v>
      </c>
      <c r="C384" s="4" t="s">
        <v>2088</v>
      </c>
      <c r="D384" s="4" t="s">
        <v>763</v>
      </c>
      <c r="E384" s="4" t="s">
        <v>2089</v>
      </c>
      <c r="F384" s="4" t="s">
        <v>28</v>
      </c>
      <c r="G384" s="4" t="s">
        <v>185</v>
      </c>
      <c r="H384" s="4" t="s">
        <v>752</v>
      </c>
      <c r="J384" s="4" t="s">
        <v>204</v>
      </c>
      <c r="K384" s="4" t="s">
        <v>386</v>
      </c>
      <c r="L384" s="4" t="s">
        <v>189</v>
      </c>
      <c r="M384" s="4" t="s">
        <v>2090</v>
      </c>
      <c r="N384" s="4" t="s">
        <v>36</v>
      </c>
      <c r="O384" s="13" t="s">
        <v>1595</v>
      </c>
      <c r="Q384" s="13" t="s">
        <v>555</v>
      </c>
      <c r="S384" s="7" t="e">
        <f ca="1">IF(_xludf.ifna(VLOOKUP(B384,Parámetros!#REF!,1,0),"")="","No","Sí")</f>
        <v>#NAME?</v>
      </c>
      <c r="T384" s="7" t="str">
        <f t="shared" si="12"/>
        <v>No normativo</v>
      </c>
      <c r="U384" s="4" t="s">
        <v>195</v>
      </c>
      <c r="V384" s="4" t="s">
        <v>39</v>
      </c>
      <c r="W384" s="4" t="s">
        <v>300</v>
      </c>
      <c r="X384" s="4" t="s">
        <v>301</v>
      </c>
      <c r="Y384" s="4" t="s">
        <v>755</v>
      </c>
      <c r="Z384" s="4">
        <v>0</v>
      </c>
      <c r="AA384" s="4">
        <v>0</v>
      </c>
      <c r="AB384" s="4" t="s">
        <v>215</v>
      </c>
      <c r="AC384">
        <v>383</v>
      </c>
    </row>
    <row r="385" spans="1:29" ht="16.5" hidden="1" customHeight="1" x14ac:dyDescent="0.2">
      <c r="A385" s="6" t="str">
        <f t="shared" si="11"/>
        <v>SDATOOL-40479 $ Membresía miembro principal - Licencia Visa</v>
      </c>
      <c r="B385" s="4" t="s">
        <v>2091</v>
      </c>
      <c r="C385" s="4" t="s">
        <v>2092</v>
      </c>
      <c r="D385" s="4" t="s">
        <v>763</v>
      </c>
      <c r="E385" s="4" t="s">
        <v>2093</v>
      </c>
      <c r="F385" s="4" t="s">
        <v>28</v>
      </c>
      <c r="G385" s="4" t="s">
        <v>185</v>
      </c>
      <c r="H385" s="4" t="s">
        <v>752</v>
      </c>
      <c r="J385" s="4" t="s">
        <v>204</v>
      </c>
      <c r="K385" s="4" t="s">
        <v>386</v>
      </c>
      <c r="L385" s="4" t="s">
        <v>314</v>
      </c>
      <c r="M385" s="4" t="s">
        <v>2094</v>
      </c>
      <c r="N385" s="4" t="s">
        <v>36</v>
      </c>
      <c r="O385" s="13" t="s">
        <v>1595</v>
      </c>
      <c r="Q385" s="13" t="s">
        <v>555</v>
      </c>
      <c r="S385" s="7" t="e">
        <f ca="1">IF(_xludf.ifna(VLOOKUP(B385,Parámetros!#REF!,1,0),"")="","No","Sí")</f>
        <v>#NAME?</v>
      </c>
      <c r="T385" s="7" t="str">
        <f t="shared" si="12"/>
        <v>No normativo</v>
      </c>
      <c r="U385" s="4" t="s">
        <v>195</v>
      </c>
      <c r="V385" s="4" t="s">
        <v>39</v>
      </c>
      <c r="W385" s="4" t="s">
        <v>300</v>
      </c>
      <c r="X385" s="4" t="s">
        <v>301</v>
      </c>
      <c r="Y385" s="4" t="s">
        <v>302</v>
      </c>
      <c r="Z385" s="4">
        <v>0</v>
      </c>
      <c r="AA385" s="4">
        <v>0</v>
      </c>
      <c r="AB385" s="4" t="s">
        <v>215</v>
      </c>
      <c r="AC385">
        <v>384</v>
      </c>
    </row>
    <row r="386" spans="1:29" ht="16.5" customHeight="1" x14ac:dyDescent="0.2">
      <c r="A386" s="6" t="str">
        <f t="shared" si="11"/>
        <v>SDATOOL-40481 $ DIAN solicitud información exógena a reportar por mandatos FNG - BBVA</v>
      </c>
      <c r="B386" s="4" t="s">
        <v>2095</v>
      </c>
      <c r="C386" s="4" t="s">
        <v>2096</v>
      </c>
      <c r="D386" s="4" t="s">
        <v>763</v>
      </c>
      <c r="E386" s="4" t="s">
        <v>2097</v>
      </c>
      <c r="F386" s="4" t="s">
        <v>28</v>
      </c>
      <c r="G386" s="4" t="s">
        <v>185</v>
      </c>
      <c r="H386" s="4" t="s">
        <v>186</v>
      </c>
      <c r="J386" s="4" t="s">
        <v>204</v>
      </c>
      <c r="K386" s="4" t="s">
        <v>386</v>
      </c>
      <c r="L386" s="4" t="s">
        <v>189</v>
      </c>
      <c r="M386" s="4" t="s">
        <v>540</v>
      </c>
      <c r="N386" s="4" t="s">
        <v>36</v>
      </c>
      <c r="O386" s="13" t="s">
        <v>617</v>
      </c>
      <c r="P386" s="13" t="s">
        <v>1432</v>
      </c>
      <c r="Q386" s="13" t="s">
        <v>456</v>
      </c>
      <c r="R386" s="4" t="s">
        <v>2098</v>
      </c>
      <c r="S386" s="7" t="e">
        <f ca="1">IF(_xludf.ifna(VLOOKUP(B386,Parámetros!#REF!,1,0),"")="","No","Sí")</f>
        <v>#NAME?</v>
      </c>
      <c r="T386" s="7" t="str">
        <f t="shared" si="12"/>
        <v>Normativo</v>
      </c>
      <c r="U386" s="4" t="s">
        <v>224</v>
      </c>
      <c r="V386" s="4" t="s">
        <v>39</v>
      </c>
      <c r="W386" s="4" t="s">
        <v>300</v>
      </c>
      <c r="X386" s="4" t="s">
        <v>301</v>
      </c>
      <c r="Y386" s="4" t="s">
        <v>302</v>
      </c>
      <c r="Z386" s="5">
        <v>68000002</v>
      </c>
      <c r="AA386" s="5">
        <v>34000002</v>
      </c>
      <c r="AB386" s="4" t="s">
        <v>180</v>
      </c>
      <c r="AC386">
        <v>385</v>
      </c>
    </row>
    <row r="387" spans="1:29" ht="16.5" customHeight="1" x14ac:dyDescent="0.2">
      <c r="A387" s="6" t="str">
        <f t="shared" ref="A387:A450" si="13">B387&amp;" $ "&amp;C387</f>
        <v>SDATOOL-40482 $ Incluir tasa ponderada en Adquirencia Onboarding digital - Netcash</v>
      </c>
      <c r="B387" s="4" t="s">
        <v>2099</v>
      </c>
      <c r="C387" s="4" t="s">
        <v>2100</v>
      </c>
      <c r="D387" s="4" t="s">
        <v>763</v>
      </c>
      <c r="E387" s="4" t="s">
        <v>2101</v>
      </c>
      <c r="F387" s="4" t="s">
        <v>28</v>
      </c>
      <c r="G387" s="4" t="s">
        <v>185</v>
      </c>
      <c r="H387" s="4" t="s">
        <v>186</v>
      </c>
      <c r="I387" s="4" t="s">
        <v>752</v>
      </c>
      <c r="J387" s="4" t="s">
        <v>204</v>
      </c>
      <c r="K387" s="4" t="s">
        <v>386</v>
      </c>
      <c r="L387" s="4" t="s">
        <v>189</v>
      </c>
      <c r="M387" s="4" t="s">
        <v>665</v>
      </c>
      <c r="N387" s="4" t="s">
        <v>36</v>
      </c>
      <c r="O387" s="13" t="s">
        <v>1595</v>
      </c>
      <c r="P387" s="13" t="s">
        <v>1235</v>
      </c>
      <c r="Q387" s="13" t="s">
        <v>555</v>
      </c>
      <c r="S387" s="7" t="e">
        <f ca="1">IF(_xludf.ifna(VLOOKUP(B387,Parámetros!#REF!,1,0),"")="","No","Sí")</f>
        <v>#NAME?</v>
      </c>
      <c r="T387" s="7" t="str">
        <f t="shared" ref="T387:T450" si="14">IF(U393="None","No normativo","Normativo")</f>
        <v>No normativo</v>
      </c>
      <c r="U387" s="4" t="s">
        <v>195</v>
      </c>
      <c r="V387" s="4" t="s">
        <v>39</v>
      </c>
      <c r="W387" s="4" t="s">
        <v>233</v>
      </c>
      <c r="X387" s="4" t="s">
        <v>234</v>
      </c>
      <c r="Y387" s="4" t="s">
        <v>667</v>
      </c>
      <c r="Z387" s="5">
        <v>1234000002</v>
      </c>
      <c r="AA387" s="5">
        <v>225000002</v>
      </c>
      <c r="AB387" s="4" t="s">
        <v>180</v>
      </c>
      <c r="AC387">
        <v>386</v>
      </c>
    </row>
    <row r="388" spans="1:29" ht="16.5" hidden="1" customHeight="1" x14ac:dyDescent="0.2">
      <c r="A388" s="6" t="str">
        <f t="shared" si="13"/>
        <v>SDATOOL-40483 $ Incluir cuenta de ahorros en Adquirencia Onboarding digital</v>
      </c>
      <c r="B388" s="4" t="s">
        <v>2102</v>
      </c>
      <c r="C388" s="4" t="s">
        <v>2103</v>
      </c>
      <c r="D388" s="4" t="s">
        <v>763</v>
      </c>
      <c r="E388" s="4" t="s">
        <v>2104</v>
      </c>
      <c r="F388" s="4" t="s">
        <v>28</v>
      </c>
      <c r="G388" s="4" t="s">
        <v>185</v>
      </c>
      <c r="H388" s="4" t="s">
        <v>752</v>
      </c>
      <c r="J388" s="4" t="s">
        <v>204</v>
      </c>
      <c r="K388" s="4" t="s">
        <v>206</v>
      </c>
      <c r="L388" s="4" t="s">
        <v>386</v>
      </c>
      <c r="M388" s="4" t="s">
        <v>2105</v>
      </c>
      <c r="N388" s="4" t="s">
        <v>36</v>
      </c>
      <c r="O388" s="13" t="s">
        <v>1595</v>
      </c>
      <c r="P388" s="13" t="s">
        <v>1235</v>
      </c>
      <c r="Q388" s="13" t="s">
        <v>555</v>
      </c>
      <c r="S388" s="7" t="e">
        <f ca="1">IF(_xludf.ifna(VLOOKUP(B388,Parámetros!#REF!,1,0),"")="","No","Sí")</f>
        <v>#NAME?</v>
      </c>
      <c r="T388" s="7" t="str">
        <f t="shared" si="14"/>
        <v>No normativo</v>
      </c>
      <c r="U388" s="4" t="s">
        <v>195</v>
      </c>
      <c r="V388" s="4" t="s">
        <v>39</v>
      </c>
      <c r="W388" s="4" t="s">
        <v>300</v>
      </c>
      <c r="X388" s="4" t="s">
        <v>301</v>
      </c>
      <c r="Y388" s="4" t="s">
        <v>302</v>
      </c>
      <c r="Z388" s="4">
        <v>0</v>
      </c>
      <c r="AA388" s="4">
        <v>0</v>
      </c>
      <c r="AB388" s="4" t="s">
        <v>215</v>
      </c>
      <c r="AC388">
        <v>387</v>
      </c>
    </row>
    <row r="389" spans="1:29" ht="16.5" hidden="1" customHeight="1" x14ac:dyDescent="0.2">
      <c r="A389" s="6" t="str">
        <f t="shared" si="13"/>
        <v>SDATOOL-40484 $ Incluir franquicia Amex en Adquirencia Onboarding digital</v>
      </c>
      <c r="B389" s="4" t="s">
        <v>2106</v>
      </c>
      <c r="C389" s="4" t="s">
        <v>2107</v>
      </c>
      <c r="D389" s="4" t="s">
        <v>763</v>
      </c>
      <c r="E389" s="4" t="s">
        <v>2107</v>
      </c>
      <c r="F389" s="4" t="s">
        <v>28</v>
      </c>
      <c r="G389" s="4" t="s">
        <v>185</v>
      </c>
      <c r="H389" s="4" t="s">
        <v>752</v>
      </c>
      <c r="J389" s="4" t="s">
        <v>204</v>
      </c>
      <c r="K389" s="4" t="s">
        <v>386</v>
      </c>
      <c r="L389" s="4" t="s">
        <v>189</v>
      </c>
      <c r="M389" s="4" t="s">
        <v>2108</v>
      </c>
      <c r="N389" s="4" t="s">
        <v>36</v>
      </c>
      <c r="O389" s="13" t="s">
        <v>1595</v>
      </c>
      <c r="P389" s="13" t="s">
        <v>1235</v>
      </c>
      <c r="Q389" s="13" t="s">
        <v>555</v>
      </c>
      <c r="S389" s="7" t="e">
        <f ca="1">IF(_xludf.ifna(VLOOKUP(B389,Parámetros!#REF!,1,0),"")="","No","Sí")</f>
        <v>#NAME?</v>
      </c>
      <c r="T389" s="7" t="str">
        <f t="shared" si="14"/>
        <v>Normativo</v>
      </c>
      <c r="U389" s="4" t="s">
        <v>195</v>
      </c>
      <c r="V389" s="4" t="s">
        <v>39</v>
      </c>
      <c r="W389" s="4" t="s">
        <v>300</v>
      </c>
      <c r="X389" s="4" t="s">
        <v>301</v>
      </c>
      <c r="Y389" s="4" t="s">
        <v>302</v>
      </c>
      <c r="Z389" s="4">
        <v>0</v>
      </c>
      <c r="AA389" s="4">
        <v>0</v>
      </c>
      <c r="AB389" s="4" t="s">
        <v>215</v>
      </c>
      <c r="AC389">
        <v>388</v>
      </c>
    </row>
    <row r="390" spans="1:29" ht="16.5" hidden="1" customHeight="1" x14ac:dyDescent="0.2">
      <c r="A390" s="6" t="str">
        <f t="shared" si="13"/>
        <v>SDATOOL-40485 $ Migrar Adquirencia digital Netcash a Glomo</v>
      </c>
      <c r="B390" s="4" t="s">
        <v>2109</v>
      </c>
      <c r="C390" s="4" t="s">
        <v>2110</v>
      </c>
      <c r="D390" s="4" t="s">
        <v>763</v>
      </c>
      <c r="E390" s="4" t="s">
        <v>2110</v>
      </c>
      <c r="F390" s="4" t="s">
        <v>28</v>
      </c>
      <c r="G390" s="4" t="s">
        <v>185</v>
      </c>
      <c r="H390" s="4" t="s">
        <v>752</v>
      </c>
      <c r="J390" s="4" t="s">
        <v>204</v>
      </c>
      <c r="K390" s="4" t="s">
        <v>386</v>
      </c>
      <c r="L390" s="4" t="s">
        <v>314</v>
      </c>
      <c r="M390" s="4" t="s">
        <v>2111</v>
      </c>
      <c r="N390" s="4" t="s">
        <v>36</v>
      </c>
      <c r="O390" s="13" t="s">
        <v>1595</v>
      </c>
      <c r="P390" s="13" t="s">
        <v>1235</v>
      </c>
      <c r="Q390" s="13" t="s">
        <v>555</v>
      </c>
      <c r="S390" s="7" t="e">
        <f ca="1">IF(_xludf.ifna(VLOOKUP(B390,Parámetros!#REF!,1,0),"")="","No","Sí")</f>
        <v>#NAME?</v>
      </c>
      <c r="T390" s="7" t="str">
        <f t="shared" si="14"/>
        <v>Normativo</v>
      </c>
      <c r="U390" s="4" t="s">
        <v>195</v>
      </c>
      <c r="V390" s="4" t="s">
        <v>39</v>
      </c>
      <c r="W390" s="4" t="s">
        <v>300</v>
      </c>
      <c r="X390" s="4" t="s">
        <v>301</v>
      </c>
      <c r="Y390" s="4" t="s">
        <v>302</v>
      </c>
      <c r="Z390" s="4">
        <v>0</v>
      </c>
      <c r="AA390" s="4">
        <v>0</v>
      </c>
      <c r="AB390" s="4" t="s">
        <v>215</v>
      </c>
      <c r="AC390">
        <v>389</v>
      </c>
    </row>
    <row r="391" spans="1:29" ht="16.5" hidden="1" customHeight="1" x14ac:dyDescent="0.2">
      <c r="A391" s="6" t="str">
        <f t="shared" si="13"/>
        <v>SDATOOL-40491 $ Incluir QR entre cuentas originador (parte receptora) y tarjetas</v>
      </c>
      <c r="B391" s="4" t="s">
        <v>2112</v>
      </c>
      <c r="C391" s="4" t="s">
        <v>2113</v>
      </c>
      <c r="D391" s="4" t="s">
        <v>763</v>
      </c>
      <c r="E391" s="4" t="s">
        <v>2114</v>
      </c>
      <c r="F391" s="4" t="s">
        <v>28</v>
      </c>
      <c r="G391" s="4" t="s">
        <v>185</v>
      </c>
      <c r="H391" s="4" t="s">
        <v>752</v>
      </c>
      <c r="I391" s="4" t="e">
        <v>#N/A</v>
      </c>
      <c r="J391" s="4" t="s">
        <v>204</v>
      </c>
      <c r="K391" s="4" t="s">
        <v>206</v>
      </c>
      <c r="L391" s="4" t="s">
        <v>394</v>
      </c>
      <c r="M391" s="4" t="s">
        <v>2115</v>
      </c>
      <c r="N391" s="4" t="s">
        <v>36</v>
      </c>
      <c r="O391" s="13" t="s">
        <v>1595</v>
      </c>
      <c r="P391" s="13" t="s">
        <v>209</v>
      </c>
      <c r="Q391" s="13" t="s">
        <v>555</v>
      </c>
      <c r="S391" s="7" t="e">
        <f ca="1">IF(_xludf.ifna(VLOOKUP(B391,Parámetros!#REF!,1,0),"")="","No","Sí")</f>
        <v>#NAME?</v>
      </c>
      <c r="T391" s="7" t="str">
        <f t="shared" si="14"/>
        <v>Normativo</v>
      </c>
      <c r="U391" s="4" t="s">
        <v>195</v>
      </c>
      <c r="V391" s="4" t="s">
        <v>39</v>
      </c>
      <c r="W391" s="4" t="s">
        <v>300</v>
      </c>
      <c r="X391" s="4" t="s">
        <v>301</v>
      </c>
      <c r="Y391" s="4" t="s">
        <v>302</v>
      </c>
      <c r="Z391" s="4">
        <v>0</v>
      </c>
      <c r="AA391" s="4">
        <v>0</v>
      </c>
      <c r="AB391" s="4" t="s">
        <v>180</v>
      </c>
      <c r="AC391">
        <v>390</v>
      </c>
    </row>
    <row r="392" spans="1:29" ht="16.5" customHeight="1" x14ac:dyDescent="0.2">
      <c r="A392" s="6" t="str">
        <f t="shared" si="13"/>
        <v>SDATOOL-40494 $ Control de cúmulos de seguros para todas las lineas del activo</v>
      </c>
      <c r="B392" s="4" t="s">
        <v>2116</v>
      </c>
      <c r="C392" s="4" t="s">
        <v>2117</v>
      </c>
      <c r="D392" s="4" t="s">
        <v>763</v>
      </c>
      <c r="E392" s="4" t="s">
        <v>2118</v>
      </c>
      <c r="F392" s="4" t="s">
        <v>28</v>
      </c>
      <c r="G392" s="4" t="s">
        <v>185</v>
      </c>
      <c r="H392" s="4" t="s">
        <v>186</v>
      </c>
      <c r="I392" s="4" t="s">
        <v>752</v>
      </c>
      <c r="J392" s="4" t="s">
        <v>204</v>
      </c>
      <c r="K392" s="4" t="s">
        <v>386</v>
      </c>
      <c r="L392" s="4" t="s">
        <v>314</v>
      </c>
      <c r="M392" s="4" t="s">
        <v>2119</v>
      </c>
      <c r="N392" s="4" t="s">
        <v>29</v>
      </c>
      <c r="O392" s="13" t="s">
        <v>1213</v>
      </c>
      <c r="P392" s="13" t="s">
        <v>1712</v>
      </c>
      <c r="Q392" s="13" t="s">
        <v>580</v>
      </c>
      <c r="S392" s="7" t="e">
        <f ca="1">IF(_xludf.ifna(VLOOKUP(B392,Parámetros!#REF!,1,0),"")="","No","Sí")</f>
        <v>#NAME?</v>
      </c>
      <c r="T392" s="7" t="str">
        <f t="shared" si="14"/>
        <v>No normativo</v>
      </c>
      <c r="U392" s="4" t="s">
        <v>1542</v>
      </c>
      <c r="V392" s="4" t="s">
        <v>39</v>
      </c>
      <c r="W392" s="4" t="s">
        <v>300</v>
      </c>
      <c r="X392" s="4" t="s">
        <v>301</v>
      </c>
      <c r="Y392" s="4" t="s">
        <v>755</v>
      </c>
      <c r="Z392" s="5">
        <v>62000000</v>
      </c>
      <c r="AA392" s="5">
        <v>131000000</v>
      </c>
      <c r="AB392" s="4" t="s">
        <v>180</v>
      </c>
      <c r="AC392">
        <v>391</v>
      </c>
    </row>
    <row r="393" spans="1:29" ht="16.5" hidden="1" customHeight="1" x14ac:dyDescent="0.2">
      <c r="A393" s="6" t="str">
        <f t="shared" si="13"/>
        <v>SDATOOL-40495 $ Proyecto Jupiter</v>
      </c>
      <c r="B393" s="4" t="s">
        <v>2120</v>
      </c>
      <c r="C393" s="4" t="s">
        <v>2121</v>
      </c>
      <c r="D393" s="4" t="s">
        <v>763</v>
      </c>
      <c r="E393" s="4" t="s">
        <v>2122</v>
      </c>
      <c r="F393" s="4" t="s">
        <v>28</v>
      </c>
      <c r="G393" s="4" t="s">
        <v>185</v>
      </c>
      <c r="H393" s="4" t="s">
        <v>752</v>
      </c>
      <c r="J393" s="4" t="s">
        <v>187</v>
      </c>
      <c r="K393" s="4" t="s">
        <v>206</v>
      </c>
      <c r="L393" s="4" t="s">
        <v>394</v>
      </c>
      <c r="M393" s="4" t="s">
        <v>2123</v>
      </c>
      <c r="N393" s="4" t="s">
        <v>29</v>
      </c>
      <c r="O393" s="13" t="s">
        <v>480</v>
      </c>
      <c r="P393" s="13" t="s">
        <v>721</v>
      </c>
      <c r="Q393" s="13" t="s">
        <v>574</v>
      </c>
      <c r="S393" s="7" t="e">
        <f ca="1">IF(_xludf.ifna(VLOOKUP(B393,Parámetros!#REF!,1,0),"")="","No","Sí")</f>
        <v>#NAME?</v>
      </c>
      <c r="T393" s="7" t="str">
        <f t="shared" si="14"/>
        <v>No normativo</v>
      </c>
      <c r="U393" s="4" t="s">
        <v>195</v>
      </c>
      <c r="V393" s="4" t="s">
        <v>39</v>
      </c>
      <c r="W393" s="4" t="s">
        <v>233</v>
      </c>
      <c r="X393" s="4" t="s">
        <v>92</v>
      </c>
      <c r="Y393" s="4" t="s">
        <v>481</v>
      </c>
      <c r="Z393" s="4">
        <v>0</v>
      </c>
      <c r="AA393" s="4">
        <v>0</v>
      </c>
      <c r="AB393" s="4" t="s">
        <v>215</v>
      </c>
      <c r="AC393">
        <v>392</v>
      </c>
    </row>
    <row r="394" spans="1:29" ht="16.5" hidden="1" customHeight="1" x14ac:dyDescent="0.2">
      <c r="A394" s="6" t="str">
        <f t="shared" si="13"/>
        <v>SDATOOL-40496 $ Nueva parametría // Bloqueos por Impago</v>
      </c>
      <c r="B394" s="4" t="s">
        <v>2124</v>
      </c>
      <c r="C394" s="4" t="s">
        <v>2125</v>
      </c>
      <c r="D394" s="4" t="s">
        <v>763</v>
      </c>
      <c r="E394" s="4" t="s">
        <v>2126</v>
      </c>
      <c r="F394" s="4" t="s">
        <v>28</v>
      </c>
      <c r="G394" s="4" t="s">
        <v>185</v>
      </c>
      <c r="H394" s="4" t="s">
        <v>752</v>
      </c>
      <c r="J394" s="4" t="s">
        <v>204</v>
      </c>
      <c r="K394" s="4" t="s">
        <v>206</v>
      </c>
      <c r="L394" s="4" t="s">
        <v>386</v>
      </c>
      <c r="M394" s="4" t="s">
        <v>2127</v>
      </c>
      <c r="N394" s="4" t="s">
        <v>22</v>
      </c>
      <c r="O394" s="13" t="s">
        <v>2043</v>
      </c>
      <c r="P394" s="13" t="s">
        <v>1566</v>
      </c>
      <c r="Q394" s="13" t="s">
        <v>555</v>
      </c>
      <c r="S394" s="7" t="e">
        <f ca="1">IF(_xludf.ifna(VLOOKUP(B394,Parámetros!#REF!,1,0),"")="","No","Sí")</f>
        <v>#NAME?</v>
      </c>
      <c r="T394" s="7" t="str">
        <f t="shared" si="14"/>
        <v>No normativo</v>
      </c>
      <c r="U394" s="4" t="s">
        <v>195</v>
      </c>
      <c r="V394" s="4" t="s">
        <v>39</v>
      </c>
      <c r="W394" s="4" t="s">
        <v>196</v>
      </c>
      <c r="X394" s="4" t="s">
        <v>271</v>
      </c>
      <c r="Y394" s="4" t="s">
        <v>2128</v>
      </c>
      <c r="Z394" s="4">
        <v>0</v>
      </c>
      <c r="AA394" s="4">
        <v>0</v>
      </c>
      <c r="AB394" s="4" t="s">
        <v>215</v>
      </c>
      <c r="AC394">
        <v>393</v>
      </c>
    </row>
    <row r="395" spans="1:29" ht="16.5" hidden="1" customHeight="1" x14ac:dyDescent="0.2">
      <c r="A395" s="6" t="str">
        <f t="shared" si="13"/>
        <v>SDATOOL-40497 $ Ajuste en los ATM´s propios con software MultiVendor para que genere el cobro de los Avances sin tarjeta (Visa y Master)</v>
      </c>
      <c r="B395" s="4" t="s">
        <v>2129</v>
      </c>
      <c r="C395" s="4" t="s">
        <v>2130</v>
      </c>
      <c r="D395" s="4" t="s">
        <v>763</v>
      </c>
      <c r="E395" s="4" t="s">
        <v>2131</v>
      </c>
      <c r="F395" s="4" t="s">
        <v>28</v>
      </c>
      <c r="G395" s="4" t="s">
        <v>185</v>
      </c>
      <c r="H395" s="4" t="s">
        <v>752</v>
      </c>
      <c r="J395" s="4" t="s">
        <v>204</v>
      </c>
      <c r="K395" s="4" t="s">
        <v>386</v>
      </c>
      <c r="L395" s="4" t="s">
        <v>386</v>
      </c>
      <c r="M395" s="4" t="s">
        <v>2132</v>
      </c>
      <c r="N395" s="4" t="s">
        <v>22</v>
      </c>
      <c r="O395" s="13" t="s">
        <v>2043</v>
      </c>
      <c r="P395" s="13" t="s">
        <v>2133</v>
      </c>
      <c r="Q395" s="13" t="s">
        <v>555</v>
      </c>
      <c r="S395" s="7" t="e">
        <f ca="1">IF(_xludf.ifna(VLOOKUP(B395,Parámetros!#REF!,1,0),"")="","No","Sí")</f>
        <v>#NAME?</v>
      </c>
      <c r="T395" s="7" t="str">
        <f t="shared" si="14"/>
        <v>No normativo</v>
      </c>
      <c r="U395" s="4" t="s">
        <v>1630</v>
      </c>
      <c r="V395" s="4" t="s">
        <v>39</v>
      </c>
      <c r="W395" s="4" t="s">
        <v>196</v>
      </c>
      <c r="X395" s="4" t="s">
        <v>271</v>
      </c>
      <c r="Y395" s="4" t="s">
        <v>582</v>
      </c>
      <c r="Z395" s="4">
        <v>0</v>
      </c>
      <c r="AA395" s="4">
        <v>0</v>
      </c>
      <c r="AB395" s="4" t="s">
        <v>215</v>
      </c>
      <c r="AC395">
        <v>394</v>
      </c>
    </row>
    <row r="396" spans="1:29" ht="16.5" hidden="1" customHeight="1" x14ac:dyDescent="0.2">
      <c r="A396" s="6" t="str">
        <f t="shared" si="13"/>
        <v>SDATOOL-40498 $ Autogestión Tarjeta de Crédito en Glomo</v>
      </c>
      <c r="B396" s="4" t="s">
        <v>2134</v>
      </c>
      <c r="C396" s="4" t="s">
        <v>2135</v>
      </c>
      <c r="D396" s="4" t="s">
        <v>763</v>
      </c>
      <c r="E396" s="4" t="s">
        <v>2136</v>
      </c>
      <c r="F396" s="4" t="s">
        <v>28</v>
      </c>
      <c r="G396" s="4" t="s">
        <v>185</v>
      </c>
      <c r="H396" s="4" t="s">
        <v>752</v>
      </c>
      <c r="J396" s="4" t="s">
        <v>204</v>
      </c>
      <c r="K396" s="4" t="s">
        <v>386</v>
      </c>
      <c r="L396" s="4" t="s">
        <v>189</v>
      </c>
      <c r="M396" s="4" t="s">
        <v>2137</v>
      </c>
      <c r="N396" s="4" t="s">
        <v>22</v>
      </c>
      <c r="O396" s="13" t="s">
        <v>480</v>
      </c>
      <c r="P396" s="13" t="s">
        <v>2138</v>
      </c>
      <c r="Q396" s="13" t="s">
        <v>555</v>
      </c>
      <c r="S396" s="7" t="e">
        <f ca="1">IF(_xludf.ifna(VLOOKUP(B396,Parámetros!#REF!,1,0),"")="","No","Sí")</f>
        <v>#NAME?</v>
      </c>
      <c r="T396" s="7" t="str">
        <f t="shared" si="14"/>
        <v>No normativo</v>
      </c>
      <c r="U396" s="4" t="s">
        <v>732</v>
      </c>
      <c r="V396" s="4" t="s">
        <v>39</v>
      </c>
      <c r="W396" s="4" t="s">
        <v>196</v>
      </c>
      <c r="X396" s="4" t="s">
        <v>197</v>
      </c>
      <c r="Y396" s="4" t="s">
        <v>688</v>
      </c>
      <c r="Z396" s="4">
        <v>0</v>
      </c>
      <c r="AA396" s="4">
        <v>0</v>
      </c>
      <c r="AB396" s="4" t="s">
        <v>215</v>
      </c>
      <c r="AC396">
        <v>395</v>
      </c>
    </row>
    <row r="397" spans="1:29" ht="16.5" hidden="1" customHeight="1" x14ac:dyDescent="0.2">
      <c r="A397" s="6" t="str">
        <f t="shared" si="13"/>
        <v>SDATOOL-40499 $ Ajustar Rediferidos en BBVA NET</v>
      </c>
      <c r="B397" s="4" t="s">
        <v>2139</v>
      </c>
      <c r="C397" s="4" t="s">
        <v>2140</v>
      </c>
      <c r="D397" s="4" t="s">
        <v>763</v>
      </c>
      <c r="E397" s="4" t="s">
        <v>2141</v>
      </c>
      <c r="F397" s="4" t="s">
        <v>28</v>
      </c>
      <c r="G397" s="4" t="s">
        <v>185</v>
      </c>
      <c r="H397" s="4" t="s">
        <v>203</v>
      </c>
      <c r="J397" s="4" t="s">
        <v>204</v>
      </c>
      <c r="K397" s="4" t="s">
        <v>206</v>
      </c>
      <c r="L397" s="4" t="s">
        <v>206</v>
      </c>
      <c r="M397" s="4" t="s">
        <v>2142</v>
      </c>
      <c r="N397" s="4" t="s">
        <v>22</v>
      </c>
      <c r="O397" s="13" t="s">
        <v>2043</v>
      </c>
      <c r="P397" s="13" t="s">
        <v>1566</v>
      </c>
      <c r="Q397" s="13" t="s">
        <v>555</v>
      </c>
      <c r="S397" s="7" t="e">
        <f ca="1">IF(_xludf.ifna(VLOOKUP(B397,Parámetros!#REF!,1,0),"")="","No","Sí")</f>
        <v>#NAME?</v>
      </c>
      <c r="T397" s="7" t="str">
        <f t="shared" si="14"/>
        <v>No normativo</v>
      </c>
      <c r="U397" s="4" t="s">
        <v>1542</v>
      </c>
      <c r="V397" s="4" t="s">
        <v>39</v>
      </c>
      <c r="W397" s="4" t="s">
        <v>196</v>
      </c>
      <c r="X397" s="4" t="s">
        <v>271</v>
      </c>
      <c r="Y397" s="4" t="s">
        <v>2128</v>
      </c>
      <c r="Z397" s="4">
        <v>0</v>
      </c>
      <c r="AA397" s="4">
        <v>0</v>
      </c>
      <c r="AB397" s="4" t="s">
        <v>215</v>
      </c>
      <c r="AC397">
        <v>396</v>
      </c>
    </row>
    <row r="398" spans="1:29" ht="16.5" hidden="1" customHeight="1" x14ac:dyDescent="0.2">
      <c r="A398" s="6" t="str">
        <f t="shared" si="13"/>
        <v>SDATOOL-40501 $ MGM - Member Get Member</v>
      </c>
      <c r="B398" s="4" t="s">
        <v>2143</v>
      </c>
      <c r="C398" s="4" t="s">
        <v>2144</v>
      </c>
      <c r="D398" s="4" t="s">
        <v>763</v>
      </c>
      <c r="E398" s="4" t="s">
        <v>2145</v>
      </c>
      <c r="F398" s="4" t="s">
        <v>28</v>
      </c>
      <c r="G398" s="4" t="s">
        <v>185</v>
      </c>
      <c r="H398" s="4" t="s">
        <v>752</v>
      </c>
      <c r="J398" s="4" t="s">
        <v>204</v>
      </c>
      <c r="K398" s="4" t="s">
        <v>206</v>
      </c>
      <c r="L398" s="4" t="s">
        <v>386</v>
      </c>
      <c r="M398" s="4" t="s">
        <v>2146</v>
      </c>
      <c r="N398" s="4" t="s">
        <v>29</v>
      </c>
      <c r="O398" s="13" t="s">
        <v>2147</v>
      </c>
      <c r="P398" s="13" t="s">
        <v>701</v>
      </c>
      <c r="R398" s="4" t="s">
        <v>2148</v>
      </c>
      <c r="S398" s="7" t="e">
        <f ca="1">IF(_xludf.ifna(VLOOKUP(B398,Parámetros!#REF!,1,0),"")="","No","Sí")</f>
        <v>#NAME?</v>
      </c>
      <c r="T398" s="7" t="str">
        <f t="shared" si="14"/>
        <v>No normativo</v>
      </c>
      <c r="U398" s="4" t="s">
        <v>195</v>
      </c>
      <c r="V398" s="4" t="s">
        <v>39</v>
      </c>
      <c r="W398" s="4" t="s">
        <v>233</v>
      </c>
      <c r="X398" s="4" t="s">
        <v>92</v>
      </c>
      <c r="Y398" s="4" t="s">
        <v>2149</v>
      </c>
      <c r="Z398" s="4">
        <v>0</v>
      </c>
      <c r="AA398" s="4">
        <v>0</v>
      </c>
      <c r="AB398" s="4" t="s">
        <v>215</v>
      </c>
      <c r="AC398">
        <v>397</v>
      </c>
    </row>
    <row r="399" spans="1:29" ht="16.5" hidden="1" customHeight="1" x14ac:dyDescent="0.2">
      <c r="A399" s="6" t="str">
        <f t="shared" si="13"/>
        <v>SDATOOL-40504 $ Cuenta digital pensional</v>
      </c>
      <c r="B399" s="4" t="s">
        <v>2150</v>
      </c>
      <c r="C399" s="4" t="s">
        <v>2151</v>
      </c>
      <c r="D399" s="4" t="s">
        <v>763</v>
      </c>
      <c r="E399" s="4" t="s">
        <v>2152</v>
      </c>
      <c r="F399" s="4" t="s">
        <v>28</v>
      </c>
      <c r="G399" s="4" t="s">
        <v>185</v>
      </c>
      <c r="H399" s="4" t="s">
        <v>203</v>
      </c>
      <c r="J399" s="4" t="s">
        <v>187</v>
      </c>
      <c r="K399" s="4" t="s">
        <v>206</v>
      </c>
      <c r="L399" s="4" t="s">
        <v>206</v>
      </c>
      <c r="M399" s="4" t="s">
        <v>2153</v>
      </c>
      <c r="N399" s="4" t="s">
        <v>29</v>
      </c>
      <c r="O399" s="13" t="s">
        <v>1801</v>
      </c>
      <c r="P399" s="13" t="s">
        <v>2080</v>
      </c>
      <c r="S399" s="7" t="e">
        <f ca="1">IF(_xludf.ifna(VLOOKUP(B399,Parámetros!#REF!,1,0),"")="","No","Sí")</f>
        <v>#NAME?</v>
      </c>
      <c r="T399" s="7" t="str">
        <f t="shared" si="14"/>
        <v>No normativo</v>
      </c>
      <c r="U399" s="4" t="s">
        <v>195</v>
      </c>
      <c r="V399" s="4" t="s">
        <v>39</v>
      </c>
      <c r="W399" s="4" t="s">
        <v>233</v>
      </c>
      <c r="X399" s="4" t="s">
        <v>234</v>
      </c>
      <c r="Y399" s="4" t="s">
        <v>2154</v>
      </c>
      <c r="Z399" s="4">
        <v>0</v>
      </c>
      <c r="AA399" s="4">
        <v>0</v>
      </c>
      <c r="AB399" s="4" t="s">
        <v>215</v>
      </c>
      <c r="AC399">
        <v>398</v>
      </c>
    </row>
    <row r="400" spans="1:29" ht="16.5" hidden="1" customHeight="1" x14ac:dyDescent="0.2">
      <c r="A400" s="6" t="str">
        <f t="shared" si="13"/>
        <v>SDATOOL-40505 $ Desarrollo de TX en ATM recicladores</v>
      </c>
      <c r="B400" s="4" t="s">
        <v>2155</v>
      </c>
      <c r="C400" s="4" t="s">
        <v>2156</v>
      </c>
      <c r="D400" s="4" t="s">
        <v>763</v>
      </c>
      <c r="E400" s="4" t="s">
        <v>2157</v>
      </c>
      <c r="F400" s="4" t="s">
        <v>28</v>
      </c>
      <c r="G400" s="4" t="s">
        <v>185</v>
      </c>
      <c r="H400" s="4" t="s">
        <v>752</v>
      </c>
      <c r="I400" s="4" t="e">
        <v>#N/A</v>
      </c>
      <c r="J400" s="4" t="s">
        <v>187</v>
      </c>
      <c r="K400" s="4" t="s">
        <v>386</v>
      </c>
      <c r="L400" s="4" t="s">
        <v>394</v>
      </c>
      <c r="M400" s="4" t="s">
        <v>2158</v>
      </c>
      <c r="N400" s="4" t="s">
        <v>36</v>
      </c>
      <c r="O400" s="13" t="s">
        <v>794</v>
      </c>
      <c r="P400" s="13" t="s">
        <v>413</v>
      </c>
      <c r="Q400" s="13" t="s">
        <v>638</v>
      </c>
      <c r="S400" s="7" t="e">
        <f ca="1">IF(_xludf.ifna(VLOOKUP(B400,Parámetros!#REF!,1,0),"")="","No","Sí")</f>
        <v>#NAME?</v>
      </c>
      <c r="T400" s="7" t="str">
        <f t="shared" si="14"/>
        <v>No normativo</v>
      </c>
      <c r="U400" s="4" t="s">
        <v>195</v>
      </c>
      <c r="V400" s="4" t="s">
        <v>39</v>
      </c>
      <c r="W400" s="4" t="s">
        <v>300</v>
      </c>
      <c r="X400" s="4" t="s">
        <v>562</v>
      </c>
      <c r="Y400" s="4" t="s">
        <v>1304</v>
      </c>
      <c r="Z400" s="4">
        <v>0</v>
      </c>
      <c r="AA400" s="4">
        <v>0</v>
      </c>
      <c r="AB400" s="4" t="s">
        <v>180</v>
      </c>
      <c r="AC400">
        <v>399</v>
      </c>
    </row>
    <row r="401" spans="1:29" ht="16.5" hidden="1" customHeight="1" x14ac:dyDescent="0.2">
      <c r="A401" s="6" t="str">
        <f t="shared" si="13"/>
        <v>SDATOOL-40506 $ Disponibilidad de canales físicos en móvil y página blanca</v>
      </c>
      <c r="B401" s="4" t="s">
        <v>2159</v>
      </c>
      <c r="C401" s="4" t="s">
        <v>2160</v>
      </c>
      <c r="D401" s="4" t="s">
        <v>763</v>
      </c>
      <c r="E401" s="4" t="s">
        <v>2161</v>
      </c>
      <c r="F401" s="4" t="s">
        <v>28</v>
      </c>
      <c r="G401" s="4" t="s">
        <v>185</v>
      </c>
      <c r="H401" s="4" t="s">
        <v>752</v>
      </c>
      <c r="J401" s="4" t="s">
        <v>187</v>
      </c>
      <c r="K401" s="4" t="s">
        <v>386</v>
      </c>
      <c r="L401" s="4" t="s">
        <v>394</v>
      </c>
      <c r="M401" s="4" t="s">
        <v>2162</v>
      </c>
      <c r="N401" s="4" t="s">
        <v>36</v>
      </c>
      <c r="O401" s="13" t="s">
        <v>794</v>
      </c>
      <c r="P401" s="13" t="s">
        <v>413</v>
      </c>
      <c r="Q401" s="13" t="s">
        <v>1033</v>
      </c>
      <c r="S401" s="7" t="e">
        <f ca="1">IF(_xludf.ifna(VLOOKUP(B401,Parámetros!#REF!,1,0),"")="","No","Sí")</f>
        <v>#NAME?</v>
      </c>
      <c r="T401" s="7" t="str">
        <f t="shared" si="14"/>
        <v>No normativo</v>
      </c>
      <c r="U401" s="4" t="s">
        <v>195</v>
      </c>
      <c r="V401" s="4" t="s">
        <v>39</v>
      </c>
      <c r="W401" s="4" t="s">
        <v>196</v>
      </c>
      <c r="X401" s="4" t="s">
        <v>426</v>
      </c>
      <c r="Y401" s="4" t="s">
        <v>2163</v>
      </c>
      <c r="Z401" s="4">
        <v>0</v>
      </c>
      <c r="AA401" s="4">
        <v>0</v>
      </c>
      <c r="AB401" s="4" t="s">
        <v>215</v>
      </c>
      <c r="AC401">
        <v>400</v>
      </c>
    </row>
    <row r="402" spans="1:29" ht="16.5" hidden="1" customHeight="1" x14ac:dyDescent="0.2">
      <c r="A402" s="6" t="str">
        <f t="shared" si="13"/>
        <v>SDATOOL-40507 $ 1.1 Changes to Support Extended STIP Reason Code Field</v>
      </c>
      <c r="B402" s="4" t="s">
        <v>2164</v>
      </c>
      <c r="C402" s="4" t="s">
        <v>2165</v>
      </c>
      <c r="D402" s="4" t="s">
        <v>763</v>
      </c>
      <c r="E402" s="4" t="s">
        <v>2166</v>
      </c>
      <c r="F402" s="4" t="s">
        <v>28</v>
      </c>
      <c r="G402" s="4" t="s">
        <v>185</v>
      </c>
      <c r="H402" s="4" t="s">
        <v>752</v>
      </c>
      <c r="J402" s="4" t="s">
        <v>204</v>
      </c>
      <c r="K402" s="4" t="s">
        <v>386</v>
      </c>
      <c r="L402" s="4" t="s">
        <v>386</v>
      </c>
      <c r="M402" s="4" t="s">
        <v>2167</v>
      </c>
      <c r="N402" s="4" t="s">
        <v>15</v>
      </c>
      <c r="O402" s="13" t="s">
        <v>2043</v>
      </c>
      <c r="P402" s="13" t="s">
        <v>2168</v>
      </c>
      <c r="Q402" s="13" t="s">
        <v>555</v>
      </c>
      <c r="S402" s="7" t="e">
        <f ca="1">IF(_xludf.ifna(VLOOKUP(B402,Parámetros!#REF!,1,0),"")="","No","Sí")</f>
        <v>#NAME?</v>
      </c>
      <c r="T402" s="7" t="str">
        <f t="shared" si="14"/>
        <v>Normativo</v>
      </c>
      <c r="U402" s="4" t="s">
        <v>195</v>
      </c>
      <c r="V402" s="4" t="s">
        <v>39</v>
      </c>
      <c r="W402" s="4" t="s">
        <v>212</v>
      </c>
      <c r="X402" s="4" t="s">
        <v>213</v>
      </c>
      <c r="Y402" s="4" t="s">
        <v>214</v>
      </c>
      <c r="Z402" s="4">
        <v>0</v>
      </c>
      <c r="AA402" s="4">
        <v>0</v>
      </c>
      <c r="AB402" s="4" t="s">
        <v>215</v>
      </c>
      <c r="AC402">
        <v>401</v>
      </c>
    </row>
    <row r="403" spans="1:29" ht="16.5" hidden="1" customHeight="1" x14ac:dyDescent="0.2">
      <c r="A403" s="6" t="str">
        <f t="shared" si="13"/>
        <v>SDATOOL-40508 $ 10.1.1. Autorizaciones parciales</v>
      </c>
      <c r="B403" s="4" t="s">
        <v>2169</v>
      </c>
      <c r="C403" s="4" t="s">
        <v>2170</v>
      </c>
      <c r="D403" s="4" t="s">
        <v>763</v>
      </c>
      <c r="E403" s="4" t="s">
        <v>2171</v>
      </c>
      <c r="F403" s="4" t="s">
        <v>28</v>
      </c>
      <c r="G403" s="4" t="s">
        <v>185</v>
      </c>
      <c r="H403" s="4" t="s">
        <v>752</v>
      </c>
      <c r="J403" s="4" t="s">
        <v>204</v>
      </c>
      <c r="K403" s="4" t="s">
        <v>386</v>
      </c>
      <c r="L403" s="4" t="s">
        <v>386</v>
      </c>
      <c r="M403" s="4" t="s">
        <v>2172</v>
      </c>
      <c r="N403" s="4" t="s">
        <v>15</v>
      </c>
      <c r="O403" s="13" t="s">
        <v>2043</v>
      </c>
      <c r="P403" s="13" t="s">
        <v>2168</v>
      </c>
      <c r="Q403" s="13" t="s">
        <v>555</v>
      </c>
      <c r="S403" s="7" t="e">
        <f ca="1">IF(_xludf.ifna(VLOOKUP(B403,Parámetros!#REF!,1,0),"")="","No","Sí")</f>
        <v>#NAME?</v>
      </c>
      <c r="T403" s="7" t="str">
        <f t="shared" si="14"/>
        <v>No normativo</v>
      </c>
      <c r="U403" s="4" t="s">
        <v>195</v>
      </c>
      <c r="V403" s="4" t="s">
        <v>39</v>
      </c>
      <c r="W403" s="4" t="s">
        <v>196</v>
      </c>
      <c r="X403" s="4" t="s">
        <v>246</v>
      </c>
      <c r="Y403" s="4" t="s">
        <v>265</v>
      </c>
      <c r="Z403" s="4">
        <v>0</v>
      </c>
      <c r="AA403" s="4">
        <v>0</v>
      </c>
      <c r="AB403" s="4" t="s">
        <v>215</v>
      </c>
      <c r="AC403">
        <v>402</v>
      </c>
    </row>
    <row r="404" spans="1:29" ht="16.5" hidden="1" customHeight="1" x14ac:dyDescent="0.2">
      <c r="A404" s="6" t="str">
        <f t="shared" si="13"/>
        <v>SDATOOL-40509 $ Incluir campo del contrato y portafolio de la TDC en el archivo GOF.S0709.MPM0500.D1001014.TD0010.TXT</v>
      </c>
      <c r="B404" s="4" t="s">
        <v>2173</v>
      </c>
      <c r="C404" s="4" t="s">
        <v>2174</v>
      </c>
      <c r="D404" s="4" t="s">
        <v>763</v>
      </c>
      <c r="E404" s="4" t="s">
        <v>2175</v>
      </c>
      <c r="F404" s="4" t="s">
        <v>28</v>
      </c>
      <c r="G404" s="4" t="s">
        <v>185</v>
      </c>
      <c r="H404" s="4" t="s">
        <v>752</v>
      </c>
      <c r="J404" s="4" t="s">
        <v>204</v>
      </c>
      <c r="K404" s="4" t="s">
        <v>386</v>
      </c>
      <c r="L404" s="4" t="s">
        <v>386</v>
      </c>
      <c r="M404" s="4" t="s">
        <v>2176</v>
      </c>
      <c r="N404" s="4" t="s">
        <v>15</v>
      </c>
      <c r="O404" s="13" t="s">
        <v>2043</v>
      </c>
      <c r="P404" s="13" t="s">
        <v>2133</v>
      </c>
      <c r="Q404" s="13" t="s">
        <v>555</v>
      </c>
      <c r="S404" s="7" t="e">
        <f ca="1">IF(_xludf.ifna(VLOOKUP(B404,Parámetros!#REF!,1,0),"")="","No","Sí")</f>
        <v>#NAME?</v>
      </c>
      <c r="T404" s="7" t="str">
        <f t="shared" si="14"/>
        <v>No normativo</v>
      </c>
      <c r="U404" s="4" t="s">
        <v>195</v>
      </c>
      <c r="V404" s="4" t="s">
        <v>39</v>
      </c>
      <c r="W404" s="4" t="s">
        <v>196</v>
      </c>
      <c r="X404" s="4" t="s">
        <v>246</v>
      </c>
      <c r="Y404" s="4" t="s">
        <v>265</v>
      </c>
      <c r="Z404" s="4">
        <v>0</v>
      </c>
      <c r="AA404" s="4">
        <v>0</v>
      </c>
      <c r="AB404" s="4" t="s">
        <v>215</v>
      </c>
      <c r="AC404">
        <v>403</v>
      </c>
    </row>
    <row r="405" spans="1:29" ht="16.5" hidden="1" customHeight="1" x14ac:dyDescent="0.2">
      <c r="A405" s="6" t="str">
        <f t="shared" si="13"/>
        <v>SDATOOL-40510 $ 2.3. Mandate to Support CAVV Usage 3 Version 7 for EMV 3DS</v>
      </c>
      <c r="B405" s="4" t="s">
        <v>2177</v>
      </c>
      <c r="C405" s="4" t="s">
        <v>2178</v>
      </c>
      <c r="D405" s="4" t="s">
        <v>763</v>
      </c>
      <c r="E405" s="4" t="s">
        <v>2179</v>
      </c>
      <c r="F405" s="4" t="s">
        <v>28</v>
      </c>
      <c r="G405" s="4" t="s">
        <v>185</v>
      </c>
      <c r="H405" s="4" t="s">
        <v>752</v>
      </c>
      <c r="J405" s="4" t="s">
        <v>204</v>
      </c>
      <c r="K405" s="4" t="s">
        <v>386</v>
      </c>
      <c r="L405" s="4" t="s">
        <v>386</v>
      </c>
      <c r="M405" s="4" t="s">
        <v>2180</v>
      </c>
      <c r="N405" s="4" t="s">
        <v>15</v>
      </c>
      <c r="O405" s="13" t="s">
        <v>2043</v>
      </c>
      <c r="P405" s="13" t="s">
        <v>2133</v>
      </c>
      <c r="Q405" s="13" t="s">
        <v>555</v>
      </c>
      <c r="S405" s="7" t="e">
        <f ca="1">IF(_xludf.ifna(VLOOKUP(B405,Parámetros!#REF!,1,0),"")="","No","Sí")</f>
        <v>#NAME?</v>
      </c>
      <c r="T405" s="7" t="str">
        <f t="shared" si="14"/>
        <v>No normativo</v>
      </c>
      <c r="U405" s="4" t="s">
        <v>195</v>
      </c>
      <c r="V405" s="4" t="s">
        <v>39</v>
      </c>
      <c r="W405" s="4" t="s">
        <v>196</v>
      </c>
      <c r="X405" s="4" t="s">
        <v>246</v>
      </c>
      <c r="Y405" s="4" t="s">
        <v>265</v>
      </c>
      <c r="Z405" s="4">
        <v>0</v>
      </c>
      <c r="AA405" s="4">
        <v>0</v>
      </c>
      <c r="AB405" s="4" t="s">
        <v>215</v>
      </c>
      <c r="AC405">
        <v>404</v>
      </c>
    </row>
    <row r="406" spans="1:29" ht="16.5" hidden="1" customHeight="1" x14ac:dyDescent="0.2">
      <c r="A406" s="6" t="str">
        <f t="shared" si="13"/>
        <v>SDATOOL-40511 $ Automatizacion de exoneracion de cuota de manejo de TdC por Reto Transaccional</v>
      </c>
      <c r="B406" s="4" t="s">
        <v>2181</v>
      </c>
      <c r="C406" s="4" t="s">
        <v>2182</v>
      </c>
      <c r="D406" s="4" t="s">
        <v>763</v>
      </c>
      <c r="E406" s="4" t="s">
        <v>2183</v>
      </c>
      <c r="F406" s="4" t="s">
        <v>28</v>
      </c>
      <c r="G406" s="4" t="s">
        <v>185</v>
      </c>
      <c r="H406" s="4" t="s">
        <v>752</v>
      </c>
      <c r="J406" s="4" t="s">
        <v>204</v>
      </c>
      <c r="K406" s="4" t="s">
        <v>386</v>
      </c>
      <c r="L406" s="4" t="s">
        <v>386</v>
      </c>
      <c r="M406" s="4" t="s">
        <v>2184</v>
      </c>
      <c r="N406" s="4" t="s">
        <v>22</v>
      </c>
      <c r="O406" s="13" t="s">
        <v>480</v>
      </c>
      <c r="P406" s="13" t="s">
        <v>2133</v>
      </c>
      <c r="Q406" s="13" t="s">
        <v>555</v>
      </c>
      <c r="S406" s="7" t="e">
        <f ca="1">IF(_xludf.ifna(VLOOKUP(B406,Parámetros!#REF!,1,0),"")="","No","Sí")</f>
        <v>#NAME?</v>
      </c>
      <c r="T406" s="7" t="str">
        <f t="shared" si="14"/>
        <v>No normativo</v>
      </c>
      <c r="U406" s="4" t="s">
        <v>195</v>
      </c>
      <c r="V406" s="4" t="s">
        <v>39</v>
      </c>
      <c r="W406" s="4" t="s">
        <v>233</v>
      </c>
      <c r="X406" s="4" t="s">
        <v>92</v>
      </c>
      <c r="Y406" s="4" t="s">
        <v>2185</v>
      </c>
      <c r="Z406" s="4">
        <v>0</v>
      </c>
      <c r="AA406" s="4">
        <v>0</v>
      </c>
      <c r="AB406" s="4" t="s">
        <v>215</v>
      </c>
      <c r="AC406">
        <v>405</v>
      </c>
    </row>
    <row r="407" spans="1:29" ht="16.5" hidden="1" customHeight="1" x14ac:dyDescent="0.2">
      <c r="A407" s="6" t="str">
        <f t="shared" si="13"/>
        <v>SDATOOL-40512 $ AJUSTE PREAPROBADOS CONSUMO HOST</v>
      </c>
      <c r="B407" s="4" t="s">
        <v>2186</v>
      </c>
      <c r="C407" s="4" t="s">
        <v>2187</v>
      </c>
      <c r="D407" s="4" t="s">
        <v>763</v>
      </c>
      <c r="E407" s="4" t="s">
        <v>2188</v>
      </c>
      <c r="F407" s="4" t="s">
        <v>28</v>
      </c>
      <c r="G407" s="4" t="s">
        <v>185</v>
      </c>
      <c r="H407" s="4" t="s">
        <v>752</v>
      </c>
      <c r="J407" s="4" t="s">
        <v>204</v>
      </c>
      <c r="K407" s="4" t="s">
        <v>206</v>
      </c>
      <c r="L407" s="4" t="s">
        <v>189</v>
      </c>
      <c r="M407" s="4" t="s">
        <v>2083</v>
      </c>
      <c r="N407" s="4" t="s">
        <v>29</v>
      </c>
      <c r="O407" s="13" t="s">
        <v>2079</v>
      </c>
      <c r="P407" s="13" t="s">
        <v>1299</v>
      </c>
      <c r="Q407" s="13" t="s">
        <v>2189</v>
      </c>
      <c r="S407" s="7" t="e">
        <f ca="1">IF(_xludf.ifna(VLOOKUP(B407,Parámetros!#REF!,1,0),"")="","No","Sí")</f>
        <v>#NAME?</v>
      </c>
      <c r="T407" s="7" t="str">
        <f t="shared" si="14"/>
        <v>No normativo</v>
      </c>
      <c r="U407" s="4" t="s">
        <v>195</v>
      </c>
      <c r="V407" s="4" t="s">
        <v>39</v>
      </c>
      <c r="W407" s="4" t="s">
        <v>300</v>
      </c>
      <c r="X407" s="4" t="s">
        <v>301</v>
      </c>
      <c r="Y407" s="4" t="s">
        <v>302</v>
      </c>
      <c r="Z407" s="4">
        <v>0</v>
      </c>
      <c r="AA407" s="4">
        <v>0</v>
      </c>
      <c r="AB407" s="4" t="s">
        <v>215</v>
      </c>
      <c r="AC407">
        <v>406</v>
      </c>
    </row>
    <row r="408" spans="1:29" ht="16.5" hidden="1" customHeight="1" x14ac:dyDescent="0.2">
      <c r="A408" s="6" t="str">
        <f t="shared" si="13"/>
        <v>SDATOOL-40513 $ Glomo: Contratación de tarjeta amparada desde la App</v>
      </c>
      <c r="B408" s="4" t="s">
        <v>2190</v>
      </c>
      <c r="C408" s="4" t="s">
        <v>2191</v>
      </c>
      <c r="D408" s="4" t="s">
        <v>763</v>
      </c>
      <c r="E408" s="4" t="s">
        <v>2192</v>
      </c>
      <c r="F408" s="4" t="s">
        <v>28</v>
      </c>
      <c r="G408" s="4" t="s">
        <v>185</v>
      </c>
      <c r="H408" s="4" t="s">
        <v>752</v>
      </c>
      <c r="J408" s="4" t="s">
        <v>204</v>
      </c>
      <c r="K408" s="4" t="s">
        <v>729</v>
      </c>
      <c r="L408" s="4" t="s">
        <v>729</v>
      </c>
      <c r="M408" s="4" t="s">
        <v>2193</v>
      </c>
      <c r="N408" s="4" t="s">
        <v>22</v>
      </c>
      <c r="O408" s="13" t="s">
        <v>2138</v>
      </c>
      <c r="P408" s="13" t="s">
        <v>1566</v>
      </c>
      <c r="Q408" s="13" t="s">
        <v>555</v>
      </c>
      <c r="S408" s="7" t="e">
        <f ca="1">IF(_xludf.ifna(VLOOKUP(B408,Parámetros!#REF!,1,0),"")="","No","Sí")</f>
        <v>#NAME?</v>
      </c>
      <c r="T408" s="7" t="str">
        <f t="shared" si="14"/>
        <v>No normativo</v>
      </c>
      <c r="U408" s="4" t="s">
        <v>732</v>
      </c>
      <c r="V408" s="4" t="s">
        <v>39</v>
      </c>
      <c r="W408" s="4" t="s">
        <v>300</v>
      </c>
      <c r="X408" s="4" t="s">
        <v>301</v>
      </c>
      <c r="Y408" s="4" t="s">
        <v>302</v>
      </c>
      <c r="Z408" s="4">
        <v>0</v>
      </c>
      <c r="AA408" s="4">
        <v>0</v>
      </c>
      <c r="AB408" s="4" t="s">
        <v>215</v>
      </c>
      <c r="AC408">
        <v>407</v>
      </c>
    </row>
    <row r="409" spans="1:29" ht="16.5" customHeight="1" x14ac:dyDescent="0.2">
      <c r="A409" s="6" t="str">
        <f t="shared" si="13"/>
        <v>SDATOOL-40515 $ Acción de auditoria de Cobro de Comisiones</v>
      </c>
      <c r="B409" s="4" t="s">
        <v>154</v>
      </c>
      <c r="C409" s="4" t="s">
        <v>2194</v>
      </c>
      <c r="D409" s="4" t="s">
        <v>763</v>
      </c>
      <c r="E409" s="4" t="s">
        <v>2195</v>
      </c>
      <c r="F409" s="4" t="s">
        <v>28</v>
      </c>
      <c r="G409" s="4" t="s">
        <v>185</v>
      </c>
      <c r="H409" s="4" t="s">
        <v>186</v>
      </c>
      <c r="J409" s="4" t="s">
        <v>204</v>
      </c>
      <c r="K409" s="4" t="s">
        <v>386</v>
      </c>
      <c r="L409" s="4" t="s">
        <v>394</v>
      </c>
      <c r="M409" s="4" t="s">
        <v>540</v>
      </c>
      <c r="N409" s="4" t="s">
        <v>36</v>
      </c>
      <c r="O409" s="13" t="s">
        <v>794</v>
      </c>
      <c r="P409" s="13" t="s">
        <v>413</v>
      </c>
      <c r="Q409" s="13" t="s">
        <v>1033</v>
      </c>
      <c r="S409" s="7" t="e">
        <f ca="1">IF(_xludf.ifna(VLOOKUP(B409,Parámetros!#REF!,1,0),"")="","No","Sí")</f>
        <v>#NAME?</v>
      </c>
      <c r="T409" s="7" t="str">
        <f t="shared" si="14"/>
        <v>No normativo</v>
      </c>
      <c r="U409" s="4" t="s">
        <v>195</v>
      </c>
      <c r="V409" s="4" t="s">
        <v>39</v>
      </c>
      <c r="W409" s="4" t="s">
        <v>300</v>
      </c>
      <c r="X409" s="4" t="s">
        <v>301</v>
      </c>
      <c r="Y409" s="4" t="s">
        <v>302</v>
      </c>
      <c r="Z409" s="5">
        <v>140000001</v>
      </c>
      <c r="AA409" s="5">
        <v>70000001</v>
      </c>
      <c r="AB409" s="4" t="s">
        <v>180</v>
      </c>
      <c r="AC409">
        <v>408</v>
      </c>
    </row>
    <row r="410" spans="1:29" ht="16.5" customHeight="1" x14ac:dyDescent="0.2">
      <c r="A410" s="6" t="str">
        <f t="shared" si="13"/>
        <v>SDATOOL-40516 $ Filial Valores - BBVA Valores en Canales (Net Cash / Net)</v>
      </c>
      <c r="B410" s="4" t="s">
        <v>2196</v>
      </c>
      <c r="C410" s="4" t="s">
        <v>2197</v>
      </c>
      <c r="D410" s="4" t="s">
        <v>183</v>
      </c>
      <c r="E410" s="4" t="s">
        <v>1810</v>
      </c>
      <c r="F410" s="4" t="s">
        <v>28</v>
      </c>
      <c r="G410" s="4" t="s">
        <v>185</v>
      </c>
      <c r="H410" s="4" t="s">
        <v>186</v>
      </c>
      <c r="J410" s="4" t="s">
        <v>204</v>
      </c>
      <c r="K410" s="4" t="s">
        <v>1503</v>
      </c>
      <c r="L410" s="4" t="s">
        <v>314</v>
      </c>
      <c r="M410" s="4" t="s">
        <v>1811</v>
      </c>
      <c r="N410" s="4" t="s">
        <v>22</v>
      </c>
      <c r="O410" s="13" t="s">
        <v>1659</v>
      </c>
      <c r="P410" s="13" t="s">
        <v>1661</v>
      </c>
      <c r="Q410" s="13" t="s">
        <v>1661</v>
      </c>
      <c r="S410" s="7" t="e">
        <f ca="1">IF(_xludf.ifna(VLOOKUP(B410,Parámetros!#REF!,1,0),"")="","No","Sí")</f>
        <v>#NAME?</v>
      </c>
      <c r="T410" s="7" t="str">
        <f t="shared" si="14"/>
        <v>No normativo</v>
      </c>
      <c r="U410" s="4" t="s">
        <v>195</v>
      </c>
      <c r="V410" s="4" t="s">
        <v>1662</v>
      </c>
      <c r="W410" s="4" t="s">
        <v>196</v>
      </c>
      <c r="X410" s="4" t="s">
        <v>271</v>
      </c>
      <c r="Y410" s="4" t="s">
        <v>582</v>
      </c>
      <c r="Z410" s="4">
        <v>1</v>
      </c>
      <c r="AA410" s="4">
        <v>1</v>
      </c>
      <c r="AB410" s="4" t="s">
        <v>215</v>
      </c>
      <c r="AC410">
        <v>409</v>
      </c>
    </row>
    <row r="411" spans="1:29" ht="16.5" customHeight="1" x14ac:dyDescent="0.2">
      <c r="A411" s="6" t="str">
        <f t="shared" si="13"/>
        <v>SDATOOL-40521 $ Seguros - Ingesta de garantías Hipotecarias</v>
      </c>
      <c r="B411" s="4" t="s">
        <v>2198</v>
      </c>
      <c r="C411" s="4" t="s">
        <v>2199</v>
      </c>
      <c r="D411" s="4" t="s">
        <v>183</v>
      </c>
      <c r="E411" s="4" t="s">
        <v>2200</v>
      </c>
      <c r="F411" s="4" t="s">
        <v>28</v>
      </c>
      <c r="G411" s="4" t="s">
        <v>185</v>
      </c>
      <c r="H411" s="4" t="s">
        <v>186</v>
      </c>
      <c r="J411" s="4" t="s">
        <v>204</v>
      </c>
      <c r="K411" s="4" t="s">
        <v>206</v>
      </c>
      <c r="L411" s="4" t="s">
        <v>386</v>
      </c>
      <c r="M411" s="4" t="s">
        <v>497</v>
      </c>
      <c r="N411" s="4" t="s">
        <v>15</v>
      </c>
      <c r="O411" s="13" t="s">
        <v>2201</v>
      </c>
      <c r="P411" s="13" t="s">
        <v>646</v>
      </c>
      <c r="Q411" s="13" t="s">
        <v>345</v>
      </c>
      <c r="S411" s="7" t="e">
        <f ca="1">IF(_xludf.ifna(VLOOKUP(B411,Parámetros!#REF!,1,0),"")="","No","Sí")</f>
        <v>#NAME?</v>
      </c>
      <c r="T411" s="7" t="str">
        <f t="shared" si="14"/>
        <v>No normativo</v>
      </c>
      <c r="U411" s="4" t="s">
        <v>195</v>
      </c>
      <c r="V411" s="4" t="s">
        <v>347</v>
      </c>
      <c r="W411" s="4" t="s">
        <v>233</v>
      </c>
      <c r="X411" s="4" t="s">
        <v>234</v>
      </c>
      <c r="Y411" s="4" t="s">
        <v>501</v>
      </c>
      <c r="Z411" s="4">
        <v>2</v>
      </c>
      <c r="AA411" s="5">
        <v>106000002</v>
      </c>
      <c r="AB411" s="4" t="s">
        <v>215</v>
      </c>
      <c r="AC411">
        <v>410</v>
      </c>
    </row>
    <row r="412" spans="1:29" ht="16.5" hidden="1" customHeight="1" x14ac:dyDescent="0.2">
      <c r="A412" s="6" t="str">
        <f t="shared" si="13"/>
        <v>SDATOOL-40522 $ Ajuste en el cobro de la comisión cuando el comercio transa antes de que se configure</v>
      </c>
      <c r="B412" s="4" t="s">
        <v>2202</v>
      </c>
      <c r="C412" s="4" t="s">
        <v>2203</v>
      </c>
      <c r="D412" s="4" t="s">
        <v>763</v>
      </c>
      <c r="E412" s="4" t="s">
        <v>2204</v>
      </c>
      <c r="F412" s="4" t="s">
        <v>28</v>
      </c>
      <c r="G412" s="4" t="s">
        <v>185</v>
      </c>
      <c r="H412" s="4" t="s">
        <v>752</v>
      </c>
      <c r="J412" s="4" t="s">
        <v>204</v>
      </c>
      <c r="K412" s="4" t="s">
        <v>386</v>
      </c>
      <c r="L412" s="4" t="s">
        <v>189</v>
      </c>
      <c r="M412" s="4" t="s">
        <v>2204</v>
      </c>
      <c r="N412" s="4" t="s">
        <v>36</v>
      </c>
      <c r="O412" s="13" t="s">
        <v>1595</v>
      </c>
      <c r="Q412" s="13" t="s">
        <v>555</v>
      </c>
      <c r="S412" s="7" t="e">
        <f ca="1">IF(_xludf.ifna(VLOOKUP(B412,Parámetros!#REF!,1,0),"")="","No","Sí")</f>
        <v>#NAME?</v>
      </c>
      <c r="T412" s="7" t="str">
        <f t="shared" si="14"/>
        <v>No normativo</v>
      </c>
      <c r="U412" s="4" t="s">
        <v>195</v>
      </c>
      <c r="V412" s="4" t="s">
        <v>39</v>
      </c>
      <c r="W412" s="4" t="s">
        <v>300</v>
      </c>
      <c r="X412" s="4" t="s">
        <v>301</v>
      </c>
      <c r="Y412" s="4" t="s">
        <v>302</v>
      </c>
      <c r="Z412" s="4">
        <v>0</v>
      </c>
      <c r="AA412" s="4">
        <v>0</v>
      </c>
      <c r="AB412" s="4" t="s">
        <v>215</v>
      </c>
      <c r="AC412">
        <v>411</v>
      </c>
    </row>
    <row r="413" spans="1:29" ht="16.5" hidden="1" customHeight="1" x14ac:dyDescent="0.2">
      <c r="A413" s="6" t="str">
        <f t="shared" si="13"/>
        <v>SDATOOL-40523 $ Ajuste en los extractos para que lleguen a los clientes que no tienen net cash</v>
      </c>
      <c r="B413" s="4" t="s">
        <v>2205</v>
      </c>
      <c r="C413" s="4" t="s">
        <v>2206</v>
      </c>
      <c r="D413" s="4" t="s">
        <v>763</v>
      </c>
      <c r="E413" s="4" t="s">
        <v>2207</v>
      </c>
      <c r="F413" s="4" t="s">
        <v>28</v>
      </c>
      <c r="G413" s="4" t="s">
        <v>185</v>
      </c>
      <c r="H413" s="4" t="s">
        <v>752</v>
      </c>
      <c r="J413" s="4" t="s">
        <v>204</v>
      </c>
      <c r="K413" s="4" t="s">
        <v>386</v>
      </c>
      <c r="L413" s="4" t="s">
        <v>189</v>
      </c>
      <c r="M413" s="4" t="s">
        <v>2208</v>
      </c>
      <c r="N413" s="4" t="s">
        <v>36</v>
      </c>
      <c r="O413" s="13" t="s">
        <v>1595</v>
      </c>
      <c r="Q413" s="13" t="s">
        <v>555</v>
      </c>
      <c r="S413" s="7" t="e">
        <f ca="1">IF(_xludf.ifna(VLOOKUP(B413,Parámetros!#REF!,1,0),"")="","No","Sí")</f>
        <v>#NAME?</v>
      </c>
      <c r="T413" s="7" t="str">
        <f t="shared" si="14"/>
        <v>No normativo</v>
      </c>
      <c r="U413" s="4" t="s">
        <v>195</v>
      </c>
      <c r="V413" s="4" t="s">
        <v>39</v>
      </c>
      <c r="W413" s="4" t="s">
        <v>300</v>
      </c>
      <c r="X413" s="4" t="s">
        <v>301</v>
      </c>
      <c r="Y413" s="4" t="s">
        <v>302</v>
      </c>
      <c r="Z413" s="4">
        <v>0</v>
      </c>
      <c r="AA413" s="4">
        <v>0</v>
      </c>
      <c r="AB413" s="4" t="s">
        <v>215</v>
      </c>
      <c r="AC413">
        <v>412</v>
      </c>
    </row>
    <row r="414" spans="1:29" ht="16.5" hidden="1" customHeight="1" x14ac:dyDescent="0.2">
      <c r="A414" s="6" t="str">
        <f t="shared" si="13"/>
        <v>SDATOOL-40527 $ CAFAM (Transferencia base de datos)</v>
      </c>
      <c r="B414" s="4" t="s">
        <v>2209</v>
      </c>
      <c r="C414" s="4" t="s">
        <v>2210</v>
      </c>
      <c r="D414" s="4" t="s">
        <v>763</v>
      </c>
      <c r="E414" s="4" t="s">
        <v>2211</v>
      </c>
      <c r="F414" s="4" t="s">
        <v>28</v>
      </c>
      <c r="G414" s="4" t="s">
        <v>185</v>
      </c>
      <c r="H414" s="4" t="s">
        <v>203</v>
      </c>
      <c r="J414" s="4" t="s">
        <v>204</v>
      </c>
      <c r="K414" s="4" t="s">
        <v>1503</v>
      </c>
      <c r="L414" s="4" t="s">
        <v>206</v>
      </c>
      <c r="M414" s="4" t="s">
        <v>2212</v>
      </c>
      <c r="N414" s="4" t="s">
        <v>36</v>
      </c>
      <c r="O414" s="13" t="s">
        <v>721</v>
      </c>
      <c r="S414" s="7" t="e">
        <f ca="1">IF(_xludf.ifna(VLOOKUP(B414,Parámetros!#REF!,1,0),"")="","No","Sí")</f>
        <v>#NAME?</v>
      </c>
      <c r="T414" s="7" t="str">
        <f t="shared" si="14"/>
        <v>Normativo</v>
      </c>
      <c r="U414" s="4" t="s">
        <v>195</v>
      </c>
      <c r="V414" s="4" t="s">
        <v>39</v>
      </c>
      <c r="W414" s="4" t="s">
        <v>212</v>
      </c>
      <c r="X414" s="4" t="s">
        <v>213</v>
      </c>
      <c r="Y414" s="4" t="s">
        <v>400</v>
      </c>
      <c r="Z414" s="4">
        <v>0</v>
      </c>
      <c r="AA414" s="4">
        <v>0</v>
      </c>
      <c r="AB414" s="4" t="s">
        <v>215</v>
      </c>
      <c r="AC414">
        <v>413</v>
      </c>
    </row>
    <row r="415" spans="1:29" ht="16.5" customHeight="1" x14ac:dyDescent="0.2">
      <c r="A415" s="6" t="str">
        <f t="shared" si="13"/>
        <v>SDATOOL-40528 $ ETPB - SENDA PAGOS</v>
      </c>
      <c r="B415" s="4" t="s">
        <v>133</v>
      </c>
      <c r="C415" s="4" t="s">
        <v>2213</v>
      </c>
      <c r="D415" s="4" t="s">
        <v>183</v>
      </c>
      <c r="E415" s="4" t="s">
        <v>2214</v>
      </c>
      <c r="F415" s="4" t="s">
        <v>28</v>
      </c>
      <c r="G415" s="4" t="s">
        <v>185</v>
      </c>
      <c r="H415" s="4" t="s">
        <v>186</v>
      </c>
      <c r="J415" s="4" t="s">
        <v>204</v>
      </c>
      <c r="K415" s="4" t="s">
        <v>206</v>
      </c>
      <c r="L415" s="4" t="s">
        <v>394</v>
      </c>
      <c r="M415" s="4" t="s">
        <v>2052</v>
      </c>
      <c r="N415" s="4" t="s">
        <v>22</v>
      </c>
      <c r="O415" s="13" t="s">
        <v>541</v>
      </c>
      <c r="P415" s="13" t="s">
        <v>848</v>
      </c>
      <c r="Q415" s="13" t="s">
        <v>519</v>
      </c>
      <c r="S415" s="7" t="e">
        <f ca="1">IF(_xludf.ifna(VLOOKUP(B415,Parámetros!#REF!,1,0),"")="","No","Sí")</f>
        <v>#NAME?</v>
      </c>
      <c r="T415" s="7" t="str">
        <f t="shared" si="14"/>
        <v>No normativo</v>
      </c>
      <c r="U415" s="4" t="s">
        <v>195</v>
      </c>
      <c r="V415" s="4" t="s">
        <v>39</v>
      </c>
      <c r="W415" s="4" t="s">
        <v>212</v>
      </c>
      <c r="X415" s="4" t="s">
        <v>407</v>
      </c>
      <c r="Y415" s="4" t="s">
        <v>408</v>
      </c>
      <c r="Z415" s="5">
        <v>1813253198</v>
      </c>
      <c r="AA415" s="5">
        <v>1820400000</v>
      </c>
      <c r="AB415" s="4" t="s">
        <v>215</v>
      </c>
      <c r="AC415">
        <v>414</v>
      </c>
    </row>
    <row r="416" spans="1:29" ht="16.5" customHeight="1" x14ac:dyDescent="0.2">
      <c r="A416" s="6" t="str">
        <f t="shared" si="13"/>
        <v>SDATOOL-40529 $ Aplicativos Finanzas - 2023</v>
      </c>
      <c r="B416" s="4" t="s">
        <v>2215</v>
      </c>
      <c r="C416" s="4" t="s">
        <v>2216</v>
      </c>
      <c r="D416" s="4" t="s">
        <v>183</v>
      </c>
      <c r="E416" s="4" t="s">
        <v>956</v>
      </c>
      <c r="F416" s="4" t="s">
        <v>50</v>
      </c>
      <c r="G416" s="4" t="s">
        <v>185</v>
      </c>
      <c r="H416" s="4" t="s">
        <v>186</v>
      </c>
      <c r="I416" s="4" t="e">
        <v>#N/A</v>
      </c>
      <c r="K416" s="4" t="s">
        <v>386</v>
      </c>
      <c r="L416" s="4" t="s">
        <v>394</v>
      </c>
      <c r="M416" s="4" t="s">
        <v>957</v>
      </c>
      <c r="N416" s="4" t="s">
        <v>15</v>
      </c>
      <c r="O416" s="13" t="s">
        <v>221</v>
      </c>
      <c r="P416" s="13" t="s">
        <v>279</v>
      </c>
      <c r="Q416" s="13" t="s">
        <v>318</v>
      </c>
      <c r="R416" s="4" t="s">
        <v>2217</v>
      </c>
      <c r="S416" s="7" t="e">
        <f ca="1">IF(_xludf.ifna(VLOOKUP(B416,Parámetros!#REF!,1,0),"")="","No","Sí")</f>
        <v>#NAME?</v>
      </c>
      <c r="T416" s="7" t="str">
        <f t="shared" si="14"/>
        <v>No normativo</v>
      </c>
      <c r="U416" s="4" t="s">
        <v>195</v>
      </c>
      <c r="V416" s="4" t="s">
        <v>39</v>
      </c>
      <c r="W416" s="4" t="s">
        <v>196</v>
      </c>
      <c r="X416" s="4" t="s">
        <v>246</v>
      </c>
      <c r="Y416" s="4" t="s">
        <v>265</v>
      </c>
      <c r="Z416" s="5">
        <v>135734564</v>
      </c>
      <c r="AA416" s="5">
        <v>134540712</v>
      </c>
      <c r="AB416" s="4" t="s">
        <v>180</v>
      </c>
      <c r="AC416">
        <v>415</v>
      </c>
    </row>
    <row r="417" spans="1:29" ht="16.5" customHeight="1" x14ac:dyDescent="0.2">
      <c r="A417" s="6" t="str">
        <f t="shared" si="13"/>
        <v>SDATOOL-40532 $ Dashboard Operatives Glomo</v>
      </c>
      <c r="B417" s="4" t="s">
        <v>2218</v>
      </c>
      <c r="C417" s="4" t="s">
        <v>2219</v>
      </c>
      <c r="D417" s="4" t="s">
        <v>763</v>
      </c>
      <c r="E417" s="4" t="s">
        <v>2220</v>
      </c>
      <c r="F417" s="4" t="s">
        <v>28</v>
      </c>
      <c r="G417" s="4" t="s">
        <v>185</v>
      </c>
      <c r="H417" s="4" t="s">
        <v>186</v>
      </c>
      <c r="J417" s="4" t="s">
        <v>204</v>
      </c>
      <c r="K417" s="4" t="s">
        <v>386</v>
      </c>
      <c r="L417" s="4" t="s">
        <v>394</v>
      </c>
      <c r="M417" s="4" t="s">
        <v>190</v>
      </c>
      <c r="N417" s="4" t="s">
        <v>36</v>
      </c>
      <c r="O417" s="13" t="s">
        <v>794</v>
      </c>
      <c r="P417" s="13" t="s">
        <v>2221</v>
      </c>
      <c r="Q417" s="13" t="s">
        <v>1264</v>
      </c>
      <c r="S417" s="7" t="e">
        <f ca="1">IF(_xludf.ifna(VLOOKUP(B417,Parámetros!#REF!,1,0),"")="","No","Sí")</f>
        <v>#NAME?</v>
      </c>
      <c r="T417" s="7" t="str">
        <f t="shared" si="14"/>
        <v>Normativo</v>
      </c>
      <c r="U417" s="4" t="s">
        <v>195</v>
      </c>
      <c r="V417" s="4" t="s">
        <v>39</v>
      </c>
      <c r="W417" s="4" t="s">
        <v>196</v>
      </c>
      <c r="X417" s="4" t="s">
        <v>197</v>
      </c>
      <c r="Y417" s="4" t="s">
        <v>198</v>
      </c>
      <c r="Z417" s="5">
        <v>460000001</v>
      </c>
      <c r="AA417" s="5">
        <v>460000001</v>
      </c>
      <c r="AB417" s="4" t="s">
        <v>215</v>
      </c>
      <c r="AC417">
        <v>416</v>
      </c>
    </row>
    <row r="418" spans="1:29" ht="16.5" customHeight="1" x14ac:dyDescent="0.2">
      <c r="A418" s="6" t="str">
        <f t="shared" si="13"/>
        <v>SDATOOL-40533 $ GloMo Target</v>
      </c>
      <c r="B418" s="4" t="s">
        <v>2222</v>
      </c>
      <c r="C418" s="4" t="s">
        <v>2223</v>
      </c>
      <c r="D418" s="4" t="s">
        <v>183</v>
      </c>
      <c r="E418" s="4" t="s">
        <v>2224</v>
      </c>
      <c r="F418" s="4" t="s">
        <v>28</v>
      </c>
      <c r="G418" s="4" t="s">
        <v>185</v>
      </c>
      <c r="H418" s="4" t="s">
        <v>186</v>
      </c>
      <c r="I418" s="4" t="s">
        <v>752</v>
      </c>
      <c r="J418" s="4" t="s">
        <v>204</v>
      </c>
      <c r="K418" s="4" t="s">
        <v>386</v>
      </c>
      <c r="L418" s="4" t="s">
        <v>394</v>
      </c>
      <c r="M418" s="4" t="s">
        <v>190</v>
      </c>
      <c r="N418" s="4" t="s">
        <v>36</v>
      </c>
      <c r="O418" s="13" t="s">
        <v>191</v>
      </c>
      <c r="P418" s="13" t="s">
        <v>2225</v>
      </c>
      <c r="Q418" s="13" t="s">
        <v>2225</v>
      </c>
      <c r="S418" s="7" t="e">
        <f ca="1">IF(_xludf.ifna(VLOOKUP(B418,Parámetros!#REF!,1,0),"")="","No","Sí")</f>
        <v>#NAME?</v>
      </c>
      <c r="T418" s="7" t="str">
        <f t="shared" si="14"/>
        <v>Normativo</v>
      </c>
      <c r="U418" s="4" t="s">
        <v>195</v>
      </c>
      <c r="V418" s="4" t="s">
        <v>39</v>
      </c>
      <c r="W418" s="4" t="s">
        <v>196</v>
      </c>
      <c r="X418" s="4" t="s">
        <v>197</v>
      </c>
      <c r="Y418" s="4" t="s">
        <v>198</v>
      </c>
      <c r="Z418" s="5">
        <v>116000001</v>
      </c>
      <c r="AA418" s="5">
        <v>58000001</v>
      </c>
      <c r="AB418" s="4" t="s">
        <v>180</v>
      </c>
      <c r="AC418">
        <v>417</v>
      </c>
    </row>
    <row r="419" spans="1:29" ht="16.5" hidden="1" customHeight="1" x14ac:dyDescent="0.2">
      <c r="A419" s="6" t="str">
        <f t="shared" si="13"/>
        <v>SDATOOL-40534 $ Feedback Contextual</v>
      </c>
      <c r="B419" s="4" t="s">
        <v>2226</v>
      </c>
      <c r="C419" s="4" t="s">
        <v>2227</v>
      </c>
      <c r="D419" s="4" t="s">
        <v>763</v>
      </c>
      <c r="E419" s="4" t="s">
        <v>2228</v>
      </c>
      <c r="F419" s="4" t="s">
        <v>28</v>
      </c>
      <c r="G419" s="4" t="s">
        <v>185</v>
      </c>
      <c r="H419" s="4" t="s">
        <v>752</v>
      </c>
      <c r="I419" s="4" t="e">
        <v>#N/A</v>
      </c>
      <c r="J419" s="4" t="s">
        <v>204</v>
      </c>
      <c r="K419" s="4" t="s">
        <v>386</v>
      </c>
      <c r="L419" s="4" t="s">
        <v>394</v>
      </c>
      <c r="M419" s="4" t="s">
        <v>2229</v>
      </c>
      <c r="N419" s="4" t="s">
        <v>36</v>
      </c>
      <c r="O419" s="13" t="s">
        <v>2230</v>
      </c>
      <c r="P419" s="13" t="s">
        <v>2225</v>
      </c>
      <c r="Q419" s="13" t="s">
        <v>1264</v>
      </c>
      <c r="S419" s="7" t="e">
        <f ca="1">IF(_xludf.ifna(VLOOKUP(B419,Parámetros!#REF!,1,0),"")="","No","Sí")</f>
        <v>#NAME?</v>
      </c>
      <c r="T419" s="7" t="str">
        <f t="shared" si="14"/>
        <v>Normativo</v>
      </c>
      <c r="U419" s="4" t="s">
        <v>195</v>
      </c>
      <c r="V419" s="4" t="s">
        <v>39</v>
      </c>
      <c r="W419" s="4" t="s">
        <v>196</v>
      </c>
      <c r="X419" s="4" t="s">
        <v>426</v>
      </c>
      <c r="Y419" s="4" t="s">
        <v>2163</v>
      </c>
      <c r="Z419" s="4">
        <v>0</v>
      </c>
      <c r="AA419" s="4">
        <v>0</v>
      </c>
      <c r="AB419" s="4" t="s">
        <v>180</v>
      </c>
      <c r="AC419">
        <v>418</v>
      </c>
    </row>
    <row r="420" spans="1:29" ht="16.5" customHeight="1" x14ac:dyDescent="0.2">
      <c r="A420" s="6" t="str">
        <f t="shared" si="13"/>
        <v>SDATOOL-40536 $ Google analitycs 4</v>
      </c>
      <c r="B420" s="4" t="s">
        <v>2231</v>
      </c>
      <c r="C420" s="4" t="s">
        <v>2232</v>
      </c>
      <c r="D420" s="4" t="s">
        <v>763</v>
      </c>
      <c r="E420" s="4" t="s">
        <v>2233</v>
      </c>
      <c r="F420" s="4" t="s">
        <v>28</v>
      </c>
      <c r="G420" s="4" t="s">
        <v>185</v>
      </c>
      <c r="H420" s="4" t="s">
        <v>186</v>
      </c>
      <c r="I420" s="4" t="s">
        <v>186</v>
      </c>
      <c r="J420" s="4" t="s">
        <v>204</v>
      </c>
      <c r="K420" s="4" t="s">
        <v>206</v>
      </c>
      <c r="L420" s="4" t="s">
        <v>314</v>
      </c>
      <c r="M420" s="4" t="s">
        <v>2234</v>
      </c>
      <c r="N420" s="4" t="s">
        <v>36</v>
      </c>
      <c r="O420" s="13" t="s">
        <v>2235</v>
      </c>
      <c r="P420" s="13" t="s">
        <v>631</v>
      </c>
      <c r="Q420" s="13" t="s">
        <v>425</v>
      </c>
      <c r="R420" s="4" t="s">
        <v>2236</v>
      </c>
      <c r="S420" s="7" t="e">
        <f ca="1">IF(_xludf.ifna(VLOOKUP(B420,Parámetros!#REF!,1,0),"")="","No","Sí")</f>
        <v>#NAME?</v>
      </c>
      <c r="T420" s="7" t="str">
        <f t="shared" si="14"/>
        <v>Normativo</v>
      </c>
      <c r="U420" s="4" t="s">
        <v>732</v>
      </c>
      <c r="V420" s="4" t="s">
        <v>39</v>
      </c>
      <c r="W420" s="4" t="s">
        <v>233</v>
      </c>
      <c r="X420" s="4" t="s">
        <v>92</v>
      </c>
      <c r="Y420" s="4" t="s">
        <v>533</v>
      </c>
      <c r="Z420" s="4">
        <v>2</v>
      </c>
      <c r="AA420" s="4">
        <v>2</v>
      </c>
      <c r="AB420" s="4" t="s">
        <v>180</v>
      </c>
      <c r="AC420">
        <v>419</v>
      </c>
    </row>
    <row r="421" spans="1:29" ht="16.5" customHeight="1" x14ac:dyDescent="0.2">
      <c r="A421" s="6" t="str">
        <f t="shared" si="13"/>
        <v>SDATOOL-40545 $ GRM Col - Mejoras Evolutivas de Aplicativos y Herramientas de Riesgos 2023</v>
      </c>
      <c r="B421" s="4" t="s">
        <v>2237</v>
      </c>
      <c r="C421" s="4" t="s">
        <v>2238</v>
      </c>
      <c r="D421" s="4" t="s">
        <v>183</v>
      </c>
      <c r="E421" s="4" t="s">
        <v>2239</v>
      </c>
      <c r="F421" s="4" t="s">
        <v>56</v>
      </c>
      <c r="G421" s="4" t="s">
        <v>185</v>
      </c>
      <c r="H421" s="4" t="s">
        <v>186</v>
      </c>
      <c r="I421" s="4" t="s">
        <v>186</v>
      </c>
      <c r="K421" s="4" t="s">
        <v>386</v>
      </c>
      <c r="L421" s="4" t="s">
        <v>394</v>
      </c>
      <c r="M421" s="4" t="s">
        <v>2240</v>
      </c>
      <c r="N421" s="4" t="s">
        <v>36</v>
      </c>
      <c r="O421" s="13" t="s">
        <v>208</v>
      </c>
      <c r="P421" s="13" t="s">
        <v>812</v>
      </c>
      <c r="Q421" s="13" t="s">
        <v>255</v>
      </c>
      <c r="S421" s="7" t="e">
        <f ca="1">IF(_xludf.ifna(VLOOKUP(B421,Parámetros!#REF!,1,0),"")="","No","Sí")</f>
        <v>#NAME?</v>
      </c>
      <c r="T421" s="7" t="str">
        <f t="shared" si="14"/>
        <v>No normativo</v>
      </c>
      <c r="U421" s="4" t="s">
        <v>195</v>
      </c>
      <c r="V421" s="4" t="s">
        <v>39</v>
      </c>
      <c r="W421" s="4" t="s">
        <v>300</v>
      </c>
      <c r="X421" s="4" t="s">
        <v>301</v>
      </c>
      <c r="Y421" s="4" t="s">
        <v>755</v>
      </c>
      <c r="Z421" s="5">
        <v>326213001</v>
      </c>
      <c r="AA421" s="5">
        <v>390000000</v>
      </c>
      <c r="AB421" s="4" t="s">
        <v>180</v>
      </c>
      <c r="AC421">
        <v>420</v>
      </c>
    </row>
    <row r="422" spans="1:29" ht="16.5" customHeight="1" x14ac:dyDescent="0.2">
      <c r="A422" s="6" t="str">
        <f t="shared" si="13"/>
        <v>SDATOOL-40546 $ Mejoras Experiencia de Usuario TBM</v>
      </c>
      <c r="B422" s="4" t="s">
        <v>2241</v>
      </c>
      <c r="C422" s="4" t="s">
        <v>2242</v>
      </c>
      <c r="D422" s="4" t="s">
        <v>183</v>
      </c>
      <c r="E422" s="4" t="s">
        <v>2243</v>
      </c>
      <c r="F422" s="4" t="s">
        <v>30</v>
      </c>
      <c r="G422" s="4" t="s">
        <v>185</v>
      </c>
      <c r="H422" s="4" t="s">
        <v>186</v>
      </c>
      <c r="I422" s="4" t="e">
        <v>#N/A</v>
      </c>
      <c r="K422" s="4" t="s">
        <v>386</v>
      </c>
      <c r="L422" s="4" t="s">
        <v>189</v>
      </c>
      <c r="M422" s="4" t="s">
        <v>2244</v>
      </c>
      <c r="N422" s="4" t="s">
        <v>15</v>
      </c>
      <c r="O422" s="13" t="s">
        <v>2245</v>
      </c>
      <c r="P422" s="13" t="s">
        <v>965</v>
      </c>
      <c r="Q422" s="13" t="s">
        <v>2246</v>
      </c>
      <c r="S422" s="7" t="e">
        <f ca="1">IF(_xludf.ifna(VLOOKUP(B422,Parámetros!#REF!,1,0),"")="","No","Sí")</f>
        <v>#NAME?</v>
      </c>
      <c r="T422" s="7" t="str">
        <f t="shared" si="14"/>
        <v>No normativo</v>
      </c>
      <c r="U422" s="4" t="s">
        <v>195</v>
      </c>
      <c r="V422" s="4" t="s">
        <v>39</v>
      </c>
      <c r="W422" s="4" t="s">
        <v>291</v>
      </c>
      <c r="X422" s="4" t="s">
        <v>292</v>
      </c>
      <c r="Y422" s="4" t="s">
        <v>1478</v>
      </c>
      <c r="Z422" s="5">
        <v>163309078</v>
      </c>
      <c r="AA422" s="5">
        <v>81654539</v>
      </c>
      <c r="AB422" s="4" t="s">
        <v>180</v>
      </c>
      <c r="AC422">
        <v>421</v>
      </c>
    </row>
    <row r="423" spans="1:29" ht="16.5" customHeight="1" x14ac:dyDescent="0.2">
      <c r="A423" s="6" t="str">
        <f t="shared" si="13"/>
        <v>SDATOOL-40548 $ Fiduciaria - Obsolecencia aplicativa, infraestructura e Insider aplicativo FIDUSAP</v>
      </c>
      <c r="B423" s="4" t="s">
        <v>2247</v>
      </c>
      <c r="C423" s="4" t="s">
        <v>2248</v>
      </c>
      <c r="D423" s="4" t="s">
        <v>763</v>
      </c>
      <c r="E423" s="4" t="s">
        <v>2249</v>
      </c>
      <c r="F423" s="4" t="s">
        <v>28</v>
      </c>
      <c r="G423" s="4" t="s">
        <v>185</v>
      </c>
      <c r="H423" s="4" t="s">
        <v>186</v>
      </c>
      <c r="I423" s="4" t="s">
        <v>186</v>
      </c>
      <c r="J423" s="4" t="s">
        <v>204</v>
      </c>
      <c r="K423" s="4" t="s">
        <v>206</v>
      </c>
      <c r="L423" s="4" t="s">
        <v>394</v>
      </c>
      <c r="M423" s="4" t="s">
        <v>802</v>
      </c>
      <c r="N423" s="4" t="s">
        <v>22</v>
      </c>
      <c r="O423" s="13" t="s">
        <v>804</v>
      </c>
      <c r="P423" s="13" t="s">
        <v>2250</v>
      </c>
      <c r="Q423" s="13" t="s">
        <v>804</v>
      </c>
      <c r="S423" s="7" t="e">
        <f ca="1">IF(_xludf.ifna(VLOOKUP(B423,Parámetros!#REF!,1,0),"")="","No","Sí")</f>
        <v>#NAME?</v>
      </c>
      <c r="T423" s="7" t="str">
        <f t="shared" si="14"/>
        <v>No normativo</v>
      </c>
      <c r="U423" s="4" t="s">
        <v>1542</v>
      </c>
      <c r="V423" s="4" t="s">
        <v>805</v>
      </c>
      <c r="W423" s="4" t="s">
        <v>233</v>
      </c>
      <c r="X423" s="4" t="s">
        <v>234</v>
      </c>
      <c r="Y423" s="4" t="s">
        <v>806</v>
      </c>
      <c r="Z423" s="5">
        <v>548000000</v>
      </c>
      <c r="AA423" s="5">
        <v>319000000</v>
      </c>
      <c r="AB423" s="4" t="s">
        <v>180</v>
      </c>
      <c r="AC423">
        <v>422</v>
      </c>
    </row>
    <row r="424" spans="1:29" ht="16.5" hidden="1" customHeight="1" x14ac:dyDescent="0.2">
      <c r="A424" s="6" t="str">
        <f t="shared" si="13"/>
        <v>SDATOOL-40551 $ Leasing. Gastos atados contratos castigados</v>
      </c>
      <c r="B424" s="4" t="s">
        <v>2251</v>
      </c>
      <c r="C424" s="4" t="s">
        <v>2252</v>
      </c>
      <c r="D424" s="4" t="s">
        <v>763</v>
      </c>
      <c r="E424" s="4" t="s">
        <v>2253</v>
      </c>
      <c r="F424" s="4" t="s">
        <v>28</v>
      </c>
      <c r="G424" s="4" t="s">
        <v>185</v>
      </c>
      <c r="H424" s="4" t="s">
        <v>752</v>
      </c>
      <c r="J424" s="4" t="s">
        <v>204</v>
      </c>
      <c r="K424" s="4" t="s">
        <v>386</v>
      </c>
      <c r="L424" s="4" t="s">
        <v>189</v>
      </c>
      <c r="M424" s="4" t="s">
        <v>2254</v>
      </c>
      <c r="N424" s="4" t="s">
        <v>22</v>
      </c>
      <c r="O424" s="13" t="s">
        <v>617</v>
      </c>
      <c r="P424" s="13" t="s">
        <v>1432</v>
      </c>
      <c r="Q424" s="13" t="s">
        <v>456</v>
      </c>
      <c r="R424" s="4" t="s">
        <v>2255</v>
      </c>
      <c r="S424" s="7" t="e">
        <f ca="1">IF(_xludf.ifna(VLOOKUP(B424,Parámetros!#REF!,1,0),"")="","No","Sí")</f>
        <v>#NAME?</v>
      </c>
      <c r="T424" s="7" t="str">
        <f t="shared" si="14"/>
        <v>No normativo</v>
      </c>
      <c r="U424" s="4" t="s">
        <v>1542</v>
      </c>
      <c r="V424" s="4" t="s">
        <v>39</v>
      </c>
      <c r="W424" s="4" t="s">
        <v>196</v>
      </c>
      <c r="X424" s="4" t="s">
        <v>328</v>
      </c>
      <c r="Y424" s="4" t="s">
        <v>2256</v>
      </c>
      <c r="Z424" s="4">
        <v>0</v>
      </c>
      <c r="AA424" s="4">
        <v>0</v>
      </c>
      <c r="AB424" s="4" t="s">
        <v>215</v>
      </c>
      <c r="AC424">
        <v>423</v>
      </c>
    </row>
    <row r="425" spans="1:29" ht="16.5" customHeight="1" x14ac:dyDescent="0.2">
      <c r="A425" s="6" t="str">
        <f t="shared" si="13"/>
        <v>SDATOOL-40552 $ Fiduciaria - PSE Procesamiento y confirmación de pagos en línea</v>
      </c>
      <c r="B425" s="4" t="s">
        <v>2257</v>
      </c>
      <c r="C425" s="4" t="s">
        <v>2258</v>
      </c>
      <c r="D425" s="4" t="s">
        <v>183</v>
      </c>
      <c r="E425" s="4" t="s">
        <v>2259</v>
      </c>
      <c r="F425" s="4" t="s">
        <v>28</v>
      </c>
      <c r="G425" s="4" t="s">
        <v>185</v>
      </c>
      <c r="H425" s="4" t="s">
        <v>186</v>
      </c>
      <c r="I425" s="4" t="s">
        <v>186</v>
      </c>
      <c r="J425" s="4" t="s">
        <v>204</v>
      </c>
      <c r="K425" s="4" t="s">
        <v>206</v>
      </c>
      <c r="L425" s="4" t="s">
        <v>189</v>
      </c>
      <c r="M425" s="4" t="s">
        <v>802</v>
      </c>
      <c r="N425" s="4" t="s">
        <v>22</v>
      </c>
      <c r="O425" s="13" t="s">
        <v>804</v>
      </c>
      <c r="P425" s="13" t="s">
        <v>1536</v>
      </c>
      <c r="Q425" s="13" t="s">
        <v>804</v>
      </c>
      <c r="S425" s="7" t="e">
        <f ca="1">IF(_xludf.ifna(VLOOKUP(B425,Parámetros!#REF!,1,0),"")="","No","Sí")</f>
        <v>#NAME?</v>
      </c>
      <c r="T425" s="7" t="str">
        <f t="shared" si="14"/>
        <v>No normativo</v>
      </c>
      <c r="U425" s="4" t="s">
        <v>1542</v>
      </c>
      <c r="V425" s="4" t="s">
        <v>805</v>
      </c>
      <c r="W425" s="4" t="s">
        <v>233</v>
      </c>
      <c r="X425" s="4" t="s">
        <v>234</v>
      </c>
      <c r="Y425" s="4" t="s">
        <v>806</v>
      </c>
      <c r="Z425" s="5">
        <v>215000000</v>
      </c>
      <c r="AA425" s="5">
        <v>215000000</v>
      </c>
      <c r="AB425" s="4" t="s">
        <v>180</v>
      </c>
      <c r="AC425">
        <v>424</v>
      </c>
    </row>
    <row r="426" spans="1:29" ht="16.5" customHeight="1" x14ac:dyDescent="0.2">
      <c r="A426" s="6" t="str">
        <f t="shared" si="13"/>
        <v>SDATOOL-40553 $ Viajes BBVA en GloMo</v>
      </c>
      <c r="B426" s="4" t="s">
        <v>2260</v>
      </c>
      <c r="C426" s="4" t="s">
        <v>2261</v>
      </c>
      <c r="D426" s="4" t="s">
        <v>763</v>
      </c>
      <c r="E426" s="4" t="s">
        <v>2262</v>
      </c>
      <c r="F426" s="4" t="s">
        <v>28</v>
      </c>
      <c r="G426" s="4" t="s">
        <v>185</v>
      </c>
      <c r="H426" s="4" t="s">
        <v>186</v>
      </c>
      <c r="J426" s="4" t="s">
        <v>204</v>
      </c>
      <c r="K426" s="4" t="s">
        <v>386</v>
      </c>
      <c r="L426" s="4" t="s">
        <v>586</v>
      </c>
      <c r="M426" s="4" t="s">
        <v>190</v>
      </c>
      <c r="N426" s="4" t="s">
        <v>29</v>
      </c>
      <c r="O426" s="13" t="s">
        <v>2263</v>
      </c>
      <c r="P426" s="13" t="s">
        <v>766</v>
      </c>
      <c r="Q426" s="13" t="s">
        <v>1264</v>
      </c>
      <c r="S426" s="7" t="e">
        <f ca="1">IF(_xludf.ifna(VLOOKUP(B426,Parámetros!#REF!,1,0),"")="","No","Sí")</f>
        <v>#NAME?</v>
      </c>
      <c r="T426" s="7" t="str">
        <f t="shared" si="14"/>
        <v>Normativo</v>
      </c>
      <c r="U426" s="4" t="s">
        <v>732</v>
      </c>
      <c r="V426" s="4" t="s">
        <v>39</v>
      </c>
      <c r="W426" s="4" t="s">
        <v>196</v>
      </c>
      <c r="X426" s="4" t="s">
        <v>197</v>
      </c>
      <c r="Y426" s="4" t="s">
        <v>198</v>
      </c>
      <c r="Z426" s="5">
        <v>678000001</v>
      </c>
      <c r="AA426" s="5">
        <v>678000001</v>
      </c>
      <c r="AB426" s="4" t="s">
        <v>215</v>
      </c>
      <c r="AC426">
        <v>425</v>
      </c>
    </row>
    <row r="427" spans="1:29" ht="16.5" customHeight="1" x14ac:dyDescent="0.2">
      <c r="A427" s="6" t="str">
        <f t="shared" si="13"/>
        <v>SDATOOL-40554 $ CRÉDITO VIRTUAL EN GEMA</v>
      </c>
      <c r="B427" s="4" t="s">
        <v>2264</v>
      </c>
      <c r="C427" s="4" t="s">
        <v>2265</v>
      </c>
      <c r="D427" s="4" t="s">
        <v>763</v>
      </c>
      <c r="E427" s="4" t="s">
        <v>2266</v>
      </c>
      <c r="F427" s="4" t="s">
        <v>28</v>
      </c>
      <c r="G427" s="4" t="s">
        <v>185</v>
      </c>
      <c r="H427" s="4" t="s">
        <v>186</v>
      </c>
      <c r="J427" s="4" t="s">
        <v>204</v>
      </c>
      <c r="K427" s="4" t="s">
        <v>206</v>
      </c>
      <c r="L427" s="4" t="s">
        <v>394</v>
      </c>
      <c r="M427" s="4" t="s">
        <v>600</v>
      </c>
      <c r="N427" s="4" t="s">
        <v>51</v>
      </c>
      <c r="O427" s="13" t="s">
        <v>617</v>
      </c>
      <c r="P427" s="13" t="s">
        <v>1604</v>
      </c>
      <c r="Q427" s="13" t="s">
        <v>434</v>
      </c>
      <c r="S427" s="7" t="e">
        <f ca="1">IF(_xludf.ifna(VLOOKUP(B427,Parámetros!#REF!,1,0),"")="","No","Sí")</f>
        <v>#NAME?</v>
      </c>
      <c r="T427" s="7" t="str">
        <f t="shared" si="14"/>
        <v>No normativo</v>
      </c>
      <c r="U427" s="4" t="s">
        <v>195</v>
      </c>
      <c r="V427" s="4" t="s">
        <v>39</v>
      </c>
      <c r="W427" s="4" t="s">
        <v>233</v>
      </c>
      <c r="X427" s="4" t="s">
        <v>234</v>
      </c>
      <c r="Y427" s="4" t="s">
        <v>520</v>
      </c>
      <c r="Z427" s="5">
        <v>1784000002</v>
      </c>
      <c r="AA427" s="5">
        <v>892000002</v>
      </c>
      <c r="AB427" s="4" t="s">
        <v>215</v>
      </c>
      <c r="AC427">
        <v>426</v>
      </c>
    </row>
    <row r="428" spans="1:29" ht="16.5" customHeight="1" x14ac:dyDescent="0.2">
      <c r="A428" s="6" t="str">
        <f t="shared" si="13"/>
        <v>SDATOOL-40555 $ ADELANTO DE VENTA EN GEMA</v>
      </c>
      <c r="B428" s="4" t="s">
        <v>94</v>
      </c>
      <c r="C428" s="4" t="s">
        <v>2267</v>
      </c>
      <c r="D428" s="4" t="s">
        <v>763</v>
      </c>
      <c r="E428" s="4" t="s">
        <v>2268</v>
      </c>
      <c r="F428" s="4" t="s">
        <v>28</v>
      </c>
      <c r="G428" s="4" t="s">
        <v>185</v>
      </c>
      <c r="H428" s="4" t="s">
        <v>186</v>
      </c>
      <c r="I428" s="4" t="s">
        <v>752</v>
      </c>
      <c r="J428" s="4" t="s">
        <v>204</v>
      </c>
      <c r="K428" s="4" t="s">
        <v>206</v>
      </c>
      <c r="L428" s="4" t="s">
        <v>394</v>
      </c>
      <c r="M428" s="4" t="s">
        <v>517</v>
      </c>
      <c r="N428" s="4" t="s">
        <v>51</v>
      </c>
      <c r="O428" s="13" t="s">
        <v>573</v>
      </c>
      <c r="P428" s="13" t="s">
        <v>1604</v>
      </c>
      <c r="Q428" s="13" t="s">
        <v>519</v>
      </c>
      <c r="S428" s="7" t="e">
        <f ca="1">IF(_xludf.ifna(VLOOKUP(B428,Parámetros!#REF!,1,0),"")="","No","Sí")</f>
        <v>#NAME?</v>
      </c>
      <c r="T428" s="7" t="str">
        <f t="shared" si="14"/>
        <v>No normativo</v>
      </c>
      <c r="U428" s="4" t="s">
        <v>195</v>
      </c>
      <c r="V428" s="4" t="s">
        <v>39</v>
      </c>
      <c r="W428" s="4" t="s">
        <v>233</v>
      </c>
      <c r="X428" s="4" t="s">
        <v>234</v>
      </c>
      <c r="Y428" s="4" t="s">
        <v>520</v>
      </c>
      <c r="Z428" s="5">
        <v>3872250002</v>
      </c>
      <c r="AA428" s="5">
        <v>1721000002</v>
      </c>
      <c r="AB428" s="4" t="s">
        <v>180</v>
      </c>
      <c r="AC428">
        <v>427</v>
      </c>
    </row>
    <row r="429" spans="1:29" ht="16.5" customHeight="1" x14ac:dyDescent="0.2">
      <c r="A429" s="6" t="str">
        <f t="shared" si="13"/>
        <v>SDATOOL-40572 $ FACTORING Y CONFIRMING SOSTENIBLE - TASA FIJA</v>
      </c>
      <c r="B429" s="4" t="s">
        <v>2269</v>
      </c>
      <c r="C429" s="4" t="s">
        <v>2270</v>
      </c>
      <c r="D429" s="4" t="s">
        <v>763</v>
      </c>
      <c r="E429" s="4" t="s">
        <v>2271</v>
      </c>
      <c r="F429" s="4" t="s">
        <v>21</v>
      </c>
      <c r="G429" s="4" t="s">
        <v>185</v>
      </c>
      <c r="H429" s="4" t="s">
        <v>186</v>
      </c>
      <c r="J429" s="4" t="s">
        <v>204</v>
      </c>
      <c r="K429" s="4" t="s">
        <v>386</v>
      </c>
      <c r="L429" s="4" t="s">
        <v>2272</v>
      </c>
      <c r="M429" s="4" t="s">
        <v>2273</v>
      </c>
      <c r="N429" s="4" t="s">
        <v>44</v>
      </c>
      <c r="O429" s="13" t="s">
        <v>419</v>
      </c>
      <c r="P429" s="13" t="s">
        <v>2274</v>
      </c>
      <c r="Q429" s="13" t="s">
        <v>193</v>
      </c>
      <c r="S429" s="7" t="e">
        <f ca="1">IF(_xludf.ifna(VLOOKUP(B429,Parámetros!#REF!,1,0),"")="","No","Sí")</f>
        <v>#NAME?</v>
      </c>
      <c r="T429" s="7" t="str">
        <f t="shared" si="14"/>
        <v>No normativo</v>
      </c>
      <c r="U429" s="4" t="s">
        <v>195</v>
      </c>
      <c r="V429" s="4" t="s">
        <v>39</v>
      </c>
      <c r="W429" s="4" t="s">
        <v>1685</v>
      </c>
      <c r="X429" s="4" t="s">
        <v>1685</v>
      </c>
      <c r="Y429" s="4" t="s">
        <v>1686</v>
      </c>
      <c r="Z429" s="5">
        <v>500000000</v>
      </c>
      <c r="AA429" s="4">
        <v>0</v>
      </c>
      <c r="AB429" s="4" t="s">
        <v>215</v>
      </c>
      <c r="AC429">
        <v>428</v>
      </c>
    </row>
    <row r="430" spans="1:29" ht="16.5" hidden="1" customHeight="1" x14ac:dyDescent="0.2">
      <c r="A430" s="6" t="str">
        <f t="shared" si="13"/>
        <v>SDATOOL-40573 $ FACTORING Y CONFIRMING SOSTENIBLE - TASA VARIABLE</v>
      </c>
      <c r="B430" s="4" t="s">
        <v>2275</v>
      </c>
      <c r="C430" s="4" t="s">
        <v>2276</v>
      </c>
      <c r="D430" s="4" t="s">
        <v>763</v>
      </c>
      <c r="E430" s="4" t="s">
        <v>2277</v>
      </c>
      <c r="F430" s="4" t="s">
        <v>21</v>
      </c>
      <c r="G430" s="4" t="s">
        <v>185</v>
      </c>
      <c r="H430" s="4" t="s">
        <v>752</v>
      </c>
      <c r="J430" s="4" t="s">
        <v>204</v>
      </c>
      <c r="K430" s="4" t="s">
        <v>206</v>
      </c>
      <c r="L430" s="4" t="s">
        <v>394</v>
      </c>
      <c r="M430" s="4" t="s">
        <v>2278</v>
      </c>
      <c r="N430" s="4" t="s">
        <v>44</v>
      </c>
      <c r="O430" s="13" t="s">
        <v>1355</v>
      </c>
      <c r="P430" s="13" t="s">
        <v>2279</v>
      </c>
      <c r="Q430" s="13" t="s">
        <v>193</v>
      </c>
      <c r="S430" s="7" t="e">
        <f ca="1">IF(_xludf.ifna(VLOOKUP(B430,Parámetros!#REF!,1,0),"")="","No","Sí")</f>
        <v>#NAME?</v>
      </c>
      <c r="T430" s="7" t="str">
        <f t="shared" si="14"/>
        <v>Normativo</v>
      </c>
      <c r="U430" s="4" t="s">
        <v>195</v>
      </c>
      <c r="V430" s="4" t="s">
        <v>39</v>
      </c>
      <c r="W430" s="4" t="s">
        <v>1685</v>
      </c>
      <c r="X430" s="4" t="s">
        <v>1685</v>
      </c>
      <c r="Y430" s="4" t="s">
        <v>1686</v>
      </c>
      <c r="Z430" s="4">
        <v>0</v>
      </c>
      <c r="AA430" s="4">
        <v>0</v>
      </c>
      <c r="AB430" s="4" t="s">
        <v>215</v>
      </c>
      <c r="AC430">
        <v>429</v>
      </c>
    </row>
    <row r="431" spans="1:29" ht="16.5" customHeight="1" x14ac:dyDescent="0.2">
      <c r="A431" s="6" t="str">
        <f t="shared" si="13"/>
        <v>SDATOOL-40578 $ Ad Verification</v>
      </c>
      <c r="B431" s="4" t="s">
        <v>2280</v>
      </c>
      <c r="C431" s="4" t="s">
        <v>2281</v>
      </c>
      <c r="D431" s="4" t="s">
        <v>763</v>
      </c>
      <c r="E431" s="4" t="s">
        <v>2282</v>
      </c>
      <c r="F431" s="4" t="s">
        <v>28</v>
      </c>
      <c r="G431" s="4" t="s">
        <v>185</v>
      </c>
      <c r="H431" s="4" t="s">
        <v>186</v>
      </c>
      <c r="I431" s="4" t="e">
        <v>#N/A</v>
      </c>
      <c r="J431" s="4" t="s">
        <v>204</v>
      </c>
      <c r="K431" s="4" t="s">
        <v>206</v>
      </c>
      <c r="L431" s="4" t="s">
        <v>394</v>
      </c>
      <c r="M431" s="4" t="s">
        <v>2283</v>
      </c>
      <c r="N431" s="4" t="s">
        <v>15</v>
      </c>
      <c r="O431" s="13" t="s">
        <v>191</v>
      </c>
      <c r="P431" s="13" t="s">
        <v>631</v>
      </c>
      <c r="Q431" s="13" t="s">
        <v>2284</v>
      </c>
      <c r="S431" s="7" t="e">
        <f ca="1">IF(_xludf.ifna(VLOOKUP(B431,Parámetros!#REF!,1,0),"")="","No","Sí")</f>
        <v>#NAME?</v>
      </c>
      <c r="T431" s="7" t="str">
        <f t="shared" si="14"/>
        <v>Normativo</v>
      </c>
      <c r="U431" s="4" t="s">
        <v>195</v>
      </c>
      <c r="V431" s="4" t="s">
        <v>39</v>
      </c>
      <c r="W431" s="4" t="s">
        <v>233</v>
      </c>
      <c r="X431" s="4" t="s">
        <v>92</v>
      </c>
      <c r="Y431" s="4" t="s">
        <v>533</v>
      </c>
      <c r="Z431" s="4">
        <v>0</v>
      </c>
      <c r="AA431" s="4">
        <v>0</v>
      </c>
      <c r="AB431" s="4" t="s">
        <v>180</v>
      </c>
      <c r="AC431">
        <v>430</v>
      </c>
    </row>
    <row r="432" spans="1:29" ht="16.5" customHeight="1" x14ac:dyDescent="0.2">
      <c r="A432" s="6" t="str">
        <f t="shared" si="13"/>
        <v>SDATOOL-40579 $ Evolutivo programa de Lealtad Modelo Agregador</v>
      </c>
      <c r="B432" s="4" t="s">
        <v>2285</v>
      </c>
      <c r="C432" s="4" t="s">
        <v>2286</v>
      </c>
      <c r="D432" s="4" t="s">
        <v>763</v>
      </c>
      <c r="E432" s="4" t="s">
        <v>2287</v>
      </c>
      <c r="F432" s="4" t="s">
        <v>28</v>
      </c>
      <c r="G432" s="4" t="s">
        <v>185</v>
      </c>
      <c r="H432" s="4" t="s">
        <v>186</v>
      </c>
      <c r="I432" s="4" t="s">
        <v>752</v>
      </c>
      <c r="J432" s="4" t="s">
        <v>204</v>
      </c>
      <c r="K432" s="4" t="s">
        <v>206</v>
      </c>
      <c r="L432" s="4" t="s">
        <v>314</v>
      </c>
      <c r="M432" s="4" t="s">
        <v>665</v>
      </c>
      <c r="N432" s="4" t="s">
        <v>51</v>
      </c>
      <c r="O432" s="13" t="s">
        <v>1595</v>
      </c>
      <c r="P432" s="13" t="s">
        <v>518</v>
      </c>
      <c r="Q432" s="13" t="s">
        <v>555</v>
      </c>
      <c r="S432" s="7" t="e">
        <f ca="1">IF(_xludf.ifna(VLOOKUP(B432,Parámetros!#REF!,1,0),"")="","No","Sí")</f>
        <v>#NAME?</v>
      </c>
      <c r="T432" s="7" t="str">
        <f t="shared" si="14"/>
        <v>No normativo</v>
      </c>
      <c r="U432" s="4" t="s">
        <v>1542</v>
      </c>
      <c r="V432" s="4" t="s">
        <v>39</v>
      </c>
      <c r="W432" s="4" t="s">
        <v>233</v>
      </c>
      <c r="X432" s="4" t="s">
        <v>234</v>
      </c>
      <c r="Y432" s="4" t="s">
        <v>667</v>
      </c>
      <c r="Z432" s="5">
        <v>240000002</v>
      </c>
      <c r="AA432" s="5">
        <v>120000002</v>
      </c>
      <c r="AB432" s="4" t="s">
        <v>180</v>
      </c>
      <c r="AC432">
        <v>431</v>
      </c>
    </row>
    <row r="433" spans="1:29" ht="16.5" customHeight="1" x14ac:dyDescent="0.2">
      <c r="A433" s="6" t="str">
        <f t="shared" si="13"/>
        <v>SDATOOL-40581 $ Corresponsal Bancario Ya Ganaste</v>
      </c>
      <c r="B433" s="4" t="s">
        <v>2288</v>
      </c>
      <c r="C433" s="4" t="s">
        <v>2289</v>
      </c>
      <c r="D433" s="4" t="s">
        <v>763</v>
      </c>
      <c r="E433" s="4" t="s">
        <v>2290</v>
      </c>
      <c r="F433" s="4" t="s">
        <v>28</v>
      </c>
      <c r="G433" s="4" t="s">
        <v>185</v>
      </c>
      <c r="H433" s="4" t="s">
        <v>186</v>
      </c>
      <c r="I433" s="4" t="s">
        <v>752</v>
      </c>
      <c r="J433" s="4" t="s">
        <v>204</v>
      </c>
      <c r="K433" s="4" t="s">
        <v>206</v>
      </c>
      <c r="L433" s="4" t="s">
        <v>394</v>
      </c>
      <c r="M433" s="4" t="s">
        <v>2291</v>
      </c>
      <c r="N433" s="4" t="s">
        <v>51</v>
      </c>
      <c r="O433" s="13" t="s">
        <v>473</v>
      </c>
      <c r="P433" s="13" t="s">
        <v>637</v>
      </c>
      <c r="Q433" s="13" t="s">
        <v>1831</v>
      </c>
      <c r="S433" s="7" t="e">
        <f ca="1">IF(_xludf.ifna(VLOOKUP(B433,Parámetros!#REF!,1,0),"")="","No","Sí")</f>
        <v>#NAME?</v>
      </c>
      <c r="T433" s="7" t="str">
        <f t="shared" si="14"/>
        <v>No normativo</v>
      </c>
      <c r="U433" s="4" t="s">
        <v>195</v>
      </c>
      <c r="V433" s="4" t="s">
        <v>39</v>
      </c>
      <c r="W433" s="4" t="s">
        <v>300</v>
      </c>
      <c r="X433" s="4" t="s">
        <v>562</v>
      </c>
      <c r="Y433" s="4" t="s">
        <v>563</v>
      </c>
      <c r="Z433" s="5">
        <v>350000000</v>
      </c>
      <c r="AA433" s="5">
        <v>220000000</v>
      </c>
      <c r="AB433" s="4" t="s">
        <v>180</v>
      </c>
      <c r="AC433">
        <v>432</v>
      </c>
    </row>
    <row r="434" spans="1:29" ht="16.5" customHeight="1" x14ac:dyDescent="0.2">
      <c r="A434" s="6" t="str">
        <f t="shared" si="13"/>
        <v>SDATOOL-40589 $ Ajuste longitud de cuentas problema 7 digitos</v>
      </c>
      <c r="B434" s="4" t="s">
        <v>2292</v>
      </c>
      <c r="C434" s="4" t="s">
        <v>2293</v>
      </c>
      <c r="D434" s="4" t="s">
        <v>183</v>
      </c>
      <c r="E434" s="4" t="s">
        <v>2294</v>
      </c>
      <c r="F434" s="4" t="s">
        <v>28</v>
      </c>
      <c r="G434" s="4" t="s">
        <v>185</v>
      </c>
      <c r="H434" s="4" t="s">
        <v>186</v>
      </c>
      <c r="J434" s="4" t="s">
        <v>187</v>
      </c>
      <c r="K434" s="4" t="s">
        <v>206</v>
      </c>
      <c r="L434" s="4" t="s">
        <v>386</v>
      </c>
      <c r="M434" s="4" t="s">
        <v>2295</v>
      </c>
      <c r="N434" s="4" t="s">
        <v>29</v>
      </c>
      <c r="O434" s="13" t="s">
        <v>1801</v>
      </c>
      <c r="P434" s="13" t="s">
        <v>911</v>
      </c>
      <c r="Q434" s="13" t="s">
        <v>697</v>
      </c>
      <c r="S434" s="7" t="e">
        <f ca="1">IF(_xludf.ifna(VLOOKUP(B434,Parámetros!#REF!,1,0),"")="","No","Sí")</f>
        <v>#NAME?</v>
      </c>
      <c r="T434" s="7" t="str">
        <f t="shared" si="14"/>
        <v>No normativo</v>
      </c>
      <c r="U434" s="4" t="s">
        <v>195</v>
      </c>
      <c r="V434" s="4" t="s">
        <v>39</v>
      </c>
      <c r="W434" s="4" t="s">
        <v>196</v>
      </c>
      <c r="X434" s="4" t="s">
        <v>246</v>
      </c>
      <c r="Y434" s="4" t="s">
        <v>265</v>
      </c>
      <c r="Z434" s="5">
        <v>229916895</v>
      </c>
      <c r="AA434" s="5">
        <v>255127677</v>
      </c>
      <c r="AB434" s="4" t="s">
        <v>215</v>
      </c>
      <c r="AC434">
        <v>433</v>
      </c>
    </row>
    <row r="435" spans="1:29" ht="16.5" hidden="1" customHeight="1" x14ac:dyDescent="0.2">
      <c r="A435" s="6" t="str">
        <f t="shared" si="13"/>
        <v>SDATOOL-40592 $ Valoración de conceptos - Unidad de operaciones</v>
      </c>
      <c r="B435" s="4" t="s">
        <v>2296</v>
      </c>
      <c r="C435" s="4" t="s">
        <v>2297</v>
      </c>
      <c r="D435" s="4" t="s">
        <v>763</v>
      </c>
      <c r="E435" s="4" t="s">
        <v>2298</v>
      </c>
      <c r="F435" s="4" t="s">
        <v>28</v>
      </c>
      <c r="G435" s="4" t="s">
        <v>185</v>
      </c>
      <c r="H435" s="4" t="s">
        <v>752</v>
      </c>
      <c r="J435" s="4" t="s">
        <v>204</v>
      </c>
      <c r="K435" s="4" t="s">
        <v>206</v>
      </c>
      <c r="L435" s="4" t="s">
        <v>386</v>
      </c>
      <c r="M435" s="4" t="s">
        <v>2299</v>
      </c>
      <c r="N435" s="4" t="s">
        <v>36</v>
      </c>
      <c r="O435" s="13" t="s">
        <v>1826</v>
      </c>
      <c r="Q435" s="13" t="s">
        <v>1826</v>
      </c>
      <c r="S435" s="7" t="e">
        <f ca="1">IF(_xludf.ifna(VLOOKUP(B435,Parámetros!#REF!,1,0),"")="","No","Sí")</f>
        <v>#NAME?</v>
      </c>
      <c r="T435" s="7" t="str">
        <f t="shared" si="14"/>
        <v>No normativo</v>
      </c>
      <c r="U435" s="4" t="s">
        <v>195</v>
      </c>
      <c r="V435" s="4" t="s">
        <v>39</v>
      </c>
      <c r="W435" s="4" t="s">
        <v>300</v>
      </c>
      <c r="X435" s="4" t="s">
        <v>301</v>
      </c>
      <c r="Y435" s="4" t="s">
        <v>302</v>
      </c>
      <c r="Z435" s="4">
        <v>0</v>
      </c>
      <c r="AA435" s="4">
        <v>0</v>
      </c>
      <c r="AB435" s="4" t="s">
        <v>215</v>
      </c>
      <c r="AC435">
        <v>434</v>
      </c>
    </row>
    <row r="436" spans="1:29" ht="16.5" customHeight="1" x14ac:dyDescent="0.2">
      <c r="A436" s="6" t="str">
        <f t="shared" si="13"/>
        <v>SDATOOL-40599 $ Proyecto - Circular 025</v>
      </c>
      <c r="B436" s="4" t="s">
        <v>2300</v>
      </c>
      <c r="C436" s="4" t="s">
        <v>2301</v>
      </c>
      <c r="D436" s="4" t="s">
        <v>183</v>
      </c>
      <c r="E436" s="4" t="s">
        <v>2302</v>
      </c>
      <c r="F436" s="4" t="s">
        <v>69</v>
      </c>
      <c r="G436" s="4" t="s">
        <v>185</v>
      </c>
      <c r="H436" s="4" t="s">
        <v>186</v>
      </c>
      <c r="J436" s="4" t="s">
        <v>204</v>
      </c>
      <c r="K436" s="4" t="s">
        <v>206</v>
      </c>
      <c r="L436" s="4" t="s">
        <v>386</v>
      </c>
      <c r="M436" s="4" t="s">
        <v>2303</v>
      </c>
      <c r="N436" s="4" t="s">
        <v>15</v>
      </c>
      <c r="O436" s="13" t="s">
        <v>2304</v>
      </c>
      <c r="P436" s="13" t="s">
        <v>317</v>
      </c>
      <c r="Q436" s="13" t="s">
        <v>318</v>
      </c>
      <c r="R436" s="4" t="s">
        <v>2305</v>
      </c>
      <c r="S436" s="7" t="e">
        <f ca="1">IF(_xludf.ifna(VLOOKUP(B436,Parámetros!#REF!,1,0),"")="","No","Sí")</f>
        <v>#NAME?</v>
      </c>
      <c r="T436" s="7" t="str">
        <f t="shared" si="14"/>
        <v>Normativo</v>
      </c>
      <c r="U436" s="4" t="s">
        <v>1542</v>
      </c>
      <c r="V436" s="4" t="s">
        <v>39</v>
      </c>
      <c r="W436" s="4" t="s">
        <v>196</v>
      </c>
      <c r="X436" s="4" t="s">
        <v>225</v>
      </c>
      <c r="Y436" s="4" t="s">
        <v>320</v>
      </c>
      <c r="Z436" s="5">
        <v>119994549</v>
      </c>
      <c r="AA436" s="5">
        <v>71713450</v>
      </c>
      <c r="AB436" s="4" t="s">
        <v>215</v>
      </c>
      <c r="AC436">
        <v>435</v>
      </c>
    </row>
    <row r="437" spans="1:29" ht="16.5" customHeight="1" x14ac:dyDescent="0.2">
      <c r="A437" s="6" t="str">
        <f t="shared" si="13"/>
        <v>SDATOOL-40610 $ GRM Col - Ajuste Formato 341 - Tasa de usura</v>
      </c>
      <c r="B437" s="4" t="s">
        <v>2306</v>
      </c>
      <c r="C437" s="4" t="s">
        <v>2307</v>
      </c>
      <c r="D437" s="4" t="s">
        <v>183</v>
      </c>
      <c r="E437" s="4" t="s">
        <v>2308</v>
      </c>
      <c r="F437" s="4" t="s">
        <v>56</v>
      </c>
      <c r="G437" s="4" t="s">
        <v>185</v>
      </c>
      <c r="H437" s="4" t="s">
        <v>186</v>
      </c>
      <c r="J437" s="4" t="s">
        <v>204</v>
      </c>
      <c r="K437" s="4" t="s">
        <v>206</v>
      </c>
      <c r="L437" s="4" t="s">
        <v>386</v>
      </c>
      <c r="M437" s="4" t="s">
        <v>2309</v>
      </c>
      <c r="N437" s="4" t="s">
        <v>15</v>
      </c>
      <c r="O437" s="13" t="s">
        <v>325</v>
      </c>
      <c r="P437" s="13" t="s">
        <v>326</v>
      </c>
      <c r="Q437" s="13" t="s">
        <v>193</v>
      </c>
      <c r="S437" s="7" t="e">
        <f ca="1">IF(_xludf.ifna(VLOOKUP(B437,Parámetros!#REF!,1,0),"")="","No","Sí")</f>
        <v>#NAME?</v>
      </c>
      <c r="T437" s="7" t="str">
        <f t="shared" si="14"/>
        <v>No normativo</v>
      </c>
      <c r="U437" s="4" t="s">
        <v>224</v>
      </c>
      <c r="V437" s="4" t="s">
        <v>39</v>
      </c>
      <c r="W437" s="4" t="s">
        <v>196</v>
      </c>
      <c r="X437" s="4" t="s">
        <v>225</v>
      </c>
      <c r="Y437" s="4" t="s">
        <v>226</v>
      </c>
      <c r="Z437" s="5">
        <v>2832653</v>
      </c>
      <c r="AA437" s="5">
        <v>39292173</v>
      </c>
      <c r="AB437" s="4" t="s">
        <v>215</v>
      </c>
      <c r="AC437">
        <v>436</v>
      </c>
    </row>
    <row r="438" spans="1:29" ht="16.5" customHeight="1" x14ac:dyDescent="0.2">
      <c r="A438" s="6" t="str">
        <f t="shared" si="13"/>
        <v>SDATOOL-40613 $ Códigos MAC</v>
      </c>
      <c r="B438" s="4" t="s">
        <v>2310</v>
      </c>
      <c r="C438" s="4" t="s">
        <v>2311</v>
      </c>
      <c r="D438" s="4" t="s">
        <v>763</v>
      </c>
      <c r="E438" s="4" t="s">
        <v>2312</v>
      </c>
      <c r="F438" s="4" t="s">
        <v>28</v>
      </c>
      <c r="G438" s="4" t="s">
        <v>185</v>
      </c>
      <c r="H438" s="4" t="s">
        <v>186</v>
      </c>
      <c r="J438" s="4" t="s">
        <v>204</v>
      </c>
      <c r="K438" s="4" t="s">
        <v>206</v>
      </c>
      <c r="L438" s="4" t="s">
        <v>189</v>
      </c>
      <c r="M438" s="4" t="s">
        <v>553</v>
      </c>
      <c r="N438" s="4" t="s">
        <v>15</v>
      </c>
      <c r="O438" s="13" t="s">
        <v>1566</v>
      </c>
      <c r="P438" s="13" t="s">
        <v>548</v>
      </c>
      <c r="Q438" s="13" t="s">
        <v>555</v>
      </c>
      <c r="S438" s="7" t="e">
        <f ca="1">IF(_xludf.ifna(VLOOKUP(B438,Parámetros!#REF!,1,0),"")="","No","Sí")</f>
        <v>#NAME?</v>
      </c>
      <c r="T438" s="7" t="str">
        <f t="shared" si="14"/>
        <v>No normativo</v>
      </c>
      <c r="U438" s="4" t="s">
        <v>195</v>
      </c>
      <c r="V438" s="4" t="s">
        <v>39</v>
      </c>
      <c r="W438" s="4" t="s">
        <v>233</v>
      </c>
      <c r="X438" s="4" t="s">
        <v>234</v>
      </c>
      <c r="Y438" s="4" t="s">
        <v>556</v>
      </c>
      <c r="Z438" s="5">
        <v>30000000</v>
      </c>
      <c r="AA438" s="5">
        <v>30000000</v>
      </c>
      <c r="AB438" s="4" t="s">
        <v>180</v>
      </c>
      <c r="AC438">
        <v>437</v>
      </c>
    </row>
    <row r="439" spans="1:29" ht="16.5" customHeight="1" x14ac:dyDescent="0.2">
      <c r="A439" s="6" t="str">
        <f t="shared" si="13"/>
        <v>SDATOOL-40623 $ Pago productos con PSE desde GloMo</v>
      </c>
      <c r="B439" s="4" t="s">
        <v>2313</v>
      </c>
      <c r="C439" s="4" t="s">
        <v>2314</v>
      </c>
      <c r="D439" s="4" t="s">
        <v>763</v>
      </c>
      <c r="E439" s="4" t="s">
        <v>2315</v>
      </c>
      <c r="F439" s="4" t="s">
        <v>28</v>
      </c>
      <c r="G439" s="4" t="s">
        <v>185</v>
      </c>
      <c r="H439" s="4" t="s">
        <v>186</v>
      </c>
      <c r="I439" s="4" t="s">
        <v>752</v>
      </c>
      <c r="J439" s="4" t="s">
        <v>204</v>
      </c>
      <c r="K439" s="4" t="s">
        <v>386</v>
      </c>
      <c r="L439" s="4" t="s">
        <v>394</v>
      </c>
      <c r="M439" s="4" t="s">
        <v>190</v>
      </c>
      <c r="N439" s="4" t="s">
        <v>36</v>
      </c>
      <c r="O439" s="13" t="s">
        <v>794</v>
      </c>
      <c r="P439" s="13" t="s">
        <v>2221</v>
      </c>
      <c r="Q439" s="13" t="s">
        <v>1264</v>
      </c>
      <c r="S439" s="7" t="e">
        <f ca="1">IF(_xludf.ifna(VLOOKUP(B439,Parámetros!#REF!,1,0),"")="","No","Sí")</f>
        <v>#NAME?</v>
      </c>
      <c r="T439" s="7" t="str">
        <f t="shared" si="14"/>
        <v>No normativo</v>
      </c>
      <c r="U439" s="4" t="s">
        <v>195</v>
      </c>
      <c r="V439" s="4" t="s">
        <v>39</v>
      </c>
      <c r="W439" s="4" t="s">
        <v>196</v>
      </c>
      <c r="X439" s="4" t="s">
        <v>197</v>
      </c>
      <c r="Y439" s="4" t="s">
        <v>198</v>
      </c>
      <c r="Z439" s="5">
        <v>230000001</v>
      </c>
      <c r="AA439" s="5">
        <v>160000001</v>
      </c>
      <c r="AB439" s="4" t="s">
        <v>180</v>
      </c>
      <c r="AC439">
        <v>438</v>
      </c>
    </row>
    <row r="440" spans="1:29" ht="16.5" hidden="1" customHeight="1" x14ac:dyDescent="0.2">
      <c r="A440" s="6" t="str">
        <f t="shared" si="13"/>
        <v>SDATOOL-40629 $ Cedula Digital</v>
      </c>
      <c r="B440" s="4" t="s">
        <v>2316</v>
      </c>
      <c r="C440" s="4" t="s">
        <v>2317</v>
      </c>
      <c r="D440" s="4" t="s">
        <v>763</v>
      </c>
      <c r="E440" s="4" t="s">
        <v>2318</v>
      </c>
      <c r="F440" s="4" t="s">
        <v>28</v>
      </c>
      <c r="G440" s="4" t="s">
        <v>185</v>
      </c>
      <c r="H440" s="4" t="s">
        <v>752</v>
      </c>
      <c r="J440" s="4" t="s">
        <v>204</v>
      </c>
      <c r="K440" s="4" t="s">
        <v>386</v>
      </c>
      <c r="L440" s="4" t="s">
        <v>386</v>
      </c>
      <c r="M440" s="4" t="s">
        <v>2319</v>
      </c>
      <c r="N440" s="4" t="s">
        <v>29</v>
      </c>
      <c r="O440" s="13" t="s">
        <v>530</v>
      </c>
      <c r="Q440" s="13" t="s">
        <v>2080</v>
      </c>
      <c r="S440" s="7" t="e">
        <f ca="1">IF(_xludf.ifna(VLOOKUP(B440,Parámetros!#REF!,1,0),"")="","No","Sí")</f>
        <v>#NAME?</v>
      </c>
      <c r="T440" s="7" t="str">
        <f t="shared" si="14"/>
        <v>No normativo</v>
      </c>
      <c r="U440" s="4" t="s">
        <v>195</v>
      </c>
      <c r="V440" s="4" t="s">
        <v>39</v>
      </c>
      <c r="W440" s="4" t="s">
        <v>233</v>
      </c>
      <c r="X440" s="4" t="s">
        <v>92</v>
      </c>
      <c r="Y440" s="4" t="s">
        <v>2149</v>
      </c>
      <c r="Z440" s="4">
        <v>0</v>
      </c>
      <c r="AA440" s="4">
        <v>0</v>
      </c>
      <c r="AB440" s="4" t="s">
        <v>215</v>
      </c>
      <c r="AC440">
        <v>439</v>
      </c>
    </row>
    <row r="441" spans="1:29" ht="16.5" customHeight="1" x14ac:dyDescent="0.2">
      <c r="A441" s="6" t="str">
        <f t="shared" si="13"/>
        <v>SDATOOL-40631 $ Equipos para Mitigación de Energía Reactiva</v>
      </c>
      <c r="B441" s="4" t="s">
        <v>2320</v>
      </c>
      <c r="C441" s="4" t="s">
        <v>2321</v>
      </c>
      <c r="D441" s="4" t="s">
        <v>183</v>
      </c>
      <c r="E441" s="4" t="s">
        <v>2322</v>
      </c>
      <c r="F441" s="4" t="s">
        <v>30</v>
      </c>
      <c r="G441" s="4" t="s">
        <v>185</v>
      </c>
      <c r="H441" s="4" t="s">
        <v>186</v>
      </c>
      <c r="I441" s="4" t="s">
        <v>186</v>
      </c>
      <c r="K441" s="4" t="s">
        <v>206</v>
      </c>
      <c r="L441" s="4" t="s">
        <v>189</v>
      </c>
      <c r="M441" s="4" t="s">
        <v>2323</v>
      </c>
      <c r="N441" s="4" t="s">
        <v>15</v>
      </c>
      <c r="O441" s="13" t="s">
        <v>287</v>
      </c>
      <c r="P441" s="13" t="s">
        <v>2324</v>
      </c>
      <c r="R441" s="4" t="s">
        <v>2325</v>
      </c>
      <c r="S441" s="7" t="e">
        <f ca="1">IF(_xludf.ifna(VLOOKUP(B441,Parámetros!#REF!,1,0),"")="","No","Sí")</f>
        <v>#NAME?</v>
      </c>
      <c r="T441" s="7" t="str">
        <f t="shared" si="14"/>
        <v>No normativo</v>
      </c>
      <c r="U441" s="4" t="s">
        <v>195</v>
      </c>
      <c r="V441" s="4" t="s">
        <v>39</v>
      </c>
      <c r="W441" s="4" t="s">
        <v>300</v>
      </c>
      <c r="X441" s="4" t="s">
        <v>1138</v>
      </c>
      <c r="Y441" s="4" t="s">
        <v>2326</v>
      </c>
      <c r="Z441" s="5">
        <v>232722630</v>
      </c>
      <c r="AA441" s="5">
        <v>116361315</v>
      </c>
      <c r="AB441" s="4" t="s">
        <v>180</v>
      </c>
      <c r="AC441">
        <v>440</v>
      </c>
    </row>
    <row r="442" spans="1:29" ht="16.5" customHeight="1" x14ac:dyDescent="0.2">
      <c r="A442" s="6" t="str">
        <f t="shared" si="13"/>
        <v>SDATOOL-40639 $ Fiduciaria -Obsolecencia Migración Softoken FIDUSAP R2 a NextGen</v>
      </c>
      <c r="B442" s="4" t="s">
        <v>2327</v>
      </c>
      <c r="C442" s="4" t="s">
        <v>2328</v>
      </c>
      <c r="D442" s="4" t="s">
        <v>763</v>
      </c>
      <c r="E442" s="4" t="s">
        <v>2329</v>
      </c>
      <c r="F442" s="4" t="s">
        <v>28</v>
      </c>
      <c r="G442" s="4" t="s">
        <v>185</v>
      </c>
      <c r="H442" s="4" t="s">
        <v>186</v>
      </c>
      <c r="I442" s="4" t="s">
        <v>186</v>
      </c>
      <c r="J442" s="4" t="s">
        <v>204</v>
      </c>
      <c r="K442" s="4" t="s">
        <v>206</v>
      </c>
      <c r="L442" s="4" t="s">
        <v>314</v>
      </c>
      <c r="M442" s="4" t="s">
        <v>802</v>
      </c>
      <c r="N442" s="4" t="s">
        <v>15</v>
      </c>
      <c r="O442" s="13" t="s">
        <v>804</v>
      </c>
      <c r="P442" s="13" t="s">
        <v>2250</v>
      </c>
      <c r="Q442" s="13" t="s">
        <v>804</v>
      </c>
      <c r="S442" s="7" t="e">
        <f ca="1">IF(_xludf.ifna(VLOOKUP(B442,Parámetros!#REF!,1,0),"")="","No","Sí")</f>
        <v>#NAME?</v>
      </c>
      <c r="T442" s="7" t="str">
        <f t="shared" si="14"/>
        <v>No normativo</v>
      </c>
      <c r="U442" s="4" t="s">
        <v>732</v>
      </c>
      <c r="V442" s="4" t="s">
        <v>805</v>
      </c>
      <c r="W442" s="4" t="s">
        <v>233</v>
      </c>
      <c r="X442" s="4" t="s">
        <v>234</v>
      </c>
      <c r="Y442" s="4" t="s">
        <v>806</v>
      </c>
      <c r="Z442" s="5">
        <v>285000000</v>
      </c>
      <c r="AA442" s="5">
        <v>171000000</v>
      </c>
      <c r="AB442" s="4" t="s">
        <v>180</v>
      </c>
      <c r="AC442">
        <v>441</v>
      </c>
    </row>
    <row r="443" spans="1:29" ht="16.5" customHeight="1" x14ac:dyDescent="0.2">
      <c r="A443" s="6" t="str">
        <f t="shared" si="13"/>
        <v>SDATOOL-40640 $ Débito Directo NetCash y H2H</v>
      </c>
      <c r="B443" s="4" t="s">
        <v>2330</v>
      </c>
      <c r="C443" s="4" t="s">
        <v>2331</v>
      </c>
      <c r="D443" s="4" t="s">
        <v>763</v>
      </c>
      <c r="E443" s="4" t="s">
        <v>2332</v>
      </c>
      <c r="F443" s="4" t="s">
        <v>21</v>
      </c>
      <c r="G443" s="4" t="s">
        <v>185</v>
      </c>
      <c r="H443" s="4" t="s">
        <v>186</v>
      </c>
      <c r="K443" s="4" t="s">
        <v>386</v>
      </c>
      <c r="L443" s="4" t="s">
        <v>189</v>
      </c>
      <c r="M443" s="4" t="s">
        <v>2333</v>
      </c>
      <c r="N443" s="4" t="s">
        <v>44</v>
      </c>
      <c r="O443" s="13" t="s">
        <v>419</v>
      </c>
      <c r="P443" s="13" t="s">
        <v>947</v>
      </c>
      <c r="Q443" s="13" t="s">
        <v>543</v>
      </c>
      <c r="S443" s="7" t="e">
        <f ca="1">IF(_xludf.ifna(VLOOKUP(B443,Parámetros!#REF!,1,0),"")="","No","Sí")</f>
        <v>#NAME?</v>
      </c>
      <c r="T443" s="7" t="str">
        <f t="shared" si="14"/>
        <v>No normativo</v>
      </c>
      <c r="U443" s="4" t="s">
        <v>195</v>
      </c>
      <c r="V443" s="4" t="s">
        <v>39</v>
      </c>
      <c r="W443" s="4" t="s">
        <v>233</v>
      </c>
      <c r="X443" s="4" t="s">
        <v>234</v>
      </c>
      <c r="Y443" s="4" t="s">
        <v>435</v>
      </c>
      <c r="Z443" s="5">
        <v>100000000</v>
      </c>
      <c r="AA443" s="4">
        <v>0</v>
      </c>
      <c r="AB443" s="4" t="s">
        <v>215</v>
      </c>
      <c r="AC443">
        <v>442</v>
      </c>
    </row>
    <row r="444" spans="1:29" ht="16.5" customHeight="1" x14ac:dyDescent="0.2">
      <c r="A444" s="6" t="str">
        <f t="shared" si="13"/>
        <v>SDATOOL-40642 $ Cobro de comisiones Canales Directos</v>
      </c>
      <c r="B444" s="4" t="s">
        <v>2334</v>
      </c>
      <c r="C444" s="4" t="s">
        <v>2335</v>
      </c>
      <c r="D444" s="4" t="s">
        <v>183</v>
      </c>
      <c r="E444" s="4" t="s">
        <v>2336</v>
      </c>
      <c r="F444" s="4" t="s">
        <v>21</v>
      </c>
      <c r="G444" s="4" t="s">
        <v>185</v>
      </c>
      <c r="H444" s="4" t="s">
        <v>186</v>
      </c>
      <c r="I444" s="4" t="s">
        <v>186</v>
      </c>
      <c r="K444" s="4" t="s">
        <v>386</v>
      </c>
      <c r="L444" s="4" t="s">
        <v>314</v>
      </c>
      <c r="M444" s="4" t="s">
        <v>2337</v>
      </c>
      <c r="N444" s="4" t="s">
        <v>44</v>
      </c>
      <c r="O444" s="13" t="s">
        <v>419</v>
      </c>
      <c r="P444" s="13" t="s">
        <v>947</v>
      </c>
      <c r="Q444" s="13" t="s">
        <v>519</v>
      </c>
      <c r="S444" s="7" t="e">
        <f ca="1">IF(_xludf.ifna(VLOOKUP(B444,Parámetros!#REF!,1,0),"")="","No","Sí")</f>
        <v>#NAME?</v>
      </c>
      <c r="T444" s="7" t="str">
        <f t="shared" si="14"/>
        <v>No normativo</v>
      </c>
      <c r="U444" s="4" t="s">
        <v>195</v>
      </c>
      <c r="V444" s="4" t="s">
        <v>39</v>
      </c>
      <c r="W444" s="4" t="s">
        <v>233</v>
      </c>
      <c r="X444" s="4" t="s">
        <v>234</v>
      </c>
      <c r="Y444" s="4" t="s">
        <v>435</v>
      </c>
      <c r="Z444" s="5">
        <v>160000000</v>
      </c>
      <c r="AA444" s="5">
        <v>80000000</v>
      </c>
      <c r="AB444" s="4" t="s">
        <v>180</v>
      </c>
      <c r="AC444">
        <v>443</v>
      </c>
    </row>
    <row r="445" spans="1:29" ht="16.5" hidden="1" customHeight="1" x14ac:dyDescent="0.2">
      <c r="A445" s="6" t="str">
        <f t="shared" si="13"/>
        <v>SDATOOL-40648 $ Feedback NPS</v>
      </c>
      <c r="B445" s="4" t="s">
        <v>2338</v>
      </c>
      <c r="C445" s="4" t="s">
        <v>2339</v>
      </c>
      <c r="D445" s="4" t="s">
        <v>763</v>
      </c>
      <c r="E445" s="4" t="s">
        <v>2228</v>
      </c>
      <c r="F445" s="4" t="s">
        <v>28</v>
      </c>
      <c r="G445" s="4" t="s">
        <v>185</v>
      </c>
      <c r="H445" s="4" t="s">
        <v>752</v>
      </c>
      <c r="I445" s="4" t="e">
        <v>#N/A</v>
      </c>
      <c r="J445" s="4" t="s">
        <v>204</v>
      </c>
      <c r="K445" s="4" t="s">
        <v>189</v>
      </c>
      <c r="L445" s="4" t="s">
        <v>729</v>
      </c>
      <c r="M445" s="4" t="s">
        <v>2340</v>
      </c>
      <c r="N445" s="4" t="s">
        <v>36</v>
      </c>
      <c r="O445" s="13" t="s">
        <v>2230</v>
      </c>
      <c r="P445" s="13" t="s">
        <v>2225</v>
      </c>
      <c r="Q445" s="13" t="s">
        <v>1264</v>
      </c>
      <c r="S445" s="7" t="e">
        <f ca="1">IF(_xludf.ifna(VLOOKUP(B445,Parámetros!#REF!,1,0),"")="","No","Sí")</f>
        <v>#NAME?</v>
      </c>
      <c r="T445" s="7" t="str">
        <f t="shared" si="14"/>
        <v>No normativo</v>
      </c>
      <c r="U445" s="4" t="s">
        <v>195</v>
      </c>
      <c r="V445" s="4" t="s">
        <v>39</v>
      </c>
      <c r="W445" s="4" t="s">
        <v>196</v>
      </c>
      <c r="X445" s="4" t="s">
        <v>426</v>
      </c>
      <c r="Y445" s="4" t="s">
        <v>2163</v>
      </c>
      <c r="Z445" s="4">
        <v>0</v>
      </c>
      <c r="AA445" s="4">
        <v>0</v>
      </c>
      <c r="AB445" s="4" t="s">
        <v>180</v>
      </c>
      <c r="AC445">
        <v>444</v>
      </c>
    </row>
    <row r="446" spans="1:29" ht="16.5" customHeight="1" x14ac:dyDescent="0.2">
      <c r="A446" s="6" t="str">
        <f t="shared" si="13"/>
        <v>SDATOOL-40653 $ GRM Col - Calibración de factores para el cálculo del Coeficiente de Fondeo Estable Neto</v>
      </c>
      <c r="B446" s="4" t="s">
        <v>2341</v>
      </c>
      <c r="C446" s="4" t="s">
        <v>2342</v>
      </c>
      <c r="D446" s="4" t="s">
        <v>763</v>
      </c>
      <c r="E446" s="4" t="s">
        <v>2343</v>
      </c>
      <c r="F446" s="4" t="s">
        <v>56</v>
      </c>
      <c r="G446" s="4" t="s">
        <v>185</v>
      </c>
      <c r="H446" s="4" t="s">
        <v>186</v>
      </c>
      <c r="J446" s="4" t="s">
        <v>187</v>
      </c>
      <c r="K446" s="4" t="s">
        <v>386</v>
      </c>
      <c r="L446" s="4" t="s">
        <v>314</v>
      </c>
      <c r="M446" s="4" t="s">
        <v>2344</v>
      </c>
      <c r="N446" s="4" t="s">
        <v>15</v>
      </c>
      <c r="O446" s="13" t="s">
        <v>2345</v>
      </c>
      <c r="P446" s="13" t="s">
        <v>2346</v>
      </c>
      <c r="Q446" s="13" t="s">
        <v>1155</v>
      </c>
      <c r="S446" s="7" t="e">
        <f ca="1">IF(_xludf.ifna(VLOOKUP(B446,Parámetros!#REF!,1,0),"")="","No","Sí")</f>
        <v>#NAME?</v>
      </c>
      <c r="T446" s="7" t="str">
        <f t="shared" si="14"/>
        <v>No normativo</v>
      </c>
      <c r="U446" s="4" t="s">
        <v>195</v>
      </c>
      <c r="V446" s="4" t="s">
        <v>39</v>
      </c>
      <c r="W446" s="4" t="s">
        <v>196</v>
      </c>
      <c r="X446" s="4" t="s">
        <v>328</v>
      </c>
      <c r="Y446" s="4" t="s">
        <v>1379</v>
      </c>
      <c r="Z446" s="5">
        <v>250000000</v>
      </c>
      <c r="AA446" s="5">
        <v>200000000</v>
      </c>
      <c r="AB446" s="4" t="s">
        <v>180</v>
      </c>
      <c r="AC446">
        <v>445</v>
      </c>
    </row>
    <row r="447" spans="1:29" ht="16.5" customHeight="1" x14ac:dyDescent="0.2">
      <c r="A447" s="6" t="str">
        <f t="shared" si="13"/>
        <v>SDATOOL-40656 $ GRM Col - Recuperación sobre cuentas pensionales</v>
      </c>
      <c r="B447" s="4" t="s">
        <v>2347</v>
      </c>
      <c r="C447" s="4" t="s">
        <v>2348</v>
      </c>
      <c r="D447" s="4" t="s">
        <v>763</v>
      </c>
      <c r="E447" s="4" t="s">
        <v>2349</v>
      </c>
      <c r="F447" s="4" t="s">
        <v>56</v>
      </c>
      <c r="G447" s="4" t="s">
        <v>185</v>
      </c>
      <c r="H447" s="4" t="s">
        <v>186</v>
      </c>
      <c r="K447" s="4" t="s">
        <v>386</v>
      </c>
      <c r="L447" s="4" t="s">
        <v>314</v>
      </c>
      <c r="M447" s="4" t="s">
        <v>2350</v>
      </c>
      <c r="N447" s="4" t="s">
        <v>29</v>
      </c>
      <c r="O447" s="13" t="s">
        <v>242</v>
      </c>
      <c r="P447" s="13" t="s">
        <v>2346</v>
      </c>
      <c r="Q447" s="13" t="s">
        <v>697</v>
      </c>
      <c r="S447" s="7" t="e">
        <f ca="1">IF(_xludf.ifna(VLOOKUP(B447,Parámetros!#REF!,1,0),"")="","No","Sí")</f>
        <v>#NAME?</v>
      </c>
      <c r="T447" s="7" t="str">
        <f t="shared" si="14"/>
        <v>No normativo</v>
      </c>
      <c r="U447" s="4" t="s">
        <v>195</v>
      </c>
      <c r="V447" s="4" t="s">
        <v>39</v>
      </c>
      <c r="W447" s="4" t="s">
        <v>196</v>
      </c>
      <c r="X447" s="4" t="s">
        <v>328</v>
      </c>
      <c r="Y447" s="4" t="s">
        <v>2256</v>
      </c>
      <c r="Z447" s="5">
        <v>240000000</v>
      </c>
      <c r="AA447" s="5">
        <v>240000000</v>
      </c>
      <c r="AB447" s="4" t="s">
        <v>180</v>
      </c>
      <c r="AC447">
        <v>446</v>
      </c>
    </row>
    <row r="448" spans="1:29" ht="16.5" customHeight="1" x14ac:dyDescent="0.2">
      <c r="A448" s="6" t="str">
        <f t="shared" si="13"/>
        <v>SDATOOL-40658 $ GRM Col - Cronos Collections - Estrategia</v>
      </c>
      <c r="B448" s="4" t="s">
        <v>2351</v>
      </c>
      <c r="C448" s="4" t="s">
        <v>2352</v>
      </c>
      <c r="D448" s="4" t="s">
        <v>763</v>
      </c>
      <c r="E448" s="4" t="s">
        <v>2353</v>
      </c>
      <c r="F448" s="4" t="s">
        <v>56</v>
      </c>
      <c r="G448" s="4" t="s">
        <v>185</v>
      </c>
      <c r="H448" s="4" t="s">
        <v>186</v>
      </c>
      <c r="I448" s="4" t="s">
        <v>186</v>
      </c>
      <c r="K448" s="4" t="s">
        <v>386</v>
      </c>
      <c r="L448" s="4" t="s">
        <v>586</v>
      </c>
      <c r="M448" s="4" t="s">
        <v>2354</v>
      </c>
      <c r="N448" s="4" t="s">
        <v>29</v>
      </c>
      <c r="O448" s="13" t="s">
        <v>242</v>
      </c>
      <c r="P448" s="13" t="s">
        <v>1246</v>
      </c>
      <c r="Q448" s="13" t="s">
        <v>255</v>
      </c>
      <c r="S448" s="7" t="e">
        <f ca="1">IF(_xludf.ifna(VLOOKUP(B448,Parámetros!#REF!,1,0),"")="","No","Sí")</f>
        <v>#NAME?</v>
      </c>
      <c r="T448" s="7" t="str">
        <f t="shared" si="14"/>
        <v>No normativo</v>
      </c>
      <c r="U448" s="4" t="s">
        <v>195</v>
      </c>
      <c r="V448" s="4" t="s">
        <v>39</v>
      </c>
      <c r="W448" s="4" t="s">
        <v>233</v>
      </c>
      <c r="X448" s="4" t="s">
        <v>92</v>
      </c>
      <c r="Y448" s="4" t="s">
        <v>533</v>
      </c>
      <c r="Z448" s="5">
        <v>2891652001</v>
      </c>
      <c r="AA448" s="5">
        <v>2891652001</v>
      </c>
      <c r="AB448" s="4" t="s">
        <v>180</v>
      </c>
      <c r="AC448">
        <v>447</v>
      </c>
    </row>
    <row r="449" spans="1:29" ht="16.5" customHeight="1" x14ac:dyDescent="0.2">
      <c r="A449" s="6" t="str">
        <f t="shared" si="13"/>
        <v>SDATOOL-40670 $ Plan CRM: Mejoras DWP Jurídicos (Pymes, Empresas,Gobiernos)</v>
      </c>
      <c r="B449" s="4" t="s">
        <v>20</v>
      </c>
      <c r="C449" s="4" t="s">
        <v>2355</v>
      </c>
      <c r="D449" s="4" t="s">
        <v>183</v>
      </c>
      <c r="E449" s="4" t="s">
        <v>2356</v>
      </c>
      <c r="F449" s="4" t="s">
        <v>28</v>
      </c>
      <c r="G449" s="4" t="s">
        <v>185</v>
      </c>
      <c r="H449" s="4" t="s">
        <v>186</v>
      </c>
      <c r="I449" s="4" t="s">
        <v>186</v>
      </c>
      <c r="J449" s="4" t="s">
        <v>204</v>
      </c>
      <c r="K449" s="4" t="s">
        <v>386</v>
      </c>
      <c r="L449" s="4" t="s">
        <v>586</v>
      </c>
      <c r="M449" s="4" t="s">
        <v>649</v>
      </c>
      <c r="N449" s="4" t="s">
        <v>51</v>
      </c>
      <c r="O449" s="13" t="s">
        <v>1680</v>
      </c>
      <c r="P449" s="13" t="s">
        <v>822</v>
      </c>
      <c r="Q449" s="13" t="s">
        <v>488</v>
      </c>
      <c r="S449" s="7" t="e">
        <f ca="1">IF(_xludf.ifna(VLOOKUP(B449,Parámetros!#REF!,1,0),"")="","No","Sí")</f>
        <v>#NAME?</v>
      </c>
      <c r="T449" s="7" t="str">
        <f t="shared" si="14"/>
        <v>Normativo</v>
      </c>
      <c r="U449" s="4" t="s">
        <v>195</v>
      </c>
      <c r="V449" s="4" t="s">
        <v>39</v>
      </c>
      <c r="W449" s="4" t="s">
        <v>196</v>
      </c>
      <c r="X449" s="4" t="s">
        <v>197</v>
      </c>
      <c r="Y449" s="4" t="s">
        <v>95</v>
      </c>
      <c r="Z449" s="5">
        <v>1182594887</v>
      </c>
      <c r="AA449" s="5">
        <v>1011000000</v>
      </c>
      <c r="AB449" s="4" t="s">
        <v>180</v>
      </c>
      <c r="AC449">
        <v>448</v>
      </c>
    </row>
    <row r="450" spans="1:29" ht="16.5" customHeight="1" x14ac:dyDescent="0.2">
      <c r="A450" s="6" t="str">
        <f t="shared" si="13"/>
        <v>SDATOOL-40671 $ Plan CRM: Mejoras DWP Particulares Alto Valor (Personal, Wealth)</v>
      </c>
      <c r="B450" s="4" t="s">
        <v>13</v>
      </c>
      <c r="C450" s="4" t="s">
        <v>2357</v>
      </c>
      <c r="D450" s="4" t="s">
        <v>183</v>
      </c>
      <c r="E450" s="4" t="s">
        <v>2358</v>
      </c>
      <c r="F450" s="4" t="s">
        <v>28</v>
      </c>
      <c r="G450" s="4" t="s">
        <v>185</v>
      </c>
      <c r="H450" s="4" t="s">
        <v>186</v>
      </c>
      <c r="I450" s="4" t="s">
        <v>186</v>
      </c>
      <c r="J450" s="4" t="s">
        <v>204</v>
      </c>
      <c r="K450" s="4" t="s">
        <v>386</v>
      </c>
      <c r="L450" s="4" t="s">
        <v>586</v>
      </c>
      <c r="M450" s="4" t="s">
        <v>649</v>
      </c>
      <c r="N450" s="4" t="s">
        <v>29</v>
      </c>
      <c r="O450" s="13" t="s">
        <v>650</v>
      </c>
      <c r="P450" s="13" t="s">
        <v>2359</v>
      </c>
      <c r="Q450" s="13" t="s">
        <v>488</v>
      </c>
      <c r="S450" s="7" t="e">
        <f ca="1">IF(_xludf.ifna(VLOOKUP(B450,Parámetros!#REF!,1,0),"")="","No","Sí")</f>
        <v>#NAME?</v>
      </c>
      <c r="T450" s="7" t="str">
        <f t="shared" si="14"/>
        <v>Normativo</v>
      </c>
      <c r="U450" s="4" t="s">
        <v>195</v>
      </c>
      <c r="V450" s="4" t="s">
        <v>39</v>
      </c>
      <c r="W450" s="4" t="s">
        <v>196</v>
      </c>
      <c r="X450" s="4" t="s">
        <v>197</v>
      </c>
      <c r="Y450" s="4" t="s">
        <v>95</v>
      </c>
      <c r="Z450" s="5">
        <v>860595309</v>
      </c>
      <c r="AA450" s="5">
        <v>780000000</v>
      </c>
      <c r="AB450" s="4" t="s">
        <v>180</v>
      </c>
      <c r="AC450">
        <v>449</v>
      </c>
    </row>
    <row r="451" spans="1:29" ht="16.5" customHeight="1" x14ac:dyDescent="0.2">
      <c r="A451" s="6" t="str">
        <f t="shared" ref="A451:A514" si="15">B451&amp;" $ "&amp;C451</f>
        <v>SDATOOL-40672 $ Plan CRM: Mejoras AUG (Banca Comercial y CSF) Equipo A</v>
      </c>
      <c r="B451" s="4" t="s">
        <v>2360</v>
      </c>
      <c r="C451" s="4" t="s">
        <v>2361</v>
      </c>
      <c r="D451" s="4" t="s">
        <v>183</v>
      </c>
      <c r="E451" s="4" t="s">
        <v>2362</v>
      </c>
      <c r="F451" s="4" t="s">
        <v>28</v>
      </c>
      <c r="G451" s="4" t="s">
        <v>185</v>
      </c>
      <c r="H451" s="4" t="s">
        <v>186</v>
      </c>
      <c r="I451" s="4" t="s">
        <v>186</v>
      </c>
      <c r="J451" s="4" t="s">
        <v>204</v>
      </c>
      <c r="K451" s="4" t="s">
        <v>386</v>
      </c>
      <c r="L451" s="4" t="s">
        <v>586</v>
      </c>
      <c r="M451" s="4" t="s">
        <v>649</v>
      </c>
      <c r="N451" s="4" t="s">
        <v>29</v>
      </c>
      <c r="O451" s="13" t="s">
        <v>650</v>
      </c>
      <c r="P451" s="13" t="s">
        <v>651</v>
      </c>
      <c r="Q451" s="13" t="s">
        <v>210</v>
      </c>
      <c r="S451" s="7" t="e">
        <f ca="1">IF(_xludf.ifna(VLOOKUP(B451,Parámetros!#REF!,1,0),"")="","No","Sí")</f>
        <v>#NAME?</v>
      </c>
      <c r="T451" s="7" t="str">
        <f t="shared" ref="T451:T514" si="16">IF(U457="None","No normativo","Normativo")</f>
        <v>Normativo</v>
      </c>
      <c r="U451" s="4" t="s">
        <v>195</v>
      </c>
      <c r="V451" s="4" t="s">
        <v>39</v>
      </c>
      <c r="W451" s="4" t="s">
        <v>196</v>
      </c>
      <c r="X451" s="4" t="s">
        <v>197</v>
      </c>
      <c r="Y451" s="4" t="s">
        <v>95</v>
      </c>
      <c r="Z451" s="5">
        <v>1155853164</v>
      </c>
      <c r="AA451" s="5">
        <v>1450800000</v>
      </c>
      <c r="AB451" s="4" t="s">
        <v>180</v>
      </c>
      <c r="AC451">
        <v>450</v>
      </c>
    </row>
    <row r="452" spans="1:29" ht="16.5" hidden="1" customHeight="1" x14ac:dyDescent="0.2">
      <c r="A452" s="6" t="str">
        <f t="shared" si="15"/>
        <v>SDATOOL-40676 $ Contratación y uso de mPOS desde APPs BBVA</v>
      </c>
      <c r="B452" s="4" t="s">
        <v>2363</v>
      </c>
      <c r="C452" s="4" t="s">
        <v>2364</v>
      </c>
      <c r="D452" s="4" t="s">
        <v>763</v>
      </c>
      <c r="E452" s="4" t="s">
        <v>1594</v>
      </c>
      <c r="F452" s="4" t="s">
        <v>28</v>
      </c>
      <c r="G452" s="4" t="s">
        <v>185</v>
      </c>
      <c r="H452" s="4" t="s">
        <v>752</v>
      </c>
      <c r="I452" s="4" t="e">
        <v>#N/A</v>
      </c>
      <c r="J452" s="4" t="s">
        <v>204</v>
      </c>
      <c r="K452" s="4" t="s">
        <v>206</v>
      </c>
      <c r="L452" s="4" t="s">
        <v>394</v>
      </c>
      <c r="M452" s="4" t="s">
        <v>2365</v>
      </c>
      <c r="N452" s="4" t="s">
        <v>51</v>
      </c>
      <c r="O452" s="13" t="s">
        <v>1595</v>
      </c>
      <c r="P452" s="13" t="s">
        <v>776</v>
      </c>
      <c r="Q452" s="13" t="s">
        <v>434</v>
      </c>
      <c r="S452" s="7" t="e">
        <f ca="1">IF(_xludf.ifna(VLOOKUP(B452,Parámetros!#REF!,1,0),"")="","No","Sí")</f>
        <v>#NAME?</v>
      </c>
      <c r="T452" s="7" t="str">
        <f t="shared" si="16"/>
        <v>No normativo</v>
      </c>
      <c r="U452" s="4" t="s">
        <v>195</v>
      </c>
      <c r="V452" s="4" t="s">
        <v>39</v>
      </c>
      <c r="W452" s="4" t="s">
        <v>233</v>
      </c>
      <c r="X452" s="4" t="s">
        <v>234</v>
      </c>
      <c r="Y452" s="4" t="s">
        <v>667</v>
      </c>
      <c r="Z452" s="4">
        <v>0</v>
      </c>
      <c r="AA452" s="4">
        <v>0</v>
      </c>
      <c r="AB452" s="4" t="s">
        <v>180</v>
      </c>
      <c r="AC452">
        <v>451</v>
      </c>
    </row>
    <row r="453" spans="1:29" ht="16.5" customHeight="1" x14ac:dyDescent="0.2">
      <c r="A453" s="6" t="str">
        <f t="shared" si="15"/>
        <v>SDATOOL-40688 $ API Recaudo / Retiro digital</v>
      </c>
      <c r="B453" s="4" t="s">
        <v>2366</v>
      </c>
      <c r="C453" s="4" t="s">
        <v>2367</v>
      </c>
      <c r="D453" s="4" t="s">
        <v>763</v>
      </c>
      <c r="E453" s="4" t="s">
        <v>2368</v>
      </c>
      <c r="F453" s="4" t="s">
        <v>21</v>
      </c>
      <c r="G453" s="4" t="s">
        <v>185</v>
      </c>
      <c r="H453" s="4" t="s">
        <v>186</v>
      </c>
      <c r="K453" s="4" t="s">
        <v>386</v>
      </c>
      <c r="L453" s="4" t="s">
        <v>189</v>
      </c>
      <c r="M453" s="4" t="s">
        <v>2369</v>
      </c>
      <c r="N453" s="4" t="s">
        <v>44</v>
      </c>
      <c r="O453" s="13" t="s">
        <v>419</v>
      </c>
      <c r="P453" s="13" t="s">
        <v>947</v>
      </c>
      <c r="Q453" s="13" t="s">
        <v>543</v>
      </c>
      <c r="S453" s="7" t="e">
        <f ca="1">IF(_xludf.ifna(VLOOKUP(B453,Parámetros!#REF!,1,0),"")="","No","Sí")</f>
        <v>#NAME?</v>
      </c>
      <c r="T453" s="7" t="str">
        <f t="shared" si="16"/>
        <v>No normativo</v>
      </c>
      <c r="U453" s="4" t="s">
        <v>195</v>
      </c>
      <c r="V453" s="4" t="s">
        <v>39</v>
      </c>
      <c r="W453" s="4" t="s">
        <v>233</v>
      </c>
      <c r="X453" s="4" t="s">
        <v>234</v>
      </c>
      <c r="Y453" s="4" t="s">
        <v>948</v>
      </c>
      <c r="Z453" s="5">
        <v>200000000</v>
      </c>
      <c r="AA453" s="4">
        <v>0</v>
      </c>
      <c r="AB453" s="4" t="s">
        <v>215</v>
      </c>
      <c r="AC453">
        <v>452</v>
      </c>
    </row>
    <row r="454" spans="1:29" ht="16.5" customHeight="1" x14ac:dyDescent="0.2">
      <c r="A454" s="6" t="str">
        <f t="shared" si="15"/>
        <v>SDATOOL-40690 $ Plan CRM: Mejoras AUG (Banca Comercial y CSF) Equipo B</v>
      </c>
      <c r="B454" s="4" t="s">
        <v>49</v>
      </c>
      <c r="C454" s="4" t="s">
        <v>2370</v>
      </c>
      <c r="D454" s="4" t="s">
        <v>183</v>
      </c>
      <c r="E454" s="4" t="s">
        <v>2362</v>
      </c>
      <c r="F454" s="4" t="s">
        <v>28</v>
      </c>
      <c r="G454" s="4" t="s">
        <v>185</v>
      </c>
      <c r="H454" s="4" t="s">
        <v>186</v>
      </c>
      <c r="I454" s="4" t="s">
        <v>186</v>
      </c>
      <c r="J454" s="4" t="s">
        <v>204</v>
      </c>
      <c r="K454" s="4" t="s">
        <v>386</v>
      </c>
      <c r="L454" s="4" t="s">
        <v>586</v>
      </c>
      <c r="M454" s="4" t="s">
        <v>649</v>
      </c>
      <c r="N454" s="4" t="s">
        <v>29</v>
      </c>
      <c r="O454" s="13" t="s">
        <v>650</v>
      </c>
      <c r="P454" s="13" t="s">
        <v>2371</v>
      </c>
      <c r="Q454" s="13" t="s">
        <v>210</v>
      </c>
      <c r="S454" s="7" t="e">
        <f ca="1">IF(_xludf.ifna(VLOOKUP(B454,Parámetros!#REF!,1,0),"")="","No","Sí")</f>
        <v>#NAME?</v>
      </c>
      <c r="T454" s="7" t="str">
        <f t="shared" si="16"/>
        <v>No normativo</v>
      </c>
      <c r="U454" s="4" t="s">
        <v>195</v>
      </c>
      <c r="V454" s="4" t="s">
        <v>39</v>
      </c>
      <c r="W454" s="4" t="s">
        <v>196</v>
      </c>
      <c r="X454" s="4" t="s">
        <v>197</v>
      </c>
      <c r="Y454" s="4" t="s">
        <v>95</v>
      </c>
      <c r="Z454" s="5">
        <v>1602569442</v>
      </c>
      <c r="AA454" s="5">
        <v>1379700000</v>
      </c>
      <c r="AB454" s="4" t="s">
        <v>180</v>
      </c>
      <c r="AC454">
        <v>453</v>
      </c>
    </row>
    <row r="455" spans="1:29" ht="16.5" customHeight="1" x14ac:dyDescent="0.2">
      <c r="A455" s="6" t="str">
        <f t="shared" si="15"/>
        <v>SDATOOL-40694 $ Marca PYMES consumo APRS</v>
      </c>
      <c r="B455" s="4" t="s">
        <v>2372</v>
      </c>
      <c r="C455" s="4" t="s">
        <v>2373</v>
      </c>
      <c r="D455" s="4" t="s">
        <v>183</v>
      </c>
      <c r="E455" s="4" t="s">
        <v>2374</v>
      </c>
      <c r="F455" s="4" t="s">
        <v>50</v>
      </c>
      <c r="G455" s="4" t="s">
        <v>185</v>
      </c>
      <c r="H455" s="4" t="s">
        <v>186</v>
      </c>
      <c r="J455" s="4" t="s">
        <v>204</v>
      </c>
      <c r="K455" s="4" t="s">
        <v>206</v>
      </c>
      <c r="L455" s="4" t="s">
        <v>189</v>
      </c>
      <c r="M455" s="4" t="s">
        <v>2375</v>
      </c>
      <c r="N455" s="4" t="s">
        <v>15</v>
      </c>
      <c r="O455" s="13" t="s">
        <v>579</v>
      </c>
      <c r="P455" s="13" t="s">
        <v>279</v>
      </c>
      <c r="Q455" s="13" t="s">
        <v>318</v>
      </c>
      <c r="S455" s="7" t="e">
        <f ca="1">IF(_xludf.ifna(VLOOKUP(B455,Parámetros!#REF!,1,0),"")="","No","Sí")</f>
        <v>#NAME?</v>
      </c>
      <c r="T455" s="7" t="str">
        <f t="shared" si="16"/>
        <v>Normativo</v>
      </c>
      <c r="U455" s="4" t="s">
        <v>224</v>
      </c>
      <c r="V455" s="4" t="s">
        <v>39</v>
      </c>
      <c r="W455" s="4" t="s">
        <v>196</v>
      </c>
      <c r="X455" s="4" t="s">
        <v>225</v>
      </c>
      <c r="Y455" s="4" t="s">
        <v>226</v>
      </c>
      <c r="Z455" s="5">
        <v>12650341</v>
      </c>
      <c r="AA455" s="5">
        <v>27016092</v>
      </c>
      <c r="AB455" s="4" t="s">
        <v>215</v>
      </c>
      <c r="AC455">
        <v>454</v>
      </c>
    </row>
    <row r="456" spans="1:29" ht="16.5" hidden="1" customHeight="1" x14ac:dyDescent="0.2">
      <c r="A456" s="6" t="str">
        <f t="shared" si="15"/>
        <v>SDATOOL-40705 $ Reportes DIAN Cuenta Ordenes de Pago M.E. por pagar e Impuesto de Timbre</v>
      </c>
      <c r="B456" s="4" t="s">
        <v>2376</v>
      </c>
      <c r="C456" s="4" t="s">
        <v>2377</v>
      </c>
      <c r="D456" s="4" t="s">
        <v>183</v>
      </c>
      <c r="E456" s="4" t="s">
        <v>2378</v>
      </c>
      <c r="F456" s="4" t="s">
        <v>50</v>
      </c>
      <c r="G456" s="4" t="s">
        <v>185</v>
      </c>
      <c r="H456" s="4" t="s">
        <v>276</v>
      </c>
      <c r="J456" s="4" t="s">
        <v>204</v>
      </c>
      <c r="K456" s="4" t="s">
        <v>386</v>
      </c>
      <c r="L456" s="4" t="s">
        <v>314</v>
      </c>
      <c r="M456" s="4" t="s">
        <v>2379</v>
      </c>
      <c r="N456" s="4" t="s">
        <v>15</v>
      </c>
      <c r="O456" s="13" t="s">
        <v>568</v>
      </c>
      <c r="P456" s="13" t="s">
        <v>455</v>
      </c>
      <c r="Q456" s="13" t="s">
        <v>2380</v>
      </c>
      <c r="S456" s="7" t="e">
        <f ca="1">IF(_xludf.ifna(VLOOKUP(B456,Parámetros!#REF!,1,0),"")="","No","Sí")</f>
        <v>#NAME?</v>
      </c>
      <c r="T456" s="7" t="str">
        <f t="shared" si="16"/>
        <v>No normativo</v>
      </c>
      <c r="U456" s="4" t="s">
        <v>224</v>
      </c>
      <c r="V456" s="4" t="s">
        <v>39</v>
      </c>
      <c r="W456" s="4" t="s">
        <v>196</v>
      </c>
      <c r="X456" s="4" t="s">
        <v>246</v>
      </c>
      <c r="Y456" s="4" t="s">
        <v>265</v>
      </c>
      <c r="Z456" s="4">
        <v>0</v>
      </c>
      <c r="AA456" s="5">
        <v>150000000</v>
      </c>
      <c r="AB456" s="4" t="s">
        <v>215</v>
      </c>
      <c r="AC456">
        <v>455</v>
      </c>
    </row>
    <row r="457" spans="1:29" ht="16.5" customHeight="1" x14ac:dyDescent="0.2">
      <c r="A457" s="6" t="str">
        <f t="shared" si="15"/>
        <v>SDATOOL-40706 $ Validaciones en Captura de Terceros Aplicativo TBM</v>
      </c>
      <c r="B457" s="4" t="s">
        <v>2381</v>
      </c>
      <c r="C457" s="4" t="s">
        <v>2382</v>
      </c>
      <c r="D457" s="4" t="s">
        <v>183</v>
      </c>
      <c r="E457" s="4" t="s">
        <v>2383</v>
      </c>
      <c r="F457" s="4" t="s">
        <v>50</v>
      </c>
      <c r="G457" s="4" t="s">
        <v>185</v>
      </c>
      <c r="H457" s="4" t="s">
        <v>186</v>
      </c>
      <c r="J457" s="4" t="s">
        <v>204</v>
      </c>
      <c r="K457" s="4" t="s">
        <v>386</v>
      </c>
      <c r="L457" s="4" t="s">
        <v>314</v>
      </c>
      <c r="M457" s="4" t="s">
        <v>2384</v>
      </c>
      <c r="N457" s="4" t="s">
        <v>15</v>
      </c>
      <c r="O457" s="13" t="s">
        <v>568</v>
      </c>
      <c r="P457" s="13" t="s">
        <v>455</v>
      </c>
      <c r="Q457" s="13" t="s">
        <v>2380</v>
      </c>
      <c r="S457" s="7" t="e">
        <f ca="1">IF(_xludf.ifna(VLOOKUP(B457,Parámetros!#REF!,1,0),"")="","No","Sí")</f>
        <v>#NAME?</v>
      </c>
      <c r="T457" s="7" t="str">
        <f t="shared" si="16"/>
        <v>No normativo</v>
      </c>
      <c r="U457" s="4" t="s">
        <v>224</v>
      </c>
      <c r="V457" s="4" t="s">
        <v>39</v>
      </c>
      <c r="W457" s="4" t="s">
        <v>196</v>
      </c>
      <c r="X457" s="4" t="s">
        <v>246</v>
      </c>
      <c r="Y457" s="4" t="s">
        <v>265</v>
      </c>
      <c r="Z457" s="5">
        <v>144854682</v>
      </c>
      <c r="AA457" s="5">
        <v>128927341</v>
      </c>
      <c r="AB457" s="4" t="s">
        <v>180</v>
      </c>
      <c r="AC457">
        <v>456</v>
      </c>
    </row>
    <row r="458" spans="1:29" ht="16.5" customHeight="1" x14ac:dyDescent="0.2">
      <c r="A458" s="6" t="str">
        <f t="shared" si="15"/>
        <v>SDATOOL-40710 $ GRM Col - Cronos - Plan Ascenso - Mejoras CAP Pymes Fase II</v>
      </c>
      <c r="B458" s="4" t="s">
        <v>2385</v>
      </c>
      <c r="C458" s="4" t="s">
        <v>2386</v>
      </c>
      <c r="D458" s="4" t="s">
        <v>183</v>
      </c>
      <c r="E458" s="4" t="s">
        <v>2387</v>
      </c>
      <c r="F458" s="4" t="s">
        <v>56</v>
      </c>
      <c r="G458" s="4" t="s">
        <v>185</v>
      </c>
      <c r="H458" s="4" t="s">
        <v>186</v>
      </c>
      <c r="I458" s="4" t="s">
        <v>186</v>
      </c>
      <c r="K458" s="4" t="s">
        <v>386</v>
      </c>
      <c r="L458" s="4" t="s">
        <v>314</v>
      </c>
      <c r="M458" s="4" t="s">
        <v>2388</v>
      </c>
      <c r="N458" s="4" t="s">
        <v>29</v>
      </c>
      <c r="O458" s="13" t="s">
        <v>1778</v>
      </c>
      <c r="P458" s="13" t="s">
        <v>713</v>
      </c>
      <c r="Q458" s="13" t="s">
        <v>255</v>
      </c>
      <c r="S458" s="7" t="e">
        <f ca="1">IF(_xludf.ifna(VLOOKUP(B458,Parámetros!#REF!,1,0),"")="","No","Sí")</f>
        <v>#NAME?</v>
      </c>
      <c r="T458" s="7" t="str">
        <f t="shared" si="16"/>
        <v>No normativo</v>
      </c>
      <c r="U458" s="4" t="s">
        <v>195</v>
      </c>
      <c r="V458" s="4" t="s">
        <v>39</v>
      </c>
      <c r="W458" s="4" t="s">
        <v>233</v>
      </c>
      <c r="X458" s="4" t="s">
        <v>234</v>
      </c>
      <c r="Y458" s="4" t="s">
        <v>520</v>
      </c>
      <c r="Z458" s="5">
        <v>330972674</v>
      </c>
      <c r="AA458" s="5">
        <v>473500000</v>
      </c>
      <c r="AB458" s="4" t="s">
        <v>180</v>
      </c>
      <c r="AC458">
        <v>457</v>
      </c>
    </row>
    <row r="459" spans="1:29" ht="16.5" customHeight="1" x14ac:dyDescent="0.2">
      <c r="A459" s="6" t="str">
        <f t="shared" si="15"/>
        <v>SDATOOL-40736 $ Curvas de Fondeo por Producto (ALM)</v>
      </c>
      <c r="B459" s="4" t="s">
        <v>2389</v>
      </c>
      <c r="C459" s="4" t="s">
        <v>2390</v>
      </c>
      <c r="D459" s="4" t="s">
        <v>183</v>
      </c>
      <c r="E459" s="4" t="s">
        <v>2391</v>
      </c>
      <c r="F459" s="4" t="s">
        <v>50</v>
      </c>
      <c r="G459" s="4" t="s">
        <v>185</v>
      </c>
      <c r="H459" s="4" t="s">
        <v>186</v>
      </c>
      <c r="I459" s="4" t="s">
        <v>186</v>
      </c>
      <c r="J459" s="4" t="s">
        <v>187</v>
      </c>
      <c r="K459" s="4" t="s">
        <v>206</v>
      </c>
      <c r="L459" s="4" t="s">
        <v>189</v>
      </c>
      <c r="M459" s="4" t="s">
        <v>2392</v>
      </c>
      <c r="N459" s="4" t="s">
        <v>15</v>
      </c>
      <c r="O459" s="13" t="s">
        <v>883</v>
      </c>
      <c r="P459" s="13" t="s">
        <v>279</v>
      </c>
      <c r="Q459" s="13" t="s">
        <v>318</v>
      </c>
      <c r="R459" s="4" t="s">
        <v>2393</v>
      </c>
      <c r="S459" s="7" t="e">
        <f ca="1">IF(_xludf.ifna(VLOOKUP(B459,Parámetros!#REF!,1,0),"")="","No","Sí")</f>
        <v>#NAME?</v>
      </c>
      <c r="T459" s="7" t="str">
        <f t="shared" si="16"/>
        <v>No normativo</v>
      </c>
      <c r="U459" s="4" t="s">
        <v>195</v>
      </c>
      <c r="V459" s="4" t="s">
        <v>39</v>
      </c>
      <c r="W459" s="4" t="s">
        <v>196</v>
      </c>
      <c r="X459" s="4" t="s">
        <v>225</v>
      </c>
      <c r="Y459" s="4" t="s">
        <v>1372</v>
      </c>
      <c r="Z459" s="5">
        <v>30000000</v>
      </c>
      <c r="AA459" s="5">
        <v>60000000</v>
      </c>
      <c r="AB459" s="4" t="s">
        <v>180</v>
      </c>
      <c r="AC459">
        <v>458</v>
      </c>
    </row>
    <row r="460" spans="1:29" ht="16.5" hidden="1" customHeight="1" x14ac:dyDescent="0.2">
      <c r="A460" s="6" t="str">
        <f t="shared" si="15"/>
        <v>SDATOOL-40761 $ Seguros - Automatización BEX Seguros</v>
      </c>
      <c r="B460" s="4" t="s">
        <v>2394</v>
      </c>
      <c r="C460" s="4" t="s">
        <v>2395</v>
      </c>
      <c r="D460" s="4" t="s">
        <v>763</v>
      </c>
      <c r="E460" s="4" t="s">
        <v>1719</v>
      </c>
      <c r="F460" s="4" t="s">
        <v>28</v>
      </c>
      <c r="G460" s="4" t="s">
        <v>185</v>
      </c>
      <c r="H460" s="4" t="s">
        <v>752</v>
      </c>
      <c r="J460" s="4" t="s">
        <v>204</v>
      </c>
      <c r="K460" s="4" t="s">
        <v>386</v>
      </c>
      <c r="L460" s="4" t="s">
        <v>394</v>
      </c>
      <c r="M460" s="4" t="s">
        <v>1719</v>
      </c>
      <c r="N460" s="4" t="s">
        <v>29</v>
      </c>
      <c r="O460" s="13" t="s">
        <v>646</v>
      </c>
      <c r="P460" s="13" t="s">
        <v>344</v>
      </c>
      <c r="Q460" s="13" t="s">
        <v>1822</v>
      </c>
      <c r="S460" s="7" t="e">
        <f ca="1">IF(_xludf.ifna(VLOOKUP(B460,Parámetros!#REF!,1,0),"")="","No","Sí")</f>
        <v>#NAME?</v>
      </c>
      <c r="T460" s="7" t="str">
        <f t="shared" si="16"/>
        <v>Normativo</v>
      </c>
      <c r="U460" s="4" t="s">
        <v>195</v>
      </c>
      <c r="V460" s="4" t="s">
        <v>347</v>
      </c>
      <c r="W460" s="4" t="s">
        <v>233</v>
      </c>
      <c r="X460" s="4" t="s">
        <v>234</v>
      </c>
      <c r="Y460" s="4" t="s">
        <v>501</v>
      </c>
      <c r="Z460" s="4">
        <v>0</v>
      </c>
      <c r="AA460" s="4">
        <v>0</v>
      </c>
      <c r="AB460" s="4" t="s">
        <v>215</v>
      </c>
      <c r="AC460">
        <v>459</v>
      </c>
    </row>
    <row r="461" spans="1:29" ht="16.5" customHeight="1" x14ac:dyDescent="0.2">
      <c r="A461" s="6" t="str">
        <f t="shared" si="15"/>
        <v>SDATOOL-40762 $ Seguros - IFRS 17 Catch up</v>
      </c>
      <c r="B461" s="4" t="s">
        <v>2396</v>
      </c>
      <c r="C461" s="4" t="s">
        <v>2397</v>
      </c>
      <c r="D461" s="4" t="s">
        <v>763</v>
      </c>
      <c r="E461" s="4" t="s">
        <v>2398</v>
      </c>
      <c r="F461" s="4" t="s">
        <v>28</v>
      </c>
      <c r="G461" s="4" t="s">
        <v>185</v>
      </c>
      <c r="H461" s="4" t="s">
        <v>186</v>
      </c>
      <c r="J461" s="4" t="s">
        <v>204</v>
      </c>
      <c r="K461" s="4" t="s">
        <v>386</v>
      </c>
      <c r="L461" s="4" t="s">
        <v>394</v>
      </c>
      <c r="M461" s="4" t="s">
        <v>2399</v>
      </c>
      <c r="N461" s="4" t="s">
        <v>15</v>
      </c>
      <c r="O461" s="13" t="s">
        <v>646</v>
      </c>
      <c r="P461" s="13" t="s">
        <v>344</v>
      </c>
      <c r="Q461" s="13" t="s">
        <v>345</v>
      </c>
      <c r="S461" s="7" t="e">
        <f ca="1">IF(_xludf.ifna(VLOOKUP(B461,Parámetros!#REF!,1,0),"")="","No","Sí")</f>
        <v>#NAME?</v>
      </c>
      <c r="T461" s="7" t="str">
        <f t="shared" si="16"/>
        <v>Normativo</v>
      </c>
      <c r="U461" s="4" t="s">
        <v>224</v>
      </c>
      <c r="V461" s="4" t="s">
        <v>347</v>
      </c>
      <c r="W461" s="4" t="s">
        <v>196</v>
      </c>
      <c r="X461" s="4" t="s">
        <v>246</v>
      </c>
      <c r="Y461" s="4" t="s">
        <v>265</v>
      </c>
      <c r="Z461" s="5">
        <v>911446035</v>
      </c>
      <c r="AA461" s="5">
        <v>1215446035</v>
      </c>
      <c r="AB461" s="4" t="s">
        <v>180</v>
      </c>
      <c r="AC461">
        <v>460</v>
      </c>
    </row>
    <row r="462" spans="1:29" ht="16.5" hidden="1" customHeight="1" x14ac:dyDescent="0.2">
      <c r="A462" s="6" t="str">
        <f t="shared" si="15"/>
        <v>SDATOOL-40763 $ Seguros - Infraestructura y Workplace 2023</v>
      </c>
      <c r="B462" s="4" t="s">
        <v>2400</v>
      </c>
      <c r="C462" s="4" t="s">
        <v>2401</v>
      </c>
      <c r="D462" s="4" t="s">
        <v>763</v>
      </c>
      <c r="E462" s="4" t="s">
        <v>2402</v>
      </c>
      <c r="F462" s="4" t="s">
        <v>28</v>
      </c>
      <c r="G462" s="4" t="s">
        <v>185</v>
      </c>
      <c r="H462" s="4" t="s">
        <v>752</v>
      </c>
      <c r="J462" s="4" t="s">
        <v>204</v>
      </c>
      <c r="K462" s="4" t="s">
        <v>386</v>
      </c>
      <c r="L462" s="4" t="s">
        <v>394</v>
      </c>
      <c r="M462" s="4" t="s">
        <v>2402</v>
      </c>
      <c r="N462" s="4" t="s">
        <v>29</v>
      </c>
      <c r="O462" s="13" t="s">
        <v>646</v>
      </c>
      <c r="P462" s="13" t="s">
        <v>344</v>
      </c>
      <c r="Q462" s="13" t="s">
        <v>1822</v>
      </c>
      <c r="S462" s="7" t="e">
        <f ca="1">IF(_xludf.ifna(VLOOKUP(B462,Parámetros!#REF!,1,0),"")="","No","Sí")</f>
        <v>#NAME?</v>
      </c>
      <c r="T462" s="7" t="str">
        <f t="shared" si="16"/>
        <v>Normativo</v>
      </c>
      <c r="U462" s="4" t="s">
        <v>195</v>
      </c>
      <c r="V462" s="4" t="s">
        <v>347</v>
      </c>
      <c r="W462" s="4" t="s">
        <v>233</v>
      </c>
      <c r="X462" s="4" t="s">
        <v>234</v>
      </c>
      <c r="Y462" s="4" t="s">
        <v>501</v>
      </c>
      <c r="Z462" s="4">
        <v>0</v>
      </c>
      <c r="AA462" s="4">
        <v>0</v>
      </c>
      <c r="AB462" s="4" t="s">
        <v>215</v>
      </c>
      <c r="AC462">
        <v>461</v>
      </c>
    </row>
    <row r="463" spans="1:29" ht="16.5" hidden="1" customHeight="1" x14ac:dyDescent="0.2">
      <c r="A463" s="6" t="str">
        <f t="shared" si="15"/>
        <v>SDATOOL-40764 $ Seguros - AXA F2</v>
      </c>
      <c r="B463" s="4" t="s">
        <v>2403</v>
      </c>
      <c r="C463" s="4" t="s">
        <v>2404</v>
      </c>
      <c r="D463" s="4" t="s">
        <v>763</v>
      </c>
      <c r="E463" s="4" t="s">
        <v>2405</v>
      </c>
      <c r="F463" s="4" t="s">
        <v>28</v>
      </c>
      <c r="G463" s="4" t="s">
        <v>185</v>
      </c>
      <c r="H463" s="4" t="s">
        <v>752</v>
      </c>
      <c r="I463" s="4" t="s">
        <v>186</v>
      </c>
      <c r="J463" s="4" t="s">
        <v>204</v>
      </c>
      <c r="K463" s="4" t="s">
        <v>386</v>
      </c>
      <c r="L463" s="4" t="s">
        <v>394</v>
      </c>
      <c r="M463" s="4" t="s">
        <v>2406</v>
      </c>
      <c r="N463" s="4" t="s">
        <v>29</v>
      </c>
      <c r="O463" s="13" t="s">
        <v>646</v>
      </c>
      <c r="P463" s="13" t="s">
        <v>499</v>
      </c>
      <c r="Q463" s="13" t="s">
        <v>1223</v>
      </c>
      <c r="S463" s="7" t="e">
        <f ca="1">IF(_xludf.ifna(VLOOKUP(B463,Parámetros!#REF!,1,0),"")="","No","Sí")</f>
        <v>#NAME?</v>
      </c>
      <c r="T463" s="7" t="str">
        <f t="shared" si="16"/>
        <v>No normativo</v>
      </c>
      <c r="U463" s="4" t="s">
        <v>195</v>
      </c>
      <c r="V463" s="4" t="s">
        <v>347</v>
      </c>
      <c r="W463" s="4" t="s">
        <v>233</v>
      </c>
      <c r="X463" s="4" t="s">
        <v>234</v>
      </c>
      <c r="Y463" s="4" t="s">
        <v>501</v>
      </c>
      <c r="Z463" s="5">
        <v>359619276</v>
      </c>
      <c r="AA463" s="5">
        <v>278066184</v>
      </c>
      <c r="AB463" s="4" t="s">
        <v>180</v>
      </c>
      <c r="AC463">
        <v>462</v>
      </c>
    </row>
    <row r="464" spans="1:29" ht="16.5" hidden="1" customHeight="1" x14ac:dyDescent="0.2">
      <c r="A464" s="6" t="str">
        <f t="shared" si="15"/>
        <v>SDATOOL-40765 $ Seguros - Optimización de productos Bancaseguros 2023</v>
      </c>
      <c r="B464" s="4" t="s">
        <v>2407</v>
      </c>
      <c r="C464" s="4" t="s">
        <v>2408</v>
      </c>
      <c r="D464" s="4" t="s">
        <v>763</v>
      </c>
      <c r="E464" s="4" t="s">
        <v>1212</v>
      </c>
      <c r="F464" s="4" t="s">
        <v>28</v>
      </c>
      <c r="G464" s="4" t="s">
        <v>185</v>
      </c>
      <c r="H464" s="4" t="s">
        <v>752</v>
      </c>
      <c r="J464" s="4" t="s">
        <v>204</v>
      </c>
      <c r="K464" s="4" t="s">
        <v>386</v>
      </c>
      <c r="L464" s="4" t="s">
        <v>394</v>
      </c>
      <c r="M464" s="4" t="s">
        <v>1212</v>
      </c>
      <c r="N464" s="4" t="s">
        <v>29</v>
      </c>
      <c r="O464" s="13" t="s">
        <v>646</v>
      </c>
      <c r="P464" s="13" t="s">
        <v>2409</v>
      </c>
      <c r="Q464" s="13" t="s">
        <v>1206</v>
      </c>
      <c r="S464" s="7" t="e">
        <f ca="1">IF(_xludf.ifna(VLOOKUP(B464,Parámetros!#REF!,1,0),"")="","No","Sí")</f>
        <v>#NAME?</v>
      </c>
      <c r="T464" s="7" t="str">
        <f t="shared" si="16"/>
        <v>No normativo</v>
      </c>
      <c r="U464" s="4" t="s">
        <v>195</v>
      </c>
      <c r="V464" s="4" t="s">
        <v>347</v>
      </c>
      <c r="W464" s="4" t="s">
        <v>196</v>
      </c>
      <c r="X464" s="4" t="s">
        <v>246</v>
      </c>
      <c r="Y464" s="4" t="s">
        <v>265</v>
      </c>
      <c r="Z464" s="4">
        <v>0</v>
      </c>
      <c r="AA464" s="4">
        <v>0</v>
      </c>
      <c r="AB464" s="4" t="s">
        <v>215</v>
      </c>
      <c r="AC464">
        <v>463</v>
      </c>
    </row>
    <row r="465" spans="1:29" ht="16.5" customHeight="1" x14ac:dyDescent="0.2">
      <c r="A465" s="6" t="str">
        <f t="shared" si="15"/>
        <v>SDATOOL-40767 $ Seguros - Migración FW / Auditoria (Front)</v>
      </c>
      <c r="B465" s="4" t="s">
        <v>2410</v>
      </c>
      <c r="C465" s="4" t="s">
        <v>2411</v>
      </c>
      <c r="D465" s="4" t="s">
        <v>763</v>
      </c>
      <c r="E465" s="4" t="s">
        <v>2412</v>
      </c>
      <c r="F465" s="4" t="s">
        <v>28</v>
      </c>
      <c r="G465" s="4" t="s">
        <v>185</v>
      </c>
      <c r="H465" s="4" t="s">
        <v>186</v>
      </c>
      <c r="J465" s="4" t="s">
        <v>204</v>
      </c>
      <c r="K465" s="4" t="s">
        <v>206</v>
      </c>
      <c r="L465" s="4" t="s">
        <v>394</v>
      </c>
      <c r="M465" s="4" t="s">
        <v>497</v>
      </c>
      <c r="N465" s="4" t="s">
        <v>29</v>
      </c>
      <c r="O465" s="13" t="s">
        <v>646</v>
      </c>
      <c r="P465" s="13" t="s">
        <v>499</v>
      </c>
      <c r="Q465" s="13" t="s">
        <v>345</v>
      </c>
      <c r="S465" s="7" t="e">
        <f ca="1">IF(_xludf.ifna(VLOOKUP(B465,Parámetros!#REF!,1,0),"")="","No","Sí")</f>
        <v>#NAME?</v>
      </c>
      <c r="T465" s="7" t="str">
        <f t="shared" si="16"/>
        <v>Normativo</v>
      </c>
      <c r="U465" s="4" t="s">
        <v>195</v>
      </c>
      <c r="V465" s="4" t="s">
        <v>347</v>
      </c>
      <c r="W465" s="4" t="s">
        <v>233</v>
      </c>
      <c r="X465" s="4" t="s">
        <v>234</v>
      </c>
      <c r="Y465" s="4" t="s">
        <v>501</v>
      </c>
      <c r="Z465" s="5">
        <v>70000355</v>
      </c>
      <c r="AA465" s="5">
        <v>70000355</v>
      </c>
      <c r="AB465" s="4" t="s">
        <v>180</v>
      </c>
      <c r="AC465">
        <v>464</v>
      </c>
    </row>
    <row r="466" spans="1:29" ht="16.5" customHeight="1" x14ac:dyDescent="0.2">
      <c r="A466" s="6" t="str">
        <f t="shared" si="15"/>
        <v>SDATOOL-40771 $ Resolución Cuentas Maestras y Cuentas Maestras para Pagos Electrónicos (PSE): Anexo Técnico - Nuevo reporte de información</v>
      </c>
      <c r="B466" s="4" t="s">
        <v>2413</v>
      </c>
      <c r="C466" s="4" t="s">
        <v>2414</v>
      </c>
      <c r="D466" s="4" t="s">
        <v>183</v>
      </c>
      <c r="E466" s="4" t="s">
        <v>2415</v>
      </c>
      <c r="F466" s="4" t="s">
        <v>28</v>
      </c>
      <c r="G466" s="4" t="s">
        <v>185</v>
      </c>
      <c r="H466" s="4" t="s">
        <v>186</v>
      </c>
      <c r="J466" s="4" t="s">
        <v>204</v>
      </c>
      <c r="K466" s="4" t="s">
        <v>206</v>
      </c>
      <c r="L466" s="4" t="s">
        <v>189</v>
      </c>
      <c r="M466" s="4" t="s">
        <v>540</v>
      </c>
      <c r="N466" s="4" t="s">
        <v>15</v>
      </c>
      <c r="O466" s="13" t="s">
        <v>541</v>
      </c>
      <c r="P466" s="13" t="s">
        <v>542</v>
      </c>
      <c r="Q466" s="13" t="s">
        <v>574</v>
      </c>
      <c r="S466" s="7" t="e">
        <f ca="1">IF(_xludf.ifna(VLOOKUP(B466,Parámetros!#REF!,1,0),"")="","No","Sí")</f>
        <v>#NAME?</v>
      </c>
      <c r="T466" s="7" t="str">
        <f t="shared" si="16"/>
        <v>Normativo</v>
      </c>
      <c r="U466" s="4" t="s">
        <v>224</v>
      </c>
      <c r="V466" s="4" t="s">
        <v>39</v>
      </c>
      <c r="W466" s="4" t="s">
        <v>300</v>
      </c>
      <c r="X466" s="4" t="s">
        <v>301</v>
      </c>
      <c r="Y466" s="4" t="s">
        <v>302</v>
      </c>
      <c r="Z466" s="5">
        <v>195300652</v>
      </c>
      <c r="AA466" s="5">
        <v>500000000</v>
      </c>
      <c r="AB466" s="4" t="s">
        <v>180</v>
      </c>
      <c r="AC466">
        <v>465</v>
      </c>
    </row>
    <row r="467" spans="1:29" ht="16.5" hidden="1" customHeight="1" x14ac:dyDescent="0.2">
      <c r="A467" s="6" t="str">
        <f t="shared" si="15"/>
        <v>SDATOOL-40812 $ Fiduciaria - Cambio de operador tecnologico para los documentos electronicos en la sociedad</v>
      </c>
      <c r="B467" s="4" t="s">
        <v>2416</v>
      </c>
      <c r="C467" s="4" t="s">
        <v>2417</v>
      </c>
      <c r="D467" s="4" t="s">
        <v>183</v>
      </c>
      <c r="E467" s="4" t="s">
        <v>2418</v>
      </c>
      <c r="F467" s="4" t="s">
        <v>28</v>
      </c>
      <c r="G467" s="4" t="s">
        <v>185</v>
      </c>
      <c r="H467" s="4" t="s">
        <v>276</v>
      </c>
      <c r="J467" s="4" t="s">
        <v>204</v>
      </c>
      <c r="K467" s="4" t="s">
        <v>386</v>
      </c>
      <c r="L467" s="4" t="s">
        <v>314</v>
      </c>
      <c r="M467" s="4" t="s">
        <v>802</v>
      </c>
      <c r="N467" s="4" t="s">
        <v>15</v>
      </c>
      <c r="O467" s="13" t="s">
        <v>1750</v>
      </c>
      <c r="P467" s="13" t="s">
        <v>2250</v>
      </c>
      <c r="Q467" s="13" t="s">
        <v>804</v>
      </c>
      <c r="S467" s="7" t="e">
        <f ca="1">IF(_xludf.ifna(VLOOKUP(B467,Parámetros!#REF!,1,0),"")="","No","Sí")</f>
        <v>#NAME?</v>
      </c>
      <c r="T467" s="7" t="str">
        <f t="shared" si="16"/>
        <v>No normativo</v>
      </c>
      <c r="U467" s="4" t="s">
        <v>224</v>
      </c>
      <c r="V467" s="4" t="s">
        <v>805</v>
      </c>
      <c r="W467" s="4" t="s">
        <v>233</v>
      </c>
      <c r="X467" s="4" t="s">
        <v>234</v>
      </c>
      <c r="Y467" s="4" t="s">
        <v>806</v>
      </c>
      <c r="Z467" s="5">
        <v>276000000</v>
      </c>
      <c r="AA467" s="5">
        <v>276000000</v>
      </c>
      <c r="AB467" s="4" t="s">
        <v>180</v>
      </c>
      <c r="AC467">
        <v>466</v>
      </c>
    </row>
    <row r="468" spans="1:29" ht="16.5" customHeight="1" x14ac:dyDescent="0.2">
      <c r="A468" s="6" t="str">
        <f t="shared" si="15"/>
        <v>SDATOOL-40813 $ Fiduciaria - Autogestion Usuarios - AI Pagos End to End</v>
      </c>
      <c r="B468" s="4" t="s">
        <v>2419</v>
      </c>
      <c r="C468" s="4" t="s">
        <v>2420</v>
      </c>
      <c r="D468" s="4" t="s">
        <v>183</v>
      </c>
      <c r="E468" s="4" t="s">
        <v>2421</v>
      </c>
      <c r="F468" s="4" t="s">
        <v>28</v>
      </c>
      <c r="G468" s="4" t="s">
        <v>185</v>
      </c>
      <c r="H468" s="4" t="s">
        <v>186</v>
      </c>
      <c r="J468" s="4" t="s">
        <v>204</v>
      </c>
      <c r="K468" s="4" t="s">
        <v>206</v>
      </c>
      <c r="L468" s="4" t="s">
        <v>189</v>
      </c>
      <c r="M468" s="4" t="s">
        <v>802</v>
      </c>
      <c r="N468" s="4" t="s">
        <v>22</v>
      </c>
      <c r="O468" s="13" t="s">
        <v>804</v>
      </c>
      <c r="P468" s="13" t="s">
        <v>804</v>
      </c>
      <c r="Q468" s="13" t="s">
        <v>804</v>
      </c>
      <c r="S468" s="7" t="e">
        <f ca="1">IF(_xludf.ifna(VLOOKUP(B468,Parámetros!#REF!,1,0),"")="","No","Sí")</f>
        <v>#NAME?</v>
      </c>
      <c r="T468" s="7" t="str">
        <f t="shared" si="16"/>
        <v>Normativo</v>
      </c>
      <c r="U468" s="4" t="s">
        <v>1630</v>
      </c>
      <c r="V468" s="4" t="s">
        <v>805</v>
      </c>
      <c r="W468" s="4" t="s">
        <v>233</v>
      </c>
      <c r="X468" s="4" t="s">
        <v>234</v>
      </c>
      <c r="Y468" s="4" t="s">
        <v>806</v>
      </c>
      <c r="Z468" s="5">
        <v>554000000</v>
      </c>
      <c r="AA468" s="5">
        <v>237000000</v>
      </c>
      <c r="AB468" s="4" t="s">
        <v>180</v>
      </c>
      <c r="AC468">
        <v>467</v>
      </c>
    </row>
    <row r="469" spans="1:29" ht="16.5" hidden="1" customHeight="1" x14ac:dyDescent="0.2">
      <c r="A469" s="6" t="str">
        <f t="shared" si="15"/>
        <v>SDATOOL-40850 $ SMART SUPERVISION - MOMENTO 4</v>
      </c>
      <c r="B469" s="4" t="s">
        <v>2422</v>
      </c>
      <c r="C469" s="4" t="s">
        <v>2423</v>
      </c>
      <c r="D469" s="4" t="s">
        <v>183</v>
      </c>
      <c r="E469" s="4" t="s">
        <v>1219</v>
      </c>
      <c r="F469" s="4" t="s">
        <v>28</v>
      </c>
      <c r="G469" s="4" t="s">
        <v>185</v>
      </c>
      <c r="H469" s="4" t="s">
        <v>276</v>
      </c>
      <c r="J469" s="4" t="s">
        <v>204</v>
      </c>
      <c r="K469" s="4" t="s">
        <v>206</v>
      </c>
      <c r="L469" s="4" t="s">
        <v>189</v>
      </c>
      <c r="M469" s="4" t="s">
        <v>2424</v>
      </c>
      <c r="N469" s="4" t="s">
        <v>29</v>
      </c>
      <c r="O469" s="13" t="s">
        <v>2425</v>
      </c>
      <c r="P469" s="13" t="s">
        <v>2221</v>
      </c>
      <c r="Q469" s="13" t="s">
        <v>488</v>
      </c>
      <c r="S469" s="7" t="e">
        <f ca="1">IF(_xludf.ifna(VLOOKUP(B469,Parámetros!#REF!,1,0),"")="","No","Sí")</f>
        <v>#NAME?</v>
      </c>
      <c r="T469" s="7" t="str">
        <f t="shared" si="16"/>
        <v>No normativo</v>
      </c>
      <c r="U469" s="4" t="s">
        <v>195</v>
      </c>
      <c r="V469" s="4" t="s">
        <v>39</v>
      </c>
      <c r="W469" s="4" t="s">
        <v>300</v>
      </c>
      <c r="X469" s="4" t="s">
        <v>301</v>
      </c>
      <c r="Y469" s="4" t="s">
        <v>755</v>
      </c>
      <c r="Z469" s="5">
        <v>9457287</v>
      </c>
      <c r="AA469" s="5">
        <v>222367456</v>
      </c>
      <c r="AB469" s="4" t="s">
        <v>215</v>
      </c>
      <c r="AC469">
        <v>468</v>
      </c>
    </row>
    <row r="470" spans="1:29" ht="16.5" customHeight="1" x14ac:dyDescent="0.2">
      <c r="A470" s="6" t="str">
        <f t="shared" si="15"/>
        <v>SDATOOL-40869 $ Herramientas Regulatorias Regionales (FINREP/AE y Liquidez) 2023</v>
      </c>
      <c r="B470" s="4" t="s">
        <v>2426</v>
      </c>
      <c r="C470" s="4" t="s">
        <v>2427</v>
      </c>
      <c r="D470" s="4" t="s">
        <v>183</v>
      </c>
      <c r="E470" s="4" t="s">
        <v>2428</v>
      </c>
      <c r="F470" s="4" t="s">
        <v>50</v>
      </c>
      <c r="G470" s="4" t="s">
        <v>185</v>
      </c>
      <c r="H470" s="4" t="s">
        <v>186</v>
      </c>
      <c r="K470" s="4" t="s">
        <v>386</v>
      </c>
      <c r="L470" s="4" t="s">
        <v>394</v>
      </c>
      <c r="M470" s="4" t="s">
        <v>2429</v>
      </c>
      <c r="N470" s="4" t="s">
        <v>15</v>
      </c>
      <c r="O470" s="13" t="s">
        <v>743</v>
      </c>
      <c r="P470" s="13" t="s">
        <v>462</v>
      </c>
      <c r="Q470" s="13" t="s">
        <v>318</v>
      </c>
      <c r="R470" s="4" t="s">
        <v>2430</v>
      </c>
      <c r="S470" s="7" t="e">
        <f ca="1">IF(_xludf.ifna(VLOOKUP(B470,Parámetros!#REF!,1,0),"")="","No","Sí")</f>
        <v>#NAME?</v>
      </c>
      <c r="T470" s="7" t="str">
        <f t="shared" si="16"/>
        <v>Normativo</v>
      </c>
      <c r="U470" s="4" t="s">
        <v>195</v>
      </c>
      <c r="V470" s="4" t="s">
        <v>39</v>
      </c>
      <c r="W470" s="4" t="s">
        <v>196</v>
      </c>
      <c r="X470" s="4" t="s">
        <v>246</v>
      </c>
      <c r="Y470" s="4" t="s">
        <v>265</v>
      </c>
      <c r="Z470" s="5">
        <v>300000000</v>
      </c>
      <c r="AA470" s="5">
        <v>300000000</v>
      </c>
      <c r="AB470" s="4" t="s">
        <v>215</v>
      </c>
      <c r="AC470">
        <v>469</v>
      </c>
    </row>
    <row r="471" spans="1:29" ht="16.5" hidden="1" customHeight="1" x14ac:dyDescent="0.2">
      <c r="A471" s="6" t="str">
        <f t="shared" si="15"/>
        <v>SDATOOL-40877 $ Centralización Garantías Especiales</v>
      </c>
      <c r="B471" s="4" t="s">
        <v>2431</v>
      </c>
      <c r="C471" s="4" t="s">
        <v>2432</v>
      </c>
      <c r="D471" s="4" t="s">
        <v>763</v>
      </c>
      <c r="E471" s="4" t="s">
        <v>2433</v>
      </c>
      <c r="F471" s="4" t="s">
        <v>28</v>
      </c>
      <c r="G471" s="4" t="s">
        <v>185</v>
      </c>
      <c r="H471" s="4" t="s">
        <v>752</v>
      </c>
      <c r="J471" s="4" t="s">
        <v>204</v>
      </c>
      <c r="K471" s="4" t="s">
        <v>386</v>
      </c>
      <c r="L471" s="4" t="s">
        <v>386</v>
      </c>
      <c r="M471" s="4" t="s">
        <v>2434</v>
      </c>
      <c r="N471" s="4" t="s">
        <v>22</v>
      </c>
      <c r="O471" s="13" t="s">
        <v>617</v>
      </c>
      <c r="P471" s="13" t="s">
        <v>1432</v>
      </c>
      <c r="Q471" s="13" t="s">
        <v>580</v>
      </c>
      <c r="R471" s="4" t="s">
        <v>2435</v>
      </c>
      <c r="S471" s="7" t="e">
        <f ca="1">IF(_xludf.ifna(VLOOKUP(B471,Parámetros!#REF!,1,0),"")="","No","Sí")</f>
        <v>#NAME?</v>
      </c>
      <c r="T471" s="7" t="str">
        <f t="shared" si="16"/>
        <v>Normativo</v>
      </c>
      <c r="U471" s="4" t="s">
        <v>1542</v>
      </c>
      <c r="V471" s="4" t="s">
        <v>39</v>
      </c>
      <c r="W471" s="4" t="s">
        <v>196</v>
      </c>
      <c r="X471" s="4" t="s">
        <v>328</v>
      </c>
      <c r="Y471" s="4" t="s">
        <v>2256</v>
      </c>
      <c r="Z471" s="4">
        <v>0</v>
      </c>
      <c r="AA471" s="4">
        <v>0</v>
      </c>
      <c r="AB471" s="4" t="s">
        <v>215</v>
      </c>
      <c r="AC471">
        <v>470</v>
      </c>
    </row>
    <row r="472" spans="1:29" ht="16.5" customHeight="1" x14ac:dyDescent="0.2">
      <c r="A472" s="6" t="str">
        <f t="shared" si="15"/>
        <v>SDATOOL-40984 $ Proyecto - Identificación e ingesta de las tablas necesarias en datio y la construcción del caso de uso para la identificación de vínculos - Colombia</v>
      </c>
      <c r="B472" s="4" t="s">
        <v>2436</v>
      </c>
      <c r="C472" s="4" t="s">
        <v>2437</v>
      </c>
      <c r="D472" s="4" t="s">
        <v>183</v>
      </c>
      <c r="E472" s="4" t="s">
        <v>2438</v>
      </c>
      <c r="F472" s="4" t="s">
        <v>69</v>
      </c>
      <c r="G472" s="4" t="s">
        <v>185</v>
      </c>
      <c r="H472" s="4" t="s">
        <v>186</v>
      </c>
      <c r="J472" s="4" t="s">
        <v>204</v>
      </c>
      <c r="K472" s="4" t="s">
        <v>386</v>
      </c>
      <c r="L472" s="4" t="s">
        <v>394</v>
      </c>
      <c r="M472" s="4" t="s">
        <v>2439</v>
      </c>
      <c r="N472" s="4" t="s">
        <v>15</v>
      </c>
      <c r="O472" s="13" t="s">
        <v>316</v>
      </c>
      <c r="P472" s="13" t="s">
        <v>317</v>
      </c>
      <c r="Q472" s="13" t="s">
        <v>318</v>
      </c>
      <c r="R472" s="4" t="s">
        <v>2440</v>
      </c>
      <c r="S472" s="7" t="e">
        <f ca="1">IF(_xludf.ifna(VLOOKUP(B472,Parámetros!#REF!,1,0),"")="","No","Sí")</f>
        <v>#NAME?</v>
      </c>
      <c r="T472" s="7" t="str">
        <f t="shared" si="16"/>
        <v>No normativo</v>
      </c>
      <c r="U472" s="4" t="s">
        <v>1542</v>
      </c>
      <c r="V472" s="4" t="s">
        <v>39</v>
      </c>
      <c r="W472" s="4" t="s">
        <v>196</v>
      </c>
      <c r="X472" s="4" t="s">
        <v>225</v>
      </c>
      <c r="Y472" s="4" t="s">
        <v>320</v>
      </c>
      <c r="Z472" s="4">
        <v>1</v>
      </c>
      <c r="AA472" s="5">
        <v>35000001</v>
      </c>
      <c r="AB472" s="4" t="s">
        <v>180</v>
      </c>
      <c r="AC472">
        <v>471</v>
      </c>
    </row>
    <row r="473" spans="1:29" ht="16.5" customHeight="1" x14ac:dyDescent="0.2">
      <c r="A473" s="6" t="str">
        <f t="shared" si="15"/>
        <v>SDATOOL-41029 $ IATAPAY</v>
      </c>
      <c r="B473" s="4" t="s">
        <v>2441</v>
      </c>
      <c r="C473" s="4" t="s">
        <v>2442</v>
      </c>
      <c r="D473" s="4" t="s">
        <v>183</v>
      </c>
      <c r="E473" s="4" t="s">
        <v>2443</v>
      </c>
      <c r="F473" s="4" t="s">
        <v>21</v>
      </c>
      <c r="G473" s="4" t="s">
        <v>185</v>
      </c>
      <c r="H473" s="4" t="s">
        <v>186</v>
      </c>
      <c r="I473" s="4" t="s">
        <v>186</v>
      </c>
      <c r="K473" s="4" t="s">
        <v>386</v>
      </c>
      <c r="L473" s="4" t="s">
        <v>314</v>
      </c>
      <c r="M473" s="4" t="s">
        <v>2444</v>
      </c>
      <c r="N473" s="4" t="s">
        <v>44</v>
      </c>
      <c r="O473" s="13" t="s">
        <v>1394</v>
      </c>
      <c r="P473" s="13" t="s">
        <v>947</v>
      </c>
      <c r="Q473" s="13" t="s">
        <v>697</v>
      </c>
      <c r="S473" s="7" t="e">
        <f ca="1">IF(_xludf.ifna(VLOOKUP(B473,Parámetros!#REF!,1,0),"")="","No","Sí")</f>
        <v>#NAME?</v>
      </c>
      <c r="T473" s="7" t="str">
        <f t="shared" si="16"/>
        <v>No normativo</v>
      </c>
      <c r="U473" s="4" t="s">
        <v>195</v>
      </c>
      <c r="V473" s="4" t="s">
        <v>39</v>
      </c>
      <c r="W473" s="4" t="s">
        <v>233</v>
      </c>
      <c r="X473" s="4" t="s">
        <v>234</v>
      </c>
      <c r="Y473" s="4" t="s">
        <v>435</v>
      </c>
      <c r="Z473" s="5">
        <v>140000000</v>
      </c>
      <c r="AA473" s="5">
        <v>75000000</v>
      </c>
      <c r="AB473" s="4" t="s">
        <v>180</v>
      </c>
      <c r="AC473">
        <v>472</v>
      </c>
    </row>
    <row r="474" spans="1:29" ht="16.5" customHeight="1" x14ac:dyDescent="0.2">
      <c r="A474" s="6" t="str">
        <f t="shared" si="15"/>
        <v>SDATOOL-41031 $ Proyecto - Shadow IT - Migración a un nuevo aplicativo de la herramienta SIGLAFT</v>
      </c>
      <c r="B474" s="4" t="s">
        <v>2445</v>
      </c>
      <c r="C474" s="4" t="s">
        <v>2446</v>
      </c>
      <c r="D474" s="4" t="s">
        <v>183</v>
      </c>
      <c r="E474" s="4" t="s">
        <v>2447</v>
      </c>
      <c r="F474" s="4" t="s">
        <v>69</v>
      </c>
      <c r="G474" s="4" t="s">
        <v>185</v>
      </c>
      <c r="H474" s="4" t="s">
        <v>186</v>
      </c>
      <c r="J474" s="4" t="s">
        <v>204</v>
      </c>
      <c r="K474" s="4" t="s">
        <v>386</v>
      </c>
      <c r="L474" s="4" t="s">
        <v>394</v>
      </c>
      <c r="M474" s="4" t="s">
        <v>2448</v>
      </c>
      <c r="N474" s="4" t="s">
        <v>15</v>
      </c>
      <c r="O474" s="13" t="s">
        <v>316</v>
      </c>
      <c r="P474" s="13" t="s">
        <v>317</v>
      </c>
      <c r="Q474" s="13" t="s">
        <v>318</v>
      </c>
      <c r="R474" s="4" t="s">
        <v>2449</v>
      </c>
      <c r="S474" s="7" t="e">
        <f ca="1">IF(_xludf.ifna(VLOOKUP(B474,Parámetros!#REF!,1,0),"")="","No","Sí")</f>
        <v>#NAME?</v>
      </c>
      <c r="T474" s="7" t="str">
        <f t="shared" si="16"/>
        <v>No normativo</v>
      </c>
      <c r="U474" s="4" t="s">
        <v>1542</v>
      </c>
      <c r="V474" s="4" t="s">
        <v>39</v>
      </c>
      <c r="W474" s="4" t="s">
        <v>196</v>
      </c>
      <c r="X474" s="4" t="s">
        <v>225</v>
      </c>
      <c r="Y474" s="4" t="s">
        <v>320</v>
      </c>
      <c r="Z474" s="4">
        <v>0</v>
      </c>
      <c r="AA474" s="4">
        <v>0</v>
      </c>
      <c r="AB474" s="4" t="s">
        <v>180</v>
      </c>
      <c r="AC474">
        <v>473</v>
      </c>
    </row>
    <row r="475" spans="1:29" ht="16.5" hidden="1" customHeight="1" x14ac:dyDescent="0.2">
      <c r="A475" s="6" t="str">
        <f t="shared" si="15"/>
        <v>SDATOOL-41047 $ INCLUSIÓN DE SITIOS PARA CERTIFICACIÓN ISO 14001</v>
      </c>
      <c r="B475" s="4" t="s">
        <v>2450</v>
      </c>
      <c r="C475" s="4" t="s">
        <v>2451</v>
      </c>
      <c r="D475" s="4" t="s">
        <v>183</v>
      </c>
      <c r="E475" s="4" t="s">
        <v>2452</v>
      </c>
      <c r="F475" s="4" t="s">
        <v>30</v>
      </c>
      <c r="G475" s="4" t="s">
        <v>185</v>
      </c>
      <c r="H475" s="4" t="s">
        <v>752</v>
      </c>
      <c r="K475" s="4" t="s">
        <v>206</v>
      </c>
      <c r="L475" s="4" t="s">
        <v>189</v>
      </c>
      <c r="M475" s="4" t="s">
        <v>2453</v>
      </c>
      <c r="N475" s="4" t="s">
        <v>15</v>
      </c>
      <c r="O475" s="13" t="s">
        <v>287</v>
      </c>
      <c r="P475" s="13" t="s">
        <v>2454</v>
      </c>
      <c r="S475" s="7" t="e">
        <f ca="1">IF(_xludf.ifna(VLOOKUP(B475,Parámetros!#REF!,1,0),"")="","No","Sí")</f>
        <v>#NAME?</v>
      </c>
      <c r="T475" s="7" t="str">
        <f t="shared" si="16"/>
        <v>No normativo</v>
      </c>
      <c r="U475" s="4" t="s">
        <v>195</v>
      </c>
      <c r="V475" s="4" t="s">
        <v>39</v>
      </c>
      <c r="W475" s="4" t="s">
        <v>1685</v>
      </c>
      <c r="X475" s="4" t="s">
        <v>1685</v>
      </c>
      <c r="Y475" s="4" t="s">
        <v>2455</v>
      </c>
      <c r="Z475" s="4">
        <v>0</v>
      </c>
      <c r="AA475" s="4">
        <v>0</v>
      </c>
      <c r="AB475" s="4" t="s">
        <v>215</v>
      </c>
      <c r="AC475">
        <v>474</v>
      </c>
    </row>
    <row r="476" spans="1:29" ht="16.5" customHeight="1" x14ac:dyDescent="0.2">
      <c r="A476" s="6" t="str">
        <f t="shared" si="15"/>
        <v>SDATOOL-41053 $ Transformación del proceso CARO - Colombia</v>
      </c>
      <c r="B476" s="4" t="s">
        <v>2456</v>
      </c>
      <c r="C476" s="4" t="s">
        <v>2457</v>
      </c>
      <c r="D476" s="4" t="s">
        <v>183</v>
      </c>
      <c r="E476" s="4" t="s">
        <v>2458</v>
      </c>
      <c r="F476" s="4" t="s">
        <v>69</v>
      </c>
      <c r="G476" s="4" t="s">
        <v>185</v>
      </c>
      <c r="H476" s="4" t="s">
        <v>186</v>
      </c>
      <c r="I476" s="4" t="e">
        <v>#N/A</v>
      </c>
      <c r="J476" s="4" t="s">
        <v>204</v>
      </c>
      <c r="K476" s="4" t="s">
        <v>206</v>
      </c>
      <c r="L476" s="4" t="s">
        <v>314</v>
      </c>
      <c r="M476" s="4" t="s">
        <v>2459</v>
      </c>
      <c r="N476" s="4" t="s">
        <v>15</v>
      </c>
      <c r="O476" s="13" t="s">
        <v>1743</v>
      </c>
      <c r="P476" s="13" t="s">
        <v>317</v>
      </c>
      <c r="Q476" s="13" t="s">
        <v>2460</v>
      </c>
      <c r="R476" s="4" t="s">
        <v>2461</v>
      </c>
      <c r="S476" s="7" t="e">
        <f ca="1">IF(_xludf.ifna(VLOOKUP(B476,Parámetros!#REF!,1,0),"")="","No","Sí")</f>
        <v>#NAME?</v>
      </c>
      <c r="T476" s="7" t="str">
        <f t="shared" si="16"/>
        <v>No normativo</v>
      </c>
      <c r="U476" s="4" t="s">
        <v>1542</v>
      </c>
      <c r="V476" s="4" t="s">
        <v>39</v>
      </c>
      <c r="W476" s="4" t="s">
        <v>196</v>
      </c>
      <c r="X476" s="4" t="s">
        <v>225</v>
      </c>
      <c r="Y476" s="4" t="s">
        <v>320</v>
      </c>
      <c r="Z476" s="4">
        <v>0</v>
      </c>
      <c r="AA476" s="4">
        <v>0</v>
      </c>
      <c r="AB476" s="4" t="s">
        <v>180</v>
      </c>
      <c r="AC476">
        <v>475</v>
      </c>
    </row>
    <row r="477" spans="1:29" ht="16.5" hidden="1" customHeight="1" x14ac:dyDescent="0.2">
      <c r="A477" s="6" t="str">
        <f t="shared" si="15"/>
        <v>SDATOOL-41055 $ Prueba CoE Agile 26 oct</v>
      </c>
      <c r="B477" s="4" t="s">
        <v>2462</v>
      </c>
      <c r="C477" s="4" t="s">
        <v>2463</v>
      </c>
      <c r="D477" s="4" t="s">
        <v>763</v>
      </c>
      <c r="E477" s="4" t="s">
        <v>2464</v>
      </c>
      <c r="F477" s="4" t="s">
        <v>28</v>
      </c>
      <c r="G477" s="4" t="s">
        <v>185</v>
      </c>
      <c r="H477" s="4" t="s">
        <v>752</v>
      </c>
      <c r="J477" s="4" t="s">
        <v>204</v>
      </c>
      <c r="K477" s="4" t="s">
        <v>206</v>
      </c>
      <c r="L477" s="4" t="s">
        <v>2465</v>
      </c>
      <c r="M477" s="4" t="s">
        <v>2464</v>
      </c>
      <c r="N477" s="4" t="s">
        <v>51</v>
      </c>
      <c r="O477" s="13" t="s">
        <v>2466</v>
      </c>
      <c r="P477" s="13" t="s">
        <v>2467</v>
      </c>
      <c r="Q477" s="13" t="s">
        <v>2468</v>
      </c>
      <c r="S477" s="7" t="e">
        <f ca="1">IF(_xludf.ifna(VLOOKUP(B477,Parámetros!#REF!,1,0),"")="","No","Sí")</f>
        <v>#NAME?</v>
      </c>
      <c r="T477" s="7" t="str">
        <f t="shared" si="16"/>
        <v>No normativo</v>
      </c>
      <c r="U477" s="4" t="s">
        <v>732</v>
      </c>
      <c r="V477" s="4" t="s">
        <v>39</v>
      </c>
      <c r="W477" s="4" t="s">
        <v>300</v>
      </c>
      <c r="X477" s="4" t="s">
        <v>301</v>
      </c>
      <c r="Y477" s="4" t="s">
        <v>755</v>
      </c>
      <c r="Z477" s="4">
        <v>0</v>
      </c>
      <c r="AA477" s="4">
        <v>0</v>
      </c>
      <c r="AB477" s="4" t="s">
        <v>215</v>
      </c>
      <c r="AC477">
        <v>476</v>
      </c>
    </row>
    <row r="478" spans="1:29" ht="16.5" hidden="1" customHeight="1" x14ac:dyDescent="0.2">
      <c r="A478" s="6" t="str">
        <f t="shared" si="15"/>
        <v>SDATOOL-41056 $ CAMBIO DEL SISTEMA HIDRAULICO DIRECCION GENERAL FASE II</v>
      </c>
      <c r="B478" s="4" t="s">
        <v>2469</v>
      </c>
      <c r="C478" s="4" t="s">
        <v>2470</v>
      </c>
      <c r="D478" s="4" t="s">
        <v>183</v>
      </c>
      <c r="E478" s="4" t="s">
        <v>2471</v>
      </c>
      <c r="F478" s="4" t="s">
        <v>30</v>
      </c>
      <c r="G478" s="4" t="s">
        <v>185</v>
      </c>
      <c r="H478" s="4" t="s">
        <v>276</v>
      </c>
      <c r="I478" s="4" t="e">
        <v>#N/A</v>
      </c>
      <c r="K478" s="4" t="s">
        <v>386</v>
      </c>
      <c r="L478" s="4" t="s">
        <v>394</v>
      </c>
      <c r="M478" s="4" t="s">
        <v>2472</v>
      </c>
      <c r="N478" s="4" t="s">
        <v>15</v>
      </c>
      <c r="O478" s="13" t="s">
        <v>287</v>
      </c>
      <c r="P478" s="13" t="s">
        <v>1173</v>
      </c>
      <c r="S478" s="7" t="e">
        <f ca="1">IF(_xludf.ifna(VLOOKUP(B478,Parámetros!#REF!,1,0),"")="","No","Sí")</f>
        <v>#NAME?</v>
      </c>
      <c r="T478" s="7" t="str">
        <f t="shared" si="16"/>
        <v>No normativo</v>
      </c>
      <c r="U478" s="4" t="s">
        <v>195</v>
      </c>
      <c r="V478" s="4" t="s">
        <v>39</v>
      </c>
      <c r="W478" s="4" t="s">
        <v>300</v>
      </c>
      <c r="X478" s="4" t="s">
        <v>1138</v>
      </c>
      <c r="Y478" s="4" t="s">
        <v>2326</v>
      </c>
      <c r="Z478" s="5">
        <v>1383000000</v>
      </c>
      <c r="AA478" s="5">
        <v>1327000000</v>
      </c>
      <c r="AB478" s="4" t="s">
        <v>180</v>
      </c>
      <c r="AC478">
        <v>477</v>
      </c>
    </row>
    <row r="479" spans="1:29" ht="16.5" customHeight="1" x14ac:dyDescent="0.2">
      <c r="A479" s="6" t="str">
        <f t="shared" si="15"/>
        <v>SDATOOL-41111 $ IMPLEMENTACION DE ESTACIONES DE CARGA VEHICULOS ELECTRICOS EN DIRECCION GENERAL</v>
      </c>
      <c r="B479" s="4" t="s">
        <v>2473</v>
      </c>
      <c r="C479" s="4" t="s">
        <v>2474</v>
      </c>
      <c r="D479" s="4" t="s">
        <v>183</v>
      </c>
      <c r="E479" s="4" t="s">
        <v>2475</v>
      </c>
      <c r="F479" s="4" t="s">
        <v>30</v>
      </c>
      <c r="G479" s="4" t="s">
        <v>185</v>
      </c>
      <c r="H479" s="4" t="s">
        <v>186</v>
      </c>
      <c r="I479" s="4" t="s">
        <v>186</v>
      </c>
      <c r="K479" s="4" t="s">
        <v>386</v>
      </c>
      <c r="L479" s="4" t="s">
        <v>189</v>
      </c>
      <c r="M479" s="4" t="s">
        <v>2476</v>
      </c>
      <c r="N479" s="4" t="s">
        <v>15</v>
      </c>
      <c r="O479" s="13" t="s">
        <v>287</v>
      </c>
      <c r="P479" s="13" t="s">
        <v>1173</v>
      </c>
      <c r="S479" s="7" t="e">
        <f ca="1">IF(_xludf.ifna(VLOOKUP(B479,Parámetros!#REF!,1,0),"")="","No","Sí")</f>
        <v>#NAME?</v>
      </c>
      <c r="T479" s="7" t="str">
        <f t="shared" si="16"/>
        <v>No normativo</v>
      </c>
      <c r="U479" s="4" t="s">
        <v>195</v>
      </c>
      <c r="V479" s="4" t="s">
        <v>39</v>
      </c>
      <c r="W479" s="4" t="s">
        <v>1685</v>
      </c>
      <c r="X479" s="4" t="s">
        <v>1685</v>
      </c>
      <c r="Y479" s="4" t="s">
        <v>2477</v>
      </c>
      <c r="Z479" s="5">
        <v>163326255</v>
      </c>
      <c r="AA479" s="5">
        <v>86350000</v>
      </c>
      <c r="AB479" s="4" t="s">
        <v>180</v>
      </c>
      <c r="AC479">
        <v>478</v>
      </c>
    </row>
    <row r="480" spans="1:29" ht="16.5" customHeight="1" x14ac:dyDescent="0.2">
      <c r="A480" s="6" t="str">
        <f t="shared" si="15"/>
        <v>SDATOOL-41113 $ ADQUISICION COMPACTADORA DE BASURAS EN DIRECCION GENERAL</v>
      </c>
      <c r="B480" s="4" t="s">
        <v>2478</v>
      </c>
      <c r="C480" s="4" t="s">
        <v>2479</v>
      </c>
      <c r="D480" s="4" t="s">
        <v>183</v>
      </c>
      <c r="E480" s="4" t="s">
        <v>2480</v>
      </c>
      <c r="F480" s="4" t="s">
        <v>30</v>
      </c>
      <c r="G480" s="4" t="s">
        <v>185</v>
      </c>
      <c r="H480" s="4" t="s">
        <v>186</v>
      </c>
      <c r="K480" s="4" t="s">
        <v>386</v>
      </c>
      <c r="L480" s="4" t="s">
        <v>189</v>
      </c>
      <c r="M480" s="4" t="s">
        <v>2481</v>
      </c>
      <c r="N480" s="4" t="s">
        <v>15</v>
      </c>
      <c r="O480" s="13" t="s">
        <v>287</v>
      </c>
      <c r="P480" s="13" t="s">
        <v>1173</v>
      </c>
      <c r="S480" s="7" t="e">
        <f ca="1">IF(_xludf.ifna(VLOOKUP(B480,Parámetros!#REF!,1,0),"")="","No","Sí")</f>
        <v>#NAME?</v>
      </c>
      <c r="T480" s="7" t="str">
        <f t="shared" si="16"/>
        <v>No normativo</v>
      </c>
      <c r="U480" s="4" t="s">
        <v>195</v>
      </c>
      <c r="V480" s="4" t="s">
        <v>39</v>
      </c>
      <c r="W480" s="4" t="s">
        <v>1685</v>
      </c>
      <c r="X480" s="4" t="s">
        <v>1685</v>
      </c>
      <c r="Y480" s="4" t="s">
        <v>2455</v>
      </c>
      <c r="Z480" s="5">
        <v>71594500</v>
      </c>
      <c r="AA480" s="5">
        <v>80000000</v>
      </c>
      <c r="AB480" s="4" t="s">
        <v>215</v>
      </c>
      <c r="AC480">
        <v>479</v>
      </c>
    </row>
    <row r="481" spans="1:29" ht="16.5" hidden="1" customHeight="1" x14ac:dyDescent="0.2">
      <c r="A481" s="6" t="str">
        <f t="shared" si="15"/>
        <v>SDATOOL-41114 $ REEMPLAZO DEL SISTEMA DE VENTILACION MECANICA DIRECCION GENERAL</v>
      </c>
      <c r="B481" s="4" t="s">
        <v>2482</v>
      </c>
      <c r="C481" s="4" t="s">
        <v>2483</v>
      </c>
      <c r="D481" s="4" t="s">
        <v>183</v>
      </c>
      <c r="E481" s="4" t="s">
        <v>2484</v>
      </c>
      <c r="F481" s="4" t="s">
        <v>30</v>
      </c>
      <c r="G481" s="4" t="s">
        <v>185</v>
      </c>
      <c r="H481" s="4" t="s">
        <v>752</v>
      </c>
      <c r="K481" s="4" t="s">
        <v>386</v>
      </c>
      <c r="L481" s="4" t="s">
        <v>394</v>
      </c>
      <c r="M481" s="4" t="s">
        <v>2485</v>
      </c>
      <c r="N481" s="4" t="s">
        <v>15</v>
      </c>
      <c r="O481" s="13" t="s">
        <v>287</v>
      </c>
      <c r="P481" s="13" t="s">
        <v>1173</v>
      </c>
      <c r="S481" s="7" t="e">
        <f ca="1">IF(_xludf.ifna(VLOOKUP(B481,Parámetros!#REF!,1,0),"")="","No","Sí")</f>
        <v>#NAME?</v>
      </c>
      <c r="T481" s="7" t="str">
        <f t="shared" si="16"/>
        <v>No normativo</v>
      </c>
      <c r="U481" s="4" t="s">
        <v>195</v>
      </c>
      <c r="V481" s="4" t="s">
        <v>39</v>
      </c>
      <c r="W481" s="4" t="s">
        <v>300</v>
      </c>
      <c r="X481" s="4" t="s">
        <v>1138</v>
      </c>
      <c r="Y481" s="4" t="s">
        <v>2326</v>
      </c>
      <c r="Z481" s="5">
        <v>2085000000</v>
      </c>
      <c r="AA481" s="5">
        <v>2085000000</v>
      </c>
      <c r="AB481" s="4" t="s">
        <v>215</v>
      </c>
      <c r="AC481">
        <v>480</v>
      </c>
    </row>
    <row r="482" spans="1:29" ht="16.5" hidden="1" customHeight="1" x14ac:dyDescent="0.2">
      <c r="A482" s="6" t="str">
        <f t="shared" si="15"/>
        <v>SDATOOL-41116 $ ADQUISION DE PLANTA ELECTRICA CALLE 39 - SUPLENCIA 100%</v>
      </c>
      <c r="B482" s="4" t="s">
        <v>2486</v>
      </c>
      <c r="C482" s="4" t="s">
        <v>2487</v>
      </c>
      <c r="D482" s="4" t="s">
        <v>183</v>
      </c>
      <c r="E482" s="4" t="s">
        <v>2488</v>
      </c>
      <c r="F482" s="4" t="s">
        <v>30</v>
      </c>
      <c r="G482" s="4" t="s">
        <v>185</v>
      </c>
      <c r="H482" s="4" t="s">
        <v>276</v>
      </c>
      <c r="K482" s="4" t="s">
        <v>314</v>
      </c>
      <c r="L482" s="4" t="s">
        <v>394</v>
      </c>
      <c r="M482" s="4" t="s">
        <v>2489</v>
      </c>
      <c r="N482" s="4" t="s">
        <v>15</v>
      </c>
      <c r="O482" s="13" t="s">
        <v>287</v>
      </c>
      <c r="P482" s="13" t="s">
        <v>1173</v>
      </c>
      <c r="S482" s="7" t="e">
        <f ca="1">IF(_xludf.ifna(VLOOKUP(B482,Parámetros!#REF!,1,0),"")="","No","Sí")</f>
        <v>#NAME?</v>
      </c>
      <c r="T482" s="7" t="str">
        <f t="shared" si="16"/>
        <v>No normativo</v>
      </c>
      <c r="U482" s="4" t="s">
        <v>195</v>
      </c>
      <c r="V482" s="4" t="s">
        <v>39</v>
      </c>
      <c r="W482" s="4" t="s">
        <v>300</v>
      </c>
      <c r="X482" s="4" t="s">
        <v>1138</v>
      </c>
      <c r="Y482" s="4" t="s">
        <v>2326</v>
      </c>
      <c r="Z482" s="5">
        <v>205000000</v>
      </c>
      <c r="AA482" s="5">
        <v>205000000</v>
      </c>
      <c r="AB482" s="4" t="s">
        <v>215</v>
      </c>
      <c r="AC482">
        <v>481</v>
      </c>
    </row>
    <row r="483" spans="1:29" ht="16.5" customHeight="1" x14ac:dyDescent="0.2">
      <c r="A483" s="6" t="str">
        <f t="shared" si="15"/>
        <v>SDATOOL-41118 $ EQUIPO INMOBILIARIO AACC</v>
      </c>
      <c r="B483" s="4" t="s">
        <v>2490</v>
      </c>
      <c r="C483" s="4" t="s">
        <v>2491</v>
      </c>
      <c r="D483" s="4" t="s">
        <v>183</v>
      </c>
      <c r="E483" s="4" t="s">
        <v>1171</v>
      </c>
      <c r="F483" s="4" t="s">
        <v>30</v>
      </c>
      <c r="G483" s="4" t="s">
        <v>185</v>
      </c>
      <c r="H483" s="4" t="s">
        <v>186</v>
      </c>
      <c r="I483" s="4" t="s">
        <v>186</v>
      </c>
      <c r="K483" s="4" t="s">
        <v>386</v>
      </c>
      <c r="L483" s="4" t="s">
        <v>394</v>
      </c>
      <c r="M483" s="4" t="s">
        <v>1172</v>
      </c>
      <c r="N483" s="4" t="s">
        <v>15</v>
      </c>
      <c r="O483" s="13" t="s">
        <v>287</v>
      </c>
      <c r="P483" s="13" t="s">
        <v>1173</v>
      </c>
      <c r="S483" s="7" t="e">
        <f ca="1">IF(_xludf.ifna(VLOOKUP(B483,Parámetros!#REF!,1,0),"")="","No","Sí")</f>
        <v>#NAME?</v>
      </c>
      <c r="T483" s="7" t="str">
        <f t="shared" si="16"/>
        <v>No normativo</v>
      </c>
      <c r="U483" s="4" t="s">
        <v>195</v>
      </c>
      <c r="V483" s="4" t="s">
        <v>39</v>
      </c>
      <c r="W483" s="4" t="s">
        <v>300</v>
      </c>
      <c r="X483" s="4" t="s">
        <v>1138</v>
      </c>
      <c r="Y483" s="4" t="s">
        <v>1139</v>
      </c>
      <c r="Z483" s="5">
        <v>120000000</v>
      </c>
      <c r="AA483" s="5">
        <v>100000000</v>
      </c>
      <c r="AB483" s="4" t="s">
        <v>180</v>
      </c>
      <c r="AC483">
        <v>482</v>
      </c>
    </row>
    <row r="484" spans="1:29" ht="16.5" hidden="1" customHeight="1" x14ac:dyDescent="0.2">
      <c r="A484" s="6" t="str">
        <f t="shared" si="15"/>
        <v>SDATOOL-41120 $ Bonita 7 Hipotecario – Ampliar plazo repositorio documental</v>
      </c>
      <c r="B484" s="4" t="s">
        <v>2492</v>
      </c>
      <c r="C484" s="4" t="s">
        <v>2493</v>
      </c>
      <c r="D484" s="4" t="s">
        <v>183</v>
      </c>
      <c r="E484" s="4" t="s">
        <v>2494</v>
      </c>
      <c r="F484" s="4" t="s">
        <v>28</v>
      </c>
      <c r="G484" s="4" t="s">
        <v>185</v>
      </c>
      <c r="H484" s="4" t="s">
        <v>276</v>
      </c>
      <c r="J484" s="4" t="s">
        <v>204</v>
      </c>
      <c r="K484" s="4" t="s">
        <v>206</v>
      </c>
      <c r="L484" s="4" t="s">
        <v>386</v>
      </c>
      <c r="M484" s="4" t="s">
        <v>2495</v>
      </c>
      <c r="N484" s="4" t="s">
        <v>29</v>
      </c>
      <c r="O484" s="13" t="s">
        <v>2496</v>
      </c>
      <c r="P484" s="13" t="s">
        <v>677</v>
      </c>
      <c r="Q484" s="13" t="s">
        <v>574</v>
      </c>
      <c r="R484" s="4" t="s">
        <v>2497</v>
      </c>
      <c r="S484" s="7" t="e">
        <f ca="1">IF(_xludf.ifna(VLOOKUP(B484,Parámetros!#REF!,1,0),"")="","No","Sí")</f>
        <v>#NAME?</v>
      </c>
      <c r="T484" s="7" t="str">
        <f t="shared" si="16"/>
        <v>No normativo</v>
      </c>
      <c r="U484" s="4" t="s">
        <v>195</v>
      </c>
      <c r="V484" s="4" t="s">
        <v>39</v>
      </c>
      <c r="W484" s="4" t="s">
        <v>300</v>
      </c>
      <c r="X484" s="4" t="s">
        <v>301</v>
      </c>
      <c r="Y484" s="4" t="s">
        <v>302</v>
      </c>
      <c r="Z484" s="4">
        <v>0</v>
      </c>
      <c r="AA484" s="5">
        <v>42369423</v>
      </c>
      <c r="AB484" s="4" t="s">
        <v>215</v>
      </c>
      <c r="AC484">
        <v>483</v>
      </c>
    </row>
    <row r="485" spans="1:29" ht="16.5" customHeight="1" x14ac:dyDescent="0.2">
      <c r="A485" s="6" t="str">
        <f t="shared" si="15"/>
        <v>SDATOOL-41136 $ Implementación de zonas para trabajo colaborativo Scrum (Fábricas Digitales)</v>
      </c>
      <c r="B485" s="4" t="s">
        <v>2498</v>
      </c>
      <c r="C485" s="4" t="s">
        <v>2499</v>
      </c>
      <c r="D485" s="4" t="s">
        <v>763</v>
      </c>
      <c r="E485" s="4" t="s">
        <v>2500</v>
      </c>
      <c r="F485" s="4" t="s">
        <v>30</v>
      </c>
      <c r="G485" s="4" t="s">
        <v>185</v>
      </c>
      <c r="H485" s="4" t="s">
        <v>186</v>
      </c>
      <c r="I485" s="4" t="e">
        <v>#N/A</v>
      </c>
      <c r="K485" s="4" t="s">
        <v>386</v>
      </c>
      <c r="L485" s="4" t="s">
        <v>394</v>
      </c>
      <c r="M485" s="4" t="s">
        <v>2501</v>
      </c>
      <c r="N485" s="4" t="s">
        <v>15</v>
      </c>
      <c r="O485" s="13" t="s">
        <v>287</v>
      </c>
      <c r="P485" s="13" t="s">
        <v>288</v>
      </c>
      <c r="S485" s="7" t="e">
        <f ca="1">IF(_xludf.ifna(VLOOKUP(B485,Parámetros!#REF!,1,0),"")="","No","Sí")</f>
        <v>#NAME?</v>
      </c>
      <c r="T485" s="7" t="str">
        <f t="shared" si="16"/>
        <v>No normativo</v>
      </c>
      <c r="U485" s="4" t="s">
        <v>195</v>
      </c>
      <c r="V485" s="4" t="s">
        <v>39</v>
      </c>
      <c r="W485" s="4" t="s">
        <v>300</v>
      </c>
      <c r="X485" s="4" t="s">
        <v>1138</v>
      </c>
      <c r="Y485" s="4" t="s">
        <v>1139</v>
      </c>
      <c r="Z485" s="5">
        <v>1102500000</v>
      </c>
      <c r="AA485" s="5">
        <v>1102500000</v>
      </c>
      <c r="AB485" s="4" t="s">
        <v>180</v>
      </c>
      <c r="AC485">
        <v>484</v>
      </c>
    </row>
    <row r="486" spans="1:29" ht="16.5" hidden="1" customHeight="1" x14ac:dyDescent="0.2">
      <c r="A486" s="6" t="str">
        <f t="shared" si="15"/>
        <v>SDATOOL-41152 $ Seguros - LIS Coaseguro Aceptado Autos F2</v>
      </c>
      <c r="B486" s="4" t="s">
        <v>2502</v>
      </c>
      <c r="C486" s="4" t="s">
        <v>2503</v>
      </c>
      <c r="D486" s="4" t="s">
        <v>763</v>
      </c>
      <c r="E486" s="4" t="s">
        <v>1189</v>
      </c>
      <c r="F486" s="4" t="s">
        <v>28</v>
      </c>
      <c r="G486" s="4" t="s">
        <v>185</v>
      </c>
      <c r="H486" s="4" t="s">
        <v>203</v>
      </c>
      <c r="J486" s="4" t="s">
        <v>204</v>
      </c>
      <c r="K486" s="4" t="s">
        <v>770</v>
      </c>
      <c r="L486" s="4" t="s">
        <v>206</v>
      </c>
      <c r="M486" s="4" t="s">
        <v>1189</v>
      </c>
      <c r="N486" s="4" t="s">
        <v>22</v>
      </c>
      <c r="O486" s="13" t="s">
        <v>343</v>
      </c>
      <c r="P486" s="13" t="s">
        <v>499</v>
      </c>
      <c r="Q486" s="13" t="s">
        <v>1206</v>
      </c>
      <c r="S486" s="7" t="e">
        <f ca="1">IF(_xludf.ifna(VLOOKUP(B486,Parámetros!#REF!,1,0),"")="","No","Sí")</f>
        <v>#NAME?</v>
      </c>
      <c r="T486" s="7" t="str">
        <f t="shared" si="16"/>
        <v>No normativo</v>
      </c>
      <c r="U486" s="4" t="s">
        <v>195</v>
      </c>
      <c r="V486" s="4" t="s">
        <v>347</v>
      </c>
      <c r="W486" s="4" t="s">
        <v>233</v>
      </c>
      <c r="X486" s="4" t="s">
        <v>234</v>
      </c>
      <c r="Y486" s="4" t="s">
        <v>501</v>
      </c>
      <c r="Z486" s="4">
        <v>0</v>
      </c>
      <c r="AA486" s="4">
        <v>0</v>
      </c>
      <c r="AB486" s="4" t="s">
        <v>215</v>
      </c>
      <c r="AC486">
        <v>485</v>
      </c>
    </row>
    <row r="487" spans="1:29" ht="16.5" hidden="1" customHeight="1" x14ac:dyDescent="0.2">
      <c r="A487" s="6" t="str">
        <f t="shared" si="15"/>
        <v>SDATOOL-41153 $ Cronos - Plan Ascenso - Cap Pymes Transformación circuito admisión</v>
      </c>
      <c r="B487" s="4" t="s">
        <v>2504</v>
      </c>
      <c r="C487" s="4" t="s">
        <v>2505</v>
      </c>
      <c r="D487" s="4" t="s">
        <v>183</v>
      </c>
      <c r="E487" s="4" t="s">
        <v>2506</v>
      </c>
      <c r="F487" s="4" t="s">
        <v>56</v>
      </c>
      <c r="G487" s="4" t="s">
        <v>185</v>
      </c>
      <c r="H487" s="4" t="s">
        <v>752</v>
      </c>
      <c r="K487" s="4" t="s">
        <v>314</v>
      </c>
      <c r="L487" s="4" t="s">
        <v>586</v>
      </c>
      <c r="M487" s="4" t="s">
        <v>2507</v>
      </c>
      <c r="N487" s="4" t="s">
        <v>29</v>
      </c>
      <c r="O487" s="13" t="s">
        <v>1778</v>
      </c>
      <c r="P487" s="13" t="s">
        <v>1240</v>
      </c>
      <c r="Q487" s="13" t="s">
        <v>255</v>
      </c>
      <c r="S487" s="7" t="e">
        <f ca="1">IF(_xludf.ifna(VLOOKUP(B487,Parámetros!#REF!,1,0),"")="","No","Sí")</f>
        <v>#NAME?</v>
      </c>
      <c r="T487" s="7" t="str">
        <f t="shared" si="16"/>
        <v>No normativo</v>
      </c>
      <c r="U487" s="4" t="s">
        <v>195</v>
      </c>
      <c r="V487" s="4" t="s">
        <v>39</v>
      </c>
      <c r="W487" s="4" t="s">
        <v>196</v>
      </c>
      <c r="X487" s="4" t="s">
        <v>246</v>
      </c>
      <c r="Y487" s="4" t="s">
        <v>247</v>
      </c>
      <c r="Z487" s="5">
        <v>350000000</v>
      </c>
      <c r="AA487" s="5">
        <v>350000000</v>
      </c>
      <c r="AB487" s="4" t="s">
        <v>215</v>
      </c>
      <c r="AC487">
        <v>486</v>
      </c>
    </row>
    <row r="488" spans="1:29" ht="16.5" customHeight="1" x14ac:dyDescent="0.2">
      <c r="A488" s="6" t="str">
        <f t="shared" si="15"/>
        <v>SDATOOL-41155 $ DevOps: Estandarización del Ciclo de Vida del Software - 2023</v>
      </c>
      <c r="B488" s="4" t="s">
        <v>2508</v>
      </c>
      <c r="C488" s="4" t="s">
        <v>2509</v>
      </c>
      <c r="D488" s="4" t="s">
        <v>183</v>
      </c>
      <c r="E488" s="4" t="s">
        <v>1110</v>
      </c>
      <c r="F488" s="4" t="s">
        <v>43</v>
      </c>
      <c r="G488" s="4" t="s">
        <v>185</v>
      </c>
      <c r="H488" s="4" t="s">
        <v>186</v>
      </c>
      <c r="I488" s="4" t="s">
        <v>186</v>
      </c>
      <c r="J488" s="4" t="s">
        <v>204</v>
      </c>
      <c r="K488" s="4" t="s">
        <v>386</v>
      </c>
      <c r="L488" s="4" t="s">
        <v>394</v>
      </c>
      <c r="M488" s="4" t="s">
        <v>1111</v>
      </c>
      <c r="N488" s="4" t="s">
        <v>15</v>
      </c>
      <c r="O488" s="13" t="s">
        <v>2510</v>
      </c>
      <c r="P488" s="13" t="s">
        <v>2511</v>
      </c>
      <c r="Q488" s="13" t="s">
        <v>1112</v>
      </c>
      <c r="R488" s="4" t="s">
        <v>1113</v>
      </c>
      <c r="S488" s="7" t="e">
        <f ca="1">IF(_xludf.ifna(VLOOKUP(B488,Parámetros!#REF!,1,0),"")="","No","Sí")</f>
        <v>#NAME?</v>
      </c>
      <c r="T488" s="7" t="str">
        <f t="shared" si="16"/>
        <v>No normativo</v>
      </c>
      <c r="U488" s="4" t="s">
        <v>195</v>
      </c>
      <c r="V488" s="4" t="s">
        <v>39</v>
      </c>
      <c r="W488" s="4" t="s">
        <v>212</v>
      </c>
      <c r="X488" s="4" t="s">
        <v>1114</v>
      </c>
      <c r="Y488" s="4" t="s">
        <v>1115</v>
      </c>
      <c r="Z488" s="5">
        <v>819938807</v>
      </c>
      <c r="AA488" s="5">
        <v>1023000000</v>
      </c>
      <c r="AB488" s="4" t="s">
        <v>180</v>
      </c>
      <c r="AC488">
        <v>487</v>
      </c>
    </row>
    <row r="489" spans="1:29" ht="16.5" customHeight="1" x14ac:dyDescent="0.2">
      <c r="A489" s="6" t="str">
        <f t="shared" si="15"/>
        <v>SDATOOL-41156 $ Fenix Colombia</v>
      </c>
      <c r="B489" s="4" t="s">
        <v>2512</v>
      </c>
      <c r="C489" s="4" t="s">
        <v>2513</v>
      </c>
      <c r="D489" s="4" t="s">
        <v>183</v>
      </c>
      <c r="E489" s="4" t="s">
        <v>2514</v>
      </c>
      <c r="F489" s="4" t="s">
        <v>30</v>
      </c>
      <c r="G489" s="4" t="s">
        <v>185</v>
      </c>
      <c r="H489" s="4" t="s">
        <v>186</v>
      </c>
      <c r="I489" s="4" t="e">
        <v>#N/A</v>
      </c>
      <c r="K489" s="4" t="s">
        <v>386</v>
      </c>
      <c r="L489" s="4" t="s">
        <v>729</v>
      </c>
      <c r="M489" s="4" t="s">
        <v>2515</v>
      </c>
      <c r="N489" s="4" t="s">
        <v>15</v>
      </c>
      <c r="O489" s="13" t="s">
        <v>262</v>
      </c>
      <c r="P489" s="13" t="s">
        <v>1477</v>
      </c>
      <c r="S489" s="7" t="e">
        <f ca="1">IF(_xludf.ifna(VLOOKUP(B489,Parámetros!#REF!,1,0),"")="","No","Sí")</f>
        <v>#NAME?</v>
      </c>
      <c r="T489" s="7" t="str">
        <f t="shared" si="16"/>
        <v>No normativo</v>
      </c>
      <c r="U489" s="4" t="s">
        <v>195</v>
      </c>
      <c r="V489" s="4" t="s">
        <v>39</v>
      </c>
      <c r="W489" s="4" t="s">
        <v>291</v>
      </c>
      <c r="X489" s="4" t="s">
        <v>292</v>
      </c>
      <c r="Y489" s="4" t="s">
        <v>2516</v>
      </c>
      <c r="Z489" s="4">
        <v>0</v>
      </c>
      <c r="AA489" s="4">
        <v>0</v>
      </c>
      <c r="AB489" s="4" t="s">
        <v>180</v>
      </c>
      <c r="AC489">
        <v>488</v>
      </c>
    </row>
    <row r="490" spans="1:29" ht="16.5" hidden="1" customHeight="1" x14ac:dyDescent="0.2">
      <c r="A490" s="6" t="str">
        <f t="shared" si="15"/>
        <v>SDATOOL-41171 $ CBS Core Banking Strategy Convivencia Clients and Contracts</v>
      </c>
      <c r="B490" s="4" t="s">
        <v>2517</v>
      </c>
      <c r="C490" s="4" t="s">
        <v>2518</v>
      </c>
      <c r="D490" s="4" t="s">
        <v>183</v>
      </c>
      <c r="E490" s="4" t="s">
        <v>2519</v>
      </c>
      <c r="F490" s="4" t="s">
        <v>43</v>
      </c>
      <c r="G490" s="4" t="s">
        <v>185</v>
      </c>
      <c r="H490" s="4" t="s">
        <v>276</v>
      </c>
      <c r="I490" s="4" t="s">
        <v>752</v>
      </c>
      <c r="K490" s="4" t="s">
        <v>386</v>
      </c>
      <c r="L490" s="4" t="s">
        <v>394</v>
      </c>
      <c r="M490" s="4" t="s">
        <v>2520</v>
      </c>
      <c r="N490" s="4" t="s">
        <v>22</v>
      </c>
      <c r="O490" s="13" t="s">
        <v>574</v>
      </c>
      <c r="P490" s="13" t="s">
        <v>1155</v>
      </c>
      <c r="Q490" s="13" t="s">
        <v>1155</v>
      </c>
      <c r="R490" s="4" t="s">
        <v>1691</v>
      </c>
      <c r="S490" s="7" t="e">
        <f ca="1">IF(_xludf.ifna(VLOOKUP(B490,Parámetros!#REF!,1,0),"")="","No","Sí")</f>
        <v>#NAME?</v>
      </c>
      <c r="T490" s="7" t="str">
        <f t="shared" si="16"/>
        <v>No normativo</v>
      </c>
      <c r="U490" s="4" t="s">
        <v>195</v>
      </c>
      <c r="V490" s="4" t="s">
        <v>39</v>
      </c>
      <c r="W490" s="4" t="s">
        <v>212</v>
      </c>
      <c r="X490" s="4" t="s">
        <v>2521</v>
      </c>
      <c r="Y490" s="4" t="s">
        <v>2522</v>
      </c>
      <c r="Z490" s="5">
        <v>695075010</v>
      </c>
      <c r="AA490" s="5">
        <v>839850012</v>
      </c>
      <c r="AB490" s="4" t="s">
        <v>180</v>
      </c>
      <c r="AC490">
        <v>489</v>
      </c>
    </row>
    <row r="491" spans="1:29" ht="16.5" customHeight="1" x14ac:dyDescent="0.2">
      <c r="A491" s="6" t="str">
        <f t="shared" si="15"/>
        <v>SDATOOL-41172 $ Switches Oficina &amp; Red de Piso Edificios Principales a Nivel Nacional</v>
      </c>
      <c r="B491" s="4" t="s">
        <v>2523</v>
      </c>
      <c r="C491" s="4" t="s">
        <v>2524</v>
      </c>
      <c r="D491" s="4" t="s">
        <v>183</v>
      </c>
      <c r="E491" s="4" t="s">
        <v>2525</v>
      </c>
      <c r="F491" s="4" t="s">
        <v>43</v>
      </c>
      <c r="G491" s="4" t="s">
        <v>185</v>
      </c>
      <c r="H491" s="4" t="s">
        <v>186</v>
      </c>
      <c r="I491" s="4" t="s">
        <v>186</v>
      </c>
      <c r="J491" s="4" t="s">
        <v>204</v>
      </c>
      <c r="K491" s="4" t="s">
        <v>386</v>
      </c>
      <c r="L491" s="4" t="s">
        <v>394</v>
      </c>
      <c r="M491" s="4" t="s">
        <v>2526</v>
      </c>
      <c r="N491" s="4" t="s">
        <v>22</v>
      </c>
      <c r="O491" s="13" t="s">
        <v>354</v>
      </c>
      <c r="P491" s="13" t="s">
        <v>1974</v>
      </c>
      <c r="Q491" s="13" t="s">
        <v>1974</v>
      </c>
      <c r="R491" s="4" t="s">
        <v>2527</v>
      </c>
      <c r="S491" s="7" t="e">
        <f ca="1">IF(_xludf.ifna(VLOOKUP(B491,Parámetros!#REF!,1,0),"")="","No","Sí")</f>
        <v>#NAME?</v>
      </c>
      <c r="T491" s="7" t="str">
        <f t="shared" si="16"/>
        <v>Normativo</v>
      </c>
      <c r="U491" s="4" t="s">
        <v>195</v>
      </c>
      <c r="V491" s="4" t="s">
        <v>39</v>
      </c>
      <c r="W491" s="4" t="s">
        <v>196</v>
      </c>
      <c r="X491" s="4" t="s">
        <v>225</v>
      </c>
      <c r="Y491" s="4" t="s">
        <v>925</v>
      </c>
      <c r="Z491" s="5">
        <v>1750409498</v>
      </c>
      <c r="AA491" s="5">
        <v>1700000000</v>
      </c>
      <c r="AB491" s="4" t="s">
        <v>180</v>
      </c>
      <c r="AC491">
        <v>490</v>
      </c>
    </row>
    <row r="492" spans="1:29" ht="16.5" customHeight="1" x14ac:dyDescent="0.2">
      <c r="A492" s="6" t="str">
        <f t="shared" si="15"/>
        <v>SDATOOL-41173 $ End of support Directores SAN CPD</v>
      </c>
      <c r="B492" s="4" t="s">
        <v>2528</v>
      </c>
      <c r="C492" s="4" t="s">
        <v>2529</v>
      </c>
      <c r="D492" s="4" t="s">
        <v>183</v>
      </c>
      <c r="E492" s="4" t="s">
        <v>2530</v>
      </c>
      <c r="F492" s="4" t="s">
        <v>43</v>
      </c>
      <c r="G492" s="4" t="s">
        <v>185</v>
      </c>
      <c r="H492" s="4" t="s">
        <v>186</v>
      </c>
      <c r="I492" s="4" t="s">
        <v>186</v>
      </c>
      <c r="J492" s="4" t="s">
        <v>204</v>
      </c>
      <c r="K492" s="4" t="s">
        <v>386</v>
      </c>
      <c r="L492" s="4" t="s">
        <v>729</v>
      </c>
      <c r="M492" s="4" t="s">
        <v>2531</v>
      </c>
      <c r="N492" s="4" t="s">
        <v>15</v>
      </c>
      <c r="O492" s="13" t="s">
        <v>1008</v>
      </c>
      <c r="P492" s="13" t="s">
        <v>1001</v>
      </c>
      <c r="Q492" s="13" t="s">
        <v>1000</v>
      </c>
      <c r="R492" s="4" t="s">
        <v>2532</v>
      </c>
      <c r="S492" s="7" t="e">
        <f ca="1">IF(_xludf.ifna(VLOOKUP(B492,Parámetros!#REF!,1,0),"")="","No","Sí")</f>
        <v>#NAME?</v>
      </c>
      <c r="T492" s="7" t="str">
        <f t="shared" si="16"/>
        <v>No normativo</v>
      </c>
      <c r="U492" s="4" t="s">
        <v>195</v>
      </c>
      <c r="V492" s="4" t="s">
        <v>39</v>
      </c>
      <c r="W492" s="4" t="s">
        <v>212</v>
      </c>
      <c r="X492" s="4" t="s">
        <v>356</v>
      </c>
      <c r="Y492" s="4" t="s">
        <v>1003</v>
      </c>
      <c r="Z492" s="5">
        <v>9344929345</v>
      </c>
      <c r="AA492" s="5">
        <v>5308132269</v>
      </c>
      <c r="AB492" s="4" t="s">
        <v>180</v>
      </c>
      <c r="AC492">
        <v>491</v>
      </c>
    </row>
    <row r="493" spans="1:29" ht="16.5" customHeight="1" x14ac:dyDescent="0.2">
      <c r="A493" s="6" t="str">
        <f t="shared" si="15"/>
        <v>SDATOOL-41174 $ Ampliación infraestructura backups de corta y larga retención</v>
      </c>
      <c r="B493" s="4" t="s">
        <v>2533</v>
      </c>
      <c r="C493" s="4" t="s">
        <v>2534</v>
      </c>
      <c r="D493" s="4" t="s">
        <v>183</v>
      </c>
      <c r="E493" s="4" t="s">
        <v>2535</v>
      </c>
      <c r="F493" s="4" t="s">
        <v>43</v>
      </c>
      <c r="G493" s="4" t="s">
        <v>185</v>
      </c>
      <c r="H493" s="4" t="s">
        <v>186</v>
      </c>
      <c r="I493" s="4" t="e">
        <v>#N/A</v>
      </c>
      <c r="K493" s="4" t="s">
        <v>386</v>
      </c>
      <c r="L493" s="4" t="s">
        <v>586</v>
      </c>
      <c r="M493" s="4" t="s">
        <v>2536</v>
      </c>
      <c r="N493" s="4" t="s">
        <v>15</v>
      </c>
      <c r="O493" s="13" t="s">
        <v>1008</v>
      </c>
      <c r="P493" s="13" t="s">
        <v>1001</v>
      </c>
      <c r="Q493" s="13" t="s">
        <v>1000</v>
      </c>
      <c r="S493" s="7" t="e">
        <f ca="1">IF(_xludf.ifna(VLOOKUP(B493,Parámetros!#REF!,1,0),"")="","No","Sí")</f>
        <v>#NAME?</v>
      </c>
      <c r="T493" s="7" t="str">
        <f t="shared" si="16"/>
        <v>No normativo</v>
      </c>
      <c r="U493" s="4" t="s">
        <v>195</v>
      </c>
      <c r="V493" s="4" t="s">
        <v>39</v>
      </c>
      <c r="W493" s="4" t="s">
        <v>212</v>
      </c>
      <c r="X493" s="4" t="s">
        <v>356</v>
      </c>
      <c r="Y493" s="4" t="s">
        <v>1003</v>
      </c>
      <c r="Z493" s="5">
        <v>2662563273</v>
      </c>
      <c r="AA493" s="5">
        <v>1294000000</v>
      </c>
      <c r="AB493" s="4" t="s">
        <v>180</v>
      </c>
      <c r="AC493">
        <v>492</v>
      </c>
    </row>
    <row r="494" spans="1:29" ht="16.5" customHeight="1" x14ac:dyDescent="0.2">
      <c r="A494" s="6" t="str">
        <f t="shared" si="15"/>
        <v>SDATOOL-41180 $ Renovación por Obsolescencia de los sistemas de CCTV de la Red de Oficinas y ATMS</v>
      </c>
      <c r="B494" s="4" t="s">
        <v>2537</v>
      </c>
      <c r="C494" s="4" t="s">
        <v>2538</v>
      </c>
      <c r="D494" s="4" t="s">
        <v>183</v>
      </c>
      <c r="E494" s="4" t="s">
        <v>2539</v>
      </c>
      <c r="F494" s="4" t="s">
        <v>43</v>
      </c>
      <c r="G494" s="4" t="s">
        <v>185</v>
      </c>
      <c r="H494" s="4" t="s">
        <v>186</v>
      </c>
      <c r="J494" s="4" t="s">
        <v>204</v>
      </c>
      <c r="K494" s="4" t="s">
        <v>386</v>
      </c>
      <c r="L494" s="4" t="s">
        <v>394</v>
      </c>
      <c r="M494" s="4" t="s">
        <v>2540</v>
      </c>
      <c r="N494" s="4" t="s">
        <v>15</v>
      </c>
      <c r="O494" s="13" t="s">
        <v>1437</v>
      </c>
      <c r="P494" s="13" t="s">
        <v>1132</v>
      </c>
      <c r="Q494" s="13" t="s">
        <v>373</v>
      </c>
      <c r="R494" s="4" t="s">
        <v>2541</v>
      </c>
      <c r="S494" s="7" t="e">
        <f ca="1">IF(_xludf.ifna(VLOOKUP(B494,Parámetros!#REF!,1,0),"")="","No","Sí")</f>
        <v>#NAME?</v>
      </c>
      <c r="T494" s="7" t="str">
        <f t="shared" si="16"/>
        <v>No normativo</v>
      </c>
      <c r="U494" s="4" t="s">
        <v>195</v>
      </c>
      <c r="V494" s="4" t="s">
        <v>39</v>
      </c>
      <c r="W494" s="4" t="s">
        <v>196</v>
      </c>
      <c r="X494" s="4" t="s">
        <v>225</v>
      </c>
      <c r="Y494" s="4" t="s">
        <v>1127</v>
      </c>
      <c r="Z494" s="5">
        <v>678000640</v>
      </c>
      <c r="AA494" s="5">
        <v>708000000</v>
      </c>
      <c r="AB494" s="4" t="s">
        <v>180</v>
      </c>
      <c r="AC494">
        <v>493</v>
      </c>
    </row>
    <row r="495" spans="1:29" ht="16.5" hidden="1" customHeight="1" x14ac:dyDescent="0.2">
      <c r="A495" s="6" t="str">
        <f t="shared" si="15"/>
        <v>SDATOOL-41181 $ Nuevo Modelo de Oficina</v>
      </c>
      <c r="B495" s="4" t="s">
        <v>2542</v>
      </c>
      <c r="C495" s="4" t="s">
        <v>2543</v>
      </c>
      <c r="D495" s="4" t="s">
        <v>183</v>
      </c>
      <c r="E495" s="4" t="s">
        <v>2544</v>
      </c>
      <c r="F495" s="4" t="s">
        <v>35</v>
      </c>
      <c r="G495" s="4" t="s">
        <v>185</v>
      </c>
      <c r="H495" s="4" t="s">
        <v>276</v>
      </c>
      <c r="J495" s="4" t="s">
        <v>204</v>
      </c>
      <c r="K495" s="4" t="s">
        <v>962</v>
      </c>
      <c r="L495" s="4" t="s">
        <v>386</v>
      </c>
      <c r="M495" s="4" t="s">
        <v>2545</v>
      </c>
      <c r="N495" s="4" t="s">
        <v>36</v>
      </c>
      <c r="O495" s="13" t="s">
        <v>289</v>
      </c>
      <c r="Q495" s="13" t="s">
        <v>2546</v>
      </c>
      <c r="S495" s="7" t="e">
        <f ca="1">IF(_xludf.ifna(VLOOKUP(B495,Parámetros!#REF!,1,0),"")="","No","Sí")</f>
        <v>#NAME?</v>
      </c>
      <c r="T495" s="7" t="str">
        <f t="shared" si="16"/>
        <v>Normativo</v>
      </c>
      <c r="U495" s="4" t="s">
        <v>195</v>
      </c>
      <c r="V495" s="4" t="s">
        <v>39</v>
      </c>
      <c r="W495" s="4" t="s">
        <v>196</v>
      </c>
      <c r="X495" s="4" t="s">
        <v>426</v>
      </c>
      <c r="Y495" s="4" t="s">
        <v>427</v>
      </c>
      <c r="Z495" s="4">
        <v>1</v>
      </c>
      <c r="AA495" s="4">
        <v>1</v>
      </c>
      <c r="AB495" s="4" t="s">
        <v>215</v>
      </c>
      <c r="AC495">
        <v>494</v>
      </c>
    </row>
    <row r="496" spans="1:29" ht="16.5" customHeight="1" x14ac:dyDescent="0.2">
      <c r="A496" s="6" t="str">
        <f t="shared" si="15"/>
        <v>SDATOOL-41182 $ EBA - Aplicaciones ICC</v>
      </c>
      <c r="B496" s="4" t="s">
        <v>2547</v>
      </c>
      <c r="C496" s="4" t="s">
        <v>2548</v>
      </c>
      <c r="D496" s="4" t="s">
        <v>183</v>
      </c>
      <c r="E496" s="4" t="s">
        <v>2549</v>
      </c>
      <c r="F496" s="4" t="s">
        <v>43</v>
      </c>
      <c r="G496" s="4" t="s">
        <v>185</v>
      </c>
      <c r="H496" s="4" t="s">
        <v>186</v>
      </c>
      <c r="J496" s="4" t="s">
        <v>204</v>
      </c>
      <c r="K496" s="4" t="s">
        <v>386</v>
      </c>
      <c r="L496" s="4" t="s">
        <v>394</v>
      </c>
      <c r="M496" s="4" t="s">
        <v>2550</v>
      </c>
      <c r="N496" s="4" t="s">
        <v>15</v>
      </c>
      <c r="O496" s="13" t="s">
        <v>1437</v>
      </c>
      <c r="P496" s="13" t="s">
        <v>1101</v>
      </c>
      <c r="Q496" s="13" t="s">
        <v>1101</v>
      </c>
      <c r="R496" s="4" t="s">
        <v>2551</v>
      </c>
      <c r="S496" s="7" t="e">
        <f ca="1">IF(_xludf.ifna(VLOOKUP(B496,Parámetros!#REF!,1,0),"")="","No","Sí")</f>
        <v>#NAME?</v>
      </c>
      <c r="T496" s="7" t="str">
        <f t="shared" si="16"/>
        <v>No normativo</v>
      </c>
      <c r="U496" s="4" t="s">
        <v>195</v>
      </c>
      <c r="V496" s="4" t="s">
        <v>39</v>
      </c>
      <c r="W496" s="4" t="s">
        <v>212</v>
      </c>
      <c r="X496" s="4" t="s">
        <v>375</v>
      </c>
      <c r="Y496" s="4" t="s">
        <v>878</v>
      </c>
      <c r="Z496" s="5">
        <v>1400000000</v>
      </c>
      <c r="AA496" s="5">
        <v>1100000000</v>
      </c>
      <c r="AB496" s="4" t="s">
        <v>180</v>
      </c>
      <c r="AC496">
        <v>495</v>
      </c>
    </row>
    <row r="497" spans="1:29" ht="16.5" customHeight="1" x14ac:dyDescent="0.2">
      <c r="A497" s="6" t="str">
        <f t="shared" si="15"/>
        <v>SDATOOL-41185 $ Colombia Estimating sectoral indicators and their carbon footprint emissions to measure the economy in real time and high definition</v>
      </c>
      <c r="B497" s="4" t="s">
        <v>2552</v>
      </c>
      <c r="C497" s="4" t="s">
        <v>2553</v>
      </c>
      <c r="D497" s="4" t="s">
        <v>183</v>
      </c>
      <c r="E497" s="4" t="s">
        <v>2554</v>
      </c>
      <c r="F497" s="4" t="s">
        <v>63</v>
      </c>
      <c r="G497" s="4" t="s">
        <v>185</v>
      </c>
      <c r="H497" s="4" t="s">
        <v>186</v>
      </c>
      <c r="I497" s="4" t="e">
        <v>#N/A</v>
      </c>
      <c r="J497" s="4" t="s">
        <v>204</v>
      </c>
      <c r="K497" s="4" t="s">
        <v>386</v>
      </c>
      <c r="L497" s="4" t="s">
        <v>314</v>
      </c>
      <c r="M497" s="4" t="s">
        <v>1452</v>
      </c>
      <c r="N497" s="4" t="s">
        <v>15</v>
      </c>
      <c r="O497" s="13" t="s">
        <v>1453</v>
      </c>
      <c r="P497" s="13" t="s">
        <v>1453</v>
      </c>
      <c r="S497" s="7" t="e">
        <f ca="1">IF(_xludf.ifna(VLOOKUP(B497,Parámetros!#REF!,1,0),"")="","No","Sí")</f>
        <v>#NAME?</v>
      </c>
      <c r="T497" s="7" t="str">
        <f t="shared" si="16"/>
        <v>Normativo</v>
      </c>
      <c r="U497" s="4" t="s">
        <v>732</v>
      </c>
      <c r="V497" s="4" t="s">
        <v>39</v>
      </c>
      <c r="W497" s="4" t="s">
        <v>212</v>
      </c>
      <c r="X497" s="4" t="s">
        <v>213</v>
      </c>
      <c r="Y497" s="4" t="s">
        <v>814</v>
      </c>
      <c r="Z497" s="4">
        <v>0</v>
      </c>
      <c r="AA497" s="4">
        <v>0</v>
      </c>
      <c r="AB497" s="4" t="s">
        <v>180</v>
      </c>
      <c r="AC497">
        <v>496</v>
      </c>
    </row>
    <row r="498" spans="1:29" ht="16.5" customHeight="1" x14ac:dyDescent="0.2">
      <c r="A498" s="6" t="str">
        <f t="shared" si="15"/>
        <v>SDATOOL-41193 $ Reposición sistema Alarmas y Video 2023</v>
      </c>
      <c r="B498" s="4" t="s">
        <v>2555</v>
      </c>
      <c r="C498" s="4" t="s">
        <v>2556</v>
      </c>
      <c r="D498" s="4" t="s">
        <v>183</v>
      </c>
      <c r="E498" s="4" t="s">
        <v>2557</v>
      </c>
      <c r="F498" s="4" t="s">
        <v>43</v>
      </c>
      <c r="G498" s="4" t="s">
        <v>185</v>
      </c>
      <c r="H498" s="4" t="s">
        <v>186</v>
      </c>
      <c r="I498" s="4" t="s">
        <v>186</v>
      </c>
      <c r="J498" s="4" t="s">
        <v>204</v>
      </c>
      <c r="K498" s="4" t="s">
        <v>386</v>
      </c>
      <c r="L498" s="4" t="s">
        <v>394</v>
      </c>
      <c r="M498" s="4" t="s">
        <v>2558</v>
      </c>
      <c r="N498" s="4" t="s">
        <v>15</v>
      </c>
      <c r="O498" s="13" t="s">
        <v>1437</v>
      </c>
      <c r="P498" s="13" t="s">
        <v>1132</v>
      </c>
      <c r="Q498" s="13" t="s">
        <v>1132</v>
      </c>
      <c r="R498" s="4" t="s">
        <v>2559</v>
      </c>
      <c r="S498" s="7" t="e">
        <f ca="1">IF(_xludf.ifna(VLOOKUP(B498,Parámetros!#REF!,1,0),"")="","No","Sí")</f>
        <v>#NAME?</v>
      </c>
      <c r="T498" s="7" t="str">
        <f t="shared" si="16"/>
        <v>No normativo</v>
      </c>
      <c r="U498" s="4" t="s">
        <v>195</v>
      </c>
      <c r="V498" s="4" t="s">
        <v>39</v>
      </c>
      <c r="W498" s="4" t="s">
        <v>196</v>
      </c>
      <c r="X498" s="4" t="s">
        <v>225</v>
      </c>
      <c r="Y498" s="4" t="s">
        <v>1127</v>
      </c>
      <c r="Z498" s="5">
        <v>312500000</v>
      </c>
      <c r="AA498" s="5">
        <v>260000000</v>
      </c>
      <c r="AB498" s="4" t="s">
        <v>180</v>
      </c>
      <c r="AC498">
        <v>497</v>
      </c>
    </row>
    <row r="499" spans="1:29" ht="16.5" customHeight="1" x14ac:dyDescent="0.2">
      <c r="A499" s="6" t="str">
        <f t="shared" si="15"/>
        <v>SDATOOL-41194 $ Sistema de detección de incendios en Edificios Singulares</v>
      </c>
      <c r="B499" s="4" t="s">
        <v>2560</v>
      </c>
      <c r="C499" s="4" t="s">
        <v>2561</v>
      </c>
      <c r="D499" s="4" t="s">
        <v>183</v>
      </c>
      <c r="E499" s="4" t="s">
        <v>2562</v>
      </c>
      <c r="F499" s="4" t="s">
        <v>43</v>
      </c>
      <c r="G499" s="4" t="s">
        <v>185</v>
      </c>
      <c r="H499" s="4" t="s">
        <v>186</v>
      </c>
      <c r="I499" s="4" t="e">
        <v>#N/A</v>
      </c>
      <c r="J499" s="4" t="s">
        <v>204</v>
      </c>
      <c r="K499" s="4" t="s">
        <v>386</v>
      </c>
      <c r="L499" s="4" t="s">
        <v>314</v>
      </c>
      <c r="M499" s="4" t="s">
        <v>2563</v>
      </c>
      <c r="N499" s="4" t="s">
        <v>15</v>
      </c>
      <c r="O499" s="13" t="s">
        <v>1437</v>
      </c>
      <c r="P499" s="13" t="s">
        <v>1132</v>
      </c>
      <c r="Q499" s="13" t="s">
        <v>373</v>
      </c>
      <c r="R499" s="4" t="s">
        <v>2564</v>
      </c>
      <c r="S499" s="7" t="e">
        <f ca="1">IF(_xludf.ifna(VLOOKUP(B499,Parámetros!#REF!,1,0),"")="","No","Sí")</f>
        <v>#NAME?</v>
      </c>
      <c r="T499" s="7" t="str">
        <f t="shared" si="16"/>
        <v>No normativo</v>
      </c>
      <c r="U499" s="4" t="s">
        <v>195</v>
      </c>
      <c r="V499" s="4" t="s">
        <v>39</v>
      </c>
      <c r="W499" s="4" t="s">
        <v>196</v>
      </c>
      <c r="X499" s="4" t="s">
        <v>225</v>
      </c>
      <c r="Y499" s="4" t="s">
        <v>1127</v>
      </c>
      <c r="Z499" s="5">
        <v>312246130</v>
      </c>
      <c r="AA499" s="5">
        <v>158000538</v>
      </c>
      <c r="AB499" s="4" t="s">
        <v>180</v>
      </c>
      <c r="AC499">
        <v>498</v>
      </c>
    </row>
    <row r="500" spans="1:29" ht="16.5" customHeight="1" x14ac:dyDescent="0.2">
      <c r="A500" s="6" t="str">
        <f t="shared" si="15"/>
        <v>SDATOOL-41198 $ Actualización Servidor receptora de alarmas</v>
      </c>
      <c r="B500" s="4" t="s">
        <v>2565</v>
      </c>
      <c r="C500" s="4" t="s">
        <v>2566</v>
      </c>
      <c r="D500" s="4" t="s">
        <v>183</v>
      </c>
      <c r="E500" s="4" t="s">
        <v>2567</v>
      </c>
      <c r="F500" s="4" t="s">
        <v>43</v>
      </c>
      <c r="G500" s="4" t="s">
        <v>185</v>
      </c>
      <c r="H500" s="4" t="s">
        <v>186</v>
      </c>
      <c r="I500" s="4" t="s">
        <v>186</v>
      </c>
      <c r="J500" s="4" t="s">
        <v>204</v>
      </c>
      <c r="K500" s="4" t="s">
        <v>386</v>
      </c>
      <c r="L500" s="4" t="s">
        <v>394</v>
      </c>
      <c r="M500" s="4" t="s">
        <v>2568</v>
      </c>
      <c r="N500" s="4" t="s">
        <v>15</v>
      </c>
      <c r="O500" s="13" t="s">
        <v>1437</v>
      </c>
      <c r="P500" s="13" t="s">
        <v>1132</v>
      </c>
      <c r="Q500" s="13" t="s">
        <v>373</v>
      </c>
      <c r="R500" s="4" t="s">
        <v>2569</v>
      </c>
      <c r="S500" s="7" t="e">
        <f ca="1">IF(_xludf.ifna(VLOOKUP(B500,Parámetros!#REF!,1,0),"")="","No","Sí")</f>
        <v>#NAME?</v>
      </c>
      <c r="T500" s="7" t="str">
        <f t="shared" si="16"/>
        <v>No normativo</v>
      </c>
      <c r="U500" s="4" t="s">
        <v>195</v>
      </c>
      <c r="V500" s="4" t="s">
        <v>39</v>
      </c>
      <c r="W500" s="4" t="s">
        <v>196</v>
      </c>
      <c r="X500" s="4" t="s">
        <v>225</v>
      </c>
      <c r="Y500" s="4" t="s">
        <v>1127</v>
      </c>
      <c r="Z500" s="5">
        <v>154242138</v>
      </c>
      <c r="AA500" s="5">
        <v>79000538</v>
      </c>
      <c r="AB500" s="4" t="s">
        <v>180</v>
      </c>
      <c r="AC500">
        <v>499</v>
      </c>
    </row>
    <row r="501" spans="1:29" ht="16.5" hidden="1" customHeight="1" x14ac:dyDescent="0.2">
      <c r="A501" s="6" t="str">
        <f t="shared" si="15"/>
        <v>SDATOOL-41199 $ GRM Col - Nuevo factor de cálculo de provisiones por plazo remanente</v>
      </c>
      <c r="B501" s="4" t="s">
        <v>2570</v>
      </c>
      <c r="C501" s="4" t="s">
        <v>2571</v>
      </c>
      <c r="D501" s="4" t="s">
        <v>763</v>
      </c>
      <c r="E501" s="4" t="s">
        <v>2572</v>
      </c>
      <c r="F501" s="4" t="s">
        <v>56</v>
      </c>
      <c r="G501" s="4" t="s">
        <v>185</v>
      </c>
      <c r="H501" s="4" t="s">
        <v>752</v>
      </c>
      <c r="J501" s="4" t="s">
        <v>204</v>
      </c>
      <c r="K501" s="4" t="s">
        <v>206</v>
      </c>
      <c r="L501" s="4" t="s">
        <v>189</v>
      </c>
      <c r="M501" s="4" t="s">
        <v>2573</v>
      </c>
      <c r="N501" s="4" t="s">
        <v>15</v>
      </c>
      <c r="O501" s="13" t="s">
        <v>325</v>
      </c>
      <c r="P501" s="13" t="s">
        <v>549</v>
      </c>
      <c r="Q501" s="13" t="s">
        <v>255</v>
      </c>
      <c r="S501" s="7" t="e">
        <f ca="1">IF(_xludf.ifna(VLOOKUP(B501,Parámetros!#REF!,1,0),"")="","No","Sí")</f>
        <v>#NAME?</v>
      </c>
      <c r="T501" s="7" t="str">
        <f t="shared" si="16"/>
        <v>No normativo</v>
      </c>
      <c r="U501" s="4" t="s">
        <v>224</v>
      </c>
      <c r="V501" s="4" t="s">
        <v>39</v>
      </c>
      <c r="W501" s="4" t="s">
        <v>300</v>
      </c>
      <c r="X501" s="4" t="s">
        <v>301</v>
      </c>
      <c r="Y501" s="4" t="s">
        <v>302</v>
      </c>
      <c r="Z501" s="4">
        <v>0</v>
      </c>
      <c r="AA501" s="4">
        <v>0</v>
      </c>
      <c r="AB501" s="4" t="s">
        <v>215</v>
      </c>
      <c r="AC501">
        <v>500</v>
      </c>
    </row>
    <row r="502" spans="1:29" ht="16.5" customHeight="1" x14ac:dyDescent="0.2">
      <c r="A502" s="6" t="str">
        <f t="shared" si="15"/>
        <v>SDATOOL-41200 $ Equipamiento WorkPlace AACC (Día a Día)</v>
      </c>
      <c r="B502" s="4" t="s">
        <v>2574</v>
      </c>
      <c r="C502" s="4" t="s">
        <v>2575</v>
      </c>
      <c r="D502" s="4" t="s">
        <v>183</v>
      </c>
      <c r="E502" s="4" t="s">
        <v>2576</v>
      </c>
      <c r="F502" s="4" t="s">
        <v>43</v>
      </c>
      <c r="G502" s="4" t="s">
        <v>185</v>
      </c>
      <c r="H502" s="4" t="s">
        <v>186</v>
      </c>
      <c r="I502" s="4" t="s">
        <v>186</v>
      </c>
      <c r="J502" s="4" t="s">
        <v>204</v>
      </c>
      <c r="K502" s="4" t="s">
        <v>386</v>
      </c>
      <c r="L502" s="4" t="s">
        <v>394</v>
      </c>
      <c r="M502" s="4" t="s">
        <v>2577</v>
      </c>
      <c r="N502" s="4" t="s">
        <v>15</v>
      </c>
      <c r="O502" s="13" t="s">
        <v>1008</v>
      </c>
      <c r="P502" s="13" t="s">
        <v>1040</v>
      </c>
      <c r="Q502" s="13" t="s">
        <v>1033</v>
      </c>
      <c r="R502" s="4" t="s">
        <v>2578</v>
      </c>
      <c r="S502" s="7" t="e">
        <f ca="1">IF(_xludf.ifna(VLOOKUP(B502,Parámetros!#REF!,1,0),"")="","No","Sí")</f>
        <v>#NAME?</v>
      </c>
      <c r="T502" s="7" t="str">
        <f t="shared" si="16"/>
        <v>No normativo</v>
      </c>
      <c r="U502" s="4" t="s">
        <v>195</v>
      </c>
      <c r="V502" s="4" t="s">
        <v>39</v>
      </c>
      <c r="W502" s="4" t="s">
        <v>291</v>
      </c>
      <c r="X502" s="4" t="s">
        <v>292</v>
      </c>
      <c r="Y502" s="4" t="s">
        <v>338</v>
      </c>
      <c r="Z502" s="5">
        <v>3375383847</v>
      </c>
      <c r="AA502" s="5">
        <v>6530216551</v>
      </c>
      <c r="AB502" s="4" t="s">
        <v>180</v>
      </c>
      <c r="AC502">
        <v>501</v>
      </c>
    </row>
    <row r="503" spans="1:29" ht="16.5" hidden="1" customHeight="1" x14ac:dyDescent="0.2">
      <c r="A503" s="6" t="str">
        <f t="shared" si="15"/>
        <v>SDATOOL-41201 $ BBVA Valores - Envio Automatico de informes FIC Makers</v>
      </c>
      <c r="B503" s="4" t="s">
        <v>2579</v>
      </c>
      <c r="C503" s="4" t="s">
        <v>2580</v>
      </c>
      <c r="D503" s="4" t="s">
        <v>763</v>
      </c>
      <c r="E503" s="4" t="s">
        <v>2581</v>
      </c>
      <c r="F503" s="4" t="s">
        <v>28</v>
      </c>
      <c r="G503" s="4" t="s">
        <v>185</v>
      </c>
      <c r="H503" s="4" t="s">
        <v>752</v>
      </c>
      <c r="J503" s="4" t="s">
        <v>204</v>
      </c>
      <c r="K503" s="4" t="s">
        <v>206</v>
      </c>
      <c r="L503" s="4" t="s">
        <v>386</v>
      </c>
      <c r="M503" s="4" t="s">
        <v>2582</v>
      </c>
      <c r="N503" s="4" t="s">
        <v>36</v>
      </c>
      <c r="O503" s="13" t="s">
        <v>2583</v>
      </c>
      <c r="P503" s="13" t="s">
        <v>1661</v>
      </c>
      <c r="Q503" s="13" t="s">
        <v>1661</v>
      </c>
      <c r="S503" s="7" t="e">
        <f ca="1">IF(_xludf.ifna(VLOOKUP(B503,Parámetros!#REF!,1,0),"")="","No","Sí")</f>
        <v>#NAME?</v>
      </c>
      <c r="T503" s="7" t="str">
        <f t="shared" si="16"/>
        <v>No normativo</v>
      </c>
      <c r="U503" s="4" t="s">
        <v>732</v>
      </c>
      <c r="V503" s="4" t="s">
        <v>1662</v>
      </c>
      <c r="W503" s="4" t="s">
        <v>233</v>
      </c>
      <c r="X503" s="4" t="s">
        <v>234</v>
      </c>
      <c r="Y503" s="4" t="s">
        <v>389</v>
      </c>
      <c r="Z503" s="4">
        <v>0</v>
      </c>
      <c r="AA503" s="4">
        <v>0</v>
      </c>
      <c r="AB503" s="4" t="s">
        <v>215</v>
      </c>
      <c r="AC503">
        <v>502</v>
      </c>
    </row>
    <row r="504" spans="1:29" ht="16.5" hidden="1" customHeight="1" x14ac:dyDescent="0.2">
      <c r="A504" s="6" t="str">
        <f t="shared" si="15"/>
        <v>SDATOOL-41202 $ GRM Col - Ajustes Asset Allocation y Riesgo de Concentración</v>
      </c>
      <c r="B504" s="4" t="s">
        <v>2584</v>
      </c>
      <c r="C504" s="4" t="s">
        <v>2585</v>
      </c>
      <c r="D504" s="4" t="s">
        <v>763</v>
      </c>
      <c r="E504" s="4" t="s">
        <v>2586</v>
      </c>
      <c r="F504" s="4" t="s">
        <v>56</v>
      </c>
      <c r="G504" s="4" t="s">
        <v>185</v>
      </c>
      <c r="H504" s="4" t="s">
        <v>752</v>
      </c>
      <c r="J504" s="4" t="s">
        <v>187</v>
      </c>
      <c r="K504" s="4" t="s">
        <v>386</v>
      </c>
      <c r="L504" s="4" t="s">
        <v>314</v>
      </c>
      <c r="M504" s="4" t="s">
        <v>2587</v>
      </c>
      <c r="N504" s="4" t="s">
        <v>44</v>
      </c>
      <c r="O504" s="13" t="s">
        <v>2588</v>
      </c>
      <c r="P504" s="13" t="s">
        <v>549</v>
      </c>
      <c r="Q504" s="13" t="s">
        <v>1155</v>
      </c>
      <c r="S504" s="7" t="e">
        <f ca="1">IF(_xludf.ifna(VLOOKUP(B504,Parámetros!#REF!,1,0),"")="","No","Sí")</f>
        <v>#NAME?</v>
      </c>
      <c r="T504" s="7" t="str">
        <f t="shared" si="16"/>
        <v>No normativo</v>
      </c>
      <c r="U504" s="4" t="s">
        <v>195</v>
      </c>
      <c r="V504" s="4" t="s">
        <v>39</v>
      </c>
      <c r="W504" s="4" t="s">
        <v>300</v>
      </c>
      <c r="X504" s="4" t="s">
        <v>301</v>
      </c>
      <c r="Y504" s="4" t="s">
        <v>302</v>
      </c>
      <c r="Z504" s="4">
        <v>0</v>
      </c>
      <c r="AA504" s="4">
        <v>0</v>
      </c>
      <c r="AB504" s="4" t="s">
        <v>215</v>
      </c>
      <c r="AC504">
        <v>503</v>
      </c>
    </row>
    <row r="505" spans="1:29" ht="16.5" customHeight="1" x14ac:dyDescent="0.2">
      <c r="A505" s="6" t="str">
        <f t="shared" si="15"/>
        <v>SDATOOL-41203 $ Obsolescencia Aplicativa 2023</v>
      </c>
      <c r="B505" s="4" t="s">
        <v>2589</v>
      </c>
      <c r="C505" s="4" t="s">
        <v>2590</v>
      </c>
      <c r="D505" s="4" t="s">
        <v>183</v>
      </c>
      <c r="E505" s="4" t="s">
        <v>2591</v>
      </c>
      <c r="F505" s="4" t="s">
        <v>43</v>
      </c>
      <c r="G505" s="4" t="s">
        <v>185</v>
      </c>
      <c r="H505" s="4" t="s">
        <v>186</v>
      </c>
      <c r="I505" s="4" t="s">
        <v>186</v>
      </c>
      <c r="J505" s="4" t="s">
        <v>204</v>
      </c>
      <c r="K505" s="4" t="s">
        <v>386</v>
      </c>
      <c r="L505" s="4" t="s">
        <v>394</v>
      </c>
      <c r="M505" s="4" t="s">
        <v>2592</v>
      </c>
      <c r="N505" s="4" t="s">
        <v>15</v>
      </c>
      <c r="O505" s="13" t="s">
        <v>1008</v>
      </c>
      <c r="P505" s="13" t="s">
        <v>2593</v>
      </c>
      <c r="Q505" s="13" t="s">
        <v>992</v>
      </c>
      <c r="R505" s="4" t="s">
        <v>2594</v>
      </c>
      <c r="S505" s="7" t="e">
        <f ca="1">IF(_xludf.ifna(VLOOKUP(B505,Parámetros!#REF!,1,0),"")="","No","Sí")</f>
        <v>#NAME?</v>
      </c>
      <c r="T505" s="7" t="str">
        <f t="shared" si="16"/>
        <v>No normativo</v>
      </c>
      <c r="U505" s="4" t="s">
        <v>195</v>
      </c>
      <c r="V505" s="4" t="s">
        <v>39</v>
      </c>
      <c r="W505" s="4" t="s">
        <v>212</v>
      </c>
      <c r="X505" s="4" t="s">
        <v>356</v>
      </c>
      <c r="Y505" s="4" t="s">
        <v>1003</v>
      </c>
      <c r="Z505" s="5">
        <v>325000000</v>
      </c>
      <c r="AA505" s="5">
        <v>325000000</v>
      </c>
      <c r="AB505" s="4" t="s">
        <v>180</v>
      </c>
      <c r="AC505">
        <v>504</v>
      </c>
    </row>
    <row r="506" spans="1:29" ht="16.5" customHeight="1" x14ac:dyDescent="0.2">
      <c r="A506" s="6" t="str">
        <f t="shared" si="15"/>
        <v>SDATOOL-41205 $ Tagging Netcash, Net, e-markets</v>
      </c>
      <c r="B506" s="4" t="s">
        <v>2595</v>
      </c>
      <c r="C506" s="4" t="s">
        <v>2596</v>
      </c>
      <c r="D506" s="4" t="s">
        <v>763</v>
      </c>
      <c r="E506" s="4" t="s">
        <v>2597</v>
      </c>
      <c r="F506" s="4" t="s">
        <v>21</v>
      </c>
      <c r="G506" s="4" t="s">
        <v>185</v>
      </c>
      <c r="H506" s="4" t="s">
        <v>186</v>
      </c>
      <c r="K506" s="4" t="s">
        <v>386</v>
      </c>
      <c r="L506" s="4" t="s">
        <v>189</v>
      </c>
      <c r="M506" s="4" t="s">
        <v>418</v>
      </c>
      <c r="N506" s="4" t="s">
        <v>36</v>
      </c>
      <c r="O506" s="13" t="s">
        <v>889</v>
      </c>
      <c r="P506" s="13" t="s">
        <v>889</v>
      </c>
      <c r="Q506" s="13" t="s">
        <v>193</v>
      </c>
      <c r="S506" s="7" t="e">
        <f ca="1">IF(_xludf.ifna(VLOOKUP(B506,Parámetros!#REF!,1,0),"")="","No","Sí")</f>
        <v>#NAME?</v>
      </c>
      <c r="T506" s="7" t="str">
        <f t="shared" si="16"/>
        <v>No normativo</v>
      </c>
      <c r="U506" s="4" t="s">
        <v>195</v>
      </c>
      <c r="V506" s="4" t="s">
        <v>39</v>
      </c>
      <c r="W506" s="4" t="s">
        <v>233</v>
      </c>
      <c r="X506" s="4" t="s">
        <v>234</v>
      </c>
      <c r="Y506" s="4" t="s">
        <v>389</v>
      </c>
      <c r="Z506" s="5">
        <v>400000000</v>
      </c>
      <c r="AA506" s="4">
        <v>0</v>
      </c>
      <c r="AB506" s="4" t="s">
        <v>215</v>
      </c>
      <c r="AC506">
        <v>505</v>
      </c>
    </row>
    <row r="507" spans="1:29" ht="16.5" customHeight="1" x14ac:dyDescent="0.2">
      <c r="A507" s="6" t="str">
        <f t="shared" si="15"/>
        <v>SDATOOL-41206 $ Ordenes de pago recibidas (OPR)</v>
      </c>
      <c r="B507" s="4" t="s">
        <v>2598</v>
      </c>
      <c r="C507" s="4" t="s">
        <v>2599</v>
      </c>
      <c r="D507" s="4" t="s">
        <v>183</v>
      </c>
      <c r="E507" s="4" t="s">
        <v>2600</v>
      </c>
      <c r="F507" s="4" t="s">
        <v>21</v>
      </c>
      <c r="G507" s="4" t="s">
        <v>185</v>
      </c>
      <c r="H507" s="4" t="s">
        <v>186</v>
      </c>
      <c r="I507" s="4" t="s">
        <v>186</v>
      </c>
      <c r="K507" s="4" t="s">
        <v>386</v>
      </c>
      <c r="L507" s="4" t="s">
        <v>314</v>
      </c>
      <c r="M507" s="4" t="s">
        <v>418</v>
      </c>
      <c r="N507" s="4" t="s">
        <v>36</v>
      </c>
      <c r="O507" s="13" t="s">
        <v>889</v>
      </c>
      <c r="P507" s="13" t="s">
        <v>419</v>
      </c>
      <c r="Q507" s="13" t="s">
        <v>193</v>
      </c>
      <c r="S507" s="7" t="e">
        <f ca="1">IF(_xludf.ifna(VLOOKUP(B507,Parámetros!#REF!,1,0),"")="","No","Sí")</f>
        <v>#NAME?</v>
      </c>
      <c r="T507" s="7" t="str">
        <f t="shared" si="16"/>
        <v>No normativo</v>
      </c>
      <c r="U507" s="4" t="s">
        <v>195</v>
      </c>
      <c r="V507" s="4" t="s">
        <v>39</v>
      </c>
      <c r="W507" s="4" t="s">
        <v>233</v>
      </c>
      <c r="X507" s="4" t="s">
        <v>234</v>
      </c>
      <c r="Y507" s="4" t="s">
        <v>389</v>
      </c>
      <c r="Z507" s="5">
        <v>460000000</v>
      </c>
      <c r="AA507" s="5">
        <v>400000000</v>
      </c>
      <c r="AB507" s="4" t="s">
        <v>180</v>
      </c>
      <c r="AC507">
        <v>506</v>
      </c>
    </row>
    <row r="508" spans="1:29" ht="16.5" customHeight="1" x14ac:dyDescent="0.2">
      <c r="A508" s="6" t="str">
        <f t="shared" si="15"/>
        <v>SDATOOL-41207 $ Derivados implícitos ( Triadas)</v>
      </c>
      <c r="B508" s="4" t="s">
        <v>2601</v>
      </c>
      <c r="C508" s="4" t="s">
        <v>2602</v>
      </c>
      <c r="D508" s="4" t="s">
        <v>763</v>
      </c>
      <c r="E508" s="4" t="s">
        <v>2603</v>
      </c>
      <c r="F508" s="4" t="s">
        <v>21</v>
      </c>
      <c r="G508" s="4" t="s">
        <v>185</v>
      </c>
      <c r="H508" s="4" t="s">
        <v>186</v>
      </c>
      <c r="K508" s="4" t="s">
        <v>386</v>
      </c>
      <c r="L508" s="4" t="s">
        <v>189</v>
      </c>
      <c r="M508" s="4" t="s">
        <v>2604</v>
      </c>
      <c r="N508" s="4" t="s">
        <v>36</v>
      </c>
      <c r="O508" s="13" t="s">
        <v>605</v>
      </c>
      <c r="P508" s="13" t="s">
        <v>889</v>
      </c>
      <c r="Q508" s="13" t="s">
        <v>2605</v>
      </c>
      <c r="S508" s="7" t="e">
        <f ca="1">IF(_xludf.ifna(VLOOKUP(B508,Parámetros!#REF!,1,0),"")="","No","Sí")</f>
        <v>#NAME?</v>
      </c>
      <c r="T508" s="7" t="str">
        <f t="shared" si="16"/>
        <v>Normativo</v>
      </c>
      <c r="U508" s="4" t="s">
        <v>195</v>
      </c>
      <c r="V508" s="4" t="s">
        <v>39</v>
      </c>
      <c r="W508" s="4" t="s">
        <v>233</v>
      </c>
      <c r="X508" s="4" t="s">
        <v>234</v>
      </c>
      <c r="Y508" s="4" t="s">
        <v>235</v>
      </c>
      <c r="Z508" s="5">
        <v>1000000000</v>
      </c>
      <c r="AA508" s="4">
        <v>0</v>
      </c>
      <c r="AB508" s="4" t="s">
        <v>215</v>
      </c>
      <c r="AC508">
        <v>507</v>
      </c>
    </row>
    <row r="509" spans="1:29" ht="16.5" customHeight="1" x14ac:dyDescent="0.2">
      <c r="A509" s="6" t="str">
        <f t="shared" si="15"/>
        <v>SDATOOL-41209 $ Journey 2 Cloud 2023 (Sunset CPD)</v>
      </c>
      <c r="B509" s="4" t="s">
        <v>2606</v>
      </c>
      <c r="C509" s="4" t="s">
        <v>2607</v>
      </c>
      <c r="D509" s="4" t="s">
        <v>763</v>
      </c>
      <c r="E509" s="4" t="s">
        <v>2608</v>
      </c>
      <c r="F509" s="4" t="s">
        <v>43</v>
      </c>
      <c r="G509" s="4" t="s">
        <v>185</v>
      </c>
      <c r="H509" s="4" t="s">
        <v>186</v>
      </c>
      <c r="I509" s="4" t="s">
        <v>186</v>
      </c>
      <c r="J509" s="4" t="s">
        <v>204</v>
      </c>
      <c r="K509" s="4" t="s">
        <v>386</v>
      </c>
      <c r="L509" s="4" t="s">
        <v>394</v>
      </c>
      <c r="M509" s="4" t="s">
        <v>2609</v>
      </c>
      <c r="N509" s="4" t="s">
        <v>15</v>
      </c>
      <c r="O509" s="13" t="s">
        <v>532</v>
      </c>
      <c r="P509" s="13" t="s">
        <v>1058</v>
      </c>
      <c r="Q509" s="13" t="s">
        <v>1058</v>
      </c>
      <c r="R509" s="4" t="s">
        <v>2610</v>
      </c>
      <c r="S509" s="7" t="e">
        <f ca="1">IF(_xludf.ifna(VLOOKUP(B509,Parámetros!#REF!,1,0),"")="","No","Sí")</f>
        <v>#NAME?</v>
      </c>
      <c r="T509" s="7" t="str">
        <f t="shared" si="16"/>
        <v>No normativo</v>
      </c>
      <c r="U509" s="4" t="s">
        <v>195</v>
      </c>
      <c r="V509" s="4" t="s">
        <v>39</v>
      </c>
      <c r="W509" s="4" t="s">
        <v>212</v>
      </c>
      <c r="X509" s="4" t="s">
        <v>356</v>
      </c>
      <c r="Y509" s="4" t="s">
        <v>1011</v>
      </c>
      <c r="Z509" s="5">
        <v>2812353752</v>
      </c>
      <c r="AA509" s="5">
        <v>3620017752</v>
      </c>
      <c r="AB509" s="4" t="s">
        <v>180</v>
      </c>
      <c r="AC509">
        <v>508</v>
      </c>
    </row>
    <row r="510" spans="1:29" ht="16.5" customHeight="1" x14ac:dyDescent="0.2">
      <c r="A510" s="6" t="str">
        <f t="shared" si="15"/>
        <v>SDATOOL-41210 $ Adecuación de Laboratorio ATM Entornos Previos</v>
      </c>
      <c r="B510" s="4" t="s">
        <v>2611</v>
      </c>
      <c r="C510" s="4" t="s">
        <v>2612</v>
      </c>
      <c r="D510" s="4" t="s">
        <v>183</v>
      </c>
      <c r="E510" s="4" t="s">
        <v>2613</v>
      </c>
      <c r="F510" s="4" t="s">
        <v>43</v>
      </c>
      <c r="G510" s="4" t="s">
        <v>185</v>
      </c>
      <c r="H510" s="4" t="s">
        <v>186</v>
      </c>
      <c r="I510" s="4" t="e">
        <v>#N/A</v>
      </c>
      <c r="J510" s="4" t="s">
        <v>204</v>
      </c>
      <c r="K510" s="4" t="s">
        <v>386</v>
      </c>
      <c r="L510" s="4" t="s">
        <v>189</v>
      </c>
      <c r="M510" s="4" t="s">
        <v>2614</v>
      </c>
      <c r="N510" s="4" t="s">
        <v>15</v>
      </c>
      <c r="O510" s="13" t="s">
        <v>1027</v>
      </c>
      <c r="P510" s="13" t="s">
        <v>1468</v>
      </c>
      <c r="Q510" s="13" t="s">
        <v>1468</v>
      </c>
      <c r="R510" s="4" t="s">
        <v>2615</v>
      </c>
      <c r="S510" s="7" t="e">
        <f ca="1">IF(_xludf.ifna(VLOOKUP(B510,Parámetros!#REF!,1,0),"")="","No","Sí")</f>
        <v>#NAME?</v>
      </c>
      <c r="T510" s="7" t="str">
        <f t="shared" si="16"/>
        <v>No normativo</v>
      </c>
      <c r="U510" s="4" t="s">
        <v>195</v>
      </c>
      <c r="V510" s="4" t="s">
        <v>39</v>
      </c>
      <c r="W510" s="4" t="s">
        <v>212</v>
      </c>
      <c r="X510" s="4" t="s">
        <v>356</v>
      </c>
      <c r="Y510" s="4" t="s">
        <v>1003</v>
      </c>
      <c r="Z510" s="5">
        <v>249653241</v>
      </c>
      <c r="AA510" s="5">
        <v>100000000</v>
      </c>
      <c r="AB510" s="4" t="s">
        <v>180</v>
      </c>
      <c r="AC510">
        <v>509</v>
      </c>
    </row>
    <row r="511" spans="1:29" ht="16.5" customHeight="1" x14ac:dyDescent="0.2">
      <c r="A511" s="6" t="str">
        <f t="shared" si="15"/>
        <v>SDATOOL-41211 $ Monitorización equipos usuarios BBVA Forensic Tool Kit</v>
      </c>
      <c r="B511" s="4" t="s">
        <v>2616</v>
      </c>
      <c r="C511" s="4" t="s">
        <v>2617</v>
      </c>
      <c r="D511" s="4" t="s">
        <v>183</v>
      </c>
      <c r="E511" s="4" t="s">
        <v>2618</v>
      </c>
      <c r="F511" s="4" t="s">
        <v>43</v>
      </c>
      <c r="G511" s="4" t="s">
        <v>185</v>
      </c>
      <c r="H511" s="4" t="s">
        <v>186</v>
      </c>
      <c r="I511" s="4" t="s">
        <v>752</v>
      </c>
      <c r="J511" s="4" t="s">
        <v>204</v>
      </c>
      <c r="K511" s="4" t="s">
        <v>386</v>
      </c>
      <c r="L511" s="4" t="s">
        <v>394</v>
      </c>
      <c r="M511" s="4" t="s">
        <v>2619</v>
      </c>
      <c r="N511" s="4" t="s">
        <v>15</v>
      </c>
      <c r="O511" s="13" t="s">
        <v>1437</v>
      </c>
      <c r="P511" s="13" t="s">
        <v>372</v>
      </c>
      <c r="Q511" s="13" t="s">
        <v>373</v>
      </c>
      <c r="R511" s="4" t="s">
        <v>2620</v>
      </c>
      <c r="S511" s="7" t="e">
        <f ca="1">IF(_xludf.ifna(VLOOKUP(B511,Parámetros!#REF!,1,0),"")="","No","Sí")</f>
        <v>#NAME?</v>
      </c>
      <c r="T511" s="7" t="str">
        <f t="shared" si="16"/>
        <v>No normativo</v>
      </c>
      <c r="U511" s="4" t="s">
        <v>195</v>
      </c>
      <c r="V511" s="4" t="s">
        <v>39</v>
      </c>
      <c r="W511" s="4" t="s">
        <v>212</v>
      </c>
      <c r="X511" s="4" t="s">
        <v>375</v>
      </c>
      <c r="Y511" s="4" t="s">
        <v>878</v>
      </c>
      <c r="Z511" s="5">
        <v>616000000</v>
      </c>
      <c r="AA511" s="5">
        <v>616000000</v>
      </c>
      <c r="AB511" s="4" t="s">
        <v>180</v>
      </c>
      <c r="AC511">
        <v>510</v>
      </c>
    </row>
    <row r="512" spans="1:29" ht="16.5" customHeight="1" x14ac:dyDescent="0.2">
      <c r="A512" s="6" t="str">
        <f t="shared" si="15"/>
        <v>SDATOOL-41212 $ Shadow IT</v>
      </c>
      <c r="B512" s="4" t="s">
        <v>2621</v>
      </c>
      <c r="C512" s="4" t="s">
        <v>2622</v>
      </c>
      <c r="D512" s="4" t="s">
        <v>763</v>
      </c>
      <c r="E512" s="4" t="s">
        <v>2623</v>
      </c>
      <c r="F512" s="4" t="s">
        <v>43</v>
      </c>
      <c r="G512" s="4" t="s">
        <v>185</v>
      </c>
      <c r="H512" s="4" t="s">
        <v>186</v>
      </c>
      <c r="J512" s="4" t="s">
        <v>204</v>
      </c>
      <c r="K512" s="4" t="s">
        <v>386</v>
      </c>
      <c r="L512" s="4" t="s">
        <v>394</v>
      </c>
      <c r="M512" s="4" t="s">
        <v>2624</v>
      </c>
      <c r="N512" s="4" t="s">
        <v>15</v>
      </c>
      <c r="O512" s="13" t="s">
        <v>1437</v>
      </c>
      <c r="P512" s="13" t="s">
        <v>1101</v>
      </c>
      <c r="Q512" s="13" t="s">
        <v>1101</v>
      </c>
      <c r="R512" s="4" t="s">
        <v>2625</v>
      </c>
      <c r="S512" s="7" t="e">
        <f ca="1">IF(_xludf.ifna(VLOOKUP(B512,Parámetros!#REF!,1,0),"")="","No","Sí")</f>
        <v>#NAME?</v>
      </c>
      <c r="T512" s="7" t="str">
        <f t="shared" si="16"/>
        <v>Normativo</v>
      </c>
      <c r="U512" s="4" t="s">
        <v>195</v>
      </c>
      <c r="V512" s="4" t="s">
        <v>39</v>
      </c>
      <c r="W512" s="4" t="s">
        <v>196</v>
      </c>
      <c r="X512" s="4" t="s">
        <v>225</v>
      </c>
      <c r="Y512" s="4" t="s">
        <v>925</v>
      </c>
      <c r="Z512" s="5">
        <v>100000000</v>
      </c>
      <c r="AA512" s="5">
        <v>100000000</v>
      </c>
      <c r="AB512" s="4" t="s">
        <v>215</v>
      </c>
      <c r="AC512">
        <v>511</v>
      </c>
    </row>
    <row r="513" spans="1:29" ht="16.5" customHeight="1" x14ac:dyDescent="0.2">
      <c r="A513" s="6" t="str">
        <f t="shared" si="15"/>
        <v>SDATOOL-41213 $ Monitorización BBDD Physic</v>
      </c>
      <c r="B513" s="4" t="s">
        <v>2626</v>
      </c>
      <c r="C513" s="4" t="s">
        <v>2627</v>
      </c>
      <c r="D513" s="4" t="s">
        <v>763</v>
      </c>
      <c r="E513" s="4" t="s">
        <v>2628</v>
      </c>
      <c r="F513" s="4" t="s">
        <v>43</v>
      </c>
      <c r="G513" s="4" t="s">
        <v>185</v>
      </c>
      <c r="H513" s="4" t="s">
        <v>186</v>
      </c>
      <c r="K513" s="4" t="s">
        <v>386</v>
      </c>
      <c r="L513" s="4" t="s">
        <v>394</v>
      </c>
      <c r="M513" s="4" t="s">
        <v>2629</v>
      </c>
      <c r="N513" s="4" t="s">
        <v>15</v>
      </c>
      <c r="O513" s="13" t="s">
        <v>1437</v>
      </c>
      <c r="P513" s="13" t="s">
        <v>1101</v>
      </c>
      <c r="Q513" s="13" t="s">
        <v>373</v>
      </c>
      <c r="R513" s="4" t="s">
        <v>1102</v>
      </c>
      <c r="S513" s="7" t="e">
        <f ca="1">IF(_xludf.ifna(VLOOKUP(B513,Parámetros!#REF!,1,0),"")="","No","Sí")</f>
        <v>#NAME?</v>
      </c>
      <c r="T513" s="7" t="str">
        <f t="shared" si="16"/>
        <v>No normativo</v>
      </c>
      <c r="U513" s="4" t="s">
        <v>195</v>
      </c>
      <c r="V513" s="4" t="s">
        <v>39</v>
      </c>
      <c r="W513" s="4" t="s">
        <v>196</v>
      </c>
      <c r="X513" s="4" t="s">
        <v>225</v>
      </c>
      <c r="Y513" s="4" t="s">
        <v>1127</v>
      </c>
      <c r="Z513" s="5">
        <v>100000000</v>
      </c>
      <c r="AA513" s="5">
        <v>100000000</v>
      </c>
      <c r="AB513" s="4" t="s">
        <v>215</v>
      </c>
      <c r="AC513">
        <v>512</v>
      </c>
    </row>
    <row r="514" spans="1:29" ht="16.5" hidden="1" customHeight="1" x14ac:dyDescent="0.2">
      <c r="A514" s="6" t="str">
        <f t="shared" si="15"/>
        <v>SDATOOL-41216 $ Retargeting Estrategico tarjeta de crédito Open Market</v>
      </c>
      <c r="B514" s="4" t="s">
        <v>2630</v>
      </c>
      <c r="C514" s="4" t="s">
        <v>2631</v>
      </c>
      <c r="D514" s="4" t="s">
        <v>763</v>
      </c>
      <c r="E514" s="4" t="s">
        <v>2632</v>
      </c>
      <c r="F514" s="4" t="s">
        <v>28</v>
      </c>
      <c r="G514" s="4" t="s">
        <v>185</v>
      </c>
      <c r="H514" s="4" t="s">
        <v>752</v>
      </c>
      <c r="I514" s="4" t="e">
        <v>#N/A</v>
      </c>
      <c r="J514" s="4" t="s">
        <v>204</v>
      </c>
      <c r="K514" s="4" t="s">
        <v>386</v>
      </c>
      <c r="L514" s="4" t="s">
        <v>394</v>
      </c>
      <c r="M514" s="4" t="s">
        <v>529</v>
      </c>
      <c r="N514" s="4" t="s">
        <v>29</v>
      </c>
      <c r="O514" s="13" t="s">
        <v>1566</v>
      </c>
      <c r="P514" s="13" t="s">
        <v>701</v>
      </c>
      <c r="Q514" s="13" t="s">
        <v>555</v>
      </c>
      <c r="S514" s="7" t="e">
        <f ca="1">IF(_xludf.ifna(VLOOKUP(B514,Parámetros!#REF!,1,0),"")="","No","Sí")</f>
        <v>#NAME?</v>
      </c>
      <c r="T514" s="7" t="str">
        <f t="shared" si="16"/>
        <v>No normativo</v>
      </c>
      <c r="U514" s="4" t="s">
        <v>732</v>
      </c>
      <c r="V514" s="4" t="s">
        <v>39</v>
      </c>
      <c r="W514" s="4" t="s">
        <v>233</v>
      </c>
      <c r="X514" s="4" t="s">
        <v>92</v>
      </c>
      <c r="Y514" s="4" t="s">
        <v>533</v>
      </c>
      <c r="Z514" s="5">
        <v>200000000</v>
      </c>
      <c r="AA514" s="5">
        <v>200000000</v>
      </c>
      <c r="AB514" s="4" t="s">
        <v>180</v>
      </c>
      <c r="AC514">
        <v>513</v>
      </c>
    </row>
    <row r="515" spans="1:29" ht="16.5" customHeight="1" x14ac:dyDescent="0.2">
      <c r="A515" s="6" t="str">
        <f t="shared" ref="A515:A578" si="17">B515&amp;" $ "&amp;C515</f>
        <v>SDATOOL-41217 $ Migración SOAP a API Rest Inalambria</v>
      </c>
      <c r="B515" s="4" t="s">
        <v>2633</v>
      </c>
      <c r="C515" s="4" t="s">
        <v>2634</v>
      </c>
      <c r="D515" s="4" t="s">
        <v>183</v>
      </c>
      <c r="E515" s="4" t="s">
        <v>2635</v>
      </c>
      <c r="F515" s="4" t="s">
        <v>43</v>
      </c>
      <c r="G515" s="4" t="s">
        <v>185</v>
      </c>
      <c r="H515" s="4" t="s">
        <v>186</v>
      </c>
      <c r="J515" s="4" t="s">
        <v>204</v>
      </c>
      <c r="K515" s="4" t="s">
        <v>386</v>
      </c>
      <c r="L515" s="4" t="s">
        <v>386</v>
      </c>
      <c r="M515" s="4" t="s">
        <v>2636</v>
      </c>
      <c r="N515" s="4" t="s">
        <v>29</v>
      </c>
      <c r="O515" s="13" t="s">
        <v>2637</v>
      </c>
      <c r="P515" s="13" t="s">
        <v>2638</v>
      </c>
      <c r="Q515" s="13" t="s">
        <v>441</v>
      </c>
      <c r="S515" s="7" t="e">
        <f ca="1">IF(_xludf.ifna(VLOOKUP(B515,Parámetros!#REF!,1,0),"")="","No","Sí")</f>
        <v>#NAME?</v>
      </c>
      <c r="T515" s="7" t="str">
        <f t="shared" ref="T515:T578" si="18">IF(U521="None","No normativo","Normativo")</f>
        <v>No normativo</v>
      </c>
      <c r="U515" s="4" t="s">
        <v>195</v>
      </c>
      <c r="V515" s="4" t="s">
        <v>39</v>
      </c>
      <c r="W515" s="4" t="s">
        <v>196</v>
      </c>
      <c r="X515" s="4" t="s">
        <v>225</v>
      </c>
      <c r="Y515" s="4" t="s">
        <v>925</v>
      </c>
      <c r="Z515" s="4">
        <v>1</v>
      </c>
      <c r="AA515" s="5">
        <v>30841255</v>
      </c>
      <c r="AB515" s="4" t="s">
        <v>215</v>
      </c>
      <c r="AC515">
        <v>514</v>
      </c>
    </row>
    <row r="516" spans="1:29" ht="16.5" hidden="1" customHeight="1" x14ac:dyDescent="0.2">
      <c r="A516" s="6" t="str">
        <f t="shared" si="17"/>
        <v>SDATOOL-41230 $ Modelo de Creación y optimización de reglas para fraude</v>
      </c>
      <c r="B516" s="4" t="s">
        <v>2639</v>
      </c>
      <c r="C516" s="4" t="s">
        <v>2640</v>
      </c>
      <c r="D516" s="4" t="s">
        <v>763</v>
      </c>
      <c r="E516" s="4" t="s">
        <v>2641</v>
      </c>
      <c r="F516" s="4" t="s">
        <v>43</v>
      </c>
      <c r="G516" s="4" t="s">
        <v>185</v>
      </c>
      <c r="H516" s="4" t="s">
        <v>752</v>
      </c>
      <c r="I516" s="4" t="e">
        <v>#N/A</v>
      </c>
      <c r="J516" s="4" t="s">
        <v>204</v>
      </c>
      <c r="K516" s="4" t="s">
        <v>206</v>
      </c>
      <c r="L516" s="4" t="s">
        <v>394</v>
      </c>
      <c r="M516" s="4" t="s">
        <v>2642</v>
      </c>
      <c r="N516" s="4" t="s">
        <v>15</v>
      </c>
      <c r="O516" s="13" t="s">
        <v>1437</v>
      </c>
      <c r="P516" s="13" t="s">
        <v>440</v>
      </c>
      <c r="Q516" s="13" t="s">
        <v>373</v>
      </c>
      <c r="R516" s="4" t="s">
        <v>1102</v>
      </c>
      <c r="S516" s="7" t="e">
        <f ca="1">IF(_xludf.ifna(VLOOKUP(B516,Parámetros!#REF!,1,0),"")="","No","Sí")</f>
        <v>#NAME?</v>
      </c>
      <c r="T516" s="7" t="str">
        <f t="shared" si="18"/>
        <v>No normativo</v>
      </c>
      <c r="U516" s="4" t="s">
        <v>195</v>
      </c>
      <c r="V516" s="4" t="s">
        <v>39</v>
      </c>
      <c r="W516" s="4" t="s">
        <v>212</v>
      </c>
      <c r="X516" s="4" t="s">
        <v>213</v>
      </c>
      <c r="Y516" s="4" t="s">
        <v>814</v>
      </c>
      <c r="Z516" s="4">
        <v>0</v>
      </c>
      <c r="AA516" s="4">
        <v>0</v>
      </c>
      <c r="AB516" s="4" t="s">
        <v>180</v>
      </c>
      <c r="AC516">
        <v>515</v>
      </c>
    </row>
    <row r="517" spans="1:29" ht="16.5" customHeight="1" x14ac:dyDescent="0.2">
      <c r="A517" s="6" t="str">
        <f t="shared" si="17"/>
        <v>SDATOOL-41308 $ Aplicativos Tesorería 2023</v>
      </c>
      <c r="B517" s="4" t="s">
        <v>2643</v>
      </c>
      <c r="C517" s="4" t="s">
        <v>2644</v>
      </c>
      <c r="D517" s="4" t="s">
        <v>183</v>
      </c>
      <c r="E517" s="4" t="s">
        <v>1481</v>
      </c>
      <c r="F517" s="4" t="s">
        <v>21</v>
      </c>
      <c r="G517" s="4" t="s">
        <v>185</v>
      </c>
      <c r="H517" s="4" t="s">
        <v>186</v>
      </c>
      <c r="K517" s="4" t="s">
        <v>386</v>
      </c>
      <c r="L517" s="4" t="s">
        <v>586</v>
      </c>
      <c r="M517" s="4" t="s">
        <v>1481</v>
      </c>
      <c r="N517" s="4" t="s">
        <v>36</v>
      </c>
      <c r="O517" s="13" t="s">
        <v>889</v>
      </c>
      <c r="P517" s="13" t="s">
        <v>889</v>
      </c>
      <c r="Q517" s="13" t="s">
        <v>193</v>
      </c>
      <c r="S517" s="7" t="e">
        <f ca="1">IF(_xludf.ifna(VLOOKUP(B517,Parámetros!#REF!,1,0),"")="","No","Sí")</f>
        <v>#NAME?</v>
      </c>
      <c r="T517" s="7" t="str">
        <f t="shared" si="18"/>
        <v>No normativo</v>
      </c>
      <c r="U517" s="4" t="s">
        <v>195</v>
      </c>
      <c r="V517" s="4" t="s">
        <v>39</v>
      </c>
      <c r="W517" s="4" t="s">
        <v>300</v>
      </c>
      <c r="X517" s="4" t="s">
        <v>301</v>
      </c>
      <c r="Y517" s="4" t="s">
        <v>302</v>
      </c>
      <c r="Z517" s="5">
        <v>120183444</v>
      </c>
      <c r="AA517" s="5">
        <v>188845670</v>
      </c>
      <c r="AB517" s="4" t="s">
        <v>215</v>
      </c>
      <c r="AC517">
        <v>516</v>
      </c>
    </row>
    <row r="518" spans="1:29" ht="16.5" hidden="1" customHeight="1" x14ac:dyDescent="0.2">
      <c r="A518" s="6" t="str">
        <f t="shared" si="17"/>
        <v>SDATOOL-41333 $ Meta Conversion API</v>
      </c>
      <c r="B518" s="4" t="s">
        <v>2645</v>
      </c>
      <c r="C518" s="4" t="s">
        <v>2646</v>
      </c>
      <c r="D518" s="4" t="s">
        <v>763</v>
      </c>
      <c r="E518" s="4" t="s">
        <v>2647</v>
      </c>
      <c r="F518" s="4" t="s">
        <v>28</v>
      </c>
      <c r="G518" s="4" t="s">
        <v>185</v>
      </c>
      <c r="H518" s="4" t="s">
        <v>752</v>
      </c>
      <c r="J518" s="4" t="s">
        <v>204</v>
      </c>
      <c r="K518" s="4" t="s">
        <v>386</v>
      </c>
      <c r="L518" s="4" t="s">
        <v>394</v>
      </c>
      <c r="M518" s="4" t="s">
        <v>2648</v>
      </c>
      <c r="N518" s="4" t="s">
        <v>29</v>
      </c>
      <c r="O518" s="13" t="s">
        <v>2235</v>
      </c>
      <c r="P518" s="13" t="s">
        <v>631</v>
      </c>
      <c r="Q518" s="13" t="s">
        <v>475</v>
      </c>
      <c r="S518" s="7" t="e">
        <f ca="1">IF(_xludf.ifna(VLOOKUP(B518,Parámetros!#REF!,1,0),"")="","No","Sí")</f>
        <v>#NAME?</v>
      </c>
      <c r="T518" s="7" t="str">
        <f t="shared" si="18"/>
        <v>No normativo</v>
      </c>
      <c r="U518" s="4" t="s">
        <v>1542</v>
      </c>
      <c r="V518" s="4" t="s">
        <v>39</v>
      </c>
      <c r="W518" s="4" t="s">
        <v>233</v>
      </c>
      <c r="X518" s="4" t="s">
        <v>92</v>
      </c>
      <c r="Y518" s="4" t="s">
        <v>2149</v>
      </c>
      <c r="Z518" s="4">
        <v>0</v>
      </c>
      <c r="AA518" s="4">
        <v>0</v>
      </c>
      <c r="AB518" s="4" t="s">
        <v>215</v>
      </c>
      <c r="AC518">
        <v>517</v>
      </c>
    </row>
    <row r="519" spans="1:29" ht="16.5" hidden="1" customHeight="1" x14ac:dyDescent="0.2">
      <c r="A519" s="6" t="str">
        <f t="shared" si="17"/>
        <v>SDATOOL-41334 $ Google enhanced conversion</v>
      </c>
      <c r="B519" s="4" t="s">
        <v>2649</v>
      </c>
      <c r="C519" s="4" t="s">
        <v>2650</v>
      </c>
      <c r="D519" s="4" t="s">
        <v>763</v>
      </c>
      <c r="E519" s="4" t="s">
        <v>2651</v>
      </c>
      <c r="F519" s="4" t="s">
        <v>28</v>
      </c>
      <c r="G519" s="4" t="s">
        <v>185</v>
      </c>
      <c r="H519" s="4" t="s">
        <v>752</v>
      </c>
      <c r="J519" s="4" t="s">
        <v>204</v>
      </c>
      <c r="K519" s="4" t="s">
        <v>386</v>
      </c>
      <c r="L519" s="4" t="s">
        <v>394</v>
      </c>
      <c r="M519" s="4" t="s">
        <v>2652</v>
      </c>
      <c r="N519" s="4" t="s">
        <v>29</v>
      </c>
      <c r="O519" s="13" t="s">
        <v>2235</v>
      </c>
      <c r="P519" s="13" t="s">
        <v>631</v>
      </c>
      <c r="Q519" s="13" t="s">
        <v>475</v>
      </c>
      <c r="S519" s="7" t="e">
        <f ca="1">IF(_xludf.ifna(VLOOKUP(B519,Parámetros!#REF!,1,0),"")="","No","Sí")</f>
        <v>#NAME?</v>
      </c>
      <c r="T519" s="7" t="str">
        <f t="shared" si="18"/>
        <v>No normativo</v>
      </c>
      <c r="U519" s="4" t="s">
        <v>195</v>
      </c>
      <c r="V519" s="4" t="s">
        <v>39</v>
      </c>
      <c r="W519" s="4" t="s">
        <v>233</v>
      </c>
      <c r="X519" s="4" t="s">
        <v>92</v>
      </c>
      <c r="Y519" s="4" t="s">
        <v>2149</v>
      </c>
      <c r="Z519" s="4">
        <v>0</v>
      </c>
      <c r="AA519" s="4">
        <v>0</v>
      </c>
      <c r="AB519" s="4" t="s">
        <v>215</v>
      </c>
      <c r="AC519">
        <v>518</v>
      </c>
    </row>
    <row r="520" spans="1:29" ht="16.5" hidden="1" customHeight="1" x14ac:dyDescent="0.2">
      <c r="A520" s="6" t="str">
        <f t="shared" si="17"/>
        <v>SDATOOL-41348 $ Estudio Único Sindicado de Percepción Sector Bancario CNC</v>
      </c>
      <c r="B520" s="4" t="s">
        <v>2653</v>
      </c>
      <c r="C520" s="4" t="s">
        <v>2654</v>
      </c>
      <c r="D520" s="4" t="s">
        <v>763</v>
      </c>
      <c r="E520" s="4" t="s">
        <v>2655</v>
      </c>
      <c r="F520" s="4" t="s">
        <v>28</v>
      </c>
      <c r="G520" s="4" t="s">
        <v>185</v>
      </c>
      <c r="H520" s="4" t="s">
        <v>203</v>
      </c>
      <c r="J520" s="4" t="s">
        <v>204</v>
      </c>
      <c r="K520" s="4" t="s">
        <v>206</v>
      </c>
      <c r="L520" s="4" t="s">
        <v>206</v>
      </c>
      <c r="M520" s="4" t="s">
        <v>2656</v>
      </c>
      <c r="N520" s="4" t="s">
        <v>36</v>
      </c>
      <c r="O520" s="13" t="s">
        <v>2230</v>
      </c>
      <c r="Q520" s="13" t="s">
        <v>2657</v>
      </c>
      <c r="S520" s="7" t="e">
        <f ca="1">IF(_xludf.ifna(VLOOKUP(B520,Parámetros!#REF!,1,0),"")="","No","Sí")</f>
        <v>#NAME?</v>
      </c>
      <c r="T520" s="7" t="str">
        <f t="shared" si="18"/>
        <v>No normativo</v>
      </c>
      <c r="U520" s="4" t="s">
        <v>195</v>
      </c>
      <c r="V520" s="4" t="s">
        <v>39</v>
      </c>
      <c r="W520" s="4" t="s">
        <v>196</v>
      </c>
      <c r="X520" s="4" t="s">
        <v>426</v>
      </c>
      <c r="Y520" s="4" t="s">
        <v>2163</v>
      </c>
      <c r="Z520" s="4">
        <v>0</v>
      </c>
      <c r="AA520" s="4">
        <v>0</v>
      </c>
      <c r="AB520" s="4" t="s">
        <v>215</v>
      </c>
      <c r="AC520">
        <v>519</v>
      </c>
    </row>
    <row r="521" spans="1:29" ht="16.5" hidden="1" customHeight="1" x14ac:dyDescent="0.2">
      <c r="A521" s="6" t="str">
        <f t="shared" si="17"/>
        <v>SDATOOL-41446 $ Onboarding cash management Netcash/Gema</v>
      </c>
      <c r="B521" s="4" t="s">
        <v>2658</v>
      </c>
      <c r="C521" s="4" t="s">
        <v>2659</v>
      </c>
      <c r="D521" s="4" t="s">
        <v>763</v>
      </c>
      <c r="E521" s="4" t="s">
        <v>2660</v>
      </c>
      <c r="F521" s="4" t="s">
        <v>28</v>
      </c>
      <c r="G521" s="4" t="s">
        <v>185</v>
      </c>
      <c r="H521" s="4" t="s">
        <v>203</v>
      </c>
      <c r="J521" s="4" t="s">
        <v>204</v>
      </c>
      <c r="K521" s="4" t="s">
        <v>206</v>
      </c>
      <c r="L521" s="4" t="s">
        <v>206</v>
      </c>
      <c r="M521" s="4" t="s">
        <v>2661</v>
      </c>
      <c r="N521" s="4" t="s">
        <v>51</v>
      </c>
      <c r="O521" s="13" t="s">
        <v>541</v>
      </c>
      <c r="P521" s="13" t="s">
        <v>518</v>
      </c>
      <c r="Q521" s="13" t="s">
        <v>434</v>
      </c>
      <c r="S521" s="7" t="e">
        <f ca="1">IF(_xludf.ifna(VLOOKUP(B521,Parámetros!#REF!,1,0),"")="","No","Sí")</f>
        <v>#NAME?</v>
      </c>
      <c r="T521" s="7" t="str">
        <f t="shared" si="18"/>
        <v>Normativo</v>
      </c>
      <c r="U521" s="4" t="s">
        <v>195</v>
      </c>
      <c r="V521" s="4" t="s">
        <v>39</v>
      </c>
      <c r="W521" s="4" t="s">
        <v>233</v>
      </c>
      <c r="X521" s="4" t="s">
        <v>234</v>
      </c>
      <c r="Y521" s="4" t="s">
        <v>435</v>
      </c>
      <c r="Z521" s="4">
        <v>0</v>
      </c>
      <c r="AA521" s="4">
        <v>0</v>
      </c>
      <c r="AB521" s="4" t="s">
        <v>215</v>
      </c>
      <c r="AC521">
        <v>520</v>
      </c>
    </row>
    <row r="522" spans="1:29" ht="16.5" hidden="1" customHeight="1" x14ac:dyDescent="0.2">
      <c r="A522" s="6" t="str">
        <f t="shared" si="17"/>
        <v>SDATOOL-41448 $ Compra de divisas mediante APP Empresas GEMA</v>
      </c>
      <c r="B522" s="4" t="s">
        <v>2662</v>
      </c>
      <c r="C522" s="4" t="s">
        <v>2663</v>
      </c>
      <c r="D522" s="4" t="s">
        <v>763</v>
      </c>
      <c r="E522" s="4" t="s">
        <v>2664</v>
      </c>
      <c r="F522" s="4" t="s">
        <v>28</v>
      </c>
      <c r="G522" s="4" t="s">
        <v>185</v>
      </c>
      <c r="H522" s="4" t="s">
        <v>752</v>
      </c>
      <c r="I522" s="4" t="e">
        <v>#N/A</v>
      </c>
      <c r="J522" s="4" t="s">
        <v>204</v>
      </c>
      <c r="K522" s="4" t="s">
        <v>206</v>
      </c>
      <c r="L522" s="4" t="s">
        <v>394</v>
      </c>
      <c r="M522" s="4" t="s">
        <v>2665</v>
      </c>
      <c r="N522" s="4" t="s">
        <v>51</v>
      </c>
      <c r="O522" s="13" t="s">
        <v>617</v>
      </c>
      <c r="P522" s="13" t="s">
        <v>618</v>
      </c>
      <c r="Q522" s="13" t="s">
        <v>434</v>
      </c>
      <c r="S522" s="7" t="e">
        <f ca="1">IF(_xludf.ifna(VLOOKUP(B522,Parámetros!#REF!,1,0),"")="","No","Sí")</f>
        <v>#NAME?</v>
      </c>
      <c r="T522" s="7" t="str">
        <f t="shared" si="18"/>
        <v>No normativo</v>
      </c>
      <c r="U522" s="4" t="s">
        <v>195</v>
      </c>
      <c r="V522" s="4" t="s">
        <v>39</v>
      </c>
      <c r="W522" s="4" t="s">
        <v>233</v>
      </c>
      <c r="X522" s="4" t="s">
        <v>234</v>
      </c>
      <c r="Y522" s="4" t="s">
        <v>389</v>
      </c>
      <c r="Z522" s="4">
        <v>0</v>
      </c>
      <c r="AA522" s="4">
        <v>0</v>
      </c>
      <c r="AB522" s="4" t="s">
        <v>180</v>
      </c>
      <c r="AC522">
        <v>521</v>
      </c>
    </row>
    <row r="523" spans="1:29" ht="16.5" customHeight="1" x14ac:dyDescent="0.2">
      <c r="A523" s="6" t="str">
        <f t="shared" si="17"/>
        <v>SDATOOL-41452 $ NGA - Colombia. Proactivo Cliente (CRONOS)</v>
      </c>
      <c r="B523" s="4" t="s">
        <v>2666</v>
      </c>
      <c r="C523" s="4" t="s">
        <v>2667</v>
      </c>
      <c r="D523" s="4" t="s">
        <v>183</v>
      </c>
      <c r="E523" s="4" t="s">
        <v>1950</v>
      </c>
      <c r="F523" s="4" t="s">
        <v>56</v>
      </c>
      <c r="G523" s="4" t="s">
        <v>185</v>
      </c>
      <c r="H523" s="4" t="s">
        <v>186</v>
      </c>
      <c r="I523" s="4" t="s">
        <v>752</v>
      </c>
      <c r="J523" s="4" t="s">
        <v>204</v>
      </c>
      <c r="K523" s="4" t="s">
        <v>386</v>
      </c>
      <c r="L523" s="4" t="s">
        <v>394</v>
      </c>
      <c r="M523" s="4" t="s">
        <v>1951</v>
      </c>
      <c r="N523" s="4" t="s">
        <v>36</v>
      </c>
      <c r="O523" s="13" t="s">
        <v>1952</v>
      </c>
      <c r="P523" s="13" t="s">
        <v>243</v>
      </c>
      <c r="Q523" s="13" t="s">
        <v>222</v>
      </c>
      <c r="S523" s="7" t="e">
        <f ca="1">IF(_xludf.ifna(VLOOKUP(B523,Parámetros!#REF!,1,0),"")="","No","Sí")</f>
        <v>#NAME?</v>
      </c>
      <c r="T523" s="7" t="str">
        <f t="shared" si="18"/>
        <v>No normativo</v>
      </c>
      <c r="U523" s="4" t="s">
        <v>195</v>
      </c>
      <c r="V523" s="4" t="s">
        <v>39</v>
      </c>
      <c r="W523" s="4" t="s">
        <v>196</v>
      </c>
      <c r="X523" s="4" t="s">
        <v>328</v>
      </c>
      <c r="Y523" s="4" t="s">
        <v>1953</v>
      </c>
      <c r="Z523" s="5">
        <v>650000000</v>
      </c>
      <c r="AA523" s="5">
        <v>650000000</v>
      </c>
      <c r="AB523" s="4" t="s">
        <v>180</v>
      </c>
      <c r="AC523">
        <v>522</v>
      </c>
    </row>
    <row r="524" spans="1:29" ht="16.5" customHeight="1" x14ac:dyDescent="0.2">
      <c r="A524" s="6" t="str">
        <f t="shared" si="17"/>
        <v>SDATOOL-41457 $ NGA - Colombia. EWS (ARCE)</v>
      </c>
      <c r="B524" s="4" t="s">
        <v>2668</v>
      </c>
      <c r="C524" s="4" t="s">
        <v>2669</v>
      </c>
      <c r="D524" s="4" t="s">
        <v>183</v>
      </c>
      <c r="E524" s="4" t="s">
        <v>1950</v>
      </c>
      <c r="F524" s="4" t="s">
        <v>56</v>
      </c>
      <c r="G524" s="4" t="s">
        <v>185</v>
      </c>
      <c r="H524" s="4" t="s">
        <v>186</v>
      </c>
      <c r="I524" s="4" t="s">
        <v>752</v>
      </c>
      <c r="J524" s="4" t="s">
        <v>187</v>
      </c>
      <c r="K524" s="4" t="s">
        <v>386</v>
      </c>
      <c r="L524" s="4" t="s">
        <v>586</v>
      </c>
      <c r="M524" s="4" t="s">
        <v>1951</v>
      </c>
      <c r="N524" s="4" t="s">
        <v>36</v>
      </c>
      <c r="O524" s="13" t="s">
        <v>1952</v>
      </c>
      <c r="P524" s="13" t="s">
        <v>243</v>
      </c>
      <c r="Q524" s="13" t="s">
        <v>222</v>
      </c>
      <c r="S524" s="7" t="e">
        <f ca="1">IF(_xludf.ifna(VLOOKUP(B524,Parámetros!#REF!,1,0),"")="","No","Sí")</f>
        <v>#NAME?</v>
      </c>
      <c r="T524" s="7" t="str">
        <f t="shared" si="18"/>
        <v>No normativo</v>
      </c>
      <c r="U524" s="4" t="s">
        <v>195</v>
      </c>
      <c r="V524" s="4" t="s">
        <v>39</v>
      </c>
      <c r="W524" s="4" t="s">
        <v>196</v>
      </c>
      <c r="X524" s="4" t="s">
        <v>328</v>
      </c>
      <c r="Y524" s="4" t="s">
        <v>1953</v>
      </c>
      <c r="Z524" s="5">
        <v>650000000</v>
      </c>
      <c r="AA524" s="5">
        <v>650000000</v>
      </c>
      <c r="AB524" s="4" t="s">
        <v>180</v>
      </c>
      <c r="AC524">
        <v>523</v>
      </c>
    </row>
    <row r="525" spans="1:29" ht="16.5" customHeight="1" x14ac:dyDescent="0.2">
      <c r="A525" s="6" t="str">
        <f t="shared" si="17"/>
        <v>SDATOOL-41553 $ Servicios transaccionales 2023</v>
      </c>
      <c r="B525" s="4" t="s">
        <v>2670</v>
      </c>
      <c r="C525" s="4" t="s">
        <v>2671</v>
      </c>
      <c r="D525" s="4" t="s">
        <v>183</v>
      </c>
      <c r="E525" s="4" t="s">
        <v>1230</v>
      </c>
      <c r="F525" s="4" t="s">
        <v>28</v>
      </c>
      <c r="G525" s="4" t="s">
        <v>185</v>
      </c>
      <c r="H525" s="4" t="s">
        <v>186</v>
      </c>
      <c r="I525" s="4" t="s">
        <v>186</v>
      </c>
      <c r="J525" s="4" t="s">
        <v>204</v>
      </c>
      <c r="K525" s="4" t="s">
        <v>386</v>
      </c>
      <c r="L525" s="4" t="s">
        <v>394</v>
      </c>
      <c r="M525" s="4" t="s">
        <v>1231</v>
      </c>
      <c r="N525" s="4" t="s">
        <v>22</v>
      </c>
      <c r="O525" s="13" t="s">
        <v>541</v>
      </c>
      <c r="P525" s="13" t="s">
        <v>1232</v>
      </c>
      <c r="Q525" s="13" t="s">
        <v>543</v>
      </c>
      <c r="S525" s="7" t="e">
        <f ca="1">IF(_xludf.ifna(VLOOKUP(B525,Parámetros!#REF!,1,0),"")="","No","Sí")</f>
        <v>#NAME?</v>
      </c>
      <c r="T525" s="7" t="str">
        <f t="shared" si="18"/>
        <v>No normativo</v>
      </c>
      <c r="U525" s="4" t="s">
        <v>195</v>
      </c>
      <c r="V525" s="4" t="s">
        <v>39</v>
      </c>
      <c r="W525" s="4" t="s">
        <v>233</v>
      </c>
      <c r="X525" s="4" t="s">
        <v>234</v>
      </c>
      <c r="Y525" s="4" t="s">
        <v>435</v>
      </c>
      <c r="Z525" s="5">
        <v>188619952</v>
      </c>
      <c r="AA525" s="5">
        <v>220000000</v>
      </c>
      <c r="AB525" s="4" t="s">
        <v>180</v>
      </c>
      <c r="AC525">
        <v>524</v>
      </c>
    </row>
    <row r="526" spans="1:29" ht="16.5" hidden="1" customHeight="1" x14ac:dyDescent="0.2">
      <c r="A526" s="6" t="str">
        <f t="shared" si="17"/>
        <v>SDATOOL-41606 $ Notificación bloqueo preventivo banca digital</v>
      </c>
      <c r="B526" s="4" t="s">
        <v>2672</v>
      </c>
      <c r="C526" s="4" t="s">
        <v>2673</v>
      </c>
      <c r="D526" s="4" t="s">
        <v>183</v>
      </c>
      <c r="E526" s="4" t="s">
        <v>2674</v>
      </c>
      <c r="F526" s="4" t="s">
        <v>43</v>
      </c>
      <c r="G526" s="4" t="s">
        <v>185</v>
      </c>
      <c r="H526" s="4" t="s">
        <v>203</v>
      </c>
      <c r="J526" s="4" t="s">
        <v>204</v>
      </c>
      <c r="K526" s="4" t="s">
        <v>206</v>
      </c>
      <c r="L526" s="4" t="s">
        <v>206</v>
      </c>
      <c r="M526" s="4" t="s">
        <v>2675</v>
      </c>
      <c r="N526" s="4" t="s">
        <v>15</v>
      </c>
      <c r="O526" s="13" t="s">
        <v>1437</v>
      </c>
      <c r="P526" s="13" t="s">
        <v>440</v>
      </c>
      <c r="Q526" s="13" t="s">
        <v>373</v>
      </c>
      <c r="S526" s="7" t="e">
        <f ca="1">IF(_xludf.ifna(VLOOKUP(B526,Parámetros!#REF!,1,0),"")="","No","Sí")</f>
        <v>#NAME?</v>
      </c>
      <c r="T526" s="7" t="str">
        <f t="shared" si="18"/>
        <v>No normativo</v>
      </c>
      <c r="U526" s="4" t="s">
        <v>195</v>
      </c>
      <c r="V526" s="4" t="s">
        <v>39</v>
      </c>
      <c r="W526" s="4" t="s">
        <v>212</v>
      </c>
      <c r="X526" s="4" t="s">
        <v>375</v>
      </c>
      <c r="Y526" s="4" t="s">
        <v>443</v>
      </c>
      <c r="Z526" s="4">
        <v>0</v>
      </c>
      <c r="AA526" s="4">
        <v>0</v>
      </c>
      <c r="AB526" s="4" t="s">
        <v>215</v>
      </c>
      <c r="AC526">
        <v>525</v>
      </c>
    </row>
    <row r="527" spans="1:29" ht="16.5" hidden="1" customHeight="1" x14ac:dyDescent="0.2">
      <c r="A527" s="6" t="str">
        <f t="shared" si="17"/>
        <v>SDATOOL-41610 $ Informe preeliminar Declaracion de renta</v>
      </c>
      <c r="B527" s="4" t="s">
        <v>2676</v>
      </c>
      <c r="C527" s="4" t="s">
        <v>2677</v>
      </c>
      <c r="D527" s="4" t="s">
        <v>763</v>
      </c>
      <c r="E527" s="4" t="s">
        <v>2678</v>
      </c>
      <c r="F527" s="4" t="s">
        <v>28</v>
      </c>
      <c r="G527" s="4" t="s">
        <v>185</v>
      </c>
      <c r="H527" s="4" t="s">
        <v>752</v>
      </c>
      <c r="J527" s="4" t="s">
        <v>204</v>
      </c>
      <c r="K527" s="4" t="s">
        <v>206</v>
      </c>
      <c r="L527" s="4" t="s">
        <v>386</v>
      </c>
      <c r="M527" s="4" t="s">
        <v>2679</v>
      </c>
      <c r="N527" s="4" t="s">
        <v>15</v>
      </c>
      <c r="O527" s="13" t="s">
        <v>1659</v>
      </c>
      <c r="P527" s="13" t="s">
        <v>1660</v>
      </c>
      <c r="Q527" s="13" t="s">
        <v>2680</v>
      </c>
      <c r="S527" s="7" t="e">
        <f ca="1">IF(_xludf.ifna(VLOOKUP(B527,Parámetros!#REF!,1,0),"")="","No","Sí")</f>
        <v>#NAME?</v>
      </c>
      <c r="T527" s="7" t="str">
        <f t="shared" si="18"/>
        <v>No normativo</v>
      </c>
      <c r="U527" s="4" t="s">
        <v>224</v>
      </c>
      <c r="V527" s="4" t="s">
        <v>39</v>
      </c>
      <c r="W527" s="4" t="s">
        <v>233</v>
      </c>
      <c r="X527" s="4" t="s">
        <v>234</v>
      </c>
      <c r="Y527" s="4" t="s">
        <v>1407</v>
      </c>
      <c r="Z527" s="4">
        <v>0</v>
      </c>
      <c r="AA527" s="4">
        <v>0</v>
      </c>
      <c r="AB527" s="4" t="s">
        <v>215</v>
      </c>
      <c r="AC527">
        <v>526</v>
      </c>
    </row>
    <row r="528" spans="1:29" ht="16.5" hidden="1" customHeight="1" x14ac:dyDescent="0.2">
      <c r="A528" s="6" t="str">
        <f t="shared" si="17"/>
        <v>SDATOOL-41621 $ Soporte y mantenimiento servicios tecnológicos 2023 - CEL</v>
      </c>
      <c r="B528" s="4" t="s">
        <v>2681</v>
      </c>
      <c r="C528" s="4" t="s">
        <v>2682</v>
      </c>
      <c r="D528" s="4" t="s">
        <v>763</v>
      </c>
      <c r="E528" s="4" t="s">
        <v>2683</v>
      </c>
      <c r="F528" s="4" t="s">
        <v>43</v>
      </c>
      <c r="G528" s="4" t="s">
        <v>185</v>
      </c>
      <c r="H528" s="4" t="s">
        <v>276</v>
      </c>
      <c r="K528" s="4" t="s">
        <v>386</v>
      </c>
      <c r="L528" s="4" t="s">
        <v>386</v>
      </c>
      <c r="M528" s="4" t="s">
        <v>1162</v>
      </c>
      <c r="N528" s="4" t="s">
        <v>15</v>
      </c>
      <c r="O528" s="13" t="s">
        <v>1084</v>
      </c>
      <c r="P528" s="13" t="s">
        <v>1084</v>
      </c>
      <c r="Q528" s="13" t="s">
        <v>1084</v>
      </c>
      <c r="S528" s="7" t="e">
        <f ca="1">IF(_xludf.ifna(VLOOKUP(B528,Parámetros!#REF!,1,0),"")="","No","Sí")</f>
        <v>#NAME?</v>
      </c>
      <c r="T528" s="7" t="str">
        <f t="shared" si="18"/>
        <v>No normativo</v>
      </c>
      <c r="U528" s="4" t="s">
        <v>195</v>
      </c>
      <c r="V528" s="4" t="s">
        <v>39</v>
      </c>
      <c r="W528" s="4" t="s">
        <v>300</v>
      </c>
      <c r="X528" s="4" t="s">
        <v>301</v>
      </c>
      <c r="Y528" s="4" t="s">
        <v>755</v>
      </c>
      <c r="Z528" s="4">
        <v>1</v>
      </c>
      <c r="AA528" s="4">
        <v>1</v>
      </c>
      <c r="AB528" s="4" t="s">
        <v>215</v>
      </c>
      <c r="AC528">
        <v>527</v>
      </c>
    </row>
    <row r="529" spans="1:29" ht="16.5" hidden="1" customHeight="1" x14ac:dyDescent="0.2">
      <c r="A529" s="6" t="str">
        <f t="shared" si="17"/>
        <v>SDATOOL-41622 $ Certificación de Incidencias, Cancelaciones y Broadcast 2023 - CEL</v>
      </c>
      <c r="B529" s="4" t="s">
        <v>2684</v>
      </c>
      <c r="C529" s="4" t="s">
        <v>2685</v>
      </c>
      <c r="D529" s="4" t="s">
        <v>763</v>
      </c>
      <c r="E529" s="4" t="s">
        <v>2686</v>
      </c>
      <c r="F529" s="4" t="s">
        <v>43</v>
      </c>
      <c r="G529" s="4" t="s">
        <v>185</v>
      </c>
      <c r="H529" s="4" t="s">
        <v>276</v>
      </c>
      <c r="K529" s="4" t="s">
        <v>386</v>
      </c>
      <c r="L529" s="4" t="s">
        <v>386</v>
      </c>
      <c r="M529" s="4" t="s">
        <v>1167</v>
      </c>
      <c r="N529" s="4" t="s">
        <v>15</v>
      </c>
      <c r="O529" s="13" t="s">
        <v>1027</v>
      </c>
      <c r="P529" s="13" t="s">
        <v>1468</v>
      </c>
      <c r="Q529" s="13" t="s">
        <v>1027</v>
      </c>
      <c r="S529" s="7" t="e">
        <f ca="1">IF(_xludf.ifna(VLOOKUP(B529,Parámetros!#REF!,1,0),"")="","No","Sí")</f>
        <v>#NAME?</v>
      </c>
      <c r="T529" s="7" t="str">
        <f t="shared" si="18"/>
        <v>No normativo</v>
      </c>
      <c r="U529" s="4" t="s">
        <v>195</v>
      </c>
      <c r="V529" s="4" t="s">
        <v>39</v>
      </c>
      <c r="W529" s="4" t="s">
        <v>300</v>
      </c>
      <c r="X529" s="4" t="s">
        <v>301</v>
      </c>
      <c r="Y529" s="4" t="s">
        <v>755</v>
      </c>
      <c r="Z529" s="4">
        <v>1</v>
      </c>
      <c r="AA529" s="4">
        <v>1</v>
      </c>
      <c r="AB529" s="4" t="s">
        <v>215</v>
      </c>
      <c r="AC529">
        <v>528</v>
      </c>
    </row>
    <row r="530" spans="1:29" ht="16.5" customHeight="1" x14ac:dyDescent="0.2">
      <c r="A530" s="6" t="str">
        <f t="shared" si="17"/>
        <v>SDATOOL-41623 $ Analytic Runtimes 2023</v>
      </c>
      <c r="B530" s="4" t="s">
        <v>2687</v>
      </c>
      <c r="C530" s="4" t="s">
        <v>2688</v>
      </c>
      <c r="D530" s="4" t="s">
        <v>183</v>
      </c>
      <c r="E530" s="4" t="s">
        <v>2689</v>
      </c>
      <c r="F530" s="4" t="s">
        <v>43</v>
      </c>
      <c r="G530" s="4" t="s">
        <v>185</v>
      </c>
      <c r="H530" s="4" t="s">
        <v>186</v>
      </c>
      <c r="J530" s="4" t="s">
        <v>204</v>
      </c>
      <c r="K530" s="4" t="s">
        <v>386</v>
      </c>
      <c r="L530" s="4" t="s">
        <v>394</v>
      </c>
      <c r="M530" s="4" t="s">
        <v>2690</v>
      </c>
      <c r="N530" s="4" t="s">
        <v>15</v>
      </c>
      <c r="O530" s="13" t="s">
        <v>532</v>
      </c>
      <c r="P530" s="13" t="s">
        <v>1184</v>
      </c>
      <c r="Q530" s="13" t="s">
        <v>532</v>
      </c>
      <c r="R530" s="4" t="s">
        <v>1186</v>
      </c>
      <c r="S530" s="7" t="e">
        <f ca="1">IF(_xludf.ifna(VLOOKUP(B530,Parámetros!#REF!,1,0),"")="","No","Sí")</f>
        <v>#NAME?</v>
      </c>
      <c r="T530" s="7" t="str">
        <f t="shared" si="18"/>
        <v>Normativo</v>
      </c>
      <c r="U530" s="4" t="s">
        <v>195</v>
      </c>
      <c r="V530" s="4" t="s">
        <v>39</v>
      </c>
      <c r="W530" s="4" t="s">
        <v>212</v>
      </c>
      <c r="X530" s="4" t="s">
        <v>356</v>
      </c>
      <c r="Y530" s="4" t="s">
        <v>1003</v>
      </c>
      <c r="Z530" s="4">
        <v>3</v>
      </c>
      <c r="AA530" s="4">
        <v>3</v>
      </c>
      <c r="AB530" s="4" t="s">
        <v>215</v>
      </c>
      <c r="AC530">
        <v>529</v>
      </c>
    </row>
    <row r="531" spans="1:29" ht="16.5" hidden="1" customHeight="1" x14ac:dyDescent="0.2">
      <c r="A531" s="6" t="str">
        <f t="shared" si="17"/>
        <v>SDATOOL-41624 $ The Ninja Project Colombia</v>
      </c>
      <c r="B531" s="4" t="s">
        <v>2691</v>
      </c>
      <c r="C531" s="4" t="s">
        <v>981</v>
      </c>
      <c r="D531" s="4" t="s">
        <v>183</v>
      </c>
      <c r="E531" s="4" t="s">
        <v>982</v>
      </c>
      <c r="F531" s="4" t="s">
        <v>43</v>
      </c>
      <c r="G531" s="4" t="s">
        <v>185</v>
      </c>
      <c r="H531" s="4" t="s">
        <v>752</v>
      </c>
      <c r="I531" s="4" t="e">
        <v>#N/A</v>
      </c>
      <c r="J531" s="4" t="s">
        <v>204</v>
      </c>
      <c r="K531" s="4" t="s">
        <v>386</v>
      </c>
      <c r="L531" s="4" t="s">
        <v>394</v>
      </c>
      <c r="M531" s="4" t="s">
        <v>2692</v>
      </c>
      <c r="N531" s="4" t="s">
        <v>15</v>
      </c>
      <c r="O531" s="13" t="s">
        <v>985</v>
      </c>
      <c r="P531" s="13" t="s">
        <v>985</v>
      </c>
      <c r="Q531" s="13" t="s">
        <v>985</v>
      </c>
      <c r="R531" s="4" t="s">
        <v>986</v>
      </c>
      <c r="S531" s="7" t="e">
        <f ca="1">IF(_xludf.ifna(VLOOKUP(B531,Parámetros!#REF!,1,0),"")="","No","Sí")</f>
        <v>#NAME?</v>
      </c>
      <c r="T531" s="7" t="str">
        <f t="shared" si="18"/>
        <v>No normativo</v>
      </c>
      <c r="U531" s="4" t="s">
        <v>195</v>
      </c>
      <c r="V531" s="4" t="s">
        <v>39</v>
      </c>
      <c r="W531" s="4" t="s">
        <v>291</v>
      </c>
      <c r="X531" s="4" t="s">
        <v>292</v>
      </c>
      <c r="Y531" s="4" t="s">
        <v>987</v>
      </c>
      <c r="Z531" s="5">
        <v>47000000</v>
      </c>
      <c r="AA531" s="5">
        <v>47000000</v>
      </c>
      <c r="AB531" s="4" t="s">
        <v>180</v>
      </c>
      <c r="AC531">
        <v>530</v>
      </c>
    </row>
    <row r="532" spans="1:29" ht="16.5" hidden="1" customHeight="1" x14ac:dyDescent="0.2">
      <c r="A532" s="6" t="str">
        <f t="shared" si="17"/>
        <v>SDATOOL-41625 $ Robotics 2023</v>
      </c>
      <c r="B532" s="4" t="s">
        <v>2693</v>
      </c>
      <c r="C532" s="4" t="s">
        <v>2694</v>
      </c>
      <c r="D532" s="4" t="s">
        <v>183</v>
      </c>
      <c r="E532" s="4" t="s">
        <v>2695</v>
      </c>
      <c r="F532" s="4" t="s">
        <v>43</v>
      </c>
      <c r="G532" s="4" t="s">
        <v>185</v>
      </c>
      <c r="H532" s="4" t="s">
        <v>276</v>
      </c>
      <c r="J532" s="4" t="s">
        <v>204</v>
      </c>
      <c r="K532" s="4" t="s">
        <v>386</v>
      </c>
      <c r="L532" s="4" t="s">
        <v>386</v>
      </c>
      <c r="M532" s="4" t="s">
        <v>2696</v>
      </c>
      <c r="N532" s="4" t="s">
        <v>15</v>
      </c>
      <c r="O532" s="13" t="s">
        <v>1033</v>
      </c>
      <c r="P532" s="13" t="s">
        <v>1034</v>
      </c>
      <c r="Q532" s="13" t="s">
        <v>1033</v>
      </c>
      <c r="S532" s="7" t="e">
        <f ca="1">IF(_xludf.ifna(VLOOKUP(B532,Parámetros!#REF!,1,0),"")="","No","Sí")</f>
        <v>#NAME?</v>
      </c>
      <c r="T532" s="7" t="str">
        <f t="shared" si="18"/>
        <v>No normativo</v>
      </c>
      <c r="U532" s="4" t="s">
        <v>195</v>
      </c>
      <c r="V532" s="4" t="s">
        <v>39</v>
      </c>
      <c r="W532" s="4" t="s">
        <v>196</v>
      </c>
      <c r="X532" s="4" t="s">
        <v>246</v>
      </c>
      <c r="Y532" s="4" t="s">
        <v>265</v>
      </c>
      <c r="Z532" s="4">
        <v>2</v>
      </c>
      <c r="AA532" s="4">
        <v>2</v>
      </c>
      <c r="AB532" s="4" t="s">
        <v>215</v>
      </c>
      <c r="AC532">
        <v>531</v>
      </c>
    </row>
    <row r="533" spans="1:29" ht="16.5" hidden="1" customHeight="1" x14ac:dyDescent="0.2">
      <c r="A533" s="6" t="str">
        <f t="shared" si="17"/>
        <v>SDATOOL-41626 $ Tech University Colombia 2023</v>
      </c>
      <c r="B533" s="4" t="s">
        <v>2697</v>
      </c>
      <c r="C533" s="4" t="s">
        <v>2698</v>
      </c>
      <c r="D533" s="4" t="s">
        <v>183</v>
      </c>
      <c r="E533" s="4" t="s">
        <v>2699</v>
      </c>
      <c r="F533" s="4" t="s">
        <v>43</v>
      </c>
      <c r="G533" s="4" t="s">
        <v>185</v>
      </c>
      <c r="H533" s="4" t="s">
        <v>276</v>
      </c>
      <c r="I533" s="4" t="e">
        <v>#N/A</v>
      </c>
      <c r="J533" s="4" t="s">
        <v>204</v>
      </c>
      <c r="K533" s="4" t="s">
        <v>386</v>
      </c>
      <c r="L533" s="4" t="s">
        <v>394</v>
      </c>
      <c r="M533" s="4" t="s">
        <v>2700</v>
      </c>
      <c r="N533" s="4" t="s">
        <v>15</v>
      </c>
      <c r="O533" s="13" t="s">
        <v>985</v>
      </c>
      <c r="P533" s="13" t="s">
        <v>985</v>
      </c>
      <c r="Q533" s="13" t="s">
        <v>985</v>
      </c>
      <c r="S533" s="7" t="e">
        <f ca="1">IF(_xludf.ifna(VLOOKUP(B533,Parámetros!#REF!,1,0),"")="","No","Sí")</f>
        <v>#NAME?</v>
      </c>
      <c r="T533" s="7" t="str">
        <f t="shared" si="18"/>
        <v>No normativo</v>
      </c>
      <c r="U533" s="4" t="s">
        <v>195</v>
      </c>
      <c r="V533" s="4" t="s">
        <v>39</v>
      </c>
      <c r="W533" s="4" t="s">
        <v>291</v>
      </c>
      <c r="X533" s="4" t="s">
        <v>292</v>
      </c>
      <c r="Y533" s="4" t="s">
        <v>987</v>
      </c>
      <c r="Z533" s="5">
        <v>420000000</v>
      </c>
      <c r="AA533" s="5">
        <v>280000000</v>
      </c>
      <c r="AB533" s="4" t="s">
        <v>180</v>
      </c>
      <c r="AC533">
        <v>532</v>
      </c>
    </row>
    <row r="534" spans="1:29" ht="16.5" customHeight="1" x14ac:dyDescent="0.2">
      <c r="A534" s="6" t="str">
        <f t="shared" si="17"/>
        <v>SDATOOL-41627 $ Banking Runtimes 2023</v>
      </c>
      <c r="B534" s="4" t="s">
        <v>2701</v>
      </c>
      <c r="C534" s="4" t="s">
        <v>2702</v>
      </c>
      <c r="D534" s="4" t="s">
        <v>183</v>
      </c>
      <c r="E534" s="4" t="s">
        <v>2703</v>
      </c>
      <c r="F534" s="4" t="s">
        <v>43</v>
      </c>
      <c r="G534" s="4" t="s">
        <v>185</v>
      </c>
      <c r="H534" s="4" t="s">
        <v>186</v>
      </c>
      <c r="I534" s="4" t="e">
        <v>#N/A</v>
      </c>
      <c r="J534" s="4" t="s">
        <v>204</v>
      </c>
      <c r="K534" s="4" t="s">
        <v>386</v>
      </c>
      <c r="L534" s="4" t="s">
        <v>394</v>
      </c>
      <c r="M534" s="4" t="s">
        <v>2704</v>
      </c>
      <c r="N534" s="4" t="s">
        <v>15</v>
      </c>
      <c r="O534" s="13" t="s">
        <v>532</v>
      </c>
      <c r="P534" s="13" t="s">
        <v>532</v>
      </c>
      <c r="Q534" s="13" t="s">
        <v>532</v>
      </c>
      <c r="R534" s="4" t="s">
        <v>2705</v>
      </c>
      <c r="S534" s="7" t="e">
        <f ca="1">IF(_xludf.ifna(VLOOKUP(B534,Parámetros!#REF!,1,0),"")="","No","Sí")</f>
        <v>#NAME?</v>
      </c>
      <c r="T534" s="7" t="str">
        <f t="shared" si="18"/>
        <v>Normativo</v>
      </c>
      <c r="U534" s="4" t="s">
        <v>195</v>
      </c>
      <c r="V534" s="4" t="s">
        <v>39</v>
      </c>
      <c r="W534" s="4" t="s">
        <v>212</v>
      </c>
      <c r="X534" s="4" t="s">
        <v>356</v>
      </c>
      <c r="Y534" s="4" t="s">
        <v>1011</v>
      </c>
      <c r="Z534" s="4">
        <v>1</v>
      </c>
      <c r="AA534" s="4">
        <v>1</v>
      </c>
      <c r="AB534" s="4" t="s">
        <v>180</v>
      </c>
      <c r="AC534">
        <v>533</v>
      </c>
    </row>
    <row r="535" spans="1:29" ht="16.5" hidden="1" customHeight="1" x14ac:dyDescent="0.2">
      <c r="A535" s="6" t="str">
        <f t="shared" si="17"/>
        <v>SDATOOL-41700 $ COL - Journeys Proactivos Advice Glomo</v>
      </c>
      <c r="B535" s="4" t="s">
        <v>2706</v>
      </c>
      <c r="C535" s="4" t="s">
        <v>2707</v>
      </c>
      <c r="D535" s="4" t="s">
        <v>763</v>
      </c>
      <c r="E535" s="4" t="s">
        <v>2708</v>
      </c>
      <c r="F535" s="4" t="s">
        <v>28</v>
      </c>
      <c r="G535" s="4" t="s">
        <v>185</v>
      </c>
      <c r="H535" s="4" t="s">
        <v>752</v>
      </c>
      <c r="I535" s="4" t="e">
        <v>#N/A</v>
      </c>
      <c r="J535" s="4" t="s">
        <v>204</v>
      </c>
      <c r="K535" s="4" t="s">
        <v>386</v>
      </c>
      <c r="L535" s="4" t="s">
        <v>394</v>
      </c>
      <c r="M535" s="4" t="s">
        <v>2709</v>
      </c>
      <c r="N535" s="4" t="s">
        <v>29</v>
      </c>
      <c r="O535" s="13" t="s">
        <v>1154</v>
      </c>
      <c r="P535" s="13" t="s">
        <v>1885</v>
      </c>
      <c r="Q535" s="13" t="s">
        <v>222</v>
      </c>
      <c r="S535" s="7" t="e">
        <f ca="1">IF(_xludf.ifna(VLOOKUP(B535,Parámetros!#REF!,1,0),"")="","No","Sí")</f>
        <v>#NAME?</v>
      </c>
      <c r="T535" s="7" t="str">
        <f t="shared" si="18"/>
        <v>No normativo</v>
      </c>
      <c r="U535" s="4" t="s">
        <v>195</v>
      </c>
      <c r="V535" s="4" t="s">
        <v>39</v>
      </c>
      <c r="W535" s="4" t="s">
        <v>2710</v>
      </c>
      <c r="X535" s="4" t="s">
        <v>2711</v>
      </c>
      <c r="Y535" s="4" t="s">
        <v>2712</v>
      </c>
      <c r="Z535" s="4">
        <v>0</v>
      </c>
      <c r="AA535" s="4">
        <v>0</v>
      </c>
      <c r="AB535" s="4" t="s">
        <v>180</v>
      </c>
      <c r="AC535">
        <v>534</v>
      </c>
    </row>
    <row r="536" spans="1:29" ht="16.5" hidden="1" customHeight="1" x14ac:dyDescent="0.2">
      <c r="A536" s="6" t="str">
        <f t="shared" si="17"/>
        <v>SDATOOL-41705 $ Marca de modalidad para Preaprobados</v>
      </c>
      <c r="B536" s="4" t="s">
        <v>2713</v>
      </c>
      <c r="C536" s="4" t="s">
        <v>2714</v>
      </c>
      <c r="D536" s="4" t="s">
        <v>763</v>
      </c>
      <c r="E536" s="4" t="s">
        <v>2715</v>
      </c>
      <c r="F536" s="4" t="s">
        <v>28</v>
      </c>
      <c r="G536" s="4" t="s">
        <v>185</v>
      </c>
      <c r="H536" s="4" t="s">
        <v>752</v>
      </c>
      <c r="J536" s="4" t="s">
        <v>204</v>
      </c>
      <c r="K536" s="4" t="s">
        <v>314</v>
      </c>
      <c r="L536" s="4" t="s">
        <v>314</v>
      </c>
      <c r="M536" s="4" t="s">
        <v>2716</v>
      </c>
      <c r="N536" s="4" t="s">
        <v>22</v>
      </c>
      <c r="O536" s="13" t="s">
        <v>480</v>
      </c>
      <c r="P536" s="13" t="s">
        <v>1566</v>
      </c>
      <c r="Q536" s="13" t="s">
        <v>2080</v>
      </c>
      <c r="S536" s="7" t="e">
        <f ca="1">IF(_xludf.ifna(VLOOKUP(B536,Parámetros!#REF!,1,0),"")="","No","Sí")</f>
        <v>#NAME?</v>
      </c>
      <c r="T536" s="7" t="str">
        <f t="shared" si="18"/>
        <v>No normativo</v>
      </c>
      <c r="U536" s="4" t="s">
        <v>2717</v>
      </c>
      <c r="V536" s="4" t="s">
        <v>39</v>
      </c>
      <c r="W536" s="4" t="s">
        <v>212</v>
      </c>
      <c r="X536" s="4" t="s">
        <v>1114</v>
      </c>
      <c r="Y536" s="4" t="s">
        <v>2718</v>
      </c>
      <c r="Z536" s="4">
        <v>0</v>
      </c>
      <c r="AA536" s="4">
        <v>0</v>
      </c>
      <c r="AB536" s="4" t="s">
        <v>215</v>
      </c>
      <c r="AC536">
        <v>535</v>
      </c>
    </row>
    <row r="537" spans="1:29" ht="16.5" customHeight="1" x14ac:dyDescent="0.2">
      <c r="A537" s="6" t="str">
        <f t="shared" si="17"/>
        <v>SDATOOL-41706 $ Renovación ATMs 2023</v>
      </c>
      <c r="B537" s="4" t="s">
        <v>2719</v>
      </c>
      <c r="C537" s="4" t="s">
        <v>2720</v>
      </c>
      <c r="D537" s="4" t="s">
        <v>183</v>
      </c>
      <c r="E537" s="4" t="s">
        <v>2721</v>
      </c>
      <c r="F537" s="4" t="s">
        <v>35</v>
      </c>
      <c r="G537" s="4" t="s">
        <v>185</v>
      </c>
      <c r="H537" s="4" t="s">
        <v>186</v>
      </c>
      <c r="I537" s="4" t="s">
        <v>186</v>
      </c>
      <c r="J537" s="4" t="s">
        <v>204</v>
      </c>
      <c r="K537" s="4" t="s">
        <v>386</v>
      </c>
      <c r="L537" s="4" t="s">
        <v>394</v>
      </c>
      <c r="M537" s="4" t="s">
        <v>2722</v>
      </c>
      <c r="N537" s="4" t="s">
        <v>36</v>
      </c>
      <c r="O537" s="13" t="s">
        <v>412</v>
      </c>
      <c r="P537" s="13" t="s">
        <v>794</v>
      </c>
      <c r="Q537" s="13" t="s">
        <v>1033</v>
      </c>
      <c r="S537" s="7" t="e">
        <f ca="1">IF(_xludf.ifna(VLOOKUP(B537,Parámetros!#REF!,1,0),"")="","No","Sí")</f>
        <v>#NAME?</v>
      </c>
      <c r="T537" s="7" t="str">
        <f t="shared" si="18"/>
        <v>No normativo</v>
      </c>
      <c r="U537" s="4" t="s">
        <v>195</v>
      </c>
      <c r="V537" s="4" t="s">
        <v>39</v>
      </c>
      <c r="W537" s="4" t="s">
        <v>300</v>
      </c>
      <c r="X537" s="4" t="s">
        <v>562</v>
      </c>
      <c r="Y537" s="4" t="s">
        <v>1304</v>
      </c>
      <c r="Z537" s="5">
        <v>19089552317</v>
      </c>
      <c r="AA537" s="5">
        <v>11434000000</v>
      </c>
      <c r="AB537" s="4" t="s">
        <v>180</v>
      </c>
      <c r="AC537">
        <v>536</v>
      </c>
    </row>
    <row r="538" spans="1:29" ht="16.5" customHeight="1" x14ac:dyDescent="0.2">
      <c r="A538" s="6" t="str">
        <f t="shared" si="17"/>
        <v>SDATOOL-41707 $ Reubicación ATMs 2023</v>
      </c>
      <c r="B538" s="4" t="s">
        <v>2723</v>
      </c>
      <c r="C538" s="4" t="s">
        <v>2724</v>
      </c>
      <c r="D538" s="4" t="s">
        <v>183</v>
      </c>
      <c r="E538" s="4" t="s">
        <v>1311</v>
      </c>
      <c r="F538" s="4" t="s">
        <v>35</v>
      </c>
      <c r="G538" s="4" t="s">
        <v>185</v>
      </c>
      <c r="H538" s="4" t="s">
        <v>186</v>
      </c>
      <c r="I538" s="4" t="s">
        <v>186</v>
      </c>
      <c r="J538" s="4" t="s">
        <v>204</v>
      </c>
      <c r="K538" s="4" t="s">
        <v>386</v>
      </c>
      <c r="L538" s="4" t="s">
        <v>394</v>
      </c>
      <c r="M538" s="4" t="s">
        <v>1312</v>
      </c>
      <c r="N538" s="4" t="s">
        <v>36</v>
      </c>
      <c r="O538" s="13" t="s">
        <v>412</v>
      </c>
      <c r="P538" s="13" t="s">
        <v>794</v>
      </c>
      <c r="Q538" s="13" t="s">
        <v>1033</v>
      </c>
      <c r="S538" s="7" t="e">
        <f ca="1">IF(_xludf.ifna(VLOOKUP(B538,Parámetros!#REF!,1,0),"")="","No","Sí")</f>
        <v>#NAME?</v>
      </c>
      <c r="T538" s="7" t="str">
        <f t="shared" si="18"/>
        <v>Normativo</v>
      </c>
      <c r="U538" s="4" t="s">
        <v>195</v>
      </c>
      <c r="V538" s="4" t="s">
        <v>39</v>
      </c>
      <c r="W538" s="4" t="s">
        <v>300</v>
      </c>
      <c r="X538" s="4" t="s">
        <v>562</v>
      </c>
      <c r="Y538" s="4" t="s">
        <v>1304</v>
      </c>
      <c r="Z538" s="5">
        <v>3114840000</v>
      </c>
      <c r="AA538" s="5">
        <v>2304840000</v>
      </c>
      <c r="AB538" s="4" t="s">
        <v>180</v>
      </c>
      <c r="AC538">
        <v>537</v>
      </c>
    </row>
    <row r="539" spans="1:29" ht="16.5" customHeight="1" x14ac:dyDescent="0.2">
      <c r="A539" s="6" t="str">
        <f t="shared" si="17"/>
        <v>SDATOOL-41708 $ Dotación elementos de ATMs 2023</v>
      </c>
      <c r="B539" s="4" t="s">
        <v>2725</v>
      </c>
      <c r="C539" s="4" t="s">
        <v>2726</v>
      </c>
      <c r="D539" s="4" t="s">
        <v>183</v>
      </c>
      <c r="E539" s="4" t="s">
        <v>2727</v>
      </c>
      <c r="F539" s="4" t="s">
        <v>35</v>
      </c>
      <c r="G539" s="4" t="s">
        <v>185</v>
      </c>
      <c r="H539" s="4" t="s">
        <v>186</v>
      </c>
      <c r="I539" s="4" t="s">
        <v>186</v>
      </c>
      <c r="J539" s="4" t="s">
        <v>204</v>
      </c>
      <c r="K539" s="4" t="s">
        <v>386</v>
      </c>
      <c r="L539" s="4" t="s">
        <v>394</v>
      </c>
      <c r="M539" s="4" t="s">
        <v>2728</v>
      </c>
      <c r="N539" s="4" t="s">
        <v>36</v>
      </c>
      <c r="O539" s="13" t="s">
        <v>412</v>
      </c>
      <c r="P539" s="13" t="s">
        <v>287</v>
      </c>
      <c r="S539" s="7" t="e">
        <f ca="1">IF(_xludf.ifna(VLOOKUP(B539,Parámetros!#REF!,1,0),"")="","No","Sí")</f>
        <v>#NAME?</v>
      </c>
      <c r="T539" s="7" t="str">
        <f t="shared" si="18"/>
        <v>No normativo</v>
      </c>
      <c r="U539" s="4" t="s">
        <v>195</v>
      </c>
      <c r="V539" s="4" t="s">
        <v>39</v>
      </c>
      <c r="W539" s="4" t="s">
        <v>300</v>
      </c>
      <c r="X539" s="4" t="s">
        <v>562</v>
      </c>
      <c r="Y539" s="4" t="s">
        <v>1304</v>
      </c>
      <c r="Z539" s="5">
        <v>1531534899</v>
      </c>
      <c r="AA539" s="5">
        <v>744000000</v>
      </c>
      <c r="AB539" s="4" t="s">
        <v>180</v>
      </c>
      <c r="AC539">
        <v>538</v>
      </c>
    </row>
    <row r="540" spans="1:29" ht="16.5" customHeight="1" x14ac:dyDescent="0.2">
      <c r="A540" s="6" t="str">
        <f t="shared" si="17"/>
        <v>SDATOOL-41709 $ Fraccionamiento de transacciones en CBs</v>
      </c>
      <c r="B540" s="4" t="s">
        <v>2729</v>
      </c>
      <c r="C540" s="4" t="s">
        <v>2730</v>
      </c>
      <c r="D540" s="4" t="s">
        <v>763</v>
      </c>
      <c r="E540" s="4" t="s">
        <v>2731</v>
      </c>
      <c r="F540" s="4" t="s">
        <v>28</v>
      </c>
      <c r="G540" s="4" t="s">
        <v>185</v>
      </c>
      <c r="H540" s="4" t="s">
        <v>186</v>
      </c>
      <c r="J540" s="4" t="s">
        <v>204</v>
      </c>
      <c r="K540" s="4" t="s">
        <v>206</v>
      </c>
      <c r="L540" s="4" t="s">
        <v>314</v>
      </c>
      <c r="M540" s="4" t="s">
        <v>2732</v>
      </c>
      <c r="N540" s="4" t="s">
        <v>36</v>
      </c>
      <c r="O540" s="13" t="s">
        <v>473</v>
      </c>
      <c r="P540" s="13" t="s">
        <v>637</v>
      </c>
      <c r="Q540" s="13" t="s">
        <v>1085</v>
      </c>
      <c r="S540" s="7" t="e">
        <f ca="1">IF(_xludf.ifna(VLOOKUP(B540,Parámetros!#REF!,1,0),"")="","No","Sí")</f>
        <v>#NAME?</v>
      </c>
      <c r="T540" s="7" t="str">
        <f t="shared" si="18"/>
        <v>No normativo</v>
      </c>
      <c r="U540" s="4" t="s">
        <v>224</v>
      </c>
      <c r="V540" s="4" t="s">
        <v>39</v>
      </c>
      <c r="W540" s="4" t="s">
        <v>300</v>
      </c>
      <c r="X540" s="4" t="s">
        <v>562</v>
      </c>
      <c r="Y540" s="4" t="s">
        <v>563</v>
      </c>
      <c r="Z540" s="5">
        <v>107019965</v>
      </c>
      <c r="AA540" s="5">
        <v>87060000</v>
      </c>
      <c r="AB540" s="4" t="s">
        <v>180</v>
      </c>
      <c r="AC540">
        <v>539</v>
      </c>
    </row>
    <row r="541" spans="1:29" ht="16.5" customHeight="1" x14ac:dyDescent="0.2">
      <c r="A541" s="6" t="str">
        <f t="shared" si="17"/>
        <v>SDATOOL-41711 $ Equipos y Mobiliario Oficinas 2023</v>
      </c>
      <c r="B541" s="4" t="s">
        <v>2733</v>
      </c>
      <c r="C541" s="4" t="s">
        <v>2734</v>
      </c>
      <c r="D541" s="4" t="s">
        <v>183</v>
      </c>
      <c r="E541" s="4" t="s">
        <v>2735</v>
      </c>
      <c r="F541" s="4" t="s">
        <v>35</v>
      </c>
      <c r="G541" s="4" t="s">
        <v>185</v>
      </c>
      <c r="H541" s="4" t="s">
        <v>186</v>
      </c>
      <c r="I541" s="4" t="s">
        <v>186</v>
      </c>
      <c r="J541" s="4" t="s">
        <v>204</v>
      </c>
      <c r="K541" s="4" t="s">
        <v>386</v>
      </c>
      <c r="L541" s="4" t="s">
        <v>394</v>
      </c>
      <c r="M541" s="4" t="s">
        <v>1331</v>
      </c>
      <c r="N541" s="4" t="s">
        <v>36</v>
      </c>
      <c r="O541" s="13" t="s">
        <v>412</v>
      </c>
      <c r="P541" s="13" t="s">
        <v>287</v>
      </c>
      <c r="S541" s="7" t="e">
        <f ca="1">IF(_xludf.ifna(VLOOKUP(B541,Parámetros!#REF!,1,0),"")="","No","Sí")</f>
        <v>#NAME?</v>
      </c>
      <c r="T541" s="7" t="str">
        <f t="shared" si="18"/>
        <v>No normativo</v>
      </c>
      <c r="U541" s="4" t="s">
        <v>195</v>
      </c>
      <c r="V541" s="4" t="s">
        <v>39</v>
      </c>
      <c r="W541" s="4" t="s">
        <v>300</v>
      </c>
      <c r="X541" s="4" t="s">
        <v>562</v>
      </c>
      <c r="Y541" s="4" t="s">
        <v>1197</v>
      </c>
      <c r="Z541" s="5">
        <v>3775427628</v>
      </c>
      <c r="AA541" s="5">
        <v>1485132865</v>
      </c>
      <c r="AB541" s="4" t="s">
        <v>180</v>
      </c>
      <c r="AC541">
        <v>540</v>
      </c>
    </row>
    <row r="542" spans="1:29" ht="16.5" customHeight="1" x14ac:dyDescent="0.2">
      <c r="A542" s="6" t="str">
        <f t="shared" si="17"/>
        <v>SDATOOL-41712 $ Workplace Oficinas 2023</v>
      </c>
      <c r="B542" s="4" t="s">
        <v>2736</v>
      </c>
      <c r="C542" s="4" t="s">
        <v>2737</v>
      </c>
      <c r="D542" s="4" t="s">
        <v>183</v>
      </c>
      <c r="E542" s="4" t="s">
        <v>1319</v>
      </c>
      <c r="F542" s="4" t="s">
        <v>35</v>
      </c>
      <c r="G542" s="4" t="s">
        <v>185</v>
      </c>
      <c r="H542" s="4" t="s">
        <v>186</v>
      </c>
      <c r="I542" s="4" t="s">
        <v>186</v>
      </c>
      <c r="J542" s="4" t="s">
        <v>204</v>
      </c>
      <c r="K542" s="4" t="s">
        <v>386</v>
      </c>
      <c r="L542" s="4" t="s">
        <v>394</v>
      </c>
      <c r="M542" s="4" t="s">
        <v>1320</v>
      </c>
      <c r="N542" s="4" t="s">
        <v>36</v>
      </c>
      <c r="O542" s="13" t="s">
        <v>412</v>
      </c>
      <c r="P542" s="13" t="s">
        <v>1040</v>
      </c>
      <c r="Q542" s="13" t="s">
        <v>1040</v>
      </c>
      <c r="S542" s="7" t="e">
        <f ca="1">IF(_xludf.ifna(VLOOKUP(B542,Parámetros!#REF!,1,0),"")="","No","Sí")</f>
        <v>#NAME?</v>
      </c>
      <c r="T542" s="7" t="str">
        <f t="shared" si="18"/>
        <v>Normativo</v>
      </c>
      <c r="U542" s="4" t="s">
        <v>195</v>
      </c>
      <c r="V542" s="4" t="s">
        <v>39</v>
      </c>
      <c r="W542" s="4" t="s">
        <v>300</v>
      </c>
      <c r="X542" s="4" t="s">
        <v>562</v>
      </c>
      <c r="Y542" s="4" t="s">
        <v>1321</v>
      </c>
      <c r="Z542" s="5">
        <v>11243712847</v>
      </c>
      <c r="AA542" s="5">
        <v>3358839730</v>
      </c>
      <c r="AB542" s="4" t="s">
        <v>180</v>
      </c>
      <c r="AC542">
        <v>541</v>
      </c>
    </row>
    <row r="543" spans="1:29" ht="16.5" hidden="1" customHeight="1" x14ac:dyDescent="0.2">
      <c r="A543" s="6" t="str">
        <f t="shared" si="17"/>
        <v>SDATOOL-41713 $ Renovación contadoras de billetes en red de oficinas</v>
      </c>
      <c r="B543" s="4" t="s">
        <v>2738</v>
      </c>
      <c r="C543" s="4" t="s">
        <v>2739</v>
      </c>
      <c r="D543" s="4" t="s">
        <v>183</v>
      </c>
      <c r="E543" s="4" t="s">
        <v>2740</v>
      </c>
      <c r="F543" s="4" t="s">
        <v>35</v>
      </c>
      <c r="G543" s="4" t="s">
        <v>185</v>
      </c>
      <c r="H543" s="4" t="s">
        <v>276</v>
      </c>
      <c r="J543" s="4" t="s">
        <v>204</v>
      </c>
      <c r="K543" s="4" t="s">
        <v>386</v>
      </c>
      <c r="L543" s="4" t="s">
        <v>394</v>
      </c>
      <c r="M543" s="4" t="s">
        <v>2741</v>
      </c>
      <c r="N543" s="4" t="s">
        <v>15</v>
      </c>
      <c r="O543" s="13" t="s">
        <v>412</v>
      </c>
      <c r="P543" s="13" t="s">
        <v>1040</v>
      </c>
      <c r="Q543" s="13" t="s">
        <v>1040</v>
      </c>
      <c r="S543" s="7" t="e">
        <f ca="1">IF(_xludf.ifna(VLOOKUP(B543,Parámetros!#REF!,1,0),"")="","No","Sí")</f>
        <v>#NAME?</v>
      </c>
      <c r="T543" s="7" t="str">
        <f t="shared" si="18"/>
        <v>No normativo</v>
      </c>
      <c r="U543" s="4" t="s">
        <v>195</v>
      </c>
      <c r="V543" s="4" t="s">
        <v>39</v>
      </c>
      <c r="W543" s="4" t="s">
        <v>300</v>
      </c>
      <c r="X543" s="4" t="s">
        <v>562</v>
      </c>
      <c r="Y543" s="4" t="s">
        <v>1321</v>
      </c>
      <c r="Z543" s="5">
        <v>6318000000</v>
      </c>
      <c r="AA543" s="5">
        <v>6318000000</v>
      </c>
      <c r="AB543" s="4" t="s">
        <v>215</v>
      </c>
      <c r="AC543">
        <v>542</v>
      </c>
    </row>
    <row r="544" spans="1:29" ht="16.5" hidden="1" customHeight="1" x14ac:dyDescent="0.2">
      <c r="A544" s="6" t="str">
        <f t="shared" si="17"/>
        <v>SDATOOL-41714 $ Full Production casos casos de uso analítica CS</v>
      </c>
      <c r="B544" s="4" t="s">
        <v>2742</v>
      </c>
      <c r="C544" s="4" t="s">
        <v>2743</v>
      </c>
      <c r="D544" s="4" t="s">
        <v>763</v>
      </c>
      <c r="E544" s="4" t="s">
        <v>2744</v>
      </c>
      <c r="F544" s="4" t="s">
        <v>28</v>
      </c>
      <c r="G544" s="4" t="s">
        <v>185</v>
      </c>
      <c r="H544" s="4" t="s">
        <v>752</v>
      </c>
      <c r="I544" s="4" t="e">
        <v>#N/A</v>
      </c>
      <c r="J544" s="4" t="s">
        <v>204</v>
      </c>
      <c r="K544" s="4" t="s">
        <v>189</v>
      </c>
      <c r="L544" s="4" t="s">
        <v>394</v>
      </c>
      <c r="M544" s="4" t="s">
        <v>649</v>
      </c>
      <c r="N544" s="4" t="s">
        <v>51</v>
      </c>
      <c r="O544" s="13" t="s">
        <v>1154</v>
      </c>
      <c r="P544" s="13" t="s">
        <v>1763</v>
      </c>
      <c r="Q544" s="13" t="s">
        <v>488</v>
      </c>
      <c r="S544" s="7" t="e">
        <f ca="1">IF(_xludf.ifna(VLOOKUP(B544,Parámetros!#REF!,1,0),"")="","No","Sí")</f>
        <v>#NAME?</v>
      </c>
      <c r="T544" s="7" t="str">
        <f t="shared" si="18"/>
        <v>Normativo</v>
      </c>
      <c r="U544" s="4" t="s">
        <v>732</v>
      </c>
      <c r="V544" s="4" t="s">
        <v>39</v>
      </c>
      <c r="W544" s="4" t="s">
        <v>212</v>
      </c>
      <c r="X544" s="4" t="s">
        <v>213</v>
      </c>
      <c r="Y544" s="4" t="s">
        <v>814</v>
      </c>
      <c r="Z544" s="4">
        <v>0</v>
      </c>
      <c r="AA544" s="4">
        <v>0</v>
      </c>
      <c r="AB544" s="4" t="s">
        <v>180</v>
      </c>
      <c r="AC544">
        <v>543</v>
      </c>
    </row>
    <row r="545" spans="1:29" ht="16.5" customHeight="1" x14ac:dyDescent="0.2">
      <c r="A545" s="6" t="str">
        <f t="shared" si="17"/>
        <v>SDATOOL-41715 $ Equipos y Mobiliario CSF 2023</v>
      </c>
      <c r="B545" s="4" t="s">
        <v>2745</v>
      </c>
      <c r="C545" s="4" t="s">
        <v>2746</v>
      </c>
      <c r="D545" s="4" t="s">
        <v>183</v>
      </c>
      <c r="E545" s="4" t="s">
        <v>2747</v>
      </c>
      <c r="F545" s="4" t="s">
        <v>35</v>
      </c>
      <c r="G545" s="4" t="s">
        <v>185</v>
      </c>
      <c r="H545" s="4" t="s">
        <v>186</v>
      </c>
      <c r="I545" s="4" t="s">
        <v>186</v>
      </c>
      <c r="J545" s="4" t="s">
        <v>204</v>
      </c>
      <c r="K545" s="4" t="s">
        <v>386</v>
      </c>
      <c r="L545" s="4" t="s">
        <v>394</v>
      </c>
      <c r="M545" s="4" t="s">
        <v>2748</v>
      </c>
      <c r="N545" s="4" t="s">
        <v>15</v>
      </c>
      <c r="O545" s="13" t="s">
        <v>412</v>
      </c>
      <c r="P545" s="13" t="s">
        <v>1326</v>
      </c>
      <c r="S545" s="7" t="e">
        <f ca="1">IF(_xludf.ifna(VLOOKUP(B545,Parámetros!#REF!,1,0),"")="","No","Sí")</f>
        <v>#NAME?</v>
      </c>
      <c r="T545" s="7" t="str">
        <f t="shared" si="18"/>
        <v>Normativo</v>
      </c>
      <c r="U545" s="4" t="s">
        <v>195</v>
      </c>
      <c r="V545" s="4" t="s">
        <v>1327</v>
      </c>
      <c r="W545" s="4" t="s">
        <v>300</v>
      </c>
      <c r="X545" s="4" t="s">
        <v>562</v>
      </c>
      <c r="Y545" s="4" t="s">
        <v>563</v>
      </c>
      <c r="Z545" s="5">
        <v>652488552</v>
      </c>
      <c r="AA545" s="5">
        <v>258000000</v>
      </c>
      <c r="AB545" s="4" t="s">
        <v>180</v>
      </c>
      <c r="AC545">
        <v>544</v>
      </c>
    </row>
    <row r="546" spans="1:29" ht="16.5" hidden="1" customHeight="1" x14ac:dyDescent="0.2">
      <c r="A546" s="6" t="str">
        <f t="shared" si="17"/>
        <v>SDATOOL-41716 $ Workplace CSF 2023</v>
      </c>
      <c r="B546" s="4" t="s">
        <v>2749</v>
      </c>
      <c r="C546" s="4" t="s">
        <v>2750</v>
      </c>
      <c r="D546" s="4" t="s">
        <v>183</v>
      </c>
      <c r="E546" s="4" t="s">
        <v>1324</v>
      </c>
      <c r="F546" s="4" t="s">
        <v>35</v>
      </c>
      <c r="G546" s="4" t="s">
        <v>185</v>
      </c>
      <c r="H546" s="4" t="s">
        <v>276</v>
      </c>
      <c r="I546" s="4" t="s">
        <v>752</v>
      </c>
      <c r="J546" s="4" t="s">
        <v>204</v>
      </c>
      <c r="K546" s="4" t="s">
        <v>386</v>
      </c>
      <c r="L546" s="4" t="s">
        <v>394</v>
      </c>
      <c r="M546" s="4" t="s">
        <v>1325</v>
      </c>
      <c r="N546" s="4" t="s">
        <v>15</v>
      </c>
      <c r="O546" s="13" t="s">
        <v>412</v>
      </c>
      <c r="P546" s="13" t="s">
        <v>1326</v>
      </c>
      <c r="Q546" s="13" t="s">
        <v>2751</v>
      </c>
      <c r="S546" s="7" t="e">
        <f ca="1">IF(_xludf.ifna(VLOOKUP(B546,Parámetros!#REF!,1,0),"")="","No","Sí")</f>
        <v>#NAME?</v>
      </c>
      <c r="T546" s="7" t="str">
        <f t="shared" si="18"/>
        <v>Normativo</v>
      </c>
      <c r="U546" s="4" t="s">
        <v>195</v>
      </c>
      <c r="V546" s="4" t="s">
        <v>1327</v>
      </c>
      <c r="W546" s="4" t="s">
        <v>300</v>
      </c>
      <c r="X546" s="4" t="s">
        <v>562</v>
      </c>
      <c r="Y546" s="4" t="s">
        <v>563</v>
      </c>
      <c r="Z546" s="5">
        <v>1405180865</v>
      </c>
      <c r="AA546" s="5">
        <v>543000000</v>
      </c>
      <c r="AB546" s="4" t="s">
        <v>180</v>
      </c>
      <c r="AC546">
        <v>545</v>
      </c>
    </row>
    <row r="547" spans="1:29" ht="16.5" hidden="1" customHeight="1" x14ac:dyDescent="0.2">
      <c r="A547" s="6" t="str">
        <f t="shared" si="17"/>
        <v>SDATOOL-41721 $ Bloqueo de transacciones en oficina</v>
      </c>
      <c r="B547" s="4" t="s">
        <v>2752</v>
      </c>
      <c r="C547" s="4" t="s">
        <v>2753</v>
      </c>
      <c r="D547" s="4" t="s">
        <v>763</v>
      </c>
      <c r="E547" s="4" t="s">
        <v>2754</v>
      </c>
      <c r="F547" s="4" t="s">
        <v>28</v>
      </c>
      <c r="G547" s="4" t="s">
        <v>185</v>
      </c>
      <c r="H547" s="4" t="s">
        <v>752</v>
      </c>
      <c r="J547" s="4" t="s">
        <v>204</v>
      </c>
      <c r="K547" s="4" t="s">
        <v>206</v>
      </c>
      <c r="L547" s="4" t="s">
        <v>189</v>
      </c>
      <c r="M547" s="4" t="s">
        <v>2755</v>
      </c>
      <c r="N547" s="4" t="s">
        <v>36</v>
      </c>
      <c r="O547" s="13" t="s">
        <v>794</v>
      </c>
      <c r="P547" s="13" t="s">
        <v>542</v>
      </c>
      <c r="Q547" s="13" t="s">
        <v>574</v>
      </c>
      <c r="S547" s="7" t="e">
        <f ca="1">IF(_xludf.ifna(VLOOKUP(B547,Parámetros!#REF!,1,0),"")="","No","Sí")</f>
        <v>#NAME?</v>
      </c>
      <c r="T547" s="7" t="str">
        <f t="shared" si="18"/>
        <v>No normativo</v>
      </c>
      <c r="U547" s="4" t="s">
        <v>195</v>
      </c>
      <c r="V547" s="4" t="s">
        <v>39</v>
      </c>
      <c r="W547" s="4" t="s">
        <v>196</v>
      </c>
      <c r="X547" s="4" t="s">
        <v>426</v>
      </c>
      <c r="Y547" s="4" t="s">
        <v>427</v>
      </c>
      <c r="Z547" s="4">
        <v>0</v>
      </c>
      <c r="AA547" s="4">
        <v>0</v>
      </c>
      <c r="AB547" s="4" t="s">
        <v>215</v>
      </c>
      <c r="AC547">
        <v>546</v>
      </c>
    </row>
    <row r="548" spans="1:29" ht="16.5" hidden="1" customHeight="1" x14ac:dyDescent="0.2">
      <c r="A548" s="6" t="str">
        <f t="shared" si="17"/>
        <v>SDATOOL-41723 $ Herramienta exchange consulta buzón de endosos</v>
      </c>
      <c r="B548" s="4" t="s">
        <v>2756</v>
      </c>
      <c r="C548" s="4" t="s">
        <v>2757</v>
      </c>
      <c r="D548" s="4" t="s">
        <v>763</v>
      </c>
      <c r="E548" s="4" t="s">
        <v>2758</v>
      </c>
      <c r="F548" s="4" t="s">
        <v>28</v>
      </c>
      <c r="G548" s="4" t="s">
        <v>185</v>
      </c>
      <c r="H548" s="4" t="s">
        <v>752</v>
      </c>
      <c r="J548" s="4" t="s">
        <v>204</v>
      </c>
      <c r="K548" s="4" t="s">
        <v>189</v>
      </c>
      <c r="L548" s="4" t="s">
        <v>394</v>
      </c>
      <c r="M548" s="4" t="s">
        <v>2759</v>
      </c>
      <c r="N548" s="4" t="s">
        <v>29</v>
      </c>
      <c r="O548" s="13" t="s">
        <v>1213</v>
      </c>
      <c r="P548" s="13" t="s">
        <v>1712</v>
      </c>
      <c r="S548" s="7" t="e">
        <f ca="1">IF(_xludf.ifna(VLOOKUP(B548,Parámetros!#REF!,1,0),"")="","No","Sí")</f>
        <v>#NAME?</v>
      </c>
      <c r="T548" s="7" t="str">
        <f t="shared" si="18"/>
        <v>Normativo</v>
      </c>
      <c r="U548" s="4" t="s">
        <v>1542</v>
      </c>
      <c r="V548" s="4" t="s">
        <v>39</v>
      </c>
      <c r="W548" s="4" t="s">
        <v>300</v>
      </c>
      <c r="X548" s="4" t="s">
        <v>301</v>
      </c>
      <c r="Y548" s="4" t="s">
        <v>302</v>
      </c>
      <c r="Z548" s="4">
        <v>0</v>
      </c>
      <c r="AA548" s="4">
        <v>0</v>
      </c>
      <c r="AB548" s="4" t="s">
        <v>215</v>
      </c>
      <c r="AC548">
        <v>547</v>
      </c>
    </row>
    <row r="549" spans="1:29" ht="16.5" hidden="1" customHeight="1" x14ac:dyDescent="0.2">
      <c r="A549" s="6" t="str">
        <f t="shared" si="17"/>
        <v>SDATOOL-41724 $ Modelo API´S Recaudo</v>
      </c>
      <c r="B549" s="4" t="s">
        <v>2760</v>
      </c>
      <c r="C549" s="4" t="s">
        <v>2761</v>
      </c>
      <c r="D549" s="4" t="s">
        <v>763</v>
      </c>
      <c r="E549" s="4" t="s">
        <v>2762</v>
      </c>
      <c r="F549" s="4" t="s">
        <v>28</v>
      </c>
      <c r="G549" s="4" t="s">
        <v>185</v>
      </c>
      <c r="H549" s="4" t="s">
        <v>203</v>
      </c>
      <c r="J549" s="4" t="s">
        <v>204</v>
      </c>
      <c r="K549" s="4" t="s">
        <v>770</v>
      </c>
      <c r="L549" s="4" t="s">
        <v>206</v>
      </c>
      <c r="M549" s="4" t="s">
        <v>2763</v>
      </c>
      <c r="N549" s="4" t="s">
        <v>22</v>
      </c>
      <c r="O549" s="13" t="s">
        <v>404</v>
      </c>
      <c r="P549" s="13" t="s">
        <v>1232</v>
      </c>
      <c r="Q549" s="13" t="s">
        <v>543</v>
      </c>
      <c r="S549" s="7" t="e">
        <f ca="1">IF(_xludf.ifna(VLOOKUP(B549,Parámetros!#REF!,1,0),"")="","No","Sí")</f>
        <v>#NAME?</v>
      </c>
      <c r="T549" s="7" t="str">
        <f t="shared" si="18"/>
        <v>Normativo</v>
      </c>
      <c r="U549" s="4" t="s">
        <v>195</v>
      </c>
      <c r="V549" s="4" t="s">
        <v>39</v>
      </c>
      <c r="W549" s="4" t="s">
        <v>233</v>
      </c>
      <c r="X549" s="4" t="s">
        <v>234</v>
      </c>
      <c r="Y549" s="4" t="s">
        <v>435</v>
      </c>
      <c r="Z549" s="4">
        <v>0</v>
      </c>
      <c r="AA549" s="4">
        <v>0</v>
      </c>
      <c r="AB549" s="4" t="s">
        <v>215</v>
      </c>
      <c r="AC549">
        <v>548</v>
      </c>
    </row>
    <row r="550" spans="1:29" ht="16.5" hidden="1" customHeight="1" x14ac:dyDescent="0.2">
      <c r="A550" s="6" t="str">
        <f t="shared" si="17"/>
        <v>SDATOOL-41726 $ EXTRACUPO TARJETA DE CREDITO</v>
      </c>
      <c r="B550" s="4" t="s">
        <v>2764</v>
      </c>
      <c r="C550" s="4" t="s">
        <v>2765</v>
      </c>
      <c r="D550" s="4" t="s">
        <v>763</v>
      </c>
      <c r="E550" s="4" t="s">
        <v>2766</v>
      </c>
      <c r="F550" s="4" t="s">
        <v>28</v>
      </c>
      <c r="G550" s="4" t="s">
        <v>185</v>
      </c>
      <c r="H550" s="4" t="s">
        <v>752</v>
      </c>
      <c r="I550" s="4" t="s">
        <v>186</v>
      </c>
      <c r="J550" s="4" t="s">
        <v>204</v>
      </c>
      <c r="K550" s="4" t="s">
        <v>189</v>
      </c>
      <c r="L550" s="4" t="s">
        <v>394</v>
      </c>
      <c r="M550" s="4" t="s">
        <v>2767</v>
      </c>
      <c r="N550" s="4" t="s">
        <v>22</v>
      </c>
      <c r="O550" s="13" t="s">
        <v>480</v>
      </c>
      <c r="P550" s="13" t="s">
        <v>548</v>
      </c>
      <c r="Q550" s="13" t="s">
        <v>555</v>
      </c>
      <c r="S550" s="7" t="e">
        <f ca="1">IF(_xludf.ifna(VLOOKUP(B550,Parámetros!#REF!,1,0),"")="","No","Sí")</f>
        <v>#NAME?</v>
      </c>
      <c r="T550" s="7" t="str">
        <f t="shared" si="18"/>
        <v>Normativo</v>
      </c>
      <c r="U550" s="4" t="s">
        <v>1542</v>
      </c>
      <c r="V550" s="4" t="s">
        <v>39</v>
      </c>
      <c r="W550" s="4" t="s">
        <v>196</v>
      </c>
      <c r="X550" s="4" t="s">
        <v>328</v>
      </c>
      <c r="Y550" s="4" t="s">
        <v>1953</v>
      </c>
      <c r="Z550" s="4">
        <v>0</v>
      </c>
      <c r="AA550" s="5">
        <v>125000000</v>
      </c>
      <c r="AB550" s="4" t="s">
        <v>180</v>
      </c>
      <c r="AC550">
        <v>549</v>
      </c>
    </row>
    <row r="551" spans="1:29" ht="16.5" hidden="1" customHeight="1" x14ac:dyDescent="0.2">
      <c r="A551" s="6" t="str">
        <f t="shared" si="17"/>
        <v>SDATOOL-41729 $ SEGUNDA LIBRANZA - APLICACION PAGOS Y VoBo PAGADOR</v>
      </c>
      <c r="B551" s="4" t="s">
        <v>2768</v>
      </c>
      <c r="C551" s="4" t="s">
        <v>2769</v>
      </c>
      <c r="D551" s="4" t="s">
        <v>763</v>
      </c>
      <c r="E551" s="4" t="s">
        <v>2770</v>
      </c>
      <c r="F551" s="4" t="s">
        <v>28</v>
      </c>
      <c r="G551" s="4" t="s">
        <v>185</v>
      </c>
      <c r="H551" s="4" t="s">
        <v>752</v>
      </c>
      <c r="I551" s="4" t="e">
        <v>#N/A</v>
      </c>
      <c r="J551" s="4" t="s">
        <v>431</v>
      </c>
      <c r="K551" s="4" t="s">
        <v>386</v>
      </c>
      <c r="L551" s="4" t="s">
        <v>394</v>
      </c>
      <c r="M551" s="4" t="s">
        <v>2771</v>
      </c>
      <c r="N551" s="4" t="s">
        <v>29</v>
      </c>
      <c r="O551" s="13" t="s">
        <v>2079</v>
      </c>
      <c r="P551" s="13" t="s">
        <v>677</v>
      </c>
      <c r="Q551" s="13" t="s">
        <v>580</v>
      </c>
      <c r="S551" s="7" t="e">
        <f ca="1">IF(_xludf.ifna(VLOOKUP(B551,Parámetros!#REF!,1,0),"")="","No","Sí")</f>
        <v>#NAME?</v>
      </c>
      <c r="T551" s="7" t="str">
        <f t="shared" si="18"/>
        <v>No normativo</v>
      </c>
      <c r="U551" s="4" t="s">
        <v>732</v>
      </c>
      <c r="V551" s="4" t="s">
        <v>39</v>
      </c>
      <c r="W551" s="4" t="s">
        <v>212</v>
      </c>
      <c r="X551" s="4" t="s">
        <v>213</v>
      </c>
      <c r="Y551" s="4" t="s">
        <v>814</v>
      </c>
      <c r="Z551" s="4">
        <v>0</v>
      </c>
      <c r="AA551" s="5">
        <v>332000000</v>
      </c>
      <c r="AB551" s="4" t="s">
        <v>180</v>
      </c>
      <c r="AC551">
        <v>550</v>
      </c>
    </row>
    <row r="552" spans="1:29" ht="16.5" hidden="1" customHeight="1" x14ac:dyDescent="0.2">
      <c r="A552" s="6" t="str">
        <f t="shared" si="17"/>
        <v>SDATOOL-41730 $ SEGUNDA LIBRANZA - GENERACION REPORTES DE LIBRANZA</v>
      </c>
      <c r="B552" s="4" t="s">
        <v>2772</v>
      </c>
      <c r="C552" s="4" t="s">
        <v>2773</v>
      </c>
      <c r="D552" s="4" t="s">
        <v>763</v>
      </c>
      <c r="E552" s="4" t="s">
        <v>2774</v>
      </c>
      <c r="F552" s="4" t="s">
        <v>28</v>
      </c>
      <c r="G552" s="4" t="s">
        <v>185</v>
      </c>
      <c r="H552" s="4" t="s">
        <v>752</v>
      </c>
      <c r="I552" s="4" t="e">
        <v>#N/A</v>
      </c>
      <c r="J552" s="4" t="s">
        <v>431</v>
      </c>
      <c r="K552" s="4" t="s">
        <v>386</v>
      </c>
      <c r="L552" s="4" t="s">
        <v>394</v>
      </c>
      <c r="M552" s="4" t="s">
        <v>2774</v>
      </c>
      <c r="N552" s="4" t="s">
        <v>29</v>
      </c>
      <c r="O552" s="13" t="s">
        <v>2079</v>
      </c>
      <c r="P552" s="13" t="s">
        <v>677</v>
      </c>
      <c r="Q552" s="13" t="s">
        <v>580</v>
      </c>
      <c r="S552" s="7" t="e">
        <f ca="1">IF(_xludf.ifna(VLOOKUP(B552,Parámetros!#REF!,1,0),"")="","No","Sí")</f>
        <v>#NAME?</v>
      </c>
      <c r="T552" s="7" t="str">
        <f t="shared" si="18"/>
        <v>Normativo</v>
      </c>
      <c r="U552" s="4" t="s">
        <v>732</v>
      </c>
      <c r="V552" s="4" t="s">
        <v>39</v>
      </c>
      <c r="W552" s="4" t="s">
        <v>300</v>
      </c>
      <c r="X552" s="4" t="s">
        <v>301</v>
      </c>
      <c r="Y552" s="4" t="s">
        <v>302</v>
      </c>
      <c r="Z552" s="4">
        <v>0</v>
      </c>
      <c r="AA552" s="4">
        <v>0</v>
      </c>
      <c r="AB552" s="4" t="s">
        <v>180</v>
      </c>
      <c r="AC552">
        <v>551</v>
      </c>
    </row>
    <row r="553" spans="1:29" ht="16.5" hidden="1" customHeight="1" x14ac:dyDescent="0.2">
      <c r="A553" s="6" t="str">
        <f t="shared" si="17"/>
        <v>SDATOOL-41734 $ Contratación tarjeta de crédito digital negocios en canal digital retail</v>
      </c>
      <c r="B553" s="4" t="s">
        <v>2775</v>
      </c>
      <c r="C553" s="4" t="s">
        <v>2776</v>
      </c>
      <c r="D553" s="4" t="s">
        <v>763</v>
      </c>
      <c r="E553" s="4" t="s">
        <v>2777</v>
      </c>
      <c r="F553" s="4" t="s">
        <v>28</v>
      </c>
      <c r="G553" s="4" t="s">
        <v>185</v>
      </c>
      <c r="H553" s="4" t="s">
        <v>752</v>
      </c>
      <c r="J553" s="4" t="s">
        <v>204</v>
      </c>
      <c r="K553" s="4" t="s">
        <v>386</v>
      </c>
      <c r="L553" s="4" t="s">
        <v>314</v>
      </c>
      <c r="M553" s="4" t="s">
        <v>2778</v>
      </c>
      <c r="N553" s="4" t="s">
        <v>29</v>
      </c>
      <c r="O553" s="13" t="s">
        <v>1566</v>
      </c>
      <c r="Q553" s="13" t="s">
        <v>555</v>
      </c>
      <c r="S553" s="7" t="e">
        <f ca="1">IF(_xludf.ifna(VLOOKUP(B553,Parámetros!#REF!,1,0),"")="","No","Sí")</f>
        <v>#NAME?</v>
      </c>
      <c r="T553" s="7" t="str">
        <f t="shared" si="18"/>
        <v>Normativo</v>
      </c>
      <c r="U553" s="4" t="s">
        <v>195</v>
      </c>
      <c r="V553" s="4" t="s">
        <v>39</v>
      </c>
      <c r="W553" s="4" t="s">
        <v>196</v>
      </c>
      <c r="X553" s="4" t="s">
        <v>197</v>
      </c>
      <c r="Y553" s="4" t="s">
        <v>1537</v>
      </c>
      <c r="Z553" s="4">
        <v>0</v>
      </c>
      <c r="AA553" s="4">
        <v>0</v>
      </c>
      <c r="AB553" s="4" t="s">
        <v>215</v>
      </c>
      <c r="AC553">
        <v>552</v>
      </c>
    </row>
    <row r="554" spans="1:29" ht="16.5" hidden="1" customHeight="1" x14ac:dyDescent="0.2">
      <c r="A554" s="6" t="str">
        <f t="shared" si="17"/>
        <v>SDATOOL-41735 $ DIAN. Ajustes Dimensión para certificados tributarios e información exógena</v>
      </c>
      <c r="B554" s="4" t="s">
        <v>2779</v>
      </c>
      <c r="C554" s="4" t="s">
        <v>2780</v>
      </c>
      <c r="D554" s="4" t="s">
        <v>763</v>
      </c>
      <c r="E554" s="4" t="s">
        <v>2781</v>
      </c>
      <c r="F554" s="4" t="s">
        <v>28</v>
      </c>
      <c r="G554" s="4" t="s">
        <v>185</v>
      </c>
      <c r="H554" s="4" t="s">
        <v>752</v>
      </c>
      <c r="J554" s="4" t="s">
        <v>204</v>
      </c>
      <c r="K554" s="4" t="s">
        <v>189</v>
      </c>
      <c r="L554" s="4" t="s">
        <v>314</v>
      </c>
      <c r="M554" s="4" t="s">
        <v>2782</v>
      </c>
      <c r="N554" s="4" t="s">
        <v>22</v>
      </c>
      <c r="O554" s="13" t="s">
        <v>617</v>
      </c>
      <c r="P554" s="13" t="s">
        <v>433</v>
      </c>
      <c r="Q554" s="13" t="s">
        <v>456</v>
      </c>
      <c r="S554" s="7" t="e">
        <f ca="1">IF(_xludf.ifna(VLOOKUP(B554,Parámetros!#REF!,1,0),"")="","No","Sí")</f>
        <v>#NAME?</v>
      </c>
      <c r="T554" s="7" t="str">
        <f t="shared" si="18"/>
        <v>Normativo</v>
      </c>
      <c r="U554" s="4" t="s">
        <v>224</v>
      </c>
      <c r="V554" s="4" t="s">
        <v>39</v>
      </c>
      <c r="W554" s="4" t="s">
        <v>196</v>
      </c>
      <c r="X554" s="4" t="s">
        <v>225</v>
      </c>
      <c r="Y554" s="4" t="s">
        <v>1372</v>
      </c>
      <c r="Z554" s="4">
        <v>0</v>
      </c>
      <c r="AA554" s="4">
        <v>0</v>
      </c>
      <c r="AB554" s="4" t="s">
        <v>215</v>
      </c>
      <c r="AC554">
        <v>553</v>
      </c>
    </row>
    <row r="555" spans="1:29" ht="16.5" hidden="1" customHeight="1" x14ac:dyDescent="0.2">
      <c r="A555" s="6" t="str">
        <f t="shared" si="17"/>
        <v>SDATOOL-41736 $ Operación Logística de Pólizas Agencia BBVA</v>
      </c>
      <c r="B555" s="4" t="s">
        <v>2783</v>
      </c>
      <c r="C555" s="4" t="s">
        <v>2784</v>
      </c>
      <c r="D555" s="4" t="s">
        <v>763</v>
      </c>
      <c r="E555" s="4" t="s">
        <v>2785</v>
      </c>
      <c r="F555" s="4" t="s">
        <v>28</v>
      </c>
      <c r="G555" s="4" t="s">
        <v>185</v>
      </c>
      <c r="H555" s="4" t="s">
        <v>752</v>
      </c>
      <c r="J555" s="4" t="s">
        <v>204</v>
      </c>
      <c r="K555" s="4" t="s">
        <v>189</v>
      </c>
      <c r="L555" s="4" t="s">
        <v>189</v>
      </c>
      <c r="M555" s="4" t="s">
        <v>2786</v>
      </c>
      <c r="N555" s="4" t="s">
        <v>29</v>
      </c>
      <c r="O555" s="13" t="s">
        <v>1213</v>
      </c>
      <c r="P555" s="13" t="s">
        <v>1712</v>
      </c>
      <c r="S555" s="7" t="e">
        <f ca="1">IF(_xludf.ifna(VLOOKUP(B555,Parámetros!#REF!,1,0),"")="","No","Sí")</f>
        <v>#NAME?</v>
      </c>
      <c r="T555" s="7" t="str">
        <f t="shared" si="18"/>
        <v>No normativo</v>
      </c>
      <c r="U555" s="4" t="s">
        <v>1542</v>
      </c>
      <c r="V555" s="4" t="s">
        <v>39</v>
      </c>
      <c r="W555" s="4" t="s">
        <v>300</v>
      </c>
      <c r="X555" s="4" t="s">
        <v>301</v>
      </c>
      <c r="Y555" s="4" t="s">
        <v>302</v>
      </c>
      <c r="Z555" s="4">
        <v>0</v>
      </c>
      <c r="AA555" s="4">
        <v>0</v>
      </c>
      <c r="AB555" s="4" t="s">
        <v>215</v>
      </c>
      <c r="AC555">
        <v>554</v>
      </c>
    </row>
    <row r="556" spans="1:29" ht="16.5" hidden="1" customHeight="1" x14ac:dyDescent="0.2">
      <c r="A556" s="6" t="str">
        <f t="shared" si="17"/>
        <v>SDATOOL-41737 $ Moneda Extranjera - Inclusión en SIGDOC</v>
      </c>
      <c r="B556" s="4" t="s">
        <v>2787</v>
      </c>
      <c r="C556" s="4" t="s">
        <v>2788</v>
      </c>
      <c r="D556" s="4" t="s">
        <v>763</v>
      </c>
      <c r="E556" s="4" t="s">
        <v>2789</v>
      </c>
      <c r="F556" s="4" t="s">
        <v>28</v>
      </c>
      <c r="G556" s="4" t="s">
        <v>185</v>
      </c>
      <c r="H556" s="4" t="s">
        <v>752</v>
      </c>
      <c r="I556" s="4" t="e">
        <v>#N/A</v>
      </c>
      <c r="J556" s="4" t="s">
        <v>204</v>
      </c>
      <c r="K556" s="4" t="s">
        <v>189</v>
      </c>
      <c r="L556" s="4" t="s">
        <v>394</v>
      </c>
      <c r="M556" s="4" t="s">
        <v>2790</v>
      </c>
      <c r="N556" s="4" t="s">
        <v>22</v>
      </c>
      <c r="O556" s="13" t="s">
        <v>617</v>
      </c>
      <c r="P556" s="13" t="s">
        <v>628</v>
      </c>
      <c r="Q556" s="13" t="s">
        <v>193</v>
      </c>
      <c r="S556" s="7" t="e">
        <f ca="1">IF(_xludf.ifna(VLOOKUP(B556,Parámetros!#REF!,1,0),"")="","No","Sí")</f>
        <v>#NAME?</v>
      </c>
      <c r="T556" s="7" t="str">
        <f t="shared" si="18"/>
        <v>No normativo</v>
      </c>
      <c r="U556" s="4" t="s">
        <v>1630</v>
      </c>
      <c r="V556" s="4" t="s">
        <v>39</v>
      </c>
      <c r="W556" s="4" t="s">
        <v>196</v>
      </c>
      <c r="X556" s="4" t="s">
        <v>328</v>
      </c>
      <c r="Y556" s="4" t="s">
        <v>2256</v>
      </c>
      <c r="Z556" s="4">
        <v>0</v>
      </c>
      <c r="AA556" s="4">
        <v>0</v>
      </c>
      <c r="AB556" s="4" t="s">
        <v>180</v>
      </c>
      <c r="AC556">
        <v>555</v>
      </c>
    </row>
    <row r="557" spans="1:29" ht="16.5" hidden="1" customHeight="1" x14ac:dyDescent="0.2">
      <c r="A557" s="6" t="str">
        <f t="shared" si="17"/>
        <v>SDATOOL-41739 $ PEACHTREE. Originación y administración digital de cartera y productos estructurados en Moneda Extranjera</v>
      </c>
      <c r="B557" s="4" t="s">
        <v>2791</v>
      </c>
      <c r="C557" s="4" t="s">
        <v>2792</v>
      </c>
      <c r="D557" s="4" t="s">
        <v>763</v>
      </c>
      <c r="E557" s="4" t="s">
        <v>2793</v>
      </c>
      <c r="F557" s="4" t="s">
        <v>28</v>
      </c>
      <c r="G557" s="4" t="s">
        <v>185</v>
      </c>
      <c r="H557" s="4" t="s">
        <v>752</v>
      </c>
      <c r="J557" s="4" t="s">
        <v>204</v>
      </c>
      <c r="K557" s="4" t="s">
        <v>189</v>
      </c>
      <c r="L557" s="4" t="s">
        <v>314</v>
      </c>
      <c r="M557" s="4" t="s">
        <v>2794</v>
      </c>
      <c r="N557" s="4" t="s">
        <v>22</v>
      </c>
      <c r="O557" s="13" t="s">
        <v>617</v>
      </c>
      <c r="P557" s="13" t="s">
        <v>628</v>
      </c>
      <c r="Q557" s="13" t="s">
        <v>193</v>
      </c>
      <c r="S557" s="7" t="e">
        <f ca="1">IF(_xludf.ifna(VLOOKUP(B557,Parámetros!#REF!,1,0),"")="","No","Sí")</f>
        <v>#NAME?</v>
      </c>
      <c r="T557" s="7" t="str">
        <f t="shared" si="18"/>
        <v>Normativo</v>
      </c>
      <c r="U557" s="4" t="s">
        <v>195</v>
      </c>
      <c r="V557" s="4" t="s">
        <v>39</v>
      </c>
      <c r="W557" s="4" t="s">
        <v>196</v>
      </c>
      <c r="X557" s="4" t="s">
        <v>197</v>
      </c>
      <c r="Y557" s="4" t="s">
        <v>688</v>
      </c>
      <c r="Z557" s="4">
        <v>0</v>
      </c>
      <c r="AA557" s="4">
        <v>0</v>
      </c>
      <c r="AB557" s="4" t="s">
        <v>215</v>
      </c>
      <c r="AC557">
        <v>556</v>
      </c>
    </row>
    <row r="558" spans="1:29" ht="16.5" hidden="1" customHeight="1" x14ac:dyDescent="0.2">
      <c r="A558" s="6" t="str">
        <f t="shared" si="17"/>
        <v>SDATOOL-41741 $ Cobro de seguro vida deudor en tarjeta de crédito en mora y con saldo vencido</v>
      </c>
      <c r="B558" s="4" t="s">
        <v>2795</v>
      </c>
      <c r="C558" s="4" t="s">
        <v>2796</v>
      </c>
      <c r="D558" s="4" t="s">
        <v>763</v>
      </c>
      <c r="E558" s="4" t="s">
        <v>2797</v>
      </c>
      <c r="F558" s="4" t="s">
        <v>28</v>
      </c>
      <c r="G558" s="4" t="s">
        <v>185</v>
      </c>
      <c r="H558" s="4" t="s">
        <v>752</v>
      </c>
      <c r="J558" s="4" t="s">
        <v>204</v>
      </c>
      <c r="K558" s="4" t="s">
        <v>189</v>
      </c>
      <c r="L558" s="4" t="s">
        <v>189</v>
      </c>
      <c r="M558" s="4" t="s">
        <v>2798</v>
      </c>
      <c r="N558" s="4" t="s">
        <v>29</v>
      </c>
      <c r="O558" s="13" t="s">
        <v>1213</v>
      </c>
      <c r="P558" s="13" t="s">
        <v>1712</v>
      </c>
      <c r="S558" s="7" t="e">
        <f ca="1">IF(_xludf.ifna(VLOOKUP(B558,Parámetros!#REF!,1,0),"")="","No","Sí")</f>
        <v>#NAME?</v>
      </c>
      <c r="T558" s="7" t="str">
        <f t="shared" si="18"/>
        <v>No normativo</v>
      </c>
      <c r="U558" s="4" t="s">
        <v>1542</v>
      </c>
      <c r="V558" s="4" t="s">
        <v>39</v>
      </c>
      <c r="W558" s="4" t="s">
        <v>300</v>
      </c>
      <c r="X558" s="4" t="s">
        <v>301</v>
      </c>
      <c r="Y558" s="4" t="s">
        <v>302</v>
      </c>
      <c r="Z558" s="4">
        <v>0</v>
      </c>
      <c r="AA558" s="4">
        <v>0</v>
      </c>
      <c r="AB558" s="4" t="s">
        <v>215</v>
      </c>
      <c r="AC558">
        <v>557</v>
      </c>
    </row>
    <row r="559" spans="1:29" ht="16.5" hidden="1" customHeight="1" x14ac:dyDescent="0.2">
      <c r="A559" s="6" t="str">
        <f t="shared" si="17"/>
        <v>SDATOOL-41743 $ Automatización de endosos</v>
      </c>
      <c r="B559" s="4" t="s">
        <v>2799</v>
      </c>
      <c r="C559" s="4" t="s">
        <v>2800</v>
      </c>
      <c r="D559" s="4" t="s">
        <v>763</v>
      </c>
      <c r="E559" s="4" t="s">
        <v>2801</v>
      </c>
      <c r="F559" s="4" t="s">
        <v>28</v>
      </c>
      <c r="G559" s="4" t="s">
        <v>185</v>
      </c>
      <c r="H559" s="4" t="s">
        <v>752</v>
      </c>
      <c r="J559" s="4" t="s">
        <v>204</v>
      </c>
      <c r="K559" s="4" t="s">
        <v>189</v>
      </c>
      <c r="L559" s="4" t="s">
        <v>2272</v>
      </c>
      <c r="M559" s="4" t="s">
        <v>2802</v>
      </c>
      <c r="N559" s="4" t="s">
        <v>29</v>
      </c>
      <c r="O559" s="13" t="s">
        <v>1213</v>
      </c>
      <c r="P559" s="13" t="s">
        <v>1712</v>
      </c>
      <c r="S559" s="7" t="e">
        <f ca="1">IF(_xludf.ifna(VLOOKUP(B559,Parámetros!#REF!,1,0),"")="","No","Sí")</f>
        <v>#NAME?</v>
      </c>
      <c r="T559" s="7" t="str">
        <f t="shared" si="18"/>
        <v>No normativo</v>
      </c>
      <c r="U559" s="4" t="s">
        <v>1542</v>
      </c>
      <c r="V559" s="4" t="s">
        <v>39</v>
      </c>
      <c r="W559" s="4" t="s">
        <v>300</v>
      </c>
      <c r="X559" s="4" t="s">
        <v>301</v>
      </c>
      <c r="Y559" s="4" t="s">
        <v>302</v>
      </c>
      <c r="Z559" s="4">
        <v>0</v>
      </c>
      <c r="AA559" s="4">
        <v>0</v>
      </c>
      <c r="AB559" s="4" t="s">
        <v>215</v>
      </c>
      <c r="AC559">
        <v>558</v>
      </c>
    </row>
    <row r="560" spans="1:29" ht="16.5" hidden="1" customHeight="1" x14ac:dyDescent="0.2">
      <c r="A560" s="6" t="str">
        <f t="shared" si="17"/>
        <v>SDATOOL-41748 $ Cuota Fija - Tasa Variable para créditos de Consumo y Vehículo</v>
      </c>
      <c r="B560" s="4" t="s">
        <v>2803</v>
      </c>
      <c r="C560" s="4" t="s">
        <v>2804</v>
      </c>
      <c r="D560" s="4" t="s">
        <v>183</v>
      </c>
      <c r="E560" s="4" t="s">
        <v>2805</v>
      </c>
      <c r="F560" s="4" t="s">
        <v>28</v>
      </c>
      <c r="G560" s="4" t="s">
        <v>185</v>
      </c>
      <c r="H560" s="4" t="s">
        <v>752</v>
      </c>
      <c r="I560" s="4" t="e">
        <v>#N/A</v>
      </c>
      <c r="J560" s="4" t="s">
        <v>431</v>
      </c>
      <c r="K560" s="4" t="s">
        <v>206</v>
      </c>
      <c r="L560" s="4" t="s">
        <v>314</v>
      </c>
      <c r="M560" s="4" t="s">
        <v>2806</v>
      </c>
      <c r="N560" s="4" t="s">
        <v>29</v>
      </c>
      <c r="O560" s="13" t="s">
        <v>2079</v>
      </c>
      <c r="P560" s="13" t="s">
        <v>677</v>
      </c>
      <c r="Q560" s="13" t="s">
        <v>580</v>
      </c>
      <c r="S560" s="7" t="e">
        <f ca="1">IF(_xludf.ifna(VLOOKUP(B560,Parámetros!#REF!,1,0),"")="","No","Sí")</f>
        <v>#NAME?</v>
      </c>
      <c r="T560" s="7" t="str">
        <f t="shared" si="18"/>
        <v>No normativo</v>
      </c>
      <c r="U560" s="4" t="s">
        <v>732</v>
      </c>
      <c r="V560" s="4" t="s">
        <v>39</v>
      </c>
      <c r="W560" s="4" t="s">
        <v>212</v>
      </c>
      <c r="X560" s="4" t="s">
        <v>213</v>
      </c>
      <c r="Y560" s="4" t="s">
        <v>814</v>
      </c>
      <c r="Z560" s="4">
        <v>0</v>
      </c>
      <c r="AA560" s="4">
        <v>0</v>
      </c>
      <c r="AB560" s="4" t="s">
        <v>180</v>
      </c>
      <c r="AC560">
        <v>559</v>
      </c>
    </row>
    <row r="561" spans="1:29" ht="16.5" hidden="1" customHeight="1" x14ac:dyDescent="0.2">
      <c r="A561" s="6" t="str">
        <f t="shared" si="17"/>
        <v>SDATOOL-41749 $ ONBOARDING DIGITAL DE EMPLEADOS</v>
      </c>
      <c r="B561" s="4" t="s">
        <v>2807</v>
      </c>
      <c r="C561" s="4" t="s">
        <v>2808</v>
      </c>
      <c r="D561" s="4" t="s">
        <v>763</v>
      </c>
      <c r="E561" s="4" t="s">
        <v>2809</v>
      </c>
      <c r="F561" s="4" t="s">
        <v>30</v>
      </c>
      <c r="G561" s="4" t="s">
        <v>185</v>
      </c>
      <c r="H561" s="4" t="s">
        <v>752</v>
      </c>
      <c r="I561" s="4" t="e">
        <v>#N/A</v>
      </c>
      <c r="K561" s="4" t="s">
        <v>189</v>
      </c>
      <c r="L561" s="4" t="s">
        <v>394</v>
      </c>
      <c r="M561" s="4" t="s">
        <v>2810</v>
      </c>
      <c r="N561" s="4" t="s">
        <v>15</v>
      </c>
      <c r="O561" s="13" t="s">
        <v>262</v>
      </c>
      <c r="P561" s="13" t="s">
        <v>263</v>
      </c>
      <c r="Q561" s="13" t="s">
        <v>336</v>
      </c>
      <c r="S561" s="7" t="e">
        <f ca="1">IF(_xludf.ifna(VLOOKUP(B561,Parámetros!#REF!,1,0),"")="","No","Sí")</f>
        <v>#NAME?</v>
      </c>
      <c r="T561" s="7" t="str">
        <f t="shared" si="18"/>
        <v>No normativo</v>
      </c>
      <c r="U561" s="4" t="s">
        <v>195</v>
      </c>
      <c r="V561" s="4" t="s">
        <v>39</v>
      </c>
      <c r="W561" s="4" t="s">
        <v>291</v>
      </c>
      <c r="X561" s="4" t="s">
        <v>292</v>
      </c>
      <c r="Y561" s="4" t="s">
        <v>1478</v>
      </c>
      <c r="Z561" s="4">
        <v>0</v>
      </c>
      <c r="AA561" s="4">
        <v>0</v>
      </c>
      <c r="AB561" s="4" t="s">
        <v>180</v>
      </c>
      <c r="AC561">
        <v>560</v>
      </c>
    </row>
    <row r="562" spans="1:29" ht="16.5" hidden="1" customHeight="1" x14ac:dyDescent="0.2">
      <c r="A562" s="6" t="str">
        <f t="shared" si="17"/>
        <v>SDATOOL-41750 $ Single APP</v>
      </c>
      <c r="B562" s="4" t="s">
        <v>2811</v>
      </c>
      <c r="C562" s="4" t="s">
        <v>2812</v>
      </c>
      <c r="D562" s="4" t="s">
        <v>183</v>
      </c>
      <c r="E562" s="4" t="s">
        <v>1600</v>
      </c>
      <c r="F562" s="4" t="s">
        <v>28</v>
      </c>
      <c r="G562" s="4" t="s">
        <v>185</v>
      </c>
      <c r="H562" s="4" t="s">
        <v>752</v>
      </c>
      <c r="J562" s="4" t="s">
        <v>204</v>
      </c>
      <c r="K562" s="4" t="s">
        <v>386</v>
      </c>
      <c r="L562" s="4" t="s">
        <v>394</v>
      </c>
      <c r="M562" s="4" t="s">
        <v>403</v>
      </c>
      <c r="N562" s="4" t="s">
        <v>51</v>
      </c>
      <c r="O562" s="13" t="s">
        <v>404</v>
      </c>
      <c r="P562" s="13" t="s">
        <v>834</v>
      </c>
      <c r="Q562" s="13" t="s">
        <v>434</v>
      </c>
      <c r="S562" s="7" t="e">
        <f ca="1">IF(_xludf.ifna(VLOOKUP(B562,Parámetros!#REF!,1,0),"")="","No","Sí")</f>
        <v>#NAME?</v>
      </c>
      <c r="T562" s="7" t="str">
        <f t="shared" si="18"/>
        <v>No normativo</v>
      </c>
      <c r="U562" s="4" t="s">
        <v>195</v>
      </c>
      <c r="V562" s="4" t="s">
        <v>39</v>
      </c>
      <c r="W562" s="4" t="s">
        <v>212</v>
      </c>
      <c r="X562" s="4" t="s">
        <v>407</v>
      </c>
      <c r="Y562" s="4" t="s">
        <v>408</v>
      </c>
      <c r="Z562" s="4">
        <v>0</v>
      </c>
      <c r="AA562" s="5">
        <v>960000000</v>
      </c>
      <c r="AB562" s="4" t="s">
        <v>215</v>
      </c>
      <c r="AC562">
        <v>561</v>
      </c>
    </row>
    <row r="563" spans="1:29" ht="16.5" customHeight="1" x14ac:dyDescent="0.2">
      <c r="A563" s="6" t="str">
        <f t="shared" si="17"/>
        <v>SDATOOL-41752 $ Consumo Openmk con Biometría Obligatoria por Nácar para desembolsar</v>
      </c>
      <c r="B563" s="4" t="s">
        <v>2813</v>
      </c>
      <c r="C563" s="4" t="s">
        <v>2814</v>
      </c>
      <c r="D563" s="4" t="s">
        <v>183</v>
      </c>
      <c r="E563" s="4" t="s">
        <v>2815</v>
      </c>
      <c r="F563" s="4" t="s">
        <v>28</v>
      </c>
      <c r="G563" s="4" t="s">
        <v>185</v>
      </c>
      <c r="H563" s="4" t="s">
        <v>186</v>
      </c>
      <c r="J563" s="4" t="s">
        <v>204</v>
      </c>
      <c r="K563" s="4" t="s">
        <v>206</v>
      </c>
      <c r="L563" s="4" t="s">
        <v>386</v>
      </c>
      <c r="M563" s="4" t="s">
        <v>2816</v>
      </c>
      <c r="N563" s="4" t="s">
        <v>29</v>
      </c>
      <c r="O563" s="13" t="s">
        <v>2079</v>
      </c>
      <c r="P563" s="13" t="s">
        <v>691</v>
      </c>
      <c r="Q563" s="13" t="s">
        <v>580</v>
      </c>
      <c r="S563" s="7" t="e">
        <f ca="1">IF(_xludf.ifna(VLOOKUP(B563,Parámetros!#REF!,1,0),"")="","No","Sí")</f>
        <v>#NAME?</v>
      </c>
      <c r="T563" s="7" t="str">
        <f t="shared" si="18"/>
        <v>No normativo</v>
      </c>
      <c r="U563" s="4" t="s">
        <v>732</v>
      </c>
      <c r="V563" s="4" t="s">
        <v>39</v>
      </c>
      <c r="W563" s="4" t="s">
        <v>233</v>
      </c>
      <c r="X563" s="4" t="s">
        <v>92</v>
      </c>
      <c r="Y563" s="4" t="s">
        <v>533</v>
      </c>
      <c r="Z563" s="4">
        <v>0</v>
      </c>
      <c r="AA563" s="5">
        <v>100000000</v>
      </c>
      <c r="AB563" s="4" t="s">
        <v>215</v>
      </c>
      <c r="AC563">
        <v>562</v>
      </c>
    </row>
    <row r="564" spans="1:29" ht="16.5" customHeight="1" x14ac:dyDescent="0.2">
      <c r="A564" s="6" t="str">
        <f t="shared" si="17"/>
        <v>SDATOOL-41754 $ Fixed income - Position Keeping GM</v>
      </c>
      <c r="B564" s="4" t="s">
        <v>2817</v>
      </c>
      <c r="C564" s="4" t="s">
        <v>2818</v>
      </c>
      <c r="D564" s="4" t="s">
        <v>763</v>
      </c>
      <c r="E564" s="4" t="s">
        <v>2819</v>
      </c>
      <c r="F564" s="4" t="s">
        <v>21</v>
      </c>
      <c r="G564" s="4" t="s">
        <v>185</v>
      </c>
      <c r="H564" s="4" t="s">
        <v>186</v>
      </c>
      <c r="K564" s="4" t="s">
        <v>386</v>
      </c>
      <c r="L564" s="4" t="s">
        <v>189</v>
      </c>
      <c r="M564" s="4" t="s">
        <v>2820</v>
      </c>
      <c r="N564" s="4" t="s">
        <v>44</v>
      </c>
      <c r="O564" s="13" t="s">
        <v>232</v>
      </c>
      <c r="P564" s="13" t="s">
        <v>232</v>
      </c>
      <c r="Q564" s="13" t="s">
        <v>193</v>
      </c>
      <c r="S564" s="7" t="e">
        <f ca="1">IF(_xludf.ifna(VLOOKUP(B564,Parámetros!#REF!,1,0),"")="","No","Sí")</f>
        <v>#NAME?</v>
      </c>
      <c r="T564" s="7" t="str">
        <f t="shared" si="18"/>
        <v>Normativo</v>
      </c>
      <c r="U564" s="4" t="s">
        <v>195</v>
      </c>
      <c r="V564" s="4" t="s">
        <v>39</v>
      </c>
      <c r="W564" s="4" t="s">
        <v>233</v>
      </c>
      <c r="X564" s="4" t="s">
        <v>234</v>
      </c>
      <c r="Y564" s="4" t="s">
        <v>235</v>
      </c>
      <c r="Z564" s="4">
        <v>0</v>
      </c>
      <c r="AA564" s="5">
        <v>178500000</v>
      </c>
      <c r="AB564" s="4" t="s">
        <v>215</v>
      </c>
      <c r="AC564">
        <v>563</v>
      </c>
    </row>
    <row r="565" spans="1:29" ht="16.5" hidden="1" customHeight="1" x14ac:dyDescent="0.2">
      <c r="A565" s="6" t="str">
        <f t="shared" si="17"/>
        <v>SDATOOL-41756 $ Implementacion Appsflyer</v>
      </c>
      <c r="B565" s="4" t="s">
        <v>2821</v>
      </c>
      <c r="C565" s="4" t="s">
        <v>2822</v>
      </c>
      <c r="D565" s="4" t="s">
        <v>183</v>
      </c>
      <c r="E565" s="4" t="s">
        <v>2823</v>
      </c>
      <c r="F565" s="4" t="s">
        <v>28</v>
      </c>
      <c r="G565" s="4" t="s">
        <v>185</v>
      </c>
      <c r="H565" s="4" t="s">
        <v>752</v>
      </c>
      <c r="J565" s="4" t="s">
        <v>204</v>
      </c>
      <c r="K565" s="4" t="s">
        <v>189</v>
      </c>
      <c r="L565" s="4" t="s">
        <v>189</v>
      </c>
      <c r="M565" s="4" t="s">
        <v>2824</v>
      </c>
      <c r="N565" s="4" t="s">
        <v>29</v>
      </c>
      <c r="O565" s="13" t="s">
        <v>2235</v>
      </c>
      <c r="Q565" s="13" t="s">
        <v>631</v>
      </c>
      <c r="S565" s="7" t="e">
        <f ca="1">IF(_xludf.ifna(VLOOKUP(B565,Parámetros!#REF!,1,0),"")="","No","Sí")</f>
        <v>#NAME?</v>
      </c>
      <c r="T565" s="7" t="str">
        <f t="shared" si="18"/>
        <v>No normativo</v>
      </c>
      <c r="U565" s="4" t="s">
        <v>195</v>
      </c>
      <c r="V565" s="4" t="s">
        <v>39</v>
      </c>
      <c r="W565" s="4" t="s">
        <v>233</v>
      </c>
      <c r="X565" s="4" t="s">
        <v>92</v>
      </c>
      <c r="Y565" s="4" t="s">
        <v>2149</v>
      </c>
      <c r="Z565" s="4">
        <v>0</v>
      </c>
      <c r="AA565" s="4">
        <v>0</v>
      </c>
      <c r="AB565" s="4" t="s">
        <v>215</v>
      </c>
      <c r="AC565">
        <v>564</v>
      </c>
    </row>
    <row r="566" spans="1:29" ht="16.5" customHeight="1" x14ac:dyDescent="0.2">
      <c r="A566" s="6" t="str">
        <f t="shared" si="17"/>
        <v>SDATOOL-41757 $ AJUSTE AUTOMATIZACION CONCILIACION ARA</v>
      </c>
      <c r="B566" s="4" t="s">
        <v>2825</v>
      </c>
      <c r="C566" s="4" t="s">
        <v>2826</v>
      </c>
      <c r="D566" s="4" t="s">
        <v>183</v>
      </c>
      <c r="E566" s="4" t="s">
        <v>2827</v>
      </c>
      <c r="F566" s="4" t="s">
        <v>28</v>
      </c>
      <c r="G566" s="4" t="s">
        <v>185</v>
      </c>
      <c r="H566" s="4" t="s">
        <v>186</v>
      </c>
      <c r="I566" s="4" t="e">
        <v>#N/A</v>
      </c>
      <c r="J566" s="4" t="s">
        <v>204</v>
      </c>
      <c r="K566" s="4" t="s">
        <v>206</v>
      </c>
      <c r="L566" s="4" t="s">
        <v>314</v>
      </c>
      <c r="M566" s="4" t="s">
        <v>2828</v>
      </c>
      <c r="N566" s="4" t="s">
        <v>36</v>
      </c>
      <c r="O566" s="13" t="s">
        <v>473</v>
      </c>
      <c r="P566" s="13" t="s">
        <v>637</v>
      </c>
      <c r="Q566" s="13" t="s">
        <v>555</v>
      </c>
      <c r="S566" s="7" t="e">
        <f ca="1">IF(_xludf.ifna(VLOOKUP(B566,Parámetros!#REF!,1,0),"")="","No","Sí")</f>
        <v>#NAME?</v>
      </c>
      <c r="T566" s="7" t="str">
        <f t="shared" si="18"/>
        <v>No normativo</v>
      </c>
      <c r="U566" s="4" t="s">
        <v>195</v>
      </c>
      <c r="V566" s="4" t="s">
        <v>39</v>
      </c>
      <c r="W566" s="4" t="s">
        <v>196</v>
      </c>
      <c r="X566" s="4" t="s">
        <v>246</v>
      </c>
      <c r="Y566" s="4" t="s">
        <v>1713</v>
      </c>
      <c r="Z566" s="4">
        <v>0</v>
      </c>
      <c r="AA566" s="5">
        <v>78682000</v>
      </c>
      <c r="AB566" s="4" t="s">
        <v>180</v>
      </c>
      <c r="AC566">
        <v>565</v>
      </c>
    </row>
    <row r="567" spans="1:29" ht="16.5" hidden="1" customHeight="1" x14ac:dyDescent="0.2">
      <c r="A567" s="6" t="str">
        <f t="shared" si="17"/>
        <v>SDATOOL-41759 $ Tips de prevención Ingeniería Social</v>
      </c>
      <c r="B567" s="4" t="s">
        <v>2829</v>
      </c>
      <c r="C567" s="4" t="s">
        <v>2830</v>
      </c>
      <c r="D567" s="4" t="s">
        <v>763</v>
      </c>
      <c r="E567" s="4" t="s">
        <v>2831</v>
      </c>
      <c r="F567" s="4" t="s">
        <v>43</v>
      </c>
      <c r="G567" s="4" t="s">
        <v>185</v>
      </c>
      <c r="H567" s="4" t="s">
        <v>752</v>
      </c>
      <c r="I567" s="4" t="e">
        <v>#N/A</v>
      </c>
      <c r="J567" s="4" t="s">
        <v>204</v>
      </c>
      <c r="K567" s="4" t="s">
        <v>189</v>
      </c>
      <c r="L567" s="4" t="s">
        <v>394</v>
      </c>
      <c r="M567" s="4" t="s">
        <v>2832</v>
      </c>
      <c r="N567" s="4" t="s">
        <v>15</v>
      </c>
      <c r="O567" s="13" t="s">
        <v>1437</v>
      </c>
      <c r="P567" s="13" t="s">
        <v>440</v>
      </c>
      <c r="Q567" s="13" t="s">
        <v>373</v>
      </c>
      <c r="R567" s="4" t="s">
        <v>2833</v>
      </c>
      <c r="S567" s="7" t="e">
        <f ca="1">IF(_xludf.ifna(VLOOKUP(B567,Parámetros!#REF!,1,0),"")="","No","Sí")</f>
        <v>#NAME?</v>
      </c>
      <c r="T567" s="7" t="str">
        <f t="shared" si="18"/>
        <v>No normativo</v>
      </c>
      <c r="U567" s="4" t="s">
        <v>195</v>
      </c>
      <c r="V567" s="4" t="s">
        <v>39</v>
      </c>
      <c r="W567" s="4" t="s">
        <v>212</v>
      </c>
      <c r="X567" s="4" t="s">
        <v>375</v>
      </c>
      <c r="Y567" s="4" t="s">
        <v>443</v>
      </c>
      <c r="Z567" s="4">
        <v>0</v>
      </c>
      <c r="AA567" s="4">
        <v>0</v>
      </c>
      <c r="AB567" s="4" t="s">
        <v>180</v>
      </c>
      <c r="AC567">
        <v>566</v>
      </c>
    </row>
    <row r="568" spans="1:29" ht="16.5" customHeight="1" x14ac:dyDescent="0.2">
      <c r="A568" s="6" t="str">
        <f t="shared" si="17"/>
        <v>SDATOOL-41760 $ Homologación Holding Uptime ATM's</v>
      </c>
      <c r="B568" s="4" t="s">
        <v>2834</v>
      </c>
      <c r="C568" s="4" t="s">
        <v>2835</v>
      </c>
      <c r="D568" s="4" t="s">
        <v>183</v>
      </c>
      <c r="E568" s="4" t="s">
        <v>2836</v>
      </c>
      <c r="F568" s="4" t="s">
        <v>43</v>
      </c>
      <c r="G568" s="4" t="s">
        <v>185</v>
      </c>
      <c r="H568" s="4" t="s">
        <v>186</v>
      </c>
      <c r="I568" s="4" t="e">
        <v>#N/A</v>
      </c>
      <c r="J568" s="4" t="s">
        <v>204</v>
      </c>
      <c r="K568" s="4" t="s">
        <v>206</v>
      </c>
      <c r="L568" s="4" t="s">
        <v>189</v>
      </c>
      <c r="M568" s="4" t="s">
        <v>2837</v>
      </c>
      <c r="N568" s="4" t="s">
        <v>15</v>
      </c>
      <c r="O568" s="13" t="s">
        <v>2838</v>
      </c>
      <c r="P568" s="13" t="s">
        <v>2838</v>
      </c>
      <c r="Q568" s="13" t="s">
        <v>2839</v>
      </c>
      <c r="S568" s="7" t="e">
        <f ca="1">IF(_xludf.ifna(VLOOKUP(B568,Parámetros!#REF!,1,0),"")="","No","Sí")</f>
        <v>#NAME?</v>
      </c>
      <c r="T568" s="7" t="str">
        <f t="shared" si="18"/>
        <v>Normativo</v>
      </c>
      <c r="U568" s="4" t="s">
        <v>195</v>
      </c>
      <c r="V568" s="4" t="s">
        <v>39</v>
      </c>
      <c r="W568" s="4" t="s">
        <v>212</v>
      </c>
      <c r="X568" s="4" t="s">
        <v>213</v>
      </c>
      <c r="Y568" s="4" t="s">
        <v>967</v>
      </c>
      <c r="Z568" s="4">
        <v>0</v>
      </c>
      <c r="AA568" s="5">
        <v>145000000</v>
      </c>
      <c r="AB568" s="4" t="s">
        <v>180</v>
      </c>
      <c r="AC568">
        <v>567</v>
      </c>
    </row>
    <row r="569" spans="1:29" ht="16.5" hidden="1" customHeight="1" x14ac:dyDescent="0.2">
      <c r="A569" s="6" t="str">
        <f t="shared" si="17"/>
        <v>SDATOOL-41763 $ Bonificación portafolio - domiciliación nómina</v>
      </c>
      <c r="B569" s="4" t="s">
        <v>2840</v>
      </c>
      <c r="C569" s="4" t="s">
        <v>2841</v>
      </c>
      <c r="D569" s="4" t="s">
        <v>763</v>
      </c>
      <c r="E569" s="4" t="s">
        <v>2842</v>
      </c>
      <c r="F569" s="4" t="s">
        <v>28</v>
      </c>
      <c r="G569" s="4" t="s">
        <v>185</v>
      </c>
      <c r="H569" s="4" t="s">
        <v>752</v>
      </c>
      <c r="J569" s="4" t="s">
        <v>204</v>
      </c>
      <c r="K569" s="4" t="s">
        <v>206</v>
      </c>
      <c r="L569" s="4" t="s">
        <v>386</v>
      </c>
      <c r="M569" s="4" t="s">
        <v>2843</v>
      </c>
      <c r="N569" s="4" t="s">
        <v>29</v>
      </c>
      <c r="O569" s="13" t="s">
        <v>2496</v>
      </c>
      <c r="Q569" s="13" t="s">
        <v>580</v>
      </c>
      <c r="R569" s="4" t="s">
        <v>2844</v>
      </c>
      <c r="S569" s="7" t="e">
        <f ca="1">IF(_xludf.ifna(VLOOKUP(B569,Parámetros!#REF!,1,0),"")="","No","Sí")</f>
        <v>#NAME?</v>
      </c>
      <c r="T569" s="7" t="str">
        <f t="shared" si="18"/>
        <v>Normativo</v>
      </c>
      <c r="U569" s="4" t="s">
        <v>195</v>
      </c>
      <c r="V569" s="4" t="s">
        <v>39</v>
      </c>
      <c r="W569" s="4" t="s">
        <v>300</v>
      </c>
      <c r="X569" s="4" t="s">
        <v>301</v>
      </c>
      <c r="Y569" s="4" t="s">
        <v>302</v>
      </c>
      <c r="Z569" s="4">
        <v>0</v>
      </c>
      <c r="AA569" s="4">
        <v>0</v>
      </c>
      <c r="AB569" s="4" t="s">
        <v>215</v>
      </c>
      <c r="AC569">
        <v>568</v>
      </c>
    </row>
    <row r="570" spans="1:29" ht="16.5" hidden="1" customHeight="1" x14ac:dyDescent="0.2">
      <c r="A570" s="6" t="str">
        <f t="shared" si="17"/>
        <v>SDATOOL-41766 $ DUALIDAD CUENTAS AFC NÁCAR HOST Y CANALES DIGITALES</v>
      </c>
      <c r="B570" s="4" t="s">
        <v>2845</v>
      </c>
      <c r="C570" s="4" t="s">
        <v>2846</v>
      </c>
      <c r="D570" s="4" t="s">
        <v>763</v>
      </c>
      <c r="E570" s="4" t="s">
        <v>2847</v>
      </c>
      <c r="F570" s="4" t="s">
        <v>28</v>
      </c>
      <c r="G570" s="4" t="s">
        <v>185</v>
      </c>
      <c r="H570" s="4" t="s">
        <v>752</v>
      </c>
      <c r="I570" s="4" t="e">
        <v>#N/A</v>
      </c>
      <c r="J570" s="4" t="s">
        <v>204</v>
      </c>
      <c r="K570" s="4" t="s">
        <v>189</v>
      </c>
      <c r="L570" s="4" t="s">
        <v>189</v>
      </c>
      <c r="M570" s="4" t="s">
        <v>2848</v>
      </c>
      <c r="N570" s="4" t="s">
        <v>29</v>
      </c>
      <c r="O570" s="13" t="s">
        <v>1801</v>
      </c>
      <c r="P570" s="13" t="s">
        <v>911</v>
      </c>
      <c r="Q570" s="13" t="s">
        <v>697</v>
      </c>
      <c r="S570" s="7" t="e">
        <f ca="1">IF(_xludf.ifna(VLOOKUP(B570,Parámetros!#REF!,1,0),"")="","No","Sí")</f>
        <v>#NAME?</v>
      </c>
      <c r="T570" s="7" t="str">
        <f t="shared" si="18"/>
        <v>No normativo</v>
      </c>
      <c r="U570" s="4" t="s">
        <v>1842</v>
      </c>
      <c r="V570" s="4" t="s">
        <v>39</v>
      </c>
      <c r="W570" s="4" t="s">
        <v>196</v>
      </c>
      <c r="X570" s="4" t="s">
        <v>328</v>
      </c>
      <c r="Y570" s="4" t="s">
        <v>1379</v>
      </c>
      <c r="Z570" s="4">
        <v>0</v>
      </c>
      <c r="AA570" s="4">
        <v>0</v>
      </c>
      <c r="AB570" s="4" t="s">
        <v>180</v>
      </c>
      <c r="AC570">
        <v>569</v>
      </c>
    </row>
    <row r="571" spans="1:29" ht="16.5" hidden="1" customHeight="1" x14ac:dyDescent="0.2">
      <c r="A571" s="6" t="str">
        <f t="shared" si="17"/>
        <v>SDATOOL-41767 $ Informe Preliminar Declaración de renta Clientes</v>
      </c>
      <c r="B571" s="4" t="s">
        <v>2849</v>
      </c>
      <c r="C571" s="4" t="s">
        <v>2850</v>
      </c>
      <c r="D571" s="4" t="s">
        <v>183</v>
      </c>
      <c r="E571" s="4" t="s">
        <v>2851</v>
      </c>
      <c r="F571" s="4" t="s">
        <v>28</v>
      </c>
      <c r="G571" s="4" t="s">
        <v>185</v>
      </c>
      <c r="H571" s="4" t="s">
        <v>752</v>
      </c>
      <c r="J571" s="4" t="s">
        <v>204</v>
      </c>
      <c r="K571" s="4" t="s">
        <v>206</v>
      </c>
      <c r="L571" s="4" t="s">
        <v>386</v>
      </c>
      <c r="M571" s="4" t="s">
        <v>2852</v>
      </c>
      <c r="N571" s="4" t="s">
        <v>22</v>
      </c>
      <c r="O571" s="13" t="s">
        <v>1659</v>
      </c>
      <c r="P571" s="13" t="s">
        <v>1660</v>
      </c>
      <c r="Q571" s="13" t="s">
        <v>1661</v>
      </c>
      <c r="S571" s="7" t="e">
        <f ca="1">IF(_xludf.ifna(VLOOKUP(B571,Parámetros!#REF!,1,0),"")="","No","Sí")</f>
        <v>#NAME?</v>
      </c>
      <c r="T571" s="7" t="str">
        <f t="shared" si="18"/>
        <v>Normativo</v>
      </c>
      <c r="U571" s="4" t="s">
        <v>195</v>
      </c>
      <c r="V571" s="4" t="s">
        <v>39</v>
      </c>
      <c r="W571" s="4" t="s">
        <v>300</v>
      </c>
      <c r="X571" s="4" t="s">
        <v>301</v>
      </c>
      <c r="Y571" s="4" t="s">
        <v>755</v>
      </c>
      <c r="Z571" s="4">
        <v>0</v>
      </c>
      <c r="AA571" s="4">
        <v>0</v>
      </c>
      <c r="AB571" s="4" t="s">
        <v>215</v>
      </c>
      <c r="AC571">
        <v>570</v>
      </c>
    </row>
    <row r="572" spans="1:29" ht="16.5" hidden="1" customHeight="1" x14ac:dyDescent="0.2">
      <c r="A572" s="6" t="str">
        <f t="shared" si="17"/>
        <v>SDATOOL-41781 $ Apertura de oficinas de la red comercial 2023</v>
      </c>
      <c r="B572" s="4" t="s">
        <v>2853</v>
      </c>
      <c r="C572" s="4" t="s">
        <v>2854</v>
      </c>
      <c r="D572" s="4" t="s">
        <v>183</v>
      </c>
      <c r="E572" s="4" t="s">
        <v>2855</v>
      </c>
      <c r="F572" s="4" t="s">
        <v>35</v>
      </c>
      <c r="G572" s="4" t="s">
        <v>185</v>
      </c>
      <c r="H572" s="4" t="s">
        <v>203</v>
      </c>
      <c r="J572" s="4" t="s">
        <v>187</v>
      </c>
      <c r="K572" s="4" t="s">
        <v>770</v>
      </c>
      <c r="L572" s="4" t="s">
        <v>206</v>
      </c>
      <c r="M572" s="4" t="s">
        <v>2856</v>
      </c>
      <c r="N572" s="4" t="s">
        <v>36</v>
      </c>
      <c r="O572" s="13" t="s">
        <v>412</v>
      </c>
      <c r="P572" s="13" t="s">
        <v>650</v>
      </c>
      <c r="Q572" s="13" t="s">
        <v>2546</v>
      </c>
      <c r="S572" s="7" t="e">
        <f ca="1">IF(_xludf.ifna(VLOOKUP(B572,Parámetros!#REF!,1,0),"")="","No","Sí")</f>
        <v>#NAME?</v>
      </c>
      <c r="T572" s="7" t="str">
        <f t="shared" si="18"/>
        <v>Normativo</v>
      </c>
      <c r="U572" s="4" t="s">
        <v>195</v>
      </c>
      <c r="V572" s="4" t="s">
        <v>39</v>
      </c>
      <c r="W572" s="4" t="s">
        <v>196</v>
      </c>
      <c r="X572" s="4" t="s">
        <v>426</v>
      </c>
      <c r="Y572" s="4" t="s">
        <v>427</v>
      </c>
      <c r="Z572" s="4">
        <v>0</v>
      </c>
      <c r="AA572" s="4">
        <v>0</v>
      </c>
      <c r="AB572" s="4" t="s">
        <v>215</v>
      </c>
      <c r="AC572">
        <v>571</v>
      </c>
    </row>
    <row r="573" spans="1:29" ht="16.5" hidden="1" customHeight="1" x14ac:dyDescent="0.2">
      <c r="A573" s="6" t="str">
        <f t="shared" si="17"/>
        <v>SDATOOL-41787 $ GRM Col - CDD Risk</v>
      </c>
      <c r="B573" s="4" t="s">
        <v>2857</v>
      </c>
      <c r="C573" s="4" t="s">
        <v>2858</v>
      </c>
      <c r="D573" s="4" t="s">
        <v>183</v>
      </c>
      <c r="E573" s="4" t="s">
        <v>2859</v>
      </c>
      <c r="F573" s="4" t="s">
        <v>56</v>
      </c>
      <c r="G573" s="4" t="s">
        <v>185</v>
      </c>
      <c r="H573" s="4" t="s">
        <v>752</v>
      </c>
      <c r="J573" s="4" t="s">
        <v>431</v>
      </c>
      <c r="K573" s="4" t="s">
        <v>386</v>
      </c>
      <c r="L573" s="4" t="s">
        <v>729</v>
      </c>
      <c r="M573" s="4" t="s">
        <v>2860</v>
      </c>
      <c r="N573" s="4" t="s">
        <v>36</v>
      </c>
      <c r="O573" s="13" t="s">
        <v>208</v>
      </c>
      <c r="P573" s="13" t="s">
        <v>590</v>
      </c>
      <c r="Q573" s="13" t="s">
        <v>222</v>
      </c>
      <c r="S573" s="7" t="e">
        <f ca="1">IF(_xludf.ifna(VLOOKUP(B573,Parámetros!#REF!,1,0),"")="","No","Sí")</f>
        <v>#NAME?</v>
      </c>
      <c r="T573" s="7" t="str">
        <f t="shared" si="18"/>
        <v>Normativo</v>
      </c>
      <c r="U573" s="4" t="s">
        <v>195</v>
      </c>
      <c r="V573" s="4" t="s">
        <v>39</v>
      </c>
      <c r="W573" s="4" t="s">
        <v>212</v>
      </c>
      <c r="X573" s="4" t="s">
        <v>213</v>
      </c>
      <c r="Y573" s="4" t="s">
        <v>814</v>
      </c>
      <c r="Z573" s="4">
        <v>0</v>
      </c>
      <c r="AA573" s="5">
        <v>48000000</v>
      </c>
      <c r="AB573" s="4" t="s">
        <v>180</v>
      </c>
      <c r="AC573">
        <v>572</v>
      </c>
    </row>
    <row r="574" spans="1:29" ht="16.5" hidden="1" customHeight="1" x14ac:dyDescent="0.2">
      <c r="A574" s="6" t="str">
        <f t="shared" si="17"/>
        <v>SDATOOL-41788 $ Formato MT940 y MT 901-clientes</v>
      </c>
      <c r="B574" s="4" t="s">
        <v>2861</v>
      </c>
      <c r="C574" s="4" t="s">
        <v>2862</v>
      </c>
      <c r="D574" s="4" t="s">
        <v>763</v>
      </c>
      <c r="E574" s="4" t="s">
        <v>2863</v>
      </c>
      <c r="F574" s="4" t="s">
        <v>28</v>
      </c>
      <c r="G574" s="4" t="s">
        <v>185</v>
      </c>
      <c r="H574" s="4" t="s">
        <v>752</v>
      </c>
      <c r="J574" s="4" t="s">
        <v>204</v>
      </c>
      <c r="K574" s="4" t="s">
        <v>206</v>
      </c>
      <c r="L574" s="4" t="s">
        <v>386</v>
      </c>
      <c r="M574" s="4" t="s">
        <v>2864</v>
      </c>
      <c r="N574" s="4" t="s">
        <v>22</v>
      </c>
      <c r="O574" s="13" t="s">
        <v>1659</v>
      </c>
      <c r="P574" s="13" t="s">
        <v>2865</v>
      </c>
      <c r="Q574" s="13" t="s">
        <v>1661</v>
      </c>
      <c r="S574" s="7" t="e">
        <f ca="1">IF(_xludf.ifna(VLOOKUP(B574,Parámetros!#REF!,1,0),"")="","No","Sí")</f>
        <v>#NAME?</v>
      </c>
      <c r="T574" s="7" t="str">
        <f t="shared" si="18"/>
        <v>No normativo</v>
      </c>
      <c r="U574" s="4" t="s">
        <v>732</v>
      </c>
      <c r="V574" s="4" t="s">
        <v>1662</v>
      </c>
      <c r="W574" s="4" t="s">
        <v>300</v>
      </c>
      <c r="X574" s="4" t="s">
        <v>301</v>
      </c>
      <c r="Y574" s="4" t="s">
        <v>302</v>
      </c>
      <c r="Z574" s="4">
        <v>0</v>
      </c>
      <c r="AA574" s="4">
        <v>0</v>
      </c>
      <c r="AB574" s="4" t="s">
        <v>215</v>
      </c>
      <c r="AC574">
        <v>573</v>
      </c>
    </row>
    <row r="575" spans="1:29" ht="16.5" hidden="1" customHeight="1" x14ac:dyDescent="0.2">
      <c r="A575" s="6" t="str">
        <f t="shared" si="17"/>
        <v>SDATOOL-41790 $ Rentabilidades en la WEB-FIC</v>
      </c>
      <c r="B575" s="4" t="s">
        <v>2866</v>
      </c>
      <c r="C575" s="4" t="s">
        <v>2867</v>
      </c>
      <c r="D575" s="4" t="s">
        <v>183</v>
      </c>
      <c r="E575" s="4" t="s">
        <v>2868</v>
      </c>
      <c r="F575" s="4" t="s">
        <v>28</v>
      </c>
      <c r="G575" s="4" t="s">
        <v>185</v>
      </c>
      <c r="H575" s="4" t="s">
        <v>752</v>
      </c>
      <c r="J575" s="4" t="s">
        <v>204</v>
      </c>
      <c r="K575" s="4" t="s">
        <v>206</v>
      </c>
      <c r="L575" s="4" t="s">
        <v>386</v>
      </c>
      <c r="M575" s="4" t="s">
        <v>2869</v>
      </c>
      <c r="N575" s="4" t="s">
        <v>44</v>
      </c>
      <c r="O575" s="13" t="s">
        <v>1659</v>
      </c>
      <c r="P575" s="13" t="s">
        <v>2583</v>
      </c>
      <c r="Q575" s="13" t="s">
        <v>1661</v>
      </c>
      <c r="S575" s="7" t="e">
        <f ca="1">IF(_xludf.ifna(VLOOKUP(B575,Parámetros!#REF!,1,0),"")="","No","Sí")</f>
        <v>#NAME?</v>
      </c>
      <c r="T575" s="7" t="str">
        <f t="shared" si="18"/>
        <v>No normativo</v>
      </c>
      <c r="U575" s="4" t="s">
        <v>224</v>
      </c>
      <c r="V575" s="4" t="s">
        <v>1662</v>
      </c>
      <c r="W575" s="4" t="s">
        <v>300</v>
      </c>
      <c r="X575" s="4" t="s">
        <v>301</v>
      </c>
      <c r="Y575" s="4" t="s">
        <v>302</v>
      </c>
      <c r="Z575" s="4">
        <v>0</v>
      </c>
      <c r="AA575" s="4">
        <v>0</v>
      </c>
      <c r="AB575" s="4" t="s">
        <v>215</v>
      </c>
      <c r="AC575">
        <v>574</v>
      </c>
    </row>
    <row r="576" spans="1:29" ht="16.5" hidden="1" customHeight="1" x14ac:dyDescent="0.2">
      <c r="A576" s="6" t="str">
        <f t="shared" si="17"/>
        <v>SDATOOL-41797 $ Optimización Cuenta en línea Web</v>
      </c>
      <c r="B576" s="4" t="s">
        <v>2870</v>
      </c>
      <c r="C576" s="4" t="s">
        <v>2871</v>
      </c>
      <c r="D576" s="4" t="s">
        <v>763</v>
      </c>
      <c r="E576" s="4" t="s">
        <v>2872</v>
      </c>
      <c r="F576" s="4" t="s">
        <v>28</v>
      </c>
      <c r="G576" s="4" t="s">
        <v>185</v>
      </c>
      <c r="H576" s="4" t="s">
        <v>752</v>
      </c>
      <c r="I576" s="4" t="e">
        <v>#N/A</v>
      </c>
      <c r="J576" s="4" t="s">
        <v>204</v>
      </c>
      <c r="K576" s="4" t="s">
        <v>206</v>
      </c>
      <c r="L576" s="4" t="s">
        <v>394</v>
      </c>
      <c r="M576" s="4" t="s">
        <v>2872</v>
      </c>
      <c r="N576" s="4" t="s">
        <v>29</v>
      </c>
      <c r="O576" s="13" t="s">
        <v>530</v>
      </c>
      <c r="P576" s="13" t="s">
        <v>2873</v>
      </c>
      <c r="Q576" s="13" t="s">
        <v>697</v>
      </c>
      <c r="S576" s="7" t="e">
        <f ca="1">IF(_xludf.ifna(VLOOKUP(B576,Parámetros!#REF!,1,0),"")="","No","Sí")</f>
        <v>#NAME?</v>
      </c>
      <c r="T576" s="7" t="str">
        <f t="shared" si="18"/>
        <v>No normativo</v>
      </c>
      <c r="U576" s="4" t="s">
        <v>195</v>
      </c>
      <c r="V576" s="4" t="s">
        <v>39</v>
      </c>
      <c r="W576" s="4" t="s">
        <v>233</v>
      </c>
      <c r="X576" s="4" t="s">
        <v>92</v>
      </c>
      <c r="Y576" s="4" t="s">
        <v>533</v>
      </c>
      <c r="Z576" s="4">
        <v>0</v>
      </c>
      <c r="AA576" s="5">
        <v>300000000</v>
      </c>
      <c r="AB576" s="4" t="s">
        <v>180</v>
      </c>
      <c r="AC576">
        <v>575</v>
      </c>
    </row>
    <row r="577" spans="1:29" ht="16.5" customHeight="1" x14ac:dyDescent="0.2">
      <c r="A577" s="6" t="str">
        <f t="shared" si="17"/>
        <v>SDATOOL-41839 $ POSTULACIÓN DE GENERACIÓN NUEVOS EMPLEOS</v>
      </c>
      <c r="B577" s="4" t="s">
        <v>2874</v>
      </c>
      <c r="C577" s="4" t="s">
        <v>2875</v>
      </c>
      <c r="D577" s="4" t="s">
        <v>183</v>
      </c>
      <c r="E577" s="4" t="s">
        <v>2876</v>
      </c>
      <c r="F577" s="4" t="s">
        <v>28</v>
      </c>
      <c r="G577" s="4" t="s">
        <v>185</v>
      </c>
      <c r="H577" s="4" t="s">
        <v>186</v>
      </c>
      <c r="J577" s="4" t="s">
        <v>204</v>
      </c>
      <c r="K577" s="4" t="s">
        <v>386</v>
      </c>
      <c r="L577" s="4" t="s">
        <v>314</v>
      </c>
      <c r="M577" s="4" t="s">
        <v>2877</v>
      </c>
      <c r="N577" s="4" t="s">
        <v>51</v>
      </c>
      <c r="O577" s="13" t="s">
        <v>573</v>
      </c>
      <c r="P577" s="13" t="s">
        <v>911</v>
      </c>
      <c r="Q577" s="13" t="s">
        <v>2878</v>
      </c>
      <c r="S577" s="7" t="e">
        <f ca="1">IF(_xludf.ifna(VLOOKUP(B577,Parámetros!#REF!,1,0),"")="","No","Sí")</f>
        <v>#NAME?</v>
      </c>
      <c r="T577" s="7" t="str">
        <f t="shared" si="18"/>
        <v>No normativo</v>
      </c>
      <c r="U577" s="4" t="s">
        <v>224</v>
      </c>
      <c r="V577" s="4" t="s">
        <v>39</v>
      </c>
      <c r="W577" s="4" t="s">
        <v>196</v>
      </c>
      <c r="X577" s="4" t="s">
        <v>246</v>
      </c>
      <c r="Y577" s="4" t="s">
        <v>1713</v>
      </c>
      <c r="Z577" s="4">
        <v>0</v>
      </c>
      <c r="AA577" s="5">
        <v>134027520</v>
      </c>
      <c r="AB577" s="4" t="s">
        <v>180</v>
      </c>
      <c r="AC577">
        <v>576</v>
      </c>
    </row>
    <row r="578" spans="1:29" ht="16.5" customHeight="1" x14ac:dyDescent="0.2">
      <c r="A578" s="6" t="str">
        <f t="shared" si="17"/>
        <v>SDATOOL-41840 $ Implementación y Optimización Gobierno SQL</v>
      </c>
      <c r="B578" s="4" t="s">
        <v>2879</v>
      </c>
      <c r="C578" s="4" t="s">
        <v>2880</v>
      </c>
      <c r="D578" s="4" t="s">
        <v>763</v>
      </c>
      <c r="E578" s="4" t="s">
        <v>2881</v>
      </c>
      <c r="F578" s="4" t="s">
        <v>50</v>
      </c>
      <c r="G578" s="4" t="s">
        <v>185</v>
      </c>
      <c r="H578" s="4" t="s">
        <v>186</v>
      </c>
      <c r="I578" s="4" t="s">
        <v>752</v>
      </c>
      <c r="K578" s="4" t="s">
        <v>386</v>
      </c>
      <c r="L578" s="4" t="s">
        <v>314</v>
      </c>
      <c r="M578" s="4" t="s">
        <v>2881</v>
      </c>
      <c r="N578" s="4" t="s">
        <v>15</v>
      </c>
      <c r="O578" s="13" t="s">
        <v>2882</v>
      </c>
      <c r="P578" s="13" t="s">
        <v>279</v>
      </c>
      <c r="Q578" s="13" t="s">
        <v>1818</v>
      </c>
      <c r="S578" s="7" t="e">
        <f ca="1">IF(_xludf.ifna(VLOOKUP(B578,Parámetros!#REF!,1,0),"")="","No","Sí")</f>
        <v>#NAME?</v>
      </c>
      <c r="T578" s="7" t="str">
        <f t="shared" si="18"/>
        <v>No normativo</v>
      </c>
      <c r="U578" s="4" t="s">
        <v>1542</v>
      </c>
      <c r="V578" s="4" t="s">
        <v>39</v>
      </c>
      <c r="W578" s="4" t="s">
        <v>196</v>
      </c>
      <c r="X578" s="4" t="s">
        <v>246</v>
      </c>
      <c r="Y578" s="4" t="s">
        <v>265</v>
      </c>
      <c r="Z578" s="4">
        <v>0</v>
      </c>
      <c r="AA578" s="5">
        <v>235000000</v>
      </c>
      <c r="AB578" s="4" t="s">
        <v>180</v>
      </c>
      <c r="AC578">
        <v>577</v>
      </c>
    </row>
    <row r="579" spans="1:29" ht="16.5" hidden="1" customHeight="1" x14ac:dyDescent="0.2">
      <c r="A579" s="6" t="str">
        <f t="shared" ref="A579:A642" si="19">B579&amp;" $ "&amp;C579</f>
        <v>SDATOOL-41846 $ Almacenamiento Información Fiscalizaciones Precios de transferencia</v>
      </c>
      <c r="B579" s="4" t="s">
        <v>2883</v>
      </c>
      <c r="C579" s="4" t="s">
        <v>2884</v>
      </c>
      <c r="D579" s="4" t="s">
        <v>183</v>
      </c>
      <c r="E579" s="4" t="s">
        <v>2885</v>
      </c>
      <c r="F579" s="4" t="s">
        <v>50</v>
      </c>
      <c r="G579" s="4" t="s">
        <v>185</v>
      </c>
      <c r="H579" s="4" t="s">
        <v>752</v>
      </c>
      <c r="J579" s="4" t="s">
        <v>204</v>
      </c>
      <c r="K579" s="4" t="s">
        <v>962</v>
      </c>
      <c r="L579" s="4" t="s">
        <v>206</v>
      </c>
      <c r="M579" s="4" t="s">
        <v>2886</v>
      </c>
      <c r="N579" s="4" t="s">
        <v>15</v>
      </c>
      <c r="O579" s="13" t="s">
        <v>2887</v>
      </c>
      <c r="P579" s="13" t="s">
        <v>455</v>
      </c>
      <c r="Q579" s="13" t="s">
        <v>318</v>
      </c>
      <c r="S579" s="7" t="e">
        <f ca="1">IF(_xludf.ifna(VLOOKUP(B579,Parámetros!#REF!,1,0),"")="","No","Sí")</f>
        <v>#NAME?</v>
      </c>
      <c r="T579" s="7" t="str">
        <f t="shared" ref="T579:T642" si="20">IF(U585="None","No normativo","Normativo")</f>
        <v>No normativo</v>
      </c>
      <c r="U579" s="4" t="s">
        <v>732</v>
      </c>
      <c r="V579" s="4" t="s">
        <v>39</v>
      </c>
      <c r="W579" s="4" t="s">
        <v>196</v>
      </c>
      <c r="X579" s="4" t="s">
        <v>225</v>
      </c>
      <c r="Y579" s="4" t="s">
        <v>226</v>
      </c>
      <c r="Z579" s="4">
        <v>0</v>
      </c>
      <c r="AA579" s="4">
        <v>0</v>
      </c>
      <c r="AB579" s="4" t="s">
        <v>215</v>
      </c>
      <c r="AC579">
        <v>578</v>
      </c>
    </row>
    <row r="580" spans="1:29" ht="16.5" customHeight="1" x14ac:dyDescent="0.2">
      <c r="A580" s="6" t="str">
        <f t="shared" si="19"/>
        <v>SDATOOL-41849 $ Traslado de oficina Telefónica 2023</v>
      </c>
      <c r="B580" s="4" t="s">
        <v>2888</v>
      </c>
      <c r="C580" s="4" t="s">
        <v>2889</v>
      </c>
      <c r="D580" s="4" t="s">
        <v>183</v>
      </c>
      <c r="E580" s="4" t="s">
        <v>2890</v>
      </c>
      <c r="F580" s="4" t="s">
        <v>35</v>
      </c>
      <c r="G580" s="4" t="s">
        <v>185</v>
      </c>
      <c r="H580" s="4" t="s">
        <v>186</v>
      </c>
      <c r="J580" s="4" t="s">
        <v>187</v>
      </c>
      <c r="K580" s="4" t="s">
        <v>386</v>
      </c>
      <c r="L580" s="4" t="s">
        <v>394</v>
      </c>
      <c r="M580" s="4" t="s">
        <v>2891</v>
      </c>
      <c r="N580" s="4" t="s">
        <v>36</v>
      </c>
      <c r="O580" s="13" t="s">
        <v>412</v>
      </c>
      <c r="P580" s="13" t="s">
        <v>2892</v>
      </c>
      <c r="Q580" s="13" t="s">
        <v>2546</v>
      </c>
      <c r="S580" s="7" t="e">
        <f ca="1">IF(_xludf.ifna(VLOOKUP(B580,Parámetros!#REF!,1,0),"")="","No","Sí")</f>
        <v>#NAME?</v>
      </c>
      <c r="T580" s="7" t="str">
        <f t="shared" si="20"/>
        <v>Normativo</v>
      </c>
      <c r="U580" s="4" t="s">
        <v>195</v>
      </c>
      <c r="V580" s="4" t="s">
        <v>39</v>
      </c>
      <c r="W580" s="4" t="s">
        <v>196</v>
      </c>
      <c r="X580" s="4" t="s">
        <v>426</v>
      </c>
      <c r="Y580" s="4" t="s">
        <v>427</v>
      </c>
      <c r="Z580" s="4">
        <v>0</v>
      </c>
      <c r="AA580" s="5">
        <v>463456641</v>
      </c>
      <c r="AB580" s="4" t="s">
        <v>215</v>
      </c>
      <c r="AC580">
        <v>579</v>
      </c>
    </row>
    <row r="581" spans="1:29" ht="16.5" hidden="1" customHeight="1" x14ac:dyDescent="0.2">
      <c r="A581" s="6" t="str">
        <f t="shared" si="19"/>
        <v>SDATOOL-41850 $ Remodelación de Oficinas 2023</v>
      </c>
      <c r="B581" s="4" t="s">
        <v>2893</v>
      </c>
      <c r="C581" s="4" t="s">
        <v>2894</v>
      </c>
      <c r="D581" s="4" t="s">
        <v>183</v>
      </c>
      <c r="E581" s="4" t="s">
        <v>2895</v>
      </c>
      <c r="F581" s="4" t="s">
        <v>35</v>
      </c>
      <c r="G581" s="4" t="s">
        <v>185</v>
      </c>
      <c r="H581" s="4" t="s">
        <v>752</v>
      </c>
      <c r="I581" s="4" t="e">
        <v>#N/A</v>
      </c>
      <c r="J581" s="4" t="s">
        <v>187</v>
      </c>
      <c r="K581" s="4" t="s">
        <v>386</v>
      </c>
      <c r="L581" s="4" t="s">
        <v>394</v>
      </c>
      <c r="M581" s="4" t="s">
        <v>2896</v>
      </c>
      <c r="N581" s="4" t="s">
        <v>36</v>
      </c>
      <c r="O581" s="13" t="s">
        <v>412</v>
      </c>
      <c r="P581" s="13" t="s">
        <v>2892</v>
      </c>
      <c r="Q581" s="13" t="s">
        <v>2546</v>
      </c>
      <c r="S581" s="7" t="e">
        <f ca="1">IF(_xludf.ifna(VLOOKUP(B581,Parámetros!#REF!,1,0),"")="","No","Sí")</f>
        <v>#NAME?</v>
      </c>
      <c r="T581" s="7" t="str">
        <f t="shared" si="20"/>
        <v>No normativo</v>
      </c>
      <c r="U581" s="4" t="s">
        <v>195</v>
      </c>
      <c r="V581" s="4" t="s">
        <v>39</v>
      </c>
      <c r="W581" s="4" t="s">
        <v>300</v>
      </c>
      <c r="X581" s="4" t="s">
        <v>562</v>
      </c>
      <c r="Y581" s="4" t="s">
        <v>1197</v>
      </c>
      <c r="Z581" s="4">
        <v>0</v>
      </c>
      <c r="AA581" s="5">
        <v>1127241425</v>
      </c>
      <c r="AB581" s="4" t="s">
        <v>180</v>
      </c>
      <c r="AC581">
        <v>580</v>
      </c>
    </row>
    <row r="582" spans="1:29" ht="16.5" hidden="1" customHeight="1" x14ac:dyDescent="0.2">
      <c r="A582" s="6" t="str">
        <f t="shared" si="19"/>
        <v>SDATOOL-41851 $ Migración de Sistema operativo de ATMs de Windows 7 a Windows 10</v>
      </c>
      <c r="B582" s="4" t="s">
        <v>2897</v>
      </c>
      <c r="C582" s="4" t="s">
        <v>2898</v>
      </c>
      <c r="D582" s="4" t="s">
        <v>183</v>
      </c>
      <c r="E582" s="4" t="s">
        <v>2899</v>
      </c>
      <c r="F582" s="4" t="s">
        <v>35</v>
      </c>
      <c r="G582" s="4" t="s">
        <v>185</v>
      </c>
      <c r="H582" s="4" t="s">
        <v>752</v>
      </c>
      <c r="J582" s="4" t="s">
        <v>187</v>
      </c>
      <c r="K582" s="4" t="s">
        <v>386</v>
      </c>
      <c r="L582" s="4" t="s">
        <v>394</v>
      </c>
      <c r="M582" s="4" t="s">
        <v>2900</v>
      </c>
      <c r="N582" s="4" t="s">
        <v>36</v>
      </c>
      <c r="O582" s="13" t="s">
        <v>412</v>
      </c>
      <c r="Q582" s="13" t="s">
        <v>2901</v>
      </c>
      <c r="S582" s="7" t="e">
        <f ca="1">IF(_xludf.ifna(VLOOKUP(B582,Parámetros!#REF!,1,0),"")="","No","Sí")</f>
        <v>#NAME?</v>
      </c>
      <c r="T582" s="7" t="str">
        <f t="shared" si="20"/>
        <v>No normativo</v>
      </c>
      <c r="U582" s="4" t="s">
        <v>195</v>
      </c>
      <c r="V582" s="4" t="s">
        <v>39</v>
      </c>
      <c r="W582" s="4" t="s">
        <v>300</v>
      </c>
      <c r="X582" s="4" t="s">
        <v>562</v>
      </c>
      <c r="Y582" s="4" t="s">
        <v>1304</v>
      </c>
      <c r="Z582" s="4">
        <v>0</v>
      </c>
      <c r="AA582" s="4">
        <v>0</v>
      </c>
      <c r="AB582" s="4" t="s">
        <v>215</v>
      </c>
      <c r="AC582">
        <v>581</v>
      </c>
    </row>
    <row r="583" spans="1:29" ht="16.5" hidden="1" customHeight="1" x14ac:dyDescent="0.2">
      <c r="A583" s="6" t="str">
        <f t="shared" si="19"/>
        <v>SDATOOL-41853 $ Estructura Banca Personal</v>
      </c>
      <c r="B583" s="4" t="s">
        <v>2902</v>
      </c>
      <c r="C583" s="4" t="s">
        <v>2903</v>
      </c>
      <c r="D583" s="4" t="s">
        <v>183</v>
      </c>
      <c r="E583" s="4" t="s">
        <v>2904</v>
      </c>
      <c r="F583" s="4" t="s">
        <v>35</v>
      </c>
      <c r="G583" s="4" t="s">
        <v>185</v>
      </c>
      <c r="H583" s="4" t="s">
        <v>752</v>
      </c>
      <c r="J583" s="4" t="s">
        <v>187</v>
      </c>
      <c r="K583" s="4" t="s">
        <v>386</v>
      </c>
      <c r="L583" s="4" t="s">
        <v>394</v>
      </c>
      <c r="M583" s="4" t="s">
        <v>2905</v>
      </c>
      <c r="N583" s="4" t="s">
        <v>57</v>
      </c>
      <c r="O583" s="13" t="s">
        <v>412</v>
      </c>
      <c r="P583" s="13" t="s">
        <v>650</v>
      </c>
      <c r="Q583" s="13" t="s">
        <v>1033</v>
      </c>
      <c r="S583" s="7" t="e">
        <f ca="1">IF(_xludf.ifna(VLOOKUP(B583,Parámetros!#REF!,1,0),"")="","No","Sí")</f>
        <v>#NAME?</v>
      </c>
      <c r="T583" s="7" t="str">
        <f t="shared" si="20"/>
        <v>No normativo</v>
      </c>
      <c r="U583" s="4" t="s">
        <v>195</v>
      </c>
      <c r="V583" s="4" t="s">
        <v>39</v>
      </c>
      <c r="W583" s="4" t="s">
        <v>300</v>
      </c>
      <c r="X583" s="4" t="s">
        <v>562</v>
      </c>
      <c r="Y583" s="4" t="s">
        <v>1197</v>
      </c>
      <c r="Z583" s="4">
        <v>0</v>
      </c>
      <c r="AA583" s="4">
        <v>0</v>
      </c>
      <c r="AB583" s="4" t="s">
        <v>215</v>
      </c>
      <c r="AC583">
        <v>582</v>
      </c>
    </row>
    <row r="584" spans="1:29" ht="16.5" hidden="1" customHeight="1" x14ac:dyDescent="0.2">
      <c r="A584" s="6" t="str">
        <f t="shared" si="19"/>
        <v>SDATOOL-41854 $ 10.1.1. Autorizaciones parciales</v>
      </c>
      <c r="B584" s="4" t="s">
        <v>2906</v>
      </c>
      <c r="C584" s="4" t="s">
        <v>2170</v>
      </c>
      <c r="D584" s="4" t="s">
        <v>183</v>
      </c>
      <c r="E584" s="4" t="s">
        <v>2907</v>
      </c>
      <c r="F584" s="4" t="s">
        <v>28</v>
      </c>
      <c r="G584" s="4" t="s">
        <v>185</v>
      </c>
      <c r="H584" s="4" t="s">
        <v>752</v>
      </c>
      <c r="J584" s="4" t="s">
        <v>204</v>
      </c>
      <c r="K584" s="4" t="s">
        <v>386</v>
      </c>
      <c r="L584" s="4" t="s">
        <v>394</v>
      </c>
      <c r="M584" s="4" t="s">
        <v>2908</v>
      </c>
      <c r="N584" s="4" t="s">
        <v>22</v>
      </c>
      <c r="O584" s="13" t="s">
        <v>2043</v>
      </c>
      <c r="P584" s="13" t="s">
        <v>1566</v>
      </c>
      <c r="Q584" s="13" t="s">
        <v>555</v>
      </c>
      <c r="S584" s="7" t="e">
        <f ca="1">IF(_xludf.ifna(VLOOKUP(B584,Parámetros!#REF!,1,0),"")="","No","Sí")</f>
        <v>#NAME?</v>
      </c>
      <c r="T584" s="7" t="str">
        <f t="shared" si="20"/>
        <v>Normativo</v>
      </c>
      <c r="U584" s="4" t="s">
        <v>195</v>
      </c>
      <c r="V584" s="4" t="s">
        <v>39</v>
      </c>
      <c r="W584" s="4" t="s">
        <v>212</v>
      </c>
      <c r="X584" s="4" t="s">
        <v>213</v>
      </c>
      <c r="Y584" s="4" t="s">
        <v>400</v>
      </c>
      <c r="Z584" s="4">
        <v>0</v>
      </c>
      <c r="AA584" s="4">
        <v>0</v>
      </c>
      <c r="AB584" s="4" t="s">
        <v>215</v>
      </c>
      <c r="AC584">
        <v>583</v>
      </c>
    </row>
    <row r="585" spans="1:29" ht="16.5" hidden="1" customHeight="1" x14ac:dyDescent="0.2">
      <c r="A585" s="6" t="str">
        <f t="shared" si="19"/>
        <v>SDATOOL-41855 $ Pasar la tarifa de USD a COP de retiros y avances en ATM´s internacionales</v>
      </c>
      <c r="B585" s="4" t="s">
        <v>2909</v>
      </c>
      <c r="C585" s="4" t="s">
        <v>2910</v>
      </c>
      <c r="D585" s="4" t="s">
        <v>763</v>
      </c>
      <c r="E585" s="4" t="s">
        <v>2911</v>
      </c>
      <c r="F585" s="4" t="s">
        <v>35</v>
      </c>
      <c r="G585" s="4" t="s">
        <v>185</v>
      </c>
      <c r="H585" s="4" t="s">
        <v>752</v>
      </c>
      <c r="J585" s="4" t="s">
        <v>204</v>
      </c>
      <c r="K585" s="4" t="s">
        <v>386</v>
      </c>
      <c r="L585" s="4" t="s">
        <v>394</v>
      </c>
      <c r="M585" s="4" t="s">
        <v>2912</v>
      </c>
      <c r="N585" s="4" t="s">
        <v>22</v>
      </c>
      <c r="O585" s="13" t="s">
        <v>2043</v>
      </c>
      <c r="P585" s="13" t="s">
        <v>1566</v>
      </c>
      <c r="Q585" s="13" t="s">
        <v>555</v>
      </c>
      <c r="S585" s="7" t="e">
        <f ca="1">IF(_xludf.ifna(VLOOKUP(B585,Parámetros!#REF!,1,0),"")="","No","Sí")</f>
        <v>#NAME?</v>
      </c>
      <c r="T585" s="7" t="str">
        <f t="shared" si="20"/>
        <v>No normativo</v>
      </c>
      <c r="U585" s="4" t="s">
        <v>195</v>
      </c>
      <c r="V585" s="4" t="s">
        <v>39</v>
      </c>
      <c r="W585" s="4" t="s">
        <v>196</v>
      </c>
      <c r="X585" s="4" t="s">
        <v>328</v>
      </c>
      <c r="Y585" s="4" t="s">
        <v>1379</v>
      </c>
      <c r="Z585" s="4">
        <v>0</v>
      </c>
      <c r="AA585" s="4">
        <v>0</v>
      </c>
      <c r="AB585" s="4" t="s">
        <v>215</v>
      </c>
      <c r="AC585">
        <v>584</v>
      </c>
    </row>
    <row r="586" spans="1:29" ht="16.5" hidden="1" customHeight="1" x14ac:dyDescent="0.2">
      <c r="A586" s="6" t="str">
        <f t="shared" si="19"/>
        <v>SDATOOL-41856 $ Mejoras Permanente Funnel TDC WEB</v>
      </c>
      <c r="B586" s="4" t="s">
        <v>2913</v>
      </c>
      <c r="C586" s="4" t="s">
        <v>2914</v>
      </c>
      <c r="D586" s="4" t="s">
        <v>183</v>
      </c>
      <c r="E586" s="4" t="s">
        <v>2915</v>
      </c>
      <c r="F586" s="4" t="s">
        <v>28</v>
      </c>
      <c r="G586" s="4" t="s">
        <v>185</v>
      </c>
      <c r="H586" s="4" t="s">
        <v>752</v>
      </c>
      <c r="J586" s="4" t="s">
        <v>204</v>
      </c>
      <c r="K586" s="4" t="s">
        <v>386</v>
      </c>
      <c r="L586" s="4" t="s">
        <v>386</v>
      </c>
      <c r="M586" s="4" t="s">
        <v>2916</v>
      </c>
      <c r="N586" s="4" t="s">
        <v>22</v>
      </c>
      <c r="O586" s="13" t="s">
        <v>1566</v>
      </c>
      <c r="P586" s="13" t="s">
        <v>2080</v>
      </c>
      <c r="Q586" s="13" t="s">
        <v>632</v>
      </c>
      <c r="S586" s="7" t="e">
        <f ca="1">IF(_xludf.ifna(VLOOKUP(B586,Parámetros!#REF!,1,0),"")="","No","Sí")</f>
        <v>#NAME?</v>
      </c>
      <c r="T586" s="7" t="str">
        <f t="shared" si="20"/>
        <v>No normativo</v>
      </c>
      <c r="U586" s="4" t="s">
        <v>732</v>
      </c>
      <c r="V586" s="4" t="s">
        <v>39</v>
      </c>
      <c r="W586" s="4" t="s">
        <v>233</v>
      </c>
      <c r="X586" s="4" t="s">
        <v>92</v>
      </c>
      <c r="Y586" s="4" t="s">
        <v>533</v>
      </c>
      <c r="Z586" s="4">
        <v>0</v>
      </c>
      <c r="AA586" s="4">
        <v>0</v>
      </c>
      <c r="AB586" s="4" t="s">
        <v>215</v>
      </c>
      <c r="AC586">
        <v>585</v>
      </c>
    </row>
    <row r="587" spans="1:29" ht="16.5" hidden="1" customHeight="1" x14ac:dyDescent="0.2">
      <c r="A587" s="6" t="str">
        <f t="shared" si="19"/>
        <v>SDATOOL-41857 $ Rescate en último paso Funnel TDC Aqua</v>
      </c>
      <c r="B587" s="4" t="s">
        <v>2917</v>
      </c>
      <c r="C587" s="4" t="s">
        <v>2918</v>
      </c>
      <c r="D587" s="4" t="s">
        <v>183</v>
      </c>
      <c r="E587" s="4" t="s">
        <v>2919</v>
      </c>
      <c r="F587" s="4" t="s">
        <v>28</v>
      </c>
      <c r="G587" s="4" t="s">
        <v>185</v>
      </c>
      <c r="H587" s="4" t="s">
        <v>752</v>
      </c>
      <c r="J587" s="4" t="s">
        <v>204</v>
      </c>
      <c r="K587" s="4" t="s">
        <v>386</v>
      </c>
      <c r="L587" s="4" t="s">
        <v>386</v>
      </c>
      <c r="M587" s="4" t="s">
        <v>2920</v>
      </c>
      <c r="N587" s="4" t="s">
        <v>29</v>
      </c>
      <c r="O587" s="13" t="s">
        <v>1566</v>
      </c>
      <c r="P587" s="13" t="s">
        <v>2080</v>
      </c>
      <c r="Q587" s="13" t="s">
        <v>632</v>
      </c>
      <c r="S587" s="7" t="e">
        <f ca="1">IF(_xludf.ifna(VLOOKUP(B587,Parámetros!#REF!,1,0),"")="","No","Sí")</f>
        <v>#NAME?</v>
      </c>
      <c r="T587" s="7" t="str">
        <f t="shared" si="20"/>
        <v>No normativo</v>
      </c>
      <c r="U587" s="4" t="s">
        <v>195</v>
      </c>
      <c r="V587" s="4" t="s">
        <v>39</v>
      </c>
      <c r="W587" s="4" t="s">
        <v>233</v>
      </c>
      <c r="X587" s="4" t="s">
        <v>92</v>
      </c>
      <c r="Y587" s="4" t="s">
        <v>2149</v>
      </c>
      <c r="Z587" s="4">
        <v>0</v>
      </c>
      <c r="AA587" s="4">
        <v>0</v>
      </c>
      <c r="AB587" s="4" t="s">
        <v>215</v>
      </c>
      <c r="AC587">
        <v>586</v>
      </c>
    </row>
    <row r="588" spans="1:29" ht="16.5" hidden="1" customHeight="1" x14ac:dyDescent="0.2">
      <c r="A588" s="6" t="str">
        <f t="shared" si="19"/>
        <v>SDATOOL-41858 $ Inclusión Bines Ofertables D+0</v>
      </c>
      <c r="B588" s="4" t="s">
        <v>2921</v>
      </c>
      <c r="C588" s="4" t="s">
        <v>2922</v>
      </c>
      <c r="D588" s="4" t="s">
        <v>183</v>
      </c>
      <c r="E588" s="4" t="s">
        <v>2923</v>
      </c>
      <c r="F588" s="4" t="s">
        <v>28</v>
      </c>
      <c r="G588" s="4" t="s">
        <v>185</v>
      </c>
      <c r="H588" s="4" t="s">
        <v>752</v>
      </c>
      <c r="J588" s="4" t="s">
        <v>204</v>
      </c>
      <c r="K588" s="4" t="s">
        <v>386</v>
      </c>
      <c r="L588" s="4" t="s">
        <v>386</v>
      </c>
      <c r="M588" s="4" t="s">
        <v>2924</v>
      </c>
      <c r="N588" s="4" t="s">
        <v>29</v>
      </c>
      <c r="O588" s="13" t="s">
        <v>1566</v>
      </c>
      <c r="P588" s="13" t="s">
        <v>696</v>
      </c>
      <c r="Q588" s="13" t="s">
        <v>852</v>
      </c>
      <c r="S588" s="7" t="e">
        <f ca="1">IF(_xludf.ifna(VLOOKUP(B588,Parámetros!#REF!,1,0),"")="","No","Sí")</f>
        <v>#NAME?</v>
      </c>
      <c r="T588" s="7" t="str">
        <f t="shared" si="20"/>
        <v>No normativo</v>
      </c>
      <c r="U588" s="4" t="s">
        <v>195</v>
      </c>
      <c r="V588" s="4" t="s">
        <v>39</v>
      </c>
      <c r="W588" s="4" t="s">
        <v>196</v>
      </c>
      <c r="X588" s="4" t="s">
        <v>246</v>
      </c>
      <c r="Y588" s="4" t="s">
        <v>265</v>
      </c>
      <c r="Z588" s="4">
        <v>0</v>
      </c>
      <c r="AA588" s="4">
        <v>0</v>
      </c>
      <c r="AB588" s="4" t="s">
        <v>215</v>
      </c>
      <c r="AC588">
        <v>587</v>
      </c>
    </row>
    <row r="589" spans="1:29" ht="16.5" hidden="1" customHeight="1" x14ac:dyDescent="0.2">
      <c r="A589" s="6" t="str">
        <f t="shared" si="19"/>
        <v>SDATOOL-41859 $ Implementación Nuevos Mensajes de Niveles de Servicio</v>
      </c>
      <c r="B589" s="4" t="s">
        <v>2925</v>
      </c>
      <c r="C589" s="4" t="s">
        <v>2926</v>
      </c>
      <c r="D589" s="4" t="s">
        <v>183</v>
      </c>
      <c r="E589" s="4" t="s">
        <v>2927</v>
      </c>
      <c r="F589" s="4" t="s">
        <v>28</v>
      </c>
      <c r="G589" s="4" t="s">
        <v>185</v>
      </c>
      <c r="H589" s="4" t="s">
        <v>752</v>
      </c>
      <c r="J589" s="4" t="s">
        <v>204</v>
      </c>
      <c r="K589" s="4" t="s">
        <v>386</v>
      </c>
      <c r="L589" s="4" t="s">
        <v>386</v>
      </c>
      <c r="M589" s="4" t="s">
        <v>2928</v>
      </c>
      <c r="N589" s="4" t="s">
        <v>29</v>
      </c>
      <c r="O589" s="13" t="s">
        <v>1566</v>
      </c>
      <c r="P589" s="13" t="s">
        <v>548</v>
      </c>
      <c r="Q589" s="13" t="s">
        <v>555</v>
      </c>
      <c r="S589" s="7" t="e">
        <f ca="1">IF(_xludf.ifna(VLOOKUP(B589,Parámetros!#REF!,1,0),"")="","No","Sí")</f>
        <v>#NAME?</v>
      </c>
      <c r="T589" s="7" t="str">
        <f t="shared" si="20"/>
        <v>No normativo</v>
      </c>
      <c r="U589" s="4" t="s">
        <v>195</v>
      </c>
      <c r="V589" s="4" t="s">
        <v>39</v>
      </c>
      <c r="W589" s="4" t="s">
        <v>196</v>
      </c>
      <c r="X589" s="4" t="s">
        <v>246</v>
      </c>
      <c r="Y589" s="4" t="s">
        <v>1713</v>
      </c>
      <c r="Z589" s="4">
        <v>0</v>
      </c>
      <c r="AA589" s="4">
        <v>0</v>
      </c>
      <c r="AB589" s="4" t="s">
        <v>215</v>
      </c>
      <c r="AC589">
        <v>588</v>
      </c>
    </row>
    <row r="590" spans="1:29" ht="16.5" hidden="1" customHeight="1" x14ac:dyDescent="0.2">
      <c r="A590" s="6" t="str">
        <f t="shared" si="19"/>
        <v>SDATOOL-41860 $ Integración servicio de validación Experian - OyD</v>
      </c>
      <c r="B590" s="4" t="s">
        <v>2929</v>
      </c>
      <c r="C590" s="4" t="s">
        <v>2930</v>
      </c>
      <c r="D590" s="4" t="s">
        <v>763</v>
      </c>
      <c r="E590" s="4" t="s">
        <v>2931</v>
      </c>
      <c r="F590" s="4" t="s">
        <v>28</v>
      </c>
      <c r="G590" s="4" t="s">
        <v>185</v>
      </c>
      <c r="H590" s="4" t="s">
        <v>752</v>
      </c>
      <c r="J590" s="4" t="s">
        <v>204</v>
      </c>
      <c r="K590" s="4" t="s">
        <v>386</v>
      </c>
      <c r="L590" s="4" t="s">
        <v>189</v>
      </c>
      <c r="M590" s="4" t="s">
        <v>2932</v>
      </c>
      <c r="N590" s="4" t="s">
        <v>15</v>
      </c>
      <c r="O590" s="13" t="s">
        <v>1659</v>
      </c>
      <c r="P590" s="13" t="s">
        <v>2933</v>
      </c>
      <c r="Q590" s="13" t="s">
        <v>1661</v>
      </c>
      <c r="S590" s="7" t="e">
        <f ca="1">IF(_xludf.ifna(VLOOKUP(B590,Parámetros!#REF!,1,0),"")="","No","Sí")</f>
        <v>#NAME?</v>
      </c>
      <c r="T590" s="7" t="str">
        <f t="shared" si="20"/>
        <v>Normativo</v>
      </c>
      <c r="U590" s="4" t="s">
        <v>224</v>
      </c>
      <c r="V590" s="4" t="s">
        <v>39</v>
      </c>
      <c r="W590" s="4" t="s">
        <v>300</v>
      </c>
      <c r="X590" s="4" t="s">
        <v>301</v>
      </c>
      <c r="Y590" s="4" t="s">
        <v>302</v>
      </c>
      <c r="Z590" s="4">
        <v>0</v>
      </c>
      <c r="AA590" s="4">
        <v>0</v>
      </c>
      <c r="AB590" s="4" t="s">
        <v>215</v>
      </c>
      <c r="AC590">
        <v>589</v>
      </c>
    </row>
    <row r="591" spans="1:29" ht="16.5" hidden="1" customHeight="1" x14ac:dyDescent="0.2">
      <c r="A591" s="6" t="str">
        <f t="shared" si="19"/>
        <v>SDATOOL-41861 $ Creación subproductos en Banktrade para Factoring AgroComex (en dólares) y Factoring en Dólares entre residentes</v>
      </c>
      <c r="B591" s="4" t="s">
        <v>2934</v>
      </c>
      <c r="C591" s="4" t="s">
        <v>2935</v>
      </c>
      <c r="D591" s="4" t="s">
        <v>763</v>
      </c>
      <c r="E591" s="4" t="s">
        <v>2936</v>
      </c>
      <c r="F591" s="4" t="s">
        <v>28</v>
      </c>
      <c r="G591" s="4" t="s">
        <v>185</v>
      </c>
      <c r="H591" s="4" t="s">
        <v>752</v>
      </c>
      <c r="J591" s="4" t="s">
        <v>204</v>
      </c>
      <c r="K591" s="4" t="s">
        <v>189</v>
      </c>
      <c r="L591" s="4" t="s">
        <v>189</v>
      </c>
      <c r="M591" s="4" t="s">
        <v>2937</v>
      </c>
      <c r="N591" s="4" t="s">
        <v>22</v>
      </c>
      <c r="O591" s="13" t="s">
        <v>617</v>
      </c>
      <c r="P591" s="13" t="s">
        <v>628</v>
      </c>
      <c r="Q591" s="13" t="s">
        <v>193</v>
      </c>
      <c r="S591" s="7" t="e">
        <f ca="1">IF(_xludf.ifna(VLOOKUP(B591,Parámetros!#REF!,1,0),"")="","No","Sí")</f>
        <v>#NAME?</v>
      </c>
      <c r="T591" s="7" t="str">
        <f t="shared" si="20"/>
        <v>No normativo</v>
      </c>
      <c r="U591" s="4" t="s">
        <v>195</v>
      </c>
      <c r="V591" s="4" t="s">
        <v>39</v>
      </c>
      <c r="W591" s="4" t="s">
        <v>233</v>
      </c>
      <c r="X591" s="4" t="s">
        <v>234</v>
      </c>
      <c r="Y591" s="4" t="s">
        <v>525</v>
      </c>
      <c r="Z591" s="4">
        <v>0</v>
      </c>
      <c r="AA591" s="4">
        <v>0</v>
      </c>
      <c r="AB591" s="4" t="s">
        <v>215</v>
      </c>
      <c r="AC591">
        <v>590</v>
      </c>
    </row>
    <row r="592" spans="1:29" ht="16.5" hidden="1" customHeight="1" x14ac:dyDescent="0.2">
      <c r="A592" s="6" t="str">
        <f t="shared" si="19"/>
        <v>SDATOOL-41863 $ Consulta Real Time Sim Swap</v>
      </c>
      <c r="B592" s="4" t="s">
        <v>2938</v>
      </c>
      <c r="C592" s="4" t="s">
        <v>2939</v>
      </c>
      <c r="D592" s="4" t="s">
        <v>183</v>
      </c>
      <c r="E592" s="4" t="s">
        <v>2940</v>
      </c>
      <c r="F592" s="4" t="s">
        <v>43</v>
      </c>
      <c r="G592" s="4" t="s">
        <v>185</v>
      </c>
      <c r="H592" s="4" t="s">
        <v>752</v>
      </c>
      <c r="I592" s="4" t="e">
        <v>#N/A</v>
      </c>
      <c r="J592" s="4" t="s">
        <v>204</v>
      </c>
      <c r="K592" s="4" t="s">
        <v>189</v>
      </c>
      <c r="L592" s="4" t="s">
        <v>394</v>
      </c>
      <c r="M592" s="4" t="s">
        <v>2941</v>
      </c>
      <c r="N592" s="4" t="s">
        <v>15</v>
      </c>
      <c r="O592" s="13" t="s">
        <v>1437</v>
      </c>
      <c r="P592" s="13" t="s">
        <v>440</v>
      </c>
      <c r="Q592" s="13" t="s">
        <v>373</v>
      </c>
      <c r="R592" s="4" t="s">
        <v>2942</v>
      </c>
      <c r="S592" s="7" t="e">
        <f ca="1">IF(_xludf.ifna(VLOOKUP(B592,Parámetros!#REF!,1,0),"")="","No","Sí")</f>
        <v>#NAME?</v>
      </c>
      <c r="T592" s="7" t="str">
        <f t="shared" si="20"/>
        <v>No normativo</v>
      </c>
      <c r="U592" s="4" t="s">
        <v>195</v>
      </c>
      <c r="V592" s="4" t="s">
        <v>39</v>
      </c>
      <c r="W592" s="4" t="s">
        <v>212</v>
      </c>
      <c r="X592" s="4" t="s">
        <v>375</v>
      </c>
      <c r="Y592" s="4" t="s">
        <v>443</v>
      </c>
      <c r="Z592" s="4">
        <v>0</v>
      </c>
      <c r="AA592" s="4">
        <v>0</v>
      </c>
      <c r="AB592" s="4" t="s">
        <v>180</v>
      </c>
      <c r="AC592">
        <v>591</v>
      </c>
    </row>
    <row r="593" spans="1:29" ht="16.5" hidden="1" customHeight="1" x14ac:dyDescent="0.2">
      <c r="A593" s="6" t="str">
        <f t="shared" si="19"/>
        <v>SDATOOL-41869 $ Notificación bloqueo preventivo</v>
      </c>
      <c r="B593" s="4" t="s">
        <v>2943</v>
      </c>
      <c r="C593" s="4" t="s">
        <v>2944</v>
      </c>
      <c r="D593" s="4" t="s">
        <v>763</v>
      </c>
      <c r="E593" s="4" t="s">
        <v>2945</v>
      </c>
      <c r="F593" s="4" t="s">
        <v>43</v>
      </c>
      <c r="G593" s="4" t="s">
        <v>185</v>
      </c>
      <c r="H593" s="4" t="s">
        <v>752</v>
      </c>
      <c r="I593" s="4" t="e">
        <v>#N/A</v>
      </c>
      <c r="J593" s="4" t="s">
        <v>204</v>
      </c>
      <c r="K593" s="4" t="s">
        <v>189</v>
      </c>
      <c r="L593" s="4" t="s">
        <v>394</v>
      </c>
      <c r="M593" s="4" t="s">
        <v>2675</v>
      </c>
      <c r="N593" s="4" t="s">
        <v>15</v>
      </c>
      <c r="O593" s="13" t="s">
        <v>1437</v>
      </c>
      <c r="P593" s="13" t="s">
        <v>2946</v>
      </c>
      <c r="Q593" s="13" t="s">
        <v>373</v>
      </c>
      <c r="R593" s="4" t="s">
        <v>2947</v>
      </c>
      <c r="S593" s="7" t="e">
        <f ca="1">IF(_xludf.ifna(VLOOKUP(B593,Parámetros!#REF!,1,0),"")="","No","Sí")</f>
        <v>#NAME?</v>
      </c>
      <c r="T593" s="7" t="str">
        <f t="shared" si="20"/>
        <v>No normativo</v>
      </c>
      <c r="U593" s="4" t="s">
        <v>195</v>
      </c>
      <c r="V593" s="4" t="s">
        <v>39</v>
      </c>
      <c r="W593" s="4" t="s">
        <v>212</v>
      </c>
      <c r="X593" s="4" t="s">
        <v>375</v>
      </c>
      <c r="Y593" s="4" t="s">
        <v>443</v>
      </c>
      <c r="Z593" s="4">
        <v>0</v>
      </c>
      <c r="AA593" s="4">
        <v>0</v>
      </c>
      <c r="AB593" s="4" t="s">
        <v>180</v>
      </c>
      <c r="AC593">
        <v>592</v>
      </c>
    </row>
    <row r="594" spans="1:29" ht="16.5" hidden="1" customHeight="1" x14ac:dyDescent="0.2">
      <c r="A594" s="6" t="str">
        <f t="shared" si="19"/>
        <v>SDATOOL-41870 $ Proyecto Neptuno - Proxy de navegacion en la nube</v>
      </c>
      <c r="B594" s="4" t="s">
        <v>2948</v>
      </c>
      <c r="C594" s="4" t="s">
        <v>2949</v>
      </c>
      <c r="D594" s="4" t="s">
        <v>763</v>
      </c>
      <c r="E594" s="4" t="s">
        <v>2950</v>
      </c>
      <c r="F594" s="4" t="s">
        <v>43</v>
      </c>
      <c r="G594" s="4" t="s">
        <v>185</v>
      </c>
      <c r="H594" s="4" t="s">
        <v>752</v>
      </c>
      <c r="J594" s="4" t="s">
        <v>204</v>
      </c>
      <c r="K594" s="4" t="s">
        <v>189</v>
      </c>
      <c r="L594" s="4" t="s">
        <v>729</v>
      </c>
      <c r="M594" s="4" t="s">
        <v>2951</v>
      </c>
      <c r="N594" s="4" t="s">
        <v>15</v>
      </c>
      <c r="O594" s="13" t="s">
        <v>1437</v>
      </c>
      <c r="P594" s="13" t="s">
        <v>372</v>
      </c>
      <c r="Q594" s="13" t="s">
        <v>373</v>
      </c>
      <c r="S594" s="7" t="e">
        <f ca="1">IF(_xludf.ifna(VLOOKUP(B594,Parámetros!#REF!,1,0),"")="","No","Sí")</f>
        <v>#NAME?</v>
      </c>
      <c r="T594" s="7" t="str">
        <f t="shared" si="20"/>
        <v>No normativo</v>
      </c>
      <c r="U594" s="4" t="s">
        <v>195</v>
      </c>
      <c r="V594" s="4" t="s">
        <v>39</v>
      </c>
      <c r="W594" s="4" t="s">
        <v>212</v>
      </c>
      <c r="X594" s="4" t="s">
        <v>375</v>
      </c>
      <c r="Y594" s="4" t="s">
        <v>443</v>
      </c>
      <c r="Z594" s="4">
        <v>0</v>
      </c>
      <c r="AA594" s="4">
        <v>0</v>
      </c>
      <c r="AB594" s="4" t="s">
        <v>215</v>
      </c>
      <c r="AC594">
        <v>593</v>
      </c>
    </row>
    <row r="595" spans="1:29" ht="16.5" hidden="1" customHeight="1" x14ac:dyDescent="0.2">
      <c r="A595" s="6" t="str">
        <f t="shared" si="19"/>
        <v>SDATOOL-41877 $ Evolutivo Bonita 5 Community a JBPM</v>
      </c>
      <c r="B595" s="4" t="s">
        <v>2952</v>
      </c>
      <c r="C595" s="4" t="s">
        <v>2953</v>
      </c>
      <c r="D595" s="4" t="s">
        <v>183</v>
      </c>
      <c r="E595" s="4" t="s">
        <v>2954</v>
      </c>
      <c r="F595" s="4" t="s">
        <v>43</v>
      </c>
      <c r="G595" s="4" t="s">
        <v>185</v>
      </c>
      <c r="H595" s="4" t="s">
        <v>752</v>
      </c>
      <c r="J595" s="4" t="s">
        <v>204</v>
      </c>
      <c r="K595" s="4" t="s">
        <v>386</v>
      </c>
      <c r="L595" s="4" t="s">
        <v>314</v>
      </c>
      <c r="M595" s="4" t="s">
        <v>2955</v>
      </c>
      <c r="N595" s="4" t="s">
        <v>36</v>
      </c>
      <c r="O595" s="13" t="s">
        <v>2956</v>
      </c>
      <c r="P595" s="13" t="s">
        <v>2957</v>
      </c>
      <c r="Q595" s="13" t="s">
        <v>2958</v>
      </c>
      <c r="R595" s="4" t="s">
        <v>2959</v>
      </c>
      <c r="S595" s="7" t="e">
        <f ca="1">IF(_xludf.ifna(VLOOKUP(B595,Parámetros!#REF!,1,0),"")="","No","Sí")</f>
        <v>#NAME?</v>
      </c>
      <c r="T595" s="7" t="str">
        <f t="shared" si="20"/>
        <v>No normativo</v>
      </c>
      <c r="U595" s="4" t="s">
        <v>195</v>
      </c>
      <c r="V595" s="4" t="s">
        <v>39</v>
      </c>
      <c r="W595" s="4" t="s">
        <v>212</v>
      </c>
      <c r="X595" s="4" t="s">
        <v>1114</v>
      </c>
      <c r="Y595" s="4" t="s">
        <v>2960</v>
      </c>
      <c r="Z595" s="4">
        <v>0</v>
      </c>
      <c r="AA595" s="4">
        <v>0</v>
      </c>
      <c r="AB595" s="4" t="s">
        <v>215</v>
      </c>
      <c r="AC595">
        <v>594</v>
      </c>
    </row>
    <row r="596" spans="1:29" ht="16.5" hidden="1" customHeight="1" x14ac:dyDescent="0.2">
      <c r="A596" s="6" t="str">
        <f t="shared" si="19"/>
        <v>SDATOOL-41878 $ SWIFT ISO20022 MT940/42 A CAMT052/53 COLOMBIA</v>
      </c>
      <c r="B596" s="4" t="s">
        <v>2961</v>
      </c>
      <c r="C596" s="4" t="s">
        <v>2962</v>
      </c>
      <c r="D596" s="4" t="s">
        <v>183</v>
      </c>
      <c r="E596" s="4" t="s">
        <v>2963</v>
      </c>
      <c r="F596" s="4" t="s">
        <v>28</v>
      </c>
      <c r="G596" s="4" t="s">
        <v>185</v>
      </c>
      <c r="H596" s="4" t="s">
        <v>752</v>
      </c>
      <c r="J596" s="4" t="s">
        <v>204</v>
      </c>
      <c r="K596" s="4" t="s">
        <v>189</v>
      </c>
      <c r="L596" s="4" t="s">
        <v>314</v>
      </c>
      <c r="M596" s="4" t="s">
        <v>2964</v>
      </c>
      <c r="N596" s="4" t="s">
        <v>22</v>
      </c>
      <c r="O596" s="13" t="s">
        <v>2965</v>
      </c>
      <c r="P596" s="13" t="s">
        <v>911</v>
      </c>
      <c r="Q596" s="13" t="s">
        <v>697</v>
      </c>
      <c r="S596" s="7" t="e">
        <f ca="1">IF(_xludf.ifna(VLOOKUP(B596,Parámetros!#REF!,1,0),"")="","No","Sí")</f>
        <v>#NAME?</v>
      </c>
      <c r="T596" s="7" t="str">
        <f t="shared" si="20"/>
        <v>No normativo</v>
      </c>
      <c r="U596" s="4" t="s">
        <v>224</v>
      </c>
      <c r="V596" s="4" t="s">
        <v>39</v>
      </c>
      <c r="W596" s="4" t="s">
        <v>300</v>
      </c>
      <c r="X596" s="4" t="s">
        <v>301</v>
      </c>
      <c r="Y596" s="4" t="s">
        <v>302</v>
      </c>
      <c r="Z596" s="4">
        <v>0</v>
      </c>
      <c r="AA596" s="4">
        <v>0</v>
      </c>
      <c r="AB596" s="4" t="s">
        <v>215</v>
      </c>
      <c r="AC596">
        <v>595</v>
      </c>
    </row>
    <row r="597" spans="1:29" ht="16.5" hidden="1" customHeight="1" x14ac:dyDescent="0.2">
      <c r="A597" s="6" t="str">
        <f t="shared" si="19"/>
        <v>SDATOOL-41879 $ Apertura de oficina Mitu</v>
      </c>
      <c r="B597" s="4" t="s">
        <v>2966</v>
      </c>
      <c r="C597" s="4" t="s">
        <v>2967</v>
      </c>
      <c r="D597" s="4" t="s">
        <v>183</v>
      </c>
      <c r="E597" s="4" t="s">
        <v>2855</v>
      </c>
      <c r="F597" s="4" t="s">
        <v>35</v>
      </c>
      <c r="G597" s="4" t="s">
        <v>185</v>
      </c>
      <c r="H597" s="4" t="s">
        <v>752</v>
      </c>
      <c r="I597" s="4" t="s">
        <v>752</v>
      </c>
      <c r="J597" s="4" t="s">
        <v>187</v>
      </c>
      <c r="K597" s="4" t="s">
        <v>386</v>
      </c>
      <c r="L597" s="4" t="s">
        <v>394</v>
      </c>
      <c r="M597" s="4" t="s">
        <v>2856</v>
      </c>
      <c r="N597" s="4" t="s">
        <v>36</v>
      </c>
      <c r="O597" s="13" t="s">
        <v>412</v>
      </c>
      <c r="P597" s="13" t="s">
        <v>650</v>
      </c>
      <c r="Q597" s="13" t="s">
        <v>2546</v>
      </c>
      <c r="S597" s="7" t="e">
        <f ca="1">IF(_xludf.ifna(VLOOKUP(B597,Parámetros!#REF!,1,0),"")="","No","Sí")</f>
        <v>#NAME?</v>
      </c>
      <c r="T597" s="7" t="str">
        <f t="shared" si="20"/>
        <v>No normativo</v>
      </c>
      <c r="U597" s="4" t="s">
        <v>195</v>
      </c>
      <c r="V597" s="4" t="s">
        <v>39</v>
      </c>
      <c r="W597" s="4" t="s">
        <v>196</v>
      </c>
      <c r="X597" s="4" t="s">
        <v>426</v>
      </c>
      <c r="Y597" s="4" t="s">
        <v>427</v>
      </c>
      <c r="Z597" s="4">
        <v>0</v>
      </c>
      <c r="AA597" s="5">
        <v>2267850000</v>
      </c>
      <c r="AB597" s="4" t="s">
        <v>180</v>
      </c>
      <c r="AC597">
        <v>596</v>
      </c>
    </row>
    <row r="598" spans="1:29" ht="16.5" hidden="1" customHeight="1" x14ac:dyDescent="0.2">
      <c r="A598" s="6" t="str">
        <f t="shared" si="19"/>
        <v>SDATOOL-41881 $ Bloqueo/Desbloqueo Soft-Hard</v>
      </c>
      <c r="B598" s="4" t="s">
        <v>2968</v>
      </c>
      <c r="C598" s="4" t="s">
        <v>2969</v>
      </c>
      <c r="D598" s="4" t="s">
        <v>763</v>
      </c>
      <c r="E598" s="4" t="s">
        <v>2970</v>
      </c>
      <c r="F598" s="4" t="s">
        <v>43</v>
      </c>
      <c r="G598" s="4" t="s">
        <v>185</v>
      </c>
      <c r="H598" s="4" t="s">
        <v>752</v>
      </c>
      <c r="I598" s="4" t="e">
        <v>#N/A</v>
      </c>
      <c r="J598" s="4" t="s">
        <v>204</v>
      </c>
      <c r="K598" s="4" t="s">
        <v>189</v>
      </c>
      <c r="L598" s="4" t="s">
        <v>394</v>
      </c>
      <c r="M598" s="4" t="s">
        <v>2971</v>
      </c>
      <c r="N598" s="4" t="s">
        <v>15</v>
      </c>
      <c r="O598" s="13" t="s">
        <v>1437</v>
      </c>
      <c r="P598" s="13" t="s">
        <v>440</v>
      </c>
      <c r="Q598" s="13" t="s">
        <v>373</v>
      </c>
      <c r="R598" s="4" t="s">
        <v>2972</v>
      </c>
      <c r="S598" s="7" t="e">
        <f ca="1">IF(_xludf.ifna(VLOOKUP(B598,Parámetros!#REF!,1,0),"")="","No","Sí")</f>
        <v>#NAME?</v>
      </c>
      <c r="T598" s="7" t="str">
        <f t="shared" si="20"/>
        <v>Normativo</v>
      </c>
      <c r="U598" s="4" t="s">
        <v>195</v>
      </c>
      <c r="V598" s="4" t="s">
        <v>39</v>
      </c>
      <c r="W598" s="4" t="s">
        <v>212</v>
      </c>
      <c r="X598" s="4" t="s">
        <v>375</v>
      </c>
      <c r="Y598" s="4" t="s">
        <v>443</v>
      </c>
      <c r="Z598" s="4">
        <v>0</v>
      </c>
      <c r="AA598" s="5">
        <v>520000000</v>
      </c>
      <c r="AB598" s="4" t="s">
        <v>180</v>
      </c>
      <c r="AC598">
        <v>597</v>
      </c>
    </row>
    <row r="599" spans="1:29" ht="16.5" hidden="1" customHeight="1" x14ac:dyDescent="0.2">
      <c r="A599" s="6" t="str">
        <f t="shared" si="19"/>
        <v>SDATOOL-41906 $ Reingeniería Débito Automático</v>
      </c>
      <c r="B599" s="4" t="s">
        <v>2973</v>
      </c>
      <c r="C599" s="4" t="s">
        <v>2974</v>
      </c>
      <c r="D599" s="4" t="s">
        <v>183</v>
      </c>
      <c r="E599" s="4" t="s">
        <v>2975</v>
      </c>
      <c r="F599" s="4" t="s">
        <v>28</v>
      </c>
      <c r="G599" s="4" t="s">
        <v>185</v>
      </c>
      <c r="H599" s="4" t="s">
        <v>752</v>
      </c>
      <c r="I599" s="4" t="e">
        <v>#N/A</v>
      </c>
      <c r="J599" s="4" t="s">
        <v>204</v>
      </c>
      <c r="K599" s="4" t="s">
        <v>189</v>
      </c>
      <c r="L599" s="4" t="s">
        <v>586</v>
      </c>
      <c r="M599" s="4" t="s">
        <v>2976</v>
      </c>
      <c r="N599" s="4" t="s">
        <v>22</v>
      </c>
      <c r="O599" s="13" t="s">
        <v>404</v>
      </c>
      <c r="P599" s="13" t="s">
        <v>843</v>
      </c>
      <c r="Q599" s="13" t="s">
        <v>434</v>
      </c>
      <c r="S599" s="7" t="e">
        <f ca="1">IF(_xludf.ifna(VLOOKUP(B599,Parámetros!#REF!,1,0),"")="","No","Sí")</f>
        <v>#NAME?</v>
      </c>
      <c r="T599" s="7" t="str">
        <f t="shared" si="20"/>
        <v>No normativo</v>
      </c>
      <c r="U599" s="4" t="s">
        <v>195</v>
      </c>
      <c r="V599" s="4" t="s">
        <v>39</v>
      </c>
      <c r="W599" s="4" t="s">
        <v>300</v>
      </c>
      <c r="X599" s="4" t="s">
        <v>301</v>
      </c>
      <c r="Y599" s="4" t="s">
        <v>302</v>
      </c>
      <c r="Z599" s="4">
        <v>0</v>
      </c>
      <c r="AA599" s="4">
        <v>0</v>
      </c>
      <c r="AB599" s="4" t="s">
        <v>180</v>
      </c>
      <c r="AC599">
        <v>598</v>
      </c>
    </row>
    <row r="600" spans="1:29" ht="16.5" customHeight="1" x14ac:dyDescent="0.2">
      <c r="A600" s="6" t="str">
        <f t="shared" si="19"/>
        <v>SDATOOL-41909 $ Ampliación Canales Torretas Valores</v>
      </c>
      <c r="B600" s="4" t="s">
        <v>2977</v>
      </c>
      <c r="C600" s="4" t="s">
        <v>2978</v>
      </c>
      <c r="D600" s="4" t="s">
        <v>183</v>
      </c>
      <c r="E600" s="4" t="s">
        <v>2979</v>
      </c>
      <c r="F600" s="4" t="s">
        <v>21</v>
      </c>
      <c r="G600" s="4" t="s">
        <v>185</v>
      </c>
      <c r="H600" s="4" t="s">
        <v>186</v>
      </c>
      <c r="K600" s="4" t="s">
        <v>386</v>
      </c>
      <c r="L600" s="4" t="s">
        <v>189</v>
      </c>
      <c r="M600" s="4" t="s">
        <v>2980</v>
      </c>
      <c r="N600" s="4" t="s">
        <v>44</v>
      </c>
      <c r="O600" s="13" t="s">
        <v>1659</v>
      </c>
      <c r="P600" s="13" t="s">
        <v>1661</v>
      </c>
      <c r="S600" s="7" t="e">
        <f ca="1">IF(_xludf.ifna(VLOOKUP(B600,Parámetros!#REF!,1,0),"")="","No","Sí")</f>
        <v>#NAME?</v>
      </c>
      <c r="T600" s="7" t="str">
        <f t="shared" si="20"/>
        <v>No normativo</v>
      </c>
      <c r="U600" s="4" t="s">
        <v>195</v>
      </c>
      <c r="V600" s="4" t="s">
        <v>39</v>
      </c>
      <c r="W600" s="4" t="s">
        <v>300</v>
      </c>
      <c r="X600" s="4" t="s">
        <v>301</v>
      </c>
      <c r="Y600" s="4" t="s">
        <v>302</v>
      </c>
      <c r="Z600" s="4">
        <v>0</v>
      </c>
      <c r="AA600" s="5">
        <v>83300000</v>
      </c>
      <c r="AB600" s="4" t="s">
        <v>215</v>
      </c>
      <c r="AC600">
        <v>599</v>
      </c>
    </row>
    <row r="601" spans="1:29" ht="16.5" hidden="1" customHeight="1" x14ac:dyDescent="0.2">
      <c r="A601" s="6" t="str">
        <f t="shared" si="19"/>
        <v>SDATOOL-41916 $ Robotización de procesos BEX T&amp;C</v>
      </c>
      <c r="B601" s="4" t="s">
        <v>2981</v>
      </c>
      <c r="C601" s="4" t="s">
        <v>2982</v>
      </c>
      <c r="D601" s="4" t="s">
        <v>763</v>
      </c>
      <c r="E601" s="4" t="s">
        <v>2983</v>
      </c>
      <c r="F601" s="4" t="s">
        <v>30</v>
      </c>
      <c r="G601" s="4" t="s">
        <v>185</v>
      </c>
      <c r="H601" s="4" t="s">
        <v>752</v>
      </c>
      <c r="J601" s="4" t="s">
        <v>204</v>
      </c>
      <c r="K601" s="4" t="s">
        <v>189</v>
      </c>
      <c r="L601" s="4" t="s">
        <v>586</v>
      </c>
      <c r="M601" s="4" t="s">
        <v>2984</v>
      </c>
      <c r="N601" s="4" t="s">
        <v>15</v>
      </c>
      <c r="O601" s="13" t="s">
        <v>1494</v>
      </c>
      <c r="P601" s="13" t="s">
        <v>965</v>
      </c>
      <c r="S601" s="7" t="e">
        <f ca="1">IF(_xludf.ifna(VLOOKUP(B601,Parámetros!#REF!,1,0),"")="","No","Sí")</f>
        <v>#NAME?</v>
      </c>
      <c r="T601" s="7" t="str">
        <f t="shared" si="20"/>
        <v>Normativo</v>
      </c>
      <c r="U601" s="4" t="s">
        <v>195</v>
      </c>
      <c r="V601" s="4" t="s">
        <v>39</v>
      </c>
      <c r="W601" s="4" t="s">
        <v>291</v>
      </c>
      <c r="X601" s="4" t="s">
        <v>292</v>
      </c>
      <c r="Y601" s="4" t="s">
        <v>1478</v>
      </c>
      <c r="Z601" s="4">
        <v>0</v>
      </c>
      <c r="AA601" s="4">
        <v>0</v>
      </c>
      <c r="AB601" s="4" t="s">
        <v>215</v>
      </c>
      <c r="AC601">
        <v>600</v>
      </c>
    </row>
    <row r="602" spans="1:29" ht="16.5" hidden="1" customHeight="1" x14ac:dyDescent="0.2">
      <c r="A602" s="6" t="str">
        <f t="shared" si="19"/>
        <v>SDATOOL-41928 $ Escaneo PCI sobre infraestructura de banco DLP</v>
      </c>
      <c r="B602" s="4" t="s">
        <v>2985</v>
      </c>
      <c r="C602" s="4" t="s">
        <v>2986</v>
      </c>
      <c r="D602" s="4" t="s">
        <v>183</v>
      </c>
      <c r="E602" s="4" t="s">
        <v>2987</v>
      </c>
      <c r="F602" s="4" t="s">
        <v>43</v>
      </c>
      <c r="G602" s="4" t="s">
        <v>185</v>
      </c>
      <c r="H602" s="4" t="s">
        <v>752</v>
      </c>
      <c r="I602" s="4" t="s">
        <v>752</v>
      </c>
      <c r="K602" s="4" t="s">
        <v>189</v>
      </c>
      <c r="L602" s="4" t="s">
        <v>394</v>
      </c>
      <c r="M602" s="4" t="s">
        <v>2988</v>
      </c>
      <c r="N602" s="4" t="s">
        <v>15</v>
      </c>
      <c r="O602" s="13" t="s">
        <v>1437</v>
      </c>
      <c r="P602" s="13" t="s">
        <v>372</v>
      </c>
      <c r="Q602" s="13" t="s">
        <v>2989</v>
      </c>
      <c r="R602" s="4" t="s">
        <v>2990</v>
      </c>
      <c r="S602" s="7" t="e">
        <f ca="1">IF(_xludf.ifna(VLOOKUP(B602,Parámetros!#REF!,1,0),"")="","No","Sí")</f>
        <v>#NAME?</v>
      </c>
      <c r="T602" s="7" t="str">
        <f t="shared" si="20"/>
        <v>No normativo</v>
      </c>
      <c r="U602" s="4" t="s">
        <v>195</v>
      </c>
      <c r="V602" s="4" t="s">
        <v>39</v>
      </c>
      <c r="W602" s="4" t="s">
        <v>196</v>
      </c>
      <c r="X602" s="4" t="s">
        <v>225</v>
      </c>
      <c r="Y602" s="4" t="s">
        <v>1127</v>
      </c>
      <c r="Z602" s="4">
        <v>0</v>
      </c>
      <c r="AA602" s="5">
        <v>51218765</v>
      </c>
      <c r="AB602" s="4" t="s">
        <v>180</v>
      </c>
      <c r="AC602">
        <v>601</v>
      </c>
    </row>
    <row r="603" spans="1:29" ht="16.5" hidden="1" customHeight="1" x14ac:dyDescent="0.2">
      <c r="A603" s="6" t="str">
        <f t="shared" si="19"/>
        <v>SDATOOL-41930 $ FX en GEMA</v>
      </c>
      <c r="B603" s="4" t="s">
        <v>2991</v>
      </c>
      <c r="C603" s="4" t="s">
        <v>2992</v>
      </c>
      <c r="D603" s="4" t="s">
        <v>183</v>
      </c>
      <c r="E603" s="4" t="s">
        <v>2993</v>
      </c>
      <c r="F603" s="4" t="s">
        <v>21</v>
      </c>
      <c r="G603" s="4" t="s">
        <v>185</v>
      </c>
      <c r="H603" s="4" t="s">
        <v>752</v>
      </c>
      <c r="I603" s="4" t="s">
        <v>752</v>
      </c>
      <c r="K603" s="4" t="s">
        <v>189</v>
      </c>
      <c r="L603" s="4" t="s">
        <v>394</v>
      </c>
      <c r="M603" s="4" t="s">
        <v>2994</v>
      </c>
      <c r="N603" s="4" t="s">
        <v>44</v>
      </c>
      <c r="O603" s="13" t="s">
        <v>419</v>
      </c>
      <c r="P603" s="13" t="s">
        <v>2995</v>
      </c>
      <c r="Q603" s="13" t="s">
        <v>2605</v>
      </c>
      <c r="S603" s="7" t="e">
        <f ca="1">IF(_xludf.ifna(VLOOKUP(B603,Parámetros!#REF!,1,0),"")="","No","Sí")</f>
        <v>#NAME?</v>
      </c>
      <c r="T603" s="7" t="str">
        <f t="shared" si="20"/>
        <v>No normativo</v>
      </c>
      <c r="U603" s="4" t="s">
        <v>195</v>
      </c>
      <c r="V603" s="4" t="s">
        <v>39</v>
      </c>
      <c r="W603" s="4" t="s">
        <v>233</v>
      </c>
      <c r="X603" s="4" t="s">
        <v>234</v>
      </c>
      <c r="Y603" s="4" t="s">
        <v>389</v>
      </c>
      <c r="Z603" s="4">
        <v>0</v>
      </c>
      <c r="AA603" s="5">
        <v>900000000</v>
      </c>
      <c r="AB603" s="4" t="s">
        <v>180</v>
      </c>
      <c r="AC603">
        <v>602</v>
      </c>
    </row>
    <row r="604" spans="1:29" ht="16.5" hidden="1" customHeight="1" x14ac:dyDescent="0.2">
      <c r="A604" s="6" t="str">
        <f t="shared" si="19"/>
        <v>SDATOOL-41938 $ GRM Col Reg - Ajuste Calificación Escalera</v>
      </c>
      <c r="B604" s="4" t="s">
        <v>2996</v>
      </c>
      <c r="C604" s="4" t="s">
        <v>2997</v>
      </c>
      <c r="D604" s="4" t="s">
        <v>763</v>
      </c>
      <c r="E604" s="4" t="s">
        <v>2998</v>
      </c>
      <c r="F604" s="4" t="s">
        <v>56</v>
      </c>
      <c r="G604" s="4" t="s">
        <v>185</v>
      </c>
      <c r="H604" s="4" t="s">
        <v>752</v>
      </c>
      <c r="J604" s="4" t="s">
        <v>204</v>
      </c>
      <c r="K604" s="4" t="s">
        <v>189</v>
      </c>
      <c r="L604" s="4" t="s">
        <v>394</v>
      </c>
      <c r="M604" s="4" t="s">
        <v>2999</v>
      </c>
      <c r="N604" s="4" t="s">
        <v>15</v>
      </c>
      <c r="O604" s="13" t="s">
        <v>325</v>
      </c>
      <c r="P604" s="13" t="s">
        <v>326</v>
      </c>
      <c r="Q604" s="13" t="s">
        <v>3000</v>
      </c>
      <c r="S604" s="7" t="e">
        <f ca="1">IF(_xludf.ifna(VLOOKUP(B604,Parámetros!#REF!,1,0),"")="","No","Sí")</f>
        <v>#NAME?</v>
      </c>
      <c r="T604" s="7" t="str">
        <f t="shared" si="20"/>
        <v>No normativo</v>
      </c>
      <c r="U604" s="4" t="s">
        <v>224</v>
      </c>
      <c r="V604" s="4" t="s">
        <v>39</v>
      </c>
      <c r="W604" s="4" t="s">
        <v>196</v>
      </c>
      <c r="X604" s="4" t="s">
        <v>225</v>
      </c>
      <c r="Y604" s="4" t="s">
        <v>226</v>
      </c>
      <c r="Z604" s="4">
        <v>0</v>
      </c>
      <c r="AA604" s="5">
        <v>280000000</v>
      </c>
      <c r="AB604" s="4" t="s">
        <v>180</v>
      </c>
      <c r="AC604">
        <v>603</v>
      </c>
    </row>
    <row r="605" spans="1:29" ht="16.5" hidden="1" customHeight="1" x14ac:dyDescent="0.2">
      <c r="A605" s="6" t="str">
        <f t="shared" si="19"/>
        <v>SDATOOL-41941 $ INTEGRACIÓN DE AS400 Y HOST Y ESTABILIZACIÓN Y RESTABLECIMIENTO DE lOS ENTORNOS DE LEASING AS400 DE DESARROLLO Y CALIDAD"</v>
      </c>
      <c r="B605" s="4" t="s">
        <v>3001</v>
      </c>
      <c r="C605" s="4" t="s">
        <v>3002</v>
      </c>
      <c r="D605" s="4" t="s">
        <v>183</v>
      </c>
      <c r="E605" s="4" t="s">
        <v>3003</v>
      </c>
      <c r="F605" s="4" t="s">
        <v>43</v>
      </c>
      <c r="G605" s="4" t="s">
        <v>185</v>
      </c>
      <c r="H605" s="4" t="s">
        <v>752</v>
      </c>
      <c r="K605" s="4" t="s">
        <v>189</v>
      </c>
      <c r="L605" s="4" t="s">
        <v>314</v>
      </c>
      <c r="M605" s="4" t="s">
        <v>3004</v>
      </c>
      <c r="N605" s="4" t="s">
        <v>15</v>
      </c>
      <c r="O605" s="13" t="s">
        <v>456</v>
      </c>
      <c r="P605" s="13" t="s">
        <v>3000</v>
      </c>
      <c r="Q605" s="13" t="s">
        <v>3000</v>
      </c>
      <c r="R605" s="4" t="s">
        <v>3005</v>
      </c>
      <c r="S605" s="7" t="e">
        <f ca="1">IF(_xludf.ifna(VLOOKUP(B605,Parámetros!#REF!,1,0),"")="","No","Sí")</f>
        <v>#NAME?</v>
      </c>
      <c r="T605" s="7" t="str">
        <f t="shared" si="20"/>
        <v>No normativo</v>
      </c>
      <c r="U605" s="4" t="s">
        <v>195</v>
      </c>
      <c r="V605" s="4" t="s">
        <v>39</v>
      </c>
      <c r="W605" s="4" t="s">
        <v>212</v>
      </c>
      <c r="X605" s="4" t="s">
        <v>213</v>
      </c>
      <c r="Y605" s="4" t="s">
        <v>400</v>
      </c>
      <c r="Z605" s="4">
        <v>0</v>
      </c>
      <c r="AA605" s="5">
        <v>217056162</v>
      </c>
      <c r="AB605" s="4" t="s">
        <v>180</v>
      </c>
      <c r="AC605">
        <v>604</v>
      </c>
    </row>
    <row r="606" spans="1:29" ht="16.5" hidden="1" customHeight="1" x14ac:dyDescent="0.2">
      <c r="A606" s="6" t="str">
        <f t="shared" si="19"/>
        <v>SDATOOL-41950 $ Migracion GMF-MQ Series</v>
      </c>
      <c r="B606" s="4" t="s">
        <v>3006</v>
      </c>
      <c r="C606" s="4" t="s">
        <v>3007</v>
      </c>
      <c r="D606" s="4" t="s">
        <v>183</v>
      </c>
      <c r="E606" s="4" t="s">
        <v>3008</v>
      </c>
      <c r="F606" s="4" t="s">
        <v>43</v>
      </c>
      <c r="G606" s="4" t="s">
        <v>185</v>
      </c>
      <c r="H606" s="4" t="s">
        <v>752</v>
      </c>
      <c r="K606" s="4" t="s">
        <v>386</v>
      </c>
      <c r="L606" s="4" t="s">
        <v>189</v>
      </c>
      <c r="M606" s="4" t="s">
        <v>3009</v>
      </c>
      <c r="N606" s="4" t="s">
        <v>29</v>
      </c>
      <c r="O606" s="13" t="s">
        <v>697</v>
      </c>
      <c r="P606" s="13" t="s">
        <v>3010</v>
      </c>
      <c r="Q606" s="13" t="s">
        <v>3010</v>
      </c>
      <c r="S606" s="7" t="e">
        <f ca="1">IF(_xludf.ifna(VLOOKUP(B606,Parámetros!#REF!,1,0),"")="","No","Sí")</f>
        <v>#NAME?</v>
      </c>
      <c r="T606" s="7" t="str">
        <f t="shared" si="20"/>
        <v>Normativo</v>
      </c>
      <c r="U606" s="4" t="s">
        <v>195</v>
      </c>
      <c r="V606" s="4" t="s">
        <v>39</v>
      </c>
      <c r="W606" s="4" t="s">
        <v>233</v>
      </c>
      <c r="X606" s="4" t="s">
        <v>234</v>
      </c>
      <c r="Y606" s="4" t="s">
        <v>806</v>
      </c>
      <c r="Z606" s="4">
        <v>0</v>
      </c>
      <c r="AA606" s="4">
        <v>0</v>
      </c>
      <c r="AB606" s="4" t="s">
        <v>215</v>
      </c>
      <c r="AC606">
        <v>605</v>
      </c>
    </row>
    <row r="607" spans="1:29" ht="16.5" hidden="1" customHeight="1" x14ac:dyDescent="0.2">
      <c r="A607" s="6" t="str">
        <f t="shared" si="19"/>
        <v>SDATOOL-41955 $ MIGRO FASE II. TRANSFORMACION DE LOS CIRCUITOS DE CAPTURA Y TRATAMIENTO DE LAS PERDIDAS OPERACIONALES - COLOMBIA</v>
      </c>
      <c r="B607" s="4" t="s">
        <v>3011</v>
      </c>
      <c r="C607" s="4" t="s">
        <v>3012</v>
      </c>
      <c r="D607" s="4" t="s">
        <v>183</v>
      </c>
      <c r="E607" s="4" t="s">
        <v>3013</v>
      </c>
      <c r="F607" s="4" t="s">
        <v>69</v>
      </c>
      <c r="G607" s="4" t="s">
        <v>185</v>
      </c>
      <c r="H607" s="4" t="s">
        <v>752</v>
      </c>
      <c r="J607" s="4" t="s">
        <v>204</v>
      </c>
      <c r="K607" s="4" t="s">
        <v>386</v>
      </c>
      <c r="L607" s="4" t="s">
        <v>394</v>
      </c>
      <c r="M607" s="4" t="s">
        <v>3014</v>
      </c>
      <c r="N607" s="4" t="s">
        <v>15</v>
      </c>
      <c r="O607" s="13" t="s">
        <v>2304</v>
      </c>
      <c r="P607" s="13" t="s">
        <v>317</v>
      </c>
      <c r="Q607" s="13" t="s">
        <v>255</v>
      </c>
      <c r="S607" s="7" t="e">
        <f ca="1">IF(_xludf.ifna(VLOOKUP(B607,Parámetros!#REF!,1,0),"")="","No","Sí")</f>
        <v>#NAME?</v>
      </c>
      <c r="T607" s="7" t="str">
        <f t="shared" si="20"/>
        <v>No normativo</v>
      </c>
      <c r="U607" s="4" t="s">
        <v>1542</v>
      </c>
      <c r="V607" s="4" t="s">
        <v>39</v>
      </c>
      <c r="W607" s="4" t="s">
        <v>196</v>
      </c>
      <c r="X607" s="4" t="s">
        <v>225</v>
      </c>
      <c r="Y607" s="4" t="s">
        <v>320</v>
      </c>
      <c r="Z607" s="4">
        <v>0</v>
      </c>
      <c r="AA607" s="4">
        <v>0</v>
      </c>
      <c r="AB607" s="4" t="s">
        <v>215</v>
      </c>
      <c r="AC607">
        <v>606</v>
      </c>
    </row>
    <row r="608" spans="1:29" ht="16.5" hidden="1" customHeight="1" x14ac:dyDescent="0.2">
      <c r="A608" s="6" t="str">
        <f t="shared" si="19"/>
        <v>SDATOOL-41962 $ Seguros - Sistema de Administración de Pensiones de Rentas Vitalicias</v>
      </c>
      <c r="B608" s="4" t="s">
        <v>3015</v>
      </c>
      <c r="C608" s="4" t="s">
        <v>3016</v>
      </c>
      <c r="D608" s="4" t="s">
        <v>763</v>
      </c>
      <c r="E608" s="4" t="s">
        <v>3017</v>
      </c>
      <c r="F608" s="4" t="s">
        <v>28</v>
      </c>
      <c r="G608" s="4" t="s">
        <v>185</v>
      </c>
      <c r="H608" s="4" t="s">
        <v>752</v>
      </c>
      <c r="I608" s="4" t="e">
        <v>#N/A</v>
      </c>
      <c r="J608" s="4" t="s">
        <v>204</v>
      </c>
      <c r="K608" s="4" t="s">
        <v>386</v>
      </c>
      <c r="L608" s="4" t="s">
        <v>189</v>
      </c>
      <c r="M608" s="4" t="s">
        <v>3018</v>
      </c>
      <c r="N608" s="4" t="s">
        <v>29</v>
      </c>
      <c r="O608" s="13" t="s">
        <v>646</v>
      </c>
      <c r="P608" s="13" t="s">
        <v>499</v>
      </c>
      <c r="Q608" s="13" t="s">
        <v>1767</v>
      </c>
      <c r="S608" s="7" t="e">
        <f ca="1">IF(_xludf.ifna(VLOOKUP(B608,Parámetros!#REF!,1,0),"")="","No","Sí")</f>
        <v>#NAME?</v>
      </c>
      <c r="T608" s="7" t="str">
        <f t="shared" si="20"/>
        <v>Normativo</v>
      </c>
      <c r="U608" s="4" t="s">
        <v>195</v>
      </c>
      <c r="V608" s="4" t="s">
        <v>347</v>
      </c>
      <c r="W608" s="4" t="s">
        <v>233</v>
      </c>
      <c r="X608" s="4" t="s">
        <v>234</v>
      </c>
      <c r="Y608" s="4" t="s">
        <v>501</v>
      </c>
      <c r="Z608" s="4">
        <v>0</v>
      </c>
      <c r="AA608" s="5">
        <v>50000000</v>
      </c>
      <c r="AB608" s="4" t="s">
        <v>180</v>
      </c>
      <c r="AC608">
        <v>607</v>
      </c>
    </row>
    <row r="609" spans="1:29" ht="16.5" hidden="1" customHeight="1" x14ac:dyDescent="0.2">
      <c r="A609" s="6" t="str">
        <f t="shared" si="19"/>
        <v>SDATOOL-41966 $ Cambio de nivel cajeros de Nivel 4 a Nivel 7</v>
      </c>
      <c r="B609" s="4" t="s">
        <v>3019</v>
      </c>
      <c r="C609" s="4" t="s">
        <v>3020</v>
      </c>
      <c r="D609" s="4" t="s">
        <v>183</v>
      </c>
      <c r="E609" s="4" t="s">
        <v>3021</v>
      </c>
      <c r="F609" s="4" t="s">
        <v>43</v>
      </c>
      <c r="G609" s="4" t="s">
        <v>185</v>
      </c>
      <c r="H609" s="4" t="s">
        <v>752</v>
      </c>
      <c r="K609" s="4" t="s">
        <v>386</v>
      </c>
      <c r="L609" s="4" t="s">
        <v>386</v>
      </c>
      <c r="M609" s="4" t="s">
        <v>3022</v>
      </c>
      <c r="N609" s="4" t="s">
        <v>15</v>
      </c>
      <c r="O609" s="13" t="s">
        <v>1046</v>
      </c>
      <c r="P609" s="13" t="s">
        <v>3023</v>
      </c>
      <c r="Q609" s="13" t="s">
        <v>2838</v>
      </c>
      <c r="S609" s="7" t="e">
        <f ca="1">IF(_xludf.ifna(VLOOKUP(B609,Parámetros!#REF!,1,0),"")="","No","Sí")</f>
        <v>#NAME?</v>
      </c>
      <c r="T609" s="7" t="str">
        <f t="shared" si="20"/>
        <v>No normativo</v>
      </c>
      <c r="U609" s="4" t="s">
        <v>195</v>
      </c>
      <c r="V609" s="4" t="s">
        <v>39</v>
      </c>
      <c r="W609" s="4" t="s">
        <v>196</v>
      </c>
      <c r="X609" s="4" t="s">
        <v>225</v>
      </c>
      <c r="Y609" s="4" t="s">
        <v>925</v>
      </c>
      <c r="Z609" s="4">
        <v>0</v>
      </c>
      <c r="AA609" s="4">
        <v>1</v>
      </c>
      <c r="AB609" s="4" t="s">
        <v>215</v>
      </c>
      <c r="AC609">
        <v>608</v>
      </c>
    </row>
    <row r="610" spans="1:29" ht="16.5" customHeight="1" x14ac:dyDescent="0.2">
      <c r="A610" s="6" t="str">
        <f t="shared" si="19"/>
        <v>SDATOOL-41980 $ Modelo API´S Recaudo (CB´s)</v>
      </c>
      <c r="B610" s="4" t="s">
        <v>3024</v>
      </c>
      <c r="C610" s="4" t="s">
        <v>3025</v>
      </c>
      <c r="D610" s="4" t="s">
        <v>183</v>
      </c>
      <c r="E610" s="4" t="s">
        <v>2762</v>
      </c>
      <c r="F610" s="4" t="s">
        <v>28</v>
      </c>
      <c r="G610" s="4" t="s">
        <v>185</v>
      </c>
      <c r="H610" s="4" t="s">
        <v>186</v>
      </c>
      <c r="I610" s="4" t="s">
        <v>186</v>
      </c>
      <c r="J610" s="4" t="s">
        <v>204</v>
      </c>
      <c r="K610" s="4" t="s">
        <v>386</v>
      </c>
      <c r="L610" s="4" t="s">
        <v>314</v>
      </c>
      <c r="M610" s="4" t="s">
        <v>2763</v>
      </c>
      <c r="N610" s="4" t="s">
        <v>22</v>
      </c>
      <c r="O610" s="13" t="s">
        <v>404</v>
      </c>
      <c r="P610" s="13" t="s">
        <v>1232</v>
      </c>
      <c r="Q610" s="13" t="s">
        <v>543</v>
      </c>
      <c r="S610" s="7" t="e">
        <f ca="1">IF(_xludf.ifna(VLOOKUP(B610,Parámetros!#REF!,1,0),"")="","No","Sí")</f>
        <v>#NAME?</v>
      </c>
      <c r="T610" s="7" t="str">
        <f t="shared" si="20"/>
        <v>No normativo</v>
      </c>
      <c r="U610" s="4" t="s">
        <v>195</v>
      </c>
      <c r="V610" s="4" t="s">
        <v>39</v>
      </c>
      <c r="W610" s="4" t="s">
        <v>233</v>
      </c>
      <c r="X610" s="4" t="s">
        <v>234</v>
      </c>
      <c r="Y610" s="4" t="s">
        <v>435</v>
      </c>
      <c r="Z610" s="4">
        <v>0</v>
      </c>
      <c r="AA610" s="5">
        <v>365000000</v>
      </c>
      <c r="AB610" s="4" t="s">
        <v>180</v>
      </c>
      <c r="AC610">
        <v>609</v>
      </c>
    </row>
    <row r="611" spans="1:29" ht="16.5" hidden="1" customHeight="1" x14ac:dyDescent="0.2">
      <c r="A611" s="6" t="str">
        <f t="shared" si="19"/>
        <v>SDATOOL-41995 $ Traslado Auditoría Interna a Dirección General</v>
      </c>
      <c r="B611" s="4" t="s">
        <v>3026</v>
      </c>
      <c r="C611" s="4" t="s">
        <v>3027</v>
      </c>
      <c r="D611" s="4" t="s">
        <v>183</v>
      </c>
      <c r="E611" s="4" t="s">
        <v>3028</v>
      </c>
      <c r="F611" s="4" t="s">
        <v>30</v>
      </c>
      <c r="G611" s="4" t="s">
        <v>185</v>
      </c>
      <c r="H611" s="4" t="s">
        <v>752</v>
      </c>
      <c r="I611" s="4" t="s">
        <v>752</v>
      </c>
      <c r="K611" s="4" t="s">
        <v>189</v>
      </c>
      <c r="L611" s="4" t="s">
        <v>314</v>
      </c>
      <c r="M611" s="4" t="s">
        <v>3029</v>
      </c>
      <c r="N611" s="4" t="s">
        <v>15</v>
      </c>
      <c r="O611" s="13" t="s">
        <v>287</v>
      </c>
      <c r="P611" s="13" t="s">
        <v>288</v>
      </c>
      <c r="S611" s="7" t="e">
        <f ca="1">IF(_xludf.ifna(VLOOKUP(B611,Parámetros!#REF!,1,0),"")="","No","Sí")</f>
        <v>#NAME?</v>
      </c>
      <c r="T611" s="7" t="str">
        <f t="shared" si="20"/>
        <v>No normativo</v>
      </c>
      <c r="U611" s="4" t="s">
        <v>195</v>
      </c>
      <c r="V611" s="4" t="s">
        <v>39</v>
      </c>
      <c r="W611" s="4" t="s">
        <v>300</v>
      </c>
      <c r="X611" s="4" t="s">
        <v>1138</v>
      </c>
      <c r="Y611" s="4" t="s">
        <v>1139</v>
      </c>
      <c r="Z611" s="4">
        <v>0</v>
      </c>
      <c r="AA611" s="5">
        <v>110000000</v>
      </c>
      <c r="AB611" s="4" t="s">
        <v>180</v>
      </c>
      <c r="AC611">
        <v>610</v>
      </c>
    </row>
    <row r="612" spans="1:29" ht="16.5" hidden="1" customHeight="1" x14ac:dyDescent="0.2">
      <c r="A612" s="6" t="str">
        <f t="shared" si="19"/>
        <v>SDATOOL-41997 $ GRM Col - Ajustes reportes regulatorios - Controller View</v>
      </c>
      <c r="B612" s="4" t="s">
        <v>3030</v>
      </c>
      <c r="C612" s="4" t="s">
        <v>3031</v>
      </c>
      <c r="D612" s="4" t="s">
        <v>763</v>
      </c>
      <c r="E612" s="4" t="s">
        <v>3032</v>
      </c>
      <c r="F612" s="4" t="s">
        <v>56</v>
      </c>
      <c r="G612" s="4" t="s">
        <v>185</v>
      </c>
      <c r="H612" s="4" t="s">
        <v>752</v>
      </c>
      <c r="J612" s="4" t="s">
        <v>204</v>
      </c>
      <c r="K612" s="4" t="s">
        <v>386</v>
      </c>
      <c r="L612" s="4" t="s">
        <v>394</v>
      </c>
      <c r="M612" s="4" t="s">
        <v>3033</v>
      </c>
      <c r="N612" s="4" t="s">
        <v>15</v>
      </c>
      <c r="O612" s="13" t="s">
        <v>325</v>
      </c>
      <c r="P612" s="13" t="s">
        <v>549</v>
      </c>
      <c r="Q612" s="13" t="s">
        <v>318</v>
      </c>
      <c r="S612" s="7" t="e">
        <f ca="1">IF(_xludf.ifna(VLOOKUP(B612,Parámetros!#REF!,1,0),"")="","No","Sí")</f>
        <v>#NAME?</v>
      </c>
      <c r="T612" s="7" t="str">
        <f t="shared" si="20"/>
        <v>No normativo</v>
      </c>
      <c r="U612" s="4" t="s">
        <v>224</v>
      </c>
      <c r="V612" s="4" t="s">
        <v>39</v>
      </c>
      <c r="W612" s="4" t="s">
        <v>196</v>
      </c>
      <c r="X612" s="4" t="s">
        <v>225</v>
      </c>
      <c r="Y612" s="4" t="s">
        <v>226</v>
      </c>
      <c r="Z612" s="4">
        <v>0</v>
      </c>
      <c r="AA612" s="4">
        <v>0</v>
      </c>
      <c r="AB612" s="4" t="s">
        <v>215</v>
      </c>
      <c r="AC612">
        <v>611</v>
      </c>
    </row>
    <row r="613" spans="1:29" ht="16.5" customHeight="1" x14ac:dyDescent="0.2">
      <c r="A613" s="6" t="str">
        <f t="shared" si="19"/>
        <v>SDATOOL-42026 $ Plan de Sostenimiento Contadoras de Billetes</v>
      </c>
      <c r="B613" s="4" t="s">
        <v>3034</v>
      </c>
      <c r="C613" s="4" t="s">
        <v>3035</v>
      </c>
      <c r="D613" s="4" t="s">
        <v>183</v>
      </c>
      <c r="E613" s="4" t="s">
        <v>3036</v>
      </c>
      <c r="F613" s="4" t="s">
        <v>35</v>
      </c>
      <c r="G613" s="4" t="s">
        <v>185</v>
      </c>
      <c r="H613" s="4" t="s">
        <v>186</v>
      </c>
      <c r="I613" s="4" t="e">
        <v>#N/A</v>
      </c>
      <c r="J613" s="4" t="s">
        <v>187</v>
      </c>
      <c r="K613" s="4" t="s">
        <v>189</v>
      </c>
      <c r="L613" s="4" t="s">
        <v>394</v>
      </c>
      <c r="M613" s="4" t="s">
        <v>3037</v>
      </c>
      <c r="N613" s="4" t="s">
        <v>15</v>
      </c>
      <c r="O613" s="13" t="s">
        <v>412</v>
      </c>
      <c r="Q613" s="13" t="s">
        <v>1040</v>
      </c>
      <c r="S613" s="7" t="e">
        <f ca="1">IF(_xludf.ifna(VLOOKUP(B613,Parámetros!#REF!,1,0),"")="","No","Sí")</f>
        <v>#NAME?</v>
      </c>
      <c r="T613" s="7" t="str">
        <f t="shared" si="20"/>
        <v>No normativo</v>
      </c>
      <c r="U613" s="4" t="s">
        <v>195</v>
      </c>
      <c r="V613" s="4" t="s">
        <v>39</v>
      </c>
      <c r="W613" s="4" t="s">
        <v>300</v>
      </c>
      <c r="X613" s="4" t="s">
        <v>562</v>
      </c>
      <c r="Y613" s="4" t="s">
        <v>1197</v>
      </c>
      <c r="Z613" s="4">
        <v>0</v>
      </c>
      <c r="AA613" s="5">
        <v>1937589441</v>
      </c>
      <c r="AB613" s="4" t="s">
        <v>180</v>
      </c>
      <c r="AC613">
        <v>612</v>
      </c>
    </row>
    <row r="614" spans="1:29" ht="16.5" hidden="1" customHeight="1" x14ac:dyDescent="0.2">
      <c r="A614" s="6" t="str">
        <f t="shared" si="19"/>
        <v>SDATOOL-42030 $ Pago por PSE de productos del Activo de Jurídicos (Líneas Comerciales, Créditos Digitales, Redescuento, Agrocrédito, Factoring y Leasing)</v>
      </c>
      <c r="B614" s="4" t="s">
        <v>3038</v>
      </c>
      <c r="C614" s="4" t="s">
        <v>3039</v>
      </c>
      <c r="D614" s="4" t="s">
        <v>763</v>
      </c>
      <c r="E614" s="4" t="s">
        <v>3040</v>
      </c>
      <c r="F614" s="4" t="s">
        <v>28</v>
      </c>
      <c r="G614" s="4" t="s">
        <v>185</v>
      </c>
      <c r="H614" s="4" t="s">
        <v>752</v>
      </c>
      <c r="I614" s="4" t="e">
        <v>#N/A</v>
      </c>
      <c r="J614" s="4" t="s">
        <v>204</v>
      </c>
      <c r="K614" s="4" t="s">
        <v>189</v>
      </c>
      <c r="L614" s="4" t="s">
        <v>394</v>
      </c>
      <c r="M614" s="4" t="s">
        <v>3041</v>
      </c>
      <c r="N614" s="4" t="s">
        <v>51</v>
      </c>
      <c r="O614" s="13" t="s">
        <v>617</v>
      </c>
      <c r="P614" s="13" t="s">
        <v>843</v>
      </c>
      <c r="Q614" s="13" t="s">
        <v>580</v>
      </c>
      <c r="S614" s="7" t="e">
        <f ca="1">IF(_xludf.ifna(VLOOKUP(B614,Parámetros!#REF!,1,0),"")="","No","Sí")</f>
        <v>#NAME?</v>
      </c>
      <c r="T614" s="7" t="str">
        <f t="shared" si="20"/>
        <v>No normativo</v>
      </c>
      <c r="U614" s="4" t="s">
        <v>732</v>
      </c>
      <c r="V614" s="4" t="s">
        <v>39</v>
      </c>
      <c r="W614" s="4" t="s">
        <v>300</v>
      </c>
      <c r="X614" s="4" t="s">
        <v>301</v>
      </c>
      <c r="Y614" s="4" t="s">
        <v>302</v>
      </c>
      <c r="Z614" s="4">
        <v>0</v>
      </c>
      <c r="AA614" s="4">
        <v>0</v>
      </c>
      <c r="AB614" s="4" t="s">
        <v>180</v>
      </c>
      <c r="AC614">
        <v>613</v>
      </c>
    </row>
    <row r="615" spans="1:29" ht="16.5" customHeight="1" x14ac:dyDescent="0.2">
      <c r="A615" s="6" t="str">
        <f t="shared" si="19"/>
        <v>SDATOOL-42032 $ Automatización Futuros (TES Y TRM) Mesa Distribución-Master Trader</v>
      </c>
      <c r="B615" s="4" t="s">
        <v>3042</v>
      </c>
      <c r="C615" s="4" t="s">
        <v>3043</v>
      </c>
      <c r="D615" s="4" t="s">
        <v>763</v>
      </c>
      <c r="E615" s="4" t="s">
        <v>3044</v>
      </c>
      <c r="F615" s="4" t="s">
        <v>21</v>
      </c>
      <c r="G615" s="4" t="s">
        <v>185</v>
      </c>
      <c r="H615" s="4" t="s">
        <v>186</v>
      </c>
      <c r="K615" s="4" t="s">
        <v>189</v>
      </c>
      <c r="L615" s="4" t="s">
        <v>314</v>
      </c>
      <c r="M615" s="4" t="s">
        <v>3045</v>
      </c>
      <c r="N615" s="4" t="s">
        <v>44</v>
      </c>
      <c r="O615" s="13" t="s">
        <v>3046</v>
      </c>
      <c r="P615" s="13" t="s">
        <v>889</v>
      </c>
      <c r="Q615" s="13" t="s">
        <v>2605</v>
      </c>
      <c r="S615" s="7" t="e">
        <f ca="1">IF(_xludf.ifna(VLOOKUP(B615,Parámetros!#REF!,1,0),"")="","No","Sí")</f>
        <v>#NAME?</v>
      </c>
      <c r="T615" s="7" t="str">
        <f t="shared" si="20"/>
        <v>No normativo</v>
      </c>
      <c r="U615" s="4" t="s">
        <v>195</v>
      </c>
      <c r="V615" s="4" t="s">
        <v>39</v>
      </c>
      <c r="W615" s="4" t="s">
        <v>300</v>
      </c>
      <c r="X615" s="4" t="s">
        <v>301</v>
      </c>
      <c r="Y615" s="4" t="s">
        <v>302</v>
      </c>
      <c r="Z615" s="4">
        <v>0</v>
      </c>
      <c r="AA615" s="5">
        <v>101702284</v>
      </c>
      <c r="AB615" s="4" t="s">
        <v>215</v>
      </c>
      <c r="AC615">
        <v>614</v>
      </c>
    </row>
    <row r="616" spans="1:29" ht="16.5" hidden="1" customHeight="1" x14ac:dyDescent="0.2">
      <c r="A616" s="6" t="str">
        <f t="shared" si="19"/>
        <v>SDATOOL-42038 $ In house Femsa</v>
      </c>
      <c r="B616" s="4" t="s">
        <v>3047</v>
      </c>
      <c r="C616" s="4" t="s">
        <v>3048</v>
      </c>
      <c r="D616" s="4" t="s">
        <v>183</v>
      </c>
      <c r="E616" s="4" t="s">
        <v>3049</v>
      </c>
      <c r="F616" s="4" t="s">
        <v>21</v>
      </c>
      <c r="G616" s="4" t="s">
        <v>185</v>
      </c>
      <c r="H616" s="4" t="s">
        <v>752</v>
      </c>
      <c r="J616" s="4" t="s">
        <v>187</v>
      </c>
      <c r="K616" s="4" t="s">
        <v>386</v>
      </c>
      <c r="L616" s="4" t="s">
        <v>394</v>
      </c>
      <c r="M616" s="4" t="s">
        <v>1354</v>
      </c>
      <c r="N616" s="4" t="s">
        <v>44</v>
      </c>
      <c r="O616" s="13" t="s">
        <v>1356</v>
      </c>
      <c r="P616" s="13" t="s">
        <v>3050</v>
      </c>
      <c r="Q616" s="13" t="s">
        <v>1356</v>
      </c>
      <c r="S616" s="7" t="e">
        <f ca="1">IF(_xludf.ifna(VLOOKUP(B616,Parámetros!#REF!,1,0),"")="","No","Sí")</f>
        <v>#NAME?</v>
      </c>
      <c r="T616" s="7" t="str">
        <f t="shared" si="20"/>
        <v>No normativo</v>
      </c>
      <c r="U616" s="4" t="s">
        <v>195</v>
      </c>
      <c r="V616" s="4" t="s">
        <v>39</v>
      </c>
      <c r="W616" s="4" t="s">
        <v>196</v>
      </c>
      <c r="X616" s="4" t="s">
        <v>426</v>
      </c>
      <c r="Y616" s="4" t="s">
        <v>427</v>
      </c>
      <c r="Z616" s="4">
        <v>0</v>
      </c>
      <c r="AA616" s="4">
        <v>0</v>
      </c>
      <c r="AB616" s="4" t="s">
        <v>215</v>
      </c>
      <c r="AC616">
        <v>615</v>
      </c>
    </row>
    <row r="617" spans="1:29" ht="16.5" hidden="1" customHeight="1" x14ac:dyDescent="0.2">
      <c r="A617" s="6" t="str">
        <f t="shared" si="19"/>
        <v>SDATOOL-42039 $ Cuenta digital pensional</v>
      </c>
      <c r="B617" s="4" t="s">
        <v>3051</v>
      </c>
      <c r="C617" s="4" t="s">
        <v>2151</v>
      </c>
      <c r="D617" s="4" t="s">
        <v>763</v>
      </c>
      <c r="E617" s="4" t="s">
        <v>3052</v>
      </c>
      <c r="F617" s="4" t="s">
        <v>28</v>
      </c>
      <c r="G617" s="4" t="s">
        <v>185</v>
      </c>
      <c r="H617" s="4" t="s">
        <v>752</v>
      </c>
      <c r="I617" s="4" t="e">
        <v>#N/A</v>
      </c>
      <c r="J617" s="4" t="s">
        <v>187</v>
      </c>
      <c r="K617" s="4" t="s">
        <v>189</v>
      </c>
      <c r="L617" s="4" t="s">
        <v>314</v>
      </c>
      <c r="M617" s="4" t="s">
        <v>3053</v>
      </c>
      <c r="N617" s="4" t="s">
        <v>29</v>
      </c>
      <c r="O617" s="13" t="s">
        <v>1801</v>
      </c>
      <c r="P617" s="13" t="s">
        <v>1227</v>
      </c>
      <c r="Q617" s="13" t="s">
        <v>3054</v>
      </c>
      <c r="S617" s="7" t="e">
        <f ca="1">IF(_xludf.ifna(VLOOKUP(B617,Parámetros!#REF!,1,0),"")="","No","Sí")</f>
        <v>#NAME?</v>
      </c>
      <c r="T617" s="7" t="str">
        <f t="shared" si="20"/>
        <v>Normativo</v>
      </c>
      <c r="U617" s="4" t="s">
        <v>195</v>
      </c>
      <c r="V617" s="4" t="s">
        <v>39</v>
      </c>
      <c r="W617" s="4" t="s">
        <v>233</v>
      </c>
      <c r="X617" s="4" t="s">
        <v>92</v>
      </c>
      <c r="Y617" s="4" t="s">
        <v>533</v>
      </c>
      <c r="Z617" s="4">
        <v>0</v>
      </c>
      <c r="AA617" s="5">
        <v>600000000</v>
      </c>
      <c r="AB617" s="4" t="s">
        <v>180</v>
      </c>
      <c r="AC617">
        <v>616</v>
      </c>
    </row>
    <row r="618" spans="1:29" ht="16.5" customHeight="1" x14ac:dyDescent="0.2">
      <c r="A618" s="6" t="str">
        <f t="shared" si="19"/>
        <v>SDATOOL-42040 $ In House Bavaria</v>
      </c>
      <c r="B618" s="4" t="s">
        <v>3055</v>
      </c>
      <c r="C618" s="4" t="s">
        <v>3056</v>
      </c>
      <c r="D618" s="4" t="s">
        <v>183</v>
      </c>
      <c r="E618" s="4" t="s">
        <v>3057</v>
      </c>
      <c r="F618" s="4" t="s">
        <v>21</v>
      </c>
      <c r="G618" s="4" t="s">
        <v>185</v>
      </c>
      <c r="H618" s="4" t="s">
        <v>186</v>
      </c>
      <c r="J618" s="4" t="s">
        <v>187</v>
      </c>
      <c r="K618" s="4" t="s">
        <v>386</v>
      </c>
      <c r="L618" s="4" t="s">
        <v>394</v>
      </c>
      <c r="M618" s="4" t="s">
        <v>1354</v>
      </c>
      <c r="N618" s="4" t="s">
        <v>44</v>
      </c>
      <c r="O618" s="13" t="s">
        <v>1356</v>
      </c>
      <c r="P618" s="13" t="s">
        <v>3050</v>
      </c>
      <c r="Q618" s="13" t="s">
        <v>1356</v>
      </c>
      <c r="S618" s="7" t="e">
        <f ca="1">IF(_xludf.ifna(VLOOKUP(B618,Parámetros!#REF!,1,0),"")="","No","Sí")</f>
        <v>#NAME?</v>
      </c>
      <c r="T618" s="7" t="str">
        <f t="shared" si="20"/>
        <v>No normativo</v>
      </c>
      <c r="U618" s="4" t="s">
        <v>195</v>
      </c>
      <c r="V618" s="4" t="s">
        <v>39</v>
      </c>
      <c r="W618" s="4" t="s">
        <v>196</v>
      </c>
      <c r="X618" s="4" t="s">
        <v>426</v>
      </c>
      <c r="Y618" s="4" t="s">
        <v>427</v>
      </c>
      <c r="Z618" s="4">
        <v>0</v>
      </c>
      <c r="AA618" s="5">
        <v>1018506480</v>
      </c>
      <c r="AB618" s="4" t="s">
        <v>215</v>
      </c>
      <c r="AC618">
        <v>617</v>
      </c>
    </row>
    <row r="619" spans="1:29" ht="16.5" hidden="1" customHeight="1" x14ac:dyDescent="0.2">
      <c r="A619" s="6" t="str">
        <f t="shared" si="19"/>
        <v>SDATOOL-42044 $ In House Sierracol</v>
      </c>
      <c r="B619" s="4" t="s">
        <v>3058</v>
      </c>
      <c r="C619" s="4" t="s">
        <v>3059</v>
      </c>
      <c r="D619" s="4" t="s">
        <v>183</v>
      </c>
      <c r="E619" s="4" t="s">
        <v>3060</v>
      </c>
      <c r="F619" s="4" t="s">
        <v>21</v>
      </c>
      <c r="G619" s="4" t="s">
        <v>185</v>
      </c>
      <c r="H619" s="4" t="s">
        <v>752</v>
      </c>
      <c r="J619" s="4" t="s">
        <v>187</v>
      </c>
      <c r="K619" s="4" t="s">
        <v>386</v>
      </c>
      <c r="L619" s="4" t="s">
        <v>394</v>
      </c>
      <c r="M619" s="4" t="s">
        <v>1354</v>
      </c>
      <c r="N619" s="4" t="s">
        <v>44</v>
      </c>
      <c r="O619" s="13" t="s">
        <v>1356</v>
      </c>
      <c r="P619" s="13" t="s">
        <v>3050</v>
      </c>
      <c r="Q619" s="13" t="s">
        <v>1356</v>
      </c>
      <c r="S619" s="7" t="e">
        <f ca="1">IF(_xludf.ifna(VLOOKUP(B619,Parámetros!#REF!,1,0),"")="","No","Sí")</f>
        <v>#NAME?</v>
      </c>
      <c r="T619" s="7" t="str">
        <f t="shared" si="20"/>
        <v>No normativo</v>
      </c>
      <c r="U619" s="4" t="s">
        <v>195</v>
      </c>
      <c r="V619" s="4" t="s">
        <v>39</v>
      </c>
      <c r="W619" s="4" t="s">
        <v>196</v>
      </c>
      <c r="X619" s="4" t="s">
        <v>426</v>
      </c>
      <c r="Y619" s="4" t="s">
        <v>427</v>
      </c>
      <c r="Z619" s="4">
        <v>0</v>
      </c>
      <c r="AA619" s="4">
        <v>0</v>
      </c>
      <c r="AB619" s="4" t="s">
        <v>215</v>
      </c>
      <c r="AC619">
        <v>618</v>
      </c>
    </row>
    <row r="620" spans="1:29" ht="16.5" hidden="1" customHeight="1" x14ac:dyDescent="0.2">
      <c r="A620" s="6" t="str">
        <f t="shared" si="19"/>
        <v>SDATOOL-42048 $ In house BAT</v>
      </c>
      <c r="B620" s="4" t="s">
        <v>3061</v>
      </c>
      <c r="C620" s="4" t="s">
        <v>3062</v>
      </c>
      <c r="D620" s="4" t="s">
        <v>183</v>
      </c>
      <c r="E620" s="4" t="s">
        <v>3049</v>
      </c>
      <c r="F620" s="4" t="s">
        <v>21</v>
      </c>
      <c r="G620" s="4" t="s">
        <v>185</v>
      </c>
      <c r="H620" s="4" t="s">
        <v>752</v>
      </c>
      <c r="J620" s="4" t="s">
        <v>187</v>
      </c>
      <c r="K620" s="4" t="s">
        <v>386</v>
      </c>
      <c r="L620" s="4" t="s">
        <v>394</v>
      </c>
      <c r="M620" s="4" t="s">
        <v>1354</v>
      </c>
      <c r="N620" s="4" t="s">
        <v>44</v>
      </c>
      <c r="O620" s="13" t="s">
        <v>1356</v>
      </c>
      <c r="P620" s="13" t="s">
        <v>3050</v>
      </c>
      <c r="Q620" s="13" t="s">
        <v>1356</v>
      </c>
      <c r="S620" s="7" t="e">
        <f ca="1">IF(_xludf.ifna(VLOOKUP(B620,Parámetros!#REF!,1,0),"")="","No","Sí")</f>
        <v>#NAME?</v>
      </c>
      <c r="T620" s="7" t="str">
        <f t="shared" si="20"/>
        <v>No normativo</v>
      </c>
      <c r="U620" s="4" t="s">
        <v>195</v>
      </c>
      <c r="V620" s="4" t="s">
        <v>39</v>
      </c>
      <c r="W620" s="4" t="s">
        <v>196</v>
      </c>
      <c r="X620" s="4" t="s">
        <v>426</v>
      </c>
      <c r="Y620" s="4" t="s">
        <v>427</v>
      </c>
      <c r="Z620" s="4">
        <v>0</v>
      </c>
      <c r="AA620" s="4">
        <v>0</v>
      </c>
      <c r="AB620" s="4" t="s">
        <v>215</v>
      </c>
      <c r="AC620">
        <v>619</v>
      </c>
    </row>
    <row r="621" spans="1:29" ht="16.5" hidden="1" customHeight="1" x14ac:dyDescent="0.2">
      <c r="A621" s="6" t="str">
        <f t="shared" si="19"/>
        <v>SDATOOL-42053 $ Huella Digital</v>
      </c>
      <c r="B621" s="4" t="s">
        <v>3063</v>
      </c>
      <c r="C621" s="4" t="s">
        <v>3064</v>
      </c>
      <c r="D621" s="4" t="s">
        <v>183</v>
      </c>
      <c r="E621" s="4" t="s">
        <v>3065</v>
      </c>
      <c r="F621" s="4" t="s">
        <v>28</v>
      </c>
      <c r="G621" s="4" t="s">
        <v>185</v>
      </c>
      <c r="H621" s="4" t="s">
        <v>752</v>
      </c>
      <c r="I621" s="4" t="e">
        <v>#N/A</v>
      </c>
      <c r="J621" s="4" t="s">
        <v>204</v>
      </c>
      <c r="K621" s="4" t="s">
        <v>189</v>
      </c>
      <c r="L621" s="4" t="s">
        <v>314</v>
      </c>
      <c r="M621" s="4" t="s">
        <v>529</v>
      </c>
      <c r="N621" s="4" t="s">
        <v>29</v>
      </c>
      <c r="O621" s="13" t="s">
        <v>1154</v>
      </c>
      <c r="P621" s="13" t="s">
        <v>683</v>
      </c>
      <c r="Q621" s="13" t="s">
        <v>580</v>
      </c>
      <c r="S621" s="7" t="e">
        <f ca="1">IF(_xludf.ifna(VLOOKUP(B621,Parámetros!#REF!,1,0),"")="","No","Sí")</f>
        <v>#NAME?</v>
      </c>
      <c r="T621" s="7" t="str">
        <f t="shared" si="20"/>
        <v>No normativo</v>
      </c>
      <c r="U621" s="4" t="s">
        <v>195</v>
      </c>
      <c r="V621" s="4" t="s">
        <v>39</v>
      </c>
      <c r="W621" s="4" t="s">
        <v>233</v>
      </c>
      <c r="X621" s="4" t="s">
        <v>92</v>
      </c>
      <c r="Y621" s="4" t="s">
        <v>533</v>
      </c>
      <c r="Z621" s="4">
        <v>0</v>
      </c>
      <c r="AA621" s="4">
        <v>0</v>
      </c>
      <c r="AB621" s="4" t="s">
        <v>180</v>
      </c>
      <c r="AC621">
        <v>620</v>
      </c>
    </row>
    <row r="622" spans="1:29" ht="16.5" hidden="1" customHeight="1" x14ac:dyDescent="0.2">
      <c r="A622" s="6" t="str">
        <f t="shared" si="19"/>
        <v>SDATOOL-42058 $ WS Procesos Sostenibilidad 2023</v>
      </c>
      <c r="B622" s="4" t="s">
        <v>3066</v>
      </c>
      <c r="C622" s="4" t="s">
        <v>3067</v>
      </c>
      <c r="D622" s="4" t="s">
        <v>763</v>
      </c>
      <c r="E622" s="4" t="s">
        <v>3068</v>
      </c>
      <c r="F622" s="4" t="s">
        <v>28</v>
      </c>
      <c r="G622" s="4" t="s">
        <v>185</v>
      </c>
      <c r="H622" s="4" t="s">
        <v>752</v>
      </c>
      <c r="J622" s="4" t="s">
        <v>204</v>
      </c>
      <c r="K622" s="4" t="s">
        <v>386</v>
      </c>
      <c r="L622" s="4" t="s">
        <v>394</v>
      </c>
      <c r="M622" s="4" t="s">
        <v>3069</v>
      </c>
      <c r="N622" s="4" t="s">
        <v>15</v>
      </c>
      <c r="O622" s="13" t="s">
        <v>1738</v>
      </c>
      <c r="Q622" s="13" t="s">
        <v>1034</v>
      </c>
      <c r="S622" s="7" t="e">
        <f ca="1">IF(_xludf.ifna(VLOOKUP(B622,Parámetros!#REF!,1,0),"")="","No","Sí")</f>
        <v>#NAME?</v>
      </c>
      <c r="T622" s="7" t="str">
        <f t="shared" si="20"/>
        <v>No normativo</v>
      </c>
      <c r="U622" s="4" t="s">
        <v>195</v>
      </c>
      <c r="V622" s="4" t="s">
        <v>39</v>
      </c>
      <c r="W622" s="4" t="s">
        <v>196</v>
      </c>
      <c r="X622" s="4" t="s">
        <v>246</v>
      </c>
      <c r="Y622" s="4" t="s">
        <v>247</v>
      </c>
      <c r="Z622" s="4">
        <v>0</v>
      </c>
      <c r="AA622" s="4">
        <v>0</v>
      </c>
      <c r="AB622" s="4" t="s">
        <v>215</v>
      </c>
      <c r="AC622">
        <v>621</v>
      </c>
    </row>
    <row r="623" spans="1:29" ht="16.5" hidden="1" customHeight="1" x14ac:dyDescent="0.2">
      <c r="A623" s="6" t="str">
        <f t="shared" si="19"/>
        <v>SDATOOL-42059 $ Arrendamiento tecnológico Real State - GPS</v>
      </c>
      <c r="B623" s="4" t="s">
        <v>3070</v>
      </c>
      <c r="C623" s="4" t="s">
        <v>3071</v>
      </c>
      <c r="D623" s="4" t="s">
        <v>183</v>
      </c>
      <c r="E623" s="4" t="s">
        <v>3072</v>
      </c>
      <c r="F623" s="4" t="s">
        <v>50</v>
      </c>
      <c r="G623" s="4" t="s">
        <v>185</v>
      </c>
      <c r="H623" s="4" t="s">
        <v>752</v>
      </c>
      <c r="K623" s="4" t="s">
        <v>386</v>
      </c>
      <c r="L623" s="4" t="s">
        <v>314</v>
      </c>
      <c r="M623" s="4" t="s">
        <v>3073</v>
      </c>
      <c r="N623" s="4" t="s">
        <v>15</v>
      </c>
      <c r="O623" s="13" t="s">
        <v>1772</v>
      </c>
      <c r="P623" s="13" t="s">
        <v>279</v>
      </c>
      <c r="Q623" s="13" t="s">
        <v>318</v>
      </c>
      <c r="S623" s="7" t="e">
        <f ca="1">IF(_xludf.ifna(VLOOKUP(B623,Parámetros!#REF!,1,0),"")="","No","Sí")</f>
        <v>#NAME?</v>
      </c>
      <c r="T623" s="7" t="str">
        <f t="shared" si="20"/>
        <v>No normativo</v>
      </c>
      <c r="U623" s="4" t="s">
        <v>1542</v>
      </c>
      <c r="V623" s="4" t="s">
        <v>39</v>
      </c>
      <c r="W623" s="4" t="s">
        <v>196</v>
      </c>
      <c r="X623" s="4" t="s">
        <v>225</v>
      </c>
      <c r="Y623" s="4" t="s">
        <v>1372</v>
      </c>
      <c r="Z623" s="4">
        <v>0</v>
      </c>
      <c r="AA623" s="4">
        <v>0</v>
      </c>
      <c r="AB623" s="4" t="s">
        <v>215</v>
      </c>
      <c r="AC623">
        <v>622</v>
      </c>
    </row>
    <row r="624" spans="1:29" ht="16.5" customHeight="1" x14ac:dyDescent="0.2">
      <c r="A624" s="6" t="str">
        <f t="shared" si="19"/>
        <v>SDATOOL-42061 $ Murex Limit Control Intradía EOD</v>
      </c>
      <c r="B624" s="4" t="s">
        <v>3074</v>
      </c>
      <c r="C624" s="4" t="s">
        <v>3075</v>
      </c>
      <c r="D624" s="4" t="s">
        <v>183</v>
      </c>
      <c r="E624" s="4" t="s">
        <v>3076</v>
      </c>
      <c r="F624" s="4" t="s">
        <v>21</v>
      </c>
      <c r="G624" s="4" t="s">
        <v>185</v>
      </c>
      <c r="H624" s="4" t="s">
        <v>186</v>
      </c>
      <c r="I624" s="4" t="e">
        <v>#N/A</v>
      </c>
      <c r="K624" s="4" t="s">
        <v>386</v>
      </c>
      <c r="L624" s="4" t="s">
        <v>394</v>
      </c>
      <c r="M624" s="4" t="s">
        <v>3077</v>
      </c>
      <c r="N624" s="4" t="s">
        <v>44</v>
      </c>
      <c r="O624" s="13" t="s">
        <v>1149</v>
      </c>
      <c r="P624" s="13" t="s">
        <v>1562</v>
      </c>
      <c r="Q624" s="13" t="s">
        <v>299</v>
      </c>
      <c r="S624" s="7" t="e">
        <f ca="1">IF(_xludf.ifna(VLOOKUP(B624,Parámetros!#REF!,1,0),"")="","No","Sí")</f>
        <v>#NAME?</v>
      </c>
      <c r="T624" s="7" t="str">
        <f t="shared" si="20"/>
        <v>No normativo</v>
      </c>
      <c r="U624" s="4" t="s">
        <v>195</v>
      </c>
      <c r="V624" s="4" t="s">
        <v>39</v>
      </c>
      <c r="W624" s="4" t="s">
        <v>196</v>
      </c>
      <c r="X624" s="4" t="s">
        <v>328</v>
      </c>
      <c r="Y624" s="4" t="s">
        <v>1379</v>
      </c>
      <c r="Z624" s="5">
        <v>3030295869</v>
      </c>
      <c r="AA624" s="5">
        <v>4230295869</v>
      </c>
      <c r="AB624" s="4" t="s">
        <v>180</v>
      </c>
      <c r="AC624">
        <v>623</v>
      </c>
    </row>
    <row r="625" spans="1:29" ht="16.5" customHeight="1" x14ac:dyDescent="0.2">
      <c r="A625" s="6" t="str">
        <f t="shared" si="19"/>
        <v>SDATOOL-42081 $ Evolutivos Migración Murex 3</v>
      </c>
      <c r="B625" s="4" t="s">
        <v>3078</v>
      </c>
      <c r="C625" s="4" t="s">
        <v>3079</v>
      </c>
      <c r="D625" s="4" t="s">
        <v>183</v>
      </c>
      <c r="E625" s="4" t="s">
        <v>3080</v>
      </c>
      <c r="F625" s="4" t="s">
        <v>21</v>
      </c>
      <c r="G625" s="4" t="s">
        <v>185</v>
      </c>
      <c r="H625" s="4" t="s">
        <v>186</v>
      </c>
      <c r="K625" s="4" t="s">
        <v>386</v>
      </c>
      <c r="L625" s="4" t="s">
        <v>189</v>
      </c>
      <c r="M625" s="4" t="s">
        <v>3081</v>
      </c>
      <c r="N625" s="4" t="s">
        <v>44</v>
      </c>
      <c r="O625" s="13" t="s">
        <v>1149</v>
      </c>
      <c r="P625" s="13" t="s">
        <v>889</v>
      </c>
      <c r="Q625" s="13" t="s">
        <v>299</v>
      </c>
      <c r="S625" s="7" t="e">
        <f ca="1">IF(_xludf.ifna(VLOOKUP(B625,Parámetros!#REF!,1,0),"")="","No","Sí")</f>
        <v>#NAME?</v>
      </c>
      <c r="T625" s="7" t="str">
        <f t="shared" si="20"/>
        <v>Normativo</v>
      </c>
      <c r="U625" s="4" t="s">
        <v>195</v>
      </c>
      <c r="V625" s="4" t="s">
        <v>39</v>
      </c>
      <c r="W625" s="4" t="s">
        <v>196</v>
      </c>
      <c r="X625" s="4" t="s">
        <v>328</v>
      </c>
      <c r="Y625" s="4" t="s">
        <v>1379</v>
      </c>
      <c r="Z625" s="4">
        <v>0</v>
      </c>
      <c r="AA625" s="5">
        <v>471903506</v>
      </c>
      <c r="AB625" s="4" t="s">
        <v>215</v>
      </c>
      <c r="AC625">
        <v>624</v>
      </c>
    </row>
    <row r="626" spans="1:29" ht="16.5" hidden="1" customHeight="1" x14ac:dyDescent="0.2">
      <c r="A626" s="6" t="str">
        <f t="shared" si="19"/>
        <v>SDATOOL-42085 $ Mejoras Consola Veridas</v>
      </c>
      <c r="B626" s="4" t="s">
        <v>3082</v>
      </c>
      <c r="C626" s="4" t="s">
        <v>3083</v>
      </c>
      <c r="D626" s="4" t="s">
        <v>763</v>
      </c>
      <c r="E626" s="4" t="s">
        <v>3084</v>
      </c>
      <c r="F626" s="4" t="s">
        <v>43</v>
      </c>
      <c r="G626" s="4" t="s">
        <v>185</v>
      </c>
      <c r="H626" s="4" t="s">
        <v>752</v>
      </c>
      <c r="I626" s="4" t="e">
        <v>#N/A</v>
      </c>
      <c r="J626" s="4" t="s">
        <v>204</v>
      </c>
      <c r="K626" s="4" t="s">
        <v>189</v>
      </c>
      <c r="L626" s="4" t="s">
        <v>394</v>
      </c>
      <c r="M626" s="4" t="s">
        <v>3085</v>
      </c>
      <c r="N626" s="4" t="s">
        <v>15</v>
      </c>
      <c r="O626" s="13" t="s">
        <v>1437</v>
      </c>
      <c r="P626" s="13" t="s">
        <v>440</v>
      </c>
      <c r="Q626" s="13" t="s">
        <v>373</v>
      </c>
      <c r="S626" s="7" t="e">
        <f ca="1">IF(_xludf.ifna(VLOOKUP(B626,Parámetros!#REF!,1,0),"")="","No","Sí")</f>
        <v>#NAME?</v>
      </c>
      <c r="T626" s="7" t="str">
        <f t="shared" si="20"/>
        <v>No normativo</v>
      </c>
      <c r="U626" s="4" t="s">
        <v>195</v>
      </c>
      <c r="V626" s="4" t="s">
        <v>39</v>
      </c>
      <c r="W626" s="4" t="s">
        <v>212</v>
      </c>
      <c r="X626" s="4" t="s">
        <v>375</v>
      </c>
      <c r="Y626" s="4" t="s">
        <v>443</v>
      </c>
      <c r="Z626" s="4">
        <v>0</v>
      </c>
      <c r="AA626" s="4">
        <v>0</v>
      </c>
      <c r="AB626" s="4" t="s">
        <v>180</v>
      </c>
      <c r="AC626">
        <v>625</v>
      </c>
    </row>
    <row r="627" spans="1:29" ht="16.5" hidden="1" customHeight="1" x14ac:dyDescent="0.2">
      <c r="A627" s="6" t="str">
        <f t="shared" si="19"/>
        <v>SDATOOL-42086 $ Generacion de Norma de Fraude Interno para BBVA Colombia</v>
      </c>
      <c r="B627" s="4" t="s">
        <v>3086</v>
      </c>
      <c r="C627" s="4" t="s">
        <v>3087</v>
      </c>
      <c r="D627" s="4" t="s">
        <v>763</v>
      </c>
      <c r="E627" s="4" t="s">
        <v>3088</v>
      </c>
      <c r="F627" s="4" t="s">
        <v>43</v>
      </c>
      <c r="G627" s="4" t="s">
        <v>185</v>
      </c>
      <c r="H627" s="4" t="s">
        <v>752</v>
      </c>
      <c r="J627" s="4" t="s">
        <v>187</v>
      </c>
      <c r="K627" s="4" t="s">
        <v>189</v>
      </c>
      <c r="L627" s="4" t="s">
        <v>314</v>
      </c>
      <c r="M627" s="4" t="s">
        <v>3089</v>
      </c>
      <c r="N627" s="4" t="s">
        <v>15</v>
      </c>
      <c r="O627" s="13" t="s">
        <v>1437</v>
      </c>
      <c r="P627" s="13" t="s">
        <v>440</v>
      </c>
      <c r="Q627" s="13" t="s">
        <v>373</v>
      </c>
      <c r="S627" s="7" t="e">
        <f ca="1">IF(_xludf.ifna(VLOOKUP(B627,Parámetros!#REF!,1,0),"")="","No","Sí")</f>
        <v>#NAME?</v>
      </c>
      <c r="T627" s="7" t="str">
        <f t="shared" si="20"/>
        <v>Normativo</v>
      </c>
      <c r="U627" s="4" t="s">
        <v>195</v>
      </c>
      <c r="V627" s="4" t="s">
        <v>39</v>
      </c>
      <c r="W627" s="4" t="s">
        <v>212</v>
      </c>
      <c r="X627" s="4" t="s">
        <v>375</v>
      </c>
      <c r="Y627" s="4" t="s">
        <v>443</v>
      </c>
      <c r="Z627" s="4">
        <v>0</v>
      </c>
      <c r="AA627" s="4">
        <v>0</v>
      </c>
      <c r="AB627" s="4" t="s">
        <v>215</v>
      </c>
      <c r="AC627">
        <v>626</v>
      </c>
    </row>
    <row r="628" spans="1:29" ht="16.5" customHeight="1" x14ac:dyDescent="0.2">
      <c r="A628" s="6" t="str">
        <f t="shared" si="19"/>
        <v>SDATOOL-42098 $ GRM Col CRONOS Batch - Campañas SMeS</v>
      </c>
      <c r="B628" s="4" t="s">
        <v>3090</v>
      </c>
      <c r="C628" s="4" t="s">
        <v>3091</v>
      </c>
      <c r="D628" s="4" t="s">
        <v>763</v>
      </c>
      <c r="E628" s="4" t="s">
        <v>3092</v>
      </c>
      <c r="F628" s="4" t="s">
        <v>56</v>
      </c>
      <c r="G628" s="4" t="s">
        <v>185</v>
      </c>
      <c r="H628" s="4" t="s">
        <v>186</v>
      </c>
      <c r="I628" s="4" t="e">
        <v>#N/A</v>
      </c>
      <c r="K628" s="4" t="s">
        <v>189</v>
      </c>
      <c r="L628" s="4" t="s">
        <v>394</v>
      </c>
      <c r="M628" s="4" t="s">
        <v>3093</v>
      </c>
      <c r="N628" s="4" t="s">
        <v>51</v>
      </c>
      <c r="O628" s="13" t="s">
        <v>1778</v>
      </c>
      <c r="P628" s="13" t="s">
        <v>2346</v>
      </c>
      <c r="Q628" s="13" t="s">
        <v>222</v>
      </c>
      <c r="S628" s="7" t="e">
        <f ca="1">IF(_xludf.ifna(VLOOKUP(B628,Parámetros!#REF!,1,0),"")="","No","Sí")</f>
        <v>#NAME?</v>
      </c>
      <c r="T628" s="7" t="str">
        <f t="shared" si="20"/>
        <v>No normativo</v>
      </c>
      <c r="U628" s="4" t="s">
        <v>195</v>
      </c>
      <c r="V628" s="4" t="s">
        <v>39</v>
      </c>
      <c r="W628" s="4" t="s">
        <v>233</v>
      </c>
      <c r="X628" s="4" t="s">
        <v>234</v>
      </c>
      <c r="Y628" s="4" t="s">
        <v>520</v>
      </c>
      <c r="Z628" s="4">
        <v>0</v>
      </c>
      <c r="AA628" s="5">
        <v>650000000</v>
      </c>
      <c r="AB628" s="4" t="s">
        <v>180</v>
      </c>
      <c r="AC628">
        <v>627</v>
      </c>
    </row>
    <row r="629" spans="1:29" ht="16.5" hidden="1" customHeight="1" x14ac:dyDescent="0.2">
      <c r="A629" s="6" t="str">
        <f t="shared" si="19"/>
        <v>SDATOOL-42099 $ Seguros - Cuota Segura/Créditos de libranza (SEGUROS)</v>
      </c>
      <c r="B629" s="4" t="s">
        <v>3094</v>
      </c>
      <c r="C629" s="4" t="s">
        <v>3095</v>
      </c>
      <c r="D629" s="4" t="s">
        <v>763</v>
      </c>
      <c r="E629" s="4" t="s">
        <v>2023</v>
      </c>
      <c r="F629" s="4" t="s">
        <v>28</v>
      </c>
      <c r="G629" s="4" t="s">
        <v>185</v>
      </c>
      <c r="H629" s="4" t="s">
        <v>752</v>
      </c>
      <c r="J629" s="4" t="s">
        <v>204</v>
      </c>
      <c r="K629" s="4" t="s">
        <v>386</v>
      </c>
      <c r="L629" s="4" t="s">
        <v>240</v>
      </c>
      <c r="M629" s="4" t="s">
        <v>2024</v>
      </c>
      <c r="N629" s="4" t="s">
        <v>29</v>
      </c>
      <c r="O629" s="13" t="s">
        <v>1213</v>
      </c>
      <c r="P629" s="13" t="s">
        <v>499</v>
      </c>
      <c r="Q629" s="13" t="s">
        <v>1206</v>
      </c>
      <c r="S629" s="7" t="e">
        <f ca="1">IF(_xludf.ifna(VLOOKUP(B629,Parámetros!#REF!,1,0),"")="","No","Sí")</f>
        <v>#NAME?</v>
      </c>
      <c r="T629" s="7" t="str">
        <f t="shared" si="20"/>
        <v>No normativo</v>
      </c>
      <c r="U629" s="4" t="s">
        <v>195</v>
      </c>
      <c r="V629" s="4" t="s">
        <v>347</v>
      </c>
      <c r="W629" s="4" t="s">
        <v>300</v>
      </c>
      <c r="X629" s="4" t="s">
        <v>301</v>
      </c>
      <c r="Y629" s="4" t="s">
        <v>302</v>
      </c>
      <c r="Z629" s="4">
        <v>0</v>
      </c>
      <c r="AA629" s="4">
        <v>0</v>
      </c>
      <c r="AB629" s="4" t="s">
        <v>215</v>
      </c>
      <c r="AC629">
        <v>628</v>
      </c>
    </row>
    <row r="630" spans="1:29" ht="16.5" hidden="1" customHeight="1" x14ac:dyDescent="0.2">
      <c r="A630" s="6" t="str">
        <f t="shared" si="19"/>
        <v>SDATOOL-42104 $ Seguros - Evolutivo Autos/Casa en Orden</v>
      </c>
      <c r="B630" s="4" t="s">
        <v>3096</v>
      </c>
      <c r="C630" s="4" t="s">
        <v>3097</v>
      </c>
      <c r="D630" s="4" t="s">
        <v>763</v>
      </c>
      <c r="E630" s="4" t="s">
        <v>3098</v>
      </c>
      <c r="F630" s="4" t="s">
        <v>28</v>
      </c>
      <c r="G630" s="4" t="s">
        <v>185</v>
      </c>
      <c r="H630" s="4" t="s">
        <v>752</v>
      </c>
      <c r="J630" s="4" t="s">
        <v>204</v>
      </c>
      <c r="K630" s="4" t="s">
        <v>386</v>
      </c>
      <c r="L630" s="4" t="s">
        <v>189</v>
      </c>
      <c r="M630" s="4" t="s">
        <v>3098</v>
      </c>
      <c r="N630" s="4" t="s">
        <v>29</v>
      </c>
      <c r="O630" s="13" t="s">
        <v>646</v>
      </c>
      <c r="P630" s="13" t="s">
        <v>499</v>
      </c>
      <c r="Q630" s="13" t="s">
        <v>1206</v>
      </c>
      <c r="S630" s="7" t="e">
        <f ca="1">IF(_xludf.ifna(VLOOKUP(B630,Parámetros!#REF!,1,0),"")="","No","Sí")</f>
        <v>#NAME?</v>
      </c>
      <c r="T630" s="7" t="str">
        <f t="shared" si="20"/>
        <v>Normativo</v>
      </c>
      <c r="U630" s="4" t="s">
        <v>195</v>
      </c>
      <c r="V630" s="4" t="s">
        <v>347</v>
      </c>
      <c r="W630" s="4" t="s">
        <v>300</v>
      </c>
      <c r="X630" s="4" t="s">
        <v>301</v>
      </c>
      <c r="Y630" s="4" t="s">
        <v>302</v>
      </c>
      <c r="Z630" s="4">
        <v>0</v>
      </c>
      <c r="AA630" s="4">
        <v>0</v>
      </c>
      <c r="AB630" s="4" t="s">
        <v>215</v>
      </c>
      <c r="AC630">
        <v>629</v>
      </c>
    </row>
    <row r="631" spans="1:29" ht="16.5" hidden="1" customHeight="1" x14ac:dyDescent="0.2">
      <c r="A631" s="6" t="str">
        <f t="shared" si="19"/>
        <v>SDATOOL-42106 $ Emisión Certificados Tributarios a proveedores en Operaciones Sin Recurso (Proyecto Normativo)</v>
      </c>
      <c r="B631" s="4" t="s">
        <v>3099</v>
      </c>
      <c r="C631" s="4" t="s">
        <v>3100</v>
      </c>
      <c r="D631" s="4" t="s">
        <v>183</v>
      </c>
      <c r="E631" s="4" t="s">
        <v>3101</v>
      </c>
      <c r="F631" s="4" t="s">
        <v>28</v>
      </c>
      <c r="G631" s="4" t="s">
        <v>185</v>
      </c>
      <c r="H631" s="4" t="s">
        <v>752</v>
      </c>
      <c r="I631" s="4" t="e">
        <v>#N/A</v>
      </c>
      <c r="J631" s="4" t="s">
        <v>204</v>
      </c>
      <c r="K631" s="4" t="s">
        <v>386</v>
      </c>
      <c r="L631" s="4" t="s">
        <v>314</v>
      </c>
      <c r="M631" s="4" t="s">
        <v>3102</v>
      </c>
      <c r="N631" s="4" t="s">
        <v>22</v>
      </c>
      <c r="O631" s="13" t="s">
        <v>617</v>
      </c>
      <c r="P631" s="13" t="s">
        <v>433</v>
      </c>
      <c r="Q631" s="13" t="s">
        <v>434</v>
      </c>
      <c r="S631" s="7" t="e">
        <f ca="1">IF(_xludf.ifna(VLOOKUP(B631,Parámetros!#REF!,1,0),"")="","No","Sí")</f>
        <v>#NAME?</v>
      </c>
      <c r="T631" s="7" t="str">
        <f t="shared" si="20"/>
        <v>No normativo</v>
      </c>
      <c r="U631" s="4" t="s">
        <v>224</v>
      </c>
      <c r="V631" s="4" t="s">
        <v>39</v>
      </c>
      <c r="W631" s="4" t="s">
        <v>300</v>
      </c>
      <c r="X631" s="4" t="s">
        <v>301</v>
      </c>
      <c r="Y631" s="4" t="s">
        <v>755</v>
      </c>
      <c r="Z631" s="4">
        <v>0</v>
      </c>
      <c r="AA631" s="5">
        <v>58345393</v>
      </c>
      <c r="AB631" s="4" t="s">
        <v>180</v>
      </c>
      <c r="AC631">
        <v>630</v>
      </c>
    </row>
    <row r="632" spans="1:29" ht="16.5" customHeight="1" x14ac:dyDescent="0.2">
      <c r="A632" s="6" t="str">
        <f t="shared" si="19"/>
        <v>SDATOOL-42115 $ Cambio de nivel cajeros de Nivel 4 a Nivel 7</v>
      </c>
      <c r="B632" s="4" t="s">
        <v>3103</v>
      </c>
      <c r="C632" s="4" t="s">
        <v>3020</v>
      </c>
      <c r="D632" s="4" t="s">
        <v>183</v>
      </c>
      <c r="E632" s="4" t="s">
        <v>3021</v>
      </c>
      <c r="F632" s="4" t="s">
        <v>35</v>
      </c>
      <c r="G632" s="4" t="s">
        <v>185</v>
      </c>
      <c r="H632" s="4" t="s">
        <v>186</v>
      </c>
      <c r="I632" s="4" t="e">
        <v>#N/A</v>
      </c>
      <c r="J632" s="4" t="s">
        <v>187</v>
      </c>
      <c r="K632" s="4" t="s">
        <v>386</v>
      </c>
      <c r="L632" s="4" t="s">
        <v>394</v>
      </c>
      <c r="M632" s="4" t="s">
        <v>3104</v>
      </c>
      <c r="N632" s="4" t="s">
        <v>22</v>
      </c>
      <c r="O632" s="13" t="s">
        <v>412</v>
      </c>
      <c r="Q632" s="13" t="s">
        <v>2838</v>
      </c>
      <c r="S632" s="7" t="e">
        <f ca="1">IF(_xludf.ifna(VLOOKUP(B632,Parámetros!#REF!,1,0),"")="","No","Sí")</f>
        <v>#NAME?</v>
      </c>
      <c r="T632" s="7" t="str">
        <f t="shared" si="20"/>
        <v>Normativo</v>
      </c>
      <c r="U632" s="4" t="s">
        <v>195</v>
      </c>
      <c r="V632" s="4" t="s">
        <v>39</v>
      </c>
      <c r="W632" s="4" t="s">
        <v>300</v>
      </c>
      <c r="X632" s="4" t="s">
        <v>562</v>
      </c>
      <c r="Y632" s="4" t="s">
        <v>1304</v>
      </c>
      <c r="Z632" s="4">
        <v>0</v>
      </c>
      <c r="AA632" s="5">
        <v>1546083373</v>
      </c>
      <c r="AB632" s="4" t="s">
        <v>180</v>
      </c>
      <c r="AC632">
        <v>631</v>
      </c>
    </row>
    <row r="633" spans="1:29" ht="16.5" hidden="1" customHeight="1" x14ac:dyDescent="0.2">
      <c r="A633" s="6" t="str">
        <f t="shared" si="19"/>
        <v>SDATOOL-42127 $ Marcación de modalidad de Trabajo</v>
      </c>
      <c r="B633" s="4" t="s">
        <v>3105</v>
      </c>
      <c r="C633" s="4" t="s">
        <v>3106</v>
      </c>
      <c r="D633" s="4" t="s">
        <v>763</v>
      </c>
      <c r="E633" s="4" t="s">
        <v>3107</v>
      </c>
      <c r="F633" s="4" t="s">
        <v>30</v>
      </c>
      <c r="G633" s="4" t="s">
        <v>185</v>
      </c>
      <c r="H633" s="4" t="s">
        <v>752</v>
      </c>
      <c r="I633" s="4" t="e">
        <v>#N/A</v>
      </c>
      <c r="K633" s="4" t="s">
        <v>189</v>
      </c>
      <c r="L633" s="4" t="s">
        <v>394</v>
      </c>
      <c r="M633" s="4" t="s">
        <v>3108</v>
      </c>
      <c r="N633" s="4" t="s">
        <v>15</v>
      </c>
      <c r="O633" s="13" t="s">
        <v>964</v>
      </c>
      <c r="P633" s="13" t="s">
        <v>288</v>
      </c>
      <c r="S633" s="7" t="e">
        <f ca="1">IF(_xludf.ifna(VLOOKUP(B633,Parámetros!#REF!,1,0),"")="","No","Sí")</f>
        <v>#NAME?</v>
      </c>
      <c r="T633" s="7" t="str">
        <f t="shared" si="20"/>
        <v>No normativo</v>
      </c>
      <c r="U633" s="4" t="s">
        <v>1630</v>
      </c>
      <c r="V633" s="4" t="s">
        <v>39</v>
      </c>
      <c r="W633" s="4" t="s">
        <v>291</v>
      </c>
      <c r="X633" s="4" t="s">
        <v>292</v>
      </c>
      <c r="Y633" s="4" t="s">
        <v>1259</v>
      </c>
      <c r="Z633" s="4">
        <v>0</v>
      </c>
      <c r="AA633" s="4">
        <v>0</v>
      </c>
      <c r="AB633" s="4" t="s">
        <v>180</v>
      </c>
      <c r="AC633">
        <v>632</v>
      </c>
    </row>
    <row r="634" spans="1:29" ht="16.5" hidden="1" customHeight="1" x14ac:dyDescent="0.2">
      <c r="A634" s="6" t="str">
        <f t="shared" si="19"/>
        <v>SDATOOL-42144 $ Ahorro Fijo Digital Clientes</v>
      </c>
      <c r="B634" s="4" t="s">
        <v>3109</v>
      </c>
      <c r="C634" s="4" t="s">
        <v>3110</v>
      </c>
      <c r="D634" s="4" t="s">
        <v>763</v>
      </c>
      <c r="E634" s="4" t="s">
        <v>3111</v>
      </c>
      <c r="F634" s="4" t="s">
        <v>28</v>
      </c>
      <c r="G634" s="4" t="s">
        <v>185</v>
      </c>
      <c r="H634" s="4" t="s">
        <v>752</v>
      </c>
      <c r="J634" s="4" t="s">
        <v>431</v>
      </c>
      <c r="K634" s="4" t="s">
        <v>189</v>
      </c>
      <c r="L634" s="4" t="s">
        <v>2465</v>
      </c>
      <c r="M634" s="4" t="s">
        <v>3112</v>
      </c>
      <c r="N634" s="4" t="s">
        <v>29</v>
      </c>
      <c r="O634" s="13" t="s">
        <v>1801</v>
      </c>
      <c r="P634" s="13" t="s">
        <v>1253</v>
      </c>
      <c r="Q634" s="13" t="s">
        <v>697</v>
      </c>
      <c r="S634" s="7" t="e">
        <f ca="1">IF(_xludf.ifna(VLOOKUP(B634,Parámetros!#REF!,1,0),"")="","No","Sí")</f>
        <v>#NAME?</v>
      </c>
      <c r="T634" s="7" t="str">
        <f t="shared" si="20"/>
        <v>No normativo</v>
      </c>
      <c r="U634" s="4" t="s">
        <v>195</v>
      </c>
      <c r="V634" s="4" t="s">
        <v>39</v>
      </c>
      <c r="W634" s="4" t="s">
        <v>233</v>
      </c>
      <c r="X634" s="4" t="s">
        <v>234</v>
      </c>
      <c r="Y634" s="4" t="s">
        <v>2154</v>
      </c>
      <c r="Z634" s="4">
        <v>0</v>
      </c>
      <c r="AA634" s="4">
        <v>0</v>
      </c>
      <c r="AB634" s="4" t="s">
        <v>215</v>
      </c>
      <c r="AC634">
        <v>633</v>
      </c>
    </row>
    <row r="635" spans="1:29" ht="16.5" hidden="1" customHeight="1" x14ac:dyDescent="0.2">
      <c r="A635" s="6" t="str">
        <f t="shared" si="19"/>
        <v>SDATOOL-42154 $ Migración Aqua al flujo de tarjeta de crédito en Aliados</v>
      </c>
      <c r="B635" s="4" t="s">
        <v>3113</v>
      </c>
      <c r="C635" s="4" t="s">
        <v>3114</v>
      </c>
      <c r="D635" s="4" t="s">
        <v>183</v>
      </c>
      <c r="E635" s="4" t="s">
        <v>3115</v>
      </c>
      <c r="F635" s="4" t="s">
        <v>28</v>
      </c>
      <c r="G635" s="4" t="s">
        <v>185</v>
      </c>
      <c r="H635" s="4" t="s">
        <v>752</v>
      </c>
      <c r="J635" s="4" t="s">
        <v>204</v>
      </c>
      <c r="K635" s="4" t="s">
        <v>189</v>
      </c>
      <c r="L635" s="4" t="s">
        <v>314</v>
      </c>
      <c r="M635" s="4" t="s">
        <v>3116</v>
      </c>
      <c r="N635" s="4" t="s">
        <v>29</v>
      </c>
      <c r="O635" s="13" t="s">
        <v>480</v>
      </c>
      <c r="P635" s="13" t="s">
        <v>701</v>
      </c>
      <c r="Q635" s="13" t="s">
        <v>555</v>
      </c>
      <c r="S635" s="7" t="e">
        <f ca="1">IF(_xludf.ifna(VLOOKUP(B635,Parámetros!#REF!,1,0),"")="","No","Sí")</f>
        <v>#NAME?</v>
      </c>
      <c r="T635" s="7" t="str">
        <f t="shared" si="20"/>
        <v>No normativo</v>
      </c>
      <c r="U635" s="4" t="s">
        <v>195</v>
      </c>
      <c r="V635" s="4" t="s">
        <v>39</v>
      </c>
      <c r="W635" s="4" t="s">
        <v>233</v>
      </c>
      <c r="X635" s="4" t="s">
        <v>92</v>
      </c>
      <c r="Y635" s="4" t="s">
        <v>533</v>
      </c>
      <c r="Z635" s="4">
        <v>0</v>
      </c>
      <c r="AA635" s="4">
        <v>0</v>
      </c>
      <c r="AB635" s="4" t="s">
        <v>215</v>
      </c>
      <c r="AC635">
        <v>634</v>
      </c>
    </row>
    <row r="636" spans="1:29" ht="16.5" hidden="1" customHeight="1" x14ac:dyDescent="0.2">
      <c r="A636" s="6" t="str">
        <f t="shared" si="19"/>
        <v>SDATOOL-42155 $ Ajustes en proceso de Titularización y recompra de cartera titularizada</v>
      </c>
      <c r="B636" s="4" t="s">
        <v>3117</v>
      </c>
      <c r="C636" s="4" t="s">
        <v>3118</v>
      </c>
      <c r="D636" s="4" t="s">
        <v>183</v>
      </c>
      <c r="E636" s="4" t="s">
        <v>3119</v>
      </c>
      <c r="F636" s="4" t="s">
        <v>50</v>
      </c>
      <c r="G636" s="4" t="s">
        <v>185</v>
      </c>
      <c r="H636" s="4" t="s">
        <v>752</v>
      </c>
      <c r="K636" s="4" t="s">
        <v>386</v>
      </c>
      <c r="L636" s="4" t="s">
        <v>189</v>
      </c>
      <c r="M636" s="4" t="s">
        <v>3120</v>
      </c>
      <c r="N636" s="4" t="s">
        <v>15</v>
      </c>
      <c r="O636" s="13" t="s">
        <v>883</v>
      </c>
      <c r="P636" s="13" t="s">
        <v>3121</v>
      </c>
      <c r="Q636" s="13" t="s">
        <v>580</v>
      </c>
      <c r="S636" s="7" t="e">
        <f ca="1">IF(_xludf.ifna(VLOOKUP(B636,Parámetros!#REF!,1,0),"")="","No","Sí")</f>
        <v>#NAME?</v>
      </c>
      <c r="T636" s="7" t="str">
        <f t="shared" si="20"/>
        <v>No normativo</v>
      </c>
      <c r="U636" s="4" t="s">
        <v>1630</v>
      </c>
      <c r="V636" s="4" t="s">
        <v>39</v>
      </c>
      <c r="W636" s="4" t="s">
        <v>300</v>
      </c>
      <c r="X636" s="4" t="s">
        <v>301</v>
      </c>
      <c r="Y636" s="4" t="s">
        <v>755</v>
      </c>
      <c r="Z636" s="4">
        <v>0</v>
      </c>
      <c r="AA636" s="4">
        <v>0</v>
      </c>
      <c r="AB636" s="4" t="s">
        <v>180</v>
      </c>
      <c r="AC636">
        <v>635</v>
      </c>
    </row>
    <row r="637" spans="1:29" ht="16.5" hidden="1" customHeight="1" x14ac:dyDescent="0.2">
      <c r="A637" s="6" t="str">
        <f t="shared" si="19"/>
        <v>SDATOOL-42192 $ Transfiya en GloMo</v>
      </c>
      <c r="B637" s="4" t="s">
        <v>3122</v>
      </c>
      <c r="C637" s="4" t="s">
        <v>3123</v>
      </c>
      <c r="D637" s="4" t="s">
        <v>183</v>
      </c>
      <c r="E637" s="4" t="s">
        <v>3124</v>
      </c>
      <c r="F637" s="4" t="s">
        <v>28</v>
      </c>
      <c r="G637" s="4" t="s">
        <v>185</v>
      </c>
      <c r="H637" s="4" t="s">
        <v>752</v>
      </c>
      <c r="I637" s="4" t="e">
        <v>#N/A</v>
      </c>
      <c r="J637" s="4" t="s">
        <v>204</v>
      </c>
      <c r="K637" s="4" t="s">
        <v>189</v>
      </c>
      <c r="L637" s="4" t="s">
        <v>394</v>
      </c>
      <c r="M637" s="4" t="s">
        <v>3125</v>
      </c>
      <c r="N637" s="4" t="s">
        <v>29</v>
      </c>
      <c r="O637" s="13" t="s">
        <v>480</v>
      </c>
      <c r="P637" s="13" t="s">
        <v>704</v>
      </c>
      <c r="Q637" s="13" t="s">
        <v>3126</v>
      </c>
      <c r="S637" s="7" t="e">
        <f ca="1">IF(_xludf.ifna(VLOOKUP(B637,Parámetros!#REF!,1,0),"")="","No","Sí")</f>
        <v>#NAME?</v>
      </c>
      <c r="T637" s="7" t="str">
        <f t="shared" si="20"/>
        <v>Normativo</v>
      </c>
      <c r="U637" s="4" t="s">
        <v>195</v>
      </c>
      <c r="V637" s="4" t="s">
        <v>39</v>
      </c>
      <c r="W637" s="4" t="s">
        <v>233</v>
      </c>
      <c r="X637" s="4" t="s">
        <v>234</v>
      </c>
      <c r="Y637" s="4" t="s">
        <v>667</v>
      </c>
      <c r="Z637" s="4">
        <v>0</v>
      </c>
      <c r="AA637" s="5">
        <v>600000000</v>
      </c>
      <c r="AB637" s="4" t="s">
        <v>180</v>
      </c>
      <c r="AC637">
        <v>636</v>
      </c>
    </row>
    <row r="638" spans="1:29" ht="16.5" hidden="1" customHeight="1" x14ac:dyDescent="0.2">
      <c r="A638" s="6" t="str">
        <f t="shared" si="19"/>
        <v>SDATOOL-42201 $ GRM Col - Cronos Collections - Pago Dirigido Préstamos</v>
      </c>
      <c r="B638" s="4" t="s">
        <v>3127</v>
      </c>
      <c r="C638" s="4" t="s">
        <v>3128</v>
      </c>
      <c r="D638" s="4" t="s">
        <v>763</v>
      </c>
      <c r="E638" s="4" t="s">
        <v>3129</v>
      </c>
      <c r="F638" s="4" t="s">
        <v>56</v>
      </c>
      <c r="G638" s="4" t="s">
        <v>185</v>
      </c>
      <c r="H638" s="4" t="s">
        <v>752</v>
      </c>
      <c r="I638" s="4" t="e">
        <v>#N/A</v>
      </c>
      <c r="J638" s="4" t="s">
        <v>204</v>
      </c>
      <c r="K638" s="4" t="s">
        <v>189</v>
      </c>
      <c r="L638" s="4" t="s">
        <v>240</v>
      </c>
      <c r="M638" s="4" t="s">
        <v>3130</v>
      </c>
      <c r="N638" s="4" t="s">
        <v>29</v>
      </c>
      <c r="O638" s="13" t="s">
        <v>253</v>
      </c>
      <c r="P638" s="13" t="s">
        <v>254</v>
      </c>
      <c r="Q638" s="13" t="s">
        <v>3131</v>
      </c>
      <c r="S638" s="7" t="e">
        <f ca="1">IF(_xludf.ifna(VLOOKUP(B638,Parámetros!#REF!,1,0),"")="","No","Sí")</f>
        <v>#NAME?</v>
      </c>
      <c r="T638" s="7" t="str">
        <f t="shared" si="20"/>
        <v>Normativo</v>
      </c>
      <c r="U638" s="4" t="s">
        <v>1542</v>
      </c>
      <c r="V638" s="4" t="s">
        <v>39</v>
      </c>
      <c r="W638" s="4" t="s">
        <v>212</v>
      </c>
      <c r="X638" s="4" t="s">
        <v>2521</v>
      </c>
      <c r="Y638" s="4" t="s">
        <v>2522</v>
      </c>
      <c r="Z638" s="4">
        <v>0</v>
      </c>
      <c r="AA638" s="5">
        <v>550000000</v>
      </c>
      <c r="AB638" s="4" t="s">
        <v>180</v>
      </c>
      <c r="AC638">
        <v>637</v>
      </c>
    </row>
    <row r="639" spans="1:29" ht="16.5" hidden="1" customHeight="1" x14ac:dyDescent="0.2">
      <c r="A639" s="6" t="str">
        <f t="shared" si="19"/>
        <v>SDATOOL-42202 $ Apertura de oficina Puerto Inírida</v>
      </c>
      <c r="B639" s="4" t="s">
        <v>3132</v>
      </c>
      <c r="C639" s="4" t="s">
        <v>3133</v>
      </c>
      <c r="D639" s="4" t="s">
        <v>183</v>
      </c>
      <c r="E639" s="4" t="s">
        <v>2855</v>
      </c>
      <c r="F639" s="4" t="s">
        <v>35</v>
      </c>
      <c r="G639" s="4" t="s">
        <v>185</v>
      </c>
      <c r="H639" s="4" t="s">
        <v>752</v>
      </c>
      <c r="I639" s="4" t="e">
        <v>#N/A</v>
      </c>
      <c r="J639" s="4" t="s">
        <v>187</v>
      </c>
      <c r="K639" s="4" t="s">
        <v>386</v>
      </c>
      <c r="L639" s="4" t="s">
        <v>394</v>
      </c>
      <c r="M639" s="4" t="s">
        <v>2856</v>
      </c>
      <c r="N639" s="4" t="s">
        <v>36</v>
      </c>
      <c r="O639" s="13" t="s">
        <v>412</v>
      </c>
      <c r="P639" s="13" t="s">
        <v>650</v>
      </c>
      <c r="Q639" s="13" t="s">
        <v>2546</v>
      </c>
      <c r="S639" s="7" t="e">
        <f ca="1">IF(_xludf.ifna(VLOOKUP(B639,Parámetros!#REF!,1,0),"")="","No","Sí")</f>
        <v>#NAME?</v>
      </c>
      <c r="T639" s="7" t="str">
        <f t="shared" si="20"/>
        <v>No normativo</v>
      </c>
      <c r="U639" s="4" t="s">
        <v>195</v>
      </c>
      <c r="V639" s="4" t="s">
        <v>39</v>
      </c>
      <c r="W639" s="4" t="s">
        <v>196</v>
      </c>
      <c r="X639" s="4" t="s">
        <v>426</v>
      </c>
      <c r="Y639" s="4" t="s">
        <v>427</v>
      </c>
      <c r="Z639" s="4">
        <v>0</v>
      </c>
      <c r="AA639" s="5">
        <v>2705000000</v>
      </c>
      <c r="AB639" s="4" t="s">
        <v>180</v>
      </c>
      <c r="AC639">
        <v>638</v>
      </c>
    </row>
    <row r="640" spans="1:29" ht="16.5" hidden="1" customHeight="1" x14ac:dyDescent="0.2">
      <c r="A640" s="6" t="str">
        <f t="shared" si="19"/>
        <v>SDATOOL-42203 $ Adecuaciones físicas Banca Comercial</v>
      </c>
      <c r="B640" s="4" t="s">
        <v>3134</v>
      </c>
      <c r="C640" s="4" t="s">
        <v>3135</v>
      </c>
      <c r="D640" s="4" t="s">
        <v>183</v>
      </c>
      <c r="E640" s="4" t="s">
        <v>1360</v>
      </c>
      <c r="F640" s="4" t="s">
        <v>35</v>
      </c>
      <c r="G640" s="4" t="s">
        <v>185</v>
      </c>
      <c r="H640" s="4" t="s">
        <v>752</v>
      </c>
      <c r="I640" s="4" t="e">
        <v>#N/A</v>
      </c>
      <c r="J640" s="4" t="s">
        <v>187</v>
      </c>
      <c r="K640" s="4" t="s">
        <v>386</v>
      </c>
      <c r="L640" s="4" t="s">
        <v>394</v>
      </c>
      <c r="M640" s="4" t="s">
        <v>1361</v>
      </c>
      <c r="N640" s="4" t="s">
        <v>36</v>
      </c>
      <c r="O640" s="13" t="s">
        <v>412</v>
      </c>
      <c r="S640" s="7" t="e">
        <f ca="1">IF(_xludf.ifna(VLOOKUP(B640,Parámetros!#REF!,1,0),"")="","No","Sí")</f>
        <v>#NAME?</v>
      </c>
      <c r="T640" s="7" t="str">
        <f t="shared" si="20"/>
        <v>No normativo</v>
      </c>
      <c r="U640" s="4" t="s">
        <v>195</v>
      </c>
      <c r="V640" s="4" t="s">
        <v>39</v>
      </c>
      <c r="W640" s="4" t="s">
        <v>300</v>
      </c>
      <c r="X640" s="4" t="s">
        <v>301</v>
      </c>
      <c r="Y640" s="4" t="s">
        <v>302</v>
      </c>
      <c r="Z640" s="4">
        <v>0</v>
      </c>
      <c r="AA640" s="5">
        <v>130000000</v>
      </c>
      <c r="AB640" s="4" t="s">
        <v>180</v>
      </c>
      <c r="AC640">
        <v>639</v>
      </c>
    </row>
    <row r="641" spans="1:29" ht="16.5" hidden="1" customHeight="1" x14ac:dyDescent="0.2">
      <c r="A641" s="6" t="str">
        <f t="shared" si="19"/>
        <v>SDATOOL-42210 $ Seguros -Cuota Segura créditos de libranza</v>
      </c>
      <c r="B641" s="4" t="s">
        <v>3136</v>
      </c>
      <c r="C641" s="4" t="s">
        <v>3137</v>
      </c>
      <c r="D641" s="4" t="s">
        <v>763</v>
      </c>
      <c r="E641" s="4" t="s">
        <v>2023</v>
      </c>
      <c r="F641" s="4" t="s">
        <v>28</v>
      </c>
      <c r="G641" s="4" t="s">
        <v>185</v>
      </c>
      <c r="H641" s="4" t="s">
        <v>752</v>
      </c>
      <c r="J641" s="4" t="s">
        <v>204</v>
      </c>
      <c r="K641" s="4" t="s">
        <v>189</v>
      </c>
      <c r="L641" s="4" t="s">
        <v>394</v>
      </c>
      <c r="M641" s="4" t="s">
        <v>2024</v>
      </c>
      <c r="N641" s="4" t="s">
        <v>29</v>
      </c>
      <c r="O641" s="13" t="s">
        <v>646</v>
      </c>
      <c r="P641" s="13" t="s">
        <v>499</v>
      </c>
      <c r="Q641" s="13" t="s">
        <v>1206</v>
      </c>
      <c r="S641" s="7" t="e">
        <f ca="1">IF(_xludf.ifna(VLOOKUP(B641,Parámetros!#REF!,1,0),"")="","No","Sí")</f>
        <v>#NAME?</v>
      </c>
      <c r="T641" s="7" t="str">
        <f t="shared" si="20"/>
        <v>No normativo</v>
      </c>
      <c r="U641" s="4" t="s">
        <v>195</v>
      </c>
      <c r="V641" s="4" t="s">
        <v>347</v>
      </c>
      <c r="W641" s="4" t="s">
        <v>300</v>
      </c>
      <c r="X641" s="4" t="s">
        <v>301</v>
      </c>
      <c r="Y641" s="4" t="s">
        <v>302</v>
      </c>
      <c r="Z641" s="4">
        <v>0</v>
      </c>
      <c r="AA641" s="4">
        <v>0</v>
      </c>
      <c r="AB641" s="4" t="s">
        <v>215</v>
      </c>
      <c r="AC641">
        <v>640</v>
      </c>
    </row>
    <row r="642" spans="1:29" ht="16.5" hidden="1" customHeight="1" x14ac:dyDescent="0.2">
      <c r="A642" s="6" t="str">
        <f t="shared" si="19"/>
        <v>SDATOOL-42211 $ Onboarding cash management Netcash/Gema</v>
      </c>
      <c r="B642" s="4" t="s">
        <v>121</v>
      </c>
      <c r="C642" s="4" t="s">
        <v>2659</v>
      </c>
      <c r="D642" s="4" t="s">
        <v>183</v>
      </c>
      <c r="E642" s="4" t="s">
        <v>3138</v>
      </c>
      <c r="F642" s="4" t="s">
        <v>28</v>
      </c>
      <c r="G642" s="4" t="s">
        <v>185</v>
      </c>
      <c r="H642" s="4" t="s">
        <v>752</v>
      </c>
      <c r="I642" s="4" t="e">
        <v>#N/A</v>
      </c>
      <c r="J642" s="4" t="s">
        <v>204</v>
      </c>
      <c r="K642" s="4" t="s">
        <v>386</v>
      </c>
      <c r="L642" s="4" t="s">
        <v>394</v>
      </c>
      <c r="M642" s="4" t="s">
        <v>2661</v>
      </c>
      <c r="N642" s="4" t="s">
        <v>51</v>
      </c>
      <c r="O642" s="13" t="s">
        <v>541</v>
      </c>
      <c r="P642" s="13" t="s">
        <v>3139</v>
      </c>
      <c r="Q642" s="13" t="s">
        <v>434</v>
      </c>
      <c r="S642" s="7" t="e">
        <f ca="1">IF(_xludf.ifna(VLOOKUP(B642,Parámetros!#REF!,1,0),"")="","No","Sí")</f>
        <v>#NAME?</v>
      </c>
      <c r="T642" s="7" t="str">
        <f t="shared" si="20"/>
        <v>Normativo</v>
      </c>
      <c r="U642" s="4" t="s">
        <v>195</v>
      </c>
      <c r="V642" s="4" t="s">
        <v>39</v>
      </c>
      <c r="W642" s="4" t="s">
        <v>291</v>
      </c>
      <c r="X642" s="4" t="s">
        <v>292</v>
      </c>
      <c r="Y642" s="4" t="s">
        <v>1478</v>
      </c>
      <c r="Z642" s="4">
        <v>0</v>
      </c>
      <c r="AA642" s="4">
        <v>0</v>
      </c>
      <c r="AB642" s="4" t="s">
        <v>180</v>
      </c>
      <c r="AC642">
        <v>641</v>
      </c>
    </row>
    <row r="643" spans="1:29" ht="16.5" hidden="1" customHeight="1" x14ac:dyDescent="0.2">
      <c r="A643" s="6" t="str">
        <f t="shared" ref="A643:A674" si="21">B643&amp;" $ "&amp;C643</f>
        <v>SDATOOL-42212 $ Capa Gestora Light - Colombia</v>
      </c>
      <c r="B643" s="4" t="s">
        <v>3140</v>
      </c>
      <c r="C643" s="4" t="s">
        <v>3141</v>
      </c>
      <c r="D643" s="4" t="s">
        <v>183</v>
      </c>
      <c r="E643" s="4" t="s">
        <v>3142</v>
      </c>
      <c r="F643" s="4" t="s">
        <v>28</v>
      </c>
      <c r="G643" s="4" t="s">
        <v>185</v>
      </c>
      <c r="H643" s="4" t="s">
        <v>752</v>
      </c>
      <c r="I643" s="4" t="e">
        <v>#N/A</v>
      </c>
      <c r="J643" s="4" t="s">
        <v>204</v>
      </c>
      <c r="K643" s="4" t="s">
        <v>189</v>
      </c>
      <c r="L643" s="4" t="s">
        <v>394</v>
      </c>
      <c r="M643" s="4" t="s">
        <v>3143</v>
      </c>
      <c r="N643" s="4" t="s">
        <v>36</v>
      </c>
      <c r="O643" s="13" t="s">
        <v>2965</v>
      </c>
      <c r="P643" s="13" t="s">
        <v>861</v>
      </c>
      <c r="Q643" s="13" t="s">
        <v>519</v>
      </c>
      <c r="S643" s="7" t="e">
        <f ca="1">IF(_xludf.ifna(VLOOKUP(B643,Parámetros!#REF!,1,0),"")="","No","Sí")</f>
        <v>#NAME?</v>
      </c>
      <c r="T643" s="7" t="str">
        <f t="shared" ref="T643:T674" si="22">IF(U649="None","No normativo","Normativo")</f>
        <v>Normativo</v>
      </c>
      <c r="U643" s="4" t="s">
        <v>2717</v>
      </c>
      <c r="V643" s="4" t="s">
        <v>39</v>
      </c>
      <c r="W643" s="4" t="s">
        <v>233</v>
      </c>
      <c r="X643" s="4" t="s">
        <v>234</v>
      </c>
      <c r="Y643" s="4" t="s">
        <v>435</v>
      </c>
      <c r="Z643" s="4">
        <v>0</v>
      </c>
      <c r="AA643" s="4">
        <v>0</v>
      </c>
      <c r="AB643" s="4" t="s">
        <v>180</v>
      </c>
      <c r="AC643">
        <v>642</v>
      </c>
    </row>
    <row r="644" spans="1:29" ht="16.5" hidden="1" customHeight="1" x14ac:dyDescent="0.2">
      <c r="A644" s="6" t="str">
        <f t="shared" si="21"/>
        <v>SDATOOL-42213 $ Creación nuevos conceptos recaudo impuestos DIAN - Ley 2277 del 2022 MinHacienda</v>
      </c>
      <c r="B644" s="4" t="s">
        <v>3144</v>
      </c>
      <c r="C644" s="4" t="s">
        <v>3145</v>
      </c>
      <c r="D644" s="4" t="s">
        <v>183</v>
      </c>
      <c r="E644" s="4" t="s">
        <v>3146</v>
      </c>
      <c r="F644" s="4" t="s">
        <v>28</v>
      </c>
      <c r="G644" s="4" t="s">
        <v>185</v>
      </c>
      <c r="H644" s="4" t="s">
        <v>752</v>
      </c>
      <c r="I644" s="4" t="e">
        <v>#N/A</v>
      </c>
      <c r="J644" s="4" t="s">
        <v>204</v>
      </c>
      <c r="K644" s="4" t="s">
        <v>386</v>
      </c>
      <c r="L644" s="4" t="s">
        <v>189</v>
      </c>
      <c r="M644" s="4" t="s">
        <v>3147</v>
      </c>
      <c r="N644" s="4" t="s">
        <v>15</v>
      </c>
      <c r="O644" s="13" t="s">
        <v>541</v>
      </c>
      <c r="P644" s="13" t="s">
        <v>542</v>
      </c>
      <c r="Q644" s="13" t="s">
        <v>543</v>
      </c>
      <c r="S644" s="7" t="e">
        <f ca="1">IF(_xludf.ifna(VLOOKUP(B644,Parámetros!#REF!,1,0),"")="","No","Sí")</f>
        <v>#NAME?</v>
      </c>
      <c r="T644" s="7" t="str">
        <f t="shared" si="22"/>
        <v>No normativo</v>
      </c>
      <c r="U644" s="4" t="s">
        <v>224</v>
      </c>
      <c r="V644" s="4" t="s">
        <v>39</v>
      </c>
      <c r="W644" s="4" t="s">
        <v>300</v>
      </c>
      <c r="X644" s="4" t="s">
        <v>301</v>
      </c>
      <c r="Y644" s="4" t="s">
        <v>755</v>
      </c>
      <c r="Z644" s="4">
        <v>0</v>
      </c>
      <c r="AA644" s="4">
        <v>0</v>
      </c>
      <c r="AB644" s="4" t="s">
        <v>180</v>
      </c>
      <c r="AC644">
        <v>643</v>
      </c>
    </row>
    <row r="645" spans="1:29" ht="16.5" hidden="1" customHeight="1" x14ac:dyDescent="0.2">
      <c r="A645" s="6" t="str">
        <f t="shared" si="21"/>
        <v>SDATOOL-42227 $ Valores en GLOMO</v>
      </c>
      <c r="B645" s="4" t="s">
        <v>3148</v>
      </c>
      <c r="C645" s="4" t="s">
        <v>3149</v>
      </c>
      <c r="D645" s="4" t="s">
        <v>763</v>
      </c>
      <c r="E645" s="4" t="s">
        <v>3150</v>
      </c>
      <c r="F645" s="4" t="s">
        <v>28</v>
      </c>
      <c r="G645" s="4" t="s">
        <v>185</v>
      </c>
      <c r="H645" s="4" t="s">
        <v>752</v>
      </c>
      <c r="I645" s="4" t="e">
        <v>#N/A</v>
      </c>
      <c r="J645" s="4" t="s">
        <v>204</v>
      </c>
      <c r="K645" s="4" t="s">
        <v>189</v>
      </c>
      <c r="L645" s="4" t="s">
        <v>394</v>
      </c>
      <c r="M645" s="4" t="s">
        <v>1811</v>
      </c>
      <c r="N645" s="4" t="s">
        <v>29</v>
      </c>
      <c r="O645" s="13" t="s">
        <v>412</v>
      </c>
      <c r="P645" s="13" t="s">
        <v>861</v>
      </c>
      <c r="Q645" s="13" t="s">
        <v>1646</v>
      </c>
      <c r="S645" s="7" t="e">
        <f ca="1">IF(_xludf.ifna(VLOOKUP(B645,Parámetros!#REF!,1,0),"")="","No","Sí")</f>
        <v>#NAME?</v>
      </c>
      <c r="T645" s="7" t="str">
        <f t="shared" si="22"/>
        <v>No normativo</v>
      </c>
      <c r="U645" s="4" t="s">
        <v>195</v>
      </c>
      <c r="V645" s="4" t="s">
        <v>39</v>
      </c>
      <c r="W645" s="4" t="s">
        <v>2710</v>
      </c>
      <c r="X645" s="4" t="s">
        <v>2711</v>
      </c>
      <c r="Y645" s="4" t="s">
        <v>3151</v>
      </c>
      <c r="Z645" s="4">
        <v>0</v>
      </c>
      <c r="AA645" s="4">
        <v>0</v>
      </c>
      <c r="AB645" s="4" t="s">
        <v>180</v>
      </c>
      <c r="AC645">
        <v>644</v>
      </c>
    </row>
    <row r="646" spans="1:29" ht="16.5" hidden="1" customHeight="1" x14ac:dyDescent="0.2">
      <c r="A646" s="6" t="str">
        <f t="shared" si="21"/>
        <v>SDATOOL-42228 $ Actualización de Murex con producto Swap INFL</v>
      </c>
      <c r="B646" s="4" t="s">
        <v>3152</v>
      </c>
      <c r="C646" s="4" t="s">
        <v>3153</v>
      </c>
      <c r="D646" s="4" t="s">
        <v>183</v>
      </c>
      <c r="E646" s="4" t="s">
        <v>3154</v>
      </c>
      <c r="F646" s="4" t="s">
        <v>21</v>
      </c>
      <c r="G646" s="4" t="s">
        <v>185</v>
      </c>
      <c r="H646" s="4" t="s">
        <v>752</v>
      </c>
      <c r="K646" s="4" t="s">
        <v>386</v>
      </c>
      <c r="L646" s="4" t="s">
        <v>189</v>
      </c>
      <c r="M646" s="4" t="s">
        <v>3154</v>
      </c>
      <c r="N646" s="4" t="s">
        <v>44</v>
      </c>
      <c r="O646" s="13" t="s">
        <v>1149</v>
      </c>
      <c r="P646" s="13" t="s">
        <v>889</v>
      </c>
      <c r="Q646" s="13" t="s">
        <v>2605</v>
      </c>
      <c r="S646" s="7" t="e">
        <f ca="1">IF(_xludf.ifna(VLOOKUP(B646,Parámetros!#REF!,1,0),"")="","No","Sí")</f>
        <v>#NAME?</v>
      </c>
      <c r="T646" s="7" t="str">
        <f t="shared" si="22"/>
        <v>Normativo</v>
      </c>
      <c r="U646" s="4" t="s">
        <v>195</v>
      </c>
      <c r="V646" s="4" t="s">
        <v>39</v>
      </c>
      <c r="W646" s="4" t="s">
        <v>196</v>
      </c>
      <c r="X646" s="4" t="s">
        <v>328</v>
      </c>
      <c r="Y646" s="4" t="s">
        <v>1379</v>
      </c>
      <c r="Z646" s="4">
        <v>0</v>
      </c>
      <c r="AA646" s="4">
        <v>0</v>
      </c>
      <c r="AB646" s="4" t="s">
        <v>215</v>
      </c>
      <c r="AC646">
        <v>645</v>
      </c>
    </row>
    <row r="647" spans="1:29" ht="16.5" hidden="1" customHeight="1" x14ac:dyDescent="0.2">
      <c r="A647" s="6" t="str">
        <f t="shared" si="21"/>
        <v>SDATOOL-42237 $ Migración a RDR</v>
      </c>
      <c r="B647" s="4" t="s">
        <v>3155</v>
      </c>
      <c r="C647" s="4" t="s">
        <v>3156</v>
      </c>
      <c r="D647" s="4" t="s">
        <v>763</v>
      </c>
      <c r="E647" s="4" t="s">
        <v>3157</v>
      </c>
      <c r="F647" s="4" t="s">
        <v>21</v>
      </c>
      <c r="G647" s="4" t="s">
        <v>185</v>
      </c>
      <c r="H647" s="4" t="s">
        <v>752</v>
      </c>
      <c r="K647" s="4" t="s">
        <v>386</v>
      </c>
      <c r="L647" s="4" t="s">
        <v>189</v>
      </c>
      <c r="M647" s="4" t="s">
        <v>3157</v>
      </c>
      <c r="N647" s="4" t="s">
        <v>44</v>
      </c>
      <c r="O647" s="13" t="s">
        <v>2605</v>
      </c>
      <c r="P647" s="13" t="s">
        <v>889</v>
      </c>
      <c r="Q647" s="13" t="s">
        <v>3158</v>
      </c>
      <c r="S647" s="7" t="e">
        <f ca="1">IF(_xludf.ifna(VLOOKUP(B647,Parámetros!#REF!,1,0),"")="","No","Sí")</f>
        <v>#NAME?</v>
      </c>
      <c r="T647" s="7" t="str">
        <f t="shared" si="22"/>
        <v>No normativo</v>
      </c>
      <c r="U647" s="4" t="s">
        <v>195</v>
      </c>
      <c r="V647" s="4" t="s">
        <v>39</v>
      </c>
      <c r="W647" s="4" t="s">
        <v>212</v>
      </c>
      <c r="X647" s="4" t="s">
        <v>2521</v>
      </c>
      <c r="Y647" s="4" t="s">
        <v>2522</v>
      </c>
      <c r="Z647" s="4">
        <v>0</v>
      </c>
      <c r="AA647" s="4">
        <v>0</v>
      </c>
      <c r="AB647" s="4" t="s">
        <v>215</v>
      </c>
      <c r="AC647">
        <v>646</v>
      </c>
    </row>
    <row r="648" spans="1:29" ht="16.5" hidden="1" customHeight="1" x14ac:dyDescent="0.2">
      <c r="A648" s="6" t="str">
        <f t="shared" si="21"/>
        <v>SDATOOL-42238 $ Reglamentación del Registro Único de Beneficiarios Finales -DIAN</v>
      </c>
      <c r="B648" s="4" t="s">
        <v>3159</v>
      </c>
      <c r="C648" s="4" t="s">
        <v>3160</v>
      </c>
      <c r="D648" s="4" t="s">
        <v>763</v>
      </c>
      <c r="E648" s="4" t="s">
        <v>3161</v>
      </c>
      <c r="F648" s="4" t="s">
        <v>28</v>
      </c>
      <c r="G648" s="4" t="s">
        <v>185</v>
      </c>
      <c r="H648" s="4" t="s">
        <v>752</v>
      </c>
      <c r="J648" s="4" t="s">
        <v>204</v>
      </c>
      <c r="K648" s="4" t="s">
        <v>386</v>
      </c>
      <c r="L648" s="4" t="s">
        <v>189</v>
      </c>
      <c r="M648" s="4" t="s">
        <v>3162</v>
      </c>
      <c r="N648" s="4" t="s">
        <v>22</v>
      </c>
      <c r="O648" s="13" t="s">
        <v>1659</v>
      </c>
      <c r="P648" s="13" t="s">
        <v>3163</v>
      </c>
      <c r="Q648" s="13" t="s">
        <v>1661</v>
      </c>
      <c r="S648" s="7" t="e">
        <f ca="1">IF(_xludf.ifna(VLOOKUP(B648,Parámetros!#REF!,1,0),"")="","No","Sí")</f>
        <v>#NAME?</v>
      </c>
      <c r="T648" s="7" t="str">
        <f t="shared" si="22"/>
        <v>No normativo</v>
      </c>
      <c r="U648" s="4" t="s">
        <v>224</v>
      </c>
      <c r="V648" s="4" t="s">
        <v>39</v>
      </c>
      <c r="W648" s="4" t="s">
        <v>212</v>
      </c>
      <c r="X648" s="4" t="s">
        <v>2521</v>
      </c>
      <c r="Y648" s="4" t="s">
        <v>2522</v>
      </c>
      <c r="Z648" s="4">
        <v>0</v>
      </c>
      <c r="AA648" s="4">
        <v>0</v>
      </c>
      <c r="AB648" s="4" t="s">
        <v>215</v>
      </c>
      <c r="AC648">
        <v>647</v>
      </c>
    </row>
    <row r="649" spans="1:29" ht="16.5" hidden="1" customHeight="1" x14ac:dyDescent="0.2">
      <c r="A649" s="6" t="str">
        <f t="shared" si="21"/>
        <v>SDATOOL-42263 $ Ajustes en tasas de captación y operaciones del mercado monetario</v>
      </c>
      <c r="B649" s="4" t="s">
        <v>3164</v>
      </c>
      <c r="C649" s="4" t="s">
        <v>3165</v>
      </c>
      <c r="D649" s="4" t="s">
        <v>183</v>
      </c>
      <c r="E649" s="4" t="s">
        <v>3166</v>
      </c>
      <c r="F649" s="4" t="s">
        <v>50</v>
      </c>
      <c r="G649" s="4" t="s">
        <v>185</v>
      </c>
      <c r="H649" s="4" t="s">
        <v>752</v>
      </c>
      <c r="K649" s="4" t="s">
        <v>189</v>
      </c>
      <c r="L649" s="4" t="s">
        <v>314</v>
      </c>
      <c r="M649" s="4" t="s">
        <v>3167</v>
      </c>
      <c r="N649" s="4" t="s">
        <v>15</v>
      </c>
      <c r="O649" s="13" t="s">
        <v>3168</v>
      </c>
      <c r="P649" s="13" t="s">
        <v>3121</v>
      </c>
      <c r="Q649" s="13" t="s">
        <v>697</v>
      </c>
      <c r="S649" s="7" t="e">
        <f ca="1">IF(_xludf.ifna(VLOOKUP(B649,Parámetros!#REF!,1,0),"")="","No","Sí")</f>
        <v>#NAME?</v>
      </c>
      <c r="T649" s="7" t="str">
        <f t="shared" si="22"/>
        <v>Normativo</v>
      </c>
      <c r="U649" s="4" t="s">
        <v>224</v>
      </c>
      <c r="V649" s="4" t="s">
        <v>39</v>
      </c>
      <c r="W649" s="4" t="s">
        <v>300</v>
      </c>
      <c r="X649" s="4" t="s">
        <v>301</v>
      </c>
      <c r="Y649" s="4" t="s">
        <v>755</v>
      </c>
      <c r="Z649" s="4">
        <v>0</v>
      </c>
      <c r="AA649" s="4">
        <v>0</v>
      </c>
      <c r="AB649" s="4" t="s">
        <v>215</v>
      </c>
      <c r="AC649">
        <v>648</v>
      </c>
    </row>
    <row r="650" spans="1:29" ht="16.5" hidden="1" customHeight="1" x14ac:dyDescent="0.2">
      <c r="A650" s="6" t="str">
        <f t="shared" si="21"/>
        <v>SDATOOL-42264 $ Seguros - Calculo Extra prima valores superiores a 9.999.999</v>
      </c>
      <c r="B650" s="4" t="s">
        <v>3169</v>
      </c>
      <c r="C650" s="4" t="s">
        <v>3170</v>
      </c>
      <c r="D650" s="4" t="s">
        <v>763</v>
      </c>
      <c r="E650" s="4" t="s">
        <v>3171</v>
      </c>
      <c r="F650" s="4" t="s">
        <v>28</v>
      </c>
      <c r="G650" s="4" t="s">
        <v>185</v>
      </c>
      <c r="H650" s="4" t="s">
        <v>752</v>
      </c>
      <c r="J650" s="4" t="s">
        <v>204</v>
      </c>
      <c r="K650" s="4" t="s">
        <v>386</v>
      </c>
      <c r="L650" s="4" t="s">
        <v>189</v>
      </c>
      <c r="M650" s="4" t="s">
        <v>3172</v>
      </c>
      <c r="N650" s="4" t="s">
        <v>29</v>
      </c>
      <c r="O650" s="13" t="s">
        <v>646</v>
      </c>
      <c r="P650" s="13" t="s">
        <v>499</v>
      </c>
      <c r="Q650" s="13" t="s">
        <v>1206</v>
      </c>
      <c r="S650" s="7" t="e">
        <f ca="1">IF(_xludf.ifna(VLOOKUP(B650,Parámetros!#REF!,1,0),"")="","No","Sí")</f>
        <v>#NAME?</v>
      </c>
      <c r="T650" s="7" t="str">
        <f t="shared" si="22"/>
        <v>No normativo</v>
      </c>
      <c r="U650" s="4" t="s">
        <v>195</v>
      </c>
      <c r="V650" s="4" t="s">
        <v>347</v>
      </c>
      <c r="W650" s="4" t="s">
        <v>233</v>
      </c>
      <c r="X650" s="4" t="s">
        <v>234</v>
      </c>
      <c r="Y650" s="4" t="s">
        <v>501</v>
      </c>
      <c r="Z650" s="4">
        <v>0</v>
      </c>
      <c r="AA650" s="4">
        <v>0</v>
      </c>
      <c r="AB650" s="4" t="s">
        <v>215</v>
      </c>
      <c r="AC650">
        <v>649</v>
      </c>
    </row>
    <row r="651" spans="1:29" ht="16.5" hidden="1" customHeight="1" x14ac:dyDescent="0.2">
      <c r="A651" s="6" t="str">
        <f t="shared" si="21"/>
        <v>SDATOOL-42265 $ Seguros - Verificación de Identidad CE27</v>
      </c>
      <c r="B651" s="4" t="s">
        <v>3173</v>
      </c>
      <c r="C651" s="4" t="s">
        <v>3174</v>
      </c>
      <c r="D651" s="4" t="s">
        <v>183</v>
      </c>
      <c r="E651" s="4" t="s">
        <v>3175</v>
      </c>
      <c r="F651" s="4" t="s">
        <v>28</v>
      </c>
      <c r="G651" s="4" t="s">
        <v>185</v>
      </c>
      <c r="H651" s="4" t="s">
        <v>752</v>
      </c>
      <c r="J651" s="4" t="s">
        <v>204</v>
      </c>
      <c r="K651" s="4" t="s">
        <v>386</v>
      </c>
      <c r="L651" s="4" t="s">
        <v>394</v>
      </c>
      <c r="M651" s="4" t="s">
        <v>3176</v>
      </c>
      <c r="N651" s="4" t="s">
        <v>29</v>
      </c>
      <c r="O651" s="13" t="s">
        <v>646</v>
      </c>
      <c r="P651" s="13" t="s">
        <v>499</v>
      </c>
      <c r="Q651" s="13" t="s">
        <v>1223</v>
      </c>
      <c r="S651" s="7" t="e">
        <f ca="1">IF(_xludf.ifna(VLOOKUP(B651,Parámetros!#REF!,1,0),"")="","No","Sí")</f>
        <v>#NAME?</v>
      </c>
      <c r="T651" s="7" t="str">
        <f t="shared" si="22"/>
        <v>Normativo</v>
      </c>
      <c r="U651" s="4" t="s">
        <v>195</v>
      </c>
      <c r="V651" s="4" t="s">
        <v>347</v>
      </c>
      <c r="W651" s="4" t="s">
        <v>233</v>
      </c>
      <c r="X651" s="4" t="s">
        <v>234</v>
      </c>
      <c r="Y651" s="4" t="s">
        <v>501</v>
      </c>
      <c r="Z651" s="4">
        <v>0</v>
      </c>
      <c r="AA651" s="4">
        <v>0</v>
      </c>
      <c r="AB651" s="4" t="s">
        <v>215</v>
      </c>
      <c r="AC651">
        <v>650</v>
      </c>
    </row>
    <row r="652" spans="1:29" ht="16.5" hidden="1" customHeight="1" x14ac:dyDescent="0.2">
      <c r="A652" s="6" t="str">
        <f t="shared" si="21"/>
        <v>SDATOOL-42269 $ GRM Col - LIFE Riesgos Estructurales</v>
      </c>
      <c r="B652" s="4" t="s">
        <v>3177</v>
      </c>
      <c r="C652" s="4" t="s">
        <v>3178</v>
      </c>
      <c r="D652" s="4" t="s">
        <v>763</v>
      </c>
      <c r="E652" s="4" t="s">
        <v>3179</v>
      </c>
      <c r="F652" s="4" t="s">
        <v>56</v>
      </c>
      <c r="G652" s="4" t="s">
        <v>185</v>
      </c>
      <c r="H652" s="4" t="s">
        <v>752</v>
      </c>
      <c r="J652" s="4" t="s">
        <v>204</v>
      </c>
      <c r="K652" s="4" t="s">
        <v>189</v>
      </c>
      <c r="L652" s="4" t="s">
        <v>729</v>
      </c>
      <c r="M652" s="4" t="s">
        <v>3180</v>
      </c>
      <c r="N652" s="4" t="s">
        <v>15</v>
      </c>
      <c r="O652" s="13" t="s">
        <v>3181</v>
      </c>
      <c r="P652" s="13" t="s">
        <v>326</v>
      </c>
      <c r="S652" s="7" t="e">
        <f ca="1">IF(_xludf.ifna(VLOOKUP(B652,Parámetros!#REF!,1,0),"")="","No","Sí")</f>
        <v>#NAME?</v>
      </c>
      <c r="T652" s="7" t="str">
        <f t="shared" si="22"/>
        <v>Normativo</v>
      </c>
      <c r="U652" s="4" t="s">
        <v>224</v>
      </c>
      <c r="V652" s="4" t="s">
        <v>39</v>
      </c>
      <c r="W652" s="4" t="s">
        <v>196</v>
      </c>
      <c r="X652" s="4" t="s">
        <v>328</v>
      </c>
      <c r="Y652" s="4" t="s">
        <v>1379</v>
      </c>
      <c r="Z652" s="4">
        <v>0</v>
      </c>
      <c r="AA652" s="4">
        <v>0</v>
      </c>
      <c r="AB652" s="4" t="s">
        <v>215</v>
      </c>
      <c r="AC652">
        <v>651</v>
      </c>
    </row>
    <row r="653" spans="1:29" ht="16.5" hidden="1" customHeight="1" x14ac:dyDescent="0.2">
      <c r="A653" s="6" t="str">
        <f t="shared" si="21"/>
        <v>SDATOOL-42272 $ Traslado oficina Buenaventura</v>
      </c>
      <c r="B653" s="4" t="s">
        <v>3182</v>
      </c>
      <c r="C653" s="4" t="s">
        <v>3183</v>
      </c>
      <c r="D653" s="4" t="s">
        <v>183</v>
      </c>
      <c r="E653" s="4" t="s">
        <v>3184</v>
      </c>
      <c r="F653" s="4" t="s">
        <v>35</v>
      </c>
      <c r="G653" s="4" t="s">
        <v>185</v>
      </c>
      <c r="H653" s="4" t="s">
        <v>752</v>
      </c>
      <c r="J653" s="4" t="s">
        <v>187</v>
      </c>
      <c r="K653" s="4" t="s">
        <v>386</v>
      </c>
      <c r="L653" s="4" t="s">
        <v>314</v>
      </c>
      <c r="M653" s="4" t="s">
        <v>3185</v>
      </c>
      <c r="N653" s="4" t="s">
        <v>36</v>
      </c>
      <c r="O653" s="13" t="s">
        <v>412</v>
      </c>
      <c r="P653" s="13" t="s">
        <v>650</v>
      </c>
      <c r="Q653" s="13" t="s">
        <v>2546</v>
      </c>
      <c r="S653" s="7" t="e">
        <f ca="1">IF(_xludf.ifna(VLOOKUP(B653,Parámetros!#REF!,1,0),"")="","No","Sí")</f>
        <v>#NAME?</v>
      </c>
      <c r="T653" s="7" t="str">
        <f t="shared" si="22"/>
        <v>No normativo</v>
      </c>
      <c r="U653" s="4" t="s">
        <v>195</v>
      </c>
      <c r="V653" s="4" t="s">
        <v>39</v>
      </c>
      <c r="W653" s="4" t="s">
        <v>300</v>
      </c>
      <c r="X653" s="4" t="s">
        <v>562</v>
      </c>
      <c r="Y653" s="4" t="s">
        <v>1197</v>
      </c>
      <c r="Z653" s="4">
        <v>0</v>
      </c>
      <c r="AA653" s="4">
        <v>0</v>
      </c>
      <c r="AB653" s="4" t="s">
        <v>215</v>
      </c>
      <c r="AC653">
        <v>652</v>
      </c>
    </row>
    <row r="654" spans="1:29" ht="16.5" hidden="1" customHeight="1" x14ac:dyDescent="0.2">
      <c r="A654" s="6" t="str">
        <f t="shared" si="21"/>
        <v>SDATOOL-42273 $ Reconfiguración Comercial CSF</v>
      </c>
      <c r="B654" s="4" t="s">
        <v>3186</v>
      </c>
      <c r="C654" s="4" t="s">
        <v>3187</v>
      </c>
      <c r="D654" s="4" t="s">
        <v>183</v>
      </c>
      <c r="E654" s="4" t="s">
        <v>3188</v>
      </c>
      <c r="F654" s="4" t="s">
        <v>35</v>
      </c>
      <c r="G654" s="4" t="s">
        <v>185</v>
      </c>
      <c r="H654" s="4" t="s">
        <v>752</v>
      </c>
      <c r="I654" s="4" t="e">
        <v>#N/A</v>
      </c>
      <c r="J654" s="4" t="s">
        <v>187</v>
      </c>
      <c r="K654" s="4" t="s">
        <v>386</v>
      </c>
      <c r="L654" s="4" t="s">
        <v>314</v>
      </c>
      <c r="M654" s="4" t="s">
        <v>3189</v>
      </c>
      <c r="N654" s="4" t="s">
        <v>36</v>
      </c>
      <c r="O654" s="13" t="s">
        <v>530</v>
      </c>
      <c r="Q654" s="13" t="s">
        <v>2751</v>
      </c>
      <c r="S654" s="7" t="e">
        <f ca="1">IF(_xludf.ifna(VLOOKUP(B654,Parámetros!#REF!,1,0),"")="","No","Sí")</f>
        <v>#NAME?</v>
      </c>
      <c r="T654" s="7" t="str">
        <f t="shared" si="22"/>
        <v>No normativo</v>
      </c>
      <c r="U654" s="4" t="s">
        <v>195</v>
      </c>
      <c r="V654" s="4" t="s">
        <v>39</v>
      </c>
      <c r="W654" s="4" t="s">
        <v>300</v>
      </c>
      <c r="X654" s="4" t="s">
        <v>562</v>
      </c>
      <c r="Y654" s="4" t="s">
        <v>1321</v>
      </c>
      <c r="Z654" s="4">
        <v>0</v>
      </c>
      <c r="AA654" s="5">
        <v>1314991692</v>
      </c>
      <c r="AB654" s="4" t="s">
        <v>180</v>
      </c>
      <c r="AC654">
        <v>653</v>
      </c>
    </row>
    <row r="655" spans="1:29" ht="16.5" hidden="1" customHeight="1" x14ac:dyDescent="0.2">
      <c r="A655" s="6" t="str">
        <f t="shared" si="21"/>
        <v>SDATOOL-42274 $ Correcta actualización Garantías FNG en Banktrade</v>
      </c>
      <c r="B655" s="4" t="s">
        <v>3190</v>
      </c>
      <c r="C655" s="4" t="s">
        <v>3191</v>
      </c>
      <c r="D655" s="4" t="s">
        <v>763</v>
      </c>
      <c r="E655" s="4" t="s">
        <v>3192</v>
      </c>
      <c r="F655" s="4" t="s">
        <v>28</v>
      </c>
      <c r="G655" s="4" t="s">
        <v>185</v>
      </c>
      <c r="H655" s="4" t="s">
        <v>752</v>
      </c>
      <c r="J655" s="4" t="s">
        <v>204</v>
      </c>
      <c r="K655" s="4" t="s">
        <v>189</v>
      </c>
      <c r="L655" s="4" t="s">
        <v>314</v>
      </c>
      <c r="M655" s="4" t="s">
        <v>3193</v>
      </c>
      <c r="N655" s="4" t="s">
        <v>51</v>
      </c>
      <c r="O655" s="13" t="s">
        <v>617</v>
      </c>
      <c r="P655" s="13" t="s">
        <v>628</v>
      </c>
      <c r="Q655" s="13" t="s">
        <v>3194</v>
      </c>
      <c r="S655" s="7" t="e">
        <f ca="1">IF(_xludf.ifna(VLOOKUP(B655,Parámetros!#REF!,1,0),"")="","No","Sí")</f>
        <v>#NAME?</v>
      </c>
      <c r="T655" s="7" t="str">
        <f t="shared" si="22"/>
        <v>No normativo</v>
      </c>
      <c r="U655" s="4" t="s">
        <v>1630</v>
      </c>
      <c r="V655" s="4" t="s">
        <v>39</v>
      </c>
      <c r="W655" s="4" t="s">
        <v>196</v>
      </c>
      <c r="X655" s="4" t="s">
        <v>328</v>
      </c>
      <c r="Y655" s="4" t="s">
        <v>329</v>
      </c>
      <c r="Z655" s="4">
        <v>0</v>
      </c>
      <c r="AA655" s="4">
        <v>0</v>
      </c>
      <c r="AB655" s="4" t="s">
        <v>215</v>
      </c>
      <c r="AC655">
        <v>654</v>
      </c>
    </row>
    <row r="656" spans="1:29" ht="16.5" hidden="1" customHeight="1" x14ac:dyDescent="0.2">
      <c r="A656" s="6" t="str">
        <f t="shared" si="21"/>
        <v>SDATOOL-42276 $ Beneficiarios ARL</v>
      </c>
      <c r="B656" s="4" t="s">
        <v>3195</v>
      </c>
      <c r="C656" s="4" t="s">
        <v>3196</v>
      </c>
      <c r="D656" s="4" t="s">
        <v>763</v>
      </c>
      <c r="E656" s="4" t="s">
        <v>3197</v>
      </c>
      <c r="F656" s="4" t="s">
        <v>30</v>
      </c>
      <c r="G656" s="4" t="s">
        <v>185</v>
      </c>
      <c r="H656" s="4" t="s">
        <v>752</v>
      </c>
      <c r="I656" s="4" t="e">
        <v>#N/A</v>
      </c>
      <c r="K656" s="4" t="s">
        <v>189</v>
      </c>
      <c r="L656" s="4" t="s">
        <v>314</v>
      </c>
      <c r="M656" s="4" t="s">
        <v>3198</v>
      </c>
      <c r="N656" s="4" t="s">
        <v>15</v>
      </c>
      <c r="O656" s="13" t="s">
        <v>3199</v>
      </c>
      <c r="P656" s="13" t="s">
        <v>1997</v>
      </c>
      <c r="S656" s="7" t="e">
        <f ca="1">IF(_xludf.ifna(VLOOKUP(B656,Parámetros!#REF!,1,0),"")="","No","Sí")</f>
        <v>#NAME?</v>
      </c>
      <c r="T656" s="7" t="str">
        <f t="shared" si="22"/>
        <v>No normativo</v>
      </c>
      <c r="U656" s="4" t="s">
        <v>195</v>
      </c>
      <c r="V656" s="4" t="s">
        <v>39</v>
      </c>
      <c r="W656" s="4" t="s">
        <v>300</v>
      </c>
      <c r="X656" s="4" t="s">
        <v>301</v>
      </c>
      <c r="Y656" s="4" t="s">
        <v>755</v>
      </c>
      <c r="Z656" s="4">
        <v>0</v>
      </c>
      <c r="AA656" s="4">
        <v>0</v>
      </c>
      <c r="AB656" s="4" t="s">
        <v>180</v>
      </c>
      <c r="AC656">
        <v>655</v>
      </c>
    </row>
    <row r="657" spans="1:29" ht="16.5" hidden="1" customHeight="1" x14ac:dyDescent="0.2">
      <c r="A657" s="6" t="str">
        <f t="shared" si="21"/>
        <v>SDATOOL-42278 $ Transferencias Interbancarias REDEBAN</v>
      </c>
      <c r="B657" s="4" t="s">
        <v>3200</v>
      </c>
      <c r="C657" s="4" t="s">
        <v>3201</v>
      </c>
      <c r="D657" s="4" t="s">
        <v>183</v>
      </c>
      <c r="E657" s="4" t="s">
        <v>3202</v>
      </c>
      <c r="F657" s="4" t="s">
        <v>28</v>
      </c>
      <c r="G657" s="4" t="s">
        <v>185</v>
      </c>
      <c r="H657" s="4" t="s">
        <v>752</v>
      </c>
      <c r="J657" s="4" t="s">
        <v>204</v>
      </c>
      <c r="K657" s="4" t="s">
        <v>386</v>
      </c>
      <c r="L657" s="4" t="s">
        <v>314</v>
      </c>
      <c r="M657" s="4" t="s">
        <v>3203</v>
      </c>
      <c r="N657" s="4" t="s">
        <v>22</v>
      </c>
      <c r="O657" s="13" t="s">
        <v>2965</v>
      </c>
      <c r="Q657" s="13" t="s">
        <v>3204</v>
      </c>
      <c r="S657" s="7" t="e">
        <f ca="1">IF(_xludf.ifna(VLOOKUP(B657,Parámetros!#REF!,1,0),"")="","No","Sí")</f>
        <v>#NAME?</v>
      </c>
      <c r="T657" s="7" t="str">
        <f t="shared" si="22"/>
        <v>Normativo</v>
      </c>
      <c r="U657" s="4" t="s">
        <v>732</v>
      </c>
      <c r="V657" s="4" t="s">
        <v>39</v>
      </c>
      <c r="W657" s="4" t="s">
        <v>212</v>
      </c>
      <c r="X657" s="4" t="s">
        <v>2521</v>
      </c>
      <c r="Y657" s="4" t="s">
        <v>3205</v>
      </c>
      <c r="Z657" s="4">
        <v>0</v>
      </c>
      <c r="AA657" s="4">
        <v>0</v>
      </c>
      <c r="AB657" s="4" t="s">
        <v>215</v>
      </c>
      <c r="AC657">
        <v>656</v>
      </c>
    </row>
    <row r="658" spans="1:29" ht="16.5" hidden="1" customHeight="1" x14ac:dyDescent="0.2">
      <c r="A658" s="6" t="str">
        <f t="shared" si="21"/>
        <v>SDATOOL-42281 $ Evolutivo KPIS / Segmentación clientes</v>
      </c>
      <c r="B658" s="4" t="s">
        <v>3206</v>
      </c>
      <c r="C658" s="4" t="s">
        <v>3207</v>
      </c>
      <c r="D658" s="4" t="s">
        <v>763</v>
      </c>
      <c r="E658" s="4" t="s">
        <v>3208</v>
      </c>
      <c r="F658" s="4" t="s">
        <v>28</v>
      </c>
      <c r="G658" s="4" t="s">
        <v>185</v>
      </c>
      <c r="H658" s="4" t="s">
        <v>752</v>
      </c>
      <c r="J658" s="4" t="s">
        <v>204</v>
      </c>
      <c r="K658" s="4" t="s">
        <v>386</v>
      </c>
      <c r="L658" s="4" t="s">
        <v>394</v>
      </c>
      <c r="M658" s="4" t="s">
        <v>3209</v>
      </c>
      <c r="N658" s="4" t="s">
        <v>36</v>
      </c>
      <c r="O658" s="13" t="s">
        <v>3210</v>
      </c>
      <c r="P658" s="13" t="s">
        <v>3211</v>
      </c>
      <c r="Q658" s="13" t="s">
        <v>1818</v>
      </c>
      <c r="S658" s="7" t="e">
        <f ca="1">IF(_xludf.ifna(VLOOKUP(B658,Parámetros!#REF!,1,0),"")="","No","Sí")</f>
        <v>#NAME?</v>
      </c>
      <c r="T658" s="7" t="str">
        <f t="shared" si="22"/>
        <v>No normativo</v>
      </c>
      <c r="U658" s="4" t="s">
        <v>399</v>
      </c>
      <c r="V658" s="4" t="s">
        <v>39</v>
      </c>
      <c r="W658" s="4" t="s">
        <v>212</v>
      </c>
      <c r="X658" s="4" t="s">
        <v>213</v>
      </c>
      <c r="Y658" s="4" t="s">
        <v>3212</v>
      </c>
      <c r="Z658" s="4">
        <v>0</v>
      </c>
      <c r="AA658" s="4">
        <v>0</v>
      </c>
      <c r="AB658" s="4" t="s">
        <v>215</v>
      </c>
      <c r="AC658">
        <v>657</v>
      </c>
    </row>
    <row r="659" spans="1:29" ht="16.5" hidden="1" customHeight="1" x14ac:dyDescent="0.2">
      <c r="A659" s="6" t="str">
        <f t="shared" si="21"/>
        <v>SDATOOL-42282 $ Módulos In House Femsa</v>
      </c>
      <c r="B659" s="4" t="s">
        <v>3213</v>
      </c>
      <c r="C659" s="4" t="s">
        <v>3214</v>
      </c>
      <c r="D659" s="4" t="s">
        <v>183</v>
      </c>
      <c r="E659" s="4" t="s">
        <v>3215</v>
      </c>
      <c r="F659" s="4" t="s">
        <v>21</v>
      </c>
      <c r="G659" s="4" t="s">
        <v>185</v>
      </c>
      <c r="H659" s="4" t="s">
        <v>752</v>
      </c>
      <c r="J659" s="4" t="s">
        <v>187</v>
      </c>
      <c r="K659" s="4" t="s">
        <v>386</v>
      </c>
      <c r="L659" s="4" t="s">
        <v>394</v>
      </c>
      <c r="M659" s="4" t="s">
        <v>1354</v>
      </c>
      <c r="N659" s="4" t="s">
        <v>44</v>
      </c>
      <c r="O659" s="13" t="s">
        <v>1356</v>
      </c>
      <c r="P659" s="13" t="s">
        <v>3050</v>
      </c>
      <c r="Q659" s="13" t="s">
        <v>1356</v>
      </c>
      <c r="S659" s="7" t="e">
        <f ca="1">IF(_xludf.ifna(VLOOKUP(B659,Parámetros!#REF!,1,0),"")="","No","Sí")</f>
        <v>#NAME?</v>
      </c>
      <c r="T659" s="7" t="str">
        <f t="shared" si="22"/>
        <v>No normativo</v>
      </c>
      <c r="U659" s="4" t="s">
        <v>195</v>
      </c>
      <c r="V659" s="4" t="s">
        <v>39</v>
      </c>
      <c r="W659" s="4" t="s">
        <v>196</v>
      </c>
      <c r="X659" s="4" t="s">
        <v>426</v>
      </c>
      <c r="Y659" s="4" t="s">
        <v>427</v>
      </c>
      <c r="Z659" s="4">
        <v>0</v>
      </c>
      <c r="AA659" s="5">
        <v>215403144</v>
      </c>
      <c r="AB659" s="4" t="s">
        <v>215</v>
      </c>
      <c r="AC659">
        <v>658</v>
      </c>
    </row>
    <row r="660" spans="1:29" ht="16.5" hidden="1" customHeight="1" x14ac:dyDescent="0.2">
      <c r="A660" s="6" t="str">
        <f t="shared" si="21"/>
        <v>SDATOOL-42283 $ Módulos In House Bavaria</v>
      </c>
      <c r="B660" s="4" t="s">
        <v>3216</v>
      </c>
      <c r="C660" s="4" t="s">
        <v>3217</v>
      </c>
      <c r="D660" s="4" t="s">
        <v>183</v>
      </c>
      <c r="E660" s="4" t="s">
        <v>3218</v>
      </c>
      <c r="F660" s="4" t="s">
        <v>21</v>
      </c>
      <c r="G660" s="4" t="s">
        <v>185</v>
      </c>
      <c r="H660" s="4" t="s">
        <v>752</v>
      </c>
      <c r="J660" s="4" t="s">
        <v>187</v>
      </c>
      <c r="K660" s="4" t="s">
        <v>386</v>
      </c>
      <c r="L660" s="4" t="s">
        <v>394</v>
      </c>
      <c r="M660" s="4" t="s">
        <v>1354</v>
      </c>
      <c r="N660" s="4" t="s">
        <v>44</v>
      </c>
      <c r="O660" s="13" t="s">
        <v>1356</v>
      </c>
      <c r="P660" s="13" t="s">
        <v>3050</v>
      </c>
      <c r="Q660" s="13" t="s">
        <v>1356</v>
      </c>
      <c r="S660" s="7" t="e">
        <f ca="1">IF(_xludf.ifna(VLOOKUP(B660,Parámetros!#REF!,1,0),"")="","No","Sí")</f>
        <v>#NAME?</v>
      </c>
      <c r="T660" s="7" t="str">
        <f t="shared" si="22"/>
        <v>No normativo</v>
      </c>
      <c r="U660" s="4" t="s">
        <v>195</v>
      </c>
      <c r="V660" s="4" t="s">
        <v>39</v>
      </c>
      <c r="W660" s="4" t="s">
        <v>196</v>
      </c>
      <c r="X660" s="4" t="s">
        <v>426</v>
      </c>
      <c r="Y660" s="4" t="s">
        <v>427</v>
      </c>
      <c r="Z660" s="4">
        <v>0</v>
      </c>
      <c r="AA660" s="4">
        <v>0</v>
      </c>
      <c r="AB660" s="4" t="s">
        <v>215</v>
      </c>
      <c r="AC660">
        <v>659</v>
      </c>
    </row>
    <row r="661" spans="1:29" ht="16.5" hidden="1" customHeight="1" x14ac:dyDescent="0.2">
      <c r="A661" s="6" t="str">
        <f t="shared" si="21"/>
        <v>SDATOOL-42296 $ Seguros - Externalización BEX</v>
      </c>
      <c r="B661" s="4" t="s">
        <v>3219</v>
      </c>
      <c r="C661" s="4" t="s">
        <v>3220</v>
      </c>
      <c r="D661" s="4" t="s">
        <v>763</v>
      </c>
      <c r="E661" s="4" t="s">
        <v>3221</v>
      </c>
      <c r="F661" s="4" t="s">
        <v>28</v>
      </c>
      <c r="G661" s="4" t="s">
        <v>185</v>
      </c>
      <c r="H661" s="4" t="s">
        <v>752</v>
      </c>
      <c r="J661" s="4" t="s">
        <v>204</v>
      </c>
      <c r="K661" s="4" t="s">
        <v>189</v>
      </c>
      <c r="L661" s="4" t="s">
        <v>394</v>
      </c>
      <c r="M661" s="4" t="s">
        <v>3222</v>
      </c>
      <c r="N661" s="4" t="s">
        <v>29</v>
      </c>
      <c r="O661" s="13" t="s">
        <v>646</v>
      </c>
      <c r="P661" s="13" t="s">
        <v>3223</v>
      </c>
      <c r="Q661" s="13" t="s">
        <v>1822</v>
      </c>
      <c r="S661" s="7" t="e">
        <f ca="1">IF(_xludf.ifna(VLOOKUP(B661,Parámetros!#REF!,1,0),"")="","No","Sí")</f>
        <v>#NAME?</v>
      </c>
      <c r="T661" s="7" t="str">
        <f t="shared" si="22"/>
        <v>No normativo</v>
      </c>
      <c r="U661" s="4" t="s">
        <v>195</v>
      </c>
      <c r="V661" s="4" t="s">
        <v>347</v>
      </c>
      <c r="W661" s="4" t="s">
        <v>233</v>
      </c>
      <c r="X661" s="4" t="s">
        <v>234</v>
      </c>
      <c r="Y661" s="4" t="s">
        <v>501</v>
      </c>
      <c r="Z661" s="4">
        <v>0</v>
      </c>
      <c r="AA661" s="4">
        <v>0</v>
      </c>
      <c r="AB661" s="4" t="s">
        <v>215</v>
      </c>
      <c r="AC661">
        <v>660</v>
      </c>
    </row>
    <row r="662" spans="1:29" ht="16.5" hidden="1" customHeight="1" x14ac:dyDescent="0.2">
      <c r="A662" s="6" t="str">
        <f t="shared" si="21"/>
        <v>SDATOOL-42297 $ Implementación de Modalidad Flexible en bancas especializadas</v>
      </c>
      <c r="B662" s="4" t="s">
        <v>3224</v>
      </c>
      <c r="C662" s="4" t="s">
        <v>3225</v>
      </c>
      <c r="D662" s="4" t="s">
        <v>183</v>
      </c>
      <c r="E662" s="4" t="s">
        <v>3226</v>
      </c>
      <c r="F662" s="4" t="s">
        <v>30</v>
      </c>
      <c r="G662" s="4" t="s">
        <v>185</v>
      </c>
      <c r="H662" s="4" t="s">
        <v>752</v>
      </c>
      <c r="I662" s="4" t="e">
        <v>#N/A</v>
      </c>
      <c r="K662" s="4" t="s">
        <v>189</v>
      </c>
      <c r="L662" s="4" t="s">
        <v>189</v>
      </c>
      <c r="M662" s="4" t="s">
        <v>3227</v>
      </c>
      <c r="N662" s="4" t="s">
        <v>15</v>
      </c>
      <c r="O662" s="13" t="s">
        <v>287</v>
      </c>
      <c r="P662" s="13" t="s">
        <v>288</v>
      </c>
      <c r="S662" s="7" t="e">
        <f ca="1">IF(_xludf.ifna(VLOOKUP(B662,Parámetros!#REF!,1,0),"")="","No","Sí")</f>
        <v>#NAME?</v>
      </c>
      <c r="T662" s="7" t="str">
        <f t="shared" si="22"/>
        <v>Normativo</v>
      </c>
      <c r="U662" s="4" t="s">
        <v>195</v>
      </c>
      <c r="V662" s="4" t="s">
        <v>39</v>
      </c>
      <c r="W662" s="4" t="s">
        <v>291</v>
      </c>
      <c r="X662" s="4" t="s">
        <v>292</v>
      </c>
      <c r="Y662" s="4" t="s">
        <v>1259</v>
      </c>
      <c r="Z662" s="4">
        <v>0</v>
      </c>
      <c r="AA662" s="5">
        <v>4000000</v>
      </c>
      <c r="AB662" s="4" t="s">
        <v>180</v>
      </c>
      <c r="AC662">
        <v>661</v>
      </c>
    </row>
    <row r="663" spans="1:29" ht="16.5" hidden="1" customHeight="1" x14ac:dyDescent="0.2">
      <c r="A663" s="6" t="str">
        <f t="shared" si="21"/>
        <v>SDATOOL-42310 $ Valores - Plataforma BBVA Valores Integración - Makers y Alcuadrado clientes</v>
      </c>
      <c r="B663" s="4" t="s">
        <v>3228</v>
      </c>
      <c r="C663" s="4" t="s">
        <v>3229</v>
      </c>
      <c r="D663" s="4" t="s">
        <v>763</v>
      </c>
      <c r="E663" s="4" t="s">
        <v>3230</v>
      </c>
      <c r="F663" s="4" t="s">
        <v>28</v>
      </c>
      <c r="G663" s="4" t="s">
        <v>185</v>
      </c>
      <c r="H663" s="4" t="s">
        <v>752</v>
      </c>
      <c r="J663" s="4" t="s">
        <v>204</v>
      </c>
      <c r="K663" s="4" t="s">
        <v>386</v>
      </c>
      <c r="L663" s="4" t="s">
        <v>386</v>
      </c>
      <c r="M663" s="4" t="s">
        <v>3231</v>
      </c>
      <c r="N663" s="4" t="s">
        <v>15</v>
      </c>
      <c r="O663" s="13" t="s">
        <v>1659</v>
      </c>
      <c r="P663" s="13" t="s">
        <v>2583</v>
      </c>
      <c r="Q663" s="13" t="s">
        <v>1661</v>
      </c>
      <c r="S663" s="7" t="e">
        <f ca="1">IF(_xludf.ifna(VLOOKUP(B663,Parámetros!#REF!,1,0),"")="","No","Sí")</f>
        <v>#NAME?</v>
      </c>
      <c r="T663" s="7" t="str">
        <f t="shared" si="22"/>
        <v>No normativo</v>
      </c>
      <c r="U663" s="4" t="s">
        <v>1542</v>
      </c>
      <c r="V663" s="4" t="s">
        <v>1662</v>
      </c>
      <c r="W663" s="4" t="s">
        <v>212</v>
      </c>
      <c r="X663" s="4" t="s">
        <v>356</v>
      </c>
      <c r="Y663" s="4" t="s">
        <v>1011</v>
      </c>
      <c r="Z663" s="4">
        <v>0</v>
      </c>
      <c r="AA663" s="4">
        <v>0</v>
      </c>
      <c r="AB663" s="4" t="s">
        <v>215</v>
      </c>
      <c r="AC663">
        <v>662</v>
      </c>
    </row>
    <row r="664" spans="1:29" ht="16.5" hidden="1" customHeight="1" x14ac:dyDescent="0.2">
      <c r="A664" s="6" t="str">
        <f t="shared" si="21"/>
        <v>SDATOOL-42322 $ Reconfiguración BIN TdC Marca Compartida ARA - BBVA</v>
      </c>
      <c r="B664" s="4" t="s">
        <v>3232</v>
      </c>
      <c r="C664" s="4" t="s">
        <v>3233</v>
      </c>
      <c r="D664" s="4" t="s">
        <v>183</v>
      </c>
      <c r="E664" s="4" t="s">
        <v>3234</v>
      </c>
      <c r="F664" s="4" t="s">
        <v>28</v>
      </c>
      <c r="G664" s="4" t="s">
        <v>185</v>
      </c>
      <c r="H664" s="4" t="s">
        <v>752</v>
      </c>
      <c r="J664" s="4" t="s">
        <v>204</v>
      </c>
      <c r="K664" s="4" t="s">
        <v>386</v>
      </c>
      <c r="L664" s="4" t="s">
        <v>189</v>
      </c>
      <c r="M664" s="4" t="s">
        <v>3235</v>
      </c>
      <c r="N664" s="4" t="s">
        <v>29</v>
      </c>
      <c r="O664" s="13" t="s">
        <v>721</v>
      </c>
      <c r="Q664" s="13" t="s">
        <v>555</v>
      </c>
      <c r="S664" s="7" t="e">
        <f ca="1">IF(_xludf.ifna(VLOOKUP(B664,Parámetros!#REF!,1,0),"")="","No","Sí")</f>
        <v>#NAME?</v>
      </c>
      <c r="T664" s="7" t="str">
        <f t="shared" si="22"/>
        <v>No normativo</v>
      </c>
      <c r="U664" s="4" t="s">
        <v>195</v>
      </c>
      <c r="V664" s="4" t="s">
        <v>39</v>
      </c>
      <c r="W664" s="4" t="s">
        <v>233</v>
      </c>
      <c r="X664" s="4" t="s">
        <v>92</v>
      </c>
      <c r="Y664" s="4" t="s">
        <v>533</v>
      </c>
      <c r="Z664" s="4">
        <v>0</v>
      </c>
      <c r="AA664" s="4">
        <v>0</v>
      </c>
      <c r="AB664" s="4" t="s">
        <v>215</v>
      </c>
      <c r="AC664">
        <v>663</v>
      </c>
    </row>
    <row r="665" spans="1:29" ht="16.5" hidden="1" customHeight="1" x14ac:dyDescent="0.2">
      <c r="A665" s="6" t="str">
        <f t="shared" si="21"/>
        <v>SDATOOL-42323 $ Transferencia de información banco al Aliado StudioF</v>
      </c>
      <c r="B665" s="4" t="s">
        <v>3236</v>
      </c>
      <c r="C665" s="4" t="s">
        <v>3237</v>
      </c>
      <c r="D665" s="4" t="s">
        <v>183</v>
      </c>
      <c r="E665" s="4" t="s">
        <v>3238</v>
      </c>
      <c r="F665" s="4" t="s">
        <v>28</v>
      </c>
      <c r="G665" s="4" t="s">
        <v>185</v>
      </c>
      <c r="H665" s="4" t="s">
        <v>752</v>
      </c>
      <c r="J665" s="4" t="s">
        <v>204</v>
      </c>
      <c r="K665" s="4" t="s">
        <v>386</v>
      </c>
      <c r="L665" s="4" t="s">
        <v>386</v>
      </c>
      <c r="M665" s="4" t="s">
        <v>3239</v>
      </c>
      <c r="N665" s="4" t="s">
        <v>29</v>
      </c>
      <c r="O665" s="13" t="s">
        <v>721</v>
      </c>
      <c r="Q665" s="13" t="s">
        <v>2546</v>
      </c>
      <c r="S665" s="7" t="e">
        <f ca="1">IF(_xludf.ifna(VLOOKUP(B665,Parámetros!#REF!,1,0),"")="","No","Sí")</f>
        <v>#NAME?</v>
      </c>
      <c r="T665" s="7" t="str">
        <f t="shared" si="22"/>
        <v>No normativo</v>
      </c>
      <c r="U665" s="4" t="s">
        <v>195</v>
      </c>
      <c r="V665" s="4" t="s">
        <v>39</v>
      </c>
      <c r="W665" s="4" t="s">
        <v>212</v>
      </c>
      <c r="X665" s="4" t="s">
        <v>1114</v>
      </c>
      <c r="Y665" s="4" t="s">
        <v>3240</v>
      </c>
      <c r="Z665" s="4">
        <v>0</v>
      </c>
      <c r="AA665" s="4">
        <v>0</v>
      </c>
      <c r="AB665" s="4" t="s">
        <v>215</v>
      </c>
      <c r="AC665">
        <v>664</v>
      </c>
    </row>
    <row r="666" spans="1:29" ht="16.5" hidden="1" customHeight="1" x14ac:dyDescent="0.2">
      <c r="A666" s="6" t="str">
        <f t="shared" si="21"/>
        <v>SDATOOL-42324 $ Nuevo Programa de Beneficios y contabilidad Everilion</v>
      </c>
      <c r="B666" s="4" t="s">
        <v>3241</v>
      </c>
      <c r="C666" s="4" t="s">
        <v>3242</v>
      </c>
      <c r="D666" s="4" t="s">
        <v>183</v>
      </c>
      <c r="E666" s="4" t="s">
        <v>3243</v>
      </c>
      <c r="F666" s="4" t="s">
        <v>28</v>
      </c>
      <c r="G666" s="4" t="s">
        <v>185</v>
      </c>
      <c r="H666" s="4" t="s">
        <v>752</v>
      </c>
      <c r="J666" s="4" t="s">
        <v>204</v>
      </c>
      <c r="K666" s="4" t="s">
        <v>386</v>
      </c>
      <c r="L666" s="4" t="s">
        <v>189</v>
      </c>
      <c r="M666" s="4" t="s">
        <v>3244</v>
      </c>
      <c r="N666" s="4" t="s">
        <v>29</v>
      </c>
      <c r="O666" s="13" t="s">
        <v>721</v>
      </c>
      <c r="Q666" s="13" t="s">
        <v>555</v>
      </c>
      <c r="S666" s="7" t="e">
        <f ca="1">IF(_xludf.ifna(VLOOKUP(B666,Parámetros!#REF!,1,0),"")="","No","Sí")</f>
        <v>#NAME?</v>
      </c>
      <c r="T666" s="7" t="str">
        <f t="shared" si="22"/>
        <v>No normativo</v>
      </c>
      <c r="U666" s="4" t="s">
        <v>195</v>
      </c>
      <c r="V666" s="4" t="s">
        <v>39</v>
      </c>
      <c r="W666" s="4" t="s">
        <v>300</v>
      </c>
      <c r="X666" s="4" t="s">
        <v>1138</v>
      </c>
      <c r="Y666" s="4" t="s">
        <v>1139</v>
      </c>
      <c r="Z666" s="4">
        <v>0</v>
      </c>
      <c r="AA666" s="4">
        <v>0</v>
      </c>
      <c r="AB666" s="4" t="s">
        <v>215</v>
      </c>
      <c r="AC666">
        <v>665</v>
      </c>
    </row>
    <row r="667" spans="1:29" ht="16.5" hidden="1" customHeight="1" x14ac:dyDescent="0.2">
      <c r="A667" s="6" t="str">
        <f t="shared" si="21"/>
        <v>SDATOOL-42369 $ Líneas Factoring (Mejoras y Alcances)</v>
      </c>
      <c r="B667" s="4" t="s">
        <v>3245</v>
      </c>
      <c r="C667" s="4" t="s">
        <v>3246</v>
      </c>
      <c r="D667" s="4" t="s">
        <v>183</v>
      </c>
      <c r="E667" s="4" t="s">
        <v>3247</v>
      </c>
      <c r="F667" s="4" t="s">
        <v>28</v>
      </c>
      <c r="G667" s="4" t="s">
        <v>185</v>
      </c>
      <c r="H667" s="4" t="s">
        <v>752</v>
      </c>
      <c r="J667" s="4" t="s">
        <v>204</v>
      </c>
      <c r="K667" s="4" t="s">
        <v>386</v>
      </c>
      <c r="L667" s="4" t="s">
        <v>394</v>
      </c>
      <c r="M667" s="4" t="s">
        <v>3248</v>
      </c>
      <c r="N667" s="4" t="s">
        <v>22</v>
      </c>
      <c r="O667" s="13" t="s">
        <v>617</v>
      </c>
      <c r="P667" s="13" t="s">
        <v>433</v>
      </c>
      <c r="Q667" s="13" t="s">
        <v>434</v>
      </c>
      <c r="S667" s="7" t="e">
        <f ca="1">IF(_xludf.ifna(VLOOKUP(B667,Parámetros!#REF!,1,0),"")="","No","Sí")</f>
        <v>#NAME?</v>
      </c>
      <c r="T667" s="7" t="str">
        <f t="shared" si="22"/>
        <v>Normativo</v>
      </c>
      <c r="U667" s="4" t="s">
        <v>195</v>
      </c>
      <c r="V667" s="4" t="s">
        <v>39</v>
      </c>
      <c r="W667" s="4" t="s">
        <v>233</v>
      </c>
      <c r="X667" s="4" t="s">
        <v>234</v>
      </c>
      <c r="Y667" s="4" t="s">
        <v>435</v>
      </c>
      <c r="Z667" s="4">
        <v>0</v>
      </c>
      <c r="AA667" s="4">
        <v>0</v>
      </c>
      <c r="AB667" s="4" t="s">
        <v>215</v>
      </c>
      <c r="AC667">
        <v>666</v>
      </c>
    </row>
    <row r="668" spans="1:29" ht="16.5" hidden="1" customHeight="1" x14ac:dyDescent="0.2">
      <c r="A668" s="6" t="str">
        <f t="shared" si="21"/>
        <v>SDATOOL-42371 $ BBVA Valores en Canales Net/Net Cash - Extractos</v>
      </c>
      <c r="B668" s="4" t="s">
        <v>3249</v>
      </c>
      <c r="C668" s="4" t="s">
        <v>3250</v>
      </c>
      <c r="D668" s="4" t="s">
        <v>763</v>
      </c>
      <c r="E668" s="4" t="s">
        <v>3251</v>
      </c>
      <c r="F668" s="4" t="s">
        <v>28</v>
      </c>
      <c r="G668" s="4" t="s">
        <v>185</v>
      </c>
      <c r="H668" s="4" t="s">
        <v>752</v>
      </c>
      <c r="J668" s="4" t="s">
        <v>204</v>
      </c>
      <c r="K668" s="4" t="s">
        <v>386</v>
      </c>
      <c r="L668" s="4" t="s">
        <v>189</v>
      </c>
      <c r="M668" s="4" t="s">
        <v>3252</v>
      </c>
      <c r="N668" s="4" t="s">
        <v>15</v>
      </c>
      <c r="O668" s="13" t="s">
        <v>1659</v>
      </c>
      <c r="P668" s="13" t="s">
        <v>3253</v>
      </c>
      <c r="Q668" s="13" t="s">
        <v>1661</v>
      </c>
      <c r="S668" s="7" t="e">
        <f ca="1">IF(_xludf.ifna(VLOOKUP(B668,Parámetros!#REF!,1,0),"")="","No","Sí")</f>
        <v>#NAME?</v>
      </c>
      <c r="T668" s="7" t="str">
        <f t="shared" si="22"/>
        <v>Normativo</v>
      </c>
      <c r="U668" s="4" t="s">
        <v>732</v>
      </c>
      <c r="V668" s="4" t="s">
        <v>1662</v>
      </c>
      <c r="W668" s="4" t="s">
        <v>300</v>
      </c>
      <c r="X668" s="4" t="s">
        <v>301</v>
      </c>
      <c r="Y668" s="4" t="s">
        <v>302</v>
      </c>
      <c r="Z668" s="4">
        <v>0</v>
      </c>
      <c r="AA668" s="4">
        <v>0</v>
      </c>
      <c r="AB668" s="4" t="s">
        <v>215</v>
      </c>
      <c r="AC668">
        <v>667</v>
      </c>
    </row>
    <row r="669" spans="1:29" ht="16.5" hidden="1" customHeight="1" x14ac:dyDescent="0.2">
      <c r="A669" s="6" t="str">
        <f t="shared" si="21"/>
        <v>SDATOOL-42372 $ Automatización liquidación de comision para clientes Marca compartida</v>
      </c>
      <c r="B669" s="4" t="s">
        <v>3254</v>
      </c>
      <c r="C669" s="4" t="s">
        <v>3255</v>
      </c>
      <c r="D669" s="4" t="s">
        <v>763</v>
      </c>
      <c r="E669" s="4" t="s">
        <v>3256</v>
      </c>
      <c r="F669" s="4" t="s">
        <v>28</v>
      </c>
      <c r="G669" s="4" t="s">
        <v>185</v>
      </c>
      <c r="H669" s="4" t="s">
        <v>752</v>
      </c>
      <c r="J669" s="4" t="s">
        <v>204</v>
      </c>
      <c r="K669" s="4" t="s">
        <v>386</v>
      </c>
      <c r="L669" s="4" t="s">
        <v>189</v>
      </c>
      <c r="M669" s="4" t="s">
        <v>3257</v>
      </c>
      <c r="N669" s="4" t="s">
        <v>44</v>
      </c>
      <c r="O669" s="13" t="s">
        <v>480</v>
      </c>
      <c r="P669" s="13" t="s">
        <v>1595</v>
      </c>
      <c r="Q669" s="13" t="s">
        <v>666</v>
      </c>
      <c r="S669" s="7" t="e">
        <f ca="1">IF(_xludf.ifna(VLOOKUP(B669,Parámetros!#REF!,1,0),"")="","No","Sí")</f>
        <v>#NAME?</v>
      </c>
      <c r="T669" s="7" t="str">
        <f t="shared" si="22"/>
        <v>Normativo</v>
      </c>
      <c r="U669" s="4" t="s">
        <v>195</v>
      </c>
      <c r="V669" s="4" t="s">
        <v>39</v>
      </c>
      <c r="W669" s="4" t="s">
        <v>212</v>
      </c>
      <c r="X669" s="4" t="s">
        <v>213</v>
      </c>
      <c r="Y669" s="4" t="s">
        <v>3212</v>
      </c>
      <c r="Z669" s="4">
        <v>0</v>
      </c>
      <c r="AA669" s="4">
        <v>0</v>
      </c>
      <c r="AB669" s="4" t="s">
        <v>215</v>
      </c>
      <c r="AC669">
        <v>668</v>
      </c>
    </row>
    <row r="670" spans="1:29" ht="16.5" hidden="1" customHeight="1" x14ac:dyDescent="0.2">
      <c r="A670" s="6" t="str">
        <f t="shared" si="21"/>
        <v>SDATOOL-42384 $ Fraude Forense y Reporting</v>
      </c>
      <c r="B670" s="4" t="s">
        <v>3258</v>
      </c>
      <c r="C670" s="4" t="s">
        <v>3259</v>
      </c>
      <c r="D670" s="4" t="s">
        <v>763</v>
      </c>
      <c r="E670" s="4" t="s">
        <v>3260</v>
      </c>
      <c r="F670" s="4" t="s">
        <v>43</v>
      </c>
      <c r="G670" s="4" t="s">
        <v>185</v>
      </c>
      <c r="H670" s="4" t="s">
        <v>752</v>
      </c>
      <c r="J670" s="4" t="s">
        <v>204</v>
      </c>
      <c r="K670" s="4" t="s">
        <v>386</v>
      </c>
      <c r="L670" s="4" t="s">
        <v>189</v>
      </c>
      <c r="M670" s="4" t="s">
        <v>3261</v>
      </c>
      <c r="N670" s="4" t="s">
        <v>22</v>
      </c>
      <c r="O670" s="13" t="s">
        <v>1437</v>
      </c>
      <c r="P670" s="13" t="s">
        <v>440</v>
      </c>
      <c r="Q670" s="13" t="s">
        <v>373</v>
      </c>
      <c r="R670" s="4" t="s">
        <v>3262</v>
      </c>
      <c r="S670" s="7" t="e">
        <f ca="1">IF(_xludf.ifna(VLOOKUP(B670,Parámetros!#REF!,1,0),"")="","No","Sí")</f>
        <v>#NAME?</v>
      </c>
      <c r="T670" s="7" t="str">
        <f t="shared" si="22"/>
        <v>Normativo</v>
      </c>
      <c r="U670" s="4" t="s">
        <v>195</v>
      </c>
      <c r="V670" s="4" t="s">
        <v>39</v>
      </c>
      <c r="W670" s="4" t="s">
        <v>212</v>
      </c>
      <c r="X670" s="4" t="s">
        <v>375</v>
      </c>
      <c r="Y670" s="4" t="s">
        <v>443</v>
      </c>
      <c r="Z670" s="4">
        <v>0</v>
      </c>
      <c r="AA670" s="4">
        <v>0</v>
      </c>
      <c r="AB670" s="4" t="s">
        <v>215</v>
      </c>
      <c r="AC670">
        <v>669</v>
      </c>
    </row>
    <row r="671" spans="1:29" ht="16.5" hidden="1" customHeight="1" x14ac:dyDescent="0.2">
      <c r="A671" s="6" t="str">
        <f t="shared" si="21"/>
        <v>SDATOOL-42393 $ Ahorro Fijo Digital Clientes</v>
      </c>
      <c r="B671" s="4" t="s">
        <v>3263</v>
      </c>
      <c r="C671" s="4" t="s">
        <v>3110</v>
      </c>
      <c r="D671" s="4" t="s">
        <v>763</v>
      </c>
      <c r="E671" s="4" t="s">
        <v>3264</v>
      </c>
      <c r="F671" s="4" t="s">
        <v>28</v>
      </c>
      <c r="G671" s="4" t="s">
        <v>185</v>
      </c>
      <c r="H671" s="4" t="s">
        <v>752</v>
      </c>
      <c r="I671" s="4" t="e">
        <v>#N/A</v>
      </c>
      <c r="J671" s="4" t="s">
        <v>431</v>
      </c>
      <c r="K671" s="4" t="s">
        <v>189</v>
      </c>
      <c r="L671" s="4" t="s">
        <v>729</v>
      </c>
      <c r="M671" s="4" t="s">
        <v>3112</v>
      </c>
      <c r="N671" s="4" t="s">
        <v>29</v>
      </c>
      <c r="O671" s="13" t="s">
        <v>1801</v>
      </c>
      <c r="P671" s="13" t="s">
        <v>1253</v>
      </c>
      <c r="Q671" s="13" t="s">
        <v>697</v>
      </c>
      <c r="S671" s="7" t="e">
        <f ca="1">IF(_xludf.ifna(VLOOKUP(B671,Parámetros!#REF!,1,0),"")="","No","Sí")</f>
        <v>#NAME?</v>
      </c>
      <c r="T671" s="7" t="str">
        <f t="shared" si="22"/>
        <v>Normativo</v>
      </c>
      <c r="U671" s="4" t="s">
        <v>195</v>
      </c>
      <c r="V671" s="4" t="s">
        <v>39</v>
      </c>
      <c r="W671" s="4" t="s">
        <v>233</v>
      </c>
      <c r="X671" s="4" t="s">
        <v>234</v>
      </c>
      <c r="Y671" s="4" t="s">
        <v>948</v>
      </c>
      <c r="Z671" s="4">
        <v>0</v>
      </c>
      <c r="AA671" s="4">
        <v>1</v>
      </c>
      <c r="AB671" s="4" t="s">
        <v>180</v>
      </c>
      <c r="AC671">
        <v>670</v>
      </c>
    </row>
    <row r="672" spans="1:29" ht="16.5" hidden="1" customHeight="1" x14ac:dyDescent="0.2">
      <c r="A672" s="6" t="str">
        <f t="shared" si="21"/>
        <v>SDATOOL-42440 $ Equipamiento Ejecutivos Pyme</v>
      </c>
      <c r="B672" s="4" t="s">
        <v>3265</v>
      </c>
      <c r="C672" s="4" t="s">
        <v>3266</v>
      </c>
      <c r="D672" s="4" t="s">
        <v>183</v>
      </c>
      <c r="E672" s="4" t="s">
        <v>3267</v>
      </c>
      <c r="F672" s="4" t="s">
        <v>35</v>
      </c>
      <c r="G672" s="4" t="s">
        <v>185</v>
      </c>
      <c r="H672" s="4" t="s">
        <v>752</v>
      </c>
      <c r="I672" s="4" t="s">
        <v>752</v>
      </c>
      <c r="J672" s="4" t="s">
        <v>187</v>
      </c>
      <c r="K672" s="4" t="s">
        <v>386</v>
      </c>
      <c r="L672" s="4" t="s">
        <v>314</v>
      </c>
      <c r="M672" s="4" t="s">
        <v>3268</v>
      </c>
      <c r="N672" s="4" t="s">
        <v>51</v>
      </c>
      <c r="O672" s="13" t="s">
        <v>412</v>
      </c>
      <c r="Q672" s="13" t="s">
        <v>1040</v>
      </c>
      <c r="S672" s="7" t="e">
        <f ca="1">IF(_xludf.ifna(VLOOKUP(B672,Parámetros!#REF!,1,0),"")="","No","Sí")</f>
        <v>#NAME?</v>
      </c>
      <c r="T672" s="7" t="str">
        <f t="shared" si="22"/>
        <v>Normativo</v>
      </c>
      <c r="U672" s="4" t="s">
        <v>195</v>
      </c>
      <c r="V672" s="4" t="s">
        <v>39</v>
      </c>
      <c r="W672" s="4" t="s">
        <v>300</v>
      </c>
      <c r="X672" s="4" t="s">
        <v>301</v>
      </c>
      <c r="Y672" s="4" t="s">
        <v>755</v>
      </c>
      <c r="Z672" s="4">
        <v>0</v>
      </c>
      <c r="AA672" s="5">
        <v>993000000</v>
      </c>
      <c r="AB672" s="4" t="s">
        <v>180</v>
      </c>
      <c r="AC672">
        <v>671</v>
      </c>
    </row>
    <row r="673" spans="1:29" ht="16.5" hidden="1" customHeight="1" x14ac:dyDescent="0.2">
      <c r="A673" s="6" t="str">
        <f t="shared" si="21"/>
        <v>NOSDA $ BAU (Mantenimiento y peq. evolutivos)</v>
      </c>
      <c r="B673" s="4" t="s">
        <v>3269</v>
      </c>
      <c r="C673" s="14" t="s">
        <v>3270</v>
      </c>
      <c r="F673" s="4" t="s">
        <v>43</v>
      </c>
      <c r="S673" s="7" t="e">
        <f ca="1">IF(_xludf.ifna(VLOOKUP(B673,Parámetros!#REF!,1,0),"")="","No","Sí")</f>
        <v>#NAME?</v>
      </c>
      <c r="T673" s="7" t="str">
        <f t="shared" si="22"/>
        <v>Normativo</v>
      </c>
      <c r="Z673" s="5">
        <v>1119788006469</v>
      </c>
      <c r="AA673" s="5">
        <v>1131693122252</v>
      </c>
      <c r="AC673">
        <v>672</v>
      </c>
    </row>
    <row r="674" spans="1:29" ht="16.5" hidden="1" customHeight="1" x14ac:dyDescent="0.2">
      <c r="A674" s="6" t="str">
        <f t="shared" si="21"/>
        <v>SDATOOL-42449 $ Seguros - LIS Coaseguro Aceptado Autos Fase 2</v>
      </c>
      <c r="B674" s="4" t="s">
        <v>3271</v>
      </c>
      <c r="C674" s="14" t="s">
        <v>3272</v>
      </c>
      <c r="F674" s="4" t="s">
        <v>28</v>
      </c>
      <c r="S674" s="7" t="e">
        <f ca="1">IF(_xludf.ifna(VLOOKUP(B674,Parámetros!#REF!,1,0),"")="","No","Sí")</f>
        <v>#NAME?</v>
      </c>
      <c r="T674" s="7" t="str">
        <f t="shared" si="22"/>
        <v>Normativo</v>
      </c>
      <c r="AC674">
        <v>673</v>
      </c>
    </row>
  </sheetData>
  <autoFilter ref="A2:AB674" xr:uid="{00000000-0009-0000-0000-000001000000}">
    <filterColumn colId="7">
      <filters>
        <filter val="Stock"/>
      </filters>
    </filterColumn>
  </autoFilter>
  <hyperlinks>
    <hyperlink ref="O2" r:id="rId1" xr:uid="{00000000-0004-0000-0100-000000000000}"/>
    <hyperlink ref="P2" r:id="rId2" xr:uid="{00000000-0004-0000-0100-000001000000}"/>
    <hyperlink ref="Q2" r:id="rId3" xr:uid="{00000000-0004-0000-0100-000002000000}"/>
    <hyperlink ref="O3" r:id="rId4" xr:uid="{00000000-0004-0000-0100-000003000000}"/>
    <hyperlink ref="P3" r:id="rId5" xr:uid="{00000000-0004-0000-0100-000004000000}"/>
    <hyperlink ref="Q3" r:id="rId6" xr:uid="{00000000-0004-0000-0100-000005000000}"/>
    <hyperlink ref="O4" r:id="rId7" xr:uid="{00000000-0004-0000-0100-000006000000}"/>
    <hyperlink ref="Q4" r:id="rId8" xr:uid="{00000000-0004-0000-0100-000007000000}"/>
    <hyperlink ref="O5" r:id="rId9" xr:uid="{00000000-0004-0000-0100-000008000000}"/>
    <hyperlink ref="P5" r:id="rId10" xr:uid="{00000000-0004-0000-0100-000009000000}"/>
    <hyperlink ref="Q5" r:id="rId11" xr:uid="{00000000-0004-0000-0100-00000A000000}"/>
    <hyperlink ref="O6" r:id="rId12" xr:uid="{00000000-0004-0000-0100-00000B000000}"/>
    <hyperlink ref="P6" r:id="rId13" xr:uid="{00000000-0004-0000-0100-00000C000000}"/>
    <hyperlink ref="Q6" r:id="rId14" xr:uid="{00000000-0004-0000-0100-00000D000000}"/>
    <hyperlink ref="O7" r:id="rId15" xr:uid="{00000000-0004-0000-0100-00000E000000}"/>
    <hyperlink ref="P7" r:id="rId16" xr:uid="{00000000-0004-0000-0100-00000F000000}"/>
    <hyperlink ref="Q7" r:id="rId17" xr:uid="{00000000-0004-0000-0100-000010000000}"/>
    <hyperlink ref="O8" r:id="rId18" xr:uid="{00000000-0004-0000-0100-000011000000}"/>
    <hyperlink ref="P8" r:id="rId19" xr:uid="{00000000-0004-0000-0100-000012000000}"/>
    <hyperlink ref="O9" r:id="rId20" xr:uid="{00000000-0004-0000-0100-000013000000}"/>
    <hyperlink ref="P9" r:id="rId21" xr:uid="{00000000-0004-0000-0100-000014000000}"/>
    <hyperlink ref="Q9" r:id="rId22" xr:uid="{00000000-0004-0000-0100-000015000000}"/>
    <hyperlink ref="O10" r:id="rId23" xr:uid="{00000000-0004-0000-0100-000016000000}"/>
    <hyperlink ref="P10" r:id="rId24" xr:uid="{00000000-0004-0000-0100-000017000000}"/>
    <hyperlink ref="O11" r:id="rId25" xr:uid="{00000000-0004-0000-0100-000018000000}"/>
    <hyperlink ref="P11" r:id="rId26" xr:uid="{00000000-0004-0000-0100-000019000000}"/>
    <hyperlink ref="Q11" r:id="rId27" xr:uid="{00000000-0004-0000-0100-00001A000000}"/>
    <hyperlink ref="O12" r:id="rId28" xr:uid="{00000000-0004-0000-0100-00001B000000}"/>
    <hyperlink ref="P12" r:id="rId29" xr:uid="{00000000-0004-0000-0100-00001C000000}"/>
    <hyperlink ref="Q12" r:id="rId30" xr:uid="{00000000-0004-0000-0100-00001D000000}"/>
    <hyperlink ref="O13" r:id="rId31" xr:uid="{00000000-0004-0000-0100-00001E000000}"/>
    <hyperlink ref="P13" r:id="rId32" xr:uid="{00000000-0004-0000-0100-00001F000000}"/>
    <hyperlink ref="Q13" r:id="rId33" xr:uid="{00000000-0004-0000-0100-000020000000}"/>
    <hyperlink ref="O14" r:id="rId34" xr:uid="{00000000-0004-0000-0100-000021000000}"/>
    <hyperlink ref="P14" r:id="rId35" xr:uid="{00000000-0004-0000-0100-000022000000}"/>
    <hyperlink ref="Q14" r:id="rId36" xr:uid="{00000000-0004-0000-0100-000023000000}"/>
    <hyperlink ref="O15" r:id="rId37" xr:uid="{00000000-0004-0000-0100-000024000000}"/>
    <hyperlink ref="P15" r:id="rId38" xr:uid="{00000000-0004-0000-0100-000025000000}"/>
    <hyperlink ref="Q15" r:id="rId39" xr:uid="{00000000-0004-0000-0100-000026000000}"/>
    <hyperlink ref="O16" r:id="rId40" xr:uid="{00000000-0004-0000-0100-000027000000}"/>
    <hyperlink ref="P16" r:id="rId41" xr:uid="{00000000-0004-0000-0100-000028000000}"/>
    <hyperlink ref="Q16" r:id="rId42" xr:uid="{00000000-0004-0000-0100-000029000000}"/>
    <hyperlink ref="O17" r:id="rId43" xr:uid="{00000000-0004-0000-0100-00002A000000}"/>
    <hyperlink ref="P17" r:id="rId44" xr:uid="{00000000-0004-0000-0100-00002B000000}"/>
    <hyperlink ref="Q17" r:id="rId45" xr:uid="{00000000-0004-0000-0100-00002C000000}"/>
    <hyperlink ref="O18" r:id="rId46" xr:uid="{00000000-0004-0000-0100-00002D000000}"/>
    <hyperlink ref="P18" r:id="rId47" xr:uid="{00000000-0004-0000-0100-00002E000000}"/>
    <hyperlink ref="Q18" r:id="rId48" xr:uid="{00000000-0004-0000-0100-00002F000000}"/>
    <hyperlink ref="O19" r:id="rId49" xr:uid="{00000000-0004-0000-0100-000030000000}"/>
    <hyperlink ref="P19" r:id="rId50" xr:uid="{00000000-0004-0000-0100-000031000000}"/>
    <hyperlink ref="Q19" r:id="rId51" xr:uid="{00000000-0004-0000-0100-000032000000}"/>
    <hyperlink ref="O20" r:id="rId52" xr:uid="{00000000-0004-0000-0100-000033000000}"/>
    <hyperlink ref="P20" r:id="rId53" xr:uid="{00000000-0004-0000-0100-000034000000}"/>
    <hyperlink ref="Q20" r:id="rId54" xr:uid="{00000000-0004-0000-0100-000035000000}"/>
    <hyperlink ref="O21" r:id="rId55" xr:uid="{00000000-0004-0000-0100-000036000000}"/>
    <hyperlink ref="P21" r:id="rId56" xr:uid="{00000000-0004-0000-0100-000037000000}"/>
    <hyperlink ref="O22" r:id="rId57" xr:uid="{00000000-0004-0000-0100-000038000000}"/>
    <hyperlink ref="P22" r:id="rId58" xr:uid="{00000000-0004-0000-0100-000039000000}"/>
    <hyperlink ref="O23" r:id="rId59" xr:uid="{00000000-0004-0000-0100-00003A000000}"/>
    <hyperlink ref="P23" r:id="rId60" xr:uid="{00000000-0004-0000-0100-00003B000000}"/>
    <hyperlink ref="O24" r:id="rId61" xr:uid="{00000000-0004-0000-0100-00003C000000}"/>
    <hyperlink ref="P24" r:id="rId62" xr:uid="{00000000-0004-0000-0100-00003D000000}"/>
    <hyperlink ref="Q24" r:id="rId63" xr:uid="{00000000-0004-0000-0100-00003E000000}"/>
    <hyperlink ref="O25" r:id="rId64" xr:uid="{00000000-0004-0000-0100-00003F000000}"/>
    <hyperlink ref="P25" r:id="rId65" xr:uid="{00000000-0004-0000-0100-000040000000}"/>
    <hyperlink ref="Q25" r:id="rId66" xr:uid="{00000000-0004-0000-0100-000041000000}"/>
    <hyperlink ref="O26" r:id="rId67" xr:uid="{00000000-0004-0000-0100-000042000000}"/>
    <hyperlink ref="P26" r:id="rId68" xr:uid="{00000000-0004-0000-0100-000043000000}"/>
    <hyperlink ref="O27" r:id="rId69" xr:uid="{00000000-0004-0000-0100-000044000000}"/>
    <hyperlink ref="P27" r:id="rId70" xr:uid="{00000000-0004-0000-0100-000045000000}"/>
    <hyperlink ref="Q27" r:id="rId71" xr:uid="{00000000-0004-0000-0100-000046000000}"/>
    <hyperlink ref="O28" r:id="rId72" xr:uid="{00000000-0004-0000-0100-000047000000}"/>
    <hyperlink ref="P28" r:id="rId73" xr:uid="{00000000-0004-0000-0100-000048000000}"/>
    <hyperlink ref="Q28" r:id="rId74" xr:uid="{00000000-0004-0000-0100-000049000000}"/>
    <hyperlink ref="O29" r:id="rId75" xr:uid="{00000000-0004-0000-0100-00004A000000}"/>
    <hyperlink ref="P29" r:id="rId76" xr:uid="{00000000-0004-0000-0100-00004B000000}"/>
    <hyperlink ref="Q29" r:id="rId77" xr:uid="{00000000-0004-0000-0100-00004C000000}"/>
    <hyperlink ref="O30" r:id="rId78" xr:uid="{00000000-0004-0000-0100-00004D000000}"/>
    <hyperlink ref="P30" r:id="rId79" xr:uid="{00000000-0004-0000-0100-00004E000000}"/>
    <hyperlink ref="Q30" r:id="rId80" xr:uid="{00000000-0004-0000-0100-00004F000000}"/>
    <hyperlink ref="O31" r:id="rId81" xr:uid="{00000000-0004-0000-0100-000050000000}"/>
    <hyperlink ref="P31" r:id="rId82" xr:uid="{00000000-0004-0000-0100-000051000000}"/>
    <hyperlink ref="Q31" r:id="rId83" xr:uid="{00000000-0004-0000-0100-000052000000}"/>
    <hyperlink ref="O32" r:id="rId84" xr:uid="{00000000-0004-0000-0100-000053000000}"/>
    <hyperlink ref="P32" r:id="rId85" xr:uid="{00000000-0004-0000-0100-000054000000}"/>
    <hyperlink ref="Q32" r:id="rId86" xr:uid="{00000000-0004-0000-0100-000055000000}"/>
    <hyperlink ref="O33" r:id="rId87" xr:uid="{00000000-0004-0000-0100-000056000000}"/>
    <hyperlink ref="P33" r:id="rId88" xr:uid="{00000000-0004-0000-0100-000057000000}"/>
    <hyperlink ref="Q33" r:id="rId89" xr:uid="{00000000-0004-0000-0100-000058000000}"/>
    <hyperlink ref="O34" r:id="rId90" xr:uid="{00000000-0004-0000-0100-000059000000}"/>
    <hyperlink ref="P34" r:id="rId91" xr:uid="{00000000-0004-0000-0100-00005A000000}"/>
    <hyperlink ref="Q34" r:id="rId92" xr:uid="{00000000-0004-0000-0100-00005B000000}"/>
    <hyperlink ref="O35" r:id="rId93" xr:uid="{00000000-0004-0000-0100-00005C000000}"/>
    <hyperlink ref="Q35" r:id="rId94" xr:uid="{00000000-0004-0000-0100-00005D000000}"/>
    <hyperlink ref="O36" r:id="rId95" xr:uid="{00000000-0004-0000-0100-00005E000000}"/>
    <hyperlink ref="P36" r:id="rId96" xr:uid="{00000000-0004-0000-0100-00005F000000}"/>
    <hyperlink ref="Q36" r:id="rId97" xr:uid="{00000000-0004-0000-0100-000060000000}"/>
    <hyperlink ref="O37" r:id="rId98" xr:uid="{00000000-0004-0000-0100-000061000000}"/>
    <hyperlink ref="P37" r:id="rId99" xr:uid="{00000000-0004-0000-0100-000062000000}"/>
    <hyperlink ref="Q37" r:id="rId100" xr:uid="{00000000-0004-0000-0100-000063000000}"/>
    <hyperlink ref="O38" r:id="rId101" xr:uid="{00000000-0004-0000-0100-000064000000}"/>
    <hyperlink ref="P38" r:id="rId102" xr:uid="{00000000-0004-0000-0100-000065000000}"/>
    <hyperlink ref="Q38" r:id="rId103" xr:uid="{00000000-0004-0000-0100-000066000000}"/>
    <hyperlink ref="O39" r:id="rId104" xr:uid="{00000000-0004-0000-0100-000067000000}"/>
    <hyperlink ref="P39" r:id="rId105" xr:uid="{00000000-0004-0000-0100-000068000000}"/>
    <hyperlink ref="Q39" r:id="rId106" xr:uid="{00000000-0004-0000-0100-000069000000}"/>
    <hyperlink ref="O40" r:id="rId107" xr:uid="{00000000-0004-0000-0100-00006A000000}"/>
    <hyperlink ref="P40" r:id="rId108" xr:uid="{00000000-0004-0000-0100-00006B000000}"/>
    <hyperlink ref="Q40" r:id="rId109" xr:uid="{00000000-0004-0000-0100-00006C000000}"/>
    <hyperlink ref="O41" r:id="rId110" xr:uid="{00000000-0004-0000-0100-00006D000000}"/>
    <hyperlink ref="P41" r:id="rId111" xr:uid="{00000000-0004-0000-0100-00006E000000}"/>
    <hyperlink ref="Q41" r:id="rId112" xr:uid="{00000000-0004-0000-0100-00006F000000}"/>
    <hyperlink ref="O42" r:id="rId113" xr:uid="{00000000-0004-0000-0100-000070000000}"/>
    <hyperlink ref="P42" r:id="rId114" xr:uid="{00000000-0004-0000-0100-000071000000}"/>
    <hyperlink ref="Q42" r:id="rId115" xr:uid="{00000000-0004-0000-0100-000072000000}"/>
    <hyperlink ref="O43" r:id="rId116" xr:uid="{00000000-0004-0000-0100-000073000000}"/>
    <hyperlink ref="P43" r:id="rId117" xr:uid="{00000000-0004-0000-0100-000074000000}"/>
    <hyperlink ref="Q43" r:id="rId118" xr:uid="{00000000-0004-0000-0100-000075000000}"/>
    <hyperlink ref="O44" r:id="rId119" xr:uid="{00000000-0004-0000-0100-000076000000}"/>
    <hyperlink ref="P44" r:id="rId120" xr:uid="{00000000-0004-0000-0100-000077000000}"/>
    <hyperlink ref="Q44" r:id="rId121" xr:uid="{00000000-0004-0000-0100-000078000000}"/>
    <hyperlink ref="O45" r:id="rId122" xr:uid="{00000000-0004-0000-0100-000079000000}"/>
    <hyperlink ref="P45" r:id="rId123" xr:uid="{00000000-0004-0000-0100-00007A000000}"/>
    <hyperlink ref="Q45" r:id="rId124" xr:uid="{00000000-0004-0000-0100-00007B000000}"/>
    <hyperlink ref="O46" r:id="rId125" xr:uid="{00000000-0004-0000-0100-00007C000000}"/>
    <hyperlink ref="P46" r:id="rId126" xr:uid="{00000000-0004-0000-0100-00007D000000}"/>
    <hyperlink ref="Q46" r:id="rId127" xr:uid="{00000000-0004-0000-0100-00007E000000}"/>
    <hyperlink ref="O47" r:id="rId128" xr:uid="{00000000-0004-0000-0100-00007F000000}"/>
    <hyperlink ref="P47" r:id="rId129" xr:uid="{00000000-0004-0000-0100-000080000000}"/>
    <hyperlink ref="Q47" r:id="rId130" xr:uid="{00000000-0004-0000-0100-000081000000}"/>
    <hyperlink ref="O48" r:id="rId131" xr:uid="{00000000-0004-0000-0100-000082000000}"/>
    <hyperlink ref="P48" r:id="rId132" xr:uid="{00000000-0004-0000-0100-000083000000}"/>
    <hyperlink ref="Q48" r:id="rId133" xr:uid="{00000000-0004-0000-0100-000084000000}"/>
    <hyperlink ref="O49" r:id="rId134" xr:uid="{00000000-0004-0000-0100-000085000000}"/>
    <hyperlink ref="P49" r:id="rId135" xr:uid="{00000000-0004-0000-0100-000086000000}"/>
    <hyperlink ref="Q49" r:id="rId136" xr:uid="{00000000-0004-0000-0100-000087000000}"/>
    <hyperlink ref="O50" r:id="rId137" xr:uid="{00000000-0004-0000-0100-000088000000}"/>
    <hyperlink ref="P50" r:id="rId138" xr:uid="{00000000-0004-0000-0100-000089000000}"/>
    <hyperlink ref="Q50" r:id="rId139" xr:uid="{00000000-0004-0000-0100-00008A000000}"/>
    <hyperlink ref="O51" r:id="rId140" xr:uid="{00000000-0004-0000-0100-00008B000000}"/>
    <hyperlink ref="P51" r:id="rId141" xr:uid="{00000000-0004-0000-0100-00008C000000}"/>
    <hyperlink ref="Q51" r:id="rId142" xr:uid="{00000000-0004-0000-0100-00008D000000}"/>
    <hyperlink ref="O52" r:id="rId143" xr:uid="{00000000-0004-0000-0100-00008E000000}"/>
    <hyperlink ref="P52" r:id="rId144" xr:uid="{00000000-0004-0000-0100-00008F000000}"/>
    <hyperlink ref="Q52" r:id="rId145" xr:uid="{00000000-0004-0000-0100-000090000000}"/>
    <hyperlink ref="O53" r:id="rId146" xr:uid="{00000000-0004-0000-0100-000091000000}"/>
    <hyperlink ref="P53" r:id="rId147" xr:uid="{00000000-0004-0000-0100-000092000000}"/>
    <hyperlink ref="Q53" r:id="rId148" xr:uid="{00000000-0004-0000-0100-000093000000}"/>
    <hyperlink ref="O54" r:id="rId149" xr:uid="{00000000-0004-0000-0100-000094000000}"/>
    <hyperlink ref="P54" r:id="rId150" xr:uid="{00000000-0004-0000-0100-000095000000}"/>
    <hyperlink ref="Q54" r:id="rId151" xr:uid="{00000000-0004-0000-0100-000096000000}"/>
    <hyperlink ref="O55" r:id="rId152" xr:uid="{00000000-0004-0000-0100-000097000000}"/>
    <hyperlink ref="P55" r:id="rId153" xr:uid="{00000000-0004-0000-0100-000098000000}"/>
    <hyperlink ref="Q55" r:id="rId154" xr:uid="{00000000-0004-0000-0100-000099000000}"/>
    <hyperlink ref="O56" r:id="rId155" xr:uid="{00000000-0004-0000-0100-00009A000000}"/>
    <hyperlink ref="P56" r:id="rId156" xr:uid="{00000000-0004-0000-0100-00009B000000}"/>
    <hyperlink ref="Q56" r:id="rId157" xr:uid="{00000000-0004-0000-0100-00009C000000}"/>
    <hyperlink ref="O57" r:id="rId158" xr:uid="{00000000-0004-0000-0100-00009D000000}"/>
    <hyperlink ref="P57" r:id="rId159" xr:uid="{00000000-0004-0000-0100-00009E000000}"/>
    <hyperlink ref="Q57" r:id="rId160" xr:uid="{00000000-0004-0000-0100-00009F000000}"/>
    <hyperlink ref="O58" r:id="rId161" xr:uid="{00000000-0004-0000-0100-0000A0000000}"/>
    <hyperlink ref="P58" r:id="rId162" xr:uid="{00000000-0004-0000-0100-0000A1000000}"/>
    <hyperlink ref="Q58" r:id="rId163" xr:uid="{00000000-0004-0000-0100-0000A2000000}"/>
    <hyperlink ref="O59" r:id="rId164" xr:uid="{00000000-0004-0000-0100-0000A3000000}"/>
    <hyperlink ref="P59" r:id="rId165" xr:uid="{00000000-0004-0000-0100-0000A4000000}"/>
    <hyperlink ref="Q59" r:id="rId166" xr:uid="{00000000-0004-0000-0100-0000A5000000}"/>
    <hyperlink ref="O60" r:id="rId167" xr:uid="{00000000-0004-0000-0100-0000A6000000}"/>
    <hyperlink ref="P60" r:id="rId168" xr:uid="{00000000-0004-0000-0100-0000A7000000}"/>
    <hyperlink ref="Q60" r:id="rId169" xr:uid="{00000000-0004-0000-0100-0000A8000000}"/>
    <hyperlink ref="O61" r:id="rId170" xr:uid="{00000000-0004-0000-0100-0000A9000000}"/>
    <hyperlink ref="P61" r:id="rId171" xr:uid="{00000000-0004-0000-0100-0000AA000000}"/>
    <hyperlink ref="Q61" r:id="rId172" xr:uid="{00000000-0004-0000-0100-0000AB000000}"/>
    <hyperlink ref="O62" r:id="rId173" xr:uid="{00000000-0004-0000-0100-0000AC000000}"/>
    <hyperlink ref="P62" r:id="rId174" xr:uid="{00000000-0004-0000-0100-0000AD000000}"/>
    <hyperlink ref="Q62" r:id="rId175" xr:uid="{00000000-0004-0000-0100-0000AE000000}"/>
    <hyperlink ref="O63" r:id="rId176" xr:uid="{00000000-0004-0000-0100-0000AF000000}"/>
    <hyperlink ref="P63" r:id="rId177" xr:uid="{00000000-0004-0000-0100-0000B0000000}"/>
    <hyperlink ref="Q63" r:id="rId178" xr:uid="{00000000-0004-0000-0100-0000B1000000}"/>
    <hyperlink ref="O64" r:id="rId179" xr:uid="{00000000-0004-0000-0100-0000B2000000}"/>
    <hyperlink ref="P64" r:id="rId180" xr:uid="{00000000-0004-0000-0100-0000B3000000}"/>
    <hyperlink ref="Q64" r:id="rId181" xr:uid="{00000000-0004-0000-0100-0000B4000000}"/>
    <hyperlink ref="O65" r:id="rId182" xr:uid="{00000000-0004-0000-0100-0000B5000000}"/>
    <hyperlink ref="P65" r:id="rId183" xr:uid="{00000000-0004-0000-0100-0000B6000000}"/>
    <hyperlink ref="Q65" r:id="rId184" xr:uid="{00000000-0004-0000-0100-0000B7000000}"/>
    <hyperlink ref="O66" r:id="rId185" xr:uid="{00000000-0004-0000-0100-0000B8000000}"/>
    <hyperlink ref="P66" r:id="rId186" xr:uid="{00000000-0004-0000-0100-0000B9000000}"/>
    <hyperlink ref="Q66" r:id="rId187" xr:uid="{00000000-0004-0000-0100-0000BA000000}"/>
    <hyperlink ref="O67" r:id="rId188" xr:uid="{00000000-0004-0000-0100-0000BB000000}"/>
    <hyperlink ref="P67" r:id="rId189" xr:uid="{00000000-0004-0000-0100-0000BC000000}"/>
    <hyperlink ref="Q67" r:id="rId190" xr:uid="{00000000-0004-0000-0100-0000BD000000}"/>
    <hyperlink ref="O68" r:id="rId191" xr:uid="{00000000-0004-0000-0100-0000BE000000}"/>
    <hyperlink ref="P68" r:id="rId192" xr:uid="{00000000-0004-0000-0100-0000BF000000}"/>
    <hyperlink ref="Q68" r:id="rId193" xr:uid="{00000000-0004-0000-0100-0000C0000000}"/>
    <hyperlink ref="O69" r:id="rId194" xr:uid="{00000000-0004-0000-0100-0000C1000000}"/>
    <hyperlink ref="P69" r:id="rId195" xr:uid="{00000000-0004-0000-0100-0000C2000000}"/>
    <hyperlink ref="Q69" r:id="rId196" xr:uid="{00000000-0004-0000-0100-0000C3000000}"/>
    <hyperlink ref="O70" r:id="rId197" xr:uid="{00000000-0004-0000-0100-0000C4000000}"/>
    <hyperlink ref="P70" r:id="rId198" xr:uid="{00000000-0004-0000-0100-0000C5000000}"/>
    <hyperlink ref="Q70" r:id="rId199" xr:uid="{00000000-0004-0000-0100-0000C6000000}"/>
    <hyperlink ref="O71" r:id="rId200" xr:uid="{00000000-0004-0000-0100-0000C7000000}"/>
    <hyperlink ref="P71" r:id="rId201" xr:uid="{00000000-0004-0000-0100-0000C8000000}"/>
    <hyperlink ref="Q71" r:id="rId202" xr:uid="{00000000-0004-0000-0100-0000C9000000}"/>
    <hyperlink ref="O72" r:id="rId203" xr:uid="{00000000-0004-0000-0100-0000CA000000}"/>
    <hyperlink ref="P72" r:id="rId204" xr:uid="{00000000-0004-0000-0100-0000CB000000}"/>
    <hyperlink ref="Q72" r:id="rId205" xr:uid="{00000000-0004-0000-0100-0000CC000000}"/>
    <hyperlink ref="O73" r:id="rId206" xr:uid="{00000000-0004-0000-0100-0000CD000000}"/>
    <hyperlink ref="P73" r:id="rId207" xr:uid="{00000000-0004-0000-0100-0000CE000000}"/>
    <hyperlink ref="Q73" r:id="rId208" xr:uid="{00000000-0004-0000-0100-0000CF000000}"/>
    <hyperlink ref="O74" r:id="rId209" xr:uid="{00000000-0004-0000-0100-0000D0000000}"/>
    <hyperlink ref="P74" r:id="rId210" xr:uid="{00000000-0004-0000-0100-0000D1000000}"/>
    <hyperlink ref="Q74" r:id="rId211" xr:uid="{00000000-0004-0000-0100-0000D2000000}"/>
    <hyperlink ref="O75" r:id="rId212" xr:uid="{00000000-0004-0000-0100-0000D3000000}"/>
    <hyperlink ref="P75" r:id="rId213" xr:uid="{00000000-0004-0000-0100-0000D4000000}"/>
    <hyperlink ref="Q75" r:id="rId214" xr:uid="{00000000-0004-0000-0100-0000D5000000}"/>
    <hyperlink ref="O76" r:id="rId215" xr:uid="{00000000-0004-0000-0100-0000D6000000}"/>
    <hyperlink ref="P76" r:id="rId216" xr:uid="{00000000-0004-0000-0100-0000D7000000}"/>
    <hyperlink ref="Q76" r:id="rId217" xr:uid="{00000000-0004-0000-0100-0000D8000000}"/>
    <hyperlink ref="O77" r:id="rId218" xr:uid="{00000000-0004-0000-0100-0000D9000000}"/>
    <hyperlink ref="P77" r:id="rId219" xr:uid="{00000000-0004-0000-0100-0000DA000000}"/>
    <hyperlink ref="Q77" r:id="rId220" xr:uid="{00000000-0004-0000-0100-0000DB000000}"/>
    <hyperlink ref="O78" r:id="rId221" xr:uid="{00000000-0004-0000-0100-0000DC000000}"/>
    <hyperlink ref="P78" r:id="rId222" xr:uid="{00000000-0004-0000-0100-0000DD000000}"/>
    <hyperlink ref="Q78" r:id="rId223" xr:uid="{00000000-0004-0000-0100-0000DE000000}"/>
    <hyperlink ref="O79" r:id="rId224" xr:uid="{00000000-0004-0000-0100-0000DF000000}"/>
    <hyperlink ref="P79" r:id="rId225" xr:uid="{00000000-0004-0000-0100-0000E0000000}"/>
    <hyperlink ref="Q79" r:id="rId226" xr:uid="{00000000-0004-0000-0100-0000E1000000}"/>
    <hyperlink ref="O80" r:id="rId227" xr:uid="{00000000-0004-0000-0100-0000E2000000}"/>
    <hyperlink ref="P80" r:id="rId228" xr:uid="{00000000-0004-0000-0100-0000E3000000}"/>
    <hyperlink ref="Q80" r:id="rId229" xr:uid="{00000000-0004-0000-0100-0000E4000000}"/>
    <hyperlink ref="O81" r:id="rId230" xr:uid="{00000000-0004-0000-0100-0000E5000000}"/>
    <hyperlink ref="P81" r:id="rId231" xr:uid="{00000000-0004-0000-0100-0000E6000000}"/>
    <hyperlink ref="Q81" r:id="rId232" xr:uid="{00000000-0004-0000-0100-0000E7000000}"/>
    <hyperlink ref="O82" r:id="rId233" xr:uid="{00000000-0004-0000-0100-0000E8000000}"/>
    <hyperlink ref="P82" r:id="rId234" xr:uid="{00000000-0004-0000-0100-0000E9000000}"/>
    <hyperlink ref="Q82" r:id="rId235" xr:uid="{00000000-0004-0000-0100-0000EA000000}"/>
    <hyperlink ref="O83" r:id="rId236" xr:uid="{00000000-0004-0000-0100-0000EB000000}"/>
    <hyperlink ref="P83" r:id="rId237" xr:uid="{00000000-0004-0000-0100-0000EC000000}"/>
    <hyperlink ref="Q83" r:id="rId238" xr:uid="{00000000-0004-0000-0100-0000ED000000}"/>
    <hyperlink ref="O84" r:id="rId239" xr:uid="{00000000-0004-0000-0100-0000EE000000}"/>
    <hyperlink ref="P84" r:id="rId240" xr:uid="{00000000-0004-0000-0100-0000EF000000}"/>
    <hyperlink ref="Q84" r:id="rId241" xr:uid="{00000000-0004-0000-0100-0000F0000000}"/>
    <hyperlink ref="O85" r:id="rId242" xr:uid="{00000000-0004-0000-0100-0000F1000000}"/>
    <hyperlink ref="P85" r:id="rId243" xr:uid="{00000000-0004-0000-0100-0000F2000000}"/>
    <hyperlink ref="Q85" r:id="rId244" xr:uid="{00000000-0004-0000-0100-0000F3000000}"/>
    <hyperlink ref="O86" r:id="rId245" xr:uid="{00000000-0004-0000-0100-0000F4000000}"/>
    <hyperlink ref="P86" r:id="rId246" xr:uid="{00000000-0004-0000-0100-0000F5000000}"/>
    <hyperlink ref="Q86" r:id="rId247" xr:uid="{00000000-0004-0000-0100-0000F6000000}"/>
    <hyperlink ref="O87" r:id="rId248" xr:uid="{00000000-0004-0000-0100-0000F7000000}"/>
    <hyperlink ref="O88" r:id="rId249" xr:uid="{00000000-0004-0000-0100-0000F8000000}"/>
    <hyperlink ref="P88" r:id="rId250" xr:uid="{00000000-0004-0000-0100-0000F9000000}"/>
    <hyperlink ref="Q88" r:id="rId251" xr:uid="{00000000-0004-0000-0100-0000FA000000}"/>
    <hyperlink ref="O89" r:id="rId252" xr:uid="{00000000-0004-0000-0100-0000FB000000}"/>
    <hyperlink ref="P89" r:id="rId253" xr:uid="{00000000-0004-0000-0100-0000FC000000}"/>
    <hyperlink ref="Q89" r:id="rId254" xr:uid="{00000000-0004-0000-0100-0000FD000000}"/>
    <hyperlink ref="O90" r:id="rId255" xr:uid="{00000000-0004-0000-0100-0000FE000000}"/>
    <hyperlink ref="P90" r:id="rId256" xr:uid="{00000000-0004-0000-0100-0000FF000000}"/>
    <hyperlink ref="Q90" r:id="rId257" xr:uid="{00000000-0004-0000-0100-000000010000}"/>
    <hyperlink ref="O91" r:id="rId258" xr:uid="{00000000-0004-0000-0100-000001010000}"/>
    <hyperlink ref="P91" r:id="rId259" xr:uid="{00000000-0004-0000-0100-000002010000}"/>
    <hyperlink ref="Q91" r:id="rId260" xr:uid="{00000000-0004-0000-0100-000003010000}"/>
    <hyperlink ref="O92" r:id="rId261" xr:uid="{00000000-0004-0000-0100-000004010000}"/>
    <hyperlink ref="P92" r:id="rId262" xr:uid="{00000000-0004-0000-0100-000005010000}"/>
    <hyperlink ref="Q92" r:id="rId263" xr:uid="{00000000-0004-0000-0100-000006010000}"/>
    <hyperlink ref="O93" r:id="rId264" xr:uid="{00000000-0004-0000-0100-000007010000}"/>
    <hyperlink ref="P93" r:id="rId265" xr:uid="{00000000-0004-0000-0100-000008010000}"/>
    <hyperlink ref="Q93" r:id="rId266" xr:uid="{00000000-0004-0000-0100-000009010000}"/>
    <hyperlink ref="O94" r:id="rId267" xr:uid="{00000000-0004-0000-0100-00000A010000}"/>
    <hyperlink ref="P94" r:id="rId268" xr:uid="{00000000-0004-0000-0100-00000B010000}"/>
    <hyperlink ref="Q94" r:id="rId269" xr:uid="{00000000-0004-0000-0100-00000C010000}"/>
    <hyperlink ref="O95" r:id="rId270" xr:uid="{00000000-0004-0000-0100-00000D010000}"/>
    <hyperlink ref="P95" r:id="rId271" xr:uid="{00000000-0004-0000-0100-00000E010000}"/>
    <hyperlink ref="Q95" r:id="rId272" xr:uid="{00000000-0004-0000-0100-00000F010000}"/>
    <hyperlink ref="O96" r:id="rId273" xr:uid="{00000000-0004-0000-0100-000010010000}"/>
    <hyperlink ref="P96" r:id="rId274" xr:uid="{00000000-0004-0000-0100-000011010000}"/>
    <hyperlink ref="Q96" r:id="rId275" xr:uid="{00000000-0004-0000-0100-000012010000}"/>
    <hyperlink ref="O97" r:id="rId276" xr:uid="{00000000-0004-0000-0100-000013010000}"/>
    <hyperlink ref="P97" r:id="rId277" xr:uid="{00000000-0004-0000-0100-000014010000}"/>
    <hyperlink ref="Q97" r:id="rId278" xr:uid="{00000000-0004-0000-0100-000015010000}"/>
    <hyperlink ref="O98" r:id="rId279" xr:uid="{00000000-0004-0000-0100-000016010000}"/>
    <hyperlink ref="P98" r:id="rId280" xr:uid="{00000000-0004-0000-0100-000017010000}"/>
    <hyperlink ref="Q98" r:id="rId281" xr:uid="{00000000-0004-0000-0100-000018010000}"/>
    <hyperlink ref="O99" r:id="rId282" xr:uid="{00000000-0004-0000-0100-000019010000}"/>
    <hyperlink ref="P99" r:id="rId283" xr:uid="{00000000-0004-0000-0100-00001A010000}"/>
    <hyperlink ref="Q99" r:id="rId284" xr:uid="{00000000-0004-0000-0100-00001B010000}"/>
    <hyperlink ref="O100" r:id="rId285" xr:uid="{00000000-0004-0000-0100-00001C010000}"/>
    <hyperlink ref="P100" r:id="rId286" xr:uid="{00000000-0004-0000-0100-00001D010000}"/>
    <hyperlink ref="Q100" r:id="rId287" xr:uid="{00000000-0004-0000-0100-00001E010000}"/>
    <hyperlink ref="O101" r:id="rId288" xr:uid="{00000000-0004-0000-0100-00001F010000}"/>
    <hyperlink ref="P101" r:id="rId289" xr:uid="{00000000-0004-0000-0100-000020010000}"/>
    <hyperlink ref="Q101" r:id="rId290" xr:uid="{00000000-0004-0000-0100-000021010000}"/>
    <hyperlink ref="O102" r:id="rId291" xr:uid="{00000000-0004-0000-0100-000022010000}"/>
    <hyperlink ref="P102" r:id="rId292" xr:uid="{00000000-0004-0000-0100-000023010000}"/>
    <hyperlink ref="Q102" r:id="rId293" xr:uid="{00000000-0004-0000-0100-000024010000}"/>
    <hyperlink ref="O103" r:id="rId294" xr:uid="{00000000-0004-0000-0100-000025010000}"/>
    <hyperlink ref="P103" r:id="rId295" xr:uid="{00000000-0004-0000-0100-000026010000}"/>
    <hyperlink ref="Q103" r:id="rId296" xr:uid="{00000000-0004-0000-0100-000027010000}"/>
    <hyperlink ref="O104" r:id="rId297" xr:uid="{00000000-0004-0000-0100-000028010000}"/>
    <hyperlink ref="P104" r:id="rId298" xr:uid="{00000000-0004-0000-0100-000029010000}"/>
    <hyperlink ref="Q104" r:id="rId299" xr:uid="{00000000-0004-0000-0100-00002A010000}"/>
    <hyperlink ref="O105" r:id="rId300" xr:uid="{00000000-0004-0000-0100-00002B010000}"/>
    <hyperlink ref="P105" r:id="rId301" xr:uid="{00000000-0004-0000-0100-00002C010000}"/>
    <hyperlink ref="Q105" r:id="rId302" xr:uid="{00000000-0004-0000-0100-00002D010000}"/>
    <hyperlink ref="O106" r:id="rId303" xr:uid="{00000000-0004-0000-0100-00002E010000}"/>
    <hyperlink ref="P106" r:id="rId304" xr:uid="{00000000-0004-0000-0100-00002F010000}"/>
    <hyperlink ref="Q106" r:id="rId305" xr:uid="{00000000-0004-0000-0100-000030010000}"/>
    <hyperlink ref="O107" r:id="rId306" xr:uid="{00000000-0004-0000-0100-000031010000}"/>
    <hyperlink ref="P107" r:id="rId307" xr:uid="{00000000-0004-0000-0100-000032010000}"/>
    <hyperlink ref="Q107" r:id="rId308" xr:uid="{00000000-0004-0000-0100-000033010000}"/>
    <hyperlink ref="O108" r:id="rId309" xr:uid="{00000000-0004-0000-0100-000034010000}"/>
    <hyperlink ref="P108" r:id="rId310" xr:uid="{00000000-0004-0000-0100-000035010000}"/>
    <hyperlink ref="Q108" r:id="rId311" xr:uid="{00000000-0004-0000-0100-000036010000}"/>
    <hyperlink ref="O109" r:id="rId312" xr:uid="{00000000-0004-0000-0100-000037010000}"/>
    <hyperlink ref="P109" r:id="rId313" xr:uid="{00000000-0004-0000-0100-000038010000}"/>
    <hyperlink ref="Q109" r:id="rId314" xr:uid="{00000000-0004-0000-0100-000039010000}"/>
    <hyperlink ref="O110" r:id="rId315" xr:uid="{00000000-0004-0000-0100-00003A010000}"/>
    <hyperlink ref="P110" r:id="rId316" xr:uid="{00000000-0004-0000-0100-00003B010000}"/>
    <hyperlink ref="Q110" r:id="rId317" xr:uid="{00000000-0004-0000-0100-00003C010000}"/>
    <hyperlink ref="O111" r:id="rId318" xr:uid="{00000000-0004-0000-0100-00003D010000}"/>
    <hyperlink ref="P111" r:id="rId319" xr:uid="{00000000-0004-0000-0100-00003E010000}"/>
    <hyperlink ref="Q111" r:id="rId320" xr:uid="{00000000-0004-0000-0100-00003F010000}"/>
    <hyperlink ref="O112" r:id="rId321" xr:uid="{00000000-0004-0000-0100-000040010000}"/>
    <hyperlink ref="P112" r:id="rId322" xr:uid="{00000000-0004-0000-0100-000041010000}"/>
    <hyperlink ref="Q112" r:id="rId323" xr:uid="{00000000-0004-0000-0100-000042010000}"/>
    <hyperlink ref="O113" r:id="rId324" xr:uid="{00000000-0004-0000-0100-000043010000}"/>
    <hyperlink ref="P113" r:id="rId325" xr:uid="{00000000-0004-0000-0100-000044010000}"/>
    <hyperlink ref="Q113" r:id="rId326" xr:uid="{00000000-0004-0000-0100-000045010000}"/>
    <hyperlink ref="O114" r:id="rId327" xr:uid="{00000000-0004-0000-0100-000046010000}"/>
    <hyperlink ref="P114" r:id="rId328" xr:uid="{00000000-0004-0000-0100-000047010000}"/>
    <hyperlink ref="Q114" r:id="rId329" xr:uid="{00000000-0004-0000-0100-000048010000}"/>
    <hyperlink ref="O115" r:id="rId330" xr:uid="{00000000-0004-0000-0100-000049010000}"/>
    <hyperlink ref="P115" r:id="rId331" xr:uid="{00000000-0004-0000-0100-00004A010000}"/>
    <hyperlink ref="Q115" r:id="rId332" xr:uid="{00000000-0004-0000-0100-00004B010000}"/>
    <hyperlink ref="O116" r:id="rId333" xr:uid="{00000000-0004-0000-0100-00004C010000}"/>
    <hyperlink ref="P116" r:id="rId334" xr:uid="{00000000-0004-0000-0100-00004D010000}"/>
    <hyperlink ref="Q116" r:id="rId335" xr:uid="{00000000-0004-0000-0100-00004E010000}"/>
    <hyperlink ref="O117" r:id="rId336" xr:uid="{00000000-0004-0000-0100-00004F010000}"/>
    <hyperlink ref="P117" r:id="rId337" xr:uid="{00000000-0004-0000-0100-000050010000}"/>
    <hyperlink ref="Q117" r:id="rId338" xr:uid="{00000000-0004-0000-0100-000051010000}"/>
    <hyperlink ref="O118" r:id="rId339" xr:uid="{00000000-0004-0000-0100-000052010000}"/>
    <hyperlink ref="P118" r:id="rId340" xr:uid="{00000000-0004-0000-0100-000053010000}"/>
    <hyperlink ref="Q118" r:id="rId341" xr:uid="{00000000-0004-0000-0100-000054010000}"/>
    <hyperlink ref="O119" r:id="rId342" xr:uid="{00000000-0004-0000-0100-000055010000}"/>
    <hyperlink ref="P119" r:id="rId343" xr:uid="{00000000-0004-0000-0100-000056010000}"/>
    <hyperlink ref="Q119" r:id="rId344" xr:uid="{00000000-0004-0000-0100-000057010000}"/>
    <hyperlink ref="O120" r:id="rId345" xr:uid="{00000000-0004-0000-0100-000058010000}"/>
    <hyperlink ref="P120" r:id="rId346" xr:uid="{00000000-0004-0000-0100-000059010000}"/>
    <hyperlink ref="Q120" r:id="rId347" xr:uid="{00000000-0004-0000-0100-00005A010000}"/>
    <hyperlink ref="O121" r:id="rId348" xr:uid="{00000000-0004-0000-0100-00005B010000}"/>
    <hyperlink ref="P121" r:id="rId349" xr:uid="{00000000-0004-0000-0100-00005C010000}"/>
    <hyperlink ref="Q121" r:id="rId350" xr:uid="{00000000-0004-0000-0100-00005D010000}"/>
    <hyperlink ref="O122" r:id="rId351" xr:uid="{00000000-0004-0000-0100-00005E010000}"/>
    <hyperlink ref="P122" r:id="rId352" xr:uid="{00000000-0004-0000-0100-00005F010000}"/>
    <hyperlink ref="Q122" r:id="rId353" xr:uid="{00000000-0004-0000-0100-000060010000}"/>
    <hyperlink ref="O123" r:id="rId354" xr:uid="{00000000-0004-0000-0100-000061010000}"/>
    <hyperlink ref="P123" r:id="rId355" xr:uid="{00000000-0004-0000-0100-000062010000}"/>
    <hyperlink ref="Q123" r:id="rId356" xr:uid="{00000000-0004-0000-0100-000063010000}"/>
    <hyperlink ref="O124" r:id="rId357" xr:uid="{00000000-0004-0000-0100-000064010000}"/>
    <hyperlink ref="P124" r:id="rId358" xr:uid="{00000000-0004-0000-0100-000065010000}"/>
    <hyperlink ref="Q124" r:id="rId359" xr:uid="{00000000-0004-0000-0100-000066010000}"/>
    <hyperlink ref="O125" r:id="rId360" xr:uid="{00000000-0004-0000-0100-000067010000}"/>
    <hyperlink ref="P125" r:id="rId361" xr:uid="{00000000-0004-0000-0100-000068010000}"/>
    <hyperlink ref="Q125" r:id="rId362" xr:uid="{00000000-0004-0000-0100-000069010000}"/>
    <hyperlink ref="O126" r:id="rId363" xr:uid="{00000000-0004-0000-0100-00006A010000}"/>
    <hyperlink ref="P126" r:id="rId364" xr:uid="{00000000-0004-0000-0100-00006B010000}"/>
    <hyperlink ref="Q126" r:id="rId365" xr:uid="{00000000-0004-0000-0100-00006C010000}"/>
    <hyperlink ref="O127" r:id="rId366" xr:uid="{00000000-0004-0000-0100-00006D010000}"/>
    <hyperlink ref="P127" r:id="rId367" xr:uid="{00000000-0004-0000-0100-00006E010000}"/>
    <hyperlink ref="Q127" r:id="rId368" xr:uid="{00000000-0004-0000-0100-00006F010000}"/>
    <hyperlink ref="O128" r:id="rId369" xr:uid="{00000000-0004-0000-0100-000070010000}"/>
    <hyperlink ref="P128" r:id="rId370" xr:uid="{00000000-0004-0000-0100-000071010000}"/>
    <hyperlink ref="Q128" r:id="rId371" xr:uid="{00000000-0004-0000-0100-000072010000}"/>
    <hyperlink ref="O129" r:id="rId372" xr:uid="{00000000-0004-0000-0100-000073010000}"/>
    <hyperlink ref="P129" r:id="rId373" xr:uid="{00000000-0004-0000-0100-000074010000}"/>
    <hyperlink ref="Q129" r:id="rId374" xr:uid="{00000000-0004-0000-0100-000075010000}"/>
    <hyperlink ref="O130" r:id="rId375" xr:uid="{00000000-0004-0000-0100-000076010000}"/>
    <hyperlink ref="P130" r:id="rId376" xr:uid="{00000000-0004-0000-0100-000077010000}"/>
    <hyperlink ref="Q130" r:id="rId377" xr:uid="{00000000-0004-0000-0100-000078010000}"/>
    <hyperlink ref="O131" r:id="rId378" xr:uid="{00000000-0004-0000-0100-000079010000}"/>
    <hyperlink ref="P131" r:id="rId379" xr:uid="{00000000-0004-0000-0100-00007A010000}"/>
    <hyperlink ref="Q131" r:id="rId380" xr:uid="{00000000-0004-0000-0100-00007B010000}"/>
    <hyperlink ref="O132" r:id="rId381" xr:uid="{00000000-0004-0000-0100-00007C010000}"/>
    <hyperlink ref="P132" r:id="rId382" xr:uid="{00000000-0004-0000-0100-00007D010000}"/>
    <hyperlink ref="Q132" r:id="rId383" xr:uid="{00000000-0004-0000-0100-00007E010000}"/>
    <hyperlink ref="O133" r:id="rId384" xr:uid="{00000000-0004-0000-0100-00007F010000}"/>
    <hyperlink ref="P133" r:id="rId385" xr:uid="{00000000-0004-0000-0100-000080010000}"/>
    <hyperlink ref="Q133" r:id="rId386" xr:uid="{00000000-0004-0000-0100-000081010000}"/>
    <hyperlink ref="O134" r:id="rId387" xr:uid="{00000000-0004-0000-0100-000082010000}"/>
    <hyperlink ref="P134" r:id="rId388" xr:uid="{00000000-0004-0000-0100-000083010000}"/>
    <hyperlink ref="Q134" r:id="rId389" xr:uid="{00000000-0004-0000-0100-000084010000}"/>
    <hyperlink ref="O135" r:id="rId390" xr:uid="{00000000-0004-0000-0100-000085010000}"/>
    <hyperlink ref="P135" r:id="rId391" xr:uid="{00000000-0004-0000-0100-000086010000}"/>
    <hyperlink ref="Q135" r:id="rId392" xr:uid="{00000000-0004-0000-0100-000087010000}"/>
    <hyperlink ref="O136" r:id="rId393" xr:uid="{00000000-0004-0000-0100-000088010000}"/>
    <hyperlink ref="Q136" r:id="rId394" xr:uid="{00000000-0004-0000-0100-000089010000}"/>
    <hyperlink ref="O137" r:id="rId395" xr:uid="{00000000-0004-0000-0100-00008A010000}"/>
    <hyperlink ref="P137" r:id="rId396" xr:uid="{00000000-0004-0000-0100-00008B010000}"/>
    <hyperlink ref="Q137" r:id="rId397" xr:uid="{00000000-0004-0000-0100-00008C010000}"/>
    <hyperlink ref="O138" r:id="rId398" xr:uid="{00000000-0004-0000-0100-00008D010000}"/>
    <hyperlink ref="P138" r:id="rId399" xr:uid="{00000000-0004-0000-0100-00008E010000}"/>
    <hyperlink ref="Q138" r:id="rId400" xr:uid="{00000000-0004-0000-0100-00008F010000}"/>
    <hyperlink ref="O139" r:id="rId401" xr:uid="{00000000-0004-0000-0100-000090010000}"/>
    <hyperlink ref="P139" r:id="rId402" xr:uid="{00000000-0004-0000-0100-000091010000}"/>
    <hyperlink ref="Q139" r:id="rId403" xr:uid="{00000000-0004-0000-0100-000092010000}"/>
    <hyperlink ref="O140" r:id="rId404" xr:uid="{00000000-0004-0000-0100-000093010000}"/>
    <hyperlink ref="P140" r:id="rId405" xr:uid="{00000000-0004-0000-0100-000094010000}"/>
    <hyperlink ref="Q140" r:id="rId406" xr:uid="{00000000-0004-0000-0100-000095010000}"/>
    <hyperlink ref="O141" r:id="rId407" xr:uid="{00000000-0004-0000-0100-000096010000}"/>
    <hyperlink ref="P141" r:id="rId408" xr:uid="{00000000-0004-0000-0100-000097010000}"/>
    <hyperlink ref="Q141" r:id="rId409" xr:uid="{00000000-0004-0000-0100-000098010000}"/>
    <hyperlink ref="O142" r:id="rId410" xr:uid="{00000000-0004-0000-0100-000099010000}"/>
    <hyperlink ref="P142" r:id="rId411" xr:uid="{00000000-0004-0000-0100-00009A010000}"/>
    <hyperlink ref="Q142" r:id="rId412" xr:uid="{00000000-0004-0000-0100-00009B010000}"/>
    <hyperlink ref="O143" r:id="rId413" xr:uid="{00000000-0004-0000-0100-00009C010000}"/>
    <hyperlink ref="P143" r:id="rId414" xr:uid="{00000000-0004-0000-0100-00009D010000}"/>
    <hyperlink ref="Q143" r:id="rId415" xr:uid="{00000000-0004-0000-0100-00009E010000}"/>
    <hyperlink ref="O144" r:id="rId416" xr:uid="{00000000-0004-0000-0100-00009F010000}"/>
    <hyperlink ref="P144" r:id="rId417" xr:uid="{00000000-0004-0000-0100-0000A0010000}"/>
    <hyperlink ref="Q144" r:id="rId418" xr:uid="{00000000-0004-0000-0100-0000A1010000}"/>
    <hyperlink ref="O145" r:id="rId419" xr:uid="{00000000-0004-0000-0100-0000A2010000}"/>
    <hyperlink ref="P145" r:id="rId420" xr:uid="{00000000-0004-0000-0100-0000A3010000}"/>
    <hyperlink ref="Q145" r:id="rId421" xr:uid="{00000000-0004-0000-0100-0000A4010000}"/>
    <hyperlink ref="O146" r:id="rId422" xr:uid="{00000000-0004-0000-0100-0000A5010000}"/>
    <hyperlink ref="P146" r:id="rId423" xr:uid="{00000000-0004-0000-0100-0000A6010000}"/>
    <hyperlink ref="Q146" r:id="rId424" xr:uid="{00000000-0004-0000-0100-0000A7010000}"/>
    <hyperlink ref="O147" r:id="rId425" xr:uid="{00000000-0004-0000-0100-0000A8010000}"/>
    <hyperlink ref="P147" r:id="rId426" xr:uid="{00000000-0004-0000-0100-0000A9010000}"/>
    <hyperlink ref="Q147" r:id="rId427" xr:uid="{00000000-0004-0000-0100-0000AA010000}"/>
    <hyperlink ref="O148" r:id="rId428" xr:uid="{00000000-0004-0000-0100-0000AB010000}"/>
    <hyperlink ref="P148" r:id="rId429" xr:uid="{00000000-0004-0000-0100-0000AC010000}"/>
    <hyperlink ref="Q148" r:id="rId430" xr:uid="{00000000-0004-0000-0100-0000AD010000}"/>
    <hyperlink ref="O149" r:id="rId431" xr:uid="{00000000-0004-0000-0100-0000AE010000}"/>
    <hyperlink ref="P149" r:id="rId432" xr:uid="{00000000-0004-0000-0100-0000AF010000}"/>
    <hyperlink ref="Q149" r:id="rId433" xr:uid="{00000000-0004-0000-0100-0000B0010000}"/>
    <hyperlink ref="O150" r:id="rId434" xr:uid="{00000000-0004-0000-0100-0000B1010000}"/>
    <hyperlink ref="P150" r:id="rId435" xr:uid="{00000000-0004-0000-0100-0000B2010000}"/>
    <hyperlink ref="Q150" r:id="rId436" xr:uid="{00000000-0004-0000-0100-0000B3010000}"/>
    <hyperlink ref="O151" r:id="rId437" xr:uid="{00000000-0004-0000-0100-0000B4010000}"/>
    <hyperlink ref="P151" r:id="rId438" xr:uid="{00000000-0004-0000-0100-0000B5010000}"/>
    <hyperlink ref="Q151" r:id="rId439" xr:uid="{00000000-0004-0000-0100-0000B6010000}"/>
    <hyperlink ref="O152" r:id="rId440" xr:uid="{00000000-0004-0000-0100-0000B7010000}"/>
    <hyperlink ref="Q152" r:id="rId441" xr:uid="{00000000-0004-0000-0100-0000B8010000}"/>
    <hyperlink ref="O153" r:id="rId442" xr:uid="{00000000-0004-0000-0100-0000B9010000}"/>
    <hyperlink ref="P153" r:id="rId443" xr:uid="{00000000-0004-0000-0100-0000BA010000}"/>
    <hyperlink ref="Q153" r:id="rId444" xr:uid="{00000000-0004-0000-0100-0000BB010000}"/>
    <hyperlink ref="O154" r:id="rId445" xr:uid="{00000000-0004-0000-0100-0000BC010000}"/>
    <hyperlink ref="P154" r:id="rId446" xr:uid="{00000000-0004-0000-0100-0000BD010000}"/>
    <hyperlink ref="Q154" r:id="rId447" xr:uid="{00000000-0004-0000-0100-0000BE010000}"/>
    <hyperlink ref="O155" r:id="rId448" xr:uid="{00000000-0004-0000-0100-0000BF010000}"/>
    <hyperlink ref="P155" r:id="rId449" xr:uid="{00000000-0004-0000-0100-0000C0010000}"/>
    <hyperlink ref="Q155" r:id="rId450" xr:uid="{00000000-0004-0000-0100-0000C1010000}"/>
    <hyperlink ref="O156" r:id="rId451" xr:uid="{00000000-0004-0000-0100-0000C2010000}"/>
    <hyperlink ref="P156" r:id="rId452" xr:uid="{00000000-0004-0000-0100-0000C3010000}"/>
    <hyperlink ref="Q156" r:id="rId453" xr:uid="{00000000-0004-0000-0100-0000C4010000}"/>
    <hyperlink ref="O157" r:id="rId454" xr:uid="{00000000-0004-0000-0100-0000C5010000}"/>
    <hyperlink ref="P157" r:id="rId455" xr:uid="{00000000-0004-0000-0100-0000C6010000}"/>
    <hyperlink ref="Q157" r:id="rId456" xr:uid="{00000000-0004-0000-0100-0000C7010000}"/>
    <hyperlink ref="O158" r:id="rId457" xr:uid="{00000000-0004-0000-0100-0000C8010000}"/>
    <hyperlink ref="P158" r:id="rId458" xr:uid="{00000000-0004-0000-0100-0000C9010000}"/>
    <hyperlink ref="Q158" r:id="rId459" xr:uid="{00000000-0004-0000-0100-0000CA010000}"/>
    <hyperlink ref="O159" r:id="rId460" xr:uid="{00000000-0004-0000-0100-0000CB010000}"/>
    <hyperlink ref="P159" r:id="rId461" xr:uid="{00000000-0004-0000-0100-0000CC010000}"/>
    <hyperlink ref="O160" r:id="rId462" xr:uid="{00000000-0004-0000-0100-0000CD010000}"/>
    <hyperlink ref="P160" r:id="rId463" xr:uid="{00000000-0004-0000-0100-0000CE010000}"/>
    <hyperlink ref="Q160" r:id="rId464" xr:uid="{00000000-0004-0000-0100-0000CF010000}"/>
    <hyperlink ref="O161" r:id="rId465" xr:uid="{00000000-0004-0000-0100-0000D0010000}"/>
    <hyperlink ref="P161" r:id="rId466" xr:uid="{00000000-0004-0000-0100-0000D1010000}"/>
    <hyperlink ref="Q161" r:id="rId467" xr:uid="{00000000-0004-0000-0100-0000D2010000}"/>
    <hyperlink ref="O162" r:id="rId468" xr:uid="{00000000-0004-0000-0100-0000D3010000}"/>
    <hyperlink ref="P162" r:id="rId469" xr:uid="{00000000-0004-0000-0100-0000D4010000}"/>
    <hyperlink ref="Q162" r:id="rId470" xr:uid="{00000000-0004-0000-0100-0000D5010000}"/>
    <hyperlink ref="O163" r:id="rId471" xr:uid="{00000000-0004-0000-0100-0000D6010000}"/>
    <hyperlink ref="P163" r:id="rId472" xr:uid="{00000000-0004-0000-0100-0000D7010000}"/>
    <hyperlink ref="Q163" r:id="rId473" xr:uid="{00000000-0004-0000-0100-0000D8010000}"/>
    <hyperlink ref="O164" r:id="rId474" xr:uid="{00000000-0004-0000-0100-0000D9010000}"/>
    <hyperlink ref="P164" r:id="rId475" xr:uid="{00000000-0004-0000-0100-0000DA010000}"/>
    <hyperlink ref="Q164" r:id="rId476" xr:uid="{00000000-0004-0000-0100-0000DB010000}"/>
    <hyperlink ref="O165" r:id="rId477" xr:uid="{00000000-0004-0000-0100-0000DC010000}"/>
    <hyperlink ref="P165" r:id="rId478" xr:uid="{00000000-0004-0000-0100-0000DD010000}"/>
    <hyperlink ref="Q165" r:id="rId479" xr:uid="{00000000-0004-0000-0100-0000DE010000}"/>
    <hyperlink ref="O166" r:id="rId480" xr:uid="{00000000-0004-0000-0100-0000DF010000}"/>
    <hyperlink ref="P166" r:id="rId481" xr:uid="{00000000-0004-0000-0100-0000E0010000}"/>
    <hyperlink ref="Q166" r:id="rId482" xr:uid="{00000000-0004-0000-0100-0000E1010000}"/>
    <hyperlink ref="O167" r:id="rId483" xr:uid="{00000000-0004-0000-0100-0000E2010000}"/>
    <hyperlink ref="P167" r:id="rId484" xr:uid="{00000000-0004-0000-0100-0000E3010000}"/>
    <hyperlink ref="Q167" r:id="rId485" xr:uid="{00000000-0004-0000-0100-0000E4010000}"/>
    <hyperlink ref="O168" r:id="rId486" xr:uid="{00000000-0004-0000-0100-0000E5010000}"/>
    <hyperlink ref="P168" r:id="rId487" xr:uid="{00000000-0004-0000-0100-0000E6010000}"/>
    <hyperlink ref="Q168" r:id="rId488" xr:uid="{00000000-0004-0000-0100-0000E7010000}"/>
    <hyperlink ref="O169" r:id="rId489" xr:uid="{00000000-0004-0000-0100-0000E8010000}"/>
    <hyperlink ref="P169" r:id="rId490" xr:uid="{00000000-0004-0000-0100-0000E9010000}"/>
    <hyperlink ref="Q169" r:id="rId491" xr:uid="{00000000-0004-0000-0100-0000EA010000}"/>
    <hyperlink ref="O170" r:id="rId492" xr:uid="{00000000-0004-0000-0100-0000EB010000}"/>
    <hyperlink ref="P170" r:id="rId493" xr:uid="{00000000-0004-0000-0100-0000EC010000}"/>
    <hyperlink ref="Q170" r:id="rId494" xr:uid="{00000000-0004-0000-0100-0000ED010000}"/>
    <hyperlink ref="O171" r:id="rId495" xr:uid="{00000000-0004-0000-0100-0000EE010000}"/>
    <hyperlink ref="P171" r:id="rId496" xr:uid="{00000000-0004-0000-0100-0000EF010000}"/>
    <hyperlink ref="Q171" r:id="rId497" xr:uid="{00000000-0004-0000-0100-0000F0010000}"/>
    <hyperlink ref="O172" r:id="rId498" xr:uid="{00000000-0004-0000-0100-0000F1010000}"/>
    <hyperlink ref="P172" r:id="rId499" xr:uid="{00000000-0004-0000-0100-0000F2010000}"/>
    <hyperlink ref="Q172" r:id="rId500" xr:uid="{00000000-0004-0000-0100-0000F3010000}"/>
    <hyperlink ref="O173" r:id="rId501" xr:uid="{00000000-0004-0000-0100-0000F4010000}"/>
    <hyperlink ref="P173" r:id="rId502" xr:uid="{00000000-0004-0000-0100-0000F5010000}"/>
    <hyperlink ref="Q173" r:id="rId503" xr:uid="{00000000-0004-0000-0100-0000F6010000}"/>
    <hyperlink ref="O174" r:id="rId504" xr:uid="{00000000-0004-0000-0100-0000F7010000}"/>
    <hyperlink ref="P174" r:id="rId505" xr:uid="{00000000-0004-0000-0100-0000F8010000}"/>
    <hyperlink ref="Q174" r:id="rId506" xr:uid="{00000000-0004-0000-0100-0000F9010000}"/>
    <hyperlink ref="O175" r:id="rId507" xr:uid="{00000000-0004-0000-0100-0000FA010000}"/>
    <hyperlink ref="P175" r:id="rId508" xr:uid="{00000000-0004-0000-0100-0000FB010000}"/>
    <hyperlink ref="Q175" r:id="rId509" xr:uid="{00000000-0004-0000-0100-0000FC010000}"/>
    <hyperlink ref="O176" r:id="rId510" xr:uid="{00000000-0004-0000-0100-0000FD010000}"/>
    <hyperlink ref="P176" r:id="rId511" xr:uid="{00000000-0004-0000-0100-0000FE010000}"/>
    <hyperlink ref="Q176" r:id="rId512" xr:uid="{00000000-0004-0000-0100-0000FF010000}"/>
    <hyperlink ref="O177" r:id="rId513" xr:uid="{00000000-0004-0000-0100-000000020000}"/>
    <hyperlink ref="P177" r:id="rId514" xr:uid="{00000000-0004-0000-0100-000001020000}"/>
    <hyperlink ref="Q177" r:id="rId515" xr:uid="{00000000-0004-0000-0100-000002020000}"/>
    <hyperlink ref="O178" r:id="rId516" xr:uid="{00000000-0004-0000-0100-000003020000}"/>
    <hyperlink ref="P178" r:id="rId517" xr:uid="{00000000-0004-0000-0100-000004020000}"/>
    <hyperlink ref="Q178" r:id="rId518" xr:uid="{00000000-0004-0000-0100-000005020000}"/>
    <hyperlink ref="O179" r:id="rId519" xr:uid="{00000000-0004-0000-0100-000006020000}"/>
    <hyperlink ref="P179" r:id="rId520" xr:uid="{00000000-0004-0000-0100-000007020000}"/>
    <hyperlink ref="Q179" r:id="rId521" xr:uid="{00000000-0004-0000-0100-000008020000}"/>
    <hyperlink ref="O180" r:id="rId522" xr:uid="{00000000-0004-0000-0100-000009020000}"/>
    <hyperlink ref="Q180" r:id="rId523" xr:uid="{00000000-0004-0000-0100-00000A020000}"/>
    <hyperlink ref="O181" r:id="rId524" xr:uid="{00000000-0004-0000-0100-00000B020000}"/>
    <hyperlink ref="P181" r:id="rId525" xr:uid="{00000000-0004-0000-0100-00000C020000}"/>
    <hyperlink ref="Q181" r:id="rId526" xr:uid="{00000000-0004-0000-0100-00000D020000}"/>
    <hyperlink ref="O182" r:id="rId527" xr:uid="{00000000-0004-0000-0100-00000E020000}"/>
    <hyperlink ref="P182" r:id="rId528" xr:uid="{00000000-0004-0000-0100-00000F020000}"/>
    <hyperlink ref="Q182" r:id="rId529" xr:uid="{00000000-0004-0000-0100-000010020000}"/>
    <hyperlink ref="O183" r:id="rId530" xr:uid="{00000000-0004-0000-0100-000011020000}"/>
    <hyperlink ref="P183" r:id="rId531" xr:uid="{00000000-0004-0000-0100-000012020000}"/>
    <hyperlink ref="Q183" r:id="rId532" xr:uid="{00000000-0004-0000-0100-000013020000}"/>
    <hyperlink ref="O184" r:id="rId533" xr:uid="{00000000-0004-0000-0100-000014020000}"/>
    <hyperlink ref="P184" r:id="rId534" xr:uid="{00000000-0004-0000-0100-000015020000}"/>
    <hyperlink ref="Q184" r:id="rId535" xr:uid="{00000000-0004-0000-0100-000016020000}"/>
    <hyperlink ref="O185" r:id="rId536" xr:uid="{00000000-0004-0000-0100-000017020000}"/>
    <hyperlink ref="P185" r:id="rId537" xr:uid="{00000000-0004-0000-0100-000018020000}"/>
    <hyperlink ref="Q185" r:id="rId538" xr:uid="{00000000-0004-0000-0100-000019020000}"/>
    <hyperlink ref="O186" r:id="rId539" xr:uid="{00000000-0004-0000-0100-00001A020000}"/>
    <hyperlink ref="P186" r:id="rId540" xr:uid="{00000000-0004-0000-0100-00001B020000}"/>
    <hyperlink ref="Q186" r:id="rId541" xr:uid="{00000000-0004-0000-0100-00001C020000}"/>
    <hyperlink ref="O187" r:id="rId542" xr:uid="{00000000-0004-0000-0100-00001D020000}"/>
    <hyperlink ref="P187" r:id="rId543" xr:uid="{00000000-0004-0000-0100-00001E020000}"/>
    <hyperlink ref="Q187" r:id="rId544" xr:uid="{00000000-0004-0000-0100-00001F020000}"/>
    <hyperlink ref="O188" r:id="rId545" xr:uid="{00000000-0004-0000-0100-000020020000}"/>
    <hyperlink ref="P188" r:id="rId546" xr:uid="{00000000-0004-0000-0100-000021020000}"/>
    <hyperlink ref="Q188" r:id="rId547" xr:uid="{00000000-0004-0000-0100-000022020000}"/>
    <hyperlink ref="O189" r:id="rId548" xr:uid="{00000000-0004-0000-0100-000023020000}"/>
    <hyperlink ref="Q189" r:id="rId549" xr:uid="{00000000-0004-0000-0100-000024020000}"/>
    <hyperlink ref="O190" r:id="rId550" xr:uid="{00000000-0004-0000-0100-000025020000}"/>
    <hyperlink ref="P190" r:id="rId551" xr:uid="{00000000-0004-0000-0100-000026020000}"/>
    <hyperlink ref="Q190" r:id="rId552" xr:uid="{00000000-0004-0000-0100-000027020000}"/>
    <hyperlink ref="O191" r:id="rId553" xr:uid="{00000000-0004-0000-0100-000028020000}"/>
    <hyperlink ref="P191" r:id="rId554" xr:uid="{00000000-0004-0000-0100-000029020000}"/>
    <hyperlink ref="Q191" r:id="rId555" xr:uid="{00000000-0004-0000-0100-00002A020000}"/>
    <hyperlink ref="O192" r:id="rId556" xr:uid="{00000000-0004-0000-0100-00002B020000}"/>
    <hyperlink ref="P192" r:id="rId557" xr:uid="{00000000-0004-0000-0100-00002C020000}"/>
    <hyperlink ref="Q192" r:id="rId558" xr:uid="{00000000-0004-0000-0100-00002D020000}"/>
    <hyperlink ref="O193" r:id="rId559" xr:uid="{00000000-0004-0000-0100-00002E020000}"/>
    <hyperlink ref="P193" r:id="rId560" xr:uid="{00000000-0004-0000-0100-00002F020000}"/>
    <hyperlink ref="Q193" r:id="rId561" xr:uid="{00000000-0004-0000-0100-000030020000}"/>
    <hyperlink ref="O194" r:id="rId562" xr:uid="{00000000-0004-0000-0100-000031020000}"/>
    <hyperlink ref="P194" r:id="rId563" xr:uid="{00000000-0004-0000-0100-000032020000}"/>
    <hyperlink ref="O195" r:id="rId564" xr:uid="{00000000-0004-0000-0100-000033020000}"/>
    <hyperlink ref="P195" r:id="rId565" xr:uid="{00000000-0004-0000-0100-000034020000}"/>
    <hyperlink ref="Q195" r:id="rId566" xr:uid="{00000000-0004-0000-0100-000035020000}"/>
    <hyperlink ref="O196" r:id="rId567" xr:uid="{00000000-0004-0000-0100-000036020000}"/>
    <hyperlink ref="O197" r:id="rId568" xr:uid="{00000000-0004-0000-0100-000037020000}"/>
    <hyperlink ref="O198" r:id="rId569" xr:uid="{00000000-0004-0000-0100-000038020000}"/>
    <hyperlink ref="O199" r:id="rId570" xr:uid="{00000000-0004-0000-0100-000039020000}"/>
    <hyperlink ref="Q199" r:id="rId571" xr:uid="{00000000-0004-0000-0100-00003A020000}"/>
    <hyperlink ref="O200" r:id="rId572" xr:uid="{00000000-0004-0000-0100-00003B020000}"/>
    <hyperlink ref="Q200" r:id="rId573" xr:uid="{00000000-0004-0000-0100-00003C020000}"/>
    <hyperlink ref="O201" r:id="rId574" xr:uid="{00000000-0004-0000-0100-00003D020000}"/>
    <hyperlink ref="P201" r:id="rId575" xr:uid="{00000000-0004-0000-0100-00003E020000}"/>
    <hyperlink ref="O202" r:id="rId576" xr:uid="{00000000-0004-0000-0100-00003F020000}"/>
    <hyperlink ref="O203" r:id="rId577" xr:uid="{00000000-0004-0000-0100-000040020000}"/>
    <hyperlink ref="O204" r:id="rId578" xr:uid="{00000000-0004-0000-0100-000041020000}"/>
    <hyperlink ref="P204" r:id="rId579" xr:uid="{00000000-0004-0000-0100-000042020000}"/>
    <hyperlink ref="O205" r:id="rId580" xr:uid="{00000000-0004-0000-0100-000043020000}"/>
    <hyperlink ref="P205" r:id="rId581" xr:uid="{00000000-0004-0000-0100-000044020000}"/>
    <hyperlink ref="Q205" r:id="rId582" xr:uid="{00000000-0004-0000-0100-000045020000}"/>
    <hyperlink ref="O206" r:id="rId583" xr:uid="{00000000-0004-0000-0100-000046020000}"/>
    <hyperlink ref="P206" r:id="rId584" xr:uid="{00000000-0004-0000-0100-000047020000}"/>
    <hyperlink ref="Q206" r:id="rId585" xr:uid="{00000000-0004-0000-0100-000048020000}"/>
    <hyperlink ref="O207" r:id="rId586" xr:uid="{00000000-0004-0000-0100-000049020000}"/>
    <hyperlink ref="P207" r:id="rId587" xr:uid="{00000000-0004-0000-0100-00004A020000}"/>
    <hyperlink ref="Q207" r:id="rId588" xr:uid="{00000000-0004-0000-0100-00004B020000}"/>
    <hyperlink ref="O208" r:id="rId589" xr:uid="{00000000-0004-0000-0100-00004C020000}"/>
    <hyperlink ref="P208" r:id="rId590" xr:uid="{00000000-0004-0000-0100-00004D020000}"/>
    <hyperlink ref="Q208" r:id="rId591" xr:uid="{00000000-0004-0000-0100-00004E020000}"/>
    <hyperlink ref="O209" r:id="rId592" xr:uid="{00000000-0004-0000-0100-00004F020000}"/>
    <hyperlink ref="P209" r:id="rId593" xr:uid="{00000000-0004-0000-0100-000050020000}"/>
    <hyperlink ref="O210" r:id="rId594" xr:uid="{00000000-0004-0000-0100-000051020000}"/>
    <hyperlink ref="P210" r:id="rId595" xr:uid="{00000000-0004-0000-0100-000052020000}"/>
    <hyperlink ref="Q210" r:id="rId596" xr:uid="{00000000-0004-0000-0100-000053020000}"/>
    <hyperlink ref="O211" r:id="rId597" xr:uid="{00000000-0004-0000-0100-000054020000}"/>
    <hyperlink ref="P211" r:id="rId598" xr:uid="{00000000-0004-0000-0100-000055020000}"/>
    <hyperlink ref="Q211" r:id="rId599" xr:uid="{00000000-0004-0000-0100-000056020000}"/>
    <hyperlink ref="O212" r:id="rId600" xr:uid="{00000000-0004-0000-0100-000057020000}"/>
    <hyperlink ref="P212" r:id="rId601" xr:uid="{00000000-0004-0000-0100-000058020000}"/>
    <hyperlink ref="Q212" r:id="rId602" xr:uid="{00000000-0004-0000-0100-000059020000}"/>
    <hyperlink ref="O213" r:id="rId603" xr:uid="{00000000-0004-0000-0100-00005A020000}"/>
    <hyperlink ref="P213" r:id="rId604" xr:uid="{00000000-0004-0000-0100-00005B020000}"/>
    <hyperlink ref="Q213" r:id="rId605" xr:uid="{00000000-0004-0000-0100-00005C020000}"/>
    <hyperlink ref="O214" r:id="rId606" xr:uid="{00000000-0004-0000-0100-00005D020000}"/>
    <hyperlink ref="P214" r:id="rId607" xr:uid="{00000000-0004-0000-0100-00005E020000}"/>
    <hyperlink ref="Q214" r:id="rId608" xr:uid="{00000000-0004-0000-0100-00005F020000}"/>
    <hyperlink ref="O215" r:id="rId609" xr:uid="{00000000-0004-0000-0100-000060020000}"/>
    <hyperlink ref="P215" r:id="rId610" xr:uid="{00000000-0004-0000-0100-000061020000}"/>
    <hyperlink ref="Q215" r:id="rId611" xr:uid="{00000000-0004-0000-0100-000062020000}"/>
    <hyperlink ref="O216" r:id="rId612" xr:uid="{00000000-0004-0000-0100-000063020000}"/>
    <hyperlink ref="P216" r:id="rId613" xr:uid="{00000000-0004-0000-0100-000064020000}"/>
    <hyperlink ref="Q216" r:id="rId614" xr:uid="{00000000-0004-0000-0100-000065020000}"/>
    <hyperlink ref="O217" r:id="rId615" xr:uid="{00000000-0004-0000-0100-000066020000}"/>
    <hyperlink ref="P217" r:id="rId616" xr:uid="{00000000-0004-0000-0100-000067020000}"/>
    <hyperlink ref="Q217" r:id="rId617" xr:uid="{00000000-0004-0000-0100-000068020000}"/>
    <hyperlink ref="O218" r:id="rId618" xr:uid="{00000000-0004-0000-0100-000069020000}"/>
    <hyperlink ref="P218" r:id="rId619" xr:uid="{00000000-0004-0000-0100-00006A020000}"/>
    <hyperlink ref="Q218" r:id="rId620" xr:uid="{00000000-0004-0000-0100-00006B020000}"/>
    <hyperlink ref="O219" r:id="rId621" xr:uid="{00000000-0004-0000-0100-00006C020000}"/>
    <hyperlink ref="P219" r:id="rId622" xr:uid="{00000000-0004-0000-0100-00006D020000}"/>
    <hyperlink ref="Q219" r:id="rId623" xr:uid="{00000000-0004-0000-0100-00006E020000}"/>
    <hyperlink ref="O220" r:id="rId624" xr:uid="{00000000-0004-0000-0100-00006F020000}"/>
    <hyperlink ref="P220" r:id="rId625" xr:uid="{00000000-0004-0000-0100-000070020000}"/>
    <hyperlink ref="Q220" r:id="rId626" xr:uid="{00000000-0004-0000-0100-000071020000}"/>
    <hyperlink ref="O221" r:id="rId627" xr:uid="{00000000-0004-0000-0100-000072020000}"/>
    <hyperlink ref="P221" r:id="rId628" xr:uid="{00000000-0004-0000-0100-000073020000}"/>
    <hyperlink ref="O222" r:id="rId629" xr:uid="{00000000-0004-0000-0100-000074020000}"/>
    <hyperlink ref="P222" r:id="rId630" xr:uid="{00000000-0004-0000-0100-000075020000}"/>
    <hyperlink ref="Q222" r:id="rId631" xr:uid="{00000000-0004-0000-0100-000076020000}"/>
    <hyperlink ref="O223" r:id="rId632" xr:uid="{00000000-0004-0000-0100-000077020000}"/>
    <hyperlink ref="P223" r:id="rId633" xr:uid="{00000000-0004-0000-0100-000078020000}"/>
    <hyperlink ref="Q223" r:id="rId634" xr:uid="{00000000-0004-0000-0100-000079020000}"/>
    <hyperlink ref="O224" r:id="rId635" xr:uid="{00000000-0004-0000-0100-00007A020000}"/>
    <hyperlink ref="P224" r:id="rId636" xr:uid="{00000000-0004-0000-0100-00007B020000}"/>
    <hyperlink ref="Q224" r:id="rId637" xr:uid="{00000000-0004-0000-0100-00007C020000}"/>
    <hyperlink ref="O225" r:id="rId638" xr:uid="{00000000-0004-0000-0100-00007D020000}"/>
    <hyperlink ref="P225" r:id="rId639" xr:uid="{00000000-0004-0000-0100-00007E020000}"/>
    <hyperlink ref="Q225" r:id="rId640" xr:uid="{00000000-0004-0000-0100-00007F020000}"/>
    <hyperlink ref="O226" r:id="rId641" xr:uid="{00000000-0004-0000-0100-000080020000}"/>
    <hyperlink ref="P226" r:id="rId642" xr:uid="{00000000-0004-0000-0100-000081020000}"/>
    <hyperlink ref="Q226" r:id="rId643" xr:uid="{00000000-0004-0000-0100-000082020000}"/>
    <hyperlink ref="O227" r:id="rId644" xr:uid="{00000000-0004-0000-0100-000083020000}"/>
    <hyperlink ref="P227" r:id="rId645" xr:uid="{00000000-0004-0000-0100-000084020000}"/>
    <hyperlink ref="Q227" r:id="rId646" xr:uid="{00000000-0004-0000-0100-000085020000}"/>
    <hyperlink ref="O228" r:id="rId647" xr:uid="{00000000-0004-0000-0100-000086020000}"/>
    <hyperlink ref="P228" r:id="rId648" xr:uid="{00000000-0004-0000-0100-000087020000}"/>
    <hyperlink ref="Q228" r:id="rId649" xr:uid="{00000000-0004-0000-0100-000088020000}"/>
    <hyperlink ref="O229" r:id="rId650" xr:uid="{00000000-0004-0000-0100-000089020000}"/>
    <hyperlink ref="P229" r:id="rId651" xr:uid="{00000000-0004-0000-0100-00008A020000}"/>
    <hyperlink ref="Q229" r:id="rId652" xr:uid="{00000000-0004-0000-0100-00008B020000}"/>
    <hyperlink ref="O230" r:id="rId653" xr:uid="{00000000-0004-0000-0100-00008C020000}"/>
    <hyperlink ref="P230" r:id="rId654" xr:uid="{00000000-0004-0000-0100-00008D020000}"/>
    <hyperlink ref="O231" r:id="rId655" xr:uid="{00000000-0004-0000-0100-00008E020000}"/>
    <hyperlink ref="P231" r:id="rId656" xr:uid="{00000000-0004-0000-0100-00008F020000}"/>
    <hyperlink ref="Q231" r:id="rId657" xr:uid="{00000000-0004-0000-0100-000090020000}"/>
    <hyperlink ref="O232" r:id="rId658" xr:uid="{00000000-0004-0000-0100-000091020000}"/>
    <hyperlink ref="P232" r:id="rId659" xr:uid="{00000000-0004-0000-0100-000092020000}"/>
    <hyperlink ref="Q232" r:id="rId660" xr:uid="{00000000-0004-0000-0100-000093020000}"/>
    <hyperlink ref="O233" r:id="rId661" xr:uid="{00000000-0004-0000-0100-000094020000}"/>
    <hyperlink ref="P233" r:id="rId662" xr:uid="{00000000-0004-0000-0100-000095020000}"/>
    <hyperlink ref="Q233" r:id="rId663" xr:uid="{00000000-0004-0000-0100-000096020000}"/>
    <hyperlink ref="O234" r:id="rId664" xr:uid="{00000000-0004-0000-0100-000097020000}"/>
    <hyperlink ref="P234" r:id="rId665" xr:uid="{00000000-0004-0000-0100-000098020000}"/>
    <hyperlink ref="Q234" r:id="rId666" xr:uid="{00000000-0004-0000-0100-000099020000}"/>
    <hyperlink ref="O235" r:id="rId667" xr:uid="{00000000-0004-0000-0100-00009A020000}"/>
    <hyperlink ref="P235" r:id="rId668" xr:uid="{00000000-0004-0000-0100-00009B020000}"/>
    <hyperlink ref="Q235" r:id="rId669" xr:uid="{00000000-0004-0000-0100-00009C020000}"/>
    <hyperlink ref="O236" r:id="rId670" xr:uid="{00000000-0004-0000-0100-00009D020000}"/>
    <hyperlink ref="P236" r:id="rId671" xr:uid="{00000000-0004-0000-0100-00009E020000}"/>
    <hyperlink ref="Q236" r:id="rId672" xr:uid="{00000000-0004-0000-0100-00009F020000}"/>
    <hyperlink ref="O237" r:id="rId673" xr:uid="{00000000-0004-0000-0100-0000A0020000}"/>
    <hyperlink ref="P237" r:id="rId674" xr:uid="{00000000-0004-0000-0100-0000A1020000}"/>
    <hyperlink ref="Q237" r:id="rId675" xr:uid="{00000000-0004-0000-0100-0000A2020000}"/>
    <hyperlink ref="O238" r:id="rId676" xr:uid="{00000000-0004-0000-0100-0000A3020000}"/>
    <hyperlink ref="P238" r:id="rId677" xr:uid="{00000000-0004-0000-0100-0000A4020000}"/>
    <hyperlink ref="Q238" r:id="rId678" xr:uid="{00000000-0004-0000-0100-0000A5020000}"/>
    <hyperlink ref="O239" r:id="rId679" xr:uid="{00000000-0004-0000-0100-0000A6020000}"/>
    <hyperlink ref="P239" r:id="rId680" xr:uid="{00000000-0004-0000-0100-0000A7020000}"/>
    <hyperlink ref="Q239" r:id="rId681" xr:uid="{00000000-0004-0000-0100-0000A8020000}"/>
    <hyperlink ref="O240" r:id="rId682" xr:uid="{00000000-0004-0000-0100-0000A9020000}"/>
    <hyperlink ref="P240" r:id="rId683" xr:uid="{00000000-0004-0000-0100-0000AA020000}"/>
    <hyperlink ref="Q240" r:id="rId684" xr:uid="{00000000-0004-0000-0100-0000AB020000}"/>
    <hyperlink ref="O241" r:id="rId685" xr:uid="{00000000-0004-0000-0100-0000AC020000}"/>
    <hyperlink ref="P241" r:id="rId686" xr:uid="{00000000-0004-0000-0100-0000AD020000}"/>
    <hyperlink ref="Q241" r:id="rId687" xr:uid="{00000000-0004-0000-0100-0000AE020000}"/>
    <hyperlink ref="O242" r:id="rId688" xr:uid="{00000000-0004-0000-0100-0000AF020000}"/>
    <hyperlink ref="P242" r:id="rId689" xr:uid="{00000000-0004-0000-0100-0000B0020000}"/>
    <hyperlink ref="Q242" r:id="rId690" xr:uid="{00000000-0004-0000-0100-0000B1020000}"/>
    <hyperlink ref="O243" r:id="rId691" xr:uid="{00000000-0004-0000-0100-0000B2020000}"/>
    <hyperlink ref="P243" r:id="rId692" xr:uid="{00000000-0004-0000-0100-0000B3020000}"/>
    <hyperlink ref="Q243" r:id="rId693" xr:uid="{00000000-0004-0000-0100-0000B4020000}"/>
    <hyperlink ref="O244" r:id="rId694" xr:uid="{00000000-0004-0000-0100-0000B5020000}"/>
    <hyperlink ref="P244" r:id="rId695" xr:uid="{00000000-0004-0000-0100-0000B6020000}"/>
    <hyperlink ref="Q244" r:id="rId696" xr:uid="{00000000-0004-0000-0100-0000B7020000}"/>
    <hyperlink ref="O245" r:id="rId697" xr:uid="{00000000-0004-0000-0100-0000B8020000}"/>
    <hyperlink ref="P245" r:id="rId698" xr:uid="{00000000-0004-0000-0100-0000B9020000}"/>
    <hyperlink ref="Q245" r:id="rId699" xr:uid="{00000000-0004-0000-0100-0000BA020000}"/>
    <hyperlink ref="O246" r:id="rId700" xr:uid="{00000000-0004-0000-0100-0000BB020000}"/>
    <hyperlink ref="P246" r:id="rId701" xr:uid="{00000000-0004-0000-0100-0000BC020000}"/>
    <hyperlink ref="Q246" r:id="rId702" xr:uid="{00000000-0004-0000-0100-0000BD020000}"/>
    <hyperlink ref="O247" r:id="rId703" xr:uid="{00000000-0004-0000-0100-0000BE020000}"/>
    <hyperlink ref="P247" r:id="rId704" xr:uid="{00000000-0004-0000-0100-0000BF020000}"/>
    <hyperlink ref="Q247" r:id="rId705" xr:uid="{00000000-0004-0000-0100-0000C0020000}"/>
    <hyperlink ref="O248" r:id="rId706" xr:uid="{00000000-0004-0000-0100-0000C1020000}"/>
    <hyperlink ref="P248" r:id="rId707" xr:uid="{00000000-0004-0000-0100-0000C2020000}"/>
    <hyperlink ref="Q248" r:id="rId708" xr:uid="{00000000-0004-0000-0100-0000C3020000}"/>
    <hyperlink ref="O249" r:id="rId709" xr:uid="{00000000-0004-0000-0100-0000C4020000}"/>
    <hyperlink ref="P249" r:id="rId710" xr:uid="{00000000-0004-0000-0100-0000C5020000}"/>
    <hyperlink ref="Q249" r:id="rId711" xr:uid="{00000000-0004-0000-0100-0000C6020000}"/>
    <hyperlink ref="O250" r:id="rId712" xr:uid="{00000000-0004-0000-0100-0000C7020000}"/>
    <hyperlink ref="P250" r:id="rId713" xr:uid="{00000000-0004-0000-0100-0000C8020000}"/>
    <hyperlink ref="Q250" r:id="rId714" xr:uid="{00000000-0004-0000-0100-0000C9020000}"/>
    <hyperlink ref="O251" r:id="rId715" xr:uid="{00000000-0004-0000-0100-0000CA020000}"/>
    <hyperlink ref="P251" r:id="rId716" xr:uid="{00000000-0004-0000-0100-0000CB020000}"/>
    <hyperlink ref="Q251" r:id="rId717" xr:uid="{00000000-0004-0000-0100-0000CC020000}"/>
    <hyperlink ref="O252" r:id="rId718" xr:uid="{00000000-0004-0000-0100-0000CD020000}"/>
    <hyperlink ref="P252" r:id="rId719" xr:uid="{00000000-0004-0000-0100-0000CE020000}"/>
    <hyperlink ref="Q252" r:id="rId720" xr:uid="{00000000-0004-0000-0100-0000CF020000}"/>
    <hyperlink ref="O253" r:id="rId721" xr:uid="{00000000-0004-0000-0100-0000D0020000}"/>
    <hyperlink ref="P253" r:id="rId722" xr:uid="{00000000-0004-0000-0100-0000D1020000}"/>
    <hyperlink ref="Q253" r:id="rId723" xr:uid="{00000000-0004-0000-0100-0000D2020000}"/>
    <hyperlink ref="O254" r:id="rId724" xr:uid="{00000000-0004-0000-0100-0000D3020000}"/>
    <hyperlink ref="P254" r:id="rId725" xr:uid="{00000000-0004-0000-0100-0000D4020000}"/>
    <hyperlink ref="Q254" r:id="rId726" xr:uid="{00000000-0004-0000-0100-0000D5020000}"/>
    <hyperlink ref="O255" r:id="rId727" xr:uid="{00000000-0004-0000-0100-0000D6020000}"/>
    <hyperlink ref="P255" r:id="rId728" xr:uid="{00000000-0004-0000-0100-0000D7020000}"/>
    <hyperlink ref="Q255" r:id="rId729" xr:uid="{00000000-0004-0000-0100-0000D8020000}"/>
    <hyperlink ref="O256" r:id="rId730" xr:uid="{00000000-0004-0000-0100-0000D9020000}"/>
    <hyperlink ref="P256" r:id="rId731" xr:uid="{00000000-0004-0000-0100-0000DA020000}"/>
    <hyperlink ref="Q256" r:id="rId732" xr:uid="{00000000-0004-0000-0100-0000DB020000}"/>
    <hyperlink ref="O257" r:id="rId733" xr:uid="{00000000-0004-0000-0100-0000DC020000}"/>
    <hyperlink ref="P257" r:id="rId734" xr:uid="{00000000-0004-0000-0100-0000DD020000}"/>
    <hyperlink ref="Q257" r:id="rId735" xr:uid="{00000000-0004-0000-0100-0000DE020000}"/>
    <hyperlink ref="O258" r:id="rId736" xr:uid="{00000000-0004-0000-0100-0000DF020000}"/>
    <hyperlink ref="P258" r:id="rId737" xr:uid="{00000000-0004-0000-0100-0000E0020000}"/>
    <hyperlink ref="Q258" r:id="rId738" xr:uid="{00000000-0004-0000-0100-0000E1020000}"/>
    <hyperlink ref="O259" r:id="rId739" xr:uid="{00000000-0004-0000-0100-0000E2020000}"/>
    <hyperlink ref="P259" r:id="rId740" xr:uid="{00000000-0004-0000-0100-0000E3020000}"/>
    <hyperlink ref="Q259" r:id="rId741" xr:uid="{00000000-0004-0000-0100-0000E4020000}"/>
    <hyperlink ref="O260" r:id="rId742" xr:uid="{00000000-0004-0000-0100-0000E5020000}"/>
    <hyperlink ref="P260" r:id="rId743" xr:uid="{00000000-0004-0000-0100-0000E6020000}"/>
    <hyperlink ref="Q260" r:id="rId744" xr:uid="{00000000-0004-0000-0100-0000E7020000}"/>
    <hyperlink ref="O261" r:id="rId745" xr:uid="{00000000-0004-0000-0100-0000E8020000}"/>
    <hyperlink ref="P261" r:id="rId746" xr:uid="{00000000-0004-0000-0100-0000E9020000}"/>
    <hyperlink ref="Q261" r:id="rId747" xr:uid="{00000000-0004-0000-0100-0000EA020000}"/>
    <hyperlink ref="O262" r:id="rId748" xr:uid="{00000000-0004-0000-0100-0000EB020000}"/>
    <hyperlink ref="P262" r:id="rId749" xr:uid="{00000000-0004-0000-0100-0000EC020000}"/>
    <hyperlink ref="Q262" r:id="rId750" xr:uid="{00000000-0004-0000-0100-0000ED020000}"/>
    <hyperlink ref="O263" r:id="rId751" xr:uid="{00000000-0004-0000-0100-0000EE020000}"/>
    <hyperlink ref="P263" r:id="rId752" xr:uid="{00000000-0004-0000-0100-0000EF020000}"/>
    <hyperlink ref="Q263" r:id="rId753" xr:uid="{00000000-0004-0000-0100-0000F0020000}"/>
    <hyperlink ref="O264" r:id="rId754" xr:uid="{00000000-0004-0000-0100-0000F1020000}"/>
    <hyperlink ref="Q264" r:id="rId755" xr:uid="{00000000-0004-0000-0100-0000F2020000}"/>
    <hyperlink ref="O265" r:id="rId756" xr:uid="{00000000-0004-0000-0100-0000F3020000}"/>
    <hyperlink ref="P265" r:id="rId757" xr:uid="{00000000-0004-0000-0100-0000F4020000}"/>
    <hyperlink ref="Q265" r:id="rId758" xr:uid="{00000000-0004-0000-0100-0000F5020000}"/>
    <hyperlink ref="O266" r:id="rId759" xr:uid="{00000000-0004-0000-0100-0000F6020000}"/>
    <hyperlink ref="P266" r:id="rId760" xr:uid="{00000000-0004-0000-0100-0000F7020000}"/>
    <hyperlink ref="Q266" r:id="rId761" xr:uid="{00000000-0004-0000-0100-0000F8020000}"/>
    <hyperlink ref="O267" r:id="rId762" xr:uid="{00000000-0004-0000-0100-0000F9020000}"/>
    <hyperlink ref="P267" r:id="rId763" xr:uid="{00000000-0004-0000-0100-0000FA020000}"/>
    <hyperlink ref="Q267" r:id="rId764" xr:uid="{00000000-0004-0000-0100-0000FB020000}"/>
    <hyperlink ref="O268" r:id="rId765" xr:uid="{00000000-0004-0000-0100-0000FC020000}"/>
    <hyperlink ref="P268" r:id="rId766" xr:uid="{00000000-0004-0000-0100-0000FD020000}"/>
    <hyperlink ref="Q268" r:id="rId767" xr:uid="{00000000-0004-0000-0100-0000FE020000}"/>
    <hyperlink ref="O269" r:id="rId768" xr:uid="{00000000-0004-0000-0100-0000FF020000}"/>
    <hyperlink ref="P269" r:id="rId769" xr:uid="{00000000-0004-0000-0100-000000030000}"/>
    <hyperlink ref="Q269" r:id="rId770" xr:uid="{00000000-0004-0000-0100-000001030000}"/>
    <hyperlink ref="O270" r:id="rId771" xr:uid="{00000000-0004-0000-0100-000002030000}"/>
    <hyperlink ref="P270" r:id="rId772" xr:uid="{00000000-0004-0000-0100-000003030000}"/>
    <hyperlink ref="Q270" r:id="rId773" xr:uid="{00000000-0004-0000-0100-000004030000}"/>
    <hyperlink ref="O271" r:id="rId774" xr:uid="{00000000-0004-0000-0100-000005030000}"/>
    <hyperlink ref="P271" r:id="rId775" xr:uid="{00000000-0004-0000-0100-000006030000}"/>
    <hyperlink ref="Q271" r:id="rId776" xr:uid="{00000000-0004-0000-0100-000007030000}"/>
    <hyperlink ref="O272" r:id="rId777" xr:uid="{00000000-0004-0000-0100-000008030000}"/>
    <hyperlink ref="P272" r:id="rId778" xr:uid="{00000000-0004-0000-0100-000009030000}"/>
    <hyperlink ref="Q272" r:id="rId779" xr:uid="{00000000-0004-0000-0100-00000A030000}"/>
    <hyperlink ref="O273" r:id="rId780" xr:uid="{00000000-0004-0000-0100-00000B030000}"/>
    <hyperlink ref="P273" r:id="rId781" xr:uid="{00000000-0004-0000-0100-00000C030000}"/>
    <hyperlink ref="Q273" r:id="rId782" xr:uid="{00000000-0004-0000-0100-00000D030000}"/>
    <hyperlink ref="O274" r:id="rId783" xr:uid="{00000000-0004-0000-0100-00000E030000}"/>
    <hyperlink ref="P274" r:id="rId784" xr:uid="{00000000-0004-0000-0100-00000F030000}"/>
    <hyperlink ref="Q274" r:id="rId785" xr:uid="{00000000-0004-0000-0100-000010030000}"/>
    <hyperlink ref="O275" r:id="rId786" xr:uid="{00000000-0004-0000-0100-000011030000}"/>
    <hyperlink ref="P275" r:id="rId787" xr:uid="{00000000-0004-0000-0100-000012030000}"/>
    <hyperlink ref="Q275" r:id="rId788" xr:uid="{00000000-0004-0000-0100-000013030000}"/>
    <hyperlink ref="O276" r:id="rId789" xr:uid="{00000000-0004-0000-0100-000014030000}"/>
    <hyperlink ref="P276" r:id="rId790" xr:uid="{00000000-0004-0000-0100-000015030000}"/>
    <hyperlink ref="Q276" r:id="rId791" xr:uid="{00000000-0004-0000-0100-000016030000}"/>
    <hyperlink ref="O277" r:id="rId792" xr:uid="{00000000-0004-0000-0100-000017030000}"/>
    <hyperlink ref="P277" r:id="rId793" xr:uid="{00000000-0004-0000-0100-000018030000}"/>
    <hyperlink ref="Q277" r:id="rId794" xr:uid="{00000000-0004-0000-0100-000019030000}"/>
    <hyperlink ref="O278" r:id="rId795" xr:uid="{00000000-0004-0000-0100-00001A030000}"/>
    <hyperlink ref="P278" r:id="rId796" xr:uid="{00000000-0004-0000-0100-00001B030000}"/>
    <hyperlink ref="Q278" r:id="rId797" xr:uid="{00000000-0004-0000-0100-00001C030000}"/>
    <hyperlink ref="O279" r:id="rId798" xr:uid="{00000000-0004-0000-0100-00001D030000}"/>
    <hyperlink ref="P279" r:id="rId799" xr:uid="{00000000-0004-0000-0100-00001E030000}"/>
    <hyperlink ref="Q279" r:id="rId800" xr:uid="{00000000-0004-0000-0100-00001F030000}"/>
    <hyperlink ref="O280" r:id="rId801" xr:uid="{00000000-0004-0000-0100-000020030000}"/>
    <hyperlink ref="P280" r:id="rId802" xr:uid="{00000000-0004-0000-0100-000021030000}"/>
    <hyperlink ref="Q280" r:id="rId803" xr:uid="{00000000-0004-0000-0100-000022030000}"/>
    <hyperlink ref="O281" r:id="rId804" xr:uid="{00000000-0004-0000-0100-000023030000}"/>
    <hyperlink ref="P281" r:id="rId805" xr:uid="{00000000-0004-0000-0100-000024030000}"/>
    <hyperlink ref="Q281" r:id="rId806" xr:uid="{00000000-0004-0000-0100-000025030000}"/>
    <hyperlink ref="O282" r:id="rId807" xr:uid="{00000000-0004-0000-0100-000026030000}"/>
    <hyperlink ref="P282" r:id="rId808" xr:uid="{00000000-0004-0000-0100-000027030000}"/>
    <hyperlink ref="Q282" r:id="rId809" xr:uid="{00000000-0004-0000-0100-000028030000}"/>
    <hyperlink ref="O283" r:id="rId810" xr:uid="{00000000-0004-0000-0100-000029030000}"/>
    <hyperlink ref="P283" r:id="rId811" xr:uid="{00000000-0004-0000-0100-00002A030000}"/>
    <hyperlink ref="Q283" r:id="rId812" xr:uid="{00000000-0004-0000-0100-00002B030000}"/>
    <hyperlink ref="O284" r:id="rId813" xr:uid="{00000000-0004-0000-0100-00002C030000}"/>
    <hyperlink ref="P284" r:id="rId814" xr:uid="{00000000-0004-0000-0100-00002D030000}"/>
    <hyperlink ref="Q284" r:id="rId815" xr:uid="{00000000-0004-0000-0100-00002E030000}"/>
    <hyperlink ref="O285" r:id="rId816" xr:uid="{00000000-0004-0000-0100-00002F030000}"/>
    <hyperlink ref="P285" r:id="rId817" xr:uid="{00000000-0004-0000-0100-000030030000}"/>
    <hyperlink ref="Q285" r:id="rId818" xr:uid="{00000000-0004-0000-0100-000031030000}"/>
    <hyperlink ref="O286" r:id="rId819" xr:uid="{00000000-0004-0000-0100-000032030000}"/>
    <hyperlink ref="P286" r:id="rId820" xr:uid="{00000000-0004-0000-0100-000033030000}"/>
    <hyperlink ref="Q286" r:id="rId821" xr:uid="{00000000-0004-0000-0100-000034030000}"/>
    <hyperlink ref="O287" r:id="rId822" xr:uid="{00000000-0004-0000-0100-000035030000}"/>
    <hyperlink ref="P287" r:id="rId823" xr:uid="{00000000-0004-0000-0100-000036030000}"/>
    <hyperlink ref="Q287" r:id="rId824" xr:uid="{00000000-0004-0000-0100-000037030000}"/>
    <hyperlink ref="O288" r:id="rId825" xr:uid="{00000000-0004-0000-0100-000038030000}"/>
    <hyperlink ref="P288" r:id="rId826" xr:uid="{00000000-0004-0000-0100-000039030000}"/>
    <hyperlink ref="Q288" r:id="rId827" xr:uid="{00000000-0004-0000-0100-00003A030000}"/>
    <hyperlink ref="O289" r:id="rId828" xr:uid="{00000000-0004-0000-0100-00003B030000}"/>
    <hyperlink ref="P289" r:id="rId829" xr:uid="{00000000-0004-0000-0100-00003C030000}"/>
    <hyperlink ref="Q289" r:id="rId830" xr:uid="{00000000-0004-0000-0100-00003D030000}"/>
    <hyperlink ref="O290" r:id="rId831" xr:uid="{00000000-0004-0000-0100-00003E030000}"/>
    <hyperlink ref="P290" r:id="rId832" xr:uid="{00000000-0004-0000-0100-00003F030000}"/>
    <hyperlink ref="Q290" r:id="rId833" xr:uid="{00000000-0004-0000-0100-000040030000}"/>
    <hyperlink ref="O291" r:id="rId834" xr:uid="{00000000-0004-0000-0100-000041030000}"/>
    <hyperlink ref="P291" r:id="rId835" xr:uid="{00000000-0004-0000-0100-000042030000}"/>
    <hyperlink ref="O292" r:id="rId836" xr:uid="{00000000-0004-0000-0100-000043030000}"/>
    <hyperlink ref="P292" r:id="rId837" xr:uid="{00000000-0004-0000-0100-000044030000}"/>
    <hyperlink ref="Q292" r:id="rId838" xr:uid="{00000000-0004-0000-0100-000045030000}"/>
    <hyperlink ref="O293" r:id="rId839" xr:uid="{00000000-0004-0000-0100-000046030000}"/>
    <hyperlink ref="P293" r:id="rId840" xr:uid="{00000000-0004-0000-0100-000047030000}"/>
    <hyperlink ref="Q293" r:id="rId841" xr:uid="{00000000-0004-0000-0100-000048030000}"/>
    <hyperlink ref="O294" r:id="rId842" xr:uid="{00000000-0004-0000-0100-000049030000}"/>
    <hyperlink ref="P294" r:id="rId843" xr:uid="{00000000-0004-0000-0100-00004A030000}"/>
    <hyperlink ref="Q294" r:id="rId844" xr:uid="{00000000-0004-0000-0100-00004B030000}"/>
    <hyperlink ref="O295" r:id="rId845" xr:uid="{00000000-0004-0000-0100-00004C030000}"/>
    <hyperlink ref="P295" r:id="rId846" xr:uid="{00000000-0004-0000-0100-00004D030000}"/>
    <hyperlink ref="Q295" r:id="rId847" xr:uid="{00000000-0004-0000-0100-00004E030000}"/>
    <hyperlink ref="O296" r:id="rId848" xr:uid="{00000000-0004-0000-0100-00004F030000}"/>
    <hyperlink ref="P296" r:id="rId849" xr:uid="{00000000-0004-0000-0100-000050030000}"/>
    <hyperlink ref="Q296" r:id="rId850" xr:uid="{00000000-0004-0000-0100-000051030000}"/>
    <hyperlink ref="O297" r:id="rId851" xr:uid="{00000000-0004-0000-0100-000052030000}"/>
    <hyperlink ref="P297" r:id="rId852" xr:uid="{00000000-0004-0000-0100-000053030000}"/>
    <hyperlink ref="Q297" r:id="rId853" xr:uid="{00000000-0004-0000-0100-000054030000}"/>
    <hyperlink ref="O298" r:id="rId854" xr:uid="{00000000-0004-0000-0100-000055030000}"/>
    <hyperlink ref="P298" r:id="rId855" xr:uid="{00000000-0004-0000-0100-000056030000}"/>
    <hyperlink ref="Q298" r:id="rId856" xr:uid="{00000000-0004-0000-0100-000057030000}"/>
    <hyperlink ref="O299" r:id="rId857" xr:uid="{00000000-0004-0000-0100-000058030000}"/>
    <hyperlink ref="P299" r:id="rId858" xr:uid="{00000000-0004-0000-0100-000059030000}"/>
    <hyperlink ref="Q299" r:id="rId859" xr:uid="{00000000-0004-0000-0100-00005A030000}"/>
    <hyperlink ref="O300" r:id="rId860" xr:uid="{00000000-0004-0000-0100-00005B030000}"/>
    <hyperlink ref="P300" r:id="rId861" xr:uid="{00000000-0004-0000-0100-00005C030000}"/>
    <hyperlink ref="Q300" r:id="rId862" xr:uid="{00000000-0004-0000-0100-00005D030000}"/>
    <hyperlink ref="O301" r:id="rId863" xr:uid="{00000000-0004-0000-0100-00005E030000}"/>
    <hyperlink ref="P301" r:id="rId864" xr:uid="{00000000-0004-0000-0100-00005F030000}"/>
    <hyperlink ref="Q301" r:id="rId865" xr:uid="{00000000-0004-0000-0100-000060030000}"/>
    <hyperlink ref="O302" r:id="rId866" xr:uid="{00000000-0004-0000-0100-000061030000}"/>
    <hyperlink ref="P302" r:id="rId867" xr:uid="{00000000-0004-0000-0100-000062030000}"/>
    <hyperlink ref="Q302" r:id="rId868" xr:uid="{00000000-0004-0000-0100-000063030000}"/>
    <hyperlink ref="O303" r:id="rId869" xr:uid="{00000000-0004-0000-0100-000064030000}"/>
    <hyperlink ref="P303" r:id="rId870" xr:uid="{00000000-0004-0000-0100-000065030000}"/>
    <hyperlink ref="Q303" r:id="rId871" xr:uid="{00000000-0004-0000-0100-000066030000}"/>
    <hyperlink ref="O304" r:id="rId872" xr:uid="{00000000-0004-0000-0100-000067030000}"/>
    <hyperlink ref="P304" r:id="rId873" xr:uid="{00000000-0004-0000-0100-000068030000}"/>
    <hyperlink ref="Q304" r:id="rId874" xr:uid="{00000000-0004-0000-0100-000069030000}"/>
    <hyperlink ref="O305" r:id="rId875" xr:uid="{00000000-0004-0000-0100-00006A030000}"/>
    <hyperlink ref="P305" r:id="rId876" xr:uid="{00000000-0004-0000-0100-00006B030000}"/>
    <hyperlink ref="Q305" r:id="rId877" xr:uid="{00000000-0004-0000-0100-00006C030000}"/>
    <hyperlink ref="O306" r:id="rId878" xr:uid="{00000000-0004-0000-0100-00006D030000}"/>
    <hyperlink ref="P306" r:id="rId879" xr:uid="{00000000-0004-0000-0100-00006E030000}"/>
    <hyperlink ref="Q306" r:id="rId880" xr:uid="{00000000-0004-0000-0100-00006F030000}"/>
    <hyperlink ref="O307" r:id="rId881" xr:uid="{00000000-0004-0000-0100-000070030000}"/>
    <hyperlink ref="P307" r:id="rId882" xr:uid="{00000000-0004-0000-0100-000071030000}"/>
    <hyperlink ref="Q307" r:id="rId883" xr:uid="{00000000-0004-0000-0100-000072030000}"/>
    <hyperlink ref="O308" r:id="rId884" xr:uid="{00000000-0004-0000-0100-000073030000}"/>
    <hyperlink ref="P308" r:id="rId885" xr:uid="{00000000-0004-0000-0100-000074030000}"/>
    <hyperlink ref="Q308" r:id="rId886" xr:uid="{00000000-0004-0000-0100-000075030000}"/>
    <hyperlink ref="O309" r:id="rId887" xr:uid="{00000000-0004-0000-0100-000076030000}"/>
    <hyperlink ref="P309" r:id="rId888" xr:uid="{00000000-0004-0000-0100-000077030000}"/>
    <hyperlink ref="Q309" r:id="rId889" xr:uid="{00000000-0004-0000-0100-000078030000}"/>
    <hyperlink ref="O310" r:id="rId890" xr:uid="{00000000-0004-0000-0100-000079030000}"/>
    <hyperlink ref="P310" r:id="rId891" xr:uid="{00000000-0004-0000-0100-00007A030000}"/>
    <hyperlink ref="Q310" r:id="rId892" xr:uid="{00000000-0004-0000-0100-00007B030000}"/>
    <hyperlink ref="O311" r:id="rId893" xr:uid="{00000000-0004-0000-0100-00007C030000}"/>
    <hyperlink ref="P311" r:id="rId894" xr:uid="{00000000-0004-0000-0100-00007D030000}"/>
    <hyperlink ref="Q311" r:id="rId895" xr:uid="{00000000-0004-0000-0100-00007E030000}"/>
    <hyperlink ref="O312" r:id="rId896" xr:uid="{00000000-0004-0000-0100-00007F030000}"/>
    <hyperlink ref="P312" r:id="rId897" xr:uid="{00000000-0004-0000-0100-000080030000}"/>
    <hyperlink ref="Q312" r:id="rId898" xr:uid="{00000000-0004-0000-0100-000081030000}"/>
    <hyperlink ref="O313" r:id="rId899" xr:uid="{00000000-0004-0000-0100-000082030000}"/>
    <hyperlink ref="P313" r:id="rId900" xr:uid="{00000000-0004-0000-0100-000083030000}"/>
    <hyperlink ref="Q313" r:id="rId901" xr:uid="{00000000-0004-0000-0100-000084030000}"/>
    <hyperlink ref="O314" r:id="rId902" xr:uid="{00000000-0004-0000-0100-000085030000}"/>
    <hyperlink ref="P314" r:id="rId903" xr:uid="{00000000-0004-0000-0100-000086030000}"/>
    <hyperlink ref="Q314" r:id="rId904" xr:uid="{00000000-0004-0000-0100-000087030000}"/>
    <hyperlink ref="O315" r:id="rId905" xr:uid="{00000000-0004-0000-0100-000088030000}"/>
    <hyperlink ref="Q315" r:id="rId906" xr:uid="{00000000-0004-0000-0100-000089030000}"/>
    <hyperlink ref="O316" r:id="rId907" xr:uid="{00000000-0004-0000-0100-00008A030000}"/>
    <hyperlink ref="P316" r:id="rId908" xr:uid="{00000000-0004-0000-0100-00008B030000}"/>
    <hyperlink ref="Q316" r:id="rId909" xr:uid="{00000000-0004-0000-0100-00008C030000}"/>
    <hyperlink ref="O317" r:id="rId910" xr:uid="{00000000-0004-0000-0100-00008D030000}"/>
    <hyperlink ref="P317" r:id="rId911" xr:uid="{00000000-0004-0000-0100-00008E030000}"/>
    <hyperlink ref="Q317" r:id="rId912" xr:uid="{00000000-0004-0000-0100-00008F030000}"/>
    <hyperlink ref="O318" r:id="rId913" xr:uid="{00000000-0004-0000-0100-000090030000}"/>
    <hyperlink ref="P318" r:id="rId914" xr:uid="{00000000-0004-0000-0100-000091030000}"/>
    <hyperlink ref="Q318" r:id="rId915" xr:uid="{00000000-0004-0000-0100-000092030000}"/>
    <hyperlink ref="O319" r:id="rId916" xr:uid="{00000000-0004-0000-0100-000093030000}"/>
    <hyperlink ref="P319" r:id="rId917" xr:uid="{00000000-0004-0000-0100-000094030000}"/>
    <hyperlink ref="Q319" r:id="rId918" xr:uid="{00000000-0004-0000-0100-000095030000}"/>
    <hyperlink ref="O320" r:id="rId919" xr:uid="{00000000-0004-0000-0100-000096030000}"/>
    <hyperlink ref="P320" r:id="rId920" xr:uid="{00000000-0004-0000-0100-000097030000}"/>
    <hyperlink ref="Q320" r:id="rId921" xr:uid="{00000000-0004-0000-0100-000098030000}"/>
    <hyperlink ref="O321" r:id="rId922" xr:uid="{00000000-0004-0000-0100-000099030000}"/>
    <hyperlink ref="P321" r:id="rId923" xr:uid="{00000000-0004-0000-0100-00009A030000}"/>
    <hyperlink ref="Q321" r:id="rId924" xr:uid="{00000000-0004-0000-0100-00009B030000}"/>
    <hyperlink ref="O322" r:id="rId925" xr:uid="{00000000-0004-0000-0100-00009C030000}"/>
    <hyperlink ref="P322" r:id="rId926" xr:uid="{00000000-0004-0000-0100-00009D030000}"/>
    <hyperlink ref="Q322" r:id="rId927" xr:uid="{00000000-0004-0000-0100-00009E030000}"/>
    <hyperlink ref="O323" r:id="rId928" xr:uid="{00000000-0004-0000-0100-00009F030000}"/>
    <hyperlink ref="P323" r:id="rId929" xr:uid="{00000000-0004-0000-0100-0000A0030000}"/>
    <hyperlink ref="Q323" r:id="rId930" xr:uid="{00000000-0004-0000-0100-0000A1030000}"/>
    <hyperlink ref="O324" r:id="rId931" xr:uid="{00000000-0004-0000-0100-0000A2030000}"/>
    <hyperlink ref="P324" r:id="rId932" xr:uid="{00000000-0004-0000-0100-0000A3030000}"/>
    <hyperlink ref="Q324" r:id="rId933" xr:uid="{00000000-0004-0000-0100-0000A4030000}"/>
    <hyperlink ref="O325" r:id="rId934" xr:uid="{00000000-0004-0000-0100-0000A5030000}"/>
    <hyperlink ref="P325" r:id="rId935" xr:uid="{00000000-0004-0000-0100-0000A6030000}"/>
    <hyperlink ref="Q325" r:id="rId936" xr:uid="{00000000-0004-0000-0100-0000A7030000}"/>
    <hyperlink ref="O326" r:id="rId937" xr:uid="{00000000-0004-0000-0100-0000A8030000}"/>
    <hyperlink ref="P326" r:id="rId938" xr:uid="{00000000-0004-0000-0100-0000A9030000}"/>
    <hyperlink ref="Q326" r:id="rId939" xr:uid="{00000000-0004-0000-0100-0000AA030000}"/>
    <hyperlink ref="O327" r:id="rId940" xr:uid="{00000000-0004-0000-0100-0000AB030000}"/>
    <hyperlink ref="P327" r:id="rId941" xr:uid="{00000000-0004-0000-0100-0000AC030000}"/>
    <hyperlink ref="Q327" r:id="rId942" xr:uid="{00000000-0004-0000-0100-0000AD030000}"/>
    <hyperlink ref="O328" r:id="rId943" xr:uid="{00000000-0004-0000-0100-0000AE030000}"/>
    <hyperlink ref="P328" r:id="rId944" xr:uid="{00000000-0004-0000-0100-0000AF030000}"/>
    <hyperlink ref="Q328" r:id="rId945" xr:uid="{00000000-0004-0000-0100-0000B0030000}"/>
    <hyperlink ref="O329" r:id="rId946" xr:uid="{00000000-0004-0000-0100-0000B1030000}"/>
    <hyperlink ref="P329" r:id="rId947" xr:uid="{00000000-0004-0000-0100-0000B2030000}"/>
    <hyperlink ref="Q329" r:id="rId948" xr:uid="{00000000-0004-0000-0100-0000B3030000}"/>
    <hyperlink ref="O330" r:id="rId949" xr:uid="{00000000-0004-0000-0100-0000B4030000}"/>
    <hyperlink ref="P330" r:id="rId950" xr:uid="{00000000-0004-0000-0100-0000B5030000}"/>
    <hyperlink ref="Q330" r:id="rId951" xr:uid="{00000000-0004-0000-0100-0000B6030000}"/>
    <hyperlink ref="O331" r:id="rId952" xr:uid="{00000000-0004-0000-0100-0000B7030000}"/>
    <hyperlink ref="P331" r:id="rId953" xr:uid="{00000000-0004-0000-0100-0000B8030000}"/>
    <hyperlink ref="Q331" r:id="rId954" xr:uid="{00000000-0004-0000-0100-0000B9030000}"/>
    <hyperlink ref="O332" r:id="rId955" xr:uid="{00000000-0004-0000-0100-0000BA030000}"/>
    <hyperlink ref="P332" r:id="rId956" xr:uid="{00000000-0004-0000-0100-0000BB030000}"/>
    <hyperlink ref="Q332" r:id="rId957" xr:uid="{00000000-0004-0000-0100-0000BC030000}"/>
    <hyperlink ref="O333" r:id="rId958" xr:uid="{00000000-0004-0000-0100-0000BD030000}"/>
    <hyperlink ref="P333" r:id="rId959" xr:uid="{00000000-0004-0000-0100-0000BE030000}"/>
    <hyperlink ref="Q333" r:id="rId960" xr:uid="{00000000-0004-0000-0100-0000BF030000}"/>
    <hyperlink ref="O334" r:id="rId961" xr:uid="{00000000-0004-0000-0100-0000C0030000}"/>
    <hyperlink ref="P334" r:id="rId962" xr:uid="{00000000-0004-0000-0100-0000C1030000}"/>
    <hyperlink ref="Q334" r:id="rId963" xr:uid="{00000000-0004-0000-0100-0000C2030000}"/>
    <hyperlink ref="O335" r:id="rId964" xr:uid="{00000000-0004-0000-0100-0000C3030000}"/>
    <hyperlink ref="P335" r:id="rId965" xr:uid="{00000000-0004-0000-0100-0000C4030000}"/>
    <hyperlink ref="Q335" r:id="rId966" xr:uid="{00000000-0004-0000-0100-0000C5030000}"/>
    <hyperlink ref="O336" r:id="rId967" xr:uid="{00000000-0004-0000-0100-0000C6030000}"/>
    <hyperlink ref="P336" r:id="rId968" xr:uid="{00000000-0004-0000-0100-0000C7030000}"/>
    <hyperlink ref="Q336" r:id="rId969" xr:uid="{00000000-0004-0000-0100-0000C8030000}"/>
    <hyperlink ref="O337" r:id="rId970" xr:uid="{00000000-0004-0000-0100-0000C9030000}"/>
    <hyperlink ref="P337" r:id="rId971" xr:uid="{00000000-0004-0000-0100-0000CA030000}"/>
    <hyperlink ref="Q337" r:id="rId972" xr:uid="{00000000-0004-0000-0100-0000CB030000}"/>
    <hyperlink ref="O338" r:id="rId973" xr:uid="{00000000-0004-0000-0100-0000CC030000}"/>
    <hyperlink ref="P338" r:id="rId974" xr:uid="{00000000-0004-0000-0100-0000CD030000}"/>
    <hyperlink ref="Q338" r:id="rId975" xr:uid="{00000000-0004-0000-0100-0000CE030000}"/>
    <hyperlink ref="O339" r:id="rId976" xr:uid="{00000000-0004-0000-0100-0000CF030000}"/>
    <hyperlink ref="P339" r:id="rId977" xr:uid="{00000000-0004-0000-0100-0000D0030000}"/>
    <hyperlink ref="Q339" r:id="rId978" xr:uid="{00000000-0004-0000-0100-0000D1030000}"/>
    <hyperlink ref="O340" r:id="rId979" xr:uid="{00000000-0004-0000-0100-0000D2030000}"/>
    <hyperlink ref="P340" r:id="rId980" xr:uid="{00000000-0004-0000-0100-0000D3030000}"/>
    <hyperlink ref="Q340" r:id="rId981" xr:uid="{00000000-0004-0000-0100-0000D4030000}"/>
    <hyperlink ref="O341" r:id="rId982" xr:uid="{00000000-0004-0000-0100-0000D5030000}"/>
    <hyperlink ref="P341" r:id="rId983" xr:uid="{00000000-0004-0000-0100-0000D6030000}"/>
    <hyperlink ref="Q341" r:id="rId984" xr:uid="{00000000-0004-0000-0100-0000D7030000}"/>
    <hyperlink ref="O342" r:id="rId985" xr:uid="{00000000-0004-0000-0100-0000D8030000}"/>
    <hyperlink ref="P342" r:id="rId986" xr:uid="{00000000-0004-0000-0100-0000D9030000}"/>
    <hyperlink ref="Q342" r:id="rId987" xr:uid="{00000000-0004-0000-0100-0000DA030000}"/>
    <hyperlink ref="O343" r:id="rId988" xr:uid="{00000000-0004-0000-0100-0000DB030000}"/>
    <hyperlink ref="P343" r:id="rId989" xr:uid="{00000000-0004-0000-0100-0000DC030000}"/>
    <hyperlink ref="Q343" r:id="rId990" xr:uid="{00000000-0004-0000-0100-0000DD030000}"/>
    <hyperlink ref="O344" r:id="rId991" xr:uid="{00000000-0004-0000-0100-0000DE030000}"/>
    <hyperlink ref="P344" r:id="rId992" xr:uid="{00000000-0004-0000-0100-0000DF030000}"/>
    <hyperlink ref="Q344" r:id="rId993" xr:uid="{00000000-0004-0000-0100-0000E0030000}"/>
    <hyperlink ref="O345" r:id="rId994" xr:uid="{00000000-0004-0000-0100-0000E1030000}"/>
    <hyperlink ref="P345" r:id="rId995" xr:uid="{00000000-0004-0000-0100-0000E2030000}"/>
    <hyperlink ref="Q345" r:id="rId996" xr:uid="{00000000-0004-0000-0100-0000E3030000}"/>
    <hyperlink ref="O346" r:id="rId997" xr:uid="{00000000-0004-0000-0100-0000E4030000}"/>
    <hyperlink ref="P346" r:id="rId998" xr:uid="{00000000-0004-0000-0100-0000E5030000}"/>
    <hyperlink ref="Q346" r:id="rId999" xr:uid="{00000000-0004-0000-0100-0000E6030000}"/>
    <hyperlink ref="O347" r:id="rId1000" xr:uid="{00000000-0004-0000-0100-0000E7030000}"/>
    <hyperlink ref="P347" r:id="rId1001" xr:uid="{00000000-0004-0000-0100-0000E8030000}"/>
    <hyperlink ref="Q347" r:id="rId1002" xr:uid="{00000000-0004-0000-0100-0000E9030000}"/>
    <hyperlink ref="O348" r:id="rId1003" xr:uid="{00000000-0004-0000-0100-0000EA030000}"/>
    <hyperlink ref="P348" r:id="rId1004" xr:uid="{00000000-0004-0000-0100-0000EB030000}"/>
    <hyperlink ref="Q348" r:id="rId1005" xr:uid="{00000000-0004-0000-0100-0000EC030000}"/>
    <hyperlink ref="O349" r:id="rId1006" xr:uid="{00000000-0004-0000-0100-0000ED030000}"/>
    <hyperlink ref="P349" r:id="rId1007" xr:uid="{00000000-0004-0000-0100-0000EE030000}"/>
    <hyperlink ref="Q349" r:id="rId1008" xr:uid="{00000000-0004-0000-0100-0000EF030000}"/>
    <hyperlink ref="O350" r:id="rId1009" xr:uid="{00000000-0004-0000-0100-0000F0030000}"/>
    <hyperlink ref="P350" r:id="rId1010" xr:uid="{00000000-0004-0000-0100-0000F1030000}"/>
    <hyperlink ref="Q350" r:id="rId1011" xr:uid="{00000000-0004-0000-0100-0000F2030000}"/>
    <hyperlink ref="O351" r:id="rId1012" xr:uid="{00000000-0004-0000-0100-0000F3030000}"/>
    <hyperlink ref="Q351" r:id="rId1013" xr:uid="{00000000-0004-0000-0100-0000F4030000}"/>
    <hyperlink ref="O352" r:id="rId1014" xr:uid="{00000000-0004-0000-0100-0000F5030000}"/>
    <hyperlink ref="P352" r:id="rId1015" xr:uid="{00000000-0004-0000-0100-0000F6030000}"/>
    <hyperlink ref="Q352" r:id="rId1016" xr:uid="{00000000-0004-0000-0100-0000F7030000}"/>
    <hyperlink ref="O353" r:id="rId1017" xr:uid="{00000000-0004-0000-0100-0000F8030000}"/>
    <hyperlink ref="P353" r:id="rId1018" xr:uid="{00000000-0004-0000-0100-0000F9030000}"/>
    <hyperlink ref="Q353" r:id="rId1019" xr:uid="{00000000-0004-0000-0100-0000FA030000}"/>
    <hyperlink ref="O354" r:id="rId1020" xr:uid="{00000000-0004-0000-0100-0000FB030000}"/>
    <hyperlink ref="P354" r:id="rId1021" xr:uid="{00000000-0004-0000-0100-0000FC030000}"/>
    <hyperlink ref="Q354" r:id="rId1022" xr:uid="{00000000-0004-0000-0100-0000FD030000}"/>
    <hyperlink ref="O355" r:id="rId1023" xr:uid="{00000000-0004-0000-0100-0000FE030000}"/>
    <hyperlink ref="P355" r:id="rId1024" xr:uid="{00000000-0004-0000-0100-0000FF030000}"/>
    <hyperlink ref="Q355" r:id="rId1025" xr:uid="{00000000-0004-0000-0100-000000040000}"/>
    <hyperlink ref="O356" r:id="rId1026" xr:uid="{00000000-0004-0000-0100-000001040000}"/>
    <hyperlink ref="P356" r:id="rId1027" xr:uid="{00000000-0004-0000-0100-000002040000}"/>
    <hyperlink ref="Q356" r:id="rId1028" xr:uid="{00000000-0004-0000-0100-000003040000}"/>
    <hyperlink ref="O357" r:id="rId1029" xr:uid="{00000000-0004-0000-0100-000004040000}"/>
    <hyperlink ref="Q357" r:id="rId1030" xr:uid="{00000000-0004-0000-0100-000005040000}"/>
    <hyperlink ref="O358" r:id="rId1031" xr:uid="{00000000-0004-0000-0100-000006040000}"/>
    <hyperlink ref="P358" r:id="rId1032" xr:uid="{00000000-0004-0000-0100-000007040000}"/>
    <hyperlink ref="Q358" r:id="rId1033" xr:uid="{00000000-0004-0000-0100-000008040000}"/>
    <hyperlink ref="O359" r:id="rId1034" xr:uid="{00000000-0004-0000-0100-000009040000}"/>
    <hyperlink ref="P359" r:id="rId1035" xr:uid="{00000000-0004-0000-0100-00000A040000}"/>
    <hyperlink ref="Q359" r:id="rId1036" xr:uid="{00000000-0004-0000-0100-00000B040000}"/>
    <hyperlink ref="O360" r:id="rId1037" xr:uid="{00000000-0004-0000-0100-00000C040000}"/>
    <hyperlink ref="P360" r:id="rId1038" xr:uid="{00000000-0004-0000-0100-00000D040000}"/>
    <hyperlink ref="Q360" r:id="rId1039" xr:uid="{00000000-0004-0000-0100-00000E040000}"/>
    <hyperlink ref="O361" r:id="rId1040" xr:uid="{00000000-0004-0000-0100-00000F040000}"/>
    <hyperlink ref="P361" r:id="rId1041" xr:uid="{00000000-0004-0000-0100-000010040000}"/>
    <hyperlink ref="Q361" r:id="rId1042" xr:uid="{00000000-0004-0000-0100-000011040000}"/>
    <hyperlink ref="O362" r:id="rId1043" xr:uid="{00000000-0004-0000-0100-000012040000}"/>
    <hyperlink ref="P362" r:id="rId1044" xr:uid="{00000000-0004-0000-0100-000013040000}"/>
    <hyperlink ref="Q362" r:id="rId1045" xr:uid="{00000000-0004-0000-0100-000014040000}"/>
    <hyperlink ref="O363" r:id="rId1046" xr:uid="{00000000-0004-0000-0100-000015040000}"/>
    <hyperlink ref="P363" r:id="rId1047" xr:uid="{00000000-0004-0000-0100-000016040000}"/>
    <hyperlink ref="Q363" r:id="rId1048" xr:uid="{00000000-0004-0000-0100-000017040000}"/>
    <hyperlink ref="O364" r:id="rId1049" xr:uid="{00000000-0004-0000-0100-000018040000}"/>
    <hyperlink ref="P364" r:id="rId1050" xr:uid="{00000000-0004-0000-0100-000019040000}"/>
    <hyperlink ref="Q364" r:id="rId1051" xr:uid="{00000000-0004-0000-0100-00001A040000}"/>
    <hyperlink ref="O365" r:id="rId1052" xr:uid="{00000000-0004-0000-0100-00001B040000}"/>
    <hyperlink ref="P365" r:id="rId1053" xr:uid="{00000000-0004-0000-0100-00001C040000}"/>
    <hyperlink ref="Q365" r:id="rId1054" xr:uid="{00000000-0004-0000-0100-00001D040000}"/>
    <hyperlink ref="O366" r:id="rId1055" xr:uid="{00000000-0004-0000-0100-00001E040000}"/>
    <hyperlink ref="P366" r:id="rId1056" xr:uid="{00000000-0004-0000-0100-00001F040000}"/>
    <hyperlink ref="Q366" r:id="rId1057" xr:uid="{00000000-0004-0000-0100-000020040000}"/>
    <hyperlink ref="O367" r:id="rId1058" xr:uid="{00000000-0004-0000-0100-000021040000}"/>
    <hyperlink ref="P367" r:id="rId1059" xr:uid="{00000000-0004-0000-0100-000022040000}"/>
    <hyperlink ref="Q367" r:id="rId1060" xr:uid="{00000000-0004-0000-0100-000023040000}"/>
    <hyperlink ref="O368" r:id="rId1061" xr:uid="{00000000-0004-0000-0100-000024040000}"/>
    <hyperlink ref="P368" r:id="rId1062" xr:uid="{00000000-0004-0000-0100-000025040000}"/>
    <hyperlink ref="Q368" r:id="rId1063" xr:uid="{00000000-0004-0000-0100-000026040000}"/>
    <hyperlink ref="O369" r:id="rId1064" xr:uid="{00000000-0004-0000-0100-000027040000}"/>
    <hyperlink ref="P369" r:id="rId1065" xr:uid="{00000000-0004-0000-0100-000028040000}"/>
    <hyperlink ref="Q369" r:id="rId1066" xr:uid="{00000000-0004-0000-0100-000029040000}"/>
    <hyperlink ref="O370" r:id="rId1067" xr:uid="{00000000-0004-0000-0100-00002A040000}"/>
    <hyperlink ref="P370" r:id="rId1068" xr:uid="{00000000-0004-0000-0100-00002B040000}"/>
    <hyperlink ref="Q370" r:id="rId1069" xr:uid="{00000000-0004-0000-0100-00002C040000}"/>
    <hyperlink ref="O371" r:id="rId1070" xr:uid="{00000000-0004-0000-0100-00002D040000}"/>
    <hyperlink ref="P371" r:id="rId1071" xr:uid="{00000000-0004-0000-0100-00002E040000}"/>
    <hyperlink ref="Q371" r:id="rId1072" xr:uid="{00000000-0004-0000-0100-00002F040000}"/>
    <hyperlink ref="O372" r:id="rId1073" xr:uid="{00000000-0004-0000-0100-000030040000}"/>
    <hyperlink ref="P372" r:id="rId1074" xr:uid="{00000000-0004-0000-0100-000031040000}"/>
    <hyperlink ref="Q372" r:id="rId1075" xr:uid="{00000000-0004-0000-0100-000032040000}"/>
    <hyperlink ref="O373" r:id="rId1076" xr:uid="{00000000-0004-0000-0100-000033040000}"/>
    <hyperlink ref="P373" r:id="rId1077" xr:uid="{00000000-0004-0000-0100-000034040000}"/>
    <hyperlink ref="Q373" r:id="rId1078" xr:uid="{00000000-0004-0000-0100-000035040000}"/>
    <hyperlink ref="O374" r:id="rId1079" xr:uid="{00000000-0004-0000-0100-000036040000}"/>
    <hyperlink ref="P374" r:id="rId1080" xr:uid="{00000000-0004-0000-0100-000037040000}"/>
    <hyperlink ref="Q374" r:id="rId1081" xr:uid="{00000000-0004-0000-0100-000038040000}"/>
    <hyperlink ref="O375" r:id="rId1082" xr:uid="{00000000-0004-0000-0100-000039040000}"/>
    <hyperlink ref="P375" r:id="rId1083" xr:uid="{00000000-0004-0000-0100-00003A040000}"/>
    <hyperlink ref="Q375" r:id="rId1084" xr:uid="{00000000-0004-0000-0100-00003B040000}"/>
    <hyperlink ref="O376" r:id="rId1085" xr:uid="{00000000-0004-0000-0100-00003C040000}"/>
    <hyperlink ref="P376" r:id="rId1086" xr:uid="{00000000-0004-0000-0100-00003D040000}"/>
    <hyperlink ref="Q376" r:id="rId1087" xr:uid="{00000000-0004-0000-0100-00003E040000}"/>
    <hyperlink ref="O377" r:id="rId1088" xr:uid="{00000000-0004-0000-0100-00003F040000}"/>
    <hyperlink ref="P377" r:id="rId1089" xr:uid="{00000000-0004-0000-0100-000040040000}"/>
    <hyperlink ref="Q377" r:id="rId1090" xr:uid="{00000000-0004-0000-0100-000041040000}"/>
    <hyperlink ref="O378" r:id="rId1091" xr:uid="{00000000-0004-0000-0100-000042040000}"/>
    <hyperlink ref="P378" r:id="rId1092" xr:uid="{00000000-0004-0000-0100-000043040000}"/>
    <hyperlink ref="Q378" r:id="rId1093" xr:uid="{00000000-0004-0000-0100-000044040000}"/>
    <hyperlink ref="O379" r:id="rId1094" xr:uid="{00000000-0004-0000-0100-000045040000}"/>
    <hyperlink ref="P379" r:id="rId1095" xr:uid="{00000000-0004-0000-0100-000046040000}"/>
    <hyperlink ref="Q379" r:id="rId1096" xr:uid="{00000000-0004-0000-0100-000047040000}"/>
    <hyperlink ref="O380" r:id="rId1097" xr:uid="{00000000-0004-0000-0100-000048040000}"/>
    <hyperlink ref="P380" r:id="rId1098" xr:uid="{00000000-0004-0000-0100-000049040000}"/>
    <hyperlink ref="Q380" r:id="rId1099" xr:uid="{00000000-0004-0000-0100-00004A040000}"/>
    <hyperlink ref="O381" r:id="rId1100" xr:uid="{00000000-0004-0000-0100-00004B040000}"/>
    <hyperlink ref="P381" r:id="rId1101" xr:uid="{00000000-0004-0000-0100-00004C040000}"/>
    <hyperlink ref="Q381" r:id="rId1102" xr:uid="{00000000-0004-0000-0100-00004D040000}"/>
    <hyperlink ref="O382" r:id="rId1103" xr:uid="{00000000-0004-0000-0100-00004E040000}"/>
    <hyperlink ref="P382" r:id="rId1104" xr:uid="{00000000-0004-0000-0100-00004F040000}"/>
    <hyperlink ref="Q382" r:id="rId1105" xr:uid="{00000000-0004-0000-0100-000050040000}"/>
    <hyperlink ref="O383" r:id="rId1106" xr:uid="{00000000-0004-0000-0100-000051040000}"/>
    <hyperlink ref="Q383" r:id="rId1107" xr:uid="{00000000-0004-0000-0100-000052040000}"/>
    <hyperlink ref="O384" r:id="rId1108" xr:uid="{00000000-0004-0000-0100-000053040000}"/>
    <hyperlink ref="Q384" r:id="rId1109" xr:uid="{00000000-0004-0000-0100-000054040000}"/>
    <hyperlink ref="O385" r:id="rId1110" xr:uid="{00000000-0004-0000-0100-000055040000}"/>
    <hyperlink ref="Q385" r:id="rId1111" xr:uid="{00000000-0004-0000-0100-000056040000}"/>
    <hyperlink ref="O386" r:id="rId1112" xr:uid="{00000000-0004-0000-0100-000057040000}"/>
    <hyperlink ref="P386" r:id="rId1113" xr:uid="{00000000-0004-0000-0100-000058040000}"/>
    <hyperlink ref="Q386" r:id="rId1114" xr:uid="{00000000-0004-0000-0100-000059040000}"/>
    <hyperlink ref="O387" r:id="rId1115" xr:uid="{00000000-0004-0000-0100-00005A040000}"/>
    <hyperlink ref="P387" r:id="rId1116" xr:uid="{00000000-0004-0000-0100-00005B040000}"/>
    <hyperlink ref="Q387" r:id="rId1117" xr:uid="{00000000-0004-0000-0100-00005C040000}"/>
    <hyperlink ref="O388" r:id="rId1118" xr:uid="{00000000-0004-0000-0100-00005D040000}"/>
    <hyperlink ref="P388" r:id="rId1119" xr:uid="{00000000-0004-0000-0100-00005E040000}"/>
    <hyperlink ref="Q388" r:id="rId1120" xr:uid="{00000000-0004-0000-0100-00005F040000}"/>
    <hyperlink ref="O389" r:id="rId1121" xr:uid="{00000000-0004-0000-0100-000060040000}"/>
    <hyperlink ref="P389" r:id="rId1122" xr:uid="{00000000-0004-0000-0100-000061040000}"/>
    <hyperlink ref="Q389" r:id="rId1123" xr:uid="{00000000-0004-0000-0100-000062040000}"/>
    <hyperlink ref="O390" r:id="rId1124" xr:uid="{00000000-0004-0000-0100-000063040000}"/>
    <hyperlink ref="P390" r:id="rId1125" xr:uid="{00000000-0004-0000-0100-000064040000}"/>
    <hyperlink ref="Q390" r:id="rId1126" xr:uid="{00000000-0004-0000-0100-000065040000}"/>
    <hyperlink ref="O391" r:id="rId1127" xr:uid="{00000000-0004-0000-0100-000066040000}"/>
    <hyperlink ref="P391" r:id="rId1128" xr:uid="{00000000-0004-0000-0100-000067040000}"/>
    <hyperlink ref="Q391" r:id="rId1129" xr:uid="{00000000-0004-0000-0100-000068040000}"/>
    <hyperlink ref="O392" r:id="rId1130" xr:uid="{00000000-0004-0000-0100-000069040000}"/>
    <hyperlink ref="P392" r:id="rId1131" xr:uid="{00000000-0004-0000-0100-00006A040000}"/>
    <hyperlink ref="Q392" r:id="rId1132" xr:uid="{00000000-0004-0000-0100-00006B040000}"/>
    <hyperlink ref="O393" r:id="rId1133" xr:uid="{00000000-0004-0000-0100-00006C040000}"/>
    <hyperlink ref="P393" r:id="rId1134" xr:uid="{00000000-0004-0000-0100-00006D040000}"/>
    <hyperlink ref="Q393" r:id="rId1135" xr:uid="{00000000-0004-0000-0100-00006E040000}"/>
    <hyperlink ref="O394" r:id="rId1136" xr:uid="{00000000-0004-0000-0100-00006F040000}"/>
    <hyperlink ref="P394" r:id="rId1137" xr:uid="{00000000-0004-0000-0100-000070040000}"/>
    <hyperlink ref="Q394" r:id="rId1138" xr:uid="{00000000-0004-0000-0100-000071040000}"/>
    <hyperlink ref="O395" r:id="rId1139" xr:uid="{00000000-0004-0000-0100-000072040000}"/>
    <hyperlink ref="P395" r:id="rId1140" xr:uid="{00000000-0004-0000-0100-000073040000}"/>
    <hyperlink ref="Q395" r:id="rId1141" xr:uid="{00000000-0004-0000-0100-000074040000}"/>
    <hyperlink ref="O396" r:id="rId1142" xr:uid="{00000000-0004-0000-0100-000075040000}"/>
    <hyperlink ref="P396" r:id="rId1143" xr:uid="{00000000-0004-0000-0100-000076040000}"/>
    <hyperlink ref="Q396" r:id="rId1144" xr:uid="{00000000-0004-0000-0100-000077040000}"/>
    <hyperlink ref="O397" r:id="rId1145" xr:uid="{00000000-0004-0000-0100-000078040000}"/>
    <hyperlink ref="P397" r:id="rId1146" xr:uid="{00000000-0004-0000-0100-000079040000}"/>
    <hyperlink ref="Q397" r:id="rId1147" xr:uid="{00000000-0004-0000-0100-00007A040000}"/>
    <hyperlink ref="O398" r:id="rId1148" xr:uid="{00000000-0004-0000-0100-00007B040000}"/>
    <hyperlink ref="P398" r:id="rId1149" xr:uid="{00000000-0004-0000-0100-00007C040000}"/>
    <hyperlink ref="O399" r:id="rId1150" xr:uid="{00000000-0004-0000-0100-00007D040000}"/>
    <hyperlink ref="P399" r:id="rId1151" xr:uid="{00000000-0004-0000-0100-00007E040000}"/>
    <hyperlink ref="O400" r:id="rId1152" xr:uid="{00000000-0004-0000-0100-00007F040000}"/>
    <hyperlink ref="P400" r:id="rId1153" xr:uid="{00000000-0004-0000-0100-000080040000}"/>
    <hyperlink ref="Q400" r:id="rId1154" xr:uid="{00000000-0004-0000-0100-000081040000}"/>
    <hyperlink ref="O401" r:id="rId1155" xr:uid="{00000000-0004-0000-0100-000082040000}"/>
    <hyperlink ref="P401" r:id="rId1156" xr:uid="{00000000-0004-0000-0100-000083040000}"/>
    <hyperlink ref="Q401" r:id="rId1157" xr:uid="{00000000-0004-0000-0100-000084040000}"/>
    <hyperlink ref="O402" r:id="rId1158" xr:uid="{00000000-0004-0000-0100-000085040000}"/>
    <hyperlink ref="P402" r:id="rId1159" xr:uid="{00000000-0004-0000-0100-000086040000}"/>
    <hyperlink ref="Q402" r:id="rId1160" xr:uid="{00000000-0004-0000-0100-000087040000}"/>
    <hyperlink ref="O403" r:id="rId1161" xr:uid="{00000000-0004-0000-0100-000088040000}"/>
    <hyperlink ref="P403" r:id="rId1162" xr:uid="{00000000-0004-0000-0100-000089040000}"/>
    <hyperlink ref="Q403" r:id="rId1163" xr:uid="{00000000-0004-0000-0100-00008A040000}"/>
    <hyperlink ref="O404" r:id="rId1164" xr:uid="{00000000-0004-0000-0100-00008B040000}"/>
    <hyperlink ref="P404" r:id="rId1165" xr:uid="{00000000-0004-0000-0100-00008C040000}"/>
    <hyperlink ref="Q404" r:id="rId1166" xr:uid="{00000000-0004-0000-0100-00008D040000}"/>
    <hyperlink ref="O405" r:id="rId1167" xr:uid="{00000000-0004-0000-0100-00008E040000}"/>
    <hyperlink ref="P405" r:id="rId1168" xr:uid="{00000000-0004-0000-0100-00008F040000}"/>
    <hyperlink ref="Q405" r:id="rId1169" xr:uid="{00000000-0004-0000-0100-000090040000}"/>
    <hyperlink ref="O406" r:id="rId1170" xr:uid="{00000000-0004-0000-0100-000091040000}"/>
    <hyperlink ref="P406" r:id="rId1171" xr:uid="{00000000-0004-0000-0100-000092040000}"/>
    <hyperlink ref="Q406" r:id="rId1172" xr:uid="{00000000-0004-0000-0100-000093040000}"/>
    <hyperlink ref="O407" r:id="rId1173" xr:uid="{00000000-0004-0000-0100-000094040000}"/>
    <hyperlink ref="P407" r:id="rId1174" xr:uid="{00000000-0004-0000-0100-000095040000}"/>
    <hyperlink ref="Q407" r:id="rId1175" xr:uid="{00000000-0004-0000-0100-000096040000}"/>
    <hyperlink ref="O408" r:id="rId1176" xr:uid="{00000000-0004-0000-0100-000097040000}"/>
    <hyperlink ref="P408" r:id="rId1177" xr:uid="{00000000-0004-0000-0100-000098040000}"/>
    <hyperlink ref="Q408" r:id="rId1178" xr:uid="{00000000-0004-0000-0100-000099040000}"/>
    <hyperlink ref="O409" r:id="rId1179" xr:uid="{00000000-0004-0000-0100-00009A040000}"/>
    <hyperlink ref="P409" r:id="rId1180" xr:uid="{00000000-0004-0000-0100-00009B040000}"/>
    <hyperlink ref="Q409" r:id="rId1181" xr:uid="{00000000-0004-0000-0100-00009C040000}"/>
    <hyperlink ref="O410" r:id="rId1182" xr:uid="{00000000-0004-0000-0100-00009D040000}"/>
    <hyperlink ref="P410" r:id="rId1183" xr:uid="{00000000-0004-0000-0100-00009E040000}"/>
    <hyperlink ref="Q410" r:id="rId1184" xr:uid="{00000000-0004-0000-0100-00009F040000}"/>
    <hyperlink ref="O411" r:id="rId1185" xr:uid="{00000000-0004-0000-0100-0000A0040000}"/>
    <hyperlink ref="P411" r:id="rId1186" xr:uid="{00000000-0004-0000-0100-0000A1040000}"/>
    <hyperlink ref="Q411" r:id="rId1187" xr:uid="{00000000-0004-0000-0100-0000A2040000}"/>
    <hyperlink ref="O412" r:id="rId1188" xr:uid="{00000000-0004-0000-0100-0000A3040000}"/>
    <hyperlink ref="Q412" r:id="rId1189" xr:uid="{00000000-0004-0000-0100-0000A4040000}"/>
    <hyperlink ref="O413" r:id="rId1190" xr:uid="{00000000-0004-0000-0100-0000A5040000}"/>
    <hyperlink ref="Q413" r:id="rId1191" xr:uid="{00000000-0004-0000-0100-0000A6040000}"/>
    <hyperlink ref="O414" r:id="rId1192" xr:uid="{00000000-0004-0000-0100-0000A7040000}"/>
    <hyperlink ref="O415" r:id="rId1193" xr:uid="{00000000-0004-0000-0100-0000A8040000}"/>
    <hyperlink ref="P415" r:id="rId1194" xr:uid="{00000000-0004-0000-0100-0000A9040000}"/>
    <hyperlink ref="Q415" r:id="rId1195" xr:uid="{00000000-0004-0000-0100-0000AA040000}"/>
    <hyperlink ref="O416" r:id="rId1196" xr:uid="{00000000-0004-0000-0100-0000AB040000}"/>
    <hyperlink ref="P416" r:id="rId1197" xr:uid="{00000000-0004-0000-0100-0000AC040000}"/>
    <hyperlink ref="Q416" r:id="rId1198" xr:uid="{00000000-0004-0000-0100-0000AD040000}"/>
    <hyperlink ref="O417" r:id="rId1199" xr:uid="{00000000-0004-0000-0100-0000AE040000}"/>
    <hyperlink ref="P417" r:id="rId1200" xr:uid="{00000000-0004-0000-0100-0000AF040000}"/>
    <hyperlink ref="Q417" r:id="rId1201" xr:uid="{00000000-0004-0000-0100-0000B0040000}"/>
    <hyperlink ref="O418" r:id="rId1202" xr:uid="{00000000-0004-0000-0100-0000B1040000}"/>
    <hyperlink ref="P418" r:id="rId1203" xr:uid="{00000000-0004-0000-0100-0000B2040000}"/>
    <hyperlink ref="Q418" r:id="rId1204" xr:uid="{00000000-0004-0000-0100-0000B3040000}"/>
    <hyperlink ref="O419" r:id="rId1205" xr:uid="{00000000-0004-0000-0100-0000B4040000}"/>
    <hyperlink ref="P419" r:id="rId1206" xr:uid="{00000000-0004-0000-0100-0000B5040000}"/>
    <hyperlink ref="Q419" r:id="rId1207" xr:uid="{00000000-0004-0000-0100-0000B6040000}"/>
    <hyperlink ref="O420" r:id="rId1208" xr:uid="{00000000-0004-0000-0100-0000B7040000}"/>
    <hyperlink ref="P420" r:id="rId1209" xr:uid="{00000000-0004-0000-0100-0000B8040000}"/>
    <hyperlink ref="Q420" r:id="rId1210" xr:uid="{00000000-0004-0000-0100-0000B9040000}"/>
    <hyperlink ref="O421" r:id="rId1211" xr:uid="{00000000-0004-0000-0100-0000BA040000}"/>
    <hyperlink ref="P421" r:id="rId1212" xr:uid="{00000000-0004-0000-0100-0000BB040000}"/>
    <hyperlink ref="Q421" r:id="rId1213" xr:uid="{00000000-0004-0000-0100-0000BC040000}"/>
    <hyperlink ref="O422" r:id="rId1214" xr:uid="{00000000-0004-0000-0100-0000BD040000}"/>
    <hyperlink ref="P422" r:id="rId1215" xr:uid="{00000000-0004-0000-0100-0000BE040000}"/>
    <hyperlink ref="Q422" r:id="rId1216" xr:uid="{00000000-0004-0000-0100-0000BF040000}"/>
    <hyperlink ref="O423" r:id="rId1217" xr:uid="{00000000-0004-0000-0100-0000C0040000}"/>
    <hyperlink ref="P423" r:id="rId1218" xr:uid="{00000000-0004-0000-0100-0000C1040000}"/>
    <hyperlink ref="Q423" r:id="rId1219" xr:uid="{00000000-0004-0000-0100-0000C2040000}"/>
    <hyperlink ref="O424" r:id="rId1220" xr:uid="{00000000-0004-0000-0100-0000C3040000}"/>
    <hyperlink ref="P424" r:id="rId1221" xr:uid="{00000000-0004-0000-0100-0000C4040000}"/>
    <hyperlink ref="Q424" r:id="rId1222" xr:uid="{00000000-0004-0000-0100-0000C5040000}"/>
    <hyperlink ref="O425" r:id="rId1223" xr:uid="{00000000-0004-0000-0100-0000C6040000}"/>
    <hyperlink ref="P425" r:id="rId1224" xr:uid="{00000000-0004-0000-0100-0000C7040000}"/>
    <hyperlink ref="Q425" r:id="rId1225" xr:uid="{00000000-0004-0000-0100-0000C8040000}"/>
    <hyperlink ref="O426" r:id="rId1226" xr:uid="{00000000-0004-0000-0100-0000C9040000}"/>
    <hyperlink ref="P426" r:id="rId1227" xr:uid="{00000000-0004-0000-0100-0000CA040000}"/>
    <hyperlink ref="Q426" r:id="rId1228" xr:uid="{00000000-0004-0000-0100-0000CB040000}"/>
    <hyperlink ref="O427" r:id="rId1229" xr:uid="{00000000-0004-0000-0100-0000CC040000}"/>
    <hyperlink ref="P427" r:id="rId1230" xr:uid="{00000000-0004-0000-0100-0000CD040000}"/>
    <hyperlink ref="Q427" r:id="rId1231" xr:uid="{00000000-0004-0000-0100-0000CE040000}"/>
    <hyperlink ref="O428" r:id="rId1232" xr:uid="{00000000-0004-0000-0100-0000CF040000}"/>
    <hyperlink ref="P428" r:id="rId1233" xr:uid="{00000000-0004-0000-0100-0000D0040000}"/>
    <hyperlink ref="Q428" r:id="rId1234" xr:uid="{00000000-0004-0000-0100-0000D1040000}"/>
    <hyperlink ref="O429" r:id="rId1235" xr:uid="{00000000-0004-0000-0100-0000D2040000}"/>
    <hyperlink ref="P429" r:id="rId1236" xr:uid="{00000000-0004-0000-0100-0000D3040000}"/>
    <hyperlink ref="Q429" r:id="rId1237" xr:uid="{00000000-0004-0000-0100-0000D4040000}"/>
    <hyperlink ref="O430" r:id="rId1238" xr:uid="{00000000-0004-0000-0100-0000D5040000}"/>
    <hyperlink ref="P430" r:id="rId1239" xr:uid="{00000000-0004-0000-0100-0000D6040000}"/>
    <hyperlink ref="Q430" r:id="rId1240" xr:uid="{00000000-0004-0000-0100-0000D7040000}"/>
    <hyperlink ref="O431" r:id="rId1241" xr:uid="{00000000-0004-0000-0100-0000D8040000}"/>
    <hyperlink ref="P431" r:id="rId1242" xr:uid="{00000000-0004-0000-0100-0000D9040000}"/>
    <hyperlink ref="Q431" r:id="rId1243" xr:uid="{00000000-0004-0000-0100-0000DA040000}"/>
    <hyperlink ref="O432" r:id="rId1244" xr:uid="{00000000-0004-0000-0100-0000DB040000}"/>
    <hyperlink ref="P432" r:id="rId1245" xr:uid="{00000000-0004-0000-0100-0000DC040000}"/>
    <hyperlink ref="Q432" r:id="rId1246" xr:uid="{00000000-0004-0000-0100-0000DD040000}"/>
    <hyperlink ref="O433" r:id="rId1247" xr:uid="{00000000-0004-0000-0100-0000DE040000}"/>
    <hyperlink ref="P433" r:id="rId1248" xr:uid="{00000000-0004-0000-0100-0000DF040000}"/>
    <hyperlink ref="Q433" r:id="rId1249" xr:uid="{00000000-0004-0000-0100-0000E0040000}"/>
    <hyperlink ref="O434" r:id="rId1250" xr:uid="{00000000-0004-0000-0100-0000E1040000}"/>
    <hyperlink ref="P434" r:id="rId1251" xr:uid="{00000000-0004-0000-0100-0000E2040000}"/>
    <hyperlink ref="Q434" r:id="rId1252" xr:uid="{00000000-0004-0000-0100-0000E3040000}"/>
    <hyperlink ref="O435" r:id="rId1253" xr:uid="{00000000-0004-0000-0100-0000E4040000}"/>
    <hyperlink ref="Q435" r:id="rId1254" xr:uid="{00000000-0004-0000-0100-0000E5040000}"/>
    <hyperlink ref="O436" r:id="rId1255" xr:uid="{00000000-0004-0000-0100-0000E6040000}"/>
    <hyperlink ref="P436" r:id="rId1256" xr:uid="{00000000-0004-0000-0100-0000E7040000}"/>
    <hyperlink ref="Q436" r:id="rId1257" xr:uid="{00000000-0004-0000-0100-0000E8040000}"/>
    <hyperlink ref="O437" r:id="rId1258" xr:uid="{00000000-0004-0000-0100-0000E9040000}"/>
    <hyperlink ref="P437" r:id="rId1259" xr:uid="{00000000-0004-0000-0100-0000EA040000}"/>
    <hyperlink ref="Q437" r:id="rId1260" xr:uid="{00000000-0004-0000-0100-0000EB040000}"/>
    <hyperlink ref="O438" r:id="rId1261" xr:uid="{00000000-0004-0000-0100-0000EC040000}"/>
    <hyperlink ref="P438" r:id="rId1262" xr:uid="{00000000-0004-0000-0100-0000ED040000}"/>
    <hyperlink ref="Q438" r:id="rId1263" xr:uid="{00000000-0004-0000-0100-0000EE040000}"/>
    <hyperlink ref="O439" r:id="rId1264" xr:uid="{00000000-0004-0000-0100-0000EF040000}"/>
    <hyperlink ref="P439" r:id="rId1265" xr:uid="{00000000-0004-0000-0100-0000F0040000}"/>
    <hyperlink ref="Q439" r:id="rId1266" xr:uid="{00000000-0004-0000-0100-0000F1040000}"/>
    <hyperlink ref="O440" r:id="rId1267" xr:uid="{00000000-0004-0000-0100-0000F2040000}"/>
    <hyperlink ref="Q440" r:id="rId1268" xr:uid="{00000000-0004-0000-0100-0000F3040000}"/>
    <hyperlink ref="O441" r:id="rId1269" xr:uid="{00000000-0004-0000-0100-0000F4040000}"/>
    <hyperlink ref="P441" r:id="rId1270" xr:uid="{00000000-0004-0000-0100-0000F5040000}"/>
    <hyperlink ref="O442" r:id="rId1271" xr:uid="{00000000-0004-0000-0100-0000F6040000}"/>
    <hyperlink ref="P442" r:id="rId1272" xr:uid="{00000000-0004-0000-0100-0000F7040000}"/>
    <hyperlink ref="Q442" r:id="rId1273" xr:uid="{00000000-0004-0000-0100-0000F8040000}"/>
    <hyperlink ref="O443" r:id="rId1274" xr:uid="{00000000-0004-0000-0100-0000F9040000}"/>
    <hyperlink ref="P443" r:id="rId1275" xr:uid="{00000000-0004-0000-0100-0000FA040000}"/>
    <hyperlink ref="Q443" r:id="rId1276" xr:uid="{00000000-0004-0000-0100-0000FB040000}"/>
    <hyperlink ref="O444" r:id="rId1277" xr:uid="{00000000-0004-0000-0100-0000FC040000}"/>
    <hyperlink ref="P444" r:id="rId1278" xr:uid="{00000000-0004-0000-0100-0000FD040000}"/>
    <hyperlink ref="Q444" r:id="rId1279" xr:uid="{00000000-0004-0000-0100-0000FE040000}"/>
    <hyperlink ref="O445" r:id="rId1280" xr:uid="{00000000-0004-0000-0100-0000FF040000}"/>
    <hyperlink ref="P445" r:id="rId1281" xr:uid="{00000000-0004-0000-0100-000000050000}"/>
    <hyperlink ref="Q445" r:id="rId1282" xr:uid="{00000000-0004-0000-0100-000001050000}"/>
    <hyperlink ref="O446" r:id="rId1283" xr:uid="{00000000-0004-0000-0100-000002050000}"/>
    <hyperlink ref="P446" r:id="rId1284" xr:uid="{00000000-0004-0000-0100-000003050000}"/>
    <hyperlink ref="Q446" r:id="rId1285" xr:uid="{00000000-0004-0000-0100-000004050000}"/>
    <hyperlink ref="O447" r:id="rId1286" xr:uid="{00000000-0004-0000-0100-000005050000}"/>
    <hyperlink ref="P447" r:id="rId1287" xr:uid="{00000000-0004-0000-0100-000006050000}"/>
    <hyperlink ref="Q447" r:id="rId1288" xr:uid="{00000000-0004-0000-0100-000007050000}"/>
    <hyperlink ref="O448" r:id="rId1289" xr:uid="{00000000-0004-0000-0100-000008050000}"/>
    <hyperlink ref="P448" r:id="rId1290" xr:uid="{00000000-0004-0000-0100-000009050000}"/>
    <hyperlink ref="Q448" r:id="rId1291" xr:uid="{00000000-0004-0000-0100-00000A050000}"/>
    <hyperlink ref="O449" r:id="rId1292" xr:uid="{00000000-0004-0000-0100-00000B050000}"/>
    <hyperlink ref="P449" r:id="rId1293" xr:uid="{00000000-0004-0000-0100-00000C050000}"/>
    <hyperlink ref="Q449" r:id="rId1294" xr:uid="{00000000-0004-0000-0100-00000D050000}"/>
    <hyperlink ref="O450" r:id="rId1295" xr:uid="{00000000-0004-0000-0100-00000E050000}"/>
    <hyperlink ref="P450" r:id="rId1296" xr:uid="{00000000-0004-0000-0100-00000F050000}"/>
    <hyperlink ref="Q450" r:id="rId1297" xr:uid="{00000000-0004-0000-0100-000010050000}"/>
    <hyperlink ref="O451" r:id="rId1298" xr:uid="{00000000-0004-0000-0100-000011050000}"/>
    <hyperlink ref="P451" r:id="rId1299" xr:uid="{00000000-0004-0000-0100-000012050000}"/>
    <hyperlink ref="Q451" r:id="rId1300" xr:uid="{00000000-0004-0000-0100-000013050000}"/>
    <hyperlink ref="O452" r:id="rId1301" xr:uid="{00000000-0004-0000-0100-000014050000}"/>
    <hyperlink ref="P452" r:id="rId1302" xr:uid="{00000000-0004-0000-0100-000015050000}"/>
    <hyperlink ref="Q452" r:id="rId1303" xr:uid="{00000000-0004-0000-0100-000016050000}"/>
    <hyperlink ref="O453" r:id="rId1304" xr:uid="{00000000-0004-0000-0100-000017050000}"/>
    <hyperlink ref="P453" r:id="rId1305" xr:uid="{00000000-0004-0000-0100-000018050000}"/>
    <hyperlink ref="Q453" r:id="rId1306" xr:uid="{00000000-0004-0000-0100-000019050000}"/>
    <hyperlink ref="O454" r:id="rId1307" xr:uid="{00000000-0004-0000-0100-00001A050000}"/>
    <hyperlink ref="P454" r:id="rId1308" xr:uid="{00000000-0004-0000-0100-00001B050000}"/>
    <hyperlink ref="Q454" r:id="rId1309" xr:uid="{00000000-0004-0000-0100-00001C050000}"/>
    <hyperlink ref="O455" r:id="rId1310" xr:uid="{00000000-0004-0000-0100-00001D050000}"/>
    <hyperlink ref="P455" r:id="rId1311" xr:uid="{00000000-0004-0000-0100-00001E050000}"/>
    <hyperlink ref="Q455" r:id="rId1312" xr:uid="{00000000-0004-0000-0100-00001F050000}"/>
    <hyperlink ref="O456" r:id="rId1313" xr:uid="{00000000-0004-0000-0100-000020050000}"/>
    <hyperlink ref="P456" r:id="rId1314" xr:uid="{00000000-0004-0000-0100-000021050000}"/>
    <hyperlink ref="Q456" r:id="rId1315" xr:uid="{00000000-0004-0000-0100-000022050000}"/>
    <hyperlink ref="O457" r:id="rId1316" xr:uid="{00000000-0004-0000-0100-000023050000}"/>
    <hyperlink ref="P457" r:id="rId1317" xr:uid="{00000000-0004-0000-0100-000024050000}"/>
    <hyperlink ref="Q457" r:id="rId1318" xr:uid="{00000000-0004-0000-0100-000025050000}"/>
    <hyperlink ref="O458" r:id="rId1319" xr:uid="{00000000-0004-0000-0100-000026050000}"/>
    <hyperlink ref="P458" r:id="rId1320" xr:uid="{00000000-0004-0000-0100-000027050000}"/>
    <hyperlink ref="Q458" r:id="rId1321" xr:uid="{00000000-0004-0000-0100-000028050000}"/>
    <hyperlink ref="O459" r:id="rId1322" xr:uid="{00000000-0004-0000-0100-000029050000}"/>
    <hyperlink ref="P459" r:id="rId1323" xr:uid="{00000000-0004-0000-0100-00002A050000}"/>
    <hyperlink ref="Q459" r:id="rId1324" xr:uid="{00000000-0004-0000-0100-00002B050000}"/>
    <hyperlink ref="O460" r:id="rId1325" xr:uid="{00000000-0004-0000-0100-00002C050000}"/>
    <hyperlink ref="P460" r:id="rId1326" xr:uid="{00000000-0004-0000-0100-00002D050000}"/>
    <hyperlink ref="Q460" r:id="rId1327" xr:uid="{00000000-0004-0000-0100-00002E050000}"/>
    <hyperlink ref="O461" r:id="rId1328" xr:uid="{00000000-0004-0000-0100-00002F050000}"/>
    <hyperlink ref="P461" r:id="rId1329" xr:uid="{00000000-0004-0000-0100-000030050000}"/>
    <hyperlink ref="Q461" r:id="rId1330" xr:uid="{00000000-0004-0000-0100-000031050000}"/>
    <hyperlink ref="O462" r:id="rId1331" xr:uid="{00000000-0004-0000-0100-000032050000}"/>
    <hyperlink ref="P462" r:id="rId1332" xr:uid="{00000000-0004-0000-0100-000033050000}"/>
    <hyperlink ref="Q462" r:id="rId1333" xr:uid="{00000000-0004-0000-0100-000034050000}"/>
    <hyperlink ref="O463" r:id="rId1334" xr:uid="{00000000-0004-0000-0100-000035050000}"/>
    <hyperlink ref="P463" r:id="rId1335" xr:uid="{00000000-0004-0000-0100-000036050000}"/>
    <hyperlink ref="Q463" r:id="rId1336" xr:uid="{00000000-0004-0000-0100-000037050000}"/>
    <hyperlink ref="O464" r:id="rId1337" xr:uid="{00000000-0004-0000-0100-000038050000}"/>
    <hyperlink ref="P464" r:id="rId1338" xr:uid="{00000000-0004-0000-0100-000039050000}"/>
    <hyperlink ref="Q464" r:id="rId1339" xr:uid="{00000000-0004-0000-0100-00003A050000}"/>
    <hyperlink ref="O465" r:id="rId1340" xr:uid="{00000000-0004-0000-0100-00003B050000}"/>
    <hyperlink ref="P465" r:id="rId1341" xr:uid="{00000000-0004-0000-0100-00003C050000}"/>
    <hyperlink ref="Q465" r:id="rId1342" xr:uid="{00000000-0004-0000-0100-00003D050000}"/>
    <hyperlink ref="O466" r:id="rId1343" xr:uid="{00000000-0004-0000-0100-00003E050000}"/>
    <hyperlink ref="P466" r:id="rId1344" xr:uid="{00000000-0004-0000-0100-00003F050000}"/>
    <hyperlink ref="Q466" r:id="rId1345" xr:uid="{00000000-0004-0000-0100-000040050000}"/>
    <hyperlink ref="O467" r:id="rId1346" xr:uid="{00000000-0004-0000-0100-000041050000}"/>
    <hyperlink ref="P467" r:id="rId1347" xr:uid="{00000000-0004-0000-0100-000042050000}"/>
    <hyperlink ref="Q467" r:id="rId1348" xr:uid="{00000000-0004-0000-0100-000043050000}"/>
    <hyperlink ref="O468" r:id="rId1349" xr:uid="{00000000-0004-0000-0100-000044050000}"/>
    <hyperlink ref="P468" r:id="rId1350" xr:uid="{00000000-0004-0000-0100-000045050000}"/>
    <hyperlink ref="Q468" r:id="rId1351" xr:uid="{00000000-0004-0000-0100-000046050000}"/>
    <hyperlink ref="O469" r:id="rId1352" xr:uid="{00000000-0004-0000-0100-000047050000}"/>
    <hyperlink ref="P469" r:id="rId1353" xr:uid="{00000000-0004-0000-0100-000048050000}"/>
    <hyperlink ref="Q469" r:id="rId1354" xr:uid="{00000000-0004-0000-0100-000049050000}"/>
    <hyperlink ref="O470" r:id="rId1355" xr:uid="{00000000-0004-0000-0100-00004A050000}"/>
    <hyperlink ref="P470" r:id="rId1356" xr:uid="{00000000-0004-0000-0100-00004B050000}"/>
    <hyperlink ref="Q470" r:id="rId1357" xr:uid="{00000000-0004-0000-0100-00004C050000}"/>
    <hyperlink ref="O471" r:id="rId1358" xr:uid="{00000000-0004-0000-0100-00004D050000}"/>
    <hyperlink ref="P471" r:id="rId1359" xr:uid="{00000000-0004-0000-0100-00004E050000}"/>
    <hyperlink ref="Q471" r:id="rId1360" xr:uid="{00000000-0004-0000-0100-00004F050000}"/>
    <hyperlink ref="O472" r:id="rId1361" xr:uid="{00000000-0004-0000-0100-000050050000}"/>
    <hyperlink ref="P472" r:id="rId1362" xr:uid="{00000000-0004-0000-0100-000051050000}"/>
    <hyperlink ref="Q472" r:id="rId1363" xr:uid="{00000000-0004-0000-0100-000052050000}"/>
    <hyperlink ref="O473" r:id="rId1364" xr:uid="{00000000-0004-0000-0100-000053050000}"/>
    <hyperlink ref="P473" r:id="rId1365" xr:uid="{00000000-0004-0000-0100-000054050000}"/>
    <hyperlink ref="Q473" r:id="rId1366" xr:uid="{00000000-0004-0000-0100-000055050000}"/>
    <hyperlink ref="O474" r:id="rId1367" xr:uid="{00000000-0004-0000-0100-000056050000}"/>
    <hyperlink ref="P474" r:id="rId1368" xr:uid="{00000000-0004-0000-0100-000057050000}"/>
    <hyperlink ref="Q474" r:id="rId1369" xr:uid="{00000000-0004-0000-0100-000058050000}"/>
    <hyperlink ref="O475" r:id="rId1370" xr:uid="{00000000-0004-0000-0100-000059050000}"/>
    <hyperlink ref="P475" r:id="rId1371" xr:uid="{00000000-0004-0000-0100-00005A050000}"/>
    <hyperlink ref="O476" r:id="rId1372" xr:uid="{00000000-0004-0000-0100-00005B050000}"/>
    <hyperlink ref="P476" r:id="rId1373" xr:uid="{00000000-0004-0000-0100-00005C050000}"/>
    <hyperlink ref="Q476" r:id="rId1374" xr:uid="{00000000-0004-0000-0100-00005D050000}"/>
    <hyperlink ref="O477" r:id="rId1375" xr:uid="{00000000-0004-0000-0100-00005E050000}"/>
    <hyperlink ref="P477" r:id="rId1376" xr:uid="{00000000-0004-0000-0100-00005F050000}"/>
    <hyperlink ref="Q477" r:id="rId1377" xr:uid="{00000000-0004-0000-0100-000060050000}"/>
    <hyperlink ref="O478" r:id="rId1378" xr:uid="{00000000-0004-0000-0100-000061050000}"/>
    <hyperlink ref="P478" r:id="rId1379" xr:uid="{00000000-0004-0000-0100-000062050000}"/>
    <hyperlink ref="O479" r:id="rId1380" xr:uid="{00000000-0004-0000-0100-000063050000}"/>
    <hyperlink ref="P479" r:id="rId1381" xr:uid="{00000000-0004-0000-0100-000064050000}"/>
    <hyperlink ref="O480" r:id="rId1382" xr:uid="{00000000-0004-0000-0100-000065050000}"/>
    <hyperlink ref="P480" r:id="rId1383" xr:uid="{00000000-0004-0000-0100-000066050000}"/>
    <hyperlink ref="O481" r:id="rId1384" xr:uid="{00000000-0004-0000-0100-000067050000}"/>
    <hyperlink ref="P481" r:id="rId1385" xr:uid="{00000000-0004-0000-0100-000068050000}"/>
    <hyperlink ref="O482" r:id="rId1386" xr:uid="{00000000-0004-0000-0100-000069050000}"/>
    <hyperlink ref="P482" r:id="rId1387" xr:uid="{00000000-0004-0000-0100-00006A050000}"/>
    <hyperlink ref="O483" r:id="rId1388" xr:uid="{00000000-0004-0000-0100-00006B050000}"/>
    <hyperlink ref="P483" r:id="rId1389" xr:uid="{00000000-0004-0000-0100-00006C050000}"/>
    <hyperlink ref="O484" r:id="rId1390" xr:uid="{00000000-0004-0000-0100-00006D050000}"/>
    <hyperlink ref="P484" r:id="rId1391" xr:uid="{00000000-0004-0000-0100-00006E050000}"/>
    <hyperlink ref="Q484" r:id="rId1392" xr:uid="{00000000-0004-0000-0100-00006F050000}"/>
    <hyperlink ref="O485" r:id="rId1393" xr:uid="{00000000-0004-0000-0100-000070050000}"/>
    <hyperlink ref="P485" r:id="rId1394" xr:uid="{00000000-0004-0000-0100-000071050000}"/>
    <hyperlink ref="O486" r:id="rId1395" xr:uid="{00000000-0004-0000-0100-000072050000}"/>
    <hyperlink ref="P486" r:id="rId1396" xr:uid="{00000000-0004-0000-0100-000073050000}"/>
    <hyperlink ref="Q486" r:id="rId1397" xr:uid="{00000000-0004-0000-0100-000074050000}"/>
    <hyperlink ref="O487" r:id="rId1398" xr:uid="{00000000-0004-0000-0100-000075050000}"/>
    <hyperlink ref="P487" r:id="rId1399" xr:uid="{00000000-0004-0000-0100-000076050000}"/>
    <hyperlink ref="Q487" r:id="rId1400" xr:uid="{00000000-0004-0000-0100-000077050000}"/>
    <hyperlink ref="O488" r:id="rId1401" xr:uid="{00000000-0004-0000-0100-000078050000}"/>
    <hyperlink ref="P488" r:id="rId1402" xr:uid="{00000000-0004-0000-0100-000079050000}"/>
    <hyperlink ref="Q488" r:id="rId1403" xr:uid="{00000000-0004-0000-0100-00007A050000}"/>
    <hyperlink ref="O489" r:id="rId1404" xr:uid="{00000000-0004-0000-0100-00007B050000}"/>
    <hyperlink ref="P489" r:id="rId1405" xr:uid="{00000000-0004-0000-0100-00007C050000}"/>
    <hyperlink ref="O490" r:id="rId1406" xr:uid="{00000000-0004-0000-0100-00007D050000}"/>
    <hyperlink ref="P490" r:id="rId1407" xr:uid="{00000000-0004-0000-0100-00007E050000}"/>
    <hyperlink ref="Q490" r:id="rId1408" xr:uid="{00000000-0004-0000-0100-00007F050000}"/>
    <hyperlink ref="O491" r:id="rId1409" xr:uid="{00000000-0004-0000-0100-000080050000}"/>
    <hyperlink ref="P491" r:id="rId1410" xr:uid="{00000000-0004-0000-0100-000081050000}"/>
    <hyperlink ref="Q491" r:id="rId1411" xr:uid="{00000000-0004-0000-0100-000082050000}"/>
    <hyperlink ref="O492" r:id="rId1412" xr:uid="{00000000-0004-0000-0100-000083050000}"/>
    <hyperlink ref="P492" r:id="rId1413" xr:uid="{00000000-0004-0000-0100-000084050000}"/>
    <hyperlink ref="Q492" r:id="rId1414" xr:uid="{00000000-0004-0000-0100-000085050000}"/>
    <hyperlink ref="O493" r:id="rId1415" xr:uid="{00000000-0004-0000-0100-000086050000}"/>
    <hyperlink ref="P493" r:id="rId1416" xr:uid="{00000000-0004-0000-0100-000087050000}"/>
    <hyperlink ref="Q493" r:id="rId1417" xr:uid="{00000000-0004-0000-0100-000088050000}"/>
    <hyperlink ref="O494" r:id="rId1418" xr:uid="{00000000-0004-0000-0100-000089050000}"/>
    <hyperlink ref="P494" r:id="rId1419" xr:uid="{00000000-0004-0000-0100-00008A050000}"/>
    <hyperlink ref="Q494" r:id="rId1420" xr:uid="{00000000-0004-0000-0100-00008B050000}"/>
    <hyperlink ref="O495" r:id="rId1421" xr:uid="{00000000-0004-0000-0100-00008C050000}"/>
    <hyperlink ref="Q495" r:id="rId1422" xr:uid="{00000000-0004-0000-0100-00008D050000}"/>
    <hyperlink ref="O496" r:id="rId1423" xr:uid="{00000000-0004-0000-0100-00008E050000}"/>
    <hyperlink ref="P496" r:id="rId1424" xr:uid="{00000000-0004-0000-0100-00008F050000}"/>
    <hyperlink ref="Q496" r:id="rId1425" xr:uid="{00000000-0004-0000-0100-000090050000}"/>
    <hyperlink ref="O497" r:id="rId1426" xr:uid="{00000000-0004-0000-0100-000091050000}"/>
    <hyperlink ref="P497" r:id="rId1427" xr:uid="{00000000-0004-0000-0100-000092050000}"/>
    <hyperlink ref="O498" r:id="rId1428" xr:uid="{00000000-0004-0000-0100-000093050000}"/>
    <hyperlink ref="P498" r:id="rId1429" xr:uid="{00000000-0004-0000-0100-000094050000}"/>
    <hyperlink ref="Q498" r:id="rId1430" xr:uid="{00000000-0004-0000-0100-000095050000}"/>
    <hyperlink ref="O499" r:id="rId1431" xr:uid="{00000000-0004-0000-0100-000096050000}"/>
    <hyperlink ref="P499" r:id="rId1432" xr:uid="{00000000-0004-0000-0100-000097050000}"/>
    <hyperlink ref="Q499" r:id="rId1433" xr:uid="{00000000-0004-0000-0100-000098050000}"/>
    <hyperlink ref="O500" r:id="rId1434" xr:uid="{00000000-0004-0000-0100-000099050000}"/>
    <hyperlink ref="P500" r:id="rId1435" xr:uid="{00000000-0004-0000-0100-00009A050000}"/>
    <hyperlink ref="Q500" r:id="rId1436" xr:uid="{00000000-0004-0000-0100-00009B050000}"/>
    <hyperlink ref="O501" r:id="rId1437" xr:uid="{00000000-0004-0000-0100-00009C050000}"/>
    <hyperlink ref="P501" r:id="rId1438" xr:uid="{00000000-0004-0000-0100-00009D050000}"/>
    <hyperlink ref="Q501" r:id="rId1439" xr:uid="{00000000-0004-0000-0100-00009E050000}"/>
    <hyperlink ref="O502" r:id="rId1440" xr:uid="{00000000-0004-0000-0100-00009F050000}"/>
    <hyperlink ref="P502" r:id="rId1441" xr:uid="{00000000-0004-0000-0100-0000A0050000}"/>
    <hyperlink ref="Q502" r:id="rId1442" xr:uid="{00000000-0004-0000-0100-0000A1050000}"/>
    <hyperlink ref="O503" r:id="rId1443" xr:uid="{00000000-0004-0000-0100-0000A2050000}"/>
    <hyperlink ref="P503" r:id="rId1444" xr:uid="{00000000-0004-0000-0100-0000A3050000}"/>
    <hyperlink ref="Q503" r:id="rId1445" xr:uid="{00000000-0004-0000-0100-0000A4050000}"/>
    <hyperlink ref="O504" r:id="rId1446" xr:uid="{00000000-0004-0000-0100-0000A5050000}"/>
    <hyperlink ref="P504" r:id="rId1447" xr:uid="{00000000-0004-0000-0100-0000A6050000}"/>
    <hyperlink ref="Q504" r:id="rId1448" xr:uid="{00000000-0004-0000-0100-0000A7050000}"/>
    <hyperlink ref="O505" r:id="rId1449" xr:uid="{00000000-0004-0000-0100-0000A8050000}"/>
    <hyperlink ref="P505" r:id="rId1450" xr:uid="{00000000-0004-0000-0100-0000A9050000}"/>
    <hyperlink ref="Q505" r:id="rId1451" xr:uid="{00000000-0004-0000-0100-0000AA050000}"/>
    <hyperlink ref="O506" r:id="rId1452" xr:uid="{00000000-0004-0000-0100-0000AB050000}"/>
    <hyperlink ref="P506" r:id="rId1453" xr:uid="{00000000-0004-0000-0100-0000AC050000}"/>
    <hyperlink ref="Q506" r:id="rId1454" xr:uid="{00000000-0004-0000-0100-0000AD050000}"/>
    <hyperlink ref="O507" r:id="rId1455" xr:uid="{00000000-0004-0000-0100-0000AE050000}"/>
    <hyperlink ref="P507" r:id="rId1456" xr:uid="{00000000-0004-0000-0100-0000AF050000}"/>
    <hyperlink ref="Q507" r:id="rId1457" xr:uid="{00000000-0004-0000-0100-0000B0050000}"/>
    <hyperlink ref="O508" r:id="rId1458" xr:uid="{00000000-0004-0000-0100-0000B1050000}"/>
    <hyperlink ref="P508" r:id="rId1459" xr:uid="{00000000-0004-0000-0100-0000B2050000}"/>
    <hyperlink ref="Q508" r:id="rId1460" xr:uid="{00000000-0004-0000-0100-0000B3050000}"/>
    <hyperlink ref="O509" r:id="rId1461" xr:uid="{00000000-0004-0000-0100-0000B4050000}"/>
    <hyperlink ref="P509" r:id="rId1462" xr:uid="{00000000-0004-0000-0100-0000B5050000}"/>
    <hyperlink ref="Q509" r:id="rId1463" xr:uid="{00000000-0004-0000-0100-0000B6050000}"/>
    <hyperlink ref="O510" r:id="rId1464" xr:uid="{00000000-0004-0000-0100-0000B7050000}"/>
    <hyperlink ref="P510" r:id="rId1465" xr:uid="{00000000-0004-0000-0100-0000B8050000}"/>
    <hyperlink ref="Q510" r:id="rId1466" xr:uid="{00000000-0004-0000-0100-0000B9050000}"/>
    <hyperlink ref="O511" r:id="rId1467" xr:uid="{00000000-0004-0000-0100-0000BA050000}"/>
    <hyperlink ref="P511" r:id="rId1468" xr:uid="{00000000-0004-0000-0100-0000BB050000}"/>
    <hyperlink ref="Q511" r:id="rId1469" xr:uid="{00000000-0004-0000-0100-0000BC050000}"/>
    <hyperlink ref="O512" r:id="rId1470" xr:uid="{00000000-0004-0000-0100-0000BD050000}"/>
    <hyperlink ref="P512" r:id="rId1471" xr:uid="{00000000-0004-0000-0100-0000BE050000}"/>
    <hyperlink ref="Q512" r:id="rId1472" xr:uid="{00000000-0004-0000-0100-0000BF050000}"/>
    <hyperlink ref="O513" r:id="rId1473" xr:uid="{00000000-0004-0000-0100-0000C0050000}"/>
    <hyperlink ref="P513" r:id="rId1474" xr:uid="{00000000-0004-0000-0100-0000C1050000}"/>
    <hyperlink ref="Q513" r:id="rId1475" xr:uid="{00000000-0004-0000-0100-0000C2050000}"/>
    <hyperlink ref="O514" r:id="rId1476" xr:uid="{00000000-0004-0000-0100-0000C3050000}"/>
    <hyperlink ref="P514" r:id="rId1477" xr:uid="{00000000-0004-0000-0100-0000C4050000}"/>
    <hyperlink ref="Q514" r:id="rId1478" xr:uid="{00000000-0004-0000-0100-0000C5050000}"/>
    <hyperlink ref="O515" r:id="rId1479" xr:uid="{00000000-0004-0000-0100-0000C6050000}"/>
    <hyperlink ref="P515" r:id="rId1480" xr:uid="{00000000-0004-0000-0100-0000C7050000}"/>
    <hyperlink ref="Q515" r:id="rId1481" xr:uid="{00000000-0004-0000-0100-0000C8050000}"/>
    <hyperlink ref="O516" r:id="rId1482" xr:uid="{00000000-0004-0000-0100-0000C9050000}"/>
    <hyperlink ref="P516" r:id="rId1483" xr:uid="{00000000-0004-0000-0100-0000CA050000}"/>
    <hyperlink ref="Q516" r:id="rId1484" xr:uid="{00000000-0004-0000-0100-0000CB050000}"/>
    <hyperlink ref="O517" r:id="rId1485" xr:uid="{00000000-0004-0000-0100-0000CC050000}"/>
    <hyperlink ref="P517" r:id="rId1486" xr:uid="{00000000-0004-0000-0100-0000CD050000}"/>
    <hyperlink ref="Q517" r:id="rId1487" xr:uid="{00000000-0004-0000-0100-0000CE050000}"/>
    <hyperlink ref="O518" r:id="rId1488" xr:uid="{00000000-0004-0000-0100-0000CF050000}"/>
    <hyperlink ref="P518" r:id="rId1489" xr:uid="{00000000-0004-0000-0100-0000D0050000}"/>
    <hyperlink ref="Q518" r:id="rId1490" xr:uid="{00000000-0004-0000-0100-0000D1050000}"/>
    <hyperlink ref="O519" r:id="rId1491" xr:uid="{00000000-0004-0000-0100-0000D2050000}"/>
    <hyperlink ref="P519" r:id="rId1492" xr:uid="{00000000-0004-0000-0100-0000D3050000}"/>
    <hyperlink ref="Q519" r:id="rId1493" xr:uid="{00000000-0004-0000-0100-0000D4050000}"/>
    <hyperlink ref="O520" r:id="rId1494" xr:uid="{00000000-0004-0000-0100-0000D5050000}"/>
    <hyperlink ref="Q520" r:id="rId1495" xr:uid="{00000000-0004-0000-0100-0000D6050000}"/>
    <hyperlink ref="O521" r:id="rId1496" xr:uid="{00000000-0004-0000-0100-0000D7050000}"/>
    <hyperlink ref="P521" r:id="rId1497" xr:uid="{00000000-0004-0000-0100-0000D8050000}"/>
    <hyperlink ref="Q521" r:id="rId1498" xr:uid="{00000000-0004-0000-0100-0000D9050000}"/>
    <hyperlink ref="O522" r:id="rId1499" xr:uid="{00000000-0004-0000-0100-0000DA050000}"/>
    <hyperlink ref="P522" r:id="rId1500" xr:uid="{00000000-0004-0000-0100-0000DB050000}"/>
    <hyperlink ref="Q522" r:id="rId1501" xr:uid="{00000000-0004-0000-0100-0000DC050000}"/>
    <hyperlink ref="O523" r:id="rId1502" xr:uid="{00000000-0004-0000-0100-0000DD050000}"/>
    <hyperlink ref="P523" r:id="rId1503" xr:uid="{00000000-0004-0000-0100-0000DE050000}"/>
    <hyperlink ref="Q523" r:id="rId1504" xr:uid="{00000000-0004-0000-0100-0000DF050000}"/>
    <hyperlink ref="O524" r:id="rId1505" xr:uid="{00000000-0004-0000-0100-0000E0050000}"/>
    <hyperlink ref="P524" r:id="rId1506" xr:uid="{00000000-0004-0000-0100-0000E1050000}"/>
    <hyperlink ref="Q524" r:id="rId1507" xr:uid="{00000000-0004-0000-0100-0000E2050000}"/>
    <hyperlink ref="O525" r:id="rId1508" xr:uid="{00000000-0004-0000-0100-0000E3050000}"/>
    <hyperlink ref="P525" r:id="rId1509" xr:uid="{00000000-0004-0000-0100-0000E4050000}"/>
    <hyperlink ref="Q525" r:id="rId1510" xr:uid="{00000000-0004-0000-0100-0000E5050000}"/>
    <hyperlink ref="O526" r:id="rId1511" xr:uid="{00000000-0004-0000-0100-0000E6050000}"/>
    <hyperlink ref="P526" r:id="rId1512" xr:uid="{00000000-0004-0000-0100-0000E7050000}"/>
    <hyperlink ref="Q526" r:id="rId1513" xr:uid="{00000000-0004-0000-0100-0000E8050000}"/>
    <hyperlink ref="O527" r:id="rId1514" xr:uid="{00000000-0004-0000-0100-0000E9050000}"/>
    <hyperlink ref="P527" r:id="rId1515" xr:uid="{00000000-0004-0000-0100-0000EA050000}"/>
    <hyperlink ref="Q527" r:id="rId1516" xr:uid="{00000000-0004-0000-0100-0000EB050000}"/>
    <hyperlink ref="O528" r:id="rId1517" xr:uid="{00000000-0004-0000-0100-0000EC050000}"/>
    <hyperlink ref="P528" r:id="rId1518" xr:uid="{00000000-0004-0000-0100-0000ED050000}"/>
    <hyperlink ref="Q528" r:id="rId1519" xr:uid="{00000000-0004-0000-0100-0000EE050000}"/>
    <hyperlink ref="O529" r:id="rId1520" xr:uid="{00000000-0004-0000-0100-0000EF050000}"/>
    <hyperlink ref="P529" r:id="rId1521" xr:uid="{00000000-0004-0000-0100-0000F0050000}"/>
    <hyperlink ref="Q529" r:id="rId1522" xr:uid="{00000000-0004-0000-0100-0000F1050000}"/>
    <hyperlink ref="O530" r:id="rId1523" xr:uid="{00000000-0004-0000-0100-0000F2050000}"/>
    <hyperlink ref="P530" r:id="rId1524" xr:uid="{00000000-0004-0000-0100-0000F3050000}"/>
    <hyperlink ref="Q530" r:id="rId1525" xr:uid="{00000000-0004-0000-0100-0000F4050000}"/>
    <hyperlink ref="O531" r:id="rId1526" xr:uid="{00000000-0004-0000-0100-0000F5050000}"/>
    <hyperlink ref="P531" r:id="rId1527" xr:uid="{00000000-0004-0000-0100-0000F6050000}"/>
    <hyperlink ref="Q531" r:id="rId1528" xr:uid="{00000000-0004-0000-0100-0000F7050000}"/>
    <hyperlink ref="O532" r:id="rId1529" xr:uid="{00000000-0004-0000-0100-0000F8050000}"/>
    <hyperlink ref="P532" r:id="rId1530" xr:uid="{00000000-0004-0000-0100-0000F9050000}"/>
    <hyperlink ref="Q532" r:id="rId1531" xr:uid="{00000000-0004-0000-0100-0000FA050000}"/>
    <hyperlink ref="O533" r:id="rId1532" xr:uid="{00000000-0004-0000-0100-0000FB050000}"/>
    <hyperlink ref="P533" r:id="rId1533" xr:uid="{00000000-0004-0000-0100-0000FC050000}"/>
    <hyperlink ref="Q533" r:id="rId1534" xr:uid="{00000000-0004-0000-0100-0000FD050000}"/>
    <hyperlink ref="O534" r:id="rId1535" xr:uid="{00000000-0004-0000-0100-0000FE050000}"/>
    <hyperlink ref="P534" r:id="rId1536" xr:uid="{00000000-0004-0000-0100-0000FF050000}"/>
    <hyperlink ref="Q534" r:id="rId1537" xr:uid="{00000000-0004-0000-0100-000000060000}"/>
    <hyperlink ref="O535" r:id="rId1538" xr:uid="{00000000-0004-0000-0100-000001060000}"/>
    <hyperlink ref="P535" r:id="rId1539" xr:uid="{00000000-0004-0000-0100-000002060000}"/>
    <hyperlink ref="Q535" r:id="rId1540" xr:uid="{00000000-0004-0000-0100-000003060000}"/>
    <hyperlink ref="O536" r:id="rId1541" xr:uid="{00000000-0004-0000-0100-000004060000}"/>
    <hyperlink ref="P536" r:id="rId1542" xr:uid="{00000000-0004-0000-0100-000005060000}"/>
    <hyperlink ref="Q536" r:id="rId1543" xr:uid="{00000000-0004-0000-0100-000006060000}"/>
    <hyperlink ref="O537" r:id="rId1544" xr:uid="{00000000-0004-0000-0100-000007060000}"/>
    <hyperlink ref="P537" r:id="rId1545" xr:uid="{00000000-0004-0000-0100-000008060000}"/>
    <hyperlink ref="Q537" r:id="rId1546" xr:uid="{00000000-0004-0000-0100-000009060000}"/>
    <hyperlink ref="O538" r:id="rId1547" xr:uid="{00000000-0004-0000-0100-00000A060000}"/>
    <hyperlink ref="P538" r:id="rId1548" xr:uid="{00000000-0004-0000-0100-00000B060000}"/>
    <hyperlink ref="Q538" r:id="rId1549" xr:uid="{00000000-0004-0000-0100-00000C060000}"/>
    <hyperlink ref="O539" r:id="rId1550" xr:uid="{00000000-0004-0000-0100-00000D060000}"/>
    <hyperlink ref="P539" r:id="rId1551" xr:uid="{00000000-0004-0000-0100-00000E060000}"/>
    <hyperlink ref="O540" r:id="rId1552" xr:uid="{00000000-0004-0000-0100-00000F060000}"/>
    <hyperlink ref="P540" r:id="rId1553" xr:uid="{00000000-0004-0000-0100-000010060000}"/>
    <hyperlink ref="Q540" r:id="rId1554" xr:uid="{00000000-0004-0000-0100-000011060000}"/>
    <hyperlink ref="O541" r:id="rId1555" xr:uid="{00000000-0004-0000-0100-000012060000}"/>
    <hyperlink ref="P541" r:id="rId1556" xr:uid="{00000000-0004-0000-0100-000013060000}"/>
    <hyperlink ref="O542" r:id="rId1557" xr:uid="{00000000-0004-0000-0100-000014060000}"/>
    <hyperlink ref="P542" r:id="rId1558" xr:uid="{00000000-0004-0000-0100-000015060000}"/>
    <hyperlink ref="Q542" r:id="rId1559" xr:uid="{00000000-0004-0000-0100-000016060000}"/>
    <hyperlink ref="O543" r:id="rId1560" xr:uid="{00000000-0004-0000-0100-000017060000}"/>
    <hyperlink ref="P543" r:id="rId1561" xr:uid="{00000000-0004-0000-0100-000018060000}"/>
    <hyperlink ref="Q543" r:id="rId1562" xr:uid="{00000000-0004-0000-0100-000019060000}"/>
    <hyperlink ref="O544" r:id="rId1563" xr:uid="{00000000-0004-0000-0100-00001A060000}"/>
    <hyperlink ref="P544" r:id="rId1564" xr:uid="{00000000-0004-0000-0100-00001B060000}"/>
    <hyperlink ref="Q544" r:id="rId1565" xr:uid="{00000000-0004-0000-0100-00001C060000}"/>
    <hyperlink ref="O545" r:id="rId1566" xr:uid="{00000000-0004-0000-0100-00001D060000}"/>
    <hyperlink ref="P545" r:id="rId1567" xr:uid="{00000000-0004-0000-0100-00001E060000}"/>
    <hyperlink ref="O546" r:id="rId1568" xr:uid="{00000000-0004-0000-0100-00001F060000}"/>
    <hyperlink ref="P546" r:id="rId1569" xr:uid="{00000000-0004-0000-0100-000020060000}"/>
    <hyperlink ref="Q546" r:id="rId1570" xr:uid="{00000000-0004-0000-0100-000021060000}"/>
    <hyperlink ref="O547" r:id="rId1571" xr:uid="{00000000-0004-0000-0100-000022060000}"/>
    <hyperlink ref="P547" r:id="rId1572" xr:uid="{00000000-0004-0000-0100-000023060000}"/>
    <hyperlink ref="Q547" r:id="rId1573" xr:uid="{00000000-0004-0000-0100-000024060000}"/>
    <hyperlink ref="O548" r:id="rId1574" xr:uid="{00000000-0004-0000-0100-000025060000}"/>
    <hyperlink ref="P548" r:id="rId1575" xr:uid="{00000000-0004-0000-0100-000026060000}"/>
    <hyperlink ref="O549" r:id="rId1576" xr:uid="{00000000-0004-0000-0100-000027060000}"/>
    <hyperlink ref="P549" r:id="rId1577" xr:uid="{00000000-0004-0000-0100-000028060000}"/>
    <hyperlink ref="Q549" r:id="rId1578" xr:uid="{00000000-0004-0000-0100-000029060000}"/>
    <hyperlink ref="O550" r:id="rId1579" xr:uid="{00000000-0004-0000-0100-00002A060000}"/>
    <hyperlink ref="P550" r:id="rId1580" xr:uid="{00000000-0004-0000-0100-00002B060000}"/>
    <hyperlink ref="Q550" r:id="rId1581" xr:uid="{00000000-0004-0000-0100-00002C060000}"/>
    <hyperlink ref="O551" r:id="rId1582" xr:uid="{00000000-0004-0000-0100-00002D060000}"/>
    <hyperlink ref="P551" r:id="rId1583" xr:uid="{00000000-0004-0000-0100-00002E060000}"/>
    <hyperlink ref="Q551" r:id="rId1584" xr:uid="{00000000-0004-0000-0100-00002F060000}"/>
    <hyperlink ref="O552" r:id="rId1585" xr:uid="{00000000-0004-0000-0100-000030060000}"/>
    <hyperlink ref="P552" r:id="rId1586" xr:uid="{00000000-0004-0000-0100-000031060000}"/>
    <hyperlink ref="Q552" r:id="rId1587" xr:uid="{00000000-0004-0000-0100-000032060000}"/>
    <hyperlink ref="O553" r:id="rId1588" xr:uid="{00000000-0004-0000-0100-000033060000}"/>
    <hyperlink ref="Q553" r:id="rId1589" xr:uid="{00000000-0004-0000-0100-000034060000}"/>
    <hyperlink ref="O554" r:id="rId1590" xr:uid="{00000000-0004-0000-0100-000035060000}"/>
    <hyperlink ref="P554" r:id="rId1591" xr:uid="{00000000-0004-0000-0100-000036060000}"/>
    <hyperlink ref="Q554" r:id="rId1592" xr:uid="{00000000-0004-0000-0100-000037060000}"/>
    <hyperlink ref="O555" r:id="rId1593" xr:uid="{00000000-0004-0000-0100-000038060000}"/>
    <hyperlink ref="P555" r:id="rId1594" xr:uid="{00000000-0004-0000-0100-000039060000}"/>
    <hyperlink ref="O556" r:id="rId1595" xr:uid="{00000000-0004-0000-0100-00003A060000}"/>
    <hyperlink ref="P556" r:id="rId1596" xr:uid="{00000000-0004-0000-0100-00003B060000}"/>
    <hyperlink ref="Q556" r:id="rId1597" xr:uid="{00000000-0004-0000-0100-00003C060000}"/>
    <hyperlink ref="O557" r:id="rId1598" xr:uid="{00000000-0004-0000-0100-00003D060000}"/>
    <hyperlink ref="P557" r:id="rId1599" xr:uid="{00000000-0004-0000-0100-00003E060000}"/>
    <hyperlink ref="Q557" r:id="rId1600" xr:uid="{00000000-0004-0000-0100-00003F060000}"/>
    <hyperlink ref="O558" r:id="rId1601" xr:uid="{00000000-0004-0000-0100-000040060000}"/>
    <hyperlink ref="P558" r:id="rId1602" xr:uid="{00000000-0004-0000-0100-000041060000}"/>
    <hyperlink ref="O559" r:id="rId1603" xr:uid="{00000000-0004-0000-0100-000042060000}"/>
    <hyperlink ref="P559" r:id="rId1604" xr:uid="{00000000-0004-0000-0100-000043060000}"/>
    <hyperlink ref="O560" r:id="rId1605" xr:uid="{00000000-0004-0000-0100-000044060000}"/>
    <hyperlink ref="P560" r:id="rId1606" xr:uid="{00000000-0004-0000-0100-000045060000}"/>
    <hyperlink ref="Q560" r:id="rId1607" xr:uid="{00000000-0004-0000-0100-000046060000}"/>
    <hyperlink ref="O561" r:id="rId1608" xr:uid="{00000000-0004-0000-0100-000047060000}"/>
    <hyperlink ref="P561" r:id="rId1609" xr:uid="{00000000-0004-0000-0100-000048060000}"/>
    <hyperlink ref="Q561" r:id="rId1610" xr:uid="{00000000-0004-0000-0100-000049060000}"/>
    <hyperlink ref="O562" r:id="rId1611" xr:uid="{00000000-0004-0000-0100-00004A060000}"/>
    <hyperlink ref="P562" r:id="rId1612" xr:uid="{00000000-0004-0000-0100-00004B060000}"/>
    <hyperlink ref="Q562" r:id="rId1613" xr:uid="{00000000-0004-0000-0100-00004C060000}"/>
    <hyperlink ref="O563" r:id="rId1614" xr:uid="{00000000-0004-0000-0100-00004D060000}"/>
    <hyperlink ref="P563" r:id="rId1615" xr:uid="{00000000-0004-0000-0100-00004E060000}"/>
    <hyperlink ref="Q563" r:id="rId1616" xr:uid="{00000000-0004-0000-0100-00004F060000}"/>
    <hyperlink ref="O564" r:id="rId1617" xr:uid="{00000000-0004-0000-0100-000050060000}"/>
    <hyperlink ref="P564" r:id="rId1618" xr:uid="{00000000-0004-0000-0100-000051060000}"/>
    <hyperlink ref="Q564" r:id="rId1619" xr:uid="{00000000-0004-0000-0100-000052060000}"/>
    <hyperlink ref="O565" r:id="rId1620" xr:uid="{00000000-0004-0000-0100-000053060000}"/>
    <hyperlink ref="Q565" r:id="rId1621" xr:uid="{00000000-0004-0000-0100-000054060000}"/>
    <hyperlink ref="O566" r:id="rId1622" xr:uid="{00000000-0004-0000-0100-000055060000}"/>
    <hyperlink ref="P566" r:id="rId1623" xr:uid="{00000000-0004-0000-0100-000056060000}"/>
    <hyperlink ref="Q566" r:id="rId1624" xr:uid="{00000000-0004-0000-0100-000057060000}"/>
    <hyperlink ref="O567" r:id="rId1625" xr:uid="{00000000-0004-0000-0100-000058060000}"/>
    <hyperlink ref="P567" r:id="rId1626" xr:uid="{00000000-0004-0000-0100-000059060000}"/>
    <hyperlink ref="Q567" r:id="rId1627" xr:uid="{00000000-0004-0000-0100-00005A060000}"/>
    <hyperlink ref="O568" r:id="rId1628" xr:uid="{00000000-0004-0000-0100-00005B060000}"/>
    <hyperlink ref="P568" r:id="rId1629" xr:uid="{00000000-0004-0000-0100-00005C060000}"/>
    <hyperlink ref="Q568" r:id="rId1630" xr:uid="{00000000-0004-0000-0100-00005D060000}"/>
    <hyperlink ref="O569" r:id="rId1631" xr:uid="{00000000-0004-0000-0100-00005E060000}"/>
    <hyperlink ref="Q569" r:id="rId1632" xr:uid="{00000000-0004-0000-0100-00005F060000}"/>
    <hyperlink ref="O570" r:id="rId1633" xr:uid="{00000000-0004-0000-0100-000060060000}"/>
    <hyperlink ref="P570" r:id="rId1634" xr:uid="{00000000-0004-0000-0100-000061060000}"/>
    <hyperlink ref="Q570" r:id="rId1635" xr:uid="{00000000-0004-0000-0100-000062060000}"/>
    <hyperlink ref="O571" r:id="rId1636" xr:uid="{00000000-0004-0000-0100-000063060000}"/>
    <hyperlink ref="P571" r:id="rId1637" xr:uid="{00000000-0004-0000-0100-000064060000}"/>
    <hyperlink ref="Q571" r:id="rId1638" xr:uid="{00000000-0004-0000-0100-000065060000}"/>
    <hyperlink ref="O572" r:id="rId1639" xr:uid="{00000000-0004-0000-0100-000066060000}"/>
    <hyperlink ref="P572" r:id="rId1640" xr:uid="{00000000-0004-0000-0100-000067060000}"/>
    <hyperlink ref="Q572" r:id="rId1641" xr:uid="{00000000-0004-0000-0100-000068060000}"/>
    <hyperlink ref="O573" r:id="rId1642" xr:uid="{00000000-0004-0000-0100-000069060000}"/>
    <hyperlink ref="P573" r:id="rId1643" xr:uid="{00000000-0004-0000-0100-00006A060000}"/>
    <hyperlink ref="Q573" r:id="rId1644" xr:uid="{00000000-0004-0000-0100-00006B060000}"/>
    <hyperlink ref="O574" r:id="rId1645" xr:uid="{00000000-0004-0000-0100-00006C060000}"/>
    <hyperlink ref="P574" r:id="rId1646" xr:uid="{00000000-0004-0000-0100-00006D060000}"/>
    <hyperlink ref="Q574" r:id="rId1647" xr:uid="{00000000-0004-0000-0100-00006E060000}"/>
    <hyperlink ref="O575" r:id="rId1648" xr:uid="{00000000-0004-0000-0100-00006F060000}"/>
    <hyperlink ref="P575" r:id="rId1649" xr:uid="{00000000-0004-0000-0100-000070060000}"/>
    <hyperlink ref="Q575" r:id="rId1650" xr:uid="{00000000-0004-0000-0100-000071060000}"/>
    <hyperlink ref="O576" r:id="rId1651" xr:uid="{00000000-0004-0000-0100-000072060000}"/>
    <hyperlink ref="P576" r:id="rId1652" xr:uid="{00000000-0004-0000-0100-000073060000}"/>
    <hyperlink ref="Q576" r:id="rId1653" xr:uid="{00000000-0004-0000-0100-000074060000}"/>
    <hyperlink ref="O577" r:id="rId1654" xr:uid="{00000000-0004-0000-0100-000075060000}"/>
    <hyperlink ref="P577" r:id="rId1655" xr:uid="{00000000-0004-0000-0100-000076060000}"/>
    <hyperlink ref="Q577" r:id="rId1656" xr:uid="{00000000-0004-0000-0100-000077060000}"/>
    <hyperlink ref="O578" r:id="rId1657" xr:uid="{00000000-0004-0000-0100-000078060000}"/>
    <hyperlink ref="P578" r:id="rId1658" xr:uid="{00000000-0004-0000-0100-000079060000}"/>
    <hyperlink ref="Q578" r:id="rId1659" xr:uid="{00000000-0004-0000-0100-00007A060000}"/>
    <hyperlink ref="O579" r:id="rId1660" xr:uid="{00000000-0004-0000-0100-00007B060000}"/>
    <hyperlink ref="P579" r:id="rId1661" xr:uid="{00000000-0004-0000-0100-00007C060000}"/>
    <hyperlink ref="Q579" r:id="rId1662" xr:uid="{00000000-0004-0000-0100-00007D060000}"/>
    <hyperlink ref="O580" r:id="rId1663" xr:uid="{00000000-0004-0000-0100-00007E060000}"/>
    <hyperlink ref="P580" r:id="rId1664" xr:uid="{00000000-0004-0000-0100-00007F060000}"/>
    <hyperlink ref="Q580" r:id="rId1665" xr:uid="{00000000-0004-0000-0100-000080060000}"/>
    <hyperlink ref="O581" r:id="rId1666" xr:uid="{00000000-0004-0000-0100-000081060000}"/>
    <hyperlink ref="P581" r:id="rId1667" xr:uid="{00000000-0004-0000-0100-000082060000}"/>
    <hyperlink ref="Q581" r:id="rId1668" xr:uid="{00000000-0004-0000-0100-000083060000}"/>
    <hyperlink ref="O582" r:id="rId1669" xr:uid="{00000000-0004-0000-0100-000084060000}"/>
    <hyperlink ref="Q582" r:id="rId1670" xr:uid="{00000000-0004-0000-0100-000085060000}"/>
    <hyperlink ref="O583" r:id="rId1671" xr:uid="{00000000-0004-0000-0100-000086060000}"/>
    <hyperlink ref="P583" r:id="rId1672" xr:uid="{00000000-0004-0000-0100-000087060000}"/>
    <hyperlink ref="Q583" r:id="rId1673" xr:uid="{00000000-0004-0000-0100-000088060000}"/>
    <hyperlink ref="O584" r:id="rId1674" xr:uid="{00000000-0004-0000-0100-000089060000}"/>
    <hyperlink ref="P584" r:id="rId1675" xr:uid="{00000000-0004-0000-0100-00008A060000}"/>
    <hyperlink ref="Q584" r:id="rId1676" xr:uid="{00000000-0004-0000-0100-00008B060000}"/>
    <hyperlink ref="O585" r:id="rId1677" xr:uid="{00000000-0004-0000-0100-00008C060000}"/>
    <hyperlink ref="P585" r:id="rId1678" xr:uid="{00000000-0004-0000-0100-00008D060000}"/>
    <hyperlink ref="Q585" r:id="rId1679" xr:uid="{00000000-0004-0000-0100-00008E060000}"/>
    <hyperlink ref="O586" r:id="rId1680" xr:uid="{00000000-0004-0000-0100-00008F060000}"/>
    <hyperlink ref="P586" r:id="rId1681" xr:uid="{00000000-0004-0000-0100-000090060000}"/>
    <hyperlink ref="Q586" r:id="rId1682" xr:uid="{00000000-0004-0000-0100-000091060000}"/>
    <hyperlink ref="O587" r:id="rId1683" xr:uid="{00000000-0004-0000-0100-000092060000}"/>
    <hyperlink ref="P587" r:id="rId1684" xr:uid="{00000000-0004-0000-0100-000093060000}"/>
    <hyperlink ref="Q587" r:id="rId1685" xr:uid="{00000000-0004-0000-0100-000094060000}"/>
    <hyperlink ref="O588" r:id="rId1686" xr:uid="{00000000-0004-0000-0100-000095060000}"/>
    <hyperlink ref="P588" r:id="rId1687" xr:uid="{00000000-0004-0000-0100-000096060000}"/>
    <hyperlink ref="Q588" r:id="rId1688" xr:uid="{00000000-0004-0000-0100-000097060000}"/>
    <hyperlink ref="O589" r:id="rId1689" xr:uid="{00000000-0004-0000-0100-000098060000}"/>
    <hyperlink ref="P589" r:id="rId1690" xr:uid="{00000000-0004-0000-0100-000099060000}"/>
    <hyperlink ref="Q589" r:id="rId1691" xr:uid="{00000000-0004-0000-0100-00009A060000}"/>
    <hyperlink ref="O590" r:id="rId1692" xr:uid="{00000000-0004-0000-0100-00009B060000}"/>
    <hyperlink ref="P590" r:id="rId1693" xr:uid="{00000000-0004-0000-0100-00009C060000}"/>
    <hyperlink ref="Q590" r:id="rId1694" xr:uid="{00000000-0004-0000-0100-00009D060000}"/>
    <hyperlink ref="O591" r:id="rId1695" xr:uid="{00000000-0004-0000-0100-00009E060000}"/>
    <hyperlink ref="P591" r:id="rId1696" xr:uid="{00000000-0004-0000-0100-00009F060000}"/>
    <hyperlink ref="Q591" r:id="rId1697" xr:uid="{00000000-0004-0000-0100-0000A0060000}"/>
    <hyperlink ref="O592" r:id="rId1698" xr:uid="{00000000-0004-0000-0100-0000A1060000}"/>
    <hyperlink ref="P592" r:id="rId1699" xr:uid="{00000000-0004-0000-0100-0000A2060000}"/>
    <hyperlink ref="Q592" r:id="rId1700" xr:uid="{00000000-0004-0000-0100-0000A3060000}"/>
    <hyperlink ref="O593" r:id="rId1701" xr:uid="{00000000-0004-0000-0100-0000A4060000}"/>
    <hyperlink ref="P593" r:id="rId1702" xr:uid="{00000000-0004-0000-0100-0000A5060000}"/>
    <hyperlink ref="Q593" r:id="rId1703" xr:uid="{00000000-0004-0000-0100-0000A6060000}"/>
    <hyperlink ref="O594" r:id="rId1704" xr:uid="{00000000-0004-0000-0100-0000A7060000}"/>
    <hyperlink ref="P594" r:id="rId1705" xr:uid="{00000000-0004-0000-0100-0000A8060000}"/>
    <hyperlink ref="Q594" r:id="rId1706" xr:uid="{00000000-0004-0000-0100-0000A9060000}"/>
    <hyperlink ref="O595" r:id="rId1707" xr:uid="{00000000-0004-0000-0100-0000AA060000}"/>
    <hyperlink ref="P595" r:id="rId1708" xr:uid="{00000000-0004-0000-0100-0000AB060000}"/>
    <hyperlink ref="Q595" r:id="rId1709" xr:uid="{00000000-0004-0000-0100-0000AC060000}"/>
    <hyperlink ref="O596" r:id="rId1710" xr:uid="{00000000-0004-0000-0100-0000AD060000}"/>
    <hyperlink ref="P596" r:id="rId1711" xr:uid="{00000000-0004-0000-0100-0000AE060000}"/>
    <hyperlink ref="Q596" r:id="rId1712" xr:uid="{00000000-0004-0000-0100-0000AF060000}"/>
    <hyperlink ref="O597" r:id="rId1713" xr:uid="{00000000-0004-0000-0100-0000B0060000}"/>
    <hyperlink ref="P597" r:id="rId1714" xr:uid="{00000000-0004-0000-0100-0000B1060000}"/>
    <hyperlink ref="Q597" r:id="rId1715" xr:uid="{00000000-0004-0000-0100-0000B2060000}"/>
    <hyperlink ref="O598" r:id="rId1716" xr:uid="{00000000-0004-0000-0100-0000B3060000}"/>
    <hyperlink ref="P598" r:id="rId1717" xr:uid="{00000000-0004-0000-0100-0000B4060000}"/>
    <hyperlink ref="Q598" r:id="rId1718" xr:uid="{00000000-0004-0000-0100-0000B5060000}"/>
    <hyperlink ref="O599" r:id="rId1719" xr:uid="{00000000-0004-0000-0100-0000B6060000}"/>
    <hyperlink ref="P599" r:id="rId1720" xr:uid="{00000000-0004-0000-0100-0000B7060000}"/>
    <hyperlink ref="Q599" r:id="rId1721" xr:uid="{00000000-0004-0000-0100-0000B8060000}"/>
    <hyperlink ref="O600" r:id="rId1722" xr:uid="{00000000-0004-0000-0100-0000B9060000}"/>
    <hyperlink ref="P600" r:id="rId1723" xr:uid="{00000000-0004-0000-0100-0000BA060000}"/>
    <hyperlink ref="O601" r:id="rId1724" xr:uid="{00000000-0004-0000-0100-0000BB060000}"/>
    <hyperlink ref="P601" r:id="rId1725" xr:uid="{00000000-0004-0000-0100-0000BC060000}"/>
    <hyperlink ref="O602" r:id="rId1726" xr:uid="{00000000-0004-0000-0100-0000BD060000}"/>
    <hyperlink ref="P602" r:id="rId1727" xr:uid="{00000000-0004-0000-0100-0000BE060000}"/>
    <hyperlink ref="Q602" r:id="rId1728" xr:uid="{00000000-0004-0000-0100-0000BF060000}"/>
    <hyperlink ref="O603" r:id="rId1729" xr:uid="{00000000-0004-0000-0100-0000C0060000}"/>
    <hyperlink ref="P603" r:id="rId1730" xr:uid="{00000000-0004-0000-0100-0000C1060000}"/>
    <hyperlink ref="Q603" r:id="rId1731" xr:uid="{00000000-0004-0000-0100-0000C2060000}"/>
    <hyperlink ref="O604" r:id="rId1732" xr:uid="{00000000-0004-0000-0100-0000C3060000}"/>
    <hyperlink ref="P604" r:id="rId1733" xr:uid="{00000000-0004-0000-0100-0000C4060000}"/>
    <hyperlink ref="Q604" r:id="rId1734" xr:uid="{00000000-0004-0000-0100-0000C5060000}"/>
    <hyperlink ref="O605" r:id="rId1735" xr:uid="{00000000-0004-0000-0100-0000C6060000}"/>
    <hyperlink ref="P605" r:id="rId1736" xr:uid="{00000000-0004-0000-0100-0000C7060000}"/>
    <hyperlink ref="Q605" r:id="rId1737" xr:uid="{00000000-0004-0000-0100-0000C8060000}"/>
    <hyperlink ref="O606" r:id="rId1738" xr:uid="{00000000-0004-0000-0100-0000C9060000}"/>
    <hyperlink ref="P606" r:id="rId1739" xr:uid="{00000000-0004-0000-0100-0000CA060000}"/>
    <hyperlink ref="Q606" r:id="rId1740" xr:uid="{00000000-0004-0000-0100-0000CB060000}"/>
    <hyperlink ref="O607" r:id="rId1741" xr:uid="{00000000-0004-0000-0100-0000CC060000}"/>
    <hyperlink ref="P607" r:id="rId1742" xr:uid="{00000000-0004-0000-0100-0000CD060000}"/>
    <hyperlink ref="Q607" r:id="rId1743" xr:uid="{00000000-0004-0000-0100-0000CE060000}"/>
    <hyperlink ref="O608" r:id="rId1744" xr:uid="{00000000-0004-0000-0100-0000CF060000}"/>
    <hyperlink ref="P608" r:id="rId1745" xr:uid="{00000000-0004-0000-0100-0000D0060000}"/>
    <hyperlink ref="Q608" r:id="rId1746" xr:uid="{00000000-0004-0000-0100-0000D1060000}"/>
    <hyperlink ref="O609" r:id="rId1747" xr:uid="{00000000-0004-0000-0100-0000D2060000}"/>
    <hyperlink ref="P609" r:id="rId1748" xr:uid="{00000000-0004-0000-0100-0000D3060000}"/>
    <hyperlink ref="Q609" r:id="rId1749" xr:uid="{00000000-0004-0000-0100-0000D4060000}"/>
    <hyperlink ref="O610" r:id="rId1750" xr:uid="{00000000-0004-0000-0100-0000D5060000}"/>
    <hyperlink ref="P610" r:id="rId1751" xr:uid="{00000000-0004-0000-0100-0000D6060000}"/>
    <hyperlink ref="Q610" r:id="rId1752" xr:uid="{00000000-0004-0000-0100-0000D7060000}"/>
    <hyperlink ref="O611" r:id="rId1753" xr:uid="{00000000-0004-0000-0100-0000D8060000}"/>
    <hyperlink ref="P611" r:id="rId1754" xr:uid="{00000000-0004-0000-0100-0000D9060000}"/>
    <hyperlink ref="O612" r:id="rId1755" xr:uid="{00000000-0004-0000-0100-0000DA060000}"/>
    <hyperlink ref="P612" r:id="rId1756" xr:uid="{00000000-0004-0000-0100-0000DB060000}"/>
    <hyperlink ref="Q612" r:id="rId1757" xr:uid="{00000000-0004-0000-0100-0000DC060000}"/>
    <hyperlink ref="O613" r:id="rId1758" xr:uid="{00000000-0004-0000-0100-0000DD060000}"/>
    <hyperlink ref="Q613" r:id="rId1759" xr:uid="{00000000-0004-0000-0100-0000DE060000}"/>
    <hyperlink ref="O614" r:id="rId1760" xr:uid="{00000000-0004-0000-0100-0000DF060000}"/>
    <hyperlink ref="P614" r:id="rId1761" xr:uid="{00000000-0004-0000-0100-0000E0060000}"/>
    <hyperlink ref="Q614" r:id="rId1762" xr:uid="{00000000-0004-0000-0100-0000E1060000}"/>
    <hyperlink ref="O615" r:id="rId1763" xr:uid="{00000000-0004-0000-0100-0000E2060000}"/>
    <hyperlink ref="P615" r:id="rId1764" xr:uid="{00000000-0004-0000-0100-0000E3060000}"/>
    <hyperlink ref="Q615" r:id="rId1765" xr:uid="{00000000-0004-0000-0100-0000E4060000}"/>
    <hyperlink ref="O616" r:id="rId1766" xr:uid="{00000000-0004-0000-0100-0000E5060000}"/>
    <hyperlink ref="P616" r:id="rId1767" xr:uid="{00000000-0004-0000-0100-0000E6060000}"/>
    <hyperlink ref="Q616" r:id="rId1768" xr:uid="{00000000-0004-0000-0100-0000E7060000}"/>
    <hyperlink ref="O617" r:id="rId1769" xr:uid="{00000000-0004-0000-0100-0000E8060000}"/>
    <hyperlink ref="P617" r:id="rId1770" xr:uid="{00000000-0004-0000-0100-0000E9060000}"/>
    <hyperlink ref="Q617" r:id="rId1771" xr:uid="{00000000-0004-0000-0100-0000EA060000}"/>
    <hyperlink ref="O618" r:id="rId1772" xr:uid="{00000000-0004-0000-0100-0000EB060000}"/>
    <hyperlink ref="P618" r:id="rId1773" xr:uid="{00000000-0004-0000-0100-0000EC060000}"/>
    <hyperlink ref="Q618" r:id="rId1774" xr:uid="{00000000-0004-0000-0100-0000ED060000}"/>
    <hyperlink ref="O619" r:id="rId1775" xr:uid="{00000000-0004-0000-0100-0000EE060000}"/>
    <hyperlink ref="P619" r:id="rId1776" xr:uid="{00000000-0004-0000-0100-0000EF060000}"/>
    <hyperlink ref="Q619" r:id="rId1777" xr:uid="{00000000-0004-0000-0100-0000F0060000}"/>
    <hyperlink ref="O620" r:id="rId1778" xr:uid="{00000000-0004-0000-0100-0000F1060000}"/>
    <hyperlink ref="P620" r:id="rId1779" xr:uid="{00000000-0004-0000-0100-0000F2060000}"/>
    <hyperlink ref="Q620" r:id="rId1780" xr:uid="{00000000-0004-0000-0100-0000F3060000}"/>
    <hyperlink ref="O621" r:id="rId1781" xr:uid="{00000000-0004-0000-0100-0000F4060000}"/>
    <hyperlink ref="P621" r:id="rId1782" xr:uid="{00000000-0004-0000-0100-0000F5060000}"/>
    <hyperlink ref="Q621" r:id="rId1783" xr:uid="{00000000-0004-0000-0100-0000F6060000}"/>
    <hyperlink ref="O622" r:id="rId1784" xr:uid="{00000000-0004-0000-0100-0000F7060000}"/>
    <hyperlink ref="Q622" r:id="rId1785" xr:uid="{00000000-0004-0000-0100-0000F8060000}"/>
    <hyperlink ref="O623" r:id="rId1786" xr:uid="{00000000-0004-0000-0100-0000F9060000}"/>
    <hyperlink ref="P623" r:id="rId1787" xr:uid="{00000000-0004-0000-0100-0000FA060000}"/>
    <hyperlink ref="Q623" r:id="rId1788" xr:uid="{00000000-0004-0000-0100-0000FB060000}"/>
    <hyperlink ref="O624" r:id="rId1789" xr:uid="{00000000-0004-0000-0100-0000FC060000}"/>
    <hyperlink ref="P624" r:id="rId1790" xr:uid="{00000000-0004-0000-0100-0000FD060000}"/>
    <hyperlink ref="Q624" r:id="rId1791" xr:uid="{00000000-0004-0000-0100-0000FE060000}"/>
    <hyperlink ref="O625" r:id="rId1792" xr:uid="{00000000-0004-0000-0100-0000FF060000}"/>
    <hyperlink ref="P625" r:id="rId1793" xr:uid="{00000000-0004-0000-0100-000000070000}"/>
    <hyperlink ref="Q625" r:id="rId1794" xr:uid="{00000000-0004-0000-0100-000001070000}"/>
    <hyperlink ref="O626" r:id="rId1795" xr:uid="{00000000-0004-0000-0100-000002070000}"/>
    <hyperlink ref="P626" r:id="rId1796" xr:uid="{00000000-0004-0000-0100-000003070000}"/>
    <hyperlink ref="Q626" r:id="rId1797" xr:uid="{00000000-0004-0000-0100-000004070000}"/>
    <hyperlink ref="O627" r:id="rId1798" xr:uid="{00000000-0004-0000-0100-000005070000}"/>
    <hyperlink ref="P627" r:id="rId1799" xr:uid="{00000000-0004-0000-0100-000006070000}"/>
    <hyperlink ref="Q627" r:id="rId1800" xr:uid="{00000000-0004-0000-0100-000007070000}"/>
    <hyperlink ref="O628" r:id="rId1801" xr:uid="{00000000-0004-0000-0100-000008070000}"/>
    <hyperlink ref="P628" r:id="rId1802" xr:uid="{00000000-0004-0000-0100-000009070000}"/>
    <hyperlink ref="Q628" r:id="rId1803" xr:uid="{00000000-0004-0000-0100-00000A070000}"/>
    <hyperlink ref="O629" r:id="rId1804" xr:uid="{00000000-0004-0000-0100-00000B070000}"/>
    <hyperlink ref="P629" r:id="rId1805" xr:uid="{00000000-0004-0000-0100-00000C070000}"/>
    <hyperlink ref="Q629" r:id="rId1806" xr:uid="{00000000-0004-0000-0100-00000D070000}"/>
    <hyperlink ref="O630" r:id="rId1807" xr:uid="{00000000-0004-0000-0100-00000E070000}"/>
    <hyperlink ref="P630" r:id="rId1808" xr:uid="{00000000-0004-0000-0100-00000F070000}"/>
    <hyperlink ref="Q630" r:id="rId1809" xr:uid="{00000000-0004-0000-0100-000010070000}"/>
    <hyperlink ref="O631" r:id="rId1810" xr:uid="{00000000-0004-0000-0100-000011070000}"/>
    <hyperlink ref="P631" r:id="rId1811" xr:uid="{00000000-0004-0000-0100-000012070000}"/>
    <hyperlink ref="Q631" r:id="rId1812" xr:uid="{00000000-0004-0000-0100-000013070000}"/>
    <hyperlink ref="O632" r:id="rId1813" xr:uid="{00000000-0004-0000-0100-000014070000}"/>
    <hyperlink ref="Q632" r:id="rId1814" xr:uid="{00000000-0004-0000-0100-000015070000}"/>
    <hyperlink ref="O633" r:id="rId1815" xr:uid="{00000000-0004-0000-0100-000016070000}"/>
    <hyperlink ref="P633" r:id="rId1816" xr:uid="{00000000-0004-0000-0100-000017070000}"/>
    <hyperlink ref="O634" r:id="rId1817" xr:uid="{00000000-0004-0000-0100-000018070000}"/>
    <hyperlink ref="P634" r:id="rId1818" xr:uid="{00000000-0004-0000-0100-000019070000}"/>
    <hyperlink ref="Q634" r:id="rId1819" xr:uid="{00000000-0004-0000-0100-00001A070000}"/>
    <hyperlink ref="O635" r:id="rId1820" xr:uid="{00000000-0004-0000-0100-00001B070000}"/>
    <hyperlink ref="P635" r:id="rId1821" xr:uid="{00000000-0004-0000-0100-00001C070000}"/>
    <hyperlink ref="Q635" r:id="rId1822" xr:uid="{00000000-0004-0000-0100-00001D070000}"/>
    <hyperlink ref="O636" r:id="rId1823" xr:uid="{00000000-0004-0000-0100-00001E070000}"/>
    <hyperlink ref="P636" r:id="rId1824" xr:uid="{00000000-0004-0000-0100-00001F070000}"/>
    <hyperlink ref="Q636" r:id="rId1825" xr:uid="{00000000-0004-0000-0100-000020070000}"/>
    <hyperlink ref="O637" r:id="rId1826" xr:uid="{00000000-0004-0000-0100-000021070000}"/>
    <hyperlink ref="P637" r:id="rId1827" xr:uid="{00000000-0004-0000-0100-000022070000}"/>
    <hyperlink ref="Q637" r:id="rId1828" xr:uid="{00000000-0004-0000-0100-000023070000}"/>
    <hyperlink ref="O638" r:id="rId1829" xr:uid="{00000000-0004-0000-0100-000024070000}"/>
    <hyperlink ref="P638" r:id="rId1830" xr:uid="{00000000-0004-0000-0100-000025070000}"/>
    <hyperlink ref="Q638" r:id="rId1831" xr:uid="{00000000-0004-0000-0100-000026070000}"/>
    <hyperlink ref="O639" r:id="rId1832" xr:uid="{00000000-0004-0000-0100-000027070000}"/>
    <hyperlink ref="P639" r:id="rId1833" xr:uid="{00000000-0004-0000-0100-000028070000}"/>
    <hyperlink ref="Q639" r:id="rId1834" xr:uid="{00000000-0004-0000-0100-000029070000}"/>
    <hyperlink ref="O640" r:id="rId1835" xr:uid="{00000000-0004-0000-0100-00002A070000}"/>
    <hyperlink ref="O641" r:id="rId1836" xr:uid="{00000000-0004-0000-0100-00002B070000}"/>
    <hyperlink ref="P641" r:id="rId1837" xr:uid="{00000000-0004-0000-0100-00002C070000}"/>
    <hyperlink ref="Q641" r:id="rId1838" xr:uid="{00000000-0004-0000-0100-00002D070000}"/>
    <hyperlink ref="O642" r:id="rId1839" xr:uid="{00000000-0004-0000-0100-00002E070000}"/>
    <hyperlink ref="P642" r:id="rId1840" xr:uid="{00000000-0004-0000-0100-00002F070000}"/>
    <hyperlink ref="Q642" r:id="rId1841" xr:uid="{00000000-0004-0000-0100-000030070000}"/>
    <hyperlink ref="O643" r:id="rId1842" xr:uid="{00000000-0004-0000-0100-000031070000}"/>
    <hyperlink ref="P643" r:id="rId1843" xr:uid="{00000000-0004-0000-0100-000032070000}"/>
    <hyperlink ref="Q643" r:id="rId1844" xr:uid="{00000000-0004-0000-0100-000033070000}"/>
    <hyperlink ref="O644" r:id="rId1845" xr:uid="{00000000-0004-0000-0100-000034070000}"/>
    <hyperlink ref="P644" r:id="rId1846" xr:uid="{00000000-0004-0000-0100-000035070000}"/>
    <hyperlink ref="Q644" r:id="rId1847" xr:uid="{00000000-0004-0000-0100-000036070000}"/>
    <hyperlink ref="O645" r:id="rId1848" xr:uid="{00000000-0004-0000-0100-000037070000}"/>
    <hyperlink ref="P645" r:id="rId1849" xr:uid="{00000000-0004-0000-0100-000038070000}"/>
    <hyperlink ref="Q645" r:id="rId1850" xr:uid="{00000000-0004-0000-0100-000039070000}"/>
    <hyperlink ref="O646" r:id="rId1851" xr:uid="{00000000-0004-0000-0100-00003A070000}"/>
    <hyperlink ref="P646" r:id="rId1852" xr:uid="{00000000-0004-0000-0100-00003B070000}"/>
    <hyperlink ref="Q646" r:id="rId1853" xr:uid="{00000000-0004-0000-0100-00003C070000}"/>
    <hyperlink ref="O647" r:id="rId1854" xr:uid="{00000000-0004-0000-0100-00003D070000}"/>
    <hyperlink ref="P647" r:id="rId1855" xr:uid="{00000000-0004-0000-0100-00003E070000}"/>
    <hyperlink ref="Q647" r:id="rId1856" xr:uid="{00000000-0004-0000-0100-00003F070000}"/>
    <hyperlink ref="O648" r:id="rId1857" xr:uid="{00000000-0004-0000-0100-000040070000}"/>
    <hyperlink ref="P648" r:id="rId1858" xr:uid="{00000000-0004-0000-0100-000041070000}"/>
    <hyperlink ref="Q648" r:id="rId1859" xr:uid="{00000000-0004-0000-0100-000042070000}"/>
    <hyperlink ref="O649" r:id="rId1860" xr:uid="{00000000-0004-0000-0100-000043070000}"/>
    <hyperlink ref="P649" r:id="rId1861" xr:uid="{00000000-0004-0000-0100-000044070000}"/>
    <hyperlink ref="Q649" r:id="rId1862" xr:uid="{00000000-0004-0000-0100-000045070000}"/>
    <hyperlink ref="O650" r:id="rId1863" xr:uid="{00000000-0004-0000-0100-000046070000}"/>
    <hyperlink ref="P650" r:id="rId1864" xr:uid="{00000000-0004-0000-0100-000047070000}"/>
    <hyperlink ref="Q650" r:id="rId1865" xr:uid="{00000000-0004-0000-0100-000048070000}"/>
    <hyperlink ref="O651" r:id="rId1866" xr:uid="{00000000-0004-0000-0100-000049070000}"/>
    <hyperlink ref="P651" r:id="rId1867" xr:uid="{00000000-0004-0000-0100-00004A070000}"/>
    <hyperlink ref="Q651" r:id="rId1868" xr:uid="{00000000-0004-0000-0100-00004B070000}"/>
    <hyperlink ref="O652" r:id="rId1869" xr:uid="{00000000-0004-0000-0100-00004C070000}"/>
    <hyperlink ref="P652" r:id="rId1870" xr:uid="{00000000-0004-0000-0100-00004D070000}"/>
    <hyperlink ref="O653" r:id="rId1871" xr:uid="{00000000-0004-0000-0100-00004E070000}"/>
    <hyperlink ref="P653" r:id="rId1872" xr:uid="{00000000-0004-0000-0100-00004F070000}"/>
    <hyperlink ref="Q653" r:id="rId1873" xr:uid="{00000000-0004-0000-0100-000050070000}"/>
    <hyperlink ref="O654" r:id="rId1874" xr:uid="{00000000-0004-0000-0100-000051070000}"/>
    <hyperlink ref="Q654" r:id="rId1875" xr:uid="{00000000-0004-0000-0100-000052070000}"/>
    <hyperlink ref="O655" r:id="rId1876" xr:uid="{00000000-0004-0000-0100-000053070000}"/>
    <hyperlink ref="P655" r:id="rId1877" xr:uid="{00000000-0004-0000-0100-000054070000}"/>
    <hyperlink ref="Q655" r:id="rId1878" xr:uid="{00000000-0004-0000-0100-000055070000}"/>
    <hyperlink ref="O656" r:id="rId1879" xr:uid="{00000000-0004-0000-0100-000056070000}"/>
    <hyperlink ref="P656" r:id="rId1880" xr:uid="{00000000-0004-0000-0100-000057070000}"/>
    <hyperlink ref="O657" r:id="rId1881" xr:uid="{00000000-0004-0000-0100-000058070000}"/>
    <hyperlink ref="Q657" r:id="rId1882" xr:uid="{00000000-0004-0000-0100-000059070000}"/>
    <hyperlink ref="O658" r:id="rId1883" xr:uid="{00000000-0004-0000-0100-00005A070000}"/>
    <hyperlink ref="P658" r:id="rId1884" xr:uid="{00000000-0004-0000-0100-00005B070000}"/>
    <hyperlink ref="Q658" r:id="rId1885" xr:uid="{00000000-0004-0000-0100-00005C070000}"/>
    <hyperlink ref="O659" r:id="rId1886" xr:uid="{00000000-0004-0000-0100-00005D070000}"/>
    <hyperlink ref="P659" r:id="rId1887" xr:uid="{00000000-0004-0000-0100-00005E070000}"/>
    <hyperlink ref="Q659" r:id="rId1888" xr:uid="{00000000-0004-0000-0100-00005F070000}"/>
    <hyperlink ref="O660" r:id="rId1889" xr:uid="{00000000-0004-0000-0100-000060070000}"/>
    <hyperlink ref="P660" r:id="rId1890" xr:uid="{00000000-0004-0000-0100-000061070000}"/>
    <hyperlink ref="Q660" r:id="rId1891" xr:uid="{00000000-0004-0000-0100-000062070000}"/>
    <hyperlink ref="O661" r:id="rId1892" xr:uid="{00000000-0004-0000-0100-000063070000}"/>
    <hyperlink ref="P661" r:id="rId1893" xr:uid="{00000000-0004-0000-0100-000064070000}"/>
    <hyperlink ref="Q661" r:id="rId1894" xr:uid="{00000000-0004-0000-0100-000065070000}"/>
    <hyperlink ref="O662" r:id="rId1895" xr:uid="{00000000-0004-0000-0100-000066070000}"/>
    <hyperlink ref="P662" r:id="rId1896" xr:uid="{00000000-0004-0000-0100-000067070000}"/>
    <hyperlink ref="O663" r:id="rId1897" xr:uid="{00000000-0004-0000-0100-000068070000}"/>
    <hyperlink ref="P663" r:id="rId1898" xr:uid="{00000000-0004-0000-0100-000069070000}"/>
    <hyperlink ref="Q663" r:id="rId1899" xr:uid="{00000000-0004-0000-0100-00006A070000}"/>
    <hyperlink ref="O664" r:id="rId1900" xr:uid="{00000000-0004-0000-0100-00006B070000}"/>
    <hyperlink ref="Q664" r:id="rId1901" xr:uid="{00000000-0004-0000-0100-00006C070000}"/>
    <hyperlink ref="O665" r:id="rId1902" xr:uid="{00000000-0004-0000-0100-00006D070000}"/>
    <hyperlink ref="Q665" r:id="rId1903" xr:uid="{00000000-0004-0000-0100-00006E070000}"/>
    <hyperlink ref="O666" r:id="rId1904" xr:uid="{00000000-0004-0000-0100-00006F070000}"/>
    <hyperlink ref="Q666" r:id="rId1905" xr:uid="{00000000-0004-0000-0100-000070070000}"/>
    <hyperlink ref="O667" r:id="rId1906" xr:uid="{00000000-0004-0000-0100-000071070000}"/>
    <hyperlink ref="P667" r:id="rId1907" xr:uid="{00000000-0004-0000-0100-000072070000}"/>
    <hyperlink ref="Q667" r:id="rId1908" xr:uid="{00000000-0004-0000-0100-000073070000}"/>
    <hyperlink ref="O668" r:id="rId1909" xr:uid="{00000000-0004-0000-0100-000074070000}"/>
    <hyperlink ref="P668" r:id="rId1910" xr:uid="{00000000-0004-0000-0100-000075070000}"/>
    <hyperlink ref="Q668" r:id="rId1911" xr:uid="{00000000-0004-0000-0100-000076070000}"/>
    <hyperlink ref="O669" r:id="rId1912" xr:uid="{00000000-0004-0000-0100-000077070000}"/>
    <hyperlink ref="P669" r:id="rId1913" xr:uid="{00000000-0004-0000-0100-000078070000}"/>
    <hyperlink ref="Q669" r:id="rId1914" xr:uid="{00000000-0004-0000-0100-000079070000}"/>
    <hyperlink ref="O670" r:id="rId1915" xr:uid="{00000000-0004-0000-0100-00007A070000}"/>
    <hyperlink ref="P670" r:id="rId1916" xr:uid="{00000000-0004-0000-0100-00007B070000}"/>
    <hyperlink ref="Q670" r:id="rId1917" xr:uid="{00000000-0004-0000-0100-00007C070000}"/>
    <hyperlink ref="O671" r:id="rId1918" xr:uid="{00000000-0004-0000-0100-00007D070000}"/>
    <hyperlink ref="P671" r:id="rId1919" xr:uid="{00000000-0004-0000-0100-00007E070000}"/>
    <hyperlink ref="Q671" r:id="rId1920" xr:uid="{00000000-0004-0000-0100-00007F070000}"/>
    <hyperlink ref="O672" r:id="rId1921" xr:uid="{00000000-0004-0000-0100-000080070000}"/>
    <hyperlink ref="Q672" r:id="rId1922" xr:uid="{00000000-0004-0000-0100-000081070000}"/>
  </hyperlinks>
  <pageMargins left="0.7" right="0.7" top="0.75" bottom="0.75" header="0.3" footer="0.3"/>
  <pageSetup paperSize="9" orientation="portrait" horizontalDpi="1200" verticalDpi="1200" r:id="rId19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6D01"/>
    <outlinePr summaryBelow="0" summaryRight="0"/>
  </sheetPr>
  <dimension ref="A1:R940"/>
  <sheetViews>
    <sheetView tabSelected="1" workbookViewId="0">
      <selection activeCell="A2" sqref="A2"/>
    </sheetView>
  </sheetViews>
  <sheetFormatPr baseColWidth="10" defaultColWidth="12.5703125" defaultRowHeight="15.75" customHeight="1" x14ac:dyDescent="0.2"/>
  <cols>
    <col min="1" max="1" width="22.85546875" customWidth="1"/>
    <col min="2" max="2" width="33.85546875" customWidth="1"/>
    <col min="3" max="3" width="10.28515625" customWidth="1"/>
    <col min="4" max="4" width="45" customWidth="1"/>
    <col min="5" max="5" width="13" customWidth="1"/>
    <col min="6" max="6" width="15.85546875" customWidth="1"/>
    <col min="7" max="7" width="11.85546875" customWidth="1"/>
    <col min="9" max="9" width="12.85546875" customWidth="1"/>
  </cols>
  <sheetData>
    <row r="1" spans="1:18" ht="12.75" x14ac:dyDescent="0.2">
      <c r="A1" s="4" t="s">
        <v>0</v>
      </c>
      <c r="B1" s="4" t="s">
        <v>1</v>
      </c>
      <c r="C1" s="4" t="s">
        <v>3273</v>
      </c>
      <c r="D1" s="4" t="s">
        <v>3274</v>
      </c>
      <c r="E1" s="4" t="s">
        <v>2</v>
      </c>
      <c r="F1" s="4" t="s">
        <v>3275</v>
      </c>
      <c r="G1" s="4" t="s">
        <v>3276</v>
      </c>
      <c r="H1" s="4" t="s">
        <v>3277</v>
      </c>
      <c r="I1" s="4" t="s">
        <v>5943</v>
      </c>
      <c r="J1" s="4" t="s">
        <v>3279</v>
      </c>
      <c r="K1" s="15" t="s">
        <v>19</v>
      </c>
      <c r="L1" s="15" t="s">
        <v>12</v>
      </c>
      <c r="M1" s="15" t="s">
        <v>3280</v>
      </c>
      <c r="N1" s="15" t="s">
        <v>3281</v>
      </c>
      <c r="O1" s="15" t="s">
        <v>3282</v>
      </c>
      <c r="P1" s="15" t="s">
        <v>3283</v>
      </c>
      <c r="Q1" s="15" t="s">
        <v>3284</v>
      </c>
      <c r="R1" s="15" t="s">
        <v>5941</v>
      </c>
    </row>
    <row r="2" spans="1:18" ht="12.75" x14ac:dyDescent="0.2">
      <c r="A2" s="4" t="s">
        <v>115</v>
      </c>
      <c r="B2" s="4"/>
      <c r="C2" s="4" t="s">
        <v>5939</v>
      </c>
      <c r="D2" s="4" t="s">
        <v>5940</v>
      </c>
      <c r="E2" s="4"/>
      <c r="F2" s="4"/>
      <c r="G2" s="4"/>
      <c r="H2" s="4"/>
      <c r="I2" s="4"/>
      <c r="J2" s="4"/>
      <c r="K2" s="15"/>
      <c r="L2" s="15"/>
      <c r="M2" s="15"/>
      <c r="N2" s="15"/>
      <c r="O2" s="15"/>
      <c r="P2" s="15"/>
      <c r="Q2" s="15"/>
    </row>
    <row r="3" spans="1:18" ht="12.75" x14ac:dyDescent="0.2">
      <c r="A3" s="4" t="s">
        <v>115</v>
      </c>
      <c r="B3" s="4" t="s">
        <v>5936</v>
      </c>
      <c r="C3" s="4" t="s">
        <v>5937</v>
      </c>
      <c r="D3" s="4" t="s">
        <v>5938</v>
      </c>
      <c r="E3" s="4"/>
      <c r="F3" s="4"/>
      <c r="G3" s="4"/>
      <c r="H3" s="4"/>
      <c r="I3" s="4"/>
      <c r="J3" s="4"/>
      <c r="K3" s="15"/>
      <c r="L3" s="15"/>
      <c r="M3" s="15"/>
      <c r="N3" s="15"/>
      <c r="O3" s="15"/>
      <c r="P3" s="15"/>
      <c r="Q3" s="15"/>
      <c r="R3" s="4" t="s">
        <v>5939</v>
      </c>
    </row>
    <row r="4" spans="1:18" ht="12.75" x14ac:dyDescent="0.2">
      <c r="A4" s="4" t="s">
        <v>115</v>
      </c>
      <c r="B4" s="4" t="s">
        <v>125</v>
      </c>
      <c r="C4" s="4" t="s">
        <v>3285</v>
      </c>
      <c r="D4" s="4" t="s">
        <v>3286</v>
      </c>
      <c r="E4" s="4" t="s">
        <v>39</v>
      </c>
      <c r="F4" s="4" t="s">
        <v>11</v>
      </c>
      <c r="I4" s="4" t="s">
        <v>40</v>
      </c>
      <c r="J4" s="13" t="s">
        <v>3287</v>
      </c>
      <c r="K4" s="16">
        <v>100</v>
      </c>
      <c r="L4" s="16">
        <v>80</v>
      </c>
      <c r="M4" s="16">
        <v>91</v>
      </c>
      <c r="N4" s="16">
        <v>25</v>
      </c>
      <c r="O4" s="16">
        <v>30</v>
      </c>
      <c r="P4" s="16">
        <v>90</v>
      </c>
      <c r="Q4" s="16">
        <v>60</v>
      </c>
      <c r="R4" s="4" t="s">
        <v>5937</v>
      </c>
    </row>
    <row r="5" spans="1:18" ht="12.75" x14ac:dyDescent="0.2">
      <c r="A5" s="4" t="s">
        <v>136</v>
      </c>
      <c r="B5" s="4" t="s">
        <v>137</v>
      </c>
      <c r="C5" s="4">
        <v>1032450219</v>
      </c>
      <c r="D5" s="4" t="s">
        <v>3288</v>
      </c>
      <c r="E5" s="4" t="s">
        <v>108</v>
      </c>
      <c r="F5" s="4" t="s">
        <v>25</v>
      </c>
      <c r="G5" s="4"/>
      <c r="H5" s="4" t="s">
        <v>3289</v>
      </c>
      <c r="I5" s="4" t="s">
        <v>10</v>
      </c>
      <c r="J5" s="17" t="s">
        <v>3290</v>
      </c>
      <c r="K5" s="16">
        <v>96.749449834300123</v>
      </c>
      <c r="L5" s="16">
        <v>6.7976218445700116</v>
      </c>
      <c r="M5" s="16">
        <v>77.637397039621646</v>
      </c>
      <c r="N5" s="16">
        <v>12.411771324941046</v>
      </c>
      <c r="O5" s="16">
        <v>99.828876645359728</v>
      </c>
      <c r="P5" s="16">
        <v>7.6686845670255739</v>
      </c>
      <c r="Q5" s="16">
        <v>81.877210465754942</v>
      </c>
    </row>
    <row r="6" spans="1:18" ht="12.75" x14ac:dyDescent="0.2">
      <c r="A6" s="4" t="s">
        <v>98</v>
      </c>
      <c r="B6" s="4" t="s">
        <v>105</v>
      </c>
      <c r="C6" s="4" t="s">
        <v>3291</v>
      </c>
      <c r="D6" s="4" t="s">
        <v>3292</v>
      </c>
      <c r="E6" s="4" t="s">
        <v>83</v>
      </c>
      <c r="F6" s="4" t="s">
        <v>25</v>
      </c>
      <c r="G6" s="4" t="s">
        <v>41</v>
      </c>
      <c r="H6" s="4"/>
      <c r="I6" s="4" t="s">
        <v>10</v>
      </c>
      <c r="J6" s="17" t="s">
        <v>3290</v>
      </c>
      <c r="K6" s="16">
        <v>59.657815456389507</v>
      </c>
      <c r="L6" s="16">
        <v>14.807355236598852</v>
      </c>
      <c r="M6" s="16">
        <v>43.744670661299956</v>
      </c>
      <c r="N6" s="16">
        <v>16.965972490081384</v>
      </c>
      <c r="O6" s="16">
        <v>90.398349859835434</v>
      </c>
      <c r="P6" s="16">
        <v>6.0224685614556073</v>
      </c>
      <c r="Q6" s="16">
        <v>42.57851948496284</v>
      </c>
    </row>
    <row r="7" spans="1:18" ht="12.75" x14ac:dyDescent="0.2">
      <c r="A7" s="4" t="s">
        <v>98</v>
      </c>
      <c r="B7" s="4" t="s">
        <v>107</v>
      </c>
      <c r="C7" s="4" t="s">
        <v>199</v>
      </c>
      <c r="D7" s="4" t="s">
        <v>3293</v>
      </c>
      <c r="E7" s="4" t="s">
        <v>87</v>
      </c>
      <c r="F7" s="4" t="s">
        <v>18</v>
      </c>
      <c r="G7" s="4" t="s">
        <v>72</v>
      </c>
      <c r="H7" s="4"/>
      <c r="I7" s="4" t="s">
        <v>10</v>
      </c>
      <c r="J7" s="17" t="s">
        <v>3290</v>
      </c>
      <c r="K7" s="16">
        <v>45.243583799986688</v>
      </c>
      <c r="L7" s="16">
        <v>20.63489438346825</v>
      </c>
      <c r="M7" s="16">
        <v>33.75098150480067</v>
      </c>
      <c r="N7" s="16">
        <v>79.816130288020133</v>
      </c>
      <c r="O7" s="16">
        <v>26.119244164462451</v>
      </c>
      <c r="P7" s="16">
        <v>25.213006884507983</v>
      </c>
      <c r="Q7" s="16">
        <v>34.336853095799967</v>
      </c>
    </row>
    <row r="8" spans="1:18" ht="12.75" x14ac:dyDescent="0.2">
      <c r="A8" s="4" t="s">
        <v>7</v>
      </c>
      <c r="B8" s="4" t="s">
        <v>16</v>
      </c>
      <c r="C8" s="4" t="s">
        <v>3294</v>
      </c>
      <c r="D8" s="4" t="s">
        <v>3295</v>
      </c>
      <c r="E8" s="4" t="s">
        <v>39</v>
      </c>
      <c r="F8" s="4" t="s">
        <v>18</v>
      </c>
      <c r="G8" s="4" t="s">
        <v>72</v>
      </c>
      <c r="H8" s="4" t="s">
        <v>40</v>
      </c>
      <c r="I8" s="4" t="s">
        <v>40</v>
      </c>
      <c r="J8" s="17" t="s">
        <v>3290</v>
      </c>
      <c r="K8" s="16">
        <v>10.26461045146686</v>
      </c>
      <c r="L8" s="16">
        <v>69.235351694596417</v>
      </c>
      <c r="M8" s="16">
        <v>2.1424328283027649</v>
      </c>
      <c r="N8" s="16">
        <v>22.154053490221649</v>
      </c>
      <c r="O8" s="16">
        <v>8.9470853015551697</v>
      </c>
      <c r="P8" s="16">
        <v>24.105912495579428</v>
      </c>
      <c r="Q8" s="16">
        <v>22.384897696891169</v>
      </c>
    </row>
    <row r="9" spans="1:18" ht="12.75" x14ac:dyDescent="0.2">
      <c r="A9" s="4" t="s">
        <v>64</v>
      </c>
      <c r="B9" s="4" t="s">
        <v>95</v>
      </c>
      <c r="C9" s="4" t="s">
        <v>3296</v>
      </c>
      <c r="D9" s="4" t="s">
        <v>3297</v>
      </c>
      <c r="E9" s="4" t="s">
        <v>39</v>
      </c>
      <c r="F9" s="4" t="s">
        <v>18</v>
      </c>
      <c r="G9" s="4" t="s">
        <v>61</v>
      </c>
      <c r="H9" s="4"/>
      <c r="I9" s="4" t="s">
        <v>40</v>
      </c>
      <c r="J9" s="17" t="s">
        <v>3290</v>
      </c>
      <c r="K9" s="16">
        <v>74.582821618035481</v>
      </c>
      <c r="L9" s="16">
        <v>42.205311690969616</v>
      </c>
      <c r="M9" s="16">
        <v>39.994288702483672</v>
      </c>
      <c r="N9" s="16">
        <v>61.220211568477069</v>
      </c>
      <c r="O9" s="16">
        <v>39.433850440057228</v>
      </c>
      <c r="P9" s="16">
        <v>49.442824821012664</v>
      </c>
      <c r="Q9" s="16">
        <v>69.268549976791519</v>
      </c>
    </row>
    <row r="10" spans="1:18" ht="12.75" x14ac:dyDescent="0.2">
      <c r="A10" s="4" t="s">
        <v>115</v>
      </c>
      <c r="B10" s="4" t="s">
        <v>131</v>
      </c>
      <c r="C10" s="4" t="s">
        <v>3298</v>
      </c>
      <c r="D10" s="4" t="s">
        <v>3299</v>
      </c>
      <c r="E10" s="4" t="s">
        <v>39</v>
      </c>
      <c r="F10" s="4" t="s">
        <v>18</v>
      </c>
      <c r="G10" s="4" t="s">
        <v>72</v>
      </c>
      <c r="H10" s="4" t="s">
        <v>3300</v>
      </c>
      <c r="I10" s="4" t="s">
        <v>40</v>
      </c>
      <c r="J10" s="17" t="s">
        <v>3290</v>
      </c>
      <c r="K10" s="16">
        <v>51.456211887910463</v>
      </c>
      <c r="L10" s="16">
        <v>50.828433558075069</v>
      </c>
      <c r="M10" s="16">
        <v>32.112588400015021</v>
      </c>
      <c r="N10" s="16">
        <v>99.719808621914709</v>
      </c>
      <c r="O10" s="16">
        <v>88.70948755703607</v>
      </c>
      <c r="P10" s="16">
        <v>91.306377651588491</v>
      </c>
      <c r="Q10" s="16">
        <v>55.539978065510084</v>
      </c>
      <c r="R10" s="4" t="s">
        <v>3396</v>
      </c>
    </row>
    <row r="11" spans="1:18" ht="12.75" x14ac:dyDescent="0.2">
      <c r="A11" s="4" t="s">
        <v>7</v>
      </c>
      <c r="B11" s="4" t="s">
        <v>8</v>
      </c>
      <c r="C11" s="4" t="s">
        <v>3301</v>
      </c>
      <c r="D11" s="4" t="s">
        <v>3302</v>
      </c>
      <c r="E11" s="4" t="s">
        <v>39</v>
      </c>
      <c r="F11" s="4" t="s">
        <v>11</v>
      </c>
      <c r="G11" s="4" t="s">
        <v>61</v>
      </c>
      <c r="I11" s="4" t="s">
        <v>40</v>
      </c>
      <c r="J11" s="17" t="s">
        <v>3290</v>
      </c>
      <c r="K11" s="16">
        <v>12.932994440899147</v>
      </c>
      <c r="L11" s="16">
        <v>31.93552802015056</v>
      </c>
      <c r="M11" s="16">
        <v>71.79805685689405</v>
      </c>
      <c r="N11" s="16">
        <v>40.962351988817936</v>
      </c>
      <c r="O11" s="16">
        <v>0.44850614853482185</v>
      </c>
      <c r="P11" s="16">
        <v>54.333716482399055</v>
      </c>
      <c r="Q11" s="16">
        <v>80.602185395153867</v>
      </c>
    </row>
    <row r="12" spans="1:18" ht="12.75" x14ac:dyDescent="0.2">
      <c r="A12" s="4" t="s">
        <v>7</v>
      </c>
      <c r="B12" s="4" t="s">
        <v>30</v>
      </c>
      <c r="C12" s="4" t="s">
        <v>3303</v>
      </c>
      <c r="D12" s="4" t="s">
        <v>3304</v>
      </c>
      <c r="E12" s="4" t="s">
        <v>39</v>
      </c>
      <c r="F12" s="4" t="s">
        <v>18</v>
      </c>
      <c r="G12" s="4" t="s">
        <v>72</v>
      </c>
      <c r="I12" s="4" t="s">
        <v>40</v>
      </c>
      <c r="J12" s="17" t="s">
        <v>3290</v>
      </c>
      <c r="K12" s="16">
        <v>35.885823944000805</v>
      </c>
      <c r="L12" s="16">
        <v>5.0475398291795699</v>
      </c>
      <c r="M12" s="16">
        <v>64.556558239937388</v>
      </c>
      <c r="N12" s="16">
        <v>85.063255225606625</v>
      </c>
      <c r="O12" s="16">
        <v>70.798712795536119</v>
      </c>
      <c r="P12" s="16">
        <v>43.906535233880874</v>
      </c>
      <c r="Q12" s="16">
        <v>27.220160187489618</v>
      </c>
    </row>
    <row r="13" spans="1:18" ht="12.75" x14ac:dyDescent="0.2">
      <c r="A13" s="4" t="s">
        <v>115</v>
      </c>
      <c r="B13" s="4" t="s">
        <v>122</v>
      </c>
      <c r="C13" s="4" t="s">
        <v>3305</v>
      </c>
      <c r="D13" s="4" t="s">
        <v>3306</v>
      </c>
      <c r="E13" s="4" t="s">
        <v>39</v>
      </c>
      <c r="F13" s="4" t="s">
        <v>11</v>
      </c>
      <c r="G13" s="4" t="s">
        <v>61</v>
      </c>
      <c r="H13" s="4"/>
      <c r="I13" s="4" t="s">
        <v>40</v>
      </c>
      <c r="J13" s="17" t="s">
        <v>3290</v>
      </c>
      <c r="K13" s="16">
        <v>30.522138949878265</v>
      </c>
      <c r="L13" s="16">
        <v>96.242798415786169</v>
      </c>
      <c r="M13" s="16">
        <v>30.774669564068468</v>
      </c>
      <c r="N13" s="16">
        <v>57.887222480631962</v>
      </c>
      <c r="O13" s="16">
        <v>83.51495751846852</v>
      </c>
      <c r="P13" s="16">
        <v>71.900278109264434</v>
      </c>
      <c r="Q13" s="16">
        <v>63.306473767961059</v>
      </c>
    </row>
    <row r="14" spans="1:18" ht="12.75" x14ac:dyDescent="0.2">
      <c r="A14" s="4" t="s">
        <v>115</v>
      </c>
      <c r="B14" s="4" t="s">
        <v>122</v>
      </c>
      <c r="C14" s="4" t="s">
        <v>3307</v>
      </c>
      <c r="D14" s="4" t="s">
        <v>3308</v>
      </c>
      <c r="E14" s="4" t="s">
        <v>39</v>
      </c>
      <c r="F14" s="4" t="s">
        <v>18</v>
      </c>
      <c r="G14" s="4" t="s">
        <v>61</v>
      </c>
      <c r="H14" s="4"/>
      <c r="I14" s="4" t="s">
        <v>40</v>
      </c>
      <c r="J14" s="17" t="s">
        <v>3290</v>
      </c>
      <c r="K14" s="16">
        <v>97.183504958262631</v>
      </c>
      <c r="L14" s="16">
        <v>76.523827697670811</v>
      </c>
      <c r="M14" s="16">
        <v>47.056435166553015</v>
      </c>
      <c r="N14" s="16">
        <v>33.356720806971943</v>
      </c>
      <c r="O14" s="16">
        <v>80.237302099896652</v>
      </c>
      <c r="P14" s="16">
        <v>16.267969659593383</v>
      </c>
      <c r="Q14" s="16">
        <v>61.031339602060243</v>
      </c>
    </row>
    <row r="15" spans="1:18" ht="12.75" x14ac:dyDescent="0.2">
      <c r="A15" s="4" t="s">
        <v>98</v>
      </c>
      <c r="B15" s="4" t="s">
        <v>113</v>
      </c>
      <c r="C15" s="4" t="s">
        <v>3309</v>
      </c>
      <c r="D15" s="4" t="s">
        <v>3310</v>
      </c>
      <c r="E15" s="4" t="s">
        <v>39</v>
      </c>
      <c r="F15" s="4" t="s">
        <v>11</v>
      </c>
      <c r="G15" s="4" t="s">
        <v>41</v>
      </c>
      <c r="H15" s="4"/>
      <c r="I15" s="4" t="s">
        <v>40</v>
      </c>
      <c r="J15" s="17" t="s">
        <v>3290</v>
      </c>
      <c r="K15" s="16">
        <v>39.913393334334955</v>
      </c>
      <c r="L15" s="16">
        <v>16.620364856474268</v>
      </c>
      <c r="M15" s="16">
        <v>40.829392963266805</v>
      </c>
      <c r="N15" s="16">
        <v>78.550337991323545</v>
      </c>
      <c r="O15" s="16">
        <v>16.601011626476435</v>
      </c>
      <c r="P15" s="16">
        <v>34.501562320401071</v>
      </c>
      <c r="Q15" s="16">
        <v>66.342917502868332</v>
      </c>
    </row>
    <row r="16" spans="1:18" ht="12.75" x14ac:dyDescent="0.2">
      <c r="A16" s="4" t="s">
        <v>37</v>
      </c>
      <c r="B16" s="4" t="s">
        <v>38</v>
      </c>
      <c r="C16" s="4" t="s">
        <v>3311</v>
      </c>
      <c r="D16" s="4" t="s">
        <v>3312</v>
      </c>
      <c r="E16" s="4" t="s">
        <v>39</v>
      </c>
      <c r="F16" s="4" t="s">
        <v>25</v>
      </c>
      <c r="G16" s="4" t="s">
        <v>41</v>
      </c>
      <c r="H16" s="4"/>
      <c r="I16" s="4" t="s">
        <v>40</v>
      </c>
      <c r="J16" s="17" t="s">
        <v>3290</v>
      </c>
      <c r="K16" s="16">
        <v>30.917710797146224</v>
      </c>
      <c r="L16" s="16">
        <v>9.6900659509711602</v>
      </c>
      <c r="M16" s="16">
        <v>52.813250473366182</v>
      </c>
      <c r="N16" s="16">
        <v>16.388031432210393</v>
      </c>
      <c r="O16" s="16">
        <v>57.5889155731087</v>
      </c>
      <c r="P16" s="16">
        <v>10.34269635818289</v>
      </c>
      <c r="Q16" s="16">
        <v>51.281435638776571</v>
      </c>
    </row>
    <row r="17" spans="1:17" ht="12.75" x14ac:dyDescent="0.2">
      <c r="A17" s="4" t="s">
        <v>115</v>
      </c>
      <c r="B17" s="4" t="s">
        <v>122</v>
      </c>
      <c r="C17" s="4" t="s">
        <v>3313</v>
      </c>
      <c r="D17" s="4" t="s">
        <v>3314</v>
      </c>
      <c r="E17" s="4" t="s">
        <v>39</v>
      </c>
      <c r="F17" s="4" t="s">
        <v>11</v>
      </c>
      <c r="G17" s="4" t="s">
        <v>61</v>
      </c>
      <c r="H17" s="4"/>
      <c r="I17" s="4" t="s">
        <v>40</v>
      </c>
      <c r="J17" s="17" t="s">
        <v>3290</v>
      </c>
      <c r="K17" s="16">
        <v>98.132873594410881</v>
      </c>
      <c r="L17" s="16">
        <v>81.338698383841816</v>
      </c>
      <c r="M17" s="16">
        <v>77.024955618731411</v>
      </c>
      <c r="N17" s="16">
        <v>2.1003528440740604</v>
      </c>
      <c r="O17" s="16">
        <v>57.002977057148271</v>
      </c>
      <c r="P17" s="16">
        <v>9.6015969137909103</v>
      </c>
      <c r="Q17" s="16">
        <v>44.861841149857042</v>
      </c>
    </row>
    <row r="18" spans="1:17" ht="12.75" x14ac:dyDescent="0.2">
      <c r="A18" s="4" t="s">
        <v>64</v>
      </c>
      <c r="B18" s="4" t="s">
        <v>82</v>
      </c>
      <c r="C18" s="4" t="s">
        <v>3315</v>
      </c>
      <c r="D18" s="4" t="s">
        <v>3316</v>
      </c>
      <c r="E18" s="4" t="s">
        <v>39</v>
      </c>
      <c r="F18" s="4" t="s">
        <v>18</v>
      </c>
      <c r="G18" s="4" t="s">
        <v>61</v>
      </c>
      <c r="H18" s="4"/>
      <c r="I18" s="4" t="s">
        <v>40</v>
      </c>
      <c r="J18" s="17" t="s">
        <v>3290</v>
      </c>
      <c r="K18" s="16">
        <v>28.489233641879586</v>
      </c>
      <c r="L18" s="16">
        <v>80.050237084833981</v>
      </c>
      <c r="M18" s="16">
        <v>86.574013853954895</v>
      </c>
      <c r="N18" s="16">
        <v>0.10490353101940686</v>
      </c>
      <c r="O18" s="16">
        <v>33.211457904456722</v>
      </c>
      <c r="P18" s="16">
        <v>17.471424871880515</v>
      </c>
      <c r="Q18" s="16">
        <v>84.741347203600583</v>
      </c>
    </row>
    <row r="19" spans="1:17" ht="12.75" x14ac:dyDescent="0.2">
      <c r="A19" s="4" t="s">
        <v>115</v>
      </c>
      <c r="B19" s="4" t="s">
        <v>116</v>
      </c>
      <c r="C19" s="4" t="s">
        <v>3317</v>
      </c>
      <c r="D19" s="4" t="s">
        <v>3318</v>
      </c>
      <c r="E19" s="4" t="s">
        <v>39</v>
      </c>
      <c r="F19" s="4" t="s">
        <v>18</v>
      </c>
      <c r="G19" s="4" t="s">
        <v>61</v>
      </c>
      <c r="I19" s="4" t="s">
        <v>40</v>
      </c>
      <c r="J19" s="17" t="s">
        <v>3290</v>
      </c>
      <c r="K19" s="16">
        <v>58.068883550969574</v>
      </c>
      <c r="L19" s="16">
        <v>2.3447044826101937</v>
      </c>
      <c r="M19" s="16">
        <v>53.937827748700684</v>
      </c>
      <c r="N19" s="16">
        <v>68.228192874027684</v>
      </c>
      <c r="O19" s="16">
        <v>37.430907517161259</v>
      </c>
      <c r="P19" s="16">
        <v>12.986675712076313</v>
      </c>
      <c r="Q19" s="16">
        <v>83.424339914673695</v>
      </c>
    </row>
    <row r="20" spans="1:17" ht="12.75" x14ac:dyDescent="0.2">
      <c r="A20" s="4" t="s">
        <v>115</v>
      </c>
      <c r="B20" s="4" t="s">
        <v>116</v>
      </c>
      <c r="C20" s="4" t="s">
        <v>3319</v>
      </c>
      <c r="D20" s="4" t="s">
        <v>3320</v>
      </c>
      <c r="E20" s="4" t="s">
        <v>39</v>
      </c>
      <c r="F20" s="4" t="s">
        <v>18</v>
      </c>
      <c r="G20" s="4" t="s">
        <v>61</v>
      </c>
      <c r="I20" s="4" t="s">
        <v>40</v>
      </c>
      <c r="J20" s="17" t="s">
        <v>3290</v>
      </c>
      <c r="K20" s="16">
        <v>78.475387513264749</v>
      </c>
      <c r="L20" s="16">
        <v>87.426831126103863</v>
      </c>
      <c r="M20" s="16">
        <v>95.333951641516052</v>
      </c>
      <c r="N20" s="16">
        <v>4.6292451470244078</v>
      </c>
      <c r="O20" s="16">
        <v>4.390658067142339</v>
      </c>
      <c r="P20" s="16">
        <v>36.761160240530522</v>
      </c>
      <c r="Q20" s="16">
        <v>5.8614590147096362</v>
      </c>
    </row>
    <row r="21" spans="1:17" ht="12.75" x14ac:dyDescent="0.2">
      <c r="A21" s="4" t="s">
        <v>98</v>
      </c>
      <c r="B21" s="4" t="s">
        <v>99</v>
      </c>
      <c r="C21" s="4" t="s">
        <v>3321</v>
      </c>
      <c r="D21" s="4" t="s">
        <v>3322</v>
      </c>
      <c r="E21" s="4" t="s">
        <v>39</v>
      </c>
      <c r="F21" s="4" t="s">
        <v>18</v>
      </c>
      <c r="G21" s="4" t="s">
        <v>61</v>
      </c>
      <c r="H21" s="4"/>
      <c r="I21" s="4" t="s">
        <v>40</v>
      </c>
      <c r="J21" s="17" t="s">
        <v>3290</v>
      </c>
      <c r="K21" s="16">
        <v>9.1006563930898228</v>
      </c>
      <c r="L21" s="16">
        <v>87.069113639035237</v>
      </c>
      <c r="M21" s="16">
        <v>74.244000847238524</v>
      </c>
      <c r="N21" s="16">
        <v>31.79044596931514</v>
      </c>
      <c r="O21" s="16">
        <v>22.914665182906557</v>
      </c>
      <c r="P21" s="16">
        <v>90.390331459456263</v>
      </c>
      <c r="Q21" s="16">
        <v>62.620333643134941</v>
      </c>
    </row>
    <row r="22" spans="1:17" ht="12.75" x14ac:dyDescent="0.2">
      <c r="A22" s="4" t="s">
        <v>98</v>
      </c>
      <c r="B22" s="4" t="s">
        <v>99</v>
      </c>
      <c r="C22" s="4" t="s">
        <v>3323</v>
      </c>
      <c r="D22" s="4" t="s">
        <v>3324</v>
      </c>
      <c r="E22" s="4" t="s">
        <v>39</v>
      </c>
      <c r="F22" s="4" t="s">
        <v>32</v>
      </c>
      <c r="G22" s="4" t="s">
        <v>72</v>
      </c>
      <c r="I22" s="4" t="s">
        <v>40</v>
      </c>
      <c r="J22" s="17" t="s">
        <v>3290</v>
      </c>
      <c r="K22" s="16">
        <v>74.066739582211056</v>
      </c>
      <c r="L22" s="16">
        <v>38.823908327055015</v>
      </c>
      <c r="M22" s="16">
        <v>1.4369111868162143E-2</v>
      </c>
      <c r="N22" s="16">
        <v>10.543521668429756</v>
      </c>
      <c r="O22" s="16">
        <v>59.332449385870746</v>
      </c>
      <c r="P22" s="16">
        <v>59.368822473677376</v>
      </c>
      <c r="Q22" s="16">
        <v>41.950846439927666</v>
      </c>
    </row>
    <row r="23" spans="1:17" ht="12.75" x14ac:dyDescent="0.2">
      <c r="A23" s="4" t="s">
        <v>7</v>
      </c>
      <c r="B23" s="4" t="s">
        <v>16</v>
      </c>
      <c r="C23" s="4" t="s">
        <v>3325</v>
      </c>
      <c r="D23" s="4" t="s">
        <v>3326</v>
      </c>
      <c r="E23" s="4" t="s">
        <v>39</v>
      </c>
      <c r="F23" s="4" t="s">
        <v>18</v>
      </c>
      <c r="G23" s="4" t="s">
        <v>41</v>
      </c>
      <c r="H23" s="4" t="s">
        <v>40</v>
      </c>
      <c r="I23" s="4" t="s">
        <v>40</v>
      </c>
      <c r="J23" s="17" t="s">
        <v>3290</v>
      </c>
      <c r="K23" s="16">
        <v>38.779242919961199</v>
      </c>
      <c r="L23" s="16">
        <v>70.61916754267537</v>
      </c>
      <c r="M23" s="16">
        <v>61.789266974971277</v>
      </c>
      <c r="N23" s="16">
        <v>86.892056767915193</v>
      </c>
      <c r="O23" s="16">
        <v>30.789513712459073</v>
      </c>
      <c r="P23" s="16">
        <v>72.955881089614167</v>
      </c>
      <c r="Q23" s="16">
        <v>10.697637121977587</v>
      </c>
    </row>
    <row r="24" spans="1:17" ht="12.75" x14ac:dyDescent="0.2">
      <c r="A24" s="4" t="s">
        <v>64</v>
      </c>
      <c r="B24" s="4" t="s">
        <v>86</v>
      </c>
      <c r="C24" s="4" t="s">
        <v>3327</v>
      </c>
      <c r="D24" s="4" t="s">
        <v>3328</v>
      </c>
      <c r="E24" s="4" t="s">
        <v>39</v>
      </c>
      <c r="F24" s="4" t="s">
        <v>18</v>
      </c>
      <c r="G24" s="4" t="s">
        <v>61</v>
      </c>
      <c r="I24" s="4" t="s">
        <v>40</v>
      </c>
      <c r="J24" s="17" t="s">
        <v>3290</v>
      </c>
      <c r="K24" s="16">
        <v>83.85179926034067</v>
      </c>
      <c r="L24" s="16">
        <v>67.553765945477679</v>
      </c>
      <c r="M24" s="16">
        <v>37.727087131204982</v>
      </c>
      <c r="N24" s="16">
        <v>83.628840619122329</v>
      </c>
      <c r="O24" s="16">
        <v>67.465913563896976</v>
      </c>
      <c r="P24" s="16">
        <v>39.27820842048525</v>
      </c>
      <c r="Q24" s="16">
        <v>42.12840403377681</v>
      </c>
    </row>
    <row r="25" spans="1:17" ht="12.75" x14ac:dyDescent="0.2">
      <c r="A25" s="4" t="s">
        <v>64</v>
      </c>
      <c r="B25" s="4" t="s">
        <v>89</v>
      </c>
      <c r="C25" s="4" t="s">
        <v>3329</v>
      </c>
      <c r="D25" s="4" t="s">
        <v>3330</v>
      </c>
      <c r="E25" s="4" t="s">
        <v>39</v>
      </c>
      <c r="F25" s="4" t="s">
        <v>18</v>
      </c>
      <c r="G25" s="4" t="s">
        <v>41</v>
      </c>
      <c r="H25" s="4"/>
      <c r="I25" s="4" t="s">
        <v>40</v>
      </c>
      <c r="J25" s="17" t="s">
        <v>3290</v>
      </c>
      <c r="K25" s="16">
        <v>51.167726478970806</v>
      </c>
      <c r="L25" s="16">
        <v>74.899868402704854</v>
      </c>
      <c r="M25" s="16">
        <v>42.156730672164564</v>
      </c>
      <c r="N25" s="16">
        <v>49.135421045794772</v>
      </c>
      <c r="O25" s="16">
        <v>2.6413987169241815</v>
      </c>
      <c r="P25" s="16">
        <v>21.885014454220229</v>
      </c>
      <c r="Q25" s="16">
        <v>91.692875985147722</v>
      </c>
    </row>
    <row r="26" spans="1:17" ht="12.75" x14ac:dyDescent="0.2">
      <c r="A26" s="4" t="s">
        <v>115</v>
      </c>
      <c r="B26" s="4" t="s">
        <v>116</v>
      </c>
      <c r="C26" s="4" t="s">
        <v>3331</v>
      </c>
      <c r="D26" s="4" t="s">
        <v>3332</v>
      </c>
      <c r="E26" s="4" t="s">
        <v>39</v>
      </c>
      <c r="F26" s="4" t="s">
        <v>18</v>
      </c>
      <c r="G26" s="4" t="s">
        <v>61</v>
      </c>
      <c r="H26" s="4"/>
      <c r="I26" s="4" t="s">
        <v>40</v>
      </c>
      <c r="J26" s="17" t="s">
        <v>3290</v>
      </c>
      <c r="K26" s="16">
        <v>29.060527235431778</v>
      </c>
      <c r="L26" s="16">
        <v>76.312474988783691</v>
      </c>
      <c r="M26" s="16">
        <v>93.521927198935174</v>
      </c>
      <c r="N26" s="16">
        <v>72.397209102746885</v>
      </c>
      <c r="O26" s="16">
        <v>51.739927858348636</v>
      </c>
      <c r="P26" s="16">
        <v>4.2116699689446531</v>
      </c>
      <c r="Q26" s="16">
        <v>3.0479342595229109</v>
      </c>
    </row>
    <row r="27" spans="1:17" ht="12.75" x14ac:dyDescent="0.2">
      <c r="A27" s="4" t="s">
        <v>37</v>
      </c>
      <c r="B27" s="4" t="s">
        <v>38</v>
      </c>
      <c r="C27" s="4" t="s">
        <v>3333</v>
      </c>
      <c r="D27" s="4" t="s">
        <v>3334</v>
      </c>
      <c r="E27" s="4" t="s">
        <v>39</v>
      </c>
      <c r="F27" s="4" t="s">
        <v>18</v>
      </c>
      <c r="G27" s="4" t="s">
        <v>61</v>
      </c>
      <c r="H27" s="4"/>
      <c r="I27" s="4" t="s">
        <v>40</v>
      </c>
      <c r="J27" s="17" t="s">
        <v>3290</v>
      </c>
      <c r="K27" s="16">
        <v>82.312796353816637</v>
      </c>
      <c r="L27" s="16">
        <v>25.794766202319497</v>
      </c>
      <c r="M27" s="16">
        <v>80.027598708230002</v>
      </c>
      <c r="N27" s="16">
        <v>68.756978384968264</v>
      </c>
      <c r="O27" s="16">
        <v>73.93457312469252</v>
      </c>
      <c r="P27" s="16">
        <v>66.451780639360777</v>
      </c>
      <c r="Q27" s="16">
        <v>30.59718536738869</v>
      </c>
    </row>
    <row r="28" spans="1:17" ht="12.75" x14ac:dyDescent="0.2">
      <c r="A28" s="4" t="s">
        <v>64</v>
      </c>
      <c r="B28" s="4" t="s">
        <v>65</v>
      </c>
      <c r="C28" s="4" t="s">
        <v>3335</v>
      </c>
      <c r="D28" s="4" t="s">
        <v>3336</v>
      </c>
      <c r="E28" s="4" t="s">
        <v>39</v>
      </c>
      <c r="F28" s="4" t="s">
        <v>18</v>
      </c>
      <c r="G28" s="4" t="s">
        <v>61</v>
      </c>
      <c r="H28" s="4"/>
      <c r="I28" s="4" t="s">
        <v>40</v>
      </c>
      <c r="J28" s="17" t="s">
        <v>3290</v>
      </c>
      <c r="K28" s="16">
        <v>75.291859407652495</v>
      </c>
      <c r="L28" s="16">
        <v>18.333351596184443</v>
      </c>
      <c r="M28" s="16">
        <v>45.616154885018879</v>
      </c>
      <c r="N28" s="16">
        <v>30.212643858139764</v>
      </c>
      <c r="O28" s="16">
        <v>43.652689274871918</v>
      </c>
      <c r="P28" s="16">
        <v>94.793931899864404</v>
      </c>
      <c r="Q28" s="16">
        <v>51.674480522735358</v>
      </c>
    </row>
    <row r="29" spans="1:17" ht="12.75" x14ac:dyDescent="0.2">
      <c r="A29" s="4" t="s">
        <v>64</v>
      </c>
      <c r="B29" s="4" t="s">
        <v>92</v>
      </c>
      <c r="C29" s="4" t="s">
        <v>3337</v>
      </c>
      <c r="D29" s="4" t="s">
        <v>3338</v>
      </c>
      <c r="E29" s="4" t="s">
        <v>39</v>
      </c>
      <c r="F29" s="4" t="s">
        <v>11</v>
      </c>
      <c r="G29" s="4" t="s">
        <v>72</v>
      </c>
      <c r="H29" s="4"/>
      <c r="I29" s="4" t="s">
        <v>40</v>
      </c>
      <c r="J29" s="17" t="s">
        <v>3290</v>
      </c>
      <c r="K29" s="16">
        <v>49.987632013102214</v>
      </c>
      <c r="L29" s="16">
        <v>32.431991124570324</v>
      </c>
      <c r="M29" s="16">
        <v>80.287955152682443</v>
      </c>
      <c r="N29" s="16">
        <v>57.388705198836973</v>
      </c>
      <c r="O29" s="16">
        <v>61.080125869322529</v>
      </c>
      <c r="P29" s="16">
        <v>18.339909738998582</v>
      </c>
      <c r="Q29" s="16">
        <v>14.395644703199817</v>
      </c>
    </row>
    <row r="30" spans="1:17" ht="12.75" x14ac:dyDescent="0.2">
      <c r="A30" s="4" t="s">
        <v>64</v>
      </c>
      <c r="B30" s="4" t="s">
        <v>86</v>
      </c>
      <c r="C30" s="4" t="s">
        <v>3339</v>
      </c>
      <c r="D30" s="4" t="s">
        <v>3340</v>
      </c>
      <c r="E30" s="4" t="s">
        <v>39</v>
      </c>
      <c r="F30" s="4" t="s">
        <v>18</v>
      </c>
      <c r="G30" s="4" t="s">
        <v>19</v>
      </c>
      <c r="I30" s="4" t="s">
        <v>40</v>
      </c>
      <c r="J30" s="17" t="s">
        <v>3290</v>
      </c>
      <c r="K30" s="16">
        <v>66.60249410909644</v>
      </c>
      <c r="L30" s="16">
        <v>95.039201571181522</v>
      </c>
      <c r="M30" s="16">
        <v>3.0275920976925219</v>
      </c>
      <c r="N30" s="16">
        <v>7.1036344182013211</v>
      </c>
      <c r="O30" s="16">
        <v>27.762504503332185</v>
      </c>
      <c r="P30" s="16">
        <v>64.675083071152244</v>
      </c>
      <c r="Q30" s="16">
        <v>41.000431109076054</v>
      </c>
    </row>
    <row r="31" spans="1:17" ht="12.75" x14ac:dyDescent="0.2">
      <c r="A31" s="4" t="s">
        <v>115</v>
      </c>
      <c r="B31" s="4" t="s">
        <v>116</v>
      </c>
      <c r="C31" s="4" t="s">
        <v>3341</v>
      </c>
      <c r="D31" s="4" t="s">
        <v>3342</v>
      </c>
      <c r="E31" s="4" t="s">
        <v>39</v>
      </c>
      <c r="F31" s="4" t="s">
        <v>18</v>
      </c>
      <c r="G31" s="4" t="s">
        <v>61</v>
      </c>
      <c r="H31" s="4"/>
      <c r="I31" s="4" t="s">
        <v>40</v>
      </c>
      <c r="J31" s="17" t="s">
        <v>3290</v>
      </c>
      <c r="K31" s="16">
        <v>80.601965980924703</v>
      </c>
      <c r="L31" s="16">
        <v>70.110365877127819</v>
      </c>
      <c r="M31" s="16">
        <v>29.274282667933971</v>
      </c>
      <c r="N31" s="16">
        <v>76.672949568744997</v>
      </c>
      <c r="O31" s="16">
        <v>0.46889310211079005</v>
      </c>
      <c r="P31" s="16">
        <v>76.584886314087356</v>
      </c>
      <c r="Q31" s="16">
        <v>62.0495970613445</v>
      </c>
    </row>
    <row r="32" spans="1:17" ht="12.75" x14ac:dyDescent="0.2">
      <c r="A32" s="4" t="s">
        <v>98</v>
      </c>
      <c r="B32" s="4" t="s">
        <v>102</v>
      </c>
      <c r="C32" s="4" t="s">
        <v>3343</v>
      </c>
      <c r="D32" s="4" t="s">
        <v>3344</v>
      </c>
      <c r="E32" s="4" t="s">
        <v>39</v>
      </c>
      <c r="F32" s="4" t="s">
        <v>11</v>
      </c>
      <c r="G32" s="4" t="s">
        <v>41</v>
      </c>
      <c r="H32" s="4"/>
      <c r="I32" s="4" t="s">
        <v>40</v>
      </c>
      <c r="J32" s="17" t="s">
        <v>3290</v>
      </c>
      <c r="K32" s="16">
        <v>69.565443253005526</v>
      </c>
      <c r="L32" s="16">
        <v>17.257821260381732</v>
      </c>
      <c r="M32" s="16">
        <v>72.342921104313959</v>
      </c>
      <c r="N32" s="16">
        <v>90.161979218070513</v>
      </c>
      <c r="O32" s="16">
        <v>30.582343441390503</v>
      </c>
      <c r="P32" s="16">
        <v>51.776866024551794</v>
      </c>
      <c r="Q32" s="16">
        <v>37.853966871431346</v>
      </c>
    </row>
    <row r="33" spans="1:18" ht="12.75" x14ac:dyDescent="0.2">
      <c r="A33" s="4" t="s">
        <v>64</v>
      </c>
      <c r="B33" s="4" t="s">
        <v>82</v>
      </c>
      <c r="C33" s="4" t="s">
        <v>3345</v>
      </c>
      <c r="D33" s="4" t="s">
        <v>3346</v>
      </c>
      <c r="E33" s="4" t="s">
        <v>39</v>
      </c>
      <c r="F33" s="4" t="s">
        <v>18</v>
      </c>
      <c r="G33" s="4" t="s">
        <v>41</v>
      </c>
      <c r="H33" s="4"/>
      <c r="I33" s="4" t="s">
        <v>40</v>
      </c>
      <c r="J33" s="17" t="s">
        <v>3290</v>
      </c>
      <c r="K33" s="16">
        <v>39.86706716092381</v>
      </c>
      <c r="L33" s="16">
        <v>43.574448792699762</v>
      </c>
      <c r="M33" s="16">
        <v>15.746675851457947</v>
      </c>
      <c r="N33" s="16">
        <v>93.960236829764824</v>
      </c>
      <c r="O33" s="16">
        <v>4.5833277760334195</v>
      </c>
      <c r="P33" s="16">
        <v>60.431259690316793</v>
      </c>
      <c r="Q33" s="16">
        <v>54.867754612936238</v>
      </c>
    </row>
    <row r="34" spans="1:18" ht="12.75" x14ac:dyDescent="0.2">
      <c r="A34" s="4" t="s">
        <v>115</v>
      </c>
      <c r="B34" s="4" t="s">
        <v>116</v>
      </c>
      <c r="C34" s="4" t="s">
        <v>3347</v>
      </c>
      <c r="D34" s="4" t="s">
        <v>3348</v>
      </c>
      <c r="E34" s="4" t="s">
        <v>39</v>
      </c>
      <c r="F34" s="4" t="s">
        <v>18</v>
      </c>
      <c r="G34" s="4" t="s">
        <v>61</v>
      </c>
      <c r="I34" s="4" t="s">
        <v>40</v>
      </c>
      <c r="J34" s="17" t="s">
        <v>3290</v>
      </c>
      <c r="K34" s="16">
        <v>33.521063274423454</v>
      </c>
      <c r="L34" s="16">
        <v>55.626883437873232</v>
      </c>
      <c r="M34" s="16">
        <v>8.1784932779349173</v>
      </c>
      <c r="N34" s="16">
        <v>79.391569220122946</v>
      </c>
      <c r="O34" s="16">
        <v>34.313359547226426</v>
      </c>
      <c r="P34" s="16">
        <v>2.9672032584500241</v>
      </c>
      <c r="Q34" s="16">
        <v>56.247737869191695</v>
      </c>
    </row>
    <row r="35" spans="1:18" ht="12.75" x14ac:dyDescent="0.2">
      <c r="A35" s="4" t="s">
        <v>115</v>
      </c>
      <c r="B35" s="4" t="s">
        <v>119</v>
      </c>
      <c r="C35" s="4" t="s">
        <v>3349</v>
      </c>
      <c r="D35" s="4" t="s">
        <v>3350</v>
      </c>
      <c r="E35" s="4" t="s">
        <v>39</v>
      </c>
      <c r="F35" s="4" t="s">
        <v>18</v>
      </c>
      <c r="G35" s="4" t="s">
        <v>61</v>
      </c>
      <c r="I35" s="4" t="s">
        <v>40</v>
      </c>
      <c r="J35" s="17" t="s">
        <v>3290</v>
      </c>
      <c r="K35" s="16">
        <v>0.84105361466709772</v>
      </c>
      <c r="L35" s="16">
        <v>74.478487614471661</v>
      </c>
      <c r="M35" s="16">
        <v>76.66615680408438</v>
      </c>
      <c r="N35" s="16">
        <v>46.428393966402282</v>
      </c>
      <c r="O35" s="16">
        <v>98.380747677280027</v>
      </c>
      <c r="P35" s="16">
        <v>62.872514982146519</v>
      </c>
      <c r="Q35" s="16">
        <v>16.02079212221733</v>
      </c>
    </row>
    <row r="36" spans="1:18" ht="12.75" x14ac:dyDescent="0.2">
      <c r="A36" s="4" t="s">
        <v>115</v>
      </c>
      <c r="B36" s="4" t="s">
        <v>131</v>
      </c>
      <c r="C36" s="4" t="s">
        <v>3351</v>
      </c>
      <c r="D36" s="4" t="s">
        <v>3352</v>
      </c>
      <c r="E36" s="4" t="s">
        <v>39</v>
      </c>
      <c r="F36" s="4" t="s">
        <v>18</v>
      </c>
      <c r="G36" s="4" t="s">
        <v>72</v>
      </c>
      <c r="H36" s="4" t="s">
        <v>3353</v>
      </c>
      <c r="I36" s="4" t="s">
        <v>40</v>
      </c>
      <c r="J36" s="17" t="s">
        <v>3290</v>
      </c>
      <c r="K36" s="16">
        <v>28.807085474607909</v>
      </c>
      <c r="L36" s="16">
        <v>63.923381674749038</v>
      </c>
      <c r="M36" s="16">
        <v>25.92379688366756</v>
      </c>
      <c r="N36" s="16">
        <v>15.769067105388345</v>
      </c>
      <c r="O36" s="16">
        <v>73.140476683450501</v>
      </c>
      <c r="P36" s="16">
        <v>27.171605842281298</v>
      </c>
      <c r="Q36" s="16">
        <v>17.484054857971078</v>
      </c>
      <c r="R36" s="4" t="s">
        <v>3396</v>
      </c>
    </row>
    <row r="37" spans="1:18" ht="12.75" x14ac:dyDescent="0.2">
      <c r="A37" s="4" t="s">
        <v>115</v>
      </c>
      <c r="B37" s="4" t="s">
        <v>122</v>
      </c>
      <c r="C37" s="4" t="s">
        <v>3354</v>
      </c>
      <c r="D37" s="4" t="s">
        <v>3355</v>
      </c>
      <c r="E37" s="4" t="s">
        <v>39</v>
      </c>
      <c r="F37" s="4" t="s">
        <v>18</v>
      </c>
      <c r="G37" s="4" t="s">
        <v>61</v>
      </c>
      <c r="H37" s="4"/>
      <c r="I37" s="4" t="s">
        <v>40</v>
      </c>
      <c r="J37" s="17" t="s">
        <v>3290</v>
      </c>
      <c r="K37" s="16">
        <v>60.336326598148325</v>
      </c>
      <c r="L37" s="16">
        <v>17.103180644622263</v>
      </c>
      <c r="M37" s="16">
        <v>60.728822069780641</v>
      </c>
      <c r="N37" s="16">
        <v>34.337985466212714</v>
      </c>
      <c r="O37" s="16">
        <v>17.927328314460567</v>
      </c>
      <c r="P37" s="16">
        <v>72.810956876934625</v>
      </c>
      <c r="Q37" s="16">
        <v>30.542376807654005</v>
      </c>
    </row>
    <row r="38" spans="1:18" ht="12.75" x14ac:dyDescent="0.2">
      <c r="A38" s="4" t="s">
        <v>115</v>
      </c>
      <c r="B38" s="4" t="s">
        <v>116</v>
      </c>
      <c r="C38" s="4" t="s">
        <v>3356</v>
      </c>
      <c r="D38" s="4" t="s">
        <v>3357</v>
      </c>
      <c r="E38" s="4" t="s">
        <v>39</v>
      </c>
      <c r="F38" s="4" t="s">
        <v>18</v>
      </c>
      <c r="G38" s="4" t="s">
        <v>61</v>
      </c>
      <c r="H38" s="4"/>
      <c r="I38" s="4" t="s">
        <v>40</v>
      </c>
      <c r="J38" s="17" t="s">
        <v>3290</v>
      </c>
      <c r="K38" s="16">
        <v>79.396203177578045</v>
      </c>
      <c r="L38" s="16">
        <v>55.400130305500483</v>
      </c>
      <c r="M38" s="16">
        <v>45.852030593783219</v>
      </c>
      <c r="N38" s="16">
        <v>16.923294007686764</v>
      </c>
      <c r="O38" s="16">
        <v>37.174938122122533</v>
      </c>
      <c r="P38" s="16">
        <v>80.137830099332461</v>
      </c>
      <c r="Q38" s="16">
        <v>15.978012299722765</v>
      </c>
    </row>
    <row r="39" spans="1:18" ht="12.75" x14ac:dyDescent="0.2">
      <c r="A39" s="4" t="s">
        <v>98</v>
      </c>
      <c r="B39" s="4" t="s">
        <v>99</v>
      </c>
      <c r="C39" s="4" t="s">
        <v>3358</v>
      </c>
      <c r="D39" s="4" t="s">
        <v>3359</v>
      </c>
      <c r="E39" s="4" t="s">
        <v>39</v>
      </c>
      <c r="F39" s="4" t="s">
        <v>11</v>
      </c>
      <c r="G39" s="4" t="s">
        <v>19</v>
      </c>
      <c r="I39" s="4" t="s">
        <v>40</v>
      </c>
      <c r="J39" s="17" t="s">
        <v>3290</v>
      </c>
      <c r="K39" s="16">
        <v>35.880988545694336</v>
      </c>
      <c r="L39" s="16">
        <v>72.282948710370249</v>
      </c>
      <c r="M39" s="16">
        <v>69.535034991074824</v>
      </c>
      <c r="N39" s="16">
        <v>52.506087561449142</v>
      </c>
      <c r="O39" s="16">
        <v>72.543637465404288</v>
      </c>
      <c r="P39" s="16">
        <v>87.505823632027187</v>
      </c>
      <c r="Q39" s="16">
        <v>87.937550815564663</v>
      </c>
    </row>
    <row r="40" spans="1:18" ht="12.75" x14ac:dyDescent="0.2">
      <c r="A40" s="4" t="s">
        <v>115</v>
      </c>
      <c r="B40" s="4" t="s">
        <v>122</v>
      </c>
      <c r="C40" s="4" t="s">
        <v>3360</v>
      </c>
      <c r="D40" s="4" t="s">
        <v>3361</v>
      </c>
      <c r="E40" s="4" t="s">
        <v>39</v>
      </c>
      <c r="F40" s="4" t="s">
        <v>18</v>
      </c>
      <c r="G40" s="4" t="s">
        <v>72</v>
      </c>
      <c r="H40" s="4"/>
      <c r="I40" s="4" t="s">
        <v>40</v>
      </c>
      <c r="J40" s="17" t="s">
        <v>3290</v>
      </c>
      <c r="K40" s="16">
        <v>31.281718076446886</v>
      </c>
      <c r="L40" s="16">
        <v>19.551726342758478</v>
      </c>
      <c r="M40" s="16">
        <v>93.953857172867018</v>
      </c>
      <c r="N40" s="16">
        <v>74.110154926728782</v>
      </c>
      <c r="O40" s="16">
        <v>94.02593057734191</v>
      </c>
      <c r="P40" s="16">
        <v>76.785988341333294</v>
      </c>
      <c r="Q40" s="16">
        <v>93.048238682388458</v>
      </c>
    </row>
    <row r="41" spans="1:18" ht="12.75" x14ac:dyDescent="0.2">
      <c r="A41" s="4" t="s">
        <v>7</v>
      </c>
      <c r="B41" s="4" t="s">
        <v>8</v>
      </c>
      <c r="C41" s="4" t="s">
        <v>3362</v>
      </c>
      <c r="D41" s="4" t="s">
        <v>3363</v>
      </c>
      <c r="E41" s="4" t="s">
        <v>39</v>
      </c>
      <c r="F41" s="4" t="s">
        <v>18</v>
      </c>
      <c r="G41" s="4" t="s">
        <v>61</v>
      </c>
      <c r="I41" s="4" t="s">
        <v>40</v>
      </c>
      <c r="J41" s="17" t="s">
        <v>3290</v>
      </c>
      <c r="K41" s="16">
        <v>65.587621042463468</v>
      </c>
      <c r="L41" s="16">
        <v>30.225740372452425</v>
      </c>
      <c r="M41" s="16">
        <v>0.46897265319203463</v>
      </c>
      <c r="N41" s="16">
        <v>58.72321527729283</v>
      </c>
      <c r="O41" s="16">
        <v>22.845936822947476</v>
      </c>
      <c r="P41" s="16">
        <v>24.679751147047035</v>
      </c>
      <c r="Q41" s="16">
        <v>92.959693223495506</v>
      </c>
    </row>
    <row r="42" spans="1:18" ht="12.75" x14ac:dyDescent="0.2">
      <c r="A42" s="4" t="s">
        <v>115</v>
      </c>
      <c r="B42" s="4" t="s">
        <v>116</v>
      </c>
      <c r="C42" s="4" t="s">
        <v>3364</v>
      </c>
      <c r="D42" s="4" t="s">
        <v>3365</v>
      </c>
      <c r="E42" s="4" t="s">
        <v>39</v>
      </c>
      <c r="F42" s="4" t="s">
        <v>11</v>
      </c>
      <c r="G42" s="4" t="s">
        <v>61</v>
      </c>
      <c r="I42" s="4" t="s">
        <v>40</v>
      </c>
      <c r="J42" s="17" t="s">
        <v>3290</v>
      </c>
      <c r="K42" s="16">
        <v>78.38723746458578</v>
      </c>
      <c r="L42" s="16">
        <v>96.881069758814675</v>
      </c>
      <c r="M42" s="16">
        <v>70.278746939232519</v>
      </c>
      <c r="N42" s="16">
        <v>61.996569787753423</v>
      </c>
      <c r="O42" s="16">
        <v>81.919968690773032</v>
      </c>
      <c r="P42" s="16">
        <v>52.36667993124653</v>
      </c>
      <c r="Q42" s="16">
        <v>89.385515095695268</v>
      </c>
    </row>
    <row r="43" spans="1:18" ht="12.75" x14ac:dyDescent="0.2">
      <c r="A43" s="4" t="s">
        <v>115</v>
      </c>
      <c r="B43" s="4" t="s">
        <v>128</v>
      </c>
      <c r="C43" s="4" t="s">
        <v>3366</v>
      </c>
      <c r="D43" s="4" t="s">
        <v>3367</v>
      </c>
      <c r="E43" s="4" t="s">
        <v>39</v>
      </c>
      <c r="F43" s="4" t="s">
        <v>25</v>
      </c>
      <c r="G43" s="4" t="s">
        <v>72</v>
      </c>
      <c r="H43" s="4" t="s">
        <v>3368</v>
      </c>
      <c r="I43" s="4" t="s">
        <v>40</v>
      </c>
      <c r="J43" s="17" t="s">
        <v>3290</v>
      </c>
      <c r="K43" s="16">
        <v>94.055939668476057</v>
      </c>
      <c r="L43" s="16">
        <v>19.18464237454738</v>
      </c>
      <c r="M43" s="16">
        <v>81.61793321388096</v>
      </c>
      <c r="N43" s="16">
        <v>12.604125005432254</v>
      </c>
      <c r="O43" s="16">
        <v>17.943037154380313</v>
      </c>
      <c r="P43" s="16">
        <v>42.29900357050046</v>
      </c>
      <c r="Q43" s="16">
        <v>37.255173489023008</v>
      </c>
    </row>
    <row r="44" spans="1:18" ht="12.75" x14ac:dyDescent="0.2">
      <c r="A44" s="4" t="s">
        <v>115</v>
      </c>
      <c r="B44" s="4" t="s">
        <v>122</v>
      </c>
      <c r="C44" s="4" t="s">
        <v>3369</v>
      </c>
      <c r="D44" s="4" t="s">
        <v>3370</v>
      </c>
      <c r="E44" s="4" t="s">
        <v>39</v>
      </c>
      <c r="F44" s="4" t="s">
        <v>11</v>
      </c>
      <c r="G44" s="4" t="s">
        <v>61</v>
      </c>
      <c r="H44" s="4"/>
      <c r="I44" s="4" t="s">
        <v>40</v>
      </c>
      <c r="J44" s="17" t="s">
        <v>3290</v>
      </c>
      <c r="K44" s="16">
        <v>28.052150502575333</v>
      </c>
      <c r="L44" s="16">
        <v>58.073971140760925</v>
      </c>
      <c r="M44" s="16">
        <v>62.594362129523184</v>
      </c>
      <c r="N44" s="16">
        <v>64.174189892733594</v>
      </c>
      <c r="O44" s="16">
        <v>11.828982553612555</v>
      </c>
      <c r="P44" s="16">
        <v>83.643284709281417</v>
      </c>
      <c r="Q44" s="16">
        <v>69.233461135997402</v>
      </c>
    </row>
    <row r="45" spans="1:18" ht="12.75" x14ac:dyDescent="0.2">
      <c r="A45" s="4" t="s">
        <v>37</v>
      </c>
      <c r="B45" s="4" t="s">
        <v>38</v>
      </c>
      <c r="C45" s="4" t="s">
        <v>3371</v>
      </c>
      <c r="D45" s="4" t="s">
        <v>3372</v>
      </c>
      <c r="E45" s="4" t="s">
        <v>39</v>
      </c>
      <c r="F45" s="4" t="s">
        <v>18</v>
      </c>
      <c r="G45" s="4" t="s">
        <v>61</v>
      </c>
      <c r="H45" s="4"/>
      <c r="I45" s="4" t="s">
        <v>40</v>
      </c>
      <c r="J45" s="17" t="s">
        <v>3290</v>
      </c>
      <c r="K45" s="16">
        <v>62.043048150594402</v>
      </c>
      <c r="L45" s="16">
        <v>86.05592065808446</v>
      </c>
      <c r="M45" s="16">
        <v>13.719356537890503</v>
      </c>
      <c r="N45" s="16">
        <v>18.662783266706217</v>
      </c>
      <c r="O45" s="16">
        <v>75.149091533205734</v>
      </c>
      <c r="P45" s="16">
        <v>7.1671454347198349</v>
      </c>
      <c r="Q45" s="16">
        <v>18.007726736092977</v>
      </c>
    </row>
    <row r="46" spans="1:18" ht="12.75" x14ac:dyDescent="0.2">
      <c r="A46" s="4" t="s">
        <v>37</v>
      </c>
      <c r="B46" s="4" t="s">
        <v>45</v>
      </c>
      <c r="C46" s="4" t="s">
        <v>3373</v>
      </c>
      <c r="D46" s="4" t="s">
        <v>3374</v>
      </c>
      <c r="E46" s="4" t="s">
        <v>39</v>
      </c>
      <c r="F46" s="4" t="s">
        <v>11</v>
      </c>
      <c r="G46" s="4" t="s">
        <v>72</v>
      </c>
      <c r="H46" s="4" t="s">
        <v>3375</v>
      </c>
      <c r="I46" s="4" t="s">
        <v>40</v>
      </c>
      <c r="J46" s="17" t="s">
        <v>3290</v>
      </c>
      <c r="K46" s="16">
        <v>16.639179402392902</v>
      </c>
      <c r="L46" s="16">
        <v>26.454970923359021</v>
      </c>
      <c r="M46" s="16">
        <v>98.302482284756024</v>
      </c>
      <c r="N46" s="16">
        <v>15.367842937793641</v>
      </c>
      <c r="O46" s="16">
        <v>83.844851389001605</v>
      </c>
      <c r="P46" s="16">
        <v>57.203063167063171</v>
      </c>
      <c r="Q46" s="16">
        <v>8.2568678258106658</v>
      </c>
    </row>
    <row r="47" spans="1:18" ht="12.75" x14ac:dyDescent="0.2">
      <c r="A47" s="4" t="s">
        <v>7</v>
      </c>
      <c r="B47" s="4" t="s">
        <v>16</v>
      </c>
      <c r="C47" s="4" t="s">
        <v>3376</v>
      </c>
      <c r="D47" s="4" t="s">
        <v>3377</v>
      </c>
      <c r="E47" s="4" t="s">
        <v>39</v>
      </c>
      <c r="F47" s="4" t="s">
        <v>11</v>
      </c>
      <c r="G47" s="4" t="s">
        <v>72</v>
      </c>
      <c r="H47" s="4" t="s">
        <v>40</v>
      </c>
      <c r="I47" s="4" t="s">
        <v>40</v>
      </c>
      <c r="J47" s="17" t="s">
        <v>3290</v>
      </c>
      <c r="K47" s="16">
        <v>55.861835603903053</v>
      </c>
      <c r="L47" s="16">
        <v>55.779234385886888</v>
      </c>
      <c r="M47" s="16">
        <v>50.096842803357035</v>
      </c>
      <c r="N47" s="16">
        <v>95.207220861521705</v>
      </c>
      <c r="O47" s="16">
        <v>10.9330509310411</v>
      </c>
      <c r="P47" s="16">
        <v>96.172311196339152</v>
      </c>
      <c r="Q47" s="16">
        <v>68.602977342840504</v>
      </c>
    </row>
    <row r="48" spans="1:18" ht="12.75" x14ac:dyDescent="0.2">
      <c r="A48" s="4" t="s">
        <v>7</v>
      </c>
      <c r="B48" s="4" t="s">
        <v>23</v>
      </c>
      <c r="C48" s="4" t="s">
        <v>3378</v>
      </c>
      <c r="D48" s="4" t="s">
        <v>3379</v>
      </c>
      <c r="E48" s="4" t="s">
        <v>39</v>
      </c>
      <c r="F48" s="4" t="s">
        <v>11</v>
      </c>
      <c r="G48" s="4" t="s">
        <v>72</v>
      </c>
      <c r="H48" s="4"/>
      <c r="I48" s="4" t="s">
        <v>40</v>
      </c>
      <c r="J48" s="17" t="s">
        <v>3290</v>
      </c>
      <c r="K48" s="16">
        <v>59.965386674780319</v>
      </c>
      <c r="L48" s="16">
        <v>17.696129572887752</v>
      </c>
      <c r="M48" s="16">
        <v>96.346033492229097</v>
      </c>
      <c r="N48" s="16">
        <v>63.113721753128956</v>
      </c>
      <c r="O48" s="16">
        <v>8.7411333249494341</v>
      </c>
      <c r="P48" s="16">
        <v>69.038832730587743</v>
      </c>
      <c r="Q48" s="16">
        <v>74.448596044023191</v>
      </c>
    </row>
    <row r="49" spans="1:18" ht="12.75" x14ac:dyDescent="0.2">
      <c r="A49" s="4" t="s">
        <v>98</v>
      </c>
      <c r="B49" s="4" t="s">
        <v>110</v>
      </c>
      <c r="C49" s="4" t="s">
        <v>3380</v>
      </c>
      <c r="D49" s="4" t="s">
        <v>3381</v>
      </c>
      <c r="E49" s="4" t="s">
        <v>39</v>
      </c>
      <c r="F49" s="4" t="s">
        <v>11</v>
      </c>
      <c r="G49" s="4" t="s">
        <v>61</v>
      </c>
      <c r="H49" s="4" t="s">
        <v>40</v>
      </c>
      <c r="I49" s="4" t="s">
        <v>40</v>
      </c>
      <c r="J49" s="17" t="s">
        <v>3290</v>
      </c>
      <c r="K49" s="16">
        <v>95.661732579420701</v>
      </c>
      <c r="L49" s="16">
        <v>54.312991820573352</v>
      </c>
      <c r="M49" s="16">
        <v>87.306999986385236</v>
      </c>
      <c r="N49" s="16">
        <v>14.496956143199968</v>
      </c>
      <c r="O49" s="16">
        <v>30.043813218577299</v>
      </c>
      <c r="P49" s="16">
        <v>17.965459786222716</v>
      </c>
      <c r="Q49" s="16">
        <v>71.399791373247098</v>
      </c>
    </row>
    <row r="50" spans="1:18" ht="12.75" x14ac:dyDescent="0.2">
      <c r="A50" s="4" t="s">
        <v>98</v>
      </c>
      <c r="B50" s="4" t="s">
        <v>99</v>
      </c>
      <c r="C50" s="4" t="s">
        <v>3382</v>
      </c>
      <c r="D50" s="4" t="s">
        <v>3383</v>
      </c>
      <c r="E50" s="4" t="s">
        <v>39</v>
      </c>
      <c r="F50" s="4" t="s">
        <v>18</v>
      </c>
      <c r="G50" s="4" t="s">
        <v>61</v>
      </c>
      <c r="H50" s="4"/>
      <c r="I50" s="4" t="s">
        <v>40</v>
      </c>
      <c r="J50" s="17" t="s">
        <v>3290</v>
      </c>
      <c r="K50" s="16">
        <v>34.577351666930298</v>
      </c>
      <c r="L50" s="16">
        <v>66.548705768804211</v>
      </c>
      <c r="M50" s="16">
        <v>72.935129696286253</v>
      </c>
      <c r="N50" s="16">
        <v>3.4497095391442079</v>
      </c>
      <c r="O50" s="16">
        <v>77.045461980524763</v>
      </c>
      <c r="P50" s="16">
        <v>32.045173918731642</v>
      </c>
      <c r="Q50" s="16">
        <v>33.113905485609848</v>
      </c>
    </row>
    <row r="51" spans="1:18" ht="12.75" x14ac:dyDescent="0.2">
      <c r="A51" s="4" t="s">
        <v>115</v>
      </c>
      <c r="B51" s="4" t="s">
        <v>116</v>
      </c>
      <c r="C51" s="4" t="s">
        <v>3384</v>
      </c>
      <c r="D51" s="4" t="s">
        <v>3385</v>
      </c>
      <c r="E51" s="4" t="s">
        <v>39</v>
      </c>
      <c r="F51" s="4" t="s">
        <v>11</v>
      </c>
      <c r="G51" s="4" t="s">
        <v>61</v>
      </c>
      <c r="H51" s="4"/>
      <c r="I51" s="4" t="s">
        <v>40</v>
      </c>
      <c r="J51" s="17" t="s">
        <v>3290</v>
      </c>
      <c r="K51" s="16">
        <v>7.8169672071145113</v>
      </c>
      <c r="L51" s="16">
        <v>81.923382219629531</v>
      </c>
      <c r="M51" s="16">
        <v>67.80220044794055</v>
      </c>
      <c r="N51" s="16">
        <v>19.591253656148599</v>
      </c>
      <c r="O51" s="16">
        <v>14.985947659887755</v>
      </c>
      <c r="P51" s="16">
        <v>61.243318001813897</v>
      </c>
      <c r="Q51" s="16">
        <v>21.224574875904711</v>
      </c>
    </row>
    <row r="52" spans="1:18" ht="12.75" x14ac:dyDescent="0.2">
      <c r="A52" s="4" t="s">
        <v>37</v>
      </c>
      <c r="B52" s="4" t="s">
        <v>38</v>
      </c>
      <c r="C52" s="4" t="s">
        <v>3386</v>
      </c>
      <c r="D52" s="4" t="s">
        <v>3387</v>
      </c>
      <c r="E52" s="4" t="s">
        <v>39</v>
      </c>
      <c r="F52" s="4" t="s">
        <v>11</v>
      </c>
      <c r="G52" s="4" t="s">
        <v>61</v>
      </c>
      <c r="H52" s="4"/>
      <c r="I52" s="4" t="s">
        <v>40</v>
      </c>
      <c r="J52" s="17" t="s">
        <v>3290</v>
      </c>
      <c r="K52" s="16">
        <v>64.941326252113086</v>
      </c>
      <c r="L52" s="16">
        <v>48.994044294495374</v>
      </c>
      <c r="M52" s="16">
        <v>29.001790635964973</v>
      </c>
      <c r="N52" s="16">
        <v>7.1387213211107747</v>
      </c>
      <c r="O52" s="16">
        <v>21.825313711471228</v>
      </c>
      <c r="P52" s="16">
        <v>94.41934076234871</v>
      </c>
      <c r="Q52" s="16">
        <v>87.913227090975568</v>
      </c>
    </row>
    <row r="53" spans="1:18" ht="12.75" x14ac:dyDescent="0.2">
      <c r="A53" s="4" t="s">
        <v>64</v>
      </c>
      <c r="B53" s="4" t="s">
        <v>86</v>
      </c>
      <c r="C53" s="4" t="s">
        <v>3388</v>
      </c>
      <c r="D53" s="4" t="s">
        <v>3389</v>
      </c>
      <c r="E53" s="4" t="s">
        <v>39</v>
      </c>
      <c r="F53" s="4" t="s">
        <v>11</v>
      </c>
      <c r="G53" s="4" t="s">
        <v>72</v>
      </c>
      <c r="I53" s="4" t="s">
        <v>40</v>
      </c>
      <c r="J53" s="17" t="s">
        <v>3290</v>
      </c>
      <c r="K53" s="16">
        <v>95.068312077413935</v>
      </c>
      <c r="L53" s="16">
        <v>63.095233685280036</v>
      </c>
      <c r="M53" s="16">
        <v>23.917585661415451</v>
      </c>
      <c r="N53" s="16">
        <v>96.101402970344196</v>
      </c>
      <c r="O53" s="16">
        <v>95.997417507321742</v>
      </c>
      <c r="P53" s="16">
        <v>88.450532040456281</v>
      </c>
      <c r="Q53" s="16">
        <v>19.044913252287632</v>
      </c>
    </row>
    <row r="54" spans="1:18" ht="12.75" x14ac:dyDescent="0.2">
      <c r="A54" s="4" t="s">
        <v>115</v>
      </c>
      <c r="B54" s="4" t="s">
        <v>116</v>
      </c>
      <c r="C54" s="4" t="s">
        <v>3390</v>
      </c>
      <c r="D54" s="4" t="s">
        <v>3391</v>
      </c>
      <c r="E54" s="4" t="s">
        <v>39</v>
      </c>
      <c r="F54" s="4" t="s">
        <v>18</v>
      </c>
      <c r="G54" s="4" t="s">
        <v>61</v>
      </c>
      <c r="I54" s="4" t="s">
        <v>40</v>
      </c>
      <c r="J54" s="17" t="s">
        <v>3290</v>
      </c>
      <c r="K54" s="16">
        <v>33.028816802301264</v>
      </c>
      <c r="L54" s="16">
        <v>60.856321621557662</v>
      </c>
      <c r="M54" s="16">
        <v>76.117282849897634</v>
      </c>
      <c r="N54" s="16">
        <v>24.452114872486518</v>
      </c>
      <c r="O54" s="16">
        <v>28.644252153545146</v>
      </c>
      <c r="P54" s="16">
        <v>59.588652467245083</v>
      </c>
      <c r="Q54" s="16">
        <v>59.144672957033507</v>
      </c>
    </row>
    <row r="55" spans="1:18" ht="12.75" x14ac:dyDescent="0.2">
      <c r="A55" s="4" t="s">
        <v>115</v>
      </c>
      <c r="B55" s="4" t="s">
        <v>119</v>
      </c>
      <c r="C55" s="4" t="s">
        <v>3392</v>
      </c>
      <c r="D55" s="4" t="s">
        <v>3393</v>
      </c>
      <c r="E55" s="4" t="s">
        <v>39</v>
      </c>
      <c r="F55" s="4" t="s">
        <v>11</v>
      </c>
      <c r="G55" s="4" t="s">
        <v>61</v>
      </c>
      <c r="I55" s="4" t="s">
        <v>40</v>
      </c>
      <c r="J55" s="17" t="s">
        <v>3290</v>
      </c>
      <c r="K55" s="16">
        <v>74.87006945209184</v>
      </c>
      <c r="L55" s="16">
        <v>1.6436148566320696</v>
      </c>
      <c r="M55" s="16">
        <v>9.0742565534405077</v>
      </c>
      <c r="N55" s="16">
        <v>40.866685449105155</v>
      </c>
      <c r="O55" s="16">
        <v>14.682762502999935</v>
      </c>
      <c r="P55" s="16">
        <v>31.948305334562864</v>
      </c>
      <c r="Q55" s="16">
        <v>93.840003227789126</v>
      </c>
    </row>
    <row r="56" spans="1:18" ht="12.75" x14ac:dyDescent="0.2">
      <c r="A56" s="4" t="s">
        <v>98</v>
      </c>
      <c r="B56" s="4" t="s">
        <v>102</v>
      </c>
      <c r="C56" s="4" t="s">
        <v>3394</v>
      </c>
      <c r="D56" s="4" t="s">
        <v>3395</v>
      </c>
      <c r="E56" s="4" t="s">
        <v>39</v>
      </c>
      <c r="F56" s="4" t="s">
        <v>11</v>
      </c>
      <c r="G56" s="4" t="s">
        <v>61</v>
      </c>
      <c r="H56" s="4"/>
      <c r="I56" s="4" t="s">
        <v>40</v>
      </c>
      <c r="J56" s="17" t="s">
        <v>3290</v>
      </c>
      <c r="K56" s="16">
        <v>14.23876487845116</v>
      </c>
      <c r="L56" s="16">
        <v>65.839698620107924</v>
      </c>
      <c r="M56" s="16">
        <v>52.989022397262289</v>
      </c>
      <c r="N56" s="16">
        <v>0.95279637767943237</v>
      </c>
      <c r="O56" s="16">
        <v>96.71676228869191</v>
      </c>
      <c r="P56" s="16">
        <v>88.707090368455013</v>
      </c>
      <c r="Q56" s="16">
        <v>65.972147416897684</v>
      </c>
    </row>
    <row r="57" spans="1:18" ht="12.75" x14ac:dyDescent="0.2">
      <c r="A57" s="4" t="s">
        <v>115</v>
      </c>
      <c r="B57" s="4" t="s">
        <v>131</v>
      </c>
      <c r="C57" s="4" t="s">
        <v>3396</v>
      </c>
      <c r="D57" s="4" t="s">
        <v>3397</v>
      </c>
      <c r="E57" s="4" t="s">
        <v>39</v>
      </c>
      <c r="F57" s="4" t="s">
        <v>11</v>
      </c>
      <c r="G57" s="4" t="s">
        <v>72</v>
      </c>
      <c r="H57" s="4" t="s">
        <v>3398</v>
      </c>
      <c r="I57" s="4" t="s">
        <v>40</v>
      </c>
      <c r="J57" s="17" t="s">
        <v>3290</v>
      </c>
      <c r="K57" s="16">
        <v>39.182523346330377</v>
      </c>
      <c r="L57" s="16">
        <v>36.237666903639443</v>
      </c>
      <c r="M57" s="16">
        <v>57.977278669946472</v>
      </c>
      <c r="N57" s="16">
        <v>29.187127722839346</v>
      </c>
      <c r="O57" s="16">
        <v>66.330625643332155</v>
      </c>
      <c r="P57" s="16">
        <v>21.431805571851569</v>
      </c>
      <c r="Q57" s="16">
        <v>73.940270004742032</v>
      </c>
      <c r="R57" s="4" t="s">
        <v>5937</v>
      </c>
    </row>
    <row r="58" spans="1:18" ht="12.75" x14ac:dyDescent="0.2">
      <c r="A58" s="4" t="s">
        <v>98</v>
      </c>
      <c r="B58" s="4" t="s">
        <v>99</v>
      </c>
      <c r="C58" s="4" t="s">
        <v>3399</v>
      </c>
      <c r="D58" s="4" t="s">
        <v>3400</v>
      </c>
      <c r="E58" s="4" t="s">
        <v>39</v>
      </c>
      <c r="F58" s="4" t="s">
        <v>18</v>
      </c>
      <c r="G58" s="4" t="s">
        <v>41</v>
      </c>
      <c r="I58" s="4" t="s">
        <v>40</v>
      </c>
      <c r="J58" s="17" t="s">
        <v>3290</v>
      </c>
      <c r="K58" s="16">
        <v>74.863187445550082</v>
      </c>
      <c r="L58" s="16">
        <v>1.46244532820623</v>
      </c>
      <c r="M58" s="16">
        <v>22.474914863586516</v>
      </c>
      <c r="N58" s="16">
        <v>6.4781490233907224</v>
      </c>
      <c r="O58" s="16">
        <v>3.1814921683200992</v>
      </c>
      <c r="P58" s="16">
        <v>40.540376444803329</v>
      </c>
      <c r="Q58" s="16">
        <v>53.283054846815027</v>
      </c>
    </row>
    <row r="59" spans="1:18" ht="12.75" x14ac:dyDescent="0.2">
      <c r="A59" s="4" t="s">
        <v>115</v>
      </c>
      <c r="B59" s="4" t="s">
        <v>119</v>
      </c>
      <c r="C59" s="4" t="s">
        <v>3401</v>
      </c>
      <c r="D59" s="4" t="s">
        <v>3402</v>
      </c>
      <c r="E59" s="4" t="s">
        <v>39</v>
      </c>
      <c r="F59" s="4" t="s">
        <v>18</v>
      </c>
      <c r="G59" s="4" t="s">
        <v>61</v>
      </c>
      <c r="H59" s="4" t="s">
        <v>3403</v>
      </c>
      <c r="I59" s="4" t="s">
        <v>40</v>
      </c>
      <c r="J59" s="17" t="s">
        <v>3290</v>
      </c>
      <c r="K59" s="16">
        <v>11.881366174133767</v>
      </c>
      <c r="L59" s="16">
        <v>25.764733691565255</v>
      </c>
      <c r="M59" s="16">
        <v>10.061822842496637</v>
      </c>
      <c r="N59" s="16">
        <v>94.014071628460002</v>
      </c>
      <c r="O59" s="16">
        <v>37.10328556370748</v>
      </c>
      <c r="P59" s="16">
        <v>86.088537806326087</v>
      </c>
      <c r="Q59" s="16">
        <v>80.591924527871541</v>
      </c>
    </row>
    <row r="60" spans="1:18" ht="12.75" x14ac:dyDescent="0.2">
      <c r="A60" s="4" t="s">
        <v>64</v>
      </c>
      <c r="B60" s="4" t="s">
        <v>82</v>
      </c>
      <c r="C60" s="4" t="s">
        <v>3404</v>
      </c>
      <c r="D60" s="4" t="s">
        <v>3405</v>
      </c>
      <c r="E60" s="4" t="s">
        <v>39</v>
      </c>
      <c r="F60" s="4" t="s">
        <v>18</v>
      </c>
      <c r="G60" s="4" t="s">
        <v>41</v>
      </c>
      <c r="H60" s="4"/>
      <c r="I60" s="4" t="s">
        <v>40</v>
      </c>
      <c r="J60" s="17" t="s">
        <v>3290</v>
      </c>
      <c r="K60" s="16">
        <v>78.190012765157903</v>
      </c>
      <c r="L60" s="16">
        <v>18.839671050278916</v>
      </c>
      <c r="M60" s="16">
        <v>84.252850983449775</v>
      </c>
      <c r="N60" s="16">
        <v>41.135301931565436</v>
      </c>
      <c r="O60" s="16">
        <v>60.691218409043302</v>
      </c>
      <c r="P60" s="16">
        <v>5.3201372591095142</v>
      </c>
      <c r="Q60" s="16">
        <v>7.4823761244004805</v>
      </c>
    </row>
    <row r="61" spans="1:18" ht="12.75" x14ac:dyDescent="0.2">
      <c r="A61" s="4" t="s">
        <v>37</v>
      </c>
      <c r="B61" s="4" t="s">
        <v>45</v>
      </c>
      <c r="C61" s="4" t="s">
        <v>3406</v>
      </c>
      <c r="D61" s="4" t="s">
        <v>3407</v>
      </c>
      <c r="E61" s="4" t="s">
        <v>39</v>
      </c>
      <c r="F61" s="4" t="s">
        <v>18</v>
      </c>
      <c r="G61" s="4" t="s">
        <v>72</v>
      </c>
      <c r="H61" s="4" t="s">
        <v>3375</v>
      </c>
      <c r="I61" s="4" t="s">
        <v>40</v>
      </c>
      <c r="J61" s="17" t="s">
        <v>3290</v>
      </c>
      <c r="K61" s="16">
        <v>58.752412234687291</v>
      </c>
      <c r="L61" s="16">
        <v>25.549048014124075</v>
      </c>
      <c r="M61" s="16">
        <v>88.351312932834787</v>
      </c>
      <c r="N61" s="16">
        <v>27.332325638398192</v>
      </c>
      <c r="O61" s="16">
        <v>64.7008528886618</v>
      </c>
      <c r="P61" s="16">
        <v>68.7096303300507</v>
      </c>
      <c r="Q61" s="16">
        <v>71.312308901128802</v>
      </c>
    </row>
    <row r="62" spans="1:18" ht="12.75" x14ac:dyDescent="0.2">
      <c r="A62" s="4" t="s">
        <v>64</v>
      </c>
      <c r="B62" s="4" t="s">
        <v>82</v>
      </c>
      <c r="C62" s="4" t="s">
        <v>3408</v>
      </c>
      <c r="D62" s="4" t="s">
        <v>3409</v>
      </c>
      <c r="E62" s="4" t="s">
        <v>39</v>
      </c>
      <c r="F62" s="4" t="s">
        <v>18</v>
      </c>
      <c r="G62" s="4"/>
      <c r="H62" s="4" t="s">
        <v>40</v>
      </c>
      <c r="I62" s="4" t="s">
        <v>40</v>
      </c>
      <c r="J62" s="17" t="s">
        <v>3290</v>
      </c>
      <c r="K62" s="16">
        <v>39.724188408354379</v>
      </c>
      <c r="L62" s="16">
        <v>9.1556370607625226</v>
      </c>
      <c r="M62" s="16">
        <v>69.866165607712063</v>
      </c>
      <c r="N62" s="16">
        <v>41.151695092834714</v>
      </c>
      <c r="O62" s="16">
        <v>44.312350030939605</v>
      </c>
      <c r="P62" s="16">
        <v>52.584970210696603</v>
      </c>
      <c r="Q62" s="16">
        <v>74.051389986047454</v>
      </c>
    </row>
    <row r="63" spans="1:18" ht="12.75" x14ac:dyDescent="0.2">
      <c r="A63" s="4" t="s">
        <v>7</v>
      </c>
      <c r="B63" s="4" t="s">
        <v>8</v>
      </c>
      <c r="C63" s="4" t="s">
        <v>3410</v>
      </c>
      <c r="D63" s="4" t="s">
        <v>3411</v>
      </c>
      <c r="E63" s="4" t="s">
        <v>39</v>
      </c>
      <c r="F63" s="4" t="s">
        <v>11</v>
      </c>
      <c r="G63" s="4" t="s">
        <v>61</v>
      </c>
      <c r="H63" s="4"/>
      <c r="I63" s="4" t="s">
        <v>40</v>
      </c>
      <c r="J63" s="17" t="s">
        <v>3290</v>
      </c>
      <c r="K63" s="16">
        <v>81.987249946686063</v>
      </c>
      <c r="L63" s="16">
        <v>25.742230969578316</v>
      </c>
      <c r="M63" s="16">
        <v>94.647930905216825</v>
      </c>
      <c r="N63" s="16">
        <v>30.33756366365893</v>
      </c>
      <c r="O63" s="16">
        <v>93.308916850245126</v>
      </c>
      <c r="P63" s="16">
        <v>49.293655328187526</v>
      </c>
      <c r="Q63" s="16">
        <v>70.398303503666369</v>
      </c>
    </row>
    <row r="64" spans="1:18" ht="12.75" x14ac:dyDescent="0.2">
      <c r="A64" s="4" t="s">
        <v>115</v>
      </c>
      <c r="B64" s="4" t="s">
        <v>119</v>
      </c>
      <c r="C64" s="4" t="s">
        <v>3412</v>
      </c>
      <c r="D64" s="4" t="s">
        <v>3413</v>
      </c>
      <c r="E64" s="4" t="s">
        <v>39</v>
      </c>
      <c r="F64" s="4" t="s">
        <v>11</v>
      </c>
      <c r="G64" s="4" t="s">
        <v>72</v>
      </c>
      <c r="I64" s="4" t="s">
        <v>40</v>
      </c>
      <c r="J64" s="17" t="s">
        <v>3290</v>
      </c>
      <c r="K64" s="16">
        <v>36.836903080818082</v>
      </c>
      <c r="L64" s="16">
        <v>27.47044008374694</v>
      </c>
      <c r="M64" s="16">
        <v>22.89835400751813</v>
      </c>
      <c r="N64" s="16">
        <v>33.501632793211478</v>
      </c>
      <c r="O64" s="16">
        <v>43.228486015166723</v>
      </c>
      <c r="P64" s="16">
        <v>85.893478884341306</v>
      </c>
      <c r="Q64" s="16">
        <v>97.435893721138314</v>
      </c>
    </row>
    <row r="65" spans="1:17" ht="12.75" x14ac:dyDescent="0.2">
      <c r="A65" s="4" t="s">
        <v>98</v>
      </c>
      <c r="B65" s="4" t="s">
        <v>107</v>
      </c>
      <c r="C65" s="4" t="s">
        <v>3414</v>
      </c>
      <c r="D65" s="4" t="s">
        <v>3415</v>
      </c>
      <c r="E65" s="4" t="s">
        <v>39</v>
      </c>
      <c r="F65" s="4" t="s">
        <v>18</v>
      </c>
      <c r="G65" s="4" t="s">
        <v>41</v>
      </c>
      <c r="H65" s="4"/>
      <c r="I65" s="4" t="s">
        <v>40</v>
      </c>
      <c r="J65" s="17" t="s">
        <v>3290</v>
      </c>
      <c r="K65" s="16">
        <v>4.1252282486947678E-2</v>
      </c>
      <c r="L65" s="16">
        <v>70.133288989700858</v>
      </c>
      <c r="M65" s="16">
        <v>8.5509498341969525</v>
      </c>
      <c r="N65" s="16">
        <v>35.955245804447834</v>
      </c>
      <c r="O65" s="16">
        <v>65.733588936705374</v>
      </c>
      <c r="P65" s="16">
        <v>66.777802404018104</v>
      </c>
      <c r="Q65" s="16">
        <v>41.955895547867492</v>
      </c>
    </row>
    <row r="66" spans="1:17" ht="12.75" x14ac:dyDescent="0.2">
      <c r="A66" s="4" t="s">
        <v>64</v>
      </c>
      <c r="B66" s="4" t="s">
        <v>70</v>
      </c>
      <c r="C66" s="4" t="s">
        <v>3416</v>
      </c>
      <c r="D66" s="4" t="s">
        <v>3417</v>
      </c>
      <c r="E66" s="4" t="s">
        <v>39</v>
      </c>
      <c r="F66" s="4" t="s">
        <v>18</v>
      </c>
      <c r="G66" s="4" t="s">
        <v>19</v>
      </c>
      <c r="I66" s="4" t="s">
        <v>40</v>
      </c>
      <c r="J66" s="17" t="s">
        <v>3290</v>
      </c>
      <c r="K66" s="16">
        <v>18.427292340608602</v>
      </c>
      <c r="L66" s="16">
        <v>93.790212144628242</v>
      </c>
      <c r="M66" s="16">
        <v>89.641188526194185</v>
      </c>
      <c r="N66" s="16">
        <v>40.045632578923254</v>
      </c>
      <c r="O66" s="16">
        <v>26.205460408530513</v>
      </c>
      <c r="P66" s="16">
        <v>66.407815469678638</v>
      </c>
      <c r="Q66" s="16">
        <v>89.159403497822112</v>
      </c>
    </row>
    <row r="67" spans="1:17" ht="12.75" x14ac:dyDescent="0.2">
      <c r="A67" s="4" t="s">
        <v>115</v>
      </c>
      <c r="B67" s="4" t="s">
        <v>119</v>
      </c>
      <c r="C67" s="4" t="s">
        <v>3418</v>
      </c>
      <c r="D67" s="4" t="s">
        <v>3419</v>
      </c>
      <c r="E67" s="4" t="s">
        <v>39</v>
      </c>
      <c r="F67" s="4" t="s">
        <v>18</v>
      </c>
      <c r="G67" s="4" t="s">
        <v>61</v>
      </c>
      <c r="I67" s="4" t="s">
        <v>40</v>
      </c>
      <c r="J67" s="17" t="s">
        <v>3290</v>
      </c>
      <c r="K67" s="16">
        <v>45.069436790504454</v>
      </c>
      <c r="L67" s="16">
        <v>16.655862896788921</v>
      </c>
      <c r="M67" s="16">
        <v>35.727156573660601</v>
      </c>
      <c r="N67" s="16">
        <v>17.359995810029016</v>
      </c>
      <c r="O67" s="16">
        <v>74.272029527372879</v>
      </c>
      <c r="P67" s="16">
        <v>15.117196808736688</v>
      </c>
      <c r="Q67" s="16">
        <v>66.81908121368501</v>
      </c>
    </row>
    <row r="68" spans="1:17" ht="12.75" x14ac:dyDescent="0.2">
      <c r="A68" s="4" t="s">
        <v>64</v>
      </c>
      <c r="B68" s="4" t="s">
        <v>82</v>
      </c>
      <c r="C68" s="4" t="s">
        <v>3420</v>
      </c>
      <c r="D68" s="4" t="s">
        <v>3421</v>
      </c>
      <c r="E68" s="4" t="s">
        <v>39</v>
      </c>
      <c r="F68" s="4" t="s">
        <v>11</v>
      </c>
      <c r="G68" s="4" t="s">
        <v>26</v>
      </c>
      <c r="H68" s="4"/>
      <c r="I68" s="4" t="s">
        <v>40</v>
      </c>
      <c r="J68" s="17" t="s">
        <v>3290</v>
      </c>
      <c r="K68" s="16">
        <v>18.967298866301054</v>
      </c>
      <c r="L68" s="16">
        <v>26.724115422651963</v>
      </c>
      <c r="M68" s="16">
        <v>26.000959507334763</v>
      </c>
      <c r="N68" s="16">
        <v>82.228017918155444</v>
      </c>
      <c r="O68" s="16">
        <v>96.515801608253909</v>
      </c>
      <c r="P68" s="16">
        <v>83.585152997076378</v>
      </c>
      <c r="Q68" s="16">
        <v>20.422714698243695</v>
      </c>
    </row>
    <row r="69" spans="1:17" ht="12.75" x14ac:dyDescent="0.2">
      <c r="A69" s="4" t="s">
        <v>7</v>
      </c>
      <c r="B69" s="4" t="s">
        <v>8</v>
      </c>
      <c r="C69" s="4" t="s">
        <v>3422</v>
      </c>
      <c r="D69" s="4" t="s">
        <v>3423</v>
      </c>
      <c r="E69" s="4" t="s">
        <v>39</v>
      </c>
      <c r="F69" s="4" t="s">
        <v>18</v>
      </c>
      <c r="G69" s="4" t="s">
        <v>41</v>
      </c>
      <c r="H69" s="4" t="s">
        <v>3424</v>
      </c>
      <c r="I69" s="4" t="s">
        <v>40</v>
      </c>
      <c r="J69" s="17" t="s">
        <v>3290</v>
      </c>
      <c r="K69" s="16">
        <v>75.890970299495947</v>
      </c>
      <c r="L69" s="16">
        <v>26.035703990956303</v>
      </c>
      <c r="M69" s="16">
        <v>65.237944892798296</v>
      </c>
      <c r="N69" s="16">
        <v>68.597329863837714</v>
      </c>
      <c r="O69" s="16">
        <v>55.282485677279261</v>
      </c>
      <c r="P69" s="16">
        <v>66.294515155396454</v>
      </c>
      <c r="Q69" s="16">
        <v>10.068507117980662</v>
      </c>
    </row>
    <row r="70" spans="1:17" ht="12.75" x14ac:dyDescent="0.2">
      <c r="A70" s="4" t="s">
        <v>64</v>
      </c>
      <c r="B70" s="4" t="s">
        <v>82</v>
      </c>
      <c r="C70" s="4" t="s">
        <v>3425</v>
      </c>
      <c r="D70" s="4" t="s">
        <v>3426</v>
      </c>
      <c r="E70" s="4" t="s">
        <v>39</v>
      </c>
      <c r="F70" s="4" t="s">
        <v>11</v>
      </c>
      <c r="G70" s="4" t="s">
        <v>41</v>
      </c>
      <c r="H70" s="4"/>
      <c r="I70" s="4" t="s">
        <v>40</v>
      </c>
      <c r="J70" s="17" t="s">
        <v>3290</v>
      </c>
      <c r="K70" s="16">
        <v>65.727677097993038</v>
      </c>
      <c r="L70" s="16">
        <v>30.246437619504828</v>
      </c>
      <c r="M70" s="16">
        <v>49.791980824122298</v>
      </c>
      <c r="N70" s="16">
        <v>97.99565651079925</v>
      </c>
      <c r="O70" s="16">
        <v>15.417506739479435</v>
      </c>
      <c r="P70" s="16">
        <v>54.519834814355136</v>
      </c>
      <c r="Q70" s="16">
        <v>72.356598716280729</v>
      </c>
    </row>
    <row r="71" spans="1:17" ht="12.75" x14ac:dyDescent="0.2">
      <c r="A71" s="4" t="s">
        <v>115</v>
      </c>
      <c r="B71" s="4" t="s">
        <v>119</v>
      </c>
      <c r="C71" s="4" t="s">
        <v>3427</v>
      </c>
      <c r="D71" s="4" t="s">
        <v>3428</v>
      </c>
      <c r="E71" s="4" t="s">
        <v>39</v>
      </c>
      <c r="F71" s="4" t="s">
        <v>18</v>
      </c>
      <c r="G71" s="4" t="s">
        <v>61</v>
      </c>
      <c r="I71" s="4" t="s">
        <v>40</v>
      </c>
      <c r="J71" s="17" t="s">
        <v>3290</v>
      </c>
      <c r="K71" s="16">
        <v>3.0845665596204941</v>
      </c>
      <c r="L71" s="16">
        <v>9.9192225738432676</v>
      </c>
      <c r="M71" s="16">
        <v>68.219477373178179</v>
      </c>
      <c r="N71" s="16">
        <v>88.905729452338306</v>
      </c>
      <c r="O71" s="16">
        <v>65.390636642779782</v>
      </c>
      <c r="P71" s="16">
        <v>81.826855576645301</v>
      </c>
      <c r="Q71" s="16">
        <v>18.454586139675367</v>
      </c>
    </row>
    <row r="72" spans="1:17" ht="12.75" x14ac:dyDescent="0.2">
      <c r="A72" s="4" t="s">
        <v>64</v>
      </c>
      <c r="B72" s="4" t="s">
        <v>82</v>
      </c>
      <c r="C72" s="4" t="s">
        <v>3429</v>
      </c>
      <c r="D72" s="4" t="s">
        <v>3430</v>
      </c>
      <c r="E72" s="4" t="s">
        <v>39</v>
      </c>
      <c r="F72" s="4" t="s">
        <v>11</v>
      </c>
      <c r="G72" s="4" t="s">
        <v>26</v>
      </c>
      <c r="I72" s="4" t="s">
        <v>40</v>
      </c>
      <c r="J72" s="17" t="s">
        <v>3290</v>
      </c>
      <c r="K72" s="16">
        <v>74.242679900544672</v>
      </c>
      <c r="L72" s="16">
        <v>6.8321290421807568</v>
      </c>
      <c r="M72" s="16">
        <v>58.31079040982187</v>
      </c>
      <c r="N72" s="16">
        <v>29.405908797193526</v>
      </c>
      <c r="O72" s="16">
        <v>45.77692184821678</v>
      </c>
      <c r="P72" s="16">
        <v>77.855038828860984</v>
      </c>
      <c r="Q72" s="16">
        <v>41.105306149427243</v>
      </c>
    </row>
    <row r="73" spans="1:17" ht="12.75" x14ac:dyDescent="0.2">
      <c r="A73" s="4" t="s">
        <v>37</v>
      </c>
      <c r="B73" s="4" t="s">
        <v>38</v>
      </c>
      <c r="C73" s="4" t="s">
        <v>3431</v>
      </c>
      <c r="D73" s="4" t="s">
        <v>3432</v>
      </c>
      <c r="E73" s="4" t="s">
        <v>39</v>
      </c>
      <c r="F73" s="4" t="s">
        <v>18</v>
      </c>
      <c r="G73" s="4" t="s">
        <v>41</v>
      </c>
      <c r="I73" s="4" t="s">
        <v>40</v>
      </c>
      <c r="J73" s="17" t="s">
        <v>3290</v>
      </c>
      <c r="K73" s="16">
        <v>4.482498677744795</v>
      </c>
      <c r="L73" s="16">
        <v>48.614544221432368</v>
      </c>
      <c r="M73" s="16">
        <v>4.0383610328232784</v>
      </c>
      <c r="N73" s="16">
        <v>38.171034482620939</v>
      </c>
      <c r="O73" s="16">
        <v>76.146389883922978</v>
      </c>
      <c r="P73" s="16">
        <v>36.355036310395249</v>
      </c>
      <c r="Q73" s="16">
        <v>76.349103186410133</v>
      </c>
    </row>
    <row r="74" spans="1:17" ht="12.75" x14ac:dyDescent="0.2">
      <c r="A74" s="4" t="s">
        <v>7</v>
      </c>
      <c r="B74" s="4" t="s">
        <v>16</v>
      </c>
      <c r="C74" s="4" t="s">
        <v>3433</v>
      </c>
      <c r="D74" s="4" t="s">
        <v>3434</v>
      </c>
      <c r="E74" s="4" t="s">
        <v>39</v>
      </c>
      <c r="F74" s="4" t="s">
        <v>11</v>
      </c>
      <c r="G74" s="4"/>
      <c r="H74" s="4" t="s">
        <v>40</v>
      </c>
      <c r="I74" s="4" t="s">
        <v>40</v>
      </c>
      <c r="J74" s="17" t="s">
        <v>3290</v>
      </c>
      <c r="K74" s="16">
        <v>65.416600961954359</v>
      </c>
      <c r="L74" s="16">
        <v>47.355487840066409</v>
      </c>
      <c r="M74" s="16">
        <v>77.54794082438454</v>
      </c>
      <c r="N74" s="16">
        <v>37.326209766961668</v>
      </c>
      <c r="O74" s="16">
        <v>75.52226597029815</v>
      </c>
      <c r="P74" s="16">
        <v>46.695677235954278</v>
      </c>
      <c r="Q74" s="16">
        <v>30.664245996627503</v>
      </c>
    </row>
    <row r="75" spans="1:17" ht="12.75" x14ac:dyDescent="0.2">
      <c r="A75" s="4" t="s">
        <v>98</v>
      </c>
      <c r="B75" s="4" t="s">
        <v>113</v>
      </c>
      <c r="C75" s="4" t="s">
        <v>3435</v>
      </c>
      <c r="D75" s="4" t="s">
        <v>3436</v>
      </c>
      <c r="E75" s="4" t="s">
        <v>39</v>
      </c>
      <c r="F75" s="4" t="s">
        <v>11</v>
      </c>
      <c r="G75" s="4" t="s">
        <v>61</v>
      </c>
      <c r="H75" s="4"/>
      <c r="I75" s="4" t="s">
        <v>40</v>
      </c>
      <c r="J75" s="17" t="s">
        <v>3290</v>
      </c>
      <c r="K75" s="16">
        <v>0.67037730493350045</v>
      </c>
      <c r="L75" s="16">
        <v>16.982729047825671</v>
      </c>
      <c r="M75" s="16">
        <v>24.990744989740477</v>
      </c>
      <c r="N75" s="16">
        <v>25.965162204055879</v>
      </c>
      <c r="O75" s="16">
        <v>1.6373047513499439</v>
      </c>
      <c r="P75" s="16">
        <v>13.92474176392059</v>
      </c>
      <c r="Q75" s="16">
        <v>10.928490758325049</v>
      </c>
    </row>
    <row r="76" spans="1:17" ht="12.75" x14ac:dyDescent="0.2">
      <c r="A76" s="4" t="s">
        <v>98</v>
      </c>
      <c r="B76" s="4" t="s">
        <v>102</v>
      </c>
      <c r="C76" s="4" t="s">
        <v>3437</v>
      </c>
      <c r="D76" s="4" t="s">
        <v>3438</v>
      </c>
      <c r="E76" s="4" t="s">
        <v>39</v>
      </c>
      <c r="F76" s="4" t="s">
        <v>18</v>
      </c>
      <c r="G76" s="4" t="s">
        <v>41</v>
      </c>
      <c r="H76" s="4"/>
      <c r="I76" s="4" t="s">
        <v>40</v>
      </c>
      <c r="J76" s="17" t="s">
        <v>3290</v>
      </c>
      <c r="K76" s="16">
        <v>57.423760691884453</v>
      </c>
      <c r="L76" s="16">
        <v>50.51327772719241</v>
      </c>
      <c r="M76" s="16">
        <v>89.018049003617406</v>
      </c>
      <c r="N76" s="16">
        <v>27.695104759693614</v>
      </c>
      <c r="O76" s="16">
        <v>29.879131540939408</v>
      </c>
      <c r="P76" s="16">
        <v>94.7331133076989</v>
      </c>
      <c r="Q76" s="16">
        <v>7.566812994701122</v>
      </c>
    </row>
    <row r="77" spans="1:17" ht="12.75" x14ac:dyDescent="0.2">
      <c r="A77" s="4" t="s">
        <v>98</v>
      </c>
      <c r="B77" s="4" t="s">
        <v>107</v>
      </c>
      <c r="C77" s="4" t="s">
        <v>3439</v>
      </c>
      <c r="D77" s="4" t="s">
        <v>3440</v>
      </c>
      <c r="E77" s="4" t="s">
        <v>39</v>
      </c>
      <c r="F77" s="4" t="s">
        <v>11</v>
      </c>
      <c r="G77" s="4" t="s">
        <v>41</v>
      </c>
      <c r="I77" s="4" t="s">
        <v>40</v>
      </c>
      <c r="J77" s="17" t="s">
        <v>3290</v>
      </c>
      <c r="K77" s="16">
        <v>89.3361490342823</v>
      </c>
      <c r="L77" s="16">
        <v>77.323533161950991</v>
      </c>
      <c r="M77" s="16">
        <v>68.025270099266933</v>
      </c>
      <c r="N77" s="16">
        <v>96.236951014971638</v>
      </c>
      <c r="O77" s="16">
        <v>64.544206187625747</v>
      </c>
      <c r="P77" s="16">
        <v>98.134596034067442</v>
      </c>
      <c r="Q77" s="16">
        <v>59.728971286230859</v>
      </c>
    </row>
    <row r="78" spans="1:17" ht="12.75" x14ac:dyDescent="0.2">
      <c r="A78" s="4" t="s">
        <v>98</v>
      </c>
      <c r="B78" s="4" t="s">
        <v>105</v>
      </c>
      <c r="C78" s="4" t="s">
        <v>3441</v>
      </c>
      <c r="D78" s="4" t="s">
        <v>3442</v>
      </c>
      <c r="E78" s="4" t="s">
        <v>39</v>
      </c>
      <c r="F78" s="4" t="s">
        <v>18</v>
      </c>
      <c r="G78" s="4" t="s">
        <v>41</v>
      </c>
      <c r="H78" s="4"/>
      <c r="I78" s="4" t="s">
        <v>40</v>
      </c>
      <c r="J78" s="17" t="s">
        <v>3290</v>
      </c>
      <c r="K78" s="16">
        <v>8.3252250924681359E-2</v>
      </c>
      <c r="L78" s="16">
        <v>42.096824184769652</v>
      </c>
      <c r="M78" s="16">
        <v>84.47686287962334</v>
      </c>
      <c r="N78" s="16">
        <v>50.08142993917383</v>
      </c>
      <c r="O78" s="16">
        <v>41.401457661475604</v>
      </c>
      <c r="P78" s="16">
        <v>57.02837084714286</v>
      </c>
      <c r="Q78" s="16">
        <v>85.866945845133529</v>
      </c>
    </row>
    <row r="79" spans="1:17" ht="12.75" x14ac:dyDescent="0.2">
      <c r="A79" s="4" t="s">
        <v>98</v>
      </c>
      <c r="B79" s="4" t="s">
        <v>110</v>
      </c>
      <c r="C79" s="4" t="s">
        <v>3443</v>
      </c>
      <c r="D79" s="4" t="s">
        <v>3444</v>
      </c>
      <c r="E79" s="4" t="s">
        <v>39</v>
      </c>
      <c r="F79" s="4" t="s">
        <v>11</v>
      </c>
      <c r="G79" s="4" t="s">
        <v>12</v>
      </c>
      <c r="H79" s="4" t="s">
        <v>40</v>
      </c>
      <c r="I79" s="4" t="s">
        <v>40</v>
      </c>
      <c r="J79" s="17" t="s">
        <v>3290</v>
      </c>
      <c r="K79" s="16">
        <v>59.229773133049378</v>
      </c>
      <c r="L79" s="16">
        <v>4.1551945002475605</v>
      </c>
      <c r="M79" s="16">
        <v>49.759918364565777</v>
      </c>
      <c r="N79" s="16">
        <v>20.907411410562183</v>
      </c>
      <c r="O79" s="16">
        <v>71.42642197567956</v>
      </c>
      <c r="P79" s="16">
        <v>61.530609744273569</v>
      </c>
      <c r="Q79" s="16">
        <v>60.668349018059956</v>
      </c>
    </row>
    <row r="80" spans="1:17" ht="12.75" x14ac:dyDescent="0.2">
      <c r="A80" s="4" t="s">
        <v>7</v>
      </c>
      <c r="B80" s="4" t="s">
        <v>30</v>
      </c>
      <c r="C80" s="4" t="s">
        <v>3445</v>
      </c>
      <c r="D80" s="4" t="s">
        <v>3446</v>
      </c>
      <c r="E80" s="4" t="s">
        <v>39</v>
      </c>
      <c r="F80" s="4" t="s">
        <v>18</v>
      </c>
      <c r="G80" s="4" t="s">
        <v>72</v>
      </c>
      <c r="H80" s="4" t="s">
        <v>3447</v>
      </c>
      <c r="I80" s="4" t="s">
        <v>40</v>
      </c>
      <c r="J80" s="17" t="s">
        <v>3290</v>
      </c>
      <c r="K80" s="16">
        <v>31.142475280645833</v>
      </c>
      <c r="L80" s="16">
        <v>1.1964314899089112</v>
      </c>
      <c r="M80" s="16">
        <v>58.31294578472842</v>
      </c>
      <c r="N80" s="16">
        <v>35.873521658370997</v>
      </c>
      <c r="O80" s="16">
        <v>76.361909736264593</v>
      </c>
      <c r="P80" s="16">
        <v>31.847776929898984</v>
      </c>
      <c r="Q80" s="16">
        <v>45.211870762018144</v>
      </c>
    </row>
    <row r="81" spans="1:18" ht="12.75" x14ac:dyDescent="0.2">
      <c r="A81" s="4" t="s">
        <v>115</v>
      </c>
      <c r="B81" s="4" t="s">
        <v>131</v>
      </c>
      <c r="C81" s="4" t="s">
        <v>3448</v>
      </c>
      <c r="D81" s="4" t="s">
        <v>3449</v>
      </c>
      <c r="E81" s="4" t="s">
        <v>39</v>
      </c>
      <c r="F81" s="4" t="s">
        <v>18</v>
      </c>
      <c r="G81" s="4" t="s">
        <v>72</v>
      </c>
      <c r="H81" s="4" t="s">
        <v>3450</v>
      </c>
      <c r="I81" s="4" t="s">
        <v>40</v>
      </c>
      <c r="J81" s="17" t="s">
        <v>3290</v>
      </c>
      <c r="K81" s="16">
        <v>25.442779888650826</v>
      </c>
      <c r="L81" s="16">
        <v>68.001211846752767</v>
      </c>
      <c r="M81" s="16">
        <v>98.702428121468699</v>
      </c>
      <c r="N81" s="16">
        <v>91.909899519037694</v>
      </c>
      <c r="O81" s="16">
        <v>20.246187802888159</v>
      </c>
      <c r="P81" s="16">
        <v>44.130135172706794</v>
      </c>
      <c r="Q81" s="16">
        <v>61.824562224517344</v>
      </c>
      <c r="R81" s="4" t="s">
        <v>3396</v>
      </c>
    </row>
    <row r="82" spans="1:18" ht="12.75" x14ac:dyDescent="0.2">
      <c r="A82" s="4" t="s">
        <v>98</v>
      </c>
      <c r="B82" s="4" t="s">
        <v>107</v>
      </c>
      <c r="C82" s="4" t="s">
        <v>3451</v>
      </c>
      <c r="D82" s="4" t="s">
        <v>3452</v>
      </c>
      <c r="E82" s="4" t="s">
        <v>39</v>
      </c>
      <c r="F82" s="4" t="s">
        <v>18</v>
      </c>
      <c r="G82" s="4" t="s">
        <v>41</v>
      </c>
      <c r="H82" s="4"/>
      <c r="I82" s="4" t="s">
        <v>40</v>
      </c>
      <c r="J82" s="17" t="s">
        <v>3290</v>
      </c>
      <c r="K82" s="16">
        <v>59.383020821908474</v>
      </c>
      <c r="L82" s="16">
        <v>99.442220234517137</v>
      </c>
      <c r="M82" s="16">
        <v>56.779971418955888</v>
      </c>
      <c r="N82" s="16">
        <v>51.545399501140153</v>
      </c>
      <c r="O82" s="16">
        <v>87.858658942831056</v>
      </c>
      <c r="P82" s="16">
        <v>31.919880045156834</v>
      </c>
      <c r="Q82" s="16">
        <v>10.022695061605958</v>
      </c>
    </row>
    <row r="83" spans="1:18" ht="12.75" x14ac:dyDescent="0.2">
      <c r="A83" s="4" t="s">
        <v>115</v>
      </c>
      <c r="B83" s="4" t="s">
        <v>122</v>
      </c>
      <c r="C83" s="4" t="s">
        <v>3453</v>
      </c>
      <c r="D83" s="4" t="s">
        <v>3454</v>
      </c>
      <c r="E83" s="4" t="s">
        <v>39</v>
      </c>
      <c r="F83" s="4" t="s">
        <v>18</v>
      </c>
      <c r="G83" s="4" t="s">
        <v>61</v>
      </c>
      <c r="H83" s="4"/>
      <c r="I83" s="4" t="s">
        <v>40</v>
      </c>
      <c r="J83" s="17" t="s">
        <v>3290</v>
      </c>
      <c r="K83" s="16">
        <v>30.604206375589161</v>
      </c>
      <c r="L83" s="16">
        <v>95.641737473212018</v>
      </c>
      <c r="M83" s="16">
        <v>52.108450961690998</v>
      </c>
      <c r="N83" s="16">
        <v>27.705353014336652</v>
      </c>
      <c r="O83" s="16">
        <v>91.444091644316046</v>
      </c>
      <c r="P83" s="16">
        <v>73.983612835894093</v>
      </c>
      <c r="Q83" s="16">
        <v>67.981897963734596</v>
      </c>
    </row>
    <row r="84" spans="1:18" ht="12.75" x14ac:dyDescent="0.2">
      <c r="A84" s="4" t="s">
        <v>115</v>
      </c>
      <c r="B84" s="4" t="s">
        <v>116</v>
      </c>
      <c r="C84" s="4" t="s">
        <v>3455</v>
      </c>
      <c r="D84" s="4" t="s">
        <v>3456</v>
      </c>
      <c r="E84" s="4" t="s">
        <v>39</v>
      </c>
      <c r="F84" s="4" t="s">
        <v>18</v>
      </c>
      <c r="G84" s="4" t="s">
        <v>61</v>
      </c>
      <c r="H84" s="4"/>
      <c r="I84" s="4" t="s">
        <v>40</v>
      </c>
      <c r="J84" s="17" t="s">
        <v>3290</v>
      </c>
      <c r="K84" s="16">
        <v>74.235151727925512</v>
      </c>
      <c r="L84" s="16">
        <v>27.797160600812187</v>
      </c>
      <c r="M84" s="16">
        <v>46.165129443994793</v>
      </c>
      <c r="N84" s="16">
        <v>37.3355145198326</v>
      </c>
      <c r="O84" s="16">
        <v>91.847318382695775</v>
      </c>
      <c r="P84" s="16">
        <v>75.863790760616752</v>
      </c>
      <c r="Q84" s="16">
        <v>73.840288923922188</v>
      </c>
    </row>
    <row r="85" spans="1:18" ht="12.75" x14ac:dyDescent="0.2">
      <c r="A85" s="4" t="s">
        <v>115</v>
      </c>
      <c r="B85" s="4" t="s">
        <v>119</v>
      </c>
      <c r="C85" s="4" t="s">
        <v>3457</v>
      </c>
      <c r="D85" s="4" t="s">
        <v>3458</v>
      </c>
      <c r="E85" s="4" t="s">
        <v>39</v>
      </c>
      <c r="F85" s="4" t="s">
        <v>18</v>
      </c>
      <c r="G85" s="4" t="s">
        <v>61</v>
      </c>
      <c r="I85" s="4" t="s">
        <v>40</v>
      </c>
      <c r="J85" s="17" t="s">
        <v>3290</v>
      </c>
      <c r="K85" s="16">
        <v>25.889102132450315</v>
      </c>
      <c r="L85" s="16">
        <v>41.298064793088763</v>
      </c>
      <c r="M85" s="16">
        <v>51.918807239164479</v>
      </c>
      <c r="N85" s="16">
        <v>88.653928218900745</v>
      </c>
      <c r="O85" s="16">
        <v>68.982836656579224</v>
      </c>
      <c r="P85" s="16">
        <v>29.014684776495169</v>
      </c>
      <c r="Q85" s="16">
        <v>87.049874008334555</v>
      </c>
    </row>
    <row r="86" spans="1:18" ht="12.75" x14ac:dyDescent="0.2">
      <c r="A86" s="4" t="s">
        <v>64</v>
      </c>
      <c r="B86" s="4" t="s">
        <v>82</v>
      </c>
      <c r="C86" s="4" t="s">
        <v>3459</v>
      </c>
      <c r="D86" s="4" t="s">
        <v>3460</v>
      </c>
      <c r="E86" s="4" t="s">
        <v>39</v>
      </c>
      <c r="F86" s="4" t="s">
        <v>11</v>
      </c>
      <c r="G86" s="4" t="s">
        <v>19</v>
      </c>
      <c r="H86" s="4"/>
      <c r="I86" s="4" t="s">
        <v>40</v>
      </c>
      <c r="J86" s="17" t="s">
        <v>3290</v>
      </c>
      <c r="K86" s="16">
        <v>65.282014135951911</v>
      </c>
      <c r="L86" s="16">
        <v>19.411928304589289</v>
      </c>
      <c r="M86" s="16">
        <v>36.223490487624012</v>
      </c>
      <c r="N86" s="16">
        <v>7.652418512791936</v>
      </c>
      <c r="O86" s="16">
        <v>18.096438830206509</v>
      </c>
      <c r="P86" s="16">
        <v>45.768449204111491</v>
      </c>
      <c r="Q86" s="16">
        <v>93.754272380600014</v>
      </c>
    </row>
    <row r="87" spans="1:18" ht="12.75" x14ac:dyDescent="0.2">
      <c r="A87" s="4" t="s">
        <v>115</v>
      </c>
      <c r="B87" s="4" t="s">
        <v>119</v>
      </c>
      <c r="C87" s="4" t="s">
        <v>3461</v>
      </c>
      <c r="D87" s="4" t="s">
        <v>3462</v>
      </c>
      <c r="E87" s="4" t="s">
        <v>39</v>
      </c>
      <c r="F87" s="4" t="s">
        <v>18</v>
      </c>
      <c r="G87" s="4" t="s">
        <v>61</v>
      </c>
      <c r="I87" s="4" t="s">
        <v>40</v>
      </c>
      <c r="J87" s="17" t="s">
        <v>3290</v>
      </c>
      <c r="K87" s="16">
        <v>92.483016368971121</v>
      </c>
      <c r="L87" s="16">
        <v>96.99346979722722</v>
      </c>
      <c r="M87" s="16">
        <v>8.8673584373083596</v>
      </c>
      <c r="N87" s="16">
        <v>29.059880203686038</v>
      </c>
      <c r="O87" s="16">
        <v>16.970067858653159</v>
      </c>
      <c r="P87" s="16">
        <v>25.365853153504482</v>
      </c>
      <c r="Q87" s="16">
        <v>32.337428724974437</v>
      </c>
    </row>
    <row r="88" spans="1:18" ht="12.75" x14ac:dyDescent="0.2">
      <c r="A88" s="4" t="s">
        <v>64</v>
      </c>
      <c r="B88" s="4" t="s">
        <v>74</v>
      </c>
      <c r="C88" s="4" t="s">
        <v>3463</v>
      </c>
      <c r="D88" s="4" t="s">
        <v>3464</v>
      </c>
      <c r="E88" s="4" t="s">
        <v>39</v>
      </c>
      <c r="F88" s="4" t="s">
        <v>18</v>
      </c>
      <c r="G88" s="4" t="s">
        <v>41</v>
      </c>
      <c r="H88" s="4" t="s">
        <v>3465</v>
      </c>
      <c r="I88" s="4" t="s">
        <v>40</v>
      </c>
      <c r="J88" s="17" t="s">
        <v>3290</v>
      </c>
      <c r="K88" s="16">
        <v>16.343005910946573</v>
      </c>
      <c r="L88" s="16">
        <v>86.881368580175021</v>
      </c>
      <c r="M88" s="16">
        <v>37.563927192013146</v>
      </c>
      <c r="N88" s="16">
        <v>94.969553237494779</v>
      </c>
      <c r="O88" s="16">
        <v>38.733571622649734</v>
      </c>
      <c r="P88" s="16">
        <v>91.483268173948105</v>
      </c>
      <c r="Q88" s="16">
        <v>98.580249619493927</v>
      </c>
    </row>
    <row r="89" spans="1:18" ht="12.75" x14ac:dyDescent="0.2">
      <c r="A89" s="4" t="s">
        <v>64</v>
      </c>
      <c r="B89" s="4" t="s">
        <v>65</v>
      </c>
      <c r="C89" s="4" t="s">
        <v>3466</v>
      </c>
      <c r="D89" s="4" t="s">
        <v>3467</v>
      </c>
      <c r="E89" s="4" t="s">
        <v>39</v>
      </c>
      <c r="F89" s="4" t="s">
        <v>18</v>
      </c>
      <c r="G89" s="4" t="s">
        <v>19</v>
      </c>
      <c r="H89" s="4"/>
      <c r="I89" s="4" t="s">
        <v>40</v>
      </c>
      <c r="J89" s="17" t="s">
        <v>3290</v>
      </c>
      <c r="K89" s="16">
        <v>50.938260851509966</v>
      </c>
      <c r="L89" s="16">
        <v>67.532587434812825</v>
      </c>
      <c r="M89" s="16">
        <v>81.866381727053522</v>
      </c>
      <c r="N89" s="16">
        <v>32.011240514303253</v>
      </c>
      <c r="O89" s="16">
        <v>69.600304157183444</v>
      </c>
      <c r="P89" s="16">
        <v>76.028349894970233</v>
      </c>
      <c r="Q89" s="16">
        <v>98.298715263638542</v>
      </c>
    </row>
    <row r="90" spans="1:18" ht="12.75" x14ac:dyDescent="0.2">
      <c r="A90" s="4" t="s">
        <v>64</v>
      </c>
      <c r="B90" s="4" t="s">
        <v>65</v>
      </c>
      <c r="C90" s="4" t="s">
        <v>3468</v>
      </c>
      <c r="D90" s="4" t="s">
        <v>3469</v>
      </c>
      <c r="E90" s="4" t="s">
        <v>39</v>
      </c>
      <c r="F90" s="4" t="s">
        <v>18</v>
      </c>
      <c r="G90" s="4" t="s">
        <v>61</v>
      </c>
      <c r="H90" s="4"/>
      <c r="I90" s="4" t="s">
        <v>40</v>
      </c>
      <c r="J90" s="17" t="s">
        <v>3290</v>
      </c>
      <c r="K90" s="16">
        <v>40.501608727953233</v>
      </c>
      <c r="L90" s="16">
        <v>27.224970681863937</v>
      </c>
      <c r="M90" s="16">
        <v>43.028165853796231</v>
      </c>
      <c r="N90" s="16">
        <v>1.3294091898521043</v>
      </c>
      <c r="O90" s="16">
        <v>1.6007923246902478</v>
      </c>
      <c r="P90" s="16">
        <v>1.6800105324232817</v>
      </c>
      <c r="Q90" s="16">
        <v>8.2136544572817947</v>
      </c>
    </row>
    <row r="91" spans="1:18" ht="12.75" x14ac:dyDescent="0.2">
      <c r="A91" s="4" t="s">
        <v>7</v>
      </c>
      <c r="B91" s="4" t="s">
        <v>16</v>
      </c>
      <c r="C91" s="4" t="s">
        <v>3470</v>
      </c>
      <c r="D91" s="4" t="s">
        <v>3471</v>
      </c>
      <c r="E91" s="4" t="s">
        <v>39</v>
      </c>
      <c r="F91" s="4" t="s">
        <v>18</v>
      </c>
      <c r="G91" s="4" t="s">
        <v>61</v>
      </c>
      <c r="H91" s="4"/>
      <c r="I91" s="4" t="s">
        <v>40</v>
      </c>
      <c r="J91" s="17" t="s">
        <v>3290</v>
      </c>
      <c r="K91" s="16">
        <v>71.855433145147259</v>
      </c>
      <c r="L91" s="16">
        <v>64.387043388233792</v>
      </c>
      <c r="M91" s="16">
        <v>83.442586367615533</v>
      </c>
      <c r="N91" s="16">
        <v>57.657852476906221</v>
      </c>
      <c r="O91" s="16">
        <v>22.631285095952801</v>
      </c>
      <c r="P91" s="16">
        <v>29.12360801577487</v>
      </c>
      <c r="Q91" s="16">
        <v>6.2917071888473064</v>
      </c>
    </row>
    <row r="92" spans="1:18" ht="12.75" x14ac:dyDescent="0.2">
      <c r="A92" s="4" t="s">
        <v>115</v>
      </c>
      <c r="B92" s="4" t="s">
        <v>122</v>
      </c>
      <c r="C92" s="4" t="s">
        <v>3472</v>
      </c>
      <c r="D92" s="4" t="s">
        <v>3473</v>
      </c>
      <c r="E92" s="4" t="s">
        <v>39</v>
      </c>
      <c r="F92" s="4" t="s">
        <v>18</v>
      </c>
      <c r="G92" s="4" t="s">
        <v>61</v>
      </c>
      <c r="H92" s="4"/>
      <c r="I92" s="4" t="s">
        <v>40</v>
      </c>
      <c r="J92" s="17" t="s">
        <v>3290</v>
      </c>
      <c r="K92" s="16">
        <v>6.3025607243699096</v>
      </c>
      <c r="L92" s="16">
        <v>21.427998259564298</v>
      </c>
      <c r="M92" s="16">
        <v>93.402146311270471</v>
      </c>
      <c r="N92" s="16">
        <v>72.349912659046538</v>
      </c>
      <c r="O92" s="16">
        <v>12.139735657916662</v>
      </c>
      <c r="P92" s="16">
        <v>55.792067684966071</v>
      </c>
      <c r="Q92" s="16">
        <v>96.559017854554696</v>
      </c>
    </row>
    <row r="93" spans="1:18" ht="12.75" x14ac:dyDescent="0.2">
      <c r="A93" s="4" t="s">
        <v>7</v>
      </c>
      <c r="B93" s="4" t="s">
        <v>8</v>
      </c>
      <c r="C93" s="4" t="s">
        <v>3474</v>
      </c>
      <c r="D93" s="4" t="s">
        <v>3475</v>
      </c>
      <c r="E93" s="4" t="s">
        <v>39</v>
      </c>
      <c r="F93" s="4" t="s">
        <v>18</v>
      </c>
      <c r="G93" s="4" t="s">
        <v>41</v>
      </c>
      <c r="I93" s="4" t="s">
        <v>40</v>
      </c>
      <c r="J93" s="17" t="s">
        <v>3290</v>
      </c>
      <c r="K93" s="16">
        <v>87.249327583826698</v>
      </c>
      <c r="L93" s="16">
        <v>88.052563680816348</v>
      </c>
      <c r="M93" s="16">
        <v>65.161345548999165</v>
      </c>
      <c r="N93" s="16">
        <v>44.220253031146704</v>
      </c>
      <c r="O93" s="16">
        <v>90.40380127479942</v>
      </c>
      <c r="P93" s="16">
        <v>28.864982599129906</v>
      </c>
      <c r="Q93" s="16">
        <v>13.204757579920745</v>
      </c>
    </row>
    <row r="94" spans="1:18" ht="12.75" x14ac:dyDescent="0.2">
      <c r="A94" s="4" t="s">
        <v>64</v>
      </c>
      <c r="B94" s="4" t="s">
        <v>82</v>
      </c>
      <c r="C94" s="4" t="s">
        <v>3476</v>
      </c>
      <c r="D94" s="4" t="s">
        <v>3477</v>
      </c>
      <c r="E94" s="4" t="s">
        <v>39</v>
      </c>
      <c r="F94" s="4" t="s">
        <v>11</v>
      </c>
      <c r="G94" s="4" t="s">
        <v>19</v>
      </c>
      <c r="H94" s="4"/>
      <c r="I94" s="4" t="s">
        <v>40</v>
      </c>
      <c r="J94" s="17" t="s">
        <v>3290</v>
      </c>
      <c r="K94" s="16">
        <v>97.265655132545078</v>
      </c>
      <c r="L94" s="16">
        <v>69.866920450004471</v>
      </c>
      <c r="M94" s="16">
        <v>21.04205870665422</v>
      </c>
      <c r="N94" s="16">
        <v>58.37897248910555</v>
      </c>
      <c r="O94" s="16">
        <v>98.105833056445874</v>
      </c>
      <c r="P94" s="16">
        <v>78.222288905507469</v>
      </c>
      <c r="Q94" s="16">
        <v>6.8651067518592512</v>
      </c>
    </row>
    <row r="95" spans="1:18" ht="12.75" x14ac:dyDescent="0.2">
      <c r="A95" s="4" t="s">
        <v>37</v>
      </c>
      <c r="B95" s="4" t="s">
        <v>38</v>
      </c>
      <c r="C95" s="4" t="s">
        <v>3478</v>
      </c>
      <c r="D95" s="4" t="s">
        <v>3479</v>
      </c>
      <c r="E95" s="4" t="s">
        <v>39</v>
      </c>
      <c r="F95" s="4" t="s">
        <v>18</v>
      </c>
      <c r="G95" s="4" t="s">
        <v>61</v>
      </c>
      <c r="H95" s="4"/>
      <c r="I95" s="4" t="s">
        <v>40</v>
      </c>
      <c r="J95" s="17" t="s">
        <v>3290</v>
      </c>
      <c r="K95" s="16">
        <v>75.09723141851326</v>
      </c>
      <c r="L95" s="16">
        <v>76.499828640423289</v>
      </c>
      <c r="M95" s="16">
        <v>30.049541109354184</v>
      </c>
      <c r="N95" s="16">
        <v>93.270903094013278</v>
      </c>
      <c r="O95" s="16">
        <v>87.06176605782322</v>
      </c>
      <c r="P95" s="16">
        <v>56.55983386646983</v>
      </c>
      <c r="Q95" s="16">
        <v>66.169093309765032</v>
      </c>
    </row>
    <row r="96" spans="1:18" ht="12.75" x14ac:dyDescent="0.2">
      <c r="A96" s="4" t="s">
        <v>115</v>
      </c>
      <c r="B96" s="4" t="s">
        <v>125</v>
      </c>
      <c r="C96" s="4" t="s">
        <v>3480</v>
      </c>
      <c r="D96" s="4" t="s">
        <v>3481</v>
      </c>
      <c r="E96" s="4" t="s">
        <v>39</v>
      </c>
      <c r="F96" s="4" t="s">
        <v>18</v>
      </c>
      <c r="G96" s="4" t="s">
        <v>12</v>
      </c>
      <c r="H96" s="4" t="s">
        <v>3482</v>
      </c>
      <c r="I96" s="4" t="s">
        <v>40</v>
      </c>
      <c r="J96" s="17" t="s">
        <v>3290</v>
      </c>
      <c r="K96" s="16">
        <v>61.789976268697004</v>
      </c>
      <c r="L96" s="16">
        <v>76.906749611447324</v>
      </c>
      <c r="M96" s="16">
        <v>4.2525802058064439</v>
      </c>
      <c r="N96" s="16">
        <v>70.805998159105272</v>
      </c>
      <c r="O96" s="16">
        <v>27.26081902693911</v>
      </c>
      <c r="P96" s="16">
        <v>9.4878395532164603</v>
      </c>
      <c r="Q96" s="16">
        <v>45.505710071629913</v>
      </c>
      <c r="R96" s="4" t="s">
        <v>3285</v>
      </c>
    </row>
    <row r="97" spans="1:18" ht="12.75" x14ac:dyDescent="0.2">
      <c r="A97" s="4" t="s">
        <v>115</v>
      </c>
      <c r="B97" s="4" t="s">
        <v>116</v>
      </c>
      <c r="C97" s="4" t="s">
        <v>3483</v>
      </c>
      <c r="D97" s="4" t="s">
        <v>3484</v>
      </c>
      <c r="E97" s="4" t="s">
        <v>39</v>
      </c>
      <c r="F97" s="4" t="s">
        <v>18</v>
      </c>
      <c r="G97" s="4" t="s">
        <v>61</v>
      </c>
      <c r="I97" s="4" t="s">
        <v>40</v>
      </c>
      <c r="J97" s="17" t="s">
        <v>3290</v>
      </c>
      <c r="K97" s="16">
        <v>68.767144286171273</v>
      </c>
      <c r="L97" s="16">
        <v>81.088017394065105</v>
      </c>
      <c r="M97" s="16">
        <v>33.981510484677024</v>
      </c>
      <c r="N97" s="16">
        <v>32.713149713371578</v>
      </c>
      <c r="O97" s="16">
        <v>29.228239635279451</v>
      </c>
      <c r="P97" s="16">
        <v>93.173837490556096</v>
      </c>
      <c r="Q97" s="16">
        <v>49.209963343972753</v>
      </c>
    </row>
    <row r="98" spans="1:18" ht="12.75" x14ac:dyDescent="0.2">
      <c r="A98" s="4" t="s">
        <v>64</v>
      </c>
      <c r="B98" s="4" t="s">
        <v>65</v>
      </c>
      <c r="C98" s="4" t="s">
        <v>3485</v>
      </c>
      <c r="D98" s="4" t="s">
        <v>3486</v>
      </c>
      <c r="E98" s="4" t="s">
        <v>39</v>
      </c>
      <c r="F98" s="4" t="s">
        <v>18</v>
      </c>
      <c r="G98" s="4" t="s">
        <v>19</v>
      </c>
      <c r="H98" s="4"/>
      <c r="I98" s="4" t="s">
        <v>40</v>
      </c>
      <c r="J98" s="17" t="s">
        <v>3290</v>
      </c>
      <c r="K98" s="16">
        <v>77.456954987882028</v>
      </c>
      <c r="L98" s="16">
        <v>82.964928607073446</v>
      </c>
      <c r="M98" s="16">
        <v>17.650819114119543</v>
      </c>
      <c r="N98" s="16">
        <v>62.203026050743716</v>
      </c>
      <c r="O98" s="16">
        <v>14.56562986517741</v>
      </c>
      <c r="P98" s="16">
        <v>5.6761391688331386E-2</v>
      </c>
      <c r="Q98" s="16">
        <v>1.6114715554539472</v>
      </c>
    </row>
    <row r="99" spans="1:18" ht="12.75" x14ac:dyDescent="0.2">
      <c r="A99" s="4" t="s">
        <v>37</v>
      </c>
      <c r="B99" s="4" t="s">
        <v>38</v>
      </c>
      <c r="C99" s="4" t="s">
        <v>3487</v>
      </c>
      <c r="D99" s="4" t="s">
        <v>3488</v>
      </c>
      <c r="E99" s="4" t="s">
        <v>39</v>
      </c>
      <c r="F99" s="4" t="s">
        <v>18</v>
      </c>
      <c r="G99" s="4" t="s">
        <v>41</v>
      </c>
      <c r="H99" s="4"/>
      <c r="I99" s="4" t="s">
        <v>40</v>
      </c>
      <c r="J99" s="17" t="s">
        <v>3290</v>
      </c>
      <c r="K99" s="16">
        <v>23.69405542791111</v>
      </c>
      <c r="L99" s="16">
        <v>75.219095506533861</v>
      </c>
      <c r="M99" s="16">
        <v>73.36275864219391</v>
      </c>
      <c r="N99" s="16">
        <v>19.999906386259923</v>
      </c>
      <c r="O99" s="16">
        <v>41.603728357901673</v>
      </c>
      <c r="P99" s="16">
        <v>89.694104540039802</v>
      </c>
      <c r="Q99" s="16">
        <v>7.3806478173080396</v>
      </c>
    </row>
    <row r="100" spans="1:18" ht="12.75" x14ac:dyDescent="0.2">
      <c r="A100" s="4" t="s">
        <v>37</v>
      </c>
      <c r="B100" s="4" t="s">
        <v>45</v>
      </c>
      <c r="C100" s="4" t="s">
        <v>3489</v>
      </c>
      <c r="D100" s="4" t="s">
        <v>3490</v>
      </c>
      <c r="E100" s="4" t="s">
        <v>39</v>
      </c>
      <c r="F100" s="4" t="s">
        <v>18</v>
      </c>
      <c r="G100" s="4" t="s">
        <v>72</v>
      </c>
      <c r="H100" s="4" t="s">
        <v>3491</v>
      </c>
      <c r="I100" s="4" t="s">
        <v>40</v>
      </c>
      <c r="J100" s="17" t="s">
        <v>3290</v>
      </c>
      <c r="K100" s="16">
        <v>40.749694691971051</v>
      </c>
      <c r="L100" s="16">
        <v>60.015644081043405</v>
      </c>
      <c r="M100" s="16">
        <v>25.477772340988313</v>
      </c>
      <c r="N100" s="16">
        <v>54.686801704810925</v>
      </c>
      <c r="O100" s="16">
        <v>76.608970429274962</v>
      </c>
      <c r="P100" s="16">
        <v>97.404899180718672</v>
      </c>
      <c r="Q100" s="16">
        <v>17.92190422551424</v>
      </c>
    </row>
    <row r="101" spans="1:18" ht="12.75" x14ac:dyDescent="0.2">
      <c r="A101" s="4" t="s">
        <v>115</v>
      </c>
      <c r="B101" s="4" t="s">
        <v>125</v>
      </c>
      <c r="C101" s="4" t="s">
        <v>3492</v>
      </c>
      <c r="D101" s="4" t="s">
        <v>3493</v>
      </c>
      <c r="E101" s="4" t="s">
        <v>39</v>
      </c>
      <c r="F101" s="4" t="s">
        <v>18</v>
      </c>
      <c r="G101" s="4" t="s">
        <v>41</v>
      </c>
      <c r="H101" s="4" t="s">
        <v>3494</v>
      </c>
      <c r="I101" s="4" t="s">
        <v>40</v>
      </c>
      <c r="J101" s="17" t="s">
        <v>3290</v>
      </c>
      <c r="K101" s="16">
        <v>52.786509914744649</v>
      </c>
      <c r="L101" s="16">
        <v>16.117454526437392</v>
      </c>
      <c r="M101" s="16">
        <v>62.33031598460397</v>
      </c>
      <c r="N101" s="16">
        <v>38.64343858070005</v>
      </c>
      <c r="O101" s="16">
        <v>79.997894056495014</v>
      </c>
      <c r="P101" s="16">
        <v>54.080590052873532</v>
      </c>
      <c r="Q101" s="16">
        <v>7.0196529895229398</v>
      </c>
      <c r="R101" s="4" t="s">
        <v>3285</v>
      </c>
    </row>
    <row r="102" spans="1:18" ht="12.75" x14ac:dyDescent="0.2">
      <c r="A102" s="4" t="s">
        <v>37</v>
      </c>
      <c r="B102" s="4" t="s">
        <v>38</v>
      </c>
      <c r="C102" s="4" t="s">
        <v>3495</v>
      </c>
      <c r="D102" s="4" t="s">
        <v>3496</v>
      </c>
      <c r="E102" s="4" t="s">
        <v>39</v>
      </c>
      <c r="F102" s="4" t="s">
        <v>18</v>
      </c>
      <c r="G102" s="4" t="s">
        <v>41</v>
      </c>
      <c r="H102" s="4"/>
      <c r="I102" s="4" t="s">
        <v>40</v>
      </c>
      <c r="J102" s="17" t="s">
        <v>3290</v>
      </c>
      <c r="K102" s="16">
        <v>32.418432129183749</v>
      </c>
      <c r="L102" s="16">
        <v>45.551192055705684</v>
      </c>
      <c r="M102" s="16">
        <v>46.133593782571971</v>
      </c>
      <c r="N102" s="16">
        <v>48.483358910163375</v>
      </c>
      <c r="O102" s="16">
        <v>55.438974612605222</v>
      </c>
      <c r="P102" s="16">
        <v>0.22487232538526136</v>
      </c>
      <c r="Q102" s="16">
        <v>39.292110319015052</v>
      </c>
    </row>
    <row r="103" spans="1:18" ht="12.75" x14ac:dyDescent="0.2">
      <c r="A103" s="4" t="s">
        <v>37</v>
      </c>
      <c r="B103" s="4" t="s">
        <v>38</v>
      </c>
      <c r="C103" s="4" t="s">
        <v>3497</v>
      </c>
      <c r="D103" s="4" t="s">
        <v>3498</v>
      </c>
      <c r="E103" s="4" t="s">
        <v>39</v>
      </c>
      <c r="F103" s="4" t="s">
        <v>18</v>
      </c>
      <c r="G103" s="4" t="s">
        <v>61</v>
      </c>
      <c r="H103" s="4"/>
      <c r="I103" s="4" t="s">
        <v>40</v>
      </c>
      <c r="J103" s="17" t="s">
        <v>3290</v>
      </c>
      <c r="K103" s="16">
        <v>43.13867698025593</v>
      </c>
      <c r="L103" s="16">
        <v>29.021287164536659</v>
      </c>
      <c r="M103" s="16">
        <v>5.7468422083556625</v>
      </c>
      <c r="N103" s="16">
        <v>68.692580357700166</v>
      </c>
      <c r="O103" s="16">
        <v>97.969992383841472</v>
      </c>
      <c r="P103" s="16">
        <v>32.833912874382776</v>
      </c>
      <c r="Q103" s="16">
        <v>30.182182690435244</v>
      </c>
    </row>
    <row r="104" spans="1:18" ht="12.75" x14ac:dyDescent="0.2">
      <c r="A104" s="4" t="s">
        <v>37</v>
      </c>
      <c r="B104" s="4" t="s">
        <v>45</v>
      </c>
      <c r="C104" s="4" t="s">
        <v>3499</v>
      </c>
      <c r="D104" s="4" t="s">
        <v>3500</v>
      </c>
      <c r="E104" s="4" t="s">
        <v>39</v>
      </c>
      <c r="F104" s="4" t="s">
        <v>18</v>
      </c>
      <c r="G104" s="4" t="s">
        <v>72</v>
      </c>
      <c r="H104" s="4" t="s">
        <v>3491</v>
      </c>
      <c r="I104" s="4" t="s">
        <v>40</v>
      </c>
      <c r="J104" s="17" t="s">
        <v>3290</v>
      </c>
      <c r="K104" s="16">
        <v>21.32916765217805</v>
      </c>
      <c r="L104" s="16">
        <v>13.177195108138928</v>
      </c>
      <c r="M104" s="16">
        <v>66.429983567154878</v>
      </c>
      <c r="N104" s="16">
        <v>63.016899667816247</v>
      </c>
      <c r="O104" s="16">
        <v>19.057916663412566</v>
      </c>
      <c r="P104" s="16">
        <v>74.754976572923681</v>
      </c>
      <c r="Q104" s="16">
        <v>95.022405647913402</v>
      </c>
    </row>
    <row r="105" spans="1:18" ht="12.75" x14ac:dyDescent="0.2">
      <c r="A105" s="4" t="s">
        <v>37</v>
      </c>
      <c r="B105" s="4" t="s">
        <v>59</v>
      </c>
      <c r="C105" s="4" t="s">
        <v>3501</v>
      </c>
      <c r="D105" s="4" t="s">
        <v>3502</v>
      </c>
      <c r="E105" s="4" t="s">
        <v>39</v>
      </c>
      <c r="F105" s="4" t="s">
        <v>25</v>
      </c>
      <c r="G105" s="4"/>
      <c r="H105" s="4"/>
      <c r="I105" s="4" t="s">
        <v>40</v>
      </c>
      <c r="J105" s="17" t="s">
        <v>3290</v>
      </c>
      <c r="K105" s="16">
        <v>64.79239046149651</v>
      </c>
      <c r="L105" s="16">
        <v>4.9291337793360812</v>
      </c>
      <c r="M105" s="16">
        <v>2.7205627653140718</v>
      </c>
      <c r="N105" s="16">
        <v>18.879166338945407</v>
      </c>
      <c r="O105" s="16">
        <v>54.884632176654378</v>
      </c>
      <c r="P105" s="16">
        <v>26.542326344596844</v>
      </c>
      <c r="Q105" s="16">
        <v>41.495108482216239</v>
      </c>
    </row>
    <row r="106" spans="1:18" ht="12.75" x14ac:dyDescent="0.2">
      <c r="A106" s="4" t="s">
        <v>98</v>
      </c>
      <c r="B106" s="4" t="s">
        <v>113</v>
      </c>
      <c r="C106" s="4" t="s">
        <v>3503</v>
      </c>
      <c r="D106" s="4" t="s">
        <v>3504</v>
      </c>
      <c r="E106" s="4" t="s">
        <v>39</v>
      </c>
      <c r="F106" s="4" t="s">
        <v>18</v>
      </c>
      <c r="G106" s="4" t="s">
        <v>12</v>
      </c>
      <c r="H106" s="4"/>
      <c r="I106" s="4" t="s">
        <v>40</v>
      </c>
      <c r="J106" s="17" t="s">
        <v>3290</v>
      </c>
      <c r="K106" s="16">
        <v>90.888412424009488</v>
      </c>
      <c r="L106" s="16">
        <v>27.112427726729116</v>
      </c>
      <c r="M106" s="16">
        <v>16.55158917399654</v>
      </c>
      <c r="N106" s="16">
        <v>85.876827931635532</v>
      </c>
      <c r="O106" s="16">
        <v>43.096788912422326</v>
      </c>
      <c r="P106" s="16">
        <v>84.931484544309825</v>
      </c>
      <c r="Q106" s="16">
        <v>99.209834856435791</v>
      </c>
    </row>
    <row r="107" spans="1:18" ht="12.75" x14ac:dyDescent="0.2">
      <c r="A107" s="4" t="s">
        <v>115</v>
      </c>
      <c r="B107" s="4" t="s">
        <v>131</v>
      </c>
      <c r="C107" s="4" t="s">
        <v>3505</v>
      </c>
      <c r="D107" s="4" t="s">
        <v>3506</v>
      </c>
      <c r="E107" s="4" t="s">
        <v>39</v>
      </c>
      <c r="F107" s="4" t="s">
        <v>18</v>
      </c>
      <c r="G107" s="4" t="s">
        <v>72</v>
      </c>
      <c r="H107" s="4" t="s">
        <v>3507</v>
      </c>
      <c r="I107" s="4" t="s">
        <v>40</v>
      </c>
      <c r="J107" s="17" t="s">
        <v>3290</v>
      </c>
      <c r="K107" s="16">
        <v>29.199563657834528</v>
      </c>
      <c r="L107" s="16">
        <v>38.580078980628876</v>
      </c>
      <c r="M107" s="16">
        <v>24.019966939808413</v>
      </c>
      <c r="N107" s="16">
        <v>88.409342917503281</v>
      </c>
      <c r="O107" s="16">
        <v>52.697856340873514</v>
      </c>
      <c r="P107" s="16">
        <v>79.173816541158416</v>
      </c>
      <c r="Q107" s="16">
        <v>67.705343099296769</v>
      </c>
      <c r="R107" s="4" t="s">
        <v>3396</v>
      </c>
    </row>
    <row r="108" spans="1:18" ht="12.75" x14ac:dyDescent="0.2">
      <c r="A108" s="4" t="s">
        <v>7</v>
      </c>
      <c r="B108" s="4" t="s">
        <v>16</v>
      </c>
      <c r="C108" s="4" t="s">
        <v>3508</v>
      </c>
      <c r="D108" s="4" t="s">
        <v>3509</v>
      </c>
      <c r="E108" s="4" t="s">
        <v>39</v>
      </c>
      <c r="F108" s="4" t="s">
        <v>18</v>
      </c>
      <c r="G108" s="4" t="s">
        <v>41</v>
      </c>
      <c r="H108" s="4"/>
      <c r="I108" s="4" t="s">
        <v>40</v>
      </c>
      <c r="J108" s="17" t="s">
        <v>3290</v>
      </c>
      <c r="K108" s="16">
        <v>76.357925189114638</v>
      </c>
      <c r="L108" s="16">
        <v>28.770865615172458</v>
      </c>
      <c r="M108" s="16">
        <v>33.939755416656979</v>
      </c>
      <c r="N108" s="16">
        <v>34.744323467431911</v>
      </c>
      <c r="O108" s="16">
        <v>18.174139361379183</v>
      </c>
      <c r="P108" s="16">
        <v>62.631823116143018</v>
      </c>
      <c r="Q108" s="16">
        <v>38.339839648986576</v>
      </c>
    </row>
    <row r="109" spans="1:18" ht="12.75" x14ac:dyDescent="0.2">
      <c r="A109" s="4" t="s">
        <v>115</v>
      </c>
      <c r="B109" s="4" t="s">
        <v>122</v>
      </c>
      <c r="C109" s="4" t="s">
        <v>3510</v>
      </c>
      <c r="D109" s="4" t="s">
        <v>3511</v>
      </c>
      <c r="E109" s="4" t="s">
        <v>39</v>
      </c>
      <c r="F109" s="4" t="s">
        <v>18</v>
      </c>
      <c r="G109" s="4" t="s">
        <v>61</v>
      </c>
      <c r="H109" s="4"/>
      <c r="I109" s="4" t="s">
        <v>40</v>
      </c>
      <c r="J109" s="17" t="s">
        <v>3290</v>
      </c>
      <c r="K109" s="16">
        <v>3.9005264370087223</v>
      </c>
      <c r="L109" s="16">
        <v>49.844301768631041</v>
      </c>
      <c r="M109" s="16">
        <v>1.9186006602350814</v>
      </c>
      <c r="N109" s="16">
        <v>50.307655174348874</v>
      </c>
      <c r="O109" s="16">
        <v>55.646833465435677</v>
      </c>
      <c r="P109" s="16">
        <v>93.886210523826406</v>
      </c>
      <c r="Q109" s="16">
        <v>6.632257886121673</v>
      </c>
    </row>
    <row r="110" spans="1:18" ht="12.75" x14ac:dyDescent="0.2">
      <c r="A110" s="4" t="s">
        <v>98</v>
      </c>
      <c r="B110" s="4" t="s">
        <v>105</v>
      </c>
      <c r="C110" s="4" t="s">
        <v>3512</v>
      </c>
      <c r="D110" s="4" t="s">
        <v>3513</v>
      </c>
      <c r="E110" s="4" t="s">
        <v>39</v>
      </c>
      <c r="F110" s="4" t="s">
        <v>18</v>
      </c>
      <c r="G110" s="4" t="s">
        <v>41</v>
      </c>
      <c r="H110" s="4"/>
      <c r="I110" s="4" t="s">
        <v>40</v>
      </c>
      <c r="J110" s="17" t="s">
        <v>3290</v>
      </c>
      <c r="K110" s="16">
        <v>26.938293986853068</v>
      </c>
      <c r="L110" s="16">
        <v>71.264354203285379</v>
      </c>
      <c r="M110" s="16">
        <v>62.760222857923985</v>
      </c>
      <c r="N110" s="16">
        <v>16.849363960777875</v>
      </c>
      <c r="O110" s="16">
        <v>4.7907209726190558</v>
      </c>
      <c r="P110" s="16">
        <v>7.8597977147196847</v>
      </c>
      <c r="Q110" s="16">
        <v>30.098101102712647</v>
      </c>
    </row>
    <row r="111" spans="1:18" ht="12.75" x14ac:dyDescent="0.2">
      <c r="A111" s="4" t="s">
        <v>7</v>
      </c>
      <c r="B111" s="4" t="s">
        <v>30</v>
      </c>
      <c r="C111" s="4" t="s">
        <v>3514</v>
      </c>
      <c r="D111" s="4" t="s">
        <v>3515</v>
      </c>
      <c r="E111" s="4" t="s">
        <v>39</v>
      </c>
      <c r="F111" s="4" t="s">
        <v>18</v>
      </c>
      <c r="G111" s="4" t="s">
        <v>72</v>
      </c>
      <c r="H111" s="4" t="s">
        <v>3447</v>
      </c>
      <c r="I111" s="4" t="s">
        <v>40</v>
      </c>
      <c r="J111" s="17" t="s">
        <v>3290</v>
      </c>
      <c r="K111" s="16">
        <v>20.543291467978044</v>
      </c>
      <c r="L111" s="16">
        <v>48.009598988552007</v>
      </c>
      <c r="M111" s="16">
        <v>35.611397154574632</v>
      </c>
      <c r="N111" s="16">
        <v>87.785190669568038</v>
      </c>
      <c r="O111" s="16">
        <v>77.259803244722619</v>
      </c>
      <c r="P111" s="16">
        <v>78.836660740084568</v>
      </c>
      <c r="Q111" s="16">
        <v>22.256010861969678</v>
      </c>
    </row>
    <row r="112" spans="1:18" ht="12.75" x14ac:dyDescent="0.2">
      <c r="A112" s="4" t="s">
        <v>115</v>
      </c>
      <c r="B112" s="4" t="s">
        <v>116</v>
      </c>
      <c r="C112" s="4" t="s">
        <v>3516</v>
      </c>
      <c r="D112" s="4" t="s">
        <v>3517</v>
      </c>
      <c r="E112" s="4" t="s">
        <v>39</v>
      </c>
      <c r="F112" s="4" t="s">
        <v>18</v>
      </c>
      <c r="G112" s="4" t="s">
        <v>19</v>
      </c>
      <c r="I112" s="4" t="s">
        <v>40</v>
      </c>
      <c r="J112" s="17" t="s">
        <v>3290</v>
      </c>
      <c r="K112" s="16">
        <v>80.850564112803596</v>
      </c>
      <c r="L112" s="16">
        <v>81.083352346966961</v>
      </c>
      <c r="M112" s="16">
        <v>10.857806101882161</v>
      </c>
      <c r="N112" s="16">
        <v>6.9094994320521907</v>
      </c>
      <c r="O112" s="16">
        <v>56.009722236384071</v>
      </c>
      <c r="P112" s="16">
        <v>46.581565673526896</v>
      </c>
      <c r="Q112" s="16">
        <v>93.70314452186355</v>
      </c>
    </row>
    <row r="113" spans="1:18" ht="12.75" x14ac:dyDescent="0.2">
      <c r="A113" s="4" t="s">
        <v>115</v>
      </c>
      <c r="B113" s="4" t="s">
        <v>116</v>
      </c>
      <c r="C113" s="4" t="s">
        <v>3518</v>
      </c>
      <c r="D113" s="4" t="s">
        <v>3519</v>
      </c>
      <c r="E113" s="4" t="s">
        <v>39</v>
      </c>
      <c r="F113" s="4" t="s">
        <v>18</v>
      </c>
      <c r="G113" s="4" t="s">
        <v>61</v>
      </c>
      <c r="I113" s="4" t="s">
        <v>40</v>
      </c>
      <c r="J113" s="17" t="s">
        <v>3290</v>
      </c>
      <c r="K113" s="16">
        <v>57.07038596367957</v>
      </c>
      <c r="L113" s="16">
        <v>9.979471134548989</v>
      </c>
      <c r="M113" s="16">
        <v>33.862382563313844</v>
      </c>
      <c r="N113" s="16">
        <v>68.832688664554112</v>
      </c>
      <c r="O113" s="16">
        <v>50.328805560843684</v>
      </c>
      <c r="P113" s="16">
        <v>16.541742952909942</v>
      </c>
      <c r="Q113" s="16">
        <v>76.997686271559758</v>
      </c>
    </row>
    <row r="114" spans="1:18" ht="12.75" x14ac:dyDescent="0.2">
      <c r="A114" s="4" t="s">
        <v>64</v>
      </c>
      <c r="B114" s="4" t="s">
        <v>89</v>
      </c>
      <c r="C114" s="4" t="s">
        <v>3520</v>
      </c>
      <c r="D114" s="4" t="s">
        <v>3521</v>
      </c>
      <c r="E114" s="4" t="s">
        <v>39</v>
      </c>
      <c r="F114" s="4" t="s">
        <v>18</v>
      </c>
      <c r="G114" s="4" t="s">
        <v>72</v>
      </c>
      <c r="H114" s="4"/>
      <c r="I114" s="4" t="s">
        <v>40</v>
      </c>
      <c r="J114" s="17" t="s">
        <v>3290</v>
      </c>
      <c r="K114" s="16">
        <v>6.2847807434796898</v>
      </c>
      <c r="L114" s="16">
        <v>53.456574965601213</v>
      </c>
      <c r="M114" s="16">
        <v>37.764744165604661</v>
      </c>
      <c r="N114" s="16">
        <v>53.964316641196874</v>
      </c>
      <c r="O114" s="16">
        <v>45.375503693542896</v>
      </c>
      <c r="P114" s="16">
        <v>10.368487527637726</v>
      </c>
      <c r="Q114" s="16">
        <v>45.818593886408067</v>
      </c>
    </row>
    <row r="115" spans="1:18" ht="12.75" x14ac:dyDescent="0.2">
      <c r="A115" s="4" t="s">
        <v>64</v>
      </c>
      <c r="B115" s="4" t="s">
        <v>92</v>
      </c>
      <c r="C115" s="4" t="s">
        <v>3522</v>
      </c>
      <c r="D115" s="4" t="s">
        <v>3523</v>
      </c>
      <c r="E115" s="4" t="s">
        <v>39</v>
      </c>
      <c r="F115" s="4" t="s">
        <v>18</v>
      </c>
      <c r="G115" s="4" t="s">
        <v>26</v>
      </c>
      <c r="H115" s="4"/>
      <c r="I115" s="4" t="s">
        <v>40</v>
      </c>
      <c r="J115" s="17" t="s">
        <v>3290</v>
      </c>
      <c r="K115" s="16">
        <v>39.603530271142318</v>
      </c>
      <c r="L115" s="16">
        <v>47.121862397606485</v>
      </c>
      <c r="M115" s="16">
        <v>9.6372948616529897E-3</v>
      </c>
      <c r="N115" s="16">
        <v>62.233051299107366</v>
      </c>
      <c r="O115" s="16">
        <v>41.856565627038258</v>
      </c>
      <c r="P115" s="16">
        <v>82.993665717196293</v>
      </c>
      <c r="Q115" s="16">
        <v>18.159430400227304</v>
      </c>
    </row>
    <row r="116" spans="1:18" ht="12.75" x14ac:dyDescent="0.2">
      <c r="A116" s="4" t="s">
        <v>64</v>
      </c>
      <c r="B116" s="4" t="s">
        <v>70</v>
      </c>
      <c r="C116" s="4" t="s">
        <v>3524</v>
      </c>
      <c r="D116" s="4" t="s">
        <v>3525</v>
      </c>
      <c r="E116" s="4" t="s">
        <v>39</v>
      </c>
      <c r="F116" s="4" t="s">
        <v>18</v>
      </c>
      <c r="G116" s="4" t="s">
        <v>61</v>
      </c>
      <c r="H116" s="4"/>
      <c r="I116" s="4" t="s">
        <v>40</v>
      </c>
      <c r="J116" s="17" t="s">
        <v>3290</v>
      </c>
      <c r="K116" s="16">
        <v>96.579678363906737</v>
      </c>
      <c r="L116" s="16">
        <v>11.087177128186966</v>
      </c>
      <c r="M116" s="16">
        <v>84.106456169270388</v>
      </c>
      <c r="N116" s="16">
        <v>80.318417031259258</v>
      </c>
      <c r="O116" s="16">
        <v>10.348217061561549</v>
      </c>
      <c r="P116" s="16">
        <v>25.419583513735045</v>
      </c>
      <c r="Q116" s="16">
        <v>92.241456095923553</v>
      </c>
    </row>
    <row r="117" spans="1:18" ht="12.75" x14ac:dyDescent="0.2">
      <c r="A117" s="4" t="s">
        <v>115</v>
      </c>
      <c r="B117" s="4" t="s">
        <v>119</v>
      </c>
      <c r="C117" s="4" t="s">
        <v>3526</v>
      </c>
      <c r="D117" s="4" t="s">
        <v>3527</v>
      </c>
      <c r="E117" s="4" t="s">
        <v>39</v>
      </c>
      <c r="F117" s="4" t="s">
        <v>18</v>
      </c>
      <c r="G117" s="4" t="s">
        <v>61</v>
      </c>
      <c r="I117" s="4" t="s">
        <v>40</v>
      </c>
      <c r="J117" s="17" t="s">
        <v>3290</v>
      </c>
      <c r="K117" s="16">
        <v>4.7351782735867376</v>
      </c>
      <c r="L117" s="16">
        <v>54.959950066031752</v>
      </c>
      <c r="M117" s="16">
        <v>75.464430173048271</v>
      </c>
      <c r="N117" s="16">
        <v>7.1053399736600076</v>
      </c>
      <c r="O117" s="16">
        <v>52.223194739905964</v>
      </c>
      <c r="P117" s="16">
        <v>47.761620088255697</v>
      </c>
      <c r="Q117" s="16">
        <v>41.840816052467346</v>
      </c>
    </row>
    <row r="118" spans="1:18" ht="12.75" x14ac:dyDescent="0.2">
      <c r="A118" s="4" t="s">
        <v>37</v>
      </c>
      <c r="B118" s="4" t="s">
        <v>38</v>
      </c>
      <c r="C118" s="4" t="s">
        <v>3528</v>
      </c>
      <c r="D118" s="4" t="s">
        <v>3529</v>
      </c>
      <c r="E118" s="4" t="s">
        <v>39</v>
      </c>
      <c r="F118" s="4" t="s">
        <v>18</v>
      </c>
      <c r="G118" s="4" t="s">
        <v>41</v>
      </c>
      <c r="H118" s="4"/>
      <c r="I118" s="4" t="s">
        <v>40</v>
      </c>
      <c r="J118" s="17" t="s">
        <v>3290</v>
      </c>
      <c r="K118" s="16">
        <v>58.977791937332867</v>
      </c>
      <c r="L118" s="16">
        <v>96.304660420774795</v>
      </c>
      <c r="M118" s="16">
        <v>97.393034800000976</v>
      </c>
      <c r="N118" s="16">
        <v>1.2571185464834711</v>
      </c>
      <c r="O118" s="16">
        <v>50.856427300320014</v>
      </c>
      <c r="P118" s="16">
        <v>86.363173884986864</v>
      </c>
      <c r="Q118" s="16">
        <v>3.0833117292117462</v>
      </c>
    </row>
    <row r="119" spans="1:18" ht="12.75" x14ac:dyDescent="0.2">
      <c r="A119" s="4" t="s">
        <v>115</v>
      </c>
      <c r="B119" s="4" t="s">
        <v>119</v>
      </c>
      <c r="C119" s="4" t="s">
        <v>3530</v>
      </c>
      <c r="D119" s="4" t="s">
        <v>3531</v>
      </c>
      <c r="E119" s="4" t="s">
        <v>39</v>
      </c>
      <c r="F119" s="4" t="s">
        <v>18</v>
      </c>
      <c r="G119" s="4" t="s">
        <v>19</v>
      </c>
      <c r="I119" s="4" t="s">
        <v>40</v>
      </c>
      <c r="J119" s="17" t="s">
        <v>3290</v>
      </c>
      <c r="K119" s="16">
        <v>24.624427010985308</v>
      </c>
      <c r="L119" s="16">
        <v>50.175058269834402</v>
      </c>
      <c r="M119" s="16">
        <v>35.557948183696062</v>
      </c>
      <c r="N119" s="16">
        <v>76.156677376713461</v>
      </c>
      <c r="O119" s="16">
        <v>88.203185025819835</v>
      </c>
      <c r="P119" s="16">
        <v>45.047923779104771</v>
      </c>
      <c r="Q119" s="16">
        <v>49.841620757081174</v>
      </c>
    </row>
    <row r="120" spans="1:18" ht="12.75" x14ac:dyDescent="0.2">
      <c r="A120" s="4" t="s">
        <v>98</v>
      </c>
      <c r="B120" s="4" t="s">
        <v>110</v>
      </c>
      <c r="C120" s="4" t="s">
        <v>3532</v>
      </c>
      <c r="D120" s="4" t="s">
        <v>3533</v>
      </c>
      <c r="E120" s="4" t="s">
        <v>39</v>
      </c>
      <c r="F120" s="4" t="s">
        <v>18</v>
      </c>
      <c r="G120" s="4" t="s">
        <v>19</v>
      </c>
      <c r="H120" s="4" t="s">
        <v>40</v>
      </c>
      <c r="I120" s="4" t="s">
        <v>40</v>
      </c>
      <c r="J120" s="17" t="s">
        <v>3290</v>
      </c>
      <c r="K120" s="16">
        <v>36.456184599211127</v>
      </c>
      <c r="L120" s="16">
        <v>59.411983538916893</v>
      </c>
      <c r="M120" s="16">
        <v>23.513167836358416</v>
      </c>
      <c r="N120" s="16">
        <v>85.682046673741368</v>
      </c>
      <c r="O120" s="16">
        <v>98.336234845476781</v>
      </c>
      <c r="P120" s="16">
        <v>33.978592055610633</v>
      </c>
      <c r="Q120" s="16">
        <v>56.131295304869909</v>
      </c>
    </row>
    <row r="121" spans="1:18" ht="12.75" x14ac:dyDescent="0.2">
      <c r="A121" s="4" t="s">
        <v>64</v>
      </c>
      <c r="B121" s="4" t="s">
        <v>82</v>
      </c>
      <c r="C121" s="4" t="s">
        <v>3534</v>
      </c>
      <c r="D121" s="4" t="s">
        <v>3535</v>
      </c>
      <c r="E121" s="4" t="s">
        <v>39</v>
      </c>
      <c r="F121" s="4" t="s">
        <v>18</v>
      </c>
      <c r="G121" s="4" t="s">
        <v>26</v>
      </c>
      <c r="H121" s="4"/>
      <c r="I121" s="4" t="s">
        <v>40</v>
      </c>
      <c r="J121" s="17" t="s">
        <v>3290</v>
      </c>
      <c r="K121" s="16">
        <v>13.091172340417446</v>
      </c>
      <c r="L121" s="16">
        <v>52.157047652495173</v>
      </c>
      <c r="M121" s="16">
        <v>16.733447972436565</v>
      </c>
      <c r="N121" s="16">
        <v>74.814683664442313</v>
      </c>
      <c r="O121" s="16">
        <v>16.846479571814712</v>
      </c>
      <c r="P121" s="16">
        <v>76.036442396007359</v>
      </c>
      <c r="Q121" s="16">
        <v>40.073805191135477</v>
      </c>
    </row>
    <row r="122" spans="1:18" ht="12.75" x14ac:dyDescent="0.2">
      <c r="A122" s="4" t="s">
        <v>64</v>
      </c>
      <c r="B122" s="4" t="s">
        <v>82</v>
      </c>
      <c r="C122" s="4" t="s">
        <v>3536</v>
      </c>
      <c r="D122" s="4" t="s">
        <v>3537</v>
      </c>
      <c r="E122" s="4" t="s">
        <v>39</v>
      </c>
      <c r="F122" s="4" t="s">
        <v>18</v>
      </c>
      <c r="G122" s="4" t="s">
        <v>26</v>
      </c>
      <c r="H122" s="4"/>
      <c r="I122" s="4" t="s">
        <v>40</v>
      </c>
      <c r="J122" s="17" t="s">
        <v>3290</v>
      </c>
      <c r="K122" s="16">
        <v>99.219075065632651</v>
      </c>
      <c r="L122" s="16">
        <v>25.462633256803901</v>
      </c>
      <c r="M122" s="16">
        <v>43.138298629809192</v>
      </c>
      <c r="N122" s="16">
        <v>97.769609947781845</v>
      </c>
      <c r="O122" s="16">
        <v>96.837277105606162</v>
      </c>
      <c r="P122" s="16">
        <v>86.200701252560947</v>
      </c>
      <c r="Q122" s="16">
        <v>91.62409283267796</v>
      </c>
    </row>
    <row r="123" spans="1:18" ht="12.75" x14ac:dyDescent="0.2">
      <c r="A123" s="4" t="s">
        <v>64</v>
      </c>
      <c r="B123" s="4" t="s">
        <v>82</v>
      </c>
      <c r="C123" s="4" t="s">
        <v>3538</v>
      </c>
      <c r="D123" s="4" t="s">
        <v>3539</v>
      </c>
      <c r="E123" s="4" t="s">
        <v>39</v>
      </c>
      <c r="F123" s="4" t="s">
        <v>32</v>
      </c>
      <c r="G123" s="4" t="s">
        <v>41</v>
      </c>
      <c r="H123" s="4"/>
      <c r="I123" s="4" t="s">
        <v>40</v>
      </c>
      <c r="J123" s="17" t="s">
        <v>3290</v>
      </c>
      <c r="K123" s="16">
        <v>64.966425664532593</v>
      </c>
      <c r="L123" s="16">
        <v>14.812080750894141</v>
      </c>
      <c r="M123" s="16">
        <v>13.939194148109667</v>
      </c>
      <c r="N123" s="16">
        <v>0.68887072221291978</v>
      </c>
      <c r="O123" s="16">
        <v>62.02893781004699</v>
      </c>
      <c r="P123" s="16">
        <v>44.338427116130887</v>
      </c>
      <c r="Q123" s="16">
        <v>2.3718484790667183</v>
      </c>
    </row>
    <row r="124" spans="1:18" ht="12.75" x14ac:dyDescent="0.2">
      <c r="A124" s="4" t="s">
        <v>115</v>
      </c>
      <c r="B124" s="4" t="s">
        <v>122</v>
      </c>
      <c r="C124" s="4" t="s">
        <v>3540</v>
      </c>
      <c r="D124" s="4" t="s">
        <v>3541</v>
      </c>
      <c r="E124" s="4" t="s">
        <v>39</v>
      </c>
      <c r="F124" s="4" t="s">
        <v>18</v>
      </c>
      <c r="G124" s="4" t="s">
        <v>61</v>
      </c>
      <c r="H124" s="4"/>
      <c r="I124" s="4" t="s">
        <v>40</v>
      </c>
      <c r="J124" s="17" t="s">
        <v>3290</v>
      </c>
      <c r="K124" s="16">
        <v>23.27083452599209</v>
      </c>
      <c r="L124" s="16">
        <v>6.251799924022972</v>
      </c>
      <c r="M124" s="16">
        <v>52.640174931687781</v>
      </c>
      <c r="N124" s="16">
        <v>24.68794157820442</v>
      </c>
      <c r="O124" s="16">
        <v>57.499959398290542</v>
      </c>
      <c r="P124" s="16">
        <v>83.101563739597864</v>
      </c>
      <c r="Q124" s="16">
        <v>12.996324851073314</v>
      </c>
    </row>
    <row r="125" spans="1:18" ht="12.75" x14ac:dyDescent="0.2">
      <c r="A125" s="4" t="s">
        <v>115</v>
      </c>
      <c r="B125" s="4" t="s">
        <v>119</v>
      </c>
      <c r="C125" s="4" t="s">
        <v>3542</v>
      </c>
      <c r="D125" s="4" t="s">
        <v>3543</v>
      </c>
      <c r="E125" s="4" t="s">
        <v>39</v>
      </c>
      <c r="F125" s="4" t="s">
        <v>32</v>
      </c>
      <c r="G125" s="4" t="s">
        <v>61</v>
      </c>
      <c r="I125" s="4" t="s">
        <v>40</v>
      </c>
      <c r="J125" s="17" t="s">
        <v>3290</v>
      </c>
      <c r="K125" s="16">
        <v>99.011338431622676</v>
      </c>
      <c r="L125" s="16">
        <v>38.306459306538308</v>
      </c>
      <c r="M125" s="16">
        <v>40.495948766044556</v>
      </c>
      <c r="N125" s="16">
        <v>33.27489767120997</v>
      </c>
      <c r="O125" s="16">
        <v>69.650344014382767</v>
      </c>
      <c r="P125" s="16">
        <v>24.943569263420862</v>
      </c>
      <c r="Q125" s="16">
        <v>54.408329373751563</v>
      </c>
    </row>
    <row r="126" spans="1:18" ht="12.75" x14ac:dyDescent="0.2">
      <c r="A126" s="4" t="s">
        <v>98</v>
      </c>
      <c r="B126" s="4" t="s">
        <v>110</v>
      </c>
      <c r="C126" s="4" t="s">
        <v>3544</v>
      </c>
      <c r="D126" s="4" t="s">
        <v>3545</v>
      </c>
      <c r="E126" s="4" t="s">
        <v>39</v>
      </c>
      <c r="F126" s="4" t="s">
        <v>11</v>
      </c>
      <c r="G126" s="4" t="s">
        <v>61</v>
      </c>
      <c r="H126" s="4" t="s">
        <v>40</v>
      </c>
      <c r="I126" s="4" t="s">
        <v>40</v>
      </c>
      <c r="J126" s="17" t="s">
        <v>3290</v>
      </c>
      <c r="K126" s="16">
        <v>88.945374336355727</v>
      </c>
      <c r="L126" s="16">
        <v>1.3904897568735586</v>
      </c>
      <c r="M126" s="16">
        <v>49.028159830960597</v>
      </c>
      <c r="N126" s="16">
        <v>60.883813983339664</v>
      </c>
      <c r="O126" s="16">
        <v>68.072952300999816</v>
      </c>
      <c r="P126" s="16">
        <v>82.676217425009796</v>
      </c>
      <c r="Q126" s="16">
        <v>77.486469413682798</v>
      </c>
    </row>
    <row r="127" spans="1:18" ht="12.75" x14ac:dyDescent="0.2">
      <c r="A127" s="4" t="s">
        <v>7</v>
      </c>
      <c r="B127" s="4" t="s">
        <v>16</v>
      </c>
      <c r="C127" s="4" t="s">
        <v>3546</v>
      </c>
      <c r="D127" s="4" t="s">
        <v>3547</v>
      </c>
      <c r="E127" s="4" t="s">
        <v>39</v>
      </c>
      <c r="F127" s="4" t="s">
        <v>18</v>
      </c>
      <c r="G127" s="4"/>
      <c r="H127" s="4" t="s">
        <v>40</v>
      </c>
      <c r="I127" s="4" t="s">
        <v>40</v>
      </c>
      <c r="J127" s="17" t="s">
        <v>3290</v>
      </c>
      <c r="K127" s="16">
        <v>69.047664454087695</v>
      </c>
      <c r="L127" s="16">
        <v>21.236263961402656</v>
      </c>
      <c r="M127" s="16">
        <v>85.102039612018601</v>
      </c>
      <c r="N127" s="16">
        <v>16.943381132246415</v>
      </c>
      <c r="O127" s="16">
        <v>39.547058508642905</v>
      </c>
      <c r="P127" s="16">
        <v>60.419448300494047</v>
      </c>
      <c r="Q127" s="16">
        <v>48.350991922172817</v>
      </c>
    </row>
    <row r="128" spans="1:18" ht="12.75" x14ac:dyDescent="0.2">
      <c r="A128" s="4" t="s">
        <v>115</v>
      </c>
      <c r="B128" s="4" t="s">
        <v>131</v>
      </c>
      <c r="C128" s="4" t="s">
        <v>3548</v>
      </c>
      <c r="D128" s="4" t="s">
        <v>3549</v>
      </c>
      <c r="E128" s="4" t="s">
        <v>39</v>
      </c>
      <c r="F128" s="4" t="s">
        <v>18</v>
      </c>
      <c r="G128" s="4" t="s">
        <v>72</v>
      </c>
      <c r="H128" s="4" t="s">
        <v>3550</v>
      </c>
      <c r="I128" s="4" t="s">
        <v>40</v>
      </c>
      <c r="J128" s="17" t="s">
        <v>3290</v>
      </c>
      <c r="K128" s="16">
        <v>22.292200102279157</v>
      </c>
      <c r="L128" s="16">
        <v>43.455480589437315</v>
      </c>
      <c r="M128" s="16">
        <v>45.890611853528576</v>
      </c>
      <c r="N128" s="16">
        <v>5.098893003486193</v>
      </c>
      <c r="O128" s="16">
        <v>56.337072885570258</v>
      </c>
      <c r="P128" s="16">
        <v>82.946941079910957</v>
      </c>
      <c r="Q128" s="16">
        <v>72.185426653616474</v>
      </c>
      <c r="R128" s="4" t="s">
        <v>3396</v>
      </c>
    </row>
    <row r="129" spans="1:17" ht="12.75" x14ac:dyDescent="0.2">
      <c r="A129" s="4" t="s">
        <v>115</v>
      </c>
      <c r="B129" s="4" t="s">
        <v>122</v>
      </c>
      <c r="C129" s="4" t="s">
        <v>3551</v>
      </c>
      <c r="D129" s="4" t="s">
        <v>3552</v>
      </c>
      <c r="E129" s="4" t="s">
        <v>39</v>
      </c>
      <c r="F129" s="4" t="s">
        <v>18</v>
      </c>
      <c r="G129" s="4" t="s">
        <v>61</v>
      </c>
      <c r="H129" s="4"/>
      <c r="I129" s="4" t="s">
        <v>40</v>
      </c>
      <c r="J129" s="17" t="s">
        <v>3290</v>
      </c>
      <c r="K129" s="16">
        <v>22.395899510642636</v>
      </c>
      <c r="L129" s="16">
        <v>59.275558870689792</v>
      </c>
      <c r="M129" s="16">
        <v>28.97190803600299</v>
      </c>
      <c r="N129" s="16">
        <v>52.080304647608656</v>
      </c>
      <c r="O129" s="16">
        <v>52.289348723156607</v>
      </c>
      <c r="P129" s="16">
        <v>80.330682199059169</v>
      </c>
      <c r="Q129" s="16">
        <v>11.161114114992143</v>
      </c>
    </row>
    <row r="130" spans="1:17" ht="12.75" x14ac:dyDescent="0.2">
      <c r="A130" s="4" t="s">
        <v>115</v>
      </c>
      <c r="B130" s="4" t="s">
        <v>122</v>
      </c>
      <c r="C130" s="4" t="s">
        <v>3553</v>
      </c>
      <c r="D130" s="4" t="s">
        <v>3554</v>
      </c>
      <c r="E130" s="4" t="s">
        <v>39</v>
      </c>
      <c r="F130" s="4" t="s">
        <v>18</v>
      </c>
      <c r="G130" s="4" t="s">
        <v>61</v>
      </c>
      <c r="H130" s="4"/>
      <c r="I130" s="4" t="s">
        <v>40</v>
      </c>
      <c r="J130" s="17" t="s">
        <v>3290</v>
      </c>
      <c r="K130" s="16">
        <v>20.814034602008579</v>
      </c>
      <c r="L130" s="16">
        <v>67.937753592019121</v>
      </c>
      <c r="M130" s="16">
        <v>54.505683854048812</v>
      </c>
      <c r="N130" s="16">
        <v>40.786321326783955</v>
      </c>
      <c r="O130" s="16">
        <v>30.58488185584708</v>
      </c>
      <c r="P130" s="16">
        <v>83.959335730666808</v>
      </c>
      <c r="Q130" s="16">
        <v>53.503657334881794</v>
      </c>
    </row>
    <row r="131" spans="1:17" ht="12.75" x14ac:dyDescent="0.2">
      <c r="A131" s="4" t="s">
        <v>115</v>
      </c>
      <c r="B131" s="4" t="s">
        <v>128</v>
      </c>
      <c r="C131" s="4" t="s">
        <v>3555</v>
      </c>
      <c r="D131" s="4" t="s">
        <v>3556</v>
      </c>
      <c r="E131" s="4" t="s">
        <v>39</v>
      </c>
      <c r="F131" s="4" t="s">
        <v>11</v>
      </c>
      <c r="G131" s="4" t="s">
        <v>72</v>
      </c>
      <c r="H131" s="4" t="s">
        <v>3557</v>
      </c>
      <c r="I131" s="4" t="s">
        <v>40</v>
      </c>
      <c r="J131" s="17" t="s">
        <v>3290</v>
      </c>
      <c r="K131" s="16">
        <v>39.704305222706559</v>
      </c>
      <c r="L131" s="16">
        <v>66.14398221117095</v>
      </c>
      <c r="M131" s="16">
        <v>23.915789822220546</v>
      </c>
      <c r="N131" s="16">
        <v>82.36658827633471</v>
      </c>
      <c r="O131" s="16">
        <v>33.810438677219544</v>
      </c>
      <c r="P131" s="16">
        <v>66.692746938041665</v>
      </c>
      <c r="Q131" s="16">
        <v>79.815900340969577</v>
      </c>
    </row>
    <row r="132" spans="1:17" ht="12.75" x14ac:dyDescent="0.2">
      <c r="A132" s="4" t="s">
        <v>64</v>
      </c>
      <c r="B132" s="4" t="s">
        <v>86</v>
      </c>
      <c r="C132" s="4" t="s">
        <v>3558</v>
      </c>
      <c r="D132" s="4" t="s">
        <v>3559</v>
      </c>
      <c r="E132" s="4" t="s">
        <v>39</v>
      </c>
      <c r="F132" s="4" t="s">
        <v>18</v>
      </c>
      <c r="G132" s="4" t="s">
        <v>26</v>
      </c>
      <c r="I132" s="4" t="s">
        <v>40</v>
      </c>
      <c r="J132" s="17" t="s">
        <v>3290</v>
      </c>
      <c r="K132" s="16">
        <v>45.282737829988598</v>
      </c>
      <c r="L132" s="16">
        <v>73.676411095300594</v>
      </c>
      <c r="M132" s="16">
        <v>32.362930655843179</v>
      </c>
      <c r="N132" s="16">
        <v>36.727374963130764</v>
      </c>
      <c r="O132" s="16">
        <v>0.99109874754542693</v>
      </c>
      <c r="P132" s="16">
        <v>41.552602604140532</v>
      </c>
      <c r="Q132" s="16">
        <v>18.596189712237397</v>
      </c>
    </row>
    <row r="133" spans="1:17" ht="12.75" x14ac:dyDescent="0.2">
      <c r="A133" s="4" t="s">
        <v>98</v>
      </c>
      <c r="B133" s="4" t="s">
        <v>105</v>
      </c>
      <c r="C133" s="4" t="s">
        <v>3560</v>
      </c>
      <c r="D133" s="4" t="s">
        <v>3561</v>
      </c>
      <c r="E133" s="4" t="s">
        <v>39</v>
      </c>
      <c r="F133" s="4" t="s">
        <v>18</v>
      </c>
      <c r="G133" s="4" t="s">
        <v>61</v>
      </c>
      <c r="H133" s="4"/>
      <c r="I133" s="4" t="s">
        <v>40</v>
      </c>
      <c r="J133" s="17" t="s">
        <v>3290</v>
      </c>
      <c r="K133" s="16">
        <v>7.7450888664875039</v>
      </c>
      <c r="L133" s="16">
        <v>22.782452001272123</v>
      </c>
      <c r="M133" s="16">
        <v>54.556143884162466</v>
      </c>
      <c r="N133" s="16">
        <v>99.760154168675953</v>
      </c>
      <c r="O133" s="16">
        <v>28.48801956987197</v>
      </c>
      <c r="P133" s="16">
        <v>82.019711042847618</v>
      </c>
      <c r="Q133" s="16">
        <v>38.587693430589276</v>
      </c>
    </row>
    <row r="134" spans="1:17" ht="12.75" x14ac:dyDescent="0.2">
      <c r="A134" s="4" t="s">
        <v>115</v>
      </c>
      <c r="B134" s="4" t="s">
        <v>116</v>
      </c>
      <c r="C134" s="4" t="s">
        <v>3562</v>
      </c>
      <c r="D134" s="4" t="s">
        <v>3563</v>
      </c>
      <c r="E134" s="4" t="s">
        <v>39</v>
      </c>
      <c r="F134" s="4" t="s">
        <v>18</v>
      </c>
      <c r="G134" s="4" t="s">
        <v>19</v>
      </c>
      <c r="H134" s="4"/>
      <c r="I134" s="4" t="s">
        <v>40</v>
      </c>
      <c r="J134" s="17" t="s">
        <v>3290</v>
      </c>
      <c r="K134" s="16">
        <v>78.357722698536421</v>
      </c>
      <c r="L134" s="16">
        <v>17.355507289300487</v>
      </c>
      <c r="M134" s="16">
        <v>65.561675154294605</v>
      </c>
      <c r="N134" s="16">
        <v>84.210891617658646</v>
      </c>
      <c r="O134" s="16">
        <v>36.176303561755127</v>
      </c>
      <c r="P134" s="16">
        <v>93.28713571035469</v>
      </c>
      <c r="Q134" s="16">
        <v>67.510338331086871</v>
      </c>
    </row>
    <row r="135" spans="1:17" ht="12.75" x14ac:dyDescent="0.2">
      <c r="A135" s="4" t="s">
        <v>64</v>
      </c>
      <c r="B135" s="4" t="s">
        <v>82</v>
      </c>
      <c r="C135" s="4" t="s">
        <v>3564</v>
      </c>
      <c r="D135" s="4" t="s">
        <v>3565</v>
      </c>
      <c r="E135" s="4" t="s">
        <v>39</v>
      </c>
      <c r="F135" s="4" t="s">
        <v>18</v>
      </c>
      <c r="G135" s="4" t="s">
        <v>26</v>
      </c>
      <c r="H135" s="4"/>
      <c r="I135" s="4" t="s">
        <v>40</v>
      </c>
      <c r="J135" s="17" t="s">
        <v>3290</v>
      </c>
      <c r="K135" s="16">
        <v>5.2882638852117081</v>
      </c>
      <c r="L135" s="16">
        <v>38.531451675031455</v>
      </c>
      <c r="M135" s="16">
        <v>66.501198559716059</v>
      </c>
      <c r="N135" s="16">
        <v>23.49766943649858</v>
      </c>
      <c r="O135" s="16">
        <v>46.654578165651486</v>
      </c>
      <c r="P135" s="16">
        <v>31.017703955281604</v>
      </c>
      <c r="Q135" s="16">
        <v>16.739884990337263</v>
      </c>
    </row>
    <row r="136" spans="1:17" ht="12.75" x14ac:dyDescent="0.2">
      <c r="A136" s="4" t="s">
        <v>64</v>
      </c>
      <c r="B136" s="4" t="s">
        <v>92</v>
      </c>
      <c r="C136" s="4" t="s">
        <v>3566</v>
      </c>
      <c r="D136" s="4" t="s">
        <v>3567</v>
      </c>
      <c r="E136" s="4" t="s">
        <v>39</v>
      </c>
      <c r="F136" s="4" t="s">
        <v>18</v>
      </c>
      <c r="G136" s="4" t="s">
        <v>26</v>
      </c>
      <c r="H136" s="4"/>
      <c r="I136" s="4" t="s">
        <v>40</v>
      </c>
      <c r="J136" s="17" t="s">
        <v>3290</v>
      </c>
      <c r="K136" s="16">
        <v>94.685999899156869</v>
      </c>
      <c r="L136" s="16">
        <v>4.2114918622381259</v>
      </c>
      <c r="M136" s="16">
        <v>86.241826586634247</v>
      </c>
      <c r="N136" s="16">
        <v>6.0134594801261709</v>
      </c>
      <c r="O136" s="16">
        <v>31.956514619596497</v>
      </c>
      <c r="P136" s="16">
        <v>59.608881752014639</v>
      </c>
      <c r="Q136" s="16">
        <v>35.277317780822329</v>
      </c>
    </row>
    <row r="137" spans="1:17" ht="12.75" x14ac:dyDescent="0.2">
      <c r="A137" s="4" t="s">
        <v>115</v>
      </c>
      <c r="B137" s="4" t="s">
        <v>119</v>
      </c>
      <c r="C137" s="4" t="s">
        <v>3568</v>
      </c>
      <c r="D137" s="4" t="s">
        <v>3569</v>
      </c>
      <c r="E137" s="4" t="s">
        <v>39</v>
      </c>
      <c r="F137" s="4" t="s">
        <v>18</v>
      </c>
      <c r="G137" s="4" t="s">
        <v>19</v>
      </c>
      <c r="I137" s="4" t="s">
        <v>40</v>
      </c>
      <c r="J137" s="17" t="s">
        <v>3290</v>
      </c>
      <c r="K137" s="16">
        <v>21.837058933463503</v>
      </c>
      <c r="L137" s="16">
        <v>98.029784811161164</v>
      </c>
      <c r="M137" s="16">
        <v>90.379766283325196</v>
      </c>
      <c r="N137" s="16">
        <v>12.650058948301602</v>
      </c>
      <c r="O137" s="16">
        <v>21.898065538751045</v>
      </c>
      <c r="P137" s="16">
        <v>12.626928937260828</v>
      </c>
      <c r="Q137" s="16">
        <v>21.076542234946906</v>
      </c>
    </row>
    <row r="138" spans="1:17" ht="12.75" x14ac:dyDescent="0.2">
      <c r="A138" s="4" t="s">
        <v>115</v>
      </c>
      <c r="B138" s="4" t="s">
        <v>134</v>
      </c>
      <c r="C138" s="4" t="s">
        <v>3570</v>
      </c>
      <c r="D138" s="4" t="s">
        <v>3571</v>
      </c>
      <c r="E138" s="4" t="s">
        <v>39</v>
      </c>
      <c r="F138" s="4" t="s">
        <v>18</v>
      </c>
      <c r="G138" s="4" t="s">
        <v>54</v>
      </c>
      <c r="I138" s="4" t="s">
        <v>40</v>
      </c>
      <c r="J138" s="17" t="s">
        <v>3290</v>
      </c>
      <c r="K138" s="16">
        <v>16.328925039086041</v>
      </c>
      <c r="L138" s="16">
        <v>83.165723586369865</v>
      </c>
      <c r="M138" s="16">
        <v>69.736552972543819</v>
      </c>
      <c r="N138" s="16">
        <v>45.548233067537403</v>
      </c>
      <c r="O138" s="16">
        <v>80.688318517950691</v>
      </c>
      <c r="P138" s="16">
        <v>83.288166076150475</v>
      </c>
      <c r="Q138" s="16">
        <v>18.484862301768999</v>
      </c>
    </row>
    <row r="139" spans="1:17" ht="12.75" x14ac:dyDescent="0.2">
      <c r="A139" s="4" t="s">
        <v>115</v>
      </c>
      <c r="B139" s="4" t="s">
        <v>122</v>
      </c>
      <c r="C139" s="4" t="s">
        <v>3572</v>
      </c>
      <c r="D139" s="4" t="s">
        <v>3573</v>
      </c>
      <c r="E139" s="4" t="s">
        <v>39</v>
      </c>
      <c r="F139" s="4" t="s">
        <v>18</v>
      </c>
      <c r="G139" s="4" t="s">
        <v>12</v>
      </c>
      <c r="H139" s="4"/>
      <c r="I139" s="4" t="s">
        <v>40</v>
      </c>
      <c r="J139" s="17" t="s">
        <v>3290</v>
      </c>
      <c r="K139" s="16">
        <v>56.480958637320256</v>
      </c>
      <c r="L139" s="16">
        <v>35.215647520513585</v>
      </c>
      <c r="M139" s="16">
        <v>8.9698377441558286</v>
      </c>
      <c r="N139" s="16">
        <v>62.293606493048074</v>
      </c>
      <c r="O139" s="16">
        <v>39.839226551771958</v>
      </c>
      <c r="P139" s="16">
        <v>7.8971847651623133</v>
      </c>
      <c r="Q139" s="16">
        <v>44.744754225630743</v>
      </c>
    </row>
    <row r="140" spans="1:17" ht="12.75" x14ac:dyDescent="0.2">
      <c r="A140" s="4" t="s">
        <v>64</v>
      </c>
      <c r="B140" s="4" t="s">
        <v>95</v>
      </c>
      <c r="C140" s="4" t="s">
        <v>3574</v>
      </c>
      <c r="D140" s="4" t="s">
        <v>3575</v>
      </c>
      <c r="E140" s="4" t="s">
        <v>39</v>
      </c>
      <c r="F140" s="4" t="s">
        <v>18</v>
      </c>
      <c r="G140" s="4" t="s">
        <v>61</v>
      </c>
      <c r="H140" s="4"/>
      <c r="I140" s="4" t="s">
        <v>40</v>
      </c>
      <c r="J140" s="17" t="s">
        <v>3290</v>
      </c>
      <c r="K140" s="16">
        <v>41.054460238321077</v>
      </c>
      <c r="L140" s="16">
        <v>79.038300005373571</v>
      </c>
      <c r="M140" s="16">
        <v>35.955281757593148</v>
      </c>
      <c r="N140" s="16">
        <v>0.93773658611469024</v>
      </c>
      <c r="O140" s="16">
        <v>85.329382691774427</v>
      </c>
      <c r="P140" s="16">
        <v>74.519836889953055</v>
      </c>
      <c r="Q140" s="16">
        <v>74.734917158292347</v>
      </c>
    </row>
    <row r="141" spans="1:17" ht="12.75" x14ac:dyDescent="0.2">
      <c r="A141" s="4" t="s">
        <v>115</v>
      </c>
      <c r="B141" s="4" t="s">
        <v>116</v>
      </c>
      <c r="C141" s="4" t="s">
        <v>3576</v>
      </c>
      <c r="D141" s="4" t="s">
        <v>3577</v>
      </c>
      <c r="E141" s="4" t="s">
        <v>39</v>
      </c>
      <c r="F141" s="4" t="s">
        <v>18</v>
      </c>
      <c r="G141" s="4" t="s">
        <v>19</v>
      </c>
      <c r="I141" s="4" t="s">
        <v>40</v>
      </c>
      <c r="J141" s="17" t="s">
        <v>3290</v>
      </c>
      <c r="K141" s="16">
        <v>37.616496339152306</v>
      </c>
      <c r="L141" s="16">
        <v>13.501500234330621</v>
      </c>
      <c r="M141" s="16">
        <v>32.573679098415099</v>
      </c>
      <c r="N141" s="16">
        <v>6.6071392051907374</v>
      </c>
      <c r="O141" s="16">
        <v>67.809161213885886</v>
      </c>
      <c r="P141" s="16">
        <v>39.630218522511854</v>
      </c>
      <c r="Q141" s="16">
        <v>49.133434644537488</v>
      </c>
    </row>
    <row r="142" spans="1:17" ht="12.75" x14ac:dyDescent="0.2">
      <c r="A142" s="4" t="s">
        <v>115</v>
      </c>
      <c r="B142" s="4" t="s">
        <v>116</v>
      </c>
      <c r="C142" s="4" t="s">
        <v>3578</v>
      </c>
      <c r="D142" s="4" t="s">
        <v>3579</v>
      </c>
      <c r="E142" s="4" t="s">
        <v>39</v>
      </c>
      <c r="F142" s="4" t="s">
        <v>18</v>
      </c>
      <c r="G142" s="4" t="s">
        <v>12</v>
      </c>
      <c r="H142" s="4"/>
      <c r="I142" s="4" t="s">
        <v>40</v>
      </c>
      <c r="J142" s="17" t="s">
        <v>3290</v>
      </c>
      <c r="K142" s="16">
        <v>92.633728198974794</v>
      </c>
      <c r="L142" s="16">
        <v>37.258140460848075</v>
      </c>
      <c r="M142" s="16">
        <v>37.113982887464935</v>
      </c>
      <c r="N142" s="16">
        <v>76.478371032537169</v>
      </c>
      <c r="O142" s="16">
        <v>81.966574092113689</v>
      </c>
      <c r="P142" s="16">
        <v>74.002959803363936</v>
      </c>
      <c r="Q142" s="16">
        <v>33.562362116295887</v>
      </c>
    </row>
    <row r="143" spans="1:17" ht="12.75" x14ac:dyDescent="0.2">
      <c r="A143" s="4" t="s">
        <v>98</v>
      </c>
      <c r="B143" s="4" t="s">
        <v>105</v>
      </c>
      <c r="C143" s="4" t="s">
        <v>3580</v>
      </c>
      <c r="D143" s="4" t="s">
        <v>3581</v>
      </c>
      <c r="E143" s="4" t="s">
        <v>39</v>
      </c>
      <c r="F143" s="4" t="s">
        <v>18</v>
      </c>
      <c r="G143" s="4" t="s">
        <v>41</v>
      </c>
      <c r="H143" s="4"/>
      <c r="I143" s="4" t="s">
        <v>40</v>
      </c>
      <c r="J143" s="17" t="s">
        <v>3290</v>
      </c>
      <c r="K143" s="16">
        <v>68.586920330102132</v>
      </c>
      <c r="L143" s="16">
        <v>42.757023767221767</v>
      </c>
      <c r="M143" s="16">
        <v>74.214712098302755</v>
      </c>
      <c r="N143" s="16">
        <v>5.1480797329024881</v>
      </c>
      <c r="O143" s="16">
        <v>35.035356109872694</v>
      </c>
      <c r="P143" s="16">
        <v>81.934538672241558</v>
      </c>
      <c r="Q143" s="16">
        <v>73.799883626107601</v>
      </c>
    </row>
    <row r="144" spans="1:17" ht="12.75" x14ac:dyDescent="0.2">
      <c r="A144" s="4" t="s">
        <v>98</v>
      </c>
      <c r="B144" s="4" t="s">
        <v>105</v>
      </c>
      <c r="C144" s="4" t="s">
        <v>3582</v>
      </c>
      <c r="D144" s="4" t="s">
        <v>3583</v>
      </c>
      <c r="E144" s="4" t="s">
        <v>39</v>
      </c>
      <c r="F144" s="4" t="s">
        <v>18</v>
      </c>
      <c r="G144" s="4" t="s">
        <v>41</v>
      </c>
      <c r="H144" s="4"/>
      <c r="I144" s="4" t="s">
        <v>40</v>
      </c>
      <c r="J144" s="17" t="s">
        <v>3290</v>
      </c>
      <c r="K144" s="16">
        <v>4.2287983512314327</v>
      </c>
      <c r="L144" s="16">
        <v>71.563257337626538</v>
      </c>
      <c r="M144" s="16">
        <v>29.893736268850603</v>
      </c>
      <c r="N144" s="16">
        <v>15.129756663453453</v>
      </c>
      <c r="O144" s="16">
        <v>26.80971411326405</v>
      </c>
      <c r="P144" s="16">
        <v>42.085937833674016</v>
      </c>
      <c r="Q144" s="16">
        <v>60.683962430398097</v>
      </c>
    </row>
    <row r="145" spans="1:18" ht="12.75" x14ac:dyDescent="0.2">
      <c r="A145" s="4" t="s">
        <v>98</v>
      </c>
      <c r="B145" s="4" t="s">
        <v>105</v>
      </c>
      <c r="C145" s="4" t="s">
        <v>3584</v>
      </c>
      <c r="D145" s="4" t="s">
        <v>3585</v>
      </c>
      <c r="E145" s="4" t="s">
        <v>39</v>
      </c>
      <c r="F145" s="4" t="s">
        <v>18</v>
      </c>
      <c r="G145" s="4" t="s">
        <v>61</v>
      </c>
      <c r="H145" s="4"/>
      <c r="I145" s="4" t="s">
        <v>40</v>
      </c>
      <c r="J145" s="17" t="s">
        <v>3290</v>
      </c>
      <c r="K145" s="16">
        <v>95.747217305376751</v>
      </c>
      <c r="L145" s="16">
        <v>49.580861018383693</v>
      </c>
      <c r="M145" s="16">
        <v>60.628808973167459</v>
      </c>
      <c r="N145" s="16">
        <v>44.731138315485971</v>
      </c>
      <c r="O145" s="16">
        <v>48.174325688659749</v>
      </c>
      <c r="P145" s="16">
        <v>18.474657354039802</v>
      </c>
      <c r="Q145" s="16">
        <v>5.8084172411729362</v>
      </c>
    </row>
    <row r="146" spans="1:18" ht="12.75" x14ac:dyDescent="0.2">
      <c r="A146" s="4" t="s">
        <v>64</v>
      </c>
      <c r="B146" s="4" t="s">
        <v>89</v>
      </c>
      <c r="C146" s="4" t="s">
        <v>3586</v>
      </c>
      <c r="D146" s="4" t="s">
        <v>3587</v>
      </c>
      <c r="E146" s="4" t="s">
        <v>39</v>
      </c>
      <c r="F146" s="4" t="s">
        <v>18</v>
      </c>
      <c r="G146" s="4" t="s">
        <v>72</v>
      </c>
      <c r="H146" s="4"/>
      <c r="I146" s="4" t="s">
        <v>40</v>
      </c>
      <c r="J146" s="17" t="s">
        <v>3290</v>
      </c>
      <c r="K146" s="16">
        <v>74.758346498688041</v>
      </c>
      <c r="L146" s="16">
        <v>85.651324199132432</v>
      </c>
      <c r="M146" s="16">
        <v>49.057381481019505</v>
      </c>
      <c r="N146" s="16">
        <v>71.472417897154159</v>
      </c>
      <c r="O146" s="16">
        <v>91.262365265822297</v>
      </c>
      <c r="P146" s="16">
        <v>77.983060167702703</v>
      </c>
      <c r="Q146" s="16">
        <v>64.740189624224655</v>
      </c>
    </row>
    <row r="147" spans="1:18" ht="12.75" x14ac:dyDescent="0.2">
      <c r="A147" s="4" t="s">
        <v>64</v>
      </c>
      <c r="B147" s="4" t="s">
        <v>82</v>
      </c>
      <c r="C147" s="4" t="s">
        <v>3588</v>
      </c>
      <c r="D147" s="4" t="s">
        <v>3589</v>
      </c>
      <c r="E147" s="4" t="s">
        <v>39</v>
      </c>
      <c r="F147" s="4" t="s">
        <v>18</v>
      </c>
      <c r="G147" s="4" t="s">
        <v>26</v>
      </c>
      <c r="H147" s="4"/>
      <c r="I147" s="4" t="s">
        <v>40</v>
      </c>
      <c r="J147" s="17" t="s">
        <v>3290</v>
      </c>
      <c r="K147" s="16">
        <v>46.981163775929517</v>
      </c>
      <c r="L147" s="16">
        <v>59.444235909879964</v>
      </c>
      <c r="M147" s="16">
        <v>13.4299538612497</v>
      </c>
      <c r="N147" s="16">
        <v>23.830942779664355</v>
      </c>
      <c r="O147" s="16">
        <v>16.464184113978298</v>
      </c>
      <c r="P147" s="16">
        <v>75.47987190755039</v>
      </c>
      <c r="Q147" s="16">
        <v>76.968968179251021</v>
      </c>
    </row>
    <row r="148" spans="1:18" ht="12.75" x14ac:dyDescent="0.2">
      <c r="A148" s="4" t="s">
        <v>115</v>
      </c>
      <c r="B148" s="4" t="s">
        <v>116</v>
      </c>
      <c r="C148" s="4" t="s">
        <v>3590</v>
      </c>
      <c r="D148" s="4" t="s">
        <v>3591</v>
      </c>
      <c r="E148" s="4" t="s">
        <v>39</v>
      </c>
      <c r="F148" s="4" t="s">
        <v>18</v>
      </c>
      <c r="G148" s="4" t="s">
        <v>12</v>
      </c>
      <c r="I148" s="4" t="s">
        <v>40</v>
      </c>
      <c r="J148" s="17" t="s">
        <v>3290</v>
      </c>
      <c r="K148" s="16">
        <v>39.345928540978889</v>
      </c>
      <c r="L148" s="16">
        <v>42.722529823701635</v>
      </c>
      <c r="M148" s="16">
        <v>55.178835850953178</v>
      </c>
      <c r="N148" s="16">
        <v>20.286337285505773</v>
      </c>
      <c r="O148" s="16">
        <v>53.478115985438833</v>
      </c>
      <c r="P148" s="16">
        <v>82.520194823733846</v>
      </c>
      <c r="Q148" s="16">
        <v>16.927712472591129</v>
      </c>
    </row>
    <row r="149" spans="1:18" ht="12.75" x14ac:dyDescent="0.2">
      <c r="A149" s="4" t="s">
        <v>115</v>
      </c>
      <c r="B149" s="4" t="s">
        <v>122</v>
      </c>
      <c r="C149" s="4" t="s">
        <v>3592</v>
      </c>
      <c r="D149" s="4" t="s">
        <v>3593</v>
      </c>
      <c r="E149" s="4" t="s">
        <v>39</v>
      </c>
      <c r="F149" s="4" t="s">
        <v>32</v>
      </c>
      <c r="G149" s="4" t="s">
        <v>61</v>
      </c>
      <c r="H149" s="4"/>
      <c r="I149" s="4" t="s">
        <v>40</v>
      </c>
      <c r="J149" s="17" t="s">
        <v>3290</v>
      </c>
      <c r="K149" s="16">
        <v>34.754653399839128</v>
      </c>
      <c r="L149" s="16">
        <v>96.183191632939398</v>
      </c>
      <c r="M149" s="16">
        <v>74.845332168155764</v>
      </c>
      <c r="N149" s="16">
        <v>50.913863663862088</v>
      </c>
      <c r="O149" s="16">
        <v>45.133635357171599</v>
      </c>
      <c r="P149" s="16">
        <v>44.292666389956992</v>
      </c>
      <c r="Q149" s="16">
        <v>49.06561998854535</v>
      </c>
    </row>
    <row r="150" spans="1:18" ht="12.75" x14ac:dyDescent="0.2">
      <c r="A150" s="4" t="s">
        <v>115</v>
      </c>
      <c r="B150" s="4" t="s">
        <v>116</v>
      </c>
      <c r="C150" s="4" t="s">
        <v>3594</v>
      </c>
      <c r="D150" s="4" t="s">
        <v>3595</v>
      </c>
      <c r="E150" s="4" t="s">
        <v>39</v>
      </c>
      <c r="F150" s="4" t="s">
        <v>18</v>
      </c>
      <c r="G150" s="4" t="s">
        <v>19</v>
      </c>
      <c r="H150" s="4"/>
      <c r="I150" s="4" t="s">
        <v>40</v>
      </c>
      <c r="J150" s="17" t="s">
        <v>3290</v>
      </c>
      <c r="K150" s="16">
        <v>38.220743961750479</v>
      </c>
      <c r="L150" s="16">
        <v>28.545975736582065</v>
      </c>
      <c r="M150" s="16">
        <v>69.194277180740016</v>
      </c>
      <c r="N150" s="16">
        <v>45.826913325259291</v>
      </c>
      <c r="O150" s="16">
        <v>2.6707565838565039</v>
      </c>
      <c r="P150" s="16">
        <v>3.2919082679378486</v>
      </c>
      <c r="Q150" s="16">
        <v>73.101004374504086</v>
      </c>
    </row>
    <row r="151" spans="1:18" ht="12.75" x14ac:dyDescent="0.2">
      <c r="A151" s="4" t="s">
        <v>64</v>
      </c>
      <c r="B151" s="4" t="s">
        <v>95</v>
      </c>
      <c r="C151" s="4" t="s">
        <v>3596</v>
      </c>
      <c r="D151" s="4" t="s">
        <v>3597</v>
      </c>
      <c r="E151" s="4" t="s">
        <v>39</v>
      </c>
      <c r="F151" s="4" t="s">
        <v>18</v>
      </c>
      <c r="G151" s="4" t="s">
        <v>61</v>
      </c>
      <c r="H151" s="4"/>
      <c r="I151" s="4" t="s">
        <v>40</v>
      </c>
      <c r="J151" s="17" t="s">
        <v>3290</v>
      </c>
      <c r="K151" s="16">
        <v>19.419443962149742</v>
      </c>
      <c r="L151" s="16">
        <v>56.09889522656254</v>
      </c>
      <c r="M151" s="16">
        <v>98.19764941386768</v>
      </c>
      <c r="N151" s="16">
        <v>35.797576686994006</v>
      </c>
      <c r="O151" s="16">
        <v>2.2802095582823645</v>
      </c>
      <c r="P151" s="16">
        <v>64.731272701207914</v>
      </c>
      <c r="Q151" s="16">
        <v>63.6753216490726</v>
      </c>
    </row>
    <row r="152" spans="1:18" ht="12.75" x14ac:dyDescent="0.2">
      <c r="A152" s="4" t="s">
        <v>37</v>
      </c>
      <c r="B152" s="4" t="s">
        <v>45</v>
      </c>
      <c r="C152" s="4" t="s">
        <v>3598</v>
      </c>
      <c r="D152" s="4" t="s">
        <v>3599</v>
      </c>
      <c r="E152" s="4" t="s">
        <v>39</v>
      </c>
      <c r="F152" s="4" t="s">
        <v>32</v>
      </c>
      <c r="G152" s="4" t="s">
        <v>72</v>
      </c>
      <c r="H152" s="4" t="s">
        <v>3600</v>
      </c>
      <c r="I152" s="4" t="s">
        <v>40</v>
      </c>
      <c r="J152" s="17" t="s">
        <v>3290</v>
      </c>
      <c r="K152" s="16">
        <v>12.444439648595985</v>
      </c>
      <c r="L152" s="16">
        <v>54.331271280586577</v>
      </c>
      <c r="M152" s="16">
        <v>17.785571669124678</v>
      </c>
      <c r="N152" s="16">
        <v>59.393038963589859</v>
      </c>
      <c r="O152" s="16">
        <v>98.310727945061174</v>
      </c>
      <c r="P152" s="16">
        <v>59.013663250459715</v>
      </c>
      <c r="Q152" s="16">
        <v>88.114187760529944</v>
      </c>
    </row>
    <row r="153" spans="1:18" ht="12.75" x14ac:dyDescent="0.2">
      <c r="A153" s="4" t="s">
        <v>115</v>
      </c>
      <c r="B153" s="4" t="s">
        <v>116</v>
      </c>
      <c r="C153" s="4" t="s">
        <v>3601</v>
      </c>
      <c r="D153" s="4" t="s">
        <v>3602</v>
      </c>
      <c r="E153" s="4" t="s">
        <v>39</v>
      </c>
      <c r="F153" s="4" t="s">
        <v>18</v>
      </c>
      <c r="G153" s="4" t="s">
        <v>19</v>
      </c>
      <c r="I153" s="4" t="s">
        <v>40</v>
      </c>
      <c r="J153" s="17" t="s">
        <v>3290</v>
      </c>
      <c r="K153" s="16">
        <v>98.28176629132129</v>
      </c>
      <c r="L153" s="16">
        <v>47.257036009887329</v>
      </c>
      <c r="M153" s="16">
        <v>40.58593008169602</v>
      </c>
      <c r="N153" s="16">
        <v>63.824533957019447</v>
      </c>
      <c r="O153" s="16">
        <v>92.067633443203462</v>
      </c>
      <c r="P153" s="16">
        <v>47.725248487886162</v>
      </c>
      <c r="Q153" s="16">
        <v>46.568584368187793</v>
      </c>
    </row>
    <row r="154" spans="1:18" ht="12.75" x14ac:dyDescent="0.2">
      <c r="A154" s="4" t="s">
        <v>98</v>
      </c>
      <c r="B154" s="4" t="s">
        <v>99</v>
      </c>
      <c r="C154" s="4" t="s">
        <v>3603</v>
      </c>
      <c r="D154" s="4" t="s">
        <v>3604</v>
      </c>
      <c r="E154" s="4" t="s">
        <v>39</v>
      </c>
      <c r="F154" s="4" t="s">
        <v>18</v>
      </c>
      <c r="G154" s="4" t="s">
        <v>61</v>
      </c>
      <c r="H154" s="4"/>
      <c r="I154" s="4" t="s">
        <v>40</v>
      </c>
      <c r="J154" s="17" t="s">
        <v>3290</v>
      </c>
      <c r="K154" s="16">
        <v>72.333596900861963</v>
      </c>
      <c r="L154" s="16">
        <v>74.614931327489728</v>
      </c>
      <c r="M154" s="16">
        <v>47.032458625556693</v>
      </c>
      <c r="N154" s="16">
        <v>75.335405046570386</v>
      </c>
      <c r="O154" s="16">
        <v>79.21234696821908</v>
      </c>
      <c r="P154" s="16">
        <v>85.797356747900565</v>
      </c>
      <c r="Q154" s="16">
        <v>0.50771781027123541</v>
      </c>
    </row>
    <row r="155" spans="1:18" ht="12.75" x14ac:dyDescent="0.2">
      <c r="A155" s="4" t="s">
        <v>37</v>
      </c>
      <c r="B155" s="4" t="s">
        <v>38</v>
      </c>
      <c r="C155" s="4" t="s">
        <v>3605</v>
      </c>
      <c r="D155" s="4" t="s">
        <v>3606</v>
      </c>
      <c r="E155" s="4" t="s">
        <v>39</v>
      </c>
      <c r="F155" s="4" t="s">
        <v>18</v>
      </c>
      <c r="G155" s="4" t="s">
        <v>61</v>
      </c>
      <c r="H155" s="4"/>
      <c r="I155" s="4" t="s">
        <v>40</v>
      </c>
      <c r="J155" s="17" t="s">
        <v>3290</v>
      </c>
      <c r="K155" s="16">
        <v>13.080683261680415</v>
      </c>
      <c r="L155" s="16">
        <v>77.680847737570105</v>
      </c>
      <c r="M155" s="16">
        <v>76.264934912247696</v>
      </c>
      <c r="N155" s="16">
        <v>47.665183164295776</v>
      </c>
      <c r="O155" s="16">
        <v>71.200301803735186</v>
      </c>
      <c r="P155" s="16">
        <v>58.029453920581453</v>
      </c>
      <c r="Q155" s="16">
        <v>65.491685125300108</v>
      </c>
    </row>
    <row r="156" spans="1:18" ht="12.75" x14ac:dyDescent="0.2">
      <c r="A156" s="4" t="s">
        <v>37</v>
      </c>
      <c r="B156" s="4" t="s">
        <v>45</v>
      </c>
      <c r="C156" s="4" t="s">
        <v>3607</v>
      </c>
      <c r="D156" s="4" t="s">
        <v>3608</v>
      </c>
      <c r="E156" s="4" t="s">
        <v>39</v>
      </c>
      <c r="F156" s="4" t="s">
        <v>32</v>
      </c>
      <c r="G156" s="4" t="s">
        <v>72</v>
      </c>
      <c r="H156" s="4" t="s">
        <v>3600</v>
      </c>
      <c r="I156" s="4" t="s">
        <v>40</v>
      </c>
      <c r="J156" s="17" t="s">
        <v>3290</v>
      </c>
      <c r="K156" s="16">
        <v>87.252542953761065</v>
      </c>
      <c r="L156" s="16">
        <v>15.955767374441566</v>
      </c>
      <c r="M156" s="16">
        <v>57.263058453099383</v>
      </c>
      <c r="N156" s="16">
        <v>79.746002561610666</v>
      </c>
      <c r="O156" s="16">
        <v>65.462836171351441</v>
      </c>
      <c r="P156" s="16">
        <v>1.6951743223718729</v>
      </c>
      <c r="Q156" s="16">
        <v>38.310298702385083</v>
      </c>
    </row>
    <row r="157" spans="1:18" ht="12.75" x14ac:dyDescent="0.2">
      <c r="A157" s="4" t="s">
        <v>37</v>
      </c>
      <c r="B157" s="4" t="s">
        <v>38</v>
      </c>
      <c r="C157" s="4" t="s">
        <v>3609</v>
      </c>
      <c r="D157" s="4" t="s">
        <v>3610</v>
      </c>
      <c r="E157" s="4" t="s">
        <v>39</v>
      </c>
      <c r="F157" s="4" t="s">
        <v>18</v>
      </c>
      <c r="G157" s="4" t="s">
        <v>41</v>
      </c>
      <c r="I157" s="4" t="s">
        <v>40</v>
      </c>
      <c r="J157" s="17" t="s">
        <v>3290</v>
      </c>
      <c r="K157" s="16">
        <v>43.704603752853401</v>
      </c>
      <c r="L157" s="16">
        <v>33.792466511420159</v>
      </c>
      <c r="M157" s="16">
        <v>37.895613724215117</v>
      </c>
      <c r="N157" s="16">
        <v>58.84869209177662</v>
      </c>
      <c r="O157" s="16">
        <v>23.184457533229541</v>
      </c>
      <c r="P157" s="16">
        <v>66.365844798213146</v>
      </c>
      <c r="Q157" s="16">
        <v>94.451608994922822</v>
      </c>
    </row>
    <row r="158" spans="1:18" ht="12.75" x14ac:dyDescent="0.2">
      <c r="A158" s="4" t="s">
        <v>115</v>
      </c>
      <c r="B158" s="4" t="s">
        <v>122</v>
      </c>
      <c r="C158" s="4" t="s">
        <v>3611</v>
      </c>
      <c r="D158" s="4" t="s">
        <v>3612</v>
      </c>
      <c r="E158" s="4" t="s">
        <v>39</v>
      </c>
      <c r="F158" s="4" t="s">
        <v>18</v>
      </c>
      <c r="G158" s="4" t="s">
        <v>61</v>
      </c>
      <c r="I158" s="4" t="s">
        <v>40</v>
      </c>
      <c r="J158" s="17" t="s">
        <v>3290</v>
      </c>
      <c r="K158" s="16">
        <v>9.4437518082890914</v>
      </c>
      <c r="L158" s="16">
        <v>76.915723661523231</v>
      </c>
      <c r="M158" s="16">
        <v>23.595711814327082</v>
      </c>
      <c r="N158" s="16">
        <v>32.268240154023928</v>
      </c>
      <c r="O158" s="16">
        <v>71.294108708214992</v>
      </c>
      <c r="P158" s="16">
        <v>55.836973564299363</v>
      </c>
      <c r="Q158" s="16">
        <v>63.978440589807015</v>
      </c>
    </row>
    <row r="159" spans="1:18" ht="12.75" x14ac:dyDescent="0.2">
      <c r="A159" s="4" t="s">
        <v>98</v>
      </c>
      <c r="B159" s="4" t="s">
        <v>102</v>
      </c>
      <c r="C159" s="4" t="s">
        <v>3613</v>
      </c>
      <c r="D159" s="4" t="s">
        <v>3614</v>
      </c>
      <c r="E159" s="4" t="s">
        <v>39</v>
      </c>
      <c r="F159" s="4" t="s">
        <v>18</v>
      </c>
      <c r="G159" s="4" t="s">
        <v>41</v>
      </c>
      <c r="H159" s="4"/>
      <c r="I159" s="4" t="s">
        <v>40</v>
      </c>
      <c r="J159" s="17" t="s">
        <v>3290</v>
      </c>
      <c r="K159" s="16">
        <v>96.495950275239295</v>
      </c>
      <c r="L159" s="16">
        <v>69.022301625742458</v>
      </c>
      <c r="M159" s="16">
        <v>9.5447079147138236</v>
      </c>
      <c r="N159" s="16">
        <v>60.125594684976981</v>
      </c>
      <c r="O159" s="16">
        <v>79.416090645063292</v>
      </c>
      <c r="P159" s="16">
        <v>77.681856047983757</v>
      </c>
      <c r="Q159" s="16">
        <v>64.120661226476869</v>
      </c>
    </row>
    <row r="160" spans="1:18" ht="12.75" x14ac:dyDescent="0.2">
      <c r="A160" s="4" t="s">
        <v>115</v>
      </c>
      <c r="B160" s="4" t="s">
        <v>131</v>
      </c>
      <c r="C160" s="4" t="s">
        <v>3615</v>
      </c>
      <c r="D160" s="4" t="s">
        <v>3616</v>
      </c>
      <c r="E160" s="4" t="s">
        <v>39</v>
      </c>
      <c r="F160" s="4" t="s">
        <v>18</v>
      </c>
      <c r="G160" s="4" t="s">
        <v>72</v>
      </c>
      <c r="H160" s="4" t="s">
        <v>3617</v>
      </c>
      <c r="I160" s="4" t="s">
        <v>40</v>
      </c>
      <c r="J160" s="17" t="s">
        <v>3290</v>
      </c>
      <c r="K160" s="16">
        <v>34.684995681233652</v>
      </c>
      <c r="L160" s="16">
        <v>35.086917238310456</v>
      </c>
      <c r="M160" s="16">
        <v>87.365588751326371</v>
      </c>
      <c r="N160" s="16">
        <v>94.400240528172645</v>
      </c>
      <c r="O160" s="16">
        <v>70.542970596023963</v>
      </c>
      <c r="P160" s="16">
        <v>37.584057885072163</v>
      </c>
      <c r="Q160" s="16">
        <v>87.650535282706159</v>
      </c>
      <c r="R160" s="4" t="s">
        <v>3396</v>
      </c>
    </row>
    <row r="161" spans="1:17" ht="12.75" x14ac:dyDescent="0.2">
      <c r="A161" s="4" t="s">
        <v>115</v>
      </c>
      <c r="B161" s="4" t="s">
        <v>122</v>
      </c>
      <c r="C161" s="4" t="s">
        <v>3618</v>
      </c>
      <c r="D161" s="4" t="s">
        <v>3619</v>
      </c>
      <c r="E161" s="4" t="s">
        <v>39</v>
      </c>
      <c r="F161" s="4" t="s">
        <v>18</v>
      </c>
      <c r="G161" s="4" t="s">
        <v>61</v>
      </c>
      <c r="H161" s="4"/>
      <c r="I161" s="4" t="s">
        <v>40</v>
      </c>
      <c r="J161" s="17" t="s">
        <v>3290</v>
      </c>
      <c r="K161" s="16">
        <v>70.201414274044367</v>
      </c>
      <c r="L161" s="16">
        <v>54.885518655096064</v>
      </c>
      <c r="M161" s="16">
        <v>62.02346670188598</v>
      </c>
      <c r="N161" s="16">
        <v>26.533577938316956</v>
      </c>
      <c r="O161" s="16">
        <v>22.742397806310656</v>
      </c>
      <c r="P161" s="16">
        <v>87.508623478443312</v>
      </c>
      <c r="Q161" s="16">
        <v>4.8701790887591851</v>
      </c>
    </row>
    <row r="162" spans="1:17" ht="12.75" x14ac:dyDescent="0.2">
      <c r="A162" s="4" t="s">
        <v>64</v>
      </c>
      <c r="B162" s="4" t="s">
        <v>70</v>
      </c>
      <c r="C162" s="4" t="s">
        <v>3620</v>
      </c>
      <c r="D162" s="4" t="s">
        <v>3621</v>
      </c>
      <c r="E162" s="4" t="s">
        <v>39</v>
      </c>
      <c r="F162" s="4" t="s">
        <v>11</v>
      </c>
      <c r="G162" s="4" t="s">
        <v>72</v>
      </c>
      <c r="H162" s="4"/>
      <c r="I162" s="4" t="s">
        <v>40</v>
      </c>
      <c r="J162" s="17" t="s">
        <v>3290</v>
      </c>
      <c r="K162" s="16">
        <v>97.817273546902783</v>
      </c>
      <c r="L162" s="16">
        <v>88.377984461895664</v>
      </c>
      <c r="M162" s="16">
        <v>90.595893809916902</v>
      </c>
      <c r="N162" s="16">
        <v>11.023027289739606</v>
      </c>
      <c r="O162" s="16">
        <v>63.538723387938667</v>
      </c>
      <c r="P162" s="16">
        <v>31.153768675264615</v>
      </c>
      <c r="Q162" s="16">
        <v>46.328462098461657</v>
      </c>
    </row>
    <row r="163" spans="1:17" ht="12.75" x14ac:dyDescent="0.2">
      <c r="A163" s="4" t="s">
        <v>64</v>
      </c>
      <c r="B163" s="4" t="s">
        <v>86</v>
      </c>
      <c r="C163" s="4" t="s">
        <v>3622</v>
      </c>
      <c r="D163" s="4" t="s">
        <v>3623</v>
      </c>
      <c r="E163" s="4" t="s">
        <v>39</v>
      </c>
      <c r="F163" s="4" t="s">
        <v>18</v>
      </c>
      <c r="G163" s="4" t="s">
        <v>26</v>
      </c>
      <c r="I163" s="4" t="s">
        <v>40</v>
      </c>
      <c r="J163" s="17" t="s">
        <v>3290</v>
      </c>
      <c r="K163" s="16">
        <v>36.928596103426734</v>
      </c>
      <c r="L163" s="16">
        <v>67.491664454290571</v>
      </c>
      <c r="M163" s="16">
        <v>86.408414508024848</v>
      </c>
      <c r="N163" s="16">
        <v>45.161996754962196</v>
      </c>
      <c r="O163" s="16">
        <v>79.487051710339003</v>
      </c>
      <c r="P163" s="16">
        <v>52.374891845687799</v>
      </c>
      <c r="Q163" s="16">
        <v>71.017123370048225</v>
      </c>
    </row>
    <row r="164" spans="1:17" ht="12.75" x14ac:dyDescent="0.2">
      <c r="A164" s="4" t="s">
        <v>98</v>
      </c>
      <c r="B164" s="4" t="s">
        <v>99</v>
      </c>
      <c r="C164" s="4" t="s">
        <v>3624</v>
      </c>
      <c r="D164" s="4" t="s">
        <v>3625</v>
      </c>
      <c r="E164" s="4" t="s">
        <v>39</v>
      </c>
      <c r="F164" s="4" t="s">
        <v>18</v>
      </c>
      <c r="G164" s="4" t="s">
        <v>41</v>
      </c>
      <c r="H164" s="4"/>
      <c r="I164" s="4" t="s">
        <v>40</v>
      </c>
      <c r="J164" s="17" t="s">
        <v>3290</v>
      </c>
      <c r="K164" s="16">
        <v>19.641920659449795</v>
      </c>
      <c r="L164" s="16">
        <v>35.02238383592038</v>
      </c>
      <c r="M164" s="16">
        <v>25.097031347176134</v>
      </c>
      <c r="N164" s="16">
        <v>33.424384520915936</v>
      </c>
      <c r="O164" s="16">
        <v>59.415701450482892</v>
      </c>
      <c r="P164" s="16">
        <v>38.01350743326006</v>
      </c>
      <c r="Q164" s="16">
        <v>74.758639478378427</v>
      </c>
    </row>
    <row r="165" spans="1:17" ht="12.75" x14ac:dyDescent="0.2">
      <c r="A165" s="4" t="s">
        <v>64</v>
      </c>
      <c r="B165" s="4" t="s">
        <v>89</v>
      </c>
      <c r="C165" s="4" t="s">
        <v>3626</v>
      </c>
      <c r="D165" s="4" t="s">
        <v>3627</v>
      </c>
      <c r="E165" s="4" t="s">
        <v>39</v>
      </c>
      <c r="F165" s="4" t="s">
        <v>18</v>
      </c>
      <c r="G165" s="4" t="s">
        <v>61</v>
      </c>
      <c r="H165" s="4"/>
      <c r="I165" s="4" t="s">
        <v>40</v>
      </c>
      <c r="J165" s="17" t="s">
        <v>3290</v>
      </c>
      <c r="K165" s="16">
        <v>56.341773120146996</v>
      </c>
      <c r="L165" s="16">
        <v>52.442881299797349</v>
      </c>
      <c r="M165" s="16">
        <v>45.479207993291041</v>
      </c>
      <c r="N165" s="16">
        <v>85.252947104124218</v>
      </c>
      <c r="O165" s="16">
        <v>53.23216663325524</v>
      </c>
      <c r="P165" s="16">
        <v>50.16811044392162</v>
      </c>
      <c r="Q165" s="16">
        <v>78.471230249093409</v>
      </c>
    </row>
    <row r="166" spans="1:17" ht="12.75" x14ac:dyDescent="0.2">
      <c r="A166" s="4" t="s">
        <v>98</v>
      </c>
      <c r="B166" s="4" t="s">
        <v>105</v>
      </c>
      <c r="C166" s="4" t="s">
        <v>3628</v>
      </c>
      <c r="D166" s="4" t="s">
        <v>3629</v>
      </c>
      <c r="E166" s="4" t="s">
        <v>39</v>
      </c>
      <c r="F166" s="4" t="s">
        <v>18</v>
      </c>
      <c r="G166" s="4" t="s">
        <v>61</v>
      </c>
      <c r="I166" s="4" t="s">
        <v>40</v>
      </c>
      <c r="J166" s="17" t="s">
        <v>3290</v>
      </c>
      <c r="K166" s="16">
        <v>45.468027376811918</v>
      </c>
      <c r="L166" s="16">
        <v>18.50934861661424</v>
      </c>
      <c r="M166" s="16">
        <v>39.911923151792941</v>
      </c>
      <c r="N166" s="16">
        <v>48.624578798812259</v>
      </c>
      <c r="O166" s="16">
        <v>49.350647773720134</v>
      </c>
      <c r="P166" s="16">
        <v>67.941269579544212</v>
      </c>
      <c r="Q166" s="16">
        <v>98.170201548172898</v>
      </c>
    </row>
    <row r="167" spans="1:17" ht="12.75" x14ac:dyDescent="0.2">
      <c r="A167" s="4" t="s">
        <v>115</v>
      </c>
      <c r="B167" s="4" t="s">
        <v>116</v>
      </c>
      <c r="C167" s="4" t="s">
        <v>3630</v>
      </c>
      <c r="D167" s="4" t="s">
        <v>3631</v>
      </c>
      <c r="E167" s="4" t="s">
        <v>39</v>
      </c>
      <c r="F167" s="4" t="s">
        <v>18</v>
      </c>
      <c r="G167" s="4" t="s">
        <v>61</v>
      </c>
      <c r="H167" s="4"/>
      <c r="I167" s="4" t="s">
        <v>40</v>
      </c>
      <c r="J167" s="17" t="s">
        <v>3290</v>
      </c>
      <c r="K167" s="16">
        <v>22.305254818517774</v>
      </c>
      <c r="L167" s="16">
        <v>42.985663619934911</v>
      </c>
      <c r="M167" s="16">
        <v>1.9995713630449385</v>
      </c>
      <c r="N167" s="16">
        <v>97.159441593386731</v>
      </c>
      <c r="O167" s="16">
        <v>57.69680265908638</v>
      </c>
      <c r="P167" s="16">
        <v>71.080752700438438</v>
      </c>
      <c r="Q167" s="16">
        <v>76.013985255002922</v>
      </c>
    </row>
    <row r="168" spans="1:17" ht="12.75" x14ac:dyDescent="0.2">
      <c r="A168" s="4" t="s">
        <v>98</v>
      </c>
      <c r="B168" s="4" t="s">
        <v>102</v>
      </c>
      <c r="C168" s="4" t="s">
        <v>3632</v>
      </c>
      <c r="D168" s="4" t="s">
        <v>3633</v>
      </c>
      <c r="E168" s="4" t="s">
        <v>39</v>
      </c>
      <c r="F168" s="4" t="s">
        <v>18</v>
      </c>
      <c r="G168" s="4" t="s">
        <v>41</v>
      </c>
      <c r="H168" s="4"/>
      <c r="I168" s="4" t="s">
        <v>40</v>
      </c>
      <c r="J168" s="17" t="s">
        <v>3290</v>
      </c>
      <c r="K168" s="16">
        <v>15.893801763494043</v>
      </c>
      <c r="L168" s="16">
        <v>2.618695227445611</v>
      </c>
      <c r="M168" s="16">
        <v>94.988004918689157</v>
      </c>
      <c r="N168" s="16">
        <v>22.220813458935098</v>
      </c>
      <c r="O168" s="16">
        <v>31.512727227097347</v>
      </c>
      <c r="P168" s="16">
        <v>49.006162032717768</v>
      </c>
      <c r="Q168" s="16">
        <v>13.206979851656541</v>
      </c>
    </row>
    <row r="169" spans="1:17" ht="12.75" x14ac:dyDescent="0.2">
      <c r="A169" s="4" t="s">
        <v>7</v>
      </c>
      <c r="B169" s="4" t="s">
        <v>16</v>
      </c>
      <c r="C169" s="4" t="s">
        <v>3634</v>
      </c>
      <c r="D169" s="4" t="s">
        <v>3635</v>
      </c>
      <c r="E169" s="4" t="s">
        <v>39</v>
      </c>
      <c r="F169" s="4" t="s">
        <v>18</v>
      </c>
      <c r="G169" s="4" t="s">
        <v>41</v>
      </c>
      <c r="H169" s="4"/>
      <c r="I169" s="4" t="s">
        <v>40</v>
      </c>
      <c r="J169" s="17" t="s">
        <v>3290</v>
      </c>
      <c r="K169" s="16">
        <v>47.359981075890531</v>
      </c>
      <c r="L169" s="16">
        <v>89.27105215303115</v>
      </c>
      <c r="M169" s="16">
        <v>75.480155913650648</v>
      </c>
      <c r="N169" s="16">
        <v>23.089520225255423</v>
      </c>
      <c r="O169" s="16">
        <v>98.190972808839518</v>
      </c>
      <c r="P169" s="16">
        <v>14.747212842120671</v>
      </c>
      <c r="Q169" s="16">
        <v>87.396645516012683</v>
      </c>
    </row>
    <row r="170" spans="1:17" ht="12.75" x14ac:dyDescent="0.2">
      <c r="A170" s="4" t="s">
        <v>98</v>
      </c>
      <c r="B170" s="4" t="s">
        <v>99</v>
      </c>
      <c r="C170" s="4" t="s">
        <v>3636</v>
      </c>
      <c r="D170" s="4" t="s">
        <v>3637</v>
      </c>
      <c r="E170" s="4" t="s">
        <v>39</v>
      </c>
      <c r="F170" s="4" t="s">
        <v>18</v>
      </c>
      <c r="G170" s="4" t="s">
        <v>19</v>
      </c>
      <c r="I170" s="4" t="s">
        <v>40</v>
      </c>
      <c r="J170" s="17" t="s">
        <v>3290</v>
      </c>
      <c r="K170" s="16">
        <v>72.481691804590028</v>
      </c>
      <c r="L170" s="16">
        <v>9.7799553949624034</v>
      </c>
      <c r="M170" s="16">
        <v>28.525296810889188</v>
      </c>
      <c r="N170" s="16">
        <v>10.194588839671558</v>
      </c>
      <c r="O170" s="16">
        <v>99.091159186667056</v>
      </c>
      <c r="P170" s="16">
        <v>94.903383598662174</v>
      </c>
      <c r="Q170" s="16">
        <v>10.990991429185105</v>
      </c>
    </row>
    <row r="171" spans="1:17" ht="12.75" x14ac:dyDescent="0.2">
      <c r="A171" s="4" t="s">
        <v>98</v>
      </c>
      <c r="B171" s="4" t="s">
        <v>99</v>
      </c>
      <c r="C171" s="4" t="s">
        <v>3638</v>
      </c>
      <c r="D171" s="4" t="s">
        <v>3639</v>
      </c>
      <c r="E171" s="4" t="s">
        <v>39</v>
      </c>
      <c r="F171" s="4" t="s">
        <v>18</v>
      </c>
      <c r="G171" s="4" t="s">
        <v>61</v>
      </c>
      <c r="I171" s="4" t="s">
        <v>40</v>
      </c>
      <c r="J171" s="17" t="s">
        <v>3290</v>
      </c>
      <c r="K171" s="16">
        <v>23.457622653593901</v>
      </c>
      <c r="L171" s="16">
        <v>81.370962797984319</v>
      </c>
      <c r="M171" s="16">
        <v>30.081802586445328</v>
      </c>
      <c r="N171" s="16">
        <v>28.346851960591778</v>
      </c>
      <c r="O171" s="16">
        <v>39.265350994679935</v>
      </c>
      <c r="P171" s="16">
        <v>71.337785015142273</v>
      </c>
      <c r="Q171" s="16">
        <v>18.347983381018974</v>
      </c>
    </row>
    <row r="172" spans="1:17" ht="12.75" x14ac:dyDescent="0.2">
      <c r="A172" s="4" t="s">
        <v>7</v>
      </c>
      <c r="B172" s="4" t="s">
        <v>23</v>
      </c>
      <c r="C172" s="4" t="s">
        <v>3640</v>
      </c>
      <c r="D172" s="4" t="s">
        <v>3641</v>
      </c>
      <c r="E172" s="4" t="s">
        <v>39</v>
      </c>
      <c r="F172" s="4" t="s">
        <v>18</v>
      </c>
      <c r="G172" s="4" t="s">
        <v>41</v>
      </c>
      <c r="H172" s="4"/>
      <c r="I172" s="4" t="s">
        <v>40</v>
      </c>
      <c r="J172" s="17" t="s">
        <v>3290</v>
      </c>
      <c r="K172" s="16">
        <v>49.153377167256494</v>
      </c>
      <c r="L172" s="16">
        <v>28.953444102344605</v>
      </c>
      <c r="M172" s="16">
        <v>72.866737156673594</v>
      </c>
      <c r="N172" s="16">
        <v>3.1739708527134369</v>
      </c>
      <c r="O172" s="16">
        <v>99.198290479844218</v>
      </c>
      <c r="P172" s="16">
        <v>27.212361935277563</v>
      </c>
      <c r="Q172" s="16">
        <v>43.969840735236865</v>
      </c>
    </row>
    <row r="173" spans="1:17" ht="12.75" x14ac:dyDescent="0.2">
      <c r="A173" s="4" t="s">
        <v>7</v>
      </c>
      <c r="B173" s="4" t="s">
        <v>16</v>
      </c>
      <c r="C173" s="4" t="s">
        <v>3642</v>
      </c>
      <c r="D173" s="4" t="s">
        <v>3643</v>
      </c>
      <c r="E173" s="4" t="s">
        <v>39</v>
      </c>
      <c r="F173" s="4" t="s">
        <v>18</v>
      </c>
      <c r="G173" s="4"/>
      <c r="H173" s="4" t="s">
        <v>40</v>
      </c>
      <c r="I173" s="4" t="s">
        <v>40</v>
      </c>
      <c r="J173" s="17" t="s">
        <v>3290</v>
      </c>
      <c r="K173" s="16">
        <v>60.499528583806018</v>
      </c>
      <c r="L173" s="16">
        <v>32.579420957840853</v>
      </c>
      <c r="M173" s="16">
        <v>61.99187735650127</v>
      </c>
      <c r="N173" s="16">
        <v>9.3433722847951373</v>
      </c>
      <c r="O173" s="16">
        <v>89.792938446440246</v>
      </c>
      <c r="P173" s="16">
        <v>57.265905373572103</v>
      </c>
      <c r="Q173" s="16">
        <v>82.031054336892595</v>
      </c>
    </row>
    <row r="174" spans="1:17" ht="12.75" x14ac:dyDescent="0.2">
      <c r="A174" s="4" t="s">
        <v>115</v>
      </c>
      <c r="B174" s="4" t="s">
        <v>116</v>
      </c>
      <c r="C174" s="4" t="s">
        <v>3644</v>
      </c>
      <c r="D174" s="4" t="s">
        <v>3645</v>
      </c>
      <c r="E174" s="4" t="s">
        <v>39</v>
      </c>
      <c r="F174" s="4" t="s">
        <v>18</v>
      </c>
      <c r="G174" s="4" t="s">
        <v>61</v>
      </c>
      <c r="H174" s="4"/>
      <c r="I174" s="4" t="s">
        <v>40</v>
      </c>
      <c r="J174" s="17" t="s">
        <v>3290</v>
      </c>
      <c r="K174" s="16">
        <v>22.765981773925859</v>
      </c>
      <c r="L174" s="16">
        <v>42.087025508411855</v>
      </c>
      <c r="M174" s="16">
        <v>75.565499625301342</v>
      </c>
      <c r="N174" s="16">
        <v>27.577690604913339</v>
      </c>
      <c r="O174" s="16">
        <v>57.363432416663372</v>
      </c>
      <c r="P174" s="16">
        <v>1.4258416449657529</v>
      </c>
      <c r="Q174" s="16">
        <v>68.782417937392367</v>
      </c>
    </row>
    <row r="175" spans="1:17" ht="12.75" x14ac:dyDescent="0.2">
      <c r="A175" s="4" t="s">
        <v>115</v>
      </c>
      <c r="B175" s="4" t="s">
        <v>116</v>
      </c>
      <c r="C175" s="4" t="s">
        <v>3646</v>
      </c>
      <c r="D175" s="4" t="s">
        <v>3647</v>
      </c>
      <c r="E175" s="4" t="s">
        <v>39</v>
      </c>
      <c r="F175" s="4" t="s">
        <v>18</v>
      </c>
      <c r="G175" s="4" t="s">
        <v>61</v>
      </c>
      <c r="H175" s="4"/>
      <c r="I175" s="4" t="s">
        <v>40</v>
      </c>
      <c r="J175" s="17" t="s">
        <v>3290</v>
      </c>
      <c r="K175" s="16">
        <v>27.220031863945493</v>
      </c>
      <c r="L175" s="16">
        <v>1.3441535097568846</v>
      </c>
      <c r="M175" s="16">
        <v>67.845344803232905</v>
      </c>
      <c r="N175" s="16">
        <v>25.980731091000699</v>
      </c>
      <c r="O175" s="16">
        <v>71.845117583302439</v>
      </c>
      <c r="P175" s="16">
        <v>34.881111109787788</v>
      </c>
      <c r="Q175" s="16">
        <v>97.642221230861708</v>
      </c>
    </row>
    <row r="176" spans="1:17" ht="12.75" x14ac:dyDescent="0.2">
      <c r="A176" s="4" t="s">
        <v>98</v>
      </c>
      <c r="B176" s="4" t="s">
        <v>99</v>
      </c>
      <c r="C176" s="4" t="s">
        <v>3648</v>
      </c>
      <c r="D176" s="4" t="s">
        <v>3649</v>
      </c>
      <c r="E176" s="4" t="s">
        <v>39</v>
      </c>
      <c r="F176" s="4" t="s">
        <v>18</v>
      </c>
      <c r="G176" s="4" t="s">
        <v>61</v>
      </c>
      <c r="H176" s="4"/>
      <c r="I176" s="4" t="s">
        <v>40</v>
      </c>
      <c r="J176" s="17" t="s">
        <v>3290</v>
      </c>
      <c r="K176" s="16">
        <v>70.876545508644867</v>
      </c>
      <c r="L176" s="16">
        <v>9.9416464426884339</v>
      </c>
      <c r="M176" s="16">
        <v>63.950813775129603</v>
      </c>
      <c r="N176" s="16">
        <v>99.018583561332761</v>
      </c>
      <c r="O176" s="16">
        <v>73.426351434330229</v>
      </c>
      <c r="P176" s="16">
        <v>64.275496317471237</v>
      </c>
      <c r="Q176" s="16">
        <v>72.643179302761467</v>
      </c>
    </row>
    <row r="177" spans="1:17" ht="12.75" x14ac:dyDescent="0.2">
      <c r="A177" s="4" t="s">
        <v>98</v>
      </c>
      <c r="B177" s="4" t="s">
        <v>99</v>
      </c>
      <c r="C177" s="4" t="s">
        <v>3650</v>
      </c>
      <c r="D177" s="4" t="s">
        <v>3651</v>
      </c>
      <c r="E177" s="4" t="s">
        <v>39</v>
      </c>
      <c r="F177" s="4" t="s">
        <v>18</v>
      </c>
      <c r="G177" s="4" t="s">
        <v>61</v>
      </c>
      <c r="I177" s="4" t="s">
        <v>40</v>
      </c>
      <c r="J177" s="17" t="s">
        <v>3290</v>
      </c>
      <c r="K177" s="16">
        <v>83.16313446569167</v>
      </c>
      <c r="L177" s="16">
        <v>15.336851652044448</v>
      </c>
      <c r="M177" s="16">
        <v>71.038372240203302</v>
      </c>
      <c r="N177" s="16">
        <v>89.60976891499341</v>
      </c>
      <c r="O177" s="16">
        <v>3.9582722063837283</v>
      </c>
      <c r="P177" s="16">
        <v>21.722925455012764</v>
      </c>
      <c r="Q177" s="16">
        <v>0.42764212038723937</v>
      </c>
    </row>
    <row r="178" spans="1:17" ht="12.75" x14ac:dyDescent="0.2">
      <c r="A178" s="4" t="s">
        <v>7</v>
      </c>
      <c r="B178" s="4" t="s">
        <v>8</v>
      </c>
      <c r="C178" s="4" t="s">
        <v>3652</v>
      </c>
      <c r="D178" s="4" t="s">
        <v>3653</v>
      </c>
      <c r="E178" s="4" t="s">
        <v>39</v>
      </c>
      <c r="F178" s="4" t="s">
        <v>18</v>
      </c>
      <c r="G178" s="4" t="s">
        <v>61</v>
      </c>
      <c r="I178" s="4" t="s">
        <v>40</v>
      </c>
      <c r="J178" s="17" t="s">
        <v>3290</v>
      </c>
      <c r="K178" s="16">
        <v>2.6617806165081137</v>
      </c>
      <c r="L178" s="16">
        <v>16.767429486685781</v>
      </c>
      <c r="M178" s="16">
        <v>2.7477119875805811</v>
      </c>
      <c r="N178" s="16">
        <v>50.501939223248428</v>
      </c>
      <c r="O178" s="16">
        <v>77.662674734123442</v>
      </c>
      <c r="P178" s="16">
        <v>50.27241218230418</v>
      </c>
      <c r="Q178" s="16">
        <v>36.573937105007367</v>
      </c>
    </row>
    <row r="179" spans="1:17" ht="12.75" x14ac:dyDescent="0.2">
      <c r="A179" s="4" t="s">
        <v>7</v>
      </c>
      <c r="B179" s="4" t="s">
        <v>16</v>
      </c>
      <c r="C179" s="4" t="s">
        <v>3654</v>
      </c>
      <c r="D179" s="4" t="s">
        <v>3655</v>
      </c>
      <c r="E179" s="4" t="s">
        <v>39</v>
      </c>
      <c r="F179" s="4" t="s">
        <v>18</v>
      </c>
      <c r="G179" s="4" t="s">
        <v>72</v>
      </c>
      <c r="H179" s="4" t="s">
        <v>40</v>
      </c>
      <c r="I179" s="4" t="s">
        <v>40</v>
      </c>
      <c r="J179" s="17" t="s">
        <v>3290</v>
      </c>
      <c r="K179" s="16">
        <v>53.838043429109874</v>
      </c>
      <c r="L179" s="16">
        <v>66.651639237136351</v>
      </c>
      <c r="M179" s="16">
        <v>21.131138020212546</v>
      </c>
      <c r="N179" s="16">
        <v>13.778560993135692</v>
      </c>
      <c r="O179" s="16">
        <v>86.888758965069556</v>
      </c>
      <c r="P179" s="16">
        <v>41.822845851661775</v>
      </c>
      <c r="Q179" s="16">
        <v>34.687387578695997</v>
      </c>
    </row>
    <row r="180" spans="1:17" ht="12.75" x14ac:dyDescent="0.2">
      <c r="A180" s="4" t="s">
        <v>37</v>
      </c>
      <c r="B180" s="4" t="s">
        <v>38</v>
      </c>
      <c r="C180" s="4" t="s">
        <v>3656</v>
      </c>
      <c r="D180" s="4" t="s">
        <v>3657</v>
      </c>
      <c r="E180" s="4" t="s">
        <v>39</v>
      </c>
      <c r="F180" s="4" t="s">
        <v>18</v>
      </c>
      <c r="G180" s="4" t="s">
        <v>61</v>
      </c>
      <c r="H180" s="4"/>
      <c r="I180" s="4" t="s">
        <v>40</v>
      </c>
      <c r="J180" s="17" t="s">
        <v>3290</v>
      </c>
      <c r="K180" s="16">
        <v>20.900787050620007</v>
      </c>
      <c r="L180" s="16">
        <v>81.079243224763772</v>
      </c>
      <c r="M180" s="16">
        <v>93.778558816376759</v>
      </c>
      <c r="N180" s="16">
        <v>1.5734457161205029</v>
      </c>
      <c r="O180" s="16">
        <v>77.743345762461061</v>
      </c>
      <c r="P180" s="16">
        <v>45.867677795226911</v>
      </c>
      <c r="Q180" s="16">
        <v>20.144868236516967</v>
      </c>
    </row>
    <row r="181" spans="1:17" ht="12.75" x14ac:dyDescent="0.2">
      <c r="A181" s="4" t="s">
        <v>7</v>
      </c>
      <c r="B181" s="4" t="s">
        <v>23</v>
      </c>
      <c r="C181" s="4" t="s">
        <v>3658</v>
      </c>
      <c r="D181" s="4" t="s">
        <v>3659</v>
      </c>
      <c r="E181" s="4" t="s">
        <v>39</v>
      </c>
      <c r="F181" s="4" t="s">
        <v>18</v>
      </c>
      <c r="G181" s="4" t="s">
        <v>61</v>
      </c>
      <c r="H181" s="4"/>
      <c r="I181" s="4" t="s">
        <v>40</v>
      </c>
      <c r="J181" s="17" t="s">
        <v>3290</v>
      </c>
      <c r="K181" s="16">
        <v>23.075519562508994</v>
      </c>
      <c r="L181" s="16">
        <v>46.456461096129608</v>
      </c>
      <c r="M181" s="16">
        <v>75.555414793009462</v>
      </c>
      <c r="N181" s="16">
        <v>80.030058216589396</v>
      </c>
      <c r="O181" s="16">
        <v>96.446097993671557</v>
      </c>
      <c r="P181" s="16">
        <v>68.948061003243396</v>
      </c>
      <c r="Q181" s="16">
        <v>3.1933446886191708</v>
      </c>
    </row>
    <row r="182" spans="1:17" ht="12.75" x14ac:dyDescent="0.2">
      <c r="A182" s="4" t="s">
        <v>98</v>
      </c>
      <c r="B182" s="4" t="s">
        <v>113</v>
      </c>
      <c r="C182" s="4" t="s">
        <v>3660</v>
      </c>
      <c r="D182" s="4" t="s">
        <v>3661</v>
      </c>
      <c r="E182" s="4" t="s">
        <v>39</v>
      </c>
      <c r="F182" s="4" t="s">
        <v>18</v>
      </c>
      <c r="G182" s="4" t="s">
        <v>41</v>
      </c>
      <c r="H182" s="4"/>
      <c r="I182" s="4" t="s">
        <v>40</v>
      </c>
      <c r="J182" s="17" t="s">
        <v>3290</v>
      </c>
      <c r="K182" s="16">
        <v>33.478767394856121</v>
      </c>
      <c r="L182" s="16">
        <v>67.817515965016923</v>
      </c>
      <c r="M182" s="16">
        <v>27.239047415252969</v>
      </c>
      <c r="N182" s="16">
        <v>93.968173170490843</v>
      </c>
      <c r="O182" s="16">
        <v>78.525240194826821</v>
      </c>
      <c r="P182" s="16">
        <v>37.660523044498504</v>
      </c>
      <c r="Q182" s="16">
        <v>98.22725655447671</v>
      </c>
    </row>
    <row r="183" spans="1:17" ht="12.75" x14ac:dyDescent="0.2">
      <c r="A183" s="4" t="s">
        <v>115</v>
      </c>
      <c r="B183" s="4" t="s">
        <v>122</v>
      </c>
      <c r="C183" s="4" t="s">
        <v>3662</v>
      </c>
      <c r="D183" s="4" t="s">
        <v>3663</v>
      </c>
      <c r="E183" s="4" t="s">
        <v>39</v>
      </c>
      <c r="F183" s="4" t="s">
        <v>18</v>
      </c>
      <c r="G183" s="4" t="s">
        <v>61</v>
      </c>
      <c r="H183" s="4"/>
      <c r="I183" s="4" t="s">
        <v>40</v>
      </c>
      <c r="J183" s="17" t="s">
        <v>3290</v>
      </c>
      <c r="K183" s="16">
        <v>83.178396587801203</v>
      </c>
      <c r="L183" s="16">
        <v>5.7085933682536671</v>
      </c>
      <c r="M183" s="16">
        <v>11.691735739856169</v>
      </c>
      <c r="N183" s="16">
        <v>63.332444201449078</v>
      </c>
      <c r="O183" s="16">
        <v>55.761963830441822</v>
      </c>
      <c r="P183" s="16">
        <v>90.92890891356663</v>
      </c>
      <c r="Q183" s="16">
        <v>12.273720240311615</v>
      </c>
    </row>
    <row r="184" spans="1:17" ht="12.75" x14ac:dyDescent="0.2">
      <c r="A184" s="4" t="s">
        <v>7</v>
      </c>
      <c r="B184" s="4" t="s">
        <v>16</v>
      </c>
      <c r="C184" s="4" t="s">
        <v>3664</v>
      </c>
      <c r="D184" s="4" t="s">
        <v>3665</v>
      </c>
      <c r="E184" s="4" t="s">
        <v>39</v>
      </c>
      <c r="F184" s="4" t="s">
        <v>18</v>
      </c>
      <c r="G184" s="4"/>
      <c r="H184" s="4" t="s">
        <v>40</v>
      </c>
      <c r="I184" s="4" t="s">
        <v>40</v>
      </c>
      <c r="J184" s="17" t="s">
        <v>3290</v>
      </c>
      <c r="K184" s="16">
        <v>45.721049854785001</v>
      </c>
      <c r="L184" s="16">
        <v>70.740630364717418</v>
      </c>
      <c r="M184" s="16">
        <v>27.315095004080035</v>
      </c>
      <c r="N184" s="16">
        <v>57.865261555136513</v>
      </c>
      <c r="O184" s="16">
        <v>57.631762533629114</v>
      </c>
      <c r="P184" s="16">
        <v>58.142978478287333</v>
      </c>
      <c r="Q184" s="16">
        <v>8.6758091252166931</v>
      </c>
    </row>
    <row r="185" spans="1:17" ht="12.75" x14ac:dyDescent="0.2">
      <c r="A185" s="4" t="s">
        <v>115</v>
      </c>
      <c r="B185" s="4" t="s">
        <v>119</v>
      </c>
      <c r="C185" s="4" t="s">
        <v>3666</v>
      </c>
      <c r="D185" s="4" t="s">
        <v>3667</v>
      </c>
      <c r="E185" s="4" t="s">
        <v>39</v>
      </c>
      <c r="F185" s="4" t="s">
        <v>18</v>
      </c>
      <c r="G185" s="4" t="s">
        <v>61</v>
      </c>
      <c r="I185" s="4" t="s">
        <v>40</v>
      </c>
      <c r="J185" s="17" t="s">
        <v>3290</v>
      </c>
      <c r="K185" s="16">
        <v>32.26371508654524</v>
      </c>
      <c r="L185" s="16">
        <v>67.443526535998416</v>
      </c>
      <c r="M185" s="16">
        <v>91.78322024207165</v>
      </c>
      <c r="N185" s="16">
        <v>6.1044305116063624</v>
      </c>
      <c r="O185" s="16">
        <v>22.243578767788364</v>
      </c>
      <c r="P185" s="16">
        <v>93.212702877283419</v>
      </c>
      <c r="Q185" s="16">
        <v>78.587460349335686</v>
      </c>
    </row>
    <row r="186" spans="1:17" ht="12.75" x14ac:dyDescent="0.2">
      <c r="A186" s="4" t="s">
        <v>115</v>
      </c>
      <c r="B186" s="4" t="s">
        <v>116</v>
      </c>
      <c r="C186" s="4" t="s">
        <v>3668</v>
      </c>
      <c r="D186" s="4" t="s">
        <v>3669</v>
      </c>
      <c r="E186" s="4" t="s">
        <v>39</v>
      </c>
      <c r="F186" s="4" t="s">
        <v>18</v>
      </c>
      <c r="G186" s="4" t="s">
        <v>61</v>
      </c>
      <c r="H186" s="4"/>
      <c r="I186" s="4" t="s">
        <v>40</v>
      </c>
      <c r="J186" s="17" t="s">
        <v>3290</v>
      </c>
      <c r="K186" s="16">
        <v>27.773061280668454</v>
      </c>
      <c r="L186" s="16">
        <v>97.295940673559272</v>
      </c>
      <c r="M186" s="16">
        <v>16.86846601925539</v>
      </c>
      <c r="N186" s="16">
        <v>43.00413846705878</v>
      </c>
      <c r="O186" s="16">
        <v>84.314505404875334</v>
      </c>
      <c r="P186" s="16">
        <v>29.137307560021664</v>
      </c>
      <c r="Q186" s="16">
        <v>12.977039636134624</v>
      </c>
    </row>
    <row r="187" spans="1:17" ht="12.75" x14ac:dyDescent="0.2">
      <c r="A187" s="4" t="s">
        <v>115</v>
      </c>
      <c r="B187" s="4" t="s">
        <v>128</v>
      </c>
      <c r="C187" s="4" t="s">
        <v>3670</v>
      </c>
      <c r="D187" s="4" t="s">
        <v>3671</v>
      </c>
      <c r="E187" s="4" t="s">
        <v>39</v>
      </c>
      <c r="F187" s="4" t="s">
        <v>11</v>
      </c>
      <c r="G187" s="4" t="s">
        <v>12</v>
      </c>
      <c r="H187" s="4" t="s">
        <v>3672</v>
      </c>
      <c r="I187" s="4" t="s">
        <v>40</v>
      </c>
      <c r="J187" s="17" t="s">
        <v>3290</v>
      </c>
      <c r="K187" s="16">
        <v>53.390846975922621</v>
      </c>
      <c r="L187" s="16">
        <v>78.878867642749242</v>
      </c>
      <c r="M187" s="16">
        <v>30.393494959900437</v>
      </c>
      <c r="N187" s="16">
        <v>82.581260171035936</v>
      </c>
      <c r="O187" s="16">
        <v>2.8845329289377108</v>
      </c>
      <c r="P187" s="16">
        <v>28.012090410909039</v>
      </c>
      <c r="Q187" s="16">
        <v>74.860989625855183</v>
      </c>
    </row>
    <row r="188" spans="1:17" ht="12.75" x14ac:dyDescent="0.2">
      <c r="A188" s="4" t="s">
        <v>98</v>
      </c>
      <c r="B188" s="4" t="s">
        <v>107</v>
      </c>
      <c r="C188" s="4" t="s">
        <v>3673</v>
      </c>
      <c r="D188" s="4" t="s">
        <v>3674</v>
      </c>
      <c r="E188" s="4" t="s">
        <v>39</v>
      </c>
      <c r="F188" s="4" t="s">
        <v>18</v>
      </c>
      <c r="G188" s="4" t="s">
        <v>41</v>
      </c>
      <c r="H188" s="4"/>
      <c r="I188" s="4" t="s">
        <v>40</v>
      </c>
      <c r="J188" s="17" t="s">
        <v>3290</v>
      </c>
      <c r="K188" s="16">
        <v>1.0194242727140534</v>
      </c>
      <c r="L188" s="16">
        <v>69.835978685377626</v>
      </c>
      <c r="M188" s="16">
        <v>21.509565278243571</v>
      </c>
      <c r="N188" s="16">
        <v>17.171019044997326</v>
      </c>
      <c r="O188" s="16">
        <v>70.256187871196147</v>
      </c>
      <c r="P188" s="16">
        <v>23.984305092383153</v>
      </c>
      <c r="Q188" s="16">
        <v>50.913691357921884</v>
      </c>
    </row>
    <row r="189" spans="1:17" ht="12.75" x14ac:dyDescent="0.2">
      <c r="A189" s="4" t="s">
        <v>7</v>
      </c>
      <c r="B189" s="4" t="s">
        <v>16</v>
      </c>
      <c r="C189" s="4" t="s">
        <v>3675</v>
      </c>
      <c r="D189" s="4" t="s">
        <v>3676</v>
      </c>
      <c r="E189" s="4" t="s">
        <v>39</v>
      </c>
      <c r="F189" s="4" t="s">
        <v>18</v>
      </c>
      <c r="G189" s="4" t="s">
        <v>41</v>
      </c>
      <c r="H189" s="4"/>
      <c r="I189" s="4" t="s">
        <v>40</v>
      </c>
      <c r="J189" s="17" t="s">
        <v>3290</v>
      </c>
      <c r="K189" s="16">
        <v>67.382379443724062</v>
      </c>
      <c r="L189" s="16">
        <v>7.9265330523136113</v>
      </c>
      <c r="M189" s="16">
        <v>63.042315058899042</v>
      </c>
      <c r="N189" s="16">
        <v>89.365490290886981</v>
      </c>
      <c r="O189" s="16">
        <v>27.536639851249589</v>
      </c>
      <c r="P189" s="16">
        <v>38.901526071393334</v>
      </c>
      <c r="Q189" s="16">
        <v>62.685345621614189</v>
      </c>
    </row>
    <row r="190" spans="1:17" ht="12.75" x14ac:dyDescent="0.2">
      <c r="A190" s="4" t="s">
        <v>7</v>
      </c>
      <c r="B190" s="4" t="s">
        <v>8</v>
      </c>
      <c r="C190" s="4" t="s">
        <v>3677</v>
      </c>
      <c r="D190" s="4" t="s">
        <v>3678</v>
      </c>
      <c r="E190" s="4" t="s">
        <v>39</v>
      </c>
      <c r="F190" s="4" t="s">
        <v>18</v>
      </c>
      <c r="G190" s="4" t="s">
        <v>61</v>
      </c>
      <c r="H190" s="4" t="s">
        <v>3679</v>
      </c>
      <c r="I190" s="4" t="s">
        <v>40</v>
      </c>
      <c r="J190" s="17" t="s">
        <v>3290</v>
      </c>
      <c r="K190" s="16">
        <v>25.063279134720574</v>
      </c>
      <c r="L190" s="16">
        <v>34.326598706534341</v>
      </c>
      <c r="M190" s="16">
        <v>21.599472557120592</v>
      </c>
      <c r="N190" s="16">
        <v>6.4856152533930622</v>
      </c>
      <c r="O190" s="16">
        <v>95.910272679410369</v>
      </c>
      <c r="P190" s="16">
        <v>58.368474545218319</v>
      </c>
      <c r="Q190" s="16">
        <v>20.45722237000659</v>
      </c>
    </row>
    <row r="191" spans="1:17" ht="12.75" x14ac:dyDescent="0.2">
      <c r="A191" s="4" t="s">
        <v>64</v>
      </c>
      <c r="B191" s="4" t="s">
        <v>82</v>
      </c>
      <c r="C191" s="4" t="s">
        <v>3680</v>
      </c>
      <c r="D191" s="4" t="s">
        <v>3681</v>
      </c>
      <c r="E191" s="4" t="s">
        <v>39</v>
      </c>
      <c r="F191" s="4" t="s">
        <v>18</v>
      </c>
      <c r="G191" s="4" t="s">
        <v>26</v>
      </c>
      <c r="H191" s="4"/>
      <c r="I191" s="4" t="s">
        <v>40</v>
      </c>
      <c r="J191" s="17" t="s">
        <v>3290</v>
      </c>
      <c r="K191" s="16">
        <v>62.957534957054825</v>
      </c>
      <c r="L191" s="16">
        <v>40.025286291684637</v>
      </c>
      <c r="M191" s="16">
        <v>30.674578375539539</v>
      </c>
      <c r="N191" s="16">
        <v>67.892235928667688</v>
      </c>
      <c r="O191" s="16">
        <v>11.718252114051641</v>
      </c>
      <c r="P191" s="16">
        <v>37.058652970972375</v>
      </c>
      <c r="Q191" s="16">
        <v>42.533803154325746</v>
      </c>
    </row>
    <row r="192" spans="1:17" ht="12.75" x14ac:dyDescent="0.2">
      <c r="A192" s="4" t="s">
        <v>7</v>
      </c>
      <c r="B192" s="4" t="s">
        <v>16</v>
      </c>
      <c r="C192" s="4" t="s">
        <v>3682</v>
      </c>
      <c r="D192" s="4" t="s">
        <v>3683</v>
      </c>
      <c r="E192" s="4" t="s">
        <v>39</v>
      </c>
      <c r="F192" s="4" t="s">
        <v>18</v>
      </c>
      <c r="G192" s="4" t="s">
        <v>72</v>
      </c>
      <c r="H192" s="4" t="s">
        <v>40</v>
      </c>
      <c r="I192" s="4" t="s">
        <v>40</v>
      </c>
      <c r="J192" s="17" t="s">
        <v>3290</v>
      </c>
      <c r="K192" s="16">
        <v>82.006339461869516</v>
      </c>
      <c r="L192" s="16">
        <v>32.138061834270928</v>
      </c>
      <c r="M192" s="16">
        <v>59.646446768810911</v>
      </c>
      <c r="N192" s="16">
        <v>97.136234635398239</v>
      </c>
      <c r="O192" s="16">
        <v>10.86488412141483</v>
      </c>
      <c r="P192" s="16">
        <v>24.17391453318394</v>
      </c>
      <c r="Q192" s="16">
        <v>9.7276650817563421</v>
      </c>
    </row>
    <row r="193" spans="1:18" ht="12.75" x14ac:dyDescent="0.2">
      <c r="A193" s="4" t="s">
        <v>64</v>
      </c>
      <c r="B193" s="4" t="s">
        <v>70</v>
      </c>
      <c r="C193" s="4" t="s">
        <v>3684</v>
      </c>
      <c r="D193" s="4" t="s">
        <v>3685</v>
      </c>
      <c r="E193" s="4" t="s">
        <v>39</v>
      </c>
      <c r="F193" s="4" t="s">
        <v>18</v>
      </c>
      <c r="G193" s="4" t="s">
        <v>41</v>
      </c>
      <c r="H193" s="4" t="s">
        <v>3686</v>
      </c>
      <c r="I193" s="4" t="s">
        <v>40</v>
      </c>
      <c r="J193" s="17" t="s">
        <v>3290</v>
      </c>
      <c r="K193" s="16">
        <v>67.759243168617488</v>
      </c>
      <c r="L193" s="16">
        <v>75.40158195174844</v>
      </c>
      <c r="M193" s="16">
        <v>24.709171911655726</v>
      </c>
      <c r="N193" s="16">
        <v>71.246753203296265</v>
      </c>
      <c r="O193" s="16">
        <v>28.645176163711948</v>
      </c>
      <c r="P193" s="16">
        <v>38.708322511741443</v>
      </c>
      <c r="Q193" s="16">
        <v>97.681574659616231</v>
      </c>
    </row>
    <row r="194" spans="1:18" ht="12.75" x14ac:dyDescent="0.2">
      <c r="A194" s="4" t="s">
        <v>115</v>
      </c>
      <c r="B194" s="4" t="s">
        <v>119</v>
      </c>
      <c r="C194" s="4" t="s">
        <v>3687</v>
      </c>
      <c r="D194" s="4" t="s">
        <v>3688</v>
      </c>
      <c r="E194" s="4" t="s">
        <v>39</v>
      </c>
      <c r="F194" s="4" t="s">
        <v>18</v>
      </c>
      <c r="G194" s="4" t="s">
        <v>19</v>
      </c>
      <c r="I194" s="4" t="s">
        <v>40</v>
      </c>
      <c r="J194" s="17" t="s">
        <v>3290</v>
      </c>
      <c r="K194" s="16">
        <v>51.685335696690615</v>
      </c>
      <c r="L194" s="16">
        <v>72.685163038637086</v>
      </c>
      <c r="M194" s="16">
        <v>2.3135294742127388</v>
      </c>
      <c r="N194" s="16">
        <v>95.41826816880031</v>
      </c>
      <c r="O194" s="16">
        <v>21.822303379190476</v>
      </c>
      <c r="P194" s="16">
        <v>87.768886030501278</v>
      </c>
      <c r="Q194" s="16">
        <v>87.331331465787287</v>
      </c>
    </row>
    <row r="195" spans="1:18" ht="12.75" x14ac:dyDescent="0.2">
      <c r="A195" s="4" t="s">
        <v>115</v>
      </c>
      <c r="B195" s="4" t="s">
        <v>125</v>
      </c>
      <c r="C195" s="4" t="s">
        <v>3689</v>
      </c>
      <c r="D195" s="4" t="s">
        <v>3690</v>
      </c>
      <c r="E195" s="4" t="s">
        <v>39</v>
      </c>
      <c r="F195" s="4" t="s">
        <v>18</v>
      </c>
      <c r="G195" s="4" t="s">
        <v>19</v>
      </c>
      <c r="H195" s="4" t="s">
        <v>3691</v>
      </c>
      <c r="I195" s="4" t="s">
        <v>40</v>
      </c>
      <c r="J195" s="17" t="s">
        <v>3290</v>
      </c>
      <c r="K195" s="16">
        <v>2.47574233015323</v>
      </c>
      <c r="L195" s="16">
        <v>23.41253291322133</v>
      </c>
      <c r="M195" s="16">
        <v>55.108539163402284</v>
      </c>
      <c r="N195" s="16">
        <v>43.90047116971818</v>
      </c>
      <c r="O195" s="16">
        <v>61.080153414003</v>
      </c>
      <c r="P195" s="16">
        <v>39.428468229924832</v>
      </c>
      <c r="Q195" s="16">
        <v>99.474884110958442</v>
      </c>
      <c r="R195" s="4" t="s">
        <v>3285</v>
      </c>
    </row>
    <row r="196" spans="1:18" ht="12.75" x14ac:dyDescent="0.2">
      <c r="A196" s="4" t="s">
        <v>115</v>
      </c>
      <c r="B196" s="4" t="s">
        <v>116</v>
      </c>
      <c r="C196" s="4" t="s">
        <v>3692</v>
      </c>
      <c r="D196" s="4" t="s">
        <v>3693</v>
      </c>
      <c r="E196" s="4" t="s">
        <v>39</v>
      </c>
      <c r="F196" s="4" t="s">
        <v>18</v>
      </c>
      <c r="G196" s="4" t="s">
        <v>61</v>
      </c>
      <c r="I196" s="4" t="s">
        <v>40</v>
      </c>
      <c r="J196" s="17" t="s">
        <v>3290</v>
      </c>
      <c r="K196" s="16">
        <v>93.197436325730649</v>
      </c>
      <c r="L196" s="16">
        <v>39.217187864940925</v>
      </c>
      <c r="M196" s="16">
        <v>12.025225198556122</v>
      </c>
      <c r="N196" s="16">
        <v>24.880320289167145</v>
      </c>
      <c r="O196" s="16">
        <v>56.41633142537772</v>
      </c>
      <c r="P196" s="16">
        <v>34.496510558560587</v>
      </c>
      <c r="Q196" s="16">
        <v>48.143475876246868</v>
      </c>
    </row>
    <row r="197" spans="1:18" ht="12.75" x14ac:dyDescent="0.2">
      <c r="A197" s="4" t="s">
        <v>98</v>
      </c>
      <c r="B197" s="4" t="s">
        <v>99</v>
      </c>
      <c r="C197" s="4" t="s">
        <v>3694</v>
      </c>
      <c r="D197" s="4" t="s">
        <v>3695</v>
      </c>
      <c r="E197" s="4" t="s">
        <v>39</v>
      </c>
      <c r="F197" s="4" t="s">
        <v>18</v>
      </c>
      <c r="G197" s="4" t="s">
        <v>61</v>
      </c>
      <c r="I197" s="4" t="s">
        <v>40</v>
      </c>
      <c r="J197" s="17" t="s">
        <v>3290</v>
      </c>
      <c r="K197" s="16">
        <v>29.508452202561564</v>
      </c>
      <c r="L197" s="16">
        <v>25.555500839797997</v>
      </c>
      <c r="M197" s="16">
        <v>34.305750887379837</v>
      </c>
      <c r="N197" s="16">
        <v>77.640311754047687</v>
      </c>
      <c r="O197" s="16">
        <v>95.528383915167041</v>
      </c>
      <c r="P197" s="16">
        <v>12.104130794682533</v>
      </c>
      <c r="Q197" s="16">
        <v>7.7545076510262323</v>
      </c>
    </row>
    <row r="198" spans="1:18" ht="12.75" x14ac:dyDescent="0.2">
      <c r="A198" s="4" t="s">
        <v>64</v>
      </c>
      <c r="B198" s="4" t="s">
        <v>92</v>
      </c>
      <c r="C198" s="4" t="s">
        <v>3696</v>
      </c>
      <c r="D198" s="4" t="s">
        <v>3697</v>
      </c>
      <c r="E198" s="4" t="s">
        <v>39</v>
      </c>
      <c r="F198" s="4" t="s">
        <v>18</v>
      </c>
      <c r="G198" s="4" t="s">
        <v>26</v>
      </c>
      <c r="H198" s="4"/>
      <c r="I198" s="4" t="s">
        <v>40</v>
      </c>
      <c r="J198" s="17" t="s">
        <v>3290</v>
      </c>
      <c r="K198" s="16">
        <v>1.6151945067027107</v>
      </c>
      <c r="L198" s="16">
        <v>50.644192111117029</v>
      </c>
      <c r="M198" s="16">
        <v>88.206092630220255</v>
      </c>
      <c r="N198" s="16">
        <v>37.890247819931048</v>
      </c>
      <c r="O198" s="16">
        <v>88.627514052148499</v>
      </c>
      <c r="P198" s="16">
        <v>94.845025971972134</v>
      </c>
      <c r="Q198" s="16">
        <v>55.148893783101485</v>
      </c>
    </row>
    <row r="199" spans="1:18" ht="12.75" x14ac:dyDescent="0.2">
      <c r="A199" s="4" t="s">
        <v>64</v>
      </c>
      <c r="B199" s="4" t="s">
        <v>82</v>
      </c>
      <c r="C199" s="4" t="s">
        <v>3698</v>
      </c>
      <c r="D199" s="4" t="s">
        <v>3699</v>
      </c>
      <c r="E199" s="4" t="s">
        <v>39</v>
      </c>
      <c r="F199" s="4" t="s">
        <v>18</v>
      </c>
      <c r="G199" s="4" t="s">
        <v>12</v>
      </c>
      <c r="H199" s="4"/>
      <c r="I199" s="4" t="s">
        <v>40</v>
      </c>
      <c r="J199" s="17" t="s">
        <v>3290</v>
      </c>
      <c r="K199" s="16">
        <v>66.054989492772918</v>
      </c>
      <c r="L199" s="16">
        <v>49.642424429665233</v>
      </c>
      <c r="M199" s="16">
        <v>14.583339814404916</v>
      </c>
      <c r="N199" s="16">
        <v>30.977656914045227</v>
      </c>
      <c r="O199" s="16">
        <v>59.045009094326161</v>
      </c>
      <c r="P199" s="16">
        <v>15.316290659592823</v>
      </c>
      <c r="Q199" s="16">
        <v>50.098917776095405</v>
      </c>
    </row>
    <row r="200" spans="1:18" ht="12.75" x14ac:dyDescent="0.2">
      <c r="A200" s="4" t="s">
        <v>64</v>
      </c>
      <c r="B200" s="4" t="s">
        <v>92</v>
      </c>
      <c r="C200" s="4" t="s">
        <v>3700</v>
      </c>
      <c r="D200" s="4" t="s">
        <v>3701</v>
      </c>
      <c r="E200" s="4" t="s">
        <v>39</v>
      </c>
      <c r="F200" s="4" t="s">
        <v>18</v>
      </c>
      <c r="G200" s="4" t="s">
        <v>26</v>
      </c>
      <c r="H200" s="4"/>
      <c r="I200" s="4" t="s">
        <v>40</v>
      </c>
      <c r="J200" s="17" t="s">
        <v>3290</v>
      </c>
      <c r="K200" s="16">
        <v>90.441663518629454</v>
      </c>
      <c r="L200" s="16">
        <v>86.676723482285041</v>
      </c>
      <c r="M200" s="16">
        <v>16.819154999703201</v>
      </c>
      <c r="N200" s="16">
        <v>9.8792457643299247</v>
      </c>
      <c r="O200" s="16">
        <v>84.44163026726811</v>
      </c>
      <c r="P200" s="16">
        <v>88.787697965434035</v>
      </c>
      <c r="Q200" s="16">
        <v>94.855127651297181</v>
      </c>
    </row>
    <row r="201" spans="1:18" ht="12.75" x14ac:dyDescent="0.2">
      <c r="A201" s="4" t="s">
        <v>64</v>
      </c>
      <c r="B201" s="4" t="s">
        <v>78</v>
      </c>
      <c r="C201" s="4" t="s">
        <v>3702</v>
      </c>
      <c r="D201" s="4" t="s">
        <v>3703</v>
      </c>
      <c r="E201" s="4" t="s">
        <v>39</v>
      </c>
      <c r="F201" s="4" t="s">
        <v>18</v>
      </c>
      <c r="G201" s="4" t="s">
        <v>19</v>
      </c>
      <c r="H201" s="4"/>
      <c r="I201" s="4" t="s">
        <v>40</v>
      </c>
      <c r="J201" s="17" t="s">
        <v>3290</v>
      </c>
      <c r="K201" s="16">
        <v>29.157258878165138</v>
      </c>
      <c r="L201" s="16">
        <v>98.693173501466561</v>
      </c>
      <c r="M201" s="16">
        <v>78.839813733994319</v>
      </c>
      <c r="N201" s="16">
        <v>69.923122664063087</v>
      </c>
      <c r="O201" s="16">
        <v>38.813428856867581</v>
      </c>
      <c r="P201" s="16">
        <v>8.2360285252440661</v>
      </c>
      <c r="Q201" s="16">
        <v>6.3869622160590778</v>
      </c>
    </row>
    <row r="202" spans="1:18" ht="12.75" x14ac:dyDescent="0.2">
      <c r="A202" s="4" t="s">
        <v>37</v>
      </c>
      <c r="B202" s="4" t="s">
        <v>38</v>
      </c>
      <c r="C202" s="4" t="s">
        <v>3704</v>
      </c>
      <c r="D202" s="4" t="s">
        <v>3705</v>
      </c>
      <c r="E202" s="4" t="s">
        <v>39</v>
      </c>
      <c r="F202" s="4" t="s">
        <v>18</v>
      </c>
      <c r="G202" s="4" t="s">
        <v>41</v>
      </c>
      <c r="H202" s="4"/>
      <c r="I202" s="4" t="s">
        <v>40</v>
      </c>
      <c r="J202" s="17" t="s">
        <v>3290</v>
      </c>
      <c r="K202" s="16">
        <v>70.342719584025048</v>
      </c>
      <c r="L202" s="16">
        <v>98.568105345503028</v>
      </c>
      <c r="M202" s="16">
        <v>7.476043548668998</v>
      </c>
      <c r="N202" s="16">
        <v>32.847079001898429</v>
      </c>
      <c r="O202" s="16">
        <v>41.134305906008606</v>
      </c>
      <c r="P202" s="16">
        <v>66.186054045714755</v>
      </c>
      <c r="Q202" s="16">
        <v>18.679114737559843</v>
      </c>
    </row>
    <row r="203" spans="1:18" ht="12.75" x14ac:dyDescent="0.2">
      <c r="A203" s="4" t="s">
        <v>64</v>
      </c>
      <c r="B203" s="4" t="s">
        <v>78</v>
      </c>
      <c r="C203" s="4" t="s">
        <v>3706</v>
      </c>
      <c r="D203" s="4" t="s">
        <v>3707</v>
      </c>
      <c r="E203" s="4" t="s">
        <v>39</v>
      </c>
      <c r="F203" s="4" t="s">
        <v>18</v>
      </c>
      <c r="G203" s="4" t="s">
        <v>26</v>
      </c>
      <c r="I203" s="4" t="s">
        <v>40</v>
      </c>
      <c r="J203" s="17" t="s">
        <v>3290</v>
      </c>
      <c r="K203" s="16">
        <v>43.869634748559562</v>
      </c>
      <c r="L203" s="16">
        <v>85.024022554128436</v>
      </c>
      <c r="M203" s="16">
        <v>94.390884579742732</v>
      </c>
      <c r="N203" s="16">
        <v>74.048852974522802</v>
      </c>
      <c r="O203" s="16">
        <v>99.610959527372017</v>
      </c>
      <c r="P203" s="16">
        <v>8.6344542513756668</v>
      </c>
      <c r="Q203" s="16">
        <v>97.024915112019258</v>
      </c>
    </row>
    <row r="204" spans="1:18" ht="12.75" x14ac:dyDescent="0.2">
      <c r="A204" s="4" t="s">
        <v>98</v>
      </c>
      <c r="B204" s="4" t="s">
        <v>107</v>
      </c>
      <c r="C204" s="4" t="s">
        <v>3708</v>
      </c>
      <c r="D204" s="4" t="s">
        <v>3709</v>
      </c>
      <c r="E204" s="4" t="s">
        <v>39</v>
      </c>
      <c r="F204" s="4" t="s">
        <v>18</v>
      </c>
      <c r="G204" s="4" t="s">
        <v>41</v>
      </c>
      <c r="H204" s="4"/>
      <c r="I204" s="4" t="s">
        <v>40</v>
      </c>
      <c r="J204" s="17" t="s">
        <v>3290</v>
      </c>
      <c r="K204" s="16">
        <v>2.3325516482385233</v>
      </c>
      <c r="L204" s="16">
        <v>74.260622158799947</v>
      </c>
      <c r="M204" s="16">
        <v>77.405202646146961</v>
      </c>
      <c r="N204" s="16">
        <v>9.4195349392604211</v>
      </c>
      <c r="O204" s="16">
        <v>55.719998024493641</v>
      </c>
      <c r="P204" s="16">
        <v>60.069542443153793</v>
      </c>
      <c r="Q204" s="16">
        <v>9.2704786862295219</v>
      </c>
    </row>
    <row r="205" spans="1:18" ht="12.75" x14ac:dyDescent="0.2">
      <c r="A205" s="4" t="s">
        <v>64</v>
      </c>
      <c r="B205" s="4" t="s">
        <v>86</v>
      </c>
      <c r="C205" s="4" t="s">
        <v>3710</v>
      </c>
      <c r="D205" s="4" t="s">
        <v>3711</v>
      </c>
      <c r="E205" s="4" t="s">
        <v>39</v>
      </c>
      <c r="F205" s="4" t="s">
        <v>18</v>
      </c>
      <c r="G205" s="4" t="s">
        <v>19</v>
      </c>
      <c r="I205" s="4" t="s">
        <v>40</v>
      </c>
      <c r="J205" s="17" t="s">
        <v>3290</v>
      </c>
      <c r="K205" s="16">
        <v>3.4541446357346239</v>
      </c>
      <c r="L205" s="16">
        <v>75.079774159762351</v>
      </c>
      <c r="M205" s="16">
        <v>77.880509414282344</v>
      </c>
      <c r="N205" s="16">
        <v>98.641449464518232</v>
      </c>
      <c r="O205" s="16">
        <v>58.773379527859326</v>
      </c>
      <c r="P205" s="16">
        <v>50.950014770506634</v>
      </c>
      <c r="Q205" s="16">
        <v>61.635283293505729</v>
      </c>
    </row>
    <row r="206" spans="1:18" ht="12.75" x14ac:dyDescent="0.2">
      <c r="A206" s="4" t="s">
        <v>64</v>
      </c>
      <c r="B206" s="4" t="s">
        <v>86</v>
      </c>
      <c r="C206" s="4" t="s">
        <v>3712</v>
      </c>
      <c r="D206" s="4" t="s">
        <v>3713</v>
      </c>
      <c r="E206" s="4" t="s">
        <v>39</v>
      </c>
      <c r="F206" s="4" t="s">
        <v>18</v>
      </c>
      <c r="G206" s="4" t="s">
        <v>19</v>
      </c>
      <c r="I206" s="4" t="s">
        <v>40</v>
      </c>
      <c r="J206" s="17" t="s">
        <v>3290</v>
      </c>
      <c r="K206" s="16">
        <v>12.258650361909496</v>
      </c>
      <c r="L206" s="16">
        <v>94.690779057970161</v>
      </c>
      <c r="M206" s="16">
        <v>52.49321539754672</v>
      </c>
      <c r="N206" s="16">
        <v>87.906714169252879</v>
      </c>
      <c r="O206" s="16">
        <v>37.306350215628626</v>
      </c>
      <c r="P206" s="16">
        <v>52.231455612017207</v>
      </c>
      <c r="Q206" s="16">
        <v>36.726776492382754</v>
      </c>
    </row>
    <row r="207" spans="1:18" ht="12.75" x14ac:dyDescent="0.2">
      <c r="A207" s="4" t="s">
        <v>64</v>
      </c>
      <c r="B207" s="4" t="s">
        <v>86</v>
      </c>
      <c r="C207" s="4" t="s">
        <v>3714</v>
      </c>
      <c r="D207" s="4" t="s">
        <v>3715</v>
      </c>
      <c r="E207" s="4" t="s">
        <v>39</v>
      </c>
      <c r="F207" s="4" t="s">
        <v>18</v>
      </c>
      <c r="G207" s="4" t="s">
        <v>12</v>
      </c>
      <c r="I207" s="4" t="s">
        <v>40</v>
      </c>
      <c r="J207" s="17" t="s">
        <v>3290</v>
      </c>
      <c r="K207" s="16">
        <v>77.193246708154234</v>
      </c>
      <c r="L207" s="16">
        <v>7.6287118622850976</v>
      </c>
      <c r="M207" s="16">
        <v>44.432231118195411</v>
      </c>
      <c r="N207" s="16">
        <v>38.448850138052791</v>
      </c>
      <c r="O207" s="16">
        <v>53.337420265372593</v>
      </c>
      <c r="P207" s="16">
        <v>1.5749291504156937</v>
      </c>
      <c r="Q207" s="16">
        <v>84.225028710844313</v>
      </c>
    </row>
    <row r="208" spans="1:18" ht="12.75" x14ac:dyDescent="0.2">
      <c r="A208" s="4" t="s">
        <v>115</v>
      </c>
      <c r="B208" s="4" t="s">
        <v>128</v>
      </c>
      <c r="C208" s="4" t="s">
        <v>3716</v>
      </c>
      <c r="D208" s="4" t="s">
        <v>3717</v>
      </c>
      <c r="E208" s="4" t="s">
        <v>39</v>
      </c>
      <c r="F208" s="4" t="s">
        <v>18</v>
      </c>
      <c r="G208" s="4" t="s">
        <v>41</v>
      </c>
      <c r="H208" s="4" t="s">
        <v>3718</v>
      </c>
      <c r="I208" s="4" t="s">
        <v>40</v>
      </c>
      <c r="J208" s="17" t="s">
        <v>3290</v>
      </c>
      <c r="K208" s="16">
        <v>65.576051513150006</v>
      </c>
      <c r="L208" s="16">
        <v>11.408309511670801</v>
      </c>
      <c r="M208" s="16">
        <v>28.023733677969698</v>
      </c>
      <c r="N208" s="16">
        <v>54.546611660533827</v>
      </c>
      <c r="O208" s="16">
        <v>33.036075869501872</v>
      </c>
      <c r="P208" s="16">
        <v>37.16886584929442</v>
      </c>
      <c r="Q208" s="16">
        <v>41.894613835835905</v>
      </c>
    </row>
    <row r="209" spans="1:17" ht="12.75" x14ac:dyDescent="0.2">
      <c r="A209" s="4" t="s">
        <v>64</v>
      </c>
      <c r="B209" s="4" t="s">
        <v>86</v>
      </c>
      <c r="C209" s="4" t="s">
        <v>3719</v>
      </c>
      <c r="D209" s="4" t="s">
        <v>3720</v>
      </c>
      <c r="E209" s="4" t="s">
        <v>39</v>
      </c>
      <c r="F209" s="4" t="s">
        <v>18</v>
      </c>
      <c r="G209" s="4" t="s">
        <v>26</v>
      </c>
      <c r="I209" s="4" t="s">
        <v>40</v>
      </c>
      <c r="J209" s="17" t="s">
        <v>3290</v>
      </c>
      <c r="K209" s="16">
        <v>23.374106803247628</v>
      </c>
      <c r="L209" s="16">
        <v>97.418698498791301</v>
      </c>
      <c r="M209" s="16">
        <v>85.326362529250417</v>
      </c>
      <c r="N209" s="16">
        <v>74.578224512467955</v>
      </c>
      <c r="O209" s="16">
        <v>52.277937258221222</v>
      </c>
      <c r="P209" s="16">
        <v>45.291669671873478</v>
      </c>
      <c r="Q209" s="16">
        <v>36.561781709389926</v>
      </c>
    </row>
    <row r="210" spans="1:17" ht="12.75" x14ac:dyDescent="0.2">
      <c r="A210" s="4" t="s">
        <v>7</v>
      </c>
      <c r="B210" s="4" t="s">
        <v>8</v>
      </c>
      <c r="C210" s="4" t="s">
        <v>3721</v>
      </c>
      <c r="D210" s="4" t="s">
        <v>3722</v>
      </c>
      <c r="E210" s="4" t="s">
        <v>39</v>
      </c>
      <c r="F210" s="4" t="s">
        <v>25</v>
      </c>
      <c r="G210" s="4" t="s">
        <v>61</v>
      </c>
      <c r="H210" s="4" t="s">
        <v>3723</v>
      </c>
      <c r="I210" s="4" t="s">
        <v>40</v>
      </c>
      <c r="J210" s="17" t="s">
        <v>3290</v>
      </c>
      <c r="K210" s="16">
        <v>33.520635689603708</v>
      </c>
      <c r="L210" s="16">
        <v>37.574922529076872</v>
      </c>
      <c r="M210" s="16">
        <v>60.257608552844196</v>
      </c>
      <c r="N210" s="16">
        <v>82.624044874110922</v>
      </c>
      <c r="O210" s="16">
        <v>40.732086908064083</v>
      </c>
      <c r="P210" s="16">
        <v>60.259785660324781</v>
      </c>
      <c r="Q210" s="16">
        <v>53.31431466321763</v>
      </c>
    </row>
    <row r="211" spans="1:17" ht="12.75" x14ac:dyDescent="0.2">
      <c r="A211" s="4" t="s">
        <v>98</v>
      </c>
      <c r="B211" s="4" t="s">
        <v>99</v>
      </c>
      <c r="C211" s="4" t="s">
        <v>3724</v>
      </c>
      <c r="D211" s="4" t="s">
        <v>3725</v>
      </c>
      <c r="E211" s="4" t="s">
        <v>39</v>
      </c>
      <c r="F211" s="4" t="s">
        <v>18</v>
      </c>
      <c r="G211" s="4" t="s">
        <v>41</v>
      </c>
      <c r="H211" s="4"/>
      <c r="I211" s="4" t="s">
        <v>40</v>
      </c>
      <c r="J211" s="17" t="s">
        <v>3290</v>
      </c>
      <c r="K211" s="16">
        <v>65.151217397694751</v>
      </c>
      <c r="L211" s="16">
        <v>30.253046504290094</v>
      </c>
      <c r="M211" s="16">
        <v>21.778866555056752</v>
      </c>
      <c r="N211" s="16">
        <v>28.60728893668778</v>
      </c>
      <c r="O211" s="16">
        <v>17.32450728134528</v>
      </c>
      <c r="P211" s="16">
        <v>48.33130925031405</v>
      </c>
      <c r="Q211" s="16">
        <v>65.973043594640885</v>
      </c>
    </row>
    <row r="212" spans="1:17" ht="12.75" x14ac:dyDescent="0.2">
      <c r="A212" s="4" t="s">
        <v>115</v>
      </c>
      <c r="B212" s="4" t="s">
        <v>128</v>
      </c>
      <c r="C212" s="4" t="s">
        <v>3726</v>
      </c>
      <c r="D212" s="4" t="s">
        <v>3727</v>
      </c>
      <c r="E212" s="4" t="s">
        <v>39</v>
      </c>
      <c r="F212" s="4" t="s">
        <v>18</v>
      </c>
      <c r="G212" s="4" t="s">
        <v>41</v>
      </c>
      <c r="H212" s="4" t="s">
        <v>3728</v>
      </c>
      <c r="I212" s="4" t="s">
        <v>40</v>
      </c>
      <c r="J212" s="17" t="s">
        <v>3290</v>
      </c>
      <c r="K212" s="16">
        <v>89.454661880695994</v>
      </c>
      <c r="L212" s="16">
        <v>81.961098439405475</v>
      </c>
      <c r="M212" s="16">
        <v>28.317805797528795</v>
      </c>
      <c r="N212" s="16">
        <v>14.684344835859831</v>
      </c>
      <c r="O212" s="16">
        <v>45.104102506450396</v>
      </c>
      <c r="P212" s="16">
        <v>62.592809674687842</v>
      </c>
      <c r="Q212" s="16">
        <v>50.796227704591246</v>
      </c>
    </row>
    <row r="213" spans="1:17" ht="12.75" x14ac:dyDescent="0.2">
      <c r="A213" s="4" t="s">
        <v>115</v>
      </c>
      <c r="B213" s="4" t="s">
        <v>122</v>
      </c>
      <c r="C213" s="4" t="s">
        <v>3729</v>
      </c>
      <c r="D213" s="4" t="s">
        <v>3730</v>
      </c>
      <c r="E213" s="4" t="s">
        <v>39</v>
      </c>
      <c r="F213" s="4" t="s">
        <v>18</v>
      </c>
      <c r="G213" s="4" t="s">
        <v>12</v>
      </c>
      <c r="H213" s="4"/>
      <c r="I213" s="4" t="s">
        <v>40</v>
      </c>
      <c r="J213" s="17" t="s">
        <v>3290</v>
      </c>
      <c r="K213" s="16">
        <v>9.809545444744094</v>
      </c>
      <c r="L213" s="16">
        <v>32.221201411467717</v>
      </c>
      <c r="M213" s="16">
        <v>55.420498211724563</v>
      </c>
      <c r="N213" s="16">
        <v>98.588209974018497</v>
      </c>
      <c r="O213" s="16">
        <v>89.463211495000721</v>
      </c>
      <c r="P213" s="16">
        <v>34.623353993021666</v>
      </c>
      <c r="Q213" s="16">
        <v>90.893137391912234</v>
      </c>
    </row>
    <row r="214" spans="1:17" ht="12.75" x14ac:dyDescent="0.2">
      <c r="A214" s="4" t="s">
        <v>115</v>
      </c>
      <c r="B214" s="4" t="s">
        <v>122</v>
      </c>
      <c r="C214" s="4" t="s">
        <v>3731</v>
      </c>
      <c r="D214" s="4" t="s">
        <v>3732</v>
      </c>
      <c r="E214" s="4" t="s">
        <v>39</v>
      </c>
      <c r="F214" s="4" t="s">
        <v>18</v>
      </c>
      <c r="G214" s="4" t="s">
        <v>61</v>
      </c>
      <c r="H214" s="4"/>
      <c r="I214" s="4" t="s">
        <v>40</v>
      </c>
      <c r="J214" s="17" t="s">
        <v>3290</v>
      </c>
      <c r="K214" s="16">
        <v>76.993201961945246</v>
      </c>
      <c r="L214" s="16">
        <v>64.943753441918091</v>
      </c>
      <c r="M214" s="16">
        <v>11.717804256936414</v>
      </c>
      <c r="N214" s="16">
        <v>47.930594360400136</v>
      </c>
      <c r="O214" s="16">
        <v>14.305113911880884</v>
      </c>
      <c r="P214" s="16">
        <v>40.484324236568447</v>
      </c>
      <c r="Q214" s="16">
        <v>86.117839591310172</v>
      </c>
    </row>
    <row r="215" spans="1:17" ht="12.75" x14ac:dyDescent="0.2">
      <c r="A215" s="4" t="s">
        <v>115</v>
      </c>
      <c r="B215" s="4" t="s">
        <v>122</v>
      </c>
      <c r="C215" s="4" t="s">
        <v>3733</v>
      </c>
      <c r="D215" s="4" t="s">
        <v>3734</v>
      </c>
      <c r="E215" s="4" t="s">
        <v>39</v>
      </c>
      <c r="F215" s="4" t="s">
        <v>18</v>
      </c>
      <c r="G215" s="4" t="s">
        <v>19</v>
      </c>
      <c r="H215" s="4"/>
      <c r="I215" s="4" t="s">
        <v>40</v>
      </c>
      <c r="J215" s="17" t="s">
        <v>3290</v>
      </c>
      <c r="K215" s="16">
        <v>48.463223217489805</v>
      </c>
      <c r="L215" s="16">
        <v>5.6097677486613096</v>
      </c>
      <c r="M215" s="16">
        <v>92.990543494431208</v>
      </c>
      <c r="N215" s="16">
        <v>13.574411211659465</v>
      </c>
      <c r="O215" s="16">
        <v>92.188413725406718</v>
      </c>
      <c r="P215" s="16">
        <v>38.809014884842938</v>
      </c>
      <c r="Q215" s="16">
        <v>7.6258516691447342</v>
      </c>
    </row>
    <row r="216" spans="1:17" ht="12.75" x14ac:dyDescent="0.2">
      <c r="A216" s="4" t="s">
        <v>115</v>
      </c>
      <c r="B216" s="4" t="s">
        <v>116</v>
      </c>
      <c r="C216" s="4" t="s">
        <v>3735</v>
      </c>
      <c r="D216" s="4" t="s">
        <v>3736</v>
      </c>
      <c r="E216" s="4" t="s">
        <v>39</v>
      </c>
      <c r="F216" s="4" t="s">
        <v>18</v>
      </c>
      <c r="G216" s="4" t="s">
        <v>61</v>
      </c>
      <c r="I216" s="4" t="s">
        <v>40</v>
      </c>
      <c r="J216" s="17" t="s">
        <v>3290</v>
      </c>
      <c r="K216" s="16">
        <v>98.219078731180076</v>
      </c>
      <c r="L216" s="16">
        <v>46.978299084310571</v>
      </c>
      <c r="M216" s="16">
        <v>9.1184646373887688</v>
      </c>
      <c r="N216" s="16">
        <v>92.481584630950508</v>
      </c>
      <c r="O216" s="16">
        <v>94.68544062654621</v>
      </c>
      <c r="P216" s="16">
        <v>88.940100110567272</v>
      </c>
      <c r="Q216" s="16">
        <v>52.968661616969037</v>
      </c>
    </row>
    <row r="217" spans="1:17" ht="12.75" x14ac:dyDescent="0.2">
      <c r="A217" s="4" t="s">
        <v>64</v>
      </c>
      <c r="B217" s="4" t="s">
        <v>95</v>
      </c>
      <c r="C217" s="4" t="s">
        <v>3737</v>
      </c>
      <c r="D217" s="4" t="s">
        <v>3738</v>
      </c>
      <c r="E217" s="4" t="s">
        <v>39</v>
      </c>
      <c r="F217" s="4" t="s">
        <v>18</v>
      </c>
      <c r="G217" s="4" t="s">
        <v>19</v>
      </c>
      <c r="H217" s="4"/>
      <c r="I217" s="4" t="s">
        <v>40</v>
      </c>
      <c r="J217" s="17" t="s">
        <v>3290</v>
      </c>
      <c r="K217" s="16">
        <v>26.03278140959485</v>
      </c>
      <c r="L217" s="16">
        <v>93.483874615542703</v>
      </c>
      <c r="M217" s="16">
        <v>79.290560391122526</v>
      </c>
      <c r="N217" s="16">
        <v>46.370983462298284</v>
      </c>
      <c r="O217" s="16">
        <v>65.714382374908865</v>
      </c>
      <c r="P217" s="16">
        <v>55.406913260768299</v>
      </c>
      <c r="Q217" s="16">
        <v>76.940097975768452</v>
      </c>
    </row>
    <row r="218" spans="1:17" ht="12.75" x14ac:dyDescent="0.2">
      <c r="A218" s="4" t="s">
        <v>37</v>
      </c>
      <c r="B218" s="4" t="s">
        <v>38</v>
      </c>
      <c r="C218" s="4" t="s">
        <v>3739</v>
      </c>
      <c r="D218" s="4" t="s">
        <v>3740</v>
      </c>
      <c r="E218" s="4" t="s">
        <v>39</v>
      </c>
      <c r="F218" s="4" t="s">
        <v>18</v>
      </c>
      <c r="G218" s="4" t="s">
        <v>61</v>
      </c>
      <c r="H218" s="4"/>
      <c r="I218" s="4" t="s">
        <v>40</v>
      </c>
      <c r="J218" s="17" t="s">
        <v>3290</v>
      </c>
      <c r="K218" s="16">
        <v>3.6103853550659593</v>
      </c>
      <c r="L218" s="16">
        <v>22.891968939530937</v>
      </c>
      <c r="M218" s="16">
        <v>79.394981757928818</v>
      </c>
      <c r="N218" s="16">
        <v>54.916495661314279</v>
      </c>
      <c r="O218" s="16">
        <v>22.784516632300722</v>
      </c>
      <c r="P218" s="16">
        <v>50.707971140521423</v>
      </c>
      <c r="Q218" s="16">
        <v>21.173877338761603</v>
      </c>
    </row>
    <row r="219" spans="1:17" ht="12.75" x14ac:dyDescent="0.2">
      <c r="A219" s="4" t="s">
        <v>98</v>
      </c>
      <c r="B219" s="4" t="s">
        <v>110</v>
      </c>
      <c r="C219" s="4" t="s">
        <v>3741</v>
      </c>
      <c r="D219" s="4" t="s">
        <v>3742</v>
      </c>
      <c r="E219" s="4" t="s">
        <v>39</v>
      </c>
      <c r="F219" s="4" t="s">
        <v>11</v>
      </c>
      <c r="G219" s="4" t="s">
        <v>19</v>
      </c>
      <c r="H219" s="4" t="s">
        <v>40</v>
      </c>
      <c r="I219" s="4" t="s">
        <v>40</v>
      </c>
      <c r="J219" s="17" t="s">
        <v>3290</v>
      </c>
      <c r="K219" s="16">
        <v>59.607276929377562</v>
      </c>
      <c r="L219" s="16">
        <v>92.290093287153212</v>
      </c>
      <c r="M219" s="16">
        <v>70.875351381300817</v>
      </c>
      <c r="N219" s="16">
        <v>49.746901551461555</v>
      </c>
      <c r="O219" s="16">
        <v>24.097293889559879</v>
      </c>
      <c r="P219" s="16">
        <v>22.6245754917616</v>
      </c>
      <c r="Q219" s="16">
        <v>97.806368405346703</v>
      </c>
    </row>
    <row r="220" spans="1:17" ht="12.75" x14ac:dyDescent="0.2">
      <c r="A220" s="4" t="s">
        <v>64</v>
      </c>
      <c r="B220" s="4" t="s">
        <v>82</v>
      </c>
      <c r="C220" s="4" t="s">
        <v>3743</v>
      </c>
      <c r="D220" s="4" t="s">
        <v>3744</v>
      </c>
      <c r="E220" s="4" t="s">
        <v>39</v>
      </c>
      <c r="F220" s="4" t="s">
        <v>32</v>
      </c>
      <c r="G220" s="4" t="s">
        <v>41</v>
      </c>
      <c r="H220" s="4"/>
      <c r="I220" s="4" t="s">
        <v>40</v>
      </c>
      <c r="J220" s="17" t="s">
        <v>3290</v>
      </c>
      <c r="K220" s="16">
        <v>87.054898539985388</v>
      </c>
      <c r="L220" s="16">
        <v>3.0000447693779408</v>
      </c>
      <c r="M220" s="16">
        <v>6.7837523444845278</v>
      </c>
      <c r="N220" s="16">
        <v>56.945375197183303</v>
      </c>
      <c r="O220" s="16">
        <v>52.992381657624996</v>
      </c>
      <c r="P220" s="16">
        <v>5.755373223973093</v>
      </c>
      <c r="Q220" s="16">
        <v>60.588649569239493</v>
      </c>
    </row>
    <row r="221" spans="1:17" ht="12.75" x14ac:dyDescent="0.2">
      <c r="A221" s="4" t="s">
        <v>115</v>
      </c>
      <c r="B221" s="4" t="s">
        <v>116</v>
      </c>
      <c r="C221" s="4" t="s">
        <v>3745</v>
      </c>
      <c r="D221" s="4" t="s">
        <v>3746</v>
      </c>
      <c r="E221" s="4" t="s">
        <v>39</v>
      </c>
      <c r="F221" s="4" t="s">
        <v>18</v>
      </c>
      <c r="G221" s="4" t="s">
        <v>61</v>
      </c>
      <c r="I221" s="4" t="s">
        <v>40</v>
      </c>
      <c r="J221" s="17" t="s">
        <v>3290</v>
      </c>
      <c r="K221" s="16">
        <v>47.738927442959664</v>
      </c>
      <c r="L221" s="16">
        <v>31.875237834500012</v>
      </c>
      <c r="M221" s="16">
        <v>17.138438135945535</v>
      </c>
      <c r="N221" s="16">
        <v>87.261983721029992</v>
      </c>
      <c r="O221" s="16">
        <v>6.5278037779217701</v>
      </c>
      <c r="P221" s="16">
        <v>22.735992919653235</v>
      </c>
      <c r="Q221" s="16">
        <v>87.911352286655429</v>
      </c>
    </row>
    <row r="222" spans="1:17" ht="12.75" x14ac:dyDescent="0.2">
      <c r="A222" s="4" t="s">
        <v>37</v>
      </c>
      <c r="B222" s="4" t="s">
        <v>59</v>
      </c>
      <c r="C222" s="4" t="s">
        <v>3747</v>
      </c>
      <c r="D222" s="4" t="s">
        <v>3748</v>
      </c>
      <c r="E222" s="4" t="s">
        <v>39</v>
      </c>
      <c r="F222" s="4" t="s">
        <v>18</v>
      </c>
      <c r="G222" s="4"/>
      <c r="H222" s="4"/>
      <c r="I222" s="4" t="s">
        <v>40</v>
      </c>
      <c r="J222" s="17" t="s">
        <v>3290</v>
      </c>
      <c r="K222" s="16">
        <v>25.388688176019723</v>
      </c>
      <c r="L222" s="16">
        <v>16.924339419103596</v>
      </c>
      <c r="M222" s="16">
        <v>81.762861167163535</v>
      </c>
      <c r="N222" s="16">
        <v>61.688285268990718</v>
      </c>
      <c r="O222" s="16">
        <v>59.033126349406203</v>
      </c>
      <c r="P222" s="16">
        <v>68.680989839379151</v>
      </c>
      <c r="Q222" s="16">
        <v>38.127414097858626</v>
      </c>
    </row>
    <row r="223" spans="1:17" ht="12.75" x14ac:dyDescent="0.2">
      <c r="A223" s="4" t="s">
        <v>98</v>
      </c>
      <c r="B223" s="4" t="s">
        <v>107</v>
      </c>
      <c r="C223" s="4" t="s">
        <v>3749</v>
      </c>
      <c r="D223" s="4" t="s">
        <v>3750</v>
      </c>
      <c r="E223" s="4" t="s">
        <v>39</v>
      </c>
      <c r="F223" s="4" t="s">
        <v>18</v>
      </c>
      <c r="G223" s="4" t="s">
        <v>41</v>
      </c>
      <c r="H223" s="4"/>
      <c r="I223" s="4" t="s">
        <v>40</v>
      </c>
      <c r="J223" s="17" t="s">
        <v>3290</v>
      </c>
      <c r="K223" s="16">
        <v>21.122316430211963</v>
      </c>
      <c r="L223" s="16">
        <v>91.388032006107565</v>
      </c>
      <c r="M223" s="16">
        <v>55.787845169646324</v>
      </c>
      <c r="N223" s="16">
        <v>75.625995377121484</v>
      </c>
      <c r="O223" s="16">
        <v>48.46741684390129</v>
      </c>
      <c r="P223" s="16">
        <v>61.292578166246159</v>
      </c>
      <c r="Q223" s="16">
        <v>53.216572599661696</v>
      </c>
    </row>
    <row r="224" spans="1:17" ht="12.75" x14ac:dyDescent="0.2">
      <c r="A224" s="4" t="s">
        <v>98</v>
      </c>
      <c r="B224" s="4" t="s">
        <v>110</v>
      </c>
      <c r="C224" s="4" t="s">
        <v>3751</v>
      </c>
      <c r="D224" s="4" t="s">
        <v>3752</v>
      </c>
      <c r="E224" s="4" t="s">
        <v>39</v>
      </c>
      <c r="F224" s="4" t="s">
        <v>18</v>
      </c>
      <c r="G224" s="4" t="s">
        <v>26</v>
      </c>
      <c r="H224" s="4" t="s">
        <v>40</v>
      </c>
      <c r="I224" s="4" t="s">
        <v>40</v>
      </c>
      <c r="J224" s="17" t="s">
        <v>3290</v>
      </c>
      <c r="K224" s="16">
        <v>67.213409840298382</v>
      </c>
      <c r="L224" s="16">
        <v>54.597786251588879</v>
      </c>
      <c r="M224" s="16">
        <v>91.465552367097914</v>
      </c>
      <c r="N224" s="16">
        <v>42.54948462504634</v>
      </c>
      <c r="O224" s="16">
        <v>78.662492607703342</v>
      </c>
      <c r="P224" s="16">
        <v>86.487823584580397</v>
      </c>
      <c r="Q224" s="16">
        <v>76.492242055986253</v>
      </c>
    </row>
    <row r="225" spans="1:17" ht="12.75" x14ac:dyDescent="0.2">
      <c r="A225" s="4" t="s">
        <v>98</v>
      </c>
      <c r="B225" s="4" t="s">
        <v>105</v>
      </c>
      <c r="C225" s="4" t="s">
        <v>3753</v>
      </c>
      <c r="D225" s="4" t="s">
        <v>3754</v>
      </c>
      <c r="E225" s="4" t="s">
        <v>39</v>
      </c>
      <c r="F225" s="4" t="s">
        <v>18</v>
      </c>
      <c r="G225" s="4" t="s">
        <v>41</v>
      </c>
      <c r="H225" s="4"/>
      <c r="I225" s="4" t="s">
        <v>40</v>
      </c>
      <c r="J225" s="17" t="s">
        <v>3290</v>
      </c>
      <c r="K225" s="16">
        <v>55.32549388599206</v>
      </c>
      <c r="L225" s="16">
        <v>0.54292582583235216</v>
      </c>
      <c r="M225" s="16">
        <v>48.177592190472765</v>
      </c>
      <c r="N225" s="16">
        <v>27.156931295725585</v>
      </c>
      <c r="O225" s="16">
        <v>52.916702860370137</v>
      </c>
      <c r="P225" s="16">
        <v>93.862210682264845</v>
      </c>
      <c r="Q225" s="16">
        <v>19.977209833126686</v>
      </c>
    </row>
    <row r="226" spans="1:17" ht="12.75" x14ac:dyDescent="0.2">
      <c r="A226" s="4" t="s">
        <v>98</v>
      </c>
      <c r="B226" s="4" t="s">
        <v>107</v>
      </c>
      <c r="C226" s="4" t="s">
        <v>3755</v>
      </c>
      <c r="D226" s="4" t="s">
        <v>3756</v>
      </c>
      <c r="E226" s="4" t="s">
        <v>39</v>
      </c>
      <c r="F226" s="4" t="s">
        <v>11</v>
      </c>
      <c r="G226" s="4"/>
      <c r="I226" s="4" t="s">
        <v>40</v>
      </c>
      <c r="J226" s="17" t="s">
        <v>3290</v>
      </c>
      <c r="K226" s="16">
        <v>99.321954439139176</v>
      </c>
      <c r="L226" s="16">
        <v>56.836725958700221</v>
      </c>
      <c r="M226" s="16">
        <v>34.962795337233096</v>
      </c>
      <c r="N226" s="16">
        <v>75.727417363693235</v>
      </c>
      <c r="O226" s="16">
        <v>18.985569322409589</v>
      </c>
      <c r="P226" s="16">
        <v>58.121756313155473</v>
      </c>
      <c r="Q226" s="16">
        <v>78.670815664011741</v>
      </c>
    </row>
    <row r="227" spans="1:17" ht="12.75" x14ac:dyDescent="0.2">
      <c r="A227" s="4" t="s">
        <v>98</v>
      </c>
      <c r="B227" s="4" t="s">
        <v>105</v>
      </c>
      <c r="C227" s="4" t="s">
        <v>3757</v>
      </c>
      <c r="D227" s="4" t="s">
        <v>3758</v>
      </c>
      <c r="E227" s="4" t="s">
        <v>39</v>
      </c>
      <c r="F227" s="4" t="s">
        <v>11</v>
      </c>
      <c r="G227" s="4" t="s">
        <v>41</v>
      </c>
      <c r="H227" s="4"/>
      <c r="I227" s="4" t="s">
        <v>40</v>
      </c>
      <c r="J227" s="17" t="s">
        <v>3290</v>
      </c>
      <c r="K227" s="16">
        <v>94.176376807729596</v>
      </c>
      <c r="L227" s="16">
        <v>73.150130939055202</v>
      </c>
      <c r="M227" s="16">
        <v>75.096217181951587</v>
      </c>
      <c r="N227" s="16">
        <v>16.037657985410803</v>
      </c>
      <c r="O227" s="16">
        <v>98.57944074567871</v>
      </c>
      <c r="P227" s="16">
        <v>92.221477537967431</v>
      </c>
      <c r="Q227" s="16">
        <v>27.094433246755589</v>
      </c>
    </row>
    <row r="228" spans="1:17" ht="12.75" x14ac:dyDescent="0.2">
      <c r="A228" s="4" t="s">
        <v>115</v>
      </c>
      <c r="B228" s="4" t="s">
        <v>116</v>
      </c>
      <c r="C228" s="4" t="s">
        <v>3759</v>
      </c>
      <c r="D228" s="4" t="s">
        <v>3760</v>
      </c>
      <c r="E228" s="4" t="s">
        <v>39</v>
      </c>
      <c r="F228" s="4" t="s">
        <v>18</v>
      </c>
      <c r="G228" s="4" t="s">
        <v>61</v>
      </c>
      <c r="I228" s="4" t="s">
        <v>40</v>
      </c>
      <c r="J228" s="17" t="s">
        <v>3290</v>
      </c>
      <c r="K228" s="16">
        <v>68.961824066364343</v>
      </c>
      <c r="L228" s="16">
        <v>4.6822907487243377</v>
      </c>
      <c r="M228" s="16">
        <v>15.869878459300434</v>
      </c>
      <c r="N228" s="16">
        <v>64.760681798833716</v>
      </c>
      <c r="O228" s="16">
        <v>48.904245467499187</v>
      </c>
      <c r="P228" s="16">
        <v>6.0943093656896536</v>
      </c>
      <c r="Q228" s="16">
        <v>0.62873956878809478</v>
      </c>
    </row>
    <row r="229" spans="1:17" ht="12.75" x14ac:dyDescent="0.2">
      <c r="A229" s="4" t="s">
        <v>115</v>
      </c>
      <c r="B229" s="4" t="s">
        <v>122</v>
      </c>
      <c r="C229" s="4" t="s">
        <v>3761</v>
      </c>
      <c r="D229" s="4" t="s">
        <v>3762</v>
      </c>
      <c r="E229" s="4" t="s">
        <v>39</v>
      </c>
      <c r="F229" s="4" t="s">
        <v>18</v>
      </c>
      <c r="G229" s="4" t="s">
        <v>12</v>
      </c>
      <c r="I229" s="4" t="s">
        <v>40</v>
      </c>
      <c r="J229" s="17" t="s">
        <v>3290</v>
      </c>
      <c r="K229" s="16">
        <v>15.037752514030034</v>
      </c>
      <c r="L229" s="16">
        <v>44.688042403657292</v>
      </c>
      <c r="M229" s="16">
        <v>35.513397820731477</v>
      </c>
      <c r="N229" s="16">
        <v>4.8451791060611926</v>
      </c>
      <c r="O229" s="16">
        <v>83.247360233119053</v>
      </c>
      <c r="P229" s="16">
        <v>99.244631110977494</v>
      </c>
      <c r="Q229" s="16">
        <v>90.786305389366532</v>
      </c>
    </row>
    <row r="230" spans="1:17" ht="12.75" x14ac:dyDescent="0.2">
      <c r="A230" s="4" t="s">
        <v>98</v>
      </c>
      <c r="B230" s="4" t="s">
        <v>107</v>
      </c>
      <c r="C230" s="4" t="s">
        <v>3763</v>
      </c>
      <c r="D230" s="4" t="s">
        <v>3764</v>
      </c>
      <c r="E230" s="4" t="s">
        <v>39</v>
      </c>
      <c r="F230" s="4" t="s">
        <v>18</v>
      </c>
      <c r="G230" s="4" t="s">
        <v>41</v>
      </c>
      <c r="H230" s="4"/>
      <c r="I230" s="4" t="s">
        <v>40</v>
      </c>
      <c r="J230" s="17" t="s">
        <v>3290</v>
      </c>
      <c r="K230" s="16">
        <v>48.518604595196358</v>
      </c>
      <c r="L230" s="16">
        <v>41.145681171738232</v>
      </c>
      <c r="M230" s="16">
        <v>27.687137223477855</v>
      </c>
      <c r="N230" s="16">
        <v>50.99087522590451</v>
      </c>
      <c r="O230" s="16">
        <v>63.776912009583384</v>
      </c>
      <c r="P230" s="16">
        <v>84.301929565008464</v>
      </c>
      <c r="Q230" s="16">
        <v>62.327042113830608</v>
      </c>
    </row>
    <row r="231" spans="1:17" ht="12.75" x14ac:dyDescent="0.2">
      <c r="A231" s="4" t="s">
        <v>115</v>
      </c>
      <c r="B231" s="4" t="s">
        <v>116</v>
      </c>
      <c r="C231" s="4" t="s">
        <v>3765</v>
      </c>
      <c r="D231" s="4" t="s">
        <v>3766</v>
      </c>
      <c r="E231" s="4" t="s">
        <v>39</v>
      </c>
      <c r="F231" s="4" t="s">
        <v>18</v>
      </c>
      <c r="G231" s="4" t="s">
        <v>61</v>
      </c>
      <c r="I231" s="4" t="s">
        <v>40</v>
      </c>
      <c r="J231" s="17" t="s">
        <v>3290</v>
      </c>
      <c r="K231" s="16">
        <v>28.062605650456408</v>
      </c>
      <c r="L231" s="16">
        <v>0.61169200572035454</v>
      </c>
      <c r="M231" s="16">
        <v>66.109646561077611</v>
      </c>
      <c r="N231" s="16">
        <v>73.967302393978187</v>
      </c>
      <c r="O231" s="16">
        <v>97.159888409917201</v>
      </c>
      <c r="P231" s="16">
        <v>81.987170502869944</v>
      </c>
      <c r="Q231" s="16">
        <v>90.238670068039028</v>
      </c>
    </row>
    <row r="232" spans="1:17" ht="12.75" x14ac:dyDescent="0.2">
      <c r="A232" s="4" t="s">
        <v>98</v>
      </c>
      <c r="B232" s="4" t="s">
        <v>99</v>
      </c>
      <c r="C232" s="4" t="s">
        <v>3767</v>
      </c>
      <c r="D232" s="4" t="s">
        <v>3768</v>
      </c>
      <c r="E232" s="4" t="s">
        <v>39</v>
      </c>
      <c r="F232" s="4" t="s">
        <v>18</v>
      </c>
      <c r="G232" s="4" t="s">
        <v>12</v>
      </c>
      <c r="H232" s="4"/>
      <c r="I232" s="4" t="s">
        <v>40</v>
      </c>
      <c r="J232" s="17" t="s">
        <v>3290</v>
      </c>
      <c r="K232" s="16">
        <v>17.199789128370092</v>
      </c>
      <c r="L232" s="16">
        <v>13.792910130578873</v>
      </c>
      <c r="M232" s="16">
        <v>85.392514141372104</v>
      </c>
      <c r="N232" s="16">
        <v>28.304244654568357</v>
      </c>
      <c r="O232" s="16">
        <v>92.856018012493806</v>
      </c>
      <c r="P232" s="16">
        <v>83.831012594494879</v>
      </c>
      <c r="Q232" s="16">
        <v>29.819954008661743</v>
      </c>
    </row>
    <row r="233" spans="1:17" ht="12.75" x14ac:dyDescent="0.2">
      <c r="A233" s="4" t="s">
        <v>64</v>
      </c>
      <c r="B233" s="4" t="s">
        <v>82</v>
      </c>
      <c r="C233" s="4" t="s">
        <v>3769</v>
      </c>
      <c r="D233" s="4" t="s">
        <v>3770</v>
      </c>
      <c r="E233" s="4" t="s">
        <v>39</v>
      </c>
      <c r="F233" s="4" t="s">
        <v>18</v>
      </c>
      <c r="G233" s="4" t="s">
        <v>41</v>
      </c>
      <c r="H233" s="4"/>
      <c r="I233" s="4" t="s">
        <v>40</v>
      </c>
      <c r="J233" s="17" t="s">
        <v>3290</v>
      </c>
      <c r="K233" s="16">
        <v>15.706534744337819</v>
      </c>
      <c r="L233" s="16">
        <v>26.213482515881871</v>
      </c>
      <c r="M233" s="16">
        <v>56.38462180227588</v>
      </c>
      <c r="N233" s="16">
        <v>38.312617419056792</v>
      </c>
      <c r="O233" s="16">
        <v>33.740211986937574</v>
      </c>
      <c r="P233" s="16">
        <v>1.0620993814492663</v>
      </c>
      <c r="Q233" s="16">
        <v>16.611258131210903</v>
      </c>
    </row>
    <row r="234" spans="1:17" ht="12.75" x14ac:dyDescent="0.2">
      <c r="A234" s="4" t="s">
        <v>115</v>
      </c>
      <c r="B234" s="4" t="s">
        <v>128</v>
      </c>
      <c r="C234" s="4" t="s">
        <v>3771</v>
      </c>
      <c r="D234" s="4" t="s">
        <v>3772</v>
      </c>
      <c r="E234" s="4" t="s">
        <v>39</v>
      </c>
      <c r="F234" s="4" t="s">
        <v>18</v>
      </c>
      <c r="G234" s="4" t="s">
        <v>41</v>
      </c>
      <c r="H234" s="4" t="s">
        <v>3718</v>
      </c>
      <c r="I234" s="4" t="s">
        <v>40</v>
      </c>
      <c r="J234" s="17" t="s">
        <v>3290</v>
      </c>
      <c r="K234" s="16">
        <v>37.195633967360443</v>
      </c>
      <c r="L234" s="16">
        <v>13.589220589620055</v>
      </c>
      <c r="M234" s="16">
        <v>83.442926368975961</v>
      </c>
      <c r="N234" s="16">
        <v>53.936561058148847</v>
      </c>
      <c r="O234" s="16">
        <v>23.966586480295547</v>
      </c>
      <c r="P234" s="16">
        <v>18.164004529493948</v>
      </c>
      <c r="Q234" s="16">
        <v>48.359517824301726</v>
      </c>
    </row>
    <row r="235" spans="1:17" ht="12.75" x14ac:dyDescent="0.2">
      <c r="A235" s="4" t="s">
        <v>7</v>
      </c>
      <c r="B235" s="4" t="s">
        <v>16</v>
      </c>
      <c r="C235" s="4" t="s">
        <v>3773</v>
      </c>
      <c r="D235" s="4" t="s">
        <v>3774</v>
      </c>
      <c r="E235" s="4" t="s">
        <v>39</v>
      </c>
      <c r="F235" s="4" t="s">
        <v>18</v>
      </c>
      <c r="G235" s="4" t="s">
        <v>72</v>
      </c>
      <c r="H235" s="4" t="s">
        <v>40</v>
      </c>
      <c r="I235" s="4" t="s">
        <v>40</v>
      </c>
      <c r="J235" s="17" t="s">
        <v>3290</v>
      </c>
      <c r="K235" s="16">
        <v>37.945488748248259</v>
      </c>
      <c r="L235" s="16">
        <v>22.903206241941255</v>
      </c>
      <c r="M235" s="16">
        <v>27.542117659618704</v>
      </c>
      <c r="N235" s="16">
        <v>7.0091582269432013</v>
      </c>
      <c r="O235" s="16">
        <v>31.882995224591614</v>
      </c>
      <c r="P235" s="16">
        <v>18.325816540335694</v>
      </c>
      <c r="Q235" s="16">
        <v>39.560477725656931</v>
      </c>
    </row>
    <row r="236" spans="1:17" ht="12.75" x14ac:dyDescent="0.2">
      <c r="A236" s="4" t="s">
        <v>98</v>
      </c>
      <c r="B236" s="4" t="s">
        <v>107</v>
      </c>
      <c r="C236" s="4" t="s">
        <v>3775</v>
      </c>
      <c r="D236" s="4" t="s">
        <v>3776</v>
      </c>
      <c r="E236" s="4" t="s">
        <v>39</v>
      </c>
      <c r="F236" s="4" t="s">
        <v>18</v>
      </c>
      <c r="G236" s="4" t="s">
        <v>41</v>
      </c>
      <c r="I236" s="4" t="s">
        <v>40</v>
      </c>
      <c r="J236" s="17" t="s">
        <v>3290</v>
      </c>
      <c r="K236" s="16">
        <v>93.905367999572093</v>
      </c>
      <c r="L236" s="16">
        <v>30.470776931973333</v>
      </c>
      <c r="M236" s="16">
        <v>77.953388733031957</v>
      </c>
      <c r="N236" s="16">
        <v>33.493980494794371</v>
      </c>
      <c r="O236" s="16">
        <v>72.767007389116699</v>
      </c>
      <c r="P236" s="16">
        <v>12.906613686232582</v>
      </c>
      <c r="Q236" s="16">
        <v>16.843425234494557</v>
      </c>
    </row>
    <row r="237" spans="1:17" ht="12.75" x14ac:dyDescent="0.2">
      <c r="A237" s="4" t="s">
        <v>64</v>
      </c>
      <c r="B237" s="4" t="s">
        <v>92</v>
      </c>
      <c r="C237" s="4" t="s">
        <v>3777</v>
      </c>
      <c r="D237" s="4" t="s">
        <v>3778</v>
      </c>
      <c r="E237" s="4" t="s">
        <v>39</v>
      </c>
      <c r="F237" s="4" t="s">
        <v>18</v>
      </c>
      <c r="G237" s="4" t="s">
        <v>26</v>
      </c>
      <c r="H237" s="4"/>
      <c r="I237" s="4" t="s">
        <v>40</v>
      </c>
      <c r="J237" s="17" t="s">
        <v>3290</v>
      </c>
      <c r="K237" s="16">
        <v>6.0278246535579116</v>
      </c>
      <c r="L237" s="16">
        <v>87.038102335419794</v>
      </c>
      <c r="M237" s="16">
        <v>79.531752004700451</v>
      </c>
      <c r="N237" s="16">
        <v>12.985007100577706</v>
      </c>
      <c r="O237" s="16">
        <v>64.343074692277185</v>
      </c>
      <c r="P237" s="16">
        <v>37.663162185325859</v>
      </c>
      <c r="Q237" s="16">
        <v>87.896809170275205</v>
      </c>
    </row>
    <row r="238" spans="1:17" ht="12.75" x14ac:dyDescent="0.2">
      <c r="A238" s="4" t="s">
        <v>115</v>
      </c>
      <c r="B238" s="4" t="s">
        <v>116</v>
      </c>
      <c r="C238" s="4" t="s">
        <v>3779</v>
      </c>
      <c r="D238" s="4" t="s">
        <v>3780</v>
      </c>
      <c r="E238" s="4" t="s">
        <v>39</v>
      </c>
      <c r="F238" s="4" t="s">
        <v>18</v>
      </c>
      <c r="G238" s="4" t="s">
        <v>61</v>
      </c>
      <c r="H238" s="4"/>
      <c r="I238" s="4" t="s">
        <v>40</v>
      </c>
      <c r="J238" s="17" t="s">
        <v>3290</v>
      </c>
      <c r="K238" s="16">
        <v>89.522644843443544</v>
      </c>
      <c r="L238" s="16">
        <v>64.162750526182961</v>
      </c>
      <c r="M238" s="16">
        <v>15.911820172641322</v>
      </c>
      <c r="N238" s="16">
        <v>0.72265703322557107</v>
      </c>
      <c r="O238" s="16">
        <v>20.421181719538339</v>
      </c>
      <c r="P238" s="16">
        <v>64.13049418184265</v>
      </c>
      <c r="Q238" s="16">
        <v>40.34491286534562</v>
      </c>
    </row>
    <row r="239" spans="1:17" ht="12.75" x14ac:dyDescent="0.2">
      <c r="A239" s="4" t="s">
        <v>115</v>
      </c>
      <c r="B239" s="4" t="s">
        <v>128</v>
      </c>
      <c r="C239" s="4" t="s">
        <v>3781</v>
      </c>
      <c r="D239" s="4" t="s">
        <v>3782</v>
      </c>
      <c r="E239" s="4" t="s">
        <v>39</v>
      </c>
      <c r="F239" s="4" t="s">
        <v>18</v>
      </c>
      <c r="G239" s="4" t="s">
        <v>41</v>
      </c>
      <c r="H239" s="4" t="s">
        <v>3783</v>
      </c>
      <c r="I239" s="4" t="s">
        <v>40</v>
      </c>
      <c r="J239" s="17" t="s">
        <v>3290</v>
      </c>
      <c r="K239" s="16">
        <v>42.96484192915333</v>
      </c>
      <c r="L239" s="16">
        <v>54.75834136769199</v>
      </c>
      <c r="M239" s="16">
        <v>72.499171535029689</v>
      </c>
      <c r="N239" s="16">
        <v>82.403087249893716</v>
      </c>
      <c r="O239" s="16">
        <v>26.783291803253071</v>
      </c>
      <c r="P239" s="16">
        <v>40.385140592812853</v>
      </c>
      <c r="Q239" s="16">
        <v>3.2814596711696731</v>
      </c>
    </row>
    <row r="240" spans="1:17" ht="12.75" x14ac:dyDescent="0.2">
      <c r="A240" s="4" t="s">
        <v>64</v>
      </c>
      <c r="B240" s="4" t="s">
        <v>78</v>
      </c>
      <c r="C240" s="4" t="s">
        <v>3784</v>
      </c>
      <c r="D240" s="4" t="s">
        <v>3785</v>
      </c>
      <c r="E240" s="4" t="s">
        <v>39</v>
      </c>
      <c r="F240" s="4" t="s">
        <v>18</v>
      </c>
      <c r="G240" s="4" t="s">
        <v>41</v>
      </c>
      <c r="H240" s="4" t="s">
        <v>3786</v>
      </c>
      <c r="I240" s="4" t="s">
        <v>40</v>
      </c>
      <c r="J240" s="17" t="s">
        <v>3290</v>
      </c>
      <c r="K240" s="16">
        <v>54.015091202961131</v>
      </c>
      <c r="L240" s="16">
        <v>48.822490657516106</v>
      </c>
      <c r="M240" s="16">
        <v>22.41946193762746</v>
      </c>
      <c r="N240" s="16">
        <v>18.08097286158824</v>
      </c>
      <c r="O240" s="16">
        <v>67.299968317557571</v>
      </c>
      <c r="P240" s="16">
        <v>48.923843675029488</v>
      </c>
      <c r="Q240" s="16">
        <v>91.67471358502992</v>
      </c>
    </row>
    <row r="241" spans="1:17" ht="12.75" x14ac:dyDescent="0.2">
      <c r="A241" s="4" t="s">
        <v>115</v>
      </c>
      <c r="B241" s="4" t="s">
        <v>122</v>
      </c>
      <c r="C241" s="4" t="s">
        <v>3787</v>
      </c>
      <c r="D241" s="4" t="s">
        <v>3788</v>
      </c>
      <c r="E241" s="4" t="s">
        <v>39</v>
      </c>
      <c r="F241" s="4" t="s">
        <v>18</v>
      </c>
      <c r="G241" s="4" t="s">
        <v>61</v>
      </c>
      <c r="H241" s="4"/>
      <c r="I241" s="4" t="s">
        <v>40</v>
      </c>
      <c r="J241" s="17" t="s">
        <v>3290</v>
      </c>
      <c r="K241" s="16">
        <v>33.681106749839763</v>
      </c>
      <c r="L241" s="16">
        <v>75.078847703876249</v>
      </c>
      <c r="M241" s="16">
        <v>80.930600210934543</v>
      </c>
      <c r="N241" s="16">
        <v>27.417674643592559</v>
      </c>
      <c r="O241" s="16">
        <v>79.281284785391861</v>
      </c>
      <c r="P241" s="16">
        <v>39.088492105859515</v>
      </c>
      <c r="Q241" s="16">
        <v>98.706706448140565</v>
      </c>
    </row>
    <row r="242" spans="1:17" ht="12.75" x14ac:dyDescent="0.2">
      <c r="A242" s="4" t="s">
        <v>98</v>
      </c>
      <c r="B242" s="4" t="s">
        <v>107</v>
      </c>
      <c r="C242" s="4" t="s">
        <v>3789</v>
      </c>
      <c r="D242" s="4" t="s">
        <v>3790</v>
      </c>
      <c r="E242" s="4" t="s">
        <v>39</v>
      </c>
      <c r="F242" s="4" t="s">
        <v>32</v>
      </c>
      <c r="G242" s="4" t="s">
        <v>41</v>
      </c>
      <c r="H242" s="4"/>
      <c r="I242" s="4" t="s">
        <v>40</v>
      </c>
      <c r="J242" s="17" t="s">
        <v>3290</v>
      </c>
      <c r="K242" s="16">
        <v>8.8131167201251799</v>
      </c>
      <c r="L242" s="16">
        <v>40.220557952819767</v>
      </c>
      <c r="M242" s="16">
        <v>27.751143790119126</v>
      </c>
      <c r="N242" s="16">
        <v>89.021490472339977</v>
      </c>
      <c r="O242" s="16">
        <v>99.173634948245549</v>
      </c>
      <c r="P242" s="16">
        <v>96.080494118941559</v>
      </c>
      <c r="Q242" s="16">
        <v>30.823976378774042</v>
      </c>
    </row>
    <row r="243" spans="1:17" ht="12.75" x14ac:dyDescent="0.2">
      <c r="A243" s="4" t="s">
        <v>64</v>
      </c>
      <c r="B243" s="4" t="s">
        <v>82</v>
      </c>
      <c r="C243" s="4" t="s">
        <v>3791</v>
      </c>
      <c r="D243" s="4" t="s">
        <v>3792</v>
      </c>
      <c r="E243" s="4" t="s">
        <v>39</v>
      </c>
      <c r="F243" s="4" t="s">
        <v>18</v>
      </c>
      <c r="G243" s="4" t="s">
        <v>19</v>
      </c>
      <c r="H243" s="4"/>
      <c r="I243" s="4" t="s">
        <v>40</v>
      </c>
      <c r="J243" s="17" t="s">
        <v>3290</v>
      </c>
      <c r="K243" s="16">
        <v>29.715254760622013</v>
      </c>
      <c r="L243" s="16">
        <v>80.727548476923431</v>
      </c>
      <c r="M243" s="16">
        <v>52.009171895465592</v>
      </c>
      <c r="N243" s="16">
        <v>79.729259201355418</v>
      </c>
      <c r="O243" s="16">
        <v>60.729456684325875</v>
      </c>
      <c r="P243" s="16">
        <v>34.996013778771449</v>
      </c>
      <c r="Q243" s="16">
        <v>54.182194080022164</v>
      </c>
    </row>
    <row r="244" spans="1:17" ht="12.75" x14ac:dyDescent="0.2">
      <c r="A244" s="4" t="s">
        <v>64</v>
      </c>
      <c r="B244" s="4" t="s">
        <v>82</v>
      </c>
      <c r="C244" s="4" t="s">
        <v>3793</v>
      </c>
      <c r="D244" s="4" t="s">
        <v>3794</v>
      </c>
      <c r="E244" s="4" t="s">
        <v>39</v>
      </c>
      <c r="F244" s="4" t="s">
        <v>18</v>
      </c>
      <c r="G244" s="4" t="s">
        <v>12</v>
      </c>
      <c r="H244" s="4"/>
      <c r="I244" s="4" t="s">
        <v>40</v>
      </c>
      <c r="J244" s="17" t="s">
        <v>3290</v>
      </c>
      <c r="K244" s="16">
        <v>66.909140903473286</v>
      </c>
      <c r="L244" s="16">
        <v>6.5097761671372485</v>
      </c>
      <c r="M244" s="16">
        <v>78.197291068320268</v>
      </c>
      <c r="N244" s="16">
        <v>7.329217333250071</v>
      </c>
      <c r="O244" s="16">
        <v>73.07211169611432</v>
      </c>
      <c r="P244" s="16">
        <v>42.415248002952346</v>
      </c>
      <c r="Q244" s="16">
        <v>37.665232185874608</v>
      </c>
    </row>
    <row r="245" spans="1:17" ht="12.75" x14ac:dyDescent="0.2">
      <c r="A245" s="4" t="s">
        <v>115</v>
      </c>
      <c r="B245" s="4" t="s">
        <v>116</v>
      </c>
      <c r="C245" s="4" t="s">
        <v>3795</v>
      </c>
      <c r="D245" s="4" t="s">
        <v>3796</v>
      </c>
      <c r="E245" s="4" t="s">
        <v>39</v>
      </c>
      <c r="F245" s="4" t="s">
        <v>18</v>
      </c>
      <c r="G245" s="4" t="s">
        <v>61</v>
      </c>
      <c r="H245" s="4"/>
      <c r="I245" s="4" t="s">
        <v>40</v>
      </c>
      <c r="J245" s="17" t="s">
        <v>3290</v>
      </c>
      <c r="K245" s="16">
        <v>22.056187624673186</v>
      </c>
      <c r="L245" s="16">
        <v>5.4380380816520413</v>
      </c>
      <c r="M245" s="16">
        <v>76.727234170090568</v>
      </c>
      <c r="N245" s="16">
        <v>63.597741884362172</v>
      </c>
      <c r="O245" s="16">
        <v>52.312205795849401</v>
      </c>
      <c r="P245" s="16">
        <v>53.585813865943436</v>
      </c>
      <c r="Q245" s="16">
        <v>79.413142686215281</v>
      </c>
    </row>
    <row r="246" spans="1:17" ht="12.75" x14ac:dyDescent="0.2">
      <c r="A246" s="4" t="s">
        <v>98</v>
      </c>
      <c r="B246" s="4" t="s">
        <v>99</v>
      </c>
      <c r="C246" s="4" t="s">
        <v>3797</v>
      </c>
      <c r="D246" s="4" t="s">
        <v>3798</v>
      </c>
      <c r="E246" s="4" t="s">
        <v>39</v>
      </c>
      <c r="F246" s="4" t="s">
        <v>18</v>
      </c>
      <c r="G246" s="4" t="s">
        <v>19</v>
      </c>
      <c r="H246" s="4"/>
      <c r="I246" s="4" t="s">
        <v>40</v>
      </c>
      <c r="J246" s="17" t="s">
        <v>3290</v>
      </c>
      <c r="K246" s="16">
        <v>23.189009642920645</v>
      </c>
      <c r="L246" s="16">
        <v>79.36466052652294</v>
      </c>
      <c r="M246" s="16">
        <v>50.934793395752841</v>
      </c>
      <c r="N246" s="16">
        <v>22.204854979881972</v>
      </c>
      <c r="O246" s="16">
        <v>3.4552047830613275</v>
      </c>
      <c r="P246" s="16">
        <v>88.410714867001261</v>
      </c>
      <c r="Q246" s="16">
        <v>87.44952522880854</v>
      </c>
    </row>
    <row r="247" spans="1:17" ht="12.75" x14ac:dyDescent="0.2">
      <c r="A247" s="4" t="s">
        <v>98</v>
      </c>
      <c r="B247" s="4" t="s">
        <v>110</v>
      </c>
      <c r="C247" s="4" t="s">
        <v>3799</v>
      </c>
      <c r="D247" s="4" t="s">
        <v>3800</v>
      </c>
      <c r="E247" s="4" t="s">
        <v>39</v>
      </c>
      <c r="F247" s="4" t="s">
        <v>18</v>
      </c>
      <c r="G247" s="4" t="s">
        <v>26</v>
      </c>
      <c r="H247" s="4"/>
      <c r="I247" s="4" t="s">
        <v>40</v>
      </c>
      <c r="J247" s="17" t="s">
        <v>3290</v>
      </c>
      <c r="K247" s="16">
        <v>67.153863898077589</v>
      </c>
      <c r="L247" s="16">
        <v>22.698942241274001</v>
      </c>
      <c r="M247" s="16">
        <v>82.280871422551016</v>
      </c>
      <c r="N247" s="16">
        <v>63.553797324796825</v>
      </c>
      <c r="O247" s="16">
        <v>51.395076754914172</v>
      </c>
      <c r="P247" s="16">
        <v>33.073841570164134</v>
      </c>
      <c r="Q247" s="16">
        <v>12.716002000363646</v>
      </c>
    </row>
    <row r="248" spans="1:17" ht="12.75" x14ac:dyDescent="0.2">
      <c r="A248" s="4" t="s">
        <v>115</v>
      </c>
      <c r="B248" s="4" t="s">
        <v>119</v>
      </c>
      <c r="C248" s="4" t="s">
        <v>3801</v>
      </c>
      <c r="D248" s="4" t="s">
        <v>3802</v>
      </c>
      <c r="E248" s="4" t="s">
        <v>39</v>
      </c>
      <c r="F248" s="4" t="s">
        <v>25</v>
      </c>
      <c r="G248" s="4" t="s">
        <v>61</v>
      </c>
      <c r="I248" s="4" t="s">
        <v>40</v>
      </c>
      <c r="J248" s="17" t="s">
        <v>3290</v>
      </c>
      <c r="K248" s="16">
        <v>14.364038880325069</v>
      </c>
      <c r="L248" s="16">
        <v>96.654494994229239</v>
      </c>
      <c r="M248" s="16">
        <v>45.392854000265849</v>
      </c>
      <c r="N248" s="16">
        <v>83.405161712176195</v>
      </c>
      <c r="O248" s="16">
        <v>55.491914263996257</v>
      </c>
      <c r="P248" s="16">
        <v>17.282795419452512</v>
      </c>
      <c r="Q248" s="16">
        <v>58.498544896495922</v>
      </c>
    </row>
    <row r="249" spans="1:17" ht="12.75" x14ac:dyDescent="0.2">
      <c r="A249" s="4" t="s">
        <v>7</v>
      </c>
      <c r="B249" s="4" t="s">
        <v>16</v>
      </c>
      <c r="C249" s="4" t="s">
        <v>3803</v>
      </c>
      <c r="D249" s="4" t="s">
        <v>3804</v>
      </c>
      <c r="E249" s="4" t="s">
        <v>39</v>
      </c>
      <c r="F249" s="4" t="s">
        <v>11</v>
      </c>
      <c r="G249" s="4" t="s">
        <v>72</v>
      </c>
      <c r="H249" s="4"/>
      <c r="I249" s="4" t="s">
        <v>40</v>
      </c>
      <c r="J249" s="17" t="s">
        <v>3290</v>
      </c>
      <c r="K249" s="16">
        <v>32.955709252026352</v>
      </c>
      <c r="L249" s="16">
        <v>5.9932340029913771</v>
      </c>
      <c r="M249" s="16">
        <v>17.932954318052087</v>
      </c>
      <c r="N249" s="16">
        <v>28.81018002872532</v>
      </c>
      <c r="O249" s="16">
        <v>25.559254909219085</v>
      </c>
      <c r="P249" s="16">
        <v>7.9475733341670569</v>
      </c>
      <c r="Q249" s="16">
        <v>53.945337902775336</v>
      </c>
    </row>
    <row r="250" spans="1:17" ht="12.75" x14ac:dyDescent="0.2">
      <c r="A250" s="4" t="s">
        <v>7</v>
      </c>
      <c r="B250" s="4" t="s">
        <v>30</v>
      </c>
      <c r="C250" s="4" t="s">
        <v>3805</v>
      </c>
      <c r="D250" s="4" t="s">
        <v>3806</v>
      </c>
      <c r="E250" s="4" t="s">
        <v>39</v>
      </c>
      <c r="F250" s="4" t="s">
        <v>18</v>
      </c>
      <c r="G250" s="4" t="s">
        <v>72</v>
      </c>
      <c r="I250" s="4" t="s">
        <v>40</v>
      </c>
      <c r="J250" s="17" t="s">
        <v>3290</v>
      </c>
      <c r="K250" s="16">
        <v>56.598686639094034</v>
      </c>
      <c r="L250" s="16">
        <v>75.15921036703881</v>
      </c>
      <c r="M250" s="16">
        <v>77.61165607306441</v>
      </c>
      <c r="N250" s="16">
        <v>51.099171556212255</v>
      </c>
      <c r="O250" s="16">
        <v>35.100566633546258</v>
      </c>
      <c r="P250" s="16">
        <v>84.664501833504687</v>
      </c>
      <c r="Q250" s="16">
        <v>89.179520376371471</v>
      </c>
    </row>
    <row r="251" spans="1:17" ht="12.75" x14ac:dyDescent="0.2">
      <c r="A251" s="4" t="s">
        <v>115</v>
      </c>
      <c r="B251" s="4" t="s">
        <v>122</v>
      </c>
      <c r="C251" s="4" t="s">
        <v>3807</v>
      </c>
      <c r="D251" s="4" t="s">
        <v>3808</v>
      </c>
      <c r="E251" s="4" t="s">
        <v>39</v>
      </c>
      <c r="F251" s="4" t="s">
        <v>18</v>
      </c>
      <c r="G251" s="4" t="s">
        <v>61</v>
      </c>
      <c r="H251" s="4"/>
      <c r="I251" s="4" t="s">
        <v>40</v>
      </c>
      <c r="J251" s="17" t="s">
        <v>3290</v>
      </c>
      <c r="K251" s="16">
        <v>88.149455371163128</v>
      </c>
      <c r="L251" s="16">
        <v>87.550811109688681</v>
      </c>
      <c r="M251" s="16">
        <v>1.1541894901907712</v>
      </c>
      <c r="N251" s="16">
        <v>79.666131939832724</v>
      </c>
      <c r="O251" s="16">
        <v>18.572157751366415</v>
      </c>
      <c r="P251" s="16">
        <v>24.731898488961601</v>
      </c>
      <c r="Q251" s="16">
        <v>20.337670772807769</v>
      </c>
    </row>
    <row r="252" spans="1:17" ht="12.75" x14ac:dyDescent="0.2">
      <c r="A252" s="4" t="s">
        <v>115</v>
      </c>
      <c r="B252" s="4" t="s">
        <v>119</v>
      </c>
      <c r="C252" s="4" t="s">
        <v>3809</v>
      </c>
      <c r="D252" s="4" t="s">
        <v>3810</v>
      </c>
      <c r="E252" s="4" t="s">
        <v>39</v>
      </c>
      <c r="F252" s="4" t="s">
        <v>18</v>
      </c>
      <c r="G252" s="4" t="s">
        <v>61</v>
      </c>
      <c r="I252" s="4" t="s">
        <v>40</v>
      </c>
      <c r="J252" s="17" t="s">
        <v>3290</v>
      </c>
      <c r="K252" s="16">
        <v>87.651730718944904</v>
      </c>
      <c r="L252" s="16">
        <v>30.527276705351625</v>
      </c>
      <c r="M252" s="16">
        <v>74.877641509297462</v>
      </c>
      <c r="N252" s="16">
        <v>26.672082363690976</v>
      </c>
      <c r="O252" s="16">
        <v>48.015970439141753</v>
      </c>
      <c r="P252" s="16">
        <v>16.579972965589572</v>
      </c>
      <c r="Q252" s="16">
        <v>67.959380565293074</v>
      </c>
    </row>
    <row r="253" spans="1:17" ht="12.75" x14ac:dyDescent="0.2">
      <c r="A253" s="4" t="s">
        <v>7</v>
      </c>
      <c r="B253" s="4" t="s">
        <v>16</v>
      </c>
      <c r="C253" s="4" t="s">
        <v>3811</v>
      </c>
      <c r="D253" s="4" t="s">
        <v>3812</v>
      </c>
      <c r="E253" s="4" t="s">
        <v>39</v>
      </c>
      <c r="F253" s="4" t="s">
        <v>11</v>
      </c>
      <c r="G253" s="4" t="s">
        <v>41</v>
      </c>
      <c r="H253" s="4"/>
      <c r="I253" s="4" t="s">
        <v>40</v>
      </c>
      <c r="J253" s="17" t="s">
        <v>3290</v>
      </c>
      <c r="K253" s="16">
        <v>54.363420755078643</v>
      </c>
      <c r="L253" s="16">
        <v>1.3721899046502339</v>
      </c>
      <c r="M253" s="16">
        <v>35.285675367072209</v>
      </c>
      <c r="N253" s="16">
        <v>23.929099769875574</v>
      </c>
      <c r="O253" s="16">
        <v>47.773185381461047</v>
      </c>
      <c r="P253" s="16">
        <v>35.53669356757554</v>
      </c>
      <c r="Q253" s="16">
        <v>93.011411599291932</v>
      </c>
    </row>
    <row r="254" spans="1:17" ht="12.75" x14ac:dyDescent="0.2">
      <c r="A254" s="4" t="s">
        <v>7</v>
      </c>
      <c r="B254" s="4" t="s">
        <v>16</v>
      </c>
      <c r="C254" s="4" t="s">
        <v>3813</v>
      </c>
      <c r="D254" s="4" t="s">
        <v>3814</v>
      </c>
      <c r="E254" s="4" t="s">
        <v>39</v>
      </c>
      <c r="F254" s="4" t="s">
        <v>11</v>
      </c>
      <c r="G254" s="4" t="s">
        <v>41</v>
      </c>
      <c r="H254" s="4"/>
      <c r="I254" s="4" t="s">
        <v>40</v>
      </c>
      <c r="J254" s="17" t="s">
        <v>3290</v>
      </c>
      <c r="K254" s="16">
        <v>99.947113365781391</v>
      </c>
      <c r="L254" s="16">
        <v>39.150080726690064</v>
      </c>
      <c r="M254" s="16">
        <v>84.463125334672966</v>
      </c>
      <c r="N254" s="16">
        <v>39.075243179849842</v>
      </c>
      <c r="O254" s="16">
        <v>89.655227096474533</v>
      </c>
      <c r="P254" s="16">
        <v>54.903798834065988</v>
      </c>
      <c r="Q254" s="16">
        <v>31.317160094775566</v>
      </c>
    </row>
    <row r="255" spans="1:17" ht="12.75" x14ac:dyDescent="0.2">
      <c r="A255" s="4" t="s">
        <v>64</v>
      </c>
      <c r="B255" s="4" t="s">
        <v>92</v>
      </c>
      <c r="C255" s="4" t="s">
        <v>3815</v>
      </c>
      <c r="D255" s="4" t="s">
        <v>3816</v>
      </c>
      <c r="E255" s="4" t="s">
        <v>39</v>
      </c>
      <c r="F255" s="4" t="s">
        <v>18</v>
      </c>
      <c r="G255" s="4" t="s">
        <v>26</v>
      </c>
      <c r="H255" s="4"/>
      <c r="I255" s="4" t="s">
        <v>40</v>
      </c>
      <c r="J255" s="17" t="s">
        <v>3290</v>
      </c>
      <c r="K255" s="16">
        <v>70.17105632619058</v>
      </c>
      <c r="L255" s="16">
        <v>68.107747763462285</v>
      </c>
      <c r="M255" s="16">
        <v>99.621269661755136</v>
      </c>
      <c r="N255" s="16">
        <v>38.021465321506689</v>
      </c>
      <c r="O255" s="16">
        <v>64.208362805685013</v>
      </c>
      <c r="P255" s="16">
        <v>74.286414657967697</v>
      </c>
      <c r="Q255" s="16">
        <v>90.056980276669321</v>
      </c>
    </row>
    <row r="256" spans="1:17" ht="12.75" x14ac:dyDescent="0.2">
      <c r="A256" s="4" t="s">
        <v>64</v>
      </c>
      <c r="B256" s="4" t="s">
        <v>92</v>
      </c>
      <c r="C256" s="4" t="s">
        <v>3817</v>
      </c>
      <c r="D256" s="4" t="s">
        <v>3818</v>
      </c>
      <c r="E256" s="4" t="s">
        <v>39</v>
      </c>
      <c r="F256" s="4" t="s">
        <v>18</v>
      </c>
      <c r="G256" s="4" t="s">
        <v>26</v>
      </c>
      <c r="H256" s="4"/>
      <c r="I256" s="4" t="s">
        <v>40</v>
      </c>
      <c r="J256" s="17" t="s">
        <v>3290</v>
      </c>
      <c r="K256" s="16">
        <v>91.405244538939115</v>
      </c>
      <c r="L256" s="16">
        <v>54.391989838049405</v>
      </c>
      <c r="M256" s="16">
        <v>40.666380707239611</v>
      </c>
      <c r="N256" s="16">
        <v>26.109182616155369</v>
      </c>
      <c r="O256" s="16">
        <v>20.141436510571296</v>
      </c>
      <c r="P256" s="16">
        <v>59.828853622310795</v>
      </c>
      <c r="Q256" s="16">
        <v>83.866140099921822</v>
      </c>
    </row>
    <row r="257" spans="1:17" ht="12.75" x14ac:dyDescent="0.2">
      <c r="A257" s="4" t="s">
        <v>37</v>
      </c>
      <c r="B257" s="4" t="s">
        <v>38</v>
      </c>
      <c r="C257" s="4" t="s">
        <v>3819</v>
      </c>
      <c r="D257" s="4" t="s">
        <v>3820</v>
      </c>
      <c r="E257" s="4" t="s">
        <v>39</v>
      </c>
      <c r="F257" s="4" t="s">
        <v>18</v>
      </c>
      <c r="G257" s="4" t="s">
        <v>61</v>
      </c>
      <c r="H257" s="4"/>
      <c r="I257" s="4" t="s">
        <v>40</v>
      </c>
      <c r="J257" s="17" t="s">
        <v>3290</v>
      </c>
      <c r="K257" s="16">
        <v>21.215737316168759</v>
      </c>
      <c r="L257" s="16">
        <v>22.205619546631748</v>
      </c>
      <c r="M257" s="16">
        <v>44.656776080095526</v>
      </c>
      <c r="N257" s="16">
        <v>29.030946526590583</v>
      </c>
      <c r="O257" s="16">
        <v>92.966119430583589</v>
      </c>
      <c r="P257" s="16">
        <v>45.025911244267746</v>
      </c>
      <c r="Q257" s="16">
        <v>62.930386592735701</v>
      </c>
    </row>
    <row r="258" spans="1:17" ht="12.75" x14ac:dyDescent="0.2">
      <c r="A258" s="4" t="s">
        <v>7</v>
      </c>
      <c r="B258" s="4" t="s">
        <v>30</v>
      </c>
      <c r="C258" s="4" t="s">
        <v>3821</v>
      </c>
      <c r="D258" s="4" t="s">
        <v>3822</v>
      </c>
      <c r="E258" s="4" t="s">
        <v>39</v>
      </c>
      <c r="F258" s="4" t="s">
        <v>18</v>
      </c>
      <c r="G258" s="4" t="s">
        <v>72</v>
      </c>
      <c r="H258" s="4" t="s">
        <v>3823</v>
      </c>
      <c r="I258" s="4" t="s">
        <v>40</v>
      </c>
      <c r="J258" s="17" t="s">
        <v>3290</v>
      </c>
      <c r="K258" s="16">
        <v>36.101097442892637</v>
      </c>
      <c r="L258" s="16">
        <v>28.2356628511934</v>
      </c>
      <c r="M258" s="16">
        <v>10.670174828865397</v>
      </c>
      <c r="N258" s="16">
        <v>89.928770384274543</v>
      </c>
      <c r="O258" s="16">
        <v>84.768427302962664</v>
      </c>
      <c r="P258" s="16">
        <v>54.815354610961464</v>
      </c>
      <c r="Q258" s="16">
        <v>31.578715249536636</v>
      </c>
    </row>
    <row r="259" spans="1:17" ht="12.75" x14ac:dyDescent="0.2">
      <c r="A259" s="4" t="s">
        <v>37</v>
      </c>
      <c r="B259" s="4" t="s">
        <v>59</v>
      </c>
      <c r="C259" s="4" t="s">
        <v>3824</v>
      </c>
      <c r="D259" s="4" t="s">
        <v>3825</v>
      </c>
      <c r="E259" s="4" t="s">
        <v>39</v>
      </c>
      <c r="F259" s="4" t="s">
        <v>32</v>
      </c>
      <c r="G259" s="4"/>
      <c r="H259" s="4"/>
      <c r="I259" s="4" t="s">
        <v>40</v>
      </c>
      <c r="J259" s="17" t="s">
        <v>3290</v>
      </c>
      <c r="K259" s="16">
        <v>93.024355340693717</v>
      </c>
      <c r="L259" s="16">
        <v>5.045064329666193</v>
      </c>
      <c r="M259" s="16">
        <v>22.830061570476467</v>
      </c>
      <c r="N259" s="16">
        <v>33.099405888768629</v>
      </c>
      <c r="O259" s="16">
        <v>58.20911893357048</v>
      </c>
      <c r="P259" s="16">
        <v>57.055893505165578</v>
      </c>
      <c r="Q259" s="16">
        <v>96.012124046663445</v>
      </c>
    </row>
    <row r="260" spans="1:17" ht="12.75" x14ac:dyDescent="0.2">
      <c r="A260" s="4" t="s">
        <v>98</v>
      </c>
      <c r="B260" s="4" t="s">
        <v>102</v>
      </c>
      <c r="C260" s="4" t="s">
        <v>3826</v>
      </c>
      <c r="D260" s="4" t="s">
        <v>3827</v>
      </c>
      <c r="E260" s="4" t="s">
        <v>39</v>
      </c>
      <c r="F260" s="4" t="s">
        <v>18</v>
      </c>
      <c r="G260" s="4" t="s">
        <v>41</v>
      </c>
      <c r="H260" s="4"/>
      <c r="I260" s="4" t="s">
        <v>40</v>
      </c>
      <c r="J260" s="17" t="s">
        <v>3290</v>
      </c>
      <c r="K260" s="16">
        <v>79.937626830376345</v>
      </c>
      <c r="L260" s="16">
        <v>93.507134089204186</v>
      </c>
      <c r="M260" s="16">
        <v>83.20322734387932</v>
      </c>
      <c r="N260" s="16">
        <v>3.8291212682335818</v>
      </c>
      <c r="O260" s="16">
        <v>8.7660526793371893</v>
      </c>
      <c r="P260" s="16">
        <v>81.94356179951599</v>
      </c>
      <c r="Q260" s="16">
        <v>9.9589392792428733</v>
      </c>
    </row>
    <row r="261" spans="1:17" ht="12.75" x14ac:dyDescent="0.2">
      <c r="A261" s="4" t="s">
        <v>98</v>
      </c>
      <c r="B261" s="4" t="s">
        <v>99</v>
      </c>
      <c r="C261" s="4" t="s">
        <v>3828</v>
      </c>
      <c r="D261" s="4" t="s">
        <v>3829</v>
      </c>
      <c r="E261" s="4" t="s">
        <v>39</v>
      </c>
      <c r="F261" s="4" t="s">
        <v>18</v>
      </c>
      <c r="G261" s="4" t="s">
        <v>61</v>
      </c>
      <c r="I261" s="4" t="s">
        <v>40</v>
      </c>
      <c r="J261" s="17" t="s">
        <v>3290</v>
      </c>
      <c r="K261" s="16">
        <v>24.08693611172388</v>
      </c>
      <c r="L261" s="16">
        <v>87.585626243197183</v>
      </c>
      <c r="M261" s="16">
        <v>23.480057232920071</v>
      </c>
      <c r="N261" s="16">
        <v>61.386317949959391</v>
      </c>
      <c r="O261" s="16">
        <v>53.586341684079322</v>
      </c>
      <c r="P261" s="16">
        <v>70.161392025602581</v>
      </c>
      <c r="Q261" s="16">
        <v>76.058857617494695</v>
      </c>
    </row>
    <row r="262" spans="1:17" ht="12.75" x14ac:dyDescent="0.2">
      <c r="A262" s="4" t="s">
        <v>7</v>
      </c>
      <c r="B262" s="4" t="s">
        <v>16</v>
      </c>
      <c r="C262" s="4" t="s">
        <v>3830</v>
      </c>
      <c r="D262" s="4" t="s">
        <v>3831</v>
      </c>
      <c r="E262" s="4" t="s">
        <v>39</v>
      </c>
      <c r="F262" s="4" t="s">
        <v>11</v>
      </c>
      <c r="G262" s="4" t="s">
        <v>61</v>
      </c>
      <c r="H262" s="4"/>
      <c r="I262" s="4" t="s">
        <v>40</v>
      </c>
      <c r="J262" s="17" t="s">
        <v>3290</v>
      </c>
      <c r="K262" s="16">
        <v>54.661327118003491</v>
      </c>
      <c r="L262" s="16">
        <v>65.126280463477642</v>
      </c>
      <c r="M262" s="16">
        <v>9.8543801650476599</v>
      </c>
      <c r="N262" s="16">
        <v>64.824255442278684</v>
      </c>
      <c r="O262" s="16">
        <v>39.833524003539253</v>
      </c>
      <c r="P262" s="16">
        <v>14.483928355356834</v>
      </c>
      <c r="Q262" s="16">
        <v>85.873858053374235</v>
      </c>
    </row>
    <row r="263" spans="1:17" ht="12.75" x14ac:dyDescent="0.2">
      <c r="A263" s="4" t="s">
        <v>98</v>
      </c>
      <c r="B263" s="4" t="s">
        <v>102</v>
      </c>
      <c r="C263" s="4" t="s">
        <v>3832</v>
      </c>
      <c r="D263" s="4" t="s">
        <v>3833</v>
      </c>
      <c r="E263" s="4" t="s">
        <v>39</v>
      </c>
      <c r="F263" s="4" t="s">
        <v>18</v>
      </c>
      <c r="G263" s="4" t="s">
        <v>41</v>
      </c>
      <c r="H263" s="4"/>
      <c r="I263" s="4" t="s">
        <v>40</v>
      </c>
      <c r="J263" s="17" t="s">
        <v>3290</v>
      </c>
      <c r="K263" s="16">
        <v>25.079452119858704</v>
      </c>
      <c r="L263" s="16">
        <v>29.983782158359507</v>
      </c>
      <c r="M263" s="16">
        <v>11.642799814454307</v>
      </c>
      <c r="N263" s="16">
        <v>18.112498079373918</v>
      </c>
      <c r="O263" s="16">
        <v>98.830882343551536</v>
      </c>
      <c r="P263" s="16">
        <v>58.704770904355833</v>
      </c>
      <c r="Q263" s="16">
        <v>46.768186936687151</v>
      </c>
    </row>
    <row r="264" spans="1:17" ht="12.75" x14ac:dyDescent="0.2">
      <c r="A264" s="4" t="s">
        <v>115</v>
      </c>
      <c r="B264" s="4" t="s">
        <v>119</v>
      </c>
      <c r="C264" s="4" t="s">
        <v>3834</v>
      </c>
      <c r="D264" s="4" t="s">
        <v>3835</v>
      </c>
      <c r="E264" s="4" t="s">
        <v>39</v>
      </c>
      <c r="F264" s="4" t="s">
        <v>18</v>
      </c>
      <c r="G264" s="4" t="s">
        <v>61</v>
      </c>
      <c r="I264" s="4" t="s">
        <v>40</v>
      </c>
      <c r="J264" s="17" t="s">
        <v>3290</v>
      </c>
      <c r="K264" s="16">
        <v>22.892166019984884</v>
      </c>
      <c r="L264" s="16">
        <v>69.03915777221016</v>
      </c>
      <c r="M264" s="16">
        <v>31.469594634448594</v>
      </c>
      <c r="N264" s="16">
        <v>49.546673353477807</v>
      </c>
      <c r="O264" s="16">
        <v>34.989062289076678</v>
      </c>
      <c r="P264" s="16">
        <v>52.835422069295078</v>
      </c>
      <c r="Q264" s="16">
        <v>45.101770694123189</v>
      </c>
    </row>
    <row r="265" spans="1:17" ht="12.75" x14ac:dyDescent="0.2">
      <c r="A265" s="4" t="s">
        <v>7</v>
      </c>
      <c r="B265" s="4" t="s">
        <v>16</v>
      </c>
      <c r="C265" s="4" t="s">
        <v>3836</v>
      </c>
      <c r="D265" s="4" t="s">
        <v>3837</v>
      </c>
      <c r="E265" s="4" t="s">
        <v>39</v>
      </c>
      <c r="F265" s="4" t="s">
        <v>18</v>
      </c>
      <c r="G265" s="4"/>
      <c r="H265" s="4" t="s">
        <v>40</v>
      </c>
      <c r="I265" s="4" t="s">
        <v>40</v>
      </c>
      <c r="J265" s="17" t="s">
        <v>3290</v>
      </c>
      <c r="K265" s="16">
        <v>85.795887901661857</v>
      </c>
      <c r="L265" s="16">
        <v>97.817802922101833</v>
      </c>
      <c r="M265" s="16">
        <v>46.902173699162311</v>
      </c>
      <c r="N265" s="16">
        <v>53.172326405817458</v>
      </c>
      <c r="O265" s="16">
        <v>33.749696341158895</v>
      </c>
      <c r="P265" s="16">
        <v>36.271434184876192</v>
      </c>
      <c r="Q265" s="16">
        <v>33.269424030568508</v>
      </c>
    </row>
    <row r="266" spans="1:17" ht="12.75" x14ac:dyDescent="0.2">
      <c r="A266" s="4" t="s">
        <v>98</v>
      </c>
      <c r="B266" s="4" t="s">
        <v>110</v>
      </c>
      <c r="C266" s="4" t="s">
        <v>3838</v>
      </c>
      <c r="D266" s="4" t="s">
        <v>3839</v>
      </c>
      <c r="E266" s="4" t="s">
        <v>39</v>
      </c>
      <c r="F266" s="4" t="s">
        <v>11</v>
      </c>
      <c r="G266" s="4" t="s">
        <v>26</v>
      </c>
      <c r="H266" s="4"/>
      <c r="I266" s="4" t="s">
        <v>40</v>
      </c>
      <c r="J266" s="17" t="s">
        <v>3290</v>
      </c>
      <c r="K266" s="16">
        <v>77.646822152186814</v>
      </c>
      <c r="L266" s="16">
        <v>91.446059960434752</v>
      </c>
      <c r="M266" s="16">
        <v>59.73615163638393</v>
      </c>
      <c r="N266" s="16">
        <v>54.516223276399586</v>
      </c>
      <c r="O266" s="16">
        <v>6.3418264842316274</v>
      </c>
      <c r="P266" s="16">
        <v>52.831632195010805</v>
      </c>
      <c r="Q266" s="16">
        <v>42.112034513399422</v>
      </c>
    </row>
    <row r="267" spans="1:17" ht="12.75" x14ac:dyDescent="0.2">
      <c r="A267" s="4" t="s">
        <v>98</v>
      </c>
      <c r="B267" s="4" t="s">
        <v>107</v>
      </c>
      <c r="C267" s="4" t="s">
        <v>3840</v>
      </c>
      <c r="D267" s="4" t="s">
        <v>3841</v>
      </c>
      <c r="E267" s="4" t="s">
        <v>39</v>
      </c>
      <c r="F267" s="4" t="s">
        <v>11</v>
      </c>
      <c r="G267" s="4" t="s">
        <v>41</v>
      </c>
      <c r="H267" s="4"/>
      <c r="I267" s="4" t="s">
        <v>40</v>
      </c>
      <c r="J267" s="17" t="s">
        <v>3290</v>
      </c>
      <c r="K267" s="16">
        <v>91.093503198818084</v>
      </c>
      <c r="L267" s="16">
        <v>0.74118451994793499</v>
      </c>
      <c r="M267" s="16">
        <v>60.606941106760218</v>
      </c>
      <c r="N267" s="16">
        <v>93.345998193889017</v>
      </c>
      <c r="O267" s="16">
        <v>24.402011368667498</v>
      </c>
      <c r="P267" s="16">
        <v>74.854201954671311</v>
      </c>
      <c r="Q267" s="16">
        <v>98.08104572827817</v>
      </c>
    </row>
    <row r="268" spans="1:17" ht="12.75" x14ac:dyDescent="0.2">
      <c r="A268" s="4" t="s">
        <v>7</v>
      </c>
      <c r="B268" s="4" t="s">
        <v>16</v>
      </c>
      <c r="C268" s="4" t="s">
        <v>3842</v>
      </c>
      <c r="D268" s="4" t="s">
        <v>3843</v>
      </c>
      <c r="E268" s="4" t="s">
        <v>39</v>
      </c>
      <c r="F268" s="4" t="s">
        <v>18</v>
      </c>
      <c r="G268" s="4" t="s">
        <v>41</v>
      </c>
      <c r="I268" s="4" t="s">
        <v>40</v>
      </c>
      <c r="J268" s="17" t="s">
        <v>3290</v>
      </c>
      <c r="K268" s="16">
        <v>21.41838025077827</v>
      </c>
      <c r="L268" s="16">
        <v>9.5216230421522496</v>
      </c>
      <c r="M268" s="16">
        <v>64.268284403718752</v>
      </c>
      <c r="N268" s="16">
        <v>14.855062069719038</v>
      </c>
      <c r="O268" s="16">
        <v>8.9928437170799675</v>
      </c>
      <c r="P268" s="16">
        <v>8.9040610583804423</v>
      </c>
      <c r="Q268" s="16">
        <v>67.848659676088602</v>
      </c>
    </row>
    <row r="269" spans="1:17" ht="12.75" x14ac:dyDescent="0.2">
      <c r="A269" s="4" t="s">
        <v>64</v>
      </c>
      <c r="B269" s="4" t="s">
        <v>89</v>
      </c>
      <c r="C269" s="4" t="s">
        <v>3844</v>
      </c>
      <c r="D269" s="4" t="s">
        <v>3845</v>
      </c>
      <c r="E269" s="4" t="s">
        <v>39</v>
      </c>
      <c r="F269" s="4" t="s">
        <v>18</v>
      </c>
      <c r="G269" s="4" t="s">
        <v>61</v>
      </c>
      <c r="H269" s="4"/>
      <c r="I269" s="4" t="s">
        <v>40</v>
      </c>
      <c r="J269" s="17" t="s">
        <v>3290</v>
      </c>
      <c r="K269" s="16">
        <v>89.164913444346766</v>
      </c>
      <c r="L269" s="16">
        <v>91.84018315937665</v>
      </c>
      <c r="M269" s="16">
        <v>28.701535900116724</v>
      </c>
      <c r="N269" s="16">
        <v>16.657616305643373</v>
      </c>
      <c r="O269" s="16">
        <v>77.515893483226549</v>
      </c>
      <c r="P269" s="16">
        <v>2.7762352584948191</v>
      </c>
      <c r="Q269" s="16">
        <v>11.53574015118638</v>
      </c>
    </row>
    <row r="270" spans="1:17" ht="12.75" x14ac:dyDescent="0.2">
      <c r="A270" s="4" t="s">
        <v>98</v>
      </c>
      <c r="B270" s="4" t="s">
        <v>102</v>
      </c>
      <c r="C270" s="4" t="s">
        <v>3846</v>
      </c>
      <c r="D270" s="4" t="s">
        <v>3847</v>
      </c>
      <c r="E270" s="4" t="s">
        <v>39</v>
      </c>
      <c r="F270" s="4" t="s">
        <v>18</v>
      </c>
      <c r="G270" s="4" t="s">
        <v>41</v>
      </c>
      <c r="H270" s="4"/>
      <c r="I270" s="4" t="s">
        <v>40</v>
      </c>
      <c r="J270" s="17" t="s">
        <v>3290</v>
      </c>
      <c r="K270" s="16">
        <v>5.6163560500303022</v>
      </c>
      <c r="L270" s="16">
        <v>57.972520460416824</v>
      </c>
      <c r="M270" s="16">
        <v>79.757406456568731</v>
      </c>
      <c r="N270" s="16">
        <v>66.128208117050022</v>
      </c>
      <c r="O270" s="16">
        <v>93.044730660201765</v>
      </c>
      <c r="P270" s="16">
        <v>34.913985553590386</v>
      </c>
      <c r="Q270" s="16">
        <v>83.102435834806371</v>
      </c>
    </row>
    <row r="271" spans="1:17" ht="12.75" x14ac:dyDescent="0.2">
      <c r="A271" s="4" t="s">
        <v>115</v>
      </c>
      <c r="B271" s="4" t="s">
        <v>122</v>
      </c>
      <c r="C271" s="4" t="s">
        <v>3848</v>
      </c>
      <c r="D271" s="4" t="s">
        <v>3849</v>
      </c>
      <c r="E271" s="4" t="s">
        <v>39</v>
      </c>
      <c r="F271" s="4" t="s">
        <v>18</v>
      </c>
      <c r="G271" s="4" t="s">
        <v>19</v>
      </c>
      <c r="H271" s="4"/>
      <c r="I271" s="4" t="s">
        <v>40</v>
      </c>
      <c r="J271" s="17" t="s">
        <v>3290</v>
      </c>
      <c r="K271" s="16">
        <v>4.5171608174482625</v>
      </c>
      <c r="L271" s="16">
        <v>8.5495329361121257</v>
      </c>
      <c r="M271" s="16">
        <v>1.1062419627745901</v>
      </c>
      <c r="N271" s="16">
        <v>90.882955566395978</v>
      </c>
      <c r="O271" s="16">
        <v>89.142857702305449</v>
      </c>
      <c r="P271" s="16">
        <v>23.780400501304943</v>
      </c>
      <c r="Q271" s="16">
        <v>2.7231997654064699E-2</v>
      </c>
    </row>
    <row r="272" spans="1:17" ht="12.75" x14ac:dyDescent="0.2">
      <c r="A272" s="4" t="s">
        <v>115</v>
      </c>
      <c r="B272" s="4" t="s">
        <v>116</v>
      </c>
      <c r="C272" s="4" t="s">
        <v>3850</v>
      </c>
      <c r="D272" s="4" t="s">
        <v>3851</v>
      </c>
      <c r="E272" s="4" t="s">
        <v>39</v>
      </c>
      <c r="F272" s="4" t="s">
        <v>18</v>
      </c>
      <c r="G272" s="4" t="s">
        <v>61</v>
      </c>
      <c r="H272" s="4"/>
      <c r="I272" s="4" t="s">
        <v>40</v>
      </c>
      <c r="J272" s="17" t="s">
        <v>3290</v>
      </c>
      <c r="K272" s="16">
        <v>73.509632604692314</v>
      </c>
      <c r="L272" s="16">
        <v>57.49803216220144</v>
      </c>
      <c r="M272" s="16">
        <v>76.604892105378141</v>
      </c>
      <c r="N272" s="16">
        <v>74.295454372498256</v>
      </c>
      <c r="O272" s="16">
        <v>59.336395023636697</v>
      </c>
      <c r="P272" s="16">
        <v>62.872561069679492</v>
      </c>
      <c r="Q272" s="16">
        <v>6.2401949816167424</v>
      </c>
    </row>
    <row r="273" spans="1:18" ht="12.75" x14ac:dyDescent="0.2">
      <c r="A273" s="4" t="s">
        <v>115</v>
      </c>
      <c r="B273" s="4" t="s">
        <v>119</v>
      </c>
      <c r="C273" s="4" t="s">
        <v>3852</v>
      </c>
      <c r="D273" s="4" t="s">
        <v>3853</v>
      </c>
      <c r="E273" s="4" t="s">
        <v>39</v>
      </c>
      <c r="F273" s="4" t="s">
        <v>18</v>
      </c>
      <c r="G273" s="4" t="s">
        <v>61</v>
      </c>
      <c r="I273" s="4" t="s">
        <v>40</v>
      </c>
      <c r="J273" s="17" t="s">
        <v>3290</v>
      </c>
      <c r="K273" s="16">
        <v>20.509034251784197</v>
      </c>
      <c r="L273" s="16">
        <v>69.092343329707987</v>
      </c>
      <c r="M273" s="16">
        <v>46.495341164348304</v>
      </c>
      <c r="N273" s="16">
        <v>13.147209132349714</v>
      </c>
      <c r="O273" s="16">
        <v>54.795862022094774</v>
      </c>
      <c r="P273" s="16">
        <v>92.614882244227317</v>
      </c>
      <c r="Q273" s="16">
        <v>90.401633244005978</v>
      </c>
    </row>
    <row r="274" spans="1:18" ht="12.75" x14ac:dyDescent="0.2">
      <c r="A274" s="4" t="s">
        <v>115</v>
      </c>
      <c r="B274" s="4" t="s">
        <v>122</v>
      </c>
      <c r="C274" s="4" t="s">
        <v>3854</v>
      </c>
      <c r="D274" s="4" t="s">
        <v>3855</v>
      </c>
      <c r="E274" s="4" t="s">
        <v>39</v>
      </c>
      <c r="F274" s="4" t="s">
        <v>18</v>
      </c>
      <c r="G274" s="4" t="s">
        <v>61</v>
      </c>
      <c r="H274" s="4"/>
      <c r="I274" s="4" t="s">
        <v>40</v>
      </c>
      <c r="J274" s="17" t="s">
        <v>3290</v>
      </c>
      <c r="K274" s="16">
        <v>85.255240857803457</v>
      </c>
      <c r="L274" s="16">
        <v>74.575473909694495</v>
      </c>
      <c r="M274" s="16">
        <v>76.54475487226874</v>
      </c>
      <c r="N274" s="16">
        <v>29.961268567208855</v>
      </c>
      <c r="O274" s="16">
        <v>77.772885354601627</v>
      </c>
      <c r="P274" s="16">
        <v>63.57959027437736</v>
      </c>
      <c r="Q274" s="16">
        <v>35.493918101573854</v>
      </c>
    </row>
    <row r="275" spans="1:18" ht="12.75" x14ac:dyDescent="0.2">
      <c r="A275" s="4" t="s">
        <v>98</v>
      </c>
      <c r="B275" s="4" t="s">
        <v>110</v>
      </c>
      <c r="C275" s="4" t="s">
        <v>3856</v>
      </c>
      <c r="D275" s="4" t="s">
        <v>3857</v>
      </c>
      <c r="E275" s="4" t="s">
        <v>39</v>
      </c>
      <c r="F275" s="4" t="s">
        <v>18</v>
      </c>
      <c r="G275" s="4" t="s">
        <v>12</v>
      </c>
      <c r="H275" s="4" t="s">
        <v>40</v>
      </c>
      <c r="I275" s="4" t="s">
        <v>40</v>
      </c>
      <c r="J275" s="17" t="s">
        <v>3290</v>
      </c>
      <c r="K275" s="16">
        <v>5.0836506950110554</v>
      </c>
      <c r="L275" s="16">
        <v>84.028246874350344</v>
      </c>
      <c r="M275" s="16">
        <v>79.49484679152657</v>
      </c>
      <c r="N275" s="16">
        <v>38.066263419097488</v>
      </c>
      <c r="O275" s="16">
        <v>80.016843517354559</v>
      </c>
      <c r="P275" s="16">
        <v>38.24363735562023</v>
      </c>
      <c r="Q275" s="16">
        <v>40.685381042465075</v>
      </c>
    </row>
    <row r="276" spans="1:18" ht="12.75" x14ac:dyDescent="0.2">
      <c r="A276" s="4" t="s">
        <v>98</v>
      </c>
      <c r="B276" s="4" t="s">
        <v>110</v>
      </c>
      <c r="C276" s="4" t="s">
        <v>3858</v>
      </c>
      <c r="D276" s="4" t="s">
        <v>3859</v>
      </c>
      <c r="E276" s="4" t="s">
        <v>39</v>
      </c>
      <c r="F276" s="4" t="s">
        <v>11</v>
      </c>
      <c r="G276" s="4" t="s">
        <v>41</v>
      </c>
      <c r="H276" s="4"/>
      <c r="I276" s="4" t="s">
        <v>40</v>
      </c>
      <c r="J276" s="17" t="s">
        <v>3290</v>
      </c>
      <c r="K276" s="16">
        <v>17.704639995463811</v>
      </c>
      <c r="L276" s="16">
        <v>54.11502244407265</v>
      </c>
      <c r="M276" s="16">
        <v>75.778929796241542</v>
      </c>
      <c r="N276" s="16">
        <v>20.458981992258927</v>
      </c>
      <c r="O276" s="16">
        <v>9.8082864463065462</v>
      </c>
      <c r="P276" s="16">
        <v>96.803693100713886</v>
      </c>
      <c r="Q276" s="16">
        <v>17.638121093393078</v>
      </c>
    </row>
    <row r="277" spans="1:18" ht="12.75" x14ac:dyDescent="0.2">
      <c r="A277" s="4" t="s">
        <v>115</v>
      </c>
      <c r="B277" s="4" t="s">
        <v>119</v>
      </c>
      <c r="C277" s="4" t="s">
        <v>3860</v>
      </c>
      <c r="D277" s="4" t="s">
        <v>3861</v>
      </c>
      <c r="E277" s="4" t="s">
        <v>39</v>
      </c>
      <c r="F277" s="4" t="s">
        <v>18</v>
      </c>
      <c r="G277" s="4" t="s">
        <v>61</v>
      </c>
      <c r="I277" s="4" t="s">
        <v>40</v>
      </c>
      <c r="J277" s="17" t="s">
        <v>3290</v>
      </c>
      <c r="K277" s="16">
        <v>52.906493270373204</v>
      </c>
      <c r="L277" s="16">
        <v>49.153183271447965</v>
      </c>
      <c r="M277" s="16">
        <v>43.352014883833412</v>
      </c>
      <c r="N277" s="16">
        <v>18.634626045572755</v>
      </c>
      <c r="O277" s="16">
        <v>93.198821041096323</v>
      </c>
      <c r="P277" s="16">
        <v>99.290835131532745</v>
      </c>
      <c r="Q277" s="16">
        <v>29.959404411229361</v>
      </c>
    </row>
    <row r="278" spans="1:18" ht="12.75" x14ac:dyDescent="0.2">
      <c r="A278" s="4" t="s">
        <v>115</v>
      </c>
      <c r="B278" s="4" t="s">
        <v>131</v>
      </c>
      <c r="C278" s="4" t="s">
        <v>3862</v>
      </c>
      <c r="D278" s="4" t="s">
        <v>3863</v>
      </c>
      <c r="E278" s="4" t="s">
        <v>39</v>
      </c>
      <c r="F278" s="4" t="s">
        <v>18</v>
      </c>
      <c r="G278" s="4" t="s">
        <v>72</v>
      </c>
      <c r="H278" s="4" t="s">
        <v>3398</v>
      </c>
      <c r="I278" s="4" t="s">
        <v>40</v>
      </c>
      <c r="J278" s="17" t="s">
        <v>3290</v>
      </c>
      <c r="K278" s="16">
        <v>94.084904095836777</v>
      </c>
      <c r="L278" s="16">
        <v>13.608361493168941</v>
      </c>
      <c r="M278" s="16">
        <v>9.843199838876437</v>
      </c>
      <c r="N278" s="16">
        <v>31.120266672507</v>
      </c>
      <c r="O278" s="16">
        <v>48.640082621692841</v>
      </c>
      <c r="P278" s="16">
        <v>24.441846571909153</v>
      </c>
      <c r="Q278" s="16">
        <v>50.705255615041821</v>
      </c>
      <c r="R278" s="4" t="s">
        <v>3396</v>
      </c>
    </row>
    <row r="279" spans="1:18" ht="12.75" x14ac:dyDescent="0.2">
      <c r="A279" s="4" t="s">
        <v>98</v>
      </c>
      <c r="B279" s="4" t="s">
        <v>107</v>
      </c>
      <c r="C279" s="4" t="s">
        <v>3864</v>
      </c>
      <c r="D279" s="4" t="s">
        <v>3865</v>
      </c>
      <c r="E279" s="4" t="s">
        <v>39</v>
      </c>
      <c r="F279" s="4" t="s">
        <v>18</v>
      </c>
      <c r="G279" s="4" t="s">
        <v>41</v>
      </c>
      <c r="I279" s="4" t="s">
        <v>40</v>
      </c>
      <c r="J279" s="17" t="s">
        <v>3290</v>
      </c>
      <c r="K279" s="16">
        <v>28.514681831572531</v>
      </c>
      <c r="L279" s="16">
        <v>53.792454888551774</v>
      </c>
      <c r="M279" s="16">
        <v>89.177392666272112</v>
      </c>
      <c r="N279" s="16">
        <v>60.271998164297358</v>
      </c>
      <c r="O279" s="16">
        <v>43.829420120967164</v>
      </c>
      <c r="P279" s="16">
        <v>33.838623166717177</v>
      </c>
      <c r="Q279" s="16">
        <v>43.965123656008473</v>
      </c>
    </row>
    <row r="280" spans="1:18" ht="12.75" x14ac:dyDescent="0.2">
      <c r="A280" s="4" t="s">
        <v>115</v>
      </c>
      <c r="B280" s="4" t="s">
        <v>125</v>
      </c>
      <c r="C280" s="4" t="s">
        <v>3866</v>
      </c>
      <c r="D280" s="4" t="s">
        <v>3867</v>
      </c>
      <c r="E280" s="4" t="s">
        <v>39</v>
      </c>
      <c r="F280" s="4" t="s">
        <v>18</v>
      </c>
      <c r="G280" s="4" t="s">
        <v>19</v>
      </c>
      <c r="H280" s="4" t="s">
        <v>3482</v>
      </c>
      <c r="I280" s="4" t="s">
        <v>40</v>
      </c>
      <c r="J280" s="17" t="s">
        <v>3290</v>
      </c>
      <c r="K280" s="16">
        <v>68.04654928727804</v>
      </c>
      <c r="L280" s="16">
        <v>69.6865846144443</v>
      </c>
      <c r="M280" s="16">
        <v>43.613516470792902</v>
      </c>
      <c r="N280" s="16">
        <v>23.739595496789956</v>
      </c>
      <c r="O280" s="16">
        <v>66.92804103484066</v>
      </c>
      <c r="P280" s="16">
        <v>84.638211962088633</v>
      </c>
      <c r="Q280" s="16">
        <v>71.472193569943968</v>
      </c>
      <c r="R280" s="4" t="s">
        <v>3285</v>
      </c>
    </row>
    <row r="281" spans="1:18" ht="12.75" x14ac:dyDescent="0.2">
      <c r="A281" s="4" t="s">
        <v>64</v>
      </c>
      <c r="B281" s="4" t="s">
        <v>82</v>
      </c>
      <c r="C281" s="4" t="s">
        <v>3868</v>
      </c>
      <c r="D281" s="4" t="s">
        <v>3869</v>
      </c>
      <c r="E281" s="4" t="s">
        <v>39</v>
      </c>
      <c r="F281" s="4" t="s">
        <v>18</v>
      </c>
      <c r="G281" s="4" t="s">
        <v>41</v>
      </c>
      <c r="H281" s="4"/>
      <c r="I281" s="4" t="s">
        <v>40</v>
      </c>
      <c r="J281" s="17" t="s">
        <v>3290</v>
      </c>
      <c r="K281" s="16">
        <v>30.899140624818489</v>
      </c>
      <c r="L281" s="16">
        <v>44.12595781787595</v>
      </c>
      <c r="M281" s="16">
        <v>88.649059275936679</v>
      </c>
      <c r="N281" s="16">
        <v>83.893786489244633</v>
      </c>
      <c r="O281" s="16">
        <v>87.975466517604957</v>
      </c>
      <c r="P281" s="16">
        <v>70.147362763411536</v>
      </c>
      <c r="Q281" s="16">
        <v>9.9350976183321009</v>
      </c>
    </row>
    <row r="282" spans="1:18" ht="12.75" x14ac:dyDescent="0.2">
      <c r="A282" s="4" t="s">
        <v>115</v>
      </c>
      <c r="B282" s="4" t="s">
        <v>119</v>
      </c>
      <c r="C282" s="4" t="s">
        <v>3870</v>
      </c>
      <c r="D282" s="4" t="s">
        <v>3871</v>
      </c>
      <c r="E282" s="4" t="s">
        <v>39</v>
      </c>
      <c r="F282" s="4" t="s">
        <v>18</v>
      </c>
      <c r="G282" s="4" t="s">
        <v>61</v>
      </c>
      <c r="I282" s="4" t="s">
        <v>40</v>
      </c>
      <c r="J282" s="17" t="s">
        <v>3290</v>
      </c>
      <c r="K282" s="16">
        <v>35.706419374715402</v>
      </c>
      <c r="L282" s="16">
        <v>84.821406860061487</v>
      </c>
      <c r="M282" s="16">
        <v>47.429286309496341</v>
      </c>
      <c r="N282" s="16">
        <v>23.187512107457042</v>
      </c>
      <c r="O282" s="16">
        <v>71.363411161417773</v>
      </c>
      <c r="P282" s="16">
        <v>83.677451661416072</v>
      </c>
      <c r="Q282" s="16">
        <v>35.92488320616313</v>
      </c>
    </row>
    <row r="283" spans="1:18" ht="12.75" x14ac:dyDescent="0.2">
      <c r="A283" s="4" t="s">
        <v>98</v>
      </c>
      <c r="B283" s="4" t="s">
        <v>110</v>
      </c>
      <c r="C283" s="4" t="s">
        <v>3872</v>
      </c>
      <c r="D283" s="4" t="s">
        <v>3873</v>
      </c>
      <c r="E283" s="4" t="s">
        <v>39</v>
      </c>
      <c r="F283" s="4" t="s">
        <v>18</v>
      </c>
      <c r="G283" s="4" t="s">
        <v>61</v>
      </c>
      <c r="H283" s="4"/>
      <c r="I283" s="4" t="s">
        <v>40</v>
      </c>
      <c r="J283" s="17" t="s">
        <v>3290</v>
      </c>
      <c r="K283" s="16">
        <v>49.33739158425503</v>
      </c>
      <c r="L283" s="16">
        <v>2.8035486121596565</v>
      </c>
      <c r="M283" s="16">
        <v>32.883304238219722</v>
      </c>
      <c r="N283" s="16">
        <v>39.916112943532632</v>
      </c>
      <c r="O283" s="16">
        <v>14.202011824384764</v>
      </c>
      <c r="P283" s="16">
        <v>60.729704079647242</v>
      </c>
      <c r="Q283" s="16">
        <v>2.7143967622142551</v>
      </c>
    </row>
    <row r="284" spans="1:18" ht="12.75" x14ac:dyDescent="0.2">
      <c r="A284" s="4" t="s">
        <v>115</v>
      </c>
      <c r="B284" s="4" t="s">
        <v>122</v>
      </c>
      <c r="C284" s="4" t="s">
        <v>3874</v>
      </c>
      <c r="D284" s="4" t="s">
        <v>3875</v>
      </c>
      <c r="E284" s="4" t="s">
        <v>39</v>
      </c>
      <c r="F284" s="4" t="s">
        <v>18</v>
      </c>
      <c r="H284" s="4" t="s">
        <v>40</v>
      </c>
      <c r="I284" s="4" t="s">
        <v>40</v>
      </c>
      <c r="J284" s="17" t="s">
        <v>3290</v>
      </c>
      <c r="K284" s="16">
        <v>90.009680754820394</v>
      </c>
      <c r="L284" s="16">
        <v>36.628834067962671</v>
      </c>
      <c r="M284" s="16">
        <v>66.19386054549588</v>
      </c>
      <c r="N284" s="16">
        <v>53.859923531150024</v>
      </c>
      <c r="O284" s="16">
        <v>74.251359060456423</v>
      </c>
      <c r="P284" s="16">
        <v>35.225022199666675</v>
      </c>
      <c r="Q284" s="16">
        <v>48.964801708964423</v>
      </c>
    </row>
    <row r="285" spans="1:18" ht="12.75" x14ac:dyDescent="0.2">
      <c r="A285" s="4" t="s">
        <v>115</v>
      </c>
      <c r="B285" s="4" t="s">
        <v>122</v>
      </c>
      <c r="C285" s="4" t="s">
        <v>3876</v>
      </c>
      <c r="D285" s="4" t="s">
        <v>3877</v>
      </c>
      <c r="E285" s="4" t="s">
        <v>39</v>
      </c>
      <c r="F285" s="4" t="s">
        <v>18</v>
      </c>
      <c r="G285" s="4" t="s">
        <v>61</v>
      </c>
      <c r="H285" s="4"/>
      <c r="I285" s="4" t="s">
        <v>40</v>
      </c>
      <c r="J285" s="17" t="s">
        <v>3290</v>
      </c>
      <c r="K285" s="16">
        <v>33.993856296775938</v>
      </c>
      <c r="L285" s="16">
        <v>48.534433776778073</v>
      </c>
      <c r="M285" s="16">
        <v>49.863922897801658</v>
      </c>
      <c r="N285" s="16">
        <v>19.653412534465154</v>
      </c>
      <c r="O285" s="16">
        <v>44.186267731675755</v>
      </c>
      <c r="P285" s="16">
        <v>0.51955488959680718</v>
      </c>
      <c r="Q285" s="16">
        <v>14.57618183947913</v>
      </c>
    </row>
    <row r="286" spans="1:18" ht="12.75" x14ac:dyDescent="0.2">
      <c r="A286" s="4" t="s">
        <v>7</v>
      </c>
      <c r="B286" s="4" t="s">
        <v>16</v>
      </c>
      <c r="C286" s="4" t="s">
        <v>3878</v>
      </c>
      <c r="D286" s="4" t="s">
        <v>3879</v>
      </c>
      <c r="E286" s="4" t="s">
        <v>39</v>
      </c>
      <c r="F286" s="4" t="s">
        <v>18</v>
      </c>
      <c r="G286" s="4" t="s">
        <v>61</v>
      </c>
      <c r="H286" s="4"/>
      <c r="I286" s="4" t="s">
        <v>40</v>
      </c>
      <c r="J286" s="17" t="s">
        <v>3290</v>
      </c>
      <c r="K286" s="16">
        <v>39.868237991308639</v>
      </c>
      <c r="L286" s="16">
        <v>77.30752031437784</v>
      </c>
      <c r="M286" s="16">
        <v>56.516491198335459</v>
      </c>
      <c r="N286" s="16">
        <v>86.739785644505346</v>
      </c>
      <c r="O286" s="16">
        <v>36.560168444586495</v>
      </c>
      <c r="P286" s="16">
        <v>71.85784291020056</v>
      </c>
      <c r="Q286" s="16">
        <v>48.513317128076594</v>
      </c>
    </row>
    <row r="287" spans="1:18" ht="12.75" x14ac:dyDescent="0.2">
      <c r="A287" s="4" t="s">
        <v>98</v>
      </c>
      <c r="B287" s="4" t="s">
        <v>110</v>
      </c>
      <c r="C287" s="4" t="s">
        <v>3880</v>
      </c>
      <c r="D287" s="4" t="s">
        <v>3881</v>
      </c>
      <c r="E287" s="4" t="s">
        <v>39</v>
      </c>
      <c r="F287" s="4" t="s">
        <v>18</v>
      </c>
      <c r="G287" s="4" t="s">
        <v>12</v>
      </c>
      <c r="H287" s="4" t="s">
        <v>40</v>
      </c>
      <c r="I287" s="4" t="s">
        <v>40</v>
      </c>
      <c r="J287" s="17" t="s">
        <v>3290</v>
      </c>
      <c r="K287" s="16">
        <v>80.091777293852132</v>
      </c>
      <c r="L287" s="16">
        <v>78.914927674451036</v>
      </c>
      <c r="M287" s="16">
        <v>36.793587641322034</v>
      </c>
      <c r="N287" s="16">
        <v>83.089054073724057</v>
      </c>
      <c r="O287" s="16">
        <v>76.583172775727775</v>
      </c>
      <c r="P287" s="16">
        <v>33.231908344221992</v>
      </c>
      <c r="Q287" s="16">
        <v>79.896297440369253</v>
      </c>
    </row>
    <row r="288" spans="1:18" ht="12.75" x14ac:dyDescent="0.2">
      <c r="A288" s="4" t="s">
        <v>98</v>
      </c>
      <c r="B288" s="4" t="s">
        <v>113</v>
      </c>
      <c r="C288" s="4" t="s">
        <v>3882</v>
      </c>
      <c r="D288" s="4" t="s">
        <v>3883</v>
      </c>
      <c r="E288" s="4" t="s">
        <v>39</v>
      </c>
      <c r="F288" s="4" t="s">
        <v>18</v>
      </c>
      <c r="G288" s="4" t="s">
        <v>19</v>
      </c>
      <c r="H288" s="4"/>
      <c r="I288" s="4" t="s">
        <v>40</v>
      </c>
      <c r="J288" s="17" t="s">
        <v>3290</v>
      </c>
      <c r="K288" s="16">
        <v>57.045402835899765</v>
      </c>
      <c r="L288" s="16">
        <v>32.668756172814426</v>
      </c>
      <c r="M288" s="16">
        <v>50.55115985851485</v>
      </c>
      <c r="N288" s="16">
        <v>29.921250479327465</v>
      </c>
      <c r="O288" s="16">
        <v>35.825979545407051</v>
      </c>
      <c r="P288" s="16">
        <v>94.566988710836853</v>
      </c>
      <c r="Q288" s="16">
        <v>48.215344297798779</v>
      </c>
    </row>
    <row r="289" spans="1:17" ht="12.75" x14ac:dyDescent="0.2">
      <c r="A289" s="4" t="s">
        <v>98</v>
      </c>
      <c r="B289" s="4" t="s">
        <v>110</v>
      </c>
      <c r="C289" s="4" t="s">
        <v>3884</v>
      </c>
      <c r="D289" s="4" t="s">
        <v>3885</v>
      </c>
      <c r="E289" s="4" t="s">
        <v>39</v>
      </c>
      <c r="F289" s="4" t="s">
        <v>18</v>
      </c>
      <c r="G289" s="4" t="s">
        <v>26</v>
      </c>
      <c r="H289" s="4" t="s">
        <v>40</v>
      </c>
      <c r="I289" s="4" t="s">
        <v>40</v>
      </c>
      <c r="J289" s="17" t="s">
        <v>3290</v>
      </c>
      <c r="K289" s="16">
        <v>90.183915038797252</v>
      </c>
      <c r="L289" s="16">
        <v>9.4040357342485947</v>
      </c>
      <c r="M289" s="16">
        <v>73.958162843221658</v>
      </c>
      <c r="N289" s="16">
        <v>98.531760907898388</v>
      </c>
      <c r="O289" s="16">
        <v>5.321600815111327</v>
      </c>
      <c r="P289" s="16">
        <v>37.569634544050757</v>
      </c>
      <c r="Q289" s="16">
        <v>1.2597155401210647</v>
      </c>
    </row>
    <row r="290" spans="1:17" ht="12.75" x14ac:dyDescent="0.2">
      <c r="A290" s="4" t="s">
        <v>115</v>
      </c>
      <c r="B290" s="4" t="s">
        <v>122</v>
      </c>
      <c r="C290" s="4" t="s">
        <v>3886</v>
      </c>
      <c r="D290" s="4" t="s">
        <v>3887</v>
      </c>
      <c r="E290" s="4" t="s">
        <v>39</v>
      </c>
      <c r="F290" s="4" t="s">
        <v>11</v>
      </c>
      <c r="G290" s="4" t="s">
        <v>61</v>
      </c>
      <c r="H290" s="4"/>
      <c r="I290" s="4" t="s">
        <v>40</v>
      </c>
      <c r="J290" s="17" t="s">
        <v>3290</v>
      </c>
      <c r="K290" s="16">
        <v>65.652116896076123</v>
      </c>
      <c r="L290" s="16">
        <v>94.558170418185966</v>
      </c>
      <c r="M290" s="16">
        <v>61.294594573596314</v>
      </c>
      <c r="N290" s="16">
        <v>54.196189850443822</v>
      </c>
      <c r="O290" s="16">
        <v>1.135897918447526</v>
      </c>
      <c r="P290" s="16">
        <v>73.836214893405668</v>
      </c>
      <c r="Q290" s="16">
        <v>5.5202555144368226</v>
      </c>
    </row>
    <row r="291" spans="1:17" ht="12.75" x14ac:dyDescent="0.2">
      <c r="A291" s="4" t="s">
        <v>7</v>
      </c>
      <c r="B291" s="4" t="s">
        <v>8</v>
      </c>
      <c r="C291" s="4" t="s">
        <v>3888</v>
      </c>
      <c r="D291" s="4" t="s">
        <v>3889</v>
      </c>
      <c r="E291" s="4" t="s">
        <v>39</v>
      </c>
      <c r="F291" s="4" t="s">
        <v>18</v>
      </c>
      <c r="G291" s="4" t="s">
        <v>41</v>
      </c>
      <c r="I291" s="4" t="s">
        <v>40</v>
      </c>
      <c r="J291" s="17" t="s">
        <v>3290</v>
      </c>
      <c r="K291" s="16">
        <v>80.618167221203734</v>
      </c>
      <c r="L291" s="16">
        <v>35.538907004909738</v>
      </c>
      <c r="M291" s="16">
        <v>11.713643103755157</v>
      </c>
      <c r="N291" s="16">
        <v>57.810677656935162</v>
      </c>
      <c r="O291" s="16">
        <v>86.119314020323287</v>
      </c>
      <c r="P291" s="16">
        <v>97.42157127609731</v>
      </c>
      <c r="Q291" s="16">
        <v>90.411803535924378</v>
      </c>
    </row>
    <row r="292" spans="1:17" ht="12.75" x14ac:dyDescent="0.2">
      <c r="A292" s="4" t="s">
        <v>98</v>
      </c>
      <c r="B292" s="4" t="s">
        <v>107</v>
      </c>
      <c r="C292" s="4" t="s">
        <v>3890</v>
      </c>
      <c r="D292" s="4" t="s">
        <v>3891</v>
      </c>
      <c r="E292" s="4" t="s">
        <v>39</v>
      </c>
      <c r="F292" s="4" t="s">
        <v>18</v>
      </c>
      <c r="G292" s="4" t="s">
        <v>12</v>
      </c>
      <c r="H292" s="4"/>
      <c r="I292" s="4" t="s">
        <v>40</v>
      </c>
      <c r="J292" s="17" t="s">
        <v>3290</v>
      </c>
      <c r="K292" s="16">
        <v>70.465052250381049</v>
      </c>
      <c r="L292" s="16">
        <v>56.859303180564936</v>
      </c>
      <c r="M292" s="16">
        <v>18.920023963152865</v>
      </c>
      <c r="N292" s="16">
        <v>38.482612374976341</v>
      </c>
      <c r="O292" s="16">
        <v>10.46138261388263</v>
      </c>
      <c r="P292" s="16">
        <v>96.885043820483347</v>
      </c>
      <c r="Q292" s="16">
        <v>10.467712344148616</v>
      </c>
    </row>
    <row r="293" spans="1:17" ht="12.75" x14ac:dyDescent="0.2">
      <c r="A293" s="4" t="s">
        <v>7</v>
      </c>
      <c r="B293" s="4" t="s">
        <v>16</v>
      </c>
      <c r="C293" s="4" t="s">
        <v>3892</v>
      </c>
      <c r="D293" s="4" t="s">
        <v>3893</v>
      </c>
      <c r="E293" s="4" t="s">
        <v>39</v>
      </c>
      <c r="F293" s="4" t="s">
        <v>18</v>
      </c>
      <c r="G293" s="4" t="s">
        <v>61</v>
      </c>
      <c r="H293" s="4"/>
      <c r="I293" s="4" t="s">
        <v>40</v>
      </c>
      <c r="J293" s="17" t="s">
        <v>3290</v>
      </c>
      <c r="K293" s="16">
        <v>82.681814766789799</v>
      </c>
      <c r="L293" s="16">
        <v>25.237157185538216</v>
      </c>
      <c r="M293" s="16">
        <v>2.1128260980277314</v>
      </c>
      <c r="N293" s="16">
        <v>54.569743882394341</v>
      </c>
      <c r="O293" s="16">
        <v>0.8230372265394581</v>
      </c>
      <c r="P293" s="16">
        <v>84.897524280752975</v>
      </c>
      <c r="Q293" s="16">
        <v>22.086746783161605</v>
      </c>
    </row>
    <row r="294" spans="1:17" ht="12.75" x14ac:dyDescent="0.2">
      <c r="A294" s="4" t="s">
        <v>64</v>
      </c>
      <c r="B294" s="4" t="s">
        <v>86</v>
      </c>
      <c r="C294" s="4" t="s">
        <v>3894</v>
      </c>
      <c r="D294" s="4" t="s">
        <v>3895</v>
      </c>
      <c r="E294" s="4" t="s">
        <v>39</v>
      </c>
      <c r="F294" s="4" t="s">
        <v>18</v>
      </c>
      <c r="G294" s="4" t="s">
        <v>61</v>
      </c>
      <c r="I294" s="4" t="s">
        <v>40</v>
      </c>
      <c r="J294" s="17" t="s">
        <v>3290</v>
      </c>
      <c r="K294" s="16">
        <v>13.200271736050272</v>
      </c>
      <c r="L294" s="16">
        <v>92.397925760197097</v>
      </c>
      <c r="M294" s="16">
        <v>81.498660149380086</v>
      </c>
      <c r="N294" s="16">
        <v>34.30064153765273</v>
      </c>
      <c r="O294" s="16">
        <v>1.2568441526685126</v>
      </c>
      <c r="P294" s="16">
        <v>84.654044712565735</v>
      </c>
      <c r="Q294" s="16">
        <v>1.5323054835351124</v>
      </c>
    </row>
    <row r="295" spans="1:17" ht="12.75" x14ac:dyDescent="0.2">
      <c r="A295" s="4" t="s">
        <v>64</v>
      </c>
      <c r="B295" s="4" t="s">
        <v>86</v>
      </c>
      <c r="C295" s="4" t="s">
        <v>3896</v>
      </c>
      <c r="D295" s="4" t="s">
        <v>3897</v>
      </c>
      <c r="E295" s="4" t="s">
        <v>39</v>
      </c>
      <c r="F295" s="4" t="s">
        <v>18</v>
      </c>
      <c r="G295" s="4" t="s">
        <v>72</v>
      </c>
      <c r="I295" s="4" t="s">
        <v>40</v>
      </c>
      <c r="J295" s="17" t="s">
        <v>3290</v>
      </c>
      <c r="K295" s="16">
        <v>29.649496283076758</v>
      </c>
      <c r="L295" s="16">
        <v>45.958280847626789</v>
      </c>
      <c r="M295" s="16">
        <v>58.145684776152017</v>
      </c>
      <c r="N295" s="16">
        <v>58.620397620030005</v>
      </c>
      <c r="O295" s="16">
        <v>57.992585405258836</v>
      </c>
      <c r="P295" s="16">
        <v>40.807901798201549</v>
      </c>
      <c r="Q295" s="16">
        <v>84.054771940286884</v>
      </c>
    </row>
    <row r="296" spans="1:17" ht="12.75" x14ac:dyDescent="0.2">
      <c r="A296" s="4" t="s">
        <v>64</v>
      </c>
      <c r="B296" s="4" t="s">
        <v>86</v>
      </c>
      <c r="C296" s="4" t="s">
        <v>3898</v>
      </c>
      <c r="D296" s="4" t="s">
        <v>3899</v>
      </c>
      <c r="E296" s="4" t="s">
        <v>39</v>
      </c>
      <c r="F296" s="4" t="s">
        <v>18</v>
      </c>
      <c r="G296" s="4" t="s">
        <v>72</v>
      </c>
      <c r="I296" s="4" t="s">
        <v>40</v>
      </c>
      <c r="J296" s="17" t="s">
        <v>3290</v>
      </c>
      <c r="K296" s="16">
        <v>21.569203937390004</v>
      </c>
      <c r="L296" s="16">
        <v>38.687083405716763</v>
      </c>
      <c r="M296" s="16">
        <v>95.51381650176485</v>
      </c>
      <c r="N296" s="16">
        <v>35.052911488060879</v>
      </c>
      <c r="O296" s="16">
        <v>30.916970422534419</v>
      </c>
      <c r="P296" s="16">
        <v>8.1071851378384245</v>
      </c>
      <c r="Q296" s="16">
        <v>63.95065579429685</v>
      </c>
    </row>
    <row r="297" spans="1:17" ht="12.75" x14ac:dyDescent="0.2">
      <c r="A297" s="4" t="s">
        <v>115</v>
      </c>
      <c r="B297" s="4" t="s">
        <v>119</v>
      </c>
      <c r="C297" s="4" t="s">
        <v>3900</v>
      </c>
      <c r="D297" s="4" t="s">
        <v>3901</v>
      </c>
      <c r="E297" s="4" t="s">
        <v>114</v>
      </c>
      <c r="F297" s="4" t="s">
        <v>18</v>
      </c>
      <c r="G297" s="4" t="s">
        <v>61</v>
      </c>
      <c r="I297" s="4" t="s">
        <v>10</v>
      </c>
      <c r="J297" s="17" t="s">
        <v>3290</v>
      </c>
      <c r="K297" s="16">
        <v>43.152743102590954</v>
      </c>
      <c r="L297" s="16">
        <v>36.751866830264731</v>
      </c>
      <c r="M297" s="16">
        <v>44.795674522199583</v>
      </c>
      <c r="N297" s="16">
        <v>78.485564577199028</v>
      </c>
      <c r="O297" s="16">
        <v>1.302774478352231</v>
      </c>
      <c r="P297" s="16">
        <v>19.428738421970458</v>
      </c>
      <c r="Q297" s="16">
        <v>77.20137760611675</v>
      </c>
    </row>
    <row r="298" spans="1:17" ht="12.75" x14ac:dyDescent="0.2">
      <c r="A298" s="4" t="s">
        <v>37</v>
      </c>
      <c r="B298" s="4" t="s">
        <v>45</v>
      </c>
      <c r="C298" s="4" t="s">
        <v>3902</v>
      </c>
      <c r="D298" s="4" t="s">
        <v>3903</v>
      </c>
      <c r="E298" s="4" t="s">
        <v>138</v>
      </c>
      <c r="F298" s="4" t="s">
        <v>18</v>
      </c>
      <c r="G298" s="4" t="s">
        <v>72</v>
      </c>
      <c r="H298" s="4" t="s">
        <v>3600</v>
      </c>
      <c r="I298" s="4" t="s">
        <v>10</v>
      </c>
      <c r="J298" s="17" t="s">
        <v>3290</v>
      </c>
      <c r="K298" s="16">
        <v>59.660607489839045</v>
      </c>
      <c r="L298" s="16">
        <v>66.382758949345074</v>
      </c>
      <c r="M298" s="16">
        <v>55.282150206572567</v>
      </c>
      <c r="N298" s="16">
        <v>34.484239094945735</v>
      </c>
      <c r="O298" s="16">
        <v>80.904004158120813</v>
      </c>
      <c r="P298" s="16">
        <v>84.497561466907854</v>
      </c>
      <c r="Q298" s="16">
        <v>72.69619788564971</v>
      </c>
    </row>
    <row r="299" spans="1:17" ht="12.75" x14ac:dyDescent="0.2">
      <c r="A299" s="4" t="s">
        <v>64</v>
      </c>
      <c r="B299" s="4" t="s">
        <v>86</v>
      </c>
      <c r="C299" s="4" t="s">
        <v>3904</v>
      </c>
      <c r="D299" s="4" t="s">
        <v>3905</v>
      </c>
      <c r="E299" s="4" t="s">
        <v>114</v>
      </c>
      <c r="F299" s="4" t="s">
        <v>25</v>
      </c>
      <c r="G299" s="4" t="s">
        <v>72</v>
      </c>
      <c r="I299" s="4" t="s">
        <v>10</v>
      </c>
      <c r="J299" s="17" t="s">
        <v>3290</v>
      </c>
      <c r="K299" s="16">
        <v>37.593231675083274</v>
      </c>
      <c r="L299" s="16">
        <v>38.528820177657707</v>
      </c>
      <c r="M299" s="16">
        <v>41.899603382807861</v>
      </c>
      <c r="N299" s="16">
        <v>21.065186293615156</v>
      </c>
      <c r="O299" s="16">
        <v>82.743582223704081</v>
      </c>
      <c r="P299" s="16">
        <v>70.069543493974351</v>
      </c>
      <c r="Q299" s="16">
        <v>86.120841146816403</v>
      </c>
    </row>
    <row r="300" spans="1:17" ht="12.75" x14ac:dyDescent="0.2">
      <c r="A300" s="4" t="s">
        <v>115</v>
      </c>
      <c r="B300" s="4" t="s">
        <v>122</v>
      </c>
      <c r="C300" s="4" t="s">
        <v>3906</v>
      </c>
      <c r="D300" s="4" t="s">
        <v>3907</v>
      </c>
      <c r="E300" s="4" t="s">
        <v>129</v>
      </c>
      <c r="F300" s="4" t="s">
        <v>18</v>
      </c>
      <c r="G300" s="4" t="s">
        <v>61</v>
      </c>
      <c r="H300" s="4"/>
      <c r="I300" s="4" t="s">
        <v>10</v>
      </c>
      <c r="J300" s="17" t="s">
        <v>3290</v>
      </c>
      <c r="K300" s="16">
        <v>24.248970600119701</v>
      </c>
      <c r="L300" s="16">
        <v>21.437806664205915</v>
      </c>
      <c r="M300" s="16">
        <v>78.203819912144482</v>
      </c>
      <c r="N300" s="16">
        <v>23.383886981878032</v>
      </c>
      <c r="O300" s="16">
        <v>7.679705959270744</v>
      </c>
      <c r="P300" s="16">
        <v>62.517780976926907</v>
      </c>
      <c r="Q300" s="16">
        <v>15.372202928214918</v>
      </c>
    </row>
    <row r="301" spans="1:17" ht="12.75" x14ac:dyDescent="0.2">
      <c r="A301" s="4" t="s">
        <v>115</v>
      </c>
      <c r="B301" s="4" t="s">
        <v>119</v>
      </c>
      <c r="C301" s="4" t="s">
        <v>3908</v>
      </c>
      <c r="D301" s="4" t="s">
        <v>3909</v>
      </c>
      <c r="E301" s="4" t="s">
        <v>114</v>
      </c>
      <c r="F301" s="4" t="s">
        <v>25</v>
      </c>
      <c r="G301" s="4" t="s">
        <v>61</v>
      </c>
      <c r="I301" s="4" t="s">
        <v>10</v>
      </c>
      <c r="J301" s="17" t="s">
        <v>3290</v>
      </c>
      <c r="K301" s="16">
        <v>52.960532751212867</v>
      </c>
      <c r="L301" s="16">
        <v>14.538431272362773</v>
      </c>
      <c r="M301" s="16">
        <v>25.48846141296378</v>
      </c>
      <c r="N301" s="16">
        <v>52.184203595046874</v>
      </c>
      <c r="O301" s="16">
        <v>4.7308900563090557</v>
      </c>
      <c r="P301" s="16">
        <v>80.616800521870474</v>
      </c>
      <c r="Q301" s="16">
        <v>66.170514954160964</v>
      </c>
    </row>
    <row r="302" spans="1:17" ht="12.75" x14ac:dyDescent="0.2">
      <c r="A302" s="4" t="s">
        <v>115</v>
      </c>
      <c r="B302" s="4" t="s">
        <v>122</v>
      </c>
      <c r="C302" s="4" t="s">
        <v>3910</v>
      </c>
      <c r="D302" s="4" t="s">
        <v>3911</v>
      </c>
      <c r="E302" s="4" t="s">
        <v>108</v>
      </c>
      <c r="F302" s="4" t="s">
        <v>25</v>
      </c>
      <c r="G302" s="4" t="s">
        <v>61</v>
      </c>
      <c r="H302" s="4"/>
      <c r="I302" s="4" t="s">
        <v>10</v>
      </c>
      <c r="J302" s="17" t="s">
        <v>3290</v>
      </c>
      <c r="K302" s="16">
        <v>48.40580346607809</v>
      </c>
      <c r="L302" s="16">
        <v>25.188567238475322</v>
      </c>
      <c r="M302" s="16">
        <v>41.172624560601655</v>
      </c>
      <c r="N302" s="16">
        <v>97.419186082712855</v>
      </c>
      <c r="O302" s="16">
        <v>49.634910614162209</v>
      </c>
      <c r="P302" s="16">
        <v>31.925952617985732</v>
      </c>
      <c r="Q302" s="16">
        <v>92.516232431273352</v>
      </c>
    </row>
    <row r="303" spans="1:17" ht="12.75" x14ac:dyDescent="0.2">
      <c r="A303" s="4" t="s">
        <v>115</v>
      </c>
      <c r="B303" s="4" t="s">
        <v>119</v>
      </c>
      <c r="C303" s="4" t="s">
        <v>3912</v>
      </c>
      <c r="D303" s="4" t="s">
        <v>3913</v>
      </c>
      <c r="E303" s="4" t="s">
        <v>114</v>
      </c>
      <c r="F303" s="4" t="s">
        <v>25</v>
      </c>
      <c r="G303" s="4" t="s">
        <v>72</v>
      </c>
      <c r="I303" s="4" t="s">
        <v>10</v>
      </c>
      <c r="J303" s="17" t="s">
        <v>3290</v>
      </c>
      <c r="K303" s="16">
        <v>34.173014115759159</v>
      </c>
      <c r="L303" s="16">
        <v>95.86651843504626</v>
      </c>
      <c r="M303" s="16">
        <v>24.791186992994518</v>
      </c>
      <c r="N303" s="16">
        <v>56.620732755114247</v>
      </c>
      <c r="O303" s="16">
        <v>80.131759411155585</v>
      </c>
      <c r="P303" s="16">
        <v>82.957765751750287</v>
      </c>
      <c r="Q303" s="16">
        <v>16.352027548267611</v>
      </c>
    </row>
    <row r="304" spans="1:17" ht="12.75" x14ac:dyDescent="0.2">
      <c r="A304" s="4" t="s">
        <v>7</v>
      </c>
      <c r="B304" s="4" t="s">
        <v>8</v>
      </c>
      <c r="C304" s="4" t="s">
        <v>3914</v>
      </c>
      <c r="D304" s="4" t="s">
        <v>3915</v>
      </c>
      <c r="E304" s="4" t="s">
        <v>87</v>
      </c>
      <c r="F304" s="4" t="s">
        <v>18</v>
      </c>
      <c r="G304" s="4" t="s">
        <v>61</v>
      </c>
      <c r="I304" s="4" t="s">
        <v>10</v>
      </c>
      <c r="J304" s="17" t="s">
        <v>3290</v>
      </c>
      <c r="K304" s="16">
        <v>48.726486683016915</v>
      </c>
      <c r="L304" s="16">
        <v>64.988545576968022</v>
      </c>
      <c r="M304" s="16">
        <v>18.054497913708989</v>
      </c>
      <c r="N304" s="16">
        <v>89.080657003280933</v>
      </c>
      <c r="O304" s="16">
        <v>35.693673440779428</v>
      </c>
      <c r="P304" s="16">
        <v>53.556634786687638</v>
      </c>
      <c r="Q304" s="16">
        <v>5.9657179952727013</v>
      </c>
    </row>
    <row r="305" spans="1:17" ht="12.75" x14ac:dyDescent="0.2">
      <c r="A305" s="4" t="s">
        <v>98</v>
      </c>
      <c r="B305" s="4" t="s">
        <v>110</v>
      </c>
      <c r="C305" s="4" t="s">
        <v>3916</v>
      </c>
      <c r="D305" s="4" t="s">
        <v>3917</v>
      </c>
      <c r="E305" s="4" t="s">
        <v>108</v>
      </c>
      <c r="F305" s="4" t="s">
        <v>18</v>
      </c>
      <c r="G305" s="4" t="s">
        <v>41</v>
      </c>
      <c r="H305" s="4" t="s">
        <v>10</v>
      </c>
      <c r="I305" s="4" t="s">
        <v>10</v>
      </c>
      <c r="J305" s="17" t="s">
        <v>3290</v>
      </c>
      <c r="K305" s="16">
        <v>80.285596880312795</v>
      </c>
      <c r="L305" s="16">
        <v>19.19823794377772</v>
      </c>
      <c r="M305" s="16">
        <v>60.875183942366739</v>
      </c>
      <c r="N305" s="16">
        <v>39.590266048113506</v>
      </c>
      <c r="O305" s="16">
        <v>89.457700933190239</v>
      </c>
      <c r="P305" s="16">
        <v>68.65762354349107</v>
      </c>
      <c r="Q305" s="16">
        <v>69.483037573085312</v>
      </c>
    </row>
    <row r="306" spans="1:17" ht="12.75" x14ac:dyDescent="0.2">
      <c r="A306" s="4" t="s">
        <v>98</v>
      </c>
      <c r="B306" s="4" t="s">
        <v>105</v>
      </c>
      <c r="C306" s="4" t="s">
        <v>3918</v>
      </c>
      <c r="D306" s="4" t="s">
        <v>3919</v>
      </c>
      <c r="E306" s="4" t="s">
        <v>114</v>
      </c>
      <c r="F306" s="4" t="s">
        <v>25</v>
      </c>
      <c r="G306" s="4" t="s">
        <v>61</v>
      </c>
      <c r="H306" s="4"/>
      <c r="I306" s="4" t="s">
        <v>10</v>
      </c>
      <c r="J306" s="17" t="s">
        <v>3290</v>
      </c>
      <c r="K306" s="16">
        <v>77.085985589644238</v>
      </c>
      <c r="L306" s="16">
        <v>29.582844108146698</v>
      </c>
      <c r="M306" s="16">
        <v>88.51738934653261</v>
      </c>
      <c r="N306" s="16">
        <v>39.267279897876818</v>
      </c>
      <c r="O306" s="16">
        <v>55.933099287741072</v>
      </c>
      <c r="P306" s="16">
        <v>73.909504382858742</v>
      </c>
      <c r="Q306" s="16">
        <v>35.903625967149942</v>
      </c>
    </row>
    <row r="307" spans="1:17" ht="12.75" x14ac:dyDescent="0.2">
      <c r="A307" s="4" t="s">
        <v>115</v>
      </c>
      <c r="B307" s="4" t="s">
        <v>116</v>
      </c>
      <c r="C307" s="4" t="s">
        <v>3920</v>
      </c>
      <c r="D307" s="4" t="s">
        <v>3921</v>
      </c>
      <c r="E307" s="4" t="s">
        <v>108</v>
      </c>
      <c r="F307" s="4" t="s">
        <v>18</v>
      </c>
      <c r="G307" s="4" t="s">
        <v>61</v>
      </c>
      <c r="H307" s="4"/>
      <c r="I307" s="4" t="s">
        <v>10</v>
      </c>
      <c r="J307" s="17" t="s">
        <v>3290</v>
      </c>
      <c r="K307" s="16">
        <v>47.510233525062908</v>
      </c>
      <c r="L307" s="16">
        <v>33.086159486022368</v>
      </c>
      <c r="M307" s="16">
        <v>21.011844889939681</v>
      </c>
      <c r="N307" s="16">
        <v>3.6786576120335091</v>
      </c>
      <c r="O307" s="16">
        <v>94.246532281087795</v>
      </c>
      <c r="P307" s="16">
        <v>38.690688234719609</v>
      </c>
      <c r="Q307" s="16">
        <v>99.183861488475571</v>
      </c>
    </row>
    <row r="308" spans="1:17" ht="12.75" x14ac:dyDescent="0.2">
      <c r="A308" s="4" t="s">
        <v>98</v>
      </c>
      <c r="B308" s="4" t="s">
        <v>110</v>
      </c>
      <c r="C308" s="4" t="s">
        <v>3922</v>
      </c>
      <c r="D308" s="4" t="s">
        <v>3923</v>
      </c>
      <c r="E308" s="4" t="s">
        <v>87</v>
      </c>
      <c r="F308" s="4" t="s">
        <v>25</v>
      </c>
      <c r="G308" s="4" t="s">
        <v>41</v>
      </c>
      <c r="H308" s="4" t="s">
        <v>10</v>
      </c>
      <c r="I308" s="4" t="s">
        <v>10</v>
      </c>
      <c r="J308" s="17" t="s">
        <v>3290</v>
      </c>
      <c r="K308" s="16">
        <v>42.668067921076279</v>
      </c>
      <c r="L308" s="16">
        <v>20.324799859420839</v>
      </c>
      <c r="M308" s="16">
        <v>13.358487885154158</v>
      </c>
      <c r="N308" s="16">
        <v>49.300452964728358</v>
      </c>
      <c r="O308" s="16">
        <v>34.220380191352675</v>
      </c>
      <c r="P308" s="16">
        <v>3.1360360253871455</v>
      </c>
      <c r="Q308" s="16">
        <v>88.926590448229732</v>
      </c>
    </row>
    <row r="309" spans="1:17" ht="12.75" x14ac:dyDescent="0.2">
      <c r="A309" s="4" t="s">
        <v>98</v>
      </c>
      <c r="B309" s="4" t="s">
        <v>107</v>
      </c>
      <c r="C309" s="4" t="s">
        <v>3924</v>
      </c>
      <c r="D309" s="4" t="s">
        <v>3925</v>
      </c>
      <c r="E309" s="4" t="s">
        <v>87</v>
      </c>
      <c r="F309" s="4" t="s">
        <v>18</v>
      </c>
      <c r="G309" s="4" t="s">
        <v>41</v>
      </c>
      <c r="H309" s="4"/>
      <c r="I309" s="4" t="s">
        <v>10</v>
      </c>
      <c r="J309" s="17" t="s">
        <v>3290</v>
      </c>
      <c r="K309" s="16">
        <v>65.447009167829819</v>
      </c>
      <c r="L309" s="16">
        <v>8.0648373152187425</v>
      </c>
      <c r="M309" s="16">
        <v>82.889868888361733</v>
      </c>
      <c r="N309" s="16">
        <v>52.532774269832736</v>
      </c>
      <c r="O309" s="16">
        <v>60.661208138733777</v>
      </c>
      <c r="P309" s="16">
        <v>93.198344745726573</v>
      </c>
      <c r="Q309" s="16">
        <v>36.074773894902123</v>
      </c>
    </row>
    <row r="310" spans="1:17" ht="12.75" x14ac:dyDescent="0.2">
      <c r="A310" s="4" t="s">
        <v>136</v>
      </c>
      <c r="B310" s="4" t="s">
        <v>137</v>
      </c>
      <c r="C310" s="4" t="s">
        <v>3926</v>
      </c>
      <c r="D310" s="4" t="s">
        <v>3927</v>
      </c>
      <c r="E310" s="4" t="s">
        <v>141</v>
      </c>
      <c r="F310" s="4" t="s">
        <v>25</v>
      </c>
      <c r="G310" s="4" t="s">
        <v>41</v>
      </c>
      <c r="H310" s="4"/>
      <c r="I310" s="4" t="s">
        <v>10</v>
      </c>
      <c r="J310" s="17" t="s">
        <v>3290</v>
      </c>
      <c r="K310" s="16">
        <v>49.703529626804986</v>
      </c>
      <c r="L310" s="16">
        <v>72.763777344943463</v>
      </c>
      <c r="M310" s="16">
        <v>63.5803081144484</v>
      </c>
      <c r="N310" s="16">
        <v>1.4424431563310636</v>
      </c>
      <c r="O310" s="16">
        <v>38.404210384684333</v>
      </c>
      <c r="P310" s="16">
        <v>23.657283506425554</v>
      </c>
      <c r="Q310" s="16">
        <v>1.9593047168205979</v>
      </c>
    </row>
    <row r="311" spans="1:17" ht="12.75" x14ac:dyDescent="0.2">
      <c r="A311" s="4" t="s">
        <v>37</v>
      </c>
      <c r="B311" s="4" t="s">
        <v>38</v>
      </c>
      <c r="C311" s="4" t="s">
        <v>3928</v>
      </c>
      <c r="D311" s="4" t="s">
        <v>3929</v>
      </c>
      <c r="E311" s="4" t="s">
        <v>87</v>
      </c>
      <c r="F311" s="4" t="s">
        <v>25</v>
      </c>
      <c r="G311" s="4" t="s">
        <v>72</v>
      </c>
      <c r="H311" s="4"/>
      <c r="I311" s="4" t="s">
        <v>10</v>
      </c>
      <c r="J311" s="17" t="s">
        <v>3290</v>
      </c>
      <c r="K311" s="16">
        <v>2.2608538930529609</v>
      </c>
      <c r="L311" s="16">
        <v>20.255366603923829</v>
      </c>
      <c r="M311" s="16">
        <v>63.914056691375329</v>
      </c>
      <c r="N311" s="16">
        <v>93.455406225619086</v>
      </c>
      <c r="O311" s="16">
        <v>49.867266600581473</v>
      </c>
      <c r="P311" s="16">
        <v>87.510472870362648</v>
      </c>
      <c r="Q311" s="16">
        <v>98.672234827422798</v>
      </c>
    </row>
    <row r="312" spans="1:17" ht="12.75" x14ac:dyDescent="0.2">
      <c r="A312" s="4" t="s">
        <v>136</v>
      </c>
      <c r="B312" s="4" t="s">
        <v>137</v>
      </c>
      <c r="C312" s="4" t="s">
        <v>3930</v>
      </c>
      <c r="D312" s="4" t="s">
        <v>3931</v>
      </c>
      <c r="E312" s="4" t="s">
        <v>87</v>
      </c>
      <c r="F312" s="4" t="s">
        <v>32</v>
      </c>
      <c r="G312" s="4" t="s">
        <v>41</v>
      </c>
      <c r="H312" s="4" t="s">
        <v>3932</v>
      </c>
      <c r="I312" s="4" t="s">
        <v>10</v>
      </c>
      <c r="J312" s="17" t="s">
        <v>3290</v>
      </c>
      <c r="K312" s="16">
        <v>34.594982554699882</v>
      </c>
      <c r="L312" s="16">
        <v>38.334235624415527</v>
      </c>
      <c r="M312" s="16">
        <v>61.631460781514647</v>
      </c>
      <c r="N312" s="16">
        <v>68.68908767910898</v>
      </c>
      <c r="O312" s="16">
        <v>14.95003848289076</v>
      </c>
      <c r="P312" s="16">
        <v>0.34802055490147366</v>
      </c>
      <c r="Q312" s="16">
        <v>78.144947846748721</v>
      </c>
    </row>
    <row r="313" spans="1:17" ht="12.75" x14ac:dyDescent="0.2">
      <c r="A313" s="4" t="s">
        <v>136</v>
      </c>
      <c r="B313" s="4" t="s">
        <v>137</v>
      </c>
      <c r="C313" s="4" t="s">
        <v>3933</v>
      </c>
      <c r="D313" s="4" t="s">
        <v>3934</v>
      </c>
      <c r="E313" s="4" t="s">
        <v>135</v>
      </c>
      <c r="F313" s="4" t="s">
        <v>18</v>
      </c>
      <c r="G313" s="4" t="s">
        <v>41</v>
      </c>
      <c r="H313" s="4"/>
      <c r="I313" s="4" t="s">
        <v>10</v>
      </c>
      <c r="J313" s="17" t="s">
        <v>3290</v>
      </c>
      <c r="K313" s="16">
        <v>29.358513270763876</v>
      </c>
      <c r="L313" s="16">
        <v>89.267004382969034</v>
      </c>
      <c r="M313" s="16">
        <v>23.745109258921538</v>
      </c>
      <c r="N313" s="16">
        <v>40.195760957474349</v>
      </c>
      <c r="O313" s="16">
        <v>85.657253967933428</v>
      </c>
      <c r="P313" s="16">
        <v>46.933359448845813</v>
      </c>
      <c r="Q313" s="16">
        <v>74.75827581444868</v>
      </c>
    </row>
    <row r="314" spans="1:17" ht="12.75" x14ac:dyDescent="0.2">
      <c r="A314" s="4" t="s">
        <v>64</v>
      </c>
      <c r="B314" s="4" t="s">
        <v>82</v>
      </c>
      <c r="C314" s="4" t="s">
        <v>3935</v>
      </c>
      <c r="D314" s="4" t="s">
        <v>3936</v>
      </c>
      <c r="E314" s="4" t="s">
        <v>135</v>
      </c>
      <c r="F314" s="4" t="s">
        <v>18</v>
      </c>
      <c r="G314" s="4" t="s">
        <v>61</v>
      </c>
      <c r="H314" s="4"/>
      <c r="I314" s="4" t="s">
        <v>10</v>
      </c>
      <c r="J314" s="17" t="s">
        <v>3290</v>
      </c>
      <c r="K314" s="16">
        <v>80.652551498377676</v>
      </c>
      <c r="L314" s="16">
        <v>27.167498991866999</v>
      </c>
      <c r="M314" s="16">
        <v>19.329978107049538</v>
      </c>
      <c r="N314" s="16">
        <v>5.1481755976413019</v>
      </c>
      <c r="O314" s="16">
        <v>96.081537525479604</v>
      </c>
      <c r="P314" s="16">
        <v>62.780425522936333</v>
      </c>
      <c r="Q314" s="16">
        <v>43.100660226097901</v>
      </c>
    </row>
    <row r="315" spans="1:17" ht="12.75" x14ac:dyDescent="0.2">
      <c r="A315" s="4" t="s">
        <v>37</v>
      </c>
      <c r="B315" s="4" t="s">
        <v>38</v>
      </c>
      <c r="C315" s="4" t="s">
        <v>3937</v>
      </c>
      <c r="D315" s="4" t="s">
        <v>3938</v>
      </c>
      <c r="E315" s="4" t="s">
        <v>129</v>
      </c>
      <c r="F315" s="4" t="s">
        <v>18</v>
      </c>
      <c r="G315" s="4" t="s">
        <v>61</v>
      </c>
      <c r="H315" s="4"/>
      <c r="I315" s="4" t="s">
        <v>10</v>
      </c>
      <c r="J315" s="17" t="s">
        <v>3290</v>
      </c>
      <c r="K315" s="16">
        <v>3.5830286549900503</v>
      </c>
      <c r="L315" s="16">
        <v>42.450980686392533</v>
      </c>
      <c r="M315" s="16">
        <v>10.242000511756133</v>
      </c>
      <c r="N315" s="16">
        <v>11.026045232675152</v>
      </c>
      <c r="O315" s="16">
        <v>35.480469368418163</v>
      </c>
      <c r="P315" s="16">
        <v>54.548197594942835</v>
      </c>
      <c r="Q315" s="16">
        <v>60.012096404841408</v>
      </c>
    </row>
    <row r="316" spans="1:17" ht="12.75" x14ac:dyDescent="0.2">
      <c r="A316" s="4" t="s">
        <v>98</v>
      </c>
      <c r="B316" s="4" t="s">
        <v>102</v>
      </c>
      <c r="C316" s="4" t="s">
        <v>3939</v>
      </c>
      <c r="D316" s="4" t="s">
        <v>3940</v>
      </c>
      <c r="E316" s="4" t="s">
        <v>108</v>
      </c>
      <c r="F316" s="4" t="s">
        <v>25</v>
      </c>
      <c r="G316" s="4" t="s">
        <v>41</v>
      </c>
      <c r="H316" s="4"/>
      <c r="I316" s="4" t="s">
        <v>10</v>
      </c>
      <c r="J316" s="17" t="s">
        <v>3290</v>
      </c>
      <c r="K316" s="16">
        <v>76.333162963545661</v>
      </c>
      <c r="L316" s="16">
        <v>88.807885550480435</v>
      </c>
      <c r="M316" s="16">
        <v>2.9683023903812944</v>
      </c>
      <c r="N316" s="16">
        <v>83.20861753573989</v>
      </c>
      <c r="O316" s="16">
        <v>91.550458941588332</v>
      </c>
      <c r="P316" s="16">
        <v>70.062927256426747</v>
      </c>
      <c r="Q316" s="16">
        <v>64.33119797669876</v>
      </c>
    </row>
    <row r="317" spans="1:17" ht="12.75" x14ac:dyDescent="0.2">
      <c r="A317" s="4" t="s">
        <v>136</v>
      </c>
      <c r="B317" s="4" t="s">
        <v>137</v>
      </c>
      <c r="C317" s="4" t="s">
        <v>3941</v>
      </c>
      <c r="D317" s="4" t="s">
        <v>3942</v>
      </c>
      <c r="E317" s="4" t="s">
        <v>108</v>
      </c>
      <c r="F317" s="4" t="s">
        <v>25</v>
      </c>
      <c r="G317" s="4"/>
      <c r="H317" s="4" t="s">
        <v>3289</v>
      </c>
      <c r="I317" s="4" t="s">
        <v>10</v>
      </c>
      <c r="J317" s="17" t="s">
        <v>3290</v>
      </c>
      <c r="K317" s="16">
        <v>20.770953214674137</v>
      </c>
      <c r="L317" s="16">
        <v>78.678862581303207</v>
      </c>
      <c r="M317" s="16">
        <v>78.910210450481586</v>
      </c>
      <c r="N317" s="16">
        <v>8.5585465173505071</v>
      </c>
      <c r="O317" s="16">
        <v>60.482657331638109</v>
      </c>
      <c r="P317" s="16">
        <v>39.515388574151252</v>
      </c>
      <c r="Q317" s="16">
        <v>47.534115345635051</v>
      </c>
    </row>
    <row r="318" spans="1:17" ht="12.75" x14ac:dyDescent="0.2">
      <c r="A318" s="4" t="s">
        <v>136</v>
      </c>
      <c r="B318" s="4" t="s">
        <v>137</v>
      </c>
      <c r="C318" s="4" t="s">
        <v>3943</v>
      </c>
      <c r="D318" s="4" t="s">
        <v>3944</v>
      </c>
      <c r="E318" s="4" t="s">
        <v>108</v>
      </c>
      <c r="F318" s="4" t="s">
        <v>18</v>
      </c>
      <c r="G318" s="4" t="s">
        <v>61</v>
      </c>
      <c r="I318" s="4" t="s">
        <v>10</v>
      </c>
      <c r="J318" s="17" t="s">
        <v>3290</v>
      </c>
      <c r="K318" s="16">
        <v>64.544458728018014</v>
      </c>
      <c r="L318" s="16">
        <v>85.285577315232231</v>
      </c>
      <c r="M318" s="16">
        <v>0.96332252460755718</v>
      </c>
      <c r="N318" s="16">
        <v>28.517168571419617</v>
      </c>
      <c r="O318" s="16">
        <v>1.2327249469113011</v>
      </c>
      <c r="P318" s="16">
        <v>83.028392793998307</v>
      </c>
      <c r="Q318" s="16">
        <v>8.396602880078575</v>
      </c>
    </row>
    <row r="319" spans="1:17" ht="12.75" x14ac:dyDescent="0.2">
      <c r="A319" s="4" t="s">
        <v>37</v>
      </c>
      <c r="B319" s="4" t="s">
        <v>38</v>
      </c>
      <c r="C319" s="4" t="s">
        <v>3945</v>
      </c>
      <c r="D319" s="4" t="s">
        <v>3946</v>
      </c>
      <c r="E319" s="4" t="s">
        <v>87</v>
      </c>
      <c r="F319" s="4" t="s">
        <v>18</v>
      </c>
      <c r="G319" s="4" t="s">
        <v>41</v>
      </c>
      <c r="H319" s="4"/>
      <c r="I319" s="4" t="s">
        <v>10</v>
      </c>
      <c r="J319" s="17" t="s">
        <v>3290</v>
      </c>
      <c r="K319" s="16">
        <v>40.9961785699412</v>
      </c>
      <c r="L319" s="16">
        <v>97.152268329324912</v>
      </c>
      <c r="M319" s="16">
        <v>79.246909479651208</v>
      </c>
      <c r="N319" s="16">
        <v>91.158882700909416</v>
      </c>
      <c r="O319" s="16">
        <v>51.897641431072984</v>
      </c>
      <c r="P319" s="16">
        <v>85.738663474233604</v>
      </c>
      <c r="Q319" s="16">
        <v>16.220463959973141</v>
      </c>
    </row>
    <row r="320" spans="1:17" ht="12.75" x14ac:dyDescent="0.2">
      <c r="A320" s="4" t="s">
        <v>115</v>
      </c>
      <c r="B320" s="4" t="s">
        <v>119</v>
      </c>
      <c r="C320" s="4" t="s">
        <v>3947</v>
      </c>
      <c r="D320" s="4" t="s">
        <v>3948</v>
      </c>
      <c r="E320" s="4" t="s">
        <v>135</v>
      </c>
      <c r="F320" s="4" t="s">
        <v>11</v>
      </c>
      <c r="G320" s="4" t="s">
        <v>61</v>
      </c>
      <c r="I320" s="4" t="s">
        <v>10</v>
      </c>
      <c r="J320" s="17" t="s">
        <v>3290</v>
      </c>
      <c r="K320" s="16">
        <v>96.184613265727322</v>
      </c>
      <c r="L320" s="16">
        <v>82.083504236349015</v>
      </c>
      <c r="M320" s="16">
        <v>31.228530280409494</v>
      </c>
      <c r="N320" s="16">
        <v>68.138506513175784</v>
      </c>
      <c r="O320" s="16">
        <v>15.031650148194075</v>
      </c>
      <c r="P320" s="16">
        <v>4.6742688557495864</v>
      </c>
      <c r="Q320" s="16">
        <v>93.947598205217119</v>
      </c>
    </row>
    <row r="321" spans="1:17" ht="12.75" x14ac:dyDescent="0.2">
      <c r="A321" s="4" t="s">
        <v>37</v>
      </c>
      <c r="B321" s="4" t="s">
        <v>45</v>
      </c>
      <c r="C321" s="4" t="s">
        <v>3949</v>
      </c>
      <c r="D321" s="4" t="s">
        <v>3950</v>
      </c>
      <c r="E321" s="4" t="s">
        <v>138</v>
      </c>
      <c r="F321" s="4" t="s">
        <v>11</v>
      </c>
      <c r="G321" s="4" t="s">
        <v>72</v>
      </c>
      <c r="H321" s="4" t="s">
        <v>3375</v>
      </c>
      <c r="I321" s="4" t="s">
        <v>10</v>
      </c>
      <c r="J321" s="17" t="s">
        <v>3290</v>
      </c>
      <c r="K321" s="16">
        <v>36.801245696867525</v>
      </c>
      <c r="L321" s="16">
        <v>98.212252938154592</v>
      </c>
      <c r="M321" s="16">
        <v>34.980486089777663</v>
      </c>
      <c r="N321" s="16">
        <v>62.28487813993091</v>
      </c>
      <c r="O321" s="16">
        <v>75.259265180757808</v>
      </c>
      <c r="P321" s="16">
        <v>16.369587024638456</v>
      </c>
      <c r="Q321" s="16">
        <v>40.98301104644748</v>
      </c>
    </row>
    <row r="322" spans="1:17" ht="12.75" x14ac:dyDescent="0.2">
      <c r="A322" s="4" t="s">
        <v>98</v>
      </c>
      <c r="B322" s="4" t="s">
        <v>99</v>
      </c>
      <c r="C322" s="4" t="s">
        <v>3951</v>
      </c>
      <c r="D322" s="4" t="s">
        <v>3952</v>
      </c>
      <c r="E322" s="4" t="s">
        <v>108</v>
      </c>
      <c r="F322" s="4" t="s">
        <v>18</v>
      </c>
      <c r="G322" s="4" t="s">
        <v>61</v>
      </c>
      <c r="H322" s="4"/>
      <c r="I322" s="4" t="s">
        <v>10</v>
      </c>
      <c r="J322" s="17" t="s">
        <v>3290</v>
      </c>
      <c r="K322" s="16">
        <v>54.644906077892955</v>
      </c>
      <c r="L322" s="16">
        <v>77.601309867778951</v>
      </c>
      <c r="M322" s="16">
        <v>86.337566666307552</v>
      </c>
      <c r="N322" s="16">
        <v>9.8717717262130513</v>
      </c>
      <c r="O322" s="16">
        <v>63.313269590661413</v>
      </c>
      <c r="P322" s="16">
        <v>94.652090145632826</v>
      </c>
      <c r="Q322" s="16">
        <v>72.354222522394949</v>
      </c>
    </row>
    <row r="323" spans="1:17" ht="12.75" x14ac:dyDescent="0.2">
      <c r="A323" s="4" t="s">
        <v>115</v>
      </c>
      <c r="B323" s="4" t="s">
        <v>122</v>
      </c>
      <c r="C323" s="4" t="s">
        <v>3953</v>
      </c>
      <c r="D323" s="4" t="s">
        <v>3954</v>
      </c>
      <c r="E323" s="4" t="s">
        <v>129</v>
      </c>
      <c r="F323" s="4" t="s">
        <v>18</v>
      </c>
      <c r="G323" s="4" t="s">
        <v>61</v>
      </c>
      <c r="H323" s="4"/>
      <c r="I323" s="4" t="s">
        <v>10</v>
      </c>
      <c r="J323" s="17" t="s">
        <v>3290</v>
      </c>
      <c r="K323" s="16">
        <v>41.602331288331882</v>
      </c>
      <c r="L323" s="16">
        <v>13.178105564234876</v>
      </c>
      <c r="M323" s="16">
        <v>22.66189928265181</v>
      </c>
      <c r="N323" s="16">
        <v>26.224451967679475</v>
      </c>
      <c r="O323" s="16">
        <v>67.077478328674459</v>
      </c>
      <c r="P323" s="16">
        <v>54.250152427842337</v>
      </c>
      <c r="Q323" s="16">
        <v>23.341229370152771</v>
      </c>
    </row>
    <row r="324" spans="1:17" ht="12.75" x14ac:dyDescent="0.2">
      <c r="A324" s="4" t="s">
        <v>64</v>
      </c>
      <c r="B324" s="4" t="s">
        <v>65</v>
      </c>
      <c r="C324" s="4" t="s">
        <v>3955</v>
      </c>
      <c r="D324" s="4" t="s">
        <v>3956</v>
      </c>
      <c r="E324" s="4" t="s">
        <v>87</v>
      </c>
      <c r="F324" s="4" t="s">
        <v>25</v>
      </c>
      <c r="G324" s="4" t="s">
        <v>72</v>
      </c>
      <c r="H324" s="4"/>
      <c r="I324" s="4" t="s">
        <v>10</v>
      </c>
      <c r="J324" s="17" t="s">
        <v>3290</v>
      </c>
      <c r="K324" s="16">
        <v>2.5696265366266124</v>
      </c>
      <c r="L324" s="16">
        <v>5.3946791570570918</v>
      </c>
      <c r="M324" s="16">
        <v>45.71021541069161</v>
      </c>
      <c r="N324" s="16">
        <v>84.286601519021914</v>
      </c>
      <c r="O324" s="16">
        <v>43.620528458462658</v>
      </c>
      <c r="P324" s="16">
        <v>68.123805743377105</v>
      </c>
      <c r="Q324" s="16">
        <v>58.800475208056959</v>
      </c>
    </row>
    <row r="325" spans="1:17" ht="12.75" x14ac:dyDescent="0.2">
      <c r="A325" s="4" t="s">
        <v>136</v>
      </c>
      <c r="B325" s="4" t="s">
        <v>137</v>
      </c>
      <c r="C325" s="4" t="s">
        <v>3957</v>
      </c>
      <c r="D325" s="4" t="s">
        <v>3958</v>
      </c>
      <c r="E325" s="4" t="s">
        <v>141</v>
      </c>
      <c r="F325" s="4" t="s">
        <v>18</v>
      </c>
      <c r="G325" s="4" t="s">
        <v>41</v>
      </c>
      <c r="H325" s="4" t="s">
        <v>3959</v>
      </c>
      <c r="I325" s="4" t="s">
        <v>10</v>
      </c>
      <c r="J325" s="17" t="s">
        <v>3290</v>
      </c>
      <c r="K325" s="16">
        <v>48.220646512587791</v>
      </c>
      <c r="L325" s="16">
        <v>64.94173750276579</v>
      </c>
      <c r="M325" s="16">
        <v>99.47689862664221</v>
      </c>
      <c r="N325" s="16">
        <v>75.680131664314359</v>
      </c>
      <c r="O325" s="16">
        <v>49.069512714181805</v>
      </c>
      <c r="P325" s="16">
        <v>4.2838716325377053</v>
      </c>
      <c r="Q325" s="16">
        <v>48.28581726649589</v>
      </c>
    </row>
    <row r="326" spans="1:17" ht="12.75" x14ac:dyDescent="0.2">
      <c r="A326" s="4" t="s">
        <v>7</v>
      </c>
      <c r="B326" s="4" t="s">
        <v>23</v>
      </c>
      <c r="C326" s="4" t="s">
        <v>3960</v>
      </c>
      <c r="D326" s="4" t="s">
        <v>3961</v>
      </c>
      <c r="E326" s="4" t="s">
        <v>126</v>
      </c>
      <c r="F326" s="4" t="s">
        <v>18</v>
      </c>
      <c r="G326" s="4" t="s">
        <v>61</v>
      </c>
      <c r="H326" s="4"/>
      <c r="I326" s="4" t="s">
        <v>10</v>
      </c>
      <c r="J326" s="17" t="s">
        <v>3290</v>
      </c>
      <c r="K326" s="16">
        <v>24.876350315312845</v>
      </c>
      <c r="L326" s="16">
        <v>59.444699491915365</v>
      </c>
      <c r="M326" s="16">
        <v>70.73749246697183</v>
      </c>
      <c r="N326" s="16">
        <v>17.440410200462576</v>
      </c>
      <c r="O326" s="16">
        <v>41.091344547547592</v>
      </c>
      <c r="P326" s="16">
        <v>93.389041706229719</v>
      </c>
      <c r="Q326" s="16">
        <v>86.904248099540794</v>
      </c>
    </row>
    <row r="327" spans="1:17" ht="12.75" x14ac:dyDescent="0.2">
      <c r="A327" s="4" t="s">
        <v>115</v>
      </c>
      <c r="B327" s="4" t="s">
        <v>122</v>
      </c>
      <c r="C327" s="4" t="s">
        <v>3962</v>
      </c>
      <c r="D327" s="4" t="s">
        <v>3963</v>
      </c>
      <c r="E327" s="4" t="s">
        <v>114</v>
      </c>
      <c r="F327" s="4" t="s">
        <v>25</v>
      </c>
      <c r="G327" s="4" t="s">
        <v>67</v>
      </c>
      <c r="H327" s="4"/>
      <c r="I327" s="4" t="s">
        <v>10</v>
      </c>
      <c r="J327" s="17" t="s">
        <v>3290</v>
      </c>
      <c r="K327" s="16">
        <v>25.675733406654501</v>
      </c>
      <c r="L327" s="16">
        <v>37.972949346323048</v>
      </c>
      <c r="M327" s="16">
        <v>48.171169476194422</v>
      </c>
      <c r="N327" s="16">
        <v>79.175104095968834</v>
      </c>
      <c r="O327" s="16">
        <v>47.541159144056678</v>
      </c>
      <c r="P327" s="16">
        <v>94.741714477604802</v>
      </c>
      <c r="Q327" s="16">
        <v>20.439504124134032</v>
      </c>
    </row>
    <row r="328" spans="1:17" ht="12.75" x14ac:dyDescent="0.2">
      <c r="A328" s="4" t="s">
        <v>64</v>
      </c>
      <c r="B328" s="4" t="s">
        <v>95</v>
      </c>
      <c r="C328" s="4" t="s">
        <v>3964</v>
      </c>
      <c r="D328" s="4" t="s">
        <v>3965</v>
      </c>
      <c r="E328" s="4" t="s">
        <v>126</v>
      </c>
      <c r="F328" s="4" t="s">
        <v>18</v>
      </c>
      <c r="G328" s="4" t="s">
        <v>61</v>
      </c>
      <c r="H328" s="4"/>
      <c r="I328" s="4" t="s">
        <v>10</v>
      </c>
      <c r="J328" s="17" t="s">
        <v>3290</v>
      </c>
      <c r="K328" s="16">
        <v>99.080406949417892</v>
      </c>
      <c r="L328" s="16">
        <v>8.7431894353885991</v>
      </c>
      <c r="M328" s="16">
        <v>65.288182347035388</v>
      </c>
      <c r="N328" s="16">
        <v>37.325019250371639</v>
      </c>
      <c r="O328" s="16">
        <v>33.28163461473045</v>
      </c>
      <c r="P328" s="16">
        <v>60.34466940408992</v>
      </c>
      <c r="Q328" s="16">
        <v>49.714119340749775</v>
      </c>
    </row>
    <row r="329" spans="1:17" ht="12.75" x14ac:dyDescent="0.2">
      <c r="A329" s="4" t="s">
        <v>115</v>
      </c>
      <c r="B329" s="4" t="s">
        <v>119</v>
      </c>
      <c r="C329" s="4" t="s">
        <v>3966</v>
      </c>
      <c r="D329" s="4" t="s">
        <v>3967</v>
      </c>
      <c r="E329" s="4" t="s">
        <v>135</v>
      </c>
      <c r="F329" s="4" t="s">
        <v>32</v>
      </c>
      <c r="G329" s="4" t="s">
        <v>61</v>
      </c>
      <c r="I329" s="4" t="s">
        <v>10</v>
      </c>
      <c r="J329" s="17" t="s">
        <v>3290</v>
      </c>
      <c r="K329" s="16">
        <v>36.072778209189892</v>
      </c>
      <c r="L329" s="16">
        <v>59.712709583396915</v>
      </c>
      <c r="M329" s="16">
        <v>97.837860623982849</v>
      </c>
      <c r="N329" s="16">
        <v>41.621028299210991</v>
      </c>
      <c r="O329" s="16">
        <v>86.421749032844048</v>
      </c>
      <c r="P329" s="16">
        <v>71.05881258595123</v>
      </c>
      <c r="Q329" s="16">
        <v>28.890977716092102</v>
      </c>
    </row>
    <row r="330" spans="1:17" ht="12.75" x14ac:dyDescent="0.2">
      <c r="A330" s="4" t="s">
        <v>64</v>
      </c>
      <c r="B330" s="4" t="s">
        <v>82</v>
      </c>
      <c r="C330" s="4" t="s">
        <v>3968</v>
      </c>
      <c r="D330" s="4" t="s">
        <v>3969</v>
      </c>
      <c r="E330" s="4" t="s">
        <v>126</v>
      </c>
      <c r="F330" s="4" t="s">
        <v>18</v>
      </c>
      <c r="G330" s="4" t="s">
        <v>61</v>
      </c>
      <c r="H330" s="4"/>
      <c r="I330" s="4" t="s">
        <v>10</v>
      </c>
      <c r="J330" s="17" t="s">
        <v>3290</v>
      </c>
      <c r="K330" s="16">
        <v>25.594381190680902</v>
      </c>
      <c r="L330" s="16">
        <v>20.382480154176974</v>
      </c>
      <c r="M330" s="16">
        <v>18.783733578829608</v>
      </c>
      <c r="N330" s="16">
        <v>15.80642041108592</v>
      </c>
      <c r="O330" s="16">
        <v>91.472405675613018</v>
      </c>
      <c r="P330" s="16">
        <v>96.1322897478654</v>
      </c>
      <c r="Q330" s="16">
        <v>63.961399131995179</v>
      </c>
    </row>
    <row r="331" spans="1:17" ht="12.75" x14ac:dyDescent="0.2">
      <c r="A331" s="4" t="s">
        <v>115</v>
      </c>
      <c r="B331" s="4" t="s">
        <v>116</v>
      </c>
      <c r="C331" s="4" t="s">
        <v>3970</v>
      </c>
      <c r="D331" s="4" t="s">
        <v>3971</v>
      </c>
      <c r="E331" s="4" t="s">
        <v>126</v>
      </c>
      <c r="F331" s="4" t="s">
        <v>18</v>
      </c>
      <c r="G331" s="4" t="s">
        <v>61</v>
      </c>
      <c r="H331" s="4"/>
      <c r="I331" s="4" t="s">
        <v>10</v>
      </c>
      <c r="J331" s="17" t="s">
        <v>3290</v>
      </c>
      <c r="K331" s="16">
        <v>69.286858560411318</v>
      </c>
      <c r="L331" s="16">
        <v>80.769076884127728</v>
      </c>
      <c r="M331" s="16">
        <v>73.793575279418832</v>
      </c>
      <c r="N331" s="16">
        <v>88.439041279034868</v>
      </c>
      <c r="O331" s="16">
        <v>94.679712692184907</v>
      </c>
      <c r="P331" s="16">
        <v>79.733295239701434</v>
      </c>
      <c r="Q331" s="16">
        <v>71.688353103981058</v>
      </c>
    </row>
    <row r="332" spans="1:17" ht="12.75" x14ac:dyDescent="0.2">
      <c r="A332" s="4" t="s">
        <v>64</v>
      </c>
      <c r="B332" s="4" t="s">
        <v>82</v>
      </c>
      <c r="C332" s="4" t="s">
        <v>3972</v>
      </c>
      <c r="D332" s="4" t="s">
        <v>3973</v>
      </c>
      <c r="E332" s="4" t="s">
        <v>126</v>
      </c>
      <c r="F332" s="4" t="s">
        <v>18</v>
      </c>
      <c r="G332" s="4" t="s">
        <v>61</v>
      </c>
      <c r="H332" s="4"/>
      <c r="I332" s="4" t="s">
        <v>10</v>
      </c>
      <c r="J332" s="17" t="s">
        <v>3290</v>
      </c>
      <c r="K332" s="16">
        <v>46.203000794074633</v>
      </c>
      <c r="L332" s="16">
        <v>0.99105665094556539</v>
      </c>
      <c r="M332" s="16">
        <v>29.433522489917252</v>
      </c>
      <c r="N332" s="16">
        <v>89.170070025506973</v>
      </c>
      <c r="O332" s="16">
        <v>65.586128404987079</v>
      </c>
      <c r="P332" s="16">
        <v>12.389224276047383</v>
      </c>
      <c r="Q332" s="16">
        <v>86.398769979718296</v>
      </c>
    </row>
    <row r="333" spans="1:17" ht="12.75" x14ac:dyDescent="0.2">
      <c r="A333" s="4" t="s">
        <v>98</v>
      </c>
      <c r="B333" s="4" t="s">
        <v>110</v>
      </c>
      <c r="C333" s="4" t="s">
        <v>3974</v>
      </c>
      <c r="D333" s="4" t="s">
        <v>3975</v>
      </c>
      <c r="E333" s="4" t="s">
        <v>129</v>
      </c>
      <c r="F333" s="4" t="s">
        <v>18</v>
      </c>
      <c r="G333" s="4" t="s">
        <v>19</v>
      </c>
      <c r="H333" s="4" t="s">
        <v>10</v>
      </c>
      <c r="I333" s="4" t="s">
        <v>10</v>
      </c>
      <c r="J333" s="17" t="s">
        <v>3290</v>
      </c>
      <c r="K333" s="16">
        <v>99.414477522149951</v>
      </c>
      <c r="L333" s="16">
        <v>31.168315341892207</v>
      </c>
      <c r="M333" s="16">
        <v>9.2127008578821723</v>
      </c>
      <c r="N333" s="16">
        <v>17.772445083430298</v>
      </c>
      <c r="O333" s="16">
        <v>66.856214814859172</v>
      </c>
      <c r="P333" s="16">
        <v>60.035514964516324</v>
      </c>
      <c r="Q333" s="16">
        <v>25.446808739087047</v>
      </c>
    </row>
    <row r="334" spans="1:17" ht="12.75" x14ac:dyDescent="0.2">
      <c r="A334" s="4" t="s">
        <v>115</v>
      </c>
      <c r="B334" s="4" t="s">
        <v>119</v>
      </c>
      <c r="C334" s="4" t="s">
        <v>3976</v>
      </c>
      <c r="D334" s="4" t="s">
        <v>3977</v>
      </c>
      <c r="E334" s="4" t="s">
        <v>129</v>
      </c>
      <c r="F334" s="4" t="s">
        <v>18</v>
      </c>
      <c r="G334" s="4" t="s">
        <v>61</v>
      </c>
      <c r="I334" s="4" t="s">
        <v>10</v>
      </c>
      <c r="J334" s="17" t="s">
        <v>3290</v>
      </c>
      <c r="K334" s="16">
        <v>81.72479920451309</v>
      </c>
      <c r="L334" s="16">
        <v>84.700916259464876</v>
      </c>
      <c r="M334" s="16">
        <v>22.791839731692733</v>
      </c>
      <c r="N334" s="16">
        <v>2.4321973258328633</v>
      </c>
      <c r="O334" s="16">
        <v>38.180901248331423</v>
      </c>
      <c r="P334" s="16">
        <v>26.536072299612869</v>
      </c>
      <c r="Q334" s="16">
        <v>68.689639689393061</v>
      </c>
    </row>
    <row r="335" spans="1:17" ht="12.75" x14ac:dyDescent="0.2">
      <c r="A335" s="4" t="s">
        <v>136</v>
      </c>
      <c r="B335" s="4" t="s">
        <v>137</v>
      </c>
      <c r="C335" s="4" t="s">
        <v>3978</v>
      </c>
      <c r="D335" s="4" t="s">
        <v>3979</v>
      </c>
      <c r="E335" s="4" t="s">
        <v>108</v>
      </c>
      <c r="F335" s="4" t="s">
        <v>18</v>
      </c>
      <c r="G335" s="4" t="s">
        <v>41</v>
      </c>
      <c r="H335" s="4" t="s">
        <v>3959</v>
      </c>
      <c r="I335" s="4" t="s">
        <v>10</v>
      </c>
      <c r="J335" s="17" t="s">
        <v>3290</v>
      </c>
      <c r="K335" s="16">
        <v>58.412089070264472</v>
      </c>
      <c r="L335" s="16">
        <v>18.000180043284786</v>
      </c>
      <c r="M335" s="16">
        <v>73.510840359724597</v>
      </c>
      <c r="N335" s="16">
        <v>23.545363147458854</v>
      </c>
      <c r="O335" s="16">
        <v>0.28754744732130133</v>
      </c>
      <c r="P335" s="16">
        <v>77.471616772053622</v>
      </c>
      <c r="Q335" s="16">
        <v>37.010893707231254</v>
      </c>
    </row>
    <row r="336" spans="1:17" ht="12.75" x14ac:dyDescent="0.2">
      <c r="A336" s="4" t="s">
        <v>136</v>
      </c>
      <c r="B336" s="4" t="s">
        <v>137</v>
      </c>
      <c r="C336" s="4" t="s">
        <v>3980</v>
      </c>
      <c r="D336" s="4" t="s">
        <v>3981</v>
      </c>
      <c r="E336" s="4" t="s">
        <v>111</v>
      </c>
      <c r="F336" s="4" t="s">
        <v>18</v>
      </c>
      <c r="G336" s="4" t="s">
        <v>41</v>
      </c>
      <c r="H336" s="4"/>
      <c r="I336" s="4" t="s">
        <v>10</v>
      </c>
      <c r="J336" s="17" t="s">
        <v>3290</v>
      </c>
      <c r="K336" s="16">
        <v>32.405964913436605</v>
      </c>
      <c r="L336" s="16">
        <v>45.87255339275729</v>
      </c>
      <c r="M336" s="16">
        <v>66.097998159970572</v>
      </c>
      <c r="N336" s="16">
        <v>67.454146382460635</v>
      </c>
      <c r="O336" s="16">
        <v>13.322720582602287</v>
      </c>
      <c r="P336" s="16">
        <v>67.76232782048632</v>
      </c>
      <c r="Q336" s="16">
        <v>47.441531366822211</v>
      </c>
    </row>
    <row r="337" spans="1:17" ht="12.75" x14ac:dyDescent="0.2">
      <c r="A337" s="4" t="s">
        <v>136</v>
      </c>
      <c r="B337" s="4" t="s">
        <v>137</v>
      </c>
      <c r="C337" s="4" t="s">
        <v>3982</v>
      </c>
      <c r="D337" s="4" t="s">
        <v>3983</v>
      </c>
      <c r="E337" s="4" t="s">
        <v>108</v>
      </c>
      <c r="F337" s="4" t="s">
        <v>25</v>
      </c>
      <c r="G337" s="4" t="s">
        <v>41</v>
      </c>
      <c r="H337" s="4"/>
      <c r="I337" s="4" t="s">
        <v>10</v>
      </c>
      <c r="J337" s="17" t="s">
        <v>3290</v>
      </c>
      <c r="K337" s="16">
        <v>25.320248429025447</v>
      </c>
      <c r="L337" s="16">
        <v>86.540991658185291</v>
      </c>
      <c r="M337" s="16">
        <v>97.138972839143435</v>
      </c>
      <c r="N337" s="16">
        <v>87.941018312019239</v>
      </c>
      <c r="O337" s="16">
        <v>16.840227474990833</v>
      </c>
      <c r="P337" s="16">
        <v>61.980198895074444</v>
      </c>
      <c r="Q337" s="16">
        <v>8.338555523251312</v>
      </c>
    </row>
    <row r="338" spans="1:17" ht="12.75" x14ac:dyDescent="0.2">
      <c r="A338" s="4" t="s">
        <v>115</v>
      </c>
      <c r="B338" s="4" t="s">
        <v>122</v>
      </c>
      <c r="C338" s="4" t="s">
        <v>3984</v>
      </c>
      <c r="D338" s="4" t="s">
        <v>3985</v>
      </c>
      <c r="E338" s="4" t="s">
        <v>129</v>
      </c>
      <c r="F338" s="4" t="s">
        <v>18</v>
      </c>
      <c r="G338" s="4" t="s">
        <v>12</v>
      </c>
      <c r="H338" s="4"/>
      <c r="I338" s="4" t="s">
        <v>10</v>
      </c>
      <c r="J338" s="17" t="s">
        <v>3290</v>
      </c>
      <c r="K338" s="16">
        <v>23.352450713196195</v>
      </c>
      <c r="L338" s="16">
        <v>39.605531707332709</v>
      </c>
      <c r="M338" s="16">
        <v>26.520670693386663</v>
      </c>
      <c r="N338" s="16">
        <v>83.792976716922681</v>
      </c>
      <c r="O338" s="16">
        <v>41.210379361657857</v>
      </c>
      <c r="P338" s="16">
        <v>56.127718716889731</v>
      </c>
      <c r="Q338" s="16">
        <v>79.481228265089243</v>
      </c>
    </row>
    <row r="339" spans="1:17" ht="12.75" x14ac:dyDescent="0.2">
      <c r="A339" s="4" t="s">
        <v>115</v>
      </c>
      <c r="B339" s="4" t="s">
        <v>119</v>
      </c>
      <c r="C339" s="4" t="s">
        <v>3986</v>
      </c>
      <c r="D339" s="4" t="s">
        <v>3987</v>
      </c>
      <c r="E339" s="4" t="s">
        <v>135</v>
      </c>
      <c r="F339" s="4" t="s">
        <v>18</v>
      </c>
      <c r="G339" s="4" t="s">
        <v>61</v>
      </c>
      <c r="H339" s="4" t="s">
        <v>3988</v>
      </c>
      <c r="I339" s="4" t="s">
        <v>10</v>
      </c>
      <c r="J339" s="17" t="s">
        <v>3290</v>
      </c>
      <c r="K339" s="16">
        <v>26.890572143489479</v>
      </c>
      <c r="L339" s="16">
        <v>64.314137581392401</v>
      </c>
      <c r="M339" s="16">
        <v>85.505692113567576</v>
      </c>
      <c r="N339" s="16">
        <v>0.39427238455735925</v>
      </c>
      <c r="O339" s="16">
        <v>49.816413089772851</v>
      </c>
      <c r="P339" s="16">
        <v>33.897419900494604</v>
      </c>
      <c r="Q339" s="16">
        <v>35.025993936677658</v>
      </c>
    </row>
    <row r="340" spans="1:17" ht="12.75" x14ac:dyDescent="0.2">
      <c r="A340" s="4" t="s">
        <v>115</v>
      </c>
      <c r="B340" s="4" t="s">
        <v>116</v>
      </c>
      <c r="C340" s="4" t="s">
        <v>3989</v>
      </c>
      <c r="D340" s="4" t="s">
        <v>3990</v>
      </c>
      <c r="E340" s="4" t="s">
        <v>108</v>
      </c>
      <c r="F340" s="4" t="s">
        <v>25</v>
      </c>
      <c r="G340" s="4" t="s">
        <v>61</v>
      </c>
      <c r="H340" s="4"/>
      <c r="I340" s="4" t="s">
        <v>10</v>
      </c>
      <c r="J340" s="17" t="s">
        <v>3290</v>
      </c>
      <c r="K340" s="16">
        <v>97.860479667867608</v>
      </c>
      <c r="L340" s="16">
        <v>79.755448085204875</v>
      </c>
      <c r="M340" s="16">
        <v>15.1382441115405</v>
      </c>
      <c r="N340" s="16">
        <v>29.39149047463966</v>
      </c>
      <c r="O340" s="16">
        <v>81.060645701369225</v>
      </c>
      <c r="P340" s="16">
        <v>93.859523291777961</v>
      </c>
      <c r="Q340" s="16">
        <v>89.290444305564748</v>
      </c>
    </row>
    <row r="341" spans="1:17" ht="12.75" x14ac:dyDescent="0.2">
      <c r="A341" s="4" t="s">
        <v>98</v>
      </c>
      <c r="B341" s="4" t="s">
        <v>102</v>
      </c>
      <c r="C341" s="4" t="s">
        <v>3991</v>
      </c>
      <c r="D341" s="4" t="s">
        <v>3992</v>
      </c>
      <c r="E341" s="4" t="s">
        <v>108</v>
      </c>
      <c r="F341" s="4" t="s">
        <v>18</v>
      </c>
      <c r="G341" s="4" t="s">
        <v>61</v>
      </c>
      <c r="H341" s="4"/>
      <c r="I341" s="4" t="s">
        <v>10</v>
      </c>
      <c r="J341" s="17" t="s">
        <v>3290</v>
      </c>
      <c r="K341" s="16">
        <v>21.763691121427154</v>
      </c>
      <c r="L341" s="16">
        <v>44.089606988262652</v>
      </c>
      <c r="M341" s="16">
        <v>53.78338259301605</v>
      </c>
      <c r="N341" s="16">
        <v>83.075464783361184</v>
      </c>
      <c r="O341" s="16">
        <v>28.82383117543792</v>
      </c>
      <c r="P341" s="16">
        <v>16.589207436828111</v>
      </c>
      <c r="Q341" s="16">
        <v>87.017815582061147</v>
      </c>
    </row>
    <row r="342" spans="1:17" ht="12.75" x14ac:dyDescent="0.2">
      <c r="A342" s="4" t="s">
        <v>136</v>
      </c>
      <c r="B342" s="4" t="s">
        <v>137</v>
      </c>
      <c r="C342" s="4" t="s">
        <v>3993</v>
      </c>
      <c r="D342" s="4" t="s">
        <v>3994</v>
      </c>
      <c r="E342" s="4" t="s">
        <v>108</v>
      </c>
      <c r="F342" s="4" t="s">
        <v>32</v>
      </c>
      <c r="G342" s="4"/>
      <c r="H342" s="4" t="s">
        <v>3995</v>
      </c>
      <c r="I342" s="4" t="s">
        <v>10</v>
      </c>
      <c r="J342" s="17" t="s">
        <v>3290</v>
      </c>
      <c r="K342" s="16">
        <v>83.481607749873191</v>
      </c>
      <c r="L342" s="16">
        <v>48.953300802184984</v>
      </c>
      <c r="M342" s="16">
        <v>96.002652417048566</v>
      </c>
      <c r="N342" s="16">
        <v>9.9709452703756529</v>
      </c>
      <c r="O342" s="16">
        <v>48.832108334405291</v>
      </c>
      <c r="P342" s="16">
        <v>83.936650231719383</v>
      </c>
      <c r="Q342" s="16">
        <v>49.662416264841966</v>
      </c>
    </row>
    <row r="343" spans="1:17" ht="12.75" x14ac:dyDescent="0.2">
      <c r="A343" s="4" t="s">
        <v>7</v>
      </c>
      <c r="B343" s="4" t="s">
        <v>16</v>
      </c>
      <c r="C343" s="4" t="s">
        <v>3996</v>
      </c>
      <c r="D343" s="4" t="s">
        <v>3997</v>
      </c>
      <c r="E343" s="4" t="s">
        <v>126</v>
      </c>
      <c r="F343" s="4" t="s">
        <v>18</v>
      </c>
      <c r="G343" s="4"/>
      <c r="H343" s="4" t="s">
        <v>10</v>
      </c>
      <c r="I343" s="4" t="s">
        <v>10</v>
      </c>
      <c r="J343" s="17" t="s">
        <v>3290</v>
      </c>
      <c r="K343" s="16">
        <v>6.6247868530950216</v>
      </c>
      <c r="L343" s="16">
        <v>87.630362795734698</v>
      </c>
      <c r="M343" s="16">
        <v>93.535497546985297</v>
      </c>
      <c r="N343" s="16">
        <v>93.309306772554237</v>
      </c>
      <c r="O343" s="16">
        <v>44.129217194338963</v>
      </c>
      <c r="P343" s="16">
        <v>2.6673013565194581</v>
      </c>
      <c r="Q343" s="16">
        <v>7.4558222400699758</v>
      </c>
    </row>
    <row r="344" spans="1:17" ht="12.75" x14ac:dyDescent="0.2">
      <c r="A344" s="4" t="s">
        <v>136</v>
      </c>
      <c r="B344" s="4" t="s">
        <v>137</v>
      </c>
      <c r="C344" s="4" t="s">
        <v>3998</v>
      </c>
      <c r="D344" s="4" t="s">
        <v>3999</v>
      </c>
      <c r="E344" s="4" t="s">
        <v>114</v>
      </c>
      <c r="F344" s="4" t="s">
        <v>25</v>
      </c>
      <c r="G344" s="4"/>
      <c r="H344" s="4" t="s">
        <v>3289</v>
      </c>
      <c r="I344" s="4" t="s">
        <v>10</v>
      </c>
      <c r="J344" s="17" t="s">
        <v>3290</v>
      </c>
      <c r="K344" s="16">
        <v>87.748128901749027</v>
      </c>
      <c r="L344" s="16">
        <v>8.2345694300018266</v>
      </c>
      <c r="M344" s="16">
        <v>57.7710955071258</v>
      </c>
      <c r="N344" s="16">
        <v>49.718598082525602</v>
      </c>
      <c r="O344" s="16">
        <v>47.816137395593117</v>
      </c>
      <c r="P344" s="16">
        <v>58.913573521575138</v>
      </c>
      <c r="Q344" s="16">
        <v>61.168399238040941</v>
      </c>
    </row>
    <row r="345" spans="1:17" ht="12.75" x14ac:dyDescent="0.2">
      <c r="A345" s="4" t="s">
        <v>115</v>
      </c>
      <c r="B345" s="4" t="s">
        <v>128</v>
      </c>
      <c r="C345" s="4" t="s">
        <v>4000</v>
      </c>
      <c r="D345" s="4" t="s">
        <v>4001</v>
      </c>
      <c r="E345" s="4" t="s">
        <v>83</v>
      </c>
      <c r="F345" s="4" t="s">
        <v>18</v>
      </c>
      <c r="G345" s="4" t="s">
        <v>61</v>
      </c>
      <c r="H345" s="4" t="s">
        <v>3718</v>
      </c>
      <c r="I345" s="4" t="s">
        <v>10</v>
      </c>
      <c r="J345" s="17" t="s">
        <v>3290</v>
      </c>
      <c r="K345" s="16">
        <v>1.5869691802021579</v>
      </c>
      <c r="L345" s="16">
        <v>73.723343434994192</v>
      </c>
      <c r="M345" s="16">
        <v>17.148814810087909</v>
      </c>
      <c r="N345" s="16">
        <v>61.208650140079357</v>
      </c>
      <c r="O345" s="16">
        <v>86.17471770951812</v>
      </c>
      <c r="P345" s="16">
        <v>93.788441731248881</v>
      </c>
      <c r="Q345" s="16">
        <v>74.284658621162151</v>
      </c>
    </row>
    <row r="346" spans="1:17" ht="12.75" x14ac:dyDescent="0.2">
      <c r="A346" s="4" t="s">
        <v>115</v>
      </c>
      <c r="B346" s="4" t="s">
        <v>116</v>
      </c>
      <c r="C346" s="4" t="s">
        <v>4002</v>
      </c>
      <c r="D346" s="4" t="s">
        <v>4003</v>
      </c>
      <c r="E346" s="4" t="s">
        <v>108</v>
      </c>
      <c r="F346" s="4" t="s">
        <v>25</v>
      </c>
      <c r="G346" s="4" t="s">
        <v>61</v>
      </c>
      <c r="I346" s="4" t="s">
        <v>10</v>
      </c>
      <c r="J346" s="17" t="s">
        <v>3290</v>
      </c>
      <c r="K346" s="16">
        <v>45.441704728201081</v>
      </c>
      <c r="L346" s="16">
        <v>84.649281854835152</v>
      </c>
      <c r="M346" s="16">
        <v>45.027292053551626</v>
      </c>
      <c r="N346" s="16">
        <v>89.001798777182813</v>
      </c>
      <c r="O346" s="16">
        <v>17.956320791123005</v>
      </c>
      <c r="P346" s="16">
        <v>68.217735273291964</v>
      </c>
      <c r="Q346" s="16">
        <v>88.067482579327518</v>
      </c>
    </row>
    <row r="347" spans="1:17" ht="12.75" x14ac:dyDescent="0.2">
      <c r="A347" s="4" t="s">
        <v>98</v>
      </c>
      <c r="B347" s="4" t="s">
        <v>105</v>
      </c>
      <c r="C347" s="4" t="s">
        <v>4004</v>
      </c>
      <c r="D347" s="4" t="s">
        <v>4005</v>
      </c>
      <c r="E347" s="4" t="s">
        <v>83</v>
      </c>
      <c r="F347" s="4" t="s">
        <v>25</v>
      </c>
      <c r="G347" s="4" t="s">
        <v>41</v>
      </c>
      <c r="H347" s="4"/>
      <c r="I347" s="4" t="s">
        <v>10</v>
      </c>
      <c r="J347" s="17" t="s">
        <v>3290</v>
      </c>
      <c r="K347" s="16">
        <v>82.581650615098553</v>
      </c>
      <c r="L347" s="16">
        <v>99.909834823774261</v>
      </c>
      <c r="M347" s="16">
        <v>59.252017643085885</v>
      </c>
      <c r="N347" s="16">
        <v>87.356081433053973</v>
      </c>
      <c r="O347" s="16">
        <v>80.943271240274854</v>
      </c>
      <c r="P347" s="16">
        <v>6.6560506951581333</v>
      </c>
      <c r="Q347" s="16">
        <v>67.68879023577523</v>
      </c>
    </row>
    <row r="348" spans="1:17" ht="12.75" x14ac:dyDescent="0.2">
      <c r="A348" s="4" t="s">
        <v>98</v>
      </c>
      <c r="B348" s="4" t="s">
        <v>105</v>
      </c>
      <c r="C348" s="4" t="s">
        <v>4006</v>
      </c>
      <c r="D348" s="4" t="s">
        <v>4007</v>
      </c>
      <c r="E348" s="4" t="s">
        <v>83</v>
      </c>
      <c r="F348" s="4" t="s">
        <v>25</v>
      </c>
      <c r="G348" s="4" t="s">
        <v>61</v>
      </c>
      <c r="H348" s="4"/>
      <c r="I348" s="4" t="s">
        <v>10</v>
      </c>
      <c r="J348" s="17" t="s">
        <v>3290</v>
      </c>
      <c r="K348" s="16">
        <v>98.92890430302154</v>
      </c>
      <c r="L348" s="16">
        <v>77.019762509578683</v>
      </c>
      <c r="M348" s="16">
        <v>17.49279072788643</v>
      </c>
      <c r="N348" s="16">
        <v>18.893970233116185</v>
      </c>
      <c r="O348" s="16">
        <v>82.040340109265841</v>
      </c>
      <c r="P348" s="16">
        <v>4.4817302188180808</v>
      </c>
      <c r="Q348" s="16">
        <v>94.044882790902889</v>
      </c>
    </row>
    <row r="349" spans="1:17" ht="12.75" x14ac:dyDescent="0.2">
      <c r="A349" s="4" t="s">
        <v>98</v>
      </c>
      <c r="B349" s="4" t="s">
        <v>107</v>
      </c>
      <c r="C349" s="4" t="s">
        <v>4008</v>
      </c>
      <c r="D349" s="4" t="s">
        <v>4009</v>
      </c>
      <c r="E349" s="4" t="s">
        <v>108</v>
      </c>
      <c r="F349" s="4" t="s">
        <v>32</v>
      </c>
      <c r="G349" s="4" t="s">
        <v>41</v>
      </c>
      <c r="I349" s="4" t="s">
        <v>10</v>
      </c>
      <c r="J349" s="17" t="s">
        <v>3290</v>
      </c>
      <c r="K349" s="16">
        <v>71.492060516300114</v>
      </c>
      <c r="L349" s="16">
        <v>32.138613705249874</v>
      </c>
      <c r="M349" s="16">
        <v>39.497582366002085</v>
      </c>
      <c r="N349" s="16">
        <v>28.54658367549391</v>
      </c>
      <c r="O349" s="16">
        <v>24.68401605618017</v>
      </c>
      <c r="P349" s="16">
        <v>91.036294680111169</v>
      </c>
      <c r="Q349" s="16">
        <v>14.780338531902704</v>
      </c>
    </row>
    <row r="350" spans="1:17" ht="12.75" x14ac:dyDescent="0.2">
      <c r="A350" s="4" t="s">
        <v>98</v>
      </c>
      <c r="B350" s="4" t="s">
        <v>110</v>
      </c>
      <c r="C350" s="4" t="s">
        <v>4010</v>
      </c>
      <c r="D350" s="4" t="s">
        <v>4011</v>
      </c>
      <c r="E350" s="4" t="s">
        <v>114</v>
      </c>
      <c r="F350" s="4" t="s">
        <v>25</v>
      </c>
      <c r="G350" s="4" t="s">
        <v>41</v>
      </c>
      <c r="H350" s="4" t="s">
        <v>4012</v>
      </c>
      <c r="I350" s="4" t="s">
        <v>10</v>
      </c>
      <c r="J350" s="17" t="s">
        <v>3290</v>
      </c>
      <c r="K350" s="16">
        <v>73.291043095793398</v>
      </c>
      <c r="L350" s="16">
        <v>35.281046902836607</v>
      </c>
      <c r="M350" s="16">
        <v>51.853274299080908</v>
      </c>
      <c r="N350" s="16">
        <v>57.832261571821064</v>
      </c>
      <c r="O350" s="16">
        <v>95.769016813353886</v>
      </c>
      <c r="P350" s="16">
        <v>7.5376894590633796</v>
      </c>
      <c r="Q350" s="16">
        <v>60.876752240296625</v>
      </c>
    </row>
    <row r="351" spans="1:17" ht="12.75" x14ac:dyDescent="0.2">
      <c r="A351" s="4" t="s">
        <v>7</v>
      </c>
      <c r="B351" s="4" t="s">
        <v>8</v>
      </c>
      <c r="C351" s="4" t="s">
        <v>4013</v>
      </c>
      <c r="D351" s="4" t="s">
        <v>4014</v>
      </c>
      <c r="E351" s="4" t="s">
        <v>87</v>
      </c>
      <c r="F351" s="4" t="s">
        <v>11</v>
      </c>
      <c r="G351" s="4" t="s">
        <v>41</v>
      </c>
      <c r="I351" s="4" t="s">
        <v>10</v>
      </c>
      <c r="J351" s="17" t="s">
        <v>3290</v>
      </c>
      <c r="K351" s="16">
        <v>37.436037020955183</v>
      </c>
      <c r="L351" s="16">
        <v>86.653565672084838</v>
      </c>
      <c r="M351" s="16">
        <v>78.688138540930552</v>
      </c>
      <c r="N351" s="16">
        <v>98.884697033626495</v>
      </c>
      <c r="O351" s="16">
        <v>35.687678347129427</v>
      </c>
      <c r="P351" s="16">
        <v>51.963054889390136</v>
      </c>
      <c r="Q351" s="16">
        <v>17.851499744999842</v>
      </c>
    </row>
    <row r="352" spans="1:17" ht="12.75" x14ac:dyDescent="0.2">
      <c r="A352" s="4" t="s">
        <v>115</v>
      </c>
      <c r="B352" s="4" t="s">
        <v>116</v>
      </c>
      <c r="C352" s="4" t="s">
        <v>4015</v>
      </c>
      <c r="D352" s="4" t="s">
        <v>4016</v>
      </c>
      <c r="E352" s="4" t="s">
        <v>126</v>
      </c>
      <c r="F352" s="4" t="s">
        <v>18</v>
      </c>
      <c r="G352" s="4" t="s">
        <v>61</v>
      </c>
      <c r="H352" s="4"/>
      <c r="I352" s="4" t="s">
        <v>10</v>
      </c>
      <c r="J352" s="17" t="s">
        <v>3290</v>
      </c>
      <c r="K352" s="16">
        <v>23.683436593847862</v>
      </c>
      <c r="L352" s="16">
        <v>54.084154854038033</v>
      </c>
      <c r="M352" s="16">
        <v>65.961194246313013</v>
      </c>
      <c r="N352" s="16">
        <v>57.370810141558962</v>
      </c>
      <c r="O352" s="16">
        <v>95.337920561831524</v>
      </c>
      <c r="P352" s="16">
        <v>41.259965108685826</v>
      </c>
      <c r="Q352" s="16">
        <v>66.11006789460221</v>
      </c>
    </row>
    <row r="353" spans="1:18" ht="12.75" x14ac:dyDescent="0.2">
      <c r="A353" s="4" t="s">
        <v>64</v>
      </c>
      <c r="B353" s="4" t="s">
        <v>89</v>
      </c>
      <c r="C353" s="4" t="s">
        <v>4017</v>
      </c>
      <c r="D353" s="4" t="s">
        <v>4018</v>
      </c>
      <c r="E353" s="4" t="s">
        <v>108</v>
      </c>
      <c r="F353" s="4" t="s">
        <v>18</v>
      </c>
      <c r="G353" s="4" t="s">
        <v>41</v>
      </c>
      <c r="H353" s="4"/>
      <c r="I353" s="4" t="s">
        <v>10</v>
      </c>
      <c r="J353" s="17" t="s">
        <v>3290</v>
      </c>
      <c r="K353" s="16">
        <v>23.835127272581691</v>
      </c>
      <c r="L353" s="16">
        <v>6.7054645487365843</v>
      </c>
      <c r="M353" s="16">
        <v>82.213680755969818</v>
      </c>
      <c r="N353" s="16">
        <v>94.944747540214308</v>
      </c>
      <c r="O353" s="16">
        <v>11.432073681673904</v>
      </c>
      <c r="P353" s="16">
        <v>96.999379112869818</v>
      </c>
      <c r="Q353" s="16">
        <v>92.17121061800772</v>
      </c>
    </row>
    <row r="354" spans="1:18" ht="12.75" x14ac:dyDescent="0.2">
      <c r="A354" s="4" t="s">
        <v>7</v>
      </c>
      <c r="B354" s="4" t="s">
        <v>8</v>
      </c>
      <c r="C354" s="4" t="s">
        <v>4019</v>
      </c>
      <c r="D354" s="4" t="s">
        <v>4020</v>
      </c>
      <c r="E354" s="4" t="s">
        <v>108</v>
      </c>
      <c r="F354" s="4" t="s">
        <v>32</v>
      </c>
      <c r="G354" s="4" t="s">
        <v>61</v>
      </c>
      <c r="I354" s="4" t="s">
        <v>10</v>
      </c>
      <c r="J354" s="17" t="s">
        <v>3290</v>
      </c>
      <c r="K354" s="16">
        <v>12.575059282983315</v>
      </c>
      <c r="L354" s="16">
        <v>32.130667699937057</v>
      </c>
      <c r="M354" s="16">
        <v>35.853359632806914</v>
      </c>
      <c r="N354" s="16">
        <v>95.438489574562951</v>
      </c>
      <c r="O354" s="16">
        <v>65.821252250098354</v>
      </c>
      <c r="P354" s="16">
        <v>5.3096024440683838</v>
      </c>
      <c r="Q354" s="16">
        <v>5.4931308096035085</v>
      </c>
    </row>
    <row r="355" spans="1:18" ht="12.75" x14ac:dyDescent="0.2">
      <c r="A355" s="4" t="s">
        <v>64</v>
      </c>
      <c r="B355" s="4" t="s">
        <v>95</v>
      </c>
      <c r="C355" s="4" t="s">
        <v>4021</v>
      </c>
      <c r="D355" s="4" t="s">
        <v>4022</v>
      </c>
      <c r="E355" s="4" t="s">
        <v>135</v>
      </c>
      <c r="F355" s="4" t="s">
        <v>18</v>
      </c>
      <c r="G355" s="4" t="s">
        <v>61</v>
      </c>
      <c r="H355" s="4"/>
      <c r="I355" s="4" t="s">
        <v>10</v>
      </c>
      <c r="J355" s="17" t="s">
        <v>3290</v>
      </c>
      <c r="K355" s="16">
        <v>91.108811731396727</v>
      </c>
      <c r="L355" s="16">
        <v>47.617884216825622</v>
      </c>
      <c r="M355" s="16">
        <v>59.667551115337638</v>
      </c>
      <c r="N355" s="16">
        <v>54.850631542600439</v>
      </c>
      <c r="O355" s="16">
        <v>8.1597903391699926</v>
      </c>
      <c r="P355" s="16">
        <v>31.168979306481326</v>
      </c>
      <c r="Q355" s="16">
        <v>48.528469200823785</v>
      </c>
    </row>
    <row r="356" spans="1:18" ht="12.75" x14ac:dyDescent="0.2">
      <c r="A356" s="4" t="s">
        <v>136</v>
      </c>
      <c r="B356" s="4" t="s">
        <v>137</v>
      </c>
      <c r="C356" s="4" t="s">
        <v>4023</v>
      </c>
      <c r="D356" s="4" t="s">
        <v>4024</v>
      </c>
      <c r="E356" s="4" t="s">
        <v>108</v>
      </c>
      <c r="F356" s="4" t="s">
        <v>18</v>
      </c>
      <c r="G356" s="4" t="s">
        <v>61</v>
      </c>
      <c r="I356" s="4" t="s">
        <v>10</v>
      </c>
      <c r="J356" s="17" t="s">
        <v>3290</v>
      </c>
      <c r="K356" s="16">
        <v>87.309848743568907</v>
      </c>
      <c r="L356" s="16">
        <v>4.667595983689699</v>
      </c>
      <c r="M356" s="16">
        <v>88.531575537910285</v>
      </c>
      <c r="N356" s="16">
        <v>74.510160948384325</v>
      </c>
      <c r="O356" s="16">
        <v>50.642111452730731</v>
      </c>
      <c r="P356" s="16">
        <v>96.889328948620019</v>
      </c>
      <c r="Q356" s="16">
        <v>24.63708621170926</v>
      </c>
    </row>
    <row r="357" spans="1:18" ht="12.75" x14ac:dyDescent="0.2">
      <c r="A357" s="4" t="s">
        <v>37</v>
      </c>
      <c r="B357" s="4" t="s">
        <v>38</v>
      </c>
      <c r="C357" s="4" t="s">
        <v>4025</v>
      </c>
      <c r="D357" s="4" t="s">
        <v>4026</v>
      </c>
      <c r="E357" s="4" t="s">
        <v>135</v>
      </c>
      <c r="F357" s="4" t="s">
        <v>18</v>
      </c>
      <c r="G357" s="4" t="s">
        <v>41</v>
      </c>
      <c r="H357" s="4"/>
      <c r="I357" s="4" t="s">
        <v>10</v>
      </c>
      <c r="J357" s="17" t="s">
        <v>3290</v>
      </c>
      <c r="K357" s="16">
        <v>50.978054917200119</v>
      </c>
      <c r="L357" s="16">
        <v>18.375074193660911</v>
      </c>
      <c r="M357" s="16">
        <v>87.424472360151469</v>
      </c>
      <c r="N357" s="16">
        <v>96.172205599190036</v>
      </c>
      <c r="O357" s="16">
        <v>50.026113614281797</v>
      </c>
      <c r="P357" s="16">
        <v>14.255421578603844</v>
      </c>
      <c r="Q357" s="16">
        <v>10.852083430075899</v>
      </c>
    </row>
    <row r="358" spans="1:18" ht="12.75" x14ac:dyDescent="0.2">
      <c r="A358" s="4" t="s">
        <v>98</v>
      </c>
      <c r="B358" s="4" t="s">
        <v>102</v>
      </c>
      <c r="C358" s="4" t="s">
        <v>4027</v>
      </c>
      <c r="D358" s="4" t="s">
        <v>4028</v>
      </c>
      <c r="E358" s="4" t="s">
        <v>108</v>
      </c>
      <c r="F358" s="4" t="s">
        <v>18</v>
      </c>
      <c r="G358" s="4" t="s">
        <v>61</v>
      </c>
      <c r="H358" s="4"/>
      <c r="I358" s="4" t="s">
        <v>10</v>
      </c>
      <c r="J358" s="17" t="s">
        <v>3290</v>
      </c>
      <c r="K358" s="16">
        <v>5.9246303784840082</v>
      </c>
      <c r="L358" s="16">
        <v>66.395464941380538</v>
      </c>
      <c r="M358" s="16">
        <v>98.050224551508506</v>
      </c>
      <c r="N358" s="16">
        <v>25.471724108061156</v>
      </c>
      <c r="O358" s="16">
        <v>75.126634383411314</v>
      </c>
      <c r="P358" s="16">
        <v>41.80207341444244</v>
      </c>
      <c r="Q358" s="16">
        <v>38.735606167905544</v>
      </c>
    </row>
    <row r="359" spans="1:18" ht="12.75" x14ac:dyDescent="0.2">
      <c r="A359" s="4" t="s">
        <v>64</v>
      </c>
      <c r="B359" s="4" t="s">
        <v>82</v>
      </c>
      <c r="C359" s="4" t="s">
        <v>4029</v>
      </c>
      <c r="D359" s="4" t="s">
        <v>4030</v>
      </c>
      <c r="E359" s="4" t="s">
        <v>126</v>
      </c>
      <c r="F359" s="4" t="s">
        <v>18</v>
      </c>
      <c r="G359" s="4" t="s">
        <v>61</v>
      </c>
      <c r="H359" s="4"/>
      <c r="I359" s="4" t="s">
        <v>10</v>
      </c>
      <c r="J359" s="17" t="s">
        <v>3290</v>
      </c>
      <c r="K359" s="16">
        <v>88.986585913939464</v>
      </c>
      <c r="L359" s="16">
        <v>8.8326267952746349</v>
      </c>
      <c r="M359" s="16">
        <v>68.553505023257173</v>
      </c>
      <c r="N359" s="16">
        <v>62.191565354956289</v>
      </c>
      <c r="O359" s="16">
        <v>56.150731885968355</v>
      </c>
      <c r="P359" s="16">
        <v>46.436603125623755</v>
      </c>
      <c r="Q359" s="16">
        <v>93.178643206828013</v>
      </c>
    </row>
    <row r="360" spans="1:18" ht="12.75" x14ac:dyDescent="0.2">
      <c r="A360" s="4" t="s">
        <v>136</v>
      </c>
      <c r="B360" s="4" t="s">
        <v>137</v>
      </c>
      <c r="C360" s="4" t="s">
        <v>4031</v>
      </c>
      <c r="D360" s="4" t="s">
        <v>4032</v>
      </c>
      <c r="E360" s="4" t="s">
        <v>87</v>
      </c>
      <c r="F360" s="4" t="s">
        <v>25</v>
      </c>
      <c r="G360" s="4"/>
      <c r="H360" s="4" t="s">
        <v>3289</v>
      </c>
      <c r="I360" s="4" t="s">
        <v>10</v>
      </c>
      <c r="J360" s="17" t="s">
        <v>3290</v>
      </c>
      <c r="K360" s="16">
        <v>22.547016028292923</v>
      </c>
      <c r="L360" s="16">
        <v>88.484009718919836</v>
      </c>
      <c r="M360" s="16">
        <v>38.452927244214862</v>
      </c>
      <c r="N360" s="16">
        <v>26.580897461572629</v>
      </c>
      <c r="O360" s="16">
        <v>43.013293614462491</v>
      </c>
      <c r="P360" s="16">
        <v>48.423507527044009</v>
      </c>
      <c r="Q360" s="16">
        <v>74.68475142984569</v>
      </c>
    </row>
    <row r="361" spans="1:18" ht="12.75" x14ac:dyDescent="0.2">
      <c r="A361" s="4" t="s">
        <v>136</v>
      </c>
      <c r="B361" s="4" t="s">
        <v>137</v>
      </c>
      <c r="C361" s="4" t="s">
        <v>4033</v>
      </c>
      <c r="D361" s="4" t="s">
        <v>4034</v>
      </c>
      <c r="E361" s="4" t="s">
        <v>108</v>
      </c>
      <c r="F361" s="4" t="s">
        <v>25</v>
      </c>
      <c r="G361" s="4"/>
      <c r="H361" s="4" t="s">
        <v>3289</v>
      </c>
      <c r="I361" s="4" t="s">
        <v>10</v>
      </c>
      <c r="J361" s="17" t="s">
        <v>3290</v>
      </c>
      <c r="K361" s="16">
        <v>2.0488306599581008</v>
      </c>
      <c r="L361" s="16">
        <v>98.040088820374024</v>
      </c>
      <c r="M361" s="16">
        <v>29.924886940301064</v>
      </c>
      <c r="N361" s="16">
        <v>82.649222842449007</v>
      </c>
      <c r="O361" s="16">
        <v>27.569253057996544</v>
      </c>
      <c r="P361" s="16">
        <v>4.0879627647372407</v>
      </c>
      <c r="Q361" s="16">
        <v>7.4699166491368763</v>
      </c>
    </row>
    <row r="362" spans="1:18" ht="12.75" x14ac:dyDescent="0.2">
      <c r="A362" s="4" t="s">
        <v>7</v>
      </c>
      <c r="B362" s="4" t="s">
        <v>16</v>
      </c>
      <c r="C362" s="4" t="s">
        <v>4035</v>
      </c>
      <c r="D362" s="4" t="s">
        <v>4036</v>
      </c>
      <c r="E362" s="4" t="s">
        <v>83</v>
      </c>
      <c r="F362" s="4" t="s">
        <v>25</v>
      </c>
      <c r="G362" s="4"/>
      <c r="H362" s="4" t="s">
        <v>10</v>
      </c>
      <c r="I362" s="4" t="s">
        <v>10</v>
      </c>
      <c r="J362" s="17" t="s">
        <v>3290</v>
      </c>
      <c r="K362" s="16">
        <v>28.23378506586667</v>
      </c>
      <c r="L362" s="16">
        <v>58.265068570213174</v>
      </c>
      <c r="M362" s="16">
        <v>67.880259361778712</v>
      </c>
      <c r="N362" s="16">
        <v>70.738886143497794</v>
      </c>
      <c r="O362" s="16">
        <v>75.326780783978876</v>
      </c>
      <c r="P362" s="16">
        <v>20.715855841278596</v>
      </c>
      <c r="Q362" s="16">
        <v>36.257051249739149</v>
      </c>
    </row>
    <row r="363" spans="1:18" ht="12.75" x14ac:dyDescent="0.2">
      <c r="A363" s="4" t="s">
        <v>98</v>
      </c>
      <c r="B363" s="4" t="s">
        <v>102</v>
      </c>
      <c r="C363" s="4" t="s">
        <v>4037</v>
      </c>
      <c r="D363" s="4" t="s">
        <v>4038</v>
      </c>
      <c r="E363" s="4" t="s">
        <v>83</v>
      </c>
      <c r="F363" s="4" t="s">
        <v>25</v>
      </c>
      <c r="G363" s="4" t="s">
        <v>41</v>
      </c>
      <c r="H363" s="4"/>
      <c r="I363" s="4" t="s">
        <v>10</v>
      </c>
      <c r="J363" s="17" t="s">
        <v>3290</v>
      </c>
      <c r="K363" s="16">
        <v>69.270616060774572</v>
      </c>
      <c r="L363" s="16">
        <v>31.730922348591449</v>
      </c>
      <c r="M363" s="16">
        <v>74.537954499162268</v>
      </c>
      <c r="N363" s="16">
        <v>17.385274239901616</v>
      </c>
      <c r="O363" s="16">
        <v>20.120233442943725</v>
      </c>
      <c r="P363" s="16">
        <v>55.022327040766896</v>
      </c>
      <c r="Q363" s="16">
        <v>95.332726473536781</v>
      </c>
    </row>
    <row r="364" spans="1:18" ht="12.75" x14ac:dyDescent="0.2">
      <c r="A364" s="4" t="s">
        <v>64</v>
      </c>
      <c r="B364" s="4" t="s">
        <v>89</v>
      </c>
      <c r="C364" s="4" t="s">
        <v>4039</v>
      </c>
      <c r="D364" s="4" t="s">
        <v>4040</v>
      </c>
      <c r="E364" s="4" t="s">
        <v>108</v>
      </c>
      <c r="F364" s="4" t="s">
        <v>25</v>
      </c>
      <c r="G364" s="4" t="s">
        <v>72</v>
      </c>
      <c r="H364" s="4"/>
      <c r="I364" s="4" t="s">
        <v>10</v>
      </c>
      <c r="J364" s="17" t="s">
        <v>3290</v>
      </c>
      <c r="K364" s="16">
        <v>23.112474310152741</v>
      </c>
      <c r="L364" s="16">
        <v>59.36034347959427</v>
      </c>
      <c r="M364" s="16">
        <v>36.173166468504562</v>
      </c>
      <c r="N364" s="16">
        <v>57.296898983527555</v>
      </c>
      <c r="O364" s="16">
        <v>26.794633644660149</v>
      </c>
      <c r="P364" s="16">
        <v>79.255562324416857</v>
      </c>
      <c r="Q364" s="16">
        <v>28.784433144921895</v>
      </c>
    </row>
    <row r="365" spans="1:18" ht="12.75" x14ac:dyDescent="0.2">
      <c r="A365" s="4" t="s">
        <v>7</v>
      </c>
      <c r="B365" s="4" t="s">
        <v>16</v>
      </c>
      <c r="C365" s="4" t="s">
        <v>4041</v>
      </c>
      <c r="D365" s="4" t="s">
        <v>4042</v>
      </c>
      <c r="E365" s="4" t="s">
        <v>87</v>
      </c>
      <c r="F365" s="4" t="s">
        <v>18</v>
      </c>
      <c r="G365" s="4"/>
      <c r="H365" s="4" t="s">
        <v>10</v>
      </c>
      <c r="I365" s="4" t="s">
        <v>10</v>
      </c>
      <c r="J365" s="17" t="s">
        <v>3290</v>
      </c>
      <c r="K365" s="16">
        <v>80.185128942681573</v>
      </c>
      <c r="L365" s="16">
        <v>43.064754633784389</v>
      </c>
      <c r="M365" s="16">
        <v>84.294904366618113</v>
      </c>
      <c r="N365" s="16">
        <v>69.754180425433404</v>
      </c>
      <c r="O365" s="16">
        <v>3.1930115169757967</v>
      </c>
      <c r="P365" s="16">
        <v>14.972524560000966</v>
      </c>
      <c r="Q365" s="16">
        <v>85.166445348842529</v>
      </c>
    </row>
    <row r="366" spans="1:18" ht="12.75" x14ac:dyDescent="0.2">
      <c r="A366" s="4" t="s">
        <v>64</v>
      </c>
      <c r="B366" s="4" t="s">
        <v>86</v>
      </c>
      <c r="C366" s="4" t="s">
        <v>4043</v>
      </c>
      <c r="D366" s="4" t="s">
        <v>4044</v>
      </c>
      <c r="E366" s="4" t="s">
        <v>135</v>
      </c>
      <c r="F366" s="4" t="s">
        <v>18</v>
      </c>
      <c r="G366" s="4" t="s">
        <v>61</v>
      </c>
      <c r="I366" s="4" t="s">
        <v>10</v>
      </c>
      <c r="J366" s="17" t="s">
        <v>3290</v>
      </c>
      <c r="K366" s="16">
        <v>9.5351004339911292</v>
      </c>
      <c r="L366" s="16">
        <v>78.443795467654226</v>
      </c>
      <c r="M366" s="16">
        <v>40.026286675162268</v>
      </c>
      <c r="N366" s="16">
        <v>89.892289869705991</v>
      </c>
      <c r="O366" s="16">
        <v>30.613304938153163</v>
      </c>
      <c r="P366" s="16">
        <v>53.612318880448619</v>
      </c>
      <c r="Q366" s="16">
        <v>57.847582499963821</v>
      </c>
    </row>
    <row r="367" spans="1:18" ht="12.75" x14ac:dyDescent="0.2">
      <c r="A367" s="4" t="s">
        <v>64</v>
      </c>
      <c r="B367" s="4" t="s">
        <v>82</v>
      </c>
      <c r="C367" s="4" t="s">
        <v>4045</v>
      </c>
      <c r="D367" s="4" t="s">
        <v>4046</v>
      </c>
      <c r="E367" s="4" t="s">
        <v>135</v>
      </c>
      <c r="F367" s="4" t="s">
        <v>18</v>
      </c>
      <c r="G367" s="4" t="s">
        <v>61</v>
      </c>
      <c r="H367" s="4"/>
      <c r="I367" s="4" t="s">
        <v>10</v>
      </c>
      <c r="J367" s="17" t="s">
        <v>3290</v>
      </c>
      <c r="K367" s="16">
        <v>44.687355874141424</v>
      </c>
      <c r="L367" s="16">
        <v>89.046956997128106</v>
      </c>
      <c r="M367" s="16">
        <v>27.582518949854784</v>
      </c>
      <c r="N367" s="16">
        <v>3.28637067821127</v>
      </c>
      <c r="O367" s="16">
        <v>54.036092776762523</v>
      </c>
      <c r="P367" s="16">
        <v>89.86254538253813</v>
      </c>
      <c r="Q367" s="16">
        <v>60.815666173268355</v>
      </c>
    </row>
    <row r="368" spans="1:18" ht="12.75" x14ac:dyDescent="0.2">
      <c r="A368" s="4" t="s">
        <v>115</v>
      </c>
      <c r="B368" s="4" t="s">
        <v>131</v>
      </c>
      <c r="C368" s="4" t="s">
        <v>4047</v>
      </c>
      <c r="D368" s="4" t="s">
        <v>4048</v>
      </c>
      <c r="E368" s="4" t="s">
        <v>139</v>
      </c>
      <c r="F368" s="4" t="s">
        <v>18</v>
      </c>
      <c r="G368" s="4" t="s">
        <v>72</v>
      </c>
      <c r="H368" s="4" t="s">
        <v>3550</v>
      </c>
      <c r="I368" s="4" t="s">
        <v>10</v>
      </c>
      <c r="J368" s="17" t="s">
        <v>3290</v>
      </c>
      <c r="K368" s="16">
        <v>71.084540207811798</v>
      </c>
      <c r="L368" s="16">
        <v>1.538657905266283</v>
      </c>
      <c r="M368" s="16">
        <v>50.768005571279815</v>
      </c>
      <c r="N368" s="16">
        <v>36.47061944725175</v>
      </c>
      <c r="O368" s="16">
        <v>71.549716649664077</v>
      </c>
      <c r="P368" s="16">
        <v>10.555701600878297</v>
      </c>
      <c r="Q368" s="16">
        <v>48.571130134440729</v>
      </c>
      <c r="R368" s="4"/>
    </row>
    <row r="369" spans="1:18" ht="12.75" x14ac:dyDescent="0.2">
      <c r="A369" s="4" t="s">
        <v>98</v>
      </c>
      <c r="B369" s="4" t="s">
        <v>105</v>
      </c>
      <c r="C369" s="4" t="s">
        <v>4049</v>
      </c>
      <c r="D369" s="4" t="s">
        <v>4050</v>
      </c>
      <c r="E369" s="4" t="s">
        <v>83</v>
      </c>
      <c r="F369" s="4" t="s">
        <v>25</v>
      </c>
      <c r="G369" s="4" t="s">
        <v>41</v>
      </c>
      <c r="H369" s="4"/>
      <c r="I369" s="4" t="s">
        <v>10</v>
      </c>
      <c r="J369" s="17" t="s">
        <v>3290</v>
      </c>
      <c r="K369" s="16">
        <v>34.683065298994528</v>
      </c>
      <c r="L369" s="16">
        <v>81.111883462623098</v>
      </c>
      <c r="M369" s="16">
        <v>51.573711760948541</v>
      </c>
      <c r="N369" s="16">
        <v>68.330791968300559</v>
      </c>
      <c r="O369" s="16">
        <v>0.58316973846577191</v>
      </c>
      <c r="P369" s="16">
        <v>83.014197953607592</v>
      </c>
      <c r="Q369" s="16">
        <v>79.16089366030134</v>
      </c>
    </row>
    <row r="370" spans="1:18" ht="12.75" x14ac:dyDescent="0.2">
      <c r="A370" s="4" t="s">
        <v>64</v>
      </c>
      <c r="B370" s="4" t="s">
        <v>92</v>
      </c>
      <c r="C370" s="4" t="s">
        <v>4051</v>
      </c>
      <c r="D370" s="4" t="s">
        <v>4052</v>
      </c>
      <c r="E370" s="4" t="s">
        <v>87</v>
      </c>
      <c r="F370" s="4" t="s">
        <v>18</v>
      </c>
      <c r="G370" s="4" t="s">
        <v>61</v>
      </c>
      <c r="H370" s="4"/>
      <c r="I370" s="4" t="s">
        <v>10</v>
      </c>
      <c r="J370" s="17" t="s">
        <v>3290</v>
      </c>
      <c r="K370" s="16">
        <v>80.195011741651641</v>
      </c>
      <c r="L370" s="16">
        <v>15.773754014506258</v>
      </c>
      <c r="M370" s="16">
        <v>29.789046376538952</v>
      </c>
      <c r="N370" s="16">
        <v>47.894022877684947</v>
      </c>
      <c r="O370" s="16">
        <v>67.848839160712288</v>
      </c>
      <c r="P370" s="16">
        <v>94.794415591964651</v>
      </c>
      <c r="Q370" s="16">
        <v>94.16366258114121</v>
      </c>
    </row>
    <row r="371" spans="1:18" ht="12.75" x14ac:dyDescent="0.2">
      <c r="A371" s="4" t="s">
        <v>136</v>
      </c>
      <c r="B371" s="4" t="s">
        <v>137</v>
      </c>
      <c r="C371" s="4" t="s">
        <v>4053</v>
      </c>
      <c r="D371" s="4" t="s">
        <v>4054</v>
      </c>
      <c r="E371" s="4" t="s">
        <v>114</v>
      </c>
      <c r="F371" s="4" t="s">
        <v>25</v>
      </c>
      <c r="G371" s="4"/>
      <c r="H371" s="4" t="s">
        <v>3289</v>
      </c>
      <c r="I371" s="4" t="s">
        <v>10</v>
      </c>
      <c r="J371" s="17" t="s">
        <v>3290</v>
      </c>
      <c r="K371" s="16">
        <v>66.703374864774972</v>
      </c>
      <c r="L371" s="16">
        <v>99.110761340565702</v>
      </c>
      <c r="M371" s="16">
        <v>42.157892453050195</v>
      </c>
      <c r="N371" s="16">
        <v>95.437313057167401</v>
      </c>
      <c r="O371" s="16">
        <v>16.653808440751227</v>
      </c>
      <c r="P371" s="16">
        <v>36.12173292471288</v>
      </c>
      <c r="Q371" s="16">
        <v>9.5236580861344464</v>
      </c>
    </row>
    <row r="372" spans="1:18" ht="12.75" x14ac:dyDescent="0.2">
      <c r="A372" s="4" t="s">
        <v>7</v>
      </c>
      <c r="B372" s="4" t="s">
        <v>23</v>
      </c>
      <c r="C372" s="4" t="s">
        <v>4055</v>
      </c>
      <c r="D372" s="4" t="s">
        <v>4056</v>
      </c>
      <c r="E372" s="4" t="s">
        <v>123</v>
      </c>
      <c r="F372" s="4" t="s">
        <v>18</v>
      </c>
      <c r="G372" s="4" t="s">
        <v>41</v>
      </c>
      <c r="H372" s="4"/>
      <c r="I372" s="4" t="s">
        <v>10</v>
      </c>
      <c r="J372" s="17" t="s">
        <v>3290</v>
      </c>
      <c r="K372" s="16">
        <v>38.424734624671586</v>
      </c>
      <c r="L372" s="16">
        <v>94.001835837812209</v>
      </c>
      <c r="M372" s="16">
        <v>34.199640712353563</v>
      </c>
      <c r="N372" s="16">
        <v>47.616171266417126</v>
      </c>
      <c r="O372" s="16">
        <v>91.023484040298968</v>
      </c>
      <c r="P372" s="16">
        <v>70.650904083888705</v>
      </c>
      <c r="Q372" s="16">
        <v>99.260259964289688</v>
      </c>
    </row>
    <row r="373" spans="1:18" ht="12.75" x14ac:dyDescent="0.2">
      <c r="A373" s="4" t="s">
        <v>64</v>
      </c>
      <c r="B373" s="4" t="s">
        <v>82</v>
      </c>
      <c r="C373" s="4" t="s">
        <v>4057</v>
      </c>
      <c r="D373" s="4" t="s">
        <v>4058</v>
      </c>
      <c r="E373" s="4" t="s">
        <v>87</v>
      </c>
      <c r="F373" s="4" t="s">
        <v>25</v>
      </c>
      <c r="G373" s="4" t="s">
        <v>72</v>
      </c>
      <c r="H373" s="4"/>
      <c r="I373" s="4" t="s">
        <v>10</v>
      </c>
      <c r="J373" s="17" t="s">
        <v>3290</v>
      </c>
      <c r="K373" s="16">
        <v>36.945797335689058</v>
      </c>
      <c r="L373" s="16">
        <v>16.928901798937446</v>
      </c>
      <c r="M373" s="16">
        <v>77.451592405524735</v>
      </c>
      <c r="N373" s="16">
        <v>65.686732045846313</v>
      </c>
      <c r="O373" s="16">
        <v>7.6513865959454863</v>
      </c>
      <c r="P373" s="16">
        <v>47.381632894105422</v>
      </c>
      <c r="Q373" s="16">
        <v>56.141716015808427</v>
      </c>
    </row>
    <row r="374" spans="1:18" ht="12.75" x14ac:dyDescent="0.2">
      <c r="A374" s="4" t="s">
        <v>115</v>
      </c>
      <c r="B374" s="4" t="s">
        <v>116</v>
      </c>
      <c r="C374" s="4" t="s">
        <v>4059</v>
      </c>
      <c r="D374" s="4" t="s">
        <v>4060</v>
      </c>
      <c r="E374" s="4" t="s">
        <v>126</v>
      </c>
      <c r="F374" s="4" t="s">
        <v>18</v>
      </c>
      <c r="G374" s="4" t="s">
        <v>61</v>
      </c>
      <c r="H374" s="4"/>
      <c r="I374" s="4" t="s">
        <v>10</v>
      </c>
      <c r="J374" s="17" t="s">
        <v>3290</v>
      </c>
      <c r="K374" s="16">
        <v>42.68009007989896</v>
      </c>
      <c r="L374" s="16">
        <v>30.805438880958757</v>
      </c>
      <c r="M374" s="16">
        <v>23.221180536740981</v>
      </c>
      <c r="N374" s="16">
        <v>46.136939804682456</v>
      </c>
      <c r="O374" s="16">
        <v>70.20850814227822</v>
      </c>
      <c r="P374" s="16">
        <v>41.682294875699689</v>
      </c>
      <c r="Q374" s="16">
        <v>14.426976344035058</v>
      </c>
    </row>
    <row r="375" spans="1:18" ht="12.75" x14ac:dyDescent="0.2">
      <c r="A375" s="4" t="s">
        <v>115</v>
      </c>
      <c r="B375" s="4" t="s">
        <v>131</v>
      </c>
      <c r="C375" s="4" t="s">
        <v>4061</v>
      </c>
      <c r="D375" s="4" t="s">
        <v>4062</v>
      </c>
      <c r="E375" s="4" t="s">
        <v>9</v>
      </c>
      <c r="F375" s="4" t="s">
        <v>25</v>
      </c>
      <c r="G375" s="4" t="s">
        <v>41</v>
      </c>
      <c r="H375" s="4" t="s">
        <v>4063</v>
      </c>
      <c r="I375" s="4" t="s">
        <v>10</v>
      </c>
      <c r="J375" s="17" t="s">
        <v>3290</v>
      </c>
      <c r="K375" s="16">
        <v>1.4225205616841818</v>
      </c>
      <c r="L375" s="16">
        <v>10.266665794532248</v>
      </c>
      <c r="M375" s="16">
        <v>23.08843802737065</v>
      </c>
      <c r="N375" s="16">
        <v>53.271789007231703</v>
      </c>
      <c r="O375" s="16">
        <v>44.797033914334641</v>
      </c>
      <c r="P375" s="16">
        <v>50.936714771953021</v>
      </c>
      <c r="Q375" s="16">
        <v>11.695256211807459</v>
      </c>
      <c r="R375" s="4"/>
    </row>
    <row r="376" spans="1:18" ht="12.75" x14ac:dyDescent="0.2">
      <c r="A376" s="4" t="s">
        <v>136</v>
      </c>
      <c r="B376" s="4" t="s">
        <v>137</v>
      </c>
      <c r="C376" s="4" t="s">
        <v>4064</v>
      </c>
      <c r="D376" s="4" t="s">
        <v>4065</v>
      </c>
      <c r="E376" s="4" t="s">
        <v>135</v>
      </c>
      <c r="F376" s="4" t="s">
        <v>18</v>
      </c>
      <c r="G376" s="4" t="s">
        <v>61</v>
      </c>
      <c r="H376" s="4"/>
      <c r="I376" s="4" t="s">
        <v>10</v>
      </c>
      <c r="J376" s="17" t="s">
        <v>3290</v>
      </c>
      <c r="K376" s="16">
        <v>21.627854575041027</v>
      </c>
      <c r="L376" s="16">
        <v>54.43732006336505</v>
      </c>
      <c r="M376" s="16">
        <v>65.927890315964362</v>
      </c>
      <c r="N376" s="16">
        <v>13.713999694422352</v>
      </c>
      <c r="O376" s="16">
        <v>4.3092503664049708</v>
      </c>
      <c r="P376" s="16">
        <v>82.281064803675093</v>
      </c>
      <c r="Q376" s="16">
        <v>80.938053018859179</v>
      </c>
    </row>
    <row r="377" spans="1:18" ht="12.75" x14ac:dyDescent="0.2">
      <c r="A377" s="4" t="s">
        <v>136</v>
      </c>
      <c r="B377" s="4" t="s">
        <v>137</v>
      </c>
      <c r="C377" s="4" t="s">
        <v>4066</v>
      </c>
      <c r="D377" s="4" t="s">
        <v>4067</v>
      </c>
      <c r="E377" s="4" t="s">
        <v>135</v>
      </c>
      <c r="F377" s="4" t="s">
        <v>18</v>
      </c>
      <c r="G377" s="4" t="s">
        <v>61</v>
      </c>
      <c r="H377" s="4"/>
      <c r="I377" s="4" t="s">
        <v>10</v>
      </c>
      <c r="J377" s="17" t="s">
        <v>3290</v>
      </c>
      <c r="K377" s="16">
        <v>41.724264969398384</v>
      </c>
      <c r="L377" s="16">
        <v>14.415364197980896</v>
      </c>
      <c r="M377" s="16">
        <v>59.663257241384713</v>
      </c>
      <c r="N377" s="16">
        <v>7.1600043484793758</v>
      </c>
      <c r="O377" s="16">
        <v>5.3527386776233588</v>
      </c>
      <c r="P377" s="16">
        <v>6.6926924605026024</v>
      </c>
      <c r="Q377" s="16">
        <v>21.908830683406944</v>
      </c>
    </row>
    <row r="378" spans="1:18" ht="12.75" x14ac:dyDescent="0.2">
      <c r="A378" s="4" t="s">
        <v>98</v>
      </c>
      <c r="B378" s="4" t="s">
        <v>99</v>
      </c>
      <c r="C378" s="4" t="s">
        <v>4068</v>
      </c>
      <c r="D378" s="4" t="s">
        <v>4069</v>
      </c>
      <c r="E378" s="4" t="s">
        <v>129</v>
      </c>
      <c r="F378" s="4" t="s">
        <v>18</v>
      </c>
      <c r="G378" s="4" t="s">
        <v>61</v>
      </c>
      <c r="H378" s="4"/>
      <c r="I378" s="4" t="s">
        <v>10</v>
      </c>
      <c r="J378" s="17" t="s">
        <v>3290</v>
      </c>
      <c r="K378" s="16">
        <v>46.899317375437079</v>
      </c>
      <c r="L378" s="16">
        <v>34.479071713621643</v>
      </c>
      <c r="M378" s="16">
        <v>49.126410081883435</v>
      </c>
      <c r="N378" s="16">
        <v>65.545641026048514</v>
      </c>
      <c r="O378" s="16">
        <v>44.667174390698939</v>
      </c>
      <c r="P378" s="16">
        <v>71.292060137557996</v>
      </c>
      <c r="Q378" s="16">
        <v>1.7660738410349652</v>
      </c>
    </row>
    <row r="379" spans="1:18" ht="12.75" x14ac:dyDescent="0.2">
      <c r="A379" s="4" t="s">
        <v>64</v>
      </c>
      <c r="B379" s="4" t="s">
        <v>82</v>
      </c>
      <c r="C379" s="4" t="s">
        <v>4070</v>
      </c>
      <c r="D379" s="4" t="s">
        <v>4071</v>
      </c>
      <c r="E379" s="4" t="s">
        <v>129</v>
      </c>
      <c r="F379" s="4" t="s">
        <v>18</v>
      </c>
      <c r="G379" s="4" t="s">
        <v>61</v>
      </c>
      <c r="H379" s="4"/>
      <c r="I379" s="4" t="s">
        <v>10</v>
      </c>
      <c r="J379" s="17" t="s">
        <v>3290</v>
      </c>
      <c r="K379" s="16">
        <v>35.503286976033664</v>
      </c>
      <c r="L379" s="16">
        <v>5.3647996775515576</v>
      </c>
      <c r="M379" s="16">
        <v>62.09390959065616</v>
      </c>
      <c r="N379" s="16">
        <v>2.9762230003437029</v>
      </c>
      <c r="O379" s="16">
        <v>25.609695364106887</v>
      </c>
      <c r="P379" s="16">
        <v>98.064311887865074</v>
      </c>
      <c r="Q379" s="16">
        <v>92.151360370630428</v>
      </c>
    </row>
    <row r="380" spans="1:18" ht="12.75" x14ac:dyDescent="0.2">
      <c r="A380" s="4" t="s">
        <v>7</v>
      </c>
      <c r="B380" s="4" t="s">
        <v>8</v>
      </c>
      <c r="C380" s="4" t="s">
        <v>4072</v>
      </c>
      <c r="D380" s="4" t="s">
        <v>4073</v>
      </c>
      <c r="E380" s="4" t="s">
        <v>66</v>
      </c>
      <c r="F380" s="4" t="s">
        <v>18</v>
      </c>
      <c r="G380" s="4" t="s">
        <v>41</v>
      </c>
      <c r="I380" s="4" t="s">
        <v>10</v>
      </c>
      <c r="J380" s="17" t="s">
        <v>3290</v>
      </c>
      <c r="K380" s="16">
        <v>80.30359556632537</v>
      </c>
      <c r="L380" s="16">
        <v>77.832114372779571</v>
      </c>
      <c r="M380" s="16">
        <v>5.3377221013896525</v>
      </c>
      <c r="N380" s="16">
        <v>91.853034981562814</v>
      </c>
      <c r="O380" s="16">
        <v>56.47089403166801</v>
      </c>
      <c r="P380" s="16">
        <v>67.295271501142921</v>
      </c>
      <c r="Q380" s="16">
        <v>96.824845813827181</v>
      </c>
    </row>
    <row r="381" spans="1:18" ht="12.75" x14ac:dyDescent="0.2">
      <c r="A381" s="4" t="s">
        <v>115</v>
      </c>
      <c r="B381" s="4" t="s">
        <v>131</v>
      </c>
      <c r="C381" s="4" t="s">
        <v>4074</v>
      </c>
      <c r="D381" s="4" t="s">
        <v>4075</v>
      </c>
      <c r="E381" s="4" t="s">
        <v>139</v>
      </c>
      <c r="F381" s="4" t="s">
        <v>18</v>
      </c>
      <c r="G381" s="4" t="s">
        <v>72</v>
      </c>
      <c r="H381" s="4" t="s">
        <v>3398</v>
      </c>
      <c r="I381" s="4" t="s">
        <v>10</v>
      </c>
      <c r="J381" s="17" t="s">
        <v>3290</v>
      </c>
      <c r="K381" s="16">
        <v>25.865069543939246</v>
      </c>
      <c r="L381" s="16">
        <v>71.07948864683236</v>
      </c>
      <c r="M381" s="16">
        <v>86.11401776106095</v>
      </c>
      <c r="N381" s="16">
        <v>36.239472331813424</v>
      </c>
      <c r="O381" s="16">
        <v>44.621954719899712</v>
      </c>
      <c r="P381" s="16">
        <v>53.342070036104808</v>
      </c>
      <c r="Q381" s="16">
        <v>61.805588902354103</v>
      </c>
      <c r="R381" s="4"/>
    </row>
    <row r="382" spans="1:18" ht="12.75" x14ac:dyDescent="0.2">
      <c r="A382" s="4" t="s">
        <v>7</v>
      </c>
      <c r="B382" s="4" t="s">
        <v>16</v>
      </c>
      <c r="C382" s="4" t="s">
        <v>4076</v>
      </c>
      <c r="D382" s="4" t="s">
        <v>4077</v>
      </c>
      <c r="E382" s="4" t="s">
        <v>87</v>
      </c>
      <c r="F382" s="4" t="s">
        <v>25</v>
      </c>
      <c r="G382" s="4" t="s">
        <v>41</v>
      </c>
      <c r="I382" s="4" t="s">
        <v>10</v>
      </c>
      <c r="J382" s="17" t="s">
        <v>3290</v>
      </c>
      <c r="K382" s="16">
        <v>22.006272386707536</v>
      </c>
      <c r="L382" s="16">
        <v>83.521255256358302</v>
      </c>
      <c r="M382" s="16">
        <v>54.030451160724745</v>
      </c>
      <c r="N382" s="16">
        <v>56.547205765303751</v>
      </c>
      <c r="O382" s="16">
        <v>25.786665969924726</v>
      </c>
      <c r="P382" s="16">
        <v>92.117612223102839</v>
      </c>
      <c r="Q382" s="16">
        <v>73.127673970173674</v>
      </c>
    </row>
    <row r="383" spans="1:18" ht="12.75" x14ac:dyDescent="0.2">
      <c r="A383" s="4" t="s">
        <v>64</v>
      </c>
      <c r="B383" s="4" t="s">
        <v>95</v>
      </c>
      <c r="C383" s="4" t="s">
        <v>4078</v>
      </c>
      <c r="D383" s="4" t="s">
        <v>4079</v>
      </c>
      <c r="E383" s="4" t="s">
        <v>126</v>
      </c>
      <c r="F383" s="4" t="s">
        <v>18</v>
      </c>
      <c r="G383" s="4" t="s">
        <v>41</v>
      </c>
      <c r="H383" s="4"/>
      <c r="I383" s="4" t="s">
        <v>10</v>
      </c>
      <c r="J383" s="17" t="s">
        <v>3290</v>
      </c>
      <c r="K383" s="16">
        <v>47.719616008123353</v>
      </c>
      <c r="L383" s="16">
        <v>52.622630128605074</v>
      </c>
      <c r="M383" s="16">
        <v>54.030364633822238</v>
      </c>
      <c r="N383" s="16">
        <v>28.247774086124355</v>
      </c>
      <c r="O383" s="16">
        <v>8.2857203085440201</v>
      </c>
      <c r="P383" s="16">
        <v>31.737127225749738</v>
      </c>
      <c r="Q383" s="16">
        <v>12.638897172411234</v>
      </c>
    </row>
    <row r="384" spans="1:18" ht="12.75" x14ac:dyDescent="0.2">
      <c r="A384" s="4" t="s">
        <v>98</v>
      </c>
      <c r="B384" s="4" t="s">
        <v>102</v>
      </c>
      <c r="C384" s="4" t="s">
        <v>4080</v>
      </c>
      <c r="D384" s="4" t="s">
        <v>4081</v>
      </c>
      <c r="E384" s="4" t="s">
        <v>83</v>
      </c>
      <c r="F384" s="4" t="s">
        <v>25</v>
      </c>
      <c r="G384" s="4" t="s">
        <v>41</v>
      </c>
      <c r="H384" s="4"/>
      <c r="I384" s="4" t="s">
        <v>10</v>
      </c>
      <c r="J384" s="17" t="s">
        <v>3290</v>
      </c>
      <c r="K384" s="16">
        <v>15.434920222838755</v>
      </c>
      <c r="L384" s="16">
        <v>51.196275160590019</v>
      </c>
      <c r="M384" s="16">
        <v>42.513589481601954</v>
      </c>
      <c r="N384" s="16">
        <v>12.095223374621977</v>
      </c>
      <c r="O384" s="16">
        <v>47.060841591500235</v>
      </c>
      <c r="P384" s="16">
        <v>91.105722262219174</v>
      </c>
      <c r="Q384" s="16">
        <v>67.986995942381924</v>
      </c>
    </row>
    <row r="385" spans="1:17" ht="12.75" x14ac:dyDescent="0.2">
      <c r="A385" s="4" t="s">
        <v>98</v>
      </c>
      <c r="B385" s="4" t="s">
        <v>107</v>
      </c>
      <c r="C385" s="4" t="s">
        <v>4082</v>
      </c>
      <c r="D385" s="4" t="s">
        <v>4083</v>
      </c>
      <c r="E385" s="4" t="s">
        <v>87</v>
      </c>
      <c r="F385" s="4" t="s">
        <v>18</v>
      </c>
      <c r="G385" s="4" t="s">
        <v>41</v>
      </c>
      <c r="H385" s="4"/>
      <c r="I385" s="4" t="s">
        <v>10</v>
      </c>
      <c r="J385" s="17" t="s">
        <v>3290</v>
      </c>
      <c r="K385" s="16">
        <v>65.628053146800241</v>
      </c>
      <c r="L385" s="16">
        <v>74.901388081370783</v>
      </c>
      <c r="M385" s="16">
        <v>67.242793436096491</v>
      </c>
      <c r="N385" s="16">
        <v>87.261171325249862</v>
      </c>
      <c r="O385" s="16">
        <v>65.498741023999813</v>
      </c>
      <c r="P385" s="16">
        <v>61.92143049878549</v>
      </c>
      <c r="Q385" s="16">
        <v>66.702266322186588</v>
      </c>
    </row>
    <row r="386" spans="1:17" ht="12.75" x14ac:dyDescent="0.2">
      <c r="A386" s="4" t="s">
        <v>37</v>
      </c>
      <c r="B386" s="4" t="s">
        <v>38</v>
      </c>
      <c r="C386" s="4" t="s">
        <v>4084</v>
      </c>
      <c r="D386" s="4" t="s">
        <v>4085</v>
      </c>
      <c r="E386" s="4" t="s">
        <v>129</v>
      </c>
      <c r="F386" s="4" t="s">
        <v>18</v>
      </c>
      <c r="G386" s="4" t="s">
        <v>61</v>
      </c>
      <c r="H386" s="4"/>
      <c r="I386" s="4" t="s">
        <v>10</v>
      </c>
      <c r="J386" s="17" t="s">
        <v>3290</v>
      </c>
      <c r="K386" s="16">
        <v>96.549026157847365</v>
      </c>
      <c r="L386" s="16">
        <v>89.72800345380459</v>
      </c>
      <c r="M386" s="16">
        <v>18.359142940798378</v>
      </c>
      <c r="N386" s="16">
        <v>43.492863026686088</v>
      </c>
      <c r="O386" s="16">
        <v>13.511143313904528</v>
      </c>
      <c r="P386" s="16">
        <v>52.53190532549884</v>
      </c>
      <c r="Q386" s="16">
        <v>94.063378047150934</v>
      </c>
    </row>
    <row r="387" spans="1:17" ht="12.75" x14ac:dyDescent="0.2">
      <c r="A387" s="4" t="s">
        <v>64</v>
      </c>
      <c r="B387" s="4" t="s">
        <v>86</v>
      </c>
      <c r="C387" s="4" t="s">
        <v>4086</v>
      </c>
      <c r="D387" s="4" t="s">
        <v>4087</v>
      </c>
      <c r="E387" s="4" t="s">
        <v>87</v>
      </c>
      <c r="F387" s="4" t="s">
        <v>18</v>
      </c>
      <c r="G387" s="4" t="s">
        <v>61</v>
      </c>
      <c r="I387" s="4" t="s">
        <v>10</v>
      </c>
      <c r="J387" s="17" t="s">
        <v>3290</v>
      </c>
      <c r="K387" s="16">
        <v>27.19842085477957</v>
      </c>
      <c r="L387" s="16">
        <v>63.626160515084109</v>
      </c>
      <c r="M387" s="16">
        <v>30.367485998370157</v>
      </c>
      <c r="N387" s="16">
        <v>72.784951662859839</v>
      </c>
      <c r="O387" s="16">
        <v>47.442569841571128</v>
      </c>
      <c r="P387" s="16">
        <v>4.7549858942663175</v>
      </c>
      <c r="Q387" s="16">
        <v>97.19831233422039</v>
      </c>
    </row>
    <row r="388" spans="1:17" ht="12.75" x14ac:dyDescent="0.2">
      <c r="A388" s="4" t="s">
        <v>37</v>
      </c>
      <c r="B388" s="4" t="s">
        <v>52</v>
      </c>
      <c r="C388" s="4" t="s">
        <v>4088</v>
      </c>
      <c r="D388" s="4" t="s">
        <v>4089</v>
      </c>
      <c r="E388" s="4" t="s">
        <v>53</v>
      </c>
      <c r="F388" s="4" t="s">
        <v>25</v>
      </c>
      <c r="G388" s="4" t="s">
        <v>41</v>
      </c>
      <c r="H388" s="4" t="s">
        <v>10</v>
      </c>
      <c r="I388" s="4" t="s">
        <v>47</v>
      </c>
      <c r="J388" s="17" t="s">
        <v>3290</v>
      </c>
      <c r="K388" s="16">
        <v>41.124845408974529</v>
      </c>
      <c r="L388" s="16">
        <v>95.540996329335684</v>
      </c>
      <c r="M388" s="16">
        <v>84.082375844749734</v>
      </c>
      <c r="N388" s="16">
        <v>83.661146727712904</v>
      </c>
      <c r="O388" s="16">
        <v>89.290735248372812</v>
      </c>
      <c r="P388" s="16">
        <v>95.095669555051899</v>
      </c>
      <c r="Q388" s="16">
        <v>6.4144983219282858</v>
      </c>
    </row>
    <row r="389" spans="1:17" ht="12.75" x14ac:dyDescent="0.2">
      <c r="A389" s="4" t="s">
        <v>7</v>
      </c>
      <c r="B389" s="4" t="s">
        <v>8</v>
      </c>
      <c r="C389" s="4" t="s">
        <v>4090</v>
      </c>
      <c r="D389" s="4" t="s">
        <v>4091</v>
      </c>
      <c r="E389" s="4" t="s">
        <v>66</v>
      </c>
      <c r="F389" s="4" t="s">
        <v>18</v>
      </c>
      <c r="G389" s="4" t="s">
        <v>41</v>
      </c>
      <c r="I389" s="4" t="s">
        <v>10</v>
      </c>
      <c r="J389" s="17" t="s">
        <v>3290</v>
      </c>
      <c r="K389" s="16">
        <v>60.608918926146892</v>
      </c>
      <c r="L389" s="16">
        <v>94.655879187379469</v>
      </c>
      <c r="M389" s="16">
        <v>26.223653147451099</v>
      </c>
      <c r="N389" s="16">
        <v>88.862163066323959</v>
      </c>
      <c r="O389" s="16">
        <v>5.735362766665542</v>
      </c>
      <c r="P389" s="16">
        <v>75.167707517593215</v>
      </c>
      <c r="Q389" s="16">
        <v>3.6406246304855672</v>
      </c>
    </row>
    <row r="390" spans="1:17" ht="12.75" x14ac:dyDescent="0.2">
      <c r="A390" s="4" t="s">
        <v>98</v>
      </c>
      <c r="B390" s="4" t="s">
        <v>110</v>
      </c>
      <c r="C390" s="4" t="s">
        <v>4092</v>
      </c>
      <c r="D390" s="4" t="s">
        <v>4093</v>
      </c>
      <c r="E390" s="4" t="s">
        <v>106</v>
      </c>
      <c r="F390" s="4" t="s">
        <v>18</v>
      </c>
      <c r="G390" s="4" t="s">
        <v>19</v>
      </c>
      <c r="H390" s="4" t="s">
        <v>10</v>
      </c>
      <c r="I390" s="4" t="s">
        <v>10</v>
      </c>
      <c r="J390" s="17" t="s">
        <v>3290</v>
      </c>
      <c r="K390" s="16">
        <v>20.984491909401171</v>
      </c>
      <c r="L390" s="16">
        <v>98.996536575958459</v>
      </c>
      <c r="M390" s="16">
        <v>12.313188919303785</v>
      </c>
      <c r="N390" s="16">
        <v>97.9281723165861</v>
      </c>
      <c r="O390" s="16">
        <v>81.057604564255143</v>
      </c>
      <c r="P390" s="16">
        <v>61.765341565243162</v>
      </c>
      <c r="Q390" s="16">
        <v>15.201518127169511</v>
      </c>
    </row>
    <row r="391" spans="1:17" ht="12.75" x14ac:dyDescent="0.2">
      <c r="A391" s="4" t="s">
        <v>98</v>
      </c>
      <c r="B391" s="4" t="s">
        <v>102</v>
      </c>
      <c r="C391" s="4" t="s">
        <v>4094</v>
      </c>
      <c r="D391" s="4" t="s">
        <v>4095</v>
      </c>
      <c r="E391" s="4" t="s">
        <v>108</v>
      </c>
      <c r="F391" s="4" t="s">
        <v>18</v>
      </c>
      <c r="G391" s="4" t="s">
        <v>61</v>
      </c>
      <c r="H391" s="4"/>
      <c r="I391" s="4" t="s">
        <v>10</v>
      </c>
      <c r="J391" s="17" t="s">
        <v>3290</v>
      </c>
      <c r="K391" s="16">
        <v>92.902310480549062</v>
      </c>
      <c r="L391" s="16">
        <v>31.838145052060085</v>
      </c>
      <c r="M391" s="16">
        <v>84.099739638487321</v>
      </c>
      <c r="N391" s="16">
        <v>24.069490584175234</v>
      </c>
      <c r="O391" s="16">
        <v>50.089812255614987</v>
      </c>
      <c r="P391" s="16">
        <v>94.687112678984491</v>
      </c>
      <c r="Q391" s="16">
        <v>48.385017257662568</v>
      </c>
    </row>
    <row r="392" spans="1:17" ht="12.75" x14ac:dyDescent="0.2">
      <c r="A392" s="4" t="s">
        <v>64</v>
      </c>
      <c r="B392" s="4" t="s">
        <v>70</v>
      </c>
      <c r="C392" s="4" t="s">
        <v>4096</v>
      </c>
      <c r="D392" s="4" t="s">
        <v>4097</v>
      </c>
      <c r="E392" s="4" t="s">
        <v>87</v>
      </c>
      <c r="F392" s="4" t="s">
        <v>18</v>
      </c>
      <c r="G392" s="4" t="s">
        <v>61</v>
      </c>
      <c r="H392" s="4"/>
      <c r="I392" s="4" t="s">
        <v>10</v>
      </c>
      <c r="J392" s="17" t="s">
        <v>3290</v>
      </c>
      <c r="K392" s="16">
        <v>74.834681802958414</v>
      </c>
      <c r="L392" s="16">
        <v>58.991270888751416</v>
      </c>
      <c r="M392" s="16">
        <v>10.16316899938502</v>
      </c>
      <c r="N392" s="16">
        <v>42.414431617243572</v>
      </c>
      <c r="O392" s="16">
        <v>50.053188800115443</v>
      </c>
      <c r="P392" s="16">
        <v>94.181741871392987</v>
      </c>
      <c r="Q392" s="16">
        <v>13.947885616280175</v>
      </c>
    </row>
    <row r="393" spans="1:17" ht="12.75" x14ac:dyDescent="0.2">
      <c r="A393" s="4" t="s">
        <v>98</v>
      </c>
      <c r="B393" s="4" t="s">
        <v>99</v>
      </c>
      <c r="C393" s="4" t="s">
        <v>4098</v>
      </c>
      <c r="D393" s="4" t="s">
        <v>4099</v>
      </c>
      <c r="E393" s="4" t="s">
        <v>129</v>
      </c>
      <c r="F393" s="4" t="s">
        <v>18</v>
      </c>
      <c r="G393" s="4" t="s">
        <v>61</v>
      </c>
      <c r="H393" s="4"/>
      <c r="I393" s="4" t="s">
        <v>10</v>
      </c>
      <c r="J393" s="17" t="s">
        <v>3290</v>
      </c>
      <c r="K393" s="16">
        <v>37.399802819066018</v>
      </c>
      <c r="L393" s="16">
        <v>43.907877089321332</v>
      </c>
      <c r="M393" s="16">
        <v>88.830248963481495</v>
      </c>
      <c r="N393" s="16">
        <v>28.658848522803225</v>
      </c>
      <c r="O393" s="16">
        <v>77.527137959711936</v>
      </c>
      <c r="P393" s="16">
        <v>26.28540415082108</v>
      </c>
      <c r="Q393" s="16">
        <v>74.721644053421045</v>
      </c>
    </row>
    <row r="394" spans="1:17" ht="12.75" x14ac:dyDescent="0.2">
      <c r="A394" s="4" t="s">
        <v>115</v>
      </c>
      <c r="B394" s="4" t="s">
        <v>116</v>
      </c>
      <c r="C394" s="4" t="s">
        <v>4100</v>
      </c>
      <c r="D394" s="4" t="s">
        <v>4101</v>
      </c>
      <c r="E394" s="4" t="s">
        <v>108</v>
      </c>
      <c r="F394" s="4" t="s">
        <v>25</v>
      </c>
      <c r="G394" s="4" t="s">
        <v>61</v>
      </c>
      <c r="I394" s="4" t="s">
        <v>10</v>
      </c>
      <c r="J394" s="17" t="s">
        <v>3290</v>
      </c>
      <c r="K394" s="16">
        <v>91.827846957916023</v>
      </c>
      <c r="L394" s="16">
        <v>7.7847147043316305</v>
      </c>
      <c r="M394" s="16">
        <v>53.30776730931408</v>
      </c>
      <c r="N394" s="16">
        <v>75.050696894471756</v>
      </c>
      <c r="O394" s="16">
        <v>30.492500307029591</v>
      </c>
      <c r="P394" s="16">
        <v>47.58549235518624</v>
      </c>
      <c r="Q394" s="16">
        <v>76.842730759548033</v>
      </c>
    </row>
    <row r="395" spans="1:17" ht="12.75" x14ac:dyDescent="0.2">
      <c r="A395" s="4" t="s">
        <v>115</v>
      </c>
      <c r="B395" s="4" t="s">
        <v>122</v>
      </c>
      <c r="C395" s="4" t="s">
        <v>4102</v>
      </c>
      <c r="D395" s="4" t="s">
        <v>4103</v>
      </c>
      <c r="E395" s="4" t="s">
        <v>108</v>
      </c>
      <c r="F395" s="4" t="s">
        <v>25</v>
      </c>
      <c r="G395" s="4" t="s">
        <v>61</v>
      </c>
      <c r="H395" s="4"/>
      <c r="I395" s="4" t="s">
        <v>10</v>
      </c>
      <c r="J395" s="17" t="s">
        <v>3290</v>
      </c>
      <c r="K395" s="16">
        <v>70.586186690169797</v>
      </c>
      <c r="L395" s="16">
        <v>15.703240794312789</v>
      </c>
      <c r="M395" s="16">
        <v>65.073867628711326</v>
      </c>
      <c r="N395" s="16">
        <v>91.845910250190428</v>
      </c>
      <c r="O395" s="16">
        <v>6.0542187634065936</v>
      </c>
      <c r="P395" s="16">
        <v>39.032837453058164</v>
      </c>
      <c r="Q395" s="16">
        <v>13.210179220318164</v>
      </c>
    </row>
    <row r="396" spans="1:17" ht="12.75" x14ac:dyDescent="0.2">
      <c r="A396" s="4" t="s">
        <v>37</v>
      </c>
      <c r="B396" s="4" t="s">
        <v>52</v>
      </c>
      <c r="C396" s="4" t="s">
        <v>4104</v>
      </c>
      <c r="D396" s="4" t="s">
        <v>4105</v>
      </c>
      <c r="E396" s="4" t="s">
        <v>108</v>
      </c>
      <c r="F396" s="4" t="s">
        <v>32</v>
      </c>
      <c r="G396" s="4" t="s">
        <v>41</v>
      </c>
      <c r="I396" s="4" t="s">
        <v>10</v>
      </c>
      <c r="J396" s="17" t="s">
        <v>3290</v>
      </c>
      <c r="K396" s="16">
        <v>95.433184011078808</v>
      </c>
      <c r="L396" s="16">
        <v>60.792040060902039</v>
      </c>
      <c r="M396" s="16">
        <v>90.903438675112056</v>
      </c>
      <c r="N396" s="16">
        <v>67.626485611209361</v>
      </c>
      <c r="O396" s="16">
        <v>1.5593933556862116</v>
      </c>
      <c r="P396" s="16">
        <v>48.859846064812132</v>
      </c>
      <c r="Q396" s="16">
        <v>83.229270788831883</v>
      </c>
    </row>
    <row r="397" spans="1:17" ht="12.75" x14ac:dyDescent="0.2">
      <c r="A397" s="4" t="s">
        <v>7</v>
      </c>
      <c r="B397" s="4" t="s">
        <v>8</v>
      </c>
      <c r="C397" s="4" t="s">
        <v>4106</v>
      </c>
      <c r="D397" s="4" t="s">
        <v>4107</v>
      </c>
      <c r="E397" s="4" t="s">
        <v>87</v>
      </c>
      <c r="F397" s="4" t="s">
        <v>18</v>
      </c>
      <c r="G397" s="4" t="s">
        <v>61</v>
      </c>
      <c r="I397" s="4" t="s">
        <v>10</v>
      </c>
      <c r="J397" s="17" t="s">
        <v>3290</v>
      </c>
      <c r="K397" s="16">
        <v>69.343360390457207</v>
      </c>
      <c r="L397" s="16">
        <v>76.178524896911057</v>
      </c>
      <c r="M397" s="16">
        <v>71.135110545798696</v>
      </c>
      <c r="N397" s="16">
        <v>50.02681669809698</v>
      </c>
      <c r="O397" s="16">
        <v>0.47933412659252328</v>
      </c>
      <c r="P397" s="16">
        <v>60.023878067386974</v>
      </c>
      <c r="Q397" s="16">
        <v>70.416290551338179</v>
      </c>
    </row>
    <row r="398" spans="1:17" ht="12.75" x14ac:dyDescent="0.2">
      <c r="A398" s="4" t="s">
        <v>98</v>
      </c>
      <c r="B398" s="4" t="s">
        <v>107</v>
      </c>
      <c r="C398" s="4" t="s">
        <v>4108</v>
      </c>
      <c r="D398" s="4" t="s">
        <v>4109</v>
      </c>
      <c r="E398" s="4" t="s">
        <v>108</v>
      </c>
      <c r="F398" s="4" t="s">
        <v>18</v>
      </c>
      <c r="G398" s="4" t="s">
        <v>61</v>
      </c>
      <c r="I398" s="4" t="s">
        <v>10</v>
      </c>
      <c r="J398" s="17" t="s">
        <v>3290</v>
      </c>
      <c r="K398" s="16">
        <v>65.086560688522553</v>
      </c>
      <c r="L398" s="16">
        <v>49.618297209327324</v>
      </c>
      <c r="M398" s="16">
        <v>93.349225940031005</v>
      </c>
      <c r="N398" s="16">
        <v>0.76060912199539255</v>
      </c>
      <c r="O398" s="16">
        <v>18.214297797831101</v>
      </c>
      <c r="P398" s="16">
        <v>95.99363749824758</v>
      </c>
      <c r="Q398" s="16">
        <v>50.871747597265262</v>
      </c>
    </row>
    <row r="399" spans="1:17" ht="12.75" x14ac:dyDescent="0.2">
      <c r="A399" s="4" t="s">
        <v>7</v>
      </c>
      <c r="B399" s="4" t="s">
        <v>16</v>
      </c>
      <c r="C399" s="4" t="s">
        <v>4110</v>
      </c>
      <c r="D399" s="4" t="s">
        <v>4111</v>
      </c>
      <c r="E399" s="4" t="s">
        <v>126</v>
      </c>
      <c r="F399" s="4" t="s">
        <v>18</v>
      </c>
      <c r="G399" s="4"/>
      <c r="H399" s="4" t="s">
        <v>10</v>
      </c>
      <c r="I399" s="4" t="s">
        <v>10</v>
      </c>
      <c r="J399" s="17" t="s">
        <v>3290</v>
      </c>
      <c r="K399" s="16">
        <v>13.24146703305491</v>
      </c>
      <c r="L399" s="16">
        <v>99.287757179484288</v>
      </c>
      <c r="M399" s="16">
        <v>57.625442518017067</v>
      </c>
      <c r="N399" s="16">
        <v>16.67776176675574</v>
      </c>
      <c r="O399" s="16">
        <v>17.757997075844234</v>
      </c>
      <c r="P399" s="16">
        <v>45.28627877163337</v>
      </c>
      <c r="Q399" s="16">
        <v>96.826359337830837</v>
      </c>
    </row>
    <row r="400" spans="1:17" ht="12.75" x14ac:dyDescent="0.2">
      <c r="A400" s="4" t="s">
        <v>98</v>
      </c>
      <c r="B400" s="4" t="s">
        <v>102</v>
      </c>
      <c r="C400" s="4" t="s">
        <v>4112</v>
      </c>
      <c r="D400" s="4" t="s">
        <v>4113</v>
      </c>
      <c r="E400" s="4" t="s">
        <v>108</v>
      </c>
      <c r="F400" s="4" t="s">
        <v>32</v>
      </c>
      <c r="G400" s="4" t="s">
        <v>61</v>
      </c>
      <c r="H400" s="4"/>
      <c r="I400" s="4" t="s">
        <v>10</v>
      </c>
      <c r="J400" s="17" t="s">
        <v>3290</v>
      </c>
      <c r="K400" s="16">
        <v>95.817497781608168</v>
      </c>
      <c r="L400" s="16">
        <v>64.970683630441755</v>
      </c>
      <c r="M400" s="16">
        <v>56.647682002416467</v>
      </c>
      <c r="N400" s="16">
        <v>53.132045974296503</v>
      </c>
      <c r="O400" s="16">
        <v>49.048754127199437</v>
      </c>
      <c r="P400" s="16">
        <v>56.317777500643651</v>
      </c>
      <c r="Q400" s="16">
        <v>38.668915022502858</v>
      </c>
    </row>
    <row r="401" spans="1:17" ht="12.75" x14ac:dyDescent="0.2">
      <c r="A401" s="4" t="s">
        <v>64</v>
      </c>
      <c r="B401" s="4" t="s">
        <v>78</v>
      </c>
      <c r="C401" s="4" t="s">
        <v>4114</v>
      </c>
      <c r="D401" s="4" t="s">
        <v>4115</v>
      </c>
      <c r="E401" s="4" t="s">
        <v>114</v>
      </c>
      <c r="F401" s="4" t="s">
        <v>25</v>
      </c>
      <c r="G401" s="4" t="s">
        <v>72</v>
      </c>
      <c r="H401" s="4"/>
      <c r="I401" s="4" t="s">
        <v>10</v>
      </c>
      <c r="J401" s="17" t="s">
        <v>3290</v>
      </c>
      <c r="K401" s="16">
        <v>30.08367094011405</v>
      </c>
      <c r="L401" s="16">
        <v>14.190411008960124</v>
      </c>
      <c r="M401" s="16">
        <v>97.688462078258468</v>
      </c>
      <c r="N401" s="16">
        <v>0.39446694676227301</v>
      </c>
      <c r="O401" s="16">
        <v>66.521457524277267</v>
      </c>
      <c r="P401" s="16">
        <v>66.550721857520728</v>
      </c>
      <c r="Q401" s="16">
        <v>64.201734796288932</v>
      </c>
    </row>
    <row r="402" spans="1:17" ht="12.75" x14ac:dyDescent="0.2">
      <c r="A402" s="4" t="s">
        <v>7</v>
      </c>
      <c r="B402" s="4" t="s">
        <v>8</v>
      </c>
      <c r="C402" s="4" t="s">
        <v>4116</v>
      </c>
      <c r="D402" s="4" t="s">
        <v>4117</v>
      </c>
      <c r="E402" s="4" t="s">
        <v>108</v>
      </c>
      <c r="F402" s="4" t="s">
        <v>25</v>
      </c>
      <c r="G402" s="4" t="s">
        <v>61</v>
      </c>
      <c r="I402" s="4" t="s">
        <v>10</v>
      </c>
      <c r="J402" s="17" t="s">
        <v>3290</v>
      </c>
      <c r="K402" s="16">
        <v>38.132481132056654</v>
      </c>
      <c r="L402" s="16">
        <v>2.3327311636569648</v>
      </c>
      <c r="M402" s="16">
        <v>34.349948186383415</v>
      </c>
      <c r="N402" s="16">
        <v>42.900955784246989</v>
      </c>
      <c r="O402" s="16">
        <v>20.315746307051054</v>
      </c>
      <c r="P402" s="16">
        <v>92.570131726274226</v>
      </c>
      <c r="Q402" s="16">
        <v>15.056829900810387</v>
      </c>
    </row>
    <row r="403" spans="1:17" ht="12.75" x14ac:dyDescent="0.2">
      <c r="A403" s="4" t="s">
        <v>64</v>
      </c>
      <c r="B403" s="4" t="s">
        <v>65</v>
      </c>
      <c r="C403" s="4" t="s">
        <v>4118</v>
      </c>
      <c r="D403" s="4" t="s">
        <v>4119</v>
      </c>
      <c r="E403" s="4" t="s">
        <v>108</v>
      </c>
      <c r="F403" s="4" t="s">
        <v>18</v>
      </c>
      <c r="G403" s="4" t="s">
        <v>41</v>
      </c>
      <c r="H403" s="4"/>
      <c r="I403" s="4" t="s">
        <v>10</v>
      </c>
      <c r="J403" s="17" t="s">
        <v>3290</v>
      </c>
      <c r="K403" s="16">
        <v>8.9519110027082682</v>
      </c>
      <c r="L403" s="16">
        <v>10.364255028989477</v>
      </c>
      <c r="M403" s="16">
        <v>13.452332640832354</v>
      </c>
      <c r="N403" s="16">
        <v>44.057267623406119</v>
      </c>
      <c r="O403" s="16">
        <v>9.4068848268394234</v>
      </c>
      <c r="P403" s="16">
        <v>95.073077195790461</v>
      </c>
      <c r="Q403" s="16">
        <v>89.268652505456402</v>
      </c>
    </row>
    <row r="404" spans="1:17" ht="12.75" x14ac:dyDescent="0.2">
      <c r="A404" s="4" t="s">
        <v>115</v>
      </c>
      <c r="B404" s="4" t="s">
        <v>116</v>
      </c>
      <c r="C404" s="4" t="s">
        <v>4120</v>
      </c>
      <c r="D404" s="4" t="s">
        <v>4121</v>
      </c>
      <c r="E404" s="4" t="s">
        <v>108</v>
      </c>
      <c r="F404" s="4" t="s">
        <v>18</v>
      </c>
      <c r="G404" s="4" t="s">
        <v>61</v>
      </c>
      <c r="I404" s="4" t="s">
        <v>10</v>
      </c>
      <c r="J404" s="17" t="s">
        <v>3290</v>
      </c>
      <c r="K404" s="16">
        <v>87.433146191560112</v>
      </c>
      <c r="L404" s="16">
        <v>44.547519172538898</v>
      </c>
      <c r="M404" s="16">
        <v>74.475940305860306</v>
      </c>
      <c r="N404" s="16">
        <v>78.239928133322323</v>
      </c>
      <c r="O404" s="16">
        <v>85.843114758100853</v>
      </c>
      <c r="P404" s="16">
        <v>43.576594230530105</v>
      </c>
      <c r="Q404" s="16">
        <v>70.360029707292782</v>
      </c>
    </row>
    <row r="405" spans="1:17" ht="12.75" x14ac:dyDescent="0.2">
      <c r="A405" s="4" t="s">
        <v>136</v>
      </c>
      <c r="B405" s="4" t="s">
        <v>137</v>
      </c>
      <c r="C405" s="4" t="s">
        <v>4122</v>
      </c>
      <c r="D405" s="4" t="s">
        <v>4123</v>
      </c>
      <c r="E405" s="4" t="s">
        <v>111</v>
      </c>
      <c r="F405" s="4" t="s">
        <v>11</v>
      </c>
      <c r="G405" s="4" t="s">
        <v>41</v>
      </c>
      <c r="H405" s="4"/>
      <c r="I405" s="4" t="s">
        <v>10</v>
      </c>
      <c r="J405" s="17" t="s">
        <v>3290</v>
      </c>
      <c r="K405" s="16">
        <v>58.089808991639721</v>
      </c>
      <c r="L405" s="16">
        <v>89.635336613778222</v>
      </c>
      <c r="M405" s="16">
        <v>95.418896600498442</v>
      </c>
      <c r="N405" s="16">
        <v>27.122779294148756</v>
      </c>
      <c r="O405" s="16">
        <v>78.202700403217733</v>
      </c>
      <c r="P405" s="16">
        <v>21.947581838802765</v>
      </c>
      <c r="Q405" s="16">
        <v>14.273184250747095</v>
      </c>
    </row>
    <row r="406" spans="1:17" ht="12.75" x14ac:dyDescent="0.2">
      <c r="A406" s="4" t="s">
        <v>136</v>
      </c>
      <c r="B406" s="4" t="s">
        <v>137</v>
      </c>
      <c r="C406" s="4" t="s">
        <v>4124</v>
      </c>
      <c r="D406" s="4" t="s">
        <v>4125</v>
      </c>
      <c r="E406" s="4" t="s">
        <v>108</v>
      </c>
      <c r="F406" s="4" t="s">
        <v>18</v>
      </c>
      <c r="G406" s="4" t="s">
        <v>61</v>
      </c>
      <c r="I406" s="4" t="s">
        <v>10</v>
      </c>
      <c r="J406" s="17" t="s">
        <v>3290</v>
      </c>
      <c r="K406" s="16">
        <v>73.794319048532373</v>
      </c>
      <c r="L406" s="16">
        <v>37.92747670568717</v>
      </c>
      <c r="M406" s="16">
        <v>42.136403259487523</v>
      </c>
      <c r="N406" s="16">
        <v>99.600861683129253</v>
      </c>
      <c r="O406" s="16">
        <v>58.678507364900248</v>
      </c>
      <c r="P406" s="16">
        <v>12.541937765087896</v>
      </c>
      <c r="Q406" s="16">
        <v>83.812161024461716</v>
      </c>
    </row>
    <row r="407" spans="1:17" ht="12.75" x14ac:dyDescent="0.2">
      <c r="A407" s="4" t="s">
        <v>98</v>
      </c>
      <c r="B407" s="4" t="s">
        <v>113</v>
      </c>
      <c r="C407" s="4" t="s">
        <v>4126</v>
      </c>
      <c r="D407" s="4" t="s">
        <v>4127</v>
      </c>
      <c r="E407" s="4" t="s">
        <v>126</v>
      </c>
      <c r="F407" s="4" t="s">
        <v>18</v>
      </c>
      <c r="G407" s="4" t="s">
        <v>19</v>
      </c>
      <c r="H407" s="4"/>
      <c r="I407" s="4" t="s">
        <v>10</v>
      </c>
      <c r="J407" s="17" t="s">
        <v>3290</v>
      </c>
      <c r="K407" s="16">
        <v>6.1201374651201901</v>
      </c>
      <c r="L407" s="16">
        <v>0.94893871218807435</v>
      </c>
      <c r="M407" s="16">
        <v>1.8131001667375801</v>
      </c>
      <c r="N407" s="16">
        <v>77.767656122532543</v>
      </c>
      <c r="O407" s="16">
        <v>87.930064667904091</v>
      </c>
      <c r="P407" s="16">
        <v>92.874923529905175</v>
      </c>
      <c r="Q407" s="16">
        <v>65.972195652877218</v>
      </c>
    </row>
    <row r="408" spans="1:17" ht="12.75" x14ac:dyDescent="0.2">
      <c r="A408" s="4" t="s">
        <v>64</v>
      </c>
      <c r="B408" s="4" t="s">
        <v>78</v>
      </c>
      <c r="C408" s="4" t="s">
        <v>4128</v>
      </c>
      <c r="D408" s="4" t="s">
        <v>4129</v>
      </c>
      <c r="E408" s="4" t="s">
        <v>129</v>
      </c>
      <c r="F408" s="4" t="s">
        <v>18</v>
      </c>
      <c r="G408" s="4" t="s">
        <v>61</v>
      </c>
      <c r="H408" s="4"/>
      <c r="I408" s="4" t="s">
        <v>10</v>
      </c>
      <c r="J408" s="17" t="s">
        <v>3290</v>
      </c>
      <c r="K408" s="16">
        <v>97.711748711207903</v>
      </c>
      <c r="L408" s="16">
        <v>82.439994945518876</v>
      </c>
      <c r="M408" s="16">
        <v>95.666033123685494</v>
      </c>
      <c r="N408" s="16">
        <v>87.14223705384839</v>
      </c>
      <c r="O408" s="16">
        <v>66.959610927376346</v>
      </c>
      <c r="P408" s="16">
        <v>87.126681503103626</v>
      </c>
      <c r="Q408" s="16">
        <v>81.940979141962515</v>
      </c>
    </row>
    <row r="409" spans="1:17" ht="12.75" x14ac:dyDescent="0.2">
      <c r="A409" s="4" t="s">
        <v>115</v>
      </c>
      <c r="B409" s="4" t="s">
        <v>119</v>
      </c>
      <c r="C409" s="4" t="s">
        <v>4130</v>
      </c>
      <c r="D409" s="4" t="s">
        <v>4131</v>
      </c>
      <c r="E409" s="4" t="s">
        <v>135</v>
      </c>
      <c r="F409" s="4" t="s">
        <v>18</v>
      </c>
      <c r="G409" s="4" t="s">
        <v>61</v>
      </c>
      <c r="I409" s="4" t="s">
        <v>10</v>
      </c>
      <c r="J409" s="17" t="s">
        <v>3290</v>
      </c>
      <c r="K409" s="16">
        <v>46.925678161102056</v>
      </c>
      <c r="L409" s="16">
        <v>71.568280848916316</v>
      </c>
      <c r="M409" s="16">
        <v>99.22081749876007</v>
      </c>
      <c r="N409" s="16">
        <v>21.828783942389496</v>
      </c>
      <c r="O409" s="16">
        <v>45.64988056933614</v>
      </c>
      <c r="P409" s="16">
        <v>37.064812377485367</v>
      </c>
      <c r="Q409" s="16">
        <v>35.054077669717451</v>
      </c>
    </row>
    <row r="410" spans="1:17" ht="12.75" x14ac:dyDescent="0.2">
      <c r="A410" s="4" t="s">
        <v>64</v>
      </c>
      <c r="B410" s="4" t="s">
        <v>82</v>
      </c>
      <c r="C410" s="4" t="s">
        <v>4132</v>
      </c>
      <c r="D410" s="4" t="s">
        <v>4133</v>
      </c>
      <c r="E410" s="4" t="s">
        <v>108</v>
      </c>
      <c r="F410" s="4" t="s">
        <v>18</v>
      </c>
      <c r="G410" s="4" t="s">
        <v>3280</v>
      </c>
      <c r="H410" s="4"/>
      <c r="I410" s="4" t="s">
        <v>10</v>
      </c>
      <c r="J410" s="17" t="s">
        <v>3290</v>
      </c>
      <c r="K410" s="16">
        <v>38.206800077875322</v>
      </c>
      <c r="L410" s="16">
        <v>61.227346208761304</v>
      </c>
      <c r="M410" s="16">
        <v>5.7842858482811561</v>
      </c>
      <c r="N410" s="16">
        <v>90.076242299052581</v>
      </c>
      <c r="O410" s="16">
        <v>62.656714518224987</v>
      </c>
      <c r="P410" s="16">
        <v>87.212097065677312</v>
      </c>
      <c r="Q410" s="16">
        <v>51.627412038268936</v>
      </c>
    </row>
    <row r="411" spans="1:17" ht="12.75" x14ac:dyDescent="0.2">
      <c r="A411" s="4" t="s">
        <v>64</v>
      </c>
      <c r="B411" s="4" t="s">
        <v>78</v>
      </c>
      <c r="C411" s="4" t="s">
        <v>4134</v>
      </c>
      <c r="D411" s="4" t="s">
        <v>4135</v>
      </c>
      <c r="E411" s="4" t="s">
        <v>129</v>
      </c>
      <c r="F411" s="4" t="s">
        <v>18</v>
      </c>
      <c r="G411" s="4" t="s">
        <v>26</v>
      </c>
      <c r="H411" s="4"/>
      <c r="I411" s="4" t="s">
        <v>10</v>
      </c>
      <c r="J411" s="17" t="s">
        <v>3290</v>
      </c>
      <c r="K411" s="16">
        <v>0.18412359629392805</v>
      </c>
      <c r="L411" s="16">
        <v>98.522429527311019</v>
      </c>
      <c r="M411" s="16">
        <v>56.423477645912548</v>
      </c>
      <c r="N411" s="16">
        <v>82.545236838339491</v>
      </c>
      <c r="O411" s="16">
        <v>48.423962103929661</v>
      </c>
      <c r="P411" s="16">
        <v>19.33030549757455</v>
      </c>
      <c r="Q411" s="16">
        <v>46.321961326307026</v>
      </c>
    </row>
    <row r="412" spans="1:17" ht="12.75" x14ac:dyDescent="0.2">
      <c r="A412" s="4" t="s">
        <v>98</v>
      </c>
      <c r="B412" s="4" t="s">
        <v>107</v>
      </c>
      <c r="C412" s="4" t="s">
        <v>4136</v>
      </c>
      <c r="D412" s="4" t="s">
        <v>4137</v>
      </c>
      <c r="E412" s="4" t="s">
        <v>87</v>
      </c>
      <c r="F412" s="4" t="s">
        <v>18</v>
      </c>
      <c r="G412" s="4" t="s">
        <v>41</v>
      </c>
      <c r="H412" s="4"/>
      <c r="I412" s="4" t="s">
        <v>10</v>
      </c>
      <c r="J412" s="17" t="s">
        <v>3290</v>
      </c>
      <c r="K412" s="16">
        <v>38.261548907913955</v>
      </c>
      <c r="L412" s="16">
        <v>43.585068888775261</v>
      </c>
      <c r="M412" s="16">
        <v>3.5747307508000925</v>
      </c>
      <c r="N412" s="16">
        <v>52.069270517440856</v>
      </c>
      <c r="O412" s="16">
        <v>85.562483414650202</v>
      </c>
      <c r="P412" s="16">
        <v>28.153345349633806</v>
      </c>
      <c r="Q412" s="16">
        <v>94.595420485486329</v>
      </c>
    </row>
    <row r="413" spans="1:17" ht="12.75" x14ac:dyDescent="0.2">
      <c r="A413" s="4" t="s">
        <v>136</v>
      </c>
      <c r="B413" s="4" t="s">
        <v>137</v>
      </c>
      <c r="C413" s="4" t="s">
        <v>4138</v>
      </c>
      <c r="D413" s="4" t="s">
        <v>4139</v>
      </c>
      <c r="E413" s="4" t="s">
        <v>87</v>
      </c>
      <c r="F413" s="4" t="s">
        <v>25</v>
      </c>
      <c r="G413" s="4" t="s">
        <v>41</v>
      </c>
      <c r="H413" s="4"/>
      <c r="I413" s="4" t="s">
        <v>10</v>
      </c>
      <c r="J413" s="17" t="s">
        <v>3290</v>
      </c>
      <c r="K413" s="16">
        <v>91.762310429741206</v>
      </c>
      <c r="L413" s="16">
        <v>91.316347910595567</v>
      </c>
      <c r="M413" s="16">
        <v>74.041342117261493</v>
      </c>
      <c r="N413" s="16">
        <v>46.920427518560537</v>
      </c>
      <c r="O413" s="16">
        <v>49.441940428740224</v>
      </c>
      <c r="P413" s="16">
        <v>52.506611051898844</v>
      </c>
      <c r="Q413" s="16">
        <v>76.325097303426801</v>
      </c>
    </row>
    <row r="414" spans="1:17" ht="12.75" x14ac:dyDescent="0.2">
      <c r="A414" s="4" t="s">
        <v>98</v>
      </c>
      <c r="B414" s="4" t="s">
        <v>105</v>
      </c>
      <c r="C414" s="4" t="s">
        <v>4140</v>
      </c>
      <c r="D414" s="4" t="s">
        <v>4141</v>
      </c>
      <c r="E414" s="4" t="s">
        <v>83</v>
      </c>
      <c r="F414" s="4" t="s">
        <v>25</v>
      </c>
      <c r="G414" s="4" t="s">
        <v>41</v>
      </c>
      <c r="H414" s="4"/>
      <c r="I414" s="4" t="s">
        <v>10</v>
      </c>
      <c r="J414" s="17" t="s">
        <v>3290</v>
      </c>
      <c r="K414" s="16">
        <v>24.831613277479047</v>
      </c>
      <c r="L414" s="16">
        <v>60.986720858607967</v>
      </c>
      <c r="M414" s="16">
        <v>67.918560248192861</v>
      </c>
      <c r="N414" s="16">
        <v>38.809070467840137</v>
      </c>
      <c r="O414" s="16">
        <v>98.334946530174449</v>
      </c>
      <c r="P414" s="16">
        <v>8.082332316008678</v>
      </c>
      <c r="Q414" s="16">
        <v>40.622616681035815</v>
      </c>
    </row>
    <row r="415" spans="1:17" ht="12.75" x14ac:dyDescent="0.2">
      <c r="A415" s="4" t="s">
        <v>115</v>
      </c>
      <c r="B415" s="4" t="s">
        <v>116</v>
      </c>
      <c r="C415" s="4" t="s">
        <v>4142</v>
      </c>
      <c r="D415" s="4" t="s">
        <v>4143</v>
      </c>
      <c r="E415" s="4" t="s">
        <v>108</v>
      </c>
      <c r="F415" s="4" t="s">
        <v>18</v>
      </c>
      <c r="G415" s="4" t="s">
        <v>61</v>
      </c>
      <c r="H415" s="4"/>
      <c r="I415" s="4" t="s">
        <v>10</v>
      </c>
      <c r="J415" s="17" t="s">
        <v>3290</v>
      </c>
      <c r="K415" s="16">
        <v>68.228070154566794</v>
      </c>
      <c r="L415" s="16">
        <v>17.512187206124572</v>
      </c>
      <c r="M415" s="16">
        <v>43.834277207091866</v>
      </c>
      <c r="N415" s="16">
        <v>40.560828849123808</v>
      </c>
      <c r="O415" s="16">
        <v>65.387133561790634</v>
      </c>
      <c r="P415" s="16">
        <v>36.69751088035482</v>
      </c>
      <c r="Q415" s="16">
        <v>46.151043688599295</v>
      </c>
    </row>
    <row r="416" spans="1:17" ht="12.75" x14ac:dyDescent="0.2">
      <c r="A416" s="4" t="s">
        <v>7</v>
      </c>
      <c r="B416" s="4" t="s">
        <v>8</v>
      </c>
      <c r="C416" s="4" t="s">
        <v>4144</v>
      </c>
      <c r="D416" s="4" t="s">
        <v>4145</v>
      </c>
      <c r="E416" s="4" t="s">
        <v>106</v>
      </c>
      <c r="F416" s="4" t="s">
        <v>18</v>
      </c>
      <c r="G416" s="4" t="s">
        <v>61</v>
      </c>
      <c r="H416" s="4" t="s">
        <v>4146</v>
      </c>
      <c r="I416" s="4" t="s">
        <v>10</v>
      </c>
      <c r="J416" s="17" t="s">
        <v>3290</v>
      </c>
      <c r="K416" s="16">
        <v>11.587249990997861</v>
      </c>
      <c r="L416" s="16">
        <v>44.308242808479591</v>
      </c>
      <c r="M416" s="16">
        <v>9.4995229411172559</v>
      </c>
      <c r="N416" s="16">
        <v>65.066169662133802</v>
      </c>
      <c r="O416" s="16">
        <v>82.72571349534465</v>
      </c>
      <c r="P416" s="16">
        <v>0.20072426902184581</v>
      </c>
      <c r="Q416" s="16">
        <v>23.697352808460636</v>
      </c>
    </row>
    <row r="417" spans="1:17" ht="12.75" x14ac:dyDescent="0.2">
      <c r="A417" s="4" t="s">
        <v>64</v>
      </c>
      <c r="B417" s="4" t="s">
        <v>78</v>
      </c>
      <c r="C417" s="4" t="s">
        <v>4147</v>
      </c>
      <c r="D417" s="4" t="s">
        <v>4148</v>
      </c>
      <c r="E417" s="4" t="s">
        <v>9</v>
      </c>
      <c r="F417" s="4" t="s">
        <v>18</v>
      </c>
      <c r="G417" s="4" t="s">
        <v>12</v>
      </c>
      <c r="H417" s="4"/>
      <c r="I417" s="4" t="s">
        <v>10</v>
      </c>
      <c r="J417" s="17" t="s">
        <v>3290</v>
      </c>
      <c r="K417" s="16">
        <v>16.476498728694544</v>
      </c>
      <c r="L417" s="16">
        <v>29.701656951632714</v>
      </c>
      <c r="M417" s="16">
        <v>5.2518811659603593</v>
      </c>
      <c r="N417" s="16">
        <v>39.145709284541482</v>
      </c>
      <c r="O417" s="16">
        <v>76.752644912920758</v>
      </c>
      <c r="P417" s="16">
        <v>81.678377277660189</v>
      </c>
      <c r="Q417" s="16">
        <v>1.0150648981602228</v>
      </c>
    </row>
    <row r="418" spans="1:17" ht="12.75" x14ac:dyDescent="0.2">
      <c r="A418" s="4" t="s">
        <v>98</v>
      </c>
      <c r="B418" s="4" t="s">
        <v>107</v>
      </c>
      <c r="C418" s="4" t="s">
        <v>4149</v>
      </c>
      <c r="D418" s="4" t="s">
        <v>4150</v>
      </c>
      <c r="E418" s="4" t="s">
        <v>129</v>
      </c>
      <c r="F418" s="4" t="s">
        <v>18</v>
      </c>
      <c r="G418" s="4" t="s">
        <v>19</v>
      </c>
      <c r="I418" s="4" t="s">
        <v>10</v>
      </c>
      <c r="J418" s="17" t="s">
        <v>3290</v>
      </c>
      <c r="K418" s="16">
        <v>41.069264919681302</v>
      </c>
      <c r="L418" s="16">
        <v>27.638909748479378</v>
      </c>
      <c r="M418" s="16">
        <v>33.74515125489058</v>
      </c>
      <c r="N418" s="16">
        <v>2.7176087423658291</v>
      </c>
      <c r="O418" s="16">
        <v>57.599976154969134</v>
      </c>
      <c r="P418" s="16">
        <v>16.816334607752161</v>
      </c>
      <c r="Q418" s="16">
        <v>82.065401566052785</v>
      </c>
    </row>
    <row r="419" spans="1:17" ht="12.75" x14ac:dyDescent="0.2">
      <c r="A419" s="4" t="s">
        <v>64</v>
      </c>
      <c r="B419" s="4" t="s">
        <v>86</v>
      </c>
      <c r="C419" s="4" t="s">
        <v>4151</v>
      </c>
      <c r="D419" s="4" t="s">
        <v>4152</v>
      </c>
      <c r="E419" s="4" t="s">
        <v>87</v>
      </c>
      <c r="F419" s="4" t="s">
        <v>25</v>
      </c>
      <c r="G419" s="4" t="s">
        <v>72</v>
      </c>
      <c r="I419" s="4" t="s">
        <v>10</v>
      </c>
      <c r="J419" s="17" t="s">
        <v>3290</v>
      </c>
      <c r="K419" s="16">
        <v>8.3022237053858241</v>
      </c>
      <c r="L419" s="16">
        <v>80.08743761878479</v>
      </c>
      <c r="M419" s="16">
        <v>51.609185673785177</v>
      </c>
      <c r="N419" s="16">
        <v>78.837886077212431</v>
      </c>
      <c r="O419" s="16">
        <v>87.693680047744806</v>
      </c>
      <c r="P419" s="16">
        <v>59.788618851642518</v>
      </c>
      <c r="Q419" s="16">
        <v>39.888674312328575</v>
      </c>
    </row>
    <row r="420" spans="1:17" ht="12.75" x14ac:dyDescent="0.2">
      <c r="A420" s="4" t="s">
        <v>64</v>
      </c>
      <c r="B420" s="4" t="s">
        <v>82</v>
      </c>
      <c r="C420" s="4" t="s">
        <v>4153</v>
      </c>
      <c r="D420" s="4" t="s">
        <v>4154</v>
      </c>
      <c r="E420" s="4" t="s">
        <v>87</v>
      </c>
      <c r="F420" s="4" t="s">
        <v>25</v>
      </c>
      <c r="G420" s="4" t="s">
        <v>72</v>
      </c>
      <c r="H420" s="4"/>
      <c r="I420" s="4" t="s">
        <v>10</v>
      </c>
      <c r="J420" s="17" t="s">
        <v>3290</v>
      </c>
      <c r="K420" s="16">
        <v>67.182034506249551</v>
      </c>
      <c r="L420" s="16">
        <v>39.596590792598562</v>
      </c>
      <c r="M420" s="16">
        <v>15.274040351610562</v>
      </c>
      <c r="N420" s="16">
        <v>76.021360059634759</v>
      </c>
      <c r="O420" s="16">
        <v>20.29464213145874</v>
      </c>
      <c r="P420" s="16">
        <v>37.001639718141242</v>
      </c>
      <c r="Q420" s="16">
        <v>72.049416704387355</v>
      </c>
    </row>
    <row r="421" spans="1:17" ht="12.75" x14ac:dyDescent="0.2">
      <c r="A421" s="4" t="s">
        <v>115</v>
      </c>
      <c r="B421" s="4" t="s">
        <v>116</v>
      </c>
      <c r="C421" s="4" t="s">
        <v>4155</v>
      </c>
      <c r="D421" s="4" t="s">
        <v>4156</v>
      </c>
      <c r="E421" s="4" t="s">
        <v>114</v>
      </c>
      <c r="F421" s="4" t="s">
        <v>25</v>
      </c>
      <c r="G421" s="4" t="s">
        <v>61</v>
      </c>
      <c r="H421" s="4"/>
      <c r="I421" s="4" t="s">
        <v>10</v>
      </c>
      <c r="J421" s="17" t="s">
        <v>3290</v>
      </c>
      <c r="K421" s="16">
        <v>77.652294370069114</v>
      </c>
      <c r="L421" s="16">
        <v>18.412280350473264</v>
      </c>
      <c r="M421" s="16">
        <v>34.187359004064589</v>
      </c>
      <c r="N421" s="16">
        <v>74.119070114483236</v>
      </c>
      <c r="O421" s="16">
        <v>16.335864475660699</v>
      </c>
      <c r="P421" s="16">
        <v>96.113215751476432</v>
      </c>
      <c r="Q421" s="16">
        <v>84.044508914605558</v>
      </c>
    </row>
    <row r="422" spans="1:17" ht="12.75" x14ac:dyDescent="0.2">
      <c r="A422" s="4" t="s">
        <v>115</v>
      </c>
      <c r="B422" s="4" t="s">
        <v>119</v>
      </c>
      <c r="C422" s="4" t="s">
        <v>4157</v>
      </c>
      <c r="D422" s="4" t="s">
        <v>4158</v>
      </c>
      <c r="E422" s="4" t="s">
        <v>114</v>
      </c>
      <c r="F422" s="4" t="s">
        <v>25</v>
      </c>
      <c r="G422" s="4" t="s">
        <v>61</v>
      </c>
      <c r="I422" s="4" t="s">
        <v>10</v>
      </c>
      <c r="J422" s="17" t="s">
        <v>3290</v>
      </c>
      <c r="K422" s="16">
        <v>41.009780059655021</v>
      </c>
      <c r="L422" s="16">
        <v>75.58433287065661</v>
      </c>
      <c r="M422" s="16">
        <v>51.834866912080713</v>
      </c>
      <c r="N422" s="16">
        <v>2.7464378454464367</v>
      </c>
      <c r="O422" s="16">
        <v>62.64459503120824</v>
      </c>
      <c r="P422" s="16">
        <v>69.132757020940645</v>
      </c>
      <c r="Q422" s="16">
        <v>3.1914891501219622</v>
      </c>
    </row>
    <row r="423" spans="1:17" ht="12.75" x14ac:dyDescent="0.2">
      <c r="A423" s="4" t="s">
        <v>115</v>
      </c>
      <c r="B423" s="4" t="s">
        <v>116</v>
      </c>
      <c r="C423" s="4" t="s">
        <v>4159</v>
      </c>
      <c r="D423" s="4" t="s">
        <v>4160</v>
      </c>
      <c r="E423" s="4" t="s">
        <v>9</v>
      </c>
      <c r="F423" s="4" t="s">
        <v>18</v>
      </c>
      <c r="G423" s="4" t="s">
        <v>12</v>
      </c>
      <c r="H423" s="4"/>
      <c r="I423" s="4" t="s">
        <v>10</v>
      </c>
      <c r="J423" s="17" t="s">
        <v>3290</v>
      </c>
      <c r="K423" s="16">
        <v>38.801409972714232</v>
      </c>
      <c r="L423" s="16">
        <v>32.915221560524074</v>
      </c>
      <c r="M423" s="16">
        <v>96.281119650806787</v>
      </c>
      <c r="N423" s="16">
        <v>75.447249373034609</v>
      </c>
      <c r="O423" s="16">
        <v>60.037682208710855</v>
      </c>
      <c r="P423" s="16">
        <v>49.530844084185169</v>
      </c>
      <c r="Q423" s="16">
        <v>55.969459920377204</v>
      </c>
    </row>
    <row r="424" spans="1:17" ht="12.75" x14ac:dyDescent="0.2">
      <c r="A424" s="4" t="s">
        <v>37</v>
      </c>
      <c r="B424" s="4" t="s">
        <v>45</v>
      </c>
      <c r="C424" s="4" t="s">
        <v>4161</v>
      </c>
      <c r="D424" s="4" t="s">
        <v>4162</v>
      </c>
      <c r="E424" s="4" t="s">
        <v>138</v>
      </c>
      <c r="F424" s="4" t="s">
        <v>32</v>
      </c>
      <c r="G424" s="4" t="s">
        <v>72</v>
      </c>
      <c r="H424" s="4" t="s">
        <v>3600</v>
      </c>
      <c r="I424" s="4" t="s">
        <v>10</v>
      </c>
      <c r="J424" s="17" t="s">
        <v>3290</v>
      </c>
      <c r="K424" s="16">
        <v>14.026100432029786</v>
      </c>
      <c r="L424" s="16">
        <v>46.687043615129589</v>
      </c>
      <c r="M424" s="16">
        <v>85.666578156680075</v>
      </c>
      <c r="N424" s="16">
        <v>70.455660147076998</v>
      </c>
      <c r="O424" s="16">
        <v>99.076219144727304</v>
      </c>
      <c r="P424" s="16">
        <v>82.204997842930638</v>
      </c>
      <c r="Q424" s="16">
        <v>64.22924777798373</v>
      </c>
    </row>
    <row r="425" spans="1:17" ht="12.75" x14ac:dyDescent="0.2">
      <c r="A425" s="4" t="s">
        <v>7</v>
      </c>
      <c r="B425" s="4" t="s">
        <v>8</v>
      </c>
      <c r="C425" s="4" t="s">
        <v>4163</v>
      </c>
      <c r="D425" s="4" t="s">
        <v>4164</v>
      </c>
      <c r="E425" s="4" t="s">
        <v>17</v>
      </c>
      <c r="F425" s="4" t="s">
        <v>11</v>
      </c>
      <c r="G425" s="4" t="s">
        <v>41</v>
      </c>
      <c r="I425" s="4" t="s">
        <v>10</v>
      </c>
      <c r="J425" s="17" t="s">
        <v>3290</v>
      </c>
      <c r="K425" s="16">
        <v>91.899567698120663</v>
      </c>
      <c r="L425" s="16">
        <v>21.515480165516987</v>
      </c>
      <c r="M425" s="16">
        <v>18.958681246405064</v>
      </c>
      <c r="N425" s="16">
        <v>93.07321701701818</v>
      </c>
      <c r="O425" s="16">
        <v>54.275402035600997</v>
      </c>
      <c r="P425" s="16">
        <v>67.704673864369354</v>
      </c>
      <c r="Q425" s="16">
        <v>64.085262926086813</v>
      </c>
    </row>
    <row r="426" spans="1:17" ht="12.75" x14ac:dyDescent="0.2">
      <c r="A426" s="4" t="s">
        <v>7</v>
      </c>
      <c r="B426" s="4" t="s">
        <v>8</v>
      </c>
      <c r="C426" s="4" t="s">
        <v>4165</v>
      </c>
      <c r="D426" s="4" t="s">
        <v>4166</v>
      </c>
      <c r="E426" s="4" t="s">
        <v>17</v>
      </c>
      <c r="F426" s="4" t="s">
        <v>18</v>
      </c>
      <c r="G426" s="4" t="s">
        <v>41</v>
      </c>
      <c r="I426" s="4" t="s">
        <v>10</v>
      </c>
      <c r="J426" s="17" t="s">
        <v>3290</v>
      </c>
      <c r="K426" s="16">
        <v>98.124150816488765</v>
      </c>
      <c r="L426" s="16">
        <v>44.727606140743994</v>
      </c>
      <c r="M426" s="16">
        <v>48.059164902895915</v>
      </c>
      <c r="N426" s="16">
        <v>86.246539158505783</v>
      </c>
      <c r="O426" s="16">
        <v>8.0257125304498018</v>
      </c>
      <c r="P426" s="16">
        <v>53.783279968844766</v>
      </c>
      <c r="Q426" s="16">
        <v>35.298348107188836</v>
      </c>
    </row>
    <row r="427" spans="1:17" ht="12.75" x14ac:dyDescent="0.2">
      <c r="A427" s="4" t="s">
        <v>98</v>
      </c>
      <c r="B427" s="4" t="s">
        <v>110</v>
      </c>
      <c r="C427" s="4" t="s">
        <v>4167</v>
      </c>
      <c r="D427" s="4" t="s">
        <v>4168</v>
      </c>
      <c r="E427" s="4" t="s">
        <v>129</v>
      </c>
      <c r="F427" s="4" t="s">
        <v>18</v>
      </c>
      <c r="G427" s="4" t="s">
        <v>19</v>
      </c>
      <c r="H427" s="4" t="s">
        <v>10</v>
      </c>
      <c r="I427" s="4" t="s">
        <v>10</v>
      </c>
      <c r="J427" s="17" t="s">
        <v>3290</v>
      </c>
      <c r="K427" s="16">
        <v>39.91210761868286</v>
      </c>
      <c r="L427" s="16">
        <v>62.248730903808116</v>
      </c>
      <c r="M427" s="16">
        <v>80.850879935144988</v>
      </c>
      <c r="N427" s="16">
        <v>21.166177605453907</v>
      </c>
      <c r="O427" s="16">
        <v>26.491386902969449</v>
      </c>
      <c r="P427" s="16">
        <v>8.2842566206675077</v>
      </c>
      <c r="Q427" s="16">
        <v>65.150414152308784</v>
      </c>
    </row>
    <row r="428" spans="1:17" ht="12.75" x14ac:dyDescent="0.2">
      <c r="A428" s="4" t="s">
        <v>7</v>
      </c>
      <c r="B428" s="4" t="s">
        <v>8</v>
      </c>
      <c r="C428" s="4" t="s">
        <v>4169</v>
      </c>
      <c r="D428" s="4" t="s">
        <v>4170</v>
      </c>
      <c r="E428" s="4" t="s">
        <v>106</v>
      </c>
      <c r="F428" s="4" t="s">
        <v>18</v>
      </c>
      <c r="G428" s="4" t="s">
        <v>41</v>
      </c>
      <c r="I428" s="4" t="s">
        <v>10</v>
      </c>
      <c r="J428" s="17" t="s">
        <v>3290</v>
      </c>
      <c r="K428" s="16">
        <v>45.842378052898859</v>
      </c>
      <c r="L428" s="16">
        <v>24.260068019628722</v>
      </c>
      <c r="M428" s="16">
        <v>51.092586319697851</v>
      </c>
      <c r="N428" s="16">
        <v>59.584918482476986</v>
      </c>
      <c r="O428" s="16">
        <v>10.153882010207049</v>
      </c>
      <c r="P428" s="16">
        <v>79.861152015197803</v>
      </c>
      <c r="Q428" s="16">
        <v>80.250029835916123</v>
      </c>
    </row>
    <row r="429" spans="1:17" ht="12.75" x14ac:dyDescent="0.2">
      <c r="A429" s="4" t="s">
        <v>37</v>
      </c>
      <c r="B429" s="4" t="s">
        <v>45</v>
      </c>
      <c r="C429" s="4" t="s">
        <v>4171</v>
      </c>
      <c r="D429" s="4" t="s">
        <v>4172</v>
      </c>
      <c r="E429" s="4" t="s">
        <v>138</v>
      </c>
      <c r="F429" s="4" t="s">
        <v>18</v>
      </c>
      <c r="G429" s="4" t="s">
        <v>72</v>
      </c>
      <c r="H429" s="4" t="s">
        <v>3600</v>
      </c>
      <c r="I429" s="4" t="s">
        <v>10</v>
      </c>
      <c r="J429" s="17" t="s">
        <v>3290</v>
      </c>
      <c r="K429" s="16">
        <v>61.126440782145131</v>
      </c>
      <c r="L429" s="16">
        <v>5.392673561168948</v>
      </c>
      <c r="M429" s="16">
        <v>81.991647076423064</v>
      </c>
      <c r="N429" s="16">
        <v>38.494729675563043</v>
      </c>
      <c r="O429" s="16">
        <v>46.89404317545123</v>
      </c>
      <c r="P429" s="16">
        <v>31.007921833239106</v>
      </c>
      <c r="Q429" s="16">
        <v>67.697169495947463</v>
      </c>
    </row>
    <row r="430" spans="1:17" ht="12.75" x14ac:dyDescent="0.2">
      <c r="A430" s="4" t="s">
        <v>98</v>
      </c>
      <c r="B430" s="4" t="s">
        <v>99</v>
      </c>
      <c r="C430" s="4" t="s">
        <v>4173</v>
      </c>
      <c r="D430" s="4" t="s">
        <v>4174</v>
      </c>
      <c r="E430" s="4" t="s">
        <v>108</v>
      </c>
      <c r="F430" s="4" t="s">
        <v>25</v>
      </c>
      <c r="G430" s="4" t="s">
        <v>72</v>
      </c>
      <c r="H430" s="4"/>
      <c r="I430" s="4" t="s">
        <v>10</v>
      </c>
      <c r="J430" s="17" t="s">
        <v>3290</v>
      </c>
      <c r="K430" s="16">
        <v>25.077294960671047</v>
      </c>
      <c r="L430" s="16">
        <v>45.915025561004171</v>
      </c>
      <c r="M430" s="16">
        <v>85.5811081274625</v>
      </c>
      <c r="N430" s="16">
        <v>64.582062944647262</v>
      </c>
      <c r="O430" s="16">
        <v>32.027791513898762</v>
      </c>
      <c r="P430" s="16">
        <v>93.962589705249968</v>
      </c>
      <c r="Q430" s="16">
        <v>6.8357251363620586</v>
      </c>
    </row>
    <row r="431" spans="1:17" ht="12.75" x14ac:dyDescent="0.2">
      <c r="A431" s="4" t="s">
        <v>64</v>
      </c>
      <c r="B431" s="4" t="s">
        <v>82</v>
      </c>
      <c r="C431" s="4" t="s">
        <v>4175</v>
      </c>
      <c r="D431" s="4" t="s">
        <v>4176</v>
      </c>
      <c r="E431" s="4" t="s">
        <v>135</v>
      </c>
      <c r="F431" s="4" t="s">
        <v>25</v>
      </c>
      <c r="G431" s="4" t="s">
        <v>72</v>
      </c>
      <c r="H431" s="4"/>
      <c r="I431" s="4" t="s">
        <v>10</v>
      </c>
      <c r="J431" s="17" t="s">
        <v>3290</v>
      </c>
      <c r="K431" s="16">
        <v>73.923179454917261</v>
      </c>
      <c r="L431" s="16">
        <v>3.5668497099862861</v>
      </c>
      <c r="M431" s="16">
        <v>89.502122481563077</v>
      </c>
      <c r="N431" s="16">
        <v>60.261933041188222</v>
      </c>
      <c r="O431" s="16">
        <v>32.854994425131892</v>
      </c>
      <c r="P431" s="16">
        <v>56.142575531886031</v>
      </c>
      <c r="Q431" s="16">
        <v>85.54257491724762</v>
      </c>
    </row>
    <row r="432" spans="1:17" ht="12.75" x14ac:dyDescent="0.2">
      <c r="A432" s="4" t="s">
        <v>98</v>
      </c>
      <c r="B432" s="4" t="s">
        <v>102</v>
      </c>
      <c r="C432" s="4" t="s">
        <v>4177</v>
      </c>
      <c r="D432" s="4" t="s">
        <v>4178</v>
      </c>
      <c r="E432" s="4" t="s">
        <v>108</v>
      </c>
      <c r="F432" s="4" t="s">
        <v>25</v>
      </c>
      <c r="G432" s="4" t="s">
        <v>61</v>
      </c>
      <c r="H432" s="4"/>
      <c r="I432" s="4" t="s">
        <v>10</v>
      </c>
      <c r="J432" s="17" t="s">
        <v>3290</v>
      </c>
      <c r="K432" s="16">
        <v>37.901590864020598</v>
      </c>
      <c r="L432" s="16">
        <v>30.532848404709711</v>
      </c>
      <c r="M432" s="16">
        <v>91.718401456829298</v>
      </c>
      <c r="N432" s="16">
        <v>37.297840285254061</v>
      </c>
      <c r="O432" s="16">
        <v>65.814497686194429</v>
      </c>
      <c r="P432" s="16">
        <v>84.779685304630732</v>
      </c>
      <c r="Q432" s="16">
        <v>33.557847732611165</v>
      </c>
    </row>
    <row r="433" spans="1:18" ht="12.75" x14ac:dyDescent="0.2">
      <c r="A433" s="4" t="s">
        <v>7</v>
      </c>
      <c r="B433" s="4" t="s">
        <v>23</v>
      </c>
      <c r="C433" s="4" t="s">
        <v>4179</v>
      </c>
      <c r="D433" s="4" t="s">
        <v>4180</v>
      </c>
      <c r="E433" s="4" t="s">
        <v>123</v>
      </c>
      <c r="F433" s="4" t="s">
        <v>18</v>
      </c>
      <c r="G433" s="4" t="s">
        <v>41</v>
      </c>
      <c r="H433" s="4"/>
      <c r="I433" s="4" t="s">
        <v>10</v>
      </c>
      <c r="J433" s="17" t="s">
        <v>3290</v>
      </c>
      <c r="K433" s="16">
        <v>76.750135333003925</v>
      </c>
      <c r="L433" s="16">
        <v>75.785705669516332</v>
      </c>
      <c r="M433" s="16">
        <v>65.218257241651955</v>
      </c>
      <c r="N433" s="16">
        <v>18.836887138478819</v>
      </c>
      <c r="O433" s="16">
        <v>59.81413570139118</v>
      </c>
      <c r="P433" s="16">
        <v>5.431789812283105</v>
      </c>
      <c r="Q433" s="16">
        <v>91.025639660036063</v>
      </c>
    </row>
    <row r="434" spans="1:18" ht="12.75" x14ac:dyDescent="0.2">
      <c r="A434" s="4" t="s">
        <v>115</v>
      </c>
      <c r="B434" s="4" t="s">
        <v>119</v>
      </c>
      <c r="C434" s="4" t="s">
        <v>4181</v>
      </c>
      <c r="D434" s="4" t="s">
        <v>4182</v>
      </c>
      <c r="E434" s="4" t="s">
        <v>135</v>
      </c>
      <c r="F434" s="4" t="s">
        <v>18</v>
      </c>
      <c r="G434" s="4" t="s">
        <v>61</v>
      </c>
      <c r="I434" s="4" t="s">
        <v>10</v>
      </c>
      <c r="J434" s="17" t="s">
        <v>3290</v>
      </c>
      <c r="K434" s="16">
        <v>64.347254984889105</v>
      </c>
      <c r="L434" s="16">
        <v>57.990344107374639</v>
      </c>
      <c r="M434" s="16">
        <v>18.433952955982669</v>
      </c>
      <c r="N434" s="16">
        <v>41.59183381279005</v>
      </c>
      <c r="O434" s="16">
        <v>81.836686762181856</v>
      </c>
      <c r="P434" s="16">
        <v>57.813420423521464</v>
      </c>
      <c r="Q434" s="16">
        <v>36.095741634897259</v>
      </c>
    </row>
    <row r="435" spans="1:18" ht="12.75" x14ac:dyDescent="0.2">
      <c r="A435" s="4" t="s">
        <v>98</v>
      </c>
      <c r="B435" s="4" t="s">
        <v>107</v>
      </c>
      <c r="C435" s="4" t="s">
        <v>4183</v>
      </c>
      <c r="D435" s="4" t="s">
        <v>4184</v>
      </c>
      <c r="E435" s="4" t="s">
        <v>114</v>
      </c>
      <c r="F435" s="4" t="s">
        <v>32</v>
      </c>
      <c r="G435" s="4" t="s">
        <v>41</v>
      </c>
      <c r="H435" s="4"/>
      <c r="I435" s="4" t="s">
        <v>10</v>
      </c>
      <c r="J435" s="17" t="s">
        <v>3290</v>
      </c>
      <c r="K435" s="16">
        <v>4.1053940774250837</v>
      </c>
      <c r="L435" s="16">
        <v>13.956381683045937</v>
      </c>
      <c r="M435" s="16">
        <v>93.241688687836472</v>
      </c>
      <c r="N435" s="16">
        <v>59.157818059560952</v>
      </c>
      <c r="O435" s="16">
        <v>33.636052800309734</v>
      </c>
      <c r="P435" s="16">
        <v>45.666369421787898</v>
      </c>
      <c r="Q435" s="16">
        <v>20.44911057583213</v>
      </c>
    </row>
    <row r="436" spans="1:18" ht="12.75" x14ac:dyDescent="0.2">
      <c r="A436" s="4" t="s">
        <v>37</v>
      </c>
      <c r="B436" s="4" t="s">
        <v>45</v>
      </c>
      <c r="C436" s="4" t="s">
        <v>4185</v>
      </c>
      <c r="D436" s="4" t="s">
        <v>4186</v>
      </c>
      <c r="E436" s="4" t="s">
        <v>138</v>
      </c>
      <c r="F436" s="4" t="s">
        <v>11</v>
      </c>
      <c r="G436" s="4" t="s">
        <v>72</v>
      </c>
      <c r="H436" s="4" t="s">
        <v>3375</v>
      </c>
      <c r="I436" s="4" t="s">
        <v>10</v>
      </c>
      <c r="J436" s="17" t="s">
        <v>3290</v>
      </c>
      <c r="K436" s="16">
        <v>29.735145173378207</v>
      </c>
      <c r="L436" s="16">
        <v>90.674898660546503</v>
      </c>
      <c r="M436" s="16">
        <v>37.724887655362274</v>
      </c>
      <c r="N436" s="16">
        <v>43.944709189886808</v>
      </c>
      <c r="O436" s="16">
        <v>68.391218143262762</v>
      </c>
      <c r="P436" s="16">
        <v>95.252831612765391</v>
      </c>
      <c r="Q436" s="16">
        <v>78.329834206711752</v>
      </c>
    </row>
    <row r="437" spans="1:18" ht="12.75" x14ac:dyDescent="0.2">
      <c r="A437" s="4" t="s">
        <v>115</v>
      </c>
      <c r="B437" s="4" t="s">
        <v>116</v>
      </c>
      <c r="C437" s="4" t="s">
        <v>4187</v>
      </c>
      <c r="D437" s="4" t="s">
        <v>4188</v>
      </c>
      <c r="E437" s="4" t="s">
        <v>114</v>
      </c>
      <c r="F437" s="4" t="s">
        <v>25</v>
      </c>
      <c r="G437" s="4" t="s">
        <v>61</v>
      </c>
      <c r="I437" s="4" t="s">
        <v>10</v>
      </c>
      <c r="J437" s="17" t="s">
        <v>3290</v>
      </c>
      <c r="K437" s="16">
        <v>68.303330334067553</v>
      </c>
      <c r="L437" s="16">
        <v>59.179155516770052</v>
      </c>
      <c r="M437" s="16">
        <v>51.443964580221291</v>
      </c>
      <c r="N437" s="16">
        <v>24.163389968417881</v>
      </c>
      <c r="O437" s="16">
        <v>52.884634671830035</v>
      </c>
      <c r="P437" s="16">
        <v>21.929167997332822</v>
      </c>
      <c r="Q437" s="16">
        <v>68.091363069550169</v>
      </c>
    </row>
    <row r="438" spans="1:18" ht="12.75" x14ac:dyDescent="0.2">
      <c r="A438" s="4" t="s">
        <v>7</v>
      </c>
      <c r="B438" s="4" t="s">
        <v>8</v>
      </c>
      <c r="C438" s="4" t="s">
        <v>4189</v>
      </c>
      <c r="D438" s="4" t="s">
        <v>4190</v>
      </c>
      <c r="E438" s="4" t="s">
        <v>108</v>
      </c>
      <c r="F438" s="4" t="s">
        <v>25</v>
      </c>
      <c r="G438" s="4" t="s">
        <v>61</v>
      </c>
      <c r="I438" s="4" t="s">
        <v>10</v>
      </c>
      <c r="J438" s="17" t="s">
        <v>3290</v>
      </c>
      <c r="K438" s="16">
        <v>92.964187502611708</v>
      </c>
      <c r="L438" s="16">
        <v>80.378126793147899</v>
      </c>
      <c r="M438" s="16">
        <v>3.9735575511353982</v>
      </c>
      <c r="N438" s="16">
        <v>72.850057147265161</v>
      </c>
      <c r="O438" s="16">
        <v>12.907724292693622</v>
      </c>
      <c r="P438" s="16">
        <v>57.131333841064404</v>
      </c>
      <c r="Q438" s="16">
        <v>92.109096285675037</v>
      </c>
    </row>
    <row r="439" spans="1:18" ht="12.75" x14ac:dyDescent="0.2">
      <c r="A439" s="4" t="s">
        <v>7</v>
      </c>
      <c r="B439" s="4" t="s">
        <v>16</v>
      </c>
      <c r="C439" s="4" t="s">
        <v>4191</v>
      </c>
      <c r="D439" s="4" t="s">
        <v>4192</v>
      </c>
      <c r="E439" s="4" t="s">
        <v>87</v>
      </c>
      <c r="F439" s="4" t="s">
        <v>18</v>
      </c>
      <c r="G439" s="4"/>
      <c r="H439" s="4" t="s">
        <v>10</v>
      </c>
      <c r="I439" s="4" t="s">
        <v>10</v>
      </c>
      <c r="J439" s="17" t="s">
        <v>3290</v>
      </c>
      <c r="K439" s="16">
        <v>42.900159084406006</v>
      </c>
      <c r="L439" s="16">
        <v>25.526186693314521</v>
      </c>
      <c r="M439" s="16">
        <v>54.334608655972104</v>
      </c>
      <c r="N439" s="16">
        <v>54.962322315989354</v>
      </c>
      <c r="O439" s="16">
        <v>26.781638711557608</v>
      </c>
      <c r="P439" s="16">
        <v>28.845648497520958</v>
      </c>
      <c r="Q439" s="16">
        <v>65.511985987844696</v>
      </c>
    </row>
    <row r="440" spans="1:18" ht="12.75" x14ac:dyDescent="0.2">
      <c r="A440" s="4" t="s">
        <v>115</v>
      </c>
      <c r="B440" s="4" t="s">
        <v>131</v>
      </c>
      <c r="C440" s="4" t="s">
        <v>4193</v>
      </c>
      <c r="D440" s="4" t="s">
        <v>4194</v>
      </c>
      <c r="E440" s="4" t="s">
        <v>87</v>
      </c>
      <c r="F440" s="4" t="s">
        <v>25</v>
      </c>
      <c r="G440" s="4" t="s">
        <v>72</v>
      </c>
      <c r="H440" s="4" t="s">
        <v>4195</v>
      </c>
      <c r="I440" s="4" t="s">
        <v>10</v>
      </c>
      <c r="J440" s="17" t="s">
        <v>3290</v>
      </c>
      <c r="K440" s="16">
        <v>16.805786963264048</v>
      </c>
      <c r="L440" s="16">
        <v>14.223024100477788</v>
      </c>
      <c r="M440" s="16">
        <v>57.316084639232344</v>
      </c>
      <c r="N440" s="16">
        <v>65.211479051260355</v>
      </c>
      <c r="O440" s="16">
        <v>40.267445836815817</v>
      </c>
      <c r="P440" s="16">
        <v>77.14176771801317</v>
      </c>
      <c r="Q440" s="16">
        <v>24.103476935217273</v>
      </c>
      <c r="R440" s="4"/>
    </row>
    <row r="441" spans="1:18" ht="12.75" x14ac:dyDescent="0.2">
      <c r="A441" s="4" t="s">
        <v>115</v>
      </c>
      <c r="B441" s="4" t="s">
        <v>119</v>
      </c>
      <c r="C441" s="4" t="s">
        <v>4196</v>
      </c>
      <c r="D441" s="4" t="s">
        <v>4197</v>
      </c>
      <c r="E441" s="4" t="s">
        <v>135</v>
      </c>
      <c r="F441" s="4" t="s">
        <v>18</v>
      </c>
      <c r="G441" s="4" t="s">
        <v>61</v>
      </c>
      <c r="I441" s="4" t="s">
        <v>10</v>
      </c>
      <c r="J441" s="17" t="s">
        <v>3290</v>
      </c>
      <c r="K441" s="16">
        <v>24.490904896938403</v>
      </c>
      <c r="L441" s="16">
        <v>32.403539846042193</v>
      </c>
      <c r="M441" s="16">
        <v>26.137063676570371</v>
      </c>
      <c r="N441" s="16">
        <v>44.361755715076768</v>
      </c>
      <c r="O441" s="16">
        <v>59.537291001851031</v>
      </c>
      <c r="P441" s="16">
        <v>31.703521947565783</v>
      </c>
      <c r="Q441" s="16">
        <v>76.676295113924212</v>
      </c>
    </row>
    <row r="442" spans="1:18" ht="12.75" x14ac:dyDescent="0.2">
      <c r="A442" s="4" t="s">
        <v>115</v>
      </c>
      <c r="B442" s="4" t="s">
        <v>134</v>
      </c>
      <c r="C442" s="4" t="s">
        <v>4198</v>
      </c>
      <c r="D442" s="4" t="s">
        <v>4199</v>
      </c>
      <c r="E442" s="4" t="s">
        <v>114</v>
      </c>
      <c r="F442" s="4" t="s">
        <v>25</v>
      </c>
      <c r="G442" s="4" t="s">
        <v>72</v>
      </c>
      <c r="I442" s="4" t="s">
        <v>10</v>
      </c>
      <c r="J442" s="17" t="s">
        <v>3290</v>
      </c>
      <c r="K442" s="16">
        <v>7.4366948860120079</v>
      </c>
      <c r="L442" s="16">
        <v>94.420413245006301</v>
      </c>
      <c r="M442" s="16">
        <v>40.369799953515987</v>
      </c>
      <c r="N442" s="16">
        <v>73.112081443683607</v>
      </c>
      <c r="O442" s="16">
        <v>41.915912975692471</v>
      </c>
      <c r="P442" s="16">
        <v>18.94022338093755</v>
      </c>
      <c r="Q442" s="16">
        <v>49.482872670797626</v>
      </c>
    </row>
    <row r="443" spans="1:18" ht="12.75" x14ac:dyDescent="0.2">
      <c r="A443" s="4" t="s">
        <v>115</v>
      </c>
      <c r="B443" s="4" t="s">
        <v>116</v>
      </c>
      <c r="C443" s="4" t="s">
        <v>4200</v>
      </c>
      <c r="D443" s="4" t="s">
        <v>4201</v>
      </c>
      <c r="E443" s="4" t="s">
        <v>114</v>
      </c>
      <c r="F443" s="4" t="s">
        <v>25</v>
      </c>
      <c r="G443" s="4" t="s">
        <v>61</v>
      </c>
      <c r="H443" s="4"/>
      <c r="I443" s="4" t="s">
        <v>10</v>
      </c>
      <c r="J443" s="17" t="s">
        <v>3290</v>
      </c>
      <c r="K443" s="16">
        <v>99.317902000346109</v>
      </c>
      <c r="L443" s="16">
        <v>26.365049115988082</v>
      </c>
      <c r="M443" s="16">
        <v>59.688157319065368</v>
      </c>
      <c r="N443" s="16">
        <v>17.189554408332221</v>
      </c>
      <c r="O443" s="16">
        <v>84.696638518554352</v>
      </c>
      <c r="P443" s="16">
        <v>24.561545909103511</v>
      </c>
      <c r="Q443" s="16">
        <v>70.204434194508195</v>
      </c>
    </row>
    <row r="444" spans="1:18" ht="12.75" x14ac:dyDescent="0.2">
      <c r="A444" s="4" t="s">
        <v>37</v>
      </c>
      <c r="B444" s="4" t="s">
        <v>45</v>
      </c>
      <c r="C444" s="4" t="s">
        <v>4202</v>
      </c>
      <c r="D444" s="4" t="s">
        <v>4203</v>
      </c>
      <c r="E444" s="4" t="s">
        <v>138</v>
      </c>
      <c r="F444" s="4" t="s">
        <v>18</v>
      </c>
      <c r="G444" s="4" t="s">
        <v>72</v>
      </c>
      <c r="H444" s="4" t="s">
        <v>3375</v>
      </c>
      <c r="I444" s="4" t="s">
        <v>10</v>
      </c>
      <c r="J444" s="17" t="s">
        <v>3290</v>
      </c>
      <c r="K444" s="16">
        <v>36.002360212703955</v>
      </c>
      <c r="L444" s="16">
        <v>16.551388279930002</v>
      </c>
      <c r="M444" s="16">
        <v>93.999344881475167</v>
      </c>
      <c r="N444" s="16">
        <v>85.857687282237691</v>
      </c>
      <c r="O444" s="16">
        <v>56.353604291427629</v>
      </c>
      <c r="P444" s="16">
        <v>17.951852735326678</v>
      </c>
      <c r="Q444" s="16">
        <v>81.95893107248321</v>
      </c>
    </row>
    <row r="445" spans="1:18" ht="12.75" x14ac:dyDescent="0.2">
      <c r="A445" s="4" t="s">
        <v>7</v>
      </c>
      <c r="B445" s="4" t="s">
        <v>8</v>
      </c>
      <c r="C445" s="4" t="s">
        <v>4204</v>
      </c>
      <c r="D445" s="4" t="s">
        <v>4205</v>
      </c>
      <c r="E445" s="4" t="s">
        <v>106</v>
      </c>
      <c r="F445" s="4" t="s">
        <v>18</v>
      </c>
      <c r="G445" s="4" t="s">
        <v>61</v>
      </c>
      <c r="H445" s="4"/>
      <c r="I445" s="4" t="s">
        <v>10</v>
      </c>
      <c r="J445" s="17" t="s">
        <v>3290</v>
      </c>
      <c r="K445" s="16">
        <v>55.474469784980599</v>
      </c>
      <c r="L445" s="16">
        <v>59.1295226663619</v>
      </c>
      <c r="M445" s="16">
        <v>47.734115400881251</v>
      </c>
      <c r="N445" s="16">
        <v>99.47534063392348</v>
      </c>
      <c r="O445" s="16">
        <v>56.107207284332141</v>
      </c>
      <c r="P445" s="16">
        <v>35.484327333122657</v>
      </c>
      <c r="Q445" s="16">
        <v>32.907506311676471</v>
      </c>
    </row>
    <row r="446" spans="1:18" ht="12.75" x14ac:dyDescent="0.2">
      <c r="A446" s="4" t="s">
        <v>64</v>
      </c>
      <c r="B446" s="4" t="s">
        <v>82</v>
      </c>
      <c r="C446" s="4" t="s">
        <v>4206</v>
      </c>
      <c r="D446" s="4" t="s">
        <v>4207</v>
      </c>
      <c r="E446" s="4" t="s">
        <v>135</v>
      </c>
      <c r="F446" s="4" t="s">
        <v>18</v>
      </c>
      <c r="G446" s="4"/>
      <c r="H446" s="4"/>
      <c r="I446" s="4" t="s">
        <v>10</v>
      </c>
      <c r="J446" s="17" t="s">
        <v>3290</v>
      </c>
      <c r="K446" s="16">
        <v>80.811868952832569</v>
      </c>
      <c r="L446" s="16">
        <v>89.133805735815216</v>
      </c>
      <c r="M446" s="16">
        <v>99.306077829704805</v>
      </c>
      <c r="N446" s="16">
        <v>19.897508762206595</v>
      </c>
      <c r="O446" s="16">
        <v>54.804949050202268</v>
      </c>
      <c r="P446" s="16">
        <v>73.300963840236633</v>
      </c>
      <c r="Q446" s="16">
        <v>23.169308362486518</v>
      </c>
    </row>
    <row r="447" spans="1:18" ht="12.75" x14ac:dyDescent="0.2">
      <c r="A447" s="4" t="s">
        <v>64</v>
      </c>
      <c r="B447" s="4" t="s">
        <v>82</v>
      </c>
      <c r="C447" s="4" t="s">
        <v>4208</v>
      </c>
      <c r="D447" s="4" t="s">
        <v>4209</v>
      </c>
      <c r="E447" s="4" t="s">
        <v>100</v>
      </c>
      <c r="F447" s="4" t="s">
        <v>18</v>
      </c>
      <c r="G447" s="4" t="s">
        <v>3280</v>
      </c>
      <c r="H447" s="4"/>
      <c r="I447" s="4" t="s">
        <v>10</v>
      </c>
      <c r="J447" s="17" t="s">
        <v>3290</v>
      </c>
      <c r="K447" s="16">
        <v>62.73184452452265</v>
      </c>
      <c r="L447" s="16">
        <v>21.90278442573176</v>
      </c>
      <c r="M447" s="16">
        <v>83.749571467185987</v>
      </c>
      <c r="N447" s="16">
        <v>15.471915494668432</v>
      </c>
      <c r="O447" s="16">
        <v>23.61661942052028</v>
      </c>
      <c r="P447" s="16">
        <v>47.414318978565419</v>
      </c>
      <c r="Q447" s="16">
        <v>15.366616471696004</v>
      </c>
    </row>
    <row r="448" spans="1:18" ht="12.75" x14ac:dyDescent="0.2">
      <c r="A448" s="4" t="s">
        <v>115</v>
      </c>
      <c r="B448" s="4" t="s">
        <v>119</v>
      </c>
      <c r="C448" s="4" t="s">
        <v>4210</v>
      </c>
      <c r="D448" s="4" t="s">
        <v>4211</v>
      </c>
      <c r="E448" s="4" t="s">
        <v>135</v>
      </c>
      <c r="F448" s="4" t="s">
        <v>18</v>
      </c>
      <c r="G448" s="4" t="s">
        <v>61</v>
      </c>
      <c r="I448" s="4" t="s">
        <v>10</v>
      </c>
      <c r="J448" s="17" t="s">
        <v>3290</v>
      </c>
      <c r="K448" s="16">
        <v>44.766411284138407</v>
      </c>
      <c r="L448" s="16">
        <v>14.956400118106094</v>
      </c>
      <c r="M448" s="16">
        <v>57.729843702189697</v>
      </c>
      <c r="N448" s="16">
        <v>12.725590139121756</v>
      </c>
      <c r="O448" s="16">
        <v>91.539730425593618</v>
      </c>
      <c r="P448" s="16">
        <v>22.276839171929751</v>
      </c>
      <c r="Q448" s="16">
        <v>65.792504979499498</v>
      </c>
    </row>
    <row r="449" spans="1:17" ht="12.75" x14ac:dyDescent="0.2">
      <c r="A449" s="4" t="s">
        <v>136</v>
      </c>
      <c r="B449" s="4" t="s">
        <v>137</v>
      </c>
      <c r="C449" s="4" t="s">
        <v>4212</v>
      </c>
      <c r="D449" s="4" t="s">
        <v>4213</v>
      </c>
      <c r="E449" s="4" t="s">
        <v>87</v>
      </c>
      <c r="F449" s="4" t="s">
        <v>25</v>
      </c>
      <c r="G449" s="4" t="s">
        <v>41</v>
      </c>
      <c r="H449" s="4"/>
      <c r="I449" s="4" t="s">
        <v>10</v>
      </c>
      <c r="J449" s="17" t="s">
        <v>3290</v>
      </c>
      <c r="K449" s="16">
        <v>84.009853161412337</v>
      </c>
      <c r="L449" s="16">
        <v>74.833249875939202</v>
      </c>
      <c r="M449" s="16">
        <v>66.527919519506469</v>
      </c>
      <c r="N449" s="16">
        <v>77.738086807384619</v>
      </c>
      <c r="O449" s="16">
        <v>41.75072246120687</v>
      </c>
      <c r="P449" s="16">
        <v>61.084474994215753</v>
      </c>
      <c r="Q449" s="16">
        <v>3.8633214180341935</v>
      </c>
    </row>
    <row r="450" spans="1:17" ht="12.75" x14ac:dyDescent="0.2">
      <c r="A450" s="4" t="s">
        <v>136</v>
      </c>
      <c r="B450" s="4" t="s">
        <v>137</v>
      </c>
      <c r="C450" s="4" t="s">
        <v>4214</v>
      </c>
      <c r="D450" s="4" t="s">
        <v>4215</v>
      </c>
      <c r="E450" s="4" t="s">
        <v>87</v>
      </c>
      <c r="F450" s="4" t="s">
        <v>25</v>
      </c>
      <c r="G450" s="4" t="s">
        <v>41</v>
      </c>
      <c r="H450" s="4"/>
      <c r="I450" s="4" t="s">
        <v>10</v>
      </c>
      <c r="J450" s="17" t="s">
        <v>3290</v>
      </c>
      <c r="K450" s="16">
        <v>12.819406378555275</v>
      </c>
      <c r="L450" s="16">
        <v>62.620475676547947</v>
      </c>
      <c r="M450" s="16">
        <v>31.184835653089394</v>
      </c>
      <c r="N450" s="16">
        <v>84.85429472311634</v>
      </c>
      <c r="O450" s="16">
        <v>56.705676394124993</v>
      </c>
      <c r="P450" s="16">
        <v>12.532072993952292</v>
      </c>
      <c r="Q450" s="16">
        <v>32.533832274579723</v>
      </c>
    </row>
    <row r="451" spans="1:17" ht="12.75" x14ac:dyDescent="0.2">
      <c r="A451" s="4" t="s">
        <v>98</v>
      </c>
      <c r="B451" s="4" t="s">
        <v>110</v>
      </c>
      <c r="C451" s="4" t="s">
        <v>4216</v>
      </c>
      <c r="D451" s="4" t="s">
        <v>4217</v>
      </c>
      <c r="E451" s="4" t="s">
        <v>87</v>
      </c>
      <c r="F451" s="4" t="s">
        <v>32</v>
      </c>
      <c r="G451" s="4" t="s">
        <v>41</v>
      </c>
      <c r="H451" s="4" t="s">
        <v>4218</v>
      </c>
      <c r="I451" s="4" t="s">
        <v>10</v>
      </c>
      <c r="J451" s="17" t="s">
        <v>3290</v>
      </c>
      <c r="K451" s="16">
        <v>55.66295201333228</v>
      </c>
      <c r="L451" s="16">
        <v>14.006719283499613</v>
      </c>
      <c r="M451" s="16">
        <v>80.0171277366276</v>
      </c>
      <c r="N451" s="16">
        <v>23.663547322100499</v>
      </c>
      <c r="O451" s="16">
        <v>55.06393305731546</v>
      </c>
      <c r="P451" s="16">
        <v>49.507732109709046</v>
      </c>
      <c r="Q451" s="16">
        <v>73.267000376145646</v>
      </c>
    </row>
    <row r="452" spans="1:17" ht="12.75" x14ac:dyDescent="0.2">
      <c r="A452" s="4" t="s">
        <v>64</v>
      </c>
      <c r="B452" s="4" t="s">
        <v>82</v>
      </c>
      <c r="C452" s="4" t="s">
        <v>4219</v>
      </c>
      <c r="D452" s="4" t="s">
        <v>4220</v>
      </c>
      <c r="E452" s="4" t="s">
        <v>135</v>
      </c>
      <c r="F452" s="4" t="s">
        <v>18</v>
      </c>
      <c r="G452" s="4" t="s">
        <v>3280</v>
      </c>
      <c r="H452" s="4"/>
      <c r="I452" s="4" t="s">
        <v>10</v>
      </c>
      <c r="J452" s="17" t="s">
        <v>3290</v>
      </c>
      <c r="K452" s="16">
        <v>61.724774868136009</v>
      </c>
      <c r="L452" s="16">
        <v>89.545008559511388</v>
      </c>
      <c r="M452" s="16">
        <v>70.703791903119026</v>
      </c>
      <c r="N452" s="16">
        <v>79.181695567581173</v>
      </c>
      <c r="O452" s="16">
        <v>19.943368127206472</v>
      </c>
      <c r="P452" s="16">
        <v>35.87094310712633</v>
      </c>
      <c r="Q452" s="16">
        <v>24.660956668908373</v>
      </c>
    </row>
    <row r="453" spans="1:17" ht="12.75" x14ac:dyDescent="0.2">
      <c r="A453" s="4" t="s">
        <v>98</v>
      </c>
      <c r="B453" s="4" t="s">
        <v>107</v>
      </c>
      <c r="C453" s="4" t="s">
        <v>4221</v>
      </c>
      <c r="D453" s="4" t="s">
        <v>4222</v>
      </c>
      <c r="E453" s="4" t="s">
        <v>87</v>
      </c>
      <c r="F453" s="4" t="s">
        <v>18</v>
      </c>
      <c r="G453" s="4" t="s">
        <v>19</v>
      </c>
      <c r="I453" s="4" t="s">
        <v>10</v>
      </c>
      <c r="J453" s="17" t="s">
        <v>3290</v>
      </c>
      <c r="K453" s="16">
        <v>50.035312003083064</v>
      </c>
      <c r="L453" s="16">
        <v>72.848228396091841</v>
      </c>
      <c r="M453" s="16">
        <v>82.302236264721699</v>
      </c>
      <c r="N453" s="16">
        <v>91.056269348989943</v>
      </c>
      <c r="O453" s="16">
        <v>52.816216425157172</v>
      </c>
      <c r="P453" s="16">
        <v>34.237794350531999</v>
      </c>
      <c r="Q453" s="16">
        <v>23.87368430587885</v>
      </c>
    </row>
    <row r="454" spans="1:17" ht="12.75" x14ac:dyDescent="0.2">
      <c r="A454" s="4" t="s">
        <v>98</v>
      </c>
      <c r="B454" s="4" t="s">
        <v>105</v>
      </c>
      <c r="C454" s="4" t="s">
        <v>4223</v>
      </c>
      <c r="D454" s="4" t="s">
        <v>4224</v>
      </c>
      <c r="E454" s="4" t="s">
        <v>83</v>
      </c>
      <c r="F454" s="4" t="s">
        <v>25</v>
      </c>
      <c r="G454" s="4" t="s">
        <v>41</v>
      </c>
      <c r="H454" s="4"/>
      <c r="I454" s="4" t="s">
        <v>10</v>
      </c>
      <c r="J454" s="17" t="s">
        <v>3290</v>
      </c>
      <c r="K454" s="16">
        <v>26.178968658540036</v>
      </c>
      <c r="L454" s="16">
        <v>19.058026523444973</v>
      </c>
      <c r="M454" s="16">
        <v>30.391037911120534</v>
      </c>
      <c r="N454" s="16">
        <v>61.363955203525634</v>
      </c>
      <c r="O454" s="16">
        <v>38.873549052390487</v>
      </c>
      <c r="P454" s="16">
        <v>41.962582263456603</v>
      </c>
      <c r="Q454" s="16">
        <v>10.594554979714676</v>
      </c>
    </row>
    <row r="455" spans="1:17" ht="12.75" x14ac:dyDescent="0.2">
      <c r="A455" s="4" t="s">
        <v>37</v>
      </c>
      <c r="B455" s="4" t="s">
        <v>38</v>
      </c>
      <c r="C455" s="4" t="s">
        <v>4225</v>
      </c>
      <c r="D455" s="4" t="s">
        <v>4226</v>
      </c>
      <c r="E455" s="4" t="s">
        <v>9</v>
      </c>
      <c r="F455" s="4" t="s">
        <v>18</v>
      </c>
      <c r="G455" s="4" t="s">
        <v>41</v>
      </c>
      <c r="H455" s="4"/>
      <c r="I455" s="4" t="s">
        <v>10</v>
      </c>
      <c r="J455" s="17" t="s">
        <v>3290</v>
      </c>
      <c r="K455" s="16">
        <v>11.687036817455477</v>
      </c>
      <c r="L455" s="16">
        <v>97.743377924794473</v>
      </c>
      <c r="M455" s="16">
        <v>26.924499805441471</v>
      </c>
      <c r="N455" s="16">
        <v>6.4557771089719935</v>
      </c>
      <c r="O455" s="16">
        <v>92.90081874929416</v>
      </c>
      <c r="P455" s="16">
        <v>95.627364396477645</v>
      </c>
      <c r="Q455" s="16">
        <v>49.582186914676996</v>
      </c>
    </row>
    <row r="456" spans="1:17" ht="12.75" x14ac:dyDescent="0.2">
      <c r="A456" s="4" t="s">
        <v>136</v>
      </c>
      <c r="B456" s="4" t="s">
        <v>137</v>
      </c>
      <c r="C456" s="4" t="s">
        <v>4227</v>
      </c>
      <c r="D456" s="4" t="s">
        <v>4228</v>
      </c>
      <c r="E456" s="4" t="s">
        <v>108</v>
      </c>
      <c r="F456" s="4" t="s">
        <v>18</v>
      </c>
      <c r="G456" s="4" t="s">
        <v>41</v>
      </c>
      <c r="H456" s="4"/>
      <c r="I456" s="4" t="s">
        <v>10</v>
      </c>
      <c r="J456" s="17" t="s">
        <v>3290</v>
      </c>
      <c r="K456" s="16">
        <v>57.893688592295767</v>
      </c>
      <c r="L456" s="16">
        <v>21.868906162622682</v>
      </c>
      <c r="M456" s="16">
        <v>17.901017084302783</v>
      </c>
      <c r="N456" s="16">
        <v>44.030925165709476</v>
      </c>
      <c r="O456" s="16">
        <v>80.213596553584082</v>
      </c>
      <c r="P456" s="16">
        <v>64.611621833698123</v>
      </c>
      <c r="Q456" s="16">
        <v>87.742620254715007</v>
      </c>
    </row>
    <row r="457" spans="1:17" ht="12.75" x14ac:dyDescent="0.2">
      <c r="A457" s="4" t="s">
        <v>98</v>
      </c>
      <c r="B457" s="4" t="s">
        <v>110</v>
      </c>
      <c r="C457" s="4" t="s">
        <v>4229</v>
      </c>
      <c r="D457" s="4" t="s">
        <v>4230</v>
      </c>
      <c r="E457" s="4" t="s">
        <v>126</v>
      </c>
      <c r="F457" s="4" t="s">
        <v>18</v>
      </c>
      <c r="G457" s="4" t="s">
        <v>19</v>
      </c>
      <c r="H457" s="4" t="s">
        <v>10</v>
      </c>
      <c r="I457" s="4" t="s">
        <v>10</v>
      </c>
      <c r="J457" s="17" t="s">
        <v>3290</v>
      </c>
      <c r="K457" s="16">
        <v>88.405875050460097</v>
      </c>
      <c r="L457" s="16">
        <v>83.279234880198672</v>
      </c>
      <c r="M457" s="16">
        <v>59.100066709863889</v>
      </c>
      <c r="N457" s="16">
        <v>99.966660600200825</v>
      </c>
      <c r="O457" s="16">
        <v>16.871076173313217</v>
      </c>
      <c r="P457" s="16">
        <v>33.125024777342283</v>
      </c>
      <c r="Q457" s="16">
        <v>34.659430445570585</v>
      </c>
    </row>
    <row r="458" spans="1:17" ht="12.75" x14ac:dyDescent="0.2">
      <c r="A458" s="4" t="s">
        <v>115</v>
      </c>
      <c r="B458" s="4" t="s">
        <v>116</v>
      </c>
      <c r="C458" s="4" t="s">
        <v>4231</v>
      </c>
      <c r="D458" s="4" t="s">
        <v>4232</v>
      </c>
      <c r="E458" s="4" t="s">
        <v>114</v>
      </c>
      <c r="F458" s="4" t="s">
        <v>25</v>
      </c>
      <c r="G458" s="4" t="s">
        <v>41</v>
      </c>
      <c r="H458" s="4"/>
      <c r="I458" s="4" t="s">
        <v>10</v>
      </c>
      <c r="J458" s="17" t="s">
        <v>3290</v>
      </c>
      <c r="K458" s="16">
        <v>97.403980324598265</v>
      </c>
      <c r="L458" s="16">
        <v>43.009580969379243</v>
      </c>
      <c r="M458" s="16">
        <v>61.544350721497999</v>
      </c>
      <c r="N458" s="16">
        <v>46.789356259248748</v>
      </c>
      <c r="O458" s="16">
        <v>29.298499959659409</v>
      </c>
      <c r="P458" s="16">
        <v>60.403803561947299</v>
      </c>
      <c r="Q458" s="16">
        <v>43.934293105821773</v>
      </c>
    </row>
    <row r="459" spans="1:17" ht="12.75" x14ac:dyDescent="0.2">
      <c r="A459" s="4" t="s">
        <v>98</v>
      </c>
      <c r="B459" s="4" t="s">
        <v>107</v>
      </c>
      <c r="C459" s="4" t="s">
        <v>4233</v>
      </c>
      <c r="D459" s="4" t="s">
        <v>4234</v>
      </c>
      <c r="E459" s="4" t="s">
        <v>87</v>
      </c>
      <c r="F459" s="4" t="s">
        <v>18</v>
      </c>
      <c r="G459" s="4" t="s">
        <v>41</v>
      </c>
      <c r="I459" s="4" t="s">
        <v>10</v>
      </c>
      <c r="J459" s="17" t="s">
        <v>3290</v>
      </c>
      <c r="K459" s="16">
        <v>86.255178373314692</v>
      </c>
      <c r="L459" s="16">
        <v>16.457823508106763</v>
      </c>
      <c r="M459" s="16">
        <v>8.6434040446626277</v>
      </c>
      <c r="N459" s="16">
        <v>28.473437665842372</v>
      </c>
      <c r="O459" s="16">
        <v>47.403506749369193</v>
      </c>
      <c r="P459" s="16">
        <v>39.223155490117058</v>
      </c>
      <c r="Q459" s="16">
        <v>67.723005713275413</v>
      </c>
    </row>
    <row r="460" spans="1:17" ht="12.75" x14ac:dyDescent="0.2">
      <c r="A460" s="4" t="s">
        <v>98</v>
      </c>
      <c r="B460" s="4" t="s">
        <v>107</v>
      </c>
      <c r="C460" s="4" t="s">
        <v>4235</v>
      </c>
      <c r="D460" s="4" t="s">
        <v>4236</v>
      </c>
      <c r="E460" s="4" t="s">
        <v>87</v>
      </c>
      <c r="F460" s="4" t="s">
        <v>18</v>
      </c>
      <c r="G460" s="4" t="s">
        <v>41</v>
      </c>
      <c r="I460" s="4" t="s">
        <v>10</v>
      </c>
      <c r="J460" s="17" t="s">
        <v>3290</v>
      </c>
      <c r="K460" s="16">
        <v>61.836411264454142</v>
      </c>
      <c r="L460" s="16">
        <v>50.126063719065364</v>
      </c>
      <c r="M460" s="16">
        <v>54.919081645793192</v>
      </c>
      <c r="N460" s="16">
        <v>1.9474206790944026</v>
      </c>
      <c r="O460" s="16">
        <v>51.718524994954848</v>
      </c>
      <c r="P460" s="16">
        <v>36.74474503361882</v>
      </c>
      <c r="Q460" s="16">
        <v>62.15277375025083</v>
      </c>
    </row>
    <row r="461" spans="1:17" ht="12.75" x14ac:dyDescent="0.2">
      <c r="A461" s="4" t="s">
        <v>98</v>
      </c>
      <c r="B461" s="4" t="s">
        <v>107</v>
      </c>
      <c r="C461" s="4" t="s">
        <v>4237</v>
      </c>
      <c r="D461" s="4" t="s">
        <v>4238</v>
      </c>
      <c r="E461" s="4" t="s">
        <v>87</v>
      </c>
      <c r="F461" s="4" t="s">
        <v>18</v>
      </c>
      <c r="G461" s="4" t="s">
        <v>41</v>
      </c>
      <c r="H461" s="4"/>
      <c r="I461" s="4" t="s">
        <v>10</v>
      </c>
      <c r="J461" s="17" t="s">
        <v>3290</v>
      </c>
      <c r="K461" s="16">
        <v>92.691944253318866</v>
      </c>
      <c r="L461" s="16">
        <v>3.8389189167041815</v>
      </c>
      <c r="M461" s="16">
        <v>21.860040626579558</v>
      </c>
      <c r="N461" s="16">
        <v>30.51068037746526</v>
      </c>
      <c r="O461" s="16">
        <v>11.060720378998179</v>
      </c>
      <c r="P461" s="16">
        <v>90.531724768484082</v>
      </c>
      <c r="Q461" s="16">
        <v>82.052772621536647</v>
      </c>
    </row>
    <row r="462" spans="1:17" ht="12.75" x14ac:dyDescent="0.2">
      <c r="A462" s="4" t="s">
        <v>7</v>
      </c>
      <c r="B462" s="4" t="s">
        <v>8</v>
      </c>
      <c r="C462" s="4" t="s">
        <v>4239</v>
      </c>
      <c r="D462" s="4" t="s">
        <v>4240</v>
      </c>
      <c r="E462" s="4" t="s">
        <v>87</v>
      </c>
      <c r="F462" s="4" t="s">
        <v>18</v>
      </c>
      <c r="G462" s="4" t="s">
        <v>41</v>
      </c>
      <c r="I462" s="4" t="s">
        <v>10</v>
      </c>
      <c r="J462" s="17" t="s">
        <v>3290</v>
      </c>
      <c r="K462" s="16">
        <v>48.813830266120405</v>
      </c>
      <c r="L462" s="16">
        <v>47.736766381932391</v>
      </c>
      <c r="M462" s="16">
        <v>64.174713139760712</v>
      </c>
      <c r="N462" s="16">
        <v>80.832963254477747</v>
      </c>
      <c r="O462" s="16">
        <v>88.269594061202241</v>
      </c>
      <c r="P462" s="16">
        <v>79.718009830231367</v>
      </c>
      <c r="Q462" s="16">
        <v>1.5401759749110511</v>
      </c>
    </row>
    <row r="463" spans="1:17" ht="12.75" x14ac:dyDescent="0.2">
      <c r="A463" s="4" t="s">
        <v>115</v>
      </c>
      <c r="B463" s="4" t="s">
        <v>122</v>
      </c>
      <c r="C463" s="4" t="s">
        <v>4241</v>
      </c>
      <c r="D463" s="4" t="s">
        <v>4242</v>
      </c>
      <c r="E463" s="4" t="s">
        <v>108</v>
      </c>
      <c r="F463" s="4" t="s">
        <v>18</v>
      </c>
      <c r="G463" s="4" t="s">
        <v>61</v>
      </c>
      <c r="H463" s="4"/>
      <c r="I463" s="4" t="s">
        <v>10</v>
      </c>
      <c r="J463" s="17" t="s">
        <v>3290</v>
      </c>
      <c r="K463" s="16">
        <v>88.003739659273947</v>
      </c>
      <c r="L463" s="16">
        <v>34.670789200076591</v>
      </c>
      <c r="M463" s="16">
        <v>94.259785360741617</v>
      </c>
      <c r="N463" s="16">
        <v>97.793573474490032</v>
      </c>
      <c r="O463" s="16">
        <v>23.816356355947967</v>
      </c>
      <c r="P463" s="16">
        <v>91.704133989428556</v>
      </c>
      <c r="Q463" s="16">
        <v>45.094918407982846</v>
      </c>
    </row>
    <row r="464" spans="1:17" ht="12.75" x14ac:dyDescent="0.2">
      <c r="A464" s="4" t="s">
        <v>115</v>
      </c>
      <c r="B464" s="4" t="s">
        <v>116</v>
      </c>
      <c r="C464" s="4" t="s">
        <v>4243</v>
      </c>
      <c r="D464" s="4" t="s">
        <v>4244</v>
      </c>
      <c r="E464" s="4" t="s">
        <v>129</v>
      </c>
      <c r="F464" s="4" t="s">
        <v>18</v>
      </c>
      <c r="G464" s="4" t="s">
        <v>3280</v>
      </c>
      <c r="H464" s="4"/>
      <c r="I464" s="4" t="s">
        <v>10</v>
      </c>
      <c r="J464" s="17" t="s">
        <v>3290</v>
      </c>
      <c r="K464" s="16">
        <v>69.59770572132291</v>
      </c>
      <c r="L464" s="16">
        <v>8.7549095257599134</v>
      </c>
      <c r="M464" s="16">
        <v>81.207406029590729</v>
      </c>
      <c r="N464" s="16">
        <v>29.595003522596318</v>
      </c>
      <c r="O464" s="16">
        <v>70.134842966875013</v>
      </c>
      <c r="P464" s="16">
        <v>42.057826952537305</v>
      </c>
      <c r="Q464" s="16">
        <v>35.667103626921723</v>
      </c>
    </row>
    <row r="465" spans="1:17" ht="12.75" x14ac:dyDescent="0.2">
      <c r="A465" s="4" t="s">
        <v>98</v>
      </c>
      <c r="B465" s="4" t="s">
        <v>102</v>
      </c>
      <c r="C465" s="4" t="s">
        <v>4245</v>
      </c>
      <c r="D465" s="4" t="s">
        <v>4246</v>
      </c>
      <c r="E465" s="4" t="s">
        <v>108</v>
      </c>
      <c r="F465" s="4" t="s">
        <v>18</v>
      </c>
      <c r="G465" s="4" t="s">
        <v>61</v>
      </c>
      <c r="H465" s="4"/>
      <c r="I465" s="4" t="s">
        <v>10</v>
      </c>
      <c r="J465" s="17" t="s">
        <v>3290</v>
      </c>
      <c r="K465" s="16">
        <v>9.3078822940238286</v>
      </c>
      <c r="L465" s="16">
        <v>37.07793753705306</v>
      </c>
      <c r="M465" s="16">
        <v>44.127996908609546</v>
      </c>
      <c r="N465" s="16">
        <v>3.999257432976755</v>
      </c>
      <c r="O465" s="16">
        <v>27.073261546939275</v>
      </c>
      <c r="P465" s="16">
        <v>9.2417490264030668</v>
      </c>
      <c r="Q465" s="16">
        <v>92.763957880871189</v>
      </c>
    </row>
    <row r="466" spans="1:17" ht="12.75" x14ac:dyDescent="0.2">
      <c r="A466" s="4" t="s">
        <v>37</v>
      </c>
      <c r="B466" s="4" t="s">
        <v>38</v>
      </c>
      <c r="C466" s="4" t="s">
        <v>4247</v>
      </c>
      <c r="D466" s="4" t="s">
        <v>4248</v>
      </c>
      <c r="E466" s="4" t="s">
        <v>87</v>
      </c>
      <c r="F466" s="4" t="s">
        <v>25</v>
      </c>
      <c r="G466" s="4" t="s">
        <v>41</v>
      </c>
      <c r="I466" s="4" t="s">
        <v>10</v>
      </c>
      <c r="J466" s="17" t="s">
        <v>3290</v>
      </c>
      <c r="K466" s="16">
        <v>69.970480977791453</v>
      </c>
      <c r="L466" s="16">
        <v>62.264797451590916</v>
      </c>
      <c r="M466" s="16">
        <v>72.884927258302454</v>
      </c>
      <c r="N466" s="16">
        <v>37.664897516520412</v>
      </c>
      <c r="O466" s="16">
        <v>7.930717580148217</v>
      </c>
      <c r="P466" s="16">
        <v>17.178500717221446</v>
      </c>
      <c r="Q466" s="16">
        <v>86.704684898961773</v>
      </c>
    </row>
    <row r="467" spans="1:17" ht="12.75" x14ac:dyDescent="0.2">
      <c r="A467" s="4" t="s">
        <v>7</v>
      </c>
      <c r="B467" s="4" t="s">
        <v>16</v>
      </c>
      <c r="C467" s="4" t="s">
        <v>4249</v>
      </c>
      <c r="D467" s="4" t="s">
        <v>4250</v>
      </c>
      <c r="E467" s="4" t="s">
        <v>87</v>
      </c>
      <c r="F467" s="4" t="s">
        <v>25</v>
      </c>
      <c r="G467" s="4" t="s">
        <v>72</v>
      </c>
      <c r="H467" s="4" t="s">
        <v>10</v>
      </c>
      <c r="I467" s="4" t="s">
        <v>10</v>
      </c>
      <c r="J467" s="17" t="s">
        <v>3290</v>
      </c>
      <c r="K467" s="16">
        <v>26.040416058927363</v>
      </c>
      <c r="L467" s="16">
        <v>85.266360519915978</v>
      </c>
      <c r="M467" s="16">
        <v>89.813834282780448</v>
      </c>
      <c r="N467" s="16">
        <v>5.9257415760815668</v>
      </c>
      <c r="O467" s="16">
        <v>57.005377840212965</v>
      </c>
      <c r="P467" s="16">
        <v>80.775882693728988</v>
      </c>
      <c r="Q467" s="16">
        <v>28.165894454846296</v>
      </c>
    </row>
    <row r="468" spans="1:17" ht="12.75" x14ac:dyDescent="0.2">
      <c r="A468" s="4" t="s">
        <v>7</v>
      </c>
      <c r="B468" s="4" t="s">
        <v>8</v>
      </c>
      <c r="C468" s="4" t="s">
        <v>4251</v>
      </c>
      <c r="D468" s="4" t="s">
        <v>4252</v>
      </c>
      <c r="E468" s="4" t="s">
        <v>87</v>
      </c>
      <c r="F468" s="4" t="s">
        <v>25</v>
      </c>
      <c r="G468" s="4" t="s">
        <v>61</v>
      </c>
      <c r="I468" s="4" t="s">
        <v>10</v>
      </c>
      <c r="J468" s="17" t="s">
        <v>3290</v>
      </c>
      <c r="K468" s="16">
        <v>30.804936095227788</v>
      </c>
      <c r="L468" s="16">
        <v>52.375372467999767</v>
      </c>
      <c r="M468" s="16">
        <v>95.501358394400242</v>
      </c>
      <c r="N468" s="16">
        <v>1.8641494378029533</v>
      </c>
      <c r="O468" s="16">
        <v>47.774598709468997</v>
      </c>
      <c r="P468" s="16">
        <v>70.00582449330274</v>
      </c>
      <c r="Q468" s="16">
        <v>1.3484850092773115</v>
      </c>
    </row>
    <row r="469" spans="1:17" ht="12.75" x14ac:dyDescent="0.2">
      <c r="A469" s="4" t="s">
        <v>98</v>
      </c>
      <c r="B469" s="4" t="s">
        <v>105</v>
      </c>
      <c r="C469" s="4" t="s">
        <v>4253</v>
      </c>
      <c r="D469" s="4" t="s">
        <v>4254</v>
      </c>
      <c r="E469" s="4" t="s">
        <v>83</v>
      </c>
      <c r="F469" s="4" t="s">
        <v>25</v>
      </c>
      <c r="G469" s="4" t="s">
        <v>61</v>
      </c>
      <c r="H469" s="4"/>
      <c r="I469" s="4" t="s">
        <v>10</v>
      </c>
      <c r="J469" s="17" t="s">
        <v>3290</v>
      </c>
      <c r="K469" s="16">
        <v>15.708998072014801</v>
      </c>
      <c r="L469" s="16">
        <v>12.014614317898353</v>
      </c>
      <c r="M469" s="16">
        <v>98.648637567274591</v>
      </c>
      <c r="N469" s="16">
        <v>27.303320139227473</v>
      </c>
      <c r="O469" s="16">
        <v>60.705997414122884</v>
      </c>
      <c r="P469" s="16">
        <v>86.055073858042846</v>
      </c>
      <c r="Q469" s="16">
        <v>23.506737591825967</v>
      </c>
    </row>
    <row r="470" spans="1:17" ht="12.75" x14ac:dyDescent="0.2">
      <c r="A470" s="4" t="s">
        <v>64</v>
      </c>
      <c r="B470" s="4" t="s">
        <v>82</v>
      </c>
      <c r="C470" s="4" t="s">
        <v>4255</v>
      </c>
      <c r="D470" s="4" t="s">
        <v>4256</v>
      </c>
      <c r="E470" s="4" t="s">
        <v>100</v>
      </c>
      <c r="F470" s="4" t="s">
        <v>18</v>
      </c>
      <c r="G470" s="4" t="s">
        <v>19</v>
      </c>
      <c r="H470" s="4"/>
      <c r="I470" s="4" t="s">
        <v>10</v>
      </c>
      <c r="J470" s="17" t="s">
        <v>3290</v>
      </c>
      <c r="K470" s="16">
        <v>81.384288244275254</v>
      </c>
      <c r="L470" s="16">
        <v>43.140190629930075</v>
      </c>
      <c r="M470" s="16">
        <v>12.817755212772642</v>
      </c>
      <c r="N470" s="16">
        <v>18.796455624881336</v>
      </c>
      <c r="O470" s="16">
        <v>75.742462111782089</v>
      </c>
      <c r="P470" s="16">
        <v>71.756930977095692</v>
      </c>
      <c r="Q470" s="16">
        <v>25.126013843258665</v>
      </c>
    </row>
    <row r="471" spans="1:17" ht="12.75" x14ac:dyDescent="0.2">
      <c r="A471" s="4" t="s">
        <v>7</v>
      </c>
      <c r="B471" s="4" t="s">
        <v>8</v>
      </c>
      <c r="C471" s="4" t="s">
        <v>4257</v>
      </c>
      <c r="D471" s="4" t="s">
        <v>4258</v>
      </c>
      <c r="E471" s="4" t="s">
        <v>108</v>
      </c>
      <c r="F471" s="4" t="s">
        <v>25</v>
      </c>
      <c r="G471" s="4" t="s">
        <v>61</v>
      </c>
      <c r="I471" s="4" t="s">
        <v>10</v>
      </c>
      <c r="J471" s="17" t="s">
        <v>3290</v>
      </c>
      <c r="K471" s="16">
        <v>4.7279667080236454</v>
      </c>
      <c r="L471" s="16">
        <v>22.540670460139843</v>
      </c>
      <c r="M471" s="16">
        <v>76.854394631911063</v>
      </c>
      <c r="N471" s="16">
        <v>54.515726567492059</v>
      </c>
      <c r="O471" s="16">
        <v>56.115475888488398</v>
      </c>
      <c r="P471" s="16">
        <v>74.899029045920557</v>
      </c>
      <c r="Q471" s="16">
        <v>98.625072351227942</v>
      </c>
    </row>
    <row r="472" spans="1:17" ht="12.75" x14ac:dyDescent="0.2">
      <c r="A472" s="4" t="s">
        <v>64</v>
      </c>
      <c r="B472" s="4" t="s">
        <v>82</v>
      </c>
      <c r="C472" s="4" t="s">
        <v>4259</v>
      </c>
      <c r="D472" s="4" t="s">
        <v>4260</v>
      </c>
      <c r="E472" s="4" t="s">
        <v>87</v>
      </c>
      <c r="F472" s="4" t="s">
        <v>25</v>
      </c>
      <c r="G472" s="4" t="s">
        <v>72</v>
      </c>
      <c r="H472" s="4"/>
      <c r="I472" s="4" t="s">
        <v>10</v>
      </c>
      <c r="J472" s="17" t="s">
        <v>3290</v>
      </c>
      <c r="K472" s="16">
        <v>16.016985068688228</v>
      </c>
      <c r="L472" s="16">
        <v>99.284917192515692</v>
      </c>
      <c r="M472" s="16">
        <v>12.072628812987318</v>
      </c>
      <c r="N472" s="16">
        <v>26.031276571140605</v>
      </c>
      <c r="O472" s="16">
        <v>53.9256209173952</v>
      </c>
      <c r="P472" s="16">
        <v>60.317969379739289</v>
      </c>
      <c r="Q472" s="16">
        <v>39.138723780235615</v>
      </c>
    </row>
    <row r="473" spans="1:17" ht="12.75" x14ac:dyDescent="0.2">
      <c r="A473" s="4" t="s">
        <v>64</v>
      </c>
      <c r="B473" s="4" t="s">
        <v>82</v>
      </c>
      <c r="C473" s="4" t="s">
        <v>4261</v>
      </c>
      <c r="D473" s="4" t="s">
        <v>4262</v>
      </c>
      <c r="E473" s="4" t="s">
        <v>87</v>
      </c>
      <c r="F473" s="4" t="s">
        <v>25</v>
      </c>
      <c r="G473" s="4" t="s">
        <v>3280</v>
      </c>
      <c r="H473" s="4"/>
      <c r="I473" s="4" t="s">
        <v>10</v>
      </c>
      <c r="J473" s="17" t="s">
        <v>3290</v>
      </c>
      <c r="K473" s="16">
        <v>23.992977393838366</v>
      </c>
      <c r="L473" s="16">
        <v>19.830221669216407</v>
      </c>
      <c r="M473" s="16">
        <v>83.364665726608607</v>
      </c>
      <c r="N473" s="16">
        <v>46.089913493003898</v>
      </c>
      <c r="O473" s="16">
        <v>37.877616454329107</v>
      </c>
      <c r="P473" s="16">
        <v>97.728965056741572</v>
      </c>
      <c r="Q473" s="16">
        <v>21.767888688682181</v>
      </c>
    </row>
    <row r="474" spans="1:17" ht="12.75" x14ac:dyDescent="0.2">
      <c r="A474" s="4" t="s">
        <v>98</v>
      </c>
      <c r="B474" s="4" t="s">
        <v>107</v>
      </c>
      <c r="C474" s="4" t="s">
        <v>4263</v>
      </c>
      <c r="D474" s="4" t="s">
        <v>4264</v>
      </c>
      <c r="E474" s="4" t="s">
        <v>87</v>
      </c>
      <c r="F474" s="4" t="s">
        <v>25</v>
      </c>
      <c r="G474" s="4" t="s">
        <v>41</v>
      </c>
      <c r="H474" s="4"/>
      <c r="I474" s="4" t="s">
        <v>10</v>
      </c>
      <c r="J474" s="17" t="s">
        <v>3290</v>
      </c>
      <c r="K474" s="16">
        <v>1.0878242909342584</v>
      </c>
      <c r="L474" s="16">
        <v>71.13806088068408</v>
      </c>
      <c r="M474" s="16">
        <v>56.123922987183285</v>
      </c>
      <c r="N474" s="16">
        <v>96.116237870693027</v>
      </c>
      <c r="O474" s="16">
        <v>65.769251882018537</v>
      </c>
      <c r="P474" s="16">
        <v>26.040149370164656</v>
      </c>
      <c r="Q474" s="16">
        <v>84.474401906814066</v>
      </c>
    </row>
    <row r="475" spans="1:17" ht="12.75" x14ac:dyDescent="0.2">
      <c r="A475" s="4" t="s">
        <v>136</v>
      </c>
      <c r="B475" s="4" t="s">
        <v>137</v>
      </c>
      <c r="C475" s="4" t="s">
        <v>4265</v>
      </c>
      <c r="D475" s="4" t="s">
        <v>4266</v>
      </c>
      <c r="E475" s="4" t="s">
        <v>114</v>
      </c>
      <c r="F475" s="4" t="s">
        <v>25</v>
      </c>
      <c r="G475" s="4"/>
      <c r="H475" s="4" t="s">
        <v>3289</v>
      </c>
      <c r="I475" s="4" t="s">
        <v>10</v>
      </c>
      <c r="J475" s="17" t="s">
        <v>3290</v>
      </c>
      <c r="K475" s="16">
        <v>61.647329500889839</v>
      </c>
      <c r="L475" s="16">
        <v>65.904661839637356</v>
      </c>
      <c r="M475" s="16">
        <v>18.443433909591491</v>
      </c>
      <c r="N475" s="16">
        <v>65.382180151709335</v>
      </c>
      <c r="O475" s="16">
        <v>3.5460459692816082</v>
      </c>
      <c r="P475" s="16">
        <v>10.419635792193649</v>
      </c>
      <c r="Q475" s="16">
        <v>36.450701816277544</v>
      </c>
    </row>
    <row r="476" spans="1:17" ht="12.75" x14ac:dyDescent="0.2">
      <c r="A476" s="4" t="s">
        <v>136</v>
      </c>
      <c r="B476" s="4" t="s">
        <v>137</v>
      </c>
      <c r="C476" s="4" t="s">
        <v>4267</v>
      </c>
      <c r="D476" s="4" t="s">
        <v>4268</v>
      </c>
      <c r="E476" s="4" t="s">
        <v>108</v>
      </c>
      <c r="F476" s="4" t="s">
        <v>25</v>
      </c>
      <c r="G476" s="4" t="s">
        <v>72</v>
      </c>
      <c r="H476" s="4" t="s">
        <v>3289</v>
      </c>
      <c r="I476" s="4" t="s">
        <v>10</v>
      </c>
      <c r="J476" s="17" t="s">
        <v>3290</v>
      </c>
      <c r="K476" s="16">
        <v>57.218555446403883</v>
      </c>
      <c r="L476" s="16">
        <v>68.09662129696305</v>
      </c>
      <c r="M476" s="16">
        <v>31.353638835318709</v>
      </c>
      <c r="N476" s="16">
        <v>58.150013493654484</v>
      </c>
      <c r="O476" s="16">
        <v>53.548538053975193</v>
      </c>
      <c r="P476" s="16">
        <v>74.242962070043745</v>
      </c>
      <c r="Q476" s="16">
        <v>60.668350520174876</v>
      </c>
    </row>
    <row r="477" spans="1:17" ht="12.75" x14ac:dyDescent="0.2">
      <c r="A477" s="4" t="s">
        <v>98</v>
      </c>
      <c r="B477" s="4" t="s">
        <v>99</v>
      </c>
      <c r="C477" s="4" t="s">
        <v>4269</v>
      </c>
      <c r="D477" s="4" t="s">
        <v>4270</v>
      </c>
      <c r="E477" s="4" t="s">
        <v>129</v>
      </c>
      <c r="F477" s="4" t="s">
        <v>18</v>
      </c>
      <c r="G477" s="4" t="s">
        <v>61</v>
      </c>
      <c r="H477" s="4"/>
      <c r="I477" s="4" t="s">
        <v>10</v>
      </c>
      <c r="J477" s="17" t="s">
        <v>3290</v>
      </c>
      <c r="K477" s="16">
        <v>16.964481939756347</v>
      </c>
      <c r="L477" s="16">
        <v>73.08121634989439</v>
      </c>
      <c r="M477" s="16">
        <v>54.198553337724462</v>
      </c>
      <c r="N477" s="16">
        <v>46.334190961275738</v>
      </c>
      <c r="O477" s="16">
        <v>60.902658520166383</v>
      </c>
      <c r="P477" s="16">
        <v>88.176537787128225</v>
      </c>
      <c r="Q477" s="16">
        <v>62.603775583013245</v>
      </c>
    </row>
    <row r="478" spans="1:17" ht="12.75" x14ac:dyDescent="0.2">
      <c r="A478" s="4" t="s">
        <v>98</v>
      </c>
      <c r="B478" s="4" t="s">
        <v>107</v>
      </c>
      <c r="C478" s="4" t="s">
        <v>4271</v>
      </c>
      <c r="D478" s="4" t="s">
        <v>4272</v>
      </c>
      <c r="E478" s="4" t="s">
        <v>87</v>
      </c>
      <c r="F478" s="4" t="s">
        <v>18</v>
      </c>
      <c r="G478" s="4" t="s">
        <v>41</v>
      </c>
      <c r="H478" s="4"/>
      <c r="I478" s="4" t="s">
        <v>10</v>
      </c>
      <c r="J478" s="17" t="s">
        <v>3290</v>
      </c>
      <c r="K478" s="16">
        <v>25.555332091504258</v>
      </c>
      <c r="L478" s="16">
        <v>20.617374520513799</v>
      </c>
      <c r="M478" s="16">
        <v>54.131386503133648</v>
      </c>
      <c r="N478" s="16">
        <v>10.072410460705751</v>
      </c>
      <c r="O478" s="16">
        <v>28.839725784684056</v>
      </c>
      <c r="P478" s="16">
        <v>99.170228514759074</v>
      </c>
      <c r="Q478" s="16">
        <v>5.9451245955360772</v>
      </c>
    </row>
    <row r="479" spans="1:17" ht="12.75" x14ac:dyDescent="0.2">
      <c r="A479" s="4" t="s">
        <v>64</v>
      </c>
      <c r="B479" s="4" t="s">
        <v>92</v>
      </c>
      <c r="C479" s="4" t="s">
        <v>4273</v>
      </c>
      <c r="D479" s="4" t="s">
        <v>4274</v>
      </c>
      <c r="E479" s="4" t="s">
        <v>129</v>
      </c>
      <c r="F479" s="4" t="s">
        <v>18</v>
      </c>
      <c r="G479" s="4" t="s">
        <v>26</v>
      </c>
      <c r="H479" s="4"/>
      <c r="I479" s="4" t="s">
        <v>10</v>
      </c>
      <c r="J479" s="17" t="s">
        <v>3290</v>
      </c>
      <c r="K479" s="16">
        <v>36.707098016955634</v>
      </c>
      <c r="L479" s="16">
        <v>50.381700117494496</v>
      </c>
      <c r="M479" s="16">
        <v>8.9563533782226372</v>
      </c>
      <c r="N479" s="16">
        <v>54.968334913969031</v>
      </c>
      <c r="O479" s="16">
        <v>51.094624713788662</v>
      </c>
      <c r="P479" s="16">
        <v>95.520062595314883</v>
      </c>
      <c r="Q479" s="16">
        <v>27.365990877457413</v>
      </c>
    </row>
    <row r="480" spans="1:17" ht="12.75" x14ac:dyDescent="0.2">
      <c r="A480" s="4" t="s">
        <v>7</v>
      </c>
      <c r="B480" s="4" t="s">
        <v>16</v>
      </c>
      <c r="C480" s="4" t="s">
        <v>4275</v>
      </c>
      <c r="D480" s="4" t="s">
        <v>4276</v>
      </c>
      <c r="E480" s="4" t="s">
        <v>108</v>
      </c>
      <c r="F480" s="4" t="s">
        <v>18</v>
      </c>
      <c r="G480" s="4" t="s">
        <v>61</v>
      </c>
      <c r="H480" s="4"/>
      <c r="I480" s="4" t="s">
        <v>10</v>
      </c>
      <c r="J480" s="17" t="s">
        <v>3290</v>
      </c>
      <c r="K480" s="16">
        <v>93.298850519912889</v>
      </c>
      <c r="L480" s="16">
        <v>22.610211580713504</v>
      </c>
      <c r="M480" s="16">
        <v>26.560098348800977</v>
      </c>
      <c r="N480" s="16">
        <v>85.613088323106126</v>
      </c>
      <c r="O480" s="16">
        <v>98.864652064300344</v>
      </c>
      <c r="P480" s="16">
        <v>92.343788248394617</v>
      </c>
      <c r="Q480" s="16">
        <v>47.853853682403468</v>
      </c>
    </row>
    <row r="481" spans="1:17" ht="12.75" x14ac:dyDescent="0.2">
      <c r="A481" s="4" t="s">
        <v>98</v>
      </c>
      <c r="B481" s="4" t="s">
        <v>107</v>
      </c>
      <c r="C481" s="4" t="s">
        <v>4277</v>
      </c>
      <c r="D481" s="4" t="s">
        <v>4278</v>
      </c>
      <c r="E481" s="4" t="s">
        <v>87</v>
      </c>
      <c r="F481" s="4" t="s">
        <v>18</v>
      </c>
      <c r="G481" s="4" t="s">
        <v>26</v>
      </c>
      <c r="I481" s="4" t="s">
        <v>10</v>
      </c>
      <c r="J481" s="17" t="s">
        <v>3290</v>
      </c>
      <c r="K481" s="16">
        <v>67.569306696788374</v>
      </c>
      <c r="L481" s="16">
        <v>5.7898744511195694</v>
      </c>
      <c r="M481" s="16">
        <v>92.964720018686037</v>
      </c>
      <c r="N481" s="16">
        <v>0.47259881183573382</v>
      </c>
      <c r="O481" s="16">
        <v>8.9423833615590596</v>
      </c>
      <c r="P481" s="16">
        <v>10.41700950994391</v>
      </c>
      <c r="Q481" s="16">
        <v>29.069497162368553</v>
      </c>
    </row>
    <row r="482" spans="1:17" ht="12.75" x14ac:dyDescent="0.2">
      <c r="A482" s="4" t="s">
        <v>7</v>
      </c>
      <c r="B482" s="4" t="s">
        <v>30</v>
      </c>
      <c r="C482" s="4" t="s">
        <v>4279</v>
      </c>
      <c r="D482" s="4" t="s">
        <v>4280</v>
      </c>
      <c r="E482" s="4" t="s">
        <v>129</v>
      </c>
      <c r="F482" s="4" t="s">
        <v>18</v>
      </c>
      <c r="G482" s="4" t="s">
        <v>72</v>
      </c>
      <c r="H482" s="4" t="s">
        <v>4281</v>
      </c>
      <c r="I482" s="4" t="s">
        <v>10</v>
      </c>
      <c r="J482" s="17" t="s">
        <v>3290</v>
      </c>
      <c r="K482" s="16">
        <v>90.449395980378583</v>
      </c>
      <c r="L482" s="16">
        <v>69.788926728291827</v>
      </c>
      <c r="M482" s="16">
        <v>92.045021176283896</v>
      </c>
      <c r="N482" s="16">
        <v>36.675996487967822</v>
      </c>
      <c r="O482" s="16">
        <v>62.882223035226446</v>
      </c>
      <c r="P482" s="16">
        <v>13.017794187677122</v>
      </c>
      <c r="Q482" s="16">
        <v>16.697654908578997</v>
      </c>
    </row>
    <row r="483" spans="1:17" ht="12.75" x14ac:dyDescent="0.2">
      <c r="A483" s="4" t="s">
        <v>7</v>
      </c>
      <c r="B483" s="4" t="s">
        <v>8</v>
      </c>
      <c r="C483" s="4" t="s">
        <v>4282</v>
      </c>
      <c r="D483" s="4" t="s">
        <v>4283</v>
      </c>
      <c r="E483" s="4" t="s">
        <v>83</v>
      </c>
      <c r="F483" s="4" t="s">
        <v>25</v>
      </c>
      <c r="G483" s="4" t="s">
        <v>61</v>
      </c>
      <c r="I483" s="4" t="s">
        <v>10</v>
      </c>
      <c r="J483" s="17" t="s">
        <v>3290</v>
      </c>
      <c r="K483" s="16">
        <v>80.776396153421459</v>
      </c>
      <c r="L483" s="16">
        <v>9.513414790739283</v>
      </c>
      <c r="M483" s="16">
        <v>67.559181554546853</v>
      </c>
      <c r="N483" s="16">
        <v>16.88859784509016</v>
      </c>
      <c r="O483" s="16">
        <v>82.778495695845834</v>
      </c>
      <c r="P483" s="16">
        <v>80.861505677066575</v>
      </c>
      <c r="Q483" s="16">
        <v>31.946675261981973</v>
      </c>
    </row>
    <row r="484" spans="1:17" ht="12.75" x14ac:dyDescent="0.2">
      <c r="A484" s="4" t="s">
        <v>64</v>
      </c>
      <c r="B484" s="4" t="s">
        <v>95</v>
      </c>
      <c r="C484" s="4" t="s">
        <v>4284</v>
      </c>
      <c r="D484" s="4" t="s">
        <v>4285</v>
      </c>
      <c r="E484" s="4" t="s">
        <v>120</v>
      </c>
      <c r="F484" s="4" t="s">
        <v>18</v>
      </c>
      <c r="G484" s="4" t="s">
        <v>61</v>
      </c>
      <c r="H484" s="4"/>
      <c r="I484" s="4" t="s">
        <v>10</v>
      </c>
      <c r="J484" s="17" t="s">
        <v>3290</v>
      </c>
      <c r="K484" s="16">
        <v>45.420026413750435</v>
      </c>
      <c r="L484" s="16">
        <v>84.635957374461512</v>
      </c>
      <c r="M484" s="16">
        <v>29.127324176396119</v>
      </c>
      <c r="N484" s="16">
        <v>82.577303362188076</v>
      </c>
      <c r="O484" s="16">
        <v>17.68539549704321</v>
      </c>
      <c r="P484" s="16">
        <v>45.632336086659222</v>
      </c>
      <c r="Q484" s="16">
        <v>93.293288576244024</v>
      </c>
    </row>
    <row r="485" spans="1:17" ht="12.75" x14ac:dyDescent="0.2">
      <c r="A485" s="4" t="s">
        <v>7</v>
      </c>
      <c r="B485" s="4" t="s">
        <v>16</v>
      </c>
      <c r="C485" s="4" t="s">
        <v>4286</v>
      </c>
      <c r="D485" s="4" t="s">
        <v>4287</v>
      </c>
      <c r="E485" s="4" t="s">
        <v>120</v>
      </c>
      <c r="F485" s="4" t="s">
        <v>18</v>
      </c>
      <c r="G485" s="4" t="s">
        <v>41</v>
      </c>
      <c r="H485" s="4"/>
      <c r="I485" s="4" t="s">
        <v>10</v>
      </c>
      <c r="J485" s="17" t="s">
        <v>3290</v>
      </c>
      <c r="K485" s="16">
        <v>14.577084854360113</v>
      </c>
      <c r="L485" s="16">
        <v>67.809898205248714</v>
      </c>
      <c r="M485" s="16">
        <v>13.857550776491735</v>
      </c>
      <c r="N485" s="16">
        <v>93.722789681456618</v>
      </c>
      <c r="O485" s="16">
        <v>54.768911535383815</v>
      </c>
      <c r="P485" s="16">
        <v>19.057056430390084</v>
      </c>
      <c r="Q485" s="16">
        <v>85.233891324731019</v>
      </c>
    </row>
    <row r="486" spans="1:17" ht="12.75" x14ac:dyDescent="0.2">
      <c r="A486" s="4" t="s">
        <v>64</v>
      </c>
      <c r="B486" s="4" t="s">
        <v>86</v>
      </c>
      <c r="C486" s="4" t="s">
        <v>4288</v>
      </c>
      <c r="D486" s="4" t="s">
        <v>4289</v>
      </c>
      <c r="E486" s="4" t="s">
        <v>114</v>
      </c>
      <c r="F486" s="4" t="s">
        <v>25</v>
      </c>
      <c r="G486" s="4" t="s">
        <v>72</v>
      </c>
      <c r="I486" s="4" t="s">
        <v>10</v>
      </c>
      <c r="J486" s="17" t="s">
        <v>3290</v>
      </c>
      <c r="K486" s="16">
        <v>33.805309194372789</v>
      </c>
      <c r="L486" s="16">
        <v>53.852212924499135</v>
      </c>
      <c r="M486" s="16">
        <v>48.259936374521409</v>
      </c>
      <c r="N486" s="16">
        <v>98.816560837332929</v>
      </c>
      <c r="O486" s="16">
        <v>58.116161924834074</v>
      </c>
      <c r="P486" s="16">
        <v>23.74010554463656</v>
      </c>
      <c r="Q486" s="16">
        <v>83.58442974622703</v>
      </c>
    </row>
    <row r="487" spans="1:17" ht="12.75" x14ac:dyDescent="0.2">
      <c r="A487" s="4" t="s">
        <v>115</v>
      </c>
      <c r="B487" s="4" t="s">
        <v>119</v>
      </c>
      <c r="C487" s="4" t="s">
        <v>4290</v>
      </c>
      <c r="D487" s="4" t="s">
        <v>4291</v>
      </c>
      <c r="E487" s="4" t="s">
        <v>135</v>
      </c>
      <c r="F487" s="4" t="s">
        <v>18</v>
      </c>
      <c r="G487" s="4" t="s">
        <v>19</v>
      </c>
      <c r="I487" s="4" t="s">
        <v>10</v>
      </c>
      <c r="J487" s="17" t="s">
        <v>3290</v>
      </c>
      <c r="K487" s="16">
        <v>60.753395255171668</v>
      </c>
      <c r="L487" s="16">
        <v>3.8848424645509749</v>
      </c>
      <c r="M487" s="16">
        <v>26.903740533934371</v>
      </c>
      <c r="N487" s="16">
        <v>96.972491176598012</v>
      </c>
      <c r="O487" s="16">
        <v>68.629293667744932</v>
      </c>
      <c r="P487" s="16">
        <v>80.637109800797418</v>
      </c>
      <c r="Q487" s="16">
        <v>91.554223574229297</v>
      </c>
    </row>
    <row r="488" spans="1:17" ht="12.75" x14ac:dyDescent="0.2">
      <c r="A488" s="4" t="s">
        <v>64</v>
      </c>
      <c r="B488" s="4" t="s">
        <v>86</v>
      </c>
      <c r="C488" s="4" t="s">
        <v>4292</v>
      </c>
      <c r="D488" s="4" t="s">
        <v>4293</v>
      </c>
      <c r="E488" s="4" t="s">
        <v>87</v>
      </c>
      <c r="F488" s="4" t="s">
        <v>18</v>
      </c>
      <c r="G488" s="4" t="s">
        <v>12</v>
      </c>
      <c r="I488" s="4" t="s">
        <v>10</v>
      </c>
      <c r="J488" s="17" t="s">
        <v>3290</v>
      </c>
      <c r="K488" s="16">
        <v>93.372227547310175</v>
      </c>
      <c r="L488" s="16">
        <v>22.245093418005478</v>
      </c>
      <c r="M488" s="16">
        <v>70.09221072550794</v>
      </c>
      <c r="N488" s="16">
        <v>70.823026576314092</v>
      </c>
      <c r="O488" s="16">
        <v>44.775506044692115</v>
      </c>
      <c r="P488" s="16">
        <v>90.837852322213379</v>
      </c>
      <c r="Q488" s="16">
        <v>81.037488477789594</v>
      </c>
    </row>
    <row r="489" spans="1:17" ht="12.75" x14ac:dyDescent="0.2">
      <c r="A489" s="4" t="s">
        <v>7</v>
      </c>
      <c r="B489" s="4" t="s">
        <v>8</v>
      </c>
      <c r="C489" s="4" t="s">
        <v>4294</v>
      </c>
      <c r="D489" s="4" t="s">
        <v>4295</v>
      </c>
      <c r="E489" s="4" t="s">
        <v>108</v>
      </c>
      <c r="F489" s="4" t="s">
        <v>25</v>
      </c>
      <c r="G489" s="4" t="s">
        <v>61</v>
      </c>
      <c r="I489" s="4" t="s">
        <v>10</v>
      </c>
      <c r="J489" s="17" t="s">
        <v>3290</v>
      </c>
      <c r="K489" s="16">
        <v>67.489260818209189</v>
      </c>
      <c r="L489" s="16">
        <v>31.023822223060527</v>
      </c>
      <c r="M489" s="16">
        <v>65.183338871867051</v>
      </c>
      <c r="N489" s="16">
        <v>33.380929834928921</v>
      </c>
      <c r="O489" s="16">
        <v>66.32714419406669</v>
      </c>
      <c r="P489" s="16">
        <v>79.492845042116258</v>
      </c>
      <c r="Q489" s="16">
        <v>50.20628152819576</v>
      </c>
    </row>
    <row r="490" spans="1:17" ht="12.75" x14ac:dyDescent="0.2">
      <c r="A490" s="4" t="s">
        <v>37</v>
      </c>
      <c r="B490" s="4" t="s">
        <v>38</v>
      </c>
      <c r="C490" s="4" t="s">
        <v>4296</v>
      </c>
      <c r="D490" s="4" t="s">
        <v>4297</v>
      </c>
      <c r="E490" s="4" t="s">
        <v>9</v>
      </c>
      <c r="F490" s="4" t="s">
        <v>18</v>
      </c>
      <c r="G490" s="4" t="s">
        <v>41</v>
      </c>
      <c r="H490" s="4"/>
      <c r="I490" s="4" t="s">
        <v>10</v>
      </c>
      <c r="J490" s="17" t="s">
        <v>3290</v>
      </c>
      <c r="K490" s="16">
        <v>44.51748822932813</v>
      </c>
      <c r="L490" s="16">
        <v>49.773793507725337</v>
      </c>
      <c r="M490" s="16">
        <v>78.750397788729046</v>
      </c>
      <c r="N490" s="16">
        <v>12.323016911876017</v>
      </c>
      <c r="O490" s="16">
        <v>28.284031979856039</v>
      </c>
      <c r="P490" s="16">
        <v>13.941811696604056</v>
      </c>
      <c r="Q490" s="16">
        <v>63.201601612447448</v>
      </c>
    </row>
    <row r="491" spans="1:17" ht="12.75" x14ac:dyDescent="0.2">
      <c r="A491" s="4" t="s">
        <v>64</v>
      </c>
      <c r="B491" s="4" t="s">
        <v>70</v>
      </c>
      <c r="C491" s="4" t="s">
        <v>4298</v>
      </c>
      <c r="D491" s="4" t="s">
        <v>4299</v>
      </c>
      <c r="E491" s="4" t="s">
        <v>83</v>
      </c>
      <c r="F491" s="4" t="s">
        <v>25</v>
      </c>
      <c r="G491" s="4" t="s">
        <v>72</v>
      </c>
      <c r="H491" s="4"/>
      <c r="I491" s="4" t="s">
        <v>10</v>
      </c>
      <c r="J491" s="17" t="s">
        <v>3290</v>
      </c>
      <c r="K491" s="16">
        <v>94.641867421220098</v>
      </c>
      <c r="L491" s="16">
        <v>74.20257431656664</v>
      </c>
      <c r="M491" s="16">
        <v>48.367098563014977</v>
      </c>
      <c r="N491" s="16">
        <v>64.056067387937176</v>
      </c>
      <c r="O491" s="16">
        <v>16.665803387467793</v>
      </c>
      <c r="P491" s="16">
        <v>99.727152416880784</v>
      </c>
      <c r="Q491" s="16">
        <v>32.303825890950279</v>
      </c>
    </row>
    <row r="492" spans="1:17" ht="12.75" x14ac:dyDescent="0.2">
      <c r="A492" s="4" t="s">
        <v>64</v>
      </c>
      <c r="B492" s="4" t="s">
        <v>82</v>
      </c>
      <c r="C492" s="4" t="s">
        <v>4300</v>
      </c>
      <c r="D492" s="4" t="s">
        <v>4301</v>
      </c>
      <c r="E492" s="4" t="s">
        <v>126</v>
      </c>
      <c r="F492" s="4" t="s">
        <v>18</v>
      </c>
      <c r="G492" s="4" t="s">
        <v>19</v>
      </c>
      <c r="H492" s="4"/>
      <c r="I492" s="4" t="s">
        <v>10</v>
      </c>
      <c r="J492" s="17" t="s">
        <v>3290</v>
      </c>
      <c r="K492" s="16">
        <v>23.328398389500215</v>
      </c>
      <c r="L492" s="16">
        <v>71.799526776691351</v>
      </c>
      <c r="M492" s="16">
        <v>61.994266092226425</v>
      </c>
      <c r="N492" s="16">
        <v>47.623513812842845</v>
      </c>
      <c r="O492" s="16">
        <v>98.108370945484239</v>
      </c>
      <c r="P492" s="16">
        <v>47.732232514925165</v>
      </c>
      <c r="Q492" s="16">
        <v>30.00555174982177</v>
      </c>
    </row>
    <row r="493" spans="1:17" ht="12.75" x14ac:dyDescent="0.2">
      <c r="A493" s="4" t="s">
        <v>64</v>
      </c>
      <c r="B493" s="4" t="s">
        <v>82</v>
      </c>
      <c r="C493" s="4" t="s">
        <v>4302</v>
      </c>
      <c r="D493" s="4" t="s">
        <v>4303</v>
      </c>
      <c r="E493" s="4" t="s">
        <v>126</v>
      </c>
      <c r="F493" s="4" t="s">
        <v>18</v>
      </c>
      <c r="G493" s="4" t="s">
        <v>3280</v>
      </c>
      <c r="H493" s="4"/>
      <c r="I493" s="4" t="s">
        <v>10</v>
      </c>
      <c r="J493" s="17" t="s">
        <v>3290</v>
      </c>
      <c r="K493" s="16">
        <v>91.871649780059769</v>
      </c>
      <c r="L493" s="16">
        <v>17.214054136013999</v>
      </c>
      <c r="M493" s="16">
        <v>14.351919686111248</v>
      </c>
      <c r="N493" s="16">
        <v>39.317211128222674</v>
      </c>
      <c r="O493" s="16">
        <v>46.051568723647854</v>
      </c>
      <c r="P493" s="16">
        <v>58.557466444896292</v>
      </c>
      <c r="Q493" s="16">
        <v>19.198551506210858</v>
      </c>
    </row>
    <row r="494" spans="1:17" ht="12.75" x14ac:dyDescent="0.2">
      <c r="A494" s="4" t="s">
        <v>64</v>
      </c>
      <c r="B494" s="4" t="s">
        <v>82</v>
      </c>
      <c r="C494" s="4" t="s">
        <v>4304</v>
      </c>
      <c r="D494" s="4" t="s">
        <v>4305</v>
      </c>
      <c r="E494" s="4" t="s">
        <v>87</v>
      </c>
      <c r="F494" s="4" t="s">
        <v>25</v>
      </c>
      <c r="G494" s="4" t="s">
        <v>72</v>
      </c>
      <c r="H494" s="4"/>
      <c r="I494" s="4" t="s">
        <v>10</v>
      </c>
      <c r="J494" s="17" t="s">
        <v>3290</v>
      </c>
      <c r="K494" s="16">
        <v>42.371265521466924</v>
      </c>
      <c r="L494" s="16">
        <v>21.421127936785421</v>
      </c>
      <c r="M494" s="16">
        <v>88.500324074567075</v>
      </c>
      <c r="N494" s="16">
        <v>25.268693328263005</v>
      </c>
      <c r="O494" s="16">
        <v>58.737546949554186</v>
      </c>
      <c r="P494" s="16">
        <v>36.847663203197655</v>
      </c>
      <c r="Q494" s="16">
        <v>1.0479784658713687</v>
      </c>
    </row>
    <row r="495" spans="1:17" ht="12.75" x14ac:dyDescent="0.2">
      <c r="A495" s="4" t="s">
        <v>64</v>
      </c>
      <c r="B495" s="4" t="s">
        <v>82</v>
      </c>
      <c r="C495" s="4" t="s">
        <v>4306</v>
      </c>
      <c r="D495" s="4" t="s">
        <v>4307</v>
      </c>
      <c r="E495" s="4" t="s">
        <v>87</v>
      </c>
      <c r="F495" s="4" t="s">
        <v>25</v>
      </c>
      <c r="G495" s="4" t="s">
        <v>72</v>
      </c>
      <c r="H495" s="4"/>
      <c r="I495" s="4" t="s">
        <v>10</v>
      </c>
      <c r="J495" s="17" t="s">
        <v>3290</v>
      </c>
      <c r="K495" s="16">
        <v>54.993306612121451</v>
      </c>
      <c r="L495" s="16">
        <v>41.707301637601937</v>
      </c>
      <c r="M495" s="16">
        <v>3.0717712594310997</v>
      </c>
      <c r="N495" s="16">
        <v>76.743578814159378</v>
      </c>
      <c r="O495" s="16">
        <v>41.285303229922164</v>
      </c>
      <c r="P495" s="16">
        <v>72.745497925744672</v>
      </c>
      <c r="Q495" s="16">
        <v>42.436393562681197</v>
      </c>
    </row>
    <row r="496" spans="1:17" ht="12.75" x14ac:dyDescent="0.2">
      <c r="A496" s="4" t="s">
        <v>64</v>
      </c>
      <c r="B496" s="4" t="s">
        <v>92</v>
      </c>
      <c r="C496" s="4" t="s">
        <v>4308</v>
      </c>
      <c r="D496" s="4" t="s">
        <v>4309</v>
      </c>
      <c r="E496" s="4" t="s">
        <v>9</v>
      </c>
      <c r="F496" s="4" t="s">
        <v>18</v>
      </c>
      <c r="G496" s="4" t="s">
        <v>12</v>
      </c>
      <c r="H496" s="4"/>
      <c r="I496" s="4" t="s">
        <v>10</v>
      </c>
      <c r="J496" s="17" t="s">
        <v>3290</v>
      </c>
      <c r="K496" s="16">
        <v>69.853501720772499</v>
      </c>
      <c r="L496" s="16">
        <v>6.1173251670205602</v>
      </c>
      <c r="M496" s="16">
        <v>86.435450301951406</v>
      </c>
      <c r="N496" s="16">
        <v>74.328288649674633</v>
      </c>
      <c r="O496" s="16">
        <v>10.56356828414382</v>
      </c>
      <c r="P496" s="16">
        <v>26.689028733291785</v>
      </c>
      <c r="Q496" s="16">
        <v>59.129735214811575</v>
      </c>
    </row>
    <row r="497" spans="1:17" ht="12.75" x14ac:dyDescent="0.2">
      <c r="A497" s="4" t="s">
        <v>37</v>
      </c>
      <c r="B497" s="4" t="s">
        <v>38</v>
      </c>
      <c r="C497" s="4" t="s">
        <v>4310</v>
      </c>
      <c r="D497" s="4" t="s">
        <v>4311</v>
      </c>
      <c r="E497" s="4" t="s">
        <v>9</v>
      </c>
      <c r="F497" s="4" t="s">
        <v>18</v>
      </c>
      <c r="G497" s="4" t="s">
        <v>41</v>
      </c>
      <c r="H497" s="4"/>
      <c r="I497" s="4" t="s">
        <v>10</v>
      </c>
      <c r="J497" s="17" t="s">
        <v>3290</v>
      </c>
      <c r="K497" s="16">
        <v>82.658598642932191</v>
      </c>
      <c r="L497" s="16">
        <v>77.859710366479732</v>
      </c>
      <c r="M497" s="16">
        <v>13.61636528469985</v>
      </c>
      <c r="N497" s="16">
        <v>37.425564969804171</v>
      </c>
      <c r="O497" s="16">
        <v>23.492827790584624</v>
      </c>
      <c r="P497" s="16">
        <v>87.998673099028323</v>
      </c>
      <c r="Q497" s="16">
        <v>93.368737854780221</v>
      </c>
    </row>
    <row r="498" spans="1:17" ht="12.75" x14ac:dyDescent="0.2">
      <c r="A498" s="4" t="s">
        <v>98</v>
      </c>
      <c r="B498" s="4" t="s">
        <v>107</v>
      </c>
      <c r="C498" s="4" t="s">
        <v>4312</v>
      </c>
      <c r="D498" s="4" t="s">
        <v>4313</v>
      </c>
      <c r="E498" s="4" t="s">
        <v>87</v>
      </c>
      <c r="F498" s="4" t="s">
        <v>25</v>
      </c>
      <c r="G498" s="4" t="s">
        <v>41</v>
      </c>
      <c r="H498" s="4"/>
      <c r="I498" s="4" t="s">
        <v>10</v>
      </c>
      <c r="J498" s="17" t="s">
        <v>3290</v>
      </c>
      <c r="K498" s="16">
        <v>2.3672043200906767</v>
      </c>
      <c r="L498" s="16">
        <v>46.832261801224206</v>
      </c>
      <c r="M498" s="16">
        <v>96.570194827717074</v>
      </c>
      <c r="N498" s="16">
        <v>30.211225242661076</v>
      </c>
      <c r="O498" s="16">
        <v>24.945525993697736</v>
      </c>
      <c r="P498" s="16">
        <v>53.21292029857522</v>
      </c>
      <c r="Q498" s="16">
        <v>33.457377734502792</v>
      </c>
    </row>
    <row r="499" spans="1:17" ht="12.75" x14ac:dyDescent="0.2">
      <c r="A499" s="4" t="s">
        <v>37</v>
      </c>
      <c r="B499" s="4" t="s">
        <v>38</v>
      </c>
      <c r="C499" s="4" t="s">
        <v>4314</v>
      </c>
      <c r="D499" s="4" t="s">
        <v>4315</v>
      </c>
      <c r="E499" s="4" t="s">
        <v>9</v>
      </c>
      <c r="F499" s="4" t="s">
        <v>18</v>
      </c>
      <c r="G499" s="4" t="s">
        <v>41</v>
      </c>
      <c r="H499" s="4"/>
      <c r="I499" s="4" t="s">
        <v>10</v>
      </c>
      <c r="J499" s="17" t="s">
        <v>3290</v>
      </c>
      <c r="K499" s="16">
        <v>11.982328338951298</v>
      </c>
      <c r="L499" s="16">
        <v>0.67476683857862207</v>
      </c>
      <c r="M499" s="16">
        <v>93.958242113443973</v>
      </c>
      <c r="N499" s="16">
        <v>21.459813731641987</v>
      </c>
      <c r="O499" s="16">
        <v>5.473984141649602</v>
      </c>
      <c r="P499" s="16">
        <v>48.989170694119402</v>
      </c>
      <c r="Q499" s="16">
        <v>40.74901027445231</v>
      </c>
    </row>
    <row r="500" spans="1:17" ht="12.75" x14ac:dyDescent="0.2">
      <c r="A500" s="4" t="s">
        <v>64</v>
      </c>
      <c r="B500" s="4" t="s">
        <v>82</v>
      </c>
      <c r="C500" s="4" t="s">
        <v>4316</v>
      </c>
      <c r="D500" s="4" t="s">
        <v>4317</v>
      </c>
      <c r="E500" s="4" t="s">
        <v>9</v>
      </c>
      <c r="F500" s="4" t="s">
        <v>25</v>
      </c>
      <c r="G500" s="4" t="s">
        <v>72</v>
      </c>
      <c r="H500" s="4"/>
      <c r="I500" s="4" t="s">
        <v>10</v>
      </c>
      <c r="J500" s="17" t="s">
        <v>3290</v>
      </c>
      <c r="K500" s="16">
        <v>80.589143459667355</v>
      </c>
      <c r="L500" s="16">
        <v>18.259497258314017</v>
      </c>
      <c r="M500" s="16">
        <v>86.130018555300779</v>
      </c>
      <c r="N500" s="16">
        <v>54.618705451440754</v>
      </c>
      <c r="O500" s="16">
        <v>89.43283713386775</v>
      </c>
      <c r="P500" s="16">
        <v>88.031918099810397</v>
      </c>
      <c r="Q500" s="16">
        <v>23.25618527557889</v>
      </c>
    </row>
    <row r="501" spans="1:17" ht="12.75" x14ac:dyDescent="0.2">
      <c r="A501" s="4" t="s">
        <v>115</v>
      </c>
      <c r="B501" s="4" t="s">
        <v>116</v>
      </c>
      <c r="C501" s="4" t="s">
        <v>4318</v>
      </c>
      <c r="D501" s="4" t="s">
        <v>4319</v>
      </c>
      <c r="E501" s="4" t="s">
        <v>108</v>
      </c>
      <c r="F501" s="4" t="s">
        <v>18</v>
      </c>
      <c r="G501" s="4" t="s">
        <v>19</v>
      </c>
      <c r="H501" s="4"/>
      <c r="I501" s="4" t="s">
        <v>10</v>
      </c>
      <c r="J501" s="17" t="s">
        <v>3290</v>
      </c>
      <c r="K501" s="16">
        <v>67.448380720983465</v>
      </c>
      <c r="L501" s="16">
        <v>4.6464096278278078</v>
      </c>
      <c r="M501" s="16">
        <v>31.646843080734399</v>
      </c>
      <c r="N501" s="16">
        <v>29.443721109562869</v>
      </c>
      <c r="O501" s="16">
        <v>57.531445368301263</v>
      </c>
      <c r="P501" s="16">
        <v>46.95694742900033</v>
      </c>
      <c r="Q501" s="16">
        <v>74.040029354351418</v>
      </c>
    </row>
    <row r="502" spans="1:17" ht="12.75" x14ac:dyDescent="0.2">
      <c r="A502" s="4" t="s">
        <v>115</v>
      </c>
      <c r="B502" s="4" t="s">
        <v>116</v>
      </c>
      <c r="C502" s="4" t="s">
        <v>4320</v>
      </c>
      <c r="D502" s="4" t="s">
        <v>4321</v>
      </c>
      <c r="E502" s="4" t="s">
        <v>9</v>
      </c>
      <c r="F502" s="4" t="s">
        <v>18</v>
      </c>
      <c r="G502" s="4" t="s">
        <v>12</v>
      </c>
      <c r="H502" s="4"/>
      <c r="I502" s="4" t="s">
        <v>10</v>
      </c>
      <c r="J502" s="17" t="s">
        <v>3290</v>
      </c>
      <c r="K502" s="16">
        <v>5.7140713941829402</v>
      </c>
      <c r="L502" s="16">
        <v>95.593214661955045</v>
      </c>
      <c r="M502" s="16">
        <v>49.149140849309291</v>
      </c>
      <c r="N502" s="16">
        <v>3.3742151490203764</v>
      </c>
      <c r="O502" s="16">
        <v>60.869852576770469</v>
      </c>
      <c r="P502" s="16">
        <v>4.1385182384776513</v>
      </c>
      <c r="Q502" s="16">
        <v>49.973407347895105</v>
      </c>
    </row>
    <row r="503" spans="1:17" ht="12.75" x14ac:dyDescent="0.2">
      <c r="A503" s="4" t="s">
        <v>64</v>
      </c>
      <c r="B503" s="4" t="s">
        <v>82</v>
      </c>
      <c r="C503" s="4" t="s">
        <v>4322</v>
      </c>
      <c r="D503" s="4" t="s">
        <v>4323</v>
      </c>
      <c r="E503" s="4" t="s">
        <v>9</v>
      </c>
      <c r="F503" s="4" t="s">
        <v>18</v>
      </c>
      <c r="G503" s="4" t="s">
        <v>3280</v>
      </c>
      <c r="H503" s="4"/>
      <c r="I503" s="4" t="s">
        <v>10</v>
      </c>
      <c r="J503" s="17" t="s">
        <v>3290</v>
      </c>
      <c r="K503" s="16">
        <v>48.418192654916702</v>
      </c>
      <c r="L503" s="16">
        <v>47.856808308983403</v>
      </c>
      <c r="M503" s="16">
        <v>58.341610269955183</v>
      </c>
      <c r="N503" s="16">
        <v>50.336231888361461</v>
      </c>
      <c r="O503" s="16">
        <v>61.522099218841987</v>
      </c>
      <c r="P503" s="16">
        <v>63.650524022219578</v>
      </c>
      <c r="Q503" s="16">
        <v>24.148407195191311</v>
      </c>
    </row>
    <row r="504" spans="1:17" ht="12.75" x14ac:dyDescent="0.2">
      <c r="A504" s="4" t="s">
        <v>64</v>
      </c>
      <c r="B504" s="4" t="s">
        <v>82</v>
      </c>
      <c r="C504" s="4" t="s">
        <v>4324</v>
      </c>
      <c r="D504" s="4" t="s">
        <v>4325</v>
      </c>
      <c r="E504" s="4" t="s">
        <v>9</v>
      </c>
      <c r="F504" s="4" t="s">
        <v>25</v>
      </c>
      <c r="G504" s="4" t="s">
        <v>3280</v>
      </c>
      <c r="H504" s="4"/>
      <c r="I504" s="4" t="s">
        <v>10</v>
      </c>
      <c r="J504" s="17" t="s">
        <v>3290</v>
      </c>
      <c r="K504" s="16">
        <v>90.726055770266882</v>
      </c>
      <c r="L504" s="16">
        <v>50.677426896418055</v>
      </c>
      <c r="M504" s="16">
        <v>47.091943028962191</v>
      </c>
      <c r="N504" s="16">
        <v>69.772720507144641</v>
      </c>
      <c r="O504" s="16">
        <v>91.04229918771216</v>
      </c>
      <c r="P504" s="16">
        <v>91.232404794236558</v>
      </c>
      <c r="Q504" s="16">
        <v>11.894433104239743</v>
      </c>
    </row>
    <row r="505" spans="1:17" ht="12.75" x14ac:dyDescent="0.2">
      <c r="A505" s="4" t="s">
        <v>37</v>
      </c>
      <c r="B505" s="4" t="s">
        <v>38</v>
      </c>
      <c r="C505" s="4" t="s">
        <v>4326</v>
      </c>
      <c r="D505" s="4" t="s">
        <v>4327</v>
      </c>
      <c r="E505" s="4" t="s">
        <v>9</v>
      </c>
      <c r="F505" s="4" t="s">
        <v>18</v>
      </c>
      <c r="G505" s="4" t="s">
        <v>41</v>
      </c>
      <c r="H505" s="4"/>
      <c r="I505" s="4" t="s">
        <v>10</v>
      </c>
      <c r="J505" s="17" t="s">
        <v>3290</v>
      </c>
      <c r="K505" s="16">
        <v>94.407157931139565</v>
      </c>
      <c r="L505" s="16">
        <v>26.136453363616198</v>
      </c>
      <c r="M505" s="16">
        <v>1.7473015989650453</v>
      </c>
      <c r="N505" s="16">
        <v>92.344872285911649</v>
      </c>
      <c r="O505" s="16">
        <v>23.303904171240873</v>
      </c>
      <c r="P505" s="16">
        <v>92.524122021004246</v>
      </c>
      <c r="Q505" s="16">
        <v>48.861686772457269</v>
      </c>
    </row>
    <row r="506" spans="1:17" ht="12.75" x14ac:dyDescent="0.2">
      <c r="A506" s="4" t="s">
        <v>64</v>
      </c>
      <c r="B506" s="4" t="s">
        <v>92</v>
      </c>
      <c r="C506" s="4" t="s">
        <v>4328</v>
      </c>
      <c r="D506" s="4" t="s">
        <v>4329</v>
      </c>
      <c r="E506" s="4" t="s">
        <v>9</v>
      </c>
      <c r="F506" s="4" t="s">
        <v>18</v>
      </c>
      <c r="G506" s="4" t="s">
        <v>19</v>
      </c>
      <c r="H506" s="4"/>
      <c r="I506" s="4" t="s">
        <v>10</v>
      </c>
      <c r="J506" s="17" t="s">
        <v>3290</v>
      </c>
      <c r="K506" s="16">
        <v>72.620455525894897</v>
      </c>
      <c r="L506" s="16">
        <v>23.611215040164868</v>
      </c>
      <c r="M506" s="16">
        <v>85.81986553347582</v>
      </c>
      <c r="N506" s="16">
        <v>52.219038696051399</v>
      </c>
      <c r="O506" s="16">
        <v>85.659877264411307</v>
      </c>
      <c r="P506" s="16">
        <v>18.524572736561172</v>
      </c>
      <c r="Q506" s="16">
        <v>80.964660348848</v>
      </c>
    </row>
    <row r="507" spans="1:17" ht="12.75" x14ac:dyDescent="0.2">
      <c r="A507" s="4" t="s">
        <v>64</v>
      </c>
      <c r="B507" s="4" t="s">
        <v>82</v>
      </c>
      <c r="C507" s="4" t="s">
        <v>4330</v>
      </c>
      <c r="D507" s="4" t="s">
        <v>4331</v>
      </c>
      <c r="E507" s="4" t="s">
        <v>9</v>
      </c>
      <c r="F507" s="4" t="s">
        <v>25</v>
      </c>
      <c r="G507" s="4" t="s">
        <v>72</v>
      </c>
      <c r="I507" s="4" t="s">
        <v>10</v>
      </c>
      <c r="J507" s="17" t="s">
        <v>3290</v>
      </c>
      <c r="K507" s="16">
        <v>68.155486713419052</v>
      </c>
      <c r="L507" s="16">
        <v>71.936855329499721</v>
      </c>
      <c r="M507" s="16">
        <v>82.669245038219884</v>
      </c>
      <c r="N507" s="16">
        <v>78.821597304852759</v>
      </c>
      <c r="O507" s="16">
        <v>10.33967108035645</v>
      </c>
      <c r="P507" s="16">
        <v>20.124181089936556</v>
      </c>
      <c r="Q507" s="16">
        <v>80.927179230226727</v>
      </c>
    </row>
    <row r="508" spans="1:17" ht="12.75" x14ac:dyDescent="0.2">
      <c r="A508" s="4" t="s">
        <v>98</v>
      </c>
      <c r="B508" s="4" t="s">
        <v>113</v>
      </c>
      <c r="C508" s="4" t="s">
        <v>4332</v>
      </c>
      <c r="D508" s="4" t="s">
        <v>4333</v>
      </c>
      <c r="E508" s="4" t="s">
        <v>9</v>
      </c>
      <c r="F508" s="4" t="s">
        <v>18</v>
      </c>
      <c r="G508" s="4" t="s">
        <v>19</v>
      </c>
      <c r="H508" s="4"/>
      <c r="I508" s="4" t="s">
        <v>10</v>
      </c>
      <c r="J508" s="17" t="s">
        <v>3290</v>
      </c>
      <c r="K508" s="16">
        <v>6.1932552597687041</v>
      </c>
      <c r="L508" s="16">
        <v>62.839257136276586</v>
      </c>
      <c r="M508" s="16">
        <v>96.548893084988762</v>
      </c>
      <c r="N508" s="16">
        <v>79.779848178177758</v>
      </c>
      <c r="O508" s="16">
        <v>65.865008327304565</v>
      </c>
      <c r="P508" s="16">
        <v>11.645261354208481</v>
      </c>
      <c r="Q508" s="16">
        <v>99.099957187251249</v>
      </c>
    </row>
    <row r="509" spans="1:17" ht="12.75" x14ac:dyDescent="0.2">
      <c r="A509" s="4" t="s">
        <v>64</v>
      </c>
      <c r="B509" s="4" t="s">
        <v>92</v>
      </c>
      <c r="C509" s="4" t="s">
        <v>4334</v>
      </c>
      <c r="D509" s="4" t="s">
        <v>4335</v>
      </c>
      <c r="E509" s="4" t="s">
        <v>9</v>
      </c>
      <c r="F509" s="4" t="s">
        <v>18</v>
      </c>
      <c r="G509" s="4" t="s">
        <v>26</v>
      </c>
      <c r="H509" s="4"/>
      <c r="I509" s="4" t="s">
        <v>10</v>
      </c>
      <c r="J509" s="17" t="s">
        <v>3290</v>
      </c>
      <c r="K509" s="16">
        <v>50.121453337774824</v>
      </c>
      <c r="L509" s="16">
        <v>50.831921537249933</v>
      </c>
      <c r="M509" s="16">
        <v>81.371428198878021</v>
      </c>
      <c r="N509" s="16">
        <v>68.41243967956018</v>
      </c>
      <c r="O509" s="16">
        <v>55.938776460877634</v>
      </c>
      <c r="P509" s="16">
        <v>78.497886472888595</v>
      </c>
      <c r="Q509" s="16">
        <v>47.576083104118929</v>
      </c>
    </row>
    <row r="510" spans="1:17" ht="12.75" x14ac:dyDescent="0.2">
      <c r="A510" s="4" t="s">
        <v>98</v>
      </c>
      <c r="B510" s="4" t="s">
        <v>105</v>
      </c>
      <c r="C510" s="4" t="s">
        <v>4336</v>
      </c>
      <c r="D510" s="4" t="s">
        <v>4337</v>
      </c>
      <c r="E510" s="4" t="s">
        <v>83</v>
      </c>
      <c r="F510" s="4" t="s">
        <v>25</v>
      </c>
      <c r="G510" s="4" t="s">
        <v>41</v>
      </c>
      <c r="H510" s="4"/>
      <c r="I510" s="4" t="s">
        <v>10</v>
      </c>
      <c r="J510" s="17" t="s">
        <v>3290</v>
      </c>
      <c r="K510" s="16">
        <v>7.8939426951245668</v>
      </c>
      <c r="L510" s="16">
        <v>5.0134479264913772</v>
      </c>
      <c r="M510" s="16">
        <v>18.267951511641822</v>
      </c>
      <c r="N510" s="16">
        <v>33.421564381114599</v>
      </c>
      <c r="O510" s="16">
        <v>29.244463137519638</v>
      </c>
      <c r="P510" s="16">
        <v>62.587104400269688</v>
      </c>
      <c r="Q510" s="16">
        <v>85.532242237099069</v>
      </c>
    </row>
    <row r="511" spans="1:17" ht="12.75" x14ac:dyDescent="0.2">
      <c r="A511" s="4" t="s">
        <v>98</v>
      </c>
      <c r="B511" s="4" t="s">
        <v>113</v>
      </c>
      <c r="C511" s="4" t="s">
        <v>4338</v>
      </c>
      <c r="D511" s="4" t="s">
        <v>4339</v>
      </c>
      <c r="E511" s="4" t="s">
        <v>87</v>
      </c>
      <c r="F511" s="4" t="s">
        <v>25</v>
      </c>
      <c r="G511" s="4" t="s">
        <v>41</v>
      </c>
      <c r="H511" s="4"/>
      <c r="I511" s="4" t="s">
        <v>10</v>
      </c>
      <c r="J511" s="17" t="s">
        <v>3290</v>
      </c>
      <c r="K511" s="16">
        <v>36.652092859027462</v>
      </c>
      <c r="L511" s="16">
        <v>82.421846627654645</v>
      </c>
      <c r="M511" s="16">
        <v>81.606545034510802</v>
      </c>
      <c r="N511" s="16">
        <v>12.38055007835781</v>
      </c>
      <c r="O511" s="16">
        <v>23.003742175999875</v>
      </c>
      <c r="P511" s="16">
        <v>70.838545487268959</v>
      </c>
      <c r="Q511" s="16">
        <v>83.022653728024963</v>
      </c>
    </row>
    <row r="512" spans="1:17" ht="12.75" x14ac:dyDescent="0.2">
      <c r="A512" s="4" t="s">
        <v>37</v>
      </c>
      <c r="B512" s="4" t="s">
        <v>52</v>
      </c>
      <c r="C512" s="4" t="s">
        <v>4340</v>
      </c>
      <c r="D512" s="4" t="s">
        <v>4341</v>
      </c>
      <c r="E512" s="4" t="s">
        <v>53</v>
      </c>
      <c r="F512" s="4" t="s">
        <v>25</v>
      </c>
      <c r="G512" s="4" t="s">
        <v>41</v>
      </c>
      <c r="H512" s="4"/>
      <c r="I512" s="4" t="s">
        <v>47</v>
      </c>
      <c r="J512" s="17" t="s">
        <v>3290</v>
      </c>
      <c r="K512" s="16">
        <v>59.434114652924244</v>
      </c>
      <c r="L512" s="16">
        <v>96.957417263490981</v>
      </c>
      <c r="M512" s="16">
        <v>35.238173317228657</v>
      </c>
      <c r="N512" s="16">
        <v>43.776107966418195</v>
      </c>
      <c r="O512" s="16">
        <v>50.689436888592297</v>
      </c>
      <c r="P512" s="16">
        <v>25.224294665839409</v>
      </c>
      <c r="Q512" s="16">
        <v>82.09050824300796</v>
      </c>
    </row>
    <row r="513" spans="1:17" ht="12.75" x14ac:dyDescent="0.2">
      <c r="A513" s="4" t="s">
        <v>98</v>
      </c>
      <c r="B513" s="4" t="s">
        <v>110</v>
      </c>
      <c r="C513" s="4" t="s">
        <v>4342</v>
      </c>
      <c r="D513" s="4" t="s">
        <v>4343</v>
      </c>
      <c r="E513" s="4" t="s">
        <v>83</v>
      </c>
      <c r="F513" s="4" t="s">
        <v>25</v>
      </c>
      <c r="G513" s="4" t="s">
        <v>19</v>
      </c>
      <c r="H513" s="4" t="s">
        <v>10</v>
      </c>
      <c r="I513" s="4" t="s">
        <v>10</v>
      </c>
      <c r="J513" s="17" t="s">
        <v>3290</v>
      </c>
      <c r="K513" s="16">
        <v>21.586766754790453</v>
      </c>
      <c r="L513" s="16">
        <v>49.773386869302847</v>
      </c>
      <c r="M513" s="16">
        <v>39.566816623410773</v>
      </c>
      <c r="N513" s="16">
        <v>43.144517026443097</v>
      </c>
      <c r="O513" s="16">
        <v>98.29841598090367</v>
      </c>
      <c r="P513" s="16">
        <v>41.607697812145098</v>
      </c>
      <c r="Q513" s="16">
        <v>73.278698496722456</v>
      </c>
    </row>
    <row r="514" spans="1:17" ht="12.75" x14ac:dyDescent="0.2">
      <c r="A514" s="4" t="s">
        <v>115</v>
      </c>
      <c r="B514" s="4" t="s">
        <v>116</v>
      </c>
      <c r="C514" s="4" t="s">
        <v>4344</v>
      </c>
      <c r="D514" s="4" t="s">
        <v>4345</v>
      </c>
      <c r="E514" s="4" t="s">
        <v>83</v>
      </c>
      <c r="F514" s="4" t="s">
        <v>25</v>
      </c>
      <c r="G514" s="4" t="s">
        <v>41</v>
      </c>
      <c r="H514" s="4"/>
      <c r="I514" s="4" t="s">
        <v>10</v>
      </c>
      <c r="J514" s="17" t="s">
        <v>3290</v>
      </c>
      <c r="K514" s="16">
        <v>69.360671985180673</v>
      </c>
      <c r="L514" s="16">
        <v>26.467297870977557</v>
      </c>
      <c r="M514" s="16">
        <v>37.796069220609866</v>
      </c>
      <c r="N514" s="16">
        <v>36.959958092129142</v>
      </c>
      <c r="O514" s="16">
        <v>32.654798051827427</v>
      </c>
      <c r="P514" s="16">
        <v>0.6793312225032655</v>
      </c>
      <c r="Q514" s="16">
        <v>28.140355243279945</v>
      </c>
    </row>
    <row r="515" spans="1:17" ht="12.75" x14ac:dyDescent="0.2">
      <c r="A515" s="4" t="s">
        <v>98</v>
      </c>
      <c r="B515" s="4" t="s">
        <v>110</v>
      </c>
      <c r="C515" s="4" t="s">
        <v>4346</v>
      </c>
      <c r="D515" s="4" t="s">
        <v>4347</v>
      </c>
      <c r="E515" s="4" t="s">
        <v>87</v>
      </c>
      <c r="F515" s="4" t="s">
        <v>25</v>
      </c>
      <c r="G515" s="4" t="s">
        <v>41</v>
      </c>
      <c r="H515" s="4" t="s">
        <v>10</v>
      </c>
      <c r="I515" s="4" t="s">
        <v>10</v>
      </c>
      <c r="J515" s="17" t="s">
        <v>3290</v>
      </c>
      <c r="K515" s="16">
        <v>37.832825791351446</v>
      </c>
      <c r="L515" s="16">
        <v>91.865244250623576</v>
      </c>
      <c r="M515" s="16">
        <v>42.113028401779161</v>
      </c>
      <c r="N515" s="16">
        <v>59.241162990953065</v>
      </c>
      <c r="O515" s="16">
        <v>19.828298705779034</v>
      </c>
      <c r="P515" s="16">
        <v>24.76433650698776</v>
      </c>
      <c r="Q515" s="16">
        <v>25.303425919711099</v>
      </c>
    </row>
    <row r="516" spans="1:17" ht="12.75" x14ac:dyDescent="0.2">
      <c r="A516" s="4" t="s">
        <v>98</v>
      </c>
      <c r="B516" s="4" t="s">
        <v>99</v>
      </c>
      <c r="C516" s="4" t="s">
        <v>4348</v>
      </c>
      <c r="D516" s="4" t="s">
        <v>4349</v>
      </c>
      <c r="E516" s="4" t="s">
        <v>114</v>
      </c>
      <c r="F516" s="4" t="s">
        <v>25</v>
      </c>
      <c r="G516" s="4" t="s">
        <v>72</v>
      </c>
      <c r="H516" s="4"/>
      <c r="I516" s="4" t="s">
        <v>10</v>
      </c>
      <c r="J516" s="17" t="s">
        <v>3290</v>
      </c>
      <c r="K516" s="16">
        <v>19.706000317338411</v>
      </c>
      <c r="L516" s="16">
        <v>71.068377923179838</v>
      </c>
      <c r="M516" s="16">
        <v>68.931444259533109</v>
      </c>
      <c r="N516" s="16">
        <v>61.022744029645104</v>
      </c>
      <c r="O516" s="16">
        <v>58.725824979704967</v>
      </c>
      <c r="P516" s="16">
        <v>87.539786290746648</v>
      </c>
      <c r="Q516" s="16">
        <v>48.638315899943443</v>
      </c>
    </row>
    <row r="517" spans="1:17" ht="12.75" x14ac:dyDescent="0.2">
      <c r="A517" s="4" t="s">
        <v>64</v>
      </c>
      <c r="B517" s="4" t="s">
        <v>95</v>
      </c>
      <c r="C517" s="4" t="s">
        <v>4350</v>
      </c>
      <c r="D517" s="4" t="s">
        <v>4351</v>
      </c>
      <c r="E517" s="4" t="s">
        <v>83</v>
      </c>
      <c r="F517" s="4" t="s">
        <v>25</v>
      </c>
      <c r="G517" s="4" t="s">
        <v>72</v>
      </c>
      <c r="H517" s="4"/>
      <c r="I517" s="4" t="s">
        <v>10</v>
      </c>
      <c r="J517" s="17" t="s">
        <v>3290</v>
      </c>
      <c r="K517" s="16">
        <v>63.492618932468105</v>
      </c>
      <c r="L517" s="16">
        <v>32.852100951429634</v>
      </c>
      <c r="M517" s="16">
        <v>89.074106286536065</v>
      </c>
      <c r="N517" s="16">
        <v>72.294751981702774</v>
      </c>
      <c r="O517" s="16">
        <v>53.144250623027112</v>
      </c>
      <c r="P517" s="16">
        <v>1.7727897620696931</v>
      </c>
      <c r="Q517" s="16">
        <v>21.405568430938914</v>
      </c>
    </row>
    <row r="518" spans="1:17" ht="12.75" x14ac:dyDescent="0.2">
      <c r="A518" s="4" t="s">
        <v>98</v>
      </c>
      <c r="B518" s="4" t="s">
        <v>105</v>
      </c>
      <c r="C518" s="4" t="s">
        <v>4352</v>
      </c>
      <c r="D518" s="4" t="s">
        <v>4353</v>
      </c>
      <c r="E518" s="4" t="s">
        <v>83</v>
      </c>
      <c r="F518" s="4" t="s">
        <v>25</v>
      </c>
      <c r="G518" s="4" t="s">
        <v>41</v>
      </c>
      <c r="H518" s="4"/>
      <c r="I518" s="4" t="s">
        <v>10</v>
      </c>
      <c r="J518" s="17" t="s">
        <v>3290</v>
      </c>
      <c r="K518" s="16">
        <v>51.246992089268318</v>
      </c>
      <c r="L518" s="16">
        <v>27.909552175882446</v>
      </c>
      <c r="M518" s="16">
        <v>28.257412227218271</v>
      </c>
      <c r="N518" s="16">
        <v>18.836148422032139</v>
      </c>
      <c r="O518" s="16">
        <v>37.290047930327511</v>
      </c>
      <c r="P518" s="16">
        <v>51.600287096883534</v>
      </c>
      <c r="Q518" s="16">
        <v>48.904673528469779</v>
      </c>
    </row>
    <row r="519" spans="1:17" ht="12.75" x14ac:dyDescent="0.2">
      <c r="A519" s="4" t="s">
        <v>136</v>
      </c>
      <c r="B519" s="4" t="s">
        <v>137</v>
      </c>
      <c r="C519" s="4" t="s">
        <v>4354</v>
      </c>
      <c r="D519" s="4" t="s">
        <v>4355</v>
      </c>
      <c r="E519" s="4" t="s">
        <v>135</v>
      </c>
      <c r="F519" s="4" t="s">
        <v>18</v>
      </c>
      <c r="G519" s="4" t="s">
        <v>41</v>
      </c>
      <c r="H519" s="4"/>
      <c r="I519" s="4" t="s">
        <v>10</v>
      </c>
      <c r="J519" s="17" t="s">
        <v>3290</v>
      </c>
      <c r="K519" s="16">
        <v>4.9521558856869818</v>
      </c>
      <c r="L519" s="16">
        <v>77.913450162590692</v>
      </c>
      <c r="M519" s="16">
        <v>9.8311294385456485</v>
      </c>
      <c r="N519" s="16">
        <v>51.875185177628111</v>
      </c>
      <c r="O519" s="16">
        <v>82.033176631564203</v>
      </c>
      <c r="P519" s="16">
        <v>28.600290495338875</v>
      </c>
      <c r="Q519" s="16">
        <v>62.838798484518868</v>
      </c>
    </row>
    <row r="520" spans="1:17" ht="12.75" x14ac:dyDescent="0.2">
      <c r="A520" s="4" t="s">
        <v>98</v>
      </c>
      <c r="B520" s="4" t="s">
        <v>107</v>
      </c>
      <c r="C520" s="4" t="s">
        <v>4356</v>
      </c>
      <c r="D520" s="4" t="s">
        <v>4357</v>
      </c>
      <c r="E520" s="4" t="s">
        <v>87</v>
      </c>
      <c r="F520" s="4" t="s">
        <v>25</v>
      </c>
      <c r="G520" s="4" t="s">
        <v>41</v>
      </c>
      <c r="H520" s="4"/>
      <c r="I520" s="4" t="s">
        <v>10</v>
      </c>
      <c r="J520" s="17" t="s">
        <v>3290</v>
      </c>
      <c r="K520" s="16">
        <v>11.031525469906089</v>
      </c>
      <c r="L520" s="16">
        <v>1.4696597017178514</v>
      </c>
      <c r="M520" s="16">
        <v>3.3513983506053502</v>
      </c>
      <c r="N520" s="16">
        <v>84.531383997302669</v>
      </c>
      <c r="O520" s="16">
        <v>45.97375438085043</v>
      </c>
      <c r="P520" s="16">
        <v>62.42296750437184</v>
      </c>
      <c r="Q520" s="16">
        <v>68.846705853731365</v>
      </c>
    </row>
    <row r="521" spans="1:17" ht="12.75" x14ac:dyDescent="0.2">
      <c r="A521" s="4" t="s">
        <v>37</v>
      </c>
      <c r="B521" s="4" t="s">
        <v>52</v>
      </c>
      <c r="C521" s="4" t="s">
        <v>4358</v>
      </c>
      <c r="D521" s="4" t="s">
        <v>4359</v>
      </c>
      <c r="E521" s="4" t="s">
        <v>53</v>
      </c>
      <c r="F521" s="4" t="s">
        <v>25</v>
      </c>
      <c r="G521" s="4" t="s">
        <v>41</v>
      </c>
      <c r="H521" s="4" t="s">
        <v>10</v>
      </c>
      <c r="I521" s="4" t="s">
        <v>47</v>
      </c>
      <c r="J521" s="17" t="s">
        <v>3290</v>
      </c>
      <c r="K521" s="16">
        <v>57.061950991399947</v>
      </c>
      <c r="L521" s="16">
        <v>62.173664426001693</v>
      </c>
      <c r="M521" s="16">
        <v>58.030393390172144</v>
      </c>
      <c r="N521" s="16">
        <v>11.641606534049453</v>
      </c>
      <c r="O521" s="16">
        <v>71.491441216965228</v>
      </c>
      <c r="P521" s="16">
        <v>18.363057131009953</v>
      </c>
      <c r="Q521" s="16">
        <v>83.155316994507658</v>
      </c>
    </row>
    <row r="522" spans="1:17" ht="12.75" x14ac:dyDescent="0.2">
      <c r="A522" s="4" t="s">
        <v>64</v>
      </c>
      <c r="B522" s="4" t="s">
        <v>82</v>
      </c>
      <c r="C522" s="4" t="s">
        <v>4360</v>
      </c>
      <c r="D522" s="4" t="s">
        <v>4361</v>
      </c>
      <c r="E522" s="4" t="s">
        <v>135</v>
      </c>
      <c r="F522" s="4" t="s">
        <v>25</v>
      </c>
      <c r="G522" s="4" t="s">
        <v>72</v>
      </c>
      <c r="H522" s="4"/>
      <c r="I522" s="4" t="s">
        <v>10</v>
      </c>
      <c r="J522" s="17" t="s">
        <v>3290</v>
      </c>
      <c r="K522" s="16">
        <v>59.918845183452142</v>
      </c>
      <c r="L522" s="16">
        <v>85.488361023690288</v>
      </c>
      <c r="M522" s="16">
        <v>24.401697059347814</v>
      </c>
      <c r="N522" s="16">
        <v>4.8949737271810516</v>
      </c>
      <c r="O522" s="16">
        <v>18.841726829283388</v>
      </c>
      <c r="P522" s="16">
        <v>92.639869021271153</v>
      </c>
      <c r="Q522" s="16">
        <v>52.102097244909196</v>
      </c>
    </row>
    <row r="523" spans="1:17" ht="12.75" x14ac:dyDescent="0.2">
      <c r="A523" s="4" t="s">
        <v>7</v>
      </c>
      <c r="B523" s="4" t="s">
        <v>23</v>
      </c>
      <c r="C523" s="4" t="s">
        <v>4362</v>
      </c>
      <c r="D523" s="4" t="s">
        <v>4363</v>
      </c>
      <c r="E523" s="4" t="s">
        <v>114</v>
      </c>
      <c r="F523" s="4" t="s">
        <v>25</v>
      </c>
      <c r="G523" s="4" t="s">
        <v>61</v>
      </c>
      <c r="H523" s="4"/>
      <c r="I523" s="4" t="s">
        <v>10</v>
      </c>
      <c r="J523" s="17" t="s">
        <v>3290</v>
      </c>
      <c r="K523" s="16">
        <v>84.809717635359618</v>
      </c>
      <c r="L523" s="16">
        <v>42.390576390728363</v>
      </c>
      <c r="M523" s="16">
        <v>99.895283459741165</v>
      </c>
      <c r="N523" s="16">
        <v>43.742382462248401</v>
      </c>
      <c r="O523" s="16">
        <v>78.998371481145881</v>
      </c>
      <c r="P523" s="16">
        <v>65.608814183970949</v>
      </c>
      <c r="Q523" s="16">
        <v>8.1414406954199769</v>
      </c>
    </row>
    <row r="524" spans="1:17" ht="12.75" x14ac:dyDescent="0.2">
      <c r="A524" s="4" t="s">
        <v>98</v>
      </c>
      <c r="B524" s="4" t="s">
        <v>105</v>
      </c>
      <c r="C524" s="4" t="s">
        <v>4364</v>
      </c>
      <c r="D524" s="4" t="s">
        <v>4365</v>
      </c>
      <c r="E524" s="4" t="s">
        <v>83</v>
      </c>
      <c r="F524" s="4" t="s">
        <v>25</v>
      </c>
      <c r="G524" s="4" t="s">
        <v>41</v>
      </c>
      <c r="H524" s="4"/>
      <c r="I524" s="4" t="s">
        <v>10</v>
      </c>
      <c r="J524" s="17" t="s">
        <v>3290</v>
      </c>
      <c r="K524" s="16">
        <v>15.245879622284097</v>
      </c>
      <c r="L524" s="16">
        <v>32.397983853521694</v>
      </c>
      <c r="M524" s="16">
        <v>19.085021649466317</v>
      </c>
      <c r="N524" s="16">
        <v>13.442166028950542</v>
      </c>
      <c r="O524" s="16">
        <v>12.740737630842913</v>
      </c>
      <c r="P524" s="16">
        <v>87.691727900722441</v>
      </c>
      <c r="Q524" s="16">
        <v>15.611040081148353</v>
      </c>
    </row>
    <row r="525" spans="1:17" ht="12.75" x14ac:dyDescent="0.2">
      <c r="A525" s="4" t="s">
        <v>7</v>
      </c>
      <c r="B525" s="4" t="s">
        <v>8</v>
      </c>
      <c r="C525" s="4" t="s">
        <v>4366</v>
      </c>
      <c r="D525" s="4" t="s">
        <v>4367</v>
      </c>
      <c r="E525" s="4" t="s">
        <v>106</v>
      </c>
      <c r="F525" s="4" t="s">
        <v>18</v>
      </c>
      <c r="G525" s="4" t="s">
        <v>41</v>
      </c>
      <c r="H525" s="4"/>
      <c r="I525" s="4" t="s">
        <v>10</v>
      </c>
      <c r="J525" s="17" t="s">
        <v>3290</v>
      </c>
      <c r="K525" s="16">
        <v>49.925460544598309</v>
      </c>
      <c r="L525" s="16">
        <v>63.096365079622721</v>
      </c>
      <c r="M525" s="16">
        <v>52.57392969473932</v>
      </c>
      <c r="N525" s="16">
        <v>23.488058380139876</v>
      </c>
      <c r="O525" s="16">
        <v>18.391321867272691</v>
      </c>
      <c r="P525" s="16">
        <v>67.968852386202755</v>
      </c>
      <c r="Q525" s="16">
        <v>92.650635951215079</v>
      </c>
    </row>
    <row r="526" spans="1:17" ht="12.75" x14ac:dyDescent="0.2">
      <c r="A526" s="4" t="s">
        <v>98</v>
      </c>
      <c r="B526" s="4" t="s">
        <v>99</v>
      </c>
      <c r="C526" s="4" t="s">
        <v>4368</v>
      </c>
      <c r="D526" s="4" t="s">
        <v>4369</v>
      </c>
      <c r="E526" s="4" t="s">
        <v>129</v>
      </c>
      <c r="F526" s="4" t="s">
        <v>18</v>
      </c>
      <c r="G526" s="4" t="s">
        <v>61</v>
      </c>
      <c r="H526" s="4"/>
      <c r="I526" s="4" t="s">
        <v>10</v>
      </c>
      <c r="J526" s="17" t="s">
        <v>3290</v>
      </c>
      <c r="K526" s="16">
        <v>47.75342285384427</v>
      </c>
      <c r="L526" s="16">
        <v>97.463204242631633</v>
      </c>
      <c r="M526" s="16">
        <v>22.130873179380551</v>
      </c>
      <c r="N526" s="16">
        <v>81.271363559429204</v>
      </c>
      <c r="O526" s="16">
        <v>66.221709036516387</v>
      </c>
      <c r="P526" s="16">
        <v>84.800910713073378</v>
      </c>
      <c r="Q526" s="16">
        <v>60.219394994253449</v>
      </c>
    </row>
    <row r="527" spans="1:17" ht="12.75" x14ac:dyDescent="0.2">
      <c r="A527" s="4" t="s">
        <v>136</v>
      </c>
      <c r="B527" s="4" t="s">
        <v>137</v>
      </c>
      <c r="C527" s="4" t="s">
        <v>4370</v>
      </c>
      <c r="D527" s="4" t="s">
        <v>4371</v>
      </c>
      <c r="E527" s="4" t="s">
        <v>111</v>
      </c>
      <c r="F527" s="4" t="s">
        <v>25</v>
      </c>
      <c r="G527" s="4" t="s">
        <v>41</v>
      </c>
      <c r="H527" s="4"/>
      <c r="I527" s="4" t="s">
        <v>10</v>
      </c>
      <c r="J527" s="17" t="s">
        <v>3290</v>
      </c>
      <c r="K527" s="16">
        <v>24.457355561744475</v>
      </c>
      <c r="L527" s="16">
        <v>53.484210877072123</v>
      </c>
      <c r="M527" s="16">
        <v>47.17893420851712</v>
      </c>
      <c r="N527" s="16">
        <v>69.802947012862319</v>
      </c>
      <c r="O527" s="16">
        <v>30.125405560257612</v>
      </c>
      <c r="P527" s="16">
        <v>91.171967142312198</v>
      </c>
      <c r="Q527" s="16">
        <v>89.533812139903574</v>
      </c>
    </row>
    <row r="528" spans="1:17" ht="12.75" x14ac:dyDescent="0.2">
      <c r="A528" s="4" t="s">
        <v>7</v>
      </c>
      <c r="B528" s="4" t="s">
        <v>8</v>
      </c>
      <c r="C528" s="4" t="s">
        <v>4372</v>
      </c>
      <c r="D528" s="4" t="s">
        <v>4373</v>
      </c>
      <c r="E528" s="4" t="s">
        <v>66</v>
      </c>
      <c r="F528" s="4" t="s">
        <v>18</v>
      </c>
      <c r="G528" s="4" t="s">
        <v>41</v>
      </c>
      <c r="H528" s="4" t="s">
        <v>3424</v>
      </c>
      <c r="I528" s="4" t="s">
        <v>10</v>
      </c>
      <c r="J528" s="17" t="s">
        <v>3290</v>
      </c>
      <c r="K528" s="16">
        <v>15.026086039714848</v>
      </c>
      <c r="L528" s="16">
        <v>29.836407223965299</v>
      </c>
      <c r="M528" s="16">
        <v>48.66447293051408</v>
      </c>
      <c r="N528" s="16">
        <v>27.39035986285089</v>
      </c>
      <c r="O528" s="16">
        <v>32.892991175894522</v>
      </c>
      <c r="P528" s="16">
        <v>0.66569832231185844</v>
      </c>
      <c r="Q528" s="16">
        <v>79.880315150449519</v>
      </c>
    </row>
    <row r="529" spans="1:17" ht="12.75" x14ac:dyDescent="0.2">
      <c r="A529" s="4" t="s">
        <v>98</v>
      </c>
      <c r="B529" s="4" t="s">
        <v>110</v>
      </c>
      <c r="C529" s="4" t="s">
        <v>4374</v>
      </c>
      <c r="D529" s="4" t="s">
        <v>4375</v>
      </c>
      <c r="E529" s="4" t="s">
        <v>87</v>
      </c>
      <c r="F529" s="4" t="s">
        <v>25</v>
      </c>
      <c r="G529" s="4" t="s">
        <v>41</v>
      </c>
      <c r="H529" s="4" t="s">
        <v>10</v>
      </c>
      <c r="I529" s="4" t="s">
        <v>10</v>
      </c>
      <c r="J529" s="17" t="s">
        <v>3290</v>
      </c>
      <c r="K529" s="16">
        <v>47.85913480237749</v>
      </c>
      <c r="L529" s="16">
        <v>38.977483711179687</v>
      </c>
      <c r="M529" s="16">
        <v>96.119736426249943</v>
      </c>
      <c r="N529" s="16">
        <v>82.428972450422862</v>
      </c>
      <c r="O529" s="16">
        <v>44.977644308164678</v>
      </c>
      <c r="P529" s="16">
        <v>60.845775681236283</v>
      </c>
      <c r="Q529" s="16">
        <v>17.866620591809092</v>
      </c>
    </row>
    <row r="530" spans="1:17" ht="12.75" x14ac:dyDescent="0.2">
      <c r="A530" s="4" t="s">
        <v>64</v>
      </c>
      <c r="B530" s="4" t="s">
        <v>78</v>
      </c>
      <c r="C530" s="4" t="s">
        <v>4376</v>
      </c>
      <c r="D530" s="4" t="s">
        <v>4377</v>
      </c>
      <c r="E530" s="4" t="s">
        <v>83</v>
      </c>
      <c r="F530" s="4" t="s">
        <v>25</v>
      </c>
      <c r="G530" s="4" t="s">
        <v>72</v>
      </c>
      <c r="H530" s="4"/>
      <c r="I530" s="4" t="s">
        <v>10</v>
      </c>
      <c r="J530" s="17" t="s">
        <v>3290</v>
      </c>
      <c r="K530" s="16">
        <v>62.421531961240738</v>
      </c>
      <c r="L530" s="16">
        <v>51.874544790560051</v>
      </c>
      <c r="M530" s="16">
        <v>16.79068796276626</v>
      </c>
      <c r="N530" s="16">
        <v>33.187390612088585</v>
      </c>
      <c r="O530" s="16">
        <v>53.592582912514942</v>
      </c>
      <c r="P530" s="16">
        <v>66.955208386059894</v>
      </c>
      <c r="Q530" s="16">
        <v>6.7371247026668302</v>
      </c>
    </row>
    <row r="531" spans="1:17" ht="12.75" x14ac:dyDescent="0.2">
      <c r="A531" s="4" t="s">
        <v>98</v>
      </c>
      <c r="B531" s="4" t="s">
        <v>102</v>
      </c>
      <c r="C531" s="4" t="s">
        <v>4378</v>
      </c>
      <c r="D531" s="4" t="s">
        <v>4379</v>
      </c>
      <c r="E531" s="4" t="s">
        <v>114</v>
      </c>
      <c r="F531" s="4" t="s">
        <v>32</v>
      </c>
      <c r="G531" s="4" t="s">
        <v>41</v>
      </c>
      <c r="H531" s="4"/>
      <c r="I531" s="4" t="s">
        <v>10</v>
      </c>
      <c r="J531" s="17" t="s">
        <v>3290</v>
      </c>
      <c r="K531" s="16">
        <v>27.446663308499652</v>
      </c>
      <c r="L531" s="16">
        <v>4.0674412340361954</v>
      </c>
      <c r="M531" s="16">
        <v>72.032395991276772</v>
      </c>
      <c r="N531" s="16">
        <v>59.399725330777052</v>
      </c>
      <c r="O531" s="16">
        <v>84.487458777569913</v>
      </c>
      <c r="P531" s="16">
        <v>77.360959495439658</v>
      </c>
      <c r="Q531" s="16">
        <v>39.074010300429009</v>
      </c>
    </row>
    <row r="532" spans="1:17" ht="12.75" x14ac:dyDescent="0.2">
      <c r="A532" s="4" t="s">
        <v>115</v>
      </c>
      <c r="B532" s="4" t="s">
        <v>116</v>
      </c>
      <c r="C532" s="4" t="s">
        <v>4380</v>
      </c>
      <c r="D532" s="4" t="s">
        <v>4381</v>
      </c>
      <c r="E532" s="4" t="s">
        <v>114</v>
      </c>
      <c r="F532" s="4" t="s">
        <v>25</v>
      </c>
      <c r="G532" s="4" t="s">
        <v>41</v>
      </c>
      <c r="H532" s="4"/>
      <c r="I532" s="4" t="s">
        <v>10</v>
      </c>
      <c r="J532" s="17" t="s">
        <v>3290</v>
      </c>
      <c r="K532" s="16">
        <v>62.354482218298855</v>
      </c>
      <c r="L532" s="16">
        <v>78.46713903611851</v>
      </c>
      <c r="M532" s="16">
        <v>36.677985960367799</v>
      </c>
      <c r="N532" s="16">
        <v>86.350824708564446</v>
      </c>
      <c r="O532" s="16">
        <v>90.235957469028861</v>
      </c>
      <c r="P532" s="16">
        <v>84.557745189483299</v>
      </c>
      <c r="Q532" s="16">
        <v>61.777187911627315</v>
      </c>
    </row>
    <row r="533" spans="1:17" ht="12.75" x14ac:dyDescent="0.2">
      <c r="A533" s="4" t="s">
        <v>64</v>
      </c>
      <c r="B533" s="4" t="s">
        <v>86</v>
      </c>
      <c r="C533" s="4" t="s">
        <v>4382</v>
      </c>
      <c r="D533" s="4" t="s">
        <v>4383</v>
      </c>
      <c r="E533" s="4" t="s">
        <v>87</v>
      </c>
      <c r="F533" s="4" t="s">
        <v>18</v>
      </c>
      <c r="G533" s="4" t="s">
        <v>61</v>
      </c>
      <c r="I533" s="4" t="s">
        <v>10</v>
      </c>
      <c r="J533" s="17" t="s">
        <v>3290</v>
      </c>
      <c r="K533" s="16">
        <v>88.685890238599015</v>
      </c>
      <c r="L533" s="16">
        <v>69.196066581859171</v>
      </c>
      <c r="M533" s="16">
        <v>43.673484452924271</v>
      </c>
      <c r="N533" s="16">
        <v>79.583531096898668</v>
      </c>
      <c r="O533" s="16">
        <v>61.335394609643544</v>
      </c>
      <c r="P533" s="16">
        <v>92.985812779352912</v>
      </c>
      <c r="Q533" s="16">
        <v>14.201117585924539</v>
      </c>
    </row>
    <row r="534" spans="1:17" ht="12.75" x14ac:dyDescent="0.2">
      <c r="A534" s="4" t="s">
        <v>115</v>
      </c>
      <c r="B534" s="4" t="s">
        <v>128</v>
      </c>
      <c r="C534" s="4" t="s">
        <v>4384</v>
      </c>
      <c r="D534" s="4" t="s">
        <v>4385</v>
      </c>
      <c r="E534" s="4" t="s">
        <v>83</v>
      </c>
      <c r="F534" s="4" t="s">
        <v>25</v>
      </c>
      <c r="G534" s="4" t="s">
        <v>72</v>
      </c>
      <c r="H534" s="4" t="s">
        <v>4386</v>
      </c>
      <c r="I534" s="4" t="s">
        <v>10</v>
      </c>
      <c r="J534" s="17" t="s">
        <v>3290</v>
      </c>
      <c r="K534" s="16">
        <v>63.488003617382901</v>
      </c>
      <c r="L534" s="16">
        <v>25.986146656526067</v>
      </c>
      <c r="M534" s="16">
        <v>18.378060641400463</v>
      </c>
      <c r="N534" s="16">
        <v>93.137383050676078</v>
      </c>
      <c r="O534" s="16">
        <v>4.4780238979113873</v>
      </c>
      <c r="P534" s="16">
        <v>94.131886435336966</v>
      </c>
      <c r="Q534" s="16">
        <v>69.849181506382408</v>
      </c>
    </row>
    <row r="535" spans="1:17" ht="12.75" x14ac:dyDescent="0.2">
      <c r="A535" s="4" t="s">
        <v>98</v>
      </c>
      <c r="B535" s="4" t="s">
        <v>102</v>
      </c>
      <c r="C535" s="4" t="s">
        <v>4387</v>
      </c>
      <c r="D535" s="4" t="s">
        <v>4388</v>
      </c>
      <c r="E535" s="4" t="s">
        <v>83</v>
      </c>
      <c r="F535" s="4" t="s">
        <v>25</v>
      </c>
      <c r="G535" s="4" t="s">
        <v>41</v>
      </c>
      <c r="H535" s="4" t="s">
        <v>4389</v>
      </c>
      <c r="I535" s="4" t="s">
        <v>10</v>
      </c>
      <c r="J535" s="17" t="s">
        <v>3290</v>
      </c>
      <c r="K535" s="16">
        <v>12.701144692556499</v>
      </c>
      <c r="L535" s="16">
        <v>44.290087419956528</v>
      </c>
      <c r="M535" s="16">
        <v>26.724522887585454</v>
      </c>
      <c r="N535" s="16">
        <v>68.334542824345277</v>
      </c>
      <c r="O535" s="16">
        <v>93.735227000889083</v>
      </c>
      <c r="P535" s="16">
        <v>70.159822034775218</v>
      </c>
      <c r="Q535" s="16">
        <v>73.886847838955276</v>
      </c>
    </row>
    <row r="536" spans="1:17" ht="12.75" x14ac:dyDescent="0.2">
      <c r="A536" s="4" t="s">
        <v>98</v>
      </c>
      <c r="B536" s="4" t="s">
        <v>105</v>
      </c>
      <c r="C536" s="4" t="s">
        <v>4390</v>
      </c>
      <c r="D536" s="4" t="s">
        <v>4391</v>
      </c>
      <c r="E536" s="4" t="s">
        <v>93</v>
      </c>
      <c r="F536" s="4" t="s">
        <v>18</v>
      </c>
      <c r="G536" s="4" t="s">
        <v>41</v>
      </c>
      <c r="H536" s="4"/>
      <c r="I536" s="4" t="s">
        <v>10</v>
      </c>
      <c r="J536" s="17" t="s">
        <v>3290</v>
      </c>
      <c r="K536" s="16">
        <v>41.560066109466412</v>
      </c>
      <c r="L536" s="16">
        <v>6.0406947588696136</v>
      </c>
      <c r="M536" s="16">
        <v>75.589643337542995</v>
      </c>
      <c r="N536" s="16">
        <v>82.828598659661267</v>
      </c>
      <c r="O536" s="16">
        <v>41.363600856498032</v>
      </c>
      <c r="P536" s="16">
        <v>38.332802773488908</v>
      </c>
      <c r="Q536" s="16">
        <v>86.700509764222915</v>
      </c>
    </row>
    <row r="537" spans="1:17" ht="12.75" x14ac:dyDescent="0.2">
      <c r="A537" s="4" t="s">
        <v>7</v>
      </c>
      <c r="B537" s="4" t="s">
        <v>8</v>
      </c>
      <c r="C537" s="4" t="s">
        <v>4392</v>
      </c>
      <c r="D537" s="4" t="s">
        <v>4393</v>
      </c>
      <c r="E537" s="4" t="s">
        <v>87</v>
      </c>
      <c r="F537" s="4" t="s">
        <v>18</v>
      </c>
      <c r="G537" s="4" t="s">
        <v>61</v>
      </c>
      <c r="I537" s="4" t="s">
        <v>10</v>
      </c>
      <c r="J537" s="17" t="s">
        <v>3290</v>
      </c>
      <c r="K537" s="16">
        <v>66.2398615224227</v>
      </c>
      <c r="L537" s="16">
        <v>71.68081102515778</v>
      </c>
      <c r="M537" s="16">
        <v>60.273560775184642</v>
      </c>
      <c r="N537" s="16">
        <v>29.275276220475511</v>
      </c>
      <c r="O537" s="16">
        <v>48.598504438238201</v>
      </c>
      <c r="P537" s="16">
        <v>38.676209557187534</v>
      </c>
      <c r="Q537" s="16">
        <v>56.534844448344977</v>
      </c>
    </row>
    <row r="538" spans="1:17" ht="12.75" x14ac:dyDescent="0.2">
      <c r="A538" s="4" t="s">
        <v>64</v>
      </c>
      <c r="B538" s="4" t="s">
        <v>82</v>
      </c>
      <c r="C538" s="4" t="s">
        <v>4394</v>
      </c>
      <c r="D538" s="4" t="s">
        <v>4395</v>
      </c>
      <c r="E538" s="4" t="s">
        <v>126</v>
      </c>
      <c r="F538" s="4" t="s">
        <v>18</v>
      </c>
      <c r="G538" s="4" t="s">
        <v>19</v>
      </c>
      <c r="H538" s="4"/>
      <c r="I538" s="4" t="s">
        <v>10</v>
      </c>
      <c r="J538" s="17" t="s">
        <v>3290</v>
      </c>
      <c r="K538" s="16">
        <v>55.991450339254932</v>
      </c>
      <c r="L538" s="16">
        <v>91.819602069206468</v>
      </c>
      <c r="M538" s="16">
        <v>68.423233019834299</v>
      </c>
      <c r="N538" s="16">
        <v>11.940718176362575</v>
      </c>
      <c r="O538" s="16">
        <v>0.93476345307682562</v>
      </c>
      <c r="P538" s="16">
        <v>75.702840875654445</v>
      </c>
      <c r="Q538" s="16">
        <v>81.447182073368097</v>
      </c>
    </row>
    <row r="539" spans="1:17" ht="12.75" x14ac:dyDescent="0.2">
      <c r="A539" s="4" t="s">
        <v>64</v>
      </c>
      <c r="B539" s="4" t="s">
        <v>86</v>
      </c>
      <c r="C539" s="4" t="s">
        <v>4396</v>
      </c>
      <c r="D539" s="4" t="s">
        <v>4397</v>
      </c>
      <c r="E539" s="4" t="s">
        <v>83</v>
      </c>
      <c r="F539" s="4" t="s">
        <v>25</v>
      </c>
      <c r="G539" s="4" t="s">
        <v>72</v>
      </c>
      <c r="I539" s="4" t="s">
        <v>10</v>
      </c>
      <c r="J539" s="17" t="s">
        <v>3290</v>
      </c>
      <c r="K539" s="16">
        <v>23.2572324630802</v>
      </c>
      <c r="L539" s="16">
        <v>49.794710386830623</v>
      </c>
      <c r="M539" s="16">
        <v>5.0863895119108609</v>
      </c>
      <c r="N539" s="16">
        <v>53.310675576681632</v>
      </c>
      <c r="O539" s="16">
        <v>74.135562170791118</v>
      </c>
      <c r="P539" s="16">
        <v>72.456689988450478</v>
      </c>
      <c r="Q539" s="16">
        <v>58.281185983408037</v>
      </c>
    </row>
    <row r="540" spans="1:17" ht="12.75" x14ac:dyDescent="0.2">
      <c r="A540" s="4" t="s">
        <v>37</v>
      </c>
      <c r="B540" s="4" t="s">
        <v>38</v>
      </c>
      <c r="C540" s="4" t="s">
        <v>4398</v>
      </c>
      <c r="D540" s="4" t="s">
        <v>4399</v>
      </c>
      <c r="E540" s="4" t="s">
        <v>87</v>
      </c>
      <c r="F540" s="4" t="s">
        <v>32</v>
      </c>
      <c r="G540" s="4" t="s">
        <v>41</v>
      </c>
      <c r="H540" s="4"/>
      <c r="I540" s="4" t="s">
        <v>10</v>
      </c>
      <c r="J540" s="17" t="s">
        <v>3290</v>
      </c>
      <c r="K540" s="16">
        <v>32.897829534570519</v>
      </c>
      <c r="L540" s="16">
        <v>47.810894630973941</v>
      </c>
      <c r="M540" s="16">
        <v>74.888250130286053</v>
      </c>
      <c r="N540" s="16">
        <v>99.767817556412226</v>
      </c>
      <c r="O540" s="16">
        <v>17.381838216270452</v>
      </c>
      <c r="P540" s="16">
        <v>17.253919637886582</v>
      </c>
      <c r="Q540" s="16">
        <v>16.725996423191347</v>
      </c>
    </row>
    <row r="541" spans="1:17" ht="12.75" x14ac:dyDescent="0.2">
      <c r="A541" s="4" t="s">
        <v>7</v>
      </c>
      <c r="B541" s="4" t="s">
        <v>16</v>
      </c>
      <c r="C541" s="4" t="s">
        <v>4400</v>
      </c>
      <c r="D541" s="4" t="s">
        <v>4401</v>
      </c>
      <c r="E541" s="4" t="s">
        <v>106</v>
      </c>
      <c r="F541" s="4" t="s">
        <v>18</v>
      </c>
      <c r="G541" s="4"/>
      <c r="H541" s="4" t="s">
        <v>10</v>
      </c>
      <c r="I541" s="4" t="s">
        <v>10</v>
      </c>
      <c r="J541" s="17" t="s">
        <v>3290</v>
      </c>
      <c r="K541" s="16">
        <v>88.01455154087509</v>
      </c>
      <c r="L541" s="16">
        <v>40.956811859687647</v>
      </c>
      <c r="M541" s="16">
        <v>21.498977409576781</v>
      </c>
      <c r="N541" s="16">
        <v>15.052449578176185</v>
      </c>
      <c r="O541" s="16">
        <v>70.655520933127519</v>
      </c>
      <c r="P541" s="16">
        <v>24.442740942031982</v>
      </c>
      <c r="Q541" s="16">
        <v>40.726734266973708</v>
      </c>
    </row>
    <row r="542" spans="1:17" ht="12.75" x14ac:dyDescent="0.2">
      <c r="A542" s="4" t="s">
        <v>98</v>
      </c>
      <c r="B542" s="4" t="s">
        <v>102</v>
      </c>
      <c r="C542" s="4" t="s">
        <v>4402</v>
      </c>
      <c r="D542" s="4" t="s">
        <v>4403</v>
      </c>
      <c r="E542" s="4" t="s">
        <v>83</v>
      </c>
      <c r="F542" s="4" t="s">
        <v>25</v>
      </c>
      <c r="G542" s="4" t="s">
        <v>41</v>
      </c>
      <c r="H542" s="4" t="s">
        <v>4404</v>
      </c>
      <c r="I542" s="4" t="s">
        <v>10</v>
      </c>
      <c r="J542" s="17" t="s">
        <v>3290</v>
      </c>
      <c r="K542" s="16">
        <v>91.543447779746188</v>
      </c>
      <c r="L542" s="16">
        <v>79.541861066616676</v>
      </c>
      <c r="M542" s="16">
        <v>62.309466139407647</v>
      </c>
      <c r="N542" s="16">
        <v>71.70831354458106</v>
      </c>
      <c r="O542" s="16">
        <v>47.896617232105989</v>
      </c>
      <c r="P542" s="16">
        <v>2.9214839376138668</v>
      </c>
      <c r="Q542" s="16">
        <v>80.952791986904501</v>
      </c>
    </row>
    <row r="543" spans="1:17" ht="12.75" x14ac:dyDescent="0.2">
      <c r="A543" s="4" t="s">
        <v>64</v>
      </c>
      <c r="B543" s="4" t="s">
        <v>86</v>
      </c>
      <c r="C543" s="4" t="s">
        <v>4405</v>
      </c>
      <c r="D543" s="4" t="s">
        <v>4406</v>
      </c>
      <c r="E543" s="4" t="s">
        <v>126</v>
      </c>
      <c r="F543" s="4" t="s">
        <v>18</v>
      </c>
      <c r="G543" s="4" t="s">
        <v>19</v>
      </c>
      <c r="I543" s="4" t="s">
        <v>10</v>
      </c>
      <c r="J543" s="17" t="s">
        <v>3290</v>
      </c>
      <c r="K543" s="16">
        <v>74.403612784301913</v>
      </c>
      <c r="L543" s="16">
        <v>68.260678368699928</v>
      </c>
      <c r="M543" s="16">
        <v>43.265293385831235</v>
      </c>
      <c r="N543" s="16">
        <v>46.386079421029706</v>
      </c>
      <c r="O543" s="16">
        <v>2.1551231303081786</v>
      </c>
      <c r="P543" s="16">
        <v>53.513786019604112</v>
      </c>
      <c r="Q543" s="16">
        <v>85.694599091822539</v>
      </c>
    </row>
    <row r="544" spans="1:17" ht="12.75" x14ac:dyDescent="0.2">
      <c r="A544" s="4" t="s">
        <v>37</v>
      </c>
      <c r="B544" s="4" t="s">
        <v>45</v>
      </c>
      <c r="C544" s="4" t="s">
        <v>4407</v>
      </c>
      <c r="D544" s="4" t="s">
        <v>4408</v>
      </c>
      <c r="E544" s="4" t="s">
        <v>138</v>
      </c>
      <c r="F544" s="4" t="s">
        <v>32</v>
      </c>
      <c r="G544" s="4" t="s">
        <v>72</v>
      </c>
      <c r="H544" s="4" t="s">
        <v>3375</v>
      </c>
      <c r="I544" s="4" t="s">
        <v>10</v>
      </c>
      <c r="J544" s="17" t="s">
        <v>3290</v>
      </c>
      <c r="K544" s="16">
        <v>72.567528305268908</v>
      </c>
      <c r="L544" s="16">
        <v>55.18918807731864</v>
      </c>
      <c r="M544" s="16">
        <v>39.25196741654262</v>
      </c>
      <c r="N544" s="16">
        <v>97.180065087447844</v>
      </c>
      <c r="O544" s="16">
        <v>23.102927962514318</v>
      </c>
      <c r="P544" s="16">
        <v>39.089242940355653</v>
      </c>
      <c r="Q544" s="16">
        <v>1.9369315050884128</v>
      </c>
    </row>
    <row r="545" spans="1:17" ht="12.75" x14ac:dyDescent="0.2">
      <c r="A545" s="4" t="s">
        <v>37</v>
      </c>
      <c r="B545" s="4" t="s">
        <v>45</v>
      </c>
      <c r="C545" s="4" t="s">
        <v>4409</v>
      </c>
      <c r="D545" s="4" t="s">
        <v>4410</v>
      </c>
      <c r="E545" s="4" t="s">
        <v>138</v>
      </c>
      <c r="F545" s="4" t="s">
        <v>18</v>
      </c>
      <c r="G545" s="4" t="s">
        <v>72</v>
      </c>
      <c r="H545" s="4" t="s">
        <v>3375</v>
      </c>
      <c r="I545" s="4" t="s">
        <v>10</v>
      </c>
      <c r="J545" s="17" t="s">
        <v>3290</v>
      </c>
      <c r="K545" s="16">
        <v>43.963752003752845</v>
      </c>
      <c r="L545" s="16">
        <v>30.635200084404989</v>
      </c>
      <c r="M545" s="16">
        <v>40.95338984693916</v>
      </c>
      <c r="N545" s="16">
        <v>72.976500624738875</v>
      </c>
      <c r="O545" s="16">
        <v>45.939893827215968</v>
      </c>
      <c r="P545" s="16">
        <v>89.434102606541487</v>
      </c>
      <c r="Q545" s="16">
        <v>98.712586551540554</v>
      </c>
    </row>
    <row r="546" spans="1:17" ht="12.75" x14ac:dyDescent="0.2">
      <c r="A546" s="4" t="s">
        <v>37</v>
      </c>
      <c r="B546" s="4" t="s">
        <v>45</v>
      </c>
      <c r="C546" s="4" t="s">
        <v>4411</v>
      </c>
      <c r="D546" s="4" t="s">
        <v>4412</v>
      </c>
      <c r="E546" s="4" t="s">
        <v>138</v>
      </c>
      <c r="F546" s="4" t="s">
        <v>18</v>
      </c>
      <c r="G546" s="4" t="s">
        <v>72</v>
      </c>
      <c r="H546" s="4" t="s">
        <v>3375</v>
      </c>
      <c r="I546" s="4" t="s">
        <v>10</v>
      </c>
      <c r="J546" s="17" t="s">
        <v>3290</v>
      </c>
      <c r="K546" s="16">
        <v>91.491300804553859</v>
      </c>
      <c r="L546" s="16">
        <v>81.03308166870157</v>
      </c>
      <c r="M546" s="16">
        <v>62.922020930832623</v>
      </c>
      <c r="N546" s="16">
        <v>18.460244577482765</v>
      </c>
      <c r="O546" s="16">
        <v>63.054951247549639</v>
      </c>
      <c r="P546" s="16">
        <v>42.087324302454235</v>
      </c>
      <c r="Q546" s="16">
        <v>21.960090029370228</v>
      </c>
    </row>
    <row r="547" spans="1:17" ht="12.75" x14ac:dyDescent="0.2">
      <c r="A547" s="4" t="s">
        <v>64</v>
      </c>
      <c r="B547" s="4" t="s">
        <v>82</v>
      </c>
      <c r="C547" s="4" t="s">
        <v>4413</v>
      </c>
      <c r="D547" s="4" t="s">
        <v>4414</v>
      </c>
      <c r="E547" s="4" t="s">
        <v>126</v>
      </c>
      <c r="F547" s="4" t="s">
        <v>18</v>
      </c>
      <c r="G547" s="4" t="s">
        <v>61</v>
      </c>
      <c r="H547" s="4"/>
      <c r="I547" s="4" t="s">
        <v>10</v>
      </c>
      <c r="J547" s="17" t="s">
        <v>3290</v>
      </c>
      <c r="K547" s="16">
        <v>1.1583855704805579</v>
      </c>
      <c r="L547" s="16">
        <v>46.452144277080706</v>
      </c>
      <c r="M547" s="16">
        <v>13.032552163336508</v>
      </c>
      <c r="N547" s="16">
        <v>99.679719028302856</v>
      </c>
      <c r="O547" s="16">
        <v>64.661444819793473</v>
      </c>
      <c r="P547" s="16">
        <v>51.349758049322915</v>
      </c>
      <c r="Q547" s="16">
        <v>99.29173354424573</v>
      </c>
    </row>
    <row r="548" spans="1:17" ht="12.75" x14ac:dyDescent="0.2">
      <c r="A548" s="4" t="s">
        <v>115</v>
      </c>
      <c r="B548" s="4" t="s">
        <v>122</v>
      </c>
      <c r="C548" s="4" t="s">
        <v>4415</v>
      </c>
      <c r="D548" s="4" t="s">
        <v>4416</v>
      </c>
      <c r="E548" s="4" t="s">
        <v>114</v>
      </c>
      <c r="F548" s="4" t="s">
        <v>25</v>
      </c>
      <c r="G548" s="4" t="s">
        <v>61</v>
      </c>
      <c r="H548" s="4"/>
      <c r="I548" s="4" t="s">
        <v>10</v>
      </c>
      <c r="J548" s="17" t="s">
        <v>3290</v>
      </c>
      <c r="K548" s="16">
        <v>48.139822960603325</v>
      </c>
      <c r="L548" s="16">
        <v>47.400603058607452</v>
      </c>
      <c r="M548" s="16">
        <v>2.6067379543380786</v>
      </c>
      <c r="N548" s="16">
        <v>23.247142502457365</v>
      </c>
      <c r="O548" s="16">
        <v>91.624011151962307</v>
      </c>
      <c r="P548" s="16">
        <v>1.8326315692199002</v>
      </c>
      <c r="Q548" s="16">
        <v>43.758307467147247</v>
      </c>
    </row>
    <row r="549" spans="1:17" ht="12.75" x14ac:dyDescent="0.2">
      <c r="A549" s="4" t="s">
        <v>64</v>
      </c>
      <c r="B549" s="4" t="s">
        <v>65</v>
      </c>
      <c r="C549" s="4" t="s">
        <v>4417</v>
      </c>
      <c r="D549" s="4" t="s">
        <v>4418</v>
      </c>
      <c r="E549" s="4" t="s">
        <v>83</v>
      </c>
      <c r="F549" s="4" t="s">
        <v>25</v>
      </c>
      <c r="G549" s="4" t="s">
        <v>72</v>
      </c>
      <c r="H549" s="4"/>
      <c r="I549" s="4" t="s">
        <v>10</v>
      </c>
      <c r="J549" s="17" t="s">
        <v>3290</v>
      </c>
      <c r="K549" s="16">
        <v>35.896709401080344</v>
      </c>
      <c r="L549" s="16">
        <v>35.304683186684635</v>
      </c>
      <c r="M549" s="16">
        <v>54.733145320996215</v>
      </c>
      <c r="N549" s="16">
        <v>99.266767651619404</v>
      </c>
      <c r="O549" s="16">
        <v>18.004236062369372</v>
      </c>
      <c r="P549" s="16">
        <v>29.5893593039644</v>
      </c>
      <c r="Q549" s="16">
        <v>2.7227578385284223</v>
      </c>
    </row>
    <row r="550" spans="1:17" ht="12.75" x14ac:dyDescent="0.2">
      <c r="A550" s="4" t="s">
        <v>64</v>
      </c>
      <c r="B550" s="4" t="s">
        <v>95</v>
      </c>
      <c r="C550" s="4" t="s">
        <v>4419</v>
      </c>
      <c r="D550" s="4" t="s">
        <v>4420</v>
      </c>
      <c r="E550" s="4" t="s">
        <v>83</v>
      </c>
      <c r="F550" s="4" t="s">
        <v>25</v>
      </c>
      <c r="G550" s="4" t="s">
        <v>41</v>
      </c>
      <c r="H550" s="4"/>
      <c r="I550" s="4" t="s">
        <v>10</v>
      </c>
      <c r="J550" s="17" t="s">
        <v>3290</v>
      </c>
      <c r="K550" s="16">
        <v>53.81730238598098</v>
      </c>
      <c r="L550" s="16">
        <v>59.653439795963436</v>
      </c>
      <c r="M550" s="16">
        <v>76.77208268283502</v>
      </c>
      <c r="N550" s="16">
        <v>3.9483319755800883</v>
      </c>
      <c r="O550" s="16">
        <v>26.018883821930771</v>
      </c>
      <c r="P550" s="16">
        <v>9.5504131669014054</v>
      </c>
      <c r="Q550" s="16">
        <v>81.153834955543687</v>
      </c>
    </row>
    <row r="551" spans="1:17" ht="12.75" x14ac:dyDescent="0.2">
      <c r="A551" s="4" t="s">
        <v>115</v>
      </c>
      <c r="B551" s="4" t="s">
        <v>116</v>
      </c>
      <c r="C551" s="4" t="s">
        <v>4421</v>
      </c>
      <c r="D551" s="4" t="s">
        <v>4422</v>
      </c>
      <c r="E551" s="4" t="s">
        <v>9</v>
      </c>
      <c r="F551" s="4" t="s">
        <v>18</v>
      </c>
      <c r="G551" s="4" t="s">
        <v>61</v>
      </c>
      <c r="I551" s="4" t="s">
        <v>10</v>
      </c>
      <c r="J551" s="17" t="s">
        <v>3290</v>
      </c>
      <c r="K551" s="16">
        <v>63.558849725201092</v>
      </c>
      <c r="L551" s="16">
        <v>77.543560866316099</v>
      </c>
      <c r="M551" s="16">
        <v>10.748776327091569</v>
      </c>
      <c r="N551" s="16">
        <v>61.295944384968827</v>
      </c>
      <c r="O551" s="16">
        <v>89.598941628914531</v>
      </c>
      <c r="P551" s="16">
        <v>78.315804888356084</v>
      </c>
      <c r="Q551" s="16">
        <v>77.952756864741474</v>
      </c>
    </row>
    <row r="552" spans="1:17" ht="12.75" x14ac:dyDescent="0.2">
      <c r="A552" s="4" t="s">
        <v>115</v>
      </c>
      <c r="B552" s="4" t="s">
        <v>116</v>
      </c>
      <c r="C552" s="4" t="s">
        <v>4423</v>
      </c>
      <c r="D552" s="4" t="s">
        <v>4424</v>
      </c>
      <c r="E552" s="4" t="s">
        <v>9</v>
      </c>
      <c r="F552" s="4" t="s">
        <v>18</v>
      </c>
      <c r="G552" s="4" t="s">
        <v>26</v>
      </c>
      <c r="I552" s="4" t="s">
        <v>10</v>
      </c>
      <c r="J552" s="17" t="s">
        <v>3290</v>
      </c>
      <c r="K552" s="16">
        <v>64.549071196542471</v>
      </c>
      <c r="L552" s="16">
        <v>2.6776270506911337</v>
      </c>
      <c r="M552" s="16">
        <v>89.27298419137577</v>
      </c>
      <c r="N552" s="16">
        <v>21.532188630743953</v>
      </c>
      <c r="O552" s="16">
        <v>4.6444369556455474</v>
      </c>
      <c r="P552" s="16">
        <v>12.794448198037189</v>
      </c>
      <c r="Q552" s="16">
        <v>22.934150079756144</v>
      </c>
    </row>
    <row r="553" spans="1:17" ht="12.75" x14ac:dyDescent="0.2">
      <c r="A553" s="4" t="s">
        <v>37</v>
      </c>
      <c r="B553" s="4" t="s">
        <v>38</v>
      </c>
      <c r="C553" s="4" t="s">
        <v>4425</v>
      </c>
      <c r="D553" s="4" t="s">
        <v>4426</v>
      </c>
      <c r="E553" s="4" t="s">
        <v>9</v>
      </c>
      <c r="F553" s="4" t="s">
        <v>18</v>
      </c>
      <c r="G553" s="4" t="s">
        <v>41</v>
      </c>
      <c r="H553" s="4"/>
      <c r="I553" s="4" t="s">
        <v>10</v>
      </c>
      <c r="J553" s="17" t="s">
        <v>3290</v>
      </c>
      <c r="K553" s="16">
        <v>67.006765839620925</v>
      </c>
      <c r="L553" s="16">
        <v>40.944341790913555</v>
      </c>
      <c r="M553" s="16">
        <v>96.109989546533086</v>
      </c>
      <c r="N553" s="16">
        <v>86.674503684961138</v>
      </c>
      <c r="O553" s="16">
        <v>19.925568787121872</v>
      </c>
      <c r="P553" s="16">
        <v>43.340527679152153</v>
      </c>
      <c r="Q553" s="16">
        <v>43.607320420343733</v>
      </c>
    </row>
    <row r="554" spans="1:17" ht="12.75" x14ac:dyDescent="0.2">
      <c r="A554" s="4" t="s">
        <v>64</v>
      </c>
      <c r="B554" s="4" t="s">
        <v>82</v>
      </c>
      <c r="C554" s="4" t="s">
        <v>4427</v>
      </c>
      <c r="D554" s="4" t="s">
        <v>4428</v>
      </c>
      <c r="E554" s="4" t="s">
        <v>9</v>
      </c>
      <c r="F554" s="4" t="s">
        <v>18</v>
      </c>
      <c r="G554" s="4" t="s">
        <v>26</v>
      </c>
      <c r="H554" s="4"/>
      <c r="I554" s="4" t="s">
        <v>10</v>
      </c>
      <c r="J554" s="17" t="s">
        <v>3290</v>
      </c>
      <c r="K554" s="16">
        <v>15.701396410163804</v>
      </c>
      <c r="L554" s="16">
        <v>69.04401828157286</v>
      </c>
      <c r="M554" s="16">
        <v>52.120110219004076</v>
      </c>
      <c r="N554" s="16">
        <v>91.178910167267162</v>
      </c>
      <c r="O554" s="16">
        <v>87.002400533983391</v>
      </c>
      <c r="P554" s="16">
        <v>37.836016497789039</v>
      </c>
      <c r="Q554" s="16">
        <v>63.598564763862811</v>
      </c>
    </row>
    <row r="555" spans="1:17" ht="12.75" x14ac:dyDescent="0.2">
      <c r="A555" s="4" t="s">
        <v>37</v>
      </c>
      <c r="B555" s="4" t="s">
        <v>38</v>
      </c>
      <c r="C555" s="4" t="s">
        <v>4429</v>
      </c>
      <c r="D555" s="4" t="s">
        <v>4430</v>
      </c>
      <c r="E555" s="4" t="s">
        <v>87</v>
      </c>
      <c r="F555" s="4" t="s">
        <v>32</v>
      </c>
      <c r="G555" s="4" t="s">
        <v>41</v>
      </c>
      <c r="H555" s="4"/>
      <c r="I555" s="4" t="s">
        <v>10</v>
      </c>
      <c r="J555" s="17" t="s">
        <v>3290</v>
      </c>
      <c r="K555" s="16">
        <v>94.89875511291244</v>
      </c>
      <c r="L555" s="16">
        <v>24.218874480814524</v>
      </c>
      <c r="M555" s="16">
        <v>74.875336453425518</v>
      </c>
      <c r="N555" s="16">
        <v>12.279531020919043</v>
      </c>
      <c r="O555" s="16">
        <v>15.90756965621587</v>
      </c>
      <c r="P555" s="16">
        <v>62.119563353518103</v>
      </c>
      <c r="Q555" s="16">
        <v>50.42351744085628</v>
      </c>
    </row>
    <row r="556" spans="1:17" ht="12.75" x14ac:dyDescent="0.2">
      <c r="A556" s="4" t="s">
        <v>136</v>
      </c>
      <c r="B556" s="4" t="s">
        <v>137</v>
      </c>
      <c r="C556" s="4" t="s">
        <v>4431</v>
      </c>
      <c r="D556" s="4" t="s">
        <v>4432</v>
      </c>
      <c r="E556" s="4" t="s">
        <v>108</v>
      </c>
      <c r="F556" s="4" t="s">
        <v>25</v>
      </c>
      <c r="G556" s="4" t="s">
        <v>41</v>
      </c>
      <c r="H556" s="4"/>
      <c r="I556" s="4" t="s">
        <v>10</v>
      </c>
      <c r="J556" s="17" t="s">
        <v>3290</v>
      </c>
      <c r="K556" s="16">
        <v>65.128462673792498</v>
      </c>
      <c r="L556" s="16">
        <v>86.407137914822059</v>
      </c>
      <c r="M556" s="16">
        <v>50.836414276287854</v>
      </c>
      <c r="N556" s="16">
        <v>84.936949322748021</v>
      </c>
      <c r="O556" s="16">
        <v>94.442870131700545</v>
      </c>
      <c r="P556" s="16">
        <v>86.047989229877302</v>
      </c>
      <c r="Q556" s="16">
        <v>78.479210488526803</v>
      </c>
    </row>
    <row r="557" spans="1:17" ht="12.75" x14ac:dyDescent="0.2">
      <c r="A557" s="4" t="s">
        <v>115</v>
      </c>
      <c r="B557" s="4" t="s">
        <v>116</v>
      </c>
      <c r="C557" s="4" t="s">
        <v>4433</v>
      </c>
      <c r="D557" s="4" t="s">
        <v>4434</v>
      </c>
      <c r="E557" s="4" t="s">
        <v>83</v>
      </c>
      <c r="F557" s="4" t="s">
        <v>25</v>
      </c>
      <c r="G557" s="4" t="s">
        <v>41</v>
      </c>
      <c r="H557" s="4"/>
      <c r="I557" s="4" t="s">
        <v>10</v>
      </c>
      <c r="J557" s="17" t="s">
        <v>3290</v>
      </c>
      <c r="K557" s="16">
        <v>19.295292381045659</v>
      </c>
      <c r="L557" s="16">
        <v>55.262023142312557</v>
      </c>
      <c r="M557" s="16">
        <v>75.006623210741623</v>
      </c>
      <c r="N557" s="16">
        <v>39.369558458455479</v>
      </c>
      <c r="O557" s="16">
        <v>62.061149441873319</v>
      </c>
      <c r="P557" s="16">
        <v>45.137514830555894</v>
      </c>
      <c r="Q557" s="16">
        <v>55.854738026318941</v>
      </c>
    </row>
    <row r="558" spans="1:17" ht="12.75" x14ac:dyDescent="0.2">
      <c r="A558" s="4" t="s">
        <v>64</v>
      </c>
      <c r="B558" s="4" t="s">
        <v>92</v>
      </c>
      <c r="C558" s="4" t="s">
        <v>4435</v>
      </c>
      <c r="D558" s="4" t="s">
        <v>4436</v>
      </c>
      <c r="E558" s="4" t="s">
        <v>83</v>
      </c>
      <c r="F558" s="4" t="s">
        <v>25</v>
      </c>
      <c r="G558" s="4" t="s">
        <v>72</v>
      </c>
      <c r="H558" s="4"/>
      <c r="I558" s="4" t="s">
        <v>10</v>
      </c>
      <c r="J558" s="17" t="s">
        <v>3290</v>
      </c>
      <c r="K558" s="16">
        <v>57.053011204006189</v>
      </c>
      <c r="L558" s="16">
        <v>73.738238788432355</v>
      </c>
      <c r="M558" s="16">
        <v>50.127101589651687</v>
      </c>
      <c r="N558" s="16">
        <v>96.197457156458839</v>
      </c>
      <c r="O558" s="16">
        <v>4.9144870685311037</v>
      </c>
      <c r="P558" s="16">
        <v>88.361343935596807</v>
      </c>
      <c r="Q558" s="16">
        <v>46.247218024771144</v>
      </c>
    </row>
    <row r="559" spans="1:17" ht="12.75" x14ac:dyDescent="0.2">
      <c r="A559" s="4" t="s">
        <v>136</v>
      </c>
      <c r="B559" s="4" t="s">
        <v>137</v>
      </c>
      <c r="C559" s="4" t="s">
        <v>4437</v>
      </c>
      <c r="D559" s="4" t="s">
        <v>4438</v>
      </c>
      <c r="E559" s="4" t="s">
        <v>83</v>
      </c>
      <c r="F559" s="4" t="s">
        <v>25</v>
      </c>
      <c r="G559" s="4"/>
      <c r="H559" s="4" t="s">
        <v>3289</v>
      </c>
      <c r="I559" s="4" t="s">
        <v>10</v>
      </c>
      <c r="J559" s="17" t="s">
        <v>3290</v>
      </c>
      <c r="K559" s="16">
        <v>32.833076286617747</v>
      </c>
      <c r="L559" s="16">
        <v>66.888331229777265</v>
      </c>
      <c r="M559" s="16">
        <v>22.831060763192578</v>
      </c>
      <c r="N559" s="16">
        <v>41.386694893238598</v>
      </c>
      <c r="O559" s="16">
        <v>22.486993156106905</v>
      </c>
      <c r="P559" s="16">
        <v>54.648494986729936</v>
      </c>
      <c r="Q559" s="16">
        <v>64.559208496740055</v>
      </c>
    </row>
    <row r="560" spans="1:17" ht="12.75" x14ac:dyDescent="0.2">
      <c r="A560" s="4" t="s">
        <v>98</v>
      </c>
      <c r="B560" s="4" t="s">
        <v>113</v>
      </c>
      <c r="C560" s="4" t="s">
        <v>4439</v>
      </c>
      <c r="D560" s="4" t="s">
        <v>4440</v>
      </c>
      <c r="E560" s="4" t="s">
        <v>87</v>
      </c>
      <c r="F560" s="4" t="s">
        <v>18</v>
      </c>
      <c r="G560" s="4" t="s">
        <v>26</v>
      </c>
      <c r="H560" s="4"/>
      <c r="I560" s="4" t="s">
        <v>10</v>
      </c>
      <c r="J560" s="17" t="s">
        <v>3290</v>
      </c>
      <c r="K560" s="16">
        <v>94.604658944894609</v>
      </c>
      <c r="L560" s="16">
        <v>17.649477513181587</v>
      </c>
      <c r="M560" s="16">
        <v>57.945244767078606</v>
      </c>
      <c r="N560" s="16">
        <v>89.171935984880463</v>
      </c>
      <c r="O560" s="16">
        <v>2.1266268139711886</v>
      </c>
      <c r="P560" s="16">
        <v>25.470985171524319</v>
      </c>
      <c r="Q560" s="16">
        <v>10.7526123854506</v>
      </c>
    </row>
    <row r="561" spans="1:17" ht="12.75" x14ac:dyDescent="0.2">
      <c r="A561" s="4" t="s">
        <v>64</v>
      </c>
      <c r="B561" s="4" t="s">
        <v>82</v>
      </c>
      <c r="C561" s="4" t="s">
        <v>4441</v>
      </c>
      <c r="D561" s="4" t="s">
        <v>4442</v>
      </c>
      <c r="E561" s="4" t="s">
        <v>100</v>
      </c>
      <c r="F561" s="4" t="s">
        <v>18</v>
      </c>
      <c r="G561" s="4" t="s">
        <v>12</v>
      </c>
      <c r="H561" s="4"/>
      <c r="I561" s="4" t="s">
        <v>10</v>
      </c>
      <c r="J561" s="17" t="s">
        <v>3290</v>
      </c>
      <c r="K561" s="16">
        <v>53.00041322049924</v>
      </c>
      <c r="L561" s="16">
        <v>99.772967119658844</v>
      </c>
      <c r="M561" s="16">
        <v>36.316069484731898</v>
      </c>
      <c r="N561" s="16">
        <v>89.658229704022958</v>
      </c>
      <c r="O561" s="16">
        <v>85.272269361695223</v>
      </c>
      <c r="P561" s="16">
        <v>89.742814079040741</v>
      </c>
      <c r="Q561" s="16">
        <v>27.612760758085631</v>
      </c>
    </row>
    <row r="562" spans="1:17" ht="12.75" x14ac:dyDescent="0.2">
      <c r="A562" s="4" t="s">
        <v>64</v>
      </c>
      <c r="B562" s="4" t="s">
        <v>95</v>
      </c>
      <c r="C562" s="4" t="s">
        <v>4443</v>
      </c>
      <c r="D562" s="4" t="s">
        <v>4444</v>
      </c>
      <c r="E562" s="4" t="s">
        <v>120</v>
      </c>
      <c r="F562" s="4" t="s">
        <v>18</v>
      </c>
      <c r="G562" s="4" t="s">
        <v>19</v>
      </c>
      <c r="H562" s="4" t="s">
        <v>4445</v>
      </c>
      <c r="I562" s="4" t="s">
        <v>10</v>
      </c>
      <c r="J562" s="17" t="s">
        <v>3290</v>
      </c>
      <c r="K562" s="16">
        <v>46.821780780516718</v>
      </c>
      <c r="L562" s="16">
        <v>7.426737154186414</v>
      </c>
      <c r="M562" s="16">
        <v>34.691100791557538</v>
      </c>
      <c r="N562" s="16">
        <v>9.8881114308021711</v>
      </c>
      <c r="O562" s="16">
        <v>57.482299774215392</v>
      </c>
      <c r="P562" s="16">
        <v>65.532533437896149</v>
      </c>
      <c r="Q562" s="16">
        <v>52.396963909788965</v>
      </c>
    </row>
    <row r="563" spans="1:17" ht="12.75" x14ac:dyDescent="0.2">
      <c r="A563" s="4" t="s">
        <v>64</v>
      </c>
      <c r="B563" s="4" t="s">
        <v>95</v>
      </c>
      <c r="C563" s="4" t="s">
        <v>4446</v>
      </c>
      <c r="D563" s="4" t="s">
        <v>4447</v>
      </c>
      <c r="E563" s="4" t="s">
        <v>83</v>
      </c>
      <c r="F563" s="4" t="s">
        <v>25</v>
      </c>
      <c r="G563" s="4" t="s">
        <v>41</v>
      </c>
      <c r="H563" s="4"/>
      <c r="I563" s="4" t="s">
        <v>10</v>
      </c>
      <c r="J563" s="17" t="s">
        <v>3290</v>
      </c>
      <c r="K563" s="16">
        <v>56.180535446277432</v>
      </c>
      <c r="L563" s="16">
        <v>98.339396203836145</v>
      </c>
      <c r="M563" s="16">
        <v>84.028192917722833</v>
      </c>
      <c r="N563" s="16">
        <v>59.554975852189884</v>
      </c>
      <c r="O563" s="16">
        <v>25.169263683683806</v>
      </c>
      <c r="P563" s="16">
        <v>19.167066553257271</v>
      </c>
      <c r="Q563" s="16">
        <v>30.8784029149468</v>
      </c>
    </row>
    <row r="564" spans="1:17" ht="12.75" x14ac:dyDescent="0.2">
      <c r="A564" s="4" t="s">
        <v>64</v>
      </c>
      <c r="B564" s="4" t="s">
        <v>92</v>
      </c>
      <c r="C564" s="4" t="s">
        <v>4448</v>
      </c>
      <c r="D564" s="4" t="s">
        <v>4449</v>
      </c>
      <c r="E564" s="4" t="s">
        <v>100</v>
      </c>
      <c r="F564" s="4" t="s">
        <v>18</v>
      </c>
      <c r="G564" s="4" t="s">
        <v>26</v>
      </c>
      <c r="H564" s="4"/>
      <c r="I564" s="4" t="s">
        <v>10</v>
      </c>
      <c r="J564" s="17" t="s">
        <v>3290</v>
      </c>
      <c r="K564" s="16">
        <v>46.535406264141557</v>
      </c>
      <c r="L564" s="16">
        <v>82.577634794561931</v>
      </c>
      <c r="M564" s="16">
        <v>9.9274741042098764</v>
      </c>
      <c r="N564" s="16">
        <v>23.760101882533036</v>
      </c>
      <c r="O564" s="16">
        <v>78.58206492510817</v>
      </c>
      <c r="P564" s="16">
        <v>74.0003844367195</v>
      </c>
      <c r="Q564" s="16">
        <v>21.742455563062681</v>
      </c>
    </row>
    <row r="565" spans="1:17" ht="12.75" x14ac:dyDescent="0.2">
      <c r="A565" s="4" t="s">
        <v>64</v>
      </c>
      <c r="B565" s="4" t="s">
        <v>92</v>
      </c>
      <c r="C565" s="4" t="s">
        <v>4450</v>
      </c>
      <c r="D565" s="4" t="s">
        <v>4451</v>
      </c>
      <c r="E565" s="4" t="s">
        <v>100</v>
      </c>
      <c r="F565" s="4" t="s">
        <v>18</v>
      </c>
      <c r="G565" s="4" t="s">
        <v>26</v>
      </c>
      <c r="H565" s="4"/>
      <c r="I565" s="4" t="s">
        <v>10</v>
      </c>
      <c r="J565" s="17" t="s">
        <v>3290</v>
      </c>
      <c r="K565" s="16">
        <v>46.61268956245501</v>
      </c>
      <c r="L565" s="16">
        <v>43.968361209085757</v>
      </c>
      <c r="M565" s="16">
        <v>8.7133694617160025</v>
      </c>
      <c r="N565" s="16">
        <v>41.510894109895546</v>
      </c>
      <c r="O565" s="16">
        <v>12.455919613310694</v>
      </c>
      <c r="P565" s="16">
        <v>55.028476482868726</v>
      </c>
      <c r="Q565" s="16">
        <v>77.867938503004126</v>
      </c>
    </row>
    <row r="566" spans="1:17" ht="12.75" x14ac:dyDescent="0.2">
      <c r="A566" s="4" t="s">
        <v>64</v>
      </c>
      <c r="B566" s="4" t="s">
        <v>92</v>
      </c>
      <c r="C566" s="4" t="s">
        <v>4452</v>
      </c>
      <c r="D566" s="4" t="s">
        <v>4453</v>
      </c>
      <c r="E566" s="4" t="s">
        <v>100</v>
      </c>
      <c r="F566" s="4" t="s">
        <v>18</v>
      </c>
      <c r="G566" s="4" t="s">
        <v>12</v>
      </c>
      <c r="H566" s="4"/>
      <c r="I566" s="4" t="s">
        <v>10</v>
      </c>
      <c r="J566" s="17" t="s">
        <v>3290</v>
      </c>
      <c r="K566" s="16">
        <v>53.525729211823347</v>
      </c>
      <c r="L566" s="16">
        <v>0.90998498632647307</v>
      </c>
      <c r="M566" s="16">
        <v>24.380194236995411</v>
      </c>
      <c r="N566" s="16">
        <v>67.857551063557764</v>
      </c>
      <c r="O566" s="16">
        <v>41.916252609523475</v>
      </c>
      <c r="P566" s="16">
        <v>39.451484577813055</v>
      </c>
      <c r="Q566" s="16">
        <v>3.8238254170378738</v>
      </c>
    </row>
    <row r="567" spans="1:17" ht="12.75" x14ac:dyDescent="0.2">
      <c r="A567" s="4" t="s">
        <v>64</v>
      </c>
      <c r="B567" s="4" t="s">
        <v>92</v>
      </c>
      <c r="C567" s="4" t="s">
        <v>4454</v>
      </c>
      <c r="D567" s="4" t="s">
        <v>4455</v>
      </c>
      <c r="E567" s="4" t="s">
        <v>87</v>
      </c>
      <c r="F567" s="4" t="s">
        <v>25</v>
      </c>
      <c r="G567" s="4" t="s">
        <v>72</v>
      </c>
      <c r="H567" s="4"/>
      <c r="I567" s="4" t="s">
        <v>10</v>
      </c>
      <c r="J567" s="17" t="s">
        <v>3290</v>
      </c>
      <c r="K567" s="16">
        <v>61.289187614169826</v>
      </c>
      <c r="L567" s="16">
        <v>36.235960638031315</v>
      </c>
      <c r="M567" s="16">
        <v>20.081931772150241</v>
      </c>
      <c r="N567" s="16">
        <v>59.177599489285356</v>
      </c>
      <c r="O567" s="16">
        <v>67.948195087049825</v>
      </c>
      <c r="P567" s="16">
        <v>62.80974764061299</v>
      </c>
      <c r="Q567" s="16">
        <v>80.054576742477266</v>
      </c>
    </row>
    <row r="568" spans="1:17" ht="12.75" x14ac:dyDescent="0.2">
      <c r="A568" s="4" t="s">
        <v>115</v>
      </c>
      <c r="B568" s="4" t="s">
        <v>119</v>
      </c>
      <c r="C568" s="4" t="s">
        <v>4456</v>
      </c>
      <c r="D568" s="4" t="s">
        <v>4457</v>
      </c>
      <c r="E568" s="4" t="s">
        <v>100</v>
      </c>
      <c r="F568" s="4" t="s">
        <v>18</v>
      </c>
      <c r="G568" s="4" t="s">
        <v>19</v>
      </c>
      <c r="H568" s="4" t="s">
        <v>4458</v>
      </c>
      <c r="I568" s="4" t="s">
        <v>10</v>
      </c>
      <c r="J568" s="17" t="s">
        <v>3290</v>
      </c>
      <c r="K568" s="16">
        <v>46.365093602218487</v>
      </c>
      <c r="L568" s="16">
        <v>13.638415313764563</v>
      </c>
      <c r="M568" s="16">
        <v>61.938336021228537</v>
      </c>
      <c r="N568" s="16">
        <v>26.9735440652051</v>
      </c>
      <c r="O568" s="16">
        <v>79.496254748657861</v>
      </c>
      <c r="P568" s="16">
        <v>76.222679882468171</v>
      </c>
      <c r="Q568" s="16">
        <v>98.716714744336329</v>
      </c>
    </row>
    <row r="569" spans="1:17" ht="12.75" x14ac:dyDescent="0.2">
      <c r="A569" s="4" t="s">
        <v>98</v>
      </c>
      <c r="B569" s="4" t="s">
        <v>107</v>
      </c>
      <c r="C569" s="4" t="s">
        <v>4459</v>
      </c>
      <c r="D569" s="4" t="s">
        <v>4460</v>
      </c>
      <c r="E569" s="4" t="s">
        <v>87</v>
      </c>
      <c r="F569" s="4" t="s">
        <v>18</v>
      </c>
      <c r="G569" s="4" t="s">
        <v>41</v>
      </c>
      <c r="H569" s="4"/>
      <c r="I569" s="4" t="s">
        <v>10</v>
      </c>
      <c r="J569" s="17" t="s">
        <v>3290</v>
      </c>
      <c r="K569" s="16">
        <v>58.657543197090014</v>
      </c>
      <c r="L569" s="16">
        <v>88.58372563867708</v>
      </c>
      <c r="M569" s="16">
        <v>71.330849664069589</v>
      </c>
      <c r="N569" s="16">
        <v>95.663212806955741</v>
      </c>
      <c r="O569" s="16">
        <v>7.1988131716527182E-2</v>
      </c>
      <c r="P569" s="16">
        <v>63.91808857692579</v>
      </c>
      <c r="Q569" s="16">
        <v>4.9127493655342747</v>
      </c>
    </row>
    <row r="570" spans="1:17" ht="12.75" x14ac:dyDescent="0.2">
      <c r="A570" s="4" t="s">
        <v>7</v>
      </c>
      <c r="B570" s="4" t="s">
        <v>8</v>
      </c>
      <c r="C570" s="4" t="s">
        <v>4461</v>
      </c>
      <c r="D570" s="4" t="s">
        <v>4462</v>
      </c>
      <c r="E570" s="4" t="s">
        <v>87</v>
      </c>
      <c r="F570" s="4" t="s">
        <v>18</v>
      </c>
      <c r="G570" s="4" t="s">
        <v>61</v>
      </c>
      <c r="I570" s="4" t="s">
        <v>10</v>
      </c>
      <c r="J570" s="17" t="s">
        <v>3290</v>
      </c>
      <c r="K570" s="16">
        <v>64.18942557076798</v>
      </c>
      <c r="L570" s="16">
        <v>61.089387820970295</v>
      </c>
      <c r="M570" s="16">
        <v>50.752189878823671</v>
      </c>
      <c r="N570" s="16">
        <v>13.914077516807044</v>
      </c>
      <c r="O570" s="16">
        <v>63.629864437409914</v>
      </c>
      <c r="P570" s="16">
        <v>90.028601602844716</v>
      </c>
      <c r="Q570" s="16">
        <v>54.456534042913063</v>
      </c>
    </row>
    <row r="571" spans="1:17" ht="12.75" x14ac:dyDescent="0.2">
      <c r="A571" s="4" t="s">
        <v>98</v>
      </c>
      <c r="B571" s="4" t="s">
        <v>107</v>
      </c>
      <c r="C571" s="4" t="s">
        <v>4463</v>
      </c>
      <c r="D571" s="4" t="s">
        <v>4464</v>
      </c>
      <c r="E571" s="4" t="s">
        <v>87</v>
      </c>
      <c r="F571" s="4" t="s">
        <v>18</v>
      </c>
      <c r="G571" s="4" t="s">
        <v>41</v>
      </c>
      <c r="H571" s="4"/>
      <c r="I571" s="4" t="s">
        <v>10</v>
      </c>
      <c r="J571" s="17" t="s">
        <v>3290</v>
      </c>
      <c r="K571" s="16">
        <v>50.990609064059512</v>
      </c>
      <c r="L571" s="16">
        <v>53.10270432979307</v>
      </c>
      <c r="M571" s="16">
        <v>65.472935071248102</v>
      </c>
      <c r="N571" s="16">
        <v>4.6355732382598269</v>
      </c>
      <c r="O571" s="16">
        <v>80.123742449994268</v>
      </c>
      <c r="P571" s="16">
        <v>15.764479709666812</v>
      </c>
      <c r="Q571" s="16">
        <v>22.507339443206721</v>
      </c>
    </row>
    <row r="572" spans="1:17" ht="12.75" x14ac:dyDescent="0.2">
      <c r="A572" s="4" t="s">
        <v>115</v>
      </c>
      <c r="B572" s="4" t="s">
        <v>122</v>
      </c>
      <c r="C572" s="4" t="s">
        <v>4465</v>
      </c>
      <c r="D572" s="4" t="s">
        <v>4466</v>
      </c>
      <c r="E572" s="4" t="s">
        <v>83</v>
      </c>
      <c r="F572" s="4" t="s">
        <v>25</v>
      </c>
      <c r="G572" s="4" t="s">
        <v>26</v>
      </c>
      <c r="H572" s="4"/>
      <c r="I572" s="4" t="s">
        <v>10</v>
      </c>
      <c r="J572" s="17" t="s">
        <v>3290</v>
      </c>
      <c r="K572" s="16">
        <v>83.089546341633877</v>
      </c>
      <c r="L572" s="16">
        <v>66.616384992316739</v>
      </c>
      <c r="M572" s="16">
        <v>59.289366296723159</v>
      </c>
      <c r="N572" s="16">
        <v>22.606730310826471</v>
      </c>
      <c r="O572" s="16">
        <v>23.886607924905768</v>
      </c>
      <c r="P572" s="16">
        <v>71.050833953194541</v>
      </c>
      <c r="Q572" s="16">
        <v>93.587329107203345</v>
      </c>
    </row>
    <row r="573" spans="1:17" ht="12.75" x14ac:dyDescent="0.2">
      <c r="A573" s="4" t="s">
        <v>115</v>
      </c>
      <c r="B573" s="4" t="s">
        <v>128</v>
      </c>
      <c r="C573" s="4" t="s">
        <v>4467</v>
      </c>
      <c r="D573" s="4" t="s">
        <v>4468</v>
      </c>
      <c r="E573" s="4" t="s">
        <v>83</v>
      </c>
      <c r="F573" s="4" t="s">
        <v>25</v>
      </c>
      <c r="G573" s="4" t="s">
        <v>72</v>
      </c>
      <c r="H573" s="4" t="s">
        <v>4469</v>
      </c>
      <c r="I573" s="4" t="s">
        <v>10</v>
      </c>
      <c r="J573" s="17" t="s">
        <v>3290</v>
      </c>
      <c r="K573" s="16">
        <v>33.146925898521708</v>
      </c>
      <c r="L573" s="16">
        <v>59.762159623080237</v>
      </c>
      <c r="M573" s="16">
        <v>59.515805080017557</v>
      </c>
      <c r="N573" s="16">
        <v>68.964876832189589</v>
      </c>
      <c r="O573" s="16">
        <v>38.326247420526492</v>
      </c>
      <c r="P573" s="16">
        <v>87.151607343682116</v>
      </c>
      <c r="Q573" s="16">
        <v>10.327071315911896</v>
      </c>
    </row>
    <row r="574" spans="1:17" ht="12.75" x14ac:dyDescent="0.2">
      <c r="A574" s="4" t="s">
        <v>64</v>
      </c>
      <c r="B574" s="4" t="s">
        <v>86</v>
      </c>
      <c r="C574" s="4" t="s">
        <v>4470</v>
      </c>
      <c r="D574" s="4" t="s">
        <v>4471</v>
      </c>
      <c r="E574" s="4" t="s">
        <v>83</v>
      </c>
      <c r="F574" s="4" t="s">
        <v>25</v>
      </c>
      <c r="G574" s="4" t="s">
        <v>72</v>
      </c>
      <c r="I574" s="4" t="s">
        <v>10</v>
      </c>
      <c r="J574" s="17" t="s">
        <v>3290</v>
      </c>
      <c r="K574" s="16">
        <v>81.763551009088204</v>
      </c>
      <c r="L574" s="16">
        <v>84.788922143195649</v>
      </c>
      <c r="M574" s="16">
        <v>71.355004930461334</v>
      </c>
      <c r="N574" s="16">
        <v>33.219203295468844</v>
      </c>
      <c r="O574" s="16">
        <v>92.656091577390868</v>
      </c>
      <c r="P574" s="16">
        <v>43.988836829096414</v>
      </c>
      <c r="Q574" s="16">
        <v>69.704021757748009</v>
      </c>
    </row>
    <row r="575" spans="1:17" ht="12.75" x14ac:dyDescent="0.2">
      <c r="A575" s="4" t="s">
        <v>98</v>
      </c>
      <c r="B575" s="4" t="s">
        <v>110</v>
      </c>
      <c r="C575" s="4" t="s">
        <v>4472</v>
      </c>
      <c r="D575" s="4" t="s">
        <v>4473</v>
      </c>
      <c r="E575" s="4" t="s">
        <v>126</v>
      </c>
      <c r="F575" s="4" t="s">
        <v>18</v>
      </c>
      <c r="G575" s="4" t="s">
        <v>12</v>
      </c>
      <c r="H575" s="4" t="s">
        <v>10</v>
      </c>
      <c r="I575" s="4" t="s">
        <v>10</v>
      </c>
      <c r="J575" s="17" t="s">
        <v>3290</v>
      </c>
      <c r="K575" s="16">
        <v>76.453357741620792</v>
      </c>
      <c r="L575" s="16">
        <v>29.779097261732712</v>
      </c>
      <c r="M575" s="16">
        <v>92.352368904433419</v>
      </c>
      <c r="N575" s="16">
        <v>1.3408472706200047E-2</v>
      </c>
      <c r="O575" s="16">
        <v>44.554878623619729</v>
      </c>
      <c r="P575" s="16">
        <v>71.138905192644089</v>
      </c>
      <c r="Q575" s="16">
        <v>74.915740827259768</v>
      </c>
    </row>
    <row r="576" spans="1:17" ht="12.75" x14ac:dyDescent="0.2">
      <c r="A576" s="4" t="s">
        <v>64</v>
      </c>
      <c r="B576" s="4" t="s">
        <v>78</v>
      </c>
      <c r="C576" s="4" t="s">
        <v>4474</v>
      </c>
      <c r="D576" s="4" t="s">
        <v>4475</v>
      </c>
      <c r="E576" s="4" t="s">
        <v>87</v>
      </c>
      <c r="F576" s="4" t="s">
        <v>18</v>
      </c>
      <c r="G576" s="4" t="s">
        <v>61</v>
      </c>
      <c r="H576" s="4"/>
      <c r="I576" s="4" t="s">
        <v>10</v>
      </c>
      <c r="J576" s="17" t="s">
        <v>3290</v>
      </c>
      <c r="K576" s="16">
        <v>17.462829546357838</v>
      </c>
      <c r="L576" s="16">
        <v>44.28528737750672</v>
      </c>
      <c r="M576" s="16">
        <v>11.677037899540355</v>
      </c>
      <c r="N576" s="16">
        <v>51.118523587787415</v>
      </c>
      <c r="O576" s="16">
        <v>56.766480986872104</v>
      </c>
      <c r="P576" s="16">
        <v>3.992828337116916</v>
      </c>
      <c r="Q576" s="16">
        <v>49.650603503292189</v>
      </c>
    </row>
    <row r="577" spans="1:17" ht="12.75" x14ac:dyDescent="0.2">
      <c r="A577" s="4" t="s">
        <v>64</v>
      </c>
      <c r="B577" s="4" t="s">
        <v>82</v>
      </c>
      <c r="C577" s="4" t="s">
        <v>4476</v>
      </c>
      <c r="D577" s="4" t="s">
        <v>4477</v>
      </c>
      <c r="E577" s="4" t="s">
        <v>126</v>
      </c>
      <c r="F577" s="4" t="s">
        <v>25</v>
      </c>
      <c r="G577" s="4" t="s">
        <v>72</v>
      </c>
      <c r="H577" s="4"/>
      <c r="I577" s="4" t="s">
        <v>10</v>
      </c>
      <c r="J577" s="17" t="s">
        <v>3290</v>
      </c>
      <c r="K577" s="16">
        <v>89.450318105576969</v>
      </c>
      <c r="L577" s="16">
        <v>58.817674469751701</v>
      </c>
      <c r="M577" s="16">
        <v>2.862159951353338</v>
      </c>
      <c r="N577" s="16">
        <v>6.6849923310989929</v>
      </c>
      <c r="O577" s="16">
        <v>73.767076428408245</v>
      </c>
      <c r="P577" s="16">
        <v>57.711024930677254</v>
      </c>
      <c r="Q577" s="16">
        <v>80.923276843755517</v>
      </c>
    </row>
    <row r="578" spans="1:17" ht="12.75" x14ac:dyDescent="0.2">
      <c r="A578" s="4" t="s">
        <v>98</v>
      </c>
      <c r="B578" s="4" t="s">
        <v>113</v>
      </c>
      <c r="C578" s="4" t="s">
        <v>4478</v>
      </c>
      <c r="D578" s="4" t="s">
        <v>4479</v>
      </c>
      <c r="E578" s="4" t="s">
        <v>9</v>
      </c>
      <c r="F578" s="4" t="s">
        <v>18</v>
      </c>
      <c r="G578" s="4" t="s">
        <v>12</v>
      </c>
      <c r="H578" s="4"/>
      <c r="I578" s="4" t="s">
        <v>10</v>
      </c>
      <c r="J578" s="17" t="s">
        <v>3290</v>
      </c>
      <c r="K578" s="16">
        <v>0.10114102383113055</v>
      </c>
      <c r="L578" s="16">
        <v>46.765882735228701</v>
      </c>
      <c r="M578" s="16">
        <v>92.830766298232987</v>
      </c>
      <c r="N578" s="16">
        <v>14.880400756073231</v>
      </c>
      <c r="O578" s="16">
        <v>52.655747607586456</v>
      </c>
      <c r="P578" s="16">
        <v>88.074880935906634</v>
      </c>
      <c r="Q578" s="16">
        <v>78.929830479510983</v>
      </c>
    </row>
    <row r="579" spans="1:17" ht="12.75" x14ac:dyDescent="0.2">
      <c r="A579" s="4" t="s">
        <v>64</v>
      </c>
      <c r="B579" s="4" t="s">
        <v>82</v>
      </c>
      <c r="C579" s="4" t="s">
        <v>4480</v>
      </c>
      <c r="D579" s="4" t="s">
        <v>4481</v>
      </c>
      <c r="E579" s="4" t="s">
        <v>9</v>
      </c>
      <c r="F579" s="4" t="s">
        <v>25</v>
      </c>
      <c r="G579" s="4" t="s">
        <v>72</v>
      </c>
      <c r="H579" s="4"/>
      <c r="I579" s="4" t="s">
        <v>10</v>
      </c>
      <c r="J579" s="17" t="s">
        <v>3290</v>
      </c>
      <c r="K579" s="16">
        <v>67.656512032746789</v>
      </c>
      <c r="L579" s="16">
        <v>22.800178505923995</v>
      </c>
      <c r="M579" s="16">
        <v>1.7142646843954057</v>
      </c>
      <c r="N579" s="16">
        <v>17.522020291779896</v>
      </c>
      <c r="O579" s="16">
        <v>23.874603795641868</v>
      </c>
      <c r="P579" s="16">
        <v>90.224342293541326</v>
      </c>
      <c r="Q579" s="16">
        <v>23.261234058613688</v>
      </c>
    </row>
    <row r="580" spans="1:17" ht="12.75" x14ac:dyDescent="0.2">
      <c r="A580" s="4" t="s">
        <v>37</v>
      </c>
      <c r="B580" s="4" t="s">
        <v>59</v>
      </c>
      <c r="C580" s="4" t="s">
        <v>4482</v>
      </c>
      <c r="D580" s="4" t="s">
        <v>4483</v>
      </c>
      <c r="E580" s="4" t="s">
        <v>108</v>
      </c>
      <c r="F580" s="4" t="s">
        <v>25</v>
      </c>
      <c r="G580" s="4" t="s">
        <v>72</v>
      </c>
      <c r="H580" s="4" t="s">
        <v>4484</v>
      </c>
      <c r="I580" s="4" t="s">
        <v>10</v>
      </c>
      <c r="J580" s="17" t="s">
        <v>3290</v>
      </c>
      <c r="K580" s="16">
        <v>62.7451898267513</v>
      </c>
      <c r="L580" s="16">
        <v>34.960511438826913</v>
      </c>
      <c r="M580" s="16">
        <v>36.220220550450222</v>
      </c>
      <c r="N580" s="16">
        <v>85.429345282968555</v>
      </c>
      <c r="O580" s="16">
        <v>80.891229454313546</v>
      </c>
      <c r="P580" s="16">
        <v>24.395730366037029</v>
      </c>
      <c r="Q580" s="16">
        <v>79.808573285279195</v>
      </c>
    </row>
    <row r="581" spans="1:17" ht="12.75" x14ac:dyDescent="0.2">
      <c r="A581" s="4" t="s">
        <v>7</v>
      </c>
      <c r="B581" s="4" t="s">
        <v>23</v>
      </c>
      <c r="C581" s="4" t="s">
        <v>4485</v>
      </c>
      <c r="D581" s="4" t="s">
        <v>4486</v>
      </c>
      <c r="E581" s="4" t="s">
        <v>126</v>
      </c>
      <c r="F581" s="4" t="s">
        <v>18</v>
      </c>
      <c r="G581" s="4" t="s">
        <v>61</v>
      </c>
      <c r="H581" s="4"/>
      <c r="I581" s="4" t="s">
        <v>10</v>
      </c>
      <c r="J581" s="17" t="s">
        <v>3290</v>
      </c>
      <c r="K581" s="16">
        <v>34.307857988839487</v>
      </c>
      <c r="L581" s="16">
        <v>23.338942691526587</v>
      </c>
      <c r="M581" s="16">
        <v>38.805262357339885</v>
      </c>
      <c r="N581" s="16">
        <v>0.64336141342075104</v>
      </c>
      <c r="O581" s="16">
        <v>31.276495621278201</v>
      </c>
      <c r="P581" s="16">
        <v>45.030111596473077</v>
      </c>
      <c r="Q581" s="16">
        <v>67.452011703201222</v>
      </c>
    </row>
    <row r="582" spans="1:17" ht="12.75" x14ac:dyDescent="0.2">
      <c r="A582" s="4" t="s">
        <v>98</v>
      </c>
      <c r="B582" s="4" t="s">
        <v>102</v>
      </c>
      <c r="C582" s="4" t="s">
        <v>4487</v>
      </c>
      <c r="D582" s="4" t="s">
        <v>4488</v>
      </c>
      <c r="E582" s="4" t="s">
        <v>83</v>
      </c>
      <c r="F582" s="4" t="s">
        <v>25</v>
      </c>
      <c r="G582" s="4" t="s">
        <v>41</v>
      </c>
      <c r="H582" s="4" t="s">
        <v>4404</v>
      </c>
      <c r="I582" s="4" t="s">
        <v>10</v>
      </c>
      <c r="J582" s="17" t="s">
        <v>3290</v>
      </c>
      <c r="K582" s="16">
        <v>87.694772827042158</v>
      </c>
      <c r="L582" s="16">
        <v>9.9606494841559261</v>
      </c>
      <c r="M582" s="16">
        <v>69.800490398530201</v>
      </c>
      <c r="N582" s="16">
        <v>40.570095934348949</v>
      </c>
      <c r="O582" s="16">
        <v>95.792582485341896</v>
      </c>
      <c r="P582" s="16">
        <v>6.692759362663903</v>
      </c>
      <c r="Q582" s="16">
        <v>95.070621003217468</v>
      </c>
    </row>
    <row r="583" spans="1:17" ht="12.75" x14ac:dyDescent="0.2">
      <c r="A583" s="4" t="s">
        <v>98</v>
      </c>
      <c r="B583" s="4" t="s">
        <v>102</v>
      </c>
      <c r="C583" s="4" t="s">
        <v>4489</v>
      </c>
      <c r="D583" s="4" t="s">
        <v>4490</v>
      </c>
      <c r="E583" s="4" t="s">
        <v>83</v>
      </c>
      <c r="F583" s="4" t="s">
        <v>25</v>
      </c>
      <c r="G583" s="4" t="s">
        <v>41</v>
      </c>
      <c r="H583" s="4"/>
      <c r="I583" s="4" t="s">
        <v>10</v>
      </c>
      <c r="J583" s="17" t="s">
        <v>3290</v>
      </c>
      <c r="K583" s="16">
        <v>11.739292438090832</v>
      </c>
      <c r="L583" s="16">
        <v>98.758952529778014</v>
      </c>
      <c r="M583" s="16">
        <v>69.820016070893033</v>
      </c>
      <c r="N583" s="16">
        <v>85.875040707707555</v>
      </c>
      <c r="O583" s="16">
        <v>21.305881235270085</v>
      </c>
      <c r="P583" s="16">
        <v>46.720130325634948</v>
      </c>
      <c r="Q583" s="16">
        <v>24.917959421065451</v>
      </c>
    </row>
    <row r="584" spans="1:17" ht="12.75" x14ac:dyDescent="0.2">
      <c r="A584" s="4" t="s">
        <v>98</v>
      </c>
      <c r="B584" s="4" t="s">
        <v>107</v>
      </c>
      <c r="C584" s="4" t="s">
        <v>4491</v>
      </c>
      <c r="D584" s="4" t="s">
        <v>4492</v>
      </c>
      <c r="E584" s="4" t="s">
        <v>114</v>
      </c>
      <c r="F584" s="4" t="s">
        <v>32</v>
      </c>
      <c r="G584" s="4" t="s">
        <v>41</v>
      </c>
      <c r="I584" s="4" t="s">
        <v>10</v>
      </c>
      <c r="J584" s="17" t="s">
        <v>3290</v>
      </c>
      <c r="K584" s="16">
        <v>55.18268984429583</v>
      </c>
      <c r="L584" s="16">
        <v>57.020151755097004</v>
      </c>
      <c r="M584" s="16">
        <v>47.532201859060933</v>
      </c>
      <c r="N584" s="16">
        <v>22.538561463775586</v>
      </c>
      <c r="O584" s="16">
        <v>99.970584190349783</v>
      </c>
      <c r="P584" s="16">
        <v>12.053124728883924</v>
      </c>
      <c r="Q584" s="16">
        <v>5.9423723812036648</v>
      </c>
    </row>
    <row r="585" spans="1:17" ht="12.75" x14ac:dyDescent="0.2">
      <c r="A585" s="4" t="s">
        <v>64</v>
      </c>
      <c r="B585" s="4" t="s">
        <v>92</v>
      </c>
      <c r="C585" s="4" t="s">
        <v>4493</v>
      </c>
      <c r="D585" s="4" t="s">
        <v>4494</v>
      </c>
      <c r="E585" s="4" t="s">
        <v>83</v>
      </c>
      <c r="F585" s="4" t="s">
        <v>25</v>
      </c>
      <c r="G585" s="4" t="s">
        <v>72</v>
      </c>
      <c r="H585" s="4"/>
      <c r="I585" s="4" t="s">
        <v>10</v>
      </c>
      <c r="J585" s="17" t="s">
        <v>3290</v>
      </c>
      <c r="K585" s="16">
        <v>8.8060274964277809</v>
      </c>
      <c r="L585" s="16">
        <v>94.533989028370186</v>
      </c>
      <c r="M585" s="16">
        <v>73.291661044173551</v>
      </c>
      <c r="N585" s="16">
        <v>68.322080647587086</v>
      </c>
      <c r="O585" s="16">
        <v>93.783785044337336</v>
      </c>
      <c r="P585" s="16">
        <v>82.521462798717423</v>
      </c>
      <c r="Q585" s="16">
        <v>33.338263439503969</v>
      </c>
    </row>
    <row r="586" spans="1:17" ht="12.75" x14ac:dyDescent="0.2">
      <c r="A586" s="4" t="s">
        <v>98</v>
      </c>
      <c r="B586" s="4" t="s">
        <v>99</v>
      </c>
      <c r="C586" s="4" t="s">
        <v>4495</v>
      </c>
      <c r="D586" s="4" t="s">
        <v>4496</v>
      </c>
      <c r="E586" s="4" t="s">
        <v>114</v>
      </c>
      <c r="F586" s="4" t="s">
        <v>18</v>
      </c>
      <c r="G586" s="4" t="s">
        <v>72</v>
      </c>
      <c r="H586" s="4"/>
      <c r="I586" s="4" t="s">
        <v>10</v>
      </c>
      <c r="J586" s="17" t="s">
        <v>3290</v>
      </c>
      <c r="K586" s="16">
        <v>46.632817250218928</v>
      </c>
      <c r="L586" s="16">
        <v>67.851790341955834</v>
      </c>
      <c r="M586" s="16">
        <v>58.585137757669678</v>
      </c>
      <c r="N586" s="16">
        <v>85.697404265045591</v>
      </c>
      <c r="O586" s="16">
        <v>8.2534311162386302</v>
      </c>
      <c r="P586" s="16">
        <v>10.311423060253212</v>
      </c>
      <c r="Q586" s="16">
        <v>65.024894024953056</v>
      </c>
    </row>
    <row r="587" spans="1:17" ht="12.75" x14ac:dyDescent="0.2">
      <c r="A587" s="4" t="s">
        <v>64</v>
      </c>
      <c r="B587" s="4" t="s">
        <v>74</v>
      </c>
      <c r="C587" s="4" t="s">
        <v>4497</v>
      </c>
      <c r="D587" s="4" t="s">
        <v>4498</v>
      </c>
      <c r="E587" s="4" t="s">
        <v>108</v>
      </c>
      <c r="F587" s="4" t="s">
        <v>18</v>
      </c>
      <c r="G587" s="4" t="s">
        <v>41</v>
      </c>
      <c r="H587" s="4" t="s">
        <v>3465</v>
      </c>
      <c r="I587" s="4" t="s">
        <v>10</v>
      </c>
      <c r="J587" s="17" t="s">
        <v>3290</v>
      </c>
      <c r="K587" s="16">
        <v>90.14288793540571</v>
      </c>
      <c r="L587" s="16">
        <v>29.427854402784003</v>
      </c>
      <c r="M587" s="16">
        <v>33.545110631108855</v>
      </c>
      <c r="N587" s="16">
        <v>31.712410069700191</v>
      </c>
      <c r="O587" s="16">
        <v>10.627436117489864</v>
      </c>
      <c r="P587" s="16">
        <v>30.453593441460715</v>
      </c>
      <c r="Q587" s="16">
        <v>13.343233889892081</v>
      </c>
    </row>
    <row r="588" spans="1:17" ht="12.75" x14ac:dyDescent="0.2">
      <c r="A588" s="4" t="s">
        <v>115</v>
      </c>
      <c r="B588" s="4" t="s">
        <v>116</v>
      </c>
      <c r="C588" s="4" t="s">
        <v>4499</v>
      </c>
      <c r="D588" s="4" t="s">
        <v>4500</v>
      </c>
      <c r="E588" s="4" t="s">
        <v>108</v>
      </c>
      <c r="F588" s="4" t="s">
        <v>25</v>
      </c>
      <c r="G588" s="4" t="s">
        <v>61</v>
      </c>
      <c r="H588" s="4"/>
      <c r="I588" s="4" t="s">
        <v>10</v>
      </c>
      <c r="J588" s="17" t="s">
        <v>3290</v>
      </c>
      <c r="K588" s="16">
        <v>5.7254950128514226</v>
      </c>
      <c r="L588" s="16">
        <v>26.341029784281965</v>
      </c>
      <c r="M588" s="16">
        <v>75.494358550593063</v>
      </c>
      <c r="N588" s="16">
        <v>46.131195738736444</v>
      </c>
      <c r="O588" s="16">
        <v>46.299593430541996</v>
      </c>
      <c r="P588" s="16">
        <v>59.69259680457111</v>
      </c>
      <c r="Q588" s="16">
        <v>27.799979684292918</v>
      </c>
    </row>
    <row r="589" spans="1:17" ht="12.75" x14ac:dyDescent="0.2">
      <c r="A589" s="4" t="s">
        <v>64</v>
      </c>
      <c r="B589" s="4" t="s">
        <v>82</v>
      </c>
      <c r="C589" s="4" t="s">
        <v>4501</v>
      </c>
      <c r="D589" s="4" t="s">
        <v>4502</v>
      </c>
      <c r="E589" s="4" t="s">
        <v>126</v>
      </c>
      <c r="F589" s="4" t="s">
        <v>25</v>
      </c>
      <c r="G589" s="4" t="s">
        <v>72</v>
      </c>
      <c r="H589" s="4"/>
      <c r="I589" s="4" t="s">
        <v>10</v>
      </c>
      <c r="J589" s="17" t="s">
        <v>3290</v>
      </c>
      <c r="K589" s="16">
        <v>36.358996866325278</v>
      </c>
      <c r="L589" s="16">
        <v>53.001494863160872</v>
      </c>
      <c r="M589" s="16">
        <v>66.383383234714799</v>
      </c>
      <c r="N589" s="16">
        <v>18.522049208571367</v>
      </c>
      <c r="O589" s="16">
        <v>57.502564218894094</v>
      </c>
      <c r="P589" s="16">
        <v>15.489430256812554</v>
      </c>
      <c r="Q589" s="16">
        <v>59.31505499761446</v>
      </c>
    </row>
    <row r="590" spans="1:17" ht="12.75" x14ac:dyDescent="0.2">
      <c r="A590" s="4" t="s">
        <v>64</v>
      </c>
      <c r="B590" s="4" t="s">
        <v>82</v>
      </c>
      <c r="C590" s="4" t="s">
        <v>4503</v>
      </c>
      <c r="D590" s="4" t="s">
        <v>4504</v>
      </c>
      <c r="E590" s="4" t="s">
        <v>126</v>
      </c>
      <c r="F590" s="4" t="s">
        <v>25</v>
      </c>
      <c r="G590" s="4" t="s">
        <v>72</v>
      </c>
      <c r="H590" s="4"/>
      <c r="I590" s="4" t="s">
        <v>10</v>
      </c>
      <c r="J590" s="17" t="s">
        <v>3290</v>
      </c>
      <c r="K590" s="16">
        <v>51.611772420544852</v>
      </c>
      <c r="L590" s="16">
        <v>43.724267765443393</v>
      </c>
      <c r="M590" s="16">
        <v>21.322716459173506</v>
      </c>
      <c r="N590" s="16">
        <v>62.725501545800036</v>
      </c>
      <c r="O590" s="16">
        <v>85.820809807949033</v>
      </c>
      <c r="P590" s="16">
        <v>92.119465337227595</v>
      </c>
      <c r="Q590" s="16">
        <v>87.191932913300406</v>
      </c>
    </row>
    <row r="591" spans="1:17" ht="12.75" x14ac:dyDescent="0.2">
      <c r="A591" s="4" t="s">
        <v>115</v>
      </c>
      <c r="B591" s="4" t="s">
        <v>122</v>
      </c>
      <c r="C591" s="4" t="s">
        <v>4505</v>
      </c>
      <c r="D591" s="4" t="s">
        <v>4506</v>
      </c>
      <c r="E591" s="4" t="s">
        <v>129</v>
      </c>
      <c r="F591" s="4" t="s">
        <v>18</v>
      </c>
      <c r="G591" s="4" t="s">
        <v>61</v>
      </c>
      <c r="H591" s="4"/>
      <c r="I591" s="4" t="s">
        <v>10</v>
      </c>
      <c r="J591" s="17" t="s">
        <v>3290</v>
      </c>
      <c r="K591" s="16">
        <v>65.245783636765864</v>
      </c>
      <c r="L591" s="16">
        <v>60.264381288059596</v>
      </c>
      <c r="M591" s="16">
        <v>81.228268111161086</v>
      </c>
      <c r="N591" s="16">
        <v>39.137758793959023</v>
      </c>
      <c r="O591" s="16">
        <v>55.873558679012525</v>
      </c>
      <c r="P591" s="16">
        <v>56.228604132766868</v>
      </c>
      <c r="Q591" s="16">
        <v>58.081230712094033</v>
      </c>
    </row>
    <row r="592" spans="1:17" ht="12.75" x14ac:dyDescent="0.2">
      <c r="A592" s="4" t="s">
        <v>98</v>
      </c>
      <c r="B592" s="4" t="s">
        <v>107</v>
      </c>
      <c r="C592" s="4" t="s">
        <v>4507</v>
      </c>
      <c r="D592" s="4" t="s">
        <v>4508</v>
      </c>
      <c r="E592" s="4" t="s">
        <v>87</v>
      </c>
      <c r="F592" s="4" t="s">
        <v>18</v>
      </c>
      <c r="G592" s="4" t="s">
        <v>41</v>
      </c>
      <c r="H592" s="4"/>
      <c r="I592" s="4" t="s">
        <v>10</v>
      </c>
      <c r="J592" s="17" t="s">
        <v>3290</v>
      </c>
      <c r="K592" s="16">
        <v>51.933166894876337</v>
      </c>
      <c r="L592" s="16">
        <v>92.600027324200212</v>
      </c>
      <c r="M592" s="16">
        <v>46.965024801596499</v>
      </c>
      <c r="N592" s="16">
        <v>62.471958072681986</v>
      </c>
      <c r="O592" s="16">
        <v>49.451848277772839</v>
      </c>
      <c r="P592" s="16">
        <v>23.113926370752846</v>
      </c>
      <c r="Q592" s="16">
        <v>1.5772314411565791</v>
      </c>
    </row>
    <row r="593" spans="1:17" ht="12.75" x14ac:dyDescent="0.2">
      <c r="A593" s="4" t="s">
        <v>7</v>
      </c>
      <c r="B593" s="4" t="s">
        <v>30</v>
      </c>
      <c r="C593" s="4" t="s">
        <v>4509</v>
      </c>
      <c r="D593" s="4" t="s">
        <v>4510</v>
      </c>
      <c r="E593" s="4" t="s">
        <v>129</v>
      </c>
      <c r="F593" s="4" t="s">
        <v>18</v>
      </c>
      <c r="G593" s="4" t="s">
        <v>72</v>
      </c>
      <c r="H593" s="4" t="s">
        <v>4281</v>
      </c>
      <c r="I593" s="4" t="s">
        <v>10</v>
      </c>
      <c r="J593" s="17" t="s">
        <v>3290</v>
      </c>
      <c r="K593" s="16">
        <v>69.086340146290169</v>
      </c>
      <c r="L593" s="16">
        <v>80.524531096000587</v>
      </c>
      <c r="M593" s="16">
        <v>5.1288251853038762</v>
      </c>
      <c r="N593" s="16">
        <v>27.664081155518183</v>
      </c>
      <c r="O593" s="16">
        <v>18.089896508419891</v>
      </c>
      <c r="P593" s="16">
        <v>38.15749620915976</v>
      </c>
      <c r="Q593" s="16">
        <v>80.544719778164179</v>
      </c>
    </row>
    <row r="594" spans="1:17" ht="12.75" x14ac:dyDescent="0.2">
      <c r="A594" s="4" t="s">
        <v>64</v>
      </c>
      <c r="B594" s="4" t="s">
        <v>82</v>
      </c>
      <c r="C594" s="4" t="s">
        <v>4511</v>
      </c>
      <c r="D594" s="4" t="s">
        <v>4512</v>
      </c>
      <c r="E594" s="4" t="s">
        <v>126</v>
      </c>
      <c r="F594" s="4" t="s">
        <v>18</v>
      </c>
      <c r="G594" s="4" t="s">
        <v>19</v>
      </c>
      <c r="H594" s="4"/>
      <c r="I594" s="4" t="s">
        <v>10</v>
      </c>
      <c r="J594" s="17" t="s">
        <v>3290</v>
      </c>
      <c r="K594" s="16">
        <v>15.345644030631444</v>
      </c>
      <c r="L594" s="16">
        <v>39.724872581503021</v>
      </c>
      <c r="M594" s="16">
        <v>95.67005483062627</v>
      </c>
      <c r="N594" s="16">
        <v>32.418922815779894</v>
      </c>
      <c r="O594" s="16">
        <v>16.659185767868756</v>
      </c>
      <c r="P594" s="16">
        <v>74.75835527658019</v>
      </c>
      <c r="Q594" s="16">
        <v>8.4198412275528831</v>
      </c>
    </row>
    <row r="595" spans="1:17" ht="12.75" x14ac:dyDescent="0.2">
      <c r="A595" s="4" t="s">
        <v>98</v>
      </c>
      <c r="B595" s="4" t="s">
        <v>107</v>
      </c>
      <c r="C595" s="4" t="s">
        <v>4513</v>
      </c>
      <c r="D595" s="4" t="s">
        <v>4514</v>
      </c>
      <c r="E595" s="4" t="s">
        <v>87</v>
      </c>
      <c r="F595" s="4" t="s">
        <v>18</v>
      </c>
      <c r="G595" s="4" t="s">
        <v>41</v>
      </c>
      <c r="H595" s="4"/>
      <c r="I595" s="4" t="s">
        <v>10</v>
      </c>
      <c r="J595" s="17" t="s">
        <v>3290</v>
      </c>
      <c r="K595" s="16">
        <v>15.104048740121033</v>
      </c>
      <c r="L595" s="16">
        <v>61.898718656773696</v>
      </c>
      <c r="M595" s="16">
        <v>26.638352973654545</v>
      </c>
      <c r="N595" s="16">
        <v>42.533791091446318</v>
      </c>
      <c r="O595" s="16">
        <v>55.512137585086762</v>
      </c>
      <c r="P595" s="16">
        <v>26.658291759661733</v>
      </c>
      <c r="Q595" s="16">
        <v>50.078054030966356</v>
      </c>
    </row>
    <row r="596" spans="1:17" ht="12.75" x14ac:dyDescent="0.2">
      <c r="A596" s="4" t="s">
        <v>64</v>
      </c>
      <c r="B596" s="4" t="s">
        <v>82</v>
      </c>
      <c r="C596" s="4" t="s">
        <v>4515</v>
      </c>
      <c r="D596" s="4" t="s">
        <v>4516</v>
      </c>
      <c r="E596" s="4" t="s">
        <v>9</v>
      </c>
      <c r="F596" s="4" t="s">
        <v>25</v>
      </c>
      <c r="G596" s="4" t="s">
        <v>72</v>
      </c>
      <c r="H596" s="4"/>
      <c r="I596" s="4" t="s">
        <v>10</v>
      </c>
      <c r="J596" s="17" t="s">
        <v>3290</v>
      </c>
      <c r="K596" s="16">
        <v>9.5817617668835453</v>
      </c>
      <c r="L596" s="16">
        <v>22.519944104333799</v>
      </c>
      <c r="M596" s="16">
        <v>76.348464720802767</v>
      </c>
      <c r="N596" s="16">
        <v>22.13842656633317</v>
      </c>
      <c r="O596" s="16">
        <v>39.495018297211772</v>
      </c>
      <c r="P596" s="16">
        <v>39.127511742744872</v>
      </c>
      <c r="Q596" s="16">
        <v>73.312301610381454</v>
      </c>
    </row>
    <row r="597" spans="1:17" ht="12.75" x14ac:dyDescent="0.2">
      <c r="A597" s="4" t="s">
        <v>64</v>
      </c>
      <c r="B597" s="4" t="s">
        <v>82</v>
      </c>
      <c r="C597" s="4" t="s">
        <v>4517</v>
      </c>
      <c r="D597" s="4" t="s">
        <v>4518</v>
      </c>
      <c r="E597" s="4" t="s">
        <v>9</v>
      </c>
      <c r="F597" s="4" t="s">
        <v>25</v>
      </c>
      <c r="G597" s="4" t="s">
        <v>72</v>
      </c>
      <c r="H597" s="4"/>
      <c r="I597" s="4" t="s">
        <v>10</v>
      </c>
      <c r="J597" s="17" t="s">
        <v>3290</v>
      </c>
      <c r="K597" s="16">
        <v>39.450591579789794</v>
      </c>
      <c r="L597" s="16">
        <v>29.017710391524311</v>
      </c>
      <c r="M597" s="16">
        <v>88.63010059234044</v>
      </c>
      <c r="N597" s="16">
        <v>77.494558336000424</v>
      </c>
      <c r="O597" s="16">
        <v>58.848666100729318</v>
      </c>
      <c r="P597" s="16">
        <v>18.323932943889922</v>
      </c>
      <c r="Q597" s="16">
        <v>1.6653864679946451</v>
      </c>
    </row>
    <row r="598" spans="1:17" ht="12.75" x14ac:dyDescent="0.2">
      <c r="A598" s="4" t="s">
        <v>64</v>
      </c>
      <c r="B598" s="4" t="s">
        <v>82</v>
      </c>
      <c r="C598" s="4" t="s">
        <v>4519</v>
      </c>
      <c r="D598" s="4" t="s">
        <v>4520</v>
      </c>
      <c r="E598" s="4" t="s">
        <v>9</v>
      </c>
      <c r="F598" s="4" t="s">
        <v>25</v>
      </c>
      <c r="G598" s="4" t="s">
        <v>72</v>
      </c>
      <c r="H598" s="4"/>
      <c r="I598" s="4" t="s">
        <v>10</v>
      </c>
      <c r="J598" s="17" t="s">
        <v>3290</v>
      </c>
      <c r="K598" s="16">
        <v>71.342206237419347</v>
      </c>
      <c r="L598" s="16">
        <v>49.770446167340396</v>
      </c>
      <c r="M598" s="16">
        <v>68.031734699131491</v>
      </c>
      <c r="N598" s="16">
        <v>58.121512291499592</v>
      </c>
      <c r="O598" s="16">
        <v>9.3551158109388073</v>
      </c>
      <c r="P598" s="16">
        <v>86.393076703769182</v>
      </c>
      <c r="Q598" s="16">
        <v>91.625550514843866</v>
      </c>
    </row>
    <row r="599" spans="1:17" ht="12.75" x14ac:dyDescent="0.2">
      <c r="A599" s="4" t="s">
        <v>64</v>
      </c>
      <c r="B599" s="4" t="s">
        <v>82</v>
      </c>
      <c r="C599" s="4" t="s">
        <v>4521</v>
      </c>
      <c r="D599" s="4" t="s">
        <v>4522</v>
      </c>
      <c r="E599" s="4" t="s">
        <v>9</v>
      </c>
      <c r="F599" s="4" t="s">
        <v>18</v>
      </c>
      <c r="G599" s="4" t="s">
        <v>3280</v>
      </c>
      <c r="H599" s="4"/>
      <c r="I599" s="4" t="s">
        <v>10</v>
      </c>
      <c r="J599" s="17" t="s">
        <v>3290</v>
      </c>
      <c r="K599" s="16">
        <v>50.94317436232766</v>
      </c>
      <c r="L599" s="16">
        <v>49.298761508031895</v>
      </c>
      <c r="M599" s="16">
        <v>82.834570480020389</v>
      </c>
      <c r="N599" s="16">
        <v>96.042489852707249</v>
      </c>
      <c r="O599" s="16">
        <v>88.130351220240755</v>
      </c>
      <c r="P599" s="16">
        <v>79.185170885614767</v>
      </c>
      <c r="Q599" s="16">
        <v>27.716493840455026</v>
      </c>
    </row>
    <row r="600" spans="1:17" ht="12.75" x14ac:dyDescent="0.2">
      <c r="A600" s="4" t="s">
        <v>64</v>
      </c>
      <c r="B600" s="4" t="s">
        <v>82</v>
      </c>
      <c r="C600" s="4" t="s">
        <v>4523</v>
      </c>
      <c r="D600" s="4" t="s">
        <v>4524</v>
      </c>
      <c r="E600" s="4" t="s">
        <v>129</v>
      </c>
      <c r="F600" s="4" t="s">
        <v>18</v>
      </c>
      <c r="G600" s="4" t="s">
        <v>61</v>
      </c>
      <c r="H600" s="4" t="s">
        <v>10</v>
      </c>
      <c r="I600" s="4" t="s">
        <v>10</v>
      </c>
      <c r="J600" s="17" t="s">
        <v>3290</v>
      </c>
      <c r="K600" s="16">
        <v>57.178876826769752</v>
      </c>
      <c r="L600" s="16">
        <v>43.392990139232914</v>
      </c>
      <c r="M600" s="16">
        <v>71.765291884639709</v>
      </c>
      <c r="N600" s="16">
        <v>53.524206050080025</v>
      </c>
      <c r="O600" s="16">
        <v>68.13026053465245</v>
      </c>
      <c r="P600" s="16">
        <v>2.9464778254863266</v>
      </c>
      <c r="Q600" s="16">
        <v>30.280304893830813</v>
      </c>
    </row>
    <row r="601" spans="1:17" ht="12.75" x14ac:dyDescent="0.2">
      <c r="A601" s="4" t="s">
        <v>64</v>
      </c>
      <c r="B601" s="4" t="s">
        <v>95</v>
      </c>
      <c r="C601" s="4" t="s">
        <v>4525</v>
      </c>
      <c r="D601" s="4" t="s">
        <v>4526</v>
      </c>
      <c r="E601" s="4" t="s">
        <v>126</v>
      </c>
      <c r="F601" s="4" t="s">
        <v>18</v>
      </c>
      <c r="G601" s="4" t="s">
        <v>41</v>
      </c>
      <c r="H601" s="4"/>
      <c r="I601" s="4" t="s">
        <v>10</v>
      </c>
      <c r="J601" s="17" t="s">
        <v>3290</v>
      </c>
      <c r="K601" s="16">
        <v>11.615618437027454</v>
      </c>
      <c r="L601" s="16">
        <v>29.418892268871875</v>
      </c>
      <c r="M601" s="16">
        <v>90.959301840359331</v>
      </c>
      <c r="N601" s="16">
        <v>59.740612677215346</v>
      </c>
      <c r="O601" s="16">
        <v>5.9420393089320456</v>
      </c>
      <c r="P601" s="16">
        <v>66.069676823489459</v>
      </c>
      <c r="Q601" s="16">
        <v>82.172932443648875</v>
      </c>
    </row>
    <row r="602" spans="1:17" ht="12.75" x14ac:dyDescent="0.2">
      <c r="A602" s="4" t="s">
        <v>115</v>
      </c>
      <c r="B602" s="4" t="s">
        <v>134</v>
      </c>
      <c r="C602" s="4" t="s">
        <v>4527</v>
      </c>
      <c r="D602" s="4" t="s">
        <v>4528</v>
      </c>
      <c r="E602" s="4" t="s">
        <v>114</v>
      </c>
      <c r="F602" s="4" t="s">
        <v>25</v>
      </c>
      <c r="G602" s="4" t="s">
        <v>72</v>
      </c>
      <c r="I602" s="4" t="s">
        <v>10</v>
      </c>
      <c r="J602" s="17" t="s">
        <v>3290</v>
      </c>
      <c r="K602" s="16">
        <v>12.769908139929187</v>
      </c>
      <c r="L602" s="16">
        <v>24.690857347701623</v>
      </c>
      <c r="M602" s="16">
        <v>14.137610671493384</v>
      </c>
      <c r="N602" s="16">
        <v>80.607134620801389</v>
      </c>
      <c r="O602" s="16">
        <v>8.2552685749464274</v>
      </c>
      <c r="P602" s="16">
        <v>35.947461704063002</v>
      </c>
      <c r="Q602" s="16">
        <v>27.478469930287442</v>
      </c>
    </row>
    <row r="603" spans="1:17" ht="12.75" x14ac:dyDescent="0.2">
      <c r="A603" s="4" t="s">
        <v>136</v>
      </c>
      <c r="B603" s="4" t="s">
        <v>137</v>
      </c>
      <c r="C603" s="4" t="s">
        <v>4529</v>
      </c>
      <c r="D603" s="4" t="s">
        <v>4530</v>
      </c>
      <c r="E603" s="4" t="s">
        <v>46</v>
      </c>
      <c r="F603" s="4" t="s">
        <v>18</v>
      </c>
      <c r="G603" s="4" t="s">
        <v>41</v>
      </c>
      <c r="H603" s="4" t="s">
        <v>3959</v>
      </c>
      <c r="I603" s="4" t="s">
        <v>47</v>
      </c>
      <c r="J603" s="17" t="s">
        <v>3290</v>
      </c>
      <c r="K603" s="16">
        <v>16.208246481383139</v>
      </c>
      <c r="L603" s="16">
        <v>6.5306147128795349</v>
      </c>
      <c r="M603" s="16">
        <v>19.980613099314738</v>
      </c>
      <c r="N603" s="16">
        <v>69.444651505861344</v>
      </c>
      <c r="O603" s="16">
        <v>7.0676146452322559</v>
      </c>
      <c r="P603" s="16">
        <v>6.9645911272260825</v>
      </c>
      <c r="Q603" s="16">
        <v>32.513975303852163</v>
      </c>
    </row>
    <row r="604" spans="1:17" ht="12.75" x14ac:dyDescent="0.2">
      <c r="A604" s="4" t="s">
        <v>37</v>
      </c>
      <c r="B604" s="4" t="s">
        <v>52</v>
      </c>
      <c r="C604" s="4" t="s">
        <v>4531</v>
      </c>
      <c r="D604" s="4" t="s">
        <v>4532</v>
      </c>
      <c r="E604" s="4" t="s">
        <v>53</v>
      </c>
      <c r="F604" s="4" t="s">
        <v>11</v>
      </c>
      <c r="G604" s="4" t="s">
        <v>41</v>
      </c>
      <c r="H604" s="4"/>
      <c r="I604" s="4" t="s">
        <v>47</v>
      </c>
      <c r="J604" s="17" t="s">
        <v>3290</v>
      </c>
      <c r="K604" s="16">
        <v>73.409237662677384</v>
      </c>
      <c r="L604" s="16">
        <v>98.593995785336659</v>
      </c>
      <c r="M604" s="16">
        <v>78.507075827551503</v>
      </c>
      <c r="N604" s="16">
        <v>50.546731735911621</v>
      </c>
      <c r="O604" s="16">
        <v>74.223308277937576</v>
      </c>
      <c r="P604" s="16">
        <v>91.314798970979211</v>
      </c>
      <c r="Q604" s="16">
        <v>4.7660924806227083</v>
      </c>
    </row>
    <row r="605" spans="1:17" ht="12.75" x14ac:dyDescent="0.2">
      <c r="A605" s="4" t="s">
        <v>37</v>
      </c>
      <c r="B605" s="4" t="s">
        <v>52</v>
      </c>
      <c r="C605" s="4" t="s">
        <v>4533</v>
      </c>
      <c r="D605" s="4" t="s">
        <v>4534</v>
      </c>
      <c r="E605" s="4" t="s">
        <v>53</v>
      </c>
      <c r="F605" s="4" t="s">
        <v>11</v>
      </c>
      <c r="H605" s="4" t="s">
        <v>40</v>
      </c>
      <c r="I605" s="4" t="s">
        <v>47</v>
      </c>
      <c r="J605" s="17" t="s">
        <v>3290</v>
      </c>
      <c r="K605" s="16">
        <v>92.709601767736416</v>
      </c>
      <c r="L605" s="16">
        <v>53.101734428344784</v>
      </c>
      <c r="M605" s="16">
        <v>86.423794339514799</v>
      </c>
      <c r="N605" s="16">
        <v>36.170094442510127</v>
      </c>
      <c r="O605" s="16">
        <v>87.561603239342929</v>
      </c>
      <c r="P605" s="16">
        <v>88.977525040202124</v>
      </c>
      <c r="Q605" s="16">
        <v>9.6463742265100798</v>
      </c>
    </row>
    <row r="606" spans="1:17" ht="12.75" x14ac:dyDescent="0.2">
      <c r="A606" s="4" t="s">
        <v>37</v>
      </c>
      <c r="B606" s="4" t="s">
        <v>52</v>
      </c>
      <c r="C606" s="4" t="s">
        <v>4535</v>
      </c>
      <c r="D606" s="4" t="s">
        <v>4536</v>
      </c>
      <c r="E606" s="4" t="s">
        <v>53</v>
      </c>
      <c r="F606" s="4" t="s">
        <v>11</v>
      </c>
      <c r="H606" s="4" t="s">
        <v>40</v>
      </c>
      <c r="I606" s="4" t="s">
        <v>47</v>
      </c>
      <c r="J606" s="17" t="s">
        <v>3290</v>
      </c>
      <c r="K606" s="16">
        <v>77.018079091586571</v>
      </c>
      <c r="L606" s="16">
        <v>5.4300610800439468</v>
      </c>
      <c r="M606" s="16">
        <v>99.794193671327378</v>
      </c>
      <c r="N606" s="16">
        <v>46.61164916524114</v>
      </c>
      <c r="O606" s="16">
        <v>45.275377853552577</v>
      </c>
      <c r="P606" s="16">
        <v>41.022855410924954</v>
      </c>
      <c r="Q606" s="16">
        <v>48.793445517111756</v>
      </c>
    </row>
    <row r="607" spans="1:17" ht="12.75" x14ac:dyDescent="0.2">
      <c r="A607" s="4" t="s">
        <v>37</v>
      </c>
      <c r="B607" s="4" t="s">
        <v>52</v>
      </c>
      <c r="C607" s="4" t="s">
        <v>4537</v>
      </c>
      <c r="D607" s="4" t="s">
        <v>4538</v>
      </c>
      <c r="E607" s="4" t="s">
        <v>53</v>
      </c>
      <c r="F607" s="4" t="s">
        <v>11</v>
      </c>
      <c r="H607" s="4" t="s">
        <v>40</v>
      </c>
      <c r="I607" s="4" t="s">
        <v>47</v>
      </c>
      <c r="J607" s="17" t="s">
        <v>3290</v>
      </c>
      <c r="K607" s="16">
        <v>58.26435834801854</v>
      </c>
      <c r="L607" s="16">
        <v>86.380360041483797</v>
      </c>
      <c r="M607" s="16">
        <v>86.583586976303366</v>
      </c>
      <c r="N607" s="16">
        <v>4.6459003797120975</v>
      </c>
      <c r="O607" s="16">
        <v>29.970485404471869</v>
      </c>
      <c r="P607" s="16">
        <v>80.885049313696157</v>
      </c>
      <c r="Q607" s="16">
        <v>85.08732102861606</v>
      </c>
    </row>
    <row r="608" spans="1:17" ht="12.75" x14ac:dyDescent="0.2">
      <c r="A608" s="4" t="s">
        <v>37</v>
      </c>
      <c r="B608" s="4" t="s">
        <v>52</v>
      </c>
      <c r="C608" s="4" t="s">
        <v>4539</v>
      </c>
      <c r="D608" s="4" t="s">
        <v>4540</v>
      </c>
      <c r="E608" s="4" t="s">
        <v>53</v>
      </c>
      <c r="F608" s="4" t="s">
        <v>32</v>
      </c>
      <c r="G608" s="4" t="s">
        <v>41</v>
      </c>
      <c r="H608" s="4"/>
      <c r="I608" s="4" t="s">
        <v>47</v>
      </c>
      <c r="J608" s="17" t="s">
        <v>3290</v>
      </c>
      <c r="K608" s="16">
        <v>87.474843298169205</v>
      </c>
      <c r="L608" s="16">
        <v>8.2992254864832642</v>
      </c>
      <c r="M608" s="16">
        <v>49.524260317256349</v>
      </c>
      <c r="N608" s="16">
        <v>76.623341439582418</v>
      </c>
      <c r="O608" s="16">
        <v>16.386638915204411</v>
      </c>
      <c r="P608" s="16">
        <v>15.407724524714816</v>
      </c>
      <c r="Q608" s="16">
        <v>88.909667627206176</v>
      </c>
    </row>
    <row r="609" spans="1:17" ht="12.75" x14ac:dyDescent="0.2">
      <c r="A609" s="4" t="s">
        <v>37</v>
      </c>
      <c r="B609" s="4" t="s">
        <v>52</v>
      </c>
      <c r="C609" s="4" t="s">
        <v>4541</v>
      </c>
      <c r="D609" s="4" t="s">
        <v>4542</v>
      </c>
      <c r="E609" s="4" t="s">
        <v>53</v>
      </c>
      <c r="F609" s="4" t="s">
        <v>11</v>
      </c>
      <c r="G609" s="4" t="s">
        <v>41</v>
      </c>
      <c r="H609" s="4"/>
      <c r="I609" s="4" t="s">
        <v>47</v>
      </c>
      <c r="J609" s="17" t="s">
        <v>3290</v>
      </c>
      <c r="K609" s="16">
        <v>8.023945090442286</v>
      </c>
      <c r="L609" s="16">
        <v>46.295541630784939</v>
      </c>
      <c r="M609" s="16">
        <v>18.653307337655146</v>
      </c>
      <c r="N609" s="16">
        <v>53.546638740990019</v>
      </c>
      <c r="O609" s="16">
        <v>84.088322504675858</v>
      </c>
      <c r="P609" s="16">
        <v>90.481928432286352</v>
      </c>
      <c r="Q609" s="16">
        <v>81.547258642429426</v>
      </c>
    </row>
    <row r="610" spans="1:17" ht="12.75" x14ac:dyDescent="0.2">
      <c r="A610" s="4" t="s">
        <v>37</v>
      </c>
      <c r="B610" s="4" t="s">
        <v>52</v>
      </c>
      <c r="C610" s="4" t="s">
        <v>4543</v>
      </c>
      <c r="D610" s="4" t="s">
        <v>4544</v>
      </c>
      <c r="E610" s="4" t="s">
        <v>53</v>
      </c>
      <c r="F610" s="4" t="s">
        <v>11</v>
      </c>
      <c r="G610" s="4" t="s">
        <v>41</v>
      </c>
      <c r="H610" s="4"/>
      <c r="I610" s="4" t="s">
        <v>47</v>
      </c>
      <c r="J610" s="17" t="s">
        <v>3290</v>
      </c>
      <c r="K610" s="16">
        <v>19.557003326444821</v>
      </c>
      <c r="L610" s="16">
        <v>20.695080009940327</v>
      </c>
      <c r="M610" s="16">
        <v>66.764192769396615</v>
      </c>
      <c r="N610" s="16">
        <v>32.846101425427833</v>
      </c>
      <c r="O610" s="16">
        <v>87.606929923896928</v>
      </c>
      <c r="P610" s="16">
        <v>98.835233461793166</v>
      </c>
      <c r="Q610" s="16">
        <v>94.657528479122789</v>
      </c>
    </row>
    <row r="611" spans="1:17" ht="12.75" x14ac:dyDescent="0.2">
      <c r="A611" s="4" t="s">
        <v>37</v>
      </c>
      <c r="B611" s="4" t="s">
        <v>52</v>
      </c>
      <c r="C611" s="4" t="s">
        <v>4545</v>
      </c>
      <c r="D611" s="4" t="s">
        <v>4546</v>
      </c>
      <c r="E611" s="4" t="s">
        <v>53</v>
      </c>
      <c r="F611" s="4" t="s">
        <v>32</v>
      </c>
      <c r="G611" s="4" t="s">
        <v>41</v>
      </c>
      <c r="H611" s="4"/>
      <c r="I611" s="4" t="s">
        <v>47</v>
      </c>
      <c r="J611" s="17" t="s">
        <v>3290</v>
      </c>
      <c r="K611" s="16">
        <v>84.249325580142269</v>
      </c>
      <c r="L611" s="16">
        <v>63.575433584296562</v>
      </c>
      <c r="M611" s="16">
        <v>97.163695729427744</v>
      </c>
      <c r="N611" s="16">
        <v>29.573986463629776</v>
      </c>
      <c r="O611" s="16">
        <v>95.90443315549318</v>
      </c>
      <c r="P611" s="16">
        <v>15.721603674417739</v>
      </c>
      <c r="Q611" s="16">
        <v>1.7731264201435781</v>
      </c>
    </row>
    <row r="612" spans="1:17" ht="12.75" x14ac:dyDescent="0.2">
      <c r="A612" s="4" t="s">
        <v>37</v>
      </c>
      <c r="B612" s="4" t="s">
        <v>52</v>
      </c>
      <c r="C612" s="4" t="s">
        <v>4547</v>
      </c>
      <c r="D612" s="4" t="s">
        <v>4548</v>
      </c>
      <c r="E612" s="4" t="s">
        <v>53</v>
      </c>
      <c r="F612" s="4" t="s">
        <v>32</v>
      </c>
      <c r="G612" s="4" t="s">
        <v>41</v>
      </c>
      <c r="I612" s="4" t="s">
        <v>47</v>
      </c>
      <c r="J612" s="17" t="s">
        <v>3290</v>
      </c>
      <c r="K612" s="16">
        <v>95.360018276949006</v>
      </c>
      <c r="L612" s="16">
        <v>73.255686007870807</v>
      </c>
      <c r="M612" s="16">
        <v>53.887993932447607</v>
      </c>
      <c r="N612" s="16">
        <v>69.733082509761601</v>
      </c>
      <c r="O612" s="16">
        <v>44.58833464851034</v>
      </c>
      <c r="P612" s="16">
        <v>88.419619920694686</v>
      </c>
      <c r="Q612" s="16">
        <v>96.760106468595907</v>
      </c>
    </row>
    <row r="613" spans="1:17" ht="12.75" x14ac:dyDescent="0.2">
      <c r="A613" s="4" t="s">
        <v>37</v>
      </c>
      <c r="B613" s="4" t="s">
        <v>52</v>
      </c>
      <c r="C613" s="4" t="s">
        <v>4549</v>
      </c>
      <c r="D613" s="4" t="s">
        <v>4550</v>
      </c>
      <c r="E613" s="4" t="s">
        <v>53</v>
      </c>
      <c r="F613" s="4" t="s">
        <v>18</v>
      </c>
      <c r="H613" s="4" t="s">
        <v>40</v>
      </c>
      <c r="I613" s="4" t="s">
        <v>47</v>
      </c>
      <c r="J613" s="17" t="s">
        <v>3290</v>
      </c>
      <c r="K613" s="16">
        <v>66.152172890356837</v>
      </c>
      <c r="L613" s="16">
        <v>94.0340253258491</v>
      </c>
      <c r="M613" s="16">
        <v>70.079295017494346</v>
      </c>
      <c r="N613" s="16">
        <v>52.130355727405856</v>
      </c>
      <c r="O613" s="16">
        <v>84.508169416822142</v>
      </c>
      <c r="P613" s="16">
        <v>10.253789959972636</v>
      </c>
      <c r="Q613" s="16">
        <v>97.671301662522794</v>
      </c>
    </row>
    <row r="614" spans="1:17" ht="12.75" x14ac:dyDescent="0.2">
      <c r="A614" s="4" t="s">
        <v>37</v>
      </c>
      <c r="B614" s="4" t="s">
        <v>52</v>
      </c>
      <c r="C614" s="4" t="s">
        <v>4551</v>
      </c>
      <c r="D614" s="4" t="s">
        <v>4552</v>
      </c>
      <c r="E614" s="4" t="s">
        <v>135</v>
      </c>
      <c r="F614" s="4" t="s">
        <v>18</v>
      </c>
      <c r="G614" s="4" t="s">
        <v>19</v>
      </c>
      <c r="H614" s="4" t="s">
        <v>10</v>
      </c>
      <c r="I614" s="4" t="s">
        <v>10</v>
      </c>
      <c r="J614" s="17" t="s">
        <v>3290</v>
      </c>
      <c r="K614" s="16">
        <v>77.833340286659137</v>
      </c>
      <c r="L614" s="16">
        <v>79.133998609930032</v>
      </c>
      <c r="M614" s="16">
        <v>63.982263492487903</v>
      </c>
      <c r="N614" s="16">
        <v>69.107454541974377</v>
      </c>
      <c r="O614" s="16">
        <v>54.127431210005703</v>
      </c>
      <c r="P614" s="16">
        <v>80.447240961867664</v>
      </c>
      <c r="Q614" s="16">
        <v>62.819041830860655</v>
      </c>
    </row>
    <row r="615" spans="1:17" ht="12.75" x14ac:dyDescent="0.2">
      <c r="A615" s="4" t="s">
        <v>136</v>
      </c>
      <c r="B615" s="4" t="s">
        <v>137</v>
      </c>
      <c r="C615" s="4" t="s">
        <v>4553</v>
      </c>
      <c r="D615" s="4" t="s">
        <v>4554</v>
      </c>
      <c r="E615" s="4" t="s">
        <v>46</v>
      </c>
      <c r="F615" s="4" t="s">
        <v>11</v>
      </c>
      <c r="G615" s="4" t="s">
        <v>41</v>
      </c>
      <c r="H615" s="4"/>
      <c r="I615" s="4" t="s">
        <v>47</v>
      </c>
      <c r="J615" s="17" t="s">
        <v>3290</v>
      </c>
      <c r="K615" s="16">
        <v>61.115968708105648</v>
      </c>
      <c r="L615" s="16">
        <v>7.9417401602216326</v>
      </c>
      <c r="M615" s="16">
        <v>41.020829716646631</v>
      </c>
      <c r="N615" s="16">
        <v>67.014856340837696</v>
      </c>
      <c r="O615" s="16">
        <v>17.44250337120231</v>
      </c>
      <c r="P615" s="16">
        <v>17.26624399281652</v>
      </c>
      <c r="Q615" s="16">
        <v>30.202700943931681</v>
      </c>
    </row>
    <row r="616" spans="1:17" ht="12.75" x14ac:dyDescent="0.2">
      <c r="A616" s="4" t="s">
        <v>136</v>
      </c>
      <c r="B616" s="4" t="s">
        <v>137</v>
      </c>
      <c r="C616" s="4" t="s">
        <v>4555</v>
      </c>
      <c r="D616" s="4" t="s">
        <v>4556</v>
      </c>
      <c r="E616" s="4" t="s">
        <v>46</v>
      </c>
      <c r="F616" s="4" t="s">
        <v>25</v>
      </c>
      <c r="G616" s="4"/>
      <c r="H616" s="4" t="s">
        <v>4012</v>
      </c>
      <c r="I616" s="4" t="s">
        <v>47</v>
      </c>
      <c r="J616" s="17" t="s">
        <v>3290</v>
      </c>
      <c r="K616" s="16">
        <v>41.243204760845352</v>
      </c>
      <c r="L616" s="16">
        <v>7.1996689158836169</v>
      </c>
      <c r="M616" s="16">
        <v>8.4827657238374936</v>
      </c>
      <c r="N616" s="16">
        <v>59.26070886231264</v>
      </c>
      <c r="O616" s="16">
        <v>85.204823204509538</v>
      </c>
      <c r="P616" s="16">
        <v>96.758345050394652</v>
      </c>
      <c r="Q616" s="16">
        <v>40.240256062195435</v>
      </c>
    </row>
    <row r="617" spans="1:17" ht="12.75" x14ac:dyDescent="0.2">
      <c r="A617" s="4" t="s">
        <v>136</v>
      </c>
      <c r="B617" s="4" t="s">
        <v>137</v>
      </c>
      <c r="C617" s="4" t="s">
        <v>4557</v>
      </c>
      <c r="D617" s="4" t="s">
        <v>4558</v>
      </c>
      <c r="E617" s="4" t="s">
        <v>46</v>
      </c>
      <c r="F617" s="4" t="s">
        <v>11</v>
      </c>
      <c r="G617" s="4" t="s">
        <v>61</v>
      </c>
      <c r="I617" s="4" t="s">
        <v>47</v>
      </c>
      <c r="J617" s="17" t="s">
        <v>3290</v>
      </c>
      <c r="K617" s="16">
        <v>40.170472386631332</v>
      </c>
      <c r="L617" s="16">
        <v>34.314712830473724</v>
      </c>
      <c r="M617" s="16">
        <v>41.599619727209024</v>
      </c>
      <c r="N617" s="16">
        <v>73.659840843483011</v>
      </c>
      <c r="O617" s="16">
        <v>70.691929536978307</v>
      </c>
      <c r="P617" s="16">
        <v>75.934833568013289</v>
      </c>
      <c r="Q617" s="16">
        <v>24.803203968369569</v>
      </c>
    </row>
    <row r="618" spans="1:17" ht="12.75" x14ac:dyDescent="0.2">
      <c r="A618" s="4" t="s">
        <v>136</v>
      </c>
      <c r="B618" s="4" t="s">
        <v>137</v>
      </c>
      <c r="C618" s="4" t="s">
        <v>4559</v>
      </c>
      <c r="D618" s="4" t="s">
        <v>4560</v>
      </c>
      <c r="E618" s="4" t="s">
        <v>46</v>
      </c>
      <c r="F618" s="4" t="s">
        <v>18</v>
      </c>
      <c r="G618" s="4" t="s">
        <v>12</v>
      </c>
      <c r="H618" s="4" t="s">
        <v>3959</v>
      </c>
      <c r="I618" s="4" t="s">
        <v>47</v>
      </c>
      <c r="J618" s="17" t="s">
        <v>3290</v>
      </c>
      <c r="K618" s="16">
        <v>86.1902735519554</v>
      </c>
      <c r="L618" s="16">
        <v>72.940626991109042</v>
      </c>
      <c r="M618" s="16">
        <v>22.694068044089168</v>
      </c>
      <c r="N618" s="16">
        <v>79.044583775565982</v>
      </c>
      <c r="O618" s="16">
        <v>89.823909764498794</v>
      </c>
      <c r="P618" s="16">
        <v>71.63804658711075</v>
      </c>
      <c r="Q618" s="16">
        <v>83.496242184912489</v>
      </c>
    </row>
    <row r="619" spans="1:17" ht="12.75" x14ac:dyDescent="0.2">
      <c r="A619" s="4" t="s">
        <v>136</v>
      </c>
      <c r="B619" s="4" t="s">
        <v>137</v>
      </c>
      <c r="C619" s="4" t="s">
        <v>4561</v>
      </c>
      <c r="D619" s="4" t="s">
        <v>4562</v>
      </c>
      <c r="E619" s="4" t="s">
        <v>46</v>
      </c>
      <c r="F619" s="4" t="s">
        <v>11</v>
      </c>
      <c r="G619" s="4" t="s">
        <v>41</v>
      </c>
      <c r="H619" s="4"/>
      <c r="I619" s="4" t="s">
        <v>47</v>
      </c>
      <c r="J619" s="17" t="s">
        <v>3290</v>
      </c>
      <c r="K619" s="16">
        <v>96.561323182766259</v>
      </c>
      <c r="L619" s="16">
        <v>9.5551640803538067</v>
      </c>
      <c r="M619" s="16">
        <v>46.549331578603216</v>
      </c>
      <c r="N619" s="16">
        <v>94.762568881409976</v>
      </c>
      <c r="O619" s="16">
        <v>38.061089737215234</v>
      </c>
      <c r="P619" s="16">
        <v>19.251763603138084</v>
      </c>
      <c r="Q619" s="16">
        <v>68.165678829829616</v>
      </c>
    </row>
    <row r="620" spans="1:17" ht="12.75" x14ac:dyDescent="0.2">
      <c r="A620" s="4" t="s">
        <v>136</v>
      </c>
      <c r="B620" s="4" t="s">
        <v>137</v>
      </c>
      <c r="C620" s="4" t="s">
        <v>4563</v>
      </c>
      <c r="D620" s="4" t="s">
        <v>4564</v>
      </c>
      <c r="E620" s="4" t="s">
        <v>46</v>
      </c>
      <c r="F620" s="4" t="s">
        <v>18</v>
      </c>
      <c r="G620" s="4" t="s">
        <v>19</v>
      </c>
      <c r="H620" s="4" t="s">
        <v>3959</v>
      </c>
      <c r="I620" s="4" t="s">
        <v>47</v>
      </c>
      <c r="J620" s="17" t="s">
        <v>3290</v>
      </c>
      <c r="K620" s="16">
        <v>62.593708167548577</v>
      </c>
      <c r="L620" s="16">
        <v>34.402189639904002</v>
      </c>
      <c r="M620" s="16">
        <v>45.628267791599363</v>
      </c>
      <c r="N620" s="16">
        <v>34.323161392765535</v>
      </c>
      <c r="O620" s="16">
        <v>69.50097878543481</v>
      </c>
      <c r="P620" s="16">
        <v>70.894093975979686</v>
      </c>
      <c r="Q620" s="16">
        <v>69.41586813231045</v>
      </c>
    </row>
    <row r="621" spans="1:17" ht="12.75" x14ac:dyDescent="0.2">
      <c r="A621" s="4" t="s">
        <v>136</v>
      </c>
      <c r="B621" s="4" t="s">
        <v>137</v>
      </c>
      <c r="C621" s="4" t="s">
        <v>4565</v>
      </c>
      <c r="D621" s="4" t="s">
        <v>4566</v>
      </c>
      <c r="E621" s="4" t="s">
        <v>46</v>
      </c>
      <c r="F621" s="4" t="s">
        <v>18</v>
      </c>
      <c r="G621" s="4" t="s">
        <v>61</v>
      </c>
      <c r="H621" s="4" t="s">
        <v>3959</v>
      </c>
      <c r="I621" s="4" t="s">
        <v>47</v>
      </c>
      <c r="J621" s="17" t="s">
        <v>3290</v>
      </c>
      <c r="K621" s="16">
        <v>69.184254981311028</v>
      </c>
      <c r="L621" s="16">
        <v>35.43595935868705</v>
      </c>
      <c r="M621" s="16">
        <v>83.569320083775267</v>
      </c>
      <c r="N621" s="16">
        <v>70.161279466391548</v>
      </c>
      <c r="O621" s="16">
        <v>35.621325176719139</v>
      </c>
      <c r="P621" s="16">
        <v>34.071311951368266</v>
      </c>
      <c r="Q621" s="16">
        <v>32.723174117958997</v>
      </c>
    </row>
    <row r="622" spans="1:17" ht="12.75" x14ac:dyDescent="0.2">
      <c r="A622" s="4" t="s">
        <v>136</v>
      </c>
      <c r="B622" s="4" t="s">
        <v>137</v>
      </c>
      <c r="C622" s="4" t="s">
        <v>4567</v>
      </c>
      <c r="D622" s="4" t="s">
        <v>4568</v>
      </c>
      <c r="E622" s="4" t="s">
        <v>46</v>
      </c>
      <c r="F622" s="4" t="s">
        <v>18</v>
      </c>
      <c r="G622" s="4" t="s">
        <v>41</v>
      </c>
      <c r="H622" s="4" t="s">
        <v>3959</v>
      </c>
      <c r="I622" s="4" t="s">
        <v>47</v>
      </c>
      <c r="J622" s="17" t="s">
        <v>3290</v>
      </c>
      <c r="K622" s="16">
        <v>66.180648588264006</v>
      </c>
      <c r="L622" s="16">
        <v>49.724781551538854</v>
      </c>
      <c r="M622" s="16">
        <v>15.609541012420747</v>
      </c>
      <c r="N622" s="16">
        <v>25.203713325214771</v>
      </c>
      <c r="O622" s="16">
        <v>7.1682727302636806</v>
      </c>
      <c r="P622" s="16">
        <v>79.945330108564391</v>
      </c>
      <c r="Q622" s="16">
        <v>45.516873640286214</v>
      </c>
    </row>
    <row r="623" spans="1:17" ht="12.75" x14ac:dyDescent="0.2">
      <c r="A623" s="4" t="s">
        <v>136</v>
      </c>
      <c r="B623" s="4" t="s">
        <v>137</v>
      </c>
      <c r="C623" s="4" t="s">
        <v>4569</v>
      </c>
      <c r="D623" s="4" t="s">
        <v>4570</v>
      </c>
      <c r="E623" s="4" t="s">
        <v>46</v>
      </c>
      <c r="F623" s="4" t="s">
        <v>18</v>
      </c>
      <c r="G623" s="4" t="s">
        <v>41</v>
      </c>
      <c r="H623" s="4"/>
      <c r="I623" s="4" t="s">
        <v>47</v>
      </c>
      <c r="J623" s="17" t="s">
        <v>3290</v>
      </c>
      <c r="K623" s="16">
        <v>42.325328447652097</v>
      </c>
      <c r="L623" s="16">
        <v>31.793880240720974</v>
      </c>
      <c r="M623" s="16">
        <v>43.462412984182251</v>
      </c>
      <c r="N623" s="16">
        <v>10.430901548776427</v>
      </c>
      <c r="O623" s="16">
        <v>16.208170512573126</v>
      </c>
      <c r="P623" s="16">
        <v>68.983286341663245</v>
      </c>
      <c r="Q623" s="16">
        <v>44.256558904585511</v>
      </c>
    </row>
    <row r="624" spans="1:17" ht="12.75" x14ac:dyDescent="0.2">
      <c r="A624" s="4" t="s">
        <v>136</v>
      </c>
      <c r="B624" s="4" t="s">
        <v>137</v>
      </c>
      <c r="C624" s="4" t="s">
        <v>4571</v>
      </c>
      <c r="D624" s="4" t="s">
        <v>4572</v>
      </c>
      <c r="E624" s="4" t="s">
        <v>46</v>
      </c>
      <c r="F624" s="4" t="s">
        <v>18</v>
      </c>
      <c r="G624" s="4" t="s">
        <v>41</v>
      </c>
      <c r="H624" s="4" t="s">
        <v>3959</v>
      </c>
      <c r="I624" s="4" t="s">
        <v>47</v>
      </c>
      <c r="J624" s="17" t="s">
        <v>3290</v>
      </c>
      <c r="K624" s="16">
        <v>49.932972406271588</v>
      </c>
      <c r="L624" s="16">
        <v>42.822872873505524</v>
      </c>
      <c r="M624" s="16">
        <v>9.895220948002903</v>
      </c>
      <c r="N624" s="16">
        <v>35.407741006359025</v>
      </c>
      <c r="O624" s="16">
        <v>44.212527828877498</v>
      </c>
      <c r="P624" s="16">
        <v>62.164613743260375</v>
      </c>
      <c r="Q624" s="16">
        <v>64.279272915071147</v>
      </c>
    </row>
    <row r="625" spans="1:17" ht="12.75" x14ac:dyDescent="0.2">
      <c r="A625" s="4" t="s">
        <v>136</v>
      </c>
      <c r="B625" s="4" t="s">
        <v>137</v>
      </c>
      <c r="C625" s="4" t="s">
        <v>4573</v>
      </c>
      <c r="D625" s="4" t="s">
        <v>4574</v>
      </c>
      <c r="E625" s="4" t="s">
        <v>46</v>
      </c>
      <c r="F625" s="4" t="s">
        <v>18</v>
      </c>
      <c r="G625" s="4" t="s">
        <v>61</v>
      </c>
      <c r="H625" s="4" t="s">
        <v>3959</v>
      </c>
      <c r="I625" s="4" t="s">
        <v>47</v>
      </c>
      <c r="J625" s="17" t="s">
        <v>3290</v>
      </c>
      <c r="K625" s="16">
        <v>40.912704366442398</v>
      </c>
      <c r="L625" s="16">
        <v>69.888618432849853</v>
      </c>
      <c r="M625" s="16">
        <v>28.730870756951553</v>
      </c>
      <c r="N625" s="16">
        <v>38.465667705605824</v>
      </c>
      <c r="O625" s="16">
        <v>4.2412761550594151</v>
      </c>
      <c r="P625" s="16">
        <v>54.756884947080323</v>
      </c>
      <c r="Q625" s="16">
        <v>16.436381661640954</v>
      </c>
    </row>
    <row r="626" spans="1:17" ht="12.75" x14ac:dyDescent="0.2">
      <c r="A626" s="4" t="s">
        <v>136</v>
      </c>
      <c r="B626" s="4" t="s">
        <v>137</v>
      </c>
      <c r="C626" s="4" t="s">
        <v>4575</v>
      </c>
      <c r="D626" s="4" t="s">
        <v>4576</v>
      </c>
      <c r="E626" s="4" t="s">
        <v>46</v>
      </c>
      <c r="F626" s="4" t="s">
        <v>18</v>
      </c>
      <c r="G626" s="4" t="s">
        <v>41</v>
      </c>
      <c r="H626" s="4" t="s">
        <v>3959</v>
      </c>
      <c r="I626" s="4" t="s">
        <v>47</v>
      </c>
      <c r="J626" s="17" t="s">
        <v>3290</v>
      </c>
      <c r="K626" s="16">
        <v>83.145338782371581</v>
      </c>
      <c r="L626" s="16">
        <v>2.5535879437598719</v>
      </c>
      <c r="M626" s="16">
        <v>84.790242564583124</v>
      </c>
      <c r="N626" s="16">
        <v>66.168808970112352</v>
      </c>
      <c r="O626" s="16">
        <v>26.13700692016717</v>
      </c>
      <c r="P626" s="16">
        <v>76.730086526641614</v>
      </c>
      <c r="Q626" s="16">
        <v>6.5787535932416263</v>
      </c>
    </row>
    <row r="627" spans="1:17" ht="12.75" x14ac:dyDescent="0.2">
      <c r="A627" s="4" t="s">
        <v>136</v>
      </c>
      <c r="B627" s="4" t="s">
        <v>137</v>
      </c>
      <c r="C627" s="4" t="s">
        <v>4577</v>
      </c>
      <c r="D627" s="4" t="s">
        <v>4578</v>
      </c>
      <c r="E627" s="4" t="s">
        <v>46</v>
      </c>
      <c r="F627" s="4" t="s">
        <v>18</v>
      </c>
      <c r="G627" s="4" t="s">
        <v>41</v>
      </c>
      <c r="H627" s="4"/>
      <c r="I627" s="4" t="s">
        <v>47</v>
      </c>
      <c r="J627" s="17" t="s">
        <v>3290</v>
      </c>
      <c r="K627" s="16">
        <v>94.251698520492027</v>
      </c>
      <c r="L627" s="16">
        <v>90.170480244704095</v>
      </c>
      <c r="M627" s="16">
        <v>1.3228221307550525</v>
      </c>
      <c r="N627" s="16">
        <v>29.372023294804894</v>
      </c>
      <c r="O627" s="16">
        <v>96.569504255879366</v>
      </c>
      <c r="P627" s="16">
        <v>48.814335691318568</v>
      </c>
      <c r="Q627" s="16">
        <v>81.08359781986286</v>
      </c>
    </row>
    <row r="628" spans="1:17" ht="12.75" x14ac:dyDescent="0.2">
      <c r="A628" s="4" t="s">
        <v>136</v>
      </c>
      <c r="B628" s="4" t="s">
        <v>137</v>
      </c>
      <c r="C628" s="4" t="s">
        <v>4579</v>
      </c>
      <c r="D628" s="4" t="s">
        <v>4580</v>
      </c>
      <c r="E628" s="4" t="s">
        <v>46</v>
      </c>
      <c r="F628" s="4" t="s">
        <v>18</v>
      </c>
      <c r="G628" s="4" t="s">
        <v>41</v>
      </c>
      <c r="H628" s="4" t="s">
        <v>3959</v>
      </c>
      <c r="I628" s="4" t="s">
        <v>47</v>
      </c>
      <c r="J628" s="17" t="s">
        <v>3290</v>
      </c>
      <c r="K628" s="16">
        <v>77.806452801590993</v>
      </c>
      <c r="L628" s="16">
        <v>40.48280703567967</v>
      </c>
      <c r="M628" s="16">
        <v>11.071347940526389</v>
      </c>
      <c r="N628" s="16">
        <v>76.405150740650612</v>
      </c>
      <c r="O628" s="16">
        <v>64.72208190366338</v>
      </c>
      <c r="P628" s="16">
        <v>45.217566818928169</v>
      </c>
      <c r="Q628" s="16">
        <v>55.199062829131421</v>
      </c>
    </row>
    <row r="629" spans="1:17" ht="12.75" x14ac:dyDescent="0.2">
      <c r="A629" s="4" t="s">
        <v>136</v>
      </c>
      <c r="B629" s="4" t="s">
        <v>137</v>
      </c>
      <c r="C629" s="4" t="s">
        <v>4581</v>
      </c>
      <c r="D629" s="4" t="s">
        <v>4582</v>
      </c>
      <c r="E629" s="4" t="s">
        <v>46</v>
      </c>
      <c r="F629" s="4" t="s">
        <v>18</v>
      </c>
      <c r="G629" s="4" t="s">
        <v>41</v>
      </c>
      <c r="H629" s="4" t="s">
        <v>3959</v>
      </c>
      <c r="I629" s="4" t="s">
        <v>47</v>
      </c>
      <c r="J629" s="17" t="s">
        <v>3290</v>
      </c>
      <c r="K629" s="16">
        <v>50.455976351085866</v>
      </c>
      <c r="L629" s="16">
        <v>66.714590507981214</v>
      </c>
      <c r="M629" s="16">
        <v>65.294983553120659</v>
      </c>
      <c r="N629" s="16">
        <v>56.975279371924117</v>
      </c>
      <c r="O629" s="16">
        <v>66.34075680792337</v>
      </c>
      <c r="P629" s="16">
        <v>59.279773076047157</v>
      </c>
      <c r="Q629" s="16">
        <v>13.344231911337401</v>
      </c>
    </row>
    <row r="630" spans="1:17" ht="12.75" x14ac:dyDescent="0.2">
      <c r="A630" s="4" t="s">
        <v>136</v>
      </c>
      <c r="B630" s="4" t="s">
        <v>137</v>
      </c>
      <c r="C630" s="4" t="s">
        <v>4583</v>
      </c>
      <c r="D630" s="4" t="s">
        <v>4584</v>
      </c>
      <c r="E630" s="4" t="s">
        <v>46</v>
      </c>
      <c r="F630" s="4" t="s">
        <v>18</v>
      </c>
      <c r="G630" s="4" t="s">
        <v>41</v>
      </c>
      <c r="H630" s="4" t="s">
        <v>3959</v>
      </c>
      <c r="I630" s="4" t="s">
        <v>47</v>
      </c>
      <c r="J630" s="17" t="s">
        <v>3290</v>
      </c>
      <c r="K630" s="16">
        <v>29.557893681596759</v>
      </c>
      <c r="L630" s="16">
        <v>74.260614887908957</v>
      </c>
      <c r="M630" s="16">
        <v>70.74453157335418</v>
      </c>
      <c r="N630" s="16">
        <v>7.9289155681668717</v>
      </c>
      <c r="O630" s="16">
        <v>70.44665421079209</v>
      </c>
      <c r="P630" s="16">
        <v>45.556399079032431</v>
      </c>
      <c r="Q630" s="16">
        <v>23.425457201328992</v>
      </c>
    </row>
    <row r="631" spans="1:17" ht="12.75" x14ac:dyDescent="0.2">
      <c r="A631" s="4" t="s">
        <v>136</v>
      </c>
      <c r="B631" s="4" t="s">
        <v>137</v>
      </c>
      <c r="C631" s="4" t="s">
        <v>4585</v>
      </c>
      <c r="D631" s="4" t="s">
        <v>4586</v>
      </c>
      <c r="E631" s="4" t="s">
        <v>135</v>
      </c>
      <c r="F631" s="4" t="s">
        <v>25</v>
      </c>
      <c r="G631" s="4" t="s">
        <v>41</v>
      </c>
      <c r="H631" s="4"/>
      <c r="I631" s="4" t="s">
        <v>10</v>
      </c>
      <c r="J631" s="17" t="s">
        <v>3290</v>
      </c>
      <c r="K631" s="16">
        <v>24.538835801811487</v>
      </c>
      <c r="L631" s="16">
        <v>54.920606271109506</v>
      </c>
      <c r="M631" s="16">
        <v>86.9365124885054</v>
      </c>
      <c r="N631" s="16">
        <v>97.370356439474406</v>
      </c>
      <c r="O631" s="16">
        <v>96.343467624144324</v>
      </c>
      <c r="P631" s="16">
        <v>26.951903806190746</v>
      </c>
      <c r="Q631" s="16">
        <v>32.229630110484806</v>
      </c>
    </row>
    <row r="632" spans="1:17" ht="12.75" x14ac:dyDescent="0.2">
      <c r="A632" s="4" t="s">
        <v>64</v>
      </c>
      <c r="B632" s="4" t="s">
        <v>82</v>
      </c>
      <c r="C632" s="4" t="s">
        <v>4587</v>
      </c>
      <c r="D632" s="4" t="s">
        <v>4588</v>
      </c>
      <c r="E632" s="4" t="s">
        <v>39</v>
      </c>
      <c r="F632" s="4" t="s">
        <v>11</v>
      </c>
      <c r="G632" s="4" t="s">
        <v>26</v>
      </c>
      <c r="H632" s="4"/>
      <c r="I632" s="4" t="s">
        <v>40</v>
      </c>
      <c r="J632" s="17" t="s">
        <v>3290</v>
      </c>
      <c r="K632" s="16">
        <v>22.20347830498962</v>
      </c>
      <c r="L632" s="16">
        <v>22.920683777312011</v>
      </c>
      <c r="M632" s="16">
        <v>47.050088134503213</v>
      </c>
      <c r="N632" s="16">
        <v>42.499387383900768</v>
      </c>
      <c r="O632" s="16">
        <v>86.26153494113197</v>
      </c>
      <c r="P632" s="16">
        <v>82.274729517283077</v>
      </c>
      <c r="Q632" s="16">
        <v>92.253707310198436</v>
      </c>
    </row>
    <row r="633" spans="1:17" ht="12.75" x14ac:dyDescent="0.2">
      <c r="A633" s="4" t="s">
        <v>64</v>
      </c>
      <c r="B633" s="4" t="s">
        <v>95</v>
      </c>
      <c r="C633" s="4" t="s">
        <v>4589</v>
      </c>
      <c r="D633" s="4" t="s">
        <v>4590</v>
      </c>
      <c r="E633" s="4" t="s">
        <v>126</v>
      </c>
      <c r="F633" s="4" t="s">
        <v>18</v>
      </c>
      <c r="G633" s="4" t="s">
        <v>41</v>
      </c>
      <c r="H633" s="4"/>
      <c r="I633" s="4" t="s">
        <v>10</v>
      </c>
      <c r="J633" s="17" t="s">
        <v>3290</v>
      </c>
      <c r="K633" s="16">
        <v>42.987364614286292</v>
      </c>
      <c r="L633" s="16">
        <v>0.90467217319223359</v>
      </c>
      <c r="M633" s="16">
        <v>54.105684185591144</v>
      </c>
      <c r="N633" s="16">
        <v>81.00565416561534</v>
      </c>
      <c r="O633" s="16">
        <v>49.712372012505782</v>
      </c>
      <c r="P633" s="16">
        <v>2.979342509640126</v>
      </c>
      <c r="Q633" s="16">
        <v>96.048962558340165</v>
      </c>
    </row>
    <row r="634" spans="1:17" ht="12.75" x14ac:dyDescent="0.2">
      <c r="A634" s="4" t="s">
        <v>37</v>
      </c>
      <c r="B634" s="4" t="s">
        <v>52</v>
      </c>
      <c r="C634" s="4" t="s">
        <v>4591</v>
      </c>
      <c r="D634" s="4" t="s">
        <v>4592</v>
      </c>
      <c r="E634" s="4" t="s">
        <v>53</v>
      </c>
      <c r="F634" s="4" t="s">
        <v>32</v>
      </c>
      <c r="G634" s="4" t="s">
        <v>41</v>
      </c>
      <c r="H634" s="4"/>
      <c r="I634" s="4" t="s">
        <v>47</v>
      </c>
      <c r="J634" s="17" t="s">
        <v>3290</v>
      </c>
      <c r="K634" s="16">
        <v>68.390490406853232</v>
      </c>
      <c r="L634" s="16">
        <v>71.436048771339117</v>
      </c>
      <c r="M634" s="16">
        <v>26.083230093150579</v>
      </c>
      <c r="N634" s="16">
        <v>59.045789113347944</v>
      </c>
      <c r="O634" s="16">
        <v>6.5803581431927665</v>
      </c>
      <c r="P634" s="16">
        <v>63.744642878725614</v>
      </c>
      <c r="Q634" s="16">
        <v>44.860090275750785</v>
      </c>
    </row>
    <row r="635" spans="1:17" ht="12.75" x14ac:dyDescent="0.2">
      <c r="A635" s="4" t="s">
        <v>37</v>
      </c>
      <c r="B635" s="4" t="s">
        <v>52</v>
      </c>
      <c r="C635" s="4" t="s">
        <v>4593</v>
      </c>
      <c r="D635" s="4" t="s">
        <v>4594</v>
      </c>
      <c r="E635" s="4" t="s">
        <v>53</v>
      </c>
      <c r="F635" s="4" t="s">
        <v>11</v>
      </c>
      <c r="H635" s="4" t="s">
        <v>40</v>
      </c>
      <c r="I635" s="4" t="s">
        <v>47</v>
      </c>
      <c r="J635" s="17" t="s">
        <v>3290</v>
      </c>
      <c r="K635" s="16">
        <v>70.768778786175346</v>
      </c>
      <c r="L635" s="16">
        <v>53.547433849675762</v>
      </c>
      <c r="M635" s="16">
        <v>75.451244995536854</v>
      </c>
      <c r="N635" s="16">
        <v>31.127371415171311</v>
      </c>
      <c r="O635" s="16">
        <v>29.745367491735919</v>
      </c>
      <c r="P635" s="16">
        <v>15.547681403161363</v>
      </c>
      <c r="Q635" s="16">
        <v>82.689544623600483</v>
      </c>
    </row>
    <row r="636" spans="1:17" ht="12.75" x14ac:dyDescent="0.2">
      <c r="A636" s="4" t="s">
        <v>7</v>
      </c>
      <c r="B636" s="4" t="s">
        <v>16</v>
      </c>
      <c r="C636" s="4" t="s">
        <v>4595</v>
      </c>
      <c r="D636" s="4" t="s">
        <v>4596</v>
      </c>
      <c r="E636" s="4" t="s">
        <v>39</v>
      </c>
      <c r="F636" s="4" t="s">
        <v>18</v>
      </c>
      <c r="G636" s="4" t="s">
        <v>61</v>
      </c>
      <c r="H636" s="4"/>
      <c r="I636" s="4" t="s">
        <v>40</v>
      </c>
      <c r="J636" s="17" t="s">
        <v>3290</v>
      </c>
      <c r="K636" s="16">
        <v>91.478952073639235</v>
      </c>
      <c r="L636" s="16">
        <v>22.975560375814997</v>
      </c>
      <c r="M636" s="16">
        <v>50.356037466924228</v>
      </c>
      <c r="N636" s="16">
        <v>50.880471671914073</v>
      </c>
      <c r="O636" s="16">
        <v>36.639997595064202</v>
      </c>
      <c r="P636" s="16">
        <v>5.0316502079362007</v>
      </c>
      <c r="Q636" s="16">
        <v>79.858353901258766</v>
      </c>
    </row>
    <row r="637" spans="1:17" ht="12.75" x14ac:dyDescent="0.2">
      <c r="A637" s="4" t="s">
        <v>115</v>
      </c>
      <c r="B637" s="4" t="s">
        <v>122</v>
      </c>
      <c r="C637" s="4" t="s">
        <v>4597</v>
      </c>
      <c r="D637" s="4" t="s">
        <v>4598</v>
      </c>
      <c r="E637" s="4" t="s">
        <v>39</v>
      </c>
      <c r="F637" s="4" t="s">
        <v>18</v>
      </c>
      <c r="G637" s="4" t="s">
        <v>61</v>
      </c>
      <c r="H637" s="4"/>
      <c r="I637" s="4" t="s">
        <v>40</v>
      </c>
      <c r="J637" s="17" t="s">
        <v>3290</v>
      </c>
      <c r="K637" s="16">
        <v>38.835394477068398</v>
      </c>
      <c r="L637" s="16">
        <v>83.193214085331689</v>
      </c>
      <c r="M637" s="16">
        <v>37.671006632140404</v>
      </c>
      <c r="N637" s="16">
        <v>60.939583266043314</v>
      </c>
      <c r="O637" s="16">
        <v>58.813438987902401</v>
      </c>
      <c r="P637" s="16">
        <v>56.552483947209041</v>
      </c>
      <c r="Q637" s="16">
        <v>71.58076940758481</v>
      </c>
    </row>
    <row r="638" spans="1:17" ht="12.75" x14ac:dyDescent="0.2">
      <c r="A638" s="4" t="s">
        <v>115</v>
      </c>
      <c r="B638" s="4" t="s">
        <v>116</v>
      </c>
      <c r="C638" s="4" t="s">
        <v>4599</v>
      </c>
      <c r="D638" s="4" t="s">
        <v>4600</v>
      </c>
      <c r="E638" s="4" t="s">
        <v>39</v>
      </c>
      <c r="F638" s="4" t="s">
        <v>18</v>
      </c>
      <c r="G638" s="4" t="s">
        <v>61</v>
      </c>
      <c r="I638" s="4" t="s">
        <v>40</v>
      </c>
      <c r="J638" s="17" t="s">
        <v>3290</v>
      </c>
      <c r="K638" s="16">
        <v>45.635124708115747</v>
      </c>
      <c r="L638" s="16">
        <v>35.952497898597734</v>
      </c>
      <c r="M638" s="16">
        <v>51.092349943873636</v>
      </c>
      <c r="N638" s="16">
        <v>79.76158573736349</v>
      </c>
      <c r="O638" s="16">
        <v>44.309716441718173</v>
      </c>
      <c r="P638" s="16">
        <v>52.648119769691867</v>
      </c>
      <c r="Q638" s="16">
        <v>20.77400144201016</v>
      </c>
    </row>
    <row r="639" spans="1:17" ht="12.75" x14ac:dyDescent="0.2">
      <c r="A639" s="4" t="s">
        <v>37</v>
      </c>
      <c r="B639" s="4" t="s">
        <v>45</v>
      </c>
      <c r="C639" s="4" t="s">
        <v>4601</v>
      </c>
      <c r="D639" s="4" t="s">
        <v>4602</v>
      </c>
      <c r="E639" s="4" t="s">
        <v>39</v>
      </c>
      <c r="F639" s="4" t="s">
        <v>18</v>
      </c>
      <c r="G639" s="4" t="s">
        <v>72</v>
      </c>
      <c r="H639" s="4" t="s">
        <v>3375</v>
      </c>
      <c r="I639" s="4" t="s">
        <v>40</v>
      </c>
      <c r="J639" s="17" t="s">
        <v>3290</v>
      </c>
      <c r="K639" s="16">
        <v>23.587386243817519</v>
      </c>
      <c r="L639" s="16">
        <v>5.8689844437392003</v>
      </c>
      <c r="M639" s="16">
        <v>70.4121983725219</v>
      </c>
      <c r="N639" s="16">
        <v>9.0256933835361703</v>
      </c>
      <c r="O639" s="16">
        <v>17.497201214137913</v>
      </c>
      <c r="P639" s="16">
        <v>76.63028621932645</v>
      </c>
      <c r="Q639" s="16">
        <v>29.169308413640739</v>
      </c>
    </row>
    <row r="640" spans="1:17" ht="12.75" x14ac:dyDescent="0.2">
      <c r="A640" s="4" t="s">
        <v>98</v>
      </c>
      <c r="B640" s="4" t="s">
        <v>113</v>
      </c>
      <c r="C640" s="4" t="s">
        <v>4603</v>
      </c>
      <c r="D640" s="4" t="s">
        <v>4604</v>
      </c>
      <c r="E640" s="4" t="s">
        <v>39</v>
      </c>
      <c r="F640" s="4" t="s">
        <v>18</v>
      </c>
      <c r="G640" s="4" t="s">
        <v>19</v>
      </c>
      <c r="H640" s="4"/>
      <c r="I640" s="4" t="s">
        <v>40</v>
      </c>
      <c r="J640" s="17" t="s">
        <v>3290</v>
      </c>
      <c r="K640" s="16">
        <v>62.772128290940245</v>
      </c>
      <c r="L640" s="16">
        <v>80.643408628546368</v>
      </c>
      <c r="M640" s="16">
        <v>5.0874872558844153</v>
      </c>
      <c r="N640" s="16">
        <v>5.8748276762239815</v>
      </c>
      <c r="O640" s="16">
        <v>75.18778012019412</v>
      </c>
      <c r="P640" s="16">
        <v>92.76022925028218</v>
      </c>
      <c r="Q640" s="16">
        <v>42.410598019579041</v>
      </c>
    </row>
    <row r="641" spans="1:18" ht="12.75" x14ac:dyDescent="0.2">
      <c r="A641" s="4" t="s">
        <v>98</v>
      </c>
      <c r="B641" s="4" t="s">
        <v>99</v>
      </c>
      <c r="C641" s="4" t="s">
        <v>4605</v>
      </c>
      <c r="D641" s="4" t="s">
        <v>4606</v>
      </c>
      <c r="E641" s="4" t="s">
        <v>39</v>
      </c>
      <c r="F641" s="4" t="s">
        <v>18</v>
      </c>
      <c r="G641" s="4" t="s">
        <v>61</v>
      </c>
      <c r="H641" s="4"/>
      <c r="I641" s="4" t="s">
        <v>40</v>
      </c>
      <c r="J641" s="17" t="s">
        <v>3290</v>
      </c>
      <c r="K641" s="16">
        <v>8.2684563964844919</v>
      </c>
      <c r="L641" s="16">
        <v>46.517303258324418</v>
      </c>
      <c r="M641" s="16">
        <v>10.813359035720394</v>
      </c>
      <c r="N641" s="16">
        <v>83.464678231190319</v>
      </c>
      <c r="O641" s="16">
        <v>79.24899457267567</v>
      </c>
      <c r="P641" s="16">
        <v>68.2103297475185</v>
      </c>
      <c r="Q641" s="16">
        <v>46.059284904601391</v>
      </c>
    </row>
    <row r="642" spans="1:18" ht="12.75" x14ac:dyDescent="0.2">
      <c r="A642" s="4" t="s">
        <v>7</v>
      </c>
      <c r="B642" s="4" t="s">
        <v>8</v>
      </c>
      <c r="C642" s="4" t="s">
        <v>4607</v>
      </c>
      <c r="D642" s="4" t="s">
        <v>4608</v>
      </c>
      <c r="E642" s="4" t="s">
        <v>39</v>
      </c>
      <c r="F642" s="4" t="s">
        <v>18</v>
      </c>
      <c r="G642" s="4" t="s">
        <v>41</v>
      </c>
      <c r="H642" s="4"/>
      <c r="I642" s="4" t="s">
        <v>40</v>
      </c>
      <c r="J642" s="17" t="s">
        <v>3290</v>
      </c>
      <c r="K642" s="16">
        <v>60.117800360001404</v>
      </c>
      <c r="L642" s="16">
        <v>27.447477485382453</v>
      </c>
      <c r="M642" s="16">
        <v>45.70834316822905</v>
      </c>
      <c r="N642" s="16">
        <v>48.877816857567666</v>
      </c>
      <c r="O642" s="16">
        <v>52.670069871999956</v>
      </c>
      <c r="P642" s="16">
        <v>94.019388007637843</v>
      </c>
      <c r="Q642" s="16">
        <v>93.74626677842339</v>
      </c>
    </row>
    <row r="643" spans="1:18" ht="12.75" x14ac:dyDescent="0.2">
      <c r="A643" s="4" t="s">
        <v>37</v>
      </c>
      <c r="B643" s="4" t="s">
        <v>52</v>
      </c>
      <c r="C643" s="4" t="s">
        <v>4609</v>
      </c>
      <c r="D643" s="4" t="s">
        <v>4610</v>
      </c>
      <c r="E643" s="4" t="s">
        <v>53</v>
      </c>
      <c r="F643" s="4" t="s">
        <v>11</v>
      </c>
      <c r="H643" s="4" t="s">
        <v>40</v>
      </c>
      <c r="I643" s="4" t="s">
        <v>47</v>
      </c>
      <c r="J643" s="17" t="s">
        <v>3290</v>
      </c>
      <c r="K643" s="16">
        <v>0.31905410115524724</v>
      </c>
      <c r="L643" s="16">
        <v>58.58793937450271</v>
      </c>
      <c r="M643" s="16">
        <v>36.561808645834844</v>
      </c>
      <c r="N643" s="16">
        <v>22.258627480713798</v>
      </c>
      <c r="O643" s="16">
        <v>79.718975455945767</v>
      </c>
      <c r="P643" s="16">
        <v>57.155904840363938</v>
      </c>
      <c r="Q643" s="16">
        <v>11.416576828831005</v>
      </c>
    </row>
    <row r="644" spans="1:18" ht="12.75" x14ac:dyDescent="0.2">
      <c r="A644" s="4" t="s">
        <v>115</v>
      </c>
      <c r="B644" s="4" t="s">
        <v>116</v>
      </c>
      <c r="C644" s="4" t="s">
        <v>4611</v>
      </c>
      <c r="D644" s="4" t="s">
        <v>4612</v>
      </c>
      <c r="E644" s="4" t="s">
        <v>39</v>
      </c>
      <c r="F644" s="4" t="s">
        <v>18</v>
      </c>
      <c r="G644" s="4" t="s">
        <v>61</v>
      </c>
      <c r="H644" s="4"/>
      <c r="I644" s="4" t="s">
        <v>40</v>
      </c>
      <c r="J644" s="17" t="s">
        <v>3290</v>
      </c>
      <c r="K644" s="16">
        <v>33.984103679542763</v>
      </c>
      <c r="L644" s="16">
        <v>40.38356390836266</v>
      </c>
      <c r="M644" s="16">
        <v>27.24790405948405</v>
      </c>
      <c r="N644" s="16">
        <v>27.84210953496239</v>
      </c>
      <c r="O644" s="16">
        <v>16.923409216799357</v>
      </c>
      <c r="P644" s="16">
        <v>51.060674842169007</v>
      </c>
      <c r="Q644" s="16">
        <v>89.122247889007625</v>
      </c>
    </row>
    <row r="645" spans="1:18" ht="12.75" x14ac:dyDescent="0.2">
      <c r="A645" s="4" t="s">
        <v>98</v>
      </c>
      <c r="B645" s="4" t="s">
        <v>105</v>
      </c>
      <c r="C645" s="4" t="s">
        <v>4613</v>
      </c>
      <c r="D645" s="4" t="s">
        <v>4614</v>
      </c>
      <c r="E645" s="4" t="s">
        <v>39</v>
      </c>
      <c r="F645" s="4" t="s">
        <v>11</v>
      </c>
      <c r="G645" s="4" t="s">
        <v>41</v>
      </c>
      <c r="H645" s="4"/>
      <c r="I645" s="4" t="s">
        <v>40</v>
      </c>
      <c r="J645" s="17" t="s">
        <v>3290</v>
      </c>
      <c r="K645" s="16">
        <v>10.267276490321397</v>
      </c>
      <c r="L645" s="16">
        <v>86.443337153534699</v>
      </c>
      <c r="M645" s="16">
        <v>22.791246925947217</v>
      </c>
      <c r="N645" s="16">
        <v>0.32629730550052249</v>
      </c>
      <c r="O645" s="16">
        <v>1.619833006202176</v>
      </c>
      <c r="P645" s="16">
        <v>56.370932183926236</v>
      </c>
      <c r="Q645" s="16">
        <v>20.148918317826681</v>
      </c>
    </row>
    <row r="646" spans="1:18" ht="12.75" x14ac:dyDescent="0.2">
      <c r="A646" s="4" t="s">
        <v>115</v>
      </c>
      <c r="B646" s="4" t="s">
        <v>122</v>
      </c>
      <c r="C646" s="4" t="s">
        <v>4615</v>
      </c>
      <c r="D646" s="4" t="s">
        <v>4616</v>
      </c>
      <c r="E646" s="4" t="s">
        <v>39</v>
      </c>
      <c r="F646" s="4" t="s">
        <v>18</v>
      </c>
      <c r="G646" s="4" t="s">
        <v>61</v>
      </c>
      <c r="H646" s="4"/>
      <c r="I646" s="4" t="s">
        <v>40</v>
      </c>
      <c r="J646" s="17" t="s">
        <v>3290</v>
      </c>
      <c r="K646" s="16">
        <v>60.872508535607615</v>
      </c>
      <c r="L646" s="16">
        <v>28.875003643539308</v>
      </c>
      <c r="M646" s="16">
        <v>32.635264013008666</v>
      </c>
      <c r="N646" s="16">
        <v>59.053105650268179</v>
      </c>
      <c r="O646" s="16">
        <v>83.726260135073971</v>
      </c>
      <c r="P646" s="16">
        <v>24.774074023727099</v>
      </c>
      <c r="Q646" s="16">
        <v>56.273575362415073</v>
      </c>
    </row>
    <row r="647" spans="1:18" ht="12.75" x14ac:dyDescent="0.2">
      <c r="A647" s="4" t="s">
        <v>64</v>
      </c>
      <c r="B647" s="4" t="s">
        <v>95</v>
      </c>
      <c r="C647" s="4" t="s">
        <v>4617</v>
      </c>
      <c r="D647" s="4" t="s">
        <v>4618</v>
      </c>
      <c r="E647" s="4" t="s">
        <v>39</v>
      </c>
      <c r="F647" s="4" t="s">
        <v>18</v>
      </c>
      <c r="G647" s="4" t="s">
        <v>61</v>
      </c>
      <c r="H647" s="4"/>
      <c r="I647" s="4" t="s">
        <v>40</v>
      </c>
      <c r="J647" s="17" t="s">
        <v>3290</v>
      </c>
      <c r="K647" s="16">
        <v>65.334458705343422</v>
      </c>
      <c r="L647" s="16">
        <v>99.001269805187576</v>
      </c>
      <c r="M647" s="16">
        <v>25.831236168502304</v>
      </c>
      <c r="N647" s="16">
        <v>62.133772024725673</v>
      </c>
      <c r="O647" s="16">
        <v>90.422941843739792</v>
      </c>
      <c r="P647" s="16">
        <v>53.302529289088405</v>
      </c>
      <c r="Q647" s="16">
        <v>48.66310096567652</v>
      </c>
    </row>
    <row r="648" spans="1:18" ht="12.75" x14ac:dyDescent="0.2">
      <c r="A648" s="4" t="s">
        <v>115</v>
      </c>
      <c r="B648" s="4" t="s">
        <v>116</v>
      </c>
      <c r="C648" s="4" t="s">
        <v>4619</v>
      </c>
      <c r="D648" s="4" t="s">
        <v>4620</v>
      </c>
      <c r="E648" s="4" t="s">
        <v>39</v>
      </c>
      <c r="F648" s="4" t="s">
        <v>11</v>
      </c>
      <c r="G648" s="4" t="s">
        <v>72</v>
      </c>
      <c r="H648" s="4"/>
      <c r="I648" s="4" t="s">
        <v>40</v>
      </c>
      <c r="J648" s="17" t="s">
        <v>3290</v>
      </c>
      <c r="K648" s="16">
        <v>72.567081965593772</v>
      </c>
      <c r="L648" s="16">
        <v>56.005059726582537</v>
      </c>
      <c r="M648" s="16">
        <v>0.75452862728455639</v>
      </c>
      <c r="N648" s="16">
        <v>86.066081517517517</v>
      </c>
      <c r="O648" s="16">
        <v>28.392030918366174</v>
      </c>
      <c r="P648" s="16">
        <v>24.713120884644535</v>
      </c>
      <c r="Q648" s="16">
        <v>1.7706769189376415</v>
      </c>
    </row>
    <row r="649" spans="1:18" ht="12.75" x14ac:dyDescent="0.2">
      <c r="A649" s="4" t="s">
        <v>98</v>
      </c>
      <c r="B649" s="4" t="s">
        <v>99</v>
      </c>
      <c r="C649" s="4" t="s">
        <v>4621</v>
      </c>
      <c r="D649" s="4" t="s">
        <v>4622</v>
      </c>
      <c r="E649" s="4" t="s">
        <v>39</v>
      </c>
      <c r="F649" s="4" t="s">
        <v>18</v>
      </c>
      <c r="G649" s="4" t="s">
        <v>19</v>
      </c>
      <c r="I649" s="4" t="s">
        <v>40</v>
      </c>
      <c r="J649" s="17" t="s">
        <v>3290</v>
      </c>
      <c r="K649" s="16">
        <v>34.66814316448891</v>
      </c>
      <c r="L649" s="16">
        <v>2.0239844842544374</v>
      </c>
      <c r="M649" s="16">
        <v>58.966659672597665</v>
      </c>
      <c r="N649" s="16">
        <v>1.3127432285197416</v>
      </c>
      <c r="O649" s="16">
        <v>49.626315625830074</v>
      </c>
      <c r="P649" s="16">
        <v>77.983769110541729</v>
      </c>
      <c r="Q649" s="16">
        <v>65.140207154792535</v>
      </c>
    </row>
    <row r="650" spans="1:18" ht="12.75" x14ac:dyDescent="0.2">
      <c r="A650" s="4" t="s">
        <v>115</v>
      </c>
      <c r="B650" s="4" t="s">
        <v>134</v>
      </c>
      <c r="C650" s="4" t="s">
        <v>4623</v>
      </c>
      <c r="D650" s="4" t="s">
        <v>4624</v>
      </c>
      <c r="E650" s="4" t="s">
        <v>39</v>
      </c>
      <c r="F650" s="4" t="s">
        <v>18</v>
      </c>
      <c r="G650" s="4" t="s">
        <v>61</v>
      </c>
      <c r="I650" s="4" t="s">
        <v>40</v>
      </c>
      <c r="J650" s="17" t="s">
        <v>3290</v>
      </c>
      <c r="K650" s="16">
        <v>27.595573493145451</v>
      </c>
      <c r="L650" s="16">
        <v>99.05507777605682</v>
      </c>
      <c r="M650" s="16">
        <v>69.722129752991648</v>
      </c>
      <c r="N650" s="16">
        <v>91.108778719643439</v>
      </c>
      <c r="O650" s="16">
        <v>37.969799826416647</v>
      </c>
      <c r="P650" s="16">
        <v>90.526287795205192</v>
      </c>
      <c r="Q650" s="16">
        <v>76.319182869144413</v>
      </c>
    </row>
    <row r="651" spans="1:18" ht="12.75" x14ac:dyDescent="0.2">
      <c r="A651" s="4" t="s">
        <v>115</v>
      </c>
      <c r="B651" s="4" t="s">
        <v>134</v>
      </c>
      <c r="C651" s="4" t="s">
        <v>4625</v>
      </c>
      <c r="D651" s="4" t="s">
        <v>4626</v>
      </c>
      <c r="E651" s="4" t="s">
        <v>39</v>
      </c>
      <c r="F651" s="4" t="s">
        <v>11</v>
      </c>
      <c r="G651" s="4" t="s">
        <v>61</v>
      </c>
      <c r="I651" s="4" t="s">
        <v>40</v>
      </c>
      <c r="J651" s="17" t="s">
        <v>3290</v>
      </c>
      <c r="K651" s="16">
        <v>59.649967928623916</v>
      </c>
      <c r="L651" s="16">
        <v>18.189612607808126</v>
      </c>
      <c r="M651" s="16">
        <v>81.756003824032348</v>
      </c>
      <c r="N651" s="16">
        <v>63.207109781689475</v>
      </c>
      <c r="O651" s="16">
        <v>79.722141946852204</v>
      </c>
      <c r="P651" s="16">
        <v>1.1055115728058063</v>
      </c>
      <c r="Q651" s="16">
        <v>46.294264942306718</v>
      </c>
    </row>
    <row r="652" spans="1:18" ht="12.75" x14ac:dyDescent="0.2">
      <c r="A652" s="4" t="s">
        <v>115</v>
      </c>
      <c r="B652" s="4" t="s">
        <v>116</v>
      </c>
      <c r="C652" s="4" t="s">
        <v>4627</v>
      </c>
      <c r="D652" s="4" t="s">
        <v>4628</v>
      </c>
      <c r="E652" s="4" t="s">
        <v>39</v>
      </c>
      <c r="F652" s="4" t="s">
        <v>18</v>
      </c>
      <c r="G652" s="4" t="s">
        <v>61</v>
      </c>
      <c r="I652" s="4" t="s">
        <v>40</v>
      </c>
      <c r="J652" s="17" t="s">
        <v>3290</v>
      </c>
      <c r="K652" s="16">
        <v>66.69487879046217</v>
      </c>
      <c r="L652" s="16">
        <v>59.141796333002816</v>
      </c>
      <c r="M652" s="16">
        <v>13.853716475486166</v>
      </c>
      <c r="N652" s="16">
        <v>19.871167024882585</v>
      </c>
      <c r="O652" s="16">
        <v>82.189986634467729</v>
      </c>
      <c r="P652" s="16">
        <v>10.208152144339866</v>
      </c>
      <c r="Q652" s="16">
        <v>77.794656223756348</v>
      </c>
    </row>
    <row r="653" spans="1:18" ht="12.75" x14ac:dyDescent="0.2">
      <c r="A653" s="4" t="s">
        <v>115</v>
      </c>
      <c r="B653" s="4" t="s">
        <v>116</v>
      </c>
      <c r="C653" s="4" t="s">
        <v>4629</v>
      </c>
      <c r="D653" s="4" t="s">
        <v>4630</v>
      </c>
      <c r="E653" s="4" t="s">
        <v>39</v>
      </c>
      <c r="F653" s="4" t="s">
        <v>11</v>
      </c>
      <c r="G653" s="4" t="s">
        <v>19</v>
      </c>
      <c r="I653" s="4" t="s">
        <v>40</v>
      </c>
      <c r="J653" s="17" t="s">
        <v>3290</v>
      </c>
      <c r="K653" s="16">
        <v>90.2824934962361</v>
      </c>
      <c r="L653" s="16">
        <v>0.83369781632206541</v>
      </c>
      <c r="M653" s="16">
        <v>6.4401760888698973</v>
      </c>
      <c r="N653" s="16">
        <v>8.5998189011899591</v>
      </c>
      <c r="O653" s="16">
        <v>6.7913498813943924</v>
      </c>
      <c r="P653" s="16">
        <v>41.117022319029829</v>
      </c>
      <c r="Q653" s="16">
        <v>92.086988220759963</v>
      </c>
    </row>
    <row r="654" spans="1:18" ht="12.75" x14ac:dyDescent="0.2">
      <c r="A654" s="4" t="s">
        <v>115</v>
      </c>
      <c r="B654" s="4" t="s">
        <v>116</v>
      </c>
      <c r="C654" s="4" t="s">
        <v>4631</v>
      </c>
      <c r="D654" s="4" t="s">
        <v>4632</v>
      </c>
      <c r="E654" s="4" t="s">
        <v>39</v>
      </c>
      <c r="F654" s="4" t="s">
        <v>18</v>
      </c>
      <c r="G654" s="4" t="s">
        <v>12</v>
      </c>
      <c r="H654" s="4"/>
      <c r="I654" s="4" t="s">
        <v>40</v>
      </c>
      <c r="J654" s="17" t="s">
        <v>3290</v>
      </c>
      <c r="K654" s="16">
        <v>78.079930357571413</v>
      </c>
      <c r="L654" s="16">
        <v>61.091385077948068</v>
      </c>
      <c r="M654" s="16">
        <v>36.222681360695596</v>
      </c>
      <c r="N654" s="16">
        <v>10.997659980933438</v>
      </c>
      <c r="O654" s="16">
        <v>49.817303955500677</v>
      </c>
      <c r="P654" s="16">
        <v>59.461201781336456</v>
      </c>
      <c r="Q654" s="16">
        <v>16.623375936446415</v>
      </c>
    </row>
    <row r="655" spans="1:18" ht="12.75" x14ac:dyDescent="0.2">
      <c r="A655" s="4" t="s">
        <v>115</v>
      </c>
      <c r="B655" s="4" t="s">
        <v>116</v>
      </c>
      <c r="C655" s="4" t="s">
        <v>4633</v>
      </c>
      <c r="D655" s="4" t="s">
        <v>4634</v>
      </c>
      <c r="E655" s="4" t="s">
        <v>39</v>
      </c>
      <c r="F655" s="4" t="s">
        <v>18</v>
      </c>
      <c r="G655" s="4" t="s">
        <v>61</v>
      </c>
      <c r="I655" s="4" t="s">
        <v>40</v>
      </c>
      <c r="J655" s="17" t="s">
        <v>3290</v>
      </c>
      <c r="K655" s="16">
        <v>32.02249690566731</v>
      </c>
      <c r="L655" s="16">
        <v>62.87406542258509</v>
      </c>
      <c r="M655" s="16">
        <v>40.458493491565442</v>
      </c>
      <c r="N655" s="16">
        <v>43.876616857873415</v>
      </c>
      <c r="O655" s="16">
        <v>5.899869613361453</v>
      </c>
      <c r="P655" s="16">
        <v>65.629911536657261</v>
      </c>
      <c r="Q655" s="16">
        <v>77.021304551473861</v>
      </c>
    </row>
    <row r="656" spans="1:18" ht="12.75" x14ac:dyDescent="0.2">
      <c r="A656" s="4" t="s">
        <v>115</v>
      </c>
      <c r="B656" s="4" t="s">
        <v>125</v>
      </c>
      <c r="C656" s="4" t="s">
        <v>4635</v>
      </c>
      <c r="D656" s="4" t="s">
        <v>4636</v>
      </c>
      <c r="E656" s="4" t="s">
        <v>39</v>
      </c>
      <c r="F656" s="4" t="s">
        <v>18</v>
      </c>
      <c r="G656" s="4" t="s">
        <v>41</v>
      </c>
      <c r="I656" s="4" t="s">
        <v>40</v>
      </c>
      <c r="J656" s="17" t="s">
        <v>3290</v>
      </c>
      <c r="K656" s="16">
        <v>61.825495980288757</v>
      </c>
      <c r="L656" s="16">
        <v>26.32930815084249</v>
      </c>
      <c r="M656" s="16">
        <v>46.239040771764763</v>
      </c>
      <c r="N656" s="16">
        <v>89.325131411215011</v>
      </c>
      <c r="O656" s="16">
        <v>90.881714320982155</v>
      </c>
      <c r="P656" s="16">
        <v>68.789346412659398</v>
      </c>
      <c r="Q656" s="16">
        <v>22.975994359824124</v>
      </c>
      <c r="R656" s="4" t="s">
        <v>3285</v>
      </c>
    </row>
    <row r="657" spans="1:17" ht="12.75" x14ac:dyDescent="0.2">
      <c r="A657" s="4" t="s">
        <v>64</v>
      </c>
      <c r="B657" s="4" t="s">
        <v>92</v>
      </c>
      <c r="C657" s="4" t="s">
        <v>4637</v>
      </c>
      <c r="D657" s="4" t="s">
        <v>4638</v>
      </c>
      <c r="E657" s="4" t="s">
        <v>39</v>
      </c>
      <c r="F657" s="4" t="s">
        <v>18</v>
      </c>
      <c r="G657" s="4" t="s">
        <v>12</v>
      </c>
      <c r="H657" s="4"/>
      <c r="I657" s="4" t="s">
        <v>40</v>
      </c>
      <c r="J657" s="17" t="s">
        <v>3290</v>
      </c>
      <c r="K657" s="16">
        <v>62.946085255419369</v>
      </c>
      <c r="L657" s="16">
        <v>77.341136545416489</v>
      </c>
      <c r="M657" s="16">
        <v>42.548382254926153</v>
      </c>
      <c r="N657" s="16">
        <v>18.116937924052202</v>
      </c>
      <c r="O657" s="16">
        <v>23.763606192151375</v>
      </c>
      <c r="P657" s="16">
        <v>82.098804337768172</v>
      </c>
      <c r="Q657" s="16">
        <v>67.151854301137348</v>
      </c>
    </row>
    <row r="658" spans="1:17" ht="12.75" x14ac:dyDescent="0.2">
      <c r="A658" s="4" t="s">
        <v>115</v>
      </c>
      <c r="B658" s="4" t="s">
        <v>122</v>
      </c>
      <c r="C658" s="4" t="s">
        <v>4639</v>
      </c>
      <c r="D658" s="4" t="s">
        <v>4640</v>
      </c>
      <c r="E658" s="4" t="s">
        <v>39</v>
      </c>
      <c r="F658" s="4" t="s">
        <v>11</v>
      </c>
      <c r="G658" s="4" t="s">
        <v>26</v>
      </c>
      <c r="H658" s="4"/>
      <c r="I658" s="4" t="s">
        <v>40</v>
      </c>
      <c r="J658" s="17" t="s">
        <v>3290</v>
      </c>
      <c r="K658" s="16">
        <v>38.032767152807843</v>
      </c>
      <c r="L658" s="16">
        <v>33.5937704825796</v>
      </c>
      <c r="M658" s="16">
        <v>47.188596730264557</v>
      </c>
      <c r="N658" s="16">
        <v>79.282883014381326</v>
      </c>
      <c r="O658" s="16">
        <v>19.433932143077392</v>
      </c>
      <c r="P658" s="16">
        <v>72.426748464465689</v>
      </c>
      <c r="Q658" s="16">
        <v>99.096906093562225</v>
      </c>
    </row>
    <row r="659" spans="1:17" ht="12.75" x14ac:dyDescent="0.2">
      <c r="A659" s="4" t="s">
        <v>115</v>
      </c>
      <c r="B659" s="4" t="s">
        <v>122</v>
      </c>
      <c r="C659" s="4" t="s">
        <v>4641</v>
      </c>
      <c r="D659" s="4" t="s">
        <v>4642</v>
      </c>
      <c r="E659" s="4" t="s">
        <v>39</v>
      </c>
      <c r="F659" s="4" t="s">
        <v>18</v>
      </c>
      <c r="G659" s="4" t="s">
        <v>61</v>
      </c>
      <c r="H659" s="4"/>
      <c r="I659" s="4" t="s">
        <v>40</v>
      </c>
      <c r="J659" s="17" t="s">
        <v>3290</v>
      </c>
      <c r="K659" s="16">
        <v>21.71378856766103</v>
      </c>
      <c r="L659" s="16">
        <v>62.100637636070999</v>
      </c>
      <c r="M659" s="16">
        <v>7.3751769255458788</v>
      </c>
      <c r="N659" s="16">
        <v>86.16205613592436</v>
      </c>
      <c r="O659" s="16">
        <v>83.646875190851333</v>
      </c>
      <c r="P659" s="16">
        <v>54.097706309123502</v>
      </c>
      <c r="Q659" s="16">
        <v>8.1168388708826136</v>
      </c>
    </row>
    <row r="660" spans="1:17" ht="12.75" x14ac:dyDescent="0.2">
      <c r="A660" s="4" t="s">
        <v>115</v>
      </c>
      <c r="B660" s="4" t="s">
        <v>128</v>
      </c>
      <c r="C660" s="4" t="s">
        <v>4643</v>
      </c>
      <c r="D660" s="4" t="s">
        <v>4644</v>
      </c>
      <c r="E660" s="4" t="s">
        <v>39</v>
      </c>
      <c r="F660" s="4" t="s">
        <v>18</v>
      </c>
      <c r="G660" s="4" t="s">
        <v>41</v>
      </c>
      <c r="H660" s="4" t="s">
        <v>4645</v>
      </c>
      <c r="I660" s="4" t="s">
        <v>40</v>
      </c>
      <c r="J660" s="17" t="s">
        <v>3290</v>
      </c>
      <c r="K660" s="16">
        <v>96.233086488320964</v>
      </c>
      <c r="L660" s="16">
        <v>61.824903943061251</v>
      </c>
      <c r="M660" s="16">
        <v>15.859586661588654</v>
      </c>
      <c r="N660" s="16">
        <v>57.142234262728877</v>
      </c>
      <c r="O660" s="16">
        <v>27.831573426452707</v>
      </c>
      <c r="P660" s="16">
        <v>79.219896300767132</v>
      </c>
      <c r="Q660" s="16">
        <v>2.8897530511259095</v>
      </c>
    </row>
    <row r="661" spans="1:17" ht="12.75" x14ac:dyDescent="0.2">
      <c r="A661" s="4" t="s">
        <v>7</v>
      </c>
      <c r="B661" s="4" t="s">
        <v>16</v>
      </c>
      <c r="C661" s="4" t="s">
        <v>4646</v>
      </c>
      <c r="D661" s="4" t="s">
        <v>4647</v>
      </c>
      <c r="E661" s="4" t="s">
        <v>39</v>
      </c>
      <c r="F661" s="4" t="s">
        <v>18</v>
      </c>
      <c r="G661" s="4" t="s">
        <v>41</v>
      </c>
      <c r="H661" s="4"/>
      <c r="I661" s="4" t="s">
        <v>40</v>
      </c>
      <c r="J661" s="17" t="s">
        <v>3290</v>
      </c>
      <c r="K661" s="16">
        <v>26.923686354456311</v>
      </c>
      <c r="L661" s="16">
        <v>47.311940059170468</v>
      </c>
      <c r="M661" s="16">
        <v>97.715942124198634</v>
      </c>
      <c r="N661" s="16">
        <v>90.257240217925244</v>
      </c>
      <c r="O661" s="16">
        <v>53.884691665910253</v>
      </c>
      <c r="P661" s="16">
        <v>7.2885859029228399</v>
      </c>
      <c r="Q661" s="16">
        <v>45.160018764505153</v>
      </c>
    </row>
    <row r="662" spans="1:17" ht="12.75" x14ac:dyDescent="0.2">
      <c r="A662" s="4" t="s">
        <v>115</v>
      </c>
      <c r="B662" s="4" t="s">
        <v>116</v>
      </c>
      <c r="C662" s="4" t="s">
        <v>4648</v>
      </c>
      <c r="D662" s="4" t="s">
        <v>4649</v>
      </c>
      <c r="E662" s="4" t="s">
        <v>39</v>
      </c>
      <c r="F662" s="4" t="s">
        <v>18</v>
      </c>
      <c r="G662" s="4" t="s">
        <v>61</v>
      </c>
      <c r="H662" s="4"/>
      <c r="I662" s="4" t="s">
        <v>40</v>
      </c>
      <c r="J662" s="17" t="s">
        <v>3290</v>
      </c>
      <c r="K662" s="16">
        <v>3.3088764124881376</v>
      </c>
      <c r="L662" s="16">
        <v>82.833597390547737</v>
      </c>
      <c r="M662" s="16">
        <v>23.001247738711172</v>
      </c>
      <c r="N662" s="16">
        <v>62.289926149755729</v>
      </c>
      <c r="O662" s="16">
        <v>67.9845266031422</v>
      </c>
      <c r="P662" s="16">
        <v>32.567808829466159</v>
      </c>
      <c r="Q662" s="16">
        <v>94.622688435933114</v>
      </c>
    </row>
    <row r="663" spans="1:17" ht="12.75" x14ac:dyDescent="0.2">
      <c r="A663" s="4" t="s">
        <v>115</v>
      </c>
      <c r="B663" s="4" t="s">
        <v>116</v>
      </c>
      <c r="C663" s="4" t="s">
        <v>4650</v>
      </c>
      <c r="D663" s="4" t="s">
        <v>4651</v>
      </c>
      <c r="E663" s="4" t="s">
        <v>39</v>
      </c>
      <c r="F663" s="4" t="s">
        <v>18</v>
      </c>
      <c r="G663" s="4" t="s">
        <v>61</v>
      </c>
      <c r="H663" s="4"/>
      <c r="I663" s="4" t="s">
        <v>40</v>
      </c>
      <c r="J663" s="17" t="s">
        <v>3290</v>
      </c>
      <c r="K663" s="16">
        <v>29.133194706866739</v>
      </c>
      <c r="L663" s="16">
        <v>40.010302194211292</v>
      </c>
      <c r="M663" s="16">
        <v>78.066572749950495</v>
      </c>
      <c r="N663" s="16">
        <v>74.620304892087532</v>
      </c>
      <c r="O663" s="16">
        <v>47.058142045078391</v>
      </c>
      <c r="P663" s="16">
        <v>9.7356151848739572</v>
      </c>
      <c r="Q663" s="16">
        <v>41.684551082935748</v>
      </c>
    </row>
    <row r="664" spans="1:17" ht="12.75" x14ac:dyDescent="0.2">
      <c r="A664" s="4" t="s">
        <v>115</v>
      </c>
      <c r="B664" s="4" t="s">
        <v>119</v>
      </c>
      <c r="C664" s="4" t="s">
        <v>4652</v>
      </c>
      <c r="D664" s="4" t="s">
        <v>4653</v>
      </c>
      <c r="E664" s="4" t="s">
        <v>39</v>
      </c>
      <c r="F664" s="4" t="s">
        <v>11</v>
      </c>
      <c r="G664" s="4" t="s">
        <v>72</v>
      </c>
      <c r="I664" s="4" t="s">
        <v>40</v>
      </c>
      <c r="J664" s="17" t="s">
        <v>3290</v>
      </c>
      <c r="K664" s="16">
        <v>32.777941795742628</v>
      </c>
      <c r="L664" s="16">
        <v>98.566778536031023</v>
      </c>
      <c r="M664" s="16">
        <v>6.2222670234415851</v>
      </c>
      <c r="N664" s="16">
        <v>66.780219058546578</v>
      </c>
      <c r="O664" s="16">
        <v>82.414582175956625</v>
      </c>
      <c r="P664" s="16">
        <v>10.989218076061869</v>
      </c>
      <c r="Q664" s="16">
        <v>30.372159822172364</v>
      </c>
    </row>
    <row r="665" spans="1:17" ht="12.75" x14ac:dyDescent="0.2">
      <c r="A665" s="4" t="s">
        <v>98</v>
      </c>
      <c r="B665" s="4" t="s">
        <v>105</v>
      </c>
      <c r="C665" s="4" t="s">
        <v>4654</v>
      </c>
      <c r="D665" s="4" t="s">
        <v>4655</v>
      </c>
      <c r="E665" s="4" t="s">
        <v>39</v>
      </c>
      <c r="F665" s="4" t="s">
        <v>32</v>
      </c>
      <c r="G665" s="4" t="s">
        <v>41</v>
      </c>
      <c r="H665" s="4"/>
      <c r="I665" s="4" t="s">
        <v>40</v>
      </c>
      <c r="J665" s="17" t="s">
        <v>3290</v>
      </c>
      <c r="K665" s="16">
        <v>30.692827271642198</v>
      </c>
      <c r="L665" s="16">
        <v>22.595507208189012</v>
      </c>
      <c r="M665" s="16">
        <v>34.877298931141453</v>
      </c>
      <c r="N665" s="16">
        <v>97.039177203135907</v>
      </c>
      <c r="O665" s="16">
        <v>8.55163105617941</v>
      </c>
      <c r="P665" s="16">
        <v>7.4653221698726568</v>
      </c>
      <c r="Q665" s="16">
        <v>90.334366931383286</v>
      </c>
    </row>
    <row r="666" spans="1:17" ht="12.75" x14ac:dyDescent="0.2">
      <c r="A666" s="4" t="s">
        <v>64</v>
      </c>
      <c r="B666" s="4" t="s">
        <v>86</v>
      </c>
      <c r="C666" s="4" t="s">
        <v>4656</v>
      </c>
      <c r="D666" s="4" t="s">
        <v>4657</v>
      </c>
      <c r="E666" s="4" t="s">
        <v>39</v>
      </c>
      <c r="F666" s="4" t="s">
        <v>11</v>
      </c>
      <c r="G666" s="4" t="s">
        <v>72</v>
      </c>
      <c r="I666" s="4" t="s">
        <v>40</v>
      </c>
      <c r="J666" s="17" t="s">
        <v>3290</v>
      </c>
      <c r="K666" s="16">
        <v>22.345987395797451</v>
      </c>
      <c r="L666" s="16">
        <v>98.276427759788675</v>
      </c>
      <c r="M666" s="16">
        <v>16.925815703404101</v>
      </c>
      <c r="N666" s="16">
        <v>86.536468365403991</v>
      </c>
      <c r="O666" s="16">
        <v>47.418964793636107</v>
      </c>
      <c r="P666" s="16">
        <v>18.392638055217802</v>
      </c>
      <c r="Q666" s="16">
        <v>50.71998513534254</v>
      </c>
    </row>
    <row r="667" spans="1:17" ht="12.75" x14ac:dyDescent="0.2">
      <c r="A667" s="4" t="s">
        <v>64</v>
      </c>
      <c r="B667" s="4" t="s">
        <v>89</v>
      </c>
      <c r="C667" s="4" t="s">
        <v>4658</v>
      </c>
      <c r="D667" s="4" t="s">
        <v>4659</v>
      </c>
      <c r="E667" s="4" t="s">
        <v>39</v>
      </c>
      <c r="F667" s="4" t="s">
        <v>18</v>
      </c>
      <c r="G667" s="4" t="s">
        <v>19</v>
      </c>
      <c r="H667" s="4" t="s">
        <v>4660</v>
      </c>
      <c r="I667" s="4" t="s">
        <v>40</v>
      </c>
      <c r="J667" s="17" t="s">
        <v>3290</v>
      </c>
      <c r="K667" s="16">
        <v>24.728232671239393</v>
      </c>
      <c r="L667" s="16">
        <v>29.175264336644048</v>
      </c>
      <c r="M667" s="16">
        <v>88.733128688920928</v>
      </c>
      <c r="N667" s="16">
        <v>70.693205969177271</v>
      </c>
      <c r="O667" s="16">
        <v>46.391384085452216</v>
      </c>
      <c r="P667" s="16">
        <v>52.581943819200625</v>
      </c>
      <c r="Q667" s="16">
        <v>58.469020175142695</v>
      </c>
    </row>
    <row r="668" spans="1:17" ht="12.75" x14ac:dyDescent="0.2">
      <c r="A668" s="4" t="s">
        <v>64</v>
      </c>
      <c r="B668" s="4" t="s">
        <v>95</v>
      </c>
      <c r="C668" s="4" t="s">
        <v>4661</v>
      </c>
      <c r="D668" s="4" t="s">
        <v>4662</v>
      </c>
      <c r="E668" s="4" t="s">
        <v>39</v>
      </c>
      <c r="F668" s="4" t="s">
        <v>11</v>
      </c>
      <c r="G668" s="4" t="s">
        <v>61</v>
      </c>
      <c r="H668" s="4" t="s">
        <v>4445</v>
      </c>
      <c r="I668" s="4" t="s">
        <v>40</v>
      </c>
      <c r="J668" s="17" t="s">
        <v>3290</v>
      </c>
      <c r="K668" s="16">
        <v>20.999610780764179</v>
      </c>
      <c r="L668" s="16">
        <v>8.0466411608365647</v>
      </c>
      <c r="M668" s="16">
        <v>59.933400787097376</v>
      </c>
      <c r="N668" s="16">
        <v>48.22824151865872</v>
      </c>
      <c r="O668" s="16">
        <v>90.13646042787758</v>
      </c>
      <c r="P668" s="16">
        <v>43.304426977766731</v>
      </c>
      <c r="Q668" s="16">
        <v>87.446769440618581</v>
      </c>
    </row>
    <row r="669" spans="1:17" ht="12.75" x14ac:dyDescent="0.2">
      <c r="A669" s="4" t="s">
        <v>7</v>
      </c>
      <c r="B669" s="4" t="s">
        <v>8</v>
      </c>
      <c r="C669" s="4" t="s">
        <v>4663</v>
      </c>
      <c r="D669" s="4" t="s">
        <v>4664</v>
      </c>
      <c r="E669" s="4" t="s">
        <v>39</v>
      </c>
      <c r="F669" s="4" t="s">
        <v>18</v>
      </c>
      <c r="G669" s="4" t="s">
        <v>61</v>
      </c>
      <c r="H669" s="4"/>
      <c r="I669" s="4" t="s">
        <v>40</v>
      </c>
      <c r="J669" s="17" t="s">
        <v>3290</v>
      </c>
      <c r="K669" s="16">
        <v>93.852816212512977</v>
      </c>
      <c r="L669" s="16">
        <v>40.434592919010193</v>
      </c>
      <c r="M669" s="16">
        <v>56.530596286053544</v>
      </c>
      <c r="N669" s="16">
        <v>65.737348750345376</v>
      </c>
      <c r="O669" s="16">
        <v>45.878711427819361</v>
      </c>
      <c r="P669" s="16">
        <v>88.853825854840153</v>
      </c>
      <c r="Q669" s="16">
        <v>28.282137285603191</v>
      </c>
    </row>
    <row r="670" spans="1:17" ht="12.75" x14ac:dyDescent="0.2">
      <c r="A670" s="4" t="s">
        <v>7</v>
      </c>
      <c r="B670" s="4" t="s">
        <v>16</v>
      </c>
      <c r="C670" s="4" t="s">
        <v>4665</v>
      </c>
      <c r="D670" s="4" t="s">
        <v>4666</v>
      </c>
      <c r="E670" s="4" t="s">
        <v>39</v>
      </c>
      <c r="F670" s="4" t="s">
        <v>18</v>
      </c>
      <c r="G670" s="4" t="s">
        <v>61</v>
      </c>
      <c r="H670" s="4"/>
      <c r="I670" s="4" t="s">
        <v>40</v>
      </c>
      <c r="J670" s="17" t="s">
        <v>3290</v>
      </c>
      <c r="K670" s="16">
        <v>27.467213654097232</v>
      </c>
      <c r="L670" s="16">
        <v>71.377881664231381</v>
      </c>
      <c r="M670" s="16">
        <v>82.575650872779548</v>
      </c>
      <c r="N670" s="16">
        <v>83.611127805664907</v>
      </c>
      <c r="O670" s="16">
        <v>93.027257326210773</v>
      </c>
      <c r="P670" s="16">
        <v>37.85274982034025</v>
      </c>
      <c r="Q670" s="16">
        <v>4.7792119364807757</v>
      </c>
    </row>
    <row r="671" spans="1:17" ht="12.75" x14ac:dyDescent="0.2">
      <c r="A671" s="4" t="s">
        <v>115</v>
      </c>
      <c r="B671" s="4" t="s">
        <v>119</v>
      </c>
      <c r="C671" s="4" t="s">
        <v>4667</v>
      </c>
      <c r="D671" s="4" t="s">
        <v>4668</v>
      </c>
      <c r="E671" s="4" t="s">
        <v>39</v>
      </c>
      <c r="F671" s="4" t="s">
        <v>18</v>
      </c>
      <c r="G671" s="4" t="s">
        <v>61</v>
      </c>
      <c r="I671" s="4" t="s">
        <v>40</v>
      </c>
      <c r="J671" s="17" t="s">
        <v>3290</v>
      </c>
      <c r="K671" s="16">
        <v>88.777343958626716</v>
      </c>
      <c r="L671" s="16">
        <v>80.329652785063715</v>
      </c>
      <c r="M671" s="16">
        <v>27.470305425126107</v>
      </c>
      <c r="N671" s="16">
        <v>33.25761655431436</v>
      </c>
      <c r="O671" s="16">
        <v>26.124452138054988</v>
      </c>
      <c r="P671" s="16">
        <v>21.088512300976969</v>
      </c>
      <c r="Q671" s="16">
        <v>7.3718119848435908</v>
      </c>
    </row>
    <row r="672" spans="1:17" ht="12.75" x14ac:dyDescent="0.2">
      <c r="A672" s="4" t="s">
        <v>7</v>
      </c>
      <c r="B672" s="4" t="s">
        <v>8</v>
      </c>
      <c r="C672" s="4" t="s">
        <v>4669</v>
      </c>
      <c r="D672" s="4" t="s">
        <v>4670</v>
      </c>
      <c r="E672" s="4" t="s">
        <v>39</v>
      </c>
      <c r="F672" s="4" t="s">
        <v>18</v>
      </c>
      <c r="G672" s="4" t="s">
        <v>41</v>
      </c>
      <c r="H672" s="4" t="s">
        <v>3679</v>
      </c>
      <c r="I672" s="4" t="s">
        <v>40</v>
      </c>
      <c r="J672" s="17" t="s">
        <v>3290</v>
      </c>
      <c r="K672" s="16">
        <v>13.559636312316936</v>
      </c>
      <c r="L672" s="16">
        <v>1.3743090987710538</v>
      </c>
      <c r="M672" s="16">
        <v>42.291197015416195</v>
      </c>
      <c r="N672" s="16">
        <v>52.611905716034869</v>
      </c>
      <c r="O672" s="16">
        <v>24.384780343653468</v>
      </c>
      <c r="P672" s="16">
        <v>2.9654282685387057</v>
      </c>
      <c r="Q672" s="16">
        <v>54.465850955795133</v>
      </c>
    </row>
    <row r="673" spans="1:17" ht="12.75" x14ac:dyDescent="0.2">
      <c r="A673" s="4" t="s">
        <v>98</v>
      </c>
      <c r="B673" s="4" t="s">
        <v>110</v>
      </c>
      <c r="C673" s="4" t="s">
        <v>4671</v>
      </c>
      <c r="D673" s="4" t="s">
        <v>4672</v>
      </c>
      <c r="E673" s="4" t="s">
        <v>39</v>
      </c>
      <c r="F673" s="4" t="s">
        <v>18</v>
      </c>
      <c r="G673" s="4" t="s">
        <v>26</v>
      </c>
      <c r="H673" s="4"/>
      <c r="I673" s="4" t="s">
        <v>40</v>
      </c>
      <c r="J673" s="17" t="s">
        <v>3290</v>
      </c>
      <c r="K673" s="16">
        <v>45.752915930261096</v>
      </c>
      <c r="L673" s="16">
        <v>19.34663333459029</v>
      </c>
      <c r="M673" s="16">
        <v>97.459117290033575</v>
      </c>
      <c r="N673" s="16">
        <v>20.035367985559493</v>
      </c>
      <c r="O673" s="16">
        <v>6.2603594518850443</v>
      </c>
      <c r="P673" s="16">
        <v>28.971211603436132</v>
      </c>
      <c r="Q673" s="16">
        <v>26.526295366219223</v>
      </c>
    </row>
    <row r="674" spans="1:17" ht="12.75" x14ac:dyDescent="0.2">
      <c r="A674" s="4" t="s">
        <v>64</v>
      </c>
      <c r="B674" s="4" t="s">
        <v>86</v>
      </c>
      <c r="C674" s="4" t="s">
        <v>4673</v>
      </c>
      <c r="D674" s="4" t="s">
        <v>4674</v>
      </c>
      <c r="E674" s="4" t="s">
        <v>39</v>
      </c>
      <c r="F674" s="4" t="s">
        <v>18</v>
      </c>
      <c r="G674" s="4" t="s">
        <v>41</v>
      </c>
      <c r="I674" s="4" t="s">
        <v>40</v>
      </c>
      <c r="J674" s="17" t="s">
        <v>3290</v>
      </c>
      <c r="K674" s="16">
        <v>47.719710385930327</v>
      </c>
      <c r="L674" s="16">
        <v>88.094965738155821</v>
      </c>
      <c r="M674" s="16">
        <v>45.303573990499814</v>
      </c>
      <c r="N674" s="16">
        <v>31.363462269270315</v>
      </c>
      <c r="O674" s="16">
        <v>67.253728400994163</v>
      </c>
      <c r="P674" s="16">
        <v>27.833790211397623</v>
      </c>
      <c r="Q674" s="16">
        <v>68.954414027342764</v>
      </c>
    </row>
    <row r="675" spans="1:17" ht="12.75" x14ac:dyDescent="0.2">
      <c r="A675" s="4" t="s">
        <v>64</v>
      </c>
      <c r="B675" s="4" t="s">
        <v>95</v>
      </c>
      <c r="C675" s="4" t="s">
        <v>4675</v>
      </c>
      <c r="D675" s="4" t="s">
        <v>4676</v>
      </c>
      <c r="E675" s="4" t="s">
        <v>39</v>
      </c>
      <c r="F675" s="4" t="s">
        <v>18</v>
      </c>
      <c r="G675" s="4" t="s">
        <v>19</v>
      </c>
      <c r="H675" s="4"/>
      <c r="I675" s="4" t="s">
        <v>40</v>
      </c>
      <c r="J675" s="17" t="s">
        <v>3290</v>
      </c>
      <c r="K675" s="16">
        <v>45.149422697070285</v>
      </c>
      <c r="L675" s="16">
        <v>23.795567178626776</v>
      </c>
      <c r="M675" s="16">
        <v>10.831398518716895</v>
      </c>
      <c r="N675" s="16">
        <v>8.7449330512617163</v>
      </c>
      <c r="O675" s="16">
        <v>8.5090633811500833</v>
      </c>
      <c r="P675" s="16">
        <v>34.076368754753872</v>
      </c>
      <c r="Q675" s="16">
        <v>62.625135229162929</v>
      </c>
    </row>
    <row r="676" spans="1:17" ht="12.75" x14ac:dyDescent="0.2">
      <c r="A676" s="4" t="s">
        <v>64</v>
      </c>
      <c r="B676" s="4" t="s">
        <v>92</v>
      </c>
      <c r="C676" s="4" t="s">
        <v>4677</v>
      </c>
      <c r="D676" s="4" t="s">
        <v>4678</v>
      </c>
      <c r="E676" s="4" t="s">
        <v>39</v>
      </c>
      <c r="F676" s="4" t="s">
        <v>18</v>
      </c>
      <c r="G676" s="4" t="s">
        <v>61</v>
      </c>
      <c r="H676" s="4"/>
      <c r="I676" s="4" t="s">
        <v>40</v>
      </c>
      <c r="J676" s="17" t="s">
        <v>3290</v>
      </c>
      <c r="K676" s="16">
        <v>4.1267833623873651</v>
      </c>
      <c r="L676" s="16">
        <v>98.441601667848118</v>
      </c>
      <c r="M676" s="16">
        <v>49.932197327338848</v>
      </c>
      <c r="N676" s="16">
        <v>89.495384636859612</v>
      </c>
      <c r="O676" s="16">
        <v>35.849427034854244</v>
      </c>
      <c r="P676" s="16">
        <v>45.101258604804841</v>
      </c>
      <c r="Q676" s="16">
        <v>46.665340768615017</v>
      </c>
    </row>
    <row r="677" spans="1:17" ht="12.75" x14ac:dyDescent="0.2">
      <c r="A677" s="4" t="s">
        <v>7</v>
      </c>
      <c r="B677" s="4" t="s">
        <v>16</v>
      </c>
      <c r="C677" s="4" t="s">
        <v>4679</v>
      </c>
      <c r="D677" s="4" t="s">
        <v>4680</v>
      </c>
      <c r="E677" s="4" t="s">
        <v>39</v>
      </c>
      <c r="F677" s="4" t="s">
        <v>18</v>
      </c>
      <c r="G677" s="4" t="s">
        <v>61</v>
      </c>
      <c r="H677" s="4"/>
      <c r="I677" s="4" t="s">
        <v>40</v>
      </c>
      <c r="J677" s="17" t="s">
        <v>3290</v>
      </c>
      <c r="K677" s="16">
        <v>8.4062134601379341</v>
      </c>
      <c r="L677" s="16">
        <v>99.660949489011514</v>
      </c>
      <c r="M677" s="16">
        <v>86.253179647937912</v>
      </c>
      <c r="N677" s="16">
        <v>8.9138482345414332</v>
      </c>
      <c r="O677" s="16">
        <v>86.659395518238199</v>
      </c>
      <c r="P677" s="16">
        <v>57.76028199956572</v>
      </c>
      <c r="Q677" s="16">
        <v>32.222384499692822</v>
      </c>
    </row>
    <row r="678" spans="1:17" ht="12.75" x14ac:dyDescent="0.2">
      <c r="A678" s="4" t="s">
        <v>115</v>
      </c>
      <c r="B678" s="4" t="s">
        <v>122</v>
      </c>
      <c r="C678" s="4" t="s">
        <v>4681</v>
      </c>
      <c r="D678" s="4" t="s">
        <v>4682</v>
      </c>
      <c r="E678" s="4" t="s">
        <v>39</v>
      </c>
      <c r="F678" s="4" t="s">
        <v>18</v>
      </c>
      <c r="G678" s="4" t="s">
        <v>61</v>
      </c>
      <c r="H678" s="4"/>
      <c r="I678" s="4" t="s">
        <v>40</v>
      </c>
      <c r="J678" s="17" t="s">
        <v>3290</v>
      </c>
      <c r="K678" s="16">
        <v>43.047494987375856</v>
      </c>
      <c r="L678" s="16">
        <v>29.256527018580279</v>
      </c>
      <c r="M678" s="16">
        <v>26.790745720826127</v>
      </c>
      <c r="N678" s="16">
        <v>9.0840908531244828</v>
      </c>
      <c r="O678" s="16">
        <v>6.6385931865011401</v>
      </c>
      <c r="P678" s="16">
        <v>43.396429422717695</v>
      </c>
      <c r="Q678" s="16">
        <v>14.304321809082477</v>
      </c>
    </row>
    <row r="679" spans="1:17" ht="12.75" x14ac:dyDescent="0.2">
      <c r="A679" s="4" t="s">
        <v>64</v>
      </c>
      <c r="B679" s="4" t="s">
        <v>95</v>
      </c>
      <c r="C679" s="4" t="s">
        <v>4683</v>
      </c>
      <c r="D679" s="4" t="s">
        <v>4684</v>
      </c>
      <c r="E679" s="4" t="s">
        <v>39</v>
      </c>
      <c r="F679" s="4" t="s">
        <v>18</v>
      </c>
      <c r="G679" s="4" t="s">
        <v>41</v>
      </c>
      <c r="H679" s="4"/>
      <c r="I679" s="4" t="s">
        <v>40</v>
      </c>
      <c r="J679" s="17" t="s">
        <v>3290</v>
      </c>
      <c r="K679" s="16">
        <v>50.629829162968463</v>
      </c>
      <c r="L679" s="16">
        <v>75.503032283651521</v>
      </c>
      <c r="M679" s="16">
        <v>31.92670659441178</v>
      </c>
      <c r="N679" s="16">
        <v>4.9200854794297255</v>
      </c>
      <c r="O679" s="16">
        <v>11.603368750373111</v>
      </c>
      <c r="P679" s="16">
        <v>36.45166618212766</v>
      </c>
      <c r="Q679" s="16">
        <v>78.484523102889838</v>
      </c>
    </row>
    <row r="680" spans="1:17" ht="12.75" x14ac:dyDescent="0.2">
      <c r="A680" s="4" t="s">
        <v>115</v>
      </c>
      <c r="B680" s="4" t="s">
        <v>134</v>
      </c>
      <c r="C680" s="4" t="s">
        <v>4685</v>
      </c>
      <c r="D680" s="4" t="s">
        <v>4686</v>
      </c>
      <c r="E680" s="4" t="s">
        <v>39</v>
      </c>
      <c r="F680" s="4" t="s">
        <v>18</v>
      </c>
      <c r="G680" s="4" t="s">
        <v>61</v>
      </c>
      <c r="I680" s="4" t="s">
        <v>40</v>
      </c>
      <c r="J680" s="17" t="s">
        <v>3290</v>
      </c>
      <c r="K680" s="16">
        <v>49.989101785407286</v>
      </c>
      <c r="L680" s="16">
        <v>39.846799756135141</v>
      </c>
      <c r="M680" s="16">
        <v>63.851136987147882</v>
      </c>
      <c r="N680" s="16">
        <v>16.639521843869986</v>
      </c>
      <c r="O680" s="16">
        <v>78.091996468502373</v>
      </c>
      <c r="P680" s="16">
        <v>54.74928764665988</v>
      </c>
      <c r="Q680" s="16">
        <v>38.898161045320933</v>
      </c>
    </row>
    <row r="681" spans="1:17" ht="12.75" x14ac:dyDescent="0.2">
      <c r="A681" s="4" t="s">
        <v>37</v>
      </c>
      <c r="B681" s="4" t="s">
        <v>38</v>
      </c>
      <c r="C681" s="4" t="s">
        <v>4687</v>
      </c>
      <c r="D681" s="4" t="s">
        <v>4688</v>
      </c>
      <c r="E681" s="4" t="s">
        <v>39</v>
      </c>
      <c r="F681" s="4" t="s">
        <v>18</v>
      </c>
      <c r="G681" s="4" t="s">
        <v>41</v>
      </c>
      <c r="H681" s="4"/>
      <c r="I681" s="4" t="s">
        <v>40</v>
      </c>
      <c r="J681" s="17" t="s">
        <v>3290</v>
      </c>
      <c r="K681" s="16">
        <v>76.353313806979401</v>
      </c>
      <c r="L681" s="16">
        <v>40.956056699458074</v>
      </c>
      <c r="M681" s="16">
        <v>61.988069105200964</v>
      </c>
      <c r="N681" s="16">
        <v>30.771605197397733</v>
      </c>
      <c r="O681" s="16">
        <v>1.7926456122200451</v>
      </c>
      <c r="P681" s="16">
        <v>84.886960477402582</v>
      </c>
      <c r="Q681" s="16">
        <v>5.1742368971919417</v>
      </c>
    </row>
    <row r="682" spans="1:17" ht="12.75" x14ac:dyDescent="0.2">
      <c r="A682" s="4" t="s">
        <v>115</v>
      </c>
      <c r="B682" s="4" t="s">
        <v>116</v>
      </c>
      <c r="C682" s="4" t="s">
        <v>4689</v>
      </c>
      <c r="D682" s="4" t="s">
        <v>4690</v>
      </c>
      <c r="E682" s="4" t="s">
        <v>39</v>
      </c>
      <c r="F682" s="4" t="s">
        <v>11</v>
      </c>
      <c r="G682" s="4" t="s">
        <v>61</v>
      </c>
      <c r="I682" s="4" t="s">
        <v>40</v>
      </c>
      <c r="J682" s="17" t="s">
        <v>3290</v>
      </c>
      <c r="K682" s="16">
        <v>9.8503272259574892</v>
      </c>
      <c r="L682" s="16">
        <v>9.7529331395035719</v>
      </c>
      <c r="M682" s="16">
        <v>60.482659565992883</v>
      </c>
      <c r="N682" s="16">
        <v>49.295180260479334</v>
      </c>
      <c r="O682" s="16">
        <v>50.259088723832527</v>
      </c>
      <c r="P682" s="16">
        <v>74.172645996466684</v>
      </c>
      <c r="Q682" s="16">
        <v>26.401875083344251</v>
      </c>
    </row>
    <row r="683" spans="1:17" ht="12.75" x14ac:dyDescent="0.2">
      <c r="A683" s="4" t="s">
        <v>7</v>
      </c>
      <c r="B683" s="4" t="s">
        <v>16</v>
      </c>
      <c r="C683" s="4" t="s">
        <v>4691</v>
      </c>
      <c r="D683" s="4" t="s">
        <v>4692</v>
      </c>
      <c r="E683" s="4" t="s">
        <v>39</v>
      </c>
      <c r="F683" s="4" t="s">
        <v>18</v>
      </c>
      <c r="G683" s="4" t="s">
        <v>61</v>
      </c>
      <c r="H683" s="4"/>
      <c r="I683" s="4" t="s">
        <v>40</v>
      </c>
      <c r="J683" s="17" t="s">
        <v>3290</v>
      </c>
      <c r="K683" s="16">
        <v>28.072829118027897</v>
      </c>
      <c r="L683" s="16">
        <v>96.225077135917005</v>
      </c>
      <c r="M683" s="16">
        <v>16.072828084714097</v>
      </c>
      <c r="N683" s="16">
        <v>31.25760122821648</v>
      </c>
      <c r="O683" s="16">
        <v>63.676094100219252</v>
      </c>
      <c r="P683" s="16">
        <v>14.060759525099654</v>
      </c>
      <c r="Q683" s="16">
        <v>7.337131614679282</v>
      </c>
    </row>
    <row r="684" spans="1:17" ht="12.75" x14ac:dyDescent="0.2">
      <c r="A684" s="4" t="s">
        <v>64</v>
      </c>
      <c r="B684" s="4" t="s">
        <v>86</v>
      </c>
      <c r="C684" s="4" t="s">
        <v>4693</v>
      </c>
      <c r="D684" s="4" t="s">
        <v>4694</v>
      </c>
      <c r="E684" s="4" t="s">
        <v>39</v>
      </c>
      <c r="F684" s="4" t="s">
        <v>18</v>
      </c>
      <c r="G684" s="4" t="s">
        <v>26</v>
      </c>
      <c r="I684" s="4" t="s">
        <v>40</v>
      </c>
      <c r="J684" s="17" t="s">
        <v>3290</v>
      </c>
      <c r="K684" s="16">
        <v>91.99348562607031</v>
      </c>
      <c r="L684" s="16">
        <v>17.119835589616905</v>
      </c>
      <c r="M684" s="16">
        <v>23.555088122409128</v>
      </c>
      <c r="N684" s="16">
        <v>10.978773197381342</v>
      </c>
      <c r="O684" s="16">
        <v>63.310136694808406</v>
      </c>
      <c r="P684" s="16">
        <v>4.3877167600356319</v>
      </c>
      <c r="Q684" s="16">
        <v>93.002037845202821</v>
      </c>
    </row>
    <row r="685" spans="1:17" ht="12.75" x14ac:dyDescent="0.2">
      <c r="A685" s="4" t="s">
        <v>115</v>
      </c>
      <c r="B685" s="4" t="s">
        <v>116</v>
      </c>
      <c r="C685" s="4" t="s">
        <v>4695</v>
      </c>
      <c r="D685" s="4" t="s">
        <v>4696</v>
      </c>
      <c r="E685" s="4" t="s">
        <v>39</v>
      </c>
      <c r="F685" s="4" t="s">
        <v>11</v>
      </c>
      <c r="G685" s="4" t="s">
        <v>61</v>
      </c>
      <c r="H685" s="4"/>
      <c r="I685" s="4" t="s">
        <v>40</v>
      </c>
      <c r="J685" s="17" t="s">
        <v>3290</v>
      </c>
      <c r="K685" s="16">
        <v>74.362782357121532</v>
      </c>
      <c r="L685" s="16">
        <v>90.926510182497324</v>
      </c>
      <c r="M685" s="16">
        <v>13.761241095428534</v>
      </c>
      <c r="N685" s="16">
        <v>5.6884533298462658</v>
      </c>
      <c r="O685" s="16">
        <v>14.858615318949386</v>
      </c>
      <c r="P685" s="16">
        <v>42.613982586184804</v>
      </c>
      <c r="Q685" s="16">
        <v>71.859590824662988</v>
      </c>
    </row>
    <row r="686" spans="1:17" ht="12.75" x14ac:dyDescent="0.2">
      <c r="A686" s="4" t="s">
        <v>98</v>
      </c>
      <c r="B686" s="4" t="s">
        <v>105</v>
      </c>
      <c r="C686" s="4" t="s">
        <v>4697</v>
      </c>
      <c r="D686" s="4" t="s">
        <v>4698</v>
      </c>
      <c r="E686" s="4" t="s">
        <v>39</v>
      </c>
      <c r="F686" s="4" t="s">
        <v>18</v>
      </c>
      <c r="G686" s="4" t="s">
        <v>41</v>
      </c>
      <c r="H686" s="4"/>
      <c r="I686" s="4" t="s">
        <v>40</v>
      </c>
      <c r="J686" s="17" t="s">
        <v>3290</v>
      </c>
      <c r="K686" s="16">
        <v>21.359416077213311</v>
      </c>
      <c r="L686" s="16">
        <v>77.446448137708472</v>
      </c>
      <c r="M686" s="16">
        <v>27.025669848944421</v>
      </c>
      <c r="N686" s="16">
        <v>86.8379145267578</v>
      </c>
      <c r="O686" s="16">
        <v>97.671309690510256</v>
      </c>
      <c r="P686" s="16">
        <v>71.514220138853389</v>
      </c>
      <c r="Q686" s="16">
        <v>52.385933761236799</v>
      </c>
    </row>
    <row r="687" spans="1:17" ht="12.75" x14ac:dyDescent="0.2">
      <c r="A687" s="4" t="s">
        <v>115</v>
      </c>
      <c r="B687" s="4" t="s">
        <v>134</v>
      </c>
      <c r="C687" s="4" t="s">
        <v>4699</v>
      </c>
      <c r="D687" s="4" t="s">
        <v>4700</v>
      </c>
      <c r="E687" s="4" t="s">
        <v>39</v>
      </c>
      <c r="F687" s="4" t="s">
        <v>18</v>
      </c>
      <c r="G687" s="4" t="s">
        <v>54</v>
      </c>
      <c r="I687" s="4" t="s">
        <v>40</v>
      </c>
      <c r="J687" s="17" t="s">
        <v>3290</v>
      </c>
      <c r="K687" s="16">
        <v>86.425416246612329</v>
      </c>
      <c r="L687" s="16">
        <v>6.4967983156596461</v>
      </c>
      <c r="M687" s="16">
        <v>77.916067717469815</v>
      </c>
      <c r="N687" s="16">
        <v>35.825041482319762</v>
      </c>
      <c r="O687" s="16">
        <v>36.910081635532535</v>
      </c>
      <c r="P687" s="16">
        <v>63.161135759924761</v>
      </c>
      <c r="Q687" s="16">
        <v>11.282423591154755</v>
      </c>
    </row>
    <row r="688" spans="1:17" ht="12.75" x14ac:dyDescent="0.2">
      <c r="A688" s="4" t="s">
        <v>115</v>
      </c>
      <c r="B688" s="4" t="s">
        <v>134</v>
      </c>
      <c r="C688" s="4" t="s">
        <v>4701</v>
      </c>
      <c r="D688" s="4" t="s">
        <v>4702</v>
      </c>
      <c r="E688" s="4" t="s">
        <v>39</v>
      </c>
      <c r="F688" s="4" t="s">
        <v>18</v>
      </c>
      <c r="G688" s="4" t="s">
        <v>12</v>
      </c>
      <c r="I688" s="4" t="s">
        <v>40</v>
      </c>
      <c r="J688" s="17" t="s">
        <v>3290</v>
      </c>
      <c r="K688" s="16">
        <v>86.854883733785954</v>
      </c>
      <c r="L688" s="16">
        <v>0.79226409851720359</v>
      </c>
      <c r="M688" s="16">
        <v>29.679151530654767</v>
      </c>
      <c r="N688" s="16">
        <v>31.708658501716791</v>
      </c>
      <c r="O688" s="16">
        <v>51.034272239352561</v>
      </c>
      <c r="P688" s="16">
        <v>62.785782252235101</v>
      </c>
      <c r="Q688" s="16">
        <v>89.074462593968136</v>
      </c>
    </row>
    <row r="689" spans="1:18" ht="12.75" x14ac:dyDescent="0.2">
      <c r="A689" s="4" t="s">
        <v>115</v>
      </c>
      <c r="B689" s="4" t="s">
        <v>116</v>
      </c>
      <c r="C689" s="4" t="s">
        <v>4703</v>
      </c>
      <c r="D689" s="4" t="s">
        <v>4704</v>
      </c>
      <c r="E689" s="4" t="s">
        <v>39</v>
      </c>
      <c r="F689" s="4" t="s">
        <v>18</v>
      </c>
      <c r="G689" s="4" t="s">
        <v>61</v>
      </c>
      <c r="I689" s="4" t="s">
        <v>40</v>
      </c>
      <c r="J689" s="17" t="s">
        <v>3290</v>
      </c>
      <c r="K689" s="16">
        <v>80.202759707940643</v>
      </c>
      <c r="L689" s="16">
        <v>10.61888296056247</v>
      </c>
      <c r="M689" s="16">
        <v>70.264754706292095</v>
      </c>
      <c r="N689" s="16">
        <v>22.27305067481068</v>
      </c>
      <c r="O689" s="16">
        <v>33.049454293357513</v>
      </c>
      <c r="P689" s="16">
        <v>90.323246178906714</v>
      </c>
      <c r="Q689" s="16">
        <v>91.89937710327662</v>
      </c>
    </row>
    <row r="690" spans="1:18" ht="12.75" x14ac:dyDescent="0.2">
      <c r="A690" s="4" t="s">
        <v>115</v>
      </c>
      <c r="B690" s="4" t="s">
        <v>116</v>
      </c>
      <c r="C690" s="4" t="s">
        <v>4705</v>
      </c>
      <c r="D690" s="4" t="s">
        <v>4706</v>
      </c>
      <c r="E690" s="4" t="s">
        <v>39</v>
      </c>
      <c r="F690" s="4" t="s">
        <v>18</v>
      </c>
      <c r="G690" s="4" t="s">
        <v>19</v>
      </c>
      <c r="I690" s="4" t="s">
        <v>40</v>
      </c>
      <c r="J690" s="17" t="s">
        <v>3290</v>
      </c>
      <c r="K690" s="16">
        <v>82.76466449498912</v>
      </c>
      <c r="L690" s="16">
        <v>35.770223252402275</v>
      </c>
      <c r="M690" s="16">
        <v>33.486437621670426</v>
      </c>
      <c r="N690" s="16">
        <v>77.135031427780632</v>
      </c>
      <c r="O690" s="16">
        <v>17.107703495880024</v>
      </c>
      <c r="P690" s="16">
        <v>69.306624260412505</v>
      </c>
      <c r="Q690" s="16">
        <v>10.30787389134793</v>
      </c>
    </row>
    <row r="691" spans="1:18" ht="12.75" x14ac:dyDescent="0.2">
      <c r="A691" s="4" t="s">
        <v>64</v>
      </c>
      <c r="B691" s="4" t="s">
        <v>86</v>
      </c>
      <c r="C691" s="4" t="s">
        <v>4707</v>
      </c>
      <c r="D691" s="4" t="s">
        <v>4708</v>
      </c>
      <c r="E691" s="4" t="s">
        <v>39</v>
      </c>
      <c r="F691" s="4" t="s">
        <v>18</v>
      </c>
      <c r="G691" s="4" t="s">
        <v>72</v>
      </c>
      <c r="I691" s="4" t="s">
        <v>40</v>
      </c>
      <c r="J691" s="17" t="s">
        <v>3290</v>
      </c>
      <c r="K691" s="16">
        <v>53.577823259446731</v>
      </c>
      <c r="L691" s="16">
        <v>31.659951043357303</v>
      </c>
      <c r="M691" s="16">
        <v>59.989036956524089</v>
      </c>
      <c r="N691" s="16">
        <v>93.681717515680646</v>
      </c>
      <c r="O691" s="16">
        <v>12.493263080507401</v>
      </c>
      <c r="P691" s="16">
        <v>78.207615599572904</v>
      </c>
      <c r="Q691" s="16">
        <v>89.527160683593266</v>
      </c>
    </row>
    <row r="692" spans="1:18" ht="12.75" x14ac:dyDescent="0.2">
      <c r="A692" s="4" t="s">
        <v>98</v>
      </c>
      <c r="B692" s="4" t="s">
        <v>107</v>
      </c>
      <c r="C692" s="4" t="s">
        <v>4709</v>
      </c>
      <c r="D692" s="4" t="s">
        <v>4710</v>
      </c>
      <c r="E692" s="4" t="s">
        <v>39</v>
      </c>
      <c r="F692" s="4" t="s">
        <v>18</v>
      </c>
      <c r="G692" s="4" t="s">
        <v>41</v>
      </c>
      <c r="I692" s="4" t="s">
        <v>40</v>
      </c>
      <c r="J692" s="17" t="s">
        <v>3290</v>
      </c>
      <c r="K692" s="16">
        <v>22.443637875772627</v>
      </c>
      <c r="L692" s="16">
        <v>52.985005191532849</v>
      </c>
      <c r="M692" s="16">
        <v>66.082375333513937</v>
      </c>
      <c r="N692" s="16">
        <v>71.629411589382698</v>
      </c>
      <c r="O692" s="16">
        <v>84.310534475954285</v>
      </c>
      <c r="P692" s="16">
        <v>13.914922566377674</v>
      </c>
      <c r="Q692" s="16">
        <v>1.8687097476064896</v>
      </c>
    </row>
    <row r="693" spans="1:18" ht="12.75" x14ac:dyDescent="0.2">
      <c r="A693" s="4" t="s">
        <v>98</v>
      </c>
      <c r="B693" s="4" t="s">
        <v>110</v>
      </c>
      <c r="C693" s="4" t="s">
        <v>4711</v>
      </c>
      <c r="D693" s="4" t="s">
        <v>4712</v>
      </c>
      <c r="E693" s="4" t="s">
        <v>39</v>
      </c>
      <c r="F693" s="4" t="s">
        <v>11</v>
      </c>
      <c r="G693" s="4" t="s">
        <v>19</v>
      </c>
      <c r="H693" s="4"/>
      <c r="I693" s="4" t="s">
        <v>40</v>
      </c>
      <c r="J693" s="17" t="s">
        <v>3290</v>
      </c>
      <c r="K693" s="16">
        <v>84.190942964186092</v>
      </c>
      <c r="L693" s="16">
        <v>39.511564155476634</v>
      </c>
      <c r="M693" s="16">
        <v>4.1664110270492323</v>
      </c>
      <c r="N693" s="16">
        <v>87.199440352184681</v>
      </c>
      <c r="O693" s="16">
        <v>53.812263254787183</v>
      </c>
      <c r="P693" s="16">
        <v>31.544366491707578</v>
      </c>
      <c r="Q693" s="16">
        <v>72.251969716106245</v>
      </c>
    </row>
    <row r="694" spans="1:18" ht="12.75" x14ac:dyDescent="0.2">
      <c r="A694" s="4" t="s">
        <v>115</v>
      </c>
      <c r="B694" s="4" t="s">
        <v>125</v>
      </c>
      <c r="C694" s="4" t="s">
        <v>4713</v>
      </c>
      <c r="D694" s="4" t="s">
        <v>4714</v>
      </c>
      <c r="E694" s="4" t="s">
        <v>39</v>
      </c>
      <c r="F694" s="4" t="s">
        <v>18</v>
      </c>
      <c r="G694" s="4" t="s">
        <v>12</v>
      </c>
      <c r="H694" s="4" t="s">
        <v>3482</v>
      </c>
      <c r="I694" s="4" t="s">
        <v>40</v>
      </c>
      <c r="J694" s="17" t="s">
        <v>3290</v>
      </c>
      <c r="K694" s="16">
        <v>0.65704563895407908</v>
      </c>
      <c r="L694" s="16">
        <v>50.175184166990114</v>
      </c>
      <c r="M694" s="16">
        <v>57.890524081856022</v>
      </c>
      <c r="N694" s="16">
        <v>79.822871879060671</v>
      </c>
      <c r="O694" s="16">
        <v>0.56416024577438106</v>
      </c>
      <c r="P694" s="16">
        <v>33.802949336848712</v>
      </c>
      <c r="Q694" s="16">
        <v>85.629586680133755</v>
      </c>
      <c r="R694" s="4" t="s">
        <v>3285</v>
      </c>
    </row>
    <row r="695" spans="1:18" ht="12.75" x14ac:dyDescent="0.2">
      <c r="A695" s="4" t="s">
        <v>64</v>
      </c>
      <c r="B695" s="4" t="s">
        <v>92</v>
      </c>
      <c r="C695" s="4" t="s">
        <v>4715</v>
      </c>
      <c r="D695" s="4" t="s">
        <v>4716</v>
      </c>
      <c r="E695" s="4" t="s">
        <v>39</v>
      </c>
      <c r="F695" s="4" t="s">
        <v>18</v>
      </c>
      <c r="G695" s="4" t="s">
        <v>12</v>
      </c>
      <c r="H695" s="4"/>
      <c r="I695" s="4" t="s">
        <v>40</v>
      </c>
      <c r="J695" s="17" t="s">
        <v>3290</v>
      </c>
      <c r="K695" s="16">
        <v>59.030969690172178</v>
      </c>
      <c r="L695" s="16">
        <v>1.5722547819617905</v>
      </c>
      <c r="M695" s="16">
        <v>46.819730479988209</v>
      </c>
      <c r="N695" s="16">
        <v>5.0232965142356196</v>
      </c>
      <c r="O695" s="16">
        <v>6.4702125774398711</v>
      </c>
      <c r="P695" s="16">
        <v>78.000733757514723</v>
      </c>
      <c r="Q695" s="16">
        <v>64.346765193701643</v>
      </c>
    </row>
    <row r="696" spans="1:18" ht="12.75" x14ac:dyDescent="0.2">
      <c r="A696" s="4" t="s">
        <v>64</v>
      </c>
      <c r="B696" s="4" t="s">
        <v>89</v>
      </c>
      <c r="C696" s="4" t="s">
        <v>4717</v>
      </c>
      <c r="D696" s="4" t="s">
        <v>4718</v>
      </c>
      <c r="E696" s="4" t="s">
        <v>39</v>
      </c>
      <c r="F696" s="4" t="s">
        <v>18</v>
      </c>
      <c r="G696" s="4" t="s">
        <v>61</v>
      </c>
      <c r="H696" s="4"/>
      <c r="I696" s="4" t="s">
        <v>40</v>
      </c>
      <c r="J696" s="17" t="s">
        <v>3290</v>
      </c>
      <c r="K696" s="16">
        <v>95.350941020093032</v>
      </c>
      <c r="L696" s="16">
        <v>21.440732644256556</v>
      </c>
      <c r="M696" s="16">
        <v>69.258993376176193</v>
      </c>
      <c r="N696" s="16">
        <v>81.270305637321513</v>
      </c>
      <c r="O696" s="16">
        <v>52.86513641354005</v>
      </c>
      <c r="P696" s="16">
        <v>11.168122778009938</v>
      </c>
      <c r="Q696" s="16">
        <v>56.591381647578132</v>
      </c>
    </row>
    <row r="697" spans="1:18" ht="12.75" x14ac:dyDescent="0.2">
      <c r="A697" s="4" t="s">
        <v>98</v>
      </c>
      <c r="B697" s="4" t="s">
        <v>99</v>
      </c>
      <c r="C697" s="4" t="s">
        <v>4719</v>
      </c>
      <c r="D697" s="4" t="s">
        <v>4720</v>
      </c>
      <c r="E697" s="4" t="s">
        <v>39</v>
      </c>
      <c r="F697" s="4" t="s">
        <v>18</v>
      </c>
      <c r="G697" s="4" t="s">
        <v>61</v>
      </c>
      <c r="H697" s="4"/>
      <c r="I697" s="4" t="s">
        <v>40</v>
      </c>
      <c r="J697" s="17" t="s">
        <v>3290</v>
      </c>
      <c r="K697" s="16">
        <v>19.827725285567123</v>
      </c>
      <c r="L697" s="16">
        <v>10.573312256649581</v>
      </c>
      <c r="M697" s="16">
        <v>31.795892034260721</v>
      </c>
      <c r="N697" s="16">
        <v>35.321081192749091</v>
      </c>
      <c r="O697" s="16">
        <v>16.672299143564693</v>
      </c>
      <c r="P697" s="16">
        <v>27.257121003792673</v>
      </c>
      <c r="Q697" s="16">
        <v>86.386528051444188</v>
      </c>
    </row>
    <row r="698" spans="1:18" ht="12.75" x14ac:dyDescent="0.2">
      <c r="A698" s="4" t="s">
        <v>115</v>
      </c>
      <c r="B698" s="4" t="s">
        <v>125</v>
      </c>
      <c r="C698" s="4" t="s">
        <v>4721</v>
      </c>
      <c r="D698" s="4" t="s">
        <v>4722</v>
      </c>
      <c r="E698" s="4" t="s">
        <v>39</v>
      </c>
      <c r="F698" s="4" t="s">
        <v>18</v>
      </c>
      <c r="G698" s="4" t="s">
        <v>41</v>
      </c>
      <c r="I698" s="4" t="s">
        <v>40</v>
      </c>
      <c r="J698" s="17" t="s">
        <v>3290</v>
      </c>
      <c r="K698" s="16">
        <v>89.103591410981764</v>
      </c>
      <c r="L698" s="16">
        <v>47.90053108328781</v>
      </c>
      <c r="M698" s="16">
        <v>81.495308246182873</v>
      </c>
      <c r="N698" s="16">
        <v>81.388791772173406</v>
      </c>
      <c r="O698" s="16">
        <v>41.414522398051503</v>
      </c>
      <c r="P698" s="16">
        <v>83.398866588790284</v>
      </c>
      <c r="Q698" s="16">
        <v>96.858409884290523</v>
      </c>
      <c r="R698" s="4" t="s">
        <v>3285</v>
      </c>
    </row>
    <row r="699" spans="1:18" ht="12.75" x14ac:dyDescent="0.2">
      <c r="A699" s="4" t="s">
        <v>115</v>
      </c>
      <c r="B699" s="4" t="s">
        <v>128</v>
      </c>
      <c r="C699" s="4" t="s">
        <v>4723</v>
      </c>
      <c r="D699" s="4" t="s">
        <v>4724</v>
      </c>
      <c r="E699" s="4" t="s">
        <v>39</v>
      </c>
      <c r="F699" s="4" t="s">
        <v>18</v>
      </c>
      <c r="G699" s="4" t="s">
        <v>12</v>
      </c>
      <c r="H699" s="4" t="s">
        <v>4725</v>
      </c>
      <c r="I699" s="4" t="s">
        <v>40</v>
      </c>
      <c r="J699" s="17" t="s">
        <v>3290</v>
      </c>
      <c r="K699" s="16">
        <v>42.531453592070449</v>
      </c>
      <c r="L699" s="16">
        <v>57.743235811061233</v>
      </c>
      <c r="M699" s="16">
        <v>90.997456816258733</v>
      </c>
      <c r="N699" s="16">
        <v>42.650543717892688</v>
      </c>
      <c r="O699" s="16">
        <v>31.137641667628337</v>
      </c>
      <c r="P699" s="16">
        <v>24.717004138740496</v>
      </c>
      <c r="Q699" s="16">
        <v>16.90030912900643</v>
      </c>
    </row>
    <row r="700" spans="1:18" ht="12.75" x14ac:dyDescent="0.2">
      <c r="A700" s="4" t="s">
        <v>115</v>
      </c>
      <c r="B700" s="4" t="s">
        <v>131</v>
      </c>
      <c r="C700" s="4" t="s">
        <v>4726</v>
      </c>
      <c r="D700" s="4" t="s">
        <v>4727</v>
      </c>
      <c r="E700" s="4" t="s">
        <v>39</v>
      </c>
      <c r="F700" s="4" t="s">
        <v>18</v>
      </c>
      <c r="G700" s="4" t="s">
        <v>72</v>
      </c>
      <c r="H700" s="4" t="s">
        <v>3398</v>
      </c>
      <c r="I700" s="4" t="s">
        <v>40</v>
      </c>
      <c r="J700" s="17" t="s">
        <v>3290</v>
      </c>
      <c r="K700" s="16">
        <v>91.848662539103117</v>
      </c>
      <c r="L700" s="16">
        <v>25.30668423117557</v>
      </c>
      <c r="M700" s="16">
        <v>62.841455006766822</v>
      </c>
      <c r="N700" s="16">
        <v>41.823147384688177</v>
      </c>
      <c r="O700" s="16">
        <v>80.811859218734</v>
      </c>
      <c r="P700" s="16">
        <v>61.763531244515413</v>
      </c>
      <c r="Q700" s="16">
        <v>44.573238383311555</v>
      </c>
      <c r="R700" s="4" t="s">
        <v>3396</v>
      </c>
    </row>
    <row r="701" spans="1:18" ht="12.75" x14ac:dyDescent="0.2">
      <c r="A701" s="4" t="s">
        <v>115</v>
      </c>
      <c r="B701" s="4" t="s">
        <v>131</v>
      </c>
      <c r="C701" s="4" t="s">
        <v>4728</v>
      </c>
      <c r="D701" s="4" t="s">
        <v>4729</v>
      </c>
      <c r="E701" s="4" t="s">
        <v>39</v>
      </c>
      <c r="F701" s="4" t="s">
        <v>18</v>
      </c>
      <c r="G701" s="4" t="s">
        <v>72</v>
      </c>
      <c r="H701" s="4" t="s">
        <v>3300</v>
      </c>
      <c r="I701" s="4" t="s">
        <v>40</v>
      </c>
      <c r="J701" s="17" t="s">
        <v>3290</v>
      </c>
      <c r="K701" s="16">
        <v>40.539971355030367</v>
      </c>
      <c r="L701" s="16">
        <v>80.220577037137971</v>
      </c>
      <c r="M701" s="16">
        <v>82.479710554198519</v>
      </c>
      <c r="N701" s="16">
        <v>16.161314198949196</v>
      </c>
      <c r="O701" s="16">
        <v>62.403394188338332</v>
      </c>
      <c r="P701" s="16">
        <v>50.270649101780563</v>
      </c>
      <c r="Q701" s="16">
        <v>55.787014301158131</v>
      </c>
      <c r="R701" s="4" t="s">
        <v>3396</v>
      </c>
    </row>
    <row r="702" spans="1:18" ht="12.75" x14ac:dyDescent="0.2">
      <c r="A702" s="4" t="s">
        <v>64</v>
      </c>
      <c r="B702" s="4" t="s">
        <v>95</v>
      </c>
      <c r="C702" s="4" t="s">
        <v>4730</v>
      </c>
      <c r="D702" s="4" t="s">
        <v>4731</v>
      </c>
      <c r="E702" s="4" t="s">
        <v>39</v>
      </c>
      <c r="F702" s="4" t="s">
        <v>18</v>
      </c>
      <c r="G702" s="4" t="s">
        <v>41</v>
      </c>
      <c r="H702" s="4"/>
      <c r="I702" s="4" t="s">
        <v>40</v>
      </c>
      <c r="J702" s="17" t="s">
        <v>3290</v>
      </c>
      <c r="K702" s="16">
        <v>60.551457452975932</v>
      </c>
      <c r="L702" s="16">
        <v>22.984965567890981</v>
      </c>
      <c r="M702" s="16">
        <v>35.216281874023778</v>
      </c>
      <c r="N702" s="16">
        <v>61.016218494182773</v>
      </c>
      <c r="O702" s="16">
        <v>92.319209448396933</v>
      </c>
      <c r="P702" s="16">
        <v>77.961060736890957</v>
      </c>
      <c r="Q702" s="16">
        <v>72.558336571023546</v>
      </c>
    </row>
    <row r="703" spans="1:18" ht="12.75" x14ac:dyDescent="0.2">
      <c r="A703" s="4" t="s">
        <v>115</v>
      </c>
      <c r="B703" s="4" t="s">
        <v>119</v>
      </c>
      <c r="C703" s="4" t="s">
        <v>4732</v>
      </c>
      <c r="D703" s="4" t="s">
        <v>4733</v>
      </c>
      <c r="E703" s="4" t="s">
        <v>39</v>
      </c>
      <c r="F703" s="4" t="s">
        <v>18</v>
      </c>
      <c r="G703" s="4" t="s">
        <v>61</v>
      </c>
      <c r="I703" s="4" t="s">
        <v>40</v>
      </c>
      <c r="J703" s="17" t="s">
        <v>3290</v>
      </c>
      <c r="K703" s="16">
        <v>32.109693892888437</v>
      </c>
      <c r="L703" s="16">
        <v>27.006121875517962</v>
      </c>
      <c r="M703" s="16">
        <v>58.010262184222327</v>
      </c>
      <c r="N703" s="16">
        <v>47.813088015448493</v>
      </c>
      <c r="O703" s="16">
        <v>40.302265033264227</v>
      </c>
      <c r="P703" s="16">
        <v>2.9383673536923172</v>
      </c>
      <c r="Q703" s="16">
        <v>40.846483142385239</v>
      </c>
    </row>
    <row r="704" spans="1:18" ht="12.75" x14ac:dyDescent="0.2">
      <c r="A704" s="4" t="s">
        <v>64</v>
      </c>
      <c r="B704" s="4" t="s">
        <v>70</v>
      </c>
      <c r="C704" s="4" t="s">
        <v>4734</v>
      </c>
      <c r="D704" s="4" t="s">
        <v>4735</v>
      </c>
      <c r="E704" s="4" t="s">
        <v>39</v>
      </c>
      <c r="F704" s="4" t="s">
        <v>18</v>
      </c>
      <c r="G704" s="4" t="s">
        <v>19</v>
      </c>
      <c r="H704" s="4"/>
      <c r="I704" s="4" t="s">
        <v>40</v>
      </c>
      <c r="J704" s="17" t="s">
        <v>3290</v>
      </c>
      <c r="K704" s="16">
        <v>28.301364378452199</v>
      </c>
      <c r="L704" s="16">
        <v>59.477608982355115</v>
      </c>
      <c r="M704" s="16">
        <v>18.038159052085987</v>
      </c>
      <c r="N704" s="16">
        <v>57.542257686974892</v>
      </c>
      <c r="O704" s="16">
        <v>7.655658627760964</v>
      </c>
      <c r="P704" s="16">
        <v>8.962347722436748</v>
      </c>
      <c r="Q704" s="16">
        <v>78.601518085993703</v>
      </c>
    </row>
    <row r="705" spans="1:18" ht="12.75" x14ac:dyDescent="0.2">
      <c r="A705" s="4" t="s">
        <v>7</v>
      </c>
      <c r="B705" s="4" t="s">
        <v>16</v>
      </c>
      <c r="C705" s="4" t="s">
        <v>4736</v>
      </c>
      <c r="D705" s="4" t="s">
        <v>4737</v>
      </c>
      <c r="E705" s="4" t="s">
        <v>39</v>
      </c>
      <c r="F705" s="4" t="s">
        <v>18</v>
      </c>
      <c r="G705" s="4" t="s">
        <v>41</v>
      </c>
      <c r="H705" s="4"/>
      <c r="I705" s="4" t="s">
        <v>40</v>
      </c>
      <c r="J705" s="17" t="s">
        <v>3290</v>
      </c>
      <c r="K705" s="16">
        <v>36.410543381139426</v>
      </c>
      <c r="L705" s="16">
        <v>21.003789652451776</v>
      </c>
      <c r="M705" s="16">
        <v>83.841548284816312</v>
      </c>
      <c r="N705" s="16">
        <v>58.614372650317684</v>
      </c>
      <c r="O705" s="16">
        <v>26.42850702488342</v>
      </c>
      <c r="P705" s="16">
        <v>14.64243033257585</v>
      </c>
      <c r="Q705" s="16">
        <v>29.361307223045209</v>
      </c>
    </row>
    <row r="706" spans="1:18" ht="12.75" x14ac:dyDescent="0.2">
      <c r="A706" s="4" t="s">
        <v>115</v>
      </c>
      <c r="B706" s="4" t="s">
        <v>131</v>
      </c>
      <c r="C706" s="4" t="s">
        <v>4738</v>
      </c>
      <c r="D706" s="4" t="s">
        <v>4739</v>
      </c>
      <c r="E706" s="4" t="s">
        <v>39</v>
      </c>
      <c r="F706" s="4" t="s">
        <v>18</v>
      </c>
      <c r="G706" s="4" t="s">
        <v>72</v>
      </c>
      <c r="H706" s="4" t="s">
        <v>4740</v>
      </c>
      <c r="I706" s="4" t="s">
        <v>40</v>
      </c>
      <c r="J706" s="17" t="s">
        <v>3290</v>
      </c>
      <c r="K706" s="16">
        <v>78.761326400500806</v>
      </c>
      <c r="L706" s="16">
        <v>14.002170421289827</v>
      </c>
      <c r="M706" s="16">
        <v>93.75470811045102</v>
      </c>
      <c r="N706" s="16">
        <v>87.531055115442101</v>
      </c>
      <c r="O706" s="16">
        <v>46.448615005990682</v>
      </c>
      <c r="P706" s="16">
        <v>89.13797492455582</v>
      </c>
      <c r="Q706" s="16">
        <v>45.35578763354782</v>
      </c>
      <c r="R706" s="4" t="s">
        <v>3396</v>
      </c>
    </row>
    <row r="707" spans="1:18" ht="12.75" x14ac:dyDescent="0.2">
      <c r="A707" s="4" t="s">
        <v>64</v>
      </c>
      <c r="B707" s="4" t="s">
        <v>95</v>
      </c>
      <c r="C707" s="4" t="s">
        <v>4741</v>
      </c>
      <c r="D707" s="4" t="s">
        <v>4742</v>
      </c>
      <c r="E707" s="4" t="s">
        <v>39</v>
      </c>
      <c r="F707" s="4" t="s">
        <v>18</v>
      </c>
      <c r="G707" s="4" t="s">
        <v>41</v>
      </c>
      <c r="H707" s="4"/>
      <c r="I707" s="4" t="s">
        <v>40</v>
      </c>
      <c r="J707" s="17" t="s">
        <v>3290</v>
      </c>
      <c r="K707" s="16">
        <v>30.367069112771649</v>
      </c>
      <c r="L707" s="16">
        <v>5.3079313159131054</v>
      </c>
      <c r="M707" s="16">
        <v>95.203508579565082</v>
      </c>
      <c r="N707" s="16">
        <v>11.076789366243499</v>
      </c>
      <c r="O707" s="16">
        <v>8.3797356392733118</v>
      </c>
      <c r="P707" s="16">
        <v>16.520776268616586</v>
      </c>
      <c r="Q707" s="16">
        <v>86.493122382148556</v>
      </c>
    </row>
    <row r="708" spans="1:18" ht="12.75" x14ac:dyDescent="0.2">
      <c r="A708" s="4" t="s">
        <v>64</v>
      </c>
      <c r="B708" s="4" t="s">
        <v>92</v>
      </c>
      <c r="C708" s="4" t="s">
        <v>4743</v>
      </c>
      <c r="D708" s="4" t="s">
        <v>4744</v>
      </c>
      <c r="E708" s="4" t="s">
        <v>39</v>
      </c>
      <c r="F708" s="4" t="s">
        <v>11</v>
      </c>
      <c r="G708" s="4" t="s">
        <v>72</v>
      </c>
      <c r="I708" s="4" t="s">
        <v>40</v>
      </c>
      <c r="J708" s="17" t="s">
        <v>3290</v>
      </c>
      <c r="K708" s="16">
        <v>75.154587526658602</v>
      </c>
      <c r="L708" s="16">
        <v>63.937425856493888</v>
      </c>
      <c r="M708" s="16">
        <v>97.040177302995545</v>
      </c>
      <c r="N708" s="16">
        <v>36.022202401569977</v>
      </c>
      <c r="O708" s="16">
        <v>55.661905496307718</v>
      </c>
      <c r="P708" s="16">
        <v>55.609885847546956</v>
      </c>
      <c r="Q708" s="16">
        <v>20.14338564477508</v>
      </c>
    </row>
    <row r="709" spans="1:18" ht="12.75" x14ac:dyDescent="0.2">
      <c r="A709" s="4" t="s">
        <v>7</v>
      </c>
      <c r="B709" s="4" t="s">
        <v>23</v>
      </c>
      <c r="C709" s="4" t="s">
        <v>4745</v>
      </c>
      <c r="D709" s="4" t="s">
        <v>4746</v>
      </c>
      <c r="E709" s="4" t="s">
        <v>39</v>
      </c>
      <c r="F709" s="4" t="s">
        <v>18</v>
      </c>
      <c r="G709" s="4" t="s">
        <v>61</v>
      </c>
      <c r="H709" s="4"/>
      <c r="I709" s="4" t="s">
        <v>40</v>
      </c>
      <c r="J709" s="17" t="s">
        <v>3290</v>
      </c>
      <c r="K709" s="16">
        <v>81.741351776513397</v>
      </c>
      <c r="L709" s="16">
        <v>35.888002826222667</v>
      </c>
      <c r="M709" s="16">
        <v>59.482139272848691</v>
      </c>
      <c r="N709" s="16">
        <v>29.851202804063337</v>
      </c>
      <c r="O709" s="16">
        <v>96.556002627732909</v>
      </c>
      <c r="P709" s="16">
        <v>31.385191984406269</v>
      </c>
      <c r="Q709" s="16">
        <v>52.677356985025938</v>
      </c>
    </row>
    <row r="710" spans="1:18" ht="12.75" x14ac:dyDescent="0.2">
      <c r="A710" s="4" t="s">
        <v>64</v>
      </c>
      <c r="B710" s="4" t="s">
        <v>78</v>
      </c>
      <c r="C710" s="4" t="s">
        <v>4747</v>
      </c>
      <c r="D710" s="4" t="s">
        <v>4748</v>
      </c>
      <c r="E710" s="4" t="s">
        <v>39</v>
      </c>
      <c r="F710" s="4" t="s">
        <v>18</v>
      </c>
      <c r="G710" s="4" t="s">
        <v>19</v>
      </c>
      <c r="H710" s="4"/>
      <c r="I710" s="4" t="s">
        <v>40</v>
      </c>
      <c r="J710" s="17" t="s">
        <v>3290</v>
      </c>
      <c r="K710" s="16">
        <v>83.099395698231277</v>
      </c>
      <c r="L710" s="16">
        <v>30.695448208938824</v>
      </c>
      <c r="M710" s="16">
        <v>61.228519694533375</v>
      </c>
      <c r="N710" s="16">
        <v>72.15945003249044</v>
      </c>
      <c r="O710" s="16">
        <v>73.420803857017489</v>
      </c>
      <c r="P710" s="16">
        <v>28.023085764732258</v>
      </c>
      <c r="Q710" s="16">
        <v>35.062152604076793</v>
      </c>
    </row>
    <row r="711" spans="1:18" ht="12.75" x14ac:dyDescent="0.2">
      <c r="A711" s="4" t="s">
        <v>115</v>
      </c>
      <c r="B711" s="4" t="s">
        <v>116</v>
      </c>
      <c r="C711" s="4" t="s">
        <v>4749</v>
      </c>
      <c r="D711" s="4" t="s">
        <v>4750</v>
      </c>
      <c r="E711" s="4" t="s">
        <v>39</v>
      </c>
      <c r="F711" s="4" t="s">
        <v>25</v>
      </c>
      <c r="G711" s="4" t="s">
        <v>41</v>
      </c>
      <c r="H711" s="4"/>
      <c r="I711" s="4" t="s">
        <v>40</v>
      </c>
      <c r="J711" s="17" t="s">
        <v>3290</v>
      </c>
      <c r="K711" s="16">
        <v>71.393051648548692</v>
      </c>
      <c r="L711" s="16">
        <v>57.797572819344431</v>
      </c>
      <c r="M711" s="16">
        <v>56.869567284077213</v>
      </c>
      <c r="N711" s="16">
        <v>90.585912330154017</v>
      </c>
      <c r="O711" s="16">
        <v>23.098384903847137</v>
      </c>
      <c r="P711" s="16">
        <v>29.989557698359746</v>
      </c>
      <c r="Q711" s="16">
        <v>1.1229724195604751</v>
      </c>
    </row>
    <row r="712" spans="1:18" ht="12.75" x14ac:dyDescent="0.2">
      <c r="A712" s="4" t="s">
        <v>64</v>
      </c>
      <c r="B712" s="4" t="s">
        <v>82</v>
      </c>
      <c r="C712" s="4" t="s">
        <v>4751</v>
      </c>
      <c r="D712" s="4" t="s">
        <v>4752</v>
      </c>
      <c r="E712" s="4" t="s">
        <v>39</v>
      </c>
      <c r="F712" s="4" t="s">
        <v>18</v>
      </c>
      <c r="G712" s="4" t="s">
        <v>19</v>
      </c>
      <c r="H712" s="4"/>
      <c r="I712" s="4" t="s">
        <v>40</v>
      </c>
      <c r="J712" s="17" t="s">
        <v>3290</v>
      </c>
      <c r="K712" s="16">
        <v>9.8150010605622349</v>
      </c>
      <c r="L712" s="16">
        <v>27.292118035060874</v>
      </c>
      <c r="M712" s="16">
        <v>85.747690744981583</v>
      </c>
      <c r="N712" s="16">
        <v>25.643432611391749</v>
      </c>
      <c r="O712" s="16">
        <v>54.102069094856517</v>
      </c>
      <c r="P712" s="16">
        <v>51.512658780841335</v>
      </c>
      <c r="Q712" s="16">
        <v>16.256525129655721</v>
      </c>
    </row>
    <row r="713" spans="1:18" ht="12.75" x14ac:dyDescent="0.2">
      <c r="A713" s="4" t="s">
        <v>136</v>
      </c>
      <c r="B713" s="4" t="s">
        <v>137</v>
      </c>
      <c r="C713" s="4" t="s">
        <v>4753</v>
      </c>
      <c r="D713" s="4" t="s">
        <v>4754</v>
      </c>
      <c r="E713" s="4" t="s">
        <v>46</v>
      </c>
      <c r="F713" s="4" t="s">
        <v>18</v>
      </c>
      <c r="G713" s="4" t="s">
        <v>41</v>
      </c>
      <c r="H713" s="4" t="s">
        <v>3959</v>
      </c>
      <c r="I713" s="4" t="s">
        <v>47</v>
      </c>
      <c r="J713" s="17" t="s">
        <v>3290</v>
      </c>
      <c r="K713" s="16">
        <v>79.395374846472095</v>
      </c>
      <c r="L713" s="16">
        <v>92.153368887932999</v>
      </c>
      <c r="M713" s="16">
        <v>63.67552778421215</v>
      </c>
      <c r="N713" s="16">
        <v>46.709511821155417</v>
      </c>
      <c r="O713" s="16">
        <v>46.504914317741253</v>
      </c>
      <c r="P713" s="16">
        <v>87.120078313271037</v>
      </c>
      <c r="Q713" s="16">
        <v>53.421067107688614</v>
      </c>
    </row>
    <row r="714" spans="1:18" ht="12.75" x14ac:dyDescent="0.2">
      <c r="A714" s="4" t="s">
        <v>115</v>
      </c>
      <c r="B714" s="4" t="s">
        <v>119</v>
      </c>
      <c r="C714" s="4" t="s">
        <v>4755</v>
      </c>
      <c r="D714" s="4" t="s">
        <v>4756</v>
      </c>
      <c r="E714" s="4" t="s">
        <v>39</v>
      </c>
      <c r="F714" s="4" t="s">
        <v>18</v>
      </c>
      <c r="G714" s="4" t="s">
        <v>12</v>
      </c>
      <c r="I714" s="4" t="s">
        <v>40</v>
      </c>
      <c r="J714" s="17" t="s">
        <v>3290</v>
      </c>
      <c r="K714" s="16">
        <v>28.771100933982417</v>
      </c>
      <c r="L714" s="16">
        <v>67.502889769146435</v>
      </c>
      <c r="M714" s="16">
        <v>5.4872464031685215</v>
      </c>
      <c r="N714" s="16">
        <v>91.748498462694897</v>
      </c>
      <c r="O714" s="16">
        <v>32.856949180984465</v>
      </c>
      <c r="P714" s="16">
        <v>24.607376717247099</v>
      </c>
      <c r="Q714" s="16">
        <v>62.66420418544373</v>
      </c>
    </row>
    <row r="715" spans="1:18" ht="12.75" x14ac:dyDescent="0.2">
      <c r="A715" s="4" t="s">
        <v>64</v>
      </c>
      <c r="B715" s="4" t="s">
        <v>74</v>
      </c>
      <c r="C715" s="4" t="s">
        <v>4757</v>
      </c>
      <c r="D715" s="4" t="s">
        <v>4758</v>
      </c>
      <c r="E715" s="4" t="s">
        <v>39</v>
      </c>
      <c r="F715" s="4" t="s">
        <v>18</v>
      </c>
      <c r="G715" s="4" t="s">
        <v>41</v>
      </c>
      <c r="H715" s="4" t="s">
        <v>3465</v>
      </c>
      <c r="I715" s="4" t="s">
        <v>40</v>
      </c>
      <c r="J715" s="17" t="s">
        <v>3290</v>
      </c>
      <c r="K715" s="16">
        <v>62.353431699085583</v>
      </c>
      <c r="L715" s="16">
        <v>82.114414600732488</v>
      </c>
      <c r="M715" s="16">
        <v>72.2635920644815</v>
      </c>
      <c r="N715" s="16">
        <v>13.938982321751659</v>
      </c>
      <c r="O715" s="16">
        <v>29.481753090560847</v>
      </c>
      <c r="P715" s="16">
        <v>28.121811368331706</v>
      </c>
      <c r="Q715" s="16">
        <v>32.1735511041649</v>
      </c>
    </row>
    <row r="716" spans="1:18" ht="12.75" x14ac:dyDescent="0.2">
      <c r="A716" s="4" t="s">
        <v>7</v>
      </c>
      <c r="B716" s="4" t="s">
        <v>16</v>
      </c>
      <c r="C716" s="4" t="s">
        <v>4759</v>
      </c>
      <c r="D716" s="4" t="s">
        <v>4760</v>
      </c>
      <c r="E716" s="4" t="s">
        <v>39</v>
      </c>
      <c r="F716" s="4" t="s">
        <v>18</v>
      </c>
      <c r="G716" s="4" t="s">
        <v>41</v>
      </c>
      <c r="H716" s="4"/>
      <c r="I716" s="4" t="s">
        <v>40</v>
      </c>
      <c r="J716" s="17" t="s">
        <v>3290</v>
      </c>
      <c r="K716" s="16">
        <v>18.0543653605733</v>
      </c>
      <c r="L716" s="16">
        <v>19.565251133868887</v>
      </c>
      <c r="M716" s="16">
        <v>24.608242927553047</v>
      </c>
      <c r="N716" s="16">
        <v>83.479915632244555</v>
      </c>
      <c r="O716" s="16">
        <v>21.45315012208393</v>
      </c>
      <c r="P716" s="16">
        <v>49.29317902918725</v>
      </c>
      <c r="Q716" s="16">
        <v>42.674283259925062</v>
      </c>
    </row>
    <row r="717" spans="1:18" ht="12.75" x14ac:dyDescent="0.2">
      <c r="A717" s="4" t="s">
        <v>64</v>
      </c>
      <c r="B717" s="4" t="s">
        <v>82</v>
      </c>
      <c r="C717" s="4" t="s">
        <v>4761</v>
      </c>
      <c r="D717" s="4" t="s">
        <v>4762</v>
      </c>
      <c r="E717" s="4" t="s">
        <v>39</v>
      </c>
      <c r="F717" s="4" t="s">
        <v>18</v>
      </c>
      <c r="G717" s="4" t="s">
        <v>41</v>
      </c>
      <c r="H717" s="4"/>
      <c r="I717" s="4" t="s">
        <v>40</v>
      </c>
      <c r="J717" s="17" t="s">
        <v>3290</v>
      </c>
      <c r="K717" s="16">
        <v>21.085744365662517</v>
      </c>
      <c r="L717" s="16">
        <v>40.22612030233347</v>
      </c>
      <c r="M717" s="16">
        <v>84.0662459848037</v>
      </c>
      <c r="N717" s="16">
        <v>68.257607225700696</v>
      </c>
      <c r="O717" s="16">
        <v>16.145065060712849</v>
      </c>
      <c r="P717" s="16">
        <v>15.869572445687242</v>
      </c>
      <c r="Q717" s="16">
        <v>82.068192472394742</v>
      </c>
    </row>
    <row r="718" spans="1:18" ht="12.75" x14ac:dyDescent="0.2">
      <c r="A718" s="4" t="s">
        <v>115</v>
      </c>
      <c r="B718" s="4" t="s">
        <v>119</v>
      </c>
      <c r="C718" s="4" t="s">
        <v>4763</v>
      </c>
      <c r="D718" s="4" t="s">
        <v>4764</v>
      </c>
      <c r="E718" s="4" t="s">
        <v>39</v>
      </c>
      <c r="F718" s="4" t="s">
        <v>18</v>
      </c>
      <c r="G718" s="4" t="s">
        <v>12</v>
      </c>
      <c r="I718" s="4" t="s">
        <v>40</v>
      </c>
      <c r="J718" s="17" t="s">
        <v>3290</v>
      </c>
      <c r="K718" s="16">
        <v>25.958566829189479</v>
      </c>
      <c r="L718" s="16">
        <v>56.905763517228372</v>
      </c>
      <c r="M718" s="16">
        <v>14.7956370873098</v>
      </c>
      <c r="N718" s="16">
        <v>40.167707535460764</v>
      </c>
      <c r="O718" s="16">
        <v>83.086842395530653</v>
      </c>
      <c r="P718" s="16">
        <v>24.649044167009816</v>
      </c>
      <c r="Q718" s="16">
        <v>9.6873650945418994</v>
      </c>
    </row>
    <row r="719" spans="1:18" ht="12.75" x14ac:dyDescent="0.2">
      <c r="A719" s="4" t="s">
        <v>136</v>
      </c>
      <c r="B719" s="4" t="s">
        <v>137</v>
      </c>
      <c r="C719" s="4" t="s">
        <v>4765</v>
      </c>
      <c r="D719" s="4" t="s">
        <v>4766</v>
      </c>
      <c r="E719" s="4" t="s">
        <v>46</v>
      </c>
      <c r="F719" s="4" t="s">
        <v>32</v>
      </c>
      <c r="G719" s="4"/>
      <c r="H719" s="4"/>
      <c r="I719" s="4" t="s">
        <v>47</v>
      </c>
      <c r="J719" s="17" t="s">
        <v>3290</v>
      </c>
      <c r="K719" s="16">
        <v>3.5759757278706727</v>
      </c>
      <c r="L719" s="16">
        <v>0.62745751178261422</v>
      </c>
      <c r="M719" s="16">
        <v>26.250639908178808</v>
      </c>
      <c r="N719" s="16">
        <v>81.869855890129813</v>
      </c>
      <c r="O719" s="16">
        <v>48.819021977380302</v>
      </c>
      <c r="P719" s="16">
        <v>92.473799071235035</v>
      </c>
      <c r="Q719" s="16">
        <v>49.109116487140938</v>
      </c>
    </row>
    <row r="720" spans="1:18" ht="12.75" x14ac:dyDescent="0.2">
      <c r="A720" s="4" t="s">
        <v>7</v>
      </c>
      <c r="B720" s="4" t="s">
        <v>30</v>
      </c>
      <c r="C720" s="4" t="s">
        <v>4767</v>
      </c>
      <c r="D720" s="4" t="s">
        <v>4768</v>
      </c>
      <c r="E720" s="4" t="s">
        <v>39</v>
      </c>
      <c r="F720" s="4" t="s">
        <v>11</v>
      </c>
      <c r="G720" s="4" t="s">
        <v>72</v>
      </c>
      <c r="I720" s="4" t="s">
        <v>40</v>
      </c>
      <c r="J720" s="17" t="s">
        <v>3290</v>
      </c>
      <c r="K720" s="16">
        <v>91.010650070878967</v>
      </c>
      <c r="L720" s="16">
        <v>78.331465182994222</v>
      </c>
      <c r="M720" s="16">
        <v>1.9253346275898031</v>
      </c>
      <c r="N720" s="16">
        <v>54.09170317938058</v>
      </c>
      <c r="O720" s="16">
        <v>90.319544954660088</v>
      </c>
      <c r="P720" s="16">
        <v>18.618103117842612</v>
      </c>
      <c r="Q720" s="16">
        <v>61.369210855652369</v>
      </c>
    </row>
    <row r="721" spans="1:17" ht="12.75" x14ac:dyDescent="0.2">
      <c r="A721" s="4" t="s">
        <v>7</v>
      </c>
      <c r="B721" s="4" t="s">
        <v>30</v>
      </c>
      <c r="C721" s="4" t="s">
        <v>4769</v>
      </c>
      <c r="D721" s="4" t="s">
        <v>4768</v>
      </c>
      <c r="E721" s="4" t="s">
        <v>39</v>
      </c>
      <c r="F721" s="4" t="s">
        <v>11</v>
      </c>
      <c r="G721" s="4" t="s">
        <v>72</v>
      </c>
      <c r="I721" s="4" t="s">
        <v>40</v>
      </c>
      <c r="J721" s="17" t="s">
        <v>3290</v>
      </c>
      <c r="K721" s="16">
        <v>14.127610934111889</v>
      </c>
      <c r="L721" s="16">
        <v>78.160929455166652</v>
      </c>
      <c r="M721" s="16">
        <v>27.82450666753935</v>
      </c>
      <c r="N721" s="16">
        <v>96.756782584016946</v>
      </c>
      <c r="O721" s="16">
        <v>46.975649294861554</v>
      </c>
      <c r="P721" s="16">
        <v>35.843782937129276</v>
      </c>
      <c r="Q721" s="16">
        <v>37.485226011957508</v>
      </c>
    </row>
    <row r="722" spans="1:17" ht="12.75" x14ac:dyDescent="0.2">
      <c r="A722" s="4" t="s">
        <v>7</v>
      </c>
      <c r="B722" s="4" t="s">
        <v>30</v>
      </c>
      <c r="C722" s="4" t="s">
        <v>4770</v>
      </c>
      <c r="D722" s="4" t="s">
        <v>4768</v>
      </c>
      <c r="E722" s="4" t="s">
        <v>39</v>
      </c>
      <c r="F722" s="4" t="s">
        <v>11</v>
      </c>
      <c r="G722" s="4" t="s">
        <v>72</v>
      </c>
      <c r="I722" s="4" t="s">
        <v>40</v>
      </c>
      <c r="J722" s="17" t="s">
        <v>3290</v>
      </c>
      <c r="K722" s="16">
        <v>2.3277718020235927</v>
      </c>
      <c r="L722" s="16">
        <v>83.59931603429817</v>
      </c>
      <c r="M722" s="16">
        <v>70.199631198243722</v>
      </c>
      <c r="N722" s="16">
        <v>61.800567802462567</v>
      </c>
      <c r="O722" s="16">
        <v>0.29077850753144174</v>
      </c>
      <c r="P722" s="16">
        <v>93.904914083581232</v>
      </c>
      <c r="Q722" s="16">
        <v>13.315754093976473</v>
      </c>
    </row>
    <row r="723" spans="1:17" ht="12.75" x14ac:dyDescent="0.2">
      <c r="A723" s="4" t="s">
        <v>7</v>
      </c>
      <c r="B723" s="4" t="s">
        <v>30</v>
      </c>
      <c r="C723" s="4" t="s">
        <v>4771</v>
      </c>
      <c r="D723" s="4" t="s">
        <v>4768</v>
      </c>
      <c r="E723" s="4" t="s">
        <v>39</v>
      </c>
      <c r="F723" s="4" t="s">
        <v>11</v>
      </c>
      <c r="G723" s="4" t="s">
        <v>72</v>
      </c>
      <c r="I723" s="4" t="s">
        <v>40</v>
      </c>
      <c r="J723" s="17" t="s">
        <v>3290</v>
      </c>
      <c r="K723" s="16">
        <v>88.8699254234579</v>
      </c>
      <c r="L723" s="16">
        <v>44.347876300974995</v>
      </c>
      <c r="M723" s="16">
        <v>33.324470303247963</v>
      </c>
      <c r="N723" s="16">
        <v>42.023176343235647</v>
      </c>
      <c r="O723" s="16">
        <v>10.492579267345004</v>
      </c>
      <c r="P723" s="16">
        <v>96.833894470056535</v>
      </c>
      <c r="Q723" s="16">
        <v>57.107934532862878</v>
      </c>
    </row>
    <row r="724" spans="1:17" ht="12.75" x14ac:dyDescent="0.2">
      <c r="A724" s="4" t="s">
        <v>64</v>
      </c>
      <c r="B724" s="4" t="s">
        <v>65</v>
      </c>
      <c r="C724" s="4" t="s">
        <v>4772</v>
      </c>
      <c r="D724" s="4" t="s">
        <v>4773</v>
      </c>
      <c r="E724" s="4" t="s">
        <v>39</v>
      </c>
      <c r="F724" s="4" t="s">
        <v>11</v>
      </c>
      <c r="G724" s="4" t="s">
        <v>72</v>
      </c>
      <c r="H724" s="4"/>
      <c r="I724" s="4" t="s">
        <v>40</v>
      </c>
      <c r="J724" s="17" t="s">
        <v>3290</v>
      </c>
      <c r="K724" s="16">
        <v>45.426104766654859</v>
      </c>
      <c r="L724" s="16">
        <v>4.3921346666918604</v>
      </c>
      <c r="M724" s="16">
        <v>82.687290172463889</v>
      </c>
      <c r="N724" s="16">
        <v>49.879335030682462</v>
      </c>
      <c r="O724" s="16">
        <v>96.662371725853234</v>
      </c>
      <c r="P724" s="16">
        <v>97.074290575770277</v>
      </c>
      <c r="Q724" s="16">
        <v>65.840254395979812</v>
      </c>
    </row>
    <row r="725" spans="1:17" ht="12.75" x14ac:dyDescent="0.2">
      <c r="A725" s="4" t="s">
        <v>37</v>
      </c>
      <c r="B725" s="4" t="s">
        <v>38</v>
      </c>
      <c r="C725" s="4" t="s">
        <v>4774</v>
      </c>
      <c r="D725" s="4" t="s">
        <v>4775</v>
      </c>
      <c r="E725" s="4" t="s">
        <v>39</v>
      </c>
      <c r="F725" s="4" t="s">
        <v>18</v>
      </c>
      <c r="G725" s="4" t="s">
        <v>41</v>
      </c>
      <c r="H725" s="4"/>
      <c r="I725" s="4" t="s">
        <v>40</v>
      </c>
      <c r="J725" s="17" t="s">
        <v>3290</v>
      </c>
      <c r="K725" s="16">
        <v>34.641240950060478</v>
      </c>
      <c r="L725" s="16">
        <v>46.030539377247038</v>
      </c>
      <c r="M725" s="16">
        <v>69.314257478729459</v>
      </c>
      <c r="N725" s="16">
        <v>40.907114980031437</v>
      </c>
      <c r="O725" s="16">
        <v>97.088451768721001</v>
      </c>
      <c r="P725" s="16">
        <v>52.858927239618147</v>
      </c>
      <c r="Q725" s="16">
        <v>76.021903761446822</v>
      </c>
    </row>
    <row r="726" spans="1:17" ht="12.75" x14ac:dyDescent="0.2">
      <c r="A726" s="4" t="s">
        <v>64</v>
      </c>
      <c r="B726" s="4" t="s">
        <v>70</v>
      </c>
      <c r="C726" s="4" t="s">
        <v>4776</v>
      </c>
      <c r="D726" s="4" t="s">
        <v>4777</v>
      </c>
      <c r="E726" s="4" t="s">
        <v>39</v>
      </c>
      <c r="F726" s="4" t="s">
        <v>18</v>
      </c>
      <c r="G726" s="4" t="s">
        <v>12</v>
      </c>
      <c r="H726" s="4" t="s">
        <v>4778</v>
      </c>
      <c r="I726" s="4" t="s">
        <v>40</v>
      </c>
      <c r="J726" s="17" t="s">
        <v>3290</v>
      </c>
      <c r="K726" s="16">
        <v>58.000238019882303</v>
      </c>
      <c r="L726" s="16">
        <v>1.6765040850627688</v>
      </c>
      <c r="M726" s="16">
        <v>49.642126662287609</v>
      </c>
      <c r="N726" s="16">
        <v>70.351916544161284</v>
      </c>
      <c r="O726" s="16">
        <v>24.242918002308812</v>
      </c>
      <c r="P726" s="16">
        <v>97.109405576468262</v>
      </c>
      <c r="Q726" s="16">
        <v>66.656846743753121</v>
      </c>
    </row>
    <row r="727" spans="1:17" ht="12.75" x14ac:dyDescent="0.2">
      <c r="A727" s="4" t="s">
        <v>7</v>
      </c>
      <c r="B727" s="4" t="s">
        <v>8</v>
      </c>
      <c r="C727" s="4" t="s">
        <v>4779</v>
      </c>
      <c r="D727" s="4" t="s">
        <v>4780</v>
      </c>
      <c r="E727" s="4" t="s">
        <v>39</v>
      </c>
      <c r="F727" s="4" t="s">
        <v>18</v>
      </c>
      <c r="G727" s="4" t="s">
        <v>61</v>
      </c>
      <c r="I727" s="4" t="s">
        <v>40</v>
      </c>
      <c r="J727" s="17" t="s">
        <v>3290</v>
      </c>
      <c r="K727" s="16">
        <v>23.850980994454684</v>
      </c>
      <c r="L727" s="16">
        <v>66.335366420376957</v>
      </c>
      <c r="M727" s="16">
        <v>24.898513575299972</v>
      </c>
      <c r="N727" s="16">
        <v>29.336075459546741</v>
      </c>
      <c r="O727" s="16">
        <v>76.817154980284016</v>
      </c>
      <c r="P727" s="16">
        <v>4.9293562633525916</v>
      </c>
      <c r="Q727" s="16">
        <v>21.098132509481683</v>
      </c>
    </row>
    <row r="728" spans="1:17" ht="12.75" x14ac:dyDescent="0.2">
      <c r="A728" s="4" t="s">
        <v>115</v>
      </c>
      <c r="B728" s="4" t="s">
        <v>116</v>
      </c>
      <c r="C728" s="4" t="s">
        <v>4781</v>
      </c>
      <c r="D728" s="4" t="s">
        <v>4782</v>
      </c>
      <c r="E728" s="4" t="s">
        <v>39</v>
      </c>
      <c r="F728" s="4" t="s">
        <v>18</v>
      </c>
      <c r="G728" s="4" t="s">
        <v>61</v>
      </c>
      <c r="I728" s="4" t="s">
        <v>40</v>
      </c>
      <c r="J728" s="17" t="s">
        <v>3290</v>
      </c>
      <c r="K728" s="16">
        <v>28.453443660199685</v>
      </c>
      <c r="L728" s="16">
        <v>58.451337288951358</v>
      </c>
      <c r="M728" s="16">
        <v>7.782712488259202</v>
      </c>
      <c r="N728" s="16">
        <v>37.055879917340548</v>
      </c>
      <c r="O728" s="16">
        <v>44.862827004463455</v>
      </c>
      <c r="P728" s="16">
        <v>47.471186245972874</v>
      </c>
      <c r="Q728" s="16">
        <v>5.4352176016237541</v>
      </c>
    </row>
    <row r="729" spans="1:17" ht="12.75" x14ac:dyDescent="0.2">
      <c r="A729" s="4" t="s">
        <v>115</v>
      </c>
      <c r="B729" s="4" t="s">
        <v>128</v>
      </c>
      <c r="C729" s="4" t="s">
        <v>4783</v>
      </c>
      <c r="D729" s="4" t="s">
        <v>4784</v>
      </c>
      <c r="E729" s="4" t="s">
        <v>39</v>
      </c>
      <c r="F729" s="4" t="s">
        <v>18</v>
      </c>
      <c r="G729" s="4" t="s">
        <v>19</v>
      </c>
      <c r="H729" s="4" t="s">
        <v>4785</v>
      </c>
      <c r="I729" s="4" t="s">
        <v>40</v>
      </c>
      <c r="J729" s="17" t="s">
        <v>3290</v>
      </c>
      <c r="K729" s="16">
        <v>54.792359381962484</v>
      </c>
      <c r="L729" s="16">
        <v>86.138894849352781</v>
      </c>
      <c r="M729" s="16">
        <v>78.051560436521072</v>
      </c>
      <c r="N729" s="16">
        <v>50.046735178249648</v>
      </c>
      <c r="O729" s="16">
        <v>53.709604359421725</v>
      </c>
      <c r="P729" s="16">
        <v>89.936921042603856</v>
      </c>
      <c r="Q729" s="16">
        <v>49.630592888304889</v>
      </c>
    </row>
    <row r="730" spans="1:17" ht="12.75" x14ac:dyDescent="0.2">
      <c r="A730" s="4" t="s">
        <v>115</v>
      </c>
      <c r="B730" s="4" t="s">
        <v>116</v>
      </c>
      <c r="C730" s="4" t="s">
        <v>4786</v>
      </c>
      <c r="D730" s="4" t="s">
        <v>4787</v>
      </c>
      <c r="E730" s="4" t="s">
        <v>39</v>
      </c>
      <c r="F730" s="4" t="s">
        <v>18</v>
      </c>
      <c r="G730" s="4" t="s">
        <v>61</v>
      </c>
      <c r="I730" s="4" t="s">
        <v>40</v>
      </c>
      <c r="J730" s="17" t="s">
        <v>3290</v>
      </c>
      <c r="K730" s="16">
        <v>29.838030005169848</v>
      </c>
      <c r="L730" s="16">
        <v>71.331629914808531</v>
      </c>
      <c r="M730" s="16">
        <v>5.7749861841412393</v>
      </c>
      <c r="N730" s="16">
        <v>58.638221992882201</v>
      </c>
      <c r="O730" s="16">
        <v>50.825232188266789</v>
      </c>
      <c r="P730" s="16">
        <v>49.653332812217066</v>
      </c>
      <c r="Q730" s="16">
        <v>75.667431590626023</v>
      </c>
    </row>
    <row r="731" spans="1:17" ht="12.75" x14ac:dyDescent="0.2">
      <c r="A731" s="4" t="s">
        <v>136</v>
      </c>
      <c r="B731" s="4" t="s">
        <v>137</v>
      </c>
      <c r="C731" s="4" t="s">
        <v>4788</v>
      </c>
      <c r="D731" s="4" t="s">
        <v>4789</v>
      </c>
      <c r="E731" s="4" t="s">
        <v>46</v>
      </c>
      <c r="F731" s="4" t="s">
        <v>18</v>
      </c>
      <c r="G731" s="4" t="s">
        <v>41</v>
      </c>
      <c r="H731" s="4" t="s">
        <v>3959</v>
      </c>
      <c r="I731" s="4" t="s">
        <v>47</v>
      </c>
      <c r="J731" s="17" t="s">
        <v>3290</v>
      </c>
      <c r="K731" s="16">
        <v>64.203496517610702</v>
      </c>
      <c r="L731" s="16">
        <v>75.641401219860057</v>
      </c>
      <c r="M731" s="16">
        <v>37.054721861816155</v>
      </c>
      <c r="N731" s="16">
        <v>75.885598671074064</v>
      </c>
      <c r="O731" s="16">
        <v>11.455122212737589</v>
      </c>
      <c r="P731" s="16">
        <v>13.187830752393804</v>
      </c>
      <c r="Q731" s="16">
        <v>92.210651208325501</v>
      </c>
    </row>
    <row r="732" spans="1:17" ht="12.75" x14ac:dyDescent="0.2">
      <c r="A732" s="4" t="s">
        <v>115</v>
      </c>
      <c r="B732" s="4" t="s">
        <v>134</v>
      </c>
      <c r="C732" s="4" t="s">
        <v>4790</v>
      </c>
      <c r="D732" s="4" t="s">
        <v>4791</v>
      </c>
      <c r="E732" s="4" t="s">
        <v>39</v>
      </c>
      <c r="F732" s="4" t="s">
        <v>11</v>
      </c>
      <c r="G732" s="4" t="s">
        <v>54</v>
      </c>
      <c r="I732" s="4" t="s">
        <v>40</v>
      </c>
      <c r="J732" s="17" t="s">
        <v>3290</v>
      </c>
      <c r="K732" s="16">
        <v>55.177744904006509</v>
      </c>
      <c r="L732" s="16">
        <v>88.629171425978541</v>
      </c>
      <c r="M732" s="16">
        <v>13.410288612747035</v>
      </c>
      <c r="N732" s="16">
        <v>47.796259767072954</v>
      </c>
      <c r="O732" s="16">
        <v>3.2123937827344351</v>
      </c>
      <c r="P732" s="16">
        <v>85.97687641762397</v>
      </c>
      <c r="Q732" s="16">
        <v>51.211559589099224</v>
      </c>
    </row>
    <row r="733" spans="1:17" ht="12.75" x14ac:dyDescent="0.2">
      <c r="A733" s="4" t="s">
        <v>64</v>
      </c>
      <c r="B733" s="4" t="s">
        <v>92</v>
      </c>
      <c r="C733" s="4" t="s">
        <v>4792</v>
      </c>
      <c r="D733" s="4" t="s">
        <v>4793</v>
      </c>
      <c r="E733" s="4" t="s">
        <v>39</v>
      </c>
      <c r="F733" s="4" t="s">
        <v>18</v>
      </c>
      <c r="G733" s="4" t="s">
        <v>26</v>
      </c>
      <c r="H733" s="4"/>
      <c r="I733" s="4" t="s">
        <v>40</v>
      </c>
      <c r="J733" s="17" t="s">
        <v>3290</v>
      </c>
      <c r="K733" s="16">
        <v>57.378481992915908</v>
      </c>
      <c r="L733" s="16">
        <v>84.759006792549968</v>
      </c>
      <c r="M733" s="16">
        <v>64.578395987995989</v>
      </c>
      <c r="N733" s="16">
        <v>10.88474421154193</v>
      </c>
      <c r="O733" s="16">
        <v>33.386378412391402</v>
      </c>
      <c r="P733" s="16">
        <v>88.670216602052065</v>
      </c>
      <c r="Q733" s="16">
        <v>43.645505708785336</v>
      </c>
    </row>
    <row r="734" spans="1:17" ht="12.75" x14ac:dyDescent="0.2">
      <c r="A734" s="4" t="s">
        <v>136</v>
      </c>
      <c r="B734" s="4" t="s">
        <v>137</v>
      </c>
      <c r="C734" s="4" t="s">
        <v>4794</v>
      </c>
      <c r="D734" s="4" t="s">
        <v>4795</v>
      </c>
      <c r="E734" s="4" t="s">
        <v>46</v>
      </c>
      <c r="F734" s="4" t="s">
        <v>18</v>
      </c>
      <c r="G734" s="4" t="s">
        <v>61</v>
      </c>
      <c r="I734" s="4" t="s">
        <v>47</v>
      </c>
      <c r="J734" s="17" t="s">
        <v>3290</v>
      </c>
      <c r="K734" s="16">
        <v>32.76971081257394</v>
      </c>
      <c r="L734" s="16">
        <v>59.032252577934393</v>
      </c>
      <c r="M734" s="16">
        <v>88.417596206713881</v>
      </c>
      <c r="N734" s="16">
        <v>60.594297121046395</v>
      </c>
      <c r="O734" s="16">
        <v>98.610000863875896</v>
      </c>
      <c r="P734" s="16">
        <v>23.60622471616346</v>
      </c>
      <c r="Q734" s="16">
        <v>9.5115298649174456</v>
      </c>
    </row>
    <row r="735" spans="1:17" ht="12.75" x14ac:dyDescent="0.2">
      <c r="A735" s="4" t="s">
        <v>136</v>
      </c>
      <c r="B735" s="4" t="s">
        <v>137</v>
      </c>
      <c r="C735" s="4" t="s">
        <v>4796</v>
      </c>
      <c r="D735" s="4" t="s">
        <v>4797</v>
      </c>
      <c r="E735" s="4" t="s">
        <v>46</v>
      </c>
      <c r="F735" s="4" t="s">
        <v>18</v>
      </c>
      <c r="G735" s="4" t="s">
        <v>41</v>
      </c>
      <c r="H735" s="4"/>
      <c r="I735" s="4" t="s">
        <v>47</v>
      </c>
      <c r="J735" s="17" t="s">
        <v>3290</v>
      </c>
      <c r="K735" s="16">
        <v>68.096838498122224</v>
      </c>
      <c r="L735" s="16">
        <v>14.180127343440041</v>
      </c>
      <c r="M735" s="16">
        <v>81.346085378441231</v>
      </c>
      <c r="N735" s="16">
        <v>77.534028441915282</v>
      </c>
      <c r="O735" s="16">
        <v>40.507649664432122</v>
      </c>
      <c r="P735" s="16">
        <v>18.952125955517516</v>
      </c>
      <c r="Q735" s="16">
        <v>30.37792114972898</v>
      </c>
    </row>
    <row r="736" spans="1:17" ht="12.75" x14ac:dyDescent="0.2">
      <c r="A736" s="4" t="s">
        <v>64</v>
      </c>
      <c r="B736" s="4" t="s">
        <v>65</v>
      </c>
      <c r="C736" s="4" t="s">
        <v>4798</v>
      </c>
      <c r="D736" s="4" t="s">
        <v>4799</v>
      </c>
      <c r="E736" s="4" t="s">
        <v>39</v>
      </c>
      <c r="F736" s="4" t="s">
        <v>18</v>
      </c>
      <c r="G736" s="4" t="s">
        <v>19</v>
      </c>
      <c r="H736" s="4"/>
      <c r="I736" s="4" t="s">
        <v>40</v>
      </c>
      <c r="J736" s="17" t="s">
        <v>3290</v>
      </c>
      <c r="K736" s="16">
        <v>66.943019198561998</v>
      </c>
      <c r="L736" s="16">
        <v>60.153362127887291</v>
      </c>
      <c r="M736" s="16">
        <v>88.557084892183497</v>
      </c>
      <c r="N736" s="16">
        <v>58.752491475617276</v>
      </c>
      <c r="O736" s="16">
        <v>80.614247460685206</v>
      </c>
      <c r="P736" s="16">
        <v>43.249108386452185</v>
      </c>
      <c r="Q736" s="16">
        <v>90.154986010181489</v>
      </c>
    </row>
    <row r="737" spans="1:18" ht="12.75" x14ac:dyDescent="0.2">
      <c r="A737" s="4" t="s">
        <v>98</v>
      </c>
      <c r="B737" s="4" t="s">
        <v>105</v>
      </c>
      <c r="C737" s="4" t="s">
        <v>4800</v>
      </c>
      <c r="D737" s="4" t="s">
        <v>4801</v>
      </c>
      <c r="E737" s="4" t="s">
        <v>39</v>
      </c>
      <c r="F737" s="4" t="s">
        <v>18</v>
      </c>
      <c r="G737" s="4" t="s">
        <v>61</v>
      </c>
      <c r="H737" s="4"/>
      <c r="I737" s="4" t="s">
        <v>40</v>
      </c>
      <c r="J737" s="17" t="s">
        <v>3290</v>
      </c>
      <c r="K737" s="16">
        <v>94.917612026820194</v>
      </c>
      <c r="L737" s="16">
        <v>19.007022726972345</v>
      </c>
      <c r="M737" s="16">
        <v>78.849696573659017</v>
      </c>
      <c r="N737" s="16">
        <v>9.3831801839439741</v>
      </c>
      <c r="O737" s="16">
        <v>9.983238077724355</v>
      </c>
      <c r="P737" s="16">
        <v>42.096117799574351</v>
      </c>
      <c r="Q737" s="16">
        <v>88.077333006181263</v>
      </c>
    </row>
    <row r="738" spans="1:18" ht="12.75" x14ac:dyDescent="0.2">
      <c r="A738" s="4" t="s">
        <v>98</v>
      </c>
      <c r="B738" s="4" t="s">
        <v>99</v>
      </c>
      <c r="C738" s="4" t="s">
        <v>4802</v>
      </c>
      <c r="D738" s="4" t="s">
        <v>4803</v>
      </c>
      <c r="E738" s="4" t="s">
        <v>39</v>
      </c>
      <c r="F738" s="4" t="s">
        <v>18</v>
      </c>
      <c r="G738" s="4" t="s">
        <v>12</v>
      </c>
      <c r="H738" s="4"/>
      <c r="I738" s="4" t="s">
        <v>40</v>
      </c>
      <c r="J738" s="17" t="s">
        <v>3290</v>
      </c>
      <c r="K738" s="16">
        <v>99.888814569064252</v>
      </c>
      <c r="L738" s="16">
        <v>25.674116030306827</v>
      </c>
      <c r="M738" s="16">
        <v>14.741193820399578</v>
      </c>
      <c r="N738" s="16">
        <v>35.421374245135659</v>
      </c>
      <c r="O738" s="16">
        <v>87.062730981797657</v>
      </c>
      <c r="P738" s="16">
        <v>26.542228208673315</v>
      </c>
      <c r="Q738" s="16">
        <v>69.499803581951028</v>
      </c>
    </row>
    <row r="739" spans="1:18" ht="12.75" x14ac:dyDescent="0.2">
      <c r="A739" s="4" t="s">
        <v>98</v>
      </c>
      <c r="B739" s="4" t="s">
        <v>99</v>
      </c>
      <c r="C739" s="4" t="s">
        <v>4804</v>
      </c>
      <c r="D739" s="4" t="s">
        <v>4805</v>
      </c>
      <c r="E739" s="4" t="s">
        <v>39</v>
      </c>
      <c r="F739" s="4" t="s">
        <v>18</v>
      </c>
      <c r="G739" s="4" t="s">
        <v>41</v>
      </c>
      <c r="I739" s="4" t="s">
        <v>40</v>
      </c>
      <c r="J739" s="17" t="s">
        <v>3290</v>
      </c>
      <c r="K739" s="16">
        <v>77.382950599378916</v>
      </c>
      <c r="L739" s="16">
        <v>8.3903074639524071</v>
      </c>
      <c r="M739" s="16">
        <v>4.7838291060891214</v>
      </c>
      <c r="N739" s="16">
        <v>67.301881282109122</v>
      </c>
      <c r="O739" s="16">
        <v>82.041635350099554</v>
      </c>
      <c r="P739" s="16">
        <v>10.269481947251657</v>
      </c>
      <c r="Q739" s="16">
        <v>46.592054562782259</v>
      </c>
    </row>
    <row r="740" spans="1:18" ht="12.75" x14ac:dyDescent="0.2">
      <c r="A740" s="4" t="s">
        <v>37</v>
      </c>
      <c r="B740" s="4" t="s">
        <v>59</v>
      </c>
      <c r="C740" s="4" t="s">
        <v>4806</v>
      </c>
      <c r="D740" s="4" t="s">
        <v>4807</v>
      </c>
      <c r="E740" s="4" t="s">
        <v>39</v>
      </c>
      <c r="F740" s="4" t="s">
        <v>32</v>
      </c>
      <c r="G740" s="4"/>
      <c r="H740" s="4"/>
      <c r="I740" s="4" t="s">
        <v>40</v>
      </c>
      <c r="J740" s="17" t="s">
        <v>3290</v>
      </c>
      <c r="K740" s="16">
        <v>91.63888904307899</v>
      </c>
      <c r="L740" s="16">
        <v>3.1989945481285975</v>
      </c>
      <c r="M740" s="16">
        <v>9.6108588515175342</v>
      </c>
      <c r="N740" s="16">
        <v>98.877367710367693</v>
      </c>
      <c r="O740" s="16">
        <v>84.596562480160912</v>
      </c>
      <c r="P740" s="16">
        <v>21.601373124771307</v>
      </c>
      <c r="Q740" s="16">
        <v>12.016695707696034</v>
      </c>
    </row>
    <row r="741" spans="1:18" ht="12.75" x14ac:dyDescent="0.2">
      <c r="A741" s="4" t="s">
        <v>115</v>
      </c>
      <c r="B741" s="4" t="s">
        <v>125</v>
      </c>
      <c r="C741" s="4" t="s">
        <v>4808</v>
      </c>
      <c r="D741" s="4" t="s">
        <v>4809</v>
      </c>
      <c r="E741" s="4" t="s">
        <v>39</v>
      </c>
      <c r="F741" s="4" t="s">
        <v>18</v>
      </c>
      <c r="G741" s="4" t="s">
        <v>41</v>
      </c>
      <c r="H741" s="4" t="s">
        <v>4810</v>
      </c>
      <c r="I741" s="4" t="s">
        <v>40</v>
      </c>
      <c r="J741" s="17" t="s">
        <v>3290</v>
      </c>
      <c r="K741" s="16">
        <v>72.368296033501423</v>
      </c>
      <c r="L741" s="16">
        <v>68.499117100589416</v>
      </c>
      <c r="M741" s="16">
        <v>70.829031216060756</v>
      </c>
      <c r="N741" s="16">
        <v>99.563489805454054</v>
      </c>
      <c r="O741" s="16">
        <v>38.873953313409771</v>
      </c>
      <c r="P741" s="16">
        <v>61.110026839290107</v>
      </c>
      <c r="Q741" s="16">
        <v>97.62653454712742</v>
      </c>
      <c r="R741" s="4" t="s">
        <v>3285</v>
      </c>
    </row>
    <row r="742" spans="1:18" ht="12.75" x14ac:dyDescent="0.2">
      <c r="A742" s="4" t="s">
        <v>37</v>
      </c>
      <c r="B742" s="4" t="s">
        <v>59</v>
      </c>
      <c r="C742" s="4" t="s">
        <v>4811</v>
      </c>
      <c r="D742" s="4" t="s">
        <v>4812</v>
      </c>
      <c r="E742" s="4" t="s">
        <v>39</v>
      </c>
      <c r="F742" s="4" t="s">
        <v>32</v>
      </c>
      <c r="G742" s="4"/>
      <c r="H742" s="4"/>
      <c r="I742" s="4" t="s">
        <v>40</v>
      </c>
      <c r="J742" s="17" t="s">
        <v>3290</v>
      </c>
      <c r="K742" s="16">
        <v>0.18533434853881259</v>
      </c>
      <c r="L742" s="16">
        <v>60.925308356175535</v>
      </c>
      <c r="M742" s="16">
        <v>25.51210093702867</v>
      </c>
      <c r="N742" s="16">
        <v>5.6178747867499101</v>
      </c>
      <c r="O742" s="16">
        <v>77.296277319095765</v>
      </c>
      <c r="P742" s="16">
        <v>61.571093106578957</v>
      </c>
      <c r="Q742" s="16">
        <v>93.263877591298765</v>
      </c>
    </row>
    <row r="743" spans="1:18" ht="12.75" x14ac:dyDescent="0.2">
      <c r="A743" s="4" t="s">
        <v>98</v>
      </c>
      <c r="B743" s="4" t="s">
        <v>99</v>
      </c>
      <c r="C743" s="4" t="s">
        <v>4813</v>
      </c>
      <c r="D743" s="4" t="s">
        <v>4814</v>
      </c>
      <c r="E743" s="4" t="s">
        <v>39</v>
      </c>
      <c r="F743" s="4" t="s">
        <v>18</v>
      </c>
      <c r="G743" s="4" t="s">
        <v>41</v>
      </c>
      <c r="I743" s="4" t="s">
        <v>40</v>
      </c>
      <c r="J743" s="17" t="s">
        <v>3290</v>
      </c>
      <c r="K743" s="16">
        <v>90.737395875947797</v>
      </c>
      <c r="L743" s="16">
        <v>15.149384655324639</v>
      </c>
      <c r="M743" s="16">
        <v>96.800407349777075</v>
      </c>
      <c r="N743" s="16">
        <v>86.121091875580305</v>
      </c>
      <c r="O743" s="16">
        <v>74.597440431804557</v>
      </c>
      <c r="P743" s="16">
        <v>67.224219532843421</v>
      </c>
      <c r="Q743" s="16">
        <v>46.246511044144015</v>
      </c>
    </row>
    <row r="744" spans="1:18" ht="12.75" x14ac:dyDescent="0.2">
      <c r="A744" s="4" t="s">
        <v>115</v>
      </c>
      <c r="B744" s="4" t="s">
        <v>116</v>
      </c>
      <c r="C744" s="4" t="s">
        <v>4815</v>
      </c>
      <c r="D744" s="4" t="s">
        <v>4816</v>
      </c>
      <c r="E744" s="4" t="s">
        <v>39</v>
      </c>
      <c r="F744" s="4" t="s">
        <v>11</v>
      </c>
      <c r="G744" s="4" t="s">
        <v>19</v>
      </c>
      <c r="H744" s="4"/>
      <c r="I744" s="4" t="s">
        <v>40</v>
      </c>
      <c r="J744" s="17" t="s">
        <v>3290</v>
      </c>
      <c r="K744" s="16">
        <v>33.29413807496244</v>
      </c>
      <c r="L744" s="16">
        <v>42.600153533922366</v>
      </c>
      <c r="M744" s="16">
        <v>65.488394745622131</v>
      </c>
      <c r="N744" s="16">
        <v>75.377926578890651</v>
      </c>
      <c r="O744" s="16">
        <v>63.179816831078881</v>
      </c>
      <c r="P744" s="16">
        <v>15.248193880961091</v>
      </c>
      <c r="Q744" s="16">
        <v>83.596558847187879</v>
      </c>
    </row>
    <row r="745" spans="1:18" ht="12.75" x14ac:dyDescent="0.2">
      <c r="A745" s="4" t="s">
        <v>98</v>
      </c>
      <c r="B745" s="4" t="s">
        <v>110</v>
      </c>
      <c r="C745" s="4" t="s">
        <v>4817</v>
      </c>
      <c r="D745" s="4" t="s">
        <v>4818</v>
      </c>
      <c r="E745" s="4" t="s">
        <v>39</v>
      </c>
      <c r="F745" s="4" t="s">
        <v>18</v>
      </c>
      <c r="G745" s="4" t="s">
        <v>19</v>
      </c>
      <c r="H745" s="4"/>
      <c r="I745" s="4" t="s">
        <v>40</v>
      </c>
      <c r="J745" s="17" t="s">
        <v>3290</v>
      </c>
      <c r="K745" s="16">
        <v>32.707762189291977</v>
      </c>
      <c r="L745" s="16">
        <v>15.597943874849795</v>
      </c>
      <c r="M745" s="16">
        <v>76.211025623739374</v>
      </c>
      <c r="N745" s="16">
        <v>88.298218006625746</v>
      </c>
      <c r="O745" s="16">
        <v>52.064307076040471</v>
      </c>
      <c r="P745" s="16">
        <v>46.857168543162352</v>
      </c>
      <c r="Q745" s="16">
        <v>55.091194837885183</v>
      </c>
    </row>
    <row r="746" spans="1:18" ht="12.75" x14ac:dyDescent="0.2">
      <c r="A746" s="4" t="s">
        <v>115</v>
      </c>
      <c r="B746" s="4" t="s">
        <v>134</v>
      </c>
      <c r="C746" s="4" t="s">
        <v>4819</v>
      </c>
      <c r="D746" s="4" t="s">
        <v>4820</v>
      </c>
      <c r="E746" s="4" t="s">
        <v>39</v>
      </c>
      <c r="F746" s="4" t="s">
        <v>18</v>
      </c>
      <c r="G746" s="4" t="s">
        <v>61</v>
      </c>
      <c r="I746" s="4" t="s">
        <v>40</v>
      </c>
      <c r="J746" s="17" t="s">
        <v>3290</v>
      </c>
      <c r="K746" s="16">
        <v>73.024571261789077</v>
      </c>
      <c r="L746" s="16">
        <v>8.7822058887040093</v>
      </c>
      <c r="M746" s="16">
        <v>4.1058939085497625</v>
      </c>
      <c r="N746" s="16">
        <v>95.575615953545451</v>
      </c>
      <c r="O746" s="16">
        <v>42.81089188455082</v>
      </c>
      <c r="P746" s="16">
        <v>20.042145219836016</v>
      </c>
      <c r="Q746" s="16">
        <v>5.447953032406561</v>
      </c>
    </row>
    <row r="747" spans="1:18" ht="12.75" x14ac:dyDescent="0.2">
      <c r="A747" s="4" t="s">
        <v>64</v>
      </c>
      <c r="B747" s="4" t="s">
        <v>92</v>
      </c>
      <c r="C747" s="4" t="s">
        <v>4821</v>
      </c>
      <c r="D747" s="4" t="s">
        <v>4822</v>
      </c>
      <c r="E747" s="4" t="s">
        <v>39</v>
      </c>
      <c r="F747" s="4" t="s">
        <v>11</v>
      </c>
      <c r="G747" s="4" t="s">
        <v>72</v>
      </c>
      <c r="H747" s="4"/>
      <c r="I747" s="4" t="s">
        <v>40</v>
      </c>
      <c r="J747" s="17" t="s">
        <v>3290</v>
      </c>
      <c r="K747" s="16">
        <v>68.566219245736903</v>
      </c>
      <c r="L747" s="16">
        <v>47.123354453404119</v>
      </c>
      <c r="M747" s="16">
        <v>80.764585465391065</v>
      </c>
      <c r="N747" s="16">
        <v>60.468466199597557</v>
      </c>
      <c r="O747" s="16">
        <v>18.132633929099306</v>
      </c>
      <c r="P747" s="16">
        <v>36.755280212638006</v>
      </c>
      <c r="Q747" s="16">
        <v>41.020336564631755</v>
      </c>
    </row>
    <row r="748" spans="1:18" ht="12.75" x14ac:dyDescent="0.2">
      <c r="A748" s="4" t="s">
        <v>115</v>
      </c>
      <c r="B748" s="4" t="s">
        <v>116</v>
      </c>
      <c r="C748" s="4" t="s">
        <v>4823</v>
      </c>
      <c r="D748" s="4" t="s">
        <v>4824</v>
      </c>
      <c r="E748" s="4" t="s">
        <v>129</v>
      </c>
      <c r="F748" s="4" t="s">
        <v>18</v>
      </c>
      <c r="G748" s="4" t="s">
        <v>3280</v>
      </c>
      <c r="H748" s="4"/>
      <c r="I748" s="4" t="s">
        <v>10</v>
      </c>
      <c r="J748" s="17" t="s">
        <v>3290</v>
      </c>
      <c r="K748" s="16">
        <v>17.640364373896666</v>
      </c>
      <c r="L748" s="16">
        <v>24.036102144319273</v>
      </c>
      <c r="M748" s="16">
        <v>14.103163412972075</v>
      </c>
      <c r="N748" s="16">
        <v>35.624084134483127</v>
      </c>
      <c r="O748" s="16">
        <v>88.706620354496565</v>
      </c>
      <c r="P748" s="16">
        <v>67.802519679563261</v>
      </c>
      <c r="Q748" s="16">
        <v>88.990884480344633</v>
      </c>
    </row>
    <row r="749" spans="1:18" ht="12.75" x14ac:dyDescent="0.2">
      <c r="A749" s="4" t="s">
        <v>115</v>
      </c>
      <c r="B749" s="4" t="s">
        <v>116</v>
      </c>
      <c r="C749" s="4" t="s">
        <v>4825</v>
      </c>
      <c r="D749" s="4" t="s">
        <v>4826</v>
      </c>
      <c r="E749" s="4" t="s">
        <v>9</v>
      </c>
      <c r="F749" s="4" t="s">
        <v>18</v>
      </c>
      <c r="G749" s="4" t="s">
        <v>3280</v>
      </c>
      <c r="H749" s="4"/>
      <c r="I749" s="4" t="s">
        <v>10</v>
      </c>
      <c r="J749" s="17" t="s">
        <v>3290</v>
      </c>
      <c r="K749" s="16">
        <v>2.8174682118761507</v>
      </c>
      <c r="L749" s="16">
        <v>50.340579941742234</v>
      </c>
      <c r="M749" s="16">
        <v>21.53628041009733</v>
      </c>
      <c r="N749" s="16">
        <v>40.558732327267165</v>
      </c>
      <c r="O749" s="16">
        <v>83.452515311041026</v>
      </c>
      <c r="P749" s="16">
        <v>40.077539014969055</v>
      </c>
      <c r="Q749" s="16">
        <v>90.443016580509081</v>
      </c>
    </row>
    <row r="750" spans="1:18" ht="12.75" x14ac:dyDescent="0.2">
      <c r="A750" s="4" t="s">
        <v>64</v>
      </c>
      <c r="B750" s="4" t="s">
        <v>82</v>
      </c>
      <c r="C750" s="4" t="s">
        <v>4827</v>
      </c>
      <c r="D750" s="4" t="s">
        <v>4828</v>
      </c>
      <c r="E750" s="4" t="s">
        <v>135</v>
      </c>
      <c r="F750" s="4" t="s">
        <v>18</v>
      </c>
      <c r="G750" s="4" t="s">
        <v>3280</v>
      </c>
      <c r="H750" s="4"/>
      <c r="I750" s="4" t="s">
        <v>10</v>
      </c>
      <c r="J750" s="17" t="s">
        <v>3290</v>
      </c>
      <c r="K750" s="16">
        <v>81.866667796661858</v>
      </c>
      <c r="L750" s="16">
        <v>69.30120699049462</v>
      </c>
      <c r="M750" s="16">
        <v>76.508451572657052</v>
      </c>
      <c r="N750" s="16">
        <v>85.490594443876418</v>
      </c>
      <c r="O750" s="16">
        <v>57.283749951771014</v>
      </c>
      <c r="P750" s="16">
        <v>54.58051772956081</v>
      </c>
      <c r="Q750" s="16">
        <v>23.953948298572424</v>
      </c>
    </row>
    <row r="751" spans="1:18" ht="12.75" x14ac:dyDescent="0.2">
      <c r="A751" s="4" t="s">
        <v>115</v>
      </c>
      <c r="B751" s="4" t="s">
        <v>116</v>
      </c>
      <c r="C751" s="4" t="s">
        <v>4829</v>
      </c>
      <c r="D751" s="4" t="s">
        <v>4830</v>
      </c>
      <c r="E751" s="4" t="s">
        <v>83</v>
      </c>
      <c r="F751" s="4" t="s">
        <v>25</v>
      </c>
      <c r="G751" s="4" t="s">
        <v>61</v>
      </c>
      <c r="H751" s="4"/>
      <c r="I751" s="4" t="s">
        <v>10</v>
      </c>
      <c r="J751" s="17" t="s">
        <v>3290</v>
      </c>
      <c r="K751" s="16">
        <v>14.286206249858758</v>
      </c>
      <c r="L751" s="16">
        <v>6.5838573797714961</v>
      </c>
      <c r="M751" s="16">
        <v>35.535087265038889</v>
      </c>
      <c r="N751" s="16">
        <v>93.35218974519735</v>
      </c>
      <c r="O751" s="16">
        <v>51.892104180655465</v>
      </c>
      <c r="P751" s="16">
        <v>92.997846170877594</v>
      </c>
      <c r="Q751" s="16">
        <v>10.92423760526885</v>
      </c>
    </row>
    <row r="752" spans="1:18" ht="12.75" x14ac:dyDescent="0.2">
      <c r="A752" s="4" t="s">
        <v>64</v>
      </c>
      <c r="B752" s="4" t="s">
        <v>86</v>
      </c>
      <c r="C752" s="4" t="s">
        <v>4831</v>
      </c>
      <c r="D752" s="4" t="s">
        <v>4832</v>
      </c>
      <c r="E752" s="4" t="s">
        <v>83</v>
      </c>
      <c r="F752" s="4" t="s">
        <v>25</v>
      </c>
      <c r="G752" s="4" t="s">
        <v>72</v>
      </c>
      <c r="I752" s="4" t="s">
        <v>10</v>
      </c>
      <c r="J752" s="17" t="s">
        <v>3290</v>
      </c>
      <c r="K752" s="16">
        <v>72.750353509632717</v>
      </c>
      <c r="L752" s="16">
        <v>5.2985833587907099</v>
      </c>
      <c r="M752" s="16">
        <v>91.562146396462907</v>
      </c>
      <c r="N752" s="16">
        <v>14.966637700864549</v>
      </c>
      <c r="O752" s="16">
        <v>50.434010898766935</v>
      </c>
      <c r="P752" s="16">
        <v>51.452162571939922</v>
      </c>
      <c r="Q752" s="16">
        <v>51.13989483870953</v>
      </c>
    </row>
    <row r="753" spans="1:17" ht="12.75" x14ac:dyDescent="0.2">
      <c r="A753" s="4" t="s">
        <v>64</v>
      </c>
      <c r="B753" s="4" t="s">
        <v>92</v>
      </c>
      <c r="C753" s="4" t="s">
        <v>4833</v>
      </c>
      <c r="D753" s="4" t="s">
        <v>4834</v>
      </c>
      <c r="E753" s="4" t="s">
        <v>106</v>
      </c>
      <c r="F753" s="4" t="s">
        <v>18</v>
      </c>
      <c r="G753" s="4" t="s">
        <v>26</v>
      </c>
      <c r="H753" s="4"/>
      <c r="I753" s="4" t="s">
        <v>10</v>
      </c>
      <c r="J753" s="17" t="s">
        <v>3290</v>
      </c>
      <c r="K753" s="16">
        <v>13.473034646851655</v>
      </c>
      <c r="L753" s="16">
        <v>16.55004829026997</v>
      </c>
      <c r="M753" s="16">
        <v>52.437185154724652</v>
      </c>
      <c r="N753" s="16">
        <v>33.124932900281067</v>
      </c>
      <c r="O753" s="16">
        <v>46.032196789154</v>
      </c>
      <c r="P753" s="16">
        <v>45.038961665271096</v>
      </c>
      <c r="Q753" s="16">
        <v>23.56762486462123</v>
      </c>
    </row>
    <row r="754" spans="1:17" ht="12.75" x14ac:dyDescent="0.2">
      <c r="A754" s="4" t="s">
        <v>64</v>
      </c>
      <c r="B754" s="4" t="s">
        <v>86</v>
      </c>
      <c r="C754" s="4" t="s">
        <v>4835</v>
      </c>
      <c r="D754" s="4" t="s">
        <v>4836</v>
      </c>
      <c r="E754" s="4" t="s">
        <v>87</v>
      </c>
      <c r="F754" s="4" t="s">
        <v>18</v>
      </c>
      <c r="G754" s="4" t="s">
        <v>26</v>
      </c>
      <c r="I754" s="4" t="s">
        <v>10</v>
      </c>
      <c r="J754" s="17" t="s">
        <v>3290</v>
      </c>
      <c r="K754" s="16">
        <v>56.223974211018145</v>
      </c>
      <c r="L754" s="16">
        <v>54.536641092657781</v>
      </c>
      <c r="M754" s="16">
        <v>55.14874607556294</v>
      </c>
      <c r="N754" s="16">
        <v>16.528892930878037</v>
      </c>
      <c r="O754" s="16">
        <v>9.2255011837610095</v>
      </c>
      <c r="P754" s="16">
        <v>29.431399519800085</v>
      </c>
      <c r="Q754" s="16">
        <v>31.65532246466578</v>
      </c>
    </row>
    <row r="755" spans="1:17" ht="12.75" x14ac:dyDescent="0.2">
      <c r="A755" s="4" t="s">
        <v>64</v>
      </c>
      <c r="B755" s="4" t="s">
        <v>86</v>
      </c>
      <c r="C755" s="4" t="s">
        <v>4837</v>
      </c>
      <c r="D755" s="4" t="s">
        <v>4838</v>
      </c>
      <c r="E755" s="4" t="s">
        <v>87</v>
      </c>
      <c r="F755" s="4" t="s">
        <v>18</v>
      </c>
      <c r="G755" s="4" t="s">
        <v>19</v>
      </c>
      <c r="I755" s="4" t="s">
        <v>10</v>
      </c>
      <c r="J755" s="17" t="s">
        <v>3290</v>
      </c>
      <c r="K755" s="16">
        <v>9.4962351903547955</v>
      </c>
      <c r="L755" s="16">
        <v>78.696476687193424</v>
      </c>
      <c r="M755" s="16">
        <v>28.574390377254964</v>
      </c>
      <c r="N755" s="16">
        <v>50.221857571028437</v>
      </c>
      <c r="O755" s="16">
        <v>32.855046475822093</v>
      </c>
      <c r="P755" s="16">
        <v>23.410893115518316</v>
      </c>
      <c r="Q755" s="16">
        <v>40.41292125578758</v>
      </c>
    </row>
    <row r="756" spans="1:17" ht="12.75" x14ac:dyDescent="0.2">
      <c r="A756" s="4" t="s">
        <v>115</v>
      </c>
      <c r="B756" s="4" t="s">
        <v>116</v>
      </c>
      <c r="C756" s="4" t="s">
        <v>4839</v>
      </c>
      <c r="D756" s="4" t="s">
        <v>4840</v>
      </c>
      <c r="E756" s="4" t="s">
        <v>100</v>
      </c>
      <c r="F756" s="4" t="s">
        <v>18</v>
      </c>
      <c r="G756" s="4" t="s">
        <v>3280</v>
      </c>
      <c r="H756" s="4"/>
      <c r="I756" s="4" t="s">
        <v>10</v>
      </c>
      <c r="J756" s="17" t="s">
        <v>3290</v>
      </c>
      <c r="K756" s="16">
        <v>29.422156955118194</v>
      </c>
      <c r="L756" s="16">
        <v>38.375718755997099</v>
      </c>
      <c r="M756" s="16">
        <v>29.172950179899924</v>
      </c>
      <c r="N756" s="16">
        <v>55.672748178490181</v>
      </c>
      <c r="O756" s="16">
        <v>84.504529713038451</v>
      </c>
      <c r="P756" s="16">
        <v>65.621029983816683</v>
      </c>
      <c r="Q756" s="16">
        <v>39.951357689431831</v>
      </c>
    </row>
    <row r="757" spans="1:17" ht="12.75" x14ac:dyDescent="0.2">
      <c r="A757" s="4" t="s">
        <v>64</v>
      </c>
      <c r="B757" s="4" t="s">
        <v>92</v>
      </c>
      <c r="C757" s="4" t="s">
        <v>4841</v>
      </c>
      <c r="D757" s="4" t="s">
        <v>4842</v>
      </c>
      <c r="E757" s="4" t="s">
        <v>100</v>
      </c>
      <c r="F757" s="4" t="s">
        <v>18</v>
      </c>
      <c r="G757" s="4" t="s">
        <v>26</v>
      </c>
      <c r="H757" s="4"/>
      <c r="I757" s="4" t="s">
        <v>10</v>
      </c>
      <c r="J757" s="17" t="s">
        <v>3290</v>
      </c>
      <c r="K757" s="16">
        <v>41.708267191080353</v>
      </c>
      <c r="L757" s="16">
        <v>84.167629438425706</v>
      </c>
      <c r="M757" s="16">
        <v>76.350671826218189</v>
      </c>
      <c r="N757" s="16">
        <v>36.423136774304112</v>
      </c>
      <c r="O757" s="16">
        <v>23.56534717555704</v>
      </c>
      <c r="P757" s="16">
        <v>80.478293141567008</v>
      </c>
      <c r="Q757" s="16">
        <v>32.513128792647969</v>
      </c>
    </row>
    <row r="758" spans="1:17" ht="12.75" x14ac:dyDescent="0.2">
      <c r="A758" s="4" t="s">
        <v>64</v>
      </c>
      <c r="B758" s="4" t="s">
        <v>82</v>
      </c>
      <c r="C758" s="4" t="s">
        <v>4843</v>
      </c>
      <c r="D758" s="4" t="s">
        <v>4844</v>
      </c>
      <c r="E758" s="4" t="s">
        <v>129</v>
      </c>
      <c r="F758" s="4" t="s">
        <v>18</v>
      </c>
      <c r="G758" s="4" t="s">
        <v>61</v>
      </c>
      <c r="H758" s="4"/>
      <c r="I758" s="4" t="s">
        <v>10</v>
      </c>
      <c r="J758" s="17" t="s">
        <v>3290</v>
      </c>
      <c r="K758" s="16">
        <v>60.4824049483381</v>
      </c>
      <c r="L758" s="16">
        <v>22.906674417741947</v>
      </c>
      <c r="M758" s="16">
        <v>37.162104680931193</v>
      </c>
      <c r="N758" s="16">
        <v>57.504694866619012</v>
      </c>
      <c r="O758" s="16">
        <v>79.200240524864142</v>
      </c>
      <c r="P758" s="16">
        <v>47.529353866782387</v>
      </c>
      <c r="Q758" s="16">
        <v>27.498677944490868</v>
      </c>
    </row>
    <row r="759" spans="1:17" ht="12.75" x14ac:dyDescent="0.2">
      <c r="A759" s="4" t="s">
        <v>7</v>
      </c>
      <c r="B759" s="4" t="s">
        <v>23</v>
      </c>
      <c r="C759" s="4" t="s">
        <v>4845</v>
      </c>
      <c r="D759" s="4" t="s">
        <v>4846</v>
      </c>
      <c r="E759" s="4" t="s">
        <v>126</v>
      </c>
      <c r="F759" s="4" t="s">
        <v>18</v>
      </c>
      <c r="G759" s="4" t="s">
        <v>61</v>
      </c>
      <c r="H759" s="4"/>
      <c r="I759" s="4" t="s">
        <v>10</v>
      </c>
      <c r="J759" s="17" t="s">
        <v>3290</v>
      </c>
      <c r="K759" s="16">
        <v>41.592555166516789</v>
      </c>
      <c r="L759" s="16">
        <v>35.381953274500447</v>
      </c>
      <c r="M759" s="16">
        <v>6.30441916669362</v>
      </c>
      <c r="N759" s="16">
        <v>74.59505754984886</v>
      </c>
      <c r="O759" s="16">
        <v>45.694492287361598</v>
      </c>
      <c r="P759" s="16">
        <v>87.300149907152871</v>
      </c>
      <c r="Q759" s="16">
        <v>22.878261904661301</v>
      </c>
    </row>
    <row r="760" spans="1:17" ht="12.75" x14ac:dyDescent="0.2">
      <c r="A760" s="4" t="s">
        <v>64</v>
      </c>
      <c r="B760" s="4" t="s">
        <v>82</v>
      </c>
      <c r="C760" s="4" t="s">
        <v>4847</v>
      </c>
      <c r="D760" s="4" t="s">
        <v>4848</v>
      </c>
      <c r="E760" s="4" t="s">
        <v>126</v>
      </c>
      <c r="F760" s="4" t="s">
        <v>18</v>
      </c>
      <c r="G760" s="4" t="s">
        <v>61</v>
      </c>
      <c r="H760" s="4"/>
      <c r="I760" s="4" t="s">
        <v>10</v>
      </c>
      <c r="J760" s="17" t="s">
        <v>3290</v>
      </c>
      <c r="K760" s="16">
        <v>84.671362319694836</v>
      </c>
      <c r="L760" s="16">
        <v>28.341871044729682</v>
      </c>
      <c r="M760" s="16">
        <v>20.15880243687015</v>
      </c>
      <c r="N760" s="16">
        <v>20.565972865605776</v>
      </c>
      <c r="O760" s="16">
        <v>84.853832136690002</v>
      </c>
      <c r="P760" s="16">
        <v>69.424859658916645</v>
      </c>
      <c r="Q760" s="16">
        <v>15.343300559112382</v>
      </c>
    </row>
    <row r="761" spans="1:17" ht="12.75" x14ac:dyDescent="0.2">
      <c r="A761" s="4" t="s">
        <v>115</v>
      </c>
      <c r="B761" s="4" t="s">
        <v>116</v>
      </c>
      <c r="C761" s="4" t="s">
        <v>4849</v>
      </c>
      <c r="D761" s="4" t="s">
        <v>4850</v>
      </c>
      <c r="E761" s="4" t="s">
        <v>83</v>
      </c>
      <c r="F761" s="4" t="s">
        <v>25</v>
      </c>
      <c r="G761" s="4" t="s">
        <v>61</v>
      </c>
      <c r="H761" s="4"/>
      <c r="I761" s="4" t="s">
        <v>10</v>
      </c>
      <c r="J761" s="17" t="s">
        <v>3290</v>
      </c>
      <c r="K761" s="16">
        <v>36.420515063957005</v>
      </c>
      <c r="L761" s="16">
        <v>9.5033542977270731</v>
      </c>
      <c r="M761" s="16">
        <v>76.756656714560847</v>
      </c>
      <c r="N761" s="16">
        <v>83.943383915266423</v>
      </c>
      <c r="O761" s="16">
        <v>58.100426543350281</v>
      </c>
      <c r="P761" s="16">
        <v>92.880988198008083</v>
      </c>
      <c r="Q761" s="16">
        <v>81.063378009269186</v>
      </c>
    </row>
    <row r="762" spans="1:17" ht="12.75" x14ac:dyDescent="0.2">
      <c r="A762" s="4" t="s">
        <v>64</v>
      </c>
      <c r="B762" s="4" t="s">
        <v>92</v>
      </c>
      <c r="C762" s="4" t="s">
        <v>4851</v>
      </c>
      <c r="D762" s="4" t="s">
        <v>4852</v>
      </c>
      <c r="E762" s="4" t="s">
        <v>100</v>
      </c>
      <c r="F762" s="4" t="s">
        <v>18</v>
      </c>
      <c r="G762" s="4" t="s">
        <v>26</v>
      </c>
      <c r="H762" s="4"/>
      <c r="I762" s="4" t="s">
        <v>10</v>
      </c>
      <c r="J762" s="17" t="s">
        <v>3290</v>
      </c>
      <c r="K762" s="16">
        <v>0.96672283066322473</v>
      </c>
      <c r="L762" s="16">
        <v>15.52538158206035</v>
      </c>
      <c r="M762" s="16">
        <v>18.561618684664381</v>
      </c>
      <c r="N762" s="16">
        <v>70.768725503779876</v>
      </c>
      <c r="O762" s="16">
        <v>44.309205916714923</v>
      </c>
      <c r="P762" s="16">
        <v>9.2762789985177285</v>
      </c>
      <c r="Q762" s="16">
        <v>78.041080231676418</v>
      </c>
    </row>
    <row r="763" spans="1:17" ht="12.75" x14ac:dyDescent="0.2">
      <c r="A763" s="4" t="s">
        <v>64</v>
      </c>
      <c r="B763" s="4" t="s">
        <v>82</v>
      </c>
      <c r="C763" s="4" t="s">
        <v>4853</v>
      </c>
      <c r="D763" s="4" t="s">
        <v>4854</v>
      </c>
      <c r="E763" s="4" t="s">
        <v>106</v>
      </c>
      <c r="F763" s="4" t="s">
        <v>32</v>
      </c>
      <c r="G763" s="4" t="s">
        <v>26</v>
      </c>
      <c r="H763" s="4"/>
      <c r="I763" s="4" t="s">
        <v>10</v>
      </c>
      <c r="J763" s="17" t="s">
        <v>3290</v>
      </c>
      <c r="K763" s="16">
        <v>51.541040895391433</v>
      </c>
      <c r="L763" s="16">
        <v>79.074654322625221</v>
      </c>
      <c r="M763" s="16">
        <v>79.671112728854439</v>
      </c>
      <c r="N763" s="16">
        <v>99.541313132886373</v>
      </c>
      <c r="O763" s="16">
        <v>70.595221898818323</v>
      </c>
      <c r="P763" s="16">
        <v>77.818643705950322</v>
      </c>
      <c r="Q763" s="16">
        <v>26.373030627183567</v>
      </c>
    </row>
    <row r="764" spans="1:17" ht="12.75" x14ac:dyDescent="0.2">
      <c r="A764" s="4" t="s">
        <v>64</v>
      </c>
      <c r="B764" s="4" t="s">
        <v>82</v>
      </c>
      <c r="C764" s="4" t="s">
        <v>4855</v>
      </c>
      <c r="D764" s="4" t="s">
        <v>4856</v>
      </c>
      <c r="E764" s="4" t="s">
        <v>106</v>
      </c>
      <c r="F764" s="4" t="s">
        <v>32</v>
      </c>
      <c r="G764" s="4" t="s">
        <v>26</v>
      </c>
      <c r="H764" s="4"/>
      <c r="I764" s="4" t="s">
        <v>10</v>
      </c>
      <c r="J764" s="17" t="s">
        <v>3290</v>
      </c>
      <c r="K764" s="16">
        <v>83.510327973753149</v>
      </c>
      <c r="L764" s="16">
        <v>18.421781700672955</v>
      </c>
      <c r="M764" s="16">
        <v>17.920444883830488</v>
      </c>
      <c r="N764" s="16">
        <v>66.461763603750896</v>
      </c>
      <c r="O764" s="16">
        <v>6.6789566918856513</v>
      </c>
      <c r="P764" s="16">
        <v>81.860049930559228</v>
      </c>
      <c r="Q764" s="16">
        <v>49.74008822747399</v>
      </c>
    </row>
    <row r="765" spans="1:17" ht="12.75" x14ac:dyDescent="0.2">
      <c r="A765" s="4" t="s">
        <v>98</v>
      </c>
      <c r="B765" s="4" t="s">
        <v>107</v>
      </c>
      <c r="C765" s="4" t="s">
        <v>4857</v>
      </c>
      <c r="D765" s="4" t="s">
        <v>4858</v>
      </c>
      <c r="E765" s="4" t="s">
        <v>126</v>
      </c>
      <c r="F765" s="4" t="s">
        <v>18</v>
      </c>
      <c r="G765" s="4" t="s">
        <v>41</v>
      </c>
      <c r="H765" s="4"/>
      <c r="I765" s="4" t="s">
        <v>10</v>
      </c>
      <c r="J765" s="17" t="s">
        <v>3290</v>
      </c>
      <c r="K765" s="16">
        <v>78.807373573563993</v>
      </c>
      <c r="L765" s="16">
        <v>49.887246835421408</v>
      </c>
      <c r="M765" s="16">
        <v>99.848509653911648</v>
      </c>
      <c r="N765" s="16">
        <v>96.59764167458124</v>
      </c>
      <c r="O765" s="16">
        <v>11.683385696113625</v>
      </c>
      <c r="P765" s="16">
        <v>78.464365734447142</v>
      </c>
      <c r="Q765" s="16">
        <v>89.550183848148208</v>
      </c>
    </row>
    <row r="766" spans="1:17" ht="12.75" x14ac:dyDescent="0.2">
      <c r="A766" s="4" t="s">
        <v>64</v>
      </c>
      <c r="B766" s="4" t="s">
        <v>92</v>
      </c>
      <c r="C766" s="4" t="s">
        <v>4859</v>
      </c>
      <c r="D766" s="4" t="s">
        <v>4860</v>
      </c>
      <c r="E766" s="4" t="s">
        <v>83</v>
      </c>
      <c r="F766" s="4" t="s">
        <v>25</v>
      </c>
      <c r="G766" s="4" t="s">
        <v>72</v>
      </c>
      <c r="H766" s="4"/>
      <c r="I766" s="4" t="s">
        <v>10</v>
      </c>
      <c r="J766" s="17" t="s">
        <v>3290</v>
      </c>
      <c r="K766" s="16">
        <v>58.508720513276643</v>
      </c>
      <c r="L766" s="16">
        <v>70.480650405197252</v>
      </c>
      <c r="M766" s="16">
        <v>39.799273407328663</v>
      </c>
      <c r="N766" s="16">
        <v>95.571942102915571</v>
      </c>
      <c r="O766" s="16">
        <v>6.7674362919656232</v>
      </c>
      <c r="P766" s="16">
        <v>66.702918212864176</v>
      </c>
      <c r="Q766" s="16">
        <v>0.72499497071790708</v>
      </c>
    </row>
    <row r="767" spans="1:17" ht="12.75" x14ac:dyDescent="0.2">
      <c r="A767" s="4" t="s">
        <v>115</v>
      </c>
      <c r="B767" s="4" t="s">
        <v>116</v>
      </c>
      <c r="C767" s="4" t="s">
        <v>4861</v>
      </c>
      <c r="D767" s="4" t="s">
        <v>4862</v>
      </c>
      <c r="E767" s="4" t="s">
        <v>126</v>
      </c>
      <c r="F767" s="4" t="s">
        <v>18</v>
      </c>
      <c r="G767" s="4" t="s">
        <v>61</v>
      </c>
      <c r="H767" s="4"/>
      <c r="I767" s="4" t="s">
        <v>10</v>
      </c>
      <c r="J767" s="17" t="s">
        <v>3290</v>
      </c>
      <c r="K767" s="16">
        <v>46.804550003529698</v>
      </c>
      <c r="L767" s="16">
        <v>12.050291312988337</v>
      </c>
      <c r="M767" s="16">
        <v>63.294858297341129</v>
      </c>
      <c r="N767" s="16">
        <v>30.636758539826982</v>
      </c>
      <c r="O767" s="16">
        <v>58.811018465303746</v>
      </c>
      <c r="P767" s="16">
        <v>81.124619021747264</v>
      </c>
      <c r="Q767" s="16">
        <v>40.075084932286074</v>
      </c>
    </row>
    <row r="768" spans="1:17" ht="12.75" x14ac:dyDescent="0.2">
      <c r="A768" s="4" t="s">
        <v>64</v>
      </c>
      <c r="B768" s="4" t="s">
        <v>82</v>
      </c>
      <c r="C768" s="4" t="s">
        <v>4863</v>
      </c>
      <c r="D768" s="4" t="s">
        <v>4864</v>
      </c>
      <c r="E768" s="4" t="s">
        <v>126</v>
      </c>
      <c r="F768" s="4" t="s">
        <v>25</v>
      </c>
      <c r="G768" s="4" t="s">
        <v>72</v>
      </c>
      <c r="H768" s="4"/>
      <c r="I768" s="4" t="s">
        <v>10</v>
      </c>
      <c r="J768" s="17" t="s">
        <v>3290</v>
      </c>
      <c r="K768" s="16">
        <v>39.134662640500984</v>
      </c>
      <c r="L768" s="16">
        <v>17.101147552447948</v>
      </c>
      <c r="M768" s="16">
        <v>40.750282398627704</v>
      </c>
      <c r="N768" s="16">
        <v>87.118291757376596</v>
      </c>
      <c r="O768" s="16">
        <v>95.282834982531512</v>
      </c>
      <c r="P768" s="16">
        <v>6.4180877329849224</v>
      </c>
      <c r="Q768" s="16">
        <v>23.872593245642136</v>
      </c>
    </row>
    <row r="769" spans="1:17" ht="12.75" x14ac:dyDescent="0.2">
      <c r="A769" s="4" t="s">
        <v>64</v>
      </c>
      <c r="B769" s="4" t="s">
        <v>89</v>
      </c>
      <c r="C769" s="4" t="s">
        <v>4865</v>
      </c>
      <c r="D769" s="4" t="s">
        <v>4866</v>
      </c>
      <c r="E769" s="4" t="s">
        <v>83</v>
      </c>
      <c r="F769" s="4" t="s">
        <v>25</v>
      </c>
      <c r="G769" s="4" t="s">
        <v>72</v>
      </c>
      <c r="H769" s="4"/>
      <c r="I769" s="4" t="s">
        <v>10</v>
      </c>
      <c r="J769" s="17" t="s">
        <v>3290</v>
      </c>
      <c r="K769" s="16">
        <v>98.072360322435202</v>
      </c>
      <c r="L769" s="16">
        <v>32.11397315855514</v>
      </c>
      <c r="M769" s="16">
        <v>36.514590940984569</v>
      </c>
      <c r="N769" s="16">
        <v>65.415507648791149</v>
      </c>
      <c r="O769" s="16">
        <v>55.706986785507297</v>
      </c>
      <c r="P769" s="16">
        <v>99.390092641020175</v>
      </c>
      <c r="Q769" s="16">
        <v>61.041280948729558</v>
      </c>
    </row>
    <row r="770" spans="1:17" ht="12.75" x14ac:dyDescent="0.2">
      <c r="A770" s="4" t="s">
        <v>64</v>
      </c>
      <c r="B770" s="4" t="s">
        <v>95</v>
      </c>
      <c r="C770" s="4" t="s">
        <v>4867</v>
      </c>
      <c r="D770" s="4" t="s">
        <v>4868</v>
      </c>
      <c r="E770" s="4" t="s">
        <v>126</v>
      </c>
      <c r="F770" s="4" t="s">
        <v>18</v>
      </c>
      <c r="G770" s="4" t="s">
        <v>41</v>
      </c>
      <c r="H770" s="4"/>
      <c r="I770" s="4" t="s">
        <v>10</v>
      </c>
      <c r="J770" s="17" t="s">
        <v>3290</v>
      </c>
      <c r="K770" s="16">
        <v>12.78107452294195</v>
      </c>
      <c r="L770" s="16">
        <v>96.603881101118617</v>
      </c>
      <c r="M770" s="16">
        <v>35.327262752752198</v>
      </c>
      <c r="N770" s="16">
        <v>0.86061197951577961</v>
      </c>
      <c r="O770" s="16">
        <v>78.65653987122397</v>
      </c>
      <c r="P770" s="16">
        <v>98.505233313191681</v>
      </c>
      <c r="Q770" s="16">
        <v>23.571637057560991</v>
      </c>
    </row>
    <row r="771" spans="1:17" ht="12.75" x14ac:dyDescent="0.2">
      <c r="A771" s="4" t="s">
        <v>98</v>
      </c>
      <c r="B771" s="4" t="s">
        <v>105</v>
      </c>
      <c r="C771" s="4" t="s">
        <v>4869</v>
      </c>
      <c r="D771" s="4" t="s">
        <v>4870</v>
      </c>
      <c r="E771" s="4" t="s">
        <v>83</v>
      </c>
      <c r="F771" s="4" t="s">
        <v>25</v>
      </c>
      <c r="G771" s="4" t="s">
        <v>41</v>
      </c>
      <c r="H771" s="4"/>
      <c r="I771" s="4" t="s">
        <v>10</v>
      </c>
      <c r="J771" s="17" t="s">
        <v>3290</v>
      </c>
      <c r="K771" s="16">
        <v>69.833745188947134</v>
      </c>
      <c r="L771" s="16">
        <v>51.467529020655391</v>
      </c>
      <c r="M771" s="16">
        <v>75.119105635270714</v>
      </c>
      <c r="N771" s="16">
        <v>63.600597856289475</v>
      </c>
      <c r="O771" s="16">
        <v>17.502414765623552</v>
      </c>
      <c r="P771" s="16">
        <v>67.099313878096297</v>
      </c>
      <c r="Q771" s="16">
        <v>75.787040317829295</v>
      </c>
    </row>
    <row r="772" spans="1:17" ht="12.75" x14ac:dyDescent="0.2">
      <c r="A772" s="4" t="s">
        <v>7</v>
      </c>
      <c r="B772" s="4" t="s">
        <v>8</v>
      </c>
      <c r="C772" s="4" t="s">
        <v>4871</v>
      </c>
      <c r="D772" s="4" t="s">
        <v>4872</v>
      </c>
      <c r="E772" s="4" t="s">
        <v>106</v>
      </c>
      <c r="F772" s="4" t="s">
        <v>11</v>
      </c>
      <c r="G772" s="4" t="s">
        <v>61</v>
      </c>
      <c r="H772" s="4"/>
      <c r="I772" s="4" t="s">
        <v>10</v>
      </c>
      <c r="J772" s="17" t="s">
        <v>3290</v>
      </c>
      <c r="K772" s="16">
        <v>29.703572992181869</v>
      </c>
      <c r="L772" s="16">
        <v>52.784742762535366</v>
      </c>
      <c r="M772" s="16">
        <v>4.0956285959170895</v>
      </c>
      <c r="N772" s="16">
        <v>83.176344767568864</v>
      </c>
      <c r="O772" s="16">
        <v>47.426975180838014</v>
      </c>
      <c r="P772" s="16">
        <v>62.69700195057419</v>
      </c>
      <c r="Q772" s="16">
        <v>92.174555490793537</v>
      </c>
    </row>
    <row r="773" spans="1:17" ht="12.75" x14ac:dyDescent="0.2">
      <c r="A773" s="4" t="s">
        <v>115</v>
      </c>
      <c r="B773" s="4" t="s">
        <v>122</v>
      </c>
      <c r="C773" s="4" t="s">
        <v>4873</v>
      </c>
      <c r="D773" s="4" t="s">
        <v>4874</v>
      </c>
      <c r="E773" s="4" t="s">
        <v>114</v>
      </c>
      <c r="F773" s="4" t="s">
        <v>25</v>
      </c>
      <c r="G773" s="4" t="s">
        <v>61</v>
      </c>
      <c r="H773" s="4"/>
      <c r="I773" s="4" t="s">
        <v>10</v>
      </c>
      <c r="J773" s="17" t="s">
        <v>3290</v>
      </c>
      <c r="K773" s="16">
        <v>9.8097877160307494</v>
      </c>
      <c r="L773" s="16">
        <v>35.108793382806439</v>
      </c>
      <c r="M773" s="16">
        <v>22.607560958448481</v>
      </c>
      <c r="N773" s="16">
        <v>60.134173713522387</v>
      </c>
      <c r="O773" s="16">
        <v>94.566594636638285</v>
      </c>
      <c r="P773" s="16">
        <v>47.016580449004394</v>
      </c>
      <c r="Q773" s="16">
        <v>81.388561907947988</v>
      </c>
    </row>
    <row r="774" spans="1:17" ht="12.75" x14ac:dyDescent="0.2">
      <c r="A774" s="4" t="s">
        <v>7</v>
      </c>
      <c r="B774" s="4" t="s">
        <v>30</v>
      </c>
      <c r="C774" s="4" t="s">
        <v>4875</v>
      </c>
      <c r="D774" s="4" t="s">
        <v>4876</v>
      </c>
      <c r="E774" s="4" t="s">
        <v>129</v>
      </c>
      <c r="F774" s="4" t="s">
        <v>18</v>
      </c>
      <c r="G774" s="4" t="s">
        <v>72</v>
      </c>
      <c r="H774" s="4" t="s">
        <v>4281</v>
      </c>
      <c r="I774" s="4" t="s">
        <v>10</v>
      </c>
      <c r="J774" s="17" t="s">
        <v>3290</v>
      </c>
      <c r="K774" s="16">
        <v>6.7886235175372844</v>
      </c>
      <c r="L774" s="16">
        <v>46.968971660717294</v>
      </c>
      <c r="M774" s="16">
        <v>20.023865785303151</v>
      </c>
      <c r="N774" s="16">
        <v>46.275365211868333</v>
      </c>
      <c r="O774" s="16">
        <v>93.315559499401786</v>
      </c>
      <c r="P774" s="16">
        <v>46.388422146847297</v>
      </c>
      <c r="Q774" s="16">
        <v>82.477391724914085</v>
      </c>
    </row>
    <row r="775" spans="1:17" ht="12.75" x14ac:dyDescent="0.2">
      <c r="A775" s="4" t="s">
        <v>7</v>
      </c>
      <c r="B775" s="4" t="s">
        <v>16</v>
      </c>
      <c r="C775" s="4" t="s">
        <v>4877</v>
      </c>
      <c r="D775" s="4" t="s">
        <v>4878</v>
      </c>
      <c r="E775" s="4" t="s">
        <v>83</v>
      </c>
      <c r="F775" s="4" t="s">
        <v>25</v>
      </c>
      <c r="G775" s="4"/>
      <c r="H775" s="4" t="s">
        <v>10</v>
      </c>
      <c r="I775" s="4" t="s">
        <v>10</v>
      </c>
      <c r="J775" s="17" t="s">
        <v>3290</v>
      </c>
      <c r="K775" s="16">
        <v>86.064850211836571</v>
      </c>
      <c r="L775" s="16">
        <v>22.865825392820639</v>
      </c>
      <c r="M775" s="16">
        <v>80.129482329372792</v>
      </c>
      <c r="N775" s="16">
        <v>65.547097699076872</v>
      </c>
      <c r="O775" s="16">
        <v>85.181233397216786</v>
      </c>
      <c r="P775" s="16">
        <v>64.874698343891012</v>
      </c>
      <c r="Q775" s="16">
        <v>81.676653297533989</v>
      </c>
    </row>
    <row r="776" spans="1:17" ht="12.75" x14ac:dyDescent="0.2">
      <c r="A776" s="4" t="s">
        <v>98</v>
      </c>
      <c r="B776" s="4" t="s">
        <v>113</v>
      </c>
      <c r="C776" s="4" t="s">
        <v>4879</v>
      </c>
      <c r="D776" s="4" t="s">
        <v>4880</v>
      </c>
      <c r="E776" s="4" t="s">
        <v>9</v>
      </c>
      <c r="F776" s="4" t="s">
        <v>18</v>
      </c>
      <c r="G776" s="4" t="s">
        <v>26</v>
      </c>
      <c r="H776" s="4"/>
      <c r="I776" s="4" t="s">
        <v>10</v>
      </c>
      <c r="J776" s="17" t="s">
        <v>3290</v>
      </c>
      <c r="K776" s="16">
        <v>81.092144447840695</v>
      </c>
      <c r="L776" s="16">
        <v>14.257114994551735</v>
      </c>
      <c r="M776" s="16">
        <v>0.78421644965578352</v>
      </c>
      <c r="N776" s="16">
        <v>67.440980970082208</v>
      </c>
      <c r="O776" s="16">
        <v>39.765693017997407</v>
      </c>
      <c r="P776" s="16">
        <v>36.585132910018444</v>
      </c>
      <c r="Q776" s="16">
        <v>69.633652490847112</v>
      </c>
    </row>
    <row r="777" spans="1:17" ht="12.75" x14ac:dyDescent="0.2">
      <c r="A777" s="4" t="s">
        <v>7</v>
      </c>
      <c r="B777" s="4" t="s">
        <v>23</v>
      </c>
      <c r="C777" s="4" t="s">
        <v>4881</v>
      </c>
      <c r="D777" s="4" t="s">
        <v>4882</v>
      </c>
      <c r="E777" s="4" t="s">
        <v>79</v>
      </c>
      <c r="F777" s="4" t="s">
        <v>18</v>
      </c>
      <c r="G777" s="4" t="s">
        <v>41</v>
      </c>
      <c r="H777" s="4"/>
      <c r="I777" s="4" t="s">
        <v>10</v>
      </c>
      <c r="J777" s="17" t="s">
        <v>3290</v>
      </c>
      <c r="K777" s="16">
        <v>69.576843093446641</v>
      </c>
      <c r="L777" s="16">
        <v>36.402808824307833</v>
      </c>
      <c r="M777" s="16">
        <v>58.700759334175999</v>
      </c>
      <c r="N777" s="16">
        <v>23.524561459234693</v>
      </c>
      <c r="O777" s="16">
        <v>61.638121938993336</v>
      </c>
      <c r="P777" s="16">
        <v>0.41206482300298886</v>
      </c>
      <c r="Q777" s="16">
        <v>96.093738876013845</v>
      </c>
    </row>
    <row r="778" spans="1:17" ht="12.75" x14ac:dyDescent="0.2">
      <c r="A778" s="4" t="s">
        <v>7</v>
      </c>
      <c r="B778" s="4" t="s">
        <v>23</v>
      </c>
      <c r="C778" s="4" t="s">
        <v>4883</v>
      </c>
      <c r="D778" s="4" t="s">
        <v>4884</v>
      </c>
      <c r="E778" s="4" t="s">
        <v>79</v>
      </c>
      <c r="F778" s="4" t="s">
        <v>18</v>
      </c>
      <c r="G778" s="4" t="s">
        <v>41</v>
      </c>
      <c r="H778" s="4"/>
      <c r="I778" s="4" t="s">
        <v>10</v>
      </c>
      <c r="J778" s="17" t="s">
        <v>3290</v>
      </c>
      <c r="K778" s="16">
        <v>85.162690547821512</v>
      </c>
      <c r="L778" s="16">
        <v>44.17435543135808</v>
      </c>
      <c r="M778" s="16">
        <v>8.727175857567449</v>
      </c>
      <c r="N778" s="16">
        <v>30.068244936896004</v>
      </c>
      <c r="O778" s="16">
        <v>55.335924476686181</v>
      </c>
      <c r="P778" s="16">
        <v>21.217686356970098</v>
      </c>
      <c r="Q778" s="16">
        <v>36.926945187346803</v>
      </c>
    </row>
    <row r="779" spans="1:17" ht="12.75" x14ac:dyDescent="0.2">
      <c r="A779" s="4" t="s">
        <v>98</v>
      </c>
      <c r="B779" s="4" t="s">
        <v>105</v>
      </c>
      <c r="C779" s="4" t="s">
        <v>4885</v>
      </c>
      <c r="D779" s="4" t="s">
        <v>4886</v>
      </c>
      <c r="E779" s="4" t="s">
        <v>93</v>
      </c>
      <c r="F779" s="4" t="s">
        <v>18</v>
      </c>
      <c r="G779" s="4" t="s">
        <v>41</v>
      </c>
      <c r="H779" s="4"/>
      <c r="I779" s="4" t="s">
        <v>10</v>
      </c>
      <c r="J779" s="17" t="s">
        <v>3290</v>
      </c>
      <c r="K779" s="16">
        <v>57.027956443173821</v>
      </c>
      <c r="L779" s="16">
        <v>55.584421564845968</v>
      </c>
      <c r="M779" s="16">
        <v>66.501007921379298</v>
      </c>
      <c r="N779" s="16">
        <v>92.634446781818951</v>
      </c>
      <c r="O779" s="16">
        <v>86.998359715883382</v>
      </c>
      <c r="P779" s="16">
        <v>73.39396852693929</v>
      </c>
      <c r="Q779" s="16">
        <v>36.498244485452027</v>
      </c>
    </row>
    <row r="780" spans="1:17" ht="12.75" x14ac:dyDescent="0.2">
      <c r="A780" s="4" t="s">
        <v>64</v>
      </c>
      <c r="B780" s="4" t="s">
        <v>95</v>
      </c>
      <c r="C780" s="4" t="s">
        <v>4887</v>
      </c>
      <c r="D780" s="4" t="s">
        <v>4888</v>
      </c>
      <c r="E780" s="4" t="s">
        <v>126</v>
      </c>
      <c r="F780" s="4" t="s">
        <v>18</v>
      </c>
      <c r="G780" s="4" t="s">
        <v>41</v>
      </c>
      <c r="H780" s="4"/>
      <c r="I780" s="4" t="s">
        <v>10</v>
      </c>
      <c r="J780" s="17" t="s">
        <v>3290</v>
      </c>
      <c r="K780" s="16">
        <v>69.310002785152165</v>
      </c>
      <c r="L780" s="16">
        <v>11.079727043313758</v>
      </c>
      <c r="M780" s="16">
        <v>2.0666123728877217</v>
      </c>
      <c r="N780" s="16">
        <v>67.861461654869061</v>
      </c>
      <c r="O780" s="16">
        <v>39.50165601726232</v>
      </c>
      <c r="P780" s="16">
        <v>92.721468000182583</v>
      </c>
      <c r="Q780" s="16">
        <v>0.64722187462754599</v>
      </c>
    </row>
    <row r="781" spans="1:17" ht="12.75" x14ac:dyDescent="0.2">
      <c r="A781" s="4" t="s">
        <v>7</v>
      </c>
      <c r="B781" s="4" t="s">
        <v>30</v>
      </c>
      <c r="C781" s="4" t="s">
        <v>4889</v>
      </c>
      <c r="D781" s="4" t="s">
        <v>4890</v>
      </c>
      <c r="E781" s="4" t="s">
        <v>129</v>
      </c>
      <c r="F781" s="4" t="s">
        <v>18</v>
      </c>
      <c r="G781" s="4" t="s">
        <v>72</v>
      </c>
      <c r="H781" s="4" t="s">
        <v>4281</v>
      </c>
      <c r="I781" s="4" t="s">
        <v>10</v>
      </c>
      <c r="J781" s="17" t="s">
        <v>3290</v>
      </c>
      <c r="K781" s="16">
        <v>37.383398037420257</v>
      </c>
      <c r="L781" s="16">
        <v>89.290673182057219</v>
      </c>
      <c r="M781" s="16">
        <v>6.8786960033552891</v>
      </c>
      <c r="N781" s="16">
        <v>31.705727911914071</v>
      </c>
      <c r="O781" s="16">
        <v>35.066568778155663</v>
      </c>
      <c r="P781" s="16">
        <v>51.88440765679664</v>
      </c>
      <c r="Q781" s="16">
        <v>29.546212052939659</v>
      </c>
    </row>
    <row r="782" spans="1:17" ht="12.75" x14ac:dyDescent="0.2">
      <c r="A782" s="4" t="s">
        <v>98</v>
      </c>
      <c r="B782" s="4" t="s">
        <v>99</v>
      </c>
      <c r="C782" s="4" t="s">
        <v>4891</v>
      </c>
      <c r="D782" s="4" t="s">
        <v>4892</v>
      </c>
      <c r="E782" s="4" t="s">
        <v>108</v>
      </c>
      <c r="F782" s="4" t="s">
        <v>25</v>
      </c>
      <c r="G782" s="4" t="s">
        <v>72</v>
      </c>
      <c r="H782" s="4"/>
      <c r="I782" s="4" t="s">
        <v>10</v>
      </c>
      <c r="J782" s="17" t="s">
        <v>3290</v>
      </c>
      <c r="K782" s="16">
        <v>28.282973613114759</v>
      </c>
      <c r="L782" s="16">
        <v>74.403385764880596</v>
      </c>
      <c r="M782" s="16">
        <v>31.623889484952073</v>
      </c>
      <c r="N782" s="16">
        <v>95.71809938866113</v>
      </c>
      <c r="O782" s="16">
        <v>85.755326691639326</v>
      </c>
      <c r="P782" s="16">
        <v>8.6663207147653072</v>
      </c>
      <c r="Q782" s="16">
        <v>7.6905975953109103</v>
      </c>
    </row>
    <row r="783" spans="1:17" ht="12.75" x14ac:dyDescent="0.2">
      <c r="A783" s="4" t="s">
        <v>7</v>
      </c>
      <c r="B783" s="4" t="s">
        <v>30</v>
      </c>
      <c r="C783" s="4" t="s">
        <v>4893</v>
      </c>
      <c r="D783" s="4" t="s">
        <v>4894</v>
      </c>
      <c r="E783" s="4" t="s">
        <v>129</v>
      </c>
      <c r="F783" s="4" t="s">
        <v>18</v>
      </c>
      <c r="G783" s="4" t="s">
        <v>72</v>
      </c>
      <c r="H783" s="4" t="s">
        <v>4281</v>
      </c>
      <c r="I783" s="4" t="s">
        <v>10</v>
      </c>
      <c r="J783" s="17" t="s">
        <v>3290</v>
      </c>
      <c r="K783" s="16">
        <v>93.954712504069533</v>
      </c>
      <c r="L783" s="16">
        <v>72.415152203940394</v>
      </c>
      <c r="M783" s="16">
        <v>75.441055817488774</v>
      </c>
      <c r="N783" s="16">
        <v>38.864536709456146</v>
      </c>
      <c r="O783" s="16">
        <v>95.146338271599546</v>
      </c>
      <c r="P783" s="16">
        <v>32.32521759279534</v>
      </c>
      <c r="Q783" s="16">
        <v>31.695697512853627</v>
      </c>
    </row>
    <row r="784" spans="1:17" ht="12.75" x14ac:dyDescent="0.2">
      <c r="A784" s="4" t="s">
        <v>115</v>
      </c>
      <c r="B784" s="4" t="s">
        <v>122</v>
      </c>
      <c r="C784" s="4" t="s">
        <v>4895</v>
      </c>
      <c r="D784" s="4" t="s">
        <v>4896</v>
      </c>
      <c r="E784" s="4" t="s">
        <v>129</v>
      </c>
      <c r="F784" s="4" t="s">
        <v>32</v>
      </c>
      <c r="G784" s="4" t="s">
        <v>61</v>
      </c>
      <c r="H784" s="4"/>
      <c r="I784" s="4" t="s">
        <v>10</v>
      </c>
      <c r="J784" s="17" t="s">
        <v>3290</v>
      </c>
      <c r="K784" s="16">
        <v>53.722229667914469</v>
      </c>
      <c r="L784" s="16">
        <v>67.062398365364004</v>
      </c>
      <c r="M784" s="16">
        <v>57.89656584945925</v>
      </c>
      <c r="N784" s="16">
        <v>47.694997011028974</v>
      </c>
      <c r="O784" s="16">
        <v>46.093938622924249</v>
      </c>
      <c r="P784" s="16">
        <v>28.190645901078714</v>
      </c>
      <c r="Q784" s="16">
        <v>32.248950591387846</v>
      </c>
    </row>
    <row r="785" spans="1:17" ht="12.75" x14ac:dyDescent="0.2">
      <c r="A785" s="4" t="s">
        <v>115</v>
      </c>
      <c r="B785" s="4" t="s">
        <v>128</v>
      </c>
      <c r="C785" s="4" t="s">
        <v>4897</v>
      </c>
      <c r="D785" s="4" t="s">
        <v>4898</v>
      </c>
      <c r="E785" s="4" t="s">
        <v>83</v>
      </c>
      <c r="F785" s="4" t="s">
        <v>25</v>
      </c>
      <c r="G785" s="4" t="s">
        <v>72</v>
      </c>
      <c r="H785" s="4" t="s">
        <v>4386</v>
      </c>
      <c r="I785" s="4" t="s">
        <v>10</v>
      </c>
      <c r="J785" s="17" t="s">
        <v>3290</v>
      </c>
      <c r="K785" s="16">
        <v>30.177836681150417</v>
      </c>
      <c r="L785" s="16">
        <v>42.954107525311159</v>
      </c>
      <c r="M785" s="16">
        <v>56.581275416490215</v>
      </c>
      <c r="N785" s="16">
        <v>49.234734687973173</v>
      </c>
      <c r="O785" s="16">
        <v>8.4511876407652906</v>
      </c>
      <c r="P785" s="16">
        <v>22.94371915377571</v>
      </c>
      <c r="Q785" s="16">
        <v>52.910645200118623</v>
      </c>
    </row>
    <row r="786" spans="1:17" ht="12.75" x14ac:dyDescent="0.2">
      <c r="A786" s="4" t="s">
        <v>7</v>
      </c>
      <c r="B786" s="4" t="s">
        <v>16</v>
      </c>
      <c r="C786" s="4" t="s">
        <v>4899</v>
      </c>
      <c r="D786" s="4" t="s">
        <v>4900</v>
      </c>
      <c r="E786" s="4" t="s">
        <v>126</v>
      </c>
      <c r="F786" s="4" t="s">
        <v>18</v>
      </c>
      <c r="G786" s="4"/>
      <c r="H786" s="4" t="s">
        <v>10</v>
      </c>
      <c r="I786" s="4" t="s">
        <v>10</v>
      </c>
      <c r="J786" s="17" t="s">
        <v>3290</v>
      </c>
      <c r="K786" s="16">
        <v>95.755468191752954</v>
      </c>
      <c r="L786" s="16">
        <v>85.324672284643171</v>
      </c>
      <c r="M786" s="16">
        <v>77.86921535891193</v>
      </c>
      <c r="N786" s="16">
        <v>15.216161226110058</v>
      </c>
      <c r="O786" s="16">
        <v>66.799242094258858</v>
      </c>
      <c r="P786" s="16">
        <v>78.368087500519835</v>
      </c>
      <c r="Q786" s="16">
        <v>65.952191996414882</v>
      </c>
    </row>
    <row r="787" spans="1:17" ht="12.75" x14ac:dyDescent="0.2">
      <c r="A787" s="4" t="s">
        <v>7</v>
      </c>
      <c r="B787" s="4" t="s">
        <v>16</v>
      </c>
      <c r="C787" s="4" t="s">
        <v>4901</v>
      </c>
      <c r="D787" s="4" t="s">
        <v>4902</v>
      </c>
      <c r="E787" s="4" t="s">
        <v>126</v>
      </c>
      <c r="F787" s="4" t="s">
        <v>18</v>
      </c>
      <c r="G787" s="4"/>
      <c r="H787" s="4" t="s">
        <v>10</v>
      </c>
      <c r="I787" s="4" t="s">
        <v>10</v>
      </c>
      <c r="J787" s="17" t="s">
        <v>3290</v>
      </c>
      <c r="K787" s="16">
        <v>45.184319650452622</v>
      </c>
      <c r="L787" s="16">
        <v>12.774333628480605</v>
      </c>
      <c r="M787" s="16">
        <v>67.030972517018213</v>
      </c>
      <c r="N787" s="16">
        <v>10.885345681366598</v>
      </c>
      <c r="O787" s="16">
        <v>83.808601484041162</v>
      </c>
      <c r="P787" s="16">
        <v>31.871392188458803</v>
      </c>
      <c r="Q787" s="16">
        <v>16.072677881496567</v>
      </c>
    </row>
    <row r="788" spans="1:17" ht="12.75" x14ac:dyDescent="0.2">
      <c r="A788" s="4" t="s">
        <v>7</v>
      </c>
      <c r="B788" s="4" t="s">
        <v>16</v>
      </c>
      <c r="C788" s="4" t="s">
        <v>4903</v>
      </c>
      <c r="D788" s="4" t="s">
        <v>4904</v>
      </c>
      <c r="E788" s="4" t="s">
        <v>126</v>
      </c>
      <c r="F788" s="4" t="s">
        <v>25</v>
      </c>
      <c r="G788" s="4" t="s">
        <v>61</v>
      </c>
      <c r="H788" s="4"/>
      <c r="I788" s="4" t="s">
        <v>10</v>
      </c>
      <c r="J788" s="17" t="s">
        <v>3290</v>
      </c>
      <c r="K788" s="16">
        <v>82.77480222799332</v>
      </c>
      <c r="L788" s="16">
        <v>42.075743153196818</v>
      </c>
      <c r="M788" s="16">
        <v>33.561669593078292</v>
      </c>
      <c r="N788" s="16">
        <v>22.593622454621453</v>
      </c>
      <c r="O788" s="16">
        <v>99.666131227470132</v>
      </c>
      <c r="P788" s="16">
        <v>84.789705704816569</v>
      </c>
      <c r="Q788" s="16">
        <v>29.014287237677561</v>
      </c>
    </row>
    <row r="789" spans="1:17" ht="12.75" x14ac:dyDescent="0.2">
      <c r="A789" s="4" t="s">
        <v>115</v>
      </c>
      <c r="B789" s="4" t="s">
        <v>116</v>
      </c>
      <c r="C789" s="4" t="s">
        <v>4905</v>
      </c>
      <c r="D789" s="4" t="s">
        <v>4906</v>
      </c>
      <c r="E789" s="4" t="s">
        <v>9</v>
      </c>
      <c r="F789" s="4" t="s">
        <v>18</v>
      </c>
      <c r="G789" s="4" t="s">
        <v>3280</v>
      </c>
      <c r="H789" s="4"/>
      <c r="I789" s="4" t="s">
        <v>10</v>
      </c>
      <c r="J789" s="17" t="s">
        <v>3290</v>
      </c>
      <c r="K789" s="16">
        <v>98.879798900081113</v>
      </c>
      <c r="L789" s="16">
        <v>91.369677380858406</v>
      </c>
      <c r="M789" s="16">
        <v>64.119086865491255</v>
      </c>
      <c r="N789" s="16">
        <v>84.419420968473673</v>
      </c>
      <c r="O789" s="16">
        <v>17.236034496054074</v>
      </c>
      <c r="P789" s="16">
        <v>73.899122762335011</v>
      </c>
      <c r="Q789" s="16">
        <v>25.789353932801539</v>
      </c>
    </row>
    <row r="790" spans="1:17" ht="12.75" x14ac:dyDescent="0.2">
      <c r="A790" s="4" t="s">
        <v>37</v>
      </c>
      <c r="B790" s="4" t="s">
        <v>38</v>
      </c>
      <c r="C790" s="4" t="s">
        <v>4907</v>
      </c>
      <c r="D790" s="4" t="s">
        <v>4908</v>
      </c>
      <c r="E790" s="4" t="s">
        <v>9</v>
      </c>
      <c r="F790" s="4" t="s">
        <v>18</v>
      </c>
      <c r="G790" s="4" t="s">
        <v>41</v>
      </c>
      <c r="H790" s="4"/>
      <c r="I790" s="4" t="s">
        <v>10</v>
      </c>
      <c r="J790" s="17" t="s">
        <v>3290</v>
      </c>
      <c r="K790" s="16">
        <v>87.403758366385958</v>
      </c>
      <c r="L790" s="16">
        <v>94.085467636016034</v>
      </c>
      <c r="M790" s="16">
        <v>72.567953291597107</v>
      </c>
      <c r="N790" s="16">
        <v>66.309989585454019</v>
      </c>
      <c r="O790" s="16">
        <v>41.397818611572454</v>
      </c>
      <c r="P790" s="16">
        <v>28.022222422419318</v>
      </c>
      <c r="Q790" s="16">
        <v>32.317956209173083</v>
      </c>
    </row>
    <row r="791" spans="1:17" ht="12.75" x14ac:dyDescent="0.2">
      <c r="A791" s="4" t="s">
        <v>98</v>
      </c>
      <c r="B791" s="4" t="s">
        <v>107</v>
      </c>
      <c r="C791" s="4" t="s">
        <v>4909</v>
      </c>
      <c r="D791" s="4" t="s">
        <v>4910</v>
      </c>
      <c r="E791" s="4" t="s">
        <v>87</v>
      </c>
      <c r="F791" s="4" t="s">
        <v>18</v>
      </c>
      <c r="G791" s="4" t="s">
        <v>41</v>
      </c>
      <c r="I791" s="4" t="s">
        <v>10</v>
      </c>
      <c r="J791" s="17" t="s">
        <v>3290</v>
      </c>
      <c r="K791" s="16">
        <v>56.701939044489954</v>
      </c>
      <c r="L791" s="16">
        <v>53.776643187059506</v>
      </c>
      <c r="M791" s="16">
        <v>93.529321133664808</v>
      </c>
      <c r="N791" s="16">
        <v>1.8702447979335624</v>
      </c>
      <c r="O791" s="16">
        <v>60.37220329956908</v>
      </c>
      <c r="P791" s="16">
        <v>71.367261154336461</v>
      </c>
      <c r="Q791" s="16">
        <v>73.125926492115539</v>
      </c>
    </row>
    <row r="792" spans="1:17" ht="12.75" x14ac:dyDescent="0.2">
      <c r="A792" s="4" t="s">
        <v>98</v>
      </c>
      <c r="B792" s="4" t="s">
        <v>107</v>
      </c>
      <c r="C792" s="4" t="s">
        <v>4911</v>
      </c>
      <c r="D792" s="4" t="s">
        <v>4912</v>
      </c>
      <c r="E792" s="4" t="s">
        <v>87</v>
      </c>
      <c r="F792" s="4" t="s">
        <v>18</v>
      </c>
      <c r="G792" s="4" t="s">
        <v>41</v>
      </c>
      <c r="H792" s="4"/>
      <c r="I792" s="4" t="s">
        <v>10</v>
      </c>
      <c r="J792" s="17" t="s">
        <v>3290</v>
      </c>
      <c r="K792" s="16">
        <v>97.618213307172581</v>
      </c>
      <c r="L792" s="16">
        <v>62.725253185825572</v>
      </c>
      <c r="M792" s="16">
        <v>31.593238685070467</v>
      </c>
      <c r="N792" s="16">
        <v>17.732549654940989</v>
      </c>
      <c r="O792" s="16">
        <v>31.703531379191897</v>
      </c>
      <c r="P792" s="16">
        <v>78.707470685660269</v>
      </c>
      <c r="Q792" s="16">
        <v>35.018706838603322</v>
      </c>
    </row>
    <row r="793" spans="1:17" ht="12.75" x14ac:dyDescent="0.2">
      <c r="A793" s="4" t="s">
        <v>7</v>
      </c>
      <c r="B793" s="4" t="s">
        <v>16</v>
      </c>
      <c r="C793" s="4" t="s">
        <v>4913</v>
      </c>
      <c r="D793" s="4" t="s">
        <v>4914</v>
      </c>
      <c r="E793" s="4" t="s">
        <v>126</v>
      </c>
      <c r="F793" s="4" t="s">
        <v>18</v>
      </c>
      <c r="G793" s="4"/>
      <c r="H793" s="4" t="s">
        <v>10</v>
      </c>
      <c r="I793" s="4" t="s">
        <v>10</v>
      </c>
      <c r="J793" s="17" t="s">
        <v>3290</v>
      </c>
      <c r="K793" s="16">
        <v>4.1083733628139774</v>
      </c>
      <c r="L793" s="16">
        <v>38.479491629850791</v>
      </c>
      <c r="M793" s="16">
        <v>61.199700063822661</v>
      </c>
      <c r="N793" s="16">
        <v>55.086557295035107</v>
      </c>
      <c r="O793" s="16">
        <v>65.462204036010135</v>
      </c>
      <c r="P793" s="16">
        <v>18.201076703402364</v>
      </c>
      <c r="Q793" s="16">
        <v>33.757281028561955</v>
      </c>
    </row>
    <row r="794" spans="1:17" ht="12.75" x14ac:dyDescent="0.2">
      <c r="A794" s="4" t="s">
        <v>37</v>
      </c>
      <c r="B794" s="4" t="s">
        <v>45</v>
      </c>
      <c r="C794" s="4" t="s">
        <v>4915</v>
      </c>
      <c r="D794" s="4" t="s">
        <v>4916</v>
      </c>
      <c r="E794" s="4" t="s">
        <v>135</v>
      </c>
      <c r="F794" s="4" t="s">
        <v>32</v>
      </c>
      <c r="G794" s="4" t="s">
        <v>72</v>
      </c>
      <c r="H794" s="4" t="s">
        <v>4917</v>
      </c>
      <c r="I794" s="4" t="s">
        <v>10</v>
      </c>
      <c r="J794" s="17" t="s">
        <v>3290</v>
      </c>
      <c r="K794" s="16">
        <v>27.684937372708319</v>
      </c>
      <c r="L794" s="16">
        <v>35.967490632719056</v>
      </c>
      <c r="M794" s="16">
        <v>68.125624938867233</v>
      </c>
      <c r="N794" s="16">
        <v>73.43542458297307</v>
      </c>
      <c r="O794" s="16">
        <v>76.709631741257013</v>
      </c>
      <c r="P794" s="16">
        <v>74.465847636905607</v>
      </c>
      <c r="Q794" s="16">
        <v>76.285513694131666</v>
      </c>
    </row>
    <row r="795" spans="1:17" ht="12.75" x14ac:dyDescent="0.2">
      <c r="A795" s="4" t="s">
        <v>7</v>
      </c>
      <c r="B795" s="4" t="s">
        <v>16</v>
      </c>
      <c r="C795" s="4" t="s">
        <v>4918</v>
      </c>
      <c r="D795" s="4" t="s">
        <v>4919</v>
      </c>
      <c r="E795" s="4" t="s">
        <v>87</v>
      </c>
      <c r="F795" s="4" t="s">
        <v>18</v>
      </c>
      <c r="G795" s="4"/>
      <c r="H795" s="4" t="s">
        <v>10</v>
      </c>
      <c r="I795" s="4" t="s">
        <v>10</v>
      </c>
      <c r="J795" s="17" t="s">
        <v>3290</v>
      </c>
      <c r="K795" s="16">
        <v>59.303794068275003</v>
      </c>
      <c r="L795" s="16">
        <v>96.816623725260456</v>
      </c>
      <c r="M795" s="16">
        <v>68.884937015654401</v>
      </c>
      <c r="N795" s="16">
        <v>93.89626239921374</v>
      </c>
      <c r="O795" s="16">
        <v>75.031153499761075</v>
      </c>
      <c r="P795" s="16">
        <v>86.02681217993738</v>
      </c>
      <c r="Q795" s="16">
        <v>24.67258393113849</v>
      </c>
    </row>
    <row r="796" spans="1:17" ht="12.75" x14ac:dyDescent="0.2">
      <c r="A796" s="4" t="s">
        <v>7</v>
      </c>
      <c r="B796" s="4" t="s">
        <v>16</v>
      </c>
      <c r="C796" s="4" t="s">
        <v>4920</v>
      </c>
      <c r="D796" s="4" t="s">
        <v>4921</v>
      </c>
      <c r="E796" s="4" t="s">
        <v>108</v>
      </c>
      <c r="F796" s="4" t="s">
        <v>18</v>
      </c>
      <c r="G796" s="4" t="s">
        <v>41</v>
      </c>
      <c r="H796" s="4"/>
      <c r="I796" s="4" t="s">
        <v>10</v>
      </c>
      <c r="J796" s="17" t="s">
        <v>3290</v>
      </c>
      <c r="K796" s="16">
        <v>95.8393912872627</v>
      </c>
      <c r="L796" s="16">
        <v>30.786545416824119</v>
      </c>
      <c r="M796" s="16">
        <v>12.825574806943917</v>
      </c>
      <c r="N796" s="16">
        <v>74.602129560021012</v>
      </c>
      <c r="O796" s="16">
        <v>26.694792012022482</v>
      </c>
      <c r="P796" s="16">
        <v>51.086462780924954</v>
      </c>
      <c r="Q796" s="16">
        <v>9.4143928847669205</v>
      </c>
    </row>
    <row r="797" spans="1:17" ht="12.75" x14ac:dyDescent="0.2">
      <c r="A797" s="4" t="s">
        <v>115</v>
      </c>
      <c r="B797" s="4" t="s">
        <v>116</v>
      </c>
      <c r="C797" s="4" t="s">
        <v>4922</v>
      </c>
      <c r="D797" s="4" t="s">
        <v>4923</v>
      </c>
      <c r="E797" s="4" t="s">
        <v>83</v>
      </c>
      <c r="F797" s="4" t="s">
        <v>25</v>
      </c>
      <c r="G797" s="4" t="s">
        <v>41</v>
      </c>
      <c r="H797" s="4"/>
      <c r="I797" s="4" t="s">
        <v>10</v>
      </c>
      <c r="J797" s="17" t="s">
        <v>3290</v>
      </c>
      <c r="K797" s="16">
        <v>80.476995200431915</v>
      </c>
      <c r="L797" s="16">
        <v>96.888606340382537</v>
      </c>
      <c r="M797" s="16">
        <v>96.652618801625039</v>
      </c>
      <c r="N797" s="16">
        <v>7.9481495947890446</v>
      </c>
      <c r="O797" s="16">
        <v>19.510867989842406</v>
      </c>
      <c r="P797" s="16">
        <v>88.675905193446866</v>
      </c>
      <c r="Q797" s="16">
        <v>18.965003179029051</v>
      </c>
    </row>
    <row r="798" spans="1:17" ht="12.75" x14ac:dyDescent="0.2">
      <c r="A798" s="4" t="s">
        <v>64</v>
      </c>
      <c r="B798" s="4" t="s">
        <v>82</v>
      </c>
      <c r="C798" s="4" t="s">
        <v>4924</v>
      </c>
      <c r="D798" s="4" t="s">
        <v>4925</v>
      </c>
      <c r="E798" s="4" t="s">
        <v>9</v>
      </c>
      <c r="F798" s="4" t="s">
        <v>18</v>
      </c>
      <c r="G798" s="4" t="s">
        <v>26</v>
      </c>
      <c r="H798" s="4"/>
      <c r="I798" s="4" t="s">
        <v>10</v>
      </c>
      <c r="J798" s="17" t="s">
        <v>3290</v>
      </c>
      <c r="K798" s="16">
        <v>80.320294040257394</v>
      </c>
      <c r="L798" s="16">
        <v>61.716131310936142</v>
      </c>
      <c r="M798" s="16">
        <v>9.9824721360253008</v>
      </c>
      <c r="N798" s="16">
        <v>87.632541054038313</v>
      </c>
      <c r="O798" s="16">
        <v>58.012850567369469</v>
      </c>
      <c r="P798" s="16">
        <v>37.41998742859758</v>
      </c>
      <c r="Q798" s="16">
        <v>42.006143691747631</v>
      </c>
    </row>
    <row r="799" spans="1:17" ht="12.75" x14ac:dyDescent="0.2">
      <c r="A799" s="4" t="s">
        <v>64</v>
      </c>
      <c r="B799" s="4" t="s">
        <v>92</v>
      </c>
      <c r="C799" s="4" t="s">
        <v>4926</v>
      </c>
      <c r="D799" s="4" t="s">
        <v>4927</v>
      </c>
      <c r="E799" s="4" t="s">
        <v>9</v>
      </c>
      <c r="F799" s="4" t="s">
        <v>18</v>
      </c>
      <c r="G799" s="4" t="s">
        <v>26</v>
      </c>
      <c r="H799" s="4"/>
      <c r="I799" s="4" t="s">
        <v>10</v>
      </c>
      <c r="J799" s="17" t="s">
        <v>3290</v>
      </c>
      <c r="K799" s="16">
        <v>78.168364752341532</v>
      </c>
      <c r="L799" s="16">
        <v>68.611023003632937</v>
      </c>
      <c r="M799" s="16">
        <v>68.618141006804876</v>
      </c>
      <c r="N799" s="16">
        <v>52.715911799682345</v>
      </c>
      <c r="O799" s="16">
        <v>59.442585811059445</v>
      </c>
      <c r="P799" s="16">
        <v>48.802128909614076</v>
      </c>
      <c r="Q799" s="16">
        <v>6.06269481777717</v>
      </c>
    </row>
    <row r="800" spans="1:17" ht="12.75" x14ac:dyDescent="0.2">
      <c r="A800" s="4" t="s">
        <v>98</v>
      </c>
      <c r="B800" s="4" t="s">
        <v>107</v>
      </c>
      <c r="C800" s="4" t="s">
        <v>4928</v>
      </c>
      <c r="D800" s="4" t="s">
        <v>4929</v>
      </c>
      <c r="E800" s="4" t="s">
        <v>87</v>
      </c>
      <c r="F800" s="4" t="s">
        <v>18</v>
      </c>
      <c r="G800" s="4" t="s">
        <v>26</v>
      </c>
      <c r="I800" s="4" t="s">
        <v>10</v>
      </c>
      <c r="J800" s="17" t="s">
        <v>3290</v>
      </c>
      <c r="K800" s="16">
        <v>7.4533799206089828</v>
      </c>
      <c r="L800" s="16">
        <v>69.805230669819181</v>
      </c>
      <c r="M800" s="16">
        <v>48.54131786065048</v>
      </c>
      <c r="N800" s="16">
        <v>86.714574379498131</v>
      </c>
      <c r="O800" s="16">
        <v>9.5648358760238477</v>
      </c>
      <c r="P800" s="16">
        <v>90.69107045035949</v>
      </c>
      <c r="Q800" s="16">
        <v>36.507289056990736</v>
      </c>
    </row>
    <row r="801" spans="1:17" ht="12.75" x14ac:dyDescent="0.2">
      <c r="A801" s="4" t="s">
        <v>64</v>
      </c>
      <c r="B801" s="4" t="s">
        <v>82</v>
      </c>
      <c r="C801" s="4" t="s">
        <v>4930</v>
      </c>
      <c r="D801" s="4" t="s">
        <v>4931</v>
      </c>
      <c r="E801" s="4" t="s">
        <v>9</v>
      </c>
      <c r="F801" s="4" t="s">
        <v>18</v>
      </c>
      <c r="G801" s="4" t="s">
        <v>26</v>
      </c>
      <c r="H801" s="4"/>
      <c r="I801" s="4" t="s">
        <v>10</v>
      </c>
      <c r="J801" s="17" t="s">
        <v>3290</v>
      </c>
      <c r="K801" s="16">
        <v>73.173893431361236</v>
      </c>
      <c r="L801" s="16">
        <v>95.263087250010813</v>
      </c>
      <c r="M801" s="16">
        <v>22.513149145925315</v>
      </c>
      <c r="N801" s="16">
        <v>95.743702904880962</v>
      </c>
      <c r="O801" s="16">
        <v>35.563722708852829</v>
      </c>
      <c r="P801" s="16">
        <v>66.959264427253871</v>
      </c>
      <c r="Q801" s="16">
        <v>54.227861685446733</v>
      </c>
    </row>
    <row r="802" spans="1:17" ht="12.75" x14ac:dyDescent="0.2">
      <c r="A802" s="4" t="s">
        <v>115</v>
      </c>
      <c r="B802" s="4" t="s">
        <v>122</v>
      </c>
      <c r="C802" s="4" t="s">
        <v>4932</v>
      </c>
      <c r="D802" s="4" t="s">
        <v>4933</v>
      </c>
      <c r="E802" s="4" t="s">
        <v>114</v>
      </c>
      <c r="F802" s="4" t="s">
        <v>25</v>
      </c>
      <c r="G802" s="4" t="s">
        <v>61</v>
      </c>
      <c r="H802" s="4"/>
      <c r="I802" s="4" t="s">
        <v>10</v>
      </c>
      <c r="J802" s="17" t="s">
        <v>3290</v>
      </c>
      <c r="K802" s="16">
        <v>3.9348866177965625</v>
      </c>
      <c r="L802" s="16">
        <v>22.120250800219722</v>
      </c>
      <c r="M802" s="16">
        <v>18.872080723968921</v>
      </c>
      <c r="N802" s="16">
        <v>39.43303252281882</v>
      </c>
      <c r="O802" s="16">
        <v>39.578118914402353</v>
      </c>
      <c r="P802" s="16">
        <v>48.43174086762312</v>
      </c>
      <c r="Q802" s="16">
        <v>64.552375990281419</v>
      </c>
    </row>
    <row r="803" spans="1:17" ht="12.75" x14ac:dyDescent="0.2">
      <c r="A803" s="4" t="s">
        <v>115</v>
      </c>
      <c r="B803" s="4" t="s">
        <v>122</v>
      </c>
      <c r="C803" s="4" t="s">
        <v>4934</v>
      </c>
      <c r="D803" s="4" t="s">
        <v>4935</v>
      </c>
      <c r="E803" s="4" t="s">
        <v>129</v>
      </c>
      <c r="F803" s="4" t="s">
        <v>18</v>
      </c>
      <c r="G803" s="4" t="s">
        <v>61</v>
      </c>
      <c r="H803" s="4"/>
      <c r="I803" s="4" t="s">
        <v>10</v>
      </c>
      <c r="J803" s="17" t="s">
        <v>3290</v>
      </c>
      <c r="K803" s="16">
        <v>31.02326377250888</v>
      </c>
      <c r="L803" s="16">
        <v>45.127900230032679</v>
      </c>
      <c r="M803" s="16">
        <v>67.763543078597479</v>
      </c>
      <c r="N803" s="16">
        <v>91.414942725574704</v>
      </c>
      <c r="O803" s="16">
        <v>21.758146323637906</v>
      </c>
      <c r="P803" s="16">
        <v>20.037481301702154</v>
      </c>
      <c r="Q803" s="16">
        <v>38.053188026953336</v>
      </c>
    </row>
    <row r="804" spans="1:17" ht="12.75" x14ac:dyDescent="0.2">
      <c r="A804" s="4" t="s">
        <v>7</v>
      </c>
      <c r="B804" s="4" t="s">
        <v>16</v>
      </c>
      <c r="C804" s="4" t="s">
        <v>4936</v>
      </c>
      <c r="D804" s="4" t="s">
        <v>4937</v>
      </c>
      <c r="E804" s="4" t="s">
        <v>126</v>
      </c>
      <c r="F804" s="4" t="s">
        <v>18</v>
      </c>
      <c r="G804" s="4"/>
      <c r="H804" s="4" t="s">
        <v>10</v>
      </c>
      <c r="I804" s="4" t="s">
        <v>10</v>
      </c>
      <c r="J804" s="17" t="s">
        <v>3290</v>
      </c>
      <c r="K804" s="16">
        <v>78.372684225362903</v>
      </c>
      <c r="L804" s="16">
        <v>64.893752122131261</v>
      </c>
      <c r="M804" s="16">
        <v>6.8308923385084537</v>
      </c>
      <c r="N804" s="16">
        <v>16.230412461409614</v>
      </c>
      <c r="O804" s="16">
        <v>73.062231860189215</v>
      </c>
      <c r="P804" s="16">
        <v>30.784664334197075</v>
      </c>
      <c r="Q804" s="16">
        <v>38.657878443459737</v>
      </c>
    </row>
    <row r="805" spans="1:17" ht="12.75" x14ac:dyDescent="0.2">
      <c r="A805" s="4" t="s">
        <v>7</v>
      </c>
      <c r="B805" s="4" t="s">
        <v>8</v>
      </c>
      <c r="C805" s="4" t="s">
        <v>4938</v>
      </c>
      <c r="D805" s="4" t="s">
        <v>4939</v>
      </c>
      <c r="E805" s="4" t="s">
        <v>87</v>
      </c>
      <c r="F805" s="4" t="s">
        <v>18</v>
      </c>
      <c r="G805" s="4" t="s">
        <v>61</v>
      </c>
      <c r="I805" s="4" t="s">
        <v>10</v>
      </c>
      <c r="J805" s="17" t="s">
        <v>3290</v>
      </c>
      <c r="K805" s="16">
        <v>2.5196162767754715</v>
      </c>
      <c r="L805" s="16">
        <v>55.637823395746835</v>
      </c>
      <c r="M805" s="16">
        <v>60.723114063641823</v>
      </c>
      <c r="N805" s="16">
        <v>5.4964681615240814</v>
      </c>
      <c r="O805" s="16">
        <v>65.730237754313919</v>
      </c>
      <c r="P805" s="16">
        <v>79.720473943918421</v>
      </c>
      <c r="Q805" s="16">
        <v>42.36694300356595</v>
      </c>
    </row>
    <row r="806" spans="1:17" ht="12.75" x14ac:dyDescent="0.2">
      <c r="A806" s="4" t="s">
        <v>64</v>
      </c>
      <c r="B806" s="4" t="s">
        <v>78</v>
      </c>
      <c r="C806" s="4" t="s">
        <v>4940</v>
      </c>
      <c r="D806" s="4" t="s">
        <v>4941</v>
      </c>
      <c r="E806" s="4" t="s">
        <v>87</v>
      </c>
      <c r="F806" s="4" t="s">
        <v>18</v>
      </c>
      <c r="G806" s="4" t="s">
        <v>19</v>
      </c>
      <c r="H806" s="4"/>
      <c r="I806" s="4" t="s">
        <v>10</v>
      </c>
      <c r="J806" s="17" t="s">
        <v>3290</v>
      </c>
      <c r="K806" s="16">
        <v>66.62891888006412</v>
      </c>
      <c r="L806" s="16">
        <v>62.111279694997414</v>
      </c>
      <c r="M806" s="16">
        <v>17.000206712525202</v>
      </c>
      <c r="N806" s="16">
        <v>10.522893015531153</v>
      </c>
      <c r="O806" s="16">
        <v>42.516512486238575</v>
      </c>
      <c r="P806" s="16">
        <v>57.476625710231986</v>
      </c>
      <c r="Q806" s="16">
        <v>82.406840022853729</v>
      </c>
    </row>
    <row r="807" spans="1:17" ht="12.75" x14ac:dyDescent="0.2">
      <c r="A807" s="4" t="s">
        <v>64</v>
      </c>
      <c r="B807" s="4" t="s">
        <v>92</v>
      </c>
      <c r="C807" s="4" t="s">
        <v>4942</v>
      </c>
      <c r="D807" s="4" t="s">
        <v>4943</v>
      </c>
      <c r="E807" s="4" t="s">
        <v>9</v>
      </c>
      <c r="F807" s="4" t="s">
        <v>18</v>
      </c>
      <c r="G807" s="4" t="s">
        <v>26</v>
      </c>
      <c r="H807" s="4"/>
      <c r="I807" s="4" t="s">
        <v>10</v>
      </c>
      <c r="J807" s="17" t="s">
        <v>3290</v>
      </c>
      <c r="K807" s="16">
        <v>79.63251722275929</v>
      </c>
      <c r="L807" s="16">
        <v>44.426026252022332</v>
      </c>
      <c r="M807" s="16">
        <v>26.228125612425004</v>
      </c>
      <c r="N807" s="16">
        <v>70.170938221623786</v>
      </c>
      <c r="O807" s="16">
        <v>30.138126672737187</v>
      </c>
      <c r="P807" s="16">
        <v>61.449971048708093</v>
      </c>
      <c r="Q807" s="16">
        <v>28.329779074955542</v>
      </c>
    </row>
    <row r="808" spans="1:17" ht="12.75" x14ac:dyDescent="0.2">
      <c r="A808" s="4" t="s">
        <v>98</v>
      </c>
      <c r="B808" s="4" t="s">
        <v>107</v>
      </c>
      <c r="C808" s="4" t="s">
        <v>4944</v>
      </c>
      <c r="D808" s="4" t="s">
        <v>4945</v>
      </c>
      <c r="E808" s="4" t="s">
        <v>87</v>
      </c>
      <c r="F808" s="4" t="s">
        <v>18</v>
      </c>
      <c r="G808" s="4" t="s">
        <v>41</v>
      </c>
      <c r="H808" s="4"/>
      <c r="I808" s="4" t="s">
        <v>10</v>
      </c>
      <c r="J808" s="17" t="s">
        <v>3290</v>
      </c>
      <c r="K808" s="16">
        <v>52.76358633868584</v>
      </c>
      <c r="L808" s="16">
        <v>48.511426232644773</v>
      </c>
      <c r="M808" s="16">
        <v>0.61054252829895184</v>
      </c>
      <c r="N808" s="16">
        <v>19.388595302472378</v>
      </c>
      <c r="O808" s="16">
        <v>11.705673387290183</v>
      </c>
      <c r="P808" s="16">
        <v>76.322174005991826</v>
      </c>
      <c r="Q808" s="16">
        <v>0.89548159893676482</v>
      </c>
    </row>
    <row r="809" spans="1:17" ht="12.75" x14ac:dyDescent="0.2">
      <c r="A809" s="4" t="s">
        <v>115</v>
      </c>
      <c r="B809" s="4" t="s">
        <v>116</v>
      </c>
      <c r="C809" s="4" t="s">
        <v>4946</v>
      </c>
      <c r="D809" s="4" t="s">
        <v>4947</v>
      </c>
      <c r="E809" s="4" t="s">
        <v>83</v>
      </c>
      <c r="F809" s="4" t="s">
        <v>25</v>
      </c>
      <c r="G809" s="4" t="s">
        <v>61</v>
      </c>
      <c r="H809" s="4"/>
      <c r="I809" s="4" t="s">
        <v>10</v>
      </c>
      <c r="J809" s="17" t="s">
        <v>3290</v>
      </c>
      <c r="K809" s="16">
        <v>62.290835301436843</v>
      </c>
      <c r="L809" s="16">
        <v>16.003388225264402</v>
      </c>
      <c r="M809" s="16">
        <v>89.929038376796811</v>
      </c>
      <c r="N809" s="16">
        <v>48.506861117167666</v>
      </c>
      <c r="O809" s="16">
        <v>44.13866394320204</v>
      </c>
      <c r="P809" s="16">
        <v>85.679793912150075</v>
      </c>
      <c r="Q809" s="16">
        <v>32.040344677077591</v>
      </c>
    </row>
    <row r="810" spans="1:17" ht="12.75" x14ac:dyDescent="0.2">
      <c r="A810" s="4" t="s">
        <v>98</v>
      </c>
      <c r="B810" s="4" t="s">
        <v>102</v>
      </c>
      <c r="C810" s="4" t="s">
        <v>4948</v>
      </c>
      <c r="D810" s="4" t="s">
        <v>4949</v>
      </c>
      <c r="E810" s="4" t="s">
        <v>83</v>
      </c>
      <c r="F810" s="4" t="s">
        <v>25</v>
      </c>
      <c r="G810" s="4" t="s">
        <v>41</v>
      </c>
      <c r="H810" s="4"/>
      <c r="I810" s="4" t="s">
        <v>10</v>
      </c>
      <c r="J810" s="17" t="s">
        <v>3290</v>
      </c>
      <c r="K810" s="16">
        <v>47.657830078083464</v>
      </c>
      <c r="L810" s="16">
        <v>83.466685565956624</v>
      </c>
      <c r="M810" s="16">
        <v>13.918393427141329</v>
      </c>
      <c r="N810" s="16">
        <v>34.925583089609702</v>
      </c>
      <c r="O810" s="16">
        <v>56.09970794035425</v>
      </c>
      <c r="P810" s="16">
        <v>2.7514603285231587</v>
      </c>
      <c r="Q810" s="16">
        <v>96.517210850918033</v>
      </c>
    </row>
    <row r="811" spans="1:17" ht="12.75" x14ac:dyDescent="0.2">
      <c r="A811" s="4" t="s">
        <v>64</v>
      </c>
      <c r="B811" s="4" t="s">
        <v>92</v>
      </c>
      <c r="C811" s="4" t="s">
        <v>4950</v>
      </c>
      <c r="D811" s="4" t="s">
        <v>4951</v>
      </c>
      <c r="E811" s="4" t="s">
        <v>83</v>
      </c>
      <c r="F811" s="4" t="s">
        <v>25</v>
      </c>
      <c r="G811" s="4" t="s">
        <v>72</v>
      </c>
      <c r="H811" s="4"/>
      <c r="I811" s="4" t="s">
        <v>10</v>
      </c>
      <c r="J811" s="17" t="s">
        <v>3290</v>
      </c>
      <c r="K811" s="16">
        <v>25.98914237660178</v>
      </c>
      <c r="L811" s="16">
        <v>50.150831190726294</v>
      </c>
      <c r="M811" s="16">
        <v>60.703368363751643</v>
      </c>
      <c r="N811" s="16">
        <v>68.17541036034055</v>
      </c>
      <c r="O811" s="16">
        <v>49.766081354675372</v>
      </c>
      <c r="P811" s="16">
        <v>52.940790391682228</v>
      </c>
      <c r="Q811" s="16">
        <v>71.69838793369712</v>
      </c>
    </row>
    <row r="812" spans="1:17" ht="12.75" x14ac:dyDescent="0.2">
      <c r="A812" s="4" t="s">
        <v>64</v>
      </c>
      <c r="B812" s="4" t="s">
        <v>86</v>
      </c>
      <c r="C812" s="4" t="s">
        <v>4952</v>
      </c>
      <c r="D812" s="4" t="s">
        <v>4953</v>
      </c>
      <c r="E812" s="4" t="s">
        <v>83</v>
      </c>
      <c r="F812" s="4" t="s">
        <v>25</v>
      </c>
      <c r="G812" s="4" t="s">
        <v>72</v>
      </c>
      <c r="I812" s="4" t="s">
        <v>10</v>
      </c>
      <c r="J812" s="17" t="s">
        <v>3290</v>
      </c>
      <c r="K812" s="16">
        <v>95.015120989234362</v>
      </c>
      <c r="L812" s="16">
        <v>85.892885307117737</v>
      </c>
      <c r="M812" s="16">
        <v>2.184801622328969</v>
      </c>
      <c r="N812" s="16">
        <v>87.628084586823036</v>
      </c>
      <c r="O812" s="16">
        <v>34.460546551320284</v>
      </c>
      <c r="P812" s="16">
        <v>74.693659763329521</v>
      </c>
      <c r="Q812" s="16">
        <v>49.827217734766258</v>
      </c>
    </row>
    <row r="813" spans="1:17" ht="12.75" x14ac:dyDescent="0.2">
      <c r="A813" s="4" t="s">
        <v>115</v>
      </c>
      <c r="B813" s="4" t="s">
        <v>122</v>
      </c>
      <c r="C813" s="4" t="s">
        <v>4954</v>
      </c>
      <c r="D813" s="4" t="s">
        <v>4955</v>
      </c>
      <c r="E813" s="4" t="s">
        <v>83</v>
      </c>
      <c r="F813" s="4" t="s">
        <v>25</v>
      </c>
      <c r="G813" s="4" t="s">
        <v>41</v>
      </c>
      <c r="H813" s="4"/>
      <c r="I813" s="4" t="s">
        <v>10</v>
      </c>
      <c r="J813" s="17" t="s">
        <v>3290</v>
      </c>
      <c r="K813" s="16">
        <v>85.822259134228034</v>
      </c>
      <c r="L813" s="16">
        <v>15.826328637774267</v>
      </c>
      <c r="M813" s="16">
        <v>73.206003994826432</v>
      </c>
      <c r="N813" s="16">
        <v>68.116337600216085</v>
      </c>
      <c r="O813" s="16">
        <v>88.760503585537094</v>
      </c>
      <c r="P813" s="16">
        <v>25.955879761511348</v>
      </c>
      <c r="Q813" s="16">
        <v>28.900761796733054</v>
      </c>
    </row>
    <row r="814" spans="1:17" ht="12.75" x14ac:dyDescent="0.2">
      <c r="A814" s="4" t="s">
        <v>98</v>
      </c>
      <c r="B814" s="4" t="s">
        <v>105</v>
      </c>
      <c r="C814" s="4" t="s">
        <v>4956</v>
      </c>
      <c r="D814" s="4" t="s">
        <v>4957</v>
      </c>
      <c r="E814" s="4" t="s">
        <v>108</v>
      </c>
      <c r="F814" s="4" t="s">
        <v>25</v>
      </c>
      <c r="G814" s="4" t="s">
        <v>61</v>
      </c>
      <c r="H814" s="4"/>
      <c r="I814" s="4" t="s">
        <v>10</v>
      </c>
      <c r="J814" s="17" t="s">
        <v>3290</v>
      </c>
      <c r="K814" s="16">
        <v>67.776877925902241</v>
      </c>
      <c r="L814" s="16">
        <v>25.144300710528089</v>
      </c>
      <c r="M814" s="16">
        <v>59.370779524194262</v>
      </c>
      <c r="N814" s="16">
        <v>58.517381766325457</v>
      </c>
      <c r="O814" s="16">
        <v>68.678484173009068</v>
      </c>
      <c r="P814" s="16">
        <v>55.379625024906751</v>
      </c>
      <c r="Q814" s="16">
        <v>74.016013584512251</v>
      </c>
    </row>
    <row r="815" spans="1:17" ht="12.75" x14ac:dyDescent="0.2">
      <c r="A815" s="4" t="s">
        <v>7</v>
      </c>
      <c r="B815" s="4" t="s">
        <v>16</v>
      </c>
      <c r="C815" s="4" t="s">
        <v>4958</v>
      </c>
      <c r="D815" s="4" t="s">
        <v>4959</v>
      </c>
      <c r="E815" s="4" t="s">
        <v>126</v>
      </c>
      <c r="F815" s="4" t="s">
        <v>18</v>
      </c>
      <c r="G815" s="4"/>
      <c r="H815" s="4" t="s">
        <v>10</v>
      </c>
      <c r="I815" s="4" t="s">
        <v>10</v>
      </c>
      <c r="J815" s="17" t="s">
        <v>3290</v>
      </c>
      <c r="K815" s="16">
        <v>99.383066750625858</v>
      </c>
      <c r="L815" s="16">
        <v>21.280742185262291</v>
      </c>
      <c r="M815" s="16">
        <v>0.18036262908216472</v>
      </c>
      <c r="N815" s="16">
        <v>10.754650246060059</v>
      </c>
      <c r="O815" s="16">
        <v>59.416747355901514</v>
      </c>
      <c r="P815" s="16">
        <v>50.838765112104923</v>
      </c>
      <c r="Q815" s="16">
        <v>82.127876081186002</v>
      </c>
    </row>
    <row r="816" spans="1:17" ht="12.75" x14ac:dyDescent="0.2">
      <c r="A816" s="4" t="s">
        <v>98</v>
      </c>
      <c r="B816" s="4" t="s">
        <v>99</v>
      </c>
      <c r="C816" s="4" t="s">
        <v>4960</v>
      </c>
      <c r="D816" s="4" t="s">
        <v>4961</v>
      </c>
      <c r="E816" s="4" t="s">
        <v>108</v>
      </c>
      <c r="F816" s="4" t="s">
        <v>25</v>
      </c>
      <c r="G816" s="4" t="s">
        <v>72</v>
      </c>
      <c r="I816" s="4" t="s">
        <v>10</v>
      </c>
      <c r="J816" s="17" t="s">
        <v>3290</v>
      </c>
      <c r="K816" s="16">
        <v>94.487872305491777</v>
      </c>
      <c r="L816" s="16">
        <v>17.793946475599398</v>
      </c>
      <c r="M816" s="16">
        <v>59.805654717830002</v>
      </c>
      <c r="N816" s="16">
        <v>93.417622136319125</v>
      </c>
      <c r="O816" s="16">
        <v>87.008046698847721</v>
      </c>
      <c r="P816" s="16">
        <v>3.508230505924248</v>
      </c>
      <c r="Q816" s="16">
        <v>16.239246827147536</v>
      </c>
    </row>
    <row r="817" spans="1:17" ht="12.75" x14ac:dyDescent="0.2">
      <c r="A817" s="4" t="s">
        <v>7</v>
      </c>
      <c r="B817" s="4" t="s">
        <v>8</v>
      </c>
      <c r="C817" s="4" t="s">
        <v>4962</v>
      </c>
      <c r="D817" s="4" t="s">
        <v>4963</v>
      </c>
      <c r="E817" s="4" t="s">
        <v>87</v>
      </c>
      <c r="F817" s="4" t="s">
        <v>18</v>
      </c>
      <c r="G817" s="4" t="s">
        <v>41</v>
      </c>
      <c r="I817" s="4" t="s">
        <v>10</v>
      </c>
      <c r="J817" s="17" t="s">
        <v>3290</v>
      </c>
      <c r="K817" s="16">
        <v>20.246151847484384</v>
      </c>
      <c r="L817" s="16">
        <v>32.567478625820421</v>
      </c>
      <c r="M817" s="16">
        <v>7.0081036290308258</v>
      </c>
      <c r="N817" s="16">
        <v>94.810257452341261</v>
      </c>
      <c r="O817" s="16">
        <v>67.335696443715221</v>
      </c>
      <c r="P817" s="16">
        <v>86.940788513933981</v>
      </c>
      <c r="Q817" s="16">
        <v>46.638112399570829</v>
      </c>
    </row>
    <row r="818" spans="1:17" ht="12.75" x14ac:dyDescent="0.2">
      <c r="A818" s="4" t="s">
        <v>7</v>
      </c>
      <c r="B818" s="4" t="s">
        <v>8</v>
      </c>
      <c r="C818" s="4" t="s">
        <v>4964</v>
      </c>
      <c r="D818" s="4" t="s">
        <v>4965</v>
      </c>
      <c r="E818" s="4" t="s">
        <v>87</v>
      </c>
      <c r="F818" s="4" t="s">
        <v>18</v>
      </c>
      <c r="G818" s="4" t="s">
        <v>61</v>
      </c>
      <c r="I818" s="4" t="s">
        <v>10</v>
      </c>
      <c r="J818" s="17" t="s">
        <v>3290</v>
      </c>
      <c r="K818" s="16">
        <v>6.3099142067240983</v>
      </c>
      <c r="L818" s="16">
        <v>53.34042454216835</v>
      </c>
      <c r="M818" s="16">
        <v>65.021476497637138</v>
      </c>
      <c r="N818" s="16">
        <v>56.877913242065588</v>
      </c>
      <c r="O818" s="16">
        <v>27.079570124831164</v>
      </c>
      <c r="P818" s="16">
        <v>50.066879936210107</v>
      </c>
      <c r="Q818" s="16">
        <v>45.582964407893144</v>
      </c>
    </row>
    <row r="819" spans="1:17" ht="12.75" x14ac:dyDescent="0.2">
      <c r="A819" s="4" t="s">
        <v>7</v>
      </c>
      <c r="B819" s="4" t="s">
        <v>8</v>
      </c>
      <c r="C819" s="4" t="s">
        <v>4966</v>
      </c>
      <c r="D819" s="4" t="s">
        <v>4967</v>
      </c>
      <c r="E819" s="4" t="s">
        <v>87</v>
      </c>
      <c r="F819" s="4" t="s">
        <v>18</v>
      </c>
      <c r="G819" s="4" t="s">
        <v>61</v>
      </c>
      <c r="I819" s="4" t="s">
        <v>10</v>
      </c>
      <c r="J819" s="17" t="s">
        <v>3290</v>
      </c>
      <c r="K819" s="16">
        <v>63.424581392737736</v>
      </c>
      <c r="L819" s="16">
        <v>15.690450325792849</v>
      </c>
      <c r="M819" s="16">
        <v>8.1520575443870591</v>
      </c>
      <c r="N819" s="16">
        <v>59.822287055430387</v>
      </c>
      <c r="O819" s="16">
        <v>62.790305618542995</v>
      </c>
      <c r="P819" s="16">
        <v>4.4005083810022771</v>
      </c>
      <c r="Q819" s="16">
        <v>82.110966123602168</v>
      </c>
    </row>
    <row r="820" spans="1:17" ht="12.75" x14ac:dyDescent="0.2">
      <c r="A820" s="4" t="s">
        <v>7</v>
      </c>
      <c r="B820" s="4" t="s">
        <v>8</v>
      </c>
      <c r="C820" s="4" t="s">
        <v>4968</v>
      </c>
      <c r="D820" s="4" t="s">
        <v>4969</v>
      </c>
      <c r="E820" s="4" t="s">
        <v>87</v>
      </c>
      <c r="F820" s="4" t="s">
        <v>18</v>
      </c>
      <c r="G820" s="4" t="s">
        <v>61</v>
      </c>
      <c r="I820" s="4" t="s">
        <v>10</v>
      </c>
      <c r="J820" s="17" t="s">
        <v>3290</v>
      </c>
      <c r="K820" s="16">
        <v>51.77603932751331</v>
      </c>
      <c r="L820" s="16">
        <v>25.352920466098471</v>
      </c>
      <c r="M820" s="16">
        <v>35.372115178422327</v>
      </c>
      <c r="N820" s="16">
        <v>15.064331284439447</v>
      </c>
      <c r="O820" s="16">
        <v>26.285641916434376</v>
      </c>
      <c r="P820" s="16">
        <v>12.286582260638401</v>
      </c>
      <c r="Q820" s="16">
        <v>50.729260110588307</v>
      </c>
    </row>
    <row r="821" spans="1:17" ht="12.75" x14ac:dyDescent="0.2">
      <c r="A821" s="4" t="s">
        <v>136</v>
      </c>
      <c r="B821" s="4" t="s">
        <v>137</v>
      </c>
      <c r="C821" s="4" t="s">
        <v>4970</v>
      </c>
      <c r="D821" s="4" t="s">
        <v>4971</v>
      </c>
      <c r="E821" s="4" t="s">
        <v>108</v>
      </c>
      <c r="F821" s="4" t="s">
        <v>25</v>
      </c>
      <c r="G821" s="4"/>
      <c r="H821" s="4" t="s">
        <v>3289</v>
      </c>
      <c r="I821" s="4" t="s">
        <v>10</v>
      </c>
      <c r="J821" s="17" t="s">
        <v>3290</v>
      </c>
      <c r="K821" s="16">
        <v>33.701609671460908</v>
      </c>
      <c r="L821" s="16">
        <v>55.7980219829847</v>
      </c>
      <c r="M821" s="16">
        <v>9.2440751813837814</v>
      </c>
      <c r="N821" s="16">
        <v>79.88833082229516</v>
      </c>
      <c r="O821" s="16">
        <v>66.488518198667478</v>
      </c>
      <c r="P821" s="16">
        <v>29.685098288834443</v>
      </c>
      <c r="Q821" s="16">
        <v>86.313597772306494</v>
      </c>
    </row>
    <row r="822" spans="1:17" ht="12.75" x14ac:dyDescent="0.2">
      <c r="A822" s="4" t="s">
        <v>98</v>
      </c>
      <c r="B822" s="4" t="s">
        <v>107</v>
      </c>
      <c r="C822" s="4" t="s">
        <v>4972</v>
      </c>
      <c r="D822" s="4" t="s">
        <v>4973</v>
      </c>
      <c r="E822" s="4" t="s">
        <v>87</v>
      </c>
      <c r="F822" s="4" t="s">
        <v>18</v>
      </c>
      <c r="G822" s="4" t="s">
        <v>12</v>
      </c>
      <c r="H822" s="4"/>
      <c r="I822" s="4" t="s">
        <v>10</v>
      </c>
      <c r="J822" s="17" t="s">
        <v>3290</v>
      </c>
      <c r="K822" s="16">
        <v>82.630937814065788</v>
      </c>
      <c r="L822" s="16">
        <v>49.555962182999892</v>
      </c>
      <c r="M822" s="16">
        <v>94.723758903574819</v>
      </c>
      <c r="N822" s="16">
        <v>35.79537017063231</v>
      </c>
      <c r="O822" s="16">
        <v>99.239733154068645</v>
      </c>
      <c r="P822" s="16">
        <v>65.18735078959223</v>
      </c>
      <c r="Q822" s="16">
        <v>99.431381017878621</v>
      </c>
    </row>
    <row r="823" spans="1:17" ht="12.75" x14ac:dyDescent="0.2">
      <c r="A823" s="4" t="s">
        <v>7</v>
      </c>
      <c r="B823" s="4" t="s">
        <v>8</v>
      </c>
      <c r="C823" s="4" t="s">
        <v>4974</v>
      </c>
      <c r="D823" s="4" t="s">
        <v>4975</v>
      </c>
      <c r="E823" s="4" t="s">
        <v>66</v>
      </c>
      <c r="F823" s="4" t="s">
        <v>18</v>
      </c>
      <c r="G823" s="4" t="s">
        <v>41</v>
      </c>
      <c r="I823" s="4" t="s">
        <v>10</v>
      </c>
      <c r="J823" s="17" t="s">
        <v>3290</v>
      </c>
      <c r="K823" s="16">
        <v>83.138694746107504</v>
      </c>
      <c r="L823" s="16">
        <v>5.1952903409271389</v>
      </c>
      <c r="M823" s="16">
        <v>68.746860110094048</v>
      </c>
      <c r="N823" s="16">
        <v>79.019134342384461</v>
      </c>
      <c r="O823" s="16">
        <v>27.111123999347143</v>
      </c>
      <c r="P823" s="16">
        <v>3.7392263887551236</v>
      </c>
      <c r="Q823" s="16">
        <v>95.220464525380194</v>
      </c>
    </row>
    <row r="824" spans="1:17" ht="12.75" x14ac:dyDescent="0.2">
      <c r="A824" s="4" t="s">
        <v>7</v>
      </c>
      <c r="B824" s="4" t="s">
        <v>23</v>
      </c>
      <c r="C824" s="4" t="s">
        <v>4976</v>
      </c>
      <c r="D824" s="4" t="s">
        <v>4977</v>
      </c>
      <c r="E824" s="4" t="s">
        <v>79</v>
      </c>
      <c r="F824" s="4" t="s">
        <v>18</v>
      </c>
      <c r="G824" s="4" t="s">
        <v>41</v>
      </c>
      <c r="H824" s="4"/>
      <c r="I824" s="4" t="s">
        <v>10</v>
      </c>
      <c r="J824" s="17" t="s">
        <v>3290</v>
      </c>
      <c r="K824" s="16">
        <v>53.907772811974134</v>
      </c>
      <c r="L824" s="16">
        <v>92.119209291519226</v>
      </c>
      <c r="M824" s="16">
        <v>19.23023521672912</v>
      </c>
      <c r="N824" s="16">
        <v>3.1506833253582611</v>
      </c>
      <c r="O824" s="16">
        <v>54.919167538803372</v>
      </c>
      <c r="P824" s="16">
        <v>21.434370929511893</v>
      </c>
      <c r="Q824" s="16">
        <v>54.775611959102086</v>
      </c>
    </row>
    <row r="825" spans="1:17" ht="12.75" x14ac:dyDescent="0.2">
      <c r="A825" s="4" t="s">
        <v>7</v>
      </c>
      <c r="B825" s="4" t="s">
        <v>23</v>
      </c>
      <c r="C825" s="4" t="s">
        <v>4978</v>
      </c>
      <c r="D825" s="4" t="s">
        <v>4979</v>
      </c>
      <c r="E825" s="4" t="s">
        <v>79</v>
      </c>
      <c r="F825" s="4" t="s">
        <v>18</v>
      </c>
      <c r="G825" s="4" t="s">
        <v>41</v>
      </c>
      <c r="H825" s="4"/>
      <c r="I825" s="4" t="s">
        <v>10</v>
      </c>
      <c r="J825" s="17" t="s">
        <v>3290</v>
      </c>
      <c r="K825" s="16">
        <v>42.943413020671059</v>
      </c>
      <c r="L825" s="16">
        <v>12.173209468168366</v>
      </c>
      <c r="M825" s="16">
        <v>80.099271263543088</v>
      </c>
      <c r="N825" s="16">
        <v>68.716468219771016</v>
      </c>
      <c r="O825" s="16">
        <v>71.971833347289731</v>
      </c>
      <c r="P825" s="16">
        <v>72.685830947372551</v>
      </c>
      <c r="Q825" s="16">
        <v>54.364176037980293</v>
      </c>
    </row>
    <row r="826" spans="1:17" ht="12.75" x14ac:dyDescent="0.2">
      <c r="A826" s="4" t="s">
        <v>7</v>
      </c>
      <c r="B826" s="4" t="s">
        <v>23</v>
      </c>
      <c r="C826" s="4" t="s">
        <v>4980</v>
      </c>
      <c r="D826" s="4" t="s">
        <v>4981</v>
      </c>
      <c r="E826" s="4" t="s">
        <v>79</v>
      </c>
      <c r="F826" s="4" t="s">
        <v>18</v>
      </c>
      <c r="G826" s="4" t="s">
        <v>41</v>
      </c>
      <c r="H826" s="4"/>
      <c r="I826" s="4" t="s">
        <v>10</v>
      </c>
      <c r="J826" s="17" t="s">
        <v>3290</v>
      </c>
      <c r="K826" s="16">
        <v>2.5009405850840771</v>
      </c>
      <c r="L826" s="16">
        <v>34.271358351255522</v>
      </c>
      <c r="M826" s="16">
        <v>23.87122342230963</v>
      </c>
      <c r="N826" s="16">
        <v>16.187258608484989</v>
      </c>
      <c r="O826" s="16">
        <v>93.839931541837714</v>
      </c>
      <c r="P826" s="16">
        <v>21.345729180103646</v>
      </c>
      <c r="Q826" s="16">
        <v>32.029172715827258</v>
      </c>
    </row>
    <row r="827" spans="1:17" ht="12.75" x14ac:dyDescent="0.2">
      <c r="A827" s="4" t="s">
        <v>98</v>
      </c>
      <c r="B827" s="4" t="s">
        <v>107</v>
      </c>
      <c r="C827" s="4" t="s">
        <v>4982</v>
      </c>
      <c r="D827" s="4" t="s">
        <v>4983</v>
      </c>
      <c r="E827" s="4" t="s">
        <v>87</v>
      </c>
      <c r="F827" s="4" t="s">
        <v>32</v>
      </c>
      <c r="G827" s="4" t="s">
        <v>41</v>
      </c>
      <c r="I827" s="4" t="s">
        <v>10</v>
      </c>
      <c r="J827" s="17" t="s">
        <v>3290</v>
      </c>
      <c r="K827" s="16">
        <v>31.405893573609987</v>
      </c>
      <c r="L827" s="16">
        <v>87.96358814781054</v>
      </c>
      <c r="M827" s="16">
        <v>76.323010881515046</v>
      </c>
      <c r="N827" s="16">
        <v>66.243564297847499</v>
      </c>
      <c r="O827" s="16">
        <v>26.899349150125019</v>
      </c>
      <c r="P827" s="16">
        <v>66.826773203335321</v>
      </c>
      <c r="Q827" s="16">
        <v>36.272996289346693</v>
      </c>
    </row>
    <row r="828" spans="1:17" ht="17.25" customHeight="1" x14ac:dyDescent="0.2">
      <c r="A828" s="4" t="s">
        <v>7</v>
      </c>
      <c r="B828" s="4" t="s">
        <v>23</v>
      </c>
      <c r="C828" s="4" t="s">
        <v>4984</v>
      </c>
      <c r="D828" s="4" t="s">
        <v>4985</v>
      </c>
      <c r="E828" s="4" t="s">
        <v>87</v>
      </c>
      <c r="F828" s="4" t="s">
        <v>25</v>
      </c>
      <c r="G828" s="4" t="s">
        <v>61</v>
      </c>
      <c r="H828" s="4"/>
      <c r="I828" s="4" t="s">
        <v>10</v>
      </c>
      <c r="J828" s="17" t="s">
        <v>3290</v>
      </c>
      <c r="K828" s="16">
        <v>7.7250593710859299</v>
      </c>
      <c r="L828" s="16">
        <v>51.679996024289125</v>
      </c>
      <c r="M828" s="16">
        <v>67.975103776878598</v>
      </c>
      <c r="N828" s="16">
        <v>42.753254395128202</v>
      </c>
      <c r="O828" s="16">
        <v>41.233148451794698</v>
      </c>
      <c r="P828" s="16">
        <v>51.497512854147921</v>
      </c>
      <c r="Q828" s="16">
        <v>35.839910063552395</v>
      </c>
    </row>
    <row r="829" spans="1:17" ht="12.75" x14ac:dyDescent="0.2">
      <c r="A829" s="4" t="s">
        <v>64</v>
      </c>
      <c r="B829" s="4" t="s">
        <v>92</v>
      </c>
      <c r="C829" s="4" t="s">
        <v>4986</v>
      </c>
      <c r="D829" s="4" t="s">
        <v>4987</v>
      </c>
      <c r="E829" s="4" t="s">
        <v>83</v>
      </c>
      <c r="F829" s="4" t="s">
        <v>25</v>
      </c>
      <c r="G829" s="4" t="s">
        <v>72</v>
      </c>
      <c r="H829" s="4"/>
      <c r="I829" s="4" t="s">
        <v>10</v>
      </c>
      <c r="J829" s="17" t="s">
        <v>3290</v>
      </c>
      <c r="K829" s="16">
        <v>89.502917950790788</v>
      </c>
      <c r="L829" s="16">
        <v>9.3087342741880796</v>
      </c>
      <c r="M829" s="16">
        <v>63.072914315772245</v>
      </c>
      <c r="N829" s="16">
        <v>32.483965226103237</v>
      </c>
      <c r="O829" s="16">
        <v>14.949916812342645</v>
      </c>
      <c r="P829" s="16">
        <v>76.00503158417753</v>
      </c>
      <c r="Q829" s="16">
        <v>29.754197807455906</v>
      </c>
    </row>
    <row r="830" spans="1:17" ht="12.75" x14ac:dyDescent="0.2">
      <c r="A830" s="4" t="s">
        <v>7</v>
      </c>
      <c r="B830" s="4" t="s">
        <v>16</v>
      </c>
      <c r="C830" s="4" t="s">
        <v>4988</v>
      </c>
      <c r="D830" s="4" t="s">
        <v>4989</v>
      </c>
      <c r="E830" s="4" t="s">
        <v>108</v>
      </c>
      <c r="F830" s="4" t="s">
        <v>18</v>
      </c>
      <c r="G830" s="4" t="s">
        <v>72</v>
      </c>
      <c r="H830" s="4" t="s">
        <v>10</v>
      </c>
      <c r="I830" s="4" t="s">
        <v>10</v>
      </c>
      <c r="J830" s="17" t="s">
        <v>3290</v>
      </c>
      <c r="K830" s="16">
        <v>95.581446236489356</v>
      </c>
      <c r="L830" s="16">
        <v>66.272390797184784</v>
      </c>
      <c r="M830" s="16">
        <v>72.374984885591459</v>
      </c>
      <c r="N830" s="16">
        <v>35.763934435747402</v>
      </c>
      <c r="O830" s="16">
        <v>72.831260974255798</v>
      </c>
      <c r="P830" s="16">
        <v>26.153099272244983</v>
      </c>
      <c r="Q830" s="16">
        <v>75.918747931419702</v>
      </c>
    </row>
    <row r="831" spans="1:17" ht="12.75" x14ac:dyDescent="0.2">
      <c r="A831" s="4" t="s">
        <v>98</v>
      </c>
      <c r="B831" s="4" t="s">
        <v>107</v>
      </c>
      <c r="C831" s="4" t="s">
        <v>4990</v>
      </c>
      <c r="D831" s="4" t="s">
        <v>4991</v>
      </c>
      <c r="E831" s="4" t="s">
        <v>87</v>
      </c>
      <c r="F831" s="4" t="s">
        <v>25</v>
      </c>
      <c r="G831" s="4" t="s">
        <v>41</v>
      </c>
      <c r="I831" s="4" t="s">
        <v>10</v>
      </c>
      <c r="J831" s="17" t="s">
        <v>3290</v>
      </c>
      <c r="K831" s="16">
        <v>81.30998834150634</v>
      </c>
      <c r="L831" s="16">
        <v>10.531436093453239</v>
      </c>
      <c r="M831" s="16">
        <v>38.463363055572422</v>
      </c>
      <c r="N831" s="16">
        <v>5.7483416616820655</v>
      </c>
      <c r="O831" s="16">
        <v>44.358784054477837</v>
      </c>
      <c r="P831" s="16">
        <v>85.811302776898785</v>
      </c>
      <c r="Q831" s="16">
        <v>70.172639119471171</v>
      </c>
    </row>
    <row r="832" spans="1:17" ht="12.75" x14ac:dyDescent="0.2">
      <c r="A832" s="4" t="s">
        <v>64</v>
      </c>
      <c r="B832" s="4" t="s">
        <v>82</v>
      </c>
      <c r="C832" s="4" t="s">
        <v>4992</v>
      </c>
      <c r="D832" s="4" t="s">
        <v>4993</v>
      </c>
      <c r="E832" s="4" t="s">
        <v>126</v>
      </c>
      <c r="F832" s="4" t="s">
        <v>32</v>
      </c>
      <c r="G832" s="4" t="s">
        <v>72</v>
      </c>
      <c r="H832" s="4"/>
      <c r="I832" s="4" t="s">
        <v>10</v>
      </c>
      <c r="J832" s="17" t="s">
        <v>3290</v>
      </c>
      <c r="K832" s="16">
        <v>15.625925814344599</v>
      </c>
      <c r="L832" s="16">
        <v>25.819714460411291</v>
      </c>
      <c r="M832" s="16">
        <v>54.222668025196405</v>
      </c>
      <c r="N832" s="16">
        <v>60.225650057272809</v>
      </c>
      <c r="O832" s="16">
        <v>21.717431337277205</v>
      </c>
      <c r="P832" s="16">
        <v>28.454411254283627</v>
      </c>
      <c r="Q832" s="16">
        <v>94.416277757596305</v>
      </c>
    </row>
    <row r="833" spans="1:18" ht="12.75" x14ac:dyDescent="0.2">
      <c r="A833" s="4" t="s">
        <v>64</v>
      </c>
      <c r="B833" s="4" t="s">
        <v>82</v>
      </c>
      <c r="C833" s="4" t="s">
        <v>4994</v>
      </c>
      <c r="D833" s="4" t="s">
        <v>4995</v>
      </c>
      <c r="E833" s="4" t="s">
        <v>126</v>
      </c>
      <c r="F833" s="4" t="s">
        <v>18</v>
      </c>
      <c r="G833" s="4" t="s">
        <v>26</v>
      </c>
      <c r="H833" s="4"/>
      <c r="I833" s="4" t="s">
        <v>10</v>
      </c>
      <c r="J833" s="17" t="s">
        <v>3290</v>
      </c>
      <c r="K833" s="16">
        <v>11.401097049491959</v>
      </c>
      <c r="L833" s="16">
        <v>49.515012134528689</v>
      </c>
      <c r="M833" s="16">
        <v>5.6720800584964319</v>
      </c>
      <c r="N833" s="16">
        <v>63.425152636693049</v>
      </c>
      <c r="O833" s="16">
        <v>64.327853162906806</v>
      </c>
      <c r="P833" s="16">
        <v>63.807035216465003</v>
      </c>
      <c r="Q833" s="16">
        <v>68.973496815043191</v>
      </c>
    </row>
    <row r="834" spans="1:18" ht="12.75" x14ac:dyDescent="0.2">
      <c r="A834" s="4" t="s">
        <v>64</v>
      </c>
      <c r="B834" s="4" t="s">
        <v>82</v>
      </c>
      <c r="C834" s="4" t="s">
        <v>4996</v>
      </c>
      <c r="D834" s="4" t="s">
        <v>4997</v>
      </c>
      <c r="E834" s="4" t="s">
        <v>126</v>
      </c>
      <c r="F834" s="4" t="s">
        <v>32</v>
      </c>
      <c r="G834" s="4" t="s">
        <v>72</v>
      </c>
      <c r="H834" s="4"/>
      <c r="I834" s="4" t="s">
        <v>10</v>
      </c>
      <c r="J834" s="17" t="s">
        <v>3290</v>
      </c>
      <c r="K834" s="16">
        <v>99.450080426158465</v>
      </c>
      <c r="L834" s="16">
        <v>13.235374357758168</v>
      </c>
      <c r="M834" s="16">
        <v>22.939906401636236</v>
      </c>
      <c r="N834" s="16">
        <v>83.453632235957301</v>
      </c>
      <c r="O834" s="16">
        <v>77.998309380525498</v>
      </c>
      <c r="P834" s="16">
        <v>4.7702156044115984</v>
      </c>
      <c r="Q834" s="16">
        <v>88.3791794425874</v>
      </c>
    </row>
    <row r="835" spans="1:18" ht="12.75" x14ac:dyDescent="0.2">
      <c r="A835" s="4" t="s">
        <v>64</v>
      </c>
      <c r="B835" s="4" t="s">
        <v>82</v>
      </c>
      <c r="C835" s="4" t="s">
        <v>4998</v>
      </c>
      <c r="D835" s="4" t="s">
        <v>4999</v>
      </c>
      <c r="E835" s="4" t="s">
        <v>126</v>
      </c>
      <c r="F835" s="4" t="s">
        <v>18</v>
      </c>
      <c r="G835" s="4" t="s">
        <v>26</v>
      </c>
      <c r="H835" s="4"/>
      <c r="I835" s="4" t="s">
        <v>10</v>
      </c>
      <c r="J835" s="17" t="s">
        <v>3290</v>
      </c>
      <c r="K835" s="16">
        <v>26.363844669251968</v>
      </c>
      <c r="L835" s="16">
        <v>96.127093289226494</v>
      </c>
      <c r="M835" s="16">
        <v>0.8452176604066941</v>
      </c>
      <c r="N835" s="16">
        <v>29.577434426208782</v>
      </c>
      <c r="O835" s="16">
        <v>79.484728113384804</v>
      </c>
      <c r="P835" s="16">
        <v>43.615481125124901</v>
      </c>
      <c r="Q835" s="16">
        <v>15.292016816605368</v>
      </c>
    </row>
    <row r="836" spans="1:18" ht="12.75" x14ac:dyDescent="0.2">
      <c r="A836" s="4" t="s">
        <v>7</v>
      </c>
      <c r="B836" s="4" t="s">
        <v>16</v>
      </c>
      <c r="C836" s="4" t="s">
        <v>5000</v>
      </c>
      <c r="D836" s="4" t="s">
        <v>5001</v>
      </c>
      <c r="E836" s="4" t="s">
        <v>83</v>
      </c>
      <c r="F836" s="4" t="s">
        <v>25</v>
      </c>
      <c r="G836" s="4" t="s">
        <v>41</v>
      </c>
      <c r="H836" s="4"/>
      <c r="I836" s="4" t="s">
        <v>10</v>
      </c>
      <c r="J836" s="17" t="s">
        <v>3290</v>
      </c>
      <c r="K836" s="16">
        <v>45.918087219389378</v>
      </c>
      <c r="L836" s="16">
        <v>77.775897039317982</v>
      </c>
      <c r="M836" s="16">
        <v>13.510742226299378</v>
      </c>
      <c r="N836" s="16">
        <v>21.08182009745294</v>
      </c>
      <c r="O836" s="16">
        <v>7.1445884423710808</v>
      </c>
      <c r="P836" s="16">
        <v>86.679029549606184</v>
      </c>
      <c r="Q836" s="16">
        <v>3.3818559356647571</v>
      </c>
    </row>
    <row r="837" spans="1:18" ht="12.75" x14ac:dyDescent="0.2">
      <c r="A837" s="4" t="s">
        <v>64</v>
      </c>
      <c r="B837" s="4" t="s">
        <v>82</v>
      </c>
      <c r="C837" s="4" t="s">
        <v>5002</v>
      </c>
      <c r="D837" s="4" t="s">
        <v>5003</v>
      </c>
      <c r="E837" s="4" t="s">
        <v>9</v>
      </c>
      <c r="F837" s="4" t="s">
        <v>25</v>
      </c>
      <c r="G837" s="4" t="s">
        <v>72</v>
      </c>
      <c r="H837" s="4"/>
      <c r="I837" s="4" t="s">
        <v>10</v>
      </c>
      <c r="J837" s="17" t="s">
        <v>3290</v>
      </c>
      <c r="K837" s="16">
        <v>54.386518664625406</v>
      </c>
      <c r="L837" s="16">
        <v>75.379694933547725</v>
      </c>
      <c r="M837" s="16">
        <v>69.301676800953061</v>
      </c>
      <c r="N837" s="16">
        <v>52.624745318368362</v>
      </c>
      <c r="O837" s="16">
        <v>48.358053442641292</v>
      </c>
      <c r="P837" s="16">
        <v>39.687560094614518</v>
      </c>
      <c r="Q837" s="16">
        <v>93.928936740801177</v>
      </c>
    </row>
    <row r="838" spans="1:18" ht="12.75" x14ac:dyDescent="0.2">
      <c r="A838" s="4" t="s">
        <v>37</v>
      </c>
      <c r="B838" s="4" t="s">
        <v>38</v>
      </c>
      <c r="C838" s="4" t="s">
        <v>5004</v>
      </c>
      <c r="D838" s="4" t="s">
        <v>5005</v>
      </c>
      <c r="E838" s="4" t="s">
        <v>9</v>
      </c>
      <c r="F838" s="4" t="s">
        <v>18</v>
      </c>
      <c r="G838" s="4" t="s">
        <v>41</v>
      </c>
      <c r="H838" s="4"/>
      <c r="I838" s="4" t="s">
        <v>10</v>
      </c>
      <c r="J838" s="17" t="s">
        <v>3290</v>
      </c>
      <c r="K838" s="16">
        <v>77.572376756041351</v>
      </c>
      <c r="L838" s="16">
        <v>97.871709069356982</v>
      </c>
      <c r="M838" s="16">
        <v>46.56670240381515</v>
      </c>
      <c r="N838" s="16">
        <v>19.424047122417821</v>
      </c>
      <c r="O838" s="16">
        <v>81.084483720564521</v>
      </c>
      <c r="P838" s="16">
        <v>20.713487193340828</v>
      </c>
      <c r="Q838" s="16">
        <v>51.177769481798563</v>
      </c>
    </row>
    <row r="839" spans="1:18" ht="12.75" x14ac:dyDescent="0.2">
      <c r="A839" s="4" t="s">
        <v>115</v>
      </c>
      <c r="B839" s="4" t="s">
        <v>128</v>
      </c>
      <c r="C839" s="4" t="s">
        <v>5006</v>
      </c>
      <c r="D839" s="4" t="s">
        <v>5007</v>
      </c>
      <c r="E839" s="4" t="s">
        <v>83</v>
      </c>
      <c r="F839" s="4" t="s">
        <v>18</v>
      </c>
      <c r="G839" s="4" t="s">
        <v>41</v>
      </c>
      <c r="H839" s="4" t="s">
        <v>3718</v>
      </c>
      <c r="I839" s="4" t="s">
        <v>10</v>
      </c>
      <c r="J839" s="17" t="s">
        <v>3290</v>
      </c>
      <c r="K839" s="16">
        <v>94.119020025541928</v>
      </c>
      <c r="L839" s="16">
        <v>38.609786804240144</v>
      </c>
      <c r="M839" s="16">
        <v>29.120152788258203</v>
      </c>
      <c r="N839" s="16">
        <v>93.839068058079874</v>
      </c>
      <c r="O839" s="16">
        <v>52.780533895144984</v>
      </c>
      <c r="P839" s="16">
        <v>80.627851942142868</v>
      </c>
      <c r="Q839" s="16">
        <v>0.1585356794591597</v>
      </c>
    </row>
    <row r="840" spans="1:18" ht="12.75" x14ac:dyDescent="0.2">
      <c r="A840" s="4" t="s">
        <v>115</v>
      </c>
      <c r="B840" s="4" t="s">
        <v>128</v>
      </c>
      <c r="C840" s="4" t="s">
        <v>5008</v>
      </c>
      <c r="D840" s="4" t="s">
        <v>5009</v>
      </c>
      <c r="E840" s="4" t="s">
        <v>108</v>
      </c>
      <c r="F840" s="4" t="s">
        <v>32</v>
      </c>
      <c r="G840" s="4" t="s">
        <v>72</v>
      </c>
      <c r="H840" s="4" t="s">
        <v>5010</v>
      </c>
      <c r="I840" s="4" t="s">
        <v>10</v>
      </c>
      <c r="J840" s="17" t="s">
        <v>3290</v>
      </c>
      <c r="K840" s="16">
        <v>71.224612613653832</v>
      </c>
      <c r="L840" s="16">
        <v>27.90889714485817</v>
      </c>
      <c r="M840" s="16">
        <v>22.804841791272189</v>
      </c>
      <c r="N840" s="16">
        <v>66.394952569001688</v>
      </c>
      <c r="O840" s="16">
        <v>90.973927790357649</v>
      </c>
      <c r="P840" s="16">
        <v>70.212612917100742</v>
      </c>
      <c r="Q840" s="16">
        <v>45.569638311172554</v>
      </c>
    </row>
    <row r="841" spans="1:18" ht="12.75" x14ac:dyDescent="0.2">
      <c r="A841" s="4" t="s">
        <v>98</v>
      </c>
      <c r="B841" s="4" t="s">
        <v>110</v>
      </c>
      <c r="C841" s="4" t="s">
        <v>5011</v>
      </c>
      <c r="D841" s="4" t="s">
        <v>5012</v>
      </c>
      <c r="E841" s="4" t="s">
        <v>106</v>
      </c>
      <c r="F841" s="4" t="s">
        <v>18</v>
      </c>
      <c r="G841" s="4" t="s">
        <v>12</v>
      </c>
      <c r="H841" s="4" t="s">
        <v>10</v>
      </c>
      <c r="I841" s="4" t="s">
        <v>10</v>
      </c>
      <c r="J841" s="17" t="s">
        <v>3290</v>
      </c>
      <c r="K841" s="16">
        <v>41.768707174086536</v>
      </c>
      <c r="L841" s="16">
        <v>48.348921091851096</v>
      </c>
      <c r="M841" s="16">
        <v>66.112201721695939</v>
      </c>
      <c r="N841" s="16">
        <v>11.811329369109803</v>
      </c>
      <c r="O841" s="16">
        <v>70.102153160067346</v>
      </c>
      <c r="P841" s="16">
        <v>94.577979928323799</v>
      </c>
      <c r="Q841" s="16">
        <v>42.249095625985078</v>
      </c>
    </row>
    <row r="842" spans="1:18" ht="12.75" x14ac:dyDescent="0.2">
      <c r="A842" s="4" t="s">
        <v>37</v>
      </c>
      <c r="B842" s="4" t="s">
        <v>38</v>
      </c>
      <c r="C842" s="4" t="s">
        <v>5013</v>
      </c>
      <c r="D842" s="4" t="s">
        <v>5014</v>
      </c>
      <c r="E842" s="4" t="s">
        <v>87</v>
      </c>
      <c r="F842" s="4" t="s">
        <v>25</v>
      </c>
      <c r="G842" s="4" t="s">
        <v>41</v>
      </c>
      <c r="H842" s="4"/>
      <c r="I842" s="4" t="s">
        <v>10</v>
      </c>
      <c r="J842" s="17" t="s">
        <v>3290</v>
      </c>
      <c r="K842" s="16">
        <v>93.937944573977632</v>
      </c>
      <c r="L842" s="16">
        <v>85.748070125397362</v>
      </c>
      <c r="M842" s="16">
        <v>70.585729858066145</v>
      </c>
      <c r="N842" s="16">
        <v>23.476974300813669</v>
      </c>
      <c r="O842" s="16">
        <v>58.507707396725195</v>
      </c>
      <c r="P842" s="16">
        <v>9.4853043403768886</v>
      </c>
      <c r="Q842" s="16">
        <v>1.28713528383817</v>
      </c>
    </row>
    <row r="843" spans="1:18" ht="12.75" x14ac:dyDescent="0.2">
      <c r="A843" s="4" t="s">
        <v>98</v>
      </c>
      <c r="B843" s="4" t="s">
        <v>107</v>
      </c>
      <c r="C843" s="4" t="s">
        <v>5015</v>
      </c>
      <c r="D843" s="4" t="s">
        <v>5016</v>
      </c>
      <c r="E843" s="4" t="s">
        <v>108</v>
      </c>
      <c r="F843" s="4" t="s">
        <v>18</v>
      </c>
      <c r="G843" s="4" t="s">
        <v>12</v>
      </c>
      <c r="I843" s="4" t="s">
        <v>10</v>
      </c>
      <c r="J843" s="17" t="s">
        <v>3290</v>
      </c>
      <c r="K843" s="16">
        <v>70.325412271601166</v>
      </c>
      <c r="L843" s="16">
        <v>62.050402190379884</v>
      </c>
      <c r="M843" s="16">
        <v>37.723898170245462</v>
      </c>
      <c r="N843" s="16">
        <v>69.158835639644693</v>
      </c>
      <c r="O843" s="16">
        <v>41.381869328161116</v>
      </c>
      <c r="P843" s="16">
        <v>38.272679222948391</v>
      </c>
      <c r="Q843" s="16">
        <v>43.24863228746856</v>
      </c>
    </row>
    <row r="844" spans="1:18" ht="12.75" x14ac:dyDescent="0.2">
      <c r="A844" s="4" t="s">
        <v>115</v>
      </c>
      <c r="B844" s="4" t="s">
        <v>116</v>
      </c>
      <c r="C844" s="4" t="s">
        <v>5017</v>
      </c>
      <c r="D844" s="4" t="s">
        <v>5018</v>
      </c>
      <c r="E844" s="4" t="s">
        <v>83</v>
      </c>
      <c r="F844" s="4" t="s">
        <v>25</v>
      </c>
      <c r="G844" s="4" t="s">
        <v>61</v>
      </c>
      <c r="I844" s="4" t="s">
        <v>10</v>
      </c>
      <c r="J844" s="17" t="s">
        <v>3290</v>
      </c>
      <c r="K844" s="16">
        <v>22.698548917688001</v>
      </c>
      <c r="L844" s="16">
        <v>4.9819264706699951</v>
      </c>
      <c r="M844" s="16">
        <v>47.526026845630462</v>
      </c>
      <c r="N844" s="16">
        <v>39.131004925947266</v>
      </c>
      <c r="O844" s="16">
        <v>89.244414803525984</v>
      </c>
      <c r="P844" s="16">
        <v>15.110794028981866</v>
      </c>
      <c r="Q844" s="16">
        <v>34.175988727074625</v>
      </c>
    </row>
    <row r="845" spans="1:18" ht="12.75" x14ac:dyDescent="0.2">
      <c r="A845" s="4" t="s">
        <v>7</v>
      </c>
      <c r="B845" s="4" t="s">
        <v>16</v>
      </c>
      <c r="C845" s="4" t="s">
        <v>5019</v>
      </c>
      <c r="D845" s="4" t="s">
        <v>5020</v>
      </c>
      <c r="E845" s="4" t="s">
        <v>108</v>
      </c>
      <c r="F845" s="4" t="s">
        <v>18</v>
      </c>
      <c r="G845" s="4" t="s">
        <v>41</v>
      </c>
      <c r="H845" s="4"/>
      <c r="I845" s="4" t="s">
        <v>10</v>
      </c>
      <c r="J845" s="17" t="s">
        <v>3290</v>
      </c>
      <c r="K845" s="16">
        <v>75.139954213349455</v>
      </c>
      <c r="L845" s="16">
        <v>28.743023106124355</v>
      </c>
      <c r="M845" s="16">
        <v>6.9147940663763734</v>
      </c>
      <c r="N845" s="16">
        <v>70.953562924112262</v>
      </c>
      <c r="O845" s="16">
        <v>40.799201298865285</v>
      </c>
      <c r="P845" s="16">
        <v>80.543245802960286</v>
      </c>
      <c r="Q845" s="16">
        <v>72.119381179498177</v>
      </c>
    </row>
    <row r="846" spans="1:18" ht="12.75" x14ac:dyDescent="0.2">
      <c r="A846" s="4" t="s">
        <v>64</v>
      </c>
      <c r="B846" s="4" t="s">
        <v>92</v>
      </c>
      <c r="C846" s="4" t="s">
        <v>5021</v>
      </c>
      <c r="D846" s="4" t="s">
        <v>5022</v>
      </c>
      <c r="E846" s="4" t="s">
        <v>126</v>
      </c>
      <c r="F846" s="4" t="s">
        <v>18</v>
      </c>
      <c r="G846" s="4" t="s">
        <v>61</v>
      </c>
      <c r="H846" s="4"/>
      <c r="I846" s="4" t="s">
        <v>10</v>
      </c>
      <c r="J846" s="17" t="s">
        <v>3290</v>
      </c>
      <c r="K846" s="16">
        <v>5.4480594904663393</v>
      </c>
      <c r="L846" s="16">
        <v>95.840004491909909</v>
      </c>
      <c r="M846" s="16">
        <v>41.032168981504057</v>
      </c>
      <c r="N846" s="16">
        <v>57.658883794285629</v>
      </c>
      <c r="O846" s="16">
        <v>86.323894013808541</v>
      </c>
      <c r="P846" s="16">
        <v>18.781756898807387</v>
      </c>
      <c r="Q846" s="16">
        <v>85.197831154001122</v>
      </c>
    </row>
    <row r="847" spans="1:18" ht="12.75" x14ac:dyDescent="0.2">
      <c r="A847" s="4" t="s">
        <v>64</v>
      </c>
      <c r="B847" s="4" t="s">
        <v>86</v>
      </c>
      <c r="C847" s="4" t="s">
        <v>5023</v>
      </c>
      <c r="D847" s="4" t="s">
        <v>5024</v>
      </c>
      <c r="E847" s="4" t="s">
        <v>129</v>
      </c>
      <c r="F847" s="4" t="s">
        <v>18</v>
      </c>
      <c r="G847" s="4" t="s">
        <v>19</v>
      </c>
      <c r="I847" s="4" t="s">
        <v>10</v>
      </c>
      <c r="J847" s="17" t="s">
        <v>3290</v>
      </c>
      <c r="K847" s="16">
        <v>30.592214889292023</v>
      </c>
      <c r="L847" s="16">
        <v>64.829173854595837</v>
      </c>
      <c r="M847" s="16">
        <v>38.44641178708472</v>
      </c>
      <c r="N847" s="16">
        <v>16.629453206137168</v>
      </c>
      <c r="O847" s="16">
        <v>75.422771175138138</v>
      </c>
      <c r="P847" s="16">
        <v>31.341155604217029</v>
      </c>
      <c r="Q847" s="16">
        <v>14.853021059396987</v>
      </c>
    </row>
    <row r="848" spans="1:18" ht="12.75" x14ac:dyDescent="0.2">
      <c r="A848" s="4" t="s">
        <v>115</v>
      </c>
      <c r="B848" s="4" t="s">
        <v>131</v>
      </c>
      <c r="C848" s="4" t="s">
        <v>5025</v>
      </c>
      <c r="D848" s="4" t="s">
        <v>5026</v>
      </c>
      <c r="E848" s="4" t="s">
        <v>139</v>
      </c>
      <c r="F848" s="4" t="s">
        <v>18</v>
      </c>
      <c r="G848" s="4" t="s">
        <v>72</v>
      </c>
      <c r="H848" s="4" t="s">
        <v>5027</v>
      </c>
      <c r="I848" s="4" t="s">
        <v>10</v>
      </c>
      <c r="J848" s="17" t="s">
        <v>3290</v>
      </c>
      <c r="K848" s="16">
        <v>35.244864074711423</v>
      </c>
      <c r="L848" s="16">
        <v>35.251684517987968</v>
      </c>
      <c r="M848" s="16">
        <v>49.584220845427552</v>
      </c>
      <c r="N848" s="16">
        <v>58.964826302418963</v>
      </c>
      <c r="O848" s="16">
        <v>24.850150581276985</v>
      </c>
      <c r="P848" s="16">
        <v>80.886734742875291</v>
      </c>
      <c r="Q848" s="16">
        <v>52.431748038799306</v>
      </c>
      <c r="R848" s="4"/>
    </row>
    <row r="849" spans="1:18" ht="12.75" x14ac:dyDescent="0.2">
      <c r="A849" s="4" t="s">
        <v>115</v>
      </c>
      <c r="B849" s="4" t="s">
        <v>131</v>
      </c>
      <c r="C849" s="4" t="s">
        <v>5028</v>
      </c>
      <c r="D849" s="4" t="s">
        <v>5029</v>
      </c>
      <c r="E849" s="4" t="s">
        <v>139</v>
      </c>
      <c r="F849" s="4" t="s">
        <v>18</v>
      </c>
      <c r="G849" s="4" t="s">
        <v>72</v>
      </c>
      <c r="H849" s="4" t="s">
        <v>5030</v>
      </c>
      <c r="I849" s="4" t="s">
        <v>10</v>
      </c>
      <c r="J849" s="17" t="s">
        <v>3290</v>
      </c>
      <c r="K849" s="16">
        <v>69.626340806016529</v>
      </c>
      <c r="L849" s="16">
        <v>21.05244295352605</v>
      </c>
      <c r="M849" s="16">
        <v>28.745745924054479</v>
      </c>
      <c r="N849" s="16">
        <v>82.008808647042173</v>
      </c>
      <c r="O849" s="16">
        <v>92.788684821839723</v>
      </c>
      <c r="P849" s="16">
        <v>25.452098683071213</v>
      </c>
      <c r="Q849" s="16">
        <v>4.4875196503394887</v>
      </c>
      <c r="R849" s="4"/>
    </row>
    <row r="850" spans="1:18" ht="12.75" x14ac:dyDescent="0.2">
      <c r="A850" s="4" t="s">
        <v>64</v>
      </c>
      <c r="B850" s="4" t="s">
        <v>95</v>
      </c>
      <c r="C850" s="4" t="s">
        <v>5031</v>
      </c>
      <c r="D850" s="4" t="s">
        <v>5032</v>
      </c>
      <c r="E850" s="4" t="s">
        <v>126</v>
      </c>
      <c r="F850" s="4" t="s">
        <v>11</v>
      </c>
      <c r="G850" s="4" t="s">
        <v>41</v>
      </c>
      <c r="H850" s="4"/>
      <c r="I850" s="4" t="s">
        <v>10</v>
      </c>
      <c r="J850" s="17" t="s">
        <v>3290</v>
      </c>
      <c r="K850" s="16">
        <v>74.645592723947289</v>
      </c>
      <c r="L850" s="16">
        <v>82.943094354899188</v>
      </c>
      <c r="M850" s="16">
        <v>50.801148764936578</v>
      </c>
      <c r="N850" s="16">
        <v>25.121754759796154</v>
      </c>
      <c r="O850" s="16">
        <v>48.849396289878186</v>
      </c>
      <c r="P850" s="16">
        <v>73.347218390310886</v>
      </c>
      <c r="Q850" s="16">
        <v>5.3353909525553744</v>
      </c>
    </row>
    <row r="851" spans="1:18" ht="12.75" x14ac:dyDescent="0.2">
      <c r="A851" s="4" t="s">
        <v>64</v>
      </c>
      <c r="B851" s="4" t="s">
        <v>95</v>
      </c>
      <c r="C851" s="4" t="s">
        <v>5033</v>
      </c>
      <c r="D851" s="4" t="s">
        <v>5034</v>
      </c>
      <c r="E851" s="4" t="s">
        <v>126</v>
      </c>
      <c r="F851" s="4" t="s">
        <v>18</v>
      </c>
      <c r="G851" s="4" t="s">
        <v>41</v>
      </c>
      <c r="H851" s="4"/>
      <c r="I851" s="4" t="s">
        <v>10</v>
      </c>
      <c r="J851" s="17" t="s">
        <v>3290</v>
      </c>
      <c r="K851" s="16">
        <v>84.411658475716209</v>
      </c>
      <c r="L851" s="16">
        <v>64.098146812696797</v>
      </c>
      <c r="M851" s="16">
        <v>92.627558673788741</v>
      </c>
      <c r="N851" s="16">
        <v>70.67130463573497</v>
      </c>
      <c r="O851" s="16">
        <v>35.637746680932544</v>
      </c>
      <c r="P851" s="16">
        <v>4.1895973992606583</v>
      </c>
      <c r="Q851" s="16">
        <v>57.261158264946864</v>
      </c>
    </row>
    <row r="852" spans="1:18" ht="12.75" x14ac:dyDescent="0.2">
      <c r="A852" s="4" t="s">
        <v>98</v>
      </c>
      <c r="B852" s="4" t="s">
        <v>110</v>
      </c>
      <c r="C852" s="4" t="s">
        <v>5035</v>
      </c>
      <c r="D852" s="4" t="s">
        <v>5036</v>
      </c>
      <c r="E852" s="4" t="s">
        <v>87</v>
      </c>
      <c r="F852" s="4" t="s">
        <v>18</v>
      </c>
      <c r="G852" s="4" t="s">
        <v>41</v>
      </c>
      <c r="H852" s="4" t="s">
        <v>10</v>
      </c>
      <c r="I852" s="4" t="s">
        <v>10</v>
      </c>
      <c r="J852" s="17" t="s">
        <v>3290</v>
      </c>
      <c r="K852" s="16">
        <v>39.5145083063329</v>
      </c>
      <c r="L852" s="16">
        <v>3.6988313747775114</v>
      </c>
      <c r="M852" s="16">
        <v>57.591965387539901</v>
      </c>
      <c r="N852" s="16">
        <v>14.380794840655531</v>
      </c>
      <c r="O852" s="16">
        <v>5.9085278107461008</v>
      </c>
      <c r="P852" s="16">
        <v>87.449772110111979</v>
      </c>
      <c r="Q852" s="16">
        <v>13.907110655509069</v>
      </c>
    </row>
    <row r="853" spans="1:18" ht="14.25" customHeight="1" x14ac:dyDescent="0.2">
      <c r="A853" s="4" t="s">
        <v>7</v>
      </c>
      <c r="B853" s="4" t="s">
        <v>8</v>
      </c>
      <c r="C853" s="4" t="s">
        <v>5037</v>
      </c>
      <c r="D853" s="4" t="s">
        <v>5038</v>
      </c>
      <c r="E853" s="4" t="s">
        <v>126</v>
      </c>
      <c r="F853" s="4" t="s">
        <v>25</v>
      </c>
      <c r="G853" s="4" t="s">
        <v>61</v>
      </c>
      <c r="I853" s="4" t="s">
        <v>10</v>
      </c>
      <c r="J853" s="17" t="s">
        <v>3290</v>
      </c>
      <c r="K853" s="16">
        <v>36.781380371786533</v>
      </c>
      <c r="L853" s="16">
        <v>71.894902620130068</v>
      </c>
      <c r="M853" s="16">
        <v>33.260258780910412</v>
      </c>
      <c r="N853" s="16">
        <v>85.834087930336935</v>
      </c>
      <c r="O853" s="16">
        <v>49.359623125003402</v>
      </c>
      <c r="P853" s="16">
        <v>93.283348737455924</v>
      </c>
      <c r="Q853" s="16">
        <v>54.327089527153802</v>
      </c>
    </row>
    <row r="854" spans="1:18" ht="12.75" x14ac:dyDescent="0.2">
      <c r="A854" s="4" t="s">
        <v>98</v>
      </c>
      <c r="B854" s="4" t="s">
        <v>107</v>
      </c>
      <c r="C854" s="4" t="s">
        <v>5039</v>
      </c>
      <c r="D854" s="4" t="s">
        <v>5040</v>
      </c>
      <c r="E854" s="4" t="s">
        <v>108</v>
      </c>
      <c r="F854" s="4" t="s">
        <v>18</v>
      </c>
      <c r="G854" s="4" t="s">
        <v>12</v>
      </c>
      <c r="I854" s="4" t="s">
        <v>10</v>
      </c>
      <c r="J854" s="17" t="s">
        <v>3290</v>
      </c>
      <c r="K854" s="16">
        <v>50.007155499156532</v>
      </c>
      <c r="L854" s="16">
        <v>62.257196600810346</v>
      </c>
      <c r="M854" s="16">
        <v>27.775367208497993</v>
      </c>
      <c r="N854" s="16">
        <v>56.584866181752346</v>
      </c>
      <c r="O854" s="16">
        <v>55.232625259831217</v>
      </c>
      <c r="P854" s="16">
        <v>59.986637733113504</v>
      </c>
      <c r="Q854" s="16">
        <v>6.0946327205945057</v>
      </c>
    </row>
    <row r="855" spans="1:18" ht="12.75" x14ac:dyDescent="0.2">
      <c r="A855" s="4" t="s">
        <v>64</v>
      </c>
      <c r="B855" s="4" t="s">
        <v>95</v>
      </c>
      <c r="C855" s="4" t="s">
        <v>5041</v>
      </c>
      <c r="D855" s="4" t="s">
        <v>5042</v>
      </c>
      <c r="E855" s="4" t="s">
        <v>126</v>
      </c>
      <c r="F855" s="4" t="s">
        <v>18</v>
      </c>
      <c r="G855" s="4" t="s">
        <v>41</v>
      </c>
      <c r="H855" s="4"/>
      <c r="I855" s="4" t="s">
        <v>10</v>
      </c>
      <c r="J855" s="17" t="s">
        <v>3290</v>
      </c>
      <c r="K855" s="16">
        <v>72.442112910899752</v>
      </c>
      <c r="L855" s="16">
        <v>31.553869432487712</v>
      </c>
      <c r="M855" s="16">
        <v>90.003868135143506</v>
      </c>
      <c r="N855" s="16">
        <v>78.44061285377343</v>
      </c>
      <c r="O855" s="16">
        <v>35.479358278305043</v>
      </c>
      <c r="P855" s="16">
        <v>7.2578695319504778</v>
      </c>
      <c r="Q855" s="16">
        <v>84.923191104164772</v>
      </c>
    </row>
    <row r="856" spans="1:18" ht="12.75" x14ac:dyDescent="0.2">
      <c r="A856" s="4" t="s">
        <v>64</v>
      </c>
      <c r="B856" s="4" t="s">
        <v>95</v>
      </c>
      <c r="C856" s="4" t="s">
        <v>5043</v>
      </c>
      <c r="D856" s="4" t="s">
        <v>5044</v>
      </c>
      <c r="E856" s="4" t="s">
        <v>126</v>
      </c>
      <c r="F856" s="4" t="s">
        <v>18</v>
      </c>
      <c r="G856" s="4" t="s">
        <v>41</v>
      </c>
      <c r="H856" s="4"/>
      <c r="I856" s="4" t="s">
        <v>10</v>
      </c>
      <c r="J856" s="17" t="s">
        <v>3290</v>
      </c>
      <c r="K856" s="16">
        <v>90.126731962385875</v>
      </c>
      <c r="L856" s="16">
        <v>56.98141785258273</v>
      </c>
      <c r="M856" s="16">
        <v>62.24992031664803</v>
      </c>
      <c r="N856" s="16">
        <v>54.23870199586338</v>
      </c>
      <c r="O856" s="16">
        <v>37.872502929138221</v>
      </c>
      <c r="P856" s="16">
        <v>5.4430956663629519</v>
      </c>
      <c r="Q856" s="16">
        <v>62.886943789047336</v>
      </c>
    </row>
    <row r="857" spans="1:18" ht="12.75" x14ac:dyDescent="0.2">
      <c r="A857" s="4" t="s">
        <v>64</v>
      </c>
      <c r="B857" s="4" t="s">
        <v>95</v>
      </c>
      <c r="C857" s="4" t="s">
        <v>5045</v>
      </c>
      <c r="D857" s="4" t="s">
        <v>5046</v>
      </c>
      <c r="E857" s="4" t="s">
        <v>126</v>
      </c>
      <c r="F857" s="4" t="s">
        <v>18</v>
      </c>
      <c r="G857" s="4" t="s">
        <v>41</v>
      </c>
      <c r="H857" s="4"/>
      <c r="I857" s="4" t="s">
        <v>10</v>
      </c>
      <c r="J857" s="17" t="s">
        <v>3290</v>
      </c>
      <c r="K857" s="16">
        <v>15.833321986505666</v>
      </c>
      <c r="L857" s="16">
        <v>59.67492718089693</v>
      </c>
      <c r="M857" s="16">
        <v>7.8579363264777546</v>
      </c>
      <c r="N857" s="16">
        <v>54.05442724184816</v>
      </c>
      <c r="O857" s="16">
        <v>22.744584098165276</v>
      </c>
      <c r="P857" s="16">
        <v>52.74220258087734</v>
      </c>
      <c r="Q857" s="16">
        <v>49.619330271699091</v>
      </c>
    </row>
    <row r="858" spans="1:18" ht="12.75" x14ac:dyDescent="0.2">
      <c r="A858" s="4" t="s">
        <v>115</v>
      </c>
      <c r="B858" s="4" t="s">
        <v>116</v>
      </c>
      <c r="C858" s="4" t="s">
        <v>5047</v>
      </c>
      <c r="D858" s="4" t="s">
        <v>5048</v>
      </c>
      <c r="E858" s="4" t="s">
        <v>126</v>
      </c>
      <c r="F858" s="4" t="s">
        <v>18</v>
      </c>
      <c r="G858" s="4" t="s">
        <v>61</v>
      </c>
      <c r="H858" s="4"/>
      <c r="I858" s="4" t="s">
        <v>10</v>
      </c>
      <c r="J858" s="17" t="s">
        <v>3290</v>
      </c>
      <c r="K858" s="16">
        <v>8.7711643092638134</v>
      </c>
      <c r="L858" s="16">
        <v>20.775747549454749</v>
      </c>
      <c r="M858" s="16">
        <v>2.9966008997499571</v>
      </c>
      <c r="N858" s="16">
        <v>58.189633807914809</v>
      </c>
      <c r="O858" s="16">
        <v>62.268909668972952</v>
      </c>
      <c r="P858" s="16">
        <v>58.812823575234482</v>
      </c>
      <c r="Q858" s="16">
        <v>29.132930239591492</v>
      </c>
    </row>
    <row r="859" spans="1:18" ht="12.75" x14ac:dyDescent="0.2">
      <c r="A859" s="4" t="s">
        <v>115</v>
      </c>
      <c r="B859" s="4" t="s">
        <v>122</v>
      </c>
      <c r="C859" s="4" t="s">
        <v>5049</v>
      </c>
      <c r="D859" s="4" t="s">
        <v>5050</v>
      </c>
      <c r="E859" s="4" t="s">
        <v>108</v>
      </c>
      <c r="F859" s="4" t="s">
        <v>32</v>
      </c>
      <c r="G859" s="4" t="s">
        <v>61</v>
      </c>
      <c r="H859" s="4"/>
      <c r="I859" s="4" t="s">
        <v>10</v>
      </c>
      <c r="J859" s="17" t="s">
        <v>3290</v>
      </c>
      <c r="K859" s="16">
        <v>22.107324716076359</v>
      </c>
      <c r="L859" s="16">
        <v>64.688378653767032</v>
      </c>
      <c r="M859" s="16">
        <v>44.517079087603683</v>
      </c>
      <c r="N859" s="16">
        <v>51.769787611087089</v>
      </c>
      <c r="O859" s="16">
        <v>41.440873913296016</v>
      </c>
      <c r="P859" s="16">
        <v>89.833928388080054</v>
      </c>
      <c r="Q859" s="16">
        <v>59.782919020842307</v>
      </c>
    </row>
    <row r="860" spans="1:18" ht="12.75" x14ac:dyDescent="0.2">
      <c r="A860" s="4" t="s">
        <v>136</v>
      </c>
      <c r="B860" s="4" t="s">
        <v>137</v>
      </c>
      <c r="C860" s="4" t="s">
        <v>5051</v>
      </c>
      <c r="D860" s="4" t="s">
        <v>5052</v>
      </c>
      <c r="E860" s="4" t="s">
        <v>108</v>
      </c>
      <c r="F860" s="4" t="s">
        <v>25</v>
      </c>
      <c r="G860" s="4"/>
      <c r="H860" s="4" t="s">
        <v>3289</v>
      </c>
      <c r="I860" s="4" t="s">
        <v>10</v>
      </c>
      <c r="J860" s="17" t="s">
        <v>3290</v>
      </c>
      <c r="K860" s="16">
        <v>6.3922719315946397</v>
      </c>
      <c r="L860" s="16">
        <v>56.073338507176885</v>
      </c>
      <c r="M860" s="16">
        <v>14.836871846459587</v>
      </c>
      <c r="N860" s="16">
        <v>77.489628523466806</v>
      </c>
      <c r="O860" s="16">
        <v>52.104934374299006</v>
      </c>
      <c r="P860" s="16">
        <v>42.512739678996134</v>
      </c>
      <c r="Q860" s="16">
        <v>5.4446035249300468</v>
      </c>
    </row>
    <row r="861" spans="1:18" ht="12.75" x14ac:dyDescent="0.2">
      <c r="A861" s="4" t="s">
        <v>64</v>
      </c>
      <c r="B861" s="4" t="s">
        <v>86</v>
      </c>
      <c r="C861" s="4" t="s">
        <v>5053</v>
      </c>
      <c r="D861" s="4" t="s">
        <v>5054</v>
      </c>
      <c r="E861" s="4" t="s">
        <v>87</v>
      </c>
      <c r="F861" s="4" t="s">
        <v>18</v>
      </c>
      <c r="G861" s="4" t="s">
        <v>72</v>
      </c>
      <c r="I861" s="4" t="s">
        <v>10</v>
      </c>
      <c r="J861" s="17" t="s">
        <v>3290</v>
      </c>
      <c r="K861" s="16">
        <v>19.719848467166866</v>
      </c>
      <c r="L861" s="16">
        <v>94.772032917309332</v>
      </c>
      <c r="M861" s="16">
        <v>20.29010963905673</v>
      </c>
      <c r="N861" s="16">
        <v>0.59374562846171708</v>
      </c>
      <c r="O861" s="16">
        <v>83.450169857328675</v>
      </c>
      <c r="P861" s="16">
        <v>2.8957314887349095</v>
      </c>
      <c r="Q861" s="16">
        <v>61.811195775635731</v>
      </c>
    </row>
    <row r="862" spans="1:18" ht="12.75" x14ac:dyDescent="0.2">
      <c r="A862" s="4" t="s">
        <v>98</v>
      </c>
      <c r="B862" s="4" t="s">
        <v>113</v>
      </c>
      <c r="C862" s="4" t="s">
        <v>5055</v>
      </c>
      <c r="D862" s="4" t="s">
        <v>5056</v>
      </c>
      <c r="E862" s="4" t="s">
        <v>129</v>
      </c>
      <c r="F862" s="4" t="s">
        <v>18</v>
      </c>
      <c r="G862" s="4" t="s">
        <v>61</v>
      </c>
      <c r="H862" s="4"/>
      <c r="I862" s="4" t="s">
        <v>10</v>
      </c>
      <c r="J862" s="17" t="s">
        <v>3290</v>
      </c>
      <c r="K862" s="16">
        <v>8.1545582492154711</v>
      </c>
      <c r="L862" s="16">
        <v>87.553499219058779</v>
      </c>
      <c r="M862" s="16">
        <v>7.9564020036232979</v>
      </c>
      <c r="N862" s="16">
        <v>10.106083420343992</v>
      </c>
      <c r="O862" s="16">
        <v>8.8815348540278727</v>
      </c>
      <c r="P862" s="16">
        <v>30.497397163220718</v>
      </c>
      <c r="Q862" s="16">
        <v>52.81810194590274</v>
      </c>
    </row>
    <row r="863" spans="1:18" ht="12.75" x14ac:dyDescent="0.2">
      <c r="A863" s="4" t="s">
        <v>64</v>
      </c>
      <c r="B863" s="4" t="s">
        <v>86</v>
      </c>
      <c r="C863" s="4" t="s">
        <v>5057</v>
      </c>
      <c r="D863" s="4" t="s">
        <v>5058</v>
      </c>
      <c r="E863" s="4" t="s">
        <v>87</v>
      </c>
      <c r="F863" s="4" t="s">
        <v>18</v>
      </c>
      <c r="G863" s="4" t="s">
        <v>41</v>
      </c>
      <c r="I863" s="4" t="s">
        <v>10</v>
      </c>
      <c r="J863" s="17" t="s">
        <v>3290</v>
      </c>
      <c r="K863" s="16">
        <v>58.853708584489162</v>
      </c>
      <c r="L863" s="16">
        <v>69.034244103222804</v>
      </c>
      <c r="M863" s="16">
        <v>92.805253807205261</v>
      </c>
      <c r="N863" s="16">
        <v>72.097021602992697</v>
      </c>
      <c r="O863" s="16">
        <v>83.808657582885999</v>
      </c>
      <c r="P863" s="16">
        <v>42.588055882257478</v>
      </c>
      <c r="Q863" s="16">
        <v>38.635376621604799</v>
      </c>
    </row>
    <row r="864" spans="1:18" ht="12.75" x14ac:dyDescent="0.2">
      <c r="A864" s="4" t="s">
        <v>98</v>
      </c>
      <c r="B864" s="4" t="s">
        <v>113</v>
      </c>
      <c r="C864" s="4" t="s">
        <v>5059</v>
      </c>
      <c r="D864" s="4" t="s">
        <v>5060</v>
      </c>
      <c r="E864" s="4" t="s">
        <v>129</v>
      </c>
      <c r="F864" s="4" t="s">
        <v>18</v>
      </c>
      <c r="G864" s="4" t="s">
        <v>61</v>
      </c>
      <c r="H864" s="4"/>
      <c r="I864" s="4" t="s">
        <v>10</v>
      </c>
      <c r="J864" s="17" t="s">
        <v>3290</v>
      </c>
      <c r="K864" s="16">
        <v>41.751384650493073</v>
      </c>
      <c r="L864" s="16">
        <v>28.053699954414867</v>
      </c>
      <c r="M864" s="16">
        <v>74.80337995143212</v>
      </c>
      <c r="N864" s="16">
        <v>39.355372051503991</v>
      </c>
      <c r="O864" s="16">
        <v>29.824240711537662</v>
      </c>
      <c r="P864" s="16">
        <v>65.794184660790833</v>
      </c>
      <c r="Q864" s="16">
        <v>86.158688715507168</v>
      </c>
    </row>
    <row r="865" spans="1:17" ht="12.75" x14ac:dyDescent="0.2">
      <c r="A865" s="4" t="s">
        <v>98</v>
      </c>
      <c r="B865" s="4" t="s">
        <v>107</v>
      </c>
      <c r="C865" s="4" t="s">
        <v>5061</v>
      </c>
      <c r="D865" s="4" t="s">
        <v>5062</v>
      </c>
      <c r="E865" s="4" t="s">
        <v>87</v>
      </c>
      <c r="F865" s="4" t="s">
        <v>25</v>
      </c>
      <c r="G865" s="4" t="s">
        <v>41</v>
      </c>
      <c r="I865" s="4" t="s">
        <v>10</v>
      </c>
      <c r="J865" s="17" t="s">
        <v>3290</v>
      </c>
      <c r="K865" s="16">
        <v>6.1915367008775863</v>
      </c>
      <c r="L865" s="16">
        <v>56.994019588383281</v>
      </c>
      <c r="M865" s="16">
        <v>74.471802559575963</v>
      </c>
      <c r="N865" s="16">
        <v>68.608695222831116</v>
      </c>
      <c r="O865" s="16">
        <v>94.213130429222034</v>
      </c>
      <c r="P865" s="16">
        <v>18.696714892363108</v>
      </c>
      <c r="Q865" s="16">
        <v>74.730224854779266</v>
      </c>
    </row>
    <row r="866" spans="1:17" ht="12.75" x14ac:dyDescent="0.2">
      <c r="A866" s="4" t="s">
        <v>136</v>
      </c>
      <c r="B866" s="4" t="s">
        <v>137</v>
      </c>
      <c r="C866" s="4" t="s">
        <v>5063</v>
      </c>
      <c r="D866" s="4" t="s">
        <v>5064</v>
      </c>
      <c r="E866" s="4" t="s">
        <v>108</v>
      </c>
      <c r="F866" s="4" t="s">
        <v>32</v>
      </c>
      <c r="G866" s="4"/>
      <c r="H866" s="4" t="s">
        <v>3995</v>
      </c>
      <c r="I866" s="4" t="s">
        <v>10</v>
      </c>
      <c r="J866" s="17" t="s">
        <v>3290</v>
      </c>
      <c r="K866" s="16">
        <v>44.814681250739305</v>
      </c>
      <c r="L866" s="16">
        <v>15.492425853367408</v>
      </c>
      <c r="M866" s="16">
        <v>82.210251834185328</v>
      </c>
      <c r="N866" s="16">
        <v>13.940786871608356</v>
      </c>
      <c r="O866" s="16">
        <v>77.945885153504605</v>
      </c>
      <c r="P866" s="16">
        <v>6.1104909049035534</v>
      </c>
      <c r="Q866" s="16">
        <v>19.105430409266354</v>
      </c>
    </row>
    <row r="867" spans="1:17" ht="12.75" x14ac:dyDescent="0.2">
      <c r="A867" s="4" t="s">
        <v>98</v>
      </c>
      <c r="B867" s="4" t="s">
        <v>99</v>
      </c>
      <c r="C867" s="4" t="s">
        <v>5065</v>
      </c>
      <c r="D867" s="4" t="s">
        <v>5066</v>
      </c>
      <c r="E867" s="4" t="s">
        <v>129</v>
      </c>
      <c r="F867" s="4" t="s">
        <v>18</v>
      </c>
      <c r="G867" s="4" t="s">
        <v>61</v>
      </c>
      <c r="H867" s="4"/>
      <c r="I867" s="4" t="s">
        <v>10</v>
      </c>
      <c r="J867" s="17" t="s">
        <v>3290</v>
      </c>
      <c r="K867" s="16">
        <v>90.81777837054841</v>
      </c>
      <c r="L867" s="16">
        <v>36.39206370946475</v>
      </c>
      <c r="M867" s="16">
        <v>4.6324773078290189</v>
      </c>
      <c r="N867" s="16">
        <v>51.440021987674299</v>
      </c>
      <c r="O867" s="16">
        <v>36.72928971373689</v>
      </c>
      <c r="P867" s="16">
        <v>39.123003317726869</v>
      </c>
      <c r="Q867" s="16">
        <v>19.147849965048035</v>
      </c>
    </row>
    <row r="868" spans="1:17" ht="12.75" x14ac:dyDescent="0.2">
      <c r="A868" s="4" t="s">
        <v>98</v>
      </c>
      <c r="B868" s="4" t="s">
        <v>99</v>
      </c>
      <c r="C868" s="4" t="s">
        <v>5067</v>
      </c>
      <c r="D868" s="4" t="s">
        <v>5068</v>
      </c>
      <c r="E868" s="4" t="s">
        <v>129</v>
      </c>
      <c r="F868" s="4" t="s">
        <v>18</v>
      </c>
      <c r="G868" s="4" t="s">
        <v>61</v>
      </c>
      <c r="H868" s="4"/>
      <c r="I868" s="4" t="s">
        <v>10</v>
      </c>
      <c r="J868" s="17" t="s">
        <v>3290</v>
      </c>
      <c r="K868" s="16">
        <v>91.207114382509772</v>
      </c>
      <c r="L868" s="16">
        <v>11.142004687406537</v>
      </c>
      <c r="M868" s="16">
        <v>73.659604917402277</v>
      </c>
      <c r="N868" s="16">
        <v>15.038946484757087</v>
      </c>
      <c r="O868" s="16">
        <v>49.647131441720575</v>
      </c>
      <c r="P868" s="16">
        <v>1.7816963764397342</v>
      </c>
      <c r="Q868" s="16">
        <v>2.8586245164804791</v>
      </c>
    </row>
    <row r="869" spans="1:17" ht="12.75" x14ac:dyDescent="0.2">
      <c r="A869" s="4" t="s">
        <v>98</v>
      </c>
      <c r="B869" s="4" t="s">
        <v>113</v>
      </c>
      <c r="C869" s="4" t="s">
        <v>5069</v>
      </c>
      <c r="D869" s="4" t="s">
        <v>5070</v>
      </c>
      <c r="E869" s="4" t="s">
        <v>126</v>
      </c>
      <c r="F869" s="4" t="s">
        <v>18</v>
      </c>
      <c r="G869" s="4" t="s">
        <v>12</v>
      </c>
      <c r="H869" s="4"/>
      <c r="I869" s="4" t="s">
        <v>10</v>
      </c>
      <c r="J869" s="17" t="s">
        <v>3290</v>
      </c>
      <c r="K869" s="16">
        <v>6.2380941268466934</v>
      </c>
      <c r="L869" s="16">
        <v>33.06699616310884</v>
      </c>
      <c r="M869" s="16">
        <v>90.318739259438956</v>
      </c>
      <c r="N869" s="16">
        <v>37.725926266843992</v>
      </c>
      <c r="O869" s="16">
        <v>30.093990345188416</v>
      </c>
      <c r="P869" s="16">
        <v>21.550334039512297</v>
      </c>
      <c r="Q869" s="16">
        <v>0.28446951763535511</v>
      </c>
    </row>
    <row r="870" spans="1:17" ht="12.75" x14ac:dyDescent="0.2">
      <c r="A870" s="4" t="s">
        <v>7</v>
      </c>
      <c r="B870" s="4" t="s">
        <v>30</v>
      </c>
      <c r="C870" s="4" t="s">
        <v>5071</v>
      </c>
      <c r="D870" s="4" t="s">
        <v>5072</v>
      </c>
      <c r="E870" s="4" t="s">
        <v>129</v>
      </c>
      <c r="F870" s="4" t="s">
        <v>18</v>
      </c>
      <c r="G870" s="4" t="s">
        <v>72</v>
      </c>
      <c r="H870" s="4" t="s">
        <v>4281</v>
      </c>
      <c r="I870" s="4" t="s">
        <v>10</v>
      </c>
      <c r="J870" s="17" t="s">
        <v>3290</v>
      </c>
      <c r="K870" s="16">
        <v>79.541806072026276</v>
      </c>
      <c r="L870" s="16">
        <v>60.977029470475209</v>
      </c>
      <c r="M870" s="16">
        <v>7.7732494615298737</v>
      </c>
      <c r="N870" s="16">
        <v>48.812700513630524</v>
      </c>
      <c r="O870" s="16">
        <v>14.512444267102154</v>
      </c>
      <c r="P870" s="16">
        <v>16.075688754541162</v>
      </c>
      <c r="Q870" s="16">
        <v>42.622278384460486</v>
      </c>
    </row>
    <row r="871" spans="1:17" ht="12.75" x14ac:dyDescent="0.2">
      <c r="A871" s="4" t="s">
        <v>7</v>
      </c>
      <c r="B871" s="4" t="s">
        <v>30</v>
      </c>
      <c r="C871" s="4" t="s">
        <v>5073</v>
      </c>
      <c r="D871" s="4" t="s">
        <v>5074</v>
      </c>
      <c r="E871" s="4" t="s">
        <v>129</v>
      </c>
      <c r="F871" s="4" t="s">
        <v>18</v>
      </c>
      <c r="G871" s="4" t="s">
        <v>72</v>
      </c>
      <c r="H871" s="4" t="s">
        <v>4281</v>
      </c>
      <c r="I871" s="4" t="s">
        <v>10</v>
      </c>
      <c r="J871" s="17" t="s">
        <v>3290</v>
      </c>
      <c r="K871" s="16">
        <v>33.190923911390549</v>
      </c>
      <c r="L871" s="16">
        <v>91.626487957986598</v>
      </c>
      <c r="M871" s="16">
        <v>66.173260406090023</v>
      </c>
      <c r="N871" s="16">
        <v>93.191289315166088</v>
      </c>
      <c r="O871" s="16">
        <v>1.2613475155694553</v>
      </c>
      <c r="P871" s="16">
        <v>19.633903168196721</v>
      </c>
      <c r="Q871" s="16">
        <v>69.093254929104603</v>
      </c>
    </row>
    <row r="872" spans="1:17" ht="12.75" x14ac:dyDescent="0.2">
      <c r="A872" s="4" t="s">
        <v>7</v>
      </c>
      <c r="B872" s="4" t="s">
        <v>30</v>
      </c>
      <c r="C872" s="4" t="s">
        <v>5075</v>
      </c>
      <c r="D872" s="4" t="s">
        <v>5076</v>
      </c>
      <c r="E872" s="4" t="s">
        <v>129</v>
      </c>
      <c r="F872" s="4" t="s">
        <v>18</v>
      </c>
      <c r="G872" s="4" t="s">
        <v>72</v>
      </c>
      <c r="H872" s="4" t="s">
        <v>5077</v>
      </c>
      <c r="I872" s="4" t="s">
        <v>10</v>
      </c>
      <c r="J872" s="17" t="s">
        <v>3290</v>
      </c>
      <c r="K872" s="16">
        <v>92.225622756017501</v>
      </c>
      <c r="L872" s="16">
        <v>34.827866776229534</v>
      </c>
      <c r="M872" s="16">
        <v>36.664306135461274</v>
      </c>
      <c r="N872" s="16">
        <v>87.912567381173176</v>
      </c>
      <c r="O872" s="16">
        <v>89.39547292821436</v>
      </c>
      <c r="P872" s="16">
        <v>58.74951112180301</v>
      </c>
      <c r="Q872" s="16">
        <v>82.351300350153082</v>
      </c>
    </row>
    <row r="873" spans="1:17" ht="12.75" x14ac:dyDescent="0.2">
      <c r="A873" s="4" t="s">
        <v>98</v>
      </c>
      <c r="B873" s="4" t="s">
        <v>105</v>
      </c>
      <c r="C873" s="4" t="s">
        <v>5078</v>
      </c>
      <c r="D873" s="4" t="s">
        <v>5079</v>
      </c>
      <c r="E873" s="4" t="s">
        <v>83</v>
      </c>
      <c r="F873" s="4" t="s">
        <v>25</v>
      </c>
      <c r="G873" s="4" t="s">
        <v>61</v>
      </c>
      <c r="H873" s="4"/>
      <c r="I873" s="4" t="s">
        <v>10</v>
      </c>
      <c r="J873" s="17" t="s">
        <v>3290</v>
      </c>
      <c r="K873" s="16">
        <v>42.189087137598648</v>
      </c>
      <c r="L873" s="16">
        <v>81.09385618447709</v>
      </c>
      <c r="M873" s="16">
        <v>23.652508156163776</v>
      </c>
      <c r="N873" s="16">
        <v>63.768475703818837</v>
      </c>
      <c r="O873" s="16">
        <v>12.567636098621692</v>
      </c>
      <c r="P873" s="16">
        <v>50.488245994836724</v>
      </c>
      <c r="Q873" s="16">
        <v>8.7484202028660363</v>
      </c>
    </row>
    <row r="874" spans="1:17" ht="12.75" x14ac:dyDescent="0.2">
      <c r="A874" s="4" t="s">
        <v>98</v>
      </c>
      <c r="B874" s="4" t="s">
        <v>110</v>
      </c>
      <c r="C874" s="4" t="s">
        <v>5080</v>
      </c>
      <c r="D874" s="4" t="s">
        <v>5081</v>
      </c>
      <c r="E874" s="4" t="s">
        <v>106</v>
      </c>
      <c r="F874" s="4" t="s">
        <v>18</v>
      </c>
      <c r="G874" s="4" t="s">
        <v>26</v>
      </c>
      <c r="H874" s="4" t="s">
        <v>10</v>
      </c>
      <c r="I874" s="4" t="s">
        <v>10</v>
      </c>
      <c r="J874" s="17" t="s">
        <v>3290</v>
      </c>
      <c r="K874" s="16">
        <v>44.421726621860991</v>
      </c>
      <c r="L874" s="16">
        <v>34.506569368004968</v>
      </c>
      <c r="M874" s="16">
        <v>25.134406980042769</v>
      </c>
      <c r="N874" s="16">
        <v>10.90455190230044</v>
      </c>
      <c r="O874" s="16">
        <v>45.988356686147092</v>
      </c>
      <c r="P874" s="16">
        <v>37.833095066633518</v>
      </c>
      <c r="Q874" s="16">
        <v>91.367622503104499</v>
      </c>
    </row>
    <row r="875" spans="1:17" ht="12.75" x14ac:dyDescent="0.2">
      <c r="A875" s="4" t="s">
        <v>37</v>
      </c>
      <c r="B875" s="4" t="s">
        <v>52</v>
      </c>
      <c r="C875" s="4" t="s">
        <v>5082</v>
      </c>
      <c r="D875" s="4" t="s">
        <v>5083</v>
      </c>
      <c r="E875" s="4" t="s">
        <v>53</v>
      </c>
      <c r="F875" s="4" t="s">
        <v>32</v>
      </c>
      <c r="G875" s="4" t="s">
        <v>41</v>
      </c>
      <c r="H875" s="4"/>
      <c r="I875" s="4" t="s">
        <v>47</v>
      </c>
      <c r="J875" s="17" t="s">
        <v>3290</v>
      </c>
      <c r="K875" s="16">
        <v>15.228944077366169</v>
      </c>
      <c r="L875" s="16">
        <v>46.339457207204063</v>
      </c>
      <c r="M875" s="16">
        <v>76.852952765693132</v>
      </c>
      <c r="N875" s="16">
        <v>15.360103090694954</v>
      </c>
      <c r="O875" s="16">
        <v>7.9921326677789839</v>
      </c>
      <c r="P875" s="16">
        <v>31.744482458047251</v>
      </c>
      <c r="Q875" s="16">
        <v>9.3800122033835702</v>
      </c>
    </row>
    <row r="876" spans="1:17" ht="12.75" x14ac:dyDescent="0.2">
      <c r="A876" s="4" t="s">
        <v>7</v>
      </c>
      <c r="B876" s="4" t="s">
        <v>8</v>
      </c>
      <c r="C876" s="4" t="s">
        <v>5084</v>
      </c>
      <c r="D876" s="4" t="s">
        <v>5085</v>
      </c>
      <c r="E876" s="4" t="s">
        <v>108</v>
      </c>
      <c r="F876" s="4" t="s">
        <v>32</v>
      </c>
      <c r="G876" s="4" t="s">
        <v>72</v>
      </c>
      <c r="I876" s="4" t="s">
        <v>10</v>
      </c>
      <c r="J876" s="17" t="s">
        <v>3290</v>
      </c>
      <c r="K876" s="16">
        <v>73.89174735989819</v>
      </c>
      <c r="L876" s="16">
        <v>27.822944603704236</v>
      </c>
      <c r="M876" s="16">
        <v>31.263343050595061</v>
      </c>
      <c r="N876" s="16">
        <v>58.13343939104211</v>
      </c>
      <c r="O876" s="16">
        <v>68.400868499257598</v>
      </c>
      <c r="P876" s="16">
        <v>24.022790321767772</v>
      </c>
      <c r="Q876" s="16">
        <v>23.772503185560232</v>
      </c>
    </row>
    <row r="877" spans="1:17" ht="12.75" x14ac:dyDescent="0.2">
      <c r="A877" s="4" t="s">
        <v>98</v>
      </c>
      <c r="B877" s="4" t="s">
        <v>107</v>
      </c>
      <c r="C877" s="4" t="s">
        <v>5086</v>
      </c>
      <c r="D877" s="4" t="s">
        <v>5087</v>
      </c>
      <c r="E877" s="4" t="s">
        <v>87</v>
      </c>
      <c r="F877" s="4" t="s">
        <v>18</v>
      </c>
      <c r="G877" s="4" t="s">
        <v>41</v>
      </c>
      <c r="I877" s="4" t="s">
        <v>10</v>
      </c>
      <c r="J877" s="17" t="s">
        <v>3290</v>
      </c>
      <c r="K877" s="16">
        <v>46.063464516669981</v>
      </c>
      <c r="L877" s="16">
        <v>41.198182608942972</v>
      </c>
      <c r="M877" s="16">
        <v>73.564634205920783</v>
      </c>
      <c r="N877" s="16">
        <v>58.567065346664393</v>
      </c>
      <c r="O877" s="16">
        <v>69.943033602238742</v>
      </c>
      <c r="P877" s="16">
        <v>8.0497868460271285</v>
      </c>
      <c r="Q877" s="16">
        <v>79.033433250662057</v>
      </c>
    </row>
    <row r="878" spans="1:17" ht="12.75" x14ac:dyDescent="0.2">
      <c r="A878" s="4" t="s">
        <v>98</v>
      </c>
      <c r="B878" s="4" t="s">
        <v>110</v>
      </c>
      <c r="C878" s="4" t="s">
        <v>5088</v>
      </c>
      <c r="D878" s="4" t="s">
        <v>5089</v>
      </c>
      <c r="E878" s="4" t="s">
        <v>129</v>
      </c>
      <c r="F878" s="4" t="s">
        <v>18</v>
      </c>
      <c r="G878" s="4" t="s">
        <v>61</v>
      </c>
      <c r="H878" s="4" t="s">
        <v>10</v>
      </c>
      <c r="I878" s="4" t="s">
        <v>10</v>
      </c>
      <c r="J878" s="17" t="s">
        <v>3290</v>
      </c>
      <c r="K878" s="16">
        <v>13.086642048129637</v>
      </c>
      <c r="L878" s="16">
        <v>35.413251131224989</v>
      </c>
      <c r="M878" s="16">
        <v>27.230476771694555</v>
      </c>
      <c r="N878" s="16">
        <v>79.363988875256766</v>
      </c>
      <c r="O878" s="16">
        <v>69.46615196076489</v>
      </c>
      <c r="P878" s="16">
        <v>37.994844705710243</v>
      </c>
      <c r="Q878" s="16">
        <v>26.187788624124074</v>
      </c>
    </row>
    <row r="879" spans="1:17" ht="12.75" x14ac:dyDescent="0.2">
      <c r="A879" s="4" t="s">
        <v>98</v>
      </c>
      <c r="B879" s="4" t="s">
        <v>110</v>
      </c>
      <c r="C879" s="4" t="s">
        <v>5090</v>
      </c>
      <c r="D879" s="4" t="s">
        <v>5091</v>
      </c>
      <c r="E879" s="4" t="s">
        <v>129</v>
      </c>
      <c r="F879" s="4" t="s">
        <v>32</v>
      </c>
      <c r="G879" s="4" t="s">
        <v>72</v>
      </c>
      <c r="H879" s="4"/>
      <c r="I879" s="4" t="s">
        <v>10</v>
      </c>
      <c r="J879" s="17" t="s">
        <v>3290</v>
      </c>
      <c r="K879" s="16">
        <v>17.638884393130272</v>
      </c>
      <c r="L879" s="16">
        <v>41.577055759602366</v>
      </c>
      <c r="M879" s="16">
        <v>8.3555973535547441</v>
      </c>
      <c r="N879" s="16">
        <v>95.858952258421297</v>
      </c>
      <c r="O879" s="16">
        <v>66.834664075279164</v>
      </c>
      <c r="P879" s="16">
        <v>93.683776766601866</v>
      </c>
      <c r="Q879" s="16">
        <v>35.622663412128972</v>
      </c>
    </row>
    <row r="880" spans="1:17" ht="12.75" x14ac:dyDescent="0.2">
      <c r="A880" s="4" t="s">
        <v>98</v>
      </c>
      <c r="B880" s="4" t="s">
        <v>113</v>
      </c>
      <c r="C880" s="4" t="s">
        <v>5092</v>
      </c>
      <c r="D880" s="4" t="s">
        <v>5093</v>
      </c>
      <c r="E880" s="4" t="s">
        <v>87</v>
      </c>
      <c r="F880" s="4" t="s">
        <v>18</v>
      </c>
      <c r="G880" s="4" t="s">
        <v>41</v>
      </c>
      <c r="H880" s="4"/>
      <c r="I880" s="4" t="s">
        <v>10</v>
      </c>
      <c r="J880" s="17" t="s">
        <v>3290</v>
      </c>
      <c r="K880" s="16">
        <v>61.549453837307112</v>
      </c>
      <c r="L880" s="16">
        <v>0.56664682075300288</v>
      </c>
      <c r="M880" s="16">
        <v>91.79246407337628</v>
      </c>
      <c r="N880" s="16">
        <v>99.766548013388828</v>
      </c>
      <c r="O880" s="16">
        <v>25.231832194806014</v>
      </c>
      <c r="P880" s="16">
        <v>98.650276078909855</v>
      </c>
      <c r="Q880" s="16">
        <v>53.023160103778309</v>
      </c>
    </row>
    <row r="881" spans="1:17" ht="12.75" x14ac:dyDescent="0.2">
      <c r="A881" s="4" t="s">
        <v>98</v>
      </c>
      <c r="B881" s="4" t="s">
        <v>105</v>
      </c>
      <c r="C881" s="4" t="s">
        <v>5094</v>
      </c>
      <c r="D881" s="4" t="s">
        <v>5095</v>
      </c>
      <c r="E881" s="4" t="s">
        <v>83</v>
      </c>
      <c r="F881" s="4" t="s">
        <v>25</v>
      </c>
      <c r="G881" s="4" t="s">
        <v>41</v>
      </c>
      <c r="H881" s="4"/>
      <c r="I881" s="4" t="s">
        <v>10</v>
      </c>
      <c r="J881" s="17" t="s">
        <v>3290</v>
      </c>
      <c r="K881" s="16">
        <v>45.089899234255547</v>
      </c>
      <c r="L881" s="16">
        <v>31.98060309933841</v>
      </c>
      <c r="M881" s="16">
        <v>34.102930338691394</v>
      </c>
      <c r="N881" s="16">
        <v>40.987347475130242</v>
      </c>
      <c r="O881" s="16">
        <v>99.041924473156243</v>
      </c>
      <c r="P881" s="16">
        <v>81.630184733076462</v>
      </c>
      <c r="Q881" s="16">
        <v>90.063925891248758</v>
      </c>
    </row>
    <row r="882" spans="1:17" ht="12.75" x14ac:dyDescent="0.2">
      <c r="A882" s="4" t="s">
        <v>64</v>
      </c>
      <c r="B882" s="4" t="s">
        <v>82</v>
      </c>
      <c r="C882" s="4" t="s">
        <v>5096</v>
      </c>
      <c r="D882" s="4" t="s">
        <v>5097</v>
      </c>
      <c r="E882" s="4" t="s">
        <v>9</v>
      </c>
      <c r="F882" s="4" t="s">
        <v>18</v>
      </c>
      <c r="G882" s="4" t="s">
        <v>3280</v>
      </c>
      <c r="H882" s="4"/>
      <c r="I882" s="4" t="s">
        <v>10</v>
      </c>
      <c r="J882" s="17" t="s">
        <v>3290</v>
      </c>
      <c r="K882" s="16">
        <v>81.176565072639008</v>
      </c>
      <c r="L882" s="16">
        <v>76.821740858917366</v>
      </c>
      <c r="M882" s="16">
        <v>72.349173857275147</v>
      </c>
      <c r="N882" s="16">
        <v>72.620003463792756</v>
      </c>
      <c r="O882" s="16">
        <v>94.142135798794826</v>
      </c>
      <c r="P882" s="16">
        <v>34.093747007106401</v>
      </c>
      <c r="Q882" s="16">
        <v>87.068532110169713</v>
      </c>
    </row>
    <row r="883" spans="1:17" ht="12.75" x14ac:dyDescent="0.2">
      <c r="A883" s="4" t="s">
        <v>98</v>
      </c>
      <c r="B883" s="4" t="s">
        <v>110</v>
      </c>
      <c r="C883" s="4" t="s">
        <v>5098</v>
      </c>
      <c r="D883" s="4" t="s">
        <v>5099</v>
      </c>
      <c r="E883" s="4" t="s">
        <v>106</v>
      </c>
      <c r="F883" s="4" t="s">
        <v>18</v>
      </c>
      <c r="G883" s="4" t="s">
        <v>26</v>
      </c>
      <c r="H883" s="4" t="s">
        <v>10</v>
      </c>
      <c r="I883" s="4" t="s">
        <v>10</v>
      </c>
      <c r="J883" s="17" t="s">
        <v>3290</v>
      </c>
      <c r="K883" s="16">
        <v>20.985835201604353</v>
      </c>
      <c r="L883" s="16">
        <v>83.698989658691175</v>
      </c>
      <c r="M883" s="16">
        <v>10.445861343378715</v>
      </c>
      <c r="N883" s="16">
        <v>74.529890609379805</v>
      </c>
      <c r="O883" s="16">
        <v>30.780442737150171</v>
      </c>
      <c r="P883" s="16">
        <v>73.190160290458635</v>
      </c>
      <c r="Q883" s="16">
        <v>5.2826419247630652</v>
      </c>
    </row>
    <row r="884" spans="1:17" ht="12.75" x14ac:dyDescent="0.2">
      <c r="A884" s="4" t="s">
        <v>98</v>
      </c>
      <c r="B884" s="4" t="s">
        <v>113</v>
      </c>
      <c r="C884" s="4" t="s">
        <v>5100</v>
      </c>
      <c r="D884" s="4" t="s">
        <v>5101</v>
      </c>
      <c r="E884" s="4" t="s">
        <v>126</v>
      </c>
      <c r="F884" s="4" t="s">
        <v>18</v>
      </c>
      <c r="G884" s="4" t="s">
        <v>12</v>
      </c>
      <c r="H884" s="4"/>
      <c r="I884" s="4" t="s">
        <v>10</v>
      </c>
      <c r="J884" s="17" t="s">
        <v>3290</v>
      </c>
      <c r="K884" s="16">
        <v>49.723154666121594</v>
      </c>
      <c r="L884" s="16">
        <v>6.1460870239407495</v>
      </c>
      <c r="M884" s="16">
        <v>3.6505624351893973</v>
      </c>
      <c r="N884" s="16">
        <v>29.747640060820114</v>
      </c>
      <c r="O884" s="16">
        <v>87.58490428278435</v>
      </c>
      <c r="P884" s="16">
        <v>45.409396271878933</v>
      </c>
      <c r="Q884" s="16">
        <v>21.691934845247086</v>
      </c>
    </row>
    <row r="885" spans="1:17" ht="12.75" x14ac:dyDescent="0.2">
      <c r="A885" s="4" t="s">
        <v>98</v>
      </c>
      <c r="B885" s="4" t="s">
        <v>99</v>
      </c>
      <c r="D885" s="4" t="s">
        <v>5102</v>
      </c>
      <c r="E885" s="4" t="s">
        <v>108</v>
      </c>
      <c r="F885" s="4" t="s">
        <v>25</v>
      </c>
      <c r="G885" s="4" t="s">
        <v>72</v>
      </c>
      <c r="H885" s="4"/>
      <c r="I885" s="4" t="s">
        <v>10</v>
      </c>
      <c r="J885" s="17" t="s">
        <v>3290</v>
      </c>
      <c r="K885" s="16">
        <v>15.792602952347522</v>
      </c>
      <c r="L885" s="16">
        <v>20.949863007210823</v>
      </c>
      <c r="M885" s="16">
        <v>34.741217608998568</v>
      </c>
      <c r="N885" s="16">
        <v>41.964176942574291</v>
      </c>
      <c r="O885" s="16">
        <v>43.788895787802019</v>
      </c>
      <c r="P885" s="16">
        <v>95.84083926127353</v>
      </c>
      <c r="Q885" s="16">
        <v>68.228181000553192</v>
      </c>
    </row>
    <row r="886" spans="1:17" ht="12.75" x14ac:dyDescent="0.2">
      <c r="K886" s="15"/>
      <c r="L886" s="15"/>
      <c r="M886" s="15"/>
      <c r="N886" s="15"/>
      <c r="O886" s="15"/>
      <c r="P886" s="15"/>
      <c r="Q886" s="15"/>
    </row>
    <row r="887" spans="1:17" ht="12.75" x14ac:dyDescent="0.2">
      <c r="K887" s="15"/>
      <c r="L887" s="15"/>
      <c r="M887" s="15"/>
      <c r="N887" s="15"/>
      <c r="O887" s="15"/>
      <c r="P887" s="15"/>
      <c r="Q887" s="15"/>
    </row>
    <row r="888" spans="1:17" ht="12.75" x14ac:dyDescent="0.2">
      <c r="K888" s="15"/>
      <c r="L888" s="15"/>
      <c r="M888" s="15"/>
      <c r="N888" s="15"/>
      <c r="O888" s="15"/>
      <c r="P888" s="15"/>
      <c r="Q888" s="15"/>
    </row>
    <row r="889" spans="1:17" ht="12.75" x14ac:dyDescent="0.2">
      <c r="K889" s="15"/>
      <c r="L889" s="15"/>
      <c r="M889" s="15"/>
      <c r="N889" s="15"/>
      <c r="O889" s="15"/>
      <c r="P889" s="15"/>
      <c r="Q889" s="15"/>
    </row>
    <row r="890" spans="1:17" ht="12.75" x14ac:dyDescent="0.2">
      <c r="K890" s="15"/>
      <c r="L890" s="15"/>
      <c r="M890" s="15"/>
      <c r="N890" s="15"/>
      <c r="O890" s="15"/>
      <c r="P890" s="15"/>
      <c r="Q890" s="15"/>
    </row>
    <row r="891" spans="1:17" ht="12.75" x14ac:dyDescent="0.2">
      <c r="K891" s="15"/>
      <c r="L891" s="15"/>
      <c r="M891" s="15"/>
      <c r="N891" s="15"/>
      <c r="O891" s="15"/>
      <c r="P891" s="15"/>
      <c r="Q891" s="15"/>
    </row>
    <row r="892" spans="1:17" ht="12.75" x14ac:dyDescent="0.2">
      <c r="K892" s="15"/>
      <c r="L892" s="15"/>
      <c r="M892" s="15"/>
      <c r="N892" s="15"/>
      <c r="O892" s="15"/>
      <c r="P892" s="15"/>
      <c r="Q892" s="15"/>
    </row>
    <row r="893" spans="1:17" ht="12.75" x14ac:dyDescent="0.2">
      <c r="K893" s="15"/>
      <c r="L893" s="15"/>
      <c r="M893" s="15"/>
      <c r="N893" s="15"/>
      <c r="O893" s="15"/>
      <c r="P893" s="15"/>
      <c r="Q893" s="15"/>
    </row>
    <row r="894" spans="1:17" ht="12.75" x14ac:dyDescent="0.2">
      <c r="K894" s="15"/>
      <c r="L894" s="15"/>
      <c r="M894" s="15"/>
      <c r="N894" s="15"/>
      <c r="O894" s="15"/>
      <c r="P894" s="15"/>
      <c r="Q894" s="15"/>
    </row>
    <row r="895" spans="1:17" ht="12.75" x14ac:dyDescent="0.2">
      <c r="K895" s="15"/>
      <c r="L895" s="15"/>
      <c r="M895" s="15"/>
      <c r="N895" s="15"/>
      <c r="O895" s="15"/>
      <c r="P895" s="15"/>
      <c r="Q895" s="15"/>
    </row>
    <row r="896" spans="1:17" ht="12.75" x14ac:dyDescent="0.2">
      <c r="K896" s="15"/>
      <c r="L896" s="15"/>
      <c r="M896" s="15"/>
      <c r="N896" s="15"/>
      <c r="O896" s="15"/>
      <c r="P896" s="15"/>
      <c r="Q896" s="15"/>
    </row>
    <row r="897" spans="11:17" ht="12.75" x14ac:dyDescent="0.2">
      <c r="K897" s="15"/>
      <c r="L897" s="15"/>
      <c r="M897" s="15"/>
      <c r="N897" s="15"/>
      <c r="O897" s="15"/>
      <c r="P897" s="15"/>
      <c r="Q897" s="15"/>
    </row>
    <row r="898" spans="11:17" ht="12.75" x14ac:dyDescent="0.2">
      <c r="K898" s="15"/>
      <c r="L898" s="15"/>
      <c r="M898" s="15"/>
      <c r="N898" s="15"/>
      <c r="O898" s="15"/>
      <c r="P898" s="15"/>
      <c r="Q898" s="15"/>
    </row>
    <row r="899" spans="11:17" ht="12.75" x14ac:dyDescent="0.2">
      <c r="K899" s="15"/>
      <c r="L899" s="15"/>
      <c r="M899" s="15"/>
      <c r="N899" s="15"/>
      <c r="O899" s="15"/>
      <c r="P899" s="15"/>
      <c r="Q899" s="15"/>
    </row>
    <row r="900" spans="11:17" ht="12.75" x14ac:dyDescent="0.2">
      <c r="K900" s="15"/>
      <c r="L900" s="15"/>
      <c r="M900" s="15"/>
      <c r="N900" s="15"/>
      <c r="O900" s="15"/>
      <c r="P900" s="15"/>
      <c r="Q900" s="15"/>
    </row>
    <row r="901" spans="11:17" ht="12.75" x14ac:dyDescent="0.2">
      <c r="K901" s="15"/>
      <c r="L901" s="15"/>
      <c r="M901" s="15"/>
      <c r="N901" s="15"/>
      <c r="O901" s="15"/>
      <c r="P901" s="15"/>
      <c r="Q901" s="15"/>
    </row>
    <row r="902" spans="11:17" ht="12.75" x14ac:dyDescent="0.2">
      <c r="K902" s="15"/>
      <c r="L902" s="15"/>
      <c r="M902" s="15"/>
      <c r="N902" s="15"/>
      <c r="O902" s="15"/>
      <c r="P902" s="15"/>
      <c r="Q902" s="15"/>
    </row>
    <row r="903" spans="11:17" ht="12.75" x14ac:dyDescent="0.2">
      <c r="K903" s="15"/>
      <c r="L903" s="15"/>
      <c r="M903" s="15"/>
      <c r="N903" s="15"/>
      <c r="O903" s="15"/>
      <c r="P903" s="15"/>
      <c r="Q903" s="15"/>
    </row>
    <row r="904" spans="11:17" ht="12.75" x14ac:dyDescent="0.2">
      <c r="K904" s="15"/>
      <c r="L904" s="15"/>
      <c r="M904" s="15"/>
      <c r="N904" s="15"/>
      <c r="O904" s="15"/>
      <c r="P904" s="15"/>
      <c r="Q904" s="15"/>
    </row>
    <row r="905" spans="11:17" ht="12.75" x14ac:dyDescent="0.2">
      <c r="K905" s="15"/>
      <c r="L905" s="15"/>
      <c r="M905" s="15"/>
      <c r="N905" s="15"/>
      <c r="O905" s="15"/>
      <c r="P905" s="15"/>
      <c r="Q905" s="15"/>
    </row>
    <row r="906" spans="11:17" ht="12.75" x14ac:dyDescent="0.2">
      <c r="K906" s="15"/>
      <c r="L906" s="15"/>
      <c r="M906" s="15"/>
      <c r="N906" s="15"/>
      <c r="O906" s="15"/>
      <c r="P906" s="15"/>
      <c r="Q906" s="15"/>
    </row>
    <row r="907" spans="11:17" ht="12.75" x14ac:dyDescent="0.2">
      <c r="K907" s="15"/>
      <c r="L907" s="15"/>
      <c r="M907" s="15"/>
      <c r="N907" s="15"/>
      <c r="O907" s="15"/>
      <c r="P907" s="15"/>
      <c r="Q907" s="15"/>
    </row>
    <row r="908" spans="11:17" ht="12.75" x14ac:dyDescent="0.2">
      <c r="K908" s="15"/>
      <c r="L908" s="15"/>
      <c r="M908" s="15"/>
      <c r="N908" s="15"/>
      <c r="O908" s="15"/>
      <c r="P908" s="15"/>
      <c r="Q908" s="15"/>
    </row>
    <row r="909" spans="11:17" ht="12.75" x14ac:dyDescent="0.2">
      <c r="K909" s="15"/>
      <c r="L909" s="15"/>
      <c r="M909" s="15"/>
      <c r="N909" s="15"/>
      <c r="O909" s="15"/>
      <c r="P909" s="15"/>
      <c r="Q909" s="15"/>
    </row>
    <row r="910" spans="11:17" ht="12.75" x14ac:dyDescent="0.2">
      <c r="K910" s="15"/>
      <c r="L910" s="15"/>
      <c r="M910" s="15"/>
      <c r="N910" s="15"/>
      <c r="O910" s="15"/>
      <c r="P910" s="15"/>
      <c r="Q910" s="15"/>
    </row>
    <row r="911" spans="11:17" ht="12.75" x14ac:dyDescent="0.2">
      <c r="K911" s="15"/>
      <c r="L911" s="15"/>
      <c r="M911" s="15"/>
      <c r="N911" s="15"/>
      <c r="O911" s="15"/>
      <c r="P911" s="15"/>
      <c r="Q911" s="15"/>
    </row>
    <row r="912" spans="11:17" ht="12.75" x14ac:dyDescent="0.2">
      <c r="K912" s="15"/>
      <c r="L912" s="15"/>
      <c r="M912" s="15"/>
      <c r="N912" s="15"/>
      <c r="O912" s="15"/>
      <c r="P912" s="15"/>
      <c r="Q912" s="15"/>
    </row>
    <row r="913" spans="11:17" ht="12.75" x14ac:dyDescent="0.2">
      <c r="K913" s="15"/>
      <c r="L913" s="15"/>
      <c r="M913" s="15"/>
      <c r="N913" s="15"/>
      <c r="O913" s="15"/>
      <c r="P913" s="15"/>
      <c r="Q913" s="15"/>
    </row>
    <row r="914" spans="11:17" ht="12.75" x14ac:dyDescent="0.2">
      <c r="K914" s="15"/>
      <c r="L914" s="15"/>
      <c r="M914" s="15"/>
      <c r="N914" s="15"/>
      <c r="O914" s="15"/>
      <c r="P914" s="15"/>
      <c r="Q914" s="15"/>
    </row>
    <row r="915" spans="11:17" ht="12.75" x14ac:dyDescent="0.2">
      <c r="K915" s="15"/>
      <c r="L915" s="15"/>
      <c r="M915" s="15"/>
      <c r="N915" s="15"/>
      <c r="O915" s="15"/>
      <c r="P915" s="15"/>
      <c r="Q915" s="15"/>
    </row>
    <row r="916" spans="11:17" ht="12.75" x14ac:dyDescent="0.2">
      <c r="K916" s="15"/>
      <c r="L916" s="15"/>
      <c r="M916" s="15"/>
      <c r="N916" s="15"/>
      <c r="O916" s="15"/>
      <c r="P916" s="15"/>
      <c r="Q916" s="15"/>
    </row>
    <row r="917" spans="11:17" ht="12.75" x14ac:dyDescent="0.2">
      <c r="K917" s="15"/>
      <c r="L917" s="15"/>
      <c r="M917" s="15"/>
      <c r="N917" s="15"/>
      <c r="O917" s="15"/>
      <c r="P917" s="15"/>
      <c r="Q917" s="15"/>
    </row>
    <row r="918" spans="11:17" ht="12.75" x14ac:dyDescent="0.2">
      <c r="K918" s="15"/>
      <c r="L918" s="15"/>
      <c r="M918" s="15"/>
      <c r="N918" s="15"/>
      <c r="O918" s="15"/>
      <c r="P918" s="15"/>
      <c r="Q918" s="15"/>
    </row>
    <row r="919" spans="11:17" ht="12.75" x14ac:dyDescent="0.2">
      <c r="K919" s="15"/>
      <c r="L919" s="15"/>
      <c r="M919" s="15"/>
      <c r="N919" s="15"/>
      <c r="O919" s="15"/>
      <c r="P919" s="15"/>
      <c r="Q919" s="15"/>
    </row>
    <row r="920" spans="11:17" ht="12.75" x14ac:dyDescent="0.2">
      <c r="K920" s="15"/>
      <c r="L920" s="15"/>
      <c r="M920" s="15"/>
      <c r="N920" s="15"/>
      <c r="O920" s="15"/>
      <c r="P920" s="15"/>
      <c r="Q920" s="15"/>
    </row>
    <row r="921" spans="11:17" ht="12.75" x14ac:dyDescent="0.2">
      <c r="K921" s="15"/>
      <c r="L921" s="15"/>
      <c r="M921" s="15"/>
      <c r="N921" s="15"/>
      <c r="O921" s="15"/>
      <c r="P921" s="15"/>
      <c r="Q921" s="15"/>
    </row>
    <row r="922" spans="11:17" ht="12.75" x14ac:dyDescent="0.2">
      <c r="K922" s="15"/>
      <c r="L922" s="15"/>
      <c r="M922" s="15"/>
      <c r="N922" s="15"/>
      <c r="O922" s="15"/>
      <c r="P922" s="15"/>
      <c r="Q922" s="15"/>
    </row>
    <row r="923" spans="11:17" ht="12.75" x14ac:dyDescent="0.2">
      <c r="K923" s="15"/>
      <c r="L923" s="15"/>
      <c r="M923" s="15"/>
      <c r="N923" s="15"/>
      <c r="O923" s="15"/>
      <c r="P923" s="15"/>
      <c r="Q923" s="15"/>
    </row>
    <row r="924" spans="11:17" ht="12.75" x14ac:dyDescent="0.2">
      <c r="K924" s="15"/>
      <c r="L924" s="15"/>
      <c r="M924" s="15"/>
      <c r="N924" s="15"/>
      <c r="O924" s="15"/>
      <c r="P924" s="15"/>
      <c r="Q924" s="15"/>
    </row>
    <row r="925" spans="11:17" ht="12.75" x14ac:dyDescent="0.2">
      <c r="K925" s="15"/>
      <c r="L925" s="15"/>
      <c r="M925" s="15"/>
      <c r="N925" s="15"/>
      <c r="O925" s="15"/>
      <c r="P925" s="15"/>
      <c r="Q925" s="15"/>
    </row>
    <row r="926" spans="11:17" ht="12.75" x14ac:dyDescent="0.2">
      <c r="K926" s="15"/>
      <c r="L926" s="15"/>
      <c r="M926" s="15"/>
      <c r="N926" s="15"/>
      <c r="O926" s="15"/>
      <c r="P926" s="15"/>
      <c r="Q926" s="15"/>
    </row>
    <row r="927" spans="11:17" ht="12.75" x14ac:dyDescent="0.2">
      <c r="K927" s="15"/>
      <c r="L927" s="15"/>
      <c r="M927" s="15"/>
      <c r="N927" s="15"/>
      <c r="O927" s="15"/>
      <c r="P927" s="15"/>
      <c r="Q927" s="15"/>
    </row>
    <row r="928" spans="11:17" ht="12.75" x14ac:dyDescent="0.2">
      <c r="K928" s="15"/>
      <c r="L928" s="15"/>
      <c r="M928" s="15"/>
      <c r="N928" s="15"/>
      <c r="O928" s="15"/>
      <c r="P928" s="15"/>
      <c r="Q928" s="15"/>
    </row>
    <row r="929" spans="11:17" ht="12.75" x14ac:dyDescent="0.2">
      <c r="K929" s="15"/>
      <c r="L929" s="15"/>
      <c r="M929" s="15"/>
      <c r="N929" s="15"/>
      <c r="O929" s="15"/>
      <c r="P929" s="15"/>
      <c r="Q929" s="15"/>
    </row>
    <row r="930" spans="11:17" ht="12.75" x14ac:dyDescent="0.2">
      <c r="K930" s="15"/>
      <c r="L930" s="15"/>
      <c r="M930" s="15"/>
      <c r="N930" s="15"/>
      <c r="O930" s="15"/>
      <c r="P930" s="15"/>
      <c r="Q930" s="15"/>
    </row>
    <row r="931" spans="11:17" ht="12.75" x14ac:dyDescent="0.2">
      <c r="K931" s="15"/>
      <c r="L931" s="15"/>
      <c r="M931" s="15"/>
      <c r="N931" s="15"/>
      <c r="O931" s="15"/>
      <c r="P931" s="15"/>
      <c r="Q931" s="15"/>
    </row>
    <row r="932" spans="11:17" ht="12.75" x14ac:dyDescent="0.2">
      <c r="K932" s="15"/>
      <c r="L932" s="15"/>
      <c r="M932" s="15"/>
      <c r="N932" s="15"/>
      <c r="O932" s="15"/>
      <c r="P932" s="15"/>
      <c r="Q932" s="15"/>
    </row>
    <row r="933" spans="11:17" ht="12.75" x14ac:dyDescent="0.2">
      <c r="K933" s="15"/>
      <c r="L933" s="15"/>
      <c r="M933" s="15"/>
      <c r="N933" s="15"/>
      <c r="O933" s="15"/>
      <c r="P933" s="15"/>
      <c r="Q933" s="15"/>
    </row>
    <row r="934" spans="11:17" ht="12.75" x14ac:dyDescent="0.2">
      <c r="K934" s="15"/>
      <c r="L934" s="15"/>
      <c r="M934" s="15"/>
      <c r="N934" s="15"/>
      <c r="O934" s="15"/>
      <c r="P934" s="15"/>
      <c r="Q934" s="15"/>
    </row>
    <row r="935" spans="11:17" ht="12.75" x14ac:dyDescent="0.2">
      <c r="K935" s="15"/>
      <c r="L935" s="15"/>
      <c r="M935" s="15"/>
      <c r="N935" s="15"/>
      <c r="O935" s="15"/>
      <c r="P935" s="15"/>
      <c r="Q935" s="15"/>
    </row>
    <row r="936" spans="11:17" ht="12.75" x14ac:dyDescent="0.2">
      <c r="K936" s="15"/>
      <c r="L936" s="15"/>
      <c r="M936" s="15"/>
      <c r="N936" s="15"/>
      <c r="O936" s="15"/>
      <c r="P936" s="15"/>
      <c r="Q936" s="15"/>
    </row>
    <row r="937" spans="11:17" ht="12.75" x14ac:dyDescent="0.2">
      <c r="K937" s="15"/>
      <c r="L937" s="15"/>
      <c r="M937" s="15"/>
      <c r="N937" s="15"/>
      <c r="O937" s="15"/>
      <c r="P937" s="15"/>
      <c r="Q937" s="15"/>
    </row>
    <row r="938" spans="11:17" ht="12.75" x14ac:dyDescent="0.2">
      <c r="K938" s="15"/>
      <c r="L938" s="15"/>
      <c r="M938" s="15"/>
      <c r="N938" s="15"/>
      <c r="O938" s="15"/>
      <c r="P938" s="15"/>
      <c r="Q938" s="15"/>
    </row>
    <row r="939" spans="11:17" ht="12.75" x14ac:dyDescent="0.2">
      <c r="K939" s="15"/>
      <c r="L939" s="15"/>
      <c r="M939" s="15"/>
      <c r="N939" s="15"/>
      <c r="O939" s="15"/>
      <c r="P939" s="15"/>
      <c r="Q939" s="15"/>
    </row>
    <row r="940" spans="11:17" ht="12.75" x14ac:dyDescent="0.2">
      <c r="K940" s="15"/>
      <c r="L940" s="15"/>
      <c r="M940" s="15"/>
      <c r="N940" s="15"/>
      <c r="O940" s="15"/>
      <c r="P940" s="15"/>
      <c r="Q940" s="15"/>
    </row>
  </sheetData>
  <autoFilter ref="A1:R885" xr:uid="{00000000-0009-0000-0000-000002000000}"/>
  <hyperlinks>
    <hyperlink ref="J4" r:id="rId1" xr:uid="{00000000-0004-0000-0200-000000000000}"/>
    <hyperlink ref="J5" r:id="rId2" xr:uid="{00000000-0004-0000-0200-000001000000}"/>
    <hyperlink ref="J6" r:id="rId3" xr:uid="{00000000-0004-0000-0200-000002000000}"/>
    <hyperlink ref="J7" r:id="rId4" xr:uid="{00000000-0004-0000-0200-000003000000}"/>
    <hyperlink ref="J8" r:id="rId5" xr:uid="{00000000-0004-0000-0200-000004000000}"/>
    <hyperlink ref="J9" r:id="rId6" xr:uid="{00000000-0004-0000-0200-000005000000}"/>
    <hyperlink ref="J10" r:id="rId7" xr:uid="{00000000-0004-0000-0200-000006000000}"/>
    <hyperlink ref="J11" r:id="rId8" xr:uid="{00000000-0004-0000-0200-000007000000}"/>
    <hyperlink ref="J12" r:id="rId9" xr:uid="{00000000-0004-0000-0200-000008000000}"/>
    <hyperlink ref="J13" r:id="rId10" xr:uid="{00000000-0004-0000-0200-000009000000}"/>
    <hyperlink ref="J14" r:id="rId11" xr:uid="{00000000-0004-0000-0200-00000A000000}"/>
    <hyperlink ref="J15" r:id="rId12" xr:uid="{00000000-0004-0000-0200-00000B000000}"/>
    <hyperlink ref="J16" r:id="rId13" xr:uid="{00000000-0004-0000-0200-00000C000000}"/>
    <hyperlink ref="J17" r:id="rId14" xr:uid="{00000000-0004-0000-0200-00000D000000}"/>
    <hyperlink ref="J18" r:id="rId15" xr:uid="{00000000-0004-0000-0200-00000E000000}"/>
    <hyperlink ref="J19" r:id="rId16" xr:uid="{00000000-0004-0000-0200-00000F000000}"/>
    <hyperlink ref="J20" r:id="rId17" xr:uid="{00000000-0004-0000-0200-000010000000}"/>
    <hyperlink ref="J21" r:id="rId18" xr:uid="{00000000-0004-0000-0200-000011000000}"/>
    <hyperlink ref="J22" r:id="rId19" xr:uid="{00000000-0004-0000-0200-000012000000}"/>
    <hyperlink ref="J23" r:id="rId20" xr:uid="{00000000-0004-0000-0200-000013000000}"/>
    <hyperlink ref="J24" r:id="rId21" xr:uid="{00000000-0004-0000-0200-000014000000}"/>
    <hyperlink ref="J25" r:id="rId22" xr:uid="{00000000-0004-0000-0200-000015000000}"/>
    <hyperlink ref="J26" r:id="rId23" xr:uid="{00000000-0004-0000-0200-000016000000}"/>
    <hyperlink ref="J27" r:id="rId24" xr:uid="{00000000-0004-0000-0200-000017000000}"/>
    <hyperlink ref="J28" r:id="rId25" xr:uid="{00000000-0004-0000-0200-000018000000}"/>
    <hyperlink ref="J29" r:id="rId26" xr:uid="{00000000-0004-0000-0200-000019000000}"/>
    <hyperlink ref="J30" r:id="rId27" xr:uid="{00000000-0004-0000-0200-00001A000000}"/>
    <hyperlink ref="J31" r:id="rId28" xr:uid="{00000000-0004-0000-0200-00001B000000}"/>
    <hyperlink ref="J32" r:id="rId29" xr:uid="{00000000-0004-0000-0200-00001C000000}"/>
    <hyperlink ref="J33" r:id="rId30" xr:uid="{00000000-0004-0000-0200-00001D000000}"/>
    <hyperlink ref="J34" r:id="rId31" xr:uid="{00000000-0004-0000-0200-00001E000000}"/>
    <hyperlink ref="J35" r:id="rId32" xr:uid="{00000000-0004-0000-0200-00001F000000}"/>
    <hyperlink ref="J36" r:id="rId33" xr:uid="{00000000-0004-0000-0200-000020000000}"/>
    <hyperlink ref="J37" r:id="rId34" xr:uid="{00000000-0004-0000-0200-000021000000}"/>
    <hyperlink ref="J38" r:id="rId35" xr:uid="{00000000-0004-0000-0200-000022000000}"/>
    <hyperlink ref="J39" r:id="rId36" xr:uid="{00000000-0004-0000-0200-000023000000}"/>
    <hyperlink ref="J40" r:id="rId37" xr:uid="{00000000-0004-0000-0200-000024000000}"/>
    <hyperlink ref="J41" r:id="rId38" xr:uid="{00000000-0004-0000-0200-000025000000}"/>
    <hyperlink ref="J42" r:id="rId39" xr:uid="{00000000-0004-0000-0200-000026000000}"/>
    <hyperlink ref="J43" r:id="rId40" xr:uid="{00000000-0004-0000-0200-000027000000}"/>
    <hyperlink ref="J44" r:id="rId41" xr:uid="{00000000-0004-0000-0200-000028000000}"/>
    <hyperlink ref="J45" r:id="rId42" xr:uid="{00000000-0004-0000-0200-000029000000}"/>
    <hyperlink ref="J46" r:id="rId43" xr:uid="{00000000-0004-0000-0200-00002A000000}"/>
    <hyperlink ref="J47" r:id="rId44" xr:uid="{00000000-0004-0000-0200-00002B000000}"/>
    <hyperlink ref="J48" r:id="rId45" xr:uid="{00000000-0004-0000-0200-00002C000000}"/>
    <hyperlink ref="J49" r:id="rId46" xr:uid="{00000000-0004-0000-0200-00002D000000}"/>
    <hyperlink ref="J50" r:id="rId47" xr:uid="{00000000-0004-0000-0200-00002E000000}"/>
    <hyperlink ref="J51" r:id="rId48" xr:uid="{00000000-0004-0000-0200-00002F000000}"/>
    <hyperlink ref="J52" r:id="rId49" xr:uid="{00000000-0004-0000-0200-000030000000}"/>
    <hyperlink ref="J53" r:id="rId50" xr:uid="{00000000-0004-0000-0200-000031000000}"/>
    <hyperlink ref="J54" r:id="rId51" xr:uid="{00000000-0004-0000-0200-000032000000}"/>
    <hyperlink ref="J55" r:id="rId52" xr:uid="{00000000-0004-0000-0200-000033000000}"/>
    <hyperlink ref="J56" r:id="rId53" xr:uid="{00000000-0004-0000-0200-000034000000}"/>
    <hyperlink ref="J57" r:id="rId54" xr:uid="{00000000-0004-0000-0200-000035000000}"/>
    <hyperlink ref="J58" r:id="rId55" xr:uid="{00000000-0004-0000-0200-000036000000}"/>
    <hyperlink ref="J59" r:id="rId56" xr:uid="{00000000-0004-0000-0200-000037000000}"/>
    <hyperlink ref="J60" r:id="rId57" xr:uid="{00000000-0004-0000-0200-000038000000}"/>
    <hyperlink ref="J61" r:id="rId58" xr:uid="{00000000-0004-0000-0200-000039000000}"/>
    <hyperlink ref="J62" r:id="rId59" xr:uid="{00000000-0004-0000-0200-00003A000000}"/>
    <hyperlink ref="J63" r:id="rId60" xr:uid="{00000000-0004-0000-0200-00003B000000}"/>
    <hyperlink ref="J64" r:id="rId61" xr:uid="{00000000-0004-0000-0200-00003C000000}"/>
    <hyperlink ref="J65" r:id="rId62" xr:uid="{00000000-0004-0000-0200-00003D000000}"/>
    <hyperlink ref="J66" r:id="rId63" xr:uid="{00000000-0004-0000-0200-00003E000000}"/>
    <hyperlink ref="J67" r:id="rId64" xr:uid="{00000000-0004-0000-0200-00003F000000}"/>
    <hyperlink ref="J68" r:id="rId65" xr:uid="{00000000-0004-0000-0200-000040000000}"/>
    <hyperlink ref="J69" r:id="rId66" xr:uid="{00000000-0004-0000-0200-000041000000}"/>
    <hyperlink ref="J70" r:id="rId67" xr:uid="{00000000-0004-0000-0200-000042000000}"/>
    <hyperlink ref="J71" r:id="rId68" xr:uid="{00000000-0004-0000-0200-000043000000}"/>
    <hyperlink ref="J72" r:id="rId69" xr:uid="{00000000-0004-0000-0200-000044000000}"/>
    <hyperlink ref="J73" r:id="rId70" xr:uid="{00000000-0004-0000-0200-000045000000}"/>
    <hyperlink ref="J74" r:id="rId71" xr:uid="{00000000-0004-0000-0200-000046000000}"/>
    <hyperlink ref="J75" r:id="rId72" xr:uid="{00000000-0004-0000-0200-000047000000}"/>
    <hyperlink ref="J76" r:id="rId73" xr:uid="{00000000-0004-0000-0200-000048000000}"/>
    <hyperlink ref="J77" r:id="rId74" xr:uid="{00000000-0004-0000-0200-000049000000}"/>
    <hyperlink ref="J78" r:id="rId75" xr:uid="{00000000-0004-0000-0200-00004A000000}"/>
    <hyperlink ref="J79" r:id="rId76" xr:uid="{00000000-0004-0000-0200-00004B000000}"/>
    <hyperlink ref="J80" r:id="rId77" xr:uid="{00000000-0004-0000-0200-00004C000000}"/>
    <hyperlink ref="J81" r:id="rId78" xr:uid="{00000000-0004-0000-0200-00004D000000}"/>
    <hyperlink ref="J82" r:id="rId79" xr:uid="{00000000-0004-0000-0200-00004E000000}"/>
    <hyperlink ref="J83" r:id="rId80" xr:uid="{00000000-0004-0000-0200-00004F000000}"/>
    <hyperlink ref="J84" r:id="rId81" xr:uid="{00000000-0004-0000-0200-000050000000}"/>
    <hyperlink ref="J85" r:id="rId82" xr:uid="{00000000-0004-0000-0200-000051000000}"/>
    <hyperlink ref="J86" r:id="rId83" xr:uid="{00000000-0004-0000-0200-000052000000}"/>
    <hyperlink ref="J87" r:id="rId84" xr:uid="{00000000-0004-0000-0200-000053000000}"/>
    <hyperlink ref="J88" r:id="rId85" xr:uid="{00000000-0004-0000-0200-000054000000}"/>
    <hyperlink ref="J89" r:id="rId86" xr:uid="{00000000-0004-0000-0200-000055000000}"/>
    <hyperlink ref="J90" r:id="rId87" xr:uid="{00000000-0004-0000-0200-000056000000}"/>
    <hyperlink ref="J91" r:id="rId88" xr:uid="{00000000-0004-0000-0200-000057000000}"/>
    <hyperlink ref="J92" r:id="rId89" xr:uid="{00000000-0004-0000-0200-000058000000}"/>
    <hyperlink ref="J93" r:id="rId90" xr:uid="{00000000-0004-0000-0200-000059000000}"/>
    <hyperlink ref="J94" r:id="rId91" xr:uid="{00000000-0004-0000-0200-00005A000000}"/>
    <hyperlink ref="J95" r:id="rId92" xr:uid="{00000000-0004-0000-0200-00005B000000}"/>
    <hyperlink ref="J96" r:id="rId93" xr:uid="{00000000-0004-0000-0200-00005C000000}"/>
    <hyperlink ref="J97" r:id="rId94" xr:uid="{00000000-0004-0000-0200-00005D000000}"/>
    <hyperlink ref="J98" r:id="rId95" xr:uid="{00000000-0004-0000-0200-00005E000000}"/>
    <hyperlink ref="J99" r:id="rId96" xr:uid="{00000000-0004-0000-0200-00005F000000}"/>
    <hyperlink ref="J100" r:id="rId97" xr:uid="{00000000-0004-0000-0200-000060000000}"/>
    <hyperlink ref="J101" r:id="rId98" xr:uid="{00000000-0004-0000-0200-000061000000}"/>
    <hyperlink ref="J102" r:id="rId99" xr:uid="{00000000-0004-0000-0200-000062000000}"/>
    <hyperlink ref="J103" r:id="rId100" xr:uid="{00000000-0004-0000-0200-000063000000}"/>
    <hyperlink ref="J104" r:id="rId101" xr:uid="{00000000-0004-0000-0200-000064000000}"/>
    <hyperlink ref="J105" r:id="rId102" xr:uid="{00000000-0004-0000-0200-000065000000}"/>
    <hyperlink ref="J106" r:id="rId103" xr:uid="{00000000-0004-0000-0200-000066000000}"/>
    <hyperlink ref="J107" r:id="rId104" xr:uid="{00000000-0004-0000-0200-000067000000}"/>
    <hyperlink ref="J108" r:id="rId105" xr:uid="{00000000-0004-0000-0200-000068000000}"/>
    <hyperlink ref="J109" r:id="rId106" xr:uid="{00000000-0004-0000-0200-000069000000}"/>
    <hyperlink ref="J110" r:id="rId107" xr:uid="{00000000-0004-0000-0200-00006A000000}"/>
    <hyperlink ref="J111" r:id="rId108" xr:uid="{00000000-0004-0000-0200-00006B000000}"/>
    <hyperlink ref="J112" r:id="rId109" xr:uid="{00000000-0004-0000-0200-00006C000000}"/>
    <hyperlink ref="J113" r:id="rId110" xr:uid="{00000000-0004-0000-0200-00006D000000}"/>
    <hyperlink ref="J114" r:id="rId111" xr:uid="{00000000-0004-0000-0200-00006E000000}"/>
    <hyperlink ref="J115" r:id="rId112" xr:uid="{00000000-0004-0000-0200-00006F000000}"/>
    <hyperlink ref="J116" r:id="rId113" xr:uid="{00000000-0004-0000-0200-000070000000}"/>
    <hyperlink ref="J117" r:id="rId114" xr:uid="{00000000-0004-0000-0200-000071000000}"/>
    <hyperlink ref="J118" r:id="rId115" xr:uid="{00000000-0004-0000-0200-000072000000}"/>
    <hyperlink ref="J119" r:id="rId116" xr:uid="{00000000-0004-0000-0200-000073000000}"/>
    <hyperlink ref="J120" r:id="rId117" xr:uid="{00000000-0004-0000-0200-000074000000}"/>
    <hyperlink ref="J121" r:id="rId118" xr:uid="{00000000-0004-0000-0200-000075000000}"/>
    <hyperlink ref="J122" r:id="rId119" xr:uid="{00000000-0004-0000-0200-000076000000}"/>
    <hyperlink ref="J123" r:id="rId120" xr:uid="{00000000-0004-0000-0200-000077000000}"/>
    <hyperlink ref="J124" r:id="rId121" xr:uid="{00000000-0004-0000-0200-000078000000}"/>
    <hyperlink ref="J125" r:id="rId122" xr:uid="{00000000-0004-0000-0200-000079000000}"/>
    <hyperlink ref="J126" r:id="rId123" xr:uid="{00000000-0004-0000-0200-00007A000000}"/>
    <hyperlink ref="J127" r:id="rId124" xr:uid="{00000000-0004-0000-0200-00007B000000}"/>
    <hyperlink ref="J128" r:id="rId125" xr:uid="{00000000-0004-0000-0200-00007C000000}"/>
    <hyperlink ref="J129" r:id="rId126" xr:uid="{00000000-0004-0000-0200-00007D000000}"/>
    <hyperlink ref="J130" r:id="rId127" xr:uid="{00000000-0004-0000-0200-00007E000000}"/>
    <hyperlink ref="J131" r:id="rId128" xr:uid="{00000000-0004-0000-0200-00007F000000}"/>
    <hyperlink ref="J132" r:id="rId129" xr:uid="{00000000-0004-0000-0200-000080000000}"/>
    <hyperlink ref="J133" r:id="rId130" xr:uid="{00000000-0004-0000-0200-000081000000}"/>
    <hyperlink ref="J134" r:id="rId131" xr:uid="{00000000-0004-0000-0200-000082000000}"/>
    <hyperlink ref="J135" r:id="rId132" xr:uid="{00000000-0004-0000-0200-000083000000}"/>
    <hyperlink ref="J136" r:id="rId133" xr:uid="{00000000-0004-0000-0200-000084000000}"/>
    <hyperlink ref="J137" r:id="rId134" xr:uid="{00000000-0004-0000-0200-000085000000}"/>
    <hyperlink ref="J138" r:id="rId135" xr:uid="{00000000-0004-0000-0200-000086000000}"/>
    <hyperlink ref="J139" r:id="rId136" xr:uid="{00000000-0004-0000-0200-000087000000}"/>
    <hyperlink ref="J140" r:id="rId137" xr:uid="{00000000-0004-0000-0200-000088000000}"/>
    <hyperlink ref="J141" r:id="rId138" xr:uid="{00000000-0004-0000-0200-000089000000}"/>
    <hyperlink ref="J142" r:id="rId139" xr:uid="{00000000-0004-0000-0200-00008A000000}"/>
    <hyperlink ref="J143" r:id="rId140" xr:uid="{00000000-0004-0000-0200-00008B000000}"/>
    <hyperlink ref="J144" r:id="rId141" xr:uid="{00000000-0004-0000-0200-00008C000000}"/>
    <hyperlink ref="J145" r:id="rId142" xr:uid="{00000000-0004-0000-0200-00008D000000}"/>
    <hyperlink ref="J146" r:id="rId143" xr:uid="{00000000-0004-0000-0200-00008E000000}"/>
    <hyperlink ref="J147" r:id="rId144" xr:uid="{00000000-0004-0000-0200-00008F000000}"/>
    <hyperlink ref="J148" r:id="rId145" xr:uid="{00000000-0004-0000-0200-000090000000}"/>
    <hyperlink ref="J149" r:id="rId146" xr:uid="{00000000-0004-0000-0200-000091000000}"/>
    <hyperlink ref="J150" r:id="rId147" xr:uid="{00000000-0004-0000-0200-000092000000}"/>
    <hyperlink ref="J151" r:id="rId148" xr:uid="{00000000-0004-0000-0200-000093000000}"/>
    <hyperlink ref="J152" r:id="rId149" xr:uid="{00000000-0004-0000-0200-000094000000}"/>
    <hyperlink ref="J153" r:id="rId150" xr:uid="{00000000-0004-0000-0200-000095000000}"/>
    <hyperlink ref="J154" r:id="rId151" xr:uid="{00000000-0004-0000-0200-000096000000}"/>
    <hyperlink ref="J155" r:id="rId152" xr:uid="{00000000-0004-0000-0200-000097000000}"/>
    <hyperlink ref="J156" r:id="rId153" xr:uid="{00000000-0004-0000-0200-000098000000}"/>
    <hyperlink ref="J157" r:id="rId154" xr:uid="{00000000-0004-0000-0200-000099000000}"/>
    <hyperlink ref="J158" r:id="rId155" xr:uid="{00000000-0004-0000-0200-00009A000000}"/>
    <hyperlink ref="J159" r:id="rId156" xr:uid="{00000000-0004-0000-0200-00009B000000}"/>
    <hyperlink ref="J160" r:id="rId157" xr:uid="{00000000-0004-0000-0200-00009C000000}"/>
    <hyperlink ref="J161" r:id="rId158" xr:uid="{00000000-0004-0000-0200-00009D000000}"/>
    <hyperlink ref="J162" r:id="rId159" xr:uid="{00000000-0004-0000-0200-00009E000000}"/>
    <hyperlink ref="J163" r:id="rId160" xr:uid="{00000000-0004-0000-0200-00009F000000}"/>
    <hyperlink ref="J164" r:id="rId161" xr:uid="{00000000-0004-0000-0200-0000A0000000}"/>
    <hyperlink ref="J165" r:id="rId162" xr:uid="{00000000-0004-0000-0200-0000A1000000}"/>
    <hyperlink ref="J166" r:id="rId163" xr:uid="{00000000-0004-0000-0200-0000A2000000}"/>
    <hyperlink ref="J167" r:id="rId164" xr:uid="{00000000-0004-0000-0200-0000A3000000}"/>
    <hyperlink ref="J168" r:id="rId165" xr:uid="{00000000-0004-0000-0200-0000A4000000}"/>
    <hyperlink ref="J169" r:id="rId166" xr:uid="{00000000-0004-0000-0200-0000A5000000}"/>
    <hyperlink ref="J170" r:id="rId167" xr:uid="{00000000-0004-0000-0200-0000A6000000}"/>
    <hyperlink ref="J171" r:id="rId168" xr:uid="{00000000-0004-0000-0200-0000A7000000}"/>
    <hyperlink ref="J172" r:id="rId169" xr:uid="{00000000-0004-0000-0200-0000A8000000}"/>
    <hyperlink ref="J173" r:id="rId170" xr:uid="{00000000-0004-0000-0200-0000A9000000}"/>
    <hyperlink ref="J174" r:id="rId171" xr:uid="{00000000-0004-0000-0200-0000AA000000}"/>
    <hyperlink ref="J175" r:id="rId172" xr:uid="{00000000-0004-0000-0200-0000AB000000}"/>
    <hyperlink ref="J176" r:id="rId173" xr:uid="{00000000-0004-0000-0200-0000AC000000}"/>
    <hyperlink ref="J177" r:id="rId174" xr:uid="{00000000-0004-0000-0200-0000AD000000}"/>
    <hyperlink ref="J178" r:id="rId175" xr:uid="{00000000-0004-0000-0200-0000AE000000}"/>
    <hyperlink ref="J179" r:id="rId176" xr:uid="{00000000-0004-0000-0200-0000AF000000}"/>
    <hyperlink ref="J180" r:id="rId177" xr:uid="{00000000-0004-0000-0200-0000B0000000}"/>
    <hyperlink ref="J181" r:id="rId178" xr:uid="{00000000-0004-0000-0200-0000B1000000}"/>
    <hyperlink ref="J182" r:id="rId179" xr:uid="{00000000-0004-0000-0200-0000B2000000}"/>
    <hyperlink ref="J183" r:id="rId180" xr:uid="{00000000-0004-0000-0200-0000B3000000}"/>
    <hyperlink ref="J184" r:id="rId181" xr:uid="{00000000-0004-0000-0200-0000B4000000}"/>
    <hyperlink ref="J185" r:id="rId182" xr:uid="{00000000-0004-0000-0200-0000B5000000}"/>
    <hyperlink ref="J186" r:id="rId183" xr:uid="{00000000-0004-0000-0200-0000B6000000}"/>
    <hyperlink ref="J187" r:id="rId184" xr:uid="{00000000-0004-0000-0200-0000B7000000}"/>
    <hyperlink ref="J188" r:id="rId185" xr:uid="{00000000-0004-0000-0200-0000B8000000}"/>
    <hyperlink ref="J189" r:id="rId186" xr:uid="{00000000-0004-0000-0200-0000B9000000}"/>
    <hyperlink ref="J190" r:id="rId187" xr:uid="{00000000-0004-0000-0200-0000BA000000}"/>
    <hyperlink ref="J191" r:id="rId188" xr:uid="{00000000-0004-0000-0200-0000BB000000}"/>
    <hyperlink ref="J192" r:id="rId189" xr:uid="{00000000-0004-0000-0200-0000BC000000}"/>
    <hyperlink ref="J193" r:id="rId190" xr:uid="{00000000-0004-0000-0200-0000BD000000}"/>
    <hyperlink ref="J194" r:id="rId191" xr:uid="{00000000-0004-0000-0200-0000BE000000}"/>
    <hyperlink ref="J195" r:id="rId192" xr:uid="{00000000-0004-0000-0200-0000BF000000}"/>
    <hyperlink ref="J196" r:id="rId193" xr:uid="{00000000-0004-0000-0200-0000C0000000}"/>
    <hyperlink ref="J197" r:id="rId194" xr:uid="{00000000-0004-0000-0200-0000C1000000}"/>
    <hyperlink ref="J198" r:id="rId195" xr:uid="{00000000-0004-0000-0200-0000C2000000}"/>
    <hyperlink ref="J199" r:id="rId196" xr:uid="{00000000-0004-0000-0200-0000C3000000}"/>
    <hyperlink ref="J200" r:id="rId197" xr:uid="{00000000-0004-0000-0200-0000C4000000}"/>
    <hyperlink ref="J201" r:id="rId198" xr:uid="{00000000-0004-0000-0200-0000C5000000}"/>
    <hyperlink ref="J202" r:id="rId199" xr:uid="{00000000-0004-0000-0200-0000C6000000}"/>
    <hyperlink ref="J203" r:id="rId200" xr:uid="{00000000-0004-0000-0200-0000C7000000}"/>
    <hyperlink ref="J204" r:id="rId201" xr:uid="{00000000-0004-0000-0200-0000C8000000}"/>
    <hyperlink ref="J205" r:id="rId202" xr:uid="{00000000-0004-0000-0200-0000C9000000}"/>
    <hyperlink ref="J206" r:id="rId203" xr:uid="{00000000-0004-0000-0200-0000CA000000}"/>
    <hyperlink ref="J207" r:id="rId204" xr:uid="{00000000-0004-0000-0200-0000CB000000}"/>
    <hyperlink ref="J208" r:id="rId205" xr:uid="{00000000-0004-0000-0200-0000CC000000}"/>
    <hyperlink ref="J209" r:id="rId206" xr:uid="{00000000-0004-0000-0200-0000CD000000}"/>
    <hyperlink ref="J210" r:id="rId207" xr:uid="{00000000-0004-0000-0200-0000CE000000}"/>
    <hyperlink ref="J211" r:id="rId208" xr:uid="{00000000-0004-0000-0200-0000CF000000}"/>
    <hyperlink ref="J212" r:id="rId209" xr:uid="{00000000-0004-0000-0200-0000D0000000}"/>
    <hyperlink ref="J213" r:id="rId210" xr:uid="{00000000-0004-0000-0200-0000D1000000}"/>
    <hyperlink ref="J214" r:id="rId211" xr:uid="{00000000-0004-0000-0200-0000D2000000}"/>
    <hyperlink ref="J215" r:id="rId212" xr:uid="{00000000-0004-0000-0200-0000D3000000}"/>
    <hyperlink ref="J216" r:id="rId213" xr:uid="{00000000-0004-0000-0200-0000D4000000}"/>
    <hyperlink ref="J217" r:id="rId214" xr:uid="{00000000-0004-0000-0200-0000D5000000}"/>
    <hyperlink ref="J218" r:id="rId215" xr:uid="{00000000-0004-0000-0200-0000D6000000}"/>
    <hyperlink ref="J219" r:id="rId216" xr:uid="{00000000-0004-0000-0200-0000D7000000}"/>
    <hyperlink ref="J220" r:id="rId217" xr:uid="{00000000-0004-0000-0200-0000D8000000}"/>
    <hyperlink ref="J221" r:id="rId218" xr:uid="{00000000-0004-0000-0200-0000D9000000}"/>
    <hyperlink ref="J222" r:id="rId219" xr:uid="{00000000-0004-0000-0200-0000DA000000}"/>
    <hyperlink ref="J223" r:id="rId220" xr:uid="{00000000-0004-0000-0200-0000DB000000}"/>
    <hyperlink ref="J224" r:id="rId221" xr:uid="{00000000-0004-0000-0200-0000DC000000}"/>
    <hyperlink ref="J225" r:id="rId222" xr:uid="{00000000-0004-0000-0200-0000DD000000}"/>
    <hyperlink ref="J226" r:id="rId223" xr:uid="{00000000-0004-0000-0200-0000DE000000}"/>
    <hyperlink ref="J227" r:id="rId224" xr:uid="{00000000-0004-0000-0200-0000DF000000}"/>
    <hyperlink ref="J228" r:id="rId225" xr:uid="{00000000-0004-0000-0200-0000E0000000}"/>
    <hyperlink ref="J229" r:id="rId226" xr:uid="{00000000-0004-0000-0200-0000E1000000}"/>
    <hyperlink ref="J230" r:id="rId227" xr:uid="{00000000-0004-0000-0200-0000E2000000}"/>
    <hyperlink ref="J231" r:id="rId228" xr:uid="{00000000-0004-0000-0200-0000E3000000}"/>
    <hyperlink ref="J232" r:id="rId229" xr:uid="{00000000-0004-0000-0200-0000E4000000}"/>
    <hyperlink ref="J233" r:id="rId230" xr:uid="{00000000-0004-0000-0200-0000E5000000}"/>
    <hyperlink ref="J234" r:id="rId231" xr:uid="{00000000-0004-0000-0200-0000E6000000}"/>
    <hyperlink ref="J235" r:id="rId232" xr:uid="{00000000-0004-0000-0200-0000E7000000}"/>
    <hyperlink ref="J236" r:id="rId233" xr:uid="{00000000-0004-0000-0200-0000E8000000}"/>
    <hyperlink ref="J237" r:id="rId234" xr:uid="{00000000-0004-0000-0200-0000E9000000}"/>
    <hyperlink ref="J238" r:id="rId235" xr:uid="{00000000-0004-0000-0200-0000EA000000}"/>
    <hyperlink ref="J239" r:id="rId236" xr:uid="{00000000-0004-0000-0200-0000EB000000}"/>
    <hyperlink ref="J240" r:id="rId237" xr:uid="{00000000-0004-0000-0200-0000EC000000}"/>
    <hyperlink ref="J241" r:id="rId238" xr:uid="{00000000-0004-0000-0200-0000ED000000}"/>
    <hyperlink ref="J242" r:id="rId239" xr:uid="{00000000-0004-0000-0200-0000EE000000}"/>
    <hyperlink ref="J243" r:id="rId240" xr:uid="{00000000-0004-0000-0200-0000EF000000}"/>
    <hyperlink ref="J244" r:id="rId241" xr:uid="{00000000-0004-0000-0200-0000F0000000}"/>
    <hyperlink ref="J245" r:id="rId242" xr:uid="{00000000-0004-0000-0200-0000F1000000}"/>
    <hyperlink ref="J246" r:id="rId243" xr:uid="{00000000-0004-0000-0200-0000F2000000}"/>
    <hyperlink ref="J247" r:id="rId244" xr:uid="{00000000-0004-0000-0200-0000F3000000}"/>
    <hyperlink ref="J248" r:id="rId245" xr:uid="{00000000-0004-0000-0200-0000F4000000}"/>
    <hyperlink ref="J249" r:id="rId246" xr:uid="{00000000-0004-0000-0200-0000F5000000}"/>
    <hyperlink ref="J250" r:id="rId247" xr:uid="{00000000-0004-0000-0200-0000F6000000}"/>
    <hyperlink ref="J251" r:id="rId248" xr:uid="{00000000-0004-0000-0200-0000F7000000}"/>
    <hyperlink ref="J252" r:id="rId249" xr:uid="{00000000-0004-0000-0200-0000F8000000}"/>
    <hyperlink ref="J253" r:id="rId250" xr:uid="{00000000-0004-0000-0200-0000F9000000}"/>
    <hyperlink ref="J254" r:id="rId251" xr:uid="{00000000-0004-0000-0200-0000FA000000}"/>
    <hyperlink ref="J255" r:id="rId252" xr:uid="{00000000-0004-0000-0200-0000FB000000}"/>
    <hyperlink ref="J256" r:id="rId253" xr:uid="{00000000-0004-0000-0200-0000FC000000}"/>
    <hyperlink ref="J257" r:id="rId254" xr:uid="{00000000-0004-0000-0200-0000FD000000}"/>
    <hyperlink ref="J258" r:id="rId255" xr:uid="{00000000-0004-0000-0200-0000FE000000}"/>
    <hyperlink ref="J259" r:id="rId256" xr:uid="{00000000-0004-0000-0200-0000FF000000}"/>
    <hyperlink ref="J260" r:id="rId257" xr:uid="{00000000-0004-0000-0200-000000010000}"/>
    <hyperlink ref="J261" r:id="rId258" xr:uid="{00000000-0004-0000-0200-000001010000}"/>
    <hyperlink ref="J262" r:id="rId259" xr:uid="{00000000-0004-0000-0200-000002010000}"/>
    <hyperlink ref="J263" r:id="rId260" xr:uid="{00000000-0004-0000-0200-000003010000}"/>
    <hyperlink ref="J264" r:id="rId261" xr:uid="{00000000-0004-0000-0200-000004010000}"/>
    <hyperlink ref="J265" r:id="rId262" xr:uid="{00000000-0004-0000-0200-000005010000}"/>
    <hyperlink ref="J266" r:id="rId263" xr:uid="{00000000-0004-0000-0200-000006010000}"/>
    <hyperlink ref="J267" r:id="rId264" xr:uid="{00000000-0004-0000-0200-000007010000}"/>
    <hyperlink ref="J268" r:id="rId265" xr:uid="{00000000-0004-0000-0200-000008010000}"/>
    <hyperlink ref="J269" r:id="rId266" xr:uid="{00000000-0004-0000-0200-000009010000}"/>
    <hyperlink ref="J270" r:id="rId267" xr:uid="{00000000-0004-0000-0200-00000A010000}"/>
    <hyperlink ref="J271" r:id="rId268" xr:uid="{00000000-0004-0000-0200-00000B010000}"/>
    <hyperlink ref="J272" r:id="rId269" xr:uid="{00000000-0004-0000-0200-00000C010000}"/>
    <hyperlink ref="J273" r:id="rId270" xr:uid="{00000000-0004-0000-0200-00000D010000}"/>
    <hyperlink ref="J274" r:id="rId271" xr:uid="{00000000-0004-0000-0200-00000E010000}"/>
    <hyperlink ref="J275" r:id="rId272" xr:uid="{00000000-0004-0000-0200-00000F010000}"/>
    <hyperlink ref="J276" r:id="rId273" xr:uid="{00000000-0004-0000-0200-000010010000}"/>
    <hyperlink ref="J277" r:id="rId274" xr:uid="{00000000-0004-0000-0200-000011010000}"/>
    <hyperlink ref="J278" r:id="rId275" xr:uid="{00000000-0004-0000-0200-000012010000}"/>
    <hyperlink ref="J279" r:id="rId276" xr:uid="{00000000-0004-0000-0200-000013010000}"/>
    <hyperlink ref="J280" r:id="rId277" xr:uid="{00000000-0004-0000-0200-000014010000}"/>
    <hyperlink ref="J281" r:id="rId278" xr:uid="{00000000-0004-0000-0200-000015010000}"/>
    <hyperlink ref="J282" r:id="rId279" xr:uid="{00000000-0004-0000-0200-000016010000}"/>
    <hyperlink ref="J283" r:id="rId280" xr:uid="{00000000-0004-0000-0200-000017010000}"/>
    <hyperlink ref="J284" r:id="rId281" xr:uid="{00000000-0004-0000-0200-000018010000}"/>
    <hyperlink ref="J285" r:id="rId282" xr:uid="{00000000-0004-0000-0200-000019010000}"/>
    <hyperlink ref="J286" r:id="rId283" xr:uid="{00000000-0004-0000-0200-00001A010000}"/>
    <hyperlink ref="J287" r:id="rId284" xr:uid="{00000000-0004-0000-0200-00001B010000}"/>
    <hyperlink ref="J288" r:id="rId285" xr:uid="{00000000-0004-0000-0200-00001C010000}"/>
    <hyperlink ref="J289" r:id="rId286" xr:uid="{00000000-0004-0000-0200-00001D010000}"/>
    <hyperlink ref="J290" r:id="rId287" xr:uid="{00000000-0004-0000-0200-00001E010000}"/>
    <hyperlink ref="J291" r:id="rId288" xr:uid="{00000000-0004-0000-0200-00001F010000}"/>
    <hyperlink ref="J292" r:id="rId289" xr:uid="{00000000-0004-0000-0200-000020010000}"/>
    <hyperlink ref="J293" r:id="rId290" xr:uid="{00000000-0004-0000-0200-000021010000}"/>
    <hyperlink ref="J294" r:id="rId291" xr:uid="{00000000-0004-0000-0200-000022010000}"/>
    <hyperlink ref="J295" r:id="rId292" xr:uid="{00000000-0004-0000-0200-000023010000}"/>
    <hyperlink ref="J296" r:id="rId293" xr:uid="{00000000-0004-0000-0200-000024010000}"/>
    <hyperlink ref="J297" r:id="rId294" xr:uid="{00000000-0004-0000-0200-000025010000}"/>
    <hyperlink ref="J298" r:id="rId295" xr:uid="{00000000-0004-0000-0200-000026010000}"/>
    <hyperlink ref="J299" r:id="rId296" xr:uid="{00000000-0004-0000-0200-000027010000}"/>
    <hyperlink ref="J300" r:id="rId297" xr:uid="{00000000-0004-0000-0200-000028010000}"/>
    <hyperlink ref="J301" r:id="rId298" xr:uid="{00000000-0004-0000-0200-000029010000}"/>
    <hyperlink ref="J302" r:id="rId299" xr:uid="{00000000-0004-0000-0200-00002A010000}"/>
    <hyperlink ref="J303" r:id="rId300" xr:uid="{00000000-0004-0000-0200-00002B010000}"/>
    <hyperlink ref="J304" r:id="rId301" xr:uid="{00000000-0004-0000-0200-00002C010000}"/>
    <hyperlink ref="J305" r:id="rId302" xr:uid="{00000000-0004-0000-0200-00002D010000}"/>
    <hyperlink ref="J306" r:id="rId303" xr:uid="{00000000-0004-0000-0200-00002E010000}"/>
    <hyperlink ref="J307" r:id="rId304" xr:uid="{00000000-0004-0000-0200-00002F010000}"/>
    <hyperlink ref="J308" r:id="rId305" xr:uid="{00000000-0004-0000-0200-000030010000}"/>
    <hyperlink ref="J309" r:id="rId306" xr:uid="{00000000-0004-0000-0200-000031010000}"/>
    <hyperlink ref="J310" r:id="rId307" xr:uid="{00000000-0004-0000-0200-000032010000}"/>
    <hyperlink ref="J311" r:id="rId308" xr:uid="{00000000-0004-0000-0200-000033010000}"/>
    <hyperlink ref="J312" r:id="rId309" xr:uid="{00000000-0004-0000-0200-000034010000}"/>
    <hyperlink ref="J313" r:id="rId310" xr:uid="{00000000-0004-0000-0200-000035010000}"/>
    <hyperlink ref="J314" r:id="rId311" xr:uid="{00000000-0004-0000-0200-000036010000}"/>
    <hyperlink ref="J315" r:id="rId312" xr:uid="{00000000-0004-0000-0200-000037010000}"/>
    <hyperlink ref="J316" r:id="rId313" xr:uid="{00000000-0004-0000-0200-000038010000}"/>
    <hyperlink ref="J317" r:id="rId314" xr:uid="{00000000-0004-0000-0200-000039010000}"/>
    <hyperlink ref="J318" r:id="rId315" xr:uid="{00000000-0004-0000-0200-00003A010000}"/>
    <hyperlink ref="J319" r:id="rId316" xr:uid="{00000000-0004-0000-0200-00003B010000}"/>
    <hyperlink ref="J320" r:id="rId317" xr:uid="{00000000-0004-0000-0200-00003C010000}"/>
    <hyperlink ref="J321" r:id="rId318" xr:uid="{00000000-0004-0000-0200-00003D010000}"/>
    <hyperlink ref="J322" r:id="rId319" xr:uid="{00000000-0004-0000-0200-00003E010000}"/>
    <hyperlink ref="J323" r:id="rId320" xr:uid="{00000000-0004-0000-0200-00003F010000}"/>
    <hyperlink ref="J324" r:id="rId321" xr:uid="{00000000-0004-0000-0200-000040010000}"/>
    <hyperlink ref="J325" r:id="rId322" xr:uid="{00000000-0004-0000-0200-000041010000}"/>
    <hyperlink ref="J326" r:id="rId323" xr:uid="{00000000-0004-0000-0200-000042010000}"/>
    <hyperlink ref="J327" r:id="rId324" xr:uid="{00000000-0004-0000-0200-000043010000}"/>
    <hyperlink ref="J328" r:id="rId325" xr:uid="{00000000-0004-0000-0200-000044010000}"/>
    <hyperlink ref="J329" r:id="rId326" xr:uid="{00000000-0004-0000-0200-000045010000}"/>
    <hyperlink ref="J330" r:id="rId327" xr:uid="{00000000-0004-0000-0200-000046010000}"/>
    <hyperlink ref="J331" r:id="rId328" xr:uid="{00000000-0004-0000-0200-000047010000}"/>
    <hyperlink ref="J332" r:id="rId329" xr:uid="{00000000-0004-0000-0200-000048010000}"/>
    <hyperlink ref="J333" r:id="rId330" xr:uid="{00000000-0004-0000-0200-000049010000}"/>
    <hyperlink ref="J334" r:id="rId331" xr:uid="{00000000-0004-0000-0200-00004A010000}"/>
    <hyperlink ref="J335" r:id="rId332" xr:uid="{00000000-0004-0000-0200-00004B010000}"/>
    <hyperlink ref="J336" r:id="rId333" xr:uid="{00000000-0004-0000-0200-00004C010000}"/>
    <hyperlink ref="J337" r:id="rId334" xr:uid="{00000000-0004-0000-0200-00004D010000}"/>
    <hyperlink ref="J338" r:id="rId335" xr:uid="{00000000-0004-0000-0200-00004E010000}"/>
    <hyperlink ref="J339" r:id="rId336" xr:uid="{00000000-0004-0000-0200-00004F010000}"/>
    <hyperlink ref="J340" r:id="rId337" xr:uid="{00000000-0004-0000-0200-000050010000}"/>
    <hyperlink ref="J341" r:id="rId338" xr:uid="{00000000-0004-0000-0200-000051010000}"/>
    <hyperlink ref="J342" r:id="rId339" xr:uid="{00000000-0004-0000-0200-000052010000}"/>
    <hyperlink ref="J343" r:id="rId340" xr:uid="{00000000-0004-0000-0200-000053010000}"/>
    <hyperlink ref="J344" r:id="rId341" xr:uid="{00000000-0004-0000-0200-000054010000}"/>
    <hyperlink ref="J345" r:id="rId342" xr:uid="{00000000-0004-0000-0200-000055010000}"/>
    <hyperlink ref="J346" r:id="rId343" xr:uid="{00000000-0004-0000-0200-000056010000}"/>
    <hyperlink ref="J347" r:id="rId344" xr:uid="{00000000-0004-0000-0200-000057010000}"/>
    <hyperlink ref="J348" r:id="rId345" xr:uid="{00000000-0004-0000-0200-000058010000}"/>
    <hyperlink ref="J349" r:id="rId346" xr:uid="{00000000-0004-0000-0200-000059010000}"/>
    <hyperlink ref="J350" r:id="rId347" xr:uid="{00000000-0004-0000-0200-00005A010000}"/>
    <hyperlink ref="J351" r:id="rId348" xr:uid="{00000000-0004-0000-0200-00005B010000}"/>
    <hyperlink ref="J352" r:id="rId349" xr:uid="{00000000-0004-0000-0200-00005C010000}"/>
    <hyperlink ref="J353" r:id="rId350" xr:uid="{00000000-0004-0000-0200-00005D010000}"/>
    <hyperlink ref="J354" r:id="rId351" xr:uid="{00000000-0004-0000-0200-00005E010000}"/>
    <hyperlink ref="J355" r:id="rId352" xr:uid="{00000000-0004-0000-0200-00005F010000}"/>
    <hyperlink ref="J356" r:id="rId353" xr:uid="{00000000-0004-0000-0200-000060010000}"/>
    <hyperlink ref="J357" r:id="rId354" xr:uid="{00000000-0004-0000-0200-000061010000}"/>
    <hyperlink ref="J358" r:id="rId355" xr:uid="{00000000-0004-0000-0200-000062010000}"/>
    <hyperlink ref="J359" r:id="rId356" xr:uid="{00000000-0004-0000-0200-000063010000}"/>
    <hyperlink ref="J360" r:id="rId357" xr:uid="{00000000-0004-0000-0200-000064010000}"/>
    <hyperlink ref="J361" r:id="rId358" xr:uid="{00000000-0004-0000-0200-000065010000}"/>
    <hyperlink ref="J362" r:id="rId359" xr:uid="{00000000-0004-0000-0200-000066010000}"/>
    <hyperlink ref="J363" r:id="rId360" xr:uid="{00000000-0004-0000-0200-000067010000}"/>
    <hyperlink ref="J364" r:id="rId361" xr:uid="{00000000-0004-0000-0200-000068010000}"/>
    <hyperlink ref="J365" r:id="rId362" xr:uid="{00000000-0004-0000-0200-000069010000}"/>
    <hyperlink ref="J366" r:id="rId363" xr:uid="{00000000-0004-0000-0200-00006A010000}"/>
    <hyperlink ref="J367" r:id="rId364" xr:uid="{00000000-0004-0000-0200-00006B010000}"/>
    <hyperlink ref="J368" r:id="rId365" xr:uid="{00000000-0004-0000-0200-00006C010000}"/>
    <hyperlink ref="J369" r:id="rId366" xr:uid="{00000000-0004-0000-0200-00006D010000}"/>
    <hyperlink ref="J370" r:id="rId367" xr:uid="{00000000-0004-0000-0200-00006E010000}"/>
    <hyperlink ref="J371" r:id="rId368" xr:uid="{00000000-0004-0000-0200-00006F010000}"/>
    <hyperlink ref="J372" r:id="rId369" xr:uid="{00000000-0004-0000-0200-000070010000}"/>
    <hyperlink ref="J373" r:id="rId370" xr:uid="{00000000-0004-0000-0200-000071010000}"/>
    <hyperlink ref="J374" r:id="rId371" xr:uid="{00000000-0004-0000-0200-000072010000}"/>
    <hyperlink ref="J375" r:id="rId372" xr:uid="{00000000-0004-0000-0200-000073010000}"/>
    <hyperlink ref="J376" r:id="rId373" xr:uid="{00000000-0004-0000-0200-000074010000}"/>
    <hyperlink ref="J377" r:id="rId374" xr:uid="{00000000-0004-0000-0200-000075010000}"/>
    <hyperlink ref="J378" r:id="rId375" xr:uid="{00000000-0004-0000-0200-000076010000}"/>
    <hyperlink ref="J379" r:id="rId376" xr:uid="{00000000-0004-0000-0200-000077010000}"/>
    <hyperlink ref="J380" r:id="rId377" xr:uid="{00000000-0004-0000-0200-000078010000}"/>
    <hyperlink ref="J381" r:id="rId378" xr:uid="{00000000-0004-0000-0200-000079010000}"/>
    <hyperlink ref="J382" r:id="rId379" xr:uid="{00000000-0004-0000-0200-00007A010000}"/>
    <hyperlink ref="J383" r:id="rId380" xr:uid="{00000000-0004-0000-0200-00007B010000}"/>
    <hyperlink ref="J384" r:id="rId381" xr:uid="{00000000-0004-0000-0200-00007C010000}"/>
    <hyperlink ref="J385" r:id="rId382" xr:uid="{00000000-0004-0000-0200-00007D010000}"/>
    <hyperlink ref="J386" r:id="rId383" xr:uid="{00000000-0004-0000-0200-00007E010000}"/>
    <hyperlink ref="J387" r:id="rId384" xr:uid="{00000000-0004-0000-0200-00007F010000}"/>
    <hyperlink ref="J388" r:id="rId385" xr:uid="{00000000-0004-0000-0200-000080010000}"/>
    <hyperlink ref="J389" r:id="rId386" xr:uid="{00000000-0004-0000-0200-000081010000}"/>
    <hyperlink ref="J390" r:id="rId387" xr:uid="{00000000-0004-0000-0200-000082010000}"/>
    <hyperlink ref="J391" r:id="rId388" xr:uid="{00000000-0004-0000-0200-000083010000}"/>
    <hyperlink ref="J392" r:id="rId389" xr:uid="{00000000-0004-0000-0200-000084010000}"/>
    <hyperlink ref="J393" r:id="rId390" xr:uid="{00000000-0004-0000-0200-000085010000}"/>
    <hyperlink ref="J394" r:id="rId391" xr:uid="{00000000-0004-0000-0200-000086010000}"/>
    <hyperlink ref="J395" r:id="rId392" xr:uid="{00000000-0004-0000-0200-000087010000}"/>
    <hyperlink ref="J396" r:id="rId393" xr:uid="{00000000-0004-0000-0200-000088010000}"/>
    <hyperlink ref="J397" r:id="rId394" xr:uid="{00000000-0004-0000-0200-000089010000}"/>
    <hyperlink ref="J398" r:id="rId395" xr:uid="{00000000-0004-0000-0200-00008A010000}"/>
    <hyperlink ref="J399" r:id="rId396" xr:uid="{00000000-0004-0000-0200-00008B010000}"/>
    <hyperlink ref="J400" r:id="rId397" xr:uid="{00000000-0004-0000-0200-00008C010000}"/>
    <hyperlink ref="J401" r:id="rId398" xr:uid="{00000000-0004-0000-0200-00008D010000}"/>
    <hyperlink ref="J402" r:id="rId399" xr:uid="{00000000-0004-0000-0200-00008E010000}"/>
    <hyperlink ref="J403" r:id="rId400" xr:uid="{00000000-0004-0000-0200-00008F010000}"/>
    <hyperlink ref="J404" r:id="rId401" xr:uid="{00000000-0004-0000-0200-000090010000}"/>
    <hyperlink ref="J405" r:id="rId402" xr:uid="{00000000-0004-0000-0200-000091010000}"/>
    <hyperlink ref="J406" r:id="rId403" xr:uid="{00000000-0004-0000-0200-000092010000}"/>
    <hyperlink ref="J407" r:id="rId404" xr:uid="{00000000-0004-0000-0200-000093010000}"/>
    <hyperlink ref="J408" r:id="rId405" xr:uid="{00000000-0004-0000-0200-000094010000}"/>
    <hyperlink ref="J409" r:id="rId406" xr:uid="{00000000-0004-0000-0200-000095010000}"/>
    <hyperlink ref="J410" r:id="rId407" xr:uid="{00000000-0004-0000-0200-000096010000}"/>
    <hyperlink ref="J411" r:id="rId408" xr:uid="{00000000-0004-0000-0200-000097010000}"/>
    <hyperlink ref="J412" r:id="rId409" xr:uid="{00000000-0004-0000-0200-000098010000}"/>
    <hyperlink ref="J413" r:id="rId410" xr:uid="{00000000-0004-0000-0200-000099010000}"/>
    <hyperlink ref="J414" r:id="rId411" xr:uid="{00000000-0004-0000-0200-00009A010000}"/>
    <hyperlink ref="J415" r:id="rId412" xr:uid="{00000000-0004-0000-0200-00009B010000}"/>
    <hyperlink ref="J416" r:id="rId413" xr:uid="{00000000-0004-0000-0200-00009C010000}"/>
    <hyperlink ref="J417" r:id="rId414" xr:uid="{00000000-0004-0000-0200-00009D010000}"/>
    <hyperlink ref="J418" r:id="rId415" xr:uid="{00000000-0004-0000-0200-00009E010000}"/>
    <hyperlink ref="J419" r:id="rId416" xr:uid="{00000000-0004-0000-0200-00009F010000}"/>
    <hyperlink ref="J420" r:id="rId417" xr:uid="{00000000-0004-0000-0200-0000A0010000}"/>
    <hyperlink ref="J421" r:id="rId418" xr:uid="{00000000-0004-0000-0200-0000A1010000}"/>
    <hyperlink ref="J422" r:id="rId419" xr:uid="{00000000-0004-0000-0200-0000A2010000}"/>
    <hyperlink ref="J423" r:id="rId420" xr:uid="{00000000-0004-0000-0200-0000A3010000}"/>
    <hyperlink ref="J424" r:id="rId421" xr:uid="{00000000-0004-0000-0200-0000A4010000}"/>
    <hyperlink ref="J425" r:id="rId422" xr:uid="{00000000-0004-0000-0200-0000A5010000}"/>
    <hyperlink ref="J426" r:id="rId423" xr:uid="{00000000-0004-0000-0200-0000A6010000}"/>
    <hyperlink ref="J427" r:id="rId424" xr:uid="{00000000-0004-0000-0200-0000A7010000}"/>
    <hyperlink ref="J428" r:id="rId425" xr:uid="{00000000-0004-0000-0200-0000A8010000}"/>
    <hyperlink ref="J429" r:id="rId426" xr:uid="{00000000-0004-0000-0200-0000A9010000}"/>
    <hyperlink ref="J430" r:id="rId427" xr:uid="{00000000-0004-0000-0200-0000AA010000}"/>
    <hyperlink ref="J431" r:id="rId428" xr:uid="{00000000-0004-0000-0200-0000AB010000}"/>
    <hyperlink ref="J432" r:id="rId429" xr:uid="{00000000-0004-0000-0200-0000AC010000}"/>
    <hyperlink ref="J433" r:id="rId430" xr:uid="{00000000-0004-0000-0200-0000AD010000}"/>
    <hyperlink ref="J434" r:id="rId431" xr:uid="{00000000-0004-0000-0200-0000AE010000}"/>
    <hyperlink ref="J435" r:id="rId432" xr:uid="{00000000-0004-0000-0200-0000AF010000}"/>
    <hyperlink ref="J436" r:id="rId433" xr:uid="{00000000-0004-0000-0200-0000B0010000}"/>
    <hyperlink ref="J437" r:id="rId434" xr:uid="{00000000-0004-0000-0200-0000B1010000}"/>
    <hyperlink ref="J438" r:id="rId435" xr:uid="{00000000-0004-0000-0200-0000B2010000}"/>
    <hyperlink ref="J439" r:id="rId436" xr:uid="{00000000-0004-0000-0200-0000B3010000}"/>
    <hyperlink ref="J440" r:id="rId437" xr:uid="{00000000-0004-0000-0200-0000B4010000}"/>
    <hyperlink ref="J441" r:id="rId438" xr:uid="{00000000-0004-0000-0200-0000B5010000}"/>
    <hyperlink ref="J442" r:id="rId439" xr:uid="{00000000-0004-0000-0200-0000B6010000}"/>
    <hyperlink ref="J443" r:id="rId440" xr:uid="{00000000-0004-0000-0200-0000B7010000}"/>
    <hyperlink ref="J444" r:id="rId441" xr:uid="{00000000-0004-0000-0200-0000B8010000}"/>
    <hyperlink ref="J445" r:id="rId442" xr:uid="{00000000-0004-0000-0200-0000B9010000}"/>
    <hyperlink ref="J446" r:id="rId443" xr:uid="{00000000-0004-0000-0200-0000BA010000}"/>
    <hyperlink ref="J447" r:id="rId444" xr:uid="{00000000-0004-0000-0200-0000BB010000}"/>
    <hyperlink ref="J448" r:id="rId445" xr:uid="{00000000-0004-0000-0200-0000BC010000}"/>
    <hyperlink ref="J449" r:id="rId446" xr:uid="{00000000-0004-0000-0200-0000BD010000}"/>
    <hyperlink ref="J450" r:id="rId447" xr:uid="{00000000-0004-0000-0200-0000BE010000}"/>
    <hyperlink ref="J451" r:id="rId448" xr:uid="{00000000-0004-0000-0200-0000BF010000}"/>
    <hyperlink ref="J452" r:id="rId449" xr:uid="{00000000-0004-0000-0200-0000C0010000}"/>
    <hyperlink ref="J453" r:id="rId450" xr:uid="{00000000-0004-0000-0200-0000C1010000}"/>
    <hyperlink ref="J454" r:id="rId451" xr:uid="{00000000-0004-0000-0200-0000C2010000}"/>
    <hyperlink ref="J455" r:id="rId452" xr:uid="{00000000-0004-0000-0200-0000C3010000}"/>
    <hyperlink ref="J456" r:id="rId453" xr:uid="{00000000-0004-0000-0200-0000C4010000}"/>
    <hyperlink ref="J457" r:id="rId454" xr:uid="{00000000-0004-0000-0200-0000C5010000}"/>
    <hyperlink ref="J458" r:id="rId455" xr:uid="{00000000-0004-0000-0200-0000C6010000}"/>
    <hyperlink ref="J459" r:id="rId456" xr:uid="{00000000-0004-0000-0200-0000C7010000}"/>
    <hyperlink ref="J460" r:id="rId457" xr:uid="{00000000-0004-0000-0200-0000C8010000}"/>
    <hyperlink ref="J461" r:id="rId458" xr:uid="{00000000-0004-0000-0200-0000C9010000}"/>
    <hyperlink ref="J462" r:id="rId459" xr:uid="{00000000-0004-0000-0200-0000CA010000}"/>
    <hyperlink ref="J463" r:id="rId460" xr:uid="{00000000-0004-0000-0200-0000CB010000}"/>
    <hyperlink ref="J464" r:id="rId461" xr:uid="{00000000-0004-0000-0200-0000CC010000}"/>
    <hyperlink ref="J465" r:id="rId462" xr:uid="{00000000-0004-0000-0200-0000CD010000}"/>
    <hyperlink ref="J466" r:id="rId463" xr:uid="{00000000-0004-0000-0200-0000CE010000}"/>
    <hyperlink ref="J467" r:id="rId464" xr:uid="{00000000-0004-0000-0200-0000CF010000}"/>
    <hyperlink ref="J468" r:id="rId465" xr:uid="{00000000-0004-0000-0200-0000D0010000}"/>
    <hyperlink ref="J469" r:id="rId466" xr:uid="{00000000-0004-0000-0200-0000D1010000}"/>
    <hyperlink ref="J470" r:id="rId467" xr:uid="{00000000-0004-0000-0200-0000D2010000}"/>
    <hyperlink ref="J471" r:id="rId468" xr:uid="{00000000-0004-0000-0200-0000D3010000}"/>
    <hyperlink ref="J472" r:id="rId469" xr:uid="{00000000-0004-0000-0200-0000D4010000}"/>
    <hyperlink ref="J473" r:id="rId470" xr:uid="{00000000-0004-0000-0200-0000D5010000}"/>
    <hyperlink ref="J474" r:id="rId471" xr:uid="{00000000-0004-0000-0200-0000D6010000}"/>
    <hyperlink ref="J475" r:id="rId472" xr:uid="{00000000-0004-0000-0200-0000D7010000}"/>
    <hyperlink ref="J476" r:id="rId473" xr:uid="{00000000-0004-0000-0200-0000D8010000}"/>
    <hyperlink ref="J477" r:id="rId474" xr:uid="{00000000-0004-0000-0200-0000D9010000}"/>
    <hyperlink ref="J478" r:id="rId475" xr:uid="{00000000-0004-0000-0200-0000DA010000}"/>
    <hyperlink ref="J479" r:id="rId476" xr:uid="{00000000-0004-0000-0200-0000DB010000}"/>
    <hyperlink ref="J480" r:id="rId477" xr:uid="{00000000-0004-0000-0200-0000DC010000}"/>
    <hyperlink ref="J481" r:id="rId478" xr:uid="{00000000-0004-0000-0200-0000DD010000}"/>
    <hyperlink ref="J482" r:id="rId479" xr:uid="{00000000-0004-0000-0200-0000DE010000}"/>
    <hyperlink ref="J483" r:id="rId480" xr:uid="{00000000-0004-0000-0200-0000DF010000}"/>
    <hyperlink ref="J484" r:id="rId481" xr:uid="{00000000-0004-0000-0200-0000E0010000}"/>
    <hyperlink ref="J485" r:id="rId482" xr:uid="{00000000-0004-0000-0200-0000E1010000}"/>
    <hyperlink ref="J486" r:id="rId483" xr:uid="{00000000-0004-0000-0200-0000E2010000}"/>
    <hyperlink ref="J487" r:id="rId484" xr:uid="{00000000-0004-0000-0200-0000E3010000}"/>
    <hyperlink ref="J488" r:id="rId485" xr:uid="{00000000-0004-0000-0200-0000E4010000}"/>
    <hyperlink ref="J489" r:id="rId486" xr:uid="{00000000-0004-0000-0200-0000E5010000}"/>
    <hyperlink ref="J490" r:id="rId487" xr:uid="{00000000-0004-0000-0200-0000E6010000}"/>
    <hyperlink ref="J491" r:id="rId488" xr:uid="{00000000-0004-0000-0200-0000E7010000}"/>
    <hyperlink ref="J492" r:id="rId489" xr:uid="{00000000-0004-0000-0200-0000E8010000}"/>
    <hyperlink ref="J493" r:id="rId490" xr:uid="{00000000-0004-0000-0200-0000E9010000}"/>
    <hyperlink ref="J494" r:id="rId491" xr:uid="{00000000-0004-0000-0200-0000EA010000}"/>
    <hyperlink ref="J495" r:id="rId492" xr:uid="{00000000-0004-0000-0200-0000EB010000}"/>
    <hyperlink ref="J496" r:id="rId493" xr:uid="{00000000-0004-0000-0200-0000EC010000}"/>
    <hyperlink ref="J497" r:id="rId494" xr:uid="{00000000-0004-0000-0200-0000ED010000}"/>
    <hyperlink ref="J498" r:id="rId495" xr:uid="{00000000-0004-0000-0200-0000EE010000}"/>
    <hyperlink ref="J499" r:id="rId496" xr:uid="{00000000-0004-0000-0200-0000EF010000}"/>
    <hyperlink ref="J500" r:id="rId497" xr:uid="{00000000-0004-0000-0200-0000F0010000}"/>
    <hyperlink ref="J501" r:id="rId498" xr:uid="{00000000-0004-0000-0200-0000F1010000}"/>
    <hyperlink ref="J502" r:id="rId499" xr:uid="{00000000-0004-0000-0200-0000F2010000}"/>
    <hyperlink ref="J503" r:id="rId500" xr:uid="{00000000-0004-0000-0200-0000F3010000}"/>
    <hyperlink ref="J504" r:id="rId501" xr:uid="{00000000-0004-0000-0200-0000F4010000}"/>
    <hyperlink ref="J505" r:id="rId502" xr:uid="{00000000-0004-0000-0200-0000F5010000}"/>
    <hyperlink ref="J506" r:id="rId503" xr:uid="{00000000-0004-0000-0200-0000F6010000}"/>
    <hyperlink ref="J507" r:id="rId504" xr:uid="{00000000-0004-0000-0200-0000F7010000}"/>
    <hyperlink ref="J508" r:id="rId505" xr:uid="{00000000-0004-0000-0200-0000F8010000}"/>
    <hyperlink ref="J509" r:id="rId506" xr:uid="{00000000-0004-0000-0200-0000F9010000}"/>
    <hyperlink ref="J510" r:id="rId507" xr:uid="{00000000-0004-0000-0200-0000FA010000}"/>
    <hyperlink ref="J511" r:id="rId508" xr:uid="{00000000-0004-0000-0200-0000FB010000}"/>
    <hyperlink ref="J512" r:id="rId509" xr:uid="{00000000-0004-0000-0200-0000FC010000}"/>
    <hyperlink ref="J513" r:id="rId510" xr:uid="{00000000-0004-0000-0200-0000FD010000}"/>
    <hyperlink ref="J514" r:id="rId511" xr:uid="{00000000-0004-0000-0200-0000FE010000}"/>
    <hyperlink ref="J515" r:id="rId512" xr:uid="{00000000-0004-0000-0200-0000FF010000}"/>
    <hyperlink ref="J516" r:id="rId513" xr:uid="{00000000-0004-0000-0200-000000020000}"/>
    <hyperlink ref="J517" r:id="rId514" xr:uid="{00000000-0004-0000-0200-000001020000}"/>
    <hyperlink ref="J518" r:id="rId515" xr:uid="{00000000-0004-0000-0200-000002020000}"/>
    <hyperlink ref="J519" r:id="rId516" xr:uid="{00000000-0004-0000-0200-000003020000}"/>
    <hyperlink ref="J520" r:id="rId517" xr:uid="{00000000-0004-0000-0200-000004020000}"/>
    <hyperlink ref="J521" r:id="rId518" xr:uid="{00000000-0004-0000-0200-000005020000}"/>
    <hyperlink ref="J522" r:id="rId519" xr:uid="{00000000-0004-0000-0200-000006020000}"/>
    <hyperlink ref="J523" r:id="rId520" xr:uid="{00000000-0004-0000-0200-000007020000}"/>
    <hyperlink ref="J524" r:id="rId521" xr:uid="{00000000-0004-0000-0200-000008020000}"/>
    <hyperlink ref="J525" r:id="rId522" xr:uid="{00000000-0004-0000-0200-000009020000}"/>
    <hyperlink ref="J526" r:id="rId523" xr:uid="{00000000-0004-0000-0200-00000A020000}"/>
    <hyperlink ref="J527" r:id="rId524" xr:uid="{00000000-0004-0000-0200-00000B020000}"/>
    <hyperlink ref="J528" r:id="rId525" xr:uid="{00000000-0004-0000-0200-00000C020000}"/>
    <hyperlink ref="J529" r:id="rId526" xr:uid="{00000000-0004-0000-0200-00000D020000}"/>
    <hyperlink ref="J530" r:id="rId527" xr:uid="{00000000-0004-0000-0200-00000E020000}"/>
    <hyperlink ref="J531" r:id="rId528" xr:uid="{00000000-0004-0000-0200-00000F020000}"/>
    <hyperlink ref="J532" r:id="rId529" xr:uid="{00000000-0004-0000-0200-000010020000}"/>
    <hyperlink ref="J533" r:id="rId530" xr:uid="{00000000-0004-0000-0200-000011020000}"/>
    <hyperlink ref="J534" r:id="rId531" xr:uid="{00000000-0004-0000-0200-000012020000}"/>
    <hyperlink ref="J535" r:id="rId532" xr:uid="{00000000-0004-0000-0200-000013020000}"/>
    <hyperlink ref="J536" r:id="rId533" xr:uid="{00000000-0004-0000-0200-000014020000}"/>
    <hyperlink ref="J537" r:id="rId534" xr:uid="{00000000-0004-0000-0200-000015020000}"/>
    <hyperlink ref="J538" r:id="rId535" xr:uid="{00000000-0004-0000-0200-000016020000}"/>
    <hyperlink ref="J539" r:id="rId536" xr:uid="{00000000-0004-0000-0200-000017020000}"/>
    <hyperlink ref="J540" r:id="rId537" xr:uid="{00000000-0004-0000-0200-000018020000}"/>
    <hyperlink ref="J541" r:id="rId538" xr:uid="{00000000-0004-0000-0200-000019020000}"/>
    <hyperlink ref="J542" r:id="rId539" xr:uid="{00000000-0004-0000-0200-00001A020000}"/>
    <hyperlink ref="J543" r:id="rId540" xr:uid="{00000000-0004-0000-0200-00001B020000}"/>
    <hyperlink ref="J544" r:id="rId541" xr:uid="{00000000-0004-0000-0200-00001C020000}"/>
    <hyperlink ref="J545" r:id="rId542" xr:uid="{00000000-0004-0000-0200-00001D020000}"/>
    <hyperlink ref="J546" r:id="rId543" xr:uid="{00000000-0004-0000-0200-00001E020000}"/>
    <hyperlink ref="J547" r:id="rId544" xr:uid="{00000000-0004-0000-0200-00001F020000}"/>
    <hyperlink ref="J548" r:id="rId545" xr:uid="{00000000-0004-0000-0200-000020020000}"/>
    <hyperlink ref="J549" r:id="rId546" xr:uid="{00000000-0004-0000-0200-000021020000}"/>
    <hyperlink ref="J550" r:id="rId547" xr:uid="{00000000-0004-0000-0200-000022020000}"/>
    <hyperlink ref="J551" r:id="rId548" xr:uid="{00000000-0004-0000-0200-000023020000}"/>
    <hyperlink ref="J552" r:id="rId549" xr:uid="{00000000-0004-0000-0200-000024020000}"/>
    <hyperlink ref="J553" r:id="rId550" xr:uid="{00000000-0004-0000-0200-000025020000}"/>
    <hyperlink ref="J554" r:id="rId551" xr:uid="{00000000-0004-0000-0200-000026020000}"/>
    <hyperlink ref="J555" r:id="rId552" xr:uid="{00000000-0004-0000-0200-000027020000}"/>
    <hyperlink ref="J556" r:id="rId553" xr:uid="{00000000-0004-0000-0200-000028020000}"/>
    <hyperlink ref="J557" r:id="rId554" xr:uid="{00000000-0004-0000-0200-000029020000}"/>
    <hyperlink ref="J558" r:id="rId555" xr:uid="{00000000-0004-0000-0200-00002A020000}"/>
    <hyperlink ref="J559" r:id="rId556" xr:uid="{00000000-0004-0000-0200-00002B020000}"/>
    <hyperlink ref="J560" r:id="rId557" xr:uid="{00000000-0004-0000-0200-00002C020000}"/>
    <hyperlink ref="J561" r:id="rId558" xr:uid="{00000000-0004-0000-0200-00002D020000}"/>
    <hyperlink ref="J562" r:id="rId559" xr:uid="{00000000-0004-0000-0200-00002E020000}"/>
    <hyperlink ref="J563" r:id="rId560" xr:uid="{00000000-0004-0000-0200-00002F020000}"/>
    <hyperlink ref="J564" r:id="rId561" xr:uid="{00000000-0004-0000-0200-000030020000}"/>
    <hyperlink ref="J565" r:id="rId562" xr:uid="{00000000-0004-0000-0200-000031020000}"/>
    <hyperlink ref="J566" r:id="rId563" xr:uid="{00000000-0004-0000-0200-000032020000}"/>
    <hyperlink ref="J567" r:id="rId564" xr:uid="{00000000-0004-0000-0200-000033020000}"/>
    <hyperlink ref="J568" r:id="rId565" xr:uid="{00000000-0004-0000-0200-000034020000}"/>
    <hyperlink ref="J569" r:id="rId566" xr:uid="{00000000-0004-0000-0200-000035020000}"/>
    <hyperlink ref="J570" r:id="rId567" xr:uid="{00000000-0004-0000-0200-000036020000}"/>
    <hyperlink ref="J571" r:id="rId568" xr:uid="{00000000-0004-0000-0200-000037020000}"/>
    <hyperlink ref="J572" r:id="rId569" xr:uid="{00000000-0004-0000-0200-000038020000}"/>
    <hyperlink ref="J573" r:id="rId570" xr:uid="{00000000-0004-0000-0200-000039020000}"/>
    <hyperlink ref="J574" r:id="rId571" xr:uid="{00000000-0004-0000-0200-00003A020000}"/>
    <hyperlink ref="J575" r:id="rId572" xr:uid="{00000000-0004-0000-0200-00003B020000}"/>
    <hyperlink ref="J576" r:id="rId573" xr:uid="{00000000-0004-0000-0200-00003C020000}"/>
    <hyperlink ref="J577" r:id="rId574" xr:uid="{00000000-0004-0000-0200-00003D020000}"/>
    <hyperlink ref="J578" r:id="rId575" xr:uid="{00000000-0004-0000-0200-00003E020000}"/>
    <hyperlink ref="J579" r:id="rId576" xr:uid="{00000000-0004-0000-0200-00003F020000}"/>
    <hyperlink ref="J580" r:id="rId577" xr:uid="{00000000-0004-0000-0200-000040020000}"/>
    <hyperlink ref="J581" r:id="rId578" xr:uid="{00000000-0004-0000-0200-000041020000}"/>
    <hyperlink ref="J582" r:id="rId579" xr:uid="{00000000-0004-0000-0200-000042020000}"/>
    <hyperlink ref="J583" r:id="rId580" xr:uid="{00000000-0004-0000-0200-000043020000}"/>
    <hyperlink ref="J584" r:id="rId581" xr:uid="{00000000-0004-0000-0200-000044020000}"/>
    <hyperlink ref="J585" r:id="rId582" xr:uid="{00000000-0004-0000-0200-000045020000}"/>
    <hyperlink ref="J586" r:id="rId583" xr:uid="{00000000-0004-0000-0200-000046020000}"/>
    <hyperlink ref="J587" r:id="rId584" xr:uid="{00000000-0004-0000-0200-000047020000}"/>
    <hyperlink ref="J588" r:id="rId585" xr:uid="{00000000-0004-0000-0200-000048020000}"/>
    <hyperlink ref="J589" r:id="rId586" xr:uid="{00000000-0004-0000-0200-000049020000}"/>
    <hyperlink ref="J590" r:id="rId587" xr:uid="{00000000-0004-0000-0200-00004A020000}"/>
    <hyperlink ref="J591" r:id="rId588" xr:uid="{00000000-0004-0000-0200-00004B020000}"/>
    <hyperlink ref="J592" r:id="rId589" xr:uid="{00000000-0004-0000-0200-00004C020000}"/>
    <hyperlink ref="J593" r:id="rId590" xr:uid="{00000000-0004-0000-0200-00004D020000}"/>
    <hyperlink ref="J594" r:id="rId591" xr:uid="{00000000-0004-0000-0200-00004E020000}"/>
    <hyperlink ref="J595" r:id="rId592" xr:uid="{00000000-0004-0000-0200-00004F020000}"/>
    <hyperlink ref="J596" r:id="rId593" xr:uid="{00000000-0004-0000-0200-000050020000}"/>
    <hyperlink ref="J597" r:id="rId594" xr:uid="{00000000-0004-0000-0200-000051020000}"/>
    <hyperlink ref="J598" r:id="rId595" xr:uid="{00000000-0004-0000-0200-000052020000}"/>
    <hyperlink ref="J599" r:id="rId596" xr:uid="{00000000-0004-0000-0200-000053020000}"/>
    <hyperlink ref="J600" r:id="rId597" xr:uid="{00000000-0004-0000-0200-000054020000}"/>
    <hyperlink ref="J601" r:id="rId598" xr:uid="{00000000-0004-0000-0200-000055020000}"/>
    <hyperlink ref="J602" r:id="rId599" xr:uid="{00000000-0004-0000-0200-000056020000}"/>
    <hyperlink ref="J603" r:id="rId600" xr:uid="{00000000-0004-0000-0200-000057020000}"/>
    <hyperlink ref="J604" r:id="rId601" xr:uid="{00000000-0004-0000-0200-000058020000}"/>
    <hyperlink ref="J605" r:id="rId602" xr:uid="{00000000-0004-0000-0200-000059020000}"/>
    <hyperlink ref="J606" r:id="rId603" xr:uid="{00000000-0004-0000-0200-00005A020000}"/>
    <hyperlink ref="J607" r:id="rId604" xr:uid="{00000000-0004-0000-0200-00005B020000}"/>
    <hyperlink ref="J608" r:id="rId605" xr:uid="{00000000-0004-0000-0200-00005C020000}"/>
    <hyperlink ref="J609" r:id="rId606" xr:uid="{00000000-0004-0000-0200-00005D020000}"/>
    <hyperlink ref="J610" r:id="rId607" xr:uid="{00000000-0004-0000-0200-00005E020000}"/>
    <hyperlink ref="J611" r:id="rId608" xr:uid="{00000000-0004-0000-0200-00005F020000}"/>
    <hyperlink ref="J612" r:id="rId609" xr:uid="{00000000-0004-0000-0200-000060020000}"/>
    <hyperlink ref="J613" r:id="rId610" xr:uid="{00000000-0004-0000-0200-000061020000}"/>
    <hyperlink ref="J614" r:id="rId611" xr:uid="{00000000-0004-0000-0200-000062020000}"/>
    <hyperlink ref="J615" r:id="rId612" xr:uid="{00000000-0004-0000-0200-000063020000}"/>
    <hyperlink ref="J616" r:id="rId613" xr:uid="{00000000-0004-0000-0200-000064020000}"/>
    <hyperlink ref="J617" r:id="rId614" xr:uid="{00000000-0004-0000-0200-000065020000}"/>
    <hyperlink ref="J618" r:id="rId615" xr:uid="{00000000-0004-0000-0200-000066020000}"/>
    <hyperlink ref="J619" r:id="rId616" xr:uid="{00000000-0004-0000-0200-000067020000}"/>
    <hyperlink ref="J620" r:id="rId617" xr:uid="{00000000-0004-0000-0200-000068020000}"/>
    <hyperlink ref="J621" r:id="rId618" xr:uid="{00000000-0004-0000-0200-000069020000}"/>
    <hyperlink ref="J622" r:id="rId619" xr:uid="{00000000-0004-0000-0200-00006A020000}"/>
    <hyperlink ref="J623" r:id="rId620" xr:uid="{00000000-0004-0000-0200-00006B020000}"/>
    <hyperlink ref="J624" r:id="rId621" xr:uid="{00000000-0004-0000-0200-00006C020000}"/>
    <hyperlink ref="J625" r:id="rId622" xr:uid="{00000000-0004-0000-0200-00006D020000}"/>
    <hyperlink ref="J626" r:id="rId623" xr:uid="{00000000-0004-0000-0200-00006E020000}"/>
    <hyperlink ref="J627" r:id="rId624" xr:uid="{00000000-0004-0000-0200-00006F020000}"/>
    <hyperlink ref="J628" r:id="rId625" xr:uid="{00000000-0004-0000-0200-000070020000}"/>
    <hyperlink ref="J629" r:id="rId626" xr:uid="{00000000-0004-0000-0200-000071020000}"/>
    <hyperlink ref="J630" r:id="rId627" xr:uid="{00000000-0004-0000-0200-000072020000}"/>
    <hyperlink ref="J631" r:id="rId628" xr:uid="{00000000-0004-0000-0200-000073020000}"/>
    <hyperlink ref="J632" r:id="rId629" xr:uid="{00000000-0004-0000-0200-000074020000}"/>
    <hyperlink ref="J633" r:id="rId630" xr:uid="{00000000-0004-0000-0200-000075020000}"/>
    <hyperlink ref="J634" r:id="rId631" xr:uid="{00000000-0004-0000-0200-000076020000}"/>
    <hyperlink ref="J635" r:id="rId632" xr:uid="{00000000-0004-0000-0200-000077020000}"/>
    <hyperlink ref="J636" r:id="rId633" xr:uid="{00000000-0004-0000-0200-000078020000}"/>
    <hyperlink ref="J637" r:id="rId634" xr:uid="{00000000-0004-0000-0200-000079020000}"/>
    <hyperlink ref="J638" r:id="rId635" xr:uid="{00000000-0004-0000-0200-00007A020000}"/>
    <hyperlink ref="J639" r:id="rId636" xr:uid="{00000000-0004-0000-0200-00007B020000}"/>
    <hyperlink ref="J640" r:id="rId637" xr:uid="{00000000-0004-0000-0200-00007C020000}"/>
    <hyperlink ref="J641" r:id="rId638" xr:uid="{00000000-0004-0000-0200-00007D020000}"/>
    <hyperlink ref="J642" r:id="rId639" xr:uid="{00000000-0004-0000-0200-00007E020000}"/>
    <hyperlink ref="J643" r:id="rId640" xr:uid="{00000000-0004-0000-0200-00007F020000}"/>
    <hyperlink ref="J644" r:id="rId641" xr:uid="{00000000-0004-0000-0200-000080020000}"/>
    <hyperlink ref="J645" r:id="rId642" xr:uid="{00000000-0004-0000-0200-000081020000}"/>
    <hyperlink ref="J646" r:id="rId643" xr:uid="{00000000-0004-0000-0200-000082020000}"/>
    <hyperlink ref="J647" r:id="rId644" xr:uid="{00000000-0004-0000-0200-000083020000}"/>
    <hyperlink ref="J648" r:id="rId645" xr:uid="{00000000-0004-0000-0200-000084020000}"/>
    <hyperlink ref="J649" r:id="rId646" xr:uid="{00000000-0004-0000-0200-000085020000}"/>
    <hyperlink ref="J650" r:id="rId647" xr:uid="{00000000-0004-0000-0200-000086020000}"/>
    <hyperlink ref="J651" r:id="rId648" xr:uid="{00000000-0004-0000-0200-000087020000}"/>
    <hyperlink ref="J652" r:id="rId649" xr:uid="{00000000-0004-0000-0200-000088020000}"/>
    <hyperlink ref="J653" r:id="rId650" xr:uid="{00000000-0004-0000-0200-000089020000}"/>
    <hyperlink ref="J654" r:id="rId651" xr:uid="{00000000-0004-0000-0200-00008A020000}"/>
    <hyperlink ref="J655" r:id="rId652" xr:uid="{00000000-0004-0000-0200-00008B020000}"/>
    <hyperlink ref="J656" r:id="rId653" xr:uid="{00000000-0004-0000-0200-00008C020000}"/>
    <hyperlink ref="J657" r:id="rId654" xr:uid="{00000000-0004-0000-0200-00008D020000}"/>
    <hyperlink ref="J658" r:id="rId655" xr:uid="{00000000-0004-0000-0200-00008E020000}"/>
    <hyperlink ref="J659" r:id="rId656" xr:uid="{00000000-0004-0000-0200-00008F020000}"/>
    <hyperlink ref="J660" r:id="rId657" xr:uid="{00000000-0004-0000-0200-000090020000}"/>
    <hyperlink ref="J661" r:id="rId658" xr:uid="{00000000-0004-0000-0200-000091020000}"/>
    <hyperlink ref="J662" r:id="rId659" xr:uid="{00000000-0004-0000-0200-000092020000}"/>
    <hyperlink ref="J663" r:id="rId660" xr:uid="{00000000-0004-0000-0200-000093020000}"/>
    <hyperlink ref="J664" r:id="rId661" xr:uid="{00000000-0004-0000-0200-000094020000}"/>
    <hyperlink ref="J665" r:id="rId662" xr:uid="{00000000-0004-0000-0200-000095020000}"/>
    <hyperlink ref="J666" r:id="rId663" xr:uid="{00000000-0004-0000-0200-000096020000}"/>
    <hyperlink ref="J667" r:id="rId664" xr:uid="{00000000-0004-0000-0200-000097020000}"/>
    <hyperlink ref="J668" r:id="rId665" xr:uid="{00000000-0004-0000-0200-000098020000}"/>
    <hyperlink ref="J669" r:id="rId666" xr:uid="{00000000-0004-0000-0200-000099020000}"/>
    <hyperlink ref="J670" r:id="rId667" xr:uid="{00000000-0004-0000-0200-00009A020000}"/>
    <hyperlink ref="J671" r:id="rId668" xr:uid="{00000000-0004-0000-0200-00009B020000}"/>
    <hyperlink ref="J672" r:id="rId669" xr:uid="{00000000-0004-0000-0200-00009C020000}"/>
    <hyperlink ref="J673" r:id="rId670" xr:uid="{00000000-0004-0000-0200-00009D020000}"/>
    <hyperlink ref="J674" r:id="rId671" xr:uid="{00000000-0004-0000-0200-00009E020000}"/>
    <hyperlink ref="J675" r:id="rId672" xr:uid="{00000000-0004-0000-0200-00009F020000}"/>
    <hyperlink ref="J676" r:id="rId673" xr:uid="{00000000-0004-0000-0200-0000A0020000}"/>
    <hyperlink ref="J677" r:id="rId674" xr:uid="{00000000-0004-0000-0200-0000A1020000}"/>
    <hyperlink ref="J678" r:id="rId675" xr:uid="{00000000-0004-0000-0200-0000A2020000}"/>
    <hyperlink ref="J679" r:id="rId676" xr:uid="{00000000-0004-0000-0200-0000A3020000}"/>
    <hyperlink ref="J680" r:id="rId677" xr:uid="{00000000-0004-0000-0200-0000A4020000}"/>
    <hyperlink ref="J681" r:id="rId678" xr:uid="{00000000-0004-0000-0200-0000A5020000}"/>
    <hyperlink ref="J682" r:id="rId679" xr:uid="{00000000-0004-0000-0200-0000A6020000}"/>
    <hyperlink ref="J683" r:id="rId680" xr:uid="{00000000-0004-0000-0200-0000A7020000}"/>
    <hyperlink ref="J684" r:id="rId681" xr:uid="{00000000-0004-0000-0200-0000A8020000}"/>
    <hyperlink ref="J685" r:id="rId682" xr:uid="{00000000-0004-0000-0200-0000A9020000}"/>
    <hyperlink ref="J686" r:id="rId683" xr:uid="{00000000-0004-0000-0200-0000AA020000}"/>
    <hyperlink ref="J687" r:id="rId684" xr:uid="{00000000-0004-0000-0200-0000AB020000}"/>
    <hyperlink ref="J688" r:id="rId685" xr:uid="{00000000-0004-0000-0200-0000AC020000}"/>
    <hyperlink ref="J689" r:id="rId686" xr:uid="{00000000-0004-0000-0200-0000AD020000}"/>
    <hyperlink ref="J690" r:id="rId687" xr:uid="{00000000-0004-0000-0200-0000AE020000}"/>
    <hyperlink ref="J691" r:id="rId688" xr:uid="{00000000-0004-0000-0200-0000AF020000}"/>
    <hyperlink ref="J692" r:id="rId689" xr:uid="{00000000-0004-0000-0200-0000B0020000}"/>
    <hyperlink ref="J693" r:id="rId690" xr:uid="{00000000-0004-0000-0200-0000B1020000}"/>
    <hyperlink ref="J694" r:id="rId691" xr:uid="{00000000-0004-0000-0200-0000B2020000}"/>
    <hyperlink ref="J695" r:id="rId692" xr:uid="{00000000-0004-0000-0200-0000B3020000}"/>
    <hyperlink ref="J696" r:id="rId693" xr:uid="{00000000-0004-0000-0200-0000B4020000}"/>
    <hyperlink ref="J697" r:id="rId694" xr:uid="{00000000-0004-0000-0200-0000B5020000}"/>
    <hyperlink ref="J698" r:id="rId695" xr:uid="{00000000-0004-0000-0200-0000B6020000}"/>
    <hyperlink ref="J699" r:id="rId696" xr:uid="{00000000-0004-0000-0200-0000B7020000}"/>
    <hyperlink ref="J700" r:id="rId697" xr:uid="{00000000-0004-0000-0200-0000B8020000}"/>
    <hyperlink ref="J701" r:id="rId698" xr:uid="{00000000-0004-0000-0200-0000B9020000}"/>
    <hyperlink ref="J702" r:id="rId699" xr:uid="{00000000-0004-0000-0200-0000BA020000}"/>
    <hyperlink ref="J703" r:id="rId700" xr:uid="{00000000-0004-0000-0200-0000BB020000}"/>
    <hyperlink ref="J704" r:id="rId701" xr:uid="{00000000-0004-0000-0200-0000BC020000}"/>
    <hyperlink ref="J705" r:id="rId702" xr:uid="{00000000-0004-0000-0200-0000BD020000}"/>
    <hyperlink ref="J706" r:id="rId703" xr:uid="{00000000-0004-0000-0200-0000BE020000}"/>
    <hyperlink ref="J707" r:id="rId704" xr:uid="{00000000-0004-0000-0200-0000BF020000}"/>
    <hyperlink ref="J708" r:id="rId705" xr:uid="{00000000-0004-0000-0200-0000C0020000}"/>
    <hyperlink ref="J709" r:id="rId706" xr:uid="{00000000-0004-0000-0200-0000C1020000}"/>
    <hyperlink ref="J710" r:id="rId707" xr:uid="{00000000-0004-0000-0200-0000C2020000}"/>
    <hyperlink ref="J711" r:id="rId708" xr:uid="{00000000-0004-0000-0200-0000C3020000}"/>
    <hyperlink ref="J712" r:id="rId709" xr:uid="{00000000-0004-0000-0200-0000C4020000}"/>
    <hyperlink ref="J713" r:id="rId710" xr:uid="{00000000-0004-0000-0200-0000C5020000}"/>
    <hyperlink ref="J714" r:id="rId711" xr:uid="{00000000-0004-0000-0200-0000C6020000}"/>
    <hyperlink ref="J715" r:id="rId712" xr:uid="{00000000-0004-0000-0200-0000C7020000}"/>
    <hyperlink ref="J716" r:id="rId713" xr:uid="{00000000-0004-0000-0200-0000C8020000}"/>
    <hyperlink ref="J717" r:id="rId714" xr:uid="{00000000-0004-0000-0200-0000C9020000}"/>
    <hyperlink ref="J718" r:id="rId715" xr:uid="{00000000-0004-0000-0200-0000CA020000}"/>
    <hyperlink ref="J719" r:id="rId716" xr:uid="{00000000-0004-0000-0200-0000CB020000}"/>
    <hyperlink ref="J720" r:id="rId717" xr:uid="{00000000-0004-0000-0200-0000CC020000}"/>
    <hyperlink ref="J721" r:id="rId718" xr:uid="{00000000-0004-0000-0200-0000CD020000}"/>
    <hyperlink ref="J722" r:id="rId719" xr:uid="{00000000-0004-0000-0200-0000CE020000}"/>
    <hyperlink ref="J723" r:id="rId720" xr:uid="{00000000-0004-0000-0200-0000CF020000}"/>
    <hyperlink ref="J724" r:id="rId721" xr:uid="{00000000-0004-0000-0200-0000D0020000}"/>
    <hyperlink ref="J725" r:id="rId722" xr:uid="{00000000-0004-0000-0200-0000D1020000}"/>
    <hyperlink ref="J726" r:id="rId723" xr:uid="{00000000-0004-0000-0200-0000D2020000}"/>
    <hyperlink ref="J727" r:id="rId724" xr:uid="{00000000-0004-0000-0200-0000D3020000}"/>
    <hyperlink ref="J728" r:id="rId725" xr:uid="{00000000-0004-0000-0200-0000D4020000}"/>
    <hyperlink ref="J729" r:id="rId726" xr:uid="{00000000-0004-0000-0200-0000D5020000}"/>
    <hyperlink ref="J730" r:id="rId727" xr:uid="{00000000-0004-0000-0200-0000D6020000}"/>
    <hyperlink ref="J731" r:id="rId728" xr:uid="{00000000-0004-0000-0200-0000D7020000}"/>
    <hyperlink ref="J732" r:id="rId729" xr:uid="{00000000-0004-0000-0200-0000D8020000}"/>
    <hyperlink ref="J733" r:id="rId730" xr:uid="{00000000-0004-0000-0200-0000D9020000}"/>
    <hyperlink ref="J734" r:id="rId731" xr:uid="{00000000-0004-0000-0200-0000DA020000}"/>
    <hyperlink ref="J735" r:id="rId732" xr:uid="{00000000-0004-0000-0200-0000DB020000}"/>
    <hyperlink ref="J736" r:id="rId733" xr:uid="{00000000-0004-0000-0200-0000DC020000}"/>
    <hyperlink ref="J737" r:id="rId734" xr:uid="{00000000-0004-0000-0200-0000DD020000}"/>
    <hyperlink ref="J738" r:id="rId735" xr:uid="{00000000-0004-0000-0200-0000DE020000}"/>
    <hyperlink ref="J739" r:id="rId736" xr:uid="{00000000-0004-0000-0200-0000DF020000}"/>
    <hyperlink ref="J740" r:id="rId737" xr:uid="{00000000-0004-0000-0200-0000E0020000}"/>
    <hyperlink ref="J741" r:id="rId738" xr:uid="{00000000-0004-0000-0200-0000E1020000}"/>
    <hyperlink ref="J742" r:id="rId739" xr:uid="{00000000-0004-0000-0200-0000E2020000}"/>
    <hyperlink ref="J743" r:id="rId740" xr:uid="{00000000-0004-0000-0200-0000E3020000}"/>
    <hyperlink ref="J744" r:id="rId741" xr:uid="{00000000-0004-0000-0200-0000E4020000}"/>
    <hyperlink ref="J745" r:id="rId742" xr:uid="{00000000-0004-0000-0200-0000E5020000}"/>
    <hyperlink ref="J746" r:id="rId743" xr:uid="{00000000-0004-0000-0200-0000E6020000}"/>
    <hyperlink ref="J747" r:id="rId744" xr:uid="{00000000-0004-0000-0200-0000E7020000}"/>
    <hyperlink ref="J748" r:id="rId745" xr:uid="{00000000-0004-0000-0200-0000E8020000}"/>
    <hyperlink ref="J749" r:id="rId746" xr:uid="{00000000-0004-0000-0200-0000E9020000}"/>
    <hyperlink ref="J750" r:id="rId747" xr:uid="{00000000-0004-0000-0200-0000EA020000}"/>
    <hyperlink ref="J751" r:id="rId748" xr:uid="{00000000-0004-0000-0200-0000EB020000}"/>
    <hyperlink ref="J752" r:id="rId749" xr:uid="{00000000-0004-0000-0200-0000EC020000}"/>
    <hyperlink ref="J753" r:id="rId750" xr:uid="{00000000-0004-0000-0200-0000ED020000}"/>
    <hyperlink ref="J754" r:id="rId751" xr:uid="{00000000-0004-0000-0200-0000EE020000}"/>
    <hyperlink ref="J755" r:id="rId752" xr:uid="{00000000-0004-0000-0200-0000EF020000}"/>
    <hyperlink ref="J756" r:id="rId753" xr:uid="{00000000-0004-0000-0200-0000F0020000}"/>
    <hyperlink ref="J757" r:id="rId754" xr:uid="{00000000-0004-0000-0200-0000F1020000}"/>
    <hyperlink ref="J758" r:id="rId755" xr:uid="{00000000-0004-0000-0200-0000F2020000}"/>
    <hyperlink ref="J759" r:id="rId756" xr:uid="{00000000-0004-0000-0200-0000F3020000}"/>
    <hyperlink ref="J760" r:id="rId757" xr:uid="{00000000-0004-0000-0200-0000F4020000}"/>
    <hyperlink ref="J761" r:id="rId758" xr:uid="{00000000-0004-0000-0200-0000F5020000}"/>
    <hyperlink ref="J762" r:id="rId759" xr:uid="{00000000-0004-0000-0200-0000F6020000}"/>
    <hyperlink ref="J763" r:id="rId760" xr:uid="{00000000-0004-0000-0200-0000F7020000}"/>
    <hyperlink ref="J764" r:id="rId761" xr:uid="{00000000-0004-0000-0200-0000F8020000}"/>
    <hyperlink ref="J765" r:id="rId762" xr:uid="{00000000-0004-0000-0200-0000F9020000}"/>
    <hyperlink ref="J766" r:id="rId763" xr:uid="{00000000-0004-0000-0200-0000FA020000}"/>
    <hyperlink ref="J767" r:id="rId764" xr:uid="{00000000-0004-0000-0200-0000FB020000}"/>
    <hyperlink ref="J768" r:id="rId765" xr:uid="{00000000-0004-0000-0200-0000FC020000}"/>
    <hyperlink ref="J769" r:id="rId766" xr:uid="{00000000-0004-0000-0200-0000FD020000}"/>
    <hyperlink ref="J770" r:id="rId767" xr:uid="{00000000-0004-0000-0200-0000FE020000}"/>
    <hyperlink ref="J771" r:id="rId768" xr:uid="{00000000-0004-0000-0200-0000FF020000}"/>
    <hyperlink ref="J772" r:id="rId769" xr:uid="{00000000-0004-0000-0200-000000030000}"/>
    <hyperlink ref="J773" r:id="rId770" xr:uid="{00000000-0004-0000-0200-000001030000}"/>
    <hyperlink ref="J774" r:id="rId771" xr:uid="{00000000-0004-0000-0200-000002030000}"/>
    <hyperlink ref="J775" r:id="rId772" xr:uid="{00000000-0004-0000-0200-000003030000}"/>
    <hyperlink ref="J776" r:id="rId773" xr:uid="{00000000-0004-0000-0200-000004030000}"/>
    <hyperlink ref="J777" r:id="rId774" xr:uid="{00000000-0004-0000-0200-000005030000}"/>
    <hyperlink ref="J778" r:id="rId775" xr:uid="{00000000-0004-0000-0200-000006030000}"/>
    <hyperlink ref="J779" r:id="rId776" xr:uid="{00000000-0004-0000-0200-000007030000}"/>
    <hyperlink ref="J780" r:id="rId777" xr:uid="{00000000-0004-0000-0200-000008030000}"/>
    <hyperlink ref="J781" r:id="rId778" xr:uid="{00000000-0004-0000-0200-000009030000}"/>
    <hyperlink ref="J782" r:id="rId779" xr:uid="{00000000-0004-0000-0200-00000A030000}"/>
    <hyperlink ref="J783" r:id="rId780" xr:uid="{00000000-0004-0000-0200-00000B030000}"/>
    <hyperlink ref="J784" r:id="rId781" xr:uid="{00000000-0004-0000-0200-00000C030000}"/>
    <hyperlink ref="J785" r:id="rId782" xr:uid="{00000000-0004-0000-0200-00000D030000}"/>
    <hyperlink ref="J786" r:id="rId783" xr:uid="{00000000-0004-0000-0200-00000E030000}"/>
    <hyperlink ref="J787" r:id="rId784" xr:uid="{00000000-0004-0000-0200-00000F030000}"/>
    <hyperlink ref="J788" r:id="rId785" xr:uid="{00000000-0004-0000-0200-000010030000}"/>
    <hyperlink ref="J789" r:id="rId786" xr:uid="{00000000-0004-0000-0200-000011030000}"/>
    <hyperlink ref="J790" r:id="rId787" xr:uid="{00000000-0004-0000-0200-000012030000}"/>
    <hyperlink ref="J791" r:id="rId788" xr:uid="{00000000-0004-0000-0200-000013030000}"/>
    <hyperlink ref="J792" r:id="rId789" xr:uid="{00000000-0004-0000-0200-000014030000}"/>
    <hyperlink ref="J793" r:id="rId790" xr:uid="{00000000-0004-0000-0200-000015030000}"/>
    <hyperlink ref="J794" r:id="rId791" xr:uid="{00000000-0004-0000-0200-000016030000}"/>
    <hyperlink ref="J795" r:id="rId792" xr:uid="{00000000-0004-0000-0200-000017030000}"/>
    <hyperlink ref="J796" r:id="rId793" xr:uid="{00000000-0004-0000-0200-000018030000}"/>
    <hyperlink ref="J797" r:id="rId794" xr:uid="{00000000-0004-0000-0200-000019030000}"/>
    <hyperlink ref="J798" r:id="rId795" xr:uid="{00000000-0004-0000-0200-00001A030000}"/>
    <hyperlink ref="J799" r:id="rId796" xr:uid="{00000000-0004-0000-0200-00001B030000}"/>
    <hyperlink ref="J800" r:id="rId797" xr:uid="{00000000-0004-0000-0200-00001C030000}"/>
    <hyperlink ref="J801" r:id="rId798" xr:uid="{00000000-0004-0000-0200-00001D030000}"/>
    <hyperlink ref="J802" r:id="rId799" xr:uid="{00000000-0004-0000-0200-00001E030000}"/>
    <hyperlink ref="J803" r:id="rId800" xr:uid="{00000000-0004-0000-0200-00001F030000}"/>
    <hyperlink ref="J804" r:id="rId801" xr:uid="{00000000-0004-0000-0200-000020030000}"/>
    <hyperlink ref="J805" r:id="rId802" xr:uid="{00000000-0004-0000-0200-000021030000}"/>
    <hyperlink ref="J806" r:id="rId803" xr:uid="{00000000-0004-0000-0200-000022030000}"/>
    <hyperlink ref="J807" r:id="rId804" xr:uid="{00000000-0004-0000-0200-000023030000}"/>
    <hyperlink ref="J808" r:id="rId805" xr:uid="{00000000-0004-0000-0200-000024030000}"/>
    <hyperlink ref="J809" r:id="rId806" xr:uid="{00000000-0004-0000-0200-000025030000}"/>
    <hyperlink ref="J810" r:id="rId807" xr:uid="{00000000-0004-0000-0200-000026030000}"/>
    <hyperlink ref="J811" r:id="rId808" xr:uid="{00000000-0004-0000-0200-000027030000}"/>
    <hyperlink ref="J812" r:id="rId809" xr:uid="{00000000-0004-0000-0200-000028030000}"/>
    <hyperlink ref="J813" r:id="rId810" xr:uid="{00000000-0004-0000-0200-000029030000}"/>
    <hyperlink ref="J814" r:id="rId811" xr:uid="{00000000-0004-0000-0200-00002A030000}"/>
    <hyperlink ref="J815" r:id="rId812" xr:uid="{00000000-0004-0000-0200-00002B030000}"/>
    <hyperlink ref="J816" r:id="rId813" xr:uid="{00000000-0004-0000-0200-00002C030000}"/>
    <hyperlink ref="J817" r:id="rId814" xr:uid="{00000000-0004-0000-0200-00002D030000}"/>
    <hyperlink ref="J818" r:id="rId815" xr:uid="{00000000-0004-0000-0200-00002E030000}"/>
    <hyperlink ref="J819" r:id="rId816" xr:uid="{00000000-0004-0000-0200-00002F030000}"/>
    <hyperlink ref="J820" r:id="rId817" xr:uid="{00000000-0004-0000-0200-000030030000}"/>
    <hyperlink ref="J821" r:id="rId818" xr:uid="{00000000-0004-0000-0200-000031030000}"/>
    <hyperlink ref="J822" r:id="rId819" xr:uid="{00000000-0004-0000-0200-000032030000}"/>
    <hyperlink ref="J823" r:id="rId820" xr:uid="{00000000-0004-0000-0200-000033030000}"/>
    <hyperlink ref="J824" r:id="rId821" xr:uid="{00000000-0004-0000-0200-000034030000}"/>
    <hyperlink ref="J825" r:id="rId822" xr:uid="{00000000-0004-0000-0200-000035030000}"/>
    <hyperlink ref="J826" r:id="rId823" xr:uid="{00000000-0004-0000-0200-000036030000}"/>
    <hyperlink ref="J827" r:id="rId824" xr:uid="{00000000-0004-0000-0200-000037030000}"/>
    <hyperlink ref="J828" r:id="rId825" xr:uid="{00000000-0004-0000-0200-000038030000}"/>
    <hyperlink ref="J829" r:id="rId826" xr:uid="{00000000-0004-0000-0200-000039030000}"/>
    <hyperlink ref="J830" r:id="rId827" xr:uid="{00000000-0004-0000-0200-00003A030000}"/>
    <hyperlink ref="J831" r:id="rId828" xr:uid="{00000000-0004-0000-0200-00003B030000}"/>
    <hyperlink ref="J832" r:id="rId829" xr:uid="{00000000-0004-0000-0200-00003C030000}"/>
    <hyperlink ref="J833" r:id="rId830" xr:uid="{00000000-0004-0000-0200-00003D030000}"/>
    <hyperlink ref="J834" r:id="rId831" xr:uid="{00000000-0004-0000-0200-00003E030000}"/>
    <hyperlink ref="J835" r:id="rId832" xr:uid="{00000000-0004-0000-0200-00003F030000}"/>
    <hyperlink ref="J836" r:id="rId833" xr:uid="{00000000-0004-0000-0200-000040030000}"/>
    <hyperlink ref="J837" r:id="rId834" xr:uid="{00000000-0004-0000-0200-000041030000}"/>
    <hyperlink ref="J838" r:id="rId835" xr:uid="{00000000-0004-0000-0200-000042030000}"/>
    <hyperlink ref="J839" r:id="rId836" xr:uid="{00000000-0004-0000-0200-000043030000}"/>
    <hyperlink ref="J840" r:id="rId837" xr:uid="{00000000-0004-0000-0200-000044030000}"/>
    <hyperlink ref="J841" r:id="rId838" xr:uid="{00000000-0004-0000-0200-000045030000}"/>
    <hyperlink ref="J842" r:id="rId839" xr:uid="{00000000-0004-0000-0200-000046030000}"/>
    <hyperlink ref="J843" r:id="rId840" xr:uid="{00000000-0004-0000-0200-000047030000}"/>
    <hyperlink ref="J844" r:id="rId841" xr:uid="{00000000-0004-0000-0200-000048030000}"/>
    <hyperlink ref="J845" r:id="rId842" xr:uid="{00000000-0004-0000-0200-000049030000}"/>
    <hyperlink ref="J846" r:id="rId843" xr:uid="{00000000-0004-0000-0200-00004A030000}"/>
    <hyperlink ref="J847" r:id="rId844" xr:uid="{00000000-0004-0000-0200-00004B030000}"/>
    <hyperlink ref="J848" r:id="rId845" xr:uid="{00000000-0004-0000-0200-00004C030000}"/>
    <hyperlink ref="J849" r:id="rId846" xr:uid="{00000000-0004-0000-0200-00004D030000}"/>
    <hyperlink ref="J850" r:id="rId847" xr:uid="{00000000-0004-0000-0200-00004E030000}"/>
    <hyperlink ref="J851" r:id="rId848" xr:uid="{00000000-0004-0000-0200-00004F030000}"/>
    <hyperlink ref="J852" r:id="rId849" xr:uid="{00000000-0004-0000-0200-000050030000}"/>
    <hyperlink ref="J853" r:id="rId850" xr:uid="{00000000-0004-0000-0200-000051030000}"/>
    <hyperlink ref="J854" r:id="rId851" xr:uid="{00000000-0004-0000-0200-000052030000}"/>
    <hyperlink ref="J855" r:id="rId852" xr:uid="{00000000-0004-0000-0200-000053030000}"/>
    <hyperlink ref="J856" r:id="rId853" xr:uid="{00000000-0004-0000-0200-000054030000}"/>
    <hyperlink ref="J857" r:id="rId854" xr:uid="{00000000-0004-0000-0200-000055030000}"/>
    <hyperlink ref="J858" r:id="rId855" xr:uid="{00000000-0004-0000-0200-000056030000}"/>
    <hyperlink ref="J859" r:id="rId856" xr:uid="{00000000-0004-0000-0200-000057030000}"/>
    <hyperlink ref="J860" r:id="rId857" xr:uid="{00000000-0004-0000-0200-000058030000}"/>
    <hyperlink ref="J861" r:id="rId858" xr:uid="{00000000-0004-0000-0200-000059030000}"/>
    <hyperlink ref="J862" r:id="rId859" xr:uid="{00000000-0004-0000-0200-00005A030000}"/>
    <hyperlink ref="J863" r:id="rId860" xr:uid="{00000000-0004-0000-0200-00005B030000}"/>
    <hyperlink ref="J864" r:id="rId861" xr:uid="{00000000-0004-0000-0200-00005C030000}"/>
    <hyperlink ref="J865" r:id="rId862" xr:uid="{00000000-0004-0000-0200-00005D030000}"/>
    <hyperlink ref="J866" r:id="rId863" xr:uid="{00000000-0004-0000-0200-00005E030000}"/>
    <hyperlink ref="J867" r:id="rId864" xr:uid="{00000000-0004-0000-0200-00005F030000}"/>
    <hyperlink ref="J868" r:id="rId865" xr:uid="{00000000-0004-0000-0200-000060030000}"/>
    <hyperlink ref="J869" r:id="rId866" xr:uid="{00000000-0004-0000-0200-000061030000}"/>
    <hyperlink ref="J870" r:id="rId867" xr:uid="{00000000-0004-0000-0200-000062030000}"/>
    <hyperlink ref="J871" r:id="rId868" xr:uid="{00000000-0004-0000-0200-000063030000}"/>
    <hyperlink ref="J872" r:id="rId869" xr:uid="{00000000-0004-0000-0200-000064030000}"/>
    <hyperlink ref="J873" r:id="rId870" xr:uid="{00000000-0004-0000-0200-000065030000}"/>
    <hyperlink ref="J874" r:id="rId871" xr:uid="{00000000-0004-0000-0200-000066030000}"/>
    <hyperlink ref="J875" r:id="rId872" xr:uid="{00000000-0004-0000-0200-000067030000}"/>
    <hyperlink ref="J876" r:id="rId873" xr:uid="{00000000-0004-0000-0200-000068030000}"/>
    <hyperlink ref="J877" r:id="rId874" xr:uid="{00000000-0004-0000-0200-000069030000}"/>
    <hyperlink ref="J878" r:id="rId875" xr:uid="{00000000-0004-0000-0200-00006A030000}"/>
    <hyperlink ref="J879" r:id="rId876" xr:uid="{00000000-0004-0000-0200-00006B030000}"/>
    <hyperlink ref="J880" r:id="rId877" xr:uid="{00000000-0004-0000-0200-00006C030000}"/>
    <hyperlink ref="J881" r:id="rId878" xr:uid="{00000000-0004-0000-0200-00006D030000}"/>
    <hyperlink ref="J882" r:id="rId879" xr:uid="{00000000-0004-0000-0200-00006E030000}"/>
    <hyperlink ref="J883" r:id="rId880" xr:uid="{00000000-0004-0000-0200-00006F030000}"/>
    <hyperlink ref="J884" r:id="rId881" xr:uid="{00000000-0004-0000-0200-000070030000}"/>
    <hyperlink ref="J885" r:id="rId882" xr:uid="{00000000-0004-0000-0200-00007103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6D01"/>
    <outlinePr summaryBelow="0" summaryRight="0"/>
  </sheetPr>
  <dimension ref="A1:W3967"/>
  <sheetViews>
    <sheetView workbookViewId="0">
      <pane xSplit="3" topLeftCell="D1" activePane="topRight" state="frozen"/>
      <selection pane="topRight" activeCell="A2" sqref="A2"/>
    </sheetView>
  </sheetViews>
  <sheetFormatPr baseColWidth="10" defaultColWidth="12.5703125" defaultRowHeight="15.75" customHeight="1" x14ac:dyDescent="0.2"/>
  <cols>
    <col min="1" max="1" width="8" customWidth="1"/>
    <col min="2" max="2" width="38.42578125" customWidth="1"/>
    <col min="3" max="3" width="18.5703125" customWidth="1"/>
    <col min="4" max="4" width="22.85546875" customWidth="1"/>
    <col min="5" max="5" width="15.140625" customWidth="1"/>
    <col min="6" max="6" width="12.42578125" customWidth="1"/>
    <col min="7" max="7" width="62.28515625" customWidth="1"/>
    <col min="8" max="8" width="13.5703125" customWidth="1"/>
    <col min="9" max="9" width="22.42578125" customWidth="1"/>
    <col min="10" max="10" width="13.7109375" customWidth="1"/>
    <col min="11" max="11" width="33.42578125" customWidth="1"/>
    <col min="12" max="12" width="13.7109375" customWidth="1"/>
    <col min="13" max="13" width="14" customWidth="1"/>
    <col min="14" max="14" width="10.42578125" customWidth="1"/>
    <col min="15" max="23" width="22.42578125" customWidth="1"/>
  </cols>
  <sheetData>
    <row r="1" spans="1:23" ht="17.25" customHeight="1" x14ac:dyDescent="0.2">
      <c r="A1" s="18" t="s">
        <v>3273</v>
      </c>
      <c r="B1" s="19" t="s">
        <v>3274</v>
      </c>
      <c r="C1" s="20" t="s">
        <v>0</v>
      </c>
      <c r="D1" s="20" t="s">
        <v>1</v>
      </c>
      <c r="E1" s="19" t="s">
        <v>2</v>
      </c>
      <c r="F1" s="21" t="s">
        <v>5103</v>
      </c>
      <c r="G1" s="21" t="s">
        <v>5104</v>
      </c>
      <c r="H1" s="22" t="s">
        <v>5942</v>
      </c>
      <c r="I1" s="21" t="s">
        <v>3275</v>
      </c>
      <c r="J1" s="21" t="s">
        <v>3276</v>
      </c>
      <c r="K1" s="21" t="s">
        <v>3277</v>
      </c>
      <c r="L1" s="21" t="s">
        <v>5943</v>
      </c>
      <c r="M1" s="21" t="s">
        <v>282</v>
      </c>
      <c r="N1" s="21" t="s">
        <v>5106</v>
      </c>
      <c r="O1" s="21" t="s">
        <v>5107</v>
      </c>
      <c r="P1" s="21" t="s">
        <v>5108</v>
      </c>
      <c r="Q1" s="23" t="s">
        <v>5109</v>
      </c>
      <c r="R1" s="23" t="s">
        <v>4917</v>
      </c>
      <c r="S1" s="23" t="s">
        <v>4917</v>
      </c>
      <c r="T1" s="24" t="s">
        <v>5110</v>
      </c>
      <c r="U1" s="23" t="s">
        <v>4917</v>
      </c>
      <c r="V1" s="23" t="s">
        <v>4917</v>
      </c>
      <c r="W1" s="23" t="s">
        <v>4917</v>
      </c>
    </row>
    <row r="2" spans="1:23" ht="16.5" customHeight="1" x14ac:dyDescent="0.2">
      <c r="A2" s="25" t="s">
        <v>3437</v>
      </c>
      <c r="B2" s="26" t="s">
        <v>3438</v>
      </c>
      <c r="C2" s="27" t="s">
        <v>98</v>
      </c>
      <c r="D2" s="27" t="s">
        <v>102</v>
      </c>
      <c r="E2" s="26" t="s">
        <v>39</v>
      </c>
      <c r="F2" s="28" t="e">
        <f ca="1">_xludf.ifna(VLOOKUP(G2,Proyectos!$A$2:$F$674,6,0),"")</f>
        <v>#NAME?</v>
      </c>
      <c r="G2" s="29" t="s">
        <v>5111</v>
      </c>
      <c r="H2" s="30">
        <v>0.05</v>
      </c>
      <c r="I2" s="31" t="s">
        <v>18</v>
      </c>
      <c r="J2" s="31" t="s">
        <v>41</v>
      </c>
      <c r="K2" s="32"/>
      <c r="L2" s="32" t="e">
        <f ca="1">_xludf.ifna(VLOOKUP(E2,Parámetros!$D$2:$E$34,2,0),"")</f>
        <v>#NAME?</v>
      </c>
      <c r="M2" s="32" t="e">
        <f ca="1">_xludf.ifna(VLOOKUP(G2,Proyectos!$A$2:$T$674,20,0),"")</f>
        <v>#NAME?</v>
      </c>
      <c r="N2" s="32" t="e">
        <f ca="1">_xludf.ifna(VLOOKUP(G2,Proyectos!$A$2:$S$674,19,0))</f>
        <v>#NAME?</v>
      </c>
      <c r="O2" s="32"/>
      <c r="P2" s="31"/>
      <c r="Q2" s="33"/>
      <c r="R2" s="33"/>
      <c r="S2" s="33"/>
      <c r="T2" s="33"/>
      <c r="U2" s="33"/>
      <c r="V2" s="33"/>
      <c r="W2" s="33"/>
    </row>
    <row r="3" spans="1:23" ht="16.5" customHeight="1" x14ac:dyDescent="0.2">
      <c r="A3" s="25" t="s">
        <v>3437</v>
      </c>
      <c r="B3" s="26" t="s">
        <v>3438</v>
      </c>
      <c r="C3" s="27" t="s">
        <v>98</v>
      </c>
      <c r="D3" s="27" t="s">
        <v>102</v>
      </c>
      <c r="E3" s="26" t="s">
        <v>39</v>
      </c>
      <c r="F3" s="28" t="e">
        <f ca="1">_xludf.ifna(VLOOKUP(G3,Proyectos!$A$2:$F$674,6,0),"")</f>
        <v>#NAME?</v>
      </c>
      <c r="G3" s="29" t="s">
        <v>5112</v>
      </c>
      <c r="H3" s="30">
        <v>0.05</v>
      </c>
      <c r="I3" s="31" t="s">
        <v>18</v>
      </c>
      <c r="J3" s="31" t="s">
        <v>41</v>
      </c>
      <c r="K3" s="32"/>
      <c r="L3" s="32" t="e">
        <f ca="1">_xludf.ifna(VLOOKUP(E3,Parámetros!$D$2:$E$34,2,0),"")</f>
        <v>#NAME?</v>
      </c>
      <c r="M3" s="32" t="e">
        <f ca="1">_xludf.ifna(VLOOKUP(G3,Proyectos!$A$2:$T$674,20,0),"")</f>
        <v>#NAME?</v>
      </c>
      <c r="N3" s="32" t="e">
        <f ca="1">_xludf.ifna(VLOOKUP(G3,Proyectos!$A$2:$S$674,19,0))</f>
        <v>#NAME?</v>
      </c>
      <c r="O3" s="32"/>
      <c r="P3" s="31"/>
      <c r="Q3" s="33"/>
      <c r="R3" s="33"/>
      <c r="S3" s="33"/>
      <c r="T3" s="33"/>
      <c r="U3" s="33"/>
      <c r="V3" s="33"/>
      <c r="W3" s="33"/>
    </row>
    <row r="4" spans="1:23" ht="16.5" customHeight="1" x14ac:dyDescent="0.2">
      <c r="A4" s="25" t="s">
        <v>3437</v>
      </c>
      <c r="B4" s="26" t="s">
        <v>3438</v>
      </c>
      <c r="C4" s="27" t="s">
        <v>98</v>
      </c>
      <c r="D4" s="27" t="s">
        <v>102</v>
      </c>
      <c r="E4" s="26" t="s">
        <v>39</v>
      </c>
      <c r="F4" s="28" t="e">
        <f ca="1">_xludf.ifna(VLOOKUP(G4,Proyectos!$A$2:$F$674,6,0),"")</f>
        <v>#NAME?</v>
      </c>
      <c r="G4" s="29" t="s">
        <v>5113</v>
      </c>
      <c r="H4" s="30">
        <v>0.05</v>
      </c>
      <c r="I4" s="31" t="s">
        <v>18</v>
      </c>
      <c r="J4" s="31" t="s">
        <v>41</v>
      </c>
      <c r="K4" s="32"/>
      <c r="L4" s="32" t="e">
        <f ca="1">_xludf.ifna(VLOOKUP(E4,Parámetros!$D$2:$E$34,2,0),"")</f>
        <v>#NAME?</v>
      </c>
      <c r="M4" s="32" t="e">
        <f ca="1">_xludf.ifna(VLOOKUP(G4,Proyectos!$A$2:$T$674,20,0),"")</f>
        <v>#NAME?</v>
      </c>
      <c r="N4" s="32" t="e">
        <f ca="1">_xludf.ifna(VLOOKUP(G4,Proyectos!$A$2:$S$674,19,0))</f>
        <v>#NAME?</v>
      </c>
      <c r="O4" s="32"/>
      <c r="P4" s="31"/>
      <c r="Q4" s="33"/>
      <c r="R4" s="33"/>
      <c r="S4" s="33"/>
      <c r="T4" s="33"/>
      <c r="U4" s="33"/>
      <c r="V4" s="33"/>
      <c r="W4" s="33"/>
    </row>
    <row r="5" spans="1:23" ht="16.5" customHeight="1" x14ac:dyDescent="0.2">
      <c r="A5" s="25" t="s">
        <v>3437</v>
      </c>
      <c r="B5" s="26" t="s">
        <v>3438</v>
      </c>
      <c r="C5" s="27" t="s">
        <v>98</v>
      </c>
      <c r="D5" s="27" t="s">
        <v>102</v>
      </c>
      <c r="E5" s="26" t="s">
        <v>39</v>
      </c>
      <c r="F5" s="28" t="e">
        <f ca="1">_xludf.ifna(VLOOKUP(G5,Proyectos!$A$2:$F$674,6,0),"")</f>
        <v>#NAME?</v>
      </c>
      <c r="G5" s="29" t="s">
        <v>5114</v>
      </c>
      <c r="H5" s="30">
        <v>0.05</v>
      </c>
      <c r="I5" s="31" t="s">
        <v>18</v>
      </c>
      <c r="J5" s="31" t="s">
        <v>41</v>
      </c>
      <c r="K5" s="32"/>
      <c r="L5" s="32" t="e">
        <f ca="1">_xludf.ifna(VLOOKUP(E5,Parámetros!$D$2:$E$34,2,0),"")</f>
        <v>#NAME?</v>
      </c>
      <c r="M5" s="32" t="e">
        <f ca="1">_xludf.ifna(VLOOKUP(G5,Proyectos!$A$2:$T$674,20,0),"")</f>
        <v>#NAME?</v>
      </c>
      <c r="N5" s="32" t="e">
        <f ca="1">_xludf.ifna(VLOOKUP(G5,Proyectos!$A$2:$S$674,19,0))</f>
        <v>#NAME?</v>
      </c>
      <c r="O5" s="32"/>
      <c r="P5" s="31"/>
      <c r="Q5" s="33"/>
      <c r="R5" s="33"/>
      <c r="S5" s="33"/>
      <c r="T5" s="33"/>
      <c r="U5" s="33"/>
      <c r="V5" s="33"/>
      <c r="W5" s="33"/>
    </row>
    <row r="6" spans="1:23" ht="16.5" customHeight="1" x14ac:dyDescent="0.2">
      <c r="A6" s="25" t="s">
        <v>3437</v>
      </c>
      <c r="B6" s="26" t="s">
        <v>3438</v>
      </c>
      <c r="C6" s="27" t="s">
        <v>98</v>
      </c>
      <c r="D6" s="27" t="s">
        <v>102</v>
      </c>
      <c r="E6" s="26" t="s">
        <v>39</v>
      </c>
      <c r="F6" s="28" t="e">
        <f ca="1">_xludf.ifna(VLOOKUP(G6,Proyectos!$A$2:$F$674,6,0),"")</f>
        <v>#NAME?</v>
      </c>
      <c r="G6" s="29" t="s">
        <v>5115</v>
      </c>
      <c r="H6" s="30">
        <v>0.05</v>
      </c>
      <c r="I6" s="31" t="s">
        <v>18</v>
      </c>
      <c r="J6" s="31" t="s">
        <v>41</v>
      </c>
      <c r="K6" s="32"/>
      <c r="L6" s="32" t="e">
        <f ca="1">_xludf.ifna(VLOOKUP(E6,Parámetros!$D$2:$E$34,2,0),"")</f>
        <v>#NAME?</v>
      </c>
      <c r="M6" s="32" t="e">
        <f ca="1">_xludf.ifna(VLOOKUP(G6,Proyectos!$A$2:$T$674,20,0),"")</f>
        <v>#NAME?</v>
      </c>
      <c r="N6" s="32" t="e">
        <f ca="1">_xludf.ifna(VLOOKUP(G6,Proyectos!$A$2:$S$674,19,0))</f>
        <v>#NAME?</v>
      </c>
      <c r="O6" s="32"/>
      <c r="P6" s="31"/>
      <c r="Q6" s="33"/>
      <c r="R6" s="33"/>
      <c r="S6" s="33"/>
      <c r="T6" s="33"/>
      <c r="U6" s="33"/>
      <c r="V6" s="33"/>
      <c r="W6" s="33"/>
    </row>
    <row r="7" spans="1:23" ht="16.5" customHeight="1" x14ac:dyDescent="0.2">
      <c r="A7" s="25" t="s">
        <v>3437</v>
      </c>
      <c r="B7" s="26" t="s">
        <v>3438</v>
      </c>
      <c r="C7" s="27" t="s">
        <v>98</v>
      </c>
      <c r="D7" s="27" t="s">
        <v>102</v>
      </c>
      <c r="E7" s="26" t="s">
        <v>39</v>
      </c>
      <c r="F7" s="28" t="e">
        <f ca="1">_xludf.ifna(VLOOKUP(G7,Proyectos!$A$2:$F$674,6,0),"")</f>
        <v>#NAME?</v>
      </c>
      <c r="G7" s="29" t="s">
        <v>5116</v>
      </c>
      <c r="H7" s="34">
        <v>0.6</v>
      </c>
      <c r="I7" s="31" t="s">
        <v>18</v>
      </c>
      <c r="J7" s="31" t="s">
        <v>41</v>
      </c>
      <c r="K7" s="32"/>
      <c r="L7" s="32" t="e">
        <f ca="1">_xludf.ifna(VLOOKUP(E7,Parámetros!$D$2:$E$34,2,0),"")</f>
        <v>#NAME?</v>
      </c>
      <c r="M7" s="32" t="e">
        <f ca="1">_xludf.ifna(VLOOKUP(G7,Proyectos!$A$2:$T$674,20,0),"")</f>
        <v>#NAME?</v>
      </c>
      <c r="N7" s="32" t="e">
        <f ca="1">_xludf.ifna(VLOOKUP(G7,Proyectos!$A$2:$S$674,19,0))</f>
        <v>#NAME?</v>
      </c>
      <c r="O7" s="32"/>
      <c r="P7" s="31"/>
      <c r="Q7" s="33"/>
      <c r="R7" s="33"/>
      <c r="S7" s="33"/>
      <c r="T7" s="33"/>
      <c r="U7" s="33"/>
      <c r="V7" s="33"/>
      <c r="W7" s="33"/>
    </row>
    <row r="8" spans="1:23" ht="16.5" customHeight="1" x14ac:dyDescent="0.2">
      <c r="A8" s="25" t="s">
        <v>3437</v>
      </c>
      <c r="B8" s="26" t="s">
        <v>3438</v>
      </c>
      <c r="C8" s="27" t="s">
        <v>98</v>
      </c>
      <c r="D8" s="27" t="s">
        <v>102</v>
      </c>
      <c r="E8" s="26" t="s">
        <v>39</v>
      </c>
      <c r="F8" s="28" t="e">
        <f ca="1">_xludf.ifna(VLOOKUP(G8,Proyectos!$A$2:$F$674,6,0),"")</f>
        <v>#NAME?</v>
      </c>
      <c r="G8" s="29" t="s">
        <v>5117</v>
      </c>
      <c r="H8" s="30">
        <v>0.1</v>
      </c>
      <c r="I8" s="31" t="s">
        <v>18</v>
      </c>
      <c r="J8" s="31" t="s">
        <v>41</v>
      </c>
      <c r="K8" s="32"/>
      <c r="L8" s="32" t="e">
        <f ca="1">_xludf.ifna(VLOOKUP(E8,Parámetros!$D$2:$E$34,2,0),"")</f>
        <v>#NAME?</v>
      </c>
      <c r="M8" s="32" t="e">
        <f ca="1">_xludf.ifna(VLOOKUP(G8,Proyectos!$A$2:$T$674,20,0),"")</f>
        <v>#NAME?</v>
      </c>
      <c r="N8" s="32" t="e">
        <f ca="1">_xludf.ifna(VLOOKUP(G8,Proyectos!$A$2:$S$674,19,0))</f>
        <v>#NAME?</v>
      </c>
      <c r="O8" s="32"/>
      <c r="P8" s="31"/>
      <c r="Q8" s="33"/>
      <c r="R8" s="33"/>
      <c r="S8" s="33"/>
      <c r="T8" s="33"/>
      <c r="U8" s="33"/>
      <c r="V8" s="33"/>
      <c r="W8" s="33"/>
    </row>
    <row r="9" spans="1:23" ht="16.5" customHeight="1" x14ac:dyDescent="0.2">
      <c r="A9" s="25" t="s">
        <v>3437</v>
      </c>
      <c r="B9" s="26" t="s">
        <v>3438</v>
      </c>
      <c r="C9" s="27" t="s">
        <v>98</v>
      </c>
      <c r="D9" s="27" t="s">
        <v>102</v>
      </c>
      <c r="E9" s="26" t="s">
        <v>39</v>
      </c>
      <c r="F9" s="28" t="e">
        <f ca="1">_xludf.ifna(VLOOKUP(G9,Proyectos!$A$2:$F$674,6,0),"")</f>
        <v>#NAME?</v>
      </c>
      <c r="G9" s="29" t="s">
        <v>5118</v>
      </c>
      <c r="H9" s="30">
        <v>0.05</v>
      </c>
      <c r="I9" s="31" t="s">
        <v>18</v>
      </c>
      <c r="J9" s="31" t="s">
        <v>41</v>
      </c>
      <c r="K9" s="32"/>
      <c r="L9" s="32" t="e">
        <f ca="1">_xludf.ifna(VLOOKUP(E9,Parámetros!$D$2:$E$34,2,0),"")</f>
        <v>#NAME?</v>
      </c>
      <c r="M9" s="32" t="e">
        <f ca="1">_xludf.ifna(VLOOKUP(G9,Proyectos!$A$2:$T$674,20,0),"")</f>
        <v>#NAME?</v>
      </c>
      <c r="N9" s="32" t="e">
        <f ca="1">_xludf.ifna(VLOOKUP(G9,Proyectos!$A$2:$S$674,19,0))</f>
        <v>#NAME?</v>
      </c>
      <c r="O9" s="32"/>
      <c r="P9" s="31"/>
      <c r="Q9" s="33"/>
      <c r="R9" s="33"/>
      <c r="S9" s="33"/>
      <c r="T9" s="33"/>
      <c r="U9" s="33"/>
      <c r="V9" s="33"/>
      <c r="W9" s="33"/>
    </row>
    <row r="10" spans="1:23" ht="16.5" customHeight="1" x14ac:dyDescent="0.2">
      <c r="A10" s="25" t="s">
        <v>3343</v>
      </c>
      <c r="B10" s="35" t="s">
        <v>3344</v>
      </c>
      <c r="C10" s="27" t="s">
        <v>98</v>
      </c>
      <c r="D10" s="27" t="s">
        <v>102</v>
      </c>
      <c r="E10" s="26" t="s">
        <v>39</v>
      </c>
      <c r="F10" s="28" t="e">
        <f ca="1">_xludf.ifna(VLOOKUP(G10,Proyectos!$A$2:$F$674,6,0),"")</f>
        <v>#NAME?</v>
      </c>
      <c r="G10" s="29" t="s">
        <v>5112</v>
      </c>
      <c r="H10" s="30">
        <v>0.15</v>
      </c>
      <c r="I10" s="31" t="s">
        <v>11</v>
      </c>
      <c r="J10" s="31" t="s">
        <v>41</v>
      </c>
      <c r="K10" s="32"/>
      <c r="L10" s="32" t="e">
        <f ca="1">_xludf.ifna(VLOOKUP(E10,Parámetros!$D$2:$E$34,2,0),"")</f>
        <v>#NAME?</v>
      </c>
      <c r="M10" s="32" t="e">
        <f ca="1">_xludf.ifna(VLOOKUP(G10,Proyectos!$A$2:$T$674,20,0),"")</f>
        <v>#NAME?</v>
      </c>
      <c r="N10" s="32" t="e">
        <f ca="1">_xludf.ifna(VLOOKUP(G10,Proyectos!$A$2:$S$674,19,0))</f>
        <v>#NAME?</v>
      </c>
      <c r="O10" s="32"/>
      <c r="P10" s="31"/>
      <c r="Q10" s="33"/>
      <c r="R10" s="33"/>
      <c r="S10" s="33"/>
      <c r="T10" s="33"/>
      <c r="U10" s="33"/>
      <c r="V10" s="33"/>
      <c r="W10" s="33"/>
    </row>
    <row r="11" spans="1:23" ht="16.5" customHeight="1" x14ac:dyDescent="0.2">
      <c r="A11" s="25" t="s">
        <v>3343</v>
      </c>
      <c r="B11" s="35" t="s">
        <v>3344</v>
      </c>
      <c r="C11" s="27" t="s">
        <v>98</v>
      </c>
      <c r="D11" s="27" t="s">
        <v>102</v>
      </c>
      <c r="E11" s="26" t="s">
        <v>39</v>
      </c>
      <c r="F11" s="28" t="e">
        <f ca="1">_xludf.ifna(VLOOKUP(G11,Proyectos!$A$2:$F$674,6,0),"")</f>
        <v>#NAME?</v>
      </c>
      <c r="G11" s="29" t="s">
        <v>5113</v>
      </c>
      <c r="H11" s="30">
        <v>0.1</v>
      </c>
      <c r="I11" s="31" t="s">
        <v>11</v>
      </c>
      <c r="J11" s="31" t="s">
        <v>41</v>
      </c>
      <c r="K11" s="32"/>
      <c r="L11" s="32" t="e">
        <f ca="1">_xludf.ifna(VLOOKUP(E11,Parámetros!$D$2:$E$34,2,0),"")</f>
        <v>#NAME?</v>
      </c>
      <c r="M11" s="32" t="e">
        <f ca="1">_xludf.ifna(VLOOKUP(G11,Proyectos!$A$2:$T$674,20,0),"")</f>
        <v>#NAME?</v>
      </c>
      <c r="N11" s="32" t="e">
        <f ca="1">_xludf.ifna(VLOOKUP(G11,Proyectos!$A$2:$S$674,19,0))</f>
        <v>#NAME?</v>
      </c>
      <c r="O11" s="32"/>
      <c r="P11" s="31"/>
      <c r="Q11" s="33"/>
      <c r="R11" s="33"/>
      <c r="S11" s="33"/>
      <c r="T11" s="33"/>
      <c r="U11" s="33"/>
      <c r="V11" s="33"/>
      <c r="W11" s="33"/>
    </row>
    <row r="12" spans="1:23" ht="16.5" customHeight="1" x14ac:dyDescent="0.2">
      <c r="A12" s="25" t="s">
        <v>3343</v>
      </c>
      <c r="B12" s="35" t="s">
        <v>3344</v>
      </c>
      <c r="C12" s="27" t="s">
        <v>98</v>
      </c>
      <c r="D12" s="27" t="s">
        <v>102</v>
      </c>
      <c r="E12" s="26" t="s">
        <v>39</v>
      </c>
      <c r="F12" s="28" t="e">
        <f ca="1">_xludf.ifna(VLOOKUP(G12,Proyectos!$A$2:$F$674,6,0),"")</f>
        <v>#NAME?</v>
      </c>
      <c r="G12" s="29" t="s">
        <v>5119</v>
      </c>
      <c r="H12" s="30">
        <v>0.2</v>
      </c>
      <c r="I12" s="31" t="s">
        <v>11</v>
      </c>
      <c r="J12" s="31" t="s">
        <v>41</v>
      </c>
      <c r="K12" s="32"/>
      <c r="L12" s="32" t="e">
        <f ca="1">_xludf.ifna(VLOOKUP(E12,Parámetros!$D$2:$E$34,2,0),"")</f>
        <v>#NAME?</v>
      </c>
      <c r="M12" s="32" t="e">
        <f ca="1">_xludf.ifna(VLOOKUP(G12,Proyectos!$A$2:$T$674,20,0),"")</f>
        <v>#NAME?</v>
      </c>
      <c r="N12" s="32" t="e">
        <f ca="1">_xludf.ifna(VLOOKUP(G12,Proyectos!$A$2:$S$674,19,0))</f>
        <v>#NAME?</v>
      </c>
      <c r="O12" s="32"/>
      <c r="P12" s="31"/>
      <c r="Q12" s="33"/>
      <c r="R12" s="33"/>
      <c r="S12" s="33"/>
      <c r="T12" s="33"/>
      <c r="U12" s="33"/>
      <c r="V12" s="33"/>
      <c r="W12" s="33"/>
    </row>
    <row r="13" spans="1:23" ht="16.5" customHeight="1" x14ac:dyDescent="0.2">
      <c r="A13" s="25" t="s">
        <v>3343</v>
      </c>
      <c r="B13" s="35" t="s">
        <v>3344</v>
      </c>
      <c r="C13" s="27" t="s">
        <v>98</v>
      </c>
      <c r="D13" s="27" t="s">
        <v>102</v>
      </c>
      <c r="E13" s="26" t="s">
        <v>39</v>
      </c>
      <c r="F13" s="28" t="e">
        <f ca="1">_xludf.ifna(VLOOKUP(G13,Proyectos!$A$2:$F$674,6,0),"")</f>
        <v>#NAME?</v>
      </c>
      <c r="G13" s="29" t="s">
        <v>5115</v>
      </c>
      <c r="H13" s="30">
        <v>0.15</v>
      </c>
      <c r="I13" s="31" t="s">
        <v>11</v>
      </c>
      <c r="J13" s="31" t="s">
        <v>41</v>
      </c>
      <c r="K13" s="32"/>
      <c r="L13" s="32" t="e">
        <f ca="1">_xludf.ifna(VLOOKUP(E13,Parámetros!$D$2:$E$34,2,0),"")</f>
        <v>#NAME?</v>
      </c>
      <c r="M13" s="32" t="e">
        <f ca="1">_xludf.ifna(VLOOKUP(G13,Proyectos!$A$2:$T$674,20,0),"")</f>
        <v>#NAME?</v>
      </c>
      <c r="N13" s="32" t="e">
        <f ca="1">_xludf.ifna(VLOOKUP(G13,Proyectos!$A$2:$S$674,19,0))</f>
        <v>#NAME?</v>
      </c>
      <c r="O13" s="32"/>
      <c r="P13" s="31"/>
      <c r="Q13" s="33"/>
      <c r="R13" s="33"/>
      <c r="S13" s="33"/>
      <c r="T13" s="33"/>
      <c r="U13" s="33"/>
      <c r="V13" s="33"/>
      <c r="W13" s="33"/>
    </row>
    <row r="14" spans="1:23" ht="16.5" customHeight="1" x14ac:dyDescent="0.2">
      <c r="A14" s="25" t="s">
        <v>3343</v>
      </c>
      <c r="B14" s="35" t="s">
        <v>3344</v>
      </c>
      <c r="C14" s="27" t="s">
        <v>98</v>
      </c>
      <c r="D14" s="27" t="s">
        <v>102</v>
      </c>
      <c r="E14" s="26" t="s">
        <v>39</v>
      </c>
      <c r="F14" s="28" t="e">
        <f ca="1">_xludf.ifna(VLOOKUP(G14,Proyectos!$A$2:$F$674,6,0),"")</f>
        <v>#NAME?</v>
      </c>
      <c r="G14" s="29" t="s">
        <v>5116</v>
      </c>
      <c r="H14" s="30">
        <v>0.2</v>
      </c>
      <c r="I14" s="31" t="s">
        <v>11</v>
      </c>
      <c r="J14" s="31" t="s">
        <v>41</v>
      </c>
      <c r="K14" s="32"/>
      <c r="L14" s="32" t="e">
        <f ca="1">_xludf.ifna(VLOOKUP(E14,Parámetros!$D$2:$E$34,2,0),"")</f>
        <v>#NAME?</v>
      </c>
      <c r="M14" s="32" t="e">
        <f ca="1">_xludf.ifna(VLOOKUP(G14,Proyectos!$A$2:$T$674,20,0),"")</f>
        <v>#NAME?</v>
      </c>
      <c r="N14" s="32" t="e">
        <f ca="1">_xludf.ifna(VLOOKUP(G14,Proyectos!$A$2:$S$674,19,0))</f>
        <v>#NAME?</v>
      </c>
      <c r="O14" s="32"/>
      <c r="P14" s="31"/>
      <c r="Q14" s="33"/>
      <c r="R14" s="33"/>
      <c r="S14" s="33"/>
      <c r="T14" s="33"/>
      <c r="U14" s="33"/>
      <c r="V14" s="33"/>
      <c r="W14" s="33"/>
    </row>
    <row r="15" spans="1:23" ht="16.5" customHeight="1" x14ac:dyDescent="0.2">
      <c r="A15" s="25" t="s">
        <v>3343</v>
      </c>
      <c r="B15" s="35" t="s">
        <v>3344</v>
      </c>
      <c r="C15" s="27" t="s">
        <v>98</v>
      </c>
      <c r="D15" s="27" t="s">
        <v>102</v>
      </c>
      <c r="E15" s="26" t="s">
        <v>39</v>
      </c>
      <c r="F15" s="28" t="e">
        <f ca="1">_xludf.ifna(VLOOKUP(G15,Proyectos!$A$2:$F$674,6,0),"")</f>
        <v>#NAME?</v>
      </c>
      <c r="G15" s="29" t="s">
        <v>5117</v>
      </c>
      <c r="H15" s="30">
        <v>0.1</v>
      </c>
      <c r="I15" s="31" t="s">
        <v>11</v>
      </c>
      <c r="J15" s="31" t="s">
        <v>41</v>
      </c>
      <c r="K15" s="32"/>
      <c r="L15" s="32" t="e">
        <f ca="1">_xludf.ifna(VLOOKUP(E15,Parámetros!$D$2:$E$34,2,0),"")</f>
        <v>#NAME?</v>
      </c>
      <c r="M15" s="32" t="e">
        <f ca="1">_xludf.ifna(VLOOKUP(G15,Proyectos!$A$2:$T$674,20,0),"")</f>
        <v>#NAME?</v>
      </c>
      <c r="N15" s="32" t="e">
        <f ca="1">_xludf.ifna(VLOOKUP(G15,Proyectos!$A$2:$S$674,19,0))</f>
        <v>#NAME?</v>
      </c>
      <c r="O15" s="32"/>
      <c r="P15" s="31"/>
      <c r="Q15" s="33"/>
      <c r="R15" s="33"/>
      <c r="S15" s="33"/>
      <c r="T15" s="33"/>
      <c r="U15" s="33"/>
      <c r="V15" s="33"/>
      <c r="W15" s="33"/>
    </row>
    <row r="16" spans="1:23" ht="16.5" customHeight="1" x14ac:dyDescent="0.2">
      <c r="A16" s="25" t="s">
        <v>3343</v>
      </c>
      <c r="B16" s="35" t="s">
        <v>3344</v>
      </c>
      <c r="C16" s="27" t="s">
        <v>98</v>
      </c>
      <c r="D16" s="27" t="s">
        <v>102</v>
      </c>
      <c r="E16" s="26" t="s">
        <v>39</v>
      </c>
      <c r="F16" s="28" t="e">
        <f ca="1">_xludf.ifna(VLOOKUP(G16,Proyectos!$A$2:$F$674,6,0),"")</f>
        <v>#NAME?</v>
      </c>
      <c r="G16" s="29" t="s">
        <v>5118</v>
      </c>
      <c r="H16" s="30">
        <v>0.1</v>
      </c>
      <c r="I16" s="31" t="s">
        <v>11</v>
      </c>
      <c r="J16" s="31" t="s">
        <v>41</v>
      </c>
      <c r="K16" s="32"/>
      <c r="L16" s="32" t="e">
        <f ca="1">_xludf.ifna(VLOOKUP(E16,Parámetros!$D$2:$E$34,2,0),"")</f>
        <v>#NAME?</v>
      </c>
      <c r="M16" s="32" t="e">
        <f ca="1">_xludf.ifna(VLOOKUP(G16,Proyectos!$A$2:$T$674,20,0),"")</f>
        <v>#NAME?</v>
      </c>
      <c r="N16" s="32" t="e">
        <f ca="1">_xludf.ifna(VLOOKUP(G16,Proyectos!$A$2:$S$674,19,0))</f>
        <v>#NAME?</v>
      </c>
      <c r="O16" s="32"/>
      <c r="P16" s="31"/>
      <c r="Q16" s="33"/>
      <c r="R16" s="33"/>
      <c r="S16" s="33"/>
      <c r="T16" s="33"/>
      <c r="U16" s="33"/>
      <c r="V16" s="33"/>
      <c r="W16" s="33"/>
    </row>
    <row r="17" spans="1:23" ht="16.5" customHeight="1" x14ac:dyDescent="0.2">
      <c r="A17" s="25" t="s">
        <v>3613</v>
      </c>
      <c r="B17" s="26" t="s">
        <v>3614</v>
      </c>
      <c r="C17" s="27" t="s">
        <v>98</v>
      </c>
      <c r="D17" s="27" t="s">
        <v>102</v>
      </c>
      <c r="E17" s="26" t="s">
        <v>39</v>
      </c>
      <c r="F17" s="28" t="e">
        <f ca="1">_xludf.ifna(VLOOKUP(G17,Proyectos!$A$2:$F$674,6,0),"")</f>
        <v>#NAME?</v>
      </c>
      <c r="G17" s="26" t="s">
        <v>5115</v>
      </c>
      <c r="H17" s="36">
        <v>0.7</v>
      </c>
      <c r="I17" s="31" t="s">
        <v>18</v>
      </c>
      <c r="J17" s="31" t="s">
        <v>41</v>
      </c>
      <c r="K17" s="32"/>
      <c r="L17" s="32" t="e">
        <f ca="1">_xludf.ifna(VLOOKUP(E17,Parámetros!$D$2:$E$34,2,0),"")</f>
        <v>#NAME?</v>
      </c>
      <c r="M17" s="32" t="e">
        <f ca="1">_xludf.ifna(VLOOKUP(G17,Proyectos!$A$2:$T$674,20,0),"")</f>
        <v>#NAME?</v>
      </c>
      <c r="N17" s="32" t="e">
        <f ca="1">_xludf.ifna(VLOOKUP(G17,Proyectos!$A$2:$S$674,19,0))</f>
        <v>#NAME?</v>
      </c>
      <c r="O17" s="32"/>
      <c r="P17" s="31"/>
      <c r="Q17" s="33"/>
      <c r="R17" s="33"/>
      <c r="S17" s="33"/>
      <c r="T17" s="33"/>
      <c r="U17" s="33"/>
      <c r="V17" s="33"/>
      <c r="W17" s="33"/>
    </row>
    <row r="18" spans="1:23" ht="16.5" customHeight="1" x14ac:dyDescent="0.2">
      <c r="A18" s="25" t="s">
        <v>3613</v>
      </c>
      <c r="B18" s="26" t="s">
        <v>3614</v>
      </c>
      <c r="C18" s="27" t="s">
        <v>98</v>
      </c>
      <c r="D18" s="27" t="s">
        <v>102</v>
      </c>
      <c r="E18" s="26" t="s">
        <v>39</v>
      </c>
      <c r="F18" s="28" t="e">
        <f ca="1">_xludf.ifna(VLOOKUP(G18,Proyectos!$A$2:$F$674,6,0),"")</f>
        <v>#NAME?</v>
      </c>
      <c r="G18" s="29" t="s">
        <v>5114</v>
      </c>
      <c r="H18" s="36">
        <v>0.3</v>
      </c>
      <c r="I18" s="31" t="s">
        <v>18</v>
      </c>
      <c r="J18" s="31" t="s">
        <v>41</v>
      </c>
      <c r="K18" s="37" t="s">
        <v>4404</v>
      </c>
      <c r="L18" s="32" t="e">
        <f ca="1">_xludf.ifna(VLOOKUP(E18,Parámetros!$D$2:$E$34,2,0),"")</f>
        <v>#NAME?</v>
      </c>
      <c r="M18" s="32" t="e">
        <f ca="1">_xludf.ifna(VLOOKUP(G18,Proyectos!$A$2:$T$674,20,0),"")</f>
        <v>#NAME?</v>
      </c>
      <c r="N18" s="32" t="e">
        <f ca="1">_xludf.ifna(VLOOKUP(G18,Proyectos!$A$2:$S$674,19,0))</f>
        <v>#NAME?</v>
      </c>
      <c r="O18" s="32"/>
      <c r="P18" s="31"/>
      <c r="Q18" s="33"/>
      <c r="R18" s="33"/>
      <c r="S18" s="33"/>
      <c r="T18" s="33"/>
      <c r="U18" s="33"/>
      <c r="V18" s="33"/>
      <c r="W18" s="33"/>
    </row>
    <row r="19" spans="1:23" ht="16.5" customHeight="1" x14ac:dyDescent="0.2">
      <c r="A19" s="35" t="s">
        <v>3632</v>
      </c>
      <c r="B19" s="35" t="s">
        <v>3633</v>
      </c>
      <c r="C19" s="27" t="s">
        <v>98</v>
      </c>
      <c r="D19" s="27" t="s">
        <v>102</v>
      </c>
      <c r="E19" s="26" t="s">
        <v>39</v>
      </c>
      <c r="F19" s="28" t="e">
        <f ca="1">_xludf.ifna(VLOOKUP(G19,Proyectos!$A$2:$F$674,6,0),"")</f>
        <v>#NAME?</v>
      </c>
      <c r="G19" s="38" t="s">
        <v>5112</v>
      </c>
      <c r="H19" s="39">
        <v>0.1</v>
      </c>
      <c r="I19" s="31" t="s">
        <v>18</v>
      </c>
      <c r="J19" s="31" t="s">
        <v>41</v>
      </c>
      <c r="K19" s="32"/>
      <c r="L19" s="32" t="e">
        <f ca="1">_xludf.ifna(VLOOKUP(E19,Parámetros!$D$2:$E$34,2,0),"")</f>
        <v>#NAME?</v>
      </c>
      <c r="M19" s="32" t="e">
        <f ca="1">_xludf.ifna(VLOOKUP(G19,Proyectos!$A$2:$T$674,20,0),"")</f>
        <v>#NAME?</v>
      </c>
      <c r="N19" s="32" t="e">
        <f ca="1">_xludf.ifna(VLOOKUP(G19,Proyectos!$A$2:$S$674,19,0))</f>
        <v>#NAME?</v>
      </c>
      <c r="O19" s="32"/>
      <c r="P19" s="31"/>
      <c r="Q19" s="33"/>
      <c r="R19" s="33"/>
      <c r="S19" s="33"/>
      <c r="T19" s="33"/>
      <c r="U19" s="33"/>
      <c r="V19" s="33"/>
      <c r="W19" s="33"/>
    </row>
    <row r="20" spans="1:23" ht="16.5" customHeight="1" x14ac:dyDescent="0.2">
      <c r="A20" s="35" t="s">
        <v>3632</v>
      </c>
      <c r="B20" s="35" t="s">
        <v>3633</v>
      </c>
      <c r="C20" s="27" t="s">
        <v>98</v>
      </c>
      <c r="D20" s="27" t="s">
        <v>102</v>
      </c>
      <c r="E20" s="26" t="s">
        <v>39</v>
      </c>
      <c r="F20" s="28" t="e">
        <f ca="1">_xludf.ifna(VLOOKUP(G20,Proyectos!$A$2:$F$674,6,0),"")</f>
        <v>#NAME?</v>
      </c>
      <c r="G20" s="38" t="s">
        <v>5116</v>
      </c>
      <c r="H20" s="40">
        <v>0.8</v>
      </c>
      <c r="I20" s="31" t="s">
        <v>18</v>
      </c>
      <c r="J20" s="31" t="s">
        <v>41</v>
      </c>
      <c r="K20" s="32"/>
      <c r="L20" s="32" t="e">
        <f ca="1">_xludf.ifna(VLOOKUP(E20,Parámetros!$D$2:$E$34,2,0),"")</f>
        <v>#NAME?</v>
      </c>
      <c r="M20" s="32" t="e">
        <f ca="1">_xludf.ifna(VLOOKUP(G20,Proyectos!$A$2:$T$674,20,0),"")</f>
        <v>#NAME?</v>
      </c>
      <c r="N20" s="32" t="e">
        <f ca="1">_xludf.ifna(VLOOKUP(G20,Proyectos!$A$2:$S$674,19,0))</f>
        <v>#NAME?</v>
      </c>
      <c r="O20" s="32"/>
      <c r="P20" s="31"/>
      <c r="Q20" s="33"/>
      <c r="R20" s="33"/>
      <c r="S20" s="33"/>
      <c r="T20" s="33"/>
      <c r="U20" s="33"/>
      <c r="V20" s="33"/>
      <c r="W20" s="33"/>
    </row>
    <row r="21" spans="1:23" ht="16.5" customHeight="1" x14ac:dyDescent="0.2">
      <c r="A21" s="35" t="s">
        <v>3632</v>
      </c>
      <c r="B21" s="35" t="s">
        <v>3633</v>
      </c>
      <c r="C21" s="27" t="s">
        <v>98</v>
      </c>
      <c r="D21" s="27" t="s">
        <v>102</v>
      </c>
      <c r="E21" s="26" t="s">
        <v>39</v>
      </c>
      <c r="F21" s="28" t="e">
        <f ca="1">_xludf.ifna(VLOOKUP(G21,Proyectos!$A$2:$F$674,6,0),"")</f>
        <v>#NAME?</v>
      </c>
      <c r="G21" s="38" t="s">
        <v>5111</v>
      </c>
      <c r="H21" s="40">
        <v>0.1</v>
      </c>
      <c r="I21" s="31" t="s">
        <v>18</v>
      </c>
      <c r="J21" s="31" t="s">
        <v>41</v>
      </c>
      <c r="K21" s="32"/>
      <c r="L21" s="32" t="e">
        <f ca="1">_xludf.ifna(VLOOKUP(E21,Parámetros!$D$2:$E$34,2,0),"")</f>
        <v>#NAME?</v>
      </c>
      <c r="M21" s="32" t="e">
        <f ca="1">_xludf.ifna(VLOOKUP(G21,Proyectos!$A$2:$T$674,20,0),"")</f>
        <v>#NAME?</v>
      </c>
      <c r="N21" s="32" t="e">
        <f ca="1">_xludf.ifna(VLOOKUP(G21,Proyectos!$A$2:$S$674,19,0))</f>
        <v>#NAME?</v>
      </c>
      <c r="O21" s="32"/>
      <c r="P21" s="31"/>
      <c r="Q21" s="33"/>
      <c r="R21" s="33"/>
      <c r="S21" s="33"/>
      <c r="T21" s="33"/>
      <c r="U21" s="33"/>
      <c r="V21" s="33"/>
      <c r="W21" s="33"/>
    </row>
    <row r="22" spans="1:23" ht="16.5" customHeight="1" x14ac:dyDescent="0.2">
      <c r="A22" s="25" t="s">
        <v>3826</v>
      </c>
      <c r="B22" s="26" t="s">
        <v>3827</v>
      </c>
      <c r="C22" s="27" t="s">
        <v>98</v>
      </c>
      <c r="D22" s="27" t="s">
        <v>102</v>
      </c>
      <c r="E22" s="26" t="s">
        <v>39</v>
      </c>
      <c r="F22" s="28" t="e">
        <f ca="1">_xludf.ifna(VLOOKUP(G22,Proyectos!$A$2:$F$674,6,0),"")</f>
        <v>#NAME?</v>
      </c>
      <c r="G22" s="26" t="s">
        <v>5116</v>
      </c>
      <c r="H22" s="36">
        <v>0.75</v>
      </c>
      <c r="I22" s="31" t="s">
        <v>18</v>
      </c>
      <c r="J22" s="31" t="s">
        <v>41</v>
      </c>
      <c r="K22" s="32"/>
      <c r="L22" s="32" t="e">
        <f ca="1">_xludf.ifna(VLOOKUP(E22,Parámetros!$D$2:$E$34,2,0),"")</f>
        <v>#NAME?</v>
      </c>
      <c r="M22" s="32" t="e">
        <f ca="1">_xludf.ifna(VLOOKUP(G22,Proyectos!$A$2:$T$674,20,0),"")</f>
        <v>#NAME?</v>
      </c>
      <c r="N22" s="32" t="e">
        <f ca="1">_xludf.ifna(VLOOKUP(G22,Proyectos!$A$2:$S$674,19,0))</f>
        <v>#NAME?</v>
      </c>
      <c r="O22" s="32"/>
      <c r="P22" s="31"/>
      <c r="Q22" s="33"/>
      <c r="R22" s="33"/>
      <c r="S22" s="33"/>
      <c r="T22" s="33"/>
      <c r="U22" s="33"/>
      <c r="V22" s="33"/>
      <c r="W22" s="33"/>
    </row>
    <row r="23" spans="1:23" ht="16.5" customHeight="1" x14ac:dyDescent="0.2">
      <c r="A23" s="25" t="s">
        <v>3826</v>
      </c>
      <c r="B23" s="26" t="s">
        <v>3827</v>
      </c>
      <c r="C23" s="27" t="s">
        <v>98</v>
      </c>
      <c r="D23" s="27" t="s">
        <v>102</v>
      </c>
      <c r="E23" s="26" t="s">
        <v>39</v>
      </c>
      <c r="F23" s="28" t="e">
        <f ca="1">_xludf.ifna(VLOOKUP(G23,Proyectos!$A$2:$F$674,6,0),"")</f>
        <v>#NAME?</v>
      </c>
      <c r="G23" s="41" t="s">
        <v>5118</v>
      </c>
      <c r="H23" s="36">
        <v>0.25</v>
      </c>
      <c r="I23" s="31" t="s">
        <v>18</v>
      </c>
      <c r="J23" s="31" t="s">
        <v>41</v>
      </c>
      <c r="K23" s="37" t="s">
        <v>4404</v>
      </c>
      <c r="L23" s="32" t="e">
        <f ca="1">_xludf.ifna(VLOOKUP(E23,Parámetros!$D$2:$E$34,2,0),"")</f>
        <v>#NAME?</v>
      </c>
      <c r="M23" s="32" t="e">
        <f ca="1">_xludf.ifna(VLOOKUP(G23,Proyectos!$A$2:$T$674,20,0),"")</f>
        <v>#NAME?</v>
      </c>
      <c r="N23" s="32" t="e">
        <f ca="1">_xludf.ifna(VLOOKUP(G23,Proyectos!$A$2:$S$674,19,0))</f>
        <v>#NAME?</v>
      </c>
      <c r="O23" s="32"/>
      <c r="P23" s="31"/>
      <c r="Q23" s="33"/>
      <c r="R23" s="33"/>
      <c r="S23" s="33"/>
      <c r="T23" s="33"/>
      <c r="U23" s="33"/>
      <c r="V23" s="33"/>
      <c r="W23" s="33"/>
    </row>
    <row r="24" spans="1:23" ht="16.5" customHeight="1" x14ac:dyDescent="0.2">
      <c r="A24" s="25" t="s">
        <v>3832</v>
      </c>
      <c r="B24" s="26" t="s">
        <v>3833</v>
      </c>
      <c r="C24" s="27" t="s">
        <v>98</v>
      </c>
      <c r="D24" s="27" t="s">
        <v>102</v>
      </c>
      <c r="E24" s="26" t="s">
        <v>39</v>
      </c>
      <c r="F24" s="28" t="e">
        <f ca="1">_xludf.ifna(VLOOKUP(G24,Proyectos!$A$2:$F$674,6,0),"")</f>
        <v>#NAME?</v>
      </c>
      <c r="G24" s="26" t="s">
        <v>5120</v>
      </c>
      <c r="H24" s="36">
        <v>1</v>
      </c>
      <c r="I24" s="31" t="s">
        <v>18</v>
      </c>
      <c r="J24" s="31" t="s">
        <v>41</v>
      </c>
      <c r="K24" s="32"/>
      <c r="L24" s="32" t="e">
        <f ca="1">_xludf.ifna(VLOOKUP(E24,Parámetros!$D$2:$E$34,2,0),"")</f>
        <v>#NAME?</v>
      </c>
      <c r="M24" s="32" t="e">
        <f ca="1">_xludf.ifna(VLOOKUP(G24,Proyectos!$A$2:$T$674,20,0),"")</f>
        <v>#NAME?</v>
      </c>
      <c r="N24" s="32" t="e">
        <f ca="1">_xludf.ifna(VLOOKUP(G24,Proyectos!$A$2:$S$674,19,0))</f>
        <v>#NAME?</v>
      </c>
      <c r="O24" s="32"/>
      <c r="P24" s="31"/>
      <c r="Q24" s="33"/>
      <c r="R24" s="33"/>
      <c r="S24" s="33"/>
      <c r="T24" s="33"/>
      <c r="U24" s="33"/>
      <c r="V24" s="33"/>
      <c r="W24" s="33"/>
    </row>
    <row r="25" spans="1:23" ht="16.5" customHeight="1" x14ac:dyDescent="0.2">
      <c r="A25" s="25" t="s">
        <v>3846</v>
      </c>
      <c r="B25" s="26" t="s">
        <v>3847</v>
      </c>
      <c r="C25" s="27" t="s">
        <v>98</v>
      </c>
      <c r="D25" s="27" t="s">
        <v>102</v>
      </c>
      <c r="E25" s="26" t="s">
        <v>39</v>
      </c>
      <c r="F25" s="28" t="e">
        <f ca="1">_xludf.ifna(VLOOKUP(G25,Proyectos!$A$2:$F$674,6,0),"")</f>
        <v>#NAME?</v>
      </c>
      <c r="G25" s="26" t="s">
        <v>5120</v>
      </c>
      <c r="H25" s="36">
        <v>1</v>
      </c>
      <c r="I25" s="31" t="s">
        <v>18</v>
      </c>
      <c r="J25" s="31" t="s">
        <v>41</v>
      </c>
      <c r="K25" s="32"/>
      <c r="L25" s="32" t="e">
        <f ca="1">_xludf.ifna(VLOOKUP(E25,Parámetros!$D$2:$E$34,2,0),"")</f>
        <v>#NAME?</v>
      </c>
      <c r="M25" s="32" t="e">
        <f ca="1">_xludf.ifna(VLOOKUP(G25,Proyectos!$A$2:$T$674,20,0),"")</f>
        <v>#NAME?</v>
      </c>
      <c r="N25" s="32" t="e">
        <f ca="1">_xludf.ifna(VLOOKUP(G25,Proyectos!$A$2:$S$674,19,0))</f>
        <v>#NAME?</v>
      </c>
      <c r="O25" s="32"/>
      <c r="P25" s="31"/>
      <c r="Q25" s="33"/>
      <c r="R25" s="33"/>
      <c r="S25" s="33"/>
      <c r="T25" s="33"/>
      <c r="U25" s="33"/>
      <c r="V25" s="33"/>
      <c r="W25" s="33"/>
    </row>
    <row r="26" spans="1:23" ht="16.5" customHeight="1" x14ac:dyDescent="0.2">
      <c r="A26" s="25" t="s">
        <v>4080</v>
      </c>
      <c r="B26" s="26" t="s">
        <v>4081</v>
      </c>
      <c r="C26" s="26" t="s">
        <v>98</v>
      </c>
      <c r="D26" s="26" t="s">
        <v>102</v>
      </c>
      <c r="E26" s="26" t="s">
        <v>83</v>
      </c>
      <c r="F26" s="28" t="e">
        <f ca="1">_xludf.ifna(VLOOKUP(G26,Proyectos!$A$2:$F$674,6,0),"")</f>
        <v>#NAME?</v>
      </c>
      <c r="G26" s="26" t="s">
        <v>5115</v>
      </c>
      <c r="H26" s="36">
        <v>0.5</v>
      </c>
      <c r="I26" s="31" t="s">
        <v>25</v>
      </c>
      <c r="J26" s="31" t="s">
        <v>41</v>
      </c>
      <c r="K26" s="32"/>
      <c r="L26" s="32" t="e">
        <f ca="1">_xludf.ifna(VLOOKUP(E26,Parámetros!$D$2:$E$34,2,0),"")</f>
        <v>#NAME?</v>
      </c>
      <c r="M26" s="32" t="e">
        <f ca="1">_xludf.ifna(VLOOKUP(G26,Proyectos!$A$2:$T$674,20,0),"")</f>
        <v>#NAME?</v>
      </c>
      <c r="N26" s="32" t="e">
        <f ca="1">_xludf.ifna(VLOOKUP(G26,Proyectos!$A$2:$S$674,19,0))</f>
        <v>#NAME?</v>
      </c>
      <c r="O26" s="32"/>
      <c r="P26" s="31"/>
      <c r="Q26" s="33"/>
      <c r="R26" s="33"/>
      <c r="S26" s="33"/>
      <c r="T26" s="33"/>
      <c r="U26" s="33"/>
      <c r="V26" s="33"/>
      <c r="W26" s="33"/>
    </row>
    <row r="27" spans="1:23" ht="16.5" customHeight="1" x14ac:dyDescent="0.2">
      <c r="A27" s="25" t="s">
        <v>4080</v>
      </c>
      <c r="B27" s="26" t="s">
        <v>4081</v>
      </c>
      <c r="C27" s="26" t="s">
        <v>98</v>
      </c>
      <c r="D27" s="26" t="s">
        <v>102</v>
      </c>
      <c r="E27" s="26" t="s">
        <v>83</v>
      </c>
      <c r="F27" s="28" t="e">
        <f ca="1">_xludf.ifna(VLOOKUP(G27,Proyectos!$A$2:$F$674,6,0),"")</f>
        <v>#NAME?</v>
      </c>
      <c r="G27" s="26" t="s">
        <v>5116</v>
      </c>
      <c r="H27" s="36">
        <v>0.5</v>
      </c>
      <c r="I27" s="31" t="s">
        <v>25</v>
      </c>
      <c r="J27" s="31" t="s">
        <v>41</v>
      </c>
      <c r="K27" s="37"/>
      <c r="L27" s="32" t="e">
        <f ca="1">_xludf.ifna(VLOOKUP(E27,Parámetros!$D$2:$E$34,2,0),"")</f>
        <v>#NAME?</v>
      </c>
      <c r="M27" s="32" t="e">
        <f ca="1">_xludf.ifna(VLOOKUP(G27,Proyectos!$A$2:$T$674,20,0),"")</f>
        <v>#NAME?</v>
      </c>
      <c r="N27" s="32" t="e">
        <f ca="1">_xludf.ifna(VLOOKUP(G27,Proyectos!$A$2:$S$674,19,0))</f>
        <v>#NAME?</v>
      </c>
      <c r="O27" s="32"/>
      <c r="P27" s="31"/>
      <c r="Q27" s="33"/>
      <c r="R27" s="33"/>
      <c r="S27" s="33"/>
      <c r="T27" s="33"/>
      <c r="U27" s="33"/>
      <c r="V27" s="33"/>
      <c r="W27" s="33"/>
    </row>
    <row r="28" spans="1:23" ht="16.5" customHeight="1" x14ac:dyDescent="0.2">
      <c r="A28" s="25" t="s">
        <v>4387</v>
      </c>
      <c r="B28" s="26" t="s">
        <v>4388</v>
      </c>
      <c r="C28" s="26" t="s">
        <v>98</v>
      </c>
      <c r="D28" s="26" t="s">
        <v>102</v>
      </c>
      <c r="E28" s="26" t="s">
        <v>83</v>
      </c>
      <c r="F28" s="28" t="e">
        <f ca="1">_xludf.ifna(VLOOKUP(G28,Proyectos!$A$2:$F$674,6,0),"")</f>
        <v>#NAME?</v>
      </c>
      <c r="G28" s="41" t="s">
        <v>5118</v>
      </c>
      <c r="H28" s="36">
        <v>1</v>
      </c>
      <c r="I28" s="31" t="s">
        <v>25</v>
      </c>
      <c r="J28" s="31" t="s">
        <v>41</v>
      </c>
      <c r="K28" s="37" t="s">
        <v>4389</v>
      </c>
      <c r="L28" s="32" t="e">
        <f ca="1">_xludf.ifna(VLOOKUP(E28,Parámetros!$D$2:$E$34,2,0),"")</f>
        <v>#NAME?</v>
      </c>
      <c r="M28" s="32" t="e">
        <f ca="1">_xludf.ifna(VLOOKUP(G28,Proyectos!$A$2:$T$674,20,0),"")</f>
        <v>#NAME?</v>
      </c>
      <c r="N28" s="32" t="e">
        <f ca="1">_xludf.ifna(VLOOKUP(G28,Proyectos!$A$2:$S$674,19,0))</f>
        <v>#NAME?</v>
      </c>
      <c r="O28" s="32"/>
      <c r="P28" s="31"/>
      <c r="Q28" s="33"/>
      <c r="R28" s="33"/>
      <c r="S28" s="33"/>
      <c r="T28" s="33"/>
      <c r="U28" s="33"/>
      <c r="V28" s="33"/>
      <c r="W28" s="33"/>
    </row>
    <row r="29" spans="1:23" ht="16.5" customHeight="1" x14ac:dyDescent="0.2">
      <c r="A29" s="25" t="s">
        <v>4037</v>
      </c>
      <c r="B29" s="26" t="s">
        <v>4038</v>
      </c>
      <c r="C29" s="26" t="s">
        <v>98</v>
      </c>
      <c r="D29" s="26" t="s">
        <v>102</v>
      </c>
      <c r="E29" s="26" t="s">
        <v>83</v>
      </c>
      <c r="F29" s="28" t="e">
        <f ca="1">_xludf.ifna(VLOOKUP(G29,Proyectos!$A$2:$F$674,6,0),"")</f>
        <v>#NAME?</v>
      </c>
      <c r="G29" s="26" t="s">
        <v>5112</v>
      </c>
      <c r="H29" s="36">
        <v>1</v>
      </c>
      <c r="I29" s="31" t="s">
        <v>25</v>
      </c>
      <c r="J29" s="31" t="s">
        <v>41</v>
      </c>
      <c r="K29" s="32"/>
      <c r="L29" s="32" t="e">
        <f ca="1">_xludf.ifna(VLOOKUP(E29,Parámetros!$D$2:$E$34,2,0),"")</f>
        <v>#NAME?</v>
      </c>
      <c r="M29" s="32" t="e">
        <f ca="1">_xludf.ifna(VLOOKUP(G29,Proyectos!$A$2:$T$674,20,0),"")</f>
        <v>#NAME?</v>
      </c>
      <c r="N29" s="32" t="e">
        <f ca="1">_xludf.ifna(VLOOKUP(G29,Proyectos!$A$2:$S$674,19,0))</f>
        <v>#NAME?</v>
      </c>
      <c r="O29" s="32"/>
      <c r="P29" s="31"/>
      <c r="Q29" s="33"/>
      <c r="R29" s="33"/>
      <c r="S29" s="33"/>
      <c r="T29" s="33"/>
      <c r="U29" s="33"/>
      <c r="V29" s="33"/>
      <c r="W29" s="33"/>
    </row>
    <row r="30" spans="1:23" ht="16.5" customHeight="1" x14ac:dyDescent="0.2">
      <c r="A30" s="25" t="s">
        <v>4402</v>
      </c>
      <c r="B30" s="26" t="s">
        <v>4403</v>
      </c>
      <c r="C30" s="26" t="s">
        <v>98</v>
      </c>
      <c r="D30" s="26" t="s">
        <v>102</v>
      </c>
      <c r="E30" s="26" t="s">
        <v>83</v>
      </c>
      <c r="F30" s="28" t="e">
        <f ca="1">_xludf.ifna(VLOOKUP(G30,Proyectos!$A$2:$F$674,6,0),"")</f>
        <v>#NAME?</v>
      </c>
      <c r="G30" s="41" t="s">
        <v>5118</v>
      </c>
      <c r="H30" s="36">
        <v>0.5</v>
      </c>
      <c r="I30" s="31" t="s">
        <v>25</v>
      </c>
      <c r="J30" s="31" t="s">
        <v>41</v>
      </c>
      <c r="K30" s="37" t="s">
        <v>4404</v>
      </c>
      <c r="L30" s="32" t="e">
        <f ca="1">_xludf.ifna(VLOOKUP(E30,Parámetros!$D$2:$E$34,2,0),"")</f>
        <v>#NAME?</v>
      </c>
      <c r="M30" s="32" t="e">
        <f ca="1">_xludf.ifna(VLOOKUP(G30,Proyectos!$A$2:$T$674,20,0),"")</f>
        <v>#NAME?</v>
      </c>
      <c r="N30" s="32" t="e">
        <f ca="1">_xludf.ifna(VLOOKUP(G30,Proyectos!$A$2:$S$674,19,0))</f>
        <v>#NAME?</v>
      </c>
      <c r="O30" s="32"/>
      <c r="P30" s="31"/>
      <c r="Q30" s="33"/>
      <c r="R30" s="33"/>
      <c r="S30" s="33"/>
      <c r="T30" s="33"/>
      <c r="U30" s="33"/>
      <c r="V30" s="33"/>
      <c r="W30" s="33"/>
    </row>
    <row r="31" spans="1:23" ht="16.5" customHeight="1" x14ac:dyDescent="0.2">
      <c r="A31" s="25" t="s">
        <v>4402</v>
      </c>
      <c r="B31" s="26" t="s">
        <v>4403</v>
      </c>
      <c r="C31" s="26" t="s">
        <v>98</v>
      </c>
      <c r="D31" s="26" t="s">
        <v>102</v>
      </c>
      <c r="E31" s="26" t="s">
        <v>83</v>
      </c>
      <c r="F31" s="28" t="e">
        <f ca="1">_xludf.ifna(VLOOKUP(G31,Proyectos!$A$2:$F$674,6,0),"")</f>
        <v>#NAME?</v>
      </c>
      <c r="G31" s="26" t="s">
        <v>5116</v>
      </c>
      <c r="H31" s="36">
        <v>0.5</v>
      </c>
      <c r="I31" s="31" t="s">
        <v>25</v>
      </c>
      <c r="J31" s="31" t="s">
        <v>41</v>
      </c>
      <c r="K31" s="37"/>
      <c r="L31" s="32" t="e">
        <f ca="1">_xludf.ifna(VLOOKUP(E31,Parámetros!$D$2:$E$34,2,0),"")</f>
        <v>#NAME?</v>
      </c>
      <c r="M31" s="32" t="e">
        <f ca="1">_xludf.ifna(VLOOKUP(G31,Proyectos!$A$2:$T$674,20,0),"")</f>
        <v>#NAME?</v>
      </c>
      <c r="N31" s="32" t="e">
        <f ca="1">_xludf.ifna(VLOOKUP(G31,Proyectos!$A$2:$S$674,19,0))</f>
        <v>#NAME?</v>
      </c>
      <c r="O31" s="32"/>
      <c r="P31" s="31"/>
      <c r="Q31" s="33"/>
      <c r="R31" s="33"/>
      <c r="S31" s="33"/>
      <c r="T31" s="33"/>
      <c r="U31" s="33"/>
      <c r="V31" s="33"/>
      <c r="W31" s="33"/>
    </row>
    <row r="32" spans="1:23" ht="16.5" customHeight="1" x14ac:dyDescent="0.2">
      <c r="A32" s="25" t="s">
        <v>4487</v>
      </c>
      <c r="B32" s="26" t="s">
        <v>4488</v>
      </c>
      <c r="C32" s="26" t="s">
        <v>98</v>
      </c>
      <c r="D32" s="26" t="s">
        <v>102</v>
      </c>
      <c r="E32" s="26" t="s">
        <v>83</v>
      </c>
      <c r="F32" s="28" t="e">
        <f ca="1">_xludf.ifna(VLOOKUP(G32,Proyectos!$A$2:$F$674,6,0),"")</f>
        <v>#NAME?</v>
      </c>
      <c r="G32" s="29" t="s">
        <v>5114</v>
      </c>
      <c r="H32" s="36">
        <v>1</v>
      </c>
      <c r="I32" s="31" t="s">
        <v>25</v>
      </c>
      <c r="J32" s="31" t="s">
        <v>41</v>
      </c>
      <c r="K32" s="37" t="s">
        <v>4404</v>
      </c>
      <c r="L32" s="32" t="e">
        <f ca="1">_xludf.ifna(VLOOKUP(E32,Parámetros!$D$2:$E$34,2,0),"")</f>
        <v>#NAME?</v>
      </c>
      <c r="M32" s="32" t="e">
        <f ca="1">_xludf.ifna(VLOOKUP(G32,Proyectos!$A$2:$T$674,20,0),"")</f>
        <v>#NAME?</v>
      </c>
      <c r="N32" s="32" t="e">
        <f ca="1">_xludf.ifna(VLOOKUP(G32,Proyectos!$A$2:$S$674,19,0))</f>
        <v>#NAME?</v>
      </c>
      <c r="O32" s="32"/>
      <c r="P32" s="31"/>
      <c r="Q32" s="33"/>
      <c r="R32" s="33"/>
      <c r="S32" s="33"/>
      <c r="T32" s="33"/>
      <c r="U32" s="33"/>
      <c r="V32" s="33"/>
      <c r="W32" s="33"/>
    </row>
    <row r="33" spans="1:23" ht="16.5" customHeight="1" x14ac:dyDescent="0.2">
      <c r="A33" s="25" t="s">
        <v>4948</v>
      </c>
      <c r="B33" s="26" t="s">
        <v>4949</v>
      </c>
      <c r="C33" s="26" t="s">
        <v>98</v>
      </c>
      <c r="D33" s="26" t="s">
        <v>102</v>
      </c>
      <c r="E33" s="26" t="s">
        <v>83</v>
      </c>
      <c r="F33" s="28" t="e">
        <f ca="1">_xludf.ifna(VLOOKUP(G33,Proyectos!$A$2:$F$674,6,0),"")</f>
        <v>#NAME?</v>
      </c>
      <c r="G33" s="26" t="s">
        <v>5112</v>
      </c>
      <c r="H33" s="36">
        <v>1</v>
      </c>
      <c r="I33" s="31" t="s">
        <v>25</v>
      </c>
      <c r="J33" s="31" t="s">
        <v>41</v>
      </c>
      <c r="K33" s="32"/>
      <c r="L33" s="32" t="e">
        <f ca="1">_xludf.ifna(VLOOKUP(E33,Parámetros!$D$2:$E$34,2,0),"")</f>
        <v>#NAME?</v>
      </c>
      <c r="M33" s="32" t="e">
        <f ca="1">_xludf.ifna(VLOOKUP(G33,Proyectos!$A$2:$T$674,20,0),"")</f>
        <v>#NAME?</v>
      </c>
      <c r="N33" s="32" t="e">
        <f ca="1">_xludf.ifna(VLOOKUP(G33,Proyectos!$A$2:$S$674,19,0))</f>
        <v>#NAME?</v>
      </c>
      <c r="O33" s="32"/>
      <c r="P33" s="31"/>
      <c r="Q33" s="33"/>
      <c r="R33" s="33"/>
      <c r="S33" s="33"/>
      <c r="T33" s="33"/>
      <c r="U33" s="33"/>
      <c r="V33" s="33"/>
      <c r="W33" s="33"/>
    </row>
    <row r="34" spans="1:23" ht="16.5" customHeight="1" x14ac:dyDescent="0.2">
      <c r="A34" s="25" t="s">
        <v>4489</v>
      </c>
      <c r="B34" s="26" t="s">
        <v>4490</v>
      </c>
      <c r="C34" s="26" t="s">
        <v>98</v>
      </c>
      <c r="D34" s="26" t="s">
        <v>102</v>
      </c>
      <c r="E34" s="26" t="s">
        <v>83</v>
      </c>
      <c r="F34" s="28" t="e">
        <f ca="1">_xludf.ifna(VLOOKUP(G34,Proyectos!$A$2:$F$674,6,0),"")</f>
        <v>#NAME?</v>
      </c>
      <c r="G34" s="26" t="s">
        <v>5112</v>
      </c>
      <c r="H34" s="36">
        <v>1</v>
      </c>
      <c r="I34" s="31" t="s">
        <v>25</v>
      </c>
      <c r="J34" s="31" t="s">
        <v>41</v>
      </c>
      <c r="K34" s="32"/>
      <c r="L34" s="32" t="e">
        <f ca="1">_xludf.ifna(VLOOKUP(E34,Parámetros!$D$2:$E$34,2,0),"")</f>
        <v>#NAME?</v>
      </c>
      <c r="M34" s="32" t="e">
        <f ca="1">_xludf.ifna(VLOOKUP(G34,Proyectos!$A$2:$T$674,20,0),"")</f>
        <v>#NAME?</v>
      </c>
      <c r="N34" s="32" t="e">
        <f ca="1">_xludf.ifna(VLOOKUP(G34,Proyectos!$A$2:$S$674,19,0))</f>
        <v>#NAME?</v>
      </c>
      <c r="O34" s="32"/>
      <c r="P34" s="31"/>
      <c r="Q34" s="33"/>
      <c r="R34" s="33"/>
      <c r="S34" s="33"/>
      <c r="T34" s="33"/>
      <c r="U34" s="33"/>
      <c r="V34" s="33"/>
      <c r="W34" s="33"/>
    </row>
    <row r="35" spans="1:23" ht="16.5" customHeight="1" x14ac:dyDescent="0.2">
      <c r="A35" s="35" t="s">
        <v>4378</v>
      </c>
      <c r="B35" s="35" t="s">
        <v>4379</v>
      </c>
      <c r="C35" s="35" t="s">
        <v>98</v>
      </c>
      <c r="D35" s="35" t="s">
        <v>102</v>
      </c>
      <c r="E35" s="35" t="s">
        <v>114</v>
      </c>
      <c r="F35" s="28" t="e">
        <f ca="1">_xludf.ifna(VLOOKUP(G35,Proyectos!$A$2:$F$674,6,0),"")</f>
        <v>#NAME?</v>
      </c>
      <c r="G35" s="42" t="s">
        <v>5116</v>
      </c>
      <c r="H35" s="32">
        <v>7.0000000000000007E-2</v>
      </c>
      <c r="I35" s="31" t="s">
        <v>32</v>
      </c>
      <c r="J35" s="31" t="s">
        <v>41</v>
      </c>
      <c r="K35" s="43"/>
      <c r="L35" s="32" t="e">
        <f ca="1">_xludf.ifna(VLOOKUP(E35,Parámetros!$D$2:$E$34,2,0),"")</f>
        <v>#NAME?</v>
      </c>
      <c r="M35" s="32" t="e">
        <f ca="1">_xludf.ifna(VLOOKUP(G35,Proyectos!$A$2:$T$674,20,0),"")</f>
        <v>#NAME?</v>
      </c>
      <c r="N35" s="32" t="e">
        <f ca="1">_xludf.ifna(VLOOKUP(G35,Proyectos!$A$2:$S$674,19,0))</f>
        <v>#NAME?</v>
      </c>
      <c r="O35" s="32"/>
      <c r="P35" s="31"/>
      <c r="Q35" s="33"/>
      <c r="R35" s="33"/>
      <c r="S35" s="33"/>
      <c r="T35" s="33"/>
      <c r="U35" s="33"/>
      <c r="V35" s="33"/>
      <c r="W35" s="33"/>
    </row>
    <row r="36" spans="1:23" ht="16.5" customHeight="1" x14ac:dyDescent="0.2">
      <c r="A36" s="35" t="s">
        <v>4378</v>
      </c>
      <c r="B36" s="35" t="s">
        <v>4379</v>
      </c>
      <c r="C36" s="35" t="s">
        <v>98</v>
      </c>
      <c r="D36" s="35" t="s">
        <v>102</v>
      </c>
      <c r="E36" s="35" t="s">
        <v>114</v>
      </c>
      <c r="F36" s="28" t="e">
        <f ca="1">_xludf.ifna(VLOOKUP(G36,Proyectos!$A$2:$F$674,6,0),"")</f>
        <v>#NAME?</v>
      </c>
      <c r="G36" s="29" t="s">
        <v>5115</v>
      </c>
      <c r="H36" s="32">
        <v>0.1</v>
      </c>
      <c r="I36" s="31" t="s">
        <v>32</v>
      </c>
      <c r="J36" s="31" t="s">
        <v>41</v>
      </c>
      <c r="K36" s="43"/>
      <c r="L36" s="32" t="e">
        <f ca="1">_xludf.ifna(VLOOKUP(E36,Parámetros!$D$2:$E$34,2,0),"")</f>
        <v>#NAME?</v>
      </c>
      <c r="M36" s="32" t="e">
        <f ca="1">_xludf.ifna(VLOOKUP(G36,Proyectos!$A$2:$T$674,20,0),"")</f>
        <v>#NAME?</v>
      </c>
      <c r="N36" s="32" t="e">
        <f ca="1">_xludf.ifna(VLOOKUP(G36,Proyectos!$A$2:$S$674,19,0))</f>
        <v>#NAME?</v>
      </c>
      <c r="O36" s="32"/>
      <c r="P36" s="31"/>
      <c r="Q36" s="33"/>
      <c r="R36" s="33"/>
      <c r="S36" s="33"/>
      <c r="T36" s="33"/>
      <c r="U36" s="33"/>
      <c r="V36" s="33"/>
      <c r="W36" s="33"/>
    </row>
    <row r="37" spans="1:23" ht="16.5" customHeight="1" x14ac:dyDescent="0.2">
      <c r="A37" s="35" t="s">
        <v>4378</v>
      </c>
      <c r="B37" s="35" t="s">
        <v>4379</v>
      </c>
      <c r="C37" s="35" t="s">
        <v>98</v>
      </c>
      <c r="D37" s="35" t="s">
        <v>102</v>
      </c>
      <c r="E37" s="35" t="s">
        <v>114</v>
      </c>
      <c r="F37" s="28" t="e">
        <f ca="1">_xludf.ifna(VLOOKUP(G37,Proyectos!$A$2:$F$674,6,0),"")</f>
        <v>#NAME?</v>
      </c>
      <c r="G37" s="29" t="s">
        <v>5114</v>
      </c>
      <c r="H37" s="32">
        <v>0.08</v>
      </c>
      <c r="I37" s="31" t="s">
        <v>32</v>
      </c>
      <c r="J37" s="31" t="s">
        <v>41</v>
      </c>
      <c r="K37" s="43"/>
      <c r="L37" s="32" t="e">
        <f ca="1">_xludf.ifna(VLOOKUP(E37,Parámetros!$D$2:$E$34,2,0),"")</f>
        <v>#NAME?</v>
      </c>
      <c r="M37" s="32" t="e">
        <f ca="1">_xludf.ifna(VLOOKUP(G37,Proyectos!$A$2:$T$674,20,0),"")</f>
        <v>#NAME?</v>
      </c>
      <c r="N37" s="32" t="e">
        <f ca="1">_xludf.ifna(VLOOKUP(G37,Proyectos!$A$2:$S$674,19,0))</f>
        <v>#NAME?</v>
      </c>
      <c r="O37" s="32"/>
      <c r="P37" s="31"/>
      <c r="Q37" s="33"/>
      <c r="R37" s="33"/>
      <c r="S37" s="33"/>
      <c r="T37" s="33"/>
      <c r="U37" s="33"/>
      <c r="V37" s="33"/>
      <c r="W37" s="33"/>
    </row>
    <row r="38" spans="1:23" ht="16.5" customHeight="1" x14ac:dyDescent="0.2">
      <c r="A38" s="26" t="s">
        <v>3489</v>
      </c>
      <c r="B38" s="26" t="s">
        <v>3490</v>
      </c>
      <c r="C38" s="26" t="s">
        <v>37</v>
      </c>
      <c r="D38" s="26" t="s">
        <v>45</v>
      </c>
      <c r="E38" s="26" t="s">
        <v>39</v>
      </c>
      <c r="F38" s="28" t="e">
        <f ca="1">_xludf.ifna(VLOOKUP(G38,Proyectos!$A$2:$F$674,6,0),"")</f>
        <v>#NAME?</v>
      </c>
      <c r="G38" s="26" t="s">
        <v>5121</v>
      </c>
      <c r="H38" s="36">
        <v>0.75</v>
      </c>
      <c r="I38" s="31" t="s">
        <v>18</v>
      </c>
      <c r="J38" s="31" t="s">
        <v>72</v>
      </c>
      <c r="K38" s="43" t="s">
        <v>3491</v>
      </c>
      <c r="L38" s="32" t="e">
        <f ca="1">_xludf.ifna(VLOOKUP(E38,Parámetros!$D$2:$E$34,2,0),"")</f>
        <v>#NAME?</v>
      </c>
      <c r="M38" s="32" t="e">
        <f ca="1">_xludf.ifna(VLOOKUP(G38,Proyectos!$A$2:$T$674,20,0),"")</f>
        <v>#NAME?</v>
      </c>
      <c r="N38" s="32" t="e">
        <f ca="1">_xludf.ifna(VLOOKUP(G38,Proyectos!$A$2:$S$674,19,0))</f>
        <v>#NAME?</v>
      </c>
      <c r="O38" s="32"/>
      <c r="P38" s="31"/>
      <c r="Q38" s="33"/>
      <c r="R38" s="33"/>
      <c r="S38" s="33"/>
      <c r="T38" s="33"/>
      <c r="U38" s="33"/>
      <c r="V38" s="33"/>
      <c r="W38" s="33"/>
    </row>
    <row r="39" spans="1:23" ht="16.5" customHeight="1" x14ac:dyDescent="0.2">
      <c r="A39" s="26" t="s">
        <v>3489</v>
      </c>
      <c r="B39" s="26" t="s">
        <v>3490</v>
      </c>
      <c r="C39" s="26" t="s">
        <v>37</v>
      </c>
      <c r="D39" s="26" t="s">
        <v>45</v>
      </c>
      <c r="E39" s="26" t="s">
        <v>39</v>
      </c>
      <c r="F39" s="28" t="e">
        <f ca="1">_xludf.ifna(VLOOKUP(G39,Proyectos!$A$2:$F$674,6,0),"")</f>
        <v>#NAME?</v>
      </c>
      <c r="G39" s="26" t="s">
        <v>5122</v>
      </c>
      <c r="H39" s="32">
        <v>0.25</v>
      </c>
      <c r="I39" s="31" t="s">
        <v>18</v>
      </c>
      <c r="J39" s="31" t="s">
        <v>72</v>
      </c>
      <c r="K39" s="43" t="s">
        <v>3491</v>
      </c>
      <c r="L39" s="32" t="e">
        <f ca="1">_xludf.ifna(VLOOKUP(E39,Parámetros!$D$2:$E$34,2,0),"")</f>
        <v>#NAME?</v>
      </c>
      <c r="M39" s="32" t="e">
        <f ca="1">_xludf.ifna(VLOOKUP(G39,Proyectos!$A$2:$T$674,20,0),"")</f>
        <v>#NAME?</v>
      </c>
      <c r="N39" s="32" t="e">
        <f ca="1">_xludf.ifna(VLOOKUP(G39,Proyectos!$A$2:$S$674,19,0))</f>
        <v>#NAME?</v>
      </c>
      <c r="O39" s="32"/>
      <c r="P39" s="31"/>
      <c r="Q39" s="33"/>
      <c r="R39" s="33"/>
      <c r="S39" s="33"/>
      <c r="T39" s="33"/>
      <c r="U39" s="33"/>
      <c r="V39" s="33"/>
      <c r="W39" s="33"/>
    </row>
    <row r="40" spans="1:23" ht="16.5" customHeight="1" x14ac:dyDescent="0.2">
      <c r="A40" s="26" t="s">
        <v>4915</v>
      </c>
      <c r="B40" s="26" t="s">
        <v>4916</v>
      </c>
      <c r="C40" s="26" t="s">
        <v>37</v>
      </c>
      <c r="D40" s="26" t="s">
        <v>45</v>
      </c>
      <c r="E40" s="26" t="s">
        <v>135</v>
      </c>
      <c r="F40" s="28" t="e">
        <f ca="1">_xludf.ifna(VLOOKUP(G40,Proyectos!$A$2:$F$674,6,0),"")</f>
        <v>#NAME?</v>
      </c>
      <c r="G40" s="26" t="s">
        <v>5121</v>
      </c>
      <c r="H40" s="32">
        <v>1</v>
      </c>
      <c r="I40" s="31" t="s">
        <v>32</v>
      </c>
      <c r="J40" s="31" t="s">
        <v>72</v>
      </c>
      <c r="K40" s="31" t="s">
        <v>4917</v>
      </c>
      <c r="L40" s="32" t="e">
        <f ca="1">_xludf.ifna(VLOOKUP(E40,Parámetros!$D$2:$E$34,2,0),"")</f>
        <v>#NAME?</v>
      </c>
      <c r="M40" s="32" t="e">
        <f ca="1">_xludf.ifna(VLOOKUP(G40,Proyectos!$A$2:$T$674,20,0),"")</f>
        <v>#NAME?</v>
      </c>
      <c r="N40" s="32" t="e">
        <f ca="1">_xludf.ifna(VLOOKUP(G40,Proyectos!$A$2:$S$674,19,0))</f>
        <v>#NAME?</v>
      </c>
      <c r="O40" s="32"/>
      <c r="P40" s="31"/>
      <c r="Q40" s="33"/>
      <c r="R40" s="33"/>
      <c r="S40" s="33"/>
      <c r="T40" s="33"/>
      <c r="U40" s="33"/>
      <c r="V40" s="33"/>
      <c r="W40" s="33"/>
    </row>
    <row r="41" spans="1:23" ht="16.5" customHeight="1" x14ac:dyDescent="0.2">
      <c r="A41" s="26" t="s">
        <v>3499</v>
      </c>
      <c r="B41" s="27" t="s">
        <v>3500</v>
      </c>
      <c r="C41" s="26" t="s">
        <v>37</v>
      </c>
      <c r="D41" s="26" t="s">
        <v>45</v>
      </c>
      <c r="E41" s="26" t="s">
        <v>39</v>
      </c>
      <c r="F41" s="28" t="e">
        <f ca="1">_xludf.ifna(VLOOKUP(G41,Proyectos!$A$2:$F$674,6,0),"")</f>
        <v>#NAME?</v>
      </c>
      <c r="G41" s="26" t="s">
        <v>5121</v>
      </c>
      <c r="H41" s="32">
        <v>0.75</v>
      </c>
      <c r="I41" s="31" t="s">
        <v>18</v>
      </c>
      <c r="J41" s="31" t="s">
        <v>72</v>
      </c>
      <c r="K41" s="43" t="s">
        <v>3491</v>
      </c>
      <c r="L41" s="32" t="e">
        <f ca="1">_xludf.ifna(VLOOKUP(E41,Parámetros!$D$2:$E$34,2,0),"")</f>
        <v>#NAME?</v>
      </c>
      <c r="M41" s="32" t="e">
        <f ca="1">_xludf.ifna(VLOOKUP(G41,Proyectos!$A$2:$T$674,20,0),"")</f>
        <v>#NAME?</v>
      </c>
      <c r="N41" s="32" t="e">
        <f ca="1">_xludf.ifna(VLOOKUP(G41,Proyectos!$A$2:$S$674,19,0))</f>
        <v>#NAME?</v>
      </c>
      <c r="O41" s="32"/>
      <c r="P41" s="31"/>
      <c r="Q41" s="33"/>
      <c r="R41" s="33"/>
      <c r="S41" s="33"/>
      <c r="T41" s="33"/>
      <c r="U41" s="33"/>
      <c r="V41" s="33"/>
      <c r="W41" s="33"/>
    </row>
    <row r="42" spans="1:23" ht="16.5" customHeight="1" x14ac:dyDescent="0.2">
      <c r="A42" s="26" t="s">
        <v>3499</v>
      </c>
      <c r="B42" s="27" t="s">
        <v>3500</v>
      </c>
      <c r="C42" s="26" t="s">
        <v>37</v>
      </c>
      <c r="D42" s="26" t="s">
        <v>45</v>
      </c>
      <c r="E42" s="26" t="s">
        <v>39</v>
      </c>
      <c r="F42" s="28" t="e">
        <f ca="1">_xludf.ifna(VLOOKUP(G42,Proyectos!$A$2:$F$674,6,0),"")</f>
        <v>#NAME?</v>
      </c>
      <c r="G42" s="26" t="s">
        <v>5122</v>
      </c>
      <c r="H42" s="32">
        <v>0.25</v>
      </c>
      <c r="I42" s="31" t="s">
        <v>18</v>
      </c>
      <c r="J42" s="31" t="s">
        <v>72</v>
      </c>
      <c r="K42" s="43" t="s">
        <v>3491</v>
      </c>
      <c r="L42" s="32" t="e">
        <f ca="1">_xludf.ifna(VLOOKUP(E42,Parámetros!$D$2:$E$34,2,0),"")</f>
        <v>#NAME?</v>
      </c>
      <c r="M42" s="32" t="e">
        <f ca="1">_xludf.ifna(VLOOKUP(G42,Proyectos!$A$2:$T$674,20,0),"")</f>
        <v>#NAME?</v>
      </c>
      <c r="N42" s="32" t="e">
        <f ca="1">_xludf.ifna(VLOOKUP(G42,Proyectos!$A$2:$S$674,19,0))</f>
        <v>#NAME?</v>
      </c>
      <c r="O42" s="32"/>
      <c r="P42" s="31"/>
      <c r="Q42" s="33"/>
      <c r="R42" s="33"/>
      <c r="S42" s="33"/>
      <c r="T42" s="33"/>
      <c r="U42" s="33"/>
      <c r="V42" s="33"/>
      <c r="W42" s="33"/>
    </row>
    <row r="43" spans="1:23" ht="16.5" customHeight="1" x14ac:dyDescent="0.2">
      <c r="A43" s="26" t="s">
        <v>3902</v>
      </c>
      <c r="B43" s="26" t="s">
        <v>3903</v>
      </c>
      <c r="C43" s="26" t="s">
        <v>37</v>
      </c>
      <c r="D43" s="26" t="s">
        <v>45</v>
      </c>
      <c r="E43" s="26" t="s">
        <v>138</v>
      </c>
      <c r="F43" s="28" t="e">
        <f ca="1">_xludf.ifna(VLOOKUP(G43,Proyectos!$A$2:$F$674,6,0),"")</f>
        <v>#NAME?</v>
      </c>
      <c r="G43" s="29" t="s">
        <v>5114</v>
      </c>
      <c r="H43" s="32">
        <v>1</v>
      </c>
      <c r="I43" s="31" t="s">
        <v>18</v>
      </c>
      <c r="J43" s="31" t="s">
        <v>72</v>
      </c>
      <c r="K43" s="31" t="s">
        <v>3600</v>
      </c>
      <c r="L43" s="32" t="e">
        <f ca="1">_xludf.ifna(VLOOKUP(E43,Parámetros!$D$2:$E$34,2,0),"")</f>
        <v>#NAME?</v>
      </c>
      <c r="M43" s="32" t="e">
        <f ca="1">_xludf.ifna(VLOOKUP(G43,Proyectos!$A$2:$T$674,20,0),"")</f>
        <v>#NAME?</v>
      </c>
      <c r="N43" s="32" t="e">
        <f ca="1">_xludf.ifna(VLOOKUP(G43,Proyectos!$A$2:$S$674,19,0))</f>
        <v>#NAME?</v>
      </c>
      <c r="O43" s="31"/>
      <c r="P43" s="31"/>
      <c r="Q43" s="33"/>
      <c r="R43" s="33"/>
      <c r="S43" s="33"/>
      <c r="T43" s="33"/>
      <c r="U43" s="33"/>
      <c r="V43" s="33"/>
      <c r="W43" s="33"/>
    </row>
    <row r="44" spans="1:23" ht="16.5" customHeight="1" x14ac:dyDescent="0.2">
      <c r="A44" s="26" t="s">
        <v>4171</v>
      </c>
      <c r="B44" s="26" t="s">
        <v>4172</v>
      </c>
      <c r="C44" s="26" t="s">
        <v>37</v>
      </c>
      <c r="D44" s="26" t="s">
        <v>45</v>
      </c>
      <c r="E44" s="26" t="s">
        <v>138</v>
      </c>
      <c r="F44" s="28" t="e">
        <f ca="1">_xludf.ifna(VLOOKUP(G44,Proyectos!$A$2:$F$674,6,0),"")</f>
        <v>#NAME?</v>
      </c>
      <c r="G44" s="29" t="s">
        <v>5114</v>
      </c>
      <c r="H44" s="32">
        <v>1</v>
      </c>
      <c r="I44" s="31" t="s">
        <v>18</v>
      </c>
      <c r="J44" s="31" t="s">
        <v>72</v>
      </c>
      <c r="K44" s="31" t="s">
        <v>3600</v>
      </c>
      <c r="L44" s="32" t="e">
        <f ca="1">_xludf.ifna(VLOOKUP(E44,Parámetros!$D$2:$E$34,2,0),"")</f>
        <v>#NAME?</v>
      </c>
      <c r="M44" s="32" t="e">
        <f ca="1">_xludf.ifna(VLOOKUP(G44,Proyectos!$A$2:$T$674,20,0),"")</f>
        <v>#NAME?</v>
      </c>
      <c r="N44" s="32" t="e">
        <f ca="1">_xludf.ifna(VLOOKUP(G44,Proyectos!$A$2:$S$674,19,0))</f>
        <v>#NAME?</v>
      </c>
      <c r="O44" s="32"/>
      <c r="P44" s="31"/>
      <c r="Q44" s="33"/>
      <c r="R44" s="33"/>
      <c r="S44" s="33"/>
      <c r="T44" s="33"/>
      <c r="U44" s="33"/>
      <c r="V44" s="33"/>
      <c r="W44" s="33"/>
    </row>
    <row r="45" spans="1:23" ht="16.5" customHeight="1" x14ac:dyDescent="0.2">
      <c r="A45" s="26" t="s">
        <v>3607</v>
      </c>
      <c r="B45" s="26" t="s">
        <v>3608</v>
      </c>
      <c r="C45" s="26" t="s">
        <v>37</v>
      </c>
      <c r="D45" s="26" t="s">
        <v>45</v>
      </c>
      <c r="E45" s="26" t="s">
        <v>39</v>
      </c>
      <c r="F45" s="28" t="e">
        <f ca="1">_xludf.ifna(VLOOKUP(G45,Proyectos!$A$2:$F$674,6,0),"")</f>
        <v>#NAME?</v>
      </c>
      <c r="G45" s="29" t="s">
        <v>5114</v>
      </c>
      <c r="H45" s="32">
        <v>1</v>
      </c>
      <c r="I45" s="31" t="s">
        <v>32</v>
      </c>
      <c r="J45" s="31" t="s">
        <v>72</v>
      </c>
      <c r="K45" s="31" t="s">
        <v>3600</v>
      </c>
      <c r="L45" s="32" t="e">
        <f ca="1">_xludf.ifna(VLOOKUP(E45,Parámetros!$D$2:$E$34,2,0),"")</f>
        <v>#NAME?</v>
      </c>
      <c r="M45" s="32" t="e">
        <f ca="1">_xludf.ifna(VLOOKUP(G45,Proyectos!$A$2:$T$674,20,0),"")</f>
        <v>#NAME?</v>
      </c>
      <c r="N45" s="32" t="e">
        <f ca="1">_xludf.ifna(VLOOKUP(G45,Proyectos!$A$2:$S$674,19,0))</f>
        <v>#NAME?</v>
      </c>
      <c r="O45" s="32"/>
      <c r="P45" s="31"/>
      <c r="Q45" s="33"/>
      <c r="R45" s="33"/>
      <c r="S45" s="33"/>
      <c r="T45" s="33"/>
      <c r="U45" s="33"/>
      <c r="V45" s="33"/>
      <c r="W45" s="33"/>
    </row>
    <row r="46" spans="1:23" ht="16.5" customHeight="1" x14ac:dyDescent="0.2">
      <c r="A46" s="26" t="s">
        <v>3598</v>
      </c>
      <c r="B46" s="26" t="s">
        <v>3599</v>
      </c>
      <c r="C46" s="26" t="s">
        <v>37</v>
      </c>
      <c r="D46" s="26" t="s">
        <v>45</v>
      </c>
      <c r="E46" s="26" t="s">
        <v>39</v>
      </c>
      <c r="F46" s="28" t="e">
        <f ca="1">_xludf.ifna(VLOOKUP(G46,Proyectos!$A$2:$F$674,6,0),"")</f>
        <v>#NAME?</v>
      </c>
      <c r="G46" s="29" t="s">
        <v>5114</v>
      </c>
      <c r="H46" s="44">
        <v>1</v>
      </c>
      <c r="I46" s="31" t="s">
        <v>32</v>
      </c>
      <c r="J46" s="31" t="s">
        <v>72</v>
      </c>
      <c r="K46" s="31" t="s">
        <v>3600</v>
      </c>
      <c r="L46" s="32" t="e">
        <f ca="1">_xludf.ifna(VLOOKUP(E46,Parámetros!$D$2:$E$34,2,0),"")</f>
        <v>#NAME?</v>
      </c>
      <c r="M46" s="32" t="e">
        <f ca="1">_xludf.ifna(VLOOKUP(G46,Proyectos!$A$2:$T$674,20,0),"")</f>
        <v>#NAME?</v>
      </c>
      <c r="N46" s="32" t="e">
        <f ca="1">_xludf.ifna(VLOOKUP(G46,Proyectos!$A$2:$S$674,19,0))</f>
        <v>#NAME?</v>
      </c>
      <c r="O46" s="32"/>
      <c r="P46" s="31"/>
      <c r="Q46" s="33"/>
      <c r="R46" s="33"/>
      <c r="S46" s="33"/>
      <c r="T46" s="33"/>
      <c r="U46" s="33"/>
      <c r="V46" s="33"/>
      <c r="W46" s="33"/>
    </row>
    <row r="47" spans="1:23" ht="16.5" customHeight="1" x14ac:dyDescent="0.2">
      <c r="A47" s="26" t="s">
        <v>4161</v>
      </c>
      <c r="B47" s="26" t="s">
        <v>4162</v>
      </c>
      <c r="C47" s="26" t="s">
        <v>37</v>
      </c>
      <c r="D47" s="26" t="s">
        <v>45</v>
      </c>
      <c r="E47" s="26" t="s">
        <v>138</v>
      </c>
      <c r="F47" s="28" t="e">
        <f ca="1">_xludf.ifna(VLOOKUP(G47,Proyectos!$A$2:$F$674,6,0),"")</f>
        <v>#NAME?</v>
      </c>
      <c r="G47" s="29" t="s">
        <v>5114</v>
      </c>
      <c r="H47" s="32">
        <v>0.25</v>
      </c>
      <c r="I47" s="31" t="s">
        <v>32</v>
      </c>
      <c r="J47" s="31" t="s">
        <v>72</v>
      </c>
      <c r="K47" s="31" t="s">
        <v>3600</v>
      </c>
      <c r="L47" s="32" t="e">
        <f ca="1">_xludf.ifna(VLOOKUP(E47,Parámetros!$D$2:$E$34,2,0),"")</f>
        <v>#NAME?</v>
      </c>
      <c r="M47" s="32" t="e">
        <f ca="1">_xludf.ifna(VLOOKUP(G47,Proyectos!$A$2:$T$674,20,0),"")</f>
        <v>#NAME?</v>
      </c>
      <c r="N47" s="32" t="e">
        <f ca="1">_xludf.ifna(VLOOKUP(G47,Proyectos!$A$2:$S$674,19,0))</f>
        <v>#NAME?</v>
      </c>
      <c r="O47" s="32"/>
      <c r="P47" s="31"/>
      <c r="Q47" s="33"/>
      <c r="R47" s="33"/>
      <c r="S47" s="33"/>
      <c r="T47" s="33"/>
      <c r="U47" s="33"/>
      <c r="V47" s="33"/>
      <c r="W47" s="33"/>
    </row>
    <row r="48" spans="1:23" ht="16.5" customHeight="1" x14ac:dyDescent="0.2">
      <c r="A48" s="26" t="s">
        <v>4161</v>
      </c>
      <c r="B48" s="26" t="s">
        <v>4162</v>
      </c>
      <c r="C48" s="26" t="s">
        <v>37</v>
      </c>
      <c r="D48" s="26" t="s">
        <v>45</v>
      </c>
      <c r="E48" s="26" t="s">
        <v>138</v>
      </c>
      <c r="F48" s="28" t="e">
        <f ca="1">_xludf.ifna(VLOOKUP(G48,Proyectos!$A$2:$F$674,6,0),"")</f>
        <v>#NAME?</v>
      </c>
      <c r="G48" s="45" t="s">
        <v>5123</v>
      </c>
      <c r="H48" s="44">
        <v>0.5</v>
      </c>
      <c r="I48" s="31" t="s">
        <v>32</v>
      </c>
      <c r="J48" s="31" t="s">
        <v>72</v>
      </c>
      <c r="K48" s="31" t="s">
        <v>3600</v>
      </c>
      <c r="L48" s="32" t="e">
        <f ca="1">_xludf.ifna(VLOOKUP(E48,Parámetros!$D$2:$E$34,2,0),"")</f>
        <v>#NAME?</v>
      </c>
      <c r="M48" s="32" t="e">
        <f ca="1">_xludf.ifna(VLOOKUP(G48,Proyectos!$A$2:$T$674,20,0),"")</f>
        <v>#NAME?</v>
      </c>
      <c r="N48" s="32" t="e">
        <f ca="1">_xludf.ifna(VLOOKUP(G48,Proyectos!$A$2:$S$674,19,0))</f>
        <v>#NAME?</v>
      </c>
      <c r="O48" s="32"/>
      <c r="P48" s="31"/>
      <c r="Q48" s="33"/>
      <c r="R48" s="33"/>
      <c r="S48" s="33"/>
      <c r="T48" s="33"/>
      <c r="U48" s="33"/>
      <c r="V48" s="33"/>
      <c r="W48" s="33"/>
    </row>
    <row r="49" spans="1:23" ht="16.5" customHeight="1" x14ac:dyDescent="0.2">
      <c r="A49" s="35" t="s">
        <v>3828</v>
      </c>
      <c r="B49" s="35" t="s">
        <v>3829</v>
      </c>
      <c r="C49" s="26" t="s">
        <v>98</v>
      </c>
      <c r="D49" s="26" t="s">
        <v>99</v>
      </c>
      <c r="E49" s="26" t="s">
        <v>39</v>
      </c>
      <c r="F49" s="28" t="e">
        <f ca="1">_xludf.ifna(VLOOKUP(G49,Proyectos!$A$2:$F$674,6,0),"")</f>
        <v>#NAME?</v>
      </c>
      <c r="G49" s="46" t="s">
        <v>5124</v>
      </c>
      <c r="H49" s="32">
        <v>0.25</v>
      </c>
      <c r="I49" s="47" t="s">
        <v>18</v>
      </c>
      <c r="J49" s="47" t="s">
        <v>61</v>
      </c>
      <c r="K49" s="44"/>
      <c r="L49" s="32" t="e">
        <f ca="1">_xludf.ifna(VLOOKUP(E49,Parámetros!$D$2:$E$34,2,0),"")</f>
        <v>#NAME?</v>
      </c>
      <c r="M49" s="32" t="e">
        <f ca="1">_xludf.ifna(VLOOKUP(G49,Proyectos!$A$2:$T$674,20,0),"")</f>
        <v>#NAME?</v>
      </c>
      <c r="N49" s="32" t="e">
        <f ca="1">_xludf.ifna(VLOOKUP(G49,Proyectos!$A$2:$S$674,19,0))</f>
        <v>#NAME?</v>
      </c>
      <c r="O49" s="31"/>
      <c r="P49" s="31"/>
      <c r="Q49" s="33"/>
      <c r="R49" s="33"/>
      <c r="S49" s="33"/>
      <c r="T49" s="33"/>
      <c r="U49" s="33"/>
      <c r="V49" s="33"/>
      <c r="W49" s="33"/>
    </row>
    <row r="50" spans="1:23" ht="16.5" customHeight="1" x14ac:dyDescent="0.2">
      <c r="A50" s="35" t="s">
        <v>3828</v>
      </c>
      <c r="B50" s="35" t="s">
        <v>3829</v>
      </c>
      <c r="C50" s="26" t="s">
        <v>98</v>
      </c>
      <c r="D50" s="26" t="s">
        <v>99</v>
      </c>
      <c r="E50" s="26" t="s">
        <v>39</v>
      </c>
      <c r="F50" s="28" t="e">
        <f ca="1">_xludf.ifna(VLOOKUP(G50,Proyectos!$A$2:$F$674,6,0),"")</f>
        <v>#NAME?</v>
      </c>
      <c r="G50" s="29" t="s">
        <v>5114</v>
      </c>
      <c r="H50" s="32">
        <v>0.25</v>
      </c>
      <c r="I50" s="47" t="s">
        <v>18</v>
      </c>
      <c r="J50" s="47" t="s">
        <v>61</v>
      </c>
      <c r="K50" s="44"/>
      <c r="L50" s="32" t="e">
        <f ca="1">_xludf.ifna(VLOOKUP(E50,Parámetros!$D$2:$E$34,2,0),"")</f>
        <v>#NAME?</v>
      </c>
      <c r="M50" s="32" t="e">
        <f ca="1">_xludf.ifna(VLOOKUP(G50,Proyectos!$A$2:$T$674,20,0),"")</f>
        <v>#NAME?</v>
      </c>
      <c r="N50" s="32" t="e">
        <f ca="1">_xludf.ifna(VLOOKUP(G50,Proyectos!$A$2:$S$674,19,0))</f>
        <v>#NAME?</v>
      </c>
      <c r="O50" s="31"/>
      <c r="P50" s="31"/>
      <c r="Q50" s="33"/>
      <c r="R50" s="33"/>
      <c r="S50" s="33"/>
      <c r="T50" s="33"/>
      <c r="U50" s="33"/>
      <c r="V50" s="33"/>
      <c r="W50" s="33"/>
    </row>
    <row r="51" spans="1:23" ht="16.5" customHeight="1" x14ac:dyDescent="0.2">
      <c r="A51" s="35" t="s">
        <v>3828</v>
      </c>
      <c r="B51" s="35" t="s">
        <v>3829</v>
      </c>
      <c r="C51" s="26" t="s">
        <v>98</v>
      </c>
      <c r="D51" s="26" t="s">
        <v>99</v>
      </c>
      <c r="E51" s="26" t="s">
        <v>39</v>
      </c>
      <c r="F51" s="28" t="e">
        <f ca="1">_xludf.ifna(VLOOKUP(G51,Proyectos!$A$2:$F$674,6,0),"")</f>
        <v>#NAME?</v>
      </c>
      <c r="G51" s="26" t="s">
        <v>5125</v>
      </c>
      <c r="H51" s="32">
        <v>0.25</v>
      </c>
      <c r="I51" s="47" t="s">
        <v>18</v>
      </c>
      <c r="J51" s="47" t="s">
        <v>61</v>
      </c>
      <c r="K51" s="32"/>
      <c r="L51" s="32" t="e">
        <f ca="1">_xludf.ifna(VLOOKUP(E51,Parámetros!$D$2:$E$34,2,0),"")</f>
        <v>#NAME?</v>
      </c>
      <c r="M51" s="32" t="e">
        <f ca="1">_xludf.ifna(VLOOKUP(G51,Proyectos!$A$2:$T$674,20,0),"")</f>
        <v>#NAME?</v>
      </c>
      <c r="N51" s="32" t="e">
        <f ca="1">_xludf.ifna(VLOOKUP(G51,Proyectos!$A$2:$S$674,19,0))</f>
        <v>#NAME?</v>
      </c>
      <c r="O51" s="31"/>
      <c r="P51" s="31"/>
      <c r="Q51" s="33"/>
      <c r="R51" s="33"/>
      <c r="S51" s="33"/>
      <c r="T51" s="33"/>
      <c r="U51" s="33"/>
      <c r="V51" s="33"/>
      <c r="W51" s="33"/>
    </row>
    <row r="52" spans="1:23" ht="16.5" customHeight="1" x14ac:dyDescent="0.2">
      <c r="A52" s="35" t="s">
        <v>3828</v>
      </c>
      <c r="B52" s="35" t="s">
        <v>3829</v>
      </c>
      <c r="C52" s="26" t="s">
        <v>98</v>
      </c>
      <c r="D52" s="26" t="s">
        <v>99</v>
      </c>
      <c r="E52" s="26" t="s">
        <v>39</v>
      </c>
      <c r="F52" s="28" t="e">
        <f ca="1">_xludf.ifna(VLOOKUP(G52,Proyectos!$A$2:$F$674,6,0),"")</f>
        <v>#NAME?</v>
      </c>
      <c r="G52" s="46" t="s">
        <v>5126</v>
      </c>
      <c r="H52" s="32">
        <v>0.25</v>
      </c>
      <c r="I52" s="47" t="s">
        <v>18</v>
      </c>
      <c r="J52" s="31" t="s">
        <v>41</v>
      </c>
      <c r="K52" s="32"/>
      <c r="L52" s="32" t="e">
        <f ca="1">_xludf.ifna(VLOOKUP(E52,Parámetros!$D$2:$E$34,2,0),"")</f>
        <v>#NAME?</v>
      </c>
      <c r="M52" s="32" t="e">
        <f ca="1">_xludf.ifna(VLOOKUP(G52,Proyectos!$A$2:$T$674,20,0),"")</f>
        <v>#NAME?</v>
      </c>
      <c r="N52" s="32" t="e">
        <f ca="1">_xludf.ifna(VLOOKUP(G52,Proyectos!$A$2:$S$674,19,0))</f>
        <v>#NAME?</v>
      </c>
      <c r="O52" s="31"/>
      <c r="P52" s="31"/>
      <c r="Q52" s="33"/>
      <c r="R52" s="33"/>
      <c r="S52" s="33"/>
      <c r="T52" s="33"/>
      <c r="U52" s="33"/>
      <c r="V52" s="33"/>
      <c r="W52" s="33"/>
    </row>
    <row r="53" spans="1:23" ht="16.5" customHeight="1" x14ac:dyDescent="0.2">
      <c r="A53" s="26" t="s">
        <v>3638</v>
      </c>
      <c r="B53" s="26" t="s">
        <v>3639</v>
      </c>
      <c r="C53" s="26" t="s">
        <v>98</v>
      </c>
      <c r="D53" s="26" t="s">
        <v>99</v>
      </c>
      <c r="E53" s="26" t="s">
        <v>39</v>
      </c>
      <c r="F53" s="28" t="e">
        <f ca="1">_xludf.ifna(VLOOKUP(G53,Proyectos!$A$2:$F$674,6,0),"")</f>
        <v>#NAME?</v>
      </c>
      <c r="G53" s="46" t="s">
        <v>5124</v>
      </c>
      <c r="H53" s="48">
        <v>0.75</v>
      </c>
      <c r="I53" s="47" t="s">
        <v>18</v>
      </c>
      <c r="J53" s="47" t="s">
        <v>61</v>
      </c>
      <c r="K53" s="44"/>
      <c r="L53" s="32" t="e">
        <f ca="1">_xludf.ifna(VLOOKUP(E53,Parámetros!$D$2:$E$34,2,0),"")</f>
        <v>#NAME?</v>
      </c>
      <c r="M53" s="32" t="e">
        <f ca="1">_xludf.ifna(VLOOKUP(G53,Proyectos!$A$2:$T$674,20,0),"")</f>
        <v>#NAME?</v>
      </c>
      <c r="N53" s="32" t="e">
        <f ca="1">_xludf.ifna(VLOOKUP(G53,Proyectos!$A$2:$S$674,19,0))</f>
        <v>#NAME?</v>
      </c>
      <c r="O53" s="31"/>
      <c r="P53" s="31"/>
      <c r="Q53" s="33"/>
      <c r="R53" s="33"/>
      <c r="S53" s="33"/>
      <c r="T53" s="33"/>
      <c r="U53" s="33"/>
      <c r="V53" s="33"/>
      <c r="W53" s="33"/>
    </row>
    <row r="54" spans="1:23" ht="16.5" customHeight="1" x14ac:dyDescent="0.2">
      <c r="A54" s="26" t="s">
        <v>3638</v>
      </c>
      <c r="B54" s="26" t="s">
        <v>3639</v>
      </c>
      <c r="C54" s="26" t="s">
        <v>98</v>
      </c>
      <c r="D54" s="26" t="s">
        <v>99</v>
      </c>
      <c r="E54" s="26" t="s">
        <v>39</v>
      </c>
      <c r="F54" s="28" t="e">
        <f ca="1">_xludf.ifna(VLOOKUP(G54,Proyectos!$A$2:$F$674,6,0),"")</f>
        <v>#NAME?</v>
      </c>
      <c r="G54" s="29" t="s">
        <v>5114</v>
      </c>
      <c r="H54" s="48">
        <v>0.25</v>
      </c>
      <c r="I54" s="47" t="s">
        <v>18</v>
      </c>
      <c r="J54" s="47" t="s">
        <v>61</v>
      </c>
      <c r="K54" s="44"/>
      <c r="L54" s="32" t="e">
        <f ca="1">_xludf.ifna(VLOOKUP(E54,Parámetros!$D$2:$E$34,2,0),"")</f>
        <v>#NAME?</v>
      </c>
      <c r="M54" s="32" t="e">
        <f ca="1">_xludf.ifna(VLOOKUP(G54,Proyectos!$A$2:$T$674,20,0),"")</f>
        <v>#NAME?</v>
      </c>
      <c r="N54" s="32" t="e">
        <f ca="1">_xludf.ifna(VLOOKUP(G54,Proyectos!$A$2:$S$674,19,0))</f>
        <v>#NAME?</v>
      </c>
      <c r="O54" s="31"/>
      <c r="P54" s="31"/>
      <c r="Q54" s="33"/>
      <c r="R54" s="33"/>
      <c r="S54" s="33"/>
      <c r="T54" s="33"/>
      <c r="U54" s="33"/>
      <c r="V54" s="33"/>
      <c r="W54" s="33"/>
    </row>
    <row r="55" spans="1:23" ht="16.5" customHeight="1" x14ac:dyDescent="0.2">
      <c r="A55" s="26" t="s">
        <v>4605</v>
      </c>
      <c r="B55" s="26" t="s">
        <v>4606</v>
      </c>
      <c r="C55" s="26" t="s">
        <v>98</v>
      </c>
      <c r="D55" s="26" t="s">
        <v>99</v>
      </c>
      <c r="E55" s="26" t="s">
        <v>39</v>
      </c>
      <c r="F55" s="28" t="e">
        <f ca="1">_xludf.ifna(VLOOKUP(G55,Proyectos!$A$2:$F$674,6,0),"")</f>
        <v>#NAME?</v>
      </c>
      <c r="G55" s="26" t="s">
        <v>5124</v>
      </c>
      <c r="H55" s="32">
        <v>0.75</v>
      </c>
      <c r="I55" s="47" t="s">
        <v>18</v>
      </c>
      <c r="J55" s="47" t="s">
        <v>61</v>
      </c>
      <c r="K55" s="32"/>
      <c r="L55" s="32" t="e">
        <f ca="1">_xludf.ifna(VLOOKUP(E55,Parámetros!$D$2:$E$34,2,0),"")</f>
        <v>#NAME?</v>
      </c>
      <c r="M55" s="32" t="e">
        <f ca="1">_xludf.ifna(VLOOKUP(G55,Proyectos!$A$2:$T$674,20,0),"")</f>
        <v>#NAME?</v>
      </c>
      <c r="N55" s="32" t="e">
        <f ca="1">_xludf.ifna(VLOOKUP(G55,Proyectos!$A$2:$S$674,19,0))</f>
        <v>#NAME?</v>
      </c>
      <c r="O55" s="32"/>
      <c r="P55" s="31"/>
      <c r="Q55" s="33"/>
      <c r="R55" s="33"/>
      <c r="S55" s="33"/>
      <c r="T55" s="33"/>
      <c r="U55" s="33"/>
      <c r="V55" s="33"/>
      <c r="W55" s="33"/>
    </row>
    <row r="56" spans="1:23" ht="16.5" customHeight="1" x14ac:dyDescent="0.2">
      <c r="A56" s="26" t="s">
        <v>4605</v>
      </c>
      <c r="B56" s="26" t="s">
        <v>4606</v>
      </c>
      <c r="C56" s="26" t="s">
        <v>98</v>
      </c>
      <c r="D56" s="26" t="s">
        <v>99</v>
      </c>
      <c r="E56" s="26" t="s">
        <v>39</v>
      </c>
      <c r="F56" s="28" t="e">
        <f ca="1">_xludf.ifna(VLOOKUP(G56,Proyectos!$A$2:$F$674,6,0),"")</f>
        <v>#NAME?</v>
      </c>
      <c r="G56" s="29" t="s">
        <v>5114</v>
      </c>
      <c r="H56" s="32">
        <v>0.25</v>
      </c>
      <c r="I56" s="47" t="s">
        <v>18</v>
      </c>
      <c r="J56" s="47" t="s">
        <v>61</v>
      </c>
      <c r="K56" s="32"/>
      <c r="L56" s="32" t="e">
        <f ca="1">_xludf.ifna(VLOOKUP(E56,Parámetros!$D$2:$E$34,2,0),"")</f>
        <v>#NAME?</v>
      </c>
      <c r="M56" s="32" t="e">
        <f ca="1">_xludf.ifna(VLOOKUP(G56,Proyectos!$A$2:$T$674,20,0),"")</f>
        <v>#NAME?</v>
      </c>
      <c r="N56" s="32" t="e">
        <f ca="1">_xludf.ifna(VLOOKUP(G56,Proyectos!$A$2:$S$674,19,0))</f>
        <v>#NAME?</v>
      </c>
      <c r="O56" s="32"/>
      <c r="P56" s="31"/>
      <c r="Q56" s="33"/>
      <c r="R56" s="33"/>
      <c r="S56" s="33"/>
      <c r="T56" s="33"/>
      <c r="U56" s="33"/>
      <c r="V56" s="33"/>
      <c r="W56" s="33"/>
    </row>
    <row r="57" spans="1:23" ht="16.5" customHeight="1" x14ac:dyDescent="0.2">
      <c r="A57" s="26" t="s">
        <v>3724</v>
      </c>
      <c r="B57" s="26" t="s">
        <v>3725</v>
      </c>
      <c r="C57" s="26" t="s">
        <v>98</v>
      </c>
      <c r="D57" s="26" t="s">
        <v>99</v>
      </c>
      <c r="E57" s="26" t="s">
        <v>39</v>
      </c>
      <c r="F57" s="28" t="e">
        <f ca="1">_xludf.ifna(VLOOKUP(G57,Proyectos!$A$2:$F$674,6,0),"")</f>
        <v>#NAME?</v>
      </c>
      <c r="G57" s="46" t="s">
        <v>5126</v>
      </c>
      <c r="H57" s="32">
        <v>1</v>
      </c>
      <c r="I57" s="47" t="s">
        <v>18</v>
      </c>
      <c r="J57" s="31" t="s">
        <v>41</v>
      </c>
      <c r="K57" s="32"/>
      <c r="L57" s="32" t="e">
        <f ca="1">_xludf.ifna(VLOOKUP(E57,Parámetros!$D$2:$E$34,2,0),"")</f>
        <v>#NAME?</v>
      </c>
      <c r="M57" s="32" t="e">
        <f ca="1">_xludf.ifna(VLOOKUP(G57,Proyectos!$A$2:$T$674,20,0),"")</f>
        <v>#NAME?</v>
      </c>
      <c r="N57" s="32" t="e">
        <f ca="1">_xludf.ifna(VLOOKUP(G57,Proyectos!$A$2:$S$674,19,0))</f>
        <v>#NAME?</v>
      </c>
      <c r="O57" s="32"/>
      <c r="P57" s="31"/>
      <c r="Q57" s="33"/>
      <c r="R57" s="33"/>
      <c r="S57" s="33"/>
      <c r="T57" s="33"/>
      <c r="U57" s="33"/>
      <c r="V57" s="33"/>
      <c r="W57" s="33"/>
    </row>
    <row r="58" spans="1:23" ht="16.5" customHeight="1" x14ac:dyDescent="0.2">
      <c r="A58" s="49" t="s">
        <v>4495</v>
      </c>
      <c r="B58" s="50" t="s">
        <v>4496</v>
      </c>
      <c r="C58" s="26" t="s">
        <v>98</v>
      </c>
      <c r="D58" s="26" t="s">
        <v>99</v>
      </c>
      <c r="E58" s="26" t="s">
        <v>114</v>
      </c>
      <c r="F58" s="28" t="e">
        <f ca="1">_xludf.ifna(VLOOKUP(G58,Proyectos!$A$2:$F$674,6,0),"")</f>
        <v>#NAME?</v>
      </c>
      <c r="G58" s="29" t="s">
        <v>5114</v>
      </c>
      <c r="H58" s="44">
        <v>0.5</v>
      </c>
      <c r="I58" s="47" t="s">
        <v>18</v>
      </c>
      <c r="J58" s="31" t="s">
        <v>72</v>
      </c>
      <c r="K58" s="32"/>
      <c r="L58" s="32" t="e">
        <f ca="1">_xludf.ifna(VLOOKUP(E58,Parámetros!$D$2:$E$34,2,0),"")</f>
        <v>#NAME?</v>
      </c>
      <c r="M58" s="32" t="e">
        <f ca="1">_xludf.ifna(VLOOKUP(G58,Proyectos!$A$2:$T$674,20,0),"")</f>
        <v>#NAME?</v>
      </c>
      <c r="N58" s="32" t="e">
        <f ca="1">_xludf.ifna(VLOOKUP(G58,Proyectos!$A$2:$S$674,19,0))</f>
        <v>#NAME?</v>
      </c>
      <c r="O58" s="31"/>
      <c r="P58" s="31"/>
      <c r="Q58" s="33"/>
      <c r="R58" s="33"/>
      <c r="S58" s="33"/>
      <c r="T58" s="33"/>
      <c r="U58" s="33"/>
      <c r="V58" s="33"/>
      <c r="W58" s="33"/>
    </row>
    <row r="59" spans="1:23" ht="16.5" customHeight="1" x14ac:dyDescent="0.2">
      <c r="A59" s="49" t="s">
        <v>4495</v>
      </c>
      <c r="B59" s="50" t="s">
        <v>4496</v>
      </c>
      <c r="C59" s="26" t="s">
        <v>98</v>
      </c>
      <c r="D59" s="26" t="s">
        <v>99</v>
      </c>
      <c r="E59" s="26" t="s">
        <v>114</v>
      </c>
      <c r="F59" s="28" t="e">
        <f ca="1">_xludf.ifna(VLOOKUP(G59,Proyectos!$A$2:$F$674,6,0),"")</f>
        <v>#NAME?</v>
      </c>
      <c r="G59" s="46" t="s">
        <v>5124</v>
      </c>
      <c r="H59" s="44">
        <v>0.5</v>
      </c>
      <c r="I59" s="47" t="s">
        <v>18</v>
      </c>
      <c r="J59" s="31" t="s">
        <v>72</v>
      </c>
      <c r="K59" s="32"/>
      <c r="L59" s="32" t="e">
        <f ca="1">_xludf.ifna(VLOOKUP(E59,Parámetros!$D$2:$E$34,2,0),"")</f>
        <v>#NAME?</v>
      </c>
      <c r="M59" s="32" t="e">
        <f ca="1">_xludf.ifna(VLOOKUP(G59,Proyectos!$A$2:$T$674,20,0),"")</f>
        <v>#NAME?</v>
      </c>
      <c r="N59" s="32" t="e">
        <f ca="1">_xludf.ifna(VLOOKUP(G59,Proyectos!$A$2:$S$674,19,0))</f>
        <v>#NAME?</v>
      </c>
      <c r="O59" s="31"/>
      <c r="P59" s="31"/>
      <c r="Q59" s="33"/>
      <c r="R59" s="33"/>
      <c r="S59" s="33"/>
      <c r="T59" s="33"/>
      <c r="U59" s="33"/>
      <c r="V59" s="33"/>
      <c r="W59" s="33"/>
    </row>
    <row r="60" spans="1:23" ht="16.5" customHeight="1" x14ac:dyDescent="0.2">
      <c r="A60" s="26" t="s">
        <v>3321</v>
      </c>
      <c r="B60" s="26" t="s">
        <v>3322</v>
      </c>
      <c r="C60" s="26" t="s">
        <v>98</v>
      </c>
      <c r="D60" s="26" t="s">
        <v>99</v>
      </c>
      <c r="E60" s="26" t="s">
        <v>39</v>
      </c>
      <c r="F60" s="28" t="e">
        <f ca="1">_xludf.ifna(VLOOKUP(G60,Proyectos!$A$2:$F$674,6,0),"")</f>
        <v>#NAME?</v>
      </c>
      <c r="G60" s="26" t="s">
        <v>5127</v>
      </c>
      <c r="H60" s="32">
        <v>0.75</v>
      </c>
      <c r="I60" s="47" t="s">
        <v>18</v>
      </c>
      <c r="J60" s="47" t="s">
        <v>61</v>
      </c>
      <c r="K60" s="31"/>
      <c r="L60" s="32" t="e">
        <f ca="1">_xludf.ifna(VLOOKUP(E60,Parámetros!$D$2:$E$34,2,0),"")</f>
        <v>#NAME?</v>
      </c>
      <c r="M60" s="32" t="e">
        <f ca="1">_xludf.ifna(VLOOKUP(G60,Proyectos!$A$2:$T$674,20,0),"")</f>
        <v>#NAME?</v>
      </c>
      <c r="N60" s="32" t="e">
        <f ca="1">_xludf.ifna(VLOOKUP(G60,Proyectos!$A$2:$S$674,19,0))</f>
        <v>#NAME?</v>
      </c>
      <c r="O60" s="31"/>
      <c r="P60" s="31"/>
      <c r="Q60" s="33"/>
      <c r="R60" s="33"/>
      <c r="S60" s="33"/>
      <c r="T60" s="33"/>
      <c r="U60" s="33"/>
      <c r="V60" s="33"/>
      <c r="W60" s="33"/>
    </row>
    <row r="61" spans="1:23" ht="16.5" customHeight="1" x14ac:dyDescent="0.2">
      <c r="A61" s="26" t="s">
        <v>3321</v>
      </c>
      <c r="B61" s="26" t="s">
        <v>3322</v>
      </c>
      <c r="C61" s="26" t="s">
        <v>98</v>
      </c>
      <c r="D61" s="26" t="s">
        <v>99</v>
      </c>
      <c r="E61" s="26" t="s">
        <v>39</v>
      </c>
      <c r="F61" s="28" t="e">
        <f ca="1">_xludf.ifna(VLOOKUP(G61,Proyectos!$A$2:$F$674,6,0),"")</f>
        <v>#NAME?</v>
      </c>
      <c r="G61" s="29" t="s">
        <v>5114</v>
      </c>
      <c r="H61" s="32">
        <v>0.25</v>
      </c>
      <c r="I61" s="47" t="s">
        <v>18</v>
      </c>
      <c r="J61" s="47" t="s">
        <v>61</v>
      </c>
      <c r="K61" s="31"/>
      <c r="L61" s="32" t="e">
        <f ca="1">_xludf.ifna(VLOOKUP(E61,Parámetros!$D$2:$E$34,2,0),"")</f>
        <v>#NAME?</v>
      </c>
      <c r="M61" s="32" t="e">
        <f ca="1">_xludf.ifna(VLOOKUP(G61,Proyectos!$A$2:$T$674,20,0),"")</f>
        <v>#NAME?</v>
      </c>
      <c r="N61" s="32" t="e">
        <f ca="1">_xludf.ifna(VLOOKUP(G61,Proyectos!$A$2:$S$674,19,0))</f>
        <v>#NAME?</v>
      </c>
      <c r="O61" s="31"/>
      <c r="P61" s="31"/>
      <c r="Q61" s="33"/>
      <c r="R61" s="33"/>
      <c r="S61" s="33"/>
      <c r="T61" s="33"/>
      <c r="U61" s="33"/>
      <c r="V61" s="33"/>
      <c r="W61" s="33"/>
    </row>
    <row r="62" spans="1:23" ht="16.5" customHeight="1" x14ac:dyDescent="0.2">
      <c r="A62" s="26" t="s">
        <v>3624</v>
      </c>
      <c r="B62" s="26" t="s">
        <v>3625</v>
      </c>
      <c r="C62" s="26" t="s">
        <v>98</v>
      </c>
      <c r="D62" s="26" t="s">
        <v>99</v>
      </c>
      <c r="E62" s="26" t="s">
        <v>39</v>
      </c>
      <c r="F62" s="28" t="e">
        <f ca="1">_xludf.ifna(VLOOKUP(G62,Proyectos!$A$2:$F$674,6,0),"")</f>
        <v>#NAME?</v>
      </c>
      <c r="G62" s="26" t="s">
        <v>5128</v>
      </c>
      <c r="H62" s="32">
        <v>0.75</v>
      </c>
      <c r="I62" s="47" t="s">
        <v>18</v>
      </c>
      <c r="J62" s="31" t="s">
        <v>41</v>
      </c>
      <c r="K62" s="32"/>
      <c r="L62" s="32" t="e">
        <f ca="1">_xludf.ifna(VLOOKUP(E62,Parámetros!$D$2:$E$34,2,0),"")</f>
        <v>#NAME?</v>
      </c>
      <c r="M62" s="32" t="e">
        <f ca="1">_xludf.ifna(VLOOKUP(G62,Proyectos!$A$2:$T$674,20,0),"")</f>
        <v>#NAME?</v>
      </c>
      <c r="N62" s="32" t="e">
        <f ca="1">_xludf.ifna(VLOOKUP(G62,Proyectos!$A$2:$S$674,19,0))</f>
        <v>#NAME?</v>
      </c>
      <c r="O62" s="31"/>
      <c r="P62" s="31"/>
      <c r="Q62" s="33"/>
      <c r="R62" s="33"/>
      <c r="S62" s="33"/>
      <c r="T62" s="33"/>
      <c r="U62" s="33"/>
      <c r="V62" s="33"/>
      <c r="W62" s="33"/>
    </row>
    <row r="63" spans="1:23" ht="16.5" customHeight="1" x14ac:dyDescent="0.2">
      <c r="A63" s="26" t="s">
        <v>3624</v>
      </c>
      <c r="B63" s="26" t="s">
        <v>3625</v>
      </c>
      <c r="C63" s="26" t="s">
        <v>98</v>
      </c>
      <c r="D63" s="26" t="s">
        <v>99</v>
      </c>
      <c r="E63" s="26" t="s">
        <v>39</v>
      </c>
      <c r="F63" s="28" t="e">
        <f ca="1">_xludf.ifna(VLOOKUP(G63,Proyectos!$A$2:$F$674,6,0),"")</f>
        <v>#NAME?</v>
      </c>
      <c r="G63" s="29" t="s">
        <v>5114</v>
      </c>
      <c r="H63" s="32">
        <v>0.25</v>
      </c>
      <c r="I63" s="47" t="s">
        <v>18</v>
      </c>
      <c r="J63" s="31" t="s">
        <v>41</v>
      </c>
      <c r="K63" s="32"/>
      <c r="L63" s="32" t="e">
        <f ca="1">_xludf.ifna(VLOOKUP(E63,Parámetros!$D$2:$E$34,2,0),"")</f>
        <v>#NAME?</v>
      </c>
      <c r="M63" s="32" t="e">
        <f ca="1">_xludf.ifna(VLOOKUP(G63,Proyectos!$A$2:$T$674,20,0),"")</f>
        <v>#NAME?</v>
      </c>
      <c r="N63" s="32" t="e">
        <f ca="1">_xludf.ifna(VLOOKUP(G63,Proyectos!$A$2:$S$674,19,0))</f>
        <v>#NAME?</v>
      </c>
      <c r="O63" s="31"/>
      <c r="P63" s="31"/>
      <c r="Q63" s="33"/>
      <c r="R63" s="33"/>
      <c r="S63" s="33"/>
      <c r="T63" s="33"/>
      <c r="U63" s="33"/>
      <c r="V63" s="33"/>
      <c r="W63" s="33"/>
    </row>
    <row r="64" spans="1:23" ht="16.5" customHeight="1" x14ac:dyDescent="0.2">
      <c r="A64" s="26" t="s">
        <v>4173</v>
      </c>
      <c r="B64" s="50" t="s">
        <v>4174</v>
      </c>
      <c r="C64" s="26" t="s">
        <v>98</v>
      </c>
      <c r="D64" s="26" t="s">
        <v>99</v>
      </c>
      <c r="E64" s="26" t="s">
        <v>108</v>
      </c>
      <c r="F64" s="28" t="e">
        <f ca="1">_xludf.ifna(VLOOKUP(G64,Proyectos!$A$2:$F$674,6,0),"")</f>
        <v>#NAME?</v>
      </c>
      <c r="G64" s="26" t="s">
        <v>5128</v>
      </c>
      <c r="H64" s="44">
        <v>0.5</v>
      </c>
      <c r="I64" s="47" t="s">
        <v>25</v>
      </c>
      <c r="J64" s="31" t="s">
        <v>72</v>
      </c>
      <c r="K64" s="32"/>
      <c r="L64" s="32" t="e">
        <f ca="1">_xludf.ifna(VLOOKUP(E64,Parámetros!$D$2:$E$34,2,0),"")</f>
        <v>#NAME?</v>
      </c>
      <c r="M64" s="32" t="e">
        <f ca="1">_xludf.ifna(VLOOKUP(G64,Proyectos!$A$2:$T$674,20,0),"")</f>
        <v>#NAME?</v>
      </c>
      <c r="N64" s="32" t="e">
        <f ca="1">_xludf.ifna(VLOOKUP(G64,Proyectos!$A$2:$S$674,19,0))</f>
        <v>#NAME?</v>
      </c>
      <c r="O64" s="32"/>
      <c r="P64" s="31"/>
      <c r="Q64" s="33"/>
      <c r="R64" s="33"/>
      <c r="S64" s="33"/>
      <c r="T64" s="33"/>
      <c r="U64" s="33"/>
      <c r="V64" s="33"/>
      <c r="W64" s="33"/>
    </row>
    <row r="65" spans="1:23" ht="16.5" customHeight="1" x14ac:dyDescent="0.2">
      <c r="A65" s="26" t="s">
        <v>4173</v>
      </c>
      <c r="B65" s="50" t="s">
        <v>4174</v>
      </c>
      <c r="C65" s="26" t="s">
        <v>98</v>
      </c>
      <c r="D65" s="26" t="s">
        <v>99</v>
      </c>
      <c r="E65" s="26" t="s">
        <v>108</v>
      </c>
      <c r="F65" s="28" t="e">
        <f ca="1">_xludf.ifna(VLOOKUP(G65,Proyectos!$A$2:$F$674,6,0),"")</f>
        <v>#NAME?</v>
      </c>
      <c r="G65" s="29" t="s">
        <v>5114</v>
      </c>
      <c r="H65" s="44">
        <v>0.5</v>
      </c>
      <c r="I65" s="47" t="s">
        <v>25</v>
      </c>
      <c r="J65" s="31" t="s">
        <v>72</v>
      </c>
      <c r="K65" s="32"/>
      <c r="L65" s="32" t="e">
        <f ca="1">_xludf.ifna(VLOOKUP(E65,Parámetros!$D$2:$E$34,2,0),"")</f>
        <v>#NAME?</v>
      </c>
      <c r="M65" s="32" t="e">
        <f ca="1">_xludf.ifna(VLOOKUP(G65,Proyectos!$A$2:$T$674,20,0),"")</f>
        <v>#NAME?</v>
      </c>
      <c r="N65" s="32" t="e">
        <f ca="1">_xludf.ifna(VLOOKUP(G65,Proyectos!$A$2:$S$674,19,0))</f>
        <v>#NAME?</v>
      </c>
      <c r="O65" s="32"/>
      <c r="P65" s="31"/>
      <c r="Q65" s="33"/>
      <c r="R65" s="33"/>
      <c r="S65" s="33"/>
      <c r="T65" s="33"/>
      <c r="U65" s="33"/>
      <c r="V65" s="33"/>
      <c r="W65" s="33"/>
    </row>
    <row r="66" spans="1:23" ht="16.5" customHeight="1" x14ac:dyDescent="0.2">
      <c r="A66" s="26" t="s">
        <v>3603</v>
      </c>
      <c r="B66" s="26" t="s">
        <v>3604</v>
      </c>
      <c r="C66" s="26" t="s">
        <v>98</v>
      </c>
      <c r="D66" s="26" t="s">
        <v>99</v>
      </c>
      <c r="E66" s="26" t="s">
        <v>39</v>
      </c>
      <c r="F66" s="28" t="e">
        <f ca="1">_xludf.ifna(VLOOKUP(G66,Proyectos!$A$2:$F$674,6,0),"")</f>
        <v>#NAME?</v>
      </c>
      <c r="G66" s="26" t="s">
        <v>5129</v>
      </c>
      <c r="H66" s="32">
        <v>1</v>
      </c>
      <c r="I66" s="47" t="s">
        <v>18</v>
      </c>
      <c r="J66" s="31" t="s">
        <v>61</v>
      </c>
      <c r="K66" s="32"/>
      <c r="L66" s="32" t="e">
        <f ca="1">_xludf.ifna(VLOOKUP(E66,Parámetros!$D$2:$E$34,2,0),"")</f>
        <v>#NAME?</v>
      </c>
      <c r="M66" s="32" t="e">
        <f ca="1">_xludf.ifna(VLOOKUP(G66,Proyectos!$A$2:$T$674,20,0),"")</f>
        <v>#NAME?</v>
      </c>
      <c r="N66" s="32" t="e">
        <f ca="1">_xludf.ifna(VLOOKUP(G66,Proyectos!$A$2:$S$674,19,0))</f>
        <v>#NAME?</v>
      </c>
      <c r="O66" s="31"/>
      <c r="P66" s="31"/>
      <c r="Q66" s="33"/>
      <c r="R66" s="33"/>
      <c r="S66" s="33"/>
      <c r="T66" s="33"/>
      <c r="U66" s="33"/>
      <c r="V66" s="33"/>
      <c r="W66" s="33"/>
    </row>
    <row r="67" spans="1:23" ht="16.5" customHeight="1" x14ac:dyDescent="0.2">
      <c r="A67" s="26" t="s">
        <v>4719</v>
      </c>
      <c r="B67" s="26" t="s">
        <v>4720</v>
      </c>
      <c r="C67" s="26" t="s">
        <v>98</v>
      </c>
      <c r="D67" s="26" t="s">
        <v>99</v>
      </c>
      <c r="E67" s="26" t="s">
        <v>39</v>
      </c>
      <c r="F67" s="28" t="e">
        <f ca="1">_xludf.ifna(VLOOKUP(G67,Proyectos!$A$2:$F$674,6,0),"")</f>
        <v>#NAME?</v>
      </c>
      <c r="G67" s="26" t="s">
        <v>5129</v>
      </c>
      <c r="H67" s="51">
        <v>1</v>
      </c>
      <c r="I67" s="47" t="s">
        <v>18</v>
      </c>
      <c r="J67" s="31" t="s">
        <v>61</v>
      </c>
      <c r="K67" s="32"/>
      <c r="L67" s="32" t="e">
        <f ca="1">_xludf.ifna(VLOOKUP(E67,Parámetros!$D$2:$E$34,2,0),"")</f>
        <v>#NAME?</v>
      </c>
      <c r="M67" s="32" t="e">
        <f ca="1">_xludf.ifna(VLOOKUP(G67,Proyectos!$A$2:$T$674,20,0),"")</f>
        <v>#NAME?</v>
      </c>
      <c r="N67" s="32" t="e">
        <f ca="1">_xludf.ifna(VLOOKUP(G67,Proyectos!$A$2:$S$674,19,0))</f>
        <v>#NAME?</v>
      </c>
      <c r="O67" s="31"/>
      <c r="P67" s="31"/>
      <c r="Q67" s="33"/>
      <c r="R67" s="33"/>
      <c r="S67" s="33"/>
      <c r="T67" s="33"/>
      <c r="U67" s="33"/>
      <c r="V67" s="33"/>
      <c r="W67" s="33"/>
    </row>
    <row r="68" spans="1:23" ht="16.5" customHeight="1" x14ac:dyDescent="0.2">
      <c r="A68" s="26" t="s">
        <v>3951</v>
      </c>
      <c r="B68" s="26" t="s">
        <v>3952</v>
      </c>
      <c r="C68" s="26" t="s">
        <v>98</v>
      </c>
      <c r="D68" s="26" t="s">
        <v>99</v>
      </c>
      <c r="E68" s="26" t="s">
        <v>108</v>
      </c>
      <c r="F68" s="28" t="e">
        <f ca="1">_xludf.ifna(VLOOKUP(G68,Proyectos!$A$2:$F$674,6,0),"")</f>
        <v>#NAME?</v>
      </c>
      <c r="G68" s="26" t="s">
        <v>5129</v>
      </c>
      <c r="H68" s="32">
        <v>1</v>
      </c>
      <c r="I68" s="47" t="s">
        <v>18</v>
      </c>
      <c r="J68" s="31" t="s">
        <v>61</v>
      </c>
      <c r="K68" s="32"/>
      <c r="L68" s="32" t="e">
        <f ca="1">_xludf.ifna(VLOOKUP(E68,Parámetros!$D$2:$E$34,2,0),"")</f>
        <v>#NAME?</v>
      </c>
      <c r="M68" s="32" t="e">
        <f ca="1">_xludf.ifna(VLOOKUP(G68,Proyectos!$A$2:$T$674,20,0),"")</f>
        <v>#NAME?</v>
      </c>
      <c r="N68" s="32" t="e">
        <f ca="1">_xludf.ifna(VLOOKUP(G68,Proyectos!$A$2:$S$674,19,0))</f>
        <v>#NAME?</v>
      </c>
      <c r="O68" s="32"/>
      <c r="P68" s="31"/>
      <c r="Q68" s="33"/>
      <c r="R68" s="33"/>
      <c r="S68" s="33"/>
      <c r="T68" s="33"/>
      <c r="U68" s="33"/>
      <c r="V68" s="33"/>
      <c r="W68" s="33"/>
    </row>
    <row r="69" spans="1:23" ht="16.5" customHeight="1" x14ac:dyDescent="0.2">
      <c r="A69" s="26" t="s">
        <v>4348</v>
      </c>
      <c r="B69" s="26" t="s">
        <v>4349</v>
      </c>
      <c r="C69" s="26" t="s">
        <v>98</v>
      </c>
      <c r="D69" s="26" t="s">
        <v>99</v>
      </c>
      <c r="E69" s="26" t="s">
        <v>114</v>
      </c>
      <c r="F69" s="28" t="e">
        <f ca="1">_xludf.ifna(VLOOKUP(G69,Proyectos!$A$2:$F$674,6,0),"")</f>
        <v>#NAME?</v>
      </c>
      <c r="G69" s="26" t="s">
        <v>5129</v>
      </c>
      <c r="H69" s="32">
        <v>1</v>
      </c>
      <c r="I69" s="47" t="s">
        <v>25</v>
      </c>
      <c r="J69" s="47" t="s">
        <v>72</v>
      </c>
      <c r="K69" s="32"/>
      <c r="L69" s="32" t="e">
        <f ca="1">_xludf.ifna(VLOOKUP(E69,Parámetros!$D$2:$E$34,2,0),"")</f>
        <v>#NAME?</v>
      </c>
      <c r="M69" s="32" t="e">
        <f ca="1">_xludf.ifna(VLOOKUP(G69,Proyectos!$A$2:$T$674,20,0),"")</f>
        <v>#NAME?</v>
      </c>
      <c r="N69" s="32" t="e">
        <f ca="1">_xludf.ifna(VLOOKUP(G69,Proyectos!$A$2:$S$674,19,0))</f>
        <v>#NAME?</v>
      </c>
      <c r="O69" s="32"/>
      <c r="P69" s="31"/>
      <c r="Q69" s="33"/>
      <c r="R69" s="33"/>
      <c r="S69" s="33"/>
      <c r="T69" s="33"/>
      <c r="U69" s="33"/>
      <c r="V69" s="33"/>
      <c r="W69" s="33"/>
    </row>
    <row r="70" spans="1:23" ht="16.5" customHeight="1" x14ac:dyDescent="0.2">
      <c r="A70" s="26" t="s">
        <v>3382</v>
      </c>
      <c r="B70" s="26" t="s">
        <v>3383</v>
      </c>
      <c r="C70" s="26" t="s">
        <v>98</v>
      </c>
      <c r="D70" s="26" t="s">
        <v>99</v>
      </c>
      <c r="E70" s="26" t="s">
        <v>39</v>
      </c>
      <c r="F70" s="28" t="e">
        <f ca="1">_xludf.ifna(VLOOKUP(G70,Proyectos!$A$2:$F$674,6,0),"")</f>
        <v>#NAME?</v>
      </c>
      <c r="G70" s="29" t="s">
        <v>5130</v>
      </c>
      <c r="H70" s="32">
        <v>0.75</v>
      </c>
      <c r="I70" s="47" t="s">
        <v>18</v>
      </c>
      <c r="J70" s="31" t="s">
        <v>61</v>
      </c>
      <c r="K70" s="32"/>
      <c r="L70" s="32" t="e">
        <f ca="1">_xludf.ifna(VLOOKUP(E70,Parámetros!$D$2:$E$34,2,0),"")</f>
        <v>#NAME?</v>
      </c>
      <c r="M70" s="32" t="e">
        <f ca="1">_xludf.ifna(VLOOKUP(G70,Proyectos!$A$2:$T$674,20,0),"")</f>
        <v>#NAME?</v>
      </c>
      <c r="N70" s="32" t="e">
        <f ca="1">_xludf.ifna(VLOOKUP(G70,Proyectos!$A$2:$S$674,19,0))</f>
        <v>#NAME?</v>
      </c>
      <c r="O70" s="32"/>
      <c r="P70" s="31"/>
      <c r="Q70" s="33"/>
      <c r="R70" s="33"/>
      <c r="S70" s="33"/>
      <c r="T70" s="33"/>
      <c r="U70" s="33"/>
      <c r="V70" s="33"/>
      <c r="W70" s="33"/>
    </row>
    <row r="71" spans="1:23" ht="16.5" customHeight="1" x14ac:dyDescent="0.2">
      <c r="A71" s="26" t="s">
        <v>3382</v>
      </c>
      <c r="B71" s="26" t="s">
        <v>3383</v>
      </c>
      <c r="C71" s="26" t="s">
        <v>98</v>
      </c>
      <c r="D71" s="26" t="s">
        <v>99</v>
      </c>
      <c r="E71" s="26" t="s">
        <v>39</v>
      </c>
      <c r="F71" s="28" t="e">
        <f ca="1">_xludf.ifna(VLOOKUP(G71,Proyectos!$A$2:$F$674,6,0),"")</f>
        <v>#NAME?</v>
      </c>
      <c r="G71" s="29" t="s">
        <v>5114</v>
      </c>
      <c r="H71" s="32">
        <v>0.25</v>
      </c>
      <c r="I71" s="47" t="s">
        <v>18</v>
      </c>
      <c r="J71" s="31" t="s">
        <v>61</v>
      </c>
      <c r="K71" s="32"/>
      <c r="L71" s="32" t="e">
        <f ca="1">_xludf.ifna(VLOOKUP(E71,Parámetros!$D$2:$E$34,2,0),"")</f>
        <v>#NAME?</v>
      </c>
      <c r="M71" s="32" t="e">
        <f ca="1">_xludf.ifna(VLOOKUP(G71,Proyectos!$A$2:$T$674,20,0),"")</f>
        <v>#NAME?</v>
      </c>
      <c r="N71" s="32" t="e">
        <f ca="1">_xludf.ifna(VLOOKUP(G71,Proyectos!$A$2:$S$674,19,0))</f>
        <v>#NAME?</v>
      </c>
      <c r="O71" s="32"/>
      <c r="P71" s="31"/>
      <c r="Q71" s="33"/>
      <c r="R71" s="33"/>
      <c r="S71" s="33"/>
      <c r="T71" s="33"/>
      <c r="U71" s="33"/>
      <c r="V71" s="33"/>
      <c r="W71" s="33"/>
    </row>
    <row r="72" spans="1:23" ht="16.5" customHeight="1" x14ac:dyDescent="0.2">
      <c r="A72" s="26" t="s">
        <v>3648</v>
      </c>
      <c r="B72" s="26" t="s">
        <v>3649</v>
      </c>
      <c r="C72" s="26" t="s">
        <v>98</v>
      </c>
      <c r="D72" s="26" t="s">
        <v>99</v>
      </c>
      <c r="E72" s="26" t="s">
        <v>39</v>
      </c>
      <c r="F72" s="28" t="e">
        <f ca="1">_xludf.ifna(VLOOKUP(G72,Proyectos!$A$2:$F$674,6,0),"")</f>
        <v>#NAME?</v>
      </c>
      <c r="G72" s="26" t="s">
        <v>5131</v>
      </c>
      <c r="H72" s="32">
        <v>0.75</v>
      </c>
      <c r="I72" s="47" t="s">
        <v>18</v>
      </c>
      <c r="J72" s="31" t="s">
        <v>61</v>
      </c>
      <c r="K72" s="32"/>
      <c r="L72" s="32" t="e">
        <f ca="1">_xludf.ifna(VLOOKUP(E72,Parámetros!$D$2:$E$34,2,0),"")</f>
        <v>#NAME?</v>
      </c>
      <c r="M72" s="32" t="e">
        <f ca="1">_xludf.ifna(VLOOKUP(G72,Proyectos!$A$2:$T$674,20,0),"")</f>
        <v>#NAME?</v>
      </c>
      <c r="N72" s="32" t="e">
        <f ca="1">_xludf.ifna(VLOOKUP(G72,Proyectos!$A$2:$S$674,19,0))</f>
        <v>#NAME?</v>
      </c>
      <c r="O72" s="32"/>
      <c r="P72" s="31"/>
      <c r="Q72" s="33"/>
      <c r="R72" s="33"/>
      <c r="S72" s="33"/>
      <c r="T72" s="33"/>
      <c r="U72" s="33"/>
      <c r="V72" s="33"/>
      <c r="W72" s="33"/>
    </row>
    <row r="73" spans="1:23" ht="16.5" customHeight="1" x14ac:dyDescent="0.2">
      <c r="A73" s="26" t="s">
        <v>3648</v>
      </c>
      <c r="B73" s="26" t="s">
        <v>3649</v>
      </c>
      <c r="C73" s="26" t="s">
        <v>98</v>
      </c>
      <c r="D73" s="26" t="s">
        <v>99</v>
      </c>
      <c r="E73" s="26" t="s">
        <v>39</v>
      </c>
      <c r="F73" s="28" t="e">
        <f ca="1">_xludf.ifna(VLOOKUP(G73,Proyectos!$A$2:$F$674,6,0),"")</f>
        <v>#NAME?</v>
      </c>
      <c r="G73" s="29" t="s">
        <v>5114</v>
      </c>
      <c r="H73" s="32">
        <v>0.25</v>
      </c>
      <c r="I73" s="47" t="s">
        <v>18</v>
      </c>
      <c r="J73" s="31" t="s">
        <v>61</v>
      </c>
      <c r="K73" s="32"/>
      <c r="L73" s="32" t="e">
        <f ca="1">_xludf.ifna(VLOOKUP(E73,Parámetros!$D$2:$E$34,2,0),"")</f>
        <v>#NAME?</v>
      </c>
      <c r="M73" s="32" t="e">
        <f ca="1">_xludf.ifna(VLOOKUP(G73,Proyectos!$A$2:$T$674,20,0),"")</f>
        <v>#NAME?</v>
      </c>
      <c r="N73" s="32" t="e">
        <f ca="1">_xludf.ifna(VLOOKUP(G73,Proyectos!$A$2:$S$674,19,0))</f>
        <v>#NAME?</v>
      </c>
      <c r="O73" s="32"/>
      <c r="P73" s="31"/>
      <c r="Q73" s="33"/>
      <c r="R73" s="33"/>
      <c r="S73" s="33"/>
      <c r="T73" s="33"/>
      <c r="U73" s="33"/>
      <c r="V73" s="33"/>
      <c r="W73" s="33"/>
    </row>
    <row r="74" spans="1:23" ht="16.5" customHeight="1" x14ac:dyDescent="0.2">
      <c r="A74" s="26" t="s">
        <v>3650</v>
      </c>
      <c r="B74" s="26" t="s">
        <v>3651</v>
      </c>
      <c r="C74" s="26" t="s">
        <v>98</v>
      </c>
      <c r="D74" s="26" t="s">
        <v>99</v>
      </c>
      <c r="E74" s="26" t="s">
        <v>39</v>
      </c>
      <c r="F74" s="28" t="e">
        <f ca="1">_xludf.ifna(VLOOKUP(G74,Proyectos!$A$2:$F$674,6,0),"")</f>
        <v>#NAME?</v>
      </c>
      <c r="G74" s="27" t="s">
        <v>5132</v>
      </c>
      <c r="H74" s="51">
        <v>0.5</v>
      </c>
      <c r="I74" s="47" t="s">
        <v>18</v>
      </c>
      <c r="J74" s="31" t="s">
        <v>61</v>
      </c>
      <c r="K74" s="51"/>
      <c r="L74" s="32" t="e">
        <f ca="1">_xludf.ifna(VLOOKUP(E74,Parámetros!$D$2:$E$34,2,0),"")</f>
        <v>#NAME?</v>
      </c>
      <c r="M74" s="32" t="e">
        <f ca="1">_xludf.ifna(VLOOKUP(G74,Proyectos!$A$2:$T$674,20,0),"")</f>
        <v>#NAME?</v>
      </c>
      <c r="N74" s="32" t="e">
        <f ca="1">_xludf.ifna(VLOOKUP(G74,Proyectos!$A$2:$S$674,19,0))</f>
        <v>#NAME?</v>
      </c>
      <c r="O74" s="31"/>
      <c r="P74" s="31"/>
      <c r="Q74" s="33"/>
      <c r="R74" s="33"/>
      <c r="S74" s="33"/>
      <c r="T74" s="33"/>
      <c r="U74" s="33"/>
      <c r="V74" s="33"/>
      <c r="W74" s="33"/>
    </row>
    <row r="75" spans="1:23" ht="16.5" customHeight="1" x14ac:dyDescent="0.2">
      <c r="A75" s="26" t="s">
        <v>3650</v>
      </c>
      <c r="B75" s="26" t="s">
        <v>3651</v>
      </c>
      <c r="C75" s="26" t="s">
        <v>98</v>
      </c>
      <c r="D75" s="26" t="s">
        <v>113</v>
      </c>
      <c r="E75" s="26" t="s">
        <v>39</v>
      </c>
      <c r="F75" s="28" t="e">
        <f ca="1">_xludf.ifna(VLOOKUP(G75,Proyectos!$A$2:$F$674,6,0),"")</f>
        <v>#NAME?</v>
      </c>
      <c r="G75" s="27" t="s">
        <v>5133</v>
      </c>
      <c r="H75" s="51">
        <v>0.5</v>
      </c>
      <c r="I75" s="47" t="s">
        <v>18</v>
      </c>
      <c r="J75" s="31" t="s">
        <v>61</v>
      </c>
      <c r="K75" s="51"/>
      <c r="L75" s="32" t="e">
        <f ca="1">_xludf.ifna(VLOOKUP(E75,Parámetros!$D$2:$E$34,2,0),"")</f>
        <v>#NAME?</v>
      </c>
      <c r="M75" s="32" t="e">
        <f ca="1">_xludf.ifna(VLOOKUP(G75,Proyectos!$A$2:$T$674,20,0),"")</f>
        <v>#NAME?</v>
      </c>
      <c r="N75" s="32" t="e">
        <f ca="1">_xludf.ifna(VLOOKUP(G75,Proyectos!$A$2:$S$674,19,0))</f>
        <v>#NAME?</v>
      </c>
      <c r="O75" s="31"/>
      <c r="P75" s="31"/>
      <c r="Q75" s="33"/>
      <c r="R75" s="33"/>
      <c r="S75" s="33"/>
      <c r="T75" s="33"/>
      <c r="U75" s="33"/>
      <c r="V75" s="33"/>
      <c r="W75" s="33"/>
    </row>
    <row r="76" spans="1:23" ht="16.5" customHeight="1" x14ac:dyDescent="0.2">
      <c r="A76" s="35" t="s">
        <v>3323</v>
      </c>
      <c r="B76" s="35" t="s">
        <v>3324</v>
      </c>
      <c r="C76" s="35" t="s">
        <v>98</v>
      </c>
      <c r="D76" s="35" t="s">
        <v>99</v>
      </c>
      <c r="E76" s="35" t="s">
        <v>39</v>
      </c>
      <c r="F76" s="28" t="e">
        <f ca="1">_xludf.ifna(VLOOKUP(G76,Proyectos!$A$2:$F$674,6,0),"")</f>
        <v>#NAME?</v>
      </c>
      <c r="G76" s="29" t="s">
        <v>5131</v>
      </c>
      <c r="H76" s="30">
        <v>0.25</v>
      </c>
      <c r="I76" s="31" t="s">
        <v>32</v>
      </c>
      <c r="J76" s="52" t="s">
        <v>72</v>
      </c>
      <c r="K76" s="30"/>
      <c r="L76" s="32" t="e">
        <f ca="1">_xludf.ifna(VLOOKUP(E76,Parámetros!$D$2:$E$34,2,0),"")</f>
        <v>#NAME?</v>
      </c>
      <c r="M76" s="32" t="e">
        <f ca="1">_xludf.ifna(VLOOKUP(G76,Proyectos!$A$2:$T$674,20,0),"")</f>
        <v>#NAME?</v>
      </c>
      <c r="N76" s="32" t="e">
        <f ca="1">_xludf.ifna(VLOOKUP(G76,Proyectos!$A$2:$S$674,19,0))</f>
        <v>#NAME?</v>
      </c>
      <c r="O76" s="31"/>
      <c r="P76" s="31"/>
      <c r="Q76" s="33"/>
      <c r="R76" s="33"/>
      <c r="S76" s="33"/>
      <c r="T76" s="33"/>
      <c r="U76" s="33"/>
      <c r="V76" s="33"/>
      <c r="W76" s="33"/>
    </row>
    <row r="77" spans="1:23" ht="16.5" customHeight="1" x14ac:dyDescent="0.2">
      <c r="A77" s="35" t="s">
        <v>3323</v>
      </c>
      <c r="B77" s="35" t="s">
        <v>3324</v>
      </c>
      <c r="C77" s="35" t="s">
        <v>98</v>
      </c>
      <c r="D77" s="35" t="s">
        <v>99</v>
      </c>
      <c r="E77" s="35" t="s">
        <v>39</v>
      </c>
      <c r="F77" s="28" t="e">
        <f ca="1">_xludf.ifna(VLOOKUP(G77,Proyectos!$A$2:$F$674,6,0),"")</f>
        <v>#NAME?</v>
      </c>
      <c r="G77" s="29" t="s">
        <v>5130</v>
      </c>
      <c r="H77" s="30">
        <v>0.25</v>
      </c>
      <c r="I77" s="31" t="s">
        <v>32</v>
      </c>
      <c r="J77" s="52" t="s">
        <v>72</v>
      </c>
      <c r="K77" s="30"/>
      <c r="L77" s="32" t="e">
        <f ca="1">_xludf.ifna(VLOOKUP(E77,Parámetros!$D$2:$E$34,2,0),"")</f>
        <v>#NAME?</v>
      </c>
      <c r="M77" s="32" t="e">
        <f ca="1">_xludf.ifna(VLOOKUP(G77,Proyectos!$A$2:$T$674,20,0),"")</f>
        <v>#NAME?</v>
      </c>
      <c r="N77" s="32" t="e">
        <f ca="1">_xludf.ifna(VLOOKUP(G77,Proyectos!$A$2:$S$674,19,0))</f>
        <v>#NAME?</v>
      </c>
      <c r="O77" s="31"/>
      <c r="P77" s="31"/>
      <c r="Q77" s="33"/>
      <c r="R77" s="33"/>
      <c r="S77" s="33"/>
      <c r="T77" s="33"/>
      <c r="U77" s="33"/>
      <c r="V77" s="33"/>
      <c r="W77" s="33"/>
    </row>
    <row r="78" spans="1:23" ht="16.5" customHeight="1" x14ac:dyDescent="0.2">
      <c r="A78" s="35" t="s">
        <v>3323</v>
      </c>
      <c r="B78" s="35" t="s">
        <v>3324</v>
      </c>
      <c r="C78" s="35" t="s">
        <v>98</v>
      </c>
      <c r="D78" s="35" t="s">
        <v>99</v>
      </c>
      <c r="E78" s="35" t="s">
        <v>39</v>
      </c>
      <c r="F78" s="28" t="e">
        <f ca="1">_xludf.ifna(VLOOKUP(G78,Proyectos!$A$2:$F$674,6,0),"")</f>
        <v>#NAME?</v>
      </c>
      <c r="G78" s="29" t="s">
        <v>5132</v>
      </c>
      <c r="H78" s="30">
        <v>0.25</v>
      </c>
      <c r="I78" s="31" t="s">
        <v>32</v>
      </c>
      <c r="J78" s="52" t="s">
        <v>72</v>
      </c>
      <c r="K78" s="30"/>
      <c r="L78" s="32" t="e">
        <f ca="1">_xludf.ifna(VLOOKUP(E78,Parámetros!$D$2:$E$34,2,0),"")</f>
        <v>#NAME?</v>
      </c>
      <c r="M78" s="32" t="e">
        <f ca="1">_xludf.ifna(VLOOKUP(G78,Proyectos!$A$2:$T$674,20,0),"")</f>
        <v>#NAME?</v>
      </c>
      <c r="N78" s="32" t="e">
        <f ca="1">_xludf.ifna(VLOOKUP(G78,Proyectos!$A$2:$S$674,19,0))</f>
        <v>#NAME?</v>
      </c>
      <c r="O78" s="31"/>
      <c r="P78" s="31"/>
      <c r="Q78" s="33"/>
      <c r="R78" s="33"/>
      <c r="S78" s="33"/>
      <c r="T78" s="33"/>
      <c r="U78" s="33"/>
      <c r="V78" s="33"/>
      <c r="W78" s="33"/>
    </row>
    <row r="79" spans="1:23" ht="16.5" customHeight="1" x14ac:dyDescent="0.2">
      <c r="A79" s="35" t="s">
        <v>3323</v>
      </c>
      <c r="B79" s="35" t="s">
        <v>3324</v>
      </c>
      <c r="C79" s="35" t="s">
        <v>98</v>
      </c>
      <c r="D79" s="35" t="s">
        <v>99</v>
      </c>
      <c r="E79" s="35" t="s">
        <v>39</v>
      </c>
      <c r="F79" s="28" t="e">
        <f ca="1">_xludf.ifna(VLOOKUP(G79,Proyectos!$A$2:$F$674,6,0),"")</f>
        <v>#NAME?</v>
      </c>
      <c r="G79" s="29" t="s">
        <v>5134</v>
      </c>
      <c r="H79" s="30">
        <v>0.25</v>
      </c>
      <c r="I79" s="31" t="s">
        <v>32</v>
      </c>
      <c r="J79" s="52" t="s">
        <v>72</v>
      </c>
      <c r="K79" s="30"/>
      <c r="L79" s="32" t="e">
        <f ca="1">_xludf.ifna(VLOOKUP(E79,Parámetros!$D$2:$E$34,2,0),"")</f>
        <v>#NAME?</v>
      </c>
      <c r="M79" s="32" t="e">
        <f ca="1">_xludf.ifna(VLOOKUP(G79,Proyectos!$A$2:$T$674,20,0),"")</f>
        <v>#NAME?</v>
      </c>
      <c r="N79" s="32" t="e">
        <f ca="1">_xludf.ifna(VLOOKUP(G79,Proyectos!$A$2:$S$674,19,0))</f>
        <v>#NAME?</v>
      </c>
      <c r="O79" s="31"/>
      <c r="P79" s="31"/>
      <c r="Q79" s="33"/>
      <c r="R79" s="33"/>
      <c r="S79" s="33"/>
      <c r="T79" s="33"/>
      <c r="U79" s="33"/>
      <c r="V79" s="33"/>
      <c r="W79" s="33"/>
    </row>
    <row r="80" spans="1:23" ht="16.5" customHeight="1" x14ac:dyDescent="0.2">
      <c r="A80" s="26" t="s">
        <v>4068</v>
      </c>
      <c r="B80" s="26" t="s">
        <v>5135</v>
      </c>
      <c r="C80" s="26" t="s">
        <v>98</v>
      </c>
      <c r="D80" s="26" t="s">
        <v>99</v>
      </c>
      <c r="E80" s="26" t="s">
        <v>129</v>
      </c>
      <c r="F80" s="28" t="e">
        <f ca="1">_xludf.ifna(VLOOKUP(G80,Proyectos!$A$2:$F$674,6,0),"")</f>
        <v>#NAME?</v>
      </c>
      <c r="G80" s="29" t="s">
        <v>5114</v>
      </c>
      <c r="H80" s="32">
        <v>0.5</v>
      </c>
      <c r="I80" s="47" t="s">
        <v>18</v>
      </c>
      <c r="J80" s="31" t="s">
        <v>61</v>
      </c>
      <c r="K80" s="32"/>
      <c r="L80" s="32" t="e">
        <f ca="1">_xludf.ifna(VLOOKUP(E80,Parámetros!$D$2:$E$34,2,0),"")</f>
        <v>#NAME?</v>
      </c>
      <c r="M80" s="32" t="e">
        <f ca="1">_xludf.ifna(VLOOKUP(G80,Proyectos!$A$2:$T$674,20,0),"")</f>
        <v>#NAME?</v>
      </c>
      <c r="N80" s="32" t="e">
        <f ca="1">_xludf.ifna(VLOOKUP(G80,Proyectos!$A$2:$S$674,19,0))</f>
        <v>#NAME?</v>
      </c>
      <c r="O80" s="31"/>
      <c r="P80" s="31"/>
      <c r="Q80" s="33"/>
      <c r="R80" s="33"/>
      <c r="S80" s="33"/>
      <c r="T80" s="33"/>
      <c r="U80" s="33"/>
      <c r="V80" s="33"/>
      <c r="W80" s="33"/>
    </row>
    <row r="81" spans="1:23" ht="16.5" customHeight="1" x14ac:dyDescent="0.2">
      <c r="A81" s="26" t="s">
        <v>4098</v>
      </c>
      <c r="B81" s="26" t="s">
        <v>5136</v>
      </c>
      <c r="C81" s="26" t="s">
        <v>98</v>
      </c>
      <c r="D81" s="26" t="s">
        <v>99</v>
      </c>
      <c r="E81" s="26" t="s">
        <v>129</v>
      </c>
      <c r="F81" s="28" t="e">
        <f ca="1">_xludf.ifna(VLOOKUP(G81,Proyectos!$A$2:$F$674,6,0),"")</f>
        <v>#NAME?</v>
      </c>
      <c r="G81" s="29" t="s">
        <v>5114</v>
      </c>
      <c r="H81" s="32">
        <v>1</v>
      </c>
      <c r="I81" s="47" t="s">
        <v>18</v>
      </c>
      <c r="J81" s="31" t="s">
        <v>61</v>
      </c>
      <c r="K81" s="32"/>
      <c r="L81" s="32" t="e">
        <f ca="1">_xludf.ifna(VLOOKUP(E81,Parámetros!$D$2:$E$34,2,0),"")</f>
        <v>#NAME?</v>
      </c>
      <c r="M81" s="32" t="e">
        <f ca="1">_xludf.ifna(VLOOKUP(G81,Proyectos!$A$2:$T$674,20,0),"")</f>
        <v>#NAME?</v>
      </c>
      <c r="N81" s="32" t="e">
        <f ca="1">_xludf.ifna(VLOOKUP(G81,Proyectos!$A$2:$S$674,19,0))</f>
        <v>#NAME?</v>
      </c>
      <c r="O81" s="32"/>
      <c r="P81" s="31"/>
      <c r="Q81" s="33"/>
      <c r="R81" s="33"/>
      <c r="S81" s="33"/>
      <c r="T81" s="33"/>
      <c r="U81" s="33"/>
      <c r="V81" s="33"/>
      <c r="W81" s="33"/>
    </row>
    <row r="82" spans="1:23" ht="16.5" customHeight="1" x14ac:dyDescent="0.2">
      <c r="A82" s="26" t="s">
        <v>4269</v>
      </c>
      <c r="B82" s="26" t="s">
        <v>5137</v>
      </c>
      <c r="C82" s="26" t="s">
        <v>98</v>
      </c>
      <c r="D82" s="26" t="s">
        <v>99</v>
      </c>
      <c r="E82" s="26" t="s">
        <v>129</v>
      </c>
      <c r="F82" s="28" t="e">
        <f ca="1">_xludf.ifna(VLOOKUP(G82,Proyectos!$A$2:$F$674,6,0),"")</f>
        <v>#NAME?</v>
      </c>
      <c r="G82" s="29" t="s">
        <v>5114</v>
      </c>
      <c r="H82" s="32">
        <v>1</v>
      </c>
      <c r="I82" s="47" t="s">
        <v>18</v>
      </c>
      <c r="J82" s="31" t="s">
        <v>61</v>
      </c>
      <c r="K82" s="31"/>
      <c r="L82" s="32" t="e">
        <f ca="1">_xludf.ifna(VLOOKUP(E82,Parámetros!$D$2:$E$34,2,0),"")</f>
        <v>#NAME?</v>
      </c>
      <c r="M82" s="32" t="e">
        <f ca="1">_xludf.ifna(VLOOKUP(G82,Proyectos!$A$2:$T$674,20,0),"")</f>
        <v>#NAME?</v>
      </c>
      <c r="N82" s="32" t="e">
        <f ca="1">_xludf.ifna(VLOOKUP(G82,Proyectos!$A$2:$S$674,19,0))</f>
        <v>#NAME?</v>
      </c>
      <c r="O82" s="31"/>
      <c r="P82" s="31"/>
      <c r="Q82" s="33"/>
      <c r="R82" s="33"/>
      <c r="S82" s="33"/>
      <c r="T82" s="33"/>
      <c r="U82" s="33"/>
      <c r="V82" s="33"/>
      <c r="W82" s="33"/>
    </row>
    <row r="83" spans="1:23" ht="16.5" customHeight="1" x14ac:dyDescent="0.2">
      <c r="A83" s="26"/>
      <c r="B83" s="50" t="s">
        <v>5102</v>
      </c>
      <c r="C83" s="26" t="s">
        <v>98</v>
      </c>
      <c r="D83" s="26" t="s">
        <v>99</v>
      </c>
      <c r="E83" s="26" t="s">
        <v>108</v>
      </c>
      <c r="F83" s="28" t="e">
        <f ca="1">_xludf.ifna(VLOOKUP(G83,Proyectos!$A$2:$F$674,6,0),"")</f>
        <v>#NAME?</v>
      </c>
      <c r="G83" s="29" t="s">
        <v>5132</v>
      </c>
      <c r="H83" s="44">
        <v>0.5</v>
      </c>
      <c r="I83" s="47" t="s">
        <v>25</v>
      </c>
      <c r="J83" s="47" t="s">
        <v>72</v>
      </c>
      <c r="K83" s="32"/>
      <c r="L83" s="32" t="e">
        <f ca="1">_xludf.ifna(VLOOKUP(E83,Parámetros!$D$2:$E$34,2,0),"")</f>
        <v>#NAME?</v>
      </c>
      <c r="M83" s="32" t="e">
        <f ca="1">_xludf.ifna(VLOOKUP(G83,Proyectos!$A$2:$T$674,20,0),"")</f>
        <v>#NAME?</v>
      </c>
      <c r="N83" s="32" t="e">
        <f ca="1">_xludf.ifna(VLOOKUP(G83,Proyectos!$A$2:$S$674,19,0))</f>
        <v>#NAME?</v>
      </c>
      <c r="O83" s="31"/>
      <c r="P83" s="31"/>
      <c r="Q83" s="33"/>
      <c r="R83" s="33"/>
      <c r="S83" s="33"/>
      <c r="T83" s="33"/>
      <c r="U83" s="33"/>
      <c r="V83" s="33"/>
      <c r="W83" s="33"/>
    </row>
    <row r="84" spans="1:23" ht="16.5" customHeight="1" x14ac:dyDescent="0.2">
      <c r="A84" s="26"/>
      <c r="B84" s="50" t="s">
        <v>5102</v>
      </c>
      <c r="C84" s="26" t="s">
        <v>98</v>
      </c>
      <c r="D84" s="26" t="s">
        <v>99</v>
      </c>
      <c r="E84" s="26" t="s">
        <v>108</v>
      </c>
      <c r="F84" s="28" t="e">
        <f ca="1">_xludf.ifna(VLOOKUP(G84,Proyectos!$A$2:$F$674,6,0),"")</f>
        <v>#NAME?</v>
      </c>
      <c r="G84" s="29" t="s">
        <v>5114</v>
      </c>
      <c r="H84" s="44">
        <v>0.5</v>
      </c>
      <c r="I84" s="47" t="s">
        <v>25</v>
      </c>
      <c r="J84" s="47" t="s">
        <v>72</v>
      </c>
      <c r="K84" s="32"/>
      <c r="L84" s="32" t="e">
        <f ca="1">_xludf.ifna(VLOOKUP(E84,Parámetros!$D$2:$E$34,2,0),"")</f>
        <v>#NAME?</v>
      </c>
      <c r="M84" s="32" t="e">
        <f ca="1">_xludf.ifna(VLOOKUP(G84,Proyectos!$A$2:$T$674,20,0),"")</f>
        <v>#NAME?</v>
      </c>
      <c r="N84" s="32" t="e">
        <f ca="1">_xludf.ifna(VLOOKUP(G84,Proyectos!$A$2:$S$674,19,0))</f>
        <v>#NAME?</v>
      </c>
      <c r="O84" s="31"/>
      <c r="P84" s="31"/>
      <c r="Q84" s="33"/>
      <c r="R84" s="33"/>
      <c r="S84" s="33"/>
      <c r="T84" s="33"/>
      <c r="U84" s="33"/>
      <c r="V84" s="33"/>
      <c r="W84" s="33"/>
    </row>
    <row r="85" spans="1:23" ht="16.5" customHeight="1" x14ac:dyDescent="0.2">
      <c r="A85" s="26" t="s">
        <v>3358</v>
      </c>
      <c r="B85" s="26" t="s">
        <v>3359</v>
      </c>
      <c r="C85" s="26" t="s">
        <v>98</v>
      </c>
      <c r="D85" s="26" t="s">
        <v>99</v>
      </c>
      <c r="E85" s="26" t="s">
        <v>39</v>
      </c>
      <c r="F85" s="28" t="e">
        <f ca="1">_xludf.ifna(VLOOKUP(G85,Proyectos!$A$2:$F$674,6,0),"")</f>
        <v>#NAME?</v>
      </c>
      <c r="G85" s="26" t="s">
        <v>5138</v>
      </c>
      <c r="H85" s="51">
        <v>0.25</v>
      </c>
      <c r="I85" s="31" t="s">
        <v>11</v>
      </c>
      <c r="J85" s="47" t="s">
        <v>19</v>
      </c>
      <c r="K85" s="51"/>
      <c r="L85" s="32" t="e">
        <f ca="1">_xludf.ifna(VLOOKUP(E85,Parámetros!$D$2:$E$34,2,0),"")</f>
        <v>#NAME?</v>
      </c>
      <c r="M85" s="32" t="e">
        <f ca="1">_xludf.ifna(VLOOKUP(G85,Proyectos!$A$2:$T$674,20,0),"")</f>
        <v>#NAME?</v>
      </c>
      <c r="N85" s="32" t="e">
        <f ca="1">_xludf.ifna(VLOOKUP(G85,Proyectos!$A$2:$S$674,19,0))</f>
        <v>#NAME?</v>
      </c>
      <c r="O85" s="32"/>
      <c r="P85" s="31"/>
      <c r="Q85" s="33"/>
      <c r="R85" s="33"/>
      <c r="S85" s="33"/>
      <c r="T85" s="33"/>
      <c r="U85" s="33"/>
      <c r="V85" s="33"/>
      <c r="W85" s="33"/>
    </row>
    <row r="86" spans="1:23" ht="16.5" customHeight="1" x14ac:dyDescent="0.2">
      <c r="A86" s="26" t="s">
        <v>3358</v>
      </c>
      <c r="B86" s="26" t="s">
        <v>3359</v>
      </c>
      <c r="C86" s="26" t="s">
        <v>98</v>
      </c>
      <c r="D86" s="26" t="s">
        <v>99</v>
      </c>
      <c r="E86" s="26" t="s">
        <v>39</v>
      </c>
      <c r="F86" s="28" t="e">
        <f ca="1">_xludf.ifna(VLOOKUP(G86,Proyectos!$A$2:$F$674,6,0),"")</f>
        <v>#NAME?</v>
      </c>
      <c r="G86" s="27" t="s">
        <v>5139</v>
      </c>
      <c r="H86" s="51">
        <v>0.25</v>
      </c>
      <c r="I86" s="31" t="s">
        <v>11</v>
      </c>
      <c r="J86" s="47" t="s">
        <v>19</v>
      </c>
      <c r="K86" s="51"/>
      <c r="L86" s="32" t="e">
        <f ca="1">_xludf.ifna(VLOOKUP(E86,Parámetros!$D$2:$E$34,2,0),"")</f>
        <v>#NAME?</v>
      </c>
      <c r="M86" s="32" t="e">
        <f ca="1">_xludf.ifna(VLOOKUP(G86,Proyectos!$A$2:$T$674,20,0),"")</f>
        <v>#NAME?</v>
      </c>
      <c r="N86" s="32" t="e">
        <f ca="1">_xludf.ifna(VLOOKUP(G86,Proyectos!$A$2:$S$674,19,0))</f>
        <v>#NAME?</v>
      </c>
      <c r="O86" s="32"/>
      <c r="P86" s="31"/>
      <c r="Q86" s="33"/>
      <c r="R86" s="33"/>
      <c r="S86" s="33"/>
      <c r="T86" s="33"/>
      <c r="U86" s="33"/>
      <c r="V86" s="33"/>
      <c r="W86" s="33"/>
    </row>
    <row r="87" spans="1:23" ht="16.5" customHeight="1" x14ac:dyDescent="0.2">
      <c r="A87" s="26" t="s">
        <v>3358</v>
      </c>
      <c r="B87" s="26" t="s">
        <v>3359</v>
      </c>
      <c r="C87" s="26" t="s">
        <v>98</v>
      </c>
      <c r="D87" s="26" t="s">
        <v>99</v>
      </c>
      <c r="E87" s="26" t="s">
        <v>39</v>
      </c>
      <c r="F87" s="28" t="e">
        <f ca="1">_xludf.ifna(VLOOKUP(G87,Proyectos!$A$2:$F$674,6,0),"")</f>
        <v>#NAME?</v>
      </c>
      <c r="G87" s="29" t="s">
        <v>5114</v>
      </c>
      <c r="H87" s="51">
        <v>0.5</v>
      </c>
      <c r="I87" s="31" t="s">
        <v>11</v>
      </c>
      <c r="J87" s="47" t="s">
        <v>19</v>
      </c>
      <c r="K87" s="51"/>
      <c r="L87" s="32" t="e">
        <f ca="1">_xludf.ifna(VLOOKUP(E87,Parámetros!$D$2:$E$34,2,0),"")</f>
        <v>#NAME?</v>
      </c>
      <c r="M87" s="32" t="e">
        <f ca="1">_xludf.ifna(VLOOKUP(G87,Proyectos!$A$2:$T$674,20,0),"")</f>
        <v>#NAME?</v>
      </c>
      <c r="N87" s="32" t="e">
        <f ca="1">_xludf.ifna(VLOOKUP(G87,Proyectos!$A$2:$S$674,19,0))</f>
        <v>#NAME?</v>
      </c>
      <c r="O87" s="32"/>
      <c r="P87" s="31"/>
      <c r="Q87" s="33"/>
      <c r="R87" s="33"/>
      <c r="S87" s="33"/>
      <c r="T87" s="33"/>
      <c r="U87" s="33"/>
      <c r="V87" s="33"/>
      <c r="W87" s="33"/>
    </row>
    <row r="88" spans="1:23" ht="16.5" customHeight="1" x14ac:dyDescent="0.2">
      <c r="A88" s="26" t="s">
        <v>3767</v>
      </c>
      <c r="B88" s="26" t="s">
        <v>3768</v>
      </c>
      <c r="C88" s="26" t="s">
        <v>98</v>
      </c>
      <c r="D88" s="26" t="s">
        <v>99</v>
      </c>
      <c r="E88" s="26" t="s">
        <v>39</v>
      </c>
      <c r="F88" s="28" t="e">
        <f ca="1">_xludf.ifna(VLOOKUP(G88,Proyectos!$A$2:$F$674,6,0),"")</f>
        <v>#NAME?</v>
      </c>
      <c r="G88" s="26" t="s">
        <v>5138</v>
      </c>
      <c r="H88" s="32">
        <v>1</v>
      </c>
      <c r="I88" s="47" t="s">
        <v>18</v>
      </c>
      <c r="J88" s="31" t="s">
        <v>12</v>
      </c>
      <c r="K88" s="32"/>
      <c r="L88" s="32" t="e">
        <f ca="1">_xludf.ifna(VLOOKUP(E88,Parámetros!$D$2:$E$34,2,0),"")</f>
        <v>#NAME?</v>
      </c>
      <c r="M88" s="32" t="e">
        <f ca="1">_xludf.ifna(VLOOKUP(G88,Proyectos!$A$2:$T$674,20,0),"")</f>
        <v>#NAME?</v>
      </c>
      <c r="N88" s="32" t="e">
        <f ca="1">_xludf.ifna(VLOOKUP(G88,Proyectos!$A$2:$S$674,19,0))</f>
        <v>#NAME?</v>
      </c>
      <c r="O88" s="32"/>
      <c r="P88" s="31"/>
      <c r="Q88" s="33"/>
      <c r="R88" s="33"/>
      <c r="S88" s="33"/>
      <c r="T88" s="33"/>
      <c r="U88" s="33"/>
      <c r="V88" s="33"/>
      <c r="W88" s="33"/>
    </row>
    <row r="89" spans="1:23" ht="16.5" customHeight="1" x14ac:dyDescent="0.2">
      <c r="A89" s="26" t="s">
        <v>3694</v>
      </c>
      <c r="B89" s="26" t="s">
        <v>3695</v>
      </c>
      <c r="C89" s="26" t="s">
        <v>98</v>
      </c>
      <c r="D89" s="26" t="s">
        <v>99</v>
      </c>
      <c r="E89" s="26" t="s">
        <v>39</v>
      </c>
      <c r="F89" s="28" t="e">
        <f ca="1">_xludf.ifna(VLOOKUP(G89,Proyectos!$A$2:$F$674,6,0),"")</f>
        <v>#NAME?</v>
      </c>
      <c r="G89" s="26" t="s">
        <v>5138</v>
      </c>
      <c r="H89" s="44">
        <v>1</v>
      </c>
      <c r="I89" s="47" t="s">
        <v>18</v>
      </c>
      <c r="J89" s="47" t="s">
        <v>61</v>
      </c>
      <c r="K89" s="51"/>
      <c r="L89" s="32" t="e">
        <f ca="1">_xludf.ifna(VLOOKUP(E89,Parámetros!$D$2:$E$34,2,0),"")</f>
        <v>#NAME?</v>
      </c>
      <c r="M89" s="32" t="e">
        <f ca="1">_xludf.ifna(VLOOKUP(G89,Proyectos!$A$2:$T$674,20,0),"")</f>
        <v>#NAME?</v>
      </c>
      <c r="N89" s="32" t="e">
        <f ca="1">_xludf.ifna(VLOOKUP(G89,Proyectos!$A$2:$S$674,19,0))</f>
        <v>#NAME?</v>
      </c>
      <c r="O89" s="31"/>
      <c r="P89" s="31"/>
      <c r="Q89" s="33"/>
      <c r="R89" s="33"/>
      <c r="S89" s="33"/>
      <c r="T89" s="33"/>
      <c r="U89" s="33"/>
      <c r="V89" s="33"/>
      <c r="W89" s="33"/>
    </row>
    <row r="90" spans="1:23" ht="16.5" customHeight="1" x14ac:dyDescent="0.2">
      <c r="A90" s="26" t="s">
        <v>4891</v>
      </c>
      <c r="B90" s="26" t="s">
        <v>4892</v>
      </c>
      <c r="C90" s="26" t="s">
        <v>98</v>
      </c>
      <c r="D90" s="26" t="s">
        <v>99</v>
      </c>
      <c r="E90" s="26" t="s">
        <v>108</v>
      </c>
      <c r="F90" s="28" t="e">
        <f ca="1">_xludf.ifna(VLOOKUP(G90,Proyectos!$A$2:$F$674,6,0),"")</f>
        <v>#NAME?</v>
      </c>
      <c r="G90" s="26" t="s">
        <v>5138</v>
      </c>
      <c r="H90" s="32">
        <v>1</v>
      </c>
      <c r="I90" s="47" t="s">
        <v>25</v>
      </c>
      <c r="J90" s="47" t="s">
        <v>72</v>
      </c>
      <c r="K90" s="32"/>
      <c r="L90" s="32" t="e">
        <f ca="1">_xludf.ifna(VLOOKUP(E90,Parámetros!$D$2:$E$34,2,0),"")</f>
        <v>#NAME?</v>
      </c>
      <c r="M90" s="32" t="e">
        <f ca="1">_xludf.ifna(VLOOKUP(G90,Proyectos!$A$2:$T$674,20,0),"")</f>
        <v>#NAME?</v>
      </c>
      <c r="N90" s="32" t="e">
        <f ca="1">_xludf.ifna(VLOOKUP(G90,Proyectos!$A$2:$S$674,19,0))</f>
        <v>#NAME?</v>
      </c>
      <c r="O90" s="32"/>
      <c r="P90" s="31"/>
      <c r="Q90" s="33"/>
      <c r="R90" s="33"/>
      <c r="S90" s="33"/>
      <c r="T90" s="33"/>
      <c r="U90" s="33"/>
      <c r="V90" s="33"/>
      <c r="W90" s="33"/>
    </row>
    <row r="91" spans="1:23" ht="16.5" customHeight="1" x14ac:dyDescent="0.2">
      <c r="A91" s="26" t="s">
        <v>3636</v>
      </c>
      <c r="B91" s="26" t="s">
        <v>3637</v>
      </c>
      <c r="C91" s="26" t="s">
        <v>98</v>
      </c>
      <c r="D91" s="26" t="s">
        <v>99</v>
      </c>
      <c r="E91" s="26" t="s">
        <v>39</v>
      </c>
      <c r="F91" s="28" t="e">
        <f ca="1">_xludf.ifna(VLOOKUP(G91,Proyectos!$A$2:$F$674,6,0),"")</f>
        <v>#NAME?</v>
      </c>
      <c r="G91" s="27" t="s">
        <v>5139</v>
      </c>
      <c r="H91" s="51">
        <v>0.75</v>
      </c>
      <c r="I91" s="47" t="s">
        <v>18</v>
      </c>
      <c r="J91" s="47" t="s">
        <v>19</v>
      </c>
      <c r="K91" s="51"/>
      <c r="L91" s="32" t="e">
        <f ca="1">_xludf.ifna(VLOOKUP(E91,Parámetros!$D$2:$E$34,2,0),"")</f>
        <v>#NAME?</v>
      </c>
      <c r="M91" s="32" t="e">
        <f ca="1">_xludf.ifna(VLOOKUP(G91,Proyectos!$A$2:$T$674,20,0),"")</f>
        <v>#NAME?</v>
      </c>
      <c r="N91" s="32" t="e">
        <f ca="1">_xludf.ifna(VLOOKUP(G91,Proyectos!$A$2:$S$674,19,0))</f>
        <v>#NAME?</v>
      </c>
      <c r="O91" s="31"/>
      <c r="P91" s="31"/>
      <c r="Q91" s="33"/>
      <c r="R91" s="33"/>
      <c r="S91" s="33"/>
      <c r="T91" s="33"/>
      <c r="U91" s="33"/>
      <c r="V91" s="33"/>
      <c r="W91" s="33"/>
    </row>
    <row r="92" spans="1:23" ht="16.5" customHeight="1" x14ac:dyDescent="0.2">
      <c r="A92" s="26" t="s">
        <v>3636</v>
      </c>
      <c r="B92" s="26" t="s">
        <v>3637</v>
      </c>
      <c r="C92" s="26" t="s">
        <v>98</v>
      </c>
      <c r="D92" s="26" t="s">
        <v>99</v>
      </c>
      <c r="E92" s="26" t="s">
        <v>39</v>
      </c>
      <c r="F92" s="28" t="e">
        <f ca="1">_xludf.ifna(VLOOKUP(G92,Proyectos!$A$2:$F$674,6,0),"")</f>
        <v>#NAME?</v>
      </c>
      <c r="G92" s="29" t="s">
        <v>5114</v>
      </c>
      <c r="H92" s="51">
        <v>0.25</v>
      </c>
      <c r="I92" s="47" t="s">
        <v>18</v>
      </c>
      <c r="J92" s="47" t="s">
        <v>19</v>
      </c>
      <c r="K92" s="51"/>
      <c r="L92" s="32" t="e">
        <f ca="1">_xludf.ifna(VLOOKUP(E92,Parámetros!$D$2:$E$34,2,0),"")</f>
        <v>#NAME?</v>
      </c>
      <c r="M92" s="32" t="e">
        <f ca="1">_xludf.ifna(VLOOKUP(G92,Proyectos!$A$2:$T$674,20,0),"")</f>
        <v>#NAME?</v>
      </c>
      <c r="N92" s="32" t="e">
        <f ca="1">_xludf.ifna(VLOOKUP(G92,Proyectos!$A$2:$S$674,19,0))</f>
        <v>#NAME?</v>
      </c>
      <c r="O92" s="31"/>
      <c r="P92" s="31"/>
      <c r="Q92" s="33"/>
      <c r="R92" s="33"/>
      <c r="S92" s="33"/>
      <c r="T92" s="33"/>
      <c r="U92" s="33"/>
      <c r="V92" s="33"/>
      <c r="W92" s="33"/>
    </row>
    <row r="93" spans="1:23" ht="16.5" customHeight="1" x14ac:dyDescent="0.2">
      <c r="A93" s="26" t="s">
        <v>3797</v>
      </c>
      <c r="B93" s="26" t="s">
        <v>3798</v>
      </c>
      <c r="C93" s="26" t="s">
        <v>98</v>
      </c>
      <c r="D93" s="26" t="s">
        <v>99</v>
      </c>
      <c r="E93" s="26" t="s">
        <v>39</v>
      </c>
      <c r="F93" s="28" t="e">
        <f ca="1">_xludf.ifna(VLOOKUP(G93,Proyectos!$A$2:$F$674,6,0),"")</f>
        <v>#NAME?</v>
      </c>
      <c r="G93" s="27" t="s">
        <v>5139</v>
      </c>
      <c r="H93" s="32">
        <v>1</v>
      </c>
      <c r="I93" s="47" t="s">
        <v>18</v>
      </c>
      <c r="J93" s="31" t="s">
        <v>19</v>
      </c>
      <c r="K93" s="32"/>
      <c r="L93" s="32" t="e">
        <f ca="1">_xludf.ifna(VLOOKUP(E93,Parámetros!$D$2:$E$34,2,0),"")</f>
        <v>#NAME?</v>
      </c>
      <c r="M93" s="32" t="e">
        <f ca="1">_xludf.ifna(VLOOKUP(G93,Proyectos!$A$2:$T$674,20,0),"")</f>
        <v>#NAME?</v>
      </c>
      <c r="N93" s="32" t="e">
        <f ca="1">_xludf.ifna(VLOOKUP(G93,Proyectos!$A$2:$S$674,19,0))</f>
        <v>#NAME?</v>
      </c>
      <c r="O93" s="32"/>
      <c r="P93" s="31"/>
      <c r="Q93" s="33"/>
      <c r="R93" s="33"/>
      <c r="S93" s="33"/>
      <c r="T93" s="33"/>
      <c r="U93" s="33"/>
      <c r="V93" s="33"/>
      <c r="W93" s="33"/>
    </row>
    <row r="94" spans="1:23" ht="16.5" customHeight="1" x14ac:dyDescent="0.2">
      <c r="A94" s="26" t="s">
        <v>4802</v>
      </c>
      <c r="B94" s="26" t="s">
        <v>4803</v>
      </c>
      <c r="C94" s="26" t="s">
        <v>98</v>
      </c>
      <c r="D94" s="26" t="s">
        <v>99</v>
      </c>
      <c r="E94" s="26" t="s">
        <v>39</v>
      </c>
      <c r="F94" s="28" t="e">
        <f ca="1">_xludf.ifna(VLOOKUP(G94,Proyectos!$A$2:$F$674,6,0),"")</f>
        <v>#NAME?</v>
      </c>
      <c r="G94" s="26" t="s">
        <v>5138</v>
      </c>
      <c r="H94" s="32">
        <v>1</v>
      </c>
      <c r="I94" s="47" t="s">
        <v>18</v>
      </c>
      <c r="J94" s="31" t="s">
        <v>12</v>
      </c>
      <c r="K94" s="32"/>
      <c r="L94" s="32" t="e">
        <f ca="1">_xludf.ifna(VLOOKUP(E94,Parámetros!$D$2:$E$34,2,0),"")</f>
        <v>#NAME?</v>
      </c>
      <c r="M94" s="32" t="e">
        <f ca="1">_xludf.ifna(VLOOKUP(G94,Proyectos!$A$2:$T$674,20,0),"")</f>
        <v>#NAME?</v>
      </c>
      <c r="N94" s="32" t="e">
        <f ca="1">_xludf.ifna(VLOOKUP(G94,Proyectos!$A$2:$S$674,19,0))</f>
        <v>#NAME?</v>
      </c>
      <c r="O94" s="31"/>
      <c r="P94" s="31"/>
      <c r="Q94" s="33"/>
      <c r="R94" s="33"/>
      <c r="S94" s="33"/>
      <c r="T94" s="33"/>
      <c r="U94" s="33"/>
      <c r="V94" s="33"/>
      <c r="W94" s="33"/>
    </row>
    <row r="95" spans="1:23" ht="16.5" customHeight="1" x14ac:dyDescent="0.2">
      <c r="A95" s="26" t="s">
        <v>5067</v>
      </c>
      <c r="B95" s="26" t="s">
        <v>5140</v>
      </c>
      <c r="C95" s="26" t="s">
        <v>98</v>
      </c>
      <c r="D95" s="26" t="s">
        <v>99</v>
      </c>
      <c r="E95" s="26" t="s">
        <v>129</v>
      </c>
      <c r="F95" s="28" t="e">
        <f ca="1">_xludf.ifna(VLOOKUP(G95,Proyectos!$A$2:$F$674,6,0),"")</f>
        <v>#NAME?</v>
      </c>
      <c r="G95" s="29" t="s">
        <v>5114</v>
      </c>
      <c r="H95" s="32">
        <v>0.5</v>
      </c>
      <c r="I95" s="47" t="s">
        <v>18</v>
      </c>
      <c r="J95" s="31" t="s">
        <v>61</v>
      </c>
      <c r="K95" s="32"/>
      <c r="L95" s="32" t="e">
        <f ca="1">_xludf.ifna(VLOOKUP(E95,Parámetros!$D$2:$E$34,2,0),"")</f>
        <v>#NAME?</v>
      </c>
      <c r="M95" s="32" t="e">
        <f ca="1">_xludf.ifna(VLOOKUP(G95,Proyectos!$A$2:$T$674,20,0),"")</f>
        <v>#NAME?</v>
      </c>
      <c r="N95" s="32" t="e">
        <f ca="1">_xludf.ifna(VLOOKUP(G95,Proyectos!$A$2:$S$674,19,0))</f>
        <v>#NAME?</v>
      </c>
      <c r="O95" s="31"/>
      <c r="P95" s="31"/>
      <c r="Q95" s="33"/>
      <c r="R95" s="33"/>
      <c r="S95" s="33"/>
      <c r="T95" s="33"/>
      <c r="U95" s="33"/>
      <c r="V95" s="33"/>
      <c r="W95" s="33"/>
    </row>
    <row r="96" spans="1:23" ht="16.5" customHeight="1" x14ac:dyDescent="0.2">
      <c r="A96" s="26" t="s">
        <v>4368</v>
      </c>
      <c r="B96" s="26" t="s">
        <v>5141</v>
      </c>
      <c r="C96" s="26" t="s">
        <v>98</v>
      </c>
      <c r="D96" s="26" t="s">
        <v>99</v>
      </c>
      <c r="E96" s="26" t="s">
        <v>129</v>
      </c>
      <c r="F96" s="28" t="e">
        <f ca="1">_xludf.ifna(VLOOKUP(G96,Proyectos!$A$2:$F$674,6,0),"")</f>
        <v>#NAME?</v>
      </c>
      <c r="G96" s="29" t="s">
        <v>5114</v>
      </c>
      <c r="H96" s="44">
        <v>1</v>
      </c>
      <c r="I96" s="47" t="s">
        <v>18</v>
      </c>
      <c r="J96" s="31" t="s">
        <v>61</v>
      </c>
      <c r="K96" s="32"/>
      <c r="L96" s="32" t="e">
        <f ca="1">_xludf.ifna(VLOOKUP(E96,Parámetros!$D$2:$E$34,2,0),"")</f>
        <v>#NAME?</v>
      </c>
      <c r="M96" s="32" t="e">
        <f ca="1">_xludf.ifna(VLOOKUP(G96,Proyectos!$A$2:$T$674,20,0),"")</f>
        <v>#NAME?</v>
      </c>
      <c r="N96" s="32" t="e">
        <f ca="1">_xludf.ifna(VLOOKUP(G96,Proyectos!$A$2:$S$674,19,0))</f>
        <v>#NAME?</v>
      </c>
      <c r="O96" s="32"/>
      <c r="P96" s="31"/>
      <c r="Q96" s="33"/>
      <c r="R96" s="33"/>
      <c r="S96" s="33"/>
      <c r="T96" s="33"/>
      <c r="U96" s="33"/>
      <c r="V96" s="33"/>
      <c r="W96" s="33"/>
    </row>
    <row r="97" spans="1:23" ht="16.5" customHeight="1" x14ac:dyDescent="0.2">
      <c r="A97" s="26" t="s">
        <v>5065</v>
      </c>
      <c r="B97" s="26" t="s">
        <v>5142</v>
      </c>
      <c r="C97" s="26" t="s">
        <v>98</v>
      </c>
      <c r="D97" s="26" t="s">
        <v>99</v>
      </c>
      <c r="E97" s="26" t="s">
        <v>129</v>
      </c>
      <c r="F97" s="28" t="e">
        <f ca="1">_xludf.ifna(VLOOKUP(G97,Proyectos!$A$2:$F$674,6,0),"")</f>
        <v>#NAME?</v>
      </c>
      <c r="G97" s="29" t="s">
        <v>5114</v>
      </c>
      <c r="H97" s="44">
        <v>1</v>
      </c>
      <c r="I97" s="47" t="s">
        <v>18</v>
      </c>
      <c r="J97" s="31" t="s">
        <v>61</v>
      </c>
      <c r="K97" s="32"/>
      <c r="L97" s="32" t="e">
        <f ca="1">_xludf.ifna(VLOOKUP(E97,Parámetros!$D$2:$E$34,2,0),"")</f>
        <v>#NAME?</v>
      </c>
      <c r="M97" s="32" t="e">
        <f ca="1">_xludf.ifna(VLOOKUP(G97,Proyectos!$A$2:$T$674,20,0),"")</f>
        <v>#NAME?</v>
      </c>
      <c r="N97" s="32" t="e">
        <f ca="1">_xludf.ifna(VLOOKUP(G97,Proyectos!$A$2:$S$674,19,0))</f>
        <v>#NAME?</v>
      </c>
      <c r="O97" s="31"/>
      <c r="P97" s="31"/>
      <c r="Q97" s="33"/>
      <c r="R97" s="33"/>
      <c r="S97" s="33"/>
      <c r="T97" s="33"/>
      <c r="U97" s="33"/>
      <c r="V97" s="33"/>
      <c r="W97" s="33"/>
    </row>
    <row r="98" spans="1:23" ht="16.5" customHeight="1" x14ac:dyDescent="0.2">
      <c r="A98" s="35" t="s">
        <v>3399</v>
      </c>
      <c r="B98" s="35" t="s">
        <v>3400</v>
      </c>
      <c r="C98" s="35" t="s">
        <v>98</v>
      </c>
      <c r="D98" s="35" t="s">
        <v>99</v>
      </c>
      <c r="E98" s="35" t="s">
        <v>39</v>
      </c>
      <c r="F98" s="28" t="e">
        <f ca="1">_xludf.ifna(VLOOKUP(G98,Proyectos!$A$2:$F$674,6,0),"")</f>
        <v>#NAME?</v>
      </c>
      <c r="G98" s="26" t="s">
        <v>5138</v>
      </c>
      <c r="H98" s="30">
        <v>0.25</v>
      </c>
      <c r="I98" s="52" t="s">
        <v>18</v>
      </c>
      <c r="J98" s="52" t="s">
        <v>41</v>
      </c>
      <c r="K98" s="30"/>
      <c r="L98" s="32" t="e">
        <f ca="1">_xludf.ifna(VLOOKUP(E98,Parámetros!$D$2:$E$34,2,0),"")</f>
        <v>#NAME?</v>
      </c>
      <c r="M98" s="32" t="e">
        <f ca="1">_xludf.ifna(VLOOKUP(G98,Proyectos!$A$2:$T$674,20,0),"")</f>
        <v>#NAME?</v>
      </c>
      <c r="N98" s="32" t="e">
        <f ca="1">_xludf.ifna(VLOOKUP(G98,Proyectos!$A$2:$S$674,19,0))</f>
        <v>#NAME?</v>
      </c>
      <c r="O98" s="32"/>
      <c r="P98" s="31"/>
      <c r="Q98" s="33"/>
      <c r="R98" s="33"/>
      <c r="S98" s="33"/>
      <c r="T98" s="33"/>
      <c r="U98" s="33"/>
      <c r="V98" s="33"/>
      <c r="W98" s="33"/>
    </row>
    <row r="99" spans="1:23" ht="16.5" customHeight="1" x14ac:dyDescent="0.2">
      <c r="A99" s="35" t="s">
        <v>3399</v>
      </c>
      <c r="B99" s="35" t="s">
        <v>3400</v>
      </c>
      <c r="C99" s="35" t="s">
        <v>98</v>
      </c>
      <c r="D99" s="35" t="s">
        <v>99</v>
      </c>
      <c r="E99" s="35" t="s">
        <v>39</v>
      </c>
      <c r="F99" s="28" t="e">
        <f ca="1">_xludf.ifna(VLOOKUP(G99,Proyectos!$A$2:$F$674,6,0),"")</f>
        <v>#NAME?</v>
      </c>
      <c r="G99" s="29" t="s">
        <v>5143</v>
      </c>
      <c r="H99" s="30">
        <v>0.25</v>
      </c>
      <c r="I99" s="52" t="s">
        <v>18</v>
      </c>
      <c r="J99" s="52" t="s">
        <v>41</v>
      </c>
      <c r="K99" s="30"/>
      <c r="L99" s="32" t="e">
        <f ca="1">_xludf.ifna(VLOOKUP(E99,Parámetros!$D$2:$E$34,2,0),"")</f>
        <v>#NAME?</v>
      </c>
      <c r="M99" s="32" t="e">
        <f ca="1">_xludf.ifna(VLOOKUP(G99,Proyectos!$A$2:$T$674,20,0),"")</f>
        <v>#NAME?</v>
      </c>
      <c r="N99" s="32" t="e">
        <f ca="1">_xludf.ifna(VLOOKUP(G99,Proyectos!$A$2:$S$674,19,0))</f>
        <v>#NAME?</v>
      </c>
      <c r="O99" s="31"/>
      <c r="P99" s="31"/>
      <c r="Q99" s="33"/>
      <c r="R99" s="33"/>
      <c r="S99" s="33"/>
      <c r="T99" s="33"/>
      <c r="U99" s="33"/>
      <c r="V99" s="33"/>
      <c r="W99" s="33"/>
    </row>
    <row r="100" spans="1:23" ht="16.5" customHeight="1" x14ac:dyDescent="0.2">
      <c r="A100" s="35" t="s">
        <v>3399</v>
      </c>
      <c r="B100" s="35" t="s">
        <v>3400</v>
      </c>
      <c r="C100" s="35" t="s">
        <v>98</v>
      </c>
      <c r="D100" s="35" t="s">
        <v>99</v>
      </c>
      <c r="E100" s="35" t="s">
        <v>39</v>
      </c>
      <c r="F100" s="28" t="e">
        <f ca="1">_xludf.ifna(VLOOKUP(G100,Proyectos!$A$2:$F$674,6,0),"")</f>
        <v>#NAME?</v>
      </c>
      <c r="G100" s="29" t="s">
        <v>5144</v>
      </c>
      <c r="H100" s="30">
        <v>0.25</v>
      </c>
      <c r="I100" s="52" t="s">
        <v>18</v>
      </c>
      <c r="J100" s="52" t="s">
        <v>41</v>
      </c>
      <c r="K100" s="30"/>
      <c r="L100" s="32" t="e">
        <f ca="1">_xludf.ifna(VLOOKUP(E100,Parámetros!$D$2:$E$34,2,0),"")</f>
        <v>#NAME?</v>
      </c>
      <c r="M100" s="32" t="e">
        <f ca="1">_xludf.ifna(VLOOKUP(G100,Proyectos!$A$2:$T$674,20,0),"")</f>
        <v>#NAME?</v>
      </c>
      <c r="N100" s="32" t="e">
        <f ca="1">_xludf.ifna(VLOOKUP(G100,Proyectos!$A$2:$S$674,19,0))</f>
        <v>#NAME?</v>
      </c>
      <c r="O100" s="31"/>
      <c r="P100" s="31"/>
      <c r="Q100" s="33"/>
      <c r="R100" s="33"/>
      <c r="S100" s="33"/>
      <c r="T100" s="33"/>
      <c r="U100" s="33"/>
      <c r="V100" s="33"/>
      <c r="W100" s="33"/>
    </row>
    <row r="101" spans="1:23" ht="16.5" customHeight="1" x14ac:dyDescent="0.2">
      <c r="A101" s="35" t="s">
        <v>3399</v>
      </c>
      <c r="B101" s="35" t="s">
        <v>3400</v>
      </c>
      <c r="C101" s="35" t="s">
        <v>98</v>
      </c>
      <c r="D101" s="35" t="s">
        <v>99</v>
      </c>
      <c r="E101" s="35" t="s">
        <v>39</v>
      </c>
      <c r="F101" s="28" t="e">
        <f ca="1">_xludf.ifna(VLOOKUP(G101,Proyectos!$A$2:$F$674,6,0),"")</f>
        <v>#NAME?</v>
      </c>
      <c r="G101" s="29" t="s">
        <v>5144</v>
      </c>
      <c r="H101" s="30">
        <v>0.25</v>
      </c>
      <c r="I101" s="52" t="s">
        <v>18</v>
      </c>
      <c r="J101" s="52" t="s">
        <v>41</v>
      </c>
      <c r="K101" s="30"/>
      <c r="L101" s="32" t="e">
        <f ca="1">_xludf.ifna(VLOOKUP(E101,Parámetros!$D$2:$E$34,2,0),"")</f>
        <v>#NAME?</v>
      </c>
      <c r="M101" s="32" t="e">
        <f ca="1">_xludf.ifna(VLOOKUP(G101,Proyectos!$A$2:$T$674,20,0),"")</f>
        <v>#NAME?</v>
      </c>
      <c r="N101" s="32" t="e">
        <f ca="1">_xludf.ifna(VLOOKUP(G101,Proyectos!$A$2:$S$674,19,0))</f>
        <v>#NAME?</v>
      </c>
      <c r="O101" s="31"/>
      <c r="P101" s="31"/>
      <c r="Q101" s="33"/>
      <c r="R101" s="33"/>
      <c r="S101" s="33"/>
      <c r="T101" s="33"/>
      <c r="U101" s="33"/>
      <c r="V101" s="33"/>
      <c r="W101" s="33"/>
    </row>
    <row r="102" spans="1:23" ht="16.5" customHeight="1" x14ac:dyDescent="0.2">
      <c r="A102" s="26" t="s">
        <v>4621</v>
      </c>
      <c r="B102" s="26" t="s">
        <v>4622</v>
      </c>
      <c r="C102" s="26" t="s">
        <v>98</v>
      </c>
      <c r="D102" s="26" t="s">
        <v>99</v>
      </c>
      <c r="E102" s="26" t="s">
        <v>39</v>
      </c>
      <c r="F102" s="28" t="e">
        <f ca="1">_xludf.ifna(VLOOKUP(G102,Proyectos!$A$2:$F$674,6,0),"")</f>
        <v>#NAME?</v>
      </c>
      <c r="G102" s="27" t="s">
        <v>5143</v>
      </c>
      <c r="H102" s="51">
        <v>1</v>
      </c>
      <c r="I102" s="47" t="s">
        <v>18</v>
      </c>
      <c r="J102" s="47" t="s">
        <v>19</v>
      </c>
      <c r="K102" s="51"/>
      <c r="L102" s="32" t="e">
        <f ca="1">_xludf.ifna(VLOOKUP(E102,Parámetros!$D$2:$E$34,2,0),"")</f>
        <v>#NAME?</v>
      </c>
      <c r="M102" s="32" t="e">
        <f ca="1">_xludf.ifna(VLOOKUP(G102,Proyectos!$A$2:$T$674,20,0),"")</f>
        <v>#NAME?</v>
      </c>
      <c r="N102" s="32" t="e">
        <f ca="1">_xludf.ifna(VLOOKUP(G102,Proyectos!$A$2:$S$674,19,0))</f>
        <v>#NAME?</v>
      </c>
      <c r="O102" s="31"/>
      <c r="P102" s="31"/>
      <c r="Q102" s="33"/>
      <c r="R102" s="33"/>
      <c r="S102" s="33"/>
      <c r="T102" s="33"/>
      <c r="U102" s="33"/>
      <c r="V102" s="33"/>
      <c r="W102" s="33"/>
    </row>
    <row r="103" spans="1:23" ht="16.5" customHeight="1" x14ac:dyDescent="0.2">
      <c r="A103" s="26" t="s">
        <v>4813</v>
      </c>
      <c r="B103" s="26" t="s">
        <v>4814</v>
      </c>
      <c r="C103" s="26" t="s">
        <v>98</v>
      </c>
      <c r="D103" s="26" t="s">
        <v>99</v>
      </c>
      <c r="E103" s="26" t="s">
        <v>39</v>
      </c>
      <c r="F103" s="28" t="e">
        <f ca="1">_xludf.ifna(VLOOKUP(G103,Proyectos!$A$2:$F$674,6,0),"")</f>
        <v>#NAME?</v>
      </c>
      <c r="G103" s="27" t="s">
        <v>5138</v>
      </c>
      <c r="H103" s="51">
        <v>1</v>
      </c>
      <c r="I103" s="47" t="s">
        <v>18</v>
      </c>
      <c r="J103" s="47" t="s">
        <v>41</v>
      </c>
      <c r="K103" s="51"/>
      <c r="L103" s="32" t="e">
        <f ca="1">_xludf.ifna(VLOOKUP(E103,Parámetros!$D$2:$E$34,2,0),"")</f>
        <v>#NAME?</v>
      </c>
      <c r="M103" s="32" t="e">
        <f ca="1">_xludf.ifna(VLOOKUP(G103,Proyectos!$A$2:$T$674,20,0),"")</f>
        <v>#NAME?</v>
      </c>
      <c r="N103" s="32" t="e">
        <f ca="1">_xludf.ifna(VLOOKUP(G103,Proyectos!$A$2:$S$674,19,0))</f>
        <v>#NAME?</v>
      </c>
      <c r="O103" s="31"/>
      <c r="P103" s="31"/>
      <c r="Q103" s="33"/>
      <c r="R103" s="33"/>
      <c r="S103" s="33"/>
      <c r="T103" s="33"/>
      <c r="U103" s="33"/>
      <c r="V103" s="33"/>
      <c r="W103" s="33"/>
    </row>
    <row r="104" spans="1:23" ht="16.5" customHeight="1" x14ac:dyDescent="0.2">
      <c r="A104" s="26" t="s">
        <v>4804</v>
      </c>
      <c r="B104" s="26" t="s">
        <v>4805</v>
      </c>
      <c r="C104" s="26" t="s">
        <v>98</v>
      </c>
      <c r="D104" s="26" t="s">
        <v>99</v>
      </c>
      <c r="E104" s="26" t="s">
        <v>39</v>
      </c>
      <c r="F104" s="28" t="e">
        <f ca="1">_xludf.ifna(VLOOKUP(G104,Proyectos!$A$2:$F$674,6,0),"")</f>
        <v>#NAME?</v>
      </c>
      <c r="G104" s="27" t="s">
        <v>5138</v>
      </c>
      <c r="H104" s="51">
        <v>1</v>
      </c>
      <c r="I104" s="47" t="s">
        <v>18</v>
      </c>
      <c r="J104" s="47" t="s">
        <v>41</v>
      </c>
      <c r="K104" s="51"/>
      <c r="L104" s="32" t="e">
        <f ca="1">_xludf.ifna(VLOOKUP(E104,Parámetros!$D$2:$E$34,2,0),"")</f>
        <v>#NAME?</v>
      </c>
      <c r="M104" s="32" t="e">
        <f ca="1">_xludf.ifna(VLOOKUP(G104,Proyectos!$A$2:$T$674,20,0),"")</f>
        <v>#NAME?</v>
      </c>
      <c r="N104" s="32" t="e">
        <f ca="1">_xludf.ifna(VLOOKUP(G104,Proyectos!$A$2:$S$674,19,0))</f>
        <v>#NAME?</v>
      </c>
      <c r="O104" s="31"/>
      <c r="P104" s="31"/>
      <c r="Q104" s="33"/>
      <c r="R104" s="33"/>
      <c r="S104" s="33"/>
      <c r="T104" s="33"/>
      <c r="U104" s="33"/>
      <c r="V104" s="33"/>
      <c r="W104" s="33"/>
    </row>
    <row r="105" spans="1:23" ht="16.5" customHeight="1" x14ac:dyDescent="0.2">
      <c r="A105" s="26" t="s">
        <v>4960</v>
      </c>
      <c r="B105" s="50" t="s">
        <v>4961</v>
      </c>
      <c r="C105" s="26" t="s">
        <v>98</v>
      </c>
      <c r="D105" s="26" t="s">
        <v>99</v>
      </c>
      <c r="E105" s="26" t="s">
        <v>108</v>
      </c>
      <c r="F105" s="28" t="e">
        <f ca="1">_xludf.ifna(VLOOKUP(G105,Proyectos!$A$2:$F$674,6,0),"")</f>
        <v>#NAME?</v>
      </c>
      <c r="G105" s="29" t="s">
        <v>5114</v>
      </c>
      <c r="H105" s="51">
        <v>1</v>
      </c>
      <c r="I105" s="47" t="s">
        <v>25</v>
      </c>
      <c r="J105" s="47" t="s">
        <v>72</v>
      </c>
      <c r="K105" s="51"/>
      <c r="L105" s="32" t="e">
        <f ca="1">_xludf.ifna(VLOOKUP(E105,Parámetros!$D$2:$E$34,2,0),"")</f>
        <v>#NAME?</v>
      </c>
      <c r="M105" s="32" t="e">
        <f ca="1">_xludf.ifna(VLOOKUP(G105,Proyectos!$A$2:$T$674,20,0),"")</f>
        <v>#NAME?</v>
      </c>
      <c r="N105" s="32" t="e">
        <f ca="1">_xludf.ifna(VLOOKUP(G105,Proyectos!$A$2:$S$674,19,0))</f>
        <v>#NAME?</v>
      </c>
      <c r="O105" s="31"/>
      <c r="P105" s="31"/>
      <c r="Q105" s="33"/>
      <c r="R105" s="33"/>
      <c r="S105" s="33"/>
      <c r="T105" s="33"/>
      <c r="U105" s="33"/>
      <c r="V105" s="33"/>
      <c r="W105" s="33"/>
    </row>
    <row r="106" spans="1:23" ht="16.5" customHeight="1" x14ac:dyDescent="0.2">
      <c r="A106" s="26" t="s">
        <v>3628</v>
      </c>
      <c r="B106" s="26" t="s">
        <v>3629</v>
      </c>
      <c r="C106" s="26" t="s">
        <v>98</v>
      </c>
      <c r="D106" s="26" t="s">
        <v>105</v>
      </c>
      <c r="E106" s="26" t="s">
        <v>39</v>
      </c>
      <c r="F106" s="28" t="e">
        <f ca="1">_xludf.ifna(VLOOKUP(G106,Proyectos!$A$2:$F$674,6,0),"")</f>
        <v>#NAME?</v>
      </c>
      <c r="G106" s="26" t="s">
        <v>5145</v>
      </c>
      <c r="H106" s="51">
        <v>1</v>
      </c>
      <c r="I106" s="47" t="s">
        <v>18</v>
      </c>
      <c r="J106" s="47" t="s">
        <v>61</v>
      </c>
      <c r="K106" s="51"/>
      <c r="L106" s="32" t="e">
        <f ca="1">_xludf.ifna(VLOOKUP(E106,Parámetros!$D$2:$E$34,2,0),"")</f>
        <v>#NAME?</v>
      </c>
      <c r="M106" s="32" t="e">
        <f ca="1">_xludf.ifna(VLOOKUP(G106,Proyectos!$A$2:$T$674,20,0),"")</f>
        <v>#NAME?</v>
      </c>
      <c r="N106" s="32" t="e">
        <f ca="1">_xludf.ifna(VLOOKUP(G106,Proyectos!$A$2:$S$674,19,0))</f>
        <v>#NAME?</v>
      </c>
      <c r="O106" s="31"/>
      <c r="P106" s="31"/>
      <c r="Q106" s="33"/>
      <c r="R106" s="33"/>
      <c r="S106" s="33"/>
      <c r="T106" s="33"/>
      <c r="U106" s="33"/>
      <c r="V106" s="33"/>
      <c r="W106" s="33"/>
    </row>
    <row r="107" spans="1:23" ht="16.5" customHeight="1" x14ac:dyDescent="0.2">
      <c r="A107" s="26" t="s">
        <v>4654</v>
      </c>
      <c r="B107" s="26" t="s">
        <v>4655</v>
      </c>
      <c r="C107" s="26" t="s">
        <v>98</v>
      </c>
      <c r="D107" s="26" t="s">
        <v>105</v>
      </c>
      <c r="E107" s="26" t="s">
        <v>39</v>
      </c>
      <c r="F107" s="28" t="e">
        <f ca="1">_xludf.ifna(VLOOKUP(G107,Proyectos!$A$2:$F$674,6,0),"")</f>
        <v>#NAME?</v>
      </c>
      <c r="G107" s="26" t="s">
        <v>5145</v>
      </c>
      <c r="H107" s="32">
        <v>0.5</v>
      </c>
      <c r="I107" s="31" t="s">
        <v>32</v>
      </c>
      <c r="J107" s="31" t="s">
        <v>41</v>
      </c>
      <c r="K107" s="32"/>
      <c r="L107" s="32" t="e">
        <f ca="1">_xludf.ifna(VLOOKUP(E107,Parámetros!$D$2:$E$34,2,0),"")</f>
        <v>#NAME?</v>
      </c>
      <c r="M107" s="32" t="e">
        <f ca="1">_xludf.ifna(VLOOKUP(G107,Proyectos!$A$2:$T$674,20,0),"")</f>
        <v>#NAME?</v>
      </c>
      <c r="N107" s="32" t="e">
        <f ca="1">_xludf.ifna(VLOOKUP(G107,Proyectos!$A$2:$S$674,19,0))</f>
        <v>#NAME?</v>
      </c>
      <c r="O107" s="32"/>
      <c r="P107" s="31"/>
      <c r="Q107" s="33"/>
      <c r="R107" s="33"/>
      <c r="S107" s="33"/>
      <c r="T107" s="33"/>
      <c r="U107" s="33"/>
      <c r="V107" s="33"/>
      <c r="W107" s="33"/>
    </row>
    <row r="108" spans="1:23" ht="16.5" customHeight="1" x14ac:dyDescent="0.2">
      <c r="A108" s="26" t="s">
        <v>4654</v>
      </c>
      <c r="B108" s="26" t="s">
        <v>4655</v>
      </c>
      <c r="C108" s="26" t="s">
        <v>98</v>
      </c>
      <c r="D108" s="26" t="s">
        <v>105</v>
      </c>
      <c r="E108" s="26" t="s">
        <v>39</v>
      </c>
      <c r="F108" s="28" t="e">
        <f ca="1">_xludf.ifna(VLOOKUP(G108,Proyectos!$A$2:$F$674,6,0),"")</f>
        <v>#NAME?</v>
      </c>
      <c r="G108" s="26" t="s">
        <v>5146</v>
      </c>
      <c r="H108" s="32">
        <v>0.25</v>
      </c>
      <c r="I108" s="31" t="s">
        <v>32</v>
      </c>
      <c r="J108" s="31" t="s">
        <v>41</v>
      </c>
      <c r="K108" s="31"/>
      <c r="L108" s="32" t="e">
        <f ca="1">_xludf.ifna(VLOOKUP(E108,Parámetros!$D$2:$E$34,2,0),"")</f>
        <v>#NAME?</v>
      </c>
      <c r="M108" s="32" t="e">
        <f ca="1">_xludf.ifna(VLOOKUP(G108,Proyectos!$A$2:$T$674,20,0),"")</f>
        <v>#NAME?</v>
      </c>
      <c r="N108" s="32" t="e">
        <f ca="1">_xludf.ifna(VLOOKUP(G108,Proyectos!$A$2:$S$674,19,0))</f>
        <v>#NAME?</v>
      </c>
      <c r="O108" s="32"/>
      <c r="P108" s="31"/>
      <c r="Q108" s="33"/>
      <c r="R108" s="33"/>
      <c r="S108" s="33"/>
      <c r="T108" s="33"/>
      <c r="U108" s="33"/>
      <c r="V108" s="33"/>
      <c r="W108" s="33"/>
    </row>
    <row r="109" spans="1:23" ht="16.5" customHeight="1" x14ac:dyDescent="0.2">
      <c r="A109" s="26" t="s">
        <v>4654</v>
      </c>
      <c r="B109" s="26" t="s">
        <v>4655</v>
      </c>
      <c r="C109" s="26" t="s">
        <v>98</v>
      </c>
      <c r="D109" s="26" t="s">
        <v>105</v>
      </c>
      <c r="E109" s="26" t="s">
        <v>39</v>
      </c>
      <c r="F109" s="28" t="e">
        <f ca="1">_xludf.ifna(VLOOKUP(G109,Proyectos!$A$2:$F$674,6,0),"")</f>
        <v>#NAME?</v>
      </c>
      <c r="G109" s="26" t="s">
        <v>5116</v>
      </c>
      <c r="H109" s="32">
        <v>0.25</v>
      </c>
      <c r="I109" s="31" t="s">
        <v>32</v>
      </c>
      <c r="J109" s="31" t="s">
        <v>41</v>
      </c>
      <c r="K109" s="31"/>
      <c r="L109" s="32" t="e">
        <f ca="1">_xludf.ifna(VLOOKUP(E109,Parámetros!$D$2:$E$34,2,0),"")</f>
        <v>#NAME?</v>
      </c>
      <c r="M109" s="32" t="e">
        <f ca="1">_xludf.ifna(VLOOKUP(G109,Proyectos!$A$2:$T$674,20,0),"")</f>
        <v>#NAME?</v>
      </c>
      <c r="N109" s="32" t="e">
        <f ca="1">_xludf.ifna(VLOOKUP(G109,Proyectos!$A$2:$S$674,19,0))</f>
        <v>#NAME?</v>
      </c>
      <c r="O109" s="32"/>
      <c r="P109" s="31"/>
      <c r="Q109" s="33"/>
      <c r="R109" s="33"/>
      <c r="S109" s="33"/>
      <c r="T109" s="33"/>
      <c r="U109" s="33"/>
      <c r="V109" s="33"/>
      <c r="W109" s="33"/>
    </row>
    <row r="110" spans="1:23" ht="16.5" customHeight="1" x14ac:dyDescent="0.2">
      <c r="A110" s="26" t="s">
        <v>3753</v>
      </c>
      <c r="B110" s="26" t="s">
        <v>3754</v>
      </c>
      <c r="C110" s="26" t="s">
        <v>98</v>
      </c>
      <c r="D110" s="26" t="s">
        <v>105</v>
      </c>
      <c r="E110" s="26" t="s">
        <v>39</v>
      </c>
      <c r="F110" s="28" t="e">
        <f ca="1">_xludf.ifna(VLOOKUP(G110,Proyectos!$A$2:$F$674,6,0),"")</f>
        <v>#NAME?</v>
      </c>
      <c r="G110" s="26" t="s">
        <v>5147</v>
      </c>
      <c r="H110" s="32">
        <v>0.75</v>
      </c>
      <c r="I110" s="31" t="s">
        <v>18</v>
      </c>
      <c r="J110" s="31" t="s">
        <v>41</v>
      </c>
      <c r="K110" s="31"/>
      <c r="L110" s="32" t="e">
        <f ca="1">_xludf.ifna(VLOOKUP(E110,Parámetros!$D$2:$E$34,2,0),"")</f>
        <v>#NAME?</v>
      </c>
      <c r="M110" s="32" t="e">
        <f ca="1">_xludf.ifna(VLOOKUP(G110,Proyectos!$A$2:$T$674,20,0),"")</f>
        <v>#NAME?</v>
      </c>
      <c r="N110" s="32" t="e">
        <f ca="1">_xludf.ifna(VLOOKUP(G110,Proyectos!$A$2:$S$674,19,0))</f>
        <v>#NAME?</v>
      </c>
      <c r="O110" s="32"/>
      <c r="P110" s="31"/>
      <c r="Q110" s="33"/>
      <c r="R110" s="33"/>
      <c r="S110" s="33"/>
      <c r="T110" s="33"/>
      <c r="U110" s="33"/>
      <c r="V110" s="33"/>
      <c r="W110" s="33"/>
    </row>
    <row r="111" spans="1:23" ht="16.5" customHeight="1" x14ac:dyDescent="0.2">
      <c r="A111" s="26" t="s">
        <v>3753</v>
      </c>
      <c r="B111" s="26" t="s">
        <v>3754</v>
      </c>
      <c r="C111" s="26" t="s">
        <v>98</v>
      </c>
      <c r="D111" s="26" t="s">
        <v>105</v>
      </c>
      <c r="E111" s="26" t="s">
        <v>39</v>
      </c>
      <c r="F111" s="28" t="e">
        <f ca="1">_xludf.ifna(VLOOKUP(G111,Proyectos!$A$2:$F$674,6,0),"")</f>
        <v>#NAME?</v>
      </c>
      <c r="G111" s="26" t="s">
        <v>5116</v>
      </c>
      <c r="H111" s="32">
        <v>0.25</v>
      </c>
      <c r="I111" s="31" t="s">
        <v>18</v>
      </c>
      <c r="J111" s="31" t="s">
        <v>41</v>
      </c>
      <c r="K111" s="32"/>
      <c r="L111" s="32" t="e">
        <f ca="1">_xludf.ifna(VLOOKUP(E111,Parámetros!$D$2:$E$34,2,0),"")</f>
        <v>#NAME?</v>
      </c>
      <c r="M111" s="32" t="e">
        <f ca="1">_xludf.ifna(VLOOKUP(G111,Proyectos!$A$2:$T$674,20,0),"")</f>
        <v>#NAME?</v>
      </c>
      <c r="N111" s="32" t="e">
        <f ca="1">_xludf.ifna(VLOOKUP(G111,Proyectos!$A$2:$S$674,19,0))</f>
        <v>#NAME?</v>
      </c>
      <c r="O111" s="31"/>
      <c r="P111" s="31"/>
      <c r="Q111" s="33"/>
      <c r="R111" s="33"/>
      <c r="S111" s="33"/>
      <c r="T111" s="33"/>
      <c r="U111" s="33"/>
      <c r="V111" s="33"/>
      <c r="W111" s="33"/>
    </row>
    <row r="112" spans="1:23" ht="16.5" customHeight="1" x14ac:dyDescent="0.2">
      <c r="A112" s="26" t="s">
        <v>3582</v>
      </c>
      <c r="B112" s="26" t="s">
        <v>3583</v>
      </c>
      <c r="C112" s="26" t="s">
        <v>98</v>
      </c>
      <c r="D112" s="26" t="s">
        <v>105</v>
      </c>
      <c r="E112" s="26" t="s">
        <v>39</v>
      </c>
      <c r="F112" s="28" t="e">
        <f ca="1">_xludf.ifna(VLOOKUP(G112,Proyectos!$A$2:$F$674,6,0),"")</f>
        <v>#NAME?</v>
      </c>
      <c r="G112" s="26" t="s">
        <v>5145</v>
      </c>
      <c r="H112" s="32">
        <v>1</v>
      </c>
      <c r="I112" s="31" t="s">
        <v>18</v>
      </c>
      <c r="J112" s="31" t="s">
        <v>41</v>
      </c>
      <c r="K112" s="32"/>
      <c r="L112" s="32" t="e">
        <f ca="1">_xludf.ifna(VLOOKUP(E112,Parámetros!$D$2:$E$34,2,0),"")</f>
        <v>#NAME?</v>
      </c>
      <c r="M112" s="32" t="e">
        <f ca="1">_xludf.ifna(VLOOKUP(G112,Proyectos!$A$2:$T$674,20,0),"")</f>
        <v>#NAME?</v>
      </c>
      <c r="N112" s="32" t="e">
        <f ca="1">_xludf.ifna(VLOOKUP(G112,Proyectos!$A$2:$S$674,19,0))</f>
        <v>#NAME?</v>
      </c>
      <c r="O112" s="32"/>
      <c r="P112" s="31"/>
      <c r="Q112" s="33"/>
      <c r="R112" s="33"/>
      <c r="S112" s="33"/>
      <c r="T112" s="33"/>
      <c r="U112" s="33"/>
      <c r="V112" s="33"/>
      <c r="W112" s="33"/>
    </row>
    <row r="113" spans="1:23" ht="16.5" customHeight="1" x14ac:dyDescent="0.2">
      <c r="A113" s="26" t="s">
        <v>3512</v>
      </c>
      <c r="B113" s="26" t="s">
        <v>3513</v>
      </c>
      <c r="C113" s="26" t="s">
        <v>98</v>
      </c>
      <c r="D113" s="26" t="s">
        <v>105</v>
      </c>
      <c r="E113" s="26" t="s">
        <v>39</v>
      </c>
      <c r="F113" s="28" t="e">
        <f ca="1">_xludf.ifna(VLOOKUP(G113,Proyectos!$A$2:$F$674,6,0),"")</f>
        <v>#NAME?</v>
      </c>
      <c r="G113" s="26" t="s">
        <v>5148</v>
      </c>
      <c r="H113" s="32">
        <v>1</v>
      </c>
      <c r="I113" s="31" t="s">
        <v>18</v>
      </c>
      <c r="J113" s="31" t="s">
        <v>41</v>
      </c>
      <c r="K113" s="32"/>
      <c r="L113" s="32" t="e">
        <f ca="1">_xludf.ifna(VLOOKUP(E113,Parámetros!$D$2:$E$34,2,0),"")</f>
        <v>#NAME?</v>
      </c>
      <c r="M113" s="32" t="e">
        <f ca="1">_xludf.ifna(VLOOKUP(G113,Proyectos!$A$2:$T$674,20,0),"")</f>
        <v>#NAME?</v>
      </c>
      <c r="N113" s="32" t="e">
        <f ca="1">_xludf.ifna(VLOOKUP(G113,Proyectos!$A$2:$S$674,19,0))</f>
        <v>#NAME?</v>
      </c>
      <c r="O113" s="32"/>
      <c r="P113" s="31"/>
      <c r="Q113" s="33"/>
      <c r="R113" s="33"/>
      <c r="S113" s="33"/>
      <c r="T113" s="33"/>
      <c r="U113" s="33"/>
      <c r="V113" s="33"/>
      <c r="W113" s="33"/>
    </row>
    <row r="114" spans="1:23" ht="16.5" customHeight="1" x14ac:dyDescent="0.2">
      <c r="A114" s="26" t="s">
        <v>3441</v>
      </c>
      <c r="B114" s="26" t="s">
        <v>3442</v>
      </c>
      <c r="C114" s="26" t="s">
        <v>98</v>
      </c>
      <c r="D114" s="26" t="s">
        <v>105</v>
      </c>
      <c r="E114" s="26" t="s">
        <v>39</v>
      </c>
      <c r="F114" s="28" t="e">
        <f ca="1">_xludf.ifna(VLOOKUP(G114,Proyectos!$A$2:$F$674,6,0),"")</f>
        <v>#NAME?</v>
      </c>
      <c r="G114" s="26" t="s">
        <v>5148</v>
      </c>
      <c r="H114" s="32">
        <v>0.5</v>
      </c>
      <c r="I114" s="31" t="s">
        <v>18</v>
      </c>
      <c r="J114" s="31" t="s">
        <v>41</v>
      </c>
      <c r="K114" s="32"/>
      <c r="L114" s="32" t="e">
        <f ca="1">_xludf.ifna(VLOOKUP(E114,Parámetros!$D$2:$E$34,2,0),"")</f>
        <v>#NAME?</v>
      </c>
      <c r="M114" s="32" t="e">
        <f ca="1">_xludf.ifna(VLOOKUP(G114,Proyectos!$A$2:$T$674,20,0),"")</f>
        <v>#NAME?</v>
      </c>
      <c r="N114" s="32" t="e">
        <f ca="1">_xludf.ifna(VLOOKUP(G114,Proyectos!$A$2:$S$674,19,0))</f>
        <v>#NAME?</v>
      </c>
      <c r="O114" s="32"/>
      <c r="P114" s="31"/>
      <c r="Q114" s="33"/>
      <c r="R114" s="33"/>
      <c r="S114" s="33"/>
      <c r="T114" s="33"/>
      <c r="U114" s="33"/>
      <c r="V114" s="33"/>
      <c r="W114" s="33"/>
    </row>
    <row r="115" spans="1:23" ht="16.5" customHeight="1" x14ac:dyDescent="0.2">
      <c r="A115" s="26" t="s">
        <v>3441</v>
      </c>
      <c r="B115" s="26" t="s">
        <v>3442</v>
      </c>
      <c r="C115" s="26" t="s">
        <v>98</v>
      </c>
      <c r="D115" s="26" t="s">
        <v>105</v>
      </c>
      <c r="E115" s="26" t="s">
        <v>39</v>
      </c>
      <c r="F115" s="28" t="e">
        <f ca="1">_xludf.ifna(VLOOKUP(G115,Proyectos!$A$2:$F$674,6,0),"")</f>
        <v>#NAME?</v>
      </c>
      <c r="G115" s="26" t="s">
        <v>5146</v>
      </c>
      <c r="H115" s="32">
        <v>0.5</v>
      </c>
      <c r="I115" s="31" t="s">
        <v>18</v>
      </c>
      <c r="J115" s="31" t="s">
        <v>41</v>
      </c>
      <c r="K115" s="32"/>
      <c r="L115" s="32" t="e">
        <f ca="1">_xludf.ifna(VLOOKUP(E115,Parámetros!$D$2:$E$34,2,0),"")</f>
        <v>#NAME?</v>
      </c>
      <c r="M115" s="32" t="e">
        <f ca="1">_xludf.ifna(VLOOKUP(G115,Proyectos!$A$2:$T$674,20,0),"")</f>
        <v>#NAME?</v>
      </c>
      <c r="N115" s="32" t="e">
        <f ca="1">_xludf.ifna(VLOOKUP(G115,Proyectos!$A$2:$S$674,19,0))</f>
        <v>#NAME?</v>
      </c>
      <c r="O115" s="31"/>
      <c r="P115" s="31"/>
      <c r="Q115" s="33"/>
      <c r="R115" s="33"/>
      <c r="S115" s="33"/>
      <c r="T115" s="33"/>
      <c r="U115" s="33"/>
      <c r="V115" s="33"/>
      <c r="W115" s="33"/>
    </row>
    <row r="116" spans="1:23" ht="16.5" customHeight="1" x14ac:dyDescent="0.2">
      <c r="A116" s="26" t="s">
        <v>3584</v>
      </c>
      <c r="B116" s="26" t="s">
        <v>3585</v>
      </c>
      <c r="C116" s="26" t="s">
        <v>98</v>
      </c>
      <c r="D116" s="26" t="s">
        <v>105</v>
      </c>
      <c r="E116" s="26" t="s">
        <v>39</v>
      </c>
      <c r="F116" s="28" t="e">
        <f ca="1">_xludf.ifna(VLOOKUP(G116,Proyectos!$A$2:$F$674,6,0),"")</f>
        <v>#NAME?</v>
      </c>
      <c r="G116" s="26" t="s">
        <v>5147</v>
      </c>
      <c r="H116" s="32">
        <v>1</v>
      </c>
      <c r="I116" s="31" t="s">
        <v>18</v>
      </c>
      <c r="J116" s="31" t="s">
        <v>61</v>
      </c>
      <c r="K116" s="32"/>
      <c r="L116" s="32" t="e">
        <f ca="1">_xludf.ifna(VLOOKUP(E116,Parámetros!$D$2:$E$34,2,0),"")</f>
        <v>#NAME?</v>
      </c>
      <c r="M116" s="32" t="e">
        <f ca="1">_xludf.ifna(VLOOKUP(G116,Proyectos!$A$2:$T$674,20,0),"")</f>
        <v>#NAME?</v>
      </c>
      <c r="N116" s="32" t="e">
        <f ca="1">_xludf.ifna(VLOOKUP(G116,Proyectos!$A$2:$S$674,19,0))</f>
        <v>#NAME?</v>
      </c>
      <c r="O116" s="31"/>
      <c r="P116" s="31"/>
      <c r="Q116" s="33"/>
      <c r="R116" s="33"/>
      <c r="S116" s="33"/>
      <c r="T116" s="33"/>
      <c r="U116" s="33"/>
      <c r="V116" s="33"/>
      <c r="W116" s="33"/>
    </row>
    <row r="117" spans="1:23" ht="16.5" customHeight="1" x14ac:dyDescent="0.2">
      <c r="A117" s="26" t="s">
        <v>3560</v>
      </c>
      <c r="B117" s="26" t="s">
        <v>3561</v>
      </c>
      <c r="C117" s="26" t="s">
        <v>98</v>
      </c>
      <c r="D117" s="26" t="s">
        <v>105</v>
      </c>
      <c r="E117" s="26" t="s">
        <v>39</v>
      </c>
      <c r="F117" s="28" t="e">
        <f ca="1">_xludf.ifna(VLOOKUP(G117,Proyectos!$A$2:$F$674,6,0),"")</f>
        <v>#NAME?</v>
      </c>
      <c r="G117" s="26" t="s">
        <v>5145</v>
      </c>
      <c r="H117" s="44">
        <v>0.25</v>
      </c>
      <c r="I117" s="31" t="s">
        <v>18</v>
      </c>
      <c r="J117" s="31" t="s">
        <v>61</v>
      </c>
      <c r="K117" s="32"/>
      <c r="L117" s="32" t="e">
        <f ca="1">_xludf.ifna(VLOOKUP(E117,Parámetros!$D$2:$E$34,2,0),"")</f>
        <v>#NAME?</v>
      </c>
      <c r="M117" s="32" t="e">
        <f ca="1">_xludf.ifna(VLOOKUP(G117,Proyectos!$A$2:$T$674,20,0),"")</f>
        <v>#NAME?</v>
      </c>
      <c r="N117" s="32" t="e">
        <f ca="1">_xludf.ifna(VLOOKUP(G117,Proyectos!$A$2:$S$674,19,0))</f>
        <v>#NAME?</v>
      </c>
      <c r="O117" s="31"/>
      <c r="P117" s="31"/>
      <c r="Q117" s="33"/>
      <c r="R117" s="33"/>
      <c r="S117" s="33"/>
      <c r="T117" s="33"/>
      <c r="U117" s="33"/>
      <c r="V117" s="33"/>
      <c r="W117" s="33"/>
    </row>
    <row r="118" spans="1:23" ht="16.5" customHeight="1" x14ac:dyDescent="0.2">
      <c r="A118" s="26" t="s">
        <v>4800</v>
      </c>
      <c r="B118" s="26" t="s">
        <v>4801</v>
      </c>
      <c r="C118" s="26" t="s">
        <v>98</v>
      </c>
      <c r="D118" s="26" t="s">
        <v>105</v>
      </c>
      <c r="E118" s="26" t="s">
        <v>39</v>
      </c>
      <c r="F118" s="28" t="e">
        <f ca="1">_xludf.ifna(VLOOKUP(G118,Proyectos!$A$2:$F$674,6,0),"")</f>
        <v>#NAME?</v>
      </c>
      <c r="G118" s="29" t="s">
        <v>5114</v>
      </c>
      <c r="H118" s="44">
        <v>1</v>
      </c>
      <c r="I118" s="31" t="s">
        <v>18</v>
      </c>
      <c r="J118" s="31" t="s">
        <v>61</v>
      </c>
      <c r="K118" s="32"/>
      <c r="L118" s="32" t="e">
        <f ca="1">_xludf.ifna(VLOOKUP(E118,Parámetros!$D$2:$E$34,2,0),"")</f>
        <v>#NAME?</v>
      </c>
      <c r="M118" s="32" t="e">
        <f ca="1">_xludf.ifna(VLOOKUP(G118,Proyectos!$A$2:$T$674,20,0),"")</f>
        <v>#NAME?</v>
      </c>
      <c r="N118" s="32" t="e">
        <f ca="1">_xludf.ifna(VLOOKUP(G118,Proyectos!$A$2:$S$674,19,0))</f>
        <v>#NAME?</v>
      </c>
      <c r="O118" s="31"/>
      <c r="P118" s="31"/>
      <c r="Q118" s="33"/>
      <c r="R118" s="33"/>
      <c r="S118" s="33"/>
      <c r="T118" s="33"/>
      <c r="U118" s="33"/>
      <c r="V118" s="33"/>
      <c r="W118" s="33"/>
    </row>
    <row r="119" spans="1:23" ht="16.5" customHeight="1" x14ac:dyDescent="0.2">
      <c r="A119" s="26" t="s">
        <v>4613</v>
      </c>
      <c r="B119" s="26" t="s">
        <v>4614</v>
      </c>
      <c r="C119" s="26" t="s">
        <v>98</v>
      </c>
      <c r="D119" s="26" t="s">
        <v>105</v>
      </c>
      <c r="E119" s="26" t="s">
        <v>39</v>
      </c>
      <c r="F119" s="28" t="e">
        <f ca="1">_xludf.ifna(VLOOKUP(G119,Proyectos!$A$2:$F$674,6,0),"")</f>
        <v>#NAME?</v>
      </c>
      <c r="G119" s="26" t="s">
        <v>5145</v>
      </c>
      <c r="H119" s="32">
        <v>0.5</v>
      </c>
      <c r="I119" s="31" t="s">
        <v>11</v>
      </c>
      <c r="J119" s="31" t="s">
        <v>41</v>
      </c>
      <c r="K119" s="32"/>
      <c r="L119" s="32" t="e">
        <f ca="1">_xludf.ifna(VLOOKUP(E119,Parámetros!$D$2:$E$34,2,0),"")</f>
        <v>#NAME?</v>
      </c>
      <c r="M119" s="32" t="e">
        <f ca="1">_xludf.ifna(VLOOKUP(G119,Proyectos!$A$2:$T$674,20,0),"")</f>
        <v>#NAME?</v>
      </c>
      <c r="N119" s="32" t="e">
        <f ca="1">_xludf.ifna(VLOOKUP(G119,Proyectos!$A$2:$S$674,19,0))</f>
        <v>#NAME?</v>
      </c>
      <c r="O119" s="31"/>
      <c r="P119" s="31"/>
      <c r="Q119" s="33"/>
      <c r="R119" s="33"/>
      <c r="S119" s="33"/>
      <c r="T119" s="33"/>
      <c r="U119" s="33"/>
      <c r="V119" s="33"/>
      <c r="W119" s="33"/>
    </row>
    <row r="120" spans="1:23" ht="16.5" customHeight="1" x14ac:dyDescent="0.2">
      <c r="A120" s="26" t="s">
        <v>4613</v>
      </c>
      <c r="B120" s="26" t="s">
        <v>4614</v>
      </c>
      <c r="C120" s="26" t="s">
        <v>98</v>
      </c>
      <c r="D120" s="26" t="s">
        <v>105</v>
      </c>
      <c r="E120" s="26" t="s">
        <v>39</v>
      </c>
      <c r="F120" s="28" t="e">
        <f ca="1">_xludf.ifna(VLOOKUP(G120,Proyectos!$A$2:$F$674,6,0),"")</f>
        <v>#NAME?</v>
      </c>
      <c r="G120" s="26" t="s">
        <v>5148</v>
      </c>
      <c r="H120" s="32">
        <v>0.25</v>
      </c>
      <c r="I120" s="31" t="s">
        <v>11</v>
      </c>
      <c r="J120" s="31" t="s">
        <v>41</v>
      </c>
      <c r="K120" s="32"/>
      <c r="L120" s="32" t="e">
        <f ca="1">_xludf.ifna(VLOOKUP(E120,Parámetros!$D$2:$E$34,2,0),"")</f>
        <v>#NAME?</v>
      </c>
      <c r="M120" s="32" t="e">
        <f ca="1">_xludf.ifna(VLOOKUP(G120,Proyectos!$A$2:$T$674,20,0),"")</f>
        <v>#NAME?</v>
      </c>
      <c r="N120" s="32" t="e">
        <f ca="1">_xludf.ifna(VLOOKUP(G120,Proyectos!$A$2:$S$674,19,0))</f>
        <v>#NAME?</v>
      </c>
      <c r="O120" s="31"/>
      <c r="P120" s="31"/>
      <c r="Q120" s="33"/>
      <c r="R120" s="33"/>
      <c r="S120" s="33"/>
      <c r="T120" s="33"/>
      <c r="U120" s="33"/>
      <c r="V120" s="33"/>
      <c r="W120" s="33"/>
    </row>
    <row r="121" spans="1:23" ht="16.5" customHeight="1" x14ac:dyDescent="0.2">
      <c r="A121" s="26" t="s">
        <v>4613</v>
      </c>
      <c r="B121" s="26" t="s">
        <v>4614</v>
      </c>
      <c r="C121" s="26" t="s">
        <v>98</v>
      </c>
      <c r="D121" s="26" t="s">
        <v>105</v>
      </c>
      <c r="E121" s="26" t="s">
        <v>39</v>
      </c>
      <c r="F121" s="28" t="e">
        <f ca="1">_xludf.ifna(VLOOKUP(G121,Proyectos!$A$2:$F$674,6,0),"")</f>
        <v>#NAME?</v>
      </c>
      <c r="G121" s="26" t="s">
        <v>5146</v>
      </c>
      <c r="H121" s="32">
        <v>0.15</v>
      </c>
      <c r="I121" s="31" t="s">
        <v>11</v>
      </c>
      <c r="J121" s="31" t="s">
        <v>41</v>
      </c>
      <c r="K121" s="32"/>
      <c r="L121" s="32" t="e">
        <f ca="1">_xludf.ifna(VLOOKUP(E121,Parámetros!$D$2:$E$34,2,0),"")</f>
        <v>#NAME?</v>
      </c>
      <c r="M121" s="32" t="e">
        <f ca="1">_xludf.ifna(VLOOKUP(G121,Proyectos!$A$2:$T$674,20,0),"")</f>
        <v>#NAME?</v>
      </c>
      <c r="N121" s="32" t="e">
        <f ca="1">_xludf.ifna(VLOOKUP(G121,Proyectos!$A$2:$S$674,19,0))</f>
        <v>#NAME?</v>
      </c>
      <c r="O121" s="31"/>
      <c r="P121" s="31"/>
      <c r="Q121" s="33"/>
      <c r="R121" s="33"/>
      <c r="S121" s="33"/>
      <c r="T121" s="33"/>
      <c r="U121" s="33"/>
      <c r="V121" s="33"/>
      <c r="W121" s="33"/>
    </row>
    <row r="122" spans="1:23" ht="16.5" customHeight="1" x14ac:dyDescent="0.2">
      <c r="A122" s="26" t="s">
        <v>4613</v>
      </c>
      <c r="B122" s="26" t="s">
        <v>4614</v>
      </c>
      <c r="C122" s="26" t="s">
        <v>98</v>
      </c>
      <c r="D122" s="26" t="s">
        <v>105</v>
      </c>
      <c r="E122" s="26" t="s">
        <v>39</v>
      </c>
      <c r="F122" s="28" t="e">
        <f ca="1">_xludf.ifna(VLOOKUP(G122,Proyectos!$A$2:$F$674,6,0),"")</f>
        <v>#NAME?</v>
      </c>
      <c r="G122" s="26" t="s">
        <v>5116</v>
      </c>
      <c r="H122" s="32">
        <v>0.1</v>
      </c>
      <c r="I122" s="31" t="s">
        <v>11</v>
      </c>
      <c r="J122" s="31" t="s">
        <v>41</v>
      </c>
      <c r="K122" s="32"/>
      <c r="L122" s="32" t="e">
        <f ca="1">_xludf.ifna(VLOOKUP(E122,Parámetros!$D$2:$E$34,2,0),"")</f>
        <v>#NAME?</v>
      </c>
      <c r="M122" s="32" t="e">
        <f ca="1">_xludf.ifna(VLOOKUP(G122,Proyectos!$A$2:$T$674,20,0),"")</f>
        <v>#NAME?</v>
      </c>
      <c r="N122" s="32" t="e">
        <f ca="1">_xludf.ifna(VLOOKUP(G122,Proyectos!$A$2:$S$674,19,0))</f>
        <v>#NAME?</v>
      </c>
      <c r="O122" s="31"/>
      <c r="P122" s="31"/>
      <c r="Q122" s="33"/>
      <c r="R122" s="33"/>
      <c r="S122" s="33"/>
      <c r="T122" s="33"/>
      <c r="U122" s="33"/>
      <c r="V122" s="33"/>
      <c r="W122" s="33"/>
    </row>
    <row r="123" spans="1:23" ht="16.5" customHeight="1" x14ac:dyDescent="0.2">
      <c r="A123" s="26" t="s">
        <v>4956</v>
      </c>
      <c r="B123" s="26" t="s">
        <v>4957</v>
      </c>
      <c r="C123" s="26" t="s">
        <v>98</v>
      </c>
      <c r="D123" s="26" t="s">
        <v>105</v>
      </c>
      <c r="E123" s="26" t="s">
        <v>108</v>
      </c>
      <c r="F123" s="28" t="e">
        <f ca="1">_xludf.ifna(VLOOKUP(G123,Proyectos!$A$2:$F$674,6,0),"")</f>
        <v>#NAME?</v>
      </c>
      <c r="G123" s="26" t="s">
        <v>5145</v>
      </c>
      <c r="H123" s="32">
        <v>0.9</v>
      </c>
      <c r="I123" s="31" t="s">
        <v>25</v>
      </c>
      <c r="J123" s="31" t="s">
        <v>61</v>
      </c>
      <c r="K123" s="32"/>
      <c r="L123" s="32" t="e">
        <f ca="1">_xludf.ifna(VLOOKUP(E123,Parámetros!$D$2:$E$34,2,0),"")</f>
        <v>#NAME?</v>
      </c>
      <c r="M123" s="32" t="e">
        <f ca="1">_xludf.ifna(VLOOKUP(G123,Proyectos!$A$2:$T$674,20,0),"")</f>
        <v>#NAME?</v>
      </c>
      <c r="N123" s="32" t="e">
        <f ca="1">_xludf.ifna(VLOOKUP(G123,Proyectos!$A$2:$S$674,19,0))</f>
        <v>#NAME?</v>
      </c>
      <c r="O123" s="31"/>
      <c r="P123" s="31"/>
      <c r="Q123" s="33"/>
      <c r="R123" s="33"/>
      <c r="S123" s="33"/>
      <c r="T123" s="33"/>
      <c r="U123" s="33"/>
      <c r="V123" s="33"/>
      <c r="W123" s="33"/>
    </row>
    <row r="124" spans="1:23" ht="16.5" customHeight="1" x14ac:dyDescent="0.2">
      <c r="A124" s="26" t="s">
        <v>4956</v>
      </c>
      <c r="B124" s="26" t="s">
        <v>4957</v>
      </c>
      <c r="C124" s="26" t="s">
        <v>98</v>
      </c>
      <c r="D124" s="26" t="s">
        <v>105</v>
      </c>
      <c r="E124" s="26" t="s">
        <v>108</v>
      </c>
      <c r="F124" s="28" t="e">
        <f ca="1">_xludf.ifna(VLOOKUP(G124,Proyectos!$A$2:$F$674,6,0),"")</f>
        <v>#NAME?</v>
      </c>
      <c r="G124" s="26" t="s">
        <v>5146</v>
      </c>
      <c r="H124" s="32">
        <v>0.1</v>
      </c>
      <c r="I124" s="31" t="s">
        <v>25</v>
      </c>
      <c r="J124" s="31" t="s">
        <v>41</v>
      </c>
      <c r="K124" s="32"/>
      <c r="L124" s="32" t="e">
        <f ca="1">_xludf.ifna(VLOOKUP(E124,Parámetros!$D$2:$E$34,2,0),"")</f>
        <v>#NAME?</v>
      </c>
      <c r="M124" s="32" t="e">
        <f ca="1">_xludf.ifna(VLOOKUP(G124,Proyectos!$A$2:$T$674,20,0),"")</f>
        <v>#NAME?</v>
      </c>
      <c r="N124" s="32" t="e">
        <f ca="1">_xludf.ifna(VLOOKUP(G124,Proyectos!$A$2:$S$674,19,0))</f>
        <v>#NAME?</v>
      </c>
      <c r="O124" s="31"/>
      <c r="P124" s="31"/>
      <c r="Q124" s="33"/>
      <c r="R124" s="33"/>
      <c r="S124" s="33"/>
      <c r="T124" s="33"/>
      <c r="U124" s="33"/>
      <c r="V124" s="33"/>
      <c r="W124" s="33"/>
    </row>
    <row r="125" spans="1:23" ht="16.5" customHeight="1" x14ac:dyDescent="0.2">
      <c r="A125" s="26" t="s">
        <v>4352</v>
      </c>
      <c r="B125" s="26" t="s">
        <v>4353</v>
      </c>
      <c r="C125" s="26" t="s">
        <v>98</v>
      </c>
      <c r="D125" s="26" t="s">
        <v>105</v>
      </c>
      <c r="E125" s="26" t="s">
        <v>83</v>
      </c>
      <c r="F125" s="28" t="e">
        <f ca="1">_xludf.ifna(VLOOKUP(G125,Proyectos!$A$2:$F$674,6,0),"")</f>
        <v>#NAME?</v>
      </c>
      <c r="G125" s="26" t="s">
        <v>5148</v>
      </c>
      <c r="H125" s="32">
        <v>1</v>
      </c>
      <c r="I125" s="31" t="s">
        <v>25</v>
      </c>
      <c r="J125" s="31" t="s">
        <v>41</v>
      </c>
      <c r="K125" s="32"/>
      <c r="L125" s="32" t="e">
        <f ca="1">_xludf.ifna(VLOOKUP(E125,Parámetros!$D$2:$E$34,2,0),"")</f>
        <v>#NAME?</v>
      </c>
      <c r="M125" s="32" t="e">
        <f ca="1">_xludf.ifna(VLOOKUP(G125,Proyectos!$A$2:$T$674,20,0),"")</f>
        <v>#NAME?</v>
      </c>
      <c r="N125" s="32" t="e">
        <f ca="1">_xludf.ifna(VLOOKUP(G125,Proyectos!$A$2:$S$674,19,0))</f>
        <v>#NAME?</v>
      </c>
      <c r="O125" s="31"/>
      <c r="P125" s="31"/>
      <c r="Q125" s="33"/>
      <c r="R125" s="33"/>
      <c r="S125" s="33"/>
      <c r="T125" s="33"/>
      <c r="U125" s="33"/>
      <c r="V125" s="33"/>
      <c r="W125" s="33"/>
    </row>
    <row r="126" spans="1:23" ht="16.5" customHeight="1" x14ac:dyDescent="0.2">
      <c r="A126" s="26" t="s">
        <v>4140</v>
      </c>
      <c r="B126" s="26" t="s">
        <v>4141</v>
      </c>
      <c r="C126" s="26" t="s">
        <v>98</v>
      </c>
      <c r="D126" s="26" t="s">
        <v>105</v>
      </c>
      <c r="E126" s="26" t="s">
        <v>83</v>
      </c>
      <c r="F126" s="28" t="e">
        <f ca="1">_xludf.ifna(VLOOKUP(G126,Proyectos!$A$2:$F$674,6,0),"")</f>
        <v>#NAME?</v>
      </c>
      <c r="G126" s="26" t="s">
        <v>5148</v>
      </c>
      <c r="H126" s="32">
        <v>1</v>
      </c>
      <c r="I126" s="31" t="s">
        <v>25</v>
      </c>
      <c r="J126" s="31" t="s">
        <v>41</v>
      </c>
      <c r="K126" s="32"/>
      <c r="L126" s="32" t="e">
        <f ca="1">_xludf.ifna(VLOOKUP(E126,Parámetros!$D$2:$E$34,2,0),"")</f>
        <v>#NAME?</v>
      </c>
      <c r="M126" s="32" t="e">
        <f ca="1">_xludf.ifna(VLOOKUP(G126,Proyectos!$A$2:$T$674,20,0),"")</f>
        <v>#NAME?</v>
      </c>
      <c r="N126" s="32" t="e">
        <f ca="1">_xludf.ifna(VLOOKUP(G126,Proyectos!$A$2:$S$674,19,0))</f>
        <v>#NAME?</v>
      </c>
      <c r="O126" s="31"/>
      <c r="P126" s="31"/>
      <c r="Q126" s="33"/>
      <c r="R126" s="33"/>
      <c r="S126" s="33"/>
      <c r="T126" s="33"/>
      <c r="U126" s="33"/>
      <c r="V126" s="33"/>
      <c r="W126" s="33"/>
    </row>
    <row r="127" spans="1:23" ht="16.5" customHeight="1" x14ac:dyDescent="0.2">
      <c r="A127" s="26" t="s">
        <v>4869</v>
      </c>
      <c r="B127" s="26" t="s">
        <v>4870</v>
      </c>
      <c r="C127" s="26" t="s">
        <v>98</v>
      </c>
      <c r="D127" s="26" t="s">
        <v>105</v>
      </c>
      <c r="E127" s="26" t="s">
        <v>83</v>
      </c>
      <c r="F127" s="28" t="e">
        <f ca="1">_xludf.ifna(VLOOKUP(G127,Proyectos!$A$2:$F$674,6,0),"")</f>
        <v>#NAME?</v>
      </c>
      <c r="G127" s="26" t="s">
        <v>5148</v>
      </c>
      <c r="H127" s="32">
        <v>1</v>
      </c>
      <c r="I127" s="31" t="s">
        <v>25</v>
      </c>
      <c r="J127" s="31" t="s">
        <v>41</v>
      </c>
      <c r="K127" s="32"/>
      <c r="L127" s="32" t="e">
        <f ca="1">_xludf.ifna(VLOOKUP(E127,Parámetros!$D$2:$E$34,2,0),"")</f>
        <v>#NAME?</v>
      </c>
      <c r="M127" s="32" t="e">
        <f ca="1">_xludf.ifna(VLOOKUP(G127,Proyectos!$A$2:$T$674,20,0),"")</f>
        <v>#NAME?</v>
      </c>
      <c r="N127" s="32" t="e">
        <f ca="1">_xludf.ifna(VLOOKUP(G127,Proyectos!$A$2:$S$674,19,0))</f>
        <v>#NAME?</v>
      </c>
      <c r="O127" s="31"/>
      <c r="P127" s="31"/>
      <c r="Q127" s="33"/>
      <c r="R127" s="33"/>
      <c r="S127" s="33"/>
      <c r="T127" s="33"/>
      <c r="U127" s="33"/>
      <c r="V127" s="33"/>
      <c r="W127" s="33"/>
    </row>
    <row r="128" spans="1:23" ht="16.5" customHeight="1" x14ac:dyDescent="0.2">
      <c r="A128" s="26" t="s">
        <v>4223</v>
      </c>
      <c r="B128" s="26" t="s">
        <v>4224</v>
      </c>
      <c r="C128" s="26" t="s">
        <v>98</v>
      </c>
      <c r="D128" s="26" t="s">
        <v>105</v>
      </c>
      <c r="E128" s="26" t="s">
        <v>83</v>
      </c>
      <c r="F128" s="28" t="e">
        <f ca="1">_xludf.ifna(VLOOKUP(G128,Proyectos!$A$2:$F$674,6,0),"")</f>
        <v>#NAME?</v>
      </c>
      <c r="G128" s="26" t="s">
        <v>5148</v>
      </c>
      <c r="H128" s="32">
        <v>1</v>
      </c>
      <c r="I128" s="31" t="s">
        <v>25</v>
      </c>
      <c r="J128" s="31" t="s">
        <v>41</v>
      </c>
      <c r="K128" s="32"/>
      <c r="L128" s="32" t="e">
        <f ca="1">_xludf.ifna(VLOOKUP(E128,Parámetros!$D$2:$E$34,2,0),"")</f>
        <v>#NAME?</v>
      </c>
      <c r="M128" s="32" t="e">
        <f ca="1">_xludf.ifna(VLOOKUP(G128,Proyectos!$A$2:$T$674,20,0),"")</f>
        <v>#NAME?</v>
      </c>
      <c r="N128" s="32" t="e">
        <f ca="1">_xludf.ifna(VLOOKUP(G128,Proyectos!$A$2:$S$674,19,0))</f>
        <v>#NAME?</v>
      </c>
      <c r="O128" s="31"/>
      <c r="P128" s="31"/>
      <c r="Q128" s="33"/>
      <c r="R128" s="33"/>
      <c r="S128" s="33"/>
      <c r="T128" s="33"/>
      <c r="U128" s="33"/>
      <c r="V128" s="33"/>
      <c r="W128" s="33"/>
    </row>
    <row r="129" spans="1:23" ht="16.5" customHeight="1" x14ac:dyDescent="0.2">
      <c r="A129" s="26" t="s">
        <v>4006</v>
      </c>
      <c r="B129" s="26" t="s">
        <v>4007</v>
      </c>
      <c r="C129" s="26" t="s">
        <v>98</v>
      </c>
      <c r="D129" s="26" t="s">
        <v>105</v>
      </c>
      <c r="E129" s="26" t="s">
        <v>83</v>
      </c>
      <c r="F129" s="28" t="e">
        <f ca="1">_xludf.ifna(VLOOKUP(G129,Proyectos!$A$2:$F$674,6,0),"")</f>
        <v>#NAME?</v>
      </c>
      <c r="G129" s="26" t="s">
        <v>5145</v>
      </c>
      <c r="H129" s="32">
        <v>1</v>
      </c>
      <c r="I129" s="31" t="s">
        <v>25</v>
      </c>
      <c r="J129" s="31" t="s">
        <v>61</v>
      </c>
      <c r="K129" s="32"/>
      <c r="L129" s="32" t="e">
        <f ca="1">_xludf.ifna(VLOOKUP(E129,Parámetros!$D$2:$E$34,2,0),"")</f>
        <v>#NAME?</v>
      </c>
      <c r="M129" s="32" t="e">
        <f ca="1">_xludf.ifna(VLOOKUP(G129,Proyectos!$A$2:$T$674,20,0),"")</f>
        <v>#NAME?</v>
      </c>
      <c r="N129" s="32" t="e">
        <f ca="1">_xludf.ifna(VLOOKUP(G129,Proyectos!$A$2:$S$674,19,0))</f>
        <v>#NAME?</v>
      </c>
      <c r="O129" s="32"/>
      <c r="P129" s="31"/>
      <c r="Q129" s="33"/>
      <c r="R129" s="33"/>
      <c r="S129" s="33"/>
      <c r="T129" s="33"/>
      <c r="U129" s="33"/>
      <c r="V129" s="33"/>
      <c r="W129" s="33"/>
    </row>
    <row r="130" spans="1:23" ht="16.5" customHeight="1" x14ac:dyDescent="0.2">
      <c r="A130" s="26" t="s">
        <v>4364</v>
      </c>
      <c r="B130" s="26" t="s">
        <v>4365</v>
      </c>
      <c r="C130" s="26" t="s">
        <v>98</v>
      </c>
      <c r="D130" s="26" t="s">
        <v>105</v>
      </c>
      <c r="E130" s="26" t="s">
        <v>83</v>
      </c>
      <c r="F130" s="28" t="e">
        <f ca="1">_xludf.ifna(VLOOKUP(G130,Proyectos!$A$2:$F$674,6,0),"")</f>
        <v>#NAME?</v>
      </c>
      <c r="G130" s="26" t="s">
        <v>5145</v>
      </c>
      <c r="H130" s="32">
        <v>1</v>
      </c>
      <c r="I130" s="31" t="s">
        <v>25</v>
      </c>
      <c r="J130" s="31" t="s">
        <v>41</v>
      </c>
      <c r="K130" s="32"/>
      <c r="L130" s="32" t="e">
        <f ca="1">_xludf.ifna(VLOOKUP(E130,Parámetros!$D$2:$E$34,2,0),"")</f>
        <v>#NAME?</v>
      </c>
      <c r="M130" s="32" t="e">
        <f ca="1">_xludf.ifna(VLOOKUP(G130,Proyectos!$A$2:$T$674,20,0),"")</f>
        <v>#NAME?</v>
      </c>
      <c r="N130" s="32" t="e">
        <f ca="1">_xludf.ifna(VLOOKUP(G130,Proyectos!$A$2:$S$674,19,0))</f>
        <v>#NAME?</v>
      </c>
      <c r="O130" s="31"/>
      <c r="P130" s="31"/>
      <c r="Q130" s="33"/>
      <c r="R130" s="33"/>
      <c r="S130" s="33"/>
      <c r="T130" s="33"/>
      <c r="U130" s="33"/>
      <c r="V130" s="33"/>
      <c r="W130" s="33"/>
    </row>
    <row r="131" spans="1:23" ht="16.5" customHeight="1" x14ac:dyDescent="0.2">
      <c r="A131" s="26" t="s">
        <v>4253</v>
      </c>
      <c r="B131" s="26" t="s">
        <v>4254</v>
      </c>
      <c r="C131" s="26" t="s">
        <v>98</v>
      </c>
      <c r="D131" s="26" t="s">
        <v>105</v>
      </c>
      <c r="E131" s="26" t="s">
        <v>83</v>
      </c>
      <c r="F131" s="28" t="e">
        <f ca="1">_xludf.ifna(VLOOKUP(G131,Proyectos!$A$2:$F$674,6,0),"")</f>
        <v>#NAME?</v>
      </c>
      <c r="G131" s="26" t="s">
        <v>5145</v>
      </c>
      <c r="H131" s="32">
        <v>1</v>
      </c>
      <c r="I131" s="31" t="s">
        <v>25</v>
      </c>
      <c r="J131" s="31" t="s">
        <v>61</v>
      </c>
      <c r="K131" s="32"/>
      <c r="L131" s="32" t="e">
        <f ca="1">_xludf.ifna(VLOOKUP(E131,Parámetros!$D$2:$E$34,2,0),"")</f>
        <v>#NAME?</v>
      </c>
      <c r="M131" s="32" t="e">
        <f ca="1">_xludf.ifna(VLOOKUP(G131,Proyectos!$A$2:$T$674,20,0),"")</f>
        <v>#NAME?</v>
      </c>
      <c r="N131" s="32" t="e">
        <f ca="1">_xludf.ifna(VLOOKUP(G131,Proyectos!$A$2:$S$674,19,0))</f>
        <v>#NAME?</v>
      </c>
      <c r="O131" s="32"/>
      <c r="P131" s="31"/>
      <c r="Q131" s="33"/>
      <c r="R131" s="33"/>
      <c r="S131" s="33"/>
      <c r="T131" s="33"/>
      <c r="U131" s="33"/>
      <c r="V131" s="33"/>
      <c r="W131" s="33"/>
    </row>
    <row r="132" spans="1:23" ht="16.5" customHeight="1" x14ac:dyDescent="0.2">
      <c r="A132" s="26" t="s">
        <v>4336</v>
      </c>
      <c r="B132" s="26" t="s">
        <v>4337</v>
      </c>
      <c r="C132" s="26" t="s">
        <v>98</v>
      </c>
      <c r="D132" s="26" t="s">
        <v>105</v>
      </c>
      <c r="E132" s="26" t="s">
        <v>83</v>
      </c>
      <c r="F132" s="28" t="e">
        <f ca="1">_xludf.ifna(VLOOKUP(G132,Proyectos!$A$2:$F$674,6,0),"")</f>
        <v>#NAME?</v>
      </c>
      <c r="G132" s="26" t="s">
        <v>5145</v>
      </c>
      <c r="H132" s="32">
        <v>1</v>
      </c>
      <c r="I132" s="31" t="s">
        <v>25</v>
      </c>
      <c r="J132" s="31" t="s">
        <v>41</v>
      </c>
      <c r="K132" s="32"/>
      <c r="L132" s="32" t="e">
        <f ca="1">_xludf.ifna(VLOOKUP(E132,Parámetros!$D$2:$E$34,2,0),"")</f>
        <v>#NAME?</v>
      </c>
      <c r="M132" s="32" t="e">
        <f ca="1">_xludf.ifna(VLOOKUP(G132,Proyectos!$A$2:$T$674,20,0),"")</f>
        <v>#NAME?</v>
      </c>
      <c r="N132" s="32" t="e">
        <f ca="1">_xludf.ifna(VLOOKUP(G132,Proyectos!$A$2:$S$674,19,0))</f>
        <v>#NAME?</v>
      </c>
      <c r="O132" s="32"/>
      <c r="P132" s="31"/>
      <c r="Q132" s="33"/>
      <c r="R132" s="33"/>
      <c r="S132" s="33"/>
      <c r="T132" s="33"/>
      <c r="U132" s="33"/>
      <c r="V132" s="33"/>
      <c r="W132" s="33"/>
    </row>
    <row r="133" spans="1:23" ht="16.5" customHeight="1" x14ac:dyDescent="0.2">
      <c r="A133" s="26" t="s">
        <v>5078</v>
      </c>
      <c r="B133" s="26" t="s">
        <v>5079</v>
      </c>
      <c r="C133" s="26" t="s">
        <v>98</v>
      </c>
      <c r="D133" s="26" t="s">
        <v>105</v>
      </c>
      <c r="E133" s="26" t="s">
        <v>83</v>
      </c>
      <c r="F133" s="28" t="e">
        <f ca="1">_xludf.ifna(VLOOKUP(G133,Proyectos!$A$2:$F$674,6,0),"")</f>
        <v>#NAME?</v>
      </c>
      <c r="G133" s="26" t="s">
        <v>5145</v>
      </c>
      <c r="H133" s="32">
        <v>1</v>
      </c>
      <c r="I133" s="31" t="s">
        <v>25</v>
      </c>
      <c r="J133" s="31" t="s">
        <v>61</v>
      </c>
      <c r="K133" s="32"/>
      <c r="L133" s="32" t="e">
        <f ca="1">_xludf.ifna(VLOOKUP(E133,Parámetros!$D$2:$E$34,2,0),"")</f>
        <v>#NAME?</v>
      </c>
      <c r="M133" s="32" t="e">
        <f ca="1">_xludf.ifna(VLOOKUP(G133,Proyectos!$A$2:$T$674,20,0),"")</f>
        <v>#NAME?</v>
      </c>
      <c r="N133" s="32" t="e">
        <f ca="1">_xludf.ifna(VLOOKUP(G133,Proyectos!$A$2:$S$674,19,0))</f>
        <v>#NAME?</v>
      </c>
      <c r="O133" s="32"/>
      <c r="P133" s="31"/>
      <c r="Q133" s="33"/>
      <c r="R133" s="33"/>
      <c r="S133" s="33"/>
      <c r="T133" s="33"/>
      <c r="U133" s="33"/>
      <c r="V133" s="33"/>
      <c r="W133" s="33"/>
    </row>
    <row r="134" spans="1:23" ht="16.5" customHeight="1" x14ac:dyDescent="0.2">
      <c r="A134" s="26" t="s">
        <v>4004</v>
      </c>
      <c r="B134" s="26" t="s">
        <v>4005</v>
      </c>
      <c r="C134" s="26" t="s">
        <v>98</v>
      </c>
      <c r="D134" s="26" t="s">
        <v>105</v>
      </c>
      <c r="E134" s="26" t="s">
        <v>83</v>
      </c>
      <c r="F134" s="28" t="e">
        <f ca="1">_xludf.ifna(VLOOKUP(G134,Proyectos!$A$2:$F$674,6,0),"")</f>
        <v>#NAME?</v>
      </c>
      <c r="G134" s="26" t="s">
        <v>5145</v>
      </c>
      <c r="H134" s="32">
        <v>1</v>
      </c>
      <c r="I134" s="31" t="s">
        <v>25</v>
      </c>
      <c r="J134" s="31" t="s">
        <v>41</v>
      </c>
      <c r="K134" s="32"/>
      <c r="L134" s="32" t="e">
        <f ca="1">_xludf.ifna(VLOOKUP(E134,Parámetros!$D$2:$E$34,2,0),"")</f>
        <v>#NAME?</v>
      </c>
      <c r="M134" s="32" t="e">
        <f ca="1">_xludf.ifna(VLOOKUP(G134,Proyectos!$A$2:$T$674,20,0),"")</f>
        <v>#NAME?</v>
      </c>
      <c r="N134" s="32" t="e">
        <f ca="1">_xludf.ifna(VLOOKUP(G134,Proyectos!$A$2:$S$674,19,0))</f>
        <v>#NAME?</v>
      </c>
      <c r="O134" s="32"/>
      <c r="P134" s="31"/>
      <c r="Q134" s="33"/>
      <c r="R134" s="33"/>
      <c r="S134" s="33"/>
      <c r="T134" s="33"/>
      <c r="U134" s="33"/>
      <c r="V134" s="33"/>
      <c r="W134" s="33"/>
    </row>
    <row r="135" spans="1:23" ht="16.5" customHeight="1" x14ac:dyDescent="0.2">
      <c r="A135" s="26" t="s">
        <v>4352</v>
      </c>
      <c r="B135" s="26" t="s">
        <v>5149</v>
      </c>
      <c r="C135" s="26" t="s">
        <v>98</v>
      </c>
      <c r="D135" s="26" t="s">
        <v>105</v>
      </c>
      <c r="E135" s="26" t="s">
        <v>83</v>
      </c>
      <c r="F135" s="28" t="e">
        <f ca="1">_xludf.ifna(VLOOKUP(G135,Proyectos!$A$2:$F$674,6,0),"")</f>
        <v>#NAME?</v>
      </c>
      <c r="G135" s="26" t="s">
        <v>5145</v>
      </c>
      <c r="H135" s="32">
        <v>1</v>
      </c>
      <c r="I135" s="31" t="s">
        <v>25</v>
      </c>
      <c r="J135" s="31" t="s">
        <v>41</v>
      </c>
      <c r="K135" s="32"/>
      <c r="L135" s="32" t="e">
        <f ca="1">_xludf.ifna(VLOOKUP(E135,Parámetros!$D$2:$E$34,2,0),"")</f>
        <v>#NAME?</v>
      </c>
      <c r="M135" s="32" t="e">
        <f ca="1">_xludf.ifna(VLOOKUP(G135,Proyectos!$A$2:$T$674,20,0),"")</f>
        <v>#NAME?</v>
      </c>
      <c r="N135" s="32" t="e">
        <f ca="1">_xludf.ifna(VLOOKUP(G135,Proyectos!$A$2:$S$674,19,0))</f>
        <v>#NAME?</v>
      </c>
      <c r="O135" s="32"/>
      <c r="P135" s="31"/>
      <c r="Q135" s="33"/>
      <c r="R135" s="33"/>
      <c r="S135" s="33"/>
      <c r="T135" s="33"/>
      <c r="U135" s="33"/>
      <c r="V135" s="33"/>
      <c r="W135" s="33"/>
    </row>
    <row r="136" spans="1:23" ht="16.5" customHeight="1" x14ac:dyDescent="0.2">
      <c r="A136" s="26" t="s">
        <v>3291</v>
      </c>
      <c r="B136" s="26" t="s">
        <v>3292</v>
      </c>
      <c r="C136" s="26" t="s">
        <v>98</v>
      </c>
      <c r="D136" s="26" t="s">
        <v>105</v>
      </c>
      <c r="E136" s="26" t="s">
        <v>83</v>
      </c>
      <c r="F136" s="28" t="e">
        <f ca="1">_xludf.ifna(VLOOKUP(G136,Proyectos!$A$2:$F$674,6,0),"")</f>
        <v>#NAME?</v>
      </c>
      <c r="G136" s="26" t="s">
        <v>5145</v>
      </c>
      <c r="H136" s="32">
        <v>1</v>
      </c>
      <c r="I136" s="31" t="s">
        <v>25</v>
      </c>
      <c r="J136" s="31" t="s">
        <v>41</v>
      </c>
      <c r="K136" s="32"/>
      <c r="L136" s="32" t="e">
        <f ca="1">_xludf.ifna(VLOOKUP(E136,Parámetros!$D$2:$E$34,2,0),"")</f>
        <v>#NAME?</v>
      </c>
      <c r="M136" s="32" t="e">
        <f ca="1">_xludf.ifna(VLOOKUP(G136,Proyectos!$A$2:$T$674,20,0),"")</f>
        <v>#NAME?</v>
      </c>
      <c r="N136" s="32" t="e">
        <f ca="1">_xludf.ifna(VLOOKUP(G136,Proyectos!$A$2:$S$674,19,0))</f>
        <v>#NAME?</v>
      </c>
      <c r="O136" s="31"/>
      <c r="P136" s="31"/>
      <c r="Q136" s="33"/>
      <c r="R136" s="33"/>
      <c r="S136" s="33"/>
      <c r="T136" s="33"/>
      <c r="U136" s="33"/>
      <c r="V136" s="33"/>
      <c r="W136" s="33"/>
    </row>
    <row r="137" spans="1:23" ht="16.5" customHeight="1" x14ac:dyDescent="0.2">
      <c r="A137" s="26" t="s">
        <v>5094</v>
      </c>
      <c r="B137" s="26" t="s">
        <v>5095</v>
      </c>
      <c r="C137" s="26" t="s">
        <v>98</v>
      </c>
      <c r="D137" s="26" t="s">
        <v>105</v>
      </c>
      <c r="E137" s="26" t="s">
        <v>83</v>
      </c>
      <c r="F137" s="28" t="e">
        <f ca="1">_xludf.ifna(VLOOKUP(G137,Proyectos!$A$2:$F$674,6,0),"")</f>
        <v>#NAME?</v>
      </c>
      <c r="G137" s="26" t="s">
        <v>5145</v>
      </c>
      <c r="H137" s="32">
        <v>1</v>
      </c>
      <c r="I137" s="31" t="s">
        <v>25</v>
      </c>
      <c r="J137" s="31" t="s">
        <v>41</v>
      </c>
      <c r="K137" s="32"/>
      <c r="L137" s="32" t="e">
        <f ca="1">_xludf.ifna(VLOOKUP(E137,Parámetros!$D$2:$E$34,2,0),"")</f>
        <v>#NAME?</v>
      </c>
      <c r="M137" s="32" t="e">
        <f ca="1">_xludf.ifna(VLOOKUP(G137,Proyectos!$A$2:$T$674,20,0),"")</f>
        <v>#NAME?</v>
      </c>
      <c r="N137" s="32" t="e">
        <f ca="1">_xludf.ifna(VLOOKUP(G137,Proyectos!$A$2:$S$674,19,0))</f>
        <v>#NAME?</v>
      </c>
      <c r="O137" s="32"/>
      <c r="P137" s="31"/>
      <c r="Q137" s="33"/>
      <c r="R137" s="33"/>
      <c r="S137" s="33"/>
      <c r="T137" s="33"/>
      <c r="U137" s="33"/>
      <c r="V137" s="33"/>
      <c r="W137" s="33"/>
    </row>
    <row r="138" spans="1:23" ht="16.5" customHeight="1" x14ac:dyDescent="0.2">
      <c r="A138" s="26" t="s">
        <v>3918</v>
      </c>
      <c r="B138" s="26" t="s">
        <v>3919</v>
      </c>
      <c r="C138" s="26" t="s">
        <v>98</v>
      </c>
      <c r="D138" s="26" t="s">
        <v>105</v>
      </c>
      <c r="E138" s="26" t="s">
        <v>114</v>
      </c>
      <c r="F138" s="28" t="e">
        <f ca="1">_xludf.ifna(VLOOKUP(G138,Proyectos!$A$2:$F$674,6,0),"")</f>
        <v>#NAME?</v>
      </c>
      <c r="G138" s="26" t="s">
        <v>5145</v>
      </c>
      <c r="H138" s="32">
        <v>0.1</v>
      </c>
      <c r="I138" s="31" t="s">
        <v>25</v>
      </c>
      <c r="J138" s="31" t="s">
        <v>61</v>
      </c>
      <c r="K138" s="32"/>
      <c r="L138" s="32" t="e">
        <f ca="1">_xludf.ifna(VLOOKUP(E138,Parámetros!$D$2:$E$34,2,0),"")</f>
        <v>#NAME?</v>
      </c>
      <c r="M138" s="32" t="e">
        <f ca="1">_xludf.ifna(VLOOKUP(G138,Proyectos!$A$2:$T$674,20,0),"")</f>
        <v>#NAME?</v>
      </c>
      <c r="N138" s="32" t="e">
        <f ca="1">_xludf.ifna(VLOOKUP(G138,Proyectos!$A$2:$S$674,19,0))</f>
        <v>#NAME?</v>
      </c>
      <c r="O138" s="32"/>
      <c r="P138" s="31"/>
      <c r="Q138" s="33"/>
      <c r="R138" s="33"/>
      <c r="S138" s="33"/>
      <c r="T138" s="33"/>
      <c r="U138" s="33"/>
      <c r="V138" s="33"/>
      <c r="W138" s="33"/>
    </row>
    <row r="139" spans="1:23" ht="16.5" customHeight="1" x14ac:dyDescent="0.2">
      <c r="A139" s="26" t="s">
        <v>3918</v>
      </c>
      <c r="B139" s="26" t="s">
        <v>3919</v>
      </c>
      <c r="C139" s="26" t="s">
        <v>98</v>
      </c>
      <c r="D139" s="26" t="s">
        <v>105</v>
      </c>
      <c r="E139" s="26" t="s">
        <v>114</v>
      </c>
      <c r="F139" s="28" t="e">
        <f ca="1">_xludf.ifna(VLOOKUP(G139,Proyectos!$A$2:$F$674,6,0),"")</f>
        <v>#NAME?</v>
      </c>
      <c r="G139" s="26" t="s">
        <v>5148</v>
      </c>
      <c r="H139" s="32">
        <v>0.1</v>
      </c>
      <c r="I139" s="31" t="s">
        <v>25</v>
      </c>
      <c r="J139" s="31" t="s">
        <v>41</v>
      </c>
      <c r="K139" s="32"/>
      <c r="L139" s="32" t="e">
        <f ca="1">_xludf.ifna(VLOOKUP(E139,Parámetros!$D$2:$E$34,2,0),"")</f>
        <v>#NAME?</v>
      </c>
      <c r="M139" s="32" t="e">
        <f ca="1">_xludf.ifna(VLOOKUP(G139,Proyectos!$A$2:$T$674,20,0),"")</f>
        <v>#NAME?</v>
      </c>
      <c r="N139" s="32" t="e">
        <f ca="1">_xludf.ifna(VLOOKUP(G139,Proyectos!$A$2:$S$674,19,0))</f>
        <v>#NAME?</v>
      </c>
      <c r="O139" s="32"/>
      <c r="P139" s="31"/>
      <c r="Q139" s="33"/>
      <c r="R139" s="33"/>
      <c r="S139" s="33"/>
      <c r="T139" s="33"/>
      <c r="U139" s="33"/>
      <c r="V139" s="33"/>
      <c r="W139" s="33"/>
    </row>
    <row r="140" spans="1:23" ht="16.5" customHeight="1" x14ac:dyDescent="0.2">
      <c r="A140" s="26" t="s">
        <v>3918</v>
      </c>
      <c r="B140" s="26" t="s">
        <v>3919</v>
      </c>
      <c r="C140" s="26" t="s">
        <v>98</v>
      </c>
      <c r="D140" s="26" t="s">
        <v>105</v>
      </c>
      <c r="E140" s="26" t="s">
        <v>114</v>
      </c>
      <c r="F140" s="28" t="e">
        <f ca="1">_xludf.ifna(VLOOKUP(G140,Proyectos!$A$2:$F$674,6,0),"")</f>
        <v>#NAME?</v>
      </c>
      <c r="G140" s="26" t="s">
        <v>5146</v>
      </c>
      <c r="H140" s="32">
        <v>0.05</v>
      </c>
      <c r="I140" s="31" t="s">
        <v>25</v>
      </c>
      <c r="J140" s="31" t="s">
        <v>41</v>
      </c>
      <c r="K140" s="32"/>
      <c r="L140" s="32" t="e">
        <f ca="1">_xludf.ifna(VLOOKUP(E140,Parámetros!$D$2:$E$34,2,0),"")</f>
        <v>#NAME?</v>
      </c>
      <c r="M140" s="32" t="e">
        <f ca="1">_xludf.ifna(VLOOKUP(G140,Proyectos!$A$2:$T$674,20,0),"")</f>
        <v>#NAME?</v>
      </c>
      <c r="N140" s="32" t="e">
        <f ca="1">_xludf.ifna(VLOOKUP(G140,Proyectos!$A$2:$S$674,19,0))</f>
        <v>#NAME?</v>
      </c>
      <c r="O140" s="32"/>
      <c r="P140" s="31"/>
      <c r="Q140" s="33"/>
      <c r="R140" s="33"/>
      <c r="S140" s="33"/>
      <c r="T140" s="33"/>
      <c r="U140" s="33"/>
      <c r="V140" s="33"/>
      <c r="W140" s="33"/>
    </row>
    <row r="141" spans="1:23" ht="16.5" customHeight="1" x14ac:dyDescent="0.2">
      <c r="A141" s="26" t="s">
        <v>3939</v>
      </c>
      <c r="B141" s="26" t="s">
        <v>3940</v>
      </c>
      <c r="C141" s="26" t="s">
        <v>98</v>
      </c>
      <c r="D141" s="26" t="s">
        <v>102</v>
      </c>
      <c r="E141" s="26" t="s">
        <v>108</v>
      </c>
      <c r="F141" s="28" t="e">
        <f ca="1">_xludf.ifna(VLOOKUP(G141,Proyectos!$A$2:$F$674,6,0),"")</f>
        <v>#NAME?</v>
      </c>
      <c r="G141" s="42" t="s">
        <v>5116</v>
      </c>
      <c r="H141" s="32">
        <v>7.0000000000000007E-2</v>
      </c>
      <c r="I141" s="31" t="s">
        <v>25</v>
      </c>
      <c r="J141" s="31" t="s">
        <v>41</v>
      </c>
      <c r="K141" s="43"/>
      <c r="L141" s="32" t="e">
        <f ca="1">_xludf.ifna(VLOOKUP(E141,Parámetros!$D$2:$E$34,2,0),"")</f>
        <v>#NAME?</v>
      </c>
      <c r="M141" s="32" t="e">
        <f ca="1">_xludf.ifna(VLOOKUP(G141,Proyectos!$A$2:$T$674,20,0),"")</f>
        <v>#NAME?</v>
      </c>
      <c r="N141" s="32" t="e">
        <f ca="1">_xludf.ifna(VLOOKUP(G141,Proyectos!$A$2:$S$674,19,0))</f>
        <v>#NAME?</v>
      </c>
      <c r="O141" s="32"/>
      <c r="P141" s="31"/>
      <c r="Q141" s="33"/>
      <c r="R141" s="33"/>
      <c r="S141" s="33"/>
      <c r="T141" s="33"/>
      <c r="U141" s="33"/>
      <c r="V141" s="33"/>
      <c r="W141" s="33"/>
    </row>
    <row r="142" spans="1:23" ht="16.5" customHeight="1" x14ac:dyDescent="0.2">
      <c r="A142" s="26" t="s">
        <v>3939</v>
      </c>
      <c r="B142" s="26" t="s">
        <v>3940</v>
      </c>
      <c r="C142" s="26" t="s">
        <v>98</v>
      </c>
      <c r="D142" s="26" t="s">
        <v>102</v>
      </c>
      <c r="E142" s="26" t="s">
        <v>108</v>
      </c>
      <c r="F142" s="28" t="e">
        <f ca="1">_xludf.ifna(VLOOKUP(G142,Proyectos!$A$2:$F$674,6,0),"")</f>
        <v>#NAME?</v>
      </c>
      <c r="G142" s="29" t="s">
        <v>5114</v>
      </c>
      <c r="H142" s="32">
        <v>0.1</v>
      </c>
      <c r="I142" s="31" t="s">
        <v>25</v>
      </c>
      <c r="J142" s="31" t="s">
        <v>41</v>
      </c>
      <c r="K142" s="43"/>
      <c r="L142" s="32" t="e">
        <f ca="1">_xludf.ifna(VLOOKUP(E142,Parámetros!$D$2:$E$34,2,0),"")</f>
        <v>#NAME?</v>
      </c>
      <c r="M142" s="32" t="e">
        <f ca="1">_xludf.ifna(VLOOKUP(G142,Proyectos!$A$2:$T$674,20,0),"")</f>
        <v>#NAME?</v>
      </c>
      <c r="N142" s="32" t="e">
        <f ca="1">_xludf.ifna(VLOOKUP(G142,Proyectos!$A$2:$S$674,19,0))</f>
        <v>#NAME?</v>
      </c>
      <c r="O142" s="31"/>
      <c r="P142" s="31"/>
      <c r="Q142" s="33"/>
      <c r="R142" s="33"/>
      <c r="S142" s="33"/>
      <c r="T142" s="33"/>
      <c r="U142" s="33"/>
      <c r="V142" s="33"/>
      <c r="W142" s="33"/>
    </row>
    <row r="143" spans="1:23" ht="16.5" customHeight="1" x14ac:dyDescent="0.2">
      <c r="A143" s="26" t="s">
        <v>3939</v>
      </c>
      <c r="B143" s="26" t="s">
        <v>3940</v>
      </c>
      <c r="C143" s="26" t="s">
        <v>98</v>
      </c>
      <c r="D143" s="26" t="s">
        <v>102</v>
      </c>
      <c r="E143" s="26" t="s">
        <v>108</v>
      </c>
      <c r="F143" s="28" t="e">
        <f ca="1">_xludf.ifna(VLOOKUP(G143,Proyectos!$A$2:$F$674,6,0),"")</f>
        <v>#NAME?</v>
      </c>
      <c r="G143" s="29" t="s">
        <v>5115</v>
      </c>
      <c r="H143" s="32">
        <v>0.08</v>
      </c>
      <c r="I143" s="31" t="s">
        <v>25</v>
      </c>
      <c r="J143" s="31" t="s">
        <v>41</v>
      </c>
      <c r="K143" s="43"/>
      <c r="L143" s="32" t="e">
        <f ca="1">_xludf.ifna(VLOOKUP(E143,Parámetros!$D$2:$E$34,2,0),"")</f>
        <v>#NAME?</v>
      </c>
      <c r="M143" s="32" t="e">
        <f ca="1">_xludf.ifna(VLOOKUP(G143,Proyectos!$A$2:$T$674,20,0),"")</f>
        <v>#NAME?</v>
      </c>
      <c r="N143" s="32" t="e">
        <f ca="1">_xludf.ifna(VLOOKUP(G143,Proyectos!$A$2:$S$674,19,0))</f>
        <v>#NAME?</v>
      </c>
      <c r="O143" s="31"/>
      <c r="P143" s="31"/>
      <c r="Q143" s="33"/>
      <c r="R143" s="33"/>
      <c r="S143" s="33"/>
      <c r="T143" s="33"/>
      <c r="U143" s="33"/>
      <c r="V143" s="33"/>
      <c r="W143" s="33"/>
    </row>
    <row r="144" spans="1:23" ht="16.5" customHeight="1" x14ac:dyDescent="0.2">
      <c r="A144" s="26" t="s">
        <v>3918</v>
      </c>
      <c r="B144" s="26" t="s">
        <v>3919</v>
      </c>
      <c r="C144" s="26" t="s">
        <v>98</v>
      </c>
      <c r="D144" s="26" t="s">
        <v>105</v>
      </c>
      <c r="E144" s="26" t="s">
        <v>114</v>
      </c>
      <c r="F144" s="28" t="e">
        <f ca="1">_xludf.ifna(VLOOKUP(G144,Proyectos!$A$2:$F$674,6,0),"")</f>
        <v>#NAME?</v>
      </c>
      <c r="G144" s="29" t="s">
        <v>5114</v>
      </c>
      <c r="H144" s="32">
        <v>0.25</v>
      </c>
      <c r="I144" s="31" t="s">
        <v>25</v>
      </c>
      <c r="J144" s="31" t="s">
        <v>41</v>
      </c>
      <c r="K144" s="32"/>
      <c r="L144" s="32" t="e">
        <f ca="1">_xludf.ifna(VLOOKUP(E144,Parámetros!$D$2:$E$34,2,0),"")</f>
        <v>#NAME?</v>
      </c>
      <c r="M144" s="32" t="e">
        <f ca="1">_xludf.ifna(VLOOKUP(G144,Proyectos!$A$2:$T$674,20,0),"")</f>
        <v>#NAME?</v>
      </c>
      <c r="N144" s="32" t="e">
        <f ca="1">_xludf.ifna(VLOOKUP(G144,Proyectos!$A$2:$S$674,19,0))</f>
        <v>#NAME?</v>
      </c>
      <c r="O144" s="32"/>
      <c r="P144" s="31"/>
      <c r="Q144" s="33"/>
      <c r="R144" s="33"/>
      <c r="S144" s="33"/>
      <c r="T144" s="33"/>
      <c r="U144" s="33"/>
      <c r="V144" s="33"/>
      <c r="W144" s="33"/>
    </row>
    <row r="145" spans="1:23" ht="16.5" customHeight="1" x14ac:dyDescent="0.2">
      <c r="A145" s="26" t="s">
        <v>3939</v>
      </c>
      <c r="B145" s="26" t="s">
        <v>3940</v>
      </c>
      <c r="C145" s="26" t="s">
        <v>98</v>
      </c>
      <c r="D145" s="26" t="s">
        <v>102</v>
      </c>
      <c r="E145" s="26" t="s">
        <v>108</v>
      </c>
      <c r="F145" s="28" t="e">
        <f ca="1">_xludf.ifna(VLOOKUP(G145,Proyectos!$A$2:$F$674,6,0),"")</f>
        <v>#NAME?</v>
      </c>
      <c r="G145" s="29" t="s">
        <v>5114</v>
      </c>
      <c r="H145" s="32">
        <v>0.25</v>
      </c>
      <c r="I145" s="31" t="s">
        <v>25</v>
      </c>
      <c r="J145" s="31" t="s">
        <v>41</v>
      </c>
      <c r="K145" s="32"/>
      <c r="L145" s="32" t="e">
        <f ca="1">_xludf.ifna(VLOOKUP(E145,Parámetros!$D$2:$E$34,2,0),"")</f>
        <v>#NAME?</v>
      </c>
      <c r="M145" s="32" t="e">
        <f ca="1">_xludf.ifna(VLOOKUP(G145,Proyectos!$A$2:$T$674,20,0),"")</f>
        <v>#NAME?</v>
      </c>
      <c r="N145" s="32" t="e">
        <f ca="1">_xludf.ifna(VLOOKUP(G145,Proyectos!$A$2:$S$674,19,0))</f>
        <v>#NAME?</v>
      </c>
      <c r="O145" s="32"/>
      <c r="P145" s="31"/>
      <c r="Q145" s="33"/>
      <c r="R145" s="33"/>
      <c r="S145" s="33"/>
      <c r="T145" s="33"/>
      <c r="U145" s="33"/>
      <c r="V145" s="33"/>
      <c r="W145" s="33"/>
    </row>
    <row r="146" spans="1:23" ht="16.5" customHeight="1" x14ac:dyDescent="0.2">
      <c r="A146" s="26" t="s">
        <v>4378</v>
      </c>
      <c r="B146" s="26" t="s">
        <v>4379</v>
      </c>
      <c r="C146" s="26" t="s">
        <v>98</v>
      </c>
      <c r="D146" s="26" t="s">
        <v>102</v>
      </c>
      <c r="E146" s="26" t="s">
        <v>114</v>
      </c>
      <c r="F146" s="28" t="e">
        <f ca="1">_xludf.ifna(VLOOKUP(G146,Proyectos!$A$2:$F$674,6,0),"")</f>
        <v>#NAME?</v>
      </c>
      <c r="G146" s="29" t="s">
        <v>5114</v>
      </c>
      <c r="H146" s="32">
        <v>0.25</v>
      </c>
      <c r="I146" s="31" t="s">
        <v>32</v>
      </c>
      <c r="J146" s="31" t="s">
        <v>41</v>
      </c>
      <c r="K146" s="32"/>
      <c r="L146" s="32" t="e">
        <f ca="1">_xludf.ifna(VLOOKUP(E146,Parámetros!$D$2:$E$34,2,0),"")</f>
        <v>#NAME?</v>
      </c>
      <c r="M146" s="32" t="e">
        <f ca="1">_xludf.ifna(VLOOKUP(G146,Proyectos!$A$2:$T$674,20,0),"")</f>
        <v>#NAME?</v>
      </c>
      <c r="N146" s="32" t="e">
        <f ca="1">_xludf.ifna(VLOOKUP(G146,Proyectos!$A$2:$S$674,19,0))</f>
        <v>#NAME?</v>
      </c>
      <c r="O146" s="32"/>
      <c r="P146" s="31"/>
      <c r="Q146" s="33"/>
      <c r="R146" s="33"/>
      <c r="S146" s="33"/>
      <c r="T146" s="33"/>
      <c r="U146" s="33"/>
      <c r="V146" s="33"/>
      <c r="W146" s="33"/>
    </row>
    <row r="147" spans="1:23" ht="16.5" customHeight="1" x14ac:dyDescent="0.2">
      <c r="A147" s="26" t="s">
        <v>3918</v>
      </c>
      <c r="B147" s="26" t="s">
        <v>3919</v>
      </c>
      <c r="C147" s="26" t="s">
        <v>98</v>
      </c>
      <c r="D147" s="26" t="s">
        <v>102</v>
      </c>
      <c r="E147" s="26" t="s">
        <v>114</v>
      </c>
      <c r="F147" s="28" t="e">
        <f ca="1">_xludf.ifna(VLOOKUP(G147,Proyectos!$A$2:$F$674,6,0),"")</f>
        <v>#NAME?</v>
      </c>
      <c r="G147" s="29" t="s">
        <v>5114</v>
      </c>
      <c r="H147" s="32">
        <v>7.0000000000000007E-2</v>
      </c>
      <c r="I147" s="31" t="s">
        <v>25</v>
      </c>
      <c r="J147" s="31" t="s">
        <v>41</v>
      </c>
      <c r="K147" s="32"/>
      <c r="L147" s="32" t="e">
        <f ca="1">_xludf.ifna(VLOOKUP(E147,Parámetros!$D$2:$E$34,2,0),"")</f>
        <v>#NAME?</v>
      </c>
      <c r="M147" s="32" t="e">
        <f ca="1">_xludf.ifna(VLOOKUP(G147,Proyectos!$A$2:$T$674,20,0),"")</f>
        <v>#NAME?</v>
      </c>
      <c r="N147" s="32" t="e">
        <f ca="1">_xludf.ifna(VLOOKUP(G147,Proyectos!$A$2:$S$674,19,0))</f>
        <v>#NAME?</v>
      </c>
      <c r="O147" s="32"/>
      <c r="P147" s="31"/>
      <c r="Q147" s="33"/>
      <c r="R147" s="33"/>
      <c r="S147" s="33"/>
      <c r="T147" s="33"/>
      <c r="U147" s="33"/>
      <c r="V147" s="33"/>
      <c r="W147" s="33"/>
    </row>
    <row r="148" spans="1:23" ht="16.5" customHeight="1" x14ac:dyDescent="0.2">
      <c r="A148" s="26" t="s">
        <v>3939</v>
      </c>
      <c r="B148" s="26" t="s">
        <v>3940</v>
      </c>
      <c r="C148" s="26" t="s">
        <v>98</v>
      </c>
      <c r="D148" s="26" t="s">
        <v>105</v>
      </c>
      <c r="E148" s="26" t="s">
        <v>108</v>
      </c>
      <c r="F148" s="28" t="e">
        <f ca="1">_xludf.ifna(VLOOKUP(G148,Proyectos!$A$2:$F$674,6,0),"")</f>
        <v>#NAME?</v>
      </c>
      <c r="G148" s="26" t="s">
        <v>5145</v>
      </c>
      <c r="H148" s="32">
        <v>0.1</v>
      </c>
      <c r="I148" s="31" t="s">
        <v>25</v>
      </c>
      <c r="J148" s="31" t="s">
        <v>41</v>
      </c>
      <c r="K148" s="32"/>
      <c r="L148" s="32" t="e">
        <f ca="1">_xludf.ifna(VLOOKUP(E148,Parámetros!$D$2:$E$34,2,0),"")</f>
        <v>#NAME?</v>
      </c>
      <c r="M148" s="32" t="e">
        <f ca="1">_xludf.ifna(VLOOKUP(G148,Proyectos!$A$2:$T$674,20,0),"")</f>
        <v>#NAME?</v>
      </c>
      <c r="N148" s="32" t="e">
        <f ca="1">_xludf.ifna(VLOOKUP(G148,Proyectos!$A$2:$S$674,19,0))</f>
        <v>#NAME?</v>
      </c>
      <c r="O148" s="32"/>
      <c r="P148" s="31"/>
      <c r="Q148" s="33"/>
      <c r="R148" s="33"/>
      <c r="S148" s="33"/>
      <c r="T148" s="33"/>
      <c r="U148" s="33"/>
      <c r="V148" s="33"/>
      <c r="W148" s="33"/>
    </row>
    <row r="149" spans="1:23" ht="16.5" customHeight="1" x14ac:dyDescent="0.2">
      <c r="A149" s="26" t="s">
        <v>3939</v>
      </c>
      <c r="B149" s="26" t="s">
        <v>3940</v>
      </c>
      <c r="C149" s="26" t="s">
        <v>98</v>
      </c>
      <c r="D149" s="26" t="s">
        <v>105</v>
      </c>
      <c r="E149" s="26" t="s">
        <v>108</v>
      </c>
      <c r="F149" s="28" t="e">
        <f ca="1">_xludf.ifna(VLOOKUP(G149,Proyectos!$A$2:$F$674,6,0),"")</f>
        <v>#NAME?</v>
      </c>
      <c r="G149" s="26" t="s">
        <v>5148</v>
      </c>
      <c r="H149" s="32">
        <v>0.1</v>
      </c>
      <c r="I149" s="31" t="s">
        <v>25</v>
      </c>
      <c r="J149" s="31" t="s">
        <v>41</v>
      </c>
      <c r="K149" s="32"/>
      <c r="L149" s="32" t="e">
        <f ca="1">_xludf.ifna(VLOOKUP(E149,Parámetros!$D$2:$E$34,2,0),"")</f>
        <v>#NAME?</v>
      </c>
      <c r="M149" s="32" t="e">
        <f ca="1">_xludf.ifna(VLOOKUP(G149,Proyectos!$A$2:$T$674,20,0),"")</f>
        <v>#NAME?</v>
      </c>
      <c r="N149" s="32" t="e">
        <f ca="1">_xludf.ifna(VLOOKUP(G149,Proyectos!$A$2:$S$674,19,0))</f>
        <v>#NAME?</v>
      </c>
      <c r="O149" s="32"/>
      <c r="P149" s="31"/>
      <c r="Q149" s="33"/>
      <c r="R149" s="33"/>
      <c r="S149" s="33"/>
      <c r="T149" s="33"/>
      <c r="U149" s="33"/>
      <c r="V149" s="33"/>
      <c r="W149" s="33"/>
    </row>
    <row r="150" spans="1:23" ht="16.5" customHeight="1" x14ac:dyDescent="0.2">
      <c r="A150" s="26" t="s">
        <v>3939</v>
      </c>
      <c r="B150" s="26" t="s">
        <v>3940</v>
      </c>
      <c r="C150" s="26" t="s">
        <v>98</v>
      </c>
      <c r="D150" s="26" t="s">
        <v>105</v>
      </c>
      <c r="E150" s="26" t="s">
        <v>108</v>
      </c>
      <c r="F150" s="28" t="e">
        <f ca="1">_xludf.ifna(VLOOKUP(G150,Proyectos!$A$2:$F$674,6,0),"")</f>
        <v>#NAME?</v>
      </c>
      <c r="G150" s="26" t="s">
        <v>5146</v>
      </c>
      <c r="H150" s="32">
        <v>0.05</v>
      </c>
      <c r="I150" s="31" t="s">
        <v>25</v>
      </c>
      <c r="J150" s="31" t="s">
        <v>41</v>
      </c>
      <c r="K150" s="32"/>
      <c r="L150" s="32" t="e">
        <f ca="1">_xludf.ifna(VLOOKUP(E150,Parámetros!$D$2:$E$34,2,0),"")</f>
        <v>#NAME?</v>
      </c>
      <c r="M150" s="32" t="e">
        <f ca="1">_xludf.ifna(VLOOKUP(G150,Proyectos!$A$2:$T$674,20,0),"")</f>
        <v>#NAME?</v>
      </c>
      <c r="N150" s="32" t="e">
        <f ca="1">_xludf.ifna(VLOOKUP(G150,Proyectos!$A$2:$S$674,19,0))</f>
        <v>#NAME?</v>
      </c>
      <c r="O150" s="32"/>
      <c r="P150" s="31"/>
      <c r="Q150" s="33"/>
      <c r="R150" s="33"/>
      <c r="S150" s="33"/>
      <c r="T150" s="33"/>
      <c r="U150" s="33"/>
      <c r="V150" s="33"/>
      <c r="W150" s="33"/>
    </row>
    <row r="151" spans="1:23" ht="16.5" customHeight="1" x14ac:dyDescent="0.2">
      <c r="A151" s="26" t="s">
        <v>3939</v>
      </c>
      <c r="B151" s="26" t="s">
        <v>3940</v>
      </c>
      <c r="C151" s="26" t="s">
        <v>98</v>
      </c>
      <c r="D151" s="26" t="s">
        <v>105</v>
      </c>
      <c r="E151" s="26" t="s">
        <v>108</v>
      </c>
      <c r="F151" s="28" t="e">
        <f ca="1">_xludf.ifna(VLOOKUP(G151,Proyectos!$A$2:$F$674,6,0),"")</f>
        <v>#NAME?</v>
      </c>
      <c r="G151" s="29" t="s">
        <v>5114</v>
      </c>
      <c r="H151" s="32">
        <v>0.25</v>
      </c>
      <c r="I151" s="31" t="s">
        <v>25</v>
      </c>
      <c r="J151" s="31" t="s">
        <v>41</v>
      </c>
      <c r="K151" s="32"/>
      <c r="L151" s="32" t="e">
        <f ca="1">_xludf.ifna(VLOOKUP(E151,Parámetros!$D$2:$E$34,2,0),"")</f>
        <v>#NAME?</v>
      </c>
      <c r="M151" s="32" t="e">
        <f ca="1">_xludf.ifna(VLOOKUP(G151,Proyectos!$A$2:$T$674,20,0),"")</f>
        <v>#NAME?</v>
      </c>
      <c r="N151" s="32" t="e">
        <f ca="1">_xludf.ifna(VLOOKUP(G151,Proyectos!$A$2:$S$674,19,0))</f>
        <v>#NAME?</v>
      </c>
      <c r="O151" s="32"/>
      <c r="P151" s="31"/>
      <c r="Q151" s="33"/>
      <c r="R151" s="33"/>
      <c r="S151" s="33"/>
      <c r="T151" s="33"/>
      <c r="U151" s="33"/>
      <c r="V151" s="33"/>
      <c r="W151" s="33"/>
    </row>
    <row r="152" spans="1:23" ht="16.5" customHeight="1" x14ac:dyDescent="0.2">
      <c r="A152" s="26" t="s">
        <v>4378</v>
      </c>
      <c r="B152" s="26" t="s">
        <v>4379</v>
      </c>
      <c r="C152" s="26" t="s">
        <v>98</v>
      </c>
      <c r="D152" s="26" t="s">
        <v>105</v>
      </c>
      <c r="E152" s="26" t="s">
        <v>114</v>
      </c>
      <c r="F152" s="28" t="e">
        <f ca="1">_xludf.ifna(VLOOKUP(G152,Proyectos!$A$2:$F$674,6,0),"")</f>
        <v>#NAME?</v>
      </c>
      <c r="G152" s="29" t="s">
        <v>5114</v>
      </c>
      <c r="H152" s="32">
        <v>0.25</v>
      </c>
      <c r="I152" s="31" t="s">
        <v>32</v>
      </c>
      <c r="J152" s="31" t="s">
        <v>41</v>
      </c>
      <c r="K152" s="32"/>
      <c r="L152" s="32" t="e">
        <f ca="1">_xludf.ifna(VLOOKUP(E152,Parámetros!$D$2:$E$34,2,0),"")</f>
        <v>#NAME?</v>
      </c>
      <c r="M152" s="32" t="e">
        <f ca="1">_xludf.ifna(VLOOKUP(G152,Proyectos!$A$2:$T$674,20,0),"")</f>
        <v>#NAME?</v>
      </c>
      <c r="N152" s="32" t="e">
        <f ca="1">_xludf.ifna(VLOOKUP(G152,Proyectos!$A$2:$S$674,19,0))</f>
        <v>#NAME?</v>
      </c>
      <c r="O152" s="32"/>
      <c r="P152" s="31"/>
      <c r="Q152" s="33"/>
      <c r="R152" s="33"/>
      <c r="S152" s="33"/>
      <c r="T152" s="33"/>
      <c r="U152" s="33"/>
      <c r="V152" s="33"/>
      <c r="W152" s="33"/>
    </row>
    <row r="153" spans="1:23" ht="16.5" customHeight="1" x14ac:dyDescent="0.2">
      <c r="A153" s="26" t="s">
        <v>4378</v>
      </c>
      <c r="B153" s="26" t="s">
        <v>4379</v>
      </c>
      <c r="C153" s="26" t="s">
        <v>98</v>
      </c>
      <c r="D153" s="26" t="s">
        <v>105</v>
      </c>
      <c r="E153" s="26" t="s">
        <v>114</v>
      </c>
      <c r="F153" s="28" t="e">
        <f ca="1">_xludf.ifna(VLOOKUP(G153,Proyectos!$A$2:$F$674,6,0),"")</f>
        <v>#NAME?</v>
      </c>
      <c r="G153" s="26" t="s">
        <v>5145</v>
      </c>
      <c r="H153" s="32">
        <v>0.1</v>
      </c>
      <c r="I153" s="31" t="s">
        <v>32</v>
      </c>
      <c r="J153" s="31" t="s">
        <v>61</v>
      </c>
      <c r="K153" s="32"/>
      <c r="L153" s="32" t="e">
        <f ca="1">_xludf.ifna(VLOOKUP(E153,Parámetros!$D$2:$E$34,2,0),"")</f>
        <v>#NAME?</v>
      </c>
      <c r="M153" s="32" t="e">
        <f ca="1">_xludf.ifna(VLOOKUP(G153,Proyectos!$A$2:$T$674,20,0),"")</f>
        <v>#NAME?</v>
      </c>
      <c r="N153" s="32" t="e">
        <f ca="1">_xludf.ifna(VLOOKUP(G153,Proyectos!$A$2:$S$674,19,0))</f>
        <v>#NAME?</v>
      </c>
      <c r="O153" s="32"/>
      <c r="P153" s="31"/>
      <c r="Q153" s="33"/>
      <c r="R153" s="33"/>
      <c r="S153" s="33"/>
      <c r="T153" s="33"/>
      <c r="U153" s="33"/>
      <c r="V153" s="33"/>
      <c r="W153" s="33"/>
    </row>
    <row r="154" spans="1:23" ht="16.5" customHeight="1" x14ac:dyDescent="0.2">
      <c r="A154" s="26" t="s">
        <v>4378</v>
      </c>
      <c r="B154" s="26" t="s">
        <v>4379</v>
      </c>
      <c r="C154" s="26" t="s">
        <v>98</v>
      </c>
      <c r="D154" s="26" t="s">
        <v>105</v>
      </c>
      <c r="E154" s="26" t="s">
        <v>114</v>
      </c>
      <c r="F154" s="28" t="e">
        <f ca="1">_xludf.ifna(VLOOKUP(G154,Proyectos!$A$2:$F$674,6,0),"")</f>
        <v>#NAME?</v>
      </c>
      <c r="G154" s="26" t="s">
        <v>5148</v>
      </c>
      <c r="H154" s="32">
        <v>0.1</v>
      </c>
      <c r="I154" s="31" t="s">
        <v>32</v>
      </c>
      <c r="J154" s="31" t="s">
        <v>41</v>
      </c>
      <c r="K154" s="32"/>
      <c r="L154" s="32" t="e">
        <f ca="1">_xludf.ifna(VLOOKUP(E154,Parámetros!$D$2:$E$34,2,0),"")</f>
        <v>#NAME?</v>
      </c>
      <c r="M154" s="32" t="e">
        <f ca="1">_xludf.ifna(VLOOKUP(G154,Proyectos!$A$2:$T$674,20,0),"")</f>
        <v>#NAME?</v>
      </c>
      <c r="N154" s="32" t="e">
        <f ca="1">_xludf.ifna(VLOOKUP(G154,Proyectos!$A$2:$S$674,19,0))</f>
        <v>#NAME?</v>
      </c>
      <c r="O154" s="32"/>
      <c r="P154" s="31"/>
      <c r="Q154" s="33"/>
      <c r="R154" s="33"/>
      <c r="S154" s="33"/>
      <c r="T154" s="33"/>
      <c r="U154" s="33"/>
      <c r="V154" s="33"/>
      <c r="W154" s="33"/>
    </row>
    <row r="155" spans="1:23" ht="16.5" customHeight="1" x14ac:dyDescent="0.2">
      <c r="A155" s="26" t="s">
        <v>4378</v>
      </c>
      <c r="B155" s="26" t="s">
        <v>4379</v>
      </c>
      <c r="C155" s="26" t="s">
        <v>98</v>
      </c>
      <c r="D155" s="26" t="s">
        <v>105</v>
      </c>
      <c r="E155" s="26" t="s">
        <v>114</v>
      </c>
      <c r="F155" s="28" t="e">
        <f ca="1">_xludf.ifna(VLOOKUP(G155,Proyectos!$A$2:$F$674,6,0),"")</f>
        <v>#NAME?</v>
      </c>
      <c r="G155" s="26" t="s">
        <v>5146</v>
      </c>
      <c r="H155" s="32">
        <v>0.05</v>
      </c>
      <c r="I155" s="31" t="s">
        <v>32</v>
      </c>
      <c r="J155" s="31" t="s">
        <v>41</v>
      </c>
      <c r="K155" s="32"/>
      <c r="L155" s="32" t="e">
        <f ca="1">_xludf.ifna(VLOOKUP(E155,Parámetros!$D$2:$E$34,2,0),"")</f>
        <v>#NAME?</v>
      </c>
      <c r="M155" s="32" t="e">
        <f ca="1">_xludf.ifna(VLOOKUP(G155,Proyectos!$A$2:$T$674,20,0),"")</f>
        <v>#NAME?</v>
      </c>
      <c r="N155" s="32" t="e">
        <f ca="1">_xludf.ifna(VLOOKUP(G155,Proyectos!$A$2:$S$674,19,0))</f>
        <v>#NAME?</v>
      </c>
      <c r="O155" s="32"/>
      <c r="P155" s="31"/>
      <c r="Q155" s="33"/>
      <c r="R155" s="33"/>
      <c r="S155" s="33"/>
      <c r="T155" s="33"/>
      <c r="U155" s="33"/>
      <c r="V155" s="33"/>
      <c r="W155" s="33"/>
    </row>
    <row r="156" spans="1:23" ht="16.5" customHeight="1" x14ac:dyDescent="0.2">
      <c r="A156" s="26" t="s">
        <v>4601</v>
      </c>
      <c r="B156" s="26" t="s">
        <v>4602</v>
      </c>
      <c r="C156" s="26" t="s">
        <v>37</v>
      </c>
      <c r="D156" s="26" t="s">
        <v>45</v>
      </c>
      <c r="E156" s="26" t="s">
        <v>39</v>
      </c>
      <c r="F156" s="28" t="e">
        <f ca="1">_xludf.ifna(VLOOKUP(G156,Proyectos!$A$2:$F$674,6,0),"")</f>
        <v>#NAME?</v>
      </c>
      <c r="G156" s="26" t="s">
        <v>5123</v>
      </c>
      <c r="H156" s="32">
        <v>0.7</v>
      </c>
      <c r="I156" s="31" t="s">
        <v>18</v>
      </c>
      <c r="J156" s="31" t="s">
        <v>72</v>
      </c>
      <c r="K156" s="43" t="s">
        <v>3375</v>
      </c>
      <c r="L156" s="32" t="e">
        <f ca="1">_xludf.ifna(VLOOKUP(E156,Parámetros!$D$2:$E$34,2,0),"")</f>
        <v>#NAME?</v>
      </c>
      <c r="M156" s="32" t="e">
        <f ca="1">_xludf.ifna(VLOOKUP(G156,Proyectos!$A$2:$T$674,20,0),"")</f>
        <v>#NAME?</v>
      </c>
      <c r="N156" s="32" t="e">
        <f ca="1">_xludf.ifna(VLOOKUP(G156,Proyectos!$A$2:$S$674,19,0))</f>
        <v>#NAME?</v>
      </c>
      <c r="O156" s="32"/>
      <c r="P156" s="31"/>
      <c r="Q156" s="33"/>
      <c r="R156" s="33"/>
      <c r="S156" s="33"/>
      <c r="T156" s="33"/>
      <c r="U156" s="33"/>
      <c r="V156" s="33"/>
      <c r="W156" s="33"/>
    </row>
    <row r="157" spans="1:23" ht="16.5" customHeight="1" x14ac:dyDescent="0.2">
      <c r="A157" s="26" t="s">
        <v>4601</v>
      </c>
      <c r="B157" s="26" t="s">
        <v>4602</v>
      </c>
      <c r="C157" s="26" t="s">
        <v>37</v>
      </c>
      <c r="D157" s="26" t="s">
        <v>45</v>
      </c>
      <c r="E157" s="26" t="s">
        <v>39</v>
      </c>
      <c r="F157" s="28" t="e">
        <f ca="1">_xludf.ifna(VLOOKUP(G157,Proyectos!$A$2:$F$674,6,0),"")</f>
        <v>#NAME?</v>
      </c>
      <c r="G157" s="26" t="s">
        <v>5150</v>
      </c>
      <c r="H157" s="32">
        <v>0.3</v>
      </c>
      <c r="I157" s="31" t="s">
        <v>18</v>
      </c>
      <c r="J157" s="31" t="s">
        <v>72</v>
      </c>
      <c r="K157" s="43" t="s">
        <v>3375</v>
      </c>
      <c r="L157" s="32" t="e">
        <f ca="1">_xludf.ifna(VLOOKUP(E157,Parámetros!$D$2:$E$34,2,0),"")</f>
        <v>#NAME?</v>
      </c>
      <c r="M157" s="32" t="e">
        <f ca="1">_xludf.ifna(VLOOKUP(G157,Proyectos!$A$2:$T$674,20,0),"")</f>
        <v>#NAME?</v>
      </c>
      <c r="N157" s="32" t="e">
        <f ca="1">_xludf.ifna(VLOOKUP(G157,Proyectos!$A$2:$S$674,19,0))</f>
        <v>#NAME?</v>
      </c>
      <c r="O157" s="32"/>
      <c r="P157" s="31"/>
      <c r="Q157" s="33"/>
      <c r="R157" s="33"/>
      <c r="S157" s="33"/>
      <c r="T157" s="33"/>
      <c r="U157" s="33"/>
      <c r="V157" s="33"/>
      <c r="W157" s="33"/>
    </row>
    <row r="158" spans="1:23" ht="16.5" customHeight="1" x14ac:dyDescent="0.2">
      <c r="A158" s="26" t="s">
        <v>3918</v>
      </c>
      <c r="B158" s="26" t="s">
        <v>3919</v>
      </c>
      <c r="C158" s="26" t="s">
        <v>98</v>
      </c>
      <c r="D158" s="26" t="s">
        <v>102</v>
      </c>
      <c r="E158" s="26" t="s">
        <v>114</v>
      </c>
      <c r="F158" s="28" t="e">
        <f ca="1">_xludf.ifna(VLOOKUP(G158,Proyectos!$A$2:$F$674,6,0),"")</f>
        <v>#NAME?</v>
      </c>
      <c r="G158" s="42" t="s">
        <v>5116</v>
      </c>
      <c r="H158" s="32">
        <v>0.1</v>
      </c>
      <c r="I158" s="31" t="s">
        <v>25</v>
      </c>
      <c r="J158" s="31" t="s">
        <v>41</v>
      </c>
      <c r="K158" s="32"/>
      <c r="L158" s="32" t="e">
        <f ca="1">_xludf.ifna(VLOOKUP(E158,Parámetros!$D$2:$E$34,2,0),"")</f>
        <v>#NAME?</v>
      </c>
      <c r="M158" s="32" t="e">
        <f ca="1">_xludf.ifna(VLOOKUP(G158,Proyectos!$A$2:$T$674,20,0),"")</f>
        <v>#NAME?</v>
      </c>
      <c r="N158" s="32" t="e">
        <f ca="1">_xludf.ifna(VLOOKUP(G158,Proyectos!$A$2:$S$674,19,0))</f>
        <v>#NAME?</v>
      </c>
      <c r="O158" s="32"/>
      <c r="P158" s="31"/>
      <c r="Q158" s="33"/>
      <c r="R158" s="33"/>
      <c r="S158" s="33"/>
      <c r="T158" s="33"/>
      <c r="U158" s="33"/>
      <c r="V158" s="33"/>
      <c r="W158" s="33"/>
    </row>
    <row r="159" spans="1:23" ht="16.5" customHeight="1" x14ac:dyDescent="0.2">
      <c r="A159" s="26" t="s">
        <v>3918</v>
      </c>
      <c r="B159" s="26" t="s">
        <v>3919</v>
      </c>
      <c r="C159" s="26" t="s">
        <v>98</v>
      </c>
      <c r="D159" s="26" t="s">
        <v>102</v>
      </c>
      <c r="E159" s="26" t="s">
        <v>114</v>
      </c>
      <c r="F159" s="28" t="e">
        <f ca="1">_xludf.ifna(VLOOKUP(G159,Proyectos!$A$2:$F$674,6,0),"")</f>
        <v>#NAME?</v>
      </c>
      <c r="G159" s="29" t="s">
        <v>5115</v>
      </c>
      <c r="H159" s="32">
        <v>0.08</v>
      </c>
      <c r="I159" s="31" t="s">
        <v>25</v>
      </c>
      <c r="J159" s="31" t="s">
        <v>41</v>
      </c>
      <c r="K159" s="32"/>
      <c r="L159" s="32" t="e">
        <f ca="1">_xludf.ifna(VLOOKUP(E159,Parámetros!$D$2:$E$34,2,0),"")</f>
        <v>#NAME?</v>
      </c>
      <c r="M159" s="32" t="e">
        <f ca="1">_xludf.ifna(VLOOKUP(G159,Proyectos!$A$2:$T$674,20,0),"")</f>
        <v>#NAME?</v>
      </c>
      <c r="N159" s="32" t="e">
        <f ca="1">_xludf.ifna(VLOOKUP(G159,Proyectos!$A$2:$S$674,19,0))</f>
        <v>#NAME?</v>
      </c>
      <c r="O159" s="32"/>
      <c r="P159" s="31"/>
      <c r="Q159" s="33"/>
      <c r="R159" s="33"/>
      <c r="S159" s="33"/>
      <c r="T159" s="33"/>
      <c r="U159" s="33"/>
      <c r="V159" s="33"/>
      <c r="W159" s="33"/>
    </row>
    <row r="160" spans="1:23" ht="16.5" customHeight="1" x14ac:dyDescent="0.2">
      <c r="A160" s="26" t="s">
        <v>3918</v>
      </c>
      <c r="B160" s="26" t="s">
        <v>3919</v>
      </c>
      <c r="C160" s="26" t="s">
        <v>98</v>
      </c>
      <c r="D160" s="26" t="s">
        <v>102</v>
      </c>
      <c r="E160" s="26" t="s">
        <v>114</v>
      </c>
      <c r="F160" s="28" t="e">
        <f ca="1">_xludf.ifna(VLOOKUP(G160,Proyectos!$A$2:$F$674,6,0),"")</f>
        <v>#NAME?</v>
      </c>
      <c r="G160" s="29" t="s">
        <v>5114</v>
      </c>
      <c r="H160" s="32">
        <v>0.25</v>
      </c>
      <c r="I160" s="31" t="s">
        <v>25</v>
      </c>
      <c r="J160" s="31" t="s">
        <v>41</v>
      </c>
      <c r="K160" s="32"/>
      <c r="L160" s="32" t="e">
        <f ca="1">_xludf.ifna(VLOOKUP(E160,Parámetros!$D$2:$E$34,2,0),"")</f>
        <v>#NAME?</v>
      </c>
      <c r="M160" s="32" t="e">
        <f ca="1">_xludf.ifna(VLOOKUP(G160,Proyectos!$A$2:$T$674,20,0),"")</f>
        <v>#NAME?</v>
      </c>
      <c r="N160" s="32" t="e">
        <f ca="1">_xludf.ifna(VLOOKUP(G160,Proyectos!$A$2:$S$674,19,0))</f>
        <v>#NAME?</v>
      </c>
      <c r="O160" s="32"/>
      <c r="P160" s="31"/>
      <c r="Q160" s="33"/>
      <c r="R160" s="33"/>
      <c r="S160" s="33"/>
      <c r="T160" s="33"/>
      <c r="U160" s="33"/>
      <c r="V160" s="33"/>
      <c r="W160" s="33"/>
    </row>
    <row r="161" spans="1:23" ht="16.5" customHeight="1" x14ac:dyDescent="0.2">
      <c r="A161" s="26" t="s">
        <v>3394</v>
      </c>
      <c r="B161" s="26" t="s">
        <v>3395</v>
      </c>
      <c r="C161" s="26" t="s">
        <v>98</v>
      </c>
      <c r="D161" s="26" t="s">
        <v>102</v>
      </c>
      <c r="E161" s="26" t="s">
        <v>39</v>
      </c>
      <c r="F161" s="28" t="e">
        <f ca="1">_xludf.ifna(VLOOKUP(G161,Proyectos!$A$2:$F$674,6,0),"")</f>
        <v>#NAME?</v>
      </c>
      <c r="G161" s="29" t="s">
        <v>5114</v>
      </c>
      <c r="H161" s="32">
        <v>1</v>
      </c>
      <c r="I161" s="31" t="s">
        <v>11</v>
      </c>
      <c r="J161" s="31" t="s">
        <v>61</v>
      </c>
      <c r="K161" s="32"/>
      <c r="L161" s="32" t="e">
        <f ca="1">_xludf.ifna(VLOOKUP(E161,Parámetros!$D$2:$E$34,2,0),"")</f>
        <v>#NAME?</v>
      </c>
      <c r="M161" s="32" t="e">
        <f ca="1">_xludf.ifna(VLOOKUP(G161,Proyectos!$A$2:$T$674,20,0),"")</f>
        <v>#NAME?</v>
      </c>
      <c r="N161" s="32" t="e">
        <f ca="1">_xludf.ifna(VLOOKUP(G161,Proyectos!$A$2:$S$674,19,0))</f>
        <v>#NAME?</v>
      </c>
      <c r="O161" s="32"/>
      <c r="P161" s="31"/>
      <c r="Q161" s="33"/>
      <c r="R161" s="33"/>
      <c r="S161" s="33"/>
      <c r="T161" s="33"/>
      <c r="U161" s="33"/>
      <c r="V161" s="33"/>
      <c r="W161" s="33"/>
    </row>
    <row r="162" spans="1:23" ht="16.5" customHeight="1" x14ac:dyDescent="0.2">
      <c r="A162" s="26" t="s">
        <v>4112</v>
      </c>
      <c r="B162" s="26" t="s">
        <v>4113</v>
      </c>
      <c r="C162" s="26" t="s">
        <v>98</v>
      </c>
      <c r="D162" s="26" t="s">
        <v>102</v>
      </c>
      <c r="E162" s="26" t="s">
        <v>108</v>
      </c>
      <c r="F162" s="28" t="e">
        <f ca="1">_xludf.ifna(VLOOKUP(G162,Proyectos!$A$2:$F$674,6,0),"")</f>
        <v>#NAME?</v>
      </c>
      <c r="G162" s="29" t="s">
        <v>5114</v>
      </c>
      <c r="H162" s="32">
        <v>1</v>
      </c>
      <c r="I162" s="31" t="s">
        <v>32</v>
      </c>
      <c r="J162" s="31" t="s">
        <v>61</v>
      </c>
      <c r="K162" s="32"/>
      <c r="L162" s="32" t="e">
        <f ca="1">_xludf.ifna(VLOOKUP(E162,Parámetros!$D$2:$E$34,2,0),"")</f>
        <v>#NAME?</v>
      </c>
      <c r="M162" s="32" t="e">
        <f ca="1">_xludf.ifna(VLOOKUP(G162,Proyectos!$A$2:$T$674,20,0),"")</f>
        <v>#NAME?</v>
      </c>
      <c r="N162" s="32" t="e">
        <f ca="1">_xludf.ifna(VLOOKUP(G162,Proyectos!$A$2:$S$674,19,0))</f>
        <v>#NAME?</v>
      </c>
      <c r="O162" s="32"/>
      <c r="P162" s="31"/>
      <c r="Q162" s="33"/>
      <c r="R162" s="33"/>
      <c r="S162" s="33"/>
      <c r="T162" s="33"/>
      <c r="U162" s="33"/>
      <c r="V162" s="33"/>
      <c r="W162" s="33"/>
    </row>
    <row r="163" spans="1:23" ht="16.5" customHeight="1" x14ac:dyDescent="0.2">
      <c r="A163" s="26" t="s">
        <v>4245</v>
      </c>
      <c r="B163" s="26" t="s">
        <v>4246</v>
      </c>
      <c r="C163" s="26" t="s">
        <v>98</v>
      </c>
      <c r="D163" s="26" t="s">
        <v>102</v>
      </c>
      <c r="E163" s="26" t="s">
        <v>108</v>
      </c>
      <c r="F163" s="28" t="e">
        <f ca="1">_xludf.ifna(VLOOKUP(G163,Proyectos!$A$2:$F$674,6,0),"")</f>
        <v>#NAME?</v>
      </c>
      <c r="G163" s="29" t="s">
        <v>5114</v>
      </c>
      <c r="H163" s="32">
        <v>1</v>
      </c>
      <c r="I163" s="31" t="s">
        <v>18</v>
      </c>
      <c r="J163" s="31" t="s">
        <v>61</v>
      </c>
      <c r="K163" s="32"/>
      <c r="L163" s="32" t="e">
        <f ca="1">_xludf.ifna(VLOOKUP(E163,Parámetros!$D$2:$E$34,2,0),"")</f>
        <v>#NAME?</v>
      </c>
      <c r="M163" s="32" t="e">
        <f ca="1">_xludf.ifna(VLOOKUP(G163,Proyectos!$A$2:$T$674,20,0),"")</f>
        <v>#NAME?</v>
      </c>
      <c r="N163" s="32" t="e">
        <f ca="1">_xludf.ifna(VLOOKUP(G163,Proyectos!$A$2:$S$674,19,0))</f>
        <v>#NAME?</v>
      </c>
      <c r="O163" s="32"/>
      <c r="P163" s="31"/>
      <c r="Q163" s="33"/>
      <c r="R163" s="33"/>
      <c r="S163" s="33"/>
      <c r="T163" s="33"/>
      <c r="U163" s="33"/>
      <c r="V163" s="33"/>
      <c r="W163" s="33"/>
    </row>
    <row r="164" spans="1:23" ht="16.5" customHeight="1" x14ac:dyDescent="0.2">
      <c r="A164" s="26" t="s">
        <v>4027</v>
      </c>
      <c r="B164" s="26" t="s">
        <v>4028</v>
      </c>
      <c r="C164" s="26" t="s">
        <v>98</v>
      </c>
      <c r="D164" s="26" t="s">
        <v>102</v>
      </c>
      <c r="E164" s="26" t="s">
        <v>108</v>
      </c>
      <c r="F164" s="28" t="e">
        <f ca="1">_xludf.ifna(VLOOKUP(G164,Proyectos!$A$2:$F$674,6,0),"")</f>
        <v>#NAME?</v>
      </c>
      <c r="G164" s="29" t="s">
        <v>5114</v>
      </c>
      <c r="H164" s="32">
        <v>1</v>
      </c>
      <c r="I164" s="31" t="s">
        <v>18</v>
      </c>
      <c r="J164" s="31" t="s">
        <v>61</v>
      </c>
      <c r="K164" s="32"/>
      <c r="L164" s="32" t="e">
        <f ca="1">_xludf.ifna(VLOOKUP(E164,Parámetros!$D$2:$E$34,2,0),"")</f>
        <v>#NAME?</v>
      </c>
      <c r="M164" s="32" t="e">
        <f ca="1">_xludf.ifna(VLOOKUP(G164,Proyectos!$A$2:$T$674,20,0),"")</f>
        <v>#NAME?</v>
      </c>
      <c r="N164" s="32" t="e">
        <f ca="1">_xludf.ifna(VLOOKUP(G164,Proyectos!$A$2:$S$674,19,0))</f>
        <v>#NAME?</v>
      </c>
      <c r="O164" s="31"/>
      <c r="P164" s="31"/>
      <c r="Q164" s="33"/>
      <c r="R164" s="33"/>
      <c r="S164" s="33"/>
      <c r="T164" s="33"/>
      <c r="U164" s="33"/>
      <c r="V164" s="33"/>
      <c r="W164" s="33"/>
    </row>
    <row r="165" spans="1:23" ht="16.5" customHeight="1" x14ac:dyDescent="0.2">
      <c r="A165" s="26" t="s">
        <v>3991</v>
      </c>
      <c r="B165" s="26" t="s">
        <v>3992</v>
      </c>
      <c r="C165" s="26" t="s">
        <v>98</v>
      </c>
      <c r="D165" s="26" t="s">
        <v>102</v>
      </c>
      <c r="E165" s="26" t="s">
        <v>108</v>
      </c>
      <c r="F165" s="28" t="e">
        <f ca="1">_xludf.ifna(VLOOKUP(G165,Proyectos!$A$2:$F$674,6,0),"")</f>
        <v>#NAME?</v>
      </c>
      <c r="G165" s="29" t="s">
        <v>5114</v>
      </c>
      <c r="H165" s="32">
        <v>1</v>
      </c>
      <c r="I165" s="31" t="s">
        <v>18</v>
      </c>
      <c r="J165" s="31" t="s">
        <v>61</v>
      </c>
      <c r="K165" s="32"/>
      <c r="L165" s="32" t="e">
        <f ca="1">_xludf.ifna(VLOOKUP(E165,Parámetros!$D$2:$E$34,2,0),"")</f>
        <v>#NAME?</v>
      </c>
      <c r="M165" s="32" t="e">
        <f ca="1">_xludf.ifna(VLOOKUP(G165,Proyectos!$A$2:$T$674,20,0),"")</f>
        <v>#NAME?</v>
      </c>
      <c r="N165" s="32" t="e">
        <f ca="1">_xludf.ifna(VLOOKUP(G165,Proyectos!$A$2:$S$674,19,0))</f>
        <v>#NAME?</v>
      </c>
      <c r="O165" s="31"/>
      <c r="P165" s="31"/>
      <c r="Q165" s="33"/>
      <c r="R165" s="33"/>
      <c r="S165" s="33"/>
      <c r="T165" s="33"/>
      <c r="U165" s="33"/>
      <c r="V165" s="33"/>
      <c r="W165" s="33"/>
    </row>
    <row r="166" spans="1:23" ht="16.5" customHeight="1" x14ac:dyDescent="0.2">
      <c r="A166" s="26" t="s">
        <v>4094</v>
      </c>
      <c r="B166" s="26" t="s">
        <v>4095</v>
      </c>
      <c r="C166" s="26" t="s">
        <v>98</v>
      </c>
      <c r="D166" s="26" t="s">
        <v>102</v>
      </c>
      <c r="E166" s="26" t="s">
        <v>108</v>
      </c>
      <c r="F166" s="28" t="e">
        <f ca="1">_xludf.ifna(VLOOKUP(G166,Proyectos!$A$2:$F$674,6,0),"")</f>
        <v>#NAME?</v>
      </c>
      <c r="G166" s="29" t="s">
        <v>5114</v>
      </c>
      <c r="H166" s="32">
        <v>1</v>
      </c>
      <c r="I166" s="31" t="s">
        <v>18</v>
      </c>
      <c r="J166" s="31" t="s">
        <v>61</v>
      </c>
      <c r="K166" s="32"/>
      <c r="L166" s="32" t="e">
        <f ca="1">_xludf.ifna(VLOOKUP(E166,Parámetros!$D$2:$E$34,2,0),"")</f>
        <v>#NAME?</v>
      </c>
      <c r="M166" s="32" t="e">
        <f ca="1">_xludf.ifna(VLOOKUP(G166,Proyectos!$A$2:$T$674,20,0),"")</f>
        <v>#NAME?</v>
      </c>
      <c r="N166" s="32" t="e">
        <f ca="1">_xludf.ifna(VLOOKUP(G166,Proyectos!$A$2:$S$674,19,0))</f>
        <v>#NAME?</v>
      </c>
      <c r="O166" s="32"/>
      <c r="P166" s="31"/>
      <c r="Q166" s="33"/>
      <c r="R166" s="33"/>
      <c r="S166" s="33"/>
      <c r="T166" s="33"/>
      <c r="U166" s="33"/>
      <c r="V166" s="33"/>
      <c r="W166" s="33"/>
    </row>
    <row r="167" spans="1:23" ht="16.5" customHeight="1" x14ac:dyDescent="0.2">
      <c r="A167" s="26" t="s">
        <v>4177</v>
      </c>
      <c r="B167" s="26" t="s">
        <v>4178</v>
      </c>
      <c r="C167" s="26" t="s">
        <v>98</v>
      </c>
      <c r="D167" s="26" t="s">
        <v>102</v>
      </c>
      <c r="E167" s="26" t="s">
        <v>108</v>
      </c>
      <c r="F167" s="28" t="e">
        <f ca="1">_xludf.ifna(VLOOKUP(G167,Proyectos!$A$2:$F$674,6,0),"")</f>
        <v>#NAME?</v>
      </c>
      <c r="G167" s="29" t="s">
        <v>5114</v>
      </c>
      <c r="H167" s="32">
        <v>1</v>
      </c>
      <c r="I167" s="31" t="s">
        <v>25</v>
      </c>
      <c r="J167" s="31" t="s">
        <v>61</v>
      </c>
      <c r="K167" s="32"/>
      <c r="L167" s="32" t="e">
        <f ca="1">_xludf.ifna(VLOOKUP(E167,Parámetros!$D$2:$E$34,2,0),"")</f>
        <v>#NAME?</v>
      </c>
      <c r="M167" s="32" t="e">
        <f ca="1">_xludf.ifna(VLOOKUP(G167,Proyectos!$A$2:$T$674,20,0),"")</f>
        <v>#NAME?</v>
      </c>
      <c r="N167" s="32" t="e">
        <f ca="1">_xludf.ifna(VLOOKUP(G167,Proyectos!$A$2:$S$674,19,0))</f>
        <v>#NAME?</v>
      </c>
      <c r="O167" s="32"/>
      <c r="P167" s="31"/>
      <c r="Q167" s="33"/>
      <c r="R167" s="33"/>
      <c r="S167" s="33"/>
      <c r="T167" s="33"/>
      <c r="U167" s="33"/>
      <c r="V167" s="33"/>
      <c r="W167" s="33"/>
    </row>
    <row r="168" spans="1:23" ht="16.5" customHeight="1" x14ac:dyDescent="0.2">
      <c r="A168" s="26" t="s">
        <v>3406</v>
      </c>
      <c r="B168" s="26" t="s">
        <v>3407</v>
      </c>
      <c r="C168" s="26" t="s">
        <v>37</v>
      </c>
      <c r="D168" s="26" t="s">
        <v>45</v>
      </c>
      <c r="E168" s="26" t="s">
        <v>39</v>
      </c>
      <c r="F168" s="28" t="e">
        <f ca="1">_xludf.ifna(VLOOKUP(G168,Proyectos!$A$2:$F$674,6,0),"")</f>
        <v>#NAME?</v>
      </c>
      <c r="G168" s="26" t="s">
        <v>5151</v>
      </c>
      <c r="H168" s="32">
        <v>0.7</v>
      </c>
      <c r="I168" s="31" t="s">
        <v>18</v>
      </c>
      <c r="J168" s="31" t="s">
        <v>72</v>
      </c>
      <c r="K168" s="43" t="s">
        <v>3375</v>
      </c>
      <c r="L168" s="32" t="e">
        <f ca="1">_xludf.ifna(VLOOKUP(E168,Parámetros!$D$2:$E$34,2,0),"")</f>
        <v>#NAME?</v>
      </c>
      <c r="M168" s="32" t="e">
        <f ca="1">_xludf.ifna(VLOOKUP(G168,Proyectos!$A$2:$T$674,20,0),"")</f>
        <v>#NAME?</v>
      </c>
      <c r="N168" s="32" t="e">
        <f ca="1">_xludf.ifna(VLOOKUP(G168,Proyectos!$A$2:$S$674,19,0))</f>
        <v>#NAME?</v>
      </c>
      <c r="O168" s="32"/>
      <c r="P168" s="31"/>
      <c r="Q168" s="33"/>
      <c r="R168" s="33"/>
      <c r="S168" s="33"/>
      <c r="T168" s="33"/>
      <c r="U168" s="33"/>
      <c r="V168" s="33"/>
      <c r="W168" s="33"/>
    </row>
    <row r="169" spans="1:23" ht="16.5" customHeight="1" x14ac:dyDescent="0.2">
      <c r="A169" s="26" t="s">
        <v>3406</v>
      </c>
      <c r="B169" s="26" t="s">
        <v>3407</v>
      </c>
      <c r="C169" s="26" t="s">
        <v>37</v>
      </c>
      <c r="D169" s="26" t="s">
        <v>45</v>
      </c>
      <c r="E169" s="26" t="s">
        <v>39</v>
      </c>
      <c r="F169" s="28" t="e">
        <f ca="1">_xludf.ifna(VLOOKUP(G169,Proyectos!$A$2:$F$674,6,0),"")</f>
        <v>#NAME?</v>
      </c>
      <c r="G169" s="26" t="s">
        <v>5152</v>
      </c>
      <c r="H169" s="32">
        <v>0.3</v>
      </c>
      <c r="I169" s="31" t="s">
        <v>18</v>
      </c>
      <c r="J169" s="31" t="s">
        <v>72</v>
      </c>
      <c r="K169" s="43" t="s">
        <v>3375</v>
      </c>
      <c r="L169" s="32" t="e">
        <f ca="1">_xludf.ifna(VLOOKUP(E169,Parámetros!$D$2:$E$34,2,0),"")</f>
        <v>#NAME?</v>
      </c>
      <c r="M169" s="32" t="e">
        <f ca="1">_xludf.ifna(VLOOKUP(G169,Proyectos!$A$2:$T$674,20,0),"")</f>
        <v>#NAME?</v>
      </c>
      <c r="N169" s="32" t="e">
        <f ca="1">_xludf.ifna(VLOOKUP(G169,Proyectos!$A$2:$S$674,19,0))</f>
        <v>#NAME?</v>
      </c>
      <c r="O169" s="32"/>
      <c r="P169" s="31"/>
      <c r="Q169" s="33"/>
      <c r="R169" s="33"/>
      <c r="S169" s="33"/>
      <c r="T169" s="33"/>
      <c r="U169" s="33"/>
      <c r="V169" s="33"/>
      <c r="W169" s="33"/>
    </row>
    <row r="170" spans="1:23" ht="16.5" customHeight="1" x14ac:dyDescent="0.2">
      <c r="A170" s="26" t="s">
        <v>3373</v>
      </c>
      <c r="B170" s="26" t="s">
        <v>3374</v>
      </c>
      <c r="C170" s="26" t="s">
        <v>37</v>
      </c>
      <c r="D170" s="26" t="s">
        <v>45</v>
      </c>
      <c r="E170" s="26" t="s">
        <v>39</v>
      </c>
      <c r="F170" s="28" t="e">
        <f ca="1">_xludf.ifna(VLOOKUP(G170,Proyectos!$A$2:$F$674,6,0),"")</f>
        <v>#NAME?</v>
      </c>
      <c r="G170" s="26" t="s">
        <v>5151</v>
      </c>
      <c r="H170" s="32">
        <v>0.3</v>
      </c>
      <c r="I170" s="31" t="s">
        <v>11</v>
      </c>
      <c r="J170" s="31" t="s">
        <v>72</v>
      </c>
      <c r="K170" s="43" t="s">
        <v>3375</v>
      </c>
      <c r="L170" s="32" t="e">
        <f ca="1">_xludf.ifna(VLOOKUP(E170,Parámetros!$D$2:$E$34,2,0),"")</f>
        <v>#NAME?</v>
      </c>
      <c r="M170" s="32" t="e">
        <f ca="1">_xludf.ifna(VLOOKUP(G170,Proyectos!$A$2:$T$674,20,0),"")</f>
        <v>#NAME?</v>
      </c>
      <c r="N170" s="32" t="e">
        <f ca="1">_xludf.ifna(VLOOKUP(G170,Proyectos!$A$2:$S$674,19,0))</f>
        <v>#NAME?</v>
      </c>
      <c r="O170" s="32"/>
      <c r="P170" s="31"/>
      <c r="Q170" s="33"/>
      <c r="R170" s="33"/>
      <c r="S170" s="33"/>
      <c r="T170" s="33"/>
      <c r="U170" s="33"/>
      <c r="V170" s="33"/>
      <c r="W170" s="33"/>
    </row>
    <row r="171" spans="1:23" ht="16.5" customHeight="1" x14ac:dyDescent="0.2">
      <c r="A171" s="26" t="s">
        <v>3373</v>
      </c>
      <c r="B171" s="26" t="s">
        <v>3374</v>
      </c>
      <c r="C171" s="26" t="s">
        <v>37</v>
      </c>
      <c r="D171" s="26" t="s">
        <v>45</v>
      </c>
      <c r="E171" s="26" t="s">
        <v>39</v>
      </c>
      <c r="F171" s="28" t="e">
        <f ca="1">_xludf.ifna(VLOOKUP(G171,Proyectos!$A$2:$F$674,6,0),"")</f>
        <v>#NAME?</v>
      </c>
      <c r="G171" s="26" t="s">
        <v>5152</v>
      </c>
      <c r="H171" s="32">
        <v>0.3</v>
      </c>
      <c r="I171" s="31" t="s">
        <v>11</v>
      </c>
      <c r="J171" s="31" t="s">
        <v>72</v>
      </c>
      <c r="K171" s="43" t="s">
        <v>3375</v>
      </c>
      <c r="L171" s="32" t="e">
        <f ca="1">_xludf.ifna(VLOOKUP(E171,Parámetros!$D$2:$E$34,2,0),"")</f>
        <v>#NAME?</v>
      </c>
      <c r="M171" s="32" t="e">
        <f ca="1">_xludf.ifna(VLOOKUP(G171,Proyectos!$A$2:$T$674,20,0),"")</f>
        <v>#NAME?</v>
      </c>
      <c r="N171" s="32" t="e">
        <f ca="1">_xludf.ifna(VLOOKUP(G171,Proyectos!$A$2:$S$674,19,0))</f>
        <v>#NAME?</v>
      </c>
      <c r="O171" s="32"/>
      <c r="P171" s="31"/>
      <c r="Q171" s="33"/>
      <c r="R171" s="33"/>
      <c r="S171" s="33"/>
      <c r="T171" s="33"/>
      <c r="U171" s="33"/>
      <c r="V171" s="33"/>
      <c r="W171" s="33"/>
    </row>
    <row r="172" spans="1:23" ht="16.5" customHeight="1" x14ac:dyDescent="0.2">
      <c r="A172" s="26" t="s">
        <v>3373</v>
      </c>
      <c r="B172" s="26" t="s">
        <v>3374</v>
      </c>
      <c r="C172" s="26" t="s">
        <v>37</v>
      </c>
      <c r="D172" s="26" t="s">
        <v>45</v>
      </c>
      <c r="E172" s="26" t="s">
        <v>39</v>
      </c>
      <c r="F172" s="28" t="e">
        <f ca="1">_xludf.ifna(VLOOKUP(G172,Proyectos!$A$2:$F$674,6,0),"")</f>
        <v>#NAME?</v>
      </c>
      <c r="G172" s="26" t="s">
        <v>5123</v>
      </c>
      <c r="H172" s="32">
        <v>0.3</v>
      </c>
      <c r="I172" s="31" t="s">
        <v>11</v>
      </c>
      <c r="J172" s="31" t="s">
        <v>72</v>
      </c>
      <c r="K172" s="43" t="s">
        <v>3375</v>
      </c>
      <c r="L172" s="32" t="e">
        <f ca="1">_xludf.ifna(VLOOKUP(E172,Parámetros!$D$2:$E$34,2,0),"")</f>
        <v>#NAME?</v>
      </c>
      <c r="M172" s="32" t="e">
        <f ca="1">_xludf.ifna(VLOOKUP(G172,Proyectos!$A$2:$T$674,20,0),"")</f>
        <v>#NAME?</v>
      </c>
      <c r="N172" s="32" t="e">
        <f ca="1">_xludf.ifna(VLOOKUP(G172,Proyectos!$A$2:$S$674,19,0))</f>
        <v>#NAME?</v>
      </c>
      <c r="O172" s="32"/>
      <c r="P172" s="31"/>
      <c r="Q172" s="33"/>
      <c r="R172" s="33"/>
      <c r="S172" s="33"/>
      <c r="T172" s="33"/>
      <c r="U172" s="33"/>
      <c r="V172" s="33"/>
      <c r="W172" s="33"/>
    </row>
    <row r="173" spans="1:23" ht="16.5" customHeight="1" x14ac:dyDescent="0.2">
      <c r="A173" s="26" t="s">
        <v>3373</v>
      </c>
      <c r="B173" s="26" t="s">
        <v>3374</v>
      </c>
      <c r="C173" s="26" t="s">
        <v>37</v>
      </c>
      <c r="D173" s="26" t="s">
        <v>45</v>
      </c>
      <c r="E173" s="26" t="s">
        <v>39</v>
      </c>
      <c r="F173" s="28" t="e">
        <f ca="1">_xludf.ifna(VLOOKUP(G173,Proyectos!$A$2:$F$674,6,0),"")</f>
        <v>#NAME?</v>
      </c>
      <c r="G173" s="26" t="s">
        <v>5150</v>
      </c>
      <c r="H173" s="32">
        <v>0.1</v>
      </c>
      <c r="I173" s="31" t="s">
        <v>11</v>
      </c>
      <c r="J173" s="31" t="s">
        <v>72</v>
      </c>
      <c r="K173" s="43" t="s">
        <v>3375</v>
      </c>
      <c r="L173" s="32" t="e">
        <f ca="1">_xludf.ifna(VLOOKUP(E173,Parámetros!$D$2:$E$34,2,0),"")</f>
        <v>#NAME?</v>
      </c>
      <c r="M173" s="32" t="e">
        <f ca="1">_xludf.ifna(VLOOKUP(G173,Proyectos!$A$2:$T$674,20,0),"")</f>
        <v>#NAME?</v>
      </c>
      <c r="N173" s="32" t="e">
        <f ca="1">_xludf.ifna(VLOOKUP(G173,Proyectos!$A$2:$S$674,19,0))</f>
        <v>#NAME?</v>
      </c>
      <c r="O173" s="32"/>
      <c r="P173" s="31"/>
      <c r="Q173" s="33"/>
      <c r="R173" s="33"/>
      <c r="S173" s="33"/>
      <c r="T173" s="33"/>
      <c r="U173" s="33"/>
      <c r="V173" s="33"/>
      <c r="W173" s="33"/>
    </row>
    <row r="174" spans="1:23" ht="16.5" customHeight="1" x14ac:dyDescent="0.2">
      <c r="A174" s="26" t="s">
        <v>3949</v>
      </c>
      <c r="B174" s="26" t="s">
        <v>3950</v>
      </c>
      <c r="C174" s="26" t="s">
        <v>37</v>
      </c>
      <c r="D174" s="26" t="s">
        <v>45</v>
      </c>
      <c r="E174" s="26" t="s">
        <v>138</v>
      </c>
      <c r="F174" s="28" t="e">
        <f ca="1">_xludf.ifna(VLOOKUP(G174,Proyectos!$A$2:$F$674,6,0),"")</f>
        <v>#NAME?</v>
      </c>
      <c r="G174" s="26" t="s">
        <v>5150</v>
      </c>
      <c r="H174" s="32">
        <v>0.25</v>
      </c>
      <c r="I174" s="31" t="s">
        <v>11</v>
      </c>
      <c r="J174" s="31" t="s">
        <v>72</v>
      </c>
      <c r="K174" s="43" t="s">
        <v>3375</v>
      </c>
      <c r="L174" s="32" t="e">
        <f ca="1">_xludf.ifna(VLOOKUP(E174,Parámetros!$D$2:$E$34,2,0),"")</f>
        <v>#NAME?</v>
      </c>
      <c r="M174" s="32" t="e">
        <f ca="1">_xludf.ifna(VLOOKUP(G174,Proyectos!$A$2:$T$674,20,0),"")</f>
        <v>#NAME?</v>
      </c>
      <c r="N174" s="32" t="e">
        <f ca="1">_xludf.ifna(VLOOKUP(G174,Proyectos!$A$2:$S$674,19,0))</f>
        <v>#NAME?</v>
      </c>
      <c r="O174" s="32"/>
      <c r="P174" s="31"/>
      <c r="Q174" s="33"/>
      <c r="R174" s="33"/>
      <c r="S174" s="33"/>
      <c r="T174" s="33"/>
      <c r="U174" s="33"/>
      <c r="V174" s="33"/>
      <c r="W174" s="33"/>
    </row>
    <row r="175" spans="1:23" ht="16.5" customHeight="1" x14ac:dyDescent="0.2">
      <c r="A175" s="26" t="s">
        <v>3949</v>
      </c>
      <c r="B175" s="26" t="s">
        <v>3950</v>
      </c>
      <c r="C175" s="26" t="s">
        <v>37</v>
      </c>
      <c r="D175" s="26" t="s">
        <v>45</v>
      </c>
      <c r="E175" s="26" t="s">
        <v>138</v>
      </c>
      <c r="F175" s="28" t="e">
        <f ca="1">_xludf.ifna(VLOOKUP(G175,Proyectos!$A$2:$F$674,6,0),"")</f>
        <v>#NAME?</v>
      </c>
      <c r="G175" s="26" t="s">
        <v>5123</v>
      </c>
      <c r="H175" s="32">
        <v>0.25</v>
      </c>
      <c r="I175" s="31" t="s">
        <v>11</v>
      </c>
      <c r="J175" s="31" t="s">
        <v>72</v>
      </c>
      <c r="K175" s="43" t="s">
        <v>3375</v>
      </c>
      <c r="L175" s="32" t="e">
        <f ca="1">_xludf.ifna(VLOOKUP(E175,Parámetros!$D$2:$E$34,2,0),"")</f>
        <v>#NAME?</v>
      </c>
      <c r="M175" s="32" t="e">
        <f ca="1">_xludf.ifna(VLOOKUP(G175,Proyectos!$A$2:$T$674,20,0),"")</f>
        <v>#NAME?</v>
      </c>
      <c r="N175" s="32" t="e">
        <f ca="1">_xludf.ifna(VLOOKUP(G175,Proyectos!$A$2:$S$674,19,0))</f>
        <v>#NAME?</v>
      </c>
      <c r="O175" s="32"/>
      <c r="P175" s="31"/>
      <c r="Q175" s="33"/>
      <c r="R175" s="33"/>
      <c r="S175" s="33"/>
      <c r="T175" s="33"/>
      <c r="U175" s="33"/>
      <c r="V175" s="33"/>
      <c r="W175" s="33"/>
    </row>
    <row r="176" spans="1:23" ht="16.5" customHeight="1" x14ac:dyDescent="0.2">
      <c r="A176" s="26" t="s">
        <v>4407</v>
      </c>
      <c r="B176" s="26" t="s">
        <v>4408</v>
      </c>
      <c r="C176" s="26" t="s">
        <v>37</v>
      </c>
      <c r="D176" s="26" t="s">
        <v>45</v>
      </c>
      <c r="E176" s="26" t="s">
        <v>138</v>
      </c>
      <c r="F176" s="28" t="e">
        <f ca="1">_xludf.ifna(VLOOKUP(G176,Proyectos!$A$2:$F$674,6,0),"")</f>
        <v>#NAME?</v>
      </c>
      <c r="G176" s="26" t="s">
        <v>5150</v>
      </c>
      <c r="H176" s="32">
        <v>0.25</v>
      </c>
      <c r="I176" s="31" t="s">
        <v>32</v>
      </c>
      <c r="J176" s="31" t="s">
        <v>72</v>
      </c>
      <c r="K176" s="43" t="s">
        <v>3375</v>
      </c>
      <c r="L176" s="32" t="e">
        <f ca="1">_xludf.ifna(VLOOKUP(E176,Parámetros!$D$2:$E$34,2,0),"")</f>
        <v>#NAME?</v>
      </c>
      <c r="M176" s="32" t="e">
        <f ca="1">_xludf.ifna(VLOOKUP(G176,Proyectos!$A$2:$T$674,20,0),"")</f>
        <v>#NAME?</v>
      </c>
      <c r="N176" s="32" t="e">
        <f ca="1">_xludf.ifna(VLOOKUP(G176,Proyectos!$A$2:$S$674,19,0))</f>
        <v>#NAME?</v>
      </c>
      <c r="O176" s="32"/>
      <c r="P176" s="31"/>
      <c r="Q176" s="33"/>
      <c r="R176" s="33"/>
      <c r="S176" s="33"/>
      <c r="T176" s="33"/>
      <c r="U176" s="33"/>
      <c r="V176" s="33"/>
      <c r="W176" s="33"/>
    </row>
    <row r="177" spans="1:23" ht="16.5" customHeight="1" x14ac:dyDescent="0.2">
      <c r="A177" s="26" t="s">
        <v>4407</v>
      </c>
      <c r="B177" s="26" t="s">
        <v>4408</v>
      </c>
      <c r="C177" s="26" t="s">
        <v>37</v>
      </c>
      <c r="D177" s="26" t="s">
        <v>45</v>
      </c>
      <c r="E177" s="26" t="s">
        <v>138</v>
      </c>
      <c r="F177" s="28" t="e">
        <f ca="1">_xludf.ifna(VLOOKUP(G177,Proyectos!$A$2:$F$674,6,0),"")</f>
        <v>#NAME?</v>
      </c>
      <c r="G177" s="26" t="s">
        <v>5123</v>
      </c>
      <c r="H177" s="32">
        <v>0.25</v>
      </c>
      <c r="I177" s="31" t="s">
        <v>32</v>
      </c>
      <c r="J177" s="31" t="s">
        <v>72</v>
      </c>
      <c r="K177" s="43" t="s">
        <v>3375</v>
      </c>
      <c r="L177" s="32" t="e">
        <f ca="1">_xludf.ifna(VLOOKUP(E177,Parámetros!$D$2:$E$34,2,0),"")</f>
        <v>#NAME?</v>
      </c>
      <c r="M177" s="32" t="e">
        <f ca="1">_xludf.ifna(VLOOKUP(G177,Proyectos!$A$2:$T$674,20,0),"")</f>
        <v>#NAME?</v>
      </c>
      <c r="N177" s="32" t="e">
        <f ca="1">_xludf.ifna(VLOOKUP(G177,Proyectos!$A$2:$S$674,19,0))</f>
        <v>#NAME?</v>
      </c>
      <c r="O177" s="31"/>
      <c r="P177" s="31"/>
      <c r="Q177" s="33"/>
      <c r="R177" s="33"/>
      <c r="S177" s="33"/>
      <c r="T177" s="33"/>
      <c r="U177" s="33"/>
      <c r="V177" s="33"/>
      <c r="W177" s="33"/>
    </row>
    <row r="178" spans="1:23" ht="16.5" customHeight="1" x14ac:dyDescent="0.2">
      <c r="A178" s="26" t="s">
        <v>4411</v>
      </c>
      <c r="B178" s="26" t="s">
        <v>4412</v>
      </c>
      <c r="C178" s="26" t="s">
        <v>37</v>
      </c>
      <c r="D178" s="26" t="s">
        <v>45</v>
      </c>
      <c r="E178" s="26" t="s">
        <v>138</v>
      </c>
      <c r="F178" s="28" t="e">
        <f ca="1">_xludf.ifna(VLOOKUP(G178,Proyectos!$A$2:$F$674,6,0),"")</f>
        <v>#NAME?</v>
      </c>
      <c r="G178" s="26" t="s">
        <v>5123</v>
      </c>
      <c r="H178" s="32">
        <v>0.5</v>
      </c>
      <c r="I178" s="31" t="s">
        <v>18</v>
      </c>
      <c r="J178" s="31" t="s">
        <v>72</v>
      </c>
      <c r="K178" s="43" t="s">
        <v>3375</v>
      </c>
      <c r="L178" s="32" t="e">
        <f ca="1">_xludf.ifna(VLOOKUP(E178,Parámetros!$D$2:$E$34,2,0),"")</f>
        <v>#NAME?</v>
      </c>
      <c r="M178" s="32" t="e">
        <f ca="1">_xludf.ifna(VLOOKUP(G178,Proyectos!$A$2:$T$674,20,0),"")</f>
        <v>#NAME?</v>
      </c>
      <c r="N178" s="32" t="e">
        <f ca="1">_xludf.ifna(VLOOKUP(G178,Proyectos!$A$2:$S$674,19,0))</f>
        <v>#NAME?</v>
      </c>
      <c r="O178" s="32"/>
      <c r="P178" s="31"/>
      <c r="Q178" s="33"/>
      <c r="R178" s="33"/>
      <c r="S178" s="33"/>
      <c r="T178" s="33"/>
      <c r="U178" s="33"/>
      <c r="V178" s="33"/>
      <c r="W178" s="33"/>
    </row>
    <row r="179" spans="1:23" ht="16.5" customHeight="1" x14ac:dyDescent="0.2">
      <c r="A179" s="26" t="s">
        <v>4411</v>
      </c>
      <c r="B179" s="26" t="s">
        <v>4412</v>
      </c>
      <c r="C179" s="26" t="s">
        <v>37</v>
      </c>
      <c r="D179" s="26" t="s">
        <v>45</v>
      </c>
      <c r="E179" s="26" t="s">
        <v>138</v>
      </c>
      <c r="F179" s="28" t="e">
        <f ca="1">_xludf.ifna(VLOOKUP(G179,Proyectos!$A$2:$F$674,6,0),"")</f>
        <v>#NAME?</v>
      </c>
      <c r="G179" s="26" t="s">
        <v>5152</v>
      </c>
      <c r="H179" s="32">
        <v>0.3</v>
      </c>
      <c r="I179" s="31" t="s">
        <v>18</v>
      </c>
      <c r="J179" s="31" t="s">
        <v>72</v>
      </c>
      <c r="K179" s="43" t="s">
        <v>3375</v>
      </c>
      <c r="L179" s="32" t="e">
        <f ca="1">_xludf.ifna(VLOOKUP(E179,Parámetros!$D$2:$E$34,2,0),"")</f>
        <v>#NAME?</v>
      </c>
      <c r="M179" s="32" t="e">
        <f ca="1">_xludf.ifna(VLOOKUP(G179,Proyectos!$A$2:$T$674,20,0),"")</f>
        <v>#NAME?</v>
      </c>
      <c r="N179" s="32" t="e">
        <f ca="1">_xludf.ifna(VLOOKUP(G179,Proyectos!$A$2:$S$674,19,0))</f>
        <v>#NAME?</v>
      </c>
      <c r="O179" s="32"/>
      <c r="P179" s="31"/>
      <c r="Q179" s="33"/>
      <c r="R179" s="33"/>
      <c r="S179" s="33"/>
      <c r="T179" s="33"/>
      <c r="U179" s="33"/>
      <c r="V179" s="33"/>
      <c r="W179" s="33"/>
    </row>
    <row r="180" spans="1:23" ht="16.5" customHeight="1" x14ac:dyDescent="0.2">
      <c r="A180" s="26" t="s">
        <v>4409</v>
      </c>
      <c r="B180" s="26" t="s">
        <v>4410</v>
      </c>
      <c r="C180" s="26" t="s">
        <v>37</v>
      </c>
      <c r="D180" s="26" t="s">
        <v>45</v>
      </c>
      <c r="E180" s="26" t="s">
        <v>138</v>
      </c>
      <c r="F180" s="28" t="e">
        <f ca="1">_xludf.ifna(VLOOKUP(G180,Proyectos!$A$2:$F$674,6,0),"")</f>
        <v>#NAME?</v>
      </c>
      <c r="G180" s="26" t="s">
        <v>5123</v>
      </c>
      <c r="H180" s="32">
        <v>0.4</v>
      </c>
      <c r="I180" s="31" t="s">
        <v>18</v>
      </c>
      <c r="J180" s="31" t="s">
        <v>72</v>
      </c>
      <c r="K180" s="43" t="s">
        <v>3375</v>
      </c>
      <c r="L180" s="32" t="e">
        <f ca="1">_xludf.ifna(VLOOKUP(E180,Parámetros!$D$2:$E$34,2,0),"")</f>
        <v>#NAME?</v>
      </c>
      <c r="M180" s="32" t="e">
        <f ca="1">_xludf.ifna(VLOOKUP(G180,Proyectos!$A$2:$T$674,20,0),"")</f>
        <v>#NAME?</v>
      </c>
      <c r="N180" s="32" t="e">
        <f ca="1">_xludf.ifna(VLOOKUP(G180,Proyectos!$A$2:$S$674,19,0))</f>
        <v>#NAME?</v>
      </c>
      <c r="O180" s="31"/>
      <c r="P180" s="31"/>
      <c r="Q180" s="33"/>
      <c r="R180" s="33"/>
      <c r="S180" s="33"/>
      <c r="T180" s="33"/>
      <c r="U180" s="33"/>
      <c r="V180" s="33"/>
      <c r="W180" s="33"/>
    </row>
    <row r="181" spans="1:23" ht="16.5" customHeight="1" x14ac:dyDescent="0.2">
      <c r="A181" s="26" t="s">
        <v>4202</v>
      </c>
      <c r="B181" s="26" t="s">
        <v>4203</v>
      </c>
      <c r="C181" s="26" t="s">
        <v>37</v>
      </c>
      <c r="D181" s="26" t="s">
        <v>45</v>
      </c>
      <c r="E181" s="26" t="s">
        <v>138</v>
      </c>
      <c r="F181" s="28" t="e">
        <f ca="1">_xludf.ifna(VLOOKUP(G181,Proyectos!$A$2:$F$674,6,0),"")</f>
        <v>#NAME?</v>
      </c>
      <c r="G181" s="26" t="s">
        <v>5150</v>
      </c>
      <c r="H181" s="32">
        <v>0.3</v>
      </c>
      <c r="I181" s="31" t="s">
        <v>18</v>
      </c>
      <c r="J181" s="31" t="s">
        <v>72</v>
      </c>
      <c r="K181" s="43" t="s">
        <v>3375</v>
      </c>
      <c r="L181" s="32" t="e">
        <f ca="1">_xludf.ifna(VLOOKUP(E181,Parámetros!$D$2:$E$34,2,0),"")</f>
        <v>#NAME?</v>
      </c>
      <c r="M181" s="32" t="e">
        <f ca="1">_xludf.ifna(VLOOKUP(G181,Proyectos!$A$2:$T$674,20,0),"")</f>
        <v>#NAME?</v>
      </c>
      <c r="N181" s="32" t="e">
        <f ca="1">_xludf.ifna(VLOOKUP(G181,Proyectos!$A$2:$S$674,19,0))</f>
        <v>#NAME?</v>
      </c>
      <c r="O181" s="31"/>
      <c r="P181" s="31"/>
      <c r="Q181" s="33"/>
      <c r="R181" s="33"/>
      <c r="S181" s="33"/>
      <c r="T181" s="33"/>
      <c r="U181" s="33"/>
      <c r="V181" s="33"/>
      <c r="W181" s="33"/>
    </row>
    <row r="182" spans="1:23" ht="16.5" customHeight="1" x14ac:dyDescent="0.2">
      <c r="A182" s="26" t="s">
        <v>4185</v>
      </c>
      <c r="B182" s="26" t="s">
        <v>4186</v>
      </c>
      <c r="C182" s="26" t="s">
        <v>37</v>
      </c>
      <c r="D182" s="26" t="s">
        <v>45</v>
      </c>
      <c r="E182" s="26" t="s">
        <v>138</v>
      </c>
      <c r="F182" s="28" t="e">
        <f ca="1">_xludf.ifna(VLOOKUP(G182,Proyectos!$A$2:$F$674,6,0),"")</f>
        <v>#NAME?</v>
      </c>
      <c r="G182" s="26" t="s">
        <v>5151</v>
      </c>
      <c r="H182" s="32">
        <v>0.25</v>
      </c>
      <c r="I182" s="31" t="s">
        <v>11</v>
      </c>
      <c r="J182" s="31" t="s">
        <v>72</v>
      </c>
      <c r="K182" s="43" t="s">
        <v>3375</v>
      </c>
      <c r="L182" s="32" t="e">
        <f ca="1">_xludf.ifna(VLOOKUP(E182,Parámetros!$D$2:$E$34,2,0),"")</f>
        <v>#NAME?</v>
      </c>
      <c r="M182" s="32" t="e">
        <f ca="1">_xludf.ifna(VLOOKUP(G182,Proyectos!$A$2:$T$674,20,0),"")</f>
        <v>#NAME?</v>
      </c>
      <c r="N182" s="32" t="e">
        <f ca="1">_xludf.ifna(VLOOKUP(G182,Proyectos!$A$2:$S$674,19,0))</f>
        <v>#NAME?</v>
      </c>
      <c r="O182" s="31"/>
      <c r="P182" s="31"/>
      <c r="Q182" s="33"/>
      <c r="R182" s="33"/>
      <c r="S182" s="33"/>
      <c r="T182" s="33"/>
      <c r="U182" s="33"/>
      <c r="V182" s="33"/>
      <c r="W182" s="33"/>
    </row>
    <row r="183" spans="1:23" ht="16.5" customHeight="1" x14ac:dyDescent="0.2">
      <c r="A183" s="26" t="s">
        <v>4185</v>
      </c>
      <c r="B183" s="26" t="s">
        <v>4186</v>
      </c>
      <c r="C183" s="26" t="s">
        <v>37</v>
      </c>
      <c r="D183" s="26" t="s">
        <v>45</v>
      </c>
      <c r="E183" s="26" t="s">
        <v>138</v>
      </c>
      <c r="F183" s="28" t="e">
        <f ca="1">_xludf.ifna(VLOOKUP(G183,Proyectos!$A$2:$F$674,6,0),"")</f>
        <v>#NAME?</v>
      </c>
      <c r="G183" s="26" t="s">
        <v>5152</v>
      </c>
      <c r="H183" s="32">
        <v>0.25</v>
      </c>
      <c r="I183" s="31" t="s">
        <v>11</v>
      </c>
      <c r="J183" s="31" t="s">
        <v>72</v>
      </c>
      <c r="K183" s="43" t="s">
        <v>3375</v>
      </c>
      <c r="L183" s="32" t="e">
        <f ca="1">_xludf.ifna(VLOOKUP(E183,Parámetros!$D$2:$E$34,2,0),"")</f>
        <v>#NAME?</v>
      </c>
      <c r="M183" s="32" t="e">
        <f ca="1">_xludf.ifna(VLOOKUP(G183,Proyectos!$A$2:$T$674,20,0),"")</f>
        <v>#NAME?</v>
      </c>
      <c r="N183" s="32" t="e">
        <f ca="1">_xludf.ifna(VLOOKUP(G183,Proyectos!$A$2:$S$674,19,0))</f>
        <v>#NAME?</v>
      </c>
      <c r="O183" s="31"/>
      <c r="P183" s="31"/>
      <c r="Q183" s="33"/>
      <c r="R183" s="33"/>
      <c r="S183" s="33"/>
      <c r="T183" s="33"/>
      <c r="U183" s="33"/>
      <c r="V183" s="33"/>
      <c r="W183" s="33"/>
    </row>
    <row r="184" spans="1:23" ht="16.5" customHeight="1" x14ac:dyDescent="0.2">
      <c r="A184" s="26" t="s">
        <v>4049</v>
      </c>
      <c r="B184" s="26" t="s">
        <v>4050</v>
      </c>
      <c r="C184" s="53" t="s">
        <v>98</v>
      </c>
      <c r="D184" s="26" t="s">
        <v>105</v>
      </c>
      <c r="E184" s="26" t="s">
        <v>83</v>
      </c>
      <c r="F184" s="28" t="e">
        <f ca="1">_xludf.ifna(VLOOKUP(G184,Proyectos!$A$2:$F$674,6,0),"")</f>
        <v>#NAME?</v>
      </c>
      <c r="G184" s="29" t="s">
        <v>5114</v>
      </c>
      <c r="H184" s="32">
        <v>1</v>
      </c>
      <c r="I184" s="31" t="s">
        <v>25</v>
      </c>
      <c r="J184" s="31" t="s">
        <v>41</v>
      </c>
      <c r="K184" s="32"/>
      <c r="L184" s="32" t="e">
        <f ca="1">_xludf.ifna(VLOOKUP(E184,Parámetros!$D$2:$E$34,2,0),"")</f>
        <v>#NAME?</v>
      </c>
      <c r="M184" s="32" t="e">
        <f ca="1">_xludf.ifna(VLOOKUP(G184,Proyectos!$A$2:$T$674,20,0),"")</f>
        <v>#NAME?</v>
      </c>
      <c r="N184" s="32" t="e">
        <f ca="1">_xludf.ifna(VLOOKUP(G184,Proyectos!$A$2:$S$674,19,0))</f>
        <v>#NAME?</v>
      </c>
      <c r="O184" s="32"/>
      <c r="P184" s="31"/>
      <c r="Q184" s="33"/>
      <c r="R184" s="33"/>
      <c r="S184" s="33"/>
      <c r="T184" s="33"/>
      <c r="U184" s="33"/>
      <c r="V184" s="33"/>
      <c r="W184" s="33"/>
    </row>
    <row r="185" spans="1:23" ht="16.5" customHeight="1" x14ac:dyDescent="0.2">
      <c r="A185" s="26" t="s">
        <v>4885</v>
      </c>
      <c r="B185" s="26" t="s">
        <v>4886</v>
      </c>
      <c r="C185" s="26" t="s">
        <v>98</v>
      </c>
      <c r="D185" s="26" t="s">
        <v>105</v>
      </c>
      <c r="E185" s="26" t="s">
        <v>93</v>
      </c>
      <c r="F185" s="28" t="e">
        <f ca="1">_xludf.ifna(VLOOKUP(G185,Proyectos!$A$2:$F$674,6,0),"")</f>
        <v>#NAME?</v>
      </c>
      <c r="G185" s="29" t="s">
        <v>5114</v>
      </c>
      <c r="H185" s="32">
        <v>1</v>
      </c>
      <c r="I185" s="31" t="s">
        <v>18</v>
      </c>
      <c r="J185" s="31" t="s">
        <v>41</v>
      </c>
      <c r="K185" s="43"/>
      <c r="L185" s="32" t="e">
        <f ca="1">_xludf.ifna(VLOOKUP(E185,Parámetros!$D$2:$E$34,2,0),"")</f>
        <v>#NAME?</v>
      </c>
      <c r="M185" s="32" t="e">
        <f ca="1">_xludf.ifna(VLOOKUP(G185,Proyectos!$A$2:$T$674,20,0),"")</f>
        <v>#NAME?</v>
      </c>
      <c r="N185" s="32" t="e">
        <f ca="1">_xludf.ifna(VLOOKUP(G185,Proyectos!$A$2:$S$674,19,0))</f>
        <v>#NAME?</v>
      </c>
      <c r="O185" s="31"/>
      <c r="P185" s="31"/>
      <c r="Q185" s="33"/>
      <c r="R185" s="33"/>
      <c r="S185" s="33"/>
      <c r="T185" s="33"/>
      <c r="U185" s="33"/>
      <c r="V185" s="33"/>
      <c r="W185" s="33"/>
    </row>
    <row r="186" spans="1:23" ht="16.5" customHeight="1" x14ac:dyDescent="0.2">
      <c r="A186" s="26" t="s">
        <v>4390</v>
      </c>
      <c r="B186" s="26" t="s">
        <v>4391</v>
      </c>
      <c r="C186" s="26" t="s">
        <v>98</v>
      </c>
      <c r="D186" s="26" t="s">
        <v>105</v>
      </c>
      <c r="E186" s="26" t="s">
        <v>93</v>
      </c>
      <c r="F186" s="28" t="e">
        <f ca="1">_xludf.ifna(VLOOKUP(G186,Proyectos!$A$2:$F$674,6,0),"")</f>
        <v>#NAME?</v>
      </c>
      <c r="G186" s="29" t="s">
        <v>5114</v>
      </c>
      <c r="H186" s="32">
        <v>1</v>
      </c>
      <c r="I186" s="31" t="s">
        <v>18</v>
      </c>
      <c r="J186" s="31" t="s">
        <v>41</v>
      </c>
      <c r="K186" s="32"/>
      <c r="L186" s="32" t="e">
        <f ca="1">_xludf.ifna(VLOOKUP(E186,Parámetros!$D$2:$E$34,2,0),"")</f>
        <v>#NAME?</v>
      </c>
      <c r="M186" s="32" t="e">
        <f ca="1">_xludf.ifna(VLOOKUP(G186,Proyectos!$A$2:$T$674,20,0),"")</f>
        <v>#NAME?</v>
      </c>
      <c r="N186" s="32" t="e">
        <f ca="1">_xludf.ifna(VLOOKUP(G186,Proyectos!$A$2:$S$674,19,0))</f>
        <v>#NAME?</v>
      </c>
      <c r="O186" s="31"/>
      <c r="P186" s="31"/>
      <c r="Q186" s="33"/>
      <c r="R186" s="33"/>
      <c r="S186" s="33"/>
      <c r="T186" s="33"/>
      <c r="U186" s="33"/>
      <c r="V186" s="33"/>
      <c r="W186" s="33"/>
    </row>
    <row r="187" spans="1:23" ht="16.5" customHeight="1" x14ac:dyDescent="0.2">
      <c r="A187" s="26" t="s">
        <v>4697</v>
      </c>
      <c r="B187" s="26" t="s">
        <v>4698</v>
      </c>
      <c r="C187" s="26" t="s">
        <v>98</v>
      </c>
      <c r="D187" s="26" t="s">
        <v>105</v>
      </c>
      <c r="E187" s="26" t="s">
        <v>39</v>
      </c>
      <c r="F187" s="28" t="e">
        <f ca="1">_xludf.ifna(VLOOKUP(G187,Proyectos!$A$2:$F$674,6,0),"")</f>
        <v>#NAME?</v>
      </c>
      <c r="G187" s="29" t="s">
        <v>5114</v>
      </c>
      <c r="H187" s="32">
        <v>1</v>
      </c>
      <c r="I187" s="31" t="s">
        <v>18</v>
      </c>
      <c r="J187" s="31" t="s">
        <v>41</v>
      </c>
      <c r="K187" s="32"/>
      <c r="L187" s="32" t="e">
        <f ca="1">_xludf.ifna(VLOOKUP(E187,Parámetros!$D$2:$E$34,2,0),"")</f>
        <v>#NAME?</v>
      </c>
      <c r="M187" s="32" t="e">
        <f ca="1">_xludf.ifna(VLOOKUP(G187,Proyectos!$A$2:$T$674,20,0),"")</f>
        <v>#NAME?</v>
      </c>
      <c r="N187" s="32" t="e">
        <f ca="1">_xludf.ifna(VLOOKUP(G187,Proyectos!$A$2:$S$674,19,0))</f>
        <v>#NAME?</v>
      </c>
      <c r="O187" s="32"/>
      <c r="P187" s="31"/>
      <c r="Q187" s="33"/>
      <c r="R187" s="33"/>
      <c r="S187" s="33"/>
      <c r="T187" s="33"/>
      <c r="U187" s="33"/>
      <c r="V187" s="33"/>
      <c r="W187" s="33"/>
    </row>
    <row r="188" spans="1:23" ht="16.5" customHeight="1" x14ac:dyDescent="0.2">
      <c r="A188" s="26" t="s">
        <v>3580</v>
      </c>
      <c r="B188" s="26" t="s">
        <v>3581</v>
      </c>
      <c r="C188" s="26" t="s">
        <v>98</v>
      </c>
      <c r="D188" s="26" t="s">
        <v>105</v>
      </c>
      <c r="E188" s="26" t="s">
        <v>39</v>
      </c>
      <c r="F188" s="28" t="e">
        <f ca="1">_xludf.ifna(VLOOKUP(G188,Proyectos!$A$2:$F$674,6,0),"")</f>
        <v>#NAME?</v>
      </c>
      <c r="G188" s="29" t="s">
        <v>5114</v>
      </c>
      <c r="H188" s="32">
        <v>1</v>
      </c>
      <c r="I188" s="31" t="s">
        <v>18</v>
      </c>
      <c r="J188" s="31" t="s">
        <v>41</v>
      </c>
      <c r="K188" s="32"/>
      <c r="L188" s="32" t="e">
        <f ca="1">_xludf.ifna(VLOOKUP(E188,Parámetros!$D$2:$E$34,2,0),"")</f>
        <v>#NAME?</v>
      </c>
      <c r="M188" s="32" t="e">
        <f ca="1">_xludf.ifna(VLOOKUP(G188,Proyectos!$A$2:$T$674,20,0),"")</f>
        <v>#NAME?</v>
      </c>
      <c r="N188" s="32" t="e">
        <f ca="1">_xludf.ifna(VLOOKUP(G188,Proyectos!$A$2:$S$674,19,0))</f>
        <v>#NAME?</v>
      </c>
      <c r="O188" s="31"/>
      <c r="P188" s="31"/>
      <c r="Q188" s="33"/>
      <c r="R188" s="33"/>
      <c r="S188" s="33"/>
      <c r="T188" s="33"/>
      <c r="U188" s="33"/>
      <c r="V188" s="33"/>
      <c r="W188" s="33"/>
    </row>
    <row r="189" spans="1:23" ht="16.5" customHeight="1" x14ac:dyDescent="0.2">
      <c r="A189" s="26" t="s">
        <v>3560</v>
      </c>
      <c r="B189" s="26" t="s">
        <v>3561</v>
      </c>
      <c r="C189" s="26" t="s">
        <v>98</v>
      </c>
      <c r="D189" s="26" t="s">
        <v>105</v>
      </c>
      <c r="E189" s="26" t="s">
        <v>39</v>
      </c>
      <c r="F189" s="28" t="e">
        <f ca="1">_xludf.ifna(VLOOKUP(G189,Proyectos!$A$2:$F$674,6,0),"")</f>
        <v>#NAME?</v>
      </c>
      <c r="G189" s="29" t="s">
        <v>5114</v>
      </c>
      <c r="H189" s="32">
        <v>0.75</v>
      </c>
      <c r="I189" s="31" t="s">
        <v>18</v>
      </c>
      <c r="J189" s="31" t="s">
        <v>72</v>
      </c>
      <c r="K189" s="32"/>
      <c r="L189" s="32" t="e">
        <f ca="1">_xludf.ifna(VLOOKUP(E189,Parámetros!$D$2:$E$34,2,0),"")</f>
        <v>#NAME?</v>
      </c>
      <c r="M189" s="32" t="e">
        <f ca="1">_xludf.ifna(VLOOKUP(G189,Proyectos!$A$2:$T$674,20,0),"")</f>
        <v>#NAME?</v>
      </c>
      <c r="N189" s="32" t="e">
        <f ca="1">_xludf.ifna(VLOOKUP(G189,Proyectos!$A$2:$S$674,19,0))</f>
        <v>#NAME?</v>
      </c>
      <c r="O189" s="32"/>
      <c r="P189" s="31"/>
      <c r="Q189" s="33"/>
      <c r="R189" s="33"/>
      <c r="S189" s="33"/>
      <c r="T189" s="33"/>
      <c r="U189" s="33"/>
      <c r="V189" s="33"/>
      <c r="W189" s="33"/>
    </row>
    <row r="190" spans="1:23" ht="16.5" customHeight="1" x14ac:dyDescent="0.2">
      <c r="A190" s="26" t="s">
        <v>3757</v>
      </c>
      <c r="B190" s="26" t="s">
        <v>3758</v>
      </c>
      <c r="C190" s="26" t="s">
        <v>98</v>
      </c>
      <c r="D190" s="26" t="s">
        <v>105</v>
      </c>
      <c r="E190" s="26" t="s">
        <v>39</v>
      </c>
      <c r="F190" s="28" t="e">
        <f ca="1">_xludf.ifna(VLOOKUP(G190,Proyectos!$A$2:$F$674,6,0),"")</f>
        <v>#NAME?</v>
      </c>
      <c r="G190" s="29" t="s">
        <v>5114</v>
      </c>
      <c r="H190" s="32">
        <v>1</v>
      </c>
      <c r="I190" s="31" t="s">
        <v>11</v>
      </c>
      <c r="J190" s="31" t="s">
        <v>41</v>
      </c>
      <c r="K190" s="32"/>
      <c r="L190" s="32" t="e">
        <f ca="1">_xludf.ifna(VLOOKUP(E190,Parámetros!$D$2:$E$34,2,0),"")</f>
        <v>#NAME?</v>
      </c>
      <c r="M190" s="32" t="e">
        <f ca="1">_xludf.ifna(VLOOKUP(G190,Proyectos!$A$2:$T$674,20,0),"")</f>
        <v>#NAME?</v>
      </c>
      <c r="N190" s="32" t="e">
        <f ca="1">_xludf.ifna(VLOOKUP(G190,Proyectos!$A$2:$S$674,19,0))</f>
        <v>#NAME?</v>
      </c>
      <c r="O190" s="32"/>
      <c r="P190" s="31"/>
      <c r="Q190" s="33"/>
      <c r="R190" s="33"/>
      <c r="S190" s="33"/>
      <c r="T190" s="33"/>
      <c r="U190" s="33"/>
      <c r="V190" s="33"/>
      <c r="W190" s="33"/>
    </row>
    <row r="191" spans="1:23" ht="16.5" customHeight="1" x14ac:dyDescent="0.2">
      <c r="A191" s="27" t="s">
        <v>3410</v>
      </c>
      <c r="B191" s="27" t="s">
        <v>3411</v>
      </c>
      <c r="C191" s="27" t="s">
        <v>7</v>
      </c>
      <c r="D191" s="27" t="s">
        <v>8</v>
      </c>
      <c r="E191" s="27" t="s">
        <v>39</v>
      </c>
      <c r="F191" s="28" t="e">
        <f ca="1">_xludf.ifna(VLOOKUP(G191,Proyectos!$A$2:$F$674,6,0),"")</f>
        <v>#NAME?</v>
      </c>
      <c r="G191" s="29" t="s">
        <v>5114</v>
      </c>
      <c r="H191" s="32">
        <v>1</v>
      </c>
      <c r="I191" s="47" t="s">
        <v>11</v>
      </c>
      <c r="J191" s="44" t="s">
        <v>61</v>
      </c>
      <c r="K191" s="32"/>
      <c r="L191" s="32" t="e">
        <f ca="1">_xludf.ifna(VLOOKUP(E191,Parámetros!$D$2:$E$34,2,0),"")</f>
        <v>#NAME?</v>
      </c>
      <c r="M191" s="32" t="e">
        <f ca="1">_xludf.ifna(VLOOKUP(G191,Proyectos!$A$2:$T$674,20,0),"")</f>
        <v>#NAME?</v>
      </c>
      <c r="N191" s="32" t="e">
        <f ca="1">_xludf.ifna(VLOOKUP(G191,Proyectos!$A$2:$S$674,19,0))</f>
        <v>#NAME?</v>
      </c>
      <c r="O191" s="32"/>
      <c r="P191" s="31"/>
      <c r="Q191" s="33"/>
      <c r="R191" s="33"/>
      <c r="S191" s="33"/>
      <c r="T191" s="33"/>
      <c r="U191" s="33"/>
      <c r="V191" s="33"/>
      <c r="W191" s="33"/>
    </row>
    <row r="192" spans="1:23" ht="16.5" customHeight="1" x14ac:dyDescent="0.2">
      <c r="A192" s="27" t="s">
        <v>4607</v>
      </c>
      <c r="B192" s="27" t="s">
        <v>4608</v>
      </c>
      <c r="C192" s="27" t="s">
        <v>7</v>
      </c>
      <c r="D192" s="27" t="s">
        <v>8</v>
      </c>
      <c r="E192" s="27" t="s">
        <v>39</v>
      </c>
      <c r="F192" s="28" t="e">
        <f ca="1">_xludf.ifna(VLOOKUP(G192,Proyectos!$A$2:$F$674,6,0),"")</f>
        <v>#NAME?</v>
      </c>
      <c r="G192" s="29" t="s">
        <v>5114</v>
      </c>
      <c r="H192" s="32">
        <v>1</v>
      </c>
      <c r="I192" s="47" t="s">
        <v>18</v>
      </c>
      <c r="J192" s="44" t="s">
        <v>41</v>
      </c>
      <c r="K192" s="32"/>
      <c r="L192" s="32" t="e">
        <f ca="1">_xludf.ifna(VLOOKUP(E192,Parámetros!$D$2:$E$34,2,0),"")</f>
        <v>#NAME?</v>
      </c>
      <c r="M192" s="32" t="e">
        <f ca="1">_xludf.ifna(VLOOKUP(G192,Proyectos!$A$2:$T$674,20,0),"")</f>
        <v>#NAME?</v>
      </c>
      <c r="N192" s="32" t="e">
        <f ca="1">_xludf.ifna(VLOOKUP(G192,Proyectos!$A$2:$S$674,19,0))</f>
        <v>#NAME?</v>
      </c>
      <c r="O192" s="31"/>
      <c r="P192" s="31"/>
      <c r="Q192" s="33"/>
      <c r="R192" s="33"/>
      <c r="S192" s="33"/>
      <c r="T192" s="33"/>
      <c r="U192" s="33"/>
      <c r="V192" s="33"/>
      <c r="W192" s="33"/>
    </row>
    <row r="193" spans="1:23" ht="16.5" customHeight="1" x14ac:dyDescent="0.2">
      <c r="A193" s="27" t="s">
        <v>4663</v>
      </c>
      <c r="B193" s="27" t="s">
        <v>4664</v>
      </c>
      <c r="C193" s="27" t="s">
        <v>7</v>
      </c>
      <c r="D193" s="27" t="s">
        <v>8</v>
      </c>
      <c r="E193" s="27" t="s">
        <v>39</v>
      </c>
      <c r="F193" s="28" t="e">
        <f ca="1">_xludf.ifna(VLOOKUP(G193,Proyectos!$A$2:$F$674,6,0),"")</f>
        <v>#NAME?</v>
      </c>
      <c r="G193" s="29" t="s">
        <v>5114</v>
      </c>
      <c r="H193" s="32">
        <v>1</v>
      </c>
      <c r="I193" s="47" t="s">
        <v>18</v>
      </c>
      <c r="J193" s="44" t="s">
        <v>61</v>
      </c>
      <c r="K193" s="32"/>
      <c r="L193" s="32" t="e">
        <f ca="1">_xludf.ifna(VLOOKUP(E193,Parámetros!$D$2:$E$34,2,0),"")</f>
        <v>#NAME?</v>
      </c>
      <c r="M193" s="32" t="e">
        <f ca="1">_xludf.ifna(VLOOKUP(G193,Proyectos!$A$2:$T$674,20,0),"")</f>
        <v>#NAME?</v>
      </c>
      <c r="N193" s="32" t="e">
        <f ca="1">_xludf.ifna(VLOOKUP(G193,Proyectos!$A$2:$S$674,19,0))</f>
        <v>#NAME?</v>
      </c>
      <c r="O193" s="31"/>
      <c r="P193" s="31"/>
      <c r="Q193" s="33"/>
      <c r="R193" s="33"/>
      <c r="S193" s="33"/>
      <c r="T193" s="33"/>
      <c r="U193" s="33"/>
      <c r="V193" s="33"/>
      <c r="W193" s="33"/>
    </row>
    <row r="194" spans="1:23" ht="16.5" customHeight="1" x14ac:dyDescent="0.2">
      <c r="A194" s="27" t="s">
        <v>4871</v>
      </c>
      <c r="B194" s="27" t="s">
        <v>4872</v>
      </c>
      <c r="C194" s="27" t="s">
        <v>7</v>
      </c>
      <c r="D194" s="27" t="s">
        <v>8</v>
      </c>
      <c r="E194" s="27" t="s">
        <v>106</v>
      </c>
      <c r="F194" s="28" t="e">
        <f ca="1">_xludf.ifna(VLOOKUP(G194,Proyectos!$A$2:$F$674,6,0),"")</f>
        <v>#NAME?</v>
      </c>
      <c r="G194" s="29" t="s">
        <v>5114</v>
      </c>
      <c r="H194" s="32">
        <v>1</v>
      </c>
      <c r="I194" s="47" t="s">
        <v>11</v>
      </c>
      <c r="J194" s="44" t="s">
        <v>61</v>
      </c>
      <c r="K194" s="32"/>
      <c r="L194" s="32" t="e">
        <f ca="1">_xludf.ifna(VLOOKUP(E194,Parámetros!$D$2:$E$34,2,0),"")</f>
        <v>#NAME?</v>
      </c>
      <c r="M194" s="32" t="e">
        <f ca="1">_xludf.ifna(VLOOKUP(G194,Proyectos!$A$2:$T$674,20,0),"")</f>
        <v>#NAME?</v>
      </c>
      <c r="N194" s="32" t="e">
        <f ca="1">_xludf.ifna(VLOOKUP(G194,Proyectos!$A$2:$S$674,19,0))</f>
        <v>#NAME?</v>
      </c>
      <c r="O194" s="31"/>
      <c r="P194" s="31"/>
      <c r="Q194" s="33"/>
      <c r="R194" s="33"/>
      <c r="S194" s="33"/>
      <c r="T194" s="33"/>
      <c r="U194" s="33"/>
      <c r="V194" s="33"/>
      <c r="W194" s="33"/>
    </row>
    <row r="195" spans="1:23" ht="16.5" customHeight="1" x14ac:dyDescent="0.2">
      <c r="A195" s="27" t="s">
        <v>4204</v>
      </c>
      <c r="B195" s="27" t="s">
        <v>4205</v>
      </c>
      <c r="C195" s="27" t="s">
        <v>7</v>
      </c>
      <c r="D195" s="27" t="s">
        <v>8</v>
      </c>
      <c r="E195" s="27" t="s">
        <v>106</v>
      </c>
      <c r="F195" s="28" t="e">
        <f ca="1">_xludf.ifna(VLOOKUP(G195,Proyectos!$A$2:$F$674,6,0),"")</f>
        <v>#NAME?</v>
      </c>
      <c r="G195" s="29" t="s">
        <v>5114</v>
      </c>
      <c r="H195" s="32">
        <v>1</v>
      </c>
      <c r="I195" s="47" t="s">
        <v>18</v>
      </c>
      <c r="J195" s="44" t="s">
        <v>61</v>
      </c>
      <c r="K195" s="32"/>
      <c r="L195" s="32" t="e">
        <f ca="1">_xludf.ifna(VLOOKUP(E195,Parámetros!$D$2:$E$34,2,0),"")</f>
        <v>#NAME?</v>
      </c>
      <c r="M195" s="32" t="e">
        <f ca="1">_xludf.ifna(VLOOKUP(G195,Proyectos!$A$2:$T$674,20,0),"")</f>
        <v>#NAME?</v>
      </c>
      <c r="N195" s="32" t="e">
        <f ca="1">_xludf.ifna(VLOOKUP(G195,Proyectos!$A$2:$S$674,19,0))</f>
        <v>#NAME?</v>
      </c>
      <c r="O195" s="31"/>
      <c r="P195" s="31"/>
      <c r="Q195" s="33"/>
      <c r="R195" s="33"/>
      <c r="S195" s="33"/>
      <c r="T195" s="33"/>
      <c r="U195" s="33"/>
      <c r="V195" s="33"/>
      <c r="W195" s="33"/>
    </row>
    <row r="196" spans="1:23" ht="16.5" customHeight="1" x14ac:dyDescent="0.2">
      <c r="A196" s="27" t="s">
        <v>4366</v>
      </c>
      <c r="B196" s="27" t="s">
        <v>4367</v>
      </c>
      <c r="C196" s="27" t="s">
        <v>7</v>
      </c>
      <c r="D196" s="27" t="s">
        <v>8</v>
      </c>
      <c r="E196" s="27" t="s">
        <v>106</v>
      </c>
      <c r="F196" s="28" t="e">
        <f ca="1">_xludf.ifna(VLOOKUP(G196,Proyectos!$A$2:$F$674,6,0),"")</f>
        <v>#NAME?</v>
      </c>
      <c r="G196" s="29" t="s">
        <v>5114</v>
      </c>
      <c r="H196" s="32">
        <v>1</v>
      </c>
      <c r="I196" s="47" t="s">
        <v>18</v>
      </c>
      <c r="J196" s="44" t="s">
        <v>41</v>
      </c>
      <c r="K196" s="32"/>
      <c r="L196" s="32" t="e">
        <f ca="1">_xludf.ifna(VLOOKUP(E196,Parámetros!$D$2:$E$34,2,0),"")</f>
        <v>#NAME?</v>
      </c>
      <c r="M196" s="32" t="e">
        <f ca="1">_xludf.ifna(VLOOKUP(G196,Proyectos!$A$2:$T$674,20,0),"")</f>
        <v>#NAME?</v>
      </c>
      <c r="N196" s="32" t="e">
        <f ca="1">_xludf.ifna(VLOOKUP(G196,Proyectos!$A$2:$S$674,19,0))</f>
        <v>#NAME?</v>
      </c>
      <c r="O196" s="31"/>
      <c r="P196" s="31"/>
      <c r="Q196" s="33"/>
      <c r="R196" s="33"/>
      <c r="S196" s="33"/>
      <c r="T196" s="33"/>
      <c r="U196" s="33"/>
      <c r="V196" s="33"/>
      <c r="W196" s="33"/>
    </row>
    <row r="197" spans="1:23" ht="16.5" customHeight="1" x14ac:dyDescent="0.2">
      <c r="A197" s="27" t="s">
        <v>4169</v>
      </c>
      <c r="B197" s="27" t="s">
        <v>4170</v>
      </c>
      <c r="C197" s="27" t="s">
        <v>7</v>
      </c>
      <c r="D197" s="27" t="s">
        <v>8</v>
      </c>
      <c r="E197" s="27" t="s">
        <v>106</v>
      </c>
      <c r="F197" s="28" t="e">
        <f ca="1">_xludf.ifna(VLOOKUP(G197,Proyectos!$A$2:$F$674,6,0),"")</f>
        <v>#NAME?</v>
      </c>
      <c r="G197" s="29" t="s">
        <v>5114</v>
      </c>
      <c r="H197" s="32">
        <v>1</v>
      </c>
      <c r="I197" s="47" t="s">
        <v>18</v>
      </c>
      <c r="J197" s="44" t="s">
        <v>41</v>
      </c>
      <c r="K197" s="51"/>
      <c r="L197" s="32" t="e">
        <f ca="1">_xludf.ifna(VLOOKUP(E197,Parámetros!$D$2:$E$34,2,0),"")</f>
        <v>#NAME?</v>
      </c>
      <c r="M197" s="32" t="e">
        <f ca="1">_xludf.ifna(VLOOKUP(G197,Proyectos!$A$2:$T$674,20,0),"")</f>
        <v>#NAME?</v>
      </c>
      <c r="N197" s="32" t="e">
        <f ca="1">_xludf.ifna(VLOOKUP(G197,Proyectos!$A$2:$S$674,19,0))</f>
        <v>#NAME?</v>
      </c>
      <c r="O197" s="32"/>
      <c r="P197" s="31"/>
      <c r="Q197" s="33"/>
      <c r="R197" s="33"/>
      <c r="S197" s="33"/>
      <c r="T197" s="33"/>
      <c r="U197" s="33"/>
      <c r="V197" s="33"/>
      <c r="W197" s="33"/>
    </row>
    <row r="198" spans="1:23" ht="16.5" customHeight="1" x14ac:dyDescent="0.2">
      <c r="A198" s="27" t="s">
        <v>4144</v>
      </c>
      <c r="B198" s="27" t="s">
        <v>4145</v>
      </c>
      <c r="C198" s="27" t="s">
        <v>7</v>
      </c>
      <c r="D198" s="27" t="s">
        <v>8</v>
      </c>
      <c r="E198" s="27" t="s">
        <v>106</v>
      </c>
      <c r="F198" s="28" t="e">
        <f ca="1">_xludf.ifna(VLOOKUP(G198,Proyectos!$A$2:$F$674,6,0),"")</f>
        <v>#NAME?</v>
      </c>
      <c r="G198" s="29" t="s">
        <v>5114</v>
      </c>
      <c r="H198" s="32">
        <v>0.5</v>
      </c>
      <c r="I198" s="47" t="s">
        <v>18</v>
      </c>
      <c r="J198" s="44" t="s">
        <v>61</v>
      </c>
      <c r="K198" s="27" t="s">
        <v>4146</v>
      </c>
      <c r="L198" s="32" t="e">
        <f ca="1">_xludf.ifna(VLOOKUP(E198,Parámetros!$D$2:$E$34,2,0),"")</f>
        <v>#NAME?</v>
      </c>
      <c r="M198" s="32" t="e">
        <f ca="1">_xludf.ifna(VLOOKUP(G198,Proyectos!$A$2:$T$674,20,0),"")</f>
        <v>#NAME?</v>
      </c>
      <c r="N198" s="32" t="e">
        <f ca="1">_xludf.ifna(VLOOKUP(G198,Proyectos!$A$2:$S$674,19,0))</f>
        <v>#NAME?</v>
      </c>
      <c r="O198" s="31"/>
      <c r="P198" s="31"/>
      <c r="Q198" s="33"/>
      <c r="R198" s="33"/>
      <c r="S198" s="33"/>
      <c r="T198" s="33"/>
      <c r="U198" s="33"/>
      <c r="V198" s="33"/>
      <c r="W198" s="33"/>
    </row>
    <row r="199" spans="1:23" ht="16.5" customHeight="1" x14ac:dyDescent="0.2">
      <c r="A199" s="27" t="s">
        <v>4251</v>
      </c>
      <c r="B199" s="27" t="s">
        <v>4252</v>
      </c>
      <c r="C199" s="27" t="s">
        <v>7</v>
      </c>
      <c r="D199" s="27" t="s">
        <v>8</v>
      </c>
      <c r="E199" s="27" t="s">
        <v>87</v>
      </c>
      <c r="F199" s="28" t="e">
        <f ca="1">_xludf.ifna(VLOOKUP(G199,Proyectos!$A$2:$F$674,6,0),"")</f>
        <v>#NAME?</v>
      </c>
      <c r="G199" s="29" t="s">
        <v>5114</v>
      </c>
      <c r="H199" s="32">
        <v>1</v>
      </c>
      <c r="I199" s="47" t="s">
        <v>25</v>
      </c>
      <c r="J199" s="44" t="s">
        <v>61</v>
      </c>
      <c r="K199" s="51"/>
      <c r="L199" s="32" t="e">
        <f ca="1">_xludf.ifna(VLOOKUP(E199,Parámetros!$D$2:$E$34,2,0),"")</f>
        <v>#NAME?</v>
      </c>
      <c r="M199" s="32" t="e">
        <f ca="1">_xludf.ifna(VLOOKUP(G199,Proyectos!$A$2:$T$674,20,0),"")</f>
        <v>#NAME?</v>
      </c>
      <c r="N199" s="32" t="e">
        <f ca="1">_xludf.ifna(VLOOKUP(G199,Proyectos!$A$2:$S$674,19,0))</f>
        <v>#NAME?</v>
      </c>
      <c r="O199" s="31"/>
      <c r="P199" s="31"/>
      <c r="Q199" s="33"/>
      <c r="R199" s="33"/>
      <c r="S199" s="33"/>
      <c r="T199" s="33"/>
      <c r="U199" s="33"/>
      <c r="V199" s="33"/>
      <c r="W199" s="33"/>
    </row>
    <row r="200" spans="1:23" ht="16.5" customHeight="1" x14ac:dyDescent="0.2">
      <c r="A200" s="35" t="s">
        <v>4767</v>
      </c>
      <c r="B200" s="35" t="s">
        <v>4768</v>
      </c>
      <c r="C200" s="54" t="s">
        <v>7</v>
      </c>
      <c r="D200" s="35" t="s">
        <v>30</v>
      </c>
      <c r="E200" s="35" t="s">
        <v>39</v>
      </c>
      <c r="F200" s="28" t="e">
        <f ca="1">_xludf.ifna(VLOOKUP(G200,Proyectos!$A$2:$F$674,6,0),"")</f>
        <v>#NAME?</v>
      </c>
      <c r="G200" s="29" t="s">
        <v>5153</v>
      </c>
      <c r="H200" s="30">
        <v>0.1</v>
      </c>
      <c r="I200" s="52" t="s">
        <v>11</v>
      </c>
      <c r="J200" s="55" t="s">
        <v>72</v>
      </c>
      <c r="K200" s="55"/>
      <c r="L200" s="32" t="e">
        <f ca="1">_xludf.ifna(VLOOKUP(E200,Parámetros!$D$2:$E$34,2,0),"")</f>
        <v>#NAME?</v>
      </c>
      <c r="M200" s="32" t="e">
        <f ca="1">_xludf.ifna(VLOOKUP(G200,Proyectos!$A$2:$T$674,20,0),"")</f>
        <v>#NAME?</v>
      </c>
      <c r="N200" s="32" t="e">
        <f ca="1">_xludf.ifna(VLOOKUP(G200,Proyectos!$A$2:$S$674,19,0))</f>
        <v>#NAME?</v>
      </c>
      <c r="O200" s="32"/>
      <c r="P200" s="31"/>
      <c r="Q200" s="33"/>
      <c r="R200" s="33"/>
      <c r="S200" s="33"/>
      <c r="T200" s="33"/>
      <c r="U200" s="33"/>
      <c r="V200" s="33"/>
      <c r="W200" s="33"/>
    </row>
    <row r="201" spans="1:23" ht="16.5" customHeight="1" x14ac:dyDescent="0.2">
      <c r="A201" s="35" t="s">
        <v>4767</v>
      </c>
      <c r="B201" s="35" t="s">
        <v>4768</v>
      </c>
      <c r="C201" s="54" t="s">
        <v>7</v>
      </c>
      <c r="D201" s="35" t="s">
        <v>30</v>
      </c>
      <c r="E201" s="35" t="s">
        <v>39</v>
      </c>
      <c r="F201" s="28" t="e">
        <f ca="1">_xludf.ifna(VLOOKUP(G201,Proyectos!$A$2:$F$674,6,0),"")</f>
        <v>#NAME?</v>
      </c>
      <c r="G201" s="29" t="s">
        <v>5154</v>
      </c>
      <c r="H201" s="30">
        <v>0.1</v>
      </c>
      <c r="I201" s="52" t="s">
        <v>11</v>
      </c>
      <c r="J201" s="55" t="s">
        <v>72</v>
      </c>
      <c r="K201" s="55"/>
      <c r="L201" s="32" t="e">
        <f ca="1">_xludf.ifna(VLOOKUP(E201,Parámetros!$D$2:$E$34,2,0),"")</f>
        <v>#NAME?</v>
      </c>
      <c r="M201" s="32" t="e">
        <f ca="1">_xludf.ifna(VLOOKUP(G201,Proyectos!$A$2:$T$674,20,0),"")</f>
        <v>#NAME?</v>
      </c>
      <c r="N201" s="32" t="e">
        <f ca="1">_xludf.ifna(VLOOKUP(G201,Proyectos!$A$2:$S$674,19,0))</f>
        <v>#NAME?</v>
      </c>
      <c r="O201" s="32"/>
      <c r="P201" s="31"/>
      <c r="Q201" s="33"/>
      <c r="R201" s="33"/>
      <c r="S201" s="33"/>
      <c r="T201" s="33"/>
      <c r="U201" s="33"/>
      <c r="V201" s="33"/>
      <c r="W201" s="33"/>
    </row>
    <row r="202" spans="1:23" ht="16.5" customHeight="1" x14ac:dyDescent="0.2">
      <c r="A202" s="35" t="s">
        <v>4767</v>
      </c>
      <c r="B202" s="35" t="s">
        <v>4768</v>
      </c>
      <c r="C202" s="35" t="s">
        <v>7</v>
      </c>
      <c r="D202" s="35" t="s">
        <v>30</v>
      </c>
      <c r="E202" s="35" t="s">
        <v>39</v>
      </c>
      <c r="F202" s="28" t="e">
        <f ca="1">_xludf.ifna(VLOOKUP(G202,Proyectos!$A$2:$F$674,6,0),"")</f>
        <v>#NAME?</v>
      </c>
      <c r="G202" s="29" t="s">
        <v>5155</v>
      </c>
      <c r="H202" s="30">
        <v>0.1</v>
      </c>
      <c r="I202" s="52" t="s">
        <v>11</v>
      </c>
      <c r="J202" s="55" t="s">
        <v>72</v>
      </c>
      <c r="K202" s="30"/>
      <c r="L202" s="32" t="e">
        <f ca="1">_xludf.ifna(VLOOKUP(E202,Parámetros!$D$2:$E$34,2,0),"")</f>
        <v>#NAME?</v>
      </c>
      <c r="M202" s="32" t="e">
        <f ca="1">_xludf.ifna(VLOOKUP(G202,Proyectos!$A$2:$T$674,20,0),"")</f>
        <v>#NAME?</v>
      </c>
      <c r="N202" s="32" t="e">
        <f ca="1">_xludf.ifna(VLOOKUP(G202,Proyectos!$A$2:$S$674,19,0))</f>
        <v>#NAME?</v>
      </c>
      <c r="O202" s="32"/>
      <c r="P202" s="31"/>
      <c r="Q202" s="33"/>
      <c r="R202" s="33"/>
      <c r="S202" s="33"/>
      <c r="T202" s="33"/>
      <c r="U202" s="33"/>
      <c r="V202" s="33"/>
      <c r="W202" s="33"/>
    </row>
    <row r="203" spans="1:23" ht="16.5" customHeight="1" x14ac:dyDescent="0.2">
      <c r="A203" s="35" t="s">
        <v>4767</v>
      </c>
      <c r="B203" s="35" t="s">
        <v>4768</v>
      </c>
      <c r="C203" s="35" t="s">
        <v>7</v>
      </c>
      <c r="D203" s="35" t="s">
        <v>30</v>
      </c>
      <c r="E203" s="35" t="s">
        <v>39</v>
      </c>
      <c r="F203" s="28" t="e">
        <f ca="1">_xludf.ifna(VLOOKUP(G203,Proyectos!$A$2:$F$674,6,0),"")</f>
        <v>#NAME?</v>
      </c>
      <c r="G203" s="29" t="s">
        <v>5156</v>
      </c>
      <c r="H203" s="30">
        <v>0.25</v>
      </c>
      <c r="I203" s="52" t="s">
        <v>11</v>
      </c>
      <c r="J203" s="55" t="s">
        <v>72</v>
      </c>
      <c r="K203" s="30"/>
      <c r="L203" s="32" t="e">
        <f ca="1">_xludf.ifna(VLOOKUP(E203,Parámetros!$D$2:$E$34,2,0),"")</f>
        <v>#NAME?</v>
      </c>
      <c r="M203" s="32" t="e">
        <f ca="1">_xludf.ifna(VLOOKUP(G203,Proyectos!$A$2:$T$674,20,0),"")</f>
        <v>#NAME?</v>
      </c>
      <c r="N203" s="32" t="e">
        <f ca="1">_xludf.ifna(VLOOKUP(G203,Proyectos!$A$2:$S$674,19,0))</f>
        <v>#NAME?</v>
      </c>
      <c r="O203" s="32"/>
      <c r="P203" s="31"/>
      <c r="Q203" s="33"/>
      <c r="R203" s="33"/>
      <c r="S203" s="33"/>
      <c r="T203" s="33"/>
      <c r="U203" s="33"/>
      <c r="V203" s="33"/>
      <c r="W203" s="33"/>
    </row>
    <row r="204" spans="1:23" ht="16.5" customHeight="1" x14ac:dyDescent="0.2">
      <c r="A204" s="35" t="s">
        <v>4769</v>
      </c>
      <c r="B204" s="35" t="s">
        <v>4768</v>
      </c>
      <c r="C204" s="35" t="s">
        <v>7</v>
      </c>
      <c r="D204" s="35" t="s">
        <v>30</v>
      </c>
      <c r="E204" s="35" t="s">
        <v>39</v>
      </c>
      <c r="F204" s="28" t="e">
        <f ca="1">_xludf.ifna(VLOOKUP(G204,Proyectos!$A$2:$F$674,6,0),"")</f>
        <v>#NAME?</v>
      </c>
      <c r="G204" s="29" t="s">
        <v>5157</v>
      </c>
      <c r="H204" s="30">
        <v>0.25</v>
      </c>
      <c r="I204" s="52" t="s">
        <v>11</v>
      </c>
      <c r="J204" s="55" t="s">
        <v>72</v>
      </c>
      <c r="K204" s="30"/>
      <c r="L204" s="32" t="e">
        <f ca="1">_xludf.ifna(VLOOKUP(E204,Parámetros!$D$2:$E$34,2,0),"")</f>
        <v>#NAME?</v>
      </c>
      <c r="M204" s="32" t="e">
        <f ca="1">_xludf.ifna(VLOOKUP(G204,Proyectos!$A$2:$T$674,20,0),"")</f>
        <v>#NAME?</v>
      </c>
      <c r="N204" s="32" t="e">
        <f ca="1">_xludf.ifna(VLOOKUP(G204,Proyectos!$A$2:$S$674,19,0))</f>
        <v>#NAME?</v>
      </c>
      <c r="O204" s="32"/>
      <c r="P204" s="31"/>
      <c r="Q204" s="33"/>
      <c r="R204" s="33"/>
      <c r="S204" s="33"/>
      <c r="T204" s="33"/>
      <c r="U204" s="33"/>
      <c r="V204" s="33"/>
      <c r="W204" s="33"/>
    </row>
    <row r="205" spans="1:23" ht="16.5" customHeight="1" x14ac:dyDescent="0.2">
      <c r="A205" s="35" t="s">
        <v>4770</v>
      </c>
      <c r="B205" s="35" t="s">
        <v>4768</v>
      </c>
      <c r="C205" s="35" t="s">
        <v>7</v>
      </c>
      <c r="D205" s="35" t="s">
        <v>30</v>
      </c>
      <c r="E205" s="35" t="s">
        <v>39</v>
      </c>
      <c r="F205" s="28" t="e">
        <f ca="1">_xludf.ifna(VLOOKUP(G205,Proyectos!$A$2:$F$674,6,0),"")</f>
        <v>#NAME?</v>
      </c>
      <c r="G205" s="29" t="s">
        <v>5158</v>
      </c>
      <c r="H205" s="30">
        <v>0.1</v>
      </c>
      <c r="I205" s="52" t="s">
        <v>11</v>
      </c>
      <c r="J205" s="55" t="s">
        <v>72</v>
      </c>
      <c r="K205" s="30"/>
      <c r="L205" s="32" t="e">
        <f ca="1">_xludf.ifna(VLOOKUP(E205,Parámetros!$D$2:$E$34,2,0),"")</f>
        <v>#NAME?</v>
      </c>
      <c r="M205" s="32" t="e">
        <f ca="1">_xludf.ifna(VLOOKUP(G205,Proyectos!$A$2:$T$674,20,0),"")</f>
        <v>#NAME?</v>
      </c>
      <c r="N205" s="32" t="e">
        <f ca="1">_xludf.ifna(VLOOKUP(G205,Proyectos!$A$2:$S$674,19,0))</f>
        <v>#NAME?</v>
      </c>
      <c r="O205" s="32"/>
      <c r="P205" s="31"/>
      <c r="Q205" s="33"/>
      <c r="R205" s="33"/>
      <c r="S205" s="33"/>
      <c r="T205" s="33"/>
      <c r="U205" s="33"/>
      <c r="V205" s="33"/>
      <c r="W205" s="33"/>
    </row>
    <row r="206" spans="1:23" ht="16.5" customHeight="1" x14ac:dyDescent="0.2">
      <c r="A206" s="35" t="s">
        <v>4771</v>
      </c>
      <c r="B206" s="35" t="s">
        <v>4768</v>
      </c>
      <c r="C206" s="35" t="s">
        <v>7</v>
      </c>
      <c r="D206" s="35" t="s">
        <v>30</v>
      </c>
      <c r="E206" s="35" t="s">
        <v>39</v>
      </c>
      <c r="F206" s="28" t="e">
        <f ca="1">_xludf.ifna(VLOOKUP(G206,Proyectos!$A$2:$F$674,6,0),"")</f>
        <v>#NAME?</v>
      </c>
      <c r="G206" s="29" t="s">
        <v>5159</v>
      </c>
      <c r="H206" s="30">
        <v>0.1</v>
      </c>
      <c r="I206" s="52" t="s">
        <v>11</v>
      </c>
      <c r="J206" s="55" t="s">
        <v>72</v>
      </c>
      <c r="K206" s="30"/>
      <c r="L206" s="32" t="e">
        <f ca="1">_xludf.ifna(VLOOKUP(E206,Parámetros!$D$2:$E$34,2,0),"")</f>
        <v>#NAME?</v>
      </c>
      <c r="M206" s="32" t="e">
        <f ca="1">_xludf.ifna(VLOOKUP(G206,Proyectos!$A$2:$T$674,20,0),"")</f>
        <v>#NAME?</v>
      </c>
      <c r="N206" s="32" t="e">
        <f ca="1">_xludf.ifna(VLOOKUP(G206,Proyectos!$A$2:$S$674,19,0))</f>
        <v>#NAME?</v>
      </c>
      <c r="O206" s="32"/>
      <c r="P206" s="31"/>
      <c r="Q206" s="33"/>
      <c r="R206" s="33"/>
      <c r="S206" s="33"/>
      <c r="T206" s="33"/>
      <c r="U206" s="33"/>
      <c r="V206" s="33"/>
      <c r="W206" s="33"/>
    </row>
    <row r="207" spans="1:23" ht="16.5" customHeight="1" x14ac:dyDescent="0.2">
      <c r="A207" s="35" t="s">
        <v>3805</v>
      </c>
      <c r="B207" s="35" t="s">
        <v>5160</v>
      </c>
      <c r="C207" s="35" t="s">
        <v>7</v>
      </c>
      <c r="D207" s="35" t="s">
        <v>30</v>
      </c>
      <c r="E207" s="35" t="s">
        <v>39</v>
      </c>
      <c r="F207" s="28" t="e">
        <f ca="1">_xludf.ifna(VLOOKUP(G207,Proyectos!$A$2:$F$674,6,0),"")</f>
        <v>#NAME?</v>
      </c>
      <c r="G207" s="29" t="s">
        <v>5156</v>
      </c>
      <c r="H207" s="30">
        <v>0.5</v>
      </c>
      <c r="I207" s="52" t="s">
        <v>18</v>
      </c>
      <c r="J207" s="30" t="s">
        <v>72</v>
      </c>
      <c r="K207" s="30"/>
      <c r="L207" s="32" t="e">
        <f ca="1">_xludf.ifna(VLOOKUP(E207,Parámetros!$D$2:$E$34,2,0),"")</f>
        <v>#NAME?</v>
      </c>
      <c r="M207" s="32" t="e">
        <f ca="1">_xludf.ifna(VLOOKUP(G207,Proyectos!$A$2:$T$674,20,0),"")</f>
        <v>#NAME?</v>
      </c>
      <c r="N207" s="32" t="e">
        <f ca="1">_xludf.ifna(VLOOKUP(G207,Proyectos!$A$2:$S$674,19,0))</f>
        <v>#NAME?</v>
      </c>
      <c r="O207" s="32"/>
      <c r="P207" s="31"/>
      <c r="Q207" s="33"/>
      <c r="R207" s="33"/>
      <c r="S207" s="33"/>
      <c r="T207" s="33"/>
      <c r="U207" s="33"/>
      <c r="V207" s="33"/>
      <c r="W207" s="33"/>
    </row>
    <row r="208" spans="1:23" ht="16.5" customHeight="1" x14ac:dyDescent="0.2">
      <c r="A208" s="35" t="s">
        <v>3805</v>
      </c>
      <c r="B208" s="35" t="s">
        <v>5160</v>
      </c>
      <c r="C208" s="35" t="s">
        <v>7</v>
      </c>
      <c r="D208" s="35" t="s">
        <v>30</v>
      </c>
      <c r="E208" s="35" t="s">
        <v>39</v>
      </c>
      <c r="F208" s="28" t="e">
        <f ca="1">_xludf.ifna(VLOOKUP(G208,Proyectos!$A$2:$F$674,6,0),"")</f>
        <v>#NAME?</v>
      </c>
      <c r="G208" s="29" t="s">
        <v>5157</v>
      </c>
      <c r="H208" s="30">
        <v>0.5</v>
      </c>
      <c r="I208" s="52" t="s">
        <v>18</v>
      </c>
      <c r="J208" s="30" t="s">
        <v>72</v>
      </c>
      <c r="K208" s="30"/>
      <c r="L208" s="32" t="e">
        <f ca="1">_xludf.ifna(VLOOKUP(E208,Parámetros!$D$2:$E$34,2,0),"")</f>
        <v>#NAME?</v>
      </c>
      <c r="M208" s="32" t="e">
        <f ca="1">_xludf.ifna(VLOOKUP(G208,Proyectos!$A$2:$T$674,20,0),"")</f>
        <v>#NAME?</v>
      </c>
      <c r="N208" s="32" t="e">
        <f ca="1">_xludf.ifna(VLOOKUP(G208,Proyectos!$A$2:$S$674,19,0))</f>
        <v>#NAME?</v>
      </c>
      <c r="O208" s="32"/>
      <c r="P208" s="31"/>
      <c r="Q208" s="33"/>
      <c r="R208" s="33"/>
      <c r="S208" s="33"/>
      <c r="T208" s="33"/>
      <c r="U208" s="33"/>
      <c r="V208" s="33"/>
      <c r="W208" s="33"/>
    </row>
    <row r="209" spans="1:23" ht="16.5" customHeight="1" x14ac:dyDescent="0.2">
      <c r="A209" s="35" t="s">
        <v>5075</v>
      </c>
      <c r="B209" s="35" t="s">
        <v>5161</v>
      </c>
      <c r="C209" s="35" t="s">
        <v>7</v>
      </c>
      <c r="D209" s="35" t="s">
        <v>30</v>
      </c>
      <c r="E209" s="35" t="s">
        <v>129</v>
      </c>
      <c r="F209" s="28" t="e">
        <f ca="1">_xludf.ifna(VLOOKUP(G209,Proyectos!$A$2:$F$674,6,0),"")</f>
        <v>#NAME?</v>
      </c>
      <c r="G209" s="29" t="s">
        <v>5153</v>
      </c>
      <c r="H209" s="30">
        <v>1</v>
      </c>
      <c r="I209" s="52" t="s">
        <v>18</v>
      </c>
      <c r="J209" s="30" t="s">
        <v>72</v>
      </c>
      <c r="K209" s="52" t="s">
        <v>5077</v>
      </c>
      <c r="L209" s="32" t="e">
        <f ca="1">_xludf.ifna(VLOOKUP(E209,Parámetros!$D$2:$E$34,2,0),"")</f>
        <v>#NAME?</v>
      </c>
      <c r="M209" s="32" t="e">
        <f ca="1">_xludf.ifna(VLOOKUP(G209,Proyectos!$A$2:$T$674,20,0),"")</f>
        <v>#NAME?</v>
      </c>
      <c r="N209" s="32" t="e">
        <f ca="1">_xludf.ifna(VLOOKUP(G209,Proyectos!$A$2:$S$674,19,0))</f>
        <v>#NAME?</v>
      </c>
      <c r="O209" s="32"/>
      <c r="P209" s="31"/>
      <c r="Q209" s="33"/>
      <c r="R209" s="33"/>
      <c r="S209" s="33"/>
      <c r="T209" s="33"/>
      <c r="U209" s="33"/>
      <c r="V209" s="33"/>
      <c r="W209" s="33"/>
    </row>
    <row r="210" spans="1:23" ht="16.5" customHeight="1" x14ac:dyDescent="0.2">
      <c r="A210" s="35" t="s">
        <v>3303</v>
      </c>
      <c r="B210" s="35" t="s">
        <v>5162</v>
      </c>
      <c r="C210" s="35" t="s">
        <v>7</v>
      </c>
      <c r="D210" s="35" t="s">
        <v>30</v>
      </c>
      <c r="E210" s="35" t="s">
        <v>39</v>
      </c>
      <c r="F210" s="28" t="e">
        <f ca="1">_xludf.ifna(VLOOKUP(G210,Proyectos!$A$2:$F$674,6,0),"")</f>
        <v>#NAME?</v>
      </c>
      <c r="G210" s="29" t="s">
        <v>5155</v>
      </c>
      <c r="H210" s="30">
        <v>0.5</v>
      </c>
      <c r="I210" s="52" t="s">
        <v>18</v>
      </c>
      <c r="J210" s="30" t="s">
        <v>72</v>
      </c>
      <c r="K210" s="30"/>
      <c r="L210" s="32" t="e">
        <f ca="1">_xludf.ifna(VLOOKUP(E210,Parámetros!$D$2:$E$34,2,0),"")</f>
        <v>#NAME?</v>
      </c>
      <c r="M210" s="32" t="e">
        <f ca="1">_xludf.ifna(VLOOKUP(G210,Proyectos!$A$2:$T$674,20,0),"")</f>
        <v>#NAME?</v>
      </c>
      <c r="N210" s="32" t="e">
        <f ca="1">_xludf.ifna(VLOOKUP(G210,Proyectos!$A$2:$S$674,19,0))</f>
        <v>#NAME?</v>
      </c>
      <c r="O210" s="32"/>
      <c r="P210" s="31"/>
      <c r="Q210" s="33"/>
      <c r="R210" s="33"/>
      <c r="S210" s="33"/>
      <c r="T210" s="33"/>
      <c r="U210" s="33"/>
      <c r="V210" s="33"/>
      <c r="W210" s="33"/>
    </row>
    <row r="211" spans="1:23" ht="16.5" customHeight="1" x14ac:dyDescent="0.2">
      <c r="A211" s="35" t="s">
        <v>3303</v>
      </c>
      <c r="B211" s="35" t="s">
        <v>5162</v>
      </c>
      <c r="C211" s="35" t="s">
        <v>7</v>
      </c>
      <c r="D211" s="35" t="s">
        <v>30</v>
      </c>
      <c r="E211" s="35" t="s">
        <v>39</v>
      </c>
      <c r="F211" s="28" t="e">
        <f ca="1">_xludf.ifna(VLOOKUP(G211,Proyectos!$A$2:$F$674,6,0),"")</f>
        <v>#NAME?</v>
      </c>
      <c r="G211" s="29" t="s">
        <v>5159</v>
      </c>
      <c r="H211" s="30">
        <v>0.25</v>
      </c>
      <c r="I211" s="52" t="s">
        <v>18</v>
      </c>
      <c r="J211" s="30" t="s">
        <v>72</v>
      </c>
      <c r="K211" s="30"/>
      <c r="L211" s="32" t="e">
        <f ca="1">_xludf.ifna(VLOOKUP(E211,Parámetros!$D$2:$E$34,2,0),"")</f>
        <v>#NAME?</v>
      </c>
      <c r="M211" s="32" t="e">
        <f ca="1">_xludf.ifna(VLOOKUP(G211,Proyectos!$A$2:$T$674,20,0),"")</f>
        <v>#NAME?</v>
      </c>
      <c r="N211" s="32" t="e">
        <f ca="1">_xludf.ifna(VLOOKUP(G211,Proyectos!$A$2:$S$674,19,0))</f>
        <v>#NAME?</v>
      </c>
      <c r="O211" s="32"/>
      <c r="P211" s="31"/>
      <c r="Q211" s="33"/>
      <c r="R211" s="33"/>
      <c r="S211" s="33"/>
      <c r="T211" s="33"/>
      <c r="U211" s="33"/>
      <c r="V211" s="33"/>
      <c r="W211" s="33"/>
    </row>
    <row r="212" spans="1:23" ht="16.5" customHeight="1" x14ac:dyDescent="0.2">
      <c r="A212" s="35" t="s">
        <v>3303</v>
      </c>
      <c r="B212" s="35" t="s">
        <v>5162</v>
      </c>
      <c r="C212" s="35" t="s">
        <v>7</v>
      </c>
      <c r="D212" s="35" t="s">
        <v>30</v>
      </c>
      <c r="E212" s="35" t="s">
        <v>39</v>
      </c>
      <c r="F212" s="28" t="e">
        <f ca="1">_xludf.ifna(VLOOKUP(G212,Proyectos!$A$2:$F$674,6,0),"")</f>
        <v>#NAME?</v>
      </c>
      <c r="G212" s="29" t="s">
        <v>5158</v>
      </c>
      <c r="H212" s="30">
        <v>0.25</v>
      </c>
      <c r="I212" s="52" t="s">
        <v>32</v>
      </c>
      <c r="J212" s="30" t="s">
        <v>72</v>
      </c>
      <c r="K212" s="30"/>
      <c r="L212" s="32" t="e">
        <f ca="1">_xludf.ifna(VLOOKUP(E212,Parámetros!$D$2:$E$34,2,0),"")</f>
        <v>#NAME?</v>
      </c>
      <c r="M212" s="32" t="e">
        <f ca="1">_xludf.ifna(VLOOKUP(G212,Proyectos!$A$2:$T$674,20,0),"")</f>
        <v>#NAME?</v>
      </c>
      <c r="N212" s="32" t="e">
        <f ca="1">_xludf.ifna(VLOOKUP(G212,Proyectos!$A$2:$S$674,19,0))</f>
        <v>#NAME?</v>
      </c>
      <c r="O212" s="32"/>
      <c r="P212" s="31"/>
      <c r="Q212" s="33"/>
      <c r="R212" s="33"/>
      <c r="S212" s="33"/>
      <c r="T212" s="33"/>
      <c r="U212" s="33"/>
      <c r="V212" s="33"/>
      <c r="W212" s="33"/>
    </row>
    <row r="213" spans="1:23" ht="16.5" customHeight="1" x14ac:dyDescent="0.2">
      <c r="A213" s="35" t="s">
        <v>4889</v>
      </c>
      <c r="B213" s="35" t="s">
        <v>5163</v>
      </c>
      <c r="C213" s="35" t="s">
        <v>7</v>
      </c>
      <c r="D213" s="35" t="s">
        <v>30</v>
      </c>
      <c r="E213" s="35" t="s">
        <v>129</v>
      </c>
      <c r="F213" s="28" t="e">
        <f ca="1">_xludf.ifna(VLOOKUP(G213,Proyectos!$A$2:$F$674,6,0),"")</f>
        <v>#NAME?</v>
      </c>
      <c r="G213" s="29" t="s">
        <v>5153</v>
      </c>
      <c r="H213" s="30">
        <v>1</v>
      </c>
      <c r="I213" s="52" t="s">
        <v>18</v>
      </c>
      <c r="J213" s="30" t="s">
        <v>72</v>
      </c>
      <c r="K213" s="30" t="s">
        <v>4281</v>
      </c>
      <c r="L213" s="32" t="e">
        <f ca="1">_xludf.ifna(VLOOKUP(E213,Parámetros!$D$2:$E$34,2,0),"")</f>
        <v>#NAME?</v>
      </c>
      <c r="M213" s="32" t="e">
        <f ca="1">_xludf.ifna(VLOOKUP(G213,Proyectos!$A$2:$T$674,20,0),"")</f>
        <v>#NAME?</v>
      </c>
      <c r="N213" s="32" t="e">
        <f ca="1">_xludf.ifna(VLOOKUP(G213,Proyectos!$A$2:$S$674,19,0))</f>
        <v>#NAME?</v>
      </c>
      <c r="O213" s="32"/>
      <c r="P213" s="31"/>
      <c r="Q213" s="33"/>
      <c r="R213" s="33"/>
      <c r="S213" s="33"/>
      <c r="T213" s="33"/>
      <c r="U213" s="33"/>
      <c r="V213" s="33"/>
      <c r="W213" s="33"/>
    </row>
    <row r="214" spans="1:23" ht="16.5" customHeight="1" x14ac:dyDescent="0.2">
      <c r="A214" s="35" t="s">
        <v>5073</v>
      </c>
      <c r="B214" s="35" t="s">
        <v>5164</v>
      </c>
      <c r="C214" s="35" t="s">
        <v>7</v>
      </c>
      <c r="D214" s="35" t="s">
        <v>30</v>
      </c>
      <c r="E214" s="35" t="s">
        <v>129</v>
      </c>
      <c r="F214" s="28" t="e">
        <f ca="1">_xludf.ifna(VLOOKUP(G214,Proyectos!$A$2:$F$674,6,0),"")</f>
        <v>#NAME?</v>
      </c>
      <c r="G214" s="29" t="s">
        <v>5153</v>
      </c>
      <c r="H214" s="30">
        <v>1</v>
      </c>
      <c r="I214" s="52" t="s">
        <v>18</v>
      </c>
      <c r="J214" s="30" t="s">
        <v>72</v>
      </c>
      <c r="K214" s="30" t="s">
        <v>4281</v>
      </c>
      <c r="L214" s="32" t="e">
        <f ca="1">_xludf.ifna(VLOOKUP(E214,Parámetros!$D$2:$E$34,2,0),"")</f>
        <v>#NAME?</v>
      </c>
      <c r="M214" s="32" t="e">
        <f ca="1">_xludf.ifna(VLOOKUP(G214,Proyectos!$A$2:$T$674,20,0),"")</f>
        <v>#NAME?</v>
      </c>
      <c r="N214" s="32" t="e">
        <f ca="1">_xludf.ifna(VLOOKUP(G214,Proyectos!$A$2:$S$674,19,0))</f>
        <v>#NAME?</v>
      </c>
      <c r="O214" s="32"/>
      <c r="P214" s="31"/>
      <c r="Q214" s="33"/>
      <c r="R214" s="33"/>
      <c r="S214" s="33"/>
      <c r="T214" s="33"/>
      <c r="U214" s="33"/>
      <c r="V214" s="33"/>
      <c r="W214" s="33"/>
    </row>
    <row r="215" spans="1:23" ht="16.5" customHeight="1" x14ac:dyDescent="0.2">
      <c r="A215" s="54" t="s">
        <v>4509</v>
      </c>
      <c r="B215" s="54" t="s">
        <v>4510</v>
      </c>
      <c r="C215" s="35" t="s">
        <v>7</v>
      </c>
      <c r="D215" s="35" t="s">
        <v>30</v>
      </c>
      <c r="E215" s="35" t="s">
        <v>129</v>
      </c>
      <c r="F215" s="28" t="e">
        <f ca="1">_xludf.ifna(VLOOKUP(G215,Proyectos!$A$2:$F$674,6,0),"")</f>
        <v>#NAME?</v>
      </c>
      <c r="G215" s="29" t="s">
        <v>5153</v>
      </c>
      <c r="H215" s="30">
        <v>1</v>
      </c>
      <c r="I215" s="52" t="s">
        <v>18</v>
      </c>
      <c r="J215" s="30" t="s">
        <v>72</v>
      </c>
      <c r="K215" s="30" t="s">
        <v>4281</v>
      </c>
      <c r="L215" s="32" t="e">
        <f ca="1">_xludf.ifna(VLOOKUP(E215,Parámetros!$D$2:$E$34,2,0),"")</f>
        <v>#NAME?</v>
      </c>
      <c r="M215" s="32" t="e">
        <f ca="1">_xludf.ifna(VLOOKUP(G215,Proyectos!$A$2:$T$674,20,0),"")</f>
        <v>#NAME?</v>
      </c>
      <c r="N215" s="32" t="e">
        <f ca="1">_xludf.ifna(VLOOKUP(G215,Proyectos!$A$2:$S$674,19,0))</f>
        <v>#NAME?</v>
      </c>
      <c r="O215" s="32"/>
      <c r="P215" s="31"/>
      <c r="Q215" s="33"/>
      <c r="R215" s="33"/>
      <c r="S215" s="33"/>
      <c r="T215" s="33"/>
      <c r="U215" s="33"/>
      <c r="V215" s="33"/>
      <c r="W215" s="33"/>
    </row>
    <row r="216" spans="1:23" ht="16.5" customHeight="1" x14ac:dyDescent="0.2">
      <c r="A216" s="35" t="s">
        <v>4875</v>
      </c>
      <c r="B216" s="35" t="s">
        <v>5165</v>
      </c>
      <c r="C216" s="35" t="s">
        <v>7</v>
      </c>
      <c r="D216" s="35" t="s">
        <v>30</v>
      </c>
      <c r="E216" s="35" t="s">
        <v>129</v>
      </c>
      <c r="F216" s="28" t="e">
        <f ca="1">_xludf.ifna(VLOOKUP(G216,Proyectos!$A$2:$F$674,6,0),"")</f>
        <v>#NAME?</v>
      </c>
      <c r="G216" s="29" t="s">
        <v>5153</v>
      </c>
      <c r="H216" s="30">
        <v>1</v>
      </c>
      <c r="I216" s="52" t="s">
        <v>18</v>
      </c>
      <c r="J216" s="30" t="s">
        <v>72</v>
      </c>
      <c r="K216" s="30" t="s">
        <v>4281</v>
      </c>
      <c r="L216" s="32" t="e">
        <f ca="1">_xludf.ifna(VLOOKUP(E216,Parámetros!$D$2:$E$34,2,0),"")</f>
        <v>#NAME?</v>
      </c>
      <c r="M216" s="32" t="e">
        <f ca="1">_xludf.ifna(VLOOKUP(G216,Proyectos!$A$2:$T$674,20,0),"")</f>
        <v>#NAME?</v>
      </c>
      <c r="N216" s="32" t="e">
        <f ca="1">_xludf.ifna(VLOOKUP(G216,Proyectos!$A$2:$S$674,19,0))</f>
        <v>#NAME?</v>
      </c>
      <c r="O216" s="32"/>
      <c r="P216" s="31"/>
      <c r="Q216" s="33"/>
      <c r="R216" s="33"/>
      <c r="S216" s="33"/>
      <c r="T216" s="33"/>
      <c r="U216" s="33"/>
      <c r="V216" s="33"/>
      <c r="W216" s="33"/>
    </row>
    <row r="217" spans="1:23" ht="16.5" customHeight="1" x14ac:dyDescent="0.2">
      <c r="A217" s="35" t="s">
        <v>3821</v>
      </c>
      <c r="B217" s="35" t="s">
        <v>5166</v>
      </c>
      <c r="C217" s="35" t="s">
        <v>7</v>
      </c>
      <c r="D217" s="35" t="s">
        <v>30</v>
      </c>
      <c r="E217" s="35" t="s">
        <v>39</v>
      </c>
      <c r="F217" s="28" t="e">
        <f ca="1">_xludf.ifna(VLOOKUP(G217,Proyectos!$A$2:$F$674,6,0),"")</f>
        <v>#NAME?</v>
      </c>
      <c r="G217" s="29" t="s">
        <v>5154</v>
      </c>
      <c r="H217" s="30">
        <v>1</v>
      </c>
      <c r="I217" s="52" t="s">
        <v>18</v>
      </c>
      <c r="J217" s="35" t="s">
        <v>72</v>
      </c>
      <c r="K217" s="30" t="s">
        <v>3823</v>
      </c>
      <c r="L217" s="32" t="e">
        <f ca="1">_xludf.ifna(VLOOKUP(E217,Parámetros!$D$2:$E$34,2,0),"")</f>
        <v>#NAME?</v>
      </c>
      <c r="M217" s="32" t="e">
        <f ca="1">_xludf.ifna(VLOOKUP(G217,Proyectos!$A$2:$T$674,20,0),"")</f>
        <v>#NAME?</v>
      </c>
      <c r="N217" s="32" t="e">
        <f ca="1">_xludf.ifna(VLOOKUP(G217,Proyectos!$A$2:$S$674,19,0))</f>
        <v>#NAME?</v>
      </c>
      <c r="O217" s="32"/>
      <c r="P217" s="31"/>
      <c r="Q217" s="33"/>
      <c r="R217" s="33"/>
      <c r="S217" s="33"/>
      <c r="T217" s="33"/>
      <c r="U217" s="33"/>
      <c r="V217" s="33"/>
      <c r="W217" s="33"/>
    </row>
    <row r="218" spans="1:23" ht="16.5" customHeight="1" x14ac:dyDescent="0.2">
      <c r="A218" s="56" t="s">
        <v>3445</v>
      </c>
      <c r="B218" s="35" t="s">
        <v>5167</v>
      </c>
      <c r="C218" s="35" t="s">
        <v>7</v>
      </c>
      <c r="D218" s="35" t="s">
        <v>30</v>
      </c>
      <c r="E218" s="35" t="s">
        <v>39</v>
      </c>
      <c r="F218" s="28" t="e">
        <f ca="1">_xludf.ifna(VLOOKUP(G218,Proyectos!$A$2:$F$674,6,0),"")</f>
        <v>#NAME?</v>
      </c>
      <c r="G218" s="29" t="s">
        <v>5153</v>
      </c>
      <c r="H218" s="30">
        <v>1</v>
      </c>
      <c r="I218" s="52" t="s">
        <v>18</v>
      </c>
      <c r="J218" s="30" t="s">
        <v>72</v>
      </c>
      <c r="K218" s="30" t="s">
        <v>3447</v>
      </c>
      <c r="L218" s="32" t="e">
        <f ca="1">_xludf.ifna(VLOOKUP(E218,Parámetros!$D$2:$E$34,2,0),"")</f>
        <v>#NAME?</v>
      </c>
      <c r="M218" s="32" t="e">
        <f ca="1">_xludf.ifna(VLOOKUP(G218,Proyectos!$A$2:$T$674,20,0),"")</f>
        <v>#NAME?</v>
      </c>
      <c r="N218" s="32" t="e">
        <f ca="1">_xludf.ifna(VLOOKUP(G218,Proyectos!$A$2:$S$674,19,0))</f>
        <v>#NAME?</v>
      </c>
      <c r="O218" s="32"/>
      <c r="P218" s="31"/>
      <c r="Q218" s="33"/>
      <c r="R218" s="33"/>
      <c r="S218" s="33"/>
      <c r="T218" s="33"/>
      <c r="U218" s="33"/>
      <c r="V218" s="33"/>
      <c r="W218" s="33"/>
    </row>
    <row r="219" spans="1:23" ht="16.5" customHeight="1" x14ac:dyDescent="0.2">
      <c r="A219" s="54" t="s">
        <v>4279</v>
      </c>
      <c r="B219" s="54" t="s">
        <v>4280</v>
      </c>
      <c r="C219" s="35" t="s">
        <v>7</v>
      </c>
      <c r="D219" s="35" t="s">
        <v>30</v>
      </c>
      <c r="E219" s="35" t="s">
        <v>129</v>
      </c>
      <c r="F219" s="28" t="e">
        <f ca="1">_xludf.ifna(VLOOKUP(G219,Proyectos!$A$2:$F$674,6,0),"")</f>
        <v>#NAME?</v>
      </c>
      <c r="G219" s="29" t="s">
        <v>5153</v>
      </c>
      <c r="H219" s="30">
        <v>1</v>
      </c>
      <c r="I219" s="52" t="s">
        <v>18</v>
      </c>
      <c r="J219" s="30" t="s">
        <v>72</v>
      </c>
      <c r="K219" s="30" t="s">
        <v>4281</v>
      </c>
      <c r="L219" s="32" t="e">
        <f ca="1">_xludf.ifna(VLOOKUP(E219,Parámetros!$D$2:$E$34,2,0),"")</f>
        <v>#NAME?</v>
      </c>
      <c r="M219" s="32" t="e">
        <f ca="1">_xludf.ifna(VLOOKUP(G219,Proyectos!$A$2:$T$674,20,0),"")</f>
        <v>#NAME?</v>
      </c>
      <c r="N219" s="32" t="e">
        <f ca="1">_xludf.ifna(VLOOKUP(G219,Proyectos!$A$2:$S$674,19,0))</f>
        <v>#NAME?</v>
      </c>
      <c r="O219" s="32"/>
      <c r="P219" s="31"/>
      <c r="Q219" s="33"/>
      <c r="R219" s="33"/>
      <c r="S219" s="33"/>
      <c r="T219" s="33"/>
      <c r="U219" s="33"/>
      <c r="V219" s="33"/>
      <c r="W219" s="33"/>
    </row>
    <row r="220" spans="1:23" ht="16.5" customHeight="1" x14ac:dyDescent="0.2">
      <c r="A220" s="35" t="s">
        <v>3514</v>
      </c>
      <c r="B220" s="35" t="s">
        <v>5168</v>
      </c>
      <c r="C220" s="35" t="s">
        <v>7</v>
      </c>
      <c r="D220" s="35" t="s">
        <v>30</v>
      </c>
      <c r="E220" s="35" t="s">
        <v>39</v>
      </c>
      <c r="F220" s="28" t="e">
        <f ca="1">_xludf.ifna(VLOOKUP(G220,Proyectos!$A$2:$F$674,6,0),"")</f>
        <v>#NAME?</v>
      </c>
      <c r="G220" s="29" t="s">
        <v>5153</v>
      </c>
      <c r="H220" s="30">
        <v>1</v>
      </c>
      <c r="I220" s="52" t="s">
        <v>18</v>
      </c>
      <c r="J220" s="30" t="s">
        <v>72</v>
      </c>
      <c r="K220" s="30" t="s">
        <v>3447</v>
      </c>
      <c r="L220" s="32" t="e">
        <f ca="1">_xludf.ifna(VLOOKUP(E220,Parámetros!$D$2:$E$34,2,0),"")</f>
        <v>#NAME?</v>
      </c>
      <c r="M220" s="32" t="e">
        <f ca="1">_xludf.ifna(VLOOKUP(G220,Proyectos!$A$2:$T$674,20,0),"")</f>
        <v>#NAME?</v>
      </c>
      <c r="N220" s="32" t="e">
        <f ca="1">_xludf.ifna(VLOOKUP(G220,Proyectos!$A$2:$S$674,19,0))</f>
        <v>#NAME?</v>
      </c>
      <c r="O220" s="32"/>
      <c r="P220" s="31"/>
      <c r="Q220" s="33"/>
      <c r="R220" s="33"/>
      <c r="S220" s="33"/>
      <c r="T220" s="33"/>
      <c r="U220" s="33"/>
      <c r="V220" s="33"/>
      <c r="W220" s="33"/>
    </row>
    <row r="221" spans="1:23" ht="16.5" customHeight="1" x14ac:dyDescent="0.2">
      <c r="A221" s="35" t="s">
        <v>5071</v>
      </c>
      <c r="B221" s="35" t="s">
        <v>5169</v>
      </c>
      <c r="C221" s="35" t="s">
        <v>7</v>
      </c>
      <c r="D221" s="35" t="s">
        <v>30</v>
      </c>
      <c r="E221" s="35" t="s">
        <v>129</v>
      </c>
      <c r="F221" s="28" t="e">
        <f ca="1">_xludf.ifna(VLOOKUP(G221,Proyectos!$A$2:$F$674,6,0),"")</f>
        <v>#NAME?</v>
      </c>
      <c r="G221" s="29" t="s">
        <v>5153</v>
      </c>
      <c r="H221" s="30">
        <v>1</v>
      </c>
      <c r="I221" s="52" t="s">
        <v>18</v>
      </c>
      <c r="J221" s="30" t="s">
        <v>72</v>
      </c>
      <c r="K221" s="30" t="s">
        <v>4281</v>
      </c>
      <c r="L221" s="32" t="e">
        <f ca="1">_xludf.ifna(VLOOKUP(E221,Parámetros!$D$2:$E$34,2,0),"")</f>
        <v>#NAME?</v>
      </c>
      <c r="M221" s="32" t="e">
        <f ca="1">_xludf.ifna(VLOOKUP(G221,Proyectos!$A$2:$T$674,20,0),"")</f>
        <v>#NAME?</v>
      </c>
      <c r="N221" s="32" t="e">
        <f ca="1">_xludf.ifna(VLOOKUP(G221,Proyectos!$A$2:$S$674,19,0))</f>
        <v>#NAME?</v>
      </c>
      <c r="O221" s="32"/>
      <c r="P221" s="31"/>
      <c r="Q221" s="33"/>
      <c r="R221" s="33"/>
      <c r="S221" s="33"/>
      <c r="T221" s="33"/>
      <c r="U221" s="33"/>
      <c r="V221" s="33"/>
      <c r="W221" s="33"/>
    </row>
    <row r="222" spans="1:23" ht="16.5" customHeight="1" x14ac:dyDescent="0.2">
      <c r="A222" s="54" t="s">
        <v>4893</v>
      </c>
      <c r="B222" s="54" t="s">
        <v>4894</v>
      </c>
      <c r="C222" s="35" t="s">
        <v>7</v>
      </c>
      <c r="D222" s="35" t="s">
        <v>30</v>
      </c>
      <c r="E222" s="35" t="s">
        <v>129</v>
      </c>
      <c r="F222" s="28" t="e">
        <f ca="1">_xludf.ifna(VLOOKUP(G222,Proyectos!$A$2:$F$674,6,0),"")</f>
        <v>#NAME?</v>
      </c>
      <c r="G222" s="29" t="s">
        <v>5153</v>
      </c>
      <c r="H222" s="30">
        <v>1</v>
      </c>
      <c r="I222" s="52" t="s">
        <v>18</v>
      </c>
      <c r="J222" s="30" t="s">
        <v>72</v>
      </c>
      <c r="K222" s="30" t="s">
        <v>4281</v>
      </c>
      <c r="L222" s="32" t="e">
        <f ca="1">_xludf.ifna(VLOOKUP(E222,Parámetros!$D$2:$E$34,2,0),"")</f>
        <v>#NAME?</v>
      </c>
      <c r="M222" s="32" t="e">
        <f ca="1">_xludf.ifna(VLOOKUP(G222,Proyectos!$A$2:$T$674,20,0),"")</f>
        <v>#NAME?</v>
      </c>
      <c r="N222" s="32" t="e">
        <f ca="1">_xludf.ifna(VLOOKUP(G222,Proyectos!$A$2:$S$674,19,0))</f>
        <v>#NAME?</v>
      </c>
      <c r="O222" s="32"/>
      <c r="P222" s="31"/>
      <c r="Q222" s="33"/>
      <c r="R222" s="33"/>
      <c r="S222" s="33"/>
      <c r="T222" s="33"/>
      <c r="U222" s="33"/>
      <c r="V222" s="33"/>
      <c r="W222" s="33"/>
    </row>
    <row r="223" spans="1:23" ht="16.5" customHeight="1" x14ac:dyDescent="0.2">
      <c r="A223" s="35" t="s">
        <v>3378</v>
      </c>
      <c r="B223" s="35" t="s">
        <v>3379</v>
      </c>
      <c r="C223" s="54" t="s">
        <v>7</v>
      </c>
      <c r="D223" s="54" t="s">
        <v>23</v>
      </c>
      <c r="E223" s="54" t="s">
        <v>39</v>
      </c>
      <c r="F223" s="28" t="e">
        <f ca="1">_xludf.ifna(VLOOKUP(G223,Proyectos!$A$2:$F$674,6,0),"")</f>
        <v>#NAME?</v>
      </c>
      <c r="G223" s="29" t="s">
        <v>5170</v>
      </c>
      <c r="H223" s="34">
        <v>0.4</v>
      </c>
      <c r="I223" s="52" t="s">
        <v>11</v>
      </c>
      <c r="J223" s="30" t="s">
        <v>72</v>
      </c>
      <c r="K223" s="32"/>
      <c r="L223" s="32" t="e">
        <f ca="1">_xludf.ifna(VLOOKUP(E223,Parámetros!$D$2:$E$34,2,0),"")</f>
        <v>#NAME?</v>
      </c>
      <c r="M223" s="32" t="e">
        <f ca="1">_xludf.ifna(VLOOKUP(G223,Proyectos!$A$2:$T$674,20,0),"")</f>
        <v>#NAME?</v>
      </c>
      <c r="N223" s="32" t="e">
        <f ca="1">_xludf.ifna(VLOOKUP(G223,Proyectos!$A$2:$S$674,19,0))</f>
        <v>#NAME?</v>
      </c>
      <c r="O223" s="32"/>
      <c r="P223" s="31"/>
      <c r="Q223" s="33"/>
      <c r="R223" s="33"/>
      <c r="S223" s="33"/>
      <c r="T223" s="33"/>
      <c r="U223" s="33"/>
      <c r="V223" s="33"/>
      <c r="W223" s="33"/>
    </row>
    <row r="224" spans="1:23" ht="16.5" customHeight="1" x14ac:dyDescent="0.2">
      <c r="A224" s="35" t="s">
        <v>3378</v>
      </c>
      <c r="B224" s="57" t="s">
        <v>3379</v>
      </c>
      <c r="C224" s="54" t="s">
        <v>7</v>
      </c>
      <c r="D224" s="54" t="s">
        <v>23</v>
      </c>
      <c r="E224" s="54" t="s">
        <v>39</v>
      </c>
      <c r="F224" s="28" t="e">
        <f ca="1">_xludf.ifna(VLOOKUP(G224,Proyectos!$A$2:$F$674,6,0),"")</f>
        <v>#NAME?</v>
      </c>
      <c r="G224" s="29" t="s">
        <v>5171</v>
      </c>
      <c r="H224" s="34">
        <v>0.1</v>
      </c>
      <c r="I224" s="52" t="s">
        <v>11</v>
      </c>
      <c r="J224" s="30" t="s">
        <v>72</v>
      </c>
      <c r="K224" s="31" t="s">
        <v>5172</v>
      </c>
      <c r="L224" s="32" t="e">
        <f ca="1">_xludf.ifna(VLOOKUP(E224,Parámetros!$D$2:$E$34,2,0),"")</f>
        <v>#NAME?</v>
      </c>
      <c r="M224" s="32" t="e">
        <f ca="1">_xludf.ifna(VLOOKUP(G224,Proyectos!$A$2:$T$674,20,0),"")</f>
        <v>#NAME?</v>
      </c>
      <c r="N224" s="32" t="e">
        <f ca="1">_xludf.ifna(VLOOKUP(G224,Proyectos!$A$2:$S$674,19,0))</f>
        <v>#NAME?</v>
      </c>
      <c r="O224" s="32"/>
      <c r="P224" s="31"/>
      <c r="Q224" s="33"/>
      <c r="R224" s="33"/>
      <c r="S224" s="33"/>
      <c r="T224" s="33"/>
      <c r="U224" s="33"/>
      <c r="V224" s="33"/>
      <c r="W224" s="33"/>
    </row>
    <row r="225" spans="1:23" ht="16.5" customHeight="1" x14ac:dyDescent="0.2">
      <c r="A225" s="35" t="s">
        <v>3378</v>
      </c>
      <c r="B225" s="35" t="s">
        <v>3379</v>
      </c>
      <c r="C225" s="54" t="s">
        <v>7</v>
      </c>
      <c r="D225" s="54" t="s">
        <v>23</v>
      </c>
      <c r="E225" s="54" t="s">
        <v>39</v>
      </c>
      <c r="F225" s="28" t="e">
        <f ca="1">_xludf.ifna(VLOOKUP(G225,Proyectos!$A$2:$F$674,6,0),"")</f>
        <v>#NAME?</v>
      </c>
      <c r="G225" s="29" t="s">
        <v>5173</v>
      </c>
      <c r="H225" s="34">
        <v>0.1</v>
      </c>
      <c r="I225" s="52" t="s">
        <v>11</v>
      </c>
      <c r="J225" s="30" t="s">
        <v>72</v>
      </c>
      <c r="K225" s="32"/>
      <c r="L225" s="32" t="e">
        <f ca="1">_xludf.ifna(VLOOKUP(E225,Parámetros!$D$2:$E$34,2,0),"")</f>
        <v>#NAME?</v>
      </c>
      <c r="M225" s="32" t="e">
        <f ca="1">_xludf.ifna(VLOOKUP(G225,Proyectos!$A$2:$T$674,20,0),"")</f>
        <v>#NAME?</v>
      </c>
      <c r="N225" s="32" t="e">
        <f ca="1">_xludf.ifna(VLOOKUP(G225,Proyectos!$A$2:$S$674,19,0))</f>
        <v>#NAME?</v>
      </c>
      <c r="O225" s="32"/>
      <c r="P225" s="31"/>
      <c r="Q225" s="33"/>
      <c r="R225" s="33"/>
      <c r="S225" s="33"/>
      <c r="T225" s="33"/>
      <c r="U225" s="33"/>
      <c r="V225" s="33"/>
      <c r="W225" s="33"/>
    </row>
    <row r="226" spans="1:23" ht="16.5" customHeight="1" x14ac:dyDescent="0.2">
      <c r="A226" s="35" t="s">
        <v>3378</v>
      </c>
      <c r="B226" s="35" t="s">
        <v>3379</v>
      </c>
      <c r="C226" s="54" t="s">
        <v>7</v>
      </c>
      <c r="D226" s="54" t="s">
        <v>23</v>
      </c>
      <c r="E226" s="54" t="s">
        <v>39</v>
      </c>
      <c r="F226" s="28" t="e">
        <f ca="1">_xludf.ifna(VLOOKUP(G226,Proyectos!$A$2:$F$674,6,0),"")</f>
        <v>#NAME?</v>
      </c>
      <c r="G226" s="29" t="s">
        <v>5174</v>
      </c>
      <c r="H226" s="34">
        <v>0.2</v>
      </c>
      <c r="I226" s="52" t="s">
        <v>11</v>
      </c>
      <c r="J226" s="30" t="s">
        <v>72</v>
      </c>
      <c r="K226" s="32"/>
      <c r="L226" s="32" t="e">
        <f ca="1">_xludf.ifna(VLOOKUP(E226,Parámetros!$D$2:$E$34,2,0),"")</f>
        <v>#NAME?</v>
      </c>
      <c r="M226" s="32" t="e">
        <f ca="1">_xludf.ifna(VLOOKUP(G226,Proyectos!$A$2:$T$674,20,0),"")</f>
        <v>#NAME?</v>
      </c>
      <c r="N226" s="32" t="e">
        <f ca="1">_xludf.ifna(VLOOKUP(G226,Proyectos!$A$2:$S$674,19,0))</f>
        <v>#NAME?</v>
      </c>
      <c r="O226" s="32"/>
      <c r="P226" s="31"/>
      <c r="Q226" s="33"/>
      <c r="R226" s="33"/>
      <c r="S226" s="33"/>
      <c r="T226" s="33"/>
      <c r="U226" s="33"/>
      <c r="V226" s="33"/>
      <c r="W226" s="33"/>
    </row>
    <row r="227" spans="1:23" ht="16.5" customHeight="1" x14ac:dyDescent="0.2">
      <c r="A227" s="35" t="s">
        <v>3378</v>
      </c>
      <c r="B227" s="35" t="s">
        <v>3379</v>
      </c>
      <c r="C227" s="54" t="s">
        <v>7</v>
      </c>
      <c r="D227" s="54" t="s">
        <v>23</v>
      </c>
      <c r="E227" s="54" t="s">
        <v>39</v>
      </c>
      <c r="F227" s="28" t="e">
        <f ca="1">_xludf.ifna(VLOOKUP(G227,Proyectos!$A$2:$F$674,6,0),"")</f>
        <v>#NAME?</v>
      </c>
      <c r="G227" s="29" t="s">
        <v>5175</v>
      </c>
      <c r="H227" s="34">
        <v>0.1</v>
      </c>
      <c r="I227" s="52" t="s">
        <v>11</v>
      </c>
      <c r="J227" s="30" t="s">
        <v>72</v>
      </c>
      <c r="K227" s="32"/>
      <c r="L227" s="32" t="e">
        <f ca="1">_xludf.ifna(VLOOKUP(E227,Parámetros!$D$2:$E$34,2,0),"")</f>
        <v>#NAME?</v>
      </c>
      <c r="M227" s="32" t="e">
        <f ca="1">_xludf.ifna(VLOOKUP(G227,Proyectos!$A$2:$T$674,20,0),"")</f>
        <v>#NAME?</v>
      </c>
      <c r="N227" s="32" t="e">
        <f ca="1">_xludf.ifna(VLOOKUP(G227,Proyectos!$A$2:$S$674,19,0))</f>
        <v>#NAME?</v>
      </c>
      <c r="O227" s="32"/>
      <c r="P227" s="31"/>
      <c r="Q227" s="33"/>
      <c r="R227" s="33"/>
      <c r="S227" s="33"/>
      <c r="T227" s="33"/>
      <c r="U227" s="33"/>
      <c r="V227" s="33"/>
      <c r="W227" s="33"/>
    </row>
    <row r="228" spans="1:23" ht="16.5" customHeight="1" x14ac:dyDescent="0.2">
      <c r="A228" s="35" t="s">
        <v>3378</v>
      </c>
      <c r="B228" s="35" t="s">
        <v>3379</v>
      </c>
      <c r="C228" s="54" t="s">
        <v>7</v>
      </c>
      <c r="D228" s="54" t="s">
        <v>23</v>
      </c>
      <c r="E228" s="54" t="s">
        <v>39</v>
      </c>
      <c r="F228" s="28" t="e">
        <f ca="1">_xludf.ifna(VLOOKUP(G228,Proyectos!$A$2:$F$674,6,0),"")</f>
        <v>#NAME?</v>
      </c>
      <c r="G228" s="29" t="s">
        <v>5176</v>
      </c>
      <c r="H228" s="34">
        <v>0.1</v>
      </c>
      <c r="I228" s="52" t="s">
        <v>11</v>
      </c>
      <c r="J228" s="30" t="s">
        <v>72</v>
      </c>
      <c r="K228" s="32"/>
      <c r="L228" s="32" t="e">
        <f ca="1">_xludf.ifna(VLOOKUP(E228,Parámetros!$D$2:$E$34,2,0),"")</f>
        <v>#NAME?</v>
      </c>
      <c r="M228" s="32" t="e">
        <f ca="1">_xludf.ifna(VLOOKUP(G228,Proyectos!$A$2:$T$674,20,0),"")</f>
        <v>#NAME?</v>
      </c>
      <c r="N228" s="32" t="e">
        <f ca="1">_xludf.ifna(VLOOKUP(G228,Proyectos!$A$2:$S$674,19,0))</f>
        <v>#NAME?</v>
      </c>
      <c r="O228" s="32"/>
      <c r="P228" s="31"/>
      <c r="Q228" s="33"/>
      <c r="R228" s="33"/>
      <c r="S228" s="33"/>
      <c r="T228" s="33"/>
      <c r="U228" s="33"/>
      <c r="V228" s="33"/>
      <c r="W228" s="33"/>
    </row>
    <row r="229" spans="1:23" ht="16.5" customHeight="1" x14ac:dyDescent="0.2">
      <c r="A229" s="54" t="s">
        <v>3640</v>
      </c>
      <c r="B229" s="54" t="s">
        <v>5177</v>
      </c>
      <c r="C229" s="54" t="s">
        <v>7</v>
      </c>
      <c r="D229" s="54" t="s">
        <v>23</v>
      </c>
      <c r="E229" s="54" t="s">
        <v>39</v>
      </c>
      <c r="F229" s="28" t="e">
        <f ca="1">_xludf.ifna(VLOOKUP(G229,Proyectos!$A$2:$F$674,6,0),"")</f>
        <v>#NAME?</v>
      </c>
      <c r="G229" s="29" t="s">
        <v>5170</v>
      </c>
      <c r="H229" s="34">
        <v>0.4</v>
      </c>
      <c r="I229" s="58" t="s">
        <v>18</v>
      </c>
      <c r="J229" s="34" t="s">
        <v>41</v>
      </c>
      <c r="K229" s="32"/>
      <c r="L229" s="32" t="e">
        <f ca="1">_xludf.ifna(VLOOKUP(E229,Parámetros!$D$2:$E$34,2,0),"")</f>
        <v>#NAME?</v>
      </c>
      <c r="M229" s="32" t="e">
        <f ca="1">_xludf.ifna(VLOOKUP(G229,Proyectos!$A$2:$T$674,20,0),"")</f>
        <v>#NAME?</v>
      </c>
      <c r="N229" s="32" t="e">
        <f ca="1">_xludf.ifna(VLOOKUP(G229,Proyectos!$A$2:$S$674,19,0))</f>
        <v>#NAME?</v>
      </c>
      <c r="O229" s="32"/>
      <c r="P229" s="31"/>
      <c r="Q229" s="33"/>
      <c r="R229" s="33"/>
      <c r="S229" s="33"/>
      <c r="T229" s="33"/>
      <c r="U229" s="33"/>
      <c r="V229" s="33"/>
      <c r="W229" s="33"/>
    </row>
    <row r="230" spans="1:23" ht="16.5" customHeight="1" x14ac:dyDescent="0.2">
      <c r="A230" s="54" t="s">
        <v>3640</v>
      </c>
      <c r="B230" s="57" t="s">
        <v>5177</v>
      </c>
      <c r="C230" s="54" t="s">
        <v>7</v>
      </c>
      <c r="D230" s="54" t="s">
        <v>23</v>
      </c>
      <c r="E230" s="54" t="s">
        <v>39</v>
      </c>
      <c r="F230" s="28" t="e">
        <f ca="1">_xludf.ifna(VLOOKUP(G230,Proyectos!$A$2:$F$674,6,0),"")</f>
        <v>#NAME?</v>
      </c>
      <c r="G230" s="29" t="s">
        <v>5171</v>
      </c>
      <c r="H230" s="34">
        <v>0.1</v>
      </c>
      <c r="I230" s="58" t="s">
        <v>18</v>
      </c>
      <c r="J230" s="34" t="s">
        <v>41</v>
      </c>
      <c r="K230" s="31" t="s">
        <v>5172</v>
      </c>
      <c r="L230" s="32" t="e">
        <f ca="1">_xludf.ifna(VLOOKUP(E230,Parámetros!$D$2:$E$34,2,0),"")</f>
        <v>#NAME?</v>
      </c>
      <c r="M230" s="32" t="e">
        <f ca="1">_xludf.ifna(VLOOKUP(G230,Proyectos!$A$2:$T$674,20,0),"")</f>
        <v>#NAME?</v>
      </c>
      <c r="N230" s="32" t="e">
        <f ca="1">_xludf.ifna(VLOOKUP(G230,Proyectos!$A$2:$S$674,19,0))</f>
        <v>#NAME?</v>
      </c>
      <c r="O230" s="32"/>
      <c r="P230" s="31"/>
      <c r="Q230" s="33"/>
      <c r="R230" s="33"/>
      <c r="S230" s="33"/>
      <c r="T230" s="33"/>
      <c r="U230" s="33"/>
      <c r="V230" s="33"/>
      <c r="W230" s="33"/>
    </row>
    <row r="231" spans="1:23" ht="16.5" customHeight="1" x14ac:dyDescent="0.2">
      <c r="A231" s="54" t="s">
        <v>3640</v>
      </c>
      <c r="B231" s="54" t="s">
        <v>5177</v>
      </c>
      <c r="C231" s="54" t="s">
        <v>7</v>
      </c>
      <c r="D231" s="54" t="s">
        <v>23</v>
      </c>
      <c r="E231" s="54" t="s">
        <v>39</v>
      </c>
      <c r="F231" s="28" t="e">
        <f ca="1">_xludf.ifna(VLOOKUP(G231,Proyectos!$A$2:$F$674,6,0),"")</f>
        <v>#NAME?</v>
      </c>
      <c r="G231" s="29" t="s">
        <v>5173</v>
      </c>
      <c r="H231" s="34">
        <v>0.1</v>
      </c>
      <c r="I231" s="58" t="s">
        <v>18</v>
      </c>
      <c r="J231" s="34" t="s">
        <v>41</v>
      </c>
      <c r="K231" s="32"/>
      <c r="L231" s="32" t="e">
        <f ca="1">_xludf.ifna(VLOOKUP(E231,Parámetros!$D$2:$E$34,2,0),"")</f>
        <v>#NAME?</v>
      </c>
      <c r="M231" s="32" t="e">
        <f ca="1">_xludf.ifna(VLOOKUP(G231,Proyectos!$A$2:$T$674,20,0),"")</f>
        <v>#NAME?</v>
      </c>
      <c r="N231" s="32" t="e">
        <f ca="1">_xludf.ifna(VLOOKUP(G231,Proyectos!$A$2:$S$674,19,0))</f>
        <v>#NAME?</v>
      </c>
      <c r="O231" s="32"/>
      <c r="P231" s="31"/>
      <c r="Q231" s="33"/>
      <c r="R231" s="33"/>
      <c r="S231" s="33"/>
      <c r="T231" s="33"/>
      <c r="U231" s="33"/>
      <c r="V231" s="33"/>
      <c r="W231" s="33"/>
    </row>
    <row r="232" spans="1:23" ht="16.5" customHeight="1" x14ac:dyDescent="0.2">
      <c r="A232" s="54" t="s">
        <v>3640</v>
      </c>
      <c r="B232" s="54" t="s">
        <v>5177</v>
      </c>
      <c r="C232" s="54" t="s">
        <v>7</v>
      </c>
      <c r="D232" s="54" t="s">
        <v>23</v>
      </c>
      <c r="E232" s="54" t="s">
        <v>39</v>
      </c>
      <c r="F232" s="28" t="e">
        <f ca="1">_xludf.ifna(VLOOKUP(G232,Proyectos!$A$2:$F$674,6,0),"")</f>
        <v>#NAME?</v>
      </c>
      <c r="G232" s="29" t="s">
        <v>5174</v>
      </c>
      <c r="H232" s="34">
        <v>0.4</v>
      </c>
      <c r="I232" s="58" t="s">
        <v>18</v>
      </c>
      <c r="J232" s="34" t="s">
        <v>41</v>
      </c>
      <c r="K232" s="32"/>
      <c r="L232" s="32" t="e">
        <f ca="1">_xludf.ifna(VLOOKUP(E232,Parámetros!$D$2:$E$34,2,0),"")</f>
        <v>#NAME?</v>
      </c>
      <c r="M232" s="32" t="e">
        <f ca="1">_xludf.ifna(VLOOKUP(G232,Proyectos!$A$2:$T$674,20,0),"")</f>
        <v>#NAME?</v>
      </c>
      <c r="N232" s="32" t="e">
        <f ca="1">_xludf.ifna(VLOOKUP(G232,Proyectos!$A$2:$S$674,19,0))</f>
        <v>#NAME?</v>
      </c>
      <c r="O232" s="32"/>
      <c r="P232" s="31"/>
      <c r="Q232" s="33"/>
      <c r="R232" s="33"/>
      <c r="S232" s="33"/>
      <c r="T232" s="33"/>
      <c r="U232" s="33"/>
      <c r="V232" s="33"/>
      <c r="W232" s="33"/>
    </row>
    <row r="233" spans="1:23" ht="16.5" customHeight="1" x14ac:dyDescent="0.2">
      <c r="A233" s="54" t="s">
        <v>3658</v>
      </c>
      <c r="B233" s="54" t="s">
        <v>5178</v>
      </c>
      <c r="C233" s="54" t="s">
        <v>7</v>
      </c>
      <c r="D233" s="54" t="s">
        <v>23</v>
      </c>
      <c r="E233" s="54" t="s">
        <v>39</v>
      </c>
      <c r="F233" s="28" t="e">
        <f ca="1">_xludf.ifna(VLOOKUP(G233,Proyectos!$A$2:$F$674,6,0),"")</f>
        <v>#NAME?</v>
      </c>
      <c r="G233" s="29" t="s">
        <v>5170</v>
      </c>
      <c r="H233" s="34">
        <v>0.3</v>
      </c>
      <c r="I233" s="58" t="s">
        <v>18</v>
      </c>
      <c r="J233" s="34" t="s">
        <v>61</v>
      </c>
      <c r="K233" s="32"/>
      <c r="L233" s="32" t="e">
        <f ca="1">_xludf.ifna(VLOOKUP(E233,Parámetros!$D$2:$E$34,2,0),"")</f>
        <v>#NAME?</v>
      </c>
      <c r="M233" s="32" t="e">
        <f ca="1">_xludf.ifna(VLOOKUP(G233,Proyectos!$A$2:$T$674,20,0),"")</f>
        <v>#NAME?</v>
      </c>
      <c r="N233" s="32" t="e">
        <f ca="1">_xludf.ifna(VLOOKUP(G233,Proyectos!$A$2:$S$674,19,0))</f>
        <v>#NAME?</v>
      </c>
      <c r="O233" s="32"/>
      <c r="P233" s="31"/>
      <c r="Q233" s="33"/>
      <c r="R233" s="33"/>
      <c r="S233" s="33"/>
      <c r="T233" s="33"/>
      <c r="U233" s="33"/>
      <c r="V233" s="33"/>
      <c r="W233" s="33"/>
    </row>
    <row r="234" spans="1:23" ht="16.5" customHeight="1" x14ac:dyDescent="0.2">
      <c r="A234" s="54" t="s">
        <v>3658</v>
      </c>
      <c r="B234" s="54" t="s">
        <v>5178</v>
      </c>
      <c r="C234" s="54" t="s">
        <v>7</v>
      </c>
      <c r="D234" s="54" t="s">
        <v>23</v>
      </c>
      <c r="E234" s="54" t="s">
        <v>39</v>
      </c>
      <c r="F234" s="28" t="e">
        <f ca="1">_xludf.ifna(VLOOKUP(G234,Proyectos!$A$2:$F$674,6,0),"")</f>
        <v>#NAME?</v>
      </c>
      <c r="G234" s="29" t="s">
        <v>5176</v>
      </c>
      <c r="H234" s="34">
        <v>0.1</v>
      </c>
      <c r="I234" s="58" t="s">
        <v>18</v>
      </c>
      <c r="J234" s="34" t="s">
        <v>61</v>
      </c>
      <c r="K234" s="32"/>
      <c r="L234" s="32" t="e">
        <f ca="1">_xludf.ifna(VLOOKUP(E234,Parámetros!$D$2:$E$34,2,0),"")</f>
        <v>#NAME?</v>
      </c>
      <c r="M234" s="32" t="e">
        <f ca="1">_xludf.ifna(VLOOKUP(G234,Proyectos!$A$2:$T$674,20,0),"")</f>
        <v>#NAME?</v>
      </c>
      <c r="N234" s="32" t="e">
        <f ca="1">_xludf.ifna(VLOOKUP(G234,Proyectos!$A$2:$S$674,19,0))</f>
        <v>#NAME?</v>
      </c>
      <c r="O234" s="32"/>
      <c r="P234" s="31"/>
      <c r="Q234" s="33"/>
      <c r="R234" s="33"/>
      <c r="S234" s="33"/>
      <c r="T234" s="33"/>
      <c r="U234" s="33"/>
      <c r="V234" s="33"/>
      <c r="W234" s="33"/>
    </row>
    <row r="235" spans="1:23" ht="16.5" customHeight="1" x14ac:dyDescent="0.2">
      <c r="A235" s="54" t="s">
        <v>3658</v>
      </c>
      <c r="B235" s="54" t="s">
        <v>5178</v>
      </c>
      <c r="C235" s="54" t="s">
        <v>7</v>
      </c>
      <c r="D235" s="54" t="s">
        <v>23</v>
      </c>
      <c r="E235" s="54" t="s">
        <v>39</v>
      </c>
      <c r="F235" s="28" t="e">
        <f ca="1">_xludf.ifna(VLOOKUP(G235,Proyectos!$A$2:$F$674,6,0),"")</f>
        <v>#NAME?</v>
      </c>
      <c r="G235" s="29" t="s">
        <v>5174</v>
      </c>
      <c r="H235" s="34">
        <v>0.5</v>
      </c>
      <c r="I235" s="58" t="s">
        <v>18</v>
      </c>
      <c r="J235" s="34" t="s">
        <v>61</v>
      </c>
      <c r="K235" s="32"/>
      <c r="L235" s="32" t="e">
        <f ca="1">_xludf.ifna(VLOOKUP(E235,Parámetros!$D$2:$E$34,2,0),"")</f>
        <v>#NAME?</v>
      </c>
      <c r="M235" s="32" t="e">
        <f ca="1">_xludf.ifna(VLOOKUP(G235,Proyectos!$A$2:$T$674,20,0),"")</f>
        <v>#NAME?</v>
      </c>
      <c r="N235" s="32" t="e">
        <f ca="1">_xludf.ifna(VLOOKUP(G235,Proyectos!$A$2:$S$674,19,0))</f>
        <v>#NAME?</v>
      </c>
      <c r="O235" s="32"/>
      <c r="P235" s="31"/>
      <c r="Q235" s="33"/>
      <c r="R235" s="33"/>
      <c r="S235" s="33"/>
      <c r="T235" s="33"/>
      <c r="U235" s="33"/>
      <c r="V235" s="33"/>
      <c r="W235" s="33"/>
    </row>
    <row r="236" spans="1:23" ht="16.5" customHeight="1" x14ac:dyDescent="0.2">
      <c r="A236" s="54" t="s">
        <v>3658</v>
      </c>
      <c r="B236" s="54" t="s">
        <v>5178</v>
      </c>
      <c r="C236" s="54" t="s">
        <v>7</v>
      </c>
      <c r="D236" s="54" t="s">
        <v>23</v>
      </c>
      <c r="E236" s="54" t="s">
        <v>39</v>
      </c>
      <c r="F236" s="28" t="e">
        <f ca="1">_xludf.ifna(VLOOKUP(G236,Proyectos!$A$2:$F$674,6,0),"")</f>
        <v>#NAME?</v>
      </c>
      <c r="G236" s="29" t="s">
        <v>5175</v>
      </c>
      <c r="H236" s="34">
        <v>0.1</v>
      </c>
      <c r="I236" s="58" t="s">
        <v>18</v>
      </c>
      <c r="J236" s="34" t="s">
        <v>61</v>
      </c>
      <c r="K236" s="32"/>
      <c r="L236" s="32" t="e">
        <f ca="1">_xludf.ifna(VLOOKUP(E236,Parámetros!$D$2:$E$34,2,0),"")</f>
        <v>#NAME?</v>
      </c>
      <c r="M236" s="32" t="e">
        <f ca="1">_xludf.ifna(VLOOKUP(G236,Proyectos!$A$2:$T$674,20,0),"")</f>
        <v>#NAME?</v>
      </c>
      <c r="N236" s="32" t="e">
        <f ca="1">_xludf.ifna(VLOOKUP(G236,Proyectos!$A$2:$S$674,19,0))</f>
        <v>#NAME?</v>
      </c>
      <c r="O236" s="32"/>
      <c r="P236" s="31"/>
      <c r="Q236" s="33"/>
      <c r="R236" s="33"/>
      <c r="S236" s="33"/>
      <c r="T236" s="33"/>
      <c r="U236" s="33"/>
      <c r="V236" s="33"/>
      <c r="W236" s="33"/>
    </row>
    <row r="237" spans="1:23" ht="16.5" customHeight="1" x14ac:dyDescent="0.2">
      <c r="A237" s="54" t="s">
        <v>4745</v>
      </c>
      <c r="B237" s="54" t="s">
        <v>4746</v>
      </c>
      <c r="C237" s="54" t="s">
        <v>7</v>
      </c>
      <c r="D237" s="54" t="s">
        <v>23</v>
      </c>
      <c r="E237" s="54" t="s">
        <v>39</v>
      </c>
      <c r="F237" s="28" t="e">
        <f ca="1">_xludf.ifna(VLOOKUP(G237,Proyectos!$A$2:$F$674,6,0),"")</f>
        <v>#NAME?</v>
      </c>
      <c r="G237" s="29" t="s">
        <v>5174</v>
      </c>
      <c r="H237" s="34">
        <v>0.4</v>
      </c>
      <c r="I237" s="58" t="s">
        <v>18</v>
      </c>
      <c r="J237" s="34" t="s">
        <v>61</v>
      </c>
      <c r="K237" s="32"/>
      <c r="L237" s="32" t="e">
        <f ca="1">_xludf.ifna(VLOOKUP(E237,Parámetros!$D$2:$E$34,2,0),"")</f>
        <v>#NAME?</v>
      </c>
      <c r="M237" s="32" t="e">
        <f ca="1">_xludf.ifna(VLOOKUP(G237,Proyectos!$A$2:$T$674,20,0),"")</f>
        <v>#NAME?</v>
      </c>
      <c r="N237" s="32" t="e">
        <f ca="1">_xludf.ifna(VLOOKUP(G237,Proyectos!$A$2:$S$674,19,0))</f>
        <v>#NAME?</v>
      </c>
      <c r="O237" s="32"/>
      <c r="P237" s="31"/>
      <c r="Q237" s="33"/>
      <c r="R237" s="33"/>
      <c r="S237" s="33"/>
      <c r="T237" s="33"/>
      <c r="U237" s="33"/>
      <c r="V237" s="33"/>
      <c r="W237" s="33"/>
    </row>
    <row r="238" spans="1:23" ht="16.5" customHeight="1" x14ac:dyDescent="0.2">
      <c r="A238" s="54" t="s">
        <v>4745</v>
      </c>
      <c r="B238" s="54" t="s">
        <v>4746</v>
      </c>
      <c r="C238" s="54" t="s">
        <v>7</v>
      </c>
      <c r="D238" s="54" t="s">
        <v>23</v>
      </c>
      <c r="E238" s="54" t="s">
        <v>39</v>
      </c>
      <c r="F238" s="28" t="e">
        <f ca="1">_xludf.ifna(VLOOKUP(G238,Proyectos!$A$2:$F$674,6,0),"")</f>
        <v>#NAME?</v>
      </c>
      <c r="G238" s="29" t="s">
        <v>5175</v>
      </c>
      <c r="H238" s="34">
        <v>0.3</v>
      </c>
      <c r="I238" s="58" t="s">
        <v>18</v>
      </c>
      <c r="J238" s="34" t="s">
        <v>61</v>
      </c>
      <c r="K238" s="32"/>
      <c r="L238" s="32" t="e">
        <f ca="1">_xludf.ifna(VLOOKUP(E238,Parámetros!$D$2:$E$34,2,0),"")</f>
        <v>#NAME?</v>
      </c>
      <c r="M238" s="32" t="e">
        <f ca="1">_xludf.ifna(VLOOKUP(G238,Proyectos!$A$2:$T$674,20,0),"")</f>
        <v>#NAME?</v>
      </c>
      <c r="N238" s="32" t="e">
        <f ca="1">_xludf.ifna(VLOOKUP(G238,Proyectos!$A$2:$S$674,19,0))</f>
        <v>#NAME?</v>
      </c>
      <c r="O238" s="32"/>
      <c r="P238" s="31"/>
      <c r="Q238" s="33"/>
      <c r="R238" s="33"/>
      <c r="S238" s="33"/>
      <c r="T238" s="33"/>
      <c r="U238" s="33"/>
      <c r="V238" s="33"/>
      <c r="W238" s="33"/>
    </row>
    <row r="239" spans="1:23" ht="16.5" customHeight="1" x14ac:dyDescent="0.2">
      <c r="A239" s="54" t="s">
        <v>4745</v>
      </c>
      <c r="B239" s="54" t="s">
        <v>4746</v>
      </c>
      <c r="C239" s="54" t="s">
        <v>7</v>
      </c>
      <c r="D239" s="54" t="s">
        <v>23</v>
      </c>
      <c r="E239" s="54" t="s">
        <v>39</v>
      </c>
      <c r="F239" s="28" t="e">
        <f ca="1">_xludf.ifna(VLOOKUP(G239,Proyectos!$A$2:$F$674,6,0),"")</f>
        <v>#NAME?</v>
      </c>
      <c r="G239" s="29" t="s">
        <v>5176</v>
      </c>
      <c r="H239" s="34">
        <v>0.3</v>
      </c>
      <c r="I239" s="58" t="s">
        <v>18</v>
      </c>
      <c r="J239" s="34" t="s">
        <v>61</v>
      </c>
      <c r="K239" s="32"/>
      <c r="L239" s="32" t="e">
        <f ca="1">_xludf.ifna(VLOOKUP(E239,Parámetros!$D$2:$E$34,2,0),"")</f>
        <v>#NAME?</v>
      </c>
      <c r="M239" s="32" t="e">
        <f ca="1">_xludf.ifna(VLOOKUP(G239,Proyectos!$A$2:$T$674,20,0),"")</f>
        <v>#NAME?</v>
      </c>
      <c r="N239" s="32" t="e">
        <f ca="1">_xludf.ifna(VLOOKUP(G239,Proyectos!$A$2:$S$674,19,0))</f>
        <v>#NAME?</v>
      </c>
      <c r="O239" s="32"/>
      <c r="P239" s="31"/>
      <c r="Q239" s="33"/>
      <c r="R239" s="33"/>
      <c r="S239" s="33"/>
      <c r="T239" s="33"/>
      <c r="U239" s="33"/>
      <c r="V239" s="33"/>
      <c r="W239" s="33"/>
    </row>
    <row r="240" spans="1:23" ht="16.5" customHeight="1" x14ac:dyDescent="0.2">
      <c r="A240" s="35" t="s">
        <v>4179</v>
      </c>
      <c r="B240" s="35" t="s">
        <v>5179</v>
      </c>
      <c r="C240" s="54" t="s">
        <v>7</v>
      </c>
      <c r="D240" s="54" t="s">
        <v>23</v>
      </c>
      <c r="E240" s="54" t="s">
        <v>123</v>
      </c>
      <c r="F240" s="28" t="e">
        <f ca="1">_xludf.ifna(VLOOKUP(G240,Proyectos!$A$2:$F$674,6,0),"")</f>
        <v>#NAME?</v>
      </c>
      <c r="G240" s="29" t="s">
        <v>5170</v>
      </c>
      <c r="H240" s="34">
        <v>1</v>
      </c>
      <c r="I240" s="52" t="s">
        <v>18</v>
      </c>
      <c r="J240" s="30" t="s">
        <v>41</v>
      </c>
      <c r="K240" s="32"/>
      <c r="L240" s="32" t="e">
        <f ca="1">_xludf.ifna(VLOOKUP(E240,Parámetros!$D$2:$E$34,2,0),"")</f>
        <v>#NAME?</v>
      </c>
      <c r="M240" s="32" t="e">
        <f ca="1">_xludf.ifna(VLOOKUP(G240,Proyectos!$A$2:$T$674,20,0),"")</f>
        <v>#NAME?</v>
      </c>
      <c r="N240" s="32" t="e">
        <f ca="1">_xludf.ifna(VLOOKUP(G240,Proyectos!$A$2:$S$674,19,0))</f>
        <v>#NAME?</v>
      </c>
      <c r="O240" s="32"/>
      <c r="P240" s="31"/>
      <c r="Q240" s="33"/>
      <c r="R240" s="33"/>
      <c r="S240" s="33"/>
      <c r="T240" s="33"/>
      <c r="U240" s="33"/>
      <c r="V240" s="33"/>
      <c r="W240" s="33"/>
    </row>
    <row r="241" spans="1:23" ht="16.5" customHeight="1" x14ac:dyDescent="0.2">
      <c r="A241" s="35" t="s">
        <v>4883</v>
      </c>
      <c r="B241" s="35" t="s">
        <v>4884</v>
      </c>
      <c r="C241" s="54" t="s">
        <v>7</v>
      </c>
      <c r="D241" s="54" t="s">
        <v>23</v>
      </c>
      <c r="E241" s="54" t="s">
        <v>79</v>
      </c>
      <c r="F241" s="28" t="e">
        <f ca="1">_xludf.ifna(VLOOKUP(G241,Proyectos!$A$2:$F$674,6,0),"")</f>
        <v>#NAME?</v>
      </c>
      <c r="G241" s="29" t="s">
        <v>5170</v>
      </c>
      <c r="H241" s="34">
        <v>1</v>
      </c>
      <c r="I241" s="52" t="s">
        <v>18</v>
      </c>
      <c r="J241" s="30" t="s">
        <v>41</v>
      </c>
      <c r="K241" s="32"/>
      <c r="L241" s="32" t="e">
        <f ca="1">_xludf.ifna(VLOOKUP(E241,Parámetros!$D$2:$E$34,2,0),"")</f>
        <v>#NAME?</v>
      </c>
      <c r="M241" s="32" t="e">
        <f ca="1">_xludf.ifna(VLOOKUP(G241,Proyectos!$A$2:$T$674,20,0),"")</f>
        <v>#NAME?</v>
      </c>
      <c r="N241" s="32" t="e">
        <f ca="1">_xludf.ifna(VLOOKUP(G241,Proyectos!$A$2:$S$674,19,0))</f>
        <v>#NAME?</v>
      </c>
      <c r="O241" s="32"/>
      <c r="P241" s="31"/>
      <c r="Q241" s="33"/>
      <c r="R241" s="33"/>
      <c r="S241" s="33"/>
      <c r="T241" s="33"/>
      <c r="U241" s="33"/>
      <c r="V241" s="33"/>
      <c r="W241" s="33"/>
    </row>
    <row r="242" spans="1:23" ht="16.5" customHeight="1" x14ac:dyDescent="0.2">
      <c r="A242" s="35" t="s">
        <v>4980</v>
      </c>
      <c r="B242" s="35" t="s">
        <v>5180</v>
      </c>
      <c r="C242" s="54" t="s">
        <v>7</v>
      </c>
      <c r="D242" s="54" t="s">
        <v>23</v>
      </c>
      <c r="E242" s="54" t="s">
        <v>79</v>
      </c>
      <c r="F242" s="28" t="e">
        <f ca="1">_xludf.ifna(VLOOKUP(G242,Proyectos!$A$2:$F$674,6,0),"")</f>
        <v>#NAME?</v>
      </c>
      <c r="G242" s="29" t="s">
        <v>5170</v>
      </c>
      <c r="H242" s="34">
        <v>1</v>
      </c>
      <c r="I242" s="52" t="s">
        <v>18</v>
      </c>
      <c r="J242" s="30" t="s">
        <v>41</v>
      </c>
      <c r="K242" s="32"/>
      <c r="L242" s="32" t="e">
        <f ca="1">_xludf.ifna(VLOOKUP(E242,Parámetros!$D$2:$E$34,2,0),"")</f>
        <v>#NAME?</v>
      </c>
      <c r="M242" s="32" t="e">
        <f ca="1">_xludf.ifna(VLOOKUP(G242,Proyectos!$A$2:$T$674,20,0),"")</f>
        <v>#NAME?</v>
      </c>
      <c r="N242" s="32" t="e">
        <f ca="1">_xludf.ifna(VLOOKUP(G242,Proyectos!$A$2:$S$674,19,0))</f>
        <v>#NAME?</v>
      </c>
      <c r="O242" s="32"/>
      <c r="P242" s="31"/>
      <c r="Q242" s="33"/>
      <c r="R242" s="33"/>
      <c r="S242" s="33"/>
      <c r="T242" s="33"/>
      <c r="U242" s="33"/>
      <c r="V242" s="33"/>
      <c r="W242" s="33"/>
    </row>
    <row r="243" spans="1:23" ht="16.5" customHeight="1" x14ac:dyDescent="0.2">
      <c r="A243" s="35" t="s">
        <v>4169</v>
      </c>
      <c r="B243" s="57" t="s">
        <v>5181</v>
      </c>
      <c r="C243" s="54" t="s">
        <v>7</v>
      </c>
      <c r="D243" s="35" t="s">
        <v>23</v>
      </c>
      <c r="E243" s="35" t="s">
        <v>106</v>
      </c>
      <c r="F243" s="28" t="e">
        <f ca="1">_xludf.ifna(VLOOKUP(G243,Proyectos!$A$2:$F$674,6,0),"")</f>
        <v>#NAME?</v>
      </c>
      <c r="G243" s="38" t="s">
        <v>5182</v>
      </c>
      <c r="H243" s="59">
        <v>0.5</v>
      </c>
      <c r="I243" s="52" t="s">
        <v>18</v>
      </c>
      <c r="J243" s="30" t="s">
        <v>41</v>
      </c>
      <c r="K243" s="32"/>
      <c r="L243" s="32" t="e">
        <f ca="1">_xludf.ifna(VLOOKUP(E243,Parámetros!$D$2:$E$34,2,0),"")</f>
        <v>#NAME?</v>
      </c>
      <c r="M243" s="32" t="e">
        <f ca="1">_xludf.ifna(VLOOKUP(G243,Proyectos!$A$2:$T$674,20,0),"")</f>
        <v>#NAME?</v>
      </c>
      <c r="N243" s="32" t="e">
        <f ca="1">_xludf.ifna(VLOOKUP(G243,Proyectos!$A$2:$S$674,19,0))</f>
        <v>#NAME?</v>
      </c>
      <c r="O243" s="32"/>
      <c r="P243" s="31"/>
      <c r="Q243" s="33"/>
      <c r="R243" s="33"/>
      <c r="S243" s="33"/>
      <c r="T243" s="33"/>
      <c r="U243" s="33"/>
      <c r="V243" s="33"/>
      <c r="W243" s="33"/>
    </row>
    <row r="244" spans="1:23" ht="16.5" customHeight="1" x14ac:dyDescent="0.2">
      <c r="A244" s="35" t="s">
        <v>4978</v>
      </c>
      <c r="B244" s="35" t="s">
        <v>5183</v>
      </c>
      <c r="C244" s="54" t="s">
        <v>7</v>
      </c>
      <c r="D244" s="54" t="s">
        <v>23</v>
      </c>
      <c r="E244" s="54" t="s">
        <v>79</v>
      </c>
      <c r="F244" s="28" t="e">
        <f ca="1">_xludf.ifna(VLOOKUP(G244,Proyectos!$A$2:$F$674,6,0),"")</f>
        <v>#NAME?</v>
      </c>
      <c r="G244" s="29" t="s">
        <v>5170</v>
      </c>
      <c r="H244" s="34">
        <v>1</v>
      </c>
      <c r="I244" s="52" t="s">
        <v>18</v>
      </c>
      <c r="J244" s="30" t="s">
        <v>41</v>
      </c>
      <c r="K244" s="32"/>
      <c r="L244" s="32" t="e">
        <f ca="1">_xludf.ifna(VLOOKUP(E244,Parámetros!$D$2:$E$34,2,0),"")</f>
        <v>#NAME?</v>
      </c>
      <c r="M244" s="32" t="e">
        <f ca="1">_xludf.ifna(VLOOKUP(G244,Proyectos!$A$2:$T$674,20,0),"")</f>
        <v>#NAME?</v>
      </c>
      <c r="N244" s="32" t="e">
        <f ca="1">_xludf.ifna(VLOOKUP(G244,Proyectos!$A$2:$S$674,19,0))</f>
        <v>#NAME?</v>
      </c>
      <c r="O244" s="32"/>
      <c r="P244" s="31"/>
      <c r="Q244" s="33"/>
      <c r="R244" s="33"/>
      <c r="S244" s="33"/>
      <c r="T244" s="33"/>
      <c r="U244" s="33"/>
      <c r="V244" s="33"/>
      <c r="W244" s="33"/>
    </row>
    <row r="245" spans="1:23" ht="16.5" customHeight="1" x14ac:dyDescent="0.2">
      <c r="A245" s="35" t="s">
        <v>4055</v>
      </c>
      <c r="B245" s="35" t="s">
        <v>5184</v>
      </c>
      <c r="C245" s="54" t="s">
        <v>7</v>
      </c>
      <c r="D245" s="54" t="s">
        <v>23</v>
      </c>
      <c r="E245" s="54" t="s">
        <v>123</v>
      </c>
      <c r="F245" s="28" t="e">
        <f ca="1">_xludf.ifna(VLOOKUP(G245,Proyectos!$A$2:$F$674,6,0),"")</f>
        <v>#NAME?</v>
      </c>
      <c r="G245" s="29" t="s">
        <v>5170</v>
      </c>
      <c r="H245" s="34">
        <v>1</v>
      </c>
      <c r="I245" s="52" t="s">
        <v>18</v>
      </c>
      <c r="J245" s="30" t="s">
        <v>41</v>
      </c>
      <c r="K245" s="32"/>
      <c r="L245" s="32" t="e">
        <f ca="1">_xludf.ifna(VLOOKUP(E245,Parámetros!$D$2:$E$34,2,0),"")</f>
        <v>#NAME?</v>
      </c>
      <c r="M245" s="32" t="e">
        <f ca="1">_xludf.ifna(VLOOKUP(G245,Proyectos!$A$2:$T$674,20,0),"")</f>
        <v>#NAME?</v>
      </c>
      <c r="N245" s="32" t="e">
        <f ca="1">_xludf.ifna(VLOOKUP(G245,Proyectos!$A$2:$S$674,19,0))</f>
        <v>#NAME?</v>
      </c>
      <c r="O245" s="32"/>
      <c r="P245" s="31"/>
      <c r="Q245" s="33"/>
      <c r="R245" s="33"/>
      <c r="S245" s="33"/>
      <c r="T245" s="33"/>
      <c r="U245" s="33"/>
      <c r="V245" s="33"/>
      <c r="W245" s="33"/>
    </row>
    <row r="246" spans="1:23" ht="16.5" customHeight="1" x14ac:dyDescent="0.2">
      <c r="A246" s="35" t="s">
        <v>4881</v>
      </c>
      <c r="B246" s="35" t="s">
        <v>4882</v>
      </c>
      <c r="C246" s="54" t="s">
        <v>7</v>
      </c>
      <c r="D246" s="54" t="s">
        <v>23</v>
      </c>
      <c r="E246" s="54" t="s">
        <v>79</v>
      </c>
      <c r="F246" s="28" t="e">
        <f ca="1">_xludf.ifna(VLOOKUP(G246,Proyectos!$A$2:$F$674,6,0),"")</f>
        <v>#NAME?</v>
      </c>
      <c r="G246" s="29" t="s">
        <v>5170</v>
      </c>
      <c r="H246" s="34">
        <v>1</v>
      </c>
      <c r="I246" s="52" t="s">
        <v>18</v>
      </c>
      <c r="J246" s="30" t="s">
        <v>41</v>
      </c>
      <c r="K246" s="32"/>
      <c r="L246" s="32" t="e">
        <f ca="1">_xludf.ifna(VLOOKUP(E246,Parámetros!$D$2:$E$34,2,0),"")</f>
        <v>#NAME?</v>
      </c>
      <c r="M246" s="32" t="e">
        <f ca="1">_xludf.ifna(VLOOKUP(G246,Proyectos!$A$2:$T$674,20,0),"")</f>
        <v>#NAME?</v>
      </c>
      <c r="N246" s="32" t="e">
        <f ca="1">_xludf.ifna(VLOOKUP(G246,Proyectos!$A$2:$S$674,19,0))</f>
        <v>#NAME?</v>
      </c>
      <c r="O246" s="32"/>
      <c r="P246" s="31"/>
      <c r="Q246" s="33"/>
      <c r="R246" s="33"/>
      <c r="S246" s="33"/>
      <c r="T246" s="33"/>
      <c r="U246" s="33"/>
      <c r="V246" s="33"/>
      <c r="W246" s="33"/>
    </row>
    <row r="247" spans="1:23" ht="16.5" customHeight="1" x14ac:dyDescent="0.2">
      <c r="A247" s="35" t="s">
        <v>4976</v>
      </c>
      <c r="B247" s="35" t="s">
        <v>5185</v>
      </c>
      <c r="C247" s="54" t="s">
        <v>7</v>
      </c>
      <c r="D247" s="54" t="s">
        <v>23</v>
      </c>
      <c r="E247" s="54" t="s">
        <v>79</v>
      </c>
      <c r="F247" s="28" t="e">
        <f ca="1">_xludf.ifna(VLOOKUP(G247,Proyectos!$A$2:$F$674,6,0),"")</f>
        <v>#NAME?</v>
      </c>
      <c r="G247" s="29" t="s">
        <v>5170</v>
      </c>
      <c r="H247" s="34">
        <v>1</v>
      </c>
      <c r="I247" s="52" t="s">
        <v>18</v>
      </c>
      <c r="J247" s="30" t="s">
        <v>41</v>
      </c>
      <c r="K247" s="32"/>
      <c r="L247" s="32" t="e">
        <f ca="1">_xludf.ifna(VLOOKUP(E247,Parámetros!$D$2:$E$34,2,0),"")</f>
        <v>#NAME?</v>
      </c>
      <c r="M247" s="32" t="e">
        <f ca="1">_xludf.ifna(VLOOKUP(G247,Proyectos!$A$2:$T$674,20,0),"")</f>
        <v>#NAME?</v>
      </c>
      <c r="N247" s="32" t="e">
        <f ca="1">_xludf.ifna(VLOOKUP(G247,Proyectos!$A$2:$S$674,19,0))</f>
        <v>#NAME?</v>
      </c>
      <c r="O247" s="32"/>
      <c r="P247" s="31"/>
      <c r="Q247" s="33"/>
      <c r="R247" s="33"/>
      <c r="S247" s="33"/>
      <c r="T247" s="33"/>
      <c r="U247" s="33"/>
      <c r="V247" s="33"/>
      <c r="W247" s="33"/>
    </row>
    <row r="248" spans="1:23" ht="16.5" customHeight="1" x14ac:dyDescent="0.2">
      <c r="A248" s="35" t="s">
        <v>4984</v>
      </c>
      <c r="B248" s="35" t="s">
        <v>4985</v>
      </c>
      <c r="C248" s="35" t="s">
        <v>7</v>
      </c>
      <c r="D248" s="35" t="s">
        <v>23</v>
      </c>
      <c r="E248" s="35" t="s">
        <v>87</v>
      </c>
      <c r="F248" s="28" t="e">
        <f ca="1">_xludf.ifna(VLOOKUP(G248,Proyectos!$A$2:$F$674,6,0),"")</f>
        <v>#NAME?</v>
      </c>
      <c r="G248" s="29" t="s">
        <v>5170</v>
      </c>
      <c r="H248" s="30">
        <v>0.1</v>
      </c>
      <c r="I248" s="31" t="s">
        <v>25</v>
      </c>
      <c r="J248" s="34" t="s">
        <v>61</v>
      </c>
      <c r="K248" s="32"/>
      <c r="L248" s="32" t="e">
        <f ca="1">_xludf.ifna(VLOOKUP(E248,Parámetros!$D$2:$E$34,2,0),"")</f>
        <v>#NAME?</v>
      </c>
      <c r="M248" s="32" t="e">
        <f ca="1">_xludf.ifna(VLOOKUP(G248,Proyectos!$A$2:$T$674,20,0),"")</f>
        <v>#NAME?</v>
      </c>
      <c r="N248" s="32" t="e">
        <f ca="1">_xludf.ifna(VLOOKUP(G248,Proyectos!$A$2:$S$674,19,0))</f>
        <v>#NAME?</v>
      </c>
      <c r="O248" s="32"/>
      <c r="P248" s="31"/>
      <c r="Q248" s="33"/>
      <c r="R248" s="33"/>
      <c r="S248" s="33"/>
      <c r="T248" s="33"/>
      <c r="U248" s="33"/>
      <c r="V248" s="33"/>
      <c r="W248" s="33"/>
    </row>
    <row r="249" spans="1:23" ht="16.5" customHeight="1" x14ac:dyDescent="0.2">
      <c r="A249" s="35" t="s">
        <v>4984</v>
      </c>
      <c r="B249" s="57" t="s">
        <v>4985</v>
      </c>
      <c r="C249" s="35" t="s">
        <v>7</v>
      </c>
      <c r="D249" s="35" t="s">
        <v>23</v>
      </c>
      <c r="E249" s="35" t="s">
        <v>87</v>
      </c>
      <c r="F249" s="28" t="e">
        <f ca="1">_xludf.ifna(VLOOKUP(G249,Proyectos!$A$2:$F$674,6,0),"")</f>
        <v>#NAME?</v>
      </c>
      <c r="G249" s="29" t="s">
        <v>5171</v>
      </c>
      <c r="H249" s="30">
        <v>0.1</v>
      </c>
      <c r="I249" s="31" t="s">
        <v>25</v>
      </c>
      <c r="J249" s="34" t="s">
        <v>61</v>
      </c>
      <c r="K249" s="31" t="s">
        <v>5172</v>
      </c>
      <c r="L249" s="32" t="e">
        <f ca="1">_xludf.ifna(VLOOKUP(E249,Parámetros!$D$2:$E$34,2,0),"")</f>
        <v>#NAME?</v>
      </c>
      <c r="M249" s="32" t="e">
        <f ca="1">_xludf.ifna(VLOOKUP(G249,Proyectos!$A$2:$T$674,20,0),"")</f>
        <v>#NAME?</v>
      </c>
      <c r="N249" s="32" t="e">
        <f ca="1">_xludf.ifna(VLOOKUP(G249,Proyectos!$A$2:$S$674,19,0))</f>
        <v>#NAME?</v>
      </c>
      <c r="O249" s="32"/>
      <c r="P249" s="31"/>
      <c r="Q249" s="33"/>
      <c r="R249" s="33"/>
      <c r="S249" s="33"/>
      <c r="T249" s="33"/>
      <c r="U249" s="33"/>
      <c r="V249" s="33"/>
      <c r="W249" s="33"/>
    </row>
    <row r="250" spans="1:23" ht="16.5" customHeight="1" x14ac:dyDescent="0.2">
      <c r="A250" s="35" t="s">
        <v>4984</v>
      </c>
      <c r="B250" s="35" t="s">
        <v>4985</v>
      </c>
      <c r="C250" s="35" t="s">
        <v>7</v>
      </c>
      <c r="D250" s="35" t="s">
        <v>23</v>
      </c>
      <c r="E250" s="35" t="s">
        <v>87</v>
      </c>
      <c r="F250" s="28" t="e">
        <f ca="1">_xludf.ifna(VLOOKUP(G250,Proyectos!$A$2:$F$674,6,0),"")</f>
        <v>#NAME?</v>
      </c>
      <c r="G250" s="29" t="s">
        <v>5174</v>
      </c>
      <c r="H250" s="30">
        <v>0.1</v>
      </c>
      <c r="I250" s="31" t="s">
        <v>25</v>
      </c>
      <c r="J250" s="34" t="s">
        <v>61</v>
      </c>
      <c r="K250" s="32"/>
      <c r="L250" s="32" t="e">
        <f ca="1">_xludf.ifna(VLOOKUP(E250,Parámetros!$D$2:$E$34,2,0),"")</f>
        <v>#NAME?</v>
      </c>
      <c r="M250" s="32" t="e">
        <f ca="1">_xludf.ifna(VLOOKUP(G250,Proyectos!$A$2:$T$674,20,0),"")</f>
        <v>#NAME?</v>
      </c>
      <c r="N250" s="32" t="e">
        <f ca="1">_xludf.ifna(VLOOKUP(G250,Proyectos!$A$2:$S$674,19,0))</f>
        <v>#NAME?</v>
      </c>
      <c r="O250" s="32"/>
      <c r="P250" s="31"/>
      <c r="Q250" s="33"/>
      <c r="R250" s="33"/>
      <c r="S250" s="33"/>
      <c r="T250" s="33"/>
      <c r="U250" s="33"/>
      <c r="V250" s="33"/>
      <c r="W250" s="33"/>
    </row>
    <row r="251" spans="1:23" ht="16.5" customHeight="1" x14ac:dyDescent="0.2">
      <c r="A251" s="35" t="s">
        <v>4984</v>
      </c>
      <c r="B251" s="35" t="s">
        <v>4985</v>
      </c>
      <c r="C251" s="35" t="s">
        <v>7</v>
      </c>
      <c r="D251" s="35" t="s">
        <v>23</v>
      </c>
      <c r="E251" s="35" t="s">
        <v>87</v>
      </c>
      <c r="F251" s="28" t="e">
        <f ca="1">_xludf.ifna(VLOOKUP(G251,Proyectos!$A$2:$F$674,6,0),"")</f>
        <v>#NAME?</v>
      </c>
      <c r="G251" s="29" t="s">
        <v>5175</v>
      </c>
      <c r="H251" s="30">
        <v>0.1</v>
      </c>
      <c r="I251" s="31" t="s">
        <v>25</v>
      </c>
      <c r="J251" s="34" t="s">
        <v>61</v>
      </c>
      <c r="K251" s="32"/>
      <c r="L251" s="32" t="e">
        <f ca="1">_xludf.ifna(VLOOKUP(E251,Parámetros!$D$2:$E$34,2,0),"")</f>
        <v>#NAME?</v>
      </c>
      <c r="M251" s="32" t="e">
        <f ca="1">_xludf.ifna(VLOOKUP(G251,Proyectos!$A$2:$T$674,20,0),"")</f>
        <v>#NAME?</v>
      </c>
      <c r="N251" s="32" t="e">
        <f ca="1">_xludf.ifna(VLOOKUP(G251,Proyectos!$A$2:$S$674,19,0))</f>
        <v>#NAME?</v>
      </c>
      <c r="O251" s="32"/>
      <c r="P251" s="31"/>
      <c r="Q251" s="33"/>
      <c r="R251" s="33"/>
      <c r="S251" s="33"/>
      <c r="T251" s="33"/>
      <c r="U251" s="33"/>
      <c r="V251" s="33"/>
      <c r="W251" s="33"/>
    </row>
    <row r="252" spans="1:23" ht="16.5" customHeight="1" x14ac:dyDescent="0.2">
      <c r="A252" s="35" t="s">
        <v>4362</v>
      </c>
      <c r="B252" s="35" t="s">
        <v>4363</v>
      </c>
      <c r="C252" s="35" t="s">
        <v>7</v>
      </c>
      <c r="D252" s="35" t="s">
        <v>23</v>
      </c>
      <c r="E252" s="35" t="s">
        <v>114</v>
      </c>
      <c r="F252" s="28" t="e">
        <f ca="1">_xludf.ifna(VLOOKUP(G252,Proyectos!$A$2:$F$674,6,0),"")</f>
        <v>#NAME?</v>
      </c>
      <c r="G252" s="29" t="s">
        <v>5170</v>
      </c>
      <c r="H252" s="30">
        <v>0.1</v>
      </c>
      <c r="I252" s="31" t="s">
        <v>25</v>
      </c>
      <c r="J252" s="34" t="s">
        <v>61</v>
      </c>
      <c r="K252" s="32"/>
      <c r="L252" s="32" t="e">
        <f ca="1">_xludf.ifna(VLOOKUP(E252,Parámetros!$D$2:$E$34,2,0),"")</f>
        <v>#NAME?</v>
      </c>
      <c r="M252" s="32" t="e">
        <f ca="1">_xludf.ifna(VLOOKUP(G252,Proyectos!$A$2:$T$674,20,0),"")</f>
        <v>#NAME?</v>
      </c>
      <c r="N252" s="32" t="e">
        <f ca="1">_xludf.ifna(VLOOKUP(G252,Proyectos!$A$2:$S$674,19,0))</f>
        <v>#NAME?</v>
      </c>
      <c r="O252" s="32"/>
      <c r="P252" s="31"/>
      <c r="Q252" s="33"/>
      <c r="R252" s="33"/>
      <c r="S252" s="33"/>
      <c r="T252" s="33"/>
      <c r="U252" s="33"/>
      <c r="V252" s="33"/>
      <c r="W252" s="33"/>
    </row>
    <row r="253" spans="1:23" ht="16.5" customHeight="1" x14ac:dyDescent="0.2">
      <c r="A253" s="35" t="s">
        <v>4362</v>
      </c>
      <c r="B253" s="57" t="s">
        <v>4363</v>
      </c>
      <c r="C253" s="35" t="s">
        <v>7</v>
      </c>
      <c r="D253" s="35" t="s">
        <v>23</v>
      </c>
      <c r="E253" s="35" t="s">
        <v>114</v>
      </c>
      <c r="F253" s="28" t="e">
        <f ca="1">_xludf.ifna(VLOOKUP(G253,Proyectos!$A$2:$F$674,6,0),"")</f>
        <v>#NAME?</v>
      </c>
      <c r="G253" s="29" t="s">
        <v>5171</v>
      </c>
      <c r="H253" s="30">
        <v>0.1</v>
      </c>
      <c r="I253" s="31" t="s">
        <v>25</v>
      </c>
      <c r="J253" s="34" t="s">
        <v>61</v>
      </c>
      <c r="K253" s="31" t="s">
        <v>5172</v>
      </c>
      <c r="L253" s="32" t="e">
        <f ca="1">_xludf.ifna(VLOOKUP(E253,Parámetros!$D$2:$E$34,2,0),"")</f>
        <v>#NAME?</v>
      </c>
      <c r="M253" s="32" t="e">
        <f ca="1">_xludf.ifna(VLOOKUP(G253,Proyectos!$A$2:$T$674,20,0),"")</f>
        <v>#NAME?</v>
      </c>
      <c r="N253" s="32" t="e">
        <f ca="1">_xludf.ifna(VLOOKUP(G253,Proyectos!$A$2:$S$674,19,0))</f>
        <v>#NAME?</v>
      </c>
      <c r="O253" s="32"/>
      <c r="P253" s="31"/>
      <c r="Q253" s="33"/>
      <c r="R253" s="33"/>
      <c r="S253" s="33"/>
      <c r="T253" s="33"/>
      <c r="U253" s="33"/>
      <c r="V253" s="33"/>
      <c r="W253" s="33"/>
    </row>
    <row r="254" spans="1:23" ht="16.5" customHeight="1" x14ac:dyDescent="0.2">
      <c r="A254" s="35" t="s">
        <v>4362</v>
      </c>
      <c r="B254" s="35" t="s">
        <v>4363</v>
      </c>
      <c r="C254" s="35" t="s">
        <v>7</v>
      </c>
      <c r="D254" s="35" t="s">
        <v>23</v>
      </c>
      <c r="E254" s="35" t="s">
        <v>114</v>
      </c>
      <c r="F254" s="28" t="e">
        <f ca="1">_xludf.ifna(VLOOKUP(G254,Proyectos!$A$2:$F$674,6,0),"")</f>
        <v>#NAME?</v>
      </c>
      <c r="G254" s="29" t="s">
        <v>5174</v>
      </c>
      <c r="H254" s="30">
        <v>0.1</v>
      </c>
      <c r="I254" s="31" t="s">
        <v>25</v>
      </c>
      <c r="J254" s="34" t="s">
        <v>61</v>
      </c>
      <c r="K254" s="32"/>
      <c r="L254" s="32" t="e">
        <f ca="1">_xludf.ifna(VLOOKUP(E254,Parámetros!$D$2:$E$34,2,0),"")</f>
        <v>#NAME?</v>
      </c>
      <c r="M254" s="32" t="e">
        <f ca="1">_xludf.ifna(VLOOKUP(G254,Proyectos!$A$2:$T$674,20,0),"")</f>
        <v>#NAME?</v>
      </c>
      <c r="N254" s="32" t="e">
        <f ca="1">_xludf.ifna(VLOOKUP(G254,Proyectos!$A$2:$S$674,19,0))</f>
        <v>#NAME?</v>
      </c>
      <c r="O254" s="32"/>
      <c r="P254" s="31"/>
      <c r="Q254" s="33"/>
      <c r="R254" s="33"/>
      <c r="S254" s="33"/>
      <c r="T254" s="33"/>
      <c r="U254" s="33"/>
      <c r="V254" s="33"/>
      <c r="W254" s="33"/>
    </row>
    <row r="255" spans="1:23" ht="16.5" customHeight="1" x14ac:dyDescent="0.2">
      <c r="A255" s="35" t="s">
        <v>4362</v>
      </c>
      <c r="B255" s="35" t="s">
        <v>4363</v>
      </c>
      <c r="C255" s="35" t="s">
        <v>7</v>
      </c>
      <c r="D255" s="35" t="s">
        <v>23</v>
      </c>
      <c r="E255" s="35" t="s">
        <v>114</v>
      </c>
      <c r="F255" s="28" t="e">
        <f ca="1">_xludf.ifna(VLOOKUP(G255,Proyectos!$A$2:$F$674,6,0),"")</f>
        <v>#NAME?</v>
      </c>
      <c r="G255" s="29" t="s">
        <v>5175</v>
      </c>
      <c r="H255" s="30">
        <v>0.1</v>
      </c>
      <c r="I255" s="31" t="s">
        <v>25</v>
      </c>
      <c r="J255" s="34" t="s">
        <v>61</v>
      </c>
      <c r="K255" s="32"/>
      <c r="L255" s="32" t="e">
        <f ca="1">_xludf.ifna(VLOOKUP(E255,Parámetros!$D$2:$E$34,2,0),"")</f>
        <v>#NAME?</v>
      </c>
      <c r="M255" s="32" t="e">
        <f ca="1">_xludf.ifna(VLOOKUP(G255,Proyectos!$A$2:$T$674,20,0),"")</f>
        <v>#NAME?</v>
      </c>
      <c r="N255" s="32" t="e">
        <f ca="1">_xludf.ifna(VLOOKUP(G255,Proyectos!$A$2:$S$674,19,0))</f>
        <v>#NAME?</v>
      </c>
      <c r="O255" s="32"/>
      <c r="P255" s="31"/>
      <c r="Q255" s="33"/>
      <c r="R255" s="33"/>
      <c r="S255" s="33"/>
      <c r="T255" s="33"/>
      <c r="U255" s="33"/>
      <c r="V255" s="33"/>
      <c r="W255" s="33"/>
    </row>
    <row r="256" spans="1:23" ht="16.5" customHeight="1" x14ac:dyDescent="0.2">
      <c r="A256" s="35" t="s">
        <v>3960</v>
      </c>
      <c r="B256" s="35" t="s">
        <v>3961</v>
      </c>
      <c r="C256" s="35" t="s">
        <v>7</v>
      </c>
      <c r="D256" s="35" t="s">
        <v>23</v>
      </c>
      <c r="E256" s="35" t="s">
        <v>126</v>
      </c>
      <c r="F256" s="28" t="e">
        <f ca="1">_xludf.ifna(VLOOKUP(G256,Proyectos!$A$2:$F$674,6,0),"")</f>
        <v>#NAME?</v>
      </c>
      <c r="G256" s="29" t="s">
        <v>5174</v>
      </c>
      <c r="H256" s="30">
        <v>1</v>
      </c>
      <c r="I256" s="52" t="s">
        <v>18</v>
      </c>
      <c r="J256" s="34" t="s">
        <v>61</v>
      </c>
      <c r="K256" s="32"/>
      <c r="L256" s="32" t="e">
        <f ca="1">_xludf.ifna(VLOOKUP(E256,Parámetros!$D$2:$E$34,2,0),"")</f>
        <v>#NAME?</v>
      </c>
      <c r="M256" s="32" t="e">
        <f ca="1">_xludf.ifna(VLOOKUP(G256,Proyectos!$A$2:$T$674,20,0),"")</f>
        <v>#NAME?</v>
      </c>
      <c r="N256" s="32" t="e">
        <f ca="1">_xludf.ifna(VLOOKUP(G256,Proyectos!$A$2:$S$674,19,0))</f>
        <v>#NAME?</v>
      </c>
      <c r="O256" s="32"/>
      <c r="P256" s="31"/>
      <c r="Q256" s="33"/>
      <c r="R256" s="33"/>
      <c r="S256" s="33"/>
      <c r="T256" s="33"/>
      <c r="U256" s="33"/>
      <c r="V256" s="33"/>
      <c r="W256" s="33"/>
    </row>
    <row r="257" spans="1:23" ht="16.5" customHeight="1" x14ac:dyDescent="0.2">
      <c r="A257" s="35" t="s">
        <v>4845</v>
      </c>
      <c r="B257" s="35" t="s">
        <v>4846</v>
      </c>
      <c r="C257" s="35" t="s">
        <v>7</v>
      </c>
      <c r="D257" s="35" t="s">
        <v>23</v>
      </c>
      <c r="E257" s="35" t="s">
        <v>126</v>
      </c>
      <c r="F257" s="28" t="e">
        <f ca="1">_xludf.ifna(VLOOKUP(G257,Proyectos!$A$2:$F$674,6,0),"")</f>
        <v>#NAME?</v>
      </c>
      <c r="G257" s="29" t="s">
        <v>5174</v>
      </c>
      <c r="H257" s="30">
        <v>1</v>
      </c>
      <c r="I257" s="52" t="s">
        <v>18</v>
      </c>
      <c r="J257" s="30" t="s">
        <v>61</v>
      </c>
      <c r="K257" s="32"/>
      <c r="L257" s="32" t="e">
        <f ca="1">_xludf.ifna(VLOOKUP(E257,Parámetros!$D$2:$E$34,2,0),"")</f>
        <v>#NAME?</v>
      </c>
      <c r="M257" s="32" t="e">
        <f ca="1">_xludf.ifna(VLOOKUP(G257,Proyectos!$A$2:$T$674,20,0),"")</f>
        <v>#NAME?</v>
      </c>
      <c r="N257" s="32" t="e">
        <f ca="1">_xludf.ifna(VLOOKUP(G257,Proyectos!$A$2:$S$674,19,0))</f>
        <v>#NAME?</v>
      </c>
      <c r="O257" s="32"/>
      <c r="P257" s="31"/>
      <c r="Q257" s="33"/>
      <c r="R257" s="33"/>
      <c r="S257" s="33"/>
      <c r="T257" s="33"/>
      <c r="U257" s="33"/>
      <c r="V257" s="33"/>
      <c r="W257" s="33"/>
    </row>
    <row r="258" spans="1:23" ht="16.5" customHeight="1" x14ac:dyDescent="0.2">
      <c r="A258" s="54" t="s">
        <v>4485</v>
      </c>
      <c r="B258" s="54" t="s">
        <v>4486</v>
      </c>
      <c r="C258" s="35" t="s">
        <v>7</v>
      </c>
      <c r="D258" s="35" t="s">
        <v>23</v>
      </c>
      <c r="E258" s="35" t="s">
        <v>126</v>
      </c>
      <c r="F258" s="28" t="e">
        <f ca="1">_xludf.ifna(VLOOKUP(G258,Proyectos!$A$2:$F$674,6,0),"")</f>
        <v>#NAME?</v>
      </c>
      <c r="G258" s="29" t="s">
        <v>5174</v>
      </c>
      <c r="H258" s="30">
        <v>1</v>
      </c>
      <c r="I258" s="52" t="s">
        <v>18</v>
      </c>
      <c r="J258" s="30" t="s">
        <v>61</v>
      </c>
      <c r="K258" s="32"/>
      <c r="L258" s="32" t="e">
        <f ca="1">_xludf.ifna(VLOOKUP(E258,Parámetros!$D$2:$E$34,2,0),"")</f>
        <v>#NAME?</v>
      </c>
      <c r="M258" s="32" t="e">
        <f ca="1">_xludf.ifna(VLOOKUP(G258,Proyectos!$A$2:$T$674,20,0),"")</f>
        <v>#NAME?</v>
      </c>
      <c r="N258" s="32" t="e">
        <f ca="1">_xludf.ifna(VLOOKUP(G258,Proyectos!$A$2:$S$674,19,0))</f>
        <v>#NAME?</v>
      </c>
      <c r="O258" s="32"/>
      <c r="P258" s="31"/>
      <c r="Q258" s="33"/>
      <c r="R258" s="33"/>
      <c r="S258" s="33"/>
      <c r="T258" s="33"/>
      <c r="U258" s="33"/>
      <c r="V258" s="33"/>
      <c r="W258" s="33"/>
    </row>
    <row r="259" spans="1:23" ht="16.5" customHeight="1" x14ac:dyDescent="0.2">
      <c r="A259" s="35" t="s">
        <v>3301</v>
      </c>
      <c r="B259" s="35" t="s">
        <v>3302</v>
      </c>
      <c r="C259" s="35" t="s">
        <v>7</v>
      </c>
      <c r="D259" s="35" t="s">
        <v>8</v>
      </c>
      <c r="E259" s="35" t="s">
        <v>39</v>
      </c>
      <c r="F259" s="28" t="e">
        <f ca="1">_xludf.ifna(VLOOKUP(G259,Proyectos!$A$2:$F$674,6,0),"")</f>
        <v>#NAME?</v>
      </c>
      <c r="G259" s="29" t="s">
        <v>5186</v>
      </c>
      <c r="H259" s="30">
        <v>0.05</v>
      </c>
      <c r="I259" s="52" t="s">
        <v>11</v>
      </c>
      <c r="J259" s="30" t="s">
        <v>61</v>
      </c>
      <c r="K259" s="55"/>
      <c r="L259" s="32" t="e">
        <f ca="1">_xludf.ifna(VLOOKUP(E259,Parámetros!$D$2:$E$34,2,0),"")</f>
        <v>#NAME?</v>
      </c>
      <c r="M259" s="32" t="e">
        <f ca="1">_xludf.ifna(VLOOKUP(G259,Proyectos!$A$2:$T$674,20,0),"")</f>
        <v>#NAME?</v>
      </c>
      <c r="N259" s="32" t="e">
        <f ca="1">_xludf.ifna(VLOOKUP(G259,Proyectos!$A$2:$S$674,19,0))</f>
        <v>#NAME?</v>
      </c>
      <c r="O259" s="32"/>
      <c r="P259" s="31"/>
      <c r="Q259" s="33"/>
      <c r="R259" s="33"/>
      <c r="S259" s="33"/>
      <c r="T259" s="33"/>
      <c r="U259" s="33"/>
      <c r="V259" s="33"/>
      <c r="W259" s="33"/>
    </row>
    <row r="260" spans="1:23" ht="16.5" customHeight="1" x14ac:dyDescent="0.2">
      <c r="A260" s="35" t="s">
        <v>3301</v>
      </c>
      <c r="B260" s="35" t="s">
        <v>3302</v>
      </c>
      <c r="C260" s="35" t="s">
        <v>7</v>
      </c>
      <c r="D260" s="35" t="s">
        <v>8</v>
      </c>
      <c r="E260" s="35" t="s">
        <v>39</v>
      </c>
      <c r="F260" s="28" t="e">
        <f ca="1">_xludf.ifna(VLOOKUP(G260,Proyectos!$A$2:$F$674,6,0),"")</f>
        <v>#NAME?</v>
      </c>
      <c r="G260" s="29" t="s">
        <v>5187</v>
      </c>
      <c r="H260" s="55">
        <v>0.1</v>
      </c>
      <c r="I260" s="52" t="s">
        <v>11</v>
      </c>
      <c r="J260" s="30" t="s">
        <v>61</v>
      </c>
      <c r="K260" s="55"/>
      <c r="L260" s="32" t="e">
        <f ca="1">_xludf.ifna(VLOOKUP(E260,Parámetros!$D$2:$E$34,2,0),"")</f>
        <v>#NAME?</v>
      </c>
      <c r="M260" s="32" t="e">
        <f ca="1">_xludf.ifna(VLOOKUP(G260,Proyectos!$A$2:$T$674,20,0),"")</f>
        <v>#NAME?</v>
      </c>
      <c r="N260" s="32" t="e">
        <f ca="1">_xludf.ifna(VLOOKUP(G260,Proyectos!$A$2:$S$674,19,0))</f>
        <v>#NAME?</v>
      </c>
      <c r="O260" s="32"/>
      <c r="P260" s="31"/>
      <c r="Q260" s="33"/>
      <c r="R260" s="33"/>
      <c r="S260" s="33"/>
      <c r="T260" s="33"/>
      <c r="U260" s="33"/>
      <c r="V260" s="33"/>
      <c r="W260" s="33"/>
    </row>
    <row r="261" spans="1:23" ht="16.5" customHeight="1" x14ac:dyDescent="0.2">
      <c r="A261" s="35" t="s">
        <v>3301</v>
      </c>
      <c r="B261" s="35" t="s">
        <v>3302</v>
      </c>
      <c r="C261" s="35" t="s">
        <v>7</v>
      </c>
      <c r="D261" s="35" t="s">
        <v>8</v>
      </c>
      <c r="E261" s="35" t="s">
        <v>39</v>
      </c>
      <c r="F261" s="28" t="e">
        <f ca="1">_xludf.ifna(VLOOKUP(G261,Proyectos!$A$2:$F$674,6,0),"")</f>
        <v>#NAME?</v>
      </c>
      <c r="G261" s="29" t="s">
        <v>5188</v>
      </c>
      <c r="H261" s="30">
        <v>0.1</v>
      </c>
      <c r="I261" s="52" t="s">
        <v>11</v>
      </c>
      <c r="J261" s="30" t="s">
        <v>61</v>
      </c>
      <c r="K261" s="55"/>
      <c r="L261" s="32" t="e">
        <f ca="1">_xludf.ifna(VLOOKUP(E261,Parámetros!$D$2:$E$34,2,0),"")</f>
        <v>#NAME?</v>
      </c>
      <c r="M261" s="32" t="e">
        <f ca="1">_xludf.ifna(VLOOKUP(G261,Proyectos!$A$2:$T$674,20,0),"")</f>
        <v>#NAME?</v>
      </c>
      <c r="N261" s="32" t="e">
        <f ca="1">_xludf.ifna(VLOOKUP(G261,Proyectos!$A$2:$S$674,19,0))</f>
        <v>#NAME?</v>
      </c>
      <c r="O261" s="32"/>
      <c r="P261" s="31"/>
      <c r="Q261" s="33"/>
      <c r="R261" s="33"/>
      <c r="S261" s="33"/>
      <c r="T261" s="33"/>
      <c r="U261" s="33"/>
      <c r="V261" s="33"/>
      <c r="W261" s="33"/>
    </row>
    <row r="262" spans="1:23" ht="16.5" customHeight="1" x14ac:dyDescent="0.2">
      <c r="A262" s="35" t="s">
        <v>3301</v>
      </c>
      <c r="B262" s="35" t="s">
        <v>3302</v>
      </c>
      <c r="C262" s="35" t="s">
        <v>7</v>
      </c>
      <c r="D262" s="35" t="s">
        <v>8</v>
      </c>
      <c r="E262" s="35" t="s">
        <v>39</v>
      </c>
      <c r="F262" s="28" t="e">
        <f ca="1">_xludf.ifna(VLOOKUP(G262,Proyectos!$A$2:$F$674,6,0),"")</f>
        <v>#NAME?</v>
      </c>
      <c r="G262" s="29" t="s">
        <v>5189</v>
      </c>
      <c r="H262" s="55">
        <v>0.05</v>
      </c>
      <c r="I262" s="52" t="s">
        <v>11</v>
      </c>
      <c r="J262" s="30" t="s">
        <v>61</v>
      </c>
      <c r="K262" s="55"/>
      <c r="L262" s="32" t="e">
        <f ca="1">_xludf.ifna(VLOOKUP(E262,Parámetros!$D$2:$E$34,2,0),"")</f>
        <v>#NAME?</v>
      </c>
      <c r="M262" s="32" t="e">
        <f ca="1">_xludf.ifna(VLOOKUP(G262,Proyectos!$A$2:$T$674,20,0),"")</f>
        <v>#NAME?</v>
      </c>
      <c r="N262" s="32" t="e">
        <f ca="1">_xludf.ifna(VLOOKUP(G262,Proyectos!$A$2:$S$674,19,0))</f>
        <v>#NAME?</v>
      </c>
      <c r="O262" s="32"/>
      <c r="P262" s="31"/>
      <c r="Q262" s="33"/>
      <c r="R262" s="33"/>
      <c r="S262" s="33"/>
      <c r="T262" s="33"/>
      <c r="U262" s="33"/>
      <c r="V262" s="33"/>
      <c r="W262" s="33"/>
    </row>
    <row r="263" spans="1:23" ht="16.5" customHeight="1" x14ac:dyDescent="0.2">
      <c r="A263" s="35" t="s">
        <v>3301</v>
      </c>
      <c r="B263" s="35" t="s">
        <v>3302</v>
      </c>
      <c r="C263" s="35" t="s">
        <v>7</v>
      </c>
      <c r="D263" s="35" t="s">
        <v>8</v>
      </c>
      <c r="E263" s="35" t="s">
        <v>39</v>
      </c>
      <c r="F263" s="28" t="e">
        <f ca="1">_xludf.ifna(VLOOKUP(G263,Proyectos!$A$2:$F$674,6,0),"")</f>
        <v>#NAME?</v>
      </c>
      <c r="G263" s="29" t="s">
        <v>5190</v>
      </c>
      <c r="H263" s="30">
        <v>0.1</v>
      </c>
      <c r="I263" s="52" t="s">
        <v>11</v>
      </c>
      <c r="J263" s="30" t="s">
        <v>61</v>
      </c>
      <c r="K263" s="55"/>
      <c r="L263" s="32" t="e">
        <f ca="1">_xludf.ifna(VLOOKUP(E263,Parámetros!$D$2:$E$34,2,0),"")</f>
        <v>#NAME?</v>
      </c>
      <c r="M263" s="32" t="e">
        <f ca="1">_xludf.ifna(VLOOKUP(G263,Proyectos!$A$2:$T$674,20,0),"")</f>
        <v>#NAME?</v>
      </c>
      <c r="N263" s="32" t="e">
        <f ca="1">_xludf.ifna(VLOOKUP(G263,Proyectos!$A$2:$S$674,19,0))</f>
        <v>#NAME?</v>
      </c>
      <c r="O263" s="32"/>
      <c r="P263" s="31"/>
      <c r="Q263" s="33"/>
      <c r="R263" s="33"/>
      <c r="S263" s="33"/>
      <c r="T263" s="33"/>
      <c r="U263" s="33"/>
      <c r="V263" s="33"/>
      <c r="W263" s="33"/>
    </row>
    <row r="264" spans="1:23" ht="16.5" customHeight="1" x14ac:dyDescent="0.2">
      <c r="A264" s="35" t="s">
        <v>3301</v>
      </c>
      <c r="B264" s="35" t="s">
        <v>3302</v>
      </c>
      <c r="C264" s="35" t="s">
        <v>7</v>
      </c>
      <c r="D264" s="35" t="s">
        <v>8</v>
      </c>
      <c r="E264" s="35" t="s">
        <v>39</v>
      </c>
      <c r="F264" s="28" t="e">
        <f ca="1">_xludf.ifna(VLOOKUP(G264,Proyectos!$A$2:$F$674,6,0),"")</f>
        <v>#NAME?</v>
      </c>
      <c r="G264" s="29" t="s">
        <v>5112</v>
      </c>
      <c r="H264" s="30">
        <v>0.1</v>
      </c>
      <c r="I264" s="52" t="s">
        <v>11</v>
      </c>
      <c r="J264" s="30" t="s">
        <v>61</v>
      </c>
      <c r="K264" s="55"/>
      <c r="L264" s="32" t="e">
        <f ca="1">_xludf.ifna(VLOOKUP(E264,Parámetros!$D$2:$E$34,2,0),"")</f>
        <v>#NAME?</v>
      </c>
      <c r="M264" s="32" t="e">
        <f ca="1">_xludf.ifna(VLOOKUP(G264,Proyectos!$A$2:$T$674,20,0),"")</f>
        <v>#NAME?</v>
      </c>
      <c r="N264" s="32" t="e">
        <f ca="1">_xludf.ifna(VLOOKUP(G264,Proyectos!$A$2:$S$674,19,0))</f>
        <v>#NAME?</v>
      </c>
      <c r="O264" s="32"/>
      <c r="P264" s="31"/>
      <c r="Q264" s="33"/>
      <c r="R264" s="33"/>
      <c r="S264" s="33"/>
      <c r="T264" s="33"/>
      <c r="U264" s="33"/>
      <c r="V264" s="33"/>
      <c r="W264" s="33"/>
    </row>
    <row r="265" spans="1:23" ht="16.5" customHeight="1" x14ac:dyDescent="0.2">
      <c r="A265" s="35" t="s">
        <v>3301</v>
      </c>
      <c r="B265" s="35" t="s">
        <v>3302</v>
      </c>
      <c r="C265" s="35" t="s">
        <v>7</v>
      </c>
      <c r="D265" s="35" t="s">
        <v>8</v>
      </c>
      <c r="E265" s="35" t="s">
        <v>39</v>
      </c>
      <c r="F265" s="28" t="e">
        <f ca="1">_xludf.ifna(VLOOKUP(G265,Proyectos!$A$2:$F$674,6,0),"")</f>
        <v>#NAME?</v>
      </c>
      <c r="G265" s="29" t="s">
        <v>5191</v>
      </c>
      <c r="H265" s="30">
        <v>0.05</v>
      </c>
      <c r="I265" s="52" t="s">
        <v>11</v>
      </c>
      <c r="J265" s="30" t="s">
        <v>61</v>
      </c>
      <c r="K265" s="55"/>
      <c r="L265" s="32" t="e">
        <f ca="1">_xludf.ifna(VLOOKUP(E265,Parámetros!$D$2:$E$34,2,0),"")</f>
        <v>#NAME?</v>
      </c>
      <c r="M265" s="32" t="e">
        <f ca="1">_xludf.ifna(VLOOKUP(G265,Proyectos!$A$2:$T$674,20,0),"")</f>
        <v>#NAME?</v>
      </c>
      <c r="N265" s="32" t="e">
        <f ca="1">_xludf.ifna(VLOOKUP(G265,Proyectos!$A$2:$S$674,19,0))</f>
        <v>#NAME?</v>
      </c>
      <c r="O265" s="32"/>
      <c r="P265" s="31"/>
      <c r="Q265" s="33"/>
      <c r="R265" s="33"/>
      <c r="S265" s="33"/>
      <c r="T265" s="33"/>
      <c r="U265" s="33"/>
      <c r="V265" s="33"/>
      <c r="W265" s="33"/>
    </row>
    <row r="266" spans="1:23" ht="16.5" customHeight="1" x14ac:dyDescent="0.2">
      <c r="A266" s="35" t="s">
        <v>3301</v>
      </c>
      <c r="B266" s="35" t="s">
        <v>3302</v>
      </c>
      <c r="C266" s="35" t="s">
        <v>7</v>
      </c>
      <c r="D266" s="35" t="s">
        <v>8</v>
      </c>
      <c r="E266" s="35" t="s">
        <v>39</v>
      </c>
      <c r="F266" s="28" t="e">
        <f ca="1">_xludf.ifna(VLOOKUP(G266,Proyectos!$A$2:$F$674,6,0),"")</f>
        <v>#NAME?</v>
      </c>
      <c r="G266" s="29" t="s">
        <v>5192</v>
      </c>
      <c r="H266" s="55">
        <v>0.05</v>
      </c>
      <c r="I266" s="52" t="s">
        <v>11</v>
      </c>
      <c r="J266" s="30" t="s">
        <v>61</v>
      </c>
      <c r="K266" s="55"/>
      <c r="L266" s="32" t="e">
        <f ca="1">_xludf.ifna(VLOOKUP(E266,Parámetros!$D$2:$E$34,2,0),"")</f>
        <v>#NAME?</v>
      </c>
      <c r="M266" s="32" t="e">
        <f ca="1">_xludf.ifna(VLOOKUP(G266,Proyectos!$A$2:$T$674,20,0),"")</f>
        <v>#NAME?</v>
      </c>
      <c r="N266" s="32" t="e">
        <f ca="1">_xludf.ifna(VLOOKUP(G266,Proyectos!$A$2:$S$674,19,0))</f>
        <v>#NAME?</v>
      </c>
      <c r="O266" s="32"/>
      <c r="P266" s="31"/>
      <c r="Q266" s="33"/>
      <c r="R266" s="33"/>
      <c r="S266" s="33"/>
      <c r="T266" s="33"/>
      <c r="U266" s="33"/>
      <c r="V266" s="33"/>
      <c r="W266" s="33"/>
    </row>
    <row r="267" spans="1:23" ht="16.5" customHeight="1" x14ac:dyDescent="0.2">
      <c r="A267" s="35" t="s">
        <v>3301</v>
      </c>
      <c r="B267" s="35" t="s">
        <v>3302</v>
      </c>
      <c r="C267" s="35" t="s">
        <v>7</v>
      </c>
      <c r="D267" s="35" t="s">
        <v>8</v>
      </c>
      <c r="E267" s="35" t="s">
        <v>39</v>
      </c>
      <c r="F267" s="28" t="e">
        <f ca="1">_xludf.ifna(VLOOKUP(G267,Proyectos!$A$2:$F$674,6,0),"")</f>
        <v>#NAME?</v>
      </c>
      <c r="G267" s="29" t="s">
        <v>5193</v>
      </c>
      <c r="H267" s="30">
        <v>0.1</v>
      </c>
      <c r="I267" s="52" t="s">
        <v>11</v>
      </c>
      <c r="J267" s="30" t="s">
        <v>61</v>
      </c>
      <c r="K267" s="55"/>
      <c r="L267" s="32" t="e">
        <f ca="1">_xludf.ifna(VLOOKUP(E267,Parámetros!$D$2:$E$34,2,0),"")</f>
        <v>#NAME?</v>
      </c>
      <c r="M267" s="32" t="e">
        <f ca="1">_xludf.ifna(VLOOKUP(G267,Proyectos!$A$2:$T$674,20,0),"")</f>
        <v>#NAME?</v>
      </c>
      <c r="N267" s="32" t="e">
        <f ca="1">_xludf.ifna(VLOOKUP(G267,Proyectos!$A$2:$S$674,19,0))</f>
        <v>#NAME?</v>
      </c>
      <c r="O267" s="32"/>
      <c r="P267" s="31"/>
      <c r="Q267" s="33"/>
      <c r="R267" s="33"/>
      <c r="S267" s="33"/>
      <c r="T267" s="33"/>
      <c r="U267" s="33"/>
      <c r="V267" s="33"/>
      <c r="W267" s="33"/>
    </row>
    <row r="268" spans="1:23" ht="16.5" customHeight="1" x14ac:dyDescent="0.2">
      <c r="A268" s="35" t="s">
        <v>3301</v>
      </c>
      <c r="B268" s="35" t="s">
        <v>3302</v>
      </c>
      <c r="C268" s="35" t="s">
        <v>7</v>
      </c>
      <c r="D268" s="35" t="s">
        <v>8</v>
      </c>
      <c r="E268" s="35" t="s">
        <v>39</v>
      </c>
      <c r="F268" s="28" t="e">
        <f ca="1">_xludf.ifna(VLOOKUP(G268,Proyectos!$A$2:$F$674,6,0),"")</f>
        <v>#NAME?</v>
      </c>
      <c r="G268" s="29" t="s">
        <v>5194</v>
      </c>
      <c r="H268" s="30">
        <v>0.05</v>
      </c>
      <c r="I268" s="52" t="s">
        <v>11</v>
      </c>
      <c r="J268" s="30" t="s">
        <v>61</v>
      </c>
      <c r="K268" s="55"/>
      <c r="L268" s="32" t="e">
        <f ca="1">_xludf.ifna(VLOOKUP(E268,Parámetros!$D$2:$E$34,2,0),"")</f>
        <v>#NAME?</v>
      </c>
      <c r="M268" s="32" t="e">
        <f ca="1">_xludf.ifna(VLOOKUP(G268,Proyectos!$A$2:$T$674,20,0),"")</f>
        <v>#NAME?</v>
      </c>
      <c r="N268" s="32" t="e">
        <f ca="1">_xludf.ifna(VLOOKUP(G268,Proyectos!$A$2:$S$674,19,0))</f>
        <v>#NAME?</v>
      </c>
      <c r="O268" s="32"/>
      <c r="P268" s="31"/>
      <c r="Q268" s="33"/>
      <c r="R268" s="33"/>
      <c r="S268" s="33"/>
      <c r="T268" s="33"/>
      <c r="U268" s="33"/>
      <c r="V268" s="33"/>
      <c r="W268" s="33"/>
    </row>
    <row r="269" spans="1:23" ht="16.5" customHeight="1" x14ac:dyDescent="0.2">
      <c r="A269" s="54" t="s">
        <v>3301</v>
      </c>
      <c r="B269" s="57" t="s">
        <v>3302</v>
      </c>
      <c r="C269" s="54" t="s">
        <v>7</v>
      </c>
      <c r="D269" s="54" t="s">
        <v>8</v>
      </c>
      <c r="E269" s="54" t="s">
        <v>39</v>
      </c>
      <c r="F269" s="28" t="e">
        <f ca="1">_xludf.ifna(VLOOKUP(G269,Proyectos!$A$2:$F$674,6,0),"")</f>
        <v>#NAME?</v>
      </c>
      <c r="G269" s="29" t="s">
        <v>5195</v>
      </c>
      <c r="H269" s="34">
        <v>0.05</v>
      </c>
      <c r="I269" s="52" t="s">
        <v>11</v>
      </c>
      <c r="J269" s="30" t="s">
        <v>61</v>
      </c>
      <c r="K269" s="58" t="s">
        <v>3679</v>
      </c>
      <c r="L269" s="32" t="e">
        <f ca="1">_xludf.ifna(VLOOKUP(E269,Parámetros!$D$2:$E$34,2,0),"")</f>
        <v>#NAME?</v>
      </c>
      <c r="M269" s="32" t="e">
        <f ca="1">_xludf.ifna(VLOOKUP(G269,Proyectos!$A$2:$T$674,20,0),"")</f>
        <v>#NAME?</v>
      </c>
      <c r="N269" s="32" t="e">
        <f ca="1">_xludf.ifna(VLOOKUP(G269,Proyectos!$A$2:$S$674,19,0))</f>
        <v>#NAME?</v>
      </c>
      <c r="O269" s="32"/>
      <c r="P269" s="31"/>
      <c r="Q269" s="33"/>
      <c r="R269" s="33"/>
      <c r="S269" s="33"/>
      <c r="T269" s="33"/>
      <c r="U269" s="33"/>
      <c r="V269" s="33"/>
      <c r="W269" s="33"/>
    </row>
    <row r="270" spans="1:23" ht="16.5" customHeight="1" x14ac:dyDescent="0.2">
      <c r="A270" s="54" t="s">
        <v>3301</v>
      </c>
      <c r="B270" s="57" t="s">
        <v>3302</v>
      </c>
      <c r="C270" s="54" t="s">
        <v>7</v>
      </c>
      <c r="D270" s="54" t="s">
        <v>8</v>
      </c>
      <c r="E270" s="54" t="s">
        <v>39</v>
      </c>
      <c r="F270" s="28" t="e">
        <f ca="1">_xludf.ifna(VLOOKUP(G270,Proyectos!$A$2:$F$674,6,0),"")</f>
        <v>#NAME?</v>
      </c>
      <c r="G270" s="29" t="s">
        <v>5196</v>
      </c>
      <c r="H270" s="60">
        <v>0.05</v>
      </c>
      <c r="I270" s="52" t="s">
        <v>11</v>
      </c>
      <c r="J270" s="30" t="s">
        <v>61</v>
      </c>
      <c r="K270" s="60"/>
      <c r="L270" s="32" t="e">
        <f ca="1">_xludf.ifna(VLOOKUP(E270,Parámetros!$D$2:$E$34,2,0),"")</f>
        <v>#NAME?</v>
      </c>
      <c r="M270" s="32" t="e">
        <f ca="1">_xludf.ifna(VLOOKUP(G270,Proyectos!$A$2:$T$674,20,0),"")</f>
        <v>#NAME?</v>
      </c>
      <c r="N270" s="32" t="e">
        <f ca="1">_xludf.ifna(VLOOKUP(G270,Proyectos!$A$2:$S$674,19,0))</f>
        <v>#NAME?</v>
      </c>
      <c r="O270" s="32"/>
      <c r="P270" s="31"/>
      <c r="Q270" s="33"/>
      <c r="R270" s="33"/>
      <c r="S270" s="33"/>
      <c r="T270" s="33"/>
      <c r="U270" s="33"/>
      <c r="V270" s="33"/>
      <c r="W270" s="33"/>
    </row>
    <row r="271" spans="1:23" ht="16.5" customHeight="1" x14ac:dyDescent="0.2">
      <c r="A271" s="54" t="s">
        <v>3301</v>
      </c>
      <c r="B271" s="57" t="s">
        <v>3302</v>
      </c>
      <c r="C271" s="54" t="s">
        <v>7</v>
      </c>
      <c r="D271" s="54" t="s">
        <v>8</v>
      </c>
      <c r="E271" s="54" t="s">
        <v>39</v>
      </c>
      <c r="F271" s="28" t="e">
        <f ca="1">_xludf.ifna(VLOOKUP(G271,Proyectos!$A$2:$F$674,6,0),"")</f>
        <v>#NAME?</v>
      </c>
      <c r="G271" s="29" t="s">
        <v>5197</v>
      </c>
      <c r="H271" s="34">
        <v>0.05</v>
      </c>
      <c r="I271" s="52" t="s">
        <v>11</v>
      </c>
      <c r="J271" s="30" t="s">
        <v>61</v>
      </c>
      <c r="K271" s="58" t="s">
        <v>3679</v>
      </c>
      <c r="L271" s="32" t="e">
        <f ca="1">_xludf.ifna(VLOOKUP(E271,Parámetros!$D$2:$E$34,2,0),"")</f>
        <v>#NAME?</v>
      </c>
      <c r="M271" s="32" t="e">
        <f ca="1">_xludf.ifna(VLOOKUP(G271,Proyectos!$A$2:$T$674,20,0),"")</f>
        <v>#NAME?</v>
      </c>
      <c r="N271" s="32" t="e">
        <f ca="1">_xludf.ifna(VLOOKUP(G271,Proyectos!$A$2:$S$674,19,0))</f>
        <v>#NAME?</v>
      </c>
      <c r="O271" s="32"/>
      <c r="P271" s="31"/>
      <c r="Q271" s="33"/>
      <c r="R271" s="33"/>
      <c r="S271" s="33"/>
      <c r="T271" s="33"/>
      <c r="U271" s="33"/>
      <c r="V271" s="33"/>
      <c r="W271" s="33"/>
    </row>
    <row r="272" spans="1:23" ht="16.5" customHeight="1" x14ac:dyDescent="0.2">
      <c r="A272" s="35" t="s">
        <v>3301</v>
      </c>
      <c r="B272" s="35" t="s">
        <v>3302</v>
      </c>
      <c r="C272" s="35" t="s">
        <v>7</v>
      </c>
      <c r="D272" s="35" t="s">
        <v>8</v>
      </c>
      <c r="E272" s="35" t="s">
        <v>39</v>
      </c>
      <c r="F272" s="28" t="e">
        <f ca="1">_xludf.ifna(VLOOKUP(G272,Proyectos!$A$2:$F$674,6,0),"")</f>
        <v>#NAME?</v>
      </c>
      <c r="G272" s="29" t="s">
        <v>5198</v>
      </c>
      <c r="H272" s="55">
        <v>0.05</v>
      </c>
      <c r="I272" s="52" t="s">
        <v>11</v>
      </c>
      <c r="J272" s="30" t="s">
        <v>61</v>
      </c>
      <c r="K272" s="55"/>
      <c r="L272" s="32" t="e">
        <f ca="1">_xludf.ifna(VLOOKUP(E272,Parámetros!$D$2:$E$34,2,0),"")</f>
        <v>#NAME?</v>
      </c>
      <c r="M272" s="32" t="e">
        <f ca="1">_xludf.ifna(VLOOKUP(G272,Proyectos!$A$2:$T$674,20,0),"")</f>
        <v>#NAME?</v>
      </c>
      <c r="N272" s="32" t="e">
        <f ca="1">_xludf.ifna(VLOOKUP(G272,Proyectos!$A$2:$S$674,19,0))</f>
        <v>#NAME?</v>
      </c>
      <c r="O272" s="32"/>
      <c r="P272" s="31"/>
      <c r="Q272" s="33"/>
      <c r="R272" s="33"/>
      <c r="S272" s="33"/>
      <c r="T272" s="33"/>
      <c r="U272" s="33"/>
      <c r="V272" s="33"/>
      <c r="W272" s="33"/>
    </row>
    <row r="273" spans="1:23" ht="16.5" customHeight="1" x14ac:dyDescent="0.2">
      <c r="A273" s="35" t="s">
        <v>3301</v>
      </c>
      <c r="B273" s="35" t="s">
        <v>3302</v>
      </c>
      <c r="C273" s="35" t="s">
        <v>7</v>
      </c>
      <c r="D273" s="35" t="s">
        <v>8</v>
      </c>
      <c r="E273" s="35" t="s">
        <v>39</v>
      </c>
      <c r="F273" s="28" t="e">
        <f ca="1">_xludf.ifna(VLOOKUP(G273,Proyectos!$A$2:$F$674,6,0),"")</f>
        <v>#NAME?</v>
      </c>
      <c r="G273" s="29" t="s">
        <v>5199</v>
      </c>
      <c r="H273" s="55">
        <v>0.05</v>
      </c>
      <c r="I273" s="52" t="s">
        <v>11</v>
      </c>
      <c r="J273" s="30" t="s">
        <v>61</v>
      </c>
      <c r="K273" s="55"/>
      <c r="L273" s="32" t="e">
        <f ca="1">_xludf.ifna(VLOOKUP(E273,Parámetros!$D$2:$E$34,2,0),"")</f>
        <v>#NAME?</v>
      </c>
      <c r="M273" s="32" t="e">
        <f ca="1">_xludf.ifna(VLOOKUP(G273,Proyectos!$A$2:$T$674,20,0),"")</f>
        <v>#NAME?</v>
      </c>
      <c r="N273" s="32" t="e">
        <f ca="1">_xludf.ifna(VLOOKUP(G273,Proyectos!$A$2:$S$674,19,0))</f>
        <v>#NAME?</v>
      </c>
      <c r="O273" s="32"/>
      <c r="P273" s="31"/>
      <c r="Q273" s="33"/>
      <c r="R273" s="33"/>
      <c r="S273" s="33"/>
      <c r="T273" s="33"/>
      <c r="U273" s="33"/>
      <c r="V273" s="33"/>
      <c r="W273" s="33"/>
    </row>
    <row r="274" spans="1:23" ht="16.5" customHeight="1" x14ac:dyDescent="0.2">
      <c r="A274" s="54" t="s">
        <v>4669</v>
      </c>
      <c r="B274" s="57" t="s">
        <v>4670</v>
      </c>
      <c r="C274" s="54" t="s">
        <v>7</v>
      </c>
      <c r="D274" s="54" t="s">
        <v>8</v>
      </c>
      <c r="E274" s="54" t="s">
        <v>39</v>
      </c>
      <c r="F274" s="28" t="e">
        <f ca="1">_xludf.ifna(VLOOKUP(G274,Proyectos!$A$2:$F$674,6,0),"")</f>
        <v>#NAME?</v>
      </c>
      <c r="G274" s="29" t="s">
        <v>5182</v>
      </c>
      <c r="H274" s="30">
        <v>0.25</v>
      </c>
      <c r="I274" s="52" t="s">
        <v>18</v>
      </c>
      <c r="J274" s="30" t="s">
        <v>41</v>
      </c>
      <c r="K274" s="58" t="s">
        <v>3679</v>
      </c>
      <c r="L274" s="32" t="e">
        <f ca="1">_xludf.ifna(VLOOKUP(E274,Parámetros!$D$2:$E$34,2,0),"")</f>
        <v>#NAME?</v>
      </c>
      <c r="M274" s="32" t="e">
        <f ca="1">_xludf.ifna(VLOOKUP(G274,Proyectos!$A$2:$T$674,20,0),"")</f>
        <v>#NAME?</v>
      </c>
      <c r="N274" s="32" t="e">
        <f ca="1">_xludf.ifna(VLOOKUP(G274,Proyectos!$A$2:$S$674,19,0))</f>
        <v>#NAME?</v>
      </c>
      <c r="O274" s="32"/>
      <c r="P274" s="31"/>
      <c r="Q274" s="33"/>
      <c r="R274" s="33"/>
      <c r="S274" s="33"/>
      <c r="T274" s="33"/>
      <c r="U274" s="33"/>
      <c r="V274" s="33"/>
      <c r="W274" s="33"/>
    </row>
    <row r="275" spans="1:23" ht="16.5" customHeight="1" x14ac:dyDescent="0.2">
      <c r="A275" s="35" t="s">
        <v>4669</v>
      </c>
      <c r="B275" s="35" t="s">
        <v>4670</v>
      </c>
      <c r="C275" s="35" t="s">
        <v>7</v>
      </c>
      <c r="D275" s="35" t="s">
        <v>8</v>
      </c>
      <c r="E275" s="35" t="s">
        <v>39</v>
      </c>
      <c r="F275" s="28" t="e">
        <f ca="1">_xludf.ifna(VLOOKUP(G275,Proyectos!$A$2:$F$674,6,0),"")</f>
        <v>#NAME?</v>
      </c>
      <c r="G275" s="29" t="s">
        <v>5112</v>
      </c>
      <c r="H275" s="30">
        <v>0.5</v>
      </c>
      <c r="I275" s="52" t="s">
        <v>18</v>
      </c>
      <c r="J275" s="30" t="s">
        <v>41</v>
      </c>
      <c r="K275" s="55"/>
      <c r="L275" s="32" t="e">
        <f ca="1">_xludf.ifna(VLOOKUP(E275,Parámetros!$D$2:$E$34,2,0),"")</f>
        <v>#NAME?</v>
      </c>
      <c r="M275" s="32" t="e">
        <f ca="1">_xludf.ifna(VLOOKUP(G275,Proyectos!$A$2:$T$674,20,0),"")</f>
        <v>#NAME?</v>
      </c>
      <c r="N275" s="32" t="e">
        <f ca="1">_xludf.ifna(VLOOKUP(G275,Proyectos!$A$2:$S$674,19,0))</f>
        <v>#NAME?</v>
      </c>
      <c r="O275" s="32"/>
      <c r="P275" s="31"/>
      <c r="Q275" s="33"/>
      <c r="R275" s="33"/>
      <c r="S275" s="33"/>
      <c r="T275" s="33"/>
      <c r="U275" s="33"/>
      <c r="V275" s="33"/>
      <c r="W275" s="33"/>
    </row>
    <row r="276" spans="1:23" ht="16.5" customHeight="1" x14ac:dyDescent="0.2">
      <c r="A276" s="35" t="s">
        <v>4669</v>
      </c>
      <c r="B276" s="35" t="s">
        <v>4670</v>
      </c>
      <c r="C276" s="35" t="s">
        <v>7</v>
      </c>
      <c r="D276" s="35" t="s">
        <v>8</v>
      </c>
      <c r="E276" s="35" t="s">
        <v>39</v>
      </c>
      <c r="F276" s="28" t="e">
        <f ca="1">_xludf.ifna(VLOOKUP(G276,Proyectos!$A$2:$F$674,6,0),"")</f>
        <v>#NAME?</v>
      </c>
      <c r="G276" s="29" t="s">
        <v>5193</v>
      </c>
      <c r="H276" s="30">
        <v>0.25</v>
      </c>
      <c r="I276" s="52" t="s">
        <v>18</v>
      </c>
      <c r="J276" s="30" t="s">
        <v>41</v>
      </c>
      <c r="K276" s="55"/>
      <c r="L276" s="32" t="e">
        <f ca="1">_xludf.ifna(VLOOKUP(E276,Parámetros!$D$2:$E$34,2,0),"")</f>
        <v>#NAME?</v>
      </c>
      <c r="M276" s="32" t="e">
        <f ca="1">_xludf.ifna(VLOOKUP(G276,Proyectos!$A$2:$T$674,20,0),"")</f>
        <v>#NAME?</v>
      </c>
      <c r="N276" s="32" t="e">
        <f ca="1">_xludf.ifna(VLOOKUP(G276,Proyectos!$A$2:$S$674,19,0))</f>
        <v>#NAME?</v>
      </c>
      <c r="O276" s="32"/>
      <c r="P276" s="31"/>
      <c r="Q276" s="33"/>
      <c r="R276" s="33"/>
      <c r="S276" s="33"/>
      <c r="T276" s="33"/>
      <c r="U276" s="33"/>
      <c r="V276" s="33"/>
      <c r="W276" s="33"/>
    </row>
    <row r="277" spans="1:23" ht="16.5" customHeight="1" x14ac:dyDescent="0.2">
      <c r="A277" s="54" t="s">
        <v>3677</v>
      </c>
      <c r="B277" s="57" t="s">
        <v>3678</v>
      </c>
      <c r="C277" s="54" t="s">
        <v>7</v>
      </c>
      <c r="D277" s="54" t="s">
        <v>8</v>
      </c>
      <c r="E277" s="54" t="s">
        <v>39</v>
      </c>
      <c r="F277" s="28" t="e">
        <f ca="1">_xludf.ifna(VLOOKUP(G277,Proyectos!$A$2:$F$674,6,0),"")</f>
        <v>#NAME?</v>
      </c>
      <c r="G277" s="29" t="s">
        <v>5182</v>
      </c>
      <c r="H277" s="55">
        <v>0.05</v>
      </c>
      <c r="I277" s="52" t="s">
        <v>18</v>
      </c>
      <c r="J277" s="30" t="s">
        <v>61</v>
      </c>
      <c r="K277" s="58" t="s">
        <v>3679</v>
      </c>
      <c r="L277" s="32" t="e">
        <f ca="1">_xludf.ifna(VLOOKUP(E277,Parámetros!$D$2:$E$34,2,0),"")</f>
        <v>#NAME?</v>
      </c>
      <c r="M277" s="32" t="e">
        <f ca="1">_xludf.ifna(VLOOKUP(G277,Proyectos!$A$2:$T$674,20,0),"")</f>
        <v>#NAME?</v>
      </c>
      <c r="N277" s="32" t="e">
        <f ca="1">_xludf.ifna(VLOOKUP(G277,Proyectos!$A$2:$S$674,19,0))</f>
        <v>#NAME?</v>
      </c>
      <c r="O277" s="32"/>
      <c r="P277" s="31"/>
      <c r="Q277" s="33"/>
      <c r="R277" s="33"/>
      <c r="S277" s="33"/>
      <c r="T277" s="33"/>
      <c r="U277" s="33"/>
      <c r="V277" s="33"/>
      <c r="W277" s="33"/>
    </row>
    <row r="278" spans="1:23" ht="16.5" customHeight="1" x14ac:dyDescent="0.2">
      <c r="A278" s="35" t="s">
        <v>3677</v>
      </c>
      <c r="B278" s="35" t="s">
        <v>3678</v>
      </c>
      <c r="C278" s="35" t="s">
        <v>7</v>
      </c>
      <c r="D278" s="35" t="s">
        <v>8</v>
      </c>
      <c r="E278" s="35" t="s">
        <v>39</v>
      </c>
      <c r="F278" s="28" t="e">
        <f ca="1">_xludf.ifna(VLOOKUP(G278,Proyectos!$A$2:$F$674,6,0),"")</f>
        <v>#NAME?</v>
      </c>
      <c r="G278" s="29" t="s">
        <v>5191</v>
      </c>
      <c r="H278" s="30">
        <v>0.05</v>
      </c>
      <c r="I278" s="52" t="s">
        <v>18</v>
      </c>
      <c r="J278" s="30" t="s">
        <v>61</v>
      </c>
      <c r="K278" s="55"/>
      <c r="L278" s="32" t="e">
        <f ca="1">_xludf.ifna(VLOOKUP(E278,Parámetros!$D$2:$E$34,2,0),"")</f>
        <v>#NAME?</v>
      </c>
      <c r="M278" s="32" t="e">
        <f ca="1">_xludf.ifna(VLOOKUP(G278,Proyectos!$A$2:$T$674,20,0),"")</f>
        <v>#NAME?</v>
      </c>
      <c r="N278" s="32" t="e">
        <f ca="1">_xludf.ifna(VLOOKUP(G278,Proyectos!$A$2:$S$674,19,0))</f>
        <v>#NAME?</v>
      </c>
      <c r="O278" s="32"/>
      <c r="P278" s="31"/>
      <c r="Q278" s="33"/>
      <c r="R278" s="33"/>
      <c r="S278" s="33"/>
      <c r="T278" s="33"/>
      <c r="U278" s="33"/>
      <c r="V278" s="33"/>
      <c r="W278" s="33"/>
    </row>
    <row r="279" spans="1:23" ht="16.5" customHeight="1" x14ac:dyDescent="0.2">
      <c r="A279" s="35" t="s">
        <v>3677</v>
      </c>
      <c r="B279" s="35" t="s">
        <v>3678</v>
      </c>
      <c r="C279" s="35" t="s">
        <v>7</v>
      </c>
      <c r="D279" s="35" t="s">
        <v>8</v>
      </c>
      <c r="E279" s="35" t="s">
        <v>39</v>
      </c>
      <c r="F279" s="28" t="e">
        <f ca="1">_xludf.ifna(VLOOKUP(G279,Proyectos!$A$2:$F$674,6,0),"")</f>
        <v>#NAME?</v>
      </c>
      <c r="G279" s="29" t="s">
        <v>5192</v>
      </c>
      <c r="H279" s="30">
        <v>0.05</v>
      </c>
      <c r="I279" s="52" t="s">
        <v>18</v>
      </c>
      <c r="J279" s="30" t="s">
        <v>61</v>
      </c>
      <c r="K279" s="55"/>
      <c r="L279" s="32" t="e">
        <f ca="1">_xludf.ifna(VLOOKUP(E279,Parámetros!$D$2:$E$34,2,0),"")</f>
        <v>#NAME?</v>
      </c>
      <c r="M279" s="32" t="e">
        <f ca="1">_xludf.ifna(VLOOKUP(G279,Proyectos!$A$2:$T$674,20,0),"")</f>
        <v>#NAME?</v>
      </c>
      <c r="N279" s="32" t="e">
        <f ca="1">_xludf.ifna(VLOOKUP(G279,Proyectos!$A$2:$S$674,19,0))</f>
        <v>#NAME?</v>
      </c>
      <c r="O279" s="32"/>
      <c r="P279" s="31"/>
      <c r="Q279" s="33"/>
      <c r="R279" s="33"/>
      <c r="S279" s="33"/>
      <c r="T279" s="33"/>
      <c r="U279" s="33"/>
      <c r="V279" s="33"/>
      <c r="W279" s="33"/>
    </row>
    <row r="280" spans="1:23" ht="16.5" customHeight="1" x14ac:dyDescent="0.2">
      <c r="A280" s="35" t="s">
        <v>3677</v>
      </c>
      <c r="B280" s="35" t="s">
        <v>3678</v>
      </c>
      <c r="C280" s="35" t="s">
        <v>7</v>
      </c>
      <c r="D280" s="35" t="s">
        <v>8</v>
      </c>
      <c r="E280" s="35" t="s">
        <v>39</v>
      </c>
      <c r="F280" s="28" t="e">
        <f ca="1">_xludf.ifna(VLOOKUP(G280,Proyectos!$A$2:$F$674,6,0),"")</f>
        <v>#NAME?</v>
      </c>
      <c r="G280" s="29" t="s">
        <v>5190</v>
      </c>
      <c r="H280" s="55">
        <v>0.05</v>
      </c>
      <c r="I280" s="52" t="s">
        <v>18</v>
      </c>
      <c r="J280" s="30" t="s">
        <v>61</v>
      </c>
      <c r="K280" s="55"/>
      <c r="L280" s="32" t="e">
        <f ca="1">_xludf.ifna(VLOOKUP(E280,Parámetros!$D$2:$E$34,2,0),"")</f>
        <v>#NAME?</v>
      </c>
      <c r="M280" s="32" t="e">
        <f ca="1">_xludf.ifna(VLOOKUP(G280,Proyectos!$A$2:$T$674,20,0),"")</f>
        <v>#NAME?</v>
      </c>
      <c r="N280" s="32" t="e">
        <f ca="1">_xludf.ifna(VLOOKUP(G280,Proyectos!$A$2:$S$674,19,0))</f>
        <v>#NAME?</v>
      </c>
      <c r="O280" s="32"/>
      <c r="P280" s="31"/>
      <c r="Q280" s="33"/>
      <c r="R280" s="33"/>
      <c r="S280" s="33"/>
      <c r="T280" s="33"/>
      <c r="U280" s="33"/>
      <c r="V280" s="33"/>
      <c r="W280" s="33"/>
    </row>
    <row r="281" spans="1:23" ht="16.5" customHeight="1" x14ac:dyDescent="0.2">
      <c r="A281" s="35" t="s">
        <v>3677</v>
      </c>
      <c r="B281" s="35" t="s">
        <v>3678</v>
      </c>
      <c r="C281" s="35" t="s">
        <v>7</v>
      </c>
      <c r="D281" s="35" t="s">
        <v>8</v>
      </c>
      <c r="E281" s="35" t="s">
        <v>39</v>
      </c>
      <c r="F281" s="28" t="e">
        <f ca="1">_xludf.ifna(VLOOKUP(G281,Proyectos!$A$2:$F$674,6,0),"")</f>
        <v>#NAME?</v>
      </c>
      <c r="G281" s="29" t="s">
        <v>5187</v>
      </c>
      <c r="H281" s="55">
        <v>0.05</v>
      </c>
      <c r="I281" s="52" t="s">
        <v>18</v>
      </c>
      <c r="J281" s="30" t="s">
        <v>61</v>
      </c>
      <c r="K281" s="55"/>
      <c r="L281" s="32" t="e">
        <f ca="1">_xludf.ifna(VLOOKUP(E281,Parámetros!$D$2:$E$34,2,0),"")</f>
        <v>#NAME?</v>
      </c>
      <c r="M281" s="32" t="e">
        <f ca="1">_xludf.ifna(VLOOKUP(G281,Proyectos!$A$2:$T$674,20,0),"")</f>
        <v>#NAME?</v>
      </c>
      <c r="N281" s="32" t="e">
        <f ca="1">_xludf.ifna(VLOOKUP(G281,Proyectos!$A$2:$S$674,19,0))</f>
        <v>#NAME?</v>
      </c>
      <c r="O281" s="32"/>
      <c r="P281" s="31"/>
      <c r="Q281" s="33"/>
      <c r="R281" s="33"/>
      <c r="S281" s="33"/>
      <c r="T281" s="33"/>
      <c r="U281" s="33"/>
      <c r="V281" s="33"/>
      <c r="W281" s="33"/>
    </row>
    <row r="282" spans="1:23" ht="16.5" customHeight="1" x14ac:dyDescent="0.2">
      <c r="A282" s="35" t="s">
        <v>3677</v>
      </c>
      <c r="B282" s="35" t="s">
        <v>3678</v>
      </c>
      <c r="C282" s="35" t="s">
        <v>7</v>
      </c>
      <c r="D282" s="35" t="s">
        <v>8</v>
      </c>
      <c r="E282" s="35" t="s">
        <v>39</v>
      </c>
      <c r="F282" s="28" t="e">
        <f ca="1">_xludf.ifna(VLOOKUP(G282,Proyectos!$A$2:$F$674,6,0),"")</f>
        <v>#NAME?</v>
      </c>
      <c r="G282" s="29" t="s">
        <v>5194</v>
      </c>
      <c r="H282" s="55">
        <v>0.75</v>
      </c>
      <c r="I282" s="52" t="s">
        <v>18</v>
      </c>
      <c r="J282" s="30" t="s">
        <v>61</v>
      </c>
      <c r="K282" s="55"/>
      <c r="L282" s="32" t="e">
        <f ca="1">_xludf.ifna(VLOOKUP(E282,Parámetros!$D$2:$E$34,2,0),"")</f>
        <v>#NAME?</v>
      </c>
      <c r="M282" s="32" t="e">
        <f ca="1">_xludf.ifna(VLOOKUP(G282,Proyectos!$A$2:$T$674,20,0),"")</f>
        <v>#NAME?</v>
      </c>
      <c r="N282" s="32" t="e">
        <f ca="1">_xludf.ifna(VLOOKUP(G282,Proyectos!$A$2:$S$674,19,0))</f>
        <v>#NAME?</v>
      </c>
      <c r="O282" s="32"/>
      <c r="P282" s="31"/>
      <c r="Q282" s="33"/>
      <c r="R282" s="33"/>
      <c r="S282" s="33"/>
      <c r="T282" s="33"/>
      <c r="U282" s="33"/>
      <c r="V282" s="33"/>
      <c r="W282" s="33"/>
    </row>
    <row r="283" spans="1:23" ht="16.5" customHeight="1" x14ac:dyDescent="0.2">
      <c r="A283" s="35" t="s">
        <v>3888</v>
      </c>
      <c r="B283" s="35" t="s">
        <v>3889</v>
      </c>
      <c r="C283" s="35" t="s">
        <v>7</v>
      </c>
      <c r="D283" s="35" t="s">
        <v>8</v>
      </c>
      <c r="E283" s="35" t="s">
        <v>39</v>
      </c>
      <c r="F283" s="28" t="e">
        <f ca="1">_xludf.ifna(VLOOKUP(G283,Proyectos!$A$2:$F$674,6,0),"")</f>
        <v>#NAME?</v>
      </c>
      <c r="G283" s="29" t="s">
        <v>5186</v>
      </c>
      <c r="H283" s="55">
        <v>1</v>
      </c>
      <c r="I283" s="52" t="s">
        <v>18</v>
      </c>
      <c r="J283" s="30" t="s">
        <v>41</v>
      </c>
      <c r="K283" s="55"/>
      <c r="L283" s="32" t="e">
        <f ca="1">_xludf.ifna(VLOOKUP(E283,Parámetros!$D$2:$E$34,2,0),"")</f>
        <v>#NAME?</v>
      </c>
      <c r="M283" s="32" t="e">
        <f ca="1">_xludf.ifna(VLOOKUP(G283,Proyectos!$A$2:$T$674,20,0),"")</f>
        <v>#NAME?</v>
      </c>
      <c r="N283" s="32" t="e">
        <f ca="1">_xludf.ifna(VLOOKUP(G283,Proyectos!$A$2:$S$674,19,0))</f>
        <v>#NAME?</v>
      </c>
      <c r="O283" s="32"/>
      <c r="P283" s="31"/>
      <c r="Q283" s="33"/>
      <c r="R283" s="33"/>
      <c r="S283" s="33"/>
      <c r="T283" s="33"/>
      <c r="U283" s="33"/>
      <c r="V283" s="33"/>
      <c r="W283" s="33"/>
    </row>
    <row r="284" spans="1:23" ht="16.5" customHeight="1" x14ac:dyDescent="0.2">
      <c r="A284" s="35" t="s">
        <v>3474</v>
      </c>
      <c r="B284" s="35" t="s">
        <v>3475</v>
      </c>
      <c r="C284" s="35" t="s">
        <v>7</v>
      </c>
      <c r="D284" s="35" t="s">
        <v>8</v>
      </c>
      <c r="E284" s="35" t="s">
        <v>39</v>
      </c>
      <c r="F284" s="28" t="e">
        <f ca="1">_xludf.ifna(VLOOKUP(G284,Proyectos!$A$2:$F$674,6,0),"")</f>
        <v>#NAME?</v>
      </c>
      <c r="G284" s="29" t="s">
        <v>5198</v>
      </c>
      <c r="H284" s="55">
        <v>0.05</v>
      </c>
      <c r="I284" s="52" t="s">
        <v>18</v>
      </c>
      <c r="J284" s="30" t="s">
        <v>41</v>
      </c>
      <c r="K284" s="55"/>
      <c r="L284" s="32" t="e">
        <f ca="1">_xludf.ifna(VLOOKUP(E284,Parámetros!$D$2:$E$34,2,0),"")</f>
        <v>#NAME?</v>
      </c>
      <c r="M284" s="32" t="e">
        <f ca="1">_xludf.ifna(VLOOKUP(G284,Proyectos!$A$2:$T$674,20,0),"")</f>
        <v>#NAME?</v>
      </c>
      <c r="N284" s="32" t="e">
        <f ca="1">_xludf.ifna(VLOOKUP(G284,Proyectos!$A$2:$S$674,19,0))</f>
        <v>#NAME?</v>
      </c>
      <c r="O284" s="32"/>
      <c r="P284" s="31"/>
      <c r="Q284" s="33"/>
      <c r="R284" s="33"/>
      <c r="S284" s="33"/>
      <c r="T284" s="33"/>
      <c r="U284" s="33"/>
      <c r="V284" s="33"/>
      <c r="W284" s="33"/>
    </row>
    <row r="285" spans="1:23" ht="16.5" customHeight="1" x14ac:dyDescent="0.2">
      <c r="A285" s="35" t="s">
        <v>3474</v>
      </c>
      <c r="B285" s="35" t="s">
        <v>3475</v>
      </c>
      <c r="C285" s="35" t="s">
        <v>7</v>
      </c>
      <c r="D285" s="35" t="s">
        <v>8</v>
      </c>
      <c r="E285" s="35" t="s">
        <v>39</v>
      </c>
      <c r="F285" s="28" t="e">
        <f ca="1">_xludf.ifna(VLOOKUP(G285,Proyectos!$A$2:$F$674,6,0),"")</f>
        <v>#NAME?</v>
      </c>
      <c r="G285" s="29" t="s">
        <v>5194</v>
      </c>
      <c r="H285" s="55">
        <v>0.25</v>
      </c>
      <c r="I285" s="52" t="s">
        <v>18</v>
      </c>
      <c r="J285" s="30" t="s">
        <v>41</v>
      </c>
      <c r="K285" s="55"/>
      <c r="L285" s="32" t="e">
        <f ca="1">_xludf.ifna(VLOOKUP(E285,Parámetros!$D$2:$E$34,2,0),"")</f>
        <v>#NAME?</v>
      </c>
      <c r="M285" s="32" t="e">
        <f ca="1">_xludf.ifna(VLOOKUP(G285,Proyectos!$A$2:$T$674,20,0),"")</f>
        <v>#NAME?</v>
      </c>
      <c r="N285" s="32" t="e">
        <f ca="1">_xludf.ifna(VLOOKUP(G285,Proyectos!$A$2:$S$674,19,0))</f>
        <v>#NAME?</v>
      </c>
      <c r="O285" s="32"/>
      <c r="P285" s="31"/>
      <c r="Q285" s="33"/>
      <c r="R285" s="33"/>
      <c r="S285" s="33"/>
      <c r="T285" s="33"/>
      <c r="U285" s="33"/>
      <c r="V285" s="33"/>
      <c r="W285" s="33"/>
    </row>
    <row r="286" spans="1:23" ht="16.5" customHeight="1" x14ac:dyDescent="0.2">
      <c r="A286" s="35" t="s">
        <v>3474</v>
      </c>
      <c r="B286" s="35" t="s">
        <v>3475</v>
      </c>
      <c r="C286" s="35" t="s">
        <v>7</v>
      </c>
      <c r="D286" s="35" t="s">
        <v>8</v>
      </c>
      <c r="E286" s="35" t="s">
        <v>39</v>
      </c>
      <c r="F286" s="28" t="e">
        <f ca="1">_xludf.ifna(VLOOKUP(G286,Proyectos!$A$2:$F$674,6,0),"")</f>
        <v>#NAME?</v>
      </c>
      <c r="G286" s="29" t="s">
        <v>5186</v>
      </c>
      <c r="H286" s="55">
        <v>0.7</v>
      </c>
      <c r="I286" s="52" t="s">
        <v>18</v>
      </c>
      <c r="J286" s="30" t="s">
        <v>41</v>
      </c>
      <c r="K286" s="55"/>
      <c r="L286" s="32" t="e">
        <f ca="1">_xludf.ifna(VLOOKUP(E286,Parámetros!$D$2:$E$34,2,0),"")</f>
        <v>#NAME?</v>
      </c>
      <c r="M286" s="32" t="e">
        <f ca="1">_xludf.ifna(VLOOKUP(G286,Proyectos!$A$2:$T$674,20,0),"")</f>
        <v>#NAME?</v>
      </c>
      <c r="N286" s="32" t="e">
        <f ca="1">_xludf.ifna(VLOOKUP(G286,Proyectos!$A$2:$S$674,19,0))</f>
        <v>#NAME?</v>
      </c>
      <c r="O286" s="32"/>
      <c r="P286" s="31"/>
      <c r="Q286" s="33"/>
      <c r="R286" s="33"/>
      <c r="S286" s="33"/>
      <c r="T286" s="33"/>
      <c r="U286" s="33"/>
      <c r="V286" s="33"/>
      <c r="W286" s="33"/>
    </row>
    <row r="287" spans="1:23" ht="16.5" customHeight="1" x14ac:dyDescent="0.2">
      <c r="A287" s="35" t="s">
        <v>3362</v>
      </c>
      <c r="B287" s="35" t="s">
        <v>3363</v>
      </c>
      <c r="C287" s="35" t="s">
        <v>7</v>
      </c>
      <c r="D287" s="35" t="s">
        <v>8</v>
      </c>
      <c r="E287" s="35" t="s">
        <v>39</v>
      </c>
      <c r="F287" s="28" t="e">
        <f ca="1">_xludf.ifna(VLOOKUP(G287,Proyectos!$A$2:$F$674,6,0),"")</f>
        <v>#NAME?</v>
      </c>
      <c r="G287" s="29" t="s">
        <v>5188</v>
      </c>
      <c r="H287" s="55">
        <v>0.25</v>
      </c>
      <c r="I287" s="52" t="s">
        <v>18</v>
      </c>
      <c r="J287" s="30" t="s">
        <v>61</v>
      </c>
      <c r="K287" s="55"/>
      <c r="L287" s="32" t="e">
        <f ca="1">_xludf.ifna(VLOOKUP(E287,Parámetros!$D$2:$E$34,2,0),"")</f>
        <v>#NAME?</v>
      </c>
      <c r="M287" s="32" t="e">
        <f ca="1">_xludf.ifna(VLOOKUP(G287,Proyectos!$A$2:$T$674,20,0),"")</f>
        <v>#NAME?</v>
      </c>
      <c r="N287" s="32" t="e">
        <f ca="1">_xludf.ifna(VLOOKUP(G287,Proyectos!$A$2:$S$674,19,0))</f>
        <v>#NAME?</v>
      </c>
      <c r="O287" s="32"/>
      <c r="P287" s="31"/>
      <c r="Q287" s="33"/>
      <c r="R287" s="33"/>
      <c r="S287" s="33"/>
      <c r="T287" s="33"/>
      <c r="U287" s="33"/>
      <c r="V287" s="33"/>
      <c r="W287" s="33"/>
    </row>
    <row r="288" spans="1:23" ht="16.5" customHeight="1" x14ac:dyDescent="0.2">
      <c r="A288" s="35" t="s">
        <v>3362</v>
      </c>
      <c r="B288" s="35" t="s">
        <v>3363</v>
      </c>
      <c r="C288" s="35" t="s">
        <v>7</v>
      </c>
      <c r="D288" s="35" t="s">
        <v>8</v>
      </c>
      <c r="E288" s="35" t="s">
        <v>39</v>
      </c>
      <c r="F288" s="28" t="e">
        <f ca="1">_xludf.ifna(VLOOKUP(G288,Proyectos!$A$2:$F$674,6,0),"")</f>
        <v>#NAME?</v>
      </c>
      <c r="G288" s="29" t="s">
        <v>5187</v>
      </c>
      <c r="H288" s="55">
        <v>0.25</v>
      </c>
      <c r="I288" s="52" t="s">
        <v>18</v>
      </c>
      <c r="J288" s="30" t="s">
        <v>61</v>
      </c>
      <c r="K288" s="55"/>
      <c r="L288" s="32" t="e">
        <f ca="1">_xludf.ifna(VLOOKUP(E288,Parámetros!$D$2:$E$34,2,0),"")</f>
        <v>#NAME?</v>
      </c>
      <c r="M288" s="32" t="e">
        <f ca="1">_xludf.ifna(VLOOKUP(G288,Proyectos!$A$2:$T$674,20,0),"")</f>
        <v>#NAME?</v>
      </c>
      <c r="N288" s="32" t="e">
        <f ca="1">_xludf.ifna(VLOOKUP(G288,Proyectos!$A$2:$S$674,19,0))</f>
        <v>#NAME?</v>
      </c>
      <c r="O288" s="32"/>
      <c r="P288" s="31"/>
      <c r="Q288" s="33"/>
      <c r="R288" s="33"/>
      <c r="S288" s="33"/>
      <c r="T288" s="33"/>
      <c r="U288" s="33"/>
      <c r="V288" s="33"/>
      <c r="W288" s="33"/>
    </row>
    <row r="289" spans="1:23" ht="16.5" customHeight="1" x14ac:dyDescent="0.2">
      <c r="A289" s="35" t="s">
        <v>3362</v>
      </c>
      <c r="B289" s="35" t="s">
        <v>3363</v>
      </c>
      <c r="C289" s="35" t="s">
        <v>7</v>
      </c>
      <c r="D289" s="35" t="s">
        <v>8</v>
      </c>
      <c r="E289" s="35" t="s">
        <v>39</v>
      </c>
      <c r="F289" s="28" t="e">
        <f ca="1">_xludf.ifna(VLOOKUP(G289,Proyectos!$A$2:$F$674,6,0),"")</f>
        <v>#NAME?</v>
      </c>
      <c r="G289" s="29" t="s">
        <v>5189</v>
      </c>
      <c r="H289" s="55">
        <v>0.25</v>
      </c>
      <c r="I289" s="52" t="s">
        <v>18</v>
      </c>
      <c r="J289" s="30" t="s">
        <v>61</v>
      </c>
      <c r="K289" s="55"/>
      <c r="L289" s="32" t="e">
        <f ca="1">_xludf.ifna(VLOOKUP(E289,Parámetros!$D$2:$E$34,2,0),"")</f>
        <v>#NAME?</v>
      </c>
      <c r="M289" s="32" t="e">
        <f ca="1">_xludf.ifna(VLOOKUP(G289,Proyectos!$A$2:$T$674,20,0),"")</f>
        <v>#NAME?</v>
      </c>
      <c r="N289" s="32" t="e">
        <f ca="1">_xludf.ifna(VLOOKUP(G289,Proyectos!$A$2:$S$674,19,0))</f>
        <v>#NAME?</v>
      </c>
      <c r="O289" s="32"/>
      <c r="P289" s="31"/>
      <c r="Q289" s="33"/>
      <c r="R289" s="33"/>
      <c r="S289" s="33"/>
      <c r="T289" s="33"/>
      <c r="U289" s="33"/>
      <c r="V289" s="33"/>
      <c r="W289" s="33"/>
    </row>
    <row r="290" spans="1:23" ht="16.5" customHeight="1" x14ac:dyDescent="0.2">
      <c r="A290" s="35" t="s">
        <v>3362</v>
      </c>
      <c r="B290" s="35" t="s">
        <v>3363</v>
      </c>
      <c r="C290" s="35" t="s">
        <v>7</v>
      </c>
      <c r="D290" s="35" t="s">
        <v>8</v>
      </c>
      <c r="E290" s="35" t="s">
        <v>39</v>
      </c>
      <c r="F290" s="28" t="e">
        <f ca="1">_xludf.ifna(VLOOKUP(G290,Proyectos!$A$2:$F$674,6,0),"")</f>
        <v>#NAME?</v>
      </c>
      <c r="G290" s="29" t="s">
        <v>5190</v>
      </c>
      <c r="H290" s="55">
        <v>0.25</v>
      </c>
      <c r="I290" s="52" t="s">
        <v>18</v>
      </c>
      <c r="J290" s="30" t="s">
        <v>61</v>
      </c>
      <c r="K290" s="55"/>
      <c r="L290" s="32" t="e">
        <f ca="1">_xludf.ifna(VLOOKUP(E290,Parámetros!$D$2:$E$34,2,0),"")</f>
        <v>#NAME?</v>
      </c>
      <c r="M290" s="32" t="e">
        <f ca="1">_xludf.ifna(VLOOKUP(G290,Proyectos!$A$2:$T$674,20,0),"")</f>
        <v>#NAME?</v>
      </c>
      <c r="N290" s="32" t="e">
        <f ca="1">_xludf.ifna(VLOOKUP(G290,Proyectos!$A$2:$S$674,19,0))</f>
        <v>#NAME?</v>
      </c>
      <c r="O290" s="32"/>
      <c r="P290" s="31"/>
      <c r="Q290" s="33"/>
      <c r="R290" s="33"/>
      <c r="S290" s="33"/>
      <c r="T290" s="33"/>
      <c r="U290" s="33"/>
      <c r="V290" s="33"/>
      <c r="W290" s="33"/>
    </row>
    <row r="291" spans="1:23" ht="16.5" customHeight="1" x14ac:dyDescent="0.2">
      <c r="A291" s="35" t="s">
        <v>4779</v>
      </c>
      <c r="B291" s="35" t="s">
        <v>4780</v>
      </c>
      <c r="C291" s="35" t="s">
        <v>7</v>
      </c>
      <c r="D291" s="35" t="s">
        <v>8</v>
      </c>
      <c r="E291" s="35" t="s">
        <v>39</v>
      </c>
      <c r="F291" s="28" t="e">
        <f ca="1">_xludf.ifna(VLOOKUP(G291,Proyectos!$A$2:$F$674,6,0),"")</f>
        <v>#NAME?</v>
      </c>
      <c r="G291" s="29" t="s">
        <v>5150</v>
      </c>
      <c r="H291" s="55">
        <v>0.5</v>
      </c>
      <c r="I291" s="52" t="s">
        <v>18</v>
      </c>
      <c r="J291" s="30" t="s">
        <v>61</v>
      </c>
      <c r="K291" s="55"/>
      <c r="L291" s="32" t="e">
        <f ca="1">_xludf.ifna(VLOOKUP(E291,Parámetros!$D$2:$E$34,2,0),"")</f>
        <v>#NAME?</v>
      </c>
      <c r="M291" s="32" t="e">
        <f ca="1">_xludf.ifna(VLOOKUP(G291,Proyectos!$A$2:$T$674,20,0),"")</f>
        <v>#NAME?</v>
      </c>
      <c r="N291" s="32" t="e">
        <f ca="1">_xludf.ifna(VLOOKUP(G291,Proyectos!$A$2:$S$674,19,0))</f>
        <v>#NAME?</v>
      </c>
      <c r="O291" s="32"/>
      <c r="P291" s="31"/>
      <c r="Q291" s="33"/>
      <c r="R291" s="33"/>
      <c r="S291" s="33"/>
      <c r="T291" s="33"/>
      <c r="U291" s="33"/>
      <c r="V291" s="33"/>
      <c r="W291" s="33"/>
    </row>
    <row r="292" spans="1:23" ht="16.5" customHeight="1" x14ac:dyDescent="0.2">
      <c r="A292" s="54" t="s">
        <v>4779</v>
      </c>
      <c r="B292" s="57" t="s">
        <v>4780</v>
      </c>
      <c r="C292" s="54" t="s">
        <v>7</v>
      </c>
      <c r="D292" s="54" t="s">
        <v>8</v>
      </c>
      <c r="E292" s="54" t="s">
        <v>39</v>
      </c>
      <c r="F292" s="28" t="e">
        <f ca="1">_xludf.ifna(VLOOKUP(G292,Proyectos!$A$2:$F$674,6,0),"")</f>
        <v>#NAME?</v>
      </c>
      <c r="G292" s="29" t="s">
        <v>5197</v>
      </c>
      <c r="H292" s="34">
        <v>0.05</v>
      </c>
      <c r="I292" s="52" t="s">
        <v>18</v>
      </c>
      <c r="J292" s="30" t="s">
        <v>61</v>
      </c>
      <c r="K292" s="58" t="s">
        <v>3679</v>
      </c>
      <c r="L292" s="32" t="e">
        <f ca="1">_xludf.ifna(VLOOKUP(E292,Parámetros!$D$2:$E$34,2,0),"")</f>
        <v>#NAME?</v>
      </c>
      <c r="M292" s="32" t="e">
        <f ca="1">_xludf.ifna(VLOOKUP(G292,Proyectos!$A$2:$T$674,20,0),"")</f>
        <v>#NAME?</v>
      </c>
      <c r="N292" s="32" t="e">
        <f ca="1">_xludf.ifna(VLOOKUP(G292,Proyectos!$A$2:$S$674,19,0))</f>
        <v>#NAME?</v>
      </c>
      <c r="O292" s="32"/>
      <c r="P292" s="31"/>
      <c r="Q292" s="33"/>
      <c r="R292" s="33"/>
      <c r="S292" s="33"/>
      <c r="T292" s="33"/>
      <c r="U292" s="33"/>
      <c r="V292" s="33"/>
      <c r="W292" s="33"/>
    </row>
    <row r="293" spans="1:23" ht="16.5" customHeight="1" x14ac:dyDescent="0.2">
      <c r="A293" s="35" t="s">
        <v>4779</v>
      </c>
      <c r="B293" s="35" t="s">
        <v>4780</v>
      </c>
      <c r="C293" s="35" t="s">
        <v>7</v>
      </c>
      <c r="D293" s="35" t="s">
        <v>8</v>
      </c>
      <c r="E293" s="35" t="s">
        <v>39</v>
      </c>
      <c r="F293" s="28" t="e">
        <f ca="1">_xludf.ifna(VLOOKUP(G293,Proyectos!$A$2:$F$674,6,0),"")</f>
        <v>#NAME?</v>
      </c>
      <c r="G293" s="29" t="s">
        <v>5198</v>
      </c>
      <c r="H293" s="30">
        <v>0.25</v>
      </c>
      <c r="I293" s="52" t="s">
        <v>18</v>
      </c>
      <c r="J293" s="30" t="s">
        <v>61</v>
      </c>
      <c r="K293" s="55"/>
      <c r="L293" s="32" t="e">
        <f ca="1">_xludf.ifna(VLOOKUP(E293,Parámetros!$D$2:$E$34,2,0),"")</f>
        <v>#NAME?</v>
      </c>
      <c r="M293" s="32" t="e">
        <f ca="1">_xludf.ifna(VLOOKUP(G293,Proyectos!$A$2:$T$674,20,0),"")</f>
        <v>#NAME?</v>
      </c>
      <c r="N293" s="32" t="e">
        <f ca="1">_xludf.ifna(VLOOKUP(G293,Proyectos!$A$2:$S$674,19,0))</f>
        <v>#NAME?</v>
      </c>
      <c r="O293" s="32"/>
      <c r="P293" s="31"/>
      <c r="Q293" s="33"/>
      <c r="R293" s="33"/>
      <c r="S293" s="33"/>
      <c r="T293" s="33"/>
      <c r="U293" s="33"/>
      <c r="V293" s="33"/>
      <c r="W293" s="33"/>
    </row>
    <row r="294" spans="1:23" ht="16.5" customHeight="1" x14ac:dyDescent="0.2">
      <c r="A294" s="35" t="s">
        <v>4779</v>
      </c>
      <c r="B294" s="35" t="s">
        <v>4780</v>
      </c>
      <c r="C294" s="35" t="s">
        <v>7</v>
      </c>
      <c r="D294" s="35" t="s">
        <v>8</v>
      </c>
      <c r="E294" s="35" t="s">
        <v>39</v>
      </c>
      <c r="F294" s="28" t="e">
        <f ca="1">_xludf.ifna(VLOOKUP(G294,Proyectos!$A$2:$F$674,6,0),"")</f>
        <v>#NAME?</v>
      </c>
      <c r="G294" s="29" t="s">
        <v>5199</v>
      </c>
      <c r="H294" s="55">
        <v>0.2</v>
      </c>
      <c r="I294" s="52" t="s">
        <v>18</v>
      </c>
      <c r="J294" s="30" t="s">
        <v>61</v>
      </c>
      <c r="K294" s="55"/>
      <c r="L294" s="32" t="e">
        <f ca="1">_xludf.ifna(VLOOKUP(E294,Parámetros!$D$2:$E$34,2,0),"")</f>
        <v>#NAME?</v>
      </c>
      <c r="M294" s="32" t="e">
        <f ca="1">_xludf.ifna(VLOOKUP(G294,Proyectos!$A$2:$T$674,20,0),"")</f>
        <v>#NAME?</v>
      </c>
      <c r="N294" s="32" t="e">
        <f ca="1">_xludf.ifna(VLOOKUP(G294,Proyectos!$A$2:$S$674,19,0))</f>
        <v>#NAME?</v>
      </c>
      <c r="O294" s="32"/>
      <c r="P294" s="31"/>
      <c r="Q294" s="33"/>
      <c r="R294" s="33"/>
      <c r="S294" s="33"/>
      <c r="T294" s="33"/>
      <c r="U294" s="33"/>
      <c r="V294" s="33"/>
      <c r="W294" s="33"/>
    </row>
    <row r="295" spans="1:23" ht="16.5" customHeight="1" x14ac:dyDescent="0.2">
      <c r="A295" s="54" t="s">
        <v>3422</v>
      </c>
      <c r="B295" s="57" t="s">
        <v>3423</v>
      </c>
      <c r="C295" s="54" t="s">
        <v>7</v>
      </c>
      <c r="D295" s="54" t="s">
        <v>8</v>
      </c>
      <c r="E295" s="54" t="s">
        <v>39</v>
      </c>
      <c r="F295" s="28" t="e">
        <f ca="1">_xludf.ifna(VLOOKUP(G295,Proyectos!$A$2:$F$674,6,0),"")</f>
        <v>#NAME?</v>
      </c>
      <c r="G295" s="29" t="s">
        <v>5196</v>
      </c>
      <c r="H295" s="55">
        <v>0.25</v>
      </c>
      <c r="I295" s="52" t="s">
        <v>18</v>
      </c>
      <c r="J295" s="30" t="s">
        <v>41</v>
      </c>
      <c r="K295" s="35" t="s">
        <v>3424</v>
      </c>
      <c r="L295" s="32" t="e">
        <f ca="1">_xludf.ifna(VLOOKUP(E295,Parámetros!$D$2:$E$34,2,0),"")</f>
        <v>#NAME?</v>
      </c>
      <c r="M295" s="32" t="e">
        <f ca="1">_xludf.ifna(VLOOKUP(G295,Proyectos!$A$2:$T$674,20,0),"")</f>
        <v>#NAME?</v>
      </c>
      <c r="N295" s="32" t="e">
        <f ca="1">_xludf.ifna(VLOOKUP(G295,Proyectos!$A$2:$S$674,19,0))</f>
        <v>#NAME?</v>
      </c>
      <c r="O295" s="32"/>
      <c r="P295" s="31"/>
      <c r="Q295" s="33"/>
      <c r="R295" s="33"/>
      <c r="S295" s="33"/>
      <c r="T295" s="33"/>
      <c r="U295" s="33"/>
      <c r="V295" s="33"/>
      <c r="W295" s="33"/>
    </row>
    <row r="296" spans="1:23" ht="16.5" customHeight="1" x14ac:dyDescent="0.2">
      <c r="A296" s="35" t="s">
        <v>3422</v>
      </c>
      <c r="B296" s="35" t="s">
        <v>3423</v>
      </c>
      <c r="C296" s="35" t="s">
        <v>7</v>
      </c>
      <c r="D296" s="35" t="s">
        <v>8</v>
      </c>
      <c r="E296" s="35" t="s">
        <v>39</v>
      </c>
      <c r="F296" s="28" t="e">
        <f ca="1">_xludf.ifna(VLOOKUP(G296,Proyectos!$A$2:$F$674,6,0),"")</f>
        <v>#NAME?</v>
      </c>
      <c r="G296" s="29" t="s">
        <v>5194</v>
      </c>
      <c r="H296" s="55">
        <v>0.5</v>
      </c>
      <c r="I296" s="52" t="s">
        <v>18</v>
      </c>
      <c r="J296" s="30" t="s">
        <v>41</v>
      </c>
      <c r="K296" s="55"/>
      <c r="L296" s="32" t="e">
        <f ca="1">_xludf.ifna(VLOOKUP(E296,Parámetros!$D$2:$E$34,2,0),"")</f>
        <v>#NAME?</v>
      </c>
      <c r="M296" s="32" t="e">
        <f ca="1">_xludf.ifna(VLOOKUP(G296,Proyectos!$A$2:$T$674,20,0),"")</f>
        <v>#NAME?</v>
      </c>
      <c r="N296" s="32" t="e">
        <f ca="1">_xludf.ifna(VLOOKUP(G296,Proyectos!$A$2:$S$674,19,0))</f>
        <v>#NAME?</v>
      </c>
      <c r="O296" s="32"/>
      <c r="P296" s="31"/>
      <c r="Q296" s="33"/>
      <c r="R296" s="33"/>
      <c r="S296" s="33"/>
      <c r="T296" s="33"/>
      <c r="U296" s="33"/>
      <c r="V296" s="33"/>
      <c r="W296" s="33"/>
    </row>
    <row r="297" spans="1:23" ht="16.5" customHeight="1" x14ac:dyDescent="0.2">
      <c r="A297" s="35" t="s">
        <v>3422</v>
      </c>
      <c r="B297" s="35" t="s">
        <v>3423</v>
      </c>
      <c r="C297" s="35" t="s">
        <v>7</v>
      </c>
      <c r="D297" s="35" t="s">
        <v>8</v>
      </c>
      <c r="E297" s="35" t="s">
        <v>39</v>
      </c>
      <c r="F297" s="28" t="e">
        <f ca="1">_xludf.ifna(VLOOKUP(G297,Proyectos!$A$2:$F$674,6,0),"")</f>
        <v>#NAME?</v>
      </c>
      <c r="G297" s="29" t="s">
        <v>5150</v>
      </c>
      <c r="H297" s="55">
        <v>0.15</v>
      </c>
      <c r="I297" s="52" t="s">
        <v>18</v>
      </c>
      <c r="J297" s="30" t="s">
        <v>41</v>
      </c>
      <c r="K297" s="55"/>
      <c r="L297" s="32" t="e">
        <f ca="1">_xludf.ifna(VLOOKUP(E297,Parámetros!$D$2:$E$34,2,0),"")</f>
        <v>#NAME?</v>
      </c>
      <c r="M297" s="32" t="e">
        <f ca="1">_xludf.ifna(VLOOKUP(G297,Proyectos!$A$2:$T$674,20,0),"")</f>
        <v>#NAME?</v>
      </c>
      <c r="N297" s="32" t="e">
        <f ca="1">_xludf.ifna(VLOOKUP(G297,Proyectos!$A$2:$S$674,19,0))</f>
        <v>#NAME?</v>
      </c>
      <c r="O297" s="32"/>
      <c r="P297" s="31"/>
      <c r="Q297" s="33"/>
      <c r="R297" s="33"/>
      <c r="S297" s="33"/>
      <c r="T297" s="33"/>
      <c r="U297" s="33"/>
      <c r="V297" s="33"/>
      <c r="W297" s="33"/>
    </row>
    <row r="298" spans="1:23" ht="16.5" customHeight="1" x14ac:dyDescent="0.2">
      <c r="A298" s="35" t="s">
        <v>3422</v>
      </c>
      <c r="B298" s="35" t="s">
        <v>3423</v>
      </c>
      <c r="C298" s="35" t="s">
        <v>7</v>
      </c>
      <c r="D298" s="35" t="s">
        <v>8</v>
      </c>
      <c r="E298" s="35" t="s">
        <v>39</v>
      </c>
      <c r="F298" s="28" t="e">
        <f ca="1">_xludf.ifna(VLOOKUP(G298,Proyectos!$A$2:$F$674,6,0),"")</f>
        <v>#NAME?</v>
      </c>
      <c r="G298" s="29" t="s">
        <v>5198</v>
      </c>
      <c r="H298" s="55">
        <v>0.1</v>
      </c>
      <c r="I298" s="52" t="s">
        <v>18</v>
      </c>
      <c r="J298" s="30" t="s">
        <v>41</v>
      </c>
      <c r="K298" s="55"/>
      <c r="L298" s="32" t="e">
        <f ca="1">_xludf.ifna(VLOOKUP(E298,Parámetros!$D$2:$E$34,2,0),"")</f>
        <v>#NAME?</v>
      </c>
      <c r="M298" s="32" t="e">
        <f ca="1">_xludf.ifna(VLOOKUP(G298,Proyectos!$A$2:$T$674,20,0),"")</f>
        <v>#NAME?</v>
      </c>
      <c r="N298" s="32" t="e">
        <f ca="1">_xludf.ifna(VLOOKUP(G298,Proyectos!$A$2:$S$674,19,0))</f>
        <v>#NAME?</v>
      </c>
      <c r="O298" s="32"/>
      <c r="P298" s="31"/>
      <c r="Q298" s="33"/>
      <c r="R298" s="33"/>
      <c r="S298" s="33"/>
      <c r="T298" s="33"/>
      <c r="U298" s="33"/>
      <c r="V298" s="33"/>
      <c r="W298" s="33"/>
    </row>
    <row r="299" spans="1:23" ht="16.5" customHeight="1" x14ac:dyDescent="0.2">
      <c r="A299" s="35" t="s">
        <v>3652</v>
      </c>
      <c r="B299" s="35" t="s">
        <v>3653</v>
      </c>
      <c r="C299" s="35" t="s">
        <v>7</v>
      </c>
      <c r="D299" s="35" t="s">
        <v>8</v>
      </c>
      <c r="E299" s="35" t="s">
        <v>39</v>
      </c>
      <c r="F299" s="28" t="e">
        <f ca="1">_xludf.ifna(VLOOKUP(G299,Proyectos!$A$2:$F$674,6,0),"")</f>
        <v>#NAME?</v>
      </c>
      <c r="G299" s="29" t="s">
        <v>5190</v>
      </c>
      <c r="H299" s="55">
        <v>0.1</v>
      </c>
      <c r="I299" s="52" t="s">
        <v>18</v>
      </c>
      <c r="J299" s="30" t="s">
        <v>61</v>
      </c>
      <c r="K299" s="55"/>
      <c r="L299" s="32" t="e">
        <f ca="1">_xludf.ifna(VLOOKUP(E299,Parámetros!$D$2:$E$34,2,0),"")</f>
        <v>#NAME?</v>
      </c>
      <c r="M299" s="32" t="e">
        <f ca="1">_xludf.ifna(VLOOKUP(G299,Proyectos!$A$2:$T$674,20,0),"")</f>
        <v>#NAME?</v>
      </c>
      <c r="N299" s="32" t="e">
        <f ca="1">_xludf.ifna(VLOOKUP(G299,Proyectos!$A$2:$S$674,19,0))</f>
        <v>#NAME?</v>
      </c>
      <c r="O299" s="32"/>
      <c r="P299" s="31"/>
      <c r="Q299" s="33"/>
      <c r="R299" s="33"/>
      <c r="S299" s="33"/>
      <c r="T299" s="33"/>
      <c r="U299" s="33"/>
      <c r="V299" s="33"/>
      <c r="W299" s="33"/>
    </row>
    <row r="300" spans="1:23" ht="16.5" customHeight="1" x14ac:dyDescent="0.2">
      <c r="A300" s="35" t="s">
        <v>3652</v>
      </c>
      <c r="B300" s="35" t="s">
        <v>3653</v>
      </c>
      <c r="C300" s="35" t="s">
        <v>7</v>
      </c>
      <c r="D300" s="35" t="s">
        <v>8</v>
      </c>
      <c r="E300" s="35" t="s">
        <v>39</v>
      </c>
      <c r="F300" s="28" t="e">
        <f ca="1">_xludf.ifna(VLOOKUP(G300,Proyectos!$A$2:$F$674,6,0),"")</f>
        <v>#NAME?</v>
      </c>
      <c r="G300" s="29" t="s">
        <v>5187</v>
      </c>
      <c r="H300" s="55">
        <v>0.05</v>
      </c>
      <c r="I300" s="52" t="s">
        <v>18</v>
      </c>
      <c r="J300" s="30" t="s">
        <v>61</v>
      </c>
      <c r="K300" s="55"/>
      <c r="L300" s="32" t="e">
        <f ca="1">_xludf.ifna(VLOOKUP(E300,Parámetros!$D$2:$E$34,2,0),"")</f>
        <v>#NAME?</v>
      </c>
      <c r="M300" s="32" t="e">
        <f ca="1">_xludf.ifna(VLOOKUP(G300,Proyectos!$A$2:$T$674,20,0),"")</f>
        <v>#NAME?</v>
      </c>
      <c r="N300" s="32" t="e">
        <f ca="1">_xludf.ifna(VLOOKUP(G300,Proyectos!$A$2:$S$674,19,0))</f>
        <v>#NAME?</v>
      </c>
      <c r="O300" s="32"/>
      <c r="P300" s="31"/>
      <c r="Q300" s="33"/>
      <c r="R300" s="33"/>
      <c r="S300" s="33"/>
      <c r="T300" s="33"/>
      <c r="U300" s="33"/>
      <c r="V300" s="33"/>
      <c r="W300" s="33"/>
    </row>
    <row r="301" spans="1:23" ht="16.5" customHeight="1" x14ac:dyDescent="0.2">
      <c r="A301" s="35" t="s">
        <v>3652</v>
      </c>
      <c r="B301" s="35" t="s">
        <v>3653</v>
      </c>
      <c r="C301" s="35" t="s">
        <v>7</v>
      </c>
      <c r="D301" s="35" t="s">
        <v>8</v>
      </c>
      <c r="E301" s="35" t="s">
        <v>39</v>
      </c>
      <c r="F301" s="28" t="e">
        <f ca="1">_xludf.ifna(VLOOKUP(G301,Proyectos!$A$2:$F$674,6,0),"")</f>
        <v>#NAME?</v>
      </c>
      <c r="G301" s="29" t="s">
        <v>5188</v>
      </c>
      <c r="H301" s="55">
        <v>0.5</v>
      </c>
      <c r="I301" s="52" t="s">
        <v>18</v>
      </c>
      <c r="J301" s="30" t="s">
        <v>61</v>
      </c>
      <c r="K301" s="55"/>
      <c r="L301" s="32" t="e">
        <f ca="1">_xludf.ifna(VLOOKUP(E301,Parámetros!$D$2:$E$34,2,0),"")</f>
        <v>#NAME?</v>
      </c>
      <c r="M301" s="32" t="e">
        <f ca="1">_xludf.ifna(VLOOKUP(G301,Proyectos!$A$2:$T$674,20,0),"")</f>
        <v>#NAME?</v>
      </c>
      <c r="N301" s="32" t="e">
        <f ca="1">_xludf.ifna(VLOOKUP(G301,Proyectos!$A$2:$S$674,19,0))</f>
        <v>#NAME?</v>
      </c>
      <c r="O301" s="32"/>
      <c r="P301" s="31"/>
      <c r="Q301" s="33"/>
      <c r="R301" s="33"/>
      <c r="S301" s="33"/>
      <c r="T301" s="33"/>
      <c r="U301" s="33"/>
      <c r="V301" s="33"/>
      <c r="W301" s="33"/>
    </row>
    <row r="302" spans="1:23" ht="16.5" customHeight="1" x14ac:dyDescent="0.2">
      <c r="A302" s="35" t="s">
        <v>3652</v>
      </c>
      <c r="B302" s="35" t="s">
        <v>3653</v>
      </c>
      <c r="C302" s="35" t="s">
        <v>7</v>
      </c>
      <c r="D302" s="35" t="s">
        <v>8</v>
      </c>
      <c r="E302" s="35" t="s">
        <v>39</v>
      </c>
      <c r="F302" s="28" t="e">
        <f ca="1">_xludf.ifna(VLOOKUP(G302,Proyectos!$A$2:$F$674,6,0),"")</f>
        <v>#NAME?</v>
      </c>
      <c r="G302" s="29" t="s">
        <v>5189</v>
      </c>
      <c r="H302" s="55">
        <v>0.1</v>
      </c>
      <c r="I302" s="52" t="s">
        <v>18</v>
      </c>
      <c r="J302" s="30" t="s">
        <v>61</v>
      </c>
      <c r="K302" s="55"/>
      <c r="L302" s="32" t="e">
        <f ca="1">_xludf.ifna(VLOOKUP(E302,Parámetros!$D$2:$E$34,2,0),"")</f>
        <v>#NAME?</v>
      </c>
      <c r="M302" s="32" t="e">
        <f ca="1">_xludf.ifna(VLOOKUP(G302,Proyectos!$A$2:$T$674,20,0),"")</f>
        <v>#NAME?</v>
      </c>
      <c r="N302" s="32" t="e">
        <f ca="1">_xludf.ifna(VLOOKUP(G302,Proyectos!$A$2:$S$674,19,0))</f>
        <v>#NAME?</v>
      </c>
      <c r="O302" s="32"/>
      <c r="P302" s="31"/>
      <c r="Q302" s="33"/>
      <c r="R302" s="33"/>
      <c r="S302" s="33"/>
      <c r="T302" s="33"/>
      <c r="U302" s="33"/>
      <c r="V302" s="33"/>
      <c r="W302" s="33"/>
    </row>
    <row r="303" spans="1:23" ht="16.5" customHeight="1" x14ac:dyDescent="0.2">
      <c r="A303" s="35" t="s">
        <v>3652</v>
      </c>
      <c r="B303" s="35" t="s">
        <v>3653</v>
      </c>
      <c r="C303" s="35" t="s">
        <v>7</v>
      </c>
      <c r="D303" s="35" t="s">
        <v>8</v>
      </c>
      <c r="E303" s="35" t="s">
        <v>39</v>
      </c>
      <c r="F303" s="28" t="e">
        <f ca="1">_xludf.ifna(VLOOKUP(G303,Proyectos!$A$2:$F$674,6,0),"")</f>
        <v>#NAME?</v>
      </c>
      <c r="G303" s="29" t="s">
        <v>5112</v>
      </c>
      <c r="H303" s="55">
        <v>0.25</v>
      </c>
      <c r="I303" s="52" t="s">
        <v>18</v>
      </c>
      <c r="J303" s="30" t="s">
        <v>61</v>
      </c>
      <c r="K303" s="55"/>
      <c r="L303" s="32" t="e">
        <f ca="1">_xludf.ifna(VLOOKUP(E303,Parámetros!$D$2:$E$34,2,0),"")</f>
        <v>#NAME?</v>
      </c>
      <c r="M303" s="32" t="e">
        <f ca="1">_xludf.ifna(VLOOKUP(G303,Proyectos!$A$2:$T$674,20,0),"")</f>
        <v>#NAME?</v>
      </c>
      <c r="N303" s="32" t="e">
        <f ca="1">_xludf.ifna(VLOOKUP(G303,Proyectos!$A$2:$S$674,19,0))</f>
        <v>#NAME?</v>
      </c>
      <c r="O303" s="32"/>
      <c r="P303" s="31"/>
      <c r="Q303" s="33"/>
      <c r="R303" s="33"/>
      <c r="S303" s="33"/>
      <c r="T303" s="33"/>
      <c r="U303" s="33"/>
      <c r="V303" s="33"/>
      <c r="W303" s="33"/>
    </row>
    <row r="304" spans="1:23" ht="16.5" customHeight="1" x14ac:dyDescent="0.2">
      <c r="A304" s="35" t="s">
        <v>3721</v>
      </c>
      <c r="B304" s="35" t="s">
        <v>3722</v>
      </c>
      <c r="C304" s="35" t="s">
        <v>7</v>
      </c>
      <c r="D304" s="35" t="s">
        <v>8</v>
      </c>
      <c r="E304" s="35" t="s">
        <v>39</v>
      </c>
      <c r="F304" s="28" t="e">
        <f ca="1">_xludf.ifna(VLOOKUP(G304,Proyectos!$A$2:$F$674,6,0),"")</f>
        <v>#NAME?</v>
      </c>
      <c r="G304" s="29" t="s">
        <v>5190</v>
      </c>
      <c r="H304" s="55">
        <v>0.5</v>
      </c>
      <c r="I304" s="52" t="s">
        <v>25</v>
      </c>
      <c r="J304" s="30" t="s">
        <v>61</v>
      </c>
      <c r="K304" s="30" t="s">
        <v>3723</v>
      </c>
      <c r="L304" s="32" t="e">
        <f ca="1">_xludf.ifna(VLOOKUP(E304,Parámetros!$D$2:$E$34,2,0),"")</f>
        <v>#NAME?</v>
      </c>
      <c r="M304" s="32" t="e">
        <f ca="1">_xludf.ifna(VLOOKUP(G304,Proyectos!$A$2:$T$674,20,0),"")</f>
        <v>#NAME?</v>
      </c>
      <c r="N304" s="32" t="e">
        <f ca="1">_xludf.ifna(VLOOKUP(G304,Proyectos!$A$2:$S$674,19,0))</f>
        <v>#NAME?</v>
      </c>
      <c r="O304" s="32"/>
      <c r="P304" s="31"/>
      <c r="Q304" s="33"/>
      <c r="R304" s="33"/>
      <c r="S304" s="33"/>
      <c r="T304" s="33"/>
      <c r="U304" s="33"/>
      <c r="V304" s="33"/>
      <c r="W304" s="33"/>
    </row>
    <row r="305" spans="1:23" ht="16.5" customHeight="1" x14ac:dyDescent="0.2">
      <c r="A305" s="35" t="s">
        <v>3721</v>
      </c>
      <c r="B305" s="35" t="s">
        <v>3722</v>
      </c>
      <c r="C305" s="35" t="s">
        <v>7</v>
      </c>
      <c r="D305" s="35" t="s">
        <v>16</v>
      </c>
      <c r="E305" s="35" t="s">
        <v>39</v>
      </c>
      <c r="F305" s="28" t="e">
        <f ca="1">_xludf.ifna(VLOOKUP(G305,Proyectos!$A$2:$F$674,6,0),"")</f>
        <v>#NAME?</v>
      </c>
      <c r="G305" s="29" t="s">
        <v>5114</v>
      </c>
      <c r="H305" s="55">
        <v>0.5</v>
      </c>
      <c r="I305" s="52" t="s">
        <v>25</v>
      </c>
      <c r="J305" s="30" t="s">
        <v>61</v>
      </c>
      <c r="K305" s="30"/>
      <c r="L305" s="32" t="e">
        <f ca="1">_xludf.ifna(VLOOKUP(E305,Parámetros!$D$2:$E$34,2,0),"")</f>
        <v>#NAME?</v>
      </c>
      <c r="M305" s="32" t="e">
        <f ca="1">_xludf.ifna(VLOOKUP(G305,Proyectos!$A$2:$T$674,20,0),"")</f>
        <v>#NAME?</v>
      </c>
      <c r="N305" s="32" t="e">
        <f ca="1">_xludf.ifna(VLOOKUP(G305,Proyectos!$A$2:$S$674,19,0))</f>
        <v>#NAME?</v>
      </c>
      <c r="O305" s="32"/>
      <c r="P305" s="31"/>
      <c r="Q305" s="33"/>
      <c r="R305" s="33"/>
      <c r="S305" s="33"/>
      <c r="T305" s="33"/>
      <c r="U305" s="33"/>
      <c r="V305" s="33"/>
      <c r="W305" s="33"/>
    </row>
    <row r="306" spans="1:23" ht="16.5" customHeight="1" x14ac:dyDescent="0.2">
      <c r="A306" s="35" t="s">
        <v>4239</v>
      </c>
      <c r="B306" s="35" t="s">
        <v>5200</v>
      </c>
      <c r="C306" s="35" t="s">
        <v>7</v>
      </c>
      <c r="D306" s="35" t="s">
        <v>8</v>
      </c>
      <c r="E306" s="35" t="s">
        <v>87</v>
      </c>
      <c r="F306" s="28" t="e">
        <f ca="1">_xludf.ifna(VLOOKUP(G306,Proyectos!$A$2:$F$674,6,0),"")</f>
        <v>#NAME?</v>
      </c>
      <c r="G306" s="29" t="s">
        <v>5189</v>
      </c>
      <c r="H306" s="30">
        <v>1</v>
      </c>
      <c r="I306" s="52" t="s">
        <v>18</v>
      </c>
      <c r="J306" s="30" t="s">
        <v>41</v>
      </c>
      <c r="K306" s="55"/>
      <c r="L306" s="32" t="e">
        <f ca="1">_xludf.ifna(VLOOKUP(E306,Parámetros!$D$2:$E$34,2,0),"")</f>
        <v>#NAME?</v>
      </c>
      <c r="M306" s="32" t="e">
        <f ca="1">_xludf.ifna(VLOOKUP(G306,Proyectos!$A$2:$T$674,20,0),"")</f>
        <v>#NAME?</v>
      </c>
      <c r="N306" s="32" t="e">
        <f ca="1">_xludf.ifna(VLOOKUP(G306,Proyectos!$A$2:$S$674,19,0))</f>
        <v>#NAME?</v>
      </c>
      <c r="O306" s="32"/>
      <c r="P306" s="31"/>
      <c r="Q306" s="33"/>
      <c r="R306" s="33"/>
      <c r="S306" s="33"/>
      <c r="T306" s="33"/>
      <c r="U306" s="33"/>
      <c r="V306" s="33"/>
      <c r="W306" s="33"/>
    </row>
    <row r="307" spans="1:23" ht="16.5" customHeight="1" x14ac:dyDescent="0.2">
      <c r="A307" s="35" t="s">
        <v>4968</v>
      </c>
      <c r="B307" s="35" t="s">
        <v>5201</v>
      </c>
      <c r="C307" s="35" t="s">
        <v>7</v>
      </c>
      <c r="D307" s="35" t="s">
        <v>8</v>
      </c>
      <c r="E307" s="35" t="s">
        <v>87</v>
      </c>
      <c r="F307" s="28" t="e">
        <f ca="1">_xludf.ifna(VLOOKUP(G307,Proyectos!$A$2:$F$674,6,0),"")</f>
        <v>#NAME?</v>
      </c>
      <c r="G307" s="29" t="s">
        <v>5190</v>
      </c>
      <c r="H307" s="30">
        <v>1</v>
      </c>
      <c r="I307" s="52" t="s">
        <v>18</v>
      </c>
      <c r="J307" s="30" t="s">
        <v>61</v>
      </c>
      <c r="K307" s="55"/>
      <c r="L307" s="32" t="e">
        <f ca="1">_xludf.ifna(VLOOKUP(E307,Parámetros!$D$2:$E$34,2,0),"")</f>
        <v>#NAME?</v>
      </c>
      <c r="M307" s="32" t="e">
        <f ca="1">_xludf.ifna(VLOOKUP(G307,Proyectos!$A$2:$T$674,20,0),"")</f>
        <v>#NAME?</v>
      </c>
      <c r="N307" s="32" t="e">
        <f ca="1">_xludf.ifna(VLOOKUP(G307,Proyectos!$A$2:$S$674,19,0))</f>
        <v>#NAME?</v>
      </c>
      <c r="O307" s="32"/>
      <c r="P307" s="31"/>
      <c r="Q307" s="33"/>
      <c r="R307" s="33"/>
      <c r="S307" s="33"/>
      <c r="T307" s="33"/>
      <c r="U307" s="33"/>
      <c r="V307" s="33"/>
      <c r="W307" s="33"/>
    </row>
    <row r="308" spans="1:23" ht="16.5" customHeight="1" x14ac:dyDescent="0.2">
      <c r="A308" s="35" t="s">
        <v>4964</v>
      </c>
      <c r="B308" s="35" t="s">
        <v>5202</v>
      </c>
      <c r="C308" s="35" t="s">
        <v>7</v>
      </c>
      <c r="D308" s="35" t="s">
        <v>8</v>
      </c>
      <c r="E308" s="35" t="s">
        <v>87</v>
      </c>
      <c r="F308" s="28" t="e">
        <f ca="1">_xludf.ifna(VLOOKUP(G308,Proyectos!$A$2:$F$674,6,0),"")</f>
        <v>#NAME?</v>
      </c>
      <c r="G308" s="29" t="s">
        <v>5190</v>
      </c>
      <c r="H308" s="30">
        <v>1</v>
      </c>
      <c r="I308" s="52" t="s">
        <v>18</v>
      </c>
      <c r="J308" s="30" t="s">
        <v>61</v>
      </c>
      <c r="K308" s="55"/>
      <c r="L308" s="32" t="e">
        <f ca="1">_xludf.ifna(VLOOKUP(E308,Parámetros!$D$2:$E$34,2,0),"")</f>
        <v>#NAME?</v>
      </c>
      <c r="M308" s="32" t="e">
        <f ca="1">_xludf.ifna(VLOOKUP(G308,Proyectos!$A$2:$T$674,20,0),"")</f>
        <v>#NAME?</v>
      </c>
      <c r="N308" s="32" t="e">
        <f ca="1">_xludf.ifna(VLOOKUP(G308,Proyectos!$A$2:$S$674,19,0))</f>
        <v>#NAME?</v>
      </c>
      <c r="O308" s="32"/>
      <c r="P308" s="31"/>
      <c r="Q308" s="33"/>
      <c r="R308" s="33"/>
      <c r="S308" s="33"/>
      <c r="T308" s="33"/>
      <c r="U308" s="33"/>
      <c r="V308" s="33"/>
      <c r="W308" s="33"/>
    </row>
    <row r="309" spans="1:23" ht="16.5" customHeight="1" x14ac:dyDescent="0.2">
      <c r="A309" s="35" t="s">
        <v>4392</v>
      </c>
      <c r="B309" s="35" t="s">
        <v>5203</v>
      </c>
      <c r="C309" s="35" t="s">
        <v>7</v>
      </c>
      <c r="D309" s="35" t="s">
        <v>8</v>
      </c>
      <c r="E309" s="35" t="s">
        <v>87</v>
      </c>
      <c r="F309" s="28" t="e">
        <f ca="1">_xludf.ifna(VLOOKUP(G309,Proyectos!$A$2:$F$674,6,0),"")</f>
        <v>#NAME?</v>
      </c>
      <c r="G309" s="29" t="s">
        <v>5187</v>
      </c>
      <c r="H309" s="30">
        <v>1</v>
      </c>
      <c r="I309" s="52" t="s">
        <v>18</v>
      </c>
      <c r="J309" s="30" t="s">
        <v>61</v>
      </c>
      <c r="K309" s="55"/>
      <c r="L309" s="32" t="e">
        <f ca="1">_xludf.ifna(VLOOKUP(E309,Parámetros!$D$2:$E$34,2,0),"")</f>
        <v>#NAME?</v>
      </c>
      <c r="M309" s="32" t="e">
        <f ca="1">_xludf.ifna(VLOOKUP(G309,Proyectos!$A$2:$T$674,20,0),"")</f>
        <v>#NAME?</v>
      </c>
      <c r="N309" s="32" t="e">
        <f ca="1">_xludf.ifna(VLOOKUP(G309,Proyectos!$A$2:$S$674,19,0))</f>
        <v>#NAME?</v>
      </c>
      <c r="O309" s="32"/>
      <c r="P309" s="31"/>
      <c r="Q309" s="33"/>
      <c r="R309" s="33"/>
      <c r="S309" s="33"/>
      <c r="T309" s="33"/>
      <c r="U309" s="33"/>
      <c r="V309" s="33"/>
      <c r="W309" s="33"/>
    </row>
    <row r="310" spans="1:23" ht="16.5" customHeight="1" x14ac:dyDescent="0.2">
      <c r="A310" s="35" t="s">
        <v>4962</v>
      </c>
      <c r="B310" s="35" t="s">
        <v>5204</v>
      </c>
      <c r="C310" s="35" t="s">
        <v>7</v>
      </c>
      <c r="D310" s="35" t="s">
        <v>8</v>
      </c>
      <c r="E310" s="35" t="s">
        <v>87</v>
      </c>
      <c r="F310" s="28" t="e">
        <f ca="1">_xludf.ifna(VLOOKUP(G310,Proyectos!$A$2:$F$674,6,0),"")</f>
        <v>#NAME?</v>
      </c>
      <c r="G310" s="29" t="s">
        <v>5188</v>
      </c>
      <c r="H310" s="30">
        <v>1</v>
      </c>
      <c r="I310" s="52" t="s">
        <v>18</v>
      </c>
      <c r="J310" s="30" t="s">
        <v>41</v>
      </c>
      <c r="K310" s="55"/>
      <c r="L310" s="32" t="e">
        <f ca="1">_xludf.ifna(VLOOKUP(E310,Parámetros!$D$2:$E$34,2,0),"")</f>
        <v>#NAME?</v>
      </c>
      <c r="M310" s="32" t="e">
        <f ca="1">_xludf.ifna(VLOOKUP(G310,Proyectos!$A$2:$T$674,20,0),"")</f>
        <v>#NAME?</v>
      </c>
      <c r="N310" s="32" t="e">
        <f ca="1">_xludf.ifna(VLOOKUP(G310,Proyectos!$A$2:$S$674,19,0))</f>
        <v>#NAME?</v>
      </c>
      <c r="O310" s="32"/>
      <c r="P310" s="31"/>
      <c r="Q310" s="33"/>
      <c r="R310" s="33"/>
      <c r="S310" s="33"/>
      <c r="T310" s="33"/>
      <c r="U310" s="33"/>
      <c r="V310" s="33"/>
      <c r="W310" s="33"/>
    </row>
    <row r="311" spans="1:23" ht="16.5" customHeight="1" x14ac:dyDescent="0.2">
      <c r="A311" s="35" t="s">
        <v>4966</v>
      </c>
      <c r="B311" s="35" t="s">
        <v>5205</v>
      </c>
      <c r="C311" s="35" t="s">
        <v>7</v>
      </c>
      <c r="D311" s="35" t="s">
        <v>8</v>
      </c>
      <c r="E311" s="35" t="s">
        <v>87</v>
      </c>
      <c r="F311" s="28" t="e">
        <f ca="1">_xludf.ifna(VLOOKUP(G311,Proyectos!$A$2:$F$674,6,0),"")</f>
        <v>#NAME?</v>
      </c>
      <c r="G311" s="29" t="s">
        <v>5189</v>
      </c>
      <c r="H311" s="30">
        <v>1</v>
      </c>
      <c r="I311" s="52" t="s">
        <v>18</v>
      </c>
      <c r="J311" s="30" t="s">
        <v>61</v>
      </c>
      <c r="K311" s="55"/>
      <c r="L311" s="32" t="e">
        <f ca="1">_xludf.ifna(VLOOKUP(E311,Parámetros!$D$2:$E$34,2,0),"")</f>
        <v>#NAME?</v>
      </c>
      <c r="M311" s="32" t="e">
        <f ca="1">_xludf.ifna(VLOOKUP(G311,Proyectos!$A$2:$T$674,20,0),"")</f>
        <v>#NAME?</v>
      </c>
      <c r="N311" s="32" t="e">
        <f ca="1">_xludf.ifna(VLOOKUP(G311,Proyectos!$A$2:$S$674,19,0))</f>
        <v>#NAME?</v>
      </c>
      <c r="O311" s="32"/>
      <c r="P311" s="31"/>
      <c r="Q311" s="33"/>
      <c r="R311" s="33"/>
      <c r="S311" s="33"/>
      <c r="T311" s="33"/>
      <c r="U311" s="33"/>
      <c r="V311" s="33"/>
      <c r="W311" s="33"/>
    </row>
    <row r="312" spans="1:23" ht="16.5" customHeight="1" x14ac:dyDescent="0.25">
      <c r="A312" s="35" t="s">
        <v>4461</v>
      </c>
      <c r="B312" s="54" t="s">
        <v>5206</v>
      </c>
      <c r="C312" s="35" t="s">
        <v>7</v>
      </c>
      <c r="D312" s="35" t="s">
        <v>8</v>
      </c>
      <c r="E312" s="35" t="s">
        <v>87</v>
      </c>
      <c r="F312" s="28" t="e">
        <f ca="1">_xludf.ifna(VLOOKUP(G312,Proyectos!$A$2:$F$674,6,0),"")</f>
        <v>#NAME?</v>
      </c>
      <c r="G312" s="61" t="s">
        <v>5187</v>
      </c>
      <c r="H312" s="30">
        <v>1</v>
      </c>
      <c r="I312" s="52" t="s">
        <v>18</v>
      </c>
      <c r="J312" s="30" t="s">
        <v>61</v>
      </c>
      <c r="K312" s="55"/>
      <c r="L312" s="32" t="e">
        <f ca="1">_xludf.ifna(VLOOKUP(E312,Parámetros!$D$2:$E$34,2,0),"")</f>
        <v>#NAME?</v>
      </c>
      <c r="M312" s="32" t="e">
        <f ca="1">_xludf.ifna(VLOOKUP(G312,Proyectos!$A$2:$T$674,20,0),"")</f>
        <v>#NAME?</v>
      </c>
      <c r="N312" s="32" t="e">
        <f ca="1">_xludf.ifna(VLOOKUP(G312,Proyectos!$A$2:$S$674,19,0))</f>
        <v>#NAME?</v>
      </c>
      <c r="O312" s="32"/>
      <c r="P312" s="31"/>
      <c r="Q312" s="33"/>
      <c r="R312" s="33"/>
      <c r="S312" s="33"/>
      <c r="T312" s="33"/>
      <c r="U312" s="33"/>
      <c r="V312" s="33"/>
      <c r="W312" s="33"/>
    </row>
    <row r="313" spans="1:23" ht="16.5" customHeight="1" x14ac:dyDescent="0.2">
      <c r="A313" s="35" t="s">
        <v>4013</v>
      </c>
      <c r="B313" s="35" t="s">
        <v>5207</v>
      </c>
      <c r="C313" s="35" t="s">
        <v>7</v>
      </c>
      <c r="D313" s="35" t="s">
        <v>8</v>
      </c>
      <c r="E313" s="35" t="s">
        <v>87</v>
      </c>
      <c r="F313" s="28" t="e">
        <f ca="1">_xludf.ifna(VLOOKUP(G313,Proyectos!$A$2:$F$674,6,0),"")</f>
        <v>#NAME?</v>
      </c>
      <c r="G313" s="29" t="s">
        <v>5187</v>
      </c>
      <c r="H313" s="55">
        <v>0.25</v>
      </c>
      <c r="I313" s="52" t="s">
        <v>11</v>
      </c>
      <c r="J313" s="30" t="s">
        <v>41</v>
      </c>
      <c r="K313" s="55"/>
      <c r="L313" s="32" t="e">
        <f ca="1">_xludf.ifna(VLOOKUP(E313,Parámetros!$D$2:$E$34,2,0),"")</f>
        <v>#NAME?</v>
      </c>
      <c r="M313" s="32" t="e">
        <f ca="1">_xludf.ifna(VLOOKUP(G313,Proyectos!$A$2:$T$674,20,0),"")</f>
        <v>#NAME?</v>
      </c>
      <c r="N313" s="32" t="e">
        <f ca="1">_xludf.ifna(VLOOKUP(G313,Proyectos!$A$2:$S$674,19,0))</f>
        <v>#NAME?</v>
      </c>
      <c r="O313" s="32"/>
      <c r="P313" s="31"/>
      <c r="Q313" s="33"/>
      <c r="R313" s="33"/>
      <c r="S313" s="33"/>
      <c r="T313" s="33"/>
      <c r="U313" s="33"/>
      <c r="V313" s="33"/>
      <c r="W313" s="33"/>
    </row>
    <row r="314" spans="1:23" ht="16.5" customHeight="1" x14ac:dyDescent="0.2">
      <c r="A314" s="35" t="s">
        <v>4013</v>
      </c>
      <c r="B314" s="35" t="s">
        <v>5207</v>
      </c>
      <c r="C314" s="35" t="s">
        <v>7</v>
      </c>
      <c r="D314" s="35" t="s">
        <v>8</v>
      </c>
      <c r="E314" s="35" t="s">
        <v>87</v>
      </c>
      <c r="F314" s="28" t="e">
        <f ca="1">_xludf.ifna(VLOOKUP(G314,Proyectos!$A$2:$F$674,6,0),"")</f>
        <v>#NAME?</v>
      </c>
      <c r="G314" s="29" t="s">
        <v>5189</v>
      </c>
      <c r="H314" s="55">
        <v>0.25</v>
      </c>
      <c r="I314" s="52" t="s">
        <v>11</v>
      </c>
      <c r="J314" s="30" t="s">
        <v>61</v>
      </c>
      <c r="K314" s="55"/>
      <c r="L314" s="32" t="e">
        <f ca="1">_xludf.ifna(VLOOKUP(E314,Parámetros!$D$2:$E$34,2,0),"")</f>
        <v>#NAME?</v>
      </c>
      <c r="M314" s="32" t="e">
        <f ca="1">_xludf.ifna(VLOOKUP(G314,Proyectos!$A$2:$T$674,20,0),"")</f>
        <v>#NAME?</v>
      </c>
      <c r="N314" s="32" t="e">
        <f ca="1">_xludf.ifna(VLOOKUP(G314,Proyectos!$A$2:$S$674,19,0))</f>
        <v>#NAME?</v>
      </c>
      <c r="O314" s="32"/>
      <c r="P314" s="31"/>
      <c r="Q314" s="33"/>
      <c r="R314" s="33"/>
      <c r="S314" s="33"/>
      <c r="T314" s="33"/>
      <c r="U314" s="33"/>
      <c r="V314" s="33"/>
      <c r="W314" s="33"/>
    </row>
    <row r="315" spans="1:23" ht="16.5" customHeight="1" x14ac:dyDescent="0.2">
      <c r="A315" s="35" t="s">
        <v>4013</v>
      </c>
      <c r="B315" s="35" t="s">
        <v>5207</v>
      </c>
      <c r="C315" s="35" t="s">
        <v>7</v>
      </c>
      <c r="D315" s="35" t="s">
        <v>8</v>
      </c>
      <c r="E315" s="35" t="s">
        <v>87</v>
      </c>
      <c r="F315" s="28" t="e">
        <f ca="1">_xludf.ifna(VLOOKUP(G315,Proyectos!$A$2:$F$674,6,0),"")</f>
        <v>#NAME?</v>
      </c>
      <c r="G315" s="29" t="s">
        <v>5190</v>
      </c>
      <c r="H315" s="55">
        <v>0.25</v>
      </c>
      <c r="I315" s="52" t="s">
        <v>11</v>
      </c>
      <c r="J315" s="30" t="s">
        <v>41</v>
      </c>
      <c r="K315" s="55"/>
      <c r="L315" s="32" t="e">
        <f ca="1">_xludf.ifna(VLOOKUP(E315,Parámetros!$D$2:$E$34,2,0),"")</f>
        <v>#NAME?</v>
      </c>
      <c r="M315" s="32" t="e">
        <f ca="1">_xludf.ifna(VLOOKUP(G315,Proyectos!$A$2:$T$674,20,0),"")</f>
        <v>#NAME?</v>
      </c>
      <c r="N315" s="32" t="e">
        <f ca="1">_xludf.ifna(VLOOKUP(G315,Proyectos!$A$2:$S$674,19,0))</f>
        <v>#NAME?</v>
      </c>
      <c r="O315" s="32"/>
      <c r="P315" s="31"/>
      <c r="Q315" s="33"/>
      <c r="R315" s="33"/>
      <c r="S315" s="33"/>
      <c r="T315" s="33"/>
      <c r="U315" s="33"/>
      <c r="V315" s="33"/>
      <c r="W315" s="33"/>
    </row>
    <row r="316" spans="1:23" ht="16.5" customHeight="1" x14ac:dyDescent="0.2">
      <c r="A316" s="35" t="s">
        <v>4013</v>
      </c>
      <c r="B316" s="35" t="s">
        <v>5207</v>
      </c>
      <c r="C316" s="35" t="s">
        <v>7</v>
      </c>
      <c r="D316" s="35" t="s">
        <v>8</v>
      </c>
      <c r="E316" s="35" t="s">
        <v>87</v>
      </c>
      <c r="F316" s="28" t="e">
        <f ca="1">_xludf.ifna(VLOOKUP(G316,Proyectos!$A$2:$F$674,6,0),"")</f>
        <v>#NAME?</v>
      </c>
      <c r="G316" s="29" t="s">
        <v>5188</v>
      </c>
      <c r="H316" s="55">
        <v>0.25</v>
      </c>
      <c r="I316" s="52" t="s">
        <v>11</v>
      </c>
      <c r="J316" s="30" t="s">
        <v>61</v>
      </c>
      <c r="K316" s="55"/>
      <c r="L316" s="32" t="e">
        <f ca="1">_xludf.ifna(VLOOKUP(E316,Parámetros!$D$2:$E$34,2,0),"")</f>
        <v>#NAME?</v>
      </c>
      <c r="M316" s="32" t="e">
        <f ca="1">_xludf.ifna(VLOOKUP(G316,Proyectos!$A$2:$T$674,20,0),"")</f>
        <v>#NAME?</v>
      </c>
      <c r="N316" s="32" t="e">
        <f ca="1">_xludf.ifna(VLOOKUP(G316,Proyectos!$A$2:$S$674,19,0))</f>
        <v>#NAME?</v>
      </c>
      <c r="O316" s="32"/>
      <c r="P316" s="31"/>
      <c r="Q316" s="33"/>
      <c r="R316" s="33"/>
      <c r="S316" s="33"/>
      <c r="T316" s="33"/>
      <c r="U316" s="33"/>
      <c r="V316" s="33"/>
      <c r="W316" s="33"/>
    </row>
    <row r="317" spans="1:23" ht="16.5" customHeight="1" x14ac:dyDescent="0.2">
      <c r="A317" s="35" t="s">
        <v>3914</v>
      </c>
      <c r="B317" s="35" t="s">
        <v>5208</v>
      </c>
      <c r="C317" s="35" t="s">
        <v>7</v>
      </c>
      <c r="D317" s="35" t="s">
        <v>8</v>
      </c>
      <c r="E317" s="35" t="s">
        <v>87</v>
      </c>
      <c r="F317" s="28" t="e">
        <f ca="1">_xludf.ifna(VLOOKUP(G317,Proyectos!$A$2:$F$674,6,0),"")</f>
        <v>#NAME?</v>
      </c>
      <c r="G317" s="29" t="s">
        <v>5190</v>
      </c>
      <c r="H317" s="30">
        <v>1</v>
      </c>
      <c r="I317" s="52" t="s">
        <v>18</v>
      </c>
      <c r="J317" s="30" t="s">
        <v>61</v>
      </c>
      <c r="K317" s="55"/>
      <c r="L317" s="32" t="e">
        <f ca="1">_xludf.ifna(VLOOKUP(E317,Parámetros!$D$2:$E$34,2,0),"")</f>
        <v>#NAME?</v>
      </c>
      <c r="M317" s="32" t="e">
        <f ca="1">_xludf.ifna(VLOOKUP(G317,Proyectos!$A$2:$T$674,20,0),"")</f>
        <v>#NAME?</v>
      </c>
      <c r="N317" s="32" t="e">
        <f ca="1">_xludf.ifna(VLOOKUP(G317,Proyectos!$A$2:$S$674,19,0))</f>
        <v>#NAME?</v>
      </c>
      <c r="O317" s="32"/>
      <c r="P317" s="31"/>
      <c r="Q317" s="33"/>
      <c r="R317" s="33"/>
      <c r="S317" s="33"/>
      <c r="T317" s="33"/>
      <c r="U317" s="33"/>
      <c r="V317" s="33"/>
      <c r="W317" s="33"/>
    </row>
    <row r="318" spans="1:23" ht="16.5" customHeight="1" x14ac:dyDescent="0.2">
      <c r="A318" s="35" t="s">
        <v>4106</v>
      </c>
      <c r="B318" s="35" t="s">
        <v>5209</v>
      </c>
      <c r="C318" s="35" t="s">
        <v>7</v>
      </c>
      <c r="D318" s="35" t="s">
        <v>8</v>
      </c>
      <c r="E318" s="35" t="s">
        <v>87</v>
      </c>
      <c r="F318" s="28" t="e">
        <f ca="1">_xludf.ifna(VLOOKUP(G318,Proyectos!$A$2:$F$674,6,0),"")</f>
        <v>#NAME?</v>
      </c>
      <c r="G318" s="29" t="s">
        <v>5190</v>
      </c>
      <c r="H318" s="30">
        <v>1</v>
      </c>
      <c r="I318" s="52" t="s">
        <v>18</v>
      </c>
      <c r="J318" s="30" t="s">
        <v>61</v>
      </c>
      <c r="K318" s="55"/>
      <c r="L318" s="32" t="e">
        <f ca="1">_xludf.ifna(VLOOKUP(E318,Parámetros!$D$2:$E$34,2,0),"")</f>
        <v>#NAME?</v>
      </c>
      <c r="M318" s="32" t="e">
        <f ca="1">_xludf.ifna(VLOOKUP(G318,Proyectos!$A$2:$T$674,20,0),"")</f>
        <v>#NAME?</v>
      </c>
      <c r="N318" s="32" t="e">
        <f ca="1">_xludf.ifna(VLOOKUP(G318,Proyectos!$A$2:$S$674,19,0))</f>
        <v>#NAME?</v>
      </c>
      <c r="O318" s="32"/>
      <c r="P318" s="31"/>
      <c r="Q318" s="33"/>
      <c r="R318" s="33"/>
      <c r="S318" s="33"/>
      <c r="T318" s="33"/>
      <c r="U318" s="33"/>
      <c r="V318" s="33"/>
      <c r="W318" s="33"/>
    </row>
    <row r="319" spans="1:23" ht="16.5" customHeight="1" x14ac:dyDescent="0.2">
      <c r="A319" s="35" t="s">
        <v>4938</v>
      </c>
      <c r="B319" s="35" t="s">
        <v>5210</v>
      </c>
      <c r="C319" s="35" t="s">
        <v>7</v>
      </c>
      <c r="D319" s="35" t="s">
        <v>8</v>
      </c>
      <c r="E319" s="35" t="s">
        <v>87</v>
      </c>
      <c r="F319" s="28" t="e">
        <f ca="1">_xludf.ifna(VLOOKUP(G319,Proyectos!$A$2:$F$674,6,0),"")</f>
        <v>#NAME?</v>
      </c>
      <c r="G319" s="29" t="s">
        <v>5188</v>
      </c>
      <c r="H319" s="30">
        <v>1</v>
      </c>
      <c r="I319" s="52" t="s">
        <v>18</v>
      </c>
      <c r="J319" s="30" t="s">
        <v>61</v>
      </c>
      <c r="K319" s="55"/>
      <c r="L319" s="32" t="e">
        <f ca="1">_xludf.ifna(VLOOKUP(E319,Parámetros!$D$2:$E$34,2,0),"")</f>
        <v>#NAME?</v>
      </c>
      <c r="M319" s="32" t="e">
        <f ca="1">_xludf.ifna(VLOOKUP(G319,Proyectos!$A$2:$T$674,20,0),"")</f>
        <v>#NAME?</v>
      </c>
      <c r="N319" s="32" t="e">
        <f ca="1">_xludf.ifna(VLOOKUP(G319,Proyectos!$A$2:$S$674,19,0))</f>
        <v>#NAME?</v>
      </c>
      <c r="O319" s="32"/>
      <c r="P319" s="31"/>
      <c r="Q319" s="33"/>
      <c r="R319" s="33"/>
      <c r="S319" s="33"/>
      <c r="T319" s="33"/>
      <c r="U319" s="33"/>
      <c r="V319" s="33"/>
      <c r="W319" s="33"/>
    </row>
    <row r="320" spans="1:23" ht="16.5" customHeight="1" x14ac:dyDescent="0.2">
      <c r="A320" s="35" t="s">
        <v>4257</v>
      </c>
      <c r="B320" s="35" t="s">
        <v>4258</v>
      </c>
      <c r="C320" s="35" t="s">
        <v>7</v>
      </c>
      <c r="D320" s="35" t="s">
        <v>8</v>
      </c>
      <c r="E320" s="35" t="s">
        <v>108</v>
      </c>
      <c r="F320" s="28" t="e">
        <f ca="1">_xludf.ifna(VLOOKUP(G320,Proyectos!$A$2:$F$674,6,0),"")</f>
        <v>#NAME?</v>
      </c>
      <c r="G320" s="29" t="s">
        <v>5188</v>
      </c>
      <c r="H320" s="30">
        <v>1</v>
      </c>
      <c r="I320" s="52" t="s">
        <v>25</v>
      </c>
      <c r="J320" s="30" t="s">
        <v>61</v>
      </c>
      <c r="K320" s="55"/>
      <c r="L320" s="32" t="e">
        <f ca="1">_xludf.ifna(VLOOKUP(E320,Parámetros!$D$2:$E$34,2,0),"")</f>
        <v>#NAME?</v>
      </c>
      <c r="M320" s="32" t="e">
        <f ca="1">_xludf.ifna(VLOOKUP(G320,Proyectos!$A$2:$T$674,20,0),"")</f>
        <v>#NAME?</v>
      </c>
      <c r="N320" s="32" t="e">
        <f ca="1">_xludf.ifna(VLOOKUP(G320,Proyectos!$A$2:$S$674,19,0))</f>
        <v>#NAME?</v>
      </c>
      <c r="O320" s="32"/>
      <c r="P320" s="31"/>
      <c r="Q320" s="33"/>
      <c r="R320" s="33"/>
      <c r="S320" s="33"/>
      <c r="T320" s="33"/>
      <c r="U320" s="33"/>
      <c r="V320" s="33"/>
      <c r="W320" s="33"/>
    </row>
    <row r="321" spans="1:23" ht="16.5" customHeight="1" x14ac:dyDescent="0.2">
      <c r="A321" s="35" t="s">
        <v>4294</v>
      </c>
      <c r="B321" s="35" t="s">
        <v>4295</v>
      </c>
      <c r="C321" s="35" t="s">
        <v>7</v>
      </c>
      <c r="D321" s="35" t="s">
        <v>8</v>
      </c>
      <c r="E321" s="35" t="s">
        <v>108</v>
      </c>
      <c r="F321" s="28" t="e">
        <f ca="1">_xludf.ifna(VLOOKUP(G321,Proyectos!$A$2:$F$674,6,0),"")</f>
        <v>#NAME?</v>
      </c>
      <c r="G321" s="29" t="s">
        <v>5187</v>
      </c>
      <c r="H321" s="30">
        <v>1</v>
      </c>
      <c r="I321" s="52" t="s">
        <v>25</v>
      </c>
      <c r="J321" s="30" t="s">
        <v>61</v>
      </c>
      <c r="K321" s="55"/>
      <c r="L321" s="32" t="e">
        <f ca="1">_xludf.ifna(VLOOKUP(E321,Parámetros!$D$2:$E$34,2,0),"")</f>
        <v>#NAME?</v>
      </c>
      <c r="M321" s="32" t="e">
        <f ca="1">_xludf.ifna(VLOOKUP(G321,Proyectos!$A$2:$T$674,20,0),"")</f>
        <v>#NAME?</v>
      </c>
      <c r="N321" s="32" t="e">
        <f ca="1">_xludf.ifna(VLOOKUP(G321,Proyectos!$A$2:$S$674,19,0))</f>
        <v>#NAME?</v>
      </c>
      <c r="O321" s="32"/>
      <c r="P321" s="31"/>
      <c r="Q321" s="33"/>
      <c r="R321" s="33"/>
      <c r="S321" s="33"/>
      <c r="T321" s="33"/>
      <c r="U321" s="33"/>
      <c r="V321" s="33"/>
      <c r="W321" s="33"/>
    </row>
    <row r="322" spans="1:23" ht="16.5" customHeight="1" x14ac:dyDescent="0.2">
      <c r="A322" s="35" t="s">
        <v>4189</v>
      </c>
      <c r="B322" s="35" t="s">
        <v>4190</v>
      </c>
      <c r="C322" s="35" t="s">
        <v>7</v>
      </c>
      <c r="D322" s="35" t="s">
        <v>8</v>
      </c>
      <c r="E322" s="35" t="s">
        <v>108</v>
      </c>
      <c r="F322" s="28" t="e">
        <f ca="1">_xludf.ifna(VLOOKUP(G322,Proyectos!$A$2:$F$674,6,0),"")</f>
        <v>#NAME?</v>
      </c>
      <c r="G322" s="29" t="s">
        <v>5189</v>
      </c>
      <c r="H322" s="30">
        <v>1</v>
      </c>
      <c r="I322" s="52" t="s">
        <v>25</v>
      </c>
      <c r="J322" s="30" t="s">
        <v>61</v>
      </c>
      <c r="K322" s="55"/>
      <c r="L322" s="32" t="e">
        <f ca="1">_xludf.ifna(VLOOKUP(E322,Parámetros!$D$2:$E$34,2,0),"")</f>
        <v>#NAME?</v>
      </c>
      <c r="M322" s="32" t="e">
        <f ca="1">_xludf.ifna(VLOOKUP(G322,Proyectos!$A$2:$T$674,20,0),"")</f>
        <v>#NAME?</v>
      </c>
      <c r="N322" s="32" t="e">
        <f ca="1">_xludf.ifna(VLOOKUP(G322,Proyectos!$A$2:$S$674,19,0))</f>
        <v>#NAME?</v>
      </c>
      <c r="O322" s="32"/>
      <c r="P322" s="31"/>
      <c r="Q322" s="33"/>
      <c r="R322" s="33"/>
      <c r="S322" s="33"/>
      <c r="T322" s="33"/>
      <c r="U322" s="33"/>
      <c r="V322" s="33"/>
      <c r="W322" s="33"/>
    </row>
    <row r="323" spans="1:23" ht="16.5" customHeight="1" x14ac:dyDescent="0.2">
      <c r="A323" s="35" t="s">
        <v>4116</v>
      </c>
      <c r="B323" s="35" t="s">
        <v>4117</v>
      </c>
      <c r="C323" s="35" t="s">
        <v>7</v>
      </c>
      <c r="D323" s="35" t="s">
        <v>8</v>
      </c>
      <c r="E323" s="35" t="s">
        <v>108</v>
      </c>
      <c r="F323" s="28" t="e">
        <f ca="1">_xludf.ifna(VLOOKUP(G323,Proyectos!$A$2:$F$674,6,0),"")</f>
        <v>#NAME?</v>
      </c>
      <c r="G323" s="29" t="s">
        <v>5190</v>
      </c>
      <c r="H323" s="30">
        <v>1</v>
      </c>
      <c r="I323" s="52" t="s">
        <v>25</v>
      </c>
      <c r="J323" s="30" t="s">
        <v>61</v>
      </c>
      <c r="K323" s="55"/>
      <c r="L323" s="32" t="e">
        <f ca="1">_xludf.ifna(VLOOKUP(E323,Parámetros!$D$2:$E$34,2,0),"")</f>
        <v>#NAME?</v>
      </c>
      <c r="M323" s="32" t="e">
        <f ca="1">_xludf.ifna(VLOOKUP(G323,Proyectos!$A$2:$T$674,20,0),"")</f>
        <v>#NAME?</v>
      </c>
      <c r="N323" s="32" t="e">
        <f ca="1">_xludf.ifna(VLOOKUP(G323,Proyectos!$A$2:$S$674,19,0))</f>
        <v>#NAME?</v>
      </c>
      <c r="O323" s="32"/>
      <c r="P323" s="31"/>
      <c r="Q323" s="33"/>
      <c r="R323" s="33"/>
      <c r="S323" s="33"/>
      <c r="T323" s="33"/>
      <c r="U323" s="33"/>
      <c r="V323" s="33"/>
      <c r="W323" s="33"/>
    </row>
    <row r="324" spans="1:23" ht="16.5" customHeight="1" x14ac:dyDescent="0.2">
      <c r="A324" s="35" t="s">
        <v>4282</v>
      </c>
      <c r="B324" s="35" t="s">
        <v>4283</v>
      </c>
      <c r="C324" s="35" t="s">
        <v>7</v>
      </c>
      <c r="D324" s="35" t="s">
        <v>8</v>
      </c>
      <c r="E324" s="35" t="s">
        <v>83</v>
      </c>
      <c r="F324" s="28" t="e">
        <f ca="1">_xludf.ifna(VLOOKUP(G324,Proyectos!$A$2:$F$674,6,0),"")</f>
        <v>#NAME?</v>
      </c>
      <c r="G324" s="29" t="s">
        <v>5190</v>
      </c>
      <c r="H324" s="55">
        <v>1</v>
      </c>
      <c r="I324" s="52" t="s">
        <v>25</v>
      </c>
      <c r="J324" s="30" t="s">
        <v>61</v>
      </c>
      <c r="K324" s="55"/>
      <c r="L324" s="32" t="e">
        <f ca="1">_xludf.ifna(VLOOKUP(E324,Parámetros!$D$2:$E$34,2,0),"")</f>
        <v>#NAME?</v>
      </c>
      <c r="M324" s="32" t="e">
        <f ca="1">_xludf.ifna(VLOOKUP(G324,Proyectos!$A$2:$T$674,20,0),"")</f>
        <v>#NAME?</v>
      </c>
      <c r="N324" s="32" t="e">
        <f ca="1">_xludf.ifna(VLOOKUP(G324,Proyectos!$A$2:$S$674,19,0))</f>
        <v>#NAME?</v>
      </c>
      <c r="O324" s="32"/>
      <c r="P324" s="31"/>
      <c r="Q324" s="33"/>
      <c r="R324" s="33"/>
      <c r="S324" s="33"/>
      <c r="T324" s="33"/>
      <c r="U324" s="33"/>
      <c r="V324" s="33"/>
      <c r="W324" s="33"/>
    </row>
    <row r="325" spans="1:23" ht="16.5" customHeight="1" x14ac:dyDescent="0.2">
      <c r="A325" s="35" t="s">
        <v>4984</v>
      </c>
      <c r="B325" s="35" t="s">
        <v>4985</v>
      </c>
      <c r="C325" s="35" t="s">
        <v>7</v>
      </c>
      <c r="D325" s="35" t="s">
        <v>8</v>
      </c>
      <c r="E325" s="35" t="s">
        <v>87</v>
      </c>
      <c r="F325" s="28" t="e">
        <f ca="1">_xludf.ifna(VLOOKUP(G325,Proyectos!$A$2:$F$674,6,0),"")</f>
        <v>#NAME?</v>
      </c>
      <c r="G325" s="29" t="s">
        <v>5186</v>
      </c>
      <c r="H325" s="55">
        <v>0.1</v>
      </c>
      <c r="I325" s="52" t="s">
        <v>25</v>
      </c>
      <c r="J325" s="30" t="s">
        <v>61</v>
      </c>
      <c r="K325" s="55"/>
      <c r="L325" s="32" t="e">
        <f ca="1">_xludf.ifna(VLOOKUP(E325,Parámetros!$D$2:$E$34,2,0),"")</f>
        <v>#NAME?</v>
      </c>
      <c r="M325" s="32" t="e">
        <f ca="1">_xludf.ifna(VLOOKUP(G325,Proyectos!$A$2:$T$674,20,0),"")</f>
        <v>#NAME?</v>
      </c>
      <c r="N325" s="32" t="e">
        <f ca="1">_xludf.ifna(VLOOKUP(G325,Proyectos!$A$2:$S$674,19,0))</f>
        <v>#NAME?</v>
      </c>
      <c r="O325" s="32"/>
      <c r="P325" s="31"/>
      <c r="Q325" s="33"/>
      <c r="R325" s="33"/>
      <c r="S325" s="33"/>
      <c r="T325" s="33"/>
      <c r="U325" s="33"/>
      <c r="V325" s="33"/>
      <c r="W325" s="33"/>
    </row>
    <row r="326" spans="1:23" ht="16.5" customHeight="1" x14ac:dyDescent="0.2">
      <c r="A326" s="35" t="s">
        <v>4984</v>
      </c>
      <c r="B326" s="35" t="s">
        <v>4985</v>
      </c>
      <c r="C326" s="35" t="s">
        <v>7</v>
      </c>
      <c r="D326" s="35" t="s">
        <v>8</v>
      </c>
      <c r="E326" s="35" t="s">
        <v>87</v>
      </c>
      <c r="F326" s="28" t="e">
        <f ca="1">_xludf.ifna(VLOOKUP(G326,Proyectos!$A$2:$F$674,6,0),"")</f>
        <v>#NAME?</v>
      </c>
      <c r="G326" s="29" t="s">
        <v>5150</v>
      </c>
      <c r="H326" s="55">
        <v>0.1</v>
      </c>
      <c r="I326" s="52" t="s">
        <v>25</v>
      </c>
      <c r="J326" s="30" t="s">
        <v>61</v>
      </c>
      <c r="K326" s="55"/>
      <c r="L326" s="32" t="e">
        <f ca="1">_xludf.ifna(VLOOKUP(E326,Parámetros!$D$2:$E$34,2,0),"")</f>
        <v>#NAME?</v>
      </c>
      <c r="M326" s="32" t="e">
        <f ca="1">_xludf.ifna(VLOOKUP(G326,Proyectos!$A$2:$T$674,20,0),"")</f>
        <v>#NAME?</v>
      </c>
      <c r="N326" s="32" t="e">
        <f ca="1">_xludf.ifna(VLOOKUP(G326,Proyectos!$A$2:$S$674,19,0))</f>
        <v>#NAME?</v>
      </c>
      <c r="O326" s="32"/>
      <c r="P326" s="31"/>
      <c r="Q326" s="33"/>
      <c r="R326" s="33"/>
      <c r="S326" s="33"/>
      <c r="T326" s="33"/>
      <c r="U326" s="33"/>
      <c r="V326" s="33"/>
      <c r="W326" s="33"/>
    </row>
    <row r="327" spans="1:23" ht="16.5" customHeight="1" x14ac:dyDescent="0.2">
      <c r="A327" s="35" t="s">
        <v>4984</v>
      </c>
      <c r="B327" s="35" t="s">
        <v>4985</v>
      </c>
      <c r="C327" s="35" t="s">
        <v>7</v>
      </c>
      <c r="D327" s="35" t="s">
        <v>8</v>
      </c>
      <c r="E327" s="35" t="s">
        <v>87</v>
      </c>
      <c r="F327" s="28" t="e">
        <f ca="1">_xludf.ifna(VLOOKUP(G327,Proyectos!$A$2:$F$674,6,0),"")</f>
        <v>#NAME?</v>
      </c>
      <c r="G327" s="29" t="s">
        <v>5198</v>
      </c>
      <c r="H327" s="55">
        <v>0.1</v>
      </c>
      <c r="I327" s="52" t="s">
        <v>25</v>
      </c>
      <c r="J327" s="30" t="s">
        <v>61</v>
      </c>
      <c r="K327" s="55"/>
      <c r="L327" s="32" t="e">
        <f ca="1">_xludf.ifna(VLOOKUP(E327,Parámetros!$D$2:$E$34,2,0),"")</f>
        <v>#NAME?</v>
      </c>
      <c r="M327" s="32" t="e">
        <f ca="1">_xludf.ifna(VLOOKUP(G327,Proyectos!$A$2:$T$674,20,0),"")</f>
        <v>#NAME?</v>
      </c>
      <c r="N327" s="32" t="e">
        <f ca="1">_xludf.ifna(VLOOKUP(G327,Proyectos!$A$2:$S$674,19,0))</f>
        <v>#NAME?</v>
      </c>
      <c r="O327" s="32"/>
      <c r="P327" s="31"/>
      <c r="Q327" s="33"/>
      <c r="R327" s="33"/>
      <c r="S327" s="33"/>
      <c r="T327" s="33"/>
      <c r="U327" s="33"/>
      <c r="V327" s="33"/>
      <c r="W327" s="33"/>
    </row>
    <row r="328" spans="1:23" ht="16.5" customHeight="1" x14ac:dyDescent="0.2">
      <c r="A328" s="35" t="s">
        <v>4984</v>
      </c>
      <c r="B328" s="35" t="s">
        <v>4985</v>
      </c>
      <c r="C328" s="35" t="s">
        <v>7</v>
      </c>
      <c r="D328" s="35" t="s">
        <v>8</v>
      </c>
      <c r="E328" s="35" t="s">
        <v>87</v>
      </c>
      <c r="F328" s="28" t="e">
        <f ca="1">_xludf.ifna(VLOOKUP(G328,Proyectos!$A$2:$F$674,6,0),"")</f>
        <v>#NAME?</v>
      </c>
      <c r="G328" s="29" t="s">
        <v>5194</v>
      </c>
      <c r="H328" s="55">
        <v>0.1</v>
      </c>
      <c r="I328" s="52" t="s">
        <v>25</v>
      </c>
      <c r="J328" s="30" t="s">
        <v>61</v>
      </c>
      <c r="K328" s="55"/>
      <c r="L328" s="32" t="e">
        <f ca="1">_xludf.ifna(VLOOKUP(E328,Parámetros!$D$2:$E$34,2,0),"")</f>
        <v>#NAME?</v>
      </c>
      <c r="M328" s="32" t="e">
        <f ca="1">_xludf.ifna(VLOOKUP(G328,Proyectos!$A$2:$T$674,20,0),"")</f>
        <v>#NAME?</v>
      </c>
      <c r="N328" s="32" t="e">
        <f ca="1">_xludf.ifna(VLOOKUP(G328,Proyectos!$A$2:$S$674,19,0))</f>
        <v>#NAME?</v>
      </c>
      <c r="O328" s="32"/>
      <c r="P328" s="31"/>
      <c r="Q328" s="33"/>
      <c r="R328" s="33"/>
      <c r="S328" s="33"/>
      <c r="T328" s="33"/>
      <c r="U328" s="33"/>
      <c r="V328" s="33"/>
      <c r="W328" s="33"/>
    </row>
    <row r="329" spans="1:23" ht="16.5" customHeight="1" x14ac:dyDescent="0.2">
      <c r="A329" s="35" t="s">
        <v>4984</v>
      </c>
      <c r="B329" s="35" t="s">
        <v>4985</v>
      </c>
      <c r="C329" s="35" t="s">
        <v>7</v>
      </c>
      <c r="D329" s="35" t="s">
        <v>8</v>
      </c>
      <c r="E329" s="35" t="s">
        <v>87</v>
      </c>
      <c r="F329" s="28" t="e">
        <f ca="1">_xludf.ifna(VLOOKUP(G329,Proyectos!$A$2:$F$674,6,0),"")</f>
        <v>#NAME?</v>
      </c>
      <c r="G329" s="29" t="s">
        <v>5112</v>
      </c>
      <c r="H329" s="55">
        <v>0.1</v>
      </c>
      <c r="I329" s="52" t="s">
        <v>25</v>
      </c>
      <c r="J329" s="30" t="s">
        <v>61</v>
      </c>
      <c r="K329" s="55"/>
      <c r="L329" s="32" t="e">
        <f ca="1">_xludf.ifna(VLOOKUP(E329,Parámetros!$D$2:$E$34,2,0),"")</f>
        <v>#NAME?</v>
      </c>
      <c r="M329" s="32" t="e">
        <f ca="1">_xludf.ifna(VLOOKUP(G329,Proyectos!$A$2:$T$674,20,0),"")</f>
        <v>#NAME?</v>
      </c>
      <c r="N329" s="32" t="e">
        <f ca="1">_xludf.ifna(VLOOKUP(G329,Proyectos!$A$2:$S$674,19,0))</f>
        <v>#NAME?</v>
      </c>
      <c r="O329" s="32"/>
      <c r="P329" s="31"/>
      <c r="Q329" s="33"/>
      <c r="R329" s="33"/>
      <c r="S329" s="33"/>
      <c r="T329" s="33"/>
      <c r="U329" s="33"/>
      <c r="V329" s="33"/>
      <c r="W329" s="33"/>
    </row>
    <row r="330" spans="1:23" ht="16.5" customHeight="1" x14ac:dyDescent="0.2">
      <c r="A330" s="35" t="s">
        <v>4362</v>
      </c>
      <c r="B330" s="35" t="s">
        <v>4363</v>
      </c>
      <c r="C330" s="35" t="s">
        <v>7</v>
      </c>
      <c r="D330" s="35" t="s">
        <v>8</v>
      </c>
      <c r="E330" s="35" t="s">
        <v>114</v>
      </c>
      <c r="F330" s="28" t="e">
        <f ca="1">_xludf.ifna(VLOOKUP(G330,Proyectos!$A$2:$F$674,6,0),"")</f>
        <v>#NAME?</v>
      </c>
      <c r="G330" s="29" t="s">
        <v>5186</v>
      </c>
      <c r="H330" s="30">
        <v>0.1</v>
      </c>
      <c r="I330" s="52" t="s">
        <v>25</v>
      </c>
      <c r="J330" s="30" t="s">
        <v>61</v>
      </c>
      <c r="K330" s="55"/>
      <c r="L330" s="32" t="e">
        <f ca="1">_xludf.ifna(VLOOKUP(E330,Parámetros!$D$2:$E$34,2,0),"")</f>
        <v>#NAME?</v>
      </c>
      <c r="M330" s="32" t="e">
        <f ca="1">_xludf.ifna(VLOOKUP(G330,Proyectos!$A$2:$T$674,20,0),"")</f>
        <v>#NAME?</v>
      </c>
      <c r="N330" s="32" t="e">
        <f ca="1">_xludf.ifna(VLOOKUP(G330,Proyectos!$A$2:$S$674,19,0))</f>
        <v>#NAME?</v>
      </c>
      <c r="O330" s="32"/>
      <c r="P330" s="31"/>
      <c r="Q330" s="33"/>
      <c r="R330" s="33"/>
      <c r="S330" s="33"/>
      <c r="T330" s="33"/>
      <c r="U330" s="33"/>
      <c r="V330" s="33"/>
      <c r="W330" s="33"/>
    </row>
    <row r="331" spans="1:23" ht="16.5" customHeight="1" x14ac:dyDescent="0.2">
      <c r="A331" s="35" t="s">
        <v>4362</v>
      </c>
      <c r="B331" s="35" t="s">
        <v>4363</v>
      </c>
      <c r="C331" s="35" t="s">
        <v>7</v>
      </c>
      <c r="D331" s="35" t="s">
        <v>8</v>
      </c>
      <c r="E331" s="35" t="s">
        <v>114</v>
      </c>
      <c r="F331" s="28" t="e">
        <f ca="1">_xludf.ifna(VLOOKUP(G331,Proyectos!$A$2:$F$674,6,0),"")</f>
        <v>#NAME?</v>
      </c>
      <c r="G331" s="29" t="s">
        <v>5150</v>
      </c>
      <c r="H331" s="30">
        <v>0.1</v>
      </c>
      <c r="I331" s="52" t="s">
        <v>25</v>
      </c>
      <c r="J331" s="30" t="s">
        <v>61</v>
      </c>
      <c r="K331" s="55"/>
      <c r="L331" s="32" t="e">
        <f ca="1">_xludf.ifna(VLOOKUP(E331,Parámetros!$D$2:$E$34,2,0),"")</f>
        <v>#NAME?</v>
      </c>
      <c r="M331" s="32" t="e">
        <f ca="1">_xludf.ifna(VLOOKUP(G331,Proyectos!$A$2:$T$674,20,0),"")</f>
        <v>#NAME?</v>
      </c>
      <c r="N331" s="32" t="e">
        <f ca="1">_xludf.ifna(VLOOKUP(G331,Proyectos!$A$2:$S$674,19,0))</f>
        <v>#NAME?</v>
      </c>
      <c r="O331" s="32"/>
      <c r="P331" s="31"/>
      <c r="Q331" s="33"/>
      <c r="R331" s="33"/>
      <c r="S331" s="33"/>
      <c r="T331" s="33"/>
      <c r="U331" s="33"/>
      <c r="V331" s="33"/>
      <c r="W331" s="33"/>
    </row>
    <row r="332" spans="1:23" ht="16.5" customHeight="1" x14ac:dyDescent="0.2">
      <c r="A332" s="35" t="s">
        <v>4362</v>
      </c>
      <c r="B332" s="35" t="s">
        <v>4363</v>
      </c>
      <c r="C332" s="35" t="s">
        <v>7</v>
      </c>
      <c r="D332" s="35" t="s">
        <v>8</v>
      </c>
      <c r="E332" s="35" t="s">
        <v>114</v>
      </c>
      <c r="F332" s="28" t="e">
        <f ca="1">_xludf.ifna(VLOOKUP(G332,Proyectos!$A$2:$F$674,6,0),"")</f>
        <v>#NAME?</v>
      </c>
      <c r="G332" s="29" t="s">
        <v>5198</v>
      </c>
      <c r="H332" s="30">
        <v>0.1</v>
      </c>
      <c r="I332" s="52" t="s">
        <v>25</v>
      </c>
      <c r="J332" s="30" t="s">
        <v>61</v>
      </c>
      <c r="K332" s="55"/>
      <c r="L332" s="32" t="e">
        <f ca="1">_xludf.ifna(VLOOKUP(E332,Parámetros!$D$2:$E$34,2,0),"")</f>
        <v>#NAME?</v>
      </c>
      <c r="M332" s="32" t="e">
        <f ca="1">_xludf.ifna(VLOOKUP(G332,Proyectos!$A$2:$T$674,20,0),"")</f>
        <v>#NAME?</v>
      </c>
      <c r="N332" s="32" t="e">
        <f ca="1">_xludf.ifna(VLOOKUP(G332,Proyectos!$A$2:$S$674,19,0))</f>
        <v>#NAME?</v>
      </c>
      <c r="O332" s="32"/>
      <c r="P332" s="31"/>
      <c r="Q332" s="33"/>
      <c r="R332" s="33"/>
      <c r="S332" s="33"/>
      <c r="T332" s="33"/>
      <c r="U332" s="33"/>
      <c r="V332" s="33"/>
      <c r="W332" s="33"/>
    </row>
    <row r="333" spans="1:23" ht="16.5" customHeight="1" x14ac:dyDescent="0.2">
      <c r="A333" s="35" t="s">
        <v>4362</v>
      </c>
      <c r="B333" s="35" t="s">
        <v>4363</v>
      </c>
      <c r="C333" s="35" t="s">
        <v>7</v>
      </c>
      <c r="D333" s="35" t="s">
        <v>8</v>
      </c>
      <c r="E333" s="35" t="s">
        <v>114</v>
      </c>
      <c r="F333" s="28" t="e">
        <f ca="1">_xludf.ifna(VLOOKUP(G333,Proyectos!$A$2:$F$674,6,0),"")</f>
        <v>#NAME?</v>
      </c>
      <c r="G333" s="29" t="s">
        <v>5194</v>
      </c>
      <c r="H333" s="30">
        <v>0.1</v>
      </c>
      <c r="I333" s="52" t="s">
        <v>25</v>
      </c>
      <c r="J333" s="30" t="s">
        <v>61</v>
      </c>
      <c r="K333" s="55"/>
      <c r="L333" s="32" t="e">
        <f ca="1">_xludf.ifna(VLOOKUP(E333,Parámetros!$D$2:$E$34,2,0),"")</f>
        <v>#NAME?</v>
      </c>
      <c r="M333" s="32" t="e">
        <f ca="1">_xludf.ifna(VLOOKUP(G333,Proyectos!$A$2:$T$674,20,0),"")</f>
        <v>#NAME?</v>
      </c>
      <c r="N333" s="32" t="e">
        <f ca="1">_xludf.ifna(VLOOKUP(G333,Proyectos!$A$2:$S$674,19,0))</f>
        <v>#NAME?</v>
      </c>
      <c r="O333" s="32"/>
      <c r="P333" s="31"/>
      <c r="Q333" s="33"/>
      <c r="R333" s="33"/>
      <c r="S333" s="33"/>
      <c r="T333" s="33"/>
      <c r="U333" s="33"/>
      <c r="V333" s="33"/>
      <c r="W333" s="33"/>
    </row>
    <row r="334" spans="1:23" ht="16.5" customHeight="1" x14ac:dyDescent="0.2">
      <c r="A334" s="35" t="s">
        <v>4362</v>
      </c>
      <c r="B334" s="35" t="s">
        <v>4363</v>
      </c>
      <c r="C334" s="35" t="s">
        <v>7</v>
      </c>
      <c r="D334" s="35" t="s">
        <v>8</v>
      </c>
      <c r="E334" s="35" t="s">
        <v>114</v>
      </c>
      <c r="F334" s="28" t="e">
        <f ca="1">_xludf.ifna(VLOOKUP(G334,Proyectos!$A$2:$F$674,6,0),"")</f>
        <v>#NAME?</v>
      </c>
      <c r="G334" s="29" t="s">
        <v>5112</v>
      </c>
      <c r="H334" s="30">
        <v>0.1</v>
      </c>
      <c r="I334" s="52" t="s">
        <v>25</v>
      </c>
      <c r="J334" s="30" t="s">
        <v>61</v>
      </c>
      <c r="K334" s="55"/>
      <c r="L334" s="32" t="e">
        <f ca="1">_xludf.ifna(VLOOKUP(E334,Parámetros!$D$2:$E$34,2,0),"")</f>
        <v>#NAME?</v>
      </c>
      <c r="M334" s="32" t="e">
        <f ca="1">_xludf.ifna(VLOOKUP(G334,Proyectos!$A$2:$T$674,20,0),"")</f>
        <v>#NAME?</v>
      </c>
      <c r="N334" s="32" t="e">
        <f ca="1">_xludf.ifna(VLOOKUP(G334,Proyectos!$A$2:$S$674,19,0))</f>
        <v>#NAME?</v>
      </c>
      <c r="O334" s="32"/>
      <c r="P334" s="31"/>
      <c r="Q334" s="33"/>
      <c r="R334" s="33"/>
      <c r="S334" s="33"/>
      <c r="T334" s="33"/>
      <c r="U334" s="33"/>
      <c r="V334" s="33"/>
      <c r="W334" s="33"/>
    </row>
    <row r="335" spans="1:23" ht="16.5" customHeight="1" x14ac:dyDescent="0.2">
      <c r="A335" s="35" t="s">
        <v>4019</v>
      </c>
      <c r="B335" s="35" t="s">
        <v>4020</v>
      </c>
      <c r="C335" s="35" t="s">
        <v>7</v>
      </c>
      <c r="D335" s="35" t="s">
        <v>8</v>
      </c>
      <c r="E335" s="35" t="s">
        <v>108</v>
      </c>
      <c r="F335" s="28" t="e">
        <f ca="1">_xludf.ifna(VLOOKUP(G335,Proyectos!$A$2:$F$674,6,0),"")</f>
        <v>#NAME?</v>
      </c>
      <c r="G335" s="29" t="s">
        <v>5150</v>
      </c>
      <c r="H335" s="30">
        <v>1</v>
      </c>
      <c r="I335" s="52" t="s">
        <v>32</v>
      </c>
      <c r="J335" s="30" t="s">
        <v>61</v>
      </c>
      <c r="K335" s="55"/>
      <c r="L335" s="32" t="e">
        <f ca="1">_xludf.ifna(VLOOKUP(E335,Parámetros!$D$2:$E$34,2,0),"")</f>
        <v>#NAME?</v>
      </c>
      <c r="M335" s="32" t="e">
        <f ca="1">_xludf.ifna(VLOOKUP(G335,Proyectos!$A$2:$T$674,20,0),"")</f>
        <v>#NAME?</v>
      </c>
      <c r="N335" s="32" t="e">
        <f ca="1">_xludf.ifna(VLOOKUP(G335,Proyectos!$A$2:$S$674,19,0))</f>
        <v>#NAME?</v>
      </c>
      <c r="O335" s="32"/>
      <c r="P335" s="31"/>
      <c r="Q335" s="33"/>
      <c r="R335" s="33"/>
      <c r="S335" s="33"/>
      <c r="T335" s="33"/>
      <c r="U335" s="33"/>
      <c r="V335" s="33"/>
      <c r="W335" s="33"/>
    </row>
    <row r="336" spans="1:23" ht="16.5" customHeight="1" x14ac:dyDescent="0.2">
      <c r="A336" s="54" t="s">
        <v>4372</v>
      </c>
      <c r="B336" s="57" t="s">
        <v>4373</v>
      </c>
      <c r="C336" s="54" t="s">
        <v>7</v>
      </c>
      <c r="D336" s="54" t="s">
        <v>8</v>
      </c>
      <c r="E336" s="54" t="s">
        <v>66</v>
      </c>
      <c r="F336" s="28" t="e">
        <f ca="1">_xludf.ifna(VLOOKUP(G336,Proyectos!$A$2:$F$674,6,0),"")</f>
        <v>#NAME?</v>
      </c>
      <c r="G336" s="29" t="s">
        <v>5196</v>
      </c>
      <c r="H336" s="30">
        <v>0.4</v>
      </c>
      <c r="I336" s="52" t="s">
        <v>18</v>
      </c>
      <c r="J336" s="30" t="s">
        <v>41</v>
      </c>
      <c r="K336" s="35" t="s">
        <v>3424</v>
      </c>
      <c r="L336" s="32" t="e">
        <f ca="1">_xludf.ifna(VLOOKUP(E336,Parámetros!$D$2:$E$34,2,0),"")</f>
        <v>#NAME?</v>
      </c>
      <c r="M336" s="32" t="e">
        <f ca="1">_xludf.ifna(VLOOKUP(G336,Proyectos!$A$2:$T$674,20,0),"")</f>
        <v>#NAME?</v>
      </c>
      <c r="N336" s="32" t="e">
        <f ca="1">_xludf.ifna(VLOOKUP(G336,Proyectos!$A$2:$S$674,19,0))</f>
        <v>#NAME?</v>
      </c>
      <c r="O336" s="32"/>
      <c r="P336" s="31"/>
      <c r="Q336" s="33"/>
      <c r="R336" s="33"/>
      <c r="S336" s="33"/>
      <c r="T336" s="33"/>
      <c r="U336" s="33"/>
      <c r="V336" s="33"/>
      <c r="W336" s="33"/>
    </row>
    <row r="337" spans="1:23" ht="16.5" customHeight="1" x14ac:dyDescent="0.2">
      <c r="A337" s="35" t="s">
        <v>4090</v>
      </c>
      <c r="B337" s="35" t="s">
        <v>4091</v>
      </c>
      <c r="C337" s="35" t="s">
        <v>7</v>
      </c>
      <c r="D337" s="35" t="s">
        <v>8</v>
      </c>
      <c r="E337" s="35" t="s">
        <v>66</v>
      </c>
      <c r="F337" s="28" t="e">
        <f ca="1">_xludf.ifna(VLOOKUP(G337,Proyectos!$A$2:$F$674,6,0),"")</f>
        <v>#NAME?</v>
      </c>
      <c r="G337" s="29" t="s">
        <v>5150</v>
      </c>
      <c r="H337" s="55">
        <v>0.25</v>
      </c>
      <c r="I337" s="52" t="s">
        <v>18</v>
      </c>
      <c r="J337" s="30" t="s">
        <v>41</v>
      </c>
      <c r="K337" s="55"/>
      <c r="L337" s="32" t="e">
        <f ca="1">_xludf.ifna(VLOOKUP(E337,Parámetros!$D$2:$E$34,2,0),"")</f>
        <v>#NAME?</v>
      </c>
      <c r="M337" s="32" t="e">
        <f ca="1">_xludf.ifna(VLOOKUP(G337,Proyectos!$A$2:$T$674,20,0),"")</f>
        <v>#NAME?</v>
      </c>
      <c r="N337" s="32" t="e">
        <f ca="1">_xludf.ifna(VLOOKUP(G337,Proyectos!$A$2:$S$674,19,0))</f>
        <v>#NAME?</v>
      </c>
      <c r="O337" s="32"/>
      <c r="P337" s="31"/>
      <c r="Q337" s="33"/>
      <c r="R337" s="33"/>
      <c r="S337" s="33"/>
      <c r="T337" s="33"/>
      <c r="U337" s="33"/>
      <c r="V337" s="33"/>
      <c r="W337" s="33"/>
    </row>
    <row r="338" spans="1:23" ht="16.5" customHeight="1" x14ac:dyDescent="0.2">
      <c r="A338" s="35" t="s">
        <v>4090</v>
      </c>
      <c r="B338" s="35" t="s">
        <v>4091</v>
      </c>
      <c r="C338" s="35" t="s">
        <v>7</v>
      </c>
      <c r="D338" s="35" t="s">
        <v>8</v>
      </c>
      <c r="E338" s="35" t="s">
        <v>66</v>
      </c>
      <c r="F338" s="28" t="e">
        <f ca="1">_xludf.ifna(VLOOKUP(G338,Proyectos!$A$2:$F$674,6,0),"")</f>
        <v>#NAME?</v>
      </c>
      <c r="G338" s="29" t="s">
        <v>5198</v>
      </c>
      <c r="H338" s="55">
        <v>0.25</v>
      </c>
      <c r="I338" s="52" t="s">
        <v>18</v>
      </c>
      <c r="J338" s="30" t="s">
        <v>41</v>
      </c>
      <c r="K338" s="55"/>
      <c r="L338" s="32" t="e">
        <f ca="1">_xludf.ifna(VLOOKUP(E338,Parámetros!$D$2:$E$34,2,0),"")</f>
        <v>#NAME?</v>
      </c>
      <c r="M338" s="32" t="e">
        <f ca="1">_xludf.ifna(VLOOKUP(G338,Proyectos!$A$2:$T$674,20,0),"")</f>
        <v>#NAME?</v>
      </c>
      <c r="N338" s="32" t="e">
        <f ca="1">_xludf.ifna(VLOOKUP(G338,Proyectos!$A$2:$S$674,19,0))</f>
        <v>#NAME?</v>
      </c>
      <c r="O338" s="32"/>
      <c r="P338" s="31"/>
      <c r="Q338" s="33"/>
      <c r="R338" s="33"/>
      <c r="S338" s="33"/>
      <c r="T338" s="33"/>
      <c r="U338" s="33"/>
      <c r="V338" s="33"/>
      <c r="W338" s="33"/>
    </row>
    <row r="339" spans="1:23" ht="16.5" customHeight="1" x14ac:dyDescent="0.2">
      <c r="A339" s="35" t="s">
        <v>4072</v>
      </c>
      <c r="B339" s="35" t="s">
        <v>5211</v>
      </c>
      <c r="C339" s="35" t="s">
        <v>7</v>
      </c>
      <c r="D339" s="35" t="s">
        <v>8</v>
      </c>
      <c r="E339" s="35" t="s">
        <v>66</v>
      </c>
      <c r="F339" s="28" t="e">
        <f ca="1">_xludf.ifna(VLOOKUP(G339,Proyectos!$A$2:$F$674,6,0),"")</f>
        <v>#NAME?</v>
      </c>
      <c r="G339" s="29" t="s">
        <v>5117</v>
      </c>
      <c r="H339" s="30">
        <v>1</v>
      </c>
      <c r="I339" s="52" t="s">
        <v>18</v>
      </c>
      <c r="J339" s="30" t="s">
        <v>41</v>
      </c>
      <c r="K339" s="55"/>
      <c r="L339" s="32" t="e">
        <f ca="1">_xludf.ifna(VLOOKUP(E339,Parámetros!$D$2:$E$34,2,0),"")</f>
        <v>#NAME?</v>
      </c>
      <c r="M339" s="32" t="e">
        <f ca="1">_xludf.ifna(VLOOKUP(G339,Proyectos!$A$2:$T$674,20,0),"")</f>
        <v>#NAME?</v>
      </c>
      <c r="N339" s="32" t="e">
        <f ca="1">_xludf.ifna(VLOOKUP(G339,Proyectos!$A$2:$S$674,19,0))</f>
        <v>#NAME?</v>
      </c>
      <c r="O339" s="32"/>
      <c r="P339" s="31"/>
      <c r="Q339" s="33"/>
      <c r="R339" s="33"/>
      <c r="S339" s="33"/>
      <c r="T339" s="33"/>
      <c r="U339" s="33"/>
      <c r="V339" s="33"/>
      <c r="W339" s="33"/>
    </row>
    <row r="340" spans="1:23" ht="16.5" customHeight="1" x14ac:dyDescent="0.25">
      <c r="A340" s="35" t="s">
        <v>4974</v>
      </c>
      <c r="B340" s="54" t="s">
        <v>4975</v>
      </c>
      <c r="C340" s="35" t="s">
        <v>7</v>
      </c>
      <c r="D340" s="35" t="s">
        <v>8</v>
      </c>
      <c r="E340" s="35" t="s">
        <v>66</v>
      </c>
      <c r="F340" s="28" t="e">
        <f ca="1">_xludf.ifna(VLOOKUP(G340,Proyectos!$A$2:$F$674,6,0),"")</f>
        <v>#NAME?</v>
      </c>
      <c r="G340" s="61" t="s">
        <v>5198</v>
      </c>
      <c r="H340" s="30">
        <v>1</v>
      </c>
      <c r="I340" s="52" t="s">
        <v>18</v>
      </c>
      <c r="J340" s="30" t="s">
        <v>41</v>
      </c>
      <c r="K340" s="55"/>
      <c r="L340" s="32" t="e">
        <f ca="1">_xludf.ifna(VLOOKUP(E340,Parámetros!$D$2:$E$34,2,0),"")</f>
        <v>#NAME?</v>
      </c>
      <c r="M340" s="32" t="e">
        <f ca="1">_xludf.ifna(VLOOKUP(G340,Proyectos!$A$2:$T$674,20,0),"")</f>
        <v>#NAME?</v>
      </c>
      <c r="N340" s="32" t="e">
        <f ca="1">_xludf.ifna(VLOOKUP(G340,Proyectos!$A$2:$S$674,19,0))</f>
        <v>#NAME?</v>
      </c>
      <c r="O340" s="32"/>
      <c r="P340" s="31"/>
      <c r="Q340" s="33"/>
      <c r="R340" s="33"/>
      <c r="S340" s="33"/>
      <c r="T340" s="33"/>
      <c r="U340" s="33"/>
      <c r="V340" s="33"/>
      <c r="W340" s="33"/>
    </row>
    <row r="341" spans="1:23" ht="16.5" customHeight="1" x14ac:dyDescent="0.2">
      <c r="A341" s="35" t="s">
        <v>4165</v>
      </c>
      <c r="B341" s="35" t="s">
        <v>4166</v>
      </c>
      <c r="C341" s="35" t="s">
        <v>7</v>
      </c>
      <c r="D341" s="35" t="s">
        <v>8</v>
      </c>
      <c r="E341" s="35" t="s">
        <v>17</v>
      </c>
      <c r="F341" s="28" t="e">
        <f ca="1">_xludf.ifna(VLOOKUP(G341,Proyectos!$A$2:$F$674,6,0),"")</f>
        <v>#NAME?</v>
      </c>
      <c r="G341" s="29" t="s">
        <v>5186</v>
      </c>
      <c r="H341" s="30">
        <v>1</v>
      </c>
      <c r="I341" s="52" t="s">
        <v>18</v>
      </c>
      <c r="J341" s="30" t="s">
        <v>41</v>
      </c>
      <c r="K341" s="55"/>
      <c r="L341" s="32" t="e">
        <f ca="1">_xludf.ifna(VLOOKUP(E341,Parámetros!$D$2:$E$34,2,0),"")</f>
        <v>#NAME?</v>
      </c>
      <c r="M341" s="32" t="e">
        <f ca="1">_xludf.ifna(VLOOKUP(G341,Proyectos!$A$2:$T$674,20,0),"")</f>
        <v>#NAME?</v>
      </c>
      <c r="N341" s="32" t="e">
        <f ca="1">_xludf.ifna(VLOOKUP(G341,Proyectos!$A$2:$S$674,19,0))</f>
        <v>#NAME?</v>
      </c>
      <c r="O341" s="32"/>
      <c r="P341" s="31"/>
      <c r="Q341" s="33"/>
      <c r="R341" s="33"/>
      <c r="S341" s="33"/>
      <c r="T341" s="33"/>
      <c r="U341" s="33"/>
      <c r="V341" s="33"/>
      <c r="W341" s="33"/>
    </row>
    <row r="342" spans="1:23" ht="16.5" customHeight="1" x14ac:dyDescent="0.2">
      <c r="A342" s="35" t="s">
        <v>4163</v>
      </c>
      <c r="B342" s="35" t="s">
        <v>4164</v>
      </c>
      <c r="C342" s="35" t="s">
        <v>7</v>
      </c>
      <c r="D342" s="35" t="s">
        <v>8</v>
      </c>
      <c r="E342" s="35" t="s">
        <v>17</v>
      </c>
      <c r="F342" s="28" t="e">
        <f ca="1">_xludf.ifna(VLOOKUP(G342,Proyectos!$A$2:$F$674,6,0),"")</f>
        <v>#NAME?</v>
      </c>
      <c r="G342" s="29" t="s">
        <v>5186</v>
      </c>
      <c r="H342" s="30">
        <v>1</v>
      </c>
      <c r="I342" s="52" t="s">
        <v>11</v>
      </c>
      <c r="J342" s="30" t="s">
        <v>41</v>
      </c>
      <c r="K342" s="55"/>
      <c r="L342" s="32" t="e">
        <f ca="1">_xludf.ifna(VLOOKUP(E342,Parámetros!$D$2:$E$34,2,0),"")</f>
        <v>#NAME?</v>
      </c>
      <c r="M342" s="32" t="e">
        <f ca="1">_xludf.ifna(VLOOKUP(G342,Proyectos!$A$2:$T$674,20,0),"")</f>
        <v>#NAME?</v>
      </c>
      <c r="N342" s="32" t="e">
        <f ca="1">_xludf.ifna(VLOOKUP(G342,Proyectos!$A$2:$S$674,19,0))</f>
        <v>#NAME?</v>
      </c>
      <c r="O342" s="32"/>
      <c r="P342" s="31"/>
      <c r="Q342" s="33"/>
      <c r="R342" s="33"/>
      <c r="S342" s="33"/>
      <c r="T342" s="33"/>
      <c r="U342" s="33"/>
      <c r="V342" s="33"/>
      <c r="W342" s="33"/>
    </row>
    <row r="343" spans="1:23" ht="16.5" customHeight="1" x14ac:dyDescent="0.2">
      <c r="A343" s="35" t="s">
        <v>5037</v>
      </c>
      <c r="B343" s="35" t="s">
        <v>5038</v>
      </c>
      <c r="C343" s="35" t="s">
        <v>7</v>
      </c>
      <c r="D343" s="35" t="s">
        <v>8</v>
      </c>
      <c r="E343" s="35" t="s">
        <v>126</v>
      </c>
      <c r="F343" s="28" t="e">
        <f ca="1">_xludf.ifna(VLOOKUP(G343,Proyectos!$A$2:$F$674,6,0),"")</f>
        <v>#NAME?</v>
      </c>
      <c r="G343" s="29" t="s">
        <v>5194</v>
      </c>
      <c r="H343" s="30">
        <v>1</v>
      </c>
      <c r="I343" s="52" t="s">
        <v>25</v>
      </c>
      <c r="J343" s="30" t="s">
        <v>61</v>
      </c>
      <c r="K343" s="55"/>
      <c r="L343" s="32" t="e">
        <f ca="1">_xludf.ifna(VLOOKUP(E343,Parámetros!$D$2:$E$34,2,0),"")</f>
        <v>#NAME?</v>
      </c>
      <c r="M343" s="32" t="e">
        <f ca="1">_xludf.ifna(VLOOKUP(G343,Proyectos!$A$2:$T$674,20,0),"")</f>
        <v>#NAME?</v>
      </c>
      <c r="N343" s="32" t="e">
        <f ca="1">_xludf.ifna(VLOOKUP(G343,Proyectos!$A$2:$S$674,19,0))</f>
        <v>#NAME?</v>
      </c>
      <c r="O343" s="32"/>
      <c r="P343" s="31"/>
      <c r="Q343" s="33"/>
      <c r="R343" s="33"/>
      <c r="S343" s="33"/>
      <c r="T343" s="33"/>
      <c r="U343" s="33"/>
      <c r="V343" s="33"/>
      <c r="W343" s="33"/>
    </row>
    <row r="344" spans="1:23" ht="16.5" customHeight="1" x14ac:dyDescent="0.2">
      <c r="A344" s="35" t="s">
        <v>5084</v>
      </c>
      <c r="B344" s="35" t="s">
        <v>5085</v>
      </c>
      <c r="C344" s="35" t="s">
        <v>7</v>
      </c>
      <c r="D344" s="35" t="s">
        <v>8</v>
      </c>
      <c r="E344" s="35" t="s">
        <v>108</v>
      </c>
      <c r="F344" s="28" t="e">
        <f ca="1">_xludf.ifna(VLOOKUP(G344,Proyectos!$A$2:$F$674,6,0),"")</f>
        <v>#NAME?</v>
      </c>
      <c r="G344" s="29" t="s">
        <v>5186</v>
      </c>
      <c r="H344" s="30">
        <v>1</v>
      </c>
      <c r="I344" s="52" t="s">
        <v>32</v>
      </c>
      <c r="J344" s="30" t="s">
        <v>72</v>
      </c>
      <c r="K344" s="55"/>
      <c r="L344" s="32" t="e">
        <f ca="1">_xludf.ifna(VLOOKUP(E344,Parámetros!$D$2:$E$34,2,0),"")</f>
        <v>#NAME?</v>
      </c>
      <c r="M344" s="32" t="e">
        <f ca="1">_xludf.ifna(VLOOKUP(G344,Proyectos!$A$2:$T$674,20,0),"")</f>
        <v>#NAME?</v>
      </c>
      <c r="N344" s="32" t="e">
        <f ca="1">_xludf.ifna(VLOOKUP(G344,Proyectos!$A$2:$S$674,19,0))</f>
        <v>#NAME?</v>
      </c>
      <c r="O344" s="32"/>
      <c r="P344" s="31"/>
      <c r="Q344" s="33"/>
      <c r="R344" s="33"/>
      <c r="S344" s="33"/>
      <c r="T344" s="33"/>
      <c r="U344" s="33"/>
      <c r="V344" s="33"/>
      <c r="W344" s="33"/>
    </row>
    <row r="345" spans="1:23" ht="16.5" customHeight="1" x14ac:dyDescent="0.2">
      <c r="A345" s="35" t="s">
        <v>3966</v>
      </c>
      <c r="B345" s="35" t="s">
        <v>3967</v>
      </c>
      <c r="C345" s="35" t="s">
        <v>115</v>
      </c>
      <c r="D345" s="35" t="s">
        <v>119</v>
      </c>
      <c r="E345" s="35" t="s">
        <v>135</v>
      </c>
      <c r="F345" s="28" t="e">
        <f ca="1">_xludf.ifna(VLOOKUP(G345,Proyectos!$A$2:$F$674,6,0),"")</f>
        <v>#NAME?</v>
      </c>
      <c r="G345" s="29" t="s">
        <v>5212</v>
      </c>
      <c r="H345" s="30">
        <v>0.5</v>
      </c>
      <c r="I345" s="52" t="s">
        <v>32</v>
      </c>
      <c r="J345" s="52" t="s">
        <v>61</v>
      </c>
      <c r="K345" s="30"/>
      <c r="L345" s="32" t="e">
        <f ca="1">_xludf.ifna(VLOOKUP(E345,Parámetros!$D$2:$E$34,2,0),"")</f>
        <v>#NAME?</v>
      </c>
      <c r="M345" s="32" t="e">
        <f ca="1">_xludf.ifna(VLOOKUP(G345,Proyectos!$A$2:$T$674,20,0),"")</f>
        <v>#NAME?</v>
      </c>
      <c r="N345" s="32" t="e">
        <f ca="1">_xludf.ifna(VLOOKUP(G345,Proyectos!$A$2:$S$674,19,0))</f>
        <v>#NAME?</v>
      </c>
      <c r="O345" s="30"/>
      <c r="P345" s="52"/>
      <c r="Q345" s="62"/>
      <c r="R345" s="33"/>
      <c r="S345" s="33"/>
      <c r="T345" s="63">
        <f t="shared" ref="T345:T348" si="0">IF(B$433=B$432,0,1)</f>
        <v>0</v>
      </c>
      <c r="U345" s="33"/>
      <c r="V345" s="33"/>
      <c r="W345" s="33"/>
    </row>
    <row r="346" spans="1:23" ht="16.5" customHeight="1" x14ac:dyDescent="0.2">
      <c r="A346" s="35" t="s">
        <v>3966</v>
      </c>
      <c r="B346" s="35" t="s">
        <v>3967</v>
      </c>
      <c r="C346" s="35" t="s">
        <v>115</v>
      </c>
      <c r="D346" s="35" t="s">
        <v>119</v>
      </c>
      <c r="E346" s="35" t="s">
        <v>135</v>
      </c>
      <c r="F346" s="28" t="e">
        <f ca="1">_xludf.ifna(VLOOKUP(G346,Proyectos!$A$2:$F$674,6,0),"")</f>
        <v>#NAME?</v>
      </c>
      <c r="G346" s="29" t="s">
        <v>5131</v>
      </c>
      <c r="H346" s="34">
        <v>0.5</v>
      </c>
      <c r="I346" s="52" t="s">
        <v>32</v>
      </c>
      <c r="J346" s="54" t="s">
        <v>61</v>
      </c>
      <c r="K346" s="60"/>
      <c r="L346" s="32" t="e">
        <f ca="1">_xludf.ifna(VLOOKUP(E346,Parámetros!$D$2:$E$34,2,0),"")</f>
        <v>#NAME?</v>
      </c>
      <c r="M346" s="32" t="e">
        <f ca="1">_xludf.ifna(VLOOKUP(G346,Proyectos!$A$2:$T$674,20,0),"")</f>
        <v>#NAME?</v>
      </c>
      <c r="N346" s="32" t="e">
        <f ca="1">_xludf.ifna(VLOOKUP(G346,Proyectos!$A$2:$S$674,19,0))</f>
        <v>#NAME?</v>
      </c>
      <c r="O346" s="52"/>
      <c r="P346" s="52"/>
      <c r="Q346" s="62"/>
      <c r="R346" s="33"/>
      <c r="S346" s="33"/>
      <c r="T346" s="63">
        <f t="shared" si="0"/>
        <v>0</v>
      </c>
      <c r="U346" s="33"/>
      <c r="V346" s="33"/>
      <c r="W346" s="33"/>
    </row>
    <row r="347" spans="1:23" ht="16.5" customHeight="1" x14ac:dyDescent="0.2">
      <c r="A347" s="35" t="s">
        <v>4732</v>
      </c>
      <c r="B347" s="35" t="s">
        <v>4733</v>
      </c>
      <c r="C347" s="35" t="s">
        <v>115</v>
      </c>
      <c r="D347" s="35" t="s">
        <v>119</v>
      </c>
      <c r="E347" s="35" t="s">
        <v>39</v>
      </c>
      <c r="F347" s="28" t="e">
        <f ca="1">_xludf.ifna(VLOOKUP(G347,Proyectos!$A$2:$F$674,6,0),"")</f>
        <v>#NAME?</v>
      </c>
      <c r="G347" s="29" t="s">
        <v>5213</v>
      </c>
      <c r="H347" s="30">
        <v>1</v>
      </c>
      <c r="I347" s="52" t="s">
        <v>18</v>
      </c>
      <c r="J347" s="55" t="s">
        <v>61</v>
      </c>
      <c r="K347" s="55"/>
      <c r="L347" s="32" t="e">
        <f ca="1">_xludf.ifna(VLOOKUP(E347,Parámetros!$D$2:$E$34,2,0),"")</f>
        <v>#NAME?</v>
      </c>
      <c r="M347" s="32" t="e">
        <f ca="1">_xludf.ifna(VLOOKUP(G347,Proyectos!$A$2:$T$674,20,0),"")</f>
        <v>#NAME?</v>
      </c>
      <c r="N347" s="32" t="e">
        <f ca="1">_xludf.ifna(VLOOKUP(G347,Proyectos!$A$2:$S$674,19,0))</f>
        <v>#NAME?</v>
      </c>
      <c r="O347" s="52"/>
      <c r="P347" s="52"/>
      <c r="Q347" s="62"/>
      <c r="R347" s="33"/>
      <c r="S347" s="33"/>
      <c r="T347" s="63">
        <f t="shared" si="0"/>
        <v>0</v>
      </c>
      <c r="U347" s="33"/>
      <c r="V347" s="33"/>
      <c r="W347" s="33"/>
    </row>
    <row r="348" spans="1:23" ht="16.5" customHeight="1" x14ac:dyDescent="0.2">
      <c r="A348" s="35" t="s">
        <v>4667</v>
      </c>
      <c r="B348" s="35" t="s">
        <v>4668</v>
      </c>
      <c r="C348" s="35" t="s">
        <v>115</v>
      </c>
      <c r="D348" s="35" t="s">
        <v>119</v>
      </c>
      <c r="E348" s="35" t="s">
        <v>39</v>
      </c>
      <c r="F348" s="28" t="e">
        <f ca="1">_xludf.ifna(VLOOKUP(G348,Proyectos!$A$2:$F$674,6,0),"")</f>
        <v>#NAME?</v>
      </c>
      <c r="G348" s="29" t="s">
        <v>5213</v>
      </c>
      <c r="H348" s="30">
        <v>1</v>
      </c>
      <c r="I348" s="52" t="s">
        <v>18</v>
      </c>
      <c r="J348" s="30" t="s">
        <v>61</v>
      </c>
      <c r="K348" s="30"/>
      <c r="L348" s="32" t="e">
        <f ca="1">_xludf.ifna(VLOOKUP(E348,Parámetros!$D$2:$E$34,2,0),"")</f>
        <v>#NAME?</v>
      </c>
      <c r="M348" s="32" t="e">
        <f ca="1">_xludf.ifna(VLOOKUP(G348,Proyectos!$A$2:$T$674,20,0),"")</f>
        <v>#NAME?</v>
      </c>
      <c r="N348" s="32" t="e">
        <f ca="1">_xludf.ifna(VLOOKUP(G348,Proyectos!$A$2:$S$674,19,0))</f>
        <v>#NAME?</v>
      </c>
      <c r="O348" s="30"/>
      <c r="P348" s="52"/>
      <c r="Q348" s="62"/>
      <c r="R348" s="33"/>
      <c r="S348" s="33"/>
      <c r="T348" s="63">
        <f t="shared" si="0"/>
        <v>0</v>
      </c>
      <c r="U348" s="33"/>
      <c r="V348" s="33"/>
      <c r="W348" s="33"/>
    </row>
    <row r="349" spans="1:23" ht="16.5" customHeight="1" x14ac:dyDescent="0.2">
      <c r="A349" s="35" t="s">
        <v>3427</v>
      </c>
      <c r="B349" s="35" t="s">
        <v>3428</v>
      </c>
      <c r="C349" s="35" t="s">
        <v>115</v>
      </c>
      <c r="D349" s="35" t="s">
        <v>119</v>
      </c>
      <c r="E349" s="35" t="s">
        <v>39</v>
      </c>
      <c r="F349" s="28" t="e">
        <f ca="1">_xludf.ifna(VLOOKUP(G349,Proyectos!$A$2:$F$674,6,0),"")</f>
        <v>#NAME?</v>
      </c>
      <c r="G349" s="29" t="s">
        <v>5212</v>
      </c>
      <c r="H349" s="30">
        <v>0.75</v>
      </c>
      <c r="I349" s="52" t="s">
        <v>18</v>
      </c>
      <c r="J349" s="30" t="s">
        <v>61</v>
      </c>
      <c r="K349" s="30"/>
      <c r="L349" s="32" t="e">
        <f ca="1">_xludf.ifna(VLOOKUP(E349,Parámetros!$D$2:$E$34,2,0),"")</f>
        <v>#NAME?</v>
      </c>
      <c r="M349" s="32" t="e">
        <f ca="1">_xludf.ifna(VLOOKUP(G349,Proyectos!$A$2:$T$674,20,0),"")</f>
        <v>#NAME?</v>
      </c>
      <c r="N349" s="32" t="e">
        <f ca="1">_xludf.ifna(VLOOKUP(G349,Proyectos!$A$2:$S$674,19,0))</f>
        <v>#NAME?</v>
      </c>
      <c r="O349" s="30"/>
      <c r="P349" s="52"/>
      <c r="Q349" s="62"/>
      <c r="R349" s="33"/>
      <c r="S349" s="33"/>
      <c r="T349" s="63">
        <f t="shared" ref="T349:T350" si="1">IF(B$434=B$433,1,0)</f>
        <v>1</v>
      </c>
      <c r="U349" s="33"/>
      <c r="V349" s="33"/>
      <c r="W349" s="33"/>
    </row>
    <row r="350" spans="1:23" ht="16.5" customHeight="1" x14ac:dyDescent="0.2">
      <c r="A350" s="35" t="s">
        <v>3427</v>
      </c>
      <c r="B350" s="35" t="s">
        <v>3428</v>
      </c>
      <c r="C350" s="35" t="s">
        <v>115</v>
      </c>
      <c r="D350" s="35" t="s">
        <v>119</v>
      </c>
      <c r="E350" s="35" t="s">
        <v>39</v>
      </c>
      <c r="F350" s="28" t="e">
        <f ca="1">_xludf.ifna(VLOOKUP(G350,Proyectos!$A$2:$F$674,6,0),"")</f>
        <v>#NAME?</v>
      </c>
      <c r="G350" s="29" t="s">
        <v>5214</v>
      </c>
      <c r="H350" s="30">
        <v>0.25</v>
      </c>
      <c r="I350" s="52" t="s">
        <v>18</v>
      </c>
      <c r="J350" s="30" t="s">
        <v>61</v>
      </c>
      <c r="K350" s="30" t="s">
        <v>5215</v>
      </c>
      <c r="L350" s="32" t="e">
        <f ca="1">_xludf.ifna(VLOOKUP(E350,Parámetros!$D$2:$E$34,2,0),"")</f>
        <v>#NAME?</v>
      </c>
      <c r="M350" s="32" t="e">
        <f ca="1">_xludf.ifna(VLOOKUP(G350,Proyectos!$A$2:$T$674,20,0),"")</f>
        <v>#NAME?</v>
      </c>
      <c r="N350" s="32" t="e">
        <f ca="1">_xludf.ifna(VLOOKUP(G350,Proyectos!$A$2:$S$674,19,0))</f>
        <v>#NAME?</v>
      </c>
      <c r="O350" s="30"/>
      <c r="P350" s="52"/>
      <c r="Q350" s="62"/>
      <c r="R350" s="33"/>
      <c r="S350" s="33"/>
      <c r="T350" s="63">
        <f t="shared" si="1"/>
        <v>1</v>
      </c>
      <c r="U350" s="33"/>
      <c r="V350" s="33"/>
      <c r="W350" s="33"/>
    </row>
    <row r="351" spans="1:23" ht="16.5" customHeight="1" x14ac:dyDescent="0.2">
      <c r="A351" s="35" t="s">
        <v>3809</v>
      </c>
      <c r="B351" s="35" t="s">
        <v>3810</v>
      </c>
      <c r="C351" s="35" t="s">
        <v>115</v>
      </c>
      <c r="D351" s="35" t="s">
        <v>119</v>
      </c>
      <c r="E351" s="35" t="s">
        <v>39</v>
      </c>
      <c r="F351" s="28" t="e">
        <f ca="1">_xludf.ifna(VLOOKUP(G351,Proyectos!$A$2:$F$674,6,0),"")</f>
        <v>#NAME?</v>
      </c>
      <c r="G351" s="29" t="s">
        <v>5216</v>
      </c>
      <c r="H351" s="30">
        <v>0.75</v>
      </c>
      <c r="I351" s="52" t="s">
        <v>18</v>
      </c>
      <c r="J351" s="30" t="s">
        <v>61</v>
      </c>
      <c r="K351" s="30"/>
      <c r="L351" s="32" t="e">
        <f ca="1">_xludf.ifna(VLOOKUP(E351,Parámetros!$D$2:$E$34,2,0),"")</f>
        <v>#NAME?</v>
      </c>
      <c r="M351" s="32" t="e">
        <f ca="1">_xludf.ifna(VLOOKUP(G351,Proyectos!$A$2:$T$674,20,0),"")</f>
        <v>#NAME?</v>
      </c>
      <c r="N351" s="32" t="e">
        <f ca="1">_xludf.ifna(VLOOKUP(G351,Proyectos!$A$2:$S$674,19,0))</f>
        <v>#NAME?</v>
      </c>
      <c r="O351" s="30"/>
      <c r="P351" s="52"/>
      <c r="Q351" s="62"/>
      <c r="R351" s="33"/>
      <c r="S351" s="33"/>
      <c r="T351" s="63">
        <f t="shared" ref="T351:T422" si="2">IF(B351=B350,0,1)</f>
        <v>1</v>
      </c>
      <c r="U351" s="33"/>
      <c r="V351" s="33"/>
      <c r="W351" s="33"/>
    </row>
    <row r="352" spans="1:23" ht="16.5" customHeight="1" x14ac:dyDescent="0.2">
      <c r="A352" s="35" t="s">
        <v>3809</v>
      </c>
      <c r="B352" s="35" t="s">
        <v>3810</v>
      </c>
      <c r="C352" s="35" t="s">
        <v>115</v>
      </c>
      <c r="D352" s="35" t="s">
        <v>119</v>
      </c>
      <c r="E352" s="35" t="s">
        <v>39</v>
      </c>
      <c r="F352" s="28" t="e">
        <f ca="1">_xludf.ifna(VLOOKUP(G352,Proyectos!$A$2:$F$674,6,0),"")</f>
        <v>#NAME?</v>
      </c>
      <c r="G352" s="29" t="s">
        <v>5217</v>
      </c>
      <c r="H352" s="30">
        <v>0.25</v>
      </c>
      <c r="I352" s="52" t="s">
        <v>18</v>
      </c>
      <c r="J352" s="30" t="s">
        <v>61</v>
      </c>
      <c r="K352" s="30"/>
      <c r="L352" s="32" t="e">
        <f ca="1">_xludf.ifna(VLOOKUP(E352,Parámetros!$D$2:$E$34,2,0),"")</f>
        <v>#NAME?</v>
      </c>
      <c r="M352" s="32" t="e">
        <f ca="1">_xludf.ifna(VLOOKUP(G352,Proyectos!$A$2:$T$674,20,0),"")</f>
        <v>#NAME?</v>
      </c>
      <c r="N352" s="32" t="e">
        <f ca="1">_xludf.ifna(VLOOKUP(G352,Proyectos!$A$2:$S$674,19,0))</f>
        <v>#NAME?</v>
      </c>
      <c r="O352" s="30"/>
      <c r="P352" s="52"/>
      <c r="Q352" s="62"/>
      <c r="R352" s="33"/>
      <c r="S352" s="33"/>
      <c r="T352" s="63">
        <f t="shared" si="2"/>
        <v>0</v>
      </c>
      <c r="U352" s="33"/>
      <c r="V352" s="33"/>
      <c r="W352" s="33"/>
    </row>
    <row r="353" spans="1:23" ht="16.5" customHeight="1" x14ac:dyDescent="0.2">
      <c r="A353" s="35" t="s">
        <v>3834</v>
      </c>
      <c r="B353" s="35" t="s">
        <v>3835</v>
      </c>
      <c r="C353" s="35" t="s">
        <v>115</v>
      </c>
      <c r="D353" s="35" t="s">
        <v>119</v>
      </c>
      <c r="E353" s="35" t="s">
        <v>39</v>
      </c>
      <c r="F353" s="28" t="e">
        <f ca="1">_xludf.ifna(VLOOKUP(G353,Proyectos!$A$2:$F$674,6,0),"")</f>
        <v>#NAME?</v>
      </c>
      <c r="G353" s="29" t="s">
        <v>5218</v>
      </c>
      <c r="H353" s="30">
        <v>1</v>
      </c>
      <c r="I353" s="52" t="s">
        <v>18</v>
      </c>
      <c r="J353" s="30" t="s">
        <v>61</v>
      </c>
      <c r="K353" s="30"/>
      <c r="L353" s="32" t="e">
        <f ca="1">_xludf.ifna(VLOOKUP(E353,Parámetros!$D$2:$E$34,2,0),"")</f>
        <v>#NAME?</v>
      </c>
      <c r="M353" s="32" t="e">
        <f ca="1">_xludf.ifna(VLOOKUP(G353,Proyectos!$A$2:$T$674,20,0),"")</f>
        <v>#NAME?</v>
      </c>
      <c r="N353" s="32" t="e">
        <f ca="1">_xludf.ifna(VLOOKUP(G353,Proyectos!$A$2:$S$674,19,0))</f>
        <v>#NAME?</v>
      </c>
      <c r="O353" s="30"/>
      <c r="P353" s="52"/>
      <c r="Q353" s="62"/>
      <c r="R353" s="33"/>
      <c r="S353" s="33"/>
      <c r="T353" s="63">
        <f t="shared" si="2"/>
        <v>1</v>
      </c>
      <c r="U353" s="33"/>
      <c r="V353" s="33"/>
      <c r="W353" s="33"/>
    </row>
    <row r="354" spans="1:23" ht="16.5" customHeight="1" x14ac:dyDescent="0.2">
      <c r="A354" s="35" t="s">
        <v>4181</v>
      </c>
      <c r="B354" s="35" t="s">
        <v>4182</v>
      </c>
      <c r="C354" s="35" t="s">
        <v>115</v>
      </c>
      <c r="D354" s="35" t="s">
        <v>119</v>
      </c>
      <c r="E354" s="35" t="s">
        <v>135</v>
      </c>
      <c r="F354" s="28" t="e">
        <f ca="1">_xludf.ifna(VLOOKUP(G354,Proyectos!$A$2:$F$674,6,0),"")</f>
        <v>#NAME?</v>
      </c>
      <c r="G354" s="29" t="s">
        <v>5114</v>
      </c>
      <c r="H354" s="30">
        <v>1</v>
      </c>
      <c r="I354" s="52" t="s">
        <v>18</v>
      </c>
      <c r="J354" s="30" t="s">
        <v>61</v>
      </c>
      <c r="K354" s="30"/>
      <c r="L354" s="32" t="e">
        <f ca="1">_xludf.ifna(VLOOKUP(E354,Parámetros!$D$2:$E$34,2,0),"")</f>
        <v>#NAME?</v>
      </c>
      <c r="M354" s="32" t="e">
        <f ca="1">_xludf.ifna(VLOOKUP(G354,Proyectos!$A$2:$T$674,20,0),"")</f>
        <v>#NAME?</v>
      </c>
      <c r="N354" s="32" t="e">
        <f ca="1">_xludf.ifna(VLOOKUP(G354,Proyectos!$A$2:$S$674,19,0))</f>
        <v>#NAME?</v>
      </c>
      <c r="O354" s="30"/>
      <c r="P354" s="52"/>
      <c r="Q354" s="62"/>
      <c r="R354" s="33"/>
      <c r="S354" s="33"/>
      <c r="T354" s="63">
        <f t="shared" si="2"/>
        <v>1</v>
      </c>
      <c r="U354" s="33"/>
      <c r="V354" s="33"/>
      <c r="W354" s="33"/>
    </row>
    <row r="355" spans="1:23" ht="16.5" customHeight="1" x14ac:dyDescent="0.2">
      <c r="A355" s="35" t="s">
        <v>3401</v>
      </c>
      <c r="B355" s="35" t="s">
        <v>3402</v>
      </c>
      <c r="C355" s="35" t="s">
        <v>115</v>
      </c>
      <c r="D355" s="35" t="s">
        <v>119</v>
      </c>
      <c r="E355" s="35" t="s">
        <v>39</v>
      </c>
      <c r="F355" s="28" t="e">
        <f ca="1">_xludf.ifna(VLOOKUP(G355,Proyectos!$A$2:$F$674,6,0),"")</f>
        <v>#NAME?</v>
      </c>
      <c r="G355" s="35" t="s">
        <v>5219</v>
      </c>
      <c r="H355" s="30">
        <v>0.4</v>
      </c>
      <c r="I355" s="52" t="s">
        <v>18</v>
      </c>
      <c r="J355" s="30" t="s">
        <v>61</v>
      </c>
      <c r="K355" s="30" t="s">
        <v>3403</v>
      </c>
      <c r="L355" s="32" t="e">
        <f ca="1">_xludf.ifna(VLOOKUP(E355,Parámetros!$D$2:$E$34,2,0),"")</f>
        <v>#NAME?</v>
      </c>
      <c r="M355" s="32" t="e">
        <f ca="1">_xludf.ifna(VLOOKUP(G355,Proyectos!$A$2:$T$674,20,0),"")</f>
        <v>#NAME?</v>
      </c>
      <c r="N355" s="32" t="e">
        <f ca="1">_xludf.ifna(VLOOKUP(G355,Proyectos!$A$2:$S$674,19,0))</f>
        <v>#NAME?</v>
      </c>
      <c r="O355" s="30"/>
      <c r="P355" s="52"/>
      <c r="Q355" s="62"/>
      <c r="R355" s="33"/>
      <c r="S355" s="33"/>
      <c r="T355" s="63">
        <f t="shared" si="2"/>
        <v>1</v>
      </c>
      <c r="U355" s="33"/>
      <c r="V355" s="33"/>
      <c r="W355" s="33"/>
    </row>
    <row r="356" spans="1:23" ht="16.5" customHeight="1" x14ac:dyDescent="0.2">
      <c r="A356" s="35" t="s">
        <v>3401</v>
      </c>
      <c r="B356" s="35" t="s">
        <v>3402</v>
      </c>
      <c r="C356" s="35" t="s">
        <v>115</v>
      </c>
      <c r="D356" s="35" t="s">
        <v>119</v>
      </c>
      <c r="E356" s="35" t="s">
        <v>39</v>
      </c>
      <c r="F356" s="28" t="e">
        <f ca="1">_xludf.ifna(VLOOKUP(G356,Proyectos!$A$2:$F$674,6,0),"")</f>
        <v>#NAME?</v>
      </c>
      <c r="G356" s="29" t="s">
        <v>5116</v>
      </c>
      <c r="H356" s="30">
        <v>0.6</v>
      </c>
      <c r="I356" s="52" t="s">
        <v>18</v>
      </c>
      <c r="J356" s="30" t="s">
        <v>61</v>
      </c>
      <c r="K356" s="30"/>
      <c r="L356" s="32" t="e">
        <f ca="1">_xludf.ifna(VLOOKUP(E356,Parámetros!$D$2:$E$34,2,0),"")</f>
        <v>#NAME?</v>
      </c>
      <c r="M356" s="32" t="e">
        <f ca="1">_xludf.ifna(VLOOKUP(G356,Proyectos!$A$2:$T$674,20,0),"")</f>
        <v>#NAME?</v>
      </c>
      <c r="N356" s="32" t="e">
        <f ca="1">_xludf.ifna(VLOOKUP(G356,Proyectos!$A$2:$S$674,19,0))</f>
        <v>#NAME?</v>
      </c>
      <c r="O356" s="30"/>
      <c r="P356" s="52"/>
      <c r="Q356" s="62"/>
      <c r="R356" s="33"/>
      <c r="S356" s="33"/>
      <c r="T356" s="63">
        <f t="shared" si="2"/>
        <v>0</v>
      </c>
      <c r="U356" s="33"/>
      <c r="V356" s="33"/>
      <c r="W356" s="33"/>
    </row>
    <row r="357" spans="1:23" ht="16.5" customHeight="1" x14ac:dyDescent="0.2">
      <c r="A357" s="35" t="s">
        <v>3392</v>
      </c>
      <c r="B357" s="35" t="s">
        <v>3393</v>
      </c>
      <c r="C357" s="35" t="s">
        <v>115</v>
      </c>
      <c r="D357" s="35" t="s">
        <v>119</v>
      </c>
      <c r="E357" s="35" t="s">
        <v>39</v>
      </c>
      <c r="F357" s="28" t="e">
        <f ca="1">_xludf.ifna(VLOOKUP(G357,Proyectos!$A$2:$F$674,6,0),"")</f>
        <v>#NAME?</v>
      </c>
      <c r="G357" s="29" t="s">
        <v>5213</v>
      </c>
      <c r="H357" s="30">
        <v>0.3</v>
      </c>
      <c r="I357" s="52" t="s">
        <v>11</v>
      </c>
      <c r="J357" s="52" t="s">
        <v>61</v>
      </c>
      <c r="K357" s="30"/>
      <c r="L357" s="32" t="e">
        <f ca="1">_xludf.ifna(VLOOKUP(E357,Parámetros!$D$2:$E$34,2,0),"")</f>
        <v>#NAME?</v>
      </c>
      <c r="M357" s="32" t="e">
        <f ca="1">_xludf.ifna(VLOOKUP(G357,Proyectos!$A$2:$T$674,20,0),"")</f>
        <v>#NAME?</v>
      </c>
      <c r="N357" s="32" t="e">
        <f ca="1">_xludf.ifna(VLOOKUP(G357,Proyectos!$A$2:$S$674,19,0))</f>
        <v>#NAME?</v>
      </c>
      <c r="O357" s="30"/>
      <c r="P357" s="52"/>
      <c r="Q357" s="62"/>
      <c r="R357" s="33"/>
      <c r="S357" s="33"/>
      <c r="T357" s="63">
        <f t="shared" si="2"/>
        <v>1</v>
      </c>
      <c r="U357" s="33"/>
      <c r="V357" s="33"/>
      <c r="W357" s="33"/>
    </row>
    <row r="358" spans="1:23" ht="16.5" customHeight="1" x14ac:dyDescent="0.2">
      <c r="A358" s="35" t="s">
        <v>3392</v>
      </c>
      <c r="B358" s="35" t="s">
        <v>3393</v>
      </c>
      <c r="C358" s="35" t="s">
        <v>115</v>
      </c>
      <c r="D358" s="35" t="s">
        <v>119</v>
      </c>
      <c r="E358" s="35" t="s">
        <v>39</v>
      </c>
      <c r="F358" s="28" t="e">
        <f ca="1">_xludf.ifna(VLOOKUP(G358,Proyectos!$A$2:$F$674,6,0),"")</f>
        <v>#NAME?</v>
      </c>
      <c r="G358" s="29" t="s">
        <v>5114</v>
      </c>
      <c r="H358" s="30">
        <v>0.4</v>
      </c>
      <c r="I358" s="52" t="s">
        <v>11</v>
      </c>
      <c r="J358" s="30" t="s">
        <v>61</v>
      </c>
      <c r="K358" s="30"/>
      <c r="L358" s="32" t="e">
        <f ca="1">_xludf.ifna(VLOOKUP(E358,Parámetros!$D$2:$E$34,2,0),"")</f>
        <v>#NAME?</v>
      </c>
      <c r="M358" s="32" t="e">
        <f ca="1">_xludf.ifna(VLOOKUP(G358,Proyectos!$A$2:$T$674,20,0),"")</f>
        <v>#NAME?</v>
      </c>
      <c r="N358" s="32" t="e">
        <f ca="1">_xludf.ifna(VLOOKUP(G358,Proyectos!$A$2:$S$674,19,0))</f>
        <v>#NAME?</v>
      </c>
      <c r="O358" s="30"/>
      <c r="P358" s="52"/>
      <c r="Q358" s="62"/>
      <c r="R358" s="33"/>
      <c r="S358" s="33"/>
      <c r="T358" s="63">
        <f t="shared" si="2"/>
        <v>0</v>
      </c>
      <c r="U358" s="33"/>
      <c r="V358" s="33"/>
      <c r="W358" s="33"/>
    </row>
    <row r="359" spans="1:23" ht="16.5" customHeight="1" x14ac:dyDescent="0.2">
      <c r="A359" s="35" t="s">
        <v>3392</v>
      </c>
      <c r="B359" s="35" t="s">
        <v>3393</v>
      </c>
      <c r="C359" s="35" t="s">
        <v>115</v>
      </c>
      <c r="D359" s="35" t="s">
        <v>119</v>
      </c>
      <c r="E359" s="35" t="s">
        <v>39</v>
      </c>
      <c r="F359" s="28" t="e">
        <f ca="1">_xludf.ifna(VLOOKUP(G359,Proyectos!$A$2:$F$674,6,0),"")</f>
        <v>#NAME?</v>
      </c>
      <c r="G359" s="29" t="s">
        <v>5212</v>
      </c>
      <c r="H359" s="30">
        <v>0.15</v>
      </c>
      <c r="I359" s="52" t="s">
        <v>11</v>
      </c>
      <c r="J359" s="30" t="s">
        <v>61</v>
      </c>
      <c r="K359" s="30"/>
      <c r="L359" s="32" t="e">
        <f ca="1">_xludf.ifna(VLOOKUP(E359,Parámetros!$D$2:$E$34,2,0),"")</f>
        <v>#NAME?</v>
      </c>
      <c r="M359" s="32" t="e">
        <f ca="1">_xludf.ifna(VLOOKUP(G359,Proyectos!$A$2:$T$674,20,0),"")</f>
        <v>#NAME?</v>
      </c>
      <c r="N359" s="32" t="e">
        <f ca="1">_xludf.ifna(VLOOKUP(G359,Proyectos!$A$2:$S$674,19,0))</f>
        <v>#NAME?</v>
      </c>
      <c r="O359" s="30"/>
      <c r="P359" s="52"/>
      <c r="Q359" s="62"/>
      <c r="R359" s="33"/>
      <c r="S359" s="33"/>
      <c r="T359" s="63">
        <f t="shared" si="2"/>
        <v>0</v>
      </c>
      <c r="U359" s="33"/>
      <c r="V359" s="33"/>
      <c r="W359" s="33"/>
    </row>
    <row r="360" spans="1:23" ht="16.5" customHeight="1" x14ac:dyDescent="0.2">
      <c r="A360" s="35" t="s">
        <v>3392</v>
      </c>
      <c r="B360" s="35" t="s">
        <v>3393</v>
      </c>
      <c r="C360" s="35" t="s">
        <v>115</v>
      </c>
      <c r="D360" s="35" t="s">
        <v>119</v>
      </c>
      <c r="E360" s="35" t="s">
        <v>39</v>
      </c>
      <c r="F360" s="28" t="e">
        <f ca="1">_xludf.ifna(VLOOKUP(G360,Proyectos!$A$2:$F$674,6,0),"")</f>
        <v>#NAME?</v>
      </c>
      <c r="G360" s="29" t="s">
        <v>5214</v>
      </c>
      <c r="H360" s="30">
        <v>0.15</v>
      </c>
      <c r="I360" s="52" t="s">
        <v>11</v>
      </c>
      <c r="J360" s="30" t="s">
        <v>61</v>
      </c>
      <c r="K360" s="30"/>
      <c r="L360" s="32" t="e">
        <f ca="1">_xludf.ifna(VLOOKUP(E360,Parámetros!$D$2:$E$34,2,0),"")</f>
        <v>#NAME?</v>
      </c>
      <c r="M360" s="32" t="e">
        <f ca="1">_xludf.ifna(VLOOKUP(G360,Proyectos!$A$2:$T$674,20,0),"")</f>
        <v>#NAME?</v>
      </c>
      <c r="N360" s="32" t="e">
        <f ca="1">_xludf.ifna(VLOOKUP(G360,Proyectos!$A$2:$S$674,19,0))</f>
        <v>#NAME?</v>
      </c>
      <c r="O360" s="30"/>
      <c r="P360" s="52"/>
      <c r="Q360" s="62"/>
      <c r="R360" s="33"/>
      <c r="S360" s="33"/>
      <c r="T360" s="63">
        <f t="shared" si="2"/>
        <v>0</v>
      </c>
      <c r="U360" s="33"/>
      <c r="V360" s="33"/>
      <c r="W360" s="33"/>
    </row>
    <row r="361" spans="1:23" ht="16.5" customHeight="1" x14ac:dyDescent="0.2">
      <c r="A361" s="35" t="s">
        <v>3976</v>
      </c>
      <c r="B361" s="35" t="s">
        <v>3977</v>
      </c>
      <c r="C361" s="35" t="s">
        <v>115</v>
      </c>
      <c r="D361" s="35" t="s">
        <v>119</v>
      </c>
      <c r="E361" s="35" t="s">
        <v>129</v>
      </c>
      <c r="F361" s="28" t="e">
        <f ca="1">_xludf.ifna(VLOOKUP(G361,Proyectos!$A$2:$F$674,6,0),"")</f>
        <v>#NAME?</v>
      </c>
      <c r="G361" s="29" t="s">
        <v>5217</v>
      </c>
      <c r="H361" s="30">
        <v>0.25</v>
      </c>
      <c r="I361" s="52" t="s">
        <v>18</v>
      </c>
      <c r="J361" s="30" t="s">
        <v>61</v>
      </c>
      <c r="K361" s="30"/>
      <c r="L361" s="32" t="e">
        <f ca="1">_xludf.ifna(VLOOKUP(E361,Parámetros!$D$2:$E$34,2,0),"")</f>
        <v>#NAME?</v>
      </c>
      <c r="M361" s="32" t="e">
        <f ca="1">_xludf.ifna(VLOOKUP(G361,Proyectos!$A$2:$T$674,20,0),"")</f>
        <v>#NAME?</v>
      </c>
      <c r="N361" s="32" t="e">
        <f ca="1">_xludf.ifna(VLOOKUP(G361,Proyectos!$A$2:$S$674,19,0))</f>
        <v>#NAME?</v>
      </c>
      <c r="O361" s="30"/>
      <c r="P361" s="52"/>
      <c r="Q361" s="62"/>
      <c r="R361" s="33"/>
      <c r="S361" s="33"/>
      <c r="T361" s="63">
        <f t="shared" si="2"/>
        <v>1</v>
      </c>
      <c r="U361" s="33"/>
      <c r="V361" s="33"/>
      <c r="W361" s="33"/>
    </row>
    <row r="362" spans="1:23" ht="16.5" customHeight="1" x14ac:dyDescent="0.2">
      <c r="A362" s="35" t="s">
        <v>3976</v>
      </c>
      <c r="B362" s="35" t="s">
        <v>3977</v>
      </c>
      <c r="C362" s="35" t="s">
        <v>115</v>
      </c>
      <c r="D362" s="35" t="s">
        <v>119</v>
      </c>
      <c r="E362" s="35" t="s">
        <v>129</v>
      </c>
      <c r="F362" s="28" t="e">
        <f ca="1">_xludf.ifna(VLOOKUP(G362,Proyectos!$A$2:$F$674,6,0),"")</f>
        <v>#NAME?</v>
      </c>
      <c r="G362" s="29" t="s">
        <v>5216</v>
      </c>
      <c r="H362" s="30">
        <v>0.75</v>
      </c>
      <c r="I362" s="52" t="s">
        <v>18</v>
      </c>
      <c r="J362" s="30" t="s">
        <v>61</v>
      </c>
      <c r="K362" s="30"/>
      <c r="L362" s="32" t="e">
        <f ca="1">_xludf.ifna(VLOOKUP(E362,Parámetros!$D$2:$E$34,2,0),"")</f>
        <v>#NAME?</v>
      </c>
      <c r="M362" s="32" t="e">
        <f ca="1">_xludf.ifna(VLOOKUP(G362,Proyectos!$A$2:$T$674,20,0),"")</f>
        <v>#NAME?</v>
      </c>
      <c r="N362" s="32" t="e">
        <f ca="1">_xludf.ifna(VLOOKUP(G362,Proyectos!$A$2:$S$674,19,0))</f>
        <v>#NAME?</v>
      </c>
      <c r="O362" s="52"/>
      <c r="P362" s="52"/>
      <c r="Q362" s="62"/>
      <c r="R362" s="33"/>
      <c r="S362" s="33"/>
      <c r="T362" s="63">
        <f t="shared" si="2"/>
        <v>0</v>
      </c>
      <c r="U362" s="33"/>
      <c r="V362" s="33"/>
      <c r="W362" s="33"/>
    </row>
    <row r="363" spans="1:23" ht="16.5" customHeight="1" x14ac:dyDescent="0.2">
      <c r="A363" s="35" t="s">
        <v>3349</v>
      </c>
      <c r="B363" s="35" t="s">
        <v>3350</v>
      </c>
      <c r="C363" s="35" t="s">
        <v>115</v>
      </c>
      <c r="D363" s="35" t="s">
        <v>119</v>
      </c>
      <c r="E363" s="35" t="s">
        <v>39</v>
      </c>
      <c r="F363" s="28" t="e">
        <f ca="1">_xludf.ifna(VLOOKUP(G363,Proyectos!$A$2:$F$674,6,0),"")</f>
        <v>#NAME?</v>
      </c>
      <c r="G363" s="29" t="s">
        <v>5114</v>
      </c>
      <c r="H363" s="30">
        <v>1</v>
      </c>
      <c r="I363" s="52" t="s">
        <v>18</v>
      </c>
      <c r="J363" s="30" t="s">
        <v>61</v>
      </c>
      <c r="K363" s="30"/>
      <c r="L363" s="32" t="e">
        <f ca="1">_xludf.ifna(VLOOKUP(E363,Parámetros!$D$2:$E$34,2,0),"")</f>
        <v>#NAME?</v>
      </c>
      <c r="M363" s="32" t="e">
        <f ca="1">_xludf.ifna(VLOOKUP(G363,Proyectos!$A$2:$T$674,20,0),"")</f>
        <v>#NAME?</v>
      </c>
      <c r="N363" s="32" t="e">
        <f ca="1">_xludf.ifna(VLOOKUP(G363,Proyectos!$A$2:$S$674,19,0))</f>
        <v>#NAME?</v>
      </c>
      <c r="O363" s="30"/>
      <c r="P363" s="52"/>
      <c r="Q363" s="62"/>
      <c r="R363" s="33"/>
      <c r="S363" s="33"/>
      <c r="T363" s="63">
        <f t="shared" si="2"/>
        <v>1</v>
      </c>
      <c r="U363" s="33"/>
      <c r="V363" s="33"/>
      <c r="W363" s="33"/>
    </row>
    <row r="364" spans="1:23" ht="16.5" customHeight="1" x14ac:dyDescent="0.2">
      <c r="A364" s="35" t="s">
        <v>4456</v>
      </c>
      <c r="B364" s="64" t="s">
        <v>4457</v>
      </c>
      <c r="C364" s="35" t="s">
        <v>115</v>
      </c>
      <c r="D364" s="35" t="s">
        <v>119</v>
      </c>
      <c r="E364" s="35" t="s">
        <v>100</v>
      </c>
      <c r="F364" s="28" t="e">
        <f ca="1">_xludf.ifna(VLOOKUP(G364,Proyectos!$A$2:$F$674,6,0),"")</f>
        <v>#NAME?</v>
      </c>
      <c r="G364" s="29" t="s">
        <v>5218</v>
      </c>
      <c r="H364" s="30">
        <v>1</v>
      </c>
      <c r="I364" s="52" t="s">
        <v>18</v>
      </c>
      <c r="J364" s="30" t="s">
        <v>19</v>
      </c>
      <c r="K364" s="52" t="s">
        <v>4458</v>
      </c>
      <c r="L364" s="32" t="e">
        <f ca="1">_xludf.ifna(VLOOKUP(E364,Parámetros!$D$2:$E$34,2,0),"")</f>
        <v>#NAME?</v>
      </c>
      <c r="M364" s="32" t="e">
        <f ca="1">_xludf.ifna(VLOOKUP(G364,Proyectos!$A$2:$T$674,20,0),"")</f>
        <v>#NAME?</v>
      </c>
      <c r="N364" s="32" t="e">
        <f ca="1">_xludf.ifna(VLOOKUP(G364,Proyectos!$A$2:$S$674,19,0))</f>
        <v>#NAME?</v>
      </c>
      <c r="O364" s="30"/>
      <c r="P364" s="52"/>
      <c r="Q364" s="62"/>
      <c r="R364" s="33"/>
      <c r="S364" s="33"/>
      <c r="T364" s="63">
        <f t="shared" si="2"/>
        <v>1</v>
      </c>
      <c r="U364" s="33"/>
      <c r="V364" s="33"/>
      <c r="W364" s="33"/>
    </row>
    <row r="365" spans="1:23" ht="16.5" customHeight="1" x14ac:dyDescent="0.2">
      <c r="A365" s="35" t="s">
        <v>3870</v>
      </c>
      <c r="B365" s="35" t="s">
        <v>3871</v>
      </c>
      <c r="C365" s="35" t="s">
        <v>115</v>
      </c>
      <c r="D365" s="35" t="s">
        <v>119</v>
      </c>
      <c r="E365" s="35" t="s">
        <v>39</v>
      </c>
      <c r="F365" s="28" t="e">
        <f ca="1">_xludf.ifna(VLOOKUP(G365,Proyectos!$A$2:$F$674,6,0),"")</f>
        <v>#NAME?</v>
      </c>
      <c r="G365" s="29" t="s">
        <v>5220</v>
      </c>
      <c r="H365" s="30">
        <v>0.65</v>
      </c>
      <c r="I365" s="52" t="s">
        <v>18</v>
      </c>
      <c r="J365" s="30" t="s">
        <v>61</v>
      </c>
      <c r="K365" s="30"/>
      <c r="L365" s="32" t="e">
        <f ca="1">_xludf.ifna(VLOOKUP(E365,Parámetros!$D$2:$E$34,2,0),"")</f>
        <v>#NAME?</v>
      </c>
      <c r="M365" s="32" t="e">
        <f ca="1">_xludf.ifna(VLOOKUP(G365,Proyectos!$A$2:$T$674,20,0),"")</f>
        <v>#NAME?</v>
      </c>
      <c r="N365" s="32" t="e">
        <f ca="1">_xludf.ifna(VLOOKUP(G365,Proyectos!$A$2:$S$674,19,0))</f>
        <v>#NAME?</v>
      </c>
      <c r="O365" s="30"/>
      <c r="P365" s="52"/>
      <c r="Q365" s="62"/>
      <c r="R365" s="33"/>
      <c r="S365" s="33"/>
      <c r="T365" s="63">
        <f t="shared" si="2"/>
        <v>1</v>
      </c>
      <c r="U365" s="33"/>
      <c r="V365" s="33"/>
      <c r="W365" s="33"/>
    </row>
    <row r="366" spans="1:23" ht="16.5" customHeight="1" x14ac:dyDescent="0.2">
      <c r="A366" s="35" t="s">
        <v>3870</v>
      </c>
      <c r="B366" s="35" t="s">
        <v>3871</v>
      </c>
      <c r="C366" s="35" t="s">
        <v>115</v>
      </c>
      <c r="D366" s="35" t="s">
        <v>119</v>
      </c>
      <c r="E366" s="35" t="s">
        <v>39</v>
      </c>
      <c r="F366" s="28" t="e">
        <f ca="1">_xludf.ifna(VLOOKUP(G366,Proyectos!$A$2:$F$674,6,0),"")</f>
        <v>#NAME?</v>
      </c>
      <c r="G366" s="29" t="s">
        <v>5131</v>
      </c>
      <c r="H366" s="30">
        <v>0.2</v>
      </c>
      <c r="I366" s="52" t="s">
        <v>18</v>
      </c>
      <c r="J366" s="30" t="s">
        <v>61</v>
      </c>
      <c r="K366" s="30"/>
      <c r="L366" s="32" t="e">
        <f ca="1">_xludf.ifna(VLOOKUP(E366,Parámetros!$D$2:$E$34,2,0),"")</f>
        <v>#NAME?</v>
      </c>
      <c r="M366" s="32" t="e">
        <f ca="1">_xludf.ifna(VLOOKUP(G366,Proyectos!$A$2:$T$674,20,0),"")</f>
        <v>#NAME?</v>
      </c>
      <c r="N366" s="32" t="e">
        <f ca="1">_xludf.ifna(VLOOKUP(G366,Proyectos!$A$2:$S$674,19,0))</f>
        <v>#NAME?</v>
      </c>
      <c r="O366" s="30"/>
      <c r="P366" s="52"/>
      <c r="Q366" s="62"/>
      <c r="R366" s="33"/>
      <c r="S366" s="33"/>
      <c r="T366" s="63">
        <f t="shared" si="2"/>
        <v>0</v>
      </c>
      <c r="U366" s="33"/>
      <c r="V366" s="33"/>
      <c r="W366" s="33"/>
    </row>
    <row r="367" spans="1:23" ht="16.5" customHeight="1" x14ac:dyDescent="0.2">
      <c r="A367" s="35" t="s">
        <v>3870</v>
      </c>
      <c r="B367" s="35" t="s">
        <v>3871</v>
      </c>
      <c r="C367" s="35" t="s">
        <v>115</v>
      </c>
      <c r="D367" s="35" t="s">
        <v>119</v>
      </c>
      <c r="E367" s="35" t="s">
        <v>39</v>
      </c>
      <c r="F367" s="28" t="e">
        <f ca="1">_xludf.ifna(VLOOKUP(G367,Proyectos!$A$2:$F$674,6,0),"")</f>
        <v>#NAME?</v>
      </c>
      <c r="G367" s="29" t="s">
        <v>5114</v>
      </c>
      <c r="H367" s="30">
        <v>0.15</v>
      </c>
      <c r="I367" s="52" t="s">
        <v>18</v>
      </c>
      <c r="J367" s="30" t="s">
        <v>61</v>
      </c>
      <c r="K367" s="30"/>
      <c r="L367" s="32" t="e">
        <f ca="1">_xludf.ifna(VLOOKUP(E367,Parámetros!$D$2:$E$34,2,0),"")</f>
        <v>#NAME?</v>
      </c>
      <c r="M367" s="32" t="e">
        <f ca="1">_xludf.ifna(VLOOKUP(G367,Proyectos!$A$2:$T$674,20,0),"")</f>
        <v>#NAME?</v>
      </c>
      <c r="N367" s="32" t="e">
        <f ca="1">_xludf.ifna(VLOOKUP(G367,Proyectos!$A$2:$S$674,19,0))</f>
        <v>#NAME?</v>
      </c>
      <c r="O367" s="30"/>
      <c r="P367" s="52"/>
      <c r="Q367" s="62"/>
      <c r="R367" s="33"/>
      <c r="S367" s="33"/>
      <c r="T367" s="63">
        <f t="shared" si="2"/>
        <v>0</v>
      </c>
      <c r="U367" s="33"/>
      <c r="V367" s="33"/>
      <c r="W367" s="33"/>
    </row>
    <row r="368" spans="1:23" ht="16.5" customHeight="1" x14ac:dyDescent="0.2">
      <c r="A368" s="35" t="s">
        <v>3986</v>
      </c>
      <c r="B368" s="35" t="s">
        <v>3987</v>
      </c>
      <c r="C368" s="35" t="s">
        <v>115</v>
      </c>
      <c r="D368" s="35" t="s">
        <v>119</v>
      </c>
      <c r="E368" s="35" t="s">
        <v>135</v>
      </c>
      <c r="F368" s="28" t="e">
        <f ca="1">_xludf.ifna(VLOOKUP(G368,Proyectos!$A$2:$F$674,6,0),"")</f>
        <v>#NAME?</v>
      </c>
      <c r="G368" s="29" t="s">
        <v>5213</v>
      </c>
      <c r="H368" s="30">
        <v>0.4</v>
      </c>
      <c r="I368" s="52" t="s">
        <v>18</v>
      </c>
      <c r="J368" s="30" t="s">
        <v>61</v>
      </c>
      <c r="K368" s="30" t="s">
        <v>3988</v>
      </c>
      <c r="L368" s="32" t="e">
        <f ca="1">_xludf.ifna(VLOOKUP(E368,Parámetros!$D$2:$E$34,2,0),"")</f>
        <v>#NAME?</v>
      </c>
      <c r="M368" s="32" t="e">
        <f ca="1">_xludf.ifna(VLOOKUP(G368,Proyectos!$A$2:$T$674,20,0),"")</f>
        <v>#NAME?</v>
      </c>
      <c r="N368" s="32" t="e">
        <f ca="1">_xludf.ifna(VLOOKUP(G368,Proyectos!$A$2:$S$674,19,0))</f>
        <v>#NAME?</v>
      </c>
      <c r="O368" s="30"/>
      <c r="P368" s="52"/>
      <c r="Q368" s="62"/>
      <c r="R368" s="33"/>
      <c r="S368" s="33"/>
      <c r="T368" s="63">
        <f t="shared" si="2"/>
        <v>1</v>
      </c>
      <c r="U368" s="33"/>
      <c r="V368" s="33"/>
      <c r="W368" s="33"/>
    </row>
    <row r="369" spans="1:23" ht="16.5" customHeight="1" x14ac:dyDescent="0.2">
      <c r="A369" s="35" t="s">
        <v>3947</v>
      </c>
      <c r="B369" s="35" t="s">
        <v>3948</v>
      </c>
      <c r="C369" s="35" t="s">
        <v>115</v>
      </c>
      <c r="D369" s="35" t="s">
        <v>119</v>
      </c>
      <c r="E369" s="35" t="s">
        <v>135</v>
      </c>
      <c r="F369" s="28" t="e">
        <f ca="1">_xludf.ifna(VLOOKUP(G369,Proyectos!$A$2:$F$674,6,0),"")</f>
        <v>#NAME?</v>
      </c>
      <c r="G369" s="29" t="s">
        <v>5114</v>
      </c>
      <c r="H369" s="30">
        <v>1</v>
      </c>
      <c r="I369" s="52" t="s">
        <v>11</v>
      </c>
      <c r="J369" s="30" t="s">
        <v>61</v>
      </c>
      <c r="K369" s="30"/>
      <c r="L369" s="32" t="e">
        <f ca="1">_xludf.ifna(VLOOKUP(E369,Parámetros!$D$2:$E$34,2,0),"")</f>
        <v>#NAME?</v>
      </c>
      <c r="M369" s="32" t="e">
        <f ca="1">_xludf.ifna(VLOOKUP(G369,Proyectos!$A$2:$T$674,20,0),"")</f>
        <v>#NAME?</v>
      </c>
      <c r="N369" s="32" t="e">
        <f ca="1">_xludf.ifna(VLOOKUP(G369,Proyectos!$A$2:$S$674,19,0))</f>
        <v>#NAME?</v>
      </c>
      <c r="O369" s="30"/>
      <c r="P369" s="52"/>
      <c r="Q369" s="62"/>
      <c r="R369" s="33"/>
      <c r="S369" s="33"/>
      <c r="T369" s="63">
        <f t="shared" si="2"/>
        <v>1</v>
      </c>
      <c r="U369" s="33"/>
      <c r="V369" s="33"/>
      <c r="W369" s="33"/>
    </row>
    <row r="370" spans="1:23" ht="16.5" customHeight="1" x14ac:dyDescent="0.2">
      <c r="A370" s="35" t="s">
        <v>3526</v>
      </c>
      <c r="B370" s="35" t="s">
        <v>3527</v>
      </c>
      <c r="C370" s="35" t="s">
        <v>115</v>
      </c>
      <c r="D370" s="35" t="s">
        <v>119</v>
      </c>
      <c r="E370" s="35" t="s">
        <v>39</v>
      </c>
      <c r="F370" s="28" t="e">
        <f ca="1">_xludf.ifna(VLOOKUP(G370,Proyectos!$A$2:$F$674,6,0),"")</f>
        <v>#NAME?</v>
      </c>
      <c r="G370" s="29" t="s">
        <v>5131</v>
      </c>
      <c r="H370" s="30">
        <v>0.2</v>
      </c>
      <c r="I370" s="52" t="s">
        <v>18</v>
      </c>
      <c r="J370" s="52" t="s">
        <v>61</v>
      </c>
      <c r="K370" s="52"/>
      <c r="L370" s="32" t="e">
        <f ca="1">_xludf.ifna(VLOOKUP(E370,Parámetros!$D$2:$E$34,2,0),"")</f>
        <v>#NAME?</v>
      </c>
      <c r="M370" s="32" t="e">
        <f ca="1">_xludf.ifna(VLOOKUP(G370,Proyectos!$A$2:$T$674,20,0),"")</f>
        <v>#NAME?</v>
      </c>
      <c r="N370" s="32" t="e">
        <f ca="1">_xludf.ifna(VLOOKUP(G370,Proyectos!$A$2:$S$674,19,0))</f>
        <v>#NAME?</v>
      </c>
      <c r="O370" s="52"/>
      <c r="P370" s="52"/>
      <c r="Q370" s="62"/>
      <c r="R370" s="33"/>
      <c r="S370" s="33"/>
      <c r="T370" s="63">
        <f t="shared" si="2"/>
        <v>1</v>
      </c>
      <c r="U370" s="33"/>
      <c r="V370" s="33"/>
      <c r="W370" s="33"/>
    </row>
    <row r="371" spans="1:23" ht="16.5" customHeight="1" x14ac:dyDescent="0.2">
      <c r="A371" s="35" t="s">
        <v>3526</v>
      </c>
      <c r="B371" s="35" t="s">
        <v>3527</v>
      </c>
      <c r="C371" s="35" t="s">
        <v>115</v>
      </c>
      <c r="D371" s="35" t="s">
        <v>119</v>
      </c>
      <c r="E371" s="35" t="s">
        <v>39</v>
      </c>
      <c r="F371" s="28" t="e">
        <f ca="1">_xludf.ifna(VLOOKUP(G371,Proyectos!$A$2:$F$674,6,0),"")</f>
        <v>#NAME?</v>
      </c>
      <c r="G371" s="29" t="s">
        <v>5221</v>
      </c>
      <c r="H371" s="30">
        <v>0.5</v>
      </c>
      <c r="I371" s="52" t="s">
        <v>18</v>
      </c>
      <c r="J371" s="30" t="s">
        <v>61</v>
      </c>
      <c r="K371" s="30"/>
      <c r="L371" s="32" t="e">
        <f ca="1">_xludf.ifna(VLOOKUP(E371,Parámetros!$D$2:$E$34,2,0),"")</f>
        <v>#NAME?</v>
      </c>
      <c r="M371" s="32" t="e">
        <f ca="1">_xludf.ifna(VLOOKUP(G371,Proyectos!$A$2:$T$674,20,0),"")</f>
        <v>#NAME?</v>
      </c>
      <c r="N371" s="32" t="e">
        <f ca="1">_xludf.ifna(VLOOKUP(G371,Proyectos!$A$2:$S$674,19,0))</f>
        <v>#NAME?</v>
      </c>
      <c r="O371" s="30"/>
      <c r="P371" s="52"/>
      <c r="Q371" s="62"/>
      <c r="R371" s="33"/>
      <c r="S371" s="33"/>
      <c r="T371" s="63">
        <f t="shared" si="2"/>
        <v>0</v>
      </c>
      <c r="U371" s="33"/>
      <c r="V371" s="33"/>
      <c r="W371" s="33"/>
    </row>
    <row r="372" spans="1:23" ht="16.5" customHeight="1" x14ac:dyDescent="0.2">
      <c r="A372" s="35" t="s">
        <v>3526</v>
      </c>
      <c r="B372" s="35" t="s">
        <v>3527</v>
      </c>
      <c r="C372" s="35" t="s">
        <v>115</v>
      </c>
      <c r="D372" s="35" t="s">
        <v>119</v>
      </c>
      <c r="E372" s="35" t="s">
        <v>39</v>
      </c>
      <c r="F372" s="28" t="e">
        <f ca="1">_xludf.ifna(VLOOKUP(G372,Proyectos!$A$2:$F$674,6,0),"")</f>
        <v>#NAME?</v>
      </c>
      <c r="G372" s="29" t="s">
        <v>5222</v>
      </c>
      <c r="H372" s="30">
        <v>0.3</v>
      </c>
      <c r="I372" s="52" t="s">
        <v>18</v>
      </c>
      <c r="J372" s="30" t="s">
        <v>61</v>
      </c>
      <c r="K372" s="30"/>
      <c r="L372" s="32" t="e">
        <f ca="1">_xludf.ifna(VLOOKUP(E372,Parámetros!$D$2:$E$34,2,0),"")</f>
        <v>#NAME?</v>
      </c>
      <c r="M372" s="32" t="e">
        <f ca="1">_xludf.ifna(VLOOKUP(G372,Proyectos!$A$2:$T$674,20,0),"")</f>
        <v>#NAME?</v>
      </c>
      <c r="N372" s="32" t="e">
        <f ca="1">_xludf.ifna(VLOOKUP(G372,Proyectos!$A$2:$S$674,19,0))</f>
        <v>#NAME?</v>
      </c>
      <c r="O372" s="30"/>
      <c r="P372" s="52"/>
      <c r="Q372" s="62"/>
      <c r="R372" s="33"/>
      <c r="S372" s="33"/>
      <c r="T372" s="63">
        <f t="shared" si="2"/>
        <v>0</v>
      </c>
      <c r="U372" s="33"/>
      <c r="V372" s="33"/>
      <c r="W372" s="33"/>
    </row>
    <row r="373" spans="1:23" ht="16.5" customHeight="1" x14ac:dyDescent="0.2">
      <c r="A373" s="35" t="s">
        <v>3666</v>
      </c>
      <c r="B373" s="35" t="s">
        <v>3667</v>
      </c>
      <c r="C373" s="35" t="s">
        <v>115</v>
      </c>
      <c r="D373" s="35" t="s">
        <v>119</v>
      </c>
      <c r="E373" s="35" t="s">
        <v>39</v>
      </c>
      <c r="F373" s="28" t="e">
        <f ca="1">_xludf.ifna(VLOOKUP(G373,Proyectos!$A$2:$F$674,6,0),"")</f>
        <v>#NAME?</v>
      </c>
      <c r="G373" s="29" t="s">
        <v>5114</v>
      </c>
      <c r="H373" s="30">
        <v>1</v>
      </c>
      <c r="I373" s="52" t="s">
        <v>18</v>
      </c>
      <c r="J373" s="30" t="s">
        <v>61</v>
      </c>
      <c r="K373" s="30"/>
      <c r="L373" s="32" t="e">
        <f ca="1">_xludf.ifna(VLOOKUP(E373,Parámetros!$D$2:$E$34,2,0),"")</f>
        <v>#NAME?</v>
      </c>
      <c r="M373" s="32" t="e">
        <f ca="1">_xludf.ifna(VLOOKUP(G373,Proyectos!$A$2:$T$674,20,0),"")</f>
        <v>#NAME?</v>
      </c>
      <c r="N373" s="32" t="e">
        <f ca="1">_xludf.ifna(VLOOKUP(G373,Proyectos!$A$2:$S$674,19,0))</f>
        <v>#NAME?</v>
      </c>
      <c r="O373" s="30"/>
      <c r="P373" s="52"/>
      <c r="Q373" s="62"/>
      <c r="R373" s="33"/>
      <c r="S373" s="33"/>
      <c r="T373" s="63">
        <f t="shared" si="2"/>
        <v>1</v>
      </c>
      <c r="U373" s="33"/>
      <c r="V373" s="33"/>
      <c r="W373" s="33"/>
    </row>
    <row r="374" spans="1:23" ht="16.5" customHeight="1" x14ac:dyDescent="0.2">
      <c r="A374" s="35" t="s">
        <v>4652</v>
      </c>
      <c r="B374" s="35" t="s">
        <v>4653</v>
      </c>
      <c r="C374" s="35" t="s">
        <v>115</v>
      </c>
      <c r="D374" s="35" t="s">
        <v>119</v>
      </c>
      <c r="E374" s="35" t="s">
        <v>39</v>
      </c>
      <c r="F374" s="28" t="e">
        <f ca="1">_xludf.ifna(VLOOKUP(G374,Proyectos!$A$2:$F$674,6,0),"")</f>
        <v>#NAME?</v>
      </c>
      <c r="G374" s="29" t="s">
        <v>5216</v>
      </c>
      <c r="H374" s="30">
        <v>0.2</v>
      </c>
      <c r="I374" s="52" t="s">
        <v>11</v>
      </c>
      <c r="J374" s="30" t="s">
        <v>72</v>
      </c>
      <c r="K374" s="30"/>
      <c r="L374" s="32" t="e">
        <f ca="1">_xludf.ifna(VLOOKUP(E374,Parámetros!$D$2:$E$34,2,0),"")</f>
        <v>#NAME?</v>
      </c>
      <c r="M374" s="32" t="e">
        <f ca="1">_xludf.ifna(VLOOKUP(G374,Proyectos!$A$2:$T$674,20,0),"")</f>
        <v>#NAME?</v>
      </c>
      <c r="N374" s="32" t="e">
        <f ca="1">_xludf.ifna(VLOOKUP(G374,Proyectos!$A$2:$S$674,19,0))</f>
        <v>#NAME?</v>
      </c>
      <c r="O374" s="30"/>
      <c r="P374" s="52"/>
      <c r="Q374" s="62"/>
      <c r="R374" s="33"/>
      <c r="S374" s="33"/>
      <c r="T374" s="63">
        <f t="shared" si="2"/>
        <v>1</v>
      </c>
      <c r="U374" s="33"/>
      <c r="V374" s="33"/>
      <c r="W374" s="33"/>
    </row>
    <row r="375" spans="1:23" ht="16.5" customHeight="1" x14ac:dyDescent="0.2">
      <c r="A375" s="35" t="s">
        <v>4652</v>
      </c>
      <c r="B375" s="35" t="s">
        <v>4653</v>
      </c>
      <c r="C375" s="35" t="s">
        <v>115</v>
      </c>
      <c r="D375" s="35" t="s">
        <v>119</v>
      </c>
      <c r="E375" s="35" t="s">
        <v>39</v>
      </c>
      <c r="F375" s="28" t="e">
        <f ca="1">_xludf.ifna(VLOOKUP(G375,Proyectos!$A$2:$F$674,6,0),"")</f>
        <v>#NAME?</v>
      </c>
      <c r="G375" s="29" t="s">
        <v>5217</v>
      </c>
      <c r="H375" s="30">
        <v>0.2</v>
      </c>
      <c r="I375" s="52" t="s">
        <v>11</v>
      </c>
      <c r="J375" s="30" t="s">
        <v>72</v>
      </c>
      <c r="K375" s="30"/>
      <c r="L375" s="32" t="e">
        <f ca="1">_xludf.ifna(VLOOKUP(E375,Parámetros!$D$2:$E$34,2,0),"")</f>
        <v>#NAME?</v>
      </c>
      <c r="M375" s="32" t="e">
        <f ca="1">_xludf.ifna(VLOOKUP(G375,Proyectos!$A$2:$T$674,20,0),"")</f>
        <v>#NAME?</v>
      </c>
      <c r="N375" s="32" t="e">
        <f ca="1">_xludf.ifna(VLOOKUP(G375,Proyectos!$A$2:$S$674,19,0))</f>
        <v>#NAME?</v>
      </c>
      <c r="O375" s="30"/>
      <c r="P375" s="52"/>
      <c r="Q375" s="62"/>
      <c r="R375" s="33"/>
      <c r="S375" s="33"/>
      <c r="T375" s="63">
        <f t="shared" si="2"/>
        <v>0</v>
      </c>
      <c r="U375" s="33"/>
      <c r="V375" s="33"/>
      <c r="W375" s="33"/>
    </row>
    <row r="376" spans="1:23" ht="16.5" customHeight="1" x14ac:dyDescent="0.2">
      <c r="A376" s="35" t="s">
        <v>4652</v>
      </c>
      <c r="B376" s="35" t="s">
        <v>4653</v>
      </c>
      <c r="C376" s="35" t="s">
        <v>115</v>
      </c>
      <c r="D376" s="35" t="s">
        <v>119</v>
      </c>
      <c r="E376" s="35" t="s">
        <v>39</v>
      </c>
      <c r="F376" s="28" t="e">
        <f ca="1">_xludf.ifna(VLOOKUP(G376,Proyectos!$A$2:$F$674,6,0),"")</f>
        <v>#NAME?</v>
      </c>
      <c r="G376" s="29" t="s">
        <v>5218</v>
      </c>
      <c r="H376" s="30">
        <v>0.2</v>
      </c>
      <c r="I376" s="52" t="s">
        <v>11</v>
      </c>
      <c r="J376" s="30" t="s">
        <v>72</v>
      </c>
      <c r="K376" s="30"/>
      <c r="L376" s="32" t="e">
        <f ca="1">_xludf.ifna(VLOOKUP(E376,Parámetros!$D$2:$E$34,2,0),"")</f>
        <v>#NAME?</v>
      </c>
      <c r="M376" s="32" t="e">
        <f ca="1">_xludf.ifna(VLOOKUP(G376,Proyectos!$A$2:$T$674,20,0),"")</f>
        <v>#NAME?</v>
      </c>
      <c r="N376" s="32" t="e">
        <f ca="1">_xludf.ifna(VLOOKUP(G376,Proyectos!$A$2:$S$674,19,0))</f>
        <v>#NAME?</v>
      </c>
      <c r="O376" s="30"/>
      <c r="P376" s="52"/>
      <c r="Q376" s="62"/>
      <c r="R376" s="33"/>
      <c r="S376" s="33"/>
      <c r="T376" s="63">
        <f t="shared" si="2"/>
        <v>0</v>
      </c>
      <c r="U376" s="33"/>
      <c r="V376" s="33"/>
      <c r="W376" s="33"/>
    </row>
    <row r="377" spans="1:23" ht="16.5" customHeight="1" x14ac:dyDescent="0.2">
      <c r="A377" s="35" t="s">
        <v>4652</v>
      </c>
      <c r="B377" s="35" t="s">
        <v>4653</v>
      </c>
      <c r="C377" s="35" t="s">
        <v>115</v>
      </c>
      <c r="D377" s="35" t="s">
        <v>119</v>
      </c>
      <c r="E377" s="35" t="s">
        <v>39</v>
      </c>
      <c r="F377" s="28" t="e">
        <f ca="1">_xludf.ifna(VLOOKUP(G377,Proyectos!$A$2:$F$674,6,0),"")</f>
        <v>#NAME?</v>
      </c>
      <c r="G377" s="29" t="s">
        <v>5223</v>
      </c>
      <c r="H377" s="30">
        <v>0.2</v>
      </c>
      <c r="I377" s="52" t="s">
        <v>11</v>
      </c>
      <c r="J377" s="30" t="s">
        <v>72</v>
      </c>
      <c r="K377" s="30"/>
      <c r="L377" s="32" t="e">
        <f ca="1">_xludf.ifna(VLOOKUP(E377,Parámetros!$D$2:$E$34,2,0),"")</f>
        <v>#NAME?</v>
      </c>
      <c r="M377" s="32" t="e">
        <f ca="1">_xludf.ifna(VLOOKUP(G377,Proyectos!$A$2:$T$674,20,0),"")</f>
        <v>#NAME?</v>
      </c>
      <c r="N377" s="32" t="e">
        <f ca="1">_xludf.ifna(VLOOKUP(G377,Proyectos!$A$2:$S$674,19,0))</f>
        <v>#NAME?</v>
      </c>
      <c r="O377" s="30"/>
      <c r="P377" s="52"/>
      <c r="Q377" s="62"/>
      <c r="R377" s="33"/>
      <c r="S377" s="33"/>
      <c r="T377" s="63">
        <f t="shared" si="2"/>
        <v>0</v>
      </c>
      <c r="U377" s="33"/>
      <c r="V377" s="33"/>
      <c r="W377" s="33"/>
    </row>
    <row r="378" spans="1:23" ht="16.5" customHeight="1" x14ac:dyDescent="0.2">
      <c r="A378" s="35" t="s">
        <v>4652</v>
      </c>
      <c r="B378" s="35" t="s">
        <v>4653</v>
      </c>
      <c r="C378" s="35" t="s">
        <v>115</v>
      </c>
      <c r="D378" s="35" t="s">
        <v>119</v>
      </c>
      <c r="E378" s="35" t="s">
        <v>39</v>
      </c>
      <c r="F378" s="28" t="e">
        <f ca="1">_xludf.ifna(VLOOKUP(G378,Proyectos!$A$2:$F$674,6,0),"")</f>
        <v>#NAME?</v>
      </c>
      <c r="G378" s="35" t="s">
        <v>5224</v>
      </c>
      <c r="H378" s="30">
        <v>0.2</v>
      </c>
      <c r="I378" s="52" t="s">
        <v>11</v>
      </c>
      <c r="J378" s="30" t="s">
        <v>72</v>
      </c>
      <c r="K378" s="30"/>
      <c r="L378" s="32" t="e">
        <f ca="1">_xludf.ifna(VLOOKUP(E378,Parámetros!$D$2:$E$34,2,0),"")</f>
        <v>#NAME?</v>
      </c>
      <c r="M378" s="32" t="e">
        <f ca="1">_xludf.ifna(VLOOKUP(G378,Proyectos!$A$2:$T$674,20,0),"")</f>
        <v>#NAME?</v>
      </c>
      <c r="N378" s="32" t="e">
        <f ca="1">_xludf.ifna(VLOOKUP(G378,Proyectos!$A$2:$S$674,19,0))</f>
        <v>#NAME?</v>
      </c>
      <c r="O378" s="30"/>
      <c r="P378" s="52"/>
      <c r="Q378" s="62"/>
      <c r="R378" s="33"/>
      <c r="S378" s="33"/>
      <c r="T378" s="63">
        <f t="shared" si="2"/>
        <v>0</v>
      </c>
      <c r="U378" s="33"/>
      <c r="V378" s="33"/>
      <c r="W378" s="33"/>
    </row>
    <row r="379" spans="1:23" ht="16.5" customHeight="1" x14ac:dyDescent="0.2">
      <c r="A379" s="35" t="s">
        <v>3852</v>
      </c>
      <c r="B379" s="35" t="s">
        <v>3853</v>
      </c>
      <c r="C379" s="35" t="s">
        <v>115</v>
      </c>
      <c r="D379" s="35" t="s">
        <v>119</v>
      </c>
      <c r="E379" s="35" t="s">
        <v>39</v>
      </c>
      <c r="F379" s="28" t="e">
        <f ca="1">_xludf.ifna(VLOOKUP(G379,Proyectos!$A$2:$F$674,6,0),"")</f>
        <v>#NAME?</v>
      </c>
      <c r="G379" s="29" t="s">
        <v>5225</v>
      </c>
      <c r="H379" s="30">
        <v>0.3</v>
      </c>
      <c r="I379" s="52" t="s">
        <v>18</v>
      </c>
      <c r="J379" s="30" t="s">
        <v>61</v>
      </c>
      <c r="K379" s="30"/>
      <c r="L379" s="32" t="e">
        <f ca="1">_xludf.ifna(VLOOKUP(E379,Parámetros!$D$2:$E$34,2,0),"")</f>
        <v>#NAME?</v>
      </c>
      <c r="M379" s="32" t="e">
        <f ca="1">_xludf.ifna(VLOOKUP(G379,Proyectos!$A$2:$T$674,20,0),"")</f>
        <v>#NAME?</v>
      </c>
      <c r="N379" s="32" t="e">
        <f ca="1">_xludf.ifna(VLOOKUP(G379,Proyectos!$A$2:$S$674,19,0))</f>
        <v>#NAME?</v>
      </c>
      <c r="O379" s="30"/>
      <c r="P379" s="52"/>
      <c r="Q379" s="62"/>
      <c r="R379" s="33"/>
      <c r="S379" s="33"/>
      <c r="T379" s="63">
        <f t="shared" si="2"/>
        <v>1</v>
      </c>
      <c r="U379" s="33"/>
      <c r="V379" s="33"/>
      <c r="W379" s="33"/>
    </row>
    <row r="380" spans="1:23" ht="16.5" customHeight="1" x14ac:dyDescent="0.2">
      <c r="A380" s="35" t="s">
        <v>3852</v>
      </c>
      <c r="B380" s="35" t="s">
        <v>3853</v>
      </c>
      <c r="C380" s="35" t="s">
        <v>115</v>
      </c>
      <c r="D380" s="35" t="s">
        <v>119</v>
      </c>
      <c r="E380" s="35" t="s">
        <v>39</v>
      </c>
      <c r="F380" s="28" t="e">
        <f ca="1">_xludf.ifna(VLOOKUP(G380,Proyectos!$A$2:$F$674,6,0),"")</f>
        <v>#NAME?</v>
      </c>
      <c r="G380" s="29" t="s">
        <v>5116</v>
      </c>
      <c r="H380" s="30">
        <v>0.7</v>
      </c>
      <c r="I380" s="52" t="s">
        <v>18</v>
      </c>
      <c r="J380" s="30" t="s">
        <v>61</v>
      </c>
      <c r="K380" s="30"/>
      <c r="L380" s="32" t="e">
        <f ca="1">_xludf.ifna(VLOOKUP(E380,Parámetros!$D$2:$E$34,2,0),"")</f>
        <v>#NAME?</v>
      </c>
      <c r="M380" s="32" t="e">
        <f ca="1">_xludf.ifna(VLOOKUP(G380,Proyectos!$A$2:$T$674,20,0),"")</f>
        <v>#NAME?</v>
      </c>
      <c r="N380" s="32" t="e">
        <f ca="1">_xludf.ifna(VLOOKUP(G380,Proyectos!$A$2:$S$674,19,0))</f>
        <v>#NAME?</v>
      </c>
      <c r="O380" s="52"/>
      <c r="P380" s="52"/>
      <c r="Q380" s="62"/>
      <c r="R380" s="33"/>
      <c r="S380" s="33"/>
      <c r="T380" s="63">
        <f t="shared" si="2"/>
        <v>0</v>
      </c>
      <c r="U380" s="33"/>
      <c r="V380" s="33"/>
      <c r="W380" s="33"/>
    </row>
    <row r="381" spans="1:23" ht="16.5" customHeight="1" x14ac:dyDescent="0.2">
      <c r="A381" s="35" t="s">
        <v>3900</v>
      </c>
      <c r="B381" s="35" t="s">
        <v>3901</v>
      </c>
      <c r="C381" s="35" t="s">
        <v>115</v>
      </c>
      <c r="D381" s="35" t="s">
        <v>119</v>
      </c>
      <c r="E381" s="35" t="s">
        <v>114</v>
      </c>
      <c r="F381" s="28" t="e">
        <f ca="1">_xludf.ifna(VLOOKUP(G381,Proyectos!$A$2:$F$674,6,0),"")</f>
        <v>#NAME?</v>
      </c>
      <c r="G381" s="29" t="s">
        <v>5212</v>
      </c>
      <c r="H381" s="30">
        <v>0.75</v>
      </c>
      <c r="I381" s="52" t="s">
        <v>18</v>
      </c>
      <c r="J381" s="30" t="s">
        <v>61</v>
      </c>
      <c r="K381" s="30"/>
      <c r="L381" s="32" t="e">
        <f ca="1">_xludf.ifna(VLOOKUP(E381,Parámetros!$D$2:$E$34,2,0),"")</f>
        <v>#NAME?</v>
      </c>
      <c r="M381" s="32" t="e">
        <f ca="1">_xludf.ifna(VLOOKUP(G381,Proyectos!$A$2:$T$674,20,0),"")</f>
        <v>#NAME?</v>
      </c>
      <c r="N381" s="32" t="e">
        <f ca="1">_xludf.ifna(VLOOKUP(G381,Proyectos!$A$2:$S$674,19,0))</f>
        <v>#NAME?</v>
      </c>
      <c r="O381" s="30"/>
      <c r="P381" s="52"/>
      <c r="Q381" s="62"/>
      <c r="R381" s="33"/>
      <c r="S381" s="33"/>
      <c r="T381" s="63">
        <f t="shared" si="2"/>
        <v>1</v>
      </c>
      <c r="U381" s="33"/>
      <c r="V381" s="33"/>
      <c r="W381" s="33"/>
    </row>
    <row r="382" spans="1:23" ht="16.5" customHeight="1" x14ac:dyDescent="0.2">
      <c r="A382" s="35" t="s">
        <v>3900</v>
      </c>
      <c r="B382" s="35" t="s">
        <v>3901</v>
      </c>
      <c r="C382" s="35" t="s">
        <v>115</v>
      </c>
      <c r="D382" s="35" t="s">
        <v>119</v>
      </c>
      <c r="E382" s="35" t="s">
        <v>114</v>
      </c>
      <c r="F382" s="28" t="e">
        <f ca="1">_xludf.ifna(VLOOKUP(G382,Proyectos!$A$2:$F$674,6,0),"")</f>
        <v>#NAME?</v>
      </c>
      <c r="G382" s="29" t="s">
        <v>5214</v>
      </c>
      <c r="H382" s="30">
        <v>0.25</v>
      </c>
      <c r="I382" s="52" t="s">
        <v>18</v>
      </c>
      <c r="J382" s="30" t="s">
        <v>61</v>
      </c>
      <c r="K382" s="30" t="s">
        <v>5226</v>
      </c>
      <c r="L382" s="32" t="e">
        <f ca="1">_xludf.ifna(VLOOKUP(E382,Parámetros!$D$2:$E$34,2,0),"")</f>
        <v>#NAME?</v>
      </c>
      <c r="M382" s="32" t="e">
        <f ca="1">_xludf.ifna(VLOOKUP(G382,Proyectos!$A$2:$T$674,20,0),"")</f>
        <v>#NAME?</v>
      </c>
      <c r="N382" s="32" t="e">
        <f ca="1">_xludf.ifna(VLOOKUP(G382,Proyectos!$A$2:$S$674,19,0))</f>
        <v>#NAME?</v>
      </c>
      <c r="O382" s="30"/>
      <c r="P382" s="52"/>
      <c r="Q382" s="62"/>
      <c r="R382" s="33"/>
      <c r="S382" s="33"/>
      <c r="T382" s="63">
        <f t="shared" si="2"/>
        <v>0</v>
      </c>
      <c r="U382" s="33"/>
      <c r="V382" s="33"/>
      <c r="W382" s="33"/>
    </row>
    <row r="383" spans="1:23" ht="16.5" customHeight="1" x14ac:dyDescent="0.2">
      <c r="A383" s="35" t="s">
        <v>3530</v>
      </c>
      <c r="B383" s="35" t="s">
        <v>3531</v>
      </c>
      <c r="C383" s="35" t="s">
        <v>115</v>
      </c>
      <c r="D383" s="35" t="s">
        <v>119</v>
      </c>
      <c r="E383" s="35" t="s">
        <v>39</v>
      </c>
      <c r="F383" s="28" t="e">
        <f ca="1">_xludf.ifna(VLOOKUP(G383,Proyectos!$A$2:$F$674,6,0),"")</f>
        <v>#NAME?</v>
      </c>
      <c r="G383" s="29" t="s">
        <v>5227</v>
      </c>
      <c r="H383" s="30">
        <v>0.7</v>
      </c>
      <c r="I383" s="52" t="s">
        <v>18</v>
      </c>
      <c r="J383" s="30" t="s">
        <v>19</v>
      </c>
      <c r="K383" s="30"/>
      <c r="L383" s="32" t="e">
        <f ca="1">_xludf.ifna(VLOOKUP(E383,Parámetros!$D$2:$E$34,2,0),"")</f>
        <v>#NAME?</v>
      </c>
      <c r="M383" s="32" t="e">
        <f ca="1">_xludf.ifna(VLOOKUP(G383,Proyectos!$A$2:$T$674,20,0),"")</f>
        <v>#NAME?</v>
      </c>
      <c r="N383" s="32" t="e">
        <f ca="1">_xludf.ifna(VLOOKUP(G383,Proyectos!$A$2:$S$674,19,0))</f>
        <v>#NAME?</v>
      </c>
      <c r="O383" s="30"/>
      <c r="P383" s="52"/>
      <c r="Q383" s="62"/>
      <c r="R383" s="33"/>
      <c r="S383" s="33"/>
      <c r="T383" s="63">
        <f t="shared" si="2"/>
        <v>1</v>
      </c>
      <c r="U383" s="33"/>
      <c r="V383" s="33"/>
      <c r="W383" s="33"/>
    </row>
    <row r="384" spans="1:23" ht="16.5" customHeight="1" x14ac:dyDescent="0.2">
      <c r="A384" s="35" t="s">
        <v>3530</v>
      </c>
      <c r="B384" s="35" t="s">
        <v>3531</v>
      </c>
      <c r="C384" s="35" t="s">
        <v>115</v>
      </c>
      <c r="D384" s="35" t="s">
        <v>119</v>
      </c>
      <c r="E384" s="35" t="s">
        <v>39</v>
      </c>
      <c r="F384" s="28" t="e">
        <f ca="1">_xludf.ifna(VLOOKUP(G384,Proyectos!$A$2:$F$674,6,0),"")</f>
        <v>#NAME?</v>
      </c>
      <c r="G384" s="29" t="s">
        <v>5225</v>
      </c>
      <c r="H384" s="65">
        <v>0.15</v>
      </c>
      <c r="I384" s="52" t="s">
        <v>18</v>
      </c>
      <c r="J384" s="30" t="s">
        <v>19</v>
      </c>
      <c r="K384" s="30"/>
      <c r="L384" s="32" t="e">
        <f ca="1">_xludf.ifna(VLOOKUP(E384,Parámetros!$D$2:$E$34,2,0),"")</f>
        <v>#NAME?</v>
      </c>
      <c r="M384" s="32" t="e">
        <f ca="1">_xludf.ifna(VLOOKUP(G384,Proyectos!$A$2:$T$674,20,0),"")</f>
        <v>#NAME?</v>
      </c>
      <c r="N384" s="32" t="e">
        <f ca="1">_xludf.ifna(VLOOKUP(G384,Proyectos!$A$2:$S$674,19,0))</f>
        <v>#NAME?</v>
      </c>
      <c r="O384" s="30"/>
      <c r="P384" s="52"/>
      <c r="Q384" s="62"/>
      <c r="R384" s="33"/>
      <c r="S384" s="33"/>
      <c r="T384" s="63">
        <f t="shared" si="2"/>
        <v>0</v>
      </c>
      <c r="U384" s="33"/>
      <c r="V384" s="33"/>
      <c r="W384" s="33"/>
    </row>
    <row r="385" spans="1:23" ht="16.5" customHeight="1" x14ac:dyDescent="0.2">
      <c r="A385" s="35" t="s">
        <v>3530</v>
      </c>
      <c r="B385" s="35" t="s">
        <v>3531</v>
      </c>
      <c r="C385" s="35" t="s">
        <v>115</v>
      </c>
      <c r="D385" s="35" t="s">
        <v>119</v>
      </c>
      <c r="E385" s="35" t="s">
        <v>39</v>
      </c>
      <c r="F385" s="28" t="e">
        <f ca="1">_xludf.ifna(VLOOKUP(G385,Proyectos!$A$2:$F$674,6,0),"")</f>
        <v>#NAME?</v>
      </c>
      <c r="G385" s="29" t="s">
        <v>5114</v>
      </c>
      <c r="H385" s="65">
        <v>0.15</v>
      </c>
      <c r="I385" s="52" t="s">
        <v>18</v>
      </c>
      <c r="J385" s="30" t="s">
        <v>19</v>
      </c>
      <c r="K385" s="30"/>
      <c r="L385" s="32" t="e">
        <f ca="1">_xludf.ifna(VLOOKUP(E385,Parámetros!$D$2:$E$34,2,0),"")</f>
        <v>#NAME?</v>
      </c>
      <c r="M385" s="32" t="e">
        <f ca="1">_xludf.ifna(VLOOKUP(G385,Proyectos!$A$2:$T$674,20,0),"")</f>
        <v>#NAME?</v>
      </c>
      <c r="N385" s="32" t="e">
        <f ca="1">_xludf.ifna(VLOOKUP(G385,Proyectos!$A$2:$S$674,19,0))</f>
        <v>#NAME?</v>
      </c>
      <c r="O385" s="30"/>
      <c r="P385" s="52"/>
      <c r="Q385" s="62"/>
      <c r="R385" s="33"/>
      <c r="S385" s="33"/>
      <c r="T385" s="63">
        <f t="shared" si="2"/>
        <v>0</v>
      </c>
      <c r="U385" s="33"/>
      <c r="V385" s="33"/>
      <c r="W385" s="33"/>
    </row>
    <row r="386" spans="1:23" ht="16.5" customHeight="1" x14ac:dyDescent="0.2">
      <c r="A386" s="35" t="s">
        <v>4210</v>
      </c>
      <c r="B386" s="35" t="s">
        <v>4211</v>
      </c>
      <c r="C386" s="35" t="s">
        <v>115</v>
      </c>
      <c r="D386" s="35" t="s">
        <v>119</v>
      </c>
      <c r="E386" s="35" t="s">
        <v>135</v>
      </c>
      <c r="F386" s="28" t="e">
        <f ca="1">_xludf.ifna(VLOOKUP(G386,Proyectos!$A$2:$F$674,6,0),"")</f>
        <v>#NAME?</v>
      </c>
      <c r="G386" s="29" t="s">
        <v>5114</v>
      </c>
      <c r="H386" s="34">
        <v>1</v>
      </c>
      <c r="I386" s="52" t="s">
        <v>18</v>
      </c>
      <c r="J386" s="54" t="s">
        <v>61</v>
      </c>
      <c r="K386" s="60"/>
      <c r="L386" s="32" t="e">
        <f ca="1">_xludf.ifna(VLOOKUP(E386,Parámetros!$D$2:$E$34,2,0),"")</f>
        <v>#NAME?</v>
      </c>
      <c r="M386" s="32" t="e">
        <f ca="1">_xludf.ifna(VLOOKUP(G386,Proyectos!$A$2:$T$674,20,0),"")</f>
        <v>#NAME?</v>
      </c>
      <c r="N386" s="32" t="e">
        <f ca="1">_xludf.ifna(VLOOKUP(G386,Proyectos!$A$2:$S$674,19,0))</f>
        <v>#NAME?</v>
      </c>
      <c r="O386" s="52"/>
      <c r="P386" s="52"/>
      <c r="Q386" s="62"/>
      <c r="R386" s="33"/>
      <c r="S386" s="33"/>
      <c r="T386" s="63">
        <f t="shared" si="2"/>
        <v>1</v>
      </c>
      <c r="U386" s="33"/>
      <c r="V386" s="33"/>
      <c r="W386" s="33"/>
    </row>
    <row r="387" spans="1:23" ht="16.5" customHeight="1" x14ac:dyDescent="0.2">
      <c r="A387" s="35" t="s">
        <v>3542</v>
      </c>
      <c r="B387" s="35" t="s">
        <v>3543</v>
      </c>
      <c r="C387" s="35" t="s">
        <v>115</v>
      </c>
      <c r="D387" s="35" t="s">
        <v>119</v>
      </c>
      <c r="E387" s="35" t="s">
        <v>39</v>
      </c>
      <c r="F387" s="28" t="e">
        <f ca="1">_xludf.ifna(VLOOKUP(G387,Proyectos!$A$2:$F$674,6,0),"")</f>
        <v>#NAME?</v>
      </c>
      <c r="G387" s="29" t="s">
        <v>5114</v>
      </c>
      <c r="H387" s="30">
        <v>1</v>
      </c>
      <c r="I387" s="52" t="s">
        <v>32</v>
      </c>
      <c r="J387" s="52" t="s">
        <v>61</v>
      </c>
      <c r="K387" s="30"/>
      <c r="L387" s="32" t="e">
        <f ca="1">_xludf.ifna(VLOOKUP(E387,Parámetros!$D$2:$E$34,2,0),"")</f>
        <v>#NAME?</v>
      </c>
      <c r="M387" s="32" t="e">
        <f ca="1">_xludf.ifna(VLOOKUP(G387,Proyectos!$A$2:$T$674,20,0),"")</f>
        <v>#NAME?</v>
      </c>
      <c r="N387" s="32" t="e">
        <f ca="1">_xludf.ifna(VLOOKUP(G387,Proyectos!$A$2:$S$674,19,0))</f>
        <v>#NAME?</v>
      </c>
      <c r="O387" s="30"/>
      <c r="P387" s="52"/>
      <c r="Q387" s="62"/>
      <c r="R387" s="33"/>
      <c r="S387" s="33"/>
      <c r="T387" s="63">
        <f t="shared" si="2"/>
        <v>1</v>
      </c>
      <c r="U387" s="33"/>
      <c r="V387" s="33"/>
      <c r="W387" s="33"/>
    </row>
    <row r="388" spans="1:23" ht="16.5" customHeight="1" x14ac:dyDescent="0.2">
      <c r="A388" s="35" t="s">
        <v>4290</v>
      </c>
      <c r="B388" s="35" t="s">
        <v>4291</v>
      </c>
      <c r="C388" s="35" t="s">
        <v>115</v>
      </c>
      <c r="D388" s="35" t="s">
        <v>119</v>
      </c>
      <c r="E388" s="35" t="s">
        <v>135</v>
      </c>
      <c r="F388" s="28" t="e">
        <f ca="1">_xludf.ifna(VLOOKUP(G388,Proyectos!$A$2:$F$674,6,0),"")</f>
        <v>#NAME?</v>
      </c>
      <c r="G388" s="35" t="s">
        <v>5224</v>
      </c>
      <c r="H388" s="30">
        <v>1</v>
      </c>
      <c r="I388" s="52" t="s">
        <v>18</v>
      </c>
      <c r="J388" s="30" t="s">
        <v>19</v>
      </c>
      <c r="K388" s="30"/>
      <c r="L388" s="32" t="e">
        <f ca="1">_xludf.ifna(VLOOKUP(E388,Parámetros!$D$2:$E$34,2,0),"")</f>
        <v>#NAME?</v>
      </c>
      <c r="M388" s="32" t="e">
        <f ca="1">_xludf.ifna(VLOOKUP(G388,Proyectos!$A$2:$T$674,20,0),"")</f>
        <v>#NAME?</v>
      </c>
      <c r="N388" s="32" t="e">
        <f ca="1">_xludf.ifna(VLOOKUP(G388,Proyectos!$A$2:$S$674,19,0))</f>
        <v>#NAME?</v>
      </c>
      <c r="O388" s="30"/>
      <c r="P388" s="52"/>
      <c r="Q388" s="62"/>
      <c r="R388" s="33"/>
      <c r="S388" s="33"/>
      <c r="T388" s="63">
        <f t="shared" si="2"/>
        <v>1</v>
      </c>
      <c r="U388" s="33"/>
      <c r="V388" s="33"/>
      <c r="W388" s="33"/>
    </row>
    <row r="389" spans="1:23" ht="16.5" customHeight="1" x14ac:dyDescent="0.2">
      <c r="A389" s="35" t="s">
        <v>3418</v>
      </c>
      <c r="B389" s="35" t="s">
        <v>3419</v>
      </c>
      <c r="C389" s="35" t="s">
        <v>115</v>
      </c>
      <c r="D389" s="35" t="s">
        <v>119</v>
      </c>
      <c r="E389" s="35" t="s">
        <v>39</v>
      </c>
      <c r="F389" s="28" t="e">
        <f ca="1">_xludf.ifna(VLOOKUP(G389,Proyectos!$A$2:$F$674,6,0),"")</f>
        <v>#NAME?</v>
      </c>
      <c r="G389" s="29" t="s">
        <v>5114</v>
      </c>
      <c r="H389" s="34">
        <v>1</v>
      </c>
      <c r="I389" s="52" t="s">
        <v>18</v>
      </c>
      <c r="J389" s="60" t="s">
        <v>61</v>
      </c>
      <c r="K389" s="60"/>
      <c r="L389" s="32" t="e">
        <f ca="1">_xludf.ifna(VLOOKUP(E389,Parámetros!$D$2:$E$34,2,0),"")</f>
        <v>#NAME?</v>
      </c>
      <c r="M389" s="32" t="e">
        <f ca="1">_xludf.ifna(VLOOKUP(G389,Proyectos!$A$2:$T$674,20,0),"")</f>
        <v>#NAME?</v>
      </c>
      <c r="N389" s="32" t="e">
        <f ca="1">_xludf.ifna(VLOOKUP(G389,Proyectos!$A$2:$S$674,19,0))</f>
        <v>#NAME?</v>
      </c>
      <c r="O389" s="52"/>
      <c r="P389" s="52"/>
      <c r="Q389" s="62"/>
      <c r="R389" s="33"/>
      <c r="S389" s="33"/>
      <c r="T389" s="63">
        <f t="shared" si="2"/>
        <v>1</v>
      </c>
      <c r="U389" s="33"/>
      <c r="V389" s="33"/>
      <c r="W389" s="33"/>
    </row>
    <row r="390" spans="1:23" ht="16.5" customHeight="1" x14ac:dyDescent="0.2">
      <c r="A390" s="35" t="s">
        <v>3568</v>
      </c>
      <c r="B390" s="35" t="s">
        <v>3569</v>
      </c>
      <c r="C390" s="35" t="s">
        <v>115</v>
      </c>
      <c r="D390" s="35" t="s">
        <v>119</v>
      </c>
      <c r="E390" s="35" t="s">
        <v>39</v>
      </c>
      <c r="F390" s="28" t="e">
        <f ca="1">_xludf.ifna(VLOOKUP(G390,Proyectos!$A$2:$F$674,6,0),"")</f>
        <v>#NAME?</v>
      </c>
      <c r="G390" s="29" t="s">
        <v>5217</v>
      </c>
      <c r="H390" s="30">
        <v>0.25</v>
      </c>
      <c r="I390" s="52" t="s">
        <v>18</v>
      </c>
      <c r="J390" s="30" t="s">
        <v>19</v>
      </c>
      <c r="K390" s="30"/>
      <c r="L390" s="32" t="e">
        <f ca="1">_xludf.ifna(VLOOKUP(E390,Parámetros!$D$2:$E$34,2,0),"")</f>
        <v>#NAME?</v>
      </c>
      <c r="M390" s="32" t="e">
        <f ca="1">_xludf.ifna(VLOOKUP(G390,Proyectos!$A$2:$T$674,20,0),"")</f>
        <v>#NAME?</v>
      </c>
      <c r="N390" s="32" t="e">
        <f ca="1">_xludf.ifna(VLOOKUP(G390,Proyectos!$A$2:$S$674,19,0))</f>
        <v>#NAME?</v>
      </c>
      <c r="O390" s="30"/>
      <c r="P390" s="52"/>
      <c r="Q390" s="62"/>
      <c r="R390" s="33"/>
      <c r="S390" s="33"/>
      <c r="T390" s="63">
        <f t="shared" si="2"/>
        <v>1</v>
      </c>
      <c r="U390" s="33"/>
      <c r="V390" s="33"/>
      <c r="W390" s="33"/>
    </row>
    <row r="391" spans="1:23" ht="16.5" customHeight="1" x14ac:dyDescent="0.2">
      <c r="A391" s="35" t="s">
        <v>3568</v>
      </c>
      <c r="B391" s="35" t="s">
        <v>3569</v>
      </c>
      <c r="C391" s="35" t="s">
        <v>115</v>
      </c>
      <c r="D391" s="35" t="s">
        <v>119</v>
      </c>
      <c r="E391" s="35" t="s">
        <v>39</v>
      </c>
      <c r="F391" s="28" t="e">
        <f ca="1">_xludf.ifna(VLOOKUP(G391,Proyectos!$A$2:$F$674,6,0),"")</f>
        <v>#NAME?</v>
      </c>
      <c r="G391" s="29" t="s">
        <v>5216</v>
      </c>
      <c r="H391" s="30">
        <v>0.5</v>
      </c>
      <c r="I391" s="52" t="s">
        <v>18</v>
      </c>
      <c r="J391" s="30" t="s">
        <v>19</v>
      </c>
      <c r="K391" s="30"/>
      <c r="L391" s="32" t="e">
        <f ca="1">_xludf.ifna(VLOOKUP(E391,Parámetros!$D$2:$E$34,2,0),"")</f>
        <v>#NAME?</v>
      </c>
      <c r="M391" s="32" t="e">
        <f ca="1">_xludf.ifna(VLOOKUP(G391,Proyectos!$A$2:$T$674,20,0),"")</f>
        <v>#NAME?</v>
      </c>
      <c r="N391" s="32" t="e">
        <f ca="1">_xludf.ifna(VLOOKUP(G391,Proyectos!$A$2:$S$674,19,0))</f>
        <v>#NAME?</v>
      </c>
      <c r="O391" s="30"/>
      <c r="P391" s="52"/>
      <c r="Q391" s="62"/>
      <c r="R391" s="33"/>
      <c r="S391" s="33"/>
      <c r="T391" s="63">
        <f t="shared" si="2"/>
        <v>0</v>
      </c>
      <c r="U391" s="33"/>
      <c r="V391" s="33"/>
      <c r="W391" s="33"/>
    </row>
    <row r="392" spans="1:23" ht="16.5" customHeight="1" x14ac:dyDescent="0.2">
      <c r="A392" s="35" t="s">
        <v>3568</v>
      </c>
      <c r="B392" s="35" t="s">
        <v>3569</v>
      </c>
      <c r="C392" s="35" t="s">
        <v>115</v>
      </c>
      <c r="D392" s="35" t="s">
        <v>119</v>
      </c>
      <c r="E392" s="35" t="s">
        <v>39</v>
      </c>
      <c r="F392" s="28" t="e">
        <f ca="1">_xludf.ifna(VLOOKUP(G392,Proyectos!$A$2:$F$674,6,0),"")</f>
        <v>#NAME?</v>
      </c>
      <c r="G392" s="29" t="s">
        <v>5218</v>
      </c>
      <c r="H392" s="30">
        <v>0.25</v>
      </c>
      <c r="I392" s="52" t="s">
        <v>18</v>
      </c>
      <c r="J392" s="30" t="s">
        <v>19</v>
      </c>
      <c r="K392" s="30"/>
      <c r="L392" s="32" t="e">
        <f ca="1">_xludf.ifna(VLOOKUP(E392,Parámetros!$D$2:$E$34,2,0),"")</f>
        <v>#NAME?</v>
      </c>
      <c r="M392" s="32" t="e">
        <f ca="1">_xludf.ifna(VLOOKUP(G392,Proyectos!$A$2:$T$674,20,0),"")</f>
        <v>#NAME?</v>
      </c>
      <c r="N392" s="32" t="e">
        <f ca="1">_xludf.ifna(VLOOKUP(G392,Proyectos!$A$2:$S$674,19,0))</f>
        <v>#NAME?</v>
      </c>
      <c r="O392" s="30"/>
      <c r="P392" s="52"/>
      <c r="Q392" s="62"/>
      <c r="R392" s="33"/>
      <c r="S392" s="33"/>
      <c r="T392" s="63">
        <f t="shared" si="2"/>
        <v>0</v>
      </c>
      <c r="U392" s="33"/>
      <c r="V392" s="33"/>
      <c r="W392" s="33"/>
    </row>
    <row r="393" spans="1:23" ht="16.5" customHeight="1" x14ac:dyDescent="0.2">
      <c r="A393" s="35" t="s">
        <v>3908</v>
      </c>
      <c r="B393" s="35" t="s">
        <v>3909</v>
      </c>
      <c r="C393" s="35" t="s">
        <v>115</v>
      </c>
      <c r="D393" s="35" t="s">
        <v>119</v>
      </c>
      <c r="E393" s="35" t="s">
        <v>114</v>
      </c>
      <c r="F393" s="28" t="e">
        <f ca="1">_xludf.ifna(VLOOKUP(G393,Proyectos!$A$2:$F$674,6,0),"")</f>
        <v>#NAME?</v>
      </c>
      <c r="G393" s="29" t="s">
        <v>5114</v>
      </c>
      <c r="H393" s="30">
        <v>1</v>
      </c>
      <c r="I393" s="52" t="s">
        <v>25</v>
      </c>
      <c r="J393" s="52" t="s">
        <v>61</v>
      </c>
      <c r="K393" s="30"/>
      <c r="L393" s="32" t="e">
        <f ca="1">_xludf.ifna(VLOOKUP(E393,Parámetros!$D$2:$E$34,2,0),"")</f>
        <v>#NAME?</v>
      </c>
      <c r="M393" s="32" t="e">
        <f ca="1">_xludf.ifna(VLOOKUP(G393,Proyectos!$A$2:$T$674,20,0),"")</f>
        <v>#NAME?</v>
      </c>
      <c r="N393" s="32" t="e">
        <f ca="1">_xludf.ifna(VLOOKUP(G393,Proyectos!$A$2:$S$674,19,0))</f>
        <v>#NAME?</v>
      </c>
      <c r="O393" s="30"/>
      <c r="P393" s="52"/>
      <c r="Q393" s="62"/>
      <c r="R393" s="33"/>
      <c r="S393" s="33"/>
      <c r="T393" s="63">
        <f t="shared" si="2"/>
        <v>1</v>
      </c>
      <c r="U393" s="33"/>
      <c r="V393" s="33"/>
      <c r="W393" s="33"/>
    </row>
    <row r="394" spans="1:23" ht="16.5" customHeight="1" x14ac:dyDescent="0.2">
      <c r="A394" s="35" t="s">
        <v>4157</v>
      </c>
      <c r="B394" s="35" t="s">
        <v>4158</v>
      </c>
      <c r="C394" s="35" t="s">
        <v>115</v>
      </c>
      <c r="D394" s="35" t="s">
        <v>119</v>
      </c>
      <c r="E394" s="35" t="s">
        <v>114</v>
      </c>
      <c r="F394" s="28" t="e">
        <f ca="1">_xludf.ifna(VLOOKUP(G394,Proyectos!$A$2:$F$674,6,0),"")</f>
        <v>#NAME?</v>
      </c>
      <c r="G394" s="29" t="s">
        <v>5114</v>
      </c>
      <c r="H394" s="30">
        <v>1</v>
      </c>
      <c r="I394" s="52" t="s">
        <v>25</v>
      </c>
      <c r="J394" s="52" t="s">
        <v>61</v>
      </c>
      <c r="K394" s="30"/>
      <c r="L394" s="32" t="e">
        <f ca="1">_xludf.ifna(VLOOKUP(E394,Parámetros!$D$2:$E$34,2,0),"")</f>
        <v>#NAME?</v>
      </c>
      <c r="M394" s="32" t="e">
        <f ca="1">_xludf.ifna(VLOOKUP(G394,Proyectos!$A$2:$T$674,20,0),"")</f>
        <v>#NAME?</v>
      </c>
      <c r="N394" s="32" t="e">
        <f ca="1">_xludf.ifna(VLOOKUP(G394,Proyectos!$A$2:$S$674,19,0))</f>
        <v>#NAME?</v>
      </c>
      <c r="O394" s="30"/>
      <c r="P394" s="52"/>
      <c r="Q394" s="62"/>
      <c r="R394" s="33"/>
      <c r="S394" s="33"/>
      <c r="T394" s="63">
        <f t="shared" si="2"/>
        <v>1</v>
      </c>
      <c r="U394" s="33"/>
      <c r="V394" s="33"/>
      <c r="W394" s="33"/>
    </row>
    <row r="395" spans="1:23" ht="16.5" customHeight="1" x14ac:dyDescent="0.2">
      <c r="A395" s="35" t="s">
        <v>3457</v>
      </c>
      <c r="B395" s="35" t="s">
        <v>3458</v>
      </c>
      <c r="C395" s="35" t="s">
        <v>115</v>
      </c>
      <c r="D395" s="35" t="s">
        <v>119</v>
      </c>
      <c r="E395" s="35" t="s">
        <v>39</v>
      </c>
      <c r="F395" s="28" t="e">
        <f ca="1">_xludf.ifna(VLOOKUP(G395,Proyectos!$A$2:$F$674,6,0),"")</f>
        <v>#NAME?</v>
      </c>
      <c r="G395" s="35" t="s">
        <v>5224</v>
      </c>
      <c r="H395" s="30">
        <v>0.25</v>
      </c>
      <c r="I395" s="52" t="s">
        <v>18</v>
      </c>
      <c r="J395" s="30" t="s">
        <v>61</v>
      </c>
      <c r="K395" s="30"/>
      <c r="L395" s="32" t="e">
        <f ca="1">_xludf.ifna(VLOOKUP(E395,Parámetros!$D$2:$E$34,2,0),"")</f>
        <v>#NAME?</v>
      </c>
      <c r="M395" s="32" t="e">
        <f ca="1">_xludf.ifna(VLOOKUP(G395,Proyectos!$A$2:$T$674,20,0),"")</f>
        <v>#NAME?</v>
      </c>
      <c r="N395" s="32" t="e">
        <f ca="1">_xludf.ifna(VLOOKUP(G395,Proyectos!$A$2:$S$674,19,0))</f>
        <v>#NAME?</v>
      </c>
      <c r="O395" s="30"/>
      <c r="P395" s="52"/>
      <c r="Q395" s="62"/>
      <c r="R395" s="33"/>
      <c r="S395" s="33"/>
      <c r="T395" s="63">
        <f t="shared" si="2"/>
        <v>1</v>
      </c>
      <c r="U395" s="33"/>
      <c r="V395" s="33"/>
      <c r="W395" s="33"/>
    </row>
    <row r="396" spans="1:23" ht="16.5" customHeight="1" x14ac:dyDescent="0.2">
      <c r="A396" s="35" t="s">
        <v>3457</v>
      </c>
      <c r="B396" s="35" t="s">
        <v>3458</v>
      </c>
      <c r="C396" s="35" t="s">
        <v>115</v>
      </c>
      <c r="D396" s="35" t="s">
        <v>119</v>
      </c>
      <c r="E396" s="35" t="s">
        <v>39</v>
      </c>
      <c r="F396" s="28" t="e">
        <f ca="1">_xludf.ifna(VLOOKUP(G396,Proyectos!$A$2:$F$674,6,0),"")</f>
        <v>#NAME?</v>
      </c>
      <c r="G396" s="29" t="s">
        <v>5223</v>
      </c>
      <c r="H396" s="30">
        <v>0.75</v>
      </c>
      <c r="I396" s="52" t="s">
        <v>18</v>
      </c>
      <c r="J396" s="30" t="s">
        <v>61</v>
      </c>
      <c r="K396" s="30"/>
      <c r="L396" s="32" t="e">
        <f ca="1">_xludf.ifna(VLOOKUP(E396,Parámetros!$D$2:$E$34,2,0),"")</f>
        <v>#NAME?</v>
      </c>
      <c r="M396" s="32" t="e">
        <f ca="1">_xludf.ifna(VLOOKUP(G396,Proyectos!$A$2:$T$674,20,0),"")</f>
        <v>#NAME?</v>
      </c>
      <c r="N396" s="32" t="e">
        <f ca="1">_xludf.ifna(VLOOKUP(G396,Proyectos!$A$2:$S$674,19,0))</f>
        <v>#NAME?</v>
      </c>
      <c r="O396" s="30"/>
      <c r="P396" s="52"/>
      <c r="Q396" s="62"/>
      <c r="R396" s="33"/>
      <c r="S396" s="33"/>
      <c r="T396" s="63">
        <f t="shared" si="2"/>
        <v>0</v>
      </c>
      <c r="U396" s="33"/>
      <c r="V396" s="33"/>
      <c r="W396" s="33"/>
    </row>
    <row r="397" spans="1:23" ht="16.5" customHeight="1" x14ac:dyDescent="0.2">
      <c r="A397" s="35" t="s">
        <v>3687</v>
      </c>
      <c r="B397" s="35" t="s">
        <v>3688</v>
      </c>
      <c r="C397" s="35" t="s">
        <v>115</v>
      </c>
      <c r="D397" s="35" t="s">
        <v>119</v>
      </c>
      <c r="E397" s="35" t="s">
        <v>39</v>
      </c>
      <c r="F397" s="28" t="e">
        <f ca="1">_xludf.ifna(VLOOKUP(G397,Proyectos!$A$2:$F$674,6,0),"")</f>
        <v>#NAME?</v>
      </c>
      <c r="G397" s="29" t="s">
        <v>5217</v>
      </c>
      <c r="H397" s="30">
        <v>0.25</v>
      </c>
      <c r="I397" s="52" t="s">
        <v>18</v>
      </c>
      <c r="J397" s="30" t="s">
        <v>19</v>
      </c>
      <c r="K397" s="30"/>
      <c r="L397" s="32" t="e">
        <f ca="1">_xludf.ifna(VLOOKUP(E397,Parámetros!$D$2:$E$34,2,0),"")</f>
        <v>#NAME?</v>
      </c>
      <c r="M397" s="32" t="e">
        <f ca="1">_xludf.ifna(VLOOKUP(G397,Proyectos!$A$2:$T$674,20,0),"")</f>
        <v>#NAME?</v>
      </c>
      <c r="N397" s="32" t="e">
        <f ca="1">_xludf.ifna(VLOOKUP(G397,Proyectos!$A$2:$S$674,19,0))</f>
        <v>#NAME?</v>
      </c>
      <c r="O397" s="30"/>
      <c r="P397" s="52"/>
      <c r="Q397" s="62"/>
      <c r="R397" s="33"/>
      <c r="S397" s="33"/>
      <c r="T397" s="63">
        <f t="shared" si="2"/>
        <v>1</v>
      </c>
      <c r="U397" s="33"/>
      <c r="V397" s="33"/>
      <c r="W397" s="33"/>
    </row>
    <row r="398" spans="1:23" ht="16.5" customHeight="1" x14ac:dyDescent="0.2">
      <c r="A398" s="35" t="s">
        <v>3687</v>
      </c>
      <c r="B398" s="35" t="s">
        <v>3688</v>
      </c>
      <c r="C398" s="35" t="s">
        <v>115</v>
      </c>
      <c r="D398" s="35" t="s">
        <v>119</v>
      </c>
      <c r="E398" s="35" t="s">
        <v>39</v>
      </c>
      <c r="F398" s="28" t="e">
        <f ca="1">_xludf.ifna(VLOOKUP(G398,Proyectos!$A$2:$F$674,6,0),"")</f>
        <v>#NAME?</v>
      </c>
      <c r="G398" s="29" t="s">
        <v>5216</v>
      </c>
      <c r="H398" s="30">
        <v>0.75</v>
      </c>
      <c r="I398" s="52" t="s">
        <v>18</v>
      </c>
      <c r="J398" s="30" t="s">
        <v>19</v>
      </c>
      <c r="K398" s="30"/>
      <c r="L398" s="32" t="e">
        <f ca="1">_xludf.ifna(VLOOKUP(E398,Parámetros!$D$2:$E$34,2,0),"")</f>
        <v>#NAME?</v>
      </c>
      <c r="M398" s="32" t="e">
        <f ca="1">_xludf.ifna(VLOOKUP(G398,Proyectos!$A$2:$T$674,20,0),"")</f>
        <v>#NAME?</v>
      </c>
      <c r="N398" s="32" t="e">
        <f ca="1">_xludf.ifna(VLOOKUP(G398,Proyectos!$A$2:$S$674,19,0))</f>
        <v>#NAME?</v>
      </c>
      <c r="O398" s="30"/>
      <c r="P398" s="52"/>
      <c r="Q398" s="62"/>
      <c r="R398" s="33"/>
      <c r="S398" s="33"/>
      <c r="T398" s="63">
        <f t="shared" si="2"/>
        <v>0</v>
      </c>
      <c r="U398" s="33"/>
      <c r="V398" s="33"/>
      <c r="W398" s="33"/>
    </row>
    <row r="399" spans="1:23" ht="16.5" customHeight="1" x14ac:dyDescent="0.2">
      <c r="A399" s="35" t="s">
        <v>4196</v>
      </c>
      <c r="B399" s="35" t="s">
        <v>4197</v>
      </c>
      <c r="C399" s="35" t="s">
        <v>115</v>
      </c>
      <c r="D399" s="35" t="s">
        <v>119</v>
      </c>
      <c r="E399" s="35" t="s">
        <v>135</v>
      </c>
      <c r="F399" s="28" t="e">
        <f ca="1">_xludf.ifna(VLOOKUP(G399,Proyectos!$A$2:$F$674,6,0),"")</f>
        <v>#NAME?</v>
      </c>
      <c r="G399" s="29" t="s">
        <v>5114</v>
      </c>
      <c r="H399" s="30">
        <v>1</v>
      </c>
      <c r="I399" s="52" t="s">
        <v>18</v>
      </c>
      <c r="J399" s="30" t="s">
        <v>61</v>
      </c>
      <c r="K399" s="30"/>
      <c r="L399" s="32" t="e">
        <f ca="1">_xludf.ifna(VLOOKUP(E399,Parámetros!$D$2:$E$34,2,0),"")</f>
        <v>#NAME?</v>
      </c>
      <c r="M399" s="32" t="e">
        <f ca="1">_xludf.ifna(VLOOKUP(G399,Proyectos!$A$2:$T$674,20,0),"")</f>
        <v>#NAME?</v>
      </c>
      <c r="N399" s="32" t="e">
        <f ca="1">_xludf.ifna(VLOOKUP(G399,Proyectos!$A$2:$S$674,19,0))</f>
        <v>#NAME?</v>
      </c>
      <c r="O399" s="30"/>
      <c r="P399" s="52"/>
      <c r="Q399" s="62"/>
      <c r="R399" s="33"/>
      <c r="S399" s="33"/>
      <c r="T399" s="63">
        <f t="shared" si="2"/>
        <v>1</v>
      </c>
      <c r="U399" s="33"/>
      <c r="V399" s="33"/>
      <c r="W399" s="33"/>
    </row>
    <row r="400" spans="1:23" ht="16.5" customHeight="1" x14ac:dyDescent="0.2">
      <c r="A400" s="35" t="s">
        <v>3801</v>
      </c>
      <c r="B400" s="35" t="s">
        <v>3802</v>
      </c>
      <c r="C400" s="35" t="s">
        <v>115</v>
      </c>
      <c r="D400" s="35" t="s">
        <v>119</v>
      </c>
      <c r="E400" s="35" t="s">
        <v>39</v>
      </c>
      <c r="F400" s="28" t="e">
        <f ca="1">_xludf.ifna(VLOOKUP(G400,Proyectos!$A$2:$F$674,6,0),"")</f>
        <v>#NAME?</v>
      </c>
      <c r="G400" s="29" t="s">
        <v>5114</v>
      </c>
      <c r="H400" s="30">
        <v>1</v>
      </c>
      <c r="I400" s="52" t="s">
        <v>25</v>
      </c>
      <c r="J400" s="30" t="s">
        <v>61</v>
      </c>
      <c r="K400" s="55"/>
      <c r="L400" s="32" t="e">
        <f ca="1">_xludf.ifna(VLOOKUP(E400,Parámetros!$D$2:$E$34,2,0),"")</f>
        <v>#NAME?</v>
      </c>
      <c r="M400" s="32" t="e">
        <f ca="1">_xludf.ifna(VLOOKUP(G400,Proyectos!$A$2:$T$674,20,0),"")</f>
        <v>#NAME?</v>
      </c>
      <c r="N400" s="32" t="e">
        <f ca="1">_xludf.ifna(VLOOKUP(G400,Proyectos!$A$2:$S$674,19,0))</f>
        <v>#NAME?</v>
      </c>
      <c r="O400" s="30"/>
      <c r="P400" s="52"/>
      <c r="Q400" s="62"/>
      <c r="R400" s="33"/>
      <c r="S400" s="33"/>
      <c r="T400" s="63">
        <f t="shared" si="2"/>
        <v>1</v>
      </c>
      <c r="U400" s="33"/>
      <c r="V400" s="33"/>
      <c r="W400" s="33"/>
    </row>
    <row r="401" spans="1:23" ht="16.5" customHeight="1" x14ac:dyDescent="0.2">
      <c r="A401" s="35" t="s">
        <v>4130</v>
      </c>
      <c r="B401" s="35" t="s">
        <v>4131</v>
      </c>
      <c r="C401" s="35" t="s">
        <v>115</v>
      </c>
      <c r="D401" s="35" t="s">
        <v>119</v>
      </c>
      <c r="E401" s="35" t="s">
        <v>135</v>
      </c>
      <c r="F401" s="28" t="e">
        <f ca="1">_xludf.ifna(VLOOKUP(G401,Proyectos!$A$2:$F$674,6,0),"")</f>
        <v>#NAME?</v>
      </c>
      <c r="G401" s="29" t="s">
        <v>5114</v>
      </c>
      <c r="H401" s="30">
        <v>1</v>
      </c>
      <c r="I401" s="52" t="s">
        <v>18</v>
      </c>
      <c r="J401" s="30" t="s">
        <v>61</v>
      </c>
      <c r="K401" s="30"/>
      <c r="L401" s="32" t="e">
        <f ca="1">_xludf.ifna(VLOOKUP(E401,Parámetros!$D$2:$E$34,2,0),"")</f>
        <v>#NAME?</v>
      </c>
      <c r="M401" s="32" t="e">
        <f ca="1">_xludf.ifna(VLOOKUP(G401,Proyectos!$A$2:$T$674,20,0),"")</f>
        <v>#NAME?</v>
      </c>
      <c r="N401" s="32" t="e">
        <f ca="1">_xludf.ifna(VLOOKUP(G401,Proyectos!$A$2:$S$674,19,0))</f>
        <v>#NAME?</v>
      </c>
      <c r="O401" s="30"/>
      <c r="P401" s="52"/>
      <c r="Q401" s="62"/>
      <c r="R401" s="33"/>
      <c r="S401" s="33"/>
      <c r="T401" s="63">
        <f t="shared" si="2"/>
        <v>1</v>
      </c>
      <c r="U401" s="33"/>
      <c r="V401" s="33"/>
      <c r="W401" s="33"/>
    </row>
    <row r="402" spans="1:23" ht="16.5" customHeight="1" x14ac:dyDescent="0.2">
      <c r="A402" s="35" t="s">
        <v>3461</v>
      </c>
      <c r="B402" s="35" t="s">
        <v>3462</v>
      </c>
      <c r="C402" s="35" t="s">
        <v>115</v>
      </c>
      <c r="D402" s="35" t="s">
        <v>119</v>
      </c>
      <c r="E402" s="35" t="s">
        <v>39</v>
      </c>
      <c r="F402" s="28" t="e">
        <f ca="1">_xludf.ifna(VLOOKUP(G402,Proyectos!$A$2:$F$674,6,0),"")</f>
        <v>#NAME?</v>
      </c>
      <c r="G402" s="29" t="s">
        <v>5222</v>
      </c>
      <c r="H402" s="30">
        <v>0.5</v>
      </c>
      <c r="I402" s="52" t="s">
        <v>18</v>
      </c>
      <c r="J402" s="30" t="s">
        <v>61</v>
      </c>
      <c r="K402" s="30"/>
      <c r="L402" s="32" t="e">
        <f ca="1">_xludf.ifna(VLOOKUP(E402,Parámetros!$D$2:$E$34,2,0),"")</f>
        <v>#NAME?</v>
      </c>
      <c r="M402" s="32" t="e">
        <f ca="1">_xludf.ifna(VLOOKUP(G402,Proyectos!$A$2:$T$674,20,0),"")</f>
        <v>#NAME?</v>
      </c>
      <c r="N402" s="32" t="e">
        <f ca="1">_xludf.ifna(VLOOKUP(G402,Proyectos!$A$2:$S$674,19,0))</f>
        <v>#NAME?</v>
      </c>
      <c r="O402" s="30"/>
      <c r="P402" s="52"/>
      <c r="Q402" s="62"/>
      <c r="R402" s="33"/>
      <c r="S402" s="33"/>
      <c r="T402" s="63">
        <f t="shared" si="2"/>
        <v>1</v>
      </c>
      <c r="U402" s="33"/>
      <c r="V402" s="33"/>
      <c r="W402" s="33"/>
    </row>
    <row r="403" spans="1:23" ht="16.5" customHeight="1" x14ac:dyDescent="0.2">
      <c r="A403" s="35" t="s">
        <v>3461</v>
      </c>
      <c r="B403" s="35" t="s">
        <v>3462</v>
      </c>
      <c r="C403" s="35" t="s">
        <v>115</v>
      </c>
      <c r="D403" s="35" t="s">
        <v>119</v>
      </c>
      <c r="E403" s="35" t="s">
        <v>39</v>
      </c>
      <c r="F403" s="28" t="e">
        <f ca="1">_xludf.ifna(VLOOKUP(G403,Proyectos!$A$2:$F$674,6,0),"")</f>
        <v>#NAME?</v>
      </c>
      <c r="G403" s="29" t="s">
        <v>5227</v>
      </c>
      <c r="H403" s="30">
        <v>0.2</v>
      </c>
      <c r="I403" s="52" t="s">
        <v>18</v>
      </c>
      <c r="J403" s="30" t="s">
        <v>61</v>
      </c>
      <c r="K403" s="55"/>
      <c r="L403" s="32" t="e">
        <f ca="1">_xludf.ifna(VLOOKUP(E403,Parámetros!$D$2:$E$34,2,0),"")</f>
        <v>#NAME?</v>
      </c>
      <c r="M403" s="32" t="e">
        <f ca="1">_xludf.ifna(VLOOKUP(G403,Proyectos!$A$2:$T$674,20,0),"")</f>
        <v>#NAME?</v>
      </c>
      <c r="N403" s="32" t="e">
        <f ca="1">_xludf.ifna(VLOOKUP(G403,Proyectos!$A$2:$S$674,19,0))</f>
        <v>#NAME?</v>
      </c>
      <c r="O403" s="30"/>
      <c r="P403" s="52"/>
      <c r="Q403" s="62"/>
      <c r="R403" s="33"/>
      <c r="S403" s="33"/>
      <c r="T403" s="63">
        <f t="shared" si="2"/>
        <v>0</v>
      </c>
      <c r="U403" s="33"/>
      <c r="V403" s="33"/>
      <c r="W403" s="33"/>
    </row>
    <row r="404" spans="1:23" ht="16.5" customHeight="1" x14ac:dyDescent="0.2">
      <c r="A404" s="35" t="s">
        <v>3461</v>
      </c>
      <c r="B404" s="35" t="s">
        <v>3462</v>
      </c>
      <c r="C404" s="35" t="s">
        <v>115</v>
      </c>
      <c r="D404" s="35" t="s">
        <v>119</v>
      </c>
      <c r="E404" s="35" t="s">
        <v>39</v>
      </c>
      <c r="F404" s="28" t="e">
        <f ca="1">_xludf.ifna(VLOOKUP(G404,Proyectos!$A$2:$F$674,6,0),"")</f>
        <v>#NAME?</v>
      </c>
      <c r="G404" s="29" t="s">
        <v>5228</v>
      </c>
      <c r="H404" s="30">
        <v>0.3</v>
      </c>
      <c r="I404" s="52" t="s">
        <v>18</v>
      </c>
      <c r="J404" s="30" t="s">
        <v>61</v>
      </c>
      <c r="K404" s="55"/>
      <c r="L404" s="32" t="e">
        <f ca="1">_xludf.ifna(VLOOKUP(E404,Parámetros!$D$2:$E$34,2,0),"")</f>
        <v>#NAME?</v>
      </c>
      <c r="M404" s="32" t="e">
        <f ca="1">_xludf.ifna(VLOOKUP(G404,Proyectos!$A$2:$T$674,20,0),"")</f>
        <v>#NAME?</v>
      </c>
      <c r="N404" s="32" t="e">
        <f ca="1">_xludf.ifna(VLOOKUP(G404,Proyectos!$A$2:$S$674,19,0))</f>
        <v>#NAME?</v>
      </c>
      <c r="O404" s="30"/>
      <c r="P404" s="52"/>
      <c r="Q404" s="62"/>
      <c r="R404" s="33"/>
      <c r="S404" s="33"/>
      <c r="T404" s="63">
        <f t="shared" si="2"/>
        <v>0</v>
      </c>
      <c r="U404" s="33"/>
      <c r="V404" s="33"/>
      <c r="W404" s="33"/>
    </row>
    <row r="405" spans="1:23" ht="16.5" customHeight="1" x14ac:dyDescent="0.2">
      <c r="A405" s="35" t="s">
        <v>4755</v>
      </c>
      <c r="B405" s="35" t="s">
        <v>4756</v>
      </c>
      <c r="C405" s="35" t="s">
        <v>115</v>
      </c>
      <c r="D405" s="35" t="s">
        <v>119</v>
      </c>
      <c r="E405" s="35" t="s">
        <v>39</v>
      </c>
      <c r="F405" s="28" t="e">
        <f ca="1">_xludf.ifna(VLOOKUP(G405,Proyectos!$A$2:$F$674,6,0),"")</f>
        <v>#NAME?</v>
      </c>
      <c r="G405" s="29" t="s">
        <v>5227</v>
      </c>
      <c r="H405" s="30">
        <v>0.2</v>
      </c>
      <c r="I405" s="52" t="s">
        <v>18</v>
      </c>
      <c r="J405" s="30" t="s">
        <v>12</v>
      </c>
      <c r="K405" s="55"/>
      <c r="L405" s="32" t="e">
        <f ca="1">_xludf.ifna(VLOOKUP(E405,Parámetros!$D$2:$E$34,2,0),"")</f>
        <v>#NAME?</v>
      </c>
      <c r="M405" s="32" t="e">
        <f ca="1">_xludf.ifna(VLOOKUP(G405,Proyectos!$A$2:$T$674,20,0),"")</f>
        <v>#NAME?</v>
      </c>
      <c r="N405" s="32" t="e">
        <f ca="1">_xludf.ifna(VLOOKUP(G405,Proyectos!$A$2:$S$674,19,0))</f>
        <v>#NAME?</v>
      </c>
      <c r="O405" s="52"/>
      <c r="P405" s="52"/>
      <c r="Q405" s="62"/>
      <c r="R405" s="33"/>
      <c r="S405" s="33"/>
      <c r="T405" s="63">
        <f t="shared" si="2"/>
        <v>1</v>
      </c>
      <c r="U405" s="33"/>
      <c r="V405" s="33"/>
      <c r="W405" s="33"/>
    </row>
    <row r="406" spans="1:23" ht="16.5" customHeight="1" x14ac:dyDescent="0.2">
      <c r="A406" s="35" t="s">
        <v>4755</v>
      </c>
      <c r="B406" s="35" t="s">
        <v>4756</v>
      </c>
      <c r="C406" s="35" t="s">
        <v>115</v>
      </c>
      <c r="D406" s="35" t="s">
        <v>119</v>
      </c>
      <c r="E406" s="35" t="s">
        <v>39</v>
      </c>
      <c r="F406" s="28" t="e">
        <f ca="1">_xludf.ifna(VLOOKUP(G406,Proyectos!$A$2:$F$674,6,0),"")</f>
        <v>#NAME?</v>
      </c>
      <c r="G406" s="29" t="s">
        <v>5223</v>
      </c>
      <c r="H406" s="30">
        <v>0.4</v>
      </c>
      <c r="I406" s="52" t="s">
        <v>18</v>
      </c>
      <c r="J406" s="30" t="s">
        <v>12</v>
      </c>
      <c r="K406" s="55"/>
      <c r="L406" s="32" t="e">
        <f ca="1">_xludf.ifna(VLOOKUP(E406,Parámetros!$D$2:$E$34,2,0),"")</f>
        <v>#NAME?</v>
      </c>
      <c r="M406" s="32" t="e">
        <f ca="1">_xludf.ifna(VLOOKUP(G406,Proyectos!$A$2:$T$674,20,0),"")</f>
        <v>#NAME?</v>
      </c>
      <c r="N406" s="32" t="e">
        <f ca="1">_xludf.ifna(VLOOKUP(G406,Proyectos!$A$2:$S$674,19,0))</f>
        <v>#NAME?</v>
      </c>
      <c r="O406" s="52"/>
      <c r="P406" s="52"/>
      <c r="Q406" s="62"/>
      <c r="R406" s="33"/>
      <c r="S406" s="33"/>
      <c r="T406" s="63">
        <f t="shared" si="2"/>
        <v>0</v>
      </c>
      <c r="U406" s="33"/>
      <c r="V406" s="33"/>
      <c r="W406" s="33"/>
    </row>
    <row r="407" spans="1:23" ht="16.5" customHeight="1" x14ac:dyDescent="0.2">
      <c r="A407" s="35" t="s">
        <v>4755</v>
      </c>
      <c r="B407" s="35" t="s">
        <v>4756</v>
      </c>
      <c r="C407" s="35" t="s">
        <v>115</v>
      </c>
      <c r="D407" s="35" t="s">
        <v>119</v>
      </c>
      <c r="E407" s="35" t="s">
        <v>39</v>
      </c>
      <c r="F407" s="28" t="e">
        <f ca="1">_xludf.ifna(VLOOKUP(G407,Proyectos!$A$2:$F$674,6,0),"")</f>
        <v>#NAME?</v>
      </c>
      <c r="G407" s="35" t="s">
        <v>5224</v>
      </c>
      <c r="H407" s="30">
        <v>0.4</v>
      </c>
      <c r="I407" s="52" t="s">
        <v>18</v>
      </c>
      <c r="J407" s="30" t="s">
        <v>12</v>
      </c>
      <c r="K407" s="30"/>
      <c r="L407" s="32" t="e">
        <f ca="1">_xludf.ifna(VLOOKUP(E407,Parámetros!$D$2:$E$34,2,0),"")</f>
        <v>#NAME?</v>
      </c>
      <c r="M407" s="32" t="e">
        <f ca="1">_xludf.ifna(VLOOKUP(G407,Proyectos!$A$2:$T$674,20,0),"")</f>
        <v>#NAME?</v>
      </c>
      <c r="N407" s="32" t="e">
        <f ca="1">_xludf.ifna(VLOOKUP(G407,Proyectos!$A$2:$S$674,19,0))</f>
        <v>#NAME?</v>
      </c>
      <c r="O407" s="52"/>
      <c r="P407" s="52"/>
      <c r="Q407" s="62"/>
      <c r="R407" s="33"/>
      <c r="S407" s="33"/>
      <c r="T407" s="63">
        <f t="shared" si="2"/>
        <v>0</v>
      </c>
      <c r="U407" s="33"/>
      <c r="V407" s="33"/>
      <c r="W407" s="33"/>
    </row>
    <row r="408" spans="1:23" ht="16.5" customHeight="1" x14ac:dyDescent="0.2">
      <c r="A408" s="35" t="s">
        <v>3912</v>
      </c>
      <c r="B408" s="35" t="s">
        <v>3913</v>
      </c>
      <c r="C408" s="35" t="s">
        <v>115</v>
      </c>
      <c r="D408" s="35" t="s">
        <v>119</v>
      </c>
      <c r="E408" s="35" t="s">
        <v>114</v>
      </c>
      <c r="F408" s="28" t="e">
        <f ca="1">_xludf.ifna(VLOOKUP(G408,Proyectos!$A$2:$F$674,6,0),"")</f>
        <v>#NAME?</v>
      </c>
      <c r="G408" s="29" t="s">
        <v>5114</v>
      </c>
      <c r="H408" s="30">
        <v>1</v>
      </c>
      <c r="I408" s="52" t="s">
        <v>25</v>
      </c>
      <c r="J408" s="30" t="s">
        <v>72</v>
      </c>
      <c r="K408" s="55"/>
      <c r="L408" s="32" t="e">
        <f ca="1">_xludf.ifna(VLOOKUP(E408,Parámetros!$D$2:$E$34,2,0),"")</f>
        <v>#NAME?</v>
      </c>
      <c r="M408" s="32" t="e">
        <f ca="1">_xludf.ifna(VLOOKUP(G408,Proyectos!$A$2:$T$674,20,0),"")</f>
        <v>#NAME?</v>
      </c>
      <c r="N408" s="32" t="e">
        <f ca="1">_xludf.ifna(VLOOKUP(G408,Proyectos!$A$2:$S$674,19,0))</f>
        <v>#NAME?</v>
      </c>
      <c r="O408" s="52"/>
      <c r="P408" s="52"/>
      <c r="Q408" s="62"/>
      <c r="R408" s="33"/>
      <c r="S408" s="33"/>
      <c r="T408" s="63">
        <f t="shared" si="2"/>
        <v>1</v>
      </c>
      <c r="U408" s="33"/>
      <c r="V408" s="33"/>
      <c r="W408" s="33"/>
    </row>
    <row r="409" spans="1:23" ht="16.5" customHeight="1" x14ac:dyDescent="0.2">
      <c r="A409" s="35" t="s">
        <v>4763</v>
      </c>
      <c r="B409" s="35" t="s">
        <v>4764</v>
      </c>
      <c r="C409" s="35" t="s">
        <v>115</v>
      </c>
      <c r="D409" s="35" t="s">
        <v>119</v>
      </c>
      <c r="E409" s="35" t="s">
        <v>39</v>
      </c>
      <c r="F409" s="28" t="e">
        <f ca="1">_xludf.ifna(VLOOKUP(G409,Proyectos!$A$2:$F$674,6,0),"")</f>
        <v>#NAME?</v>
      </c>
      <c r="G409" s="29" t="s">
        <v>5216</v>
      </c>
      <c r="H409" s="30">
        <v>0.75</v>
      </c>
      <c r="I409" s="52" t="s">
        <v>18</v>
      </c>
      <c r="J409" s="30" t="s">
        <v>12</v>
      </c>
      <c r="K409" s="55"/>
      <c r="L409" s="32" t="e">
        <f ca="1">_xludf.ifna(VLOOKUP(E409,Parámetros!$D$2:$E$34,2,0),"")</f>
        <v>#NAME?</v>
      </c>
      <c r="M409" s="32" t="e">
        <f ca="1">_xludf.ifna(VLOOKUP(G409,Proyectos!$A$2:$T$674,20,0),"")</f>
        <v>#NAME?</v>
      </c>
      <c r="N409" s="32" t="e">
        <f ca="1">_xludf.ifna(VLOOKUP(G409,Proyectos!$A$2:$S$674,19,0))</f>
        <v>#NAME?</v>
      </c>
      <c r="O409" s="30"/>
      <c r="P409" s="52"/>
      <c r="Q409" s="62"/>
      <c r="R409" s="33"/>
      <c r="S409" s="33"/>
      <c r="T409" s="63">
        <f t="shared" si="2"/>
        <v>1</v>
      </c>
      <c r="U409" s="33"/>
      <c r="V409" s="33"/>
      <c r="W409" s="33"/>
    </row>
    <row r="410" spans="1:23" ht="16.5" customHeight="1" x14ac:dyDescent="0.2">
      <c r="A410" s="35" t="s">
        <v>4763</v>
      </c>
      <c r="B410" s="35" t="s">
        <v>4764</v>
      </c>
      <c r="C410" s="35" t="s">
        <v>115</v>
      </c>
      <c r="D410" s="35" t="s">
        <v>119</v>
      </c>
      <c r="E410" s="35" t="s">
        <v>39</v>
      </c>
      <c r="F410" s="28" t="e">
        <f ca="1">_xludf.ifna(VLOOKUP(G410,Proyectos!$A$2:$F$674,6,0),"")</f>
        <v>#NAME?</v>
      </c>
      <c r="G410" s="29" t="s">
        <v>5217</v>
      </c>
      <c r="H410" s="30">
        <v>0.25</v>
      </c>
      <c r="I410" s="52" t="s">
        <v>18</v>
      </c>
      <c r="J410" s="30" t="s">
        <v>12</v>
      </c>
      <c r="K410" s="55"/>
      <c r="L410" s="32" t="e">
        <f ca="1">_xludf.ifna(VLOOKUP(E410,Parámetros!$D$2:$E$34,2,0),"")</f>
        <v>#NAME?</v>
      </c>
      <c r="M410" s="32" t="e">
        <f ca="1">_xludf.ifna(VLOOKUP(G410,Proyectos!$A$2:$T$674,20,0),"")</f>
        <v>#NAME?</v>
      </c>
      <c r="N410" s="32" t="e">
        <f ca="1">_xludf.ifna(VLOOKUP(G410,Proyectos!$A$2:$S$674,19,0))</f>
        <v>#NAME?</v>
      </c>
      <c r="O410" s="52"/>
      <c r="P410" s="52"/>
      <c r="Q410" s="62"/>
      <c r="R410" s="33"/>
      <c r="S410" s="33"/>
      <c r="T410" s="63">
        <f t="shared" si="2"/>
        <v>0</v>
      </c>
      <c r="U410" s="33"/>
      <c r="V410" s="33"/>
      <c r="W410" s="33"/>
    </row>
    <row r="411" spans="1:23" ht="16.5" customHeight="1" x14ac:dyDescent="0.2">
      <c r="A411" s="35" t="s">
        <v>3860</v>
      </c>
      <c r="B411" s="35" t="s">
        <v>3861</v>
      </c>
      <c r="C411" s="35" t="s">
        <v>115</v>
      </c>
      <c r="D411" s="35" t="s">
        <v>119</v>
      </c>
      <c r="E411" s="35" t="s">
        <v>39</v>
      </c>
      <c r="F411" s="28" t="e">
        <f ca="1">_xludf.ifna(VLOOKUP(G411,Proyectos!$A$2:$F$674,6,0),"")</f>
        <v>#NAME?</v>
      </c>
      <c r="G411" s="29" t="s">
        <v>5221</v>
      </c>
      <c r="H411" s="30">
        <v>0.3</v>
      </c>
      <c r="I411" s="52" t="s">
        <v>18</v>
      </c>
      <c r="J411" s="30" t="s">
        <v>61</v>
      </c>
      <c r="K411" s="55"/>
      <c r="L411" s="32" t="e">
        <f ca="1">_xludf.ifna(VLOOKUP(E411,Parámetros!$D$2:$E$34,2,0),"")</f>
        <v>#NAME?</v>
      </c>
      <c r="M411" s="32" t="e">
        <f ca="1">_xludf.ifna(VLOOKUP(G411,Proyectos!$A$2:$T$674,20,0),"")</f>
        <v>#NAME?</v>
      </c>
      <c r="N411" s="32" t="e">
        <f ca="1">_xludf.ifna(VLOOKUP(G411,Proyectos!$A$2:$S$674,19,0))</f>
        <v>#NAME?</v>
      </c>
      <c r="O411" s="52"/>
      <c r="P411" s="52"/>
      <c r="Q411" s="62"/>
      <c r="R411" s="33"/>
      <c r="S411" s="33"/>
      <c r="T411" s="63">
        <f t="shared" si="2"/>
        <v>1</v>
      </c>
      <c r="U411" s="33"/>
      <c r="V411" s="33"/>
      <c r="W411" s="33"/>
    </row>
    <row r="412" spans="1:23" ht="16.5" customHeight="1" x14ac:dyDescent="0.2">
      <c r="A412" s="35" t="s">
        <v>3860</v>
      </c>
      <c r="B412" s="35" t="s">
        <v>3861</v>
      </c>
      <c r="C412" s="35" t="s">
        <v>115</v>
      </c>
      <c r="D412" s="35" t="s">
        <v>119</v>
      </c>
      <c r="E412" s="35" t="s">
        <v>39</v>
      </c>
      <c r="F412" s="28" t="e">
        <f ca="1">_xludf.ifna(VLOOKUP(G412,Proyectos!$A$2:$F$674,6,0),"")</f>
        <v>#NAME?</v>
      </c>
      <c r="G412" s="29" t="s">
        <v>5229</v>
      </c>
      <c r="H412" s="30">
        <v>0.4</v>
      </c>
      <c r="I412" s="52" t="s">
        <v>18</v>
      </c>
      <c r="J412" s="30" t="s">
        <v>61</v>
      </c>
      <c r="K412" s="55"/>
      <c r="L412" s="32" t="e">
        <f ca="1">_xludf.ifna(VLOOKUP(E412,Parámetros!$D$2:$E$34,2,0),"")</f>
        <v>#NAME?</v>
      </c>
      <c r="M412" s="32" t="e">
        <f ca="1">_xludf.ifna(VLOOKUP(G412,Proyectos!$A$2:$T$674,20,0),"")</f>
        <v>#NAME?</v>
      </c>
      <c r="N412" s="32" t="e">
        <f ca="1">_xludf.ifna(VLOOKUP(G412,Proyectos!$A$2:$S$674,19,0))</f>
        <v>#NAME?</v>
      </c>
      <c r="O412" s="52"/>
      <c r="P412" s="52"/>
      <c r="Q412" s="62"/>
      <c r="R412" s="33"/>
      <c r="S412" s="33"/>
      <c r="T412" s="63">
        <f t="shared" si="2"/>
        <v>0</v>
      </c>
      <c r="U412" s="33"/>
      <c r="V412" s="33"/>
      <c r="W412" s="33"/>
    </row>
    <row r="413" spans="1:23" ht="16.5" customHeight="1" x14ac:dyDescent="0.2">
      <c r="A413" s="35" t="s">
        <v>3860</v>
      </c>
      <c r="B413" s="35" t="s">
        <v>3861</v>
      </c>
      <c r="C413" s="35" t="s">
        <v>115</v>
      </c>
      <c r="D413" s="35" t="s">
        <v>119</v>
      </c>
      <c r="E413" s="35" t="s">
        <v>39</v>
      </c>
      <c r="F413" s="28" t="e">
        <f ca="1">_xludf.ifna(VLOOKUP(G413,Proyectos!$A$2:$F$674,6,0),"")</f>
        <v>#NAME?</v>
      </c>
      <c r="G413" s="35" t="s">
        <v>5230</v>
      </c>
      <c r="H413" s="30">
        <v>0.3</v>
      </c>
      <c r="I413" s="52" t="s">
        <v>18</v>
      </c>
      <c r="J413" s="30" t="s">
        <v>61</v>
      </c>
      <c r="K413" s="30"/>
      <c r="L413" s="32" t="e">
        <f ca="1">_xludf.ifna(VLOOKUP(E413,Parámetros!$D$2:$E$34,2,0),"")</f>
        <v>#NAME?</v>
      </c>
      <c r="M413" s="32" t="e">
        <f ca="1">_xludf.ifna(VLOOKUP(G413,Proyectos!$A$2:$T$674,20,0),"")</f>
        <v>#NAME?</v>
      </c>
      <c r="N413" s="32" t="e">
        <f ca="1">_xludf.ifna(VLOOKUP(G413,Proyectos!$A$2:$S$674,19,0))</f>
        <v>#NAME?</v>
      </c>
      <c r="O413" s="30"/>
      <c r="P413" s="52"/>
      <c r="Q413" s="62"/>
      <c r="R413" s="33"/>
      <c r="S413" s="33"/>
      <c r="T413" s="63">
        <f t="shared" si="2"/>
        <v>0</v>
      </c>
      <c r="U413" s="33"/>
      <c r="V413" s="33"/>
      <c r="W413" s="33"/>
    </row>
    <row r="414" spans="1:23" ht="16.5" customHeight="1" x14ac:dyDescent="0.2">
      <c r="A414" s="35" t="s">
        <v>3412</v>
      </c>
      <c r="B414" s="35" t="s">
        <v>3413</v>
      </c>
      <c r="C414" s="35" t="s">
        <v>115</v>
      </c>
      <c r="D414" s="35" t="s">
        <v>119</v>
      </c>
      <c r="E414" s="35" t="s">
        <v>39</v>
      </c>
      <c r="F414" s="28" t="e">
        <f ca="1">_xludf.ifna(VLOOKUP(G414,Proyectos!$A$2:$F$674,6,0),"")</f>
        <v>#NAME?</v>
      </c>
      <c r="G414" s="29" t="s">
        <v>5131</v>
      </c>
      <c r="H414" s="30">
        <v>0.1</v>
      </c>
      <c r="I414" s="52" t="s">
        <v>11</v>
      </c>
      <c r="J414" s="30" t="s">
        <v>72</v>
      </c>
      <c r="K414" s="55"/>
      <c r="L414" s="32" t="e">
        <f ca="1">_xludf.ifna(VLOOKUP(E414,Parámetros!$D$2:$E$34,2,0),"")</f>
        <v>#NAME?</v>
      </c>
      <c r="M414" s="32" t="e">
        <f ca="1">_xludf.ifna(VLOOKUP(G414,Proyectos!$A$2:$T$674,20,0),"")</f>
        <v>#NAME?</v>
      </c>
      <c r="N414" s="32" t="e">
        <f ca="1">_xludf.ifna(VLOOKUP(G414,Proyectos!$A$2:$S$674,19,0))</f>
        <v>#NAME?</v>
      </c>
      <c r="O414" s="52"/>
      <c r="P414" s="52"/>
      <c r="Q414" s="62"/>
      <c r="R414" s="33"/>
      <c r="S414" s="33"/>
      <c r="T414" s="63">
        <f t="shared" si="2"/>
        <v>1</v>
      </c>
      <c r="U414" s="33"/>
      <c r="V414" s="33"/>
      <c r="W414" s="33"/>
    </row>
    <row r="415" spans="1:23" ht="16.5" customHeight="1" x14ac:dyDescent="0.2">
      <c r="A415" s="35" t="s">
        <v>3412</v>
      </c>
      <c r="B415" s="35" t="s">
        <v>3413</v>
      </c>
      <c r="C415" s="35" t="s">
        <v>115</v>
      </c>
      <c r="D415" s="35" t="s">
        <v>119</v>
      </c>
      <c r="E415" s="35" t="s">
        <v>39</v>
      </c>
      <c r="F415" s="28" t="e">
        <f ca="1">_xludf.ifna(VLOOKUP(G415,Proyectos!$A$2:$F$674,6,0),"")</f>
        <v>#NAME?</v>
      </c>
      <c r="G415" s="29" t="s">
        <v>5222</v>
      </c>
      <c r="H415" s="30">
        <v>0.15</v>
      </c>
      <c r="I415" s="52" t="s">
        <v>11</v>
      </c>
      <c r="J415" s="30" t="s">
        <v>72</v>
      </c>
      <c r="K415" s="55"/>
      <c r="L415" s="32" t="e">
        <f ca="1">_xludf.ifna(VLOOKUP(E415,Parámetros!$D$2:$E$34,2,0),"")</f>
        <v>#NAME?</v>
      </c>
      <c r="M415" s="32" t="e">
        <f ca="1">_xludf.ifna(VLOOKUP(G415,Proyectos!$A$2:$T$674,20,0),"")</f>
        <v>#NAME?</v>
      </c>
      <c r="N415" s="32" t="e">
        <f ca="1">_xludf.ifna(VLOOKUP(G415,Proyectos!$A$2:$S$674,19,0))</f>
        <v>#NAME?</v>
      </c>
      <c r="O415" s="52"/>
      <c r="P415" s="52"/>
      <c r="Q415" s="62"/>
      <c r="R415" s="33"/>
      <c r="S415" s="33"/>
      <c r="T415" s="63">
        <f t="shared" si="2"/>
        <v>0</v>
      </c>
      <c r="U415" s="33"/>
      <c r="V415" s="33"/>
      <c r="W415" s="33"/>
    </row>
    <row r="416" spans="1:23" ht="16.5" customHeight="1" x14ac:dyDescent="0.2">
      <c r="A416" s="35" t="s">
        <v>3412</v>
      </c>
      <c r="B416" s="35" t="s">
        <v>3413</v>
      </c>
      <c r="C416" s="35" t="s">
        <v>115</v>
      </c>
      <c r="D416" s="35" t="s">
        <v>119</v>
      </c>
      <c r="E416" s="35" t="s">
        <v>39</v>
      </c>
      <c r="F416" s="28" t="e">
        <f ca="1">_xludf.ifna(VLOOKUP(G416,Proyectos!$A$2:$F$674,6,0),"")</f>
        <v>#NAME?</v>
      </c>
      <c r="G416" s="29" t="s">
        <v>5220</v>
      </c>
      <c r="H416" s="30">
        <v>0.1</v>
      </c>
      <c r="I416" s="52" t="s">
        <v>11</v>
      </c>
      <c r="J416" s="30" t="s">
        <v>72</v>
      </c>
      <c r="K416" s="55"/>
      <c r="L416" s="32" t="e">
        <f ca="1">_xludf.ifna(VLOOKUP(E416,Parámetros!$D$2:$E$34,2,0),"")</f>
        <v>#NAME?</v>
      </c>
      <c r="M416" s="32" t="e">
        <f ca="1">_xludf.ifna(VLOOKUP(G416,Proyectos!$A$2:$T$674,20,0),"")</f>
        <v>#NAME?</v>
      </c>
      <c r="N416" s="32" t="e">
        <f ca="1">_xludf.ifna(VLOOKUP(G416,Proyectos!$A$2:$S$674,19,0))</f>
        <v>#NAME?</v>
      </c>
      <c r="O416" s="52"/>
      <c r="P416" s="52"/>
      <c r="Q416" s="62"/>
      <c r="R416" s="33"/>
      <c r="S416" s="33"/>
      <c r="T416" s="63">
        <f t="shared" si="2"/>
        <v>0</v>
      </c>
      <c r="U416" s="33"/>
      <c r="V416" s="33"/>
      <c r="W416" s="33"/>
    </row>
    <row r="417" spans="1:23" ht="16.5" customHeight="1" x14ac:dyDescent="0.2">
      <c r="A417" s="35" t="s">
        <v>3412</v>
      </c>
      <c r="B417" s="35" t="s">
        <v>3413</v>
      </c>
      <c r="C417" s="35" t="s">
        <v>115</v>
      </c>
      <c r="D417" s="35" t="s">
        <v>119</v>
      </c>
      <c r="E417" s="35" t="s">
        <v>39</v>
      </c>
      <c r="F417" s="28" t="e">
        <f ca="1">_xludf.ifna(VLOOKUP(G417,Proyectos!$A$2:$F$674,6,0),"")</f>
        <v>#NAME?</v>
      </c>
      <c r="G417" s="29" t="s">
        <v>5227</v>
      </c>
      <c r="H417" s="30">
        <v>0.15</v>
      </c>
      <c r="I417" s="52" t="s">
        <v>11</v>
      </c>
      <c r="J417" s="30" t="s">
        <v>72</v>
      </c>
      <c r="K417" s="55"/>
      <c r="L417" s="32" t="e">
        <f ca="1">_xludf.ifna(VLOOKUP(E417,Parámetros!$D$2:$E$34,2,0),"")</f>
        <v>#NAME?</v>
      </c>
      <c r="M417" s="32" t="e">
        <f ca="1">_xludf.ifna(VLOOKUP(G417,Proyectos!$A$2:$T$674,20,0),"")</f>
        <v>#NAME?</v>
      </c>
      <c r="N417" s="32" t="e">
        <f ca="1">_xludf.ifna(VLOOKUP(G417,Proyectos!$A$2:$S$674,19,0))</f>
        <v>#NAME?</v>
      </c>
      <c r="O417" s="52"/>
      <c r="P417" s="52"/>
      <c r="Q417" s="62"/>
      <c r="R417" s="33"/>
      <c r="S417" s="33"/>
      <c r="T417" s="63">
        <f t="shared" si="2"/>
        <v>0</v>
      </c>
      <c r="U417" s="33"/>
      <c r="V417" s="33"/>
      <c r="W417" s="33"/>
    </row>
    <row r="418" spans="1:23" ht="16.5" customHeight="1" x14ac:dyDescent="0.2">
      <c r="A418" s="35" t="s">
        <v>3412</v>
      </c>
      <c r="B418" s="35" t="s">
        <v>3413</v>
      </c>
      <c r="C418" s="35" t="s">
        <v>115</v>
      </c>
      <c r="D418" s="35" t="s">
        <v>119</v>
      </c>
      <c r="E418" s="35" t="s">
        <v>39</v>
      </c>
      <c r="F418" s="28" t="e">
        <f ca="1">_xludf.ifna(VLOOKUP(G418,Proyectos!$A$2:$F$674,6,0),"")</f>
        <v>#NAME?</v>
      </c>
      <c r="G418" s="29" t="s">
        <v>5116</v>
      </c>
      <c r="H418" s="30">
        <v>0.1</v>
      </c>
      <c r="I418" s="52" t="s">
        <v>11</v>
      </c>
      <c r="J418" s="30" t="s">
        <v>72</v>
      </c>
      <c r="K418" s="30"/>
      <c r="L418" s="32" t="e">
        <f ca="1">_xludf.ifna(VLOOKUP(E418,Parámetros!$D$2:$E$34,2,0),"")</f>
        <v>#NAME?</v>
      </c>
      <c r="M418" s="32" t="e">
        <f ca="1">_xludf.ifna(VLOOKUP(G418,Proyectos!$A$2:$T$674,20,0),"")</f>
        <v>#NAME?</v>
      </c>
      <c r="N418" s="32" t="e">
        <f ca="1">_xludf.ifna(VLOOKUP(G418,Proyectos!$A$2:$S$674,19,0))</f>
        <v>#NAME?</v>
      </c>
      <c r="O418" s="30"/>
      <c r="P418" s="52"/>
      <c r="Q418" s="62"/>
      <c r="R418" s="33"/>
      <c r="S418" s="33"/>
      <c r="T418" s="63">
        <f t="shared" si="2"/>
        <v>0</v>
      </c>
      <c r="U418" s="33"/>
      <c r="V418" s="33"/>
      <c r="W418" s="33"/>
    </row>
    <row r="419" spans="1:23" ht="16.5" customHeight="1" x14ac:dyDescent="0.2">
      <c r="A419" s="35" t="s">
        <v>3412</v>
      </c>
      <c r="B419" s="35" t="s">
        <v>3413</v>
      </c>
      <c r="C419" s="35" t="s">
        <v>115</v>
      </c>
      <c r="D419" s="35" t="s">
        <v>119</v>
      </c>
      <c r="E419" s="35" t="s">
        <v>39</v>
      </c>
      <c r="F419" s="28" t="e">
        <f ca="1">_xludf.ifna(VLOOKUP(G419,Proyectos!$A$2:$F$674,6,0),"")</f>
        <v>#NAME?</v>
      </c>
      <c r="G419" s="29" t="s">
        <v>5229</v>
      </c>
      <c r="H419" s="30">
        <v>0.1</v>
      </c>
      <c r="I419" s="52" t="s">
        <v>11</v>
      </c>
      <c r="J419" s="30" t="s">
        <v>72</v>
      </c>
      <c r="K419" s="30"/>
      <c r="L419" s="32" t="e">
        <f ca="1">_xludf.ifna(VLOOKUP(E419,Parámetros!$D$2:$E$34,2,0),"")</f>
        <v>#NAME?</v>
      </c>
      <c r="M419" s="32" t="e">
        <f ca="1">_xludf.ifna(VLOOKUP(G419,Proyectos!$A$2:$T$674,20,0),"")</f>
        <v>#NAME?</v>
      </c>
      <c r="N419" s="32" t="e">
        <f ca="1">_xludf.ifna(VLOOKUP(G419,Proyectos!$A$2:$S$674,19,0))</f>
        <v>#NAME?</v>
      </c>
      <c r="O419" s="30"/>
      <c r="P419" s="52"/>
      <c r="Q419" s="62"/>
      <c r="R419" s="33"/>
      <c r="S419" s="33"/>
      <c r="T419" s="63">
        <f t="shared" si="2"/>
        <v>0</v>
      </c>
      <c r="U419" s="33"/>
      <c r="V419" s="33"/>
      <c r="W419" s="33"/>
    </row>
    <row r="420" spans="1:23" ht="16.5" customHeight="1" x14ac:dyDescent="0.2">
      <c r="A420" s="35" t="s">
        <v>3412</v>
      </c>
      <c r="B420" s="35" t="s">
        <v>3413</v>
      </c>
      <c r="C420" s="35" t="s">
        <v>115</v>
      </c>
      <c r="D420" s="35" t="s">
        <v>119</v>
      </c>
      <c r="E420" s="35" t="s">
        <v>39</v>
      </c>
      <c r="F420" s="28" t="e">
        <f ca="1">_xludf.ifna(VLOOKUP(G420,Proyectos!$A$2:$F$674,6,0),"")</f>
        <v>#NAME?</v>
      </c>
      <c r="G420" s="29" t="s">
        <v>5228</v>
      </c>
      <c r="H420" s="30">
        <v>0.1</v>
      </c>
      <c r="I420" s="52" t="s">
        <v>11</v>
      </c>
      <c r="J420" s="30" t="s">
        <v>72</v>
      </c>
      <c r="K420" s="30"/>
      <c r="L420" s="32" t="e">
        <f ca="1">_xludf.ifna(VLOOKUP(E420,Parámetros!$D$2:$E$34,2,0),"")</f>
        <v>#NAME?</v>
      </c>
      <c r="M420" s="32" t="e">
        <f ca="1">_xludf.ifna(VLOOKUP(G420,Proyectos!$A$2:$T$674,20,0),"")</f>
        <v>#NAME?</v>
      </c>
      <c r="N420" s="32" t="e">
        <f ca="1">_xludf.ifna(VLOOKUP(G420,Proyectos!$A$2:$S$674,19,0))</f>
        <v>#NAME?</v>
      </c>
      <c r="O420" s="30"/>
      <c r="P420" s="52"/>
      <c r="Q420" s="62"/>
      <c r="R420" s="33"/>
      <c r="S420" s="33"/>
      <c r="T420" s="63">
        <f t="shared" si="2"/>
        <v>0</v>
      </c>
      <c r="U420" s="33"/>
      <c r="V420" s="33"/>
      <c r="W420" s="33"/>
    </row>
    <row r="421" spans="1:23" ht="16.5" customHeight="1" x14ac:dyDescent="0.2">
      <c r="A421" s="35" t="s">
        <v>3412</v>
      </c>
      <c r="B421" s="35" t="s">
        <v>3413</v>
      </c>
      <c r="C421" s="35" t="s">
        <v>115</v>
      </c>
      <c r="D421" s="35" t="s">
        <v>119</v>
      </c>
      <c r="E421" s="35" t="s">
        <v>39</v>
      </c>
      <c r="F421" s="28" t="e">
        <f ca="1">_xludf.ifna(VLOOKUP(G421,Proyectos!$A$2:$F$674,6,0),"")</f>
        <v>#NAME?</v>
      </c>
      <c r="G421" s="29" t="s">
        <v>5221</v>
      </c>
      <c r="H421" s="30">
        <v>0.1</v>
      </c>
      <c r="I421" s="52" t="s">
        <v>11</v>
      </c>
      <c r="J421" s="30" t="s">
        <v>72</v>
      </c>
      <c r="K421" s="30"/>
      <c r="L421" s="32" t="e">
        <f ca="1">_xludf.ifna(VLOOKUP(E421,Parámetros!$D$2:$E$34,2,0),"")</f>
        <v>#NAME?</v>
      </c>
      <c r="M421" s="32" t="e">
        <f ca="1">_xludf.ifna(VLOOKUP(G421,Proyectos!$A$2:$T$674,20,0),"")</f>
        <v>#NAME?</v>
      </c>
      <c r="N421" s="32" t="e">
        <f ca="1">_xludf.ifna(VLOOKUP(G421,Proyectos!$A$2:$S$674,19,0))</f>
        <v>#NAME?</v>
      </c>
      <c r="O421" s="30"/>
      <c r="P421" s="52"/>
      <c r="Q421" s="62"/>
      <c r="R421" s="33"/>
      <c r="S421" s="33"/>
      <c r="T421" s="63">
        <f t="shared" si="2"/>
        <v>0</v>
      </c>
      <c r="U421" s="33"/>
      <c r="V421" s="33"/>
      <c r="W421" s="33"/>
    </row>
    <row r="422" spans="1:23" ht="16.5" customHeight="1" x14ac:dyDescent="0.2">
      <c r="A422" s="35" t="s">
        <v>3412</v>
      </c>
      <c r="B422" s="35" t="s">
        <v>3413</v>
      </c>
      <c r="C422" s="35" t="s">
        <v>115</v>
      </c>
      <c r="D422" s="35" t="s">
        <v>119</v>
      </c>
      <c r="E422" s="35" t="s">
        <v>39</v>
      </c>
      <c r="F422" s="28" t="e">
        <f ca="1">_xludf.ifna(VLOOKUP(G422,Proyectos!$A$2:$F$674,6,0),"")</f>
        <v>#NAME?</v>
      </c>
      <c r="G422" s="35" t="s">
        <v>5230</v>
      </c>
      <c r="H422" s="30">
        <v>0.1</v>
      </c>
      <c r="I422" s="52" t="s">
        <v>11</v>
      </c>
      <c r="J422" s="30" t="s">
        <v>72</v>
      </c>
      <c r="K422" s="30"/>
      <c r="L422" s="32" t="e">
        <f ca="1">_xludf.ifna(VLOOKUP(E422,Parámetros!$D$2:$E$34,2,0),"")</f>
        <v>#NAME?</v>
      </c>
      <c r="M422" s="32" t="e">
        <f ca="1">_xludf.ifna(VLOOKUP(G422,Proyectos!$A$2:$T$674,20,0),"")</f>
        <v>#NAME?</v>
      </c>
      <c r="N422" s="32" t="e">
        <f ca="1">_xludf.ifna(VLOOKUP(G422,Proyectos!$A$2:$S$674,19,0))</f>
        <v>#NAME?</v>
      </c>
      <c r="O422" s="52"/>
      <c r="P422" s="52"/>
      <c r="Q422" s="62"/>
      <c r="R422" s="33"/>
      <c r="S422" s="33"/>
      <c r="T422" s="63">
        <f t="shared" si="2"/>
        <v>0</v>
      </c>
      <c r="U422" s="33"/>
      <c r="V422" s="33"/>
      <c r="W422" s="33"/>
    </row>
    <row r="423" spans="1:23" ht="16.5" customHeight="1" x14ac:dyDescent="0.2">
      <c r="A423" s="26" t="s">
        <v>3892</v>
      </c>
      <c r="B423" s="26" t="s">
        <v>3893</v>
      </c>
      <c r="C423" s="26" t="s">
        <v>7</v>
      </c>
      <c r="D423" s="26" t="s">
        <v>16</v>
      </c>
      <c r="E423" s="26" t="s">
        <v>39</v>
      </c>
      <c r="F423" s="28" t="e">
        <f ca="1">_xludf.ifna(VLOOKUP(G423,Proyectos!$A$2:$F$674,6,0),"")</f>
        <v>#NAME?</v>
      </c>
      <c r="G423" s="26" t="s">
        <v>5231</v>
      </c>
      <c r="H423" s="32">
        <v>1</v>
      </c>
      <c r="I423" s="31" t="s">
        <v>18</v>
      </c>
      <c r="J423" s="31" t="s">
        <v>61</v>
      </c>
      <c r="K423" s="32"/>
      <c r="L423" s="32" t="e">
        <f ca="1">_xludf.ifna(VLOOKUP(E423,Parámetros!$D$2:$E$34,2,0),"")</f>
        <v>#NAME?</v>
      </c>
      <c r="M423" s="32" t="e">
        <f ca="1">_xludf.ifna(VLOOKUP(G423,Proyectos!$A$2:$T$674,20,0),"")</f>
        <v>#NAME?</v>
      </c>
      <c r="N423" s="32" t="e">
        <f ca="1">_xludf.ifna(VLOOKUP(G423,Proyectos!$A$2:$S$674,19,0))</f>
        <v>#NAME?</v>
      </c>
      <c r="O423" s="32"/>
      <c r="P423" s="31"/>
      <c r="Q423" s="33"/>
      <c r="R423" s="33"/>
      <c r="S423" s="33"/>
      <c r="T423" s="33"/>
      <c r="U423" s="33"/>
      <c r="V423" s="33"/>
      <c r="W423" s="33"/>
    </row>
    <row r="424" spans="1:23" ht="16.5" customHeight="1" x14ac:dyDescent="0.2">
      <c r="A424" s="26" t="s">
        <v>4595</v>
      </c>
      <c r="B424" s="26" t="s">
        <v>4596</v>
      </c>
      <c r="C424" s="26" t="s">
        <v>7</v>
      </c>
      <c r="D424" s="26" t="s">
        <v>16</v>
      </c>
      <c r="E424" s="26" t="s">
        <v>39</v>
      </c>
      <c r="F424" s="28" t="e">
        <f ca="1">_xludf.ifna(VLOOKUP(G424,Proyectos!$A$2:$F$674,6,0),"")</f>
        <v>#NAME?</v>
      </c>
      <c r="G424" s="26" t="s">
        <v>5232</v>
      </c>
      <c r="H424" s="32">
        <v>0.75</v>
      </c>
      <c r="I424" s="31" t="s">
        <v>18</v>
      </c>
      <c r="J424" s="31" t="s">
        <v>61</v>
      </c>
      <c r="K424" s="32"/>
      <c r="L424" s="32" t="e">
        <f ca="1">_xludf.ifna(VLOOKUP(E424,Parámetros!$D$2:$E$34,2,0),"")</f>
        <v>#NAME?</v>
      </c>
      <c r="M424" s="32" t="e">
        <f ca="1">_xludf.ifna(VLOOKUP(G424,Proyectos!$A$2:$T$674,20,0),"")</f>
        <v>#NAME?</v>
      </c>
      <c r="N424" s="32" t="e">
        <f ca="1">_xludf.ifna(VLOOKUP(G424,Proyectos!$A$2:$S$674,19,0))</f>
        <v>#NAME?</v>
      </c>
      <c r="O424" s="32"/>
      <c r="P424" s="31"/>
      <c r="Q424" s="33"/>
      <c r="R424" s="33"/>
      <c r="S424" s="33"/>
      <c r="T424" s="33"/>
      <c r="U424" s="33"/>
      <c r="V424" s="33"/>
      <c r="W424" s="33"/>
    </row>
    <row r="425" spans="1:23" ht="16.5" customHeight="1" x14ac:dyDescent="0.2">
      <c r="A425" s="26" t="s">
        <v>4595</v>
      </c>
      <c r="B425" s="26" t="s">
        <v>4596</v>
      </c>
      <c r="C425" s="26" t="s">
        <v>7</v>
      </c>
      <c r="D425" s="26" t="s">
        <v>16</v>
      </c>
      <c r="E425" s="26" t="s">
        <v>39</v>
      </c>
      <c r="F425" s="28" t="e">
        <f ca="1">_xludf.ifna(VLOOKUP(G425,Proyectos!$A$2:$F$674,6,0),"")</f>
        <v>#NAME?</v>
      </c>
      <c r="G425" s="29" t="s">
        <v>5114</v>
      </c>
      <c r="H425" s="32">
        <v>0.25</v>
      </c>
      <c r="I425" s="31" t="s">
        <v>18</v>
      </c>
      <c r="J425" s="31" t="s">
        <v>61</v>
      </c>
      <c r="K425" s="32"/>
      <c r="L425" s="32" t="e">
        <f ca="1">_xludf.ifna(VLOOKUP(E425,Parámetros!$D$2:$E$34,2,0),"")</f>
        <v>#NAME?</v>
      </c>
      <c r="M425" s="32" t="e">
        <f ca="1">_xludf.ifna(VLOOKUP(G425,Proyectos!$A$2:$T$674,20,0),"")</f>
        <v>#NAME?</v>
      </c>
      <c r="N425" s="32" t="e">
        <f ca="1">_xludf.ifna(VLOOKUP(G425,Proyectos!$A$2:$S$674,19,0))</f>
        <v>#NAME?</v>
      </c>
      <c r="O425" s="32"/>
      <c r="P425" s="31"/>
      <c r="Q425" s="33"/>
      <c r="R425" s="33"/>
      <c r="S425" s="33"/>
      <c r="T425" s="33"/>
      <c r="U425" s="33"/>
      <c r="V425" s="33"/>
      <c r="W425" s="33"/>
    </row>
    <row r="426" spans="1:23" ht="16.5" customHeight="1" x14ac:dyDescent="0.2">
      <c r="A426" s="26" t="s">
        <v>4665</v>
      </c>
      <c r="B426" s="26" t="s">
        <v>4666</v>
      </c>
      <c r="C426" s="26" t="s">
        <v>7</v>
      </c>
      <c r="D426" s="26" t="s">
        <v>16</v>
      </c>
      <c r="E426" s="26" t="s">
        <v>39</v>
      </c>
      <c r="F426" s="28" t="e">
        <f ca="1">_xludf.ifna(VLOOKUP(G426,Proyectos!$A$2:$F$674,6,0),"")</f>
        <v>#NAME?</v>
      </c>
      <c r="G426" s="26" t="s">
        <v>5232</v>
      </c>
      <c r="H426" s="32">
        <v>0.5</v>
      </c>
      <c r="I426" s="31" t="s">
        <v>18</v>
      </c>
      <c r="J426" s="31" t="s">
        <v>61</v>
      </c>
      <c r="K426" s="32"/>
      <c r="L426" s="32" t="e">
        <f ca="1">_xludf.ifna(VLOOKUP(E426,Parámetros!$D$2:$E$34,2,0),"")</f>
        <v>#NAME?</v>
      </c>
      <c r="M426" s="32" t="e">
        <f ca="1">_xludf.ifna(VLOOKUP(G426,Proyectos!$A$2:$T$674,20,0),"")</f>
        <v>#NAME?</v>
      </c>
      <c r="N426" s="32" t="e">
        <f ca="1">_xludf.ifna(VLOOKUP(G426,Proyectos!$A$2:$S$674,19,0))</f>
        <v>#NAME?</v>
      </c>
      <c r="O426" s="32"/>
      <c r="P426" s="31"/>
      <c r="Q426" s="33"/>
      <c r="R426" s="33"/>
      <c r="S426" s="33"/>
      <c r="T426" s="33"/>
      <c r="U426" s="33"/>
      <c r="V426" s="33"/>
      <c r="W426" s="33"/>
    </row>
    <row r="427" spans="1:23" ht="16.5" customHeight="1" x14ac:dyDescent="0.2">
      <c r="A427" s="26" t="s">
        <v>4665</v>
      </c>
      <c r="B427" s="26" t="s">
        <v>4666</v>
      </c>
      <c r="C427" s="26" t="s">
        <v>7</v>
      </c>
      <c r="D427" s="26" t="s">
        <v>16</v>
      </c>
      <c r="E427" s="26" t="s">
        <v>39</v>
      </c>
      <c r="F427" s="28" t="e">
        <f ca="1">_xludf.ifna(VLOOKUP(G427,Proyectos!$A$2:$F$674,6,0),"")</f>
        <v>#NAME?</v>
      </c>
      <c r="G427" s="26" t="s">
        <v>5231</v>
      </c>
      <c r="H427" s="32">
        <v>0.25</v>
      </c>
      <c r="I427" s="31" t="s">
        <v>18</v>
      </c>
      <c r="J427" s="31" t="s">
        <v>61</v>
      </c>
      <c r="K427" s="32"/>
      <c r="L427" s="32" t="e">
        <f ca="1">_xludf.ifna(VLOOKUP(E427,Parámetros!$D$2:$E$34,2,0),"")</f>
        <v>#NAME?</v>
      </c>
      <c r="M427" s="32" t="e">
        <f ca="1">_xludf.ifna(VLOOKUP(G427,Proyectos!$A$2:$T$674,20,0),"")</f>
        <v>#NAME?</v>
      </c>
      <c r="N427" s="32" t="e">
        <f ca="1">_xludf.ifna(VLOOKUP(G427,Proyectos!$A$2:$S$674,19,0))</f>
        <v>#NAME?</v>
      </c>
      <c r="O427" s="32"/>
      <c r="P427" s="31"/>
      <c r="Q427" s="33"/>
      <c r="R427" s="33"/>
      <c r="S427" s="33"/>
      <c r="T427" s="33"/>
      <c r="U427" s="33"/>
      <c r="V427" s="33"/>
      <c r="W427" s="33"/>
    </row>
    <row r="428" spans="1:23" ht="16.5" customHeight="1" x14ac:dyDescent="0.2">
      <c r="A428" s="26" t="s">
        <v>4665</v>
      </c>
      <c r="B428" s="26" t="s">
        <v>4666</v>
      </c>
      <c r="C428" s="26" t="s">
        <v>7</v>
      </c>
      <c r="D428" s="26" t="s">
        <v>16</v>
      </c>
      <c r="E428" s="26" t="s">
        <v>39</v>
      </c>
      <c r="F428" s="28" t="e">
        <f ca="1">_xludf.ifna(VLOOKUP(G428,Proyectos!$A$2:$F$674,6,0),"")</f>
        <v>#NAME?</v>
      </c>
      <c r="G428" s="29" t="s">
        <v>5114</v>
      </c>
      <c r="H428" s="32">
        <v>0.25</v>
      </c>
      <c r="I428" s="31" t="s">
        <v>18</v>
      </c>
      <c r="J428" s="31" t="s">
        <v>61</v>
      </c>
      <c r="K428" s="32"/>
      <c r="L428" s="32" t="e">
        <f ca="1">_xludf.ifna(VLOOKUP(E428,Parámetros!$D$2:$E$34,2,0),"")</f>
        <v>#NAME?</v>
      </c>
      <c r="M428" s="32" t="e">
        <f ca="1">_xludf.ifna(VLOOKUP(G428,Proyectos!$A$2:$T$674,20,0),"")</f>
        <v>#NAME?</v>
      </c>
      <c r="N428" s="32" t="e">
        <f ca="1">_xludf.ifna(VLOOKUP(G428,Proyectos!$A$2:$S$674,19,0))</f>
        <v>#NAME?</v>
      </c>
      <c r="O428" s="32"/>
      <c r="P428" s="31"/>
      <c r="Q428" s="33"/>
      <c r="R428" s="33"/>
      <c r="S428" s="33"/>
      <c r="T428" s="33"/>
      <c r="U428" s="33"/>
      <c r="V428" s="33"/>
      <c r="W428" s="33"/>
    </row>
    <row r="429" spans="1:23" ht="16.5" customHeight="1" x14ac:dyDescent="0.2">
      <c r="A429" s="26" t="s">
        <v>4679</v>
      </c>
      <c r="B429" s="26" t="s">
        <v>4680</v>
      </c>
      <c r="C429" s="26" t="s">
        <v>7</v>
      </c>
      <c r="D429" s="26" t="s">
        <v>16</v>
      </c>
      <c r="E429" s="26" t="s">
        <v>39</v>
      </c>
      <c r="F429" s="28" t="e">
        <f ca="1">_xludf.ifna(VLOOKUP(G429,Proyectos!$A$2:$F$674,6,0),"")</f>
        <v>#NAME?</v>
      </c>
      <c r="G429" s="26" t="s">
        <v>5231</v>
      </c>
      <c r="H429" s="44">
        <v>0.5</v>
      </c>
      <c r="I429" s="31" t="s">
        <v>18</v>
      </c>
      <c r="J429" s="31" t="s">
        <v>61</v>
      </c>
      <c r="K429" s="32"/>
      <c r="L429" s="32" t="e">
        <f ca="1">_xludf.ifna(VLOOKUP(E429,Parámetros!$D$2:$E$34,2,0),"")</f>
        <v>#NAME?</v>
      </c>
      <c r="M429" s="32" t="e">
        <f ca="1">_xludf.ifna(VLOOKUP(G429,Proyectos!$A$2:$T$674,20,0),"")</f>
        <v>#NAME?</v>
      </c>
      <c r="N429" s="32" t="e">
        <f ca="1">_xludf.ifna(VLOOKUP(G429,Proyectos!$A$2:$S$674,19,0))</f>
        <v>#NAME?</v>
      </c>
      <c r="O429" s="32"/>
      <c r="P429" s="31"/>
      <c r="Q429" s="33"/>
      <c r="R429" s="33"/>
      <c r="S429" s="33"/>
      <c r="T429" s="33"/>
      <c r="U429" s="33"/>
      <c r="V429" s="33"/>
      <c r="W429" s="33"/>
    </row>
    <row r="430" spans="1:23" ht="16.5" customHeight="1" x14ac:dyDescent="0.2">
      <c r="A430" s="26" t="s">
        <v>4679</v>
      </c>
      <c r="B430" s="26" t="s">
        <v>4680</v>
      </c>
      <c r="C430" s="26" t="s">
        <v>7</v>
      </c>
      <c r="D430" s="26" t="s">
        <v>16</v>
      </c>
      <c r="E430" s="26" t="s">
        <v>39</v>
      </c>
      <c r="F430" s="28" t="e">
        <f ca="1">_xludf.ifna(VLOOKUP(G430,Proyectos!$A$2:$F$674,6,0),"")</f>
        <v>#NAME?</v>
      </c>
      <c r="G430" s="29" t="s">
        <v>5114</v>
      </c>
      <c r="H430" s="44">
        <v>0.25</v>
      </c>
      <c r="I430" s="31" t="s">
        <v>18</v>
      </c>
      <c r="J430" s="31" t="s">
        <v>61</v>
      </c>
      <c r="K430" s="32"/>
      <c r="L430" s="32" t="e">
        <f ca="1">_xludf.ifna(VLOOKUP(E430,Parámetros!$D$2:$E$34,2,0),"")</f>
        <v>#NAME?</v>
      </c>
      <c r="M430" s="32" t="e">
        <f ca="1">_xludf.ifna(VLOOKUP(G430,Proyectos!$A$2:$T$674,20,0),"")</f>
        <v>#NAME?</v>
      </c>
      <c r="N430" s="32" t="e">
        <f ca="1">_xludf.ifna(VLOOKUP(G430,Proyectos!$A$2:$S$674,19,0))</f>
        <v>#NAME?</v>
      </c>
      <c r="O430" s="32"/>
      <c r="P430" s="31"/>
      <c r="Q430" s="33"/>
      <c r="R430" s="33"/>
      <c r="S430" s="33"/>
      <c r="T430" s="33"/>
      <c r="U430" s="33"/>
      <c r="V430" s="33"/>
      <c r="W430" s="33"/>
    </row>
    <row r="431" spans="1:23" ht="16.5" customHeight="1" x14ac:dyDescent="0.2">
      <c r="A431" s="26" t="s">
        <v>4679</v>
      </c>
      <c r="B431" s="26" t="s">
        <v>4680</v>
      </c>
      <c r="C431" s="26" t="s">
        <v>7</v>
      </c>
      <c r="D431" s="26" t="s">
        <v>16</v>
      </c>
      <c r="E431" s="26" t="s">
        <v>39</v>
      </c>
      <c r="F431" s="28" t="e">
        <f ca="1">_xludf.ifna(VLOOKUP(G431,Proyectos!$A$2:$F$674,6,0),"")</f>
        <v>#NAME?</v>
      </c>
      <c r="G431" s="26" t="s">
        <v>5233</v>
      </c>
      <c r="H431" s="32">
        <v>0.25</v>
      </c>
      <c r="I431" s="31" t="s">
        <v>18</v>
      </c>
      <c r="J431" s="31" t="s">
        <v>61</v>
      </c>
      <c r="K431" s="32"/>
      <c r="L431" s="32" t="e">
        <f ca="1">_xludf.ifna(VLOOKUP(E431,Parámetros!$D$2:$E$34,2,0),"")</f>
        <v>#NAME?</v>
      </c>
      <c r="M431" s="32" t="e">
        <f ca="1">_xludf.ifna(VLOOKUP(G431,Proyectos!$A$2:$T$674,20,0),"")</f>
        <v>#NAME?</v>
      </c>
      <c r="N431" s="32" t="e">
        <f ca="1">_xludf.ifna(VLOOKUP(G431,Proyectos!$A$2:$S$674,19,0))</f>
        <v>#NAME?</v>
      </c>
      <c r="O431" s="31"/>
      <c r="P431" s="31"/>
      <c r="Q431" s="33"/>
      <c r="R431" s="33"/>
      <c r="S431" s="33"/>
      <c r="T431" s="33"/>
      <c r="U431" s="33"/>
      <c r="V431" s="33"/>
      <c r="W431" s="33"/>
    </row>
    <row r="432" spans="1:23" ht="16.5" customHeight="1" x14ac:dyDescent="0.2">
      <c r="A432" s="26" t="s">
        <v>4903</v>
      </c>
      <c r="B432" s="26" t="s">
        <v>4904</v>
      </c>
      <c r="C432" s="26" t="s">
        <v>7</v>
      </c>
      <c r="D432" s="26" t="s">
        <v>16</v>
      </c>
      <c r="E432" s="26" t="s">
        <v>126</v>
      </c>
      <c r="F432" s="28" t="e">
        <f ca="1">_xludf.ifna(VLOOKUP(G432,Proyectos!$A$2:$F$674,6,0),"")</f>
        <v>#NAME?</v>
      </c>
      <c r="G432" s="26" t="s">
        <v>5231</v>
      </c>
      <c r="H432" s="32">
        <v>0.5</v>
      </c>
      <c r="I432" s="31" t="s">
        <v>25</v>
      </c>
      <c r="J432" s="31" t="s">
        <v>61</v>
      </c>
      <c r="K432" s="32"/>
      <c r="L432" s="32" t="e">
        <f ca="1">_xludf.ifna(VLOOKUP(E432,Parámetros!$D$2:$E$34,2,0),"")</f>
        <v>#NAME?</v>
      </c>
      <c r="M432" s="32" t="e">
        <f ca="1">_xludf.ifna(VLOOKUP(G432,Proyectos!$A$2:$T$674,20,0),"")</f>
        <v>#NAME?</v>
      </c>
      <c r="N432" s="32" t="e">
        <f ca="1">_xludf.ifna(VLOOKUP(G432,Proyectos!$A$2:$S$674,19,0))</f>
        <v>#NAME?</v>
      </c>
      <c r="O432" s="31"/>
      <c r="P432" s="31"/>
      <c r="Q432" s="33"/>
      <c r="R432" s="33"/>
      <c r="S432" s="33"/>
      <c r="T432" s="33"/>
      <c r="U432" s="33"/>
      <c r="V432" s="33"/>
      <c r="W432" s="33"/>
    </row>
    <row r="433" spans="1:23" ht="16.5" customHeight="1" x14ac:dyDescent="0.2">
      <c r="A433" s="26" t="s">
        <v>4903</v>
      </c>
      <c r="B433" s="26" t="s">
        <v>4904</v>
      </c>
      <c r="C433" s="26" t="s">
        <v>7</v>
      </c>
      <c r="D433" s="26" t="s">
        <v>16</v>
      </c>
      <c r="E433" s="26" t="s">
        <v>126</v>
      </c>
      <c r="F433" s="28" t="e">
        <f ca="1">_xludf.ifna(VLOOKUP(G433,Proyectos!$A$2:$F$674,6,0),"")</f>
        <v>#NAME?</v>
      </c>
      <c r="G433" s="29" t="s">
        <v>5114</v>
      </c>
      <c r="H433" s="32">
        <v>0.4</v>
      </c>
      <c r="I433" s="31" t="s">
        <v>25</v>
      </c>
      <c r="J433" s="31" t="s">
        <v>61</v>
      </c>
      <c r="K433" s="32"/>
      <c r="L433" s="32" t="e">
        <f ca="1">_xludf.ifna(VLOOKUP(E433,Parámetros!$D$2:$E$34,2,0),"")</f>
        <v>#NAME?</v>
      </c>
      <c r="M433" s="32" t="e">
        <f ca="1">_xludf.ifna(VLOOKUP(G433,Proyectos!$A$2:$T$674,20,0),"")</f>
        <v>#NAME?</v>
      </c>
      <c r="N433" s="32" t="e">
        <f ca="1">_xludf.ifna(VLOOKUP(G433,Proyectos!$A$2:$S$674,19,0))</f>
        <v>#NAME?</v>
      </c>
      <c r="O433" s="31"/>
      <c r="P433" s="31"/>
      <c r="Q433" s="33"/>
      <c r="R433" s="33"/>
      <c r="S433" s="33"/>
      <c r="T433" s="33"/>
      <c r="U433" s="33"/>
      <c r="V433" s="33"/>
      <c r="W433" s="33"/>
    </row>
    <row r="434" spans="1:23" ht="16.5" customHeight="1" x14ac:dyDescent="0.2">
      <c r="A434" s="26" t="s">
        <v>4903</v>
      </c>
      <c r="B434" s="26" t="s">
        <v>4904</v>
      </c>
      <c r="C434" s="26" t="s">
        <v>7</v>
      </c>
      <c r="D434" s="26" t="s">
        <v>16</v>
      </c>
      <c r="E434" s="26" t="s">
        <v>126</v>
      </c>
      <c r="F434" s="28" t="e">
        <f ca="1">_xludf.ifna(VLOOKUP(G434,Proyectos!$A$2:$F$674,6,0),"")</f>
        <v>#NAME?</v>
      </c>
      <c r="G434" s="26" t="s">
        <v>5233</v>
      </c>
      <c r="H434" s="32">
        <v>0.1</v>
      </c>
      <c r="I434" s="31" t="s">
        <v>25</v>
      </c>
      <c r="J434" s="31" t="s">
        <v>61</v>
      </c>
      <c r="K434" s="32"/>
      <c r="L434" s="32" t="e">
        <f ca="1">_xludf.ifna(VLOOKUP(E434,Parámetros!$D$2:$E$34,2,0),"")</f>
        <v>#NAME?</v>
      </c>
      <c r="M434" s="32" t="e">
        <f ca="1">_xludf.ifna(VLOOKUP(G434,Proyectos!$A$2:$T$674,20,0),"")</f>
        <v>#NAME?</v>
      </c>
      <c r="N434" s="32" t="e">
        <f ca="1">_xludf.ifna(VLOOKUP(G434,Proyectos!$A$2:$S$674,19,0))</f>
        <v>#NAME?</v>
      </c>
      <c r="O434" s="31"/>
      <c r="P434" s="31"/>
      <c r="Q434" s="33"/>
      <c r="R434" s="33"/>
      <c r="S434" s="33"/>
      <c r="T434" s="33"/>
      <c r="U434" s="33"/>
      <c r="V434" s="33"/>
      <c r="W434" s="33"/>
    </row>
    <row r="435" spans="1:23" ht="16.5" customHeight="1" x14ac:dyDescent="0.2">
      <c r="A435" s="26" t="s">
        <v>3830</v>
      </c>
      <c r="B435" s="26" t="s">
        <v>3831</v>
      </c>
      <c r="C435" s="26" t="s">
        <v>7</v>
      </c>
      <c r="D435" s="26" t="s">
        <v>16</v>
      </c>
      <c r="E435" s="26" t="s">
        <v>39</v>
      </c>
      <c r="F435" s="28" t="e">
        <f ca="1">_xludf.ifna(VLOOKUP(G435,Proyectos!$A$2:$F$674,6,0),"")</f>
        <v>#NAME?</v>
      </c>
      <c r="G435" s="26" t="s">
        <v>5231</v>
      </c>
      <c r="H435" s="32">
        <v>0.3</v>
      </c>
      <c r="I435" s="31" t="s">
        <v>11</v>
      </c>
      <c r="J435" s="31" t="s">
        <v>61</v>
      </c>
      <c r="K435" s="32"/>
      <c r="L435" s="32" t="e">
        <f ca="1">_xludf.ifna(VLOOKUP(E435,Parámetros!$D$2:$E$34,2,0),"")</f>
        <v>#NAME?</v>
      </c>
      <c r="M435" s="32" t="e">
        <f ca="1">_xludf.ifna(VLOOKUP(G435,Proyectos!$A$2:$T$674,20,0),"")</f>
        <v>#NAME?</v>
      </c>
      <c r="N435" s="32" t="e">
        <f ca="1">_xludf.ifna(VLOOKUP(G435,Proyectos!$A$2:$S$674,19,0))</f>
        <v>#NAME?</v>
      </c>
      <c r="O435" s="31"/>
      <c r="P435" s="31"/>
      <c r="Q435" s="33"/>
      <c r="R435" s="33"/>
      <c r="S435" s="33"/>
      <c r="T435" s="33"/>
      <c r="U435" s="33"/>
      <c r="V435" s="33"/>
      <c r="W435" s="33"/>
    </row>
    <row r="436" spans="1:23" ht="16.5" customHeight="1" x14ac:dyDescent="0.2">
      <c r="A436" s="26" t="s">
        <v>3830</v>
      </c>
      <c r="B436" s="26" t="s">
        <v>3831</v>
      </c>
      <c r="C436" s="26" t="s">
        <v>7</v>
      </c>
      <c r="D436" s="26" t="s">
        <v>16</v>
      </c>
      <c r="E436" s="26" t="s">
        <v>39</v>
      </c>
      <c r="F436" s="28" t="e">
        <f ca="1">_xludf.ifna(VLOOKUP(G436,Proyectos!$A$2:$F$674,6,0),"")</f>
        <v>#NAME?</v>
      </c>
      <c r="G436" s="26" t="s">
        <v>5232</v>
      </c>
      <c r="H436" s="32">
        <v>0.4</v>
      </c>
      <c r="I436" s="31" t="s">
        <v>11</v>
      </c>
      <c r="J436" s="31" t="s">
        <v>61</v>
      </c>
      <c r="K436" s="32"/>
      <c r="L436" s="32" t="e">
        <f ca="1">_xludf.ifna(VLOOKUP(E436,Parámetros!$D$2:$E$34,2,0),"")</f>
        <v>#NAME?</v>
      </c>
      <c r="M436" s="32" t="e">
        <f ca="1">_xludf.ifna(VLOOKUP(G436,Proyectos!$A$2:$T$674,20,0),"")</f>
        <v>#NAME?</v>
      </c>
      <c r="N436" s="32" t="e">
        <f ca="1">_xludf.ifna(VLOOKUP(G436,Proyectos!$A$2:$S$674,19,0))</f>
        <v>#NAME?</v>
      </c>
      <c r="O436" s="31"/>
      <c r="P436" s="31"/>
      <c r="Q436" s="33"/>
      <c r="R436" s="33"/>
      <c r="S436" s="33"/>
      <c r="T436" s="33"/>
      <c r="U436" s="33"/>
      <c r="V436" s="33"/>
      <c r="W436" s="33"/>
    </row>
    <row r="437" spans="1:23" ht="16.5" customHeight="1" x14ac:dyDescent="0.2">
      <c r="A437" s="26" t="s">
        <v>3830</v>
      </c>
      <c r="B437" s="26" t="s">
        <v>3831</v>
      </c>
      <c r="C437" s="26" t="s">
        <v>7</v>
      </c>
      <c r="D437" s="26" t="s">
        <v>16</v>
      </c>
      <c r="E437" s="26" t="s">
        <v>39</v>
      </c>
      <c r="F437" s="28" t="e">
        <f ca="1">_xludf.ifna(VLOOKUP(G437,Proyectos!$A$2:$F$674,6,0),"")</f>
        <v>#NAME?</v>
      </c>
      <c r="G437" s="29" t="s">
        <v>5114</v>
      </c>
      <c r="H437" s="32">
        <v>0.2</v>
      </c>
      <c r="I437" s="31" t="s">
        <v>11</v>
      </c>
      <c r="J437" s="31" t="s">
        <v>61</v>
      </c>
      <c r="K437" s="32"/>
      <c r="L437" s="32" t="e">
        <f ca="1">_xludf.ifna(VLOOKUP(E437,Parámetros!$D$2:$E$34,2,0),"")</f>
        <v>#NAME?</v>
      </c>
      <c r="M437" s="32" t="e">
        <f ca="1">_xludf.ifna(VLOOKUP(G437,Proyectos!$A$2:$T$674,20,0),"")</f>
        <v>#NAME?</v>
      </c>
      <c r="N437" s="32" t="e">
        <f ca="1">_xludf.ifna(VLOOKUP(G437,Proyectos!$A$2:$S$674,19,0))</f>
        <v>#NAME?</v>
      </c>
      <c r="O437" s="31"/>
      <c r="P437" s="31"/>
      <c r="Q437" s="33"/>
      <c r="R437" s="33"/>
      <c r="S437" s="33"/>
      <c r="T437" s="33"/>
      <c r="U437" s="33"/>
      <c r="V437" s="33"/>
      <c r="W437" s="33"/>
    </row>
    <row r="438" spans="1:23" ht="16.5" customHeight="1" x14ac:dyDescent="0.2">
      <c r="A438" s="26" t="s">
        <v>3830</v>
      </c>
      <c r="B438" s="26" t="s">
        <v>3831</v>
      </c>
      <c r="C438" s="26" t="s">
        <v>7</v>
      </c>
      <c r="D438" s="26" t="s">
        <v>16</v>
      </c>
      <c r="E438" s="26" t="s">
        <v>39</v>
      </c>
      <c r="F438" s="28" t="e">
        <f ca="1">_xludf.ifna(VLOOKUP(G438,Proyectos!$A$2:$F$674,6,0),"")</f>
        <v>#NAME?</v>
      </c>
      <c r="G438" s="26" t="s">
        <v>5233</v>
      </c>
      <c r="H438" s="32">
        <v>0.1</v>
      </c>
      <c r="I438" s="31" t="s">
        <v>11</v>
      </c>
      <c r="J438" s="31" t="s">
        <v>61</v>
      </c>
      <c r="K438" s="32"/>
      <c r="L438" s="32" t="e">
        <f ca="1">_xludf.ifna(VLOOKUP(E438,Parámetros!$D$2:$E$34,2,0),"")</f>
        <v>#NAME?</v>
      </c>
      <c r="M438" s="32" t="e">
        <f ca="1">_xludf.ifna(VLOOKUP(G438,Proyectos!$A$2:$T$674,20,0),"")</f>
        <v>#NAME?</v>
      </c>
      <c r="N438" s="32" t="e">
        <f ca="1">_xludf.ifna(VLOOKUP(G438,Proyectos!$A$2:$S$674,19,0))</f>
        <v>#NAME?</v>
      </c>
      <c r="O438" s="31"/>
      <c r="P438" s="31"/>
      <c r="Q438" s="33"/>
      <c r="R438" s="33"/>
      <c r="S438" s="33"/>
      <c r="T438" s="33"/>
      <c r="U438" s="33"/>
      <c r="V438" s="33"/>
      <c r="W438" s="33"/>
    </row>
    <row r="439" spans="1:23" ht="16.5" customHeight="1" x14ac:dyDescent="0.2">
      <c r="A439" s="26" t="s">
        <v>3470</v>
      </c>
      <c r="B439" s="26" t="s">
        <v>3471</v>
      </c>
      <c r="C439" s="26" t="s">
        <v>7</v>
      </c>
      <c r="D439" s="26" t="s">
        <v>16</v>
      </c>
      <c r="E439" s="26" t="s">
        <v>39</v>
      </c>
      <c r="F439" s="28" t="e">
        <f ca="1">_xludf.ifna(VLOOKUP(G439,Proyectos!$A$2:$F$674,6,0),"")</f>
        <v>#NAME?</v>
      </c>
      <c r="G439" s="26" t="s">
        <v>5221</v>
      </c>
      <c r="H439" s="32">
        <v>0.8</v>
      </c>
      <c r="I439" s="31" t="s">
        <v>18</v>
      </c>
      <c r="J439" s="31" t="s">
        <v>61</v>
      </c>
      <c r="K439" s="32"/>
      <c r="L439" s="32" t="e">
        <f ca="1">_xludf.ifna(VLOOKUP(E439,Parámetros!$D$2:$E$34,2,0),"")</f>
        <v>#NAME?</v>
      </c>
      <c r="M439" s="32" t="e">
        <f ca="1">_xludf.ifna(VLOOKUP(G439,Proyectos!$A$2:$T$674,20,0),"")</f>
        <v>#NAME?</v>
      </c>
      <c r="N439" s="32" t="e">
        <f ca="1">_xludf.ifna(VLOOKUP(G439,Proyectos!$A$2:$S$674,19,0))</f>
        <v>#NAME?</v>
      </c>
      <c r="O439" s="31"/>
      <c r="P439" s="31"/>
      <c r="Q439" s="33"/>
      <c r="R439" s="33"/>
      <c r="S439" s="33"/>
      <c r="T439" s="33"/>
      <c r="U439" s="33"/>
      <c r="V439" s="33"/>
      <c r="W439" s="33"/>
    </row>
    <row r="440" spans="1:23" ht="16.5" customHeight="1" x14ac:dyDescent="0.2">
      <c r="A440" s="26" t="s">
        <v>3470</v>
      </c>
      <c r="B440" s="26" t="s">
        <v>3471</v>
      </c>
      <c r="C440" s="26" t="s">
        <v>7</v>
      </c>
      <c r="D440" s="26" t="s">
        <v>16</v>
      </c>
      <c r="E440" s="26" t="s">
        <v>39</v>
      </c>
      <c r="F440" s="28" t="e">
        <f ca="1">_xludf.ifna(VLOOKUP(G440,Proyectos!$A$2:$F$674,6,0),"")</f>
        <v>#NAME?</v>
      </c>
      <c r="G440" s="26" t="s">
        <v>5234</v>
      </c>
      <c r="H440" s="32">
        <v>0.2</v>
      </c>
      <c r="I440" s="31" t="s">
        <v>18</v>
      </c>
      <c r="J440" s="31" t="s">
        <v>61</v>
      </c>
      <c r="K440" s="32"/>
      <c r="L440" s="32" t="e">
        <f ca="1">_xludf.ifna(VLOOKUP(E440,Parámetros!$D$2:$E$34,2,0),"")</f>
        <v>#NAME?</v>
      </c>
      <c r="M440" s="32" t="e">
        <f ca="1">_xludf.ifna(VLOOKUP(G440,Proyectos!$A$2:$T$674,20,0),"")</f>
        <v>#NAME?</v>
      </c>
      <c r="N440" s="32" t="e">
        <f ca="1">_xludf.ifna(VLOOKUP(G440,Proyectos!$A$2:$S$674,19,0))</f>
        <v>#NAME?</v>
      </c>
      <c r="O440" s="31"/>
      <c r="P440" s="31"/>
      <c r="Q440" s="33"/>
      <c r="R440" s="33"/>
      <c r="S440" s="33"/>
      <c r="T440" s="33"/>
      <c r="U440" s="33"/>
      <c r="V440" s="33"/>
      <c r="W440" s="33"/>
    </row>
    <row r="441" spans="1:23" ht="16.5" customHeight="1" x14ac:dyDescent="0.2">
      <c r="A441" s="26" t="s">
        <v>3634</v>
      </c>
      <c r="B441" s="26" t="s">
        <v>3635</v>
      </c>
      <c r="C441" s="26" t="s">
        <v>7</v>
      </c>
      <c r="D441" s="26" t="s">
        <v>16</v>
      </c>
      <c r="E441" s="26" t="s">
        <v>39</v>
      </c>
      <c r="F441" s="28" t="e">
        <f ca="1">_xludf.ifna(VLOOKUP(G441,Proyectos!$A$2:$F$674,6,0),"")</f>
        <v>#NAME?</v>
      </c>
      <c r="G441" s="26" t="s">
        <v>5235</v>
      </c>
      <c r="H441" s="32">
        <v>0.2</v>
      </c>
      <c r="I441" s="31" t="s">
        <v>18</v>
      </c>
      <c r="J441" s="31" t="s">
        <v>41</v>
      </c>
      <c r="K441" s="32"/>
      <c r="L441" s="32" t="e">
        <f ca="1">_xludf.ifna(VLOOKUP(E441,Parámetros!$D$2:$E$34,2,0),"")</f>
        <v>#NAME?</v>
      </c>
      <c r="M441" s="32" t="e">
        <f ca="1">_xludf.ifna(VLOOKUP(G441,Proyectos!$A$2:$T$674,20,0),"")</f>
        <v>#NAME?</v>
      </c>
      <c r="N441" s="32" t="e">
        <f ca="1">_xludf.ifna(VLOOKUP(G441,Proyectos!$A$2:$S$674,19,0))</f>
        <v>#NAME?</v>
      </c>
      <c r="O441" s="31"/>
      <c r="P441" s="31"/>
      <c r="Q441" s="33"/>
      <c r="R441" s="33"/>
      <c r="S441" s="33"/>
      <c r="T441" s="33"/>
      <c r="U441" s="33"/>
      <c r="V441" s="33"/>
      <c r="W441" s="33"/>
    </row>
    <row r="442" spans="1:23" ht="16.5" customHeight="1" x14ac:dyDescent="0.2">
      <c r="A442" s="26" t="s">
        <v>3634</v>
      </c>
      <c r="B442" s="26" t="s">
        <v>3635</v>
      </c>
      <c r="C442" s="26" t="s">
        <v>7</v>
      </c>
      <c r="D442" s="26" t="s">
        <v>16</v>
      </c>
      <c r="E442" s="26" t="s">
        <v>39</v>
      </c>
      <c r="F442" s="28" t="e">
        <f ca="1">_xludf.ifna(VLOOKUP(G442,Proyectos!$A$2:$F$674,6,0),"")</f>
        <v>#NAME?</v>
      </c>
      <c r="G442" s="26" t="s">
        <v>5221</v>
      </c>
      <c r="H442" s="32">
        <v>0.7</v>
      </c>
      <c r="I442" s="31" t="s">
        <v>18</v>
      </c>
      <c r="J442" s="31" t="s">
        <v>41</v>
      </c>
      <c r="K442" s="32"/>
      <c r="L442" s="32" t="e">
        <f ca="1">_xludf.ifna(VLOOKUP(E442,Parámetros!$D$2:$E$34,2,0),"")</f>
        <v>#NAME?</v>
      </c>
      <c r="M442" s="32" t="e">
        <f ca="1">_xludf.ifna(VLOOKUP(G442,Proyectos!$A$2:$T$674,20,0),"")</f>
        <v>#NAME?</v>
      </c>
      <c r="N442" s="32" t="e">
        <f ca="1">_xludf.ifna(VLOOKUP(G442,Proyectos!$A$2:$S$674,19,0))</f>
        <v>#NAME?</v>
      </c>
      <c r="O442" s="31"/>
      <c r="P442" s="31"/>
      <c r="Q442" s="33"/>
      <c r="R442" s="33"/>
      <c r="S442" s="33"/>
      <c r="T442" s="33"/>
      <c r="U442" s="33"/>
      <c r="V442" s="33"/>
      <c r="W442" s="33"/>
    </row>
    <row r="443" spans="1:23" ht="16.5" customHeight="1" x14ac:dyDescent="0.2">
      <c r="A443" s="26" t="s">
        <v>3634</v>
      </c>
      <c r="B443" s="26" t="s">
        <v>3635</v>
      </c>
      <c r="C443" s="26" t="s">
        <v>7</v>
      </c>
      <c r="D443" s="26" t="s">
        <v>16</v>
      </c>
      <c r="E443" s="26" t="s">
        <v>39</v>
      </c>
      <c r="F443" s="28" t="e">
        <f ca="1">_xludf.ifna(VLOOKUP(G443,Proyectos!$A$2:$F$674,6,0),"")</f>
        <v>#NAME?</v>
      </c>
      <c r="G443" s="26" t="s">
        <v>5236</v>
      </c>
      <c r="H443" s="32">
        <v>0.1</v>
      </c>
      <c r="I443" s="31" t="s">
        <v>18</v>
      </c>
      <c r="J443" s="31" t="s">
        <v>41</v>
      </c>
      <c r="K443" s="32"/>
      <c r="L443" s="32" t="e">
        <f ca="1">_xludf.ifna(VLOOKUP(E443,Parámetros!$D$2:$E$34,2,0),"")</f>
        <v>#NAME?</v>
      </c>
      <c r="M443" s="32" t="e">
        <f ca="1">_xludf.ifna(VLOOKUP(G443,Proyectos!$A$2:$T$674,20,0),"")</f>
        <v>#NAME?</v>
      </c>
      <c r="N443" s="32" t="e">
        <f ca="1">_xludf.ifna(VLOOKUP(G443,Proyectos!$A$2:$S$674,19,0))</f>
        <v>#NAME?</v>
      </c>
      <c r="O443" s="31"/>
      <c r="P443" s="31"/>
      <c r="Q443" s="33"/>
      <c r="R443" s="33"/>
      <c r="S443" s="33"/>
      <c r="T443" s="33"/>
      <c r="U443" s="33"/>
      <c r="V443" s="33"/>
      <c r="W443" s="33"/>
    </row>
    <row r="444" spans="1:23" ht="16.5" customHeight="1" x14ac:dyDescent="0.2">
      <c r="A444" s="26" t="s">
        <v>3675</v>
      </c>
      <c r="B444" s="26" t="s">
        <v>3676</v>
      </c>
      <c r="C444" s="26" t="s">
        <v>7</v>
      </c>
      <c r="D444" s="26" t="s">
        <v>16</v>
      </c>
      <c r="E444" s="26" t="s">
        <v>39</v>
      </c>
      <c r="F444" s="28" t="e">
        <f ca="1">_xludf.ifna(VLOOKUP(G444,Proyectos!$A$2:$F$674,6,0),"")</f>
        <v>#NAME?</v>
      </c>
      <c r="G444" s="26" t="s">
        <v>5235</v>
      </c>
      <c r="H444" s="32">
        <v>0.8</v>
      </c>
      <c r="I444" s="31" t="s">
        <v>18</v>
      </c>
      <c r="J444" s="31" t="s">
        <v>41</v>
      </c>
      <c r="K444" s="32"/>
      <c r="L444" s="32" t="e">
        <f ca="1">_xludf.ifna(VLOOKUP(E444,Parámetros!$D$2:$E$34,2,0),"")</f>
        <v>#NAME?</v>
      </c>
      <c r="M444" s="32" t="e">
        <f ca="1">_xludf.ifna(VLOOKUP(G444,Proyectos!$A$2:$T$674,20,0),"")</f>
        <v>#NAME?</v>
      </c>
      <c r="N444" s="32" t="e">
        <f ca="1">_xludf.ifna(VLOOKUP(G444,Proyectos!$A$2:$S$674,19,0))</f>
        <v>#NAME?</v>
      </c>
      <c r="O444" s="31"/>
      <c r="P444" s="31"/>
      <c r="Q444" s="33"/>
      <c r="R444" s="33"/>
      <c r="S444" s="33"/>
      <c r="T444" s="33"/>
      <c r="U444" s="33"/>
      <c r="V444" s="33"/>
      <c r="W444" s="33"/>
    </row>
    <row r="445" spans="1:23" ht="16.5" customHeight="1" x14ac:dyDescent="0.2">
      <c r="A445" s="26" t="s">
        <v>3675</v>
      </c>
      <c r="B445" s="26" t="s">
        <v>3676</v>
      </c>
      <c r="C445" s="26" t="s">
        <v>7</v>
      </c>
      <c r="D445" s="26" t="s">
        <v>16</v>
      </c>
      <c r="E445" s="26" t="s">
        <v>39</v>
      </c>
      <c r="F445" s="28" t="e">
        <f ca="1">_xludf.ifna(VLOOKUP(G445,Proyectos!$A$2:$F$674,6,0),"")</f>
        <v>#NAME?</v>
      </c>
      <c r="G445" s="46" t="s">
        <v>5237</v>
      </c>
      <c r="H445" s="32">
        <v>0.2</v>
      </c>
      <c r="I445" s="31" t="s">
        <v>18</v>
      </c>
      <c r="J445" s="31" t="s">
        <v>41</v>
      </c>
      <c r="K445" s="44"/>
      <c r="L445" s="32" t="e">
        <f ca="1">_xludf.ifna(VLOOKUP(E445,Parámetros!$D$2:$E$34,2,0),"")</f>
        <v>#NAME?</v>
      </c>
      <c r="M445" s="32" t="e">
        <f ca="1">_xludf.ifna(VLOOKUP(G445,Proyectos!$A$2:$T$674,20,0),"")</f>
        <v>#NAME?</v>
      </c>
      <c r="N445" s="32" t="e">
        <f ca="1">_xludf.ifna(VLOOKUP(G445,Proyectos!$A$2:$S$674,19,0))</f>
        <v>#NAME?</v>
      </c>
      <c r="O445" s="51"/>
      <c r="P445" s="31"/>
      <c r="Q445" s="33"/>
      <c r="R445" s="33"/>
      <c r="S445" s="33"/>
      <c r="T445" s="33"/>
      <c r="U445" s="33"/>
      <c r="V445" s="33"/>
      <c r="W445" s="33"/>
    </row>
    <row r="446" spans="1:23" ht="16.5" customHeight="1" x14ac:dyDescent="0.2">
      <c r="A446" s="26" t="s">
        <v>3842</v>
      </c>
      <c r="B446" s="26" t="s">
        <v>3843</v>
      </c>
      <c r="C446" s="26" t="s">
        <v>7</v>
      </c>
      <c r="D446" s="26" t="s">
        <v>16</v>
      </c>
      <c r="E446" s="26" t="s">
        <v>39</v>
      </c>
      <c r="F446" s="28" t="e">
        <f ca="1">_xludf.ifna(VLOOKUP(G446,Proyectos!$A$2:$F$674,6,0),"")</f>
        <v>#NAME?</v>
      </c>
      <c r="G446" s="46" t="s">
        <v>5237</v>
      </c>
      <c r="H446" s="48">
        <v>0.8</v>
      </c>
      <c r="I446" s="31" t="s">
        <v>18</v>
      </c>
      <c r="J446" s="31" t="s">
        <v>41</v>
      </c>
      <c r="K446" s="44"/>
      <c r="L446" s="32" t="e">
        <f ca="1">_xludf.ifna(VLOOKUP(E446,Parámetros!$D$2:$E$34,2,0),"")</f>
        <v>#NAME?</v>
      </c>
      <c r="M446" s="32" t="e">
        <f ca="1">_xludf.ifna(VLOOKUP(G446,Proyectos!$A$2:$T$674,20,0),"")</f>
        <v>#NAME?</v>
      </c>
      <c r="N446" s="32" t="e">
        <f ca="1">_xludf.ifna(VLOOKUP(G446,Proyectos!$A$2:$S$674,19,0))</f>
        <v>#NAME?</v>
      </c>
      <c r="O446" s="51"/>
      <c r="P446" s="31"/>
      <c r="Q446" s="33"/>
      <c r="R446" s="33"/>
      <c r="S446" s="33"/>
      <c r="T446" s="33"/>
      <c r="U446" s="33"/>
      <c r="V446" s="33"/>
      <c r="W446" s="33"/>
    </row>
    <row r="447" spans="1:23" ht="16.5" customHeight="1" x14ac:dyDescent="0.2">
      <c r="A447" s="26" t="s">
        <v>3842</v>
      </c>
      <c r="B447" s="26" t="s">
        <v>3843</v>
      </c>
      <c r="C447" s="26" t="s">
        <v>7</v>
      </c>
      <c r="D447" s="26" t="s">
        <v>16</v>
      </c>
      <c r="E447" s="26" t="s">
        <v>39</v>
      </c>
      <c r="F447" s="28" t="e">
        <f ca="1">_xludf.ifna(VLOOKUP(G447,Proyectos!$A$2:$F$674,6,0),"")</f>
        <v>#NAME?</v>
      </c>
      <c r="G447" s="29" t="s">
        <v>5114</v>
      </c>
      <c r="H447" s="48">
        <v>0.2</v>
      </c>
      <c r="I447" s="31" t="s">
        <v>18</v>
      </c>
      <c r="J447" s="31" t="s">
        <v>41</v>
      </c>
      <c r="K447" s="44"/>
      <c r="L447" s="32" t="e">
        <f ca="1">_xludf.ifna(VLOOKUP(E447,Parámetros!$D$2:$E$34,2,0),"")</f>
        <v>#NAME?</v>
      </c>
      <c r="M447" s="32" t="e">
        <f ca="1">_xludf.ifna(VLOOKUP(G447,Proyectos!$A$2:$T$674,20,0),"")</f>
        <v>#NAME?</v>
      </c>
      <c r="N447" s="32" t="e">
        <f ca="1">_xludf.ifna(VLOOKUP(G447,Proyectos!$A$2:$S$674,19,0))</f>
        <v>#NAME?</v>
      </c>
      <c r="O447" s="31"/>
      <c r="P447" s="31"/>
      <c r="Q447" s="33"/>
      <c r="R447" s="33"/>
      <c r="S447" s="33"/>
      <c r="T447" s="33"/>
      <c r="U447" s="33"/>
      <c r="V447" s="33"/>
      <c r="W447" s="33"/>
    </row>
    <row r="448" spans="1:23" ht="16.5" customHeight="1" x14ac:dyDescent="0.2">
      <c r="A448" s="37" t="s">
        <v>4286</v>
      </c>
      <c r="B448" s="26" t="s">
        <v>4287</v>
      </c>
      <c r="C448" s="26" t="s">
        <v>7</v>
      </c>
      <c r="D448" s="27" t="s">
        <v>16</v>
      </c>
      <c r="E448" s="26" t="s">
        <v>120</v>
      </c>
      <c r="F448" s="28" t="e">
        <f ca="1">_xludf.ifna(VLOOKUP(G448,Proyectos!$A$2:$F$674,6,0),"")</f>
        <v>#NAME?</v>
      </c>
      <c r="G448" s="26" t="s">
        <v>5235</v>
      </c>
      <c r="H448" s="32">
        <v>0.5</v>
      </c>
      <c r="I448" s="31" t="s">
        <v>18</v>
      </c>
      <c r="J448" s="31" t="s">
        <v>41</v>
      </c>
      <c r="K448" s="32"/>
      <c r="L448" s="32" t="e">
        <f ca="1">_xludf.ifna(VLOOKUP(E448,Parámetros!$D$2:$E$34,2,0),"")</f>
        <v>#NAME?</v>
      </c>
      <c r="M448" s="32" t="e">
        <f ca="1">_xludf.ifna(VLOOKUP(G448,Proyectos!$A$2:$T$674,20,0),"")</f>
        <v>#NAME?</v>
      </c>
      <c r="N448" s="32" t="e">
        <f ca="1">_xludf.ifna(VLOOKUP(G448,Proyectos!$A$2:$S$674,19,0))</f>
        <v>#NAME?</v>
      </c>
      <c r="O448" s="31"/>
      <c r="P448" s="31"/>
      <c r="Q448" s="33"/>
      <c r="R448" s="33"/>
      <c r="S448" s="33"/>
      <c r="T448" s="33"/>
      <c r="U448" s="33"/>
      <c r="V448" s="33"/>
      <c r="W448" s="33"/>
    </row>
    <row r="449" spans="1:23" ht="16.5" customHeight="1" x14ac:dyDescent="0.2">
      <c r="A449" s="26" t="s">
        <v>4076</v>
      </c>
      <c r="B449" s="66" t="s">
        <v>4077</v>
      </c>
      <c r="C449" s="26" t="s">
        <v>7</v>
      </c>
      <c r="D449" s="27" t="s">
        <v>16</v>
      </c>
      <c r="E449" s="27" t="s">
        <v>87</v>
      </c>
      <c r="F449" s="28" t="e">
        <f ca="1">_xludf.ifna(VLOOKUP(G449,Proyectos!$A$2:$F$674,6,0),"")</f>
        <v>#NAME?</v>
      </c>
      <c r="G449" s="46" t="s">
        <v>5221</v>
      </c>
      <c r="H449" s="48">
        <v>0.5</v>
      </c>
      <c r="I449" s="47" t="s">
        <v>25</v>
      </c>
      <c r="J449" s="47" t="s">
        <v>41</v>
      </c>
      <c r="K449" s="44"/>
      <c r="L449" s="32" t="e">
        <f ca="1">_xludf.ifna(VLOOKUP(E449,Parámetros!$D$2:$E$34,2,0),"")</f>
        <v>#NAME?</v>
      </c>
      <c r="M449" s="32" t="e">
        <f ca="1">_xludf.ifna(VLOOKUP(G449,Proyectos!$A$2:$T$674,20,0),"")</f>
        <v>#NAME?</v>
      </c>
      <c r="N449" s="32" t="e">
        <f ca="1">_xludf.ifna(VLOOKUP(G449,Proyectos!$A$2:$S$674,19,0))</f>
        <v>#NAME?</v>
      </c>
      <c r="O449" s="31"/>
      <c r="P449" s="31"/>
      <c r="Q449" s="33"/>
      <c r="R449" s="33"/>
      <c r="S449" s="33"/>
      <c r="T449" s="33"/>
      <c r="U449" s="33"/>
      <c r="V449" s="33"/>
      <c r="W449" s="33"/>
    </row>
    <row r="450" spans="1:23" ht="16.5" customHeight="1" x14ac:dyDescent="0.2">
      <c r="A450" s="26" t="s">
        <v>4076</v>
      </c>
      <c r="B450" s="66" t="s">
        <v>4077</v>
      </c>
      <c r="C450" s="26" t="s">
        <v>7</v>
      </c>
      <c r="D450" s="27" t="s">
        <v>16</v>
      </c>
      <c r="E450" s="27" t="s">
        <v>87</v>
      </c>
      <c r="F450" s="28" t="e">
        <f ca="1">_xludf.ifna(VLOOKUP(G450,Proyectos!$A$2:$F$674,6,0),"")</f>
        <v>#NAME?</v>
      </c>
      <c r="G450" s="26" t="s">
        <v>5235</v>
      </c>
      <c r="H450" s="32">
        <v>0.5</v>
      </c>
      <c r="I450" s="47" t="s">
        <v>25</v>
      </c>
      <c r="J450" s="31" t="s">
        <v>41</v>
      </c>
      <c r="K450" s="32"/>
      <c r="L450" s="32" t="e">
        <f ca="1">_xludf.ifna(VLOOKUP(E450,Parámetros!$D$2:$E$34,2,0),"")</f>
        <v>#NAME?</v>
      </c>
      <c r="M450" s="32" t="e">
        <f ca="1">_xludf.ifna(VLOOKUP(G450,Proyectos!$A$2:$T$674,20,0),"")</f>
        <v>#NAME?</v>
      </c>
      <c r="N450" s="32" t="e">
        <f ca="1">_xludf.ifna(VLOOKUP(G450,Proyectos!$A$2:$S$674,19,0))</f>
        <v>#NAME?</v>
      </c>
      <c r="O450" s="32"/>
      <c r="P450" s="31"/>
      <c r="Q450" s="33"/>
      <c r="R450" s="33"/>
      <c r="S450" s="33"/>
      <c r="T450" s="33"/>
      <c r="U450" s="33"/>
      <c r="V450" s="33"/>
      <c r="W450" s="33"/>
    </row>
    <row r="451" spans="1:23" ht="16.5" customHeight="1" x14ac:dyDescent="0.2">
      <c r="A451" s="37" t="s">
        <v>5000</v>
      </c>
      <c r="B451" s="26" t="s">
        <v>5001</v>
      </c>
      <c r="C451" s="26" t="s">
        <v>7</v>
      </c>
      <c r="D451" s="27" t="s">
        <v>16</v>
      </c>
      <c r="E451" s="26" t="s">
        <v>83</v>
      </c>
      <c r="F451" s="28" t="e">
        <f ca="1">_xludf.ifna(VLOOKUP(G451,Proyectos!$A$2:$F$674,6,0),"")</f>
        <v>#NAME?</v>
      </c>
      <c r="G451" s="26" t="s">
        <v>5237</v>
      </c>
      <c r="H451" s="32">
        <v>0.5</v>
      </c>
      <c r="I451" s="47" t="s">
        <v>25</v>
      </c>
      <c r="J451" s="31" t="s">
        <v>41</v>
      </c>
      <c r="K451" s="32"/>
      <c r="L451" s="32" t="e">
        <f ca="1">_xludf.ifna(VLOOKUP(E451,Parámetros!$D$2:$E$34,2,0),"")</f>
        <v>#NAME?</v>
      </c>
      <c r="M451" s="32" t="e">
        <f ca="1">_xludf.ifna(VLOOKUP(G451,Proyectos!$A$2:$T$674,20,0),"")</f>
        <v>#NAME?</v>
      </c>
      <c r="N451" s="32" t="e">
        <f ca="1">_xludf.ifna(VLOOKUP(G451,Proyectos!$A$2:$S$674,19,0))</f>
        <v>#NAME?</v>
      </c>
      <c r="O451" s="31"/>
      <c r="P451" s="31"/>
      <c r="Q451" s="33"/>
      <c r="R451" s="33"/>
      <c r="S451" s="33"/>
      <c r="T451" s="33"/>
      <c r="U451" s="33"/>
      <c r="V451" s="33"/>
      <c r="W451" s="33"/>
    </row>
    <row r="452" spans="1:23" ht="16.5" customHeight="1" x14ac:dyDescent="0.2">
      <c r="A452" s="37" t="s">
        <v>5000</v>
      </c>
      <c r="B452" s="26" t="s">
        <v>5001</v>
      </c>
      <c r="C452" s="26" t="s">
        <v>7</v>
      </c>
      <c r="D452" s="27" t="s">
        <v>16</v>
      </c>
      <c r="E452" s="26" t="s">
        <v>83</v>
      </c>
      <c r="F452" s="28" t="e">
        <f ca="1">_xludf.ifna(VLOOKUP(G452,Proyectos!$A$2:$F$674,6,0),"")</f>
        <v>#NAME?</v>
      </c>
      <c r="G452" s="26" t="s">
        <v>5221</v>
      </c>
      <c r="H452" s="32">
        <v>0.5</v>
      </c>
      <c r="I452" s="47" t="s">
        <v>25</v>
      </c>
      <c r="J452" s="31" t="s">
        <v>41</v>
      </c>
      <c r="K452" s="32"/>
      <c r="L452" s="32" t="e">
        <f ca="1">_xludf.ifna(VLOOKUP(E452,Parámetros!$D$2:$E$34,2,0),"")</f>
        <v>#NAME?</v>
      </c>
      <c r="M452" s="32" t="e">
        <f ca="1">_xludf.ifna(VLOOKUP(G452,Proyectos!$A$2:$T$674,20,0),"")</f>
        <v>#NAME?</v>
      </c>
      <c r="N452" s="32" t="e">
        <f ca="1">_xludf.ifna(VLOOKUP(G452,Proyectos!$A$2:$S$674,19,0))</f>
        <v>#NAME?</v>
      </c>
      <c r="O452" s="32"/>
      <c r="P452" s="31"/>
      <c r="Q452" s="33"/>
      <c r="R452" s="33"/>
      <c r="S452" s="33"/>
      <c r="T452" s="33"/>
      <c r="U452" s="33"/>
      <c r="V452" s="33"/>
      <c r="W452" s="33"/>
    </row>
    <row r="453" spans="1:23" ht="16.5" customHeight="1" x14ac:dyDescent="0.2">
      <c r="A453" s="26" t="s">
        <v>3813</v>
      </c>
      <c r="B453" s="26" t="s">
        <v>3814</v>
      </c>
      <c r="C453" s="26" t="s">
        <v>7</v>
      </c>
      <c r="D453" s="27" t="s">
        <v>16</v>
      </c>
      <c r="E453" s="26" t="s">
        <v>39</v>
      </c>
      <c r="F453" s="28" t="e">
        <f ca="1">_xludf.ifna(VLOOKUP(G453,Proyectos!$A$2:$F$674,6,0),"")</f>
        <v>#NAME?</v>
      </c>
      <c r="G453" s="26" t="s">
        <v>5235</v>
      </c>
      <c r="H453" s="32">
        <v>0.25</v>
      </c>
      <c r="I453" s="31" t="s">
        <v>11</v>
      </c>
      <c r="J453" s="31" t="s">
        <v>41</v>
      </c>
      <c r="K453" s="32"/>
      <c r="L453" s="32" t="e">
        <f ca="1">_xludf.ifna(VLOOKUP(E453,Parámetros!$D$2:$E$34,2,0),"")</f>
        <v>#NAME?</v>
      </c>
      <c r="M453" s="32" t="e">
        <f ca="1">_xludf.ifna(VLOOKUP(G453,Proyectos!$A$2:$T$674,20,0),"")</f>
        <v>#NAME?</v>
      </c>
      <c r="N453" s="32" t="e">
        <f ca="1">_xludf.ifna(VLOOKUP(G453,Proyectos!$A$2:$S$674,19,0))</f>
        <v>#NAME?</v>
      </c>
      <c r="O453" s="31"/>
      <c r="P453" s="31"/>
      <c r="Q453" s="33"/>
      <c r="R453" s="33"/>
      <c r="S453" s="33"/>
      <c r="T453" s="33"/>
      <c r="U453" s="33"/>
      <c r="V453" s="33"/>
      <c r="W453" s="33"/>
    </row>
    <row r="454" spans="1:23" ht="16.5" customHeight="1" x14ac:dyDescent="0.2">
      <c r="A454" s="26" t="s">
        <v>3813</v>
      </c>
      <c r="B454" s="26" t="s">
        <v>3814</v>
      </c>
      <c r="C454" s="26" t="s">
        <v>7</v>
      </c>
      <c r="D454" s="27" t="s">
        <v>16</v>
      </c>
      <c r="E454" s="26" t="s">
        <v>39</v>
      </c>
      <c r="F454" s="28" t="e">
        <f ca="1">_xludf.ifna(VLOOKUP(G454,Proyectos!$A$2:$F$674,6,0),"")</f>
        <v>#NAME?</v>
      </c>
      <c r="G454" s="26" t="s">
        <v>5221</v>
      </c>
      <c r="H454" s="32">
        <v>0.4</v>
      </c>
      <c r="I454" s="31" t="s">
        <v>11</v>
      </c>
      <c r="J454" s="31" t="s">
        <v>41</v>
      </c>
      <c r="K454" s="32"/>
      <c r="L454" s="32" t="e">
        <f ca="1">_xludf.ifna(VLOOKUP(E454,Parámetros!$D$2:$E$34,2,0),"")</f>
        <v>#NAME?</v>
      </c>
      <c r="M454" s="32" t="e">
        <f ca="1">_xludf.ifna(VLOOKUP(G454,Proyectos!$A$2:$T$674,20,0),"")</f>
        <v>#NAME?</v>
      </c>
      <c r="N454" s="32" t="e">
        <f ca="1">_xludf.ifna(VLOOKUP(G454,Proyectos!$A$2:$S$674,19,0))</f>
        <v>#NAME?</v>
      </c>
      <c r="O454" s="31"/>
      <c r="P454" s="31"/>
      <c r="Q454" s="33"/>
      <c r="R454" s="33"/>
      <c r="S454" s="33"/>
      <c r="T454" s="33"/>
      <c r="U454" s="33"/>
      <c r="V454" s="33"/>
      <c r="W454" s="33"/>
    </row>
    <row r="455" spans="1:23" ht="16.5" customHeight="1" x14ac:dyDescent="0.2">
      <c r="A455" s="26" t="s">
        <v>3813</v>
      </c>
      <c r="B455" s="26" t="s">
        <v>3814</v>
      </c>
      <c r="C455" s="26" t="s">
        <v>7</v>
      </c>
      <c r="D455" s="27" t="s">
        <v>16</v>
      </c>
      <c r="E455" s="26" t="s">
        <v>39</v>
      </c>
      <c r="F455" s="28" t="e">
        <f ca="1">_xludf.ifna(VLOOKUP(G455,Proyectos!$A$2:$F$674,6,0),"")</f>
        <v>#NAME?</v>
      </c>
      <c r="G455" s="26" t="s">
        <v>5237</v>
      </c>
      <c r="H455" s="32">
        <v>0.25</v>
      </c>
      <c r="I455" s="31" t="s">
        <v>11</v>
      </c>
      <c r="J455" s="31" t="s">
        <v>41</v>
      </c>
      <c r="K455" s="32"/>
      <c r="L455" s="32" t="e">
        <f ca="1">_xludf.ifna(VLOOKUP(E455,Parámetros!$D$2:$E$34,2,0),"")</f>
        <v>#NAME?</v>
      </c>
      <c r="M455" s="32" t="e">
        <f ca="1">_xludf.ifna(VLOOKUP(G455,Proyectos!$A$2:$T$674,20,0),"")</f>
        <v>#NAME?</v>
      </c>
      <c r="N455" s="32" t="e">
        <f ca="1">_xludf.ifna(VLOOKUP(G455,Proyectos!$A$2:$S$674,19,0))</f>
        <v>#NAME?</v>
      </c>
      <c r="O455" s="31"/>
      <c r="P455" s="31"/>
      <c r="Q455" s="33"/>
      <c r="R455" s="33"/>
      <c r="S455" s="33"/>
      <c r="T455" s="33"/>
      <c r="U455" s="33"/>
      <c r="V455" s="33"/>
      <c r="W455" s="33"/>
    </row>
    <row r="456" spans="1:23" ht="16.5" customHeight="1" x14ac:dyDescent="0.2">
      <c r="A456" s="26" t="s">
        <v>3813</v>
      </c>
      <c r="B456" s="26" t="s">
        <v>3814</v>
      </c>
      <c r="C456" s="26" t="s">
        <v>7</v>
      </c>
      <c r="D456" s="27" t="s">
        <v>16</v>
      </c>
      <c r="E456" s="26" t="s">
        <v>39</v>
      </c>
      <c r="F456" s="28" t="e">
        <f ca="1">_xludf.ifna(VLOOKUP(G456,Proyectos!$A$2:$F$674,6,0),"")</f>
        <v>#NAME?</v>
      </c>
      <c r="G456" s="26" t="s">
        <v>5236</v>
      </c>
      <c r="H456" s="32">
        <v>0.1</v>
      </c>
      <c r="I456" s="31" t="s">
        <v>11</v>
      </c>
      <c r="J456" s="31" t="s">
        <v>41</v>
      </c>
      <c r="K456" s="32"/>
      <c r="L456" s="32" t="e">
        <f ca="1">_xludf.ifna(VLOOKUP(E456,Parámetros!$D$2:$E$34,2,0),"")</f>
        <v>#NAME?</v>
      </c>
      <c r="M456" s="32" t="e">
        <f ca="1">_xludf.ifna(VLOOKUP(G456,Proyectos!$A$2:$T$674,20,0),"")</f>
        <v>#NAME?</v>
      </c>
      <c r="N456" s="32" t="e">
        <f ca="1">_xludf.ifna(VLOOKUP(G456,Proyectos!$A$2:$S$674,19,0))</f>
        <v>#NAME?</v>
      </c>
      <c r="O456" s="31"/>
      <c r="P456" s="31"/>
      <c r="Q456" s="33"/>
      <c r="R456" s="33"/>
      <c r="S456" s="33"/>
      <c r="T456" s="33"/>
      <c r="U456" s="33"/>
      <c r="V456" s="33"/>
      <c r="W456" s="33"/>
    </row>
    <row r="457" spans="1:23" ht="16.5" customHeight="1" x14ac:dyDescent="0.2">
      <c r="A457" s="26" t="s">
        <v>4691</v>
      </c>
      <c r="B457" s="26" t="s">
        <v>4692</v>
      </c>
      <c r="C457" s="26" t="s">
        <v>7</v>
      </c>
      <c r="D457" s="27" t="s">
        <v>16</v>
      </c>
      <c r="E457" s="26" t="s">
        <v>39</v>
      </c>
      <c r="F457" s="28" t="e">
        <f ca="1">_xludf.ifna(VLOOKUP(G457,Proyectos!$A$2:$F$674,6,0),"")</f>
        <v>#NAME?</v>
      </c>
      <c r="G457" s="29" t="s">
        <v>5114</v>
      </c>
      <c r="H457" s="32">
        <v>1</v>
      </c>
      <c r="I457" s="31" t="s">
        <v>18</v>
      </c>
      <c r="J457" s="31" t="s">
        <v>61</v>
      </c>
      <c r="K457" s="32"/>
      <c r="L457" s="32" t="e">
        <f ca="1">_xludf.ifna(VLOOKUP(E457,Parámetros!$D$2:$E$34,2,0),"")</f>
        <v>#NAME?</v>
      </c>
      <c r="M457" s="32" t="e">
        <f ca="1">_xludf.ifna(VLOOKUP(G457,Proyectos!$A$2:$T$674,20,0),"")</f>
        <v>#NAME?</v>
      </c>
      <c r="N457" s="32" t="e">
        <f ca="1">_xludf.ifna(VLOOKUP(G457,Proyectos!$A$2:$S$674,19,0))</f>
        <v>#NAME?</v>
      </c>
      <c r="O457" s="31"/>
      <c r="P457" s="31"/>
      <c r="Q457" s="33"/>
      <c r="R457" s="33"/>
      <c r="S457" s="33"/>
      <c r="T457" s="33"/>
      <c r="U457" s="33"/>
      <c r="V457" s="33"/>
      <c r="W457" s="33"/>
    </row>
    <row r="458" spans="1:23" ht="16.5" customHeight="1" x14ac:dyDescent="0.2">
      <c r="A458" s="26" t="s">
        <v>3878</v>
      </c>
      <c r="B458" s="26" t="s">
        <v>3879</v>
      </c>
      <c r="C458" s="26" t="s">
        <v>7</v>
      </c>
      <c r="D458" s="27" t="s">
        <v>16</v>
      </c>
      <c r="E458" s="26" t="s">
        <v>39</v>
      </c>
      <c r="F458" s="28" t="e">
        <f ca="1">_xludf.ifna(VLOOKUP(G458,Proyectos!$A$2:$F$674,6,0),"")</f>
        <v>#NAME?</v>
      </c>
      <c r="G458" s="29" t="s">
        <v>5114</v>
      </c>
      <c r="H458" s="32">
        <v>0.75</v>
      </c>
      <c r="I458" s="31" t="s">
        <v>18</v>
      </c>
      <c r="J458" s="31" t="s">
        <v>61</v>
      </c>
      <c r="K458" s="32"/>
      <c r="L458" s="32" t="e">
        <f ca="1">_xludf.ifna(VLOOKUP(E458,Parámetros!$D$2:$E$34,2,0),"")</f>
        <v>#NAME?</v>
      </c>
      <c r="M458" s="32" t="e">
        <f ca="1">_xludf.ifna(VLOOKUP(G458,Proyectos!$A$2:$T$674,20,0),"")</f>
        <v>#NAME?</v>
      </c>
      <c r="N458" s="32" t="e">
        <f ca="1">_xludf.ifna(VLOOKUP(G458,Proyectos!$A$2:$S$674,19,0))</f>
        <v>#NAME?</v>
      </c>
      <c r="O458" s="31"/>
      <c r="P458" s="31"/>
      <c r="Q458" s="33"/>
      <c r="R458" s="33"/>
      <c r="S458" s="33"/>
      <c r="T458" s="33"/>
      <c r="U458" s="33"/>
      <c r="V458" s="33"/>
      <c r="W458" s="33"/>
    </row>
    <row r="459" spans="1:23" ht="16.5" customHeight="1" x14ac:dyDescent="0.2">
      <c r="A459" s="26" t="s">
        <v>3878</v>
      </c>
      <c r="B459" s="26" t="s">
        <v>3879</v>
      </c>
      <c r="C459" s="26" t="s">
        <v>7</v>
      </c>
      <c r="D459" s="27" t="s">
        <v>16</v>
      </c>
      <c r="E459" s="26" t="s">
        <v>39</v>
      </c>
      <c r="F459" s="28" t="e">
        <f ca="1">_xludf.ifna(VLOOKUP(G459,Proyectos!$A$2:$F$674,6,0),"")</f>
        <v>#NAME?</v>
      </c>
      <c r="G459" s="26" t="s">
        <v>5221</v>
      </c>
      <c r="H459" s="32">
        <v>0.25</v>
      </c>
      <c r="I459" s="31" t="s">
        <v>18</v>
      </c>
      <c r="J459" s="31" t="s">
        <v>61</v>
      </c>
      <c r="K459" s="32"/>
      <c r="L459" s="32" t="e">
        <f ca="1">_xludf.ifna(VLOOKUP(E459,Parámetros!$D$2:$E$34,2,0),"")</f>
        <v>#NAME?</v>
      </c>
      <c r="M459" s="32" t="e">
        <f ca="1">_xludf.ifna(VLOOKUP(G459,Proyectos!$A$2:$T$674,20,0),"")</f>
        <v>#NAME?</v>
      </c>
      <c r="N459" s="32" t="e">
        <f ca="1">_xludf.ifna(VLOOKUP(G459,Proyectos!$A$2:$S$674,19,0))</f>
        <v>#NAME?</v>
      </c>
      <c r="O459" s="31"/>
      <c r="P459" s="31"/>
      <c r="Q459" s="33"/>
      <c r="R459" s="33"/>
      <c r="S459" s="33"/>
      <c r="T459" s="33"/>
      <c r="U459" s="33"/>
      <c r="V459" s="33"/>
      <c r="W459" s="33"/>
    </row>
    <row r="460" spans="1:23" ht="16.5" customHeight="1" x14ac:dyDescent="0.2">
      <c r="A460" s="26" t="s">
        <v>4759</v>
      </c>
      <c r="B460" s="26" t="s">
        <v>4760</v>
      </c>
      <c r="C460" s="26" t="s">
        <v>7</v>
      </c>
      <c r="D460" s="27" t="s">
        <v>16</v>
      </c>
      <c r="E460" s="26" t="s">
        <v>39</v>
      </c>
      <c r="F460" s="28" t="e">
        <f ca="1">_xludf.ifna(VLOOKUP(G460,Proyectos!$A$2:$F$674,6,0),"")</f>
        <v>#NAME?</v>
      </c>
      <c r="G460" s="29" t="s">
        <v>5114</v>
      </c>
      <c r="H460" s="32">
        <v>1</v>
      </c>
      <c r="I460" s="31" t="s">
        <v>18</v>
      </c>
      <c r="J460" s="31" t="s">
        <v>41</v>
      </c>
      <c r="K460" s="32"/>
      <c r="L460" s="32" t="e">
        <f ca="1">_xludf.ifna(VLOOKUP(E460,Parámetros!$D$2:$E$34,2,0),"")</f>
        <v>#NAME?</v>
      </c>
      <c r="M460" s="32" t="e">
        <f ca="1">_xludf.ifna(VLOOKUP(G460,Proyectos!$A$2:$T$674,20,0),"")</f>
        <v>#NAME?</v>
      </c>
      <c r="N460" s="32" t="e">
        <f ca="1">_xludf.ifna(VLOOKUP(G460,Proyectos!$A$2:$S$674,19,0))</f>
        <v>#NAME?</v>
      </c>
      <c r="O460" s="31"/>
      <c r="P460" s="31"/>
      <c r="Q460" s="33"/>
      <c r="R460" s="33"/>
      <c r="S460" s="33"/>
      <c r="T460" s="33"/>
      <c r="U460" s="33"/>
      <c r="V460" s="33"/>
      <c r="W460" s="33"/>
    </row>
    <row r="461" spans="1:23" ht="16.5" customHeight="1" x14ac:dyDescent="0.2">
      <c r="A461" s="26" t="s">
        <v>4275</v>
      </c>
      <c r="B461" s="26" t="s">
        <v>4276</v>
      </c>
      <c r="C461" s="26" t="s">
        <v>7</v>
      </c>
      <c r="D461" s="27" t="s">
        <v>16</v>
      </c>
      <c r="E461" s="26" t="s">
        <v>108</v>
      </c>
      <c r="F461" s="28" t="e">
        <f ca="1">_xludf.ifna(VLOOKUP(G461,Proyectos!$A$2:$F$674,6,0),"")</f>
        <v>#NAME?</v>
      </c>
      <c r="G461" s="29" t="s">
        <v>5114</v>
      </c>
      <c r="H461" s="32">
        <v>1</v>
      </c>
      <c r="I461" s="31" t="s">
        <v>18</v>
      </c>
      <c r="J461" s="31" t="s">
        <v>61</v>
      </c>
      <c r="K461" s="32"/>
      <c r="L461" s="32" t="e">
        <f ca="1">_xludf.ifna(VLOOKUP(E461,Parámetros!$D$2:$E$34,2,0),"")</f>
        <v>#NAME?</v>
      </c>
      <c r="M461" s="32" t="e">
        <f ca="1">_xludf.ifna(VLOOKUP(G461,Proyectos!$A$2:$T$674,20,0),"")</f>
        <v>#NAME?</v>
      </c>
      <c r="N461" s="32" t="e">
        <f ca="1">_xludf.ifna(VLOOKUP(G461,Proyectos!$A$2:$S$674,19,0))</f>
        <v>#NAME?</v>
      </c>
      <c r="O461" s="31"/>
      <c r="P461" s="31"/>
      <c r="Q461" s="33"/>
      <c r="R461" s="33"/>
      <c r="S461" s="33"/>
      <c r="T461" s="33"/>
      <c r="U461" s="33"/>
      <c r="V461" s="33"/>
      <c r="W461" s="33"/>
    </row>
    <row r="462" spans="1:23" ht="16.5" customHeight="1" x14ac:dyDescent="0.2">
      <c r="A462" s="26" t="s">
        <v>4920</v>
      </c>
      <c r="B462" s="26" t="s">
        <v>4921</v>
      </c>
      <c r="C462" s="26" t="s">
        <v>7</v>
      </c>
      <c r="D462" s="27" t="s">
        <v>16</v>
      </c>
      <c r="E462" s="26" t="s">
        <v>108</v>
      </c>
      <c r="F462" s="28" t="e">
        <f ca="1">_xludf.ifna(VLOOKUP(G462,Proyectos!$A$2:$F$674,6,0),"")</f>
        <v>#NAME?</v>
      </c>
      <c r="G462" s="29" t="s">
        <v>5114</v>
      </c>
      <c r="H462" s="32">
        <v>1</v>
      </c>
      <c r="I462" s="31" t="s">
        <v>18</v>
      </c>
      <c r="J462" s="31" t="s">
        <v>41</v>
      </c>
      <c r="K462" s="32"/>
      <c r="L462" s="32" t="e">
        <f ca="1">_xludf.ifna(VLOOKUP(E462,Parámetros!$D$2:$E$34,2,0),"")</f>
        <v>#NAME?</v>
      </c>
      <c r="M462" s="32" t="e">
        <f ca="1">_xludf.ifna(VLOOKUP(G462,Proyectos!$A$2:$T$674,20,0),"")</f>
        <v>#NAME?</v>
      </c>
      <c r="N462" s="32" t="e">
        <f ca="1">_xludf.ifna(VLOOKUP(G462,Proyectos!$A$2:$S$674,19,0))</f>
        <v>#NAME?</v>
      </c>
      <c r="O462" s="31"/>
      <c r="P462" s="31"/>
      <c r="Q462" s="33"/>
      <c r="R462" s="33"/>
      <c r="S462" s="33"/>
      <c r="T462" s="33"/>
      <c r="U462" s="33"/>
      <c r="V462" s="33"/>
      <c r="W462" s="33"/>
    </row>
    <row r="463" spans="1:23" ht="16.5" customHeight="1" x14ac:dyDescent="0.2">
      <c r="A463" s="26" t="s">
        <v>3803</v>
      </c>
      <c r="B463" s="26" t="s">
        <v>3804</v>
      </c>
      <c r="C463" s="26" t="s">
        <v>7</v>
      </c>
      <c r="D463" s="27" t="s">
        <v>16</v>
      </c>
      <c r="E463" s="26" t="s">
        <v>39</v>
      </c>
      <c r="F463" s="28" t="e">
        <f ca="1">_xludf.ifna(VLOOKUP(G463,Proyectos!$A$2:$F$674,6,0),"")</f>
        <v>#NAME?</v>
      </c>
      <c r="G463" s="29" t="s">
        <v>5114</v>
      </c>
      <c r="H463" s="32">
        <v>1</v>
      </c>
      <c r="I463" s="31" t="s">
        <v>11</v>
      </c>
      <c r="J463" s="31" t="s">
        <v>72</v>
      </c>
      <c r="K463" s="32"/>
      <c r="L463" s="32" t="e">
        <f ca="1">_xludf.ifna(VLOOKUP(E463,Parámetros!$D$2:$E$34,2,0),"")</f>
        <v>#NAME?</v>
      </c>
      <c r="M463" s="32" t="e">
        <f ca="1">_xludf.ifna(VLOOKUP(G463,Proyectos!$A$2:$T$674,20,0),"")</f>
        <v>#NAME?</v>
      </c>
      <c r="N463" s="32" t="e">
        <f ca="1">_xludf.ifna(VLOOKUP(G463,Proyectos!$A$2:$S$674,19,0))</f>
        <v>#NAME?</v>
      </c>
      <c r="O463" s="31"/>
      <c r="P463" s="31"/>
      <c r="Q463" s="33"/>
      <c r="R463" s="33"/>
      <c r="S463" s="33"/>
      <c r="T463" s="33"/>
      <c r="U463" s="33"/>
      <c r="V463" s="33"/>
      <c r="W463" s="33"/>
    </row>
    <row r="464" spans="1:23" ht="16.5" customHeight="1" x14ac:dyDescent="0.2">
      <c r="A464" s="26" t="s">
        <v>5019</v>
      </c>
      <c r="B464" s="26" t="s">
        <v>5238</v>
      </c>
      <c r="C464" s="26" t="s">
        <v>7</v>
      </c>
      <c r="D464" s="27" t="s">
        <v>16</v>
      </c>
      <c r="E464" s="26" t="s">
        <v>108</v>
      </c>
      <c r="F464" s="28" t="e">
        <f ca="1">_xludf.ifna(VLOOKUP(G464,Proyectos!$A$2:$F$674,6,0),"")</f>
        <v>#NAME?</v>
      </c>
      <c r="G464" s="29" t="s">
        <v>5114</v>
      </c>
      <c r="H464" s="32">
        <v>0.5</v>
      </c>
      <c r="I464" s="31" t="s">
        <v>18</v>
      </c>
      <c r="J464" s="31" t="s">
        <v>41</v>
      </c>
      <c r="K464" s="32"/>
      <c r="L464" s="32" t="e">
        <f ca="1">_xludf.ifna(VLOOKUP(E464,Parámetros!$D$2:$E$34,2,0),"")</f>
        <v>#NAME?</v>
      </c>
      <c r="M464" s="32" t="e">
        <f ca="1">_xludf.ifna(VLOOKUP(G464,Proyectos!$A$2:$T$674,20,0),"")</f>
        <v>#NAME?</v>
      </c>
      <c r="N464" s="32" t="e">
        <f ca="1">_xludf.ifna(VLOOKUP(G464,Proyectos!$A$2:$S$674,19,0))</f>
        <v>#NAME?</v>
      </c>
      <c r="O464" s="31"/>
      <c r="P464" s="31"/>
      <c r="Q464" s="33"/>
      <c r="R464" s="33"/>
      <c r="S464" s="33"/>
      <c r="T464" s="33"/>
      <c r="U464" s="33"/>
      <c r="V464" s="33"/>
      <c r="W464" s="33"/>
    </row>
    <row r="465" spans="1:23" ht="16.5" customHeight="1" x14ac:dyDescent="0.2">
      <c r="A465" s="37" t="s">
        <v>4646</v>
      </c>
      <c r="B465" s="26" t="s">
        <v>4647</v>
      </c>
      <c r="C465" s="26" t="s">
        <v>7</v>
      </c>
      <c r="D465" s="27" t="s">
        <v>16</v>
      </c>
      <c r="E465" s="26" t="s">
        <v>39</v>
      </c>
      <c r="F465" s="28" t="e">
        <f ca="1">_xludf.ifna(VLOOKUP(G465,Proyectos!$A$2:$F$674,6,0),"")</f>
        <v>#NAME?</v>
      </c>
      <c r="G465" s="26" t="s">
        <v>5158</v>
      </c>
      <c r="H465" s="32">
        <v>0.5</v>
      </c>
      <c r="I465" s="47" t="s">
        <v>18</v>
      </c>
      <c r="J465" s="31" t="s">
        <v>41</v>
      </c>
      <c r="K465" s="32"/>
      <c r="L465" s="32" t="e">
        <f ca="1">_xludf.ifna(VLOOKUP(E465,Parámetros!$D$2:$E$34,2,0),"")</f>
        <v>#NAME?</v>
      </c>
      <c r="M465" s="32" t="e">
        <f ca="1">_xludf.ifna(VLOOKUP(G465,Proyectos!$A$2:$T$674,20,0),"")</f>
        <v>#NAME?</v>
      </c>
      <c r="N465" s="32" t="e">
        <f ca="1">_xludf.ifna(VLOOKUP(G465,Proyectos!$A$2:$S$674,19,0))</f>
        <v>#NAME?</v>
      </c>
      <c r="O465" s="32"/>
      <c r="P465" s="31"/>
      <c r="Q465" s="33"/>
      <c r="R465" s="33"/>
      <c r="S465" s="33"/>
      <c r="T465" s="33"/>
      <c r="U465" s="33"/>
      <c r="V465" s="33"/>
      <c r="W465" s="33"/>
    </row>
    <row r="466" spans="1:23" ht="16.5" customHeight="1" x14ac:dyDescent="0.2">
      <c r="A466" s="37" t="s">
        <v>4646</v>
      </c>
      <c r="B466" s="26" t="s">
        <v>4647</v>
      </c>
      <c r="C466" s="26" t="s">
        <v>7</v>
      </c>
      <c r="D466" s="27" t="s">
        <v>16</v>
      </c>
      <c r="E466" s="26" t="s">
        <v>39</v>
      </c>
      <c r="F466" s="28" t="e">
        <f ca="1">_xludf.ifna(VLOOKUP(G466,Proyectos!$A$2:$F$674,6,0),"")</f>
        <v>#NAME?</v>
      </c>
      <c r="G466" s="26" t="s">
        <v>5234</v>
      </c>
      <c r="H466" s="32">
        <v>0.5</v>
      </c>
      <c r="I466" s="47" t="s">
        <v>18</v>
      </c>
      <c r="J466" s="31" t="s">
        <v>41</v>
      </c>
      <c r="K466" s="32"/>
      <c r="L466" s="32" t="e">
        <f ca="1">_xludf.ifna(VLOOKUP(E466,Parámetros!$D$2:$E$34,2,0),"")</f>
        <v>#NAME?</v>
      </c>
      <c r="M466" s="32" t="e">
        <f ca="1">_xludf.ifna(VLOOKUP(G466,Proyectos!$A$2:$T$674,20,0),"")</f>
        <v>#NAME?</v>
      </c>
      <c r="N466" s="32" t="e">
        <f ca="1">_xludf.ifna(VLOOKUP(G466,Proyectos!$A$2:$S$674,19,0))</f>
        <v>#NAME?</v>
      </c>
      <c r="O466" s="32"/>
      <c r="P466" s="31"/>
      <c r="Q466" s="33"/>
      <c r="R466" s="33"/>
      <c r="S466" s="33"/>
      <c r="T466" s="33"/>
      <c r="U466" s="33"/>
      <c r="V466" s="33"/>
      <c r="W466" s="33"/>
    </row>
    <row r="467" spans="1:23" ht="16.5" customHeight="1" x14ac:dyDescent="0.2">
      <c r="A467" s="25" t="s">
        <v>3508</v>
      </c>
      <c r="B467" s="26" t="s">
        <v>3509</v>
      </c>
      <c r="C467" s="26" t="s">
        <v>7</v>
      </c>
      <c r="D467" s="27" t="s">
        <v>16</v>
      </c>
      <c r="E467" s="26" t="s">
        <v>39</v>
      </c>
      <c r="F467" s="28" t="e">
        <f ca="1">_xludf.ifna(VLOOKUP(G467,Proyectos!$A$2:$F$674,6,0),"")</f>
        <v>#NAME?</v>
      </c>
      <c r="G467" s="26" t="s">
        <v>5233</v>
      </c>
      <c r="H467" s="32">
        <v>0.9</v>
      </c>
      <c r="I467" s="47" t="s">
        <v>18</v>
      </c>
      <c r="J467" s="31" t="s">
        <v>41</v>
      </c>
      <c r="K467" s="32"/>
      <c r="L467" s="32" t="e">
        <f ca="1">_xludf.ifna(VLOOKUP(E467,Parámetros!$D$2:$E$34,2,0),"")</f>
        <v>#NAME?</v>
      </c>
      <c r="M467" s="32" t="e">
        <f ca="1">_xludf.ifna(VLOOKUP(G467,Proyectos!$A$2:$T$674,20,0),"")</f>
        <v>#NAME?</v>
      </c>
      <c r="N467" s="32" t="e">
        <f ca="1">_xludf.ifna(VLOOKUP(G467,Proyectos!$A$2:$S$674,19,0))</f>
        <v>#NAME?</v>
      </c>
      <c r="O467" s="32"/>
      <c r="P467" s="31"/>
      <c r="Q467" s="33"/>
      <c r="R467" s="33"/>
      <c r="S467" s="33"/>
      <c r="T467" s="33"/>
      <c r="U467" s="33"/>
      <c r="V467" s="33"/>
      <c r="W467" s="33"/>
    </row>
    <row r="468" spans="1:23" ht="16.5" customHeight="1" x14ac:dyDescent="0.2">
      <c r="A468" s="25" t="s">
        <v>3508</v>
      </c>
      <c r="B468" s="26" t="s">
        <v>3509</v>
      </c>
      <c r="C468" s="26" t="s">
        <v>7</v>
      </c>
      <c r="D468" s="27" t="s">
        <v>16</v>
      </c>
      <c r="E468" s="26" t="s">
        <v>39</v>
      </c>
      <c r="F468" s="28" t="e">
        <f ca="1">_xludf.ifna(VLOOKUP(G468,Proyectos!$A$2:$F$674,6,0),"")</f>
        <v>#NAME?</v>
      </c>
      <c r="G468" s="26" t="s">
        <v>5233</v>
      </c>
      <c r="H468" s="32">
        <v>0.1</v>
      </c>
      <c r="I468" s="47" t="s">
        <v>18</v>
      </c>
      <c r="J468" s="31" t="s">
        <v>41</v>
      </c>
      <c r="K468" s="32"/>
      <c r="L468" s="32" t="e">
        <f ca="1">_xludf.ifna(VLOOKUP(E468,Parámetros!$D$2:$E$34,2,0),"")</f>
        <v>#NAME?</v>
      </c>
      <c r="M468" s="32" t="e">
        <f ca="1">_xludf.ifna(VLOOKUP(G468,Proyectos!$A$2:$T$674,20,0),"")</f>
        <v>#NAME?</v>
      </c>
      <c r="N468" s="32" t="e">
        <f ca="1">_xludf.ifna(VLOOKUP(G468,Proyectos!$A$2:$S$674,19,0))</f>
        <v>#NAME?</v>
      </c>
      <c r="O468" s="32"/>
      <c r="P468" s="31"/>
      <c r="Q468" s="33"/>
      <c r="R468" s="33"/>
      <c r="S468" s="33"/>
      <c r="T468" s="33"/>
      <c r="U468" s="33"/>
      <c r="V468" s="33"/>
      <c r="W468" s="33"/>
    </row>
    <row r="469" spans="1:23" ht="16.5" customHeight="1" x14ac:dyDescent="0.2">
      <c r="A469" s="25" t="s">
        <v>4372</v>
      </c>
      <c r="B469" s="26" t="s">
        <v>4373</v>
      </c>
      <c r="C469" s="26" t="s">
        <v>7</v>
      </c>
      <c r="D469" s="27" t="s">
        <v>16</v>
      </c>
      <c r="E469" s="26" t="s">
        <v>66</v>
      </c>
      <c r="F469" s="28" t="e">
        <f ca="1">_xludf.ifna(VLOOKUP(G469,Proyectos!$A$2:$F$674,6,0),"")</f>
        <v>#NAME?</v>
      </c>
      <c r="G469" s="45" t="s">
        <v>5233</v>
      </c>
      <c r="H469" s="32">
        <v>0.3</v>
      </c>
      <c r="I469" s="47" t="s">
        <v>18</v>
      </c>
      <c r="J469" s="31" t="s">
        <v>72</v>
      </c>
      <c r="K469" s="32"/>
      <c r="L469" s="32" t="e">
        <f ca="1">_xludf.ifna(VLOOKUP(E469,Parámetros!$D$2:$E$34,2,0),"")</f>
        <v>#NAME?</v>
      </c>
      <c r="M469" s="32" t="e">
        <f ca="1">_xludf.ifna(VLOOKUP(G469,Proyectos!$A$2:$T$674,20,0),"")</f>
        <v>#NAME?</v>
      </c>
      <c r="N469" s="32" t="e">
        <f ca="1">_xludf.ifna(VLOOKUP(G469,Proyectos!$A$2:$S$674,19,0))</f>
        <v>#NAME?</v>
      </c>
      <c r="O469" s="32"/>
      <c r="P469" s="31"/>
      <c r="Q469" s="33"/>
      <c r="R469" s="33"/>
      <c r="S469" s="33"/>
      <c r="T469" s="33"/>
      <c r="U469" s="33"/>
      <c r="V469" s="33"/>
      <c r="W469" s="33"/>
    </row>
    <row r="470" spans="1:23" ht="16.5" customHeight="1" x14ac:dyDescent="0.2">
      <c r="A470" s="25" t="s">
        <v>4090</v>
      </c>
      <c r="B470" s="26" t="s">
        <v>4091</v>
      </c>
      <c r="C470" s="26" t="s">
        <v>7</v>
      </c>
      <c r="D470" s="27" t="s">
        <v>16</v>
      </c>
      <c r="E470" s="26" t="s">
        <v>66</v>
      </c>
      <c r="F470" s="28" t="e">
        <f ca="1">_xludf.ifna(VLOOKUP(G470,Proyectos!$A$2:$F$674,6,0),"")</f>
        <v>#NAME?</v>
      </c>
      <c r="G470" s="45" t="s">
        <v>5233</v>
      </c>
      <c r="H470" s="32">
        <v>0.3</v>
      </c>
      <c r="I470" s="47" t="s">
        <v>18</v>
      </c>
      <c r="J470" s="31" t="s">
        <v>72</v>
      </c>
      <c r="K470" s="32"/>
      <c r="L470" s="32" t="e">
        <f ca="1">_xludf.ifna(VLOOKUP(E470,Parámetros!$D$2:$E$34,2,0),"")</f>
        <v>#NAME?</v>
      </c>
      <c r="M470" s="32" t="e">
        <f ca="1">_xludf.ifna(VLOOKUP(G470,Proyectos!$A$2:$T$674,20,0),"")</f>
        <v>#NAME?</v>
      </c>
      <c r="N470" s="32" t="e">
        <f ca="1">_xludf.ifna(VLOOKUP(G470,Proyectos!$A$2:$S$674,19,0))</f>
        <v>#NAME?</v>
      </c>
      <c r="O470" s="32"/>
      <c r="P470" s="31"/>
      <c r="Q470" s="33"/>
      <c r="R470" s="33"/>
      <c r="S470" s="33"/>
      <c r="T470" s="33"/>
      <c r="U470" s="33"/>
      <c r="V470" s="33"/>
      <c r="W470" s="33"/>
    </row>
    <row r="471" spans="1:23" ht="16.5" customHeight="1" x14ac:dyDescent="0.2">
      <c r="A471" s="25" t="s">
        <v>4736</v>
      </c>
      <c r="B471" s="26" t="s">
        <v>4737</v>
      </c>
      <c r="C471" s="26" t="s">
        <v>7</v>
      </c>
      <c r="D471" s="27" t="s">
        <v>16</v>
      </c>
      <c r="E471" s="26" t="s">
        <v>39</v>
      </c>
      <c r="F471" s="28" t="e">
        <f ca="1">_xludf.ifna(VLOOKUP(G471,Proyectos!$A$2:$F$674,6,0),"")</f>
        <v>#NAME?</v>
      </c>
      <c r="G471" s="26" t="s">
        <v>5237</v>
      </c>
      <c r="H471" s="32">
        <v>0.5</v>
      </c>
      <c r="I471" s="47" t="s">
        <v>18</v>
      </c>
      <c r="J471" s="31" t="s">
        <v>41</v>
      </c>
      <c r="K471" s="32"/>
      <c r="L471" s="32" t="e">
        <f ca="1">_xludf.ifna(VLOOKUP(E471,Parámetros!$D$2:$E$34,2,0),"")</f>
        <v>#NAME?</v>
      </c>
      <c r="M471" s="32" t="e">
        <f ca="1">_xludf.ifna(VLOOKUP(G471,Proyectos!$A$2:$T$674,20,0),"")</f>
        <v>#NAME?</v>
      </c>
      <c r="N471" s="32" t="e">
        <f ca="1">_xludf.ifna(VLOOKUP(G471,Proyectos!$A$2:$S$674,19,0))</f>
        <v>#NAME?</v>
      </c>
      <c r="O471" s="32"/>
      <c r="P471" s="31"/>
      <c r="Q471" s="33"/>
      <c r="R471" s="33"/>
      <c r="S471" s="33"/>
      <c r="T471" s="33"/>
      <c r="U471" s="33"/>
      <c r="V471" s="33"/>
      <c r="W471" s="33"/>
    </row>
    <row r="472" spans="1:23" ht="16.5" customHeight="1" x14ac:dyDescent="0.2">
      <c r="A472" s="25" t="s">
        <v>4736</v>
      </c>
      <c r="B472" s="26" t="s">
        <v>4737</v>
      </c>
      <c r="C472" s="26" t="s">
        <v>7</v>
      </c>
      <c r="D472" s="27" t="s">
        <v>16</v>
      </c>
      <c r="E472" s="26" t="s">
        <v>39</v>
      </c>
      <c r="F472" s="28" t="e">
        <f ca="1">_xludf.ifna(VLOOKUP(G472,Proyectos!$A$2:$F$674,6,0),"")</f>
        <v>#NAME?</v>
      </c>
      <c r="G472" s="26" t="s">
        <v>5239</v>
      </c>
      <c r="H472" s="32">
        <v>0.5</v>
      </c>
      <c r="I472" s="47" t="s">
        <v>18</v>
      </c>
      <c r="J472" s="31" t="s">
        <v>41</v>
      </c>
      <c r="K472" s="32"/>
      <c r="L472" s="32" t="e">
        <f ca="1">_xludf.ifna(VLOOKUP(E472,Parámetros!$D$2:$E$34,2,0),"")</f>
        <v>#NAME?</v>
      </c>
      <c r="M472" s="32" t="e">
        <f ca="1">_xludf.ifna(VLOOKUP(G472,Proyectos!$A$2:$T$674,20,0),"")</f>
        <v>#NAME?</v>
      </c>
      <c r="N472" s="32" t="e">
        <f ca="1">_xludf.ifna(VLOOKUP(G472,Proyectos!$A$2:$S$674,19,0))</f>
        <v>#NAME?</v>
      </c>
      <c r="O472" s="32"/>
      <c r="P472" s="31"/>
      <c r="Q472" s="33"/>
      <c r="R472" s="33"/>
      <c r="S472" s="33"/>
      <c r="T472" s="33"/>
      <c r="U472" s="33"/>
      <c r="V472" s="33"/>
      <c r="W472" s="33"/>
    </row>
    <row r="473" spans="1:23" ht="16.5" customHeight="1" x14ac:dyDescent="0.2">
      <c r="A473" s="26" t="s">
        <v>3811</v>
      </c>
      <c r="B473" s="26" t="s">
        <v>3812</v>
      </c>
      <c r="C473" s="26" t="s">
        <v>7</v>
      </c>
      <c r="D473" s="27" t="s">
        <v>16</v>
      </c>
      <c r="E473" s="26" t="s">
        <v>39</v>
      </c>
      <c r="F473" s="28" t="e">
        <f ca="1">_xludf.ifna(VLOOKUP(G473,Proyectos!$A$2:$F$674,6,0),"")</f>
        <v>#NAME?</v>
      </c>
      <c r="G473" s="26" t="s">
        <v>5158</v>
      </c>
      <c r="H473" s="32">
        <v>0.3</v>
      </c>
      <c r="I473" s="47" t="s">
        <v>11</v>
      </c>
      <c r="J473" s="31" t="s">
        <v>41</v>
      </c>
      <c r="K473" s="32"/>
      <c r="L473" s="32" t="e">
        <f ca="1">_xludf.ifna(VLOOKUP(E473,Parámetros!$D$2:$E$34,2,0),"")</f>
        <v>#NAME?</v>
      </c>
      <c r="M473" s="32" t="e">
        <f ca="1">_xludf.ifna(VLOOKUP(G473,Proyectos!$A$2:$T$674,20,0),"")</f>
        <v>#NAME?</v>
      </c>
      <c r="N473" s="32" t="e">
        <f ca="1">_xludf.ifna(VLOOKUP(G473,Proyectos!$A$2:$S$674,19,0))</f>
        <v>#NAME?</v>
      </c>
      <c r="O473" s="32"/>
      <c r="P473" s="31"/>
      <c r="Q473" s="33"/>
      <c r="R473" s="33"/>
      <c r="S473" s="33"/>
      <c r="T473" s="33"/>
      <c r="U473" s="33"/>
      <c r="V473" s="33"/>
      <c r="W473" s="33"/>
    </row>
    <row r="474" spans="1:23" ht="16.5" customHeight="1" x14ac:dyDescent="0.2">
      <c r="A474" s="26" t="s">
        <v>3811</v>
      </c>
      <c r="B474" s="26" t="s">
        <v>3812</v>
      </c>
      <c r="C474" s="26" t="s">
        <v>7</v>
      </c>
      <c r="D474" s="27" t="s">
        <v>16</v>
      </c>
      <c r="E474" s="26" t="s">
        <v>39</v>
      </c>
      <c r="F474" s="28" t="e">
        <f ca="1">_xludf.ifna(VLOOKUP(G474,Proyectos!$A$2:$F$674,6,0),"")</f>
        <v>#NAME?</v>
      </c>
      <c r="G474" s="26" t="s">
        <v>5233</v>
      </c>
      <c r="H474" s="32">
        <v>0.3</v>
      </c>
      <c r="I474" s="47" t="s">
        <v>11</v>
      </c>
      <c r="J474" s="31" t="s">
        <v>41</v>
      </c>
      <c r="K474" s="32"/>
      <c r="L474" s="32" t="e">
        <f ca="1">_xludf.ifna(VLOOKUP(E474,Parámetros!$D$2:$E$34,2,0),"")</f>
        <v>#NAME?</v>
      </c>
      <c r="M474" s="32" t="e">
        <f ca="1">_xludf.ifna(VLOOKUP(G474,Proyectos!$A$2:$T$674,20,0),"")</f>
        <v>#NAME?</v>
      </c>
      <c r="N474" s="32" t="e">
        <f ca="1">_xludf.ifna(VLOOKUP(G474,Proyectos!$A$2:$S$674,19,0))</f>
        <v>#NAME?</v>
      </c>
      <c r="O474" s="32"/>
      <c r="P474" s="31"/>
      <c r="Q474" s="33"/>
      <c r="R474" s="33"/>
      <c r="S474" s="33"/>
      <c r="T474" s="33"/>
      <c r="U474" s="33"/>
      <c r="V474" s="33"/>
      <c r="W474" s="33"/>
    </row>
    <row r="475" spans="1:23" ht="16.5" customHeight="1" x14ac:dyDescent="0.2">
      <c r="A475" s="26" t="s">
        <v>3811</v>
      </c>
      <c r="B475" s="26" t="s">
        <v>3812</v>
      </c>
      <c r="C475" s="27" t="s">
        <v>7</v>
      </c>
      <c r="D475" s="27" t="s">
        <v>16</v>
      </c>
      <c r="E475" s="27" t="s">
        <v>39</v>
      </c>
      <c r="F475" s="28" t="e">
        <f ca="1">_xludf.ifna(VLOOKUP(G475,Proyectos!$A$2:$F$674,6,0),"")</f>
        <v>#NAME?</v>
      </c>
      <c r="G475" s="26" t="s">
        <v>5237</v>
      </c>
      <c r="H475" s="32">
        <v>0.3</v>
      </c>
      <c r="I475" s="47" t="s">
        <v>11</v>
      </c>
      <c r="J475" s="44" t="s">
        <v>41</v>
      </c>
      <c r="K475" s="44"/>
      <c r="L475" s="32" t="e">
        <f ca="1">_xludf.ifna(VLOOKUP(E475,Parámetros!$D$2:$E$34,2,0),"")</f>
        <v>#NAME?</v>
      </c>
      <c r="M475" s="32" t="e">
        <f ca="1">_xludf.ifna(VLOOKUP(G475,Proyectos!$A$2:$T$674,20,0),"")</f>
        <v>#NAME?</v>
      </c>
      <c r="N475" s="32" t="e">
        <f ca="1">_xludf.ifna(VLOOKUP(G475,Proyectos!$A$2:$S$674,19,0))</f>
        <v>#NAME?</v>
      </c>
      <c r="O475" s="44"/>
      <c r="P475" s="47"/>
      <c r="Q475" s="33"/>
      <c r="R475" s="33"/>
      <c r="S475" s="33"/>
      <c r="T475" s="33"/>
      <c r="U475" s="33"/>
      <c r="V475" s="33"/>
      <c r="W475" s="33"/>
    </row>
    <row r="476" spans="1:23" ht="16.5" customHeight="1" x14ac:dyDescent="0.2">
      <c r="A476" s="26" t="s">
        <v>3811</v>
      </c>
      <c r="B476" s="26" t="s">
        <v>3812</v>
      </c>
      <c r="C476" s="27" t="s">
        <v>7</v>
      </c>
      <c r="D476" s="27" t="s">
        <v>16</v>
      </c>
      <c r="E476" s="27" t="s">
        <v>39</v>
      </c>
      <c r="F476" s="28" t="e">
        <f ca="1">_xludf.ifna(VLOOKUP(G476,Proyectos!$A$2:$F$674,6,0),"")</f>
        <v>#NAME?</v>
      </c>
      <c r="G476" s="29" t="s">
        <v>5114</v>
      </c>
      <c r="H476" s="32">
        <v>0.1</v>
      </c>
      <c r="I476" s="47" t="s">
        <v>11</v>
      </c>
      <c r="J476" s="44" t="s">
        <v>41</v>
      </c>
      <c r="K476" s="44"/>
      <c r="L476" s="32" t="e">
        <f ca="1">_xludf.ifna(VLOOKUP(E476,Parámetros!$D$2:$E$34,2,0),"")</f>
        <v>#NAME?</v>
      </c>
      <c r="M476" s="32" t="e">
        <f ca="1">_xludf.ifna(VLOOKUP(G476,Proyectos!$A$2:$T$674,20,0),"")</f>
        <v>#NAME?</v>
      </c>
      <c r="N476" s="32" t="e">
        <f ca="1">_xludf.ifna(VLOOKUP(G476,Proyectos!$A$2:$S$674,19,0))</f>
        <v>#NAME?</v>
      </c>
      <c r="O476" s="44"/>
      <c r="P476" s="47"/>
      <c r="Q476" s="33"/>
      <c r="R476" s="33"/>
      <c r="S476" s="33"/>
      <c r="T476" s="33"/>
      <c r="U476" s="33"/>
      <c r="V476" s="33"/>
      <c r="W476" s="33"/>
    </row>
    <row r="477" spans="1:23" ht="16.5" customHeight="1" x14ac:dyDescent="0.2">
      <c r="A477" s="26" t="s">
        <v>3532</v>
      </c>
      <c r="B477" s="26" t="s">
        <v>3533</v>
      </c>
      <c r="C477" s="66" t="s">
        <v>98</v>
      </c>
      <c r="D477" s="66" t="s">
        <v>110</v>
      </c>
      <c r="E477" s="66" t="s">
        <v>39</v>
      </c>
      <c r="F477" s="28" t="e">
        <f ca="1">_xludf.ifna(VLOOKUP(G477,Proyectos!$A$2:$F$674,6,0),"")</f>
        <v>#NAME?</v>
      </c>
      <c r="G477" s="66" t="s">
        <v>5240</v>
      </c>
      <c r="H477" s="32">
        <v>1</v>
      </c>
      <c r="I477" s="31" t="s">
        <v>18</v>
      </c>
      <c r="J477" s="67" t="s">
        <v>19</v>
      </c>
      <c r="K477" s="32" t="str">
        <f t="shared" ref="K477:K488" si="3">IF(E477="BBVA","Interno","Externo")</f>
        <v>Interno</v>
      </c>
      <c r="L477" s="32" t="e">
        <f ca="1">_xludf.ifna(VLOOKUP(E477,Parámetros!$D$2:$E$34,2,0),"")</f>
        <v>#NAME?</v>
      </c>
      <c r="M477" s="32" t="e">
        <f ca="1">_xludf.ifna(VLOOKUP(G477,Proyectos!$A$2:$T$674,20,0),"")</f>
        <v>#NAME?</v>
      </c>
      <c r="N477" s="32" t="e">
        <f ca="1">_xludf.ifna(VLOOKUP(G477,Proyectos!$A$2:$S$674,19,0))</f>
        <v>#NAME?</v>
      </c>
      <c r="O477" s="31"/>
      <c r="P477" s="33"/>
      <c r="Q477" s="33"/>
      <c r="R477" s="33"/>
      <c r="S477" s="33"/>
      <c r="T477" s="33"/>
      <c r="U477" s="33"/>
      <c r="V477" s="33"/>
      <c r="W477" s="33"/>
    </row>
    <row r="478" spans="1:23" ht="16.5" customHeight="1" x14ac:dyDescent="0.2">
      <c r="A478" s="26" t="s">
        <v>3751</v>
      </c>
      <c r="B478" s="26" t="s">
        <v>3752</v>
      </c>
      <c r="C478" s="66" t="s">
        <v>98</v>
      </c>
      <c r="D478" s="66" t="s">
        <v>110</v>
      </c>
      <c r="E478" s="66" t="s">
        <v>39</v>
      </c>
      <c r="F478" s="28" t="e">
        <f ca="1">_xludf.ifna(VLOOKUP(G478,Proyectos!$A$2:$F$674,6,0),"")</f>
        <v>#NAME?</v>
      </c>
      <c r="G478" s="66" t="s">
        <v>5241</v>
      </c>
      <c r="H478" s="32">
        <v>1</v>
      </c>
      <c r="I478" s="31" t="s">
        <v>18</v>
      </c>
      <c r="J478" s="67" t="s">
        <v>26</v>
      </c>
      <c r="K478" s="32" t="str">
        <f t="shared" si="3"/>
        <v>Interno</v>
      </c>
      <c r="L478" s="32" t="e">
        <f ca="1">_xludf.ifna(VLOOKUP(E478,Parámetros!$D$2:$E$34,2,0),"")</f>
        <v>#NAME?</v>
      </c>
      <c r="M478" s="32" t="e">
        <f ca="1">_xludf.ifna(VLOOKUP(G478,Proyectos!$A$2:$T$674,20,0),"")</f>
        <v>#NAME?</v>
      </c>
      <c r="N478" s="32" t="e">
        <f ca="1">_xludf.ifna(VLOOKUP(G478,Proyectos!$A$2:$S$674,19,0))</f>
        <v>#NAME?</v>
      </c>
      <c r="O478" s="31"/>
      <c r="P478" s="33"/>
      <c r="Q478" s="33"/>
      <c r="R478" s="33"/>
      <c r="S478" s="33"/>
      <c r="T478" s="33"/>
      <c r="U478" s="33"/>
      <c r="V478" s="33"/>
      <c r="W478" s="33"/>
    </row>
    <row r="479" spans="1:23" ht="16.5" customHeight="1" x14ac:dyDescent="0.2">
      <c r="A479" s="26" t="s">
        <v>4374</v>
      </c>
      <c r="B479" s="26" t="s">
        <v>4375</v>
      </c>
      <c r="C479" s="66" t="s">
        <v>98</v>
      </c>
      <c r="D479" s="66" t="s">
        <v>110</v>
      </c>
      <c r="E479" s="66" t="s">
        <v>87</v>
      </c>
      <c r="F479" s="28" t="e">
        <f ca="1">_xludf.ifna(VLOOKUP(G479,Proyectos!$A$2:$F$674,6,0),"")</f>
        <v>#NAME?</v>
      </c>
      <c r="G479" s="66" t="s">
        <v>5242</v>
      </c>
      <c r="H479" s="32">
        <v>1</v>
      </c>
      <c r="I479" s="31" t="s">
        <v>25</v>
      </c>
      <c r="J479" s="67" t="s">
        <v>41</v>
      </c>
      <c r="K479" s="32" t="str">
        <f t="shared" si="3"/>
        <v>Externo</v>
      </c>
      <c r="L479" s="32" t="e">
        <f ca="1">_xludf.ifna(VLOOKUP(E479,Parámetros!$D$2:$E$34,2,0),"")</f>
        <v>#NAME?</v>
      </c>
      <c r="M479" s="32" t="e">
        <f ca="1">_xludf.ifna(VLOOKUP(G479,Proyectos!$A$2:$T$674,20,0),"")</f>
        <v>#NAME?</v>
      </c>
      <c r="N479" s="32" t="e">
        <f ca="1">_xludf.ifna(VLOOKUP(G479,Proyectos!$A$2:$S$674,19,0))</f>
        <v>#NAME?</v>
      </c>
      <c r="O479" s="31"/>
      <c r="P479" s="33"/>
      <c r="Q479" s="33"/>
      <c r="R479" s="33"/>
      <c r="S479" s="33"/>
      <c r="T479" s="33"/>
      <c r="U479" s="33"/>
      <c r="V479" s="33"/>
      <c r="W479" s="33"/>
    </row>
    <row r="480" spans="1:23" ht="16.5" customHeight="1" x14ac:dyDescent="0.2">
      <c r="A480" s="26" t="s">
        <v>4346</v>
      </c>
      <c r="B480" s="26" t="s">
        <v>4347</v>
      </c>
      <c r="C480" s="66" t="s">
        <v>98</v>
      </c>
      <c r="D480" s="66" t="s">
        <v>110</v>
      </c>
      <c r="E480" s="66" t="s">
        <v>87</v>
      </c>
      <c r="F480" s="28" t="e">
        <f ca="1">_xludf.ifna(VLOOKUP(G480,Proyectos!$A$2:$F$674,6,0),"")</f>
        <v>#NAME?</v>
      </c>
      <c r="G480" s="66" t="s">
        <v>5243</v>
      </c>
      <c r="H480" s="32">
        <v>1</v>
      </c>
      <c r="I480" s="31" t="s">
        <v>25</v>
      </c>
      <c r="J480" s="67" t="s">
        <v>41</v>
      </c>
      <c r="K480" s="32" t="str">
        <f t="shared" si="3"/>
        <v>Externo</v>
      </c>
      <c r="L480" s="32" t="e">
        <f ca="1">_xludf.ifna(VLOOKUP(E480,Parámetros!$D$2:$E$34,2,0),"")</f>
        <v>#NAME?</v>
      </c>
      <c r="M480" s="32" t="e">
        <f ca="1">_xludf.ifna(VLOOKUP(G480,Proyectos!$A$2:$T$674,20,0),"")</f>
        <v>#NAME?</v>
      </c>
      <c r="N480" s="32" t="e">
        <f ca="1">_xludf.ifna(VLOOKUP(G480,Proyectos!$A$2:$S$674,19,0))</f>
        <v>#NAME?</v>
      </c>
      <c r="O480" s="31"/>
      <c r="P480" s="33"/>
      <c r="Q480" s="33"/>
      <c r="R480" s="33"/>
      <c r="S480" s="33"/>
      <c r="T480" s="33"/>
      <c r="U480" s="33"/>
      <c r="V480" s="33"/>
      <c r="W480" s="33"/>
    </row>
    <row r="481" spans="1:23" ht="16.5" customHeight="1" x14ac:dyDescent="0.2">
      <c r="A481" s="26" t="s">
        <v>3884</v>
      </c>
      <c r="B481" s="26" t="s">
        <v>3885</v>
      </c>
      <c r="C481" s="66" t="s">
        <v>98</v>
      </c>
      <c r="D481" s="66" t="s">
        <v>110</v>
      </c>
      <c r="E481" s="66" t="s">
        <v>39</v>
      </c>
      <c r="F481" s="28" t="e">
        <f ca="1">_xludf.ifna(VLOOKUP(G481,Proyectos!$A$2:$F$674,6,0),"")</f>
        <v>#NAME?</v>
      </c>
      <c r="G481" s="66" t="s">
        <v>5240</v>
      </c>
      <c r="H481" s="32">
        <v>1</v>
      </c>
      <c r="I481" s="31" t="s">
        <v>18</v>
      </c>
      <c r="J481" s="67" t="s">
        <v>26</v>
      </c>
      <c r="K481" s="32" t="str">
        <f t="shared" si="3"/>
        <v>Interno</v>
      </c>
      <c r="L481" s="32" t="e">
        <f ca="1">_xludf.ifna(VLOOKUP(E481,Parámetros!$D$2:$E$34,2,0),"")</f>
        <v>#NAME?</v>
      </c>
      <c r="M481" s="32" t="e">
        <f ca="1">_xludf.ifna(VLOOKUP(G481,Proyectos!$A$2:$T$674,20,0),"")</f>
        <v>#NAME?</v>
      </c>
      <c r="N481" s="32" t="e">
        <f ca="1">_xludf.ifna(VLOOKUP(G481,Proyectos!$A$2:$S$674,19,0))</f>
        <v>#NAME?</v>
      </c>
      <c r="O481" s="31"/>
      <c r="P481" s="33"/>
      <c r="Q481" s="33"/>
      <c r="R481" s="33"/>
      <c r="S481" s="33"/>
      <c r="T481" s="33"/>
      <c r="U481" s="33"/>
      <c r="V481" s="33"/>
      <c r="W481" s="33"/>
    </row>
    <row r="482" spans="1:23" ht="16.5" customHeight="1" x14ac:dyDescent="0.2">
      <c r="A482" s="26" t="s">
        <v>3974</v>
      </c>
      <c r="B482" s="26" t="s">
        <v>3975</v>
      </c>
      <c r="C482" s="66" t="s">
        <v>98</v>
      </c>
      <c r="D482" s="66" t="s">
        <v>110</v>
      </c>
      <c r="E482" s="66" t="s">
        <v>129</v>
      </c>
      <c r="F482" s="28" t="e">
        <f ca="1">_xludf.ifna(VLOOKUP(G482,Proyectos!$A$2:$F$674,6,0),"")</f>
        <v>#NAME?</v>
      </c>
      <c r="G482" s="66" t="s">
        <v>5240</v>
      </c>
      <c r="H482" s="32">
        <v>1</v>
      </c>
      <c r="I482" s="31" t="s">
        <v>18</v>
      </c>
      <c r="J482" s="67" t="s">
        <v>19</v>
      </c>
      <c r="K482" s="32" t="str">
        <f t="shared" si="3"/>
        <v>Externo</v>
      </c>
      <c r="L482" s="32" t="e">
        <f ca="1">_xludf.ifna(VLOOKUP(E482,Parámetros!$D$2:$E$34,2,0),"")</f>
        <v>#NAME?</v>
      </c>
      <c r="M482" s="32" t="e">
        <f ca="1">_xludf.ifna(VLOOKUP(G482,Proyectos!$A$2:$T$674,20,0),"")</f>
        <v>#NAME?</v>
      </c>
      <c r="N482" s="32" t="e">
        <f ca="1">_xludf.ifna(VLOOKUP(G482,Proyectos!$A$2:$S$674,19,0))</f>
        <v>#NAME?</v>
      </c>
      <c r="O482" s="31"/>
      <c r="P482" s="33"/>
      <c r="Q482" s="33"/>
      <c r="R482" s="33"/>
      <c r="S482" s="33"/>
      <c r="T482" s="33"/>
      <c r="U482" s="33"/>
      <c r="V482" s="33"/>
      <c r="W482" s="33"/>
    </row>
    <row r="483" spans="1:23" ht="16.5" customHeight="1" x14ac:dyDescent="0.2">
      <c r="A483" s="26" t="s">
        <v>4167</v>
      </c>
      <c r="B483" s="26" t="s">
        <v>4168</v>
      </c>
      <c r="C483" s="66" t="s">
        <v>98</v>
      </c>
      <c r="D483" s="66" t="s">
        <v>110</v>
      </c>
      <c r="E483" s="66" t="s">
        <v>129</v>
      </c>
      <c r="F483" s="28" t="e">
        <f ca="1">_xludf.ifna(VLOOKUP(G483,Proyectos!$A$2:$F$674,6,0),"")</f>
        <v>#NAME?</v>
      </c>
      <c r="G483" s="66" t="s">
        <v>5241</v>
      </c>
      <c r="H483" s="32">
        <v>1</v>
      </c>
      <c r="I483" s="31" t="s">
        <v>18</v>
      </c>
      <c r="J483" s="67" t="s">
        <v>19</v>
      </c>
      <c r="K483" s="32" t="str">
        <f t="shared" si="3"/>
        <v>Externo</v>
      </c>
      <c r="L483" s="32" t="e">
        <f ca="1">_xludf.ifna(VLOOKUP(E483,Parámetros!$D$2:$E$34,2,0),"")</f>
        <v>#NAME?</v>
      </c>
      <c r="M483" s="32" t="e">
        <f ca="1">_xludf.ifna(VLOOKUP(G483,Proyectos!$A$2:$T$674,20,0),"")</f>
        <v>#NAME?</v>
      </c>
      <c r="N483" s="32" t="e">
        <f ca="1">_xludf.ifna(VLOOKUP(G483,Proyectos!$A$2:$S$674,19,0))</f>
        <v>#NAME?</v>
      </c>
      <c r="O483" s="31"/>
      <c r="P483" s="33"/>
      <c r="Q483" s="33"/>
      <c r="R483" s="33"/>
      <c r="S483" s="33"/>
      <c r="T483" s="33"/>
      <c r="U483" s="33"/>
      <c r="V483" s="33"/>
      <c r="W483" s="33"/>
    </row>
    <row r="484" spans="1:23" ht="16.5" customHeight="1" x14ac:dyDescent="0.2">
      <c r="A484" s="26" t="s">
        <v>4342</v>
      </c>
      <c r="B484" s="26" t="s">
        <v>4343</v>
      </c>
      <c r="C484" s="66" t="s">
        <v>98</v>
      </c>
      <c r="D484" s="66" t="s">
        <v>110</v>
      </c>
      <c r="E484" s="66" t="s">
        <v>83</v>
      </c>
      <c r="F484" s="28" t="e">
        <f ca="1">_xludf.ifna(VLOOKUP(G484,Proyectos!$A$2:$F$674,6,0),"")</f>
        <v>#NAME?</v>
      </c>
      <c r="G484" s="66" t="s">
        <v>5241</v>
      </c>
      <c r="H484" s="32">
        <v>1</v>
      </c>
      <c r="I484" s="31" t="s">
        <v>25</v>
      </c>
      <c r="J484" s="67" t="s">
        <v>19</v>
      </c>
      <c r="K484" s="32" t="str">
        <f t="shared" si="3"/>
        <v>Externo</v>
      </c>
      <c r="L484" s="32" t="e">
        <f ca="1">_xludf.ifna(VLOOKUP(E484,Parámetros!$D$2:$E$34,2,0),"")</f>
        <v>#NAME?</v>
      </c>
      <c r="M484" s="32" t="e">
        <f ca="1">_xludf.ifna(VLOOKUP(G484,Proyectos!$A$2:$T$674,20,0),"")</f>
        <v>#NAME?</v>
      </c>
      <c r="N484" s="32" t="e">
        <f ca="1">_xludf.ifna(VLOOKUP(G484,Proyectos!$A$2:$S$674,19,0))</f>
        <v>#NAME?</v>
      </c>
      <c r="O484" s="31"/>
      <c r="P484" s="33"/>
      <c r="Q484" s="33"/>
      <c r="R484" s="33"/>
      <c r="S484" s="33"/>
      <c r="T484" s="33"/>
      <c r="U484" s="33"/>
      <c r="V484" s="33"/>
      <c r="W484" s="33"/>
    </row>
    <row r="485" spans="1:23" ht="16.5" customHeight="1" x14ac:dyDescent="0.2">
      <c r="A485" s="26" t="s">
        <v>4229</v>
      </c>
      <c r="B485" s="26" t="s">
        <v>4230</v>
      </c>
      <c r="C485" s="66" t="s">
        <v>98</v>
      </c>
      <c r="D485" s="66" t="s">
        <v>110</v>
      </c>
      <c r="E485" s="66" t="s">
        <v>126</v>
      </c>
      <c r="F485" s="28" t="e">
        <f ca="1">_xludf.ifna(VLOOKUP(G485,Proyectos!$A$2:$F$674,6,0),"")</f>
        <v>#NAME?</v>
      </c>
      <c r="G485" s="66" t="s">
        <v>5243</v>
      </c>
      <c r="H485" s="32">
        <v>1</v>
      </c>
      <c r="I485" s="31" t="s">
        <v>18</v>
      </c>
      <c r="J485" s="67" t="s">
        <v>19</v>
      </c>
      <c r="K485" s="32" t="str">
        <f t="shared" si="3"/>
        <v>Externo</v>
      </c>
      <c r="L485" s="32" t="e">
        <f ca="1">_xludf.ifna(VLOOKUP(E485,Parámetros!$D$2:$E$34,2,0),"")</f>
        <v>#NAME?</v>
      </c>
      <c r="M485" s="32" t="e">
        <f ca="1">_xludf.ifna(VLOOKUP(G485,Proyectos!$A$2:$T$674,20,0),"")</f>
        <v>#NAME?</v>
      </c>
      <c r="N485" s="32" t="e">
        <f ca="1">_xludf.ifna(VLOOKUP(G485,Proyectos!$A$2:$S$674,19,0))</f>
        <v>#NAME?</v>
      </c>
      <c r="O485" s="31"/>
      <c r="P485" s="33"/>
      <c r="Q485" s="33"/>
      <c r="R485" s="33"/>
      <c r="S485" s="33"/>
      <c r="T485" s="33"/>
      <c r="U485" s="33"/>
      <c r="V485" s="33"/>
      <c r="W485" s="33"/>
    </row>
    <row r="486" spans="1:23" ht="16.5" customHeight="1" x14ac:dyDescent="0.2">
      <c r="A486" s="26" t="s">
        <v>3856</v>
      </c>
      <c r="B486" s="26" t="s">
        <v>3857</v>
      </c>
      <c r="C486" s="66" t="s">
        <v>98</v>
      </c>
      <c r="D486" s="66" t="s">
        <v>110</v>
      </c>
      <c r="E486" s="66" t="s">
        <v>39</v>
      </c>
      <c r="F486" s="28" t="e">
        <f ca="1">_xludf.ifna(VLOOKUP(G486,Proyectos!$A$2:$F$674,6,0),"")</f>
        <v>#NAME?</v>
      </c>
      <c r="G486" s="66" t="s">
        <v>5240</v>
      </c>
      <c r="H486" s="32">
        <v>1</v>
      </c>
      <c r="I486" s="31" t="s">
        <v>18</v>
      </c>
      <c r="J486" s="67" t="s">
        <v>12</v>
      </c>
      <c r="K486" s="32" t="str">
        <f t="shared" si="3"/>
        <v>Interno</v>
      </c>
      <c r="L486" s="32" t="e">
        <f ca="1">_xludf.ifna(VLOOKUP(E486,Parámetros!$D$2:$E$34,2,0),"")</f>
        <v>#NAME?</v>
      </c>
      <c r="M486" s="32" t="e">
        <f ca="1">_xludf.ifna(VLOOKUP(G486,Proyectos!$A$2:$T$674,20,0),"")</f>
        <v>#NAME?</v>
      </c>
      <c r="N486" s="32" t="e">
        <f ca="1">_xludf.ifna(VLOOKUP(G486,Proyectos!$A$2:$S$674,19,0))</f>
        <v>#NAME?</v>
      </c>
      <c r="O486" s="31"/>
      <c r="P486" s="33"/>
      <c r="Q486" s="33"/>
      <c r="R486" s="33"/>
      <c r="S486" s="33"/>
      <c r="T486" s="33"/>
      <c r="U486" s="33"/>
      <c r="V486" s="33"/>
      <c r="W486" s="33"/>
    </row>
    <row r="487" spans="1:23" ht="16.5" customHeight="1" x14ac:dyDescent="0.2">
      <c r="A487" s="26" t="s">
        <v>5011</v>
      </c>
      <c r="B487" s="26" t="s">
        <v>5012</v>
      </c>
      <c r="C487" s="66" t="s">
        <v>98</v>
      </c>
      <c r="D487" s="66" t="s">
        <v>110</v>
      </c>
      <c r="E487" s="66" t="s">
        <v>106</v>
      </c>
      <c r="F487" s="28" t="e">
        <f ca="1">_xludf.ifna(VLOOKUP(G487,Proyectos!$A$2:$F$674,6,0),"")</f>
        <v>#NAME?</v>
      </c>
      <c r="G487" s="66" t="s">
        <v>5241</v>
      </c>
      <c r="H487" s="32">
        <v>1</v>
      </c>
      <c r="I487" s="31" t="s">
        <v>18</v>
      </c>
      <c r="J487" s="67" t="s">
        <v>12</v>
      </c>
      <c r="K487" s="32" t="str">
        <f t="shared" si="3"/>
        <v>Externo</v>
      </c>
      <c r="L487" s="32" t="e">
        <f ca="1">_xludf.ifna(VLOOKUP(E487,Parámetros!$D$2:$E$34,2,0),"")</f>
        <v>#NAME?</v>
      </c>
      <c r="M487" s="32" t="e">
        <f ca="1">_xludf.ifna(VLOOKUP(G487,Proyectos!$A$2:$T$674,20,0),"")</f>
        <v>#NAME?</v>
      </c>
      <c r="N487" s="32" t="e">
        <f ca="1">_xludf.ifna(VLOOKUP(G487,Proyectos!$A$2:$S$674,19,0))</f>
        <v>#NAME?</v>
      </c>
      <c r="O487" s="31"/>
      <c r="P487" s="33"/>
      <c r="Q487" s="33"/>
      <c r="R487" s="33"/>
      <c r="S487" s="33"/>
      <c r="T487" s="33"/>
      <c r="U487" s="33"/>
      <c r="V487" s="33"/>
      <c r="W487" s="33"/>
    </row>
    <row r="488" spans="1:23" ht="16.5" customHeight="1" x14ac:dyDescent="0.2">
      <c r="A488" s="26" t="s">
        <v>4092</v>
      </c>
      <c r="B488" s="26" t="s">
        <v>4093</v>
      </c>
      <c r="C488" s="66" t="s">
        <v>98</v>
      </c>
      <c r="D488" s="66" t="s">
        <v>110</v>
      </c>
      <c r="E488" s="66" t="s">
        <v>106</v>
      </c>
      <c r="F488" s="28" t="e">
        <f ca="1">_xludf.ifna(VLOOKUP(G488,Proyectos!$A$2:$F$674,6,0),"")</f>
        <v>#NAME?</v>
      </c>
      <c r="G488" s="66" t="s">
        <v>5241</v>
      </c>
      <c r="H488" s="32">
        <v>1</v>
      </c>
      <c r="I488" s="31" t="s">
        <v>18</v>
      </c>
      <c r="J488" s="67" t="s">
        <v>19</v>
      </c>
      <c r="K488" s="32" t="str">
        <f t="shared" si="3"/>
        <v>Externo</v>
      </c>
      <c r="L488" s="32" t="e">
        <f ca="1">_xludf.ifna(VLOOKUP(E488,Parámetros!$D$2:$E$34,2,0),"")</f>
        <v>#NAME?</v>
      </c>
      <c r="M488" s="32" t="e">
        <f ca="1">_xludf.ifna(VLOOKUP(G488,Proyectos!$A$2:$T$674,20,0),"")</f>
        <v>#NAME?</v>
      </c>
      <c r="N488" s="32" t="e">
        <f ca="1">_xludf.ifna(VLOOKUP(G488,Proyectos!$A$2:$S$674,19,0))</f>
        <v>#NAME?</v>
      </c>
      <c r="O488" s="31"/>
      <c r="P488" s="33"/>
      <c r="Q488" s="33"/>
      <c r="R488" s="33"/>
      <c r="S488" s="33"/>
      <c r="T488" s="33"/>
      <c r="U488" s="33"/>
      <c r="V488" s="33"/>
      <c r="W488" s="33"/>
    </row>
    <row r="489" spans="1:23" ht="16.5" customHeight="1" x14ac:dyDescent="0.2">
      <c r="A489" s="26" t="s">
        <v>5088</v>
      </c>
      <c r="B489" s="26" t="s">
        <v>5089</v>
      </c>
      <c r="C489" s="66" t="s">
        <v>98</v>
      </c>
      <c r="D489" s="66" t="s">
        <v>110</v>
      </c>
      <c r="E489" s="66" t="s">
        <v>129</v>
      </c>
      <c r="F489" s="28" t="e">
        <f ca="1">_xludf.ifna(VLOOKUP(G489,Proyectos!$A$2:$F$674,6,0),"")</f>
        <v>#NAME?</v>
      </c>
      <c r="G489" s="66" t="s">
        <v>5244</v>
      </c>
      <c r="H489" s="32">
        <v>1</v>
      </c>
      <c r="I489" s="31" t="s">
        <v>18</v>
      </c>
      <c r="J489" s="67" t="s">
        <v>61</v>
      </c>
      <c r="K489" s="31" t="s">
        <v>10</v>
      </c>
      <c r="L489" s="32" t="e">
        <f ca="1">_xludf.ifna(VLOOKUP(E489,Parámetros!$D$2:$E$34,2,0),"")</f>
        <v>#NAME?</v>
      </c>
      <c r="M489" s="32" t="e">
        <f ca="1">_xludf.ifna(VLOOKUP(G489,Proyectos!$A$2:$T$674,20,0),"")</f>
        <v>#NAME?</v>
      </c>
      <c r="N489" s="32" t="e">
        <f ca="1">_xludf.ifna(VLOOKUP(G489,Proyectos!$A$2:$S$674,19,0))</f>
        <v>#NAME?</v>
      </c>
      <c r="O489" s="31"/>
      <c r="P489" s="33"/>
      <c r="Q489" s="33"/>
      <c r="R489" s="33"/>
      <c r="S489" s="33"/>
      <c r="T489" s="33"/>
      <c r="U489" s="33"/>
      <c r="V489" s="33"/>
      <c r="W489" s="33"/>
    </row>
    <row r="490" spans="1:23" ht="16.5" customHeight="1" x14ac:dyDescent="0.2">
      <c r="A490" s="26" t="s">
        <v>5080</v>
      </c>
      <c r="B490" s="26" t="s">
        <v>5081</v>
      </c>
      <c r="C490" s="66" t="s">
        <v>98</v>
      </c>
      <c r="D490" s="66" t="s">
        <v>110</v>
      </c>
      <c r="E490" s="66" t="s">
        <v>106</v>
      </c>
      <c r="F490" s="28" t="e">
        <f ca="1">_xludf.ifna(VLOOKUP(G490,Proyectos!$A$2:$F$674,6,0),"")</f>
        <v>#NAME?</v>
      </c>
      <c r="G490" s="66" t="s">
        <v>5241</v>
      </c>
      <c r="H490" s="32">
        <v>1</v>
      </c>
      <c r="I490" s="31" t="s">
        <v>18</v>
      </c>
      <c r="J490" s="67" t="s">
        <v>26</v>
      </c>
      <c r="K490" s="32" t="str">
        <f t="shared" ref="K490:K500" si="4">IF(E490="BBVA","Interno","Externo")</f>
        <v>Externo</v>
      </c>
      <c r="L490" s="32" t="e">
        <f ca="1">_xludf.ifna(VLOOKUP(E490,Parámetros!$D$2:$E$34,2,0),"")</f>
        <v>#NAME?</v>
      </c>
      <c r="M490" s="32" t="e">
        <f ca="1">_xludf.ifna(VLOOKUP(G490,Proyectos!$A$2:$T$674,20,0),"")</f>
        <v>#NAME?</v>
      </c>
      <c r="N490" s="32" t="e">
        <f ca="1">_xludf.ifna(VLOOKUP(G490,Proyectos!$A$2:$S$674,19,0))</f>
        <v>#NAME?</v>
      </c>
      <c r="O490" s="31"/>
      <c r="P490" s="33"/>
      <c r="Q490" s="33"/>
      <c r="R490" s="33"/>
      <c r="S490" s="33"/>
      <c r="T490" s="33"/>
      <c r="U490" s="33"/>
      <c r="V490" s="33"/>
      <c r="W490" s="33"/>
    </row>
    <row r="491" spans="1:23" ht="16.5" customHeight="1" x14ac:dyDescent="0.2">
      <c r="A491" s="26" t="s">
        <v>3916</v>
      </c>
      <c r="B491" s="26" t="s">
        <v>3917</v>
      </c>
      <c r="C491" s="66" t="s">
        <v>98</v>
      </c>
      <c r="D491" s="66" t="s">
        <v>110</v>
      </c>
      <c r="E491" s="66" t="s">
        <v>108</v>
      </c>
      <c r="F491" s="28" t="e">
        <f ca="1">_xludf.ifna(VLOOKUP(G491,Proyectos!$A$2:$F$674,6,0),"")</f>
        <v>#NAME?</v>
      </c>
      <c r="G491" s="66" t="s">
        <v>5240</v>
      </c>
      <c r="H491" s="32">
        <v>1</v>
      </c>
      <c r="I491" s="31" t="s">
        <v>18</v>
      </c>
      <c r="J491" s="67" t="s">
        <v>41</v>
      </c>
      <c r="K491" s="32" t="str">
        <f t="shared" si="4"/>
        <v>Externo</v>
      </c>
      <c r="L491" s="32" t="e">
        <f ca="1">_xludf.ifna(VLOOKUP(E491,Parámetros!$D$2:$E$34,2,0),"")</f>
        <v>#NAME?</v>
      </c>
      <c r="M491" s="32" t="e">
        <f ca="1">_xludf.ifna(VLOOKUP(G491,Proyectos!$A$2:$T$674,20,0),"")</f>
        <v>#NAME?</v>
      </c>
      <c r="N491" s="32" t="e">
        <f ca="1">_xludf.ifna(VLOOKUP(G491,Proyectos!$A$2:$S$674,19,0))</f>
        <v>#NAME?</v>
      </c>
      <c r="O491" s="31"/>
      <c r="P491" s="33"/>
      <c r="Q491" s="33"/>
      <c r="R491" s="33"/>
      <c r="S491" s="33"/>
      <c r="T491" s="33"/>
      <c r="U491" s="33"/>
      <c r="V491" s="33"/>
      <c r="W491" s="33"/>
    </row>
    <row r="492" spans="1:23" ht="16.5" customHeight="1" x14ac:dyDescent="0.2">
      <c r="A492" s="26" t="s">
        <v>3380</v>
      </c>
      <c r="B492" s="26" t="s">
        <v>3381</v>
      </c>
      <c r="C492" s="66" t="s">
        <v>98</v>
      </c>
      <c r="D492" s="66" t="s">
        <v>110</v>
      </c>
      <c r="E492" s="66" t="s">
        <v>39</v>
      </c>
      <c r="F492" s="28" t="e">
        <f ca="1">_xludf.ifna(VLOOKUP(G492,Proyectos!$A$2:$F$674,6,0),"")</f>
        <v>#NAME?</v>
      </c>
      <c r="G492" s="66" t="s">
        <v>5240</v>
      </c>
      <c r="H492" s="32">
        <v>0.5</v>
      </c>
      <c r="I492" s="31" t="s">
        <v>11</v>
      </c>
      <c r="J492" s="67" t="s">
        <v>61</v>
      </c>
      <c r="K492" s="32" t="str">
        <f t="shared" si="4"/>
        <v>Interno</v>
      </c>
      <c r="L492" s="32" t="e">
        <f ca="1">_xludf.ifna(VLOOKUP(E492,Parámetros!$D$2:$E$34,2,0),"")</f>
        <v>#NAME?</v>
      </c>
      <c r="M492" s="32" t="e">
        <f ca="1">_xludf.ifna(VLOOKUP(G492,Proyectos!$A$2:$T$674,20,0),"")</f>
        <v>#NAME?</v>
      </c>
      <c r="N492" s="32" t="e">
        <f ca="1">_xludf.ifna(VLOOKUP(G492,Proyectos!$A$2:$S$674,19,0))</f>
        <v>#NAME?</v>
      </c>
      <c r="O492" s="31"/>
      <c r="P492" s="33"/>
      <c r="Q492" s="33"/>
      <c r="R492" s="33"/>
      <c r="S492" s="33"/>
      <c r="T492" s="33"/>
      <c r="U492" s="33"/>
      <c r="V492" s="33"/>
      <c r="W492" s="33"/>
    </row>
    <row r="493" spans="1:23" ht="16.5" customHeight="1" x14ac:dyDescent="0.2">
      <c r="A493" s="26" t="s">
        <v>3380</v>
      </c>
      <c r="B493" s="26" t="s">
        <v>3381</v>
      </c>
      <c r="C493" s="66" t="s">
        <v>98</v>
      </c>
      <c r="D493" s="66" t="s">
        <v>110</v>
      </c>
      <c r="E493" s="66" t="s">
        <v>39</v>
      </c>
      <c r="F493" s="28" t="e">
        <f ca="1">_xludf.ifna(VLOOKUP(G493,Proyectos!$A$2:$F$674,6,0),"")</f>
        <v>#NAME?</v>
      </c>
      <c r="G493" s="66" t="s">
        <v>5242</v>
      </c>
      <c r="H493" s="32">
        <v>0.5</v>
      </c>
      <c r="I493" s="31" t="s">
        <v>11</v>
      </c>
      <c r="J493" s="67" t="s">
        <v>61</v>
      </c>
      <c r="K493" s="32" t="str">
        <f t="shared" si="4"/>
        <v>Interno</v>
      </c>
      <c r="L493" s="32" t="e">
        <f ca="1">_xludf.ifna(VLOOKUP(E493,Parámetros!$D$2:$E$34,2,0),"")</f>
        <v>#NAME?</v>
      </c>
      <c r="M493" s="32" t="e">
        <f ca="1">_xludf.ifna(VLOOKUP(G493,Proyectos!$A$2:$T$674,20,0),"")</f>
        <v>#NAME?</v>
      </c>
      <c r="N493" s="32" t="e">
        <f ca="1">_xludf.ifna(VLOOKUP(G493,Proyectos!$A$2:$S$674,19,0))</f>
        <v>#NAME?</v>
      </c>
      <c r="O493" s="31"/>
      <c r="P493" s="33"/>
      <c r="Q493" s="33"/>
      <c r="R493" s="33"/>
      <c r="S493" s="33"/>
      <c r="T493" s="33"/>
      <c r="U493" s="33"/>
      <c r="V493" s="33"/>
      <c r="W493" s="33"/>
    </row>
    <row r="494" spans="1:23" ht="16.5" customHeight="1" x14ac:dyDescent="0.2">
      <c r="A494" s="26" t="s">
        <v>3922</v>
      </c>
      <c r="B494" s="26" t="s">
        <v>3923</v>
      </c>
      <c r="C494" s="66" t="s">
        <v>98</v>
      </c>
      <c r="D494" s="66" t="s">
        <v>110</v>
      </c>
      <c r="E494" s="66" t="s">
        <v>87</v>
      </c>
      <c r="F494" s="28" t="e">
        <f ca="1">_xludf.ifna(VLOOKUP(G494,Proyectos!$A$2:$F$674,6,0),"")</f>
        <v>#NAME?</v>
      </c>
      <c r="G494" s="66" t="s">
        <v>5244</v>
      </c>
      <c r="H494" s="32">
        <v>0.5</v>
      </c>
      <c r="I494" s="31" t="s">
        <v>25</v>
      </c>
      <c r="J494" s="67" t="s">
        <v>41</v>
      </c>
      <c r="K494" s="32" t="str">
        <f t="shared" si="4"/>
        <v>Externo</v>
      </c>
      <c r="L494" s="32" t="e">
        <f ca="1">_xludf.ifna(VLOOKUP(E494,Parámetros!$D$2:$E$34,2,0),"")</f>
        <v>#NAME?</v>
      </c>
      <c r="M494" s="32" t="e">
        <f ca="1">_xludf.ifna(VLOOKUP(G494,Proyectos!$A$2:$T$674,20,0),"")</f>
        <v>#NAME?</v>
      </c>
      <c r="N494" s="32" t="e">
        <f ca="1">_xludf.ifna(VLOOKUP(G494,Proyectos!$A$2:$S$674,19,0))</f>
        <v>#NAME?</v>
      </c>
      <c r="O494" s="31"/>
      <c r="P494" s="33"/>
      <c r="Q494" s="33"/>
      <c r="R494" s="33"/>
      <c r="S494" s="33"/>
      <c r="T494" s="33"/>
      <c r="U494" s="33"/>
      <c r="V494" s="33"/>
      <c r="W494" s="33"/>
    </row>
    <row r="495" spans="1:23" ht="16.5" customHeight="1" x14ac:dyDescent="0.2">
      <c r="A495" s="26" t="s">
        <v>3922</v>
      </c>
      <c r="B495" s="26" t="s">
        <v>3923</v>
      </c>
      <c r="C495" s="66" t="s">
        <v>98</v>
      </c>
      <c r="D495" s="66" t="s">
        <v>110</v>
      </c>
      <c r="E495" s="66" t="s">
        <v>87</v>
      </c>
      <c r="F495" s="28" t="e">
        <f ca="1">_xludf.ifna(VLOOKUP(G495,Proyectos!$A$2:$F$674,6,0),"")</f>
        <v>#NAME?</v>
      </c>
      <c r="G495" s="66" t="s">
        <v>5243</v>
      </c>
      <c r="H495" s="32">
        <v>0.5</v>
      </c>
      <c r="I495" s="31" t="s">
        <v>25</v>
      </c>
      <c r="J495" s="67" t="s">
        <v>41</v>
      </c>
      <c r="K495" s="32" t="str">
        <f t="shared" si="4"/>
        <v>Externo</v>
      </c>
      <c r="L495" s="32" t="e">
        <f ca="1">_xludf.ifna(VLOOKUP(E495,Parámetros!$D$2:$E$34,2,0),"")</f>
        <v>#NAME?</v>
      </c>
      <c r="M495" s="32" t="e">
        <f ca="1">_xludf.ifna(VLOOKUP(G495,Proyectos!$A$2:$T$674,20,0),"")</f>
        <v>#NAME?</v>
      </c>
      <c r="N495" s="32" t="e">
        <f ca="1">_xludf.ifna(VLOOKUP(G495,Proyectos!$A$2:$S$674,19,0))</f>
        <v>#NAME?</v>
      </c>
      <c r="O495" s="31"/>
      <c r="P495" s="33"/>
      <c r="Q495" s="33"/>
      <c r="R495" s="33"/>
      <c r="S495" s="33"/>
      <c r="T495" s="33"/>
      <c r="U495" s="33"/>
      <c r="V495" s="33"/>
      <c r="W495" s="33"/>
    </row>
    <row r="496" spans="1:23" ht="16.5" customHeight="1" x14ac:dyDescent="0.2">
      <c r="A496" s="49" t="s">
        <v>5098</v>
      </c>
      <c r="B496" s="26" t="s">
        <v>5099</v>
      </c>
      <c r="C496" s="66" t="s">
        <v>98</v>
      </c>
      <c r="D496" s="66" t="s">
        <v>110</v>
      </c>
      <c r="E496" s="66" t="s">
        <v>106</v>
      </c>
      <c r="F496" s="28" t="e">
        <f ca="1">_xludf.ifna(VLOOKUP(G496,Proyectos!$A$2:$F$674,6,0),"")</f>
        <v>#NAME?</v>
      </c>
      <c r="G496" s="66" t="s">
        <v>5241</v>
      </c>
      <c r="H496" s="32">
        <v>1</v>
      </c>
      <c r="I496" s="31" t="s">
        <v>18</v>
      </c>
      <c r="J496" s="67" t="s">
        <v>26</v>
      </c>
      <c r="K496" s="32" t="str">
        <f t="shared" si="4"/>
        <v>Externo</v>
      </c>
      <c r="L496" s="32" t="e">
        <f ca="1">_xludf.ifna(VLOOKUP(E496,Parámetros!$D$2:$E$34,2,0),"")</f>
        <v>#NAME?</v>
      </c>
      <c r="M496" s="32" t="e">
        <f ca="1">_xludf.ifna(VLOOKUP(G496,Proyectos!$A$2:$T$674,20,0),"")</f>
        <v>#NAME?</v>
      </c>
      <c r="N496" s="32" t="e">
        <f ca="1">_xludf.ifna(VLOOKUP(G496,Proyectos!$A$2:$S$674,19,0))</f>
        <v>#NAME?</v>
      </c>
      <c r="O496" s="31"/>
      <c r="P496" s="33"/>
      <c r="Q496" s="33"/>
      <c r="R496" s="33"/>
      <c r="S496" s="33"/>
      <c r="T496" s="33"/>
      <c r="U496" s="33"/>
      <c r="V496" s="33"/>
      <c r="W496" s="33"/>
    </row>
    <row r="497" spans="1:23" ht="16.5" customHeight="1" x14ac:dyDescent="0.2">
      <c r="A497" s="26" t="s">
        <v>4472</v>
      </c>
      <c r="B497" s="26" t="s">
        <v>4473</v>
      </c>
      <c r="C497" s="66" t="s">
        <v>98</v>
      </c>
      <c r="D497" s="66" t="s">
        <v>110</v>
      </c>
      <c r="E497" s="66" t="s">
        <v>126</v>
      </c>
      <c r="F497" s="28" t="e">
        <f ca="1">_xludf.ifna(VLOOKUP(G497,Proyectos!$A$2:$F$674,6,0),"")</f>
        <v>#NAME?</v>
      </c>
      <c r="G497" s="66" t="s">
        <v>5240</v>
      </c>
      <c r="H497" s="32">
        <v>1</v>
      </c>
      <c r="I497" s="31" t="s">
        <v>18</v>
      </c>
      <c r="J497" s="67" t="s">
        <v>12</v>
      </c>
      <c r="K497" s="32" t="str">
        <f t="shared" si="4"/>
        <v>Externo</v>
      </c>
      <c r="L497" s="32" t="e">
        <f ca="1">_xludf.ifna(VLOOKUP(E497,Parámetros!$D$2:$E$34,2,0),"")</f>
        <v>#NAME?</v>
      </c>
      <c r="M497" s="32" t="e">
        <f ca="1">_xludf.ifna(VLOOKUP(G497,Proyectos!$A$2:$T$674,20,0),"")</f>
        <v>#NAME?</v>
      </c>
      <c r="N497" s="32" t="e">
        <f ca="1">_xludf.ifna(VLOOKUP(G497,Proyectos!$A$2:$S$674,19,0))</f>
        <v>#NAME?</v>
      </c>
      <c r="O497" s="31"/>
      <c r="P497" s="33"/>
      <c r="Q497" s="33"/>
      <c r="R497" s="33"/>
      <c r="S497" s="33"/>
      <c r="T497" s="33"/>
      <c r="U497" s="33"/>
      <c r="V497" s="33"/>
      <c r="W497" s="33"/>
    </row>
    <row r="498" spans="1:23" ht="16.5" customHeight="1" x14ac:dyDescent="0.2">
      <c r="A498" s="26" t="s">
        <v>5035</v>
      </c>
      <c r="B498" s="26" t="s">
        <v>5036</v>
      </c>
      <c r="C498" s="66" t="s">
        <v>98</v>
      </c>
      <c r="D498" s="66" t="s">
        <v>110</v>
      </c>
      <c r="E498" s="66" t="s">
        <v>87</v>
      </c>
      <c r="F498" s="28" t="e">
        <f ca="1">_xludf.ifna(VLOOKUP(G498,Proyectos!$A$2:$F$674,6,0),"")</f>
        <v>#NAME?</v>
      </c>
      <c r="G498" s="66" t="s">
        <v>5241</v>
      </c>
      <c r="H498" s="32">
        <v>1</v>
      </c>
      <c r="I498" s="31" t="s">
        <v>18</v>
      </c>
      <c r="J498" s="67" t="s">
        <v>41</v>
      </c>
      <c r="K498" s="32" t="str">
        <f t="shared" si="4"/>
        <v>Externo</v>
      </c>
      <c r="L498" s="32" t="e">
        <f ca="1">_xludf.ifna(VLOOKUP(E498,Parámetros!$D$2:$E$34,2,0),"")</f>
        <v>#NAME?</v>
      </c>
      <c r="M498" s="32" t="e">
        <f ca="1">_xludf.ifna(VLOOKUP(G498,Proyectos!$A$2:$T$674,20,0),"")</f>
        <v>#NAME?</v>
      </c>
      <c r="N498" s="32" t="e">
        <f ca="1">_xludf.ifna(VLOOKUP(G498,Proyectos!$A$2:$S$674,19,0))</f>
        <v>#NAME?</v>
      </c>
      <c r="O498" s="31"/>
      <c r="P498" s="33"/>
      <c r="Q498" s="33"/>
      <c r="R498" s="33"/>
      <c r="S498" s="33"/>
      <c r="T498" s="33"/>
      <c r="U498" s="33"/>
      <c r="V498" s="33"/>
      <c r="W498" s="33"/>
    </row>
    <row r="499" spans="1:23" ht="16.5" customHeight="1" x14ac:dyDescent="0.2">
      <c r="A499" s="26" t="s">
        <v>3880</v>
      </c>
      <c r="B499" s="26" t="s">
        <v>3881</v>
      </c>
      <c r="C499" s="66" t="s">
        <v>98</v>
      </c>
      <c r="D499" s="66" t="s">
        <v>110</v>
      </c>
      <c r="E499" s="66" t="s">
        <v>39</v>
      </c>
      <c r="F499" s="28" t="e">
        <f ca="1">_xludf.ifna(VLOOKUP(G499,Proyectos!$A$2:$F$674,6,0),"")</f>
        <v>#NAME?</v>
      </c>
      <c r="G499" s="66" t="s">
        <v>5241</v>
      </c>
      <c r="H499" s="32">
        <v>1</v>
      </c>
      <c r="I499" s="31" t="s">
        <v>18</v>
      </c>
      <c r="J499" s="67" t="s">
        <v>12</v>
      </c>
      <c r="K499" s="32" t="str">
        <f t="shared" si="4"/>
        <v>Interno</v>
      </c>
      <c r="L499" s="32" t="e">
        <f ca="1">_xludf.ifna(VLOOKUP(E499,Parámetros!$D$2:$E$34,2,0),"")</f>
        <v>#NAME?</v>
      </c>
      <c r="M499" s="32" t="e">
        <f ca="1">_xludf.ifna(VLOOKUP(G499,Proyectos!$A$2:$T$674,20,0),"")</f>
        <v>#NAME?</v>
      </c>
      <c r="N499" s="32" t="e">
        <f ca="1">_xludf.ifna(VLOOKUP(G499,Proyectos!$A$2:$S$674,19,0))</f>
        <v>#NAME?</v>
      </c>
      <c r="O499" s="31"/>
      <c r="P499" s="33"/>
      <c r="Q499" s="33"/>
      <c r="R499" s="33"/>
      <c r="S499" s="33"/>
      <c r="T499" s="33"/>
      <c r="U499" s="33"/>
      <c r="V499" s="33"/>
      <c r="W499" s="33"/>
    </row>
    <row r="500" spans="1:23" ht="16.5" customHeight="1" x14ac:dyDescent="0.2">
      <c r="A500" s="26" t="s">
        <v>3741</v>
      </c>
      <c r="B500" s="26" t="s">
        <v>3742</v>
      </c>
      <c r="C500" s="66" t="s">
        <v>98</v>
      </c>
      <c r="D500" s="66" t="s">
        <v>110</v>
      </c>
      <c r="E500" s="66" t="s">
        <v>39</v>
      </c>
      <c r="F500" s="28" t="e">
        <f ca="1">_xludf.ifna(VLOOKUP(G500,Proyectos!$A$2:$F$674,6,0),"")</f>
        <v>#NAME?</v>
      </c>
      <c r="G500" s="66" t="s">
        <v>5241</v>
      </c>
      <c r="H500" s="32">
        <v>1</v>
      </c>
      <c r="I500" s="31" t="s">
        <v>11</v>
      </c>
      <c r="J500" s="67" t="s">
        <v>19</v>
      </c>
      <c r="K500" s="32" t="str">
        <f t="shared" si="4"/>
        <v>Interno</v>
      </c>
      <c r="L500" s="32" t="e">
        <f ca="1">_xludf.ifna(VLOOKUP(E500,Parámetros!$D$2:$E$34,2,0),"")</f>
        <v>#NAME?</v>
      </c>
      <c r="M500" s="32" t="e">
        <f ca="1">_xludf.ifna(VLOOKUP(G500,Proyectos!$A$2:$T$674,20,0),"")</f>
        <v>#NAME?</v>
      </c>
      <c r="N500" s="32" t="e">
        <f ca="1">_xludf.ifna(VLOOKUP(G500,Proyectos!$A$2:$S$674,19,0))</f>
        <v>#NAME?</v>
      </c>
      <c r="O500" s="31"/>
      <c r="P500" s="33"/>
      <c r="Q500" s="33"/>
      <c r="R500" s="33"/>
      <c r="S500" s="33"/>
      <c r="T500" s="33"/>
      <c r="U500" s="33"/>
      <c r="V500" s="33"/>
      <c r="W500" s="33"/>
    </row>
    <row r="501" spans="1:23" ht="17.25" customHeight="1" x14ac:dyDescent="0.2">
      <c r="A501" s="26" t="s">
        <v>3544</v>
      </c>
      <c r="B501" s="26" t="s">
        <v>3545</v>
      </c>
      <c r="C501" s="66" t="s">
        <v>98</v>
      </c>
      <c r="D501" s="66" t="s">
        <v>110</v>
      </c>
      <c r="E501" s="66" t="s">
        <v>39</v>
      </c>
      <c r="F501" s="28" t="e">
        <f ca="1">_xludf.ifna(VLOOKUP(G501,Proyectos!$A$2:$F$674,6,0),"")</f>
        <v>#NAME?</v>
      </c>
      <c r="G501" s="66" t="s">
        <v>5244</v>
      </c>
      <c r="H501" s="32">
        <v>1</v>
      </c>
      <c r="I501" s="31" t="s">
        <v>11</v>
      </c>
      <c r="J501" s="67" t="s">
        <v>61</v>
      </c>
      <c r="K501" s="32" t="s">
        <v>40</v>
      </c>
      <c r="L501" s="32" t="e">
        <f ca="1">_xludf.ifna(VLOOKUP(E501,Parámetros!$D$2:$E$34,2,0),"")</f>
        <v>#NAME?</v>
      </c>
      <c r="M501" s="32" t="e">
        <f ca="1">_xludf.ifna(VLOOKUP(G501,Proyectos!$A$2:$T$674,20,0),"")</f>
        <v>#NAME?</v>
      </c>
      <c r="N501" s="32" t="e">
        <f ca="1">_xludf.ifna(VLOOKUP(G501,Proyectos!$A$2:$S$674,19,0))</f>
        <v>#NAME?</v>
      </c>
      <c r="O501" s="31"/>
      <c r="P501" s="33"/>
      <c r="Q501" s="33"/>
      <c r="R501" s="33"/>
      <c r="S501" s="33"/>
      <c r="T501" s="33"/>
      <c r="U501" s="33"/>
      <c r="V501" s="33"/>
      <c r="W501" s="33"/>
    </row>
    <row r="502" spans="1:23" ht="17.25" customHeight="1" x14ac:dyDescent="0.2">
      <c r="A502" s="26" t="s">
        <v>3443</v>
      </c>
      <c r="B502" s="26" t="s">
        <v>3444</v>
      </c>
      <c r="C502" s="66" t="s">
        <v>98</v>
      </c>
      <c r="D502" s="66" t="s">
        <v>110</v>
      </c>
      <c r="E502" s="66" t="s">
        <v>39</v>
      </c>
      <c r="F502" s="28" t="e">
        <f ca="1">_xludf.ifna(VLOOKUP(G502,Proyectos!$A$2:$F$674,6,0),"")</f>
        <v>#NAME?</v>
      </c>
      <c r="G502" s="66" t="s">
        <v>5244</v>
      </c>
      <c r="H502" s="32">
        <v>0.5</v>
      </c>
      <c r="I502" s="31" t="s">
        <v>11</v>
      </c>
      <c r="J502" s="67" t="s">
        <v>12</v>
      </c>
      <c r="K502" s="32" t="s">
        <v>40</v>
      </c>
      <c r="L502" s="32" t="e">
        <f ca="1">_xludf.ifna(VLOOKUP(E502,Parámetros!$D$2:$E$34,2,0),"")</f>
        <v>#NAME?</v>
      </c>
      <c r="M502" s="32" t="e">
        <f ca="1">_xludf.ifna(VLOOKUP(G502,Proyectos!$A$2:$T$674,20,0),"")</f>
        <v>#NAME?</v>
      </c>
      <c r="N502" s="32" t="e">
        <f ca="1">_xludf.ifna(VLOOKUP(G502,Proyectos!$A$2:$S$674,19,0))</f>
        <v>#NAME?</v>
      </c>
      <c r="O502" s="31"/>
      <c r="P502" s="33"/>
      <c r="Q502" s="33"/>
      <c r="R502" s="33"/>
      <c r="S502" s="33"/>
      <c r="T502" s="33"/>
      <c r="U502" s="33"/>
      <c r="V502" s="33"/>
      <c r="W502" s="33"/>
    </row>
    <row r="503" spans="1:23" ht="17.25" customHeight="1" x14ac:dyDescent="0.2">
      <c r="A503" s="26" t="s">
        <v>3443</v>
      </c>
      <c r="B503" s="26" t="s">
        <v>3444</v>
      </c>
      <c r="C503" s="66" t="s">
        <v>98</v>
      </c>
      <c r="D503" s="66" t="s">
        <v>110</v>
      </c>
      <c r="E503" s="66" t="s">
        <v>39</v>
      </c>
      <c r="F503" s="28" t="e">
        <f ca="1">_xludf.ifna(VLOOKUP(G503,Proyectos!$A$2:$F$674,6,0),"")</f>
        <v>#NAME?</v>
      </c>
      <c r="G503" s="29" t="s">
        <v>5114</v>
      </c>
      <c r="H503" s="32">
        <v>0.5</v>
      </c>
      <c r="I503" s="31" t="s">
        <v>32</v>
      </c>
      <c r="J503" s="66" t="s">
        <v>12</v>
      </c>
      <c r="K503" s="32"/>
      <c r="L503" s="32" t="e">
        <f ca="1">_xludf.ifna(VLOOKUP(E503,Parámetros!$D$2:$E$34,2,0),"")</f>
        <v>#NAME?</v>
      </c>
      <c r="M503" s="32" t="e">
        <f ca="1">_xludf.ifna(VLOOKUP(G503,Proyectos!$A$2:$T$674,20,0),"")</f>
        <v>#NAME?</v>
      </c>
      <c r="N503" s="32" t="e">
        <f ca="1">_xludf.ifna(VLOOKUP(G503,Proyectos!$A$2:$S$674,19,0))</f>
        <v>#NAME?</v>
      </c>
      <c r="O503" s="31"/>
      <c r="P503" s="33"/>
      <c r="Q503" s="33"/>
      <c r="R503" s="33"/>
      <c r="S503" s="33"/>
      <c r="T503" s="33"/>
      <c r="U503" s="33"/>
      <c r="V503" s="33"/>
      <c r="W503" s="33"/>
    </row>
    <row r="504" spans="1:23" ht="17.25" customHeight="1" x14ac:dyDescent="0.2">
      <c r="A504" s="26" t="s">
        <v>3799</v>
      </c>
      <c r="B504" s="26" t="s">
        <v>3800</v>
      </c>
      <c r="C504" s="66" t="s">
        <v>98</v>
      </c>
      <c r="D504" s="66" t="s">
        <v>110</v>
      </c>
      <c r="E504" s="66" t="s">
        <v>39</v>
      </c>
      <c r="F504" s="28" t="e">
        <f ca="1">_xludf.ifna(VLOOKUP(G504,Proyectos!$A$2:$F$674,6,0),"")</f>
        <v>#NAME?</v>
      </c>
      <c r="G504" s="66" t="s">
        <v>5242</v>
      </c>
      <c r="H504" s="32">
        <v>1</v>
      </c>
      <c r="I504" s="31" t="s">
        <v>18</v>
      </c>
      <c r="J504" s="66" t="s">
        <v>26</v>
      </c>
      <c r="K504" s="32"/>
      <c r="L504" s="32" t="e">
        <f ca="1">_xludf.ifna(VLOOKUP(E504,Parámetros!$D$2:$E$34,2,0),"")</f>
        <v>#NAME?</v>
      </c>
      <c r="M504" s="32" t="e">
        <f ca="1">_xludf.ifna(VLOOKUP(G504,Proyectos!$A$2:$T$674,20,0),"")</f>
        <v>#NAME?</v>
      </c>
      <c r="N504" s="32" t="e">
        <f ca="1">_xludf.ifna(VLOOKUP(G504,Proyectos!$A$2:$S$674,19,0))</f>
        <v>#NAME?</v>
      </c>
      <c r="O504" s="31"/>
      <c r="P504" s="33"/>
      <c r="Q504" s="33"/>
      <c r="R504" s="33"/>
      <c r="S504" s="33"/>
      <c r="T504" s="33"/>
      <c r="U504" s="33"/>
      <c r="V504" s="33"/>
      <c r="W504" s="33"/>
    </row>
    <row r="505" spans="1:23" ht="17.25" customHeight="1" x14ac:dyDescent="0.2">
      <c r="A505" s="26" t="s">
        <v>3872</v>
      </c>
      <c r="B505" s="26" t="s">
        <v>3873</v>
      </c>
      <c r="C505" s="66" t="s">
        <v>98</v>
      </c>
      <c r="D505" s="66" t="s">
        <v>110</v>
      </c>
      <c r="E505" s="66" t="s">
        <v>39</v>
      </c>
      <c r="F505" s="28" t="e">
        <f ca="1">_xludf.ifna(VLOOKUP(G505,Proyectos!$A$2:$F$674,6,0),"")</f>
        <v>#NAME?</v>
      </c>
      <c r="G505" s="29" t="s">
        <v>5114</v>
      </c>
      <c r="H505" s="32">
        <v>1</v>
      </c>
      <c r="I505" s="31" t="s">
        <v>18</v>
      </c>
      <c r="J505" s="66" t="s">
        <v>61</v>
      </c>
      <c r="K505" s="32"/>
      <c r="L505" s="32" t="e">
        <f ca="1">_xludf.ifna(VLOOKUP(E505,Parámetros!$D$2:$E$34,2,0),"")</f>
        <v>#NAME?</v>
      </c>
      <c r="M505" s="32" t="e">
        <f ca="1">_xludf.ifna(VLOOKUP(G505,Proyectos!$A$2:$T$674,20,0),"")</f>
        <v>#NAME?</v>
      </c>
      <c r="N505" s="32" t="e">
        <f ca="1">_xludf.ifna(VLOOKUP(G505,Proyectos!$A$2:$S$674,19,0))</f>
        <v>#NAME?</v>
      </c>
      <c r="O505" s="31"/>
      <c r="P505" s="33"/>
      <c r="Q505" s="33"/>
      <c r="R505" s="33"/>
      <c r="S505" s="33"/>
      <c r="T505" s="33"/>
      <c r="U505" s="33"/>
      <c r="V505" s="33"/>
      <c r="W505" s="33"/>
    </row>
    <row r="506" spans="1:23" ht="17.25" customHeight="1" x14ac:dyDescent="0.2">
      <c r="A506" s="26" t="s">
        <v>4711</v>
      </c>
      <c r="B506" s="26" t="s">
        <v>4712</v>
      </c>
      <c r="C506" s="66" t="s">
        <v>98</v>
      </c>
      <c r="D506" s="66" t="s">
        <v>110</v>
      </c>
      <c r="E506" s="66" t="s">
        <v>39</v>
      </c>
      <c r="F506" s="28" t="e">
        <f ca="1">_xludf.ifna(VLOOKUP(G506,Proyectos!$A$2:$F$674,6,0),"")</f>
        <v>#NAME?</v>
      </c>
      <c r="G506" s="66" t="s">
        <v>5242</v>
      </c>
      <c r="H506" s="32">
        <v>1</v>
      </c>
      <c r="I506" s="31" t="s">
        <v>11</v>
      </c>
      <c r="J506" s="66" t="s">
        <v>19</v>
      </c>
      <c r="K506" s="32"/>
      <c r="L506" s="32" t="e">
        <f ca="1">_xludf.ifna(VLOOKUP(E506,Parámetros!$D$2:$E$34,2,0),"")</f>
        <v>#NAME?</v>
      </c>
      <c r="M506" s="32" t="e">
        <f ca="1">_xludf.ifna(VLOOKUP(G506,Proyectos!$A$2:$T$674,20,0),"")</f>
        <v>#NAME?</v>
      </c>
      <c r="N506" s="32" t="e">
        <f ca="1">_xludf.ifna(VLOOKUP(G506,Proyectos!$A$2:$S$674,19,0))</f>
        <v>#NAME?</v>
      </c>
      <c r="O506" s="31"/>
      <c r="P506" s="33"/>
      <c r="Q506" s="33"/>
      <c r="R506" s="33"/>
      <c r="S506" s="33"/>
      <c r="T506" s="33"/>
      <c r="U506" s="33"/>
      <c r="V506" s="33"/>
      <c r="W506" s="33"/>
    </row>
    <row r="507" spans="1:23" ht="17.25" customHeight="1" x14ac:dyDescent="0.2">
      <c r="A507" s="26" t="s">
        <v>4671</v>
      </c>
      <c r="B507" s="26" t="s">
        <v>4672</v>
      </c>
      <c r="C507" s="66" t="s">
        <v>98</v>
      </c>
      <c r="D507" s="66" t="s">
        <v>110</v>
      </c>
      <c r="E507" s="66" t="s">
        <v>39</v>
      </c>
      <c r="F507" s="28" t="e">
        <f ca="1">_xludf.ifna(VLOOKUP(G507,Proyectos!$A$2:$F$674,6,0),"")</f>
        <v>#NAME?</v>
      </c>
      <c r="G507" s="29" t="s">
        <v>5114</v>
      </c>
      <c r="H507" s="32">
        <v>1</v>
      </c>
      <c r="I507" s="31" t="s">
        <v>18</v>
      </c>
      <c r="J507" s="66" t="s">
        <v>26</v>
      </c>
      <c r="K507" s="32"/>
      <c r="L507" s="32" t="e">
        <f ca="1">_xludf.ifna(VLOOKUP(E507,Parámetros!$D$2:$E$34,2,0),"")</f>
        <v>#NAME?</v>
      </c>
      <c r="M507" s="32" t="e">
        <f ca="1">_xludf.ifna(VLOOKUP(G507,Proyectos!$A$2:$T$674,20,0),"")</f>
        <v>#NAME?</v>
      </c>
      <c r="N507" s="32" t="e">
        <f ca="1">_xludf.ifna(VLOOKUP(G507,Proyectos!$A$2:$S$674,19,0))</f>
        <v>#NAME?</v>
      </c>
      <c r="O507" s="31"/>
      <c r="P507" s="33"/>
      <c r="Q507" s="33"/>
      <c r="R507" s="33"/>
      <c r="S507" s="33"/>
      <c r="T507" s="33"/>
      <c r="U507" s="33"/>
      <c r="V507" s="33"/>
      <c r="W507" s="33"/>
    </row>
    <row r="508" spans="1:23" ht="17.25" customHeight="1" x14ac:dyDescent="0.2">
      <c r="A508" s="26" t="s">
        <v>4817</v>
      </c>
      <c r="B508" s="26" t="s">
        <v>4818</v>
      </c>
      <c r="C508" s="66" t="s">
        <v>98</v>
      </c>
      <c r="D508" s="66" t="s">
        <v>110</v>
      </c>
      <c r="E508" s="66" t="s">
        <v>39</v>
      </c>
      <c r="F508" s="28" t="e">
        <f ca="1">_xludf.ifna(VLOOKUP(G508,Proyectos!$A$2:$F$674,6,0),"")</f>
        <v>#NAME?</v>
      </c>
      <c r="G508" s="29" t="s">
        <v>5114</v>
      </c>
      <c r="H508" s="32">
        <v>1</v>
      </c>
      <c r="I508" s="31" t="s">
        <v>18</v>
      </c>
      <c r="J508" s="66" t="s">
        <v>19</v>
      </c>
      <c r="K508" s="32"/>
      <c r="L508" s="32" t="e">
        <f ca="1">_xludf.ifna(VLOOKUP(E508,Parámetros!$D$2:$E$34,2,0),"")</f>
        <v>#NAME?</v>
      </c>
      <c r="M508" s="32" t="e">
        <f ca="1">_xludf.ifna(VLOOKUP(G508,Proyectos!$A$2:$T$674,20,0),"")</f>
        <v>#NAME?</v>
      </c>
      <c r="N508" s="32" t="e">
        <f ca="1">_xludf.ifna(VLOOKUP(G508,Proyectos!$A$2:$S$674,19,0))</f>
        <v>#NAME?</v>
      </c>
      <c r="O508" s="31"/>
      <c r="P508" s="33"/>
      <c r="Q508" s="33"/>
      <c r="R508" s="33"/>
      <c r="S508" s="33"/>
      <c r="T508" s="33"/>
      <c r="U508" s="33"/>
      <c r="V508" s="33"/>
      <c r="W508" s="33"/>
    </row>
    <row r="509" spans="1:23" ht="17.25" customHeight="1" x14ac:dyDescent="0.2">
      <c r="A509" s="35" t="s">
        <v>5090</v>
      </c>
      <c r="B509" s="35" t="s">
        <v>5091</v>
      </c>
      <c r="C509" s="66" t="s">
        <v>98</v>
      </c>
      <c r="D509" s="66" t="s">
        <v>110</v>
      </c>
      <c r="E509" s="66" t="s">
        <v>129</v>
      </c>
      <c r="F509" s="28" t="e">
        <f ca="1">_xludf.ifna(VLOOKUP(G509,Proyectos!$A$2:$F$674,6,0),"")</f>
        <v>#NAME?</v>
      </c>
      <c r="G509" s="66" t="s">
        <v>5244</v>
      </c>
      <c r="H509" s="32">
        <v>0.1</v>
      </c>
      <c r="I509" s="31" t="s">
        <v>32</v>
      </c>
      <c r="J509" s="35" t="s">
        <v>72</v>
      </c>
      <c r="K509" s="52"/>
      <c r="L509" s="32" t="e">
        <f ca="1">_xludf.ifna(VLOOKUP(E509,Parámetros!$D$2:$E$34,2,0),"")</f>
        <v>#NAME?</v>
      </c>
      <c r="M509" s="32" t="e">
        <f ca="1">_xludf.ifna(VLOOKUP(G509,Proyectos!$A$2:$T$674,20,0),"")</f>
        <v>#NAME?</v>
      </c>
      <c r="N509" s="32" t="e">
        <f ca="1">_xludf.ifna(VLOOKUP(G509,Proyectos!$A$2:$S$674,19,0))</f>
        <v>#NAME?</v>
      </c>
      <c r="O509" s="52"/>
      <c r="P509" s="63"/>
      <c r="Q509" s="63"/>
      <c r="R509" s="33"/>
      <c r="S509" s="33"/>
      <c r="T509" s="33"/>
      <c r="U509" s="33"/>
      <c r="V509" s="33"/>
      <c r="W509" s="33"/>
    </row>
    <row r="510" spans="1:23" ht="17.25" customHeight="1" x14ac:dyDescent="0.2">
      <c r="A510" s="35" t="s">
        <v>5090</v>
      </c>
      <c r="B510" s="35" t="s">
        <v>5091</v>
      </c>
      <c r="C510" s="66" t="s">
        <v>98</v>
      </c>
      <c r="D510" s="66" t="s">
        <v>110</v>
      </c>
      <c r="E510" s="66" t="s">
        <v>129</v>
      </c>
      <c r="F510" s="28" t="e">
        <f ca="1">_xludf.ifna(VLOOKUP(G510,Proyectos!$A$2:$F$674,6,0),"")</f>
        <v>#NAME?</v>
      </c>
      <c r="G510" s="66" t="s">
        <v>5241</v>
      </c>
      <c r="H510" s="32">
        <v>0.15</v>
      </c>
      <c r="I510" s="31" t="s">
        <v>32</v>
      </c>
      <c r="J510" s="35" t="s">
        <v>72</v>
      </c>
      <c r="K510" s="52"/>
      <c r="L510" s="32" t="e">
        <f ca="1">_xludf.ifna(VLOOKUP(E510,Parámetros!$D$2:$E$34,2,0),"")</f>
        <v>#NAME?</v>
      </c>
      <c r="M510" s="32" t="e">
        <f ca="1">_xludf.ifna(VLOOKUP(G510,Proyectos!$A$2:$T$674,20,0),"")</f>
        <v>#NAME?</v>
      </c>
      <c r="N510" s="32" t="e">
        <f ca="1">_xludf.ifna(VLOOKUP(G510,Proyectos!$A$2:$S$674,19,0))</f>
        <v>#NAME?</v>
      </c>
      <c r="O510" s="52"/>
      <c r="P510" s="63"/>
      <c r="Q510" s="63"/>
      <c r="R510" s="33"/>
      <c r="S510" s="33"/>
      <c r="T510" s="33"/>
      <c r="U510" s="33"/>
      <c r="V510" s="33"/>
      <c r="W510" s="33"/>
    </row>
    <row r="511" spans="1:23" ht="17.25" customHeight="1" x14ac:dyDescent="0.2">
      <c r="A511" s="35" t="s">
        <v>5090</v>
      </c>
      <c r="B511" s="35" t="s">
        <v>5091</v>
      </c>
      <c r="C511" s="66" t="s">
        <v>98</v>
      </c>
      <c r="D511" s="66" t="s">
        <v>110</v>
      </c>
      <c r="E511" s="66" t="s">
        <v>129</v>
      </c>
      <c r="F511" s="28" t="e">
        <f ca="1">_xludf.ifna(VLOOKUP(G511,Proyectos!$A$2:$F$674,6,0),"")</f>
        <v>#NAME?</v>
      </c>
      <c r="G511" s="66" t="s">
        <v>5240</v>
      </c>
      <c r="H511" s="32">
        <v>0.15</v>
      </c>
      <c r="I511" s="31" t="s">
        <v>32</v>
      </c>
      <c r="J511" s="35" t="s">
        <v>72</v>
      </c>
      <c r="K511" s="52"/>
      <c r="L511" s="32" t="e">
        <f ca="1">_xludf.ifna(VLOOKUP(E511,Parámetros!$D$2:$E$34,2,0),"")</f>
        <v>#NAME?</v>
      </c>
      <c r="M511" s="32" t="e">
        <f ca="1">_xludf.ifna(VLOOKUP(G511,Proyectos!$A$2:$T$674,20,0),"")</f>
        <v>#NAME?</v>
      </c>
      <c r="N511" s="32" t="e">
        <f ca="1">_xludf.ifna(VLOOKUP(G511,Proyectos!$A$2:$S$674,19,0))</f>
        <v>#NAME?</v>
      </c>
      <c r="O511" s="52"/>
      <c r="P511" s="63"/>
      <c r="Q511" s="63"/>
      <c r="R511" s="33"/>
      <c r="S511" s="33"/>
      <c r="T511" s="33"/>
      <c r="U511" s="33"/>
      <c r="V511" s="33"/>
      <c r="W511" s="33"/>
    </row>
    <row r="512" spans="1:23" ht="17.25" customHeight="1" x14ac:dyDescent="0.2">
      <c r="A512" s="35" t="s">
        <v>5090</v>
      </c>
      <c r="B512" s="35" t="s">
        <v>5091</v>
      </c>
      <c r="C512" s="66" t="s">
        <v>98</v>
      </c>
      <c r="D512" s="66" t="s">
        <v>110</v>
      </c>
      <c r="E512" s="66" t="s">
        <v>129</v>
      </c>
      <c r="F512" s="28" t="e">
        <f ca="1">_xludf.ifna(VLOOKUP(G512,Proyectos!$A$2:$F$674,6,0),"")</f>
        <v>#NAME?</v>
      </c>
      <c r="G512" s="66" t="s">
        <v>5242</v>
      </c>
      <c r="H512" s="32">
        <v>0.15</v>
      </c>
      <c r="I512" s="31" t="s">
        <v>32</v>
      </c>
      <c r="J512" s="35" t="s">
        <v>72</v>
      </c>
      <c r="K512" s="52"/>
      <c r="L512" s="32" t="e">
        <f ca="1">_xludf.ifna(VLOOKUP(E512,Parámetros!$D$2:$E$34,2,0),"")</f>
        <v>#NAME?</v>
      </c>
      <c r="M512" s="32" t="e">
        <f ca="1">_xludf.ifna(VLOOKUP(G512,Proyectos!$A$2:$T$674,20,0),"")</f>
        <v>#NAME?</v>
      </c>
      <c r="N512" s="32" t="e">
        <f ca="1">_xludf.ifna(VLOOKUP(G512,Proyectos!$A$2:$S$674,19,0))</f>
        <v>#NAME?</v>
      </c>
      <c r="O512" s="52"/>
      <c r="P512" s="63"/>
      <c r="Q512" s="63"/>
      <c r="R512" s="33"/>
      <c r="S512" s="33"/>
      <c r="T512" s="33"/>
      <c r="U512" s="33"/>
      <c r="V512" s="33"/>
      <c r="W512" s="33"/>
    </row>
    <row r="513" spans="1:23" ht="17.25" customHeight="1" x14ac:dyDescent="0.2">
      <c r="A513" s="35" t="s">
        <v>5090</v>
      </c>
      <c r="B513" s="35" t="s">
        <v>5091</v>
      </c>
      <c r="C513" s="66" t="s">
        <v>98</v>
      </c>
      <c r="D513" s="26" t="s">
        <v>113</v>
      </c>
      <c r="E513" s="66" t="s">
        <v>129</v>
      </c>
      <c r="F513" s="28" t="e">
        <f ca="1">_xludf.ifna(VLOOKUP(G513,Proyectos!$A$2:$F$674,6,0),"")</f>
        <v>#NAME?</v>
      </c>
      <c r="G513" s="66" t="s">
        <v>5245</v>
      </c>
      <c r="H513" s="32">
        <v>0.15</v>
      </c>
      <c r="I513" s="31" t="s">
        <v>32</v>
      </c>
      <c r="J513" s="35" t="s">
        <v>72</v>
      </c>
      <c r="K513" s="52"/>
      <c r="L513" s="32" t="e">
        <f ca="1">_xludf.ifna(VLOOKUP(E513,Parámetros!$D$2:$E$34,2,0),"")</f>
        <v>#NAME?</v>
      </c>
      <c r="M513" s="32" t="e">
        <f ca="1">_xludf.ifna(VLOOKUP(G513,Proyectos!$A$2:$T$674,20,0),"")</f>
        <v>#NAME?</v>
      </c>
      <c r="N513" s="32" t="e">
        <f ca="1">_xludf.ifna(VLOOKUP(G513,Proyectos!$A$2:$S$674,19,0))</f>
        <v>#NAME?</v>
      </c>
      <c r="O513" s="52"/>
      <c r="P513" s="63"/>
      <c r="Q513" s="63"/>
      <c r="R513" s="33"/>
      <c r="S513" s="33"/>
      <c r="T513" s="33"/>
      <c r="U513" s="33"/>
      <c r="V513" s="33"/>
      <c r="W513" s="33"/>
    </row>
    <row r="514" spans="1:23" ht="17.25" customHeight="1" x14ac:dyDescent="0.2">
      <c r="A514" s="35" t="s">
        <v>5090</v>
      </c>
      <c r="B514" s="35" t="s">
        <v>5091</v>
      </c>
      <c r="C514" s="66" t="s">
        <v>98</v>
      </c>
      <c r="D514" s="26" t="s">
        <v>113</v>
      </c>
      <c r="E514" s="66" t="s">
        <v>129</v>
      </c>
      <c r="F514" s="28" t="e">
        <f ca="1">_xludf.ifna(VLOOKUP(G514,Proyectos!$A$2:$F$674,6,0),"")</f>
        <v>#NAME?</v>
      </c>
      <c r="G514" s="66" t="s">
        <v>5133</v>
      </c>
      <c r="H514" s="32">
        <v>0.15</v>
      </c>
      <c r="I514" s="31" t="s">
        <v>32</v>
      </c>
      <c r="J514" s="35" t="s">
        <v>72</v>
      </c>
      <c r="K514" s="52"/>
      <c r="L514" s="32" t="e">
        <f ca="1">_xludf.ifna(VLOOKUP(E514,Parámetros!$D$2:$E$34,2,0),"")</f>
        <v>#NAME?</v>
      </c>
      <c r="M514" s="32" t="e">
        <f ca="1">_xludf.ifna(VLOOKUP(G514,Proyectos!$A$2:$T$674,20,0),"")</f>
        <v>#NAME?</v>
      </c>
      <c r="N514" s="32" t="e">
        <f ca="1">_xludf.ifna(VLOOKUP(G514,Proyectos!$A$2:$S$674,19,0))</f>
        <v>#NAME?</v>
      </c>
      <c r="O514" s="52"/>
      <c r="P514" s="63"/>
      <c r="Q514" s="63"/>
      <c r="R514" s="33"/>
      <c r="S514" s="33"/>
      <c r="T514" s="33"/>
      <c r="U514" s="33"/>
      <c r="V514" s="33"/>
      <c r="W514" s="33"/>
    </row>
    <row r="515" spans="1:23" ht="17.25" customHeight="1" x14ac:dyDescent="0.2">
      <c r="A515" s="35" t="s">
        <v>5090</v>
      </c>
      <c r="B515" s="35" t="s">
        <v>5091</v>
      </c>
      <c r="C515" s="66" t="s">
        <v>98</v>
      </c>
      <c r="D515" s="66" t="s">
        <v>110</v>
      </c>
      <c r="E515" s="66" t="s">
        <v>129</v>
      </c>
      <c r="F515" s="28" t="e">
        <f ca="1">_xludf.ifna(VLOOKUP(G515,Proyectos!$A$2:$F$674,6,0),"")</f>
        <v>#NAME?</v>
      </c>
      <c r="G515" s="66" t="s">
        <v>5246</v>
      </c>
      <c r="H515" s="32">
        <v>0.15</v>
      </c>
      <c r="I515" s="31" t="s">
        <v>32</v>
      </c>
      <c r="J515" s="35" t="s">
        <v>72</v>
      </c>
      <c r="K515" s="52"/>
      <c r="L515" s="32" t="e">
        <f ca="1">_xludf.ifna(VLOOKUP(E515,Parámetros!$D$2:$E$34,2,0),"")</f>
        <v>#NAME?</v>
      </c>
      <c r="M515" s="32" t="e">
        <f ca="1">_xludf.ifna(VLOOKUP(G515,Proyectos!$A$2:$T$674,20,0),"")</f>
        <v>#NAME?</v>
      </c>
      <c r="N515" s="32" t="e">
        <f ca="1">_xludf.ifna(VLOOKUP(G515,Proyectos!$A$2:$S$674,19,0))</f>
        <v>#NAME?</v>
      </c>
      <c r="O515" s="52"/>
      <c r="P515" s="63"/>
      <c r="Q515" s="63"/>
      <c r="R515" s="33"/>
      <c r="S515" s="33"/>
      <c r="T515" s="33"/>
      <c r="U515" s="33"/>
      <c r="V515" s="33"/>
      <c r="W515" s="33"/>
    </row>
    <row r="516" spans="1:23" ht="17.25" customHeight="1" x14ac:dyDescent="0.25">
      <c r="A516" s="35" t="s">
        <v>4010</v>
      </c>
      <c r="B516" s="35" t="s">
        <v>4011</v>
      </c>
      <c r="C516" s="66" t="s">
        <v>98</v>
      </c>
      <c r="D516" s="66" t="s">
        <v>110</v>
      </c>
      <c r="E516" s="66" t="s">
        <v>114</v>
      </c>
      <c r="F516" s="28" t="e">
        <f ca="1">_xludf.ifna(VLOOKUP(G516,Proyectos!$A$2:$F$674,6,0),"")</f>
        <v>#NAME?</v>
      </c>
      <c r="G516" s="66" t="s">
        <v>5244</v>
      </c>
      <c r="H516" s="68">
        <v>7.0000000000000007E-2</v>
      </c>
      <c r="I516" s="31" t="s">
        <v>25</v>
      </c>
      <c r="J516" s="35" t="s">
        <v>41</v>
      </c>
      <c r="K516" s="52" t="s">
        <v>4012</v>
      </c>
      <c r="L516" s="32" t="e">
        <f ca="1">_xludf.ifna(VLOOKUP(E516,Parámetros!$D$2:$E$34,2,0),"")</f>
        <v>#NAME?</v>
      </c>
      <c r="M516" s="32" t="e">
        <f ca="1">_xludf.ifna(VLOOKUP(G516,Proyectos!$A$2:$T$674,20,0),"")</f>
        <v>#NAME?</v>
      </c>
      <c r="N516" s="32" t="e">
        <f ca="1">_xludf.ifna(VLOOKUP(G516,Proyectos!$A$2:$S$674,19,0))</f>
        <v>#NAME?</v>
      </c>
      <c r="O516" s="52" t="e">
        <f>VLOOKUP(G516,Parámetros!$F$2:$G$34,7,0)</f>
        <v>#N/A</v>
      </c>
      <c r="P516" s="63" t="e">
        <f>VLOOKUP(G516,Parámetros!$F$2:$G$34,8,0)</f>
        <v>#N/A</v>
      </c>
      <c r="Q516" s="63" t="e">
        <f t="shared" ref="Q516:Q522" si="5">IF(B516=#REF!,0,1)</f>
        <v>#REF!</v>
      </c>
      <c r="R516" s="33"/>
      <c r="S516" s="33"/>
      <c r="T516" s="33"/>
      <c r="U516" s="33"/>
      <c r="V516" s="33"/>
      <c r="W516" s="33"/>
    </row>
    <row r="517" spans="1:23" ht="17.25" customHeight="1" x14ac:dyDescent="0.25">
      <c r="A517" s="35" t="s">
        <v>4010</v>
      </c>
      <c r="B517" s="35" t="s">
        <v>4011</v>
      </c>
      <c r="C517" s="66" t="s">
        <v>98</v>
      </c>
      <c r="D517" s="66" t="s">
        <v>110</v>
      </c>
      <c r="E517" s="66" t="s">
        <v>114</v>
      </c>
      <c r="F517" s="28" t="e">
        <f ca="1">_xludf.ifna(VLOOKUP(G517,Proyectos!$A$2:$F$674,6,0),"")</f>
        <v>#NAME?</v>
      </c>
      <c r="G517" s="66" t="s">
        <v>5241</v>
      </c>
      <c r="H517" s="68">
        <v>7.0000000000000007E-2</v>
      </c>
      <c r="I517" s="31" t="s">
        <v>25</v>
      </c>
      <c r="J517" s="35" t="s">
        <v>41</v>
      </c>
      <c r="K517" s="52" t="s">
        <v>4012</v>
      </c>
      <c r="L517" s="32" t="e">
        <f ca="1">_xludf.ifna(VLOOKUP(E517,Parámetros!$D$2:$E$34,2,0),"")</f>
        <v>#NAME?</v>
      </c>
      <c r="M517" s="32" t="e">
        <f ca="1">_xludf.ifna(VLOOKUP(G517,Proyectos!$A$2:$T$674,20,0),"")</f>
        <v>#NAME?</v>
      </c>
      <c r="N517" s="32" t="e">
        <f ca="1">_xludf.ifna(VLOOKUP(G517,Proyectos!$A$2:$S$674,19,0))</f>
        <v>#NAME?</v>
      </c>
      <c r="O517" s="52" t="e">
        <f>VLOOKUP(G517,Parámetros!$F$2:$G$34,7,0)</f>
        <v>#N/A</v>
      </c>
      <c r="P517" s="63" t="e">
        <f>VLOOKUP(G517,Parámetros!$F$2:$G$34,8,0)</f>
        <v>#N/A</v>
      </c>
      <c r="Q517" s="63" t="e">
        <f t="shared" si="5"/>
        <v>#REF!</v>
      </c>
      <c r="R517" s="33"/>
      <c r="S517" s="33"/>
      <c r="T517" s="33"/>
      <c r="U517" s="33"/>
      <c r="V517" s="33"/>
      <c r="W517" s="33"/>
    </row>
    <row r="518" spans="1:23" ht="17.25" customHeight="1" x14ac:dyDescent="0.25">
      <c r="A518" s="35" t="s">
        <v>4010</v>
      </c>
      <c r="B518" s="35" t="s">
        <v>4011</v>
      </c>
      <c r="C518" s="66" t="s">
        <v>98</v>
      </c>
      <c r="D518" s="66" t="s">
        <v>110</v>
      </c>
      <c r="E518" s="66" t="s">
        <v>114</v>
      </c>
      <c r="F518" s="28" t="e">
        <f ca="1">_xludf.ifna(VLOOKUP(G518,Proyectos!$A$2:$F$674,6,0),"")</f>
        <v>#NAME?</v>
      </c>
      <c r="G518" s="66" t="s">
        <v>5240</v>
      </c>
      <c r="H518" s="68">
        <v>7.0000000000000007E-2</v>
      </c>
      <c r="I518" s="31" t="s">
        <v>25</v>
      </c>
      <c r="J518" s="35" t="s">
        <v>41</v>
      </c>
      <c r="K518" s="52" t="s">
        <v>4012</v>
      </c>
      <c r="L518" s="32" t="e">
        <f ca="1">_xludf.ifna(VLOOKUP(E518,Parámetros!$D$2:$E$34,2,0),"")</f>
        <v>#NAME?</v>
      </c>
      <c r="M518" s="32" t="e">
        <f ca="1">_xludf.ifna(VLOOKUP(G518,Proyectos!$A$2:$T$674,20,0),"")</f>
        <v>#NAME?</v>
      </c>
      <c r="N518" s="32" t="e">
        <f ca="1">_xludf.ifna(VLOOKUP(G518,Proyectos!$A$2:$S$674,19,0))</f>
        <v>#NAME?</v>
      </c>
      <c r="O518" s="52" t="e">
        <f>VLOOKUP(G518,Parámetros!$F$2:$G$34,7,0)</f>
        <v>#N/A</v>
      </c>
      <c r="P518" s="63" t="e">
        <f>VLOOKUP(G518,Parámetros!$F$2:$G$34,8,0)</f>
        <v>#N/A</v>
      </c>
      <c r="Q518" s="63" t="e">
        <f t="shared" si="5"/>
        <v>#REF!</v>
      </c>
      <c r="R518" s="33"/>
      <c r="S518" s="33"/>
      <c r="T518" s="33"/>
      <c r="U518" s="33"/>
      <c r="V518" s="33"/>
      <c r="W518" s="33"/>
    </row>
    <row r="519" spans="1:23" ht="17.25" customHeight="1" x14ac:dyDescent="0.25">
      <c r="A519" s="35" t="s">
        <v>4010</v>
      </c>
      <c r="B519" s="35" t="s">
        <v>4011</v>
      </c>
      <c r="C519" s="66" t="s">
        <v>98</v>
      </c>
      <c r="D519" s="66" t="s">
        <v>110</v>
      </c>
      <c r="E519" s="66" t="s">
        <v>114</v>
      </c>
      <c r="F519" s="28" t="e">
        <f ca="1">_xludf.ifna(VLOOKUP(G519,Proyectos!$A$2:$F$674,6,0),"")</f>
        <v>#NAME?</v>
      </c>
      <c r="G519" s="66" t="s">
        <v>5242</v>
      </c>
      <c r="H519" s="68">
        <v>7.0000000000000007E-2</v>
      </c>
      <c r="I519" s="31" t="s">
        <v>25</v>
      </c>
      <c r="J519" s="35" t="s">
        <v>41</v>
      </c>
      <c r="K519" s="52" t="s">
        <v>4012</v>
      </c>
      <c r="L519" s="32" t="e">
        <f ca="1">_xludf.ifna(VLOOKUP(E519,Parámetros!$D$2:$E$34,2,0),"")</f>
        <v>#NAME?</v>
      </c>
      <c r="M519" s="32" t="e">
        <f ca="1">_xludf.ifna(VLOOKUP(G519,Proyectos!$A$2:$T$674,20,0),"")</f>
        <v>#NAME?</v>
      </c>
      <c r="N519" s="32" t="e">
        <f ca="1">_xludf.ifna(VLOOKUP(G519,Proyectos!$A$2:$S$674,19,0))</f>
        <v>#NAME?</v>
      </c>
      <c r="O519" s="52" t="e">
        <f>VLOOKUP(G519,Parámetros!$F$2:$G$34,7,0)</f>
        <v>#N/A</v>
      </c>
      <c r="P519" s="63" t="e">
        <f>VLOOKUP(G519,Parámetros!$F$2:$G$34,8,0)</f>
        <v>#N/A</v>
      </c>
      <c r="Q519" s="63" t="e">
        <f t="shared" si="5"/>
        <v>#REF!</v>
      </c>
      <c r="R519" s="33"/>
      <c r="S519" s="33"/>
      <c r="T519" s="33"/>
      <c r="U519" s="33"/>
      <c r="V519" s="33"/>
      <c r="W519" s="33"/>
    </row>
    <row r="520" spans="1:23" ht="17.25" customHeight="1" x14ac:dyDescent="0.25">
      <c r="A520" s="35" t="s">
        <v>4010</v>
      </c>
      <c r="B520" s="35" t="s">
        <v>4011</v>
      </c>
      <c r="C520" s="66" t="s">
        <v>98</v>
      </c>
      <c r="D520" s="26" t="s">
        <v>113</v>
      </c>
      <c r="E520" s="66" t="s">
        <v>114</v>
      </c>
      <c r="F520" s="28" t="e">
        <f ca="1">_xludf.ifna(VLOOKUP(G520,Proyectos!$A$2:$F$674,6,0),"")</f>
        <v>#NAME?</v>
      </c>
      <c r="G520" s="66" t="s">
        <v>5245</v>
      </c>
      <c r="H520" s="68">
        <v>7.0000000000000007E-2</v>
      </c>
      <c r="I520" s="31" t="s">
        <v>25</v>
      </c>
      <c r="J520" s="35" t="s">
        <v>41</v>
      </c>
      <c r="K520" s="52" t="s">
        <v>4012</v>
      </c>
      <c r="L520" s="32" t="e">
        <f ca="1">_xludf.ifna(VLOOKUP(E520,Parámetros!$D$2:$E$34,2,0),"")</f>
        <v>#NAME?</v>
      </c>
      <c r="M520" s="32" t="e">
        <f ca="1">_xludf.ifna(VLOOKUP(G520,Proyectos!$A$2:$T$674,20,0),"")</f>
        <v>#NAME?</v>
      </c>
      <c r="N520" s="32" t="e">
        <f ca="1">_xludf.ifna(VLOOKUP(G520,Proyectos!$A$2:$S$674,19,0))</f>
        <v>#NAME?</v>
      </c>
      <c r="O520" s="52" t="e">
        <f>VLOOKUP(G520,Parámetros!$F$2:$G$34,7,0)</f>
        <v>#N/A</v>
      </c>
      <c r="P520" s="63" t="e">
        <f>VLOOKUP(G520,Parámetros!$F$2:$G$34,8,0)</f>
        <v>#N/A</v>
      </c>
      <c r="Q520" s="63" t="e">
        <f t="shared" si="5"/>
        <v>#REF!</v>
      </c>
      <c r="R520" s="33"/>
      <c r="S520" s="33"/>
      <c r="T520" s="33"/>
      <c r="U520" s="33"/>
      <c r="V520" s="33"/>
      <c r="W520" s="33"/>
    </row>
    <row r="521" spans="1:23" ht="17.25" customHeight="1" x14ac:dyDescent="0.25">
      <c r="A521" s="35" t="s">
        <v>4010</v>
      </c>
      <c r="B521" s="35" t="s">
        <v>4011</v>
      </c>
      <c r="C521" s="66" t="s">
        <v>98</v>
      </c>
      <c r="D521" s="26" t="s">
        <v>113</v>
      </c>
      <c r="E521" s="66" t="s">
        <v>114</v>
      </c>
      <c r="F521" s="28" t="e">
        <f ca="1">_xludf.ifna(VLOOKUP(G521,Proyectos!$A$2:$F$674,6,0),"")</f>
        <v>#NAME?</v>
      </c>
      <c r="G521" s="66" t="s">
        <v>5133</v>
      </c>
      <c r="H521" s="68">
        <v>7.0000000000000007E-2</v>
      </c>
      <c r="I521" s="31" t="s">
        <v>25</v>
      </c>
      <c r="J521" s="35" t="s">
        <v>41</v>
      </c>
      <c r="K521" s="52" t="s">
        <v>4012</v>
      </c>
      <c r="L521" s="32" t="e">
        <f ca="1">_xludf.ifna(VLOOKUP(E521,Parámetros!$D$2:$E$34,2,0),"")</f>
        <v>#NAME?</v>
      </c>
      <c r="M521" s="32" t="e">
        <f ca="1">_xludf.ifna(VLOOKUP(G521,Proyectos!$A$2:$T$674,20,0),"")</f>
        <v>#NAME?</v>
      </c>
      <c r="N521" s="32" t="e">
        <f ca="1">_xludf.ifna(VLOOKUP(G521,Proyectos!$A$2:$S$674,19,0))</f>
        <v>#NAME?</v>
      </c>
      <c r="O521" s="52" t="e">
        <f>VLOOKUP(G521,Parámetros!$F$2:$G$34,7,0)</f>
        <v>#N/A</v>
      </c>
      <c r="P521" s="63" t="e">
        <f>VLOOKUP(G521,Parámetros!$F$2:$G$34,8,0)</f>
        <v>#N/A</v>
      </c>
      <c r="Q521" s="63" t="e">
        <f t="shared" si="5"/>
        <v>#REF!</v>
      </c>
      <c r="R521" s="33"/>
      <c r="S521" s="33"/>
      <c r="T521" s="33"/>
      <c r="U521" s="33"/>
      <c r="V521" s="33"/>
      <c r="W521" s="33"/>
    </row>
    <row r="522" spans="1:23" ht="17.25" customHeight="1" x14ac:dyDescent="0.25">
      <c r="A522" s="35" t="s">
        <v>4010</v>
      </c>
      <c r="B522" s="35" t="s">
        <v>4011</v>
      </c>
      <c r="C522" s="66" t="s">
        <v>98</v>
      </c>
      <c r="D522" s="66" t="s">
        <v>110</v>
      </c>
      <c r="E522" s="66" t="s">
        <v>114</v>
      </c>
      <c r="F522" s="28" t="e">
        <f ca="1">_xludf.ifna(VLOOKUP(G522,Proyectos!$A$2:$F$674,6,0),"")</f>
        <v>#NAME?</v>
      </c>
      <c r="G522" s="66" t="s">
        <v>5246</v>
      </c>
      <c r="H522" s="68">
        <v>7.0000000000000007E-2</v>
      </c>
      <c r="I522" s="31" t="s">
        <v>25</v>
      </c>
      <c r="J522" s="35" t="s">
        <v>41</v>
      </c>
      <c r="K522" s="52" t="s">
        <v>4012</v>
      </c>
      <c r="L522" s="32" t="e">
        <f ca="1">_xludf.ifna(VLOOKUP(E522,Parámetros!$D$2:$E$34,2,0),"")</f>
        <v>#NAME?</v>
      </c>
      <c r="M522" s="32" t="e">
        <f ca="1">_xludf.ifna(VLOOKUP(G522,Proyectos!$A$2:$T$674,20,0),"")</f>
        <v>#NAME?</v>
      </c>
      <c r="N522" s="32" t="e">
        <f ca="1">_xludf.ifna(VLOOKUP(G522,Proyectos!$A$2:$S$674,19,0))</f>
        <v>#NAME?</v>
      </c>
      <c r="O522" s="52" t="e">
        <f>VLOOKUP(G522,Parámetros!$F$2:$G$34,7,0)</f>
        <v>#N/A</v>
      </c>
      <c r="P522" s="63" t="e">
        <f>VLOOKUP(G522,Parámetros!$F$2:$G$34,8,0)</f>
        <v>#N/A</v>
      </c>
      <c r="Q522" s="63" t="e">
        <f t="shared" si="5"/>
        <v>#REF!</v>
      </c>
      <c r="R522" s="33"/>
      <c r="S522" s="33"/>
      <c r="T522" s="33"/>
      <c r="U522" s="33"/>
      <c r="V522" s="33"/>
      <c r="W522" s="33"/>
    </row>
    <row r="523" spans="1:23" ht="17.25" customHeight="1" x14ac:dyDescent="0.2">
      <c r="A523" s="26" t="s">
        <v>4216</v>
      </c>
      <c r="B523" s="26" t="s">
        <v>4217</v>
      </c>
      <c r="C523" s="66" t="s">
        <v>98</v>
      </c>
      <c r="D523" s="66" t="s">
        <v>110</v>
      </c>
      <c r="E523" s="66" t="s">
        <v>87</v>
      </c>
      <c r="F523" s="28" t="e">
        <f ca="1">_xludf.ifna(VLOOKUP(G523,Proyectos!$A$2:$F$674,6,0),"")</f>
        <v>#NAME?</v>
      </c>
      <c r="G523" s="66" t="s">
        <v>5241</v>
      </c>
      <c r="H523" s="32">
        <v>0.1</v>
      </c>
      <c r="I523" s="31" t="s">
        <v>32</v>
      </c>
      <c r="J523" s="35" t="s">
        <v>41</v>
      </c>
      <c r="K523" s="31" t="s">
        <v>4218</v>
      </c>
      <c r="L523" s="32" t="e">
        <f ca="1">_xludf.ifna(VLOOKUP(E523,Parámetros!$D$2:$E$34,2,0),"")</f>
        <v>#NAME?</v>
      </c>
      <c r="M523" s="32" t="e">
        <f ca="1">_xludf.ifna(VLOOKUP(G523,Proyectos!$A$2:$T$674,20,0),"")</f>
        <v>#NAME?</v>
      </c>
      <c r="N523" s="32" t="e">
        <f ca="1">_xludf.ifna(VLOOKUP(G523,Proyectos!$A$2:$S$674,19,0))</f>
        <v>#NAME?</v>
      </c>
      <c r="O523" s="31"/>
      <c r="P523" s="33"/>
      <c r="Q523" s="33"/>
      <c r="R523" s="33"/>
      <c r="S523" s="33"/>
      <c r="T523" s="33"/>
      <c r="U523" s="33"/>
      <c r="V523" s="33"/>
      <c r="W523" s="33"/>
    </row>
    <row r="524" spans="1:23" ht="17.25" customHeight="1" x14ac:dyDescent="0.2">
      <c r="A524" s="26" t="s">
        <v>4216</v>
      </c>
      <c r="B524" s="26" t="s">
        <v>4217</v>
      </c>
      <c r="C524" s="66" t="s">
        <v>98</v>
      </c>
      <c r="D524" s="66" t="s">
        <v>110</v>
      </c>
      <c r="E524" s="66" t="s">
        <v>87</v>
      </c>
      <c r="F524" s="28" t="e">
        <f ca="1">_xludf.ifna(VLOOKUP(G524,Proyectos!$A$2:$F$674,6,0),"")</f>
        <v>#NAME?</v>
      </c>
      <c r="G524" s="66" t="s">
        <v>5244</v>
      </c>
      <c r="H524" s="32">
        <v>0.15</v>
      </c>
      <c r="I524" s="31" t="s">
        <v>32</v>
      </c>
      <c r="J524" s="35" t="s">
        <v>41</v>
      </c>
      <c r="K524" s="31" t="s">
        <v>4218</v>
      </c>
      <c r="L524" s="32" t="e">
        <f ca="1">_xludf.ifna(VLOOKUP(E524,Parámetros!$D$2:$E$34,2,0),"")</f>
        <v>#NAME?</v>
      </c>
      <c r="M524" s="32" t="e">
        <f ca="1">_xludf.ifna(VLOOKUP(G524,Proyectos!$A$2:$T$674,20,0),"")</f>
        <v>#NAME?</v>
      </c>
      <c r="N524" s="32" t="e">
        <f ca="1">_xludf.ifna(VLOOKUP(G524,Proyectos!$A$2:$S$674,19,0))</f>
        <v>#NAME?</v>
      </c>
      <c r="O524" s="31"/>
      <c r="P524" s="33"/>
      <c r="Q524" s="33"/>
      <c r="R524" s="33"/>
      <c r="S524" s="33"/>
      <c r="T524" s="33"/>
      <c r="U524" s="33"/>
      <c r="V524" s="33"/>
      <c r="W524" s="33"/>
    </row>
    <row r="525" spans="1:23" ht="17.25" customHeight="1" x14ac:dyDescent="0.2">
      <c r="A525" s="26" t="s">
        <v>4216</v>
      </c>
      <c r="B525" s="26" t="s">
        <v>4217</v>
      </c>
      <c r="C525" s="66" t="s">
        <v>98</v>
      </c>
      <c r="D525" s="66" t="s">
        <v>110</v>
      </c>
      <c r="E525" s="66" t="s">
        <v>87</v>
      </c>
      <c r="F525" s="28" t="e">
        <f ca="1">_xludf.ifna(VLOOKUP(G525,Proyectos!$A$2:$F$674,6,0),"")</f>
        <v>#NAME?</v>
      </c>
      <c r="G525" s="66" t="s">
        <v>5242</v>
      </c>
      <c r="H525" s="32">
        <v>0.15</v>
      </c>
      <c r="I525" s="31" t="s">
        <v>32</v>
      </c>
      <c r="J525" s="35" t="s">
        <v>41</v>
      </c>
      <c r="K525" s="31" t="s">
        <v>4218</v>
      </c>
      <c r="L525" s="32" t="e">
        <f ca="1">_xludf.ifna(VLOOKUP(E525,Parámetros!$D$2:$E$34,2,0),"")</f>
        <v>#NAME?</v>
      </c>
      <c r="M525" s="32" t="e">
        <f ca="1">_xludf.ifna(VLOOKUP(G525,Proyectos!$A$2:$T$674,20,0),"")</f>
        <v>#NAME?</v>
      </c>
      <c r="N525" s="32" t="e">
        <f ca="1">_xludf.ifna(VLOOKUP(G525,Proyectos!$A$2:$S$674,19,0))</f>
        <v>#NAME?</v>
      </c>
      <c r="O525" s="31"/>
      <c r="P525" s="33"/>
      <c r="Q525" s="33"/>
      <c r="R525" s="33"/>
      <c r="S525" s="33"/>
      <c r="T525" s="33"/>
      <c r="U525" s="33"/>
      <c r="V525" s="33"/>
      <c r="W525" s="33"/>
    </row>
    <row r="526" spans="1:23" ht="17.25" customHeight="1" x14ac:dyDescent="0.2">
      <c r="A526" s="26" t="s">
        <v>4216</v>
      </c>
      <c r="B526" s="26" t="s">
        <v>4217</v>
      </c>
      <c r="C526" s="66" t="s">
        <v>98</v>
      </c>
      <c r="D526" s="66" t="s">
        <v>110</v>
      </c>
      <c r="E526" s="66" t="s">
        <v>87</v>
      </c>
      <c r="F526" s="28" t="e">
        <f ca="1">_xludf.ifna(VLOOKUP(G526,Proyectos!$A$2:$F$674,6,0),"")</f>
        <v>#NAME?</v>
      </c>
      <c r="G526" s="66" t="s">
        <v>5240</v>
      </c>
      <c r="H526" s="32">
        <v>0.15</v>
      </c>
      <c r="I526" s="31" t="s">
        <v>32</v>
      </c>
      <c r="J526" s="35" t="s">
        <v>41</v>
      </c>
      <c r="K526" s="31" t="s">
        <v>4218</v>
      </c>
      <c r="L526" s="32" t="e">
        <f ca="1">_xludf.ifna(VLOOKUP(E526,Parámetros!$D$2:$E$34,2,0),"")</f>
        <v>#NAME?</v>
      </c>
      <c r="M526" s="32" t="e">
        <f ca="1">_xludf.ifna(VLOOKUP(G526,Proyectos!$A$2:$T$674,20,0),"")</f>
        <v>#NAME?</v>
      </c>
      <c r="N526" s="32" t="e">
        <f ca="1">_xludf.ifna(VLOOKUP(G526,Proyectos!$A$2:$S$674,19,0))</f>
        <v>#NAME?</v>
      </c>
      <c r="O526" s="31"/>
      <c r="P526" s="33"/>
      <c r="Q526" s="33"/>
      <c r="R526" s="33"/>
      <c r="S526" s="33"/>
      <c r="T526" s="33"/>
      <c r="U526" s="33"/>
      <c r="V526" s="33"/>
      <c r="W526" s="33"/>
    </row>
    <row r="527" spans="1:23" ht="17.25" customHeight="1" x14ac:dyDescent="0.2">
      <c r="A527" s="26" t="s">
        <v>4216</v>
      </c>
      <c r="B527" s="26" t="s">
        <v>4217</v>
      </c>
      <c r="C527" s="66" t="s">
        <v>98</v>
      </c>
      <c r="D527" s="26" t="s">
        <v>113</v>
      </c>
      <c r="E527" s="66" t="s">
        <v>114</v>
      </c>
      <c r="F527" s="28" t="e">
        <f ca="1">_xludf.ifna(VLOOKUP(G527,Proyectos!$A$2:$F$674,6,0),"")</f>
        <v>#NAME?</v>
      </c>
      <c r="G527" s="66" t="s">
        <v>5245</v>
      </c>
      <c r="H527" s="32">
        <v>0.15</v>
      </c>
      <c r="I527" s="31" t="s">
        <v>32</v>
      </c>
      <c r="J527" s="35" t="s">
        <v>41</v>
      </c>
      <c r="K527" s="31" t="s">
        <v>4218</v>
      </c>
      <c r="L527" s="32" t="e">
        <f ca="1">_xludf.ifna(VLOOKUP(E527,Parámetros!$D$2:$E$34,2,0),"")</f>
        <v>#NAME?</v>
      </c>
      <c r="M527" s="32" t="e">
        <f ca="1">_xludf.ifna(VLOOKUP(G527,Proyectos!$A$2:$T$674,20,0),"")</f>
        <v>#NAME?</v>
      </c>
      <c r="N527" s="32" t="e">
        <f ca="1">_xludf.ifna(VLOOKUP(G527,Proyectos!$A$2:$S$674,19,0))</f>
        <v>#NAME?</v>
      </c>
      <c r="O527" s="52" t="e">
        <f>VLOOKUP(G527,Parámetros!$F$2:$G$34,7,0)</f>
        <v>#N/A</v>
      </c>
      <c r="P527" s="63" t="e">
        <f>VLOOKUP(G527,Parámetros!$F$2:$G$34,8,0)</f>
        <v>#N/A</v>
      </c>
      <c r="Q527" s="63" t="e">
        <f t="shared" ref="Q527:Q529" si="6">IF(B527=#REF!,0,1)</f>
        <v>#REF!</v>
      </c>
      <c r="R527" s="33"/>
      <c r="S527" s="33"/>
      <c r="T527" s="33"/>
      <c r="U527" s="33"/>
      <c r="V527" s="33"/>
      <c r="W527" s="33"/>
    </row>
    <row r="528" spans="1:23" ht="17.25" customHeight="1" x14ac:dyDescent="0.2">
      <c r="A528" s="26" t="s">
        <v>4216</v>
      </c>
      <c r="B528" s="26" t="s">
        <v>4217</v>
      </c>
      <c r="C528" s="66" t="s">
        <v>98</v>
      </c>
      <c r="D528" s="26" t="s">
        <v>113</v>
      </c>
      <c r="E528" s="66" t="s">
        <v>114</v>
      </c>
      <c r="F528" s="28" t="e">
        <f ca="1">_xludf.ifna(VLOOKUP(G528,Proyectos!$A$2:$F$674,6,0),"")</f>
        <v>#NAME?</v>
      </c>
      <c r="G528" s="66" t="s">
        <v>5133</v>
      </c>
      <c r="H528" s="32">
        <v>0.15</v>
      </c>
      <c r="I528" s="31" t="s">
        <v>32</v>
      </c>
      <c r="J528" s="35" t="s">
        <v>41</v>
      </c>
      <c r="K528" s="31" t="s">
        <v>4218</v>
      </c>
      <c r="L528" s="32" t="e">
        <f ca="1">_xludf.ifna(VLOOKUP(E528,Parámetros!$D$2:$E$34,2,0),"")</f>
        <v>#NAME?</v>
      </c>
      <c r="M528" s="32" t="e">
        <f ca="1">_xludf.ifna(VLOOKUP(G528,Proyectos!$A$2:$T$674,20,0),"")</f>
        <v>#NAME?</v>
      </c>
      <c r="N528" s="32" t="e">
        <f ca="1">_xludf.ifna(VLOOKUP(G528,Proyectos!$A$2:$S$674,19,0))</f>
        <v>#NAME?</v>
      </c>
      <c r="O528" s="52" t="e">
        <f>VLOOKUP(G528,Parámetros!$F$2:$G$34,7,0)</f>
        <v>#N/A</v>
      </c>
      <c r="P528" s="63" t="e">
        <f>VLOOKUP(G528,Parámetros!$F$2:$G$34,8,0)</f>
        <v>#N/A</v>
      </c>
      <c r="Q528" s="63" t="e">
        <f t="shared" si="6"/>
        <v>#REF!</v>
      </c>
      <c r="R528" s="33"/>
      <c r="S528" s="33"/>
      <c r="T528" s="33"/>
      <c r="U528" s="33"/>
      <c r="V528" s="33"/>
      <c r="W528" s="33"/>
    </row>
    <row r="529" spans="1:23" ht="17.25" customHeight="1" x14ac:dyDescent="0.2">
      <c r="A529" s="26" t="s">
        <v>4216</v>
      </c>
      <c r="B529" s="26" t="s">
        <v>4217</v>
      </c>
      <c r="C529" s="66" t="s">
        <v>98</v>
      </c>
      <c r="D529" s="66" t="s">
        <v>110</v>
      </c>
      <c r="E529" s="66" t="s">
        <v>114</v>
      </c>
      <c r="F529" s="28" t="e">
        <f ca="1">_xludf.ifna(VLOOKUP(G529,Proyectos!$A$2:$F$674,6,0),"")</f>
        <v>#NAME?</v>
      </c>
      <c r="G529" s="66" t="s">
        <v>5246</v>
      </c>
      <c r="H529" s="32">
        <v>0.15</v>
      </c>
      <c r="I529" s="31" t="s">
        <v>32</v>
      </c>
      <c r="J529" s="35" t="s">
        <v>41</v>
      </c>
      <c r="K529" s="31" t="s">
        <v>4218</v>
      </c>
      <c r="L529" s="32" t="e">
        <f ca="1">_xludf.ifna(VLOOKUP(E529,Parámetros!$D$2:$E$34,2,0),"")</f>
        <v>#NAME?</v>
      </c>
      <c r="M529" s="32" t="e">
        <f ca="1">_xludf.ifna(VLOOKUP(G529,Proyectos!$A$2:$T$674,20,0),"")</f>
        <v>#NAME?</v>
      </c>
      <c r="N529" s="32" t="e">
        <f ca="1">_xludf.ifna(VLOOKUP(G529,Proyectos!$A$2:$S$674,19,0))</f>
        <v>#NAME?</v>
      </c>
      <c r="O529" s="52" t="e">
        <f>VLOOKUP(G529,Parámetros!$F$2:$G$34,7,0)</f>
        <v>#N/A</v>
      </c>
      <c r="P529" s="63" t="e">
        <f>VLOOKUP(G529,Parámetros!$F$2:$G$34,8,0)</f>
        <v>#N/A</v>
      </c>
      <c r="Q529" s="63" t="e">
        <f t="shared" si="6"/>
        <v>#REF!</v>
      </c>
      <c r="R529" s="33"/>
      <c r="S529" s="33"/>
      <c r="T529" s="33"/>
      <c r="U529" s="33"/>
      <c r="V529" s="33"/>
      <c r="W529" s="33"/>
    </row>
    <row r="530" spans="1:23" ht="17.25" customHeight="1" x14ac:dyDescent="0.2">
      <c r="A530" s="26" t="s">
        <v>3874</v>
      </c>
      <c r="B530" s="26" t="s">
        <v>3875</v>
      </c>
      <c r="C530" s="26" t="s">
        <v>115</v>
      </c>
      <c r="D530" s="26" t="s">
        <v>122</v>
      </c>
      <c r="E530" s="26" t="s">
        <v>39</v>
      </c>
      <c r="F530" s="28" t="e">
        <f ca="1">_xludf.ifna(VLOOKUP(G530,Proyectos!$A$2:$F$674,6,0),"")</f>
        <v>#NAME?</v>
      </c>
      <c r="G530" s="35" t="s">
        <v>5114</v>
      </c>
      <c r="H530" s="32">
        <v>1</v>
      </c>
      <c r="I530" s="31" t="s">
        <v>18</v>
      </c>
      <c r="J530" s="69"/>
      <c r="K530" s="32" t="str">
        <f>IF(E530="BBVA","Interno","Externo")</f>
        <v>Interno</v>
      </c>
      <c r="L530" s="32" t="e">
        <f ca="1">_xludf.ifna(VLOOKUP(E530,Parámetros!$D$2:$E$34,2,0),"")</f>
        <v>#NAME?</v>
      </c>
      <c r="M530" s="32" t="e">
        <f ca="1">_xludf.ifna(VLOOKUP(G530,Proyectos!$A$2:$T$674,20,0),"")</f>
        <v>#NAME?</v>
      </c>
      <c r="N530" s="32" t="e">
        <f ca="1">_xludf.ifna(VLOOKUP(G530,Proyectos!$A$2:$S$674,19,0))</f>
        <v>#NAME?</v>
      </c>
      <c r="O530" s="31"/>
      <c r="P530" s="33"/>
      <c r="Q530" s="33"/>
      <c r="R530" s="33"/>
      <c r="S530" s="33"/>
      <c r="T530" s="63">
        <f>IF(B530=B508,0,1)</f>
        <v>1</v>
      </c>
      <c r="U530" s="33"/>
      <c r="V530" s="33"/>
      <c r="W530" s="33"/>
    </row>
    <row r="531" spans="1:23" ht="16.5" customHeight="1" x14ac:dyDescent="0.2">
      <c r="A531" s="49" t="s">
        <v>3294</v>
      </c>
      <c r="B531" s="26" t="s">
        <v>3295</v>
      </c>
      <c r="C531" s="26" t="s">
        <v>7</v>
      </c>
      <c r="D531" s="26" t="s">
        <v>16</v>
      </c>
      <c r="E531" s="26" t="s">
        <v>39</v>
      </c>
      <c r="F531" s="28" t="e">
        <f ca="1">_xludf.ifna(VLOOKUP(G531,Proyectos!$A$2:$F$674,6,0),"")</f>
        <v>#NAME?</v>
      </c>
      <c r="G531" s="66" t="s">
        <v>5117</v>
      </c>
      <c r="H531" s="32">
        <v>1</v>
      </c>
      <c r="I531" s="31" t="s">
        <v>18</v>
      </c>
      <c r="J531" s="31" t="s">
        <v>72</v>
      </c>
      <c r="K531" s="31" t="s">
        <v>40</v>
      </c>
      <c r="L531" s="32" t="e">
        <f ca="1">_xludf.ifna(VLOOKUP(E531,Parámetros!$D$2:$E$34,2,0),"")</f>
        <v>#NAME?</v>
      </c>
      <c r="M531" s="32" t="e">
        <f ca="1">_xludf.ifna(VLOOKUP(G531,Proyectos!$A$2:$T$674,20,0),"")</f>
        <v>#NAME?</v>
      </c>
      <c r="N531" s="32" t="e">
        <f ca="1">_xludf.ifna(VLOOKUP(G531,Proyectos!$A$2:$S$674,19,0))</f>
        <v>#NAME?</v>
      </c>
      <c r="O531" s="32"/>
      <c r="P531" s="31"/>
      <c r="Q531" s="33"/>
      <c r="R531" s="33"/>
      <c r="S531" s="33"/>
      <c r="T531" s="33"/>
      <c r="U531" s="33"/>
      <c r="V531" s="33"/>
      <c r="W531" s="33"/>
    </row>
    <row r="532" spans="1:23" ht="16.5" customHeight="1" x14ac:dyDescent="0.2">
      <c r="A532" s="26" t="s">
        <v>3325</v>
      </c>
      <c r="B532" s="26" t="s">
        <v>3326</v>
      </c>
      <c r="C532" s="26" t="s">
        <v>7</v>
      </c>
      <c r="D532" s="26" t="s">
        <v>16</v>
      </c>
      <c r="E532" s="26" t="s">
        <v>39</v>
      </c>
      <c r="F532" s="28" t="e">
        <f ca="1">_xludf.ifna(VLOOKUP(G532,Proyectos!$A$2:$F$674,6,0),"")</f>
        <v>#NAME?</v>
      </c>
      <c r="G532" s="66" t="s">
        <v>5239</v>
      </c>
      <c r="H532" s="36">
        <v>0.7</v>
      </c>
      <c r="I532" s="31" t="s">
        <v>18</v>
      </c>
      <c r="J532" s="31" t="s">
        <v>41</v>
      </c>
      <c r="K532" s="31" t="s">
        <v>40</v>
      </c>
      <c r="L532" s="32" t="e">
        <f ca="1">_xludf.ifna(VLOOKUP(E532,Parámetros!$D$2:$E$34,2,0),"")</f>
        <v>#NAME?</v>
      </c>
      <c r="M532" s="32" t="e">
        <f ca="1">_xludf.ifna(VLOOKUP(G532,Proyectos!$A$2:$T$674,20,0),"")</f>
        <v>#NAME?</v>
      </c>
      <c r="N532" s="32" t="e">
        <f ca="1">_xludf.ifna(VLOOKUP(G532,Proyectos!$A$2:$S$674,19,0))</f>
        <v>#NAME?</v>
      </c>
      <c r="O532" s="32"/>
      <c r="P532" s="31"/>
      <c r="Q532" s="33"/>
      <c r="R532" s="33"/>
      <c r="S532" s="33"/>
      <c r="T532" s="33"/>
      <c r="U532" s="33"/>
      <c r="V532" s="33"/>
      <c r="W532" s="33"/>
    </row>
    <row r="533" spans="1:23" ht="16.5" customHeight="1" x14ac:dyDescent="0.2">
      <c r="A533" s="26" t="s">
        <v>3325</v>
      </c>
      <c r="B533" s="26" t="s">
        <v>3326</v>
      </c>
      <c r="C533" s="26" t="s">
        <v>7</v>
      </c>
      <c r="D533" s="26" t="s">
        <v>16</v>
      </c>
      <c r="E533" s="26" t="s">
        <v>39</v>
      </c>
      <c r="F533" s="28" t="e">
        <f ca="1">_xludf.ifna(VLOOKUP(G533,Proyectos!$A$2:$F$674,6,0),"")</f>
        <v>#NAME?</v>
      </c>
      <c r="G533" s="66" t="s">
        <v>5221</v>
      </c>
      <c r="H533" s="32">
        <v>0.3</v>
      </c>
      <c r="I533" s="31" t="s">
        <v>18</v>
      </c>
      <c r="J533" s="31" t="s">
        <v>41</v>
      </c>
      <c r="K533" s="31" t="s">
        <v>40</v>
      </c>
      <c r="L533" s="32" t="e">
        <f ca="1">_xludf.ifna(VLOOKUP(E533,Parámetros!$D$2:$E$34,2,0),"")</f>
        <v>#NAME?</v>
      </c>
      <c r="M533" s="32" t="e">
        <f ca="1">_xludf.ifna(VLOOKUP(G533,Proyectos!$A$2:$T$674,20,0),"")</f>
        <v>#NAME?</v>
      </c>
      <c r="N533" s="32" t="e">
        <f ca="1">_xludf.ifna(VLOOKUP(G533,Proyectos!$A$2:$S$674,19,0))</f>
        <v>#NAME?</v>
      </c>
      <c r="O533" s="31"/>
      <c r="P533" s="31"/>
      <c r="Q533" s="33"/>
      <c r="R533" s="33"/>
      <c r="S533" s="33"/>
      <c r="T533" s="33"/>
      <c r="U533" s="33"/>
      <c r="V533" s="33"/>
      <c r="W533" s="33"/>
    </row>
    <row r="534" spans="1:23" ht="16.5" customHeight="1" x14ac:dyDescent="0.2">
      <c r="A534" s="49" t="s">
        <v>3654</v>
      </c>
      <c r="B534" s="26" t="s">
        <v>3655</v>
      </c>
      <c r="C534" s="26" t="s">
        <v>7</v>
      </c>
      <c r="D534" s="26" t="s">
        <v>16</v>
      </c>
      <c r="E534" s="49" t="s">
        <v>39</v>
      </c>
      <c r="F534" s="28" t="e">
        <f ca="1">_xludf.ifna(VLOOKUP(G534,Proyectos!$A$2:$F$674,6,0),"")</f>
        <v>#NAME?</v>
      </c>
      <c r="G534" s="66" t="s">
        <v>5239</v>
      </c>
      <c r="H534" s="36">
        <v>1</v>
      </c>
      <c r="I534" s="31" t="s">
        <v>18</v>
      </c>
      <c r="J534" s="31" t="s">
        <v>72</v>
      </c>
      <c r="K534" s="31" t="s">
        <v>40</v>
      </c>
      <c r="L534" s="32" t="e">
        <f ca="1">_xludf.ifna(VLOOKUP(E534,Parámetros!$D$2:$E$34,2,0),"")</f>
        <v>#NAME?</v>
      </c>
      <c r="M534" s="32" t="e">
        <f ca="1">_xludf.ifna(VLOOKUP(G534,Proyectos!$A$2:$T$674,20,0),"")</f>
        <v>#NAME?</v>
      </c>
      <c r="N534" s="32" t="e">
        <f ca="1">_xludf.ifna(VLOOKUP(G534,Proyectos!$A$2:$S$674,19,0))</f>
        <v>#NAME?</v>
      </c>
      <c r="O534" s="32"/>
      <c r="P534" s="31"/>
      <c r="Q534" s="33"/>
      <c r="R534" s="33"/>
      <c r="S534" s="33"/>
      <c r="T534" s="33"/>
      <c r="U534" s="33"/>
      <c r="V534" s="33"/>
      <c r="W534" s="33"/>
    </row>
    <row r="535" spans="1:23" ht="16.5" customHeight="1" x14ac:dyDescent="0.2">
      <c r="A535" s="26" t="s">
        <v>3682</v>
      </c>
      <c r="B535" s="26" t="s">
        <v>3683</v>
      </c>
      <c r="C535" s="26" t="s">
        <v>7</v>
      </c>
      <c r="D535" s="26" t="s">
        <v>16</v>
      </c>
      <c r="E535" s="49" t="s">
        <v>39</v>
      </c>
      <c r="F535" s="28" t="e">
        <f ca="1">_xludf.ifna(VLOOKUP(G535,Proyectos!$A$2:$F$674,6,0),"")</f>
        <v>#NAME?</v>
      </c>
      <c r="G535" s="66" t="s">
        <v>5234</v>
      </c>
      <c r="H535" s="36">
        <v>0.65</v>
      </c>
      <c r="I535" s="31" t="s">
        <v>18</v>
      </c>
      <c r="J535" s="31" t="s">
        <v>72</v>
      </c>
      <c r="K535" s="31" t="s">
        <v>40</v>
      </c>
      <c r="L535" s="32" t="e">
        <f ca="1">_xludf.ifna(VLOOKUP(E535,Parámetros!$D$2:$E$34,2,0),"")</f>
        <v>#NAME?</v>
      </c>
      <c r="M535" s="32" t="e">
        <f ca="1">_xludf.ifna(VLOOKUP(G535,Proyectos!$A$2:$T$674,20,0),"")</f>
        <v>#NAME?</v>
      </c>
      <c r="N535" s="32" t="e">
        <f ca="1">_xludf.ifna(VLOOKUP(G535,Proyectos!$A$2:$S$674,19,0))</f>
        <v>#NAME?</v>
      </c>
      <c r="O535" s="32"/>
      <c r="P535" s="31"/>
      <c r="Q535" s="33"/>
      <c r="R535" s="33"/>
      <c r="S535" s="33"/>
      <c r="T535" s="33"/>
      <c r="U535" s="33"/>
      <c r="V535" s="33"/>
      <c r="W535" s="33"/>
    </row>
    <row r="536" spans="1:23" ht="16.5" customHeight="1" x14ac:dyDescent="0.2">
      <c r="A536" s="26" t="s">
        <v>3682</v>
      </c>
      <c r="B536" s="26" t="s">
        <v>3683</v>
      </c>
      <c r="C536" s="26" t="s">
        <v>7</v>
      </c>
      <c r="D536" s="26" t="s">
        <v>16</v>
      </c>
      <c r="E536" s="49" t="s">
        <v>39</v>
      </c>
      <c r="F536" s="28" t="e">
        <f ca="1">_xludf.ifna(VLOOKUP(G536,Proyectos!$A$2:$F$674,6,0),"")</f>
        <v>#NAME?</v>
      </c>
      <c r="G536" s="66" t="s">
        <v>5221</v>
      </c>
      <c r="H536" s="36">
        <v>0.25</v>
      </c>
      <c r="I536" s="31" t="s">
        <v>18</v>
      </c>
      <c r="J536" s="31" t="s">
        <v>72</v>
      </c>
      <c r="K536" s="31" t="s">
        <v>40</v>
      </c>
      <c r="L536" s="32" t="e">
        <f ca="1">_xludf.ifna(VLOOKUP(E536,Parámetros!$D$2:$E$34,2,0),"")</f>
        <v>#NAME?</v>
      </c>
      <c r="M536" s="32" t="e">
        <f ca="1">_xludf.ifna(VLOOKUP(G536,Proyectos!$A$2:$T$674,20,0),"")</f>
        <v>#NAME?</v>
      </c>
      <c r="N536" s="32" t="e">
        <f ca="1">_xludf.ifna(VLOOKUP(G536,Proyectos!$A$2:$S$674,19,0))</f>
        <v>#NAME?</v>
      </c>
      <c r="O536" s="32"/>
      <c r="P536" s="31"/>
      <c r="Q536" s="33"/>
      <c r="R536" s="33"/>
      <c r="S536" s="33"/>
      <c r="T536" s="33"/>
      <c r="U536" s="33"/>
      <c r="V536" s="33"/>
      <c r="W536" s="33"/>
    </row>
    <row r="537" spans="1:23" ht="16.5" customHeight="1" x14ac:dyDescent="0.2">
      <c r="A537" s="26" t="s">
        <v>3682</v>
      </c>
      <c r="B537" s="26" t="s">
        <v>3683</v>
      </c>
      <c r="C537" s="26" t="s">
        <v>7</v>
      </c>
      <c r="D537" s="26" t="s">
        <v>16</v>
      </c>
      <c r="E537" s="49" t="s">
        <v>39</v>
      </c>
      <c r="F537" s="28" t="e">
        <f ca="1">_xludf.ifna(VLOOKUP(G537,Proyectos!$A$2:$F$674,6,0),"")</f>
        <v>#NAME?</v>
      </c>
      <c r="G537" s="66" t="s">
        <v>5236</v>
      </c>
      <c r="H537" s="36">
        <v>0.1</v>
      </c>
      <c r="I537" s="31" t="s">
        <v>18</v>
      </c>
      <c r="J537" s="31" t="s">
        <v>72</v>
      </c>
      <c r="K537" s="31" t="s">
        <v>40</v>
      </c>
      <c r="L537" s="32" t="e">
        <f ca="1">_xludf.ifna(VLOOKUP(E537,Parámetros!$D$2:$E$34,2,0),"")</f>
        <v>#NAME?</v>
      </c>
      <c r="M537" s="32" t="e">
        <f ca="1">_xludf.ifna(VLOOKUP(G537,Proyectos!$A$2:$T$674,20,0),"")</f>
        <v>#NAME?</v>
      </c>
      <c r="N537" s="32" t="e">
        <f ca="1">_xludf.ifna(VLOOKUP(G537,Proyectos!$A$2:$S$674,19,0))</f>
        <v>#NAME?</v>
      </c>
      <c r="O537" s="32"/>
      <c r="P537" s="31"/>
      <c r="Q537" s="33"/>
      <c r="R537" s="33"/>
      <c r="S537" s="33"/>
      <c r="T537" s="33"/>
      <c r="U537" s="33"/>
      <c r="V537" s="33"/>
      <c r="W537" s="33"/>
    </row>
    <row r="538" spans="1:23" ht="16.5" customHeight="1" x14ac:dyDescent="0.2">
      <c r="A538" s="26" t="s">
        <v>3773</v>
      </c>
      <c r="B538" s="26" t="s">
        <v>3774</v>
      </c>
      <c r="C538" s="26" t="s">
        <v>7</v>
      </c>
      <c r="D538" s="26" t="s">
        <v>16</v>
      </c>
      <c r="E538" s="26" t="s">
        <v>39</v>
      </c>
      <c r="F538" s="28" t="e">
        <f ca="1">_xludf.ifna(VLOOKUP(G538,Proyectos!$A$2:$F$674,6,0),"")</f>
        <v>#NAME?</v>
      </c>
      <c r="G538" s="66" t="s">
        <v>5117</v>
      </c>
      <c r="H538" s="36">
        <v>0.4</v>
      </c>
      <c r="I538" s="31" t="s">
        <v>18</v>
      </c>
      <c r="J538" s="31" t="s">
        <v>72</v>
      </c>
      <c r="K538" s="31" t="s">
        <v>40</v>
      </c>
      <c r="L538" s="32" t="e">
        <f ca="1">_xludf.ifna(VLOOKUP(E538,Parámetros!$D$2:$E$34,2,0),"")</f>
        <v>#NAME?</v>
      </c>
      <c r="M538" s="32" t="e">
        <f ca="1">_xludf.ifna(VLOOKUP(G538,Proyectos!$A$2:$T$674,20,0),"")</f>
        <v>#NAME?</v>
      </c>
      <c r="N538" s="32" t="e">
        <f ca="1">_xludf.ifna(VLOOKUP(G538,Proyectos!$A$2:$S$674,19,0))</f>
        <v>#NAME?</v>
      </c>
      <c r="O538" s="32"/>
      <c r="P538" s="31"/>
      <c r="Q538" s="33"/>
      <c r="R538" s="33"/>
      <c r="S538" s="33"/>
      <c r="T538" s="33"/>
      <c r="U538" s="33"/>
      <c r="V538" s="33"/>
      <c r="W538" s="33"/>
    </row>
    <row r="539" spans="1:23" ht="16.5" customHeight="1" x14ac:dyDescent="0.2">
      <c r="A539" s="26" t="s">
        <v>3773</v>
      </c>
      <c r="B539" s="26" t="s">
        <v>3774</v>
      </c>
      <c r="C539" s="26" t="s">
        <v>7</v>
      </c>
      <c r="D539" s="26" t="s">
        <v>16</v>
      </c>
      <c r="E539" s="26" t="s">
        <v>39</v>
      </c>
      <c r="F539" s="28" t="e">
        <f ca="1">_xludf.ifna(VLOOKUP(G539,Proyectos!$A$2:$F$674,6,0),"")</f>
        <v>#NAME?</v>
      </c>
      <c r="G539" s="66" t="s">
        <v>5234</v>
      </c>
      <c r="H539" s="36">
        <v>0.2</v>
      </c>
      <c r="I539" s="31" t="s">
        <v>18</v>
      </c>
      <c r="J539" s="31" t="s">
        <v>72</v>
      </c>
      <c r="K539" s="31" t="s">
        <v>40</v>
      </c>
      <c r="L539" s="32" t="e">
        <f ca="1">_xludf.ifna(VLOOKUP(E539,Parámetros!$D$2:$E$34,2,0),"")</f>
        <v>#NAME?</v>
      </c>
      <c r="M539" s="32" t="e">
        <f ca="1">_xludf.ifna(VLOOKUP(G539,Proyectos!$A$2:$T$674,20,0),"")</f>
        <v>#NAME?</v>
      </c>
      <c r="N539" s="32" t="e">
        <f ca="1">_xludf.ifna(VLOOKUP(G539,Proyectos!$A$2:$S$674,19,0))</f>
        <v>#NAME?</v>
      </c>
      <c r="O539" s="32"/>
      <c r="P539" s="31"/>
      <c r="Q539" s="33"/>
      <c r="R539" s="33"/>
      <c r="S539" s="33"/>
      <c r="T539" s="33"/>
      <c r="U539" s="33"/>
      <c r="V539" s="33"/>
      <c r="W539" s="33"/>
    </row>
    <row r="540" spans="1:23" ht="16.5" customHeight="1" x14ac:dyDescent="0.2">
      <c r="A540" s="26" t="s">
        <v>3773</v>
      </c>
      <c r="B540" s="26" t="s">
        <v>3774</v>
      </c>
      <c r="C540" s="26" t="s">
        <v>7</v>
      </c>
      <c r="D540" s="26" t="s">
        <v>16</v>
      </c>
      <c r="E540" s="26" t="s">
        <v>39</v>
      </c>
      <c r="F540" s="28" t="e">
        <f ca="1">_xludf.ifna(VLOOKUP(G540,Proyectos!$A$2:$F$674,6,0),"")</f>
        <v>#NAME?</v>
      </c>
      <c r="G540" s="66" t="s">
        <v>5221</v>
      </c>
      <c r="H540" s="36">
        <v>0.2</v>
      </c>
      <c r="I540" s="31" t="s">
        <v>18</v>
      </c>
      <c r="J540" s="31" t="s">
        <v>72</v>
      </c>
      <c r="K540" s="31" t="s">
        <v>40</v>
      </c>
      <c r="L540" s="32" t="e">
        <f ca="1">_xludf.ifna(VLOOKUP(E540,Parámetros!$D$2:$E$34,2,0),"")</f>
        <v>#NAME?</v>
      </c>
      <c r="M540" s="32" t="e">
        <f ca="1">_xludf.ifna(VLOOKUP(G540,Proyectos!$A$2:$T$674,20,0),"")</f>
        <v>#NAME?</v>
      </c>
      <c r="N540" s="32" t="e">
        <f ca="1">_xludf.ifna(VLOOKUP(G540,Proyectos!$A$2:$S$674,19,0))</f>
        <v>#NAME?</v>
      </c>
      <c r="O540" s="32"/>
      <c r="P540" s="31"/>
      <c r="Q540" s="33"/>
      <c r="R540" s="33"/>
      <c r="S540" s="33"/>
      <c r="T540" s="33"/>
      <c r="U540" s="33"/>
      <c r="V540" s="33"/>
      <c r="W540" s="33"/>
    </row>
    <row r="541" spans="1:23" ht="16.5" customHeight="1" x14ac:dyDescent="0.2">
      <c r="A541" s="26" t="s">
        <v>3773</v>
      </c>
      <c r="B541" s="26" t="s">
        <v>3774</v>
      </c>
      <c r="C541" s="26" t="s">
        <v>7</v>
      </c>
      <c r="D541" s="26" t="s">
        <v>16</v>
      </c>
      <c r="E541" s="26" t="s">
        <v>39</v>
      </c>
      <c r="F541" s="28" t="e">
        <f ca="1">_xludf.ifna(VLOOKUP(G541,Proyectos!$A$2:$F$674,6,0),"")</f>
        <v>#NAME?</v>
      </c>
      <c r="G541" s="29" t="s">
        <v>5114</v>
      </c>
      <c r="H541" s="36">
        <v>0.2</v>
      </c>
      <c r="I541" s="31" t="s">
        <v>18</v>
      </c>
      <c r="J541" s="31" t="s">
        <v>72</v>
      </c>
      <c r="K541" s="31" t="s">
        <v>40</v>
      </c>
      <c r="L541" s="32" t="e">
        <f ca="1">_xludf.ifna(VLOOKUP(E541,Parámetros!$D$2:$E$34,2,0),"")</f>
        <v>#NAME?</v>
      </c>
      <c r="M541" s="32" t="e">
        <f ca="1">_xludf.ifna(VLOOKUP(G541,Proyectos!$A$2:$T$674,20,0),"")</f>
        <v>#NAME?</v>
      </c>
      <c r="N541" s="32" t="e">
        <f ca="1">_xludf.ifna(VLOOKUP(G541,Proyectos!$A$2:$S$674,19,0))</f>
        <v>#NAME?</v>
      </c>
      <c r="O541" s="32"/>
      <c r="P541" s="31"/>
      <c r="Q541" s="33"/>
      <c r="R541" s="33"/>
      <c r="S541" s="33"/>
      <c r="T541" s="33"/>
      <c r="U541" s="33"/>
      <c r="V541" s="33"/>
      <c r="W541" s="33"/>
    </row>
    <row r="542" spans="1:23" ht="16.5" customHeight="1" x14ac:dyDescent="0.2">
      <c r="A542" s="26" t="s">
        <v>4249</v>
      </c>
      <c r="B542" s="26" t="s">
        <v>4250</v>
      </c>
      <c r="C542" s="26" t="s">
        <v>7</v>
      </c>
      <c r="D542" s="26" t="s">
        <v>16</v>
      </c>
      <c r="E542" s="26" t="s">
        <v>87</v>
      </c>
      <c r="F542" s="28" t="e">
        <f ca="1">_xludf.ifna(VLOOKUP(G542,Proyectos!$A$2:$F$674,6,0),"")</f>
        <v>#NAME?</v>
      </c>
      <c r="G542" s="66" t="s">
        <v>5239</v>
      </c>
      <c r="H542" s="36">
        <v>0.5</v>
      </c>
      <c r="I542" s="31" t="s">
        <v>25</v>
      </c>
      <c r="J542" s="31" t="s">
        <v>72</v>
      </c>
      <c r="K542" s="32" t="str">
        <f>IF(E542="BBVA","Interno","Externo")</f>
        <v>Externo</v>
      </c>
      <c r="L542" s="32" t="e">
        <f ca="1">_xludf.ifna(VLOOKUP(E542,Parámetros!$D$2:$E$34,2,0),"")</f>
        <v>#NAME?</v>
      </c>
      <c r="M542" s="32" t="e">
        <f ca="1">_xludf.ifna(VLOOKUP(G542,Proyectos!$A$2:$T$674,20,0),"")</f>
        <v>#NAME?</v>
      </c>
      <c r="N542" s="32" t="e">
        <f ca="1">_xludf.ifna(VLOOKUP(G542,Proyectos!$A$2:$S$674,19,0))</f>
        <v>#NAME?</v>
      </c>
      <c r="O542" s="32"/>
      <c r="P542" s="31"/>
      <c r="Q542" s="33"/>
      <c r="R542" s="33"/>
      <c r="S542" s="33"/>
      <c r="T542" s="33"/>
      <c r="U542" s="33"/>
      <c r="V542" s="33"/>
      <c r="W542" s="33"/>
    </row>
    <row r="543" spans="1:23" ht="16.5" customHeight="1" x14ac:dyDescent="0.2">
      <c r="A543" s="26" t="s">
        <v>4249</v>
      </c>
      <c r="B543" s="26" t="s">
        <v>4250</v>
      </c>
      <c r="C543" s="26" t="s">
        <v>7</v>
      </c>
      <c r="D543" s="26" t="s">
        <v>16</v>
      </c>
      <c r="E543" s="26" t="s">
        <v>87</v>
      </c>
      <c r="F543" s="28" t="e">
        <f ca="1">_xludf.ifna(VLOOKUP(G543,Proyectos!$A$2:$F$674,6,0),"")</f>
        <v>#NAME?</v>
      </c>
      <c r="G543" s="66" t="s">
        <v>5221</v>
      </c>
      <c r="H543" s="32">
        <v>0.25</v>
      </c>
      <c r="I543" s="31" t="s">
        <v>25</v>
      </c>
      <c r="J543" s="31" t="s">
        <v>72</v>
      </c>
      <c r="K543" s="31" t="s">
        <v>10</v>
      </c>
      <c r="L543" s="32" t="e">
        <f ca="1">_xludf.ifna(VLOOKUP(E543,Parámetros!$D$2:$E$34,2,0),"")</f>
        <v>#NAME?</v>
      </c>
      <c r="M543" s="32" t="e">
        <f ca="1">_xludf.ifna(VLOOKUP(G543,Proyectos!$A$2:$T$674,20,0),"")</f>
        <v>#NAME?</v>
      </c>
      <c r="N543" s="32" t="e">
        <f ca="1">_xludf.ifna(VLOOKUP(G543,Proyectos!$A$2:$S$674,19,0))</f>
        <v>#NAME?</v>
      </c>
      <c r="O543" s="32"/>
      <c r="P543" s="31"/>
      <c r="Q543" s="33"/>
      <c r="R543" s="33"/>
      <c r="S543" s="33"/>
      <c r="T543" s="33"/>
      <c r="U543" s="33"/>
      <c r="V543" s="33"/>
      <c r="W543" s="33"/>
    </row>
    <row r="544" spans="1:23" ht="16.5" customHeight="1" x14ac:dyDescent="0.2">
      <c r="A544" s="26" t="s">
        <v>4249</v>
      </c>
      <c r="B544" s="26" t="s">
        <v>4250</v>
      </c>
      <c r="C544" s="26" t="s">
        <v>7</v>
      </c>
      <c r="D544" s="26" t="s">
        <v>16</v>
      </c>
      <c r="E544" s="26" t="s">
        <v>87</v>
      </c>
      <c r="F544" s="28" t="e">
        <f ca="1">_xludf.ifna(VLOOKUP(G544,Proyectos!$A$2:$F$674,6,0),"")</f>
        <v>#NAME?</v>
      </c>
      <c r="G544" s="66" t="s">
        <v>5117</v>
      </c>
      <c r="H544" s="32">
        <v>0.25</v>
      </c>
      <c r="I544" s="31" t="s">
        <v>25</v>
      </c>
      <c r="J544" s="31" t="s">
        <v>72</v>
      </c>
      <c r="K544" s="31" t="s">
        <v>10</v>
      </c>
      <c r="L544" s="32" t="e">
        <f ca="1">_xludf.ifna(VLOOKUP(E544,Parámetros!$D$2:$E$34,2,0),"")</f>
        <v>#NAME?</v>
      </c>
      <c r="M544" s="32" t="e">
        <f ca="1">_xludf.ifna(VLOOKUP(G544,Proyectos!$A$2:$T$674,20,0),"")</f>
        <v>#NAME?</v>
      </c>
      <c r="N544" s="32" t="e">
        <f ca="1">_xludf.ifna(VLOOKUP(G544,Proyectos!$A$2:$S$674,19,0))</f>
        <v>#NAME?</v>
      </c>
      <c r="O544" s="32"/>
      <c r="P544" s="31"/>
      <c r="Q544" s="33"/>
      <c r="R544" s="33"/>
      <c r="S544" s="33"/>
      <c r="T544" s="33"/>
      <c r="U544" s="33"/>
      <c r="V544" s="33"/>
      <c r="W544" s="33"/>
    </row>
    <row r="545" spans="1:23" ht="16.5" customHeight="1" x14ac:dyDescent="0.2">
      <c r="A545" s="26" t="s">
        <v>3376</v>
      </c>
      <c r="B545" s="26" t="s">
        <v>3377</v>
      </c>
      <c r="C545" s="26" t="s">
        <v>7</v>
      </c>
      <c r="D545" s="26" t="s">
        <v>16</v>
      </c>
      <c r="E545" s="26" t="s">
        <v>39</v>
      </c>
      <c r="F545" s="28" t="e">
        <f ca="1">_xludf.ifna(VLOOKUP(G545,Proyectos!$A$2:$F$674,6,0),"")</f>
        <v>#NAME?</v>
      </c>
      <c r="G545" s="66" t="s">
        <v>5117</v>
      </c>
      <c r="H545" s="36">
        <v>0.3</v>
      </c>
      <c r="I545" s="31" t="s">
        <v>11</v>
      </c>
      <c r="J545" s="31" t="s">
        <v>72</v>
      </c>
      <c r="K545" s="31" t="s">
        <v>40</v>
      </c>
      <c r="L545" s="32" t="e">
        <f ca="1">_xludf.ifna(VLOOKUP(E545,Parámetros!$D$2:$E$34,2,0),"")</f>
        <v>#NAME?</v>
      </c>
      <c r="M545" s="32" t="e">
        <f ca="1">_xludf.ifna(VLOOKUP(G545,Proyectos!$A$2:$T$674,20,0),"")</f>
        <v>#NAME?</v>
      </c>
      <c r="N545" s="32" t="e">
        <f ca="1">_xludf.ifna(VLOOKUP(G545,Proyectos!$A$2:$S$674,19,0))</f>
        <v>#NAME?</v>
      </c>
      <c r="O545" s="32"/>
      <c r="P545" s="31"/>
      <c r="Q545" s="33"/>
      <c r="R545" s="33"/>
      <c r="S545" s="33"/>
      <c r="T545" s="33"/>
      <c r="U545" s="33"/>
      <c r="V545" s="33"/>
      <c r="W545" s="33"/>
    </row>
    <row r="546" spans="1:23" ht="16.5" customHeight="1" x14ac:dyDescent="0.2">
      <c r="A546" s="26" t="s">
        <v>3376</v>
      </c>
      <c r="B546" s="26" t="s">
        <v>3377</v>
      </c>
      <c r="C546" s="26" t="s">
        <v>7</v>
      </c>
      <c r="D546" s="26" t="s">
        <v>16</v>
      </c>
      <c r="E546" s="26" t="s">
        <v>39</v>
      </c>
      <c r="F546" s="28" t="e">
        <f ca="1">_xludf.ifna(VLOOKUP(G546,Proyectos!$A$2:$F$674,6,0),"")</f>
        <v>#NAME?</v>
      </c>
      <c r="G546" s="66" t="s">
        <v>5239</v>
      </c>
      <c r="H546" s="36">
        <v>0.3</v>
      </c>
      <c r="I546" s="31" t="s">
        <v>11</v>
      </c>
      <c r="J546" s="31" t="s">
        <v>72</v>
      </c>
      <c r="K546" s="31" t="s">
        <v>40</v>
      </c>
      <c r="L546" s="32" t="e">
        <f ca="1">_xludf.ifna(VLOOKUP(E546,Parámetros!$D$2:$E$34,2,0),"")</f>
        <v>#NAME?</v>
      </c>
      <c r="M546" s="32" t="e">
        <f ca="1">_xludf.ifna(VLOOKUP(G546,Proyectos!$A$2:$T$674,20,0),"")</f>
        <v>#NAME?</v>
      </c>
      <c r="N546" s="32" t="e">
        <f ca="1">_xludf.ifna(VLOOKUP(G546,Proyectos!$A$2:$S$674,19,0))</f>
        <v>#NAME?</v>
      </c>
      <c r="O546" s="32"/>
      <c r="P546" s="31"/>
      <c r="Q546" s="33"/>
      <c r="R546" s="33"/>
      <c r="S546" s="33"/>
      <c r="T546" s="33"/>
      <c r="U546" s="33"/>
      <c r="V546" s="33"/>
      <c r="W546" s="33"/>
    </row>
    <row r="547" spans="1:23" ht="16.5" customHeight="1" x14ac:dyDescent="0.2">
      <c r="A547" s="26" t="s">
        <v>3376</v>
      </c>
      <c r="B547" s="26" t="s">
        <v>3377</v>
      </c>
      <c r="C547" s="26" t="s">
        <v>7</v>
      </c>
      <c r="D547" s="26" t="s">
        <v>16</v>
      </c>
      <c r="E547" s="26" t="s">
        <v>39</v>
      </c>
      <c r="F547" s="28" t="e">
        <f ca="1">_xludf.ifna(VLOOKUP(G547,Proyectos!$A$2:$F$674,6,0),"")</f>
        <v>#NAME?</v>
      </c>
      <c r="G547" s="66" t="s">
        <v>5236</v>
      </c>
      <c r="H547" s="36">
        <v>0.1</v>
      </c>
      <c r="I547" s="31" t="s">
        <v>11</v>
      </c>
      <c r="J547" s="31" t="s">
        <v>72</v>
      </c>
      <c r="K547" s="31"/>
      <c r="L547" s="32" t="e">
        <f ca="1">_xludf.ifna(VLOOKUP(E547,Parámetros!$D$2:$E$34,2,0),"")</f>
        <v>#NAME?</v>
      </c>
      <c r="M547" s="32" t="e">
        <f ca="1">_xludf.ifna(VLOOKUP(G547,Proyectos!$A$2:$T$674,20,0),"")</f>
        <v>#NAME?</v>
      </c>
      <c r="N547" s="32" t="e">
        <f ca="1">_xludf.ifna(VLOOKUP(G547,Proyectos!$A$2:$S$674,19,0))</f>
        <v>#NAME?</v>
      </c>
      <c r="O547" s="32"/>
      <c r="P547" s="31"/>
      <c r="Q547" s="33"/>
      <c r="R547" s="33"/>
      <c r="S547" s="33"/>
      <c r="T547" s="33"/>
      <c r="U547" s="33"/>
      <c r="V547" s="33"/>
      <c r="W547" s="33"/>
    </row>
    <row r="548" spans="1:23" ht="16.5" customHeight="1" x14ac:dyDescent="0.2">
      <c r="A548" s="26" t="s">
        <v>3376</v>
      </c>
      <c r="B548" s="26" t="s">
        <v>3377</v>
      </c>
      <c r="C548" s="26" t="s">
        <v>7</v>
      </c>
      <c r="D548" s="26" t="s">
        <v>16</v>
      </c>
      <c r="E548" s="26" t="s">
        <v>39</v>
      </c>
      <c r="F548" s="28" t="e">
        <f ca="1">_xludf.ifna(VLOOKUP(G548,Proyectos!$A$2:$F$674,6,0),"")</f>
        <v>#NAME?</v>
      </c>
      <c r="G548" s="66" t="s">
        <v>5221</v>
      </c>
      <c r="H548" s="36">
        <v>0.3</v>
      </c>
      <c r="I548" s="31" t="s">
        <v>11</v>
      </c>
      <c r="J548" s="31" t="s">
        <v>72</v>
      </c>
      <c r="K548" s="31" t="s">
        <v>40</v>
      </c>
      <c r="L548" s="32" t="e">
        <f ca="1">_xludf.ifna(VLOOKUP(E548,Parámetros!$D$2:$E$34,2,0),"")</f>
        <v>#NAME?</v>
      </c>
      <c r="M548" s="32" t="e">
        <f ca="1">_xludf.ifna(VLOOKUP(G548,Proyectos!$A$2:$T$674,20,0),"")</f>
        <v>#NAME?</v>
      </c>
      <c r="N548" s="32" t="e">
        <f ca="1">_xludf.ifna(VLOOKUP(G548,Proyectos!$A$2:$S$674,19,0))</f>
        <v>#NAME?</v>
      </c>
      <c r="O548" s="32"/>
      <c r="P548" s="31"/>
      <c r="Q548" s="33"/>
      <c r="R548" s="33"/>
      <c r="S548" s="33"/>
      <c r="T548" s="33"/>
      <c r="U548" s="33"/>
      <c r="V548" s="33"/>
      <c r="W548" s="33"/>
    </row>
    <row r="549" spans="1:23" ht="16.5" customHeight="1" x14ac:dyDescent="0.2">
      <c r="A549" s="26" t="s">
        <v>4988</v>
      </c>
      <c r="B549" s="26" t="s">
        <v>5247</v>
      </c>
      <c r="C549" s="26" t="s">
        <v>7</v>
      </c>
      <c r="D549" s="26" t="s">
        <v>16</v>
      </c>
      <c r="E549" s="26" t="s">
        <v>108</v>
      </c>
      <c r="F549" s="28" t="e">
        <f ca="1">_xludf.ifna(VLOOKUP(G549,Proyectos!$A$2:$F$674,6,0),"")</f>
        <v>#NAME?</v>
      </c>
      <c r="G549" s="29" t="s">
        <v>5114</v>
      </c>
      <c r="H549" s="36">
        <v>0.5</v>
      </c>
      <c r="I549" s="31" t="s">
        <v>18</v>
      </c>
      <c r="J549" s="31" t="s">
        <v>72</v>
      </c>
      <c r="K549" s="32" t="str">
        <f t="shared" ref="K549:K550" si="7">IF(E549="BBVA","Interno","Externo")</f>
        <v>Externo</v>
      </c>
      <c r="L549" s="32" t="e">
        <f ca="1">_xludf.ifna(VLOOKUP(E549,Parámetros!$D$2:$E$34,2,0),"")</f>
        <v>#NAME?</v>
      </c>
      <c r="M549" s="32" t="e">
        <f ca="1">_xludf.ifna(VLOOKUP(G549,Proyectos!$A$2:$T$674,20,0),"")</f>
        <v>#NAME?</v>
      </c>
      <c r="N549" s="32" t="e">
        <f ca="1">_xludf.ifna(VLOOKUP(G549,Proyectos!$A$2:$S$674,19,0))</f>
        <v>#NAME?</v>
      </c>
      <c r="O549" s="32"/>
      <c r="P549" s="31"/>
      <c r="Q549" s="33"/>
      <c r="R549" s="33"/>
      <c r="S549" s="33"/>
      <c r="T549" s="33"/>
      <c r="U549" s="33"/>
      <c r="V549" s="33"/>
      <c r="W549" s="33"/>
    </row>
    <row r="550" spans="1:23" ht="16.5" customHeight="1" x14ac:dyDescent="0.2">
      <c r="A550" s="26" t="s">
        <v>4988</v>
      </c>
      <c r="B550" s="26" t="s">
        <v>5247</v>
      </c>
      <c r="C550" s="26" t="s">
        <v>37</v>
      </c>
      <c r="D550" s="26" t="s">
        <v>59</v>
      </c>
      <c r="E550" s="26" t="s">
        <v>108</v>
      </c>
      <c r="F550" s="28" t="e">
        <f ca="1">_xludf.ifna(VLOOKUP(G550,Proyectos!$A$2:$F$674,6,0),"")</f>
        <v>#NAME?</v>
      </c>
      <c r="G550" s="29" t="s">
        <v>5114</v>
      </c>
      <c r="H550" s="36">
        <v>0.5</v>
      </c>
      <c r="I550" s="31" t="s">
        <v>18</v>
      </c>
      <c r="J550" s="31" t="s">
        <v>72</v>
      </c>
      <c r="K550" s="32" t="str">
        <f t="shared" si="7"/>
        <v>Externo</v>
      </c>
      <c r="L550" s="32" t="e">
        <f ca="1">_xludf.ifna(VLOOKUP(E550,Parámetros!$D$2:$E$34,2,0),"")</f>
        <v>#NAME?</v>
      </c>
      <c r="M550" s="32" t="e">
        <f ca="1">_xludf.ifna(VLOOKUP(G550,Proyectos!$A$2:$T$674,20,0),"")</f>
        <v>#NAME?</v>
      </c>
      <c r="N550" s="32" t="e">
        <f ca="1">_xludf.ifna(VLOOKUP(G550,Proyectos!$A$2:$S$674,19,0))</f>
        <v>#NAME?</v>
      </c>
      <c r="O550" s="32"/>
      <c r="P550" s="31"/>
      <c r="Q550" s="33"/>
      <c r="R550" s="33"/>
      <c r="S550" s="33"/>
      <c r="T550" s="33"/>
      <c r="U550" s="33"/>
      <c r="V550" s="33"/>
      <c r="W550" s="33"/>
    </row>
    <row r="551" spans="1:23" ht="16.5" customHeight="1" x14ac:dyDescent="0.2">
      <c r="A551" s="26" t="s">
        <v>3824</v>
      </c>
      <c r="B551" s="26" t="s">
        <v>3825</v>
      </c>
      <c r="C551" s="26" t="s">
        <v>37</v>
      </c>
      <c r="D551" s="26" t="s">
        <v>59</v>
      </c>
      <c r="E551" s="26" t="s">
        <v>39</v>
      </c>
      <c r="F551" s="28" t="e">
        <f ca="1">_xludf.ifna(VLOOKUP(G551,Proyectos!$A$2:$F$674,6,0),"")</f>
        <v>#NAME?</v>
      </c>
      <c r="G551" s="29" t="s">
        <v>5114</v>
      </c>
      <c r="H551" s="32">
        <v>1</v>
      </c>
      <c r="I551" s="31" t="s">
        <v>32</v>
      </c>
      <c r="J551" s="32"/>
      <c r="K551" s="32"/>
      <c r="L551" s="32" t="e">
        <f ca="1">_xludf.ifna(VLOOKUP(E551,Parámetros!$D$2:$E$34,2,0),"")</f>
        <v>#NAME?</v>
      </c>
      <c r="M551" s="32" t="e">
        <f ca="1">_xludf.ifna(VLOOKUP(G551,Proyectos!$A$2:$T$674,20,0),"")</f>
        <v>#NAME?</v>
      </c>
      <c r="N551" s="32" t="e">
        <f ca="1">_xludf.ifna(VLOOKUP(G551,Proyectos!$A$2:$S$674,19,0))</f>
        <v>#NAME?</v>
      </c>
      <c r="O551" s="32"/>
      <c r="P551" s="31"/>
      <c r="Q551" s="33"/>
      <c r="R551" s="33"/>
      <c r="S551" s="33"/>
      <c r="T551" s="33"/>
      <c r="U551" s="33"/>
      <c r="V551" s="33"/>
      <c r="W551" s="33"/>
    </row>
    <row r="552" spans="1:23" ht="16.5" customHeight="1" x14ac:dyDescent="0.2">
      <c r="A552" s="26" t="s">
        <v>3501</v>
      </c>
      <c r="B552" s="26" t="s">
        <v>3502</v>
      </c>
      <c r="C552" s="26" t="s">
        <v>37</v>
      </c>
      <c r="D552" s="26" t="s">
        <v>59</v>
      </c>
      <c r="E552" s="26" t="s">
        <v>39</v>
      </c>
      <c r="F552" s="28" t="e">
        <f ca="1">_xludf.ifna(VLOOKUP(G552,Proyectos!$A$2:$F$674,6,0),"")</f>
        <v>#NAME?</v>
      </c>
      <c r="G552" s="26" t="s">
        <v>5248</v>
      </c>
      <c r="H552" s="32">
        <v>0.25</v>
      </c>
      <c r="I552" s="31" t="s">
        <v>25</v>
      </c>
      <c r="J552" s="32"/>
      <c r="K552" s="32"/>
      <c r="L552" s="32" t="e">
        <f ca="1">_xludf.ifna(VLOOKUP(E552,Parámetros!$D$2:$E$34,2,0),"")</f>
        <v>#NAME?</v>
      </c>
      <c r="M552" s="32" t="e">
        <f ca="1">_xludf.ifna(VLOOKUP(G552,Proyectos!$A$2:$T$674,20,0),"")</f>
        <v>#NAME?</v>
      </c>
      <c r="N552" s="32" t="e">
        <f ca="1">_xludf.ifna(VLOOKUP(G552,Proyectos!$A$2:$S$674,19,0))</f>
        <v>#NAME?</v>
      </c>
      <c r="O552" s="32"/>
      <c r="P552" s="31"/>
      <c r="Q552" s="33"/>
      <c r="R552" s="33"/>
      <c r="S552" s="33"/>
      <c r="T552" s="33"/>
      <c r="U552" s="33"/>
      <c r="V552" s="33"/>
      <c r="W552" s="33"/>
    </row>
    <row r="553" spans="1:23" ht="16.5" customHeight="1" x14ac:dyDescent="0.2">
      <c r="A553" s="26" t="s">
        <v>3747</v>
      </c>
      <c r="B553" s="26" t="s">
        <v>3748</v>
      </c>
      <c r="C553" s="26" t="s">
        <v>37</v>
      </c>
      <c r="D553" s="26" t="s">
        <v>59</v>
      </c>
      <c r="E553" s="26" t="s">
        <v>39</v>
      </c>
      <c r="F553" s="28" t="e">
        <f ca="1">_xludf.ifna(VLOOKUP(G553,Proyectos!$A$2:$F$674,6,0),"")</f>
        <v>#NAME?</v>
      </c>
      <c r="G553" s="26" t="s">
        <v>5248</v>
      </c>
      <c r="H553" s="32">
        <v>0.25</v>
      </c>
      <c r="I553" s="31" t="s">
        <v>18</v>
      </c>
      <c r="J553" s="32"/>
      <c r="K553" s="32"/>
      <c r="L553" s="32" t="e">
        <f ca="1">_xludf.ifna(VLOOKUP(E553,Parámetros!$D$2:$E$34,2,0),"")</f>
        <v>#NAME?</v>
      </c>
      <c r="M553" s="32" t="e">
        <f ca="1">_xludf.ifna(VLOOKUP(G553,Proyectos!$A$2:$T$674,20,0),"")</f>
        <v>#NAME?</v>
      </c>
      <c r="N553" s="32" t="e">
        <f ca="1">_xludf.ifna(VLOOKUP(G553,Proyectos!$A$2:$S$674,19,0))</f>
        <v>#NAME?</v>
      </c>
      <c r="O553" s="31"/>
      <c r="P553" s="31"/>
      <c r="Q553" s="33"/>
      <c r="R553" s="33"/>
      <c r="S553" s="33"/>
      <c r="T553" s="33"/>
      <c r="U553" s="33"/>
      <c r="V553" s="33"/>
      <c r="W553" s="33"/>
    </row>
    <row r="554" spans="1:23" ht="16.5" customHeight="1" x14ac:dyDescent="0.2">
      <c r="A554" s="26" t="s">
        <v>3747</v>
      </c>
      <c r="B554" s="26" t="s">
        <v>3748</v>
      </c>
      <c r="C554" s="26" t="s">
        <v>37</v>
      </c>
      <c r="D554" s="26" t="s">
        <v>59</v>
      </c>
      <c r="E554" s="26" t="s">
        <v>39</v>
      </c>
      <c r="F554" s="28" t="e">
        <f ca="1">_xludf.ifna(VLOOKUP(G554,Proyectos!$A$2:$F$674,6,0),"")</f>
        <v>#NAME?</v>
      </c>
      <c r="G554" s="29" t="s">
        <v>5114</v>
      </c>
      <c r="H554" s="32">
        <v>0.75</v>
      </c>
      <c r="I554" s="31" t="s">
        <v>18</v>
      </c>
      <c r="J554" s="32"/>
      <c r="K554" s="32"/>
      <c r="L554" s="32" t="e">
        <f ca="1">_xludf.ifna(VLOOKUP(E554,Parámetros!$D$2:$E$34,2,0),"")</f>
        <v>#NAME?</v>
      </c>
      <c r="M554" s="32" t="e">
        <f ca="1">_xludf.ifna(VLOOKUP(G554,Proyectos!$A$2:$T$674,20,0),"")</f>
        <v>#NAME?</v>
      </c>
      <c r="N554" s="32" t="e">
        <f ca="1">_xludf.ifna(VLOOKUP(G554,Proyectos!$A$2:$S$674,19,0))</f>
        <v>#NAME?</v>
      </c>
      <c r="O554" s="31"/>
      <c r="P554" s="31"/>
      <c r="Q554" s="33"/>
      <c r="R554" s="33"/>
      <c r="S554" s="33"/>
      <c r="T554" s="33"/>
      <c r="U554" s="33"/>
      <c r="V554" s="33"/>
      <c r="W554" s="33"/>
    </row>
    <row r="555" spans="1:23" ht="16.5" customHeight="1" x14ac:dyDescent="0.2">
      <c r="A555" s="26" t="s">
        <v>4811</v>
      </c>
      <c r="B555" s="26" t="s">
        <v>4812</v>
      </c>
      <c r="C555" s="26" t="s">
        <v>37</v>
      </c>
      <c r="D555" s="26" t="s">
        <v>59</v>
      </c>
      <c r="E555" s="26" t="s">
        <v>39</v>
      </c>
      <c r="F555" s="28" t="e">
        <f ca="1">_xludf.ifna(VLOOKUP(G555,Proyectos!$A$2:$F$674,6,0),"")</f>
        <v>#NAME?</v>
      </c>
      <c r="G555" s="29" t="s">
        <v>5114</v>
      </c>
      <c r="H555" s="32">
        <v>1</v>
      </c>
      <c r="I555" s="31" t="s">
        <v>32</v>
      </c>
      <c r="J555" s="32"/>
      <c r="K555" s="32"/>
      <c r="L555" s="32" t="e">
        <f ca="1">_xludf.ifna(VLOOKUP(E555,Parámetros!$D$2:$E$34,2,0),"")</f>
        <v>#NAME?</v>
      </c>
      <c r="M555" s="32" t="e">
        <f ca="1">_xludf.ifna(VLOOKUP(G555,Proyectos!$A$2:$T$674,20,0),"")</f>
        <v>#NAME?</v>
      </c>
      <c r="N555" s="32" t="e">
        <f ca="1">_xludf.ifna(VLOOKUP(G555,Proyectos!$A$2:$S$674,19,0))</f>
        <v>#NAME?</v>
      </c>
      <c r="O555" s="31"/>
      <c r="P555" s="31"/>
      <c r="Q555" s="33"/>
      <c r="R555" s="33"/>
      <c r="S555" s="33"/>
      <c r="T555" s="33"/>
      <c r="U555" s="33"/>
      <c r="V555" s="33"/>
      <c r="W555" s="33"/>
    </row>
    <row r="556" spans="1:23" ht="16.5" customHeight="1" x14ac:dyDescent="0.2">
      <c r="A556" s="26" t="s">
        <v>4806</v>
      </c>
      <c r="B556" s="26" t="s">
        <v>4807</v>
      </c>
      <c r="C556" s="26" t="s">
        <v>37</v>
      </c>
      <c r="D556" s="26" t="s">
        <v>59</v>
      </c>
      <c r="E556" s="26" t="s">
        <v>39</v>
      </c>
      <c r="F556" s="28" t="e">
        <f ca="1">_xludf.ifna(VLOOKUP(G556,Proyectos!$A$2:$F$674,6,0),"")</f>
        <v>#NAME?</v>
      </c>
      <c r="G556" s="29" t="s">
        <v>5114</v>
      </c>
      <c r="H556" s="32">
        <v>1</v>
      </c>
      <c r="I556" s="31" t="s">
        <v>32</v>
      </c>
      <c r="J556" s="32"/>
      <c r="K556" s="32"/>
      <c r="L556" s="32" t="e">
        <f ca="1">_xludf.ifna(VLOOKUP(E556,Parámetros!$D$2:$E$34,2,0),"")</f>
        <v>#NAME?</v>
      </c>
      <c r="M556" s="32" t="e">
        <f ca="1">_xludf.ifna(VLOOKUP(G556,Proyectos!$A$2:$T$674,20,0),"")</f>
        <v>#NAME?</v>
      </c>
      <c r="N556" s="32" t="e">
        <f ca="1">_xludf.ifna(VLOOKUP(G556,Proyectos!$A$2:$S$674,19,0))</f>
        <v>#NAME?</v>
      </c>
      <c r="O556" s="32"/>
      <c r="P556" s="31"/>
      <c r="Q556" s="33"/>
      <c r="R556" s="33"/>
      <c r="S556" s="33"/>
      <c r="T556" s="33"/>
      <c r="U556" s="33"/>
      <c r="V556" s="33"/>
      <c r="W556" s="33"/>
    </row>
    <row r="557" spans="1:23" ht="16.5" customHeight="1" x14ac:dyDescent="0.2">
      <c r="A557" s="26" t="s">
        <v>3501</v>
      </c>
      <c r="B557" s="26" t="s">
        <v>3502</v>
      </c>
      <c r="C557" s="26" t="s">
        <v>37</v>
      </c>
      <c r="D557" s="26" t="s">
        <v>59</v>
      </c>
      <c r="E557" s="26" t="s">
        <v>39</v>
      </c>
      <c r="F557" s="28" t="e">
        <f ca="1">_xludf.ifna(VLOOKUP(G557,Proyectos!$A$2:$F$674,6,0),"")</f>
        <v>#NAME?</v>
      </c>
      <c r="G557" s="29" t="s">
        <v>5114</v>
      </c>
      <c r="H557" s="32">
        <v>0.75</v>
      </c>
      <c r="I557" s="31" t="s">
        <v>32</v>
      </c>
      <c r="J557" s="32"/>
      <c r="K557" s="32"/>
      <c r="L557" s="32" t="e">
        <f ca="1">_xludf.ifna(VLOOKUP(E557,Parámetros!$D$2:$E$34,2,0),"")</f>
        <v>#NAME?</v>
      </c>
      <c r="M557" s="32" t="e">
        <f ca="1">_xludf.ifna(VLOOKUP(G557,Proyectos!$A$2:$T$674,20,0),"")</f>
        <v>#NAME?</v>
      </c>
      <c r="N557" s="32" t="e">
        <f ca="1">_xludf.ifna(VLOOKUP(G557,Proyectos!$A$2:$S$674,19,0))</f>
        <v>#NAME?</v>
      </c>
      <c r="O557" s="32"/>
      <c r="P557" s="31"/>
      <c r="Q557" s="33"/>
      <c r="R557" s="33"/>
      <c r="S557" s="33"/>
      <c r="T557" s="33"/>
      <c r="U557" s="33"/>
      <c r="V557" s="33"/>
      <c r="W557" s="33"/>
    </row>
    <row r="558" spans="1:23" ht="16.5" customHeight="1" x14ac:dyDescent="0.2">
      <c r="A558" s="26" t="s">
        <v>4482</v>
      </c>
      <c r="B558" s="26" t="s">
        <v>4483</v>
      </c>
      <c r="C558" s="26" t="s">
        <v>37</v>
      </c>
      <c r="D558" s="27" t="s">
        <v>59</v>
      </c>
      <c r="E558" s="27" t="s">
        <v>108</v>
      </c>
      <c r="F558" s="28" t="e">
        <f ca="1">_xludf.ifna(VLOOKUP(G558,Proyectos!$A$2:$F$674,6,0),"")</f>
        <v>#NAME?</v>
      </c>
      <c r="G558" s="29" t="s">
        <v>5114</v>
      </c>
      <c r="H558" s="44">
        <v>1</v>
      </c>
      <c r="I558" s="31" t="s">
        <v>25</v>
      </c>
      <c r="J558" s="27" t="s">
        <v>72</v>
      </c>
      <c r="K558" s="27" t="s">
        <v>4484</v>
      </c>
      <c r="L558" s="32" t="e">
        <f ca="1">_xludf.ifna(VLOOKUP(E558,Parámetros!$D$2:$E$34,2,0),"")</f>
        <v>#NAME?</v>
      </c>
      <c r="M558" s="32" t="e">
        <f ca="1">_xludf.ifna(VLOOKUP(G558,Proyectos!$A$2:$T$674,20,0),"")</f>
        <v>#NAME?</v>
      </c>
      <c r="N558" s="32" t="e">
        <f ca="1">_xludf.ifna(VLOOKUP(G558,Proyectos!$A$2:$S$674,19,0))</f>
        <v>#NAME?</v>
      </c>
      <c r="O558" s="31"/>
      <c r="P558" s="31"/>
      <c r="Q558" s="33"/>
      <c r="R558" s="33"/>
      <c r="S558" s="33"/>
      <c r="T558" s="33"/>
      <c r="U558" s="33"/>
      <c r="V558" s="33"/>
      <c r="W558" s="33"/>
    </row>
    <row r="559" spans="1:23" ht="16.5" customHeight="1" x14ac:dyDescent="0.2">
      <c r="A559" s="26" t="s">
        <v>4563</v>
      </c>
      <c r="B559" s="26" t="s">
        <v>4564</v>
      </c>
      <c r="C559" s="66" t="s">
        <v>136</v>
      </c>
      <c r="D559" s="27" t="s">
        <v>137</v>
      </c>
      <c r="E559" s="27" t="s">
        <v>46</v>
      </c>
      <c r="F559" s="28" t="e">
        <f ca="1">_xludf.ifna(VLOOKUP(G559,Proyectos!$A$2:$F$674,6,0),"")</f>
        <v>#NAME?</v>
      </c>
      <c r="G559" s="27" t="s">
        <v>5249</v>
      </c>
      <c r="H559" s="44">
        <v>0.25</v>
      </c>
      <c r="I559" s="31" t="s">
        <v>18</v>
      </c>
      <c r="J559" s="27" t="s">
        <v>19</v>
      </c>
      <c r="K559" s="27" t="s">
        <v>3959</v>
      </c>
      <c r="L559" s="32" t="e">
        <f ca="1">_xludf.ifna(VLOOKUP(E559,Parámetros!$D$2:$E$34,2,0),"")</f>
        <v>#NAME?</v>
      </c>
      <c r="M559" s="32" t="e">
        <f ca="1">_xludf.ifna(VLOOKUP(G559,Proyectos!$A$2:$T$674,20,0),"")</f>
        <v>#NAME?</v>
      </c>
      <c r="N559" s="32" t="e">
        <f ca="1">_xludf.ifna(VLOOKUP(G559,Proyectos!$A$2:$S$674,19,0))</f>
        <v>#NAME?</v>
      </c>
      <c r="O559" s="31"/>
      <c r="P559" s="31"/>
      <c r="Q559" s="33"/>
      <c r="R559" s="33"/>
      <c r="S559" s="33"/>
      <c r="T559" s="33"/>
      <c r="U559" s="33"/>
      <c r="V559" s="33"/>
      <c r="W559" s="33"/>
    </row>
    <row r="560" spans="1:23" ht="16.5" customHeight="1" x14ac:dyDescent="0.2">
      <c r="A560" s="26" t="s">
        <v>4563</v>
      </c>
      <c r="B560" s="26" t="s">
        <v>4564</v>
      </c>
      <c r="C560" s="66" t="s">
        <v>136</v>
      </c>
      <c r="D560" s="27" t="s">
        <v>137</v>
      </c>
      <c r="E560" s="27" t="s">
        <v>46</v>
      </c>
      <c r="F560" s="28" t="e">
        <f ca="1">_xludf.ifna(VLOOKUP(G560,Proyectos!$A$2:$F$674,6,0),"")</f>
        <v>#NAME?</v>
      </c>
      <c r="G560" s="27" t="s">
        <v>5250</v>
      </c>
      <c r="H560" s="44">
        <v>0.75</v>
      </c>
      <c r="I560" s="31" t="s">
        <v>18</v>
      </c>
      <c r="J560" s="27" t="s">
        <v>19</v>
      </c>
      <c r="K560" s="27" t="s">
        <v>3959</v>
      </c>
      <c r="L560" s="32" t="e">
        <f ca="1">_xludf.ifna(VLOOKUP(E560,Parámetros!$D$2:$E$34,2,0),"")</f>
        <v>#NAME?</v>
      </c>
      <c r="M560" s="32" t="e">
        <f ca="1">_xludf.ifna(VLOOKUP(G560,Proyectos!$A$2:$T$674,20,0),"")</f>
        <v>#NAME?</v>
      </c>
      <c r="N560" s="32" t="e">
        <f ca="1">_xludf.ifna(VLOOKUP(G560,Proyectos!$A$2:$S$674,19,0))</f>
        <v>#NAME?</v>
      </c>
      <c r="O560" s="31"/>
      <c r="P560" s="31"/>
      <c r="Q560" s="33"/>
      <c r="R560" s="33"/>
      <c r="S560" s="33"/>
      <c r="T560" s="33"/>
      <c r="U560" s="33"/>
      <c r="V560" s="33"/>
      <c r="W560" s="33"/>
    </row>
    <row r="561" spans="1:23" ht="16.5" customHeight="1" x14ac:dyDescent="0.2">
      <c r="A561" s="26" t="s">
        <v>4023</v>
      </c>
      <c r="B561" s="26" t="s">
        <v>4024</v>
      </c>
      <c r="C561" s="66" t="s">
        <v>136</v>
      </c>
      <c r="D561" s="27" t="s">
        <v>137</v>
      </c>
      <c r="E561" s="26" t="s">
        <v>108</v>
      </c>
      <c r="F561" s="28" t="e">
        <f ca="1">_xludf.ifna(VLOOKUP(G561,Proyectos!$A$2:$F$674,6,0),"")</f>
        <v>#NAME?</v>
      </c>
      <c r="G561" s="26" t="s">
        <v>5249</v>
      </c>
      <c r="H561" s="32">
        <v>0.25</v>
      </c>
      <c r="I561" s="31" t="s">
        <v>18</v>
      </c>
      <c r="J561" s="27" t="s">
        <v>61</v>
      </c>
      <c r="K561" s="51"/>
      <c r="L561" s="32" t="e">
        <f ca="1">_xludf.ifna(VLOOKUP(E561,Parámetros!$D$2:$E$34,2,0),"")</f>
        <v>#NAME?</v>
      </c>
      <c r="M561" s="32" t="e">
        <f ca="1">_xludf.ifna(VLOOKUP(G561,Proyectos!$A$2:$T$674,20,0),"")</f>
        <v>#NAME?</v>
      </c>
      <c r="N561" s="32" t="e">
        <f ca="1">_xludf.ifna(VLOOKUP(G561,Proyectos!$A$2:$S$674,19,0))</f>
        <v>#NAME?</v>
      </c>
      <c r="O561" s="31"/>
      <c r="P561" s="31"/>
      <c r="Q561" s="33"/>
      <c r="R561" s="33"/>
      <c r="S561" s="33"/>
      <c r="T561" s="33"/>
      <c r="U561" s="33"/>
      <c r="V561" s="33"/>
      <c r="W561" s="33"/>
    </row>
    <row r="562" spans="1:23" ht="16.5" customHeight="1" x14ac:dyDescent="0.2">
      <c r="A562" s="26" t="s">
        <v>4023</v>
      </c>
      <c r="B562" s="26" t="s">
        <v>4024</v>
      </c>
      <c r="C562" s="66" t="s">
        <v>136</v>
      </c>
      <c r="D562" s="27" t="s">
        <v>137</v>
      </c>
      <c r="E562" s="26" t="s">
        <v>108</v>
      </c>
      <c r="F562" s="28" t="e">
        <f ca="1">_xludf.ifna(VLOOKUP(G562,Proyectos!$A$2:$F$674,6,0),"")</f>
        <v>#NAME?</v>
      </c>
      <c r="G562" s="27" t="s">
        <v>5250</v>
      </c>
      <c r="H562" s="32">
        <v>0.75</v>
      </c>
      <c r="I562" s="31" t="s">
        <v>18</v>
      </c>
      <c r="J562" s="27" t="s">
        <v>61</v>
      </c>
      <c r="K562" s="51"/>
      <c r="L562" s="32" t="e">
        <f ca="1">_xludf.ifna(VLOOKUP(E562,Parámetros!$D$2:$E$34,2,0),"")</f>
        <v>#NAME?</v>
      </c>
      <c r="M562" s="32" t="e">
        <f ca="1">_xludf.ifna(VLOOKUP(G562,Proyectos!$A$2:$T$674,20,0),"")</f>
        <v>#NAME?</v>
      </c>
      <c r="N562" s="32" t="e">
        <f ca="1">_xludf.ifna(VLOOKUP(G562,Proyectos!$A$2:$S$674,19,0))</f>
        <v>#NAME?</v>
      </c>
      <c r="O562" s="31"/>
      <c r="P562" s="31"/>
      <c r="Q562" s="33"/>
      <c r="R562" s="33"/>
      <c r="S562" s="33"/>
      <c r="T562" s="33"/>
      <c r="U562" s="33"/>
      <c r="V562" s="33"/>
      <c r="W562" s="33"/>
    </row>
    <row r="563" spans="1:23" ht="16.5" customHeight="1" x14ac:dyDescent="0.2">
      <c r="A563" s="26" t="s">
        <v>4559</v>
      </c>
      <c r="B563" s="26" t="s">
        <v>4560</v>
      </c>
      <c r="C563" s="66" t="s">
        <v>136</v>
      </c>
      <c r="D563" s="27" t="s">
        <v>137</v>
      </c>
      <c r="E563" s="27" t="s">
        <v>46</v>
      </c>
      <c r="F563" s="28" t="e">
        <f ca="1">_xludf.ifna(VLOOKUP(G563,Proyectos!$A$2:$F$674,6,0),"")</f>
        <v>#NAME?</v>
      </c>
      <c r="G563" s="26" t="s">
        <v>5251</v>
      </c>
      <c r="H563" s="32">
        <v>1</v>
      </c>
      <c r="I563" s="31" t="s">
        <v>18</v>
      </c>
      <c r="J563" s="27" t="s">
        <v>12</v>
      </c>
      <c r="K563" s="27" t="s">
        <v>3959</v>
      </c>
      <c r="L563" s="32" t="e">
        <f ca="1">_xludf.ifna(VLOOKUP(E563,Parámetros!$D$2:$E$34,2,0),"")</f>
        <v>#NAME?</v>
      </c>
      <c r="M563" s="32" t="e">
        <f ca="1">_xludf.ifna(VLOOKUP(G563,Proyectos!$A$2:$T$674,20,0),"")</f>
        <v>#NAME?</v>
      </c>
      <c r="N563" s="32" t="e">
        <f ca="1">_xludf.ifna(VLOOKUP(G563,Proyectos!$A$2:$S$674,19,0))</f>
        <v>#NAME?</v>
      </c>
      <c r="O563" s="31"/>
      <c r="P563" s="31"/>
      <c r="Q563" s="33"/>
      <c r="R563" s="33"/>
      <c r="S563" s="33"/>
      <c r="T563" s="33"/>
      <c r="U563" s="33"/>
      <c r="V563" s="33"/>
      <c r="W563" s="33"/>
    </row>
    <row r="564" spans="1:23" ht="16.5" customHeight="1" x14ac:dyDescent="0.2">
      <c r="A564" s="26" t="s">
        <v>4565</v>
      </c>
      <c r="B564" s="26" t="s">
        <v>4566</v>
      </c>
      <c r="C564" s="66" t="s">
        <v>136</v>
      </c>
      <c r="D564" s="27" t="s">
        <v>137</v>
      </c>
      <c r="E564" s="27" t="s">
        <v>46</v>
      </c>
      <c r="F564" s="28" t="e">
        <f ca="1">_xludf.ifna(VLOOKUP(G564,Proyectos!$A$2:$F$674,6,0),"")</f>
        <v>#NAME?</v>
      </c>
      <c r="G564" s="26" t="s">
        <v>5249</v>
      </c>
      <c r="H564" s="32">
        <v>0.25</v>
      </c>
      <c r="I564" s="31" t="s">
        <v>18</v>
      </c>
      <c r="J564" s="27" t="s">
        <v>61</v>
      </c>
      <c r="K564" s="27" t="s">
        <v>3959</v>
      </c>
      <c r="L564" s="32" t="e">
        <f ca="1">_xludf.ifna(VLOOKUP(E564,Parámetros!$D$2:$E$34,2,0),"")</f>
        <v>#NAME?</v>
      </c>
      <c r="M564" s="32" t="e">
        <f ca="1">_xludf.ifna(VLOOKUP(G564,Proyectos!$A$2:$T$674,20,0),"")</f>
        <v>#NAME?</v>
      </c>
      <c r="N564" s="32" t="e">
        <f ca="1">_xludf.ifna(VLOOKUP(G564,Proyectos!$A$2:$S$674,19,0))</f>
        <v>#NAME?</v>
      </c>
      <c r="O564" s="31"/>
      <c r="P564" s="31"/>
      <c r="Q564" s="33"/>
      <c r="R564" s="33"/>
      <c r="S564" s="33"/>
      <c r="T564" s="33"/>
      <c r="U564" s="33"/>
      <c r="V564" s="33"/>
      <c r="W564" s="33"/>
    </row>
    <row r="565" spans="1:23" ht="16.5" customHeight="1" x14ac:dyDescent="0.2">
      <c r="A565" s="26" t="s">
        <v>4565</v>
      </c>
      <c r="B565" s="26" t="s">
        <v>4566</v>
      </c>
      <c r="C565" s="66" t="s">
        <v>136</v>
      </c>
      <c r="D565" s="27" t="s">
        <v>137</v>
      </c>
      <c r="E565" s="27" t="s">
        <v>46</v>
      </c>
      <c r="F565" s="28" t="e">
        <f ca="1">_xludf.ifna(VLOOKUP(G565,Proyectos!$A$2:$F$674,6,0),"")</f>
        <v>#NAME?</v>
      </c>
      <c r="G565" s="27" t="s">
        <v>5250</v>
      </c>
      <c r="H565" s="32">
        <v>0.75</v>
      </c>
      <c r="I565" s="31" t="s">
        <v>18</v>
      </c>
      <c r="J565" s="27" t="s">
        <v>61</v>
      </c>
      <c r="K565" s="27" t="s">
        <v>3959</v>
      </c>
      <c r="L565" s="32" t="e">
        <f ca="1">_xludf.ifna(VLOOKUP(E565,Parámetros!$D$2:$E$34,2,0),"")</f>
        <v>#NAME?</v>
      </c>
      <c r="M565" s="32" t="e">
        <f ca="1">_xludf.ifna(VLOOKUP(G565,Proyectos!$A$2:$T$674,20,0),"")</f>
        <v>#NAME?</v>
      </c>
      <c r="N565" s="32" t="e">
        <f ca="1">_xludf.ifna(VLOOKUP(G565,Proyectos!$A$2:$S$674,19,0))</f>
        <v>#NAME?</v>
      </c>
      <c r="O565" s="31"/>
      <c r="P565" s="31"/>
      <c r="Q565" s="33"/>
      <c r="R565" s="33"/>
      <c r="S565" s="33"/>
      <c r="T565" s="33"/>
      <c r="U565" s="33"/>
      <c r="V565" s="33"/>
      <c r="W565" s="33"/>
    </row>
    <row r="566" spans="1:23" ht="16.5" customHeight="1" x14ac:dyDescent="0.2">
      <c r="A566" s="27" t="s">
        <v>4064</v>
      </c>
      <c r="B566" s="26" t="s">
        <v>4065</v>
      </c>
      <c r="C566" s="66" t="s">
        <v>136</v>
      </c>
      <c r="D566" s="27" t="s">
        <v>137</v>
      </c>
      <c r="E566" s="27" t="s">
        <v>135</v>
      </c>
      <c r="F566" s="28" t="e">
        <f ca="1">_xludf.ifna(VLOOKUP(G566,Proyectos!$A$2:$F$674,6,0),"")</f>
        <v>#NAME?</v>
      </c>
      <c r="G566" s="26" t="s">
        <v>5249</v>
      </c>
      <c r="H566" s="32">
        <v>0.25</v>
      </c>
      <c r="I566" s="31" t="s">
        <v>18</v>
      </c>
      <c r="J566" s="27" t="s">
        <v>61</v>
      </c>
      <c r="K566" s="32"/>
      <c r="L566" s="32" t="e">
        <f ca="1">_xludf.ifna(VLOOKUP(E566,Parámetros!$D$2:$E$34,2,0),"")</f>
        <v>#NAME?</v>
      </c>
      <c r="M566" s="32" t="e">
        <f ca="1">_xludf.ifna(VLOOKUP(G566,Proyectos!$A$2:$T$674,20,0),"")</f>
        <v>#NAME?</v>
      </c>
      <c r="N566" s="32" t="e">
        <f ca="1">_xludf.ifna(VLOOKUP(G566,Proyectos!$A$2:$S$674,19,0))</f>
        <v>#NAME?</v>
      </c>
      <c r="O566" s="31"/>
      <c r="P566" s="31"/>
      <c r="Q566" s="33"/>
      <c r="R566" s="33"/>
      <c r="S566" s="33"/>
      <c r="T566" s="33"/>
      <c r="U566" s="33"/>
      <c r="V566" s="33"/>
      <c r="W566" s="33"/>
    </row>
    <row r="567" spans="1:23" ht="16.5" customHeight="1" x14ac:dyDescent="0.2">
      <c r="A567" s="27" t="s">
        <v>4064</v>
      </c>
      <c r="B567" s="26" t="s">
        <v>4065</v>
      </c>
      <c r="C567" s="66" t="s">
        <v>136</v>
      </c>
      <c r="D567" s="27" t="s">
        <v>137</v>
      </c>
      <c r="E567" s="27" t="s">
        <v>135</v>
      </c>
      <c r="F567" s="28" t="e">
        <f ca="1">_xludf.ifna(VLOOKUP(G567,Proyectos!$A$2:$F$674,6,0),"")</f>
        <v>#NAME?</v>
      </c>
      <c r="G567" s="27" t="s">
        <v>5250</v>
      </c>
      <c r="H567" s="32">
        <v>0.75</v>
      </c>
      <c r="I567" s="31" t="s">
        <v>18</v>
      </c>
      <c r="J567" s="27" t="s">
        <v>61</v>
      </c>
      <c r="K567" s="32"/>
      <c r="L567" s="32" t="e">
        <f ca="1">_xludf.ifna(VLOOKUP(E567,Parámetros!$D$2:$E$34,2,0),"")</f>
        <v>#NAME?</v>
      </c>
      <c r="M567" s="32" t="e">
        <f ca="1">_xludf.ifna(VLOOKUP(G567,Proyectos!$A$2:$T$674,20,0),"")</f>
        <v>#NAME?</v>
      </c>
      <c r="N567" s="32" t="e">
        <f ca="1">_xludf.ifna(VLOOKUP(G567,Proyectos!$A$2:$S$674,19,0))</f>
        <v>#NAME?</v>
      </c>
      <c r="O567" s="31"/>
      <c r="P567" s="31"/>
      <c r="Q567" s="33"/>
      <c r="R567" s="33"/>
      <c r="S567" s="33"/>
      <c r="T567" s="33"/>
      <c r="U567" s="33"/>
      <c r="V567" s="33"/>
      <c r="W567" s="33"/>
    </row>
    <row r="568" spans="1:23" ht="16.5" customHeight="1" x14ac:dyDescent="0.2">
      <c r="A568" s="26" t="s">
        <v>4066</v>
      </c>
      <c r="B568" s="26" t="s">
        <v>4067</v>
      </c>
      <c r="C568" s="66" t="s">
        <v>136</v>
      </c>
      <c r="D568" s="27" t="s">
        <v>137</v>
      </c>
      <c r="E568" s="26" t="s">
        <v>135</v>
      </c>
      <c r="F568" s="28" t="e">
        <f ca="1">_xludf.ifna(VLOOKUP(G568,Proyectos!$A$2:$F$674,6,0),"")</f>
        <v>#NAME?</v>
      </c>
      <c r="G568" s="26" t="s">
        <v>5249</v>
      </c>
      <c r="H568" s="32">
        <v>0.25</v>
      </c>
      <c r="I568" s="31" t="s">
        <v>18</v>
      </c>
      <c r="J568" s="27" t="s">
        <v>61</v>
      </c>
      <c r="K568" s="32"/>
      <c r="L568" s="32" t="e">
        <f ca="1">_xludf.ifna(VLOOKUP(E568,Parámetros!$D$2:$E$34,2,0),"")</f>
        <v>#NAME?</v>
      </c>
      <c r="M568" s="32" t="e">
        <f ca="1">_xludf.ifna(VLOOKUP(G568,Proyectos!$A$2:$T$674,20,0),"")</f>
        <v>#NAME?</v>
      </c>
      <c r="N568" s="32" t="e">
        <f ca="1">_xludf.ifna(VLOOKUP(G568,Proyectos!$A$2:$S$674,19,0))</f>
        <v>#NAME?</v>
      </c>
      <c r="O568" s="31"/>
      <c r="P568" s="31"/>
      <c r="Q568" s="33"/>
      <c r="R568" s="33"/>
      <c r="S568" s="33"/>
      <c r="T568" s="33"/>
      <c r="U568" s="33"/>
      <c r="V568" s="33"/>
      <c r="W568" s="33"/>
    </row>
    <row r="569" spans="1:23" ht="16.5" customHeight="1" x14ac:dyDescent="0.2">
      <c r="A569" s="26" t="s">
        <v>4066</v>
      </c>
      <c r="B569" s="26" t="s">
        <v>4067</v>
      </c>
      <c r="C569" s="66" t="s">
        <v>136</v>
      </c>
      <c r="D569" s="27" t="s">
        <v>137</v>
      </c>
      <c r="E569" s="27" t="s">
        <v>135</v>
      </c>
      <c r="F569" s="28" t="e">
        <f ca="1">_xludf.ifna(VLOOKUP(G569,Proyectos!$A$2:$F$674,6,0),"")</f>
        <v>#NAME?</v>
      </c>
      <c r="G569" s="27" t="s">
        <v>5250</v>
      </c>
      <c r="H569" s="32">
        <v>0.75</v>
      </c>
      <c r="I569" s="31" t="s">
        <v>18</v>
      </c>
      <c r="J569" s="27" t="s">
        <v>61</v>
      </c>
      <c r="K569" s="32"/>
      <c r="L569" s="32" t="e">
        <f ca="1">_xludf.ifna(VLOOKUP(E569,Parámetros!$D$2:$E$34,2,0),"")</f>
        <v>#NAME?</v>
      </c>
      <c r="M569" s="32" t="e">
        <f ca="1">_xludf.ifna(VLOOKUP(G569,Proyectos!$A$2:$T$674,20,0),"")</f>
        <v>#NAME?</v>
      </c>
      <c r="N569" s="32" t="e">
        <f ca="1">_xludf.ifna(VLOOKUP(G569,Proyectos!$A$2:$S$674,19,0))</f>
        <v>#NAME?</v>
      </c>
      <c r="O569" s="31"/>
      <c r="P569" s="31"/>
      <c r="Q569" s="33"/>
      <c r="R569" s="33"/>
      <c r="S569" s="33"/>
      <c r="T569" s="33"/>
      <c r="U569" s="33"/>
      <c r="V569" s="33"/>
      <c r="W569" s="33"/>
    </row>
    <row r="570" spans="1:23" ht="16.5" customHeight="1" x14ac:dyDescent="0.2">
      <c r="A570" s="26" t="s">
        <v>4573</v>
      </c>
      <c r="B570" s="26" t="s">
        <v>4574</v>
      </c>
      <c r="C570" s="66" t="s">
        <v>136</v>
      </c>
      <c r="D570" s="27" t="s">
        <v>137</v>
      </c>
      <c r="E570" s="27" t="s">
        <v>46</v>
      </c>
      <c r="F570" s="28" t="e">
        <f ca="1">_xludf.ifna(VLOOKUP(G570,Proyectos!$A$2:$F$674,6,0),"")</f>
        <v>#NAME?</v>
      </c>
      <c r="G570" s="26" t="s">
        <v>5249</v>
      </c>
      <c r="H570" s="32">
        <v>0.25</v>
      </c>
      <c r="I570" s="31" t="s">
        <v>18</v>
      </c>
      <c r="J570" s="27" t="s">
        <v>61</v>
      </c>
      <c r="K570" s="27" t="s">
        <v>3959</v>
      </c>
      <c r="L570" s="32" t="e">
        <f ca="1">_xludf.ifna(VLOOKUP(E570,Parámetros!$D$2:$E$34,2,0),"")</f>
        <v>#NAME?</v>
      </c>
      <c r="M570" s="32" t="e">
        <f ca="1">_xludf.ifna(VLOOKUP(G570,Proyectos!$A$2:$T$674,20,0),"")</f>
        <v>#NAME?</v>
      </c>
      <c r="N570" s="32" t="e">
        <f ca="1">_xludf.ifna(VLOOKUP(G570,Proyectos!$A$2:$S$674,19,0))</f>
        <v>#NAME?</v>
      </c>
      <c r="O570" s="31"/>
      <c r="P570" s="31"/>
      <c r="Q570" s="33"/>
      <c r="R570" s="33"/>
      <c r="S570" s="33"/>
      <c r="T570" s="33"/>
      <c r="U570" s="33"/>
      <c r="V570" s="33"/>
      <c r="W570" s="33"/>
    </row>
    <row r="571" spans="1:23" ht="16.5" customHeight="1" x14ac:dyDescent="0.2">
      <c r="A571" s="26" t="s">
        <v>4573</v>
      </c>
      <c r="B571" s="26" t="s">
        <v>4574</v>
      </c>
      <c r="C571" s="66" t="s">
        <v>136</v>
      </c>
      <c r="D571" s="27" t="s">
        <v>137</v>
      </c>
      <c r="E571" s="27" t="s">
        <v>46</v>
      </c>
      <c r="F571" s="28" t="e">
        <f ca="1">_xludf.ifna(VLOOKUP(G571,Proyectos!$A$2:$F$674,6,0),"")</f>
        <v>#NAME?</v>
      </c>
      <c r="G571" s="27" t="s">
        <v>5250</v>
      </c>
      <c r="H571" s="32">
        <v>0.75</v>
      </c>
      <c r="I571" s="31" t="s">
        <v>18</v>
      </c>
      <c r="J571" s="27" t="s">
        <v>61</v>
      </c>
      <c r="K571" s="27" t="s">
        <v>3959</v>
      </c>
      <c r="L571" s="32" t="e">
        <f ca="1">_xludf.ifna(VLOOKUP(E571,Parámetros!$D$2:$E$34,2,0),"")</f>
        <v>#NAME?</v>
      </c>
      <c r="M571" s="32" t="e">
        <f ca="1">_xludf.ifna(VLOOKUP(G571,Proyectos!$A$2:$T$674,20,0),"")</f>
        <v>#NAME?</v>
      </c>
      <c r="N571" s="32" t="e">
        <f ca="1">_xludf.ifna(VLOOKUP(G571,Proyectos!$A$2:$S$674,19,0))</f>
        <v>#NAME?</v>
      </c>
      <c r="O571" s="31"/>
      <c r="P571" s="31"/>
      <c r="Q571" s="33"/>
      <c r="R571" s="33"/>
      <c r="S571" s="33"/>
      <c r="T571" s="33"/>
      <c r="U571" s="33"/>
      <c r="V571" s="33"/>
      <c r="W571" s="33"/>
    </row>
    <row r="572" spans="1:23" ht="16.5" customHeight="1" x14ac:dyDescent="0.2">
      <c r="A572" s="26" t="s">
        <v>4794</v>
      </c>
      <c r="B572" s="26" t="s">
        <v>4795</v>
      </c>
      <c r="C572" s="66" t="s">
        <v>136</v>
      </c>
      <c r="D572" s="27" t="s">
        <v>137</v>
      </c>
      <c r="E572" s="27" t="s">
        <v>46</v>
      </c>
      <c r="F572" s="28" t="e">
        <f ca="1">_xludf.ifna(VLOOKUP(G572,Proyectos!$A$2:$F$674,6,0),"")</f>
        <v>#NAME?</v>
      </c>
      <c r="G572" s="27" t="s">
        <v>5250</v>
      </c>
      <c r="H572" s="44">
        <v>1</v>
      </c>
      <c r="I572" s="31" t="s">
        <v>18</v>
      </c>
      <c r="J572" s="27" t="s">
        <v>61</v>
      </c>
      <c r="K572" s="51"/>
      <c r="L572" s="32" t="e">
        <f ca="1">_xludf.ifna(VLOOKUP(E572,Parámetros!$D$2:$E$34,2,0),"")</f>
        <v>#NAME?</v>
      </c>
      <c r="M572" s="32" t="e">
        <f ca="1">_xludf.ifna(VLOOKUP(G572,Proyectos!$A$2:$T$674,20,0),"")</f>
        <v>#NAME?</v>
      </c>
      <c r="N572" s="32" t="e">
        <f ca="1">_xludf.ifna(VLOOKUP(G572,Proyectos!$A$2:$S$674,19,0))</f>
        <v>#NAME?</v>
      </c>
      <c r="O572" s="31"/>
      <c r="P572" s="31"/>
      <c r="Q572" s="33"/>
      <c r="R572" s="33"/>
      <c r="S572" s="33"/>
      <c r="T572" s="33"/>
      <c r="U572" s="33"/>
      <c r="V572" s="33"/>
      <c r="W572" s="33"/>
    </row>
    <row r="573" spans="1:23" ht="16.5" customHeight="1" x14ac:dyDescent="0.2">
      <c r="A573" s="26" t="s">
        <v>3943</v>
      </c>
      <c r="B573" s="26" t="s">
        <v>3944</v>
      </c>
      <c r="C573" s="66" t="s">
        <v>136</v>
      </c>
      <c r="D573" s="27" t="s">
        <v>137</v>
      </c>
      <c r="E573" s="27" t="s">
        <v>108</v>
      </c>
      <c r="F573" s="28" t="e">
        <f ca="1">_xludf.ifna(VLOOKUP(G573,Proyectos!$A$2:$F$674,6,0),"")</f>
        <v>#NAME?</v>
      </c>
      <c r="G573" s="27" t="s">
        <v>5252</v>
      </c>
      <c r="H573" s="44">
        <v>1</v>
      </c>
      <c r="I573" s="31" t="s">
        <v>18</v>
      </c>
      <c r="J573" s="27" t="s">
        <v>61</v>
      </c>
      <c r="K573" s="51"/>
      <c r="L573" s="32" t="e">
        <f ca="1">_xludf.ifna(VLOOKUP(E573,Parámetros!$D$2:$E$34,2,0),"")</f>
        <v>#NAME?</v>
      </c>
      <c r="M573" s="32" t="e">
        <f ca="1">_xludf.ifna(VLOOKUP(G573,Proyectos!$A$2:$T$674,20,0),"")</f>
        <v>#NAME?</v>
      </c>
      <c r="N573" s="32" t="e">
        <f ca="1">_xludf.ifna(VLOOKUP(G573,Proyectos!$A$2:$S$674,19,0))</f>
        <v>#NAME?</v>
      </c>
      <c r="O573" s="31"/>
      <c r="P573" s="31"/>
      <c r="Q573" s="33"/>
      <c r="R573" s="33"/>
      <c r="S573" s="33"/>
      <c r="T573" s="33"/>
      <c r="U573" s="33"/>
      <c r="V573" s="33"/>
      <c r="W573" s="33"/>
    </row>
    <row r="574" spans="1:23" ht="16.5" customHeight="1" x14ac:dyDescent="0.2">
      <c r="A574" s="26" t="s">
        <v>4124</v>
      </c>
      <c r="B574" s="26" t="s">
        <v>4125</v>
      </c>
      <c r="C574" s="66" t="s">
        <v>136</v>
      </c>
      <c r="D574" s="27" t="s">
        <v>137</v>
      </c>
      <c r="E574" s="26" t="s">
        <v>108</v>
      </c>
      <c r="F574" s="28" t="e">
        <f ca="1">_xludf.ifna(VLOOKUP(G574,Proyectos!$A$2:$F$674,6,0),"")</f>
        <v>#NAME?</v>
      </c>
      <c r="G574" s="26" t="s">
        <v>5249</v>
      </c>
      <c r="H574" s="32">
        <v>0.5</v>
      </c>
      <c r="I574" s="31" t="s">
        <v>18</v>
      </c>
      <c r="J574" s="27" t="s">
        <v>61</v>
      </c>
      <c r="K574" s="51"/>
      <c r="L574" s="32" t="e">
        <f ca="1">_xludf.ifna(VLOOKUP(E574,Parámetros!$D$2:$E$34,2,0),"")</f>
        <v>#NAME?</v>
      </c>
      <c r="M574" s="32" t="e">
        <f ca="1">_xludf.ifna(VLOOKUP(G574,Proyectos!$A$2:$T$674,20,0),"")</f>
        <v>#NAME?</v>
      </c>
      <c r="N574" s="32" t="e">
        <f ca="1">_xludf.ifna(VLOOKUP(G574,Proyectos!$A$2:$S$674,19,0))</f>
        <v>#NAME?</v>
      </c>
      <c r="O574" s="31"/>
      <c r="P574" s="31"/>
      <c r="Q574" s="33"/>
      <c r="R574" s="33"/>
      <c r="S574" s="33"/>
      <c r="T574" s="33"/>
      <c r="U574" s="33"/>
      <c r="V574" s="33"/>
      <c r="W574" s="33"/>
    </row>
    <row r="575" spans="1:23" ht="16.5" customHeight="1" x14ac:dyDescent="0.2">
      <c r="A575" s="26" t="s">
        <v>4124</v>
      </c>
      <c r="B575" s="26" t="s">
        <v>4125</v>
      </c>
      <c r="C575" s="66" t="s">
        <v>136</v>
      </c>
      <c r="D575" s="27" t="s">
        <v>137</v>
      </c>
      <c r="E575" s="26" t="s">
        <v>108</v>
      </c>
      <c r="F575" s="28" t="e">
        <f ca="1">_xludf.ifna(VLOOKUP(G575,Proyectos!$A$2:$F$674,6,0),"")</f>
        <v>#NAME?</v>
      </c>
      <c r="G575" s="27" t="s">
        <v>5250</v>
      </c>
      <c r="H575" s="32">
        <v>0.5</v>
      </c>
      <c r="I575" s="31" t="s">
        <v>18</v>
      </c>
      <c r="J575" s="27" t="s">
        <v>61</v>
      </c>
      <c r="K575" s="51"/>
      <c r="L575" s="32" t="e">
        <f ca="1">_xludf.ifna(VLOOKUP(E575,Parámetros!$D$2:$E$34,2,0),"")</f>
        <v>#NAME?</v>
      </c>
      <c r="M575" s="32" t="e">
        <f ca="1">_xludf.ifna(VLOOKUP(G575,Proyectos!$A$2:$T$674,20,0),"")</f>
        <v>#NAME?</v>
      </c>
      <c r="N575" s="32" t="e">
        <f ca="1">_xludf.ifna(VLOOKUP(G575,Proyectos!$A$2:$S$674,19,0))</f>
        <v>#NAME?</v>
      </c>
      <c r="O575" s="31"/>
      <c r="P575" s="31"/>
      <c r="Q575" s="33"/>
      <c r="R575" s="33"/>
      <c r="S575" s="33"/>
      <c r="T575" s="33"/>
      <c r="U575" s="33"/>
      <c r="V575" s="33"/>
      <c r="W575" s="33"/>
    </row>
    <row r="576" spans="1:23" ht="16.5" customHeight="1" x14ac:dyDescent="0.2">
      <c r="A576" s="26" t="s">
        <v>4557</v>
      </c>
      <c r="B576" s="26" t="s">
        <v>4558</v>
      </c>
      <c r="C576" s="66" t="s">
        <v>136</v>
      </c>
      <c r="D576" s="27" t="s">
        <v>137</v>
      </c>
      <c r="E576" s="27" t="s">
        <v>46</v>
      </c>
      <c r="F576" s="28" t="e">
        <f ca="1">_xludf.ifna(VLOOKUP(G576,Proyectos!$A$2:$F$674,6,0),"")</f>
        <v>#NAME?</v>
      </c>
      <c r="G576" s="26" t="s">
        <v>5249</v>
      </c>
      <c r="H576" s="32">
        <v>0.4</v>
      </c>
      <c r="I576" s="31" t="s">
        <v>11</v>
      </c>
      <c r="J576" s="27" t="s">
        <v>61</v>
      </c>
      <c r="K576" s="51"/>
      <c r="L576" s="32" t="e">
        <f ca="1">_xludf.ifna(VLOOKUP(E576,Parámetros!$D$2:$E$34,2,0),"")</f>
        <v>#NAME?</v>
      </c>
      <c r="M576" s="32" t="e">
        <f ca="1">_xludf.ifna(VLOOKUP(G576,Proyectos!$A$2:$T$674,20,0),"")</f>
        <v>#NAME?</v>
      </c>
      <c r="N576" s="32" t="e">
        <f ca="1">_xludf.ifna(VLOOKUP(G576,Proyectos!$A$2:$S$674,19,0))</f>
        <v>#NAME?</v>
      </c>
      <c r="O576" s="31"/>
      <c r="P576" s="31"/>
      <c r="Q576" s="33"/>
      <c r="R576" s="33"/>
      <c r="S576" s="33"/>
      <c r="T576" s="33"/>
      <c r="U576" s="33"/>
      <c r="V576" s="33"/>
      <c r="W576" s="33"/>
    </row>
    <row r="577" spans="1:23" ht="16.5" customHeight="1" x14ac:dyDescent="0.2">
      <c r="A577" s="26" t="s">
        <v>4557</v>
      </c>
      <c r="B577" s="26" t="s">
        <v>4558</v>
      </c>
      <c r="C577" s="66" t="s">
        <v>136</v>
      </c>
      <c r="D577" s="27" t="s">
        <v>137</v>
      </c>
      <c r="E577" s="27" t="s">
        <v>46</v>
      </c>
      <c r="F577" s="28" t="e">
        <f ca="1">_xludf.ifna(VLOOKUP(G577,Proyectos!$A$2:$F$674,6,0),"")</f>
        <v>#NAME?</v>
      </c>
      <c r="G577" s="27" t="s">
        <v>5250</v>
      </c>
      <c r="H577" s="32">
        <v>0.3</v>
      </c>
      <c r="I577" s="31" t="s">
        <v>11</v>
      </c>
      <c r="J577" s="27" t="s">
        <v>61</v>
      </c>
      <c r="K577" s="51"/>
      <c r="L577" s="32" t="e">
        <f ca="1">_xludf.ifna(VLOOKUP(E577,Parámetros!$D$2:$E$34,2,0),"")</f>
        <v>#NAME?</v>
      </c>
      <c r="M577" s="32" t="e">
        <f ca="1">_xludf.ifna(VLOOKUP(G577,Proyectos!$A$2:$T$674,20,0),"")</f>
        <v>#NAME?</v>
      </c>
      <c r="N577" s="32" t="e">
        <f ca="1">_xludf.ifna(VLOOKUP(G577,Proyectos!$A$2:$S$674,19,0))</f>
        <v>#NAME?</v>
      </c>
      <c r="O577" s="31"/>
      <c r="P577" s="31"/>
      <c r="Q577" s="33"/>
      <c r="R577" s="33"/>
      <c r="S577" s="33"/>
      <c r="T577" s="33"/>
      <c r="U577" s="33"/>
      <c r="V577" s="33"/>
      <c r="W577" s="33"/>
    </row>
    <row r="578" spans="1:23" ht="16.5" customHeight="1" x14ac:dyDescent="0.2">
      <c r="A578" s="26" t="s">
        <v>4557</v>
      </c>
      <c r="B578" s="26" t="s">
        <v>4558</v>
      </c>
      <c r="C578" s="66" t="s">
        <v>136</v>
      </c>
      <c r="D578" s="27" t="s">
        <v>137</v>
      </c>
      <c r="E578" s="27" t="s">
        <v>46</v>
      </c>
      <c r="F578" s="28" t="e">
        <f ca="1">_xludf.ifna(VLOOKUP(G578,Proyectos!$A$2:$F$674,6,0),"")</f>
        <v>#NAME?</v>
      </c>
      <c r="G578" s="27" t="s">
        <v>5252</v>
      </c>
      <c r="H578" s="32">
        <v>0.3</v>
      </c>
      <c r="I578" s="31" t="s">
        <v>11</v>
      </c>
      <c r="J578" s="27" t="s">
        <v>61</v>
      </c>
      <c r="K578" s="51"/>
      <c r="L578" s="32" t="e">
        <f ca="1">_xludf.ifna(VLOOKUP(E578,Parámetros!$D$2:$E$34,2,0),"")</f>
        <v>#NAME?</v>
      </c>
      <c r="M578" s="32" t="e">
        <f ca="1">_xludf.ifna(VLOOKUP(G578,Proyectos!$A$2:$T$674,20,0),"")</f>
        <v>#NAME?</v>
      </c>
      <c r="N578" s="32" t="e">
        <f ca="1">_xludf.ifna(VLOOKUP(G578,Proyectos!$A$2:$S$674,19,0))</f>
        <v>#NAME?</v>
      </c>
      <c r="O578" s="31"/>
      <c r="P578" s="31"/>
      <c r="Q578" s="33"/>
      <c r="R578" s="33"/>
      <c r="S578" s="33"/>
      <c r="T578" s="33"/>
      <c r="U578" s="33"/>
      <c r="V578" s="33"/>
      <c r="W578" s="33"/>
    </row>
    <row r="579" spans="1:23" ht="16.5" customHeight="1" x14ac:dyDescent="0.2">
      <c r="A579" s="26" t="s">
        <v>4529</v>
      </c>
      <c r="B579" s="26" t="s">
        <v>4530</v>
      </c>
      <c r="C579" s="66" t="s">
        <v>136</v>
      </c>
      <c r="D579" s="27" t="s">
        <v>137</v>
      </c>
      <c r="E579" s="27" t="s">
        <v>46</v>
      </c>
      <c r="F579" s="28" t="e">
        <f ca="1">_xludf.ifna(VLOOKUP(G579,Proyectos!$A$2:$F$674,6,0),"")</f>
        <v>#NAME?</v>
      </c>
      <c r="G579" s="27" t="s">
        <v>5253</v>
      </c>
      <c r="H579" s="44">
        <v>0.25</v>
      </c>
      <c r="I579" s="31" t="s">
        <v>18</v>
      </c>
      <c r="J579" s="27" t="s">
        <v>41</v>
      </c>
      <c r="K579" s="27" t="s">
        <v>3959</v>
      </c>
      <c r="L579" s="32" t="e">
        <f ca="1">_xludf.ifna(VLOOKUP(E579,Parámetros!$D$2:$E$34,2,0),"")</f>
        <v>#NAME?</v>
      </c>
      <c r="M579" s="32" t="e">
        <f ca="1">_xludf.ifna(VLOOKUP(G579,Proyectos!$A$2:$T$674,20,0),"")</f>
        <v>#NAME?</v>
      </c>
      <c r="N579" s="32" t="e">
        <f ca="1">_xludf.ifna(VLOOKUP(G579,Proyectos!$A$2:$S$674,19,0))</f>
        <v>#NAME?</v>
      </c>
      <c r="O579" s="31"/>
      <c r="P579" s="31"/>
      <c r="Q579" s="33"/>
      <c r="R579" s="33"/>
      <c r="S579" s="33"/>
      <c r="T579" s="33"/>
      <c r="U579" s="33"/>
      <c r="V579" s="33"/>
      <c r="W579" s="33"/>
    </row>
    <row r="580" spans="1:23" ht="16.5" customHeight="1" x14ac:dyDescent="0.2">
      <c r="A580" s="26" t="s">
        <v>4529</v>
      </c>
      <c r="B580" s="26" t="s">
        <v>4530</v>
      </c>
      <c r="C580" s="66" t="s">
        <v>136</v>
      </c>
      <c r="D580" s="27" t="s">
        <v>137</v>
      </c>
      <c r="E580" s="27" t="s">
        <v>46</v>
      </c>
      <c r="F580" s="28" t="e">
        <f ca="1">_xludf.ifna(VLOOKUP(G580,Proyectos!$A$2:$F$674,6,0),"")</f>
        <v>#NAME?</v>
      </c>
      <c r="G580" s="29" t="s">
        <v>5114</v>
      </c>
      <c r="H580" s="44">
        <v>0.75</v>
      </c>
      <c r="I580" s="31" t="s">
        <v>18</v>
      </c>
      <c r="J580" s="27" t="s">
        <v>41</v>
      </c>
      <c r="K580" s="27" t="s">
        <v>3959</v>
      </c>
      <c r="L580" s="32" t="e">
        <f ca="1">_xludf.ifna(VLOOKUP(E580,Parámetros!$D$2:$E$34,2,0),"")</f>
        <v>#NAME?</v>
      </c>
      <c r="M580" s="32" t="e">
        <f ca="1">_xludf.ifna(VLOOKUP(G580,Proyectos!$A$2:$T$674,20,0),"")</f>
        <v>#NAME?</v>
      </c>
      <c r="N580" s="32" t="e">
        <f ca="1">_xludf.ifna(VLOOKUP(G580,Proyectos!$A$2:$S$674,19,0))</f>
        <v>#NAME?</v>
      </c>
      <c r="O580" s="31"/>
      <c r="P580" s="31"/>
      <c r="Q580" s="33"/>
      <c r="R580" s="33"/>
      <c r="S580" s="33"/>
      <c r="T580" s="33"/>
      <c r="U580" s="33"/>
      <c r="V580" s="33"/>
      <c r="W580" s="33"/>
    </row>
    <row r="581" spans="1:23" ht="16.5" customHeight="1" x14ac:dyDescent="0.2">
      <c r="A581" s="26" t="s">
        <v>3933</v>
      </c>
      <c r="B581" s="70" t="s">
        <v>3934</v>
      </c>
      <c r="C581" s="66" t="s">
        <v>136</v>
      </c>
      <c r="D581" s="27" t="s">
        <v>137</v>
      </c>
      <c r="E581" s="26" t="s">
        <v>135</v>
      </c>
      <c r="F581" s="28" t="e">
        <f ca="1">_xludf.ifna(VLOOKUP(G581,Proyectos!$A$2:$F$674,6,0),"")</f>
        <v>#NAME?</v>
      </c>
      <c r="G581" s="46" t="s">
        <v>5254</v>
      </c>
      <c r="H581" s="44">
        <v>0.75</v>
      </c>
      <c r="I581" s="31" t="s">
        <v>18</v>
      </c>
      <c r="J581" s="27" t="s">
        <v>41</v>
      </c>
      <c r="K581" s="32"/>
      <c r="L581" s="32" t="e">
        <f ca="1">_xludf.ifna(VLOOKUP(E581,Parámetros!$D$2:$E$34,2,0),"")</f>
        <v>#NAME?</v>
      </c>
      <c r="M581" s="32" t="e">
        <f ca="1">_xludf.ifna(VLOOKUP(G581,Proyectos!$A$2:$T$674,20,0),"")</f>
        <v>#NAME?</v>
      </c>
      <c r="N581" s="32" t="e">
        <f ca="1">_xludf.ifna(VLOOKUP(G581,Proyectos!$A$2:$S$674,19,0))</f>
        <v>#NAME?</v>
      </c>
      <c r="O581" s="31"/>
      <c r="P581" s="31"/>
      <c r="Q581" s="33"/>
      <c r="R581" s="33"/>
      <c r="S581" s="33"/>
      <c r="T581" s="33"/>
      <c r="U581" s="33"/>
      <c r="V581" s="33"/>
      <c r="W581" s="33"/>
    </row>
    <row r="582" spans="1:23" ht="16.5" customHeight="1" x14ac:dyDescent="0.2">
      <c r="A582" s="26" t="s">
        <v>3933</v>
      </c>
      <c r="B582" s="70" t="s">
        <v>3934</v>
      </c>
      <c r="C582" s="66" t="s">
        <v>136</v>
      </c>
      <c r="D582" s="27" t="s">
        <v>137</v>
      </c>
      <c r="E582" s="26" t="s">
        <v>135</v>
      </c>
      <c r="F582" s="28" t="e">
        <f ca="1">_xludf.ifna(VLOOKUP(G582,Proyectos!$A$2:$F$674,6,0),"")</f>
        <v>#NAME?</v>
      </c>
      <c r="G582" s="26" t="s">
        <v>5255</v>
      </c>
      <c r="H582" s="32">
        <v>0.25</v>
      </c>
      <c r="I582" s="31" t="s">
        <v>18</v>
      </c>
      <c r="J582" s="27" t="s">
        <v>41</v>
      </c>
      <c r="K582" s="32"/>
      <c r="L582" s="32" t="e">
        <f ca="1">_xludf.ifna(VLOOKUP(E582,Parámetros!$D$2:$E$34,2,0),"")</f>
        <v>#NAME?</v>
      </c>
      <c r="M582" s="32" t="e">
        <f ca="1">_xludf.ifna(VLOOKUP(G582,Proyectos!$A$2:$T$674,20,0),"")</f>
        <v>#NAME?</v>
      </c>
      <c r="N582" s="32" t="e">
        <f ca="1">_xludf.ifna(VLOOKUP(G582,Proyectos!$A$2:$S$674,19,0))</f>
        <v>#NAME?</v>
      </c>
      <c r="O582" s="31"/>
      <c r="P582" s="31"/>
      <c r="Q582" s="33"/>
      <c r="R582" s="33"/>
      <c r="S582" s="33"/>
      <c r="T582" s="33"/>
      <c r="U582" s="33"/>
      <c r="V582" s="33"/>
      <c r="W582" s="33"/>
    </row>
    <row r="583" spans="1:23" ht="16.5" customHeight="1" x14ac:dyDescent="0.2">
      <c r="A583" s="26" t="s">
        <v>4354</v>
      </c>
      <c r="B583" s="26" t="s">
        <v>4355</v>
      </c>
      <c r="C583" s="66" t="s">
        <v>136</v>
      </c>
      <c r="D583" s="27" t="s">
        <v>137</v>
      </c>
      <c r="E583" s="26" t="s">
        <v>135</v>
      </c>
      <c r="F583" s="28" t="e">
        <f ca="1">_xludf.ifna(VLOOKUP(G583,Proyectos!$A$2:$F$674,6,0),"")</f>
        <v>#NAME?</v>
      </c>
      <c r="G583" s="26" t="s">
        <v>5253</v>
      </c>
      <c r="H583" s="32">
        <v>1</v>
      </c>
      <c r="I583" s="31" t="s">
        <v>18</v>
      </c>
      <c r="J583" s="27" t="s">
        <v>41</v>
      </c>
      <c r="K583" s="32"/>
      <c r="L583" s="32" t="e">
        <f ca="1">_xludf.ifna(VLOOKUP(E583,Parámetros!$D$2:$E$34,2,0),"")</f>
        <v>#NAME?</v>
      </c>
      <c r="M583" s="32" t="e">
        <f ca="1">_xludf.ifna(VLOOKUP(G583,Proyectos!$A$2:$T$674,20,0),"")</f>
        <v>#NAME?</v>
      </c>
      <c r="N583" s="32" t="e">
        <f ca="1">_xludf.ifna(VLOOKUP(G583,Proyectos!$A$2:$S$674,19,0))</f>
        <v>#NAME?</v>
      </c>
      <c r="O583" s="31"/>
      <c r="P583" s="31"/>
      <c r="Q583" s="33"/>
      <c r="R583" s="33"/>
      <c r="S583" s="33"/>
      <c r="T583" s="33"/>
      <c r="U583" s="33"/>
      <c r="V583" s="33"/>
      <c r="W583" s="33"/>
    </row>
    <row r="584" spans="1:23" ht="16.5" customHeight="1" x14ac:dyDescent="0.2">
      <c r="A584" s="26" t="s">
        <v>4569</v>
      </c>
      <c r="B584" s="26" t="s">
        <v>4570</v>
      </c>
      <c r="C584" s="66" t="s">
        <v>136</v>
      </c>
      <c r="D584" s="27" t="s">
        <v>137</v>
      </c>
      <c r="E584" s="27" t="s">
        <v>46</v>
      </c>
      <c r="F584" s="28" t="e">
        <f ca="1">_xludf.ifna(VLOOKUP(G584,Proyectos!$A$2:$F$674,6,0),"")</f>
        <v>#NAME?</v>
      </c>
      <c r="G584" s="46" t="s">
        <v>5254</v>
      </c>
      <c r="H584" s="32">
        <v>0.5</v>
      </c>
      <c r="I584" s="31" t="s">
        <v>18</v>
      </c>
      <c r="J584" s="27" t="s">
        <v>41</v>
      </c>
      <c r="K584" s="32"/>
      <c r="L584" s="32" t="e">
        <f ca="1">_xludf.ifna(VLOOKUP(E584,Parámetros!$D$2:$E$34,2,0),"")</f>
        <v>#NAME?</v>
      </c>
      <c r="M584" s="32" t="e">
        <f ca="1">_xludf.ifna(VLOOKUP(G584,Proyectos!$A$2:$T$674,20,0),"")</f>
        <v>#NAME?</v>
      </c>
      <c r="N584" s="32" t="e">
        <f ca="1">_xludf.ifna(VLOOKUP(G584,Proyectos!$A$2:$S$674,19,0))</f>
        <v>#NAME?</v>
      </c>
      <c r="O584" s="31"/>
      <c r="P584" s="31"/>
      <c r="Q584" s="33"/>
      <c r="R584" s="33"/>
      <c r="S584" s="33"/>
      <c r="T584" s="33"/>
      <c r="U584" s="33"/>
      <c r="V584" s="33"/>
      <c r="W584" s="33"/>
    </row>
    <row r="585" spans="1:23" ht="16.5" customHeight="1" x14ac:dyDescent="0.2">
      <c r="A585" s="26" t="s">
        <v>4569</v>
      </c>
      <c r="B585" s="26" t="s">
        <v>4570</v>
      </c>
      <c r="C585" s="66" t="s">
        <v>136</v>
      </c>
      <c r="D585" s="27" t="s">
        <v>137</v>
      </c>
      <c r="E585" s="27" t="s">
        <v>46</v>
      </c>
      <c r="F585" s="28" t="e">
        <f ca="1">_xludf.ifna(VLOOKUP(G585,Proyectos!$A$2:$F$674,6,0),"")</f>
        <v>#NAME?</v>
      </c>
      <c r="G585" s="26" t="s">
        <v>5256</v>
      </c>
      <c r="H585" s="32">
        <v>0.5</v>
      </c>
      <c r="I585" s="31" t="s">
        <v>18</v>
      </c>
      <c r="J585" s="27" t="s">
        <v>41</v>
      </c>
      <c r="K585" s="32"/>
      <c r="L585" s="32" t="e">
        <f ca="1">_xludf.ifna(VLOOKUP(E585,Parámetros!$D$2:$E$34,2,0),"")</f>
        <v>#NAME?</v>
      </c>
      <c r="M585" s="32" t="e">
        <f ca="1">_xludf.ifna(VLOOKUP(G585,Proyectos!$A$2:$T$674,20,0),"")</f>
        <v>#NAME?</v>
      </c>
      <c r="N585" s="32" t="e">
        <f ca="1">_xludf.ifna(VLOOKUP(G585,Proyectos!$A$2:$S$674,19,0))</f>
        <v>#NAME?</v>
      </c>
      <c r="O585" s="31"/>
      <c r="P585" s="31"/>
      <c r="Q585" s="33"/>
      <c r="R585" s="33"/>
      <c r="S585" s="33"/>
      <c r="T585" s="33"/>
      <c r="U585" s="33"/>
      <c r="V585" s="33"/>
      <c r="W585" s="33"/>
    </row>
    <row r="586" spans="1:23" ht="16.5" customHeight="1" x14ac:dyDescent="0.2">
      <c r="A586" s="26" t="s">
        <v>4753</v>
      </c>
      <c r="B586" s="26" t="s">
        <v>4754</v>
      </c>
      <c r="C586" s="66" t="s">
        <v>136</v>
      </c>
      <c r="D586" s="27" t="s">
        <v>137</v>
      </c>
      <c r="E586" s="27" t="s">
        <v>46</v>
      </c>
      <c r="F586" s="28" t="e">
        <f ca="1">_xludf.ifna(VLOOKUP(G586,Proyectos!$A$2:$F$674,6,0),"")</f>
        <v>#NAME?</v>
      </c>
      <c r="G586" s="26" t="s">
        <v>5253</v>
      </c>
      <c r="H586" s="32">
        <v>1</v>
      </c>
      <c r="I586" s="31" t="s">
        <v>18</v>
      </c>
      <c r="J586" s="27" t="s">
        <v>41</v>
      </c>
      <c r="K586" s="27" t="s">
        <v>3959</v>
      </c>
      <c r="L586" s="32" t="e">
        <f ca="1">_xludf.ifna(VLOOKUP(E586,Parámetros!$D$2:$E$34,2,0),"")</f>
        <v>#NAME?</v>
      </c>
      <c r="M586" s="32" t="e">
        <f ca="1">_xludf.ifna(VLOOKUP(G586,Proyectos!$A$2:$T$674,20,0),"")</f>
        <v>#NAME?</v>
      </c>
      <c r="N586" s="32" t="e">
        <f ca="1">_xludf.ifna(VLOOKUP(G586,Proyectos!$A$2:$S$674,19,0))</f>
        <v>#NAME?</v>
      </c>
      <c r="O586" s="31"/>
      <c r="P586" s="31"/>
      <c r="Q586" s="33"/>
      <c r="R586" s="33"/>
      <c r="S586" s="33"/>
      <c r="T586" s="33"/>
      <c r="U586" s="33"/>
      <c r="V586" s="33"/>
      <c r="W586" s="33"/>
    </row>
    <row r="587" spans="1:23" ht="16.5" customHeight="1" x14ac:dyDescent="0.2">
      <c r="A587" s="26" t="s">
        <v>4796</v>
      </c>
      <c r="B587" s="26" t="s">
        <v>4797</v>
      </c>
      <c r="C587" s="66" t="s">
        <v>136</v>
      </c>
      <c r="D587" s="27" t="s">
        <v>137</v>
      </c>
      <c r="E587" s="27" t="s">
        <v>46</v>
      </c>
      <c r="F587" s="28" t="e">
        <f ca="1">_xludf.ifna(VLOOKUP(G587,Proyectos!$A$2:$F$674,6,0),"")</f>
        <v>#NAME?</v>
      </c>
      <c r="G587" s="26" t="s">
        <v>5253</v>
      </c>
      <c r="H587" s="32">
        <v>1</v>
      </c>
      <c r="I587" s="31" t="s">
        <v>18</v>
      </c>
      <c r="J587" s="27" t="s">
        <v>41</v>
      </c>
      <c r="K587" s="32"/>
      <c r="L587" s="32" t="e">
        <f ca="1">_xludf.ifna(VLOOKUP(E587,Parámetros!$D$2:$E$34,2,0),"")</f>
        <v>#NAME?</v>
      </c>
      <c r="M587" s="32" t="e">
        <f ca="1">_xludf.ifna(VLOOKUP(G587,Proyectos!$A$2:$T$674,20,0),"")</f>
        <v>#NAME?</v>
      </c>
      <c r="N587" s="32" t="e">
        <f ca="1">_xludf.ifna(VLOOKUP(G587,Proyectos!$A$2:$S$674,19,0))</f>
        <v>#NAME?</v>
      </c>
      <c r="O587" s="31"/>
      <c r="P587" s="31"/>
      <c r="Q587" s="33"/>
      <c r="R587" s="33"/>
      <c r="S587" s="33"/>
      <c r="T587" s="33"/>
      <c r="U587" s="33"/>
      <c r="V587" s="33"/>
      <c r="W587" s="33"/>
    </row>
    <row r="588" spans="1:23" ht="16.5" customHeight="1" x14ac:dyDescent="0.2">
      <c r="A588" s="26" t="s">
        <v>3980</v>
      </c>
      <c r="B588" s="26" t="s">
        <v>3981</v>
      </c>
      <c r="C588" s="66" t="s">
        <v>136</v>
      </c>
      <c r="D588" s="27" t="s">
        <v>137</v>
      </c>
      <c r="E588" s="26" t="s">
        <v>111</v>
      </c>
      <c r="F588" s="28" t="e">
        <f ca="1">_xludf.ifna(VLOOKUP(G588,Proyectos!$A$2:$F$674,6,0),"")</f>
        <v>#NAME?</v>
      </c>
      <c r="G588" s="26" t="s">
        <v>5253</v>
      </c>
      <c r="H588" s="44">
        <v>1</v>
      </c>
      <c r="I588" s="31" t="s">
        <v>18</v>
      </c>
      <c r="J588" s="27" t="s">
        <v>41</v>
      </c>
      <c r="K588" s="32"/>
      <c r="L588" s="32" t="e">
        <f ca="1">_xludf.ifna(VLOOKUP(E588,Parámetros!$D$2:$E$34,2,0),"")</f>
        <v>#NAME?</v>
      </c>
      <c r="M588" s="32" t="e">
        <f ca="1">_xludf.ifna(VLOOKUP(G588,Proyectos!$A$2:$T$674,20,0),"")</f>
        <v>#NAME?</v>
      </c>
      <c r="N588" s="32" t="e">
        <f ca="1">_xludf.ifna(VLOOKUP(G588,Proyectos!$A$2:$S$674,19,0))</f>
        <v>#NAME?</v>
      </c>
      <c r="O588" s="31"/>
      <c r="P588" s="31"/>
      <c r="Q588" s="33"/>
      <c r="R588" s="33"/>
      <c r="S588" s="33"/>
      <c r="T588" s="33"/>
      <c r="U588" s="33"/>
      <c r="V588" s="33"/>
      <c r="W588" s="33"/>
    </row>
    <row r="589" spans="1:23" ht="16.5" customHeight="1" x14ac:dyDescent="0.2">
      <c r="A589" s="26" t="s">
        <v>4227</v>
      </c>
      <c r="B589" s="26" t="s">
        <v>4228</v>
      </c>
      <c r="C589" s="66" t="s">
        <v>136</v>
      </c>
      <c r="D589" s="27" t="s">
        <v>137</v>
      </c>
      <c r="E589" s="26" t="s">
        <v>108</v>
      </c>
      <c r="F589" s="28" t="e">
        <f ca="1">_xludf.ifna(VLOOKUP(G589,Proyectos!$A$2:$F$674,6,0),"")</f>
        <v>#NAME?</v>
      </c>
      <c r="G589" s="26" t="s">
        <v>5253</v>
      </c>
      <c r="H589" s="44">
        <v>1</v>
      </c>
      <c r="I589" s="31" t="s">
        <v>18</v>
      </c>
      <c r="J589" s="27" t="s">
        <v>41</v>
      </c>
      <c r="K589" s="32"/>
      <c r="L589" s="32" t="e">
        <f ca="1">_xludf.ifna(VLOOKUP(E589,Parámetros!$D$2:$E$34,2,0),"")</f>
        <v>#NAME?</v>
      </c>
      <c r="M589" s="32" t="e">
        <f ca="1">_xludf.ifna(VLOOKUP(G589,Proyectos!$A$2:$T$674,20,0),"")</f>
        <v>#NAME?</v>
      </c>
      <c r="N589" s="32" t="e">
        <f ca="1">_xludf.ifna(VLOOKUP(G589,Proyectos!$A$2:$S$674,19,0))</f>
        <v>#NAME?</v>
      </c>
      <c r="O589" s="31"/>
      <c r="P589" s="31"/>
      <c r="Q589" s="33"/>
      <c r="R589" s="33"/>
      <c r="S589" s="33"/>
      <c r="T589" s="33"/>
      <c r="U589" s="33"/>
      <c r="V589" s="33"/>
      <c r="W589" s="33"/>
    </row>
    <row r="590" spans="1:23" ht="16.5" customHeight="1" x14ac:dyDescent="0.2">
      <c r="A590" s="26" t="s">
        <v>4122</v>
      </c>
      <c r="B590" s="26" t="s">
        <v>4123</v>
      </c>
      <c r="C590" s="66" t="s">
        <v>136</v>
      </c>
      <c r="D590" s="27" t="s">
        <v>137</v>
      </c>
      <c r="E590" s="26" t="s">
        <v>111</v>
      </c>
      <c r="F590" s="28" t="e">
        <f ca="1">_xludf.ifna(VLOOKUP(G590,Proyectos!$A$2:$F$674,6,0),"")</f>
        <v>#NAME?</v>
      </c>
      <c r="G590" s="26" t="s">
        <v>5253</v>
      </c>
      <c r="H590" s="44">
        <v>1</v>
      </c>
      <c r="I590" s="31" t="s">
        <v>11</v>
      </c>
      <c r="J590" s="31" t="s">
        <v>41</v>
      </c>
      <c r="K590" s="32"/>
      <c r="L590" s="32" t="e">
        <f ca="1">_xludf.ifna(VLOOKUP(E590,Parámetros!$D$2:$E$34,2,0),"")</f>
        <v>#NAME?</v>
      </c>
      <c r="M590" s="32" t="e">
        <f ca="1">_xludf.ifna(VLOOKUP(G590,Proyectos!$A$2:$T$674,20,0),"")</f>
        <v>#NAME?</v>
      </c>
      <c r="N590" s="32" t="e">
        <f ca="1">_xludf.ifna(VLOOKUP(G590,Proyectos!$A$2:$S$674,19,0))</f>
        <v>#NAME?</v>
      </c>
      <c r="O590" s="31"/>
      <c r="P590" s="31"/>
      <c r="Q590" s="33"/>
      <c r="R590" s="33"/>
      <c r="S590" s="33"/>
      <c r="T590" s="33"/>
      <c r="U590" s="33"/>
      <c r="V590" s="33"/>
      <c r="W590" s="33"/>
    </row>
    <row r="591" spans="1:23" ht="16.5" customHeight="1" x14ac:dyDescent="0.2">
      <c r="A591" s="26" t="s">
        <v>4567</v>
      </c>
      <c r="B591" s="26" t="s">
        <v>4568</v>
      </c>
      <c r="C591" s="66" t="s">
        <v>136</v>
      </c>
      <c r="D591" s="27" t="s">
        <v>137</v>
      </c>
      <c r="E591" s="27" t="s">
        <v>46</v>
      </c>
      <c r="F591" s="28" t="e">
        <f ca="1">_xludf.ifna(VLOOKUP(G591,Proyectos!$A$2:$F$674,6,0),"")</f>
        <v>#NAME?</v>
      </c>
      <c r="G591" s="26" t="s">
        <v>5257</v>
      </c>
      <c r="H591" s="44">
        <v>1</v>
      </c>
      <c r="I591" s="31" t="s">
        <v>18</v>
      </c>
      <c r="J591" s="31" t="s">
        <v>41</v>
      </c>
      <c r="K591" s="27" t="s">
        <v>3959</v>
      </c>
      <c r="L591" s="32" t="e">
        <f ca="1">_xludf.ifna(VLOOKUP(E591,Parámetros!$D$2:$E$34,2,0),"")</f>
        <v>#NAME?</v>
      </c>
      <c r="M591" s="32" t="e">
        <f ca="1">_xludf.ifna(VLOOKUP(G591,Proyectos!$A$2:$T$674,20,0),"")</f>
        <v>#NAME?</v>
      </c>
      <c r="N591" s="32" t="e">
        <f ca="1">_xludf.ifna(VLOOKUP(G591,Proyectos!$A$2:$S$674,19,0))</f>
        <v>#NAME?</v>
      </c>
      <c r="O591" s="31"/>
      <c r="P591" s="31"/>
      <c r="Q591" s="33"/>
      <c r="R591" s="33"/>
      <c r="S591" s="33"/>
      <c r="T591" s="33"/>
      <c r="U591" s="33"/>
      <c r="V591" s="33"/>
      <c r="W591" s="33"/>
    </row>
    <row r="592" spans="1:23" ht="16.5" customHeight="1" x14ac:dyDescent="0.2">
      <c r="A592" s="26" t="s">
        <v>4581</v>
      </c>
      <c r="B592" s="26" t="s">
        <v>4582</v>
      </c>
      <c r="C592" s="66" t="s">
        <v>136</v>
      </c>
      <c r="D592" s="27" t="s">
        <v>137</v>
      </c>
      <c r="E592" s="27" t="s">
        <v>46</v>
      </c>
      <c r="F592" s="28" t="e">
        <f ca="1">_xludf.ifna(VLOOKUP(G592,Proyectos!$A$2:$F$674,6,0),"")</f>
        <v>#NAME?</v>
      </c>
      <c r="G592" s="26" t="s">
        <v>5258</v>
      </c>
      <c r="H592" s="44">
        <v>1</v>
      </c>
      <c r="I592" s="31" t="s">
        <v>18</v>
      </c>
      <c r="J592" s="31" t="s">
        <v>41</v>
      </c>
      <c r="K592" s="27" t="s">
        <v>3959</v>
      </c>
      <c r="L592" s="32" t="e">
        <f ca="1">_xludf.ifna(VLOOKUP(E592,Parámetros!$D$2:$E$34,2,0),"")</f>
        <v>#NAME?</v>
      </c>
      <c r="M592" s="32" t="e">
        <f ca="1">_xludf.ifna(VLOOKUP(G592,Proyectos!$A$2:$T$674,20,0),"")</f>
        <v>#NAME?</v>
      </c>
      <c r="N592" s="32" t="e">
        <f ca="1">_xludf.ifna(VLOOKUP(G592,Proyectos!$A$2:$S$674,19,0))</f>
        <v>#NAME?</v>
      </c>
      <c r="O592" s="31"/>
      <c r="P592" s="31"/>
      <c r="Q592" s="33"/>
      <c r="R592" s="33"/>
      <c r="S592" s="33"/>
      <c r="T592" s="33"/>
      <c r="U592" s="33"/>
      <c r="V592" s="33"/>
      <c r="W592" s="33"/>
    </row>
    <row r="593" spans="1:23" ht="16.5" customHeight="1" x14ac:dyDescent="0.2">
      <c r="A593" s="26" t="s">
        <v>4571</v>
      </c>
      <c r="B593" s="26" t="s">
        <v>4572</v>
      </c>
      <c r="C593" s="66" t="s">
        <v>136</v>
      </c>
      <c r="D593" s="27" t="s">
        <v>137</v>
      </c>
      <c r="E593" s="27" t="s">
        <v>46</v>
      </c>
      <c r="F593" s="28" t="e">
        <f ca="1">_xludf.ifna(VLOOKUP(G593,Proyectos!$A$2:$F$674,6,0),"")</f>
        <v>#NAME?</v>
      </c>
      <c r="G593" s="26" t="s">
        <v>5259</v>
      </c>
      <c r="H593" s="32">
        <v>0.75</v>
      </c>
      <c r="I593" s="31" t="s">
        <v>18</v>
      </c>
      <c r="J593" s="31" t="s">
        <v>41</v>
      </c>
      <c r="K593" s="27" t="s">
        <v>3959</v>
      </c>
      <c r="L593" s="32" t="e">
        <f ca="1">_xludf.ifna(VLOOKUP(E593,Parámetros!$D$2:$E$34,2,0),"")</f>
        <v>#NAME?</v>
      </c>
      <c r="M593" s="32" t="e">
        <f ca="1">_xludf.ifna(VLOOKUP(G593,Proyectos!$A$2:$T$674,20,0),"")</f>
        <v>#NAME?</v>
      </c>
      <c r="N593" s="32" t="e">
        <f ca="1">_xludf.ifna(VLOOKUP(G593,Proyectos!$A$2:$S$674,19,0))</f>
        <v>#NAME?</v>
      </c>
      <c r="O593" s="31"/>
      <c r="P593" s="31"/>
      <c r="Q593" s="33"/>
      <c r="R593" s="33"/>
      <c r="S593" s="33"/>
      <c r="T593" s="33"/>
      <c r="U593" s="33"/>
      <c r="V593" s="33"/>
      <c r="W593" s="33"/>
    </row>
    <row r="594" spans="1:23" ht="16.5" customHeight="1" x14ac:dyDescent="0.2">
      <c r="A594" s="26" t="s">
        <v>4571</v>
      </c>
      <c r="B594" s="26" t="s">
        <v>4572</v>
      </c>
      <c r="C594" s="66" t="s">
        <v>136</v>
      </c>
      <c r="D594" s="27" t="s">
        <v>137</v>
      </c>
      <c r="E594" s="27" t="s">
        <v>46</v>
      </c>
      <c r="F594" s="28" t="e">
        <f ca="1">_xludf.ifna(VLOOKUP(G594,Proyectos!$A$2:$F$674,6,0),"")</f>
        <v>#NAME?</v>
      </c>
      <c r="G594" s="29" t="s">
        <v>5114</v>
      </c>
      <c r="H594" s="44">
        <v>0.25</v>
      </c>
      <c r="I594" s="31" t="s">
        <v>18</v>
      </c>
      <c r="J594" s="31" t="s">
        <v>41</v>
      </c>
      <c r="K594" s="27" t="s">
        <v>3959</v>
      </c>
      <c r="L594" s="32" t="e">
        <f ca="1">_xludf.ifna(VLOOKUP(E594,Parámetros!$D$2:$E$34,2,0),"")</f>
        <v>#NAME?</v>
      </c>
      <c r="M594" s="32" t="e">
        <f ca="1">_xludf.ifna(VLOOKUP(G594,Proyectos!$A$2:$T$674,20,0),"")</f>
        <v>#NAME?</v>
      </c>
      <c r="N594" s="32" t="e">
        <f ca="1">_xludf.ifna(VLOOKUP(G594,Proyectos!$A$2:$S$674,19,0))</f>
        <v>#NAME?</v>
      </c>
      <c r="O594" s="31"/>
      <c r="P594" s="31"/>
      <c r="Q594" s="33"/>
      <c r="R594" s="33"/>
      <c r="S594" s="33"/>
      <c r="T594" s="33"/>
      <c r="U594" s="33"/>
      <c r="V594" s="33"/>
      <c r="W594" s="33"/>
    </row>
    <row r="595" spans="1:23" ht="16.5" customHeight="1" x14ac:dyDescent="0.2">
      <c r="A595" s="26" t="s">
        <v>4788</v>
      </c>
      <c r="B595" s="26" t="s">
        <v>4789</v>
      </c>
      <c r="C595" s="66" t="s">
        <v>136</v>
      </c>
      <c r="D595" s="27" t="s">
        <v>137</v>
      </c>
      <c r="E595" s="27" t="s">
        <v>46</v>
      </c>
      <c r="F595" s="28" t="e">
        <f ca="1">_xludf.ifna(VLOOKUP(G595,Proyectos!$A$2:$F$674,6,0),"")</f>
        <v>#NAME?</v>
      </c>
      <c r="G595" s="29" t="s">
        <v>5114</v>
      </c>
      <c r="H595" s="32">
        <v>1</v>
      </c>
      <c r="I595" s="31" t="s">
        <v>18</v>
      </c>
      <c r="J595" s="31" t="s">
        <v>41</v>
      </c>
      <c r="K595" s="27" t="s">
        <v>3959</v>
      </c>
      <c r="L595" s="32" t="e">
        <f ca="1">_xludf.ifna(VLOOKUP(E595,Parámetros!$D$2:$E$34,2,0),"")</f>
        <v>#NAME?</v>
      </c>
      <c r="M595" s="32" t="e">
        <f ca="1">_xludf.ifna(VLOOKUP(G595,Proyectos!$A$2:$T$674,20,0),"")</f>
        <v>#NAME?</v>
      </c>
      <c r="N595" s="32" t="e">
        <f ca="1">_xludf.ifna(VLOOKUP(G595,Proyectos!$A$2:$S$674,19,0))</f>
        <v>#NAME?</v>
      </c>
      <c r="O595" s="31"/>
      <c r="P595" s="31"/>
      <c r="Q595" s="33"/>
      <c r="R595" s="33"/>
      <c r="S595" s="33"/>
      <c r="T595" s="33"/>
      <c r="U595" s="33"/>
      <c r="V595" s="33"/>
      <c r="W595" s="33"/>
    </row>
    <row r="596" spans="1:23" ht="16.5" customHeight="1" x14ac:dyDescent="0.2">
      <c r="A596" s="26" t="s">
        <v>3978</v>
      </c>
      <c r="B596" s="26" t="s">
        <v>3979</v>
      </c>
      <c r="C596" s="66" t="s">
        <v>136</v>
      </c>
      <c r="D596" s="27" t="s">
        <v>137</v>
      </c>
      <c r="E596" s="26" t="s">
        <v>108</v>
      </c>
      <c r="F596" s="28" t="e">
        <f ca="1">_xludf.ifna(VLOOKUP(G596,Proyectos!$A$2:$F$674,6,0),"")</f>
        <v>#NAME?</v>
      </c>
      <c r="G596" s="26" t="s">
        <v>5255</v>
      </c>
      <c r="H596" s="32">
        <v>0.5</v>
      </c>
      <c r="I596" s="31" t="s">
        <v>18</v>
      </c>
      <c r="J596" s="31" t="s">
        <v>41</v>
      </c>
      <c r="K596" s="27" t="s">
        <v>3959</v>
      </c>
      <c r="L596" s="32" t="e">
        <f ca="1">_xludf.ifna(VLOOKUP(E596,Parámetros!$D$2:$E$34,2,0),"")</f>
        <v>#NAME?</v>
      </c>
      <c r="M596" s="32" t="e">
        <f ca="1">_xludf.ifna(VLOOKUP(G596,Proyectos!$A$2:$T$674,20,0),"")</f>
        <v>#NAME?</v>
      </c>
      <c r="N596" s="32" t="e">
        <f ca="1">_xludf.ifna(VLOOKUP(G596,Proyectos!$A$2:$S$674,19,0))</f>
        <v>#NAME?</v>
      </c>
      <c r="O596" s="31"/>
      <c r="P596" s="31"/>
      <c r="Q596" s="33"/>
      <c r="R596" s="33"/>
      <c r="S596" s="33"/>
      <c r="T596" s="33"/>
      <c r="U596" s="33"/>
      <c r="V596" s="33"/>
      <c r="W596" s="33"/>
    </row>
    <row r="597" spans="1:23" ht="16.5" customHeight="1" x14ac:dyDescent="0.2">
      <c r="A597" s="26" t="s">
        <v>3978</v>
      </c>
      <c r="B597" s="26" t="s">
        <v>3979</v>
      </c>
      <c r="C597" s="66" t="s">
        <v>136</v>
      </c>
      <c r="D597" s="27" t="s">
        <v>137</v>
      </c>
      <c r="E597" s="26" t="s">
        <v>108</v>
      </c>
      <c r="F597" s="28" t="e">
        <f ca="1">_xludf.ifna(VLOOKUP(G597,Proyectos!$A$2:$F$674,6,0),"")</f>
        <v>#NAME?</v>
      </c>
      <c r="G597" s="26" t="s">
        <v>5260</v>
      </c>
      <c r="H597" s="32">
        <v>0.5</v>
      </c>
      <c r="I597" s="31" t="s">
        <v>18</v>
      </c>
      <c r="J597" s="31" t="s">
        <v>41</v>
      </c>
      <c r="K597" s="27" t="s">
        <v>3959</v>
      </c>
      <c r="L597" s="32" t="e">
        <f ca="1">_xludf.ifna(VLOOKUP(E597,Parámetros!$D$2:$E$34,2,0),"")</f>
        <v>#NAME?</v>
      </c>
      <c r="M597" s="32" t="e">
        <f ca="1">_xludf.ifna(VLOOKUP(G597,Proyectos!$A$2:$T$674,20,0),"")</f>
        <v>#NAME?</v>
      </c>
      <c r="N597" s="32" t="e">
        <f ca="1">_xludf.ifna(VLOOKUP(G597,Proyectos!$A$2:$S$674,19,0))</f>
        <v>#NAME?</v>
      </c>
      <c r="O597" s="31"/>
      <c r="P597" s="31"/>
      <c r="Q597" s="33"/>
      <c r="R597" s="33"/>
      <c r="S597" s="33"/>
      <c r="T597" s="33"/>
      <c r="U597" s="33"/>
      <c r="V597" s="33"/>
      <c r="W597" s="33"/>
    </row>
    <row r="598" spans="1:23" ht="16.5" customHeight="1" x14ac:dyDescent="0.2">
      <c r="A598" s="26" t="s">
        <v>4553</v>
      </c>
      <c r="B598" s="26" t="s">
        <v>4554</v>
      </c>
      <c r="C598" s="66" t="s">
        <v>136</v>
      </c>
      <c r="D598" s="27" t="s">
        <v>137</v>
      </c>
      <c r="E598" s="27" t="s">
        <v>46</v>
      </c>
      <c r="F598" s="28" t="e">
        <f ca="1">_xludf.ifna(VLOOKUP(G598,Proyectos!$A$2:$F$674,6,0),"")</f>
        <v>#NAME?</v>
      </c>
      <c r="G598" s="26" t="s">
        <v>5255</v>
      </c>
      <c r="H598" s="44">
        <v>0.25</v>
      </c>
      <c r="I598" s="31" t="s">
        <v>11</v>
      </c>
      <c r="J598" s="31" t="s">
        <v>41</v>
      </c>
      <c r="K598" s="32"/>
      <c r="L598" s="32" t="e">
        <f ca="1">_xludf.ifna(VLOOKUP(E598,Parámetros!$D$2:$E$34,2,0),"")</f>
        <v>#NAME?</v>
      </c>
      <c r="M598" s="32" t="e">
        <f ca="1">_xludf.ifna(VLOOKUP(G598,Proyectos!$A$2:$T$674,20,0),"")</f>
        <v>#NAME?</v>
      </c>
      <c r="N598" s="32" t="e">
        <f ca="1">_xludf.ifna(VLOOKUP(G598,Proyectos!$A$2:$S$674,19,0))</f>
        <v>#NAME?</v>
      </c>
      <c r="O598" s="31"/>
      <c r="P598" s="31"/>
      <c r="Q598" s="33"/>
      <c r="R598" s="33"/>
      <c r="S598" s="33"/>
      <c r="T598" s="33"/>
      <c r="U598" s="33"/>
      <c r="V598" s="33"/>
      <c r="W598" s="33"/>
    </row>
    <row r="599" spans="1:23" ht="16.5" customHeight="1" x14ac:dyDescent="0.2">
      <c r="A599" s="26" t="s">
        <v>4553</v>
      </c>
      <c r="B599" s="26" t="s">
        <v>4554</v>
      </c>
      <c r="C599" s="66" t="s">
        <v>136</v>
      </c>
      <c r="D599" s="27" t="s">
        <v>137</v>
      </c>
      <c r="E599" s="27" t="s">
        <v>46</v>
      </c>
      <c r="F599" s="28" t="e">
        <f ca="1">_xludf.ifna(VLOOKUP(G599,Proyectos!$A$2:$F$674,6,0),"")</f>
        <v>#NAME?</v>
      </c>
      <c r="G599" s="29" t="s">
        <v>5114</v>
      </c>
      <c r="H599" s="32">
        <v>0.25</v>
      </c>
      <c r="I599" s="31" t="s">
        <v>11</v>
      </c>
      <c r="J599" s="31" t="s">
        <v>41</v>
      </c>
      <c r="K599" s="32"/>
      <c r="L599" s="32" t="e">
        <f ca="1">_xludf.ifna(VLOOKUP(E599,Parámetros!$D$2:$E$34,2,0),"")</f>
        <v>#NAME?</v>
      </c>
      <c r="M599" s="32" t="e">
        <f ca="1">_xludf.ifna(VLOOKUP(G599,Proyectos!$A$2:$T$674,20,0),"")</f>
        <v>#NAME?</v>
      </c>
      <c r="N599" s="32" t="e">
        <f ca="1">_xludf.ifna(VLOOKUP(G599,Proyectos!$A$2:$S$674,19,0))</f>
        <v>#NAME?</v>
      </c>
      <c r="O599" s="31"/>
      <c r="P599" s="31"/>
      <c r="Q599" s="33"/>
      <c r="R599" s="33"/>
      <c r="S599" s="33"/>
      <c r="T599" s="33"/>
      <c r="U599" s="33"/>
      <c r="V599" s="33"/>
      <c r="W599" s="33"/>
    </row>
    <row r="600" spans="1:23" ht="16.5" customHeight="1" x14ac:dyDescent="0.2">
      <c r="A600" s="26" t="s">
        <v>4553</v>
      </c>
      <c r="B600" s="26" t="s">
        <v>4554</v>
      </c>
      <c r="C600" s="66" t="s">
        <v>136</v>
      </c>
      <c r="D600" s="27" t="s">
        <v>137</v>
      </c>
      <c r="E600" s="27" t="s">
        <v>46</v>
      </c>
      <c r="F600" s="28" t="e">
        <f ca="1">_xludf.ifna(VLOOKUP(G600,Proyectos!$A$2:$F$674,6,0),"")</f>
        <v>#NAME?</v>
      </c>
      <c r="G600" s="26" t="s">
        <v>5257</v>
      </c>
      <c r="H600" s="32">
        <v>0.5</v>
      </c>
      <c r="I600" s="31" t="s">
        <v>11</v>
      </c>
      <c r="J600" s="31" t="s">
        <v>41</v>
      </c>
      <c r="K600" s="32"/>
      <c r="L600" s="32" t="e">
        <f ca="1">_xludf.ifna(VLOOKUP(E600,Parámetros!$D$2:$E$34,2,0),"")</f>
        <v>#NAME?</v>
      </c>
      <c r="M600" s="32" t="e">
        <f ca="1">_xludf.ifna(VLOOKUP(G600,Proyectos!$A$2:$T$674,20,0),"")</f>
        <v>#NAME?</v>
      </c>
      <c r="N600" s="32" t="e">
        <f ca="1">_xludf.ifna(VLOOKUP(G600,Proyectos!$A$2:$S$674,19,0))</f>
        <v>#NAME?</v>
      </c>
      <c r="O600" s="31"/>
      <c r="P600" s="31"/>
      <c r="Q600" s="33"/>
      <c r="R600" s="33"/>
      <c r="S600" s="33"/>
      <c r="T600" s="33"/>
      <c r="U600" s="33"/>
      <c r="V600" s="33"/>
      <c r="W600" s="33"/>
    </row>
    <row r="601" spans="1:23" ht="16.5" customHeight="1" x14ac:dyDescent="0.2">
      <c r="A601" s="26" t="s">
        <v>3957</v>
      </c>
      <c r="B601" s="26" t="s">
        <v>3958</v>
      </c>
      <c r="C601" s="66" t="s">
        <v>136</v>
      </c>
      <c r="D601" s="27" t="s">
        <v>137</v>
      </c>
      <c r="E601" s="26" t="s">
        <v>141</v>
      </c>
      <c r="F601" s="28" t="e">
        <f ca="1">_xludf.ifna(VLOOKUP(G601,Proyectos!$A$2:$F$674,6,0),"")</f>
        <v>#NAME?</v>
      </c>
      <c r="G601" s="26" t="s">
        <v>5259</v>
      </c>
      <c r="H601" s="32">
        <v>0.5</v>
      </c>
      <c r="I601" s="31" t="s">
        <v>18</v>
      </c>
      <c r="J601" s="31" t="s">
        <v>41</v>
      </c>
      <c r="K601" s="27" t="s">
        <v>3959</v>
      </c>
      <c r="L601" s="32" t="e">
        <f ca="1">_xludf.ifna(VLOOKUP(E601,Parámetros!$D$2:$E$34,2,0),"")</f>
        <v>#NAME?</v>
      </c>
      <c r="M601" s="32" t="e">
        <f ca="1">_xludf.ifna(VLOOKUP(G601,Proyectos!$A$2:$T$674,20,0),"")</f>
        <v>#NAME?</v>
      </c>
      <c r="N601" s="32" t="e">
        <f ca="1">_xludf.ifna(VLOOKUP(G601,Proyectos!$A$2:$S$674,19,0))</f>
        <v>#NAME?</v>
      </c>
      <c r="O601" s="31"/>
      <c r="P601" s="31"/>
      <c r="Q601" s="33"/>
      <c r="R601" s="33"/>
      <c r="S601" s="33"/>
      <c r="T601" s="33"/>
      <c r="U601" s="33"/>
      <c r="V601" s="33"/>
      <c r="W601" s="33"/>
    </row>
    <row r="602" spans="1:23" ht="16.5" customHeight="1" x14ac:dyDescent="0.2">
      <c r="A602" s="26" t="s">
        <v>3957</v>
      </c>
      <c r="B602" s="26" t="s">
        <v>3958</v>
      </c>
      <c r="C602" s="66" t="s">
        <v>136</v>
      </c>
      <c r="D602" s="27" t="s">
        <v>137</v>
      </c>
      <c r="E602" s="26" t="s">
        <v>141</v>
      </c>
      <c r="F602" s="28" t="e">
        <f ca="1">_xludf.ifna(VLOOKUP(G602,Proyectos!$A$2:$F$674,6,0),"")</f>
        <v>#NAME?</v>
      </c>
      <c r="G602" s="26" t="s">
        <v>5261</v>
      </c>
      <c r="H602" s="32">
        <v>0.5</v>
      </c>
      <c r="I602" s="31" t="s">
        <v>18</v>
      </c>
      <c r="J602" s="31" t="s">
        <v>41</v>
      </c>
      <c r="K602" s="27" t="s">
        <v>3959</v>
      </c>
      <c r="L602" s="32" t="e">
        <f ca="1">_xludf.ifna(VLOOKUP(E602,Parámetros!$D$2:$E$34,2,0),"")</f>
        <v>#NAME?</v>
      </c>
      <c r="M602" s="32" t="e">
        <f ca="1">_xludf.ifna(VLOOKUP(G602,Proyectos!$A$2:$T$674,20,0),"")</f>
        <v>#NAME?</v>
      </c>
      <c r="N602" s="32" t="e">
        <f ca="1">_xludf.ifna(VLOOKUP(G602,Proyectos!$A$2:$S$674,19,0))</f>
        <v>#NAME?</v>
      </c>
      <c r="O602" s="31"/>
      <c r="P602" s="31"/>
      <c r="Q602" s="33"/>
      <c r="R602" s="33"/>
      <c r="S602" s="33"/>
      <c r="T602" s="33"/>
      <c r="U602" s="33"/>
      <c r="V602" s="33"/>
      <c r="W602" s="33"/>
    </row>
    <row r="603" spans="1:23" ht="16.5" customHeight="1" x14ac:dyDescent="0.2">
      <c r="A603" s="26" t="s">
        <v>4575</v>
      </c>
      <c r="B603" s="26" t="s">
        <v>4576</v>
      </c>
      <c r="C603" s="66" t="s">
        <v>136</v>
      </c>
      <c r="D603" s="27" t="s">
        <v>137</v>
      </c>
      <c r="E603" s="27" t="s">
        <v>46</v>
      </c>
      <c r="F603" s="28" t="e">
        <f ca="1">_xludf.ifna(VLOOKUP(G603,Proyectos!$A$2:$F$674,6,0),"")</f>
        <v>#NAME?</v>
      </c>
      <c r="G603" s="26" t="s">
        <v>5255</v>
      </c>
      <c r="H603" s="32">
        <v>0.75</v>
      </c>
      <c r="I603" s="31" t="s">
        <v>18</v>
      </c>
      <c r="J603" s="31" t="s">
        <v>41</v>
      </c>
      <c r="K603" s="27" t="s">
        <v>3959</v>
      </c>
      <c r="L603" s="32" t="e">
        <f ca="1">_xludf.ifna(VLOOKUP(E603,Parámetros!$D$2:$E$34,2,0),"")</f>
        <v>#NAME?</v>
      </c>
      <c r="M603" s="32" t="e">
        <f ca="1">_xludf.ifna(VLOOKUP(G603,Proyectos!$A$2:$T$674,20,0),"")</f>
        <v>#NAME?</v>
      </c>
      <c r="N603" s="32" t="e">
        <f ca="1">_xludf.ifna(VLOOKUP(G603,Proyectos!$A$2:$S$674,19,0))</f>
        <v>#NAME?</v>
      </c>
      <c r="O603" s="31"/>
      <c r="P603" s="31"/>
      <c r="Q603" s="33"/>
      <c r="R603" s="33"/>
      <c r="S603" s="33"/>
      <c r="T603" s="33"/>
      <c r="U603" s="33"/>
      <c r="V603" s="33"/>
      <c r="W603" s="33"/>
    </row>
    <row r="604" spans="1:23" ht="16.5" customHeight="1" x14ac:dyDescent="0.2">
      <c r="A604" s="26" t="s">
        <v>4575</v>
      </c>
      <c r="B604" s="26" t="s">
        <v>4576</v>
      </c>
      <c r="C604" s="66" t="s">
        <v>136</v>
      </c>
      <c r="D604" s="27" t="s">
        <v>137</v>
      </c>
      <c r="E604" s="27" t="s">
        <v>46</v>
      </c>
      <c r="F604" s="28" t="e">
        <f ca="1">_xludf.ifna(VLOOKUP(G604,Proyectos!$A$2:$F$674,6,0),"")</f>
        <v>#NAME?</v>
      </c>
      <c r="G604" s="29" t="s">
        <v>5114</v>
      </c>
      <c r="H604" s="32">
        <v>0.25</v>
      </c>
      <c r="I604" s="31" t="s">
        <v>18</v>
      </c>
      <c r="J604" s="31" t="s">
        <v>41</v>
      </c>
      <c r="K604" s="27" t="s">
        <v>3959</v>
      </c>
      <c r="L604" s="32" t="e">
        <f ca="1">_xludf.ifna(VLOOKUP(E604,Parámetros!$D$2:$E$34,2,0),"")</f>
        <v>#NAME?</v>
      </c>
      <c r="M604" s="32" t="e">
        <f ca="1">_xludf.ifna(VLOOKUP(G604,Proyectos!$A$2:$T$674,20,0),"")</f>
        <v>#NAME?</v>
      </c>
      <c r="N604" s="32" t="e">
        <f ca="1">_xludf.ifna(VLOOKUP(G604,Proyectos!$A$2:$S$674,19,0))</f>
        <v>#NAME?</v>
      </c>
      <c r="O604" s="31"/>
      <c r="P604" s="31"/>
      <c r="Q604" s="33"/>
      <c r="R604" s="33"/>
      <c r="S604" s="33"/>
      <c r="T604" s="33"/>
      <c r="U604" s="33"/>
      <c r="V604" s="33"/>
      <c r="W604" s="33"/>
    </row>
    <row r="605" spans="1:23" ht="16.5" customHeight="1" x14ac:dyDescent="0.2">
      <c r="A605" s="26" t="s">
        <v>4579</v>
      </c>
      <c r="B605" s="26" t="s">
        <v>4580</v>
      </c>
      <c r="C605" s="66" t="s">
        <v>136</v>
      </c>
      <c r="D605" s="27" t="s">
        <v>137</v>
      </c>
      <c r="E605" s="27" t="s">
        <v>46</v>
      </c>
      <c r="F605" s="28" t="e">
        <f ca="1">_xludf.ifna(VLOOKUP(G605,Proyectos!$A$2:$F$674,6,0),"")</f>
        <v>#NAME?</v>
      </c>
      <c r="G605" s="26" t="s">
        <v>5261</v>
      </c>
      <c r="H605" s="32">
        <v>1</v>
      </c>
      <c r="I605" s="31" t="s">
        <v>18</v>
      </c>
      <c r="J605" s="31" t="s">
        <v>41</v>
      </c>
      <c r="K605" s="27" t="s">
        <v>3959</v>
      </c>
      <c r="L605" s="32" t="e">
        <f ca="1">_xludf.ifna(VLOOKUP(E605,Parámetros!$D$2:$E$34,2,0),"")</f>
        <v>#NAME?</v>
      </c>
      <c r="M605" s="32" t="e">
        <f ca="1">_xludf.ifna(VLOOKUP(G605,Proyectos!$A$2:$T$674,20,0),"")</f>
        <v>#NAME?</v>
      </c>
      <c r="N605" s="32" t="e">
        <f ca="1">_xludf.ifna(VLOOKUP(G605,Proyectos!$A$2:$S$674,19,0))</f>
        <v>#NAME?</v>
      </c>
      <c r="O605" s="31"/>
      <c r="P605" s="31"/>
      <c r="Q605" s="33"/>
      <c r="R605" s="33"/>
      <c r="S605" s="33"/>
      <c r="T605" s="33"/>
      <c r="U605" s="33"/>
      <c r="V605" s="33"/>
      <c r="W605" s="33"/>
    </row>
    <row r="606" spans="1:23" ht="16.5" customHeight="1" x14ac:dyDescent="0.2">
      <c r="A606" s="26" t="s">
        <v>4583</v>
      </c>
      <c r="B606" s="26" t="s">
        <v>4584</v>
      </c>
      <c r="C606" s="66" t="s">
        <v>136</v>
      </c>
      <c r="D606" s="27" t="s">
        <v>137</v>
      </c>
      <c r="E606" s="27" t="s">
        <v>46</v>
      </c>
      <c r="F606" s="28" t="e">
        <f ca="1">_xludf.ifna(VLOOKUP(G606,Proyectos!$A$2:$F$674,6,0),"")</f>
        <v>#NAME?</v>
      </c>
      <c r="G606" s="29" t="s">
        <v>5114</v>
      </c>
      <c r="H606" s="32">
        <v>0.75</v>
      </c>
      <c r="I606" s="31" t="s">
        <v>18</v>
      </c>
      <c r="J606" s="31" t="s">
        <v>41</v>
      </c>
      <c r="K606" s="27" t="s">
        <v>3959</v>
      </c>
      <c r="L606" s="32" t="e">
        <f ca="1">_xludf.ifna(VLOOKUP(E606,Parámetros!$D$2:$E$34,2,0),"")</f>
        <v>#NAME?</v>
      </c>
      <c r="M606" s="32" t="e">
        <f ca="1">_xludf.ifna(VLOOKUP(G606,Proyectos!$A$2:$T$674,20,0),"")</f>
        <v>#NAME?</v>
      </c>
      <c r="N606" s="32" t="e">
        <f ca="1">_xludf.ifna(VLOOKUP(G606,Proyectos!$A$2:$S$674,19,0))</f>
        <v>#NAME?</v>
      </c>
      <c r="O606" s="31"/>
      <c r="P606" s="31"/>
      <c r="Q606" s="33"/>
      <c r="R606" s="33"/>
      <c r="S606" s="33"/>
      <c r="T606" s="33"/>
      <c r="U606" s="33"/>
      <c r="V606" s="33"/>
      <c r="W606" s="33"/>
    </row>
    <row r="607" spans="1:23" ht="16.5" customHeight="1" x14ac:dyDescent="0.2">
      <c r="A607" s="26" t="s">
        <v>4583</v>
      </c>
      <c r="B607" s="26" t="s">
        <v>4584</v>
      </c>
      <c r="C607" s="66" t="s">
        <v>136</v>
      </c>
      <c r="D607" s="27" t="s">
        <v>137</v>
      </c>
      <c r="E607" s="27" t="s">
        <v>46</v>
      </c>
      <c r="F607" s="28" t="e">
        <f ca="1">_xludf.ifna(VLOOKUP(G607,Proyectos!$A$2:$F$674,6,0),"")</f>
        <v>#NAME?</v>
      </c>
      <c r="G607" s="26" t="s">
        <v>5259</v>
      </c>
      <c r="H607" s="32">
        <v>0.25</v>
      </c>
      <c r="I607" s="31" t="s">
        <v>18</v>
      </c>
      <c r="J607" s="31" t="s">
        <v>41</v>
      </c>
      <c r="K607" s="27" t="s">
        <v>3959</v>
      </c>
      <c r="L607" s="32" t="e">
        <f ca="1">_xludf.ifna(VLOOKUP(E607,Parámetros!$D$2:$E$34,2,0),"")</f>
        <v>#NAME?</v>
      </c>
      <c r="M607" s="32" t="e">
        <f ca="1">_xludf.ifna(VLOOKUP(G607,Proyectos!$A$2:$T$674,20,0),"")</f>
        <v>#NAME?</v>
      </c>
      <c r="N607" s="32" t="e">
        <f ca="1">_xludf.ifna(VLOOKUP(G607,Proyectos!$A$2:$S$674,19,0))</f>
        <v>#NAME?</v>
      </c>
      <c r="O607" s="31"/>
      <c r="P607" s="31"/>
      <c r="Q607" s="33"/>
      <c r="R607" s="33"/>
      <c r="S607" s="33"/>
      <c r="T607" s="33"/>
      <c r="U607" s="33"/>
      <c r="V607" s="33"/>
      <c r="W607" s="33"/>
    </row>
    <row r="608" spans="1:23" ht="16.5" customHeight="1" x14ac:dyDescent="0.2">
      <c r="A608" s="26" t="s">
        <v>4577</v>
      </c>
      <c r="B608" s="4" t="s">
        <v>4578</v>
      </c>
      <c r="C608" s="66" t="s">
        <v>136</v>
      </c>
      <c r="D608" s="27" t="s">
        <v>137</v>
      </c>
      <c r="E608" s="27" t="s">
        <v>46</v>
      </c>
      <c r="F608" s="28" t="e">
        <f ca="1">_xludf.ifna(VLOOKUP(G608,Proyectos!$A$2:$F$674,6,0),"")</f>
        <v>#NAME?</v>
      </c>
      <c r="G608" s="26" t="s">
        <v>5255</v>
      </c>
      <c r="H608" s="32">
        <v>1</v>
      </c>
      <c r="I608" s="31" t="s">
        <v>18</v>
      </c>
      <c r="J608" s="31" t="s">
        <v>41</v>
      </c>
      <c r="K608" s="27"/>
      <c r="L608" s="32" t="e">
        <f ca="1">_xludf.ifna(VLOOKUP(E608,Parámetros!$D$2:$E$34,2,0),"")</f>
        <v>#NAME?</v>
      </c>
      <c r="M608" s="32" t="e">
        <f ca="1">_xludf.ifna(VLOOKUP(G608,Proyectos!$A$2:$T$674,20,0),"")</f>
        <v>#NAME?</v>
      </c>
      <c r="N608" s="32" t="e">
        <f ca="1">_xludf.ifna(VLOOKUP(G608,Proyectos!$A$2:$S$674,19,0))</f>
        <v>#NAME?</v>
      </c>
      <c r="O608" s="31"/>
      <c r="P608" s="31"/>
      <c r="Q608" s="33"/>
      <c r="R608" s="33"/>
      <c r="S608" s="33"/>
      <c r="T608" s="33"/>
      <c r="U608" s="33"/>
      <c r="V608" s="33"/>
      <c r="W608" s="33"/>
    </row>
    <row r="609" spans="1:23" ht="16.5" customHeight="1" x14ac:dyDescent="0.2">
      <c r="A609" s="26" t="s">
        <v>4561</v>
      </c>
      <c r="B609" s="4" t="s">
        <v>4562</v>
      </c>
      <c r="C609" s="66" t="s">
        <v>136</v>
      </c>
      <c r="D609" s="27" t="s">
        <v>137</v>
      </c>
      <c r="E609" s="27" t="s">
        <v>46</v>
      </c>
      <c r="F609" s="28" t="e">
        <f ca="1">_xludf.ifna(VLOOKUP(G609,Proyectos!$A$2:$F$674,6,0),"")</f>
        <v>#NAME?</v>
      </c>
      <c r="G609" s="26" t="s">
        <v>5262</v>
      </c>
      <c r="H609" s="32">
        <v>0.75</v>
      </c>
      <c r="I609" s="31" t="s">
        <v>11</v>
      </c>
      <c r="J609" s="31" t="s">
        <v>41</v>
      </c>
      <c r="K609" s="27"/>
      <c r="L609" s="32" t="e">
        <f ca="1">_xludf.ifna(VLOOKUP(E609,Parámetros!$D$2:$E$34,2,0),"")</f>
        <v>#NAME?</v>
      </c>
      <c r="M609" s="32" t="e">
        <f ca="1">_xludf.ifna(VLOOKUP(G609,Proyectos!$A$2:$T$674,20,0),"")</f>
        <v>#NAME?</v>
      </c>
      <c r="N609" s="32" t="e">
        <f ca="1">_xludf.ifna(VLOOKUP(G609,Proyectos!$A$2:$S$674,19,0))</f>
        <v>#NAME?</v>
      </c>
      <c r="O609" s="31"/>
      <c r="P609" s="31"/>
      <c r="Q609" s="33"/>
      <c r="R609" s="33"/>
      <c r="S609" s="33"/>
      <c r="T609" s="33"/>
      <c r="U609" s="33"/>
      <c r="V609" s="33"/>
      <c r="W609" s="33"/>
    </row>
    <row r="610" spans="1:23" ht="16.5" customHeight="1" x14ac:dyDescent="0.2">
      <c r="A610" s="26" t="s">
        <v>4561</v>
      </c>
      <c r="B610" s="4" t="s">
        <v>4562</v>
      </c>
      <c r="C610" s="66" t="s">
        <v>136</v>
      </c>
      <c r="D610" s="27" t="s">
        <v>137</v>
      </c>
      <c r="E610" s="27" t="s">
        <v>46</v>
      </c>
      <c r="F610" s="28" t="e">
        <f ca="1">_xludf.ifna(VLOOKUP(G610,Proyectos!$A$2:$F$674,6,0),"")</f>
        <v>#NAME?</v>
      </c>
      <c r="G610" s="26" t="s">
        <v>5255</v>
      </c>
      <c r="H610" s="32">
        <v>0.25</v>
      </c>
      <c r="I610" s="31" t="s">
        <v>11</v>
      </c>
      <c r="J610" s="31" t="s">
        <v>41</v>
      </c>
      <c r="K610" s="27"/>
      <c r="L610" s="32" t="e">
        <f ca="1">_xludf.ifna(VLOOKUP(E610,Parámetros!$D$2:$E$34,2,0),"")</f>
        <v>#NAME?</v>
      </c>
      <c r="M610" s="32" t="e">
        <f ca="1">_xludf.ifna(VLOOKUP(G610,Proyectos!$A$2:$T$674,20,0),"")</f>
        <v>#NAME?</v>
      </c>
      <c r="N610" s="32" t="e">
        <f ca="1">_xludf.ifna(VLOOKUP(G610,Proyectos!$A$2:$S$674,19,0))</f>
        <v>#NAME?</v>
      </c>
      <c r="O610" s="31"/>
      <c r="P610" s="31"/>
      <c r="Q610" s="33"/>
      <c r="R610" s="33"/>
      <c r="S610" s="33"/>
      <c r="T610" s="33"/>
      <c r="U610" s="33"/>
      <c r="V610" s="33"/>
      <c r="W610" s="33"/>
    </row>
    <row r="611" spans="1:23" ht="16.5" customHeight="1" x14ac:dyDescent="0.2">
      <c r="A611" s="26" t="s">
        <v>4267</v>
      </c>
      <c r="B611" s="26" t="s">
        <v>4268</v>
      </c>
      <c r="C611" s="26" t="s">
        <v>136</v>
      </c>
      <c r="D611" s="26" t="s">
        <v>137</v>
      </c>
      <c r="E611" s="26" t="s">
        <v>108</v>
      </c>
      <c r="F611" s="28" t="e">
        <f ca="1">_xludf.ifna(VLOOKUP(G611,Proyectos!$A$2:$F$674,6,0),"")</f>
        <v>#NAME?</v>
      </c>
      <c r="G611" s="26" t="s">
        <v>5249</v>
      </c>
      <c r="H611" s="32">
        <v>1</v>
      </c>
      <c r="I611" s="31" t="s">
        <v>25</v>
      </c>
      <c r="J611" s="31" t="s">
        <v>72</v>
      </c>
      <c r="K611" s="31" t="s">
        <v>3289</v>
      </c>
      <c r="L611" s="32" t="e">
        <f ca="1">_xludf.ifna(VLOOKUP(E611,Parámetros!$D$2:$E$34,2,0),"")</f>
        <v>#NAME?</v>
      </c>
      <c r="M611" s="32" t="e">
        <f ca="1">_xludf.ifna(VLOOKUP(G611,Proyectos!$A$2:$T$674,20,0),"")</f>
        <v>#NAME?</v>
      </c>
      <c r="N611" s="32" t="e">
        <f ca="1">_xludf.ifna(VLOOKUP(G611,Proyectos!$A$2:$S$674,19,0))</f>
        <v>#NAME?</v>
      </c>
      <c r="O611" s="31"/>
      <c r="P611" s="31"/>
      <c r="Q611" s="33"/>
      <c r="R611" s="33"/>
      <c r="S611" s="33"/>
      <c r="T611" s="33"/>
      <c r="U611" s="33"/>
      <c r="V611" s="33"/>
      <c r="W611" s="33"/>
    </row>
    <row r="612" spans="1:23" ht="16.5" customHeight="1" x14ac:dyDescent="0.2">
      <c r="A612" s="26" t="s">
        <v>4970</v>
      </c>
      <c r="B612" s="26" t="s">
        <v>4971</v>
      </c>
      <c r="C612" s="26" t="s">
        <v>136</v>
      </c>
      <c r="D612" s="26" t="s">
        <v>137</v>
      </c>
      <c r="E612" s="26" t="s">
        <v>108</v>
      </c>
      <c r="F612" s="28" t="e">
        <f ca="1">_xludf.ifna(VLOOKUP(G612,Proyectos!$A$2:$F$674,6,0),"")</f>
        <v>#NAME?</v>
      </c>
      <c r="G612" s="26" t="s">
        <v>5249</v>
      </c>
      <c r="H612" s="32">
        <v>1</v>
      </c>
      <c r="I612" s="31" t="s">
        <v>25</v>
      </c>
      <c r="J612" s="32"/>
      <c r="K612" s="31" t="s">
        <v>3289</v>
      </c>
      <c r="L612" s="32" t="e">
        <f ca="1">_xludf.ifna(VLOOKUP(E612,Parámetros!$D$2:$E$34,2,0),"")</f>
        <v>#NAME?</v>
      </c>
      <c r="M612" s="32" t="e">
        <f ca="1">_xludf.ifna(VLOOKUP(G612,Proyectos!$A$2:$T$674,20,0),"")</f>
        <v>#NAME?</v>
      </c>
      <c r="N612" s="32" t="e">
        <f ca="1">_xludf.ifna(VLOOKUP(G612,Proyectos!$A$2:$S$674,19,0))</f>
        <v>#NAME?</v>
      </c>
      <c r="O612" s="31"/>
      <c r="P612" s="31"/>
      <c r="Q612" s="33"/>
      <c r="R612" s="33"/>
      <c r="S612" s="33"/>
      <c r="T612" s="33"/>
      <c r="U612" s="33"/>
      <c r="V612" s="33"/>
      <c r="W612" s="33"/>
    </row>
    <row r="613" spans="1:23" ht="16.5" customHeight="1" x14ac:dyDescent="0.2">
      <c r="A613" s="26" t="s">
        <v>3982</v>
      </c>
      <c r="B613" s="26" t="s">
        <v>3983</v>
      </c>
      <c r="C613" s="26" t="s">
        <v>136</v>
      </c>
      <c r="D613" s="26" t="s">
        <v>137</v>
      </c>
      <c r="E613" s="26" t="s">
        <v>108</v>
      </c>
      <c r="F613" s="28" t="e">
        <f ca="1">_xludf.ifna(VLOOKUP(G613,Proyectos!$A$2:$F$674,6,0),"")</f>
        <v>#NAME?</v>
      </c>
      <c r="G613" s="29" t="s">
        <v>5114</v>
      </c>
      <c r="H613" s="32">
        <v>1</v>
      </c>
      <c r="I613" s="31" t="s">
        <v>25</v>
      </c>
      <c r="J613" s="31" t="s">
        <v>41</v>
      </c>
      <c r="K613" s="32"/>
      <c r="L613" s="32" t="e">
        <f ca="1">_xludf.ifna(VLOOKUP(E613,Parámetros!$D$2:$E$34,2,0),"")</f>
        <v>#NAME?</v>
      </c>
      <c r="M613" s="32" t="e">
        <f ca="1">_xludf.ifna(VLOOKUP(G613,Proyectos!$A$2:$T$674,20,0),"")</f>
        <v>#NAME?</v>
      </c>
      <c r="N613" s="32" t="e">
        <f ca="1">_xludf.ifna(VLOOKUP(G613,Proyectos!$A$2:$S$674,19,0))</f>
        <v>#NAME?</v>
      </c>
      <c r="O613" s="31"/>
      <c r="P613" s="31"/>
      <c r="Q613" s="33"/>
      <c r="R613" s="33"/>
      <c r="S613" s="33"/>
      <c r="T613" s="33"/>
      <c r="U613" s="33"/>
      <c r="V613" s="33"/>
      <c r="W613" s="33"/>
    </row>
    <row r="614" spans="1:23" ht="16.5" customHeight="1" x14ac:dyDescent="0.2">
      <c r="A614" s="26" t="s">
        <v>3993</v>
      </c>
      <c r="B614" s="26" t="s">
        <v>3994</v>
      </c>
      <c r="C614" s="26" t="s">
        <v>136</v>
      </c>
      <c r="D614" s="26" t="s">
        <v>137</v>
      </c>
      <c r="E614" s="26" t="s">
        <v>108</v>
      </c>
      <c r="F614" s="28" t="e">
        <f ca="1">_xludf.ifna(VLOOKUP(G614,Proyectos!$A$2:$F$674,6,0),"")</f>
        <v>#NAME?</v>
      </c>
      <c r="G614" s="29" t="s">
        <v>5114</v>
      </c>
      <c r="H614" s="32">
        <v>1</v>
      </c>
      <c r="I614" s="31" t="s">
        <v>32</v>
      </c>
      <c r="J614" s="32"/>
      <c r="K614" s="31" t="s">
        <v>3995</v>
      </c>
      <c r="L614" s="32" t="e">
        <f ca="1">_xludf.ifna(VLOOKUP(E614,Parámetros!$D$2:$E$34,2,0),"")</f>
        <v>#NAME?</v>
      </c>
      <c r="M614" s="32" t="e">
        <f ca="1">_xludf.ifna(VLOOKUP(G614,Proyectos!$A$2:$T$674,20,0),"")</f>
        <v>#NAME?</v>
      </c>
      <c r="N614" s="32" t="e">
        <f ca="1">_xludf.ifna(VLOOKUP(G614,Proyectos!$A$2:$S$674,19,0))</f>
        <v>#NAME?</v>
      </c>
      <c r="O614" s="31"/>
      <c r="P614" s="31"/>
      <c r="Q614" s="33"/>
      <c r="R614" s="33"/>
      <c r="S614" s="33"/>
      <c r="T614" s="33"/>
      <c r="U614" s="33"/>
      <c r="V614" s="33"/>
      <c r="W614" s="33"/>
    </row>
    <row r="615" spans="1:23" ht="16.5" customHeight="1" x14ac:dyDescent="0.2">
      <c r="A615" s="26" t="s">
        <v>4431</v>
      </c>
      <c r="B615" s="26" t="s">
        <v>4432</v>
      </c>
      <c r="C615" s="26" t="s">
        <v>136</v>
      </c>
      <c r="D615" s="26" t="s">
        <v>137</v>
      </c>
      <c r="E615" s="26" t="s">
        <v>108</v>
      </c>
      <c r="F615" s="28" t="e">
        <f ca="1">_xludf.ifna(VLOOKUP(G615,Proyectos!$A$2:$F$674,6,0),"")</f>
        <v>#NAME?</v>
      </c>
      <c r="G615" s="26" t="s">
        <v>5259</v>
      </c>
      <c r="H615" s="32">
        <v>1</v>
      </c>
      <c r="I615" s="31" t="s">
        <v>25</v>
      </c>
      <c r="J615" s="31" t="s">
        <v>41</v>
      </c>
      <c r="K615" s="32"/>
      <c r="L615" s="32" t="e">
        <f ca="1">_xludf.ifna(VLOOKUP(E615,Parámetros!$D$2:$E$34,2,0),"")</f>
        <v>#NAME?</v>
      </c>
      <c r="M615" s="32" t="e">
        <f ca="1">_xludf.ifna(VLOOKUP(G615,Proyectos!$A$2:$T$674,20,0),"")</f>
        <v>#NAME?</v>
      </c>
      <c r="N615" s="32" t="e">
        <f ca="1">_xludf.ifna(VLOOKUP(G615,Proyectos!$A$2:$S$674,19,0))</f>
        <v>#NAME?</v>
      </c>
      <c r="O615" s="31"/>
      <c r="P615" s="31"/>
      <c r="Q615" s="33"/>
      <c r="R615" s="33"/>
      <c r="S615" s="33"/>
      <c r="T615" s="33"/>
      <c r="U615" s="33"/>
      <c r="V615" s="33"/>
      <c r="W615" s="33"/>
    </row>
    <row r="616" spans="1:23" ht="16.5" customHeight="1" x14ac:dyDescent="0.2">
      <c r="A616" s="26" t="s">
        <v>4033</v>
      </c>
      <c r="B616" s="26" t="s">
        <v>4034</v>
      </c>
      <c r="C616" s="26" t="s">
        <v>136</v>
      </c>
      <c r="D616" s="26" t="s">
        <v>137</v>
      </c>
      <c r="E616" s="26" t="s">
        <v>108</v>
      </c>
      <c r="F616" s="28" t="e">
        <f ca="1">_xludf.ifna(VLOOKUP(G616,Proyectos!$A$2:$F$674,6,0),"")</f>
        <v>#NAME?</v>
      </c>
      <c r="G616" s="26" t="s">
        <v>5249</v>
      </c>
      <c r="H616" s="32">
        <v>1</v>
      </c>
      <c r="I616" s="31" t="s">
        <v>25</v>
      </c>
      <c r="J616" s="32"/>
      <c r="K616" s="31" t="s">
        <v>3289</v>
      </c>
      <c r="L616" s="32" t="e">
        <f ca="1">_xludf.ifna(VLOOKUP(E616,Parámetros!$D$2:$E$34,2,0),"")</f>
        <v>#NAME?</v>
      </c>
      <c r="M616" s="32" t="e">
        <f ca="1">_xludf.ifna(VLOOKUP(G616,Proyectos!$A$2:$T$674,20,0),"")</f>
        <v>#NAME?</v>
      </c>
      <c r="N616" s="32" t="e">
        <f ca="1">_xludf.ifna(VLOOKUP(G616,Proyectos!$A$2:$S$674,19,0))</f>
        <v>#NAME?</v>
      </c>
      <c r="O616" s="31"/>
      <c r="P616" s="31"/>
      <c r="Q616" s="33"/>
      <c r="R616" s="33"/>
      <c r="S616" s="33"/>
      <c r="T616" s="33"/>
      <c r="U616" s="33"/>
      <c r="V616" s="33"/>
      <c r="W616" s="33"/>
    </row>
    <row r="617" spans="1:23" ht="16.5" customHeight="1" x14ac:dyDescent="0.2">
      <c r="A617" s="26" t="s">
        <v>5051</v>
      </c>
      <c r="B617" s="26" t="s">
        <v>5052</v>
      </c>
      <c r="C617" s="26" t="s">
        <v>136</v>
      </c>
      <c r="D617" s="26" t="s">
        <v>137</v>
      </c>
      <c r="E617" s="26" t="s">
        <v>108</v>
      </c>
      <c r="F617" s="28" t="e">
        <f ca="1">_xludf.ifna(VLOOKUP(G617,Proyectos!$A$2:$F$674,6,0),"")</f>
        <v>#NAME?</v>
      </c>
      <c r="G617" s="26" t="s">
        <v>5249</v>
      </c>
      <c r="H617" s="32">
        <v>1</v>
      </c>
      <c r="I617" s="31" t="s">
        <v>25</v>
      </c>
      <c r="J617" s="32"/>
      <c r="K617" s="31" t="s">
        <v>3289</v>
      </c>
      <c r="L617" s="32" t="e">
        <f ca="1">_xludf.ifna(VLOOKUP(E617,Parámetros!$D$2:$E$34,2,0),"")</f>
        <v>#NAME?</v>
      </c>
      <c r="M617" s="32" t="e">
        <f ca="1">_xludf.ifna(VLOOKUP(G617,Proyectos!$A$2:$T$674,20,0),"")</f>
        <v>#NAME?</v>
      </c>
      <c r="N617" s="32" t="e">
        <f ca="1">_xludf.ifna(VLOOKUP(G617,Proyectos!$A$2:$S$674,19,0))</f>
        <v>#NAME?</v>
      </c>
      <c r="O617" s="31"/>
      <c r="P617" s="31"/>
      <c r="Q617" s="33"/>
      <c r="R617" s="33"/>
      <c r="S617" s="33"/>
      <c r="T617" s="33"/>
      <c r="U617" s="33"/>
      <c r="V617" s="33"/>
      <c r="W617" s="33"/>
    </row>
    <row r="618" spans="1:23" ht="16.5" customHeight="1" x14ac:dyDescent="0.2">
      <c r="A618" s="26" t="s">
        <v>5063</v>
      </c>
      <c r="B618" s="26" t="s">
        <v>5064</v>
      </c>
      <c r="C618" s="26" t="s">
        <v>136</v>
      </c>
      <c r="D618" s="26" t="s">
        <v>137</v>
      </c>
      <c r="E618" s="26" t="s">
        <v>108</v>
      </c>
      <c r="F618" s="28" t="e">
        <f ca="1">_xludf.ifna(VLOOKUP(G618,Proyectos!$A$2:$F$674,6,0),"")</f>
        <v>#NAME?</v>
      </c>
      <c r="G618" s="29" t="s">
        <v>5114</v>
      </c>
      <c r="H618" s="32">
        <v>1</v>
      </c>
      <c r="I618" s="31" t="s">
        <v>32</v>
      </c>
      <c r="J618" s="32"/>
      <c r="K618" s="31" t="s">
        <v>3995</v>
      </c>
      <c r="L618" s="32" t="e">
        <f ca="1">_xludf.ifna(VLOOKUP(E618,Parámetros!$D$2:$E$34,2,0),"")</f>
        <v>#NAME?</v>
      </c>
      <c r="M618" s="32" t="e">
        <f ca="1">_xludf.ifna(VLOOKUP(G618,Proyectos!$A$2:$T$674,20,0),"")</f>
        <v>#NAME?</v>
      </c>
      <c r="N618" s="32" t="e">
        <f ca="1">_xludf.ifna(VLOOKUP(G618,Proyectos!$A$2:$S$674,19,0))</f>
        <v>#NAME?</v>
      </c>
      <c r="O618" s="31"/>
      <c r="P618" s="31"/>
      <c r="Q618" s="33"/>
      <c r="R618" s="33"/>
      <c r="S618" s="33"/>
      <c r="T618" s="33"/>
      <c r="U618" s="33"/>
      <c r="V618" s="33"/>
      <c r="W618" s="33"/>
    </row>
    <row r="619" spans="1:23" ht="16.5" customHeight="1" x14ac:dyDescent="0.2">
      <c r="A619" s="26" t="s">
        <v>3941</v>
      </c>
      <c r="B619" s="26" t="s">
        <v>3942</v>
      </c>
      <c r="C619" s="26" t="s">
        <v>136</v>
      </c>
      <c r="D619" s="26" t="s">
        <v>137</v>
      </c>
      <c r="E619" s="26" t="s">
        <v>108</v>
      </c>
      <c r="F619" s="28" t="e">
        <f ca="1">_xludf.ifna(VLOOKUP(G619,Proyectos!$A$2:$F$674,6,0),"")</f>
        <v>#NAME?</v>
      </c>
      <c r="G619" s="26" t="s">
        <v>5249</v>
      </c>
      <c r="H619" s="32">
        <v>1</v>
      </c>
      <c r="I619" s="31" t="s">
        <v>25</v>
      </c>
      <c r="J619" s="32"/>
      <c r="K619" s="31" t="s">
        <v>3289</v>
      </c>
      <c r="L619" s="32" t="e">
        <f ca="1">_xludf.ifna(VLOOKUP(E619,Parámetros!$D$2:$E$34,2,0),"")</f>
        <v>#NAME?</v>
      </c>
      <c r="M619" s="32" t="e">
        <f ca="1">_xludf.ifna(VLOOKUP(G619,Proyectos!$A$2:$T$674,20,0),"")</f>
        <v>#NAME?</v>
      </c>
      <c r="N619" s="32" t="e">
        <f ca="1">_xludf.ifna(VLOOKUP(G619,Proyectos!$A$2:$S$674,19,0))</f>
        <v>#NAME?</v>
      </c>
      <c r="O619" s="31"/>
      <c r="P619" s="31"/>
      <c r="Q619" s="33"/>
      <c r="R619" s="33"/>
      <c r="S619" s="33"/>
      <c r="T619" s="33"/>
      <c r="U619" s="33"/>
      <c r="V619" s="33"/>
      <c r="W619" s="33"/>
    </row>
    <row r="620" spans="1:23" ht="16.5" customHeight="1" x14ac:dyDescent="0.2">
      <c r="A620" s="26">
        <v>1032450219</v>
      </c>
      <c r="B620" s="26" t="s">
        <v>3288</v>
      </c>
      <c r="C620" s="26" t="s">
        <v>136</v>
      </c>
      <c r="D620" s="26" t="s">
        <v>137</v>
      </c>
      <c r="E620" s="26" t="s">
        <v>108</v>
      </c>
      <c r="F620" s="28" t="e">
        <f ca="1">_xludf.ifna(VLOOKUP(G620,Proyectos!$A$2:$F$674,6,0),"")</f>
        <v>#NAME?</v>
      </c>
      <c r="G620" s="27" t="s">
        <v>5252</v>
      </c>
      <c r="H620" s="32">
        <v>1</v>
      </c>
      <c r="I620" s="31" t="s">
        <v>25</v>
      </c>
      <c r="J620" s="32"/>
      <c r="K620" s="31" t="s">
        <v>3289</v>
      </c>
      <c r="L620" s="32" t="e">
        <f ca="1">_xludf.ifna(VLOOKUP(E620,Parámetros!$D$2:$E$34,2,0),"")</f>
        <v>#NAME?</v>
      </c>
      <c r="M620" s="32" t="e">
        <f ca="1">_xludf.ifna(VLOOKUP(G620,Proyectos!$A$2:$T$674,20,0),"")</f>
        <v>#NAME?</v>
      </c>
      <c r="N620" s="32" t="e">
        <f ca="1">_xludf.ifna(VLOOKUP(G620,Proyectos!$A$2:$S$674,19,0))</f>
        <v>#NAME?</v>
      </c>
      <c r="O620" s="31"/>
      <c r="P620" s="31"/>
      <c r="Q620" s="33"/>
      <c r="R620" s="33"/>
      <c r="S620" s="33"/>
      <c r="T620" s="33"/>
      <c r="U620" s="33"/>
      <c r="V620" s="33"/>
      <c r="W620" s="33"/>
    </row>
    <row r="621" spans="1:23" ht="16.5" customHeight="1" x14ac:dyDescent="0.2">
      <c r="A621" s="26" t="s">
        <v>4214</v>
      </c>
      <c r="B621" s="26" t="s">
        <v>4215</v>
      </c>
      <c r="C621" s="26" t="s">
        <v>136</v>
      </c>
      <c r="D621" s="26" t="s">
        <v>137</v>
      </c>
      <c r="E621" s="26" t="s">
        <v>87</v>
      </c>
      <c r="F621" s="28" t="e">
        <f ca="1">_xludf.ifna(VLOOKUP(G621,Proyectos!$A$2:$F$674,6,0),"")</f>
        <v>#NAME?</v>
      </c>
      <c r="G621" s="26" t="s">
        <v>5263</v>
      </c>
      <c r="H621" s="32">
        <v>1</v>
      </c>
      <c r="I621" s="31" t="s">
        <v>25</v>
      </c>
      <c r="J621" s="31" t="s">
        <v>41</v>
      </c>
      <c r="K621" s="32"/>
      <c r="L621" s="32" t="e">
        <f ca="1">_xludf.ifna(VLOOKUP(E621,Parámetros!$D$2:$E$34,2,0),"")</f>
        <v>#NAME?</v>
      </c>
      <c r="M621" s="32" t="e">
        <f ca="1">_xludf.ifna(VLOOKUP(G621,Proyectos!$A$2:$T$674,20,0),"")</f>
        <v>#NAME?</v>
      </c>
      <c r="N621" s="32" t="e">
        <f ca="1">_xludf.ifna(VLOOKUP(G621,Proyectos!$A$2:$S$674,19,0))</f>
        <v>#NAME?</v>
      </c>
      <c r="O621" s="31"/>
      <c r="P621" s="31"/>
      <c r="Q621" s="33"/>
      <c r="R621" s="33"/>
      <c r="S621" s="33"/>
      <c r="T621" s="33"/>
      <c r="U621" s="33"/>
      <c r="V621" s="33"/>
      <c r="W621" s="33"/>
    </row>
    <row r="622" spans="1:23" ht="16.5" customHeight="1" x14ac:dyDescent="0.2">
      <c r="A622" s="26" t="s">
        <v>4212</v>
      </c>
      <c r="B622" s="26" t="s">
        <v>4213</v>
      </c>
      <c r="C622" s="26" t="s">
        <v>136</v>
      </c>
      <c r="D622" s="26" t="s">
        <v>137</v>
      </c>
      <c r="E622" s="26" t="s">
        <v>87</v>
      </c>
      <c r="F622" s="28" t="e">
        <f ca="1">_xludf.ifna(VLOOKUP(G622,Proyectos!$A$2:$F$674,6,0),"")</f>
        <v>#NAME?</v>
      </c>
      <c r="G622" s="26" t="s">
        <v>5249</v>
      </c>
      <c r="H622" s="32">
        <v>1</v>
      </c>
      <c r="I622" s="31" t="s">
        <v>25</v>
      </c>
      <c r="J622" s="31" t="s">
        <v>41</v>
      </c>
      <c r="K622" s="32"/>
      <c r="L622" s="32" t="e">
        <f ca="1">_xludf.ifna(VLOOKUP(E622,Parámetros!$D$2:$E$34,2,0),"")</f>
        <v>#NAME?</v>
      </c>
      <c r="M622" s="32" t="e">
        <f ca="1">_xludf.ifna(VLOOKUP(G622,Proyectos!$A$2:$T$674,20,0),"")</f>
        <v>#NAME?</v>
      </c>
      <c r="N622" s="32" t="e">
        <f ca="1">_xludf.ifna(VLOOKUP(G622,Proyectos!$A$2:$S$674,19,0))</f>
        <v>#NAME?</v>
      </c>
      <c r="O622" s="31"/>
      <c r="P622" s="31"/>
      <c r="Q622" s="33"/>
      <c r="R622" s="33"/>
      <c r="S622" s="33"/>
      <c r="T622" s="33"/>
      <c r="U622" s="33"/>
      <c r="V622" s="33"/>
      <c r="W622" s="33"/>
    </row>
    <row r="623" spans="1:23" ht="16.5" customHeight="1" x14ac:dyDescent="0.2">
      <c r="A623" s="26" t="s">
        <v>4031</v>
      </c>
      <c r="B623" s="26" t="s">
        <v>4032</v>
      </c>
      <c r="C623" s="26" t="s">
        <v>136</v>
      </c>
      <c r="D623" s="26" t="s">
        <v>137</v>
      </c>
      <c r="E623" s="26" t="s">
        <v>87</v>
      </c>
      <c r="F623" s="28" t="e">
        <f ca="1">_xludf.ifna(VLOOKUP(G623,Proyectos!$A$2:$F$674,6,0),"")</f>
        <v>#NAME?</v>
      </c>
      <c r="G623" s="29" t="s">
        <v>5114</v>
      </c>
      <c r="H623" s="32">
        <v>1</v>
      </c>
      <c r="I623" s="31" t="s">
        <v>25</v>
      </c>
      <c r="J623" s="32"/>
      <c r="K623" s="31" t="s">
        <v>3289</v>
      </c>
      <c r="L623" s="32" t="e">
        <f ca="1">_xludf.ifna(VLOOKUP(E623,Parámetros!$D$2:$E$34,2,0),"")</f>
        <v>#NAME?</v>
      </c>
      <c r="M623" s="32" t="e">
        <f ca="1">_xludf.ifna(VLOOKUP(G623,Proyectos!$A$2:$T$674,20,0),"")</f>
        <v>#NAME?</v>
      </c>
      <c r="N623" s="32" t="e">
        <f ca="1">_xludf.ifna(VLOOKUP(G623,Proyectos!$A$2:$S$674,19,0))</f>
        <v>#NAME?</v>
      </c>
      <c r="O623" s="31"/>
      <c r="P623" s="31"/>
      <c r="Q623" s="33"/>
      <c r="R623" s="33"/>
      <c r="S623" s="33"/>
      <c r="T623" s="33"/>
      <c r="U623" s="33"/>
      <c r="V623" s="33"/>
      <c r="W623" s="33"/>
    </row>
    <row r="624" spans="1:23" ht="16.5" customHeight="1" x14ac:dyDescent="0.2">
      <c r="A624" s="26" t="s">
        <v>4138</v>
      </c>
      <c r="B624" s="26" t="s">
        <v>4139</v>
      </c>
      <c r="C624" s="26" t="s">
        <v>136</v>
      </c>
      <c r="D624" s="26" t="s">
        <v>137</v>
      </c>
      <c r="E624" s="26" t="s">
        <v>87</v>
      </c>
      <c r="F624" s="28" t="e">
        <f ca="1">_xludf.ifna(VLOOKUP(G624,Proyectos!$A$2:$F$674,6,0),"")</f>
        <v>#NAME?</v>
      </c>
      <c r="G624" s="26" t="s">
        <v>5262</v>
      </c>
      <c r="H624" s="32">
        <v>1</v>
      </c>
      <c r="I624" s="31" t="s">
        <v>25</v>
      </c>
      <c r="J624" s="31" t="s">
        <v>41</v>
      </c>
      <c r="K624" s="32"/>
      <c r="L624" s="32" t="e">
        <f ca="1">_xludf.ifna(VLOOKUP(E624,Parámetros!$D$2:$E$34,2,0),"")</f>
        <v>#NAME?</v>
      </c>
      <c r="M624" s="32" t="e">
        <f ca="1">_xludf.ifna(VLOOKUP(G624,Proyectos!$A$2:$T$674,20,0),"")</f>
        <v>#NAME?</v>
      </c>
      <c r="N624" s="32" t="e">
        <f ca="1">_xludf.ifna(VLOOKUP(G624,Proyectos!$A$2:$S$674,19,0))</f>
        <v>#NAME?</v>
      </c>
      <c r="O624" s="31"/>
      <c r="P624" s="31"/>
      <c r="Q624" s="33"/>
      <c r="R624" s="33"/>
      <c r="S624" s="33"/>
      <c r="T624" s="33"/>
      <c r="U624" s="33"/>
      <c r="V624" s="33"/>
      <c r="W624" s="33"/>
    </row>
    <row r="625" spans="1:23" ht="16.5" customHeight="1" x14ac:dyDescent="0.2">
      <c r="A625" s="26" t="s">
        <v>3930</v>
      </c>
      <c r="B625" s="26" t="s">
        <v>3931</v>
      </c>
      <c r="C625" s="26" t="s">
        <v>136</v>
      </c>
      <c r="D625" s="26" t="s">
        <v>137</v>
      </c>
      <c r="E625" s="26" t="s">
        <v>87</v>
      </c>
      <c r="F625" s="28" t="e">
        <f ca="1">_xludf.ifna(VLOOKUP(G625,Proyectos!$A$2:$F$674,6,0),"")</f>
        <v>#NAME?</v>
      </c>
      <c r="G625" s="29" t="s">
        <v>5114</v>
      </c>
      <c r="H625" s="32">
        <v>1</v>
      </c>
      <c r="I625" s="31" t="s">
        <v>32</v>
      </c>
      <c r="J625" s="31" t="s">
        <v>41</v>
      </c>
      <c r="K625" s="31" t="s">
        <v>3932</v>
      </c>
      <c r="L625" s="32" t="e">
        <f ca="1">_xludf.ifna(VLOOKUP(E625,Parámetros!$D$2:$E$34,2,0),"")</f>
        <v>#NAME?</v>
      </c>
      <c r="M625" s="32" t="e">
        <f ca="1">_xludf.ifna(VLOOKUP(G625,Proyectos!$A$2:$T$674,20,0),"")</f>
        <v>#NAME?</v>
      </c>
      <c r="N625" s="32" t="e">
        <f ca="1">_xludf.ifna(VLOOKUP(G625,Proyectos!$A$2:$S$674,19,0))</f>
        <v>#NAME?</v>
      </c>
      <c r="O625" s="31"/>
      <c r="P625" s="31"/>
      <c r="Q625" s="33"/>
      <c r="R625" s="33"/>
      <c r="S625" s="33"/>
      <c r="T625" s="33"/>
      <c r="U625" s="33"/>
      <c r="V625" s="33"/>
      <c r="W625" s="33"/>
    </row>
    <row r="626" spans="1:23" ht="16.5" customHeight="1" x14ac:dyDescent="0.2">
      <c r="A626" s="26" t="s">
        <v>4437</v>
      </c>
      <c r="B626" s="26" t="s">
        <v>4438</v>
      </c>
      <c r="C626" s="26" t="s">
        <v>136</v>
      </c>
      <c r="D626" s="26" t="s">
        <v>137</v>
      </c>
      <c r="E626" s="26" t="s">
        <v>83</v>
      </c>
      <c r="F626" s="28" t="e">
        <f ca="1">_xludf.ifna(VLOOKUP(G626,Proyectos!$A$2:$F$674,6,0),"")</f>
        <v>#NAME?</v>
      </c>
      <c r="G626" s="29" t="s">
        <v>5114</v>
      </c>
      <c r="H626" s="32">
        <v>1</v>
      </c>
      <c r="I626" s="31" t="s">
        <v>25</v>
      </c>
      <c r="J626" s="32"/>
      <c r="K626" s="31" t="s">
        <v>3289</v>
      </c>
      <c r="L626" s="32" t="e">
        <f ca="1">_xludf.ifna(VLOOKUP(E626,Parámetros!$D$2:$E$34,2,0),"")</f>
        <v>#NAME?</v>
      </c>
      <c r="M626" s="32" t="e">
        <f ca="1">_xludf.ifna(VLOOKUP(G626,Proyectos!$A$2:$T$674,20,0),"")</f>
        <v>#NAME?</v>
      </c>
      <c r="N626" s="32" t="e">
        <f ca="1">_xludf.ifna(VLOOKUP(G626,Proyectos!$A$2:$S$674,19,0))</f>
        <v>#NAME?</v>
      </c>
      <c r="O626" s="31"/>
      <c r="P626" s="31"/>
      <c r="Q626" s="33"/>
      <c r="R626" s="33"/>
      <c r="S626" s="33"/>
      <c r="T626" s="33"/>
      <c r="U626" s="33"/>
      <c r="V626" s="33"/>
      <c r="W626" s="33"/>
    </row>
    <row r="627" spans="1:23" ht="16.5" customHeight="1" x14ac:dyDescent="0.2">
      <c r="A627" s="26" t="s">
        <v>4265</v>
      </c>
      <c r="B627" s="26" t="s">
        <v>4266</v>
      </c>
      <c r="C627" s="26" t="s">
        <v>136</v>
      </c>
      <c r="D627" s="26" t="s">
        <v>137</v>
      </c>
      <c r="E627" s="26" t="s">
        <v>114</v>
      </c>
      <c r="F627" s="28" t="e">
        <f ca="1">_xludf.ifna(VLOOKUP(G627,Proyectos!$A$2:$F$674,6,0),"")</f>
        <v>#NAME?</v>
      </c>
      <c r="G627" s="26" t="s">
        <v>5249</v>
      </c>
      <c r="H627" s="32">
        <v>1</v>
      </c>
      <c r="I627" s="31" t="s">
        <v>25</v>
      </c>
      <c r="J627" s="32"/>
      <c r="K627" s="31" t="s">
        <v>3289</v>
      </c>
      <c r="L627" s="32" t="e">
        <f ca="1">_xludf.ifna(VLOOKUP(E627,Parámetros!$D$2:$E$34,2,0),"")</f>
        <v>#NAME?</v>
      </c>
      <c r="M627" s="32" t="e">
        <f ca="1">_xludf.ifna(VLOOKUP(G627,Proyectos!$A$2:$T$674,20,0),"")</f>
        <v>#NAME?</v>
      </c>
      <c r="N627" s="32" t="e">
        <f ca="1">_xludf.ifna(VLOOKUP(G627,Proyectos!$A$2:$S$674,19,0))</f>
        <v>#NAME?</v>
      </c>
      <c r="O627" s="31"/>
      <c r="P627" s="31"/>
      <c r="Q627" s="33"/>
      <c r="R627" s="33"/>
      <c r="S627" s="33"/>
      <c r="T627" s="33"/>
      <c r="U627" s="33"/>
      <c r="V627" s="33"/>
      <c r="W627" s="33"/>
    </row>
    <row r="628" spans="1:23" ht="16.5" customHeight="1" x14ac:dyDescent="0.2">
      <c r="A628" s="26" t="s">
        <v>4053</v>
      </c>
      <c r="B628" s="26" t="s">
        <v>4054</v>
      </c>
      <c r="C628" s="26" t="s">
        <v>136</v>
      </c>
      <c r="D628" s="26" t="s">
        <v>137</v>
      </c>
      <c r="E628" s="26" t="s">
        <v>114</v>
      </c>
      <c r="F628" s="28" t="e">
        <f ca="1">_xludf.ifna(VLOOKUP(G628,Proyectos!$A$2:$F$674,6,0),"")</f>
        <v>#NAME?</v>
      </c>
      <c r="G628" s="26" t="s">
        <v>5249</v>
      </c>
      <c r="H628" s="32">
        <v>1</v>
      </c>
      <c r="I628" s="31" t="s">
        <v>25</v>
      </c>
      <c r="J628" s="32"/>
      <c r="K628" s="31" t="s">
        <v>3289</v>
      </c>
      <c r="L628" s="32" t="e">
        <f ca="1">_xludf.ifna(VLOOKUP(E628,Parámetros!$D$2:$E$34,2,0),"")</f>
        <v>#NAME?</v>
      </c>
      <c r="M628" s="32" t="e">
        <f ca="1">_xludf.ifna(VLOOKUP(G628,Proyectos!$A$2:$T$674,20,0),"")</f>
        <v>#NAME?</v>
      </c>
      <c r="N628" s="32" t="e">
        <f ca="1">_xludf.ifna(VLOOKUP(G628,Proyectos!$A$2:$S$674,19,0))</f>
        <v>#NAME?</v>
      </c>
      <c r="O628" s="31"/>
      <c r="P628" s="31"/>
      <c r="Q628" s="33"/>
      <c r="R628" s="33"/>
      <c r="S628" s="33"/>
      <c r="T628" s="33"/>
      <c r="U628" s="33"/>
      <c r="V628" s="33"/>
      <c r="W628" s="33"/>
    </row>
    <row r="629" spans="1:23" ht="16.5" customHeight="1" x14ac:dyDescent="0.2">
      <c r="A629" s="26" t="s">
        <v>3998</v>
      </c>
      <c r="B629" s="26" t="s">
        <v>3999</v>
      </c>
      <c r="C629" s="26" t="s">
        <v>136</v>
      </c>
      <c r="D629" s="26" t="s">
        <v>137</v>
      </c>
      <c r="E629" s="26" t="s">
        <v>114</v>
      </c>
      <c r="F629" s="28" t="e">
        <f ca="1">_xludf.ifna(VLOOKUP(G629,Proyectos!$A$2:$F$674,6,0),"")</f>
        <v>#NAME?</v>
      </c>
      <c r="G629" s="27" t="s">
        <v>5252</v>
      </c>
      <c r="H629" s="32">
        <v>1</v>
      </c>
      <c r="I629" s="31" t="s">
        <v>25</v>
      </c>
      <c r="J629" s="32"/>
      <c r="K629" s="31" t="s">
        <v>3289</v>
      </c>
      <c r="L629" s="32" t="e">
        <f ca="1">_xludf.ifna(VLOOKUP(E629,Parámetros!$D$2:$E$34,2,0),"")</f>
        <v>#NAME?</v>
      </c>
      <c r="M629" s="32" t="e">
        <f ca="1">_xludf.ifna(VLOOKUP(G629,Proyectos!$A$2:$T$674,20,0),"")</f>
        <v>#NAME?</v>
      </c>
      <c r="N629" s="32" t="e">
        <f ca="1">_xludf.ifna(VLOOKUP(G629,Proyectos!$A$2:$S$674,19,0))</f>
        <v>#NAME?</v>
      </c>
      <c r="O629" s="31"/>
      <c r="P629" s="31"/>
      <c r="Q629" s="33"/>
      <c r="R629" s="33"/>
      <c r="S629" s="33"/>
      <c r="T629" s="33"/>
      <c r="U629" s="33"/>
      <c r="V629" s="33"/>
      <c r="W629" s="33"/>
    </row>
    <row r="630" spans="1:23" ht="16.5" customHeight="1" x14ac:dyDescent="0.2">
      <c r="A630" s="26" t="s">
        <v>3926</v>
      </c>
      <c r="B630" s="26" t="s">
        <v>3927</v>
      </c>
      <c r="C630" s="26" t="s">
        <v>136</v>
      </c>
      <c r="D630" s="26" t="s">
        <v>137</v>
      </c>
      <c r="E630" s="26" t="s">
        <v>141</v>
      </c>
      <c r="F630" s="28" t="e">
        <f ca="1">_xludf.ifna(VLOOKUP(G630,Proyectos!$A$2:$F$674,6,0),"")</f>
        <v>#NAME?</v>
      </c>
      <c r="G630" s="26" t="s">
        <v>5259</v>
      </c>
      <c r="H630" s="32">
        <v>1</v>
      </c>
      <c r="I630" s="31" t="s">
        <v>25</v>
      </c>
      <c r="J630" s="31" t="s">
        <v>41</v>
      </c>
      <c r="K630" s="32"/>
      <c r="L630" s="32" t="e">
        <f ca="1">_xludf.ifna(VLOOKUP(E630,Parámetros!$D$2:$E$34,2,0),"")</f>
        <v>#NAME?</v>
      </c>
      <c r="M630" s="32" t="e">
        <f ca="1">_xludf.ifna(VLOOKUP(G630,Proyectos!$A$2:$T$674,20,0),"")</f>
        <v>#NAME?</v>
      </c>
      <c r="N630" s="32" t="e">
        <f ca="1">_xludf.ifna(VLOOKUP(G630,Proyectos!$A$2:$S$674,19,0))</f>
        <v>#NAME?</v>
      </c>
      <c r="O630" s="31"/>
      <c r="P630" s="31"/>
      <c r="Q630" s="33"/>
      <c r="R630" s="33"/>
      <c r="S630" s="33"/>
      <c r="T630" s="33"/>
      <c r="U630" s="33"/>
      <c r="V630" s="33"/>
      <c r="W630" s="33"/>
    </row>
    <row r="631" spans="1:23" ht="16.5" customHeight="1" x14ac:dyDescent="0.2">
      <c r="A631" s="26" t="s">
        <v>4370</v>
      </c>
      <c r="B631" s="26" t="s">
        <v>4371</v>
      </c>
      <c r="C631" s="26" t="s">
        <v>136</v>
      </c>
      <c r="D631" s="26" t="s">
        <v>137</v>
      </c>
      <c r="E631" s="26" t="s">
        <v>111</v>
      </c>
      <c r="F631" s="28" t="e">
        <f ca="1">_xludf.ifna(VLOOKUP(G631,Proyectos!$A$2:$F$674,6,0),"")</f>
        <v>#NAME?</v>
      </c>
      <c r="G631" s="26" t="s">
        <v>5259</v>
      </c>
      <c r="H631" s="32">
        <v>1</v>
      </c>
      <c r="I631" s="31" t="s">
        <v>25</v>
      </c>
      <c r="J631" s="31" t="s">
        <v>41</v>
      </c>
      <c r="K631" s="32"/>
      <c r="L631" s="32" t="e">
        <f ca="1">_xludf.ifna(VLOOKUP(E631,Parámetros!$D$2:$E$34,2,0),"")</f>
        <v>#NAME?</v>
      </c>
      <c r="M631" s="32" t="e">
        <f ca="1">_xludf.ifna(VLOOKUP(G631,Proyectos!$A$2:$T$674,20,0),"")</f>
        <v>#NAME?</v>
      </c>
      <c r="N631" s="32" t="e">
        <f ca="1">_xludf.ifna(VLOOKUP(G631,Proyectos!$A$2:$S$674,19,0))</f>
        <v>#NAME?</v>
      </c>
      <c r="O631" s="31"/>
      <c r="P631" s="31"/>
      <c r="Q631" s="33"/>
      <c r="R631" s="33"/>
      <c r="S631" s="33"/>
      <c r="T631" s="33"/>
      <c r="U631" s="33"/>
      <c r="V631" s="33"/>
      <c r="W631" s="33"/>
    </row>
    <row r="632" spans="1:23" ht="16.5" customHeight="1" x14ac:dyDescent="0.2">
      <c r="A632" s="26" t="s">
        <v>4585</v>
      </c>
      <c r="B632" s="26" t="s">
        <v>4586</v>
      </c>
      <c r="C632" s="26" t="s">
        <v>136</v>
      </c>
      <c r="D632" s="26" t="s">
        <v>137</v>
      </c>
      <c r="E632" s="26" t="s">
        <v>135</v>
      </c>
      <c r="F632" s="28" t="e">
        <f ca="1">_xludf.ifna(VLOOKUP(G632,Proyectos!$A$2:$F$674,6,0),"")</f>
        <v>#NAME?</v>
      </c>
      <c r="G632" s="26" t="s">
        <v>5260</v>
      </c>
      <c r="H632" s="32">
        <v>1</v>
      </c>
      <c r="I632" s="31" t="s">
        <v>25</v>
      </c>
      <c r="J632" s="31" t="s">
        <v>41</v>
      </c>
      <c r="K632" s="32"/>
      <c r="L632" s="32" t="e">
        <f ca="1">_xludf.ifna(VLOOKUP(E632,Parámetros!$D$2:$E$34,2,0),"")</f>
        <v>#NAME?</v>
      </c>
      <c r="M632" s="32" t="e">
        <f ca="1">_xludf.ifna(VLOOKUP(G632,Proyectos!$A$2:$T$674,20,0),"")</f>
        <v>#NAME?</v>
      </c>
      <c r="N632" s="32" t="e">
        <f ca="1">_xludf.ifna(VLOOKUP(G632,Proyectos!$A$2:$S$674,19,0))</f>
        <v>#NAME?</v>
      </c>
      <c r="O632" s="31"/>
      <c r="P632" s="31"/>
      <c r="Q632" s="33"/>
      <c r="R632" s="33"/>
      <c r="S632" s="33"/>
      <c r="T632" s="33"/>
      <c r="U632" s="33"/>
      <c r="V632" s="33"/>
      <c r="W632" s="33"/>
    </row>
    <row r="633" spans="1:23" ht="16.5" customHeight="1" x14ac:dyDescent="0.2">
      <c r="A633" s="26" t="s">
        <v>4555</v>
      </c>
      <c r="B633" s="26" t="s">
        <v>4556</v>
      </c>
      <c r="C633" s="26" t="s">
        <v>136</v>
      </c>
      <c r="D633" s="26" t="s">
        <v>137</v>
      </c>
      <c r="E633" s="26" t="s">
        <v>46</v>
      </c>
      <c r="F633" s="28" t="e">
        <f ca="1">_xludf.ifna(VLOOKUP(G633,Proyectos!$A$2:$F$674,6,0),"")</f>
        <v>#NAME?</v>
      </c>
      <c r="G633" s="26" t="s">
        <v>5249</v>
      </c>
      <c r="H633" s="36">
        <v>0.33</v>
      </c>
      <c r="I633" s="31" t="s">
        <v>25</v>
      </c>
      <c r="J633" s="32"/>
      <c r="K633" s="31" t="s">
        <v>4012</v>
      </c>
      <c r="L633" s="32" t="e">
        <f ca="1">_xludf.ifna(VLOOKUP(E633,Parámetros!$D$2:$E$34,2,0),"")</f>
        <v>#NAME?</v>
      </c>
      <c r="M633" s="32" t="e">
        <f ca="1">_xludf.ifna(VLOOKUP(G633,Proyectos!$A$2:$T$674,20,0),"")</f>
        <v>#NAME?</v>
      </c>
      <c r="N633" s="32" t="e">
        <f ca="1">_xludf.ifna(VLOOKUP(G633,Proyectos!$A$2:$S$674,19,0))</f>
        <v>#NAME?</v>
      </c>
      <c r="O633" s="31"/>
      <c r="P633" s="33"/>
      <c r="Q633" s="33"/>
      <c r="R633" s="33"/>
      <c r="S633" s="33"/>
      <c r="T633" s="33"/>
      <c r="U633" s="33"/>
      <c r="V633" s="33"/>
      <c r="W633" s="33"/>
    </row>
    <row r="634" spans="1:23" ht="16.5" customHeight="1" x14ac:dyDescent="0.2">
      <c r="A634" s="26" t="s">
        <v>4555</v>
      </c>
      <c r="B634" s="26" t="s">
        <v>4556</v>
      </c>
      <c r="C634" s="26" t="s">
        <v>136</v>
      </c>
      <c r="D634" s="26" t="s">
        <v>137</v>
      </c>
      <c r="E634" s="26" t="s">
        <v>46</v>
      </c>
      <c r="F634" s="28" t="e">
        <f ca="1">_xludf.ifna(VLOOKUP(G634,Proyectos!$A$2:$F$674,6,0),"")</f>
        <v>#NAME?</v>
      </c>
      <c r="G634" s="27" t="s">
        <v>5250</v>
      </c>
      <c r="H634" s="36">
        <v>0.33</v>
      </c>
      <c r="I634" s="31" t="s">
        <v>25</v>
      </c>
      <c r="J634" s="32"/>
      <c r="K634" s="31" t="s">
        <v>4012</v>
      </c>
      <c r="L634" s="32" t="e">
        <f ca="1">_xludf.ifna(VLOOKUP(E634,Parámetros!$D$2:$E$34,2,0),"")</f>
        <v>#NAME?</v>
      </c>
      <c r="M634" s="32" t="e">
        <f ca="1">_xludf.ifna(VLOOKUP(G634,Proyectos!$A$2:$T$674,20,0),"")</f>
        <v>#NAME?</v>
      </c>
      <c r="N634" s="32" t="e">
        <f ca="1">_xludf.ifna(VLOOKUP(G634,Proyectos!$A$2:$S$674,19,0))</f>
        <v>#NAME?</v>
      </c>
      <c r="O634" s="31"/>
      <c r="P634" s="33"/>
      <c r="Q634" s="33"/>
      <c r="R634" s="33"/>
      <c r="S634" s="33"/>
      <c r="T634" s="33"/>
      <c r="U634" s="33"/>
      <c r="V634" s="33"/>
      <c r="W634" s="33"/>
    </row>
    <row r="635" spans="1:23" ht="16.5" customHeight="1" x14ac:dyDescent="0.2">
      <c r="A635" s="26" t="s">
        <v>4555</v>
      </c>
      <c r="B635" s="26" t="s">
        <v>4556</v>
      </c>
      <c r="C635" s="26" t="s">
        <v>136</v>
      </c>
      <c r="D635" s="26" t="s">
        <v>137</v>
      </c>
      <c r="E635" s="26" t="s">
        <v>46</v>
      </c>
      <c r="F635" s="28" t="e">
        <f ca="1">_xludf.ifna(VLOOKUP(G635,Proyectos!$A$2:$F$674,6,0),"")</f>
        <v>#NAME?</v>
      </c>
      <c r="G635" s="26" t="s">
        <v>5259</v>
      </c>
      <c r="H635" s="36">
        <v>0.34</v>
      </c>
      <c r="I635" s="31" t="s">
        <v>25</v>
      </c>
      <c r="J635" s="32"/>
      <c r="K635" s="31" t="s">
        <v>4012</v>
      </c>
      <c r="L635" s="32" t="e">
        <f ca="1">_xludf.ifna(VLOOKUP(E635,Parámetros!$D$2:$E$34,2,0),"")</f>
        <v>#NAME?</v>
      </c>
      <c r="M635" s="32" t="e">
        <f ca="1">_xludf.ifna(VLOOKUP(G635,Proyectos!$A$2:$T$674,20,0),"")</f>
        <v>#NAME?</v>
      </c>
      <c r="N635" s="32" t="e">
        <f ca="1">_xludf.ifna(VLOOKUP(G635,Proyectos!$A$2:$S$674,19,0))</f>
        <v>#NAME?</v>
      </c>
      <c r="O635" s="31"/>
      <c r="P635" s="33"/>
      <c r="Q635" s="33"/>
      <c r="R635" s="33"/>
      <c r="S635" s="33"/>
      <c r="T635" s="33"/>
      <c r="U635" s="33"/>
      <c r="V635" s="33"/>
      <c r="W635" s="33"/>
    </row>
    <row r="636" spans="1:23" ht="16.5" customHeight="1" x14ac:dyDescent="0.2">
      <c r="A636" s="26" t="s">
        <v>4765</v>
      </c>
      <c r="B636" s="26" t="s">
        <v>4766</v>
      </c>
      <c r="C636" s="26" t="s">
        <v>136</v>
      </c>
      <c r="D636" s="26" t="s">
        <v>137</v>
      </c>
      <c r="E636" s="26" t="s">
        <v>46</v>
      </c>
      <c r="F636" s="28" t="e">
        <f ca="1">_xludf.ifna(VLOOKUP(G636,Proyectos!$A$2:$F$674,6,0),"")</f>
        <v>#NAME?</v>
      </c>
      <c r="G636" s="26" t="s">
        <v>5260</v>
      </c>
      <c r="H636" s="36">
        <v>0.5</v>
      </c>
      <c r="I636" s="31" t="s">
        <v>32</v>
      </c>
      <c r="J636" s="32"/>
      <c r="K636" s="32"/>
      <c r="L636" s="32" t="e">
        <f ca="1">_xludf.ifna(VLOOKUP(E636,Parámetros!$D$2:$E$34,2,0),"")</f>
        <v>#NAME?</v>
      </c>
      <c r="M636" s="32" t="e">
        <f ca="1">_xludf.ifna(VLOOKUP(G636,Proyectos!$A$2:$T$674,20,0),"")</f>
        <v>#NAME?</v>
      </c>
      <c r="N636" s="32" t="e">
        <f ca="1">_xludf.ifna(VLOOKUP(G636,Proyectos!$A$2:$S$674,19,0))</f>
        <v>#NAME?</v>
      </c>
      <c r="O636" s="31"/>
      <c r="P636" s="33"/>
      <c r="Q636" s="33"/>
      <c r="R636" s="33"/>
      <c r="S636" s="33"/>
      <c r="T636" s="33"/>
      <c r="U636" s="33"/>
      <c r="V636" s="33"/>
      <c r="W636" s="33"/>
    </row>
    <row r="637" spans="1:23" ht="16.5" customHeight="1" x14ac:dyDescent="0.2">
      <c r="A637" s="26" t="s">
        <v>4765</v>
      </c>
      <c r="B637" s="26" t="s">
        <v>4766</v>
      </c>
      <c r="C637" s="26" t="s">
        <v>136</v>
      </c>
      <c r="D637" s="26" t="s">
        <v>137</v>
      </c>
      <c r="E637" s="26" t="s">
        <v>46</v>
      </c>
      <c r="F637" s="28" t="e">
        <f ca="1">_xludf.ifna(VLOOKUP(G637,Proyectos!$A$2:$F$674,6,0),"")</f>
        <v>#NAME?</v>
      </c>
      <c r="G637" s="29" t="s">
        <v>5114</v>
      </c>
      <c r="H637" s="36">
        <v>0.5</v>
      </c>
      <c r="I637" s="31" t="s">
        <v>32</v>
      </c>
      <c r="J637" s="32"/>
      <c r="K637" s="32"/>
      <c r="L637" s="32" t="e">
        <f ca="1">_xludf.ifna(VLOOKUP(E637,Parámetros!$D$2:$E$34,2,0),"")</f>
        <v>#NAME?</v>
      </c>
      <c r="M637" s="32" t="e">
        <f ca="1">_xludf.ifna(VLOOKUP(G637,Proyectos!$A$2:$T$674,20,0),"")</f>
        <v>#NAME?</v>
      </c>
      <c r="N637" s="32" t="e">
        <f ca="1">_xludf.ifna(VLOOKUP(G637,Proyectos!$A$2:$S$674,19,0))</f>
        <v>#NAME?</v>
      </c>
      <c r="O637" s="31"/>
      <c r="P637" s="33"/>
      <c r="Q637" s="33"/>
      <c r="R637" s="33"/>
      <c r="S637" s="33"/>
      <c r="T637" s="33"/>
      <c r="U637" s="33"/>
      <c r="V637" s="33"/>
      <c r="W637" s="33"/>
    </row>
    <row r="638" spans="1:23" ht="16.5" customHeight="1" x14ac:dyDescent="0.2">
      <c r="A638" s="26" t="s">
        <v>4913</v>
      </c>
      <c r="B638" s="26" t="s">
        <v>5264</v>
      </c>
      <c r="C638" s="26" t="s">
        <v>7</v>
      </c>
      <c r="D638" s="26" t="s">
        <v>16</v>
      </c>
      <c r="E638" s="26" t="s">
        <v>126</v>
      </c>
      <c r="F638" s="28" t="e">
        <f ca="1">_xludf.ifna(VLOOKUP(G638,Proyectos!$A$2:$F$674,6,0),"")</f>
        <v>#NAME?</v>
      </c>
      <c r="G638" s="26" t="s">
        <v>5265</v>
      </c>
      <c r="H638" s="36">
        <v>0.25</v>
      </c>
      <c r="I638" s="31" t="s">
        <v>18</v>
      </c>
      <c r="J638" s="32"/>
      <c r="K638" s="32" t="str">
        <f t="shared" ref="K638:K679" si="8">IF(E638="BBVA","Interno","Externo")</f>
        <v>Externo</v>
      </c>
      <c r="L638" s="32" t="e">
        <f ca="1">_xludf.ifna(VLOOKUP(E638,Parámetros!$D$2:$E$34,2,0),"")</f>
        <v>#NAME?</v>
      </c>
      <c r="M638" s="32" t="e">
        <f ca="1">_xludf.ifna(VLOOKUP(G638,Proyectos!$A$2:$T$674,20,0),"")</f>
        <v>#NAME?</v>
      </c>
      <c r="N638" s="32" t="e">
        <f ca="1">_xludf.ifna(VLOOKUP(G638,Proyectos!$A$2:$S$674,19,0))</f>
        <v>#NAME?</v>
      </c>
      <c r="O638" s="31"/>
      <c r="P638" s="33"/>
      <c r="Q638" s="33"/>
      <c r="R638" s="33"/>
      <c r="S638" s="33"/>
      <c r="T638" s="33"/>
      <c r="U638" s="33"/>
      <c r="V638" s="33"/>
      <c r="W638" s="33"/>
    </row>
    <row r="639" spans="1:23" ht="16.5" customHeight="1" x14ac:dyDescent="0.2">
      <c r="A639" s="26" t="s">
        <v>4913</v>
      </c>
      <c r="B639" s="26" t="s">
        <v>5264</v>
      </c>
      <c r="C639" s="26" t="s">
        <v>7</v>
      </c>
      <c r="D639" s="26" t="s">
        <v>16</v>
      </c>
      <c r="E639" s="26" t="s">
        <v>126</v>
      </c>
      <c r="F639" s="28" t="e">
        <f ca="1">_xludf.ifna(VLOOKUP(G639,Proyectos!$A$2:$F$674,6,0),"")</f>
        <v>#NAME?</v>
      </c>
      <c r="G639" s="26" t="s">
        <v>5239</v>
      </c>
      <c r="H639" s="36">
        <v>0.1</v>
      </c>
      <c r="I639" s="31" t="s">
        <v>18</v>
      </c>
      <c r="J639" s="32"/>
      <c r="K639" s="32" t="str">
        <f t="shared" si="8"/>
        <v>Externo</v>
      </c>
      <c r="L639" s="32" t="e">
        <f ca="1">_xludf.ifna(VLOOKUP(E639,Parámetros!$D$2:$E$34,2,0),"")</f>
        <v>#NAME?</v>
      </c>
      <c r="M639" s="32" t="e">
        <f ca="1">_xludf.ifna(VLOOKUP(G639,Proyectos!$A$2:$T$674,20,0),"")</f>
        <v>#NAME?</v>
      </c>
      <c r="N639" s="32" t="e">
        <f ca="1">_xludf.ifna(VLOOKUP(G639,Proyectos!$A$2:$S$674,19,0))</f>
        <v>#NAME?</v>
      </c>
      <c r="O639" s="31"/>
      <c r="P639" s="33"/>
      <c r="Q639" s="33"/>
      <c r="R639" s="33"/>
      <c r="S639" s="33"/>
      <c r="T639" s="33"/>
      <c r="U639" s="33"/>
      <c r="V639" s="33"/>
      <c r="W639" s="33"/>
    </row>
    <row r="640" spans="1:23" ht="16.5" customHeight="1" x14ac:dyDescent="0.2">
      <c r="A640" s="26" t="s">
        <v>4913</v>
      </c>
      <c r="B640" s="26" t="s">
        <v>5264</v>
      </c>
      <c r="C640" s="26" t="s">
        <v>7</v>
      </c>
      <c r="D640" s="26" t="s">
        <v>16</v>
      </c>
      <c r="E640" s="26" t="s">
        <v>126</v>
      </c>
      <c r="F640" s="28" t="e">
        <f ca="1">_xludf.ifna(VLOOKUP(G640,Proyectos!$A$2:$F$674,6,0),"")</f>
        <v>#NAME?</v>
      </c>
      <c r="G640" s="26" t="s">
        <v>5266</v>
      </c>
      <c r="H640" s="44">
        <v>0.45</v>
      </c>
      <c r="I640" s="31" t="s">
        <v>18</v>
      </c>
      <c r="J640" s="32"/>
      <c r="K640" s="32" t="str">
        <f t="shared" si="8"/>
        <v>Externo</v>
      </c>
      <c r="L640" s="32" t="e">
        <f ca="1">_xludf.ifna(VLOOKUP(E640,Parámetros!$D$2:$E$34,2,0),"")</f>
        <v>#NAME?</v>
      </c>
      <c r="M640" s="32" t="e">
        <f ca="1">_xludf.ifna(VLOOKUP(G640,Proyectos!$A$2:$T$674,20,0),"")</f>
        <v>#NAME?</v>
      </c>
      <c r="N640" s="32" t="e">
        <f ca="1">_xludf.ifna(VLOOKUP(G640,Proyectos!$A$2:$S$674,19,0))</f>
        <v>#NAME?</v>
      </c>
      <c r="O640" s="31"/>
      <c r="P640" s="33"/>
      <c r="Q640" s="33"/>
      <c r="R640" s="33"/>
      <c r="S640" s="33"/>
      <c r="T640" s="33"/>
      <c r="U640" s="33"/>
      <c r="V640" s="33"/>
      <c r="W640" s="33"/>
    </row>
    <row r="641" spans="1:23" ht="16.5" customHeight="1" x14ac:dyDescent="0.2">
      <c r="A641" s="26" t="s">
        <v>4913</v>
      </c>
      <c r="B641" s="26" t="s">
        <v>5264</v>
      </c>
      <c r="C641" s="26" t="s">
        <v>7</v>
      </c>
      <c r="D641" s="26" t="s">
        <v>16</v>
      </c>
      <c r="E641" s="26" t="s">
        <v>126</v>
      </c>
      <c r="F641" s="28" t="e">
        <f ca="1">_xludf.ifna(VLOOKUP(G641,Proyectos!$A$2:$F$674,6,0),"")</f>
        <v>#NAME?</v>
      </c>
      <c r="G641" s="26" t="s">
        <v>5267</v>
      </c>
      <c r="H641" s="36">
        <v>0.2</v>
      </c>
      <c r="I641" s="31" t="s">
        <v>18</v>
      </c>
      <c r="J641" s="32"/>
      <c r="K641" s="32" t="str">
        <f t="shared" si="8"/>
        <v>Externo</v>
      </c>
      <c r="L641" s="32" t="e">
        <f ca="1">_xludf.ifna(VLOOKUP(E641,Parámetros!$D$2:$E$34,2,0),"")</f>
        <v>#NAME?</v>
      </c>
      <c r="M641" s="32" t="e">
        <f ca="1">_xludf.ifna(VLOOKUP(G641,Proyectos!$A$2:$T$674,20,0),"")</f>
        <v>#NAME?</v>
      </c>
      <c r="N641" s="32" t="e">
        <f ca="1">_xludf.ifna(VLOOKUP(G641,Proyectos!$A$2:$S$674,19,0))</f>
        <v>#NAME?</v>
      </c>
      <c r="O641" s="31"/>
      <c r="P641" s="33"/>
      <c r="Q641" s="33"/>
      <c r="R641" s="33"/>
      <c r="S641" s="33"/>
      <c r="T641" s="33"/>
      <c r="U641" s="33"/>
      <c r="V641" s="33"/>
      <c r="W641" s="33"/>
    </row>
    <row r="642" spans="1:23" ht="16.5" customHeight="1" x14ac:dyDescent="0.2">
      <c r="A642" s="26" t="s">
        <v>4035</v>
      </c>
      <c r="B642" s="26" t="s">
        <v>5268</v>
      </c>
      <c r="C642" s="26" t="s">
        <v>7</v>
      </c>
      <c r="D642" s="26" t="s">
        <v>16</v>
      </c>
      <c r="E642" s="26" t="s">
        <v>83</v>
      </c>
      <c r="F642" s="28" t="e">
        <f ca="1">_xludf.ifna(VLOOKUP(G642,Proyectos!$A$2:$F$674,6,0),"")</f>
        <v>#NAME?</v>
      </c>
      <c r="G642" s="26" t="s">
        <v>5239</v>
      </c>
      <c r="H642" s="36">
        <v>0.45</v>
      </c>
      <c r="I642" s="31" t="s">
        <v>25</v>
      </c>
      <c r="J642" s="32"/>
      <c r="K642" s="32" t="str">
        <f t="shared" si="8"/>
        <v>Externo</v>
      </c>
      <c r="L642" s="32" t="e">
        <f ca="1">_xludf.ifna(VLOOKUP(E642,Parámetros!$D$2:$E$34,2,0),"")</f>
        <v>#NAME?</v>
      </c>
      <c r="M642" s="32" t="e">
        <f ca="1">_xludf.ifna(VLOOKUP(G642,Proyectos!$A$2:$T$674,20,0),"")</f>
        <v>#NAME?</v>
      </c>
      <c r="N642" s="32" t="e">
        <f ca="1">_xludf.ifna(VLOOKUP(G642,Proyectos!$A$2:$S$674,19,0))</f>
        <v>#NAME?</v>
      </c>
      <c r="O642" s="31"/>
      <c r="P642" s="33"/>
      <c r="Q642" s="33"/>
      <c r="R642" s="33"/>
      <c r="S642" s="33"/>
      <c r="T642" s="33"/>
      <c r="U642" s="33"/>
      <c r="V642" s="33"/>
      <c r="W642" s="33"/>
    </row>
    <row r="643" spans="1:23" ht="16.5" customHeight="1" x14ac:dyDescent="0.2">
      <c r="A643" s="26" t="s">
        <v>4035</v>
      </c>
      <c r="B643" s="26" t="s">
        <v>5268</v>
      </c>
      <c r="C643" s="26" t="s">
        <v>7</v>
      </c>
      <c r="D643" s="26" t="s">
        <v>16</v>
      </c>
      <c r="E643" s="26" t="s">
        <v>83</v>
      </c>
      <c r="F643" s="28" t="e">
        <f ca="1">_xludf.ifna(VLOOKUP(G643,Proyectos!$A$2:$F$674,6,0),"")</f>
        <v>#NAME?</v>
      </c>
      <c r="G643" s="26" t="s">
        <v>5266</v>
      </c>
      <c r="H643" s="36">
        <v>0.3</v>
      </c>
      <c r="I643" s="31" t="s">
        <v>25</v>
      </c>
      <c r="J643" s="32"/>
      <c r="K643" s="32" t="str">
        <f t="shared" si="8"/>
        <v>Externo</v>
      </c>
      <c r="L643" s="32" t="e">
        <f ca="1">_xludf.ifna(VLOOKUP(E643,Parámetros!$D$2:$E$34,2,0),"")</f>
        <v>#NAME?</v>
      </c>
      <c r="M643" s="32" t="e">
        <f ca="1">_xludf.ifna(VLOOKUP(G643,Proyectos!$A$2:$T$674,20,0),"")</f>
        <v>#NAME?</v>
      </c>
      <c r="N643" s="32" t="e">
        <f ca="1">_xludf.ifna(VLOOKUP(G643,Proyectos!$A$2:$S$674,19,0))</f>
        <v>#NAME?</v>
      </c>
      <c r="O643" s="31"/>
      <c r="P643" s="33"/>
      <c r="Q643" s="33"/>
      <c r="R643" s="33"/>
      <c r="S643" s="33"/>
      <c r="T643" s="33"/>
      <c r="U643" s="33"/>
      <c r="V643" s="33"/>
      <c r="W643" s="33"/>
    </row>
    <row r="644" spans="1:23" ht="16.5" customHeight="1" x14ac:dyDescent="0.2">
      <c r="A644" s="26" t="s">
        <v>4035</v>
      </c>
      <c r="B644" s="26" t="s">
        <v>5268</v>
      </c>
      <c r="C644" s="26" t="s">
        <v>7</v>
      </c>
      <c r="D644" s="26" t="s">
        <v>16</v>
      </c>
      <c r="E644" s="26" t="s">
        <v>83</v>
      </c>
      <c r="F644" s="28" t="e">
        <f ca="1">_xludf.ifna(VLOOKUP(G644,Proyectos!$A$2:$F$674,6,0),"")</f>
        <v>#NAME?</v>
      </c>
      <c r="G644" s="26" t="s">
        <v>5269</v>
      </c>
      <c r="H644" s="36">
        <v>0.15</v>
      </c>
      <c r="I644" s="31" t="s">
        <v>25</v>
      </c>
      <c r="J644" s="32"/>
      <c r="K644" s="32" t="str">
        <f t="shared" si="8"/>
        <v>Externo</v>
      </c>
      <c r="L644" s="32" t="e">
        <f ca="1">_xludf.ifna(VLOOKUP(E644,Parámetros!$D$2:$E$34,2,0),"")</f>
        <v>#NAME?</v>
      </c>
      <c r="M644" s="32" t="e">
        <f ca="1">_xludf.ifna(VLOOKUP(G644,Proyectos!$A$2:$T$674,20,0),"")</f>
        <v>#NAME?</v>
      </c>
      <c r="N644" s="32" t="e">
        <f ca="1">_xludf.ifna(VLOOKUP(G644,Proyectos!$A$2:$S$674,19,0))</f>
        <v>#NAME?</v>
      </c>
      <c r="O644" s="31"/>
      <c r="P644" s="33"/>
      <c r="Q644" s="33"/>
      <c r="R644" s="33"/>
      <c r="S644" s="33"/>
      <c r="T644" s="33"/>
      <c r="U644" s="33"/>
      <c r="V644" s="33"/>
      <c r="W644" s="33"/>
    </row>
    <row r="645" spans="1:23" ht="16.5" customHeight="1" x14ac:dyDescent="0.2">
      <c r="A645" s="26" t="s">
        <v>4035</v>
      </c>
      <c r="B645" s="26" t="s">
        <v>5268</v>
      </c>
      <c r="C645" s="26" t="s">
        <v>7</v>
      </c>
      <c r="D645" s="26" t="s">
        <v>16</v>
      </c>
      <c r="E645" s="26" t="s">
        <v>83</v>
      </c>
      <c r="F645" s="28" t="e">
        <f ca="1">_xludf.ifna(VLOOKUP(G645,Proyectos!$A$2:$F$674,6,0),"")</f>
        <v>#NAME?</v>
      </c>
      <c r="G645" s="26" t="s">
        <v>5267</v>
      </c>
      <c r="H645" s="36">
        <v>0.1</v>
      </c>
      <c r="I645" s="31" t="s">
        <v>25</v>
      </c>
      <c r="J645" s="32"/>
      <c r="K645" s="32" t="str">
        <f t="shared" si="8"/>
        <v>Externo</v>
      </c>
      <c r="L645" s="32" t="e">
        <f ca="1">_xludf.ifna(VLOOKUP(E645,Parámetros!$D$2:$E$34,2,0),"")</f>
        <v>#NAME?</v>
      </c>
      <c r="M645" s="32" t="e">
        <f ca="1">_xludf.ifna(VLOOKUP(G645,Proyectos!$A$2:$T$674,20,0),"")</f>
        <v>#NAME?</v>
      </c>
      <c r="N645" s="32" t="e">
        <f ca="1">_xludf.ifna(VLOOKUP(G645,Proyectos!$A$2:$S$674,19,0))</f>
        <v>#NAME?</v>
      </c>
      <c r="O645" s="31"/>
      <c r="P645" s="33"/>
      <c r="Q645" s="33"/>
      <c r="R645" s="33"/>
      <c r="S645" s="33"/>
      <c r="T645" s="33"/>
      <c r="U645" s="33"/>
      <c r="V645" s="33"/>
      <c r="W645" s="33"/>
    </row>
    <row r="646" spans="1:23" ht="16.5" customHeight="1" x14ac:dyDescent="0.2">
      <c r="A646" s="26" t="s">
        <v>4901</v>
      </c>
      <c r="B646" s="26" t="s">
        <v>4902</v>
      </c>
      <c r="C646" s="26" t="s">
        <v>7</v>
      </c>
      <c r="D646" s="26" t="s">
        <v>16</v>
      </c>
      <c r="E646" s="26" t="s">
        <v>126</v>
      </c>
      <c r="F646" s="28" t="e">
        <f ca="1">_xludf.ifna(VLOOKUP(G646,Proyectos!$A$2:$F$674,6,0),"")</f>
        <v>#NAME?</v>
      </c>
      <c r="G646" s="26" t="s">
        <v>5266</v>
      </c>
      <c r="H646" s="71">
        <v>0.25</v>
      </c>
      <c r="I646" s="31" t="s">
        <v>18</v>
      </c>
      <c r="J646" s="32"/>
      <c r="K646" s="32" t="str">
        <f t="shared" si="8"/>
        <v>Externo</v>
      </c>
      <c r="L646" s="32" t="e">
        <f ca="1">_xludf.ifna(VLOOKUP(E646,Parámetros!$D$2:$E$34,2,0),"")</f>
        <v>#NAME?</v>
      </c>
      <c r="M646" s="32" t="e">
        <f ca="1">_xludf.ifna(VLOOKUP(G646,Proyectos!$A$2:$T$674,20,0),"")</f>
        <v>#NAME?</v>
      </c>
      <c r="N646" s="32" t="e">
        <f ca="1">_xludf.ifna(VLOOKUP(G646,Proyectos!$A$2:$S$674,19,0))</f>
        <v>#NAME?</v>
      </c>
      <c r="O646" s="31"/>
      <c r="P646" s="33"/>
      <c r="Q646" s="33"/>
      <c r="R646" s="33"/>
      <c r="S646" s="33"/>
      <c r="T646" s="33"/>
      <c r="U646" s="33"/>
      <c r="V646" s="33"/>
      <c r="W646" s="33"/>
    </row>
    <row r="647" spans="1:23" ht="16.5" customHeight="1" x14ac:dyDescent="0.2">
      <c r="A647" s="26" t="s">
        <v>4901</v>
      </c>
      <c r="B647" s="26" t="s">
        <v>4902</v>
      </c>
      <c r="C647" s="26" t="s">
        <v>7</v>
      </c>
      <c r="D647" s="26" t="s">
        <v>16</v>
      </c>
      <c r="E647" s="26" t="s">
        <v>126</v>
      </c>
      <c r="F647" s="28" t="e">
        <f ca="1">_xludf.ifna(VLOOKUP(G647,Proyectos!$A$2:$F$674,6,0),"")</f>
        <v>#NAME?</v>
      </c>
      <c r="G647" s="26" t="s">
        <v>5267</v>
      </c>
      <c r="H647" s="72">
        <v>0.25</v>
      </c>
      <c r="I647" s="31" t="s">
        <v>18</v>
      </c>
      <c r="J647" s="32"/>
      <c r="K647" s="32" t="str">
        <f t="shared" si="8"/>
        <v>Externo</v>
      </c>
      <c r="L647" s="32" t="e">
        <f ca="1">_xludf.ifna(VLOOKUP(E647,Parámetros!$D$2:$E$34,2,0),"")</f>
        <v>#NAME?</v>
      </c>
      <c r="M647" s="32" t="e">
        <f ca="1">_xludf.ifna(VLOOKUP(G647,Proyectos!$A$2:$T$674,20,0),"")</f>
        <v>#NAME?</v>
      </c>
      <c r="N647" s="32" t="e">
        <f ca="1">_xludf.ifna(VLOOKUP(G647,Proyectos!$A$2:$S$674,19,0))</f>
        <v>#NAME?</v>
      </c>
      <c r="O647" s="31"/>
      <c r="P647" s="33"/>
      <c r="Q647" s="33"/>
      <c r="R647" s="33"/>
      <c r="S647" s="33"/>
      <c r="T647" s="33"/>
      <c r="U647" s="33"/>
      <c r="V647" s="33"/>
      <c r="W647" s="33"/>
    </row>
    <row r="648" spans="1:23" ht="16.5" customHeight="1" x14ac:dyDescent="0.2">
      <c r="A648" s="26" t="s">
        <v>4901</v>
      </c>
      <c r="B648" s="26" t="s">
        <v>4902</v>
      </c>
      <c r="C648" s="26" t="s">
        <v>7</v>
      </c>
      <c r="D648" s="26" t="s">
        <v>16</v>
      </c>
      <c r="E648" s="26" t="s">
        <v>126</v>
      </c>
      <c r="F648" s="28" t="e">
        <f ca="1">_xludf.ifna(VLOOKUP(G648,Proyectos!$A$2:$F$674,6,0),"")</f>
        <v>#NAME?</v>
      </c>
      <c r="G648" s="26" t="s">
        <v>5265</v>
      </c>
      <c r="H648" s="72">
        <v>0.25</v>
      </c>
      <c r="I648" s="31" t="s">
        <v>18</v>
      </c>
      <c r="J648" s="32"/>
      <c r="K648" s="32" t="str">
        <f t="shared" si="8"/>
        <v>Externo</v>
      </c>
      <c r="L648" s="32" t="e">
        <f ca="1">_xludf.ifna(VLOOKUP(E648,Parámetros!$D$2:$E$34,2,0),"")</f>
        <v>#NAME?</v>
      </c>
      <c r="M648" s="32" t="e">
        <f ca="1">_xludf.ifna(VLOOKUP(G648,Proyectos!$A$2:$T$674,20,0),"")</f>
        <v>#NAME?</v>
      </c>
      <c r="N648" s="32" t="e">
        <f ca="1">_xludf.ifna(VLOOKUP(G648,Proyectos!$A$2:$S$674,19,0))</f>
        <v>#NAME?</v>
      </c>
      <c r="O648" s="31"/>
      <c r="P648" s="33"/>
      <c r="Q648" s="33"/>
      <c r="R648" s="33"/>
      <c r="S648" s="33"/>
      <c r="T648" s="33"/>
      <c r="U648" s="33"/>
      <c r="V648" s="33"/>
      <c r="W648" s="33"/>
    </row>
    <row r="649" spans="1:23" ht="16.5" customHeight="1" x14ac:dyDescent="0.2">
      <c r="A649" s="26" t="s">
        <v>4901</v>
      </c>
      <c r="B649" s="26" t="s">
        <v>4902</v>
      </c>
      <c r="C649" s="26" t="s">
        <v>7</v>
      </c>
      <c r="D649" s="26" t="s">
        <v>16</v>
      </c>
      <c r="E649" s="26" t="s">
        <v>126</v>
      </c>
      <c r="F649" s="28" t="e">
        <f ca="1">_xludf.ifna(VLOOKUP(G649,Proyectos!$A$2:$F$674,6,0),"")</f>
        <v>#NAME?</v>
      </c>
      <c r="G649" s="26" t="s">
        <v>5265</v>
      </c>
      <c r="H649" s="72">
        <v>0.25</v>
      </c>
      <c r="I649" s="31" t="s">
        <v>18</v>
      </c>
      <c r="J649" s="32"/>
      <c r="K649" s="32" t="str">
        <f t="shared" si="8"/>
        <v>Externo</v>
      </c>
      <c r="L649" s="32" t="e">
        <f ca="1">_xludf.ifna(VLOOKUP(E649,Parámetros!$D$2:$E$34,2,0),"")</f>
        <v>#NAME?</v>
      </c>
      <c r="M649" s="32" t="e">
        <f ca="1">_xludf.ifna(VLOOKUP(G649,Proyectos!$A$2:$T$674,20,0),"")</f>
        <v>#NAME?</v>
      </c>
      <c r="N649" s="32" t="e">
        <f ca="1">_xludf.ifna(VLOOKUP(G649,Proyectos!$A$2:$S$674,19,0))</f>
        <v>#NAME?</v>
      </c>
      <c r="O649" s="31"/>
      <c r="P649" s="33"/>
      <c r="Q649" s="33"/>
      <c r="R649" s="33"/>
      <c r="S649" s="33"/>
      <c r="T649" s="33"/>
      <c r="U649" s="33"/>
      <c r="V649" s="33"/>
      <c r="W649" s="33"/>
    </row>
    <row r="650" spans="1:23" ht="16.5" customHeight="1" x14ac:dyDescent="0.2">
      <c r="A650" s="26" t="s">
        <v>3433</v>
      </c>
      <c r="B650" s="26" t="s">
        <v>5270</v>
      </c>
      <c r="C650" s="26" t="s">
        <v>7</v>
      </c>
      <c r="D650" s="26" t="s">
        <v>16</v>
      </c>
      <c r="E650" s="26" t="s">
        <v>39</v>
      </c>
      <c r="F650" s="28" t="e">
        <f ca="1">_xludf.ifna(VLOOKUP(G650,Proyectos!$A$2:$F$674,6,0),"")</f>
        <v>#NAME?</v>
      </c>
      <c r="G650" s="26" t="s">
        <v>5267</v>
      </c>
      <c r="H650" s="48">
        <v>0.25</v>
      </c>
      <c r="I650" s="31" t="s">
        <v>11</v>
      </c>
      <c r="J650" s="32"/>
      <c r="K650" s="32" t="str">
        <f t="shared" si="8"/>
        <v>Interno</v>
      </c>
      <c r="L650" s="32" t="e">
        <f ca="1">_xludf.ifna(VLOOKUP(E650,Parámetros!$D$2:$E$34,2,0),"")</f>
        <v>#NAME?</v>
      </c>
      <c r="M650" s="32" t="e">
        <f ca="1">_xludf.ifna(VLOOKUP(G650,Proyectos!$A$2:$T$674,20,0),"")</f>
        <v>#NAME?</v>
      </c>
      <c r="N650" s="32" t="e">
        <f ca="1">_xludf.ifna(VLOOKUP(G650,Proyectos!$A$2:$S$674,19,0))</f>
        <v>#NAME?</v>
      </c>
      <c r="O650" s="31"/>
      <c r="P650" s="33"/>
      <c r="Q650" s="33"/>
      <c r="R650" s="33"/>
      <c r="S650" s="33"/>
      <c r="T650" s="33"/>
      <c r="U650" s="33"/>
      <c r="V650" s="33"/>
      <c r="W650" s="33"/>
    </row>
    <row r="651" spans="1:23" ht="16.5" customHeight="1" x14ac:dyDescent="0.2">
      <c r="A651" s="26" t="s">
        <v>3433</v>
      </c>
      <c r="B651" s="26" t="s">
        <v>5270</v>
      </c>
      <c r="C651" s="26" t="s">
        <v>7</v>
      </c>
      <c r="D651" s="26" t="s">
        <v>16</v>
      </c>
      <c r="E651" s="26" t="s">
        <v>39</v>
      </c>
      <c r="F651" s="28" t="e">
        <f ca="1">_xludf.ifna(VLOOKUP(G651,Proyectos!$A$2:$F$674,6,0),"")</f>
        <v>#NAME?</v>
      </c>
      <c r="G651" s="26" t="s">
        <v>5269</v>
      </c>
      <c r="H651" s="48">
        <v>0.2</v>
      </c>
      <c r="I651" s="31" t="s">
        <v>11</v>
      </c>
      <c r="J651" s="32"/>
      <c r="K651" s="32" t="str">
        <f t="shared" si="8"/>
        <v>Interno</v>
      </c>
      <c r="L651" s="32" t="e">
        <f ca="1">_xludf.ifna(VLOOKUP(E651,Parámetros!$D$2:$E$34,2,0),"")</f>
        <v>#NAME?</v>
      </c>
      <c r="M651" s="32" t="e">
        <f ca="1">_xludf.ifna(VLOOKUP(G651,Proyectos!$A$2:$T$674,20,0),"")</f>
        <v>#NAME?</v>
      </c>
      <c r="N651" s="32" t="e">
        <f ca="1">_xludf.ifna(VLOOKUP(G651,Proyectos!$A$2:$S$674,19,0))</f>
        <v>#NAME?</v>
      </c>
      <c r="O651" s="31"/>
      <c r="P651" s="33"/>
      <c r="Q651" s="33"/>
      <c r="R651" s="33"/>
      <c r="S651" s="33"/>
      <c r="T651" s="33"/>
      <c r="U651" s="33"/>
      <c r="V651" s="33"/>
      <c r="W651" s="33"/>
    </row>
    <row r="652" spans="1:23" ht="16.5" customHeight="1" x14ac:dyDescent="0.2">
      <c r="A652" s="26" t="s">
        <v>3433</v>
      </c>
      <c r="B652" s="26" t="s">
        <v>5270</v>
      </c>
      <c r="C652" s="26" t="s">
        <v>7</v>
      </c>
      <c r="D652" s="26" t="s">
        <v>16</v>
      </c>
      <c r="E652" s="26" t="s">
        <v>39</v>
      </c>
      <c r="F652" s="28" t="e">
        <f ca="1">_xludf.ifna(VLOOKUP(G652,Proyectos!$A$2:$F$674,6,0),"")</f>
        <v>#NAME?</v>
      </c>
      <c r="G652" s="73" t="s">
        <v>5265</v>
      </c>
      <c r="H652" s="48">
        <v>0.2</v>
      </c>
      <c r="I652" s="31" t="s">
        <v>11</v>
      </c>
      <c r="J652" s="32"/>
      <c r="K652" s="32" t="str">
        <f t="shared" si="8"/>
        <v>Interno</v>
      </c>
      <c r="L652" s="32" t="e">
        <f ca="1">_xludf.ifna(VLOOKUP(E652,Parámetros!$D$2:$E$34,2,0),"")</f>
        <v>#NAME?</v>
      </c>
      <c r="M652" s="32" t="e">
        <f ca="1">_xludf.ifna(VLOOKUP(G652,Proyectos!$A$2:$T$674,20,0),"")</f>
        <v>#NAME?</v>
      </c>
      <c r="N652" s="32" t="e">
        <f ca="1">_xludf.ifna(VLOOKUP(G652,Proyectos!$A$2:$S$674,19,0))</f>
        <v>#NAME?</v>
      </c>
      <c r="O652" s="31"/>
      <c r="P652" s="33"/>
      <c r="Q652" s="33"/>
      <c r="R652" s="33"/>
      <c r="S652" s="33"/>
      <c r="T652" s="33"/>
      <c r="U652" s="33"/>
      <c r="V652" s="33"/>
      <c r="W652" s="33"/>
    </row>
    <row r="653" spans="1:23" ht="16.5" customHeight="1" x14ac:dyDescent="0.2">
      <c r="A653" s="26" t="s">
        <v>3433</v>
      </c>
      <c r="B653" s="26" t="s">
        <v>5270</v>
      </c>
      <c r="C653" s="26" t="s">
        <v>7</v>
      </c>
      <c r="D653" s="26" t="s">
        <v>16</v>
      </c>
      <c r="E653" s="26" t="s">
        <v>39</v>
      </c>
      <c r="F653" s="28" t="e">
        <f ca="1">_xludf.ifna(VLOOKUP(G653,Proyectos!$A$2:$F$674,6,0),"")</f>
        <v>#NAME?</v>
      </c>
      <c r="G653" s="26" t="s">
        <v>5266</v>
      </c>
      <c r="H653" s="48">
        <v>0.2</v>
      </c>
      <c r="I653" s="31" t="s">
        <v>11</v>
      </c>
      <c r="J653" s="32"/>
      <c r="K653" s="32" t="str">
        <f t="shared" si="8"/>
        <v>Interno</v>
      </c>
      <c r="L653" s="32" t="e">
        <f ca="1">_xludf.ifna(VLOOKUP(E653,Parámetros!$D$2:$E$34,2,0),"")</f>
        <v>#NAME?</v>
      </c>
      <c r="M653" s="32" t="e">
        <f ca="1">_xludf.ifna(VLOOKUP(G653,Proyectos!$A$2:$T$674,20,0),"")</f>
        <v>#NAME?</v>
      </c>
      <c r="N653" s="32" t="e">
        <f ca="1">_xludf.ifna(VLOOKUP(G653,Proyectos!$A$2:$S$674,19,0))</f>
        <v>#NAME?</v>
      </c>
      <c r="O653" s="31"/>
      <c r="P653" s="33"/>
      <c r="Q653" s="33"/>
      <c r="R653" s="33"/>
      <c r="S653" s="33"/>
      <c r="T653" s="33"/>
      <c r="U653" s="33"/>
      <c r="V653" s="33"/>
      <c r="W653" s="33"/>
    </row>
    <row r="654" spans="1:23" ht="16.5" customHeight="1" x14ac:dyDescent="0.2">
      <c r="A654" s="26" t="s">
        <v>3433</v>
      </c>
      <c r="B654" s="26" t="s">
        <v>5270</v>
      </c>
      <c r="C654" s="26" t="s">
        <v>7</v>
      </c>
      <c r="D654" s="26" t="s">
        <v>16</v>
      </c>
      <c r="E654" s="26" t="s">
        <v>39</v>
      </c>
      <c r="F654" s="28" t="e">
        <f ca="1">_xludf.ifna(VLOOKUP(G654,Proyectos!$A$2:$F$674,6,0),"")</f>
        <v>#NAME?</v>
      </c>
      <c r="G654" s="29" t="s">
        <v>5114</v>
      </c>
      <c r="H654" s="48">
        <v>0.15</v>
      </c>
      <c r="I654" s="31" t="s">
        <v>11</v>
      </c>
      <c r="J654" s="32"/>
      <c r="K654" s="32" t="str">
        <f t="shared" si="8"/>
        <v>Interno</v>
      </c>
      <c r="L654" s="32" t="e">
        <f ca="1">_xludf.ifna(VLOOKUP(E654,Parámetros!$D$2:$E$34,2,0),"")</f>
        <v>#NAME?</v>
      </c>
      <c r="M654" s="32" t="e">
        <f ca="1">_xludf.ifna(VLOOKUP(G654,Proyectos!$A$2:$T$674,20,0),"")</f>
        <v>#NAME?</v>
      </c>
      <c r="N654" s="32" t="e">
        <f ca="1">_xludf.ifna(VLOOKUP(G654,Proyectos!$A$2:$S$674,19,0))</f>
        <v>#NAME?</v>
      </c>
      <c r="O654" s="31"/>
      <c r="P654" s="33"/>
      <c r="Q654" s="33"/>
      <c r="R654" s="33"/>
      <c r="S654" s="33"/>
      <c r="T654" s="33"/>
      <c r="U654" s="33"/>
      <c r="V654" s="33"/>
      <c r="W654" s="33"/>
    </row>
    <row r="655" spans="1:23" ht="16.5" customHeight="1" x14ac:dyDescent="0.2">
      <c r="A655" s="26" t="s">
        <v>3546</v>
      </c>
      <c r="B655" s="26" t="s">
        <v>5271</v>
      </c>
      <c r="C655" s="26" t="s">
        <v>7</v>
      </c>
      <c r="D655" s="26" t="s">
        <v>16</v>
      </c>
      <c r="E655" s="26" t="s">
        <v>39</v>
      </c>
      <c r="F655" s="28" t="e">
        <f ca="1">_xludf.ifna(VLOOKUP(G655,Proyectos!$A$2:$F$674,6,0),"")</f>
        <v>#NAME?</v>
      </c>
      <c r="G655" s="26" t="s">
        <v>5266</v>
      </c>
      <c r="H655" s="36">
        <v>0.5</v>
      </c>
      <c r="I655" s="31" t="s">
        <v>18</v>
      </c>
      <c r="J655" s="32"/>
      <c r="K655" s="32" t="str">
        <f t="shared" si="8"/>
        <v>Interno</v>
      </c>
      <c r="L655" s="32" t="e">
        <f ca="1">_xludf.ifna(VLOOKUP(E655,Parámetros!$D$2:$E$34,2,0),"")</f>
        <v>#NAME?</v>
      </c>
      <c r="M655" s="32" t="e">
        <f ca="1">_xludf.ifna(VLOOKUP(G655,Proyectos!$A$2:$T$674,20,0),"")</f>
        <v>#NAME?</v>
      </c>
      <c r="N655" s="32" t="e">
        <f ca="1">_xludf.ifna(VLOOKUP(G655,Proyectos!$A$2:$S$674,19,0))</f>
        <v>#NAME?</v>
      </c>
      <c r="O655" s="31"/>
      <c r="P655" s="33"/>
      <c r="Q655" s="33"/>
      <c r="R655" s="33"/>
      <c r="S655" s="33"/>
      <c r="T655" s="33"/>
      <c r="U655" s="33"/>
      <c r="V655" s="33"/>
      <c r="W655" s="33"/>
    </row>
    <row r="656" spans="1:23" ht="16.5" customHeight="1" x14ac:dyDescent="0.2">
      <c r="A656" s="26" t="s">
        <v>3546</v>
      </c>
      <c r="B656" s="26" t="s">
        <v>5271</v>
      </c>
      <c r="C656" s="26" t="s">
        <v>7</v>
      </c>
      <c r="D656" s="26" t="s">
        <v>16</v>
      </c>
      <c r="E656" s="26" t="s">
        <v>39</v>
      </c>
      <c r="F656" s="28" t="e">
        <f ca="1">_xludf.ifna(VLOOKUP(G656,Proyectos!$A$2:$F$674,6,0),"")</f>
        <v>#NAME?</v>
      </c>
      <c r="G656" s="26" t="s">
        <v>5265</v>
      </c>
      <c r="H656" s="36">
        <v>0.4</v>
      </c>
      <c r="I656" s="31" t="s">
        <v>18</v>
      </c>
      <c r="J656" s="32"/>
      <c r="K656" s="32" t="str">
        <f t="shared" si="8"/>
        <v>Interno</v>
      </c>
      <c r="L656" s="32" t="e">
        <f ca="1">_xludf.ifna(VLOOKUP(E656,Parámetros!$D$2:$E$34,2,0),"")</f>
        <v>#NAME?</v>
      </c>
      <c r="M656" s="32" t="e">
        <f ca="1">_xludf.ifna(VLOOKUP(G656,Proyectos!$A$2:$T$674,20,0),"")</f>
        <v>#NAME?</v>
      </c>
      <c r="N656" s="32" t="e">
        <f ca="1">_xludf.ifna(VLOOKUP(G656,Proyectos!$A$2:$S$674,19,0))</f>
        <v>#NAME?</v>
      </c>
      <c r="O656" s="31"/>
      <c r="P656" s="33"/>
      <c r="Q656" s="33"/>
      <c r="R656" s="33"/>
      <c r="S656" s="33"/>
      <c r="T656" s="33"/>
      <c r="U656" s="33"/>
      <c r="V656" s="33"/>
      <c r="W656" s="33"/>
    </row>
    <row r="657" spans="1:23" ht="16.5" customHeight="1" x14ac:dyDescent="0.2">
      <c r="A657" s="26" t="s">
        <v>3546</v>
      </c>
      <c r="B657" s="26" t="s">
        <v>5271</v>
      </c>
      <c r="C657" s="26" t="s">
        <v>7</v>
      </c>
      <c r="D657" s="26" t="s">
        <v>16</v>
      </c>
      <c r="E657" s="26" t="s">
        <v>39</v>
      </c>
      <c r="F657" s="28" t="e">
        <f ca="1">_xludf.ifna(VLOOKUP(G657,Proyectos!$A$2:$F$674,6,0),"")</f>
        <v>#NAME?</v>
      </c>
      <c r="G657" s="26" t="s">
        <v>5267</v>
      </c>
      <c r="H657" s="36">
        <v>0.1</v>
      </c>
      <c r="I657" s="31" t="s">
        <v>18</v>
      </c>
      <c r="J657" s="32"/>
      <c r="K657" s="32" t="str">
        <f t="shared" si="8"/>
        <v>Interno</v>
      </c>
      <c r="L657" s="32" t="e">
        <f ca="1">_xludf.ifna(VLOOKUP(E657,Parámetros!$D$2:$E$34,2,0),"")</f>
        <v>#NAME?</v>
      </c>
      <c r="M657" s="32" t="e">
        <f ca="1">_xludf.ifna(VLOOKUP(G657,Proyectos!$A$2:$T$674,20,0),"")</f>
        <v>#NAME?</v>
      </c>
      <c r="N657" s="32" t="e">
        <f ca="1">_xludf.ifna(VLOOKUP(G657,Proyectos!$A$2:$S$674,19,0))</f>
        <v>#NAME?</v>
      </c>
      <c r="O657" s="31"/>
      <c r="P657" s="33"/>
      <c r="Q657" s="33"/>
      <c r="R657" s="33"/>
      <c r="S657" s="33"/>
      <c r="T657" s="33"/>
      <c r="U657" s="33"/>
      <c r="V657" s="33"/>
      <c r="W657" s="33"/>
    </row>
    <row r="658" spans="1:23" ht="16.5" customHeight="1" x14ac:dyDescent="0.2">
      <c r="A658" s="26" t="s">
        <v>3664</v>
      </c>
      <c r="B658" s="26" t="s">
        <v>5272</v>
      </c>
      <c r="C658" s="26" t="s">
        <v>7</v>
      </c>
      <c r="D658" s="26" t="s">
        <v>16</v>
      </c>
      <c r="E658" s="26" t="s">
        <v>39</v>
      </c>
      <c r="F658" s="28" t="e">
        <f ca="1">_xludf.ifna(VLOOKUP(G658,Proyectos!$A$2:$F$674,6,0),"")</f>
        <v>#NAME?</v>
      </c>
      <c r="G658" s="26" t="s">
        <v>5266</v>
      </c>
      <c r="H658" s="36">
        <v>0.35</v>
      </c>
      <c r="I658" s="31" t="s">
        <v>18</v>
      </c>
      <c r="J658" s="32"/>
      <c r="K658" s="32" t="str">
        <f t="shared" si="8"/>
        <v>Interno</v>
      </c>
      <c r="L658" s="32" t="e">
        <f ca="1">_xludf.ifna(VLOOKUP(E658,Parámetros!$D$2:$E$34,2,0),"")</f>
        <v>#NAME?</v>
      </c>
      <c r="M658" s="32" t="e">
        <f ca="1">_xludf.ifna(VLOOKUP(G658,Proyectos!$A$2:$T$674,20,0),"")</f>
        <v>#NAME?</v>
      </c>
      <c r="N658" s="32" t="e">
        <f ca="1">_xludf.ifna(VLOOKUP(G658,Proyectos!$A$2:$S$674,19,0))</f>
        <v>#NAME?</v>
      </c>
      <c r="O658" s="31"/>
      <c r="P658" s="33"/>
      <c r="Q658" s="33"/>
      <c r="R658" s="33"/>
      <c r="S658" s="33"/>
      <c r="T658" s="33"/>
      <c r="U658" s="33"/>
      <c r="V658" s="33"/>
      <c r="W658" s="33"/>
    </row>
    <row r="659" spans="1:23" ht="16.5" customHeight="1" x14ac:dyDescent="0.2">
      <c r="A659" s="26" t="s">
        <v>3664</v>
      </c>
      <c r="B659" s="26" t="s">
        <v>5272</v>
      </c>
      <c r="C659" s="26" t="s">
        <v>7</v>
      </c>
      <c r="D659" s="26" t="s">
        <v>16</v>
      </c>
      <c r="E659" s="26" t="s">
        <v>39</v>
      </c>
      <c r="F659" s="28" t="e">
        <f ca="1">_xludf.ifna(VLOOKUP(G659,Proyectos!$A$2:$F$674,6,0),"")</f>
        <v>#NAME?</v>
      </c>
      <c r="G659" s="26" t="s">
        <v>5267</v>
      </c>
      <c r="H659" s="36">
        <v>0.3</v>
      </c>
      <c r="I659" s="31" t="s">
        <v>18</v>
      </c>
      <c r="J659" s="32"/>
      <c r="K659" s="32" t="str">
        <f t="shared" si="8"/>
        <v>Interno</v>
      </c>
      <c r="L659" s="32" t="e">
        <f ca="1">_xludf.ifna(VLOOKUP(E659,Parámetros!$D$2:$E$34,2,0),"")</f>
        <v>#NAME?</v>
      </c>
      <c r="M659" s="32" t="e">
        <f ca="1">_xludf.ifna(VLOOKUP(G659,Proyectos!$A$2:$T$674,20,0),"")</f>
        <v>#NAME?</v>
      </c>
      <c r="N659" s="32" t="e">
        <f ca="1">_xludf.ifna(VLOOKUP(G659,Proyectos!$A$2:$S$674,19,0))</f>
        <v>#NAME?</v>
      </c>
      <c r="O659" s="31"/>
      <c r="P659" s="33"/>
      <c r="Q659" s="33"/>
      <c r="R659" s="33"/>
      <c r="S659" s="33"/>
      <c r="T659" s="33"/>
      <c r="U659" s="33"/>
      <c r="V659" s="33"/>
      <c r="W659" s="33"/>
    </row>
    <row r="660" spans="1:23" ht="16.5" customHeight="1" x14ac:dyDescent="0.2">
      <c r="A660" s="26" t="s">
        <v>3664</v>
      </c>
      <c r="B660" s="26" t="s">
        <v>5272</v>
      </c>
      <c r="C660" s="26" t="s">
        <v>7</v>
      </c>
      <c r="D660" s="26" t="s">
        <v>16</v>
      </c>
      <c r="E660" s="26" t="s">
        <v>39</v>
      </c>
      <c r="F660" s="28" t="e">
        <f ca="1">_xludf.ifna(VLOOKUP(G660,Proyectos!$A$2:$F$674,6,0),"")</f>
        <v>#NAME?</v>
      </c>
      <c r="G660" s="26" t="s">
        <v>5265</v>
      </c>
      <c r="H660" s="32">
        <v>0.35</v>
      </c>
      <c r="I660" s="31" t="s">
        <v>18</v>
      </c>
      <c r="J660" s="31"/>
      <c r="K660" s="32" t="str">
        <f t="shared" si="8"/>
        <v>Interno</v>
      </c>
      <c r="L660" s="32" t="e">
        <f ca="1">_xludf.ifna(VLOOKUP(E660,Parámetros!$D$2:$E$34,2,0),"")</f>
        <v>#NAME?</v>
      </c>
      <c r="M660" s="32" t="e">
        <f ca="1">_xludf.ifna(VLOOKUP(G660,Proyectos!$A$2:$T$674,20,0),"")</f>
        <v>#NAME?</v>
      </c>
      <c r="N660" s="32" t="e">
        <f ca="1">_xludf.ifna(VLOOKUP(G660,Proyectos!$A$2:$S$674,19,0))</f>
        <v>#NAME?</v>
      </c>
      <c r="O660" s="31"/>
      <c r="P660" s="33"/>
      <c r="Q660" s="33"/>
      <c r="R660" s="33"/>
      <c r="S660" s="33"/>
      <c r="T660" s="33"/>
      <c r="U660" s="33"/>
      <c r="V660" s="33"/>
      <c r="W660" s="33"/>
    </row>
    <row r="661" spans="1:23" ht="16.5" customHeight="1" x14ac:dyDescent="0.2">
      <c r="A661" s="26" t="s">
        <v>4110</v>
      </c>
      <c r="B661" s="26" t="s">
        <v>4111</v>
      </c>
      <c r="C661" s="26" t="s">
        <v>7</v>
      </c>
      <c r="D661" s="26" t="s">
        <v>16</v>
      </c>
      <c r="E661" s="26" t="s">
        <v>126</v>
      </c>
      <c r="F661" s="28" t="e">
        <f ca="1">_xludf.ifna(VLOOKUP(G661,Proyectos!$A$2:$F$674,6,0),"")</f>
        <v>#NAME?</v>
      </c>
      <c r="G661" s="26" t="s">
        <v>5267</v>
      </c>
      <c r="H661" s="36">
        <v>0.5</v>
      </c>
      <c r="I661" s="31" t="s">
        <v>18</v>
      </c>
      <c r="J661" s="32"/>
      <c r="K661" s="32" t="str">
        <f t="shared" si="8"/>
        <v>Externo</v>
      </c>
      <c r="L661" s="32" t="e">
        <f ca="1">_xludf.ifna(VLOOKUP(E661,Parámetros!$D$2:$E$34,2,0),"")</f>
        <v>#NAME?</v>
      </c>
      <c r="M661" s="32" t="e">
        <f ca="1">_xludf.ifna(VLOOKUP(G661,Proyectos!$A$2:$T$674,20,0),"")</f>
        <v>#NAME?</v>
      </c>
      <c r="N661" s="32" t="e">
        <f ca="1">_xludf.ifna(VLOOKUP(G661,Proyectos!$A$2:$S$674,19,0))</f>
        <v>#NAME?</v>
      </c>
      <c r="O661" s="31"/>
      <c r="P661" s="33"/>
      <c r="Q661" s="33"/>
      <c r="R661" s="33"/>
      <c r="S661" s="33"/>
      <c r="T661" s="33"/>
      <c r="U661" s="33"/>
      <c r="V661" s="33"/>
      <c r="W661" s="33"/>
    </row>
    <row r="662" spans="1:23" ht="16.5" customHeight="1" x14ac:dyDescent="0.2">
      <c r="A662" s="26" t="s">
        <v>4110</v>
      </c>
      <c r="B662" s="26" t="s">
        <v>4111</v>
      </c>
      <c r="C662" s="26" t="s">
        <v>7</v>
      </c>
      <c r="D662" s="26" t="s">
        <v>16</v>
      </c>
      <c r="E662" s="26" t="s">
        <v>126</v>
      </c>
      <c r="F662" s="28" t="e">
        <f ca="1">_xludf.ifna(VLOOKUP(G662,Proyectos!$A$2:$F$674,6,0),"")</f>
        <v>#NAME?</v>
      </c>
      <c r="G662" s="26" t="s">
        <v>5267</v>
      </c>
      <c r="H662" s="36">
        <v>0.5</v>
      </c>
      <c r="I662" s="31" t="s">
        <v>18</v>
      </c>
      <c r="J662" s="32"/>
      <c r="K662" s="32" t="str">
        <f t="shared" si="8"/>
        <v>Externo</v>
      </c>
      <c r="L662" s="32" t="e">
        <f ca="1">_xludf.ifna(VLOOKUP(E662,Parámetros!$D$2:$E$34,2,0),"")</f>
        <v>#NAME?</v>
      </c>
      <c r="M662" s="32" t="e">
        <f ca="1">_xludf.ifna(VLOOKUP(G662,Proyectos!$A$2:$T$674,20,0),"")</f>
        <v>#NAME?</v>
      </c>
      <c r="N662" s="32" t="e">
        <f ca="1">_xludf.ifna(VLOOKUP(G662,Proyectos!$A$2:$S$674,19,0))</f>
        <v>#NAME?</v>
      </c>
      <c r="O662" s="31"/>
      <c r="P662" s="33"/>
      <c r="Q662" s="33"/>
      <c r="R662" s="33"/>
      <c r="S662" s="33"/>
      <c r="T662" s="33"/>
      <c r="U662" s="33"/>
      <c r="V662" s="33"/>
      <c r="W662" s="33"/>
    </row>
    <row r="663" spans="1:23" ht="16.5" customHeight="1" x14ac:dyDescent="0.2">
      <c r="A663" s="26" t="s">
        <v>4877</v>
      </c>
      <c r="B663" s="26" t="s">
        <v>4878</v>
      </c>
      <c r="C663" s="26" t="s">
        <v>7</v>
      </c>
      <c r="D663" s="26" t="s">
        <v>16</v>
      </c>
      <c r="E663" s="26" t="s">
        <v>83</v>
      </c>
      <c r="F663" s="28" t="e">
        <f ca="1">_xludf.ifna(VLOOKUP(G663,Proyectos!$A$2:$F$674,6,0),"")</f>
        <v>#NAME?</v>
      </c>
      <c r="G663" s="26" t="s">
        <v>5266</v>
      </c>
      <c r="H663" s="36">
        <v>0.3</v>
      </c>
      <c r="I663" s="31" t="s">
        <v>25</v>
      </c>
      <c r="J663" s="32"/>
      <c r="K663" s="32" t="str">
        <f t="shared" si="8"/>
        <v>Externo</v>
      </c>
      <c r="L663" s="32" t="e">
        <f ca="1">_xludf.ifna(VLOOKUP(E663,Parámetros!$D$2:$E$34,2,0),"")</f>
        <v>#NAME?</v>
      </c>
      <c r="M663" s="32" t="e">
        <f ca="1">_xludf.ifna(VLOOKUP(G663,Proyectos!$A$2:$T$674,20,0),"")</f>
        <v>#NAME?</v>
      </c>
      <c r="N663" s="32" t="e">
        <f ca="1">_xludf.ifna(VLOOKUP(G663,Proyectos!$A$2:$S$674,19,0))</f>
        <v>#NAME?</v>
      </c>
      <c r="O663" s="31"/>
      <c r="P663" s="33"/>
      <c r="Q663" s="33"/>
      <c r="R663" s="33"/>
      <c r="S663" s="33"/>
      <c r="T663" s="33"/>
      <c r="U663" s="33"/>
      <c r="V663" s="33"/>
      <c r="W663" s="33"/>
    </row>
    <row r="664" spans="1:23" ht="16.5" customHeight="1" x14ac:dyDescent="0.2">
      <c r="A664" s="26" t="s">
        <v>4877</v>
      </c>
      <c r="B664" s="26" t="s">
        <v>4878</v>
      </c>
      <c r="C664" s="26" t="s">
        <v>7</v>
      </c>
      <c r="D664" s="26" t="s">
        <v>16</v>
      </c>
      <c r="E664" s="26" t="s">
        <v>83</v>
      </c>
      <c r="F664" s="28" t="e">
        <f ca="1">_xludf.ifna(VLOOKUP(G664,Proyectos!$A$2:$F$674,6,0),"")</f>
        <v>#NAME?</v>
      </c>
      <c r="G664" s="26" t="s">
        <v>5265</v>
      </c>
      <c r="H664" s="36">
        <v>0.3</v>
      </c>
      <c r="I664" s="31" t="s">
        <v>25</v>
      </c>
      <c r="J664" s="32"/>
      <c r="K664" s="32" t="str">
        <f t="shared" si="8"/>
        <v>Externo</v>
      </c>
      <c r="L664" s="32" t="e">
        <f ca="1">_xludf.ifna(VLOOKUP(E664,Parámetros!$D$2:$E$34,2,0),"")</f>
        <v>#NAME?</v>
      </c>
      <c r="M664" s="32" t="e">
        <f ca="1">_xludf.ifna(VLOOKUP(G664,Proyectos!$A$2:$T$674,20,0),"")</f>
        <v>#NAME?</v>
      </c>
      <c r="N664" s="32" t="e">
        <f ca="1">_xludf.ifna(VLOOKUP(G664,Proyectos!$A$2:$S$674,19,0))</f>
        <v>#NAME?</v>
      </c>
      <c r="O664" s="31"/>
      <c r="P664" s="33"/>
      <c r="Q664" s="33"/>
      <c r="R664" s="33"/>
      <c r="S664" s="33"/>
      <c r="T664" s="33"/>
      <c r="U664" s="33"/>
      <c r="V664" s="33"/>
      <c r="W664" s="33"/>
    </row>
    <row r="665" spans="1:23" ht="16.5" customHeight="1" x14ac:dyDescent="0.2">
      <c r="A665" s="26" t="s">
        <v>4877</v>
      </c>
      <c r="B665" s="26" t="s">
        <v>4878</v>
      </c>
      <c r="C665" s="26" t="s">
        <v>7</v>
      </c>
      <c r="D665" s="26" t="s">
        <v>16</v>
      </c>
      <c r="E665" s="26" t="s">
        <v>83</v>
      </c>
      <c r="F665" s="28" t="e">
        <f ca="1">_xludf.ifna(VLOOKUP(G665,Proyectos!$A$2:$F$674,6,0),"")</f>
        <v>#NAME?</v>
      </c>
      <c r="G665" s="26" t="s">
        <v>5267</v>
      </c>
      <c r="H665" s="36">
        <v>0.4</v>
      </c>
      <c r="I665" s="31" t="s">
        <v>25</v>
      </c>
      <c r="J665" s="32"/>
      <c r="K665" s="32" t="str">
        <f t="shared" si="8"/>
        <v>Externo</v>
      </c>
      <c r="L665" s="32" t="e">
        <f ca="1">_xludf.ifna(VLOOKUP(E665,Parámetros!$D$2:$E$34,2,0),"")</f>
        <v>#NAME?</v>
      </c>
      <c r="M665" s="32" t="e">
        <f ca="1">_xludf.ifna(VLOOKUP(G665,Proyectos!$A$2:$T$674,20,0),"")</f>
        <v>#NAME?</v>
      </c>
      <c r="N665" s="32" t="e">
        <f ca="1">_xludf.ifna(VLOOKUP(G665,Proyectos!$A$2:$S$674,19,0))</f>
        <v>#NAME?</v>
      </c>
      <c r="O665" s="31"/>
      <c r="P665" s="33"/>
      <c r="Q665" s="33"/>
      <c r="R665" s="33"/>
      <c r="S665" s="33"/>
      <c r="T665" s="33"/>
      <c r="U665" s="33"/>
      <c r="V665" s="33"/>
      <c r="W665" s="33"/>
    </row>
    <row r="666" spans="1:23" ht="16.5" customHeight="1" x14ac:dyDescent="0.2">
      <c r="A666" s="49" t="s">
        <v>4899</v>
      </c>
      <c r="B666" s="26" t="s">
        <v>5273</v>
      </c>
      <c r="C666" s="26" t="s">
        <v>7</v>
      </c>
      <c r="D666" s="26" t="s">
        <v>16</v>
      </c>
      <c r="E666" s="49" t="s">
        <v>126</v>
      </c>
      <c r="F666" s="28" t="e">
        <f ca="1">_xludf.ifna(VLOOKUP(G666,Proyectos!$A$2:$F$674,6,0),"")</f>
        <v>#NAME?</v>
      </c>
      <c r="G666" s="26" t="s">
        <v>5266</v>
      </c>
      <c r="H666" s="36">
        <v>0.5</v>
      </c>
      <c r="I666" s="31" t="s">
        <v>18</v>
      </c>
      <c r="J666" s="32"/>
      <c r="K666" s="32" t="str">
        <f t="shared" si="8"/>
        <v>Externo</v>
      </c>
      <c r="L666" s="32" t="e">
        <f ca="1">_xludf.ifna(VLOOKUP(E666,Parámetros!$D$2:$E$34,2,0),"")</f>
        <v>#NAME?</v>
      </c>
      <c r="M666" s="32" t="e">
        <f ca="1">_xludf.ifna(VLOOKUP(G666,Proyectos!$A$2:$T$674,20,0),"")</f>
        <v>#NAME?</v>
      </c>
      <c r="N666" s="32" t="e">
        <f ca="1">_xludf.ifna(VLOOKUP(G666,Proyectos!$A$2:$S$674,19,0))</f>
        <v>#NAME?</v>
      </c>
      <c r="O666" s="31"/>
      <c r="P666" s="33"/>
      <c r="Q666" s="33"/>
      <c r="R666" s="33"/>
      <c r="S666" s="33"/>
      <c r="T666" s="33"/>
      <c r="U666" s="33"/>
      <c r="V666" s="33"/>
      <c r="W666" s="33"/>
    </row>
    <row r="667" spans="1:23" ht="16.5" customHeight="1" x14ac:dyDescent="0.2">
      <c r="A667" s="49" t="s">
        <v>4899</v>
      </c>
      <c r="B667" s="26" t="s">
        <v>5273</v>
      </c>
      <c r="C667" s="26" t="s">
        <v>7</v>
      </c>
      <c r="D667" s="26" t="s">
        <v>16</v>
      </c>
      <c r="E667" s="49" t="s">
        <v>126</v>
      </c>
      <c r="F667" s="28" t="e">
        <f ca="1">_xludf.ifna(VLOOKUP(G667,Proyectos!$A$2:$F$674,6,0),"")</f>
        <v>#NAME?</v>
      </c>
      <c r="G667" s="26" t="s">
        <v>5265</v>
      </c>
      <c r="H667" s="36">
        <v>0.1</v>
      </c>
      <c r="I667" s="31" t="s">
        <v>18</v>
      </c>
      <c r="J667" s="32"/>
      <c r="K667" s="32" t="str">
        <f t="shared" si="8"/>
        <v>Externo</v>
      </c>
      <c r="L667" s="32" t="e">
        <f ca="1">_xludf.ifna(VLOOKUP(E667,Parámetros!$D$2:$E$34,2,0),"")</f>
        <v>#NAME?</v>
      </c>
      <c r="M667" s="32" t="e">
        <f ca="1">_xludf.ifna(VLOOKUP(G667,Proyectos!$A$2:$T$674,20,0),"")</f>
        <v>#NAME?</v>
      </c>
      <c r="N667" s="32" t="e">
        <f ca="1">_xludf.ifna(VLOOKUP(G667,Proyectos!$A$2:$S$674,19,0))</f>
        <v>#NAME?</v>
      </c>
      <c r="O667" s="31"/>
      <c r="P667" s="33"/>
      <c r="Q667" s="33"/>
      <c r="R667" s="33"/>
      <c r="S667" s="33"/>
      <c r="T667" s="33"/>
      <c r="U667" s="33"/>
      <c r="V667" s="33"/>
      <c r="W667" s="33"/>
    </row>
    <row r="668" spans="1:23" ht="16.5" customHeight="1" x14ac:dyDescent="0.2">
      <c r="A668" s="49" t="s">
        <v>4899</v>
      </c>
      <c r="B668" s="26" t="s">
        <v>5273</v>
      </c>
      <c r="C668" s="26" t="s">
        <v>7</v>
      </c>
      <c r="D668" s="26" t="s">
        <v>16</v>
      </c>
      <c r="E668" s="49" t="s">
        <v>126</v>
      </c>
      <c r="F668" s="28" t="e">
        <f ca="1">_xludf.ifna(VLOOKUP(G668,Proyectos!$A$2:$F$674,6,0),"")</f>
        <v>#NAME?</v>
      </c>
      <c r="G668" s="26" t="s">
        <v>5267</v>
      </c>
      <c r="H668" s="36">
        <v>0.4</v>
      </c>
      <c r="I668" s="31" t="s">
        <v>18</v>
      </c>
      <c r="J668" s="32"/>
      <c r="K668" s="32" t="str">
        <f t="shared" si="8"/>
        <v>Externo</v>
      </c>
      <c r="L668" s="32" t="e">
        <f ca="1">_xludf.ifna(VLOOKUP(E668,Parámetros!$D$2:$E$34,2,0),"")</f>
        <v>#NAME?</v>
      </c>
      <c r="M668" s="32" t="e">
        <f ca="1">_xludf.ifna(VLOOKUP(G668,Proyectos!$A$2:$T$674,20,0),"")</f>
        <v>#NAME?</v>
      </c>
      <c r="N668" s="32" t="e">
        <f ca="1">_xludf.ifna(VLOOKUP(G668,Proyectos!$A$2:$S$674,19,0))</f>
        <v>#NAME?</v>
      </c>
      <c r="O668" s="31"/>
      <c r="P668" s="33"/>
      <c r="Q668" s="33"/>
      <c r="R668" s="33"/>
      <c r="S668" s="33"/>
      <c r="T668" s="33"/>
      <c r="U668" s="33"/>
      <c r="V668" s="33"/>
      <c r="W668" s="33"/>
    </row>
    <row r="669" spans="1:23" ht="16.5" customHeight="1" x14ac:dyDescent="0.2">
      <c r="A669" s="49" t="s">
        <v>3642</v>
      </c>
      <c r="B669" s="26" t="s">
        <v>5274</v>
      </c>
      <c r="C669" s="26" t="s">
        <v>7</v>
      </c>
      <c r="D669" s="26" t="s">
        <v>16</v>
      </c>
      <c r="E669" s="49" t="s">
        <v>39</v>
      </c>
      <c r="F669" s="28" t="e">
        <f ca="1">_xludf.ifna(VLOOKUP(G669,Proyectos!$A$2:$F$674,6,0),"")</f>
        <v>#NAME?</v>
      </c>
      <c r="G669" s="26" t="s">
        <v>5266</v>
      </c>
      <c r="H669" s="36">
        <v>0.8</v>
      </c>
      <c r="I669" s="31" t="s">
        <v>18</v>
      </c>
      <c r="J669" s="32"/>
      <c r="K669" s="32" t="str">
        <f t="shared" si="8"/>
        <v>Interno</v>
      </c>
      <c r="L669" s="32" t="e">
        <f ca="1">_xludf.ifna(VLOOKUP(E669,Parámetros!$D$2:$E$34,2,0),"")</f>
        <v>#NAME?</v>
      </c>
      <c r="M669" s="32" t="e">
        <f ca="1">_xludf.ifna(VLOOKUP(G669,Proyectos!$A$2:$T$674,20,0),"")</f>
        <v>#NAME?</v>
      </c>
      <c r="N669" s="32" t="e">
        <f ca="1">_xludf.ifna(VLOOKUP(G669,Proyectos!$A$2:$S$674,19,0))</f>
        <v>#NAME?</v>
      </c>
      <c r="O669" s="31"/>
      <c r="P669" s="33"/>
      <c r="Q669" s="33"/>
      <c r="R669" s="33"/>
      <c r="S669" s="33"/>
      <c r="T669" s="33"/>
      <c r="U669" s="33"/>
      <c r="V669" s="33"/>
      <c r="W669" s="33"/>
    </row>
    <row r="670" spans="1:23" ht="16.5" customHeight="1" x14ac:dyDescent="0.2">
      <c r="A670" s="49" t="s">
        <v>3642</v>
      </c>
      <c r="B670" s="26" t="s">
        <v>5274</v>
      </c>
      <c r="C670" s="26" t="s">
        <v>7</v>
      </c>
      <c r="D670" s="26" t="s">
        <v>16</v>
      </c>
      <c r="E670" s="49" t="s">
        <v>39</v>
      </c>
      <c r="F670" s="28" t="e">
        <f ca="1">_xludf.ifna(VLOOKUP(G670,Proyectos!$A$2:$F$674,6,0),"")</f>
        <v>#NAME?</v>
      </c>
      <c r="G670" s="26" t="s">
        <v>5265</v>
      </c>
      <c r="H670" s="36">
        <v>0.2</v>
      </c>
      <c r="I670" s="31" t="s">
        <v>18</v>
      </c>
      <c r="J670" s="32"/>
      <c r="K670" s="32" t="str">
        <f t="shared" si="8"/>
        <v>Interno</v>
      </c>
      <c r="L670" s="32" t="e">
        <f ca="1">_xludf.ifna(VLOOKUP(E670,Parámetros!$D$2:$E$34,2,0),"")</f>
        <v>#NAME?</v>
      </c>
      <c r="M670" s="32" t="e">
        <f ca="1">_xludf.ifna(VLOOKUP(G670,Proyectos!$A$2:$T$674,20,0),"")</f>
        <v>#NAME?</v>
      </c>
      <c r="N670" s="32" t="e">
        <f ca="1">_xludf.ifna(VLOOKUP(G670,Proyectos!$A$2:$S$674,19,0))</f>
        <v>#NAME?</v>
      </c>
      <c r="O670" s="31"/>
      <c r="P670" s="33"/>
      <c r="Q670" s="33"/>
      <c r="R670" s="33"/>
      <c r="S670" s="33"/>
      <c r="T670" s="33"/>
      <c r="U670" s="33"/>
      <c r="V670" s="33"/>
      <c r="W670" s="33"/>
    </row>
    <row r="671" spans="1:23" ht="16.5" customHeight="1" x14ac:dyDescent="0.2">
      <c r="A671" s="49" t="s">
        <v>3836</v>
      </c>
      <c r="B671" s="26" t="s">
        <v>5275</v>
      </c>
      <c r="C671" s="26" t="s">
        <v>7</v>
      </c>
      <c r="D671" s="26" t="s">
        <v>16</v>
      </c>
      <c r="E671" s="49" t="s">
        <v>39</v>
      </c>
      <c r="F671" s="28" t="e">
        <f ca="1">_xludf.ifna(VLOOKUP(G671,Proyectos!$A$2:$F$674,6,0),"")</f>
        <v>#NAME?</v>
      </c>
      <c r="G671" s="26" t="s">
        <v>5239</v>
      </c>
      <c r="H671" s="36">
        <v>0.4</v>
      </c>
      <c r="I671" s="31" t="s">
        <v>18</v>
      </c>
      <c r="J671" s="32"/>
      <c r="K671" s="32" t="str">
        <f t="shared" si="8"/>
        <v>Interno</v>
      </c>
      <c r="L671" s="32" t="e">
        <f ca="1">_xludf.ifna(VLOOKUP(E671,Parámetros!$D$2:$E$34,2,0),"")</f>
        <v>#NAME?</v>
      </c>
      <c r="M671" s="32" t="e">
        <f ca="1">_xludf.ifna(VLOOKUP(G671,Proyectos!$A$2:$T$674,20,0),"")</f>
        <v>#NAME?</v>
      </c>
      <c r="N671" s="32" t="e">
        <f ca="1">_xludf.ifna(VLOOKUP(G671,Proyectos!$A$2:$S$674,19,0))</f>
        <v>#NAME?</v>
      </c>
      <c r="O671" s="31"/>
      <c r="P671" s="33"/>
      <c r="Q671" s="33"/>
      <c r="R671" s="33"/>
      <c r="S671" s="33"/>
      <c r="T671" s="33"/>
      <c r="U671" s="33"/>
      <c r="V671" s="33"/>
      <c r="W671" s="33"/>
    </row>
    <row r="672" spans="1:23" ht="16.5" customHeight="1" x14ac:dyDescent="0.2">
      <c r="A672" s="49" t="s">
        <v>3836</v>
      </c>
      <c r="B672" s="26" t="s">
        <v>5275</v>
      </c>
      <c r="C672" s="26" t="s">
        <v>7</v>
      </c>
      <c r="D672" s="26" t="s">
        <v>16</v>
      </c>
      <c r="E672" s="49" t="s">
        <v>39</v>
      </c>
      <c r="F672" s="28" t="e">
        <f ca="1">_xludf.ifna(VLOOKUP(G672,Proyectos!$A$2:$F$674,6,0),"")</f>
        <v>#NAME?</v>
      </c>
      <c r="G672" s="26" t="s">
        <v>5269</v>
      </c>
      <c r="H672" s="36">
        <v>0.6</v>
      </c>
      <c r="I672" s="31" t="s">
        <v>18</v>
      </c>
      <c r="J672" s="32"/>
      <c r="K672" s="32" t="str">
        <f t="shared" si="8"/>
        <v>Interno</v>
      </c>
      <c r="L672" s="32" t="e">
        <f ca="1">_xludf.ifna(VLOOKUP(E672,Parámetros!$D$2:$E$34,2,0),"")</f>
        <v>#NAME?</v>
      </c>
      <c r="M672" s="32" t="e">
        <f ca="1">_xludf.ifna(VLOOKUP(G672,Proyectos!$A$2:$T$674,20,0),"")</f>
        <v>#NAME?</v>
      </c>
      <c r="N672" s="32" t="e">
        <f ca="1">_xludf.ifna(VLOOKUP(G672,Proyectos!$A$2:$S$674,19,0))</f>
        <v>#NAME?</v>
      </c>
      <c r="O672" s="31"/>
      <c r="P672" s="33"/>
      <c r="Q672" s="33"/>
      <c r="R672" s="33"/>
      <c r="S672" s="33"/>
      <c r="T672" s="33"/>
      <c r="U672" s="33"/>
      <c r="V672" s="33"/>
      <c r="W672" s="33"/>
    </row>
    <row r="673" spans="1:23" ht="16.5" customHeight="1" x14ac:dyDescent="0.2">
      <c r="A673" s="26" t="s">
        <v>4918</v>
      </c>
      <c r="B673" s="26" t="s">
        <v>5276</v>
      </c>
      <c r="C673" s="26" t="s">
        <v>7</v>
      </c>
      <c r="D673" s="26" t="s">
        <v>16</v>
      </c>
      <c r="E673" s="26" t="s">
        <v>87</v>
      </c>
      <c r="F673" s="28" t="e">
        <f ca="1">_xludf.ifna(VLOOKUP(G673,Proyectos!$A$2:$F$674,6,0),"")</f>
        <v>#NAME?</v>
      </c>
      <c r="G673" s="26" t="s">
        <v>5266</v>
      </c>
      <c r="H673" s="44">
        <v>0.6</v>
      </c>
      <c r="I673" s="31" t="s">
        <v>18</v>
      </c>
      <c r="J673" s="32"/>
      <c r="K673" s="32" t="str">
        <f t="shared" si="8"/>
        <v>Externo</v>
      </c>
      <c r="L673" s="32" t="e">
        <f ca="1">_xludf.ifna(VLOOKUP(E673,Parámetros!$D$2:$E$34,2,0),"")</f>
        <v>#NAME?</v>
      </c>
      <c r="M673" s="32" t="e">
        <f ca="1">_xludf.ifna(VLOOKUP(G673,Proyectos!$A$2:$T$674,20,0),"")</f>
        <v>#NAME?</v>
      </c>
      <c r="N673" s="32" t="e">
        <f ca="1">_xludf.ifna(VLOOKUP(G673,Proyectos!$A$2:$S$674,19,0))</f>
        <v>#NAME?</v>
      </c>
      <c r="O673" s="31"/>
      <c r="P673" s="33"/>
      <c r="Q673" s="33"/>
      <c r="R673" s="33"/>
      <c r="S673" s="33"/>
      <c r="T673" s="33"/>
      <c r="U673" s="33"/>
      <c r="V673" s="33"/>
      <c r="W673" s="33"/>
    </row>
    <row r="674" spans="1:23" ht="16.5" customHeight="1" x14ac:dyDescent="0.2">
      <c r="A674" s="26" t="s">
        <v>4918</v>
      </c>
      <c r="B674" s="26" t="s">
        <v>5276</v>
      </c>
      <c r="C674" s="26" t="s">
        <v>7</v>
      </c>
      <c r="D674" s="26" t="s">
        <v>16</v>
      </c>
      <c r="E674" s="26" t="s">
        <v>87</v>
      </c>
      <c r="F674" s="28" t="e">
        <f ca="1">_xludf.ifna(VLOOKUP(G674,Proyectos!$A$2:$F$674,6,0),"")</f>
        <v>#NAME?</v>
      </c>
      <c r="G674" s="26" t="s">
        <v>5265</v>
      </c>
      <c r="H674" s="44">
        <v>0.4</v>
      </c>
      <c r="I674" s="31" t="s">
        <v>18</v>
      </c>
      <c r="J674" s="32"/>
      <c r="K674" s="32" t="str">
        <f t="shared" si="8"/>
        <v>Externo</v>
      </c>
      <c r="L674" s="32" t="e">
        <f ca="1">_xludf.ifna(VLOOKUP(E674,Parámetros!$D$2:$E$34,2,0),"")</f>
        <v>#NAME?</v>
      </c>
      <c r="M674" s="32" t="e">
        <f ca="1">_xludf.ifna(VLOOKUP(G674,Proyectos!$A$2:$T$674,20,0),"")</f>
        <v>#NAME?</v>
      </c>
      <c r="N674" s="32" t="e">
        <f ca="1">_xludf.ifna(VLOOKUP(G674,Proyectos!$A$2:$S$674,19,0))</f>
        <v>#NAME?</v>
      </c>
      <c r="O674" s="31"/>
      <c r="P674" s="33"/>
      <c r="Q674" s="33"/>
      <c r="R674" s="33"/>
      <c r="S674" s="33"/>
      <c r="T674" s="33"/>
      <c r="U674" s="33"/>
      <c r="V674" s="33"/>
      <c r="W674" s="33"/>
    </row>
    <row r="675" spans="1:23" ht="16.5" customHeight="1" x14ac:dyDescent="0.2">
      <c r="A675" s="26" t="s">
        <v>4958</v>
      </c>
      <c r="B675" s="26" t="s">
        <v>4959</v>
      </c>
      <c r="C675" s="26" t="s">
        <v>7</v>
      </c>
      <c r="D675" s="26" t="s">
        <v>16</v>
      </c>
      <c r="E675" s="26" t="s">
        <v>126</v>
      </c>
      <c r="F675" s="28" t="e">
        <f ca="1">_xludf.ifna(VLOOKUP(G675,Proyectos!$A$2:$F$674,6,0),"")</f>
        <v>#NAME?</v>
      </c>
      <c r="G675" s="26" t="s">
        <v>5266</v>
      </c>
      <c r="H675" s="36">
        <v>0.3</v>
      </c>
      <c r="I675" s="31" t="s">
        <v>18</v>
      </c>
      <c r="J675" s="32"/>
      <c r="K675" s="32" t="str">
        <f t="shared" si="8"/>
        <v>Externo</v>
      </c>
      <c r="L675" s="32" t="e">
        <f ca="1">_xludf.ifna(VLOOKUP(E675,Parámetros!$D$2:$E$34,2,0),"")</f>
        <v>#NAME?</v>
      </c>
      <c r="M675" s="32" t="e">
        <f ca="1">_xludf.ifna(VLOOKUP(G675,Proyectos!$A$2:$T$674,20,0),"")</f>
        <v>#NAME?</v>
      </c>
      <c r="N675" s="32" t="e">
        <f ca="1">_xludf.ifna(VLOOKUP(G675,Proyectos!$A$2:$S$674,19,0))</f>
        <v>#NAME?</v>
      </c>
      <c r="O675" s="31"/>
      <c r="P675" s="33"/>
      <c r="Q675" s="33"/>
      <c r="R675" s="33"/>
      <c r="S675" s="33"/>
      <c r="T675" s="33"/>
      <c r="U675" s="33"/>
      <c r="V675" s="33"/>
      <c r="W675" s="33"/>
    </row>
    <row r="676" spans="1:23" ht="16.5" customHeight="1" x14ac:dyDescent="0.2">
      <c r="A676" s="26" t="s">
        <v>4958</v>
      </c>
      <c r="B676" s="26" t="s">
        <v>4959</v>
      </c>
      <c r="C676" s="26" t="s">
        <v>7</v>
      </c>
      <c r="D676" s="26" t="s">
        <v>16</v>
      </c>
      <c r="E676" s="26" t="s">
        <v>126</v>
      </c>
      <c r="F676" s="28" t="e">
        <f ca="1">_xludf.ifna(VLOOKUP(G676,Proyectos!$A$2:$F$674,6,0),"")</f>
        <v>#NAME?</v>
      </c>
      <c r="G676" s="26" t="s">
        <v>5265</v>
      </c>
      <c r="H676" s="36">
        <v>0.4</v>
      </c>
      <c r="I676" s="31" t="s">
        <v>18</v>
      </c>
      <c r="J676" s="32"/>
      <c r="K676" s="32" t="str">
        <f t="shared" si="8"/>
        <v>Externo</v>
      </c>
      <c r="L676" s="32" t="e">
        <f ca="1">_xludf.ifna(VLOOKUP(E676,Parámetros!$D$2:$E$34,2,0),"")</f>
        <v>#NAME?</v>
      </c>
      <c r="M676" s="32" t="e">
        <f ca="1">_xludf.ifna(VLOOKUP(G676,Proyectos!$A$2:$T$674,20,0),"")</f>
        <v>#NAME?</v>
      </c>
      <c r="N676" s="32" t="e">
        <f ca="1">_xludf.ifna(VLOOKUP(G676,Proyectos!$A$2:$S$674,19,0))</f>
        <v>#NAME?</v>
      </c>
      <c r="O676" s="31"/>
      <c r="P676" s="33"/>
      <c r="Q676" s="33"/>
      <c r="R676" s="33"/>
      <c r="S676" s="33"/>
      <c r="T676" s="33"/>
      <c r="U676" s="33"/>
      <c r="V676" s="33"/>
      <c r="W676" s="33"/>
    </row>
    <row r="677" spans="1:23" ht="16.5" customHeight="1" x14ac:dyDescent="0.2">
      <c r="A677" s="26" t="s">
        <v>4958</v>
      </c>
      <c r="B677" s="26" t="s">
        <v>4959</v>
      </c>
      <c r="C677" s="26" t="s">
        <v>7</v>
      </c>
      <c r="D677" s="26" t="s">
        <v>16</v>
      </c>
      <c r="E677" s="26" t="s">
        <v>126</v>
      </c>
      <c r="F677" s="28" t="e">
        <f ca="1">_xludf.ifna(VLOOKUP(G677,Proyectos!$A$2:$F$674,6,0),"")</f>
        <v>#NAME?</v>
      </c>
      <c r="G677" s="26" t="s">
        <v>5267</v>
      </c>
      <c r="H677" s="36">
        <v>0.3</v>
      </c>
      <c r="I677" s="31" t="s">
        <v>18</v>
      </c>
      <c r="J677" s="32"/>
      <c r="K677" s="32" t="str">
        <f t="shared" si="8"/>
        <v>Externo</v>
      </c>
      <c r="L677" s="32" t="e">
        <f ca="1">_xludf.ifna(VLOOKUP(E677,Parámetros!$D$2:$E$34,2,0),"")</f>
        <v>#NAME?</v>
      </c>
      <c r="M677" s="32" t="e">
        <f ca="1">_xludf.ifna(VLOOKUP(G677,Proyectos!$A$2:$T$674,20,0),"")</f>
        <v>#NAME?</v>
      </c>
      <c r="N677" s="32" t="e">
        <f ca="1">_xludf.ifna(VLOOKUP(G677,Proyectos!$A$2:$S$674,19,0))</f>
        <v>#NAME?</v>
      </c>
      <c r="O677" s="31"/>
      <c r="P677" s="33"/>
      <c r="Q677" s="33"/>
      <c r="R677" s="33"/>
      <c r="S677" s="33"/>
      <c r="T677" s="33"/>
      <c r="U677" s="33"/>
      <c r="V677" s="33"/>
      <c r="W677" s="33"/>
    </row>
    <row r="678" spans="1:23" ht="16.5" customHeight="1" x14ac:dyDescent="0.2">
      <c r="A678" s="26" t="s">
        <v>4936</v>
      </c>
      <c r="B678" s="26" t="s">
        <v>4937</v>
      </c>
      <c r="C678" s="26" t="s">
        <v>7</v>
      </c>
      <c r="D678" s="26" t="s">
        <v>16</v>
      </c>
      <c r="E678" s="26" t="s">
        <v>126</v>
      </c>
      <c r="F678" s="28" t="e">
        <f ca="1">_xludf.ifna(VLOOKUP(G678,Proyectos!$A$2:$F$674,6,0),"")</f>
        <v>#NAME?</v>
      </c>
      <c r="G678" s="26" t="s">
        <v>5266</v>
      </c>
      <c r="H678" s="65">
        <v>0.5</v>
      </c>
      <c r="I678" s="31" t="s">
        <v>18</v>
      </c>
      <c r="J678" s="32"/>
      <c r="K678" s="32" t="str">
        <f t="shared" si="8"/>
        <v>Externo</v>
      </c>
      <c r="L678" s="32" t="e">
        <f ca="1">_xludf.ifna(VLOOKUP(E678,Parámetros!$D$2:$E$34,2,0),"")</f>
        <v>#NAME?</v>
      </c>
      <c r="M678" s="32" t="e">
        <f ca="1">_xludf.ifna(VLOOKUP(G678,Proyectos!$A$2:$T$674,20,0),"")</f>
        <v>#NAME?</v>
      </c>
      <c r="N678" s="32" t="e">
        <f ca="1">_xludf.ifna(VLOOKUP(G678,Proyectos!$A$2:$S$674,19,0))</f>
        <v>#NAME?</v>
      </c>
      <c r="O678" s="31"/>
      <c r="P678" s="33"/>
      <c r="Q678" s="33"/>
      <c r="R678" s="33"/>
      <c r="S678" s="33"/>
      <c r="T678" s="33"/>
      <c r="U678" s="33"/>
      <c r="V678" s="33"/>
      <c r="W678" s="33"/>
    </row>
    <row r="679" spans="1:23" ht="16.5" customHeight="1" x14ac:dyDescent="0.2">
      <c r="A679" s="26" t="s">
        <v>4936</v>
      </c>
      <c r="B679" s="26" t="s">
        <v>4937</v>
      </c>
      <c r="C679" s="26" t="s">
        <v>7</v>
      </c>
      <c r="D679" s="26" t="s">
        <v>16</v>
      </c>
      <c r="E679" s="26" t="s">
        <v>126</v>
      </c>
      <c r="F679" s="28" t="e">
        <f ca="1">_xludf.ifna(VLOOKUP(G679,Proyectos!$A$2:$F$674,6,0),"")</f>
        <v>#NAME?</v>
      </c>
      <c r="G679" s="26" t="s">
        <v>5265</v>
      </c>
      <c r="H679" s="65">
        <v>0.5</v>
      </c>
      <c r="I679" s="31" t="s">
        <v>18</v>
      </c>
      <c r="J679" s="32"/>
      <c r="K679" s="32" t="str">
        <f t="shared" si="8"/>
        <v>Externo</v>
      </c>
      <c r="L679" s="32" t="e">
        <f ca="1">_xludf.ifna(VLOOKUP(E679,Parámetros!$D$2:$E$34,2,0),"")</f>
        <v>#NAME?</v>
      </c>
      <c r="M679" s="32" t="e">
        <f ca="1">_xludf.ifna(VLOOKUP(G679,Proyectos!$A$2:$T$674,20,0),"")</f>
        <v>#NAME?</v>
      </c>
      <c r="N679" s="32" t="e">
        <f ca="1">_xludf.ifna(VLOOKUP(G679,Proyectos!$A$2:$S$674,19,0))</f>
        <v>#NAME?</v>
      </c>
      <c r="O679" s="31"/>
      <c r="P679" s="33"/>
      <c r="Q679" s="33"/>
      <c r="R679" s="33"/>
      <c r="S679" s="33"/>
      <c r="T679" s="33"/>
      <c r="U679" s="33"/>
      <c r="V679" s="33"/>
      <c r="W679" s="33"/>
    </row>
    <row r="680" spans="1:23" ht="16.5" customHeight="1" x14ac:dyDescent="0.2">
      <c r="A680" s="26" t="s">
        <v>4041</v>
      </c>
      <c r="B680" s="26" t="s">
        <v>5277</v>
      </c>
      <c r="C680" s="26" t="s">
        <v>7</v>
      </c>
      <c r="D680" s="26" t="s">
        <v>16</v>
      </c>
      <c r="E680" s="26" t="s">
        <v>87</v>
      </c>
      <c r="F680" s="28" t="e">
        <f ca="1">_xludf.ifna(VLOOKUP(G680,Proyectos!$A$2:$F$674,6,0),"")</f>
        <v>#NAME?</v>
      </c>
      <c r="G680" s="26" t="s">
        <v>5266</v>
      </c>
      <c r="H680" s="48">
        <v>0.5</v>
      </c>
      <c r="I680" s="31" t="s">
        <v>18</v>
      </c>
      <c r="J680" s="32"/>
      <c r="K680" s="32" t="str">
        <f t="shared" ref="K680:K685" si="9">IF(E681="","",IF(E681="BBVA","Interno","Externo"))</f>
        <v>Externo</v>
      </c>
      <c r="L680" s="32" t="e">
        <f ca="1">_xludf.ifna(VLOOKUP(E680,Parámetros!$D$2:$E$34,2,0),"")</f>
        <v>#NAME?</v>
      </c>
      <c r="M680" s="32" t="e">
        <f ca="1">_xludf.ifna(VLOOKUP(G680,Proyectos!$A$2:$T$674,20,0),"")</f>
        <v>#NAME?</v>
      </c>
      <c r="N680" s="32" t="e">
        <f ca="1">_xludf.ifna(VLOOKUP(G680,Proyectos!$A$2:$S$674,19,0))</f>
        <v>#NAME?</v>
      </c>
      <c r="O680" s="31"/>
      <c r="P680" s="31"/>
      <c r="Q680" s="33"/>
      <c r="R680" s="33"/>
      <c r="S680" s="33"/>
      <c r="T680" s="33"/>
      <c r="U680" s="33"/>
      <c r="V680" s="33"/>
      <c r="W680" s="33"/>
    </row>
    <row r="681" spans="1:23" ht="16.5" customHeight="1" x14ac:dyDescent="0.2">
      <c r="A681" s="26" t="s">
        <v>4041</v>
      </c>
      <c r="B681" s="26" t="s">
        <v>5277</v>
      </c>
      <c r="C681" s="26" t="s">
        <v>7</v>
      </c>
      <c r="D681" s="26" t="s">
        <v>16</v>
      </c>
      <c r="E681" s="26" t="s">
        <v>87</v>
      </c>
      <c r="F681" s="28" t="e">
        <f ca="1">_xludf.ifna(VLOOKUP(G681,Proyectos!$A$2:$F$674,6,0),"")</f>
        <v>#NAME?</v>
      </c>
      <c r="G681" s="26" t="s">
        <v>5265</v>
      </c>
      <c r="H681" s="48">
        <v>0.5</v>
      </c>
      <c r="I681" s="31" t="s">
        <v>18</v>
      </c>
      <c r="J681" s="32"/>
      <c r="K681" s="32" t="str">
        <f t="shared" si="9"/>
        <v>Externo</v>
      </c>
      <c r="L681" s="32" t="e">
        <f ca="1">_xludf.ifna(VLOOKUP(E681,Parámetros!$D$2:$E$34,2,0),"")</f>
        <v>#NAME?</v>
      </c>
      <c r="M681" s="32" t="e">
        <f ca="1">_xludf.ifna(VLOOKUP(G681,Proyectos!$A$2:$T$674,20,0),"")</f>
        <v>#NAME?</v>
      </c>
      <c r="N681" s="32" t="e">
        <f ca="1">_xludf.ifna(VLOOKUP(G681,Proyectos!$A$2:$S$674,19,0))</f>
        <v>#NAME?</v>
      </c>
      <c r="O681" s="31"/>
      <c r="P681" s="31"/>
      <c r="Q681" s="33"/>
      <c r="R681" s="33"/>
      <c r="S681" s="33"/>
      <c r="T681" s="33"/>
      <c r="U681" s="33"/>
      <c r="V681" s="33"/>
      <c r="W681" s="33"/>
    </row>
    <row r="682" spans="1:23" ht="16.5" customHeight="1" x14ac:dyDescent="0.2">
      <c r="A682" s="26" t="s">
        <v>4191</v>
      </c>
      <c r="B682" s="26" t="s">
        <v>5278</v>
      </c>
      <c r="C682" s="26" t="s">
        <v>7</v>
      </c>
      <c r="D682" s="26" t="s">
        <v>16</v>
      </c>
      <c r="E682" s="26" t="s">
        <v>87</v>
      </c>
      <c r="F682" s="28" t="e">
        <f ca="1">_xludf.ifna(VLOOKUP(G682,Proyectos!$A$2:$F$674,6,0),"")</f>
        <v>#NAME?</v>
      </c>
      <c r="G682" s="26" t="s">
        <v>5265</v>
      </c>
      <c r="H682" s="48">
        <v>1</v>
      </c>
      <c r="I682" s="31" t="s">
        <v>18</v>
      </c>
      <c r="J682" s="32"/>
      <c r="K682" s="32" t="str">
        <f t="shared" si="9"/>
        <v>Externo</v>
      </c>
      <c r="L682" s="32" t="e">
        <f ca="1">_xludf.ifna(VLOOKUP(E682,Parámetros!$D$2:$E$34,2,0),"")</f>
        <v>#NAME?</v>
      </c>
      <c r="M682" s="32" t="e">
        <f ca="1">_xludf.ifna(VLOOKUP(G682,Proyectos!$A$2:$T$674,20,0),"")</f>
        <v>#NAME?</v>
      </c>
      <c r="N682" s="32" t="e">
        <f ca="1">_xludf.ifna(VLOOKUP(G682,Proyectos!$A$2:$S$674,19,0))</f>
        <v>#NAME?</v>
      </c>
      <c r="O682" s="31"/>
      <c r="P682" s="31"/>
      <c r="Q682" s="33"/>
      <c r="R682" s="33"/>
      <c r="S682" s="33"/>
      <c r="T682" s="33"/>
      <c r="U682" s="33"/>
      <c r="V682" s="33"/>
      <c r="W682" s="33"/>
    </row>
    <row r="683" spans="1:23" ht="16.5" customHeight="1" x14ac:dyDescent="0.2">
      <c r="A683" s="26" t="s">
        <v>4400</v>
      </c>
      <c r="B683" s="26" t="s">
        <v>5279</v>
      </c>
      <c r="C683" s="26" t="s">
        <v>7</v>
      </c>
      <c r="D683" s="26" t="s">
        <v>16</v>
      </c>
      <c r="E683" s="26" t="s">
        <v>106</v>
      </c>
      <c r="F683" s="28" t="e">
        <f ca="1">_xludf.ifna(VLOOKUP(G683,Proyectos!$A$2:$F$674,6,0),"")</f>
        <v>#NAME?</v>
      </c>
      <c r="G683" s="26" t="s">
        <v>5267</v>
      </c>
      <c r="H683" s="48">
        <v>1</v>
      </c>
      <c r="I683" s="31" t="s">
        <v>18</v>
      </c>
      <c r="J683" s="32"/>
      <c r="K683" s="32" t="str">
        <f t="shared" si="9"/>
        <v>Externo</v>
      </c>
      <c r="L683" s="32" t="e">
        <f ca="1">_xludf.ifna(VLOOKUP(E683,Parámetros!$D$2:$E$34,2,0),"")</f>
        <v>#NAME?</v>
      </c>
      <c r="M683" s="32" t="e">
        <f ca="1">_xludf.ifna(VLOOKUP(G683,Proyectos!$A$2:$T$674,20,0),"")</f>
        <v>#NAME?</v>
      </c>
      <c r="N683" s="32" t="e">
        <f ca="1">_xludf.ifna(VLOOKUP(G683,Proyectos!$A$2:$S$674,19,0))</f>
        <v>#NAME?</v>
      </c>
      <c r="O683" s="32"/>
      <c r="P683" s="31"/>
      <c r="Q683" s="33"/>
      <c r="R683" s="33"/>
      <c r="S683" s="33"/>
      <c r="T683" s="33"/>
      <c r="U683" s="33"/>
      <c r="V683" s="33"/>
      <c r="W683" s="33"/>
    </row>
    <row r="684" spans="1:23" ht="16.5" customHeight="1" x14ac:dyDescent="0.25">
      <c r="A684" s="74" t="s">
        <v>3996</v>
      </c>
      <c r="B684" s="26" t="s">
        <v>5280</v>
      </c>
      <c r="C684" s="26" t="s">
        <v>7</v>
      </c>
      <c r="D684" s="26" t="s">
        <v>16</v>
      </c>
      <c r="E684" s="26" t="s">
        <v>126</v>
      </c>
      <c r="F684" s="28" t="e">
        <f ca="1">_xludf.ifna(VLOOKUP(G684,Proyectos!$A$2:$F$674,6,0),"")</f>
        <v>#NAME?</v>
      </c>
      <c r="G684" s="26" t="s">
        <v>5265</v>
      </c>
      <c r="H684" s="48">
        <v>0.5</v>
      </c>
      <c r="I684" s="31" t="s">
        <v>18</v>
      </c>
      <c r="J684" s="32"/>
      <c r="K684" s="32" t="str">
        <f t="shared" si="9"/>
        <v>Externo</v>
      </c>
      <c r="L684" s="32" t="e">
        <f ca="1">_xludf.ifna(VLOOKUP(E684,Parámetros!$D$2:$E$34,2,0),"")</f>
        <v>#NAME?</v>
      </c>
      <c r="M684" s="32" t="e">
        <f ca="1">_xludf.ifna(VLOOKUP(G684,Proyectos!$A$2:$T$674,20,0),"")</f>
        <v>#NAME?</v>
      </c>
      <c r="N684" s="32" t="e">
        <f ca="1">_xludf.ifna(VLOOKUP(G684,Proyectos!$A$2:$S$674,19,0))</f>
        <v>#NAME?</v>
      </c>
      <c r="O684" s="32"/>
      <c r="P684" s="31"/>
      <c r="Q684" s="33"/>
      <c r="R684" s="33"/>
      <c r="S684" s="33"/>
      <c r="T684" s="33"/>
      <c r="U684" s="33"/>
      <c r="V684" s="33"/>
      <c r="W684" s="33"/>
    </row>
    <row r="685" spans="1:23" ht="16.5" customHeight="1" x14ac:dyDescent="0.2">
      <c r="A685" s="26" t="s">
        <v>3996</v>
      </c>
      <c r="B685" s="26" t="s">
        <v>5280</v>
      </c>
      <c r="C685" s="26" t="s">
        <v>7</v>
      </c>
      <c r="D685" s="26" t="s">
        <v>16</v>
      </c>
      <c r="E685" s="26" t="s">
        <v>126</v>
      </c>
      <c r="F685" s="28" t="e">
        <f ca="1">_xludf.ifna(VLOOKUP(G685,Proyectos!$A$2:$F$674,6,0),"")</f>
        <v>#NAME?</v>
      </c>
      <c r="G685" s="26" t="s">
        <v>5267</v>
      </c>
      <c r="H685" s="75">
        <v>0.3</v>
      </c>
      <c r="I685" s="31" t="s">
        <v>18</v>
      </c>
      <c r="J685" s="32"/>
      <c r="K685" s="32" t="str">
        <f t="shared" si="9"/>
        <v>Externo</v>
      </c>
      <c r="L685" s="32" t="e">
        <f ca="1">_xludf.ifna(VLOOKUP(E685,Parámetros!$D$2:$E$34,2,0),"")</f>
        <v>#NAME?</v>
      </c>
      <c r="M685" s="32" t="e">
        <f ca="1">_xludf.ifna(VLOOKUP(G685,Proyectos!$A$2:$T$674,20,0),"")</f>
        <v>#NAME?</v>
      </c>
      <c r="N685" s="32" t="e">
        <f ca="1">_xludf.ifna(VLOOKUP(G685,Proyectos!$A$2:$S$674,19,0))</f>
        <v>#NAME?</v>
      </c>
      <c r="O685" s="31"/>
      <c r="P685" s="31"/>
      <c r="Q685" s="33"/>
      <c r="R685" s="33"/>
      <c r="S685" s="33"/>
      <c r="T685" s="33"/>
      <c r="U685" s="33"/>
      <c r="V685" s="33"/>
      <c r="W685" s="33"/>
    </row>
    <row r="686" spans="1:23" ht="16.5" customHeight="1" x14ac:dyDescent="0.2">
      <c r="A686" s="26" t="s">
        <v>3996</v>
      </c>
      <c r="B686" s="26" t="s">
        <v>5280</v>
      </c>
      <c r="C686" s="26" t="s">
        <v>7</v>
      </c>
      <c r="D686" s="26" t="s">
        <v>16</v>
      </c>
      <c r="E686" s="26" t="s">
        <v>126</v>
      </c>
      <c r="F686" s="28" t="e">
        <f ca="1">_xludf.ifna(VLOOKUP(G686,Proyectos!$A$2:$F$674,6,0),"")</f>
        <v>#NAME?</v>
      </c>
      <c r="G686" s="26" t="s">
        <v>5266</v>
      </c>
      <c r="H686" s="75">
        <v>0.2</v>
      </c>
      <c r="I686" s="31" t="s">
        <v>18</v>
      </c>
      <c r="J686" s="32"/>
      <c r="K686" s="32"/>
      <c r="L686" s="32" t="e">
        <f ca="1">_xludf.ifna(VLOOKUP(E686,Parámetros!$D$2:$E$34,2,0),"")</f>
        <v>#NAME?</v>
      </c>
      <c r="M686" s="32" t="e">
        <f ca="1">_xludf.ifna(VLOOKUP(G686,Proyectos!$A$2:$T$674,20,0),"")</f>
        <v>#NAME?</v>
      </c>
      <c r="N686" s="32" t="e">
        <f ca="1">_xludf.ifna(VLOOKUP(G686,Proyectos!$A$2:$S$674,19,0))</f>
        <v>#NAME?</v>
      </c>
      <c r="O686" s="32"/>
      <c r="P686" s="31"/>
      <c r="Q686" s="33"/>
      <c r="R686" s="33"/>
      <c r="S686" s="33"/>
      <c r="T686" s="33"/>
      <c r="U686" s="33"/>
      <c r="V686" s="33"/>
      <c r="W686" s="33"/>
    </row>
    <row r="687" spans="1:23" ht="16.5" customHeight="1" x14ac:dyDescent="0.25">
      <c r="A687" s="76" t="s">
        <v>4328</v>
      </c>
      <c r="B687" s="76" t="s">
        <v>5281</v>
      </c>
      <c r="C687" s="26" t="s">
        <v>64</v>
      </c>
      <c r="D687" s="26" t="s">
        <v>92</v>
      </c>
      <c r="E687" s="26" t="s">
        <v>9</v>
      </c>
      <c r="F687" s="28" t="e">
        <f ca="1">_xludf.ifna(VLOOKUP(G687,Proyectos!$A$2:$F$674,6,0),"")</f>
        <v>#NAME?</v>
      </c>
      <c r="G687" s="77" t="s">
        <v>5282</v>
      </c>
      <c r="H687" s="68">
        <v>0.5</v>
      </c>
      <c r="I687" s="31" t="s">
        <v>18</v>
      </c>
      <c r="J687" s="31" t="s">
        <v>19</v>
      </c>
      <c r="K687" s="32"/>
      <c r="L687" s="32" t="e">
        <f ca="1">_xludf.ifna(VLOOKUP(E687,Parámetros!$D$2:$E$34,2,0),"")</f>
        <v>#NAME?</v>
      </c>
      <c r="M687" s="32" t="e">
        <f ca="1">_xludf.ifna(VLOOKUP(G687,Proyectos!$A$2:$T$674,20,0),"")</f>
        <v>#NAME?</v>
      </c>
      <c r="N687" s="32" t="e">
        <f ca="1">_xludf.ifna(VLOOKUP(G687,Proyectos!$A$2:$S$674,19,0))</f>
        <v>#NAME?</v>
      </c>
      <c r="O687" s="32"/>
      <c r="P687" s="31"/>
      <c r="Q687" s="33"/>
      <c r="R687" s="33"/>
      <c r="S687" s="33"/>
      <c r="T687" s="33"/>
      <c r="U687" s="33"/>
      <c r="V687" s="33"/>
      <c r="W687" s="33"/>
    </row>
    <row r="688" spans="1:23" ht="16.5" customHeight="1" x14ac:dyDescent="0.25">
      <c r="A688" s="76" t="s">
        <v>4010</v>
      </c>
      <c r="B688" s="76" t="s">
        <v>4011</v>
      </c>
      <c r="C688" s="26" t="s">
        <v>64</v>
      </c>
      <c r="D688" s="26" t="s">
        <v>92</v>
      </c>
      <c r="E688" s="26" t="s">
        <v>114</v>
      </c>
      <c r="F688" s="28" t="e">
        <f ca="1">_xludf.ifna(VLOOKUP(G688,Proyectos!$A$2:$F$674,6,0),"")</f>
        <v>#NAME?</v>
      </c>
      <c r="G688" s="77" t="s">
        <v>5282</v>
      </c>
      <c r="H688" s="68">
        <v>0.02</v>
      </c>
      <c r="I688" s="31" t="s">
        <v>25</v>
      </c>
      <c r="J688" s="47" t="s">
        <v>72</v>
      </c>
      <c r="K688" s="44"/>
      <c r="L688" s="32" t="e">
        <f ca="1">_xludf.ifna(VLOOKUP(E688,Parámetros!$D$2:$E$34,2,0),"")</f>
        <v>#NAME?</v>
      </c>
      <c r="M688" s="32" t="e">
        <f ca="1">_xludf.ifna(VLOOKUP(G688,Proyectos!$A$2:$T$674,20,0),"")</f>
        <v>#NAME?</v>
      </c>
      <c r="N688" s="32" t="e">
        <f ca="1">_xludf.ifna(VLOOKUP(G688,Proyectos!$A$2:$S$674,19,0))</f>
        <v>#NAME?</v>
      </c>
      <c r="O688" s="31"/>
      <c r="P688" s="31"/>
      <c r="Q688" s="33"/>
      <c r="R688" s="33"/>
      <c r="S688" s="33"/>
      <c r="T688" s="33"/>
      <c r="U688" s="33"/>
      <c r="V688" s="33"/>
      <c r="W688" s="33"/>
    </row>
    <row r="689" spans="1:23" ht="16.5" customHeight="1" x14ac:dyDescent="0.25">
      <c r="A689" s="76" t="s">
        <v>4743</v>
      </c>
      <c r="B689" s="76" t="s">
        <v>4744</v>
      </c>
      <c r="C689" s="26" t="s">
        <v>64</v>
      </c>
      <c r="D689" s="26" t="s">
        <v>92</v>
      </c>
      <c r="E689" s="26" t="s">
        <v>39</v>
      </c>
      <c r="F689" s="28" t="e">
        <f ca="1">_xludf.ifna(VLOOKUP(G689,Proyectos!$A$2:$F$674,6,0),"")</f>
        <v>#NAME?</v>
      </c>
      <c r="G689" s="77" t="s">
        <v>5282</v>
      </c>
      <c r="H689" s="68">
        <v>0.2</v>
      </c>
      <c r="I689" s="31" t="s">
        <v>11</v>
      </c>
      <c r="J689" s="27" t="s">
        <v>72</v>
      </c>
      <c r="K689" s="51"/>
      <c r="L689" s="32" t="e">
        <f ca="1">_xludf.ifna(VLOOKUP(E689,Parámetros!$D$2:$E$34,2,0),"")</f>
        <v>#NAME?</v>
      </c>
      <c r="M689" s="32" t="e">
        <f ca="1">_xludf.ifna(VLOOKUP(G689,Proyectos!$A$2:$T$674,20,0),"")</f>
        <v>#NAME?</v>
      </c>
      <c r="N689" s="32" t="e">
        <f ca="1">_xludf.ifna(VLOOKUP(G689,Proyectos!$A$2:$S$674,19,0))</f>
        <v>#NAME?</v>
      </c>
      <c r="O689" s="31"/>
      <c r="P689" s="31"/>
      <c r="Q689" s="33"/>
      <c r="R689" s="33"/>
      <c r="S689" s="33"/>
      <c r="T689" s="33"/>
      <c r="U689" s="33"/>
      <c r="V689" s="33"/>
      <c r="W689" s="33"/>
    </row>
    <row r="690" spans="1:23" ht="16.5" customHeight="1" x14ac:dyDescent="0.25">
      <c r="A690" s="76" t="s">
        <v>4677</v>
      </c>
      <c r="B690" s="76" t="s">
        <v>4678</v>
      </c>
      <c r="C690" s="26" t="s">
        <v>64</v>
      </c>
      <c r="D690" s="26" t="s">
        <v>92</v>
      </c>
      <c r="E690" s="26" t="s">
        <v>39</v>
      </c>
      <c r="F690" s="28" t="e">
        <f ca="1">_xludf.ifna(VLOOKUP(G690,Proyectos!$A$2:$F$674,6,0),"")</f>
        <v>#NAME?</v>
      </c>
      <c r="G690" s="77" t="s">
        <v>5282</v>
      </c>
      <c r="H690" s="68">
        <v>1</v>
      </c>
      <c r="I690" s="31" t="s">
        <v>18</v>
      </c>
      <c r="J690" s="31" t="s">
        <v>61</v>
      </c>
      <c r="K690" s="32"/>
      <c r="L690" s="32" t="e">
        <f ca="1">_xludf.ifna(VLOOKUP(E690,Parámetros!$D$2:$E$34,2,0),"")</f>
        <v>#NAME?</v>
      </c>
      <c r="M690" s="32" t="e">
        <f ca="1">_xludf.ifna(VLOOKUP(G690,Proyectos!$A$2:$T$674,20,0),"")</f>
        <v>#NAME?</v>
      </c>
      <c r="N690" s="32" t="e">
        <f ca="1">_xludf.ifna(VLOOKUP(G690,Proyectos!$A$2:$S$674,19,0))</f>
        <v>#NAME?</v>
      </c>
      <c r="O690" s="31"/>
      <c r="P690" s="31"/>
      <c r="Q690" s="33"/>
      <c r="R690" s="33"/>
      <c r="S690" s="33"/>
      <c r="T690" s="33"/>
      <c r="U690" s="33"/>
      <c r="V690" s="33"/>
      <c r="W690" s="33"/>
    </row>
    <row r="691" spans="1:23" ht="16.5" customHeight="1" x14ac:dyDescent="0.25">
      <c r="A691" s="76" t="s">
        <v>4942</v>
      </c>
      <c r="B691" s="76" t="s">
        <v>5283</v>
      </c>
      <c r="C691" s="26" t="s">
        <v>64</v>
      </c>
      <c r="D691" s="26" t="s">
        <v>92</v>
      </c>
      <c r="E691" s="26" t="s">
        <v>9</v>
      </c>
      <c r="F691" s="28" t="e">
        <f ca="1">_xludf.ifna(VLOOKUP(G691,Proyectos!$A$2:$F$674,6,0),"")</f>
        <v>#NAME?</v>
      </c>
      <c r="G691" s="77" t="s">
        <v>5282</v>
      </c>
      <c r="H691" s="68">
        <v>1</v>
      </c>
      <c r="I691" s="31" t="s">
        <v>18</v>
      </c>
      <c r="J691" s="31" t="s">
        <v>26</v>
      </c>
      <c r="K691" s="32"/>
      <c r="L691" s="32" t="e">
        <f ca="1">_xludf.ifna(VLOOKUP(E691,Parámetros!$D$2:$E$34,2,0),"")</f>
        <v>#NAME?</v>
      </c>
      <c r="M691" s="32" t="e">
        <f ca="1">_xludf.ifna(VLOOKUP(G691,Proyectos!$A$2:$T$674,20,0),"")</f>
        <v>#NAME?</v>
      </c>
      <c r="N691" s="32" t="e">
        <f ca="1">_xludf.ifna(VLOOKUP(G691,Proyectos!$A$2:$S$674,19,0))</f>
        <v>#NAME?</v>
      </c>
      <c r="O691" s="32"/>
      <c r="P691" s="31"/>
      <c r="Q691" s="33"/>
      <c r="R691" s="33"/>
      <c r="S691" s="33"/>
      <c r="T691" s="33"/>
      <c r="U691" s="33"/>
      <c r="V691" s="33"/>
      <c r="W691" s="33"/>
    </row>
    <row r="692" spans="1:23" ht="16.5" customHeight="1" x14ac:dyDescent="0.25">
      <c r="A692" s="76" t="s">
        <v>4637</v>
      </c>
      <c r="B692" s="76" t="s">
        <v>4638</v>
      </c>
      <c r="C692" s="26" t="s">
        <v>64</v>
      </c>
      <c r="D692" s="26" t="s">
        <v>92</v>
      </c>
      <c r="E692" s="26" t="s">
        <v>39</v>
      </c>
      <c r="F692" s="28" t="e">
        <f ca="1">_xludf.ifna(VLOOKUP(G692,Proyectos!$A$2:$F$674,6,0),"")</f>
        <v>#NAME?</v>
      </c>
      <c r="G692" s="77" t="s">
        <v>5282</v>
      </c>
      <c r="H692" s="68">
        <v>1</v>
      </c>
      <c r="I692" s="31" t="s">
        <v>18</v>
      </c>
      <c r="J692" s="31" t="s">
        <v>12</v>
      </c>
      <c r="K692" s="32"/>
      <c r="L692" s="32" t="e">
        <f ca="1">_xludf.ifna(VLOOKUP(E692,Parámetros!$D$2:$E$34,2,0),"")</f>
        <v>#NAME?</v>
      </c>
      <c r="M692" s="32" t="e">
        <f ca="1">_xludf.ifna(VLOOKUP(G692,Proyectos!$A$2:$T$674,20,0),"")</f>
        <v>#NAME?</v>
      </c>
      <c r="N692" s="32" t="e">
        <f ca="1">_xludf.ifna(VLOOKUP(G692,Proyectos!$A$2:$S$674,19,0))</f>
        <v>#NAME?</v>
      </c>
      <c r="O692" s="31"/>
      <c r="P692" s="31"/>
      <c r="Q692" s="33"/>
      <c r="R692" s="33"/>
      <c r="S692" s="33"/>
      <c r="T692" s="33"/>
      <c r="U692" s="33"/>
      <c r="V692" s="33"/>
      <c r="W692" s="33"/>
    </row>
    <row r="693" spans="1:23" ht="16.5" customHeight="1" x14ac:dyDescent="0.25">
      <c r="A693" s="76" t="s">
        <v>3777</v>
      </c>
      <c r="B693" s="76" t="s">
        <v>3778</v>
      </c>
      <c r="C693" s="26" t="s">
        <v>64</v>
      </c>
      <c r="D693" s="26" t="s">
        <v>92</v>
      </c>
      <c r="E693" s="26" t="s">
        <v>39</v>
      </c>
      <c r="F693" s="28" t="e">
        <f ca="1">_xludf.ifna(VLOOKUP(G693,Proyectos!$A$2:$F$674,6,0),"")</f>
        <v>#NAME?</v>
      </c>
      <c r="G693" s="77" t="s">
        <v>5282</v>
      </c>
      <c r="H693" s="68">
        <v>1</v>
      </c>
      <c r="I693" s="31" t="s">
        <v>18</v>
      </c>
      <c r="J693" s="31" t="s">
        <v>26</v>
      </c>
      <c r="K693" s="32"/>
      <c r="L693" s="32" t="e">
        <f ca="1">_xludf.ifna(VLOOKUP(E693,Parámetros!$D$2:$E$34,2,0),"")</f>
        <v>#NAME?</v>
      </c>
      <c r="M693" s="32" t="e">
        <f ca="1">_xludf.ifna(VLOOKUP(G693,Proyectos!$A$2:$T$674,20,0),"")</f>
        <v>#NAME?</v>
      </c>
      <c r="N693" s="32" t="e">
        <f ca="1">_xludf.ifna(VLOOKUP(G693,Proyectos!$A$2:$S$674,19,0))</f>
        <v>#NAME?</v>
      </c>
      <c r="O693" s="32"/>
      <c r="P693" s="31"/>
      <c r="Q693" s="33"/>
      <c r="R693" s="33"/>
      <c r="S693" s="33"/>
      <c r="T693" s="33"/>
      <c r="U693" s="33"/>
      <c r="V693" s="33"/>
      <c r="W693" s="33"/>
    </row>
    <row r="694" spans="1:23" ht="16.5" customHeight="1" x14ac:dyDescent="0.25">
      <c r="A694" s="76" t="s">
        <v>4950</v>
      </c>
      <c r="B694" s="76" t="s">
        <v>5284</v>
      </c>
      <c r="C694" s="26" t="s">
        <v>64</v>
      </c>
      <c r="D694" s="26" t="s">
        <v>92</v>
      </c>
      <c r="E694" s="26" t="s">
        <v>83</v>
      </c>
      <c r="F694" s="28" t="e">
        <f ca="1">_xludf.ifna(VLOOKUP(G694,Proyectos!$A$2:$F$674,6,0),"")</f>
        <v>#NAME?</v>
      </c>
      <c r="G694" s="77" t="s">
        <v>5282</v>
      </c>
      <c r="H694" s="68">
        <v>1</v>
      </c>
      <c r="I694" s="31" t="s">
        <v>25</v>
      </c>
      <c r="J694" s="31" t="s">
        <v>72</v>
      </c>
      <c r="K694" s="32"/>
      <c r="L694" s="32" t="e">
        <f ca="1">_xludf.ifna(VLOOKUP(E694,Parámetros!$D$2:$E$34,2,0),"")</f>
        <v>#NAME?</v>
      </c>
      <c r="M694" s="32" t="e">
        <f ca="1">_xludf.ifna(VLOOKUP(G694,Proyectos!$A$2:$T$674,20,0),"")</f>
        <v>#NAME?</v>
      </c>
      <c r="N694" s="32" t="e">
        <f ca="1">_xludf.ifna(VLOOKUP(G694,Proyectos!$A$2:$S$674,19,0))</f>
        <v>#NAME?</v>
      </c>
      <c r="O694" s="31"/>
      <c r="P694" s="31"/>
      <c r="Q694" s="33"/>
      <c r="R694" s="33"/>
      <c r="S694" s="33"/>
      <c r="T694" s="33"/>
      <c r="U694" s="33"/>
      <c r="V694" s="33"/>
      <c r="W694" s="33"/>
    </row>
    <row r="695" spans="1:23" ht="16.5" customHeight="1" x14ac:dyDescent="0.25">
      <c r="A695" s="76" t="s">
        <v>4493</v>
      </c>
      <c r="B695" s="76" t="s">
        <v>5285</v>
      </c>
      <c r="C695" s="26" t="s">
        <v>64</v>
      </c>
      <c r="D695" s="26" t="s">
        <v>92</v>
      </c>
      <c r="E695" s="26" t="s">
        <v>83</v>
      </c>
      <c r="F695" s="28" t="e">
        <f ca="1">_xludf.ifna(VLOOKUP(G695,Proyectos!$A$2:$F$674,6,0),"")</f>
        <v>#NAME?</v>
      </c>
      <c r="G695" s="77" t="s">
        <v>5282</v>
      </c>
      <c r="H695" s="68">
        <v>1</v>
      </c>
      <c r="I695" s="31" t="s">
        <v>25</v>
      </c>
      <c r="J695" s="31" t="s">
        <v>72</v>
      </c>
      <c r="K695" s="32"/>
      <c r="L695" s="32" t="e">
        <f ca="1">_xludf.ifna(VLOOKUP(E695,Parámetros!$D$2:$E$34,2,0),"")</f>
        <v>#NAME?</v>
      </c>
      <c r="M695" s="32" t="e">
        <f ca="1">_xludf.ifna(VLOOKUP(G695,Proyectos!$A$2:$T$674,20,0),"")</f>
        <v>#NAME?</v>
      </c>
      <c r="N695" s="32" t="e">
        <f ca="1">_xludf.ifna(VLOOKUP(G695,Proyectos!$A$2:$S$674,19,0))</f>
        <v>#NAME?</v>
      </c>
      <c r="O695" s="32"/>
      <c r="P695" s="31"/>
      <c r="Q695" s="33"/>
      <c r="R695" s="33"/>
      <c r="S695" s="33"/>
      <c r="T695" s="33"/>
      <c r="U695" s="33"/>
      <c r="V695" s="33"/>
      <c r="W695" s="33"/>
    </row>
    <row r="696" spans="1:23" ht="16.5" customHeight="1" x14ac:dyDescent="0.25">
      <c r="A696" s="76" t="s">
        <v>4010</v>
      </c>
      <c r="B696" s="76" t="s">
        <v>4011</v>
      </c>
      <c r="C696" s="26" t="s">
        <v>64</v>
      </c>
      <c r="D696" s="26" t="s">
        <v>92</v>
      </c>
      <c r="E696" s="26" t="s">
        <v>114</v>
      </c>
      <c r="F696" s="28" t="e">
        <f ca="1">_xludf.ifna(VLOOKUP(G696,Proyectos!$A$2:$F$674,6,0),"")</f>
        <v>#NAME?</v>
      </c>
      <c r="G696" s="77" t="s">
        <v>5217</v>
      </c>
      <c r="H696" s="68">
        <v>0.02</v>
      </c>
      <c r="I696" s="31" t="s">
        <v>25</v>
      </c>
      <c r="J696" s="31" t="s">
        <v>72</v>
      </c>
      <c r="K696" s="32"/>
      <c r="L696" s="32" t="e">
        <f ca="1">_xludf.ifna(VLOOKUP(E696,Parámetros!$D$2:$E$34,2,0),"")</f>
        <v>#NAME?</v>
      </c>
      <c r="M696" s="32" t="e">
        <f ca="1">_xludf.ifna(VLOOKUP(G696,Proyectos!$A$2:$T$674,20,0),"")</f>
        <v>#NAME?</v>
      </c>
      <c r="N696" s="32" t="e">
        <f ca="1">_xludf.ifna(VLOOKUP(G696,Proyectos!$A$2:$S$674,19,0))</f>
        <v>#NAME?</v>
      </c>
      <c r="O696" s="32"/>
      <c r="P696" s="31"/>
      <c r="Q696" s="33"/>
      <c r="R696" s="33"/>
      <c r="S696" s="33"/>
      <c r="T696" s="33"/>
      <c r="U696" s="33"/>
      <c r="V696" s="33"/>
      <c r="W696" s="33"/>
    </row>
    <row r="697" spans="1:23" ht="16.5" customHeight="1" x14ac:dyDescent="0.25">
      <c r="A697" s="76" t="s">
        <v>4821</v>
      </c>
      <c r="B697" s="76" t="s">
        <v>5286</v>
      </c>
      <c r="C697" s="26" t="s">
        <v>64</v>
      </c>
      <c r="D697" s="26" t="s">
        <v>92</v>
      </c>
      <c r="E697" s="26" t="s">
        <v>39</v>
      </c>
      <c r="F697" s="28" t="e">
        <f ca="1">_xludf.ifna(VLOOKUP(G697,Proyectos!$A$2:$F$674,6,0),"")</f>
        <v>#NAME?</v>
      </c>
      <c r="G697" s="77" t="s">
        <v>5217</v>
      </c>
      <c r="H697" s="68">
        <v>0.2</v>
      </c>
      <c r="I697" s="31" t="s">
        <v>11</v>
      </c>
      <c r="J697" s="31" t="s">
        <v>72</v>
      </c>
      <c r="K697" s="32"/>
      <c r="L697" s="32" t="e">
        <f ca="1">_xludf.ifna(VLOOKUP(E697,Parámetros!$D$2:$E$34,2,0),"")</f>
        <v>#NAME?</v>
      </c>
      <c r="M697" s="32" t="e">
        <f ca="1">_xludf.ifna(VLOOKUP(G697,Proyectos!$A$2:$T$674,20,0),"")</f>
        <v>#NAME?</v>
      </c>
      <c r="N697" s="32" t="e">
        <f ca="1">_xludf.ifna(VLOOKUP(G697,Proyectos!$A$2:$S$674,19,0))</f>
        <v>#NAME?</v>
      </c>
      <c r="O697" s="32"/>
      <c r="P697" s="31"/>
      <c r="Q697" s="33"/>
      <c r="R697" s="33"/>
      <c r="S697" s="33"/>
      <c r="T697" s="33"/>
      <c r="U697" s="33"/>
      <c r="V697" s="33"/>
      <c r="W697" s="33"/>
    </row>
    <row r="698" spans="1:23" ht="16.5" customHeight="1" x14ac:dyDescent="0.25">
      <c r="A698" s="76" t="s">
        <v>4859</v>
      </c>
      <c r="B698" s="76" t="s">
        <v>5287</v>
      </c>
      <c r="C698" s="26" t="s">
        <v>64</v>
      </c>
      <c r="D698" s="26" t="s">
        <v>92</v>
      </c>
      <c r="E698" s="26" t="s">
        <v>83</v>
      </c>
      <c r="F698" s="28" t="e">
        <f ca="1">_xludf.ifna(VLOOKUP(G698,Proyectos!$A$2:$F$674,6,0),"")</f>
        <v>#NAME?</v>
      </c>
      <c r="G698" s="77" t="s">
        <v>5217</v>
      </c>
      <c r="H698" s="68">
        <v>1</v>
      </c>
      <c r="I698" s="31" t="s">
        <v>25</v>
      </c>
      <c r="J698" s="31" t="s">
        <v>72</v>
      </c>
      <c r="K698" s="32"/>
      <c r="L698" s="32" t="e">
        <f ca="1">_xludf.ifna(VLOOKUP(E698,Parámetros!$D$2:$E$34,2,0),"")</f>
        <v>#NAME?</v>
      </c>
      <c r="M698" s="32" t="e">
        <f ca="1">_xludf.ifna(VLOOKUP(G698,Proyectos!$A$2:$T$674,20,0),"")</f>
        <v>#NAME?</v>
      </c>
      <c r="N698" s="32" t="e">
        <f ca="1">_xludf.ifna(VLOOKUP(G698,Proyectos!$A$2:$S$674,19,0))</f>
        <v>#NAME?</v>
      </c>
      <c r="O698" s="32"/>
      <c r="P698" s="31"/>
      <c r="Q698" s="33"/>
      <c r="R698" s="33"/>
      <c r="S698" s="33"/>
      <c r="T698" s="33"/>
      <c r="U698" s="33"/>
      <c r="V698" s="33"/>
      <c r="W698" s="33"/>
    </row>
    <row r="699" spans="1:23" ht="16.5" customHeight="1" x14ac:dyDescent="0.25">
      <c r="A699" s="76" t="s">
        <v>3976</v>
      </c>
      <c r="B699" s="76" t="s">
        <v>5288</v>
      </c>
      <c r="C699" s="26" t="s">
        <v>64</v>
      </c>
      <c r="D699" s="26" t="s">
        <v>92</v>
      </c>
      <c r="E699" s="26" t="s">
        <v>129</v>
      </c>
      <c r="F699" s="28" t="e">
        <f ca="1">_xludf.ifna(VLOOKUP(G699,Proyectos!$A$2:$F$674,6,0),"")</f>
        <v>#NAME?</v>
      </c>
      <c r="G699" s="77" t="s">
        <v>5217</v>
      </c>
      <c r="H699" s="68">
        <v>1</v>
      </c>
      <c r="I699" s="31" t="s">
        <v>18</v>
      </c>
      <c r="J699" s="31" t="s">
        <v>61</v>
      </c>
      <c r="K699" s="32"/>
      <c r="L699" s="32" t="e">
        <f ca="1">_xludf.ifna(VLOOKUP(E699,Parámetros!$D$2:$E$34,2,0),"")</f>
        <v>#NAME?</v>
      </c>
      <c r="M699" s="32" t="e">
        <f ca="1">_xludf.ifna(VLOOKUP(G699,Proyectos!$A$2:$T$674,20,0),"")</f>
        <v>#NAME?</v>
      </c>
      <c r="N699" s="32" t="e">
        <f ca="1">_xludf.ifna(VLOOKUP(G699,Proyectos!$A$2:$S$674,19,0))</f>
        <v>#NAME?</v>
      </c>
      <c r="O699" s="32"/>
      <c r="P699" s="31"/>
      <c r="Q699" s="33"/>
      <c r="R699" s="33"/>
      <c r="S699" s="33"/>
      <c r="T699" s="33"/>
      <c r="U699" s="33"/>
      <c r="V699" s="33"/>
      <c r="W699" s="33"/>
    </row>
    <row r="700" spans="1:23" ht="16.5" customHeight="1" x14ac:dyDescent="0.25">
      <c r="A700" s="76" t="s">
        <v>4450</v>
      </c>
      <c r="B700" s="76" t="s">
        <v>5289</v>
      </c>
      <c r="C700" s="26" t="s">
        <v>64</v>
      </c>
      <c r="D700" s="26" t="s">
        <v>92</v>
      </c>
      <c r="E700" s="26" t="s">
        <v>100</v>
      </c>
      <c r="F700" s="28" t="e">
        <f ca="1">_xludf.ifna(VLOOKUP(G700,Proyectos!$A$2:$F$674,6,0),"")</f>
        <v>#NAME?</v>
      </c>
      <c r="G700" s="77" t="s">
        <v>5217</v>
      </c>
      <c r="H700" s="68">
        <v>1</v>
      </c>
      <c r="I700" s="31" t="s">
        <v>18</v>
      </c>
      <c r="J700" s="31" t="s">
        <v>26</v>
      </c>
      <c r="K700" s="32"/>
      <c r="L700" s="32" t="e">
        <f ca="1">_xludf.ifna(VLOOKUP(E700,Parámetros!$D$2:$E$34,2,0),"")</f>
        <v>#NAME?</v>
      </c>
      <c r="M700" s="32" t="e">
        <f ca="1">_xludf.ifna(VLOOKUP(G700,Proyectos!$A$2:$T$674,20,0),"")</f>
        <v>#NAME?</v>
      </c>
      <c r="N700" s="32" t="e">
        <f ca="1">_xludf.ifna(VLOOKUP(G700,Proyectos!$A$2:$S$674,19,0))</f>
        <v>#NAME?</v>
      </c>
      <c r="O700" s="32"/>
      <c r="P700" s="31"/>
      <c r="Q700" s="33"/>
      <c r="R700" s="33"/>
      <c r="S700" s="33"/>
      <c r="T700" s="33"/>
      <c r="U700" s="33"/>
      <c r="V700" s="33"/>
      <c r="W700" s="33"/>
    </row>
    <row r="701" spans="1:23" ht="16.5" customHeight="1" x14ac:dyDescent="0.25">
      <c r="A701" s="76" t="s">
        <v>4452</v>
      </c>
      <c r="B701" s="76" t="s">
        <v>5290</v>
      </c>
      <c r="C701" s="26" t="s">
        <v>64</v>
      </c>
      <c r="D701" s="26" t="s">
        <v>92</v>
      </c>
      <c r="E701" s="26" t="s">
        <v>100</v>
      </c>
      <c r="F701" s="28" t="e">
        <f ca="1">_xludf.ifna(VLOOKUP(G701,Proyectos!$A$2:$F$674,6,0),"")</f>
        <v>#NAME?</v>
      </c>
      <c r="G701" s="77" t="s">
        <v>5217</v>
      </c>
      <c r="H701" s="68">
        <v>1</v>
      </c>
      <c r="I701" s="31" t="s">
        <v>18</v>
      </c>
      <c r="J701" s="31" t="s">
        <v>12</v>
      </c>
      <c r="K701" s="32"/>
      <c r="L701" s="32" t="e">
        <f ca="1">_xludf.ifna(VLOOKUP(E701,Parámetros!$D$2:$E$34,2,0),"")</f>
        <v>#NAME?</v>
      </c>
      <c r="M701" s="32" t="e">
        <f ca="1">_xludf.ifna(VLOOKUP(G701,Proyectos!$A$2:$T$674,20,0),"")</f>
        <v>#NAME?</v>
      </c>
      <c r="N701" s="32" t="e">
        <f ca="1">_xludf.ifna(VLOOKUP(G701,Proyectos!$A$2:$S$674,19,0))</f>
        <v>#NAME?</v>
      </c>
      <c r="O701" s="32"/>
      <c r="P701" s="31"/>
      <c r="Q701" s="33"/>
      <c r="R701" s="33"/>
      <c r="S701" s="33"/>
      <c r="T701" s="33"/>
      <c r="U701" s="33"/>
      <c r="V701" s="33"/>
      <c r="W701" s="33"/>
    </row>
    <row r="702" spans="1:23" ht="16.5" customHeight="1" x14ac:dyDescent="0.25">
      <c r="A702" s="76" t="s">
        <v>3817</v>
      </c>
      <c r="B702" s="76" t="s">
        <v>5291</v>
      </c>
      <c r="C702" s="26" t="s">
        <v>64</v>
      </c>
      <c r="D702" s="26" t="s">
        <v>92</v>
      </c>
      <c r="E702" s="26" t="s">
        <v>39</v>
      </c>
      <c r="F702" s="28" t="e">
        <f ca="1">_xludf.ifna(VLOOKUP(G702,Proyectos!$A$2:$F$674,6,0),"")</f>
        <v>#NAME?</v>
      </c>
      <c r="G702" s="77" t="s">
        <v>5217</v>
      </c>
      <c r="H702" s="68">
        <v>1</v>
      </c>
      <c r="I702" s="31" t="s">
        <v>18</v>
      </c>
      <c r="J702" s="31" t="s">
        <v>26</v>
      </c>
      <c r="K702" s="32"/>
      <c r="L702" s="32" t="e">
        <f ca="1">_xludf.ifna(VLOOKUP(E702,Parámetros!$D$2:$E$34,2,0),"")</f>
        <v>#NAME?</v>
      </c>
      <c r="M702" s="32" t="e">
        <f ca="1">_xludf.ifna(VLOOKUP(G702,Proyectos!$A$2:$T$674,20,0),"")</f>
        <v>#NAME?</v>
      </c>
      <c r="N702" s="32" t="e">
        <f ca="1">_xludf.ifna(VLOOKUP(G702,Proyectos!$A$2:$S$674,19,0))</f>
        <v>#NAME?</v>
      </c>
      <c r="O702" s="31"/>
      <c r="P702" s="31"/>
      <c r="Q702" s="33"/>
      <c r="R702" s="33"/>
      <c r="S702" s="33"/>
      <c r="T702" s="33"/>
      <c r="U702" s="33"/>
      <c r="V702" s="33"/>
      <c r="W702" s="33"/>
    </row>
    <row r="703" spans="1:23" ht="16.5" customHeight="1" x14ac:dyDescent="0.25">
      <c r="A703" s="76" t="s">
        <v>4448</v>
      </c>
      <c r="B703" s="76" t="s">
        <v>5292</v>
      </c>
      <c r="C703" s="26" t="s">
        <v>64</v>
      </c>
      <c r="D703" s="26" t="s">
        <v>92</v>
      </c>
      <c r="E703" s="26" t="s">
        <v>100</v>
      </c>
      <c r="F703" s="28" t="e">
        <f ca="1">_xludf.ifna(VLOOKUP(G703,Proyectos!$A$2:$F$674,6,0),"")</f>
        <v>#NAME?</v>
      </c>
      <c r="G703" s="77" t="s">
        <v>5217</v>
      </c>
      <c r="H703" s="68">
        <v>1</v>
      </c>
      <c r="I703" s="31" t="s">
        <v>18</v>
      </c>
      <c r="J703" s="31" t="s">
        <v>26</v>
      </c>
      <c r="K703" s="32"/>
      <c r="L703" s="32" t="e">
        <f ca="1">_xludf.ifna(VLOOKUP(E703,Parámetros!$D$2:$E$34,2,0),"")</f>
        <v>#NAME?</v>
      </c>
      <c r="M703" s="32" t="e">
        <f ca="1">_xludf.ifna(VLOOKUP(G703,Proyectos!$A$2:$T$674,20,0),"")</f>
        <v>#NAME?</v>
      </c>
      <c r="N703" s="32" t="e">
        <f ca="1">_xludf.ifna(VLOOKUP(G703,Proyectos!$A$2:$S$674,19,0))</f>
        <v>#NAME?</v>
      </c>
      <c r="O703" s="32"/>
      <c r="P703" s="31"/>
      <c r="Q703" s="33"/>
      <c r="R703" s="33"/>
      <c r="S703" s="33"/>
      <c r="T703" s="33"/>
      <c r="U703" s="33"/>
      <c r="V703" s="33"/>
      <c r="W703" s="33"/>
    </row>
    <row r="704" spans="1:23" ht="16.5" customHeight="1" x14ac:dyDescent="0.25">
      <c r="A704" s="76" t="s">
        <v>4010</v>
      </c>
      <c r="B704" s="76" t="s">
        <v>4011</v>
      </c>
      <c r="C704" s="26" t="s">
        <v>64</v>
      </c>
      <c r="D704" s="26" t="s">
        <v>92</v>
      </c>
      <c r="E704" s="26" t="s">
        <v>114</v>
      </c>
      <c r="F704" s="28" t="e">
        <f ca="1">_xludf.ifna(VLOOKUP(G704,Proyectos!$A$2:$F$674,6,0),"")</f>
        <v>#NAME?</v>
      </c>
      <c r="G704" s="77" t="s">
        <v>5218</v>
      </c>
      <c r="H704" s="68">
        <v>0.02</v>
      </c>
      <c r="I704" s="31" t="s">
        <v>25</v>
      </c>
      <c r="J704" s="31" t="s">
        <v>72</v>
      </c>
      <c r="K704" s="32"/>
      <c r="L704" s="32" t="e">
        <f ca="1">_xludf.ifna(VLOOKUP(E704,Parámetros!$D$2:$E$34,2,0),"")</f>
        <v>#NAME?</v>
      </c>
      <c r="M704" s="32" t="e">
        <f ca="1">_xludf.ifna(VLOOKUP(G704,Proyectos!$A$2:$T$674,20,0),"")</f>
        <v>#NAME?</v>
      </c>
      <c r="N704" s="32" t="e">
        <f ca="1">_xludf.ifna(VLOOKUP(G704,Proyectos!$A$2:$S$674,19,0))</f>
        <v>#NAME?</v>
      </c>
      <c r="O704" s="32"/>
      <c r="P704" s="31"/>
      <c r="Q704" s="33"/>
      <c r="R704" s="33"/>
      <c r="S704" s="33"/>
      <c r="T704" s="33"/>
      <c r="U704" s="33"/>
      <c r="V704" s="33"/>
      <c r="W704" s="33"/>
    </row>
    <row r="705" spans="1:23" ht="16.5" customHeight="1" x14ac:dyDescent="0.25">
      <c r="A705" s="76" t="s">
        <v>4821</v>
      </c>
      <c r="B705" s="76" t="s">
        <v>5286</v>
      </c>
      <c r="C705" s="26" t="s">
        <v>64</v>
      </c>
      <c r="D705" s="26" t="s">
        <v>92</v>
      </c>
      <c r="E705" s="26" t="s">
        <v>39</v>
      </c>
      <c r="F705" s="28" t="e">
        <f ca="1">_xludf.ifna(VLOOKUP(G705,Proyectos!$A$2:$F$674,6,0),"")</f>
        <v>#NAME?</v>
      </c>
      <c r="G705" s="77" t="s">
        <v>5218</v>
      </c>
      <c r="H705" s="68">
        <v>0.2</v>
      </c>
      <c r="I705" s="31" t="s">
        <v>11</v>
      </c>
      <c r="J705" s="31" t="s">
        <v>72</v>
      </c>
      <c r="K705" s="32"/>
      <c r="L705" s="32" t="e">
        <f ca="1">_xludf.ifna(VLOOKUP(E705,Parámetros!$D$2:$E$34,2,0),"")</f>
        <v>#NAME?</v>
      </c>
      <c r="M705" s="32" t="e">
        <f ca="1">_xludf.ifna(VLOOKUP(G705,Proyectos!$A$2:$T$674,20,0),"")</f>
        <v>#NAME?</v>
      </c>
      <c r="N705" s="32" t="e">
        <f ca="1">_xludf.ifna(VLOOKUP(G705,Proyectos!$A$2:$S$674,19,0))</f>
        <v>#NAME?</v>
      </c>
      <c r="O705" s="32"/>
      <c r="P705" s="31"/>
      <c r="Q705" s="33"/>
      <c r="R705" s="33"/>
      <c r="S705" s="33"/>
      <c r="T705" s="33"/>
      <c r="U705" s="33"/>
      <c r="V705" s="33"/>
      <c r="W705" s="33"/>
    </row>
    <row r="706" spans="1:23" ht="16.5" customHeight="1" x14ac:dyDescent="0.25">
      <c r="A706" s="76" t="s">
        <v>3522</v>
      </c>
      <c r="B706" s="76" t="s">
        <v>3523</v>
      </c>
      <c r="C706" s="26" t="s">
        <v>64</v>
      </c>
      <c r="D706" s="26" t="s">
        <v>92</v>
      </c>
      <c r="E706" s="26" t="s">
        <v>39</v>
      </c>
      <c r="F706" s="28" t="e">
        <f ca="1">_xludf.ifna(VLOOKUP(G706,Proyectos!$A$2:$F$674,6,0),"")</f>
        <v>#NAME?</v>
      </c>
      <c r="G706" s="77" t="s">
        <v>5218</v>
      </c>
      <c r="H706" s="68">
        <v>1</v>
      </c>
      <c r="I706" s="31" t="s">
        <v>18</v>
      </c>
      <c r="J706" s="31" t="s">
        <v>26</v>
      </c>
      <c r="K706" s="32"/>
      <c r="L706" s="32" t="e">
        <f ca="1">_xludf.ifna(VLOOKUP(E706,Parámetros!$D$2:$E$34,2,0),"")</f>
        <v>#NAME?</v>
      </c>
      <c r="M706" s="32" t="e">
        <f ca="1">_xludf.ifna(VLOOKUP(G706,Proyectos!$A$2:$T$674,20,0),"")</f>
        <v>#NAME?</v>
      </c>
      <c r="N706" s="32" t="e">
        <f ca="1">_xludf.ifna(VLOOKUP(G706,Proyectos!$A$2:$S$674,19,0))</f>
        <v>#NAME?</v>
      </c>
      <c r="O706" s="32"/>
      <c r="P706" s="31"/>
      <c r="Q706" s="33"/>
      <c r="R706" s="33"/>
      <c r="S706" s="33"/>
      <c r="T706" s="33"/>
      <c r="U706" s="33"/>
      <c r="V706" s="33"/>
      <c r="W706" s="33"/>
    </row>
    <row r="707" spans="1:23" ht="16.5" customHeight="1" x14ac:dyDescent="0.25">
      <c r="A707" s="76" t="s">
        <v>4986</v>
      </c>
      <c r="B707" s="76" t="s">
        <v>5293</v>
      </c>
      <c r="C707" s="26" t="s">
        <v>64</v>
      </c>
      <c r="D707" s="26" t="s">
        <v>92</v>
      </c>
      <c r="E707" s="26" t="s">
        <v>83</v>
      </c>
      <c r="F707" s="28" t="e">
        <f ca="1">_xludf.ifna(VLOOKUP(G707,Proyectos!$A$2:$F$674,6,0),"")</f>
        <v>#NAME?</v>
      </c>
      <c r="G707" s="77" t="s">
        <v>5218</v>
      </c>
      <c r="H707" s="68">
        <v>1</v>
      </c>
      <c r="I707" s="31" t="s">
        <v>25</v>
      </c>
      <c r="J707" s="31" t="s">
        <v>72</v>
      </c>
      <c r="K707" s="32"/>
      <c r="L707" s="32" t="e">
        <f ca="1">_xludf.ifna(VLOOKUP(E707,Parámetros!$D$2:$E$34,2,0),"")</f>
        <v>#NAME?</v>
      </c>
      <c r="M707" s="32" t="e">
        <f ca="1">_xludf.ifna(VLOOKUP(G707,Proyectos!$A$2:$T$674,20,0),"")</f>
        <v>#NAME?</v>
      </c>
      <c r="N707" s="32" t="e">
        <f ca="1">_xludf.ifna(VLOOKUP(G707,Proyectos!$A$2:$S$674,19,0))</f>
        <v>#NAME?</v>
      </c>
      <c r="O707" s="32"/>
      <c r="P707" s="31"/>
      <c r="Q707" s="33"/>
      <c r="R707" s="33"/>
      <c r="S707" s="33"/>
      <c r="T707" s="33"/>
      <c r="U707" s="33"/>
      <c r="V707" s="33"/>
      <c r="W707" s="33"/>
    </row>
    <row r="708" spans="1:23" ht="16.5" customHeight="1" x14ac:dyDescent="0.25">
      <c r="A708" s="35"/>
      <c r="B708" s="76" t="s">
        <v>5294</v>
      </c>
      <c r="C708" s="26" t="s">
        <v>64</v>
      </c>
      <c r="D708" s="26" t="s">
        <v>92</v>
      </c>
      <c r="E708" s="26" t="s">
        <v>9</v>
      </c>
      <c r="F708" s="28" t="e">
        <f ca="1">_xludf.ifna(VLOOKUP(G708,Proyectos!$A$2:$F$674,6,0),"")</f>
        <v>#NAME?</v>
      </c>
      <c r="G708" s="77" t="s">
        <v>5218</v>
      </c>
      <c r="H708" s="68">
        <v>1</v>
      </c>
      <c r="I708" s="31" t="s">
        <v>18</v>
      </c>
      <c r="J708" s="31" t="s">
        <v>26</v>
      </c>
      <c r="K708" s="32"/>
      <c r="L708" s="32" t="e">
        <f ca="1">_xludf.ifna(VLOOKUP(E708,Parámetros!$D$2:$E$34,2,0),"")</f>
        <v>#NAME?</v>
      </c>
      <c r="M708" s="32" t="e">
        <f ca="1">_xludf.ifna(VLOOKUP(G708,Proyectos!$A$2:$T$674,20,0),"")</f>
        <v>#NAME?</v>
      </c>
      <c r="N708" s="32" t="e">
        <f ca="1">_xludf.ifna(VLOOKUP(G708,Proyectos!$A$2:$S$674,19,0))</f>
        <v>#NAME?</v>
      </c>
      <c r="O708" s="32"/>
      <c r="P708" s="31"/>
      <c r="Q708" s="33"/>
      <c r="R708" s="33"/>
      <c r="S708" s="33"/>
      <c r="T708" s="33"/>
      <c r="U708" s="33"/>
      <c r="V708" s="33"/>
      <c r="W708" s="33"/>
    </row>
    <row r="709" spans="1:23" ht="16.5" customHeight="1" x14ac:dyDescent="0.25">
      <c r="A709" s="76" t="s">
        <v>4821</v>
      </c>
      <c r="B709" s="76" t="s">
        <v>5286</v>
      </c>
      <c r="C709" s="26" t="s">
        <v>64</v>
      </c>
      <c r="D709" s="26" t="s">
        <v>92</v>
      </c>
      <c r="E709" s="26" t="s">
        <v>39</v>
      </c>
      <c r="F709" s="28" t="e">
        <f ca="1">_xludf.ifna(VLOOKUP(G709,Proyectos!$A$2:$F$674,6,0),"")</f>
        <v>#NAME?</v>
      </c>
      <c r="G709" s="77" t="s">
        <v>5295</v>
      </c>
      <c r="H709" s="68">
        <v>0.2</v>
      </c>
      <c r="I709" s="31" t="s">
        <v>11</v>
      </c>
      <c r="J709" s="31" t="s">
        <v>72</v>
      </c>
      <c r="K709" s="32"/>
      <c r="L709" s="32" t="e">
        <f ca="1">_xludf.ifna(VLOOKUP(E709,Parámetros!$D$2:$E$34,2,0),"")</f>
        <v>#NAME?</v>
      </c>
      <c r="M709" s="32" t="e">
        <f ca="1">_xludf.ifna(VLOOKUP(G709,Proyectos!$A$2:$T$674,20,0),"")</f>
        <v>#NAME?</v>
      </c>
      <c r="N709" s="32" t="e">
        <f ca="1">_xludf.ifna(VLOOKUP(G709,Proyectos!$A$2:$S$674,19,0))</f>
        <v>#NAME?</v>
      </c>
      <c r="O709" s="32"/>
      <c r="P709" s="31"/>
      <c r="Q709" s="33"/>
      <c r="R709" s="33"/>
      <c r="S709" s="33">
        <v>2</v>
      </c>
      <c r="T709" s="33"/>
      <c r="U709" s="33"/>
      <c r="V709" s="33"/>
      <c r="W709" s="33"/>
    </row>
    <row r="710" spans="1:23" ht="16.5" customHeight="1" x14ac:dyDescent="0.25">
      <c r="A710" s="76" t="s">
        <v>4833</v>
      </c>
      <c r="B710" s="76" t="s">
        <v>5296</v>
      </c>
      <c r="C710" s="26" t="s">
        <v>64</v>
      </c>
      <c r="D710" s="26" t="s">
        <v>92</v>
      </c>
      <c r="E710" s="26" t="s">
        <v>106</v>
      </c>
      <c r="F710" s="28" t="e">
        <f ca="1">_xludf.ifna(VLOOKUP(G710,Proyectos!$A$2:$F$674,6,0),"")</f>
        <v>#NAME?</v>
      </c>
      <c r="G710" s="77" t="s">
        <v>5295</v>
      </c>
      <c r="H710" s="68">
        <v>1</v>
      </c>
      <c r="I710" s="31" t="s">
        <v>18</v>
      </c>
      <c r="J710" s="31" t="s">
        <v>26</v>
      </c>
      <c r="K710" s="32"/>
      <c r="L710" s="32" t="e">
        <f ca="1">_xludf.ifna(VLOOKUP(E710,Parámetros!$D$2:$E$34,2,0),"")</f>
        <v>#NAME?</v>
      </c>
      <c r="M710" s="32" t="e">
        <f ca="1">_xludf.ifna(VLOOKUP(G710,Proyectos!$A$2:$T$674,20,0),"")</f>
        <v>#NAME?</v>
      </c>
      <c r="N710" s="32" t="e">
        <f ca="1">_xludf.ifna(VLOOKUP(G710,Proyectos!$A$2:$S$674,19,0))</f>
        <v>#NAME?</v>
      </c>
      <c r="O710" s="32"/>
      <c r="P710" s="31"/>
      <c r="Q710" s="33"/>
      <c r="R710" s="33"/>
      <c r="S710" s="33">
        <v>2</v>
      </c>
      <c r="T710" s="33"/>
      <c r="U710" s="33"/>
      <c r="V710" s="33"/>
      <c r="W710" s="33"/>
    </row>
    <row r="711" spans="1:23" ht="16.5" customHeight="1" x14ac:dyDescent="0.25">
      <c r="A711" s="76" t="s">
        <v>4715</v>
      </c>
      <c r="B711" s="76" t="s">
        <v>4716</v>
      </c>
      <c r="C711" s="26" t="s">
        <v>64</v>
      </c>
      <c r="D711" s="26" t="s">
        <v>92</v>
      </c>
      <c r="E711" s="26" t="s">
        <v>39</v>
      </c>
      <c r="F711" s="28" t="e">
        <f ca="1">_xludf.ifna(VLOOKUP(G711,Proyectos!$A$2:$F$674,6,0),"")</f>
        <v>#NAME?</v>
      </c>
      <c r="G711" s="77" t="s">
        <v>5295</v>
      </c>
      <c r="H711" s="68">
        <v>1</v>
      </c>
      <c r="I711" s="31" t="s">
        <v>18</v>
      </c>
      <c r="J711" s="31" t="s">
        <v>12</v>
      </c>
      <c r="K711" s="32"/>
      <c r="L711" s="32" t="e">
        <f ca="1">_xludf.ifna(VLOOKUP(E711,Parámetros!$D$2:$E$34,2,0),"")</f>
        <v>#NAME?</v>
      </c>
      <c r="M711" s="32" t="e">
        <f ca="1">_xludf.ifna(VLOOKUP(G711,Proyectos!$A$2:$T$674,20,0),"")</f>
        <v>#NAME?</v>
      </c>
      <c r="N711" s="32" t="e">
        <f ca="1">_xludf.ifna(VLOOKUP(G711,Proyectos!$A$2:$S$674,19,0))</f>
        <v>#NAME?</v>
      </c>
      <c r="O711" s="32"/>
      <c r="P711" s="31"/>
      <c r="Q711" s="33"/>
      <c r="R711" s="33"/>
      <c r="S711" s="33">
        <v>2</v>
      </c>
      <c r="T711" s="33"/>
      <c r="U711" s="33"/>
      <c r="V711" s="33"/>
      <c r="W711" s="33"/>
    </row>
    <row r="712" spans="1:23" ht="16.5" customHeight="1" x14ac:dyDescent="0.25">
      <c r="A712" s="76" t="s">
        <v>4435</v>
      </c>
      <c r="B712" s="76" t="s">
        <v>5297</v>
      </c>
      <c r="C712" s="26" t="s">
        <v>64</v>
      </c>
      <c r="D712" s="26" t="s">
        <v>92</v>
      </c>
      <c r="E712" s="26" t="s">
        <v>83</v>
      </c>
      <c r="F712" s="28" t="e">
        <f ca="1">_xludf.ifna(VLOOKUP(G712,Proyectos!$A$2:$F$674,6,0),"")</f>
        <v>#NAME?</v>
      </c>
      <c r="G712" s="77" t="s">
        <v>5295</v>
      </c>
      <c r="H712" s="68">
        <v>1</v>
      </c>
      <c r="I712" s="31" t="s">
        <v>25</v>
      </c>
      <c r="J712" s="31" t="s">
        <v>72</v>
      </c>
      <c r="K712" s="32"/>
      <c r="L712" s="32" t="e">
        <f ca="1">_xludf.ifna(VLOOKUP(E712,Parámetros!$D$2:$E$34,2,0),"")</f>
        <v>#NAME?</v>
      </c>
      <c r="M712" s="32" t="e">
        <f ca="1">_xludf.ifna(VLOOKUP(G712,Proyectos!$A$2:$T$674,20,0),"")</f>
        <v>#NAME?</v>
      </c>
      <c r="N712" s="32" t="e">
        <f ca="1">_xludf.ifna(VLOOKUP(G712,Proyectos!$A$2:$S$674,19,0))</f>
        <v>#NAME?</v>
      </c>
      <c r="O712" s="32"/>
      <c r="P712" s="31"/>
      <c r="Q712" s="33"/>
      <c r="R712" s="33"/>
      <c r="S712" s="33">
        <v>2</v>
      </c>
      <c r="T712" s="33"/>
      <c r="U712" s="33"/>
      <c r="V712" s="33"/>
      <c r="W712" s="33"/>
    </row>
    <row r="713" spans="1:23" ht="16.5" customHeight="1" x14ac:dyDescent="0.25">
      <c r="A713" s="76" t="s">
        <v>4851</v>
      </c>
      <c r="B713" s="76" t="s">
        <v>5298</v>
      </c>
      <c r="C713" s="26" t="s">
        <v>64</v>
      </c>
      <c r="D713" s="26" t="s">
        <v>92</v>
      </c>
      <c r="E713" s="26" t="s">
        <v>100</v>
      </c>
      <c r="F713" s="28" t="e">
        <f ca="1">_xludf.ifna(VLOOKUP(G713,Proyectos!$A$2:$F$674,6,0),"")</f>
        <v>#NAME?</v>
      </c>
      <c r="G713" s="77" t="s">
        <v>5295</v>
      </c>
      <c r="H713" s="68">
        <v>1</v>
      </c>
      <c r="I713" s="31" t="s">
        <v>18</v>
      </c>
      <c r="J713" s="31" t="s">
        <v>26</v>
      </c>
      <c r="K713" s="32"/>
      <c r="L713" s="32" t="e">
        <f ca="1">_xludf.ifna(VLOOKUP(E713,Parámetros!$D$2:$E$34,2,0),"")</f>
        <v>#NAME?</v>
      </c>
      <c r="M713" s="32" t="e">
        <f ca="1">_xludf.ifna(VLOOKUP(G713,Proyectos!$A$2:$T$674,20,0),"")</f>
        <v>#NAME?</v>
      </c>
      <c r="N713" s="32" t="e">
        <f ca="1">_xludf.ifna(VLOOKUP(G713,Proyectos!$A$2:$S$674,19,0))</f>
        <v>#NAME?</v>
      </c>
      <c r="O713" s="32"/>
      <c r="P713" s="31"/>
      <c r="Q713" s="33"/>
      <c r="R713" s="33"/>
      <c r="S713" s="33">
        <v>2</v>
      </c>
      <c r="T713" s="33"/>
      <c r="U713" s="33"/>
      <c r="V713" s="33"/>
      <c r="W713" s="33"/>
    </row>
    <row r="714" spans="1:23" ht="16.5" customHeight="1" x14ac:dyDescent="0.25">
      <c r="A714" s="76" t="s">
        <v>4051</v>
      </c>
      <c r="B714" s="76" t="s">
        <v>5299</v>
      </c>
      <c r="C714" s="26" t="s">
        <v>64</v>
      </c>
      <c r="D714" s="26" t="s">
        <v>92</v>
      </c>
      <c r="E714" s="26" t="s">
        <v>87</v>
      </c>
      <c r="F714" s="28" t="e">
        <f ca="1">_xludf.ifna(VLOOKUP(G714,Proyectos!$A$2:$F$674,6,0),"")</f>
        <v>#NAME?</v>
      </c>
      <c r="G714" s="77" t="s">
        <v>5295</v>
      </c>
      <c r="H714" s="68">
        <v>1</v>
      </c>
      <c r="I714" s="31" t="s">
        <v>18</v>
      </c>
      <c r="J714" s="31" t="s">
        <v>61</v>
      </c>
      <c r="K714" s="32"/>
      <c r="L714" s="32" t="e">
        <f ca="1">_xludf.ifna(VLOOKUP(E714,Parámetros!$D$2:$E$34,2,0),"")</f>
        <v>#NAME?</v>
      </c>
      <c r="M714" s="32" t="e">
        <f ca="1">_xludf.ifna(VLOOKUP(G714,Proyectos!$A$2:$T$674,20,0),"")</f>
        <v>#NAME?</v>
      </c>
      <c r="N714" s="32" t="e">
        <f ca="1">_xludf.ifna(VLOOKUP(G714,Proyectos!$A$2:$S$674,19,0))</f>
        <v>#NAME?</v>
      </c>
      <c r="O714" s="32"/>
      <c r="P714" s="31"/>
      <c r="Q714" s="33"/>
      <c r="R714" s="33"/>
      <c r="S714" s="33">
        <v>2</v>
      </c>
      <c r="T714" s="33"/>
      <c r="U714" s="33"/>
      <c r="V714" s="33"/>
      <c r="W714" s="33"/>
    </row>
    <row r="715" spans="1:23" ht="16.5" customHeight="1" x14ac:dyDescent="0.25">
      <c r="A715" s="76" t="s">
        <v>3566</v>
      </c>
      <c r="B715" s="76" t="s">
        <v>3567</v>
      </c>
      <c r="C715" s="26" t="s">
        <v>64</v>
      </c>
      <c r="D715" s="26" t="s">
        <v>92</v>
      </c>
      <c r="E715" s="26" t="s">
        <v>39</v>
      </c>
      <c r="F715" s="28" t="e">
        <f ca="1">_xludf.ifna(VLOOKUP(G715,Proyectos!$A$2:$F$674,6,0),"")</f>
        <v>#NAME?</v>
      </c>
      <c r="G715" s="77" t="s">
        <v>5295</v>
      </c>
      <c r="H715" s="68">
        <v>1</v>
      </c>
      <c r="I715" s="31" t="s">
        <v>18</v>
      </c>
      <c r="J715" s="31" t="s">
        <v>26</v>
      </c>
      <c r="K715" s="31"/>
      <c r="L715" s="32" t="e">
        <f ca="1">_xludf.ifna(VLOOKUP(E715,Parámetros!$D$2:$E$34,2,0),"")</f>
        <v>#NAME?</v>
      </c>
      <c r="M715" s="32" t="e">
        <f ca="1">_xludf.ifna(VLOOKUP(G715,Proyectos!$A$2:$T$674,20,0),"")</f>
        <v>#NAME?</v>
      </c>
      <c r="N715" s="32" t="e">
        <f ca="1">_xludf.ifna(VLOOKUP(G715,Proyectos!$A$2:$S$674,19,0))</f>
        <v>#NAME?</v>
      </c>
      <c r="O715" s="31"/>
      <c r="P715" s="31"/>
      <c r="Q715" s="33"/>
      <c r="R715" s="33"/>
      <c r="S715" s="33">
        <v>2</v>
      </c>
      <c r="T715" s="33"/>
      <c r="U715" s="33"/>
      <c r="V715" s="33"/>
      <c r="W715" s="33"/>
    </row>
    <row r="716" spans="1:23" ht="16.5" customHeight="1" x14ac:dyDescent="0.25">
      <c r="A716" s="76"/>
      <c r="B716" s="76" t="s">
        <v>5300</v>
      </c>
      <c r="C716" s="26" t="s">
        <v>64</v>
      </c>
      <c r="D716" s="26" t="s">
        <v>92</v>
      </c>
      <c r="E716" s="26" t="s">
        <v>106</v>
      </c>
      <c r="F716" s="28" t="e">
        <f ca="1">_xludf.ifna(VLOOKUP(G716,Proyectos!$A$2:$F$674,6,0),"")</f>
        <v>#NAME?</v>
      </c>
      <c r="G716" s="77" t="s">
        <v>5295</v>
      </c>
      <c r="H716" s="68">
        <v>1</v>
      </c>
      <c r="I716" s="31" t="s">
        <v>18</v>
      </c>
      <c r="J716" s="31" t="s">
        <v>26</v>
      </c>
      <c r="K716" s="32"/>
      <c r="L716" s="32" t="e">
        <f ca="1">_xludf.ifna(VLOOKUP(E716,Parámetros!$D$2:$E$34,2,0),"")</f>
        <v>#NAME?</v>
      </c>
      <c r="M716" s="32" t="e">
        <f ca="1">_xludf.ifna(VLOOKUP(G716,Proyectos!$A$2:$T$674,20,0),"")</f>
        <v>#NAME?</v>
      </c>
      <c r="N716" s="32" t="e">
        <f ca="1">_xludf.ifna(VLOOKUP(G716,Proyectos!$A$2:$S$674,19,0))</f>
        <v>#NAME?</v>
      </c>
      <c r="O716" s="31"/>
      <c r="P716" s="31"/>
      <c r="Q716" s="33"/>
      <c r="R716" s="33"/>
      <c r="S716" s="33">
        <v>2</v>
      </c>
      <c r="T716" s="33"/>
      <c r="U716" s="33"/>
      <c r="V716" s="33"/>
      <c r="W716" s="33"/>
    </row>
    <row r="717" spans="1:23" ht="16.5" customHeight="1" x14ac:dyDescent="0.25">
      <c r="A717" s="76"/>
      <c r="B717" s="76" t="s">
        <v>5301</v>
      </c>
      <c r="C717" s="26" t="s">
        <v>64</v>
      </c>
      <c r="D717" s="26" t="s">
        <v>92</v>
      </c>
      <c r="E717" s="26" t="s">
        <v>9</v>
      </c>
      <c r="F717" s="28" t="e">
        <f ca="1">_xludf.ifna(VLOOKUP(G717,Proyectos!$A$2:$F$674,6,0),"")</f>
        <v>#NAME?</v>
      </c>
      <c r="G717" s="77" t="s">
        <v>5295</v>
      </c>
      <c r="H717" s="68">
        <v>1</v>
      </c>
      <c r="I717" s="31" t="s">
        <v>18</v>
      </c>
      <c r="J717" s="31" t="s">
        <v>26</v>
      </c>
      <c r="K717" s="32"/>
      <c r="L717" s="32" t="e">
        <f ca="1">_xludf.ifna(VLOOKUP(E717,Parámetros!$D$2:$E$34,2,0),"")</f>
        <v>#NAME?</v>
      </c>
      <c r="M717" s="32" t="e">
        <f ca="1">_xludf.ifna(VLOOKUP(G717,Proyectos!$A$2:$T$674,20,0),"")</f>
        <v>#NAME?</v>
      </c>
      <c r="N717" s="32" t="e">
        <f ca="1">_xludf.ifna(VLOOKUP(G717,Proyectos!$A$2:$S$674,19,0))</f>
        <v>#NAME?</v>
      </c>
      <c r="O717" s="31"/>
      <c r="P717" s="31"/>
      <c r="Q717" s="33"/>
      <c r="R717" s="33"/>
      <c r="S717" s="33">
        <v>2</v>
      </c>
      <c r="T717" s="33"/>
      <c r="U717" s="33"/>
      <c r="V717" s="33"/>
      <c r="W717" s="33"/>
    </row>
    <row r="718" spans="1:23" ht="16.5" customHeight="1" x14ac:dyDescent="0.25">
      <c r="A718" s="76"/>
      <c r="B718" s="76" t="s">
        <v>5302</v>
      </c>
      <c r="C718" s="26" t="s">
        <v>64</v>
      </c>
      <c r="D718" s="26" t="s">
        <v>92</v>
      </c>
      <c r="E718" s="26" t="s">
        <v>106</v>
      </c>
      <c r="F718" s="28" t="e">
        <f ca="1">_xludf.ifna(VLOOKUP(G718,Proyectos!$A$2:$F$674,6,0),"")</f>
        <v>#NAME?</v>
      </c>
      <c r="G718" s="77" t="s">
        <v>5295</v>
      </c>
      <c r="H718" s="68">
        <v>1</v>
      </c>
      <c r="I718" s="31" t="s">
        <v>18</v>
      </c>
      <c r="J718" s="31" t="s">
        <v>12</v>
      </c>
      <c r="K718" s="32"/>
      <c r="L718" s="32" t="e">
        <f ca="1">_xludf.ifna(VLOOKUP(E718,Parámetros!$D$2:$E$34,2,0),"")</f>
        <v>#NAME?</v>
      </c>
      <c r="M718" s="32" t="e">
        <f ca="1">_xludf.ifna(VLOOKUP(G718,Proyectos!$A$2:$T$674,20,0),"")</f>
        <v>#NAME?</v>
      </c>
      <c r="N718" s="32" t="e">
        <f ca="1">_xludf.ifna(VLOOKUP(G718,Proyectos!$A$2:$S$674,19,0))</f>
        <v>#NAME?</v>
      </c>
      <c r="O718" s="31"/>
      <c r="P718" s="31"/>
      <c r="Q718" s="33"/>
      <c r="R718" s="33"/>
      <c r="S718" s="33">
        <v>2</v>
      </c>
      <c r="T718" s="33"/>
      <c r="U718" s="33"/>
      <c r="V718" s="33"/>
      <c r="W718" s="33"/>
    </row>
    <row r="719" spans="1:23" ht="16.5" customHeight="1" x14ac:dyDescent="0.25">
      <c r="A719" s="76"/>
      <c r="B719" s="76" t="s">
        <v>5303</v>
      </c>
      <c r="C719" s="26" t="s">
        <v>64</v>
      </c>
      <c r="D719" s="26" t="s">
        <v>92</v>
      </c>
      <c r="E719" s="26" t="s">
        <v>9</v>
      </c>
      <c r="F719" s="28" t="e">
        <f ca="1">_xludf.ifna(VLOOKUP(G719,Proyectos!$A$2:$F$674,6,0),"")</f>
        <v>#NAME?</v>
      </c>
      <c r="G719" s="77" t="s">
        <v>5295</v>
      </c>
      <c r="H719" s="68">
        <v>1</v>
      </c>
      <c r="I719" s="31" t="s">
        <v>18</v>
      </c>
      <c r="J719" s="27" t="s">
        <v>12</v>
      </c>
      <c r="K719" s="51"/>
      <c r="L719" s="32" t="e">
        <f ca="1">_xludf.ifna(VLOOKUP(E719,Parámetros!$D$2:$E$34,2,0),"")</f>
        <v>#NAME?</v>
      </c>
      <c r="M719" s="32" t="e">
        <f ca="1">_xludf.ifna(VLOOKUP(G719,Proyectos!$A$2:$T$674,20,0),"")</f>
        <v>#NAME?</v>
      </c>
      <c r="N719" s="32" t="e">
        <f ca="1">_xludf.ifna(VLOOKUP(G719,Proyectos!$A$2:$S$674,19,0))</f>
        <v>#NAME?</v>
      </c>
      <c r="O719" s="31"/>
      <c r="P719" s="31"/>
      <c r="Q719" s="33"/>
      <c r="R719" s="33"/>
      <c r="S719" s="33">
        <v>2</v>
      </c>
      <c r="T719" s="33"/>
      <c r="U719" s="33"/>
      <c r="V719" s="33"/>
      <c r="W719" s="33"/>
    </row>
    <row r="720" spans="1:23" ht="16.5" customHeight="1" x14ac:dyDescent="0.25">
      <c r="A720" s="35"/>
      <c r="B720" s="76" t="s">
        <v>5304</v>
      </c>
      <c r="C720" s="26" t="s">
        <v>64</v>
      </c>
      <c r="D720" s="26" t="s">
        <v>92</v>
      </c>
      <c r="E720" s="26" t="s">
        <v>83</v>
      </c>
      <c r="F720" s="28" t="e">
        <f ca="1">_xludf.ifna(VLOOKUP(G720,Proyectos!$A$2:$F$674,6,0),"")</f>
        <v>#NAME?</v>
      </c>
      <c r="G720" s="77" t="s">
        <v>5295</v>
      </c>
      <c r="H720" s="68">
        <v>1</v>
      </c>
      <c r="I720" s="31" t="s">
        <v>25</v>
      </c>
      <c r="J720" s="31" t="s">
        <v>72</v>
      </c>
      <c r="K720" s="32"/>
      <c r="L720" s="32" t="e">
        <f ca="1">_xludf.ifna(VLOOKUP(E720,Parámetros!$D$2:$E$34,2,0),"")</f>
        <v>#NAME?</v>
      </c>
      <c r="M720" s="32" t="e">
        <f ca="1">_xludf.ifna(VLOOKUP(G720,Proyectos!$A$2:$T$674,20,0),"")</f>
        <v>#NAME?</v>
      </c>
      <c r="N720" s="32" t="e">
        <f ca="1">_xludf.ifna(VLOOKUP(G720,Proyectos!$A$2:$S$674,19,0))</f>
        <v>#NAME?</v>
      </c>
      <c r="O720" s="32"/>
      <c r="P720" s="31"/>
      <c r="Q720" s="33"/>
      <c r="R720" s="33"/>
      <c r="S720" s="33">
        <v>2</v>
      </c>
      <c r="T720" s="33"/>
      <c r="U720" s="33"/>
      <c r="V720" s="33"/>
      <c r="W720" s="33"/>
    </row>
    <row r="721" spans="1:23" ht="16.5" customHeight="1" x14ac:dyDescent="0.25">
      <c r="A721" s="35"/>
      <c r="B721" s="76" t="s">
        <v>5305</v>
      </c>
      <c r="C721" s="26" t="s">
        <v>64</v>
      </c>
      <c r="D721" s="26" t="s">
        <v>92</v>
      </c>
      <c r="E721" s="26" t="s">
        <v>83</v>
      </c>
      <c r="F721" s="28" t="e">
        <f ca="1">_xludf.ifna(VLOOKUP(G721,Proyectos!$A$2:$F$674,6,0),"")</f>
        <v>#NAME?</v>
      </c>
      <c r="G721" s="77" t="s">
        <v>5295</v>
      </c>
      <c r="H721" s="68">
        <v>1</v>
      </c>
      <c r="I721" s="31" t="s">
        <v>25</v>
      </c>
      <c r="J721" s="31" t="s">
        <v>72</v>
      </c>
      <c r="K721" s="32"/>
      <c r="L721" s="32" t="e">
        <f ca="1">_xludf.ifna(VLOOKUP(E721,Parámetros!$D$2:$E$34,2,0),"")</f>
        <v>#NAME?</v>
      </c>
      <c r="M721" s="32" t="e">
        <f ca="1">_xludf.ifna(VLOOKUP(G721,Proyectos!$A$2:$T$674,20,0),"")</f>
        <v>#NAME?</v>
      </c>
      <c r="N721" s="32" t="e">
        <f ca="1">_xludf.ifna(VLOOKUP(G721,Proyectos!$A$2:$S$674,19,0))</f>
        <v>#NAME?</v>
      </c>
      <c r="O721" s="32"/>
      <c r="P721" s="31"/>
      <c r="Q721" s="33"/>
      <c r="R721" s="33"/>
      <c r="S721" s="33">
        <v>2</v>
      </c>
      <c r="T721" s="33"/>
      <c r="U721" s="33"/>
      <c r="V721" s="33"/>
      <c r="W721" s="33"/>
    </row>
    <row r="722" spans="1:23" ht="16.5" customHeight="1" x14ac:dyDescent="0.25">
      <c r="A722" s="76" t="s">
        <v>4328</v>
      </c>
      <c r="B722" s="76" t="s">
        <v>5281</v>
      </c>
      <c r="C722" s="26" t="s">
        <v>64</v>
      </c>
      <c r="D722" s="26" t="s">
        <v>92</v>
      </c>
      <c r="E722" s="26" t="s">
        <v>9</v>
      </c>
      <c r="F722" s="28" t="e">
        <f ca="1">_xludf.ifna(VLOOKUP(G722,Proyectos!$A$2:$F$674,6,0),"")</f>
        <v>#NAME?</v>
      </c>
      <c r="G722" s="77" t="s">
        <v>5127</v>
      </c>
      <c r="H722" s="68">
        <v>0.5</v>
      </c>
      <c r="I722" s="31" t="s">
        <v>18</v>
      </c>
      <c r="J722" s="31" t="s">
        <v>19</v>
      </c>
      <c r="K722" s="32"/>
      <c r="L722" s="32" t="e">
        <f ca="1">_xludf.ifna(VLOOKUP(E722,Parámetros!$D$2:$E$34,2,0),"")</f>
        <v>#NAME?</v>
      </c>
      <c r="M722" s="32" t="e">
        <f ca="1">_xludf.ifna(VLOOKUP(G722,Proyectos!$A$2:$T$674,20,0),"")</f>
        <v>#NAME?</v>
      </c>
      <c r="N722" s="32" t="e">
        <f ca="1">_xludf.ifna(VLOOKUP(G722,Proyectos!$A$2:$S$674,19,0))</f>
        <v>#NAME?</v>
      </c>
      <c r="O722" s="32"/>
      <c r="P722" s="31"/>
      <c r="Q722" s="33"/>
      <c r="R722" s="33"/>
      <c r="S722" s="33">
        <v>2</v>
      </c>
      <c r="T722" s="33"/>
      <c r="U722" s="33"/>
      <c r="V722" s="33"/>
      <c r="W722" s="33"/>
    </row>
    <row r="723" spans="1:23" ht="16.5" customHeight="1" x14ac:dyDescent="0.25">
      <c r="A723" s="76" t="s">
        <v>4010</v>
      </c>
      <c r="B723" s="76" t="s">
        <v>4011</v>
      </c>
      <c r="C723" s="26" t="s">
        <v>64</v>
      </c>
      <c r="D723" s="26" t="s">
        <v>92</v>
      </c>
      <c r="E723" s="26" t="s">
        <v>114</v>
      </c>
      <c r="F723" s="28" t="e">
        <f ca="1">_xludf.ifna(VLOOKUP(G723,Proyectos!$A$2:$F$674,6,0),"")</f>
        <v>#NAME?</v>
      </c>
      <c r="G723" s="77" t="s">
        <v>5127</v>
      </c>
      <c r="H723" s="68">
        <v>0.02</v>
      </c>
      <c r="I723" s="31" t="s">
        <v>25</v>
      </c>
      <c r="J723" s="31" t="s">
        <v>72</v>
      </c>
      <c r="K723" s="32"/>
      <c r="L723" s="32" t="e">
        <f ca="1">_xludf.ifna(VLOOKUP(E723,Parámetros!$D$2:$E$34,2,0),"")</f>
        <v>#NAME?</v>
      </c>
      <c r="M723" s="32" t="e">
        <f ca="1">_xludf.ifna(VLOOKUP(G723,Proyectos!$A$2:$T$674,20,0),"")</f>
        <v>#NAME?</v>
      </c>
      <c r="N723" s="32" t="e">
        <f ca="1">_xludf.ifna(VLOOKUP(G723,Proyectos!$A$2:$S$674,19,0))</f>
        <v>#NAME?</v>
      </c>
      <c r="O723" s="31"/>
      <c r="P723" s="31"/>
      <c r="Q723" s="33"/>
      <c r="R723" s="33"/>
      <c r="S723" s="33">
        <v>2</v>
      </c>
      <c r="T723" s="33"/>
      <c r="U723" s="33"/>
      <c r="V723" s="33"/>
      <c r="W723" s="33"/>
    </row>
    <row r="724" spans="1:23" ht="16.5" customHeight="1" x14ac:dyDescent="0.25">
      <c r="A724" s="76" t="s">
        <v>4926</v>
      </c>
      <c r="B724" s="76" t="s">
        <v>5306</v>
      </c>
      <c r="C724" s="26" t="s">
        <v>64</v>
      </c>
      <c r="D724" s="26" t="s">
        <v>92</v>
      </c>
      <c r="E724" s="26" t="s">
        <v>9</v>
      </c>
      <c r="F724" s="28" t="e">
        <f ca="1">_xludf.ifna(VLOOKUP(G724,Proyectos!$A$2:$F$674,6,0),"")</f>
        <v>#NAME?</v>
      </c>
      <c r="G724" s="77" t="s">
        <v>5127</v>
      </c>
      <c r="H724" s="68">
        <v>1</v>
      </c>
      <c r="I724" s="31" t="s">
        <v>18</v>
      </c>
      <c r="J724" s="31" t="s">
        <v>26</v>
      </c>
      <c r="K724" s="32"/>
      <c r="L724" s="32" t="e">
        <f ca="1">_xludf.ifna(VLOOKUP(E724,Parámetros!$D$2:$E$34,2,0),"")</f>
        <v>#NAME?</v>
      </c>
      <c r="M724" s="32" t="e">
        <f ca="1">_xludf.ifna(VLOOKUP(G724,Proyectos!$A$2:$T$674,20,0),"")</f>
        <v>#NAME?</v>
      </c>
      <c r="N724" s="32" t="e">
        <f ca="1">_xludf.ifna(VLOOKUP(G724,Proyectos!$A$2:$S$674,19,0))</f>
        <v>#NAME?</v>
      </c>
      <c r="O724" s="32"/>
      <c r="P724" s="31"/>
      <c r="Q724" s="33"/>
      <c r="R724" s="33"/>
      <c r="S724" s="33">
        <v>2</v>
      </c>
      <c r="T724" s="33"/>
      <c r="U724" s="33"/>
      <c r="V724" s="33"/>
      <c r="W724" s="33"/>
    </row>
    <row r="725" spans="1:23" ht="16.5" customHeight="1" x14ac:dyDescent="0.25">
      <c r="A725" s="76" t="s">
        <v>3815</v>
      </c>
      <c r="B725" s="76" t="s">
        <v>3816</v>
      </c>
      <c r="C725" s="26" t="s">
        <v>64</v>
      </c>
      <c r="D725" s="26" t="s">
        <v>92</v>
      </c>
      <c r="E725" s="26" t="s">
        <v>39</v>
      </c>
      <c r="F725" s="28" t="e">
        <f ca="1">_xludf.ifna(VLOOKUP(G725,Proyectos!$A$2:$F$674,6,0),"")</f>
        <v>#NAME?</v>
      </c>
      <c r="G725" s="77" t="s">
        <v>5127</v>
      </c>
      <c r="H725" s="68">
        <v>1</v>
      </c>
      <c r="I725" s="31" t="s">
        <v>18</v>
      </c>
      <c r="J725" s="31" t="s">
        <v>26</v>
      </c>
      <c r="K725" s="31"/>
      <c r="L725" s="32" t="e">
        <f ca="1">_xludf.ifna(VLOOKUP(E725,Parámetros!$D$2:$E$34,2,0),"")</f>
        <v>#NAME?</v>
      </c>
      <c r="M725" s="32" t="e">
        <f ca="1">_xludf.ifna(VLOOKUP(G725,Proyectos!$A$2:$T$674,20,0),"")</f>
        <v>#NAME?</v>
      </c>
      <c r="N725" s="32" t="e">
        <f ca="1">_xludf.ifna(VLOOKUP(G725,Proyectos!$A$2:$S$674,19,0))</f>
        <v>#NAME?</v>
      </c>
      <c r="O725" s="31"/>
      <c r="P725" s="31"/>
      <c r="Q725" s="33"/>
      <c r="R725" s="33"/>
      <c r="S725" s="33">
        <v>2</v>
      </c>
      <c r="T725" s="33"/>
      <c r="U725" s="33"/>
      <c r="V725" s="33"/>
      <c r="W725" s="33"/>
    </row>
    <row r="726" spans="1:23" ht="16.5" customHeight="1" x14ac:dyDescent="0.25">
      <c r="A726" s="76" t="s">
        <v>5021</v>
      </c>
      <c r="B726" s="76" t="s">
        <v>5307</v>
      </c>
      <c r="C726" s="26" t="s">
        <v>64</v>
      </c>
      <c r="D726" s="26" t="s">
        <v>92</v>
      </c>
      <c r="E726" s="26" t="s">
        <v>126</v>
      </c>
      <c r="F726" s="28" t="e">
        <f ca="1">_xludf.ifna(VLOOKUP(G726,Proyectos!$A$2:$F$674,6,0),"")</f>
        <v>#NAME?</v>
      </c>
      <c r="G726" s="77" t="s">
        <v>5127</v>
      </c>
      <c r="H726" s="68">
        <v>1</v>
      </c>
      <c r="I726" s="31" t="s">
        <v>18</v>
      </c>
      <c r="J726" s="31" t="s">
        <v>61</v>
      </c>
      <c r="K726" s="31"/>
      <c r="L726" s="32" t="e">
        <f ca="1">_xludf.ifna(VLOOKUP(E726,Parámetros!$D$2:$E$34,2,0),"")</f>
        <v>#NAME?</v>
      </c>
      <c r="M726" s="32" t="e">
        <f ca="1">_xludf.ifna(VLOOKUP(G726,Proyectos!$A$2:$T$674,20,0),"")</f>
        <v>#NAME?</v>
      </c>
      <c r="N726" s="32" t="e">
        <f ca="1">_xludf.ifna(VLOOKUP(G726,Proyectos!$A$2:$S$674,19,0))</f>
        <v>#NAME?</v>
      </c>
      <c r="O726" s="31"/>
      <c r="P726" s="31"/>
      <c r="Q726" s="33"/>
      <c r="R726" s="33"/>
      <c r="S726" s="33">
        <v>2</v>
      </c>
      <c r="T726" s="33"/>
      <c r="U726" s="33"/>
      <c r="V726" s="33"/>
      <c r="W726" s="33"/>
    </row>
    <row r="727" spans="1:23" ht="16.5" customHeight="1" x14ac:dyDescent="0.25">
      <c r="A727" s="76" t="s">
        <v>4743</v>
      </c>
      <c r="B727" s="76" t="s">
        <v>4744</v>
      </c>
      <c r="C727" s="26" t="s">
        <v>64</v>
      </c>
      <c r="D727" s="26" t="s">
        <v>92</v>
      </c>
      <c r="E727" s="26" t="s">
        <v>39</v>
      </c>
      <c r="F727" s="28" t="e">
        <f ca="1">_xludf.ifna(VLOOKUP(G727,Proyectos!$A$2:$F$674,6,0),"")</f>
        <v>#NAME?</v>
      </c>
      <c r="G727" s="77" t="s">
        <v>5127</v>
      </c>
      <c r="H727" s="68">
        <v>0.2</v>
      </c>
      <c r="I727" s="31" t="s">
        <v>11</v>
      </c>
      <c r="J727" s="31" t="s">
        <v>72</v>
      </c>
      <c r="K727" s="32"/>
      <c r="L727" s="32" t="e">
        <f ca="1">_xludf.ifna(VLOOKUP(E727,Parámetros!$D$2:$E$34,2,0),"")</f>
        <v>#NAME?</v>
      </c>
      <c r="M727" s="32" t="e">
        <f ca="1">_xludf.ifna(VLOOKUP(G727,Proyectos!$A$2:$T$674,20,0),"")</f>
        <v>#NAME?</v>
      </c>
      <c r="N727" s="32" t="e">
        <f ca="1">_xludf.ifna(VLOOKUP(G727,Proyectos!$A$2:$S$674,19,0))</f>
        <v>#NAME?</v>
      </c>
      <c r="O727" s="32"/>
      <c r="P727" s="31"/>
      <c r="Q727" s="33"/>
      <c r="R727" s="33"/>
      <c r="S727" s="33">
        <v>2</v>
      </c>
      <c r="T727" s="33"/>
      <c r="U727" s="33"/>
      <c r="V727" s="33"/>
      <c r="W727" s="33"/>
    </row>
    <row r="728" spans="1:23" ht="16.5" customHeight="1" x14ac:dyDescent="0.25">
      <c r="A728" s="76" t="s">
        <v>4743</v>
      </c>
      <c r="B728" s="76" t="s">
        <v>4744</v>
      </c>
      <c r="C728" s="26" t="s">
        <v>64</v>
      </c>
      <c r="D728" s="26" t="s">
        <v>92</v>
      </c>
      <c r="E728" s="26" t="s">
        <v>39</v>
      </c>
      <c r="F728" s="28" t="e">
        <f ca="1">_xludf.ifna(VLOOKUP(G728,Proyectos!$A$2:$F$674,6,0),"")</f>
        <v>#NAME?</v>
      </c>
      <c r="G728" s="77" t="s">
        <v>5127</v>
      </c>
      <c r="H728" s="68">
        <v>0.2</v>
      </c>
      <c r="I728" s="31" t="s">
        <v>11</v>
      </c>
      <c r="J728" s="31" t="s">
        <v>72</v>
      </c>
      <c r="K728" s="32"/>
      <c r="L728" s="32" t="e">
        <f ca="1">_xludf.ifna(VLOOKUP(E728,Parámetros!$D$2:$E$34,2,0),"")</f>
        <v>#NAME?</v>
      </c>
      <c r="M728" s="32" t="e">
        <f ca="1">_xludf.ifna(VLOOKUP(G728,Proyectos!$A$2:$T$674,20,0),"")</f>
        <v>#NAME?</v>
      </c>
      <c r="N728" s="32" t="e">
        <f ca="1">_xludf.ifna(VLOOKUP(G728,Proyectos!$A$2:$S$674,19,0))</f>
        <v>#NAME?</v>
      </c>
      <c r="O728" s="31"/>
      <c r="P728" s="31"/>
      <c r="Q728" s="33"/>
      <c r="R728" s="33"/>
      <c r="S728" s="33">
        <v>2</v>
      </c>
      <c r="T728" s="33"/>
      <c r="U728" s="33"/>
      <c r="V728" s="33"/>
      <c r="W728" s="33"/>
    </row>
    <row r="729" spans="1:23" ht="16.5" customHeight="1" x14ac:dyDescent="0.25">
      <c r="A729" s="35"/>
      <c r="B729" s="76" t="s">
        <v>5308</v>
      </c>
      <c r="C729" s="26" t="s">
        <v>64</v>
      </c>
      <c r="D729" s="26" t="s">
        <v>92</v>
      </c>
      <c r="E729" s="26" t="s">
        <v>126</v>
      </c>
      <c r="F729" s="28" t="e">
        <f ca="1">_xludf.ifna(VLOOKUP(G729,Proyectos!$A$2:$F$674,6,0),"")</f>
        <v>#NAME?</v>
      </c>
      <c r="G729" s="77" t="s">
        <v>5127</v>
      </c>
      <c r="H729" s="68">
        <v>1</v>
      </c>
      <c r="I729" s="31" t="s">
        <v>18</v>
      </c>
      <c r="J729" s="31" t="s">
        <v>19</v>
      </c>
      <c r="K729" s="32"/>
      <c r="L729" s="32" t="e">
        <f ca="1">_xludf.ifna(VLOOKUP(E729,Parámetros!$D$2:$E$34,2,0),"")</f>
        <v>#NAME?</v>
      </c>
      <c r="M729" s="32" t="e">
        <f ca="1">_xludf.ifna(VLOOKUP(G729,Proyectos!$A$2:$T$674,20,0),"")</f>
        <v>#NAME?</v>
      </c>
      <c r="N729" s="32" t="e">
        <f ca="1">_xludf.ifna(VLOOKUP(G729,Proyectos!$A$2:$S$674,19,0))</f>
        <v>#NAME?</v>
      </c>
      <c r="O729" s="32"/>
      <c r="P729" s="31"/>
      <c r="Q729" s="33"/>
      <c r="R729" s="33"/>
      <c r="S729" s="33">
        <v>2</v>
      </c>
      <c r="T729" s="33"/>
      <c r="U729" s="33"/>
      <c r="V729" s="33"/>
      <c r="W729" s="33"/>
    </row>
    <row r="730" spans="1:23" ht="16.5" customHeight="1" x14ac:dyDescent="0.25">
      <c r="A730" s="35"/>
      <c r="B730" s="76" t="s">
        <v>5309</v>
      </c>
      <c r="C730" s="26" t="s">
        <v>64</v>
      </c>
      <c r="D730" s="26" t="s">
        <v>92</v>
      </c>
      <c r="E730" s="26" t="s">
        <v>9</v>
      </c>
      <c r="F730" s="28" t="e">
        <f ca="1">_xludf.ifna(VLOOKUP(G730,Proyectos!$A$2:$F$674,6,0),"")</f>
        <v>#NAME?</v>
      </c>
      <c r="G730" s="77" t="s">
        <v>5127</v>
      </c>
      <c r="H730" s="68">
        <v>1</v>
      </c>
      <c r="I730" s="31" t="s">
        <v>18</v>
      </c>
      <c r="J730" s="31" t="s">
        <v>61</v>
      </c>
      <c r="K730" s="32"/>
      <c r="L730" s="32" t="e">
        <f ca="1">_xludf.ifna(VLOOKUP(E730,Parámetros!$D$2:$E$34,2,0),"")</f>
        <v>#NAME?</v>
      </c>
      <c r="M730" s="32" t="e">
        <f ca="1">_xludf.ifna(VLOOKUP(G730,Proyectos!$A$2:$T$674,20,0),"")</f>
        <v>#NAME?</v>
      </c>
      <c r="N730" s="32" t="e">
        <f ca="1">_xludf.ifna(VLOOKUP(G730,Proyectos!$A$2:$S$674,19,0))</f>
        <v>#NAME?</v>
      </c>
      <c r="O730" s="32"/>
      <c r="P730" s="31"/>
      <c r="Q730" s="33"/>
      <c r="R730" s="33"/>
      <c r="S730" s="33">
        <v>2</v>
      </c>
      <c r="T730" s="33"/>
      <c r="U730" s="33"/>
      <c r="V730" s="33"/>
      <c r="W730" s="33"/>
    </row>
    <row r="731" spans="1:23" ht="16.5" customHeight="1" x14ac:dyDescent="0.25">
      <c r="A731" s="35"/>
      <c r="B731" s="76" t="s">
        <v>5294</v>
      </c>
      <c r="C731" s="26" t="s">
        <v>64</v>
      </c>
      <c r="D731" s="26" t="s">
        <v>92</v>
      </c>
      <c r="E731" s="26" t="s">
        <v>9</v>
      </c>
      <c r="F731" s="28" t="e">
        <f ca="1">_xludf.ifna(VLOOKUP(G731,Proyectos!$A$2:$F$674,6,0),"")</f>
        <v>#NAME?</v>
      </c>
      <c r="G731" s="77" t="s">
        <v>5127</v>
      </c>
      <c r="H731" s="68">
        <v>1</v>
      </c>
      <c r="I731" s="31" t="s">
        <v>18</v>
      </c>
      <c r="J731" s="31" t="s">
        <v>26</v>
      </c>
      <c r="K731" s="32"/>
      <c r="L731" s="32" t="e">
        <f ca="1">_xludf.ifna(VLOOKUP(E731,Parámetros!$D$2:$E$34,2,0),"")</f>
        <v>#NAME?</v>
      </c>
      <c r="M731" s="32" t="e">
        <f ca="1">_xludf.ifna(VLOOKUP(G731,Proyectos!$A$2:$T$674,20,0),"")</f>
        <v>#NAME?</v>
      </c>
      <c r="N731" s="32" t="e">
        <f ca="1">_xludf.ifna(VLOOKUP(G731,Proyectos!$A$2:$S$674,19,0))</f>
        <v>#NAME?</v>
      </c>
      <c r="O731" s="31"/>
      <c r="P731" s="31"/>
      <c r="Q731" s="33"/>
      <c r="R731" s="33"/>
      <c r="S731" s="33">
        <v>2</v>
      </c>
      <c r="T731" s="33"/>
      <c r="U731" s="33"/>
      <c r="V731" s="33"/>
      <c r="W731" s="33"/>
    </row>
    <row r="732" spans="1:23" ht="16.5" customHeight="1" x14ac:dyDescent="0.25">
      <c r="A732" s="76" t="s">
        <v>4010</v>
      </c>
      <c r="B732" s="76" t="s">
        <v>4011</v>
      </c>
      <c r="C732" s="26" t="s">
        <v>64</v>
      </c>
      <c r="D732" s="26" t="s">
        <v>92</v>
      </c>
      <c r="E732" s="26" t="s">
        <v>114</v>
      </c>
      <c r="F732" s="28" t="e">
        <f ca="1">_xludf.ifna(VLOOKUP(G732,Proyectos!$A$2:$F$674,6,0),"")</f>
        <v>#NAME?</v>
      </c>
      <c r="G732" s="77" t="s">
        <v>5310</v>
      </c>
      <c r="H732" s="68">
        <v>0.02</v>
      </c>
      <c r="I732" s="31" t="s">
        <v>25</v>
      </c>
      <c r="J732" s="31" t="s">
        <v>72</v>
      </c>
      <c r="K732" s="32"/>
      <c r="L732" s="32" t="e">
        <f ca="1">_xludf.ifna(VLOOKUP(E732,Parámetros!$D$2:$E$34,2,0),"")</f>
        <v>#NAME?</v>
      </c>
      <c r="M732" s="32" t="e">
        <f ca="1">_xludf.ifna(VLOOKUP(G732,Proyectos!$A$2:$T$674,20,0),"")</f>
        <v>#NAME?</v>
      </c>
      <c r="N732" s="32" t="e">
        <f ca="1">_xludf.ifna(VLOOKUP(G732,Proyectos!$A$2:$S$674,19,0))</f>
        <v>#NAME?</v>
      </c>
      <c r="O732" s="32"/>
      <c r="P732" s="31"/>
      <c r="Q732" s="33"/>
      <c r="R732" s="33"/>
      <c r="S732" s="33">
        <v>2</v>
      </c>
      <c r="T732" s="33"/>
      <c r="U732" s="33"/>
      <c r="V732" s="33"/>
      <c r="W732" s="33"/>
    </row>
    <row r="733" spans="1:23" ht="16.5" customHeight="1" x14ac:dyDescent="0.25">
      <c r="A733" s="76" t="s">
        <v>4792</v>
      </c>
      <c r="B733" s="76" t="s">
        <v>5311</v>
      </c>
      <c r="C733" s="26" t="s">
        <v>64</v>
      </c>
      <c r="D733" s="26" t="s">
        <v>92</v>
      </c>
      <c r="E733" s="26" t="s">
        <v>39</v>
      </c>
      <c r="F733" s="28" t="e">
        <f ca="1">_xludf.ifna(VLOOKUP(G733,Proyectos!$A$2:$F$674,6,0),"")</f>
        <v>#NAME?</v>
      </c>
      <c r="G733" s="77" t="s">
        <v>5310</v>
      </c>
      <c r="H733" s="68">
        <v>0.5</v>
      </c>
      <c r="I733" s="31" t="s">
        <v>18</v>
      </c>
      <c r="J733" s="31" t="s">
        <v>26</v>
      </c>
      <c r="K733" s="32"/>
      <c r="L733" s="32" t="e">
        <f ca="1">_xludf.ifna(VLOOKUP(E733,Parámetros!$D$2:$E$34,2,0),"")</f>
        <v>#NAME?</v>
      </c>
      <c r="M733" s="32" t="e">
        <f ca="1">_xludf.ifna(VLOOKUP(G733,Proyectos!$A$2:$T$674,20,0),"")</f>
        <v>#NAME?</v>
      </c>
      <c r="N733" s="32" t="e">
        <f ca="1">_xludf.ifna(VLOOKUP(G733,Proyectos!$A$2:$S$674,19,0))</f>
        <v>#NAME?</v>
      </c>
      <c r="O733" s="32"/>
      <c r="P733" s="31"/>
      <c r="Q733" s="33"/>
      <c r="R733" s="33"/>
      <c r="S733" s="33">
        <v>2</v>
      </c>
      <c r="T733" s="33"/>
      <c r="U733" s="33"/>
      <c r="V733" s="33"/>
      <c r="W733" s="33"/>
    </row>
    <row r="734" spans="1:23" ht="16.5" customHeight="1" x14ac:dyDescent="0.25">
      <c r="A734" s="76" t="s">
        <v>4454</v>
      </c>
      <c r="B734" s="76" t="s">
        <v>5312</v>
      </c>
      <c r="C734" s="26" t="s">
        <v>64</v>
      </c>
      <c r="D734" s="26" t="s">
        <v>92</v>
      </c>
      <c r="E734" s="26" t="s">
        <v>87</v>
      </c>
      <c r="F734" s="28" t="e">
        <f ca="1">_xludf.ifna(VLOOKUP(G734,Proyectos!$A$2:$F$674,6,0),"")</f>
        <v>#NAME?</v>
      </c>
      <c r="G734" s="77" t="s">
        <v>5310</v>
      </c>
      <c r="H734" s="68">
        <v>1</v>
      </c>
      <c r="I734" s="31" t="s">
        <v>25</v>
      </c>
      <c r="J734" s="31" t="s">
        <v>72</v>
      </c>
      <c r="K734" s="32"/>
      <c r="L734" s="32" t="e">
        <f ca="1">_xludf.ifna(VLOOKUP(E734,Parámetros!$D$2:$E$34,2,0),"")</f>
        <v>#NAME?</v>
      </c>
      <c r="M734" s="32" t="e">
        <f ca="1">_xludf.ifna(VLOOKUP(G734,Proyectos!$A$2:$T$674,20,0),"")</f>
        <v>#NAME?</v>
      </c>
      <c r="N734" s="32" t="e">
        <f ca="1">_xludf.ifna(VLOOKUP(G734,Proyectos!$A$2:$S$674,19,0))</f>
        <v>#NAME?</v>
      </c>
      <c r="O734" s="32"/>
      <c r="P734" s="31"/>
      <c r="Q734" s="33"/>
      <c r="R734" s="33"/>
      <c r="S734" s="33">
        <v>2</v>
      </c>
      <c r="T734" s="33"/>
      <c r="U734" s="33"/>
      <c r="V734" s="33"/>
      <c r="W734" s="33"/>
    </row>
    <row r="735" spans="1:23" ht="16.5" customHeight="1" x14ac:dyDescent="0.25">
      <c r="A735" s="76" t="s">
        <v>4743</v>
      </c>
      <c r="B735" s="76" t="s">
        <v>4744</v>
      </c>
      <c r="C735" s="26" t="s">
        <v>64</v>
      </c>
      <c r="D735" s="26" t="s">
        <v>92</v>
      </c>
      <c r="E735" s="26" t="s">
        <v>39</v>
      </c>
      <c r="F735" s="28" t="e">
        <f ca="1">_xludf.ifna(VLOOKUP(G735,Proyectos!$A$2:$F$674,6,0),"")</f>
        <v>#NAME?</v>
      </c>
      <c r="G735" s="77" t="s">
        <v>5310</v>
      </c>
      <c r="H735" s="68">
        <v>0.2</v>
      </c>
      <c r="I735" s="31" t="s">
        <v>11</v>
      </c>
      <c r="J735" s="31" t="s">
        <v>72</v>
      </c>
      <c r="K735" s="32"/>
      <c r="L735" s="32" t="e">
        <f ca="1">_xludf.ifna(VLOOKUP(E735,Parámetros!$D$2:$E$34,2,0),"")</f>
        <v>#NAME?</v>
      </c>
      <c r="M735" s="32" t="e">
        <f ca="1">_xludf.ifna(VLOOKUP(G735,Proyectos!$A$2:$T$674,20,0),"")</f>
        <v>#NAME?</v>
      </c>
      <c r="N735" s="32" t="e">
        <f ca="1">_xludf.ifna(VLOOKUP(G735,Proyectos!$A$2:$S$674,19,0))</f>
        <v>#NAME?</v>
      </c>
      <c r="O735" s="32"/>
      <c r="P735" s="31"/>
      <c r="Q735" s="33"/>
      <c r="R735" s="33"/>
      <c r="S735" s="33">
        <v>2</v>
      </c>
      <c r="T735" s="33"/>
      <c r="U735" s="33"/>
      <c r="V735" s="33"/>
      <c r="W735" s="33"/>
    </row>
    <row r="736" spans="1:23" ht="16.5" customHeight="1" x14ac:dyDescent="0.25">
      <c r="A736" s="76" t="s">
        <v>4841</v>
      </c>
      <c r="B736" s="76" t="s">
        <v>5313</v>
      </c>
      <c r="C736" s="26" t="s">
        <v>64</v>
      </c>
      <c r="D736" s="26" t="s">
        <v>92</v>
      </c>
      <c r="E736" s="26" t="s">
        <v>100</v>
      </c>
      <c r="F736" s="28" t="e">
        <f ca="1">_xludf.ifna(VLOOKUP(G736,Proyectos!$A$2:$F$674,6,0),"")</f>
        <v>#NAME?</v>
      </c>
      <c r="G736" s="77" t="s">
        <v>5314</v>
      </c>
      <c r="H736" s="68">
        <v>1</v>
      </c>
      <c r="I736" s="31" t="s">
        <v>18</v>
      </c>
      <c r="J736" s="31" t="s">
        <v>26</v>
      </c>
      <c r="K736" s="32"/>
      <c r="L736" s="32" t="e">
        <f ca="1">_xludf.ifna(VLOOKUP(E736,Parámetros!$D$2:$E$34,2,0),"")</f>
        <v>#NAME?</v>
      </c>
      <c r="M736" s="32" t="e">
        <f ca="1">_xludf.ifna(VLOOKUP(G736,Proyectos!$A$2:$T$674,20,0),"")</f>
        <v>#NAME?</v>
      </c>
      <c r="N736" s="32" t="e">
        <f ca="1">_xludf.ifna(VLOOKUP(G736,Proyectos!$A$2:$S$674,19,0))</f>
        <v>#NAME?</v>
      </c>
      <c r="O736" s="31"/>
      <c r="P736" s="31"/>
      <c r="Q736" s="33"/>
      <c r="R736" s="33"/>
      <c r="S736" s="33"/>
      <c r="T736" s="33"/>
      <c r="U736" s="33"/>
      <c r="V736" s="33"/>
      <c r="W736" s="33"/>
    </row>
    <row r="737" spans="1:23" ht="16.5" customHeight="1" x14ac:dyDescent="0.25">
      <c r="A737" s="76" t="s">
        <v>4010</v>
      </c>
      <c r="B737" s="76" t="s">
        <v>4011</v>
      </c>
      <c r="C737" s="26" t="s">
        <v>64</v>
      </c>
      <c r="D737" s="26" t="s">
        <v>92</v>
      </c>
      <c r="E737" s="26" t="s">
        <v>114</v>
      </c>
      <c r="F737" s="28" t="e">
        <f ca="1">_xludf.ifna(VLOOKUP(G737,Proyectos!$A$2:$F$674,6,0),"")</f>
        <v>#NAME?</v>
      </c>
      <c r="G737" s="77" t="s">
        <v>5314</v>
      </c>
      <c r="H737" s="68">
        <v>0.02</v>
      </c>
      <c r="I737" s="31" t="s">
        <v>25</v>
      </c>
      <c r="J737" s="31" t="s">
        <v>72</v>
      </c>
      <c r="K737" s="32"/>
      <c r="L737" s="32" t="e">
        <f ca="1">_xludf.ifna(VLOOKUP(E737,Parámetros!$D$2:$E$34,2,0),"")</f>
        <v>#NAME?</v>
      </c>
      <c r="M737" s="32" t="e">
        <f ca="1">_xludf.ifna(VLOOKUP(G737,Proyectos!$A$2:$T$674,20,0),"")</f>
        <v>#NAME?</v>
      </c>
      <c r="N737" s="32" t="e">
        <f ca="1">_xludf.ifna(VLOOKUP(G737,Proyectos!$A$2:$S$674,19,0))</f>
        <v>#NAME?</v>
      </c>
      <c r="O737" s="32"/>
      <c r="P737" s="31"/>
      <c r="Q737" s="33"/>
      <c r="R737" s="33"/>
      <c r="S737" s="33"/>
      <c r="T737" s="33"/>
      <c r="U737" s="33"/>
      <c r="V737" s="33"/>
      <c r="W737" s="33"/>
    </row>
    <row r="738" spans="1:23" ht="16.5" customHeight="1" x14ac:dyDescent="0.25">
      <c r="A738" s="76" t="s">
        <v>3700</v>
      </c>
      <c r="B738" s="76" t="s">
        <v>3701</v>
      </c>
      <c r="C738" s="26" t="s">
        <v>64</v>
      </c>
      <c r="D738" s="26" t="s">
        <v>92</v>
      </c>
      <c r="E738" s="26" t="s">
        <v>39</v>
      </c>
      <c r="F738" s="28" t="e">
        <f ca="1">_xludf.ifna(VLOOKUP(G738,Proyectos!$A$2:$F$674,6,0),"")</f>
        <v>#NAME?</v>
      </c>
      <c r="G738" s="77" t="s">
        <v>5314</v>
      </c>
      <c r="H738" s="68">
        <v>1</v>
      </c>
      <c r="I738" s="31" t="s">
        <v>18</v>
      </c>
      <c r="J738" s="31" t="s">
        <v>26</v>
      </c>
      <c r="K738" s="32"/>
      <c r="L738" s="32" t="e">
        <f ca="1">_xludf.ifna(VLOOKUP(E738,Parámetros!$D$2:$E$34,2,0),"")</f>
        <v>#NAME?</v>
      </c>
      <c r="M738" s="32" t="e">
        <f ca="1">_xludf.ifna(VLOOKUP(G738,Proyectos!$A$2:$T$674,20,0),"")</f>
        <v>#NAME?</v>
      </c>
      <c r="N738" s="32" t="e">
        <f ca="1">_xludf.ifna(VLOOKUP(G738,Proyectos!$A$2:$S$674,19,0))</f>
        <v>#NAME?</v>
      </c>
      <c r="O738" s="31"/>
      <c r="P738" s="31"/>
      <c r="Q738" s="33"/>
      <c r="R738" s="33"/>
      <c r="S738" s="33"/>
      <c r="T738" s="33"/>
      <c r="U738" s="33"/>
      <c r="V738" s="33"/>
      <c r="W738" s="33"/>
    </row>
    <row r="739" spans="1:23" ht="16.5" customHeight="1" x14ac:dyDescent="0.25">
      <c r="A739" s="76" t="s">
        <v>3337</v>
      </c>
      <c r="B739" s="76" t="s">
        <v>3338</v>
      </c>
      <c r="C739" s="26" t="s">
        <v>64</v>
      </c>
      <c r="D739" s="26" t="s">
        <v>92</v>
      </c>
      <c r="E739" s="26" t="s">
        <v>39</v>
      </c>
      <c r="F739" s="28" t="e">
        <f ca="1">_xludf.ifna(VLOOKUP(G739,Proyectos!$A$2:$F$674,6,0),"")</f>
        <v>#NAME?</v>
      </c>
      <c r="G739" s="77" t="s">
        <v>5314</v>
      </c>
      <c r="H739" s="68">
        <v>0.3</v>
      </c>
      <c r="I739" s="31" t="s">
        <v>11</v>
      </c>
      <c r="J739" s="31" t="s">
        <v>72</v>
      </c>
      <c r="K739" s="32"/>
      <c r="L739" s="32" t="e">
        <f ca="1">_xludf.ifna(VLOOKUP(E739,Parámetros!$D$2:$E$34,2,0),"")</f>
        <v>#NAME?</v>
      </c>
      <c r="M739" s="32" t="e">
        <f ca="1">_xludf.ifna(VLOOKUP(G739,Proyectos!$A$2:$T$674,20,0),"")</f>
        <v>#NAME?</v>
      </c>
      <c r="N739" s="32" t="e">
        <f ca="1">_xludf.ifna(VLOOKUP(G739,Proyectos!$A$2:$S$674,19,0))</f>
        <v>#NAME?</v>
      </c>
      <c r="O739" s="32"/>
      <c r="P739" s="31"/>
      <c r="Q739" s="33"/>
      <c r="R739" s="33"/>
      <c r="S739" s="33"/>
      <c r="T739" s="33"/>
      <c r="U739" s="33"/>
      <c r="V739" s="33"/>
      <c r="W739" s="33"/>
    </row>
    <row r="740" spans="1:23" ht="16.5" customHeight="1" x14ac:dyDescent="0.25">
      <c r="A740" s="76" t="s">
        <v>4010</v>
      </c>
      <c r="B740" s="76" t="s">
        <v>4011</v>
      </c>
      <c r="C740" s="26" t="s">
        <v>64</v>
      </c>
      <c r="D740" s="26" t="s">
        <v>92</v>
      </c>
      <c r="E740" s="26" t="s">
        <v>114</v>
      </c>
      <c r="F740" s="28" t="e">
        <f ca="1">_xludf.ifna(VLOOKUP(G740,Proyectos!$A$2:$F$674,6,0),"")</f>
        <v>#NAME?</v>
      </c>
      <c r="G740" s="29" t="s">
        <v>5114</v>
      </c>
      <c r="H740" s="68">
        <v>0.02</v>
      </c>
      <c r="I740" s="31" t="s">
        <v>25</v>
      </c>
      <c r="J740" s="31" t="s">
        <v>72</v>
      </c>
      <c r="K740" s="32"/>
      <c r="L740" s="32" t="e">
        <f ca="1">_xludf.ifna(VLOOKUP(E740,Parámetros!$D$2:$E$34,2,0),"")</f>
        <v>#NAME?</v>
      </c>
      <c r="M740" s="32" t="e">
        <f ca="1">_xludf.ifna(VLOOKUP(G740,Proyectos!$A$2:$T$674,20,0),"")</f>
        <v>#NAME?</v>
      </c>
      <c r="N740" s="32" t="e">
        <f ca="1">_xludf.ifna(VLOOKUP(G740,Proyectos!$A$2:$S$674,19,0))</f>
        <v>#NAME?</v>
      </c>
      <c r="O740" s="32"/>
      <c r="P740" s="31"/>
      <c r="Q740" s="33"/>
      <c r="R740" s="33"/>
      <c r="S740" s="33"/>
      <c r="T740" s="33"/>
      <c r="U740" s="33"/>
      <c r="V740" s="33"/>
      <c r="W740" s="33"/>
    </row>
    <row r="741" spans="1:23" ht="16.5" customHeight="1" x14ac:dyDescent="0.25">
      <c r="A741" s="76" t="s">
        <v>3337</v>
      </c>
      <c r="B741" s="76" t="s">
        <v>3338</v>
      </c>
      <c r="C741" s="26" t="s">
        <v>64</v>
      </c>
      <c r="D741" s="26" t="s">
        <v>92</v>
      </c>
      <c r="E741" s="26" t="s">
        <v>39</v>
      </c>
      <c r="F741" s="28" t="e">
        <f ca="1">_xludf.ifna(VLOOKUP(G741,Proyectos!$A$2:$F$674,6,0),"")</f>
        <v>#NAME?</v>
      </c>
      <c r="G741" s="29" t="s">
        <v>5114</v>
      </c>
      <c r="H741" s="68">
        <v>0.7</v>
      </c>
      <c r="I741" s="31" t="s">
        <v>11</v>
      </c>
      <c r="J741" s="31" t="s">
        <v>72</v>
      </c>
      <c r="K741" s="32"/>
      <c r="L741" s="32" t="e">
        <f ca="1">_xludf.ifna(VLOOKUP(E741,Parámetros!$D$2:$E$34,2,0),"")</f>
        <v>#NAME?</v>
      </c>
      <c r="M741" s="32" t="e">
        <f ca="1">_xludf.ifna(VLOOKUP(G741,Proyectos!$A$2:$T$674,20,0),"")</f>
        <v>#NAME?</v>
      </c>
      <c r="N741" s="32" t="e">
        <f ca="1">_xludf.ifna(VLOOKUP(G741,Proyectos!$A$2:$S$674,19,0))</f>
        <v>#NAME?</v>
      </c>
      <c r="O741" s="32"/>
      <c r="P741" s="31"/>
      <c r="Q741" s="33"/>
      <c r="R741" s="33"/>
      <c r="S741" s="33"/>
      <c r="T741" s="33"/>
      <c r="U741" s="33"/>
      <c r="V741" s="33"/>
      <c r="W741" s="33"/>
    </row>
    <row r="742" spans="1:23" ht="16.5" customHeight="1" x14ac:dyDescent="0.25">
      <c r="A742" s="76" t="s">
        <v>3696</v>
      </c>
      <c r="B742" s="76" t="s">
        <v>3697</v>
      </c>
      <c r="C742" s="26" t="s">
        <v>64</v>
      </c>
      <c r="D742" s="26" t="s">
        <v>92</v>
      </c>
      <c r="E742" s="26" t="s">
        <v>39</v>
      </c>
      <c r="F742" s="28" t="e">
        <f ca="1">_xludf.ifna(VLOOKUP(G742,Proyectos!$A$2:$F$674,6,0),"")</f>
        <v>#NAME?</v>
      </c>
      <c r="G742" s="29" t="s">
        <v>5114</v>
      </c>
      <c r="H742" s="68">
        <v>1</v>
      </c>
      <c r="I742" s="31" t="s">
        <v>18</v>
      </c>
      <c r="J742" s="31" t="s">
        <v>26</v>
      </c>
      <c r="K742" s="32"/>
      <c r="L742" s="32" t="e">
        <f ca="1">_xludf.ifna(VLOOKUP(E742,Parámetros!$D$2:$E$34,2,0),"")</f>
        <v>#NAME?</v>
      </c>
      <c r="M742" s="32" t="e">
        <f ca="1">_xludf.ifna(VLOOKUP(G742,Proyectos!$A$2:$T$674,20,0),"")</f>
        <v>#NAME?</v>
      </c>
      <c r="N742" s="32" t="e">
        <f ca="1">_xludf.ifna(VLOOKUP(G742,Proyectos!$A$2:$S$674,19,0))</f>
        <v>#NAME?</v>
      </c>
      <c r="O742" s="32"/>
      <c r="P742" s="31"/>
      <c r="Q742" s="33"/>
      <c r="R742" s="33"/>
      <c r="S742" s="33"/>
      <c r="T742" s="33"/>
      <c r="U742" s="33"/>
      <c r="V742" s="33"/>
      <c r="W742" s="33"/>
    </row>
    <row r="743" spans="1:23" ht="16.5" customHeight="1" x14ac:dyDescent="0.25">
      <c r="A743" s="76" t="s">
        <v>4334</v>
      </c>
      <c r="B743" s="76" t="s">
        <v>5315</v>
      </c>
      <c r="C743" s="26" t="s">
        <v>64</v>
      </c>
      <c r="D743" s="26" t="s">
        <v>92</v>
      </c>
      <c r="E743" s="26" t="s">
        <v>9</v>
      </c>
      <c r="F743" s="28" t="e">
        <f ca="1">_xludf.ifna(VLOOKUP(G743,Proyectos!$A$2:$F$674,6,0),"")</f>
        <v>#NAME?</v>
      </c>
      <c r="G743" s="29" t="s">
        <v>5114</v>
      </c>
      <c r="H743" s="68">
        <v>1</v>
      </c>
      <c r="I743" s="31" t="s">
        <v>18</v>
      </c>
      <c r="J743" s="31" t="s">
        <v>26</v>
      </c>
      <c r="K743" s="32"/>
      <c r="L743" s="32" t="e">
        <f ca="1">_xludf.ifna(VLOOKUP(E743,Parámetros!$D$2:$E$34,2,0),"")</f>
        <v>#NAME?</v>
      </c>
      <c r="M743" s="32" t="e">
        <f ca="1">_xludf.ifna(VLOOKUP(G743,Proyectos!$A$2:$T$674,20,0),"")</f>
        <v>#NAME?</v>
      </c>
      <c r="N743" s="32" t="e">
        <f ca="1">_xludf.ifna(VLOOKUP(G743,Proyectos!$A$2:$S$674,19,0))</f>
        <v>#NAME?</v>
      </c>
      <c r="O743" s="31"/>
      <c r="P743" s="31"/>
      <c r="Q743" s="33"/>
      <c r="R743" s="33"/>
      <c r="S743" s="33"/>
      <c r="T743" s="33"/>
      <c r="U743" s="33"/>
      <c r="V743" s="33"/>
      <c r="W743" s="33"/>
    </row>
    <row r="744" spans="1:23" ht="16.5" customHeight="1" x14ac:dyDescent="0.25">
      <c r="A744" s="76" t="s">
        <v>4308</v>
      </c>
      <c r="B744" s="76" t="s">
        <v>5316</v>
      </c>
      <c r="C744" s="26" t="s">
        <v>64</v>
      </c>
      <c r="D744" s="26" t="s">
        <v>92</v>
      </c>
      <c r="E744" s="26" t="s">
        <v>9</v>
      </c>
      <c r="F744" s="28" t="e">
        <f ca="1">_xludf.ifna(VLOOKUP(G744,Proyectos!$A$2:$F$674,6,0),"")</f>
        <v>#NAME?</v>
      </c>
      <c r="G744" s="29" t="s">
        <v>5114</v>
      </c>
      <c r="H744" s="68">
        <v>1</v>
      </c>
      <c r="I744" s="31" t="s">
        <v>18</v>
      </c>
      <c r="J744" s="31" t="s">
        <v>12</v>
      </c>
      <c r="K744" s="32"/>
      <c r="L744" s="32" t="e">
        <f ca="1">_xludf.ifna(VLOOKUP(E744,Parámetros!$D$2:$E$34,2,0),"")</f>
        <v>#NAME?</v>
      </c>
      <c r="M744" s="32" t="e">
        <f ca="1">_xludf.ifna(VLOOKUP(G744,Proyectos!$A$2:$T$674,20,0),"")</f>
        <v>#NAME?</v>
      </c>
      <c r="N744" s="32" t="e">
        <f ca="1">_xludf.ifna(VLOOKUP(G744,Proyectos!$A$2:$S$674,19,0))</f>
        <v>#NAME?</v>
      </c>
      <c r="O744" s="31"/>
      <c r="P744" s="31"/>
      <c r="Q744" s="33"/>
      <c r="R744" s="33"/>
      <c r="S744" s="33"/>
      <c r="T744" s="33"/>
      <c r="U744" s="33"/>
      <c r="V744" s="33"/>
      <c r="W744" s="33"/>
    </row>
    <row r="745" spans="1:23" ht="16.5" customHeight="1" x14ac:dyDescent="0.25">
      <c r="A745" s="76" t="s">
        <v>4010</v>
      </c>
      <c r="B745" s="76" t="s">
        <v>4011</v>
      </c>
      <c r="C745" s="26" t="s">
        <v>64</v>
      </c>
      <c r="D745" s="26" t="s">
        <v>92</v>
      </c>
      <c r="E745" s="26" t="s">
        <v>114</v>
      </c>
      <c r="F745" s="28" t="e">
        <f ca="1">_xludf.ifna(VLOOKUP(G745,Proyectos!$A$2:$F$674,6,0),"")</f>
        <v>#NAME?</v>
      </c>
      <c r="G745" s="77" t="s">
        <v>5295</v>
      </c>
      <c r="H745" s="68">
        <v>0.02</v>
      </c>
      <c r="I745" s="31" t="s">
        <v>25</v>
      </c>
      <c r="J745" s="31" t="s">
        <v>72</v>
      </c>
      <c r="K745" s="32"/>
      <c r="L745" s="32" t="e">
        <f ca="1">_xludf.ifna(VLOOKUP(E745,Parámetros!$D$2:$E$34,2,0),"")</f>
        <v>#NAME?</v>
      </c>
      <c r="M745" s="32" t="e">
        <f ca="1">_xludf.ifna(VLOOKUP(G745,Proyectos!$A$2:$T$674,20,0),"")</f>
        <v>#NAME?</v>
      </c>
      <c r="N745" s="32" t="e">
        <f ca="1">_xludf.ifna(VLOOKUP(G745,Proyectos!$A$2:$S$674,19,0))</f>
        <v>#NAME?</v>
      </c>
      <c r="O745" s="31"/>
      <c r="P745" s="31"/>
      <c r="Q745" s="33"/>
      <c r="R745" s="33"/>
      <c r="S745" s="33"/>
      <c r="T745" s="33"/>
      <c r="U745" s="33"/>
      <c r="V745" s="33"/>
      <c r="W745" s="33"/>
    </row>
    <row r="746" spans="1:23" ht="16.5" customHeight="1" x14ac:dyDescent="0.25">
      <c r="A746" s="76" t="s">
        <v>4273</v>
      </c>
      <c r="B746" s="76" t="s">
        <v>5317</v>
      </c>
      <c r="C746" s="26" t="s">
        <v>64</v>
      </c>
      <c r="D746" s="26" t="s">
        <v>92</v>
      </c>
      <c r="E746" s="26" t="s">
        <v>129</v>
      </c>
      <c r="F746" s="28" t="e">
        <f ca="1">_xludf.ifna(VLOOKUP(G746,Proyectos!$A$2:$F$674,6,0),"")</f>
        <v>#NAME?</v>
      </c>
      <c r="G746" s="77" t="s">
        <v>5235</v>
      </c>
      <c r="H746" s="68">
        <v>1</v>
      </c>
      <c r="I746" s="31" t="s">
        <v>18</v>
      </c>
      <c r="J746" s="31" t="s">
        <v>26</v>
      </c>
      <c r="K746" s="32"/>
      <c r="L746" s="32" t="e">
        <f ca="1">_xludf.ifna(VLOOKUP(E746,Parámetros!$D$2:$E$34,2,0),"")</f>
        <v>#NAME?</v>
      </c>
      <c r="M746" s="32" t="e">
        <f ca="1">_xludf.ifna(VLOOKUP(G746,Proyectos!$A$2:$T$674,20,0),"")</f>
        <v>#NAME?</v>
      </c>
      <c r="N746" s="32" t="e">
        <f ca="1">_xludf.ifna(VLOOKUP(G746,Proyectos!$A$2:$S$674,19,0))</f>
        <v>#NAME?</v>
      </c>
      <c r="O746" s="31"/>
      <c r="P746" s="31"/>
      <c r="Q746" s="33"/>
      <c r="R746" s="33"/>
      <c r="S746" s="33"/>
      <c r="T746" s="33"/>
      <c r="U746" s="33"/>
      <c r="V746" s="33"/>
      <c r="W746" s="33"/>
    </row>
    <row r="747" spans="1:23" ht="16.5" customHeight="1" x14ac:dyDescent="0.25">
      <c r="A747" s="76" t="s">
        <v>4743</v>
      </c>
      <c r="B747" s="76" t="s">
        <v>4744</v>
      </c>
      <c r="C747" s="26" t="s">
        <v>64</v>
      </c>
      <c r="D747" s="26" t="s">
        <v>92</v>
      </c>
      <c r="E747" s="26" t="s">
        <v>39</v>
      </c>
      <c r="F747" s="28" t="e">
        <f ca="1">_xludf.ifna(VLOOKUP(G747,Proyectos!$A$2:$F$674,6,0),"")</f>
        <v>#NAME?</v>
      </c>
      <c r="G747" s="77" t="s">
        <v>5235</v>
      </c>
      <c r="H747" s="68">
        <v>0.2</v>
      </c>
      <c r="I747" s="31" t="s">
        <v>11</v>
      </c>
      <c r="J747" s="47" t="s">
        <v>72</v>
      </c>
      <c r="K747" s="44"/>
      <c r="L747" s="32" t="e">
        <f ca="1">_xludf.ifna(VLOOKUP(E747,Parámetros!$D$2:$E$34,2,0),"")</f>
        <v>#NAME?</v>
      </c>
      <c r="M747" s="32" t="e">
        <f ca="1">_xludf.ifna(VLOOKUP(G747,Proyectos!$A$2:$T$674,20,0),"")</f>
        <v>#NAME?</v>
      </c>
      <c r="N747" s="32" t="e">
        <f ca="1">_xludf.ifna(VLOOKUP(G747,Proyectos!$A$2:$S$674,19,0))</f>
        <v>#NAME?</v>
      </c>
      <c r="O747" s="31"/>
      <c r="P747" s="31"/>
      <c r="Q747" s="33"/>
      <c r="R747" s="33"/>
      <c r="S747" s="33"/>
      <c r="T747" s="33"/>
      <c r="U747" s="33"/>
      <c r="V747" s="33"/>
      <c r="W747" s="33"/>
    </row>
    <row r="748" spans="1:23" ht="16.5" customHeight="1" x14ac:dyDescent="0.25">
      <c r="A748" s="76" t="s">
        <v>4821</v>
      </c>
      <c r="B748" s="76" t="s">
        <v>5286</v>
      </c>
      <c r="C748" s="26" t="s">
        <v>64</v>
      </c>
      <c r="D748" s="26" t="s">
        <v>92</v>
      </c>
      <c r="E748" s="26" t="s">
        <v>39</v>
      </c>
      <c r="F748" s="28" t="e">
        <f ca="1">_xludf.ifna(VLOOKUP(G748,Proyectos!$A$2:$F$674,6,0),"")</f>
        <v>#NAME?</v>
      </c>
      <c r="G748" s="77" t="s">
        <v>5318</v>
      </c>
      <c r="H748" s="68">
        <v>0.2</v>
      </c>
      <c r="I748" s="31" t="s">
        <v>11</v>
      </c>
      <c r="J748" s="27" t="s">
        <v>72</v>
      </c>
      <c r="K748" s="51"/>
      <c r="L748" s="32" t="e">
        <f ca="1">_xludf.ifna(VLOOKUP(E748,Parámetros!$D$2:$E$34,2,0),"")</f>
        <v>#NAME?</v>
      </c>
      <c r="M748" s="32" t="e">
        <f ca="1">_xludf.ifna(VLOOKUP(G748,Proyectos!$A$2:$T$674,20,0),"")</f>
        <v>#NAME?</v>
      </c>
      <c r="N748" s="32" t="e">
        <f ca="1">_xludf.ifna(VLOOKUP(G748,Proyectos!$A$2:$S$674,19,0))</f>
        <v>#NAME?</v>
      </c>
      <c r="O748" s="31"/>
      <c r="P748" s="31"/>
      <c r="Q748" s="33"/>
      <c r="R748" s="33"/>
      <c r="S748" s="33">
        <v>2</v>
      </c>
      <c r="T748" s="33"/>
      <c r="U748" s="33"/>
      <c r="V748" s="33"/>
      <c r="W748" s="33"/>
    </row>
    <row r="749" spans="1:23" ht="16.5" customHeight="1" x14ac:dyDescent="0.25">
      <c r="A749" s="35"/>
      <c r="B749" s="76" t="s">
        <v>5304</v>
      </c>
      <c r="C749" s="26" t="s">
        <v>64</v>
      </c>
      <c r="D749" s="26" t="s">
        <v>92</v>
      </c>
      <c r="E749" s="26" t="s">
        <v>83</v>
      </c>
      <c r="F749" s="28" t="e">
        <f ca="1">_xludf.ifna(VLOOKUP(G749,Proyectos!$A$2:$F$674,6,0),"")</f>
        <v>#NAME?</v>
      </c>
      <c r="G749" s="77" t="s">
        <v>5318</v>
      </c>
      <c r="H749" s="68">
        <v>1</v>
      </c>
      <c r="I749" s="31" t="s">
        <v>25</v>
      </c>
      <c r="J749" s="31" t="s">
        <v>72</v>
      </c>
      <c r="K749" s="32"/>
      <c r="L749" s="32" t="e">
        <f ca="1">_xludf.ifna(VLOOKUP(E749,Parámetros!$D$2:$E$34,2,0),"")</f>
        <v>#NAME?</v>
      </c>
      <c r="M749" s="32" t="e">
        <f ca="1">_xludf.ifna(VLOOKUP(G749,Proyectos!$A$2:$T$674,20,0),"")</f>
        <v>#NAME?</v>
      </c>
      <c r="N749" s="32" t="e">
        <f ca="1">_xludf.ifna(VLOOKUP(G749,Proyectos!$A$2:$S$674,19,0))</f>
        <v>#NAME?</v>
      </c>
      <c r="O749" s="32"/>
      <c r="P749" s="31"/>
      <c r="Q749" s="33"/>
      <c r="R749" s="33"/>
      <c r="S749" s="33"/>
      <c r="T749" s="33"/>
      <c r="U749" s="33"/>
      <c r="V749" s="33"/>
      <c r="W749" s="33"/>
    </row>
    <row r="750" spans="1:23" ht="16.5" customHeight="1" x14ac:dyDescent="0.25">
      <c r="A750" s="35"/>
      <c r="B750" s="76" t="s">
        <v>5300</v>
      </c>
      <c r="C750" s="26" t="s">
        <v>64</v>
      </c>
      <c r="D750" s="26" t="s">
        <v>92</v>
      </c>
      <c r="E750" s="26" t="s">
        <v>9</v>
      </c>
      <c r="F750" s="28" t="e">
        <f ca="1">_xludf.ifna(VLOOKUP(G750,Proyectos!$A$2:$F$674,6,0),"")</f>
        <v>#NAME?</v>
      </c>
      <c r="G750" s="77" t="s">
        <v>5318</v>
      </c>
      <c r="H750" s="68">
        <v>1</v>
      </c>
      <c r="I750" s="31" t="s">
        <v>18</v>
      </c>
      <c r="J750" s="27" t="s">
        <v>26</v>
      </c>
      <c r="K750" s="51"/>
      <c r="L750" s="32" t="e">
        <f ca="1">_xludf.ifna(VLOOKUP(E750,Parámetros!$D$2:$E$34,2,0),"")</f>
        <v>#NAME?</v>
      </c>
      <c r="M750" s="32" t="e">
        <f ca="1">_xludf.ifna(VLOOKUP(G750,Proyectos!$A$2:$T$674,20,0),"")</f>
        <v>#NAME?</v>
      </c>
      <c r="N750" s="32" t="e">
        <f ca="1">_xludf.ifna(VLOOKUP(G750,Proyectos!$A$2:$S$674,19,0))</f>
        <v>#NAME?</v>
      </c>
      <c r="O750" s="31"/>
      <c r="P750" s="31"/>
      <c r="Q750" s="33"/>
      <c r="R750" s="33"/>
      <c r="S750" s="33"/>
      <c r="T750" s="33"/>
      <c r="U750" s="33"/>
      <c r="V750" s="33"/>
      <c r="W750" s="33"/>
    </row>
    <row r="751" spans="1:23" ht="16.5" customHeight="1" x14ac:dyDescent="0.25">
      <c r="A751" s="35"/>
      <c r="B751" s="76" t="s">
        <v>5301</v>
      </c>
      <c r="C751" s="26" t="s">
        <v>64</v>
      </c>
      <c r="D751" s="26" t="s">
        <v>92</v>
      </c>
      <c r="E751" s="26" t="s">
        <v>9</v>
      </c>
      <c r="F751" s="28" t="e">
        <f ca="1">_xludf.ifna(VLOOKUP(G751,Proyectos!$A$2:$F$674,6,0),"")</f>
        <v>#NAME?</v>
      </c>
      <c r="G751" s="77" t="s">
        <v>5318</v>
      </c>
      <c r="H751" s="68">
        <v>1</v>
      </c>
      <c r="I751" s="31" t="s">
        <v>18</v>
      </c>
      <c r="J751" s="31" t="s">
        <v>26</v>
      </c>
      <c r="K751" s="32"/>
      <c r="L751" s="32" t="e">
        <f ca="1">_xludf.ifna(VLOOKUP(E751,Parámetros!$D$2:$E$34,2,0),"")</f>
        <v>#NAME?</v>
      </c>
      <c r="M751" s="32" t="e">
        <f ca="1">_xludf.ifna(VLOOKUP(G751,Proyectos!$A$2:$T$674,20,0),"")</f>
        <v>#NAME?</v>
      </c>
      <c r="N751" s="32" t="e">
        <f ca="1">_xludf.ifna(VLOOKUP(G751,Proyectos!$A$2:$S$674,19,0))</f>
        <v>#NAME?</v>
      </c>
      <c r="O751" s="32"/>
      <c r="P751" s="31"/>
      <c r="Q751" s="33"/>
      <c r="R751" s="33"/>
      <c r="S751" s="33"/>
      <c r="T751" s="33"/>
      <c r="U751" s="33"/>
      <c r="V751" s="33"/>
      <c r="W751" s="33"/>
    </row>
    <row r="752" spans="1:23" ht="16.5" customHeight="1" x14ac:dyDescent="0.25">
      <c r="A752" s="76" t="s">
        <v>4821</v>
      </c>
      <c r="B752" s="76" t="s">
        <v>5286</v>
      </c>
      <c r="C752" s="26" t="s">
        <v>64</v>
      </c>
      <c r="D752" s="26" t="s">
        <v>92</v>
      </c>
      <c r="E752" s="26" t="s">
        <v>39</v>
      </c>
      <c r="F752" s="28" t="e">
        <f ca="1">_xludf.ifna(VLOOKUP(G752,Proyectos!$A$2:$F$674,6,0),"")</f>
        <v>#NAME?</v>
      </c>
      <c r="G752" s="77" t="s">
        <v>5319</v>
      </c>
      <c r="H752" s="68">
        <v>0.2</v>
      </c>
      <c r="I752" s="31" t="s">
        <v>11</v>
      </c>
      <c r="J752" s="31" t="s">
        <v>72</v>
      </c>
      <c r="K752" s="32"/>
      <c r="L752" s="32" t="e">
        <f ca="1">_xludf.ifna(VLOOKUP(E752,Parámetros!$D$2:$E$34,2,0),"")</f>
        <v>#NAME?</v>
      </c>
      <c r="M752" s="32" t="e">
        <f ca="1">_xludf.ifna(VLOOKUP(G752,Proyectos!$A$2:$T$674,20,0),"")</f>
        <v>#NAME?</v>
      </c>
      <c r="N752" s="32" t="e">
        <f ca="1">_xludf.ifna(VLOOKUP(G752,Proyectos!$A$2:$S$674,19,0))</f>
        <v>#NAME?</v>
      </c>
      <c r="O752" s="32"/>
      <c r="P752" s="31"/>
      <c r="Q752" s="33"/>
      <c r="R752" s="33"/>
      <c r="S752" s="33">
        <v>2</v>
      </c>
      <c r="T752" s="33"/>
      <c r="U752" s="33"/>
      <c r="V752" s="33"/>
      <c r="W752" s="33"/>
    </row>
    <row r="753" spans="1:23" ht="16.5" customHeight="1" x14ac:dyDescent="0.25">
      <c r="A753" s="76" t="s">
        <v>4792</v>
      </c>
      <c r="B753" s="76" t="s">
        <v>5311</v>
      </c>
      <c r="C753" s="26" t="s">
        <v>64</v>
      </c>
      <c r="D753" s="26" t="s">
        <v>92</v>
      </c>
      <c r="E753" s="26" t="s">
        <v>39</v>
      </c>
      <c r="F753" s="28" t="e">
        <f ca="1">_xludf.ifna(VLOOKUP(G753,Proyectos!$A$2:$F$674,6,0),"")</f>
        <v>#NAME?</v>
      </c>
      <c r="G753" s="77" t="s">
        <v>5319</v>
      </c>
      <c r="H753" s="68">
        <v>0.5</v>
      </c>
      <c r="I753" s="31" t="s">
        <v>18</v>
      </c>
      <c r="J753" s="31" t="s">
        <v>26</v>
      </c>
      <c r="K753" s="32"/>
      <c r="L753" s="32" t="e">
        <f ca="1">_xludf.ifna(VLOOKUP(E753,Parámetros!$D$2:$E$34,2,0),"")</f>
        <v>#NAME?</v>
      </c>
      <c r="M753" s="32" t="e">
        <f ca="1">_xludf.ifna(VLOOKUP(G753,Proyectos!$A$2:$T$674,20,0),"")</f>
        <v>#NAME?</v>
      </c>
      <c r="N753" s="32" t="e">
        <f ca="1">_xludf.ifna(VLOOKUP(G753,Proyectos!$A$2:$S$674,19,0))</f>
        <v>#NAME?</v>
      </c>
      <c r="O753" s="31"/>
      <c r="P753" s="31"/>
      <c r="Q753" s="33"/>
      <c r="R753" s="33"/>
      <c r="S753" s="33">
        <v>2</v>
      </c>
      <c r="T753" s="33"/>
      <c r="U753" s="33"/>
      <c r="V753" s="33"/>
      <c r="W753" s="33"/>
    </row>
    <row r="754" spans="1:23" ht="16.5" customHeight="1" x14ac:dyDescent="0.2">
      <c r="A754" s="35" t="s">
        <v>3390</v>
      </c>
      <c r="B754" s="35" t="s">
        <v>3391</v>
      </c>
      <c r="C754" s="35" t="s">
        <v>115</v>
      </c>
      <c r="D754" s="35" t="s">
        <v>116</v>
      </c>
      <c r="E754" s="35" t="s">
        <v>39</v>
      </c>
      <c r="F754" s="28" t="e">
        <f ca="1">_xludf.ifna(VLOOKUP(G754,Proyectos!$A$2:$F$674,6,0),"")</f>
        <v>#NAME?</v>
      </c>
      <c r="G754" s="29" t="s">
        <v>5320</v>
      </c>
      <c r="H754" s="30">
        <v>0.5</v>
      </c>
      <c r="I754" s="52" t="s">
        <v>18</v>
      </c>
      <c r="J754" s="52" t="s">
        <v>61</v>
      </c>
      <c r="K754" s="30"/>
      <c r="L754" s="32" t="e">
        <f ca="1">_xludf.ifna(VLOOKUP(E754,Parámetros!$D$2:$E$34,2,0),"")</f>
        <v>#NAME?</v>
      </c>
      <c r="M754" s="32" t="e">
        <f ca="1">_xludf.ifna(VLOOKUP(G754,Proyectos!$A$2:$T$674,20,0),"")</f>
        <v>#NAME?</v>
      </c>
      <c r="N754" s="32" t="e">
        <f ca="1">_xludf.ifna(VLOOKUP(G754,Proyectos!$A$2:$S$674,19,0))</f>
        <v>#NAME?</v>
      </c>
      <c r="O754" s="30"/>
      <c r="P754" s="62"/>
      <c r="Q754" s="62"/>
      <c r="R754" s="33"/>
      <c r="S754" s="33"/>
      <c r="T754" s="63">
        <f t="shared" ref="T754:T819" si="10">IF(B754=B753,0,1)</f>
        <v>1</v>
      </c>
      <c r="U754" s="33"/>
      <c r="V754" s="33"/>
      <c r="W754" s="33"/>
    </row>
    <row r="755" spans="1:23" ht="16.5" customHeight="1" x14ac:dyDescent="0.2">
      <c r="A755" s="35" t="s">
        <v>3390</v>
      </c>
      <c r="B755" s="35" t="s">
        <v>3391</v>
      </c>
      <c r="C755" s="35" t="s">
        <v>115</v>
      </c>
      <c r="D755" s="35" t="s">
        <v>116</v>
      </c>
      <c r="E755" s="35" t="s">
        <v>39</v>
      </c>
      <c r="F755" s="28" t="e">
        <f ca="1">_xludf.ifna(VLOOKUP(G755,Proyectos!$A$2:$F$674,6,0),"")</f>
        <v>#NAME?</v>
      </c>
      <c r="G755" s="29" t="s">
        <v>5321</v>
      </c>
      <c r="H755" s="30">
        <v>0.5</v>
      </c>
      <c r="I755" s="52" t="s">
        <v>18</v>
      </c>
      <c r="J755" s="52" t="s">
        <v>61</v>
      </c>
      <c r="K755" s="30"/>
      <c r="L755" s="32" t="e">
        <f ca="1">_xludf.ifna(VLOOKUP(E755,Parámetros!$D$2:$E$34,2,0),"")</f>
        <v>#NAME?</v>
      </c>
      <c r="M755" s="32" t="e">
        <f ca="1">_xludf.ifna(VLOOKUP(G755,Proyectos!$A$2:$T$674,20,0),"")</f>
        <v>#NAME?</v>
      </c>
      <c r="N755" s="32" t="e">
        <f ca="1">_xludf.ifna(VLOOKUP(G755,Proyectos!$A$2:$S$674,19,0))</f>
        <v>#NAME?</v>
      </c>
      <c r="O755" s="30"/>
      <c r="P755" s="62"/>
      <c r="Q755" s="62"/>
      <c r="R755" s="33"/>
      <c r="S755" s="33"/>
      <c r="T755" s="63">
        <f t="shared" si="10"/>
        <v>0</v>
      </c>
      <c r="U755" s="33"/>
      <c r="V755" s="33"/>
      <c r="W755" s="33"/>
    </row>
    <row r="756" spans="1:23" ht="16.5" customHeight="1" x14ac:dyDescent="0.2">
      <c r="A756" s="35" t="s">
        <v>4705</v>
      </c>
      <c r="B756" s="35" t="s">
        <v>4706</v>
      </c>
      <c r="C756" s="35" t="s">
        <v>115</v>
      </c>
      <c r="D756" s="35" t="s">
        <v>116</v>
      </c>
      <c r="E756" s="35" t="s">
        <v>39</v>
      </c>
      <c r="F756" s="28" t="e">
        <f ca="1">_xludf.ifna(VLOOKUP(G756,Proyectos!$A$2:$F$674,6,0),"")</f>
        <v>#NAME?</v>
      </c>
      <c r="G756" s="26" t="s">
        <v>5322</v>
      </c>
      <c r="H756" s="30">
        <v>0.3</v>
      </c>
      <c r="I756" s="52" t="s">
        <v>18</v>
      </c>
      <c r="J756" s="52" t="s">
        <v>19</v>
      </c>
      <c r="L756" s="32" t="e">
        <f ca="1">_xludf.ifna(VLOOKUP(E756,Parámetros!$D$2:$E$34,2,0),"")</f>
        <v>#NAME?</v>
      </c>
      <c r="M756" s="32" t="e">
        <f ca="1">_xludf.ifna(VLOOKUP(G756,Proyectos!$A$2:$T$674,20,0),"")</f>
        <v>#NAME?</v>
      </c>
      <c r="N756" s="32" t="e">
        <f ca="1">_xludf.ifna(VLOOKUP(G756,Proyectos!$A$2:$S$674,19,0))</f>
        <v>#NAME?</v>
      </c>
      <c r="O756" s="52"/>
      <c r="P756" s="62"/>
      <c r="Q756" s="62"/>
      <c r="R756" s="33"/>
      <c r="S756" s="33"/>
      <c r="T756" s="63">
        <f t="shared" si="10"/>
        <v>1</v>
      </c>
      <c r="U756" s="33"/>
      <c r="V756" s="33"/>
      <c r="W756" s="33"/>
    </row>
    <row r="757" spans="1:23" ht="16.5" customHeight="1" x14ac:dyDescent="0.2">
      <c r="A757" s="35" t="s">
        <v>4705</v>
      </c>
      <c r="B757" s="35" t="s">
        <v>4706</v>
      </c>
      <c r="C757" s="35" t="s">
        <v>115</v>
      </c>
      <c r="D757" s="35" t="s">
        <v>116</v>
      </c>
      <c r="E757" s="35" t="s">
        <v>39</v>
      </c>
      <c r="F757" s="28" t="e">
        <f ca="1">_xludf.ifna(VLOOKUP(G757,Proyectos!$A$2:$F$674,6,0),"")</f>
        <v>#NAME?</v>
      </c>
      <c r="G757" s="29" t="s">
        <v>5323</v>
      </c>
      <c r="H757" s="30">
        <v>0.7</v>
      </c>
      <c r="I757" s="52" t="s">
        <v>18</v>
      </c>
      <c r="J757" s="52" t="s">
        <v>19</v>
      </c>
      <c r="L757" s="32" t="e">
        <f ca="1">_xludf.ifna(VLOOKUP(E757,Parámetros!$D$2:$E$34,2,0),"")</f>
        <v>#NAME?</v>
      </c>
      <c r="M757" s="32" t="e">
        <f ca="1">_xludf.ifna(VLOOKUP(G757,Proyectos!$A$2:$T$674,20,0),"")</f>
        <v>#NAME?</v>
      </c>
      <c r="N757" s="32" t="e">
        <f ca="1">_xludf.ifna(VLOOKUP(G757,Proyectos!$A$2:$S$674,19,0))</f>
        <v>#NAME?</v>
      </c>
      <c r="O757" s="52"/>
      <c r="P757" s="62"/>
      <c r="Q757" s="62"/>
      <c r="R757" s="33"/>
      <c r="S757" s="33"/>
      <c r="T757" s="63">
        <f t="shared" si="10"/>
        <v>0</v>
      </c>
      <c r="U757" s="33"/>
      <c r="V757" s="33"/>
      <c r="W757" s="33"/>
    </row>
    <row r="758" spans="1:23" ht="16.5" customHeight="1" x14ac:dyDescent="0.2">
      <c r="A758" s="35" t="s">
        <v>4703</v>
      </c>
      <c r="B758" s="35" t="s">
        <v>4704</v>
      </c>
      <c r="C758" s="35" t="s">
        <v>115</v>
      </c>
      <c r="D758" s="35" t="s">
        <v>116</v>
      </c>
      <c r="E758" s="35" t="s">
        <v>39</v>
      </c>
      <c r="F758" s="28" t="e">
        <f ca="1">_xludf.ifna(VLOOKUP(G758,Proyectos!$A$2:$F$674,6,0),"")</f>
        <v>#NAME?</v>
      </c>
      <c r="G758" s="38" t="s">
        <v>5320</v>
      </c>
      <c r="H758" s="78">
        <v>0.5</v>
      </c>
      <c r="I758" s="52" t="s">
        <v>18</v>
      </c>
      <c r="J758" s="35" t="s">
        <v>61</v>
      </c>
      <c r="L758" s="32" t="e">
        <f ca="1">_xludf.ifna(VLOOKUP(E758,Parámetros!$D$2:$E$34,2,0),"")</f>
        <v>#NAME?</v>
      </c>
      <c r="M758" s="32" t="e">
        <f ca="1">_xludf.ifna(VLOOKUP(G758,Proyectos!$A$2:$T$674,20,0),"")</f>
        <v>#NAME?</v>
      </c>
      <c r="N758" s="32" t="e">
        <f ca="1">_xludf.ifna(VLOOKUP(G758,Proyectos!$A$2:$S$674,19,0))</f>
        <v>#NAME?</v>
      </c>
      <c r="O758" s="30"/>
      <c r="P758" s="62"/>
      <c r="Q758" s="62"/>
      <c r="R758" s="33"/>
      <c r="S758" s="33"/>
      <c r="T758" s="63">
        <f t="shared" si="10"/>
        <v>1</v>
      </c>
      <c r="U758" s="33"/>
      <c r="V758" s="33"/>
      <c r="W758" s="33"/>
    </row>
    <row r="759" spans="1:23" ht="16.5" customHeight="1" x14ac:dyDescent="0.2">
      <c r="A759" s="35" t="s">
        <v>4703</v>
      </c>
      <c r="B759" s="35" t="s">
        <v>4704</v>
      </c>
      <c r="C759" s="35" t="s">
        <v>115</v>
      </c>
      <c r="D759" s="35" t="s">
        <v>116</v>
      </c>
      <c r="E759" s="35" t="s">
        <v>39</v>
      </c>
      <c r="F759" s="28" t="e">
        <f ca="1">_xludf.ifna(VLOOKUP(G759,Proyectos!$A$2:$F$674,6,0),"")</f>
        <v>#NAME?</v>
      </c>
      <c r="G759" s="29" t="s">
        <v>5321</v>
      </c>
      <c r="H759" s="59">
        <v>0.5</v>
      </c>
      <c r="I759" s="52" t="s">
        <v>18</v>
      </c>
      <c r="J759" s="35" t="s">
        <v>61</v>
      </c>
      <c r="L759" s="32" t="e">
        <f ca="1">_xludf.ifna(VLOOKUP(E759,Parámetros!$D$2:$E$34,2,0),"")</f>
        <v>#NAME?</v>
      </c>
      <c r="M759" s="32" t="e">
        <f ca="1">_xludf.ifna(VLOOKUP(G759,Proyectos!$A$2:$T$674,20,0),"")</f>
        <v>#NAME?</v>
      </c>
      <c r="N759" s="32" t="e">
        <f ca="1">_xludf.ifna(VLOOKUP(G759,Proyectos!$A$2:$S$674,19,0))</f>
        <v>#NAME?</v>
      </c>
      <c r="O759" s="52"/>
      <c r="P759" s="62"/>
      <c r="Q759" s="62"/>
      <c r="R759" s="33"/>
      <c r="S759" s="33"/>
      <c r="T759" s="63">
        <f t="shared" si="10"/>
        <v>0</v>
      </c>
      <c r="U759" s="33"/>
      <c r="V759" s="33"/>
      <c r="W759" s="33"/>
    </row>
    <row r="760" spans="1:23" ht="16.5" customHeight="1" x14ac:dyDescent="0.2">
      <c r="A760" s="35" t="s">
        <v>4633</v>
      </c>
      <c r="B760" s="35" t="s">
        <v>4634</v>
      </c>
      <c r="C760" s="35" t="s">
        <v>115</v>
      </c>
      <c r="D760" s="35" t="s">
        <v>116</v>
      </c>
      <c r="E760" s="35" t="s">
        <v>39</v>
      </c>
      <c r="F760" s="28" t="e">
        <f ca="1">_xludf.ifna(VLOOKUP(G760,Proyectos!$A$2:$F$674,6,0),"")</f>
        <v>#NAME?</v>
      </c>
      <c r="G760" s="29" t="s">
        <v>5320</v>
      </c>
      <c r="H760" s="30">
        <v>1</v>
      </c>
      <c r="I760" s="52" t="s">
        <v>18</v>
      </c>
      <c r="J760" s="52" t="s">
        <v>61</v>
      </c>
      <c r="L760" s="32" t="e">
        <f ca="1">_xludf.ifna(VLOOKUP(E760,Parámetros!$D$2:$E$34,2,0),"")</f>
        <v>#NAME?</v>
      </c>
      <c r="M760" s="32" t="e">
        <f ca="1">_xludf.ifna(VLOOKUP(G760,Proyectos!$A$2:$T$674,20,0),"")</f>
        <v>#NAME?</v>
      </c>
      <c r="N760" s="32" t="e">
        <f ca="1">_xludf.ifna(VLOOKUP(G760,Proyectos!$A$2:$S$674,19,0))</f>
        <v>#NAME?</v>
      </c>
      <c r="O760" s="30"/>
      <c r="P760" s="62"/>
      <c r="Q760" s="62"/>
      <c r="R760" s="33"/>
      <c r="S760" s="33"/>
      <c r="T760" s="63">
        <f t="shared" si="10"/>
        <v>1</v>
      </c>
      <c r="U760" s="33"/>
      <c r="V760" s="33"/>
      <c r="W760" s="33"/>
    </row>
    <row r="761" spans="1:23" ht="16.5" customHeight="1" x14ac:dyDescent="0.2">
      <c r="A761" s="35" t="s">
        <v>4689</v>
      </c>
      <c r="B761" s="35" t="s">
        <v>4690</v>
      </c>
      <c r="C761" s="35" t="s">
        <v>115</v>
      </c>
      <c r="D761" s="35" t="s">
        <v>116</v>
      </c>
      <c r="E761" s="35" t="s">
        <v>39</v>
      </c>
      <c r="F761" s="28" t="e">
        <f ca="1">_xludf.ifna(VLOOKUP(G761,Proyectos!$A$2:$F$674,6,0),"")</f>
        <v>#NAME?</v>
      </c>
      <c r="G761" s="29" t="s">
        <v>5320</v>
      </c>
      <c r="H761" s="30">
        <v>0.5</v>
      </c>
      <c r="I761" s="52" t="s">
        <v>11</v>
      </c>
      <c r="J761" s="52" t="s">
        <v>61</v>
      </c>
      <c r="L761" s="32" t="e">
        <f ca="1">_xludf.ifna(VLOOKUP(E761,Parámetros!$D$2:$E$34,2,0),"")</f>
        <v>#NAME?</v>
      </c>
      <c r="M761" s="32" t="e">
        <f ca="1">_xludf.ifna(VLOOKUP(G761,Proyectos!$A$2:$T$674,20,0),"")</f>
        <v>#NAME?</v>
      </c>
      <c r="N761" s="32" t="e">
        <f ca="1">_xludf.ifna(VLOOKUP(G761,Proyectos!$A$2:$S$674,19,0))</f>
        <v>#NAME?</v>
      </c>
      <c r="O761" s="30"/>
      <c r="P761" s="62"/>
      <c r="Q761" s="62"/>
      <c r="R761" s="33"/>
      <c r="S761" s="33"/>
      <c r="T761" s="63">
        <f t="shared" si="10"/>
        <v>1</v>
      </c>
      <c r="U761" s="33"/>
      <c r="V761" s="33"/>
      <c r="W761" s="33"/>
    </row>
    <row r="762" spans="1:23" ht="16.5" customHeight="1" x14ac:dyDescent="0.2">
      <c r="A762" s="35" t="s">
        <v>4689</v>
      </c>
      <c r="B762" s="35" t="s">
        <v>4690</v>
      </c>
      <c r="C762" s="35" t="s">
        <v>115</v>
      </c>
      <c r="D762" s="35" t="s">
        <v>116</v>
      </c>
      <c r="E762" s="35" t="s">
        <v>39</v>
      </c>
      <c r="F762" s="28" t="e">
        <f ca="1">_xludf.ifna(VLOOKUP(G762,Proyectos!$A$2:$F$674,6,0),"")</f>
        <v>#NAME?</v>
      </c>
      <c r="G762" s="29" t="s">
        <v>5321</v>
      </c>
      <c r="H762" s="30">
        <v>0.5</v>
      </c>
      <c r="I762" s="52" t="s">
        <v>11</v>
      </c>
      <c r="J762" s="52" t="s">
        <v>19</v>
      </c>
      <c r="L762" s="32" t="e">
        <f ca="1">_xludf.ifna(VLOOKUP(E762,Parámetros!$D$2:$E$34,2,0),"")</f>
        <v>#NAME?</v>
      </c>
      <c r="M762" s="32" t="e">
        <f ca="1">_xludf.ifna(VLOOKUP(G762,Proyectos!$A$2:$T$674,20,0),"")</f>
        <v>#NAME?</v>
      </c>
      <c r="N762" s="32" t="e">
        <f ca="1">_xludf.ifna(VLOOKUP(G762,Proyectos!$A$2:$S$674,19,0))</f>
        <v>#NAME?</v>
      </c>
      <c r="O762" s="30"/>
      <c r="P762" s="62"/>
      <c r="Q762" s="62"/>
      <c r="R762" s="33"/>
      <c r="S762" s="33"/>
      <c r="T762" s="63">
        <f t="shared" si="10"/>
        <v>0</v>
      </c>
      <c r="U762" s="33"/>
      <c r="V762" s="33"/>
      <c r="W762" s="33"/>
    </row>
    <row r="763" spans="1:23" ht="16.5" customHeight="1" x14ac:dyDescent="0.2">
      <c r="A763" s="35" t="s">
        <v>3518</v>
      </c>
      <c r="B763" s="35" t="s">
        <v>3519</v>
      </c>
      <c r="C763" s="35" t="s">
        <v>115</v>
      </c>
      <c r="D763" s="35" t="s">
        <v>116</v>
      </c>
      <c r="E763" s="35" t="s">
        <v>39</v>
      </c>
      <c r="F763" s="28" t="e">
        <f ca="1">_xludf.ifna(VLOOKUP(G763,Proyectos!$A$2:$F$674,6,0),"")</f>
        <v>#NAME?</v>
      </c>
      <c r="G763" s="29" t="s">
        <v>5318</v>
      </c>
      <c r="H763" s="30">
        <v>1</v>
      </c>
      <c r="I763" s="52" t="s">
        <v>18</v>
      </c>
      <c r="J763" s="52" t="s">
        <v>61</v>
      </c>
      <c r="L763" s="32" t="e">
        <f ca="1">_xludf.ifna(VLOOKUP(E763,Parámetros!$D$2:$E$34,2,0),"")</f>
        <v>#NAME?</v>
      </c>
      <c r="M763" s="32" t="e">
        <f ca="1">_xludf.ifna(VLOOKUP(G763,Proyectos!$A$2:$T$674,20,0),"")</f>
        <v>#NAME?</v>
      </c>
      <c r="N763" s="32" t="e">
        <f ca="1">_xludf.ifna(VLOOKUP(G763,Proyectos!$A$2:$S$674,19,0))</f>
        <v>#NAME?</v>
      </c>
      <c r="O763" s="52"/>
      <c r="P763" s="62"/>
      <c r="Q763" s="62"/>
      <c r="R763" s="33"/>
      <c r="S763" s="33"/>
      <c r="T763" s="63">
        <f t="shared" si="10"/>
        <v>1</v>
      </c>
      <c r="U763" s="33"/>
      <c r="V763" s="33"/>
      <c r="W763" s="33"/>
    </row>
    <row r="764" spans="1:23" ht="16.5" customHeight="1" x14ac:dyDescent="0.2">
      <c r="A764" s="35" t="s">
        <v>3765</v>
      </c>
      <c r="B764" s="35" t="s">
        <v>3766</v>
      </c>
      <c r="C764" s="35" t="s">
        <v>115</v>
      </c>
      <c r="D764" s="35" t="s">
        <v>116</v>
      </c>
      <c r="E764" s="35" t="s">
        <v>39</v>
      </c>
      <c r="F764" s="28" t="e">
        <f ca="1">_xludf.ifna(VLOOKUP(G764,Proyectos!$A$2:$F$674,6,0),"")</f>
        <v>#NAME?</v>
      </c>
      <c r="G764" s="29" t="s">
        <v>5324</v>
      </c>
      <c r="H764" s="30">
        <v>1</v>
      </c>
      <c r="I764" s="52" t="s">
        <v>18</v>
      </c>
      <c r="J764" s="52" t="s">
        <v>61</v>
      </c>
      <c r="L764" s="32" t="e">
        <f ca="1">_xludf.ifna(VLOOKUP(E764,Parámetros!$D$2:$E$34,2,0),"")</f>
        <v>#NAME?</v>
      </c>
      <c r="M764" s="32" t="e">
        <f ca="1">_xludf.ifna(VLOOKUP(G764,Proyectos!$A$2:$T$674,20,0),"")</f>
        <v>#NAME?</v>
      </c>
      <c r="N764" s="32" t="e">
        <f ca="1">_xludf.ifna(VLOOKUP(G764,Proyectos!$A$2:$S$674,19,0))</f>
        <v>#NAME?</v>
      </c>
      <c r="O764" s="30"/>
      <c r="P764" s="62"/>
      <c r="Q764" s="62"/>
      <c r="R764" s="33"/>
      <c r="S764" s="33"/>
      <c r="T764" s="63">
        <f t="shared" si="10"/>
        <v>1</v>
      </c>
      <c r="U764" s="33"/>
      <c r="V764" s="33"/>
      <c r="W764" s="33"/>
    </row>
    <row r="765" spans="1:23" ht="16.5" customHeight="1" x14ac:dyDescent="0.2">
      <c r="A765" s="35" t="s">
        <v>3745</v>
      </c>
      <c r="B765" s="35" t="s">
        <v>3746</v>
      </c>
      <c r="C765" s="35" t="s">
        <v>115</v>
      </c>
      <c r="D765" s="35" t="s">
        <v>116</v>
      </c>
      <c r="E765" s="35" t="s">
        <v>39</v>
      </c>
      <c r="F765" s="28" t="e">
        <f ca="1">_xludf.ifna(VLOOKUP(G765,Proyectos!$A$2:$F$674,6,0),"")</f>
        <v>#NAME?</v>
      </c>
      <c r="G765" s="29" t="s">
        <v>5325</v>
      </c>
      <c r="H765" s="30">
        <v>1</v>
      </c>
      <c r="I765" s="52" t="s">
        <v>18</v>
      </c>
      <c r="J765" s="52" t="s">
        <v>61</v>
      </c>
      <c r="L765" s="32" t="e">
        <f ca="1">_xludf.ifna(VLOOKUP(E765,Parámetros!$D$2:$E$34,2,0),"")</f>
        <v>#NAME?</v>
      </c>
      <c r="M765" s="32" t="e">
        <f ca="1">_xludf.ifna(VLOOKUP(G765,Proyectos!$A$2:$T$674,20,0),"")</f>
        <v>#NAME?</v>
      </c>
      <c r="N765" s="32" t="e">
        <f ca="1">_xludf.ifna(VLOOKUP(G765,Proyectos!$A$2:$S$674,19,0))</f>
        <v>#NAME?</v>
      </c>
      <c r="O765" s="30"/>
      <c r="P765" s="62"/>
      <c r="Q765" s="62"/>
      <c r="R765" s="33"/>
      <c r="S765" s="33"/>
      <c r="T765" s="63">
        <f t="shared" si="10"/>
        <v>1</v>
      </c>
      <c r="U765" s="33"/>
      <c r="V765" s="33"/>
      <c r="W765" s="33"/>
    </row>
    <row r="766" spans="1:23" ht="16.5" customHeight="1" x14ac:dyDescent="0.2">
      <c r="A766" s="35" t="s">
        <v>3516</v>
      </c>
      <c r="B766" s="35" t="s">
        <v>3517</v>
      </c>
      <c r="C766" s="35" t="s">
        <v>115</v>
      </c>
      <c r="D766" s="35" t="s">
        <v>116</v>
      </c>
      <c r="E766" s="35" t="s">
        <v>39</v>
      </c>
      <c r="F766" s="28" t="e">
        <f ca="1">_xludf.ifna(VLOOKUP(G766,Proyectos!$A$2:$F$674,6,0),"")</f>
        <v>#NAME?</v>
      </c>
      <c r="G766" s="29" t="s">
        <v>5318</v>
      </c>
      <c r="H766" s="30">
        <v>0.25</v>
      </c>
      <c r="I766" s="52" t="s">
        <v>18</v>
      </c>
      <c r="J766" s="52" t="s">
        <v>19</v>
      </c>
      <c r="L766" s="32" t="e">
        <f ca="1">_xludf.ifna(VLOOKUP(E766,Parámetros!$D$2:$E$34,2,0),"")</f>
        <v>#NAME?</v>
      </c>
      <c r="M766" s="32" t="e">
        <f ca="1">_xludf.ifna(VLOOKUP(G766,Proyectos!$A$2:$T$674,20,0),"")</f>
        <v>#NAME?</v>
      </c>
      <c r="N766" s="32" t="e">
        <f ca="1">_xludf.ifna(VLOOKUP(G766,Proyectos!$A$2:$S$674,19,0))</f>
        <v>#NAME?</v>
      </c>
      <c r="O766" s="30"/>
      <c r="P766" s="62"/>
      <c r="Q766" s="62"/>
      <c r="R766" s="33"/>
      <c r="S766" s="33"/>
      <c r="T766" s="63">
        <f t="shared" si="10"/>
        <v>1</v>
      </c>
      <c r="U766" s="33"/>
      <c r="V766" s="33"/>
      <c r="W766" s="33"/>
    </row>
    <row r="767" spans="1:23" ht="16.5" customHeight="1" x14ac:dyDescent="0.2">
      <c r="A767" s="35" t="s">
        <v>3516</v>
      </c>
      <c r="B767" s="35" t="s">
        <v>3517</v>
      </c>
      <c r="C767" s="35" t="s">
        <v>115</v>
      </c>
      <c r="D767" s="35" t="s">
        <v>116</v>
      </c>
      <c r="E767" s="35" t="s">
        <v>39</v>
      </c>
      <c r="F767" s="28" t="e">
        <f ca="1">_xludf.ifna(VLOOKUP(G767,Proyectos!$A$2:$F$674,6,0),"")</f>
        <v>#NAME?</v>
      </c>
      <c r="G767" s="29" t="s">
        <v>5237</v>
      </c>
      <c r="H767" s="30">
        <v>0.75</v>
      </c>
      <c r="I767" s="52" t="s">
        <v>18</v>
      </c>
      <c r="J767" s="52" t="s">
        <v>19</v>
      </c>
      <c r="L767" s="32" t="e">
        <f ca="1">_xludf.ifna(VLOOKUP(E767,Parámetros!$D$2:$E$34,2,0),"")</f>
        <v>#NAME?</v>
      </c>
      <c r="M767" s="32" t="e">
        <f ca="1">_xludf.ifna(VLOOKUP(G767,Proyectos!$A$2:$T$674,20,0),"")</f>
        <v>#NAME?</v>
      </c>
      <c r="N767" s="32" t="e">
        <f ca="1">_xludf.ifna(VLOOKUP(G767,Proyectos!$A$2:$S$674,19,0))</f>
        <v>#NAME?</v>
      </c>
      <c r="O767" s="30"/>
      <c r="P767" s="62"/>
      <c r="Q767" s="62"/>
      <c r="R767" s="33"/>
      <c r="S767" s="33"/>
      <c r="T767" s="63">
        <f t="shared" si="10"/>
        <v>0</v>
      </c>
      <c r="U767" s="33"/>
      <c r="V767" s="33"/>
      <c r="W767" s="33"/>
    </row>
    <row r="768" spans="1:23" ht="16.5" customHeight="1" x14ac:dyDescent="0.2">
      <c r="A768" s="35" t="s">
        <v>3590</v>
      </c>
      <c r="B768" s="35" t="s">
        <v>3591</v>
      </c>
      <c r="C768" s="35" t="s">
        <v>115</v>
      </c>
      <c r="D768" s="35" t="s">
        <v>116</v>
      </c>
      <c r="E768" s="35" t="s">
        <v>39</v>
      </c>
      <c r="F768" s="28" t="e">
        <f ca="1">_xludf.ifna(VLOOKUP(G768,Proyectos!$A$2:$F$674,6,0),"")</f>
        <v>#NAME?</v>
      </c>
      <c r="G768" s="29" t="s">
        <v>5237</v>
      </c>
      <c r="H768" s="30">
        <v>1</v>
      </c>
      <c r="I768" s="52" t="s">
        <v>18</v>
      </c>
      <c r="J768" s="52" t="s">
        <v>12</v>
      </c>
      <c r="L768" s="32" t="e">
        <f ca="1">_xludf.ifna(VLOOKUP(E768,Parámetros!$D$2:$E$34,2,0),"")</f>
        <v>#NAME?</v>
      </c>
      <c r="M768" s="32" t="e">
        <f ca="1">_xludf.ifna(VLOOKUP(G768,Proyectos!$A$2:$T$674,20,0),"")</f>
        <v>#NAME?</v>
      </c>
      <c r="N768" s="32" t="e">
        <f ca="1">_xludf.ifna(VLOOKUP(G768,Proyectos!$A$2:$S$674,19,0))</f>
        <v>#NAME?</v>
      </c>
      <c r="O768" s="30"/>
      <c r="P768" s="62"/>
      <c r="Q768" s="62"/>
      <c r="R768" s="33"/>
      <c r="S768" s="33"/>
      <c r="T768" s="63">
        <f t="shared" si="10"/>
        <v>1</v>
      </c>
      <c r="U768" s="33"/>
      <c r="V768" s="33"/>
      <c r="W768" s="33"/>
    </row>
    <row r="769" spans="1:23" ht="16.5" customHeight="1" x14ac:dyDescent="0.2">
      <c r="A769" s="35" t="s">
        <v>3319</v>
      </c>
      <c r="B769" s="35" t="s">
        <v>3320</v>
      </c>
      <c r="C769" s="35" t="s">
        <v>115</v>
      </c>
      <c r="D769" s="35" t="s">
        <v>116</v>
      </c>
      <c r="E769" s="35" t="s">
        <v>39</v>
      </c>
      <c r="F769" s="28" t="e">
        <f ca="1">_xludf.ifna(VLOOKUP(G769,Proyectos!$A$2:$F$674,6,0),"")</f>
        <v>#NAME?</v>
      </c>
      <c r="G769" s="29" t="s">
        <v>5324</v>
      </c>
      <c r="H769" s="30">
        <v>0.5</v>
      </c>
      <c r="I769" s="52" t="s">
        <v>18</v>
      </c>
      <c r="J769" s="52" t="s">
        <v>61</v>
      </c>
      <c r="L769" s="32" t="e">
        <f ca="1">_xludf.ifna(VLOOKUP(E769,Parámetros!$D$2:$E$34,2,0),"")</f>
        <v>#NAME?</v>
      </c>
      <c r="M769" s="32" t="e">
        <f ca="1">_xludf.ifna(VLOOKUP(G769,Proyectos!$A$2:$T$674,20,0),"")</f>
        <v>#NAME?</v>
      </c>
      <c r="N769" s="32" t="e">
        <f ca="1">_xludf.ifna(VLOOKUP(G769,Proyectos!$A$2:$S$674,19,0))</f>
        <v>#NAME?</v>
      </c>
      <c r="O769" s="52"/>
      <c r="P769" s="62"/>
      <c r="Q769" s="62"/>
      <c r="R769" s="33"/>
      <c r="S769" s="33"/>
      <c r="T769" s="63">
        <f t="shared" si="10"/>
        <v>1</v>
      </c>
      <c r="U769" s="33"/>
      <c r="V769" s="33"/>
      <c r="W769" s="33"/>
    </row>
    <row r="770" spans="1:23" ht="16.5" customHeight="1" x14ac:dyDescent="0.2">
      <c r="A770" s="35" t="s">
        <v>3319</v>
      </c>
      <c r="B770" s="35" t="s">
        <v>3320</v>
      </c>
      <c r="C770" s="35" t="s">
        <v>115</v>
      </c>
      <c r="D770" s="35" t="s">
        <v>116</v>
      </c>
      <c r="E770" s="35" t="s">
        <v>39</v>
      </c>
      <c r="F770" s="28" t="e">
        <f ca="1">_xludf.ifna(VLOOKUP(G770,Proyectos!$A$2:$F$674,6,0),"")</f>
        <v>#NAME?</v>
      </c>
      <c r="G770" s="29" t="s">
        <v>5318</v>
      </c>
      <c r="H770" s="30">
        <v>0.2</v>
      </c>
      <c r="I770" s="52" t="s">
        <v>18</v>
      </c>
      <c r="J770" s="52" t="s">
        <v>61</v>
      </c>
      <c r="L770" s="32" t="e">
        <f ca="1">_xludf.ifna(VLOOKUP(E770,Parámetros!$D$2:$E$34,2,0),"")</f>
        <v>#NAME?</v>
      </c>
      <c r="M770" s="32" t="e">
        <f ca="1">_xludf.ifna(VLOOKUP(G770,Proyectos!$A$2:$T$674,20,0),"")</f>
        <v>#NAME?</v>
      </c>
      <c r="N770" s="32" t="e">
        <f ca="1">_xludf.ifna(VLOOKUP(G770,Proyectos!$A$2:$S$674,19,0))</f>
        <v>#NAME?</v>
      </c>
      <c r="O770" s="52"/>
      <c r="P770" s="62"/>
      <c r="Q770" s="62"/>
      <c r="R770" s="33"/>
      <c r="S770" s="33"/>
      <c r="T770" s="63">
        <f t="shared" si="10"/>
        <v>0</v>
      </c>
      <c r="U770" s="33"/>
      <c r="V770" s="33"/>
      <c r="W770" s="33"/>
    </row>
    <row r="771" spans="1:23" ht="16.5" customHeight="1" x14ac:dyDescent="0.2">
      <c r="A771" s="35" t="s">
        <v>3319</v>
      </c>
      <c r="B771" s="35" t="s">
        <v>3320</v>
      </c>
      <c r="C771" s="35" t="s">
        <v>115</v>
      </c>
      <c r="D771" s="35" t="s">
        <v>116</v>
      </c>
      <c r="E771" s="35" t="s">
        <v>39</v>
      </c>
      <c r="F771" s="28" t="e">
        <f ca="1">_xludf.ifna(VLOOKUP(G771,Proyectos!$A$2:$F$674,6,0),"")</f>
        <v>#NAME?</v>
      </c>
      <c r="G771" s="29" t="s">
        <v>5325</v>
      </c>
      <c r="H771" s="30">
        <v>0.1</v>
      </c>
      <c r="I771" s="52" t="s">
        <v>18</v>
      </c>
      <c r="J771" s="52" t="s">
        <v>61</v>
      </c>
      <c r="L771" s="32" t="e">
        <f ca="1">_xludf.ifna(VLOOKUP(E771,Parámetros!$D$2:$E$34,2,0),"")</f>
        <v>#NAME?</v>
      </c>
      <c r="M771" s="32" t="e">
        <f ca="1">_xludf.ifna(VLOOKUP(G771,Proyectos!$A$2:$T$674,20,0),"")</f>
        <v>#NAME?</v>
      </c>
      <c r="N771" s="32" t="e">
        <f ca="1">_xludf.ifna(VLOOKUP(G771,Proyectos!$A$2:$S$674,19,0))</f>
        <v>#NAME?</v>
      </c>
      <c r="O771" s="30"/>
      <c r="P771" s="62"/>
      <c r="Q771" s="62"/>
      <c r="R771" s="33"/>
      <c r="S771" s="33"/>
      <c r="T771" s="63">
        <f t="shared" si="10"/>
        <v>0</v>
      </c>
      <c r="U771" s="33"/>
      <c r="V771" s="33"/>
      <c r="W771" s="33"/>
    </row>
    <row r="772" spans="1:23" ht="16.5" customHeight="1" x14ac:dyDescent="0.2">
      <c r="A772" s="35" t="s">
        <v>3319</v>
      </c>
      <c r="B772" s="35" t="s">
        <v>3320</v>
      </c>
      <c r="C772" s="35" t="s">
        <v>115</v>
      </c>
      <c r="D772" s="35" t="s">
        <v>116</v>
      </c>
      <c r="E772" s="35" t="s">
        <v>39</v>
      </c>
      <c r="F772" s="28" t="e">
        <f ca="1">_xludf.ifna(VLOOKUP(G772,Proyectos!$A$2:$F$674,6,0),"")</f>
        <v>#NAME?</v>
      </c>
      <c r="G772" s="29" t="s">
        <v>5322</v>
      </c>
      <c r="H772" s="30">
        <v>0.2</v>
      </c>
      <c r="I772" s="52" t="s">
        <v>18</v>
      </c>
      <c r="J772" s="52" t="s">
        <v>61</v>
      </c>
      <c r="L772" s="32" t="e">
        <f ca="1">_xludf.ifna(VLOOKUP(E772,Parámetros!$D$2:$E$34,2,0),"")</f>
        <v>#NAME?</v>
      </c>
      <c r="M772" s="32" t="e">
        <f ca="1">_xludf.ifna(VLOOKUP(G772,Proyectos!$A$2:$T$674,20,0),"")</f>
        <v>#NAME?</v>
      </c>
      <c r="N772" s="32" t="e">
        <f ca="1">_xludf.ifna(VLOOKUP(G772,Proyectos!$A$2:$S$674,19,0))</f>
        <v>#NAME?</v>
      </c>
      <c r="O772" s="52"/>
      <c r="P772" s="62"/>
      <c r="Q772" s="62"/>
      <c r="R772" s="33"/>
      <c r="S772" s="33"/>
      <c r="T772" s="63">
        <f t="shared" si="10"/>
        <v>0</v>
      </c>
      <c r="U772" s="33"/>
      <c r="V772" s="33"/>
      <c r="W772" s="33"/>
    </row>
    <row r="773" spans="1:23" ht="16.5" customHeight="1" x14ac:dyDescent="0.2">
      <c r="A773" s="35" t="s">
        <v>3576</v>
      </c>
      <c r="B773" s="35" t="s">
        <v>3577</v>
      </c>
      <c r="C773" s="35" t="s">
        <v>115</v>
      </c>
      <c r="D773" s="35" t="s">
        <v>116</v>
      </c>
      <c r="E773" s="35" t="s">
        <v>39</v>
      </c>
      <c r="F773" s="28" t="e">
        <f ca="1">_xludf.ifna(VLOOKUP(G773,Proyectos!$A$2:$F$674,6,0),"")</f>
        <v>#NAME?</v>
      </c>
      <c r="G773" s="29" t="s">
        <v>5322</v>
      </c>
      <c r="H773" s="30">
        <v>1</v>
      </c>
      <c r="I773" s="52" t="s">
        <v>18</v>
      </c>
      <c r="J773" s="52" t="s">
        <v>19</v>
      </c>
      <c r="L773" s="32" t="e">
        <f ca="1">_xludf.ifna(VLOOKUP(E773,Parámetros!$D$2:$E$34,2,0),"")</f>
        <v>#NAME?</v>
      </c>
      <c r="M773" s="32" t="e">
        <f ca="1">_xludf.ifna(VLOOKUP(G773,Proyectos!$A$2:$T$674,20,0),"")</f>
        <v>#NAME?</v>
      </c>
      <c r="N773" s="32" t="e">
        <f ca="1">_xludf.ifna(VLOOKUP(G773,Proyectos!$A$2:$S$674,19,0))</f>
        <v>#NAME?</v>
      </c>
      <c r="O773" s="52"/>
      <c r="P773" s="62"/>
      <c r="Q773" s="62"/>
      <c r="R773" s="33"/>
      <c r="S773" s="33"/>
      <c r="T773" s="63">
        <f t="shared" si="10"/>
        <v>1</v>
      </c>
      <c r="U773" s="33"/>
      <c r="V773" s="33"/>
      <c r="W773" s="33"/>
    </row>
    <row r="774" spans="1:23" ht="16.5" customHeight="1" x14ac:dyDescent="0.2">
      <c r="A774" s="26" t="s">
        <v>4815</v>
      </c>
      <c r="B774" s="26" t="s">
        <v>4816</v>
      </c>
      <c r="C774" s="35" t="s">
        <v>115</v>
      </c>
      <c r="D774" s="35" t="s">
        <v>116</v>
      </c>
      <c r="E774" s="35" t="s">
        <v>39</v>
      </c>
      <c r="F774" s="28" t="e">
        <f ca="1">_xludf.ifna(VLOOKUP(G774,Proyectos!$A$2:$F$674,6,0),"")</f>
        <v>#NAME?</v>
      </c>
      <c r="G774" s="29" t="s">
        <v>5318</v>
      </c>
      <c r="H774" s="32">
        <v>0.2</v>
      </c>
      <c r="I774" s="52" t="s">
        <v>11</v>
      </c>
      <c r="J774" s="31" t="s">
        <v>19</v>
      </c>
      <c r="K774" s="32"/>
      <c r="L774" s="32" t="e">
        <f ca="1">_xludf.ifna(VLOOKUP(E774,Parámetros!$D$2:$E$34,2,0),"")</f>
        <v>#NAME?</v>
      </c>
      <c r="M774" s="32" t="e">
        <f ca="1">_xludf.ifna(VLOOKUP(G774,Proyectos!$A$2:$T$674,20,0),"")</f>
        <v>#NAME?</v>
      </c>
      <c r="N774" s="32" t="e">
        <f ca="1">_xludf.ifna(VLOOKUP(G774,Proyectos!$A$2:$S$674,19,0))</f>
        <v>#NAME?</v>
      </c>
      <c r="O774" s="32"/>
      <c r="P774" s="31"/>
      <c r="Q774" s="33"/>
      <c r="R774" s="33"/>
      <c r="S774" s="33"/>
      <c r="T774" s="63">
        <f t="shared" si="10"/>
        <v>1</v>
      </c>
      <c r="U774" s="33"/>
      <c r="V774" s="33"/>
      <c r="W774" s="33"/>
    </row>
    <row r="775" spans="1:23" ht="16.5" customHeight="1" x14ac:dyDescent="0.2">
      <c r="A775" s="26" t="s">
        <v>4815</v>
      </c>
      <c r="B775" s="26" t="s">
        <v>4816</v>
      </c>
      <c r="C775" s="35" t="s">
        <v>115</v>
      </c>
      <c r="D775" s="35" t="s">
        <v>116</v>
      </c>
      <c r="E775" s="35" t="s">
        <v>39</v>
      </c>
      <c r="F775" s="28" t="e">
        <f ca="1">_xludf.ifna(VLOOKUP(G775,Proyectos!$A$2:$F$674,6,0),"")</f>
        <v>#NAME?</v>
      </c>
      <c r="G775" s="29" t="s">
        <v>5237</v>
      </c>
      <c r="H775" s="32">
        <v>0.2</v>
      </c>
      <c r="I775" s="52" t="s">
        <v>11</v>
      </c>
      <c r="J775" s="31" t="s">
        <v>12</v>
      </c>
      <c r="K775" s="32"/>
      <c r="L775" s="32" t="e">
        <f ca="1">_xludf.ifna(VLOOKUP(E775,Parámetros!$D$2:$E$34,2,0),"")</f>
        <v>#NAME?</v>
      </c>
      <c r="M775" s="32" t="e">
        <f ca="1">_xludf.ifna(VLOOKUP(G775,Proyectos!$A$2:$T$674,20,0),"")</f>
        <v>#NAME?</v>
      </c>
      <c r="N775" s="32" t="e">
        <f ca="1">_xludf.ifna(VLOOKUP(G775,Proyectos!$A$2:$S$674,19,0))</f>
        <v>#NAME?</v>
      </c>
      <c r="O775" s="32"/>
      <c r="P775" s="31"/>
      <c r="Q775" s="33"/>
      <c r="R775" s="33"/>
      <c r="S775" s="33"/>
      <c r="T775" s="63">
        <f t="shared" si="10"/>
        <v>0</v>
      </c>
      <c r="U775" s="33"/>
      <c r="V775" s="33"/>
      <c r="W775" s="33"/>
    </row>
    <row r="776" spans="1:23" ht="16.5" customHeight="1" x14ac:dyDescent="0.2">
      <c r="A776" s="26" t="s">
        <v>4815</v>
      </c>
      <c r="B776" s="26" t="s">
        <v>4816</v>
      </c>
      <c r="C776" s="35" t="s">
        <v>115</v>
      </c>
      <c r="D776" s="35" t="s">
        <v>116</v>
      </c>
      <c r="E776" s="35" t="s">
        <v>39</v>
      </c>
      <c r="F776" s="28" t="e">
        <f ca="1">_xludf.ifna(VLOOKUP(G776,Proyectos!$A$2:$F$674,6,0),"")</f>
        <v>#NAME?</v>
      </c>
      <c r="G776" s="29" t="s">
        <v>5322</v>
      </c>
      <c r="H776" s="32">
        <v>0.2</v>
      </c>
      <c r="I776" s="52" t="s">
        <v>11</v>
      </c>
      <c r="J776" s="31" t="s">
        <v>12</v>
      </c>
      <c r="K776" s="32"/>
      <c r="L776" s="32" t="e">
        <f ca="1">_xludf.ifna(VLOOKUP(E776,Parámetros!$D$2:$E$34,2,0),"")</f>
        <v>#NAME?</v>
      </c>
      <c r="M776" s="32" t="e">
        <f ca="1">_xludf.ifna(VLOOKUP(G776,Proyectos!$A$2:$T$674,20,0),"")</f>
        <v>#NAME?</v>
      </c>
      <c r="N776" s="32" t="e">
        <f ca="1">_xludf.ifna(VLOOKUP(G776,Proyectos!$A$2:$S$674,19,0))</f>
        <v>#NAME?</v>
      </c>
      <c r="O776" s="31"/>
      <c r="P776" s="31"/>
      <c r="Q776" s="33"/>
      <c r="R776" s="33"/>
      <c r="S776" s="33"/>
      <c r="T776" s="63">
        <f t="shared" si="10"/>
        <v>0</v>
      </c>
      <c r="U776" s="33"/>
      <c r="V776" s="33"/>
      <c r="W776" s="33"/>
    </row>
    <row r="777" spans="1:23" ht="16.5" customHeight="1" x14ac:dyDescent="0.2">
      <c r="A777" s="26" t="s">
        <v>4815</v>
      </c>
      <c r="B777" s="26" t="s">
        <v>4816</v>
      </c>
      <c r="C777" s="35" t="s">
        <v>115</v>
      </c>
      <c r="D777" s="35" t="s">
        <v>116</v>
      </c>
      <c r="E777" s="35" t="s">
        <v>39</v>
      </c>
      <c r="F777" s="28" t="e">
        <f ca="1">_xludf.ifna(VLOOKUP(G777,Proyectos!$A$2:$F$674,6,0),"")</f>
        <v>#NAME?</v>
      </c>
      <c r="G777" s="29" t="s">
        <v>5325</v>
      </c>
      <c r="H777" s="32">
        <v>0.2</v>
      </c>
      <c r="I777" s="52" t="s">
        <v>11</v>
      </c>
      <c r="J777" s="31" t="s">
        <v>61</v>
      </c>
      <c r="K777" s="32"/>
      <c r="L777" s="32" t="e">
        <f ca="1">_xludf.ifna(VLOOKUP(E777,Parámetros!$D$2:$E$34,2,0),"")</f>
        <v>#NAME?</v>
      </c>
      <c r="M777" s="32" t="e">
        <f ca="1">_xludf.ifna(VLOOKUP(G777,Proyectos!$A$2:$T$674,20,0),"")</f>
        <v>#NAME?</v>
      </c>
      <c r="N777" s="32" t="e">
        <f ca="1">_xludf.ifna(VLOOKUP(G777,Proyectos!$A$2:$S$674,19,0))</f>
        <v>#NAME?</v>
      </c>
      <c r="O777" s="32"/>
      <c r="P777" s="31"/>
      <c r="Q777" s="33"/>
      <c r="R777" s="33"/>
      <c r="S777" s="33"/>
      <c r="T777" s="63">
        <f t="shared" si="10"/>
        <v>0</v>
      </c>
      <c r="U777" s="33"/>
      <c r="V777" s="33"/>
      <c r="W777" s="33"/>
    </row>
    <row r="778" spans="1:23" ht="16.5" customHeight="1" x14ac:dyDescent="0.2">
      <c r="A778" s="26" t="s">
        <v>4815</v>
      </c>
      <c r="B778" s="26" t="s">
        <v>4816</v>
      </c>
      <c r="C778" s="35" t="s">
        <v>115</v>
      </c>
      <c r="D778" s="35" t="s">
        <v>116</v>
      </c>
      <c r="E778" s="35" t="s">
        <v>39</v>
      </c>
      <c r="F778" s="28" t="e">
        <f ca="1">_xludf.ifna(VLOOKUP(G778,Proyectos!$A$2:$F$674,6,0),"")</f>
        <v>#NAME?</v>
      </c>
      <c r="G778" s="29" t="s">
        <v>5324</v>
      </c>
      <c r="H778" s="32">
        <v>0.2</v>
      </c>
      <c r="I778" s="52" t="s">
        <v>11</v>
      </c>
      <c r="J778" s="31" t="s">
        <v>61</v>
      </c>
      <c r="K778" s="32"/>
      <c r="L778" s="32" t="e">
        <f ca="1">_xludf.ifna(VLOOKUP(E778,Parámetros!$D$2:$E$34,2,0),"")</f>
        <v>#NAME?</v>
      </c>
      <c r="M778" s="32" t="e">
        <f ca="1">_xludf.ifna(VLOOKUP(G778,Proyectos!$A$2:$T$674,20,0),"")</f>
        <v>#NAME?</v>
      </c>
      <c r="N778" s="32" t="e">
        <f ca="1">_xludf.ifna(VLOOKUP(G778,Proyectos!$A$2:$S$674,19,0))</f>
        <v>#NAME?</v>
      </c>
      <c r="O778" s="31"/>
      <c r="P778" s="31"/>
      <c r="Q778" s="33"/>
      <c r="R778" s="33"/>
      <c r="S778" s="33"/>
      <c r="T778" s="63">
        <f t="shared" si="10"/>
        <v>0</v>
      </c>
      <c r="U778" s="33"/>
      <c r="V778" s="33"/>
      <c r="W778" s="33"/>
    </row>
    <row r="779" spans="1:23" ht="16.5" customHeight="1" x14ac:dyDescent="0.2">
      <c r="A779" s="35" t="s">
        <v>4120</v>
      </c>
      <c r="B779" s="35" t="s">
        <v>4121</v>
      </c>
      <c r="C779" s="35" t="s">
        <v>115</v>
      </c>
      <c r="D779" s="35" t="s">
        <v>116</v>
      </c>
      <c r="E779" s="35" t="s">
        <v>108</v>
      </c>
      <c r="F779" s="28" t="e">
        <f ca="1">_xludf.ifna(VLOOKUP(G779,Proyectos!$A$2:$F$674,6,0),"")</f>
        <v>#NAME?</v>
      </c>
      <c r="G779" s="29" t="s">
        <v>5325</v>
      </c>
      <c r="H779" s="30">
        <v>1</v>
      </c>
      <c r="I779" s="52" t="s">
        <v>18</v>
      </c>
      <c r="J779" s="31" t="s">
        <v>61</v>
      </c>
      <c r="L779" s="32" t="e">
        <f ca="1">_xludf.ifna(VLOOKUP(E779,Parámetros!$D$2:$E$34,2,0),"")</f>
        <v>#NAME?</v>
      </c>
      <c r="M779" s="32" t="e">
        <f ca="1">_xludf.ifna(VLOOKUP(G779,Proyectos!$A$2:$T$674,20,0),"")</f>
        <v>#NAME?</v>
      </c>
      <c r="N779" s="32" t="e">
        <f ca="1">_xludf.ifna(VLOOKUP(G779,Proyectos!$A$2:$S$674,19,0))</f>
        <v>#NAME?</v>
      </c>
      <c r="O779" s="30"/>
      <c r="P779" s="62"/>
      <c r="Q779" s="62"/>
      <c r="R779" s="33"/>
      <c r="S779" s="33"/>
      <c r="T779" s="63">
        <f t="shared" si="10"/>
        <v>1</v>
      </c>
      <c r="U779" s="33"/>
      <c r="V779" s="33"/>
      <c r="W779" s="33"/>
    </row>
    <row r="780" spans="1:23" ht="16.5" customHeight="1" x14ac:dyDescent="0.2">
      <c r="A780" s="35" t="s">
        <v>4187</v>
      </c>
      <c r="B780" s="35" t="s">
        <v>4188</v>
      </c>
      <c r="C780" s="35" t="s">
        <v>115</v>
      </c>
      <c r="D780" s="35" t="s">
        <v>116</v>
      </c>
      <c r="E780" s="35" t="s">
        <v>114</v>
      </c>
      <c r="F780" s="28" t="e">
        <f ca="1">_xludf.ifna(VLOOKUP(G780,Proyectos!$A$2:$F$674,6,0),"")</f>
        <v>#NAME?</v>
      </c>
      <c r="G780" s="29" t="s">
        <v>5325</v>
      </c>
      <c r="H780" s="30">
        <v>1</v>
      </c>
      <c r="I780" s="52" t="s">
        <v>25</v>
      </c>
      <c r="J780" s="52" t="s">
        <v>61</v>
      </c>
      <c r="L780" s="32" t="e">
        <f ca="1">_xludf.ifna(VLOOKUP(E780,Parámetros!$D$2:$E$34,2,0),"")</f>
        <v>#NAME?</v>
      </c>
      <c r="M780" s="32" t="e">
        <f ca="1">_xludf.ifna(VLOOKUP(G780,Proyectos!$A$2:$T$674,20,0),"")</f>
        <v>#NAME?</v>
      </c>
      <c r="N780" s="32" t="e">
        <f ca="1">_xludf.ifna(VLOOKUP(G780,Proyectos!$A$2:$S$674,19,0))</f>
        <v>#NAME?</v>
      </c>
      <c r="O780" s="30"/>
      <c r="P780" s="62"/>
      <c r="Q780" s="62"/>
      <c r="R780" s="33"/>
      <c r="S780" s="33"/>
      <c r="T780" s="63">
        <f t="shared" si="10"/>
        <v>1</v>
      </c>
      <c r="U780" s="33"/>
      <c r="V780" s="33"/>
      <c r="W780" s="33"/>
    </row>
    <row r="781" spans="1:23" ht="16.5" customHeight="1" x14ac:dyDescent="0.2">
      <c r="A781" s="35" t="s">
        <v>5017</v>
      </c>
      <c r="B781" s="35" t="s">
        <v>5018</v>
      </c>
      <c r="C781" s="35" t="s">
        <v>115</v>
      </c>
      <c r="D781" s="35" t="s">
        <v>116</v>
      </c>
      <c r="E781" s="35" t="s">
        <v>83</v>
      </c>
      <c r="F781" s="28" t="e">
        <f ca="1">_xludf.ifna(VLOOKUP(G781,Proyectos!$A$2:$F$674,6,0),"")</f>
        <v>#NAME?</v>
      </c>
      <c r="G781" s="29" t="s">
        <v>5318</v>
      </c>
      <c r="H781" s="30">
        <v>1</v>
      </c>
      <c r="I781" s="52" t="s">
        <v>25</v>
      </c>
      <c r="J781" s="52" t="s">
        <v>61</v>
      </c>
      <c r="L781" s="32" t="e">
        <f ca="1">_xludf.ifna(VLOOKUP(E781,Parámetros!$D$2:$E$34,2,0),"")</f>
        <v>#NAME?</v>
      </c>
      <c r="M781" s="32" t="e">
        <f ca="1">_xludf.ifna(VLOOKUP(G781,Proyectos!$A$2:$T$674,20,0),"")</f>
        <v>#NAME?</v>
      </c>
      <c r="N781" s="32" t="e">
        <f ca="1">_xludf.ifna(VLOOKUP(G781,Proyectos!$A$2:$S$674,19,0))</f>
        <v>#NAME?</v>
      </c>
      <c r="O781" s="30"/>
      <c r="P781" s="62"/>
      <c r="Q781" s="62"/>
      <c r="R781" s="33"/>
      <c r="S781" s="33"/>
      <c r="T781" s="63">
        <f t="shared" si="10"/>
        <v>1</v>
      </c>
      <c r="U781" s="33"/>
      <c r="V781" s="33"/>
      <c r="W781" s="33"/>
    </row>
    <row r="782" spans="1:23" ht="16.5" customHeight="1" x14ac:dyDescent="0.2">
      <c r="A782" s="26" t="s">
        <v>4946</v>
      </c>
      <c r="B782" s="26" t="s">
        <v>4947</v>
      </c>
      <c r="C782" s="35" t="s">
        <v>115</v>
      </c>
      <c r="D782" s="35" t="s">
        <v>116</v>
      </c>
      <c r="E782" s="35" t="s">
        <v>83</v>
      </c>
      <c r="F782" s="28" t="e">
        <f ca="1">_xludf.ifna(VLOOKUP(G782,Proyectos!$A$2:$F$674,6,0),"")</f>
        <v>#NAME?</v>
      </c>
      <c r="G782" s="29" t="s">
        <v>5318</v>
      </c>
      <c r="H782" s="30">
        <v>1</v>
      </c>
      <c r="I782" s="52" t="s">
        <v>25</v>
      </c>
      <c r="J782" s="52" t="s">
        <v>61</v>
      </c>
      <c r="K782" s="31"/>
      <c r="L782" s="32" t="e">
        <f ca="1">_xludf.ifna(VLOOKUP(E782,Parámetros!$D$2:$E$34,2,0),"")</f>
        <v>#NAME?</v>
      </c>
      <c r="M782" s="32" t="e">
        <f ca="1">_xludf.ifna(VLOOKUP(G782,Proyectos!$A$2:$T$674,20,0),"")</f>
        <v>#NAME?</v>
      </c>
      <c r="N782" s="32" t="e">
        <f ca="1">_xludf.ifna(VLOOKUP(G782,Proyectos!$A$2:$S$674,19,0))</f>
        <v>#NAME?</v>
      </c>
      <c r="O782" s="31"/>
      <c r="P782" s="31"/>
      <c r="Q782" s="33"/>
      <c r="R782" s="33"/>
      <c r="S782" s="33"/>
      <c r="T782" s="63">
        <f t="shared" si="10"/>
        <v>1</v>
      </c>
      <c r="U782" s="33"/>
      <c r="V782" s="33"/>
      <c r="W782" s="33"/>
    </row>
    <row r="783" spans="1:23" ht="16.5" customHeight="1" x14ac:dyDescent="0.2">
      <c r="A783" s="26" t="s">
        <v>4849</v>
      </c>
      <c r="B783" s="26" t="s">
        <v>4850</v>
      </c>
      <c r="C783" s="35" t="s">
        <v>115</v>
      </c>
      <c r="D783" s="35" t="s">
        <v>116</v>
      </c>
      <c r="E783" s="35" t="s">
        <v>83</v>
      </c>
      <c r="F783" s="28" t="e">
        <f ca="1">_xludf.ifna(VLOOKUP(G783,Proyectos!$A$2:$F$674,6,0),"")</f>
        <v>#NAME?</v>
      </c>
      <c r="G783" s="29" t="s">
        <v>5237</v>
      </c>
      <c r="H783" s="30">
        <v>1</v>
      </c>
      <c r="I783" s="52" t="s">
        <v>25</v>
      </c>
      <c r="J783" s="52" t="s">
        <v>61</v>
      </c>
      <c r="K783" s="32"/>
      <c r="L783" s="32" t="e">
        <f ca="1">_xludf.ifna(VLOOKUP(E783,Parámetros!$D$2:$E$34,2,0),"")</f>
        <v>#NAME?</v>
      </c>
      <c r="M783" s="32" t="e">
        <f ca="1">_xludf.ifna(VLOOKUP(G783,Proyectos!$A$2:$T$674,20,0),"")</f>
        <v>#NAME?</v>
      </c>
      <c r="N783" s="32" t="e">
        <f ca="1">_xludf.ifna(VLOOKUP(G783,Proyectos!$A$2:$S$674,19,0))</f>
        <v>#NAME?</v>
      </c>
      <c r="O783" s="31"/>
      <c r="P783" s="31"/>
      <c r="Q783" s="33"/>
      <c r="R783" s="33"/>
      <c r="S783" s="33"/>
      <c r="T783" s="63">
        <f t="shared" si="10"/>
        <v>1</v>
      </c>
      <c r="U783" s="33"/>
      <c r="V783" s="33"/>
      <c r="W783" s="33"/>
    </row>
    <row r="784" spans="1:23" ht="16.5" customHeight="1" x14ac:dyDescent="0.2">
      <c r="A784" s="35" t="s">
        <v>4421</v>
      </c>
      <c r="B784" s="35" t="s">
        <v>4422</v>
      </c>
      <c r="C784" s="35" t="s">
        <v>115</v>
      </c>
      <c r="D784" s="35" t="s">
        <v>116</v>
      </c>
      <c r="E784" s="35" t="s">
        <v>9</v>
      </c>
      <c r="F784" s="28" t="e">
        <f ca="1">_xludf.ifna(VLOOKUP(G784,Proyectos!$A$2:$F$674,6,0),"")</f>
        <v>#NAME?</v>
      </c>
      <c r="G784" s="29" t="s">
        <v>5237</v>
      </c>
      <c r="H784" s="30">
        <v>1</v>
      </c>
      <c r="I784" s="52" t="s">
        <v>18</v>
      </c>
      <c r="J784" s="52" t="s">
        <v>61</v>
      </c>
      <c r="L784" s="32" t="e">
        <f ca="1">_xludf.ifna(VLOOKUP(E784,Parámetros!$D$2:$E$34,2,0),"")</f>
        <v>#NAME?</v>
      </c>
      <c r="M784" s="32" t="e">
        <f ca="1">_xludf.ifna(VLOOKUP(G784,Proyectos!$A$2:$T$674,20,0),"")</f>
        <v>#NAME?</v>
      </c>
      <c r="N784" s="32" t="e">
        <f ca="1">_xludf.ifna(VLOOKUP(G784,Proyectos!$A$2:$S$674,19,0))</f>
        <v>#NAME?</v>
      </c>
      <c r="O784" s="52"/>
      <c r="P784" s="62"/>
      <c r="Q784" s="62"/>
      <c r="R784" s="33"/>
      <c r="S784" s="33"/>
      <c r="T784" s="63">
        <f t="shared" si="10"/>
        <v>1</v>
      </c>
      <c r="U784" s="33"/>
      <c r="V784" s="33"/>
      <c r="W784" s="33"/>
    </row>
    <row r="785" spans="1:23" ht="16.5" customHeight="1" x14ac:dyDescent="0.2">
      <c r="A785" s="35" t="s">
        <v>4423</v>
      </c>
      <c r="B785" s="35" t="s">
        <v>4424</v>
      </c>
      <c r="C785" s="35" t="s">
        <v>115</v>
      </c>
      <c r="D785" s="35" t="s">
        <v>116</v>
      </c>
      <c r="E785" s="35" t="s">
        <v>9</v>
      </c>
      <c r="F785" s="28" t="e">
        <f ca="1">_xludf.ifna(VLOOKUP(G785,Proyectos!$A$2:$F$674,6,0),"")</f>
        <v>#NAME?</v>
      </c>
      <c r="G785" s="38" t="s">
        <v>5318</v>
      </c>
      <c r="H785" s="78">
        <v>1</v>
      </c>
      <c r="I785" s="52" t="s">
        <v>18</v>
      </c>
      <c r="J785" s="35" t="s">
        <v>26</v>
      </c>
      <c r="L785" s="32" t="e">
        <f ca="1">_xludf.ifna(VLOOKUP(E785,Parámetros!$D$2:$E$34,2,0),"")</f>
        <v>#NAME?</v>
      </c>
      <c r="M785" s="32" t="e">
        <f ca="1">_xludf.ifna(VLOOKUP(G785,Proyectos!$A$2:$T$674,20,0),"")</f>
        <v>#NAME?</v>
      </c>
      <c r="N785" s="32" t="e">
        <f ca="1">_xludf.ifna(VLOOKUP(G785,Proyectos!$A$2:$S$674,19,0))</f>
        <v>#NAME?</v>
      </c>
      <c r="O785" s="30"/>
      <c r="P785" s="62"/>
      <c r="Q785" s="62"/>
      <c r="R785" s="33"/>
      <c r="S785" s="33"/>
      <c r="T785" s="63">
        <f t="shared" si="10"/>
        <v>1</v>
      </c>
      <c r="U785" s="33"/>
      <c r="V785" s="33"/>
      <c r="W785" s="33"/>
    </row>
    <row r="786" spans="1:23" ht="16.5" customHeight="1" x14ac:dyDescent="0.2">
      <c r="A786" s="35" t="s">
        <v>3317</v>
      </c>
      <c r="B786" s="35" t="s">
        <v>3318</v>
      </c>
      <c r="C786" s="35" t="s">
        <v>115</v>
      </c>
      <c r="D786" s="35" t="s">
        <v>116</v>
      </c>
      <c r="E786" s="35" t="s">
        <v>39</v>
      </c>
      <c r="F786" s="28" t="e">
        <f ca="1">_xludf.ifna(VLOOKUP(G786,Proyectos!$A$2:$F$674,6,0),"")</f>
        <v>#NAME?</v>
      </c>
      <c r="G786" s="29" t="s">
        <v>5323</v>
      </c>
      <c r="H786" s="30">
        <v>0.5</v>
      </c>
      <c r="I786" s="52" t="s">
        <v>18</v>
      </c>
      <c r="J786" s="52" t="s">
        <v>61</v>
      </c>
      <c r="L786" s="32" t="e">
        <f ca="1">_xludf.ifna(VLOOKUP(E786,Parámetros!$D$2:$E$34,2,0),"")</f>
        <v>#NAME?</v>
      </c>
      <c r="M786" s="32" t="e">
        <f ca="1">_xludf.ifna(VLOOKUP(G786,Proyectos!$A$2:$T$674,20,0),"")</f>
        <v>#NAME?</v>
      </c>
      <c r="N786" s="32" t="e">
        <f ca="1">_xludf.ifna(VLOOKUP(G786,Proyectos!$A$2:$S$674,19,0))</f>
        <v>#NAME?</v>
      </c>
      <c r="O786" s="52"/>
      <c r="P786" s="62"/>
      <c r="Q786" s="62"/>
      <c r="R786" s="33"/>
      <c r="S786" s="33"/>
      <c r="T786" s="63">
        <f t="shared" si="10"/>
        <v>1</v>
      </c>
      <c r="U786" s="33"/>
      <c r="V786" s="33"/>
      <c r="W786" s="33"/>
    </row>
    <row r="787" spans="1:23" ht="16.5" customHeight="1" x14ac:dyDescent="0.2">
      <c r="A787" s="35" t="s">
        <v>3317</v>
      </c>
      <c r="B787" s="35" t="s">
        <v>3318</v>
      </c>
      <c r="C787" s="35" t="s">
        <v>115</v>
      </c>
      <c r="D787" s="35" t="s">
        <v>116</v>
      </c>
      <c r="E787" s="35" t="s">
        <v>39</v>
      </c>
      <c r="F787" s="28" t="e">
        <f ca="1">_xludf.ifna(VLOOKUP(G787,Proyectos!$A$2:$F$674,6,0),"")</f>
        <v>#NAME?</v>
      </c>
      <c r="G787" s="26" t="s">
        <v>5326</v>
      </c>
      <c r="H787" s="30">
        <v>0.25</v>
      </c>
      <c r="I787" s="52" t="s">
        <v>18</v>
      </c>
      <c r="J787" s="52" t="s">
        <v>61</v>
      </c>
      <c r="L787" s="32" t="e">
        <f ca="1">_xludf.ifna(VLOOKUP(E787,Parámetros!$D$2:$E$34,2,0),"")</f>
        <v>#NAME?</v>
      </c>
      <c r="M787" s="32" t="e">
        <f ca="1">_xludf.ifna(VLOOKUP(G787,Proyectos!$A$2:$T$674,20,0),"")</f>
        <v>#NAME?</v>
      </c>
      <c r="N787" s="32" t="e">
        <f ca="1">_xludf.ifna(VLOOKUP(G787,Proyectos!$A$2:$S$674,19,0))</f>
        <v>#NAME?</v>
      </c>
      <c r="O787" s="52"/>
      <c r="P787" s="62"/>
      <c r="Q787" s="62"/>
      <c r="R787" s="33"/>
      <c r="S787" s="33"/>
      <c r="T787" s="63">
        <f t="shared" si="10"/>
        <v>0</v>
      </c>
      <c r="U787" s="33"/>
      <c r="V787" s="33"/>
      <c r="W787" s="33"/>
    </row>
    <row r="788" spans="1:23" ht="16.5" customHeight="1" x14ac:dyDescent="0.2">
      <c r="A788" s="35" t="s">
        <v>3317</v>
      </c>
      <c r="B788" s="35" t="s">
        <v>3318</v>
      </c>
      <c r="C788" s="35" t="s">
        <v>115</v>
      </c>
      <c r="D788" s="35" t="s">
        <v>116</v>
      </c>
      <c r="E788" s="35" t="s">
        <v>39</v>
      </c>
      <c r="F788" s="28" t="e">
        <f ca="1">_xludf.ifna(VLOOKUP(G788,Proyectos!$A$2:$F$674,6,0),"")</f>
        <v>#NAME?</v>
      </c>
      <c r="G788" s="26" t="s">
        <v>5327</v>
      </c>
      <c r="H788" s="30">
        <v>0.25</v>
      </c>
      <c r="I788" s="52" t="s">
        <v>18</v>
      </c>
      <c r="J788" s="52" t="s">
        <v>61</v>
      </c>
      <c r="L788" s="32" t="e">
        <f ca="1">_xludf.ifna(VLOOKUP(E788,Parámetros!$D$2:$E$34,2,0),"")</f>
        <v>#NAME?</v>
      </c>
      <c r="M788" s="32" t="e">
        <f ca="1">_xludf.ifna(VLOOKUP(G788,Proyectos!$A$2:$T$674,20,0),"")</f>
        <v>#NAME?</v>
      </c>
      <c r="N788" s="32" t="e">
        <f ca="1">_xludf.ifna(VLOOKUP(G788,Proyectos!$A$2:$S$674,19,0))</f>
        <v>#NAME?</v>
      </c>
      <c r="O788" s="52"/>
      <c r="P788" s="62"/>
      <c r="Q788" s="62"/>
      <c r="R788" s="33"/>
      <c r="S788" s="33"/>
      <c r="T788" s="63">
        <f t="shared" si="10"/>
        <v>0</v>
      </c>
      <c r="U788" s="33"/>
      <c r="V788" s="33"/>
      <c r="W788" s="33"/>
    </row>
    <row r="789" spans="1:23" ht="16.5" customHeight="1" x14ac:dyDescent="0.2">
      <c r="A789" s="35" t="s">
        <v>4627</v>
      </c>
      <c r="B789" s="35" t="s">
        <v>4628</v>
      </c>
      <c r="C789" s="35" t="s">
        <v>115</v>
      </c>
      <c r="D789" s="35" t="s">
        <v>116</v>
      </c>
      <c r="E789" s="35" t="s">
        <v>39</v>
      </c>
      <c r="F789" s="28" t="e">
        <f ca="1">_xludf.ifna(VLOOKUP(G789,Proyectos!$A$2:$F$674,6,0),"")</f>
        <v>#NAME?</v>
      </c>
      <c r="G789" s="38" t="s">
        <v>5323</v>
      </c>
      <c r="H789" s="78">
        <v>0.9</v>
      </c>
      <c r="I789" s="52" t="s">
        <v>18</v>
      </c>
      <c r="J789" s="35" t="s">
        <v>61</v>
      </c>
      <c r="L789" s="32" t="e">
        <f ca="1">_xludf.ifna(VLOOKUP(E789,Parámetros!$D$2:$E$34,2,0),"")</f>
        <v>#NAME?</v>
      </c>
      <c r="M789" s="32" t="e">
        <f ca="1">_xludf.ifna(VLOOKUP(G789,Proyectos!$A$2:$T$674,20,0),"")</f>
        <v>#NAME?</v>
      </c>
      <c r="N789" s="32" t="e">
        <f ca="1">_xludf.ifna(VLOOKUP(G789,Proyectos!$A$2:$S$674,19,0))</f>
        <v>#NAME?</v>
      </c>
      <c r="O789" s="52"/>
      <c r="P789" s="62"/>
      <c r="Q789" s="62"/>
      <c r="R789" s="33"/>
      <c r="S789" s="33"/>
      <c r="T789" s="63">
        <f t="shared" si="10"/>
        <v>1</v>
      </c>
      <c r="U789" s="33"/>
      <c r="V789" s="33"/>
      <c r="W789" s="33"/>
    </row>
    <row r="790" spans="1:23" ht="16.5" customHeight="1" x14ac:dyDescent="0.2">
      <c r="A790" s="35" t="s">
        <v>4627</v>
      </c>
      <c r="B790" s="35" t="s">
        <v>4628</v>
      </c>
      <c r="C790" s="35" t="s">
        <v>115</v>
      </c>
      <c r="D790" s="35" t="s">
        <v>116</v>
      </c>
      <c r="E790" s="35" t="s">
        <v>39</v>
      </c>
      <c r="F790" s="28" t="e">
        <f ca="1">_xludf.ifna(VLOOKUP(G790,Proyectos!$A$2:$F$674,6,0),"")</f>
        <v>#NAME?</v>
      </c>
      <c r="G790" s="26" t="s">
        <v>5328</v>
      </c>
      <c r="H790" s="78">
        <v>0.1</v>
      </c>
      <c r="I790" s="52" t="s">
        <v>18</v>
      </c>
      <c r="J790" s="35" t="s">
        <v>61</v>
      </c>
      <c r="L790" s="32" t="e">
        <f ca="1">_xludf.ifna(VLOOKUP(E790,Parámetros!$D$2:$E$34,2,0),"")</f>
        <v>#NAME?</v>
      </c>
      <c r="M790" s="32" t="e">
        <f ca="1">_xludf.ifna(VLOOKUP(G790,Proyectos!$A$2:$T$674,20,0),"")</f>
        <v>#NAME?</v>
      </c>
      <c r="N790" s="32" t="e">
        <f ca="1">_xludf.ifna(VLOOKUP(G790,Proyectos!$A$2:$S$674,19,0))</f>
        <v>#NAME?</v>
      </c>
      <c r="O790" s="52"/>
      <c r="P790" s="62"/>
      <c r="Q790" s="62"/>
      <c r="R790" s="33"/>
      <c r="S790" s="33"/>
      <c r="T790" s="63">
        <f t="shared" si="10"/>
        <v>0</v>
      </c>
      <c r="U790" s="33"/>
      <c r="V790" s="33"/>
      <c r="W790" s="33"/>
    </row>
    <row r="791" spans="1:23" ht="16.5" customHeight="1" x14ac:dyDescent="0.2">
      <c r="A791" s="35" t="s">
        <v>4599</v>
      </c>
      <c r="B791" s="35" t="s">
        <v>4600</v>
      </c>
      <c r="C791" s="35" t="s">
        <v>115</v>
      </c>
      <c r="D791" s="35" t="s">
        <v>116</v>
      </c>
      <c r="E791" s="35" t="s">
        <v>39</v>
      </c>
      <c r="F791" s="28" t="e">
        <f ca="1">_xludf.ifna(VLOOKUP(G791,Proyectos!$A$2:$F$674,6,0),"")</f>
        <v>#NAME?</v>
      </c>
      <c r="G791" s="26" t="s">
        <v>5328</v>
      </c>
      <c r="H791" s="30">
        <v>0.8</v>
      </c>
      <c r="I791" s="52" t="s">
        <v>18</v>
      </c>
      <c r="J791" s="52" t="s">
        <v>61</v>
      </c>
      <c r="L791" s="32" t="e">
        <f ca="1">_xludf.ifna(VLOOKUP(E791,Parámetros!$D$2:$E$34,2,0),"")</f>
        <v>#NAME?</v>
      </c>
      <c r="M791" s="32" t="e">
        <f ca="1">_xludf.ifna(VLOOKUP(G791,Proyectos!$A$2:$T$674,20,0),"")</f>
        <v>#NAME?</v>
      </c>
      <c r="N791" s="32" t="e">
        <f ca="1">_xludf.ifna(VLOOKUP(G791,Proyectos!$A$2:$S$674,19,0))</f>
        <v>#NAME?</v>
      </c>
      <c r="O791" s="52"/>
      <c r="P791" s="62"/>
      <c r="Q791" s="62"/>
      <c r="R791" s="33"/>
      <c r="S791" s="33"/>
      <c r="T791" s="63">
        <f t="shared" si="10"/>
        <v>1</v>
      </c>
      <c r="U791" s="33"/>
      <c r="V791" s="33"/>
      <c r="W791" s="33"/>
    </row>
    <row r="792" spans="1:23" ht="16.5" customHeight="1" x14ac:dyDescent="0.2">
      <c r="A792" s="35" t="s">
        <v>4599</v>
      </c>
      <c r="B792" s="35" t="s">
        <v>4600</v>
      </c>
      <c r="C792" s="35" t="s">
        <v>115</v>
      </c>
      <c r="D792" s="35" t="s">
        <v>116</v>
      </c>
      <c r="E792" s="35" t="s">
        <v>39</v>
      </c>
      <c r="F792" s="28" t="e">
        <f ca="1">_xludf.ifna(VLOOKUP(G792,Proyectos!$A$2:$F$674,6,0),"")</f>
        <v>#NAME?</v>
      </c>
      <c r="G792" s="26" t="s">
        <v>5329</v>
      </c>
      <c r="H792" s="30">
        <v>0.2</v>
      </c>
      <c r="I792" s="52" t="s">
        <v>18</v>
      </c>
      <c r="J792" s="52" t="s">
        <v>61</v>
      </c>
      <c r="L792" s="32" t="e">
        <f ca="1">_xludf.ifna(VLOOKUP(E792,Parámetros!$D$2:$E$34,2,0),"")</f>
        <v>#NAME?</v>
      </c>
      <c r="M792" s="32" t="e">
        <f ca="1">_xludf.ifna(VLOOKUP(G792,Proyectos!$A$2:$T$674,20,0),"")</f>
        <v>#NAME?</v>
      </c>
      <c r="N792" s="32" t="e">
        <f ca="1">_xludf.ifna(VLOOKUP(G792,Proyectos!$A$2:$S$674,19,0))</f>
        <v>#NAME?</v>
      </c>
      <c r="O792" s="52"/>
      <c r="P792" s="62"/>
      <c r="Q792" s="62"/>
      <c r="R792" s="33"/>
      <c r="S792" s="33"/>
      <c r="T792" s="63">
        <f t="shared" si="10"/>
        <v>0</v>
      </c>
      <c r="U792" s="33"/>
      <c r="V792" s="33"/>
      <c r="W792" s="33"/>
    </row>
    <row r="793" spans="1:23" ht="16.5" customHeight="1" x14ac:dyDescent="0.2">
      <c r="A793" s="35" t="s">
        <v>3759</v>
      </c>
      <c r="B793" s="35" t="s">
        <v>3760</v>
      </c>
      <c r="C793" s="35" t="s">
        <v>115</v>
      </c>
      <c r="D793" s="35" t="s">
        <v>116</v>
      </c>
      <c r="E793" s="35" t="s">
        <v>39</v>
      </c>
      <c r="F793" s="28" t="e">
        <f ca="1">_xludf.ifna(VLOOKUP(G793,Proyectos!$A$2:$F$674,6,0),"")</f>
        <v>#NAME?</v>
      </c>
      <c r="G793" s="26" t="s">
        <v>5322</v>
      </c>
      <c r="H793" s="30">
        <v>0.5</v>
      </c>
      <c r="I793" s="52" t="s">
        <v>18</v>
      </c>
      <c r="J793" s="52" t="s">
        <v>61</v>
      </c>
      <c r="L793" s="32" t="e">
        <f ca="1">_xludf.ifna(VLOOKUP(E793,Parámetros!$D$2:$E$34,2,0),"")</f>
        <v>#NAME?</v>
      </c>
      <c r="M793" s="32" t="e">
        <f ca="1">_xludf.ifna(VLOOKUP(G793,Proyectos!$A$2:$T$674,20,0),"")</f>
        <v>#NAME?</v>
      </c>
      <c r="N793" s="32" t="e">
        <f ca="1">_xludf.ifna(VLOOKUP(G793,Proyectos!$A$2:$S$674,19,0))</f>
        <v>#NAME?</v>
      </c>
      <c r="O793" s="30"/>
      <c r="P793" s="62"/>
      <c r="Q793" s="62"/>
      <c r="R793" s="33"/>
      <c r="S793" s="33"/>
      <c r="T793" s="63">
        <f t="shared" si="10"/>
        <v>1</v>
      </c>
      <c r="U793" s="33"/>
      <c r="V793" s="33"/>
      <c r="W793" s="33"/>
    </row>
    <row r="794" spans="1:23" ht="16.5" customHeight="1" x14ac:dyDescent="0.2">
      <c r="A794" s="35" t="s">
        <v>3759</v>
      </c>
      <c r="B794" s="35" t="s">
        <v>3760</v>
      </c>
      <c r="C794" s="35" t="s">
        <v>115</v>
      </c>
      <c r="D794" s="35" t="s">
        <v>116</v>
      </c>
      <c r="E794" s="35" t="s">
        <v>39</v>
      </c>
      <c r="F794" s="28" t="e">
        <f ca="1">_xludf.ifna(VLOOKUP(G794,Proyectos!$A$2:$F$674,6,0),"")</f>
        <v>#NAME?</v>
      </c>
      <c r="G794" s="26" t="s">
        <v>5327</v>
      </c>
      <c r="H794" s="30">
        <v>0.5</v>
      </c>
      <c r="I794" s="52" t="s">
        <v>18</v>
      </c>
      <c r="J794" s="52" t="s">
        <v>61</v>
      </c>
      <c r="L794" s="32" t="e">
        <f ca="1">_xludf.ifna(VLOOKUP(E794,Parámetros!$D$2:$E$34,2,0),"")</f>
        <v>#NAME?</v>
      </c>
      <c r="M794" s="32" t="e">
        <f ca="1">_xludf.ifna(VLOOKUP(G794,Proyectos!$A$2:$T$674,20,0),"")</f>
        <v>#NAME?</v>
      </c>
      <c r="N794" s="32" t="e">
        <f ca="1">_xludf.ifna(VLOOKUP(G794,Proyectos!$A$2:$S$674,19,0))</f>
        <v>#NAME?</v>
      </c>
      <c r="O794" s="30"/>
      <c r="P794" s="62"/>
      <c r="Q794" s="62"/>
      <c r="R794" s="33"/>
      <c r="S794" s="33"/>
      <c r="T794" s="63">
        <f t="shared" si="10"/>
        <v>0</v>
      </c>
      <c r="U794" s="33"/>
      <c r="V794" s="33"/>
      <c r="W794" s="33"/>
    </row>
    <row r="795" spans="1:23" ht="16.5" customHeight="1" x14ac:dyDescent="0.2">
      <c r="A795" s="35" t="s">
        <v>3735</v>
      </c>
      <c r="B795" s="35" t="s">
        <v>3736</v>
      </c>
      <c r="C795" s="35" t="s">
        <v>115</v>
      </c>
      <c r="D795" s="35" t="s">
        <v>116</v>
      </c>
      <c r="E795" s="35" t="s">
        <v>39</v>
      </c>
      <c r="F795" s="28" t="e">
        <f ca="1">_xludf.ifna(VLOOKUP(G795,Proyectos!$A$2:$F$674,6,0),"")</f>
        <v>#NAME?</v>
      </c>
      <c r="G795" s="26" t="s">
        <v>5330</v>
      </c>
      <c r="H795" s="30">
        <v>0.1</v>
      </c>
      <c r="I795" s="52" t="s">
        <v>18</v>
      </c>
      <c r="J795" s="52" t="s">
        <v>61</v>
      </c>
      <c r="L795" s="32" t="e">
        <f ca="1">_xludf.ifna(VLOOKUP(E795,Parámetros!$D$2:$E$34,2,0),"")</f>
        <v>#NAME?</v>
      </c>
      <c r="M795" s="32" t="e">
        <f ca="1">_xludf.ifna(VLOOKUP(G795,Proyectos!$A$2:$T$674,20,0),"")</f>
        <v>#NAME?</v>
      </c>
      <c r="N795" s="32" t="e">
        <f ca="1">_xludf.ifna(VLOOKUP(G795,Proyectos!$A$2:$S$674,19,0))</f>
        <v>#NAME?</v>
      </c>
      <c r="O795" s="30"/>
      <c r="P795" s="62"/>
      <c r="Q795" s="62"/>
      <c r="R795" s="33"/>
      <c r="S795" s="33"/>
      <c r="T795" s="63">
        <f t="shared" si="10"/>
        <v>1</v>
      </c>
      <c r="U795" s="33"/>
      <c r="V795" s="33"/>
      <c r="W795" s="33"/>
    </row>
    <row r="796" spans="1:23" ht="16.5" customHeight="1" x14ac:dyDescent="0.2">
      <c r="A796" s="35" t="s">
        <v>3735</v>
      </c>
      <c r="B796" s="35" t="s">
        <v>3736</v>
      </c>
      <c r="C796" s="35" t="s">
        <v>115</v>
      </c>
      <c r="D796" s="35" t="s">
        <v>116</v>
      </c>
      <c r="E796" s="35" t="s">
        <v>39</v>
      </c>
      <c r="F796" s="28" t="e">
        <f ca="1">_xludf.ifna(VLOOKUP(G796,Proyectos!$A$2:$F$674,6,0),"")</f>
        <v>#NAME?</v>
      </c>
      <c r="G796" s="26" t="s">
        <v>5326</v>
      </c>
      <c r="H796" s="30">
        <v>0.9</v>
      </c>
      <c r="I796" s="52" t="s">
        <v>18</v>
      </c>
      <c r="J796" s="52" t="s">
        <v>61</v>
      </c>
      <c r="L796" s="32" t="e">
        <f ca="1">_xludf.ifna(VLOOKUP(E796,Parámetros!$D$2:$E$34,2,0),"")</f>
        <v>#NAME?</v>
      </c>
      <c r="M796" s="32" t="e">
        <f ca="1">_xludf.ifna(VLOOKUP(G796,Proyectos!$A$2:$T$674,20,0),"")</f>
        <v>#NAME?</v>
      </c>
      <c r="N796" s="32" t="e">
        <f ca="1">_xludf.ifna(VLOOKUP(G796,Proyectos!$A$2:$S$674,19,0))</f>
        <v>#NAME?</v>
      </c>
      <c r="O796" s="30"/>
      <c r="P796" s="62"/>
      <c r="Q796" s="62"/>
      <c r="R796" s="33"/>
      <c r="S796" s="33"/>
      <c r="T796" s="63">
        <f t="shared" si="10"/>
        <v>0</v>
      </c>
      <c r="U796" s="33"/>
      <c r="V796" s="33"/>
      <c r="W796" s="33"/>
    </row>
    <row r="797" spans="1:23" ht="16.5" customHeight="1" x14ac:dyDescent="0.2">
      <c r="A797" s="35" t="s">
        <v>4781</v>
      </c>
      <c r="B797" s="35" t="s">
        <v>4782</v>
      </c>
      <c r="C797" s="35" t="s">
        <v>115</v>
      </c>
      <c r="D797" s="35" t="s">
        <v>116</v>
      </c>
      <c r="E797" s="35" t="s">
        <v>39</v>
      </c>
      <c r="F797" s="28" t="e">
        <f ca="1">_xludf.ifna(VLOOKUP(G797,Proyectos!$A$2:$F$674,6,0),"")</f>
        <v>#NAME?</v>
      </c>
      <c r="G797" s="26" t="s">
        <v>5326</v>
      </c>
      <c r="H797" s="30">
        <v>1</v>
      </c>
      <c r="I797" s="52" t="s">
        <v>18</v>
      </c>
      <c r="J797" s="52" t="s">
        <v>61</v>
      </c>
      <c r="L797" s="32" t="e">
        <f ca="1">_xludf.ifna(VLOOKUP(E797,Parámetros!$D$2:$E$34,2,0),"")</f>
        <v>#NAME?</v>
      </c>
      <c r="M797" s="32" t="e">
        <f ca="1">_xludf.ifna(VLOOKUP(G797,Proyectos!$A$2:$T$674,20,0),"")</f>
        <v>#NAME?</v>
      </c>
      <c r="N797" s="32" t="e">
        <f ca="1">_xludf.ifna(VLOOKUP(G797,Proyectos!$A$2:$S$674,19,0))</f>
        <v>#NAME?</v>
      </c>
      <c r="O797" s="30"/>
      <c r="P797" s="62"/>
      <c r="Q797" s="62"/>
      <c r="R797" s="33"/>
      <c r="S797" s="33"/>
      <c r="T797" s="63">
        <f t="shared" si="10"/>
        <v>1</v>
      </c>
      <c r="U797" s="33"/>
      <c r="V797" s="33"/>
      <c r="W797" s="33"/>
    </row>
    <row r="798" spans="1:23" ht="16.5" customHeight="1" x14ac:dyDescent="0.2">
      <c r="A798" s="35" t="s">
        <v>4786</v>
      </c>
      <c r="B798" s="35" t="s">
        <v>4787</v>
      </c>
      <c r="C798" s="35" t="s">
        <v>115</v>
      </c>
      <c r="D798" s="35" t="s">
        <v>116</v>
      </c>
      <c r="E798" s="35" t="s">
        <v>39</v>
      </c>
      <c r="F798" s="28" t="e">
        <f ca="1">_xludf.ifna(VLOOKUP(G798,Proyectos!$A$2:$F$674,6,0),"")</f>
        <v>#NAME?</v>
      </c>
      <c r="G798" s="26" t="s">
        <v>5323</v>
      </c>
      <c r="H798" s="30">
        <v>1</v>
      </c>
      <c r="I798" s="52" t="s">
        <v>18</v>
      </c>
      <c r="J798" s="52" t="s">
        <v>61</v>
      </c>
      <c r="L798" s="32" t="e">
        <f ca="1">_xludf.ifna(VLOOKUP(E798,Parámetros!$D$2:$E$34,2,0),"")</f>
        <v>#NAME?</v>
      </c>
      <c r="M798" s="32" t="e">
        <f ca="1">_xludf.ifna(VLOOKUP(G798,Proyectos!$A$2:$T$674,20,0),"")</f>
        <v>#NAME?</v>
      </c>
      <c r="N798" s="32" t="e">
        <f ca="1">_xludf.ifna(VLOOKUP(G798,Proyectos!$A$2:$S$674,19,0))</f>
        <v>#NAME?</v>
      </c>
      <c r="O798" s="30"/>
      <c r="P798" s="62"/>
      <c r="Q798" s="62"/>
      <c r="R798" s="33"/>
      <c r="S798" s="33"/>
      <c r="T798" s="63">
        <f t="shared" si="10"/>
        <v>1</v>
      </c>
      <c r="U798" s="33"/>
      <c r="V798" s="33"/>
      <c r="W798" s="33"/>
    </row>
    <row r="799" spans="1:23" ht="16.5" customHeight="1" x14ac:dyDescent="0.2">
      <c r="A799" s="79" t="s">
        <v>3601</v>
      </c>
      <c r="B799" s="35" t="s">
        <v>3602</v>
      </c>
      <c r="C799" s="35" t="s">
        <v>115</v>
      </c>
      <c r="D799" s="80" t="s">
        <v>116</v>
      </c>
      <c r="E799" s="81" t="s">
        <v>39</v>
      </c>
      <c r="F799" s="28" t="e">
        <f ca="1">_xludf.ifna(VLOOKUP(G799,Proyectos!$A$2:$F$674,6,0),"")</f>
        <v>#NAME?</v>
      </c>
      <c r="G799" s="26" t="s">
        <v>5323</v>
      </c>
      <c r="H799" s="30">
        <v>0.2</v>
      </c>
      <c r="I799" s="52" t="s">
        <v>18</v>
      </c>
      <c r="J799" s="52" t="s">
        <v>19</v>
      </c>
      <c r="L799" s="32" t="e">
        <f ca="1">_xludf.ifna(VLOOKUP(E799,Parámetros!$D$2:$E$34,2,0),"")</f>
        <v>#NAME?</v>
      </c>
      <c r="M799" s="32" t="e">
        <f ca="1">_xludf.ifna(VLOOKUP(G799,Proyectos!$A$2:$T$674,20,0),"")</f>
        <v>#NAME?</v>
      </c>
      <c r="N799" s="32" t="e">
        <f ca="1">_xludf.ifna(VLOOKUP(G799,Proyectos!$A$2:$S$674,19,0))</f>
        <v>#NAME?</v>
      </c>
      <c r="O799" s="30"/>
      <c r="P799" s="62"/>
      <c r="Q799" s="62"/>
      <c r="R799" s="33"/>
      <c r="S799" s="33"/>
      <c r="T799" s="63">
        <f t="shared" si="10"/>
        <v>1</v>
      </c>
      <c r="U799" s="33"/>
      <c r="V799" s="33"/>
      <c r="W799" s="33"/>
    </row>
    <row r="800" spans="1:23" ht="16.5" customHeight="1" x14ac:dyDescent="0.2">
      <c r="A800" s="79" t="s">
        <v>3601</v>
      </c>
      <c r="B800" s="35" t="s">
        <v>3602</v>
      </c>
      <c r="C800" s="35" t="s">
        <v>115</v>
      </c>
      <c r="D800" s="80" t="s">
        <v>116</v>
      </c>
      <c r="E800" s="81" t="s">
        <v>39</v>
      </c>
      <c r="F800" s="28" t="e">
        <f ca="1">_xludf.ifna(VLOOKUP(G800,Proyectos!$A$2:$F$674,6,0),"")</f>
        <v>#NAME?</v>
      </c>
      <c r="G800" s="26" t="s">
        <v>5235</v>
      </c>
      <c r="H800" s="30">
        <v>0.8</v>
      </c>
      <c r="I800" s="52" t="s">
        <v>18</v>
      </c>
      <c r="J800" s="52" t="s">
        <v>19</v>
      </c>
      <c r="L800" s="32" t="e">
        <f ca="1">_xludf.ifna(VLOOKUP(E800,Parámetros!$D$2:$E$34,2,0),"")</f>
        <v>#NAME?</v>
      </c>
      <c r="M800" s="32" t="e">
        <f ca="1">_xludf.ifna(VLOOKUP(G800,Proyectos!$A$2:$T$674,20,0),"")</f>
        <v>#NAME?</v>
      </c>
      <c r="N800" s="32" t="e">
        <f ca="1">_xludf.ifna(VLOOKUP(G800,Proyectos!$A$2:$S$674,19,0))</f>
        <v>#NAME?</v>
      </c>
      <c r="O800" s="30"/>
      <c r="P800" s="62"/>
      <c r="Q800" s="62"/>
      <c r="R800" s="33"/>
      <c r="S800" s="33"/>
      <c r="T800" s="63">
        <f t="shared" si="10"/>
        <v>0</v>
      </c>
      <c r="U800" s="33"/>
      <c r="V800" s="33"/>
      <c r="W800" s="33"/>
    </row>
    <row r="801" spans="1:23" ht="16.5" customHeight="1" x14ac:dyDescent="0.2">
      <c r="A801" s="35" t="s">
        <v>4629</v>
      </c>
      <c r="B801" s="35" t="s">
        <v>4630</v>
      </c>
      <c r="C801" s="35" t="s">
        <v>115</v>
      </c>
      <c r="D801" s="35" t="s">
        <v>116</v>
      </c>
      <c r="E801" s="35" t="s">
        <v>39</v>
      </c>
      <c r="F801" s="28" t="e">
        <f ca="1">_xludf.ifna(VLOOKUP(G801,Proyectos!$A$2:$F$674,6,0),"")</f>
        <v>#NAME?</v>
      </c>
      <c r="G801" s="29" t="s">
        <v>5323</v>
      </c>
      <c r="H801" s="30">
        <v>0.2</v>
      </c>
      <c r="I801" s="52" t="s">
        <v>11</v>
      </c>
      <c r="J801" s="52" t="s">
        <v>19</v>
      </c>
      <c r="L801" s="32" t="e">
        <f ca="1">_xludf.ifna(VLOOKUP(E801,Parámetros!$D$2:$E$34,2,0),"")</f>
        <v>#NAME?</v>
      </c>
      <c r="M801" s="32" t="e">
        <f ca="1">_xludf.ifna(VLOOKUP(G801,Proyectos!$A$2:$T$674,20,0),"")</f>
        <v>#NAME?</v>
      </c>
      <c r="N801" s="32" t="e">
        <f ca="1">_xludf.ifna(VLOOKUP(G801,Proyectos!$A$2:$S$674,19,0))</f>
        <v>#NAME?</v>
      </c>
      <c r="O801" s="30"/>
      <c r="P801" s="62"/>
      <c r="Q801" s="62"/>
      <c r="R801" s="33"/>
      <c r="S801" s="33"/>
      <c r="T801" s="63">
        <f t="shared" si="10"/>
        <v>1</v>
      </c>
      <c r="U801" s="33"/>
      <c r="V801" s="33"/>
      <c r="W801" s="33"/>
    </row>
    <row r="802" spans="1:23" ht="16.5" customHeight="1" x14ac:dyDescent="0.2">
      <c r="A802" s="35" t="s">
        <v>4629</v>
      </c>
      <c r="B802" s="35" t="s">
        <v>4630</v>
      </c>
      <c r="C802" s="35" t="s">
        <v>115</v>
      </c>
      <c r="D802" s="35" t="s">
        <v>116</v>
      </c>
      <c r="E802" s="35" t="s">
        <v>39</v>
      </c>
      <c r="F802" s="28" t="e">
        <f ca="1">_xludf.ifna(VLOOKUP(G802,Proyectos!$A$2:$F$674,6,0),"")</f>
        <v>#NAME?</v>
      </c>
      <c r="G802" s="26" t="s">
        <v>5326</v>
      </c>
      <c r="H802" s="30">
        <v>0.2</v>
      </c>
      <c r="I802" s="52" t="s">
        <v>11</v>
      </c>
      <c r="J802" s="52" t="s">
        <v>61</v>
      </c>
      <c r="L802" s="32" t="e">
        <f ca="1">_xludf.ifna(VLOOKUP(E802,Parámetros!$D$2:$E$34,2,0),"")</f>
        <v>#NAME?</v>
      </c>
      <c r="M802" s="32" t="e">
        <f ca="1">_xludf.ifna(VLOOKUP(G802,Proyectos!$A$2:$T$674,20,0),"")</f>
        <v>#NAME?</v>
      </c>
      <c r="N802" s="32" t="e">
        <f ca="1">_xludf.ifna(VLOOKUP(G802,Proyectos!$A$2:$S$674,19,0))</f>
        <v>#NAME?</v>
      </c>
      <c r="O802" s="30"/>
      <c r="P802" s="62"/>
      <c r="Q802" s="62"/>
      <c r="R802" s="33"/>
      <c r="S802" s="33"/>
      <c r="T802" s="63">
        <f t="shared" si="10"/>
        <v>0</v>
      </c>
      <c r="U802" s="33"/>
      <c r="V802" s="33"/>
      <c r="W802" s="33"/>
    </row>
    <row r="803" spans="1:23" ht="16.5" customHeight="1" x14ac:dyDescent="0.2">
      <c r="A803" s="35" t="s">
        <v>4629</v>
      </c>
      <c r="B803" s="35" t="s">
        <v>4630</v>
      </c>
      <c r="C803" s="35" t="s">
        <v>115</v>
      </c>
      <c r="D803" s="35" t="s">
        <v>116</v>
      </c>
      <c r="E803" s="35" t="s">
        <v>39</v>
      </c>
      <c r="F803" s="28" t="e">
        <f ca="1">_xludf.ifna(VLOOKUP(G803,Proyectos!$A$2:$F$674,6,0),"")</f>
        <v>#NAME?</v>
      </c>
      <c r="G803" s="26" t="s">
        <v>5327</v>
      </c>
      <c r="H803" s="30">
        <v>0.2</v>
      </c>
      <c r="I803" s="52" t="s">
        <v>11</v>
      </c>
      <c r="J803" s="52" t="s">
        <v>19</v>
      </c>
      <c r="L803" s="32" t="e">
        <f ca="1">_xludf.ifna(VLOOKUP(E803,Parámetros!$D$2:$E$34,2,0),"")</f>
        <v>#NAME?</v>
      </c>
      <c r="M803" s="32" t="e">
        <f ca="1">_xludf.ifna(VLOOKUP(G803,Proyectos!$A$2:$T$674,20,0),"")</f>
        <v>#NAME?</v>
      </c>
      <c r="N803" s="32" t="e">
        <f ca="1">_xludf.ifna(VLOOKUP(G803,Proyectos!$A$2:$S$674,19,0))</f>
        <v>#NAME?</v>
      </c>
      <c r="O803" s="30"/>
      <c r="P803" s="62"/>
      <c r="Q803" s="62"/>
      <c r="R803" s="33"/>
      <c r="S803" s="33"/>
      <c r="T803" s="63">
        <f t="shared" si="10"/>
        <v>0</v>
      </c>
      <c r="U803" s="33"/>
      <c r="V803" s="33"/>
      <c r="W803" s="33"/>
    </row>
    <row r="804" spans="1:23" ht="16.5" customHeight="1" x14ac:dyDescent="0.2">
      <c r="A804" s="35" t="s">
        <v>4629</v>
      </c>
      <c r="B804" s="35" t="s">
        <v>4630</v>
      </c>
      <c r="C804" s="35" t="s">
        <v>115</v>
      </c>
      <c r="D804" s="35" t="s">
        <v>116</v>
      </c>
      <c r="E804" s="35" t="s">
        <v>39</v>
      </c>
      <c r="F804" s="28" t="e">
        <f ca="1">_xludf.ifna(VLOOKUP(G804,Proyectos!$A$2:$F$674,6,0),"")</f>
        <v>#NAME?</v>
      </c>
      <c r="G804" s="29" t="s">
        <v>5322</v>
      </c>
      <c r="H804" s="30">
        <v>0.2</v>
      </c>
      <c r="I804" s="52" t="s">
        <v>11</v>
      </c>
      <c r="J804" s="52" t="s">
        <v>61</v>
      </c>
      <c r="L804" s="32" t="e">
        <f ca="1">_xludf.ifna(VLOOKUP(E804,Parámetros!$D$2:$E$34,2,0),"")</f>
        <v>#NAME?</v>
      </c>
      <c r="M804" s="32" t="e">
        <f ca="1">_xludf.ifna(VLOOKUP(G804,Proyectos!$A$2:$T$674,20,0),"")</f>
        <v>#NAME?</v>
      </c>
      <c r="N804" s="32" t="e">
        <f ca="1">_xludf.ifna(VLOOKUP(G804,Proyectos!$A$2:$S$674,19,0))</f>
        <v>#NAME?</v>
      </c>
      <c r="O804" s="30"/>
      <c r="P804" s="62"/>
      <c r="Q804" s="62"/>
      <c r="R804" s="33"/>
      <c r="S804" s="33"/>
      <c r="T804" s="63">
        <f t="shared" si="10"/>
        <v>0</v>
      </c>
      <c r="U804" s="33"/>
      <c r="V804" s="33"/>
      <c r="W804" s="33"/>
    </row>
    <row r="805" spans="1:23" ht="16.5" customHeight="1" x14ac:dyDescent="0.2">
      <c r="A805" s="35" t="s">
        <v>4629</v>
      </c>
      <c r="B805" s="35" t="s">
        <v>4630</v>
      </c>
      <c r="C805" s="35" t="s">
        <v>115</v>
      </c>
      <c r="D805" s="35" t="s">
        <v>116</v>
      </c>
      <c r="E805" s="35" t="s">
        <v>39</v>
      </c>
      <c r="F805" s="28" t="e">
        <f ca="1">_xludf.ifna(VLOOKUP(G805,Proyectos!$A$2:$F$674,6,0),"")</f>
        <v>#NAME?</v>
      </c>
      <c r="G805" s="26" t="s">
        <v>5328</v>
      </c>
      <c r="H805" s="30">
        <v>0.2</v>
      </c>
      <c r="I805" s="52" t="s">
        <v>11</v>
      </c>
      <c r="J805" s="52" t="s">
        <v>61</v>
      </c>
      <c r="L805" s="32" t="e">
        <f ca="1">_xludf.ifna(VLOOKUP(E805,Parámetros!$D$2:$E$34,2,0),"")</f>
        <v>#NAME?</v>
      </c>
      <c r="M805" s="32" t="e">
        <f ca="1">_xludf.ifna(VLOOKUP(G805,Proyectos!$A$2:$T$674,20,0),"")</f>
        <v>#NAME?</v>
      </c>
      <c r="N805" s="32" t="e">
        <f ca="1">_xludf.ifna(VLOOKUP(G805,Proyectos!$A$2:$S$674,19,0))</f>
        <v>#NAME?</v>
      </c>
      <c r="O805" s="30"/>
      <c r="P805" s="62"/>
      <c r="Q805" s="62"/>
      <c r="R805" s="33"/>
      <c r="S805" s="33"/>
      <c r="T805" s="63">
        <f t="shared" si="10"/>
        <v>0</v>
      </c>
      <c r="U805" s="33"/>
      <c r="V805" s="33"/>
      <c r="W805" s="33"/>
    </row>
    <row r="806" spans="1:23" ht="16.5" customHeight="1" x14ac:dyDescent="0.2">
      <c r="A806" s="35" t="s">
        <v>4100</v>
      </c>
      <c r="B806" s="35" t="s">
        <v>4101</v>
      </c>
      <c r="C806" s="35" t="s">
        <v>115</v>
      </c>
      <c r="D806" s="35" t="s">
        <v>116</v>
      </c>
      <c r="E806" s="26" t="s">
        <v>108</v>
      </c>
      <c r="F806" s="28" t="e">
        <f ca="1">_xludf.ifna(VLOOKUP(G806,Proyectos!$A$2:$F$674,6,0),"")</f>
        <v>#NAME?</v>
      </c>
      <c r="G806" s="29" t="s">
        <v>5323</v>
      </c>
      <c r="H806" s="30">
        <v>1</v>
      </c>
      <c r="I806" s="52" t="s">
        <v>25</v>
      </c>
      <c r="J806" s="52" t="s">
        <v>61</v>
      </c>
      <c r="L806" s="32" t="e">
        <f ca="1">_xludf.ifna(VLOOKUP(E806,Parámetros!$D$2:$E$34,2,0),"")</f>
        <v>#NAME?</v>
      </c>
      <c r="M806" s="32" t="e">
        <f ca="1">_xludf.ifna(VLOOKUP(G806,Proyectos!$A$2:$T$674,20,0),"")</f>
        <v>#NAME?</v>
      </c>
      <c r="N806" s="32" t="e">
        <f ca="1">_xludf.ifna(VLOOKUP(G806,Proyectos!$A$2:$S$674,19,0))</f>
        <v>#NAME?</v>
      </c>
      <c r="O806" s="30"/>
      <c r="P806" s="62"/>
      <c r="Q806" s="62"/>
      <c r="R806" s="33"/>
      <c r="S806" s="33"/>
      <c r="T806" s="63">
        <f t="shared" si="10"/>
        <v>1</v>
      </c>
      <c r="U806" s="33"/>
      <c r="V806" s="33"/>
      <c r="W806" s="33"/>
    </row>
    <row r="807" spans="1:23" ht="16.5" customHeight="1" x14ac:dyDescent="0.2">
      <c r="A807" s="35" t="s">
        <v>3483</v>
      </c>
      <c r="B807" s="35" t="s">
        <v>3484</v>
      </c>
      <c r="C807" s="35" t="s">
        <v>115</v>
      </c>
      <c r="D807" s="35" t="s">
        <v>116</v>
      </c>
      <c r="E807" s="35" t="s">
        <v>39</v>
      </c>
      <c r="F807" s="28" t="e">
        <f ca="1">_xludf.ifna(VLOOKUP(G807,Proyectos!$A$2:$F$674,6,0),"")</f>
        <v>#NAME?</v>
      </c>
      <c r="G807" s="29" t="s">
        <v>5331</v>
      </c>
      <c r="H807" s="30">
        <v>0.1</v>
      </c>
      <c r="I807" s="52" t="s">
        <v>18</v>
      </c>
      <c r="J807" s="52" t="s">
        <v>61</v>
      </c>
      <c r="L807" s="32" t="e">
        <f ca="1">_xludf.ifna(VLOOKUP(E807,Parámetros!$D$2:$E$34,2,0),"")</f>
        <v>#NAME?</v>
      </c>
      <c r="M807" s="32" t="e">
        <f ca="1">_xludf.ifna(VLOOKUP(G807,Proyectos!$A$2:$T$674,20,0),"")</f>
        <v>#NAME?</v>
      </c>
      <c r="N807" s="32" t="e">
        <f ca="1">_xludf.ifna(VLOOKUP(G807,Proyectos!$A$2:$S$674,19,0))</f>
        <v>#NAME?</v>
      </c>
      <c r="O807" s="30"/>
      <c r="P807" s="62"/>
      <c r="Q807" s="62"/>
      <c r="R807" s="33"/>
      <c r="S807" s="33"/>
      <c r="T807" s="63">
        <f t="shared" si="10"/>
        <v>1</v>
      </c>
      <c r="U807" s="33"/>
      <c r="V807" s="33"/>
      <c r="W807" s="33"/>
    </row>
    <row r="808" spans="1:23" ht="16.5" customHeight="1" x14ac:dyDescent="0.2">
      <c r="A808" s="35" t="s">
        <v>3483</v>
      </c>
      <c r="B808" s="35" t="s">
        <v>3484</v>
      </c>
      <c r="C808" s="35" t="s">
        <v>115</v>
      </c>
      <c r="D808" s="35" t="s">
        <v>116</v>
      </c>
      <c r="E808" s="35" t="s">
        <v>39</v>
      </c>
      <c r="F808" s="28" t="e">
        <f ca="1">_xludf.ifna(VLOOKUP(G808,Proyectos!$A$2:$F$674,6,0),"")</f>
        <v>#NAME?</v>
      </c>
      <c r="G808" s="29" t="s">
        <v>5117</v>
      </c>
      <c r="H808" s="30">
        <v>0.9</v>
      </c>
      <c r="I808" s="52" t="s">
        <v>18</v>
      </c>
      <c r="J808" s="52" t="s">
        <v>61</v>
      </c>
      <c r="K808" s="4" t="s">
        <v>5332</v>
      </c>
      <c r="L808" s="32" t="e">
        <f ca="1">_xludf.ifna(VLOOKUP(E808,Parámetros!$D$2:$E$34,2,0),"")</f>
        <v>#NAME?</v>
      </c>
      <c r="M808" s="32" t="e">
        <f ca="1">_xludf.ifna(VLOOKUP(G808,Proyectos!$A$2:$T$674,20,0),"")</f>
        <v>#NAME?</v>
      </c>
      <c r="N808" s="32" t="e">
        <f ca="1">_xludf.ifna(VLOOKUP(G808,Proyectos!$A$2:$S$674,19,0))</f>
        <v>#NAME?</v>
      </c>
      <c r="O808" s="30"/>
      <c r="P808" s="62"/>
      <c r="Q808" s="62"/>
      <c r="R808" s="33"/>
      <c r="S808" s="33"/>
      <c r="T808" s="63">
        <f t="shared" si="10"/>
        <v>0</v>
      </c>
      <c r="U808" s="33"/>
      <c r="V808" s="33"/>
      <c r="W808" s="33"/>
    </row>
    <row r="809" spans="1:23" ht="16.5" customHeight="1" x14ac:dyDescent="0.2">
      <c r="A809" s="79" t="s">
        <v>3347</v>
      </c>
      <c r="B809" s="35" t="s">
        <v>3348</v>
      </c>
      <c r="C809" s="35" t="s">
        <v>115</v>
      </c>
      <c r="D809" s="35" t="s">
        <v>116</v>
      </c>
      <c r="E809" s="35" t="s">
        <v>39</v>
      </c>
      <c r="F809" s="28" t="e">
        <f ca="1">_xludf.ifna(VLOOKUP(G809,Proyectos!$A$2:$F$674,6,0),"")</f>
        <v>#NAME?</v>
      </c>
      <c r="G809" s="29" t="s">
        <v>5117</v>
      </c>
      <c r="H809" s="30">
        <v>0.6</v>
      </c>
      <c r="I809" s="52" t="s">
        <v>18</v>
      </c>
      <c r="J809" s="52" t="s">
        <v>61</v>
      </c>
      <c r="L809" s="32" t="e">
        <f ca="1">_xludf.ifna(VLOOKUP(E809,Parámetros!$D$2:$E$34,2,0),"")</f>
        <v>#NAME?</v>
      </c>
      <c r="M809" s="32" t="e">
        <f ca="1">_xludf.ifna(VLOOKUP(G809,Proyectos!$A$2:$T$674,20,0),"")</f>
        <v>#NAME?</v>
      </c>
      <c r="N809" s="32" t="e">
        <f ca="1">_xludf.ifna(VLOOKUP(G809,Proyectos!$A$2:$S$674,19,0))</f>
        <v>#NAME?</v>
      </c>
      <c r="O809" s="30"/>
      <c r="P809" s="62"/>
      <c r="Q809" s="62"/>
      <c r="R809" s="33"/>
      <c r="S809" s="33"/>
      <c r="T809" s="63">
        <f t="shared" si="10"/>
        <v>1</v>
      </c>
      <c r="U809" s="33"/>
      <c r="V809" s="33"/>
      <c r="W809" s="33"/>
    </row>
    <row r="810" spans="1:23" ht="16.5" customHeight="1" x14ac:dyDescent="0.2">
      <c r="A810" s="79" t="s">
        <v>3347</v>
      </c>
      <c r="B810" s="35" t="s">
        <v>3348</v>
      </c>
      <c r="C810" s="35" t="s">
        <v>115</v>
      </c>
      <c r="D810" s="35" t="s">
        <v>116</v>
      </c>
      <c r="E810" s="35" t="s">
        <v>39</v>
      </c>
      <c r="F810" s="28" t="e">
        <f ca="1">_xludf.ifna(VLOOKUP(G810,Proyectos!$A$2:$F$674,6,0),"")</f>
        <v>#NAME?</v>
      </c>
      <c r="G810" s="26" t="s">
        <v>5333</v>
      </c>
      <c r="H810" s="30">
        <v>0.4</v>
      </c>
      <c r="I810" s="52" t="s">
        <v>18</v>
      </c>
      <c r="J810" s="52" t="s">
        <v>61</v>
      </c>
      <c r="L810" s="32" t="e">
        <f ca="1">_xludf.ifna(VLOOKUP(E810,Parámetros!$D$2:$E$34,2,0),"")</f>
        <v>#NAME?</v>
      </c>
      <c r="M810" s="32" t="e">
        <f ca="1">_xludf.ifna(VLOOKUP(G810,Proyectos!$A$2:$T$674,20,0),"")</f>
        <v>#NAME?</v>
      </c>
      <c r="N810" s="32" t="e">
        <f ca="1">_xludf.ifna(VLOOKUP(G810,Proyectos!$A$2:$S$674,19,0))</f>
        <v>#NAME?</v>
      </c>
      <c r="O810" s="30"/>
      <c r="P810" s="62"/>
      <c r="Q810" s="62"/>
      <c r="R810" s="33"/>
      <c r="S810" s="33"/>
      <c r="T810" s="63">
        <f t="shared" si="10"/>
        <v>0</v>
      </c>
      <c r="U810" s="33"/>
      <c r="V810" s="33"/>
      <c r="W810" s="33"/>
    </row>
    <row r="811" spans="1:23" ht="16.5" customHeight="1" x14ac:dyDescent="0.2">
      <c r="A811" s="35" t="s">
        <v>3692</v>
      </c>
      <c r="B811" s="35" t="s">
        <v>3693</v>
      </c>
      <c r="C811" s="35" t="s">
        <v>115</v>
      </c>
      <c r="D811" s="35" t="s">
        <v>116</v>
      </c>
      <c r="E811" s="35" t="s">
        <v>39</v>
      </c>
      <c r="F811" s="28" t="e">
        <f ca="1">_xludf.ifna(VLOOKUP(G811,Proyectos!$A$2:$F$674,6,0),"")</f>
        <v>#NAME?</v>
      </c>
      <c r="G811" s="29" t="s">
        <v>5334</v>
      </c>
      <c r="H811" s="30">
        <v>0.4</v>
      </c>
      <c r="I811" s="52" t="s">
        <v>18</v>
      </c>
      <c r="J811" s="52" t="s">
        <v>61</v>
      </c>
      <c r="L811" s="32" t="e">
        <f ca="1">_xludf.ifna(VLOOKUP(E811,Parámetros!$D$2:$E$34,2,0),"")</f>
        <v>#NAME?</v>
      </c>
      <c r="M811" s="32" t="e">
        <f ca="1">_xludf.ifna(VLOOKUP(G811,Proyectos!$A$2:$T$674,20,0),"")</f>
        <v>#NAME?</v>
      </c>
      <c r="N811" s="32" t="e">
        <f ca="1">_xludf.ifna(VLOOKUP(G811,Proyectos!$A$2:$S$674,19,0))</f>
        <v>#NAME?</v>
      </c>
      <c r="O811" s="30"/>
      <c r="P811" s="62"/>
      <c r="Q811" s="62"/>
      <c r="R811" s="33"/>
      <c r="S811" s="33"/>
      <c r="T811" s="63">
        <f t="shared" si="10"/>
        <v>1</v>
      </c>
      <c r="U811" s="33"/>
      <c r="V811" s="33"/>
      <c r="W811" s="33"/>
    </row>
    <row r="812" spans="1:23" ht="16.5" customHeight="1" x14ac:dyDescent="0.2">
      <c r="A812" s="35" t="s">
        <v>3692</v>
      </c>
      <c r="B812" s="35" t="s">
        <v>3693</v>
      </c>
      <c r="C812" s="35" t="s">
        <v>115</v>
      </c>
      <c r="D812" s="35" t="s">
        <v>116</v>
      </c>
      <c r="E812" s="35" t="s">
        <v>39</v>
      </c>
      <c r="F812" s="28" t="e">
        <f ca="1">_xludf.ifna(VLOOKUP(G812,Proyectos!$A$2:$F$674,6,0),"")</f>
        <v>#NAME?</v>
      </c>
      <c r="G812" s="26" t="s">
        <v>5120</v>
      </c>
      <c r="H812" s="30">
        <v>0.6</v>
      </c>
      <c r="I812" s="52" t="s">
        <v>18</v>
      </c>
      <c r="J812" s="52" t="s">
        <v>61</v>
      </c>
      <c r="L812" s="32" t="e">
        <f ca="1">_xludf.ifna(VLOOKUP(E812,Parámetros!$D$2:$E$34,2,0),"")</f>
        <v>#NAME?</v>
      </c>
      <c r="M812" s="32" t="e">
        <f ca="1">_xludf.ifna(VLOOKUP(G812,Proyectos!$A$2:$T$674,20,0),"")</f>
        <v>#NAME?</v>
      </c>
      <c r="N812" s="32" t="e">
        <f ca="1">_xludf.ifna(VLOOKUP(G812,Proyectos!$A$2:$S$674,19,0))</f>
        <v>#NAME?</v>
      </c>
      <c r="O812" s="30"/>
      <c r="P812" s="62"/>
      <c r="Q812" s="62"/>
      <c r="R812" s="33"/>
      <c r="S812" s="33"/>
      <c r="T812" s="63">
        <f t="shared" si="10"/>
        <v>0</v>
      </c>
      <c r="U812" s="33"/>
      <c r="V812" s="33"/>
      <c r="W812" s="33"/>
    </row>
    <row r="813" spans="1:23" ht="16.5" customHeight="1" x14ac:dyDescent="0.2">
      <c r="A813" s="35" t="s">
        <v>3364</v>
      </c>
      <c r="B813" s="35" t="s">
        <v>3365</v>
      </c>
      <c r="C813" s="35" t="s">
        <v>115</v>
      </c>
      <c r="D813" s="35" t="s">
        <v>116</v>
      </c>
      <c r="E813" s="35" t="s">
        <v>39</v>
      </c>
      <c r="F813" s="28" t="e">
        <f ca="1">_xludf.ifna(VLOOKUP(G813,Proyectos!$A$2:$F$674,6,0),"")</f>
        <v>#NAME?</v>
      </c>
      <c r="G813" s="29" t="s">
        <v>5117</v>
      </c>
      <c r="H813" s="30">
        <v>0.4</v>
      </c>
      <c r="I813" s="52" t="s">
        <v>11</v>
      </c>
      <c r="J813" s="52" t="s">
        <v>61</v>
      </c>
      <c r="L813" s="32" t="e">
        <f ca="1">_xludf.ifna(VLOOKUP(E813,Parámetros!$D$2:$E$34,2,0),"")</f>
        <v>#NAME?</v>
      </c>
      <c r="M813" s="32" t="e">
        <f ca="1">_xludf.ifna(VLOOKUP(G813,Proyectos!$A$2:$T$674,20,0),"")</f>
        <v>#NAME?</v>
      </c>
      <c r="N813" s="32" t="e">
        <f ca="1">_xludf.ifna(VLOOKUP(G813,Proyectos!$A$2:$S$674,19,0))</f>
        <v>#NAME?</v>
      </c>
      <c r="O813" s="30"/>
      <c r="P813" s="62"/>
      <c r="Q813" s="62"/>
      <c r="R813" s="33"/>
      <c r="S813" s="33"/>
      <c r="T813" s="63">
        <f t="shared" si="10"/>
        <v>1</v>
      </c>
      <c r="U813" s="33"/>
      <c r="V813" s="33"/>
      <c r="W813" s="33"/>
    </row>
    <row r="814" spans="1:23" ht="16.5" customHeight="1" x14ac:dyDescent="0.2">
      <c r="A814" s="35" t="s">
        <v>3364</v>
      </c>
      <c r="B814" s="35" t="s">
        <v>3365</v>
      </c>
      <c r="C814" s="35" t="s">
        <v>115</v>
      </c>
      <c r="D814" s="35" t="s">
        <v>116</v>
      </c>
      <c r="E814" s="35" t="s">
        <v>39</v>
      </c>
      <c r="F814" s="28" t="e">
        <f ca="1">_xludf.ifna(VLOOKUP(G814,Proyectos!$A$2:$F$674,6,0),"")</f>
        <v>#NAME?</v>
      </c>
      <c r="G814" s="29" t="s">
        <v>5331</v>
      </c>
      <c r="H814" s="30">
        <v>0.05</v>
      </c>
      <c r="I814" s="52" t="s">
        <v>11</v>
      </c>
      <c r="J814" s="52" t="s">
        <v>61</v>
      </c>
      <c r="L814" s="32" t="e">
        <f ca="1">_xludf.ifna(VLOOKUP(E814,Parámetros!$D$2:$E$34,2,0),"")</f>
        <v>#NAME?</v>
      </c>
      <c r="M814" s="32" t="e">
        <f ca="1">_xludf.ifna(VLOOKUP(G814,Proyectos!$A$2:$T$674,20,0),"")</f>
        <v>#NAME?</v>
      </c>
      <c r="N814" s="32" t="e">
        <f ca="1">_xludf.ifna(VLOOKUP(G814,Proyectos!$A$2:$S$674,19,0))</f>
        <v>#NAME?</v>
      </c>
      <c r="O814" s="30"/>
      <c r="P814" s="62"/>
      <c r="Q814" s="62"/>
      <c r="R814" s="33"/>
      <c r="S814" s="33"/>
      <c r="T814" s="63">
        <f t="shared" si="10"/>
        <v>0</v>
      </c>
      <c r="U814" s="33"/>
      <c r="V814" s="33"/>
      <c r="W814" s="33"/>
    </row>
    <row r="815" spans="1:23" ht="16.5" customHeight="1" x14ac:dyDescent="0.2">
      <c r="A815" s="35" t="s">
        <v>3364</v>
      </c>
      <c r="B815" s="35" t="s">
        <v>3365</v>
      </c>
      <c r="C815" s="35" t="s">
        <v>115</v>
      </c>
      <c r="D815" s="35" t="s">
        <v>116</v>
      </c>
      <c r="E815" s="35" t="s">
        <v>39</v>
      </c>
      <c r="F815" s="28" t="e">
        <f ca="1">_xludf.ifna(VLOOKUP(G815,Proyectos!$A$2:$F$674,6,0),"")</f>
        <v>#NAME?</v>
      </c>
      <c r="G815" s="29" t="s">
        <v>5334</v>
      </c>
      <c r="H815" s="30">
        <v>0.2</v>
      </c>
      <c r="I815" s="52" t="s">
        <v>11</v>
      </c>
      <c r="J815" s="52" t="s">
        <v>61</v>
      </c>
      <c r="L815" s="32" t="e">
        <f ca="1">_xludf.ifna(VLOOKUP(E815,Parámetros!$D$2:$E$34,2,0),"")</f>
        <v>#NAME?</v>
      </c>
      <c r="M815" s="32" t="e">
        <f ca="1">_xludf.ifna(VLOOKUP(G815,Proyectos!$A$2:$T$674,20,0),"")</f>
        <v>#NAME?</v>
      </c>
      <c r="N815" s="32" t="e">
        <f ca="1">_xludf.ifna(VLOOKUP(G815,Proyectos!$A$2:$S$674,19,0))</f>
        <v>#NAME?</v>
      </c>
      <c r="O815" s="30"/>
      <c r="P815" s="62"/>
      <c r="Q815" s="62"/>
      <c r="R815" s="33"/>
      <c r="S815" s="33"/>
      <c r="T815" s="63">
        <f t="shared" si="10"/>
        <v>0</v>
      </c>
      <c r="U815" s="33"/>
      <c r="V815" s="33"/>
      <c r="W815" s="33"/>
    </row>
    <row r="816" spans="1:23" ht="16.5" customHeight="1" x14ac:dyDescent="0.2">
      <c r="A816" s="35" t="s">
        <v>3364</v>
      </c>
      <c r="B816" s="35" t="s">
        <v>3365</v>
      </c>
      <c r="C816" s="35" t="s">
        <v>115</v>
      </c>
      <c r="D816" s="35" t="s">
        <v>116</v>
      </c>
      <c r="E816" s="35" t="s">
        <v>39</v>
      </c>
      <c r="F816" s="28" t="e">
        <f ca="1">_xludf.ifna(VLOOKUP(G816,Proyectos!$A$2:$F$674,6,0),"")</f>
        <v>#NAME?</v>
      </c>
      <c r="G816" s="26" t="s">
        <v>5120</v>
      </c>
      <c r="H816" s="30">
        <v>0.1</v>
      </c>
      <c r="I816" s="52" t="s">
        <v>11</v>
      </c>
      <c r="J816" s="52" t="s">
        <v>61</v>
      </c>
      <c r="L816" s="32" t="e">
        <f ca="1">_xludf.ifna(VLOOKUP(E816,Parámetros!$D$2:$E$34,2,0),"")</f>
        <v>#NAME?</v>
      </c>
      <c r="M816" s="32" t="e">
        <f ca="1">_xludf.ifna(VLOOKUP(G816,Proyectos!$A$2:$T$674,20,0),"")</f>
        <v>#NAME?</v>
      </c>
      <c r="N816" s="32" t="e">
        <f ca="1">_xludf.ifna(VLOOKUP(G816,Proyectos!$A$2:$S$674,19,0))</f>
        <v>#NAME?</v>
      </c>
      <c r="O816" s="30"/>
      <c r="P816" s="62"/>
      <c r="Q816" s="62"/>
      <c r="R816" s="33"/>
      <c r="S816" s="33"/>
      <c r="T816" s="63">
        <f t="shared" si="10"/>
        <v>0</v>
      </c>
      <c r="U816" s="33"/>
      <c r="V816" s="33"/>
      <c r="W816" s="33"/>
    </row>
    <row r="817" spans="1:23" ht="16.5" customHeight="1" x14ac:dyDescent="0.2">
      <c r="A817" s="35" t="s">
        <v>3364</v>
      </c>
      <c r="B817" s="35" t="s">
        <v>3365</v>
      </c>
      <c r="C817" s="35" t="s">
        <v>115</v>
      </c>
      <c r="D817" s="35" t="s">
        <v>116</v>
      </c>
      <c r="E817" s="35" t="s">
        <v>39</v>
      </c>
      <c r="F817" s="28" t="e">
        <f ca="1">_xludf.ifna(VLOOKUP(G817,Proyectos!$A$2:$F$674,6,0),"")</f>
        <v>#NAME?</v>
      </c>
      <c r="G817" s="26" t="s">
        <v>5333</v>
      </c>
      <c r="H817" s="30">
        <v>0.25</v>
      </c>
      <c r="I817" s="52" t="s">
        <v>11</v>
      </c>
      <c r="J817" s="52" t="s">
        <v>61</v>
      </c>
      <c r="L817" s="32" t="e">
        <f ca="1">_xludf.ifna(VLOOKUP(E817,Parámetros!$D$2:$E$34,2,0),"")</f>
        <v>#NAME?</v>
      </c>
      <c r="M817" s="32" t="e">
        <f ca="1">_xludf.ifna(VLOOKUP(G817,Proyectos!$A$2:$T$674,20,0),"")</f>
        <v>#NAME?</v>
      </c>
      <c r="N817" s="32" t="e">
        <f ca="1">_xludf.ifna(VLOOKUP(G817,Proyectos!$A$2:$S$674,19,0))</f>
        <v>#NAME?</v>
      </c>
      <c r="O817" s="30"/>
      <c r="P817" s="62"/>
      <c r="Q817" s="62"/>
      <c r="R817" s="33"/>
      <c r="S817" s="33"/>
      <c r="T817" s="63">
        <f t="shared" si="10"/>
        <v>0</v>
      </c>
      <c r="U817" s="33"/>
      <c r="V817" s="33"/>
      <c r="W817" s="33"/>
    </row>
    <row r="818" spans="1:23" ht="16.5" customHeight="1" x14ac:dyDescent="0.2">
      <c r="A818" s="35" t="s">
        <v>4002</v>
      </c>
      <c r="B818" s="35" t="s">
        <v>4003</v>
      </c>
      <c r="C818" s="35" t="s">
        <v>115</v>
      </c>
      <c r="D818" s="35" t="s">
        <v>116</v>
      </c>
      <c r="E818" s="35" t="s">
        <v>108</v>
      </c>
      <c r="F818" s="28" t="e">
        <f ca="1">_xludf.ifna(VLOOKUP(G818,Proyectos!$A$2:$F$674,6,0),"")</f>
        <v>#NAME?</v>
      </c>
      <c r="G818" s="29" t="s">
        <v>5334</v>
      </c>
      <c r="H818" s="30">
        <v>0.5</v>
      </c>
      <c r="I818" s="52" t="s">
        <v>25</v>
      </c>
      <c r="J818" s="52" t="s">
        <v>61</v>
      </c>
      <c r="L818" s="32" t="e">
        <f ca="1">_xludf.ifna(VLOOKUP(E818,Parámetros!$D$2:$E$34,2,0),"")</f>
        <v>#NAME?</v>
      </c>
      <c r="M818" s="32" t="e">
        <f ca="1">_xludf.ifna(VLOOKUP(G818,Proyectos!$A$2:$T$674,20,0),"")</f>
        <v>#NAME?</v>
      </c>
      <c r="N818" s="32" t="e">
        <f ca="1">_xludf.ifna(VLOOKUP(G818,Proyectos!$A$2:$S$674,19,0))</f>
        <v>#NAME?</v>
      </c>
      <c r="O818" s="30"/>
      <c r="P818" s="62"/>
      <c r="Q818" s="62"/>
      <c r="R818" s="33"/>
      <c r="S818" s="33"/>
      <c r="T818" s="63">
        <f t="shared" si="10"/>
        <v>1</v>
      </c>
      <c r="U818" s="33"/>
      <c r="V818" s="33"/>
      <c r="W818" s="33"/>
    </row>
    <row r="819" spans="1:23" ht="16.5" customHeight="1" x14ac:dyDescent="0.2">
      <c r="A819" s="35" t="s">
        <v>4002</v>
      </c>
      <c r="B819" s="35" t="s">
        <v>4003</v>
      </c>
      <c r="C819" s="35" t="s">
        <v>115</v>
      </c>
      <c r="D819" s="35" t="s">
        <v>116</v>
      </c>
      <c r="E819" s="35" t="s">
        <v>108</v>
      </c>
      <c r="F819" s="28" t="e">
        <f ca="1">_xludf.ifna(VLOOKUP(G819,Proyectos!$A$2:$F$674,6,0),"")</f>
        <v>#NAME?</v>
      </c>
      <c r="G819" s="29" t="s">
        <v>5117</v>
      </c>
      <c r="H819" s="30">
        <v>0.5</v>
      </c>
      <c r="I819" s="52" t="s">
        <v>25</v>
      </c>
      <c r="J819" s="52" t="s">
        <v>61</v>
      </c>
      <c r="L819" s="32" t="e">
        <f ca="1">_xludf.ifna(VLOOKUP(E819,Parámetros!$D$2:$E$34,2,0),"")</f>
        <v>#NAME?</v>
      </c>
      <c r="M819" s="32" t="e">
        <f ca="1">_xludf.ifna(VLOOKUP(G819,Proyectos!$A$2:$T$674,20,0),"")</f>
        <v>#NAME?</v>
      </c>
      <c r="N819" s="32" t="e">
        <f ca="1">_xludf.ifna(VLOOKUP(G819,Proyectos!$A$2:$S$674,19,0))</f>
        <v>#NAME?</v>
      </c>
      <c r="O819" s="30"/>
      <c r="P819" s="62"/>
      <c r="Q819" s="62"/>
      <c r="R819" s="33"/>
      <c r="S819" s="33"/>
      <c r="T819" s="63">
        <f t="shared" si="10"/>
        <v>0</v>
      </c>
      <c r="U819" s="33"/>
      <c r="V819" s="33"/>
      <c r="W819" s="33"/>
    </row>
    <row r="820" spans="1:23" ht="16.5" customHeight="1" x14ac:dyDescent="0.2">
      <c r="A820" s="26" t="s">
        <v>3609</v>
      </c>
      <c r="B820" s="26" t="s">
        <v>3610</v>
      </c>
      <c r="C820" s="66" t="s">
        <v>37</v>
      </c>
      <c r="D820" s="27" t="s">
        <v>38</v>
      </c>
      <c r="E820" s="27" t="s">
        <v>39</v>
      </c>
      <c r="F820" s="28" t="e">
        <f ca="1">_xludf.ifna(VLOOKUP(G820,Proyectos!$A$2:$F$674,6,0),"")</f>
        <v>#NAME?</v>
      </c>
      <c r="G820" s="26" t="s">
        <v>5335</v>
      </c>
      <c r="H820" s="44">
        <v>1</v>
      </c>
      <c r="I820" s="31" t="s">
        <v>18</v>
      </c>
      <c r="J820" s="27" t="s">
        <v>41</v>
      </c>
      <c r="K820" s="51"/>
      <c r="L820" s="32" t="e">
        <f ca="1">_xludf.ifna(VLOOKUP(E820,Parámetros!$D$2:$E$34,2,0),"")</f>
        <v>#NAME?</v>
      </c>
      <c r="M820" s="32" t="e">
        <f ca="1">_xludf.ifna(VLOOKUP(G820,Proyectos!$A$2:$T$674,20,0),"")</f>
        <v>#NAME?</v>
      </c>
      <c r="N820" s="32" t="e">
        <f ca="1">_xludf.ifna(VLOOKUP(G820,Proyectos!$A$2:$S$674,19,0))</f>
        <v>#NAME?</v>
      </c>
      <c r="O820" s="31"/>
      <c r="P820" s="31"/>
      <c r="Q820" s="33"/>
      <c r="R820" s="33"/>
      <c r="S820" s="33"/>
      <c r="T820" s="33"/>
      <c r="U820" s="33"/>
      <c r="V820" s="33"/>
      <c r="W820" s="33"/>
    </row>
    <row r="821" spans="1:23" ht="16.5" customHeight="1" x14ac:dyDescent="0.2">
      <c r="A821" s="26" t="s">
        <v>3431</v>
      </c>
      <c r="B821" s="26" t="s">
        <v>3432</v>
      </c>
      <c r="C821" s="66" t="s">
        <v>37</v>
      </c>
      <c r="D821" s="27" t="s">
        <v>38</v>
      </c>
      <c r="E821" s="27" t="s">
        <v>39</v>
      </c>
      <c r="F821" s="28" t="e">
        <f ca="1">_xludf.ifna(VLOOKUP(G821,Proyectos!$A$2:$F$674,6,0),"")</f>
        <v>#NAME?</v>
      </c>
      <c r="G821" s="26" t="s">
        <v>5336</v>
      </c>
      <c r="H821" s="44">
        <v>0.5</v>
      </c>
      <c r="I821" s="31" t="s">
        <v>18</v>
      </c>
      <c r="J821" s="27" t="s">
        <v>41</v>
      </c>
      <c r="K821" s="51"/>
      <c r="L821" s="32" t="e">
        <f ca="1">_xludf.ifna(VLOOKUP(E821,Parámetros!$D$2:$E$34,2,0),"")</f>
        <v>#NAME?</v>
      </c>
      <c r="M821" s="32" t="e">
        <f ca="1">_xludf.ifna(VLOOKUP(G821,Proyectos!$A$2:$T$674,20,0),"")</f>
        <v>#NAME?</v>
      </c>
      <c r="N821" s="32" t="e">
        <f ca="1">_xludf.ifna(VLOOKUP(G821,Proyectos!$A$2:$S$674,19,0))</f>
        <v>#NAME?</v>
      </c>
      <c r="O821" s="31"/>
      <c r="P821" s="31"/>
      <c r="Q821" s="33"/>
      <c r="R821" s="33"/>
      <c r="S821" s="33"/>
      <c r="T821" s="33"/>
      <c r="U821" s="33"/>
      <c r="V821" s="33"/>
      <c r="W821" s="33"/>
    </row>
    <row r="822" spans="1:23" ht="16.5" customHeight="1" x14ac:dyDescent="0.2">
      <c r="A822" s="26" t="s">
        <v>3431</v>
      </c>
      <c r="B822" s="26" t="s">
        <v>3432</v>
      </c>
      <c r="C822" s="66" t="s">
        <v>37</v>
      </c>
      <c r="D822" s="27" t="s">
        <v>38</v>
      </c>
      <c r="E822" s="27" t="s">
        <v>39</v>
      </c>
      <c r="F822" s="28" t="e">
        <f ca="1">_xludf.ifna(VLOOKUP(G822,Proyectos!$A$2:$F$674,6,0),"")</f>
        <v>#NAME?</v>
      </c>
      <c r="G822" s="26" t="s">
        <v>5337</v>
      </c>
      <c r="H822" s="44">
        <v>0.5</v>
      </c>
      <c r="I822" s="31" t="s">
        <v>18</v>
      </c>
      <c r="J822" s="27" t="s">
        <v>41</v>
      </c>
      <c r="K822" s="51"/>
      <c r="L822" s="32" t="e">
        <f ca="1">_xludf.ifna(VLOOKUP(E822,Parámetros!$D$2:$E$34,2,0),"")</f>
        <v>#NAME?</v>
      </c>
      <c r="M822" s="32" t="e">
        <f ca="1">_xludf.ifna(VLOOKUP(G822,Proyectos!$A$2:$T$674,20,0),"")</f>
        <v>#NAME?</v>
      </c>
      <c r="N822" s="32" t="e">
        <f ca="1">_xludf.ifna(VLOOKUP(G822,Proyectos!$A$2:$S$674,19,0))</f>
        <v>#NAME?</v>
      </c>
      <c r="O822" s="31"/>
      <c r="P822" s="31"/>
      <c r="Q822" s="33"/>
      <c r="R822" s="33"/>
      <c r="S822" s="33"/>
      <c r="T822" s="33"/>
      <c r="U822" s="33"/>
      <c r="V822" s="33"/>
      <c r="W822" s="33"/>
    </row>
    <row r="823" spans="1:23" ht="16.5" customHeight="1" x14ac:dyDescent="0.2">
      <c r="A823" s="26" t="s">
        <v>3819</v>
      </c>
      <c r="B823" s="26" t="s">
        <v>3820</v>
      </c>
      <c r="C823" s="66" t="s">
        <v>37</v>
      </c>
      <c r="D823" s="27" t="s">
        <v>38</v>
      </c>
      <c r="E823" s="27" t="s">
        <v>39</v>
      </c>
      <c r="F823" s="28" t="e">
        <f ca="1">_xludf.ifna(VLOOKUP(G823,Proyectos!$A$2:$F$674,6,0),"")</f>
        <v>#NAME?</v>
      </c>
      <c r="G823" s="26" t="s">
        <v>5152</v>
      </c>
      <c r="H823" s="32">
        <v>1</v>
      </c>
      <c r="I823" s="31" t="s">
        <v>18</v>
      </c>
      <c r="J823" s="27" t="s">
        <v>61</v>
      </c>
      <c r="K823" s="32"/>
      <c r="L823" s="32" t="e">
        <f ca="1">_xludf.ifna(VLOOKUP(E823,Parámetros!$D$2:$E$34,2,0),"")</f>
        <v>#NAME?</v>
      </c>
      <c r="M823" s="32" t="e">
        <f ca="1">_xludf.ifna(VLOOKUP(G823,Proyectos!$A$2:$T$674,20,0),"")</f>
        <v>#NAME?</v>
      </c>
      <c r="N823" s="32" t="e">
        <f ca="1">_xludf.ifna(VLOOKUP(G823,Proyectos!$A$2:$S$674,19,0))</f>
        <v>#NAME?</v>
      </c>
      <c r="O823" s="32"/>
      <c r="P823" s="31"/>
      <c r="Q823" s="33"/>
      <c r="R823" s="33"/>
      <c r="S823" s="33"/>
      <c r="T823" s="33"/>
      <c r="U823" s="33"/>
      <c r="V823" s="33"/>
      <c r="W823" s="33"/>
    </row>
    <row r="824" spans="1:23" ht="16.5" customHeight="1" x14ac:dyDescent="0.2">
      <c r="A824" s="26" t="s">
        <v>3605</v>
      </c>
      <c r="B824" s="26" t="s">
        <v>3606</v>
      </c>
      <c r="C824" s="66" t="s">
        <v>37</v>
      </c>
      <c r="D824" s="27" t="s">
        <v>38</v>
      </c>
      <c r="E824" s="27" t="s">
        <v>39</v>
      </c>
      <c r="F824" s="28" t="e">
        <f ca="1">_xludf.ifna(VLOOKUP(G824,Proyectos!$A$2:$F$674,6,0),"")</f>
        <v>#NAME?</v>
      </c>
      <c r="G824" s="26" t="s">
        <v>5116</v>
      </c>
      <c r="H824" s="32">
        <v>0.75</v>
      </c>
      <c r="I824" s="31" t="s">
        <v>18</v>
      </c>
      <c r="J824" s="31" t="s">
        <v>61</v>
      </c>
      <c r="K824" s="32"/>
      <c r="L824" s="32" t="e">
        <f ca="1">_xludf.ifna(VLOOKUP(E824,Parámetros!$D$2:$E$34,2,0),"")</f>
        <v>#NAME?</v>
      </c>
      <c r="M824" s="32" t="e">
        <f ca="1">_xludf.ifna(VLOOKUP(G824,Proyectos!$A$2:$T$674,20,0),"")</f>
        <v>#NAME?</v>
      </c>
      <c r="N824" s="32" t="e">
        <f ca="1">_xludf.ifna(VLOOKUP(G824,Proyectos!$A$2:$S$674,19,0))</f>
        <v>#NAME?</v>
      </c>
      <c r="O824" s="32"/>
      <c r="P824" s="31"/>
      <c r="Q824" s="33"/>
      <c r="R824" s="33"/>
      <c r="S824" s="33"/>
      <c r="T824" s="33"/>
      <c r="U824" s="33"/>
      <c r="V824" s="33"/>
      <c r="W824" s="33"/>
    </row>
    <row r="825" spans="1:23" ht="16.5" customHeight="1" x14ac:dyDescent="0.2">
      <c r="A825" s="26" t="s">
        <v>3605</v>
      </c>
      <c r="B825" s="26" t="s">
        <v>3606</v>
      </c>
      <c r="C825" s="66" t="s">
        <v>37</v>
      </c>
      <c r="D825" s="27" t="s">
        <v>38</v>
      </c>
      <c r="E825" s="27" t="s">
        <v>39</v>
      </c>
      <c r="F825" s="28" t="e">
        <f ca="1">_xludf.ifna(VLOOKUP(G825,Proyectos!$A$2:$F$674,6,0),"")</f>
        <v>#NAME?</v>
      </c>
      <c r="G825" s="26" t="s">
        <v>5338</v>
      </c>
      <c r="H825" s="32">
        <v>0.25</v>
      </c>
      <c r="I825" s="31" t="s">
        <v>18</v>
      </c>
      <c r="J825" s="31" t="s">
        <v>61</v>
      </c>
      <c r="K825" s="32"/>
      <c r="L825" s="32" t="e">
        <f ca="1">_xludf.ifna(VLOOKUP(E825,Parámetros!$D$2:$E$34,2,0),"")</f>
        <v>#NAME?</v>
      </c>
      <c r="M825" s="32" t="e">
        <f ca="1">_xludf.ifna(VLOOKUP(G825,Proyectos!$A$2:$T$674,20,0),"")</f>
        <v>#NAME?</v>
      </c>
      <c r="N825" s="32" t="e">
        <f ca="1">_xludf.ifna(VLOOKUP(G825,Proyectos!$A$2:$S$674,19,0))</f>
        <v>#NAME?</v>
      </c>
      <c r="O825" s="32"/>
      <c r="P825" s="31"/>
      <c r="Q825" s="33"/>
      <c r="R825" s="33"/>
      <c r="S825" s="33"/>
      <c r="T825" s="33"/>
      <c r="U825" s="33"/>
      <c r="V825" s="33"/>
      <c r="W825" s="33"/>
    </row>
    <row r="826" spans="1:23" ht="16.5" customHeight="1" x14ac:dyDescent="0.2">
      <c r="A826" s="26" t="s">
        <v>3371</v>
      </c>
      <c r="B826" s="26" t="s">
        <v>3372</v>
      </c>
      <c r="C826" s="26" t="s">
        <v>37</v>
      </c>
      <c r="D826" s="27" t="s">
        <v>38</v>
      </c>
      <c r="E826" s="27" t="s">
        <v>39</v>
      </c>
      <c r="F826" s="28" t="e">
        <f ca="1">_xludf.ifna(VLOOKUP(G826,Proyectos!$A$2:$F$674,6,0),"")</f>
        <v>#NAME?</v>
      </c>
      <c r="G826" s="26" t="s">
        <v>5338</v>
      </c>
      <c r="H826" s="32">
        <v>0.25</v>
      </c>
      <c r="I826" s="31" t="s">
        <v>18</v>
      </c>
      <c r="J826" s="31" t="s">
        <v>61</v>
      </c>
      <c r="K826" s="32"/>
      <c r="L826" s="32" t="e">
        <f ca="1">_xludf.ifna(VLOOKUP(E826,Parámetros!$D$2:$E$34,2,0),"")</f>
        <v>#NAME?</v>
      </c>
      <c r="M826" s="32" t="e">
        <f ca="1">_xludf.ifna(VLOOKUP(G826,Proyectos!$A$2:$T$674,20,0),"")</f>
        <v>#NAME?</v>
      </c>
      <c r="N826" s="32" t="e">
        <f ca="1">_xludf.ifna(VLOOKUP(G826,Proyectos!$A$2:$S$674,19,0))</f>
        <v>#NAME?</v>
      </c>
      <c r="O826" s="31"/>
      <c r="P826" s="31"/>
      <c r="Q826" s="33"/>
      <c r="R826" s="33"/>
      <c r="S826" s="33"/>
      <c r="T826" s="33"/>
      <c r="U826" s="33"/>
      <c r="V826" s="33"/>
      <c r="W826" s="33"/>
    </row>
    <row r="827" spans="1:23" ht="16.5" customHeight="1" x14ac:dyDescent="0.2">
      <c r="A827" s="26" t="s">
        <v>3371</v>
      </c>
      <c r="B827" s="26" t="s">
        <v>3372</v>
      </c>
      <c r="C827" s="26" t="s">
        <v>37</v>
      </c>
      <c r="D827" s="27" t="s">
        <v>38</v>
      </c>
      <c r="E827" s="27" t="s">
        <v>39</v>
      </c>
      <c r="F827" s="28" t="e">
        <f ca="1">_xludf.ifna(VLOOKUP(G827,Proyectos!$A$2:$F$674,6,0),"")</f>
        <v>#NAME?</v>
      </c>
      <c r="G827" s="26" t="s">
        <v>5339</v>
      </c>
      <c r="H827" s="32">
        <v>0.75</v>
      </c>
      <c r="I827" s="31" t="s">
        <v>18</v>
      </c>
      <c r="J827" s="31" t="s">
        <v>41</v>
      </c>
      <c r="K827" s="32"/>
      <c r="L827" s="32" t="e">
        <f ca="1">_xludf.ifna(VLOOKUP(E827,Parámetros!$D$2:$E$34,2,0),"")</f>
        <v>#NAME?</v>
      </c>
      <c r="M827" s="32" t="e">
        <f ca="1">_xludf.ifna(VLOOKUP(G827,Proyectos!$A$2:$T$674,20,0),"")</f>
        <v>#NAME?</v>
      </c>
      <c r="N827" s="32" t="e">
        <f ca="1">_xludf.ifna(VLOOKUP(G827,Proyectos!$A$2:$S$674,19,0))</f>
        <v>#NAME?</v>
      </c>
      <c r="O827" s="32"/>
      <c r="P827" s="31"/>
      <c r="Q827" s="33"/>
      <c r="R827" s="33"/>
      <c r="S827" s="33"/>
      <c r="T827" s="33"/>
      <c r="U827" s="33"/>
      <c r="V827" s="33"/>
      <c r="W827" s="33"/>
    </row>
    <row r="828" spans="1:23" ht="16.5" customHeight="1" x14ac:dyDescent="0.2">
      <c r="A828" s="26" t="s">
        <v>3528</v>
      </c>
      <c r="B828" s="26" t="s">
        <v>3529</v>
      </c>
      <c r="C828" s="26" t="s">
        <v>37</v>
      </c>
      <c r="D828" s="27" t="s">
        <v>38</v>
      </c>
      <c r="E828" s="27" t="s">
        <v>39</v>
      </c>
      <c r="F828" s="28" t="e">
        <f ca="1">_xludf.ifna(VLOOKUP(G828,Proyectos!$A$2:$F$674,6,0),"")</f>
        <v>#NAME?</v>
      </c>
      <c r="G828" s="26" t="s">
        <v>5339</v>
      </c>
      <c r="H828" s="32">
        <v>0.5</v>
      </c>
      <c r="I828" s="31" t="s">
        <v>18</v>
      </c>
      <c r="J828" s="31" t="s">
        <v>41</v>
      </c>
      <c r="K828" s="32"/>
      <c r="L828" s="32" t="e">
        <f ca="1">_xludf.ifna(VLOOKUP(E828,Parámetros!$D$2:$E$34,2,0),"")</f>
        <v>#NAME?</v>
      </c>
      <c r="M828" s="32" t="e">
        <f ca="1">_xludf.ifna(VLOOKUP(G828,Proyectos!$A$2:$T$674,20,0),"")</f>
        <v>#NAME?</v>
      </c>
      <c r="N828" s="32" t="e">
        <f ca="1">_xludf.ifna(VLOOKUP(G828,Proyectos!$A$2:$S$674,19,0))</f>
        <v>#NAME?</v>
      </c>
      <c r="O828" s="32"/>
      <c r="P828" s="31"/>
      <c r="Q828" s="33"/>
      <c r="R828" s="33"/>
      <c r="S828" s="33"/>
      <c r="T828" s="33"/>
      <c r="U828" s="33"/>
      <c r="V828" s="33"/>
      <c r="W828" s="33"/>
    </row>
    <row r="829" spans="1:23" ht="16.5" customHeight="1" x14ac:dyDescent="0.2">
      <c r="A829" s="26" t="s">
        <v>3528</v>
      </c>
      <c r="B829" s="26" t="s">
        <v>3529</v>
      </c>
      <c r="C829" s="26" t="s">
        <v>37</v>
      </c>
      <c r="D829" s="27" t="s">
        <v>38</v>
      </c>
      <c r="E829" s="27" t="s">
        <v>39</v>
      </c>
      <c r="F829" s="28" t="e">
        <f ca="1">_xludf.ifna(VLOOKUP(G829,Proyectos!$A$2:$F$674,6,0),"")</f>
        <v>#NAME?</v>
      </c>
      <c r="G829" s="26" t="s">
        <v>5340</v>
      </c>
      <c r="H829" s="32">
        <v>0.5</v>
      </c>
      <c r="I829" s="31" t="s">
        <v>18</v>
      </c>
      <c r="J829" s="31" t="s">
        <v>41</v>
      </c>
      <c r="K829" s="32"/>
      <c r="L829" s="32" t="e">
        <f ca="1">_xludf.ifna(VLOOKUP(E829,Parámetros!$D$2:$E$34,2,0),"")</f>
        <v>#NAME?</v>
      </c>
      <c r="M829" s="32" t="e">
        <f ca="1">_xludf.ifna(VLOOKUP(G829,Proyectos!$A$2:$T$674,20,0),"")</f>
        <v>#NAME?</v>
      </c>
      <c r="N829" s="32" t="e">
        <f ca="1">_xludf.ifna(VLOOKUP(G829,Proyectos!$A$2:$S$674,19,0))</f>
        <v>#NAME?</v>
      </c>
      <c r="O829" s="32"/>
      <c r="P829" s="31"/>
      <c r="Q829" s="33"/>
      <c r="R829" s="33"/>
      <c r="S829" s="33"/>
      <c r="T829" s="33"/>
      <c r="U829" s="33"/>
      <c r="V829" s="33"/>
      <c r="W829" s="33"/>
    </row>
    <row r="830" spans="1:23" ht="16.5" customHeight="1" x14ac:dyDescent="0.2">
      <c r="A830" s="26" t="s">
        <v>3495</v>
      </c>
      <c r="B830" s="26" t="s">
        <v>3496</v>
      </c>
      <c r="C830" s="26" t="s">
        <v>37</v>
      </c>
      <c r="D830" s="27" t="s">
        <v>38</v>
      </c>
      <c r="E830" s="27" t="s">
        <v>39</v>
      </c>
      <c r="F830" s="28" t="e">
        <f ca="1">_xludf.ifna(VLOOKUP(G830,Proyectos!$A$2:$F$674,6,0),"")</f>
        <v>#NAME?</v>
      </c>
      <c r="G830" s="26" t="s">
        <v>5336</v>
      </c>
      <c r="H830" s="32">
        <v>0.3</v>
      </c>
      <c r="I830" s="31" t="s">
        <v>18</v>
      </c>
      <c r="J830" s="31" t="s">
        <v>41</v>
      </c>
      <c r="K830" s="32"/>
      <c r="L830" s="32" t="e">
        <f ca="1">_xludf.ifna(VLOOKUP(E830,Parámetros!$D$2:$E$34,2,0),"")</f>
        <v>#NAME?</v>
      </c>
      <c r="M830" s="32" t="e">
        <f ca="1">_xludf.ifna(VLOOKUP(G830,Proyectos!$A$2:$T$674,20,0),"")</f>
        <v>#NAME?</v>
      </c>
      <c r="N830" s="32" t="e">
        <f ca="1">_xludf.ifna(VLOOKUP(G830,Proyectos!$A$2:$S$674,19,0))</f>
        <v>#NAME?</v>
      </c>
      <c r="O830" s="31"/>
      <c r="P830" s="31"/>
      <c r="Q830" s="33"/>
      <c r="R830" s="33"/>
      <c r="S830" s="33"/>
      <c r="T830" s="33"/>
      <c r="U830" s="33"/>
      <c r="V830" s="33"/>
      <c r="W830" s="33"/>
    </row>
    <row r="831" spans="1:23" ht="16.5" customHeight="1" x14ac:dyDescent="0.2">
      <c r="A831" s="26" t="s">
        <v>3495</v>
      </c>
      <c r="B831" s="26" t="s">
        <v>3496</v>
      </c>
      <c r="C831" s="26" t="s">
        <v>37</v>
      </c>
      <c r="D831" s="27" t="s">
        <v>38</v>
      </c>
      <c r="E831" s="27" t="s">
        <v>39</v>
      </c>
      <c r="F831" s="28" t="e">
        <f ca="1">_xludf.ifna(VLOOKUP(G831,Proyectos!$A$2:$F$674,6,0),"")</f>
        <v>#NAME?</v>
      </c>
      <c r="G831" s="26" t="s">
        <v>5341</v>
      </c>
      <c r="H831" s="32">
        <v>0.3</v>
      </c>
      <c r="I831" s="31" t="s">
        <v>18</v>
      </c>
      <c r="J831" s="31" t="s">
        <v>41</v>
      </c>
      <c r="K831" s="32"/>
      <c r="L831" s="32" t="e">
        <f ca="1">_xludf.ifna(VLOOKUP(E831,Parámetros!$D$2:$E$34,2,0),"")</f>
        <v>#NAME?</v>
      </c>
      <c r="M831" s="32" t="e">
        <f ca="1">_xludf.ifna(VLOOKUP(G831,Proyectos!$A$2:$T$674,20,0),"")</f>
        <v>#NAME?</v>
      </c>
      <c r="N831" s="32" t="e">
        <f ca="1">_xludf.ifna(VLOOKUP(G831,Proyectos!$A$2:$S$674,19,0))</f>
        <v>#NAME?</v>
      </c>
      <c r="O831" s="31"/>
      <c r="P831" s="31"/>
      <c r="Q831" s="33"/>
      <c r="R831" s="33"/>
      <c r="S831" s="33"/>
      <c r="T831" s="33"/>
      <c r="U831" s="33"/>
      <c r="V831" s="33"/>
      <c r="W831" s="33"/>
    </row>
    <row r="832" spans="1:23" ht="16.5" customHeight="1" x14ac:dyDescent="0.2">
      <c r="A832" s="26" t="s">
        <v>3495</v>
      </c>
      <c r="B832" s="26" t="s">
        <v>3496</v>
      </c>
      <c r="C832" s="26" t="s">
        <v>37</v>
      </c>
      <c r="D832" s="27" t="s">
        <v>38</v>
      </c>
      <c r="E832" s="27" t="s">
        <v>39</v>
      </c>
      <c r="F832" s="28" t="e">
        <f ca="1">_xludf.ifna(VLOOKUP(G832,Proyectos!$A$2:$F$674,6,0),"")</f>
        <v>#NAME?</v>
      </c>
      <c r="G832" s="26" t="s">
        <v>5337</v>
      </c>
      <c r="H832" s="32">
        <v>0.4</v>
      </c>
      <c r="I832" s="31" t="s">
        <v>18</v>
      </c>
      <c r="J832" s="31" t="s">
        <v>41</v>
      </c>
      <c r="K832" s="32"/>
      <c r="L832" s="32" t="e">
        <f ca="1">_xludf.ifna(VLOOKUP(E832,Parámetros!$D$2:$E$34,2,0),"")</f>
        <v>#NAME?</v>
      </c>
      <c r="M832" s="32" t="e">
        <f ca="1">_xludf.ifna(VLOOKUP(G832,Proyectos!$A$2:$T$674,20,0),"")</f>
        <v>#NAME?</v>
      </c>
      <c r="N832" s="32" t="e">
        <f ca="1">_xludf.ifna(VLOOKUP(G832,Proyectos!$A$2:$S$674,19,0))</f>
        <v>#NAME?</v>
      </c>
      <c r="O832" s="31"/>
      <c r="P832" s="31"/>
      <c r="Q832" s="33"/>
      <c r="R832" s="33"/>
      <c r="S832" s="33"/>
      <c r="T832" s="33"/>
      <c r="U832" s="33"/>
      <c r="V832" s="33"/>
      <c r="W832" s="33"/>
    </row>
    <row r="833" spans="1:23" ht="16.5" customHeight="1" x14ac:dyDescent="0.2">
      <c r="A833" s="26" t="s">
        <v>4687</v>
      </c>
      <c r="B833" s="26" t="s">
        <v>4688</v>
      </c>
      <c r="C833" s="26" t="s">
        <v>37</v>
      </c>
      <c r="D833" s="27" t="s">
        <v>38</v>
      </c>
      <c r="E833" s="27" t="s">
        <v>39</v>
      </c>
      <c r="F833" s="28" t="e">
        <f ca="1">_xludf.ifna(VLOOKUP(G833,Proyectos!$A$2:$F$674,6,0),"")</f>
        <v>#NAME?</v>
      </c>
      <c r="G833" s="26" t="s">
        <v>5336</v>
      </c>
      <c r="H833" s="32">
        <v>0.25</v>
      </c>
      <c r="I833" s="31" t="s">
        <v>18</v>
      </c>
      <c r="J833" s="31" t="s">
        <v>41</v>
      </c>
      <c r="K833" s="32"/>
      <c r="L833" s="32" t="e">
        <f ca="1">_xludf.ifna(VLOOKUP(E833,Parámetros!$D$2:$E$34,2,0),"")</f>
        <v>#NAME?</v>
      </c>
      <c r="M833" s="32" t="e">
        <f ca="1">_xludf.ifna(VLOOKUP(G833,Proyectos!$A$2:$T$674,20,0),"")</f>
        <v>#NAME?</v>
      </c>
      <c r="N833" s="32" t="e">
        <f ca="1">_xludf.ifna(VLOOKUP(G833,Proyectos!$A$2:$S$674,19,0))</f>
        <v>#NAME?</v>
      </c>
      <c r="O833" s="31"/>
      <c r="P833" s="31"/>
      <c r="Q833" s="33"/>
      <c r="R833" s="33"/>
      <c r="S833" s="33"/>
      <c r="T833" s="33"/>
      <c r="U833" s="33"/>
      <c r="V833" s="33"/>
      <c r="W833" s="33"/>
    </row>
    <row r="834" spans="1:23" ht="16.5" customHeight="1" x14ac:dyDescent="0.2">
      <c r="A834" s="26" t="s">
        <v>4687</v>
      </c>
      <c r="B834" s="26" t="s">
        <v>4688</v>
      </c>
      <c r="C834" s="26" t="s">
        <v>37</v>
      </c>
      <c r="D834" s="27" t="s">
        <v>38</v>
      </c>
      <c r="E834" s="27" t="s">
        <v>39</v>
      </c>
      <c r="F834" s="28" t="e">
        <f ca="1">_xludf.ifna(VLOOKUP(G834,Proyectos!$A$2:$F$674,6,0),"")</f>
        <v>#NAME?</v>
      </c>
      <c r="G834" s="26" t="s">
        <v>5341</v>
      </c>
      <c r="H834" s="32">
        <v>0.25</v>
      </c>
      <c r="I834" s="31" t="s">
        <v>18</v>
      </c>
      <c r="J834" s="31" t="s">
        <v>41</v>
      </c>
      <c r="K834" s="32"/>
      <c r="L834" s="32" t="e">
        <f ca="1">_xludf.ifna(VLOOKUP(E834,Parámetros!$D$2:$E$34,2,0),"")</f>
        <v>#NAME?</v>
      </c>
      <c r="M834" s="32" t="e">
        <f ca="1">_xludf.ifna(VLOOKUP(G834,Proyectos!$A$2:$T$674,20,0),"")</f>
        <v>#NAME?</v>
      </c>
      <c r="N834" s="32" t="e">
        <f ca="1">_xludf.ifna(VLOOKUP(G834,Proyectos!$A$2:$S$674,19,0))</f>
        <v>#NAME?</v>
      </c>
      <c r="O834" s="31"/>
      <c r="P834" s="31"/>
      <c r="Q834" s="33"/>
      <c r="R834" s="33"/>
      <c r="S834" s="33"/>
      <c r="T834" s="33"/>
      <c r="U834" s="33"/>
      <c r="V834" s="33"/>
      <c r="W834" s="33"/>
    </row>
    <row r="835" spans="1:23" ht="16.5" customHeight="1" x14ac:dyDescent="0.2">
      <c r="A835" s="26" t="s">
        <v>4687</v>
      </c>
      <c r="B835" s="26" t="s">
        <v>4688</v>
      </c>
      <c r="C835" s="26" t="s">
        <v>37</v>
      </c>
      <c r="D835" s="27" t="s">
        <v>38</v>
      </c>
      <c r="E835" s="27" t="s">
        <v>39</v>
      </c>
      <c r="F835" s="28" t="e">
        <f ca="1">_xludf.ifna(VLOOKUP(G835,Proyectos!$A$2:$F$674,6,0),"")</f>
        <v>#NAME?</v>
      </c>
      <c r="G835" s="26" t="s">
        <v>5337</v>
      </c>
      <c r="H835" s="32">
        <v>0.5</v>
      </c>
      <c r="I835" s="31" t="s">
        <v>18</v>
      </c>
      <c r="J835" s="31" t="s">
        <v>41</v>
      </c>
      <c r="K835" s="32"/>
      <c r="L835" s="32" t="e">
        <f ca="1">_xludf.ifna(VLOOKUP(E835,Parámetros!$D$2:$E$34,2,0),"")</f>
        <v>#NAME?</v>
      </c>
      <c r="M835" s="32" t="e">
        <f ca="1">_xludf.ifna(VLOOKUP(G835,Proyectos!$A$2:$T$674,20,0),"")</f>
        <v>#NAME?</v>
      </c>
      <c r="N835" s="32" t="e">
        <f ca="1">_xludf.ifna(VLOOKUP(G835,Proyectos!$A$2:$S$674,19,0))</f>
        <v>#NAME?</v>
      </c>
      <c r="O835" s="31"/>
      <c r="P835" s="31"/>
      <c r="Q835" s="33"/>
      <c r="R835" s="33"/>
      <c r="S835" s="33"/>
      <c r="T835" s="33"/>
      <c r="U835" s="33"/>
      <c r="V835" s="33"/>
      <c r="W835" s="33"/>
    </row>
    <row r="836" spans="1:23" ht="16.5" customHeight="1" x14ac:dyDescent="0.2">
      <c r="A836" s="26" t="s">
        <v>4774</v>
      </c>
      <c r="B836" s="26" t="s">
        <v>4775</v>
      </c>
      <c r="C836" s="26" t="s">
        <v>37</v>
      </c>
      <c r="D836" s="27" t="s">
        <v>38</v>
      </c>
      <c r="E836" s="27" t="s">
        <v>39</v>
      </c>
      <c r="F836" s="28" t="e">
        <f ca="1">_xludf.ifna(VLOOKUP(G836,Proyectos!$A$2:$F$674,6,0),"")</f>
        <v>#NAME?</v>
      </c>
      <c r="G836" s="26" t="s">
        <v>5337</v>
      </c>
      <c r="H836" s="32">
        <v>0.75</v>
      </c>
      <c r="I836" s="31" t="s">
        <v>18</v>
      </c>
      <c r="J836" s="31" t="s">
        <v>41</v>
      </c>
      <c r="K836" s="32"/>
      <c r="L836" s="32" t="e">
        <f ca="1">_xludf.ifna(VLOOKUP(E836,Parámetros!$D$2:$E$34,2,0),"")</f>
        <v>#NAME?</v>
      </c>
      <c r="M836" s="32" t="e">
        <f ca="1">_xludf.ifna(VLOOKUP(G836,Proyectos!$A$2:$T$674,20,0),"")</f>
        <v>#NAME?</v>
      </c>
      <c r="N836" s="32" t="e">
        <f ca="1">_xludf.ifna(VLOOKUP(G836,Proyectos!$A$2:$S$674,19,0))</f>
        <v>#NAME?</v>
      </c>
      <c r="O836" s="31"/>
      <c r="P836" s="31"/>
      <c r="Q836" s="33"/>
      <c r="R836" s="33"/>
      <c r="S836" s="33"/>
      <c r="T836" s="33"/>
      <c r="U836" s="33"/>
      <c r="V836" s="33"/>
      <c r="W836" s="33"/>
    </row>
    <row r="837" spans="1:23" ht="16.5" customHeight="1" x14ac:dyDescent="0.2">
      <c r="A837" s="26" t="s">
        <v>4774</v>
      </c>
      <c r="B837" s="26" t="s">
        <v>4775</v>
      </c>
      <c r="C837" s="26" t="s">
        <v>37</v>
      </c>
      <c r="D837" s="27" t="s">
        <v>38</v>
      </c>
      <c r="E837" s="27" t="s">
        <v>39</v>
      </c>
      <c r="F837" s="28" t="e">
        <f ca="1">_xludf.ifna(VLOOKUP(G837,Proyectos!$A$2:$F$674,6,0),"")</f>
        <v>#NAME?</v>
      </c>
      <c r="G837" s="26" t="s">
        <v>5337</v>
      </c>
      <c r="H837" s="32">
        <v>0.25</v>
      </c>
      <c r="I837" s="31" t="s">
        <v>18</v>
      </c>
      <c r="J837" s="31" t="s">
        <v>41</v>
      </c>
      <c r="K837" s="32"/>
      <c r="L837" s="32" t="e">
        <f ca="1">_xludf.ifna(VLOOKUP(E837,Parámetros!$D$2:$E$34,2,0),"")</f>
        <v>#NAME?</v>
      </c>
      <c r="M837" s="32" t="e">
        <f ca="1">_xludf.ifna(VLOOKUP(G837,Proyectos!$A$2:$T$674,20,0),"")</f>
        <v>#NAME?</v>
      </c>
      <c r="N837" s="32" t="e">
        <f ca="1">_xludf.ifna(VLOOKUP(G837,Proyectos!$A$2:$S$674,19,0))</f>
        <v>#NAME?</v>
      </c>
      <c r="O837" s="31"/>
      <c r="P837" s="31"/>
      <c r="Q837" s="33"/>
      <c r="R837" s="33"/>
      <c r="S837" s="33"/>
      <c r="T837" s="33"/>
      <c r="U837" s="33"/>
      <c r="V837" s="33"/>
      <c r="W837" s="33"/>
    </row>
    <row r="838" spans="1:23" ht="16.5" customHeight="1" x14ac:dyDescent="0.2">
      <c r="A838" s="26" t="s">
        <v>4025</v>
      </c>
      <c r="B838" s="26" t="s">
        <v>4026</v>
      </c>
      <c r="C838" s="66" t="s">
        <v>37</v>
      </c>
      <c r="D838" s="27" t="s">
        <v>38</v>
      </c>
      <c r="E838" s="27" t="s">
        <v>135</v>
      </c>
      <c r="F838" s="28" t="e">
        <f ca="1">_xludf.ifna(VLOOKUP(G838,Proyectos!$A$2:$F$674,6,0),"")</f>
        <v>#NAME?</v>
      </c>
      <c r="G838" s="26" t="s">
        <v>5116</v>
      </c>
      <c r="H838" s="32">
        <v>0.5</v>
      </c>
      <c r="I838" s="31" t="s">
        <v>18</v>
      </c>
      <c r="J838" s="31" t="s">
        <v>41</v>
      </c>
      <c r="K838" s="32"/>
      <c r="L838" s="32" t="e">
        <f ca="1">_xludf.ifna(VLOOKUP(E838,Parámetros!$D$2:$E$34,2,0),"")</f>
        <v>#NAME?</v>
      </c>
      <c r="M838" s="32" t="e">
        <f ca="1">_xludf.ifna(VLOOKUP(G838,Proyectos!$A$2:$T$674,20,0),"")</f>
        <v>#NAME?</v>
      </c>
      <c r="N838" s="32" t="e">
        <f ca="1">_xludf.ifna(VLOOKUP(G838,Proyectos!$A$2:$S$674,19,0))</f>
        <v>#NAME?</v>
      </c>
      <c r="O838" s="32"/>
      <c r="P838" s="31"/>
      <c r="Q838" s="33"/>
      <c r="R838" s="33"/>
      <c r="S838" s="33"/>
      <c r="T838" s="33"/>
      <c r="U838" s="33"/>
      <c r="V838" s="33"/>
      <c r="W838" s="33"/>
    </row>
    <row r="839" spans="1:23" ht="16.5" customHeight="1" x14ac:dyDescent="0.2">
      <c r="A839" s="26" t="s">
        <v>4025</v>
      </c>
      <c r="B839" s="26" t="s">
        <v>4026</v>
      </c>
      <c r="C839" s="66" t="s">
        <v>37</v>
      </c>
      <c r="D839" s="27" t="s">
        <v>38</v>
      </c>
      <c r="E839" s="27" t="s">
        <v>135</v>
      </c>
      <c r="F839" s="28" t="e">
        <f ca="1">_xludf.ifna(VLOOKUP(G839,Proyectos!$A$2:$F$674,6,0),"")</f>
        <v>#NAME?</v>
      </c>
      <c r="G839" s="26" t="s">
        <v>5342</v>
      </c>
      <c r="H839" s="32">
        <v>0.5</v>
      </c>
      <c r="I839" s="31" t="s">
        <v>18</v>
      </c>
      <c r="J839" s="31" t="s">
        <v>41</v>
      </c>
      <c r="K839" s="32"/>
      <c r="L839" s="32" t="e">
        <f ca="1">_xludf.ifna(VLOOKUP(E839,Parámetros!$D$2:$E$34,2,0),"")</f>
        <v>#NAME?</v>
      </c>
      <c r="M839" s="32" t="e">
        <f ca="1">_xludf.ifna(VLOOKUP(G839,Proyectos!$A$2:$T$674,20,0),"")</f>
        <v>#NAME?</v>
      </c>
      <c r="N839" s="32" t="e">
        <f ca="1">_xludf.ifna(VLOOKUP(G839,Proyectos!$A$2:$S$674,19,0))</f>
        <v>#NAME?</v>
      </c>
      <c r="O839" s="32"/>
      <c r="P839" s="31"/>
      <c r="Q839" s="33"/>
      <c r="R839" s="33"/>
      <c r="S839" s="33"/>
      <c r="T839" s="33"/>
      <c r="U839" s="33"/>
      <c r="V839" s="33"/>
      <c r="W839" s="33"/>
    </row>
    <row r="840" spans="1:23" ht="16.5" customHeight="1" x14ac:dyDescent="0.2">
      <c r="A840" s="26" t="s">
        <v>3478</v>
      </c>
      <c r="B840" s="26" t="s">
        <v>3479</v>
      </c>
      <c r="C840" s="66" t="s">
        <v>37</v>
      </c>
      <c r="D840" s="27" t="s">
        <v>38</v>
      </c>
      <c r="E840" s="27" t="s">
        <v>39</v>
      </c>
      <c r="F840" s="28" t="e">
        <f ca="1">_xludf.ifna(VLOOKUP(G840,Proyectos!$A$2:$F$674,6,0),"")</f>
        <v>#NAME?</v>
      </c>
      <c r="G840" s="26" t="s">
        <v>5343</v>
      </c>
      <c r="H840" s="32">
        <v>0.5</v>
      </c>
      <c r="I840" s="31" t="s">
        <v>18</v>
      </c>
      <c r="J840" s="31" t="s">
        <v>61</v>
      </c>
      <c r="K840" s="32"/>
      <c r="L840" s="32" t="e">
        <f ca="1">_xludf.ifna(VLOOKUP(E840,Parámetros!$D$2:$E$34,2,0),"")</f>
        <v>#NAME?</v>
      </c>
      <c r="M840" s="32" t="e">
        <f ca="1">_xludf.ifna(VLOOKUP(G840,Proyectos!$A$2:$T$674,20,0),"")</f>
        <v>#NAME?</v>
      </c>
      <c r="N840" s="32" t="e">
        <f ca="1">_xludf.ifna(VLOOKUP(G840,Proyectos!$A$2:$S$674,19,0))</f>
        <v>#NAME?</v>
      </c>
      <c r="O840" s="32"/>
      <c r="P840" s="31"/>
      <c r="Q840" s="33"/>
      <c r="R840" s="33"/>
      <c r="S840" s="33"/>
      <c r="T840" s="33"/>
      <c r="U840" s="33"/>
      <c r="V840" s="33"/>
      <c r="W840" s="33"/>
    </row>
    <row r="841" spans="1:23" ht="16.5" customHeight="1" x14ac:dyDescent="0.2">
      <c r="A841" s="26" t="s">
        <v>3478</v>
      </c>
      <c r="B841" s="26" t="s">
        <v>3479</v>
      </c>
      <c r="C841" s="66" t="s">
        <v>37</v>
      </c>
      <c r="D841" s="27" t="s">
        <v>38</v>
      </c>
      <c r="E841" s="27" t="s">
        <v>39</v>
      </c>
      <c r="F841" s="28" t="e">
        <f ca="1">_xludf.ifna(VLOOKUP(G841,Proyectos!$A$2:$F$674,6,0),"")</f>
        <v>#NAME?</v>
      </c>
      <c r="G841" s="26" t="s">
        <v>5344</v>
      </c>
      <c r="H841" s="32">
        <v>0.5</v>
      </c>
      <c r="I841" s="31" t="s">
        <v>18</v>
      </c>
      <c r="J841" s="31" t="s">
        <v>61</v>
      </c>
      <c r="K841" s="32"/>
      <c r="L841" s="32" t="e">
        <f ca="1">_xludf.ifna(VLOOKUP(E841,Parámetros!$D$2:$E$34,2,0),"")</f>
        <v>#NAME?</v>
      </c>
      <c r="M841" s="32" t="e">
        <f ca="1">_xludf.ifna(VLOOKUP(G841,Proyectos!$A$2:$T$674,20,0),"")</f>
        <v>#NAME?</v>
      </c>
      <c r="N841" s="32" t="e">
        <f ca="1">_xludf.ifna(VLOOKUP(G841,Proyectos!$A$2:$S$674,19,0))</f>
        <v>#NAME?</v>
      </c>
      <c r="O841" s="32"/>
      <c r="P841" s="31"/>
      <c r="Q841" s="33"/>
      <c r="R841" s="33"/>
      <c r="S841" s="33"/>
      <c r="T841" s="33"/>
      <c r="U841" s="33"/>
      <c r="V841" s="33"/>
      <c r="W841" s="33"/>
    </row>
    <row r="842" spans="1:23" ht="16.5" customHeight="1" x14ac:dyDescent="0.2">
      <c r="A842" s="26" t="s">
        <v>3704</v>
      </c>
      <c r="B842" s="26" t="s">
        <v>3705</v>
      </c>
      <c r="C842" s="66" t="s">
        <v>37</v>
      </c>
      <c r="D842" s="27" t="s">
        <v>38</v>
      </c>
      <c r="E842" s="27" t="s">
        <v>39</v>
      </c>
      <c r="F842" s="28" t="e">
        <f ca="1">_xludf.ifna(VLOOKUP(G842,Proyectos!$A$2:$F$674,6,0),"")</f>
        <v>#NAME?</v>
      </c>
      <c r="G842" s="26" t="s">
        <v>5117</v>
      </c>
      <c r="H842" s="32">
        <v>0.5</v>
      </c>
      <c r="I842" s="31" t="s">
        <v>18</v>
      </c>
      <c r="J842" s="31" t="s">
        <v>41</v>
      </c>
      <c r="K842" s="32"/>
      <c r="L842" s="32" t="e">
        <f ca="1">_xludf.ifna(VLOOKUP(E842,Parámetros!$D$2:$E$34,2,0),"")</f>
        <v>#NAME?</v>
      </c>
      <c r="M842" s="32" t="e">
        <f ca="1">_xludf.ifna(VLOOKUP(G842,Proyectos!$A$2:$T$674,20,0),"")</f>
        <v>#NAME?</v>
      </c>
      <c r="N842" s="32" t="e">
        <f ca="1">_xludf.ifna(VLOOKUP(G842,Proyectos!$A$2:$S$674,19,0))</f>
        <v>#NAME?</v>
      </c>
      <c r="O842" s="32"/>
      <c r="P842" s="31"/>
      <c r="Q842" s="33"/>
      <c r="R842" s="33"/>
      <c r="S842" s="33"/>
      <c r="T842" s="33"/>
      <c r="U842" s="33"/>
      <c r="V842" s="33"/>
      <c r="W842" s="33"/>
    </row>
    <row r="843" spans="1:23" ht="16.5" customHeight="1" x14ac:dyDescent="0.2">
      <c r="A843" s="26" t="s">
        <v>3704</v>
      </c>
      <c r="B843" s="26" t="s">
        <v>3705</v>
      </c>
      <c r="C843" s="66" t="s">
        <v>37</v>
      </c>
      <c r="D843" s="27" t="s">
        <v>38</v>
      </c>
      <c r="E843" s="27" t="s">
        <v>39</v>
      </c>
      <c r="F843" s="28" t="e">
        <f ca="1">_xludf.ifna(VLOOKUP(G843,Proyectos!$A$2:$F$674,6,0),"")</f>
        <v>#NAME?</v>
      </c>
      <c r="G843" s="26" t="s">
        <v>5344</v>
      </c>
      <c r="H843" s="32">
        <v>0.5</v>
      </c>
      <c r="I843" s="31" t="s">
        <v>18</v>
      </c>
      <c r="J843" s="31" t="s">
        <v>41</v>
      </c>
      <c r="K843" s="32"/>
      <c r="L843" s="32" t="e">
        <f ca="1">_xludf.ifna(VLOOKUP(E843,Parámetros!$D$2:$E$34,2,0),"")</f>
        <v>#NAME?</v>
      </c>
      <c r="M843" s="32" t="e">
        <f ca="1">_xludf.ifna(VLOOKUP(G843,Proyectos!$A$2:$T$674,20,0),"")</f>
        <v>#NAME?</v>
      </c>
      <c r="N843" s="32" t="e">
        <f ca="1">_xludf.ifna(VLOOKUP(G843,Proyectos!$A$2:$S$674,19,0))</f>
        <v>#NAME?</v>
      </c>
      <c r="O843" s="32"/>
      <c r="P843" s="31"/>
      <c r="Q843" s="33"/>
      <c r="R843" s="33"/>
      <c r="S843" s="33"/>
      <c r="T843" s="33"/>
      <c r="U843" s="33"/>
      <c r="V843" s="33"/>
      <c r="W843" s="33"/>
    </row>
    <row r="844" spans="1:23" ht="16.5" customHeight="1" x14ac:dyDescent="0.2">
      <c r="A844" s="26" t="s">
        <v>3487</v>
      </c>
      <c r="B844" s="26" t="s">
        <v>3488</v>
      </c>
      <c r="C844" s="66" t="s">
        <v>37</v>
      </c>
      <c r="D844" s="27" t="s">
        <v>38</v>
      </c>
      <c r="E844" s="27" t="s">
        <v>39</v>
      </c>
      <c r="F844" s="28" t="e">
        <f ca="1">_xludf.ifna(VLOOKUP(G844,Proyectos!$A$2:$F$674,6,0),"")</f>
        <v>#NAME?</v>
      </c>
      <c r="G844" s="26" t="s">
        <v>5117</v>
      </c>
      <c r="H844" s="32">
        <v>0.5</v>
      </c>
      <c r="I844" s="31" t="s">
        <v>18</v>
      </c>
      <c r="J844" s="31" t="s">
        <v>41</v>
      </c>
      <c r="K844" s="32"/>
      <c r="L844" s="32" t="e">
        <f ca="1">_xludf.ifna(VLOOKUP(E844,Parámetros!$D$2:$E$34,2,0),"")</f>
        <v>#NAME?</v>
      </c>
      <c r="M844" s="32" t="e">
        <f ca="1">_xludf.ifna(VLOOKUP(G844,Proyectos!$A$2:$T$674,20,0),"")</f>
        <v>#NAME?</v>
      </c>
      <c r="N844" s="32" t="e">
        <f ca="1">_xludf.ifna(VLOOKUP(G844,Proyectos!$A$2:$S$674,19,0))</f>
        <v>#NAME?</v>
      </c>
      <c r="O844" s="32"/>
      <c r="P844" s="31"/>
      <c r="Q844" s="33"/>
      <c r="R844" s="33"/>
      <c r="S844" s="33"/>
      <c r="T844" s="33"/>
      <c r="U844" s="33"/>
      <c r="V844" s="33"/>
      <c r="W844" s="33"/>
    </row>
    <row r="845" spans="1:23" ht="16.5" customHeight="1" x14ac:dyDescent="0.2">
      <c r="A845" s="26" t="s">
        <v>3487</v>
      </c>
      <c r="B845" s="26" t="s">
        <v>3488</v>
      </c>
      <c r="C845" s="66" t="s">
        <v>37</v>
      </c>
      <c r="D845" s="27" t="s">
        <v>38</v>
      </c>
      <c r="E845" s="27" t="s">
        <v>39</v>
      </c>
      <c r="F845" s="28" t="e">
        <f ca="1">_xludf.ifna(VLOOKUP(G845,Proyectos!$A$2:$F$674,6,0),"")</f>
        <v>#NAME?</v>
      </c>
      <c r="G845" s="26" t="s">
        <v>5344</v>
      </c>
      <c r="H845" s="32">
        <v>0.5</v>
      </c>
      <c r="I845" s="31" t="s">
        <v>18</v>
      </c>
      <c r="J845" s="31" t="s">
        <v>41</v>
      </c>
      <c r="K845" s="32"/>
      <c r="L845" s="32" t="e">
        <f ca="1">_xludf.ifna(VLOOKUP(E845,Parámetros!$D$2:$E$34,2,0),"")</f>
        <v>#NAME?</v>
      </c>
      <c r="M845" s="32" t="e">
        <f ca="1">_xludf.ifna(VLOOKUP(G845,Proyectos!$A$2:$T$674,20,0),"")</f>
        <v>#NAME?</v>
      </c>
      <c r="N845" s="32" t="e">
        <f ca="1">_xludf.ifna(VLOOKUP(G845,Proyectos!$A$2:$S$674,19,0))</f>
        <v>#NAME?</v>
      </c>
      <c r="O845" s="32"/>
      <c r="P845" s="31"/>
      <c r="Q845" s="33"/>
      <c r="R845" s="33"/>
      <c r="S845" s="33"/>
      <c r="T845" s="33"/>
      <c r="U845" s="33"/>
      <c r="V845" s="33"/>
      <c r="W845" s="33"/>
    </row>
    <row r="846" spans="1:23" ht="16.5" customHeight="1" x14ac:dyDescent="0.2">
      <c r="A846" s="26" t="s">
        <v>3497</v>
      </c>
      <c r="B846" s="26" t="s">
        <v>3498</v>
      </c>
      <c r="C846" s="66" t="s">
        <v>37</v>
      </c>
      <c r="D846" s="27" t="s">
        <v>38</v>
      </c>
      <c r="E846" s="27" t="s">
        <v>39</v>
      </c>
      <c r="F846" s="28" t="e">
        <f ca="1">_xludf.ifna(VLOOKUP(G846,Proyectos!$A$2:$F$674,6,0),"")</f>
        <v>#NAME?</v>
      </c>
      <c r="G846" s="26" t="s">
        <v>5345</v>
      </c>
      <c r="H846" s="32">
        <v>1</v>
      </c>
      <c r="I846" s="31" t="s">
        <v>18</v>
      </c>
      <c r="J846" s="31" t="s">
        <v>61</v>
      </c>
      <c r="K846" s="32"/>
      <c r="L846" s="32" t="e">
        <f ca="1">_xludf.ifna(VLOOKUP(E846,Parámetros!$D$2:$E$34,2,0),"")</f>
        <v>#NAME?</v>
      </c>
      <c r="M846" s="32" t="e">
        <f ca="1">_xludf.ifna(VLOOKUP(G846,Proyectos!$A$2:$T$674,20,0),"")</f>
        <v>#NAME?</v>
      </c>
      <c r="N846" s="32" t="e">
        <f ca="1">_xludf.ifna(VLOOKUP(G846,Proyectos!$A$2:$S$674,19,0))</f>
        <v>#NAME?</v>
      </c>
      <c r="O846" s="32"/>
      <c r="P846" s="31"/>
      <c r="Q846" s="33"/>
      <c r="R846" s="33"/>
      <c r="S846" s="33"/>
      <c r="T846" s="33"/>
      <c r="U846" s="33"/>
      <c r="V846" s="33"/>
      <c r="W846" s="33"/>
    </row>
    <row r="847" spans="1:23" ht="16.5" customHeight="1" x14ac:dyDescent="0.2">
      <c r="A847" s="26" t="s">
        <v>3739</v>
      </c>
      <c r="B847" s="26" t="s">
        <v>3740</v>
      </c>
      <c r="C847" s="66" t="s">
        <v>37</v>
      </c>
      <c r="D847" s="27" t="s">
        <v>38</v>
      </c>
      <c r="E847" s="27" t="s">
        <v>39</v>
      </c>
      <c r="F847" s="28" t="e">
        <f ca="1">_xludf.ifna(VLOOKUP(G847,Proyectos!$A$2:$F$674,6,0),"")</f>
        <v>#NAME?</v>
      </c>
      <c r="G847" s="26" t="s">
        <v>5346</v>
      </c>
      <c r="H847" s="32">
        <v>1</v>
      </c>
      <c r="I847" s="31" t="s">
        <v>18</v>
      </c>
      <c r="J847" s="31" t="s">
        <v>61</v>
      </c>
      <c r="K847" s="32"/>
      <c r="L847" s="32" t="e">
        <f ca="1">_xludf.ifna(VLOOKUP(E847,Parámetros!$D$2:$E$34,2,0),"")</f>
        <v>#NAME?</v>
      </c>
      <c r="M847" s="32" t="e">
        <f ca="1">_xludf.ifna(VLOOKUP(G847,Proyectos!$A$2:$T$674,20,0),"")</f>
        <v>#NAME?</v>
      </c>
      <c r="N847" s="32" t="e">
        <f ca="1">_xludf.ifna(VLOOKUP(G847,Proyectos!$A$2:$S$674,19,0))</f>
        <v>#NAME?</v>
      </c>
      <c r="O847" s="32"/>
      <c r="P847" s="31"/>
      <c r="Q847" s="33"/>
      <c r="R847" s="33"/>
      <c r="S847" s="33"/>
      <c r="T847" s="33"/>
      <c r="U847" s="33"/>
      <c r="V847" s="33"/>
      <c r="W847" s="33"/>
    </row>
    <row r="848" spans="1:23" ht="16.5" customHeight="1" x14ac:dyDescent="0.2">
      <c r="A848" s="26" t="s">
        <v>4326</v>
      </c>
      <c r="B848" s="26" t="s">
        <v>4327</v>
      </c>
      <c r="C848" s="66" t="s">
        <v>37</v>
      </c>
      <c r="D848" s="27" t="s">
        <v>38</v>
      </c>
      <c r="E848" s="26" t="s">
        <v>9</v>
      </c>
      <c r="F848" s="28" t="e">
        <f ca="1">_xludf.ifna(VLOOKUP(G848,Proyectos!$A$2:$F$674,6,0),"")</f>
        <v>#NAME?</v>
      </c>
      <c r="G848" s="29" t="s">
        <v>5114</v>
      </c>
      <c r="H848" s="32">
        <v>1</v>
      </c>
      <c r="I848" s="31" t="s">
        <v>18</v>
      </c>
      <c r="J848" s="31" t="s">
        <v>41</v>
      </c>
      <c r="K848" s="32"/>
      <c r="L848" s="32" t="e">
        <f ca="1">_xludf.ifna(VLOOKUP(E848,Parámetros!$D$2:$E$34,2,0),"")</f>
        <v>#NAME?</v>
      </c>
      <c r="M848" s="32" t="e">
        <f ca="1">_xludf.ifna(VLOOKUP(G848,Proyectos!$A$2:$T$674,20,0),"")</f>
        <v>#NAME?</v>
      </c>
      <c r="N848" s="32" t="e">
        <f ca="1">_xludf.ifna(VLOOKUP(G848,Proyectos!$A$2:$S$674,19,0))</f>
        <v>#NAME?</v>
      </c>
      <c r="O848" s="32"/>
      <c r="P848" s="31"/>
      <c r="Q848" s="33"/>
      <c r="R848" s="33"/>
      <c r="S848" s="33"/>
      <c r="T848" s="33"/>
      <c r="U848" s="33"/>
      <c r="V848" s="33"/>
      <c r="W848" s="33"/>
    </row>
    <row r="849" spans="1:23" ht="16.5" customHeight="1" x14ac:dyDescent="0.2">
      <c r="A849" s="26" t="s">
        <v>5013</v>
      </c>
      <c r="B849" s="26" t="s">
        <v>5014</v>
      </c>
      <c r="C849" s="66" t="s">
        <v>37</v>
      </c>
      <c r="D849" s="27" t="s">
        <v>38</v>
      </c>
      <c r="E849" s="27" t="s">
        <v>87</v>
      </c>
      <c r="F849" s="28" t="e">
        <f ca="1">_xludf.ifna(VLOOKUP(G849,Proyectos!$A$2:$F$674,6,0),"")</f>
        <v>#NAME?</v>
      </c>
      <c r="G849" s="26" t="s">
        <v>5337</v>
      </c>
      <c r="H849" s="32">
        <v>0.5</v>
      </c>
      <c r="I849" s="31" t="s">
        <v>25</v>
      </c>
      <c r="J849" s="31" t="s">
        <v>41</v>
      </c>
      <c r="K849" s="32"/>
      <c r="L849" s="32" t="e">
        <f ca="1">_xludf.ifna(VLOOKUP(E849,Parámetros!$D$2:$E$34,2,0),"")</f>
        <v>#NAME?</v>
      </c>
      <c r="M849" s="32" t="e">
        <f ca="1">_xludf.ifna(VLOOKUP(G849,Proyectos!$A$2:$T$674,20,0),"")</f>
        <v>#NAME?</v>
      </c>
      <c r="N849" s="32" t="e">
        <f ca="1">_xludf.ifna(VLOOKUP(G849,Proyectos!$A$2:$S$674,19,0))</f>
        <v>#NAME?</v>
      </c>
      <c r="O849" s="32"/>
      <c r="P849" s="31"/>
      <c r="Q849" s="33"/>
      <c r="R849" s="33"/>
      <c r="S849" s="33"/>
      <c r="T849" s="33"/>
      <c r="U849" s="33"/>
      <c r="V849" s="33"/>
      <c r="W849" s="33"/>
    </row>
    <row r="850" spans="1:23" ht="16.5" customHeight="1" x14ac:dyDescent="0.2">
      <c r="A850" s="26" t="s">
        <v>3386</v>
      </c>
      <c r="B850" s="26" t="s">
        <v>3387</v>
      </c>
      <c r="C850" s="66" t="s">
        <v>37</v>
      </c>
      <c r="D850" s="27" t="s">
        <v>38</v>
      </c>
      <c r="E850" s="26" t="s">
        <v>39</v>
      </c>
      <c r="F850" s="28" t="e">
        <f ca="1">_xludf.ifna(VLOOKUP(G850,Proyectos!$A$2:$F$674,6,0),"")</f>
        <v>#NAME?</v>
      </c>
      <c r="G850" s="29" t="s">
        <v>5114</v>
      </c>
      <c r="H850" s="32">
        <v>1</v>
      </c>
      <c r="I850" s="31" t="s">
        <v>11</v>
      </c>
      <c r="J850" s="31" t="s">
        <v>61</v>
      </c>
      <c r="K850" s="32"/>
      <c r="L850" s="32" t="e">
        <f ca="1">_xludf.ifna(VLOOKUP(E850,Parámetros!$D$2:$E$34,2,0),"")</f>
        <v>#NAME?</v>
      </c>
      <c r="M850" s="32" t="e">
        <f ca="1">_xludf.ifna(VLOOKUP(G850,Proyectos!$A$2:$T$674,20,0),"")</f>
        <v>#NAME?</v>
      </c>
      <c r="N850" s="32" t="e">
        <f ca="1">_xludf.ifna(VLOOKUP(G850,Proyectos!$A$2:$S$674,19,0))</f>
        <v>#NAME?</v>
      </c>
      <c r="O850" s="32"/>
      <c r="P850" s="31"/>
      <c r="Q850" s="33"/>
      <c r="R850" s="33"/>
      <c r="S850" s="33"/>
      <c r="T850" s="33"/>
      <c r="U850" s="33"/>
      <c r="V850" s="33"/>
      <c r="W850" s="33"/>
    </row>
    <row r="851" spans="1:23" ht="16.5" customHeight="1" x14ac:dyDescent="0.2">
      <c r="A851" s="26" t="s">
        <v>3333</v>
      </c>
      <c r="B851" s="26" t="s">
        <v>3334</v>
      </c>
      <c r="C851" s="66" t="s">
        <v>37</v>
      </c>
      <c r="D851" s="27" t="s">
        <v>38</v>
      </c>
      <c r="E851" s="26" t="s">
        <v>39</v>
      </c>
      <c r="F851" s="28" t="e">
        <f ca="1">_xludf.ifna(VLOOKUP(G851,Proyectos!$A$2:$F$674,6,0),"")</f>
        <v>#NAME?</v>
      </c>
      <c r="G851" s="29" t="s">
        <v>5114</v>
      </c>
      <c r="H851" s="32">
        <v>1</v>
      </c>
      <c r="I851" s="31" t="s">
        <v>18</v>
      </c>
      <c r="J851" s="31" t="s">
        <v>61</v>
      </c>
      <c r="K851" s="32"/>
      <c r="L851" s="32" t="e">
        <f ca="1">_xludf.ifna(VLOOKUP(E851,Parámetros!$D$2:$E$34,2,0),"")</f>
        <v>#NAME?</v>
      </c>
      <c r="M851" s="32" t="e">
        <f ca="1">_xludf.ifna(VLOOKUP(G851,Proyectos!$A$2:$T$674,20,0),"")</f>
        <v>#NAME?</v>
      </c>
      <c r="N851" s="32" t="e">
        <f ca="1">_xludf.ifna(VLOOKUP(G851,Proyectos!$A$2:$S$674,19,0))</f>
        <v>#NAME?</v>
      </c>
      <c r="O851" s="31"/>
      <c r="P851" s="31"/>
      <c r="Q851" s="33"/>
      <c r="R851" s="33"/>
      <c r="S851" s="33"/>
      <c r="T851" s="33"/>
      <c r="U851" s="33"/>
      <c r="V851" s="33"/>
      <c r="W851" s="33"/>
    </row>
    <row r="852" spans="1:23" ht="16.5" customHeight="1" x14ac:dyDescent="0.2">
      <c r="A852" s="26" t="s">
        <v>4429</v>
      </c>
      <c r="B852" s="26" t="s">
        <v>4430</v>
      </c>
      <c r="C852" s="66" t="s">
        <v>37</v>
      </c>
      <c r="D852" s="27" t="s">
        <v>38</v>
      </c>
      <c r="E852" s="26" t="s">
        <v>87</v>
      </c>
      <c r="F852" s="28" t="e">
        <f ca="1">_xludf.ifna(VLOOKUP(G852,Proyectos!$A$2:$F$674,6,0),"")</f>
        <v>#NAME?</v>
      </c>
      <c r="G852" s="29" t="s">
        <v>5114</v>
      </c>
      <c r="H852" s="32">
        <v>1</v>
      </c>
      <c r="I852" s="31" t="s">
        <v>32</v>
      </c>
      <c r="J852" s="31" t="s">
        <v>41</v>
      </c>
      <c r="K852" s="32"/>
      <c r="L852" s="32" t="e">
        <f ca="1">_xludf.ifna(VLOOKUP(E852,Parámetros!$D$2:$E$34,2,0),"")</f>
        <v>#NAME?</v>
      </c>
      <c r="M852" s="32" t="e">
        <f ca="1">_xludf.ifna(VLOOKUP(G852,Proyectos!$A$2:$T$674,20,0),"")</f>
        <v>#NAME?</v>
      </c>
      <c r="N852" s="32" t="e">
        <f ca="1">_xludf.ifna(VLOOKUP(G852,Proyectos!$A$2:$S$674,19,0))</f>
        <v>#NAME?</v>
      </c>
      <c r="O852" s="31"/>
      <c r="P852" s="31"/>
      <c r="Q852" s="33"/>
      <c r="R852" s="33"/>
      <c r="S852" s="33"/>
      <c r="T852" s="33"/>
      <c r="U852" s="33"/>
      <c r="V852" s="33"/>
      <c r="W852" s="33"/>
    </row>
    <row r="853" spans="1:23" ht="16.5" customHeight="1" x14ac:dyDescent="0.2">
      <c r="A853" s="26" t="s">
        <v>4225</v>
      </c>
      <c r="B853" s="26" t="s">
        <v>4226</v>
      </c>
      <c r="C853" s="66" t="s">
        <v>37</v>
      </c>
      <c r="D853" s="27" t="s">
        <v>38</v>
      </c>
      <c r="E853" s="26" t="s">
        <v>9</v>
      </c>
      <c r="F853" s="28" t="e">
        <f ca="1">_xludf.ifna(VLOOKUP(G853,Proyectos!$A$2:$F$674,6,0),"")</f>
        <v>#NAME?</v>
      </c>
      <c r="G853" s="29" t="s">
        <v>5114</v>
      </c>
      <c r="H853" s="32">
        <v>1</v>
      </c>
      <c r="I853" s="31" t="s">
        <v>18</v>
      </c>
      <c r="J853" s="31" t="s">
        <v>41</v>
      </c>
      <c r="K853" s="32"/>
      <c r="L853" s="32" t="e">
        <f ca="1">_xludf.ifna(VLOOKUP(E853,Parámetros!$D$2:$E$34,2,0),"")</f>
        <v>#NAME?</v>
      </c>
      <c r="M853" s="32" t="e">
        <f ca="1">_xludf.ifna(VLOOKUP(G853,Proyectos!$A$2:$T$674,20,0),"")</f>
        <v>#NAME?</v>
      </c>
      <c r="N853" s="32" t="e">
        <f ca="1">_xludf.ifna(VLOOKUP(G853,Proyectos!$A$2:$S$674,19,0))</f>
        <v>#NAME?</v>
      </c>
      <c r="O853" s="32"/>
      <c r="P853" s="31"/>
      <c r="Q853" s="33"/>
      <c r="R853" s="33"/>
      <c r="S853" s="33"/>
      <c r="T853" s="33"/>
      <c r="U853" s="33"/>
      <c r="V853" s="33"/>
      <c r="W853" s="33"/>
    </row>
    <row r="854" spans="1:23" ht="16.5" customHeight="1" x14ac:dyDescent="0.2">
      <c r="A854" s="26" t="s">
        <v>3656</v>
      </c>
      <c r="B854" s="26" t="s">
        <v>3657</v>
      </c>
      <c r="C854" s="66" t="s">
        <v>37</v>
      </c>
      <c r="D854" s="27" t="s">
        <v>38</v>
      </c>
      <c r="E854" s="26" t="s">
        <v>39</v>
      </c>
      <c r="F854" s="28" t="e">
        <f ca="1">_xludf.ifna(VLOOKUP(G854,Proyectos!$A$2:$F$674,6,0),"")</f>
        <v>#NAME?</v>
      </c>
      <c r="G854" s="29" t="s">
        <v>5114</v>
      </c>
      <c r="H854" s="32">
        <v>1</v>
      </c>
      <c r="I854" s="31" t="s">
        <v>18</v>
      </c>
      <c r="J854" s="31" t="s">
        <v>61</v>
      </c>
      <c r="K854" s="32"/>
      <c r="L854" s="32" t="e">
        <f ca="1">_xludf.ifna(VLOOKUP(E854,Parámetros!$D$2:$E$34,2,0),"")</f>
        <v>#NAME?</v>
      </c>
      <c r="M854" s="32" t="e">
        <f ca="1">_xludf.ifna(VLOOKUP(G854,Proyectos!$A$2:$T$674,20,0),"")</f>
        <v>#NAME?</v>
      </c>
      <c r="N854" s="32" t="e">
        <f ca="1">_xludf.ifna(VLOOKUP(G854,Proyectos!$A$2:$S$674,19,0))</f>
        <v>#NAME?</v>
      </c>
      <c r="O854" s="32"/>
      <c r="P854" s="31"/>
      <c r="Q854" s="33"/>
      <c r="R854" s="33"/>
      <c r="S854" s="33"/>
      <c r="T854" s="33"/>
      <c r="U854" s="33"/>
      <c r="V854" s="33"/>
      <c r="W854" s="33"/>
    </row>
    <row r="855" spans="1:23" ht="16.5" customHeight="1" x14ac:dyDescent="0.2">
      <c r="A855" s="26" t="s">
        <v>4296</v>
      </c>
      <c r="B855" s="26" t="s">
        <v>4297</v>
      </c>
      <c r="C855" s="66" t="s">
        <v>37</v>
      </c>
      <c r="D855" s="27" t="s">
        <v>38</v>
      </c>
      <c r="E855" s="26" t="s">
        <v>9</v>
      </c>
      <c r="F855" s="28" t="e">
        <f ca="1">_xludf.ifna(VLOOKUP(G855,Proyectos!$A$2:$F$674,6,0),"")</f>
        <v>#NAME?</v>
      </c>
      <c r="G855" s="29" t="s">
        <v>5114</v>
      </c>
      <c r="H855" s="32">
        <v>1</v>
      </c>
      <c r="I855" s="31" t="s">
        <v>18</v>
      </c>
      <c r="J855" s="31" t="s">
        <v>41</v>
      </c>
      <c r="K855" s="32"/>
      <c r="L855" s="32" t="e">
        <f ca="1">_xludf.ifna(VLOOKUP(E855,Parámetros!$D$2:$E$34,2,0),"")</f>
        <v>#NAME?</v>
      </c>
      <c r="M855" s="32" t="e">
        <f ca="1">_xludf.ifna(VLOOKUP(G855,Proyectos!$A$2:$T$674,20,0),"")</f>
        <v>#NAME?</v>
      </c>
      <c r="N855" s="32" t="e">
        <f ca="1">_xludf.ifna(VLOOKUP(G855,Proyectos!$A$2:$S$674,19,0))</f>
        <v>#NAME?</v>
      </c>
      <c r="O855" s="31"/>
      <c r="P855" s="31"/>
      <c r="Q855" s="33"/>
      <c r="R855" s="33"/>
      <c r="S855" s="33"/>
      <c r="T855" s="33"/>
      <c r="U855" s="33"/>
      <c r="V855" s="33"/>
      <c r="W855" s="33"/>
    </row>
    <row r="856" spans="1:23" ht="16.5" customHeight="1" x14ac:dyDescent="0.2">
      <c r="A856" s="26" t="s">
        <v>4247</v>
      </c>
      <c r="B856" s="26" t="s">
        <v>4248</v>
      </c>
      <c r="C856" s="66" t="s">
        <v>37</v>
      </c>
      <c r="D856" s="27" t="s">
        <v>38</v>
      </c>
      <c r="E856" s="66" t="s">
        <v>87</v>
      </c>
      <c r="F856" s="28" t="e">
        <f ca="1">_xludf.ifna(VLOOKUP(G856,Proyectos!$A$2:$F$674,6,0),"")</f>
        <v>#NAME?</v>
      </c>
      <c r="G856" s="26" t="s">
        <v>5339</v>
      </c>
      <c r="H856" s="32">
        <v>0.5</v>
      </c>
      <c r="I856" s="31" t="s">
        <v>25</v>
      </c>
      <c r="J856" s="31" t="s">
        <v>41</v>
      </c>
      <c r="K856" s="69"/>
      <c r="L856" s="32" t="e">
        <f ca="1">_xludf.ifna(VLOOKUP(E856,Parámetros!$D$2:$E$34,2,0),"")</f>
        <v>#NAME?</v>
      </c>
      <c r="M856" s="32" t="e">
        <f ca="1">_xludf.ifna(VLOOKUP(G856,Proyectos!$A$2:$T$674,20,0),"")</f>
        <v>#NAME?</v>
      </c>
      <c r="N856" s="32" t="e">
        <f ca="1">_xludf.ifna(VLOOKUP(G856,Proyectos!$A$2:$S$674,19,0))</f>
        <v>#NAME?</v>
      </c>
      <c r="O856" s="31"/>
      <c r="P856" s="31"/>
      <c r="Q856" s="33"/>
      <c r="R856" s="33"/>
      <c r="S856" s="33"/>
      <c r="T856" s="33"/>
      <c r="U856" s="33"/>
      <c r="V856" s="33"/>
      <c r="W856" s="33"/>
    </row>
    <row r="857" spans="1:23" ht="16.5" customHeight="1" x14ac:dyDescent="0.2">
      <c r="A857" s="26" t="s">
        <v>3840</v>
      </c>
      <c r="B857" s="26" t="s">
        <v>3841</v>
      </c>
      <c r="C857" s="26" t="s">
        <v>98</v>
      </c>
      <c r="D857" s="26" t="s">
        <v>107</v>
      </c>
      <c r="E857" s="26" t="s">
        <v>39</v>
      </c>
      <c r="F857" s="28" t="e">
        <f ca="1">_xludf.ifna(VLOOKUP(G857,Proyectos!$A$2:$F$674,6,0),"")</f>
        <v>#NAME?</v>
      </c>
      <c r="G857" s="29" t="s">
        <v>5114</v>
      </c>
      <c r="H857" s="32">
        <v>0.75</v>
      </c>
      <c r="I857" s="31" t="s">
        <v>11</v>
      </c>
      <c r="J857" s="31" t="s">
        <v>41</v>
      </c>
      <c r="K857" s="82"/>
      <c r="L857" s="32" t="e">
        <f ca="1">_xludf.ifna(VLOOKUP(E857,Parámetros!$D$2:$E$34,2,0),"")</f>
        <v>#NAME?</v>
      </c>
      <c r="M857" s="32" t="e">
        <f ca="1">_xludf.ifna(VLOOKUP(G857,Proyectos!$A$2:$T$674,20,0),"")</f>
        <v>#NAME?</v>
      </c>
      <c r="N857" s="32" t="e">
        <f ca="1">_xludf.ifna(VLOOKUP(G857,Proyectos!$A$2:$S$674,19,0))</f>
        <v>#NAME?</v>
      </c>
      <c r="O857" s="32"/>
      <c r="P857" s="31"/>
      <c r="Q857" s="33"/>
      <c r="R857" s="33"/>
      <c r="S857" s="33"/>
      <c r="T857" s="33"/>
      <c r="U857" s="33"/>
      <c r="V857" s="33"/>
      <c r="W857" s="33"/>
    </row>
    <row r="858" spans="1:23" ht="16.5" customHeight="1" x14ac:dyDescent="0.2">
      <c r="A858" s="26" t="s">
        <v>3840</v>
      </c>
      <c r="B858" s="26" t="s">
        <v>3841</v>
      </c>
      <c r="C858" s="26" t="s">
        <v>98</v>
      </c>
      <c r="D858" s="26" t="s">
        <v>107</v>
      </c>
      <c r="E858" s="26" t="s">
        <v>39</v>
      </c>
      <c r="F858" s="28" t="e">
        <f ca="1">_xludf.ifna(VLOOKUP(G858,Proyectos!$A$2:$F$674,6,0),"")</f>
        <v>#NAME?</v>
      </c>
      <c r="G858" s="26" t="s">
        <v>5131</v>
      </c>
      <c r="H858" s="32">
        <v>0.25</v>
      </c>
      <c r="I858" s="31" t="s">
        <v>11</v>
      </c>
      <c r="J858" s="31" t="s">
        <v>41</v>
      </c>
      <c r="K858" s="82"/>
      <c r="L858" s="32" t="e">
        <f ca="1">_xludf.ifna(VLOOKUP(E858,Parámetros!$D$2:$E$34,2,0),"")</f>
        <v>#NAME?</v>
      </c>
      <c r="M858" s="32" t="e">
        <f ca="1">_xludf.ifna(VLOOKUP(G858,Proyectos!$A$2:$T$674,20,0),"")</f>
        <v>#NAME?</v>
      </c>
      <c r="N858" s="32" t="e">
        <f ca="1">_xludf.ifna(VLOOKUP(G858,Proyectos!$A$2:$S$674,19,0))</f>
        <v>#NAME?</v>
      </c>
      <c r="O858" s="32"/>
      <c r="P858" s="31"/>
      <c r="Q858" s="33"/>
      <c r="R858" s="33"/>
      <c r="S858" s="33"/>
      <c r="T858" s="33"/>
      <c r="U858" s="33"/>
      <c r="V858" s="33"/>
      <c r="W858" s="33"/>
    </row>
    <row r="859" spans="1:23" ht="16.5" customHeight="1" x14ac:dyDescent="0.2">
      <c r="A859" s="26" t="s">
        <v>4356</v>
      </c>
      <c r="B859" s="26" t="s">
        <v>4357</v>
      </c>
      <c r="C859" s="26" t="s">
        <v>98</v>
      </c>
      <c r="D859" s="26" t="s">
        <v>107</v>
      </c>
      <c r="E859" s="26" t="s">
        <v>87</v>
      </c>
      <c r="F859" s="28" t="e">
        <f ca="1">_xludf.ifna(VLOOKUP(G859,Proyectos!$A$2:$F$674,6,0),"")</f>
        <v>#NAME?</v>
      </c>
      <c r="G859" s="29" t="s">
        <v>5114</v>
      </c>
      <c r="H859" s="32">
        <v>1</v>
      </c>
      <c r="I859" s="31" t="s">
        <v>25</v>
      </c>
      <c r="J859" s="31" t="s">
        <v>41</v>
      </c>
      <c r="K859" s="82"/>
      <c r="L859" s="32" t="e">
        <f ca="1">_xludf.ifna(VLOOKUP(E859,Parámetros!$D$2:$E$34,2,0),"")</f>
        <v>#NAME?</v>
      </c>
      <c r="M859" s="32" t="e">
        <f ca="1">_xludf.ifna(VLOOKUP(G859,Proyectos!$A$2:$T$674,20,0),"")</f>
        <v>#NAME?</v>
      </c>
      <c r="N859" s="32" t="e">
        <f ca="1">_xludf.ifna(VLOOKUP(G859,Proyectos!$A$2:$S$674,19,0))</f>
        <v>#NAME?</v>
      </c>
      <c r="O859" s="32"/>
      <c r="P859" s="31"/>
      <c r="Q859" s="33"/>
      <c r="R859" s="33"/>
      <c r="S859" s="33"/>
      <c r="T859" s="33"/>
      <c r="U859" s="33"/>
      <c r="V859" s="33"/>
      <c r="W859" s="33"/>
    </row>
    <row r="860" spans="1:23" ht="16.5" customHeight="1" x14ac:dyDescent="0.2">
      <c r="A860" s="26" t="s">
        <v>4857</v>
      </c>
      <c r="B860" s="26" t="s">
        <v>4858</v>
      </c>
      <c r="C860" s="26" t="s">
        <v>98</v>
      </c>
      <c r="D860" s="26" t="s">
        <v>107</v>
      </c>
      <c r="E860" s="26" t="s">
        <v>126</v>
      </c>
      <c r="F860" s="28" t="e">
        <f ca="1">_xludf.ifna(VLOOKUP(G860,Proyectos!$A$2:$F$674,6,0),"")</f>
        <v>#NAME?</v>
      </c>
      <c r="G860" s="26" t="s">
        <v>5158</v>
      </c>
      <c r="H860" s="32">
        <v>1</v>
      </c>
      <c r="I860" s="31" t="s">
        <v>18</v>
      </c>
      <c r="J860" s="31" t="s">
        <v>41</v>
      </c>
      <c r="K860" s="82"/>
      <c r="L860" s="32" t="e">
        <f ca="1">_xludf.ifna(VLOOKUP(E860,Parámetros!$D$2:$E$34,2,0),"")</f>
        <v>#NAME?</v>
      </c>
      <c r="M860" s="32" t="e">
        <f ca="1">_xludf.ifna(VLOOKUP(G860,Proyectos!$A$2:$T$674,20,0),"")</f>
        <v>#NAME?</v>
      </c>
      <c r="N860" s="32" t="e">
        <f ca="1">_xludf.ifna(VLOOKUP(G860,Proyectos!$A$2:$S$674,19,0))</f>
        <v>#NAME?</v>
      </c>
      <c r="O860" s="32"/>
      <c r="P860" s="31"/>
      <c r="Q860" s="33"/>
      <c r="R860" s="33"/>
      <c r="S860" s="33"/>
      <c r="T860" s="33"/>
      <c r="U860" s="33"/>
      <c r="V860" s="33"/>
      <c r="W860" s="33"/>
    </row>
    <row r="861" spans="1:23" ht="16.5" customHeight="1" x14ac:dyDescent="0.2">
      <c r="A861" s="26" t="s">
        <v>4271</v>
      </c>
      <c r="B861" s="26" t="s">
        <v>4272</v>
      </c>
      <c r="C861" s="26" t="s">
        <v>98</v>
      </c>
      <c r="D861" s="26" t="s">
        <v>107</v>
      </c>
      <c r="E861" s="26" t="s">
        <v>87</v>
      </c>
      <c r="F861" s="28" t="e">
        <f ca="1">_xludf.ifna(VLOOKUP(G861,Proyectos!$A$2:$F$674,6,0),"")</f>
        <v>#NAME?</v>
      </c>
      <c r="G861" s="26" t="s">
        <v>5158</v>
      </c>
      <c r="H861" s="44">
        <v>1</v>
      </c>
      <c r="I861" s="31" t="s">
        <v>18</v>
      </c>
      <c r="J861" s="31" t="s">
        <v>41</v>
      </c>
      <c r="K861" s="82"/>
      <c r="L861" s="32" t="e">
        <f ca="1">_xludf.ifna(VLOOKUP(E861,Parámetros!$D$2:$E$34,2,0),"")</f>
        <v>#NAME?</v>
      </c>
      <c r="M861" s="32" t="e">
        <f ca="1">_xludf.ifna(VLOOKUP(G861,Proyectos!$A$2:$T$674,20,0),"")</f>
        <v>#NAME?</v>
      </c>
      <c r="N861" s="32" t="e">
        <f ca="1">_xludf.ifna(VLOOKUP(G861,Proyectos!$A$2:$S$674,19,0))</f>
        <v>#NAME?</v>
      </c>
      <c r="O861" s="31"/>
      <c r="P861" s="31"/>
      <c r="Q861" s="33"/>
      <c r="R861" s="33"/>
      <c r="S861" s="33"/>
      <c r="T861" s="33"/>
      <c r="U861" s="33"/>
      <c r="V861" s="33"/>
      <c r="W861" s="33"/>
    </row>
    <row r="862" spans="1:23" ht="16.5" customHeight="1" x14ac:dyDescent="0.2">
      <c r="A862" s="26" t="s">
        <v>3414</v>
      </c>
      <c r="B862" s="26" t="s">
        <v>3415</v>
      </c>
      <c r="C862" s="26" t="s">
        <v>98</v>
      </c>
      <c r="D862" s="26" t="s">
        <v>107</v>
      </c>
      <c r="E862" s="26" t="s">
        <v>39</v>
      </c>
      <c r="F862" s="28" t="e">
        <f ca="1">_xludf.ifna(VLOOKUP(G862,Proyectos!$A$2:$F$674,6,0),"")</f>
        <v>#NAME?</v>
      </c>
      <c r="G862" s="29" t="s">
        <v>5114</v>
      </c>
      <c r="H862" s="32">
        <v>0.5</v>
      </c>
      <c r="I862" s="31" t="s">
        <v>18</v>
      </c>
      <c r="J862" s="31" t="s">
        <v>41</v>
      </c>
      <c r="K862" s="32"/>
      <c r="L862" s="32" t="e">
        <f ca="1">_xludf.ifna(VLOOKUP(E862,Parámetros!$D$2:$E$34,2,0),"")</f>
        <v>#NAME?</v>
      </c>
      <c r="M862" s="32" t="e">
        <f ca="1">_xludf.ifna(VLOOKUP(G862,Proyectos!$A$2:$T$674,20,0),"")</f>
        <v>#NAME?</v>
      </c>
      <c r="N862" s="32" t="e">
        <f ca="1">_xludf.ifna(VLOOKUP(G862,Proyectos!$A$2:$S$674,19,0))</f>
        <v>#NAME?</v>
      </c>
      <c r="O862" s="31"/>
      <c r="P862" s="31"/>
      <c r="Q862" s="33"/>
      <c r="R862" s="33"/>
      <c r="S862" s="33"/>
      <c r="T862" s="33"/>
      <c r="U862" s="33"/>
      <c r="V862" s="33"/>
      <c r="W862" s="33"/>
    </row>
    <row r="863" spans="1:23" ht="16.5" customHeight="1" x14ac:dyDescent="0.2">
      <c r="A863" s="26" t="s">
        <v>3414</v>
      </c>
      <c r="B863" s="26" t="s">
        <v>3415</v>
      </c>
      <c r="C863" s="26" t="s">
        <v>98</v>
      </c>
      <c r="D863" s="26" t="s">
        <v>107</v>
      </c>
      <c r="E863" s="26" t="s">
        <v>39</v>
      </c>
      <c r="F863" s="28" t="e">
        <f ca="1">_xludf.ifna(VLOOKUP(G863,Proyectos!$A$2:$F$674,6,0),"")</f>
        <v>#NAME?</v>
      </c>
      <c r="G863" s="26" t="s">
        <v>5158</v>
      </c>
      <c r="H863" s="32">
        <v>0.5</v>
      </c>
      <c r="I863" s="31" t="s">
        <v>18</v>
      </c>
      <c r="J863" s="31" t="s">
        <v>41</v>
      </c>
      <c r="K863" s="82"/>
      <c r="L863" s="32" t="e">
        <f ca="1">_xludf.ifna(VLOOKUP(E863,Parámetros!$D$2:$E$34,2,0),"")</f>
        <v>#NAME?</v>
      </c>
      <c r="M863" s="32" t="e">
        <f ca="1">_xludf.ifna(VLOOKUP(G863,Proyectos!$A$2:$T$674,20,0),"")</f>
        <v>#NAME?</v>
      </c>
      <c r="N863" s="32" t="e">
        <f ca="1">_xludf.ifna(VLOOKUP(G863,Proyectos!$A$2:$S$674,19,0))</f>
        <v>#NAME?</v>
      </c>
      <c r="O863" s="31"/>
      <c r="P863" s="31"/>
      <c r="Q863" s="33"/>
      <c r="R863" s="33"/>
      <c r="S863" s="33"/>
      <c r="T863" s="33"/>
      <c r="U863" s="33"/>
      <c r="V863" s="33"/>
      <c r="W863" s="33"/>
    </row>
    <row r="864" spans="1:23" ht="16.5" customHeight="1" x14ac:dyDescent="0.2">
      <c r="A864" s="26" t="s">
        <v>3924</v>
      </c>
      <c r="B864" s="26" t="s">
        <v>3925</v>
      </c>
      <c r="C864" s="26" t="s">
        <v>98</v>
      </c>
      <c r="D864" s="26" t="s">
        <v>107</v>
      </c>
      <c r="E864" s="26" t="s">
        <v>87</v>
      </c>
      <c r="F864" s="28" t="e">
        <f ca="1">_xludf.ifna(VLOOKUP(G864,Proyectos!$A$2:$F$674,6,0),"")</f>
        <v>#NAME?</v>
      </c>
      <c r="G864" s="29" t="s">
        <v>5114</v>
      </c>
      <c r="H864" s="32">
        <v>1</v>
      </c>
      <c r="I864" s="31" t="s">
        <v>18</v>
      </c>
      <c r="J864" s="31" t="s">
        <v>41</v>
      </c>
      <c r="K864" s="32"/>
      <c r="L864" s="32" t="e">
        <f ca="1">_xludf.ifna(VLOOKUP(E864,Parámetros!$D$2:$E$34,2,0),"")</f>
        <v>#NAME?</v>
      </c>
      <c r="M864" s="32" t="e">
        <f ca="1">_xludf.ifna(VLOOKUP(G864,Proyectos!$A$2:$T$674,20,0),"")</f>
        <v>#NAME?</v>
      </c>
      <c r="N864" s="32" t="e">
        <f ca="1">_xludf.ifna(VLOOKUP(G864,Proyectos!$A$2:$S$674,19,0))</f>
        <v>#NAME?</v>
      </c>
      <c r="O864" s="31"/>
      <c r="P864" s="31"/>
      <c r="Q864" s="33"/>
      <c r="R864" s="33"/>
      <c r="S864" s="33"/>
      <c r="T864" s="33"/>
      <c r="U864" s="33"/>
      <c r="V864" s="33"/>
      <c r="W864" s="33"/>
    </row>
    <row r="865" spans="1:23" ht="16.5" customHeight="1" x14ac:dyDescent="0.2">
      <c r="A865" s="26" t="s">
        <v>3451</v>
      </c>
      <c r="B865" s="26" t="s">
        <v>3452</v>
      </c>
      <c r="C865" s="26" t="s">
        <v>98</v>
      </c>
      <c r="D865" s="26" t="s">
        <v>107</v>
      </c>
      <c r="E865" s="26" t="s">
        <v>39</v>
      </c>
      <c r="F865" s="28" t="e">
        <f ca="1">_xludf.ifna(VLOOKUP(G865,Proyectos!$A$2:$F$674,6,0),"")</f>
        <v>#NAME?</v>
      </c>
      <c r="G865" s="29" t="s">
        <v>5114</v>
      </c>
      <c r="H865" s="32">
        <v>0.25</v>
      </c>
      <c r="I865" s="31" t="s">
        <v>18</v>
      </c>
      <c r="J865" s="31" t="s">
        <v>41</v>
      </c>
      <c r="K865" s="32"/>
      <c r="L865" s="32" t="e">
        <f ca="1">_xludf.ifna(VLOOKUP(E865,Parámetros!$D$2:$E$34,2,0),"")</f>
        <v>#NAME?</v>
      </c>
      <c r="M865" s="32" t="e">
        <f ca="1">_xludf.ifna(VLOOKUP(G865,Proyectos!$A$2:$T$674,20,0),"")</f>
        <v>#NAME?</v>
      </c>
      <c r="N865" s="32" t="e">
        <f ca="1">_xludf.ifna(VLOOKUP(G865,Proyectos!$A$2:$S$674,19,0))</f>
        <v>#NAME?</v>
      </c>
      <c r="O865" s="31"/>
      <c r="P865" s="31"/>
      <c r="Q865" s="33"/>
      <c r="R865" s="33"/>
      <c r="S865" s="33"/>
      <c r="T865" s="33"/>
      <c r="U865" s="33"/>
      <c r="V865" s="33"/>
      <c r="W865" s="33"/>
    </row>
    <row r="866" spans="1:23" ht="16.5" customHeight="1" x14ac:dyDescent="0.2">
      <c r="A866" s="26" t="s">
        <v>3451</v>
      </c>
      <c r="B866" s="26" t="s">
        <v>3452</v>
      </c>
      <c r="C866" s="26" t="s">
        <v>98</v>
      </c>
      <c r="D866" s="26" t="s">
        <v>107</v>
      </c>
      <c r="E866" s="26" t="s">
        <v>39</v>
      </c>
      <c r="F866" s="28" t="e">
        <f ca="1">_xludf.ifna(VLOOKUP(G866,Proyectos!$A$2:$F$674,6,0),"")</f>
        <v>#NAME?</v>
      </c>
      <c r="G866" s="26" t="s">
        <v>5158</v>
      </c>
      <c r="H866" s="32">
        <v>0.75</v>
      </c>
      <c r="I866" s="31" t="s">
        <v>18</v>
      </c>
      <c r="J866" s="31" t="s">
        <v>41</v>
      </c>
      <c r="K866" s="82"/>
      <c r="L866" s="32" t="e">
        <f ca="1">_xludf.ifna(VLOOKUP(E866,Parámetros!$D$2:$E$34,2,0),"")</f>
        <v>#NAME?</v>
      </c>
      <c r="M866" s="32" t="e">
        <f ca="1">_xludf.ifna(VLOOKUP(G866,Proyectos!$A$2:$T$674,20,0),"")</f>
        <v>#NAME?</v>
      </c>
      <c r="N866" s="32" t="e">
        <f ca="1">_xludf.ifna(VLOOKUP(G866,Proyectos!$A$2:$S$674,19,0))</f>
        <v>#NAME?</v>
      </c>
      <c r="O866" s="31"/>
      <c r="P866" s="31"/>
      <c r="Q866" s="33"/>
      <c r="R866" s="33"/>
      <c r="S866" s="33"/>
      <c r="T866" s="33"/>
      <c r="U866" s="33"/>
      <c r="V866" s="33"/>
      <c r="W866" s="33"/>
    </row>
    <row r="867" spans="1:23" ht="16.5" customHeight="1" x14ac:dyDescent="0.2">
      <c r="A867" s="26" t="s">
        <v>3789</v>
      </c>
      <c r="B867" s="26" t="s">
        <v>3790</v>
      </c>
      <c r="C867" s="26" t="s">
        <v>98</v>
      </c>
      <c r="D867" s="26" t="s">
        <v>107</v>
      </c>
      <c r="E867" s="26" t="s">
        <v>39</v>
      </c>
      <c r="F867" s="28" t="e">
        <f ca="1">_xludf.ifna(VLOOKUP(G867,Proyectos!$A$2:$F$674,6,0),"")</f>
        <v>#NAME?</v>
      </c>
      <c r="G867" s="29" t="s">
        <v>5114</v>
      </c>
      <c r="H867" s="32">
        <v>1</v>
      </c>
      <c r="I867" s="31" t="s">
        <v>32</v>
      </c>
      <c r="J867" s="31" t="s">
        <v>41</v>
      </c>
      <c r="K867" s="32"/>
      <c r="L867" s="32" t="e">
        <f ca="1">_xludf.ifna(VLOOKUP(E867,Parámetros!$D$2:$E$34,2,0),"")</f>
        <v>#NAME?</v>
      </c>
      <c r="M867" s="32" t="e">
        <f ca="1">_xludf.ifna(VLOOKUP(G867,Proyectos!$A$2:$T$674,20,0),"")</f>
        <v>#NAME?</v>
      </c>
      <c r="N867" s="32" t="e">
        <f ca="1">_xludf.ifna(VLOOKUP(G867,Proyectos!$A$2:$S$674,19,0))</f>
        <v>#NAME?</v>
      </c>
      <c r="O867" s="31"/>
      <c r="P867" s="31"/>
      <c r="Q867" s="33"/>
      <c r="R867" s="33"/>
      <c r="S867" s="33"/>
      <c r="T867" s="33"/>
      <c r="U867" s="33"/>
      <c r="V867" s="33"/>
      <c r="W867" s="33"/>
    </row>
    <row r="868" spans="1:23" ht="16.5" customHeight="1" x14ac:dyDescent="0.2">
      <c r="A868" s="83" t="s">
        <v>4082</v>
      </c>
      <c r="B868" s="54" t="s">
        <v>4083</v>
      </c>
      <c r="C868" s="26" t="s">
        <v>98</v>
      </c>
      <c r="D868" s="26" t="s">
        <v>107</v>
      </c>
      <c r="E868" s="26" t="s">
        <v>87</v>
      </c>
      <c r="F868" s="28" t="e">
        <f ca="1">_xludf.ifna(VLOOKUP(G868,Proyectos!$A$2:$F$674,6,0),"")</f>
        <v>#NAME?</v>
      </c>
      <c r="G868" s="29" t="s">
        <v>5114</v>
      </c>
      <c r="H868" s="32">
        <v>1</v>
      </c>
      <c r="I868" s="31" t="s">
        <v>18</v>
      </c>
      <c r="J868" s="31" t="s">
        <v>41</v>
      </c>
      <c r="K868" s="32"/>
      <c r="L868" s="32" t="e">
        <f ca="1">_xludf.ifna(VLOOKUP(E868,Parámetros!$D$2:$E$34,2,0),"")</f>
        <v>#NAME?</v>
      </c>
      <c r="M868" s="32" t="e">
        <f ca="1">_xludf.ifna(VLOOKUP(G868,Proyectos!$A$2:$T$674,20,0),"")</f>
        <v>#NAME?</v>
      </c>
      <c r="N868" s="32" t="e">
        <f ca="1">_xludf.ifna(VLOOKUP(G868,Proyectos!$A$2:$S$674,19,0))</f>
        <v>#NAME?</v>
      </c>
      <c r="O868" s="31"/>
      <c r="P868" s="31"/>
      <c r="Q868" s="33"/>
      <c r="R868" s="33"/>
      <c r="S868" s="33"/>
      <c r="T868" s="33"/>
      <c r="U868" s="33"/>
      <c r="V868" s="33"/>
      <c r="W868" s="33"/>
    </row>
    <row r="869" spans="1:23" ht="16.5" customHeight="1" x14ac:dyDescent="0.2">
      <c r="A869" s="83" t="s">
        <v>4911</v>
      </c>
      <c r="B869" s="35" t="s">
        <v>4912</v>
      </c>
      <c r="C869" s="26" t="s">
        <v>98</v>
      </c>
      <c r="D869" s="26" t="s">
        <v>107</v>
      </c>
      <c r="E869" s="26" t="s">
        <v>87</v>
      </c>
      <c r="F869" s="28" t="e">
        <f ca="1">_xludf.ifna(VLOOKUP(G869,Proyectos!$A$2:$F$674,6,0),"")</f>
        <v>#NAME?</v>
      </c>
      <c r="G869" s="29" t="s">
        <v>5114</v>
      </c>
      <c r="H869" s="32">
        <v>1</v>
      </c>
      <c r="I869" s="31" t="s">
        <v>18</v>
      </c>
      <c r="J869" s="31" t="s">
        <v>41</v>
      </c>
      <c r="K869" s="32"/>
      <c r="L869" s="32" t="e">
        <f ca="1">_xludf.ifna(VLOOKUP(E869,Parámetros!$D$2:$E$34,2,0),"")</f>
        <v>#NAME?</v>
      </c>
      <c r="M869" s="32" t="e">
        <f ca="1">_xludf.ifna(VLOOKUP(G869,Proyectos!$A$2:$T$674,20,0),"")</f>
        <v>#NAME?</v>
      </c>
      <c r="N869" s="32" t="e">
        <f ca="1">_xludf.ifna(VLOOKUP(G869,Proyectos!$A$2:$S$674,19,0))</f>
        <v>#NAME?</v>
      </c>
      <c r="O869" s="31"/>
      <c r="P869" s="31"/>
      <c r="Q869" s="33"/>
      <c r="R869" s="33"/>
      <c r="S869" s="33"/>
      <c r="T869" s="33"/>
      <c r="U869" s="33"/>
      <c r="V869" s="33"/>
      <c r="W869" s="33"/>
    </row>
    <row r="870" spans="1:23" ht="16.5" customHeight="1" x14ac:dyDescent="0.2">
      <c r="A870" s="26" t="s">
        <v>4183</v>
      </c>
      <c r="B870" s="26" t="s">
        <v>4184</v>
      </c>
      <c r="C870" s="26" t="s">
        <v>98</v>
      </c>
      <c r="D870" s="26" t="s">
        <v>107</v>
      </c>
      <c r="E870" s="26" t="s">
        <v>114</v>
      </c>
      <c r="F870" s="28" t="e">
        <f ca="1">_xludf.ifna(VLOOKUP(G870,Proyectos!$A$2:$F$674,6,0),"")</f>
        <v>#NAME?</v>
      </c>
      <c r="G870" s="29" t="s">
        <v>5114</v>
      </c>
      <c r="H870" s="32">
        <v>1</v>
      </c>
      <c r="I870" s="31" t="s">
        <v>32</v>
      </c>
      <c r="J870" s="31" t="s">
        <v>41</v>
      </c>
      <c r="K870" s="32"/>
      <c r="L870" s="32" t="e">
        <f ca="1">_xludf.ifna(VLOOKUP(E870,Parámetros!$D$2:$E$34,2,0),"")</f>
        <v>#NAME?</v>
      </c>
      <c r="M870" s="32" t="e">
        <f ca="1">_xludf.ifna(VLOOKUP(G870,Proyectos!$A$2:$T$674,20,0),"")</f>
        <v>#NAME?</v>
      </c>
      <c r="N870" s="32" t="e">
        <f ca="1">_xludf.ifna(VLOOKUP(G870,Proyectos!$A$2:$S$674,19,0))</f>
        <v>#NAME?</v>
      </c>
      <c r="O870" s="31"/>
      <c r="P870" s="31"/>
      <c r="Q870" s="33"/>
      <c r="R870" s="33"/>
      <c r="S870" s="33"/>
      <c r="T870" s="33"/>
      <c r="U870" s="33"/>
      <c r="V870" s="33"/>
      <c r="W870" s="33"/>
    </row>
    <row r="871" spans="1:23" ht="16.5" customHeight="1" x14ac:dyDescent="0.2">
      <c r="A871" s="26" t="s">
        <v>3763</v>
      </c>
      <c r="B871" s="26" t="s">
        <v>3764</v>
      </c>
      <c r="C871" s="26" t="s">
        <v>98</v>
      </c>
      <c r="D871" s="26" t="s">
        <v>107</v>
      </c>
      <c r="E871" s="26" t="s">
        <v>39</v>
      </c>
      <c r="F871" s="28" t="e">
        <f ca="1">_xludf.ifna(VLOOKUP(G871,Proyectos!$A$2:$F$674,6,0),"")</f>
        <v>#NAME?</v>
      </c>
      <c r="G871" s="29" t="s">
        <v>5114</v>
      </c>
      <c r="H871" s="32">
        <v>0.5</v>
      </c>
      <c r="I871" s="31" t="s">
        <v>18</v>
      </c>
      <c r="J871" s="31" t="s">
        <v>41</v>
      </c>
      <c r="K871" s="32"/>
      <c r="L871" s="32" t="e">
        <f ca="1">_xludf.ifna(VLOOKUP(E871,Parámetros!$D$2:$E$34,2,0),"")</f>
        <v>#NAME?</v>
      </c>
      <c r="M871" s="32" t="e">
        <f ca="1">_xludf.ifna(VLOOKUP(G871,Proyectos!$A$2:$T$674,20,0),"")</f>
        <v>#NAME?</v>
      </c>
      <c r="N871" s="32" t="e">
        <f ca="1">_xludf.ifna(VLOOKUP(G871,Proyectos!$A$2:$S$674,19,0))</f>
        <v>#NAME?</v>
      </c>
      <c r="O871" s="31"/>
      <c r="P871" s="31"/>
      <c r="Q871" s="33"/>
      <c r="R871" s="33"/>
      <c r="S871" s="33"/>
      <c r="T871" s="33"/>
      <c r="U871" s="33"/>
      <c r="V871" s="33"/>
      <c r="W871" s="33"/>
    </row>
    <row r="872" spans="1:23" ht="16.5" customHeight="1" x14ac:dyDescent="0.2">
      <c r="A872" s="26" t="s">
        <v>3763</v>
      </c>
      <c r="B872" s="26" t="s">
        <v>3764</v>
      </c>
      <c r="C872" s="26" t="s">
        <v>98</v>
      </c>
      <c r="D872" s="26" t="s">
        <v>107</v>
      </c>
      <c r="E872" s="26" t="s">
        <v>39</v>
      </c>
      <c r="F872" s="28" t="e">
        <f ca="1">_xludf.ifna(VLOOKUP(G872,Proyectos!$A$2:$F$674,6,0),"")</f>
        <v>#NAME?</v>
      </c>
      <c r="G872" s="26" t="s">
        <v>5131</v>
      </c>
      <c r="H872" s="32">
        <v>0.5</v>
      </c>
      <c r="I872" s="31" t="s">
        <v>18</v>
      </c>
      <c r="J872" s="31" t="s">
        <v>41</v>
      </c>
      <c r="K872" s="82"/>
      <c r="L872" s="32" t="e">
        <f ca="1">_xludf.ifna(VLOOKUP(E872,Parámetros!$D$2:$E$34,2,0),"")</f>
        <v>#NAME?</v>
      </c>
      <c r="M872" s="32" t="e">
        <f ca="1">_xludf.ifna(VLOOKUP(G872,Proyectos!$A$2:$T$674,20,0),"")</f>
        <v>#NAME?</v>
      </c>
      <c r="N872" s="32" t="e">
        <f ca="1">_xludf.ifna(VLOOKUP(G872,Proyectos!$A$2:$S$674,19,0))</f>
        <v>#NAME?</v>
      </c>
      <c r="O872" s="31"/>
      <c r="P872" s="31"/>
      <c r="Q872" s="33"/>
      <c r="R872" s="33"/>
      <c r="S872" s="33"/>
      <c r="T872" s="33"/>
      <c r="U872" s="33"/>
      <c r="V872" s="33"/>
      <c r="W872" s="33"/>
    </row>
    <row r="873" spans="1:23" ht="16.5" customHeight="1" x14ac:dyDescent="0.2">
      <c r="A873" s="26" t="s">
        <v>4944</v>
      </c>
      <c r="B873" s="26" t="s">
        <v>4945</v>
      </c>
      <c r="C873" s="26" t="s">
        <v>98</v>
      </c>
      <c r="D873" s="26" t="s">
        <v>107</v>
      </c>
      <c r="E873" s="26" t="s">
        <v>87</v>
      </c>
      <c r="F873" s="28" t="e">
        <f ca="1">_xludf.ifna(VLOOKUP(G873,Proyectos!$A$2:$F$674,6,0),"")</f>
        <v>#NAME?</v>
      </c>
      <c r="G873" s="29" t="s">
        <v>5114</v>
      </c>
      <c r="H873" s="32">
        <v>1</v>
      </c>
      <c r="I873" s="31" t="s">
        <v>18</v>
      </c>
      <c r="J873" s="31" t="s">
        <v>41</v>
      </c>
      <c r="K873" s="32"/>
      <c r="L873" s="32" t="e">
        <f ca="1">_xludf.ifna(VLOOKUP(E873,Parámetros!$D$2:$E$34,2,0),"")</f>
        <v>#NAME?</v>
      </c>
      <c r="M873" s="32" t="e">
        <f ca="1">_xludf.ifna(VLOOKUP(G873,Proyectos!$A$2:$T$674,20,0),"")</f>
        <v>#NAME?</v>
      </c>
      <c r="N873" s="32" t="e">
        <f ca="1">_xludf.ifna(VLOOKUP(G873,Proyectos!$A$2:$S$674,19,0))</f>
        <v>#NAME?</v>
      </c>
      <c r="O873" s="31"/>
      <c r="P873" s="31"/>
      <c r="Q873" s="33"/>
      <c r="R873" s="33"/>
      <c r="S873" s="33"/>
      <c r="T873" s="33"/>
      <c r="U873" s="33"/>
      <c r="V873" s="33"/>
      <c r="W873" s="33"/>
    </row>
    <row r="874" spans="1:23" ht="16.5" customHeight="1" x14ac:dyDescent="0.2">
      <c r="A874" s="83" t="s">
        <v>4136</v>
      </c>
      <c r="B874" s="54" t="s">
        <v>4137</v>
      </c>
      <c r="C874" s="26" t="s">
        <v>98</v>
      </c>
      <c r="D874" s="26" t="s">
        <v>107</v>
      </c>
      <c r="E874" s="26" t="s">
        <v>87</v>
      </c>
      <c r="F874" s="28" t="e">
        <f ca="1">_xludf.ifna(VLOOKUP(G874,Proyectos!$A$2:$F$674,6,0),"")</f>
        <v>#NAME?</v>
      </c>
      <c r="G874" s="26" t="s">
        <v>5248</v>
      </c>
      <c r="H874" s="32">
        <v>1</v>
      </c>
      <c r="I874" s="31" t="s">
        <v>18</v>
      </c>
      <c r="J874" s="31" t="s">
        <v>41</v>
      </c>
      <c r="K874" s="32"/>
      <c r="L874" s="32" t="e">
        <f ca="1">_xludf.ifna(VLOOKUP(E874,Parámetros!$D$2:$E$34,2,0),"")</f>
        <v>#NAME?</v>
      </c>
      <c r="M874" s="32" t="e">
        <f ca="1">_xludf.ifna(VLOOKUP(G874,Proyectos!$A$2:$T$674,20,0),"")</f>
        <v>#NAME?</v>
      </c>
      <c r="N874" s="32" t="e">
        <f ca="1">_xludf.ifna(VLOOKUP(G874,Proyectos!$A$2:$S$674,19,0))</f>
        <v>#NAME?</v>
      </c>
      <c r="O874" s="31"/>
      <c r="P874" s="31"/>
      <c r="Q874" s="33"/>
      <c r="R874" s="33"/>
      <c r="S874" s="33"/>
      <c r="T874" s="33"/>
      <c r="U874" s="33"/>
      <c r="V874" s="33"/>
      <c r="W874" s="33"/>
    </row>
    <row r="875" spans="1:23" ht="16.5" customHeight="1" x14ac:dyDescent="0.2">
      <c r="A875" s="26" t="s">
        <v>4463</v>
      </c>
      <c r="B875" s="26" t="s">
        <v>4464</v>
      </c>
      <c r="C875" s="26" t="s">
        <v>98</v>
      </c>
      <c r="D875" s="26" t="s">
        <v>107</v>
      </c>
      <c r="E875" s="26" t="s">
        <v>87</v>
      </c>
      <c r="F875" s="28" t="e">
        <f ca="1">_xludf.ifna(VLOOKUP(G875,Proyectos!$A$2:$F$674,6,0),"")</f>
        <v>#NAME?</v>
      </c>
      <c r="G875" s="29" t="s">
        <v>5114</v>
      </c>
      <c r="H875" s="32">
        <v>1</v>
      </c>
      <c r="I875" s="31" t="s">
        <v>18</v>
      </c>
      <c r="J875" s="31" t="s">
        <v>41</v>
      </c>
      <c r="K875" s="32"/>
      <c r="L875" s="32" t="e">
        <f ca="1">_xludf.ifna(VLOOKUP(E875,Parámetros!$D$2:$E$34,2,0),"")</f>
        <v>#NAME?</v>
      </c>
      <c r="M875" s="32" t="e">
        <f ca="1">_xludf.ifna(VLOOKUP(G875,Proyectos!$A$2:$T$674,20,0),"")</f>
        <v>#NAME?</v>
      </c>
      <c r="N875" s="32" t="e">
        <f ca="1">_xludf.ifna(VLOOKUP(G875,Proyectos!$A$2:$S$674,19,0))</f>
        <v>#NAME?</v>
      </c>
      <c r="O875" s="31"/>
      <c r="P875" s="31"/>
      <c r="Q875" s="33"/>
      <c r="R875" s="33"/>
      <c r="S875" s="33"/>
      <c r="T875" s="33"/>
      <c r="U875" s="33"/>
      <c r="V875" s="33"/>
      <c r="W875" s="33"/>
    </row>
    <row r="876" spans="1:23" ht="16.5" customHeight="1" x14ac:dyDescent="0.2">
      <c r="A876" s="26" t="s">
        <v>3749</v>
      </c>
      <c r="B876" s="26" t="s">
        <v>3750</v>
      </c>
      <c r="C876" s="26" t="s">
        <v>98</v>
      </c>
      <c r="D876" s="26" t="s">
        <v>107</v>
      </c>
      <c r="E876" s="26" t="s">
        <v>39</v>
      </c>
      <c r="F876" s="28" t="e">
        <f ca="1">_xludf.ifna(VLOOKUP(G876,Proyectos!$A$2:$F$674,6,0),"")</f>
        <v>#NAME?</v>
      </c>
      <c r="G876" s="26" t="s">
        <v>5347</v>
      </c>
      <c r="H876" s="32">
        <v>1</v>
      </c>
      <c r="I876" s="31" t="s">
        <v>18</v>
      </c>
      <c r="J876" s="31" t="s">
        <v>41</v>
      </c>
      <c r="K876" s="32"/>
      <c r="L876" s="32" t="e">
        <f ca="1">_xludf.ifna(VLOOKUP(E876,Parámetros!$D$2:$E$34,2,0),"")</f>
        <v>#NAME?</v>
      </c>
      <c r="M876" s="32" t="e">
        <f ca="1">_xludf.ifna(VLOOKUP(G876,Proyectos!$A$2:$T$674,20,0),"")</f>
        <v>#NAME?</v>
      </c>
      <c r="N876" s="32" t="e">
        <f ca="1">_xludf.ifna(VLOOKUP(G876,Proyectos!$A$2:$S$674,19,0))</f>
        <v>#NAME?</v>
      </c>
      <c r="O876" s="32"/>
      <c r="P876" s="31"/>
      <c r="Q876" s="33"/>
      <c r="R876" s="33"/>
      <c r="S876" s="33"/>
      <c r="T876" s="33"/>
      <c r="U876" s="33"/>
      <c r="V876" s="33"/>
      <c r="W876" s="33"/>
    </row>
    <row r="877" spans="1:23" ht="16.5" customHeight="1" x14ac:dyDescent="0.2">
      <c r="A877" s="26" t="s">
        <v>3673</v>
      </c>
      <c r="B877" s="26" t="s">
        <v>3674</v>
      </c>
      <c r="C877" s="26" t="s">
        <v>98</v>
      </c>
      <c r="D877" s="26" t="s">
        <v>107</v>
      </c>
      <c r="E877" s="26" t="s">
        <v>39</v>
      </c>
      <c r="F877" s="28" t="e">
        <f ca="1">_xludf.ifna(VLOOKUP(G877,Proyectos!$A$2:$F$674,6,0),"")</f>
        <v>#NAME?</v>
      </c>
      <c r="G877" s="26" t="s">
        <v>5126</v>
      </c>
      <c r="H877" s="32">
        <v>1</v>
      </c>
      <c r="I877" s="31" t="s">
        <v>18</v>
      </c>
      <c r="J877" s="31" t="s">
        <v>41</v>
      </c>
      <c r="K877" s="32"/>
      <c r="L877" s="32" t="e">
        <f ca="1">_xludf.ifna(VLOOKUP(E877,Parámetros!$D$2:$E$34,2,0),"")</f>
        <v>#NAME?</v>
      </c>
      <c r="M877" s="32" t="e">
        <f ca="1">_xludf.ifna(VLOOKUP(G877,Proyectos!$A$2:$T$674,20,0),"")</f>
        <v>#NAME?</v>
      </c>
      <c r="N877" s="32" t="e">
        <f ca="1">_xludf.ifna(VLOOKUP(G877,Proyectos!$A$2:$S$674,19,0))</f>
        <v>#NAME?</v>
      </c>
      <c r="O877" s="32"/>
      <c r="P877" s="31"/>
      <c r="Q877" s="33"/>
      <c r="R877" s="33"/>
      <c r="S877" s="33"/>
      <c r="T877" s="33"/>
      <c r="U877" s="33"/>
      <c r="V877" s="33"/>
      <c r="W877" s="33"/>
    </row>
    <row r="878" spans="1:23" ht="16.5" customHeight="1" x14ac:dyDescent="0.2">
      <c r="A878" s="26" t="s">
        <v>4237</v>
      </c>
      <c r="B878" s="26" t="s">
        <v>4238</v>
      </c>
      <c r="C878" s="26" t="s">
        <v>98</v>
      </c>
      <c r="D878" s="26" t="s">
        <v>107</v>
      </c>
      <c r="E878" s="26" t="s">
        <v>87</v>
      </c>
      <c r="F878" s="28" t="e">
        <f ca="1">_xludf.ifna(VLOOKUP(G878,Proyectos!$A$2:$F$674,6,0),"")</f>
        <v>#NAME?</v>
      </c>
      <c r="G878" s="26" t="s">
        <v>5347</v>
      </c>
      <c r="H878" s="32">
        <v>0.5</v>
      </c>
      <c r="I878" s="31" t="s">
        <v>18</v>
      </c>
      <c r="J878" s="31" t="s">
        <v>41</v>
      </c>
      <c r="K878" s="32"/>
      <c r="L878" s="32" t="e">
        <f ca="1">_xludf.ifna(VLOOKUP(E878,Parámetros!$D$2:$E$34,2,0),"")</f>
        <v>#NAME?</v>
      </c>
      <c r="M878" s="32" t="e">
        <f ca="1">_xludf.ifna(VLOOKUP(G878,Proyectos!$A$2:$T$674,20,0),"")</f>
        <v>#NAME?</v>
      </c>
      <c r="N878" s="32" t="e">
        <f ca="1">_xludf.ifna(VLOOKUP(G878,Proyectos!$A$2:$S$674,19,0))</f>
        <v>#NAME?</v>
      </c>
      <c r="O878" s="31"/>
      <c r="P878" s="31"/>
      <c r="Q878" s="33"/>
      <c r="R878" s="33"/>
      <c r="S878" s="33"/>
      <c r="T878" s="33"/>
      <c r="U878" s="33"/>
      <c r="V878" s="33"/>
      <c r="W878" s="33"/>
    </row>
    <row r="879" spans="1:23" ht="16.5" customHeight="1" x14ac:dyDescent="0.2">
      <c r="A879" s="26" t="s">
        <v>4237</v>
      </c>
      <c r="B879" s="26" t="s">
        <v>4238</v>
      </c>
      <c r="C879" s="26" t="s">
        <v>98</v>
      </c>
      <c r="D879" s="26" t="s">
        <v>107</v>
      </c>
      <c r="E879" s="26" t="s">
        <v>87</v>
      </c>
      <c r="F879" s="28" t="e">
        <f ca="1">_xludf.ifna(VLOOKUP(G879,Proyectos!$A$2:$F$674,6,0),"")</f>
        <v>#NAME?</v>
      </c>
      <c r="G879" s="26" t="s">
        <v>5330</v>
      </c>
      <c r="H879" s="32">
        <v>0.5</v>
      </c>
      <c r="I879" s="31" t="s">
        <v>18</v>
      </c>
      <c r="J879" s="31" t="s">
        <v>41</v>
      </c>
      <c r="K879" s="32"/>
      <c r="L879" s="32" t="e">
        <f ca="1">_xludf.ifna(VLOOKUP(E879,Parámetros!$D$2:$E$34,2,0),"")</f>
        <v>#NAME?</v>
      </c>
      <c r="M879" s="32" t="e">
        <f ca="1">_xludf.ifna(VLOOKUP(G879,Proyectos!$A$2:$T$674,20,0),"")</f>
        <v>#NAME?</v>
      </c>
      <c r="N879" s="32" t="e">
        <f ca="1">_xludf.ifna(VLOOKUP(G879,Proyectos!$A$2:$S$674,19,0))</f>
        <v>#NAME?</v>
      </c>
      <c r="O879" s="31"/>
      <c r="P879" s="31"/>
      <c r="Q879" s="33"/>
      <c r="R879" s="33"/>
      <c r="S879" s="33"/>
      <c r="T879" s="33"/>
      <c r="U879" s="33"/>
      <c r="V879" s="33"/>
      <c r="W879" s="33"/>
    </row>
    <row r="880" spans="1:23" ht="16.5" customHeight="1" x14ac:dyDescent="0.2">
      <c r="A880" s="26" t="s">
        <v>4513</v>
      </c>
      <c r="B880" s="26" t="s">
        <v>4514</v>
      </c>
      <c r="C880" s="26" t="s">
        <v>98</v>
      </c>
      <c r="D880" s="26" t="s">
        <v>107</v>
      </c>
      <c r="E880" s="26" t="s">
        <v>87</v>
      </c>
      <c r="F880" s="28" t="e">
        <f ca="1">_xludf.ifna(VLOOKUP(G880,Proyectos!$A$2:$F$674,6,0),"")</f>
        <v>#NAME?</v>
      </c>
      <c r="G880" s="26" t="s">
        <v>5347</v>
      </c>
      <c r="H880" s="32">
        <v>0.5</v>
      </c>
      <c r="I880" s="31" t="s">
        <v>18</v>
      </c>
      <c r="J880" s="31" t="s">
        <v>41</v>
      </c>
      <c r="K880" s="32"/>
      <c r="L880" s="32" t="e">
        <f ca="1">_xludf.ifna(VLOOKUP(E880,Parámetros!$D$2:$E$34,2,0),"")</f>
        <v>#NAME?</v>
      </c>
      <c r="M880" s="32" t="e">
        <f ca="1">_xludf.ifna(VLOOKUP(G880,Proyectos!$A$2:$T$674,20,0),"")</f>
        <v>#NAME?</v>
      </c>
      <c r="N880" s="32" t="e">
        <f ca="1">_xludf.ifna(VLOOKUP(G880,Proyectos!$A$2:$S$674,19,0))</f>
        <v>#NAME?</v>
      </c>
      <c r="O880" s="32"/>
      <c r="P880" s="31"/>
      <c r="Q880" s="33"/>
      <c r="R880" s="33"/>
      <c r="S880" s="33"/>
      <c r="T880" s="33"/>
      <c r="U880" s="33"/>
      <c r="V880" s="33"/>
      <c r="W880" s="33"/>
    </row>
    <row r="881" spans="1:23" ht="16.5" customHeight="1" x14ac:dyDescent="0.2">
      <c r="A881" s="26" t="s">
        <v>4513</v>
      </c>
      <c r="B881" s="26" t="s">
        <v>4514</v>
      </c>
      <c r="C881" s="26" t="s">
        <v>98</v>
      </c>
      <c r="D881" s="26" t="s">
        <v>107</v>
      </c>
      <c r="E881" s="26" t="s">
        <v>87</v>
      </c>
      <c r="F881" s="28" t="e">
        <f ca="1">_xludf.ifna(VLOOKUP(G881,Proyectos!$A$2:$F$674,6,0),"")</f>
        <v>#NAME?</v>
      </c>
      <c r="G881" s="26" t="s">
        <v>5329</v>
      </c>
      <c r="H881" s="32">
        <v>0.5</v>
      </c>
      <c r="I881" s="31" t="s">
        <v>18</v>
      </c>
      <c r="J881" s="31" t="s">
        <v>26</v>
      </c>
      <c r="K881" s="32"/>
      <c r="L881" s="32" t="e">
        <f ca="1">_xludf.ifna(VLOOKUP(E881,Parámetros!$D$2:$E$34,2,0),"")</f>
        <v>#NAME?</v>
      </c>
      <c r="M881" s="32" t="e">
        <f ca="1">_xludf.ifna(VLOOKUP(G881,Proyectos!$A$2:$T$674,20,0),"")</f>
        <v>#NAME?</v>
      </c>
      <c r="N881" s="32" t="e">
        <f ca="1">_xludf.ifna(VLOOKUP(G881,Proyectos!$A$2:$S$674,19,0))</f>
        <v>#NAME?</v>
      </c>
      <c r="O881" s="32"/>
      <c r="P881" s="31"/>
      <c r="Q881" s="33"/>
      <c r="R881" s="33"/>
      <c r="S881" s="33"/>
      <c r="T881" s="33"/>
      <c r="U881" s="33"/>
      <c r="V881" s="33"/>
      <c r="W881" s="33"/>
    </row>
    <row r="882" spans="1:23" ht="16.5" customHeight="1" x14ac:dyDescent="0.2">
      <c r="A882" s="26" t="s">
        <v>4312</v>
      </c>
      <c r="B882" s="26" t="s">
        <v>4313</v>
      </c>
      <c r="C882" s="26" t="s">
        <v>98</v>
      </c>
      <c r="D882" s="26" t="s">
        <v>107</v>
      </c>
      <c r="E882" s="26" t="s">
        <v>87</v>
      </c>
      <c r="F882" s="28" t="e">
        <f ca="1">_xludf.ifna(VLOOKUP(G882,Proyectos!$A$2:$F$674,6,0),"")</f>
        <v>#NAME?</v>
      </c>
      <c r="G882" s="26" t="s">
        <v>5347</v>
      </c>
      <c r="H882" s="32">
        <v>0.5</v>
      </c>
      <c r="I882" s="31" t="s">
        <v>25</v>
      </c>
      <c r="J882" s="31" t="s">
        <v>41</v>
      </c>
      <c r="K882" s="32"/>
      <c r="L882" s="32" t="e">
        <f ca="1">_xludf.ifna(VLOOKUP(E882,Parámetros!$D$2:$E$34,2,0),"")</f>
        <v>#NAME?</v>
      </c>
      <c r="M882" s="32" t="e">
        <f ca="1">_xludf.ifna(VLOOKUP(G882,Proyectos!$A$2:$T$674,20,0),"")</f>
        <v>#NAME?</v>
      </c>
      <c r="N882" s="32" t="e">
        <f ca="1">_xludf.ifna(VLOOKUP(G882,Proyectos!$A$2:$S$674,19,0))</f>
        <v>#NAME?</v>
      </c>
      <c r="O882" s="32"/>
      <c r="P882" s="31"/>
      <c r="Q882" s="33"/>
      <c r="R882" s="33"/>
      <c r="S882" s="33"/>
      <c r="T882" s="33"/>
      <c r="U882" s="33"/>
      <c r="V882" s="33"/>
      <c r="W882" s="33"/>
    </row>
    <row r="883" spans="1:23" ht="16.5" customHeight="1" x14ac:dyDescent="0.2">
      <c r="A883" s="26" t="s">
        <v>4312</v>
      </c>
      <c r="B883" s="26" t="s">
        <v>4313</v>
      </c>
      <c r="C883" s="26" t="s">
        <v>98</v>
      </c>
      <c r="D883" s="26" t="s">
        <v>107</v>
      </c>
      <c r="E883" s="26" t="s">
        <v>87</v>
      </c>
      <c r="F883" s="28" t="e">
        <f ca="1">_xludf.ifna(VLOOKUP(G883,Proyectos!$A$2:$F$674,6,0),"")</f>
        <v>#NAME?</v>
      </c>
      <c r="G883" s="26" t="s">
        <v>5126</v>
      </c>
      <c r="H883" s="32">
        <v>0.5</v>
      </c>
      <c r="I883" s="31" t="s">
        <v>25</v>
      </c>
      <c r="J883" s="31" t="s">
        <v>41</v>
      </c>
      <c r="K883" s="32"/>
      <c r="L883" s="32" t="e">
        <f ca="1">_xludf.ifna(VLOOKUP(E883,Parámetros!$D$2:$E$34,2,0),"")</f>
        <v>#NAME?</v>
      </c>
      <c r="M883" s="32" t="e">
        <f ca="1">_xludf.ifna(VLOOKUP(G883,Proyectos!$A$2:$T$674,20,0),"")</f>
        <v>#NAME?</v>
      </c>
      <c r="N883" s="32" t="e">
        <f ca="1">_xludf.ifna(VLOOKUP(G883,Proyectos!$A$2:$S$674,19,0))</f>
        <v>#NAME?</v>
      </c>
      <c r="O883" s="32"/>
      <c r="P883" s="31"/>
      <c r="Q883" s="33"/>
      <c r="R883" s="33"/>
      <c r="S883" s="33"/>
      <c r="T883" s="33"/>
      <c r="U883" s="33"/>
      <c r="V883" s="33"/>
      <c r="W883" s="33"/>
    </row>
    <row r="884" spans="1:23" ht="16.5" customHeight="1" x14ac:dyDescent="0.2">
      <c r="A884" s="26" t="s">
        <v>4507</v>
      </c>
      <c r="B884" s="26" t="s">
        <v>4508</v>
      </c>
      <c r="C884" s="26" t="s">
        <v>98</v>
      </c>
      <c r="D884" s="26" t="s">
        <v>107</v>
      </c>
      <c r="E884" s="26" t="s">
        <v>87</v>
      </c>
      <c r="F884" s="28" t="e">
        <f ca="1">_xludf.ifna(VLOOKUP(G884,Proyectos!$A$2:$F$674,6,0),"")</f>
        <v>#NAME?</v>
      </c>
      <c r="G884" s="26" t="s">
        <v>5347</v>
      </c>
      <c r="H884" s="32">
        <v>1</v>
      </c>
      <c r="I884" s="31" t="s">
        <v>18</v>
      </c>
      <c r="J884" s="31" t="s">
        <v>41</v>
      </c>
      <c r="K884" s="32"/>
      <c r="L884" s="32" t="e">
        <f ca="1">_xludf.ifna(VLOOKUP(E884,Parámetros!$D$2:$E$34,2,0),"")</f>
        <v>#NAME?</v>
      </c>
      <c r="M884" s="32" t="e">
        <f ca="1">_xludf.ifna(VLOOKUP(G884,Proyectos!$A$2:$T$674,20,0),"")</f>
        <v>#NAME?</v>
      </c>
      <c r="N884" s="32" t="e">
        <f ca="1">_xludf.ifna(VLOOKUP(G884,Proyectos!$A$2:$S$674,19,0))</f>
        <v>#NAME?</v>
      </c>
      <c r="O884" s="32"/>
      <c r="P884" s="31"/>
      <c r="Q884" s="33"/>
      <c r="R884" s="33"/>
      <c r="S884" s="33"/>
      <c r="T884" s="33"/>
      <c r="U884" s="33"/>
      <c r="V884" s="33"/>
      <c r="W884" s="33"/>
    </row>
    <row r="885" spans="1:23" ht="16.5" customHeight="1" x14ac:dyDescent="0.2">
      <c r="A885" s="26" t="s">
        <v>4459</v>
      </c>
      <c r="B885" s="26" t="s">
        <v>4460</v>
      </c>
      <c r="C885" s="26" t="s">
        <v>98</v>
      </c>
      <c r="D885" s="26" t="s">
        <v>107</v>
      </c>
      <c r="E885" s="26" t="s">
        <v>87</v>
      </c>
      <c r="F885" s="28" t="e">
        <f ca="1">_xludf.ifna(VLOOKUP(G885,Proyectos!$A$2:$F$674,6,0),"")</f>
        <v>#NAME?</v>
      </c>
      <c r="G885" s="26" t="s">
        <v>5126</v>
      </c>
      <c r="H885" s="32">
        <v>1</v>
      </c>
      <c r="I885" s="31" t="s">
        <v>18</v>
      </c>
      <c r="J885" s="31" t="s">
        <v>41</v>
      </c>
      <c r="K885" s="32"/>
      <c r="L885" s="32" t="e">
        <f ca="1">_xludf.ifna(VLOOKUP(E885,Parámetros!$D$2:$E$34,2,0),"")</f>
        <v>#NAME?</v>
      </c>
      <c r="M885" s="32" t="e">
        <f ca="1">_xludf.ifna(VLOOKUP(G885,Proyectos!$A$2:$T$674,20,0),"")</f>
        <v>#NAME?</v>
      </c>
      <c r="N885" s="32" t="e">
        <f ca="1">_xludf.ifna(VLOOKUP(G885,Proyectos!$A$2:$S$674,19,0))</f>
        <v>#NAME?</v>
      </c>
      <c r="O885" s="31"/>
      <c r="P885" s="31"/>
      <c r="Q885" s="33"/>
      <c r="R885" s="33"/>
      <c r="S885" s="33"/>
      <c r="T885" s="33"/>
      <c r="U885" s="33"/>
      <c r="V885" s="33"/>
      <c r="W885" s="33"/>
    </row>
    <row r="886" spans="1:23" ht="16.5" customHeight="1" x14ac:dyDescent="0.2">
      <c r="A886" s="26" t="s">
        <v>3890</v>
      </c>
      <c r="B886" s="26" t="s">
        <v>3891</v>
      </c>
      <c r="C886" s="26" t="s">
        <v>98</v>
      </c>
      <c r="D886" s="26" t="s">
        <v>107</v>
      </c>
      <c r="E886" s="26" t="s">
        <v>39</v>
      </c>
      <c r="F886" s="28" t="e">
        <f ca="1">_xludf.ifna(VLOOKUP(G886,Proyectos!$A$2:$F$674,6,0),"")</f>
        <v>#NAME?</v>
      </c>
      <c r="G886" s="26" t="s">
        <v>5329</v>
      </c>
      <c r="H886" s="32">
        <v>0.5</v>
      </c>
      <c r="I886" s="31" t="s">
        <v>18</v>
      </c>
      <c r="J886" s="31" t="s">
        <v>12</v>
      </c>
      <c r="K886" s="32"/>
      <c r="L886" s="32" t="e">
        <f ca="1">_xludf.ifna(VLOOKUP(E886,Parámetros!$D$2:$E$34,2,0),"")</f>
        <v>#NAME?</v>
      </c>
      <c r="M886" s="32" t="e">
        <f ca="1">_xludf.ifna(VLOOKUP(G886,Proyectos!$A$2:$T$674,20,0),"")</f>
        <v>#NAME?</v>
      </c>
      <c r="N886" s="32" t="e">
        <f ca="1">_xludf.ifna(VLOOKUP(G886,Proyectos!$A$2:$S$674,19,0))</f>
        <v>#NAME?</v>
      </c>
      <c r="O886" s="31"/>
      <c r="P886" s="31"/>
      <c r="Q886" s="33"/>
      <c r="R886" s="33"/>
      <c r="S886" s="33"/>
      <c r="T886" s="33"/>
      <c r="U886" s="33"/>
      <c r="V886" s="33"/>
      <c r="W886" s="33"/>
    </row>
    <row r="887" spans="1:23" ht="16.5" customHeight="1" x14ac:dyDescent="0.2">
      <c r="A887" s="26" t="s">
        <v>3890</v>
      </c>
      <c r="B887" s="26" t="s">
        <v>3891</v>
      </c>
      <c r="C887" s="26" t="s">
        <v>98</v>
      </c>
      <c r="D887" s="26" t="s">
        <v>107</v>
      </c>
      <c r="E887" s="26" t="s">
        <v>39</v>
      </c>
      <c r="F887" s="28" t="e">
        <f ca="1">_xludf.ifna(VLOOKUP(G887,Proyectos!$A$2:$F$674,6,0),"")</f>
        <v>#NAME?</v>
      </c>
      <c r="G887" s="26" t="s">
        <v>5347</v>
      </c>
      <c r="H887" s="32">
        <v>0.5</v>
      </c>
      <c r="I887" s="31" t="s">
        <v>18</v>
      </c>
      <c r="J887" s="31" t="s">
        <v>12</v>
      </c>
      <c r="K887" s="32"/>
      <c r="L887" s="32" t="e">
        <f ca="1">_xludf.ifna(VLOOKUP(E887,Parámetros!$D$2:$E$34,2,0),"")</f>
        <v>#NAME?</v>
      </c>
      <c r="M887" s="32" t="e">
        <f ca="1">_xludf.ifna(VLOOKUP(G887,Proyectos!$A$2:$T$674,20,0),"")</f>
        <v>#NAME?</v>
      </c>
      <c r="N887" s="32" t="e">
        <f ca="1">_xludf.ifna(VLOOKUP(G887,Proyectos!$A$2:$S$674,19,0))</f>
        <v>#NAME?</v>
      </c>
      <c r="O887" s="31"/>
      <c r="P887" s="31"/>
      <c r="Q887" s="33"/>
      <c r="R887" s="33"/>
      <c r="S887" s="33"/>
      <c r="T887" s="33"/>
      <c r="U887" s="33"/>
      <c r="V887" s="33"/>
      <c r="W887" s="33"/>
    </row>
    <row r="888" spans="1:23" ht="16.5" customHeight="1" x14ac:dyDescent="0.2">
      <c r="A888" s="26" t="s">
        <v>4972</v>
      </c>
      <c r="B888" s="26" t="s">
        <v>4973</v>
      </c>
      <c r="C888" s="26" t="s">
        <v>98</v>
      </c>
      <c r="D888" s="26" t="s">
        <v>107</v>
      </c>
      <c r="E888" s="26" t="s">
        <v>87</v>
      </c>
      <c r="F888" s="28" t="e">
        <f ca="1">_xludf.ifna(VLOOKUP(G888,Proyectos!$A$2:$F$674,6,0),"")</f>
        <v>#NAME?</v>
      </c>
      <c r="G888" s="26" t="s">
        <v>5347</v>
      </c>
      <c r="H888" s="32">
        <v>1</v>
      </c>
      <c r="I888" s="31" t="s">
        <v>18</v>
      </c>
      <c r="J888" s="31" t="s">
        <v>12</v>
      </c>
      <c r="K888" s="32"/>
      <c r="L888" s="32" t="e">
        <f ca="1">_xludf.ifna(VLOOKUP(E888,Parámetros!$D$2:$E$34,2,0),"")</f>
        <v>#NAME?</v>
      </c>
      <c r="M888" s="32" t="e">
        <f ca="1">_xludf.ifna(VLOOKUP(G888,Proyectos!$A$2:$T$674,20,0),"")</f>
        <v>#NAME?</v>
      </c>
      <c r="N888" s="32" t="e">
        <f ca="1">_xludf.ifna(VLOOKUP(G888,Proyectos!$A$2:$S$674,19,0))</f>
        <v>#NAME?</v>
      </c>
      <c r="O888" s="31"/>
      <c r="P888" s="31"/>
      <c r="Q888" s="33"/>
      <c r="R888" s="33"/>
      <c r="S888" s="33"/>
      <c r="T888" s="33"/>
      <c r="U888" s="33"/>
      <c r="V888" s="33"/>
      <c r="W888" s="33"/>
    </row>
    <row r="889" spans="1:23" ht="16.5" customHeight="1" x14ac:dyDescent="0.2">
      <c r="A889" s="26" t="s">
        <v>199</v>
      </c>
      <c r="B889" s="26" t="s">
        <v>3293</v>
      </c>
      <c r="C889" s="26" t="s">
        <v>98</v>
      </c>
      <c r="D889" s="26" t="s">
        <v>107</v>
      </c>
      <c r="E889" s="26" t="s">
        <v>87</v>
      </c>
      <c r="F889" s="28" t="e">
        <f ca="1">_xludf.ifna(VLOOKUP(G889,Proyectos!$A$2:$F$674,6,0),"")</f>
        <v>#NAME?</v>
      </c>
      <c r="G889" s="26" t="s">
        <v>5347</v>
      </c>
      <c r="H889" s="32">
        <v>1</v>
      </c>
      <c r="I889" s="31" t="s">
        <v>18</v>
      </c>
      <c r="J889" s="31" t="s">
        <v>72</v>
      </c>
      <c r="K889" s="32"/>
      <c r="L889" s="32" t="e">
        <f ca="1">_xludf.ifna(VLOOKUP(E889,Parámetros!$D$2:$E$34,2,0),"")</f>
        <v>#NAME?</v>
      </c>
      <c r="M889" s="32" t="e">
        <f ca="1">_xludf.ifna(VLOOKUP(G889,Proyectos!$A$2:$T$674,20,0),"")</f>
        <v>#NAME?</v>
      </c>
      <c r="N889" s="32" t="e">
        <f ca="1">_xludf.ifna(VLOOKUP(G889,Proyectos!$A$2:$S$674,19,0))</f>
        <v>#NAME?</v>
      </c>
      <c r="O889" s="31"/>
      <c r="P889" s="31"/>
      <c r="Q889" s="33"/>
      <c r="R889" s="33"/>
      <c r="S889" s="33"/>
      <c r="T889" s="33"/>
      <c r="U889" s="33"/>
      <c r="V889" s="33"/>
      <c r="W889" s="33"/>
    </row>
    <row r="890" spans="1:23" ht="16.5" customHeight="1" x14ac:dyDescent="0.2">
      <c r="A890" s="84" t="s">
        <v>4104</v>
      </c>
      <c r="B890" s="26" t="s">
        <v>4105</v>
      </c>
      <c r="C890" s="66" t="s">
        <v>37</v>
      </c>
      <c r="D890" s="66" t="s">
        <v>52</v>
      </c>
      <c r="E890" s="66" t="s">
        <v>108</v>
      </c>
      <c r="F890" s="28" t="e">
        <f ca="1">_xludf.ifna(VLOOKUP(G890,Proyectos!$A$2:$F$674,6,0),"")</f>
        <v>#NAME?</v>
      </c>
      <c r="G890" s="66" t="s">
        <v>5348</v>
      </c>
      <c r="H890" s="69">
        <v>0.5</v>
      </c>
      <c r="I890" s="31" t="s">
        <v>32</v>
      </c>
      <c r="J890" s="66" t="s">
        <v>41</v>
      </c>
      <c r="K890" s="69"/>
      <c r="L890" s="32" t="e">
        <f ca="1">_xludf.ifna(VLOOKUP(E890,Parámetros!$D$2:$E$34,2,0),"")</f>
        <v>#NAME?</v>
      </c>
      <c r="M890" s="32" t="e">
        <f ca="1">_xludf.ifna(VLOOKUP(G890,Proyectos!$A$2:$T$674,20,0),"")</f>
        <v>#NAME?</v>
      </c>
      <c r="N890" s="32" t="e">
        <f ca="1">_xludf.ifna(VLOOKUP(G890,Proyectos!$A$2:$S$674,19,0))</f>
        <v>#NAME?</v>
      </c>
      <c r="O890" s="31"/>
      <c r="P890" s="31"/>
      <c r="Q890" s="33"/>
      <c r="R890" s="33"/>
      <c r="S890" s="33"/>
      <c r="T890" s="33"/>
      <c r="U890" s="33"/>
      <c r="V890" s="33"/>
      <c r="W890" s="33"/>
    </row>
    <row r="891" spans="1:23" ht="16.5" customHeight="1" x14ac:dyDescent="0.2">
      <c r="A891" s="35" t="s">
        <v>4591</v>
      </c>
      <c r="B891" s="85" t="s">
        <v>5349</v>
      </c>
      <c r="C891" s="66" t="s">
        <v>37</v>
      </c>
      <c r="D891" s="66" t="s">
        <v>52</v>
      </c>
      <c r="E891" s="26" t="s">
        <v>53</v>
      </c>
      <c r="F891" s="28" t="e">
        <f ca="1">_xludf.ifna(VLOOKUP(G891,Proyectos!$A$2:$F$674,6,0),"")</f>
        <v>#NAME?</v>
      </c>
      <c r="G891" s="26" t="s">
        <v>5150</v>
      </c>
      <c r="H891" s="32">
        <v>1</v>
      </c>
      <c r="I891" s="31" t="s">
        <v>32</v>
      </c>
      <c r="J891" s="66" t="s">
        <v>41</v>
      </c>
      <c r="K891" s="32"/>
      <c r="L891" s="32" t="e">
        <f ca="1">_xludf.ifna(VLOOKUP(E891,Parámetros!$D$2:$E$34,2,0),"")</f>
        <v>#NAME?</v>
      </c>
      <c r="M891" s="32" t="e">
        <f ca="1">_xludf.ifna(VLOOKUP(G891,Proyectos!$A$2:$T$674,20,0),"")</f>
        <v>#NAME?</v>
      </c>
      <c r="N891" s="32" t="e">
        <f ca="1">_xludf.ifna(VLOOKUP(G891,Proyectos!$A$2:$S$674,19,0))</f>
        <v>#NAME?</v>
      </c>
      <c r="O891" s="31"/>
      <c r="P891" s="31"/>
      <c r="Q891" s="33"/>
      <c r="R891" s="33"/>
      <c r="S891" s="33"/>
      <c r="T891" s="33"/>
      <c r="U891" s="33"/>
      <c r="V891" s="33"/>
      <c r="W891" s="33"/>
    </row>
    <row r="892" spans="1:23" ht="16.5" customHeight="1" x14ac:dyDescent="0.2">
      <c r="A892" s="35" t="s">
        <v>4547</v>
      </c>
      <c r="B892" s="85" t="s">
        <v>5350</v>
      </c>
      <c r="C892" s="66" t="s">
        <v>37</v>
      </c>
      <c r="D892" s="66" t="s">
        <v>52</v>
      </c>
      <c r="E892" s="26" t="s">
        <v>53</v>
      </c>
      <c r="F892" s="28" t="e">
        <f ca="1">_xludf.ifna(VLOOKUP(G892,Proyectos!$A$2:$F$674,6,0),"")</f>
        <v>#NAME?</v>
      </c>
      <c r="G892" s="29" t="s">
        <v>5114</v>
      </c>
      <c r="H892" s="44">
        <v>0.75</v>
      </c>
      <c r="I892" s="31" t="s">
        <v>32</v>
      </c>
      <c r="J892" s="66" t="s">
        <v>41</v>
      </c>
      <c r="K892" s="51"/>
      <c r="L892" s="32" t="e">
        <f ca="1">_xludf.ifna(VLOOKUP(E892,Parámetros!$D$2:$E$34,2,0),"")</f>
        <v>#NAME?</v>
      </c>
      <c r="M892" s="32" t="e">
        <f ca="1">_xludf.ifna(VLOOKUP(G892,Proyectos!$A$2:$T$674,20,0),"")</f>
        <v>#NAME?</v>
      </c>
      <c r="N892" s="32" t="e">
        <f ca="1">_xludf.ifna(VLOOKUP(G892,Proyectos!$A$2:$S$674,19,0))</f>
        <v>#NAME?</v>
      </c>
      <c r="O892" s="31"/>
      <c r="P892" s="31"/>
      <c r="Q892" s="33"/>
      <c r="R892" s="33"/>
      <c r="S892" s="33"/>
      <c r="T892" s="33"/>
      <c r="U892" s="33"/>
      <c r="V892" s="33"/>
      <c r="W892" s="33"/>
    </row>
    <row r="893" spans="1:23" ht="16.5" customHeight="1" x14ac:dyDescent="0.2">
      <c r="A893" s="35" t="s">
        <v>4545</v>
      </c>
      <c r="B893" s="85" t="s">
        <v>5351</v>
      </c>
      <c r="C893" s="66" t="s">
        <v>37</v>
      </c>
      <c r="D893" s="66" t="s">
        <v>52</v>
      </c>
      <c r="E893" s="26" t="s">
        <v>53</v>
      </c>
      <c r="F893" s="28" t="e">
        <f ca="1">_xludf.ifna(VLOOKUP(G893,Proyectos!$A$2:$F$674,6,0),"")</f>
        <v>#NAME?</v>
      </c>
      <c r="G893" s="29" t="s">
        <v>5114</v>
      </c>
      <c r="H893" s="32">
        <v>0.75</v>
      </c>
      <c r="I893" s="31" t="s">
        <v>32</v>
      </c>
      <c r="J893" s="66" t="s">
        <v>41</v>
      </c>
      <c r="K893" s="32"/>
      <c r="L893" s="32" t="e">
        <f ca="1">_xludf.ifna(VLOOKUP(E893,Parámetros!$D$2:$E$34,2,0),"")</f>
        <v>#NAME?</v>
      </c>
      <c r="M893" s="32" t="e">
        <f ca="1">_xludf.ifna(VLOOKUP(G893,Proyectos!$A$2:$T$674,20,0),"")</f>
        <v>#NAME?</v>
      </c>
      <c r="N893" s="32" t="e">
        <f ca="1">_xludf.ifna(VLOOKUP(G893,Proyectos!$A$2:$S$674,19,0))</f>
        <v>#NAME?</v>
      </c>
      <c r="O893" s="32"/>
      <c r="P893" s="31"/>
      <c r="Q893" s="33"/>
      <c r="R893" s="33"/>
      <c r="S893" s="33"/>
      <c r="T893" s="33"/>
      <c r="U893" s="33"/>
      <c r="V893" s="33"/>
      <c r="W893" s="33"/>
    </row>
    <row r="894" spans="1:23" ht="16.5" customHeight="1" x14ac:dyDescent="0.2">
      <c r="A894" s="35" t="s">
        <v>4531</v>
      </c>
      <c r="B894" s="85" t="s">
        <v>5352</v>
      </c>
      <c r="C894" s="66" t="s">
        <v>37</v>
      </c>
      <c r="D894" s="66" t="s">
        <v>52</v>
      </c>
      <c r="E894" s="26" t="s">
        <v>53</v>
      </c>
      <c r="F894" s="28" t="e">
        <f ca="1">_xludf.ifna(VLOOKUP(G894,Proyectos!$A$2:$F$674,6,0),"")</f>
        <v>#NAME?</v>
      </c>
      <c r="G894" s="29" t="s">
        <v>5114</v>
      </c>
      <c r="H894" s="32">
        <v>0.75</v>
      </c>
      <c r="I894" s="31" t="s">
        <v>11</v>
      </c>
      <c r="J894" s="66" t="s">
        <v>41</v>
      </c>
      <c r="K894" s="32"/>
      <c r="L894" s="32" t="e">
        <f ca="1">_xludf.ifna(VLOOKUP(E894,Parámetros!$D$2:$E$34,2,0),"")</f>
        <v>#NAME?</v>
      </c>
      <c r="M894" s="32" t="e">
        <f ca="1">_xludf.ifna(VLOOKUP(G894,Proyectos!$A$2:$T$674,20,0),"")</f>
        <v>#NAME?</v>
      </c>
      <c r="N894" s="32" t="e">
        <f ca="1">_xludf.ifna(VLOOKUP(G894,Proyectos!$A$2:$S$674,19,0))</f>
        <v>#NAME?</v>
      </c>
      <c r="O894" s="31"/>
      <c r="P894" s="31"/>
      <c r="Q894" s="33"/>
      <c r="R894" s="33"/>
      <c r="S894" s="33"/>
      <c r="T894" s="33"/>
      <c r="U894" s="33"/>
      <c r="V894" s="33"/>
      <c r="W894" s="33"/>
    </row>
    <row r="895" spans="1:23" ht="16.5" customHeight="1" x14ac:dyDescent="0.2">
      <c r="A895" s="35" t="s">
        <v>4531</v>
      </c>
      <c r="B895" s="85" t="s">
        <v>5352</v>
      </c>
      <c r="C895" s="66" t="s">
        <v>37</v>
      </c>
      <c r="D895" s="66" t="s">
        <v>52</v>
      </c>
      <c r="E895" s="26" t="s">
        <v>53</v>
      </c>
      <c r="F895" s="28" t="e">
        <f ca="1">_xludf.ifna(VLOOKUP(G895,Proyectos!$A$2:$F$674,6,0),"")</f>
        <v>#NAME?</v>
      </c>
      <c r="G895" s="26" t="s">
        <v>5353</v>
      </c>
      <c r="H895" s="32">
        <v>0.25</v>
      </c>
      <c r="I895" s="31" t="s">
        <v>11</v>
      </c>
      <c r="J895" s="66" t="s">
        <v>41</v>
      </c>
      <c r="K895" s="32"/>
      <c r="L895" s="32" t="e">
        <f ca="1">_xludf.ifna(VLOOKUP(E895,Parámetros!$D$2:$E$34,2,0),"")</f>
        <v>#NAME?</v>
      </c>
      <c r="M895" s="32" t="e">
        <f ca="1">_xludf.ifna(VLOOKUP(G895,Proyectos!$A$2:$T$674,20,0),"")</f>
        <v>#NAME?</v>
      </c>
      <c r="N895" s="32" t="e">
        <f ca="1">_xludf.ifna(VLOOKUP(G895,Proyectos!$A$2:$S$674,19,0))</f>
        <v>#NAME?</v>
      </c>
      <c r="O895" s="32"/>
      <c r="P895" s="31"/>
      <c r="Q895" s="33"/>
      <c r="R895" s="33"/>
      <c r="S895" s="33"/>
      <c r="T895" s="33"/>
      <c r="U895" s="33"/>
      <c r="V895" s="33"/>
      <c r="W895" s="33"/>
    </row>
    <row r="896" spans="1:23" ht="16.5" customHeight="1" x14ac:dyDescent="0.2">
      <c r="A896" s="35" t="s">
        <v>4541</v>
      </c>
      <c r="B896" s="85" t="s">
        <v>5354</v>
      </c>
      <c r="C896" s="66" t="s">
        <v>37</v>
      </c>
      <c r="D896" s="66" t="s">
        <v>52</v>
      </c>
      <c r="E896" s="26" t="s">
        <v>53</v>
      </c>
      <c r="F896" s="28" t="e">
        <f ca="1">_xludf.ifna(VLOOKUP(G896,Proyectos!$A$2:$F$674,6,0),"")</f>
        <v>#NAME?</v>
      </c>
      <c r="G896" s="26" t="s">
        <v>5348</v>
      </c>
      <c r="H896" s="44">
        <v>0.25</v>
      </c>
      <c r="I896" s="31" t="s">
        <v>11</v>
      </c>
      <c r="J896" s="66" t="s">
        <v>41</v>
      </c>
      <c r="K896" s="32"/>
      <c r="L896" s="32" t="e">
        <f ca="1">_xludf.ifna(VLOOKUP(E896,Parámetros!$D$2:$E$34,2,0),"")</f>
        <v>#NAME?</v>
      </c>
      <c r="M896" s="32" t="e">
        <f ca="1">_xludf.ifna(VLOOKUP(G896,Proyectos!$A$2:$T$674,20,0),"")</f>
        <v>#NAME?</v>
      </c>
      <c r="N896" s="32" t="e">
        <f ca="1">_xludf.ifna(VLOOKUP(G896,Proyectos!$A$2:$S$674,19,0))</f>
        <v>#NAME?</v>
      </c>
      <c r="O896" s="32"/>
      <c r="P896" s="31"/>
      <c r="Q896" s="33"/>
      <c r="R896" s="33"/>
      <c r="S896" s="33"/>
      <c r="T896" s="33"/>
      <c r="U896" s="33"/>
      <c r="V896" s="33"/>
      <c r="W896" s="33"/>
    </row>
    <row r="897" spans="1:23" ht="16.5" customHeight="1" x14ac:dyDescent="0.2">
      <c r="A897" s="35" t="s">
        <v>4541</v>
      </c>
      <c r="B897" s="85" t="s">
        <v>5354</v>
      </c>
      <c r="C897" s="66" t="s">
        <v>37</v>
      </c>
      <c r="D897" s="66" t="s">
        <v>52</v>
      </c>
      <c r="E897" s="26" t="s">
        <v>53</v>
      </c>
      <c r="F897" s="28" t="e">
        <f ca="1">_xludf.ifna(VLOOKUP(G897,Proyectos!$A$2:$F$674,6,0),"")</f>
        <v>#NAME?</v>
      </c>
      <c r="G897" s="29" t="s">
        <v>5114</v>
      </c>
      <c r="H897" s="44">
        <v>0.25</v>
      </c>
      <c r="I897" s="31" t="s">
        <v>11</v>
      </c>
      <c r="J897" s="66" t="s">
        <v>41</v>
      </c>
      <c r="K897" s="32"/>
      <c r="L897" s="32" t="e">
        <f ca="1">_xludf.ifna(VLOOKUP(E897,Parámetros!$D$2:$E$34,2,0),"")</f>
        <v>#NAME?</v>
      </c>
      <c r="M897" s="32" t="e">
        <f ca="1">_xludf.ifna(VLOOKUP(G897,Proyectos!$A$2:$T$674,20,0),"")</f>
        <v>#NAME?</v>
      </c>
      <c r="N897" s="32" t="e">
        <f ca="1">_xludf.ifna(VLOOKUP(G897,Proyectos!$A$2:$S$674,19,0))</f>
        <v>#NAME?</v>
      </c>
      <c r="O897" s="32"/>
      <c r="P897" s="31"/>
      <c r="Q897" s="33"/>
      <c r="R897" s="33"/>
      <c r="S897" s="33"/>
      <c r="T897" s="33"/>
      <c r="U897" s="33"/>
      <c r="V897" s="33"/>
      <c r="W897" s="33"/>
    </row>
    <row r="898" spans="1:23" ht="16.5" customHeight="1" x14ac:dyDescent="0.2">
      <c r="A898" s="35" t="s">
        <v>4545</v>
      </c>
      <c r="B898" s="85" t="s">
        <v>5351</v>
      </c>
      <c r="C898" s="66" t="s">
        <v>37</v>
      </c>
      <c r="D898" s="66" t="s">
        <v>52</v>
      </c>
      <c r="E898" s="26" t="s">
        <v>53</v>
      </c>
      <c r="F898" s="28" t="e">
        <f ca="1">_xludf.ifna(VLOOKUP(G898,Proyectos!$A$2:$F$674,6,0),"")</f>
        <v>#NAME?</v>
      </c>
      <c r="G898" s="26" t="s">
        <v>5355</v>
      </c>
      <c r="H898" s="32">
        <v>0.25</v>
      </c>
      <c r="I898" s="31" t="s">
        <v>32</v>
      </c>
      <c r="J898" s="66" t="s">
        <v>41</v>
      </c>
      <c r="K898" s="32"/>
      <c r="L898" s="32" t="e">
        <f ca="1">_xludf.ifna(VLOOKUP(E898,Parámetros!$D$2:$E$34,2,0),"")</f>
        <v>#NAME?</v>
      </c>
      <c r="M898" s="32" t="e">
        <f ca="1">_xludf.ifna(VLOOKUP(G898,Proyectos!$A$2:$T$674,20,0),"")</f>
        <v>#NAME?</v>
      </c>
      <c r="N898" s="32" t="e">
        <f ca="1">_xludf.ifna(VLOOKUP(G898,Proyectos!$A$2:$S$674,19,0))</f>
        <v>#NAME?</v>
      </c>
      <c r="O898" s="32"/>
      <c r="P898" s="31"/>
      <c r="Q898" s="33"/>
      <c r="R898" s="33"/>
      <c r="S898" s="33"/>
      <c r="T898" s="33"/>
      <c r="U898" s="33"/>
      <c r="V898" s="33"/>
      <c r="W898" s="33"/>
    </row>
    <row r="899" spans="1:23" ht="16.5" customHeight="1" x14ac:dyDescent="0.2">
      <c r="A899" s="35" t="s">
        <v>4547</v>
      </c>
      <c r="B899" s="85" t="s">
        <v>5350</v>
      </c>
      <c r="C899" s="66" t="s">
        <v>37</v>
      </c>
      <c r="D899" s="66" t="s">
        <v>52</v>
      </c>
      <c r="E899" s="26" t="s">
        <v>53</v>
      </c>
      <c r="F899" s="28" t="e">
        <f ca="1">_xludf.ifna(VLOOKUP(G899,Proyectos!$A$2:$F$674,6,0),"")</f>
        <v>#NAME?</v>
      </c>
      <c r="G899" s="26" t="s">
        <v>5356</v>
      </c>
      <c r="H899" s="32">
        <v>0.25</v>
      </c>
      <c r="I899" s="31" t="s">
        <v>32</v>
      </c>
      <c r="J899" s="66" t="s">
        <v>41</v>
      </c>
      <c r="K899" s="32"/>
      <c r="L899" s="32" t="e">
        <f ca="1">_xludf.ifna(VLOOKUP(E899,Parámetros!$D$2:$E$34,2,0),"")</f>
        <v>#NAME?</v>
      </c>
      <c r="M899" s="32" t="e">
        <f ca="1">_xludf.ifna(VLOOKUP(G899,Proyectos!$A$2:$T$674,20,0),"")</f>
        <v>#NAME?</v>
      </c>
      <c r="N899" s="32" t="e">
        <f ca="1">_xludf.ifna(VLOOKUP(G899,Proyectos!$A$2:$S$674,19,0))</f>
        <v>#NAME?</v>
      </c>
      <c r="O899" s="32"/>
      <c r="P899" s="31"/>
      <c r="Q899" s="33"/>
      <c r="R899" s="33"/>
      <c r="S899" s="33"/>
      <c r="T899" s="33"/>
      <c r="U899" s="33"/>
      <c r="V899" s="33"/>
      <c r="W899" s="33"/>
    </row>
    <row r="900" spans="1:23" ht="16.5" customHeight="1" x14ac:dyDescent="0.2">
      <c r="A900" s="64" t="s">
        <v>5082</v>
      </c>
      <c r="B900" s="86" t="s">
        <v>5357</v>
      </c>
      <c r="C900" s="66" t="s">
        <v>37</v>
      </c>
      <c r="D900" s="66" t="s">
        <v>52</v>
      </c>
      <c r="E900" s="26" t="s">
        <v>53</v>
      </c>
      <c r="F900" s="28" t="e">
        <f ca="1">_xludf.ifna(VLOOKUP(G900,Proyectos!$A$2:$F$674,6,0),"")</f>
        <v>#NAME?</v>
      </c>
      <c r="G900" s="26" t="s">
        <v>5356</v>
      </c>
      <c r="H900" s="32">
        <v>1</v>
      </c>
      <c r="I900" s="31" t="s">
        <v>32</v>
      </c>
      <c r="J900" s="66" t="s">
        <v>41</v>
      </c>
      <c r="K900" s="32"/>
      <c r="L900" s="32" t="e">
        <f ca="1">_xludf.ifna(VLOOKUP(E900,Parámetros!$D$2:$E$34,2,0),"")</f>
        <v>#NAME?</v>
      </c>
      <c r="M900" s="32" t="e">
        <f ca="1">_xludf.ifna(VLOOKUP(G900,Proyectos!$A$2:$T$674,20,0),"")</f>
        <v>#NAME?</v>
      </c>
      <c r="N900" s="32" t="e">
        <f ca="1">_xludf.ifna(VLOOKUP(G900,Proyectos!$A$2:$S$674,19,0))</f>
        <v>#NAME?</v>
      </c>
      <c r="O900" s="32"/>
      <c r="P900" s="31"/>
      <c r="Q900" s="33"/>
      <c r="R900" s="33"/>
      <c r="S900" s="33"/>
      <c r="T900" s="33"/>
      <c r="U900" s="33"/>
      <c r="V900" s="33"/>
      <c r="W900" s="33"/>
    </row>
    <row r="901" spans="1:23" ht="16.5" customHeight="1" x14ac:dyDescent="0.2">
      <c r="A901" s="35" t="s">
        <v>4543</v>
      </c>
      <c r="B901" s="85" t="s">
        <v>5358</v>
      </c>
      <c r="C901" s="66" t="s">
        <v>37</v>
      </c>
      <c r="D901" s="66" t="s">
        <v>52</v>
      </c>
      <c r="E901" s="26" t="s">
        <v>53</v>
      </c>
      <c r="F901" s="28" t="e">
        <f ca="1">_xludf.ifna(VLOOKUP(G901,Proyectos!$A$2:$F$674,6,0),"")</f>
        <v>#NAME?</v>
      </c>
      <c r="G901" s="26" t="s">
        <v>5359</v>
      </c>
      <c r="H901" s="32">
        <v>0.25</v>
      </c>
      <c r="I901" s="31" t="s">
        <v>11</v>
      </c>
      <c r="J901" s="66" t="s">
        <v>41</v>
      </c>
      <c r="K901" s="32"/>
      <c r="L901" s="32" t="e">
        <f ca="1">_xludf.ifna(VLOOKUP(E901,Parámetros!$D$2:$E$34,2,0),"")</f>
        <v>#NAME?</v>
      </c>
      <c r="M901" s="32" t="e">
        <f ca="1">_xludf.ifna(VLOOKUP(G901,Proyectos!$A$2:$T$674,20,0),"")</f>
        <v>#NAME?</v>
      </c>
      <c r="N901" s="32" t="e">
        <f ca="1">_xludf.ifna(VLOOKUP(G901,Proyectos!$A$2:$S$674,19,0))</f>
        <v>#NAME?</v>
      </c>
      <c r="O901" s="32"/>
      <c r="P901" s="31"/>
      <c r="Q901" s="33"/>
      <c r="R901" s="33"/>
      <c r="S901" s="33"/>
      <c r="T901" s="33"/>
      <c r="U901" s="33"/>
      <c r="V901" s="33"/>
      <c r="W901" s="33"/>
    </row>
    <row r="902" spans="1:23" ht="16.5" customHeight="1" x14ac:dyDescent="0.2">
      <c r="A902" s="35" t="s">
        <v>4543</v>
      </c>
      <c r="B902" s="85" t="s">
        <v>5358</v>
      </c>
      <c r="C902" s="66" t="s">
        <v>37</v>
      </c>
      <c r="D902" s="66" t="s">
        <v>52</v>
      </c>
      <c r="E902" s="26" t="s">
        <v>53</v>
      </c>
      <c r="F902" s="28" t="e">
        <f ca="1">_xludf.ifna(VLOOKUP(G902,Proyectos!$A$2:$F$674,6,0),"")</f>
        <v>#NAME?</v>
      </c>
      <c r="G902" s="29" t="s">
        <v>5114</v>
      </c>
      <c r="H902" s="32">
        <v>0.75</v>
      </c>
      <c r="I902" s="31" t="s">
        <v>32</v>
      </c>
      <c r="J902" s="66" t="s">
        <v>41</v>
      </c>
      <c r="K902" s="32"/>
      <c r="L902" s="32" t="e">
        <f ca="1">_xludf.ifna(VLOOKUP(E902,Parámetros!$D$2:$E$34,2,0),"")</f>
        <v>#NAME?</v>
      </c>
      <c r="M902" s="32" t="e">
        <f ca="1">_xludf.ifna(VLOOKUP(G902,Proyectos!$A$2:$T$674,20,0),"")</f>
        <v>#NAME?</v>
      </c>
      <c r="N902" s="32" t="e">
        <f ca="1">_xludf.ifna(VLOOKUP(G902,Proyectos!$A$2:$S$674,19,0))</f>
        <v>#NAME?</v>
      </c>
      <c r="O902" s="31"/>
      <c r="P902" s="31"/>
      <c r="Q902" s="33"/>
      <c r="R902" s="33"/>
      <c r="S902" s="33"/>
      <c r="T902" s="33"/>
      <c r="U902" s="33"/>
      <c r="V902" s="33"/>
      <c r="W902" s="33"/>
    </row>
    <row r="903" spans="1:23" ht="16.5" customHeight="1" x14ac:dyDescent="0.2">
      <c r="A903" s="35" t="s">
        <v>4539</v>
      </c>
      <c r="B903" s="85" t="s">
        <v>5360</v>
      </c>
      <c r="C903" s="66" t="s">
        <v>37</v>
      </c>
      <c r="D903" s="66" t="s">
        <v>52</v>
      </c>
      <c r="E903" s="26" t="s">
        <v>53</v>
      </c>
      <c r="F903" s="28" t="e">
        <f ca="1">_xludf.ifna(VLOOKUP(G903,Proyectos!$A$2:$F$674,6,0),"")</f>
        <v>#NAME?</v>
      </c>
      <c r="G903" s="29" t="s">
        <v>5114</v>
      </c>
      <c r="H903" s="32">
        <v>1</v>
      </c>
      <c r="I903" s="31" t="s">
        <v>32</v>
      </c>
      <c r="J903" s="66" t="s">
        <v>41</v>
      </c>
      <c r="K903" s="32"/>
      <c r="L903" s="32" t="e">
        <f ca="1">_xludf.ifna(VLOOKUP(E903,Parámetros!$D$2:$E$34,2,0),"")</f>
        <v>#NAME?</v>
      </c>
      <c r="M903" s="32" t="e">
        <f ca="1">_xludf.ifna(VLOOKUP(G903,Proyectos!$A$2:$T$674,20,0),"")</f>
        <v>#NAME?</v>
      </c>
      <c r="N903" s="32" t="e">
        <f ca="1">_xludf.ifna(VLOOKUP(G903,Proyectos!$A$2:$S$674,19,0))</f>
        <v>#NAME?</v>
      </c>
      <c r="O903" s="31"/>
      <c r="P903" s="31"/>
      <c r="Q903" s="33"/>
      <c r="R903" s="33"/>
      <c r="S903" s="33"/>
      <c r="T903" s="33"/>
      <c r="U903" s="33"/>
      <c r="V903" s="33"/>
      <c r="W903" s="33"/>
    </row>
    <row r="904" spans="1:23" ht="16.5" customHeight="1" x14ac:dyDescent="0.2">
      <c r="A904" s="35" t="s">
        <v>4541</v>
      </c>
      <c r="B904" s="85" t="s">
        <v>5354</v>
      </c>
      <c r="C904" s="66" t="s">
        <v>37</v>
      </c>
      <c r="D904" s="66" t="s">
        <v>52</v>
      </c>
      <c r="E904" s="26" t="s">
        <v>53</v>
      </c>
      <c r="F904" s="28" t="e">
        <f ca="1">_xludf.ifna(VLOOKUP(G904,Proyectos!$A$2:$F$674,6,0),"")</f>
        <v>#NAME?</v>
      </c>
      <c r="G904" s="26" t="s">
        <v>5361</v>
      </c>
      <c r="H904" s="32">
        <v>0.16</v>
      </c>
      <c r="I904" s="31" t="s">
        <v>11</v>
      </c>
      <c r="J904" s="66" t="s">
        <v>41</v>
      </c>
      <c r="K904" s="32"/>
      <c r="L904" s="32" t="e">
        <f ca="1">_xludf.ifna(VLOOKUP(E904,Parámetros!$D$2:$E$34,2,0),"")</f>
        <v>#NAME?</v>
      </c>
      <c r="M904" s="32" t="e">
        <f ca="1">_xludf.ifna(VLOOKUP(G904,Proyectos!$A$2:$T$674,20,0),"")</f>
        <v>#NAME?</v>
      </c>
      <c r="N904" s="32" t="e">
        <f ca="1">_xludf.ifna(VLOOKUP(G904,Proyectos!$A$2:$S$674,19,0))</f>
        <v>#NAME?</v>
      </c>
      <c r="O904" s="31"/>
      <c r="P904" s="31"/>
      <c r="Q904" s="33"/>
      <c r="R904" s="33"/>
      <c r="S904" s="33"/>
      <c r="T904" s="33"/>
      <c r="U904" s="33"/>
      <c r="V904" s="33"/>
      <c r="W904" s="33"/>
    </row>
    <row r="905" spans="1:23" ht="16.5" customHeight="1" x14ac:dyDescent="0.2">
      <c r="A905" s="35" t="s">
        <v>4340</v>
      </c>
      <c r="B905" s="35" t="s">
        <v>5362</v>
      </c>
      <c r="C905" s="66" t="s">
        <v>37</v>
      </c>
      <c r="D905" s="66" t="s">
        <v>52</v>
      </c>
      <c r="E905" s="26" t="s">
        <v>53</v>
      </c>
      <c r="F905" s="28" t="e">
        <f ca="1">_xludf.ifna(VLOOKUP(G905,Proyectos!$A$2:$F$674,6,0),"")</f>
        <v>#NAME?</v>
      </c>
      <c r="G905" s="29" t="s">
        <v>5114</v>
      </c>
      <c r="H905" s="32">
        <v>1</v>
      </c>
      <c r="I905" s="31" t="s">
        <v>25</v>
      </c>
      <c r="J905" s="31" t="s">
        <v>41</v>
      </c>
      <c r="K905" s="32"/>
      <c r="L905" s="32" t="e">
        <f ca="1">_xludf.ifna(VLOOKUP(E905,Parámetros!$D$2:$E$34,2,0),"")</f>
        <v>#NAME?</v>
      </c>
      <c r="M905" s="32" t="e">
        <f ca="1">_xludf.ifna(VLOOKUP(G905,Proyectos!$A$2:$T$674,20,0),"")</f>
        <v>#NAME?</v>
      </c>
      <c r="N905" s="32" t="e">
        <f ca="1">_xludf.ifna(VLOOKUP(G905,Proyectos!$A$2:$S$674,19,0))</f>
        <v>#NAME?</v>
      </c>
      <c r="O905" s="32"/>
      <c r="P905" s="31"/>
      <c r="Q905" s="33"/>
      <c r="R905" s="33"/>
      <c r="S905" s="33"/>
      <c r="T905" s="33"/>
      <c r="U905" s="33"/>
      <c r="V905" s="33"/>
      <c r="W905" s="33"/>
    </row>
    <row r="906" spans="1:23" ht="16.5" customHeight="1" x14ac:dyDescent="0.2">
      <c r="A906" s="84" t="s">
        <v>4104</v>
      </c>
      <c r="B906" s="26" t="s">
        <v>4105</v>
      </c>
      <c r="C906" s="66" t="s">
        <v>37</v>
      </c>
      <c r="D906" s="66" t="s">
        <v>52</v>
      </c>
      <c r="E906" s="66" t="s">
        <v>108</v>
      </c>
      <c r="F906" s="28" t="e">
        <f ca="1">_xludf.ifna(VLOOKUP(G906,Proyectos!$A$2:$F$674,6,0),"")</f>
        <v>#NAME?</v>
      </c>
      <c r="G906" s="29" t="s">
        <v>5114</v>
      </c>
      <c r="H906" s="32">
        <v>0.5</v>
      </c>
      <c r="I906" s="31" t="s">
        <v>32</v>
      </c>
      <c r="J906" s="32"/>
      <c r="K906" s="32"/>
      <c r="L906" s="32" t="e">
        <f ca="1">_xludf.ifna(VLOOKUP(E906,Parámetros!$D$2:$E$34,2,0),"")</f>
        <v>#NAME?</v>
      </c>
      <c r="M906" s="32" t="e">
        <f ca="1">_xludf.ifna(VLOOKUP(G906,Proyectos!$A$2:$T$674,20,0),"")</f>
        <v>#NAME?</v>
      </c>
      <c r="N906" s="32" t="e">
        <f ca="1">_xludf.ifna(VLOOKUP(G906,Proyectos!$A$2:$S$674,19,0))</f>
        <v>#NAME?</v>
      </c>
      <c r="O906" s="31"/>
      <c r="P906" s="31"/>
      <c r="Q906" s="33"/>
      <c r="R906" s="33"/>
      <c r="S906" s="33"/>
      <c r="T906" s="33"/>
      <c r="U906" s="33"/>
      <c r="V906" s="33"/>
      <c r="W906" s="33"/>
    </row>
    <row r="907" spans="1:23" ht="16.5" customHeight="1" x14ac:dyDescent="0.2">
      <c r="A907" s="54" t="s">
        <v>4661</v>
      </c>
      <c r="B907" s="35" t="s">
        <v>4662</v>
      </c>
      <c r="C907" s="35" t="s">
        <v>64</v>
      </c>
      <c r="D907" s="35" t="s">
        <v>95</v>
      </c>
      <c r="E907" s="54" t="s">
        <v>39</v>
      </c>
      <c r="F907" s="28" t="e">
        <f ca="1">_xludf.ifna(VLOOKUP(G907,Proyectos!$A$2:$F$674,6,0),"")</f>
        <v>#NAME?</v>
      </c>
      <c r="G907" s="29" t="s">
        <v>5363</v>
      </c>
      <c r="H907" s="30">
        <v>0.25</v>
      </c>
      <c r="I907" s="31" t="s">
        <v>11</v>
      </c>
      <c r="J907" s="31" t="s">
        <v>61</v>
      </c>
      <c r="K907" s="31" t="s">
        <v>4445</v>
      </c>
      <c r="L907" s="32" t="e">
        <f ca="1">_xludf.ifna(VLOOKUP(E907,Parámetros!$D$2:$E$34,2,0),"")</f>
        <v>#NAME?</v>
      </c>
      <c r="M907" s="32" t="e">
        <f ca="1">_xludf.ifna(VLOOKUP(G907,Proyectos!$A$2:$T$674,20,0),"")</f>
        <v>#NAME?</v>
      </c>
      <c r="N907" s="32" t="e">
        <f ca="1">_xludf.ifna(VLOOKUP(G907,Proyectos!$A$2:$S$674,19,0))</f>
        <v>#NAME?</v>
      </c>
      <c r="O907" s="32"/>
      <c r="P907" s="31"/>
      <c r="Q907" s="33"/>
      <c r="R907" s="33">
        <v>3</v>
      </c>
      <c r="S907" s="33">
        <v>15</v>
      </c>
      <c r="T907" s="33"/>
      <c r="U907" s="33"/>
      <c r="V907" s="33"/>
      <c r="W907" s="33"/>
    </row>
    <row r="908" spans="1:23" ht="16.5" customHeight="1" x14ac:dyDescent="0.2">
      <c r="A908" s="54" t="s">
        <v>4661</v>
      </c>
      <c r="B908" s="35" t="s">
        <v>4662</v>
      </c>
      <c r="C908" s="35" t="s">
        <v>64</v>
      </c>
      <c r="D908" s="35" t="s">
        <v>95</v>
      </c>
      <c r="E908" s="54" t="s">
        <v>39</v>
      </c>
      <c r="F908" s="28" t="e">
        <f ca="1">_xludf.ifna(VLOOKUP(G908,Proyectos!$A$2:$F$674,6,0),"")</f>
        <v>#NAME?</v>
      </c>
      <c r="G908" s="29" t="s">
        <v>5364</v>
      </c>
      <c r="H908" s="30">
        <v>0.3</v>
      </c>
      <c r="I908" s="31" t="s">
        <v>11</v>
      </c>
      <c r="J908" s="31" t="s">
        <v>26</v>
      </c>
      <c r="K908" s="31" t="s">
        <v>5365</v>
      </c>
      <c r="L908" s="32" t="e">
        <f ca="1">_xludf.ifna(VLOOKUP(E908,Parámetros!$D$2:$E$34,2,0),"")</f>
        <v>#NAME?</v>
      </c>
      <c r="M908" s="32" t="e">
        <f ca="1">_xludf.ifna(VLOOKUP(G908,Proyectos!$A$2:$T$674,20,0),"")</f>
        <v>#NAME?</v>
      </c>
      <c r="N908" s="32" t="e">
        <f ca="1">_xludf.ifna(VLOOKUP(G908,Proyectos!$A$2:$S$674,19,0))</f>
        <v>#NAME?</v>
      </c>
      <c r="O908" s="32"/>
      <c r="P908" s="31"/>
      <c r="Q908" s="33"/>
      <c r="R908" s="33">
        <v>3</v>
      </c>
      <c r="S908" s="33">
        <v>11</v>
      </c>
      <c r="T908" s="33"/>
      <c r="U908" s="33"/>
      <c r="V908" s="33"/>
      <c r="W908" s="33"/>
    </row>
    <row r="909" spans="1:23" ht="16.5" customHeight="1" x14ac:dyDescent="0.2">
      <c r="A909" s="54" t="s">
        <v>4661</v>
      </c>
      <c r="B909" s="35" t="s">
        <v>4662</v>
      </c>
      <c r="C909" s="35" t="s">
        <v>64</v>
      </c>
      <c r="D909" s="35" t="s">
        <v>95</v>
      </c>
      <c r="E909" s="54" t="s">
        <v>39</v>
      </c>
      <c r="F909" s="28" t="e">
        <f ca="1">_xludf.ifna(VLOOKUP(G909,Proyectos!$A$2:$F$674,6,0),"")</f>
        <v>#NAME?</v>
      </c>
      <c r="G909" s="29" t="s">
        <v>5366</v>
      </c>
      <c r="H909" s="30">
        <v>0.3</v>
      </c>
      <c r="I909" s="31" t="s">
        <v>11</v>
      </c>
      <c r="J909" s="31" t="s">
        <v>26</v>
      </c>
      <c r="K909" s="31" t="s">
        <v>5365</v>
      </c>
      <c r="L909" s="32" t="e">
        <f ca="1">_xludf.ifna(VLOOKUP(E909,Parámetros!$D$2:$E$34,2,0),"")</f>
        <v>#NAME?</v>
      </c>
      <c r="M909" s="32" t="e">
        <f ca="1">_xludf.ifna(VLOOKUP(G909,Proyectos!$A$2:$T$674,20,0),"")</f>
        <v>#NAME?</v>
      </c>
      <c r="N909" s="32" t="e">
        <f ca="1">_xludf.ifna(VLOOKUP(G909,Proyectos!$A$2:$S$674,19,0))</f>
        <v>#NAME?</v>
      </c>
      <c r="O909" s="32"/>
      <c r="P909" s="31"/>
      <c r="Q909" s="33"/>
      <c r="R909" s="33">
        <v>1</v>
      </c>
      <c r="S909" s="33">
        <v>12</v>
      </c>
      <c r="T909" s="33"/>
      <c r="U909" s="33"/>
      <c r="V909" s="33"/>
      <c r="W909" s="33"/>
    </row>
    <row r="910" spans="1:23" ht="16.5" customHeight="1" x14ac:dyDescent="0.2">
      <c r="A910" s="54" t="s">
        <v>4661</v>
      </c>
      <c r="B910" s="35" t="s">
        <v>4662</v>
      </c>
      <c r="C910" s="35" t="s">
        <v>64</v>
      </c>
      <c r="D910" s="35" t="s">
        <v>95</v>
      </c>
      <c r="E910" s="54" t="s">
        <v>39</v>
      </c>
      <c r="F910" s="28" t="e">
        <f ca="1">_xludf.ifna(VLOOKUP(G910,Proyectos!$A$2:$F$674,6,0),"")</f>
        <v>#NAME?</v>
      </c>
      <c r="G910" s="29" t="s">
        <v>5114</v>
      </c>
      <c r="H910" s="30">
        <v>0.1</v>
      </c>
      <c r="I910" s="31" t="s">
        <v>11</v>
      </c>
      <c r="J910" s="31" t="s">
        <v>61</v>
      </c>
      <c r="K910" s="31" t="s">
        <v>4445</v>
      </c>
      <c r="L910" s="32" t="e">
        <f ca="1">_xludf.ifna(VLOOKUP(E910,Parámetros!$D$2:$E$34,2,0),"")</f>
        <v>#NAME?</v>
      </c>
      <c r="M910" s="32" t="e">
        <f ca="1">_xludf.ifna(VLOOKUP(G910,Proyectos!$A$2:$T$674,20,0),"")</f>
        <v>#NAME?</v>
      </c>
      <c r="N910" s="32" t="e">
        <f ca="1">_xludf.ifna(VLOOKUP(G910,Proyectos!$A$2:$S$674,19,0))</f>
        <v>#NAME?</v>
      </c>
      <c r="O910" s="31"/>
      <c r="P910" s="31"/>
      <c r="Q910" s="33"/>
      <c r="R910" s="33"/>
      <c r="S910" s="33"/>
      <c r="T910" s="33"/>
      <c r="U910" s="33"/>
      <c r="V910" s="33"/>
      <c r="W910" s="33"/>
    </row>
    <row r="911" spans="1:23" ht="16.5" customHeight="1" x14ac:dyDescent="0.2">
      <c r="A911" s="54" t="s">
        <v>3574</v>
      </c>
      <c r="B911" s="35" t="s">
        <v>3575</v>
      </c>
      <c r="C911" s="35" t="s">
        <v>64</v>
      </c>
      <c r="D911" s="35" t="s">
        <v>95</v>
      </c>
      <c r="E911" s="54" t="s">
        <v>39</v>
      </c>
      <c r="F911" s="28" t="e">
        <f ca="1">_xludf.ifna(VLOOKUP(G911,Proyectos!$A$2:$F$674,6,0),"")</f>
        <v>#NAME?</v>
      </c>
      <c r="G911" s="38" t="s">
        <v>5363</v>
      </c>
      <c r="H911" s="30">
        <v>1</v>
      </c>
      <c r="I911" s="31" t="s">
        <v>18</v>
      </c>
      <c r="J911" s="31" t="s">
        <v>61</v>
      </c>
      <c r="K911" s="32"/>
      <c r="L911" s="32" t="e">
        <f ca="1">_xludf.ifna(VLOOKUP(E911,Parámetros!$D$2:$E$34,2,0),"")</f>
        <v>#NAME?</v>
      </c>
      <c r="M911" s="32" t="e">
        <f ca="1">_xludf.ifna(VLOOKUP(G911,Proyectos!$A$2:$T$674,20,0),"")</f>
        <v>#NAME?</v>
      </c>
      <c r="N911" s="32" t="e">
        <f ca="1">_xludf.ifna(VLOOKUP(G911,Proyectos!$A$2:$S$674,19,0))</f>
        <v>#NAME?</v>
      </c>
      <c r="O911" s="32"/>
      <c r="P911" s="31"/>
      <c r="Q911" s="33"/>
      <c r="R911" s="33"/>
      <c r="S911" s="33"/>
      <c r="T911" s="33"/>
      <c r="U911" s="33"/>
      <c r="V911" s="33"/>
      <c r="W911" s="33"/>
    </row>
    <row r="912" spans="1:23" ht="16.5" customHeight="1" x14ac:dyDescent="0.2">
      <c r="A912" s="54" t="s">
        <v>3596</v>
      </c>
      <c r="B912" s="35" t="s">
        <v>3597</v>
      </c>
      <c r="C912" s="35" t="s">
        <v>64</v>
      </c>
      <c r="D912" s="35" t="s">
        <v>95</v>
      </c>
      <c r="E912" s="54" t="s">
        <v>39</v>
      </c>
      <c r="F912" s="28" t="e">
        <f ca="1">_xludf.ifna(VLOOKUP(G912,Proyectos!$A$2:$F$674,6,0),"")</f>
        <v>#NAME?</v>
      </c>
      <c r="G912" s="38" t="s">
        <v>5364</v>
      </c>
      <c r="H912" s="30">
        <v>1</v>
      </c>
      <c r="I912" s="31" t="s">
        <v>18</v>
      </c>
      <c r="J912" s="31" t="s">
        <v>61</v>
      </c>
      <c r="K912" s="32"/>
      <c r="L912" s="32" t="e">
        <f ca="1">_xludf.ifna(VLOOKUP(E912,Parámetros!$D$2:$E$34,2,0),"")</f>
        <v>#NAME?</v>
      </c>
      <c r="M912" s="32" t="e">
        <f ca="1">_xludf.ifna(VLOOKUP(G912,Proyectos!$A$2:$T$674,20,0),"")</f>
        <v>#NAME?</v>
      </c>
      <c r="N912" s="32" t="e">
        <f ca="1">_xludf.ifna(VLOOKUP(G912,Proyectos!$A$2:$S$674,19,0))</f>
        <v>#NAME?</v>
      </c>
      <c r="O912" s="31"/>
      <c r="P912" s="31"/>
      <c r="Q912" s="33"/>
      <c r="R912" s="33"/>
      <c r="S912" s="33"/>
      <c r="T912" s="33"/>
      <c r="U912" s="33"/>
      <c r="V912" s="33"/>
      <c r="W912" s="33"/>
    </row>
    <row r="913" spans="1:23" ht="16.5" customHeight="1" x14ac:dyDescent="0.2">
      <c r="A913" s="54" t="s">
        <v>3737</v>
      </c>
      <c r="B913" s="35" t="s">
        <v>3738</v>
      </c>
      <c r="C913" s="35" t="s">
        <v>64</v>
      </c>
      <c r="D913" s="35" t="s">
        <v>95</v>
      </c>
      <c r="E913" s="54" t="s">
        <v>39</v>
      </c>
      <c r="F913" s="28" t="e">
        <f ca="1">_xludf.ifna(VLOOKUP(G913,Proyectos!$A$2:$F$674,6,0),"")</f>
        <v>#NAME?</v>
      </c>
      <c r="G913" s="38" t="s">
        <v>5363</v>
      </c>
      <c r="H913" s="30">
        <v>0.8</v>
      </c>
      <c r="I913" s="31" t="s">
        <v>18</v>
      </c>
      <c r="J913" s="31" t="s">
        <v>19</v>
      </c>
      <c r="K913" s="32"/>
      <c r="L913" s="32" t="e">
        <f ca="1">_xludf.ifna(VLOOKUP(E913,Parámetros!$D$2:$E$34,2,0),"")</f>
        <v>#NAME?</v>
      </c>
      <c r="M913" s="32" t="e">
        <f ca="1">_xludf.ifna(VLOOKUP(G913,Proyectos!$A$2:$T$674,20,0),"")</f>
        <v>#NAME?</v>
      </c>
      <c r="N913" s="32" t="e">
        <f ca="1">_xludf.ifna(VLOOKUP(G913,Proyectos!$A$2:$S$674,19,0))</f>
        <v>#NAME?</v>
      </c>
      <c r="O913" s="31"/>
      <c r="P913" s="31"/>
      <c r="Q913" s="33"/>
      <c r="R913" s="33"/>
      <c r="S913" s="33"/>
      <c r="T913" s="33"/>
      <c r="U913" s="33"/>
      <c r="V913" s="33"/>
      <c r="W913" s="33"/>
    </row>
    <row r="914" spans="1:23" ht="16.5" customHeight="1" x14ac:dyDescent="0.2">
      <c r="A914" s="54" t="s">
        <v>3737</v>
      </c>
      <c r="B914" s="35" t="s">
        <v>3738</v>
      </c>
      <c r="C914" s="35" t="s">
        <v>64</v>
      </c>
      <c r="D914" s="35" t="s">
        <v>95</v>
      </c>
      <c r="E914" s="54" t="s">
        <v>39</v>
      </c>
      <c r="F914" s="28" t="e">
        <f ca="1">_xludf.ifna(VLOOKUP(G914,Proyectos!$A$2:$F$674,6,0),"")</f>
        <v>#NAME?</v>
      </c>
      <c r="G914" s="29" t="s">
        <v>5114</v>
      </c>
      <c r="H914" s="30">
        <v>0.2</v>
      </c>
      <c r="I914" s="31" t="s">
        <v>18</v>
      </c>
      <c r="J914" s="31" t="s">
        <v>19</v>
      </c>
      <c r="K914" s="32"/>
      <c r="L914" s="32" t="e">
        <f ca="1">_xludf.ifna(VLOOKUP(E914,Parámetros!$D$2:$E$34,2,0),"")</f>
        <v>#NAME?</v>
      </c>
      <c r="M914" s="32" t="e">
        <f ca="1">_xludf.ifna(VLOOKUP(G914,Proyectos!$A$2:$T$674,20,0),"")</f>
        <v>#NAME?</v>
      </c>
      <c r="N914" s="32" t="e">
        <f ca="1">_xludf.ifna(VLOOKUP(G914,Proyectos!$A$2:$S$674,19,0))</f>
        <v>#NAME?</v>
      </c>
      <c r="O914" s="32"/>
      <c r="P914" s="31"/>
      <c r="Q914" s="33"/>
      <c r="R914" s="33"/>
      <c r="S914" s="33"/>
      <c r="T914" s="33"/>
      <c r="U914" s="33"/>
      <c r="V914" s="33"/>
      <c r="W914" s="33"/>
    </row>
    <row r="915" spans="1:23" ht="16.5" customHeight="1" x14ac:dyDescent="0.2">
      <c r="A915" s="54" t="s">
        <v>3296</v>
      </c>
      <c r="B915" s="35" t="s">
        <v>3297</v>
      </c>
      <c r="C915" s="35" t="s">
        <v>64</v>
      </c>
      <c r="D915" s="35" t="s">
        <v>95</v>
      </c>
      <c r="E915" s="54" t="s">
        <v>39</v>
      </c>
      <c r="F915" s="28" t="e">
        <f ca="1">_xludf.ifna(VLOOKUP(G915,Proyectos!$A$2:$F$674,6,0),"")</f>
        <v>#NAME?</v>
      </c>
      <c r="G915" s="38" t="s">
        <v>5363</v>
      </c>
      <c r="H915" s="30">
        <v>0.8</v>
      </c>
      <c r="I915" s="31" t="s">
        <v>18</v>
      </c>
      <c r="J915" s="31" t="s">
        <v>61</v>
      </c>
      <c r="K915" s="32"/>
      <c r="L915" s="32" t="e">
        <f ca="1">_xludf.ifna(VLOOKUP(E915,Parámetros!$D$2:$E$34,2,0),"")</f>
        <v>#NAME?</v>
      </c>
      <c r="M915" s="32" t="e">
        <f ca="1">_xludf.ifna(VLOOKUP(G915,Proyectos!$A$2:$T$674,20,0),"")</f>
        <v>#NAME?</v>
      </c>
      <c r="N915" s="32" t="e">
        <f ca="1">_xludf.ifna(VLOOKUP(G915,Proyectos!$A$2:$S$674,19,0))</f>
        <v>#NAME?</v>
      </c>
      <c r="O915" s="32"/>
      <c r="P915" s="31"/>
      <c r="Q915" s="33"/>
      <c r="R915" s="33"/>
      <c r="S915" s="33"/>
      <c r="T915" s="33"/>
      <c r="U915" s="33"/>
      <c r="V915" s="33"/>
      <c r="W915" s="33"/>
    </row>
    <row r="916" spans="1:23" ht="16.5" customHeight="1" x14ac:dyDescent="0.2">
      <c r="A916" s="54" t="s">
        <v>3296</v>
      </c>
      <c r="B916" s="35" t="s">
        <v>3297</v>
      </c>
      <c r="C916" s="35" t="s">
        <v>64</v>
      </c>
      <c r="D916" s="35" t="s">
        <v>95</v>
      </c>
      <c r="E916" s="54" t="s">
        <v>39</v>
      </c>
      <c r="F916" s="28" t="e">
        <f ca="1">_xludf.ifna(VLOOKUP(G916,Proyectos!$A$2:$F$674,6,0),"")</f>
        <v>#NAME?</v>
      </c>
      <c r="G916" s="29" t="s">
        <v>5114</v>
      </c>
      <c r="H916" s="30">
        <v>0.2</v>
      </c>
      <c r="I916" s="31" t="s">
        <v>18</v>
      </c>
      <c r="J916" s="31" t="s">
        <v>61</v>
      </c>
      <c r="K916" s="32"/>
      <c r="L916" s="32" t="e">
        <f ca="1">_xludf.ifna(VLOOKUP(E916,Parámetros!$D$2:$E$34,2,0),"")</f>
        <v>#NAME?</v>
      </c>
      <c r="M916" s="32" t="e">
        <f ca="1">_xludf.ifna(VLOOKUP(G916,Proyectos!$A$2:$T$674,20,0),"")</f>
        <v>#NAME?</v>
      </c>
      <c r="N916" s="32" t="e">
        <f ca="1">_xludf.ifna(VLOOKUP(G916,Proyectos!$A$2:$S$674,19,0))</f>
        <v>#NAME?</v>
      </c>
      <c r="O916" s="32"/>
      <c r="P916" s="31"/>
      <c r="Q916" s="33"/>
      <c r="R916" s="33"/>
      <c r="S916" s="33"/>
      <c r="T916" s="33"/>
      <c r="U916" s="33"/>
      <c r="V916" s="33"/>
      <c r="W916" s="33"/>
    </row>
    <row r="917" spans="1:23" ht="16.5" customHeight="1" x14ac:dyDescent="0.2">
      <c r="A917" s="54" t="s">
        <v>4419</v>
      </c>
      <c r="B917" s="35" t="s">
        <v>4420</v>
      </c>
      <c r="C917" s="35" t="s">
        <v>64</v>
      </c>
      <c r="D917" s="35" t="s">
        <v>95</v>
      </c>
      <c r="E917" s="54" t="s">
        <v>83</v>
      </c>
      <c r="F917" s="28" t="e">
        <f ca="1">_xludf.ifna(VLOOKUP(G917,Proyectos!$A$2:$F$674,6,0),"")</f>
        <v>#NAME?</v>
      </c>
      <c r="G917" s="38" t="s">
        <v>5363</v>
      </c>
      <c r="H917" s="30">
        <v>0.8</v>
      </c>
      <c r="I917" s="31" t="s">
        <v>25</v>
      </c>
      <c r="J917" s="31" t="s">
        <v>41</v>
      </c>
      <c r="K917" s="32"/>
      <c r="L917" s="32" t="e">
        <f ca="1">_xludf.ifna(VLOOKUP(E917,Parámetros!$D$2:$E$34,2,0),"")</f>
        <v>#NAME?</v>
      </c>
      <c r="M917" s="32" t="e">
        <f ca="1">_xludf.ifna(VLOOKUP(G917,Proyectos!$A$2:$T$674,20,0),"")</f>
        <v>#NAME?</v>
      </c>
      <c r="N917" s="32" t="e">
        <f ca="1">_xludf.ifna(VLOOKUP(G917,Proyectos!$A$2:$S$674,19,0))</f>
        <v>#NAME?</v>
      </c>
      <c r="O917" s="31"/>
      <c r="P917" s="31"/>
      <c r="Q917" s="33"/>
      <c r="R917" s="33"/>
      <c r="S917" s="33"/>
      <c r="T917" s="33"/>
      <c r="U917" s="33"/>
      <c r="V917" s="33"/>
      <c r="W917" s="33"/>
    </row>
    <row r="918" spans="1:23" ht="16.5" customHeight="1" x14ac:dyDescent="0.2">
      <c r="A918" s="54" t="s">
        <v>5031</v>
      </c>
      <c r="B918" s="35" t="s">
        <v>5032</v>
      </c>
      <c r="C918" s="35" t="s">
        <v>64</v>
      </c>
      <c r="D918" s="35" t="s">
        <v>95</v>
      </c>
      <c r="E918" s="54" t="s">
        <v>126</v>
      </c>
      <c r="F918" s="28" t="e">
        <f ca="1">_xludf.ifna(VLOOKUP(G918,Proyectos!$A$2:$F$674,6,0),"")</f>
        <v>#NAME?</v>
      </c>
      <c r="G918" s="38" t="s">
        <v>5363</v>
      </c>
      <c r="H918" s="30">
        <v>0.5</v>
      </c>
      <c r="I918" s="31" t="s">
        <v>11</v>
      </c>
      <c r="J918" s="31" t="s">
        <v>41</v>
      </c>
      <c r="K918" s="32"/>
      <c r="L918" s="32" t="e">
        <f ca="1">_xludf.ifna(VLOOKUP(E918,Parámetros!$D$2:$E$34,2,0),"")</f>
        <v>#NAME?</v>
      </c>
      <c r="M918" s="32" t="e">
        <f ca="1">_xludf.ifna(VLOOKUP(G918,Proyectos!$A$2:$T$674,20,0),"")</f>
        <v>#NAME?</v>
      </c>
      <c r="N918" s="32" t="e">
        <f ca="1">_xludf.ifna(VLOOKUP(G918,Proyectos!$A$2:$S$674,19,0))</f>
        <v>#NAME?</v>
      </c>
      <c r="O918" s="32"/>
      <c r="P918" s="31"/>
      <c r="Q918" s="33"/>
      <c r="R918" s="33"/>
      <c r="S918" s="33"/>
      <c r="T918" s="33"/>
      <c r="U918" s="33"/>
      <c r="V918" s="33"/>
      <c r="W918" s="33"/>
    </row>
    <row r="919" spans="1:23" ht="16.5" customHeight="1" x14ac:dyDescent="0.2">
      <c r="A919" s="54" t="s">
        <v>5033</v>
      </c>
      <c r="B919" s="35" t="s">
        <v>5034</v>
      </c>
      <c r="C919" s="35" t="s">
        <v>64</v>
      </c>
      <c r="D919" s="35" t="s">
        <v>95</v>
      </c>
      <c r="E919" s="54" t="s">
        <v>126</v>
      </c>
      <c r="F919" s="28" t="e">
        <f ca="1">_xludf.ifna(VLOOKUP(G919,Proyectos!$A$2:$F$674,6,0),"")</f>
        <v>#NAME?</v>
      </c>
      <c r="G919" s="38" t="s">
        <v>5363</v>
      </c>
      <c r="H919" s="30">
        <v>1</v>
      </c>
      <c r="I919" s="31" t="s">
        <v>18</v>
      </c>
      <c r="J919" s="31" t="s">
        <v>41</v>
      </c>
      <c r="K919" s="32"/>
      <c r="L919" s="32" t="e">
        <f ca="1">_xludf.ifna(VLOOKUP(E919,Parámetros!$D$2:$E$34,2,0),"")</f>
        <v>#NAME?</v>
      </c>
      <c r="M919" s="32" t="e">
        <f ca="1">_xludf.ifna(VLOOKUP(G919,Proyectos!$A$2:$T$674,20,0),"")</f>
        <v>#NAME?</v>
      </c>
      <c r="N919" s="32" t="e">
        <f ca="1">_xludf.ifna(VLOOKUP(G919,Proyectos!$A$2:$S$674,19,0))</f>
        <v>#NAME?</v>
      </c>
      <c r="O919" s="32"/>
      <c r="P919" s="31"/>
      <c r="Q919" s="33"/>
      <c r="R919" s="33"/>
      <c r="S919" s="33"/>
      <c r="T919" s="33"/>
      <c r="U919" s="33"/>
      <c r="V919" s="33"/>
      <c r="W919" s="33"/>
    </row>
    <row r="920" spans="1:23" ht="16.5" customHeight="1" x14ac:dyDescent="0.2">
      <c r="A920" s="54" t="s">
        <v>4525</v>
      </c>
      <c r="B920" s="35" t="s">
        <v>4526</v>
      </c>
      <c r="C920" s="35" t="s">
        <v>64</v>
      </c>
      <c r="D920" s="35" t="s">
        <v>95</v>
      </c>
      <c r="E920" s="54" t="s">
        <v>126</v>
      </c>
      <c r="F920" s="28" t="e">
        <f ca="1">_xludf.ifna(VLOOKUP(G920,Proyectos!$A$2:$F$674,6,0),"")</f>
        <v>#NAME?</v>
      </c>
      <c r="G920" s="38" t="s">
        <v>5363</v>
      </c>
      <c r="H920" s="30">
        <v>1</v>
      </c>
      <c r="I920" s="31" t="s">
        <v>18</v>
      </c>
      <c r="J920" s="31" t="s">
        <v>41</v>
      </c>
      <c r="K920" s="32"/>
      <c r="L920" s="32" t="e">
        <f ca="1">_xludf.ifna(VLOOKUP(E920,Parámetros!$D$2:$E$34,2,0),"")</f>
        <v>#NAME?</v>
      </c>
      <c r="M920" s="32" t="e">
        <f ca="1">_xludf.ifna(VLOOKUP(G920,Proyectos!$A$2:$T$674,20,0),"")</f>
        <v>#NAME?</v>
      </c>
      <c r="N920" s="32" t="e">
        <f ca="1">_xludf.ifna(VLOOKUP(G920,Proyectos!$A$2:$S$674,19,0))</f>
        <v>#NAME?</v>
      </c>
      <c r="O920" s="32"/>
      <c r="P920" s="31"/>
      <c r="Q920" s="33"/>
      <c r="R920" s="33"/>
      <c r="S920" s="33"/>
      <c r="T920" s="33"/>
      <c r="U920" s="33"/>
      <c r="V920" s="33"/>
      <c r="W920" s="33"/>
    </row>
    <row r="921" spans="1:23" ht="16.5" customHeight="1" x14ac:dyDescent="0.2">
      <c r="A921" s="54" t="s">
        <v>4887</v>
      </c>
      <c r="B921" s="35" t="s">
        <v>4888</v>
      </c>
      <c r="C921" s="35" t="s">
        <v>64</v>
      </c>
      <c r="D921" s="35" t="s">
        <v>95</v>
      </c>
      <c r="E921" s="54" t="s">
        <v>126</v>
      </c>
      <c r="F921" s="28" t="e">
        <f ca="1">_xludf.ifna(VLOOKUP(G921,Proyectos!$A$2:$F$674,6,0),"")</f>
        <v>#NAME?</v>
      </c>
      <c r="G921" s="38" t="s">
        <v>5363</v>
      </c>
      <c r="H921" s="30">
        <v>1</v>
      </c>
      <c r="I921" s="31" t="s">
        <v>18</v>
      </c>
      <c r="J921" s="31" t="s">
        <v>41</v>
      </c>
      <c r="K921" s="32"/>
      <c r="L921" s="32" t="e">
        <f ca="1">_xludf.ifna(VLOOKUP(E921,Parámetros!$D$2:$E$34,2,0),"")</f>
        <v>#NAME?</v>
      </c>
      <c r="M921" s="32" t="e">
        <f ca="1">_xludf.ifna(VLOOKUP(G921,Proyectos!$A$2:$T$674,20,0),"")</f>
        <v>#NAME?</v>
      </c>
      <c r="N921" s="32" t="e">
        <f ca="1">_xludf.ifna(VLOOKUP(G921,Proyectos!$A$2:$S$674,19,0))</f>
        <v>#NAME?</v>
      </c>
      <c r="O921" s="31"/>
      <c r="P921" s="31"/>
      <c r="Q921" s="33"/>
      <c r="R921" s="33"/>
      <c r="S921" s="33"/>
      <c r="T921" s="33"/>
      <c r="U921" s="33"/>
      <c r="V921" s="33"/>
      <c r="W921" s="33"/>
    </row>
    <row r="922" spans="1:23" ht="16.5" customHeight="1" x14ac:dyDescent="0.2">
      <c r="A922" s="54" t="s">
        <v>4078</v>
      </c>
      <c r="B922" s="35" t="s">
        <v>4079</v>
      </c>
      <c r="C922" s="35" t="s">
        <v>64</v>
      </c>
      <c r="D922" s="35" t="s">
        <v>95</v>
      </c>
      <c r="E922" s="54" t="s">
        <v>126</v>
      </c>
      <c r="F922" s="28" t="e">
        <f ca="1">_xludf.ifna(VLOOKUP(G922,Proyectos!$A$2:$F$674,6,0),"")</f>
        <v>#NAME?</v>
      </c>
      <c r="G922" s="38" t="s">
        <v>5363</v>
      </c>
      <c r="H922" s="30">
        <v>1</v>
      </c>
      <c r="I922" s="31" t="s">
        <v>18</v>
      </c>
      <c r="J922" s="31" t="s">
        <v>41</v>
      </c>
      <c r="K922" s="32"/>
      <c r="L922" s="32" t="e">
        <f ca="1">_xludf.ifna(VLOOKUP(E922,Parámetros!$D$2:$E$34,2,0),"")</f>
        <v>#NAME?</v>
      </c>
      <c r="M922" s="32" t="e">
        <f ca="1">_xludf.ifna(VLOOKUP(G922,Proyectos!$A$2:$T$674,20,0),"")</f>
        <v>#NAME?</v>
      </c>
      <c r="N922" s="32" t="e">
        <f ca="1">_xludf.ifna(VLOOKUP(G922,Proyectos!$A$2:$S$674,19,0))</f>
        <v>#NAME?</v>
      </c>
      <c r="O922" s="31"/>
      <c r="P922" s="31"/>
      <c r="Q922" s="33"/>
      <c r="R922" s="33"/>
      <c r="S922" s="33"/>
      <c r="T922" s="33"/>
      <c r="U922" s="33"/>
      <c r="V922" s="33"/>
      <c r="W922" s="33"/>
    </row>
    <row r="923" spans="1:23" ht="16.5" customHeight="1" x14ac:dyDescent="0.2">
      <c r="A923" s="54" t="s">
        <v>4867</v>
      </c>
      <c r="B923" s="35" t="s">
        <v>4868</v>
      </c>
      <c r="C923" s="35" t="s">
        <v>64</v>
      </c>
      <c r="D923" s="35" t="s">
        <v>95</v>
      </c>
      <c r="E923" s="54" t="s">
        <v>126</v>
      </c>
      <c r="F923" s="28" t="e">
        <f ca="1">_xludf.ifna(VLOOKUP(G923,Proyectos!$A$2:$F$674,6,0),"")</f>
        <v>#NAME?</v>
      </c>
      <c r="G923" s="38" t="s">
        <v>5363</v>
      </c>
      <c r="H923" s="30">
        <v>1</v>
      </c>
      <c r="I923" s="31" t="s">
        <v>18</v>
      </c>
      <c r="J923" s="31" t="s">
        <v>41</v>
      </c>
      <c r="K923" s="32"/>
      <c r="L923" s="32" t="e">
        <f ca="1">_xludf.ifna(VLOOKUP(E923,Parámetros!$D$2:$E$34,2,0),"")</f>
        <v>#NAME?</v>
      </c>
      <c r="M923" s="32" t="e">
        <f ca="1">_xludf.ifna(VLOOKUP(G923,Proyectos!$A$2:$T$674,20,0),"")</f>
        <v>#NAME?</v>
      </c>
      <c r="N923" s="32" t="e">
        <f ca="1">_xludf.ifna(VLOOKUP(G923,Proyectos!$A$2:$S$674,19,0))</f>
        <v>#NAME?</v>
      </c>
      <c r="O923" s="32"/>
      <c r="P923" s="31"/>
      <c r="Q923" s="33"/>
      <c r="R923" s="33"/>
      <c r="S923" s="33"/>
      <c r="T923" s="33"/>
      <c r="U923" s="33"/>
      <c r="V923" s="33"/>
      <c r="W923" s="33"/>
    </row>
    <row r="924" spans="1:23" ht="16.5" customHeight="1" x14ac:dyDescent="0.2">
      <c r="A924" s="54" t="s">
        <v>4589</v>
      </c>
      <c r="B924" s="35" t="s">
        <v>4590</v>
      </c>
      <c r="C924" s="35" t="s">
        <v>64</v>
      </c>
      <c r="D924" s="35" t="s">
        <v>95</v>
      </c>
      <c r="E924" s="54" t="s">
        <v>126</v>
      </c>
      <c r="F924" s="28" t="e">
        <f ca="1">_xludf.ifna(VLOOKUP(G924,Proyectos!$A$2:$F$674,6,0),"")</f>
        <v>#NAME?</v>
      </c>
      <c r="G924" s="38" t="s">
        <v>5363</v>
      </c>
      <c r="H924" s="30">
        <v>1</v>
      </c>
      <c r="I924" s="31" t="s">
        <v>18</v>
      </c>
      <c r="J924" s="31" t="s">
        <v>41</v>
      </c>
      <c r="K924" s="32"/>
      <c r="L924" s="32" t="e">
        <f ca="1">_xludf.ifna(VLOOKUP(E924,Parámetros!$D$2:$E$34,2,0),"")</f>
        <v>#NAME?</v>
      </c>
      <c r="M924" s="32" t="e">
        <f ca="1">_xludf.ifna(VLOOKUP(G924,Proyectos!$A$2:$T$674,20,0),"")</f>
        <v>#NAME?</v>
      </c>
      <c r="N924" s="32" t="e">
        <f ca="1">_xludf.ifna(VLOOKUP(G924,Proyectos!$A$2:$S$674,19,0))</f>
        <v>#NAME?</v>
      </c>
      <c r="O924" s="31"/>
      <c r="P924" s="31"/>
      <c r="Q924" s="33"/>
      <c r="R924" s="33"/>
      <c r="S924" s="33"/>
      <c r="T924" s="33"/>
      <c r="U924" s="33"/>
      <c r="V924" s="33"/>
      <c r="W924" s="33"/>
    </row>
    <row r="925" spans="1:23" ht="16.5" customHeight="1" x14ac:dyDescent="0.2">
      <c r="A925" s="54" t="s">
        <v>5045</v>
      </c>
      <c r="B925" s="35" t="s">
        <v>5046</v>
      </c>
      <c r="C925" s="35" t="s">
        <v>64</v>
      </c>
      <c r="D925" s="35" t="s">
        <v>95</v>
      </c>
      <c r="E925" s="54" t="s">
        <v>126</v>
      </c>
      <c r="F925" s="28" t="e">
        <f ca="1">_xludf.ifna(VLOOKUP(G925,Proyectos!$A$2:$F$674,6,0),"")</f>
        <v>#NAME?</v>
      </c>
      <c r="G925" s="38" t="s">
        <v>5363</v>
      </c>
      <c r="H925" s="30">
        <v>1</v>
      </c>
      <c r="I925" s="31" t="s">
        <v>18</v>
      </c>
      <c r="J925" s="31" t="s">
        <v>41</v>
      </c>
      <c r="K925" s="32"/>
      <c r="L925" s="32" t="e">
        <f ca="1">_xludf.ifna(VLOOKUP(E925,Parámetros!$D$2:$E$34,2,0),"")</f>
        <v>#NAME?</v>
      </c>
      <c r="M925" s="32" t="e">
        <f ca="1">_xludf.ifna(VLOOKUP(G925,Proyectos!$A$2:$T$674,20,0),"")</f>
        <v>#NAME?</v>
      </c>
      <c r="N925" s="32" t="e">
        <f ca="1">_xludf.ifna(VLOOKUP(G925,Proyectos!$A$2:$S$674,19,0))</f>
        <v>#NAME?</v>
      </c>
      <c r="O925" s="31"/>
      <c r="P925" s="31"/>
      <c r="Q925" s="33"/>
      <c r="R925" s="33"/>
      <c r="S925" s="33"/>
      <c r="T925" s="33"/>
      <c r="U925" s="33"/>
      <c r="V925" s="33"/>
      <c r="W925" s="33"/>
    </row>
    <row r="926" spans="1:23" ht="16.5" customHeight="1" x14ac:dyDescent="0.2">
      <c r="A926" s="54" t="s">
        <v>5041</v>
      </c>
      <c r="B926" s="35" t="s">
        <v>5042</v>
      </c>
      <c r="C926" s="35" t="s">
        <v>64</v>
      </c>
      <c r="D926" s="35" t="s">
        <v>95</v>
      </c>
      <c r="E926" s="54" t="s">
        <v>126</v>
      </c>
      <c r="F926" s="28" t="e">
        <f ca="1">_xludf.ifna(VLOOKUP(G926,Proyectos!$A$2:$F$674,6,0),"")</f>
        <v>#NAME?</v>
      </c>
      <c r="G926" s="38" t="s">
        <v>5363</v>
      </c>
      <c r="H926" s="30">
        <v>1</v>
      </c>
      <c r="I926" s="31" t="s">
        <v>18</v>
      </c>
      <c r="J926" s="31" t="s">
        <v>41</v>
      </c>
      <c r="K926" s="32"/>
      <c r="L926" s="32" t="e">
        <f ca="1">_xludf.ifna(VLOOKUP(E926,Parámetros!$D$2:$E$34,2,0),"")</f>
        <v>#NAME?</v>
      </c>
      <c r="M926" s="32" t="e">
        <f ca="1">_xludf.ifna(VLOOKUP(G926,Proyectos!$A$2:$T$674,20,0),"")</f>
        <v>#NAME?</v>
      </c>
      <c r="N926" s="32" t="e">
        <f ca="1">_xludf.ifna(VLOOKUP(G926,Proyectos!$A$2:$S$674,19,0))</f>
        <v>#NAME?</v>
      </c>
      <c r="O926" s="31"/>
      <c r="P926" s="31"/>
      <c r="Q926" s="33"/>
      <c r="R926" s="33"/>
      <c r="S926" s="33"/>
      <c r="T926" s="33"/>
      <c r="U926" s="33"/>
      <c r="V926" s="33"/>
      <c r="W926" s="33"/>
    </row>
    <row r="927" spans="1:23" ht="16.5" customHeight="1" x14ac:dyDescent="0.2">
      <c r="A927" s="54" t="s">
        <v>5043</v>
      </c>
      <c r="B927" s="35" t="s">
        <v>5044</v>
      </c>
      <c r="C927" s="35" t="s">
        <v>64</v>
      </c>
      <c r="D927" s="35" t="s">
        <v>95</v>
      </c>
      <c r="E927" s="54" t="s">
        <v>126</v>
      </c>
      <c r="F927" s="28" t="e">
        <f ca="1">_xludf.ifna(VLOOKUP(G927,Proyectos!$A$2:$F$674,6,0),"")</f>
        <v>#NAME?</v>
      </c>
      <c r="G927" s="38" t="s">
        <v>5363</v>
      </c>
      <c r="H927" s="30">
        <v>1</v>
      </c>
      <c r="I927" s="31" t="s">
        <v>18</v>
      </c>
      <c r="J927" s="31" t="s">
        <v>41</v>
      </c>
      <c r="K927" s="32"/>
      <c r="L927" s="32" t="e">
        <f ca="1">_xludf.ifna(VLOOKUP(E927,Parámetros!$D$2:$E$34,2,0),"")</f>
        <v>#NAME?</v>
      </c>
      <c r="M927" s="32" t="e">
        <f ca="1">_xludf.ifna(VLOOKUP(G927,Proyectos!$A$2:$T$674,20,0),"")</f>
        <v>#NAME?</v>
      </c>
      <c r="N927" s="32" t="e">
        <f ca="1">_xludf.ifna(VLOOKUP(G927,Proyectos!$A$2:$S$674,19,0))</f>
        <v>#NAME?</v>
      </c>
      <c r="O927" s="31"/>
      <c r="P927" s="31"/>
      <c r="Q927" s="33"/>
      <c r="R927" s="33"/>
      <c r="S927" s="33"/>
      <c r="T927" s="33"/>
      <c r="U927" s="33"/>
      <c r="V927" s="33"/>
      <c r="W927" s="33"/>
    </row>
    <row r="928" spans="1:23" ht="16.5" customHeight="1" x14ac:dyDescent="0.2">
      <c r="A928" s="54" t="s">
        <v>4617</v>
      </c>
      <c r="B928" s="35" t="s">
        <v>4618</v>
      </c>
      <c r="C928" s="35" t="s">
        <v>64</v>
      </c>
      <c r="D928" s="35" t="s">
        <v>95</v>
      </c>
      <c r="E928" s="54" t="s">
        <v>39</v>
      </c>
      <c r="F928" s="28" t="e">
        <f ca="1">_xludf.ifna(VLOOKUP(G928,Proyectos!$A$2:$F$674,6,0),"")</f>
        <v>#NAME?</v>
      </c>
      <c r="G928" s="29" t="s">
        <v>5364</v>
      </c>
      <c r="H928" s="30">
        <v>1</v>
      </c>
      <c r="I928" s="31" t="s">
        <v>18</v>
      </c>
      <c r="J928" s="31" t="s">
        <v>61</v>
      </c>
      <c r="K928" s="32"/>
      <c r="L928" s="32" t="e">
        <f ca="1">_xludf.ifna(VLOOKUP(E928,Parámetros!$D$2:$E$34,2,0),"")</f>
        <v>#NAME?</v>
      </c>
      <c r="M928" s="32" t="e">
        <f ca="1">_xludf.ifna(VLOOKUP(G928,Proyectos!$A$2:$T$674,20,0),"")</f>
        <v>#NAME?</v>
      </c>
      <c r="N928" s="32" t="e">
        <f ca="1">_xludf.ifna(VLOOKUP(G928,Proyectos!$A$2:$S$674,19,0))</f>
        <v>#NAME?</v>
      </c>
      <c r="O928" s="31"/>
      <c r="P928" s="31"/>
      <c r="Q928" s="33"/>
      <c r="R928" s="33"/>
      <c r="S928" s="33"/>
      <c r="T928" s="33"/>
      <c r="U928" s="33"/>
      <c r="V928" s="33"/>
      <c r="W928" s="33"/>
    </row>
    <row r="929" spans="1:23" ht="16.5" customHeight="1" x14ac:dyDescent="0.2">
      <c r="A929" s="54" t="s">
        <v>4741</v>
      </c>
      <c r="B929" s="35" t="s">
        <v>4742</v>
      </c>
      <c r="C929" s="35" t="s">
        <v>64</v>
      </c>
      <c r="D929" s="35" t="s">
        <v>95</v>
      </c>
      <c r="E929" s="54" t="s">
        <v>39</v>
      </c>
      <c r="F929" s="28" t="e">
        <f ca="1">_xludf.ifna(VLOOKUP(G929,Proyectos!$A$2:$F$674,6,0),"")</f>
        <v>#NAME?</v>
      </c>
      <c r="G929" s="29" t="s">
        <v>5364</v>
      </c>
      <c r="H929" s="30">
        <v>0.95</v>
      </c>
      <c r="I929" s="31" t="s">
        <v>18</v>
      </c>
      <c r="J929" s="31" t="s">
        <v>41</v>
      </c>
      <c r="K929" s="32"/>
      <c r="L929" s="32" t="e">
        <f ca="1">_xludf.ifna(VLOOKUP(E929,Parámetros!$D$2:$E$34,2,0),"")</f>
        <v>#NAME?</v>
      </c>
      <c r="M929" s="32" t="e">
        <f ca="1">_xludf.ifna(VLOOKUP(G929,Proyectos!$A$2:$T$674,20,0),"")</f>
        <v>#NAME?</v>
      </c>
      <c r="N929" s="32" t="e">
        <f ca="1">_xludf.ifna(VLOOKUP(G929,Proyectos!$A$2:$S$674,19,0))</f>
        <v>#NAME?</v>
      </c>
      <c r="O929" s="32"/>
      <c r="P929" s="31"/>
      <c r="Q929" s="33"/>
      <c r="R929" s="33"/>
      <c r="S929" s="33"/>
      <c r="T929" s="33"/>
      <c r="U929" s="33"/>
      <c r="V929" s="33"/>
      <c r="W929" s="33"/>
    </row>
    <row r="930" spans="1:23" ht="16.5" customHeight="1" x14ac:dyDescent="0.2">
      <c r="A930" s="54" t="s">
        <v>4446</v>
      </c>
      <c r="B930" s="35" t="s">
        <v>4447</v>
      </c>
      <c r="C930" s="35" t="s">
        <v>64</v>
      </c>
      <c r="D930" s="35" t="s">
        <v>95</v>
      </c>
      <c r="E930" s="54" t="s">
        <v>83</v>
      </c>
      <c r="F930" s="28" t="e">
        <f ca="1">_xludf.ifna(VLOOKUP(G930,Proyectos!$A$2:$F$674,6,0),"")</f>
        <v>#NAME?</v>
      </c>
      <c r="G930" s="29" t="s">
        <v>5364</v>
      </c>
      <c r="H930" s="30">
        <v>1</v>
      </c>
      <c r="I930" s="31" t="s">
        <v>25</v>
      </c>
      <c r="J930" s="31" t="s">
        <v>41</v>
      </c>
      <c r="K930" s="32"/>
      <c r="L930" s="32" t="e">
        <f ca="1">_xludf.ifna(VLOOKUP(E930,Parámetros!$D$2:$E$34,2,0),"")</f>
        <v>#NAME?</v>
      </c>
      <c r="M930" s="32" t="e">
        <f ca="1">_xludf.ifna(VLOOKUP(G930,Proyectos!$A$2:$T$674,20,0),"")</f>
        <v>#NAME?</v>
      </c>
      <c r="N930" s="32" t="e">
        <f ca="1">_xludf.ifna(VLOOKUP(G930,Proyectos!$A$2:$S$674,19,0))</f>
        <v>#NAME?</v>
      </c>
      <c r="O930" s="32"/>
      <c r="P930" s="31"/>
      <c r="Q930" s="33"/>
      <c r="R930" s="33"/>
      <c r="S930" s="33"/>
      <c r="T930" s="33"/>
      <c r="U930" s="33"/>
      <c r="V930" s="33"/>
      <c r="W930" s="33"/>
    </row>
    <row r="931" spans="1:23" ht="16.5" customHeight="1" x14ac:dyDescent="0.2">
      <c r="A931" s="54" t="s">
        <v>3964</v>
      </c>
      <c r="B931" s="35" t="s">
        <v>3965</v>
      </c>
      <c r="C931" s="35" t="s">
        <v>64</v>
      </c>
      <c r="D931" s="35" t="s">
        <v>95</v>
      </c>
      <c r="E931" s="54" t="s">
        <v>126</v>
      </c>
      <c r="F931" s="28" t="e">
        <f ca="1">_xludf.ifna(VLOOKUP(G931,Proyectos!$A$2:$F$674,6,0),"")</f>
        <v>#NAME?</v>
      </c>
      <c r="G931" s="29" t="s">
        <v>5364</v>
      </c>
      <c r="H931" s="30">
        <v>1</v>
      </c>
      <c r="I931" s="31" t="s">
        <v>18</v>
      </c>
      <c r="J931" s="31" t="s">
        <v>61</v>
      </c>
      <c r="K931" s="32"/>
      <c r="L931" s="32" t="e">
        <f ca="1">_xludf.ifna(VLOOKUP(E931,Parámetros!$D$2:$E$34,2,0),"")</f>
        <v>#NAME?</v>
      </c>
      <c r="M931" s="32" t="e">
        <f ca="1">_xludf.ifna(VLOOKUP(G931,Proyectos!$A$2:$T$674,20,0),"")</f>
        <v>#NAME?</v>
      </c>
      <c r="N931" s="32" t="e">
        <f ca="1">_xludf.ifna(VLOOKUP(G931,Proyectos!$A$2:$S$674,19,0))</f>
        <v>#NAME?</v>
      </c>
      <c r="O931" s="32"/>
      <c r="P931" s="31"/>
      <c r="Q931" s="33"/>
      <c r="R931" s="33"/>
      <c r="S931" s="33"/>
      <c r="T931" s="33"/>
      <c r="U931" s="33"/>
      <c r="V931" s="33"/>
      <c r="W931" s="33"/>
    </row>
    <row r="932" spans="1:23" ht="16.5" customHeight="1" x14ac:dyDescent="0.2">
      <c r="A932" s="54" t="s">
        <v>4286</v>
      </c>
      <c r="B932" s="35" t="s">
        <v>5367</v>
      </c>
      <c r="C932" s="35" t="s">
        <v>64</v>
      </c>
      <c r="D932" s="35" t="s">
        <v>95</v>
      </c>
      <c r="E932" s="54" t="s">
        <v>120</v>
      </c>
      <c r="F932" s="28" t="e">
        <f ca="1">_xludf.ifna(VLOOKUP(G932,Proyectos!$A$2:$F$674,6,0),"")</f>
        <v>#NAME?</v>
      </c>
      <c r="G932" s="29" t="s">
        <v>5364</v>
      </c>
      <c r="H932" s="30">
        <v>1</v>
      </c>
      <c r="I932" s="31" t="s">
        <v>18</v>
      </c>
      <c r="J932" s="31" t="s">
        <v>61</v>
      </c>
      <c r="K932" s="32"/>
      <c r="L932" s="32" t="e">
        <f ca="1">_xludf.ifna(VLOOKUP(E932,Parámetros!$D$2:$E$34,2,0),"")</f>
        <v>#NAME?</v>
      </c>
      <c r="M932" s="32" t="e">
        <f ca="1">_xludf.ifna(VLOOKUP(G932,Proyectos!$A$2:$T$674,20,0),"")</f>
        <v>#NAME?</v>
      </c>
      <c r="N932" s="32" t="e">
        <f ca="1">_xludf.ifna(VLOOKUP(G932,Proyectos!$A$2:$S$674,19,0))</f>
        <v>#NAME?</v>
      </c>
      <c r="O932" s="32"/>
      <c r="P932" s="31"/>
      <c r="Q932" s="33"/>
      <c r="R932" s="33"/>
      <c r="S932" s="33"/>
      <c r="T932" s="33"/>
      <c r="U932" s="33"/>
      <c r="V932" s="33"/>
      <c r="W932" s="33"/>
    </row>
    <row r="933" spans="1:23" ht="16.5" customHeight="1" x14ac:dyDescent="0.2">
      <c r="A933" s="54" t="s">
        <v>4284</v>
      </c>
      <c r="B933" s="35" t="s">
        <v>4285</v>
      </c>
      <c r="C933" s="35" t="s">
        <v>64</v>
      </c>
      <c r="D933" s="35" t="s">
        <v>95</v>
      </c>
      <c r="E933" s="54" t="s">
        <v>120</v>
      </c>
      <c r="F933" s="28" t="e">
        <f ca="1">_xludf.ifna(VLOOKUP(G933,Proyectos!$A$2:$F$674,6,0),"")</f>
        <v>#NAME?</v>
      </c>
      <c r="G933" s="29" t="s">
        <v>5364</v>
      </c>
      <c r="H933" s="30">
        <v>1</v>
      </c>
      <c r="I933" s="31" t="s">
        <v>18</v>
      </c>
      <c r="J933" s="31" t="s">
        <v>61</v>
      </c>
      <c r="K933" s="32"/>
      <c r="L933" s="32" t="e">
        <f ca="1">_xludf.ifna(VLOOKUP(E933,Parámetros!$D$2:$E$34,2,0),"")</f>
        <v>#NAME?</v>
      </c>
      <c r="M933" s="32" t="e">
        <f ca="1">_xludf.ifna(VLOOKUP(G933,Proyectos!$A$2:$T$674,20,0),"")</f>
        <v>#NAME?</v>
      </c>
      <c r="N933" s="32" t="e">
        <f ca="1">_xludf.ifna(VLOOKUP(G933,Proyectos!$A$2:$S$674,19,0))</f>
        <v>#NAME?</v>
      </c>
      <c r="O933" s="31"/>
      <c r="P933" s="31"/>
      <c r="Q933" s="33"/>
      <c r="R933" s="33"/>
      <c r="S933" s="33"/>
      <c r="T933" s="33"/>
      <c r="U933" s="33"/>
      <c r="V933" s="33"/>
      <c r="W933" s="33"/>
    </row>
    <row r="934" spans="1:23" ht="16.5" customHeight="1" x14ac:dyDescent="0.2">
      <c r="A934" s="54" t="s">
        <v>4675</v>
      </c>
      <c r="B934" s="35" t="s">
        <v>4676</v>
      </c>
      <c r="C934" s="35" t="s">
        <v>64</v>
      </c>
      <c r="D934" s="35" t="s">
        <v>95</v>
      </c>
      <c r="E934" s="54" t="s">
        <v>39</v>
      </c>
      <c r="F934" s="28" t="e">
        <f ca="1">_xludf.ifna(VLOOKUP(G934,Proyectos!$A$2:$F$674,6,0),"")</f>
        <v>#NAME?</v>
      </c>
      <c r="G934" s="38" t="s">
        <v>5366</v>
      </c>
      <c r="H934" s="30">
        <v>1</v>
      </c>
      <c r="I934" s="31" t="s">
        <v>18</v>
      </c>
      <c r="J934" s="31" t="s">
        <v>19</v>
      </c>
      <c r="K934" s="32"/>
      <c r="L934" s="32" t="e">
        <f ca="1">_xludf.ifna(VLOOKUP(E934,Parámetros!$D$2:$E$34,2,0),"")</f>
        <v>#NAME?</v>
      </c>
      <c r="M934" s="32" t="e">
        <f ca="1">_xludf.ifna(VLOOKUP(G934,Proyectos!$A$2:$T$674,20,0),"")</f>
        <v>#NAME?</v>
      </c>
      <c r="N934" s="32" t="e">
        <f ca="1">_xludf.ifna(VLOOKUP(G934,Proyectos!$A$2:$S$674,19,0))</f>
        <v>#NAME?</v>
      </c>
      <c r="O934" s="32"/>
      <c r="P934" s="31"/>
      <c r="Q934" s="33"/>
      <c r="R934" s="33"/>
      <c r="S934" s="33"/>
      <c r="T934" s="33"/>
      <c r="U934" s="33"/>
      <c r="V934" s="33"/>
      <c r="W934" s="33"/>
    </row>
    <row r="935" spans="1:23" ht="16.5" customHeight="1" x14ac:dyDescent="0.2">
      <c r="A935" s="54" t="s">
        <v>4730</v>
      </c>
      <c r="B935" s="35" t="s">
        <v>4731</v>
      </c>
      <c r="C935" s="35" t="s">
        <v>64</v>
      </c>
      <c r="D935" s="35" t="s">
        <v>95</v>
      </c>
      <c r="E935" s="54" t="s">
        <v>39</v>
      </c>
      <c r="F935" s="28" t="e">
        <f ca="1">_xludf.ifna(VLOOKUP(G935,Proyectos!$A$2:$F$674,6,0),"")</f>
        <v>#NAME?</v>
      </c>
      <c r="G935" s="38" t="s">
        <v>5366</v>
      </c>
      <c r="H935" s="30">
        <v>1</v>
      </c>
      <c r="I935" s="31" t="s">
        <v>18</v>
      </c>
      <c r="J935" s="31" t="s">
        <v>41</v>
      </c>
      <c r="K935" s="32"/>
      <c r="L935" s="32" t="e">
        <f ca="1">_xludf.ifna(VLOOKUP(E935,Parámetros!$D$2:$E$34,2,0),"")</f>
        <v>#NAME?</v>
      </c>
      <c r="M935" s="32" t="e">
        <f ca="1">_xludf.ifna(VLOOKUP(G935,Proyectos!$A$2:$T$674,20,0),"")</f>
        <v>#NAME?</v>
      </c>
      <c r="N935" s="32" t="e">
        <f ca="1">_xludf.ifna(VLOOKUP(G935,Proyectos!$A$2:$S$674,19,0))</f>
        <v>#NAME?</v>
      </c>
      <c r="O935" s="32"/>
      <c r="P935" s="31"/>
      <c r="Q935" s="33"/>
      <c r="R935" s="33"/>
      <c r="S935" s="33"/>
      <c r="T935" s="33"/>
      <c r="U935" s="33"/>
      <c r="V935" s="33"/>
      <c r="W935" s="33"/>
    </row>
    <row r="936" spans="1:23" ht="16.5" customHeight="1" x14ac:dyDescent="0.2">
      <c r="A936" s="54" t="s">
        <v>4683</v>
      </c>
      <c r="B936" s="35" t="s">
        <v>4684</v>
      </c>
      <c r="C936" s="35" t="s">
        <v>64</v>
      </c>
      <c r="D936" s="35" t="s">
        <v>95</v>
      </c>
      <c r="E936" s="54" t="s">
        <v>39</v>
      </c>
      <c r="F936" s="28" t="e">
        <f ca="1">_xludf.ifna(VLOOKUP(G936,Proyectos!$A$2:$F$674,6,0),"")</f>
        <v>#NAME?</v>
      </c>
      <c r="G936" s="38" t="s">
        <v>5366</v>
      </c>
      <c r="H936" s="30">
        <v>1</v>
      </c>
      <c r="I936" s="31" t="s">
        <v>18</v>
      </c>
      <c r="J936" s="31" t="s">
        <v>41</v>
      </c>
      <c r="K936" s="32"/>
      <c r="L936" s="32" t="e">
        <f ca="1">_xludf.ifna(VLOOKUP(E936,Parámetros!$D$2:$E$34,2,0),"")</f>
        <v>#NAME?</v>
      </c>
      <c r="M936" s="32" t="e">
        <f ca="1">_xludf.ifna(VLOOKUP(G936,Proyectos!$A$2:$T$674,20,0),"")</f>
        <v>#NAME?</v>
      </c>
      <c r="N936" s="32" t="e">
        <f ca="1">_xludf.ifna(VLOOKUP(G936,Proyectos!$A$2:$S$674,19,0))</f>
        <v>#NAME?</v>
      </c>
      <c r="O936" s="32"/>
      <c r="P936" s="31"/>
      <c r="Q936" s="33"/>
      <c r="R936" s="33"/>
      <c r="S936" s="33"/>
      <c r="T936" s="33"/>
      <c r="U936" s="33"/>
      <c r="V936" s="33"/>
      <c r="W936" s="33"/>
    </row>
    <row r="937" spans="1:23" ht="16.5" customHeight="1" x14ac:dyDescent="0.2">
      <c r="A937" s="54" t="s">
        <v>4350</v>
      </c>
      <c r="B937" s="54" t="s">
        <v>4351</v>
      </c>
      <c r="C937" s="35" t="s">
        <v>64</v>
      </c>
      <c r="D937" s="35" t="s">
        <v>95</v>
      </c>
      <c r="E937" s="54" t="s">
        <v>83</v>
      </c>
      <c r="F937" s="28" t="e">
        <f ca="1">_xludf.ifna(VLOOKUP(G937,Proyectos!$A$2:$F$674,6,0),"")</f>
        <v>#NAME?</v>
      </c>
      <c r="G937" s="38" t="s">
        <v>5366</v>
      </c>
      <c r="H937" s="65">
        <v>1</v>
      </c>
      <c r="I937" s="31" t="s">
        <v>25</v>
      </c>
      <c r="J937" s="31" t="s">
        <v>72</v>
      </c>
      <c r="K937" s="31"/>
      <c r="L937" s="32" t="e">
        <f ca="1">_xludf.ifna(VLOOKUP(E937,Parámetros!$D$2:$E$34,2,0),"")</f>
        <v>#NAME?</v>
      </c>
      <c r="M937" s="32" t="e">
        <f ca="1">_xludf.ifna(VLOOKUP(G937,Proyectos!$A$2:$T$674,20,0),"")</f>
        <v>#NAME?</v>
      </c>
      <c r="N937" s="32" t="e">
        <f ca="1">_xludf.ifna(VLOOKUP(G937,Proyectos!$A$2:$S$674,19,0))</f>
        <v>#NAME?</v>
      </c>
      <c r="O937" s="32"/>
      <c r="P937" s="31"/>
      <c r="Q937" s="33"/>
      <c r="R937" s="33"/>
      <c r="S937" s="33"/>
      <c r="T937" s="33"/>
      <c r="U937" s="33"/>
      <c r="V937" s="33"/>
      <c r="W937" s="33"/>
    </row>
    <row r="938" spans="1:23" ht="16.5" customHeight="1" x14ac:dyDescent="0.2">
      <c r="A938" s="54" t="s">
        <v>4661</v>
      </c>
      <c r="B938" s="54" t="s">
        <v>4662</v>
      </c>
      <c r="C938" s="35" t="s">
        <v>64</v>
      </c>
      <c r="D938" s="35" t="s">
        <v>95</v>
      </c>
      <c r="E938" s="54" t="s">
        <v>39</v>
      </c>
      <c r="F938" s="28" t="e">
        <f ca="1">_xludf.ifna(VLOOKUP(G938,Proyectos!$A$2:$F$674,6,0),"")</f>
        <v>#NAME?</v>
      </c>
      <c r="G938" s="29" t="s">
        <v>5237</v>
      </c>
      <c r="H938" s="65">
        <v>0.05</v>
      </c>
      <c r="I938" s="31" t="s">
        <v>11</v>
      </c>
      <c r="J938" s="31" t="s">
        <v>41</v>
      </c>
      <c r="K938" s="31"/>
      <c r="L938" s="32" t="e">
        <f ca="1">_xludf.ifna(VLOOKUP(E938,Parámetros!$D$2:$E$34,2,0),"")</f>
        <v>#NAME?</v>
      </c>
      <c r="M938" s="32" t="e">
        <f ca="1">_xludf.ifna(VLOOKUP(G938,Proyectos!$A$2:$T$674,20,0),"")</f>
        <v>#NAME?</v>
      </c>
      <c r="N938" s="32" t="e">
        <f ca="1">_xludf.ifna(VLOOKUP(G938,Proyectos!$A$2:$S$674,19,0))</f>
        <v>#NAME?</v>
      </c>
      <c r="O938" s="32"/>
      <c r="P938" s="31"/>
      <c r="Q938" s="33"/>
      <c r="R938" s="33"/>
      <c r="S938" s="33"/>
      <c r="T938" s="33"/>
      <c r="U938" s="33"/>
      <c r="V938" s="33"/>
      <c r="W938" s="33"/>
    </row>
    <row r="939" spans="1:23" ht="16.5" customHeight="1" x14ac:dyDescent="0.2">
      <c r="A939" s="54" t="s">
        <v>4419</v>
      </c>
      <c r="B939" s="35" t="s">
        <v>4420</v>
      </c>
      <c r="C939" s="35" t="s">
        <v>64</v>
      </c>
      <c r="D939" s="35" t="s">
        <v>95</v>
      </c>
      <c r="E939" s="54" t="s">
        <v>83</v>
      </c>
      <c r="F939" s="28" t="e">
        <f ca="1">_xludf.ifna(VLOOKUP(G939,Proyectos!$A$2:$F$674,6,0),"")</f>
        <v>#NAME?</v>
      </c>
      <c r="G939" s="29" t="s">
        <v>5237</v>
      </c>
      <c r="H939" s="65">
        <v>0.2</v>
      </c>
      <c r="I939" s="31" t="s">
        <v>25</v>
      </c>
      <c r="J939" s="31" t="s">
        <v>41</v>
      </c>
      <c r="K939" s="31" t="s">
        <v>4445</v>
      </c>
      <c r="L939" s="32" t="e">
        <f ca="1">_xludf.ifna(VLOOKUP(E939,Parámetros!$D$2:$E$34,2,0),"")</f>
        <v>#NAME?</v>
      </c>
      <c r="M939" s="32" t="e">
        <f ca="1">_xludf.ifna(VLOOKUP(G939,Proyectos!$A$2:$T$674,20,0),"")</f>
        <v>#NAME?</v>
      </c>
      <c r="N939" s="32" t="e">
        <f ca="1">_xludf.ifna(VLOOKUP(G939,Proyectos!$A$2:$S$674,19,0))</f>
        <v>#NAME?</v>
      </c>
      <c r="O939" s="32"/>
      <c r="P939" s="31"/>
      <c r="Q939" s="33"/>
      <c r="R939" s="33"/>
      <c r="S939" s="33"/>
      <c r="T939" s="33"/>
      <c r="U939" s="33"/>
      <c r="V939" s="33"/>
      <c r="W939" s="33"/>
    </row>
    <row r="940" spans="1:23" ht="16.5" customHeight="1" x14ac:dyDescent="0.2">
      <c r="A940" s="54" t="s">
        <v>4741</v>
      </c>
      <c r="B940" s="35" t="s">
        <v>4742</v>
      </c>
      <c r="C940" s="35" t="s">
        <v>64</v>
      </c>
      <c r="D940" s="35" t="s">
        <v>95</v>
      </c>
      <c r="E940" s="54" t="s">
        <v>39</v>
      </c>
      <c r="F940" s="28" t="e">
        <f ca="1">_xludf.ifna(VLOOKUP(G940,Proyectos!$A$2:$F$674,6,0),"")</f>
        <v>#NAME?</v>
      </c>
      <c r="G940" s="29" t="s">
        <v>5237</v>
      </c>
      <c r="H940" s="65">
        <v>0.05</v>
      </c>
      <c r="I940" s="31" t="s">
        <v>18</v>
      </c>
      <c r="J940" s="31" t="s">
        <v>41</v>
      </c>
      <c r="K940" s="31" t="s">
        <v>4445</v>
      </c>
      <c r="L940" s="32" t="e">
        <f ca="1">_xludf.ifna(VLOOKUP(E940,Parámetros!$D$2:$E$34,2,0),"")</f>
        <v>#NAME?</v>
      </c>
      <c r="M940" s="32" t="e">
        <f ca="1">_xludf.ifna(VLOOKUP(G940,Proyectos!$A$2:$T$674,20,0),"")</f>
        <v>#NAME?</v>
      </c>
      <c r="N940" s="32" t="e">
        <f ca="1">_xludf.ifna(VLOOKUP(G940,Proyectos!$A$2:$S$674,19,0))</f>
        <v>#NAME?</v>
      </c>
      <c r="O940" s="32"/>
      <c r="P940" s="31"/>
      <c r="Q940" s="33"/>
      <c r="R940" s="33"/>
      <c r="S940" s="33"/>
      <c r="T940" s="33"/>
      <c r="U940" s="33"/>
      <c r="V940" s="33"/>
      <c r="W940" s="33"/>
    </row>
    <row r="941" spans="1:23" ht="16.5" customHeight="1" x14ac:dyDescent="0.2">
      <c r="A941" s="54" t="s">
        <v>4443</v>
      </c>
      <c r="B941" s="87" t="s">
        <v>4444</v>
      </c>
      <c r="C941" s="35" t="s">
        <v>64</v>
      </c>
      <c r="D941" s="35" t="s">
        <v>95</v>
      </c>
      <c r="E941" s="54" t="s">
        <v>120</v>
      </c>
      <c r="F941" s="28" t="e">
        <f ca="1">_xludf.ifna(VLOOKUP(G941,Proyectos!$A$2:$F$674,6,0),"")</f>
        <v>#NAME?</v>
      </c>
      <c r="G941" s="29" t="s">
        <v>5237</v>
      </c>
      <c r="H941" s="65">
        <v>1</v>
      </c>
      <c r="I941" s="31" t="s">
        <v>18</v>
      </c>
      <c r="J941" s="31" t="s">
        <v>19</v>
      </c>
      <c r="K941" s="31" t="s">
        <v>4445</v>
      </c>
      <c r="L941" s="32" t="e">
        <f ca="1">_xludf.ifna(VLOOKUP(E941,Parámetros!$D$2:$E$34,2,0),"")</f>
        <v>#NAME?</v>
      </c>
      <c r="M941" s="32" t="e">
        <f ca="1">_xludf.ifna(VLOOKUP(G941,Proyectos!$A$2:$T$674,20,0),"")</f>
        <v>#NAME?</v>
      </c>
      <c r="N941" s="32" t="e">
        <f ca="1">_xludf.ifna(VLOOKUP(G941,Proyectos!$A$2:$S$674,19,0))</f>
        <v>#NAME?</v>
      </c>
      <c r="O941" s="32"/>
      <c r="P941" s="31"/>
      <c r="Q941" s="33"/>
      <c r="R941" s="33"/>
      <c r="S941" s="33"/>
      <c r="T941" s="33"/>
      <c r="U941" s="33"/>
      <c r="V941" s="33"/>
      <c r="W941" s="33"/>
    </row>
    <row r="942" spans="1:23" ht="16.5" customHeight="1" x14ac:dyDescent="0.2">
      <c r="A942" s="35" t="s">
        <v>4021</v>
      </c>
      <c r="B942" s="35" t="s">
        <v>5368</v>
      </c>
      <c r="C942" s="35" t="s">
        <v>64</v>
      </c>
      <c r="D942" s="35" t="s">
        <v>95</v>
      </c>
      <c r="E942" s="54" t="s">
        <v>135</v>
      </c>
      <c r="F942" s="28" t="e">
        <f ca="1">_xludf.ifna(VLOOKUP(G942,Proyectos!$A$2:$F$674,6,0),"")</f>
        <v>#NAME?</v>
      </c>
      <c r="G942" s="29" t="s">
        <v>5364</v>
      </c>
      <c r="H942" s="30">
        <v>1</v>
      </c>
      <c r="I942" s="31" t="s">
        <v>18</v>
      </c>
      <c r="J942" s="31" t="s">
        <v>61</v>
      </c>
      <c r="K942" s="32"/>
      <c r="L942" s="32" t="e">
        <f ca="1">_xludf.ifna(VLOOKUP(E942,Parámetros!$D$2:$E$34,2,0),"")</f>
        <v>#NAME?</v>
      </c>
      <c r="M942" s="32" t="e">
        <f ca="1">_xludf.ifna(VLOOKUP(G942,Proyectos!$A$2:$T$674,20,0),"")</f>
        <v>#NAME?</v>
      </c>
      <c r="N942" s="32" t="e">
        <f ca="1">_xludf.ifna(VLOOKUP(G942,Proyectos!$A$2:$S$674,19,0))</f>
        <v>#NAME?</v>
      </c>
      <c r="O942" s="32"/>
      <c r="P942" s="31"/>
      <c r="Q942" s="33"/>
      <c r="R942" s="33"/>
      <c r="S942" s="33"/>
      <c r="T942" s="33"/>
      <c r="U942" s="33"/>
      <c r="V942" s="33"/>
      <c r="W942" s="33"/>
    </row>
    <row r="943" spans="1:23" ht="17.25" customHeight="1" x14ac:dyDescent="0.25">
      <c r="A943" s="35" t="s">
        <v>4010</v>
      </c>
      <c r="B943" s="35" t="s">
        <v>4011</v>
      </c>
      <c r="C943" s="35" t="s">
        <v>64</v>
      </c>
      <c r="D943" s="35" t="s">
        <v>95</v>
      </c>
      <c r="E943" s="54" t="s">
        <v>114</v>
      </c>
      <c r="F943" s="28" t="e">
        <f ca="1">_xludf.ifna(VLOOKUP(G943,Proyectos!$A$2:$F$674,6,0),"")</f>
        <v>#NAME?</v>
      </c>
      <c r="G943" s="29" t="s">
        <v>5364</v>
      </c>
      <c r="H943" s="68">
        <v>0.02</v>
      </c>
      <c r="I943" s="31" t="s">
        <v>25</v>
      </c>
      <c r="J943" s="31" t="s">
        <v>41</v>
      </c>
      <c r="K943" s="32"/>
      <c r="L943" s="32" t="e">
        <f ca="1">_xludf.ifna(VLOOKUP(E943,Parámetros!$D$2:$E$34,2,0),"")</f>
        <v>#NAME?</v>
      </c>
      <c r="M943" s="32" t="e">
        <f ca="1">_xludf.ifna(VLOOKUP(G943,Proyectos!$A$2:$T$674,20,0),"")</f>
        <v>#NAME?</v>
      </c>
      <c r="N943" s="32" t="e">
        <f ca="1">_xludf.ifna(VLOOKUP(G943,Proyectos!$A$2:$S$674,19,0))</f>
        <v>#NAME?</v>
      </c>
      <c r="O943" s="31"/>
      <c r="P943" s="31"/>
      <c r="Q943" s="33"/>
      <c r="R943" s="33">
        <v>2</v>
      </c>
      <c r="S943" s="33">
        <v>2</v>
      </c>
      <c r="T943" s="33"/>
      <c r="U943" s="33"/>
      <c r="V943" s="33"/>
      <c r="W943" s="33"/>
    </row>
    <row r="944" spans="1:23" ht="17.25" customHeight="1" x14ac:dyDescent="0.25">
      <c r="A944" s="35" t="s">
        <v>4010</v>
      </c>
      <c r="B944" s="35" t="s">
        <v>4011</v>
      </c>
      <c r="C944" s="35" t="s">
        <v>64</v>
      </c>
      <c r="D944" s="35" t="s">
        <v>95</v>
      </c>
      <c r="E944" s="54" t="s">
        <v>114</v>
      </c>
      <c r="F944" s="28" t="e">
        <f ca="1">_xludf.ifna(VLOOKUP(G944,Proyectos!$A$2:$F$674,6,0),"")</f>
        <v>#NAME?</v>
      </c>
      <c r="G944" s="38" t="s">
        <v>5366</v>
      </c>
      <c r="H944" s="68">
        <v>0.02</v>
      </c>
      <c r="I944" s="31" t="s">
        <v>25</v>
      </c>
      <c r="J944" s="31" t="s">
        <v>41</v>
      </c>
      <c r="K944" s="32"/>
      <c r="L944" s="32" t="e">
        <f ca="1">_xludf.ifna(VLOOKUP(E944,Parámetros!$D$2:$E$34,2,0),"")</f>
        <v>#NAME?</v>
      </c>
      <c r="M944" s="32" t="e">
        <f ca="1">_xludf.ifna(VLOOKUP(G944,Proyectos!$A$2:$T$674,20,0),"")</f>
        <v>#NAME?</v>
      </c>
      <c r="N944" s="32" t="e">
        <f ca="1">_xludf.ifna(VLOOKUP(G944,Proyectos!$A$2:$S$674,19,0))</f>
        <v>#NAME?</v>
      </c>
      <c r="O944" s="31"/>
      <c r="P944" s="31"/>
      <c r="Q944" s="33"/>
      <c r="R944" s="33">
        <v>2</v>
      </c>
      <c r="S944" s="33">
        <v>2</v>
      </c>
      <c r="T944" s="33"/>
      <c r="U944" s="33"/>
      <c r="V944" s="33"/>
      <c r="W944" s="33"/>
    </row>
    <row r="945" spans="1:23" ht="17.25" customHeight="1" x14ac:dyDescent="0.25">
      <c r="A945" s="35" t="s">
        <v>4010</v>
      </c>
      <c r="B945" s="35" t="s">
        <v>4011</v>
      </c>
      <c r="C945" s="35" t="s">
        <v>64</v>
      </c>
      <c r="D945" s="35" t="s">
        <v>95</v>
      </c>
      <c r="E945" s="54" t="s">
        <v>114</v>
      </c>
      <c r="F945" s="28" t="e">
        <f ca="1">_xludf.ifna(VLOOKUP(G945,Proyectos!$A$2:$F$674,6,0),"")</f>
        <v>#NAME?</v>
      </c>
      <c r="G945" s="29" t="s">
        <v>5363</v>
      </c>
      <c r="H945" s="68">
        <v>0.02</v>
      </c>
      <c r="I945" s="31" t="s">
        <v>25</v>
      </c>
      <c r="J945" s="31" t="s">
        <v>41</v>
      </c>
      <c r="K945" s="32"/>
      <c r="L945" s="32" t="e">
        <f ca="1">_xludf.ifna(VLOOKUP(E945,Parámetros!$D$2:$E$34,2,0),"")</f>
        <v>#NAME?</v>
      </c>
      <c r="M945" s="32" t="e">
        <f ca="1">_xludf.ifna(VLOOKUP(G945,Proyectos!$A$2:$T$674,20,0),"")</f>
        <v>#NAME?</v>
      </c>
      <c r="N945" s="32" t="e">
        <f ca="1">_xludf.ifna(VLOOKUP(G945,Proyectos!$A$2:$S$674,19,0))</f>
        <v>#NAME?</v>
      </c>
      <c r="O945" s="31"/>
      <c r="P945" s="31"/>
      <c r="Q945" s="33"/>
      <c r="R945" s="33">
        <v>2</v>
      </c>
      <c r="S945" s="33">
        <v>2</v>
      </c>
      <c r="T945" s="33"/>
      <c r="U945" s="33"/>
      <c r="V945" s="33"/>
      <c r="W945" s="33"/>
    </row>
    <row r="946" spans="1:23" ht="17.25" customHeight="1" x14ac:dyDescent="0.25">
      <c r="A946" s="35" t="s">
        <v>4010</v>
      </c>
      <c r="B946" s="35" t="s">
        <v>4011</v>
      </c>
      <c r="C946" s="35" t="s">
        <v>64</v>
      </c>
      <c r="D946" s="35" t="s">
        <v>95</v>
      </c>
      <c r="E946" s="54" t="s">
        <v>114</v>
      </c>
      <c r="F946" s="28" t="e">
        <f ca="1">_xludf.ifna(VLOOKUP(G946,Proyectos!$A$2:$F$674,6,0),"")</f>
        <v>#NAME?</v>
      </c>
      <c r="G946" s="29" t="s">
        <v>5114</v>
      </c>
      <c r="H946" s="68">
        <v>0.02</v>
      </c>
      <c r="I946" s="31" t="s">
        <v>25</v>
      </c>
      <c r="J946" s="31" t="s">
        <v>41</v>
      </c>
      <c r="K946" s="32"/>
      <c r="L946" s="32" t="e">
        <f ca="1">_xludf.ifna(VLOOKUP(E946,Parámetros!$D$2:$E$34,2,0),"")</f>
        <v>#NAME?</v>
      </c>
      <c r="M946" s="32" t="e">
        <f ca="1">_xludf.ifna(VLOOKUP(G946,Proyectos!$A$2:$T$674,20,0),"")</f>
        <v>#NAME?</v>
      </c>
      <c r="N946" s="32" t="e">
        <f ca="1">_xludf.ifna(VLOOKUP(G946,Proyectos!$A$2:$S$674,19,0))</f>
        <v>#NAME?</v>
      </c>
      <c r="O946" s="31"/>
      <c r="P946" s="31"/>
      <c r="Q946" s="33"/>
      <c r="R946" s="33">
        <v>2</v>
      </c>
      <c r="S946" s="33">
        <v>2</v>
      </c>
      <c r="T946" s="33"/>
      <c r="U946" s="33"/>
      <c r="V946" s="33"/>
      <c r="W946" s="33"/>
    </row>
    <row r="947" spans="1:23" ht="17.25" customHeight="1" x14ac:dyDescent="0.25">
      <c r="A947" s="35" t="s">
        <v>4010</v>
      </c>
      <c r="B947" s="35" t="s">
        <v>4011</v>
      </c>
      <c r="C947" s="35" t="s">
        <v>64</v>
      </c>
      <c r="D947" s="35" t="s">
        <v>89</v>
      </c>
      <c r="E947" s="54" t="s">
        <v>114</v>
      </c>
      <c r="F947" s="28" t="e">
        <f ca="1">_xludf.ifna(VLOOKUP(G947,Proyectos!$A$2:$F$674,6,0),"")</f>
        <v>#NAME?</v>
      </c>
      <c r="G947" s="29" t="s">
        <v>5114</v>
      </c>
      <c r="H947" s="68">
        <v>0.02</v>
      </c>
      <c r="I947" s="31" t="s">
        <v>25</v>
      </c>
      <c r="J947" s="31" t="s">
        <v>41</v>
      </c>
      <c r="K947" s="32"/>
      <c r="L947" s="32" t="e">
        <f ca="1">_xludf.ifna(VLOOKUP(E947,Parámetros!$D$2:$E$34,2,0),"")</f>
        <v>#NAME?</v>
      </c>
      <c r="M947" s="32" t="e">
        <f ca="1">_xludf.ifna(VLOOKUP(G947,Proyectos!$A$2:$T$674,20,0),"")</f>
        <v>#NAME?</v>
      </c>
      <c r="N947" s="32" t="e">
        <f ca="1">_xludf.ifna(VLOOKUP(G947,Proyectos!$A$2:$S$674,19,0))</f>
        <v>#NAME?</v>
      </c>
      <c r="O947" s="31"/>
      <c r="P947" s="31"/>
      <c r="Q947" s="33"/>
      <c r="R947" s="33">
        <v>2</v>
      </c>
      <c r="S947" s="33">
        <v>2</v>
      </c>
      <c r="T947" s="33"/>
      <c r="U947" s="33"/>
      <c r="V947" s="33"/>
      <c r="W947" s="33"/>
    </row>
    <row r="948" spans="1:23" ht="16.5" customHeight="1" x14ac:dyDescent="0.25">
      <c r="A948" s="35" t="s">
        <v>4010</v>
      </c>
      <c r="B948" s="35" t="s">
        <v>4011</v>
      </c>
      <c r="C948" s="35" t="s">
        <v>64</v>
      </c>
      <c r="D948" s="35" t="s">
        <v>89</v>
      </c>
      <c r="E948" s="54" t="s">
        <v>114</v>
      </c>
      <c r="F948" s="28" t="e">
        <f ca="1">_xludf.ifna(VLOOKUP(G948,Proyectos!$A$2:$F$674,6,0),"")</f>
        <v>#NAME?</v>
      </c>
      <c r="G948" s="29" t="s">
        <v>5346</v>
      </c>
      <c r="H948" s="68">
        <v>0.02</v>
      </c>
      <c r="I948" s="31" t="s">
        <v>25</v>
      </c>
      <c r="J948" s="31" t="s">
        <v>72</v>
      </c>
      <c r="K948" s="32"/>
      <c r="L948" s="32" t="e">
        <f ca="1">_xludf.ifna(VLOOKUP(E948,Parámetros!$D$2:$E$34,2,0),"")</f>
        <v>#NAME?</v>
      </c>
      <c r="M948" s="32" t="e">
        <f ca="1">_xludf.ifna(VLOOKUP(G948,Proyectos!$A$2:$T$674,20,0),"")</f>
        <v>#NAME?</v>
      </c>
      <c r="N948" s="32" t="e">
        <f ca="1">_xludf.ifna(VLOOKUP(G948,Proyectos!$A$2:$S$674,19,0))</f>
        <v>#NAME?</v>
      </c>
      <c r="O948" s="31"/>
      <c r="P948" s="31"/>
      <c r="Q948" s="33"/>
      <c r="R948" s="33">
        <v>1</v>
      </c>
      <c r="S948" s="33">
        <v>1</v>
      </c>
      <c r="T948" s="33"/>
      <c r="U948" s="33"/>
      <c r="V948" s="33"/>
      <c r="W948" s="33"/>
    </row>
    <row r="949" spans="1:23" ht="16.5" customHeight="1" x14ac:dyDescent="0.25">
      <c r="A949" s="35" t="s">
        <v>4010</v>
      </c>
      <c r="B949" s="35" t="s">
        <v>4011</v>
      </c>
      <c r="C949" s="35" t="s">
        <v>64</v>
      </c>
      <c r="D949" s="35" t="s">
        <v>89</v>
      </c>
      <c r="E949" s="54" t="s">
        <v>114</v>
      </c>
      <c r="F949" s="28" t="e">
        <f ca="1">_xludf.ifna(VLOOKUP(G949,Proyectos!$A$2:$F$674,6,0),"")</f>
        <v>#NAME?</v>
      </c>
      <c r="G949" s="29" t="s">
        <v>5369</v>
      </c>
      <c r="H949" s="68">
        <v>0.02</v>
      </c>
      <c r="I949" s="31" t="s">
        <v>25</v>
      </c>
      <c r="J949" s="31" t="s">
        <v>72</v>
      </c>
      <c r="K949" s="32"/>
      <c r="L949" s="32" t="e">
        <f ca="1">_xludf.ifna(VLOOKUP(E949,Parámetros!$D$2:$E$34,2,0),"")</f>
        <v>#NAME?</v>
      </c>
      <c r="M949" s="32" t="e">
        <f ca="1">_xludf.ifna(VLOOKUP(G949,Proyectos!$A$2:$T$674,20,0),"")</f>
        <v>#NAME?</v>
      </c>
      <c r="N949" s="32" t="e">
        <f ca="1">_xludf.ifna(VLOOKUP(G949,Proyectos!$A$2:$S$674,19,0))</f>
        <v>#NAME?</v>
      </c>
      <c r="O949" s="31"/>
      <c r="P949" s="31"/>
      <c r="Q949" s="33"/>
      <c r="R949" s="33">
        <v>1</v>
      </c>
      <c r="S949" s="33">
        <v>1</v>
      </c>
      <c r="T949" s="33"/>
      <c r="U949" s="33"/>
      <c r="V949" s="33"/>
      <c r="W949" s="33"/>
    </row>
    <row r="950" spans="1:23" ht="16.5" customHeight="1" x14ac:dyDescent="0.25">
      <c r="A950" s="35" t="s">
        <v>4010</v>
      </c>
      <c r="B950" s="35" t="s">
        <v>4011</v>
      </c>
      <c r="C950" s="35" t="s">
        <v>64</v>
      </c>
      <c r="D950" s="35" t="s">
        <v>89</v>
      </c>
      <c r="E950" s="54" t="s">
        <v>114</v>
      </c>
      <c r="F950" s="28" t="e">
        <f ca="1">_xludf.ifna(VLOOKUP(G950,Proyectos!$A$2:$F$674,6,0),"")</f>
        <v>#NAME?</v>
      </c>
      <c r="G950" s="29" t="s">
        <v>5130</v>
      </c>
      <c r="H950" s="68">
        <v>0.02</v>
      </c>
      <c r="I950" s="31" t="s">
        <v>25</v>
      </c>
      <c r="J950" s="31" t="s">
        <v>72</v>
      </c>
      <c r="K950" s="32"/>
      <c r="L950" s="32" t="e">
        <f ca="1">_xludf.ifna(VLOOKUP(E950,Parámetros!$D$2:$E$34,2,0),"")</f>
        <v>#NAME?</v>
      </c>
      <c r="M950" s="32" t="e">
        <f ca="1">_xludf.ifna(VLOOKUP(G950,Proyectos!$A$2:$T$674,20,0),"")</f>
        <v>#NAME?</v>
      </c>
      <c r="N950" s="32" t="e">
        <f ca="1">_xludf.ifna(VLOOKUP(G950,Proyectos!$A$2:$S$674,19,0))</f>
        <v>#NAME?</v>
      </c>
      <c r="O950" s="31"/>
      <c r="P950" s="31"/>
      <c r="Q950" s="33"/>
      <c r="R950" s="33"/>
      <c r="S950" s="33"/>
      <c r="T950" s="33"/>
      <c r="U950" s="33"/>
      <c r="V950" s="33"/>
      <c r="W950" s="33"/>
    </row>
    <row r="951" spans="1:23" ht="16.5" customHeight="1" x14ac:dyDescent="0.2">
      <c r="A951" s="35" t="s">
        <v>4039</v>
      </c>
      <c r="B951" s="35" t="s">
        <v>4040</v>
      </c>
      <c r="C951" s="35" t="s">
        <v>64</v>
      </c>
      <c r="D951" s="35" t="s">
        <v>89</v>
      </c>
      <c r="E951" s="54" t="s">
        <v>108</v>
      </c>
      <c r="F951" s="28" t="e">
        <f ca="1">_xludf.ifna(VLOOKUP(G951,Proyectos!$A$2:$F$674,6,0),"")</f>
        <v>#NAME?</v>
      </c>
      <c r="G951" s="29" t="s">
        <v>5114</v>
      </c>
      <c r="H951" s="32">
        <v>0.5</v>
      </c>
      <c r="I951" s="31" t="s">
        <v>25</v>
      </c>
      <c r="J951" s="31" t="s">
        <v>72</v>
      </c>
      <c r="K951" s="32"/>
      <c r="L951" s="32" t="e">
        <f ca="1">_xludf.ifna(VLOOKUP(E951,Parámetros!$D$2:$E$34,2,0),"")</f>
        <v>#NAME?</v>
      </c>
      <c r="M951" s="32" t="e">
        <f ca="1">_xludf.ifna(VLOOKUP(G951,Proyectos!$A$2:$T$674,20,0),"")</f>
        <v>#NAME?</v>
      </c>
      <c r="N951" s="32" t="e">
        <f ca="1">_xludf.ifna(VLOOKUP(G951,Proyectos!$A$2:$S$674,19,0))</f>
        <v>#NAME?</v>
      </c>
      <c r="O951" s="31"/>
      <c r="P951" s="31"/>
      <c r="Q951" s="33"/>
      <c r="R951" s="33"/>
      <c r="S951" s="33"/>
      <c r="T951" s="33"/>
      <c r="U951" s="33"/>
      <c r="V951" s="33"/>
      <c r="W951" s="33"/>
    </row>
    <row r="952" spans="1:23" ht="16.5" customHeight="1" x14ac:dyDescent="0.2">
      <c r="A952" s="35" t="s">
        <v>4017</v>
      </c>
      <c r="B952" s="35" t="s">
        <v>5370</v>
      </c>
      <c r="C952" s="35" t="s">
        <v>64</v>
      </c>
      <c r="D952" s="35" t="s">
        <v>89</v>
      </c>
      <c r="E952" s="54" t="s">
        <v>108</v>
      </c>
      <c r="F952" s="28" t="e">
        <f ca="1">_xludf.ifna(VLOOKUP(G952,Proyectos!$A$2:$F$674,6,0),"")</f>
        <v>#NAME?</v>
      </c>
      <c r="G952" s="29" t="s">
        <v>5114</v>
      </c>
      <c r="H952" s="30">
        <v>1</v>
      </c>
      <c r="I952" s="31" t="s">
        <v>18</v>
      </c>
      <c r="J952" s="31" t="s">
        <v>41</v>
      </c>
      <c r="K952" s="32"/>
      <c r="L952" s="32" t="e">
        <f ca="1">_xludf.ifna(VLOOKUP(E952,Parámetros!$D$2:$E$34,2,0),"")</f>
        <v>#NAME?</v>
      </c>
      <c r="M952" s="32" t="e">
        <f ca="1">_xludf.ifna(VLOOKUP(G952,Proyectos!$A$2:$T$674,20,0),"")</f>
        <v>#NAME?</v>
      </c>
      <c r="N952" s="32" t="e">
        <f ca="1">_xludf.ifna(VLOOKUP(G952,Proyectos!$A$2:$S$674,19,0))</f>
        <v>#NAME?</v>
      </c>
      <c r="O952" s="31"/>
      <c r="P952" s="31"/>
      <c r="Q952" s="33"/>
      <c r="R952" s="33"/>
      <c r="S952" s="33"/>
      <c r="T952" s="33"/>
      <c r="U952" s="33"/>
      <c r="V952" s="33"/>
      <c r="W952" s="33"/>
    </row>
    <row r="953" spans="1:23" ht="16.5" customHeight="1" x14ac:dyDescent="0.2">
      <c r="A953" s="35" t="s">
        <v>3520</v>
      </c>
      <c r="B953" s="35" t="s">
        <v>5371</v>
      </c>
      <c r="C953" s="35" t="s">
        <v>64</v>
      </c>
      <c r="D953" s="35" t="s">
        <v>89</v>
      </c>
      <c r="E953" s="54" t="s">
        <v>39</v>
      </c>
      <c r="F953" s="28" t="e">
        <f ca="1">_xludf.ifna(VLOOKUP(G953,Proyectos!$A$2:$F$674,6,0),"")</f>
        <v>#NAME?</v>
      </c>
      <c r="G953" s="29" t="s">
        <v>5130</v>
      </c>
      <c r="H953" s="30">
        <v>0.4</v>
      </c>
      <c r="I953" s="31" t="s">
        <v>18</v>
      </c>
      <c r="J953" s="31" t="s">
        <v>72</v>
      </c>
      <c r="K953" s="31"/>
      <c r="L953" s="32" t="e">
        <f ca="1">_xludf.ifna(VLOOKUP(E953,Parámetros!$D$2:$E$34,2,0),"")</f>
        <v>#NAME?</v>
      </c>
      <c r="M953" s="32" t="e">
        <f ca="1">_xludf.ifna(VLOOKUP(G953,Proyectos!$A$2:$T$674,20,0),"")</f>
        <v>#NAME?</v>
      </c>
      <c r="N953" s="32" t="e">
        <f ca="1">_xludf.ifna(VLOOKUP(G953,Proyectos!$A$2:$S$674,19,0))</f>
        <v>#NAME?</v>
      </c>
      <c r="O953" s="31"/>
      <c r="P953" s="31"/>
      <c r="Q953" s="33"/>
      <c r="R953" s="33"/>
      <c r="S953" s="33"/>
      <c r="T953" s="33"/>
      <c r="U953" s="33"/>
      <c r="V953" s="33"/>
      <c r="W953" s="33"/>
    </row>
    <row r="954" spans="1:23" ht="16.5" customHeight="1" x14ac:dyDescent="0.2">
      <c r="A954" s="35" t="s">
        <v>4865</v>
      </c>
      <c r="B954" s="35" t="s">
        <v>4866</v>
      </c>
      <c r="C954" s="35" t="s">
        <v>64</v>
      </c>
      <c r="D954" s="35" t="s">
        <v>89</v>
      </c>
      <c r="E954" s="54" t="s">
        <v>83</v>
      </c>
      <c r="F954" s="28" t="e">
        <f ca="1">_xludf.ifna(VLOOKUP(G954,Proyectos!$A$2:$F$674,6,0),"")</f>
        <v>#NAME?</v>
      </c>
      <c r="G954" s="38" t="s">
        <v>5130</v>
      </c>
      <c r="H954" s="32">
        <v>0.5</v>
      </c>
      <c r="I954" s="31" t="s">
        <v>25</v>
      </c>
      <c r="J954" s="31" t="s">
        <v>72</v>
      </c>
      <c r="K954" s="32"/>
      <c r="L954" s="32" t="e">
        <f ca="1">_xludf.ifna(VLOOKUP(E954,Parámetros!$D$2:$E$34,2,0),"")</f>
        <v>#NAME?</v>
      </c>
      <c r="M954" s="32" t="e">
        <f ca="1">_xludf.ifna(VLOOKUP(G954,Proyectos!$A$2:$T$674,20,0),"")</f>
        <v>#NAME?</v>
      </c>
      <c r="N954" s="32" t="e">
        <f ca="1">_xludf.ifna(VLOOKUP(G954,Proyectos!$A$2:$S$674,19,0))</f>
        <v>#NAME?</v>
      </c>
      <c r="O954" s="31"/>
      <c r="P954" s="31"/>
      <c r="Q954" s="33"/>
      <c r="R954" s="33"/>
      <c r="S954" s="33"/>
      <c r="T954" s="33"/>
      <c r="U954" s="33"/>
      <c r="V954" s="33"/>
      <c r="W954" s="33"/>
    </row>
    <row r="955" spans="1:23" ht="16.5" customHeight="1" x14ac:dyDescent="0.2">
      <c r="A955" s="35" t="s">
        <v>4865</v>
      </c>
      <c r="B955" s="35" t="s">
        <v>4866</v>
      </c>
      <c r="C955" s="35" t="s">
        <v>64</v>
      </c>
      <c r="D955" s="35" t="s">
        <v>89</v>
      </c>
      <c r="E955" s="54" t="s">
        <v>83</v>
      </c>
      <c r="F955" s="28" t="e">
        <f ca="1">_xludf.ifna(VLOOKUP(G955,Proyectos!$A$2:$F$674,6,0),"")</f>
        <v>#NAME?</v>
      </c>
      <c r="G955" s="29" t="s">
        <v>5114</v>
      </c>
      <c r="H955" s="32">
        <v>0.5</v>
      </c>
      <c r="I955" s="31" t="s">
        <v>25</v>
      </c>
      <c r="J955" s="31" t="s">
        <v>41</v>
      </c>
      <c r="K955" s="32"/>
      <c r="L955" s="32" t="e">
        <f ca="1">_xludf.ifna(VLOOKUP(E955,Parámetros!$D$2:$E$34,2,0),"")</f>
        <v>#NAME?</v>
      </c>
      <c r="M955" s="32" t="e">
        <f ca="1">_xludf.ifna(VLOOKUP(G955,Proyectos!$A$2:$T$674,20,0),"")</f>
        <v>#NAME?</v>
      </c>
      <c r="N955" s="32" t="e">
        <f ca="1">_xludf.ifna(VLOOKUP(G955,Proyectos!$A$2:$S$674,19,0))</f>
        <v>#NAME?</v>
      </c>
      <c r="O955" s="31"/>
      <c r="P955" s="31"/>
      <c r="Q955" s="33"/>
      <c r="R955" s="33"/>
      <c r="S955" s="33"/>
      <c r="T955" s="33"/>
      <c r="U955" s="33"/>
      <c r="V955" s="33"/>
      <c r="W955" s="33"/>
    </row>
    <row r="956" spans="1:23" ht="16.5" customHeight="1" x14ac:dyDescent="0.25">
      <c r="A956" s="88" t="s">
        <v>4658</v>
      </c>
      <c r="B956" s="35" t="s">
        <v>4659</v>
      </c>
      <c r="C956" s="35" t="s">
        <v>64</v>
      </c>
      <c r="D956" s="35" t="s">
        <v>89</v>
      </c>
      <c r="E956" s="54" t="s">
        <v>39</v>
      </c>
      <c r="F956" s="28" t="e">
        <f ca="1">_xludf.ifna(VLOOKUP(G956,Proyectos!$A$2:$F$674,6,0),"")</f>
        <v>#NAME?</v>
      </c>
      <c r="G956" s="38" t="s">
        <v>5369</v>
      </c>
      <c r="H956" s="30">
        <v>1</v>
      </c>
      <c r="I956" s="31" t="s">
        <v>18</v>
      </c>
      <c r="J956" s="31" t="s">
        <v>19</v>
      </c>
      <c r="K956" s="31" t="s">
        <v>4660</v>
      </c>
      <c r="L956" s="32" t="e">
        <f ca="1">_xludf.ifna(VLOOKUP(E956,Parámetros!$D$2:$E$34,2,0),"")</f>
        <v>#NAME?</v>
      </c>
      <c r="M956" s="32" t="e">
        <f ca="1">_xludf.ifna(VLOOKUP(G956,Proyectos!$A$2:$T$674,20,0),"")</f>
        <v>#NAME?</v>
      </c>
      <c r="N956" s="32" t="e">
        <f ca="1">_xludf.ifna(VLOOKUP(G956,Proyectos!$A$2:$S$674,19,0))</f>
        <v>#NAME?</v>
      </c>
      <c r="O956" s="31"/>
      <c r="P956" s="31"/>
      <c r="Q956" s="33"/>
      <c r="R956" s="33"/>
      <c r="S956" s="33"/>
      <c r="T956" s="33"/>
      <c r="U956" s="33"/>
      <c r="V956" s="33"/>
      <c r="W956" s="33"/>
    </row>
    <row r="957" spans="1:23" ht="16.5" customHeight="1" x14ac:dyDescent="0.2">
      <c r="A957" s="35" t="s">
        <v>3844</v>
      </c>
      <c r="B957" s="35" t="s">
        <v>5372</v>
      </c>
      <c r="C957" s="35" t="s">
        <v>64</v>
      </c>
      <c r="D957" s="35" t="s">
        <v>89</v>
      </c>
      <c r="E957" s="54" t="s">
        <v>39</v>
      </c>
      <c r="F957" s="28" t="e">
        <f ca="1">_xludf.ifna(VLOOKUP(G957,Proyectos!$A$2:$F$674,6,0),"")</f>
        <v>#NAME?</v>
      </c>
      <c r="G957" s="29" t="s">
        <v>5373</v>
      </c>
      <c r="H957" s="32">
        <v>0.5</v>
      </c>
      <c r="I957" s="31" t="s">
        <v>18</v>
      </c>
      <c r="J957" s="31" t="s">
        <v>61</v>
      </c>
      <c r="K957" s="31"/>
      <c r="L957" s="32" t="e">
        <f ca="1">_xludf.ifna(VLOOKUP(E957,Parámetros!$D$2:$E$34,2,0),"")</f>
        <v>#NAME?</v>
      </c>
      <c r="M957" s="32" t="e">
        <f ca="1">_xludf.ifna(VLOOKUP(G957,Proyectos!$A$2:$T$674,20,0),"")</f>
        <v>#NAME?</v>
      </c>
      <c r="N957" s="32" t="e">
        <f ca="1">_xludf.ifna(VLOOKUP(G957,Proyectos!$A$2:$S$674,19,0))</f>
        <v>#NAME?</v>
      </c>
      <c r="O957" s="31"/>
      <c r="P957" s="31"/>
      <c r="Q957" s="33"/>
      <c r="R957" s="33"/>
      <c r="S957" s="33"/>
      <c r="T957" s="33"/>
      <c r="U957" s="33"/>
      <c r="V957" s="33"/>
      <c r="W957" s="33"/>
    </row>
    <row r="958" spans="1:23" ht="16.5" customHeight="1" x14ac:dyDescent="0.2">
      <c r="A958" s="35" t="s">
        <v>3586</v>
      </c>
      <c r="B958" s="35" t="s">
        <v>5374</v>
      </c>
      <c r="C958" s="35" t="s">
        <v>64</v>
      </c>
      <c r="D958" s="35" t="s">
        <v>89</v>
      </c>
      <c r="E958" s="54" t="s">
        <v>39</v>
      </c>
      <c r="F958" s="28" t="e">
        <f ca="1">_xludf.ifna(VLOOKUP(G958,Proyectos!$A$2:$F$674,6,0),"")</f>
        <v>#NAME?</v>
      </c>
      <c r="G958" s="29" t="s">
        <v>5369</v>
      </c>
      <c r="H958" s="30">
        <v>1</v>
      </c>
      <c r="I958" s="31" t="s">
        <v>18</v>
      </c>
      <c r="J958" s="31" t="s">
        <v>72</v>
      </c>
      <c r="K958" s="32"/>
      <c r="L958" s="32" t="e">
        <f ca="1">_xludf.ifna(VLOOKUP(E958,Parámetros!$D$2:$E$34,2,0),"")</f>
        <v>#NAME?</v>
      </c>
      <c r="M958" s="32" t="e">
        <f ca="1">_xludf.ifna(VLOOKUP(G958,Proyectos!$A$2:$T$674,20,0),"")</f>
        <v>#NAME?</v>
      </c>
      <c r="N958" s="32" t="e">
        <f ca="1">_xludf.ifna(VLOOKUP(G958,Proyectos!$A$2:$S$674,19,0))</f>
        <v>#NAME?</v>
      </c>
      <c r="O958" s="31"/>
      <c r="P958" s="31"/>
      <c r="Q958" s="33"/>
      <c r="R958" s="33"/>
      <c r="S958" s="33"/>
      <c r="T958" s="33"/>
      <c r="U958" s="33"/>
      <c r="V958" s="33"/>
      <c r="W958" s="33"/>
    </row>
    <row r="959" spans="1:23" ht="16.5" customHeight="1" x14ac:dyDescent="0.2">
      <c r="A959" s="35" t="s">
        <v>4658</v>
      </c>
      <c r="B959" s="35" t="s">
        <v>5375</v>
      </c>
      <c r="C959" s="35" t="s">
        <v>64</v>
      </c>
      <c r="D959" s="35" t="s">
        <v>89</v>
      </c>
      <c r="E959" s="54" t="s">
        <v>39</v>
      </c>
      <c r="F959" s="28" t="e">
        <f ca="1">_xludf.ifna(VLOOKUP(G959,Proyectos!$A$2:$F$674,6,0),"")</f>
        <v>#NAME?</v>
      </c>
      <c r="G959" s="29" t="s">
        <v>5114</v>
      </c>
      <c r="H959" s="30">
        <v>0.2</v>
      </c>
      <c r="I959" s="31" t="s">
        <v>11</v>
      </c>
      <c r="J959" s="31" t="s">
        <v>72</v>
      </c>
      <c r="K959" s="32"/>
      <c r="L959" s="32" t="e">
        <f ca="1">_xludf.ifna(VLOOKUP(E959,Parámetros!$D$2:$E$34,2,0),"")</f>
        <v>#NAME?</v>
      </c>
      <c r="M959" s="32" t="e">
        <f ca="1">_xludf.ifna(VLOOKUP(G959,Proyectos!$A$2:$T$674,20,0),"")</f>
        <v>#NAME?</v>
      </c>
      <c r="N959" s="32" t="e">
        <f ca="1">_xludf.ifna(VLOOKUP(G959,Proyectos!$A$2:$S$674,19,0))</f>
        <v>#NAME?</v>
      </c>
      <c r="O959" s="31"/>
      <c r="P959" s="31"/>
      <c r="Q959" s="33"/>
      <c r="R959" s="33"/>
      <c r="S959" s="33"/>
      <c r="T959" s="33"/>
      <c r="U959" s="33"/>
      <c r="V959" s="33"/>
      <c r="W959" s="33"/>
    </row>
    <row r="960" spans="1:23" ht="16.5" customHeight="1" x14ac:dyDescent="0.2">
      <c r="A960" s="35" t="s">
        <v>4658</v>
      </c>
      <c r="B960" s="35" t="s">
        <v>5375</v>
      </c>
      <c r="C960" s="35" t="s">
        <v>64</v>
      </c>
      <c r="D960" s="35" t="s">
        <v>89</v>
      </c>
      <c r="E960" s="54" t="s">
        <v>39</v>
      </c>
      <c r="F960" s="28" t="e">
        <f ca="1">_xludf.ifna(VLOOKUP(G960,Proyectos!$A$2:$F$674,6,0),"")</f>
        <v>#NAME?</v>
      </c>
      <c r="G960" s="29" t="s">
        <v>5346</v>
      </c>
      <c r="H960" s="30">
        <v>0.2</v>
      </c>
      <c r="I960" s="31" t="s">
        <v>11</v>
      </c>
      <c r="J960" s="31" t="s">
        <v>72</v>
      </c>
      <c r="K960" s="32"/>
      <c r="L960" s="32" t="e">
        <f ca="1">_xludf.ifna(VLOOKUP(E960,Parámetros!$D$2:$E$34,2,0),"")</f>
        <v>#NAME?</v>
      </c>
      <c r="M960" s="32" t="e">
        <f ca="1">_xludf.ifna(VLOOKUP(G960,Proyectos!$A$2:$T$674,20,0),"")</f>
        <v>#NAME?</v>
      </c>
      <c r="N960" s="32" t="e">
        <f ca="1">_xludf.ifna(VLOOKUP(G960,Proyectos!$A$2:$S$674,19,0))</f>
        <v>#NAME?</v>
      </c>
      <c r="O960" s="31"/>
      <c r="P960" s="31"/>
      <c r="Q960" s="33"/>
      <c r="R960" s="33"/>
      <c r="S960" s="33"/>
      <c r="T960" s="33"/>
      <c r="U960" s="33"/>
      <c r="V960" s="33"/>
      <c r="W960" s="33"/>
    </row>
    <row r="961" spans="1:23" ht="16.5" customHeight="1" x14ac:dyDescent="0.2">
      <c r="A961" s="35" t="s">
        <v>4658</v>
      </c>
      <c r="B961" s="35" t="s">
        <v>5375</v>
      </c>
      <c r="C961" s="35" t="s">
        <v>64</v>
      </c>
      <c r="D961" s="35" t="s">
        <v>89</v>
      </c>
      <c r="E961" s="54" t="s">
        <v>39</v>
      </c>
      <c r="F961" s="28" t="e">
        <f ca="1">_xludf.ifna(VLOOKUP(G961,Proyectos!$A$2:$F$674,6,0),"")</f>
        <v>#NAME?</v>
      </c>
      <c r="G961" s="29" t="s">
        <v>5369</v>
      </c>
      <c r="H961" s="30">
        <v>0.2</v>
      </c>
      <c r="I961" s="31" t="s">
        <v>11</v>
      </c>
      <c r="J961" s="31" t="s">
        <v>72</v>
      </c>
      <c r="K961" s="32"/>
      <c r="L961" s="32" t="e">
        <f ca="1">_xludf.ifna(VLOOKUP(E961,Parámetros!$D$2:$E$34,2,0),"")</f>
        <v>#NAME?</v>
      </c>
      <c r="M961" s="32" t="e">
        <f ca="1">_xludf.ifna(VLOOKUP(G961,Proyectos!$A$2:$T$674,20,0),"")</f>
        <v>#NAME?</v>
      </c>
      <c r="N961" s="32" t="e">
        <f ca="1">_xludf.ifna(VLOOKUP(G961,Proyectos!$A$2:$S$674,19,0))</f>
        <v>#NAME?</v>
      </c>
      <c r="O961" s="31"/>
      <c r="P961" s="31"/>
      <c r="Q961" s="33"/>
      <c r="R961" s="33"/>
      <c r="S961" s="33"/>
      <c r="T961" s="33"/>
      <c r="U961" s="33"/>
      <c r="V961" s="33"/>
      <c r="W961" s="33"/>
    </row>
    <row r="962" spans="1:23" ht="16.5" customHeight="1" x14ac:dyDescent="0.2">
      <c r="A962" s="35" t="s">
        <v>4658</v>
      </c>
      <c r="B962" s="35" t="s">
        <v>5375</v>
      </c>
      <c r="C962" s="35" t="s">
        <v>64</v>
      </c>
      <c r="D962" s="35" t="s">
        <v>89</v>
      </c>
      <c r="E962" s="54" t="s">
        <v>39</v>
      </c>
      <c r="F962" s="28" t="e">
        <f ca="1">_xludf.ifna(VLOOKUP(G962,Proyectos!$A$2:$F$674,6,0),"")</f>
        <v>#NAME?</v>
      </c>
      <c r="G962" s="29" t="s">
        <v>5131</v>
      </c>
      <c r="H962" s="30">
        <v>0.05</v>
      </c>
      <c r="I962" s="31" t="s">
        <v>11</v>
      </c>
      <c r="J962" s="31" t="s">
        <v>72</v>
      </c>
      <c r="K962" s="32"/>
      <c r="L962" s="32" t="e">
        <f ca="1">_xludf.ifna(VLOOKUP(E962,Parámetros!$D$2:$E$34,2,0),"")</f>
        <v>#NAME?</v>
      </c>
      <c r="M962" s="32" t="e">
        <f ca="1">_xludf.ifna(VLOOKUP(G962,Proyectos!$A$2:$T$674,20,0),"")</f>
        <v>#NAME?</v>
      </c>
      <c r="N962" s="32" t="e">
        <f ca="1">_xludf.ifna(VLOOKUP(G962,Proyectos!$A$2:$S$674,19,0))</f>
        <v>#NAME?</v>
      </c>
      <c r="O962" s="31"/>
      <c r="P962" s="31"/>
      <c r="Q962" s="33"/>
      <c r="R962" s="33"/>
      <c r="S962" s="33"/>
      <c r="T962" s="33"/>
      <c r="U962" s="33"/>
      <c r="V962" s="33"/>
      <c r="W962" s="33"/>
    </row>
    <row r="963" spans="1:23" ht="16.5" customHeight="1" x14ac:dyDescent="0.2">
      <c r="A963" s="35" t="s">
        <v>4658</v>
      </c>
      <c r="B963" s="35" t="s">
        <v>5375</v>
      </c>
      <c r="C963" s="35" t="s">
        <v>64</v>
      </c>
      <c r="D963" s="35" t="s">
        <v>89</v>
      </c>
      <c r="E963" s="54" t="s">
        <v>39</v>
      </c>
      <c r="F963" s="28" t="e">
        <f ca="1">_xludf.ifna(VLOOKUP(G963,Proyectos!$A$2:$F$674,6,0),"")</f>
        <v>#NAME?</v>
      </c>
      <c r="G963" s="29" t="s">
        <v>5373</v>
      </c>
      <c r="H963" s="30">
        <v>0.05</v>
      </c>
      <c r="I963" s="31" t="s">
        <v>11</v>
      </c>
      <c r="J963" s="31" t="s">
        <v>72</v>
      </c>
      <c r="K963" s="32"/>
      <c r="L963" s="32" t="e">
        <f ca="1">_xludf.ifna(VLOOKUP(E963,Parámetros!$D$2:$E$34,2,0),"")</f>
        <v>#NAME?</v>
      </c>
      <c r="M963" s="32" t="e">
        <f ca="1">_xludf.ifna(VLOOKUP(G963,Proyectos!$A$2:$T$674,20,0),"")</f>
        <v>#NAME?</v>
      </c>
      <c r="N963" s="32" t="e">
        <f ca="1">_xludf.ifna(VLOOKUP(G963,Proyectos!$A$2:$S$674,19,0))</f>
        <v>#NAME?</v>
      </c>
      <c r="O963" s="31"/>
      <c r="P963" s="31"/>
      <c r="Q963" s="33"/>
      <c r="R963" s="33"/>
      <c r="S963" s="33"/>
      <c r="T963" s="33"/>
      <c r="U963" s="33"/>
      <c r="V963" s="33"/>
      <c r="W963" s="33"/>
    </row>
    <row r="964" spans="1:23" ht="16.5" customHeight="1" x14ac:dyDescent="0.2">
      <c r="A964" s="35" t="s">
        <v>4658</v>
      </c>
      <c r="B964" s="35" t="s">
        <v>5375</v>
      </c>
      <c r="C964" s="35" t="s">
        <v>64</v>
      </c>
      <c r="D964" s="35" t="s">
        <v>89</v>
      </c>
      <c r="E964" s="54" t="s">
        <v>39</v>
      </c>
      <c r="F964" s="28" t="e">
        <f ca="1">_xludf.ifna(VLOOKUP(G964,Proyectos!$A$2:$F$674,6,0),"")</f>
        <v>#NAME?</v>
      </c>
      <c r="G964" s="29" t="s">
        <v>5130</v>
      </c>
      <c r="H964" s="30">
        <v>0.2</v>
      </c>
      <c r="I964" s="31" t="s">
        <v>11</v>
      </c>
      <c r="J964" s="31" t="s">
        <v>72</v>
      </c>
      <c r="K964" s="32"/>
      <c r="L964" s="32" t="e">
        <f ca="1">_xludf.ifna(VLOOKUP(E964,Parámetros!$D$2:$E$34,2,0),"")</f>
        <v>#NAME?</v>
      </c>
      <c r="M964" s="32" t="e">
        <f ca="1">_xludf.ifna(VLOOKUP(G964,Proyectos!$A$2:$T$674,20,0),"")</f>
        <v>#NAME?</v>
      </c>
      <c r="N964" s="32" t="e">
        <f ca="1">_xludf.ifna(VLOOKUP(G964,Proyectos!$A$2:$S$674,19,0))</f>
        <v>#NAME?</v>
      </c>
      <c r="O964" s="31"/>
      <c r="P964" s="31"/>
      <c r="Q964" s="33"/>
      <c r="R964" s="33"/>
      <c r="S964" s="33"/>
      <c r="T964" s="33"/>
      <c r="U964" s="33"/>
      <c r="V964" s="33"/>
      <c r="W964" s="33"/>
    </row>
    <row r="965" spans="1:23" ht="16.5" customHeight="1" x14ac:dyDescent="0.2">
      <c r="A965" s="35" t="s">
        <v>4658</v>
      </c>
      <c r="B965" s="35" t="s">
        <v>5375</v>
      </c>
      <c r="C965" s="35" t="s">
        <v>64</v>
      </c>
      <c r="D965" s="35" t="s">
        <v>89</v>
      </c>
      <c r="E965" s="54" t="s">
        <v>39</v>
      </c>
      <c r="F965" s="28" t="e">
        <f ca="1">_xludf.ifna(VLOOKUP(G965,Proyectos!$A$2:$F$674,6,0),"")</f>
        <v>#NAME?</v>
      </c>
      <c r="G965" s="29" t="s">
        <v>5229</v>
      </c>
      <c r="H965" s="30">
        <v>0.1</v>
      </c>
      <c r="I965" s="31" t="s">
        <v>11</v>
      </c>
      <c r="J965" s="31" t="s">
        <v>72</v>
      </c>
      <c r="K965" s="32"/>
      <c r="L965" s="32" t="e">
        <f ca="1">_xludf.ifna(VLOOKUP(E965,Parámetros!$D$2:$E$34,2,0),"")</f>
        <v>#NAME?</v>
      </c>
      <c r="M965" s="32" t="e">
        <f ca="1">_xludf.ifna(VLOOKUP(G965,Proyectos!$A$2:$T$674,20,0),"")</f>
        <v>#NAME?</v>
      </c>
      <c r="N965" s="32" t="e">
        <f ca="1">_xludf.ifna(VLOOKUP(G965,Proyectos!$A$2:$S$674,19,0))</f>
        <v>#NAME?</v>
      </c>
      <c r="O965" s="31"/>
      <c r="P965" s="31"/>
      <c r="Q965" s="33"/>
      <c r="R965" s="33"/>
      <c r="S965" s="33"/>
      <c r="T965" s="33"/>
      <c r="U965" s="33"/>
      <c r="V965" s="33"/>
      <c r="W965" s="33"/>
    </row>
    <row r="966" spans="1:23" ht="16.5" customHeight="1" x14ac:dyDescent="0.2">
      <c r="A966" s="35" t="s">
        <v>3626</v>
      </c>
      <c r="B966" s="35" t="s">
        <v>5376</v>
      </c>
      <c r="C966" s="35" t="s">
        <v>64</v>
      </c>
      <c r="D966" s="35" t="s">
        <v>89</v>
      </c>
      <c r="E966" s="54" t="s">
        <v>39</v>
      </c>
      <c r="F966" s="28" t="e">
        <f ca="1">_xludf.ifna(VLOOKUP(G966,Proyectos!$A$2:$F$674,6,0),"")</f>
        <v>#NAME?</v>
      </c>
      <c r="G966" s="29" t="s">
        <v>5346</v>
      </c>
      <c r="H966" s="30">
        <v>1</v>
      </c>
      <c r="I966" s="31" t="s">
        <v>18</v>
      </c>
      <c r="J966" s="31" t="s">
        <v>61</v>
      </c>
      <c r="K966" s="32"/>
      <c r="L966" s="32" t="e">
        <f ca="1">_xludf.ifna(VLOOKUP(E966,Parámetros!$D$2:$E$34,2,0),"")</f>
        <v>#NAME?</v>
      </c>
      <c r="M966" s="32" t="e">
        <f ca="1">_xludf.ifna(VLOOKUP(G966,Proyectos!$A$2:$T$674,20,0),"")</f>
        <v>#NAME?</v>
      </c>
      <c r="N966" s="32" t="e">
        <f ca="1">_xludf.ifna(VLOOKUP(G966,Proyectos!$A$2:$S$674,19,0))</f>
        <v>#NAME?</v>
      </c>
      <c r="O966" s="31"/>
      <c r="P966" s="31"/>
      <c r="Q966" s="33"/>
      <c r="R966" s="33"/>
      <c r="S966" s="33"/>
      <c r="T966" s="33"/>
      <c r="U966" s="33"/>
      <c r="V966" s="33"/>
      <c r="W966" s="33"/>
    </row>
    <row r="967" spans="1:23" ht="16.5" customHeight="1" x14ac:dyDescent="0.2">
      <c r="A967" s="35" t="s">
        <v>3329</v>
      </c>
      <c r="B967" s="35" t="s">
        <v>5377</v>
      </c>
      <c r="C967" s="35" t="s">
        <v>64</v>
      </c>
      <c r="D967" s="35" t="s">
        <v>89</v>
      </c>
      <c r="E967" s="54" t="s">
        <v>39</v>
      </c>
      <c r="F967" s="28" t="e">
        <f ca="1">_xludf.ifna(VLOOKUP(G967,Proyectos!$A$2:$F$674,6,0),"")</f>
        <v>#NAME?</v>
      </c>
      <c r="G967" s="29" t="s">
        <v>5130</v>
      </c>
      <c r="H967" s="30">
        <v>0.5</v>
      </c>
      <c r="I967" s="31" t="s">
        <v>18</v>
      </c>
      <c r="J967" s="31" t="s">
        <v>41</v>
      </c>
      <c r="K967" s="32"/>
      <c r="L967" s="32" t="e">
        <f ca="1">_xludf.ifna(VLOOKUP(E967,Parámetros!$D$2:$E$34,2,0),"")</f>
        <v>#NAME?</v>
      </c>
      <c r="M967" s="32" t="e">
        <f ca="1">_xludf.ifna(VLOOKUP(G967,Proyectos!$A$2:$T$674,20,0),"")</f>
        <v>#NAME?</v>
      </c>
      <c r="N967" s="32" t="e">
        <f ca="1">_xludf.ifna(VLOOKUP(G967,Proyectos!$A$2:$S$674,19,0))</f>
        <v>#NAME?</v>
      </c>
      <c r="O967" s="31"/>
      <c r="P967" s="31"/>
      <c r="Q967" s="33"/>
      <c r="R967" s="33"/>
      <c r="S967" s="33"/>
      <c r="T967" s="33"/>
      <c r="U967" s="33"/>
      <c r="V967" s="33"/>
      <c r="W967" s="33"/>
    </row>
    <row r="968" spans="1:23" ht="16.5" customHeight="1" x14ac:dyDescent="0.2">
      <c r="A968" s="35" t="s">
        <v>3329</v>
      </c>
      <c r="B968" s="35" t="s">
        <v>5377</v>
      </c>
      <c r="C968" s="35" t="s">
        <v>64</v>
      </c>
      <c r="D968" s="35" t="s">
        <v>89</v>
      </c>
      <c r="E968" s="54" t="s">
        <v>39</v>
      </c>
      <c r="F968" s="28" t="e">
        <f ca="1">_xludf.ifna(VLOOKUP(G968,Proyectos!$A$2:$F$674,6,0),"")</f>
        <v>#NAME?</v>
      </c>
      <c r="G968" s="29" t="s">
        <v>5229</v>
      </c>
      <c r="H968" s="30">
        <v>0.5</v>
      </c>
      <c r="I968" s="31" t="s">
        <v>18</v>
      </c>
      <c r="J968" s="31" t="s">
        <v>41</v>
      </c>
      <c r="K968" s="32"/>
      <c r="L968" s="32" t="e">
        <f ca="1">_xludf.ifna(VLOOKUP(E968,Parámetros!$D$2:$E$34,2,0),"")</f>
        <v>#NAME?</v>
      </c>
      <c r="M968" s="32" t="e">
        <f ca="1">_xludf.ifna(VLOOKUP(G968,Proyectos!$A$2:$T$674,20,0),"")</f>
        <v>#NAME?</v>
      </c>
      <c r="N968" s="32" t="e">
        <f ca="1">_xludf.ifna(VLOOKUP(G968,Proyectos!$A$2:$S$674,19,0))</f>
        <v>#NAME?</v>
      </c>
      <c r="O968" s="31"/>
      <c r="P968" s="31"/>
      <c r="Q968" s="33"/>
      <c r="R968" s="33"/>
      <c r="S968" s="33"/>
      <c r="T968" s="33"/>
      <c r="U968" s="33"/>
      <c r="V968" s="33"/>
      <c r="W968" s="33"/>
    </row>
    <row r="969" spans="1:23" ht="16.5" customHeight="1" x14ac:dyDescent="0.2">
      <c r="A969" s="35" t="s">
        <v>4717</v>
      </c>
      <c r="B969" s="35" t="s">
        <v>4718</v>
      </c>
      <c r="C969" s="35" t="s">
        <v>64</v>
      </c>
      <c r="D969" s="35" t="s">
        <v>89</v>
      </c>
      <c r="E969" s="54" t="s">
        <v>39</v>
      </c>
      <c r="F969" s="28" t="e">
        <f ca="1">_xludf.ifna(VLOOKUP(G969,Proyectos!$A$2:$F$674,6,0),"")</f>
        <v>#NAME?</v>
      </c>
      <c r="G969" s="29" t="s">
        <v>5114</v>
      </c>
      <c r="H969" s="30">
        <v>1</v>
      </c>
      <c r="I969" s="31" t="s">
        <v>18</v>
      </c>
      <c r="J969" s="31" t="s">
        <v>61</v>
      </c>
      <c r="K969" s="32"/>
      <c r="L969" s="32" t="e">
        <f ca="1">_xludf.ifna(VLOOKUP(E969,Parámetros!$D$2:$E$34,2,0),"")</f>
        <v>#NAME?</v>
      </c>
      <c r="M969" s="32" t="e">
        <f ca="1">_xludf.ifna(VLOOKUP(G969,Proyectos!$A$2:$T$674,20,0),"")</f>
        <v>#NAME?</v>
      </c>
      <c r="N969" s="32" t="e">
        <f ca="1">_xludf.ifna(VLOOKUP(G969,Proyectos!$A$2:$S$674,19,0))</f>
        <v>#NAME?</v>
      </c>
      <c r="O969" s="31"/>
      <c r="P969" s="31"/>
      <c r="Q969" s="33"/>
      <c r="R969" s="33"/>
      <c r="S969" s="33"/>
      <c r="T969" s="33"/>
      <c r="U969" s="33"/>
      <c r="V969" s="33"/>
      <c r="W969" s="33"/>
    </row>
    <row r="970" spans="1:23" ht="16.5" customHeight="1" x14ac:dyDescent="0.2">
      <c r="A970" s="35" t="s">
        <v>3844</v>
      </c>
      <c r="B970" s="35" t="s">
        <v>5372</v>
      </c>
      <c r="C970" s="35" t="s">
        <v>64</v>
      </c>
      <c r="D970" s="35" t="s">
        <v>89</v>
      </c>
      <c r="E970" s="54" t="s">
        <v>39</v>
      </c>
      <c r="F970" s="28" t="e">
        <f ca="1">_xludf.ifna(VLOOKUP(G970,Proyectos!$A$2:$F$674,6,0),"")</f>
        <v>#NAME?</v>
      </c>
      <c r="G970" s="29" t="s">
        <v>5114</v>
      </c>
      <c r="H970" s="32">
        <v>0.5</v>
      </c>
      <c r="I970" s="31" t="s">
        <v>18</v>
      </c>
      <c r="J970" s="31" t="s">
        <v>61</v>
      </c>
      <c r="K970" s="32"/>
      <c r="L970" s="32" t="e">
        <f ca="1">_xludf.ifna(VLOOKUP(E970,Parámetros!$D$2:$E$34,2,0),"")</f>
        <v>#NAME?</v>
      </c>
      <c r="M970" s="32" t="e">
        <f ca="1">_xludf.ifna(VLOOKUP(G970,Proyectos!$A$2:$T$674,20,0),"")</f>
        <v>#NAME?</v>
      </c>
      <c r="N970" s="32" t="e">
        <f ca="1">_xludf.ifna(VLOOKUP(G970,Proyectos!$A$2:$S$674,19,0))</f>
        <v>#NAME?</v>
      </c>
      <c r="O970" s="31"/>
      <c r="P970" s="31"/>
      <c r="Q970" s="33"/>
      <c r="R970" s="33"/>
      <c r="S970" s="33"/>
      <c r="T970" s="33"/>
      <c r="U970" s="33"/>
      <c r="V970" s="33"/>
      <c r="W970" s="33"/>
    </row>
    <row r="971" spans="1:23" ht="16.5" customHeight="1" x14ac:dyDescent="0.2">
      <c r="A971" s="35" t="s">
        <v>3520</v>
      </c>
      <c r="B971" s="35" t="s">
        <v>5371</v>
      </c>
      <c r="C971" s="35" t="s">
        <v>64</v>
      </c>
      <c r="D971" s="35" t="s">
        <v>89</v>
      </c>
      <c r="E971" s="54" t="s">
        <v>39</v>
      </c>
      <c r="F971" s="28" t="e">
        <f ca="1">_xludf.ifna(VLOOKUP(G971,Proyectos!$A$2:$F$674,6,0),"")</f>
        <v>#NAME?</v>
      </c>
      <c r="G971" s="29" t="s">
        <v>5131</v>
      </c>
      <c r="H971" s="32">
        <v>0.5</v>
      </c>
      <c r="I971" s="31" t="s">
        <v>18</v>
      </c>
      <c r="J971" s="31" t="s">
        <v>41</v>
      </c>
      <c r="K971" s="32"/>
      <c r="L971" s="32" t="e">
        <f ca="1">_xludf.ifna(VLOOKUP(E971,Parámetros!$D$2:$E$34,2,0),"")</f>
        <v>#NAME?</v>
      </c>
      <c r="M971" s="32" t="e">
        <f ca="1">_xludf.ifna(VLOOKUP(G971,Proyectos!$A$2:$T$674,20,0),"")</f>
        <v>#NAME?</v>
      </c>
      <c r="N971" s="32" t="e">
        <f ca="1">_xludf.ifna(VLOOKUP(G971,Proyectos!$A$2:$S$674,19,0))</f>
        <v>#NAME?</v>
      </c>
      <c r="O971" s="32"/>
      <c r="P971" s="31"/>
      <c r="Q971" s="33"/>
      <c r="R971" s="33"/>
      <c r="S971" s="33"/>
      <c r="T971" s="33"/>
      <c r="U971" s="33"/>
      <c r="V971" s="33"/>
      <c r="W971" s="33"/>
    </row>
    <row r="972" spans="1:23" ht="16.5" customHeight="1" x14ac:dyDescent="0.2">
      <c r="A972" s="35" t="s">
        <v>3520</v>
      </c>
      <c r="B972" s="35" t="s">
        <v>5371</v>
      </c>
      <c r="C972" s="35" t="s">
        <v>64</v>
      </c>
      <c r="D972" s="35" t="s">
        <v>89</v>
      </c>
      <c r="E972" s="54" t="s">
        <v>39</v>
      </c>
      <c r="F972" s="28" t="e">
        <f ca="1">_xludf.ifna(VLOOKUP(G972,Proyectos!$A$2:$F$674,6,0),"")</f>
        <v>#NAME?</v>
      </c>
      <c r="G972" s="29" t="s">
        <v>5114</v>
      </c>
      <c r="H972" s="30">
        <v>0.1</v>
      </c>
      <c r="I972" s="31" t="s">
        <v>18</v>
      </c>
      <c r="J972" s="31" t="s">
        <v>41</v>
      </c>
      <c r="K972" s="32"/>
      <c r="L972" s="32" t="e">
        <f ca="1">_xludf.ifna(VLOOKUP(E972,Parámetros!$D$2:$E$34,2,0),"")</f>
        <v>#NAME?</v>
      </c>
      <c r="M972" s="32" t="e">
        <f ca="1">_xludf.ifna(VLOOKUP(G972,Proyectos!$A$2:$T$674,20,0),"")</f>
        <v>#NAME?</v>
      </c>
      <c r="N972" s="32" t="e">
        <f ca="1">_xludf.ifna(VLOOKUP(G972,Proyectos!$A$2:$S$674,19,0))</f>
        <v>#NAME?</v>
      </c>
      <c r="O972" s="32"/>
      <c r="P972" s="31"/>
      <c r="Q972" s="33"/>
      <c r="R972" s="33"/>
      <c r="S972" s="33"/>
      <c r="T972" s="33"/>
      <c r="U972" s="33"/>
      <c r="V972" s="33"/>
      <c r="W972" s="33"/>
    </row>
    <row r="973" spans="1:23" ht="16.5" customHeight="1" x14ac:dyDescent="0.2">
      <c r="A973" s="35" t="s">
        <v>4039</v>
      </c>
      <c r="B973" s="35" t="s">
        <v>4040</v>
      </c>
      <c r="C973" s="35" t="s">
        <v>64</v>
      </c>
      <c r="D973" s="35" t="s">
        <v>89</v>
      </c>
      <c r="E973" s="54" t="s">
        <v>108</v>
      </c>
      <c r="F973" s="28" t="e">
        <f ca="1">_xludf.ifna(VLOOKUP(G973,Proyectos!$A$2:$F$674,6,0),"")</f>
        <v>#NAME?</v>
      </c>
      <c r="G973" s="29" t="s">
        <v>5130</v>
      </c>
      <c r="H973" s="32">
        <v>0.5</v>
      </c>
      <c r="I973" s="31" t="s">
        <v>25</v>
      </c>
      <c r="J973" s="32"/>
      <c r="K973" s="32"/>
      <c r="L973" s="32" t="e">
        <f ca="1">_xludf.ifna(VLOOKUP(E973,Parámetros!$D$2:$E$34,2,0),"")</f>
        <v>#NAME?</v>
      </c>
      <c r="M973" s="32" t="e">
        <f ca="1">_xludf.ifna(VLOOKUP(G973,Proyectos!$A$2:$T$674,20,0),"")</f>
        <v>#NAME?</v>
      </c>
      <c r="N973" s="32" t="e">
        <f ca="1">_xludf.ifna(VLOOKUP(G973,Proyectos!$A$2:$S$674,19,0))</f>
        <v>#NAME?</v>
      </c>
      <c r="O973" s="32"/>
      <c r="P973" s="31"/>
      <c r="Q973" s="33"/>
      <c r="R973" s="33"/>
      <c r="S973" s="33"/>
      <c r="T973" s="33"/>
      <c r="U973" s="33"/>
      <c r="V973" s="33"/>
      <c r="W973" s="33"/>
    </row>
    <row r="974" spans="1:23" ht="16.5" customHeight="1" x14ac:dyDescent="0.2">
      <c r="A974" s="54" t="s">
        <v>4587</v>
      </c>
      <c r="B974" s="35" t="s">
        <v>4588</v>
      </c>
      <c r="C974" s="35" t="s">
        <v>64</v>
      </c>
      <c r="D974" s="35" t="s">
        <v>82</v>
      </c>
      <c r="E974" s="35" t="s">
        <v>39</v>
      </c>
      <c r="F974" s="28" t="e">
        <f ca="1">_xludf.ifna(VLOOKUP(G974,Proyectos!$A$2:$F$674,6,0),"")</f>
        <v>#NAME?</v>
      </c>
      <c r="G974" s="26" t="s">
        <v>5378</v>
      </c>
      <c r="H974" s="30">
        <v>0.2</v>
      </c>
      <c r="I974" s="52" t="s">
        <v>11</v>
      </c>
      <c r="J974" s="31" t="s">
        <v>26</v>
      </c>
      <c r="K974" s="32"/>
      <c r="L974" s="32" t="e">
        <f ca="1">_xludf.ifna(VLOOKUP(E974,Parámetros!$D$2:$E$34,2,0),"")</f>
        <v>#NAME?</v>
      </c>
      <c r="M974" s="32" t="e">
        <f ca="1">_xludf.ifna(VLOOKUP(G974,Proyectos!$A$2:$T$674,20,0),"")</f>
        <v>#NAME?</v>
      </c>
      <c r="N974" s="32" t="e">
        <f ca="1">_xludf.ifna(VLOOKUP(G974,Proyectos!$A$2:$S$674,19,0))</f>
        <v>#NAME?</v>
      </c>
      <c r="O974" s="32"/>
      <c r="P974" s="31"/>
      <c r="Q974" s="33"/>
      <c r="R974" s="33"/>
      <c r="S974" s="33"/>
      <c r="T974" s="33"/>
      <c r="U974" s="33"/>
      <c r="V974" s="33"/>
      <c r="W974" s="33"/>
    </row>
    <row r="975" spans="1:23" ht="16.5" customHeight="1" x14ac:dyDescent="0.2">
      <c r="A975" s="35" t="s">
        <v>3769</v>
      </c>
      <c r="B975" s="35" t="s">
        <v>5379</v>
      </c>
      <c r="C975" s="35" t="s">
        <v>64</v>
      </c>
      <c r="D975" s="35" t="s">
        <v>82</v>
      </c>
      <c r="E975" s="35" t="s">
        <v>39</v>
      </c>
      <c r="F975" s="28" t="e">
        <f ca="1">_xludf.ifna(VLOOKUP(G975,Proyectos!$A$2:$F$674,6,0),"")</f>
        <v>#NAME?</v>
      </c>
      <c r="G975" s="26" t="s">
        <v>5378</v>
      </c>
      <c r="H975" s="59">
        <v>1</v>
      </c>
      <c r="I975" s="52" t="s">
        <v>18</v>
      </c>
      <c r="J975" s="31" t="s">
        <v>41</v>
      </c>
      <c r="K975" s="32"/>
      <c r="L975" s="32" t="e">
        <f ca="1">_xludf.ifna(VLOOKUP(E975,Parámetros!$D$2:$E$34,2,0),"")</f>
        <v>#NAME?</v>
      </c>
      <c r="M975" s="32" t="e">
        <f ca="1">_xludf.ifna(VLOOKUP(G975,Proyectos!$A$2:$T$674,20,0),"")</f>
        <v>#NAME?</v>
      </c>
      <c r="N975" s="32" t="e">
        <f ca="1">_xludf.ifna(VLOOKUP(G975,Proyectos!$A$2:$S$674,19,0))</f>
        <v>#NAME?</v>
      </c>
      <c r="O975" s="32"/>
      <c r="P975" s="31"/>
      <c r="Q975" s="33"/>
      <c r="R975" s="33"/>
      <c r="S975" s="33"/>
      <c r="T975" s="33"/>
      <c r="U975" s="33"/>
      <c r="V975" s="33"/>
      <c r="W975" s="33"/>
    </row>
    <row r="976" spans="1:23" ht="16.5" customHeight="1" x14ac:dyDescent="0.2">
      <c r="A976" s="35" t="s">
        <v>3408</v>
      </c>
      <c r="B976" s="26" t="s">
        <v>5380</v>
      </c>
      <c r="C976" s="26" t="s">
        <v>64</v>
      </c>
      <c r="D976" s="26" t="s">
        <v>82</v>
      </c>
      <c r="E976" s="35" t="s">
        <v>39</v>
      </c>
      <c r="F976" s="28" t="e">
        <f ca="1">_xludf.ifna(VLOOKUP(G976,Proyectos!$A$2:$F$674,6,0),"")</f>
        <v>#NAME?</v>
      </c>
      <c r="G976" s="26" t="s">
        <v>5378</v>
      </c>
      <c r="H976" s="32">
        <v>0.4</v>
      </c>
      <c r="I976" s="31" t="s">
        <v>18</v>
      </c>
      <c r="J976" s="32"/>
      <c r="K976" s="32" t="str">
        <f>IF(E976="BBVA","Interno","Externo")</f>
        <v>Interno</v>
      </c>
      <c r="L976" s="32" t="e">
        <f ca="1">_xludf.ifna(VLOOKUP(E976,Parámetros!$D$2:$E$34,2,0),"")</f>
        <v>#NAME?</v>
      </c>
      <c r="M976" s="32" t="e">
        <f ca="1">_xludf.ifna(VLOOKUP(G976,Proyectos!$A$2:$T$674,20,0),"")</f>
        <v>#NAME?</v>
      </c>
      <c r="N976" s="32" t="e">
        <f ca="1">_xludf.ifna(VLOOKUP(G976,Proyectos!$A$2:$S$674,19,0))</f>
        <v>#NAME?</v>
      </c>
      <c r="O976" s="31"/>
      <c r="P976" s="33"/>
      <c r="Q976" s="33"/>
      <c r="R976" s="33"/>
      <c r="S976" s="33"/>
      <c r="T976" s="33"/>
      <c r="U976" s="33"/>
      <c r="V976" s="33"/>
      <c r="W976" s="33"/>
    </row>
    <row r="977" spans="1:23" ht="16.5" customHeight="1" x14ac:dyDescent="0.2">
      <c r="A977" s="35"/>
      <c r="B977" s="35" t="s">
        <v>5381</v>
      </c>
      <c r="C977" s="35" t="s">
        <v>64</v>
      </c>
      <c r="D977" s="35" t="s">
        <v>82</v>
      </c>
      <c r="E977" s="35" t="s">
        <v>9</v>
      </c>
      <c r="F977" s="28" t="e">
        <f ca="1">_xludf.ifna(VLOOKUP(G977,Proyectos!$A$2:$F$674,6,0),"")</f>
        <v>#NAME?</v>
      </c>
      <c r="G977" s="26" t="s">
        <v>5378</v>
      </c>
      <c r="H977" s="30">
        <v>1</v>
      </c>
      <c r="I977" s="52" t="s">
        <v>18</v>
      </c>
      <c r="J977" s="31" t="s">
        <v>19</v>
      </c>
      <c r="K977" s="32"/>
      <c r="L977" s="32" t="e">
        <f ca="1">_xludf.ifna(VLOOKUP(E977,Parámetros!$D$2:$E$34,2,0),"")</f>
        <v>#NAME?</v>
      </c>
      <c r="M977" s="32" t="e">
        <f ca="1">_xludf.ifna(VLOOKUP(G977,Proyectos!$A$2:$T$674,20,0),"")</f>
        <v>#NAME?</v>
      </c>
      <c r="N977" s="32" t="e">
        <f ca="1">_xludf.ifna(VLOOKUP(G977,Proyectos!$A$2:$S$674,19,0))</f>
        <v>#NAME?</v>
      </c>
      <c r="O977" s="32"/>
      <c r="P977" s="31"/>
      <c r="Q977" s="33"/>
      <c r="R977" s="33"/>
      <c r="S977" s="33"/>
      <c r="T977" s="33"/>
      <c r="U977" s="33"/>
      <c r="V977" s="33"/>
      <c r="W977" s="33"/>
    </row>
    <row r="978" spans="1:23" ht="16.5" customHeight="1" x14ac:dyDescent="0.2">
      <c r="A978" s="35"/>
      <c r="B978" s="35" t="s">
        <v>5381</v>
      </c>
      <c r="C978" s="35" t="s">
        <v>64</v>
      </c>
      <c r="D978" s="35" t="s">
        <v>82</v>
      </c>
      <c r="E978" s="35" t="s">
        <v>9</v>
      </c>
      <c r="F978" s="28" t="e">
        <f ca="1">_xludf.ifna(VLOOKUP(G978,Proyectos!$A$2:$F$674,6,0),"")</f>
        <v>#NAME?</v>
      </c>
      <c r="G978" s="26" t="s">
        <v>5378</v>
      </c>
      <c r="H978" s="30">
        <v>1</v>
      </c>
      <c r="I978" s="52" t="s">
        <v>18</v>
      </c>
      <c r="J978" s="31" t="s">
        <v>19</v>
      </c>
      <c r="K978" s="44"/>
      <c r="L978" s="32" t="e">
        <f ca="1">_xludf.ifna(VLOOKUP(E978,Parámetros!$D$2:$E$34,2,0),"")</f>
        <v>#NAME?</v>
      </c>
      <c r="M978" s="32" t="e">
        <f ca="1">_xludf.ifna(VLOOKUP(G978,Proyectos!$A$2:$T$674,20,0),"")</f>
        <v>#NAME?</v>
      </c>
      <c r="N978" s="32" t="e">
        <f ca="1">_xludf.ifna(VLOOKUP(G978,Proyectos!$A$2:$S$674,19,0))</f>
        <v>#NAME?</v>
      </c>
      <c r="O978" s="31"/>
      <c r="P978" s="31"/>
      <c r="Q978" s="33"/>
      <c r="R978" s="33"/>
      <c r="S978" s="33"/>
      <c r="T978" s="33"/>
      <c r="U978" s="33"/>
      <c r="V978" s="33"/>
      <c r="W978" s="33"/>
    </row>
    <row r="979" spans="1:23" ht="16.5" customHeight="1" x14ac:dyDescent="0.2">
      <c r="A979" s="35"/>
      <c r="B979" s="35" t="s">
        <v>5381</v>
      </c>
      <c r="C979" s="35" t="s">
        <v>64</v>
      </c>
      <c r="D979" s="35" t="s">
        <v>82</v>
      </c>
      <c r="E979" s="35" t="s">
        <v>9</v>
      </c>
      <c r="F979" s="28" t="e">
        <f ca="1">_xludf.ifna(VLOOKUP(G979,Proyectos!$A$2:$F$674,6,0),"")</f>
        <v>#NAME?</v>
      </c>
      <c r="G979" s="26" t="s">
        <v>5378</v>
      </c>
      <c r="H979" s="30">
        <v>1</v>
      </c>
      <c r="I979" s="52" t="s">
        <v>18</v>
      </c>
      <c r="J979" s="31" t="s">
        <v>19</v>
      </c>
      <c r="K979" s="32"/>
      <c r="L979" s="32" t="e">
        <f ca="1">_xludf.ifna(VLOOKUP(E979,Parámetros!$D$2:$E$34,2,0),"")</f>
        <v>#NAME?</v>
      </c>
      <c r="M979" s="32" t="e">
        <f ca="1">_xludf.ifna(VLOOKUP(G979,Proyectos!$A$2:$T$674,20,0),"")</f>
        <v>#NAME?</v>
      </c>
      <c r="N979" s="32" t="e">
        <f ca="1">_xludf.ifna(VLOOKUP(G979,Proyectos!$A$2:$S$674,19,0))</f>
        <v>#NAME?</v>
      </c>
      <c r="O979" s="31"/>
      <c r="P979" s="31"/>
      <c r="Q979" s="33"/>
      <c r="R979" s="33"/>
      <c r="S979" s="33"/>
      <c r="T979" s="33"/>
      <c r="U979" s="33"/>
      <c r="V979" s="33"/>
      <c r="W979" s="33"/>
    </row>
    <row r="980" spans="1:23" ht="16.5" customHeight="1" x14ac:dyDescent="0.2">
      <c r="A980" s="35"/>
      <c r="B980" s="35" t="s">
        <v>5382</v>
      </c>
      <c r="C980" s="35" t="s">
        <v>64</v>
      </c>
      <c r="D980" s="35" t="s">
        <v>82</v>
      </c>
      <c r="E980" s="35" t="s">
        <v>9</v>
      </c>
      <c r="F980" s="28" t="e">
        <f ca="1">_xludf.ifna(VLOOKUP(G980,Proyectos!$A$2:$F$674,6,0),"")</f>
        <v>#NAME?</v>
      </c>
      <c r="G980" s="26" t="s">
        <v>5378</v>
      </c>
      <c r="H980" s="30">
        <v>1</v>
      </c>
      <c r="I980" s="52" t="s">
        <v>18</v>
      </c>
      <c r="J980" s="31" t="s">
        <v>19</v>
      </c>
      <c r="K980" s="32"/>
      <c r="L980" s="32" t="e">
        <f ca="1">_xludf.ifna(VLOOKUP(E980,Parámetros!$D$2:$E$34,2,0),"")</f>
        <v>#NAME?</v>
      </c>
      <c r="M980" s="32" t="e">
        <f ca="1">_xludf.ifna(VLOOKUP(G980,Proyectos!$A$2:$T$674,20,0),"")</f>
        <v>#NAME?</v>
      </c>
      <c r="N980" s="32" t="e">
        <f ca="1">_xludf.ifna(VLOOKUP(G980,Proyectos!$A$2:$S$674,19,0))</f>
        <v>#NAME?</v>
      </c>
      <c r="O980" s="31"/>
      <c r="P980" s="31"/>
      <c r="Q980" s="33"/>
      <c r="R980" s="33"/>
      <c r="S980" s="33"/>
      <c r="T980" s="33"/>
      <c r="U980" s="33"/>
      <c r="V980" s="33"/>
      <c r="W980" s="33"/>
    </row>
    <row r="981" spans="1:23" ht="16.5" customHeight="1" x14ac:dyDescent="0.2">
      <c r="A981" s="35"/>
      <c r="B981" s="35" t="s">
        <v>5383</v>
      </c>
      <c r="C981" s="35" t="s">
        <v>64</v>
      </c>
      <c r="D981" s="35" t="s">
        <v>82</v>
      </c>
      <c r="E981" s="35" t="s">
        <v>9</v>
      </c>
      <c r="F981" s="28" t="e">
        <f ca="1">_xludf.ifna(VLOOKUP(G981,Proyectos!$A$2:$F$674,6,0),"")</f>
        <v>#NAME?</v>
      </c>
      <c r="G981" s="26" t="s">
        <v>5378</v>
      </c>
      <c r="H981" s="30">
        <v>1</v>
      </c>
      <c r="I981" s="52" t="s">
        <v>18</v>
      </c>
      <c r="J981" s="31" t="s">
        <v>26</v>
      </c>
      <c r="K981" s="32"/>
      <c r="L981" s="32" t="e">
        <f ca="1">_xludf.ifna(VLOOKUP(E981,Parámetros!$D$2:$E$34,2,0),"")</f>
        <v>#NAME?</v>
      </c>
      <c r="M981" s="32" t="e">
        <f ca="1">_xludf.ifna(VLOOKUP(G981,Proyectos!$A$2:$T$674,20,0),"")</f>
        <v>#NAME?</v>
      </c>
      <c r="N981" s="32" t="e">
        <f ca="1">_xludf.ifna(VLOOKUP(G981,Proyectos!$A$2:$S$674,19,0))</f>
        <v>#NAME?</v>
      </c>
      <c r="O981" s="31"/>
      <c r="P981" s="31"/>
      <c r="Q981" s="33"/>
      <c r="R981" s="33"/>
      <c r="S981" s="33"/>
      <c r="T981" s="33"/>
      <c r="U981" s="33"/>
      <c r="V981" s="33"/>
      <c r="W981" s="33"/>
    </row>
    <row r="982" spans="1:23" ht="16.5" customHeight="1" x14ac:dyDescent="0.2">
      <c r="A982" s="35"/>
      <c r="B982" s="35" t="s">
        <v>5383</v>
      </c>
      <c r="C982" s="35" t="s">
        <v>64</v>
      </c>
      <c r="D982" s="35" t="s">
        <v>82</v>
      </c>
      <c r="E982" s="35" t="s">
        <v>9</v>
      </c>
      <c r="F982" s="28" t="e">
        <f ca="1">_xludf.ifna(VLOOKUP(G982,Proyectos!$A$2:$F$674,6,0),"")</f>
        <v>#NAME?</v>
      </c>
      <c r="G982" s="26" t="s">
        <v>5378</v>
      </c>
      <c r="H982" s="30">
        <v>1</v>
      </c>
      <c r="I982" s="52" t="s">
        <v>18</v>
      </c>
      <c r="J982" s="31" t="s">
        <v>26</v>
      </c>
      <c r="K982" s="32"/>
      <c r="L982" s="32" t="e">
        <f ca="1">_xludf.ifna(VLOOKUP(E982,Parámetros!$D$2:$E$34,2,0),"")</f>
        <v>#NAME?</v>
      </c>
      <c r="M982" s="32" t="e">
        <f ca="1">_xludf.ifna(VLOOKUP(G982,Proyectos!$A$2:$T$674,20,0),"")</f>
        <v>#NAME?</v>
      </c>
      <c r="N982" s="32" t="e">
        <f ca="1">_xludf.ifna(VLOOKUP(G982,Proyectos!$A$2:$S$674,19,0))</f>
        <v>#NAME?</v>
      </c>
      <c r="O982" s="32"/>
      <c r="P982" s="31"/>
      <c r="Q982" s="33"/>
      <c r="R982" s="33"/>
      <c r="S982" s="33"/>
      <c r="T982" s="33"/>
      <c r="U982" s="33"/>
      <c r="V982" s="33"/>
      <c r="W982" s="33"/>
    </row>
    <row r="983" spans="1:23" ht="16.5" customHeight="1" x14ac:dyDescent="0.2">
      <c r="A983" s="35"/>
      <c r="B983" s="35" t="s">
        <v>5383</v>
      </c>
      <c r="C983" s="35" t="s">
        <v>64</v>
      </c>
      <c r="D983" s="35" t="s">
        <v>82</v>
      </c>
      <c r="E983" s="35" t="s">
        <v>9</v>
      </c>
      <c r="F983" s="28" t="e">
        <f ca="1">_xludf.ifna(VLOOKUP(G983,Proyectos!$A$2:$F$674,6,0),"")</f>
        <v>#NAME?</v>
      </c>
      <c r="G983" s="26" t="s">
        <v>5378</v>
      </c>
      <c r="H983" s="30">
        <v>1</v>
      </c>
      <c r="I983" s="52" t="s">
        <v>18</v>
      </c>
      <c r="J983" s="31" t="s">
        <v>26</v>
      </c>
      <c r="K983" s="32"/>
      <c r="L983" s="32" t="e">
        <f ca="1">_xludf.ifna(VLOOKUP(E983,Parámetros!$D$2:$E$34,2,0),"")</f>
        <v>#NAME?</v>
      </c>
      <c r="M983" s="32" t="e">
        <f ca="1">_xludf.ifna(VLOOKUP(G983,Proyectos!$A$2:$T$674,20,0),"")</f>
        <v>#NAME?</v>
      </c>
      <c r="N983" s="32" t="e">
        <f ca="1">_xludf.ifna(VLOOKUP(G983,Proyectos!$A$2:$S$674,19,0))</f>
        <v>#NAME?</v>
      </c>
      <c r="O983" s="31"/>
      <c r="P983" s="31"/>
      <c r="Q983" s="33"/>
      <c r="R983" s="33"/>
      <c r="S983" s="33"/>
      <c r="T983" s="33"/>
      <c r="U983" s="33"/>
      <c r="V983" s="33"/>
      <c r="W983" s="33"/>
    </row>
    <row r="984" spans="1:23" ht="16.5" customHeight="1" x14ac:dyDescent="0.2">
      <c r="A984" s="35"/>
      <c r="B984" s="35" t="s">
        <v>5383</v>
      </c>
      <c r="C984" s="35" t="s">
        <v>64</v>
      </c>
      <c r="D984" s="35" t="s">
        <v>82</v>
      </c>
      <c r="E984" s="35" t="s">
        <v>9</v>
      </c>
      <c r="F984" s="28" t="e">
        <f ca="1">_xludf.ifna(VLOOKUP(G984,Proyectos!$A$2:$F$674,6,0),"")</f>
        <v>#NAME?</v>
      </c>
      <c r="G984" s="26" t="s">
        <v>5378</v>
      </c>
      <c r="H984" s="30">
        <v>1</v>
      </c>
      <c r="I984" s="52" t="s">
        <v>18</v>
      </c>
      <c r="J984" s="31" t="s">
        <v>26</v>
      </c>
      <c r="K984" s="32"/>
      <c r="L984" s="32" t="e">
        <f ca="1">_xludf.ifna(VLOOKUP(E984,Parámetros!$D$2:$E$34,2,0),"")</f>
        <v>#NAME?</v>
      </c>
      <c r="M984" s="32" t="e">
        <f ca="1">_xludf.ifna(VLOOKUP(G984,Proyectos!$A$2:$T$674,20,0),"")</f>
        <v>#NAME?</v>
      </c>
      <c r="N984" s="32" t="e">
        <f ca="1">_xludf.ifna(VLOOKUP(G984,Proyectos!$A$2:$S$674,19,0))</f>
        <v>#NAME?</v>
      </c>
      <c r="O984" s="31"/>
      <c r="P984" s="31"/>
      <c r="Q984" s="33"/>
      <c r="R984" s="33"/>
      <c r="S984" s="33"/>
      <c r="T984" s="33"/>
      <c r="U984" s="33"/>
      <c r="V984" s="33"/>
      <c r="W984" s="33"/>
    </row>
    <row r="985" spans="1:23" ht="16.5" customHeight="1" x14ac:dyDescent="0.2">
      <c r="A985" s="35"/>
      <c r="B985" s="35" t="s">
        <v>5382</v>
      </c>
      <c r="C985" s="35" t="s">
        <v>64</v>
      </c>
      <c r="D985" s="35" t="s">
        <v>82</v>
      </c>
      <c r="E985" s="35" t="s">
        <v>9</v>
      </c>
      <c r="F985" s="28" t="e">
        <f ca="1">_xludf.ifna(VLOOKUP(G985,Proyectos!$A$2:$F$674,6,0),"")</f>
        <v>#NAME?</v>
      </c>
      <c r="G985" s="26" t="s">
        <v>5378</v>
      </c>
      <c r="H985" s="30">
        <v>0.33</v>
      </c>
      <c r="I985" s="52" t="s">
        <v>18</v>
      </c>
      <c r="J985" s="31" t="s">
        <v>12</v>
      </c>
      <c r="K985" s="32"/>
      <c r="L985" s="32" t="e">
        <f ca="1">_xludf.ifna(VLOOKUP(E985,Parámetros!$D$2:$E$34,2,0),"")</f>
        <v>#NAME?</v>
      </c>
      <c r="M985" s="32" t="e">
        <f ca="1">_xludf.ifna(VLOOKUP(G985,Proyectos!$A$2:$T$674,20,0),"")</f>
        <v>#NAME?</v>
      </c>
      <c r="N985" s="32" t="e">
        <f ca="1">_xludf.ifna(VLOOKUP(G985,Proyectos!$A$2:$S$674,19,0))</f>
        <v>#NAME?</v>
      </c>
      <c r="O985" s="32"/>
      <c r="P985" s="31"/>
      <c r="Q985" s="33"/>
      <c r="R985" s="33"/>
      <c r="S985" s="33"/>
      <c r="T985" s="33"/>
      <c r="U985" s="33"/>
      <c r="V985" s="33"/>
      <c r="W985" s="33"/>
    </row>
    <row r="986" spans="1:23" ht="16.5" customHeight="1" x14ac:dyDescent="0.2">
      <c r="A986" s="54" t="s">
        <v>3935</v>
      </c>
      <c r="B986" s="35" t="s">
        <v>3936</v>
      </c>
      <c r="C986" s="35" t="s">
        <v>64</v>
      </c>
      <c r="D986" s="35" t="s">
        <v>82</v>
      </c>
      <c r="E986" s="35" t="s">
        <v>135</v>
      </c>
      <c r="F986" s="28" t="e">
        <f ca="1">_xludf.ifna(VLOOKUP(G986,Proyectos!$A$2:$F$674,6,0),"")</f>
        <v>#NAME?</v>
      </c>
      <c r="G986" s="26" t="s">
        <v>5378</v>
      </c>
      <c r="H986" s="30">
        <v>0.5</v>
      </c>
      <c r="I986" s="52" t="s">
        <v>18</v>
      </c>
      <c r="J986" s="31" t="s">
        <v>61</v>
      </c>
      <c r="K986" s="32"/>
      <c r="L986" s="32" t="e">
        <f ca="1">_xludf.ifna(VLOOKUP(E986,Parámetros!$D$2:$E$34,2,0),"")</f>
        <v>#NAME?</v>
      </c>
      <c r="M986" s="32" t="e">
        <f ca="1">_xludf.ifna(VLOOKUP(G986,Proyectos!$A$2:$T$674,20,0),"")</f>
        <v>#NAME?</v>
      </c>
      <c r="N986" s="32" t="e">
        <f ca="1">_xludf.ifna(VLOOKUP(G986,Proyectos!$A$2:$S$674,19,0))</f>
        <v>#NAME?</v>
      </c>
      <c r="O986" s="32"/>
      <c r="P986" s="31"/>
      <c r="Q986" s="33"/>
      <c r="R986" s="33"/>
      <c r="S986" s="33"/>
      <c r="T986" s="33"/>
      <c r="U986" s="33"/>
      <c r="V986" s="33"/>
      <c r="W986" s="33"/>
    </row>
    <row r="987" spans="1:23" ht="16.5" customHeight="1" x14ac:dyDescent="0.2">
      <c r="A987" s="35" t="s">
        <v>4206</v>
      </c>
      <c r="B987" s="35" t="s">
        <v>5384</v>
      </c>
      <c r="C987" s="35" t="s">
        <v>64</v>
      </c>
      <c r="D987" s="35" t="s">
        <v>82</v>
      </c>
      <c r="E987" s="35" t="s">
        <v>135</v>
      </c>
      <c r="F987" s="28" t="e">
        <f ca="1">_xludf.ifna(VLOOKUP(G987,Proyectos!$A$2:$F$674,6,0),"")</f>
        <v>#NAME?</v>
      </c>
      <c r="G987" s="26" t="s">
        <v>5378</v>
      </c>
      <c r="H987" s="30">
        <v>0.5</v>
      </c>
      <c r="I987" s="52" t="s">
        <v>18</v>
      </c>
      <c r="J987" s="31"/>
      <c r="K987" s="32"/>
      <c r="L987" s="32" t="e">
        <f ca="1">_xludf.ifna(VLOOKUP(E987,Parámetros!$D$2:$E$34,2,0),"")</f>
        <v>#NAME?</v>
      </c>
      <c r="M987" s="32" t="e">
        <f ca="1">_xludf.ifna(VLOOKUP(G987,Proyectos!$A$2:$T$674,20,0),"")</f>
        <v>#NAME?</v>
      </c>
      <c r="N987" s="32" t="e">
        <f ca="1">_xludf.ifna(VLOOKUP(G987,Proyectos!$A$2:$S$674,19,0))</f>
        <v>#NAME?</v>
      </c>
      <c r="O987" s="32"/>
      <c r="P987" s="31"/>
      <c r="Q987" s="33"/>
      <c r="R987" s="33"/>
      <c r="S987" s="33"/>
      <c r="T987" s="33"/>
      <c r="U987" s="33"/>
      <c r="V987" s="33"/>
      <c r="W987" s="33"/>
    </row>
    <row r="988" spans="1:23" ht="16.5" customHeight="1" x14ac:dyDescent="0.2">
      <c r="A988" s="54"/>
      <c r="B988" s="35" t="s">
        <v>5385</v>
      </c>
      <c r="C988" s="35" t="s">
        <v>64</v>
      </c>
      <c r="D988" s="35" t="s">
        <v>82</v>
      </c>
      <c r="E988" s="35" t="s">
        <v>9</v>
      </c>
      <c r="F988" s="28" t="e">
        <f ca="1">_xludf.ifna(VLOOKUP(G988,Proyectos!$A$2:$F$674,6,0),"")</f>
        <v>#NAME?</v>
      </c>
      <c r="G988" s="26" t="s">
        <v>5378</v>
      </c>
      <c r="H988" s="55">
        <v>1</v>
      </c>
      <c r="I988" s="35" t="s">
        <v>18</v>
      </c>
      <c r="J988" s="31" t="s">
        <v>61</v>
      </c>
      <c r="K988" s="32"/>
      <c r="L988" s="32" t="e">
        <f ca="1">_xludf.ifna(VLOOKUP(E988,Parámetros!$D$2:$E$34,2,0),"")</f>
        <v>#NAME?</v>
      </c>
      <c r="M988" s="32" t="e">
        <f ca="1">_xludf.ifna(VLOOKUP(G988,Proyectos!$A$2:$T$674,20,0),"")</f>
        <v>#NAME?</v>
      </c>
      <c r="N988" s="32" t="e">
        <f ca="1">_xludf.ifna(VLOOKUP(G988,Proyectos!$A$2:$S$674,19,0))</f>
        <v>#NAME?</v>
      </c>
      <c r="O988" s="32"/>
      <c r="P988" s="31"/>
      <c r="Q988" s="33"/>
      <c r="R988" s="33"/>
      <c r="S988" s="33"/>
      <c r="T988" s="33"/>
      <c r="U988" s="33"/>
      <c r="V988" s="33"/>
      <c r="W988" s="33"/>
    </row>
    <row r="989" spans="1:23" ht="16.5" customHeight="1" x14ac:dyDescent="0.2">
      <c r="A989" s="35"/>
      <c r="B989" s="35" t="s">
        <v>5386</v>
      </c>
      <c r="C989" s="35" t="s">
        <v>64</v>
      </c>
      <c r="D989" s="35" t="s">
        <v>82</v>
      </c>
      <c r="E989" s="35" t="s">
        <v>9</v>
      </c>
      <c r="F989" s="28" t="e">
        <f ca="1">_xludf.ifna(VLOOKUP(G989,Proyectos!$A$2:$F$674,6,0),"")</f>
        <v>#NAME?</v>
      </c>
      <c r="G989" s="26" t="s">
        <v>5378</v>
      </c>
      <c r="H989" s="30">
        <v>0.75</v>
      </c>
      <c r="I989" s="52" t="s">
        <v>25</v>
      </c>
      <c r="J989" s="31" t="s">
        <v>72</v>
      </c>
      <c r="K989" s="32"/>
      <c r="L989" s="32" t="e">
        <f ca="1">_xludf.ifna(VLOOKUP(E989,Parámetros!$D$2:$E$34,2,0),"")</f>
        <v>#NAME?</v>
      </c>
      <c r="M989" s="32" t="e">
        <f ca="1">_xludf.ifna(VLOOKUP(G989,Proyectos!$A$2:$T$674,20,0),"")</f>
        <v>#NAME?</v>
      </c>
      <c r="N989" s="32" t="e">
        <f ca="1">_xludf.ifna(VLOOKUP(G989,Proyectos!$A$2:$S$674,19,0))</f>
        <v>#NAME?</v>
      </c>
      <c r="O989" s="32"/>
      <c r="P989" s="31"/>
      <c r="Q989" s="33"/>
      <c r="R989" s="33"/>
      <c r="S989" s="33"/>
      <c r="T989" s="33"/>
      <c r="U989" s="33"/>
      <c r="V989" s="33"/>
      <c r="W989" s="33"/>
    </row>
    <row r="990" spans="1:23" ht="16.5" customHeight="1" x14ac:dyDescent="0.2">
      <c r="A990" s="35"/>
      <c r="B990" s="35" t="s">
        <v>5386</v>
      </c>
      <c r="C990" s="35" t="s">
        <v>64</v>
      </c>
      <c r="D990" s="35" t="s">
        <v>82</v>
      </c>
      <c r="E990" s="35" t="s">
        <v>9</v>
      </c>
      <c r="F990" s="28" t="e">
        <f ca="1">_xludf.ifna(VLOOKUP(G990,Proyectos!$A$2:$F$674,6,0),"")</f>
        <v>#NAME?</v>
      </c>
      <c r="G990" s="26" t="s">
        <v>5378</v>
      </c>
      <c r="H990" s="30">
        <v>0.75</v>
      </c>
      <c r="I990" s="52" t="s">
        <v>25</v>
      </c>
      <c r="J990" s="31" t="s">
        <v>72</v>
      </c>
      <c r="K990" s="32"/>
      <c r="L990" s="32" t="e">
        <f ca="1">_xludf.ifna(VLOOKUP(E990,Parámetros!$D$2:$E$34,2,0),"")</f>
        <v>#NAME?</v>
      </c>
      <c r="M990" s="32" t="e">
        <f ca="1">_xludf.ifna(VLOOKUP(G990,Proyectos!$A$2:$T$674,20,0),"")</f>
        <v>#NAME?</v>
      </c>
      <c r="N990" s="32" t="e">
        <f ca="1">_xludf.ifna(VLOOKUP(G990,Proyectos!$A$2:$S$674,19,0))</f>
        <v>#NAME?</v>
      </c>
      <c r="O990" s="32"/>
      <c r="P990" s="31"/>
      <c r="Q990" s="33"/>
      <c r="R990" s="33"/>
      <c r="S990" s="33"/>
      <c r="T990" s="33"/>
      <c r="U990" s="33"/>
      <c r="V990" s="33"/>
      <c r="W990" s="33"/>
    </row>
    <row r="991" spans="1:23" ht="16.5" customHeight="1" x14ac:dyDescent="0.2">
      <c r="A991" s="35"/>
      <c r="B991" s="35" t="s">
        <v>5386</v>
      </c>
      <c r="C991" s="35" t="s">
        <v>64</v>
      </c>
      <c r="D991" s="35" t="s">
        <v>82</v>
      </c>
      <c r="E991" s="35" t="s">
        <v>9</v>
      </c>
      <c r="F991" s="28" t="e">
        <f ca="1">_xludf.ifna(VLOOKUP(G991,Proyectos!$A$2:$F$674,6,0),"")</f>
        <v>#NAME?</v>
      </c>
      <c r="G991" s="26" t="s">
        <v>5378</v>
      </c>
      <c r="H991" s="30">
        <v>0.75</v>
      </c>
      <c r="I991" s="52" t="s">
        <v>25</v>
      </c>
      <c r="J991" s="31" t="s">
        <v>72</v>
      </c>
      <c r="K991" s="32"/>
      <c r="L991" s="32" t="e">
        <f ca="1">_xludf.ifna(VLOOKUP(E991,Parámetros!$D$2:$E$34,2,0),"")</f>
        <v>#NAME?</v>
      </c>
      <c r="M991" s="32" t="e">
        <f ca="1">_xludf.ifna(VLOOKUP(G991,Proyectos!$A$2:$T$674,20,0),"")</f>
        <v>#NAME?</v>
      </c>
      <c r="N991" s="32" t="e">
        <f ca="1">_xludf.ifna(VLOOKUP(G991,Proyectos!$A$2:$S$674,19,0))</f>
        <v>#NAME?</v>
      </c>
      <c r="O991" s="31"/>
      <c r="P991" s="31"/>
      <c r="Q991" s="33"/>
      <c r="R991" s="33"/>
      <c r="S991" s="33"/>
      <c r="T991" s="33"/>
      <c r="U991" s="33"/>
      <c r="V991" s="33"/>
      <c r="W991" s="33"/>
    </row>
    <row r="992" spans="1:23" ht="16.5" customHeight="1" x14ac:dyDescent="0.2">
      <c r="A992" s="35" t="s">
        <v>3408</v>
      </c>
      <c r="B992" s="26" t="s">
        <v>5380</v>
      </c>
      <c r="C992" s="35" t="s">
        <v>64</v>
      </c>
      <c r="D992" s="35" t="s">
        <v>82</v>
      </c>
      <c r="E992" s="35" t="s">
        <v>39</v>
      </c>
      <c r="F992" s="28" t="e">
        <f ca="1">_xludf.ifna(VLOOKUP(G992,Proyectos!$A$2:$F$674,6,0),"")</f>
        <v>#NAME?</v>
      </c>
      <c r="G992" s="26" t="s">
        <v>5387</v>
      </c>
      <c r="H992" s="32">
        <v>0.2</v>
      </c>
      <c r="I992" s="31" t="s">
        <v>18</v>
      </c>
      <c r="J992" s="32"/>
      <c r="K992" s="32" t="str">
        <f>IF(E992="BBVA","Interno","Externo")</f>
        <v>Interno</v>
      </c>
      <c r="L992" s="32" t="e">
        <f ca="1">_xludf.ifna(VLOOKUP(E992,Parámetros!$D$2:$E$34,2,0),"")</f>
        <v>#NAME?</v>
      </c>
      <c r="M992" s="32" t="e">
        <f ca="1">_xludf.ifna(VLOOKUP(G992,Proyectos!$A$2:$T$674,20,0),"")</f>
        <v>#NAME?</v>
      </c>
      <c r="N992" s="32" t="e">
        <f ca="1">_xludf.ifna(VLOOKUP(G992,Proyectos!$A$2:$S$674,19,0))</f>
        <v>#NAME?</v>
      </c>
      <c r="O992" s="31"/>
      <c r="P992" s="33"/>
      <c r="Q992" s="33"/>
      <c r="R992" s="33"/>
      <c r="S992" s="33"/>
      <c r="T992" s="33"/>
      <c r="U992" s="33"/>
      <c r="V992" s="33"/>
      <c r="W992" s="33"/>
    </row>
    <row r="993" spans="1:23" ht="16.5" customHeight="1" x14ac:dyDescent="0.2">
      <c r="A993" s="54" t="s">
        <v>4587</v>
      </c>
      <c r="B993" s="35" t="s">
        <v>4588</v>
      </c>
      <c r="C993" s="35" t="s">
        <v>64</v>
      </c>
      <c r="D993" s="35" t="s">
        <v>82</v>
      </c>
      <c r="E993" s="35" t="s">
        <v>39</v>
      </c>
      <c r="F993" s="28" t="e">
        <f ca="1">_xludf.ifna(VLOOKUP(G993,Proyectos!$A$2:$F$674,6,0),"")</f>
        <v>#NAME?</v>
      </c>
      <c r="G993" s="29" t="s">
        <v>5388</v>
      </c>
      <c r="H993" s="30">
        <v>0.2</v>
      </c>
      <c r="I993" s="52" t="s">
        <v>11</v>
      </c>
      <c r="J993" s="31" t="s">
        <v>26</v>
      </c>
      <c r="K993" s="32"/>
      <c r="L993" s="32" t="e">
        <f ca="1">_xludf.ifna(VLOOKUP(E993,Parámetros!$D$2:$E$34,2,0),"")</f>
        <v>#NAME?</v>
      </c>
      <c r="M993" s="32" t="e">
        <f ca="1">_xludf.ifna(VLOOKUP(G993,Proyectos!$A$2:$T$674,20,0),"")</f>
        <v>#NAME?</v>
      </c>
      <c r="N993" s="32" t="e">
        <f ca="1">_xludf.ifna(VLOOKUP(G993,Proyectos!$A$2:$S$674,19,0))</f>
        <v>#NAME?</v>
      </c>
      <c r="O993" s="31"/>
      <c r="P993" s="31"/>
      <c r="Q993" s="33"/>
      <c r="R993" s="33"/>
      <c r="S993" s="33"/>
      <c r="T993" s="33"/>
      <c r="U993" s="33"/>
      <c r="V993" s="33"/>
      <c r="W993" s="33"/>
    </row>
    <row r="994" spans="1:23" ht="16.5" customHeight="1" x14ac:dyDescent="0.2">
      <c r="A994" s="35"/>
      <c r="B994" s="35" t="s">
        <v>5386</v>
      </c>
      <c r="C994" s="35" t="s">
        <v>64</v>
      </c>
      <c r="D994" s="35" t="s">
        <v>82</v>
      </c>
      <c r="E994" s="35" t="s">
        <v>9</v>
      </c>
      <c r="F994" s="28" t="e">
        <f ca="1">_xludf.ifna(VLOOKUP(G994,Proyectos!$A$2:$F$674,6,0),"")</f>
        <v>#NAME?</v>
      </c>
      <c r="G994" s="29" t="s">
        <v>5388</v>
      </c>
      <c r="H994" s="30">
        <v>1</v>
      </c>
      <c r="I994" s="52" t="s">
        <v>25</v>
      </c>
      <c r="J994" s="31" t="s">
        <v>72</v>
      </c>
      <c r="K994" s="32"/>
      <c r="L994" s="32" t="e">
        <f ca="1">_xludf.ifna(VLOOKUP(E994,Parámetros!$D$2:$E$34,2,0),"")</f>
        <v>#NAME?</v>
      </c>
      <c r="M994" s="32" t="e">
        <f ca="1">_xludf.ifna(VLOOKUP(G994,Proyectos!$A$2:$T$674,20,0),"")</f>
        <v>#NAME?</v>
      </c>
      <c r="N994" s="32" t="e">
        <f ca="1">_xludf.ifna(VLOOKUP(G994,Proyectos!$A$2:$S$674,19,0))</f>
        <v>#NAME?</v>
      </c>
      <c r="O994" s="32"/>
      <c r="P994" s="31"/>
      <c r="Q994" s="33"/>
      <c r="R994" s="33"/>
      <c r="S994" s="33"/>
      <c r="T994" s="33"/>
      <c r="U994" s="33"/>
      <c r="V994" s="33"/>
      <c r="W994" s="33"/>
    </row>
    <row r="995" spans="1:23" ht="16.5" customHeight="1" x14ac:dyDescent="0.2">
      <c r="A995" s="54" t="s">
        <v>4587</v>
      </c>
      <c r="B995" s="35" t="s">
        <v>4588</v>
      </c>
      <c r="C995" s="35" t="s">
        <v>64</v>
      </c>
      <c r="D995" s="35" t="s">
        <v>82</v>
      </c>
      <c r="E995" s="35" t="s">
        <v>39</v>
      </c>
      <c r="F995" s="28" t="e">
        <f ca="1">_xludf.ifna(VLOOKUP(G995,Proyectos!$A$2:$F$674,6,0),"")</f>
        <v>#NAME?</v>
      </c>
      <c r="G995" s="29" t="s">
        <v>5389</v>
      </c>
      <c r="H995" s="30">
        <v>0.2</v>
      </c>
      <c r="I995" s="52" t="s">
        <v>11</v>
      </c>
      <c r="J995" s="31" t="s">
        <v>26</v>
      </c>
      <c r="K995" s="32"/>
      <c r="L995" s="32" t="e">
        <f ca="1">_xludf.ifna(VLOOKUP(E995,Parámetros!$D$2:$E$34,2,0),"")</f>
        <v>#NAME?</v>
      </c>
      <c r="M995" s="32" t="e">
        <f ca="1">_xludf.ifna(VLOOKUP(G995,Proyectos!$A$2:$T$674,20,0),"")</f>
        <v>#NAME?</v>
      </c>
      <c r="N995" s="32" t="e">
        <f ca="1">_xludf.ifna(VLOOKUP(G995,Proyectos!$A$2:$S$674,19,0))</f>
        <v>#NAME?</v>
      </c>
      <c r="O995" s="31"/>
      <c r="P995" s="31"/>
      <c r="Q995" s="33"/>
      <c r="R995" s="33"/>
      <c r="S995" s="33"/>
      <c r="T995" s="33"/>
      <c r="U995" s="33"/>
      <c r="V995" s="33"/>
      <c r="W995" s="33"/>
    </row>
    <row r="996" spans="1:23" ht="16.5" customHeight="1" x14ac:dyDescent="0.2">
      <c r="A996" s="54"/>
      <c r="B996" s="35" t="s">
        <v>5390</v>
      </c>
      <c r="C996" s="35" t="s">
        <v>64</v>
      </c>
      <c r="D996" s="35" t="s">
        <v>82</v>
      </c>
      <c r="E996" s="35" t="s">
        <v>9</v>
      </c>
      <c r="F996" s="28" t="e">
        <f ca="1">_xludf.ifna(VLOOKUP(G996,Proyectos!$A$2:$F$674,6,0),"")</f>
        <v>#NAME?</v>
      </c>
      <c r="G996" s="29" t="s">
        <v>5389</v>
      </c>
      <c r="H996" s="30">
        <v>1</v>
      </c>
      <c r="I996" s="52" t="s">
        <v>18</v>
      </c>
      <c r="J996" s="31" t="s">
        <v>19</v>
      </c>
      <c r="K996" s="32"/>
      <c r="L996" s="32" t="e">
        <f ca="1">_xludf.ifna(VLOOKUP(E996,Parámetros!$D$2:$E$34,2,0),"")</f>
        <v>#NAME?</v>
      </c>
      <c r="M996" s="32" t="e">
        <f ca="1">_xludf.ifna(VLOOKUP(G996,Proyectos!$A$2:$T$674,20,0),"")</f>
        <v>#NAME?</v>
      </c>
      <c r="N996" s="32" t="e">
        <f ca="1">_xludf.ifna(VLOOKUP(G996,Proyectos!$A$2:$S$674,19,0))</f>
        <v>#NAME?</v>
      </c>
      <c r="O996" s="31"/>
      <c r="P996" s="31"/>
      <c r="Q996" s="33"/>
      <c r="R996" s="33"/>
      <c r="S996" s="33"/>
      <c r="T996" s="33"/>
      <c r="U996" s="33"/>
      <c r="V996" s="33"/>
      <c r="W996" s="33"/>
    </row>
    <row r="997" spans="1:23" ht="16.5" customHeight="1" x14ac:dyDescent="0.2">
      <c r="A997" s="54"/>
      <c r="B997" s="35" t="s">
        <v>5385</v>
      </c>
      <c r="C997" s="35" t="s">
        <v>64</v>
      </c>
      <c r="D997" s="35" t="s">
        <v>82</v>
      </c>
      <c r="E997" s="35" t="s">
        <v>9</v>
      </c>
      <c r="F997" s="28" t="e">
        <f ca="1">_xludf.ifna(VLOOKUP(G997,Proyectos!$A$2:$F$674,6,0),"")</f>
        <v>#NAME?</v>
      </c>
      <c r="G997" s="29" t="s">
        <v>5389</v>
      </c>
      <c r="H997" s="30">
        <v>1</v>
      </c>
      <c r="I997" s="52" t="s">
        <v>18</v>
      </c>
      <c r="J997" s="31" t="s">
        <v>61</v>
      </c>
      <c r="K997" s="32"/>
      <c r="L997" s="32" t="e">
        <f ca="1">_xludf.ifna(VLOOKUP(E997,Parámetros!$D$2:$E$34,2,0),"")</f>
        <v>#NAME?</v>
      </c>
      <c r="M997" s="32" t="e">
        <f ca="1">_xludf.ifna(VLOOKUP(G997,Proyectos!$A$2:$T$674,20,0),"")</f>
        <v>#NAME?</v>
      </c>
      <c r="N997" s="32" t="e">
        <f ca="1">_xludf.ifna(VLOOKUP(G997,Proyectos!$A$2:$S$674,19,0))</f>
        <v>#NAME?</v>
      </c>
      <c r="O997" s="32"/>
      <c r="P997" s="31"/>
      <c r="Q997" s="33"/>
      <c r="R997" s="33"/>
      <c r="S997" s="33"/>
      <c r="T997" s="33"/>
      <c r="U997" s="33"/>
      <c r="V997" s="33"/>
      <c r="W997" s="33"/>
    </row>
    <row r="998" spans="1:23" ht="16.5" customHeight="1" x14ac:dyDescent="0.2">
      <c r="A998" s="54"/>
      <c r="B998" s="35" t="s">
        <v>5386</v>
      </c>
      <c r="C998" s="35" t="s">
        <v>64</v>
      </c>
      <c r="D998" s="35" t="s">
        <v>82</v>
      </c>
      <c r="E998" s="35" t="s">
        <v>9</v>
      </c>
      <c r="F998" s="28" t="e">
        <f ca="1">_xludf.ifna(VLOOKUP(G998,Proyectos!$A$2:$F$674,6,0),"")</f>
        <v>#NAME?</v>
      </c>
      <c r="G998" s="29" t="s">
        <v>5389</v>
      </c>
      <c r="H998" s="30">
        <v>1</v>
      </c>
      <c r="I998" s="52" t="s">
        <v>25</v>
      </c>
      <c r="J998" s="31" t="s">
        <v>72</v>
      </c>
      <c r="K998" s="32"/>
      <c r="L998" s="32" t="e">
        <f ca="1">_xludf.ifna(VLOOKUP(E998,Parámetros!$D$2:$E$34,2,0),"")</f>
        <v>#NAME?</v>
      </c>
      <c r="M998" s="32" t="e">
        <f ca="1">_xludf.ifna(VLOOKUP(G998,Proyectos!$A$2:$T$674,20,0),"")</f>
        <v>#NAME?</v>
      </c>
      <c r="N998" s="32" t="e">
        <f ca="1">_xludf.ifna(VLOOKUP(G998,Proyectos!$A$2:$S$674,19,0))</f>
        <v>#NAME?</v>
      </c>
      <c r="O998" s="32"/>
      <c r="P998" s="31"/>
      <c r="Q998" s="33"/>
      <c r="R998" s="33"/>
      <c r="S998" s="33"/>
      <c r="T998" s="33"/>
      <c r="U998" s="33"/>
      <c r="V998" s="33"/>
      <c r="W998" s="33"/>
    </row>
    <row r="999" spans="1:23" ht="16.5" customHeight="1" x14ac:dyDescent="0.2">
      <c r="A999" s="54" t="s">
        <v>4587</v>
      </c>
      <c r="B999" s="35" t="s">
        <v>4588</v>
      </c>
      <c r="C999" s="35" t="s">
        <v>64</v>
      </c>
      <c r="D999" s="35" t="s">
        <v>82</v>
      </c>
      <c r="E999" s="35" t="s">
        <v>39</v>
      </c>
      <c r="F999" s="28" t="e">
        <f ca="1">_xludf.ifna(VLOOKUP(G999,Proyectos!$A$2:$F$674,6,0),"")</f>
        <v>#NAME?</v>
      </c>
      <c r="G999" s="29" t="s">
        <v>5391</v>
      </c>
      <c r="H999" s="30">
        <v>0.2</v>
      </c>
      <c r="I999" s="52" t="s">
        <v>11</v>
      </c>
      <c r="J999" s="31" t="s">
        <v>26</v>
      </c>
      <c r="K999" s="32"/>
      <c r="L999" s="32" t="e">
        <f ca="1">_xludf.ifna(VLOOKUP(E999,Parámetros!$D$2:$E$34,2,0),"")</f>
        <v>#NAME?</v>
      </c>
      <c r="M999" s="32" t="e">
        <f ca="1">_xludf.ifna(VLOOKUP(G999,Proyectos!$A$2:$T$674,20,0),"")</f>
        <v>#NAME?</v>
      </c>
      <c r="N999" s="32" t="e">
        <f ca="1">_xludf.ifna(VLOOKUP(G999,Proyectos!$A$2:$S$674,19,0))</f>
        <v>#NAME?</v>
      </c>
      <c r="O999" s="31"/>
      <c r="P999" s="31"/>
      <c r="Q999" s="33"/>
      <c r="R999" s="33"/>
      <c r="S999" s="33"/>
      <c r="T999" s="33"/>
      <c r="U999" s="33"/>
      <c r="V999" s="33"/>
      <c r="W999" s="33"/>
    </row>
    <row r="1000" spans="1:23" ht="16.5" customHeight="1" x14ac:dyDescent="0.2">
      <c r="A1000" s="35" t="s">
        <v>3429</v>
      </c>
      <c r="B1000" s="26" t="s">
        <v>5392</v>
      </c>
      <c r="C1000" s="35" t="s">
        <v>64</v>
      </c>
      <c r="D1000" s="35" t="s">
        <v>82</v>
      </c>
      <c r="E1000" s="35" t="s">
        <v>39</v>
      </c>
      <c r="F1000" s="28" t="e">
        <f ca="1">_xludf.ifna(VLOOKUP(G1000,Proyectos!$A$2:$F$674,6,0),"")</f>
        <v>#NAME?</v>
      </c>
      <c r="G1000" s="29" t="s">
        <v>5216</v>
      </c>
      <c r="H1000" s="30">
        <v>0.7</v>
      </c>
      <c r="I1000" s="52" t="s">
        <v>11</v>
      </c>
      <c r="J1000" s="47" t="s">
        <v>26</v>
      </c>
      <c r="K1000" s="44"/>
      <c r="L1000" s="32" t="e">
        <f ca="1">_xludf.ifna(VLOOKUP(E1000,Parámetros!$D$2:$E$34,2,0),"")</f>
        <v>#NAME?</v>
      </c>
      <c r="M1000" s="32" t="e">
        <f ca="1">_xludf.ifna(VLOOKUP(G1000,Proyectos!$A$2:$T$674,20,0),"")</f>
        <v>#NAME?</v>
      </c>
      <c r="N1000" s="32" t="e">
        <f ca="1">_xludf.ifna(VLOOKUP(G1000,Proyectos!$A$2:$S$674,19,0))</f>
        <v>#NAME?</v>
      </c>
      <c r="O1000" s="31"/>
      <c r="P1000" s="31"/>
      <c r="Q1000" s="33"/>
      <c r="R1000" s="33"/>
      <c r="S1000" s="33"/>
      <c r="T1000" s="33"/>
      <c r="U1000" s="33"/>
      <c r="V1000" s="33"/>
      <c r="W1000" s="33"/>
    </row>
    <row r="1001" spans="1:23" ht="16.5" customHeight="1" x14ac:dyDescent="0.2">
      <c r="A1001" s="35" t="s">
        <v>3429</v>
      </c>
      <c r="B1001" s="26" t="s">
        <v>5392</v>
      </c>
      <c r="C1001" s="35" t="s">
        <v>64</v>
      </c>
      <c r="D1001" s="35" t="s">
        <v>82</v>
      </c>
      <c r="E1001" s="35" t="s">
        <v>39</v>
      </c>
      <c r="F1001" s="28" t="e">
        <f ca="1">_xludf.ifna(VLOOKUP(G1001,Proyectos!$A$2:$F$674,6,0),"")</f>
        <v>#NAME?</v>
      </c>
      <c r="G1001" s="29" t="s">
        <v>5387</v>
      </c>
      <c r="H1001" s="30">
        <v>0.3</v>
      </c>
      <c r="I1001" s="52" t="s">
        <v>11</v>
      </c>
      <c r="J1001" s="47" t="s">
        <v>26</v>
      </c>
      <c r="K1001" s="44"/>
      <c r="L1001" s="32" t="e">
        <f ca="1">_xludf.ifna(VLOOKUP(E1001,Parámetros!$D$2:$E$34,2,0),"")</f>
        <v>#NAME?</v>
      </c>
      <c r="M1001" s="32" t="e">
        <f ca="1">_xludf.ifna(VLOOKUP(G1001,Proyectos!$A$2:$T$674,20,0),"")</f>
        <v>#NAME?</v>
      </c>
      <c r="N1001" s="32" t="e">
        <f ca="1">_xludf.ifna(VLOOKUP(G1001,Proyectos!$A$2:$S$674,19,0))</f>
        <v>#NAME?</v>
      </c>
      <c r="O1001" s="31"/>
      <c r="P1001" s="31"/>
      <c r="Q1001" s="33"/>
      <c r="R1001" s="33"/>
      <c r="S1001" s="33"/>
      <c r="T1001" s="33"/>
      <c r="U1001" s="33"/>
      <c r="V1001" s="33"/>
      <c r="W1001" s="33"/>
    </row>
    <row r="1002" spans="1:23" ht="16.5" customHeight="1" x14ac:dyDescent="0.2">
      <c r="A1002" s="35" t="s">
        <v>3408</v>
      </c>
      <c r="B1002" s="26" t="s">
        <v>5380</v>
      </c>
      <c r="C1002" s="26" t="s">
        <v>64</v>
      </c>
      <c r="D1002" s="26" t="s">
        <v>82</v>
      </c>
      <c r="E1002" s="35" t="s">
        <v>39</v>
      </c>
      <c r="F1002" s="28" t="e">
        <f ca="1">_xludf.ifna(VLOOKUP(G1002,Proyectos!$A$2:$F$674,6,0),"")</f>
        <v>#NAME?</v>
      </c>
      <c r="G1002" s="26" t="s">
        <v>5378</v>
      </c>
      <c r="H1002" s="32">
        <v>0.2</v>
      </c>
      <c r="I1002" s="31" t="s">
        <v>18</v>
      </c>
      <c r="J1002" s="32"/>
      <c r="K1002" s="32" t="str">
        <f>IF(E1002="BBVA","Interno","Externo")</f>
        <v>Interno</v>
      </c>
      <c r="L1002" s="32" t="e">
        <f ca="1">_xludf.ifna(VLOOKUP(E1002,Parámetros!$D$2:$E$34,2,0),"")</f>
        <v>#NAME?</v>
      </c>
      <c r="M1002" s="32" t="e">
        <f ca="1">_xludf.ifna(VLOOKUP(G1002,Proyectos!$A$2:$T$674,20,0),"")</f>
        <v>#NAME?</v>
      </c>
      <c r="N1002" s="32" t="e">
        <f ca="1">_xludf.ifna(VLOOKUP(G1002,Proyectos!$A$2:$S$674,19,0))</f>
        <v>#NAME?</v>
      </c>
      <c r="O1002" s="31"/>
      <c r="P1002" s="33"/>
      <c r="Q1002" s="33"/>
      <c r="R1002" s="33"/>
      <c r="S1002" s="33"/>
      <c r="T1002" s="33"/>
      <c r="U1002" s="33"/>
      <c r="V1002" s="33"/>
      <c r="W1002" s="33"/>
    </row>
    <row r="1003" spans="1:23" ht="16.5" customHeight="1" x14ac:dyDescent="0.2">
      <c r="A1003" s="54" t="s">
        <v>4587</v>
      </c>
      <c r="B1003" s="35" t="s">
        <v>4588</v>
      </c>
      <c r="C1003" s="35" t="s">
        <v>64</v>
      </c>
      <c r="D1003" s="35" t="s">
        <v>82</v>
      </c>
      <c r="E1003" s="35" t="s">
        <v>39</v>
      </c>
      <c r="F1003" s="28" t="e">
        <f ca="1">_xludf.ifna(VLOOKUP(G1003,Proyectos!$A$2:$F$674,6,0),"")</f>
        <v>#NAME?</v>
      </c>
      <c r="G1003" s="29" t="s">
        <v>5216</v>
      </c>
      <c r="H1003" s="30">
        <v>0.2</v>
      </c>
      <c r="I1003" s="52" t="s">
        <v>18</v>
      </c>
      <c r="J1003" s="31" t="s">
        <v>26</v>
      </c>
      <c r="K1003" s="32"/>
      <c r="L1003" s="32" t="e">
        <f ca="1">_xludf.ifna(VLOOKUP(E1003,Parámetros!$D$2:$E$34,2,0),"")</f>
        <v>#NAME?</v>
      </c>
      <c r="M1003" s="32" t="e">
        <f ca="1">_xludf.ifna(VLOOKUP(G1003,Proyectos!$A$2:$T$674,20,0),"")</f>
        <v>#NAME?</v>
      </c>
      <c r="N1003" s="32" t="e">
        <f ca="1">_xludf.ifna(VLOOKUP(G1003,Proyectos!$A$2:$S$674,19,0))</f>
        <v>#NAME?</v>
      </c>
      <c r="O1003" s="31"/>
      <c r="P1003" s="31"/>
      <c r="Q1003" s="33"/>
      <c r="R1003" s="33"/>
      <c r="S1003" s="33"/>
      <c r="T1003" s="33"/>
      <c r="U1003" s="33"/>
      <c r="V1003" s="33"/>
      <c r="W1003" s="33"/>
    </row>
    <row r="1004" spans="1:23" ht="16.5" customHeight="1" x14ac:dyDescent="0.2">
      <c r="A1004" s="54"/>
      <c r="B1004" s="35" t="s">
        <v>5393</v>
      </c>
      <c r="C1004" s="35" t="s">
        <v>64</v>
      </c>
      <c r="D1004" s="35" t="s">
        <v>82</v>
      </c>
      <c r="E1004" s="35" t="s">
        <v>126</v>
      </c>
      <c r="F1004" s="28" t="e">
        <f ca="1">_xludf.ifna(VLOOKUP(G1004,Proyectos!$A$2:$F$674,6,0),"")</f>
        <v>#NAME?</v>
      </c>
      <c r="G1004" s="29" t="s">
        <v>5216</v>
      </c>
      <c r="H1004" s="30">
        <v>1</v>
      </c>
      <c r="I1004" s="52" t="s">
        <v>18</v>
      </c>
      <c r="J1004" s="31" t="s">
        <v>26</v>
      </c>
      <c r="K1004" s="32"/>
      <c r="L1004" s="32" t="e">
        <f ca="1">_xludf.ifna(VLOOKUP(E1004,Parámetros!$D$2:$E$34,2,0),"")</f>
        <v>#NAME?</v>
      </c>
      <c r="M1004" s="32" t="e">
        <f ca="1">_xludf.ifna(VLOOKUP(G1004,Proyectos!$A$2:$T$674,20,0),"")</f>
        <v>#NAME?</v>
      </c>
      <c r="N1004" s="32" t="e">
        <f ca="1">_xludf.ifna(VLOOKUP(G1004,Proyectos!$A$2:$S$674,19,0))</f>
        <v>#NAME?</v>
      </c>
      <c r="O1004" s="31"/>
      <c r="P1004" s="31"/>
      <c r="Q1004" s="33"/>
      <c r="R1004" s="33"/>
      <c r="S1004" s="33"/>
      <c r="T1004" s="33"/>
      <c r="U1004" s="33"/>
      <c r="V1004" s="33"/>
      <c r="W1004" s="33"/>
    </row>
    <row r="1005" spans="1:23" ht="16.5" customHeight="1" x14ac:dyDescent="0.2">
      <c r="A1005" s="54"/>
      <c r="B1005" s="35" t="s">
        <v>5393</v>
      </c>
      <c r="C1005" s="35" t="s">
        <v>64</v>
      </c>
      <c r="D1005" s="35" t="s">
        <v>82</v>
      </c>
      <c r="E1005" s="35" t="s">
        <v>126</v>
      </c>
      <c r="F1005" s="28" t="e">
        <f ca="1">_xludf.ifna(VLOOKUP(G1005,Proyectos!$A$2:$F$674,6,0),"")</f>
        <v>#NAME?</v>
      </c>
      <c r="G1005" s="29" t="s">
        <v>5216</v>
      </c>
      <c r="H1005" s="30">
        <v>1</v>
      </c>
      <c r="I1005" s="52" t="s">
        <v>18</v>
      </c>
      <c r="J1005" s="31" t="s">
        <v>26</v>
      </c>
      <c r="K1005" s="32"/>
      <c r="L1005" s="32" t="e">
        <f ca="1">_xludf.ifna(VLOOKUP(E1005,Parámetros!$D$2:$E$34,2,0),"")</f>
        <v>#NAME?</v>
      </c>
      <c r="M1005" s="32" t="e">
        <f ca="1">_xludf.ifna(VLOOKUP(G1005,Proyectos!$A$2:$T$674,20,0),"")</f>
        <v>#NAME?</v>
      </c>
      <c r="N1005" s="32" t="e">
        <f ca="1">_xludf.ifna(VLOOKUP(G1005,Proyectos!$A$2:$S$674,19,0))</f>
        <v>#NAME?</v>
      </c>
      <c r="O1005" s="31"/>
      <c r="P1005" s="31"/>
      <c r="Q1005" s="33"/>
      <c r="R1005" s="33"/>
      <c r="S1005" s="33"/>
      <c r="T1005" s="33"/>
      <c r="U1005" s="33"/>
      <c r="V1005" s="33"/>
      <c r="W1005" s="33"/>
    </row>
    <row r="1006" spans="1:23" ht="16.5" customHeight="1" x14ac:dyDescent="0.2">
      <c r="A1006" s="54"/>
      <c r="B1006" s="35" t="s">
        <v>5386</v>
      </c>
      <c r="C1006" s="35" t="s">
        <v>64</v>
      </c>
      <c r="D1006" s="35" t="s">
        <v>82</v>
      </c>
      <c r="E1006" s="35" t="s">
        <v>9</v>
      </c>
      <c r="F1006" s="28" t="e">
        <f ca="1">_xludf.ifna(VLOOKUP(G1006,Proyectos!$A$2:$F$674,6,0),"")</f>
        <v>#NAME?</v>
      </c>
      <c r="G1006" s="29" t="s">
        <v>5216</v>
      </c>
      <c r="H1006" s="30">
        <v>1</v>
      </c>
      <c r="I1006" s="52" t="s">
        <v>25</v>
      </c>
      <c r="J1006" s="31" t="s">
        <v>72</v>
      </c>
      <c r="K1006" s="32"/>
      <c r="L1006" s="32" t="e">
        <f ca="1">_xludf.ifna(VLOOKUP(E1006,Parámetros!$D$2:$E$34,2,0),"")</f>
        <v>#NAME?</v>
      </c>
      <c r="M1006" s="32" t="e">
        <f ca="1">_xludf.ifna(VLOOKUP(G1006,Proyectos!$A$2:$T$674,20,0),"")</f>
        <v>#NAME?</v>
      </c>
      <c r="N1006" s="32" t="e">
        <f ca="1">_xludf.ifna(VLOOKUP(G1006,Proyectos!$A$2:$S$674,19,0))</f>
        <v>#NAME?</v>
      </c>
      <c r="O1006" s="32"/>
      <c r="P1006" s="31"/>
      <c r="Q1006" s="33"/>
      <c r="R1006" s="33"/>
      <c r="S1006" s="33"/>
      <c r="T1006" s="33"/>
      <c r="U1006" s="33"/>
      <c r="V1006" s="33"/>
      <c r="W1006" s="33"/>
    </row>
    <row r="1007" spans="1:23" ht="16.5" customHeight="1" x14ac:dyDescent="0.2">
      <c r="A1007" s="35"/>
      <c r="B1007" s="35" t="s">
        <v>5386</v>
      </c>
      <c r="C1007" s="35" t="s">
        <v>64</v>
      </c>
      <c r="D1007" s="35" t="s">
        <v>82</v>
      </c>
      <c r="E1007" s="35" t="s">
        <v>9</v>
      </c>
      <c r="F1007" s="28" t="e">
        <f ca="1">_xludf.ifna(VLOOKUP(G1007,Proyectos!$A$2:$F$674,6,0),"")</f>
        <v>#NAME?</v>
      </c>
      <c r="G1007" s="29" t="s">
        <v>5216</v>
      </c>
      <c r="H1007" s="30">
        <v>1</v>
      </c>
      <c r="I1007" s="52" t="s">
        <v>25</v>
      </c>
      <c r="J1007" s="31" t="s">
        <v>72</v>
      </c>
      <c r="K1007" s="32"/>
      <c r="L1007" s="32" t="e">
        <f ca="1">_xludf.ifna(VLOOKUP(E1007,Parámetros!$D$2:$E$34,2,0),"")</f>
        <v>#NAME?</v>
      </c>
      <c r="M1007" s="32" t="e">
        <f ca="1">_xludf.ifna(VLOOKUP(G1007,Proyectos!$A$2:$T$674,20,0),"")</f>
        <v>#NAME?</v>
      </c>
      <c r="N1007" s="32" t="e">
        <f ca="1">_xludf.ifna(VLOOKUP(G1007,Proyectos!$A$2:$S$674,19,0))</f>
        <v>#NAME?</v>
      </c>
      <c r="O1007" s="32"/>
      <c r="P1007" s="31"/>
      <c r="Q1007" s="33"/>
      <c r="R1007" s="33"/>
      <c r="S1007" s="33"/>
      <c r="T1007" s="33"/>
      <c r="U1007" s="33"/>
      <c r="V1007" s="33"/>
      <c r="W1007" s="33"/>
    </row>
    <row r="1008" spans="1:23" ht="16.5" customHeight="1" x14ac:dyDescent="0.2">
      <c r="A1008" s="35" t="s">
        <v>3408</v>
      </c>
      <c r="B1008" s="26" t="s">
        <v>5380</v>
      </c>
      <c r="C1008" s="26" t="s">
        <v>64</v>
      </c>
      <c r="D1008" s="26" t="s">
        <v>82</v>
      </c>
      <c r="E1008" s="35" t="s">
        <v>39</v>
      </c>
      <c r="F1008" s="28" t="e">
        <f ca="1">_xludf.ifna(VLOOKUP(G1008,Proyectos!$A$2:$F$674,6,0),"")</f>
        <v>#NAME?</v>
      </c>
      <c r="G1008" s="26" t="s">
        <v>5378</v>
      </c>
      <c r="H1008" s="32">
        <v>0.2</v>
      </c>
      <c r="I1008" s="31" t="s">
        <v>18</v>
      </c>
      <c r="J1008" s="32"/>
      <c r="K1008" s="32" t="str">
        <f>IF(E1008="BBVA","Interno","Externo")</f>
        <v>Interno</v>
      </c>
      <c r="L1008" s="32" t="e">
        <f ca="1">_xludf.ifna(VLOOKUP(E1008,Parámetros!$D$2:$E$34,2,0),"")</f>
        <v>#NAME?</v>
      </c>
      <c r="M1008" s="32" t="e">
        <f ca="1">_xludf.ifna(VLOOKUP(G1008,Proyectos!$A$2:$T$674,20,0),"")</f>
        <v>#NAME?</v>
      </c>
      <c r="N1008" s="32" t="e">
        <f ca="1">_xludf.ifna(VLOOKUP(G1008,Proyectos!$A$2:$S$674,19,0))</f>
        <v>#NAME?</v>
      </c>
      <c r="O1008" s="31"/>
      <c r="P1008" s="33"/>
      <c r="Q1008" s="33"/>
      <c r="R1008" s="33"/>
      <c r="S1008" s="33"/>
      <c r="T1008" s="33"/>
      <c r="U1008" s="33"/>
      <c r="V1008" s="33"/>
      <c r="W1008" s="33"/>
    </row>
    <row r="1009" spans="1:23" ht="16.5" customHeight="1" x14ac:dyDescent="0.2">
      <c r="A1009" s="35"/>
      <c r="B1009" s="35" t="s">
        <v>5393</v>
      </c>
      <c r="C1009" s="35" t="s">
        <v>64</v>
      </c>
      <c r="D1009" s="35" t="s">
        <v>82</v>
      </c>
      <c r="E1009" s="35" t="s">
        <v>126</v>
      </c>
      <c r="F1009" s="28" t="e">
        <f ca="1">_xludf.ifna(VLOOKUP(G1009,Proyectos!$A$2:$F$674,6,0),"")</f>
        <v>#NAME?</v>
      </c>
      <c r="G1009" s="29" t="s">
        <v>5394</v>
      </c>
      <c r="H1009" s="30">
        <v>1</v>
      </c>
      <c r="I1009" s="52" t="s">
        <v>18</v>
      </c>
      <c r="J1009" s="31" t="s">
        <v>26</v>
      </c>
      <c r="K1009" s="32"/>
      <c r="L1009" s="32" t="e">
        <f ca="1">_xludf.ifna(VLOOKUP(E1009,Parámetros!$D$2:$E$34,2,0),"")</f>
        <v>#NAME?</v>
      </c>
      <c r="M1009" s="32" t="e">
        <f ca="1">_xludf.ifna(VLOOKUP(G1009,Proyectos!$A$2:$T$674,20,0),"")</f>
        <v>#NAME?</v>
      </c>
      <c r="N1009" s="32" t="e">
        <f ca="1">_xludf.ifna(VLOOKUP(G1009,Proyectos!$A$2:$S$674,19,0))</f>
        <v>#NAME?</v>
      </c>
      <c r="O1009" s="31"/>
      <c r="P1009" s="31"/>
      <c r="Q1009" s="33"/>
      <c r="R1009" s="33"/>
      <c r="S1009" s="33"/>
      <c r="T1009" s="33"/>
      <c r="U1009" s="33"/>
      <c r="V1009" s="33"/>
      <c r="W1009" s="33"/>
    </row>
    <row r="1010" spans="1:23" ht="16.5" customHeight="1" x14ac:dyDescent="0.2">
      <c r="A1010" s="35"/>
      <c r="B1010" s="35" t="s">
        <v>5393</v>
      </c>
      <c r="C1010" s="35" t="s">
        <v>64</v>
      </c>
      <c r="D1010" s="35" t="s">
        <v>82</v>
      </c>
      <c r="E1010" s="35" t="s">
        <v>126</v>
      </c>
      <c r="F1010" s="28" t="e">
        <f ca="1">_xludf.ifna(VLOOKUP(G1010,Proyectos!$A$2:$F$674,6,0),"")</f>
        <v>#NAME?</v>
      </c>
      <c r="G1010" s="29" t="s">
        <v>5394</v>
      </c>
      <c r="H1010" s="30">
        <v>1</v>
      </c>
      <c r="I1010" s="52" t="s">
        <v>18</v>
      </c>
      <c r="J1010" s="31" t="s">
        <v>26</v>
      </c>
      <c r="K1010" s="32"/>
      <c r="L1010" s="32" t="e">
        <f ca="1">_xludf.ifna(VLOOKUP(E1010,Parámetros!$D$2:$E$34,2,0),"")</f>
        <v>#NAME?</v>
      </c>
      <c r="M1010" s="32" t="e">
        <f ca="1">_xludf.ifna(VLOOKUP(G1010,Proyectos!$A$2:$T$674,20,0),"")</f>
        <v>#NAME?</v>
      </c>
      <c r="N1010" s="32" t="e">
        <f ca="1">_xludf.ifna(VLOOKUP(G1010,Proyectos!$A$2:$S$674,19,0))</f>
        <v>#NAME?</v>
      </c>
      <c r="O1010" s="31"/>
      <c r="P1010" s="31"/>
      <c r="Q1010" s="33"/>
      <c r="R1010" s="33"/>
      <c r="S1010" s="33"/>
      <c r="T1010" s="33"/>
      <c r="U1010" s="33"/>
      <c r="V1010" s="33"/>
      <c r="W1010" s="33"/>
    </row>
    <row r="1011" spans="1:23" ht="16.5" customHeight="1" x14ac:dyDescent="0.2">
      <c r="A1011" s="35"/>
      <c r="B1011" s="35" t="s">
        <v>5381</v>
      </c>
      <c r="C1011" s="35" t="s">
        <v>64</v>
      </c>
      <c r="D1011" s="35" t="s">
        <v>82</v>
      </c>
      <c r="E1011" s="35" t="s">
        <v>126</v>
      </c>
      <c r="F1011" s="28" t="e">
        <f ca="1">_xludf.ifna(VLOOKUP(G1011,Proyectos!$A$2:$F$674,6,0),"")</f>
        <v>#NAME?</v>
      </c>
      <c r="G1011" s="29" t="s">
        <v>5394</v>
      </c>
      <c r="H1011" s="30">
        <v>1</v>
      </c>
      <c r="I1011" s="52" t="s">
        <v>18</v>
      </c>
      <c r="J1011" s="31" t="s">
        <v>19</v>
      </c>
      <c r="K1011" s="32"/>
      <c r="L1011" s="32" t="e">
        <f ca="1">_xludf.ifna(VLOOKUP(E1011,Parámetros!$D$2:$E$34,2,0),"")</f>
        <v>#NAME?</v>
      </c>
      <c r="M1011" s="32" t="e">
        <f ca="1">_xludf.ifna(VLOOKUP(G1011,Proyectos!$A$2:$T$674,20,0),"")</f>
        <v>#NAME?</v>
      </c>
      <c r="N1011" s="32" t="e">
        <f ca="1">_xludf.ifna(VLOOKUP(G1011,Proyectos!$A$2:$S$674,19,0))</f>
        <v>#NAME?</v>
      </c>
      <c r="O1011" s="31"/>
      <c r="P1011" s="31"/>
      <c r="Q1011" s="33"/>
      <c r="R1011" s="33"/>
      <c r="S1011" s="33"/>
      <c r="T1011" s="33"/>
      <c r="U1011" s="33"/>
      <c r="V1011" s="33"/>
      <c r="W1011" s="33"/>
    </row>
    <row r="1012" spans="1:23" ht="16.5" customHeight="1" x14ac:dyDescent="0.2">
      <c r="A1012" s="35"/>
      <c r="B1012" s="35" t="s">
        <v>5382</v>
      </c>
      <c r="C1012" s="35" t="s">
        <v>64</v>
      </c>
      <c r="D1012" s="35" t="s">
        <v>82</v>
      </c>
      <c r="E1012" s="35" t="s">
        <v>126</v>
      </c>
      <c r="F1012" s="28" t="e">
        <f ca="1">_xludf.ifna(VLOOKUP(G1012,Proyectos!$A$2:$F$674,6,0),"")</f>
        <v>#NAME?</v>
      </c>
      <c r="G1012" s="29" t="s">
        <v>5394</v>
      </c>
      <c r="H1012" s="30">
        <v>1</v>
      </c>
      <c r="I1012" s="52" t="s">
        <v>18</v>
      </c>
      <c r="J1012" s="31" t="s">
        <v>12</v>
      </c>
      <c r="K1012" s="32"/>
      <c r="L1012" s="32" t="e">
        <f ca="1">_xludf.ifna(VLOOKUP(E1012,Parámetros!$D$2:$E$34,2,0),"")</f>
        <v>#NAME?</v>
      </c>
      <c r="M1012" s="32" t="e">
        <f ca="1">_xludf.ifna(VLOOKUP(G1012,Proyectos!$A$2:$T$674,20,0),"")</f>
        <v>#NAME?</v>
      </c>
      <c r="N1012" s="32" t="e">
        <f ca="1">_xludf.ifna(VLOOKUP(G1012,Proyectos!$A$2:$S$674,19,0))</f>
        <v>#NAME?</v>
      </c>
      <c r="O1012" s="31"/>
      <c r="P1012" s="31"/>
      <c r="Q1012" s="33"/>
      <c r="R1012" s="33"/>
      <c r="S1012" s="33"/>
      <c r="T1012" s="33"/>
      <c r="U1012" s="33"/>
      <c r="V1012" s="33"/>
      <c r="W1012" s="33"/>
    </row>
    <row r="1013" spans="1:23" ht="16.5" customHeight="1" x14ac:dyDescent="0.2">
      <c r="A1013" s="35"/>
      <c r="B1013" s="35" t="s">
        <v>5385</v>
      </c>
      <c r="C1013" s="35" t="s">
        <v>64</v>
      </c>
      <c r="D1013" s="35" t="s">
        <v>82</v>
      </c>
      <c r="E1013" s="35" t="s">
        <v>126</v>
      </c>
      <c r="F1013" s="28" t="e">
        <f ca="1">_xludf.ifna(VLOOKUP(G1013,Proyectos!$A$2:$F$674,6,0),"")</f>
        <v>#NAME?</v>
      </c>
      <c r="G1013" s="29" t="s">
        <v>5394</v>
      </c>
      <c r="H1013" s="30">
        <v>1</v>
      </c>
      <c r="I1013" s="52" t="s">
        <v>18</v>
      </c>
      <c r="J1013" s="31" t="s">
        <v>61</v>
      </c>
      <c r="K1013" s="32"/>
      <c r="L1013" s="32" t="e">
        <f ca="1">_xludf.ifna(VLOOKUP(E1013,Parámetros!$D$2:$E$34,2,0),"")</f>
        <v>#NAME?</v>
      </c>
      <c r="M1013" s="32" t="e">
        <f ca="1">_xludf.ifna(VLOOKUP(G1013,Proyectos!$A$2:$T$674,20,0),"")</f>
        <v>#NAME?</v>
      </c>
      <c r="N1013" s="32" t="e">
        <f ca="1">_xludf.ifna(VLOOKUP(G1013,Proyectos!$A$2:$S$674,19,0))</f>
        <v>#NAME?</v>
      </c>
      <c r="O1013" s="32"/>
      <c r="P1013" s="31"/>
      <c r="Q1013" s="33"/>
      <c r="R1013" s="33"/>
      <c r="S1013" s="33"/>
      <c r="T1013" s="33"/>
      <c r="U1013" s="33"/>
      <c r="V1013" s="33"/>
      <c r="W1013" s="33"/>
    </row>
    <row r="1014" spans="1:23" ht="16.5" customHeight="1" x14ac:dyDescent="0.2">
      <c r="A1014" s="35"/>
      <c r="B1014" s="89" t="s">
        <v>5386</v>
      </c>
      <c r="C1014" s="35" t="s">
        <v>64</v>
      </c>
      <c r="D1014" s="35" t="s">
        <v>82</v>
      </c>
      <c r="E1014" s="35" t="s">
        <v>9</v>
      </c>
      <c r="F1014" s="28" t="e">
        <f ca="1">_xludf.ifna(VLOOKUP(G1014,Proyectos!$A$2:$F$674,6,0),"")</f>
        <v>#NAME?</v>
      </c>
      <c r="G1014" s="29" t="s">
        <v>5394</v>
      </c>
      <c r="H1014" s="30">
        <v>1</v>
      </c>
      <c r="I1014" s="52" t="s">
        <v>25</v>
      </c>
      <c r="J1014" s="31" t="s">
        <v>72</v>
      </c>
      <c r="K1014" s="44"/>
      <c r="L1014" s="32" t="e">
        <f ca="1">_xludf.ifna(VLOOKUP(E1014,Parámetros!$D$2:$E$34,2,0),"")</f>
        <v>#NAME?</v>
      </c>
      <c r="M1014" s="32" t="e">
        <f ca="1">_xludf.ifna(VLOOKUP(G1014,Proyectos!$A$2:$T$674,20,0),"")</f>
        <v>#NAME?</v>
      </c>
      <c r="N1014" s="32" t="e">
        <f ca="1">_xludf.ifna(VLOOKUP(G1014,Proyectos!$A$2:$S$674,19,0))</f>
        <v>#NAME?</v>
      </c>
      <c r="O1014" s="31"/>
      <c r="P1014" s="31"/>
      <c r="Q1014" s="33"/>
      <c r="R1014" s="33"/>
      <c r="S1014" s="33"/>
      <c r="T1014" s="33"/>
      <c r="U1014" s="33"/>
      <c r="V1014" s="33"/>
      <c r="W1014" s="33"/>
    </row>
    <row r="1015" spans="1:23" ht="16.5" customHeight="1" x14ac:dyDescent="0.2">
      <c r="A1015" s="35" t="s">
        <v>3420</v>
      </c>
      <c r="B1015" s="35" t="s">
        <v>3421</v>
      </c>
      <c r="C1015" s="35" t="s">
        <v>64</v>
      </c>
      <c r="D1015" s="35" t="s">
        <v>82</v>
      </c>
      <c r="E1015" s="35" t="s">
        <v>39</v>
      </c>
      <c r="F1015" s="28" t="e">
        <f ca="1">_xludf.ifna(VLOOKUP(G1015,Proyectos!$A$2:$F$674,6,0),"")</f>
        <v>#NAME?</v>
      </c>
      <c r="G1015" s="29" t="s">
        <v>5114</v>
      </c>
      <c r="H1015" s="30">
        <v>1</v>
      </c>
      <c r="I1015" s="52" t="s">
        <v>11</v>
      </c>
      <c r="J1015" s="31" t="s">
        <v>26</v>
      </c>
      <c r="K1015" s="32"/>
      <c r="L1015" s="32" t="e">
        <f ca="1">_xludf.ifna(VLOOKUP(E1015,Parámetros!$D$2:$E$34,2,0),"")</f>
        <v>#NAME?</v>
      </c>
      <c r="M1015" s="32" t="e">
        <f ca="1">_xludf.ifna(VLOOKUP(G1015,Proyectos!$A$2:$T$674,20,0),"")</f>
        <v>#NAME?</v>
      </c>
      <c r="N1015" s="32" t="e">
        <f ca="1">_xludf.ifna(VLOOKUP(G1015,Proyectos!$A$2:$S$674,19,0))</f>
        <v>#NAME?</v>
      </c>
      <c r="O1015" s="31"/>
      <c r="P1015" s="31"/>
      <c r="Q1015" s="33"/>
      <c r="R1015" s="33"/>
      <c r="S1015" s="33"/>
      <c r="T1015" s="33"/>
      <c r="U1015" s="33"/>
      <c r="V1015" s="33"/>
      <c r="W1015" s="33"/>
    </row>
    <row r="1016" spans="1:23" ht="16.5" customHeight="1" x14ac:dyDescent="0.2">
      <c r="A1016" s="35" t="s">
        <v>3536</v>
      </c>
      <c r="B1016" s="35" t="s">
        <v>3537</v>
      </c>
      <c r="C1016" s="35" t="s">
        <v>64</v>
      </c>
      <c r="D1016" s="35" t="s">
        <v>82</v>
      </c>
      <c r="E1016" s="35" t="s">
        <v>39</v>
      </c>
      <c r="F1016" s="28" t="e">
        <f ca="1">_xludf.ifna(VLOOKUP(G1016,Proyectos!$A$2:$F$674,6,0),"")</f>
        <v>#NAME?</v>
      </c>
      <c r="G1016" s="29" t="s">
        <v>5114</v>
      </c>
      <c r="H1016" s="30">
        <v>1</v>
      </c>
      <c r="I1016" s="52" t="s">
        <v>18</v>
      </c>
      <c r="J1016" s="31" t="s">
        <v>26</v>
      </c>
      <c r="K1016" s="32"/>
      <c r="L1016" s="32" t="e">
        <f ca="1">_xludf.ifna(VLOOKUP(E1016,Parámetros!$D$2:$E$34,2,0),"")</f>
        <v>#NAME?</v>
      </c>
      <c r="M1016" s="32" t="e">
        <f ca="1">_xludf.ifna(VLOOKUP(G1016,Proyectos!$A$2:$T$674,20,0),"")</f>
        <v>#NAME?</v>
      </c>
      <c r="N1016" s="32" t="e">
        <f ca="1">_xludf.ifna(VLOOKUP(G1016,Proyectos!$A$2:$S$674,19,0))</f>
        <v>#NAME?</v>
      </c>
      <c r="O1016" s="31"/>
      <c r="P1016" s="31"/>
      <c r="Q1016" s="33"/>
      <c r="R1016" s="33"/>
      <c r="S1016" s="33"/>
      <c r="T1016" s="33"/>
      <c r="U1016" s="33"/>
      <c r="V1016" s="33"/>
      <c r="W1016" s="33"/>
    </row>
    <row r="1017" spans="1:23" ht="16.5" customHeight="1" x14ac:dyDescent="0.2">
      <c r="A1017" s="35" t="s">
        <v>3534</v>
      </c>
      <c r="B1017" s="35" t="s">
        <v>3535</v>
      </c>
      <c r="C1017" s="35" t="s">
        <v>64</v>
      </c>
      <c r="D1017" s="35" t="s">
        <v>82</v>
      </c>
      <c r="E1017" s="35" t="s">
        <v>39</v>
      </c>
      <c r="F1017" s="28" t="e">
        <f ca="1">_xludf.ifna(VLOOKUP(G1017,Proyectos!$A$2:$F$674,6,0),"")</f>
        <v>#NAME?</v>
      </c>
      <c r="G1017" s="29" t="s">
        <v>5114</v>
      </c>
      <c r="H1017" s="30">
        <v>1</v>
      </c>
      <c r="I1017" s="52" t="s">
        <v>18</v>
      </c>
      <c r="J1017" s="31" t="s">
        <v>26</v>
      </c>
      <c r="K1017" s="32"/>
      <c r="L1017" s="32" t="e">
        <f ca="1">_xludf.ifna(VLOOKUP(E1017,Parámetros!$D$2:$E$34,2,0),"")</f>
        <v>#NAME?</v>
      </c>
      <c r="M1017" s="32" t="e">
        <f ca="1">_xludf.ifna(VLOOKUP(G1017,Proyectos!$A$2:$T$674,20,0),"")</f>
        <v>#NAME?</v>
      </c>
      <c r="N1017" s="32" t="e">
        <f ca="1">_xludf.ifna(VLOOKUP(G1017,Proyectos!$A$2:$S$674,19,0))</f>
        <v>#NAME?</v>
      </c>
      <c r="O1017" s="31"/>
      <c r="P1017" s="31"/>
      <c r="Q1017" s="33"/>
      <c r="R1017" s="33"/>
      <c r="S1017" s="33"/>
      <c r="T1017" s="33"/>
      <c r="U1017" s="33"/>
      <c r="V1017" s="33"/>
      <c r="W1017" s="33"/>
    </row>
    <row r="1018" spans="1:23" ht="16.5" customHeight="1" x14ac:dyDescent="0.2">
      <c r="A1018" s="35" t="s">
        <v>3698</v>
      </c>
      <c r="B1018" s="35" t="s">
        <v>3699</v>
      </c>
      <c r="C1018" s="35" t="s">
        <v>64</v>
      </c>
      <c r="D1018" s="35" t="s">
        <v>82</v>
      </c>
      <c r="E1018" s="35" t="s">
        <v>39</v>
      </c>
      <c r="F1018" s="28" t="e">
        <f ca="1">_xludf.ifna(VLOOKUP(G1018,Proyectos!$A$2:$F$674,6,0),"")</f>
        <v>#NAME?</v>
      </c>
      <c r="G1018" s="29" t="s">
        <v>5114</v>
      </c>
      <c r="H1018" s="30">
        <v>1</v>
      </c>
      <c r="I1018" s="52" t="s">
        <v>18</v>
      </c>
      <c r="J1018" s="31" t="s">
        <v>12</v>
      </c>
      <c r="K1018" s="32"/>
      <c r="L1018" s="32" t="e">
        <f ca="1">_xludf.ifna(VLOOKUP(E1018,Parámetros!$D$2:$E$34,2,0),"")</f>
        <v>#NAME?</v>
      </c>
      <c r="M1018" s="32" t="e">
        <f ca="1">_xludf.ifna(VLOOKUP(G1018,Proyectos!$A$2:$T$674,20,0),"")</f>
        <v>#NAME?</v>
      </c>
      <c r="N1018" s="32" t="e">
        <f ca="1">_xludf.ifna(VLOOKUP(G1018,Proyectos!$A$2:$S$674,19,0))</f>
        <v>#NAME?</v>
      </c>
      <c r="O1018" s="31"/>
      <c r="P1018" s="31"/>
      <c r="Q1018" s="33"/>
      <c r="R1018" s="33"/>
      <c r="S1018" s="33"/>
      <c r="T1018" s="33"/>
      <c r="U1018" s="33"/>
      <c r="V1018" s="33"/>
      <c r="W1018" s="33"/>
    </row>
    <row r="1019" spans="1:23" ht="16.5" customHeight="1" x14ac:dyDescent="0.2">
      <c r="A1019" s="35" t="s">
        <v>3588</v>
      </c>
      <c r="B1019" s="35" t="s">
        <v>3589</v>
      </c>
      <c r="C1019" s="35" t="s">
        <v>64</v>
      </c>
      <c r="D1019" s="35" t="s">
        <v>82</v>
      </c>
      <c r="E1019" s="35" t="s">
        <v>39</v>
      </c>
      <c r="F1019" s="28" t="e">
        <f ca="1">_xludf.ifna(VLOOKUP(G1019,Proyectos!$A$2:$F$674,6,0),"")</f>
        <v>#NAME?</v>
      </c>
      <c r="G1019" s="29" t="s">
        <v>5114</v>
      </c>
      <c r="H1019" s="30">
        <v>1</v>
      </c>
      <c r="I1019" s="52" t="s">
        <v>18</v>
      </c>
      <c r="J1019" s="31" t="s">
        <v>26</v>
      </c>
      <c r="K1019" s="32"/>
      <c r="L1019" s="32" t="e">
        <f ca="1">_xludf.ifna(VLOOKUP(E1019,Parámetros!$D$2:$E$34,2,0),"")</f>
        <v>#NAME?</v>
      </c>
      <c r="M1019" s="32" t="e">
        <f ca="1">_xludf.ifna(VLOOKUP(G1019,Proyectos!$A$2:$T$674,20,0),"")</f>
        <v>#NAME?</v>
      </c>
      <c r="N1019" s="32" t="e">
        <f ca="1">_xludf.ifna(VLOOKUP(G1019,Proyectos!$A$2:$S$674,19,0))</f>
        <v>#NAME?</v>
      </c>
      <c r="O1019" s="32"/>
      <c r="P1019" s="31"/>
      <c r="Q1019" s="33"/>
      <c r="R1019" s="33"/>
      <c r="S1019" s="33"/>
      <c r="T1019" s="33"/>
      <c r="U1019" s="33"/>
      <c r="V1019" s="33"/>
      <c r="W1019" s="33"/>
    </row>
    <row r="1020" spans="1:23" ht="16.5" customHeight="1" x14ac:dyDescent="0.2">
      <c r="A1020" s="35" t="s">
        <v>3564</v>
      </c>
      <c r="B1020" s="35" t="s">
        <v>5395</v>
      </c>
      <c r="C1020" s="54" t="s">
        <v>64</v>
      </c>
      <c r="D1020" s="35" t="s">
        <v>82</v>
      </c>
      <c r="E1020" s="35" t="s">
        <v>39</v>
      </c>
      <c r="F1020" s="28" t="e">
        <f ca="1">_xludf.ifna(VLOOKUP(G1020,Proyectos!$A$2:$F$674,6,0),"")</f>
        <v>#NAME?</v>
      </c>
      <c r="G1020" s="29" t="s">
        <v>5114</v>
      </c>
      <c r="H1020" s="30">
        <v>1</v>
      </c>
      <c r="I1020" s="52" t="s">
        <v>18</v>
      </c>
      <c r="J1020" s="31" t="s">
        <v>26</v>
      </c>
      <c r="K1020" s="32"/>
      <c r="L1020" s="32" t="e">
        <f ca="1">_xludf.ifna(VLOOKUP(E1020,Parámetros!$D$2:$E$34,2,0),"")</f>
        <v>#NAME?</v>
      </c>
      <c r="M1020" s="32" t="e">
        <f ca="1">_xludf.ifna(VLOOKUP(G1020,Proyectos!$A$2:$T$674,20,0),"")</f>
        <v>#NAME?</v>
      </c>
      <c r="N1020" s="32" t="e">
        <f ca="1">_xludf.ifna(VLOOKUP(G1020,Proyectos!$A$2:$S$674,19,0))</f>
        <v>#NAME?</v>
      </c>
      <c r="O1020" s="32"/>
      <c r="P1020" s="31"/>
      <c r="Q1020" s="33"/>
      <c r="R1020" s="33"/>
      <c r="S1020" s="33"/>
      <c r="T1020" s="33"/>
      <c r="U1020" s="33"/>
      <c r="V1020" s="33"/>
      <c r="W1020" s="33"/>
    </row>
    <row r="1021" spans="1:23" ht="16.5" customHeight="1" x14ac:dyDescent="0.2">
      <c r="A1021" s="35" t="s">
        <v>3680</v>
      </c>
      <c r="B1021" s="35" t="s">
        <v>3681</v>
      </c>
      <c r="C1021" s="35" t="s">
        <v>64</v>
      </c>
      <c r="D1021" s="35" t="s">
        <v>82</v>
      </c>
      <c r="E1021" s="35" t="s">
        <v>39</v>
      </c>
      <c r="F1021" s="28" t="e">
        <f ca="1">_xludf.ifna(VLOOKUP(G1021,Proyectos!$A$2:$F$674,6,0),"")</f>
        <v>#NAME?</v>
      </c>
      <c r="G1021" s="29" t="s">
        <v>5114</v>
      </c>
      <c r="H1021" s="30">
        <v>1</v>
      </c>
      <c r="I1021" s="52" t="s">
        <v>18</v>
      </c>
      <c r="J1021" s="31" t="s">
        <v>26</v>
      </c>
      <c r="K1021" s="32"/>
      <c r="L1021" s="32" t="e">
        <f ca="1">_xludf.ifna(VLOOKUP(E1021,Parámetros!$D$2:$E$34,2,0),"")</f>
        <v>#NAME?</v>
      </c>
      <c r="M1021" s="32" t="e">
        <f ca="1">_xludf.ifna(VLOOKUP(G1021,Proyectos!$A$2:$T$674,20,0),"")</f>
        <v>#NAME?</v>
      </c>
      <c r="N1021" s="32" t="e">
        <f ca="1">_xludf.ifna(VLOOKUP(G1021,Proyectos!$A$2:$S$674,19,0))</f>
        <v>#NAME?</v>
      </c>
      <c r="O1021" s="31"/>
      <c r="P1021" s="31"/>
      <c r="Q1021" s="33"/>
      <c r="R1021" s="33"/>
      <c r="S1021" s="33"/>
      <c r="T1021" s="33"/>
      <c r="U1021" s="33"/>
      <c r="V1021" s="33"/>
      <c r="W1021" s="33"/>
    </row>
    <row r="1022" spans="1:23" ht="16.5" customHeight="1" x14ac:dyDescent="0.2">
      <c r="A1022" s="35" t="s">
        <v>4924</v>
      </c>
      <c r="B1022" s="35" t="s">
        <v>4925</v>
      </c>
      <c r="C1022" s="35" t="s">
        <v>64</v>
      </c>
      <c r="D1022" s="35" t="s">
        <v>82</v>
      </c>
      <c r="E1022" s="35" t="s">
        <v>9</v>
      </c>
      <c r="F1022" s="28" t="e">
        <f ca="1">_xludf.ifna(VLOOKUP(G1022,Proyectos!$A$2:$F$674,6,0),"")</f>
        <v>#NAME?</v>
      </c>
      <c r="G1022" s="29" t="s">
        <v>5114</v>
      </c>
      <c r="H1022" s="30">
        <v>1</v>
      </c>
      <c r="I1022" s="52" t="s">
        <v>18</v>
      </c>
      <c r="J1022" s="31" t="s">
        <v>26</v>
      </c>
      <c r="K1022" s="32"/>
      <c r="L1022" s="32" t="e">
        <f ca="1">_xludf.ifna(VLOOKUP(E1022,Parámetros!$D$2:$E$34,2,0),"")</f>
        <v>#NAME?</v>
      </c>
      <c r="M1022" s="32" t="e">
        <f ca="1">_xludf.ifna(VLOOKUP(G1022,Proyectos!$A$2:$T$674,20,0),"")</f>
        <v>#NAME?</v>
      </c>
      <c r="N1022" s="32" t="e">
        <f ca="1">_xludf.ifna(VLOOKUP(G1022,Proyectos!$A$2:$S$674,19,0))</f>
        <v>#NAME?</v>
      </c>
      <c r="O1022" s="32"/>
      <c r="P1022" s="31"/>
      <c r="Q1022" s="33"/>
      <c r="R1022" s="33"/>
      <c r="S1022" s="33"/>
      <c r="T1022" s="33"/>
      <c r="U1022" s="33"/>
      <c r="V1022" s="33"/>
      <c r="W1022" s="33"/>
    </row>
    <row r="1023" spans="1:23" ht="16.5" customHeight="1" x14ac:dyDescent="0.2">
      <c r="A1023" s="35" t="s">
        <v>4930</v>
      </c>
      <c r="B1023" s="35" t="s">
        <v>4931</v>
      </c>
      <c r="C1023" s="35" t="s">
        <v>64</v>
      </c>
      <c r="D1023" s="35" t="s">
        <v>82</v>
      </c>
      <c r="E1023" s="35" t="s">
        <v>9</v>
      </c>
      <c r="F1023" s="28" t="e">
        <f ca="1">_xludf.ifna(VLOOKUP(G1023,Proyectos!$A$2:$F$674,6,0),"")</f>
        <v>#NAME?</v>
      </c>
      <c r="G1023" s="29" t="s">
        <v>5114</v>
      </c>
      <c r="H1023" s="30">
        <v>1</v>
      </c>
      <c r="I1023" s="52" t="s">
        <v>18</v>
      </c>
      <c r="J1023" s="31" t="s">
        <v>26</v>
      </c>
      <c r="K1023" s="32"/>
      <c r="L1023" s="32" t="e">
        <f ca="1">_xludf.ifna(VLOOKUP(E1023,Parámetros!$D$2:$E$34,2,0),"")</f>
        <v>#NAME?</v>
      </c>
      <c r="M1023" s="32" t="e">
        <f ca="1">_xludf.ifna(VLOOKUP(G1023,Proyectos!$A$2:$T$674,20,0),"")</f>
        <v>#NAME?</v>
      </c>
      <c r="N1023" s="32" t="e">
        <f ca="1">_xludf.ifna(VLOOKUP(G1023,Proyectos!$A$2:$S$674,19,0))</f>
        <v>#NAME?</v>
      </c>
      <c r="O1023" s="32"/>
      <c r="P1023" s="31"/>
      <c r="Q1023" s="33"/>
      <c r="R1023" s="33"/>
      <c r="S1023" s="33"/>
      <c r="T1023" s="33"/>
      <c r="U1023" s="33"/>
      <c r="V1023" s="33"/>
      <c r="W1023" s="33"/>
    </row>
    <row r="1024" spans="1:23" ht="16.5" customHeight="1" x14ac:dyDescent="0.2">
      <c r="A1024" s="35" t="s">
        <v>4427</v>
      </c>
      <c r="B1024" s="35" t="s">
        <v>4428</v>
      </c>
      <c r="C1024" s="35" t="s">
        <v>64</v>
      </c>
      <c r="D1024" s="35" t="s">
        <v>82</v>
      </c>
      <c r="E1024" s="35" t="s">
        <v>9</v>
      </c>
      <c r="F1024" s="28" t="e">
        <f ca="1">_xludf.ifna(VLOOKUP(G1024,Proyectos!$A$2:$F$674,6,0),"")</f>
        <v>#NAME?</v>
      </c>
      <c r="G1024" s="29" t="s">
        <v>5114</v>
      </c>
      <c r="H1024" s="30">
        <v>1</v>
      </c>
      <c r="I1024" s="52" t="s">
        <v>18</v>
      </c>
      <c r="J1024" s="31" t="s">
        <v>26</v>
      </c>
      <c r="K1024" s="32"/>
      <c r="L1024" s="32" t="e">
        <f ca="1">_xludf.ifna(VLOOKUP(E1024,Parámetros!$D$2:$E$34,2,0),"")</f>
        <v>#NAME?</v>
      </c>
      <c r="M1024" s="32" t="e">
        <f ca="1">_xludf.ifna(VLOOKUP(G1024,Proyectos!$A$2:$T$674,20,0),"")</f>
        <v>#NAME?</v>
      </c>
      <c r="N1024" s="32" t="e">
        <f ca="1">_xludf.ifna(VLOOKUP(G1024,Proyectos!$A$2:$S$674,19,0))</f>
        <v>#NAME?</v>
      </c>
      <c r="O1024" s="31"/>
      <c r="P1024" s="31"/>
      <c r="Q1024" s="33"/>
      <c r="R1024" s="33"/>
      <c r="S1024" s="33"/>
      <c r="T1024" s="33"/>
      <c r="U1024" s="33"/>
      <c r="V1024" s="33"/>
      <c r="W1024" s="33"/>
    </row>
    <row r="1025" spans="1:23" ht="16.5" customHeight="1" x14ac:dyDescent="0.2">
      <c r="A1025" s="90"/>
      <c r="B1025" s="35" t="s">
        <v>5396</v>
      </c>
      <c r="C1025" s="35" t="s">
        <v>64</v>
      </c>
      <c r="D1025" s="35" t="s">
        <v>82</v>
      </c>
      <c r="E1025" s="35" t="s">
        <v>9</v>
      </c>
      <c r="F1025" s="28" t="e">
        <f ca="1">_xludf.ifna(VLOOKUP(G1025,Proyectos!$A$2:$F$674,6,0),"")</f>
        <v>#NAME?</v>
      </c>
      <c r="G1025" s="29" t="s">
        <v>5114</v>
      </c>
      <c r="H1025" s="30">
        <v>1</v>
      </c>
      <c r="I1025" s="52" t="s">
        <v>18</v>
      </c>
      <c r="J1025" s="31" t="s">
        <v>26</v>
      </c>
      <c r="K1025" s="32"/>
      <c r="L1025" s="32" t="e">
        <f ca="1">_xludf.ifna(VLOOKUP(E1025,Parámetros!$D$2:$E$34,2,0),"")</f>
        <v>#NAME?</v>
      </c>
      <c r="M1025" s="32" t="e">
        <f ca="1">_xludf.ifna(VLOOKUP(G1025,Proyectos!$A$2:$T$674,20,0),"")</f>
        <v>#NAME?</v>
      </c>
      <c r="N1025" s="32" t="e">
        <f ca="1">_xludf.ifna(VLOOKUP(G1025,Proyectos!$A$2:$S$674,19,0))</f>
        <v>#NAME?</v>
      </c>
      <c r="O1025" s="32"/>
      <c r="P1025" s="31"/>
      <c r="Q1025" s="33"/>
      <c r="R1025" s="33"/>
      <c r="S1025" s="33"/>
      <c r="T1025" s="33"/>
      <c r="U1025" s="33"/>
      <c r="V1025" s="33"/>
      <c r="W1025" s="33"/>
    </row>
    <row r="1026" spans="1:23" ht="16.5" customHeight="1" x14ac:dyDescent="0.2">
      <c r="A1026" s="35" t="s">
        <v>4994</v>
      </c>
      <c r="B1026" s="35" t="s">
        <v>4995</v>
      </c>
      <c r="C1026" s="54" t="s">
        <v>64</v>
      </c>
      <c r="D1026" s="35" t="s">
        <v>82</v>
      </c>
      <c r="E1026" s="35" t="s">
        <v>126</v>
      </c>
      <c r="F1026" s="28" t="e">
        <f ca="1">_xludf.ifna(VLOOKUP(G1026,Proyectos!$A$2:$F$674,6,0),"")</f>
        <v>#NAME?</v>
      </c>
      <c r="G1026" s="29" t="s">
        <v>5114</v>
      </c>
      <c r="H1026" s="30">
        <v>1</v>
      </c>
      <c r="I1026" s="52" t="s">
        <v>18</v>
      </c>
      <c r="J1026" s="31" t="s">
        <v>26</v>
      </c>
      <c r="K1026" s="32"/>
      <c r="L1026" s="32" t="e">
        <f ca="1">_xludf.ifna(VLOOKUP(E1026,Parámetros!$D$2:$E$34,2,0),"")</f>
        <v>#NAME?</v>
      </c>
      <c r="M1026" s="32" t="e">
        <f ca="1">_xludf.ifna(VLOOKUP(G1026,Proyectos!$A$2:$T$674,20,0),"")</f>
        <v>#NAME?</v>
      </c>
      <c r="N1026" s="32" t="e">
        <f ca="1">_xludf.ifna(VLOOKUP(G1026,Proyectos!$A$2:$S$674,19,0))</f>
        <v>#NAME?</v>
      </c>
      <c r="O1026" s="32"/>
      <c r="P1026" s="31"/>
      <c r="Q1026" s="33"/>
      <c r="R1026" s="33"/>
      <c r="S1026" s="33"/>
      <c r="T1026" s="33"/>
      <c r="U1026" s="33"/>
      <c r="V1026" s="33"/>
      <c r="W1026" s="33"/>
    </row>
    <row r="1027" spans="1:23" ht="16.5" customHeight="1" x14ac:dyDescent="0.2">
      <c r="A1027" s="35" t="s">
        <v>4998</v>
      </c>
      <c r="B1027" s="35" t="s">
        <v>4999</v>
      </c>
      <c r="C1027" s="35" t="s">
        <v>64</v>
      </c>
      <c r="D1027" s="35" t="s">
        <v>82</v>
      </c>
      <c r="E1027" s="35" t="s">
        <v>126</v>
      </c>
      <c r="F1027" s="28" t="e">
        <f ca="1">_xludf.ifna(VLOOKUP(G1027,Proyectos!$A$2:$F$674,6,0),"")</f>
        <v>#NAME?</v>
      </c>
      <c r="G1027" s="29" t="s">
        <v>5114</v>
      </c>
      <c r="H1027" s="30">
        <v>1</v>
      </c>
      <c r="I1027" s="52" t="s">
        <v>18</v>
      </c>
      <c r="J1027" s="31" t="s">
        <v>26</v>
      </c>
      <c r="K1027" s="32"/>
      <c r="L1027" s="32" t="e">
        <f ca="1">_xludf.ifna(VLOOKUP(E1027,Parámetros!$D$2:$E$34,2,0),"")</f>
        <v>#NAME?</v>
      </c>
      <c r="M1027" s="32" t="e">
        <f ca="1">_xludf.ifna(VLOOKUP(G1027,Proyectos!$A$2:$T$674,20,0),"")</f>
        <v>#NAME?</v>
      </c>
      <c r="N1027" s="32" t="e">
        <f ca="1">_xludf.ifna(VLOOKUP(G1027,Proyectos!$A$2:$S$674,19,0))</f>
        <v>#NAME?</v>
      </c>
      <c r="O1027" s="32"/>
      <c r="P1027" s="31"/>
      <c r="Q1027" s="33"/>
      <c r="R1027" s="33"/>
      <c r="S1027" s="33"/>
      <c r="T1027" s="33"/>
      <c r="U1027" s="33"/>
      <c r="V1027" s="33"/>
      <c r="W1027" s="33"/>
    </row>
    <row r="1028" spans="1:23" ht="16.5" customHeight="1" x14ac:dyDescent="0.2">
      <c r="A1028" s="35" t="s">
        <v>4855</v>
      </c>
      <c r="B1028" s="26" t="s">
        <v>5397</v>
      </c>
      <c r="C1028" s="35" t="s">
        <v>64</v>
      </c>
      <c r="D1028" s="35" t="s">
        <v>82</v>
      </c>
      <c r="E1028" s="26" t="s">
        <v>106</v>
      </c>
      <c r="F1028" s="28" t="e">
        <f ca="1">_xludf.ifna(VLOOKUP(G1028,Proyectos!$A$2:$F$674,6,0),"")</f>
        <v>#NAME?</v>
      </c>
      <c r="G1028" s="29" t="s">
        <v>5114</v>
      </c>
      <c r="H1028" s="32">
        <v>1</v>
      </c>
      <c r="I1028" s="31" t="s">
        <v>32</v>
      </c>
      <c r="J1028" s="31" t="s">
        <v>26</v>
      </c>
      <c r="K1028" s="32"/>
      <c r="L1028" s="32" t="e">
        <f ca="1">_xludf.ifna(VLOOKUP(E1028,Parámetros!$D$2:$E$34,2,0),"")</f>
        <v>#NAME?</v>
      </c>
      <c r="M1028" s="32" t="e">
        <f ca="1">_xludf.ifna(VLOOKUP(G1028,Proyectos!$A$2:$T$674,20,0),"")</f>
        <v>#NAME?</v>
      </c>
      <c r="N1028" s="32" t="e">
        <f ca="1">_xludf.ifna(VLOOKUP(G1028,Proyectos!$A$2:$S$674,19,0))</f>
        <v>#NAME?</v>
      </c>
      <c r="O1028" s="32"/>
      <c r="P1028" s="31"/>
      <c r="Q1028" s="33"/>
      <c r="R1028" s="33"/>
      <c r="S1028" s="33"/>
      <c r="T1028" s="33"/>
      <c r="U1028" s="33"/>
      <c r="V1028" s="33"/>
      <c r="W1028" s="33"/>
    </row>
    <row r="1029" spans="1:23" ht="16.5" customHeight="1" x14ac:dyDescent="0.2">
      <c r="A1029" s="56" t="s">
        <v>4996</v>
      </c>
      <c r="B1029" s="26" t="s">
        <v>5398</v>
      </c>
      <c r="C1029" s="35" t="s">
        <v>64</v>
      </c>
      <c r="D1029" s="35" t="s">
        <v>82</v>
      </c>
      <c r="E1029" s="35" t="s">
        <v>126</v>
      </c>
      <c r="F1029" s="28" t="e">
        <f ca="1">_xludf.ifna(VLOOKUP(G1029,Proyectos!$A$2:$F$674,6,0),"")</f>
        <v>#NAME?</v>
      </c>
      <c r="G1029" s="29" t="s">
        <v>5114</v>
      </c>
      <c r="H1029" s="32">
        <v>1</v>
      </c>
      <c r="I1029" s="31" t="s">
        <v>32</v>
      </c>
      <c r="J1029" s="31" t="s">
        <v>72</v>
      </c>
      <c r="K1029" s="32"/>
      <c r="L1029" s="32" t="e">
        <f ca="1">_xludf.ifna(VLOOKUP(E1029,Parámetros!$D$2:$E$34,2,0),"")</f>
        <v>#NAME?</v>
      </c>
      <c r="M1029" s="32" t="e">
        <f ca="1">_xludf.ifna(VLOOKUP(G1029,Proyectos!$A$2:$T$674,20,0),"")</f>
        <v>#NAME?</v>
      </c>
      <c r="N1029" s="32" t="e">
        <f ca="1">_xludf.ifna(VLOOKUP(G1029,Proyectos!$A$2:$S$674,19,0))</f>
        <v>#NAME?</v>
      </c>
      <c r="O1029" s="32"/>
      <c r="P1029" s="31"/>
      <c r="Q1029" s="33"/>
      <c r="R1029" s="33"/>
      <c r="S1029" s="33"/>
      <c r="T1029" s="33"/>
      <c r="U1029" s="33"/>
      <c r="V1029" s="33"/>
      <c r="W1029" s="33"/>
    </row>
    <row r="1030" spans="1:23" ht="16.5" customHeight="1" x14ac:dyDescent="0.2">
      <c r="A1030" s="35" t="s">
        <v>4992</v>
      </c>
      <c r="B1030" s="26" t="s">
        <v>5399</v>
      </c>
      <c r="C1030" s="35" t="s">
        <v>64</v>
      </c>
      <c r="D1030" s="35" t="s">
        <v>82</v>
      </c>
      <c r="E1030" s="35" t="s">
        <v>126</v>
      </c>
      <c r="F1030" s="28" t="e">
        <f ca="1">_xludf.ifna(VLOOKUP(G1030,Proyectos!$A$2:$F$674,6,0),"")</f>
        <v>#NAME?</v>
      </c>
      <c r="G1030" s="29" t="s">
        <v>5114</v>
      </c>
      <c r="H1030" s="32">
        <v>1</v>
      </c>
      <c r="I1030" s="31" t="s">
        <v>32</v>
      </c>
      <c r="J1030" s="31" t="s">
        <v>72</v>
      </c>
      <c r="K1030" s="32"/>
      <c r="L1030" s="32" t="e">
        <f ca="1">_xludf.ifna(VLOOKUP(E1030,Parámetros!$D$2:$E$34,2,0),"")</f>
        <v>#NAME?</v>
      </c>
      <c r="M1030" s="32" t="e">
        <f ca="1">_xludf.ifna(VLOOKUP(G1030,Proyectos!$A$2:$T$674,20,0),"")</f>
        <v>#NAME?</v>
      </c>
      <c r="N1030" s="32" t="e">
        <f ca="1">_xludf.ifna(VLOOKUP(G1030,Proyectos!$A$2:$S$674,19,0))</f>
        <v>#NAME?</v>
      </c>
      <c r="O1030" s="32"/>
      <c r="P1030" s="31"/>
      <c r="Q1030" s="33"/>
      <c r="R1030" s="33"/>
      <c r="S1030" s="33"/>
      <c r="T1030" s="33"/>
      <c r="U1030" s="33"/>
      <c r="V1030" s="33"/>
      <c r="W1030" s="33"/>
    </row>
    <row r="1031" spans="1:23" ht="16.5" customHeight="1" x14ac:dyDescent="0.2">
      <c r="A1031" s="35" t="s">
        <v>4853</v>
      </c>
      <c r="B1031" s="26" t="s">
        <v>5400</v>
      </c>
      <c r="C1031" s="35" t="s">
        <v>64</v>
      </c>
      <c r="D1031" s="35" t="s">
        <v>82</v>
      </c>
      <c r="E1031" s="26" t="s">
        <v>106</v>
      </c>
      <c r="F1031" s="28" t="e">
        <f ca="1">_xludf.ifna(VLOOKUP(G1031,Proyectos!$A$2:$F$674,6,0),"")</f>
        <v>#NAME?</v>
      </c>
      <c r="G1031" s="29" t="s">
        <v>5114</v>
      </c>
      <c r="H1031" s="32">
        <v>1</v>
      </c>
      <c r="I1031" s="31" t="s">
        <v>32</v>
      </c>
      <c r="J1031" s="31" t="s">
        <v>26</v>
      </c>
      <c r="K1031" s="32"/>
      <c r="L1031" s="32" t="e">
        <f ca="1">_xludf.ifna(VLOOKUP(E1031,Parámetros!$D$2:$E$34,2,0),"")</f>
        <v>#NAME?</v>
      </c>
      <c r="M1031" s="32" t="e">
        <f ca="1">_xludf.ifna(VLOOKUP(G1031,Proyectos!$A$2:$T$674,20,0),"")</f>
        <v>#NAME?</v>
      </c>
      <c r="N1031" s="32" t="e">
        <f ca="1">_xludf.ifna(VLOOKUP(G1031,Proyectos!$A$2:$S$674,19,0))</f>
        <v>#NAME?</v>
      </c>
      <c r="O1031" s="32"/>
      <c r="P1031" s="31"/>
      <c r="Q1031" s="33"/>
      <c r="R1031" s="33"/>
      <c r="S1031" s="33"/>
      <c r="T1031" s="33"/>
      <c r="U1031" s="33"/>
      <c r="V1031" s="33"/>
      <c r="W1031" s="33"/>
    </row>
    <row r="1032" spans="1:23" ht="16.5" customHeight="1" x14ac:dyDescent="0.2">
      <c r="A1032" s="35" t="s">
        <v>4298</v>
      </c>
      <c r="B1032" s="35" t="s">
        <v>4299</v>
      </c>
      <c r="C1032" s="35" t="s">
        <v>64</v>
      </c>
      <c r="D1032" s="35" t="s">
        <v>70</v>
      </c>
      <c r="E1032" s="35" t="s">
        <v>83</v>
      </c>
      <c r="F1032" s="28" t="e">
        <f ca="1">_xludf.ifna(VLOOKUP(G1032,Proyectos!$A$2:$F$674,6,0),"")</f>
        <v>#NAME?</v>
      </c>
      <c r="G1032" s="26" t="s">
        <v>5401</v>
      </c>
      <c r="H1032" s="30">
        <v>0.2</v>
      </c>
      <c r="I1032" s="30" t="s">
        <v>25</v>
      </c>
      <c r="J1032" s="31" t="s">
        <v>72</v>
      </c>
      <c r="K1032" s="32"/>
      <c r="L1032" s="32" t="e">
        <f ca="1">_xludf.ifna(VLOOKUP(E1032,Parámetros!$D$2:$E$34,2,0),"")</f>
        <v>#NAME?</v>
      </c>
      <c r="M1032" s="32" t="e">
        <f ca="1">_xludf.ifna(VLOOKUP(G1032,Proyectos!$A$2:$T$674,20,0),"")</f>
        <v>#NAME?</v>
      </c>
      <c r="N1032" s="32" t="e">
        <f ca="1">_xludf.ifna(VLOOKUP(G1032,Proyectos!$A$2:$S$674,19,0))</f>
        <v>#NAME?</v>
      </c>
      <c r="O1032" s="32"/>
      <c r="P1032" s="31"/>
      <c r="Q1032" s="33"/>
      <c r="R1032" s="33"/>
      <c r="S1032" s="33"/>
      <c r="T1032" s="33"/>
      <c r="U1032" s="33"/>
      <c r="V1032" s="33"/>
      <c r="W1032" s="33"/>
    </row>
    <row r="1033" spans="1:23" ht="16.5" customHeight="1" x14ac:dyDescent="0.2">
      <c r="A1033" s="35" t="s">
        <v>4298</v>
      </c>
      <c r="B1033" s="35" t="s">
        <v>4299</v>
      </c>
      <c r="C1033" s="35" t="s">
        <v>64</v>
      </c>
      <c r="D1033" s="35" t="s">
        <v>70</v>
      </c>
      <c r="E1033" s="35" t="s">
        <v>83</v>
      </c>
      <c r="F1033" s="28" t="e">
        <f ca="1">_xludf.ifna(VLOOKUP(G1033,Proyectos!$A$2:$F$674,6,0),"")</f>
        <v>#NAME?</v>
      </c>
      <c r="G1033" s="29" t="s">
        <v>5402</v>
      </c>
      <c r="H1033" s="30">
        <v>0.4</v>
      </c>
      <c r="I1033" s="30" t="s">
        <v>25</v>
      </c>
      <c r="J1033" s="31" t="s">
        <v>72</v>
      </c>
      <c r="K1033" s="32"/>
      <c r="L1033" s="32" t="e">
        <f ca="1">_xludf.ifna(VLOOKUP(E1033,Parámetros!$D$2:$E$34,2,0),"")</f>
        <v>#NAME?</v>
      </c>
      <c r="M1033" s="32" t="e">
        <f ca="1">_xludf.ifna(VLOOKUP(G1033,Proyectos!$A$2:$T$674,20,0),"")</f>
        <v>#NAME?</v>
      </c>
      <c r="N1033" s="32" t="e">
        <f ca="1">_xludf.ifna(VLOOKUP(G1033,Proyectos!$A$2:$S$674,19,0))</f>
        <v>#NAME?</v>
      </c>
      <c r="O1033" s="32"/>
      <c r="P1033" s="31"/>
      <c r="Q1033" s="33"/>
      <c r="R1033" s="33"/>
      <c r="S1033" s="33"/>
      <c r="T1033" s="33"/>
      <c r="U1033" s="33"/>
      <c r="V1033" s="33"/>
      <c r="W1033" s="33"/>
    </row>
    <row r="1034" spans="1:23" ht="16.5" customHeight="1" x14ac:dyDescent="0.2">
      <c r="A1034" s="35" t="s">
        <v>4298</v>
      </c>
      <c r="B1034" s="35" t="s">
        <v>4299</v>
      </c>
      <c r="C1034" s="35" t="s">
        <v>64</v>
      </c>
      <c r="D1034" s="35" t="s">
        <v>70</v>
      </c>
      <c r="E1034" s="35" t="s">
        <v>83</v>
      </c>
      <c r="F1034" s="28" t="e">
        <f ca="1">_xludf.ifna(VLOOKUP(G1034,Proyectos!$A$2:$F$674,6,0),"")</f>
        <v>#NAME?</v>
      </c>
      <c r="G1034" s="29" t="s">
        <v>5403</v>
      </c>
      <c r="H1034" s="30">
        <v>0.4</v>
      </c>
      <c r="I1034" s="30" t="s">
        <v>25</v>
      </c>
      <c r="J1034" s="31" t="s">
        <v>72</v>
      </c>
      <c r="K1034" s="32"/>
      <c r="L1034" s="32" t="e">
        <f ca="1">_xludf.ifna(VLOOKUP(E1034,Parámetros!$D$2:$E$34,2,0),"")</f>
        <v>#NAME?</v>
      </c>
      <c r="M1034" s="32" t="e">
        <f ca="1">_xludf.ifna(VLOOKUP(G1034,Proyectos!$A$2:$T$674,20,0),"")</f>
        <v>#NAME?</v>
      </c>
      <c r="N1034" s="32" t="e">
        <f ca="1">_xludf.ifna(VLOOKUP(G1034,Proyectos!$A$2:$S$674,19,0))</f>
        <v>#NAME?</v>
      </c>
      <c r="O1034" s="32"/>
      <c r="P1034" s="31"/>
      <c r="Q1034" s="33"/>
      <c r="R1034" s="33"/>
      <c r="S1034" s="33"/>
      <c r="T1034" s="33"/>
      <c r="U1034" s="33"/>
      <c r="V1034" s="33"/>
      <c r="W1034" s="33"/>
    </row>
    <row r="1035" spans="1:23" ht="16.5" customHeight="1" x14ac:dyDescent="0.2">
      <c r="A1035" s="35" t="s">
        <v>3466</v>
      </c>
      <c r="B1035" s="35" t="s">
        <v>3467</v>
      </c>
      <c r="C1035" s="35" t="s">
        <v>64</v>
      </c>
      <c r="D1035" s="35" t="s">
        <v>65</v>
      </c>
      <c r="E1035" s="35" t="s">
        <v>39</v>
      </c>
      <c r="F1035" s="28" t="e">
        <f ca="1">_xludf.ifna(VLOOKUP(G1035,Proyectos!$A$2:$F$674,6,0),"")</f>
        <v>#NAME?</v>
      </c>
      <c r="G1035" s="29" t="s">
        <v>5404</v>
      </c>
      <c r="H1035" s="30">
        <v>0.5</v>
      </c>
      <c r="I1035" s="30" t="s">
        <v>18</v>
      </c>
      <c r="J1035" s="31" t="s">
        <v>19</v>
      </c>
      <c r="K1035" s="32"/>
      <c r="L1035" s="32" t="e">
        <f ca="1">_xludf.ifna(VLOOKUP(E1035,Parámetros!$D$2:$E$34,2,0),"")</f>
        <v>#NAME?</v>
      </c>
      <c r="M1035" s="32" t="e">
        <f ca="1">_xludf.ifna(VLOOKUP(G1035,Proyectos!$A$2:$T$674,20,0),"")</f>
        <v>#NAME?</v>
      </c>
      <c r="N1035" s="32" t="e">
        <f ca="1">_xludf.ifna(VLOOKUP(G1035,Proyectos!$A$2:$S$674,19,0))</f>
        <v>#NAME?</v>
      </c>
      <c r="O1035" s="32"/>
      <c r="P1035" s="31"/>
      <c r="Q1035" s="33"/>
      <c r="R1035" s="33"/>
      <c r="S1035" s="33"/>
      <c r="T1035" s="33"/>
      <c r="U1035" s="33"/>
      <c r="V1035" s="33"/>
      <c r="W1035" s="33"/>
    </row>
    <row r="1036" spans="1:23" ht="16.5" customHeight="1" x14ac:dyDescent="0.2">
      <c r="A1036" s="35" t="s">
        <v>3466</v>
      </c>
      <c r="B1036" s="35" t="s">
        <v>3467</v>
      </c>
      <c r="C1036" s="35" t="s">
        <v>64</v>
      </c>
      <c r="D1036" s="35" t="s">
        <v>65</v>
      </c>
      <c r="E1036" s="35" t="s">
        <v>39</v>
      </c>
      <c r="F1036" s="28" t="e">
        <f ca="1">_xludf.ifna(VLOOKUP(G1036,Proyectos!$A$2:$F$674,6,0),"")</f>
        <v>#NAME?</v>
      </c>
      <c r="G1036" s="29" t="s">
        <v>5405</v>
      </c>
      <c r="H1036" s="30">
        <v>0.5</v>
      </c>
      <c r="I1036" s="30" t="s">
        <v>18</v>
      </c>
      <c r="J1036" s="31" t="s">
        <v>19</v>
      </c>
      <c r="K1036" s="32"/>
      <c r="L1036" s="32" t="e">
        <f ca="1">_xludf.ifna(VLOOKUP(E1036,Parámetros!$D$2:$E$34,2,0),"")</f>
        <v>#NAME?</v>
      </c>
      <c r="M1036" s="32" t="e">
        <f ca="1">_xludf.ifna(VLOOKUP(G1036,Proyectos!$A$2:$T$674,20,0),"")</f>
        <v>#NAME?</v>
      </c>
      <c r="N1036" s="32" t="e">
        <f ca="1">_xludf.ifna(VLOOKUP(G1036,Proyectos!$A$2:$S$674,19,0))</f>
        <v>#NAME?</v>
      </c>
      <c r="O1036" s="32"/>
      <c r="P1036" s="31"/>
      <c r="Q1036" s="33"/>
      <c r="R1036" s="33"/>
      <c r="S1036" s="33"/>
      <c r="T1036" s="33"/>
      <c r="U1036" s="33"/>
      <c r="V1036" s="33"/>
      <c r="W1036" s="33"/>
    </row>
    <row r="1037" spans="1:23" ht="16.5" customHeight="1" x14ac:dyDescent="0.2">
      <c r="A1037" s="35" t="s">
        <v>4134</v>
      </c>
      <c r="B1037" s="35" t="s">
        <v>4135</v>
      </c>
      <c r="C1037" s="35" t="s">
        <v>64</v>
      </c>
      <c r="D1037" s="35" t="s">
        <v>78</v>
      </c>
      <c r="E1037" s="35" t="s">
        <v>129</v>
      </c>
      <c r="F1037" s="28" t="e">
        <f ca="1">_xludf.ifna(VLOOKUP(G1037,Proyectos!$A$2:$F$674,6,0),"")</f>
        <v>#NAME?</v>
      </c>
      <c r="G1037" s="29" t="s">
        <v>5406</v>
      </c>
      <c r="H1037" s="30">
        <v>1</v>
      </c>
      <c r="I1037" s="30" t="s">
        <v>18</v>
      </c>
      <c r="J1037" s="31" t="s">
        <v>26</v>
      </c>
      <c r="K1037" s="32"/>
      <c r="L1037" s="32" t="e">
        <f ca="1">_xludf.ifna(VLOOKUP(E1037,Parámetros!$D$2:$E$34,2,0),"")</f>
        <v>#NAME?</v>
      </c>
      <c r="M1037" s="32" t="e">
        <f ca="1">_xludf.ifna(VLOOKUP(G1037,Proyectos!$A$2:$T$674,20,0),"")</f>
        <v>#NAME?</v>
      </c>
      <c r="N1037" s="32" t="e">
        <f ca="1">_xludf.ifna(VLOOKUP(G1037,Proyectos!$A$2:$S$674,19,0))</f>
        <v>#NAME?</v>
      </c>
      <c r="O1037" s="32"/>
      <c r="P1037" s="31"/>
      <c r="Q1037" s="33"/>
      <c r="R1037" s="33"/>
      <c r="S1037" s="33"/>
      <c r="T1037" s="33"/>
      <c r="U1037" s="33"/>
      <c r="V1037" s="33"/>
      <c r="W1037" s="33"/>
    </row>
    <row r="1038" spans="1:23" ht="16.5" customHeight="1" x14ac:dyDescent="0.2">
      <c r="A1038" s="35" t="s">
        <v>3485</v>
      </c>
      <c r="B1038" s="35" t="s">
        <v>3486</v>
      </c>
      <c r="C1038" s="35" t="s">
        <v>64</v>
      </c>
      <c r="D1038" s="35" t="s">
        <v>65</v>
      </c>
      <c r="E1038" s="35" t="s">
        <v>39</v>
      </c>
      <c r="F1038" s="28" t="e">
        <f ca="1">_xludf.ifna(VLOOKUP(G1038,Proyectos!$A$2:$F$674,6,0),"")</f>
        <v>#NAME?</v>
      </c>
      <c r="G1038" s="29" t="s">
        <v>5405</v>
      </c>
      <c r="H1038" s="30">
        <v>0.05</v>
      </c>
      <c r="I1038" s="30" t="s">
        <v>18</v>
      </c>
      <c r="J1038" s="31" t="s">
        <v>19</v>
      </c>
      <c r="K1038" s="32"/>
      <c r="L1038" s="32" t="e">
        <f ca="1">_xludf.ifna(VLOOKUP(E1038,Parámetros!$D$2:$E$34,2,0),"")</f>
        <v>#NAME?</v>
      </c>
      <c r="M1038" s="32" t="e">
        <f ca="1">_xludf.ifna(VLOOKUP(G1038,Proyectos!$A$2:$T$674,20,0),"")</f>
        <v>#NAME?</v>
      </c>
      <c r="N1038" s="32" t="e">
        <f ca="1">_xludf.ifna(VLOOKUP(G1038,Proyectos!$A$2:$S$674,19,0))</f>
        <v>#NAME?</v>
      </c>
      <c r="O1038" s="32"/>
      <c r="P1038" s="31"/>
      <c r="Q1038" s="33"/>
      <c r="R1038" s="33"/>
      <c r="S1038" s="33"/>
      <c r="T1038" s="33"/>
      <c r="U1038" s="33"/>
      <c r="V1038" s="33"/>
      <c r="W1038" s="33"/>
    </row>
    <row r="1039" spans="1:23" ht="16.5" customHeight="1" x14ac:dyDescent="0.2">
      <c r="A1039" s="35" t="s">
        <v>3485</v>
      </c>
      <c r="B1039" s="35" t="s">
        <v>3486</v>
      </c>
      <c r="C1039" s="35" t="s">
        <v>64</v>
      </c>
      <c r="D1039" s="35" t="s">
        <v>65</v>
      </c>
      <c r="E1039" s="35" t="s">
        <v>39</v>
      </c>
      <c r="F1039" s="28" t="e">
        <f ca="1">_xludf.ifna(VLOOKUP(G1039,Proyectos!$A$2:$F$674,6,0),"")</f>
        <v>#NAME?</v>
      </c>
      <c r="G1039" s="29" t="s">
        <v>5404</v>
      </c>
      <c r="H1039" s="30">
        <v>0.8</v>
      </c>
      <c r="I1039" s="30" t="s">
        <v>18</v>
      </c>
      <c r="J1039" s="31" t="s">
        <v>41</v>
      </c>
      <c r="K1039" s="31" t="s">
        <v>5407</v>
      </c>
      <c r="L1039" s="32" t="e">
        <f ca="1">_xludf.ifna(VLOOKUP(E1039,Parámetros!$D$2:$E$34,2,0),"")</f>
        <v>#NAME?</v>
      </c>
      <c r="M1039" s="32" t="e">
        <f ca="1">_xludf.ifna(VLOOKUP(G1039,Proyectos!$A$2:$T$674,20,0),"")</f>
        <v>#NAME?</v>
      </c>
      <c r="N1039" s="32" t="e">
        <f ca="1">_xludf.ifna(VLOOKUP(G1039,Proyectos!$A$2:$S$674,19,0))</f>
        <v>#NAME?</v>
      </c>
      <c r="O1039" s="31"/>
      <c r="P1039" s="31"/>
      <c r="Q1039" s="33"/>
      <c r="R1039" s="33"/>
      <c r="S1039" s="33"/>
      <c r="T1039" s="33"/>
      <c r="U1039" s="33"/>
      <c r="V1039" s="33"/>
      <c r="W1039" s="33"/>
    </row>
    <row r="1040" spans="1:23" ht="16.5" customHeight="1" x14ac:dyDescent="0.2">
      <c r="A1040" s="35" t="s">
        <v>3485</v>
      </c>
      <c r="B1040" s="35" t="s">
        <v>3486</v>
      </c>
      <c r="C1040" s="35" t="s">
        <v>64</v>
      </c>
      <c r="D1040" s="35" t="s">
        <v>65</v>
      </c>
      <c r="E1040" s="35" t="s">
        <v>39</v>
      </c>
      <c r="F1040" s="28" t="e">
        <f ca="1">_xludf.ifna(VLOOKUP(G1040,Proyectos!$A$2:$F$674,6,0),"")</f>
        <v>#NAME?</v>
      </c>
      <c r="G1040" s="29" t="s">
        <v>5114</v>
      </c>
      <c r="H1040" s="30">
        <v>0.15</v>
      </c>
      <c r="I1040" s="30" t="s">
        <v>18</v>
      </c>
      <c r="J1040" s="31" t="s">
        <v>41</v>
      </c>
      <c r="K1040" s="31" t="s">
        <v>5408</v>
      </c>
      <c r="L1040" s="32" t="e">
        <f ca="1">_xludf.ifna(VLOOKUP(E1040,Parámetros!$D$2:$E$34,2,0),"")</f>
        <v>#NAME?</v>
      </c>
      <c r="M1040" s="32" t="e">
        <f ca="1">_xludf.ifna(VLOOKUP(G1040,Proyectos!$A$2:$T$674,20,0),"")</f>
        <v>#NAME?</v>
      </c>
      <c r="N1040" s="32" t="e">
        <f ca="1">_xludf.ifna(VLOOKUP(G1040,Proyectos!$A$2:$S$674,19,0))</f>
        <v>#NAME?</v>
      </c>
      <c r="O1040" s="31"/>
      <c r="P1040" s="31"/>
      <c r="Q1040" s="33"/>
      <c r="R1040" s="33"/>
      <c r="S1040" s="33"/>
      <c r="T1040" s="33"/>
      <c r="U1040" s="33"/>
      <c r="V1040" s="33"/>
      <c r="W1040" s="33"/>
    </row>
    <row r="1041" spans="1:23" ht="16.5" customHeight="1" x14ac:dyDescent="0.2">
      <c r="A1041" s="35" t="s">
        <v>4757</v>
      </c>
      <c r="B1041" s="35" t="s">
        <v>4758</v>
      </c>
      <c r="C1041" s="35" t="s">
        <v>64</v>
      </c>
      <c r="D1041" s="35" t="s">
        <v>74</v>
      </c>
      <c r="E1041" s="35" t="s">
        <v>39</v>
      </c>
      <c r="F1041" s="28" t="e">
        <f ca="1">_xludf.ifna(VLOOKUP(G1041,Proyectos!$A$2:$F$674,6,0),"")</f>
        <v>#NAME?</v>
      </c>
      <c r="G1041" s="29" t="s">
        <v>5114</v>
      </c>
      <c r="H1041" s="30">
        <v>0.6</v>
      </c>
      <c r="I1041" s="30" t="s">
        <v>18</v>
      </c>
      <c r="J1041" s="31" t="s">
        <v>41</v>
      </c>
      <c r="K1041" s="31" t="s">
        <v>3465</v>
      </c>
      <c r="L1041" s="32" t="e">
        <f ca="1">_xludf.ifna(VLOOKUP(E1041,Parámetros!$D$2:$E$34,2,0),"")</f>
        <v>#NAME?</v>
      </c>
      <c r="M1041" s="32" t="e">
        <f ca="1">_xludf.ifna(VLOOKUP(G1041,Proyectos!$A$2:$T$674,20,0),"")</f>
        <v>#NAME?</v>
      </c>
      <c r="N1041" s="32" t="e">
        <f ca="1">_xludf.ifna(VLOOKUP(G1041,Proyectos!$A$2:$S$674,19,0))</f>
        <v>#NAME?</v>
      </c>
      <c r="O1041" s="31"/>
      <c r="P1041" s="31"/>
      <c r="Q1041" s="33"/>
      <c r="R1041" s="33"/>
      <c r="S1041" s="33"/>
      <c r="T1041" s="33"/>
      <c r="U1041" s="33"/>
      <c r="V1041" s="33"/>
      <c r="W1041" s="33"/>
    </row>
    <row r="1042" spans="1:23" ht="16.5" customHeight="1" x14ac:dyDescent="0.2">
      <c r="A1042" s="35" t="s">
        <v>4757</v>
      </c>
      <c r="B1042" s="35" t="s">
        <v>4758</v>
      </c>
      <c r="C1042" s="35" t="s">
        <v>64</v>
      </c>
      <c r="D1042" s="35" t="s">
        <v>74</v>
      </c>
      <c r="E1042" s="35" t="s">
        <v>39</v>
      </c>
      <c r="F1042" s="28" t="e">
        <f ca="1">_xludf.ifna(VLOOKUP(G1042,Proyectos!$A$2:$F$674,6,0),"")</f>
        <v>#NAME?</v>
      </c>
      <c r="G1042" s="29" t="s">
        <v>5198</v>
      </c>
      <c r="H1042" s="30">
        <v>0.4</v>
      </c>
      <c r="I1042" s="30" t="s">
        <v>18</v>
      </c>
      <c r="J1042" s="31" t="s">
        <v>41</v>
      </c>
      <c r="K1042" s="31" t="s">
        <v>3465</v>
      </c>
      <c r="L1042" s="32" t="e">
        <f ca="1">_xludf.ifna(VLOOKUP(E1042,Parámetros!$D$2:$E$34,2,0),"")</f>
        <v>#NAME?</v>
      </c>
      <c r="M1042" s="32" t="e">
        <f ca="1">_xludf.ifna(VLOOKUP(G1042,Proyectos!$A$2:$T$674,20,0),"")</f>
        <v>#NAME?</v>
      </c>
      <c r="N1042" s="32" t="e">
        <f ca="1">_xludf.ifna(VLOOKUP(G1042,Proyectos!$A$2:$S$674,19,0))</f>
        <v>#NAME?</v>
      </c>
      <c r="O1042" s="32"/>
      <c r="P1042" s="31"/>
      <c r="Q1042" s="33"/>
      <c r="R1042" s="33"/>
      <c r="S1042" s="33"/>
      <c r="T1042" s="33"/>
      <c r="U1042" s="33"/>
      <c r="V1042" s="33"/>
      <c r="W1042" s="33"/>
    </row>
    <row r="1043" spans="1:23" ht="16.5" customHeight="1" x14ac:dyDescent="0.25">
      <c r="A1043" s="35" t="s">
        <v>4010</v>
      </c>
      <c r="B1043" s="35" t="s">
        <v>4011</v>
      </c>
      <c r="C1043" s="35" t="s">
        <v>64</v>
      </c>
      <c r="D1043" s="35" t="s">
        <v>65</v>
      </c>
      <c r="E1043" s="35" t="s">
        <v>114</v>
      </c>
      <c r="F1043" s="28" t="e">
        <f ca="1">_xludf.ifna(VLOOKUP(G1043,Proyectos!$A$2:$F$674,6,0),"")</f>
        <v>#NAME?</v>
      </c>
      <c r="G1043" s="29" t="s">
        <v>5114</v>
      </c>
      <c r="H1043" s="68">
        <v>0.02</v>
      </c>
      <c r="I1043" s="30" t="s">
        <v>25</v>
      </c>
      <c r="J1043" s="31" t="s">
        <v>72</v>
      </c>
      <c r="K1043" s="32"/>
      <c r="L1043" s="32" t="e">
        <f ca="1">_xludf.ifna(VLOOKUP(E1043,Parámetros!$D$2:$E$34,2,0),"")</f>
        <v>#NAME?</v>
      </c>
      <c r="M1043" s="32" t="e">
        <f ca="1">_xludf.ifna(VLOOKUP(G1043,Proyectos!$A$2:$T$674,20,0),"")</f>
        <v>#NAME?</v>
      </c>
      <c r="N1043" s="32" t="e">
        <f ca="1">_xludf.ifna(VLOOKUP(G1043,Proyectos!$A$2:$S$674,19,0))</f>
        <v>#NAME?</v>
      </c>
      <c r="O1043" s="31"/>
      <c r="P1043" s="31"/>
      <c r="Q1043" s="33"/>
      <c r="R1043" s="33"/>
      <c r="S1043" s="33"/>
      <c r="T1043" s="33"/>
      <c r="U1043" s="33"/>
      <c r="V1043" s="33"/>
      <c r="W1043" s="33"/>
    </row>
    <row r="1044" spans="1:23" ht="16.5" customHeight="1" x14ac:dyDescent="0.25">
      <c r="A1044" s="35" t="s">
        <v>4010</v>
      </c>
      <c r="B1044" s="35" t="s">
        <v>4011</v>
      </c>
      <c r="C1044" s="35" t="s">
        <v>64</v>
      </c>
      <c r="D1044" s="35" t="s">
        <v>70</v>
      </c>
      <c r="E1044" s="35" t="s">
        <v>114</v>
      </c>
      <c r="F1044" s="28" t="e">
        <f ca="1">_xludf.ifna(VLOOKUP(G1044,Proyectos!$A$2:$F$674,6,0),"")</f>
        <v>#NAME?</v>
      </c>
      <c r="G1044" s="29" t="s">
        <v>5114</v>
      </c>
      <c r="H1044" s="68">
        <v>0.02</v>
      </c>
      <c r="I1044" s="30" t="s">
        <v>25</v>
      </c>
      <c r="J1044" s="31" t="s">
        <v>72</v>
      </c>
      <c r="K1044" s="32"/>
      <c r="L1044" s="32" t="e">
        <f ca="1">_xludf.ifna(VLOOKUP(E1044,Parámetros!$D$2:$E$34,2,0),"")</f>
        <v>#NAME?</v>
      </c>
      <c r="M1044" s="32" t="e">
        <f ca="1">_xludf.ifna(VLOOKUP(G1044,Proyectos!$A$2:$T$674,20,0),"")</f>
        <v>#NAME?</v>
      </c>
      <c r="N1044" s="32" t="e">
        <f ca="1">_xludf.ifna(VLOOKUP(G1044,Proyectos!$A$2:$S$674,19,0))</f>
        <v>#NAME?</v>
      </c>
      <c r="O1044" s="31"/>
      <c r="P1044" s="31"/>
      <c r="Q1044" s="33"/>
      <c r="R1044" s="33"/>
      <c r="S1044" s="33"/>
      <c r="T1044" s="33"/>
      <c r="U1044" s="33"/>
      <c r="V1044" s="33"/>
      <c r="W1044" s="33"/>
    </row>
    <row r="1045" spans="1:23" ht="16.5" customHeight="1" x14ac:dyDescent="0.25">
      <c r="A1045" s="35" t="s">
        <v>4010</v>
      </c>
      <c r="B1045" s="35" t="s">
        <v>4011</v>
      </c>
      <c r="C1045" s="35" t="s">
        <v>64</v>
      </c>
      <c r="D1045" s="35" t="s">
        <v>74</v>
      </c>
      <c r="E1045" s="35" t="s">
        <v>114</v>
      </c>
      <c r="F1045" s="28" t="e">
        <f ca="1">_xludf.ifna(VLOOKUP(G1045,Proyectos!$A$2:$F$674,6,0),"")</f>
        <v>#NAME?</v>
      </c>
      <c r="G1045" s="29" t="s">
        <v>5114</v>
      </c>
      <c r="H1045" s="68">
        <v>0.02</v>
      </c>
      <c r="I1045" s="30" t="s">
        <v>25</v>
      </c>
      <c r="J1045" s="31" t="s">
        <v>72</v>
      </c>
      <c r="K1045" s="31"/>
      <c r="L1045" s="32" t="e">
        <f ca="1">_xludf.ifna(VLOOKUP(E1045,Parámetros!$D$2:$E$34,2,0),"")</f>
        <v>#NAME?</v>
      </c>
      <c r="M1045" s="32" t="e">
        <f ca="1">_xludf.ifna(VLOOKUP(G1045,Proyectos!$A$2:$T$674,20,0),"")</f>
        <v>#NAME?</v>
      </c>
      <c r="N1045" s="32" t="e">
        <f ca="1">_xludf.ifna(VLOOKUP(G1045,Proyectos!$A$2:$S$674,19,0))</f>
        <v>#NAME?</v>
      </c>
      <c r="O1045" s="31"/>
      <c r="P1045" s="31"/>
      <c r="Q1045" s="33"/>
      <c r="R1045" s="33"/>
      <c r="S1045" s="33"/>
      <c r="T1045" s="33"/>
      <c r="U1045" s="33"/>
      <c r="V1045" s="33"/>
      <c r="W1045" s="33"/>
    </row>
    <row r="1046" spans="1:23" ht="16.5" customHeight="1" x14ac:dyDescent="0.25">
      <c r="A1046" s="35" t="s">
        <v>4010</v>
      </c>
      <c r="B1046" s="35" t="s">
        <v>4011</v>
      </c>
      <c r="C1046" s="35" t="s">
        <v>64</v>
      </c>
      <c r="D1046" s="35" t="s">
        <v>78</v>
      </c>
      <c r="E1046" s="35" t="s">
        <v>114</v>
      </c>
      <c r="F1046" s="28" t="e">
        <f ca="1">_xludf.ifna(VLOOKUP(G1046,Proyectos!$A$2:$F$674,6,0),"")</f>
        <v>#NAME?</v>
      </c>
      <c r="G1046" s="29" t="s">
        <v>5114</v>
      </c>
      <c r="H1046" s="68">
        <v>0.02</v>
      </c>
      <c r="I1046" s="30" t="s">
        <v>25</v>
      </c>
      <c r="J1046" s="31" t="s">
        <v>72</v>
      </c>
      <c r="K1046" s="32"/>
      <c r="L1046" s="32" t="e">
        <f ca="1">_xludf.ifna(VLOOKUP(E1046,Parámetros!$D$2:$E$34,2,0),"")</f>
        <v>#NAME?</v>
      </c>
      <c r="M1046" s="32" t="e">
        <f ca="1">_xludf.ifna(VLOOKUP(G1046,Proyectos!$A$2:$T$674,20,0),"")</f>
        <v>#NAME?</v>
      </c>
      <c r="N1046" s="32" t="e">
        <f ca="1">_xludf.ifna(VLOOKUP(G1046,Proyectos!$A$2:$S$674,19,0))</f>
        <v>#NAME?</v>
      </c>
      <c r="O1046" s="32"/>
      <c r="P1046" s="31"/>
      <c r="Q1046" s="33"/>
      <c r="R1046" s="33"/>
      <c r="S1046" s="33"/>
      <c r="T1046" s="33"/>
      <c r="U1046" s="33"/>
      <c r="V1046" s="33"/>
      <c r="W1046" s="33"/>
    </row>
    <row r="1047" spans="1:23" ht="16.5" customHeight="1" x14ac:dyDescent="0.25">
      <c r="A1047" s="35" t="s">
        <v>4010</v>
      </c>
      <c r="B1047" s="35" t="s">
        <v>4011</v>
      </c>
      <c r="C1047" s="35" t="s">
        <v>64</v>
      </c>
      <c r="D1047" s="35" t="s">
        <v>65</v>
      </c>
      <c r="E1047" s="35" t="s">
        <v>114</v>
      </c>
      <c r="F1047" s="28" t="e">
        <f ca="1">_xludf.ifna(VLOOKUP(G1047,Proyectos!$A$2:$F$674,6,0),"")</f>
        <v>#NAME?</v>
      </c>
      <c r="G1047" s="29" t="s">
        <v>5409</v>
      </c>
      <c r="H1047" s="68">
        <v>0.02</v>
      </c>
      <c r="I1047" s="30" t="s">
        <v>25</v>
      </c>
      <c r="J1047" s="31" t="s">
        <v>72</v>
      </c>
      <c r="K1047" s="32"/>
      <c r="L1047" s="32" t="e">
        <f ca="1">_xludf.ifna(VLOOKUP(E1047,Parámetros!$D$2:$E$34,2,0),"")</f>
        <v>#NAME?</v>
      </c>
      <c r="M1047" s="32" t="e">
        <f ca="1">_xludf.ifna(VLOOKUP(G1047,Proyectos!$A$2:$T$674,20,0),"")</f>
        <v>#NAME?</v>
      </c>
      <c r="N1047" s="32" t="e">
        <f ca="1">_xludf.ifna(VLOOKUP(G1047,Proyectos!$A$2:$S$674,19,0))</f>
        <v>#NAME?</v>
      </c>
      <c r="O1047" s="32"/>
      <c r="P1047" s="31"/>
      <c r="Q1047" s="33"/>
      <c r="R1047" s="33"/>
      <c r="S1047" s="33"/>
      <c r="T1047" s="33"/>
      <c r="U1047" s="33"/>
      <c r="V1047" s="33"/>
      <c r="W1047" s="33"/>
    </row>
    <row r="1048" spans="1:23" ht="16.5" customHeight="1" x14ac:dyDescent="0.25">
      <c r="A1048" s="35" t="s">
        <v>4010</v>
      </c>
      <c r="B1048" s="35" t="s">
        <v>4011</v>
      </c>
      <c r="C1048" s="35" t="s">
        <v>64</v>
      </c>
      <c r="D1048" s="35" t="s">
        <v>65</v>
      </c>
      <c r="E1048" s="35" t="s">
        <v>114</v>
      </c>
      <c r="F1048" s="28" t="e">
        <f ca="1">_xludf.ifna(VLOOKUP(G1048,Proyectos!$A$2:$F$674,6,0),"")</f>
        <v>#NAME?</v>
      </c>
      <c r="G1048" s="29" t="s">
        <v>5410</v>
      </c>
      <c r="H1048" s="68">
        <v>0.02</v>
      </c>
      <c r="I1048" s="30" t="s">
        <v>25</v>
      </c>
      <c r="J1048" s="31" t="s">
        <v>72</v>
      </c>
      <c r="K1048" s="32"/>
      <c r="L1048" s="32" t="e">
        <f ca="1">_xludf.ifna(VLOOKUP(E1048,Parámetros!$D$2:$E$34,2,0),"")</f>
        <v>#NAME?</v>
      </c>
      <c r="M1048" s="32" t="e">
        <f ca="1">_xludf.ifna(VLOOKUP(G1048,Proyectos!$A$2:$T$674,20,0),"")</f>
        <v>#NAME?</v>
      </c>
      <c r="N1048" s="32" t="e">
        <f ca="1">_xludf.ifna(VLOOKUP(G1048,Proyectos!$A$2:$S$674,19,0))</f>
        <v>#NAME?</v>
      </c>
      <c r="O1048" s="31"/>
      <c r="P1048" s="31"/>
      <c r="Q1048" s="33"/>
      <c r="R1048" s="33"/>
      <c r="S1048" s="33"/>
      <c r="T1048" s="33"/>
      <c r="U1048" s="33"/>
      <c r="V1048" s="33"/>
      <c r="W1048" s="33"/>
    </row>
    <row r="1049" spans="1:23" ht="16.5" customHeight="1" x14ac:dyDescent="0.25">
      <c r="A1049" s="35" t="s">
        <v>4010</v>
      </c>
      <c r="B1049" s="35" t="s">
        <v>4011</v>
      </c>
      <c r="C1049" s="35" t="s">
        <v>64</v>
      </c>
      <c r="D1049" s="35" t="s">
        <v>78</v>
      </c>
      <c r="E1049" s="35" t="s">
        <v>114</v>
      </c>
      <c r="F1049" s="28" t="e">
        <f ca="1">_xludf.ifna(VLOOKUP(G1049,Proyectos!$A$2:$F$674,6,0),"")</f>
        <v>#NAME?</v>
      </c>
      <c r="G1049" s="29" t="s">
        <v>5411</v>
      </c>
      <c r="H1049" s="68">
        <v>0.02</v>
      </c>
      <c r="I1049" s="30" t="s">
        <v>25</v>
      </c>
      <c r="J1049" s="31" t="s">
        <v>72</v>
      </c>
      <c r="K1049" s="44"/>
      <c r="L1049" s="32" t="e">
        <f ca="1">_xludf.ifna(VLOOKUP(E1049,Parámetros!$D$2:$E$34,2,0),"")</f>
        <v>#NAME?</v>
      </c>
      <c r="M1049" s="32" t="e">
        <f ca="1">_xludf.ifna(VLOOKUP(G1049,Proyectos!$A$2:$T$674,20,0),"")</f>
        <v>#NAME?</v>
      </c>
      <c r="N1049" s="32" t="e">
        <f ca="1">_xludf.ifna(VLOOKUP(G1049,Proyectos!$A$2:$S$674,19,0))</f>
        <v>#NAME?</v>
      </c>
      <c r="O1049" s="31"/>
      <c r="P1049" s="31"/>
      <c r="Q1049" s="33"/>
      <c r="R1049" s="33"/>
      <c r="S1049" s="33"/>
      <c r="T1049" s="33"/>
      <c r="U1049" s="33"/>
      <c r="V1049" s="33"/>
      <c r="W1049" s="33"/>
    </row>
    <row r="1050" spans="1:23" ht="16.5" customHeight="1" x14ac:dyDescent="0.25">
      <c r="A1050" s="35" t="s">
        <v>4010</v>
      </c>
      <c r="B1050" s="35" t="s">
        <v>4011</v>
      </c>
      <c r="C1050" s="35" t="s">
        <v>64</v>
      </c>
      <c r="D1050" s="35" t="s">
        <v>78</v>
      </c>
      <c r="E1050" s="35" t="s">
        <v>114</v>
      </c>
      <c r="F1050" s="28" t="e">
        <f ca="1">_xludf.ifna(VLOOKUP(G1050,Proyectos!$A$2:$F$674,6,0),"")</f>
        <v>#NAME?</v>
      </c>
      <c r="G1050" s="29" t="s">
        <v>5406</v>
      </c>
      <c r="H1050" s="68">
        <v>0.02</v>
      </c>
      <c r="I1050" s="30" t="s">
        <v>25</v>
      </c>
      <c r="J1050" s="31" t="s">
        <v>72</v>
      </c>
      <c r="K1050" s="51"/>
      <c r="L1050" s="32" t="e">
        <f ca="1">_xludf.ifna(VLOOKUP(E1050,Parámetros!$D$2:$E$34,2,0),"")</f>
        <v>#NAME?</v>
      </c>
      <c r="M1050" s="32" t="e">
        <f ca="1">_xludf.ifna(VLOOKUP(G1050,Proyectos!$A$2:$T$674,20,0),"")</f>
        <v>#NAME?</v>
      </c>
      <c r="N1050" s="32" t="e">
        <f ca="1">_xludf.ifna(VLOOKUP(G1050,Proyectos!$A$2:$S$674,19,0))</f>
        <v>#NAME?</v>
      </c>
      <c r="O1050" s="31"/>
      <c r="P1050" s="31"/>
      <c r="Q1050" s="33"/>
      <c r="R1050" s="33"/>
      <c r="S1050" s="33"/>
      <c r="T1050" s="33"/>
      <c r="U1050" s="33"/>
      <c r="V1050" s="33"/>
      <c r="W1050" s="33"/>
    </row>
    <row r="1051" spans="1:23" ht="16.5" customHeight="1" x14ac:dyDescent="0.25">
      <c r="A1051" s="35" t="s">
        <v>4010</v>
      </c>
      <c r="B1051" s="35" t="s">
        <v>4011</v>
      </c>
      <c r="C1051" s="35" t="s">
        <v>64</v>
      </c>
      <c r="D1051" s="35" t="s">
        <v>70</v>
      </c>
      <c r="E1051" s="35" t="s">
        <v>114</v>
      </c>
      <c r="F1051" s="28" t="e">
        <f ca="1">_xludf.ifna(VLOOKUP(G1051,Proyectos!$A$2:$F$674,6,0),"")</f>
        <v>#NAME?</v>
      </c>
      <c r="G1051" s="29" t="s">
        <v>5405</v>
      </c>
      <c r="H1051" s="68">
        <v>0.02</v>
      </c>
      <c r="I1051" s="30" t="s">
        <v>25</v>
      </c>
      <c r="J1051" s="31" t="s">
        <v>72</v>
      </c>
      <c r="K1051" s="51"/>
      <c r="L1051" s="32" t="e">
        <f ca="1">_xludf.ifna(VLOOKUP(E1051,Parámetros!$D$2:$E$34,2,0),"")</f>
        <v>#NAME?</v>
      </c>
      <c r="M1051" s="32" t="e">
        <f ca="1">_xludf.ifna(VLOOKUP(G1051,Proyectos!$A$2:$T$674,20,0),"")</f>
        <v>#NAME?</v>
      </c>
      <c r="N1051" s="32" t="e">
        <f ca="1">_xludf.ifna(VLOOKUP(G1051,Proyectos!$A$2:$S$674,19,0))</f>
        <v>#NAME?</v>
      </c>
      <c r="O1051" s="31"/>
      <c r="P1051" s="31"/>
      <c r="Q1051" s="33"/>
      <c r="R1051" s="33"/>
      <c r="S1051" s="33"/>
      <c r="T1051" s="33"/>
      <c r="U1051" s="33"/>
      <c r="V1051" s="33"/>
      <c r="W1051" s="33"/>
    </row>
    <row r="1052" spans="1:23" ht="16.5" customHeight="1" x14ac:dyDescent="0.25">
      <c r="A1052" s="35" t="s">
        <v>4010</v>
      </c>
      <c r="B1052" s="35" t="s">
        <v>4011</v>
      </c>
      <c r="C1052" s="35" t="s">
        <v>64</v>
      </c>
      <c r="D1052" s="35" t="s">
        <v>70</v>
      </c>
      <c r="E1052" s="35" t="s">
        <v>114</v>
      </c>
      <c r="F1052" s="28" t="e">
        <f ca="1">_xludf.ifna(VLOOKUP(G1052,Proyectos!$A$2:$F$674,6,0),"")</f>
        <v>#NAME?</v>
      </c>
      <c r="G1052" s="29" t="s">
        <v>5402</v>
      </c>
      <c r="H1052" s="68">
        <v>0.02</v>
      </c>
      <c r="I1052" s="30" t="s">
        <v>25</v>
      </c>
      <c r="J1052" s="31" t="s">
        <v>72</v>
      </c>
      <c r="K1052" s="32"/>
      <c r="L1052" s="32" t="e">
        <f ca="1">_xludf.ifna(VLOOKUP(E1052,Parámetros!$D$2:$E$34,2,0),"")</f>
        <v>#NAME?</v>
      </c>
      <c r="M1052" s="32" t="e">
        <f ca="1">_xludf.ifna(VLOOKUP(G1052,Proyectos!$A$2:$T$674,20,0),"")</f>
        <v>#NAME?</v>
      </c>
      <c r="N1052" s="32" t="e">
        <f ca="1">_xludf.ifna(VLOOKUP(G1052,Proyectos!$A$2:$S$674,19,0))</f>
        <v>#NAME?</v>
      </c>
      <c r="O1052" s="32"/>
      <c r="P1052" s="31"/>
      <c r="Q1052" s="33"/>
      <c r="R1052" s="33"/>
      <c r="S1052" s="33"/>
      <c r="T1052" s="33"/>
      <c r="U1052" s="33"/>
      <c r="V1052" s="33"/>
      <c r="W1052" s="33"/>
    </row>
    <row r="1053" spans="1:23" ht="16.5" customHeight="1" x14ac:dyDescent="0.25">
      <c r="A1053" s="35" t="s">
        <v>4010</v>
      </c>
      <c r="B1053" s="35" t="s">
        <v>4011</v>
      </c>
      <c r="C1053" s="35" t="s">
        <v>64</v>
      </c>
      <c r="D1053" s="35" t="s">
        <v>70</v>
      </c>
      <c r="E1053" s="35" t="s">
        <v>114</v>
      </c>
      <c r="F1053" s="28" t="e">
        <f ca="1">_xludf.ifna(VLOOKUP(G1053,Proyectos!$A$2:$F$674,6,0),"")</f>
        <v>#NAME?</v>
      </c>
      <c r="G1053" s="29" t="s">
        <v>5403</v>
      </c>
      <c r="H1053" s="68">
        <v>0.02</v>
      </c>
      <c r="I1053" s="30" t="s">
        <v>25</v>
      </c>
      <c r="J1053" s="31" t="s">
        <v>72</v>
      </c>
      <c r="K1053" s="32"/>
      <c r="L1053" s="32" t="e">
        <f ca="1">_xludf.ifna(VLOOKUP(E1053,Parámetros!$D$2:$E$34,2,0),"")</f>
        <v>#NAME?</v>
      </c>
      <c r="M1053" s="32" t="e">
        <f ca="1">_xludf.ifna(VLOOKUP(G1053,Proyectos!$A$2:$T$674,20,0),"")</f>
        <v>#NAME?</v>
      </c>
      <c r="N1053" s="32" t="e">
        <f ca="1">_xludf.ifna(VLOOKUP(G1053,Proyectos!$A$2:$S$674,19,0))</f>
        <v>#NAME?</v>
      </c>
      <c r="O1053" s="31"/>
      <c r="P1053" s="31"/>
      <c r="Q1053" s="33"/>
      <c r="R1053" s="33"/>
      <c r="S1053" s="33"/>
      <c r="T1053" s="33"/>
      <c r="U1053" s="33"/>
      <c r="V1053" s="33"/>
      <c r="W1053" s="33"/>
    </row>
    <row r="1054" spans="1:23" ht="16.5" customHeight="1" x14ac:dyDescent="0.25">
      <c r="A1054" s="35" t="s">
        <v>4010</v>
      </c>
      <c r="B1054" s="35" t="s">
        <v>4011</v>
      </c>
      <c r="C1054" s="35" t="s">
        <v>64</v>
      </c>
      <c r="D1054" s="35" t="s">
        <v>70</v>
      </c>
      <c r="E1054" s="35" t="s">
        <v>114</v>
      </c>
      <c r="F1054" s="28" t="e">
        <f ca="1">_xludf.ifna(VLOOKUP(G1054,Proyectos!$A$2:$F$674,6,0),"")</f>
        <v>#NAME?</v>
      </c>
      <c r="G1054" s="29" t="s">
        <v>5401</v>
      </c>
      <c r="H1054" s="68">
        <v>0.02</v>
      </c>
      <c r="I1054" s="30" t="s">
        <v>25</v>
      </c>
      <c r="J1054" s="31" t="s">
        <v>72</v>
      </c>
      <c r="K1054" s="32"/>
      <c r="L1054" s="32" t="e">
        <f ca="1">_xludf.ifna(VLOOKUP(E1054,Parámetros!$D$2:$E$34,2,0),"")</f>
        <v>#NAME?</v>
      </c>
      <c r="M1054" s="32" t="e">
        <f ca="1">_xludf.ifna(VLOOKUP(G1054,Proyectos!$A$2:$T$674,20,0),"")</f>
        <v>#NAME?</v>
      </c>
      <c r="N1054" s="32" t="e">
        <f ca="1">_xludf.ifna(VLOOKUP(G1054,Proyectos!$A$2:$S$674,19,0))</f>
        <v>#NAME?</v>
      </c>
      <c r="O1054" s="32"/>
      <c r="P1054" s="31"/>
      <c r="Q1054" s="33"/>
      <c r="R1054" s="33"/>
      <c r="S1054" s="33"/>
      <c r="T1054" s="33"/>
      <c r="U1054" s="33"/>
      <c r="V1054" s="33"/>
      <c r="W1054" s="33"/>
    </row>
    <row r="1055" spans="1:23" ht="16.5" customHeight="1" x14ac:dyDescent="0.2">
      <c r="A1055" s="35" t="s">
        <v>3784</v>
      </c>
      <c r="B1055" s="35" t="s">
        <v>3785</v>
      </c>
      <c r="C1055" s="35" t="s">
        <v>64</v>
      </c>
      <c r="D1055" s="35" t="s">
        <v>78</v>
      </c>
      <c r="E1055" s="35" t="s">
        <v>39</v>
      </c>
      <c r="F1055" s="28" t="e">
        <f ca="1">_xludf.ifna(VLOOKUP(G1055,Proyectos!$A$2:$F$674,6,0),"")</f>
        <v>#NAME?</v>
      </c>
      <c r="G1055" s="29" t="s">
        <v>5411</v>
      </c>
      <c r="H1055" s="30">
        <v>1</v>
      </c>
      <c r="I1055" s="30" t="s">
        <v>18</v>
      </c>
      <c r="J1055" s="31" t="s">
        <v>41</v>
      </c>
      <c r="K1055" s="31" t="s">
        <v>3786</v>
      </c>
      <c r="L1055" s="32" t="e">
        <f ca="1">_xludf.ifna(VLOOKUP(E1055,Parámetros!$D$2:$E$34,2,0),"")</f>
        <v>#NAME?</v>
      </c>
      <c r="M1055" s="32" t="e">
        <f ca="1">_xludf.ifna(VLOOKUP(G1055,Proyectos!$A$2:$T$674,20,0),"")</f>
        <v>#NAME?</v>
      </c>
      <c r="N1055" s="32" t="e">
        <f ca="1">_xludf.ifna(VLOOKUP(G1055,Proyectos!$A$2:$S$674,19,0))</f>
        <v>#NAME?</v>
      </c>
      <c r="O1055" s="31"/>
      <c r="P1055" s="31"/>
      <c r="Q1055" s="33"/>
      <c r="R1055" s="33"/>
      <c r="S1055" s="33"/>
      <c r="T1055" s="33"/>
      <c r="U1055" s="33"/>
      <c r="V1055" s="33"/>
      <c r="W1055" s="33"/>
    </row>
    <row r="1056" spans="1:23" ht="16.5" customHeight="1" x14ac:dyDescent="0.2">
      <c r="A1056" s="35" t="s">
        <v>4772</v>
      </c>
      <c r="B1056" s="35" t="s">
        <v>4773</v>
      </c>
      <c r="C1056" s="35" t="s">
        <v>64</v>
      </c>
      <c r="D1056" s="35" t="s">
        <v>65</v>
      </c>
      <c r="E1056" s="35" t="s">
        <v>39</v>
      </c>
      <c r="F1056" s="28" t="e">
        <f ca="1">_xludf.ifna(VLOOKUP(G1056,Proyectos!$A$2:$F$674,6,0),"")</f>
        <v>#NAME?</v>
      </c>
      <c r="G1056" s="29" t="s">
        <v>5114</v>
      </c>
      <c r="H1056" s="30">
        <v>0.7</v>
      </c>
      <c r="I1056" s="30" t="s">
        <v>11</v>
      </c>
      <c r="J1056" s="31" t="s">
        <v>72</v>
      </c>
      <c r="K1056" s="32"/>
      <c r="L1056" s="32" t="e">
        <f ca="1">_xludf.ifna(VLOOKUP(E1056,Parámetros!$D$2:$E$34,2,0),"")</f>
        <v>#NAME?</v>
      </c>
      <c r="M1056" s="32" t="e">
        <f ca="1">_xludf.ifna(VLOOKUP(G1056,Proyectos!$A$2:$T$674,20,0),"")</f>
        <v>#NAME?</v>
      </c>
      <c r="N1056" s="32" t="e">
        <f ca="1">_xludf.ifna(VLOOKUP(G1056,Proyectos!$A$2:$S$674,19,0))</f>
        <v>#NAME?</v>
      </c>
      <c r="O1056" s="31"/>
      <c r="P1056" s="31"/>
      <c r="Q1056" s="33"/>
      <c r="R1056" s="33"/>
      <c r="S1056" s="33"/>
      <c r="T1056" s="33"/>
      <c r="U1056" s="33"/>
      <c r="V1056" s="33"/>
      <c r="W1056" s="33"/>
    </row>
    <row r="1057" spans="1:23" ht="16.5" customHeight="1" x14ac:dyDescent="0.2">
      <c r="A1057" s="35" t="s">
        <v>4772</v>
      </c>
      <c r="B1057" s="35" t="s">
        <v>4773</v>
      </c>
      <c r="C1057" s="35" t="s">
        <v>64</v>
      </c>
      <c r="D1057" s="35" t="s">
        <v>65</v>
      </c>
      <c r="E1057" s="35" t="s">
        <v>39</v>
      </c>
      <c r="F1057" s="28" t="e">
        <f ca="1">_xludf.ifna(VLOOKUP(G1057,Proyectos!$A$2:$F$674,6,0),"")</f>
        <v>#NAME?</v>
      </c>
      <c r="G1057" s="29" t="s">
        <v>5410</v>
      </c>
      <c r="H1057" s="30">
        <v>0.1</v>
      </c>
      <c r="I1057" s="30" t="s">
        <v>11</v>
      </c>
      <c r="J1057" s="31" t="s">
        <v>72</v>
      </c>
      <c r="K1057" s="32"/>
      <c r="L1057" s="32" t="e">
        <f ca="1">_xludf.ifna(VLOOKUP(E1057,Parámetros!$D$2:$E$34,2,0),"")</f>
        <v>#NAME?</v>
      </c>
      <c r="M1057" s="32" t="e">
        <f ca="1">_xludf.ifna(VLOOKUP(G1057,Proyectos!$A$2:$T$674,20,0),"")</f>
        <v>#NAME?</v>
      </c>
      <c r="N1057" s="32" t="e">
        <f ca="1">_xludf.ifna(VLOOKUP(G1057,Proyectos!$A$2:$S$674,19,0))</f>
        <v>#NAME?</v>
      </c>
      <c r="O1057" s="31"/>
      <c r="P1057" s="31"/>
      <c r="Q1057" s="33"/>
      <c r="R1057" s="33"/>
      <c r="S1057" s="33"/>
      <c r="T1057" s="33"/>
      <c r="U1057" s="33"/>
      <c r="V1057" s="33"/>
      <c r="W1057" s="33"/>
    </row>
    <row r="1058" spans="1:23" ht="16.5" customHeight="1" x14ac:dyDescent="0.2">
      <c r="A1058" s="35" t="s">
        <v>4772</v>
      </c>
      <c r="B1058" s="35" t="s">
        <v>4773</v>
      </c>
      <c r="C1058" s="35" t="s">
        <v>64</v>
      </c>
      <c r="D1058" s="35" t="s">
        <v>78</v>
      </c>
      <c r="E1058" s="35" t="s">
        <v>39</v>
      </c>
      <c r="F1058" s="28" t="e">
        <f ca="1">_xludf.ifna(VLOOKUP(G1058,Proyectos!$A$2:$F$674,6,0),"")</f>
        <v>#NAME?</v>
      </c>
      <c r="G1058" s="29" t="s">
        <v>5411</v>
      </c>
      <c r="H1058" s="30">
        <v>0.1</v>
      </c>
      <c r="I1058" s="30" t="s">
        <v>11</v>
      </c>
      <c r="J1058" s="31" t="s">
        <v>72</v>
      </c>
      <c r="K1058" s="32"/>
      <c r="L1058" s="32" t="e">
        <f ca="1">_xludf.ifna(VLOOKUP(E1058,Parámetros!$D$2:$E$34,2,0),"")</f>
        <v>#NAME?</v>
      </c>
      <c r="M1058" s="32" t="e">
        <f ca="1">_xludf.ifna(VLOOKUP(G1058,Proyectos!$A$2:$T$674,20,0),"")</f>
        <v>#NAME?</v>
      </c>
      <c r="N1058" s="32" t="e">
        <f ca="1">_xludf.ifna(VLOOKUP(G1058,Proyectos!$A$2:$S$674,19,0))</f>
        <v>#NAME?</v>
      </c>
      <c r="O1058" s="32"/>
      <c r="P1058" s="31"/>
      <c r="Q1058" s="33"/>
      <c r="R1058" s="33"/>
      <c r="S1058" s="33"/>
      <c r="T1058" s="33"/>
      <c r="U1058" s="33"/>
      <c r="V1058" s="33"/>
      <c r="W1058" s="33"/>
    </row>
    <row r="1059" spans="1:23" ht="16.5" customHeight="1" x14ac:dyDescent="0.2">
      <c r="A1059" s="35" t="s">
        <v>4772</v>
      </c>
      <c r="B1059" s="35" t="s">
        <v>4773</v>
      </c>
      <c r="C1059" s="35" t="s">
        <v>64</v>
      </c>
      <c r="D1059" s="35" t="s">
        <v>78</v>
      </c>
      <c r="E1059" s="35" t="s">
        <v>39</v>
      </c>
      <c r="F1059" s="28" t="e">
        <f ca="1">_xludf.ifna(VLOOKUP(G1059,Proyectos!$A$2:$F$674,6,0),"")</f>
        <v>#NAME?</v>
      </c>
      <c r="G1059" s="29" t="s">
        <v>5406</v>
      </c>
      <c r="H1059" s="30">
        <v>0.1</v>
      </c>
      <c r="I1059" s="30" t="s">
        <v>11</v>
      </c>
      <c r="J1059" s="31" t="s">
        <v>72</v>
      </c>
      <c r="K1059" s="32"/>
      <c r="L1059" s="32" t="e">
        <f ca="1">_xludf.ifna(VLOOKUP(E1059,Parámetros!$D$2:$E$34,2,0),"")</f>
        <v>#NAME?</v>
      </c>
      <c r="M1059" s="32" t="e">
        <f ca="1">_xludf.ifna(VLOOKUP(G1059,Proyectos!$A$2:$T$674,20,0),"")</f>
        <v>#NAME?</v>
      </c>
      <c r="N1059" s="32" t="e">
        <f ca="1">_xludf.ifna(VLOOKUP(G1059,Proyectos!$A$2:$S$674,19,0))</f>
        <v>#NAME?</v>
      </c>
      <c r="O1059" s="31"/>
      <c r="P1059" s="31"/>
      <c r="Q1059" s="33"/>
      <c r="R1059" s="33"/>
      <c r="S1059" s="33"/>
      <c r="T1059" s="33"/>
      <c r="U1059" s="33"/>
      <c r="V1059" s="33"/>
      <c r="W1059" s="33"/>
    </row>
    <row r="1060" spans="1:23" ht="16.5" customHeight="1" x14ac:dyDescent="0.2">
      <c r="A1060" s="35" t="s">
        <v>3335</v>
      </c>
      <c r="B1060" s="35" t="s">
        <v>3336</v>
      </c>
      <c r="C1060" s="35" t="s">
        <v>64</v>
      </c>
      <c r="D1060" s="35" t="s">
        <v>65</v>
      </c>
      <c r="E1060" s="35" t="s">
        <v>39</v>
      </c>
      <c r="F1060" s="28" t="e">
        <f ca="1">_xludf.ifna(VLOOKUP(G1060,Proyectos!$A$2:$F$674,6,0),"")</f>
        <v>#NAME?</v>
      </c>
      <c r="G1060" s="29" t="s">
        <v>5114</v>
      </c>
      <c r="H1060" s="30">
        <v>0.25</v>
      </c>
      <c r="I1060" s="30" t="s">
        <v>18</v>
      </c>
      <c r="J1060" s="31" t="s">
        <v>61</v>
      </c>
      <c r="K1060" s="32"/>
      <c r="L1060" s="32" t="e">
        <f ca="1">_xludf.ifna(VLOOKUP(E1060,Parámetros!$D$2:$E$34,2,0),"")</f>
        <v>#NAME?</v>
      </c>
      <c r="M1060" s="32" t="e">
        <f ca="1">_xludf.ifna(VLOOKUP(G1060,Proyectos!$A$2:$T$674,20,0),"")</f>
        <v>#NAME?</v>
      </c>
      <c r="N1060" s="32" t="e">
        <f ca="1">_xludf.ifna(VLOOKUP(G1060,Proyectos!$A$2:$S$674,19,0))</f>
        <v>#NAME?</v>
      </c>
      <c r="O1060" s="32"/>
      <c r="P1060" s="31"/>
      <c r="Q1060" s="33"/>
      <c r="R1060" s="33"/>
      <c r="S1060" s="33"/>
      <c r="T1060" s="33"/>
      <c r="U1060" s="33"/>
      <c r="V1060" s="33"/>
      <c r="W1060" s="33"/>
    </row>
    <row r="1061" spans="1:23" ht="16.5" customHeight="1" x14ac:dyDescent="0.2">
      <c r="A1061" s="35" t="s">
        <v>3335</v>
      </c>
      <c r="B1061" s="35" t="s">
        <v>3336</v>
      </c>
      <c r="C1061" s="35" t="s">
        <v>64</v>
      </c>
      <c r="D1061" s="35" t="s">
        <v>65</v>
      </c>
      <c r="E1061" s="35" t="s">
        <v>39</v>
      </c>
      <c r="F1061" s="28" t="e">
        <f ca="1">_xludf.ifna(VLOOKUP(G1061,Proyectos!$A$2:$F$674,6,0),"")</f>
        <v>#NAME?</v>
      </c>
      <c r="G1061" s="29" t="s">
        <v>5410</v>
      </c>
      <c r="H1061" s="30">
        <v>0.75</v>
      </c>
      <c r="I1061" s="30" t="s">
        <v>18</v>
      </c>
      <c r="J1061" s="31" t="s">
        <v>61</v>
      </c>
      <c r="K1061" s="32"/>
      <c r="L1061" s="32" t="e">
        <f ca="1">_xludf.ifna(VLOOKUP(E1061,Parámetros!$D$2:$E$34,2,0),"")</f>
        <v>#NAME?</v>
      </c>
      <c r="M1061" s="32" t="e">
        <f ca="1">_xludf.ifna(VLOOKUP(G1061,Proyectos!$A$2:$T$674,20,0),"")</f>
        <v>#NAME?</v>
      </c>
      <c r="N1061" s="32" t="e">
        <f ca="1">_xludf.ifna(VLOOKUP(G1061,Proyectos!$A$2:$S$674,19,0))</f>
        <v>#NAME?</v>
      </c>
      <c r="O1061" s="31"/>
      <c r="P1061" s="31"/>
      <c r="Q1061" s="33"/>
      <c r="R1061" s="33"/>
      <c r="S1061" s="33"/>
      <c r="T1061" s="33"/>
      <c r="U1061" s="33"/>
      <c r="V1061" s="33"/>
      <c r="W1061" s="33"/>
    </row>
    <row r="1062" spans="1:23" ht="16.5" customHeight="1" x14ac:dyDescent="0.2">
      <c r="A1062" s="35" t="s">
        <v>4118</v>
      </c>
      <c r="B1062" s="35" t="s">
        <v>4119</v>
      </c>
      <c r="C1062" s="35" t="s">
        <v>64</v>
      </c>
      <c r="D1062" s="35" t="s">
        <v>65</v>
      </c>
      <c r="E1062" s="35" t="s">
        <v>108</v>
      </c>
      <c r="F1062" s="28" t="e">
        <f ca="1">_xludf.ifna(VLOOKUP(G1062,Proyectos!$A$2:$F$674,6,0),"")</f>
        <v>#NAME?</v>
      </c>
      <c r="G1062" s="29" t="s">
        <v>5410</v>
      </c>
      <c r="H1062" s="30">
        <v>1</v>
      </c>
      <c r="I1062" s="30" t="s">
        <v>18</v>
      </c>
      <c r="J1062" s="31" t="s">
        <v>41</v>
      </c>
      <c r="K1062" s="32"/>
      <c r="L1062" s="32" t="e">
        <f ca="1">_xludf.ifna(VLOOKUP(E1062,Parámetros!$D$2:$E$34,2,0),"")</f>
        <v>#NAME?</v>
      </c>
      <c r="M1062" s="32" t="e">
        <f ca="1">_xludf.ifna(VLOOKUP(G1062,Proyectos!$A$2:$T$674,20,0),"")</f>
        <v>#NAME?</v>
      </c>
      <c r="N1062" s="32" t="e">
        <f ca="1">_xludf.ifna(VLOOKUP(G1062,Proyectos!$A$2:$S$674,19,0))</f>
        <v>#NAME?</v>
      </c>
      <c r="O1062" s="32"/>
      <c r="P1062" s="31"/>
      <c r="Q1062" s="33"/>
      <c r="R1062" s="33"/>
      <c r="S1062" s="33"/>
      <c r="T1062" s="33"/>
      <c r="U1062" s="33"/>
      <c r="V1062" s="33"/>
      <c r="W1062" s="33"/>
    </row>
    <row r="1063" spans="1:23" ht="16.5" customHeight="1" x14ac:dyDescent="0.2">
      <c r="A1063" s="35" t="s">
        <v>3684</v>
      </c>
      <c r="B1063" s="35" t="s">
        <v>3685</v>
      </c>
      <c r="C1063" s="35" t="s">
        <v>64</v>
      </c>
      <c r="D1063" s="35" t="s">
        <v>70</v>
      </c>
      <c r="E1063" s="35" t="s">
        <v>39</v>
      </c>
      <c r="F1063" s="28" t="e">
        <f ca="1">_xludf.ifna(VLOOKUP(G1063,Proyectos!$A$2:$F$674,6,0),"")</f>
        <v>#NAME?</v>
      </c>
      <c r="G1063" s="29" t="s">
        <v>5114</v>
      </c>
      <c r="H1063" s="59">
        <v>0.25</v>
      </c>
      <c r="I1063" s="30" t="s">
        <v>18</v>
      </c>
      <c r="J1063" s="31" t="s">
        <v>41</v>
      </c>
      <c r="K1063" s="31" t="s">
        <v>3686</v>
      </c>
      <c r="L1063" s="32" t="e">
        <f ca="1">_xludf.ifna(VLOOKUP(E1063,Parámetros!$D$2:$E$34,2,0),"")</f>
        <v>#NAME?</v>
      </c>
      <c r="M1063" s="32" t="e">
        <f ca="1">_xludf.ifna(VLOOKUP(G1063,Proyectos!$A$2:$T$674,20,0),"")</f>
        <v>#NAME?</v>
      </c>
      <c r="N1063" s="32" t="e">
        <f ca="1">_xludf.ifna(VLOOKUP(G1063,Proyectos!$A$2:$S$674,19,0))</f>
        <v>#NAME?</v>
      </c>
      <c r="O1063" s="32"/>
      <c r="P1063" s="31"/>
      <c r="Q1063" s="33"/>
      <c r="R1063" s="33"/>
      <c r="S1063" s="33"/>
      <c r="T1063" s="33"/>
      <c r="U1063" s="33"/>
      <c r="V1063" s="33"/>
      <c r="W1063" s="33"/>
    </row>
    <row r="1064" spans="1:23" ht="16.5" customHeight="1" x14ac:dyDescent="0.2">
      <c r="A1064" s="35" t="s">
        <v>3684</v>
      </c>
      <c r="B1064" s="35" t="s">
        <v>3685</v>
      </c>
      <c r="C1064" s="35" t="s">
        <v>64</v>
      </c>
      <c r="D1064" s="35" t="s">
        <v>70</v>
      </c>
      <c r="E1064" s="35" t="s">
        <v>39</v>
      </c>
      <c r="F1064" s="28" t="e">
        <f ca="1">_xludf.ifna(VLOOKUP(G1064,Proyectos!$A$2:$F$674,6,0),"")</f>
        <v>#NAME?</v>
      </c>
      <c r="G1064" s="38" t="s">
        <v>5403</v>
      </c>
      <c r="H1064" s="59">
        <v>0.75</v>
      </c>
      <c r="I1064" s="30" t="s">
        <v>18</v>
      </c>
      <c r="J1064" s="27" t="s">
        <v>41</v>
      </c>
      <c r="K1064" s="31" t="s">
        <v>3686</v>
      </c>
      <c r="L1064" s="32" t="e">
        <f ca="1">_xludf.ifna(VLOOKUP(E1064,Parámetros!$D$2:$E$34,2,0),"")</f>
        <v>#NAME?</v>
      </c>
      <c r="M1064" s="32" t="e">
        <f ca="1">_xludf.ifna(VLOOKUP(G1064,Proyectos!$A$2:$T$674,20,0),"")</f>
        <v>#NAME?</v>
      </c>
      <c r="N1064" s="32" t="e">
        <f ca="1">_xludf.ifna(VLOOKUP(G1064,Proyectos!$A$2:$S$674,19,0))</f>
        <v>#NAME?</v>
      </c>
      <c r="O1064" s="31"/>
      <c r="P1064" s="31"/>
      <c r="Q1064" s="33"/>
      <c r="R1064" s="33"/>
      <c r="S1064" s="33"/>
      <c r="T1064" s="33"/>
      <c r="U1064" s="33"/>
      <c r="V1064" s="33"/>
      <c r="W1064" s="33"/>
    </row>
    <row r="1065" spans="1:23" ht="16.5" customHeight="1" x14ac:dyDescent="0.2">
      <c r="A1065" s="35" t="s">
        <v>3706</v>
      </c>
      <c r="B1065" s="35" t="s">
        <v>3707</v>
      </c>
      <c r="C1065" s="35" t="s">
        <v>64</v>
      </c>
      <c r="D1065" s="35" t="s">
        <v>78</v>
      </c>
      <c r="E1065" s="35" t="s">
        <v>39</v>
      </c>
      <c r="F1065" s="28" t="e">
        <f ca="1">_xludf.ifna(VLOOKUP(G1065,Proyectos!$A$2:$F$674,6,0),"")</f>
        <v>#NAME?</v>
      </c>
      <c r="G1065" s="38" t="s">
        <v>5406</v>
      </c>
      <c r="H1065" s="59">
        <v>1</v>
      </c>
      <c r="I1065" s="30" t="s">
        <v>18</v>
      </c>
      <c r="J1065" s="27" t="s">
        <v>26</v>
      </c>
      <c r="K1065" s="51"/>
      <c r="L1065" s="32" t="e">
        <f ca="1">_xludf.ifna(VLOOKUP(E1065,Parámetros!$D$2:$E$34,2,0),"")</f>
        <v>#NAME?</v>
      </c>
      <c r="M1065" s="32" t="e">
        <f ca="1">_xludf.ifna(VLOOKUP(G1065,Proyectos!$A$2:$T$674,20,0),"")</f>
        <v>#NAME?</v>
      </c>
      <c r="N1065" s="32" t="e">
        <f ca="1">_xludf.ifna(VLOOKUP(G1065,Proyectos!$A$2:$S$674,19,0))</f>
        <v>#NAME?</v>
      </c>
      <c r="O1065" s="31"/>
      <c r="P1065" s="31"/>
      <c r="Q1065" s="33"/>
      <c r="R1065" s="33"/>
      <c r="S1065" s="33"/>
      <c r="T1065" s="33"/>
      <c r="U1065" s="33"/>
      <c r="V1065" s="33"/>
      <c r="W1065" s="33"/>
    </row>
    <row r="1066" spans="1:23" ht="16.5" customHeight="1" x14ac:dyDescent="0.2">
      <c r="A1066" s="35" t="s">
        <v>3416</v>
      </c>
      <c r="B1066" s="35" t="s">
        <v>3417</v>
      </c>
      <c r="C1066" s="35" t="s">
        <v>64</v>
      </c>
      <c r="D1066" s="35" t="s">
        <v>70</v>
      </c>
      <c r="E1066" s="35" t="s">
        <v>39</v>
      </c>
      <c r="F1066" s="28" t="e">
        <f ca="1">_xludf.ifna(VLOOKUP(G1066,Proyectos!$A$2:$F$674,6,0),"")</f>
        <v>#NAME?</v>
      </c>
      <c r="G1066" s="29" t="s">
        <v>5114</v>
      </c>
      <c r="H1066" s="30">
        <v>0.5</v>
      </c>
      <c r="I1066" s="30" t="s">
        <v>18</v>
      </c>
      <c r="J1066" s="27" t="s">
        <v>19</v>
      </c>
      <c r="K1066" s="51"/>
      <c r="L1066" s="32" t="e">
        <f ca="1">_xludf.ifna(VLOOKUP(E1066,Parámetros!$D$2:$E$34,2,0),"")</f>
        <v>#NAME?</v>
      </c>
      <c r="M1066" s="32" t="e">
        <f ca="1">_xludf.ifna(VLOOKUP(G1066,Proyectos!$A$2:$T$674,20,0),"")</f>
        <v>#NAME?</v>
      </c>
      <c r="N1066" s="32" t="e">
        <f ca="1">_xludf.ifna(VLOOKUP(G1066,Proyectos!$A$2:$S$674,19,0))</f>
        <v>#NAME?</v>
      </c>
      <c r="O1066" s="31"/>
      <c r="P1066" s="31"/>
      <c r="Q1066" s="33"/>
      <c r="R1066" s="33"/>
      <c r="S1066" s="33"/>
      <c r="T1066" s="33"/>
      <c r="U1066" s="33"/>
      <c r="V1066" s="33"/>
      <c r="W1066" s="33"/>
    </row>
    <row r="1067" spans="1:23" ht="16.5" customHeight="1" x14ac:dyDescent="0.2">
      <c r="A1067" s="35" t="s">
        <v>3416</v>
      </c>
      <c r="B1067" s="35" t="s">
        <v>3417</v>
      </c>
      <c r="C1067" s="35" t="s">
        <v>64</v>
      </c>
      <c r="D1067" s="35" t="s">
        <v>70</v>
      </c>
      <c r="E1067" s="35" t="s">
        <v>39</v>
      </c>
      <c r="F1067" s="28" t="e">
        <f ca="1">_xludf.ifna(VLOOKUP(G1067,Proyectos!$A$2:$F$674,6,0),"")</f>
        <v>#NAME?</v>
      </c>
      <c r="G1067" s="29" t="s">
        <v>5401</v>
      </c>
      <c r="H1067" s="30">
        <v>0.5</v>
      </c>
      <c r="I1067" s="30" t="s">
        <v>18</v>
      </c>
      <c r="J1067" s="31" t="s">
        <v>61</v>
      </c>
      <c r="K1067" s="32"/>
      <c r="L1067" s="32" t="e">
        <f ca="1">_xludf.ifna(VLOOKUP(E1067,Parámetros!$D$2:$E$34,2,0),"")</f>
        <v>#NAME?</v>
      </c>
      <c r="M1067" s="32" t="e">
        <f ca="1">_xludf.ifna(VLOOKUP(G1067,Proyectos!$A$2:$T$674,20,0),"")</f>
        <v>#NAME?</v>
      </c>
      <c r="N1067" s="32" t="e">
        <f ca="1">_xludf.ifna(VLOOKUP(G1067,Proyectos!$A$2:$S$674,19,0))</f>
        <v>#NAME?</v>
      </c>
      <c r="O1067" s="31"/>
      <c r="P1067" s="31"/>
      <c r="Q1067" s="33"/>
      <c r="R1067" s="33"/>
      <c r="S1067" s="33"/>
      <c r="T1067" s="33"/>
      <c r="U1067" s="33"/>
      <c r="V1067" s="33"/>
      <c r="W1067" s="33"/>
    </row>
    <row r="1068" spans="1:23" ht="16.5" customHeight="1" x14ac:dyDescent="0.2">
      <c r="A1068" s="35" t="s">
        <v>4497</v>
      </c>
      <c r="B1068" s="35" t="s">
        <v>4498</v>
      </c>
      <c r="C1068" s="35" t="s">
        <v>64</v>
      </c>
      <c r="D1068" s="35" t="s">
        <v>74</v>
      </c>
      <c r="E1068" s="35" t="s">
        <v>108</v>
      </c>
      <c r="F1068" s="28" t="e">
        <f ca="1">_xludf.ifna(VLOOKUP(G1068,Proyectos!$A$2:$F$674,6,0),"")</f>
        <v>#NAME?</v>
      </c>
      <c r="G1068" s="29" t="s">
        <v>5114</v>
      </c>
      <c r="H1068" s="30">
        <v>1</v>
      </c>
      <c r="I1068" s="30" t="s">
        <v>18</v>
      </c>
      <c r="J1068" s="31" t="s">
        <v>41</v>
      </c>
      <c r="K1068" s="31" t="s">
        <v>3465</v>
      </c>
      <c r="L1068" s="32" t="e">
        <f ca="1">_xludf.ifna(VLOOKUP(E1068,Parámetros!$D$2:$E$34,2,0),"")</f>
        <v>#NAME?</v>
      </c>
      <c r="M1068" s="32" t="e">
        <f ca="1">_xludf.ifna(VLOOKUP(G1068,Proyectos!$A$2:$T$674,20,0),"")</f>
        <v>#NAME?</v>
      </c>
      <c r="N1068" s="32" t="e">
        <f ca="1">_xludf.ifna(VLOOKUP(G1068,Proyectos!$A$2:$S$674,19,0))</f>
        <v>#NAME?</v>
      </c>
      <c r="O1068" s="32"/>
      <c r="P1068" s="31"/>
      <c r="Q1068" s="33"/>
      <c r="R1068" s="33"/>
      <c r="S1068" s="33"/>
      <c r="T1068" s="33"/>
      <c r="U1068" s="33"/>
      <c r="V1068" s="33"/>
      <c r="W1068" s="33"/>
    </row>
    <row r="1069" spans="1:23" ht="16.5" customHeight="1" x14ac:dyDescent="0.2">
      <c r="A1069" s="35" t="s">
        <v>3463</v>
      </c>
      <c r="B1069" s="35" t="s">
        <v>3464</v>
      </c>
      <c r="C1069" s="35" t="s">
        <v>64</v>
      </c>
      <c r="D1069" s="35" t="s">
        <v>74</v>
      </c>
      <c r="E1069" s="35" t="s">
        <v>39</v>
      </c>
      <c r="F1069" s="28" t="e">
        <f ca="1">_xludf.ifna(VLOOKUP(G1069,Proyectos!$A$2:$F$674,6,0),"")</f>
        <v>#NAME?</v>
      </c>
      <c r="G1069" s="29" t="s">
        <v>5114</v>
      </c>
      <c r="H1069" s="30">
        <v>1</v>
      </c>
      <c r="I1069" s="30" t="s">
        <v>18</v>
      </c>
      <c r="J1069" s="31" t="s">
        <v>41</v>
      </c>
      <c r="K1069" s="31" t="s">
        <v>3465</v>
      </c>
      <c r="L1069" s="32" t="e">
        <f ca="1">_xludf.ifna(VLOOKUP(E1069,Parámetros!$D$2:$E$34,2,0),"")</f>
        <v>#NAME?</v>
      </c>
      <c r="M1069" s="32" t="e">
        <f ca="1">_xludf.ifna(VLOOKUP(G1069,Proyectos!$A$2:$T$674,20,0),"")</f>
        <v>#NAME?</v>
      </c>
      <c r="N1069" s="32" t="e">
        <f ca="1">_xludf.ifna(VLOOKUP(G1069,Proyectos!$A$2:$S$674,19,0))</f>
        <v>#NAME?</v>
      </c>
      <c r="O1069" s="32"/>
      <c r="P1069" s="31"/>
      <c r="Q1069" s="33"/>
      <c r="R1069" s="33"/>
      <c r="S1069" s="33"/>
      <c r="T1069" s="33"/>
      <c r="U1069" s="33"/>
      <c r="V1069" s="33"/>
      <c r="W1069" s="33"/>
    </row>
    <row r="1070" spans="1:23" ht="16.5" customHeight="1" x14ac:dyDescent="0.2">
      <c r="A1070" s="35" t="s">
        <v>4474</v>
      </c>
      <c r="B1070" s="35" t="s">
        <v>4475</v>
      </c>
      <c r="C1070" s="35" t="s">
        <v>64</v>
      </c>
      <c r="D1070" s="35" t="s">
        <v>78</v>
      </c>
      <c r="E1070" s="35" t="s">
        <v>87</v>
      </c>
      <c r="F1070" s="28" t="e">
        <f ca="1">_xludf.ifna(VLOOKUP(G1070,Proyectos!$A$2:$F$674,6,0),"")</f>
        <v>#NAME?</v>
      </c>
      <c r="G1070" s="29" t="s">
        <v>5411</v>
      </c>
      <c r="H1070" s="30">
        <v>1</v>
      </c>
      <c r="I1070" s="30" t="s">
        <v>18</v>
      </c>
      <c r="J1070" s="31" t="s">
        <v>61</v>
      </c>
      <c r="K1070" s="32"/>
      <c r="L1070" s="32" t="e">
        <f ca="1">_xludf.ifna(VLOOKUP(E1070,Parámetros!$D$2:$E$34,2,0),"")</f>
        <v>#NAME?</v>
      </c>
      <c r="M1070" s="32" t="e">
        <f ca="1">_xludf.ifna(VLOOKUP(G1070,Proyectos!$A$2:$T$674,20,0),"")</f>
        <v>#NAME?</v>
      </c>
      <c r="N1070" s="32" t="e">
        <f ca="1">_xludf.ifna(VLOOKUP(G1070,Proyectos!$A$2:$S$674,19,0))</f>
        <v>#NAME?</v>
      </c>
      <c r="O1070" s="31"/>
      <c r="P1070" s="31"/>
      <c r="Q1070" s="33"/>
      <c r="R1070" s="33"/>
      <c r="S1070" s="33"/>
      <c r="T1070" s="33"/>
      <c r="U1070" s="33"/>
      <c r="V1070" s="33"/>
      <c r="W1070" s="33"/>
    </row>
    <row r="1071" spans="1:23" ht="16.5" customHeight="1" x14ac:dyDescent="0.2">
      <c r="A1071" s="91" t="s">
        <v>3524</v>
      </c>
      <c r="B1071" s="35" t="s">
        <v>3525</v>
      </c>
      <c r="C1071" s="35" t="s">
        <v>64</v>
      </c>
      <c r="D1071" s="35" t="s">
        <v>70</v>
      </c>
      <c r="E1071" s="35" t="s">
        <v>39</v>
      </c>
      <c r="F1071" s="28" t="e">
        <f ca="1">_xludf.ifna(VLOOKUP(G1071,Proyectos!$A$2:$F$674,6,0),"")</f>
        <v>#NAME?</v>
      </c>
      <c r="G1071" s="29" t="s">
        <v>5402</v>
      </c>
      <c r="H1071" s="30">
        <v>0.6</v>
      </c>
      <c r="I1071" s="30" t="s">
        <v>18</v>
      </c>
      <c r="J1071" s="31" t="s">
        <v>61</v>
      </c>
      <c r="K1071" s="32"/>
      <c r="L1071" s="32" t="e">
        <f ca="1">_xludf.ifna(VLOOKUP(E1071,Parámetros!$D$2:$E$34,2,0),"")</f>
        <v>#NAME?</v>
      </c>
      <c r="M1071" s="32" t="e">
        <f ca="1">_xludf.ifna(VLOOKUP(G1071,Proyectos!$A$2:$T$674,20,0),"")</f>
        <v>#NAME?</v>
      </c>
      <c r="N1071" s="32" t="e">
        <f ca="1">_xludf.ifna(VLOOKUP(G1071,Proyectos!$A$2:$S$674,19,0))</f>
        <v>#NAME?</v>
      </c>
      <c r="O1071" s="31"/>
      <c r="P1071" s="31"/>
      <c r="Q1071" s="33"/>
      <c r="R1071" s="33"/>
      <c r="S1071" s="33"/>
      <c r="T1071" s="33"/>
      <c r="U1071" s="33"/>
      <c r="V1071" s="33"/>
      <c r="W1071" s="33"/>
    </row>
    <row r="1072" spans="1:23" ht="16.5" customHeight="1" x14ac:dyDescent="0.2">
      <c r="A1072" s="91" t="s">
        <v>3524</v>
      </c>
      <c r="B1072" s="35" t="s">
        <v>3525</v>
      </c>
      <c r="C1072" s="35" t="s">
        <v>64</v>
      </c>
      <c r="D1072" s="35" t="s">
        <v>70</v>
      </c>
      <c r="E1072" s="35" t="s">
        <v>39</v>
      </c>
      <c r="F1072" s="28" t="e">
        <f ca="1">_xludf.ifna(VLOOKUP(G1072,Proyectos!$A$2:$F$674,6,0),"")</f>
        <v>#NAME?</v>
      </c>
      <c r="G1072" s="29" t="s">
        <v>5114</v>
      </c>
      <c r="H1072" s="30">
        <v>0.1</v>
      </c>
      <c r="I1072" s="30" t="s">
        <v>18</v>
      </c>
      <c r="J1072" s="31" t="s">
        <v>41</v>
      </c>
      <c r="K1072" s="32"/>
      <c r="L1072" s="32" t="e">
        <f ca="1">_xludf.ifna(VLOOKUP(E1072,Parámetros!$D$2:$E$34,2,0),"")</f>
        <v>#NAME?</v>
      </c>
      <c r="M1072" s="32" t="e">
        <f ca="1">_xludf.ifna(VLOOKUP(G1072,Proyectos!$A$2:$T$674,20,0),"")</f>
        <v>#NAME?</v>
      </c>
      <c r="N1072" s="32" t="e">
        <f ca="1">_xludf.ifna(VLOOKUP(G1072,Proyectos!$A$2:$S$674,19,0))</f>
        <v>#NAME?</v>
      </c>
      <c r="O1072" s="32"/>
      <c r="P1072" s="31"/>
      <c r="Q1072" s="33"/>
      <c r="R1072" s="33"/>
      <c r="S1072" s="33"/>
      <c r="T1072" s="33"/>
      <c r="U1072" s="33"/>
      <c r="V1072" s="33"/>
      <c r="W1072" s="33"/>
    </row>
    <row r="1073" spans="1:23" ht="16.5" customHeight="1" x14ac:dyDescent="0.2">
      <c r="A1073" s="91" t="s">
        <v>3524</v>
      </c>
      <c r="B1073" s="35" t="s">
        <v>3525</v>
      </c>
      <c r="C1073" s="35" t="s">
        <v>64</v>
      </c>
      <c r="D1073" s="35" t="s">
        <v>70</v>
      </c>
      <c r="E1073" s="35" t="s">
        <v>39</v>
      </c>
      <c r="F1073" s="28" t="e">
        <f ca="1">_xludf.ifna(VLOOKUP(G1073,Proyectos!$A$2:$F$674,6,0),"")</f>
        <v>#NAME?</v>
      </c>
      <c r="G1073" s="29" t="s">
        <v>5403</v>
      </c>
      <c r="H1073" s="30">
        <v>0.3</v>
      </c>
      <c r="I1073" s="30" t="s">
        <v>18</v>
      </c>
      <c r="J1073" s="31" t="s">
        <v>61</v>
      </c>
      <c r="K1073" s="32"/>
      <c r="L1073" s="32" t="e">
        <f ca="1">_xludf.ifna(VLOOKUP(E1073,Parámetros!$D$2:$E$34,2,0),"")</f>
        <v>#NAME?</v>
      </c>
      <c r="M1073" s="32" t="e">
        <f ca="1">_xludf.ifna(VLOOKUP(G1073,Proyectos!$A$2:$T$674,20,0),"")</f>
        <v>#NAME?</v>
      </c>
      <c r="N1073" s="32" t="e">
        <f ca="1">_xludf.ifna(VLOOKUP(G1073,Proyectos!$A$2:$S$674,19,0))</f>
        <v>#NAME?</v>
      </c>
      <c r="O1073" s="32"/>
      <c r="P1073" s="31"/>
      <c r="Q1073" s="33"/>
      <c r="R1073" s="33"/>
      <c r="S1073" s="33"/>
      <c r="T1073" s="33"/>
      <c r="U1073" s="33"/>
      <c r="V1073" s="33"/>
      <c r="W1073" s="33"/>
    </row>
    <row r="1074" spans="1:23" ht="16.5" customHeight="1" x14ac:dyDescent="0.2">
      <c r="A1074" s="35" t="s">
        <v>3702</v>
      </c>
      <c r="B1074" s="35" t="s">
        <v>3703</v>
      </c>
      <c r="C1074" s="35" t="s">
        <v>64</v>
      </c>
      <c r="D1074" s="35" t="s">
        <v>78</v>
      </c>
      <c r="E1074" s="35" t="s">
        <v>39</v>
      </c>
      <c r="F1074" s="28" t="e">
        <f ca="1">_xludf.ifna(VLOOKUP(G1074,Proyectos!$A$2:$F$674,6,0),"")</f>
        <v>#NAME?</v>
      </c>
      <c r="G1074" s="29" t="s">
        <v>5411</v>
      </c>
      <c r="H1074" s="30">
        <v>1</v>
      </c>
      <c r="I1074" s="30" t="s">
        <v>18</v>
      </c>
      <c r="J1074" s="31" t="s">
        <v>19</v>
      </c>
      <c r="K1074" s="32"/>
      <c r="L1074" s="32" t="e">
        <f ca="1">_xludf.ifna(VLOOKUP(E1074,Parámetros!$D$2:$E$34,2,0),"")</f>
        <v>#NAME?</v>
      </c>
      <c r="M1074" s="32" t="e">
        <f ca="1">_xludf.ifna(VLOOKUP(G1074,Proyectos!$A$2:$T$674,20,0),"")</f>
        <v>#NAME?</v>
      </c>
      <c r="N1074" s="32" t="e">
        <f ca="1">_xludf.ifna(VLOOKUP(G1074,Proyectos!$A$2:$S$674,19,0))</f>
        <v>#NAME?</v>
      </c>
      <c r="O1074" s="31"/>
      <c r="P1074" s="31"/>
      <c r="Q1074" s="33"/>
      <c r="R1074" s="33"/>
      <c r="S1074" s="33"/>
      <c r="T1074" s="33"/>
      <c r="U1074" s="33"/>
      <c r="V1074" s="33"/>
      <c r="W1074" s="33"/>
    </row>
    <row r="1075" spans="1:23" ht="16.5" customHeight="1" x14ac:dyDescent="0.2">
      <c r="A1075" s="35" t="s">
        <v>4734</v>
      </c>
      <c r="B1075" s="35" t="s">
        <v>4735</v>
      </c>
      <c r="C1075" s="35" t="s">
        <v>64</v>
      </c>
      <c r="D1075" s="35" t="s">
        <v>70</v>
      </c>
      <c r="E1075" s="35" t="s">
        <v>39</v>
      </c>
      <c r="F1075" s="28" t="e">
        <f ca="1">_xludf.ifna(VLOOKUP(G1075,Proyectos!$A$2:$F$674,6,0),"")</f>
        <v>#NAME?</v>
      </c>
      <c r="G1075" s="29" t="s">
        <v>5114</v>
      </c>
      <c r="H1075" s="30">
        <v>1</v>
      </c>
      <c r="I1075" s="30" t="s">
        <v>18</v>
      </c>
      <c r="J1075" s="31" t="s">
        <v>19</v>
      </c>
      <c r="K1075" s="32"/>
      <c r="L1075" s="32" t="e">
        <f ca="1">_xludf.ifna(VLOOKUP(E1075,Parámetros!$D$2:$E$34,2,0),"")</f>
        <v>#NAME?</v>
      </c>
      <c r="M1075" s="32" t="e">
        <f ca="1">_xludf.ifna(VLOOKUP(G1075,Proyectos!$A$2:$T$674,20,0),"")</f>
        <v>#NAME?</v>
      </c>
      <c r="N1075" s="32" t="e">
        <f ca="1">_xludf.ifna(VLOOKUP(G1075,Proyectos!$A$2:$S$674,19,0))</f>
        <v>#NAME?</v>
      </c>
      <c r="O1075" s="31"/>
      <c r="P1075" s="31"/>
      <c r="Q1075" s="33"/>
      <c r="R1075" s="33"/>
      <c r="S1075" s="33"/>
      <c r="T1075" s="33"/>
      <c r="U1075" s="33"/>
      <c r="V1075" s="33"/>
      <c r="W1075" s="33"/>
    </row>
    <row r="1076" spans="1:23" ht="16.5" customHeight="1" x14ac:dyDescent="0.2">
      <c r="A1076" s="35" t="s">
        <v>4776</v>
      </c>
      <c r="B1076" s="35" t="s">
        <v>4777</v>
      </c>
      <c r="C1076" s="35" t="s">
        <v>64</v>
      </c>
      <c r="D1076" s="35" t="s">
        <v>70</v>
      </c>
      <c r="E1076" s="35" t="s">
        <v>39</v>
      </c>
      <c r="F1076" s="28" t="e">
        <f ca="1">_xludf.ifna(VLOOKUP(G1076,Proyectos!$A$2:$F$674,6,0),"")</f>
        <v>#NAME?</v>
      </c>
      <c r="G1076" s="29" t="s">
        <v>5114</v>
      </c>
      <c r="H1076" s="30">
        <v>1</v>
      </c>
      <c r="I1076" s="30" t="s">
        <v>18</v>
      </c>
      <c r="J1076" s="31" t="s">
        <v>12</v>
      </c>
      <c r="K1076" s="31" t="s">
        <v>4778</v>
      </c>
      <c r="L1076" s="32" t="e">
        <f ca="1">_xludf.ifna(VLOOKUP(E1076,Parámetros!$D$2:$E$34,2,0),"")</f>
        <v>#NAME?</v>
      </c>
      <c r="M1076" s="32" t="e">
        <f ca="1">_xludf.ifna(VLOOKUP(G1076,Proyectos!$A$2:$T$674,20,0),"")</f>
        <v>#NAME?</v>
      </c>
      <c r="N1076" s="32" t="e">
        <f ca="1">_xludf.ifna(VLOOKUP(G1076,Proyectos!$A$2:$S$674,19,0))</f>
        <v>#NAME?</v>
      </c>
      <c r="O1076" s="31"/>
      <c r="P1076" s="31"/>
      <c r="Q1076" s="33"/>
      <c r="R1076" s="33"/>
      <c r="S1076" s="33"/>
      <c r="T1076" s="33"/>
      <c r="U1076" s="33"/>
      <c r="V1076" s="33"/>
      <c r="W1076" s="33"/>
    </row>
    <row r="1077" spans="1:23" ht="16.5" customHeight="1" x14ac:dyDescent="0.2">
      <c r="A1077" s="35" t="s">
        <v>4747</v>
      </c>
      <c r="B1077" s="35" t="s">
        <v>4748</v>
      </c>
      <c r="C1077" s="35" t="s">
        <v>64</v>
      </c>
      <c r="D1077" s="35" t="s">
        <v>78</v>
      </c>
      <c r="E1077" s="35" t="s">
        <v>39</v>
      </c>
      <c r="F1077" s="28" t="e">
        <f ca="1">_xludf.ifna(VLOOKUP(G1077,Proyectos!$A$2:$F$674,6,0),"")</f>
        <v>#NAME?</v>
      </c>
      <c r="G1077" s="29" t="s">
        <v>5411</v>
      </c>
      <c r="H1077" s="30">
        <v>1</v>
      </c>
      <c r="I1077" s="30" t="s">
        <v>18</v>
      </c>
      <c r="J1077" s="31" t="s">
        <v>19</v>
      </c>
      <c r="K1077" s="31"/>
      <c r="L1077" s="32" t="e">
        <f ca="1">_xludf.ifna(VLOOKUP(E1077,Parámetros!$D$2:$E$34,2,0),"")</f>
        <v>#NAME?</v>
      </c>
      <c r="M1077" s="32" t="e">
        <f ca="1">_xludf.ifna(VLOOKUP(G1077,Proyectos!$A$2:$T$674,20,0),"")</f>
        <v>#NAME?</v>
      </c>
      <c r="N1077" s="32" t="e">
        <f ca="1">_xludf.ifna(VLOOKUP(G1077,Proyectos!$A$2:$S$674,19,0))</f>
        <v>#NAME?</v>
      </c>
      <c r="O1077" s="32"/>
      <c r="P1077" s="31"/>
      <c r="Q1077" s="33"/>
      <c r="R1077" s="33"/>
      <c r="S1077" s="33"/>
      <c r="T1077" s="33"/>
      <c r="U1077" s="33"/>
      <c r="V1077" s="33"/>
      <c r="W1077" s="33"/>
    </row>
    <row r="1078" spans="1:23" ht="16.5" customHeight="1" x14ac:dyDescent="0.2">
      <c r="A1078" s="35" t="s">
        <v>3620</v>
      </c>
      <c r="B1078" s="35" t="s">
        <v>3621</v>
      </c>
      <c r="C1078" s="35" t="s">
        <v>64</v>
      </c>
      <c r="D1078" s="35" t="s">
        <v>70</v>
      </c>
      <c r="E1078" s="35" t="s">
        <v>39</v>
      </c>
      <c r="F1078" s="28" t="e">
        <f ca="1">_xludf.ifna(VLOOKUP(G1078,Proyectos!$A$2:$F$674,6,0),"")</f>
        <v>#NAME?</v>
      </c>
      <c r="G1078" s="29" t="s">
        <v>5114</v>
      </c>
      <c r="H1078" s="30">
        <v>0.7</v>
      </c>
      <c r="I1078" s="30" t="s">
        <v>11</v>
      </c>
      <c r="J1078" s="31" t="s">
        <v>72</v>
      </c>
      <c r="K1078" s="31"/>
      <c r="L1078" s="32" t="e">
        <f ca="1">_xludf.ifna(VLOOKUP(E1078,Parámetros!$D$2:$E$34,2,0),"")</f>
        <v>#NAME?</v>
      </c>
      <c r="M1078" s="32" t="e">
        <f ca="1">_xludf.ifna(VLOOKUP(G1078,Proyectos!$A$2:$T$674,20,0),"")</f>
        <v>#NAME?</v>
      </c>
      <c r="N1078" s="32" t="e">
        <f ca="1">_xludf.ifna(VLOOKUP(G1078,Proyectos!$A$2:$S$674,19,0))</f>
        <v>#NAME?</v>
      </c>
      <c r="O1078" s="31"/>
      <c r="P1078" s="31"/>
      <c r="Q1078" s="33"/>
      <c r="R1078" s="33"/>
      <c r="S1078" s="33"/>
      <c r="T1078" s="33"/>
      <c r="U1078" s="33"/>
      <c r="V1078" s="33"/>
      <c r="W1078" s="33"/>
    </row>
    <row r="1079" spans="1:23" ht="16.5" customHeight="1" x14ac:dyDescent="0.2">
      <c r="A1079" s="35" t="s">
        <v>3620</v>
      </c>
      <c r="B1079" s="35" t="s">
        <v>3621</v>
      </c>
      <c r="C1079" s="35" t="s">
        <v>64</v>
      </c>
      <c r="D1079" s="35" t="s">
        <v>70</v>
      </c>
      <c r="E1079" s="35" t="s">
        <v>39</v>
      </c>
      <c r="F1079" s="28" t="e">
        <f ca="1">_xludf.ifna(VLOOKUP(G1079,Proyectos!$A$2:$F$674,6,0),"")</f>
        <v>#NAME?</v>
      </c>
      <c r="G1079" s="29" t="s">
        <v>5405</v>
      </c>
      <c r="H1079" s="30">
        <v>0.1</v>
      </c>
      <c r="I1079" s="30" t="s">
        <v>11</v>
      </c>
      <c r="J1079" s="31" t="s">
        <v>72</v>
      </c>
      <c r="K1079" s="92"/>
      <c r="L1079" s="32" t="e">
        <f ca="1">_xludf.ifna(VLOOKUP(E1079,Parámetros!$D$2:$E$34,2,0),"")</f>
        <v>#NAME?</v>
      </c>
      <c r="M1079" s="32" t="e">
        <f ca="1">_xludf.ifna(VLOOKUP(G1079,Proyectos!$A$2:$T$674,20,0),"")</f>
        <v>#NAME?</v>
      </c>
      <c r="N1079" s="32" t="e">
        <f ca="1">_xludf.ifna(VLOOKUP(G1079,Proyectos!$A$2:$S$674,19,0))</f>
        <v>#NAME?</v>
      </c>
      <c r="O1079" s="31"/>
      <c r="P1079" s="31"/>
      <c r="Q1079" s="33"/>
      <c r="R1079" s="33"/>
      <c r="S1079" s="33"/>
      <c r="T1079" s="33"/>
      <c r="U1079" s="33"/>
      <c r="V1079" s="33"/>
      <c r="W1079" s="33"/>
    </row>
    <row r="1080" spans="1:23" ht="16.5" customHeight="1" x14ac:dyDescent="0.2">
      <c r="A1080" s="35" t="s">
        <v>3620</v>
      </c>
      <c r="B1080" s="35" t="s">
        <v>3621</v>
      </c>
      <c r="C1080" s="35" t="s">
        <v>64</v>
      </c>
      <c r="D1080" s="35" t="s">
        <v>70</v>
      </c>
      <c r="E1080" s="35" t="s">
        <v>39</v>
      </c>
      <c r="F1080" s="28" t="e">
        <f ca="1">_xludf.ifna(VLOOKUP(G1080,Proyectos!$A$2:$F$674,6,0),"")</f>
        <v>#NAME?</v>
      </c>
      <c r="G1080" s="29" t="s">
        <v>5402</v>
      </c>
      <c r="H1080" s="30">
        <v>0.05</v>
      </c>
      <c r="I1080" s="30" t="s">
        <v>11</v>
      </c>
      <c r="J1080" s="31" t="s">
        <v>72</v>
      </c>
      <c r="K1080" s="32"/>
      <c r="L1080" s="32" t="e">
        <f ca="1">_xludf.ifna(VLOOKUP(E1080,Parámetros!$D$2:$E$34,2,0),"")</f>
        <v>#NAME?</v>
      </c>
      <c r="M1080" s="32" t="e">
        <f ca="1">_xludf.ifna(VLOOKUP(G1080,Proyectos!$A$2:$T$674,20,0),"")</f>
        <v>#NAME?</v>
      </c>
      <c r="N1080" s="32" t="e">
        <f ca="1">_xludf.ifna(VLOOKUP(G1080,Proyectos!$A$2:$S$674,19,0))</f>
        <v>#NAME?</v>
      </c>
      <c r="O1080" s="32"/>
      <c r="P1080" s="31"/>
      <c r="Q1080" s="33"/>
      <c r="R1080" s="33"/>
      <c r="S1080" s="33"/>
      <c r="T1080" s="33"/>
      <c r="U1080" s="33"/>
      <c r="V1080" s="33"/>
      <c r="W1080" s="33"/>
    </row>
    <row r="1081" spans="1:23" ht="16.5" customHeight="1" x14ac:dyDescent="0.2">
      <c r="A1081" s="35" t="s">
        <v>3620</v>
      </c>
      <c r="B1081" s="35" t="s">
        <v>3621</v>
      </c>
      <c r="C1081" s="35" t="s">
        <v>64</v>
      </c>
      <c r="D1081" s="35" t="s">
        <v>70</v>
      </c>
      <c r="E1081" s="35" t="s">
        <v>39</v>
      </c>
      <c r="F1081" s="28" t="e">
        <f ca="1">_xludf.ifna(VLOOKUP(G1081,Proyectos!$A$2:$F$674,6,0),"")</f>
        <v>#NAME?</v>
      </c>
      <c r="G1081" s="29" t="s">
        <v>5403</v>
      </c>
      <c r="H1081" s="30">
        <v>0.05</v>
      </c>
      <c r="I1081" s="30" t="s">
        <v>11</v>
      </c>
      <c r="J1081" s="31" t="s">
        <v>72</v>
      </c>
      <c r="K1081" s="32"/>
      <c r="L1081" s="32" t="e">
        <f ca="1">_xludf.ifna(VLOOKUP(E1081,Parámetros!$D$2:$E$34,2,0),"")</f>
        <v>#NAME?</v>
      </c>
      <c r="M1081" s="32" t="e">
        <f ca="1">_xludf.ifna(VLOOKUP(G1081,Proyectos!$A$2:$T$674,20,0),"")</f>
        <v>#NAME?</v>
      </c>
      <c r="N1081" s="32" t="e">
        <f ca="1">_xludf.ifna(VLOOKUP(G1081,Proyectos!$A$2:$S$674,19,0))</f>
        <v>#NAME?</v>
      </c>
      <c r="O1081" s="31"/>
      <c r="P1081" s="31"/>
      <c r="Q1081" s="33"/>
      <c r="R1081" s="33"/>
      <c r="S1081" s="33"/>
      <c r="T1081" s="33"/>
      <c r="U1081" s="33"/>
      <c r="V1081" s="33"/>
      <c r="W1081" s="33"/>
    </row>
    <row r="1082" spans="1:23" ht="16.5" customHeight="1" x14ac:dyDescent="0.2">
      <c r="A1082" s="35" t="s">
        <v>3620</v>
      </c>
      <c r="B1082" s="35" t="s">
        <v>3621</v>
      </c>
      <c r="C1082" s="35" t="s">
        <v>64</v>
      </c>
      <c r="D1082" s="35" t="s">
        <v>70</v>
      </c>
      <c r="E1082" s="35" t="s">
        <v>39</v>
      </c>
      <c r="F1082" s="28" t="e">
        <f ca="1">_xludf.ifna(VLOOKUP(G1082,Proyectos!$A$2:$F$674,6,0),"")</f>
        <v>#NAME?</v>
      </c>
      <c r="G1082" s="29" t="s">
        <v>5401</v>
      </c>
      <c r="H1082" s="30">
        <v>0.05</v>
      </c>
      <c r="I1082" s="30" t="s">
        <v>11</v>
      </c>
      <c r="J1082" s="31" t="s">
        <v>72</v>
      </c>
      <c r="K1082" s="31"/>
      <c r="L1082" s="32" t="e">
        <f ca="1">_xludf.ifna(VLOOKUP(E1082,Parámetros!$D$2:$E$34,2,0),"")</f>
        <v>#NAME?</v>
      </c>
      <c r="M1082" s="32" t="e">
        <f ca="1">_xludf.ifna(VLOOKUP(G1082,Proyectos!$A$2:$T$674,20,0),"")</f>
        <v>#NAME?</v>
      </c>
      <c r="N1082" s="32" t="e">
        <f ca="1">_xludf.ifna(VLOOKUP(G1082,Proyectos!$A$2:$S$674,19,0))</f>
        <v>#NAME?</v>
      </c>
      <c r="O1082" s="31"/>
      <c r="P1082" s="31"/>
      <c r="Q1082" s="33"/>
      <c r="R1082" s="33"/>
      <c r="S1082" s="33"/>
      <c r="T1082" s="33"/>
      <c r="U1082" s="33"/>
      <c r="V1082" s="33"/>
      <c r="W1082" s="33"/>
    </row>
    <row r="1083" spans="1:23" ht="16.5" customHeight="1" x14ac:dyDescent="0.2">
      <c r="A1083" s="35" t="s">
        <v>3620</v>
      </c>
      <c r="B1083" s="35" t="s">
        <v>3621</v>
      </c>
      <c r="C1083" s="35" t="s">
        <v>64</v>
      </c>
      <c r="D1083" s="35" t="s">
        <v>74</v>
      </c>
      <c r="E1083" s="35" t="s">
        <v>39</v>
      </c>
      <c r="F1083" s="28" t="e">
        <f ca="1">_xludf.ifna(VLOOKUP(G1083,Proyectos!$A$2:$F$674,6,0),"")</f>
        <v>#NAME?</v>
      </c>
      <c r="G1083" s="29" t="s">
        <v>5198</v>
      </c>
      <c r="H1083" s="30">
        <v>0.05</v>
      </c>
      <c r="I1083" s="30" t="s">
        <v>11</v>
      </c>
      <c r="J1083" s="31" t="s">
        <v>72</v>
      </c>
      <c r="K1083" s="32"/>
      <c r="L1083" s="32" t="e">
        <f ca="1">_xludf.ifna(VLOOKUP(E1083,Parámetros!$D$2:$E$34,2,0),"")</f>
        <v>#NAME?</v>
      </c>
      <c r="M1083" s="32" t="e">
        <f ca="1">_xludf.ifna(VLOOKUP(G1083,Proyectos!$A$2:$T$674,20,0),"")</f>
        <v>#NAME?</v>
      </c>
      <c r="N1083" s="32" t="e">
        <f ca="1">_xludf.ifna(VLOOKUP(G1083,Proyectos!$A$2:$S$674,19,0))</f>
        <v>#NAME?</v>
      </c>
      <c r="O1083" s="31"/>
      <c r="P1083" s="31"/>
      <c r="Q1083" s="33"/>
      <c r="R1083" s="33"/>
      <c r="S1083" s="33"/>
      <c r="T1083" s="33"/>
      <c r="U1083" s="33"/>
      <c r="V1083" s="33"/>
      <c r="W1083" s="33"/>
    </row>
    <row r="1084" spans="1:23" ht="16.5" customHeight="1" x14ac:dyDescent="0.2">
      <c r="A1084" s="35" t="s">
        <v>4114</v>
      </c>
      <c r="B1084" s="35" t="s">
        <v>4115</v>
      </c>
      <c r="C1084" s="35" t="s">
        <v>64</v>
      </c>
      <c r="D1084" s="35" t="s">
        <v>78</v>
      </c>
      <c r="E1084" s="35" t="s">
        <v>114</v>
      </c>
      <c r="F1084" s="28" t="e">
        <f ca="1">_xludf.ifna(VLOOKUP(G1084,Proyectos!$A$2:$F$674,6,0),"")</f>
        <v>#NAME?</v>
      </c>
      <c r="G1084" s="29" t="s">
        <v>5406</v>
      </c>
      <c r="H1084" s="30">
        <v>1</v>
      </c>
      <c r="I1084" s="30" t="s">
        <v>25</v>
      </c>
      <c r="J1084" s="31" t="s">
        <v>72</v>
      </c>
      <c r="K1084" s="32"/>
      <c r="L1084" s="32" t="e">
        <f ca="1">_xludf.ifna(VLOOKUP(E1084,Parámetros!$D$2:$E$34,2,0),"")</f>
        <v>#NAME?</v>
      </c>
      <c r="M1084" s="32" t="e">
        <f ca="1">_xludf.ifna(VLOOKUP(G1084,Proyectos!$A$2:$T$674,20,0),"")</f>
        <v>#NAME?</v>
      </c>
      <c r="N1084" s="32" t="e">
        <f ca="1">_xludf.ifna(VLOOKUP(G1084,Proyectos!$A$2:$S$674,19,0))</f>
        <v>#NAME?</v>
      </c>
      <c r="O1084" s="32"/>
      <c r="P1084" s="31"/>
      <c r="Q1084" s="33"/>
      <c r="R1084" s="33"/>
      <c r="S1084" s="33"/>
      <c r="T1084" s="33"/>
      <c r="U1084" s="33"/>
      <c r="V1084" s="33"/>
      <c r="W1084" s="33"/>
    </row>
    <row r="1085" spans="1:23" ht="16.5" customHeight="1" x14ac:dyDescent="0.2">
      <c r="A1085" s="35" t="s">
        <v>4417</v>
      </c>
      <c r="B1085" s="35" t="s">
        <v>4418</v>
      </c>
      <c r="C1085" s="35" t="s">
        <v>64</v>
      </c>
      <c r="D1085" s="35" t="s">
        <v>65</v>
      </c>
      <c r="E1085" s="35" t="s">
        <v>83</v>
      </c>
      <c r="F1085" s="28" t="e">
        <f ca="1">_xludf.ifna(VLOOKUP(G1085,Proyectos!$A$2:$F$674,6,0),"")</f>
        <v>#NAME?</v>
      </c>
      <c r="G1085" s="29" t="s">
        <v>5410</v>
      </c>
      <c r="H1085" s="30">
        <v>1</v>
      </c>
      <c r="I1085" s="30" t="s">
        <v>25</v>
      </c>
      <c r="J1085" s="31" t="s">
        <v>72</v>
      </c>
      <c r="K1085" s="32"/>
      <c r="L1085" s="32" t="e">
        <f ca="1">_xludf.ifna(VLOOKUP(E1085,Parámetros!$D$2:$E$34,2,0),"")</f>
        <v>#NAME?</v>
      </c>
      <c r="M1085" s="32" t="e">
        <f ca="1">_xludf.ifna(VLOOKUP(G1085,Proyectos!$A$2:$T$674,20,0),"")</f>
        <v>#NAME?</v>
      </c>
      <c r="N1085" s="32" t="e">
        <f ca="1">_xludf.ifna(VLOOKUP(G1085,Proyectos!$A$2:$S$674,19,0))</f>
        <v>#NAME?</v>
      </c>
      <c r="O1085" s="32"/>
      <c r="P1085" s="31"/>
      <c r="Q1085" s="33"/>
      <c r="R1085" s="33"/>
      <c r="S1085" s="33"/>
      <c r="T1085" s="33"/>
      <c r="U1085" s="33"/>
      <c r="V1085" s="33"/>
      <c r="W1085" s="33"/>
    </row>
    <row r="1086" spans="1:23" ht="16.5" customHeight="1" x14ac:dyDescent="0.2">
      <c r="A1086" s="35" t="s">
        <v>4940</v>
      </c>
      <c r="B1086" s="35" t="s">
        <v>4941</v>
      </c>
      <c r="C1086" s="35" t="s">
        <v>64</v>
      </c>
      <c r="D1086" s="35" t="s">
        <v>78</v>
      </c>
      <c r="E1086" s="35" t="s">
        <v>87</v>
      </c>
      <c r="F1086" s="28" t="e">
        <f ca="1">_xludf.ifna(VLOOKUP(G1086,Proyectos!$A$2:$F$674,6,0),"")</f>
        <v>#NAME?</v>
      </c>
      <c r="G1086" s="29" t="s">
        <v>5406</v>
      </c>
      <c r="H1086" s="30">
        <v>1</v>
      </c>
      <c r="I1086" s="30" t="s">
        <v>18</v>
      </c>
      <c r="J1086" s="31" t="s">
        <v>19</v>
      </c>
      <c r="K1086" s="32"/>
      <c r="L1086" s="32" t="e">
        <f ca="1">_xludf.ifna(VLOOKUP(E1086,Parámetros!$D$2:$E$34,2,0),"")</f>
        <v>#NAME?</v>
      </c>
      <c r="M1086" s="32" t="e">
        <f ca="1">_xludf.ifna(VLOOKUP(G1086,Proyectos!$A$2:$T$674,20,0),"")</f>
        <v>#NAME?</v>
      </c>
      <c r="N1086" s="32" t="e">
        <f ca="1">_xludf.ifna(VLOOKUP(G1086,Proyectos!$A$2:$S$674,19,0))</f>
        <v>#NAME?</v>
      </c>
      <c r="O1086" s="32"/>
      <c r="P1086" s="31"/>
      <c r="Q1086" s="33"/>
      <c r="R1086" s="33"/>
      <c r="S1086" s="33"/>
      <c r="T1086" s="33"/>
      <c r="U1086" s="33"/>
      <c r="V1086" s="33"/>
      <c r="W1086" s="33"/>
    </row>
    <row r="1087" spans="1:23" ht="16.5" customHeight="1" x14ac:dyDescent="0.2">
      <c r="A1087" s="35" t="s">
        <v>4096</v>
      </c>
      <c r="B1087" s="35" t="s">
        <v>4097</v>
      </c>
      <c r="C1087" s="35" t="s">
        <v>64</v>
      </c>
      <c r="D1087" s="35" t="s">
        <v>70</v>
      </c>
      <c r="E1087" s="35" t="s">
        <v>87</v>
      </c>
      <c r="F1087" s="28" t="e">
        <f ca="1">_xludf.ifna(VLOOKUP(G1087,Proyectos!$A$2:$F$674,6,0),"")</f>
        <v>#NAME?</v>
      </c>
      <c r="G1087" s="29" t="s">
        <v>5403</v>
      </c>
      <c r="H1087" s="30">
        <v>0.2</v>
      </c>
      <c r="I1087" s="30" t="s">
        <v>18</v>
      </c>
      <c r="J1087" s="31" t="s">
        <v>61</v>
      </c>
      <c r="K1087" s="32"/>
      <c r="L1087" s="32" t="e">
        <f ca="1">_xludf.ifna(VLOOKUP(E1087,Parámetros!$D$2:$E$34,2,0),"")</f>
        <v>#NAME?</v>
      </c>
      <c r="M1087" s="32" t="e">
        <f ca="1">_xludf.ifna(VLOOKUP(G1087,Proyectos!$A$2:$T$674,20,0),"")</f>
        <v>#NAME?</v>
      </c>
      <c r="N1087" s="32" t="e">
        <f ca="1">_xludf.ifna(VLOOKUP(G1087,Proyectos!$A$2:$S$674,19,0))</f>
        <v>#NAME?</v>
      </c>
      <c r="O1087" s="32"/>
      <c r="P1087" s="31"/>
      <c r="Q1087" s="33"/>
      <c r="R1087" s="33"/>
      <c r="S1087" s="33"/>
      <c r="T1087" s="33"/>
      <c r="U1087" s="33"/>
      <c r="V1087" s="33"/>
      <c r="W1087" s="33"/>
    </row>
    <row r="1088" spans="1:23" ht="16.5" customHeight="1" x14ac:dyDescent="0.2">
      <c r="A1088" s="35" t="s">
        <v>4096</v>
      </c>
      <c r="B1088" s="35" t="s">
        <v>4097</v>
      </c>
      <c r="C1088" s="35" t="s">
        <v>64</v>
      </c>
      <c r="D1088" s="35" t="s">
        <v>70</v>
      </c>
      <c r="E1088" s="35" t="s">
        <v>87</v>
      </c>
      <c r="F1088" s="28" t="e">
        <f ca="1">_xludf.ifna(VLOOKUP(G1088,Proyectos!$A$2:$F$674,6,0),"")</f>
        <v>#NAME?</v>
      </c>
      <c r="G1088" s="29" t="s">
        <v>5402</v>
      </c>
      <c r="H1088" s="30">
        <v>0.6</v>
      </c>
      <c r="I1088" s="30" t="s">
        <v>18</v>
      </c>
      <c r="J1088" s="31" t="s">
        <v>61</v>
      </c>
      <c r="K1088" s="32"/>
      <c r="L1088" s="32" t="e">
        <f ca="1">_xludf.ifna(VLOOKUP(E1088,Parámetros!$D$2:$E$34,2,0),"")</f>
        <v>#NAME?</v>
      </c>
      <c r="M1088" s="32" t="e">
        <f ca="1">_xludf.ifna(VLOOKUP(G1088,Proyectos!$A$2:$T$674,20,0),"")</f>
        <v>#NAME?</v>
      </c>
      <c r="N1088" s="32" t="e">
        <f ca="1">_xludf.ifna(VLOOKUP(G1088,Proyectos!$A$2:$S$674,19,0))</f>
        <v>#NAME?</v>
      </c>
      <c r="O1088" s="32"/>
      <c r="P1088" s="31"/>
      <c r="Q1088" s="33"/>
      <c r="R1088" s="33"/>
      <c r="S1088" s="33"/>
      <c r="T1088" s="33"/>
      <c r="U1088" s="33"/>
      <c r="V1088" s="33"/>
      <c r="W1088" s="33"/>
    </row>
    <row r="1089" spans="1:23" ht="16.5" customHeight="1" x14ac:dyDescent="0.2">
      <c r="A1089" s="35" t="s">
        <v>4096</v>
      </c>
      <c r="B1089" s="35" t="s">
        <v>4097</v>
      </c>
      <c r="C1089" s="35" t="s">
        <v>64</v>
      </c>
      <c r="D1089" s="35" t="s">
        <v>70</v>
      </c>
      <c r="E1089" s="35" t="s">
        <v>87</v>
      </c>
      <c r="F1089" s="28" t="e">
        <f ca="1">_xludf.ifna(VLOOKUP(G1089,Proyectos!$A$2:$F$674,6,0),"")</f>
        <v>#NAME?</v>
      </c>
      <c r="G1089" s="29" t="s">
        <v>5401</v>
      </c>
      <c r="H1089" s="30">
        <v>0.2</v>
      </c>
      <c r="I1089" s="30" t="s">
        <v>18</v>
      </c>
      <c r="J1089" s="31" t="s">
        <v>61</v>
      </c>
      <c r="K1089" s="32"/>
      <c r="L1089" s="32" t="e">
        <f ca="1">_xludf.ifna(VLOOKUP(E1089,Parámetros!$D$2:$E$34,2,0),"")</f>
        <v>#NAME?</v>
      </c>
      <c r="M1089" s="32" t="e">
        <f ca="1">_xludf.ifna(VLOOKUP(G1089,Proyectos!$A$2:$T$674,20,0),"")</f>
        <v>#NAME?</v>
      </c>
      <c r="N1089" s="32" t="e">
        <f ca="1">_xludf.ifna(VLOOKUP(G1089,Proyectos!$A$2:$S$674,19,0))</f>
        <v>#NAME?</v>
      </c>
      <c r="O1089" s="31"/>
      <c r="P1089" s="31"/>
      <c r="Q1089" s="33"/>
      <c r="R1089" s="33"/>
      <c r="S1089" s="33"/>
      <c r="T1089" s="33"/>
      <c r="U1089" s="33"/>
      <c r="V1089" s="33"/>
      <c r="W1089" s="33"/>
    </row>
    <row r="1090" spans="1:23" ht="16.5" customHeight="1" x14ac:dyDescent="0.2">
      <c r="A1090" s="35" t="s">
        <v>4128</v>
      </c>
      <c r="B1090" s="35" t="s">
        <v>4129</v>
      </c>
      <c r="C1090" s="35" t="s">
        <v>64</v>
      </c>
      <c r="D1090" s="35" t="s">
        <v>78</v>
      </c>
      <c r="E1090" s="35" t="s">
        <v>129</v>
      </c>
      <c r="F1090" s="28" t="e">
        <f ca="1">_xludf.ifna(VLOOKUP(G1090,Proyectos!$A$2:$F$674,6,0),"")</f>
        <v>#NAME?</v>
      </c>
      <c r="G1090" s="29" t="s">
        <v>5406</v>
      </c>
      <c r="H1090" s="30">
        <v>1</v>
      </c>
      <c r="I1090" s="30" t="s">
        <v>18</v>
      </c>
      <c r="J1090" s="31" t="s">
        <v>61</v>
      </c>
      <c r="K1090" s="32"/>
      <c r="L1090" s="32" t="e">
        <f ca="1">_xludf.ifna(VLOOKUP(E1090,Parámetros!$D$2:$E$34,2,0),"")</f>
        <v>#NAME?</v>
      </c>
      <c r="M1090" s="32" t="e">
        <f ca="1">_xludf.ifna(VLOOKUP(G1090,Proyectos!$A$2:$T$674,20,0),"")</f>
        <v>#NAME?</v>
      </c>
      <c r="N1090" s="32" t="e">
        <f ca="1">_xludf.ifna(VLOOKUP(G1090,Proyectos!$A$2:$S$674,19,0))</f>
        <v>#NAME?</v>
      </c>
      <c r="O1090" s="31"/>
      <c r="P1090" s="31"/>
      <c r="Q1090" s="33"/>
      <c r="R1090" s="33"/>
      <c r="S1090" s="33"/>
      <c r="T1090" s="33"/>
      <c r="U1090" s="33"/>
      <c r="V1090" s="33"/>
      <c r="W1090" s="33"/>
    </row>
    <row r="1091" spans="1:23" ht="16.5" customHeight="1" x14ac:dyDescent="0.2">
      <c r="A1091" s="56" t="s">
        <v>3955</v>
      </c>
      <c r="B1091" s="35" t="s">
        <v>3956</v>
      </c>
      <c r="C1091" s="35" t="s">
        <v>64</v>
      </c>
      <c r="D1091" s="80" t="s">
        <v>65</v>
      </c>
      <c r="E1091" s="93" t="s">
        <v>87</v>
      </c>
      <c r="F1091" s="28" t="e">
        <f ca="1">_xludf.ifna(VLOOKUP(G1091,Proyectos!$A$2:$F$674,6,0),"")</f>
        <v>#NAME?</v>
      </c>
      <c r="G1091" s="29" t="s">
        <v>5387</v>
      </c>
      <c r="H1091" s="30">
        <v>0.1</v>
      </c>
      <c r="I1091" s="30" t="s">
        <v>25</v>
      </c>
      <c r="J1091" s="31" t="s">
        <v>72</v>
      </c>
      <c r="K1091" s="32"/>
      <c r="L1091" s="32" t="e">
        <f ca="1">_xludf.ifna(VLOOKUP(E1091,Parámetros!$D$2:$E$34,2,0),"")</f>
        <v>#NAME?</v>
      </c>
      <c r="M1091" s="32" t="e">
        <f ca="1">_xludf.ifna(VLOOKUP(G1091,Proyectos!$A$2:$T$674,20,0),"")</f>
        <v>#NAME?</v>
      </c>
      <c r="N1091" s="32" t="e">
        <f ca="1">_xludf.ifna(VLOOKUP(G1091,Proyectos!$A$2:$S$674,19,0))</f>
        <v>#NAME?</v>
      </c>
      <c r="O1091" s="31"/>
      <c r="P1091" s="31"/>
      <c r="Q1091" s="33"/>
      <c r="R1091" s="33"/>
      <c r="S1091" s="33"/>
      <c r="T1091" s="33"/>
      <c r="U1091" s="33"/>
      <c r="V1091" s="33"/>
      <c r="W1091" s="33"/>
    </row>
    <row r="1092" spans="1:23" ht="16.5" customHeight="1" x14ac:dyDescent="0.2">
      <c r="A1092" s="56" t="s">
        <v>3955</v>
      </c>
      <c r="B1092" s="35" t="s">
        <v>3956</v>
      </c>
      <c r="C1092" s="35" t="s">
        <v>64</v>
      </c>
      <c r="D1092" s="80" t="s">
        <v>65</v>
      </c>
      <c r="E1092" s="93" t="s">
        <v>87</v>
      </c>
      <c r="F1092" s="28" t="e">
        <f ca="1">_xludf.ifna(VLOOKUP(G1092,Proyectos!$A$2:$F$674,6,0),"")</f>
        <v>#NAME?</v>
      </c>
      <c r="G1092" s="29" t="s">
        <v>5405</v>
      </c>
      <c r="H1092" s="30">
        <v>0.3</v>
      </c>
      <c r="I1092" s="30" t="s">
        <v>25</v>
      </c>
      <c r="J1092" s="31" t="s">
        <v>72</v>
      </c>
      <c r="K1092" s="32"/>
      <c r="L1092" s="32" t="e">
        <f ca="1">_xludf.ifna(VLOOKUP(E1092,Parámetros!$D$2:$E$34,2,0),"")</f>
        <v>#NAME?</v>
      </c>
      <c r="M1092" s="32" t="e">
        <f ca="1">_xludf.ifna(VLOOKUP(G1092,Proyectos!$A$2:$T$674,20,0),"")</f>
        <v>#NAME?</v>
      </c>
      <c r="N1092" s="32" t="e">
        <f ca="1">_xludf.ifna(VLOOKUP(G1092,Proyectos!$A$2:$S$674,19,0))</f>
        <v>#NAME?</v>
      </c>
      <c r="O1092" s="32"/>
      <c r="P1092" s="31"/>
      <c r="Q1092" s="33"/>
      <c r="R1092" s="33"/>
      <c r="S1092" s="33"/>
      <c r="T1092" s="33"/>
      <c r="U1092" s="33"/>
      <c r="V1092" s="33"/>
      <c r="W1092" s="33"/>
    </row>
    <row r="1093" spans="1:23" ht="16.5" customHeight="1" x14ac:dyDescent="0.2">
      <c r="A1093" s="56" t="s">
        <v>3955</v>
      </c>
      <c r="B1093" s="35" t="s">
        <v>3956</v>
      </c>
      <c r="C1093" s="35" t="s">
        <v>64</v>
      </c>
      <c r="D1093" s="80" t="s">
        <v>65</v>
      </c>
      <c r="E1093" s="93" t="s">
        <v>87</v>
      </c>
      <c r="F1093" s="28" t="e">
        <f ca="1">_xludf.ifna(VLOOKUP(G1093,Proyectos!$A$2:$F$674,6,0),"")</f>
        <v>#NAME?</v>
      </c>
      <c r="G1093" s="29" t="s">
        <v>5404</v>
      </c>
      <c r="H1093" s="30">
        <v>0.3</v>
      </c>
      <c r="I1093" s="30" t="s">
        <v>25</v>
      </c>
      <c r="J1093" s="31" t="s">
        <v>72</v>
      </c>
      <c r="K1093" s="32"/>
      <c r="L1093" s="32" t="e">
        <f ca="1">_xludf.ifna(VLOOKUP(E1093,Parámetros!$D$2:$E$34,2,0),"")</f>
        <v>#NAME?</v>
      </c>
      <c r="M1093" s="32" t="e">
        <f ca="1">_xludf.ifna(VLOOKUP(G1093,Proyectos!$A$2:$T$674,20,0),"")</f>
        <v>#NAME?</v>
      </c>
      <c r="N1093" s="32" t="e">
        <f ca="1">_xludf.ifna(VLOOKUP(G1093,Proyectos!$A$2:$S$674,19,0))</f>
        <v>#NAME?</v>
      </c>
      <c r="O1093" s="31"/>
      <c r="P1093" s="31"/>
      <c r="Q1093" s="33"/>
      <c r="R1093" s="33"/>
      <c r="S1093" s="33"/>
      <c r="T1093" s="33"/>
      <c r="U1093" s="33"/>
      <c r="V1093" s="33"/>
      <c r="W1093" s="33"/>
    </row>
    <row r="1094" spans="1:23" ht="16.5" customHeight="1" x14ac:dyDescent="0.2">
      <c r="A1094" s="56" t="s">
        <v>3955</v>
      </c>
      <c r="B1094" s="35" t="s">
        <v>3956</v>
      </c>
      <c r="C1094" s="35" t="s">
        <v>64</v>
      </c>
      <c r="D1094" s="80" t="s">
        <v>65</v>
      </c>
      <c r="E1094" s="93" t="s">
        <v>87</v>
      </c>
      <c r="F1094" s="28" t="e">
        <f ca="1">_xludf.ifna(VLOOKUP(G1094,Proyectos!$A$2:$F$674,6,0),"")</f>
        <v>#NAME?</v>
      </c>
      <c r="G1094" s="29" t="s">
        <v>5114</v>
      </c>
      <c r="H1094" s="30">
        <v>0.3</v>
      </c>
      <c r="I1094" s="30" t="s">
        <v>25</v>
      </c>
      <c r="J1094" s="31" t="s">
        <v>72</v>
      </c>
      <c r="K1094" s="32"/>
      <c r="L1094" s="32" t="e">
        <f ca="1">_xludf.ifna(VLOOKUP(E1094,Parámetros!$D$2:$E$34,2,0),"")</f>
        <v>#NAME?</v>
      </c>
      <c r="M1094" s="32" t="e">
        <f ca="1">_xludf.ifna(VLOOKUP(G1094,Proyectos!$A$2:$T$674,20,0),"")</f>
        <v>#NAME?</v>
      </c>
      <c r="N1094" s="32" t="e">
        <f ca="1">_xludf.ifna(VLOOKUP(G1094,Proyectos!$A$2:$S$674,19,0))</f>
        <v>#NAME?</v>
      </c>
      <c r="O1094" s="31"/>
      <c r="P1094" s="31"/>
      <c r="Q1094" s="33"/>
      <c r="R1094" s="33"/>
      <c r="S1094" s="33"/>
      <c r="T1094" s="33"/>
      <c r="U1094" s="33"/>
      <c r="V1094" s="33"/>
      <c r="W1094" s="33"/>
    </row>
    <row r="1095" spans="1:23" ht="16.5" customHeight="1" x14ac:dyDescent="0.2">
      <c r="A1095" s="35" t="s">
        <v>3468</v>
      </c>
      <c r="B1095" s="35" t="s">
        <v>3469</v>
      </c>
      <c r="C1095" s="35" t="s">
        <v>64</v>
      </c>
      <c r="D1095" s="35" t="s">
        <v>65</v>
      </c>
      <c r="E1095" s="35" t="s">
        <v>39</v>
      </c>
      <c r="F1095" s="28" t="e">
        <f ca="1">_xludf.ifna(VLOOKUP(G1095,Proyectos!$A$2:$F$674,6,0),"")</f>
        <v>#NAME?</v>
      </c>
      <c r="G1095" s="29" t="s">
        <v>5405</v>
      </c>
      <c r="H1095" s="30">
        <v>0.5</v>
      </c>
      <c r="I1095" s="30" t="s">
        <v>18</v>
      </c>
      <c r="J1095" s="31" t="s">
        <v>61</v>
      </c>
      <c r="K1095" s="32"/>
      <c r="L1095" s="32" t="e">
        <f ca="1">_xludf.ifna(VLOOKUP(E1095,Parámetros!$D$2:$E$34,2,0),"")</f>
        <v>#NAME?</v>
      </c>
      <c r="M1095" s="32" t="e">
        <f ca="1">_xludf.ifna(VLOOKUP(G1095,Proyectos!$A$2:$T$674,20,0),"")</f>
        <v>#NAME?</v>
      </c>
      <c r="N1095" s="32" t="e">
        <f ca="1">_xludf.ifna(VLOOKUP(G1095,Proyectos!$A$2:$S$674,19,0))</f>
        <v>#NAME?</v>
      </c>
      <c r="O1095" s="32"/>
      <c r="P1095" s="31"/>
      <c r="Q1095" s="33"/>
      <c r="R1095" s="33"/>
      <c r="S1095" s="33"/>
      <c r="T1095" s="33"/>
      <c r="U1095" s="33"/>
      <c r="V1095" s="33"/>
      <c r="W1095" s="33"/>
    </row>
    <row r="1096" spans="1:23" ht="16.5" customHeight="1" x14ac:dyDescent="0.2">
      <c r="A1096" s="35" t="s">
        <v>3468</v>
      </c>
      <c r="B1096" s="35" t="s">
        <v>3469</v>
      </c>
      <c r="C1096" s="35" t="s">
        <v>64</v>
      </c>
      <c r="D1096" s="35" t="s">
        <v>65</v>
      </c>
      <c r="E1096" s="35" t="s">
        <v>39</v>
      </c>
      <c r="F1096" s="28" t="e">
        <f ca="1">_xludf.ifna(VLOOKUP(G1096,Proyectos!$A$2:$F$674,6,0),"")</f>
        <v>#NAME?</v>
      </c>
      <c r="G1096" s="29" t="s">
        <v>5404</v>
      </c>
      <c r="H1096" s="30">
        <v>0.1</v>
      </c>
      <c r="I1096" s="30" t="s">
        <v>18</v>
      </c>
      <c r="J1096" s="31" t="s">
        <v>61</v>
      </c>
      <c r="K1096" s="32"/>
      <c r="L1096" s="32" t="e">
        <f ca="1">_xludf.ifna(VLOOKUP(E1096,Parámetros!$D$2:$E$34,2,0),"")</f>
        <v>#NAME?</v>
      </c>
      <c r="M1096" s="32" t="e">
        <f ca="1">_xludf.ifna(VLOOKUP(G1096,Proyectos!$A$2:$T$674,20,0),"")</f>
        <v>#NAME?</v>
      </c>
      <c r="N1096" s="32" t="e">
        <f ca="1">_xludf.ifna(VLOOKUP(G1096,Proyectos!$A$2:$S$674,19,0))</f>
        <v>#NAME?</v>
      </c>
      <c r="O1096" s="32"/>
      <c r="P1096" s="31"/>
      <c r="Q1096" s="33"/>
      <c r="R1096" s="33"/>
      <c r="S1096" s="33"/>
      <c r="T1096" s="33"/>
      <c r="U1096" s="33"/>
      <c r="V1096" s="33"/>
      <c r="W1096" s="33"/>
    </row>
    <row r="1097" spans="1:23" ht="16.5" customHeight="1" x14ac:dyDescent="0.2">
      <c r="A1097" s="35" t="s">
        <v>3468</v>
      </c>
      <c r="B1097" s="35" t="s">
        <v>3469</v>
      </c>
      <c r="C1097" s="35" t="s">
        <v>64</v>
      </c>
      <c r="D1097" s="35" t="s">
        <v>65</v>
      </c>
      <c r="E1097" s="35" t="s">
        <v>39</v>
      </c>
      <c r="F1097" s="28" t="e">
        <f ca="1">_xludf.ifna(VLOOKUP(G1097,Proyectos!$A$2:$F$674,6,0),"")</f>
        <v>#NAME?</v>
      </c>
      <c r="G1097" s="29" t="s">
        <v>5114</v>
      </c>
      <c r="H1097" s="30">
        <v>0.4</v>
      </c>
      <c r="I1097" s="30" t="s">
        <v>18</v>
      </c>
      <c r="J1097" s="31" t="s">
        <v>61</v>
      </c>
      <c r="K1097" s="32"/>
      <c r="L1097" s="32" t="e">
        <f ca="1">_xludf.ifna(VLOOKUP(E1097,Parámetros!$D$2:$E$34,2,0),"")</f>
        <v>#NAME?</v>
      </c>
      <c r="M1097" s="32" t="e">
        <f ca="1">_xludf.ifna(VLOOKUP(G1097,Proyectos!$A$2:$T$674,20,0),"")</f>
        <v>#NAME?</v>
      </c>
      <c r="N1097" s="32" t="e">
        <f ca="1">_xludf.ifna(VLOOKUP(G1097,Proyectos!$A$2:$S$674,19,0))</f>
        <v>#NAME?</v>
      </c>
      <c r="O1097" s="31"/>
      <c r="P1097" s="31"/>
      <c r="Q1097" s="33"/>
      <c r="R1097" s="33"/>
      <c r="S1097" s="33"/>
      <c r="T1097" s="33"/>
      <c r="U1097" s="33"/>
      <c r="V1097" s="33"/>
      <c r="W1097" s="33"/>
    </row>
    <row r="1098" spans="1:23" ht="16.5" customHeight="1" x14ac:dyDescent="0.2">
      <c r="A1098" s="35" t="s">
        <v>4376</v>
      </c>
      <c r="B1098" s="35" t="s">
        <v>4377</v>
      </c>
      <c r="C1098" s="35" t="s">
        <v>64</v>
      </c>
      <c r="D1098" s="35" t="s">
        <v>78</v>
      </c>
      <c r="E1098" s="35" t="s">
        <v>83</v>
      </c>
      <c r="F1098" s="28" t="e">
        <f ca="1">_xludf.ifna(VLOOKUP(G1098,Proyectos!$A$2:$F$674,6,0),"")</f>
        <v>#NAME?</v>
      </c>
      <c r="G1098" s="29" t="s">
        <v>5411</v>
      </c>
      <c r="H1098" s="30">
        <v>1</v>
      </c>
      <c r="I1098" s="30" t="s">
        <v>25</v>
      </c>
      <c r="J1098" s="31" t="s">
        <v>72</v>
      </c>
      <c r="K1098" s="32"/>
      <c r="L1098" s="32" t="e">
        <f ca="1">_xludf.ifna(VLOOKUP(E1098,Parámetros!$D$2:$E$34,2,0),"")</f>
        <v>#NAME?</v>
      </c>
      <c r="M1098" s="32" t="e">
        <f ca="1">_xludf.ifna(VLOOKUP(G1098,Proyectos!$A$2:$T$674,20,0),"")</f>
        <v>#NAME?</v>
      </c>
      <c r="N1098" s="32" t="e">
        <f ca="1">_xludf.ifna(VLOOKUP(G1098,Proyectos!$A$2:$S$674,19,0))</f>
        <v>#NAME?</v>
      </c>
      <c r="O1098" s="31"/>
      <c r="P1098" s="31"/>
      <c r="Q1098" s="33"/>
      <c r="R1098" s="33"/>
      <c r="S1098" s="33"/>
      <c r="T1098" s="33"/>
      <c r="U1098" s="33"/>
      <c r="V1098" s="33"/>
      <c r="W1098" s="33"/>
    </row>
    <row r="1099" spans="1:23" ht="16.5" customHeight="1" x14ac:dyDescent="0.2">
      <c r="A1099" s="35" t="s">
        <v>4147</v>
      </c>
      <c r="B1099" s="35" t="s">
        <v>4148</v>
      </c>
      <c r="C1099" s="35" t="s">
        <v>64</v>
      </c>
      <c r="D1099" s="35" t="s">
        <v>78</v>
      </c>
      <c r="E1099" s="35" t="s">
        <v>9</v>
      </c>
      <c r="F1099" s="28" t="e">
        <f ca="1">_xludf.ifna(VLOOKUP(G1099,Proyectos!$A$2:$F$674,6,0),"")</f>
        <v>#NAME?</v>
      </c>
      <c r="G1099" s="29" t="s">
        <v>5411</v>
      </c>
      <c r="H1099" s="30">
        <v>1</v>
      </c>
      <c r="I1099" s="30" t="s">
        <v>18</v>
      </c>
      <c r="J1099" s="31" t="s">
        <v>12</v>
      </c>
      <c r="K1099" s="31"/>
      <c r="L1099" s="32" t="e">
        <f ca="1">_xludf.ifna(VLOOKUP(E1099,Parámetros!$D$2:$E$34,2,0),"")</f>
        <v>#NAME?</v>
      </c>
      <c r="M1099" s="32" t="e">
        <f ca="1">_xludf.ifna(VLOOKUP(G1099,Proyectos!$A$2:$T$674,20,0),"")</f>
        <v>#NAME?</v>
      </c>
      <c r="N1099" s="32" t="e">
        <f ca="1">_xludf.ifna(VLOOKUP(G1099,Proyectos!$A$2:$S$674,19,0))</f>
        <v>#NAME?</v>
      </c>
      <c r="O1099" s="31"/>
      <c r="P1099" s="31"/>
      <c r="Q1099" s="33"/>
      <c r="R1099" s="33"/>
      <c r="S1099" s="33"/>
      <c r="T1099" s="33"/>
      <c r="U1099" s="33"/>
      <c r="V1099" s="33"/>
      <c r="W1099" s="33"/>
    </row>
    <row r="1100" spans="1:23" ht="16.5" customHeight="1" x14ac:dyDescent="0.2">
      <c r="A1100" s="35" t="s">
        <v>4798</v>
      </c>
      <c r="B1100" s="35" t="s">
        <v>4799</v>
      </c>
      <c r="C1100" s="35" t="s">
        <v>64</v>
      </c>
      <c r="D1100" s="35" t="s">
        <v>65</v>
      </c>
      <c r="E1100" s="35" t="s">
        <v>39</v>
      </c>
      <c r="F1100" s="28" t="e">
        <f ca="1">_xludf.ifna(VLOOKUP(G1100,Proyectos!$A$2:$F$674,6,0),"")</f>
        <v>#NAME?</v>
      </c>
      <c r="G1100" s="29" t="s">
        <v>5404</v>
      </c>
      <c r="H1100" s="30">
        <v>1</v>
      </c>
      <c r="I1100" s="30" t="s">
        <v>18</v>
      </c>
      <c r="J1100" s="31" t="s">
        <v>19</v>
      </c>
      <c r="K1100" s="32"/>
      <c r="L1100" s="32" t="e">
        <f ca="1">_xludf.ifna(VLOOKUP(E1100,Parámetros!$D$2:$E$34,2,0),"")</f>
        <v>#NAME?</v>
      </c>
      <c r="M1100" s="32" t="e">
        <f ca="1">_xludf.ifna(VLOOKUP(G1100,Proyectos!$A$2:$T$674,20,0),"")</f>
        <v>#NAME?</v>
      </c>
      <c r="N1100" s="32" t="e">
        <f ca="1">_xludf.ifna(VLOOKUP(G1100,Proyectos!$A$2:$S$674,19,0))</f>
        <v>#NAME?</v>
      </c>
      <c r="O1100" s="32"/>
      <c r="P1100" s="31"/>
      <c r="Q1100" s="33"/>
      <c r="R1100" s="33"/>
      <c r="S1100" s="33"/>
      <c r="T1100" s="33"/>
      <c r="U1100" s="33"/>
      <c r="V1100" s="33"/>
      <c r="W1100" s="33"/>
    </row>
    <row r="1101" spans="1:23" ht="16.5" customHeight="1" x14ac:dyDescent="0.2">
      <c r="A1101" s="26" t="s">
        <v>4286</v>
      </c>
      <c r="B1101" s="26" t="s">
        <v>5412</v>
      </c>
      <c r="C1101" s="26" t="s">
        <v>115</v>
      </c>
      <c r="D1101" s="26" t="s">
        <v>122</v>
      </c>
      <c r="E1101" s="26" t="s">
        <v>120</v>
      </c>
      <c r="F1101" s="28" t="e">
        <f ca="1">_xludf.ifna(VLOOKUP(G1101,Proyectos!$A$2:$F$674,6,0),"")</f>
        <v>#NAME?</v>
      </c>
      <c r="G1101" s="26" t="s">
        <v>5413</v>
      </c>
      <c r="H1101" s="32">
        <v>1</v>
      </c>
      <c r="I1101" s="31" t="s">
        <v>18</v>
      </c>
      <c r="J1101" s="31" t="s">
        <v>12</v>
      </c>
      <c r="K1101" s="32"/>
      <c r="L1101" s="32" t="e">
        <f ca="1">_xludf.ifna(VLOOKUP(E1101,Parámetros!$D$2:$E$34,2,0),"")</f>
        <v>#NAME?</v>
      </c>
      <c r="M1101" s="32" t="e">
        <f ca="1">_xludf.ifna(VLOOKUP(G1101,Proyectos!$A$2:$T$674,20,0),"")</f>
        <v>#NAME?</v>
      </c>
      <c r="N1101" s="32" t="e">
        <f ca="1">_xludf.ifna(VLOOKUP(G1101,Proyectos!$A$2:$S$674,19,0))</f>
        <v>#NAME?</v>
      </c>
      <c r="O1101" s="31"/>
      <c r="P1101" s="31"/>
      <c r="Q1101" s="33"/>
      <c r="R1101" s="33"/>
      <c r="S1101" s="33"/>
      <c r="T1101" s="63">
        <f t="shared" ref="T1101:T1220" si="11">IF(B1101=B1100,0,1)</f>
        <v>1</v>
      </c>
      <c r="U1101" s="33"/>
      <c r="V1101" s="33"/>
      <c r="W1101" s="33"/>
    </row>
    <row r="1102" spans="1:23" ht="16.5" customHeight="1" x14ac:dyDescent="0.2">
      <c r="A1102" s="26" t="s">
        <v>4465</v>
      </c>
      <c r="B1102" s="26" t="s">
        <v>4466</v>
      </c>
      <c r="C1102" s="26" t="s">
        <v>115</v>
      </c>
      <c r="D1102" s="26" t="s">
        <v>122</v>
      </c>
      <c r="E1102" s="26" t="s">
        <v>83</v>
      </c>
      <c r="F1102" s="28" t="e">
        <f ca="1">_xludf.ifna(VLOOKUP(G1102,Proyectos!$A$2:$F$674,6,0),"")</f>
        <v>#NAME?</v>
      </c>
      <c r="G1102" s="26" t="s">
        <v>5414</v>
      </c>
      <c r="H1102" s="32">
        <v>1</v>
      </c>
      <c r="I1102" s="31" t="s">
        <v>25</v>
      </c>
      <c r="J1102" s="31" t="s">
        <v>26</v>
      </c>
      <c r="K1102" s="32"/>
      <c r="L1102" s="32" t="e">
        <f ca="1">_xludf.ifna(VLOOKUP(E1102,Parámetros!$D$2:$E$34,2,0),"")</f>
        <v>#NAME?</v>
      </c>
      <c r="M1102" s="32" t="e">
        <f ca="1">_xludf.ifna(VLOOKUP(G1102,Proyectos!$A$2:$T$674,20,0),"")</f>
        <v>#NAME?</v>
      </c>
      <c r="N1102" s="32" t="e">
        <f ca="1">_xludf.ifna(VLOOKUP(G1102,Proyectos!$A$2:$S$674,19,0))</f>
        <v>#NAME?</v>
      </c>
      <c r="O1102" s="32"/>
      <c r="P1102" s="31"/>
      <c r="Q1102" s="33"/>
      <c r="R1102" s="33"/>
      <c r="S1102" s="33"/>
      <c r="T1102" s="63">
        <f t="shared" si="11"/>
        <v>1</v>
      </c>
      <c r="U1102" s="33"/>
      <c r="V1102" s="33"/>
      <c r="W1102" s="33"/>
    </row>
    <row r="1103" spans="1:23" ht="16.5" customHeight="1" x14ac:dyDescent="0.2">
      <c r="A1103" s="26" t="s">
        <v>3906</v>
      </c>
      <c r="B1103" s="26" t="s">
        <v>3907</v>
      </c>
      <c r="C1103" s="26" t="s">
        <v>115</v>
      </c>
      <c r="D1103" s="26" t="s">
        <v>122</v>
      </c>
      <c r="E1103" s="26" t="s">
        <v>129</v>
      </c>
      <c r="F1103" s="28" t="e">
        <f ca="1">_xludf.ifna(VLOOKUP(G1103,Proyectos!$A$2:$F$674,6,0),"")</f>
        <v>#NAME?</v>
      </c>
      <c r="G1103" s="29" t="s">
        <v>5114</v>
      </c>
      <c r="H1103" s="44">
        <v>1</v>
      </c>
      <c r="I1103" s="31" t="s">
        <v>18</v>
      </c>
      <c r="J1103" s="31" t="s">
        <v>61</v>
      </c>
      <c r="K1103" s="32"/>
      <c r="L1103" s="32" t="e">
        <f ca="1">_xludf.ifna(VLOOKUP(E1103,Parámetros!$D$2:$E$34,2,0),"")</f>
        <v>#NAME?</v>
      </c>
      <c r="M1103" s="32" t="e">
        <f ca="1">_xludf.ifna(VLOOKUP(G1103,Proyectos!$A$2:$T$674,20,0),"")</f>
        <v>#NAME?</v>
      </c>
      <c r="N1103" s="32" t="e">
        <f ca="1">_xludf.ifna(VLOOKUP(G1103,Proyectos!$A$2:$S$674,19,0))</f>
        <v>#NAME?</v>
      </c>
      <c r="O1103" s="31"/>
      <c r="P1103" s="31"/>
      <c r="Q1103" s="33"/>
      <c r="R1103" s="33"/>
      <c r="S1103" s="33"/>
      <c r="T1103" s="63">
        <f t="shared" si="11"/>
        <v>1</v>
      </c>
      <c r="U1103" s="33"/>
      <c r="V1103" s="33"/>
      <c r="W1103" s="33"/>
    </row>
    <row r="1104" spans="1:23" ht="16.5" customHeight="1" x14ac:dyDescent="0.2">
      <c r="A1104" s="26" t="s">
        <v>4934</v>
      </c>
      <c r="B1104" s="26" t="s">
        <v>4935</v>
      </c>
      <c r="C1104" s="26" t="s">
        <v>115</v>
      </c>
      <c r="D1104" s="26" t="s">
        <v>122</v>
      </c>
      <c r="E1104" s="26" t="s">
        <v>129</v>
      </c>
      <c r="F1104" s="28" t="e">
        <f ca="1">_xludf.ifna(VLOOKUP(G1104,Proyectos!$A$2:$F$674,6,0),"")</f>
        <v>#NAME?</v>
      </c>
      <c r="G1104" s="29" t="s">
        <v>5114</v>
      </c>
      <c r="H1104" s="44">
        <v>1</v>
      </c>
      <c r="I1104" s="31" t="s">
        <v>18</v>
      </c>
      <c r="J1104" s="31" t="s">
        <v>61</v>
      </c>
      <c r="K1104" s="32"/>
      <c r="L1104" s="32" t="e">
        <f ca="1">_xludf.ifna(VLOOKUP(E1104,Parámetros!$D$2:$E$34,2,0),"")</f>
        <v>#NAME?</v>
      </c>
      <c r="M1104" s="32" t="e">
        <f ca="1">_xludf.ifna(VLOOKUP(G1104,Proyectos!$A$2:$T$674,20,0),"")</f>
        <v>#NAME?</v>
      </c>
      <c r="N1104" s="32" t="e">
        <f ca="1">_xludf.ifna(VLOOKUP(G1104,Proyectos!$A$2:$S$674,19,0))</f>
        <v>#NAME?</v>
      </c>
      <c r="O1104" s="32"/>
      <c r="P1104" s="31"/>
      <c r="Q1104" s="33"/>
      <c r="R1104" s="33"/>
      <c r="S1104" s="33"/>
      <c r="T1104" s="63">
        <f t="shared" si="11"/>
        <v>1</v>
      </c>
      <c r="U1104" s="33"/>
      <c r="V1104" s="33"/>
      <c r="W1104" s="33"/>
    </row>
    <row r="1105" spans="1:23" ht="16.5" customHeight="1" x14ac:dyDescent="0.2">
      <c r="A1105" s="27" t="s">
        <v>3510</v>
      </c>
      <c r="B1105" s="26" t="s">
        <v>3511</v>
      </c>
      <c r="C1105" s="26" t="s">
        <v>115</v>
      </c>
      <c r="D1105" s="26" t="s">
        <v>122</v>
      </c>
      <c r="E1105" s="27" t="s">
        <v>39</v>
      </c>
      <c r="F1105" s="28" t="e">
        <f ca="1">_xludf.ifna(VLOOKUP(G1105,Proyectos!$A$2:$F$674,6,0),"")</f>
        <v>#NAME?</v>
      </c>
      <c r="G1105" s="26" t="s">
        <v>5415</v>
      </c>
      <c r="H1105" s="32">
        <v>1</v>
      </c>
      <c r="I1105" s="31" t="s">
        <v>18</v>
      </c>
      <c r="J1105" s="31" t="s">
        <v>61</v>
      </c>
      <c r="K1105" s="32"/>
      <c r="L1105" s="32" t="e">
        <f ca="1">_xludf.ifna(VLOOKUP(E1105,Parámetros!$D$2:$E$34,2,0),"")</f>
        <v>#NAME?</v>
      </c>
      <c r="M1105" s="32" t="e">
        <f ca="1">_xludf.ifna(VLOOKUP(G1105,Proyectos!$A$2:$T$674,20,0),"")</f>
        <v>#NAME?</v>
      </c>
      <c r="N1105" s="32" t="e">
        <f ca="1">_xludf.ifna(VLOOKUP(G1105,Proyectos!$A$2:$S$674,19,0))</f>
        <v>#NAME?</v>
      </c>
      <c r="O1105" s="32"/>
      <c r="P1105" s="31"/>
      <c r="Q1105" s="33"/>
      <c r="R1105" s="33"/>
      <c r="S1105" s="33"/>
      <c r="T1105" s="63">
        <f t="shared" si="11"/>
        <v>1</v>
      </c>
      <c r="U1105" s="33"/>
      <c r="V1105" s="33"/>
      <c r="W1105" s="33"/>
    </row>
    <row r="1106" spans="1:23" ht="16.5" customHeight="1" x14ac:dyDescent="0.2">
      <c r="A1106" s="26" t="s">
        <v>3733</v>
      </c>
      <c r="B1106" s="26" t="s">
        <v>3734</v>
      </c>
      <c r="C1106" s="26" t="s">
        <v>115</v>
      </c>
      <c r="D1106" s="26" t="s">
        <v>122</v>
      </c>
      <c r="E1106" s="26" t="s">
        <v>39</v>
      </c>
      <c r="F1106" s="28" t="e">
        <f ca="1">_xludf.ifna(VLOOKUP(G1106,Proyectos!$A$2:$F$674,6,0),"")</f>
        <v>#NAME?</v>
      </c>
      <c r="G1106" s="26" t="s">
        <v>5415</v>
      </c>
      <c r="H1106" s="32">
        <v>1</v>
      </c>
      <c r="I1106" s="31" t="s">
        <v>18</v>
      </c>
      <c r="J1106" s="31" t="s">
        <v>19</v>
      </c>
      <c r="K1106" s="32"/>
      <c r="L1106" s="32" t="e">
        <f ca="1">_xludf.ifna(VLOOKUP(E1106,Parámetros!$D$2:$E$34,2,0),"")</f>
        <v>#NAME?</v>
      </c>
      <c r="M1106" s="32" t="e">
        <f ca="1">_xludf.ifna(VLOOKUP(G1106,Proyectos!$A$2:$T$674,20,0),"")</f>
        <v>#NAME?</v>
      </c>
      <c r="N1106" s="32" t="e">
        <f ca="1">_xludf.ifna(VLOOKUP(G1106,Proyectos!$A$2:$S$674,19,0))</f>
        <v>#NAME?</v>
      </c>
      <c r="O1106" s="31"/>
      <c r="P1106" s="31"/>
      <c r="Q1106" s="33"/>
      <c r="R1106" s="33"/>
      <c r="S1106" s="33"/>
      <c r="T1106" s="63">
        <f t="shared" si="11"/>
        <v>1</v>
      </c>
      <c r="U1106" s="33"/>
      <c r="V1106" s="33"/>
      <c r="W1106" s="33"/>
    </row>
    <row r="1107" spans="1:23" ht="16.5" customHeight="1" x14ac:dyDescent="0.2">
      <c r="A1107" s="27" t="s">
        <v>3787</v>
      </c>
      <c r="B1107" s="26" t="s">
        <v>3788</v>
      </c>
      <c r="C1107" s="26" t="s">
        <v>115</v>
      </c>
      <c r="D1107" s="26" t="s">
        <v>122</v>
      </c>
      <c r="E1107" s="27" t="s">
        <v>39</v>
      </c>
      <c r="F1107" s="28" t="e">
        <f ca="1">_xludf.ifna(VLOOKUP(G1107,Proyectos!$A$2:$F$674,6,0),"")</f>
        <v>#NAME?</v>
      </c>
      <c r="G1107" s="26" t="s">
        <v>5416</v>
      </c>
      <c r="H1107" s="32">
        <v>0.2</v>
      </c>
      <c r="I1107" s="31" t="s">
        <v>18</v>
      </c>
      <c r="J1107" s="31" t="s">
        <v>61</v>
      </c>
      <c r="K1107" s="32"/>
      <c r="L1107" s="32" t="e">
        <f ca="1">_xludf.ifna(VLOOKUP(E1107,Parámetros!$D$2:$E$34,2,0),"")</f>
        <v>#NAME?</v>
      </c>
      <c r="M1107" s="32" t="e">
        <f ca="1">_xludf.ifna(VLOOKUP(G1107,Proyectos!$A$2:$T$674,20,0),"")</f>
        <v>#NAME?</v>
      </c>
      <c r="N1107" s="32" t="e">
        <f ca="1">_xludf.ifna(VLOOKUP(G1107,Proyectos!$A$2:$S$674,19,0))</f>
        <v>#NAME?</v>
      </c>
      <c r="O1107" s="32"/>
      <c r="P1107" s="31"/>
      <c r="Q1107" s="33"/>
      <c r="R1107" s="33"/>
      <c r="S1107" s="33"/>
      <c r="T1107" s="63">
        <f t="shared" si="11"/>
        <v>1</v>
      </c>
      <c r="U1107" s="33"/>
      <c r="V1107" s="33"/>
      <c r="W1107" s="33"/>
    </row>
    <row r="1108" spans="1:23" ht="16.5" customHeight="1" x14ac:dyDescent="0.2">
      <c r="A1108" s="26" t="s">
        <v>3787</v>
      </c>
      <c r="B1108" s="26" t="s">
        <v>3788</v>
      </c>
      <c r="C1108" s="26" t="s">
        <v>115</v>
      </c>
      <c r="D1108" s="26" t="s">
        <v>122</v>
      </c>
      <c r="E1108" s="26" t="s">
        <v>39</v>
      </c>
      <c r="F1108" s="28" t="e">
        <f ca="1">_xludf.ifna(VLOOKUP(G1108,Proyectos!$A$2:$F$674,6,0),"")</f>
        <v>#NAME?</v>
      </c>
      <c r="G1108" s="26" t="s">
        <v>5116</v>
      </c>
      <c r="H1108" s="32">
        <v>0.2</v>
      </c>
      <c r="I1108" s="31" t="s">
        <v>18</v>
      </c>
      <c r="J1108" s="31" t="s">
        <v>61</v>
      </c>
      <c r="K1108" s="32"/>
      <c r="L1108" s="32" t="e">
        <f ca="1">_xludf.ifna(VLOOKUP(E1108,Parámetros!$D$2:$E$34,2,0),"")</f>
        <v>#NAME?</v>
      </c>
      <c r="M1108" s="32" t="e">
        <f ca="1">_xludf.ifna(VLOOKUP(G1108,Proyectos!$A$2:$T$674,20,0),"")</f>
        <v>#NAME?</v>
      </c>
      <c r="N1108" s="32" t="e">
        <f ca="1">_xludf.ifna(VLOOKUP(G1108,Proyectos!$A$2:$S$674,19,0))</f>
        <v>#NAME?</v>
      </c>
      <c r="O1108" s="31"/>
      <c r="P1108" s="31"/>
      <c r="Q1108" s="33"/>
      <c r="R1108" s="33"/>
      <c r="S1108" s="33"/>
      <c r="T1108" s="63">
        <f t="shared" si="11"/>
        <v>0</v>
      </c>
      <c r="U1108" s="33"/>
      <c r="V1108" s="33"/>
      <c r="W1108" s="33"/>
    </row>
    <row r="1109" spans="1:23" ht="16.5" customHeight="1" x14ac:dyDescent="0.2">
      <c r="A1109" s="26" t="s">
        <v>3962</v>
      </c>
      <c r="B1109" s="26" t="s">
        <v>3963</v>
      </c>
      <c r="C1109" s="26" t="s">
        <v>115</v>
      </c>
      <c r="D1109" s="26" t="s">
        <v>122</v>
      </c>
      <c r="E1109" s="26" t="s">
        <v>114</v>
      </c>
      <c r="F1109" s="28" t="e">
        <f ca="1">_xludf.ifna(VLOOKUP(G1109,Proyectos!$A$2:$F$674,6,0),"")</f>
        <v>#NAME?</v>
      </c>
      <c r="G1109" s="26" t="s">
        <v>5413</v>
      </c>
      <c r="H1109" s="32">
        <v>0.2</v>
      </c>
      <c r="I1109" s="31" t="s">
        <v>25</v>
      </c>
      <c r="J1109" s="31" t="s">
        <v>67</v>
      </c>
      <c r="K1109" s="32"/>
      <c r="L1109" s="32" t="e">
        <f ca="1">_xludf.ifna(VLOOKUP(E1109,Parámetros!$D$2:$E$34,2,0),"")</f>
        <v>#NAME?</v>
      </c>
      <c r="M1109" s="32" t="e">
        <f ca="1">_xludf.ifna(VLOOKUP(G1109,Proyectos!$A$2:$T$674,20,0),"")</f>
        <v>#NAME?</v>
      </c>
      <c r="N1109" s="32" t="e">
        <f ca="1">_xludf.ifna(VLOOKUP(G1109,Proyectos!$A$2:$S$674,19,0))</f>
        <v>#NAME?</v>
      </c>
      <c r="O1109" s="31"/>
      <c r="P1109" s="31"/>
      <c r="Q1109" s="33"/>
      <c r="R1109" s="33"/>
      <c r="S1109" s="33"/>
      <c r="T1109" s="63">
        <f t="shared" si="11"/>
        <v>1</v>
      </c>
      <c r="U1109" s="33"/>
      <c r="V1109" s="33"/>
      <c r="W1109" s="33"/>
    </row>
    <row r="1110" spans="1:23" ht="16.5" customHeight="1" x14ac:dyDescent="0.2">
      <c r="A1110" s="26" t="s">
        <v>3962</v>
      </c>
      <c r="B1110" s="26" t="s">
        <v>3963</v>
      </c>
      <c r="C1110" s="26" t="s">
        <v>115</v>
      </c>
      <c r="D1110" s="26" t="s">
        <v>122</v>
      </c>
      <c r="E1110" s="26" t="s">
        <v>114</v>
      </c>
      <c r="F1110" s="28" t="e">
        <f ca="1">_xludf.ifna(VLOOKUP(G1110,Proyectos!$A$2:$F$674,6,0),"")</f>
        <v>#NAME?</v>
      </c>
      <c r="G1110" s="26" t="s">
        <v>5414</v>
      </c>
      <c r="H1110" s="32">
        <v>0.5</v>
      </c>
      <c r="I1110" s="31" t="s">
        <v>25</v>
      </c>
      <c r="J1110" s="31" t="s">
        <v>61</v>
      </c>
      <c r="K1110" s="32"/>
      <c r="L1110" s="32" t="e">
        <f ca="1">_xludf.ifna(VLOOKUP(E1110,Parámetros!$D$2:$E$34,2,0),"")</f>
        <v>#NAME?</v>
      </c>
      <c r="M1110" s="32" t="e">
        <f ca="1">_xludf.ifna(VLOOKUP(G1110,Proyectos!$A$2:$T$674,20,0),"")</f>
        <v>#NAME?</v>
      </c>
      <c r="N1110" s="32" t="e">
        <f ca="1">_xludf.ifna(VLOOKUP(G1110,Proyectos!$A$2:$S$674,19,0))</f>
        <v>#NAME?</v>
      </c>
      <c r="O1110" s="31"/>
      <c r="P1110" s="31"/>
      <c r="Q1110" s="33"/>
      <c r="R1110" s="33"/>
      <c r="S1110" s="33"/>
      <c r="T1110" s="63">
        <f t="shared" si="11"/>
        <v>0</v>
      </c>
      <c r="U1110" s="33"/>
      <c r="V1110" s="33"/>
      <c r="W1110" s="33"/>
    </row>
    <row r="1111" spans="1:23" ht="16.5" customHeight="1" x14ac:dyDescent="0.2">
      <c r="A1111" s="26" t="s">
        <v>3962</v>
      </c>
      <c r="B1111" s="26" t="s">
        <v>3963</v>
      </c>
      <c r="C1111" s="26" t="s">
        <v>115</v>
      </c>
      <c r="D1111" s="26" t="s">
        <v>122</v>
      </c>
      <c r="E1111" s="26" t="s">
        <v>114</v>
      </c>
      <c r="F1111" s="28" t="e">
        <f ca="1">_xludf.ifna(VLOOKUP(G1111,Proyectos!$A$2:$F$674,6,0),"")</f>
        <v>#NAME?</v>
      </c>
      <c r="G1111" s="29" t="s">
        <v>5114</v>
      </c>
      <c r="H1111" s="32">
        <v>0.3</v>
      </c>
      <c r="I1111" s="31" t="s">
        <v>25</v>
      </c>
      <c r="J1111" s="32"/>
      <c r="K1111" s="32"/>
      <c r="L1111" s="32" t="e">
        <f ca="1">_xludf.ifna(VLOOKUP(E1111,Parámetros!$D$2:$E$34,2,0),"")</f>
        <v>#NAME?</v>
      </c>
      <c r="M1111" s="32" t="e">
        <f ca="1">_xludf.ifna(VLOOKUP(G1111,Proyectos!$A$2:$T$674,20,0),"")</f>
        <v>#NAME?</v>
      </c>
      <c r="N1111" s="32" t="e">
        <f ca="1">_xludf.ifna(VLOOKUP(G1111,Proyectos!$A$2:$S$674,19,0))</f>
        <v>#NAME?</v>
      </c>
      <c r="O1111" s="31"/>
      <c r="P1111" s="31"/>
      <c r="Q1111" s="33"/>
      <c r="R1111" s="33"/>
      <c r="S1111" s="33"/>
      <c r="T1111" s="63">
        <f t="shared" si="11"/>
        <v>0</v>
      </c>
      <c r="U1111" s="33"/>
      <c r="V1111" s="33"/>
      <c r="W1111" s="33"/>
    </row>
    <row r="1112" spans="1:23" ht="16.5" customHeight="1" x14ac:dyDescent="0.2">
      <c r="A1112" s="26" t="s">
        <v>4415</v>
      </c>
      <c r="B1112" s="26" t="s">
        <v>4416</v>
      </c>
      <c r="C1112" s="26" t="s">
        <v>115</v>
      </c>
      <c r="D1112" s="26" t="s">
        <v>122</v>
      </c>
      <c r="E1112" s="26" t="s">
        <v>114</v>
      </c>
      <c r="F1112" s="28" t="e">
        <f ca="1">_xludf.ifna(VLOOKUP(G1112,Proyectos!$A$2:$F$674,6,0),"")</f>
        <v>#NAME?</v>
      </c>
      <c r="G1112" s="26" t="s">
        <v>5413</v>
      </c>
      <c r="H1112" s="32">
        <v>0.2</v>
      </c>
      <c r="I1112" s="31" t="s">
        <v>25</v>
      </c>
      <c r="J1112" s="31" t="s">
        <v>61</v>
      </c>
      <c r="K1112" s="32"/>
      <c r="L1112" s="32" t="e">
        <f ca="1">_xludf.ifna(VLOOKUP(E1112,Parámetros!$D$2:$E$34,2,0),"")</f>
        <v>#NAME?</v>
      </c>
      <c r="M1112" s="32" t="e">
        <f ca="1">_xludf.ifna(VLOOKUP(G1112,Proyectos!$A$2:$T$674,20,0),"")</f>
        <v>#NAME?</v>
      </c>
      <c r="N1112" s="32" t="e">
        <f ca="1">_xludf.ifna(VLOOKUP(G1112,Proyectos!$A$2:$S$674,19,0))</f>
        <v>#NAME?</v>
      </c>
      <c r="O1112" s="32"/>
      <c r="P1112" s="31"/>
      <c r="Q1112" s="33"/>
      <c r="R1112" s="33"/>
      <c r="S1112" s="33"/>
      <c r="T1112" s="63">
        <f t="shared" si="11"/>
        <v>1</v>
      </c>
      <c r="U1112" s="33"/>
      <c r="V1112" s="33"/>
      <c r="W1112" s="33"/>
    </row>
    <row r="1113" spans="1:23" ht="16.5" customHeight="1" x14ac:dyDescent="0.2">
      <c r="A1113" s="27" t="s">
        <v>4415</v>
      </c>
      <c r="B1113" s="26" t="s">
        <v>4416</v>
      </c>
      <c r="C1113" s="26" t="s">
        <v>115</v>
      </c>
      <c r="D1113" s="26" t="s">
        <v>122</v>
      </c>
      <c r="E1113" s="27" t="s">
        <v>114</v>
      </c>
      <c r="F1113" s="28" t="e">
        <f ca="1">_xludf.ifna(VLOOKUP(G1113,Proyectos!$A$2:$F$674,6,0),"")</f>
        <v>#NAME?</v>
      </c>
      <c r="G1113" s="29" t="s">
        <v>5114</v>
      </c>
      <c r="H1113" s="32">
        <v>0.3</v>
      </c>
      <c r="I1113" s="31" t="s">
        <v>25</v>
      </c>
      <c r="J1113" s="31" t="s">
        <v>61</v>
      </c>
      <c r="K1113" s="32"/>
      <c r="L1113" s="32" t="e">
        <f ca="1">_xludf.ifna(VLOOKUP(E1113,Parámetros!$D$2:$E$34,2,0),"")</f>
        <v>#NAME?</v>
      </c>
      <c r="M1113" s="32" t="e">
        <f ca="1">_xludf.ifna(VLOOKUP(G1113,Proyectos!$A$2:$T$674,20,0),"")</f>
        <v>#NAME?</v>
      </c>
      <c r="N1113" s="32" t="e">
        <f ca="1">_xludf.ifna(VLOOKUP(G1113,Proyectos!$A$2:$S$674,19,0))</f>
        <v>#NAME?</v>
      </c>
      <c r="O1113" s="32"/>
      <c r="P1113" s="31"/>
      <c r="Q1113" s="33"/>
      <c r="R1113" s="33"/>
      <c r="S1113" s="33"/>
      <c r="T1113" s="63">
        <f t="shared" si="11"/>
        <v>0</v>
      </c>
      <c r="U1113" s="33"/>
      <c r="V1113" s="33"/>
      <c r="W1113" s="33"/>
    </row>
    <row r="1114" spans="1:23" ht="16.5" customHeight="1" x14ac:dyDescent="0.2">
      <c r="A1114" s="26" t="s">
        <v>4415</v>
      </c>
      <c r="B1114" s="26" t="s">
        <v>4416</v>
      </c>
      <c r="C1114" s="26" t="s">
        <v>115</v>
      </c>
      <c r="D1114" s="26" t="s">
        <v>122</v>
      </c>
      <c r="E1114" s="26" t="s">
        <v>114</v>
      </c>
      <c r="F1114" s="28" t="e">
        <f ca="1">_xludf.ifna(VLOOKUP(G1114,Proyectos!$A$2:$F$674,6,0),"")</f>
        <v>#NAME?</v>
      </c>
      <c r="G1114" s="26" t="s">
        <v>5414</v>
      </c>
      <c r="H1114" s="32">
        <v>0.5</v>
      </c>
      <c r="I1114" s="31" t="s">
        <v>25</v>
      </c>
      <c r="J1114" s="31" t="s">
        <v>61</v>
      </c>
      <c r="K1114" s="32"/>
      <c r="L1114" s="32" t="e">
        <f ca="1">_xludf.ifna(VLOOKUP(E1114,Parámetros!$D$2:$E$34,2,0),"")</f>
        <v>#NAME?</v>
      </c>
      <c r="M1114" s="32" t="e">
        <f ca="1">_xludf.ifna(VLOOKUP(G1114,Proyectos!$A$2:$T$674,20,0),"")</f>
        <v>#NAME?</v>
      </c>
      <c r="N1114" s="32" t="e">
        <f ca="1">_xludf.ifna(VLOOKUP(G1114,Proyectos!$A$2:$S$674,19,0))</f>
        <v>#NAME?</v>
      </c>
      <c r="O1114" s="32"/>
      <c r="P1114" s="31"/>
      <c r="Q1114" s="33"/>
      <c r="R1114" s="33"/>
      <c r="S1114" s="33"/>
      <c r="T1114" s="63">
        <f t="shared" si="11"/>
        <v>0</v>
      </c>
      <c r="U1114" s="33"/>
      <c r="V1114" s="33"/>
      <c r="W1114" s="33"/>
    </row>
    <row r="1115" spans="1:23" ht="16.5" customHeight="1" x14ac:dyDescent="0.2">
      <c r="A1115" s="27" t="s">
        <v>4641</v>
      </c>
      <c r="B1115" s="26" t="s">
        <v>4642</v>
      </c>
      <c r="C1115" s="26" t="s">
        <v>115</v>
      </c>
      <c r="D1115" s="26" t="s">
        <v>122</v>
      </c>
      <c r="E1115" s="27" t="s">
        <v>39</v>
      </c>
      <c r="F1115" s="28" t="e">
        <f ca="1">_xludf.ifna(VLOOKUP(G1115,Proyectos!$A$2:$F$674,6,0),"")</f>
        <v>#NAME?</v>
      </c>
      <c r="G1115" s="26" t="s">
        <v>5417</v>
      </c>
      <c r="H1115" s="32">
        <v>0.4</v>
      </c>
      <c r="I1115" s="31" t="s">
        <v>18</v>
      </c>
      <c r="J1115" s="31" t="s">
        <v>61</v>
      </c>
      <c r="K1115" s="32"/>
      <c r="L1115" s="32" t="e">
        <f ca="1">_xludf.ifna(VLOOKUP(E1115,Parámetros!$D$2:$E$34,2,0),"")</f>
        <v>#NAME?</v>
      </c>
      <c r="M1115" s="32" t="e">
        <f ca="1">_xludf.ifna(VLOOKUP(G1115,Proyectos!$A$2:$T$674,20,0),"")</f>
        <v>#NAME?</v>
      </c>
      <c r="N1115" s="32" t="e">
        <f ca="1">_xludf.ifna(VLOOKUP(G1115,Proyectos!$A$2:$S$674,19,0))</f>
        <v>#NAME?</v>
      </c>
      <c r="O1115" s="31"/>
      <c r="P1115" s="31"/>
      <c r="Q1115" s="33"/>
      <c r="R1115" s="33"/>
      <c r="S1115" s="33"/>
      <c r="T1115" s="63">
        <f t="shared" si="11"/>
        <v>1</v>
      </c>
      <c r="U1115" s="33"/>
      <c r="V1115" s="33"/>
      <c r="W1115" s="33"/>
    </row>
    <row r="1116" spans="1:23" ht="16.5" customHeight="1" x14ac:dyDescent="0.2">
      <c r="A1116" s="26" t="s">
        <v>4641</v>
      </c>
      <c r="B1116" s="26" t="s">
        <v>4642</v>
      </c>
      <c r="C1116" s="26" t="s">
        <v>115</v>
      </c>
      <c r="D1116" s="26" t="s">
        <v>122</v>
      </c>
      <c r="E1116" s="26" t="s">
        <v>39</v>
      </c>
      <c r="F1116" s="28" t="e">
        <f ca="1">_xludf.ifna(VLOOKUP(G1116,Proyectos!$A$2:$F$674,6,0),"")</f>
        <v>#NAME?</v>
      </c>
      <c r="G1116" s="26" t="s">
        <v>5401</v>
      </c>
      <c r="H1116" s="32">
        <v>0.4</v>
      </c>
      <c r="I1116" s="31" t="s">
        <v>18</v>
      </c>
      <c r="J1116" s="31" t="s">
        <v>61</v>
      </c>
      <c r="K1116" s="32"/>
      <c r="L1116" s="32" t="e">
        <f ca="1">_xludf.ifna(VLOOKUP(E1116,Parámetros!$D$2:$E$34,2,0),"")</f>
        <v>#NAME?</v>
      </c>
      <c r="M1116" s="32" t="e">
        <f ca="1">_xludf.ifna(VLOOKUP(G1116,Proyectos!$A$2:$T$674,20,0),"")</f>
        <v>#NAME?</v>
      </c>
      <c r="N1116" s="32" t="e">
        <f ca="1">_xludf.ifna(VLOOKUP(G1116,Proyectos!$A$2:$S$674,19,0))</f>
        <v>#NAME?</v>
      </c>
      <c r="O1116" s="32"/>
      <c r="P1116" s="31"/>
      <c r="Q1116" s="33"/>
      <c r="R1116" s="33"/>
      <c r="S1116" s="33"/>
      <c r="T1116" s="63">
        <f t="shared" si="11"/>
        <v>0</v>
      </c>
      <c r="U1116" s="33"/>
      <c r="V1116" s="33"/>
      <c r="W1116" s="33"/>
    </row>
    <row r="1117" spans="1:23" ht="16.5" customHeight="1" x14ac:dyDescent="0.2">
      <c r="A1117" s="26" t="s">
        <v>4641</v>
      </c>
      <c r="B1117" s="26" t="s">
        <v>4642</v>
      </c>
      <c r="C1117" s="26" t="s">
        <v>115</v>
      </c>
      <c r="D1117" s="26" t="s">
        <v>122</v>
      </c>
      <c r="E1117" s="26" t="s">
        <v>39</v>
      </c>
      <c r="F1117" s="28" t="e">
        <f ca="1">_xludf.ifna(VLOOKUP(G1117,Proyectos!$A$2:$F$674,6,0),"")</f>
        <v>#NAME?</v>
      </c>
      <c r="G1117" s="29" t="s">
        <v>5114</v>
      </c>
      <c r="H1117" s="32">
        <v>0.2</v>
      </c>
      <c r="I1117" s="31" t="s">
        <v>18</v>
      </c>
      <c r="J1117" s="31" t="s">
        <v>61</v>
      </c>
      <c r="K1117" s="32"/>
      <c r="L1117" s="32" t="e">
        <f ca="1">_xludf.ifna(VLOOKUP(E1117,Parámetros!$D$2:$E$34,2,0),"")</f>
        <v>#NAME?</v>
      </c>
      <c r="M1117" s="32" t="e">
        <f ca="1">_xludf.ifna(VLOOKUP(G1117,Proyectos!$A$2:$T$674,20,0),"")</f>
        <v>#NAME?</v>
      </c>
      <c r="N1117" s="32" t="e">
        <f ca="1">_xludf.ifna(VLOOKUP(G1117,Proyectos!$A$2:$S$674,19,0))</f>
        <v>#NAME?</v>
      </c>
      <c r="O1117" s="32"/>
      <c r="P1117" s="31"/>
      <c r="Q1117" s="33"/>
      <c r="R1117" s="33"/>
      <c r="S1117" s="33"/>
      <c r="T1117" s="63">
        <f t="shared" si="11"/>
        <v>0</v>
      </c>
      <c r="U1117" s="33"/>
      <c r="V1117" s="33"/>
      <c r="W1117" s="33"/>
    </row>
    <row r="1118" spans="1:23" ht="16.5" customHeight="1" x14ac:dyDescent="0.2">
      <c r="A1118" s="27" t="s">
        <v>3551</v>
      </c>
      <c r="B1118" s="26" t="s">
        <v>3552</v>
      </c>
      <c r="C1118" s="26" t="s">
        <v>115</v>
      </c>
      <c r="D1118" s="26" t="s">
        <v>122</v>
      </c>
      <c r="E1118" s="27" t="s">
        <v>39</v>
      </c>
      <c r="F1118" s="28" t="e">
        <f ca="1">_xludf.ifna(VLOOKUP(G1118,Proyectos!$A$2:$F$674,6,0),"")</f>
        <v>#NAME?</v>
      </c>
      <c r="G1118" s="26" t="s">
        <v>5414</v>
      </c>
      <c r="H1118" s="32">
        <v>1</v>
      </c>
      <c r="I1118" s="31" t="s">
        <v>18</v>
      </c>
      <c r="J1118" s="31" t="s">
        <v>61</v>
      </c>
      <c r="K1118" s="32"/>
      <c r="L1118" s="32" t="e">
        <f ca="1">_xludf.ifna(VLOOKUP(E1118,Parámetros!$D$2:$E$34,2,0),"")</f>
        <v>#NAME?</v>
      </c>
      <c r="M1118" s="32" t="e">
        <f ca="1">_xludf.ifna(VLOOKUP(G1118,Proyectos!$A$2:$T$674,20,0),"")</f>
        <v>#NAME?</v>
      </c>
      <c r="N1118" s="32" t="e">
        <f ca="1">_xludf.ifna(VLOOKUP(G1118,Proyectos!$A$2:$S$674,19,0))</f>
        <v>#NAME?</v>
      </c>
      <c r="O1118" s="32"/>
      <c r="P1118" s="31"/>
      <c r="Q1118" s="33"/>
      <c r="R1118" s="33"/>
      <c r="S1118" s="33"/>
      <c r="T1118" s="63">
        <f t="shared" si="11"/>
        <v>1</v>
      </c>
      <c r="U1118" s="33"/>
      <c r="V1118" s="33"/>
      <c r="W1118" s="33"/>
    </row>
    <row r="1119" spans="1:23" ht="16.5" customHeight="1" x14ac:dyDescent="0.2">
      <c r="A1119" s="26" t="s">
        <v>4102</v>
      </c>
      <c r="B1119" s="26" t="s">
        <v>4103</v>
      </c>
      <c r="C1119" s="26" t="s">
        <v>115</v>
      </c>
      <c r="D1119" s="26" t="s">
        <v>122</v>
      </c>
      <c r="E1119" s="26" t="s">
        <v>108</v>
      </c>
      <c r="F1119" s="28" t="e">
        <f ca="1">_xludf.ifna(VLOOKUP(G1119,Proyectos!$A$2:$F$674,6,0),"")</f>
        <v>#NAME?</v>
      </c>
      <c r="G1119" s="26" t="s">
        <v>5413</v>
      </c>
      <c r="H1119" s="44">
        <v>1</v>
      </c>
      <c r="I1119" s="31" t="s">
        <v>25</v>
      </c>
      <c r="J1119" s="31" t="s">
        <v>61</v>
      </c>
      <c r="K1119" s="32"/>
      <c r="L1119" s="32" t="e">
        <f ca="1">_xludf.ifna(VLOOKUP(E1119,Parámetros!$D$2:$E$34,2,0),"")</f>
        <v>#NAME?</v>
      </c>
      <c r="M1119" s="32" t="e">
        <f ca="1">_xludf.ifna(VLOOKUP(G1119,Proyectos!$A$2:$T$674,20,0),"")</f>
        <v>#NAME?</v>
      </c>
      <c r="N1119" s="32" t="e">
        <f ca="1">_xludf.ifna(VLOOKUP(G1119,Proyectos!$A$2:$S$674,19,0))</f>
        <v>#NAME?</v>
      </c>
      <c r="O1119" s="32"/>
      <c r="P1119" s="31"/>
      <c r="Q1119" s="33"/>
      <c r="R1119" s="33"/>
      <c r="S1119" s="33"/>
      <c r="T1119" s="63">
        <f t="shared" si="11"/>
        <v>1</v>
      </c>
      <c r="U1119" s="33"/>
      <c r="V1119" s="33"/>
      <c r="W1119" s="33"/>
    </row>
    <row r="1120" spans="1:23" ht="16.5" customHeight="1" x14ac:dyDescent="0.2">
      <c r="A1120" s="26" t="s">
        <v>4681</v>
      </c>
      <c r="B1120" s="26" t="s">
        <v>4682</v>
      </c>
      <c r="C1120" s="53" t="s">
        <v>115</v>
      </c>
      <c r="D1120" s="26" t="s">
        <v>122</v>
      </c>
      <c r="E1120" s="26" t="s">
        <v>39</v>
      </c>
      <c r="F1120" s="28" t="e">
        <f ca="1">_xludf.ifna(VLOOKUP(G1120,Proyectos!$A$2:$F$674,6,0),"")</f>
        <v>#NAME?</v>
      </c>
      <c r="G1120" s="29" t="s">
        <v>5114</v>
      </c>
      <c r="H1120" s="32">
        <v>1</v>
      </c>
      <c r="I1120" s="31" t="s">
        <v>18</v>
      </c>
      <c r="J1120" s="31" t="s">
        <v>61</v>
      </c>
      <c r="K1120" s="32"/>
      <c r="L1120" s="32" t="e">
        <f ca="1">_xludf.ifna(VLOOKUP(E1120,Parámetros!$D$2:$E$34,2,0),"")</f>
        <v>#NAME?</v>
      </c>
      <c r="M1120" s="32" t="e">
        <f ca="1">_xludf.ifna(VLOOKUP(G1120,Proyectos!$A$2:$T$674,20,0),"")</f>
        <v>#NAME?</v>
      </c>
      <c r="N1120" s="32" t="e">
        <f ca="1">_xludf.ifna(VLOOKUP(G1120,Proyectos!$A$2:$S$674,19,0))</f>
        <v>#NAME?</v>
      </c>
      <c r="O1120" s="32"/>
      <c r="P1120" s="31"/>
      <c r="Q1120" s="33"/>
      <c r="R1120" s="33"/>
      <c r="S1120" s="33"/>
      <c r="T1120" s="63">
        <f t="shared" si="11"/>
        <v>1</v>
      </c>
      <c r="U1120" s="33"/>
      <c r="V1120" s="33"/>
      <c r="W1120" s="33"/>
    </row>
    <row r="1121" spans="1:23" ht="16.5" customHeight="1" x14ac:dyDescent="0.2">
      <c r="A1121" s="26" t="s">
        <v>3662</v>
      </c>
      <c r="B1121" s="26" t="s">
        <v>3663</v>
      </c>
      <c r="C1121" s="26" t="s">
        <v>115</v>
      </c>
      <c r="D1121" s="26" t="s">
        <v>122</v>
      </c>
      <c r="E1121" s="26" t="s">
        <v>39</v>
      </c>
      <c r="F1121" s="28" t="e">
        <f ca="1">_xludf.ifna(VLOOKUP(G1121,Proyectos!$A$2:$F$674,6,0),"")</f>
        <v>#NAME?</v>
      </c>
      <c r="G1121" s="26" t="s">
        <v>5416</v>
      </c>
      <c r="H1121" s="32">
        <v>0.2</v>
      </c>
      <c r="I1121" s="31" t="s">
        <v>18</v>
      </c>
      <c r="J1121" s="31" t="s">
        <v>61</v>
      </c>
      <c r="K1121" s="31"/>
      <c r="L1121" s="32" t="e">
        <f ca="1">_xludf.ifna(VLOOKUP(E1121,Parámetros!$D$2:$E$34,2,0),"")</f>
        <v>#NAME?</v>
      </c>
      <c r="M1121" s="32" t="e">
        <f ca="1">_xludf.ifna(VLOOKUP(G1121,Proyectos!$A$2:$T$674,20,0),"")</f>
        <v>#NAME?</v>
      </c>
      <c r="N1121" s="32" t="e">
        <f ca="1">_xludf.ifna(VLOOKUP(G1121,Proyectos!$A$2:$S$674,19,0))</f>
        <v>#NAME?</v>
      </c>
      <c r="O1121" s="31"/>
      <c r="P1121" s="31"/>
      <c r="Q1121" s="33"/>
      <c r="R1121" s="33"/>
      <c r="S1121" s="33"/>
      <c r="T1121" s="63">
        <f t="shared" si="11"/>
        <v>1</v>
      </c>
      <c r="U1121" s="33"/>
      <c r="V1121" s="33"/>
      <c r="W1121" s="33"/>
    </row>
    <row r="1122" spans="1:23" ht="16.5" customHeight="1" x14ac:dyDescent="0.2">
      <c r="A1122" s="26" t="s">
        <v>3662</v>
      </c>
      <c r="B1122" s="26" t="s">
        <v>3663</v>
      </c>
      <c r="C1122" s="26" t="s">
        <v>115</v>
      </c>
      <c r="D1122" s="26" t="s">
        <v>122</v>
      </c>
      <c r="E1122" s="26" t="s">
        <v>39</v>
      </c>
      <c r="F1122" s="28" t="e">
        <f ca="1">_xludf.ifna(VLOOKUP(G1122,Proyectos!$A$2:$F$674,6,0),"")</f>
        <v>#NAME?</v>
      </c>
      <c r="G1122" s="26" t="s">
        <v>5117</v>
      </c>
      <c r="H1122" s="32">
        <v>0.6</v>
      </c>
      <c r="I1122" s="31" t="s">
        <v>18</v>
      </c>
      <c r="J1122" s="31" t="s">
        <v>61</v>
      </c>
      <c r="K1122" s="32"/>
      <c r="L1122" s="32" t="e">
        <f ca="1">_xludf.ifna(VLOOKUP(E1122,Parámetros!$D$2:$E$34,2,0),"")</f>
        <v>#NAME?</v>
      </c>
      <c r="M1122" s="32" t="e">
        <f ca="1">_xludf.ifna(VLOOKUP(G1122,Proyectos!$A$2:$T$674,20,0),"")</f>
        <v>#NAME?</v>
      </c>
      <c r="N1122" s="32" t="e">
        <f ca="1">_xludf.ifna(VLOOKUP(G1122,Proyectos!$A$2:$S$674,19,0))</f>
        <v>#NAME?</v>
      </c>
      <c r="O1122" s="32"/>
      <c r="P1122" s="31"/>
      <c r="Q1122" s="33"/>
      <c r="R1122" s="33"/>
      <c r="S1122" s="33"/>
      <c r="T1122" s="63">
        <f t="shared" si="11"/>
        <v>0</v>
      </c>
      <c r="U1122" s="33"/>
      <c r="V1122" s="33"/>
      <c r="W1122" s="33"/>
    </row>
    <row r="1123" spans="1:23" ht="16.5" customHeight="1" x14ac:dyDescent="0.2">
      <c r="A1123" s="26" t="s">
        <v>3662</v>
      </c>
      <c r="B1123" s="26" t="s">
        <v>3663</v>
      </c>
      <c r="C1123" s="26" t="s">
        <v>115</v>
      </c>
      <c r="D1123" s="26" t="s">
        <v>122</v>
      </c>
      <c r="E1123" s="26" t="s">
        <v>39</v>
      </c>
      <c r="F1123" s="28" t="e">
        <f ca="1">_xludf.ifna(VLOOKUP(G1123,Proyectos!$A$2:$F$674,6,0),"")</f>
        <v>#NAME?</v>
      </c>
      <c r="G1123" s="29" t="s">
        <v>5114</v>
      </c>
      <c r="H1123" s="32">
        <v>0.2</v>
      </c>
      <c r="I1123" s="31" t="s">
        <v>18</v>
      </c>
      <c r="J1123" s="31" t="s">
        <v>61</v>
      </c>
      <c r="K1123" s="32"/>
      <c r="L1123" s="32" t="e">
        <f ca="1">_xludf.ifna(VLOOKUP(E1123,Parámetros!$D$2:$E$34,2,0),"")</f>
        <v>#NAME?</v>
      </c>
      <c r="M1123" s="32" t="e">
        <f ca="1">_xludf.ifna(VLOOKUP(G1123,Proyectos!$A$2:$T$674,20,0),"")</f>
        <v>#NAME?</v>
      </c>
      <c r="N1123" s="32" t="e">
        <f ca="1">_xludf.ifna(VLOOKUP(G1123,Proyectos!$A$2:$S$674,19,0))</f>
        <v>#NAME?</v>
      </c>
      <c r="O1123" s="31"/>
      <c r="P1123" s="31"/>
      <c r="Q1123" s="33"/>
      <c r="R1123" s="33"/>
      <c r="S1123" s="33"/>
      <c r="T1123" s="63">
        <f t="shared" si="11"/>
        <v>0</v>
      </c>
      <c r="U1123" s="33"/>
      <c r="V1123" s="33"/>
      <c r="W1123" s="33"/>
    </row>
    <row r="1124" spans="1:23" ht="16.5" customHeight="1" x14ac:dyDescent="0.2">
      <c r="A1124" s="26" t="s">
        <v>4639</v>
      </c>
      <c r="B1124" s="26" t="s">
        <v>4640</v>
      </c>
      <c r="C1124" s="26" t="s">
        <v>115</v>
      </c>
      <c r="D1124" s="26" t="s">
        <v>122</v>
      </c>
      <c r="E1124" s="26" t="s">
        <v>39</v>
      </c>
      <c r="F1124" s="28" t="e">
        <f ca="1">_xludf.ifna(VLOOKUP(G1124,Proyectos!$A$2:$F$674,6,0),"")</f>
        <v>#NAME?</v>
      </c>
      <c r="G1124" s="26" t="s">
        <v>5413</v>
      </c>
      <c r="H1124" s="32">
        <v>1</v>
      </c>
      <c r="I1124" s="31" t="s">
        <v>11</v>
      </c>
      <c r="J1124" s="31" t="s">
        <v>26</v>
      </c>
      <c r="K1124" s="32"/>
      <c r="L1124" s="32" t="e">
        <f ca="1">_xludf.ifna(VLOOKUP(E1124,Parámetros!$D$2:$E$34,2,0),"")</f>
        <v>#NAME?</v>
      </c>
      <c r="M1124" s="32" t="e">
        <f ca="1">_xludf.ifna(VLOOKUP(G1124,Proyectos!$A$2:$T$674,20,0),"")</f>
        <v>#NAME?</v>
      </c>
      <c r="N1124" s="32" t="e">
        <f ca="1">_xludf.ifna(VLOOKUP(G1124,Proyectos!$A$2:$S$674,19,0))</f>
        <v>#NAME?</v>
      </c>
      <c r="O1124" s="31"/>
      <c r="P1124" s="31"/>
      <c r="Q1124" s="33"/>
      <c r="R1124" s="33"/>
      <c r="S1124" s="33"/>
      <c r="T1124" s="63">
        <f t="shared" si="11"/>
        <v>1</v>
      </c>
      <c r="U1124" s="33"/>
      <c r="V1124" s="33"/>
      <c r="W1124" s="33"/>
    </row>
    <row r="1125" spans="1:23" ht="16.5" customHeight="1" x14ac:dyDescent="0.2">
      <c r="A1125" s="26" t="s">
        <v>4284</v>
      </c>
      <c r="B1125" s="26" t="s">
        <v>5418</v>
      </c>
      <c r="C1125" s="26" t="s">
        <v>115</v>
      </c>
      <c r="D1125" s="26" t="s">
        <v>122</v>
      </c>
      <c r="E1125" s="26" t="s">
        <v>120</v>
      </c>
      <c r="F1125" s="28" t="e">
        <f ca="1">_xludf.ifna(VLOOKUP(G1125,Proyectos!$A$2:$F$674,6,0),"")</f>
        <v>#NAME?</v>
      </c>
      <c r="G1125" s="26" t="s">
        <v>5413</v>
      </c>
      <c r="H1125" s="32">
        <v>1</v>
      </c>
      <c r="I1125" s="31" t="s">
        <v>18</v>
      </c>
      <c r="J1125" s="31" t="s">
        <v>12</v>
      </c>
      <c r="K1125" s="32"/>
      <c r="L1125" s="32" t="e">
        <f ca="1">_xludf.ifna(VLOOKUP(E1125,Parámetros!$D$2:$E$34,2,0),"")</f>
        <v>#NAME?</v>
      </c>
      <c r="M1125" s="32" t="e">
        <f ca="1">_xludf.ifna(VLOOKUP(G1125,Proyectos!$A$2:$T$674,20,0),"")</f>
        <v>#NAME?</v>
      </c>
      <c r="N1125" s="32" t="e">
        <f ca="1">_xludf.ifna(VLOOKUP(G1125,Proyectos!$A$2:$S$674,19,0))</f>
        <v>#NAME?</v>
      </c>
      <c r="O1125" s="31"/>
      <c r="P1125" s="31"/>
      <c r="Q1125" s="33"/>
      <c r="R1125" s="33"/>
      <c r="S1125" s="33"/>
      <c r="T1125" s="63">
        <f t="shared" si="11"/>
        <v>1</v>
      </c>
      <c r="U1125" s="33"/>
      <c r="V1125" s="33"/>
      <c r="W1125" s="33"/>
    </row>
    <row r="1126" spans="1:23" ht="16.5" customHeight="1" x14ac:dyDescent="0.2">
      <c r="A1126" s="26" t="s">
        <v>3761</v>
      </c>
      <c r="B1126" s="26" t="s">
        <v>3762</v>
      </c>
      <c r="C1126" s="66" t="s">
        <v>115</v>
      </c>
      <c r="D1126" s="27" t="s">
        <v>122</v>
      </c>
      <c r="E1126" s="27" t="s">
        <v>39</v>
      </c>
      <c r="F1126" s="28" t="e">
        <f ca="1">_xludf.ifna(VLOOKUP(G1126,Proyectos!$A$2:$F$674,6,0),"")</f>
        <v>#NAME?</v>
      </c>
      <c r="G1126" s="27" t="s">
        <v>5414</v>
      </c>
      <c r="H1126" s="44">
        <v>1</v>
      </c>
      <c r="I1126" s="31" t="s">
        <v>18</v>
      </c>
      <c r="J1126" s="27" t="s">
        <v>12</v>
      </c>
      <c r="K1126" s="51"/>
      <c r="L1126" s="32" t="e">
        <f ca="1">_xludf.ifna(VLOOKUP(E1126,Parámetros!$D$2:$E$34,2,0),"")</f>
        <v>#NAME?</v>
      </c>
      <c r="M1126" s="32" t="e">
        <f ca="1">_xludf.ifna(VLOOKUP(G1126,Proyectos!$A$2:$T$674,20,0),"")</f>
        <v>#NAME?</v>
      </c>
      <c r="N1126" s="32" t="e">
        <f ca="1">_xludf.ifna(VLOOKUP(G1126,Proyectos!$A$2:$S$674,19,0))</f>
        <v>#NAME?</v>
      </c>
      <c r="O1126" s="31"/>
      <c r="P1126" s="31"/>
      <c r="Q1126" s="33"/>
      <c r="R1126" s="33"/>
      <c r="S1126" s="33"/>
      <c r="T1126" s="63">
        <f t="shared" si="11"/>
        <v>1</v>
      </c>
      <c r="U1126" s="33"/>
      <c r="V1126" s="33"/>
      <c r="W1126" s="33"/>
    </row>
    <row r="1127" spans="1:23" ht="16.5" customHeight="1" x14ac:dyDescent="0.2">
      <c r="A1127" s="26" t="s">
        <v>4873</v>
      </c>
      <c r="B1127" s="26" t="s">
        <v>4874</v>
      </c>
      <c r="C1127" s="26" t="s">
        <v>115</v>
      </c>
      <c r="D1127" s="26" t="s">
        <v>122</v>
      </c>
      <c r="E1127" s="26" t="s">
        <v>114</v>
      </c>
      <c r="F1127" s="28" t="e">
        <f ca="1">_xludf.ifna(VLOOKUP(G1127,Proyectos!$A$2:$F$674,6,0),"")</f>
        <v>#NAME?</v>
      </c>
      <c r="G1127" s="29" t="s">
        <v>5114</v>
      </c>
      <c r="H1127" s="32">
        <v>1</v>
      </c>
      <c r="I1127" s="31" t="s">
        <v>25</v>
      </c>
      <c r="J1127" s="31" t="s">
        <v>61</v>
      </c>
      <c r="K1127" s="32"/>
      <c r="L1127" s="32" t="e">
        <f ca="1">_xludf.ifna(VLOOKUP(E1127,Parámetros!$D$2:$E$34,2,0),"")</f>
        <v>#NAME?</v>
      </c>
      <c r="M1127" s="32" t="e">
        <f ca="1">_xludf.ifna(VLOOKUP(G1127,Proyectos!$A$2:$T$674,20,0),"")</f>
        <v>#NAME?</v>
      </c>
      <c r="N1127" s="32" t="e">
        <f ca="1">_xludf.ifna(VLOOKUP(G1127,Proyectos!$A$2:$S$674,19,0))</f>
        <v>#NAME?</v>
      </c>
      <c r="O1127" s="31"/>
      <c r="P1127" s="31"/>
      <c r="Q1127" s="33"/>
      <c r="R1127" s="33"/>
      <c r="S1127" s="33"/>
      <c r="T1127" s="63">
        <f t="shared" si="11"/>
        <v>1</v>
      </c>
      <c r="U1127" s="33"/>
      <c r="V1127" s="33"/>
      <c r="W1127" s="33"/>
    </row>
    <row r="1128" spans="1:23" ht="16.5" customHeight="1" x14ac:dyDescent="0.2">
      <c r="A1128" s="26" t="s">
        <v>4068</v>
      </c>
      <c r="B1128" s="26" t="s">
        <v>5419</v>
      </c>
      <c r="C1128" s="26" t="s">
        <v>115</v>
      </c>
      <c r="D1128" s="26" t="s">
        <v>122</v>
      </c>
      <c r="E1128" s="26" t="s">
        <v>129</v>
      </c>
      <c r="F1128" s="28" t="e">
        <f ca="1">_xludf.ifna(VLOOKUP(G1128,Proyectos!$A$2:$F$674,6,0),"")</f>
        <v>#NAME?</v>
      </c>
      <c r="G1128" s="29" t="s">
        <v>5114</v>
      </c>
      <c r="H1128" s="32">
        <v>0.5</v>
      </c>
      <c r="I1128" s="31" t="s">
        <v>18</v>
      </c>
      <c r="J1128" s="31" t="s">
        <v>12</v>
      </c>
      <c r="K1128" s="32"/>
      <c r="L1128" s="32" t="e">
        <f ca="1">_xludf.ifna(VLOOKUP(E1128,Parámetros!$D$2:$E$34,2,0),"")</f>
        <v>#NAME?</v>
      </c>
      <c r="M1128" s="32" t="e">
        <f ca="1">_xludf.ifna(VLOOKUP(G1128,Proyectos!$A$2:$T$674,20,0),"")</f>
        <v>#NAME?</v>
      </c>
      <c r="N1128" s="32" t="e">
        <f ca="1">_xludf.ifna(VLOOKUP(G1128,Proyectos!$A$2:$S$674,19,0))</f>
        <v>#NAME?</v>
      </c>
      <c r="O1128" s="31"/>
      <c r="P1128" s="31"/>
      <c r="Q1128" s="33"/>
      <c r="R1128" s="33"/>
      <c r="S1128" s="33"/>
      <c r="T1128" s="63">
        <f t="shared" si="11"/>
        <v>1</v>
      </c>
      <c r="U1128" s="33"/>
      <c r="V1128" s="33"/>
      <c r="W1128" s="33"/>
    </row>
    <row r="1129" spans="1:23" ht="16.5" customHeight="1" x14ac:dyDescent="0.2">
      <c r="A1129" s="26" t="s">
        <v>3307</v>
      </c>
      <c r="B1129" s="26" t="s">
        <v>3308</v>
      </c>
      <c r="C1129" s="26" t="s">
        <v>115</v>
      </c>
      <c r="D1129" s="26" t="s">
        <v>122</v>
      </c>
      <c r="E1129" s="26" t="s">
        <v>39</v>
      </c>
      <c r="F1129" s="28" t="e">
        <f ca="1">_xludf.ifna(VLOOKUP(G1129,Proyectos!$A$2:$F$674,6,0),"")</f>
        <v>#NAME?</v>
      </c>
      <c r="G1129" s="26" t="s">
        <v>5413</v>
      </c>
      <c r="H1129" s="32">
        <v>1</v>
      </c>
      <c r="I1129" s="31" t="s">
        <v>18</v>
      </c>
      <c r="J1129" s="31" t="s">
        <v>61</v>
      </c>
      <c r="K1129" s="32"/>
      <c r="L1129" s="32" t="e">
        <f ca="1">_xludf.ifna(VLOOKUP(E1129,Parámetros!$D$2:$E$34,2,0),"")</f>
        <v>#NAME?</v>
      </c>
      <c r="M1129" s="32" t="e">
        <f ca="1">_xludf.ifna(VLOOKUP(G1129,Proyectos!$A$2:$T$674,20,0),"")</f>
        <v>#NAME?</v>
      </c>
      <c r="N1129" s="32" t="e">
        <f ca="1">_xludf.ifna(VLOOKUP(G1129,Proyectos!$A$2:$S$674,19,0))</f>
        <v>#NAME?</v>
      </c>
      <c r="O1129" s="32"/>
      <c r="P1129" s="31"/>
      <c r="Q1129" s="33"/>
      <c r="R1129" s="33"/>
      <c r="S1129" s="33"/>
      <c r="T1129" s="63">
        <f t="shared" si="11"/>
        <v>1</v>
      </c>
      <c r="U1129" s="33"/>
      <c r="V1129" s="33"/>
      <c r="W1129" s="33"/>
    </row>
    <row r="1130" spans="1:23" ht="16.5" customHeight="1" x14ac:dyDescent="0.2">
      <c r="A1130" s="26" t="s">
        <v>3807</v>
      </c>
      <c r="B1130" s="26" t="s">
        <v>3808</v>
      </c>
      <c r="C1130" s="26" t="s">
        <v>115</v>
      </c>
      <c r="D1130" s="26" t="s">
        <v>122</v>
      </c>
      <c r="E1130" s="26" t="s">
        <v>39</v>
      </c>
      <c r="F1130" s="28" t="e">
        <f ca="1">_xludf.ifna(VLOOKUP(G1130,Proyectos!$A$2:$F$674,6,0),"")</f>
        <v>#NAME?</v>
      </c>
      <c r="G1130" s="26" t="s">
        <v>5413</v>
      </c>
      <c r="H1130" s="32">
        <v>0.2</v>
      </c>
      <c r="I1130" s="31" t="s">
        <v>18</v>
      </c>
      <c r="J1130" s="31" t="s">
        <v>61</v>
      </c>
      <c r="K1130" s="32"/>
      <c r="L1130" s="32" t="e">
        <f ca="1">_xludf.ifna(VLOOKUP(E1130,Parámetros!$D$2:$E$34,2,0),"")</f>
        <v>#NAME?</v>
      </c>
      <c r="M1130" s="32" t="e">
        <f ca="1">_xludf.ifna(VLOOKUP(G1130,Proyectos!$A$2:$T$674,20,0),"")</f>
        <v>#NAME?</v>
      </c>
      <c r="N1130" s="32" t="e">
        <f ca="1">_xludf.ifna(VLOOKUP(G1130,Proyectos!$A$2:$S$674,19,0))</f>
        <v>#NAME?</v>
      </c>
      <c r="O1130" s="32"/>
      <c r="P1130" s="31"/>
      <c r="Q1130" s="33"/>
      <c r="R1130" s="33"/>
      <c r="S1130" s="33"/>
      <c r="T1130" s="63">
        <f t="shared" si="11"/>
        <v>1</v>
      </c>
      <c r="U1130" s="33"/>
      <c r="V1130" s="33"/>
      <c r="W1130" s="33"/>
    </row>
    <row r="1131" spans="1:23" ht="16.5" customHeight="1" x14ac:dyDescent="0.2">
      <c r="A1131" s="26" t="s">
        <v>3807</v>
      </c>
      <c r="B1131" s="26" t="s">
        <v>3808</v>
      </c>
      <c r="C1131" s="26" t="s">
        <v>115</v>
      </c>
      <c r="D1131" s="26" t="s">
        <v>122</v>
      </c>
      <c r="E1131" s="26" t="s">
        <v>39</v>
      </c>
      <c r="F1131" s="28" t="e">
        <f ca="1">_xludf.ifna(VLOOKUP(G1131,Proyectos!$A$2:$F$674,6,0),"")</f>
        <v>#NAME?</v>
      </c>
      <c r="G1131" s="29" t="s">
        <v>5114</v>
      </c>
      <c r="H1131" s="44">
        <v>0.3</v>
      </c>
      <c r="I1131" s="31" t="s">
        <v>18</v>
      </c>
      <c r="J1131" s="31" t="s">
        <v>61</v>
      </c>
      <c r="K1131" s="32"/>
      <c r="L1131" s="32" t="e">
        <f ca="1">_xludf.ifna(VLOOKUP(E1131,Parámetros!$D$2:$E$34,2,0),"")</f>
        <v>#NAME?</v>
      </c>
      <c r="M1131" s="32" t="e">
        <f ca="1">_xludf.ifna(VLOOKUP(G1131,Proyectos!$A$2:$T$674,20,0),"")</f>
        <v>#NAME?</v>
      </c>
      <c r="N1131" s="32" t="e">
        <f ca="1">_xludf.ifna(VLOOKUP(G1131,Proyectos!$A$2:$S$674,19,0))</f>
        <v>#NAME?</v>
      </c>
      <c r="O1131" s="32"/>
      <c r="P1131" s="31"/>
      <c r="Q1131" s="33"/>
      <c r="R1131" s="33"/>
      <c r="S1131" s="33"/>
      <c r="T1131" s="63">
        <f t="shared" si="11"/>
        <v>0</v>
      </c>
      <c r="U1131" s="33"/>
      <c r="V1131" s="33"/>
      <c r="W1131" s="33"/>
    </row>
    <row r="1132" spans="1:23" ht="16.5" customHeight="1" x14ac:dyDescent="0.2">
      <c r="A1132" s="26" t="s">
        <v>3807</v>
      </c>
      <c r="B1132" s="26" t="s">
        <v>3808</v>
      </c>
      <c r="C1132" s="26" t="s">
        <v>115</v>
      </c>
      <c r="D1132" s="26" t="s">
        <v>122</v>
      </c>
      <c r="E1132" s="26" t="s">
        <v>39</v>
      </c>
      <c r="F1132" s="28" t="e">
        <f ca="1">_xludf.ifna(VLOOKUP(G1132,Proyectos!$A$2:$F$674,6,0),"")</f>
        <v>#NAME?</v>
      </c>
      <c r="G1132" s="26" t="s">
        <v>5420</v>
      </c>
      <c r="H1132" s="44">
        <v>0.5</v>
      </c>
      <c r="I1132" s="31" t="s">
        <v>18</v>
      </c>
      <c r="J1132" s="31" t="s">
        <v>61</v>
      </c>
      <c r="K1132" s="32"/>
      <c r="L1132" s="32" t="e">
        <f ca="1">_xludf.ifna(VLOOKUP(E1132,Parámetros!$D$2:$E$34,2,0),"")</f>
        <v>#NAME?</v>
      </c>
      <c r="M1132" s="32" t="e">
        <f ca="1">_xludf.ifna(VLOOKUP(G1132,Proyectos!$A$2:$T$674,20,0),"")</f>
        <v>#NAME?</v>
      </c>
      <c r="N1132" s="32" t="e">
        <f ca="1">_xludf.ifna(VLOOKUP(G1132,Proyectos!$A$2:$S$674,19,0))</f>
        <v>#NAME?</v>
      </c>
      <c r="O1132" s="32"/>
      <c r="P1132" s="31"/>
      <c r="Q1132" s="33"/>
      <c r="R1132" s="33"/>
      <c r="S1132" s="33"/>
      <c r="T1132" s="63">
        <f t="shared" si="11"/>
        <v>0</v>
      </c>
      <c r="U1132" s="33"/>
      <c r="V1132" s="33"/>
      <c r="W1132" s="33"/>
    </row>
    <row r="1133" spans="1:23" ht="16.5" customHeight="1" x14ac:dyDescent="0.2">
      <c r="A1133" s="26" t="s">
        <v>3876</v>
      </c>
      <c r="B1133" s="26" t="s">
        <v>3877</v>
      </c>
      <c r="C1133" s="26" t="s">
        <v>115</v>
      </c>
      <c r="D1133" s="26" t="s">
        <v>122</v>
      </c>
      <c r="E1133" s="26" t="s">
        <v>39</v>
      </c>
      <c r="F1133" s="28" t="e">
        <f ca="1">_xludf.ifna(VLOOKUP(G1133,Proyectos!$A$2:$F$674,6,0),"")</f>
        <v>#NAME?</v>
      </c>
      <c r="G1133" s="26" t="s">
        <v>5421</v>
      </c>
      <c r="H1133" s="32">
        <v>0.35</v>
      </c>
      <c r="I1133" s="31" t="s">
        <v>18</v>
      </c>
      <c r="J1133" s="31" t="s">
        <v>61</v>
      </c>
      <c r="K1133" s="32"/>
      <c r="L1133" s="32" t="e">
        <f ca="1">_xludf.ifna(VLOOKUP(E1133,Parámetros!$D$2:$E$34,2,0),"")</f>
        <v>#NAME?</v>
      </c>
      <c r="M1133" s="32" t="e">
        <f ca="1">_xludf.ifna(VLOOKUP(G1133,Proyectos!$A$2:$T$674,20,0),"")</f>
        <v>#NAME?</v>
      </c>
      <c r="N1133" s="32" t="e">
        <f ca="1">_xludf.ifna(VLOOKUP(G1133,Proyectos!$A$2:$S$674,19,0))</f>
        <v>#NAME?</v>
      </c>
      <c r="O1133" s="31"/>
      <c r="P1133" s="31"/>
      <c r="Q1133" s="33"/>
      <c r="R1133" s="33"/>
      <c r="S1133" s="33"/>
      <c r="T1133" s="63">
        <f t="shared" si="11"/>
        <v>1</v>
      </c>
      <c r="U1133" s="33"/>
      <c r="V1133" s="33"/>
      <c r="W1133" s="33"/>
    </row>
    <row r="1134" spans="1:23" ht="16.5" customHeight="1" x14ac:dyDescent="0.2">
      <c r="A1134" s="26" t="s">
        <v>3876</v>
      </c>
      <c r="B1134" s="26" t="s">
        <v>3877</v>
      </c>
      <c r="C1134" s="26" t="s">
        <v>115</v>
      </c>
      <c r="D1134" s="26" t="s">
        <v>122</v>
      </c>
      <c r="E1134" s="26" t="s">
        <v>39</v>
      </c>
      <c r="F1134" s="28" t="e">
        <f ca="1">_xludf.ifna(VLOOKUP(G1134,Proyectos!$A$2:$F$674,6,0),"")</f>
        <v>#NAME?</v>
      </c>
      <c r="G1134" s="26" t="s">
        <v>5422</v>
      </c>
      <c r="H1134" s="32">
        <v>0.35</v>
      </c>
      <c r="I1134" s="31" t="s">
        <v>18</v>
      </c>
      <c r="J1134" s="31" t="s">
        <v>61</v>
      </c>
      <c r="K1134" s="32"/>
      <c r="L1134" s="32" t="e">
        <f ca="1">_xludf.ifna(VLOOKUP(E1134,Parámetros!$D$2:$E$34,2,0),"")</f>
        <v>#NAME?</v>
      </c>
      <c r="M1134" s="32" t="e">
        <f ca="1">_xludf.ifna(VLOOKUP(G1134,Proyectos!$A$2:$T$674,20,0),"")</f>
        <v>#NAME?</v>
      </c>
      <c r="N1134" s="32" t="e">
        <f ca="1">_xludf.ifna(VLOOKUP(G1134,Proyectos!$A$2:$S$674,19,0))</f>
        <v>#NAME?</v>
      </c>
      <c r="O1134" s="31"/>
      <c r="P1134" s="31"/>
      <c r="Q1134" s="33"/>
      <c r="R1134" s="33"/>
      <c r="S1134" s="33"/>
      <c r="T1134" s="63">
        <f t="shared" si="11"/>
        <v>0</v>
      </c>
      <c r="U1134" s="33"/>
      <c r="V1134" s="33"/>
      <c r="W1134" s="33"/>
    </row>
    <row r="1135" spans="1:23" ht="16.5" customHeight="1" x14ac:dyDescent="0.2">
      <c r="A1135" s="26" t="s">
        <v>3876</v>
      </c>
      <c r="B1135" s="26" t="s">
        <v>3877</v>
      </c>
      <c r="C1135" s="26" t="s">
        <v>115</v>
      </c>
      <c r="D1135" s="26" t="s">
        <v>122</v>
      </c>
      <c r="E1135" s="26" t="s">
        <v>39</v>
      </c>
      <c r="F1135" s="28" t="e">
        <f ca="1">_xludf.ifna(VLOOKUP(G1135,Proyectos!$A$2:$F$674,6,0),"")</f>
        <v>#NAME?</v>
      </c>
      <c r="G1135" s="29" t="s">
        <v>5114</v>
      </c>
      <c r="H1135" s="32">
        <v>0.3</v>
      </c>
      <c r="I1135" s="31" t="s">
        <v>18</v>
      </c>
      <c r="J1135" s="31" t="s">
        <v>61</v>
      </c>
      <c r="K1135" s="32"/>
      <c r="L1135" s="32" t="e">
        <f ca="1">_xludf.ifna(VLOOKUP(E1135,Parámetros!$D$2:$E$34,2,0),"")</f>
        <v>#NAME?</v>
      </c>
      <c r="M1135" s="32" t="e">
        <f ca="1">_xludf.ifna(VLOOKUP(G1135,Proyectos!$A$2:$T$674,20,0),"")</f>
        <v>#NAME?</v>
      </c>
      <c r="N1135" s="32" t="e">
        <f ca="1">_xludf.ifna(VLOOKUP(G1135,Proyectos!$A$2:$S$674,19,0))</f>
        <v>#NAME?</v>
      </c>
      <c r="O1135" s="32"/>
      <c r="P1135" s="31"/>
      <c r="Q1135" s="33"/>
      <c r="R1135" s="33"/>
      <c r="S1135" s="33"/>
      <c r="T1135" s="63">
        <f t="shared" si="11"/>
        <v>0</v>
      </c>
      <c r="U1135" s="33"/>
      <c r="V1135" s="33"/>
      <c r="W1135" s="33"/>
    </row>
    <row r="1136" spans="1:23" ht="16.5" customHeight="1" x14ac:dyDescent="0.2">
      <c r="A1136" s="26" t="s">
        <v>3984</v>
      </c>
      <c r="B1136" s="26" t="s">
        <v>3985</v>
      </c>
      <c r="C1136" s="26" t="s">
        <v>115</v>
      </c>
      <c r="D1136" s="26" t="s">
        <v>122</v>
      </c>
      <c r="E1136" s="26" t="s">
        <v>129</v>
      </c>
      <c r="F1136" s="28" t="e">
        <f ca="1">_xludf.ifna(VLOOKUP(G1136,Proyectos!$A$2:$F$674,6,0),"")</f>
        <v>#NAME?</v>
      </c>
      <c r="G1136" s="26" t="s">
        <v>5414</v>
      </c>
      <c r="H1136" s="32">
        <v>0.5</v>
      </c>
      <c r="I1136" s="31" t="s">
        <v>18</v>
      </c>
      <c r="J1136" s="31" t="s">
        <v>12</v>
      </c>
      <c r="K1136" s="32"/>
      <c r="L1136" s="32" t="e">
        <f ca="1">_xludf.ifna(VLOOKUP(E1136,Parámetros!$D$2:$E$34,2,0),"")</f>
        <v>#NAME?</v>
      </c>
      <c r="M1136" s="32" t="e">
        <f ca="1">_xludf.ifna(VLOOKUP(G1136,Proyectos!$A$2:$T$674,20,0),"")</f>
        <v>#NAME?</v>
      </c>
      <c r="N1136" s="32" t="e">
        <f ca="1">_xludf.ifna(VLOOKUP(G1136,Proyectos!$A$2:$S$674,19,0))</f>
        <v>#NAME?</v>
      </c>
      <c r="O1136" s="32"/>
      <c r="P1136" s="31"/>
      <c r="Q1136" s="33"/>
      <c r="R1136" s="33"/>
      <c r="S1136" s="33"/>
      <c r="T1136" s="63">
        <f t="shared" si="11"/>
        <v>1</v>
      </c>
      <c r="U1136" s="33"/>
      <c r="V1136" s="33"/>
      <c r="W1136" s="33"/>
    </row>
    <row r="1137" spans="1:23" ht="16.5" customHeight="1" x14ac:dyDescent="0.2">
      <c r="A1137" s="26" t="s">
        <v>3984</v>
      </c>
      <c r="B1137" s="26" t="s">
        <v>3985</v>
      </c>
      <c r="C1137" s="26" t="s">
        <v>115</v>
      </c>
      <c r="D1137" s="26" t="s">
        <v>122</v>
      </c>
      <c r="E1137" s="26" t="s">
        <v>129</v>
      </c>
      <c r="F1137" s="28" t="e">
        <f ca="1">_xludf.ifna(VLOOKUP(G1137,Proyectos!$A$2:$F$674,6,0),"")</f>
        <v>#NAME?</v>
      </c>
      <c r="G1137" s="26" t="s">
        <v>5415</v>
      </c>
      <c r="H1137" s="32">
        <v>0.5</v>
      </c>
      <c r="I1137" s="31" t="s">
        <v>18</v>
      </c>
      <c r="J1137" s="31" t="s">
        <v>12</v>
      </c>
      <c r="K1137" s="32"/>
      <c r="L1137" s="32" t="e">
        <f ca="1">_xludf.ifna(VLOOKUP(E1137,Parámetros!$D$2:$E$34,2,0),"")</f>
        <v>#NAME?</v>
      </c>
      <c r="M1137" s="32" t="e">
        <f ca="1">_xludf.ifna(VLOOKUP(G1137,Proyectos!$A$2:$T$674,20,0),"")</f>
        <v>#NAME?</v>
      </c>
      <c r="N1137" s="32" t="e">
        <f ca="1">_xludf.ifna(VLOOKUP(G1137,Proyectos!$A$2:$S$674,19,0))</f>
        <v>#NAME?</v>
      </c>
      <c r="O1137" s="32"/>
      <c r="P1137" s="31"/>
      <c r="Q1137" s="33"/>
      <c r="R1137" s="33"/>
      <c r="S1137" s="33"/>
      <c r="T1137" s="63">
        <f t="shared" si="11"/>
        <v>0</v>
      </c>
      <c r="U1137" s="33"/>
      <c r="V1137" s="33"/>
      <c r="W1137" s="33"/>
    </row>
    <row r="1138" spans="1:23" ht="16.5" customHeight="1" x14ac:dyDescent="0.2">
      <c r="A1138" s="26" t="s">
        <v>3472</v>
      </c>
      <c r="B1138" s="26" t="s">
        <v>3473</v>
      </c>
      <c r="C1138" s="26" t="s">
        <v>115</v>
      </c>
      <c r="D1138" s="26" t="s">
        <v>122</v>
      </c>
      <c r="E1138" s="26" t="s">
        <v>39</v>
      </c>
      <c r="F1138" s="28" t="e">
        <f ca="1">_xludf.ifna(VLOOKUP(G1138,Proyectos!$A$2:$F$674,6,0),"")</f>
        <v>#NAME?</v>
      </c>
      <c r="G1138" s="26" t="s">
        <v>5423</v>
      </c>
      <c r="H1138" s="32">
        <v>0.3</v>
      </c>
      <c r="I1138" s="31" t="s">
        <v>18</v>
      </c>
      <c r="J1138" s="31" t="s">
        <v>61</v>
      </c>
      <c r="K1138" s="32"/>
      <c r="L1138" s="32" t="e">
        <f ca="1">_xludf.ifna(VLOOKUP(E1138,Parámetros!$D$2:$E$34,2,0),"")</f>
        <v>#NAME?</v>
      </c>
      <c r="M1138" s="32" t="e">
        <f ca="1">_xludf.ifna(VLOOKUP(G1138,Proyectos!$A$2:$T$674,20,0),"")</f>
        <v>#NAME?</v>
      </c>
      <c r="N1138" s="32" t="e">
        <f ca="1">_xludf.ifna(VLOOKUP(G1138,Proyectos!$A$2:$S$674,19,0))</f>
        <v>#NAME?</v>
      </c>
      <c r="O1138" s="32"/>
      <c r="P1138" s="31"/>
      <c r="Q1138" s="33"/>
      <c r="R1138" s="33"/>
      <c r="S1138" s="33"/>
      <c r="T1138" s="63">
        <f t="shared" si="11"/>
        <v>1</v>
      </c>
      <c r="U1138" s="33"/>
      <c r="V1138" s="33"/>
      <c r="W1138" s="33"/>
    </row>
    <row r="1139" spans="1:23" ht="16.5" customHeight="1" x14ac:dyDescent="0.2">
      <c r="A1139" s="26" t="s">
        <v>3472</v>
      </c>
      <c r="B1139" s="26" t="s">
        <v>3473</v>
      </c>
      <c r="C1139" s="26" t="s">
        <v>115</v>
      </c>
      <c r="D1139" s="26" t="s">
        <v>122</v>
      </c>
      <c r="E1139" s="26" t="s">
        <v>39</v>
      </c>
      <c r="F1139" s="28" t="e">
        <f ca="1">_xludf.ifna(VLOOKUP(G1139,Proyectos!$A$2:$F$674,6,0),"")</f>
        <v>#NAME?</v>
      </c>
      <c r="G1139" s="29" t="s">
        <v>5114</v>
      </c>
      <c r="H1139" s="32">
        <v>0.7</v>
      </c>
      <c r="I1139" s="31" t="s">
        <v>18</v>
      </c>
      <c r="J1139" s="31" t="s">
        <v>61</v>
      </c>
      <c r="K1139" s="32"/>
      <c r="L1139" s="32" t="e">
        <f ca="1">_xludf.ifna(VLOOKUP(E1139,Parámetros!$D$2:$E$34,2,0),"")</f>
        <v>#NAME?</v>
      </c>
      <c r="M1139" s="32" t="e">
        <f ca="1">_xludf.ifna(VLOOKUP(G1139,Proyectos!$A$2:$T$674,20,0),"")</f>
        <v>#NAME?</v>
      </c>
      <c r="N1139" s="32" t="e">
        <f ca="1">_xludf.ifna(VLOOKUP(G1139,Proyectos!$A$2:$S$674,19,0))</f>
        <v>#NAME?</v>
      </c>
      <c r="O1139" s="31"/>
      <c r="P1139" s="31"/>
      <c r="Q1139" s="33"/>
      <c r="R1139" s="33"/>
      <c r="S1139" s="33"/>
      <c r="T1139" s="63">
        <f t="shared" si="11"/>
        <v>0</v>
      </c>
      <c r="U1139" s="33"/>
      <c r="V1139" s="33"/>
      <c r="W1139" s="33"/>
    </row>
    <row r="1140" spans="1:23" ht="16.5" customHeight="1" x14ac:dyDescent="0.2">
      <c r="A1140" s="26" t="s">
        <v>3305</v>
      </c>
      <c r="B1140" s="26" t="s">
        <v>3306</v>
      </c>
      <c r="C1140" s="26" t="s">
        <v>115</v>
      </c>
      <c r="D1140" s="26" t="s">
        <v>122</v>
      </c>
      <c r="E1140" s="26" t="s">
        <v>39</v>
      </c>
      <c r="F1140" s="28" t="e">
        <f ca="1">_xludf.ifna(VLOOKUP(G1140,Proyectos!$A$2:$F$674,6,0),"")</f>
        <v>#NAME?</v>
      </c>
      <c r="G1140" s="26" t="s">
        <v>5415</v>
      </c>
      <c r="H1140" s="32">
        <v>0.5</v>
      </c>
      <c r="I1140" s="31" t="s">
        <v>11</v>
      </c>
      <c r="J1140" s="31" t="s">
        <v>61</v>
      </c>
      <c r="K1140" s="32"/>
      <c r="L1140" s="32" t="e">
        <f ca="1">_xludf.ifna(VLOOKUP(E1140,Parámetros!$D$2:$E$34,2,0),"")</f>
        <v>#NAME?</v>
      </c>
      <c r="M1140" s="32" t="e">
        <f ca="1">_xludf.ifna(VLOOKUP(G1140,Proyectos!$A$2:$T$674,20,0),"")</f>
        <v>#NAME?</v>
      </c>
      <c r="N1140" s="32" t="e">
        <f ca="1">_xludf.ifna(VLOOKUP(G1140,Proyectos!$A$2:$S$674,19,0))</f>
        <v>#NAME?</v>
      </c>
      <c r="O1140" s="31"/>
      <c r="P1140" s="31"/>
      <c r="Q1140" s="33"/>
      <c r="R1140" s="33"/>
      <c r="S1140" s="33"/>
      <c r="T1140" s="63">
        <f t="shared" si="11"/>
        <v>1</v>
      </c>
      <c r="U1140" s="33"/>
      <c r="V1140" s="33"/>
      <c r="W1140" s="33"/>
    </row>
    <row r="1141" spans="1:23" ht="16.5" customHeight="1" x14ac:dyDescent="0.2">
      <c r="A1141" s="26" t="s">
        <v>3305</v>
      </c>
      <c r="B1141" s="26" t="s">
        <v>3306</v>
      </c>
      <c r="C1141" s="26" t="s">
        <v>115</v>
      </c>
      <c r="D1141" s="26" t="s">
        <v>122</v>
      </c>
      <c r="E1141" s="26" t="s">
        <v>39</v>
      </c>
      <c r="F1141" s="28" t="e">
        <f ca="1">_xludf.ifna(VLOOKUP(G1141,Proyectos!$A$2:$F$674,6,0),"")</f>
        <v>#NAME?</v>
      </c>
      <c r="G1141" s="26" t="s">
        <v>5414</v>
      </c>
      <c r="H1141" s="32">
        <v>0.5</v>
      </c>
      <c r="I1141" s="31" t="s">
        <v>11</v>
      </c>
      <c r="J1141" s="31" t="s">
        <v>61</v>
      </c>
      <c r="K1141" s="32"/>
      <c r="L1141" s="32" t="e">
        <f ca="1">_xludf.ifna(VLOOKUP(E1141,Parámetros!$D$2:$E$34,2,0),"")</f>
        <v>#NAME?</v>
      </c>
      <c r="M1141" s="32" t="e">
        <f ca="1">_xludf.ifna(VLOOKUP(G1141,Proyectos!$A$2:$T$674,20,0),"")</f>
        <v>#NAME?</v>
      </c>
      <c r="N1141" s="32" t="e">
        <f ca="1">_xludf.ifna(VLOOKUP(G1141,Proyectos!$A$2:$S$674,19,0))</f>
        <v>#NAME?</v>
      </c>
      <c r="O1141" s="32"/>
      <c r="P1141" s="31"/>
      <c r="Q1141" s="33"/>
      <c r="R1141" s="33"/>
      <c r="S1141" s="33"/>
      <c r="T1141" s="63">
        <f t="shared" si="11"/>
        <v>0</v>
      </c>
      <c r="U1141" s="33"/>
      <c r="V1141" s="33"/>
      <c r="W1141" s="33"/>
    </row>
    <row r="1142" spans="1:23" ht="16.5" customHeight="1" x14ac:dyDescent="0.2">
      <c r="A1142" s="26" t="s">
        <v>3886</v>
      </c>
      <c r="B1142" s="26" t="s">
        <v>3887</v>
      </c>
      <c r="C1142" s="26" t="s">
        <v>115</v>
      </c>
      <c r="D1142" s="26" t="s">
        <v>122</v>
      </c>
      <c r="E1142" s="26" t="s">
        <v>39</v>
      </c>
      <c r="F1142" s="28" t="e">
        <f ca="1">_xludf.ifna(VLOOKUP(G1142,Proyectos!$A$2:$F$674,6,0),"")</f>
        <v>#NAME?</v>
      </c>
      <c r="G1142" s="26" t="s">
        <v>5424</v>
      </c>
      <c r="H1142" s="32">
        <v>0.15</v>
      </c>
      <c r="I1142" s="31" t="s">
        <v>11</v>
      </c>
      <c r="J1142" s="31" t="s">
        <v>61</v>
      </c>
      <c r="K1142" s="32"/>
      <c r="L1142" s="32" t="e">
        <f ca="1">_xludf.ifna(VLOOKUP(E1142,Parámetros!$D$2:$E$34,2,0),"")</f>
        <v>#NAME?</v>
      </c>
      <c r="M1142" s="32" t="e">
        <f ca="1">_xludf.ifna(VLOOKUP(G1142,Proyectos!$A$2:$T$674,20,0),"")</f>
        <v>#NAME?</v>
      </c>
      <c r="N1142" s="32" t="e">
        <f ca="1">_xludf.ifna(VLOOKUP(G1142,Proyectos!$A$2:$S$674,19,0))</f>
        <v>#NAME?</v>
      </c>
      <c r="O1142" s="32"/>
      <c r="P1142" s="31"/>
      <c r="Q1142" s="33"/>
      <c r="R1142" s="33"/>
      <c r="S1142" s="33"/>
      <c r="T1142" s="63">
        <f t="shared" si="11"/>
        <v>1</v>
      </c>
      <c r="U1142" s="33"/>
      <c r="V1142" s="33"/>
      <c r="W1142" s="33"/>
    </row>
    <row r="1143" spans="1:23" ht="16.5" customHeight="1" x14ac:dyDescent="0.2">
      <c r="A1143" s="27" t="s">
        <v>3886</v>
      </c>
      <c r="B1143" s="26" t="s">
        <v>3887</v>
      </c>
      <c r="C1143" s="26" t="s">
        <v>115</v>
      </c>
      <c r="D1143" s="26" t="s">
        <v>122</v>
      </c>
      <c r="E1143" s="27" t="s">
        <v>39</v>
      </c>
      <c r="F1143" s="28" t="e">
        <f ca="1">_xludf.ifna(VLOOKUP(G1143,Proyectos!$A$2:$F$674,6,0),"")</f>
        <v>#NAME?</v>
      </c>
      <c r="G1143" s="26" t="s">
        <v>5423</v>
      </c>
      <c r="H1143" s="32">
        <v>0.1</v>
      </c>
      <c r="I1143" s="31" t="s">
        <v>11</v>
      </c>
      <c r="J1143" s="31" t="s">
        <v>61</v>
      </c>
      <c r="K1143" s="32"/>
      <c r="L1143" s="32" t="e">
        <f ca="1">_xludf.ifna(VLOOKUP(E1143,Parámetros!$D$2:$E$34,2,0),"")</f>
        <v>#NAME?</v>
      </c>
      <c r="M1143" s="32" t="e">
        <f ca="1">_xludf.ifna(VLOOKUP(G1143,Proyectos!$A$2:$T$674,20,0),"")</f>
        <v>#NAME?</v>
      </c>
      <c r="N1143" s="32" t="e">
        <f ca="1">_xludf.ifna(VLOOKUP(G1143,Proyectos!$A$2:$S$674,19,0))</f>
        <v>#NAME?</v>
      </c>
      <c r="O1143" s="32"/>
      <c r="P1143" s="31"/>
      <c r="Q1143" s="33"/>
      <c r="R1143" s="33"/>
      <c r="S1143" s="33"/>
      <c r="T1143" s="63">
        <f t="shared" si="11"/>
        <v>0</v>
      </c>
      <c r="U1143" s="33"/>
      <c r="V1143" s="33"/>
      <c r="W1143" s="33"/>
    </row>
    <row r="1144" spans="1:23" ht="16.5" customHeight="1" x14ac:dyDescent="0.2">
      <c r="A1144" s="26" t="s">
        <v>3886</v>
      </c>
      <c r="B1144" s="26" t="s">
        <v>3887</v>
      </c>
      <c r="C1144" s="26" t="s">
        <v>115</v>
      </c>
      <c r="D1144" s="26" t="s">
        <v>122</v>
      </c>
      <c r="E1144" s="26" t="s">
        <v>39</v>
      </c>
      <c r="F1144" s="28" t="e">
        <f ca="1">_xludf.ifna(VLOOKUP(G1144,Proyectos!$A$2:$F$674,6,0),"")</f>
        <v>#NAME?</v>
      </c>
      <c r="G1144" s="26" t="s">
        <v>5416</v>
      </c>
      <c r="H1144" s="32">
        <v>0.05</v>
      </c>
      <c r="I1144" s="31" t="s">
        <v>11</v>
      </c>
      <c r="J1144" s="31" t="s">
        <v>61</v>
      </c>
      <c r="K1144" s="32"/>
      <c r="L1144" s="32" t="e">
        <f ca="1">_xludf.ifna(VLOOKUP(E1144,Parámetros!$D$2:$E$34,2,0),"")</f>
        <v>#NAME?</v>
      </c>
      <c r="M1144" s="32" t="e">
        <f ca="1">_xludf.ifna(VLOOKUP(G1144,Proyectos!$A$2:$T$674,20,0),"")</f>
        <v>#NAME?</v>
      </c>
      <c r="N1144" s="32" t="e">
        <f ca="1">_xludf.ifna(VLOOKUP(G1144,Proyectos!$A$2:$S$674,19,0))</f>
        <v>#NAME?</v>
      </c>
      <c r="O1144" s="31"/>
      <c r="P1144" s="31"/>
      <c r="Q1144" s="33"/>
      <c r="R1144" s="33"/>
      <c r="S1144" s="33"/>
      <c r="T1144" s="63">
        <f t="shared" si="11"/>
        <v>0</v>
      </c>
      <c r="U1144" s="33"/>
      <c r="V1144" s="33"/>
      <c r="W1144" s="33"/>
    </row>
    <row r="1145" spans="1:23" ht="16.5" customHeight="1" x14ac:dyDescent="0.2">
      <c r="A1145" s="26" t="s">
        <v>3886</v>
      </c>
      <c r="B1145" s="26" t="s">
        <v>3887</v>
      </c>
      <c r="C1145" s="26" t="s">
        <v>115</v>
      </c>
      <c r="D1145" s="26" t="s">
        <v>122</v>
      </c>
      <c r="E1145" s="26" t="s">
        <v>39</v>
      </c>
      <c r="F1145" s="28" t="e">
        <f ca="1">_xludf.ifna(VLOOKUP(G1145,Proyectos!$A$2:$F$674,6,0),"")</f>
        <v>#NAME?</v>
      </c>
      <c r="G1145" s="26" t="s">
        <v>5225</v>
      </c>
      <c r="H1145" s="32">
        <v>0.05</v>
      </c>
      <c r="I1145" s="31" t="s">
        <v>11</v>
      </c>
      <c r="J1145" s="31" t="s">
        <v>61</v>
      </c>
      <c r="K1145" s="32"/>
      <c r="L1145" s="32" t="e">
        <f ca="1">_xludf.ifna(VLOOKUP(E1145,Parámetros!$D$2:$E$34,2,0),"")</f>
        <v>#NAME?</v>
      </c>
      <c r="M1145" s="32" t="e">
        <f ca="1">_xludf.ifna(VLOOKUP(G1145,Proyectos!$A$2:$T$674,20,0),"")</f>
        <v>#NAME?</v>
      </c>
      <c r="N1145" s="32" t="e">
        <f ca="1">_xludf.ifna(VLOOKUP(G1145,Proyectos!$A$2:$S$674,19,0))</f>
        <v>#NAME?</v>
      </c>
      <c r="O1145" s="32"/>
      <c r="P1145" s="31"/>
      <c r="Q1145" s="33"/>
      <c r="R1145" s="33"/>
      <c r="S1145" s="33"/>
      <c r="T1145" s="63">
        <f t="shared" si="11"/>
        <v>0</v>
      </c>
      <c r="U1145" s="33"/>
      <c r="V1145" s="33"/>
      <c r="W1145" s="33"/>
    </row>
    <row r="1146" spans="1:23" ht="16.5" customHeight="1" x14ac:dyDescent="0.2">
      <c r="A1146" s="26" t="s">
        <v>3886</v>
      </c>
      <c r="B1146" s="26" t="s">
        <v>3887</v>
      </c>
      <c r="C1146" s="26" t="s">
        <v>115</v>
      </c>
      <c r="D1146" s="26" t="s">
        <v>122</v>
      </c>
      <c r="E1146" s="26" t="s">
        <v>39</v>
      </c>
      <c r="F1146" s="28" t="e">
        <f ca="1">_xludf.ifna(VLOOKUP(G1146,Proyectos!$A$2:$F$674,6,0),"")</f>
        <v>#NAME?</v>
      </c>
      <c r="G1146" s="26" t="s">
        <v>5117</v>
      </c>
      <c r="H1146" s="36">
        <v>0.15</v>
      </c>
      <c r="I1146" s="31" t="s">
        <v>11</v>
      </c>
      <c r="J1146" s="31" t="s">
        <v>61</v>
      </c>
      <c r="K1146" s="32"/>
      <c r="L1146" s="32" t="e">
        <f ca="1">_xludf.ifna(VLOOKUP(E1146,Parámetros!$D$2:$E$34,2,0),"")</f>
        <v>#NAME?</v>
      </c>
      <c r="M1146" s="32" t="e">
        <f ca="1">_xludf.ifna(VLOOKUP(G1146,Proyectos!$A$2:$T$674,20,0),"")</f>
        <v>#NAME?</v>
      </c>
      <c r="N1146" s="32" t="e">
        <f ca="1">_xludf.ifna(VLOOKUP(G1146,Proyectos!$A$2:$S$674,19,0))</f>
        <v>#NAME?</v>
      </c>
      <c r="O1146" s="32"/>
      <c r="P1146" s="31"/>
      <c r="Q1146" s="33"/>
      <c r="R1146" s="33"/>
      <c r="S1146" s="33"/>
      <c r="T1146" s="63">
        <f t="shared" si="11"/>
        <v>0</v>
      </c>
      <c r="U1146" s="33"/>
      <c r="V1146" s="33"/>
      <c r="W1146" s="33"/>
    </row>
    <row r="1147" spans="1:23" ht="16.5" customHeight="1" x14ac:dyDescent="0.2">
      <c r="A1147" s="26" t="s">
        <v>3886</v>
      </c>
      <c r="B1147" s="26" t="s">
        <v>3887</v>
      </c>
      <c r="C1147" s="26" t="s">
        <v>115</v>
      </c>
      <c r="D1147" s="26" t="s">
        <v>122</v>
      </c>
      <c r="E1147" s="26" t="s">
        <v>39</v>
      </c>
      <c r="F1147" s="28" t="e">
        <f ca="1">_xludf.ifna(VLOOKUP(G1147,Proyectos!$A$2:$F$674,6,0),"")</f>
        <v>#NAME?</v>
      </c>
      <c r="G1147" s="26" t="s">
        <v>5425</v>
      </c>
      <c r="H1147" s="36">
        <v>0.1</v>
      </c>
      <c r="I1147" s="31" t="s">
        <v>11</v>
      </c>
      <c r="J1147" s="31" t="s">
        <v>61</v>
      </c>
      <c r="K1147" s="32"/>
      <c r="L1147" s="32" t="e">
        <f ca="1">_xludf.ifna(VLOOKUP(E1147,Parámetros!$D$2:$E$34,2,0),"")</f>
        <v>#NAME?</v>
      </c>
      <c r="M1147" s="32" t="e">
        <f ca="1">_xludf.ifna(VLOOKUP(G1147,Proyectos!$A$2:$T$674,20,0),"")</f>
        <v>#NAME?</v>
      </c>
      <c r="N1147" s="32" t="e">
        <f ca="1">_xludf.ifna(VLOOKUP(G1147,Proyectos!$A$2:$S$674,19,0))</f>
        <v>#NAME?</v>
      </c>
      <c r="O1147" s="32"/>
      <c r="P1147" s="31"/>
      <c r="Q1147" s="33"/>
      <c r="R1147" s="33"/>
      <c r="S1147" s="33"/>
      <c r="T1147" s="63">
        <f t="shared" si="11"/>
        <v>0</v>
      </c>
      <c r="U1147" s="33"/>
      <c r="V1147" s="33"/>
      <c r="W1147" s="33"/>
    </row>
    <row r="1148" spans="1:23" ht="16.5" customHeight="1" x14ac:dyDescent="0.2">
      <c r="A1148" s="26" t="s">
        <v>3886</v>
      </c>
      <c r="B1148" s="26" t="s">
        <v>3887</v>
      </c>
      <c r="C1148" s="26" t="s">
        <v>115</v>
      </c>
      <c r="D1148" s="26" t="s">
        <v>122</v>
      </c>
      <c r="E1148" s="26" t="s">
        <v>39</v>
      </c>
      <c r="F1148" s="28" t="e">
        <f ca="1">_xludf.ifna(VLOOKUP(G1148,Proyectos!$A$2:$F$674,6,0),"")</f>
        <v>#NAME?</v>
      </c>
      <c r="G1148" s="26" t="s">
        <v>5120</v>
      </c>
      <c r="H1148" s="36">
        <v>0.1</v>
      </c>
      <c r="I1148" s="31" t="s">
        <v>11</v>
      </c>
      <c r="J1148" s="31" t="s">
        <v>61</v>
      </c>
      <c r="K1148" s="32"/>
      <c r="L1148" s="32" t="e">
        <f ca="1">_xludf.ifna(VLOOKUP(E1148,Parámetros!$D$2:$E$34,2,0),"")</f>
        <v>#NAME?</v>
      </c>
      <c r="M1148" s="32" t="e">
        <f ca="1">_xludf.ifna(VLOOKUP(G1148,Proyectos!$A$2:$T$674,20,0),"")</f>
        <v>#NAME?</v>
      </c>
      <c r="N1148" s="32" t="e">
        <f ca="1">_xludf.ifna(VLOOKUP(G1148,Proyectos!$A$2:$S$674,19,0))</f>
        <v>#NAME?</v>
      </c>
      <c r="O1148" s="31"/>
      <c r="P1148" s="31"/>
      <c r="Q1148" s="33"/>
      <c r="R1148" s="33"/>
      <c r="S1148" s="33"/>
      <c r="T1148" s="63">
        <f t="shared" si="11"/>
        <v>0</v>
      </c>
      <c r="U1148" s="33"/>
      <c r="V1148" s="33"/>
      <c r="W1148" s="33"/>
    </row>
    <row r="1149" spans="1:23" ht="16.5" customHeight="1" x14ac:dyDescent="0.2">
      <c r="A1149" s="26" t="s">
        <v>3886</v>
      </c>
      <c r="B1149" s="26" t="s">
        <v>3887</v>
      </c>
      <c r="C1149" s="26" t="s">
        <v>115</v>
      </c>
      <c r="D1149" s="26" t="s">
        <v>122</v>
      </c>
      <c r="E1149" s="26" t="s">
        <v>39</v>
      </c>
      <c r="F1149" s="28" t="e">
        <f ca="1">_xludf.ifna(VLOOKUP(G1149,Proyectos!$A$2:$F$674,6,0),"")</f>
        <v>#NAME?</v>
      </c>
      <c r="G1149" s="26" t="s">
        <v>5116</v>
      </c>
      <c r="H1149" s="32">
        <v>0.1</v>
      </c>
      <c r="I1149" s="31" t="s">
        <v>11</v>
      </c>
      <c r="J1149" s="31" t="s">
        <v>61</v>
      </c>
      <c r="K1149" s="32"/>
      <c r="L1149" s="32" t="e">
        <f ca="1">_xludf.ifna(VLOOKUP(E1149,Parámetros!$D$2:$E$34,2,0),"")</f>
        <v>#NAME?</v>
      </c>
      <c r="M1149" s="32" t="e">
        <f ca="1">_xludf.ifna(VLOOKUP(G1149,Proyectos!$A$2:$T$674,20,0),"")</f>
        <v>#NAME?</v>
      </c>
      <c r="N1149" s="32" t="e">
        <f ca="1">_xludf.ifna(VLOOKUP(G1149,Proyectos!$A$2:$S$674,19,0))</f>
        <v>#NAME?</v>
      </c>
      <c r="O1149" s="31"/>
      <c r="P1149" s="31"/>
      <c r="Q1149" s="33"/>
      <c r="R1149" s="33"/>
      <c r="S1149" s="33"/>
      <c r="T1149" s="63">
        <f t="shared" si="11"/>
        <v>0</v>
      </c>
      <c r="U1149" s="33"/>
      <c r="V1149" s="33"/>
      <c r="W1149" s="33"/>
    </row>
    <row r="1150" spans="1:23" ht="16.5" customHeight="1" x14ac:dyDescent="0.2">
      <c r="A1150" s="26" t="s">
        <v>3886</v>
      </c>
      <c r="B1150" s="26" t="s">
        <v>3887</v>
      </c>
      <c r="C1150" s="26" t="s">
        <v>115</v>
      </c>
      <c r="D1150" s="26" t="s">
        <v>122</v>
      </c>
      <c r="E1150" s="26" t="s">
        <v>39</v>
      </c>
      <c r="F1150" s="28" t="e">
        <f ca="1">_xludf.ifna(VLOOKUP(G1150,Proyectos!$A$2:$F$674,6,0),"")</f>
        <v>#NAME?</v>
      </c>
      <c r="G1150" s="29" t="s">
        <v>5114</v>
      </c>
      <c r="H1150" s="32">
        <v>0.2</v>
      </c>
      <c r="I1150" s="31" t="s">
        <v>11</v>
      </c>
      <c r="J1150" s="31" t="s">
        <v>61</v>
      </c>
      <c r="K1150" s="32"/>
      <c r="L1150" s="32" t="e">
        <f ca="1">_xludf.ifna(VLOOKUP(E1150,Parámetros!$D$2:$E$34,2,0),"")</f>
        <v>#NAME?</v>
      </c>
      <c r="M1150" s="32" t="e">
        <f ca="1">_xludf.ifna(VLOOKUP(G1150,Proyectos!$A$2:$T$674,20,0),"")</f>
        <v>#NAME?</v>
      </c>
      <c r="N1150" s="32" t="e">
        <f ca="1">_xludf.ifna(VLOOKUP(G1150,Proyectos!$A$2:$S$674,19,0))</f>
        <v>#NAME?</v>
      </c>
      <c r="O1150" s="31"/>
      <c r="P1150" s="31"/>
      <c r="Q1150" s="33"/>
      <c r="R1150" s="33"/>
      <c r="S1150" s="33"/>
      <c r="T1150" s="63">
        <f t="shared" si="11"/>
        <v>0</v>
      </c>
      <c r="U1150" s="33"/>
      <c r="V1150" s="33"/>
      <c r="W1150" s="33"/>
    </row>
    <row r="1151" spans="1:23" ht="16.5" customHeight="1" x14ac:dyDescent="0.2">
      <c r="A1151" s="26" t="s">
        <v>4932</v>
      </c>
      <c r="B1151" s="26" t="s">
        <v>4933</v>
      </c>
      <c r="C1151" s="26" t="s">
        <v>115</v>
      </c>
      <c r="D1151" s="26" t="s">
        <v>122</v>
      </c>
      <c r="E1151" s="26" t="s">
        <v>114</v>
      </c>
      <c r="F1151" s="28" t="e">
        <f ca="1">_xludf.ifna(VLOOKUP(G1151,Proyectos!$A$2:$F$674,6,0),"")</f>
        <v>#NAME?</v>
      </c>
      <c r="G1151" s="26" t="s">
        <v>5426</v>
      </c>
      <c r="H1151" s="32">
        <v>0.8</v>
      </c>
      <c r="I1151" s="31" t="s">
        <v>25</v>
      </c>
      <c r="J1151" s="31" t="s">
        <v>61</v>
      </c>
      <c r="K1151" s="32"/>
      <c r="L1151" s="32" t="e">
        <f ca="1">_xludf.ifna(VLOOKUP(E1151,Parámetros!$D$2:$E$34,2,0),"")</f>
        <v>#NAME?</v>
      </c>
      <c r="M1151" s="32" t="e">
        <f ca="1">_xludf.ifna(VLOOKUP(G1151,Proyectos!$A$2:$T$674,20,0),"")</f>
        <v>#NAME?</v>
      </c>
      <c r="N1151" s="32" t="e">
        <f ca="1">_xludf.ifna(VLOOKUP(G1151,Proyectos!$A$2:$S$674,19,0))</f>
        <v>#NAME?</v>
      </c>
      <c r="O1151" s="31"/>
      <c r="P1151" s="31"/>
      <c r="Q1151" s="33"/>
      <c r="R1151" s="33"/>
      <c r="S1151" s="33"/>
      <c r="T1151" s="63">
        <f t="shared" si="11"/>
        <v>1</v>
      </c>
      <c r="U1151" s="33"/>
      <c r="V1151" s="33"/>
      <c r="W1151" s="33"/>
    </row>
    <row r="1152" spans="1:23" ht="16.5" customHeight="1" x14ac:dyDescent="0.2">
      <c r="A1152" s="26" t="s">
        <v>4932</v>
      </c>
      <c r="B1152" s="26" t="s">
        <v>4933</v>
      </c>
      <c r="C1152" s="26" t="s">
        <v>115</v>
      </c>
      <c r="D1152" s="26" t="s">
        <v>122</v>
      </c>
      <c r="E1152" s="26" t="s">
        <v>114</v>
      </c>
      <c r="F1152" s="28" t="e">
        <f ca="1">_xludf.ifna(VLOOKUP(G1152,Proyectos!$A$2:$F$674,6,0),"")</f>
        <v>#NAME?</v>
      </c>
      <c r="G1152" s="29" t="s">
        <v>5114</v>
      </c>
      <c r="H1152" s="32">
        <v>0.2</v>
      </c>
      <c r="I1152" s="31" t="s">
        <v>25</v>
      </c>
      <c r="J1152" s="31" t="s">
        <v>61</v>
      </c>
      <c r="K1152" s="32"/>
      <c r="L1152" s="32" t="e">
        <f ca="1">_xludf.ifna(VLOOKUP(E1152,Parámetros!$D$2:$E$34,2,0),"")</f>
        <v>#NAME?</v>
      </c>
      <c r="M1152" s="32" t="e">
        <f ca="1">_xludf.ifna(VLOOKUP(G1152,Proyectos!$A$2:$T$674,20,0),"")</f>
        <v>#NAME?</v>
      </c>
      <c r="N1152" s="32" t="e">
        <f ca="1">_xludf.ifna(VLOOKUP(G1152,Proyectos!$A$2:$S$674,19,0))</f>
        <v>#NAME?</v>
      </c>
      <c r="O1152" s="31"/>
      <c r="P1152" s="31"/>
      <c r="Q1152" s="33"/>
      <c r="R1152" s="33"/>
      <c r="S1152" s="33"/>
      <c r="T1152" s="63">
        <f t="shared" si="11"/>
        <v>0</v>
      </c>
      <c r="U1152" s="33"/>
      <c r="V1152" s="33"/>
      <c r="W1152" s="33"/>
    </row>
    <row r="1153" spans="1:23" ht="16.5" customHeight="1" x14ac:dyDescent="0.2">
      <c r="A1153" s="26" t="s">
        <v>4954</v>
      </c>
      <c r="B1153" s="26" t="s">
        <v>4955</v>
      </c>
      <c r="C1153" s="26" t="s">
        <v>115</v>
      </c>
      <c r="D1153" s="26" t="s">
        <v>122</v>
      </c>
      <c r="E1153" s="26" t="s">
        <v>83</v>
      </c>
      <c r="F1153" s="28" t="e">
        <f ca="1">_xludf.ifna(VLOOKUP(G1153,Proyectos!$A$2:$F$674,6,0),"")</f>
        <v>#NAME?</v>
      </c>
      <c r="G1153" s="26" t="s">
        <v>5415</v>
      </c>
      <c r="H1153" s="32">
        <v>1</v>
      </c>
      <c r="I1153" s="31" t="s">
        <v>25</v>
      </c>
      <c r="J1153" s="31" t="s">
        <v>41</v>
      </c>
      <c r="K1153" s="32"/>
      <c r="L1153" s="32" t="e">
        <f ca="1">_xludf.ifna(VLOOKUP(E1153,Parámetros!$D$2:$E$34,2,0),"")</f>
        <v>#NAME?</v>
      </c>
      <c r="M1153" s="32" t="e">
        <f ca="1">_xludf.ifna(VLOOKUP(G1153,Proyectos!$A$2:$T$674,20,0),"")</f>
        <v>#NAME?</v>
      </c>
      <c r="N1153" s="32" t="e">
        <f ca="1">_xludf.ifna(VLOOKUP(G1153,Proyectos!$A$2:$S$674,19,0))</f>
        <v>#NAME?</v>
      </c>
      <c r="O1153" s="31"/>
      <c r="P1153" s="31"/>
      <c r="Q1153" s="33"/>
      <c r="R1153" s="33"/>
      <c r="S1153" s="33"/>
      <c r="T1153" s="63">
        <f t="shared" si="11"/>
        <v>1</v>
      </c>
      <c r="U1153" s="33"/>
      <c r="V1153" s="33"/>
      <c r="W1153" s="33"/>
    </row>
    <row r="1154" spans="1:23" ht="16.5" customHeight="1" x14ac:dyDescent="0.2">
      <c r="A1154" s="26" t="s">
        <v>3360</v>
      </c>
      <c r="B1154" s="26" t="s">
        <v>3361</v>
      </c>
      <c r="C1154" s="26" t="s">
        <v>115</v>
      </c>
      <c r="D1154" s="26" t="s">
        <v>122</v>
      </c>
      <c r="E1154" s="26" t="s">
        <v>39</v>
      </c>
      <c r="F1154" s="28" t="e">
        <f ca="1">_xludf.ifna(VLOOKUP(G1154,Proyectos!$A$2:$F$674,6,0),"")</f>
        <v>#NAME?</v>
      </c>
      <c r="G1154" s="26" t="s">
        <v>5427</v>
      </c>
      <c r="H1154" s="32">
        <v>0.4</v>
      </c>
      <c r="I1154" s="31" t="s">
        <v>18</v>
      </c>
      <c r="J1154" s="31" t="s">
        <v>72</v>
      </c>
      <c r="K1154" s="32"/>
      <c r="L1154" s="32" t="e">
        <f ca="1">_xludf.ifna(VLOOKUP(E1154,Parámetros!$D$2:$E$34,2,0),"")</f>
        <v>#NAME?</v>
      </c>
      <c r="M1154" s="32" t="e">
        <f ca="1">_xludf.ifna(VLOOKUP(G1154,Proyectos!$A$2:$T$674,20,0),"")</f>
        <v>#NAME?</v>
      </c>
      <c r="N1154" s="32" t="e">
        <f ca="1">_xludf.ifna(VLOOKUP(G1154,Proyectos!$A$2:$S$674,19,0))</f>
        <v>#NAME?</v>
      </c>
      <c r="O1154" s="31"/>
      <c r="P1154" s="31"/>
      <c r="Q1154" s="33"/>
      <c r="R1154" s="33"/>
      <c r="S1154" s="33"/>
      <c r="T1154" s="63">
        <f t="shared" si="11"/>
        <v>1</v>
      </c>
      <c r="U1154" s="33"/>
      <c r="V1154" s="33"/>
      <c r="W1154" s="33"/>
    </row>
    <row r="1155" spans="1:23" ht="16.5" customHeight="1" x14ac:dyDescent="0.2">
      <c r="A1155" s="26" t="s">
        <v>3360</v>
      </c>
      <c r="B1155" s="26" t="s">
        <v>3361</v>
      </c>
      <c r="C1155" s="26" t="s">
        <v>115</v>
      </c>
      <c r="D1155" s="26" t="s">
        <v>122</v>
      </c>
      <c r="E1155" s="26" t="s">
        <v>39</v>
      </c>
      <c r="F1155" s="28" t="e">
        <f ca="1">_xludf.ifna(VLOOKUP(G1155,Proyectos!$A$2:$F$674,6,0),"")</f>
        <v>#NAME?</v>
      </c>
      <c r="G1155" s="29" t="s">
        <v>5114</v>
      </c>
      <c r="H1155" s="32">
        <v>0.6</v>
      </c>
      <c r="I1155" s="31" t="s">
        <v>18</v>
      </c>
      <c r="J1155" s="31" t="s">
        <v>72</v>
      </c>
      <c r="K1155" s="32"/>
      <c r="L1155" s="32" t="e">
        <f ca="1">_xludf.ifna(VLOOKUP(E1155,Parámetros!$D$2:$E$34,2,0),"")</f>
        <v>#NAME?</v>
      </c>
      <c r="M1155" s="32" t="e">
        <f ca="1">_xludf.ifna(VLOOKUP(G1155,Proyectos!$A$2:$T$674,20,0),"")</f>
        <v>#NAME?</v>
      </c>
      <c r="N1155" s="32" t="e">
        <f ca="1">_xludf.ifna(VLOOKUP(G1155,Proyectos!$A$2:$S$674,19,0))</f>
        <v>#NAME?</v>
      </c>
      <c r="O1155" s="32"/>
      <c r="P1155" s="31"/>
      <c r="Q1155" s="33"/>
      <c r="R1155" s="33"/>
      <c r="S1155" s="33"/>
      <c r="T1155" s="63">
        <f t="shared" si="11"/>
        <v>0</v>
      </c>
      <c r="U1155" s="33"/>
      <c r="V1155" s="33"/>
      <c r="W1155" s="33"/>
    </row>
    <row r="1156" spans="1:23" ht="16.5" customHeight="1" x14ac:dyDescent="0.2">
      <c r="A1156" s="26" t="s">
        <v>3874</v>
      </c>
      <c r="B1156" s="26" t="s">
        <v>3875</v>
      </c>
      <c r="C1156" s="53" t="s">
        <v>115</v>
      </c>
      <c r="D1156" s="26" t="s">
        <v>122</v>
      </c>
      <c r="E1156" s="26" t="s">
        <v>39</v>
      </c>
      <c r="F1156" s="28" t="e">
        <f ca="1">_xludf.ifna(VLOOKUP(G1156,Proyectos!$A$2:$F$674,6,0),"")</f>
        <v>#NAME?</v>
      </c>
      <c r="G1156" s="26" t="s">
        <v>5428</v>
      </c>
      <c r="H1156" s="32">
        <v>0.4</v>
      </c>
      <c r="I1156" s="31" t="s">
        <v>18</v>
      </c>
      <c r="J1156" s="31" t="s">
        <v>61</v>
      </c>
      <c r="K1156" s="32"/>
      <c r="L1156" s="32" t="e">
        <f ca="1">_xludf.ifna(VLOOKUP(E1156,Parámetros!$D$2:$E$34,2,0),"")</f>
        <v>#NAME?</v>
      </c>
      <c r="M1156" s="32" t="e">
        <f ca="1">_xludf.ifna(VLOOKUP(G1156,Proyectos!$A$2:$T$674,20,0),"")</f>
        <v>#NAME?</v>
      </c>
      <c r="N1156" s="32" t="e">
        <f ca="1">_xludf.ifna(VLOOKUP(G1156,Proyectos!$A$2:$S$674,19,0))</f>
        <v>#NAME?</v>
      </c>
      <c r="O1156" s="32"/>
      <c r="P1156" s="31"/>
      <c r="Q1156" s="33"/>
      <c r="R1156" s="33"/>
      <c r="S1156" s="33"/>
      <c r="T1156" s="63">
        <f t="shared" si="11"/>
        <v>1</v>
      </c>
      <c r="U1156" s="33"/>
      <c r="V1156" s="33"/>
      <c r="W1156" s="33"/>
    </row>
    <row r="1157" spans="1:23" ht="16.5" customHeight="1" x14ac:dyDescent="0.2">
      <c r="A1157" s="26" t="s">
        <v>3874</v>
      </c>
      <c r="B1157" s="26" t="s">
        <v>3875</v>
      </c>
      <c r="C1157" s="26" t="s">
        <v>115</v>
      </c>
      <c r="D1157" s="26" t="s">
        <v>122</v>
      </c>
      <c r="E1157" s="26" t="s">
        <v>39</v>
      </c>
      <c r="F1157" s="28" t="e">
        <f ca="1">_xludf.ifna(VLOOKUP(G1157,Proyectos!$A$2:$F$674,6,0),"")</f>
        <v>#NAME?</v>
      </c>
      <c r="G1157" s="26" t="s">
        <v>5429</v>
      </c>
      <c r="H1157" s="32">
        <v>0.4</v>
      </c>
      <c r="I1157" s="31" t="s">
        <v>18</v>
      </c>
      <c r="J1157" s="31" t="s">
        <v>61</v>
      </c>
      <c r="K1157" s="32"/>
      <c r="L1157" s="32" t="e">
        <f ca="1">_xludf.ifna(VLOOKUP(E1157,Parámetros!$D$2:$E$34,2,0),"")</f>
        <v>#NAME?</v>
      </c>
      <c r="M1157" s="32" t="e">
        <f ca="1">_xludf.ifna(VLOOKUP(G1157,Proyectos!$A$2:$T$674,20,0),"")</f>
        <v>#NAME?</v>
      </c>
      <c r="N1157" s="32" t="e">
        <f ca="1">_xludf.ifna(VLOOKUP(G1157,Proyectos!$A$2:$S$674,19,0))</f>
        <v>#NAME?</v>
      </c>
      <c r="O1157" s="31"/>
      <c r="P1157" s="31"/>
      <c r="Q1157" s="33"/>
      <c r="R1157" s="33"/>
      <c r="S1157" s="33"/>
      <c r="T1157" s="63">
        <f t="shared" si="11"/>
        <v>0</v>
      </c>
      <c r="U1157" s="33"/>
      <c r="V1157" s="33"/>
      <c r="W1157" s="33"/>
    </row>
    <row r="1158" spans="1:23" ht="16.5" customHeight="1" x14ac:dyDescent="0.2">
      <c r="A1158" s="26" t="s">
        <v>3874</v>
      </c>
      <c r="B1158" s="26" t="s">
        <v>3875</v>
      </c>
      <c r="C1158" s="26" t="s">
        <v>115</v>
      </c>
      <c r="D1158" s="26" t="s">
        <v>122</v>
      </c>
      <c r="E1158" s="26" t="s">
        <v>39</v>
      </c>
      <c r="F1158" s="28" t="e">
        <f ca="1">_xludf.ifna(VLOOKUP(G1158,Proyectos!$A$2:$F$674,6,0),"")</f>
        <v>#NAME?</v>
      </c>
      <c r="G1158" s="26" t="s">
        <v>5240</v>
      </c>
      <c r="H1158" s="32">
        <v>0.2</v>
      </c>
      <c r="I1158" s="31" t="s">
        <v>18</v>
      </c>
      <c r="J1158" s="31" t="s">
        <v>61</v>
      </c>
      <c r="K1158" s="32"/>
      <c r="L1158" s="32" t="e">
        <f ca="1">_xludf.ifna(VLOOKUP(E1158,Parámetros!$D$2:$E$34,2,0),"")</f>
        <v>#NAME?</v>
      </c>
      <c r="M1158" s="32" t="e">
        <f ca="1">_xludf.ifna(VLOOKUP(G1158,Proyectos!$A$2:$T$674,20,0),"")</f>
        <v>#NAME?</v>
      </c>
      <c r="N1158" s="32" t="e">
        <f ca="1">_xludf.ifna(VLOOKUP(G1158,Proyectos!$A$2:$S$674,19,0))</f>
        <v>#NAME?</v>
      </c>
      <c r="O1158" s="31"/>
      <c r="P1158" s="31"/>
      <c r="Q1158" s="33"/>
      <c r="R1158" s="33"/>
      <c r="S1158" s="33"/>
      <c r="T1158" s="63">
        <f t="shared" si="11"/>
        <v>0</v>
      </c>
      <c r="U1158" s="33"/>
      <c r="V1158" s="33"/>
      <c r="W1158" s="33"/>
    </row>
    <row r="1159" spans="1:23" ht="16.5" customHeight="1" x14ac:dyDescent="0.2">
      <c r="A1159" s="26" t="s">
        <v>4895</v>
      </c>
      <c r="B1159" s="26" t="s">
        <v>4896</v>
      </c>
      <c r="C1159" s="26" t="s">
        <v>115</v>
      </c>
      <c r="D1159" s="26" t="s">
        <v>122</v>
      </c>
      <c r="E1159" s="26" t="s">
        <v>129</v>
      </c>
      <c r="F1159" s="28" t="e">
        <f ca="1">_xludf.ifna(VLOOKUP(G1159,Proyectos!$A$2:$F$674,6,0),"")</f>
        <v>#NAME?</v>
      </c>
      <c r="G1159" s="26" t="s">
        <v>5417</v>
      </c>
      <c r="H1159" s="32">
        <v>0.4</v>
      </c>
      <c r="I1159" s="31" t="s">
        <v>32</v>
      </c>
      <c r="J1159" s="31" t="s">
        <v>61</v>
      </c>
      <c r="K1159" s="32"/>
      <c r="L1159" s="32" t="e">
        <f ca="1">_xludf.ifna(VLOOKUP(E1159,Parámetros!$D$2:$E$34,2,0),"")</f>
        <v>#NAME?</v>
      </c>
      <c r="M1159" s="32" t="e">
        <f ca="1">_xludf.ifna(VLOOKUP(G1159,Proyectos!$A$2:$T$674,20,0),"")</f>
        <v>#NAME?</v>
      </c>
      <c r="N1159" s="32" t="e">
        <f ca="1">_xludf.ifna(VLOOKUP(G1159,Proyectos!$A$2:$S$674,19,0))</f>
        <v>#NAME?</v>
      </c>
      <c r="O1159" s="32"/>
      <c r="P1159" s="31"/>
      <c r="Q1159" s="33"/>
      <c r="R1159" s="33"/>
      <c r="S1159" s="33"/>
      <c r="T1159" s="63">
        <f t="shared" si="11"/>
        <v>1</v>
      </c>
      <c r="U1159" s="33"/>
      <c r="V1159" s="33"/>
      <c r="W1159" s="33"/>
    </row>
    <row r="1160" spans="1:23" ht="16.5" customHeight="1" x14ac:dyDescent="0.2">
      <c r="A1160" s="94" t="s">
        <v>4895</v>
      </c>
      <c r="B1160" s="26" t="s">
        <v>4896</v>
      </c>
      <c r="C1160" s="26" t="s">
        <v>115</v>
      </c>
      <c r="D1160" s="26" t="s">
        <v>122</v>
      </c>
      <c r="E1160" s="26" t="s">
        <v>129</v>
      </c>
      <c r="F1160" s="28" t="e">
        <f ca="1">_xludf.ifna(VLOOKUP(G1160,Proyectos!$A$2:$F$674,6,0),"")</f>
        <v>#NAME?</v>
      </c>
      <c r="G1160" s="26" t="s">
        <v>5422</v>
      </c>
      <c r="H1160" s="32">
        <v>0.3</v>
      </c>
      <c r="I1160" s="31" t="s">
        <v>32</v>
      </c>
      <c r="J1160" s="31" t="s">
        <v>61</v>
      </c>
      <c r="K1160" s="32"/>
      <c r="L1160" s="32" t="e">
        <f ca="1">_xludf.ifna(VLOOKUP(E1160,Parámetros!$D$2:$E$34,2,0),"")</f>
        <v>#NAME?</v>
      </c>
      <c r="M1160" s="32" t="e">
        <f ca="1">_xludf.ifna(VLOOKUP(G1160,Proyectos!$A$2:$T$674,20,0),"")</f>
        <v>#NAME?</v>
      </c>
      <c r="N1160" s="32" t="e">
        <f ca="1">_xludf.ifna(VLOOKUP(G1160,Proyectos!$A$2:$S$674,19,0))</f>
        <v>#NAME?</v>
      </c>
      <c r="O1160" s="32"/>
      <c r="P1160" s="31"/>
      <c r="Q1160" s="33"/>
      <c r="R1160" s="33"/>
      <c r="S1160" s="33"/>
      <c r="T1160" s="63">
        <f t="shared" si="11"/>
        <v>0</v>
      </c>
      <c r="U1160" s="33"/>
      <c r="V1160" s="33"/>
      <c r="W1160" s="33"/>
    </row>
    <row r="1161" spans="1:23" ht="16.5" customHeight="1" x14ac:dyDescent="0.2">
      <c r="A1161" s="26" t="s">
        <v>4895</v>
      </c>
      <c r="B1161" s="26" t="s">
        <v>4896</v>
      </c>
      <c r="C1161" s="26" t="s">
        <v>115</v>
      </c>
      <c r="D1161" s="26" t="s">
        <v>122</v>
      </c>
      <c r="E1161" s="26" t="s">
        <v>129</v>
      </c>
      <c r="F1161" s="28" t="e">
        <f ca="1">_xludf.ifna(VLOOKUP(G1161,Proyectos!$A$2:$F$674,6,0),"")</f>
        <v>#NAME?</v>
      </c>
      <c r="G1161" s="26" t="s">
        <v>5420</v>
      </c>
      <c r="H1161" s="32">
        <v>0.3</v>
      </c>
      <c r="I1161" s="31" t="s">
        <v>32</v>
      </c>
      <c r="J1161" s="31" t="s">
        <v>61</v>
      </c>
      <c r="K1161" s="32"/>
      <c r="L1161" s="32" t="e">
        <f ca="1">_xludf.ifna(VLOOKUP(E1161,Parámetros!$D$2:$E$34,2,0),"")</f>
        <v>#NAME?</v>
      </c>
      <c r="M1161" s="32" t="e">
        <f ca="1">_xludf.ifna(VLOOKUP(G1161,Proyectos!$A$2:$T$674,20,0),"")</f>
        <v>#NAME?</v>
      </c>
      <c r="N1161" s="32" t="e">
        <f ca="1">_xludf.ifna(VLOOKUP(G1161,Proyectos!$A$2:$S$674,19,0))</f>
        <v>#NAME?</v>
      </c>
      <c r="O1161" s="31"/>
      <c r="P1161" s="31"/>
      <c r="Q1161" s="33"/>
      <c r="R1161" s="33"/>
      <c r="S1161" s="33"/>
      <c r="T1161" s="63">
        <f t="shared" si="11"/>
        <v>0</v>
      </c>
      <c r="U1161" s="33"/>
      <c r="V1161" s="33"/>
      <c r="W1161" s="33"/>
    </row>
    <row r="1162" spans="1:23" ht="16.5" customHeight="1" x14ac:dyDescent="0.2">
      <c r="A1162" s="26" t="s">
        <v>3854</v>
      </c>
      <c r="B1162" s="26" t="s">
        <v>3855</v>
      </c>
      <c r="C1162" s="26" t="s">
        <v>115</v>
      </c>
      <c r="D1162" s="26" t="s">
        <v>122</v>
      </c>
      <c r="E1162" s="26" t="s">
        <v>39</v>
      </c>
      <c r="F1162" s="28" t="e">
        <f ca="1">_xludf.ifna(VLOOKUP(G1162,Proyectos!$A$2:$F$674,6,0),"")</f>
        <v>#NAME?</v>
      </c>
      <c r="G1162" s="26" t="s">
        <v>5416</v>
      </c>
      <c r="H1162" s="32">
        <v>0.2</v>
      </c>
      <c r="I1162" s="31" t="s">
        <v>18</v>
      </c>
      <c r="J1162" s="31" t="s">
        <v>61</v>
      </c>
      <c r="K1162" s="32"/>
      <c r="L1162" s="32" t="e">
        <f ca="1">_xludf.ifna(VLOOKUP(E1162,Parámetros!$D$2:$E$34,2,0),"")</f>
        <v>#NAME?</v>
      </c>
      <c r="M1162" s="32" t="e">
        <f ca="1">_xludf.ifna(VLOOKUP(G1162,Proyectos!$A$2:$T$674,20,0),"")</f>
        <v>#NAME?</v>
      </c>
      <c r="N1162" s="32" t="e">
        <f ca="1">_xludf.ifna(VLOOKUP(G1162,Proyectos!$A$2:$S$674,19,0))</f>
        <v>#NAME?</v>
      </c>
      <c r="O1162" s="31"/>
      <c r="P1162" s="31"/>
      <c r="Q1162" s="33"/>
      <c r="R1162" s="33"/>
      <c r="S1162" s="33"/>
      <c r="T1162" s="63">
        <f t="shared" si="11"/>
        <v>1</v>
      </c>
      <c r="U1162" s="33"/>
      <c r="V1162" s="33"/>
      <c r="W1162" s="33"/>
    </row>
    <row r="1163" spans="1:23" ht="16.5" customHeight="1" x14ac:dyDescent="0.2">
      <c r="A1163" s="26" t="s">
        <v>3854</v>
      </c>
      <c r="B1163" s="26" t="s">
        <v>3855</v>
      </c>
      <c r="C1163" s="26" t="s">
        <v>115</v>
      </c>
      <c r="D1163" s="26" t="s">
        <v>122</v>
      </c>
      <c r="E1163" s="26" t="s">
        <v>39</v>
      </c>
      <c r="F1163" s="28" t="e">
        <f ca="1">_xludf.ifna(VLOOKUP(G1163,Proyectos!$A$2:$F$674,6,0),"")</f>
        <v>#NAME?</v>
      </c>
      <c r="G1163" s="26" t="s">
        <v>5225</v>
      </c>
      <c r="H1163" s="32">
        <v>0.2</v>
      </c>
      <c r="I1163" s="31" t="s">
        <v>18</v>
      </c>
      <c r="J1163" s="31" t="s">
        <v>61</v>
      </c>
      <c r="K1163" s="32"/>
      <c r="L1163" s="32" t="e">
        <f ca="1">_xludf.ifna(VLOOKUP(E1163,Parámetros!$D$2:$E$34,2,0),"")</f>
        <v>#NAME?</v>
      </c>
      <c r="M1163" s="32" t="e">
        <f ca="1">_xludf.ifna(VLOOKUP(G1163,Proyectos!$A$2:$T$674,20,0),"")</f>
        <v>#NAME?</v>
      </c>
      <c r="N1163" s="32" t="e">
        <f ca="1">_xludf.ifna(VLOOKUP(G1163,Proyectos!$A$2:$S$674,19,0))</f>
        <v>#NAME?</v>
      </c>
      <c r="O1163" s="31"/>
      <c r="P1163" s="31"/>
      <c r="Q1163" s="33"/>
      <c r="R1163" s="33"/>
      <c r="S1163" s="33"/>
      <c r="T1163" s="63">
        <f t="shared" si="11"/>
        <v>0</v>
      </c>
      <c r="U1163" s="33"/>
      <c r="V1163" s="33"/>
      <c r="W1163" s="33"/>
    </row>
    <row r="1164" spans="1:23" ht="16.5" customHeight="1" x14ac:dyDescent="0.2">
      <c r="A1164" s="26" t="s">
        <v>3854</v>
      </c>
      <c r="B1164" s="26" t="s">
        <v>3855</v>
      </c>
      <c r="C1164" s="26" t="s">
        <v>115</v>
      </c>
      <c r="D1164" s="26" t="s">
        <v>122</v>
      </c>
      <c r="E1164" s="26" t="s">
        <v>39</v>
      </c>
      <c r="F1164" s="28" t="e">
        <f ca="1">_xludf.ifna(VLOOKUP(G1164,Proyectos!$A$2:$F$674,6,0),"")</f>
        <v>#NAME?</v>
      </c>
      <c r="G1164" s="26" t="s">
        <v>5117</v>
      </c>
      <c r="H1164" s="32">
        <v>0.2</v>
      </c>
      <c r="I1164" s="31" t="s">
        <v>18</v>
      </c>
      <c r="J1164" s="31" t="s">
        <v>61</v>
      </c>
      <c r="K1164" s="32"/>
      <c r="L1164" s="32" t="e">
        <f ca="1">_xludf.ifna(VLOOKUP(E1164,Parámetros!$D$2:$E$34,2,0),"")</f>
        <v>#NAME?</v>
      </c>
      <c r="M1164" s="32" t="e">
        <f ca="1">_xludf.ifna(VLOOKUP(G1164,Proyectos!$A$2:$T$674,20,0),"")</f>
        <v>#NAME?</v>
      </c>
      <c r="N1164" s="32" t="e">
        <f ca="1">_xludf.ifna(VLOOKUP(G1164,Proyectos!$A$2:$S$674,19,0))</f>
        <v>#NAME?</v>
      </c>
      <c r="O1164" s="31"/>
      <c r="P1164" s="31"/>
      <c r="Q1164" s="33"/>
      <c r="R1164" s="33"/>
      <c r="S1164" s="33"/>
      <c r="T1164" s="63">
        <f t="shared" si="11"/>
        <v>0</v>
      </c>
      <c r="U1164" s="33"/>
      <c r="V1164" s="33"/>
      <c r="W1164" s="33"/>
    </row>
    <row r="1165" spans="1:23" ht="16.5" customHeight="1" x14ac:dyDescent="0.2">
      <c r="A1165" s="26" t="s">
        <v>3854</v>
      </c>
      <c r="B1165" s="26" t="s">
        <v>3855</v>
      </c>
      <c r="C1165" s="26" t="s">
        <v>115</v>
      </c>
      <c r="D1165" s="26" t="s">
        <v>122</v>
      </c>
      <c r="E1165" s="26" t="s">
        <v>39</v>
      </c>
      <c r="F1165" s="28" t="e">
        <f ca="1">_xludf.ifna(VLOOKUP(G1165,Proyectos!$A$2:$F$674,6,0),"")</f>
        <v>#NAME?</v>
      </c>
      <c r="G1165" s="26" t="s">
        <v>5116</v>
      </c>
      <c r="H1165" s="32">
        <v>0.2</v>
      </c>
      <c r="I1165" s="31" t="s">
        <v>18</v>
      </c>
      <c r="J1165" s="31" t="s">
        <v>61</v>
      </c>
      <c r="K1165" s="32"/>
      <c r="L1165" s="32" t="e">
        <f ca="1">_xludf.ifna(VLOOKUP(E1165,Parámetros!$D$2:$E$34,2,0),"")</f>
        <v>#NAME?</v>
      </c>
      <c r="M1165" s="32" t="e">
        <f ca="1">_xludf.ifna(VLOOKUP(G1165,Proyectos!$A$2:$T$674,20,0),"")</f>
        <v>#NAME?</v>
      </c>
      <c r="N1165" s="32" t="e">
        <f ca="1">_xludf.ifna(VLOOKUP(G1165,Proyectos!$A$2:$S$674,19,0))</f>
        <v>#NAME?</v>
      </c>
      <c r="O1165" s="32"/>
      <c r="P1165" s="31"/>
      <c r="Q1165" s="33"/>
      <c r="R1165" s="33"/>
      <c r="S1165" s="33"/>
      <c r="T1165" s="63">
        <f t="shared" si="11"/>
        <v>0</v>
      </c>
      <c r="U1165" s="33"/>
      <c r="V1165" s="33"/>
      <c r="W1165" s="33"/>
    </row>
    <row r="1166" spans="1:23" ht="16.5" customHeight="1" x14ac:dyDescent="0.2">
      <c r="A1166" s="26" t="s">
        <v>3854</v>
      </c>
      <c r="B1166" s="26" t="s">
        <v>3855</v>
      </c>
      <c r="C1166" s="26" t="s">
        <v>115</v>
      </c>
      <c r="D1166" s="26" t="s">
        <v>122</v>
      </c>
      <c r="E1166" s="26" t="s">
        <v>39</v>
      </c>
      <c r="F1166" s="28" t="e">
        <f ca="1">_xludf.ifna(VLOOKUP(G1166,Proyectos!$A$2:$F$674,6,0),"")</f>
        <v>#NAME?</v>
      </c>
      <c r="G1166" s="29" t="s">
        <v>5114</v>
      </c>
      <c r="H1166" s="36">
        <v>0.2</v>
      </c>
      <c r="I1166" s="31" t="s">
        <v>18</v>
      </c>
      <c r="J1166" s="31" t="s">
        <v>61</v>
      </c>
      <c r="K1166" s="32"/>
      <c r="L1166" s="32" t="e">
        <f ca="1">_xludf.ifna(VLOOKUP(E1166,Parámetros!$D$2:$E$34,2,0),"")</f>
        <v>#NAME?</v>
      </c>
      <c r="M1166" s="32" t="e">
        <f ca="1">_xludf.ifna(VLOOKUP(G1166,Proyectos!$A$2:$T$674,20,0),"")</f>
        <v>#NAME?</v>
      </c>
      <c r="N1166" s="32" t="e">
        <f ca="1">_xludf.ifna(VLOOKUP(G1166,Proyectos!$A$2:$S$674,19,0))</f>
        <v>#NAME?</v>
      </c>
      <c r="O1166" s="32"/>
      <c r="P1166" s="31"/>
      <c r="Q1166" s="33"/>
      <c r="R1166" s="33"/>
      <c r="S1166" s="33"/>
      <c r="T1166" s="63">
        <f t="shared" si="11"/>
        <v>0</v>
      </c>
      <c r="U1166" s="33"/>
      <c r="V1166" s="33"/>
      <c r="W1166" s="33"/>
    </row>
    <row r="1167" spans="1:23" ht="16.5" customHeight="1" x14ac:dyDescent="0.2">
      <c r="A1167" s="26" t="s">
        <v>4505</v>
      </c>
      <c r="B1167" s="26" t="s">
        <v>4506</v>
      </c>
      <c r="C1167" s="26" t="s">
        <v>115</v>
      </c>
      <c r="D1167" s="26" t="s">
        <v>122</v>
      </c>
      <c r="E1167" s="26" t="s">
        <v>129</v>
      </c>
      <c r="F1167" s="28" t="e">
        <f ca="1">_xludf.ifna(VLOOKUP(G1167,Proyectos!$A$2:$F$674,6,0),"")</f>
        <v>#NAME?</v>
      </c>
      <c r="G1167" s="29" t="s">
        <v>5114</v>
      </c>
      <c r="H1167" s="36">
        <v>1</v>
      </c>
      <c r="I1167" s="31" t="s">
        <v>18</v>
      </c>
      <c r="J1167" s="31" t="s">
        <v>61</v>
      </c>
      <c r="K1167" s="32"/>
      <c r="L1167" s="32" t="e">
        <f ca="1">_xludf.ifna(VLOOKUP(E1167,Parámetros!$D$2:$E$34,2,0),"")</f>
        <v>#NAME?</v>
      </c>
      <c r="M1167" s="32" t="e">
        <f ca="1">_xludf.ifna(VLOOKUP(G1167,Proyectos!$A$2:$T$674,20,0),"")</f>
        <v>#NAME?</v>
      </c>
      <c r="N1167" s="32" t="e">
        <f ca="1">_xludf.ifna(VLOOKUP(G1167,Proyectos!$A$2:$S$674,19,0))</f>
        <v>#NAME?</v>
      </c>
      <c r="O1167" s="31"/>
      <c r="P1167" s="31"/>
      <c r="Q1167" s="33"/>
      <c r="R1167" s="33"/>
      <c r="S1167" s="33"/>
      <c r="T1167" s="63">
        <f t="shared" si="11"/>
        <v>1</v>
      </c>
      <c r="U1167" s="33"/>
      <c r="V1167" s="33"/>
      <c r="W1167" s="33"/>
    </row>
    <row r="1168" spans="1:23" ht="16.5" customHeight="1" x14ac:dyDescent="0.2">
      <c r="A1168" s="26" t="s">
        <v>3848</v>
      </c>
      <c r="B1168" s="26" t="s">
        <v>3849</v>
      </c>
      <c r="C1168" s="26" t="s">
        <v>115</v>
      </c>
      <c r="D1168" s="26" t="s">
        <v>122</v>
      </c>
      <c r="E1168" s="26" t="s">
        <v>39</v>
      </c>
      <c r="F1168" s="28" t="e">
        <f ca="1">_xludf.ifna(VLOOKUP(G1168,Proyectos!$A$2:$F$674,6,0),"")</f>
        <v>#NAME?</v>
      </c>
      <c r="G1168" s="26" t="s">
        <v>5413</v>
      </c>
      <c r="H1168" s="32">
        <v>1</v>
      </c>
      <c r="I1168" s="31" t="s">
        <v>18</v>
      </c>
      <c r="J1168" s="31" t="s">
        <v>19</v>
      </c>
      <c r="K1168" s="31"/>
      <c r="L1168" s="32" t="e">
        <f ca="1">_xludf.ifna(VLOOKUP(E1168,Parámetros!$D$2:$E$34,2,0),"")</f>
        <v>#NAME?</v>
      </c>
      <c r="M1168" s="32" t="e">
        <f ca="1">_xludf.ifna(VLOOKUP(G1168,Proyectos!$A$2:$T$674,20,0),"")</f>
        <v>#NAME?</v>
      </c>
      <c r="N1168" s="32" t="e">
        <f ca="1">_xludf.ifna(VLOOKUP(G1168,Proyectos!$A$2:$S$674,19,0))</f>
        <v>#NAME?</v>
      </c>
      <c r="O1168" s="31"/>
      <c r="P1168" s="31"/>
      <c r="Q1168" s="33"/>
      <c r="R1168" s="33"/>
      <c r="S1168" s="33"/>
      <c r="T1168" s="63">
        <f t="shared" si="11"/>
        <v>1</v>
      </c>
      <c r="U1168" s="33"/>
      <c r="V1168" s="33"/>
      <c r="W1168" s="33"/>
    </row>
    <row r="1169" spans="1:23" ht="16.5" customHeight="1" x14ac:dyDescent="0.2">
      <c r="A1169" s="27" t="s">
        <v>4241</v>
      </c>
      <c r="B1169" s="26" t="s">
        <v>4242</v>
      </c>
      <c r="C1169" s="26" t="s">
        <v>115</v>
      </c>
      <c r="D1169" s="26" t="s">
        <v>122</v>
      </c>
      <c r="E1169" s="27" t="s">
        <v>108</v>
      </c>
      <c r="F1169" s="28" t="e">
        <f ca="1">_xludf.ifna(VLOOKUP(G1169,Proyectos!$A$2:$F$674,6,0),"")</f>
        <v>#NAME?</v>
      </c>
      <c r="G1169" s="26" t="s">
        <v>5413</v>
      </c>
      <c r="H1169" s="32">
        <v>1</v>
      </c>
      <c r="I1169" s="31" t="s">
        <v>18</v>
      </c>
      <c r="J1169" s="31" t="s">
        <v>61</v>
      </c>
      <c r="K1169" s="32"/>
      <c r="L1169" s="32" t="e">
        <f ca="1">_xludf.ifna(VLOOKUP(E1169,Parámetros!$D$2:$E$34,2,0),"")</f>
        <v>#NAME?</v>
      </c>
      <c r="M1169" s="32" t="e">
        <f ca="1">_xludf.ifna(VLOOKUP(G1169,Proyectos!$A$2:$T$674,20,0),"")</f>
        <v>#NAME?</v>
      </c>
      <c r="N1169" s="32" t="e">
        <f ca="1">_xludf.ifna(VLOOKUP(G1169,Proyectos!$A$2:$S$674,19,0))</f>
        <v>#NAME?</v>
      </c>
      <c r="O1169" s="31"/>
      <c r="P1169" s="31"/>
      <c r="Q1169" s="33"/>
      <c r="R1169" s="33"/>
      <c r="S1169" s="33"/>
      <c r="T1169" s="63">
        <f t="shared" si="11"/>
        <v>1</v>
      </c>
      <c r="U1169" s="33"/>
      <c r="V1169" s="33"/>
      <c r="W1169" s="33"/>
    </row>
    <row r="1170" spans="1:23" ht="16.5" customHeight="1" x14ac:dyDescent="0.2">
      <c r="A1170" s="26" t="s">
        <v>3953</v>
      </c>
      <c r="B1170" s="26" t="s">
        <v>3954</v>
      </c>
      <c r="C1170" s="26" t="s">
        <v>115</v>
      </c>
      <c r="D1170" s="26" t="s">
        <v>122</v>
      </c>
      <c r="E1170" s="26" t="s">
        <v>129</v>
      </c>
      <c r="F1170" s="28" t="e">
        <f ca="1">_xludf.ifna(VLOOKUP(G1170,Proyectos!$A$2:$F$674,6,0),"")</f>
        <v>#NAME?</v>
      </c>
      <c r="G1170" s="29" t="s">
        <v>5114</v>
      </c>
      <c r="H1170" s="32">
        <v>1</v>
      </c>
      <c r="I1170" s="31" t="s">
        <v>18</v>
      </c>
      <c r="J1170" s="31" t="s">
        <v>61</v>
      </c>
      <c r="K1170" s="32"/>
      <c r="L1170" s="32" t="e">
        <f ca="1">_xludf.ifna(VLOOKUP(E1170,Parámetros!$D$2:$E$34,2,0),"")</f>
        <v>#NAME?</v>
      </c>
      <c r="M1170" s="32" t="e">
        <f ca="1">_xludf.ifna(VLOOKUP(G1170,Proyectos!$A$2:$T$674,20,0),"")</f>
        <v>#NAME?</v>
      </c>
      <c r="N1170" s="32" t="e">
        <f ca="1">_xludf.ifna(VLOOKUP(G1170,Proyectos!$A$2:$S$674,19,0))</f>
        <v>#NAME?</v>
      </c>
      <c r="O1170" s="31"/>
      <c r="P1170" s="31"/>
      <c r="Q1170" s="33"/>
      <c r="R1170" s="33"/>
      <c r="S1170" s="33"/>
      <c r="T1170" s="63">
        <f t="shared" si="11"/>
        <v>1</v>
      </c>
      <c r="U1170" s="33"/>
      <c r="V1170" s="33"/>
      <c r="W1170" s="33"/>
    </row>
    <row r="1171" spans="1:23" ht="16.5" customHeight="1" x14ac:dyDescent="0.2">
      <c r="A1171" s="26" t="s">
        <v>3611</v>
      </c>
      <c r="B1171" s="26" t="s">
        <v>3612</v>
      </c>
      <c r="C1171" s="66" t="s">
        <v>115</v>
      </c>
      <c r="D1171" s="27" t="s">
        <v>122</v>
      </c>
      <c r="E1171" s="27" t="s">
        <v>39</v>
      </c>
      <c r="F1171" s="28" t="e">
        <f ca="1">_xludf.ifna(VLOOKUP(G1171,Proyectos!$A$2:$F$674,6,0),"")</f>
        <v>#NAME?</v>
      </c>
      <c r="G1171" s="29" t="s">
        <v>5114</v>
      </c>
      <c r="H1171" s="44">
        <v>0.3</v>
      </c>
      <c r="I1171" s="31" t="s">
        <v>18</v>
      </c>
      <c r="J1171" s="27" t="s">
        <v>61</v>
      </c>
      <c r="K1171" s="51"/>
      <c r="L1171" s="32" t="e">
        <f ca="1">_xludf.ifna(VLOOKUP(E1171,Parámetros!$D$2:$E$34,2,0),"")</f>
        <v>#NAME?</v>
      </c>
      <c r="M1171" s="32" t="e">
        <f ca="1">_xludf.ifna(VLOOKUP(G1171,Proyectos!$A$2:$T$674,20,0),"")</f>
        <v>#NAME?</v>
      </c>
      <c r="N1171" s="32" t="e">
        <f ca="1">_xludf.ifna(VLOOKUP(G1171,Proyectos!$A$2:$S$674,19,0))</f>
        <v>#NAME?</v>
      </c>
      <c r="O1171" s="31"/>
      <c r="P1171" s="31"/>
      <c r="Q1171" s="33"/>
      <c r="R1171" s="33"/>
      <c r="S1171" s="33"/>
      <c r="T1171" s="63">
        <f t="shared" si="11"/>
        <v>1</v>
      </c>
      <c r="U1171" s="33"/>
      <c r="V1171" s="33"/>
      <c r="W1171" s="33"/>
    </row>
    <row r="1172" spans="1:23" ht="16.5" customHeight="1" x14ac:dyDescent="0.2">
      <c r="A1172" s="26" t="s">
        <v>3611</v>
      </c>
      <c r="B1172" s="26" t="s">
        <v>3612</v>
      </c>
      <c r="C1172" s="66" t="s">
        <v>115</v>
      </c>
      <c r="D1172" s="27" t="s">
        <v>122</v>
      </c>
      <c r="E1172" s="27" t="s">
        <v>39</v>
      </c>
      <c r="F1172" s="28" t="e">
        <f ca="1">_xludf.ifna(VLOOKUP(G1172,Proyectos!$A$2:$F$674,6,0),"")</f>
        <v>#NAME?</v>
      </c>
      <c r="G1172" s="27" t="s">
        <v>5430</v>
      </c>
      <c r="H1172" s="44">
        <v>0.7</v>
      </c>
      <c r="I1172" s="31" t="s">
        <v>18</v>
      </c>
      <c r="J1172" s="27" t="s">
        <v>61</v>
      </c>
      <c r="K1172" s="51"/>
      <c r="L1172" s="32" t="e">
        <f ca="1">_xludf.ifna(VLOOKUP(E1172,Parámetros!$D$2:$E$34,2,0),"")</f>
        <v>#NAME?</v>
      </c>
      <c r="M1172" s="32" t="e">
        <f ca="1">_xludf.ifna(VLOOKUP(G1172,Proyectos!$A$2:$T$674,20,0),"")</f>
        <v>#NAME?</v>
      </c>
      <c r="N1172" s="32" t="e">
        <f ca="1">_xludf.ifna(VLOOKUP(G1172,Proyectos!$A$2:$S$674,19,0))</f>
        <v>#NAME?</v>
      </c>
      <c r="O1172" s="31"/>
      <c r="P1172" s="31"/>
      <c r="Q1172" s="33"/>
      <c r="R1172" s="33"/>
      <c r="S1172" s="33"/>
      <c r="T1172" s="63">
        <f t="shared" si="11"/>
        <v>0</v>
      </c>
      <c r="U1172" s="33"/>
      <c r="V1172" s="33"/>
      <c r="W1172" s="33"/>
    </row>
    <row r="1173" spans="1:23" ht="16.5" customHeight="1" x14ac:dyDescent="0.2">
      <c r="A1173" s="26" t="s">
        <v>5049</v>
      </c>
      <c r="B1173" s="26" t="s">
        <v>5050</v>
      </c>
      <c r="C1173" s="26" t="s">
        <v>115</v>
      </c>
      <c r="D1173" s="26" t="s">
        <v>122</v>
      </c>
      <c r="E1173" s="26" t="s">
        <v>108</v>
      </c>
      <c r="F1173" s="28" t="e">
        <f ca="1">_xludf.ifna(VLOOKUP(G1173,Proyectos!$A$2:$F$674,6,0),"")</f>
        <v>#NAME?</v>
      </c>
      <c r="G1173" s="26" t="s">
        <v>5430</v>
      </c>
      <c r="H1173" s="32">
        <v>0.3</v>
      </c>
      <c r="I1173" s="31" t="s">
        <v>32</v>
      </c>
      <c r="J1173" s="31" t="s">
        <v>61</v>
      </c>
      <c r="K1173" s="32"/>
      <c r="L1173" s="32" t="e">
        <f ca="1">_xludf.ifna(VLOOKUP(E1173,Parámetros!$D$2:$E$34,2,0),"")</f>
        <v>#NAME?</v>
      </c>
      <c r="M1173" s="32" t="e">
        <f ca="1">_xludf.ifna(VLOOKUP(G1173,Proyectos!$A$2:$T$674,20,0),"")</f>
        <v>#NAME?</v>
      </c>
      <c r="N1173" s="32" t="e">
        <f ca="1">_xludf.ifna(VLOOKUP(G1173,Proyectos!$A$2:$S$674,19,0))</f>
        <v>#NAME?</v>
      </c>
      <c r="O1173" s="32"/>
      <c r="P1173" s="31"/>
      <c r="Q1173" s="33"/>
      <c r="R1173" s="33"/>
      <c r="S1173" s="33"/>
      <c r="T1173" s="63">
        <f t="shared" si="11"/>
        <v>1</v>
      </c>
      <c r="U1173" s="33"/>
      <c r="V1173" s="33"/>
      <c r="W1173" s="33"/>
    </row>
    <row r="1174" spans="1:23" ht="16.5" customHeight="1" x14ac:dyDescent="0.2">
      <c r="A1174" s="26" t="s">
        <v>5049</v>
      </c>
      <c r="B1174" s="26" t="s">
        <v>5050</v>
      </c>
      <c r="C1174" s="26" t="s">
        <v>115</v>
      </c>
      <c r="D1174" s="26" t="s">
        <v>122</v>
      </c>
      <c r="E1174" s="26" t="s">
        <v>108</v>
      </c>
      <c r="F1174" s="28" t="e">
        <f ca="1">_xludf.ifna(VLOOKUP(G1174,Proyectos!$A$2:$F$674,6,0),"")</f>
        <v>#NAME?</v>
      </c>
      <c r="G1174" s="26" t="s">
        <v>5426</v>
      </c>
      <c r="H1174" s="32">
        <v>0.3</v>
      </c>
      <c r="I1174" s="31" t="s">
        <v>32</v>
      </c>
      <c r="J1174" s="31" t="s">
        <v>61</v>
      </c>
      <c r="K1174" s="32"/>
      <c r="L1174" s="32" t="e">
        <f ca="1">_xludf.ifna(VLOOKUP(E1174,Parámetros!$D$2:$E$34,2,0),"")</f>
        <v>#NAME?</v>
      </c>
      <c r="M1174" s="32" t="e">
        <f ca="1">_xludf.ifna(VLOOKUP(G1174,Proyectos!$A$2:$T$674,20,0),"")</f>
        <v>#NAME?</v>
      </c>
      <c r="N1174" s="32" t="e">
        <f ca="1">_xludf.ifna(VLOOKUP(G1174,Proyectos!$A$2:$S$674,19,0))</f>
        <v>#NAME?</v>
      </c>
      <c r="O1174" s="32"/>
      <c r="P1174" s="31"/>
      <c r="Q1174" s="33"/>
      <c r="R1174" s="33"/>
      <c r="S1174" s="33"/>
      <c r="T1174" s="63">
        <f t="shared" si="11"/>
        <v>0</v>
      </c>
      <c r="U1174" s="33"/>
      <c r="V1174" s="33"/>
      <c r="W1174" s="33"/>
    </row>
    <row r="1175" spans="1:23" ht="16.5" customHeight="1" x14ac:dyDescent="0.2">
      <c r="A1175" s="26" t="s">
        <v>5049</v>
      </c>
      <c r="B1175" s="26" t="s">
        <v>5050</v>
      </c>
      <c r="C1175" s="53" t="s">
        <v>115</v>
      </c>
      <c r="D1175" s="26" t="s">
        <v>122</v>
      </c>
      <c r="E1175" s="26" t="s">
        <v>108</v>
      </c>
      <c r="F1175" s="28" t="e">
        <f ca="1">_xludf.ifna(VLOOKUP(G1175,Proyectos!$A$2:$F$674,6,0),"")</f>
        <v>#NAME?</v>
      </c>
      <c r="G1175" s="26" t="s">
        <v>5401</v>
      </c>
      <c r="H1175" s="32">
        <v>0.2</v>
      </c>
      <c r="I1175" s="31" t="s">
        <v>32</v>
      </c>
      <c r="J1175" s="31" t="s">
        <v>61</v>
      </c>
      <c r="K1175" s="32"/>
      <c r="L1175" s="32" t="e">
        <f ca="1">_xludf.ifna(VLOOKUP(E1175,Parámetros!$D$2:$E$34,2,0),"")</f>
        <v>#NAME?</v>
      </c>
      <c r="M1175" s="32" t="e">
        <f ca="1">_xludf.ifna(VLOOKUP(G1175,Proyectos!$A$2:$T$674,20,0),"")</f>
        <v>#NAME?</v>
      </c>
      <c r="N1175" s="32" t="e">
        <f ca="1">_xludf.ifna(VLOOKUP(G1175,Proyectos!$A$2:$S$674,19,0))</f>
        <v>#NAME?</v>
      </c>
      <c r="O1175" s="32"/>
      <c r="P1175" s="31"/>
      <c r="Q1175" s="33"/>
      <c r="R1175" s="33"/>
      <c r="S1175" s="33"/>
      <c r="T1175" s="63">
        <f t="shared" si="11"/>
        <v>0</v>
      </c>
      <c r="U1175" s="33"/>
      <c r="V1175" s="33"/>
      <c r="W1175" s="33"/>
    </row>
    <row r="1176" spans="1:23" ht="16.5" customHeight="1" x14ac:dyDescent="0.2">
      <c r="A1176" s="26" t="s">
        <v>5049</v>
      </c>
      <c r="B1176" s="26" t="s">
        <v>5050</v>
      </c>
      <c r="C1176" s="26" t="s">
        <v>115</v>
      </c>
      <c r="D1176" s="26" t="s">
        <v>122</v>
      </c>
      <c r="E1176" s="26" t="s">
        <v>108</v>
      </c>
      <c r="F1176" s="28" t="e">
        <f ca="1">_xludf.ifna(VLOOKUP(G1176,Proyectos!$A$2:$F$674,6,0),"")</f>
        <v>#NAME?</v>
      </c>
      <c r="G1176" s="26" t="s">
        <v>5120</v>
      </c>
      <c r="H1176" s="44">
        <v>0.2</v>
      </c>
      <c r="I1176" s="31" t="s">
        <v>32</v>
      </c>
      <c r="J1176" s="31" t="s">
        <v>61</v>
      </c>
      <c r="K1176" s="32"/>
      <c r="L1176" s="32" t="e">
        <f ca="1">_xludf.ifna(VLOOKUP(E1176,Parámetros!$D$2:$E$34,2,0),"")</f>
        <v>#NAME?</v>
      </c>
      <c r="M1176" s="32" t="e">
        <f ca="1">_xludf.ifna(VLOOKUP(G1176,Proyectos!$A$2:$T$674,20,0),"")</f>
        <v>#NAME?</v>
      </c>
      <c r="N1176" s="32" t="e">
        <f ca="1">_xludf.ifna(VLOOKUP(G1176,Proyectos!$A$2:$S$674,19,0))</f>
        <v>#NAME?</v>
      </c>
      <c r="O1176" s="31"/>
      <c r="P1176" s="31"/>
      <c r="Q1176" s="33"/>
      <c r="R1176" s="33"/>
      <c r="S1176" s="33"/>
      <c r="T1176" s="63">
        <f t="shared" si="11"/>
        <v>0</v>
      </c>
      <c r="U1176" s="33"/>
      <c r="V1176" s="33"/>
      <c r="W1176" s="33"/>
    </row>
    <row r="1177" spans="1:23" ht="16.5" customHeight="1" x14ac:dyDescent="0.2">
      <c r="A1177" s="26" t="s">
        <v>3553</v>
      </c>
      <c r="B1177" s="26" t="s">
        <v>3554</v>
      </c>
      <c r="C1177" s="26" t="s">
        <v>115</v>
      </c>
      <c r="D1177" s="26" t="s">
        <v>122</v>
      </c>
      <c r="E1177" s="26" t="s">
        <v>39</v>
      </c>
      <c r="F1177" s="28" t="e">
        <f ca="1">_xludf.ifna(VLOOKUP(G1177,Proyectos!$A$2:$F$674,6,0),"")</f>
        <v>#NAME?</v>
      </c>
      <c r="G1177" s="26" t="s">
        <v>5415</v>
      </c>
      <c r="H1177" s="32">
        <v>1</v>
      </c>
      <c r="I1177" s="31" t="s">
        <v>18</v>
      </c>
      <c r="J1177" s="31" t="s">
        <v>61</v>
      </c>
      <c r="K1177" s="32"/>
      <c r="L1177" s="32" t="e">
        <f ca="1">_xludf.ifna(VLOOKUP(E1177,Parámetros!$D$2:$E$34,2,0),"")</f>
        <v>#NAME?</v>
      </c>
      <c r="M1177" s="32" t="e">
        <f ca="1">_xludf.ifna(VLOOKUP(G1177,Proyectos!$A$2:$T$674,20,0),"")</f>
        <v>#NAME?</v>
      </c>
      <c r="N1177" s="32" t="e">
        <f ca="1">_xludf.ifna(VLOOKUP(G1177,Proyectos!$A$2:$S$674,19,0))</f>
        <v>#NAME?</v>
      </c>
      <c r="O1177" s="32"/>
      <c r="P1177" s="31"/>
      <c r="Q1177" s="33"/>
      <c r="R1177" s="33"/>
      <c r="S1177" s="33"/>
      <c r="T1177" s="63">
        <f t="shared" si="11"/>
        <v>1</v>
      </c>
      <c r="U1177" s="33"/>
      <c r="V1177" s="33"/>
      <c r="W1177" s="33"/>
    </row>
    <row r="1178" spans="1:23" ht="16.5" customHeight="1" x14ac:dyDescent="0.2">
      <c r="A1178" s="26" t="s">
        <v>4615</v>
      </c>
      <c r="B1178" s="26" t="s">
        <v>4616</v>
      </c>
      <c r="C1178" s="26" t="s">
        <v>115</v>
      </c>
      <c r="D1178" s="26" t="s">
        <v>122</v>
      </c>
      <c r="E1178" s="26" t="s">
        <v>39</v>
      </c>
      <c r="F1178" s="28" t="e">
        <f ca="1">_xludf.ifna(VLOOKUP(G1178,Proyectos!$A$2:$F$674,6,0),"")</f>
        <v>#NAME?</v>
      </c>
      <c r="G1178" s="26" t="s">
        <v>5431</v>
      </c>
      <c r="H1178" s="32">
        <v>0.5</v>
      </c>
      <c r="I1178" s="31" t="s">
        <v>18</v>
      </c>
      <c r="J1178" s="31" t="s">
        <v>61</v>
      </c>
      <c r="K1178" s="32"/>
      <c r="L1178" s="32" t="e">
        <f ca="1">_xludf.ifna(VLOOKUP(E1178,Parámetros!$D$2:$E$34,2,0),"")</f>
        <v>#NAME?</v>
      </c>
      <c r="M1178" s="32" t="e">
        <f ca="1">_xludf.ifna(VLOOKUP(G1178,Proyectos!$A$2:$T$674,20,0),"")</f>
        <v>#NAME?</v>
      </c>
      <c r="N1178" s="32" t="e">
        <f ca="1">_xludf.ifna(VLOOKUP(G1178,Proyectos!$A$2:$S$674,19,0))</f>
        <v>#NAME?</v>
      </c>
      <c r="O1178" s="32"/>
      <c r="P1178" s="31"/>
      <c r="Q1178" s="33"/>
      <c r="R1178" s="33"/>
      <c r="S1178" s="33"/>
      <c r="T1178" s="63">
        <f t="shared" si="11"/>
        <v>1</v>
      </c>
      <c r="U1178" s="33"/>
      <c r="V1178" s="33"/>
      <c r="W1178" s="33"/>
    </row>
    <row r="1179" spans="1:23" ht="16.5" customHeight="1" x14ac:dyDescent="0.2">
      <c r="A1179" s="26" t="s">
        <v>4615</v>
      </c>
      <c r="B1179" s="26" t="s">
        <v>4616</v>
      </c>
      <c r="C1179" s="26" t="s">
        <v>115</v>
      </c>
      <c r="D1179" s="26" t="s">
        <v>122</v>
      </c>
      <c r="E1179" s="26" t="s">
        <v>39</v>
      </c>
      <c r="F1179" s="28" t="e">
        <f ca="1">_xludf.ifna(VLOOKUP(G1179,Proyectos!$A$2:$F$674,6,0),"")</f>
        <v>#NAME?</v>
      </c>
      <c r="G1179" s="29" t="s">
        <v>5114</v>
      </c>
      <c r="H1179" s="32">
        <v>0.5</v>
      </c>
      <c r="I1179" s="31" t="s">
        <v>18</v>
      </c>
      <c r="J1179" s="31" t="s">
        <v>61</v>
      </c>
      <c r="K1179" s="31"/>
      <c r="L1179" s="32" t="e">
        <f ca="1">_xludf.ifna(VLOOKUP(E1179,Parámetros!$D$2:$E$34,2,0),"")</f>
        <v>#NAME?</v>
      </c>
      <c r="M1179" s="32" t="e">
        <f ca="1">_xludf.ifna(VLOOKUP(G1179,Proyectos!$A$2:$T$674,20,0),"")</f>
        <v>#NAME?</v>
      </c>
      <c r="N1179" s="32" t="e">
        <f ca="1">_xludf.ifna(VLOOKUP(G1179,Proyectos!$A$2:$S$674,19,0))</f>
        <v>#NAME?</v>
      </c>
      <c r="O1179" s="31"/>
      <c r="P1179" s="31"/>
      <c r="Q1179" s="33"/>
      <c r="R1179" s="33"/>
      <c r="S1179" s="33"/>
      <c r="T1179" s="63">
        <f t="shared" si="11"/>
        <v>0</v>
      </c>
      <c r="U1179" s="33"/>
      <c r="V1179" s="33"/>
      <c r="W1179" s="33"/>
    </row>
    <row r="1180" spans="1:23" ht="16.5" customHeight="1" x14ac:dyDescent="0.2">
      <c r="A1180" s="26" t="s">
        <v>3910</v>
      </c>
      <c r="B1180" s="26" t="s">
        <v>3911</v>
      </c>
      <c r="C1180" s="26" t="s">
        <v>115</v>
      </c>
      <c r="D1180" s="26" t="s">
        <v>122</v>
      </c>
      <c r="E1180" s="26" t="s">
        <v>108</v>
      </c>
      <c r="F1180" s="28" t="e">
        <f ca="1">_xludf.ifna(VLOOKUP(G1180,Proyectos!$A$2:$F$674,6,0),"")</f>
        <v>#NAME?</v>
      </c>
      <c r="G1180" s="26" t="s">
        <v>5413</v>
      </c>
      <c r="H1180" s="32">
        <v>0.1</v>
      </c>
      <c r="I1180" s="31" t="s">
        <v>25</v>
      </c>
      <c r="J1180" s="31" t="s">
        <v>61</v>
      </c>
      <c r="K1180" s="31"/>
      <c r="L1180" s="32" t="e">
        <f ca="1">_xludf.ifna(VLOOKUP(E1180,Parámetros!$D$2:$E$34,2,0),"")</f>
        <v>#NAME?</v>
      </c>
      <c r="M1180" s="32" t="e">
        <f ca="1">_xludf.ifna(VLOOKUP(G1180,Proyectos!$A$2:$T$674,20,0),"")</f>
        <v>#NAME?</v>
      </c>
      <c r="N1180" s="32" t="e">
        <f ca="1">_xludf.ifna(VLOOKUP(G1180,Proyectos!$A$2:$S$674,19,0))</f>
        <v>#NAME?</v>
      </c>
      <c r="O1180" s="31"/>
      <c r="P1180" s="31"/>
      <c r="Q1180" s="33"/>
      <c r="R1180" s="33"/>
      <c r="S1180" s="33"/>
      <c r="T1180" s="63">
        <f t="shared" si="11"/>
        <v>1</v>
      </c>
      <c r="U1180" s="33"/>
      <c r="V1180" s="33"/>
      <c r="W1180" s="33"/>
    </row>
    <row r="1181" spans="1:23" ht="16.5" customHeight="1" x14ac:dyDescent="0.2">
      <c r="A1181" s="26" t="s">
        <v>3910</v>
      </c>
      <c r="B1181" s="26" t="s">
        <v>3911</v>
      </c>
      <c r="C1181" s="26" t="s">
        <v>115</v>
      </c>
      <c r="D1181" s="26" t="s">
        <v>122</v>
      </c>
      <c r="E1181" s="26" t="s">
        <v>108</v>
      </c>
      <c r="F1181" s="28" t="e">
        <f ca="1">_xludf.ifna(VLOOKUP(G1181,Proyectos!$A$2:$F$674,6,0),"")</f>
        <v>#NAME?</v>
      </c>
      <c r="G1181" s="29" t="s">
        <v>5114</v>
      </c>
      <c r="H1181" s="32">
        <v>0.6</v>
      </c>
      <c r="I1181" s="31" t="s">
        <v>25</v>
      </c>
      <c r="J1181" s="31" t="s">
        <v>61</v>
      </c>
      <c r="K1181" s="32"/>
      <c r="L1181" s="32" t="e">
        <f ca="1">_xludf.ifna(VLOOKUP(E1181,Parámetros!$D$2:$E$34,2,0),"")</f>
        <v>#NAME?</v>
      </c>
      <c r="M1181" s="32" t="e">
        <f ca="1">_xludf.ifna(VLOOKUP(G1181,Proyectos!$A$2:$T$674,20,0),"")</f>
        <v>#NAME?</v>
      </c>
      <c r="N1181" s="32" t="e">
        <f ca="1">_xludf.ifna(VLOOKUP(G1181,Proyectos!$A$2:$S$674,19,0))</f>
        <v>#NAME?</v>
      </c>
      <c r="O1181" s="32"/>
      <c r="P1181" s="31"/>
      <c r="Q1181" s="33"/>
      <c r="R1181" s="33"/>
      <c r="S1181" s="33"/>
      <c r="T1181" s="63">
        <f t="shared" si="11"/>
        <v>0</v>
      </c>
      <c r="U1181" s="33"/>
      <c r="V1181" s="33"/>
      <c r="W1181" s="33"/>
    </row>
    <row r="1182" spans="1:23" ht="16.5" customHeight="1" x14ac:dyDescent="0.2">
      <c r="A1182" s="25" t="s">
        <v>3910</v>
      </c>
      <c r="B1182" s="26" t="s">
        <v>3911</v>
      </c>
      <c r="C1182" s="26" t="s">
        <v>115</v>
      </c>
      <c r="D1182" s="26" t="s">
        <v>122</v>
      </c>
      <c r="E1182" s="26" t="s">
        <v>108</v>
      </c>
      <c r="F1182" s="28" t="e">
        <f ca="1">_xludf.ifna(VLOOKUP(G1182,Proyectos!$A$2:$F$674,6,0),"")</f>
        <v>#NAME?</v>
      </c>
      <c r="G1182" s="26" t="s">
        <v>5423</v>
      </c>
      <c r="H1182" s="32">
        <v>0.2</v>
      </c>
      <c r="I1182" s="31" t="s">
        <v>25</v>
      </c>
      <c r="J1182" s="31" t="s">
        <v>61</v>
      </c>
      <c r="K1182" s="32"/>
      <c r="L1182" s="32" t="e">
        <f ca="1">_xludf.ifna(VLOOKUP(E1182,Parámetros!$D$2:$E$34,2,0),"")</f>
        <v>#NAME?</v>
      </c>
      <c r="M1182" s="32" t="e">
        <f ca="1">_xludf.ifna(VLOOKUP(G1182,Proyectos!$A$2:$T$674,20,0),"")</f>
        <v>#NAME?</v>
      </c>
      <c r="N1182" s="32" t="e">
        <f ca="1">_xludf.ifna(VLOOKUP(G1182,Proyectos!$A$2:$S$674,19,0))</f>
        <v>#NAME?</v>
      </c>
      <c r="O1182" s="32"/>
      <c r="P1182" s="31"/>
      <c r="Q1182" s="33"/>
      <c r="R1182" s="33"/>
      <c r="S1182" s="33"/>
      <c r="T1182" s="63">
        <f t="shared" si="11"/>
        <v>0</v>
      </c>
      <c r="U1182" s="33"/>
      <c r="V1182" s="33"/>
      <c r="W1182" s="33"/>
    </row>
    <row r="1183" spans="1:23" ht="16.5" customHeight="1" x14ac:dyDescent="0.2">
      <c r="A1183" s="26" t="s">
        <v>3910</v>
      </c>
      <c r="B1183" s="26" t="s">
        <v>3911</v>
      </c>
      <c r="C1183" s="26" t="s">
        <v>115</v>
      </c>
      <c r="D1183" s="26" t="s">
        <v>122</v>
      </c>
      <c r="E1183" s="26" t="s">
        <v>108</v>
      </c>
      <c r="F1183" s="28" t="e">
        <f ca="1">_xludf.ifna(VLOOKUP(G1183,Proyectos!$A$2:$F$674,6,0),"")</f>
        <v>#NAME?</v>
      </c>
      <c r="G1183" s="26" t="s">
        <v>5414</v>
      </c>
      <c r="H1183" s="32">
        <v>0.1</v>
      </c>
      <c r="I1183" s="31" t="s">
        <v>25</v>
      </c>
      <c r="J1183" s="31" t="s">
        <v>61</v>
      </c>
      <c r="K1183" s="32"/>
      <c r="L1183" s="32" t="e">
        <f ca="1">_xludf.ifna(VLOOKUP(E1183,Parámetros!$D$2:$E$34,2,0),"")</f>
        <v>#NAME?</v>
      </c>
      <c r="M1183" s="32" t="e">
        <f ca="1">_xludf.ifna(VLOOKUP(G1183,Proyectos!$A$2:$T$674,20,0),"")</f>
        <v>#NAME?</v>
      </c>
      <c r="N1183" s="32" t="e">
        <f ca="1">_xludf.ifna(VLOOKUP(G1183,Proyectos!$A$2:$S$674,19,0))</f>
        <v>#NAME?</v>
      </c>
      <c r="O1183" s="31"/>
      <c r="P1183" s="31"/>
      <c r="Q1183" s="33"/>
      <c r="R1183" s="33"/>
      <c r="S1183" s="33"/>
      <c r="T1183" s="63">
        <f t="shared" si="11"/>
        <v>0</v>
      </c>
      <c r="U1183" s="33"/>
      <c r="V1183" s="33"/>
      <c r="W1183" s="33"/>
    </row>
    <row r="1184" spans="1:23" ht="16.5" customHeight="1" x14ac:dyDescent="0.2">
      <c r="A1184" s="26" t="s">
        <v>3540</v>
      </c>
      <c r="B1184" s="26" t="s">
        <v>3541</v>
      </c>
      <c r="C1184" s="26" t="s">
        <v>115</v>
      </c>
      <c r="D1184" s="26" t="s">
        <v>122</v>
      </c>
      <c r="E1184" s="26" t="s">
        <v>39</v>
      </c>
      <c r="F1184" s="28" t="e">
        <f ca="1">_xludf.ifna(VLOOKUP(G1184,Proyectos!$A$2:$F$674,6,0),"")</f>
        <v>#NAME?</v>
      </c>
      <c r="G1184" s="26" t="s">
        <v>5416</v>
      </c>
      <c r="H1184" s="32">
        <v>0.6</v>
      </c>
      <c r="I1184" s="31" t="s">
        <v>18</v>
      </c>
      <c r="J1184" s="31" t="s">
        <v>61</v>
      </c>
      <c r="K1184" s="32"/>
      <c r="L1184" s="32" t="e">
        <f ca="1">_xludf.ifna(VLOOKUP(E1184,Parámetros!$D$2:$E$34,2,0),"")</f>
        <v>#NAME?</v>
      </c>
      <c r="M1184" s="32" t="e">
        <f ca="1">_xludf.ifna(VLOOKUP(G1184,Proyectos!$A$2:$T$674,20,0),"")</f>
        <v>#NAME?</v>
      </c>
      <c r="N1184" s="32" t="e">
        <f ca="1">_xludf.ifna(VLOOKUP(G1184,Proyectos!$A$2:$S$674,19,0))</f>
        <v>#NAME?</v>
      </c>
      <c r="O1184" s="32"/>
      <c r="P1184" s="31"/>
      <c r="Q1184" s="33"/>
      <c r="R1184" s="33"/>
      <c r="S1184" s="33"/>
      <c r="T1184" s="63">
        <f t="shared" si="11"/>
        <v>1</v>
      </c>
      <c r="U1184" s="33"/>
      <c r="V1184" s="33"/>
      <c r="W1184" s="33"/>
    </row>
    <row r="1185" spans="1:23" ht="16.5" customHeight="1" x14ac:dyDescent="0.2">
      <c r="A1185" s="26" t="s">
        <v>3540</v>
      </c>
      <c r="B1185" s="26" t="s">
        <v>3541</v>
      </c>
      <c r="C1185" s="26" t="s">
        <v>115</v>
      </c>
      <c r="D1185" s="26" t="s">
        <v>122</v>
      </c>
      <c r="E1185" s="26" t="s">
        <v>39</v>
      </c>
      <c r="F1185" s="28" t="e">
        <f ca="1">_xludf.ifna(VLOOKUP(G1185,Proyectos!$A$2:$F$674,6,0),"")</f>
        <v>#NAME?</v>
      </c>
      <c r="G1185" s="26" t="s">
        <v>5117</v>
      </c>
      <c r="H1185" s="32">
        <v>0.4</v>
      </c>
      <c r="I1185" s="31" t="s">
        <v>18</v>
      </c>
      <c r="J1185" s="31" t="s">
        <v>61</v>
      </c>
      <c r="K1185" s="32"/>
      <c r="L1185" s="32" t="e">
        <f ca="1">_xludf.ifna(VLOOKUP(E1185,Parámetros!$D$2:$E$34,2,0),"")</f>
        <v>#NAME?</v>
      </c>
      <c r="M1185" s="32" t="e">
        <f ca="1">_xludf.ifna(VLOOKUP(G1185,Proyectos!$A$2:$T$674,20,0),"")</f>
        <v>#NAME?</v>
      </c>
      <c r="N1185" s="32" t="e">
        <f ca="1">_xludf.ifna(VLOOKUP(G1185,Proyectos!$A$2:$S$674,19,0))</f>
        <v>#NAME?</v>
      </c>
      <c r="O1185" s="32"/>
      <c r="P1185" s="31"/>
      <c r="Q1185" s="33"/>
      <c r="R1185" s="33"/>
      <c r="S1185" s="33"/>
      <c r="T1185" s="63">
        <f t="shared" si="11"/>
        <v>0</v>
      </c>
      <c r="U1185" s="33"/>
      <c r="V1185" s="33"/>
      <c r="W1185" s="33"/>
    </row>
    <row r="1186" spans="1:23" ht="16.5" customHeight="1" x14ac:dyDescent="0.2">
      <c r="A1186" s="26" t="s">
        <v>3453</v>
      </c>
      <c r="B1186" s="26" t="s">
        <v>3454</v>
      </c>
      <c r="C1186" s="26" t="s">
        <v>115</v>
      </c>
      <c r="D1186" s="26" t="s">
        <v>122</v>
      </c>
      <c r="E1186" s="26" t="s">
        <v>39</v>
      </c>
      <c r="F1186" s="28" t="e">
        <f ca="1">_xludf.ifna(VLOOKUP(G1186,Proyectos!$A$2:$F$674,6,0),"")</f>
        <v>#NAME?</v>
      </c>
      <c r="G1186" s="26" t="s">
        <v>5428</v>
      </c>
      <c r="H1186" s="32">
        <v>0.25</v>
      </c>
      <c r="I1186" s="31" t="s">
        <v>18</v>
      </c>
      <c r="J1186" s="31" t="s">
        <v>61</v>
      </c>
      <c r="K1186" s="32"/>
      <c r="L1186" s="32" t="e">
        <f ca="1">_xludf.ifna(VLOOKUP(E1186,Parámetros!$D$2:$E$34,2,0),"")</f>
        <v>#NAME?</v>
      </c>
      <c r="M1186" s="32" t="e">
        <f ca="1">_xludf.ifna(VLOOKUP(G1186,Proyectos!$A$2:$T$674,20,0),"")</f>
        <v>#NAME?</v>
      </c>
      <c r="N1186" s="32" t="e">
        <f ca="1">_xludf.ifna(VLOOKUP(G1186,Proyectos!$A$2:$S$674,19,0))</f>
        <v>#NAME?</v>
      </c>
      <c r="O1186" s="32"/>
      <c r="P1186" s="31"/>
      <c r="Q1186" s="33"/>
      <c r="R1186" s="33"/>
      <c r="S1186" s="33"/>
      <c r="T1186" s="63">
        <f t="shared" si="11"/>
        <v>1</v>
      </c>
      <c r="U1186" s="33"/>
      <c r="V1186" s="33"/>
      <c r="W1186" s="33"/>
    </row>
    <row r="1187" spans="1:23" ht="16.5" customHeight="1" x14ac:dyDescent="0.2">
      <c r="A1187" s="26" t="s">
        <v>3453</v>
      </c>
      <c r="B1187" s="26" t="s">
        <v>3454</v>
      </c>
      <c r="C1187" s="26" t="s">
        <v>115</v>
      </c>
      <c r="D1187" s="26" t="s">
        <v>122</v>
      </c>
      <c r="E1187" s="26" t="s">
        <v>39</v>
      </c>
      <c r="F1187" s="28" t="e">
        <f ca="1">_xludf.ifna(VLOOKUP(G1187,Proyectos!$A$2:$F$674,6,0),"")</f>
        <v>#NAME?</v>
      </c>
      <c r="G1187" s="26" t="s">
        <v>5432</v>
      </c>
      <c r="H1187" s="32">
        <v>0.25</v>
      </c>
      <c r="I1187" s="31" t="s">
        <v>18</v>
      </c>
      <c r="J1187" s="31" t="s">
        <v>61</v>
      </c>
      <c r="K1187" s="32"/>
      <c r="L1187" s="32" t="e">
        <f ca="1">_xludf.ifna(VLOOKUP(E1187,Parámetros!$D$2:$E$34,2,0),"")</f>
        <v>#NAME?</v>
      </c>
      <c r="M1187" s="32" t="e">
        <f ca="1">_xludf.ifna(VLOOKUP(G1187,Proyectos!$A$2:$T$674,20,0),"")</f>
        <v>#NAME?</v>
      </c>
      <c r="N1187" s="32" t="e">
        <f ca="1">_xludf.ifna(VLOOKUP(G1187,Proyectos!$A$2:$S$674,19,0))</f>
        <v>#NAME?</v>
      </c>
      <c r="O1187" s="31"/>
      <c r="P1187" s="31"/>
      <c r="Q1187" s="33"/>
      <c r="R1187" s="33"/>
      <c r="S1187" s="33"/>
      <c r="T1187" s="63">
        <f t="shared" si="11"/>
        <v>0</v>
      </c>
      <c r="U1187" s="33"/>
      <c r="V1187" s="33"/>
      <c r="W1187" s="33"/>
    </row>
    <row r="1188" spans="1:23" ht="16.5" customHeight="1" x14ac:dyDescent="0.2">
      <c r="A1188" s="26" t="s">
        <v>3453</v>
      </c>
      <c r="B1188" s="26" t="s">
        <v>3454</v>
      </c>
      <c r="C1188" s="26" t="s">
        <v>115</v>
      </c>
      <c r="D1188" s="26" t="s">
        <v>122</v>
      </c>
      <c r="E1188" s="26" t="s">
        <v>39</v>
      </c>
      <c r="F1188" s="28" t="e">
        <f ca="1">_xludf.ifna(VLOOKUP(G1188,Proyectos!$A$2:$F$674,6,0),"")</f>
        <v>#NAME?</v>
      </c>
      <c r="G1188" s="26" t="s">
        <v>5429</v>
      </c>
      <c r="H1188" s="32">
        <v>0.25</v>
      </c>
      <c r="I1188" s="31" t="s">
        <v>18</v>
      </c>
      <c r="J1188" s="31" t="s">
        <v>61</v>
      </c>
      <c r="K1188" s="32"/>
      <c r="L1188" s="32" t="e">
        <f ca="1">_xludf.ifna(VLOOKUP(E1188,Parámetros!$D$2:$E$34,2,0),"")</f>
        <v>#NAME?</v>
      </c>
      <c r="M1188" s="32" t="e">
        <f ca="1">_xludf.ifna(VLOOKUP(G1188,Proyectos!$A$2:$T$674,20,0),"")</f>
        <v>#NAME?</v>
      </c>
      <c r="N1188" s="32" t="e">
        <f ca="1">_xludf.ifna(VLOOKUP(G1188,Proyectos!$A$2:$S$674,19,0))</f>
        <v>#NAME?</v>
      </c>
      <c r="O1188" s="32"/>
      <c r="P1188" s="31"/>
      <c r="Q1188" s="33"/>
      <c r="R1188" s="33"/>
      <c r="S1188" s="33"/>
      <c r="T1188" s="63">
        <f t="shared" si="11"/>
        <v>0</v>
      </c>
      <c r="U1188" s="33"/>
      <c r="V1188" s="33"/>
      <c r="W1188" s="33"/>
    </row>
    <row r="1189" spans="1:23" ht="16.5" customHeight="1" x14ac:dyDescent="0.2">
      <c r="A1189" s="26" t="s">
        <v>3453</v>
      </c>
      <c r="B1189" s="26" t="s">
        <v>3454</v>
      </c>
      <c r="C1189" s="26" t="s">
        <v>115</v>
      </c>
      <c r="D1189" s="26" t="s">
        <v>122</v>
      </c>
      <c r="E1189" s="26" t="s">
        <v>39</v>
      </c>
      <c r="F1189" s="28" t="e">
        <f ca="1">_xludf.ifna(VLOOKUP(G1189,Proyectos!$A$2:$F$674,6,0),"")</f>
        <v>#NAME?</v>
      </c>
      <c r="G1189" s="26" t="s">
        <v>5433</v>
      </c>
      <c r="H1189" s="32">
        <v>0.25</v>
      </c>
      <c r="I1189" s="31" t="s">
        <v>18</v>
      </c>
      <c r="J1189" s="31" t="s">
        <v>61</v>
      </c>
      <c r="K1189" s="32"/>
      <c r="L1189" s="32" t="e">
        <f ca="1">_xludf.ifna(VLOOKUP(E1189,Parámetros!$D$2:$E$34,2,0),"")</f>
        <v>#NAME?</v>
      </c>
      <c r="M1189" s="32" t="e">
        <f ca="1">_xludf.ifna(VLOOKUP(G1189,Proyectos!$A$2:$T$674,20,0),"")</f>
        <v>#NAME?</v>
      </c>
      <c r="N1189" s="32" t="e">
        <f ca="1">_xludf.ifna(VLOOKUP(G1189,Proyectos!$A$2:$S$674,19,0))</f>
        <v>#NAME?</v>
      </c>
      <c r="O1189" s="32"/>
      <c r="P1189" s="31"/>
      <c r="Q1189" s="33"/>
      <c r="R1189" s="33"/>
      <c r="S1189" s="33"/>
      <c r="T1189" s="63">
        <f t="shared" si="11"/>
        <v>0</v>
      </c>
      <c r="U1189" s="33"/>
      <c r="V1189" s="33"/>
      <c r="W1189" s="33"/>
    </row>
    <row r="1190" spans="1:23" ht="16.5" customHeight="1" x14ac:dyDescent="0.2">
      <c r="A1190" s="26" t="s">
        <v>3729</v>
      </c>
      <c r="B1190" s="26" t="s">
        <v>3730</v>
      </c>
      <c r="C1190" s="26" t="s">
        <v>115</v>
      </c>
      <c r="D1190" s="26" t="s">
        <v>122</v>
      </c>
      <c r="E1190" s="26" t="s">
        <v>39</v>
      </c>
      <c r="F1190" s="28" t="e">
        <f ca="1">_xludf.ifna(VLOOKUP(G1190,Proyectos!$A$2:$F$674,6,0),"")</f>
        <v>#NAME?</v>
      </c>
      <c r="G1190" s="26" t="s">
        <v>5413</v>
      </c>
      <c r="H1190" s="32">
        <v>0.8</v>
      </c>
      <c r="I1190" s="31" t="s">
        <v>18</v>
      </c>
      <c r="J1190" s="31" t="s">
        <v>12</v>
      </c>
      <c r="K1190" s="32"/>
      <c r="L1190" s="32" t="e">
        <f ca="1">_xludf.ifna(VLOOKUP(E1190,Parámetros!$D$2:$E$34,2,0),"")</f>
        <v>#NAME?</v>
      </c>
      <c r="M1190" s="32" t="e">
        <f ca="1">_xludf.ifna(VLOOKUP(G1190,Proyectos!$A$2:$T$674,20,0),"")</f>
        <v>#NAME?</v>
      </c>
      <c r="N1190" s="32" t="e">
        <f ca="1">_xludf.ifna(VLOOKUP(G1190,Proyectos!$A$2:$S$674,19,0))</f>
        <v>#NAME?</v>
      </c>
      <c r="O1190" s="32"/>
      <c r="P1190" s="31"/>
      <c r="Q1190" s="33"/>
      <c r="R1190" s="33"/>
      <c r="S1190" s="33"/>
      <c r="T1190" s="63">
        <f t="shared" si="11"/>
        <v>1</v>
      </c>
      <c r="U1190" s="33"/>
      <c r="V1190" s="33"/>
      <c r="W1190" s="33"/>
    </row>
    <row r="1191" spans="1:23" ht="16.5" customHeight="1" x14ac:dyDescent="0.2">
      <c r="A1191" s="26" t="s">
        <v>3729</v>
      </c>
      <c r="B1191" s="26" t="s">
        <v>3730</v>
      </c>
      <c r="C1191" s="26" t="s">
        <v>115</v>
      </c>
      <c r="D1191" s="26" t="s">
        <v>122</v>
      </c>
      <c r="E1191" s="26" t="s">
        <v>39</v>
      </c>
      <c r="F1191" s="28" t="e">
        <f ca="1">_xludf.ifna(VLOOKUP(G1191,Proyectos!$A$2:$F$674,6,0),"")</f>
        <v>#NAME?</v>
      </c>
      <c r="G1191" s="26" t="s">
        <v>5282</v>
      </c>
      <c r="H1191" s="32">
        <v>0.2</v>
      </c>
      <c r="I1191" s="31" t="s">
        <v>18</v>
      </c>
      <c r="J1191" s="31" t="s">
        <v>12</v>
      </c>
      <c r="K1191" s="32"/>
      <c r="L1191" s="32" t="e">
        <f ca="1">_xludf.ifna(VLOOKUP(E1191,Parámetros!$D$2:$E$34,2,0),"")</f>
        <v>#NAME?</v>
      </c>
      <c r="M1191" s="32" t="e">
        <f ca="1">_xludf.ifna(VLOOKUP(G1191,Proyectos!$A$2:$T$674,20,0),"")</f>
        <v>#NAME?</v>
      </c>
      <c r="N1191" s="32" t="e">
        <f ca="1">_xludf.ifna(VLOOKUP(G1191,Proyectos!$A$2:$S$674,19,0))</f>
        <v>#NAME?</v>
      </c>
      <c r="O1191" s="32"/>
      <c r="P1191" s="31"/>
      <c r="Q1191" s="33"/>
      <c r="R1191" s="33"/>
      <c r="S1191" s="33"/>
      <c r="T1191" s="63">
        <f t="shared" si="11"/>
        <v>0</v>
      </c>
      <c r="U1191" s="33"/>
      <c r="V1191" s="33"/>
      <c r="W1191" s="33"/>
    </row>
    <row r="1192" spans="1:23" ht="16.5" customHeight="1" x14ac:dyDescent="0.2">
      <c r="A1192" s="26" t="s">
        <v>3369</v>
      </c>
      <c r="B1192" s="26" t="s">
        <v>3370</v>
      </c>
      <c r="C1192" s="26" t="s">
        <v>115</v>
      </c>
      <c r="D1192" s="26" t="s">
        <v>122</v>
      </c>
      <c r="E1192" s="26" t="s">
        <v>39</v>
      </c>
      <c r="F1192" s="28" t="e">
        <f ca="1">_xludf.ifna(VLOOKUP(G1192,Proyectos!$A$2:$F$674,6,0),"")</f>
        <v>#NAME?</v>
      </c>
      <c r="G1192" s="26" t="s">
        <v>5427</v>
      </c>
      <c r="H1192" s="32">
        <v>0.15</v>
      </c>
      <c r="I1192" s="31" t="s">
        <v>11</v>
      </c>
      <c r="J1192" s="31" t="s">
        <v>61</v>
      </c>
      <c r="K1192" s="32"/>
      <c r="L1192" s="32" t="e">
        <f ca="1">_xludf.ifna(VLOOKUP(E1192,Parámetros!$D$2:$E$34,2,0),"")</f>
        <v>#NAME?</v>
      </c>
      <c r="M1192" s="32" t="e">
        <f ca="1">_xludf.ifna(VLOOKUP(G1192,Proyectos!$A$2:$T$674,20,0),"")</f>
        <v>#NAME?</v>
      </c>
      <c r="N1192" s="32" t="e">
        <f ca="1">_xludf.ifna(VLOOKUP(G1192,Proyectos!$A$2:$S$674,19,0))</f>
        <v>#NAME?</v>
      </c>
      <c r="O1192" s="32"/>
      <c r="P1192" s="31"/>
      <c r="Q1192" s="33"/>
      <c r="R1192" s="33"/>
      <c r="S1192" s="33"/>
      <c r="T1192" s="63">
        <f t="shared" si="11"/>
        <v>1</v>
      </c>
      <c r="U1192" s="33"/>
      <c r="V1192" s="33"/>
      <c r="W1192" s="33"/>
    </row>
    <row r="1193" spans="1:23" ht="16.5" customHeight="1" x14ac:dyDescent="0.2">
      <c r="A1193" s="26" t="s">
        <v>3369</v>
      </c>
      <c r="B1193" s="26" t="s">
        <v>3370</v>
      </c>
      <c r="C1193" s="26" t="s">
        <v>115</v>
      </c>
      <c r="D1193" s="26" t="s">
        <v>122</v>
      </c>
      <c r="E1193" s="26" t="s">
        <v>39</v>
      </c>
      <c r="F1193" s="28" t="e">
        <f ca="1">_xludf.ifna(VLOOKUP(G1193,Proyectos!$A$2:$F$674,6,0),"")</f>
        <v>#NAME?</v>
      </c>
      <c r="G1193" s="29" t="s">
        <v>5114</v>
      </c>
      <c r="H1193" s="44">
        <v>0.1</v>
      </c>
      <c r="I1193" s="31" t="s">
        <v>11</v>
      </c>
      <c r="J1193" s="31" t="s">
        <v>61</v>
      </c>
      <c r="K1193" s="32"/>
      <c r="L1193" s="32" t="e">
        <f ca="1">_xludf.ifna(VLOOKUP(E1193,Parámetros!$D$2:$E$34,2,0),"")</f>
        <v>#NAME?</v>
      </c>
      <c r="M1193" s="32" t="e">
        <f ca="1">_xludf.ifna(VLOOKUP(G1193,Proyectos!$A$2:$T$674,20,0),"")</f>
        <v>#NAME?</v>
      </c>
      <c r="N1193" s="32" t="e">
        <f ca="1">_xludf.ifna(VLOOKUP(G1193,Proyectos!$A$2:$S$674,19,0))</f>
        <v>#NAME?</v>
      </c>
      <c r="O1193" s="32"/>
      <c r="P1193" s="31"/>
      <c r="Q1193" s="33"/>
      <c r="R1193" s="33"/>
      <c r="S1193" s="33"/>
      <c r="T1193" s="63">
        <f t="shared" si="11"/>
        <v>0</v>
      </c>
      <c r="U1193" s="33"/>
      <c r="V1193" s="33"/>
      <c r="W1193" s="33"/>
    </row>
    <row r="1194" spans="1:23" ht="16.5" customHeight="1" x14ac:dyDescent="0.2">
      <c r="A1194" s="26" t="s">
        <v>3369</v>
      </c>
      <c r="B1194" s="26" t="s">
        <v>3370</v>
      </c>
      <c r="C1194" s="26" t="s">
        <v>115</v>
      </c>
      <c r="D1194" s="26" t="s">
        <v>122</v>
      </c>
      <c r="E1194" s="26" t="s">
        <v>39</v>
      </c>
      <c r="F1194" s="28" t="e">
        <f ca="1">_xludf.ifna(VLOOKUP(G1194,Proyectos!$A$2:$F$674,6,0),"")</f>
        <v>#NAME?</v>
      </c>
      <c r="G1194" s="26" t="s">
        <v>5428</v>
      </c>
      <c r="H1194" s="32">
        <v>0.15</v>
      </c>
      <c r="I1194" s="31" t="s">
        <v>11</v>
      </c>
      <c r="J1194" s="31" t="s">
        <v>61</v>
      </c>
      <c r="K1194" s="31"/>
      <c r="L1194" s="32" t="e">
        <f ca="1">_xludf.ifna(VLOOKUP(E1194,Parámetros!$D$2:$E$34,2,0),"")</f>
        <v>#NAME?</v>
      </c>
      <c r="M1194" s="32" t="e">
        <f ca="1">_xludf.ifna(VLOOKUP(G1194,Proyectos!$A$2:$T$674,20,0),"")</f>
        <v>#NAME?</v>
      </c>
      <c r="N1194" s="32" t="e">
        <f ca="1">_xludf.ifna(VLOOKUP(G1194,Proyectos!$A$2:$S$674,19,0))</f>
        <v>#NAME?</v>
      </c>
      <c r="O1194" s="31"/>
      <c r="P1194" s="31"/>
      <c r="Q1194" s="33"/>
      <c r="R1194" s="33"/>
      <c r="S1194" s="33"/>
      <c r="T1194" s="63">
        <f t="shared" si="11"/>
        <v>0</v>
      </c>
      <c r="U1194" s="33"/>
      <c r="V1194" s="33"/>
      <c r="W1194" s="33"/>
    </row>
    <row r="1195" spans="1:23" ht="16.5" customHeight="1" x14ac:dyDescent="0.2">
      <c r="A1195" s="26" t="s">
        <v>3369</v>
      </c>
      <c r="B1195" s="26" t="s">
        <v>3370</v>
      </c>
      <c r="C1195" s="26" t="s">
        <v>115</v>
      </c>
      <c r="D1195" s="26" t="s">
        <v>122</v>
      </c>
      <c r="E1195" s="26" t="s">
        <v>39</v>
      </c>
      <c r="F1195" s="28" t="e">
        <f ca="1">_xludf.ifna(VLOOKUP(G1195,Proyectos!$A$2:$F$674,6,0),"")</f>
        <v>#NAME?</v>
      </c>
      <c r="G1195" s="26" t="s">
        <v>5432</v>
      </c>
      <c r="H1195" s="32">
        <v>0.15</v>
      </c>
      <c r="I1195" s="31" t="s">
        <v>11</v>
      </c>
      <c r="J1195" s="31" t="s">
        <v>61</v>
      </c>
      <c r="K1195" s="31"/>
      <c r="L1195" s="32" t="e">
        <f ca="1">_xludf.ifna(VLOOKUP(E1195,Parámetros!$D$2:$E$34,2,0),"")</f>
        <v>#NAME?</v>
      </c>
      <c r="M1195" s="32" t="e">
        <f ca="1">_xludf.ifna(VLOOKUP(G1195,Proyectos!$A$2:$T$674,20,0),"")</f>
        <v>#NAME?</v>
      </c>
      <c r="N1195" s="32" t="e">
        <f ca="1">_xludf.ifna(VLOOKUP(G1195,Proyectos!$A$2:$S$674,19,0))</f>
        <v>#NAME?</v>
      </c>
      <c r="O1195" s="31"/>
      <c r="P1195" s="31"/>
      <c r="Q1195" s="33"/>
      <c r="R1195" s="33"/>
      <c r="S1195" s="33"/>
      <c r="T1195" s="63">
        <f t="shared" si="11"/>
        <v>0</v>
      </c>
      <c r="U1195" s="33"/>
      <c r="V1195" s="33"/>
      <c r="W1195" s="33"/>
    </row>
    <row r="1196" spans="1:23" ht="16.5" customHeight="1" x14ac:dyDescent="0.2">
      <c r="A1196" s="26" t="s">
        <v>3369</v>
      </c>
      <c r="B1196" s="26" t="s">
        <v>3370</v>
      </c>
      <c r="C1196" s="53" t="s">
        <v>115</v>
      </c>
      <c r="D1196" s="26" t="s">
        <v>122</v>
      </c>
      <c r="E1196" s="26" t="s">
        <v>39</v>
      </c>
      <c r="F1196" s="28" t="e">
        <f ca="1">_xludf.ifna(VLOOKUP(G1196,Proyectos!$A$2:$F$674,6,0),"")</f>
        <v>#NAME?</v>
      </c>
      <c r="G1196" s="26" t="s">
        <v>5429</v>
      </c>
      <c r="H1196" s="32">
        <v>0.15</v>
      </c>
      <c r="I1196" s="31" t="s">
        <v>11</v>
      </c>
      <c r="J1196" s="31" t="s">
        <v>61</v>
      </c>
      <c r="K1196" s="32"/>
      <c r="L1196" s="32" t="e">
        <f ca="1">_xludf.ifna(VLOOKUP(E1196,Parámetros!$D$2:$E$34,2,0),"")</f>
        <v>#NAME?</v>
      </c>
      <c r="M1196" s="32" t="e">
        <f ca="1">_xludf.ifna(VLOOKUP(G1196,Proyectos!$A$2:$T$674,20,0),"")</f>
        <v>#NAME?</v>
      </c>
      <c r="N1196" s="32" t="e">
        <f ca="1">_xludf.ifna(VLOOKUP(G1196,Proyectos!$A$2:$S$674,19,0))</f>
        <v>#NAME?</v>
      </c>
      <c r="O1196" s="32"/>
      <c r="P1196" s="31"/>
      <c r="Q1196" s="33"/>
      <c r="R1196" s="33"/>
      <c r="S1196" s="33"/>
      <c r="T1196" s="63">
        <f t="shared" si="11"/>
        <v>0</v>
      </c>
      <c r="U1196" s="33"/>
      <c r="V1196" s="33"/>
      <c r="W1196" s="33"/>
    </row>
    <row r="1197" spans="1:23" ht="16.5" customHeight="1" x14ac:dyDescent="0.2">
      <c r="A1197" s="26" t="s">
        <v>3369</v>
      </c>
      <c r="B1197" s="26" t="s">
        <v>3370</v>
      </c>
      <c r="C1197" s="26" t="s">
        <v>115</v>
      </c>
      <c r="D1197" s="26" t="s">
        <v>122</v>
      </c>
      <c r="E1197" s="26" t="s">
        <v>39</v>
      </c>
      <c r="F1197" s="28" t="e">
        <f ca="1">_xludf.ifna(VLOOKUP(G1197,Proyectos!$A$2:$F$674,6,0),"")</f>
        <v>#NAME?</v>
      </c>
      <c r="G1197" s="26" t="s">
        <v>5433</v>
      </c>
      <c r="H1197" s="32">
        <v>0.15</v>
      </c>
      <c r="I1197" s="31" t="s">
        <v>11</v>
      </c>
      <c r="J1197" s="31" t="s">
        <v>61</v>
      </c>
      <c r="K1197" s="32"/>
      <c r="L1197" s="32" t="e">
        <f ca="1">_xludf.ifna(VLOOKUP(E1197,Parámetros!$D$2:$E$34,2,0),"")</f>
        <v>#NAME?</v>
      </c>
      <c r="M1197" s="32" t="e">
        <f ca="1">_xludf.ifna(VLOOKUP(G1197,Proyectos!$A$2:$T$674,20,0),"")</f>
        <v>#NAME?</v>
      </c>
      <c r="N1197" s="32" t="e">
        <f ca="1">_xludf.ifna(VLOOKUP(G1197,Proyectos!$A$2:$S$674,19,0))</f>
        <v>#NAME?</v>
      </c>
      <c r="O1197" s="32"/>
      <c r="P1197" s="31"/>
      <c r="Q1197" s="33"/>
      <c r="R1197" s="33"/>
      <c r="S1197" s="33"/>
      <c r="T1197" s="63">
        <f t="shared" si="11"/>
        <v>0</v>
      </c>
      <c r="U1197" s="33"/>
      <c r="V1197" s="33"/>
      <c r="W1197" s="33"/>
    </row>
    <row r="1198" spans="1:23" ht="16.5" customHeight="1" x14ac:dyDescent="0.2">
      <c r="A1198" s="26" t="s">
        <v>3369</v>
      </c>
      <c r="B1198" s="26" t="s">
        <v>3370</v>
      </c>
      <c r="C1198" s="26" t="s">
        <v>115</v>
      </c>
      <c r="D1198" s="26" t="s">
        <v>122</v>
      </c>
      <c r="E1198" s="26" t="s">
        <v>39</v>
      </c>
      <c r="F1198" s="28" t="e">
        <f ca="1">_xludf.ifna(VLOOKUP(G1198,Proyectos!$A$2:$F$674,6,0),"")</f>
        <v>#NAME?</v>
      </c>
      <c r="G1198" s="26" t="s">
        <v>5240</v>
      </c>
      <c r="H1198" s="32">
        <v>0.15</v>
      </c>
      <c r="I1198" s="31" t="s">
        <v>11</v>
      </c>
      <c r="J1198" s="31" t="s">
        <v>61</v>
      </c>
      <c r="K1198" s="32"/>
      <c r="L1198" s="32" t="e">
        <f ca="1">_xludf.ifna(VLOOKUP(E1198,Parámetros!$D$2:$E$34,2,0),"")</f>
        <v>#NAME?</v>
      </c>
      <c r="M1198" s="32" t="e">
        <f ca="1">_xludf.ifna(VLOOKUP(G1198,Proyectos!$A$2:$T$674,20,0),"")</f>
        <v>#NAME?</v>
      </c>
      <c r="N1198" s="32" t="e">
        <f ca="1">_xludf.ifna(VLOOKUP(G1198,Proyectos!$A$2:$S$674,19,0))</f>
        <v>#NAME?</v>
      </c>
      <c r="O1198" s="31"/>
      <c r="P1198" s="31"/>
      <c r="Q1198" s="33"/>
      <c r="R1198" s="33"/>
      <c r="S1198" s="33"/>
      <c r="T1198" s="63">
        <f t="shared" si="11"/>
        <v>0</v>
      </c>
      <c r="U1198" s="33"/>
      <c r="V1198" s="33"/>
      <c r="W1198" s="33"/>
    </row>
    <row r="1199" spans="1:23" ht="16.5" customHeight="1" x14ac:dyDescent="0.2">
      <c r="A1199" s="26" t="s">
        <v>3592</v>
      </c>
      <c r="B1199" s="26" t="s">
        <v>3593</v>
      </c>
      <c r="C1199" s="26" t="s">
        <v>115</v>
      </c>
      <c r="D1199" s="26" t="s">
        <v>122</v>
      </c>
      <c r="E1199" s="26" t="s">
        <v>39</v>
      </c>
      <c r="F1199" s="28" t="e">
        <f ca="1">_xludf.ifna(VLOOKUP(G1199,Proyectos!$A$2:$F$674,6,0),"")</f>
        <v>#NAME?</v>
      </c>
      <c r="G1199" s="26" t="s">
        <v>5423</v>
      </c>
      <c r="H1199" s="32">
        <v>0.4</v>
      </c>
      <c r="I1199" s="31" t="s">
        <v>32</v>
      </c>
      <c r="J1199" s="31" t="s">
        <v>61</v>
      </c>
      <c r="K1199" s="32"/>
      <c r="L1199" s="32" t="e">
        <f ca="1">_xludf.ifna(VLOOKUP(E1199,Parámetros!$D$2:$E$34,2,0),"")</f>
        <v>#NAME?</v>
      </c>
      <c r="M1199" s="32" t="e">
        <f ca="1">_xludf.ifna(VLOOKUP(G1199,Proyectos!$A$2:$T$674,20,0),"")</f>
        <v>#NAME?</v>
      </c>
      <c r="N1199" s="32" t="e">
        <f ca="1">_xludf.ifna(VLOOKUP(G1199,Proyectos!$A$2:$S$674,19,0))</f>
        <v>#NAME?</v>
      </c>
      <c r="O1199" s="32"/>
      <c r="P1199" s="31"/>
      <c r="Q1199" s="33"/>
      <c r="R1199" s="33"/>
      <c r="S1199" s="33"/>
      <c r="T1199" s="63">
        <f t="shared" si="11"/>
        <v>1</v>
      </c>
      <c r="U1199" s="33"/>
      <c r="V1199" s="33"/>
      <c r="W1199" s="33"/>
    </row>
    <row r="1200" spans="1:23" ht="16.5" customHeight="1" x14ac:dyDescent="0.2">
      <c r="A1200" s="26" t="s">
        <v>3592</v>
      </c>
      <c r="B1200" s="26" t="s">
        <v>3593</v>
      </c>
      <c r="C1200" s="26" t="s">
        <v>115</v>
      </c>
      <c r="D1200" s="26" t="s">
        <v>122</v>
      </c>
      <c r="E1200" s="26" t="s">
        <v>39</v>
      </c>
      <c r="F1200" s="28" t="e">
        <f ca="1">_xludf.ifna(VLOOKUP(G1200,Proyectos!$A$2:$F$674,6,0),"")</f>
        <v>#NAME?</v>
      </c>
      <c r="G1200" s="26" t="s">
        <v>5424</v>
      </c>
      <c r="H1200" s="32">
        <v>0.3</v>
      </c>
      <c r="I1200" s="31" t="s">
        <v>32</v>
      </c>
      <c r="J1200" s="31" t="s">
        <v>61</v>
      </c>
      <c r="K1200" s="32"/>
      <c r="L1200" s="32" t="e">
        <f ca="1">_xludf.ifna(VLOOKUP(E1200,Parámetros!$D$2:$E$34,2,0),"")</f>
        <v>#NAME?</v>
      </c>
      <c r="M1200" s="32" t="e">
        <f ca="1">_xludf.ifna(VLOOKUP(G1200,Proyectos!$A$2:$T$674,20,0),"")</f>
        <v>#NAME?</v>
      </c>
      <c r="N1200" s="32" t="e">
        <f ca="1">_xludf.ifna(VLOOKUP(G1200,Proyectos!$A$2:$S$674,19,0))</f>
        <v>#NAME?</v>
      </c>
      <c r="O1200" s="32"/>
      <c r="P1200" s="31"/>
      <c r="Q1200" s="33"/>
      <c r="R1200" s="33"/>
      <c r="S1200" s="33"/>
      <c r="T1200" s="63">
        <f t="shared" si="11"/>
        <v>0</v>
      </c>
      <c r="U1200" s="33"/>
      <c r="V1200" s="33"/>
      <c r="W1200" s="33"/>
    </row>
    <row r="1201" spans="1:23" ht="16.5" customHeight="1" x14ac:dyDescent="0.2">
      <c r="A1201" s="26" t="s">
        <v>3592</v>
      </c>
      <c r="B1201" s="26" t="s">
        <v>3593</v>
      </c>
      <c r="C1201" s="26" t="s">
        <v>115</v>
      </c>
      <c r="D1201" s="26" t="s">
        <v>122</v>
      </c>
      <c r="E1201" s="26" t="s">
        <v>39</v>
      </c>
      <c r="F1201" s="28" t="e">
        <f ca="1">_xludf.ifna(VLOOKUP(G1201,Proyectos!$A$2:$F$674,6,0),"")</f>
        <v>#NAME?</v>
      </c>
      <c r="G1201" s="29" t="s">
        <v>5114</v>
      </c>
      <c r="H1201" s="32">
        <v>0.3</v>
      </c>
      <c r="I1201" s="31" t="s">
        <v>32</v>
      </c>
      <c r="J1201" s="31" t="s">
        <v>61</v>
      </c>
      <c r="K1201" s="32"/>
      <c r="L1201" s="32" t="e">
        <f ca="1">_xludf.ifna(VLOOKUP(E1201,Parámetros!$D$2:$E$34,2,0),"")</f>
        <v>#NAME?</v>
      </c>
      <c r="M1201" s="32" t="e">
        <f ca="1">_xludf.ifna(VLOOKUP(G1201,Proyectos!$A$2:$T$674,20,0),"")</f>
        <v>#NAME?</v>
      </c>
      <c r="N1201" s="32" t="e">
        <f ca="1">_xludf.ifna(VLOOKUP(G1201,Proyectos!$A$2:$S$674,19,0))</f>
        <v>#NAME?</v>
      </c>
      <c r="O1201" s="32"/>
      <c r="P1201" s="31"/>
      <c r="Q1201" s="33"/>
      <c r="R1201" s="33"/>
      <c r="S1201" s="33"/>
      <c r="T1201" s="63">
        <f t="shared" si="11"/>
        <v>0</v>
      </c>
      <c r="U1201" s="33"/>
      <c r="V1201" s="33"/>
      <c r="W1201" s="33"/>
    </row>
    <row r="1202" spans="1:23" ht="16.5" customHeight="1" x14ac:dyDescent="0.2">
      <c r="A1202" s="26" t="s">
        <v>3572</v>
      </c>
      <c r="B1202" s="26" t="s">
        <v>3573</v>
      </c>
      <c r="C1202" s="26" t="s">
        <v>115</v>
      </c>
      <c r="D1202" s="26" t="s">
        <v>122</v>
      </c>
      <c r="E1202" s="26" t="s">
        <v>39</v>
      </c>
      <c r="F1202" s="28" t="e">
        <f ca="1">_xludf.ifna(VLOOKUP(G1202,Proyectos!$A$2:$F$674,6,0),"")</f>
        <v>#NAME?</v>
      </c>
      <c r="G1202" s="26" t="s">
        <v>5414</v>
      </c>
      <c r="H1202" s="32">
        <v>1</v>
      </c>
      <c r="I1202" s="31" t="s">
        <v>18</v>
      </c>
      <c r="J1202" s="31" t="s">
        <v>12</v>
      </c>
      <c r="K1202" s="32"/>
      <c r="L1202" s="32" t="e">
        <f ca="1">_xludf.ifna(VLOOKUP(E1202,Parámetros!$D$2:$E$34,2,0),"")</f>
        <v>#NAME?</v>
      </c>
      <c r="M1202" s="32" t="e">
        <f ca="1">_xludf.ifna(VLOOKUP(G1202,Proyectos!$A$2:$T$674,20,0),"")</f>
        <v>#NAME?</v>
      </c>
      <c r="N1202" s="32" t="e">
        <f ca="1">_xludf.ifna(VLOOKUP(G1202,Proyectos!$A$2:$S$674,19,0))</f>
        <v>#NAME?</v>
      </c>
      <c r="O1202" s="32"/>
      <c r="P1202" s="31"/>
      <c r="Q1202" s="33"/>
      <c r="R1202" s="33"/>
      <c r="S1202" s="33"/>
      <c r="T1202" s="63">
        <f t="shared" si="11"/>
        <v>1</v>
      </c>
      <c r="U1202" s="33"/>
      <c r="V1202" s="33"/>
      <c r="W1202" s="33"/>
    </row>
    <row r="1203" spans="1:23" ht="16.5" customHeight="1" x14ac:dyDescent="0.2">
      <c r="A1203" s="26" t="s">
        <v>3313</v>
      </c>
      <c r="B1203" s="26" t="s">
        <v>3314</v>
      </c>
      <c r="C1203" s="26" t="s">
        <v>115</v>
      </c>
      <c r="D1203" s="26" t="s">
        <v>122</v>
      </c>
      <c r="E1203" s="26" t="s">
        <v>39</v>
      </c>
      <c r="F1203" s="28" t="e">
        <f ca="1">_xludf.ifna(VLOOKUP(G1203,Proyectos!$A$2:$F$674,6,0),"")</f>
        <v>#NAME?</v>
      </c>
      <c r="G1203" s="26" t="s">
        <v>5417</v>
      </c>
      <c r="H1203" s="32">
        <v>0.15</v>
      </c>
      <c r="I1203" s="31" t="s">
        <v>11</v>
      </c>
      <c r="J1203" s="31" t="s">
        <v>61</v>
      </c>
      <c r="K1203" s="32"/>
      <c r="L1203" s="32" t="e">
        <f ca="1">_xludf.ifna(VLOOKUP(E1203,Parámetros!$D$2:$E$34,2,0),"")</f>
        <v>#NAME?</v>
      </c>
      <c r="M1203" s="32" t="e">
        <f ca="1">_xludf.ifna(VLOOKUP(G1203,Proyectos!$A$2:$T$674,20,0),"")</f>
        <v>#NAME?</v>
      </c>
      <c r="N1203" s="32" t="e">
        <f ca="1">_xludf.ifna(VLOOKUP(G1203,Proyectos!$A$2:$S$674,19,0))</f>
        <v>#NAME?</v>
      </c>
      <c r="O1203" s="31"/>
      <c r="P1203" s="31"/>
      <c r="Q1203" s="33"/>
      <c r="R1203" s="33"/>
      <c r="S1203" s="33"/>
      <c r="T1203" s="63">
        <f t="shared" si="11"/>
        <v>1</v>
      </c>
      <c r="U1203" s="33"/>
      <c r="V1203" s="33"/>
      <c r="W1203" s="33"/>
    </row>
    <row r="1204" spans="1:23" ht="16.5" customHeight="1" x14ac:dyDescent="0.2">
      <c r="A1204" s="26" t="s">
        <v>3313</v>
      </c>
      <c r="B1204" s="26" t="s">
        <v>3314</v>
      </c>
      <c r="C1204" s="26" t="s">
        <v>115</v>
      </c>
      <c r="D1204" s="26" t="s">
        <v>122</v>
      </c>
      <c r="E1204" s="26" t="s">
        <v>39</v>
      </c>
      <c r="F1204" s="28" t="e">
        <f ca="1">_xludf.ifna(VLOOKUP(G1204,Proyectos!$A$2:$F$674,6,0),"")</f>
        <v>#NAME?</v>
      </c>
      <c r="G1204" s="26" t="s">
        <v>5430</v>
      </c>
      <c r="H1204" s="32">
        <v>0.2</v>
      </c>
      <c r="I1204" s="31" t="s">
        <v>11</v>
      </c>
      <c r="J1204" s="31" t="s">
        <v>61</v>
      </c>
      <c r="K1204" s="32"/>
      <c r="L1204" s="32" t="e">
        <f ca="1">_xludf.ifna(VLOOKUP(E1204,Parámetros!$D$2:$E$34,2,0),"")</f>
        <v>#NAME?</v>
      </c>
      <c r="M1204" s="32" t="e">
        <f ca="1">_xludf.ifna(VLOOKUP(G1204,Proyectos!$A$2:$T$674,20,0),"")</f>
        <v>#NAME?</v>
      </c>
      <c r="N1204" s="32" t="e">
        <f ca="1">_xludf.ifna(VLOOKUP(G1204,Proyectos!$A$2:$S$674,19,0))</f>
        <v>#NAME?</v>
      </c>
      <c r="O1204" s="32"/>
      <c r="P1204" s="31"/>
      <c r="Q1204" s="33"/>
      <c r="R1204" s="33"/>
      <c r="S1204" s="33"/>
      <c r="T1204" s="63">
        <f t="shared" si="11"/>
        <v>0</v>
      </c>
      <c r="U1204" s="33"/>
      <c r="V1204" s="33"/>
      <c r="W1204" s="33"/>
    </row>
    <row r="1205" spans="1:23" ht="16.5" customHeight="1" x14ac:dyDescent="0.2">
      <c r="A1205" s="26" t="s">
        <v>3313</v>
      </c>
      <c r="B1205" s="26" t="s">
        <v>3314</v>
      </c>
      <c r="C1205" s="26" t="s">
        <v>115</v>
      </c>
      <c r="D1205" s="26" t="s">
        <v>122</v>
      </c>
      <c r="E1205" s="26" t="s">
        <v>39</v>
      </c>
      <c r="F1205" s="28" t="e">
        <f ca="1">_xludf.ifna(VLOOKUP(G1205,Proyectos!$A$2:$F$674,6,0),"")</f>
        <v>#NAME?</v>
      </c>
      <c r="G1205" s="26" t="s">
        <v>5426</v>
      </c>
      <c r="H1205" s="32">
        <v>0.25</v>
      </c>
      <c r="I1205" s="31" t="s">
        <v>11</v>
      </c>
      <c r="J1205" s="31" t="s">
        <v>61</v>
      </c>
      <c r="K1205" s="32"/>
      <c r="L1205" s="32" t="e">
        <f ca="1">_xludf.ifna(VLOOKUP(E1205,Parámetros!$D$2:$E$34,2,0),"")</f>
        <v>#NAME?</v>
      </c>
      <c r="M1205" s="32" t="e">
        <f ca="1">_xludf.ifna(VLOOKUP(G1205,Proyectos!$A$2:$T$674,20,0),"")</f>
        <v>#NAME?</v>
      </c>
      <c r="N1205" s="32" t="e">
        <f ca="1">_xludf.ifna(VLOOKUP(G1205,Proyectos!$A$2:$S$674,19,0))</f>
        <v>#NAME?</v>
      </c>
      <c r="O1205" s="32"/>
      <c r="P1205" s="31"/>
      <c r="Q1205" s="33"/>
      <c r="R1205" s="33"/>
      <c r="S1205" s="33"/>
      <c r="T1205" s="63">
        <f t="shared" si="11"/>
        <v>0</v>
      </c>
      <c r="U1205" s="33"/>
      <c r="V1205" s="33"/>
      <c r="W1205" s="33"/>
    </row>
    <row r="1206" spans="1:23" ht="16.5" customHeight="1" x14ac:dyDescent="0.2">
      <c r="A1206" s="26" t="s">
        <v>3313</v>
      </c>
      <c r="B1206" s="26" t="s">
        <v>3314</v>
      </c>
      <c r="C1206" s="26" t="s">
        <v>115</v>
      </c>
      <c r="D1206" s="26" t="s">
        <v>122</v>
      </c>
      <c r="E1206" s="26" t="s">
        <v>39</v>
      </c>
      <c r="F1206" s="28" t="e">
        <f ca="1">_xludf.ifna(VLOOKUP(G1206,Proyectos!$A$2:$F$674,6,0),"")</f>
        <v>#NAME?</v>
      </c>
      <c r="G1206" s="26" t="s">
        <v>5422</v>
      </c>
      <c r="H1206" s="32">
        <v>0.15</v>
      </c>
      <c r="I1206" s="31" t="s">
        <v>11</v>
      </c>
      <c r="J1206" s="31" t="s">
        <v>61</v>
      </c>
      <c r="K1206" s="32"/>
      <c r="L1206" s="32" t="e">
        <f ca="1">_xludf.ifna(VLOOKUP(E1206,Parámetros!$D$2:$E$34,2,0),"")</f>
        <v>#NAME?</v>
      </c>
      <c r="M1206" s="32" t="e">
        <f ca="1">_xludf.ifna(VLOOKUP(G1206,Proyectos!$A$2:$T$674,20,0),"")</f>
        <v>#NAME?</v>
      </c>
      <c r="N1206" s="32" t="e">
        <f ca="1">_xludf.ifna(VLOOKUP(G1206,Proyectos!$A$2:$S$674,19,0))</f>
        <v>#NAME?</v>
      </c>
      <c r="O1206" s="32"/>
      <c r="P1206" s="31"/>
      <c r="Q1206" s="33"/>
      <c r="R1206" s="33"/>
      <c r="S1206" s="33"/>
      <c r="T1206" s="63">
        <f t="shared" si="11"/>
        <v>0</v>
      </c>
      <c r="U1206" s="33"/>
      <c r="V1206" s="33"/>
      <c r="W1206" s="33"/>
    </row>
    <row r="1207" spans="1:23" ht="16.5" customHeight="1" x14ac:dyDescent="0.2">
      <c r="A1207" s="26" t="s">
        <v>3313</v>
      </c>
      <c r="B1207" s="26" t="s">
        <v>3314</v>
      </c>
      <c r="C1207" s="26" t="s">
        <v>115</v>
      </c>
      <c r="D1207" s="26" t="s">
        <v>122</v>
      </c>
      <c r="E1207" s="26" t="s">
        <v>39</v>
      </c>
      <c r="F1207" s="28" t="e">
        <f ca="1">_xludf.ifna(VLOOKUP(G1207,Proyectos!$A$2:$F$674,6,0),"")</f>
        <v>#NAME?</v>
      </c>
      <c r="G1207" s="26" t="s">
        <v>5401</v>
      </c>
      <c r="H1207" s="32">
        <v>0.05</v>
      </c>
      <c r="I1207" s="31" t="s">
        <v>11</v>
      </c>
      <c r="J1207" s="31" t="s">
        <v>61</v>
      </c>
      <c r="K1207" s="32"/>
      <c r="L1207" s="32" t="e">
        <f ca="1">_xludf.ifna(VLOOKUP(E1207,Parámetros!$D$2:$E$34,2,0),"")</f>
        <v>#NAME?</v>
      </c>
      <c r="M1207" s="32" t="e">
        <f ca="1">_xludf.ifna(VLOOKUP(G1207,Proyectos!$A$2:$T$674,20,0),"")</f>
        <v>#NAME?</v>
      </c>
      <c r="N1207" s="32" t="e">
        <f ca="1">_xludf.ifna(VLOOKUP(G1207,Proyectos!$A$2:$S$674,19,0))</f>
        <v>#NAME?</v>
      </c>
      <c r="O1207" s="32"/>
      <c r="P1207" s="31"/>
      <c r="Q1207" s="33"/>
      <c r="R1207" s="33"/>
      <c r="S1207" s="33"/>
      <c r="T1207" s="63">
        <f t="shared" si="11"/>
        <v>0</v>
      </c>
      <c r="U1207" s="33"/>
      <c r="V1207" s="33"/>
      <c r="W1207" s="33"/>
    </row>
    <row r="1208" spans="1:23" ht="16.5" customHeight="1" x14ac:dyDescent="0.2">
      <c r="A1208" s="27" t="s">
        <v>3313</v>
      </c>
      <c r="B1208" s="26" t="s">
        <v>3314</v>
      </c>
      <c r="C1208" s="26" t="s">
        <v>115</v>
      </c>
      <c r="D1208" s="26" t="s">
        <v>122</v>
      </c>
      <c r="E1208" s="27" t="s">
        <v>39</v>
      </c>
      <c r="F1208" s="28" t="e">
        <f ca="1">_xludf.ifna(VLOOKUP(G1208,Proyectos!$A$2:$F$674,6,0),"")</f>
        <v>#NAME?</v>
      </c>
      <c r="G1208" s="26" t="s">
        <v>5420</v>
      </c>
      <c r="H1208" s="32">
        <v>0.1</v>
      </c>
      <c r="I1208" s="31" t="s">
        <v>11</v>
      </c>
      <c r="J1208" s="31" t="s">
        <v>61</v>
      </c>
      <c r="K1208" s="32"/>
      <c r="L1208" s="32" t="e">
        <f ca="1">_xludf.ifna(VLOOKUP(E1208,Parámetros!$D$2:$E$34,2,0),"")</f>
        <v>#NAME?</v>
      </c>
      <c r="M1208" s="32" t="e">
        <f ca="1">_xludf.ifna(VLOOKUP(G1208,Proyectos!$A$2:$T$674,20,0),"")</f>
        <v>#NAME?</v>
      </c>
      <c r="N1208" s="32" t="e">
        <f ca="1">_xludf.ifna(VLOOKUP(G1208,Proyectos!$A$2:$S$674,19,0))</f>
        <v>#NAME?</v>
      </c>
      <c r="O1208" s="32"/>
      <c r="P1208" s="31"/>
      <c r="Q1208" s="33"/>
      <c r="R1208" s="33"/>
      <c r="S1208" s="33"/>
      <c r="T1208" s="63">
        <f t="shared" si="11"/>
        <v>0</v>
      </c>
      <c r="U1208" s="33"/>
      <c r="V1208" s="33"/>
      <c r="W1208" s="33"/>
    </row>
    <row r="1209" spans="1:23" ht="16.5" customHeight="1" x14ac:dyDescent="0.2">
      <c r="A1209" s="26" t="s">
        <v>3313</v>
      </c>
      <c r="B1209" s="26" t="s">
        <v>3314</v>
      </c>
      <c r="C1209" s="26" t="s">
        <v>115</v>
      </c>
      <c r="D1209" s="26" t="s">
        <v>122</v>
      </c>
      <c r="E1209" s="26" t="s">
        <v>39</v>
      </c>
      <c r="F1209" s="28" t="e">
        <f ca="1">_xludf.ifna(VLOOKUP(G1209,Proyectos!$A$2:$F$674,6,0),"")</f>
        <v>#NAME?</v>
      </c>
      <c r="G1209" s="29" t="s">
        <v>5114</v>
      </c>
      <c r="H1209" s="32">
        <v>0.1</v>
      </c>
      <c r="I1209" s="31" t="s">
        <v>11</v>
      </c>
      <c r="J1209" s="31" t="s">
        <v>61</v>
      </c>
      <c r="K1209" s="31"/>
      <c r="L1209" s="32" t="e">
        <f ca="1">_xludf.ifna(VLOOKUP(E1209,Parámetros!$D$2:$E$34,2,0),"")</f>
        <v>#NAME?</v>
      </c>
      <c r="M1209" s="32" t="e">
        <f ca="1">_xludf.ifna(VLOOKUP(G1209,Proyectos!$A$2:$T$674,20,0),"")</f>
        <v>#NAME?</v>
      </c>
      <c r="N1209" s="32" t="e">
        <f ca="1">_xludf.ifna(VLOOKUP(G1209,Proyectos!$A$2:$S$674,19,0))</f>
        <v>#NAME?</v>
      </c>
      <c r="O1209" s="32"/>
      <c r="P1209" s="31"/>
      <c r="Q1209" s="33"/>
      <c r="R1209" s="33"/>
      <c r="S1209" s="33"/>
      <c r="T1209" s="63">
        <f t="shared" si="11"/>
        <v>0</v>
      </c>
      <c r="U1209" s="33"/>
      <c r="V1209" s="33"/>
      <c r="W1209" s="33"/>
    </row>
    <row r="1210" spans="1:23" ht="16.5" customHeight="1" x14ac:dyDescent="0.2">
      <c r="A1210" s="26" t="s">
        <v>3731</v>
      </c>
      <c r="B1210" s="26" t="s">
        <v>3732</v>
      </c>
      <c r="C1210" s="53" t="s">
        <v>115</v>
      </c>
      <c r="D1210" s="26" t="s">
        <v>122</v>
      </c>
      <c r="E1210" s="26" t="s">
        <v>39</v>
      </c>
      <c r="F1210" s="28" t="e">
        <f ca="1">_xludf.ifna(VLOOKUP(G1210,Proyectos!$A$2:$F$674,6,0),"")</f>
        <v>#NAME?</v>
      </c>
      <c r="G1210" s="26" t="s">
        <v>5431</v>
      </c>
      <c r="H1210" s="32">
        <v>0.5</v>
      </c>
      <c r="I1210" s="31" t="s">
        <v>18</v>
      </c>
      <c r="J1210" s="31" t="s">
        <v>61</v>
      </c>
      <c r="K1210" s="32"/>
      <c r="L1210" s="32" t="e">
        <f ca="1">_xludf.ifna(VLOOKUP(E1210,Parámetros!$D$2:$E$34,2,0),"")</f>
        <v>#NAME?</v>
      </c>
      <c r="M1210" s="32" t="e">
        <f ca="1">_xludf.ifna(VLOOKUP(G1210,Proyectos!$A$2:$T$674,20,0),"")</f>
        <v>#NAME?</v>
      </c>
      <c r="N1210" s="32" t="e">
        <f ca="1">_xludf.ifna(VLOOKUP(G1210,Proyectos!$A$2:$S$674,19,0))</f>
        <v>#NAME?</v>
      </c>
      <c r="O1210" s="32"/>
      <c r="P1210" s="31"/>
      <c r="Q1210" s="33"/>
      <c r="R1210" s="33"/>
      <c r="S1210" s="33"/>
      <c r="T1210" s="63">
        <f t="shared" si="11"/>
        <v>1</v>
      </c>
      <c r="U1210" s="33"/>
      <c r="V1210" s="33"/>
      <c r="W1210" s="33"/>
    </row>
    <row r="1211" spans="1:23" ht="16.5" customHeight="1" x14ac:dyDescent="0.2">
      <c r="A1211" s="26" t="s">
        <v>3731</v>
      </c>
      <c r="B1211" s="26" t="s">
        <v>3732</v>
      </c>
      <c r="C1211" s="27" t="s">
        <v>115</v>
      </c>
      <c r="D1211" s="27" t="s">
        <v>122</v>
      </c>
      <c r="E1211" s="27" t="s">
        <v>39</v>
      </c>
      <c r="F1211" s="28" t="e">
        <f ca="1">_xludf.ifna(VLOOKUP(G1211,Proyectos!$A$2:$F$674,6,0),"")</f>
        <v>#NAME?</v>
      </c>
      <c r="G1211" s="29" t="s">
        <v>5114</v>
      </c>
      <c r="H1211" s="51">
        <v>0.5</v>
      </c>
      <c r="I1211" s="31" t="s">
        <v>18</v>
      </c>
      <c r="J1211" s="27" t="s">
        <v>61</v>
      </c>
      <c r="K1211" s="51"/>
      <c r="L1211" s="32" t="e">
        <f ca="1">_xludf.ifna(VLOOKUP(E1211,Parámetros!$D$2:$E$34,2,0),"")</f>
        <v>#NAME?</v>
      </c>
      <c r="M1211" s="32" t="e">
        <f ca="1">_xludf.ifna(VLOOKUP(G1211,Proyectos!$A$2:$T$674,20,0),"")</f>
        <v>#NAME?</v>
      </c>
      <c r="N1211" s="32" t="e">
        <f ca="1">_xludf.ifna(VLOOKUP(G1211,Proyectos!$A$2:$S$674,19,0))</f>
        <v>#NAME?</v>
      </c>
      <c r="O1211" s="31"/>
      <c r="P1211" s="31"/>
      <c r="Q1211" s="33"/>
      <c r="R1211" s="33"/>
      <c r="S1211" s="33"/>
      <c r="T1211" s="63">
        <f t="shared" si="11"/>
        <v>0</v>
      </c>
      <c r="U1211" s="33"/>
      <c r="V1211" s="33"/>
      <c r="W1211" s="33"/>
    </row>
    <row r="1212" spans="1:23" ht="16.5" customHeight="1" x14ac:dyDescent="0.2">
      <c r="A1212" s="26" t="s">
        <v>4597</v>
      </c>
      <c r="B1212" s="26" t="s">
        <v>4598</v>
      </c>
      <c r="C1212" s="26" t="s">
        <v>115</v>
      </c>
      <c r="D1212" s="26" t="s">
        <v>122</v>
      </c>
      <c r="E1212" s="26" t="s">
        <v>39</v>
      </c>
      <c r="F1212" s="28" t="e">
        <f ca="1">_xludf.ifna(VLOOKUP(G1212,Proyectos!$A$2:$F$674,6,0),"")</f>
        <v>#NAME?</v>
      </c>
      <c r="G1212" s="26" t="s">
        <v>5423</v>
      </c>
      <c r="H1212" s="32">
        <v>0.1</v>
      </c>
      <c r="I1212" s="31" t="s">
        <v>18</v>
      </c>
      <c r="J1212" s="31" t="s">
        <v>61</v>
      </c>
      <c r="K1212" s="32"/>
      <c r="L1212" s="32" t="e">
        <f ca="1">_xludf.ifna(VLOOKUP(E1212,Parámetros!$D$2:$E$34,2,0),"")</f>
        <v>#NAME?</v>
      </c>
      <c r="M1212" s="32" t="e">
        <f ca="1">_xludf.ifna(VLOOKUP(G1212,Proyectos!$A$2:$T$674,20,0),"")</f>
        <v>#NAME?</v>
      </c>
      <c r="N1212" s="32" t="e">
        <f ca="1">_xludf.ifna(VLOOKUP(G1212,Proyectos!$A$2:$S$674,19,0))</f>
        <v>#NAME?</v>
      </c>
      <c r="O1212" s="32"/>
      <c r="P1212" s="31"/>
      <c r="Q1212" s="33"/>
      <c r="R1212" s="33"/>
      <c r="S1212" s="33"/>
      <c r="T1212" s="63">
        <f t="shared" si="11"/>
        <v>1</v>
      </c>
      <c r="U1212" s="33"/>
      <c r="V1212" s="33"/>
      <c r="W1212" s="33"/>
    </row>
    <row r="1213" spans="1:23" ht="16.5" customHeight="1" x14ac:dyDescent="0.2">
      <c r="A1213" s="26" t="s">
        <v>4597</v>
      </c>
      <c r="B1213" s="26" t="s">
        <v>4598</v>
      </c>
      <c r="C1213" s="26" t="s">
        <v>115</v>
      </c>
      <c r="D1213" s="26" t="s">
        <v>122</v>
      </c>
      <c r="E1213" s="26" t="s">
        <v>39</v>
      </c>
      <c r="F1213" s="28" t="e">
        <f ca="1">_xludf.ifna(VLOOKUP(G1213,Proyectos!$A$2:$F$674,6,0),"")</f>
        <v>#NAME?</v>
      </c>
      <c r="G1213" s="29" t="s">
        <v>5114</v>
      </c>
      <c r="H1213" s="32">
        <v>0.3</v>
      </c>
      <c r="I1213" s="31" t="s">
        <v>18</v>
      </c>
      <c r="J1213" s="31" t="s">
        <v>61</v>
      </c>
      <c r="K1213" s="32"/>
      <c r="L1213" s="32" t="e">
        <f ca="1">_xludf.ifna(VLOOKUP(E1213,Parámetros!$D$2:$E$34,2,0),"")</f>
        <v>#NAME?</v>
      </c>
      <c r="M1213" s="32" t="e">
        <f ca="1">_xludf.ifna(VLOOKUP(G1213,Proyectos!$A$2:$T$674,20,0),"")</f>
        <v>#NAME?</v>
      </c>
      <c r="N1213" s="32" t="e">
        <f ca="1">_xludf.ifna(VLOOKUP(G1213,Proyectos!$A$2:$S$674,19,0))</f>
        <v>#NAME?</v>
      </c>
      <c r="O1213" s="32"/>
      <c r="P1213" s="31"/>
      <c r="Q1213" s="33"/>
      <c r="R1213" s="33"/>
      <c r="S1213" s="33"/>
      <c r="T1213" s="63">
        <f t="shared" si="11"/>
        <v>0</v>
      </c>
      <c r="U1213" s="33"/>
      <c r="V1213" s="33"/>
      <c r="W1213" s="33"/>
    </row>
    <row r="1214" spans="1:23" ht="16.5" customHeight="1" x14ac:dyDescent="0.2">
      <c r="A1214" s="26" t="s">
        <v>4597</v>
      </c>
      <c r="B1214" s="26" t="s">
        <v>4598</v>
      </c>
      <c r="C1214" s="26" t="s">
        <v>115</v>
      </c>
      <c r="D1214" s="26" t="s">
        <v>122</v>
      </c>
      <c r="E1214" s="26" t="s">
        <v>39</v>
      </c>
      <c r="F1214" s="28" t="e">
        <f ca="1">_xludf.ifna(VLOOKUP(G1214,Proyectos!$A$2:$F$674,6,0),"")</f>
        <v>#NAME?</v>
      </c>
      <c r="G1214" s="26" t="s">
        <v>5424</v>
      </c>
      <c r="H1214" s="36">
        <v>0.3</v>
      </c>
      <c r="I1214" s="31" t="s">
        <v>18</v>
      </c>
      <c r="J1214" s="31" t="s">
        <v>61</v>
      </c>
      <c r="K1214" s="32"/>
      <c r="L1214" s="32" t="e">
        <f ca="1">_xludf.ifna(VLOOKUP(E1214,Parámetros!$D$2:$E$34,2,0),"")</f>
        <v>#NAME?</v>
      </c>
      <c r="M1214" s="32" t="e">
        <f ca="1">_xludf.ifna(VLOOKUP(G1214,Proyectos!$A$2:$T$674,20,0),"")</f>
        <v>#NAME?</v>
      </c>
      <c r="N1214" s="32" t="e">
        <f ca="1">_xludf.ifna(VLOOKUP(G1214,Proyectos!$A$2:$S$674,19,0))</f>
        <v>#NAME?</v>
      </c>
      <c r="O1214" s="31"/>
      <c r="P1214" s="31"/>
      <c r="Q1214" s="33"/>
      <c r="R1214" s="33"/>
      <c r="S1214" s="33"/>
      <c r="T1214" s="63">
        <f t="shared" si="11"/>
        <v>0</v>
      </c>
      <c r="U1214" s="33"/>
      <c r="V1214" s="33"/>
      <c r="W1214" s="33"/>
    </row>
    <row r="1215" spans="1:23" ht="16.5" customHeight="1" x14ac:dyDescent="0.2">
      <c r="A1215" s="26" t="s">
        <v>4597</v>
      </c>
      <c r="B1215" s="26" t="s">
        <v>4598</v>
      </c>
      <c r="C1215" s="26" t="s">
        <v>115</v>
      </c>
      <c r="D1215" s="26" t="s">
        <v>122</v>
      </c>
      <c r="E1215" s="26" t="s">
        <v>39</v>
      </c>
      <c r="F1215" s="28" t="e">
        <f ca="1">_xludf.ifna(VLOOKUP(G1215,Proyectos!$A$2:$F$674,6,0),"")</f>
        <v>#NAME?</v>
      </c>
      <c r="G1215" s="26" t="s">
        <v>5225</v>
      </c>
      <c r="H1215" s="32">
        <v>0.3</v>
      </c>
      <c r="I1215" s="31" t="s">
        <v>18</v>
      </c>
      <c r="J1215" s="31" t="s">
        <v>61</v>
      </c>
      <c r="K1215" s="32"/>
      <c r="L1215" s="32" t="e">
        <f ca="1">_xludf.ifna(VLOOKUP(E1215,Parámetros!$D$2:$E$34,2,0),"")</f>
        <v>#NAME?</v>
      </c>
      <c r="M1215" s="32" t="e">
        <f ca="1">_xludf.ifna(VLOOKUP(G1215,Proyectos!$A$2:$T$674,20,0),"")</f>
        <v>#NAME?</v>
      </c>
      <c r="N1215" s="32" t="e">
        <f ca="1">_xludf.ifna(VLOOKUP(G1215,Proyectos!$A$2:$S$674,19,0))</f>
        <v>#NAME?</v>
      </c>
      <c r="O1215" s="32"/>
      <c r="P1215" s="31"/>
      <c r="Q1215" s="33"/>
      <c r="R1215" s="33"/>
      <c r="S1215" s="33"/>
      <c r="T1215" s="63">
        <f t="shared" si="11"/>
        <v>0</v>
      </c>
      <c r="U1215" s="33"/>
      <c r="V1215" s="33"/>
      <c r="W1215" s="33"/>
    </row>
    <row r="1216" spans="1:23" ht="16.5" customHeight="1" x14ac:dyDescent="0.2">
      <c r="A1216" s="26" t="s">
        <v>3618</v>
      </c>
      <c r="B1216" s="26" t="s">
        <v>3619</v>
      </c>
      <c r="C1216" s="26" t="s">
        <v>115</v>
      </c>
      <c r="D1216" s="26" t="s">
        <v>122</v>
      </c>
      <c r="E1216" s="26" t="s">
        <v>39</v>
      </c>
      <c r="F1216" s="28" t="e">
        <f ca="1">_xludf.ifna(VLOOKUP(G1216,Proyectos!$A$2:$F$674,6,0),"")</f>
        <v>#NAME?</v>
      </c>
      <c r="G1216" s="29" t="s">
        <v>5114</v>
      </c>
      <c r="H1216" s="32">
        <v>0.2</v>
      </c>
      <c r="I1216" s="31" t="s">
        <v>18</v>
      </c>
      <c r="J1216" s="31" t="s">
        <v>61</v>
      </c>
      <c r="K1216" s="32"/>
      <c r="L1216" s="32" t="e">
        <f ca="1">_xludf.ifna(VLOOKUP(E1216,Parámetros!$D$2:$E$34,2,0),"")</f>
        <v>#NAME?</v>
      </c>
      <c r="M1216" s="32" t="e">
        <f ca="1">_xludf.ifna(VLOOKUP(G1216,Proyectos!$A$2:$T$674,20,0),"")</f>
        <v>#NAME?</v>
      </c>
      <c r="N1216" s="32" t="e">
        <f ca="1">_xludf.ifna(VLOOKUP(G1216,Proyectos!$A$2:$S$674,19,0))</f>
        <v>#NAME?</v>
      </c>
      <c r="O1216" s="32"/>
      <c r="P1216" s="31"/>
      <c r="Q1216" s="33"/>
      <c r="R1216" s="33"/>
      <c r="S1216" s="33"/>
      <c r="T1216" s="63">
        <f t="shared" si="11"/>
        <v>1</v>
      </c>
      <c r="U1216" s="33"/>
      <c r="V1216" s="33"/>
      <c r="W1216" s="33"/>
    </row>
    <row r="1217" spans="1:23" ht="16.5" customHeight="1" x14ac:dyDescent="0.2">
      <c r="A1217" s="26" t="s">
        <v>3618</v>
      </c>
      <c r="B1217" s="26" t="s">
        <v>3619</v>
      </c>
      <c r="C1217" s="26" t="s">
        <v>115</v>
      </c>
      <c r="D1217" s="26" t="s">
        <v>122</v>
      </c>
      <c r="E1217" s="26" t="s">
        <v>39</v>
      </c>
      <c r="F1217" s="28" t="e">
        <f ca="1">_xludf.ifna(VLOOKUP(G1217,Proyectos!$A$2:$F$674,6,0),"")</f>
        <v>#NAME?</v>
      </c>
      <c r="G1217" s="26" t="s">
        <v>5426</v>
      </c>
      <c r="H1217" s="44">
        <v>0.8</v>
      </c>
      <c r="I1217" s="31" t="s">
        <v>18</v>
      </c>
      <c r="J1217" s="31" t="s">
        <v>61</v>
      </c>
      <c r="K1217" s="32"/>
      <c r="L1217" s="32" t="e">
        <f ca="1">_xludf.ifna(VLOOKUP(E1217,Parámetros!$D$2:$E$34,2,0),"")</f>
        <v>#NAME?</v>
      </c>
      <c r="M1217" s="32" t="e">
        <f ca="1">_xludf.ifna(VLOOKUP(G1217,Proyectos!$A$2:$T$674,20,0),"")</f>
        <v>#NAME?</v>
      </c>
      <c r="N1217" s="32" t="e">
        <f ca="1">_xludf.ifna(VLOOKUP(G1217,Proyectos!$A$2:$S$674,19,0))</f>
        <v>#NAME?</v>
      </c>
      <c r="O1217" s="32"/>
      <c r="P1217" s="31"/>
      <c r="Q1217" s="33"/>
      <c r="R1217" s="33"/>
      <c r="S1217" s="33"/>
      <c r="T1217" s="63">
        <f t="shared" si="11"/>
        <v>0</v>
      </c>
      <c r="U1217" s="33"/>
      <c r="V1217" s="33"/>
      <c r="W1217" s="33"/>
    </row>
    <row r="1218" spans="1:23" ht="16.5" customHeight="1" x14ac:dyDescent="0.2">
      <c r="A1218" s="26" t="s">
        <v>3354</v>
      </c>
      <c r="B1218" s="26" t="s">
        <v>3355</v>
      </c>
      <c r="C1218" s="26" t="s">
        <v>115</v>
      </c>
      <c r="D1218" s="26" t="s">
        <v>122</v>
      </c>
      <c r="E1218" s="26" t="s">
        <v>39</v>
      </c>
      <c r="F1218" s="28" t="e">
        <f ca="1">_xludf.ifna(VLOOKUP(G1218,Proyectos!$A$2:$F$674,6,0),"")</f>
        <v>#NAME?</v>
      </c>
      <c r="G1218" s="26" t="s">
        <v>5424</v>
      </c>
      <c r="H1218" s="32">
        <v>0.6</v>
      </c>
      <c r="I1218" s="31" t="s">
        <v>18</v>
      </c>
      <c r="J1218" s="31" t="s">
        <v>61</v>
      </c>
      <c r="K1218" s="31"/>
      <c r="L1218" s="32" t="e">
        <f ca="1">_xludf.ifna(VLOOKUP(E1218,Parámetros!$D$2:$E$34,2,0),"")</f>
        <v>#NAME?</v>
      </c>
      <c r="M1218" s="32" t="e">
        <f ca="1">_xludf.ifna(VLOOKUP(G1218,Proyectos!$A$2:$T$674,20,0),"")</f>
        <v>#NAME?</v>
      </c>
      <c r="N1218" s="32" t="e">
        <f ca="1">_xludf.ifna(VLOOKUP(G1218,Proyectos!$A$2:$S$674,19,0))</f>
        <v>#NAME?</v>
      </c>
      <c r="O1218" s="31"/>
      <c r="P1218" s="31"/>
      <c r="Q1218" s="33"/>
      <c r="R1218" s="33"/>
      <c r="S1218" s="33"/>
      <c r="T1218" s="63">
        <f t="shared" si="11"/>
        <v>1</v>
      </c>
      <c r="U1218" s="33"/>
      <c r="V1218" s="33"/>
      <c r="W1218" s="33"/>
    </row>
    <row r="1219" spans="1:23" ht="16.5" customHeight="1" x14ac:dyDescent="0.2">
      <c r="A1219" s="26" t="s">
        <v>3354</v>
      </c>
      <c r="B1219" s="26" t="s">
        <v>3355</v>
      </c>
      <c r="C1219" s="26" t="s">
        <v>115</v>
      </c>
      <c r="D1219" s="26" t="s">
        <v>122</v>
      </c>
      <c r="E1219" s="26" t="s">
        <v>39</v>
      </c>
      <c r="F1219" s="28" t="e">
        <f ca="1">_xludf.ifna(VLOOKUP(G1219,Proyectos!$A$2:$F$674,6,0),"")</f>
        <v>#NAME?</v>
      </c>
      <c r="G1219" s="29" t="s">
        <v>5114</v>
      </c>
      <c r="H1219" s="32">
        <v>0.4</v>
      </c>
      <c r="I1219" s="31" t="s">
        <v>18</v>
      </c>
      <c r="J1219" s="31" t="s">
        <v>61</v>
      </c>
      <c r="K1219" s="31"/>
      <c r="L1219" s="32" t="e">
        <f ca="1">_xludf.ifna(VLOOKUP(E1219,Parámetros!$D$2:$E$34,2,0),"")</f>
        <v>#NAME?</v>
      </c>
      <c r="M1219" s="32" t="e">
        <f ca="1">_xludf.ifna(VLOOKUP(G1219,Proyectos!$A$2:$T$674,20,0),"")</f>
        <v>#NAME?</v>
      </c>
      <c r="N1219" s="32" t="e">
        <f ca="1">_xludf.ifna(VLOOKUP(G1219,Proyectos!$A$2:$S$674,19,0))</f>
        <v>#NAME?</v>
      </c>
      <c r="O1219" s="32"/>
      <c r="P1219" s="31"/>
      <c r="Q1219" s="33"/>
      <c r="R1219" s="33"/>
      <c r="S1219" s="33"/>
      <c r="T1219" s="63">
        <f t="shared" si="11"/>
        <v>0</v>
      </c>
      <c r="U1219" s="33"/>
      <c r="V1219" s="33"/>
      <c r="W1219" s="33"/>
    </row>
    <row r="1220" spans="1:23" ht="16.5" customHeight="1" x14ac:dyDescent="0.2">
      <c r="A1220" s="26" t="s">
        <v>3787</v>
      </c>
      <c r="B1220" s="26" t="s">
        <v>3788</v>
      </c>
      <c r="C1220" s="26" t="s">
        <v>115</v>
      </c>
      <c r="D1220" s="26" t="s">
        <v>122</v>
      </c>
      <c r="E1220" s="26" t="s">
        <v>39</v>
      </c>
      <c r="F1220" s="28" t="e">
        <f ca="1">_xludf.ifna(VLOOKUP(G1220,Proyectos!$A$2:$F$674,6,0),"")</f>
        <v>#NAME?</v>
      </c>
      <c r="G1220" s="26" t="s">
        <v>5120</v>
      </c>
      <c r="H1220" s="32">
        <v>0.6</v>
      </c>
      <c r="I1220" s="31" t="s">
        <v>18</v>
      </c>
      <c r="J1220" s="31" t="s">
        <v>61</v>
      </c>
      <c r="K1220" s="31"/>
      <c r="L1220" s="32" t="e">
        <f ca="1">_xludf.ifna(VLOOKUP(E1220,Parámetros!$D$2:$E$34,2,0),"")</f>
        <v>#NAME?</v>
      </c>
      <c r="M1220" s="32" t="e">
        <f ca="1">_xludf.ifna(VLOOKUP(G1220,Proyectos!$A$2:$T$674,20,0),"")</f>
        <v>#NAME?</v>
      </c>
      <c r="N1220" s="32" t="e">
        <f ca="1">_xludf.ifna(VLOOKUP(G1220,Proyectos!$A$2:$S$674,19,0))</f>
        <v>#NAME?</v>
      </c>
      <c r="O1220" s="31"/>
      <c r="P1220" s="31"/>
      <c r="Q1220" s="33"/>
      <c r="R1220" s="33"/>
      <c r="S1220" s="33"/>
      <c r="T1220" s="63">
        <f t="shared" si="11"/>
        <v>1</v>
      </c>
      <c r="U1220" s="33"/>
      <c r="V1220" s="33"/>
      <c r="W1220" s="33"/>
    </row>
    <row r="1221" spans="1:23" ht="16.5" customHeight="1" x14ac:dyDescent="0.2">
      <c r="A1221" s="26" t="s">
        <v>3425</v>
      </c>
      <c r="B1221" s="26" t="s">
        <v>3426</v>
      </c>
      <c r="C1221" s="26" t="s">
        <v>64</v>
      </c>
      <c r="D1221" s="26" t="s">
        <v>82</v>
      </c>
      <c r="E1221" s="26" t="s">
        <v>39</v>
      </c>
      <c r="F1221" s="28" t="e">
        <f ca="1">_xludf.ifna(VLOOKUP(G1221,Proyectos!$A$2:$F$674,6,0),"")</f>
        <v>#NAME?</v>
      </c>
      <c r="G1221" s="29" t="s">
        <v>5114</v>
      </c>
      <c r="H1221" s="32">
        <v>0.25</v>
      </c>
      <c r="I1221" s="31" t="s">
        <v>11</v>
      </c>
      <c r="J1221" s="31" t="s">
        <v>41</v>
      </c>
      <c r="K1221" s="31"/>
      <c r="L1221" s="32" t="e">
        <f ca="1">_xludf.ifna(VLOOKUP(E1221,Parámetros!$D$2:$E$34,2,0),"")</f>
        <v>#NAME?</v>
      </c>
      <c r="M1221" s="32" t="e">
        <f ca="1">_xludf.ifna(VLOOKUP(G1221,Proyectos!$A$2:$T$674,20,0),"")</f>
        <v>#NAME?</v>
      </c>
      <c r="N1221" s="32" t="e">
        <f ca="1">_xludf.ifna(VLOOKUP(G1221,Proyectos!$A$2:$S$674,19,0))</f>
        <v>#NAME?</v>
      </c>
      <c r="O1221" s="32"/>
      <c r="P1221" s="31"/>
      <c r="Q1221" s="33"/>
      <c r="R1221" s="33"/>
      <c r="S1221" s="33"/>
      <c r="T1221" s="33"/>
      <c r="U1221" s="33"/>
      <c r="V1221" s="33"/>
      <c r="W1221" s="33"/>
    </row>
    <row r="1222" spans="1:23" ht="16.5" customHeight="1" x14ac:dyDescent="0.2">
      <c r="A1222" s="26" t="s">
        <v>3425</v>
      </c>
      <c r="B1222" s="26" t="s">
        <v>3426</v>
      </c>
      <c r="C1222" s="26" t="s">
        <v>64</v>
      </c>
      <c r="D1222" s="26" t="s">
        <v>82</v>
      </c>
      <c r="E1222" s="26" t="s">
        <v>39</v>
      </c>
      <c r="F1222" s="28" t="e">
        <f ca="1">_xludf.ifna(VLOOKUP(G1222,Proyectos!$A$2:$F$674,6,0),"")</f>
        <v>#NAME?</v>
      </c>
      <c r="G1222" s="26" t="s">
        <v>5434</v>
      </c>
      <c r="H1222" s="32">
        <v>0.75</v>
      </c>
      <c r="I1222" s="31" t="s">
        <v>11</v>
      </c>
      <c r="J1222" s="31" t="s">
        <v>41</v>
      </c>
      <c r="K1222" s="31"/>
      <c r="L1222" s="32" t="e">
        <f ca="1">_xludf.ifna(VLOOKUP(E1222,Parámetros!$D$2:$E$34,2,0),"")</f>
        <v>#NAME?</v>
      </c>
      <c r="M1222" s="32" t="e">
        <f ca="1">_xludf.ifna(VLOOKUP(G1222,Proyectos!$A$2:$T$674,20,0),"")</f>
        <v>#NAME?</v>
      </c>
      <c r="N1222" s="32" t="e">
        <f ca="1">_xludf.ifna(VLOOKUP(G1222,Proyectos!$A$2:$S$674,19,0))</f>
        <v>#NAME?</v>
      </c>
      <c r="O1222" s="32"/>
      <c r="P1222" s="31"/>
      <c r="Q1222" s="33"/>
      <c r="R1222" s="33"/>
      <c r="S1222" s="33"/>
      <c r="T1222" s="33"/>
      <c r="U1222" s="33"/>
      <c r="V1222" s="33"/>
      <c r="W1222" s="33"/>
    </row>
    <row r="1223" spans="1:23" ht="16.5" customHeight="1" x14ac:dyDescent="0.2">
      <c r="A1223" s="26" t="s">
        <v>3791</v>
      </c>
      <c r="B1223" s="26" t="s">
        <v>3792</v>
      </c>
      <c r="C1223" s="26" t="s">
        <v>64</v>
      </c>
      <c r="D1223" s="26" t="s">
        <v>82</v>
      </c>
      <c r="E1223" s="26" t="s">
        <v>39</v>
      </c>
      <c r="F1223" s="28" t="e">
        <f ca="1">_xludf.ifna(VLOOKUP(G1223,Proyectos!$A$2:$F$674,6,0),"")</f>
        <v>#NAME?</v>
      </c>
      <c r="G1223" s="29" t="s">
        <v>5114</v>
      </c>
      <c r="H1223" s="32">
        <v>0.25</v>
      </c>
      <c r="I1223" s="31" t="s">
        <v>18</v>
      </c>
      <c r="J1223" s="31" t="s">
        <v>19</v>
      </c>
      <c r="K1223" s="31"/>
      <c r="L1223" s="32" t="e">
        <f ca="1">_xludf.ifna(VLOOKUP(E1223,Parámetros!$D$2:$E$34,2,0),"")</f>
        <v>#NAME?</v>
      </c>
      <c r="M1223" s="32" t="e">
        <f ca="1">_xludf.ifna(VLOOKUP(G1223,Proyectos!$A$2:$T$674,20,0),"")</f>
        <v>#NAME?</v>
      </c>
      <c r="N1223" s="32" t="e">
        <f ca="1">_xludf.ifna(VLOOKUP(G1223,Proyectos!$A$2:$S$674,19,0))</f>
        <v>#NAME?</v>
      </c>
      <c r="O1223" s="32"/>
      <c r="P1223" s="31"/>
      <c r="Q1223" s="33"/>
      <c r="R1223" s="33"/>
      <c r="S1223" s="33"/>
      <c r="T1223" s="33"/>
      <c r="U1223" s="33"/>
      <c r="V1223" s="33"/>
      <c r="W1223" s="33"/>
    </row>
    <row r="1224" spans="1:23" ht="16.5" customHeight="1" x14ac:dyDescent="0.2">
      <c r="A1224" s="26" t="s">
        <v>3791</v>
      </c>
      <c r="B1224" s="26" t="s">
        <v>3792</v>
      </c>
      <c r="C1224" s="26" t="s">
        <v>64</v>
      </c>
      <c r="D1224" s="26" t="s">
        <v>82</v>
      </c>
      <c r="E1224" s="26" t="s">
        <v>39</v>
      </c>
      <c r="F1224" s="28" t="e">
        <f ca="1">_xludf.ifna(VLOOKUP(G1224,Proyectos!$A$2:$F$674,6,0),"")</f>
        <v>#NAME?</v>
      </c>
      <c r="G1224" s="26" t="s">
        <v>5434</v>
      </c>
      <c r="H1224" s="32">
        <v>0.75</v>
      </c>
      <c r="I1224" s="31" t="s">
        <v>18</v>
      </c>
      <c r="J1224" s="31" t="s">
        <v>19</v>
      </c>
      <c r="K1224" s="31"/>
      <c r="L1224" s="32" t="e">
        <f ca="1">_xludf.ifna(VLOOKUP(E1224,Parámetros!$D$2:$E$34,2,0),"")</f>
        <v>#NAME?</v>
      </c>
      <c r="M1224" s="32" t="e">
        <f ca="1">_xludf.ifna(VLOOKUP(G1224,Proyectos!$A$2:$T$674,20,0),"")</f>
        <v>#NAME?</v>
      </c>
      <c r="N1224" s="32" t="e">
        <f ca="1">_xludf.ifna(VLOOKUP(G1224,Proyectos!$A$2:$S$674,19,0))</f>
        <v>#NAME?</v>
      </c>
      <c r="O1224" s="32"/>
      <c r="P1224" s="31"/>
      <c r="Q1224" s="33"/>
      <c r="R1224" s="33"/>
      <c r="S1224" s="33"/>
      <c r="T1224" s="33"/>
      <c r="U1224" s="33"/>
      <c r="V1224" s="33"/>
      <c r="W1224" s="33"/>
    </row>
    <row r="1225" spans="1:23" ht="16.5" customHeight="1" x14ac:dyDescent="0.2">
      <c r="A1225" s="26" t="s">
        <v>3315</v>
      </c>
      <c r="B1225" s="26" t="s">
        <v>3316</v>
      </c>
      <c r="C1225" s="26" t="s">
        <v>64</v>
      </c>
      <c r="D1225" s="26" t="s">
        <v>82</v>
      </c>
      <c r="E1225" s="26" t="s">
        <v>39</v>
      </c>
      <c r="F1225" s="28" t="e">
        <f ca="1">_xludf.ifna(VLOOKUP(G1225,Proyectos!$A$2:$F$674,6,0),"")</f>
        <v>#NAME?</v>
      </c>
      <c r="G1225" s="26" t="s">
        <v>5434</v>
      </c>
      <c r="H1225" s="32">
        <v>0.75</v>
      </c>
      <c r="I1225" s="31" t="s">
        <v>18</v>
      </c>
      <c r="J1225" s="31" t="s">
        <v>61</v>
      </c>
      <c r="K1225" s="31"/>
      <c r="L1225" s="32" t="e">
        <f ca="1">_xludf.ifna(VLOOKUP(E1225,Parámetros!$D$2:$E$34,2,0),"")</f>
        <v>#NAME?</v>
      </c>
      <c r="M1225" s="32" t="e">
        <f ca="1">_xludf.ifna(VLOOKUP(G1225,Proyectos!$A$2:$T$674,20,0),"")</f>
        <v>#NAME?</v>
      </c>
      <c r="N1225" s="32" t="e">
        <f ca="1">_xludf.ifna(VLOOKUP(G1225,Proyectos!$A$2:$S$674,19,0))</f>
        <v>#NAME?</v>
      </c>
      <c r="O1225" s="32"/>
      <c r="P1225" s="31"/>
      <c r="Q1225" s="33"/>
      <c r="R1225" s="33"/>
      <c r="S1225" s="33"/>
      <c r="T1225" s="33"/>
      <c r="U1225" s="33"/>
      <c r="V1225" s="33"/>
      <c r="W1225" s="33"/>
    </row>
    <row r="1226" spans="1:23" ht="16.5" customHeight="1" x14ac:dyDescent="0.2">
      <c r="A1226" s="26" t="s">
        <v>3315</v>
      </c>
      <c r="B1226" s="26" t="s">
        <v>3316</v>
      </c>
      <c r="C1226" s="26" t="s">
        <v>64</v>
      </c>
      <c r="D1226" s="26" t="s">
        <v>82</v>
      </c>
      <c r="E1226" s="26" t="s">
        <v>39</v>
      </c>
      <c r="F1226" s="28" t="e">
        <f ca="1">_xludf.ifna(VLOOKUP(G1226,Proyectos!$A$2:$F$674,6,0),"")</f>
        <v>#NAME?</v>
      </c>
      <c r="G1226" s="26" t="s">
        <v>5387</v>
      </c>
      <c r="H1226" s="32">
        <v>0.25</v>
      </c>
      <c r="I1226" s="31" t="s">
        <v>18</v>
      </c>
      <c r="J1226" s="31" t="s">
        <v>61</v>
      </c>
      <c r="K1226" s="31"/>
      <c r="L1226" s="32" t="e">
        <f ca="1">_xludf.ifna(VLOOKUP(E1226,Parámetros!$D$2:$E$34,2,0),"")</f>
        <v>#NAME?</v>
      </c>
      <c r="M1226" s="32" t="e">
        <f ca="1">_xludf.ifna(VLOOKUP(G1226,Proyectos!$A$2:$T$674,20,0),"")</f>
        <v>#NAME?</v>
      </c>
      <c r="N1226" s="32" t="e">
        <f ca="1">_xludf.ifna(VLOOKUP(G1226,Proyectos!$A$2:$S$674,19,0))</f>
        <v>#NAME?</v>
      </c>
      <c r="O1226" s="31"/>
      <c r="P1226" s="31"/>
      <c r="Q1226" s="33"/>
      <c r="R1226" s="33"/>
      <c r="S1226" s="33"/>
      <c r="T1226" s="33"/>
      <c r="U1226" s="33"/>
      <c r="V1226" s="33"/>
      <c r="W1226" s="33"/>
    </row>
    <row r="1227" spans="1:23" ht="16.5" customHeight="1" x14ac:dyDescent="0.2">
      <c r="A1227" s="26" t="s">
        <v>3680</v>
      </c>
      <c r="B1227" s="26" t="s">
        <v>5435</v>
      </c>
      <c r="C1227" s="26" t="s">
        <v>64</v>
      </c>
      <c r="D1227" s="26" t="s">
        <v>82</v>
      </c>
      <c r="E1227" s="26" t="s">
        <v>39</v>
      </c>
      <c r="F1227" s="28" t="e">
        <f ca="1">_xludf.ifna(VLOOKUP(G1227,Proyectos!$A$2:$F$674,6,0),"")</f>
        <v>#NAME?</v>
      </c>
      <c r="G1227" s="29" t="s">
        <v>5114</v>
      </c>
      <c r="H1227" s="32">
        <v>1</v>
      </c>
      <c r="I1227" s="31" t="s">
        <v>18</v>
      </c>
      <c r="J1227" s="31" t="s">
        <v>61</v>
      </c>
      <c r="K1227" s="31"/>
      <c r="L1227" s="32" t="e">
        <f ca="1">_xludf.ifna(VLOOKUP(E1227,Parámetros!$D$2:$E$34,2,0),"")</f>
        <v>#NAME?</v>
      </c>
      <c r="M1227" s="32" t="e">
        <f ca="1">_xludf.ifna(VLOOKUP(G1227,Proyectos!$A$2:$T$674,20,0),"")</f>
        <v>#NAME?</v>
      </c>
      <c r="N1227" s="32" t="e">
        <f ca="1">_xludf.ifna(VLOOKUP(G1227,Proyectos!$A$2:$S$674,19,0))</f>
        <v>#NAME?</v>
      </c>
      <c r="O1227" s="31"/>
      <c r="P1227" s="31"/>
      <c r="Q1227" s="33"/>
      <c r="R1227" s="33"/>
      <c r="S1227" s="33"/>
      <c r="T1227" s="33"/>
      <c r="U1227" s="33"/>
      <c r="V1227" s="33"/>
      <c r="W1227" s="33"/>
    </row>
    <row r="1228" spans="1:23" ht="16.5" customHeight="1" x14ac:dyDescent="0.2">
      <c r="A1228" s="26" t="s">
        <v>3769</v>
      </c>
      <c r="B1228" s="26" t="s">
        <v>5436</v>
      </c>
      <c r="C1228" s="35" t="s">
        <v>64</v>
      </c>
      <c r="D1228" s="35" t="s">
        <v>82</v>
      </c>
      <c r="E1228" s="35" t="s">
        <v>39</v>
      </c>
      <c r="F1228" s="28" t="e">
        <f ca="1">_xludf.ifna(VLOOKUP(G1228,Proyectos!$A$2:$F$674,6,0),"")</f>
        <v>#NAME?</v>
      </c>
      <c r="G1228" s="29" t="s">
        <v>5114</v>
      </c>
      <c r="H1228" s="30">
        <v>1</v>
      </c>
      <c r="I1228" s="52" t="s">
        <v>18</v>
      </c>
      <c r="J1228" s="52" t="s">
        <v>19</v>
      </c>
      <c r="K1228" s="30"/>
      <c r="L1228" s="32" t="e">
        <f ca="1">_xludf.ifna(VLOOKUP(E1228,Parámetros!$D$2:$E$34,2,0),"")</f>
        <v>#NAME?</v>
      </c>
      <c r="M1228" s="32" t="e">
        <f ca="1">_xludf.ifna(VLOOKUP(G1228,Proyectos!$A$2:$T$674,20,0),"")</f>
        <v>#NAME?</v>
      </c>
      <c r="N1228" s="32" t="e">
        <f ca="1">_xludf.ifna(VLOOKUP(G1228,Proyectos!$A$2:$S$674,19,0))</f>
        <v>#NAME?</v>
      </c>
      <c r="O1228" s="30"/>
      <c r="P1228" s="52"/>
      <c r="Q1228" s="62"/>
      <c r="R1228" s="62"/>
      <c r="S1228" s="62"/>
      <c r="T1228" s="62"/>
      <c r="U1228" s="62"/>
      <c r="V1228" s="62"/>
      <c r="W1228" s="62"/>
    </row>
    <row r="1229" spans="1:23" ht="16.5" customHeight="1" x14ac:dyDescent="0.2">
      <c r="A1229" s="26" t="s">
        <v>3564</v>
      </c>
      <c r="B1229" s="26" t="s">
        <v>5437</v>
      </c>
      <c r="C1229" s="35" t="s">
        <v>64</v>
      </c>
      <c r="D1229" s="35" t="s">
        <v>82</v>
      </c>
      <c r="E1229" s="35" t="s">
        <v>39</v>
      </c>
      <c r="F1229" s="28" t="e">
        <f ca="1">_xludf.ifna(VLOOKUP(G1229,Proyectos!$A$2:$F$674,6,0),"")</f>
        <v>#NAME?</v>
      </c>
      <c r="G1229" s="29" t="s">
        <v>5114</v>
      </c>
      <c r="H1229" s="30">
        <v>1</v>
      </c>
      <c r="I1229" s="52" t="s">
        <v>18</v>
      </c>
      <c r="J1229" s="30" t="s">
        <v>41</v>
      </c>
      <c r="K1229" s="30"/>
      <c r="L1229" s="32" t="e">
        <f ca="1">_xludf.ifna(VLOOKUP(E1229,Parámetros!$D$2:$E$34,2,0),"")</f>
        <v>#NAME?</v>
      </c>
      <c r="M1229" s="32" t="e">
        <f ca="1">_xludf.ifna(VLOOKUP(G1229,Proyectos!$A$2:$T$674,20,0),"")</f>
        <v>#NAME?</v>
      </c>
      <c r="N1229" s="32" t="e">
        <f ca="1">_xludf.ifna(VLOOKUP(G1229,Proyectos!$A$2:$S$674,19,0))</f>
        <v>#NAME?</v>
      </c>
      <c r="O1229" s="30"/>
      <c r="P1229" s="52"/>
      <c r="Q1229" s="62"/>
      <c r="R1229" s="62"/>
      <c r="S1229" s="62"/>
      <c r="T1229" s="62"/>
      <c r="U1229" s="62"/>
      <c r="V1229" s="62"/>
      <c r="W1229" s="62"/>
    </row>
    <row r="1230" spans="1:23" ht="16.5" customHeight="1" x14ac:dyDescent="0.2">
      <c r="A1230" s="26" t="s">
        <v>3459</v>
      </c>
      <c r="B1230" s="26" t="s">
        <v>3460</v>
      </c>
      <c r="C1230" s="26" t="s">
        <v>64</v>
      </c>
      <c r="D1230" s="26" t="s">
        <v>82</v>
      </c>
      <c r="E1230" s="26" t="s">
        <v>39</v>
      </c>
      <c r="F1230" s="28" t="e">
        <f ca="1">_xludf.ifna(VLOOKUP(G1230,Proyectos!$A$2:$F$674,6,0),"")</f>
        <v>#NAME?</v>
      </c>
      <c r="G1230" s="26" t="s">
        <v>5434</v>
      </c>
      <c r="H1230" s="32">
        <v>0.5</v>
      </c>
      <c r="I1230" s="31" t="s">
        <v>11</v>
      </c>
      <c r="J1230" s="31" t="s">
        <v>19</v>
      </c>
      <c r="K1230" s="31"/>
      <c r="L1230" s="32" t="e">
        <f ca="1">_xludf.ifna(VLOOKUP(E1230,Parámetros!$D$2:$E$34,2,0),"")</f>
        <v>#NAME?</v>
      </c>
      <c r="M1230" s="32" t="e">
        <f ca="1">_xludf.ifna(VLOOKUP(G1230,Proyectos!$A$2:$T$674,20,0),"")</f>
        <v>#NAME?</v>
      </c>
      <c r="N1230" s="32" t="e">
        <f ca="1">_xludf.ifna(VLOOKUP(G1230,Proyectos!$A$2:$S$674,19,0))</f>
        <v>#NAME?</v>
      </c>
      <c r="O1230" s="32"/>
      <c r="P1230" s="31"/>
      <c r="Q1230" s="33"/>
      <c r="R1230" s="33"/>
      <c r="S1230" s="33"/>
      <c r="T1230" s="33"/>
      <c r="U1230" s="33"/>
      <c r="V1230" s="33"/>
      <c r="W1230" s="33"/>
    </row>
    <row r="1231" spans="1:23" ht="16.5" customHeight="1" x14ac:dyDescent="0.2">
      <c r="A1231" s="26" t="s">
        <v>3459</v>
      </c>
      <c r="B1231" s="26" t="s">
        <v>3460</v>
      </c>
      <c r="C1231" s="26" t="s">
        <v>64</v>
      </c>
      <c r="D1231" s="26" t="s">
        <v>82</v>
      </c>
      <c r="E1231" s="26" t="s">
        <v>39</v>
      </c>
      <c r="F1231" s="28" t="e">
        <f ca="1">_xludf.ifna(VLOOKUP(G1231,Proyectos!$A$2:$F$674,6,0),"")</f>
        <v>#NAME?</v>
      </c>
      <c r="G1231" s="26" t="s">
        <v>5387</v>
      </c>
      <c r="H1231" s="32">
        <v>0.5</v>
      </c>
      <c r="I1231" s="31" t="s">
        <v>11</v>
      </c>
      <c r="J1231" s="31" t="s">
        <v>19</v>
      </c>
      <c r="K1231" s="31"/>
      <c r="L1231" s="32" t="e">
        <f ca="1">_xludf.ifna(VLOOKUP(E1231,Parámetros!$D$2:$E$34,2,0),"")</f>
        <v>#NAME?</v>
      </c>
      <c r="M1231" s="32" t="e">
        <f ca="1">_xludf.ifna(VLOOKUP(G1231,Proyectos!$A$2:$T$674,20,0),"")</f>
        <v>#NAME?</v>
      </c>
      <c r="N1231" s="32" t="e">
        <f ca="1">_xludf.ifna(VLOOKUP(G1231,Proyectos!$A$2:$S$674,19,0))</f>
        <v>#NAME?</v>
      </c>
      <c r="O1231" s="31"/>
      <c r="P1231" s="31"/>
      <c r="Q1231" s="33"/>
      <c r="R1231" s="33"/>
      <c r="S1231" s="33"/>
      <c r="T1231" s="33"/>
      <c r="U1231" s="33"/>
      <c r="V1231" s="33"/>
      <c r="W1231" s="33"/>
    </row>
    <row r="1232" spans="1:23" ht="16.5" customHeight="1" x14ac:dyDescent="0.2">
      <c r="A1232" s="26" t="s">
        <v>3404</v>
      </c>
      <c r="B1232" s="26" t="s">
        <v>3405</v>
      </c>
      <c r="C1232" s="26" t="s">
        <v>64</v>
      </c>
      <c r="D1232" s="26" t="s">
        <v>82</v>
      </c>
      <c r="E1232" s="26" t="s">
        <v>39</v>
      </c>
      <c r="F1232" s="28" t="e">
        <f ca="1">_xludf.ifna(VLOOKUP(G1232,Proyectos!$A$2:$F$674,6,0),"")</f>
        <v>#NAME?</v>
      </c>
      <c r="G1232" s="26" t="s">
        <v>5387</v>
      </c>
      <c r="H1232" s="32">
        <v>1</v>
      </c>
      <c r="I1232" s="31" t="s">
        <v>18</v>
      </c>
      <c r="J1232" s="31" t="s">
        <v>41</v>
      </c>
      <c r="K1232" s="31"/>
      <c r="L1232" s="32" t="e">
        <f ca="1">_xludf.ifna(VLOOKUP(E1232,Parámetros!$D$2:$E$34,2,0),"")</f>
        <v>#NAME?</v>
      </c>
      <c r="M1232" s="32" t="e">
        <f ca="1">_xludf.ifna(VLOOKUP(G1232,Proyectos!$A$2:$T$674,20,0),"")</f>
        <v>#NAME?</v>
      </c>
      <c r="N1232" s="32" t="e">
        <f ca="1">_xludf.ifna(VLOOKUP(G1232,Proyectos!$A$2:$S$674,19,0))</f>
        <v>#NAME?</v>
      </c>
      <c r="O1232" s="31"/>
      <c r="P1232" s="31"/>
      <c r="Q1232" s="33"/>
      <c r="R1232" s="33"/>
      <c r="S1232" s="33"/>
      <c r="T1232" s="33"/>
      <c r="U1232" s="33"/>
      <c r="V1232" s="33"/>
      <c r="W1232" s="33"/>
    </row>
    <row r="1233" spans="1:23" ht="16.5" customHeight="1" x14ac:dyDescent="0.2">
      <c r="A1233" s="26" t="s">
        <v>3345</v>
      </c>
      <c r="B1233" s="26" t="s">
        <v>3346</v>
      </c>
      <c r="C1233" s="26" t="s">
        <v>64</v>
      </c>
      <c r="D1233" s="26" t="s">
        <v>82</v>
      </c>
      <c r="E1233" s="26" t="s">
        <v>39</v>
      </c>
      <c r="F1233" s="28" t="e">
        <f ca="1">_xludf.ifna(VLOOKUP(G1233,Proyectos!$A$2:$F$674,6,0),"")</f>
        <v>#NAME?</v>
      </c>
      <c r="G1233" s="26" t="s">
        <v>5387</v>
      </c>
      <c r="H1233" s="32">
        <v>1</v>
      </c>
      <c r="I1233" s="31" t="s">
        <v>18</v>
      </c>
      <c r="J1233" s="31" t="s">
        <v>41</v>
      </c>
      <c r="K1233" s="31"/>
      <c r="L1233" s="32" t="e">
        <f ca="1">_xludf.ifna(VLOOKUP(E1233,Parámetros!$D$2:$E$34,2,0),"")</f>
        <v>#NAME?</v>
      </c>
      <c r="M1233" s="32" t="e">
        <f ca="1">_xludf.ifna(VLOOKUP(G1233,Proyectos!$A$2:$T$674,20,0),"")</f>
        <v>#NAME?</v>
      </c>
      <c r="N1233" s="32" t="e">
        <f ca="1">_xludf.ifna(VLOOKUP(G1233,Proyectos!$A$2:$S$674,19,0))</f>
        <v>#NAME?</v>
      </c>
      <c r="O1233" s="31"/>
      <c r="P1233" s="31"/>
      <c r="Q1233" s="33"/>
      <c r="R1233" s="33"/>
      <c r="S1233" s="33"/>
      <c r="T1233" s="33"/>
      <c r="U1233" s="33"/>
      <c r="V1233" s="33"/>
      <c r="W1233" s="33"/>
    </row>
    <row r="1234" spans="1:23" ht="16.5" customHeight="1" x14ac:dyDescent="0.2">
      <c r="A1234" s="26" t="s">
        <v>4751</v>
      </c>
      <c r="B1234" s="26" t="s">
        <v>4752</v>
      </c>
      <c r="C1234" s="26" t="s">
        <v>64</v>
      </c>
      <c r="D1234" s="26" t="s">
        <v>82</v>
      </c>
      <c r="E1234" s="26" t="s">
        <v>39</v>
      </c>
      <c r="F1234" s="28" t="e">
        <f ca="1">_xludf.ifna(VLOOKUP(G1234,Proyectos!$A$2:$F$674,6,0),"")</f>
        <v>#NAME?</v>
      </c>
      <c r="G1234" s="26" t="s">
        <v>5434</v>
      </c>
      <c r="H1234" s="32">
        <v>1</v>
      </c>
      <c r="I1234" s="31" t="s">
        <v>18</v>
      </c>
      <c r="J1234" s="31" t="s">
        <v>19</v>
      </c>
      <c r="K1234" s="31"/>
      <c r="L1234" s="32" t="e">
        <f ca="1">_xludf.ifna(VLOOKUP(E1234,Parámetros!$D$2:$E$34,2,0),"")</f>
        <v>#NAME?</v>
      </c>
      <c r="M1234" s="32" t="e">
        <f ca="1">_xludf.ifna(VLOOKUP(G1234,Proyectos!$A$2:$T$674,20,0),"")</f>
        <v>#NAME?</v>
      </c>
      <c r="N1234" s="32" t="e">
        <f ca="1">_xludf.ifna(VLOOKUP(G1234,Proyectos!$A$2:$S$674,19,0))</f>
        <v>#NAME?</v>
      </c>
      <c r="O1234" s="31"/>
      <c r="P1234" s="31"/>
      <c r="Q1234" s="33"/>
      <c r="R1234" s="33"/>
      <c r="S1234" s="33"/>
      <c r="T1234" s="33"/>
      <c r="U1234" s="33"/>
      <c r="V1234" s="33"/>
      <c r="W1234" s="33"/>
    </row>
    <row r="1235" spans="1:23" ht="16.5" customHeight="1" x14ac:dyDescent="0.2">
      <c r="A1235" s="26" t="s">
        <v>3868</v>
      </c>
      <c r="B1235" s="26" t="s">
        <v>3869</v>
      </c>
      <c r="C1235" s="26" t="s">
        <v>64</v>
      </c>
      <c r="D1235" s="26" t="s">
        <v>82</v>
      </c>
      <c r="E1235" s="26" t="s">
        <v>39</v>
      </c>
      <c r="F1235" s="28" t="e">
        <f ca="1">_xludf.ifna(VLOOKUP(G1235,Proyectos!$A$2:$F$674,6,0),"")</f>
        <v>#NAME?</v>
      </c>
      <c r="G1235" s="26" t="s">
        <v>5434</v>
      </c>
      <c r="H1235" s="32">
        <v>0.25</v>
      </c>
      <c r="I1235" s="31" t="s">
        <v>18</v>
      </c>
      <c r="J1235" s="31" t="s">
        <v>41</v>
      </c>
      <c r="K1235" s="31"/>
      <c r="L1235" s="32" t="e">
        <f ca="1">_xludf.ifna(VLOOKUP(E1235,Parámetros!$D$2:$E$34,2,0),"")</f>
        <v>#NAME?</v>
      </c>
      <c r="M1235" s="32" t="e">
        <f ca="1">_xludf.ifna(VLOOKUP(G1235,Proyectos!$A$2:$T$674,20,0),"")</f>
        <v>#NAME?</v>
      </c>
      <c r="N1235" s="32" t="e">
        <f ca="1">_xludf.ifna(VLOOKUP(G1235,Proyectos!$A$2:$S$674,19,0))</f>
        <v>#NAME?</v>
      </c>
      <c r="O1235" s="31"/>
      <c r="P1235" s="31"/>
      <c r="Q1235" s="33"/>
      <c r="R1235" s="33"/>
      <c r="S1235" s="33"/>
      <c r="T1235" s="33"/>
      <c r="U1235" s="33"/>
      <c r="V1235" s="33"/>
      <c r="W1235" s="33"/>
    </row>
    <row r="1236" spans="1:23" ht="16.5" customHeight="1" x14ac:dyDescent="0.2">
      <c r="A1236" s="26" t="s">
        <v>3868</v>
      </c>
      <c r="B1236" s="26" t="s">
        <v>3869</v>
      </c>
      <c r="C1236" s="26" t="s">
        <v>64</v>
      </c>
      <c r="D1236" s="26" t="s">
        <v>82</v>
      </c>
      <c r="E1236" s="26" t="s">
        <v>39</v>
      </c>
      <c r="F1236" s="28" t="e">
        <f ca="1">_xludf.ifna(VLOOKUP(G1236,Proyectos!$A$2:$F$674,6,0),"")</f>
        <v>#NAME?</v>
      </c>
      <c r="G1236" s="26" t="s">
        <v>5387</v>
      </c>
      <c r="H1236" s="32">
        <v>0.75</v>
      </c>
      <c r="I1236" s="31" t="s">
        <v>18</v>
      </c>
      <c r="J1236" s="31" t="s">
        <v>41</v>
      </c>
      <c r="K1236" s="31"/>
      <c r="L1236" s="32" t="e">
        <f ca="1">_xludf.ifna(VLOOKUP(E1236,Parámetros!$D$2:$E$34,2,0),"")</f>
        <v>#NAME?</v>
      </c>
      <c r="M1236" s="32" t="e">
        <f ca="1">_xludf.ifna(VLOOKUP(G1236,Proyectos!$A$2:$T$674,20,0),"")</f>
        <v>#NAME?</v>
      </c>
      <c r="N1236" s="32" t="e">
        <f ca="1">_xludf.ifna(VLOOKUP(G1236,Proyectos!$A$2:$S$674,19,0))</f>
        <v>#NAME?</v>
      </c>
      <c r="O1236" s="31"/>
      <c r="P1236" s="31"/>
      <c r="Q1236" s="33"/>
      <c r="R1236" s="33"/>
      <c r="S1236" s="33"/>
      <c r="T1236" s="33"/>
      <c r="U1236" s="33"/>
      <c r="V1236" s="33"/>
      <c r="W1236" s="33"/>
    </row>
    <row r="1237" spans="1:23" ht="16.5" customHeight="1" x14ac:dyDescent="0.2">
      <c r="A1237" s="26" t="s">
        <v>3476</v>
      </c>
      <c r="B1237" s="26" t="s">
        <v>3477</v>
      </c>
      <c r="C1237" s="26" t="s">
        <v>64</v>
      </c>
      <c r="D1237" s="26" t="s">
        <v>82</v>
      </c>
      <c r="E1237" s="26" t="s">
        <v>39</v>
      </c>
      <c r="F1237" s="28" t="e">
        <f ca="1">_xludf.ifna(VLOOKUP(G1237,Proyectos!$A$2:$F$674,6,0),"")</f>
        <v>#NAME?</v>
      </c>
      <c r="G1237" s="26" t="s">
        <v>5434</v>
      </c>
      <c r="H1237" s="32">
        <v>1</v>
      </c>
      <c r="I1237" s="31" t="s">
        <v>11</v>
      </c>
      <c r="J1237" s="31" t="s">
        <v>19</v>
      </c>
      <c r="K1237" s="31"/>
      <c r="L1237" s="32" t="e">
        <f ca="1">_xludf.ifna(VLOOKUP(E1237,Parámetros!$D$2:$E$34,2,0),"")</f>
        <v>#NAME?</v>
      </c>
      <c r="M1237" s="32" t="e">
        <f ca="1">_xludf.ifna(VLOOKUP(G1237,Proyectos!$A$2:$T$674,20,0),"")</f>
        <v>#NAME?</v>
      </c>
      <c r="N1237" s="32" t="e">
        <f ca="1">_xludf.ifna(VLOOKUP(G1237,Proyectos!$A$2:$S$674,19,0))</f>
        <v>#NAME?</v>
      </c>
      <c r="O1237" s="31"/>
      <c r="P1237" s="31"/>
      <c r="Q1237" s="33"/>
      <c r="R1237" s="33"/>
      <c r="S1237" s="33"/>
      <c r="T1237" s="33"/>
      <c r="U1237" s="33"/>
      <c r="V1237" s="33"/>
      <c r="W1237" s="33"/>
    </row>
    <row r="1238" spans="1:23" ht="16.5" customHeight="1" x14ac:dyDescent="0.2">
      <c r="A1238" s="26" t="s">
        <v>3793</v>
      </c>
      <c r="B1238" s="26" t="s">
        <v>3794</v>
      </c>
      <c r="C1238" s="26" t="s">
        <v>64</v>
      </c>
      <c r="D1238" s="26" t="s">
        <v>82</v>
      </c>
      <c r="E1238" s="26" t="s">
        <v>39</v>
      </c>
      <c r="F1238" s="28" t="e">
        <f ca="1">_xludf.ifna(VLOOKUP(G1238,Proyectos!$A$2:$F$674,6,0),"")</f>
        <v>#NAME?</v>
      </c>
      <c r="G1238" s="26" t="s">
        <v>5387</v>
      </c>
      <c r="H1238" s="32">
        <v>1</v>
      </c>
      <c r="I1238" s="31" t="s">
        <v>18</v>
      </c>
      <c r="J1238" s="31" t="s">
        <v>12</v>
      </c>
      <c r="K1238" s="31"/>
      <c r="L1238" s="32" t="e">
        <f ca="1">_xludf.ifna(VLOOKUP(E1238,Parámetros!$D$2:$E$34,2,0),"")</f>
        <v>#NAME?</v>
      </c>
      <c r="M1238" s="32" t="e">
        <f ca="1">_xludf.ifna(VLOOKUP(G1238,Proyectos!$A$2:$T$674,20,0),"")</f>
        <v>#NAME?</v>
      </c>
      <c r="N1238" s="32" t="e">
        <f ca="1">_xludf.ifna(VLOOKUP(G1238,Proyectos!$A$2:$S$674,19,0))</f>
        <v>#NAME?</v>
      </c>
      <c r="O1238" s="31"/>
      <c r="P1238" s="31"/>
      <c r="Q1238" s="33"/>
      <c r="R1238" s="33"/>
      <c r="S1238" s="33"/>
      <c r="T1238" s="33"/>
      <c r="U1238" s="33"/>
      <c r="V1238" s="33"/>
      <c r="W1238" s="33"/>
    </row>
    <row r="1239" spans="1:23" ht="16.5" customHeight="1" x14ac:dyDescent="0.2">
      <c r="A1239" s="26" t="s">
        <v>3538</v>
      </c>
      <c r="B1239" s="26" t="s">
        <v>3539</v>
      </c>
      <c r="C1239" s="26" t="s">
        <v>64</v>
      </c>
      <c r="D1239" s="26" t="s">
        <v>82</v>
      </c>
      <c r="E1239" s="26" t="s">
        <v>39</v>
      </c>
      <c r="F1239" s="28" t="e">
        <f ca="1">_xludf.ifna(VLOOKUP(G1239,Proyectos!$A$2:$F$674,6,0),"")</f>
        <v>#NAME?</v>
      </c>
      <c r="G1239" s="26" t="s">
        <v>5387</v>
      </c>
      <c r="H1239" s="32">
        <v>1</v>
      </c>
      <c r="I1239" s="31" t="s">
        <v>32</v>
      </c>
      <c r="J1239" s="31" t="s">
        <v>41</v>
      </c>
      <c r="K1239" s="31"/>
      <c r="L1239" s="32" t="e">
        <f ca="1">_xludf.ifna(VLOOKUP(E1239,Parámetros!$D$2:$E$34,2,0),"")</f>
        <v>#NAME?</v>
      </c>
      <c r="M1239" s="32" t="e">
        <f ca="1">_xludf.ifna(VLOOKUP(G1239,Proyectos!$A$2:$T$674,20,0),"")</f>
        <v>#NAME?</v>
      </c>
      <c r="N1239" s="32" t="e">
        <f ca="1">_xludf.ifna(VLOOKUP(G1239,Proyectos!$A$2:$S$674,19,0))</f>
        <v>#NAME?</v>
      </c>
      <c r="O1239" s="31"/>
      <c r="P1239" s="31"/>
      <c r="Q1239" s="33"/>
      <c r="R1239" s="33"/>
      <c r="S1239" s="33"/>
      <c r="T1239" s="33"/>
      <c r="U1239" s="33"/>
      <c r="V1239" s="33"/>
      <c r="W1239" s="33"/>
    </row>
    <row r="1240" spans="1:23" ht="16.5" customHeight="1" x14ac:dyDescent="0.2">
      <c r="A1240" s="26" t="s">
        <v>3743</v>
      </c>
      <c r="B1240" s="26" t="s">
        <v>3744</v>
      </c>
      <c r="C1240" s="26" t="s">
        <v>64</v>
      </c>
      <c r="D1240" s="26" t="s">
        <v>82</v>
      </c>
      <c r="E1240" s="26" t="s">
        <v>39</v>
      </c>
      <c r="F1240" s="28" t="e">
        <f ca="1">_xludf.ifna(VLOOKUP(G1240,Proyectos!$A$2:$F$674,6,0),"")</f>
        <v>#NAME?</v>
      </c>
      <c r="G1240" s="26" t="s">
        <v>5387</v>
      </c>
      <c r="H1240" s="32">
        <v>1</v>
      </c>
      <c r="I1240" s="31" t="s">
        <v>32</v>
      </c>
      <c r="J1240" s="31" t="s">
        <v>41</v>
      </c>
      <c r="K1240" s="31"/>
      <c r="L1240" s="32" t="e">
        <f ca="1">_xludf.ifna(VLOOKUP(E1240,Parámetros!$D$2:$E$34,2,0),"")</f>
        <v>#NAME?</v>
      </c>
      <c r="M1240" s="32" t="e">
        <f ca="1">_xludf.ifna(VLOOKUP(G1240,Proyectos!$A$2:$T$674,20,0),"")</f>
        <v>#NAME?</v>
      </c>
      <c r="N1240" s="32" t="e">
        <f ca="1">_xludf.ifna(VLOOKUP(G1240,Proyectos!$A$2:$S$674,19,0))</f>
        <v>#NAME?</v>
      </c>
      <c r="O1240" s="31"/>
      <c r="P1240" s="31"/>
      <c r="Q1240" s="33"/>
      <c r="R1240" s="33"/>
      <c r="S1240" s="33"/>
      <c r="T1240" s="33"/>
      <c r="U1240" s="33"/>
      <c r="V1240" s="33"/>
      <c r="W1240" s="33"/>
    </row>
    <row r="1241" spans="1:23" ht="16.5" customHeight="1" x14ac:dyDescent="0.2">
      <c r="A1241" s="26" t="s">
        <v>4761</v>
      </c>
      <c r="B1241" s="26" t="s">
        <v>4762</v>
      </c>
      <c r="C1241" s="26" t="s">
        <v>64</v>
      </c>
      <c r="D1241" s="26" t="s">
        <v>82</v>
      </c>
      <c r="E1241" s="26" t="s">
        <v>39</v>
      </c>
      <c r="F1241" s="28" t="e">
        <f ca="1">_xludf.ifna(VLOOKUP(G1241,Proyectos!$A$2:$F$674,6,0),"")</f>
        <v>#NAME?</v>
      </c>
      <c r="G1241" s="26" t="s">
        <v>5434</v>
      </c>
      <c r="H1241" s="32">
        <v>1</v>
      </c>
      <c r="I1241" s="31" t="s">
        <v>18</v>
      </c>
      <c r="J1241" s="31" t="s">
        <v>41</v>
      </c>
      <c r="K1241" s="31"/>
      <c r="L1241" s="32" t="e">
        <f ca="1">_xludf.ifna(VLOOKUP(E1241,Parámetros!$D$2:$E$34,2,0),"")</f>
        <v>#NAME?</v>
      </c>
      <c r="M1241" s="32" t="e">
        <f ca="1">_xludf.ifna(VLOOKUP(G1241,Proyectos!$A$2:$T$674,20,0),"")</f>
        <v>#NAME?</v>
      </c>
      <c r="N1241" s="32" t="e">
        <f ca="1">_xludf.ifna(VLOOKUP(G1241,Proyectos!$A$2:$S$674,19,0))</f>
        <v>#NAME?</v>
      </c>
      <c r="O1241" s="31"/>
      <c r="P1241" s="31"/>
      <c r="Q1241" s="33"/>
      <c r="R1241" s="33"/>
      <c r="S1241" s="33"/>
      <c r="T1241" s="33"/>
      <c r="U1241" s="33"/>
      <c r="V1241" s="33"/>
      <c r="W1241" s="33"/>
    </row>
    <row r="1242" spans="1:23" ht="16.5" customHeight="1" x14ac:dyDescent="0.25">
      <c r="A1242" s="76" t="s">
        <v>4541</v>
      </c>
      <c r="B1242" s="76" t="s">
        <v>5354</v>
      </c>
      <c r="C1242" s="76" t="s">
        <v>37</v>
      </c>
      <c r="D1242" s="35" t="s">
        <v>52</v>
      </c>
      <c r="E1242" s="76" t="s">
        <v>53</v>
      </c>
      <c r="F1242" s="28" t="e">
        <f ca="1">_xludf.ifna(VLOOKUP(G1242,Proyectos!$A$2:$F$674,6,0),"")</f>
        <v>#NAME?</v>
      </c>
      <c r="G1242" s="76" t="s">
        <v>5356</v>
      </c>
      <c r="H1242" s="68">
        <v>0.18</v>
      </c>
      <c r="I1242" s="31" t="s">
        <v>11</v>
      </c>
      <c r="J1242" s="66" t="s">
        <v>41</v>
      </c>
      <c r="K1242" s="95" t="s">
        <v>40</v>
      </c>
      <c r="L1242" s="32" t="e">
        <f ca="1">_xludf.ifna(VLOOKUP(E1242,Parámetros!$D$2:$E$34,2,0),"")</f>
        <v>#NAME?</v>
      </c>
      <c r="M1242" s="32" t="e">
        <f ca="1">_xludf.ifna(VLOOKUP(G1242,Proyectos!$A$2:$T$674,20,0),"")</f>
        <v>#NAME?</v>
      </c>
      <c r="N1242" s="32" t="e">
        <f ca="1">_xludf.ifna(VLOOKUP(G1242,Proyectos!$A$2:$S$674,19,0))</f>
        <v>#NAME?</v>
      </c>
      <c r="O1242" s="32"/>
      <c r="P1242" s="31"/>
      <c r="Q1242" s="33"/>
      <c r="R1242" s="33"/>
      <c r="S1242" s="33"/>
      <c r="T1242" s="33"/>
      <c r="U1242" s="33"/>
      <c r="V1242" s="33"/>
      <c r="W1242" s="33"/>
    </row>
    <row r="1243" spans="1:23" ht="16.5" customHeight="1" x14ac:dyDescent="0.25">
      <c r="A1243" s="76" t="s">
        <v>4541</v>
      </c>
      <c r="B1243" s="76" t="s">
        <v>5354</v>
      </c>
      <c r="C1243" s="66" t="s">
        <v>37</v>
      </c>
      <c r="D1243" s="35" t="s">
        <v>52</v>
      </c>
      <c r="E1243" s="76" t="s">
        <v>53</v>
      </c>
      <c r="F1243" s="28" t="e">
        <f ca="1">_xludf.ifna(VLOOKUP(G1243,Proyectos!$A$2:$F$674,6,0),"")</f>
        <v>#NAME?</v>
      </c>
      <c r="G1243" s="76" t="s">
        <v>5361</v>
      </c>
      <c r="H1243" s="68">
        <v>0.16</v>
      </c>
      <c r="I1243" s="31" t="s">
        <v>11</v>
      </c>
      <c r="J1243" s="66" t="s">
        <v>41</v>
      </c>
      <c r="K1243" s="95" t="s">
        <v>40</v>
      </c>
      <c r="L1243" s="32" t="e">
        <f ca="1">_xludf.ifna(VLOOKUP(E1243,Parámetros!$D$2:$E$34,2,0),"")</f>
        <v>#NAME?</v>
      </c>
      <c r="M1243" s="32" t="e">
        <f ca="1">_xludf.ifna(VLOOKUP(G1243,Proyectos!$A$2:$T$674,20,0),"")</f>
        <v>#NAME?</v>
      </c>
      <c r="N1243" s="32" t="e">
        <f ca="1">_xludf.ifna(VLOOKUP(G1243,Proyectos!$A$2:$S$674,19,0))</f>
        <v>#NAME?</v>
      </c>
      <c r="O1243" s="32"/>
      <c r="P1243" s="31"/>
      <c r="Q1243" s="33"/>
      <c r="R1243" s="33"/>
      <c r="S1243" s="33"/>
      <c r="T1243" s="33"/>
      <c r="U1243" s="33"/>
      <c r="V1243" s="33"/>
      <c r="W1243" s="33"/>
    </row>
    <row r="1244" spans="1:23" ht="16.5" customHeight="1" x14ac:dyDescent="0.25">
      <c r="A1244" s="76" t="s">
        <v>4537</v>
      </c>
      <c r="B1244" s="76" t="s">
        <v>5438</v>
      </c>
      <c r="C1244" s="66" t="s">
        <v>37</v>
      </c>
      <c r="D1244" s="35" t="s">
        <v>52</v>
      </c>
      <c r="E1244" s="76" t="s">
        <v>53</v>
      </c>
      <c r="F1244" s="28" t="e">
        <f ca="1">_xludf.ifna(VLOOKUP(G1244,Proyectos!$A$2:$F$674,6,0),"")</f>
        <v>#NAME?</v>
      </c>
      <c r="G1244" s="76" t="s">
        <v>5439</v>
      </c>
      <c r="H1244" s="68">
        <v>0.25</v>
      </c>
      <c r="I1244" s="76" t="s">
        <v>11</v>
      </c>
      <c r="J1244" s="95"/>
      <c r="K1244" s="95" t="s">
        <v>40</v>
      </c>
      <c r="L1244" s="32" t="e">
        <f ca="1">_xludf.ifna(VLOOKUP(E1244,Parámetros!$D$2:$E$34,2,0),"")</f>
        <v>#NAME?</v>
      </c>
      <c r="M1244" s="32" t="e">
        <f ca="1">_xludf.ifna(VLOOKUP(G1244,Proyectos!$A$2:$T$674,20,0),"")</f>
        <v>#NAME?</v>
      </c>
      <c r="N1244" s="32" t="e">
        <f ca="1">_xludf.ifna(VLOOKUP(G1244,Proyectos!$A$2:$S$674,19,0))</f>
        <v>#NAME?</v>
      </c>
      <c r="O1244" s="32"/>
      <c r="P1244" s="31"/>
      <c r="Q1244" s="33"/>
      <c r="R1244" s="33"/>
      <c r="S1244" s="33"/>
      <c r="T1244" s="33"/>
      <c r="U1244" s="33"/>
      <c r="V1244" s="33"/>
      <c r="W1244" s="33"/>
    </row>
    <row r="1245" spans="1:23" ht="16.5" customHeight="1" x14ac:dyDescent="0.25">
      <c r="A1245" s="76" t="s">
        <v>4533</v>
      </c>
      <c r="B1245" s="76" t="s">
        <v>5440</v>
      </c>
      <c r="C1245" s="66" t="s">
        <v>37</v>
      </c>
      <c r="D1245" s="35" t="s">
        <v>52</v>
      </c>
      <c r="E1245" s="76" t="s">
        <v>53</v>
      </c>
      <c r="F1245" s="28" t="e">
        <f ca="1">_xludf.ifna(VLOOKUP(G1245,Proyectos!$A$2:$F$674,6,0),"")</f>
        <v>#NAME?</v>
      </c>
      <c r="G1245" s="76" t="s">
        <v>5439</v>
      </c>
      <c r="H1245" s="68">
        <v>0.3</v>
      </c>
      <c r="I1245" s="76" t="s">
        <v>11</v>
      </c>
      <c r="J1245" s="95"/>
      <c r="K1245" s="95" t="s">
        <v>40</v>
      </c>
      <c r="L1245" s="32" t="e">
        <f ca="1">_xludf.ifna(VLOOKUP(E1245,Parámetros!$D$2:$E$34,2,0),"")</f>
        <v>#NAME?</v>
      </c>
      <c r="M1245" s="32" t="e">
        <f ca="1">_xludf.ifna(VLOOKUP(G1245,Proyectos!$A$2:$T$674,20,0),"")</f>
        <v>#NAME?</v>
      </c>
      <c r="N1245" s="32" t="e">
        <f ca="1">_xludf.ifna(VLOOKUP(G1245,Proyectos!$A$2:$S$674,19,0))</f>
        <v>#NAME?</v>
      </c>
      <c r="O1245" s="32"/>
      <c r="P1245" s="31"/>
      <c r="Q1245" s="33"/>
      <c r="R1245" s="33"/>
      <c r="S1245" s="33"/>
      <c r="T1245" s="33"/>
      <c r="U1245" s="33"/>
      <c r="V1245" s="33"/>
      <c r="W1245" s="33"/>
    </row>
    <row r="1246" spans="1:23" ht="16.5" customHeight="1" x14ac:dyDescent="0.25">
      <c r="A1246" s="76" t="s">
        <v>4549</v>
      </c>
      <c r="B1246" s="76" t="s">
        <v>5441</v>
      </c>
      <c r="C1246" s="66" t="s">
        <v>37</v>
      </c>
      <c r="D1246" s="35" t="s">
        <v>52</v>
      </c>
      <c r="E1246" s="76" t="s">
        <v>53</v>
      </c>
      <c r="F1246" s="28" t="e">
        <f ca="1">_xludf.ifna(VLOOKUP(G1246,Proyectos!$A$2:$F$674,6,0),"")</f>
        <v>#NAME?</v>
      </c>
      <c r="G1246" s="76" t="s">
        <v>5439</v>
      </c>
      <c r="H1246" s="68">
        <v>0.3</v>
      </c>
      <c r="I1246" s="76" t="s">
        <v>18</v>
      </c>
      <c r="J1246" s="55"/>
      <c r="K1246" s="95" t="s">
        <v>40</v>
      </c>
      <c r="L1246" s="32" t="e">
        <f ca="1">_xludf.ifna(VLOOKUP(E1246,Parámetros!$D$2:$E$34,2,0),"")</f>
        <v>#NAME?</v>
      </c>
      <c r="M1246" s="32" t="e">
        <f ca="1">_xludf.ifna(VLOOKUP(G1246,Proyectos!$A$2:$T$674,20,0),"")</f>
        <v>#NAME?</v>
      </c>
      <c r="N1246" s="32" t="e">
        <f ca="1">_xludf.ifna(VLOOKUP(G1246,Proyectos!$A$2:$S$674,19,0))</f>
        <v>#NAME?</v>
      </c>
      <c r="O1246" s="31"/>
      <c r="P1246" s="31"/>
      <c r="Q1246" s="33"/>
      <c r="R1246" s="33"/>
      <c r="S1246" s="33"/>
      <c r="T1246" s="33"/>
      <c r="U1246" s="33"/>
      <c r="V1246" s="33"/>
      <c r="W1246" s="33"/>
    </row>
    <row r="1247" spans="1:23" ht="16.5" customHeight="1" x14ac:dyDescent="0.25">
      <c r="A1247" s="76" t="s">
        <v>4593</v>
      </c>
      <c r="B1247" s="76" t="s">
        <v>5442</v>
      </c>
      <c r="C1247" s="66" t="s">
        <v>37</v>
      </c>
      <c r="D1247" s="35" t="s">
        <v>52</v>
      </c>
      <c r="E1247" s="76" t="s">
        <v>53</v>
      </c>
      <c r="F1247" s="28" t="e">
        <f ca="1">_xludf.ifna(VLOOKUP(G1247,Proyectos!$A$2:$F$674,6,0),"")</f>
        <v>#NAME?</v>
      </c>
      <c r="G1247" s="76" t="s">
        <v>5443</v>
      </c>
      <c r="H1247" s="68">
        <v>0.5</v>
      </c>
      <c r="I1247" s="76" t="s">
        <v>11</v>
      </c>
      <c r="J1247" s="95"/>
      <c r="K1247" s="95" t="s">
        <v>40</v>
      </c>
      <c r="L1247" s="32" t="e">
        <f ca="1">_xludf.ifna(VLOOKUP(E1247,Parámetros!$D$2:$E$34,2,0),"")</f>
        <v>#NAME?</v>
      </c>
      <c r="M1247" s="32" t="e">
        <f ca="1">_xludf.ifna(VLOOKUP(G1247,Proyectos!$A$2:$T$674,20,0),"")</f>
        <v>#NAME?</v>
      </c>
      <c r="N1247" s="32" t="e">
        <f ca="1">_xludf.ifna(VLOOKUP(G1247,Proyectos!$A$2:$S$674,19,0))</f>
        <v>#NAME?</v>
      </c>
      <c r="O1247" s="31"/>
      <c r="P1247" s="31"/>
      <c r="Q1247" s="33"/>
      <c r="R1247" s="33"/>
      <c r="S1247" s="33"/>
      <c r="T1247" s="33"/>
      <c r="U1247" s="33"/>
      <c r="V1247" s="33"/>
      <c r="W1247" s="33"/>
    </row>
    <row r="1248" spans="1:23" ht="16.5" customHeight="1" x14ac:dyDescent="0.25">
      <c r="A1248" s="76" t="s">
        <v>4593</v>
      </c>
      <c r="B1248" s="76" t="s">
        <v>5442</v>
      </c>
      <c r="C1248" s="66" t="s">
        <v>37</v>
      </c>
      <c r="D1248" s="35" t="s">
        <v>52</v>
      </c>
      <c r="E1248" s="76" t="s">
        <v>53</v>
      </c>
      <c r="F1248" s="28" t="e">
        <f ca="1">_xludf.ifna(VLOOKUP(G1248,Proyectos!$A$2:$F$674,6,0),"")</f>
        <v>#NAME?</v>
      </c>
      <c r="G1248" s="76" t="s">
        <v>5444</v>
      </c>
      <c r="H1248" s="68">
        <v>0.5</v>
      </c>
      <c r="I1248" s="76" t="s">
        <v>11</v>
      </c>
      <c r="J1248" s="95"/>
      <c r="K1248" s="95" t="s">
        <v>40</v>
      </c>
      <c r="L1248" s="32" t="e">
        <f ca="1">_xludf.ifna(VLOOKUP(E1248,Parámetros!$D$2:$E$34,2,0),"")</f>
        <v>#NAME?</v>
      </c>
      <c r="M1248" s="32" t="e">
        <f ca="1">_xludf.ifna(VLOOKUP(G1248,Proyectos!$A$2:$T$674,20,0),"")</f>
        <v>#NAME?</v>
      </c>
      <c r="N1248" s="32" t="e">
        <f ca="1">_xludf.ifna(VLOOKUP(G1248,Proyectos!$A$2:$S$674,19,0))</f>
        <v>#NAME?</v>
      </c>
      <c r="O1248" s="31"/>
      <c r="P1248" s="31"/>
      <c r="Q1248" s="33"/>
      <c r="R1248" s="33"/>
      <c r="S1248" s="33"/>
      <c r="T1248" s="33"/>
      <c r="U1248" s="33"/>
      <c r="V1248" s="33"/>
      <c r="W1248" s="33"/>
    </row>
    <row r="1249" spans="1:23" ht="16.5" customHeight="1" x14ac:dyDescent="0.25">
      <c r="A1249" s="76" t="s">
        <v>4609</v>
      </c>
      <c r="B1249" s="76" t="s">
        <v>5445</v>
      </c>
      <c r="C1249" s="66" t="s">
        <v>37</v>
      </c>
      <c r="D1249" s="35" t="s">
        <v>52</v>
      </c>
      <c r="E1249" s="76" t="s">
        <v>53</v>
      </c>
      <c r="F1249" s="28" t="e">
        <f ca="1">_xludf.ifna(VLOOKUP(G1249,Proyectos!$A$2:$F$674,6,0),"")</f>
        <v>#NAME?</v>
      </c>
      <c r="G1249" s="76" t="s">
        <v>5446</v>
      </c>
      <c r="H1249" s="68">
        <v>0.4</v>
      </c>
      <c r="I1249" s="76" t="s">
        <v>11</v>
      </c>
      <c r="J1249" s="95"/>
      <c r="K1249" s="95" t="s">
        <v>40</v>
      </c>
      <c r="L1249" s="32" t="e">
        <f ca="1">_xludf.ifna(VLOOKUP(E1249,Parámetros!$D$2:$E$34,2,0),"")</f>
        <v>#NAME?</v>
      </c>
      <c r="M1249" s="32" t="e">
        <f ca="1">_xludf.ifna(VLOOKUP(G1249,Proyectos!$A$2:$T$674,20,0),"")</f>
        <v>#NAME?</v>
      </c>
      <c r="N1249" s="32" t="e">
        <f ca="1">_xludf.ifna(VLOOKUP(G1249,Proyectos!$A$2:$S$674,19,0))</f>
        <v>#NAME?</v>
      </c>
      <c r="O1249" s="31"/>
      <c r="P1249" s="31"/>
      <c r="Q1249" s="33"/>
      <c r="R1249" s="33"/>
      <c r="S1249" s="33"/>
      <c r="T1249" s="33"/>
      <c r="U1249" s="33"/>
      <c r="V1249" s="33"/>
      <c r="W1249" s="33"/>
    </row>
    <row r="1250" spans="1:23" ht="16.5" customHeight="1" x14ac:dyDescent="0.25">
      <c r="A1250" s="76" t="s">
        <v>4609</v>
      </c>
      <c r="B1250" s="76" t="s">
        <v>5445</v>
      </c>
      <c r="C1250" s="66" t="s">
        <v>37</v>
      </c>
      <c r="D1250" s="35" t="s">
        <v>52</v>
      </c>
      <c r="E1250" s="76" t="s">
        <v>53</v>
      </c>
      <c r="F1250" s="28" t="e">
        <f ca="1">_xludf.ifna(VLOOKUP(G1250,Proyectos!$A$2:$F$674,6,0),"")</f>
        <v>#NAME?</v>
      </c>
      <c r="G1250" s="76" t="s">
        <v>5355</v>
      </c>
      <c r="H1250" s="68">
        <v>0.4</v>
      </c>
      <c r="I1250" s="76" t="s">
        <v>11</v>
      </c>
      <c r="J1250" s="95"/>
      <c r="K1250" s="95" t="s">
        <v>40</v>
      </c>
      <c r="L1250" s="32" t="e">
        <f ca="1">_xludf.ifna(VLOOKUP(E1250,Parámetros!$D$2:$E$34,2,0),"")</f>
        <v>#NAME?</v>
      </c>
      <c r="M1250" s="32" t="e">
        <f ca="1">_xludf.ifna(VLOOKUP(G1250,Proyectos!$A$2:$T$674,20,0),"")</f>
        <v>#NAME?</v>
      </c>
      <c r="N1250" s="32" t="e">
        <f ca="1">_xludf.ifna(VLOOKUP(G1250,Proyectos!$A$2:$S$674,19,0))</f>
        <v>#NAME?</v>
      </c>
      <c r="O1250" s="31"/>
      <c r="P1250" s="31"/>
      <c r="Q1250" s="33"/>
      <c r="R1250" s="33"/>
      <c r="S1250" s="33"/>
      <c r="T1250" s="33"/>
      <c r="U1250" s="33"/>
      <c r="V1250" s="33"/>
      <c r="W1250" s="33"/>
    </row>
    <row r="1251" spans="1:23" ht="16.5" customHeight="1" x14ac:dyDescent="0.25">
      <c r="A1251" s="76" t="s">
        <v>4537</v>
      </c>
      <c r="B1251" s="76" t="s">
        <v>5438</v>
      </c>
      <c r="C1251" s="66" t="s">
        <v>37</v>
      </c>
      <c r="D1251" s="35" t="s">
        <v>52</v>
      </c>
      <c r="E1251" s="76" t="s">
        <v>53</v>
      </c>
      <c r="F1251" s="28" t="e">
        <f ca="1">_xludf.ifna(VLOOKUP(G1251,Proyectos!$A$2:$F$674,6,0),"")</f>
        <v>#NAME?</v>
      </c>
      <c r="G1251" s="76" t="s">
        <v>5359</v>
      </c>
      <c r="H1251" s="68">
        <v>0.25</v>
      </c>
      <c r="I1251" s="76" t="s">
        <v>11</v>
      </c>
      <c r="J1251" s="95"/>
      <c r="K1251" s="95" t="s">
        <v>40</v>
      </c>
      <c r="L1251" s="32" t="e">
        <f ca="1">_xludf.ifna(VLOOKUP(E1251,Parámetros!$D$2:$E$34,2,0),"")</f>
        <v>#NAME?</v>
      </c>
      <c r="M1251" s="32" t="e">
        <f ca="1">_xludf.ifna(VLOOKUP(G1251,Proyectos!$A$2:$T$674,20,0),"")</f>
        <v>#NAME?</v>
      </c>
      <c r="N1251" s="32" t="e">
        <f ca="1">_xludf.ifna(VLOOKUP(G1251,Proyectos!$A$2:$S$674,19,0))</f>
        <v>#NAME?</v>
      </c>
      <c r="O1251" s="31"/>
      <c r="P1251" s="31"/>
      <c r="Q1251" s="33"/>
      <c r="R1251" s="33"/>
      <c r="S1251" s="33"/>
      <c r="T1251" s="33"/>
      <c r="U1251" s="33"/>
      <c r="V1251" s="33"/>
      <c r="W1251" s="33"/>
    </row>
    <row r="1252" spans="1:23" ht="16.5" customHeight="1" x14ac:dyDescent="0.25">
      <c r="A1252" s="76" t="s">
        <v>4533</v>
      </c>
      <c r="B1252" s="76" t="s">
        <v>5440</v>
      </c>
      <c r="C1252" s="66" t="s">
        <v>37</v>
      </c>
      <c r="D1252" s="35" t="s">
        <v>52</v>
      </c>
      <c r="E1252" s="76" t="s">
        <v>53</v>
      </c>
      <c r="F1252" s="28" t="e">
        <f ca="1">_xludf.ifna(VLOOKUP(G1252,Proyectos!$A$2:$F$674,6,0),"")</f>
        <v>#NAME?</v>
      </c>
      <c r="G1252" s="76" t="s">
        <v>5359</v>
      </c>
      <c r="H1252" s="68">
        <v>0.3</v>
      </c>
      <c r="I1252" s="76" t="s">
        <v>11</v>
      </c>
      <c r="J1252" s="95"/>
      <c r="K1252" s="95" t="s">
        <v>40</v>
      </c>
      <c r="L1252" s="32" t="e">
        <f ca="1">_xludf.ifna(VLOOKUP(E1252,Parámetros!$D$2:$E$34,2,0),"")</f>
        <v>#NAME?</v>
      </c>
      <c r="M1252" s="32" t="e">
        <f ca="1">_xludf.ifna(VLOOKUP(G1252,Proyectos!$A$2:$T$674,20,0),"")</f>
        <v>#NAME?</v>
      </c>
      <c r="N1252" s="32" t="e">
        <f ca="1">_xludf.ifna(VLOOKUP(G1252,Proyectos!$A$2:$S$674,19,0))</f>
        <v>#NAME?</v>
      </c>
      <c r="O1252" s="32"/>
      <c r="P1252" s="31"/>
      <c r="Q1252" s="33"/>
      <c r="R1252" s="33"/>
      <c r="S1252" s="33"/>
      <c r="T1252" s="33"/>
      <c r="U1252" s="33"/>
      <c r="V1252" s="33"/>
      <c r="W1252" s="33"/>
    </row>
    <row r="1253" spans="1:23" ht="16.5" customHeight="1" x14ac:dyDescent="0.25">
      <c r="A1253" s="76" t="s">
        <v>4549</v>
      </c>
      <c r="B1253" s="76" t="s">
        <v>5441</v>
      </c>
      <c r="C1253" s="66" t="s">
        <v>37</v>
      </c>
      <c r="D1253" s="35" t="s">
        <v>52</v>
      </c>
      <c r="E1253" s="76" t="s">
        <v>53</v>
      </c>
      <c r="F1253" s="28" t="e">
        <f ca="1">_xludf.ifna(VLOOKUP(G1253,Proyectos!$A$2:$F$674,6,0),"")</f>
        <v>#NAME?</v>
      </c>
      <c r="G1253" s="76" t="s">
        <v>5359</v>
      </c>
      <c r="H1253" s="68">
        <v>0.3</v>
      </c>
      <c r="I1253" s="76" t="s">
        <v>18</v>
      </c>
      <c r="J1253" s="55"/>
      <c r="K1253" s="95" t="s">
        <v>40</v>
      </c>
      <c r="L1253" s="32" t="e">
        <f ca="1">_xludf.ifna(VLOOKUP(E1253,Parámetros!$D$2:$E$34,2,0),"")</f>
        <v>#NAME?</v>
      </c>
      <c r="M1253" s="32" t="e">
        <f ca="1">_xludf.ifna(VLOOKUP(G1253,Proyectos!$A$2:$T$674,20,0),"")</f>
        <v>#NAME?</v>
      </c>
      <c r="N1253" s="32" t="e">
        <f ca="1">_xludf.ifna(VLOOKUP(G1253,Proyectos!$A$2:$S$674,19,0))</f>
        <v>#NAME?</v>
      </c>
      <c r="O1253" s="32"/>
      <c r="P1253" s="31"/>
      <c r="Q1253" s="33"/>
      <c r="R1253" s="33"/>
      <c r="S1253" s="33"/>
      <c r="T1253" s="33"/>
      <c r="U1253" s="33"/>
      <c r="V1253" s="33"/>
      <c r="W1253" s="33"/>
    </row>
    <row r="1254" spans="1:23" ht="16.5" customHeight="1" x14ac:dyDescent="0.25">
      <c r="A1254" s="76" t="s">
        <v>4535</v>
      </c>
      <c r="B1254" s="76" t="s">
        <v>5447</v>
      </c>
      <c r="C1254" s="66" t="s">
        <v>37</v>
      </c>
      <c r="D1254" s="35" t="s">
        <v>52</v>
      </c>
      <c r="E1254" s="76" t="s">
        <v>53</v>
      </c>
      <c r="F1254" s="28" t="e">
        <f ca="1">_xludf.ifna(VLOOKUP(G1254,Proyectos!$A$2:$F$674,6,0),"")</f>
        <v>#NAME?</v>
      </c>
      <c r="G1254" s="76" t="s">
        <v>5448</v>
      </c>
      <c r="H1254" s="68">
        <v>0.5</v>
      </c>
      <c r="I1254" s="146" t="s">
        <v>11</v>
      </c>
      <c r="J1254" s="147"/>
      <c r="K1254" s="95" t="s">
        <v>40</v>
      </c>
      <c r="L1254" s="32" t="e">
        <f ca="1">_xludf.ifna(VLOOKUP(E1254,Parámetros!$D$2:$E$34,2,0),"")</f>
        <v>#NAME?</v>
      </c>
      <c r="M1254" s="32" t="e">
        <f ca="1">_xludf.ifna(VLOOKUP(G1254,Proyectos!$A$2:$T$674,20,0),"")</f>
        <v>#NAME?</v>
      </c>
      <c r="N1254" s="32" t="e">
        <f ca="1">_xludf.ifna(VLOOKUP(G1254,Proyectos!$A$2:$S$674,19,0))</f>
        <v>#NAME?</v>
      </c>
      <c r="O1254" s="32"/>
      <c r="P1254" s="31"/>
      <c r="Q1254" s="33"/>
      <c r="R1254" s="33"/>
      <c r="S1254" s="33"/>
      <c r="T1254" s="33"/>
      <c r="U1254" s="33"/>
      <c r="V1254" s="33"/>
      <c r="W1254" s="33"/>
    </row>
    <row r="1255" spans="1:23" ht="16.5" customHeight="1" x14ac:dyDescent="0.25">
      <c r="A1255" s="35" t="s">
        <v>4340</v>
      </c>
      <c r="B1255" s="76" t="s">
        <v>5449</v>
      </c>
      <c r="C1255" s="66" t="s">
        <v>37</v>
      </c>
      <c r="D1255" s="35" t="s">
        <v>52</v>
      </c>
      <c r="E1255" s="76" t="s">
        <v>53</v>
      </c>
      <c r="F1255" s="28" t="e">
        <f ca="1">_xludf.ifna(VLOOKUP(G1255,Proyectos!$A$2:$F$674,6,0),"")</f>
        <v>#NAME?</v>
      </c>
      <c r="G1255" s="35" t="s">
        <v>5114</v>
      </c>
      <c r="H1255" s="68">
        <v>1</v>
      </c>
      <c r="I1255" s="35" t="s">
        <v>25</v>
      </c>
      <c r="J1255" s="35" t="s">
        <v>41</v>
      </c>
      <c r="K1255" s="95" t="s">
        <v>10</v>
      </c>
      <c r="L1255" s="32" t="e">
        <f ca="1">_xludf.ifna(VLOOKUP(E1255,Parámetros!$D$2:$E$34,2,0),"")</f>
        <v>#NAME?</v>
      </c>
      <c r="M1255" s="32" t="e">
        <f ca="1">_xludf.ifna(VLOOKUP(G1255,Proyectos!$A$2:$T$674,20,0),"")</f>
        <v>#NAME?</v>
      </c>
      <c r="N1255" s="32" t="e">
        <f ca="1">_xludf.ifna(VLOOKUP(G1255,Proyectos!$A$2:$S$674,19,0))</f>
        <v>#NAME?</v>
      </c>
      <c r="O1255" s="31"/>
      <c r="P1255" s="31"/>
      <c r="Q1255" s="33"/>
      <c r="R1255" s="33"/>
      <c r="S1255" s="33"/>
      <c r="T1255" s="33"/>
      <c r="U1255" s="33"/>
      <c r="V1255" s="33"/>
      <c r="W1255" s="33"/>
    </row>
    <row r="1256" spans="1:23" ht="16.5" customHeight="1" x14ac:dyDescent="0.25">
      <c r="A1256" s="35" t="s">
        <v>4104</v>
      </c>
      <c r="B1256" s="76" t="s">
        <v>5450</v>
      </c>
      <c r="C1256" s="66" t="s">
        <v>37</v>
      </c>
      <c r="D1256" s="35" t="s">
        <v>52</v>
      </c>
      <c r="E1256" s="76" t="s">
        <v>53</v>
      </c>
      <c r="F1256" s="28" t="e">
        <f ca="1">_xludf.ifna(VLOOKUP(G1256,Proyectos!$A$2:$F$674,6,0),"")</f>
        <v>#NAME?</v>
      </c>
      <c r="G1256" s="76" t="s">
        <v>5356</v>
      </c>
      <c r="H1256" s="68">
        <v>1</v>
      </c>
      <c r="I1256" s="35" t="s">
        <v>25</v>
      </c>
      <c r="J1256" s="35" t="s">
        <v>41</v>
      </c>
      <c r="K1256" s="95" t="s">
        <v>10</v>
      </c>
      <c r="L1256" s="32" t="e">
        <f ca="1">_xludf.ifna(VLOOKUP(E1256,Parámetros!$D$2:$E$34,2,0),"")</f>
        <v>#NAME?</v>
      </c>
      <c r="M1256" s="32" t="e">
        <f ca="1">_xludf.ifna(VLOOKUP(G1256,Proyectos!$A$2:$T$674,20,0),"")</f>
        <v>#NAME?</v>
      </c>
      <c r="N1256" s="32" t="e">
        <f ca="1">_xludf.ifna(VLOOKUP(G1256,Proyectos!$A$2:$S$674,19,0))</f>
        <v>#NAME?</v>
      </c>
      <c r="O1256" s="32"/>
      <c r="P1256" s="31"/>
      <c r="Q1256" s="33"/>
      <c r="R1256" s="33"/>
      <c r="S1256" s="33"/>
      <c r="T1256" s="33"/>
      <c r="U1256" s="33"/>
      <c r="V1256" s="33"/>
      <c r="W1256" s="33"/>
    </row>
    <row r="1257" spans="1:23" ht="16.5" customHeight="1" x14ac:dyDescent="0.25">
      <c r="A1257" s="35" t="s">
        <v>4358</v>
      </c>
      <c r="B1257" s="76" t="s">
        <v>5451</v>
      </c>
      <c r="C1257" s="66" t="s">
        <v>37</v>
      </c>
      <c r="D1257" s="35" t="s">
        <v>52</v>
      </c>
      <c r="E1257" s="76" t="s">
        <v>53</v>
      </c>
      <c r="F1257" s="28" t="e">
        <f ca="1">_xludf.ifna(VLOOKUP(G1257,Proyectos!$A$2:$F$674,6,0),"")</f>
        <v>#NAME?</v>
      </c>
      <c r="G1257" s="76" t="s">
        <v>5356</v>
      </c>
      <c r="H1257" s="68">
        <v>1</v>
      </c>
      <c r="I1257" s="35" t="s">
        <v>25</v>
      </c>
      <c r="J1257" s="35" t="s">
        <v>41</v>
      </c>
      <c r="K1257" s="95" t="s">
        <v>10</v>
      </c>
      <c r="L1257" s="32" t="e">
        <f ca="1">_xludf.ifna(VLOOKUP(E1257,Parámetros!$D$2:$E$34,2,0),"")</f>
        <v>#NAME?</v>
      </c>
      <c r="M1257" s="32" t="e">
        <f ca="1">_xludf.ifna(VLOOKUP(G1257,Proyectos!$A$2:$T$674,20,0),"")</f>
        <v>#NAME?</v>
      </c>
      <c r="N1257" s="32" t="e">
        <f ca="1">_xludf.ifna(VLOOKUP(G1257,Proyectos!$A$2:$S$674,19,0))</f>
        <v>#NAME?</v>
      </c>
      <c r="O1257" s="32"/>
      <c r="P1257" s="31"/>
      <c r="Q1257" s="33"/>
      <c r="R1257" s="33"/>
      <c r="S1257" s="33"/>
      <c r="T1257" s="33"/>
      <c r="U1257" s="33"/>
      <c r="V1257" s="33"/>
      <c r="W1257" s="33"/>
    </row>
    <row r="1258" spans="1:23" ht="16.5" customHeight="1" x14ac:dyDescent="0.25">
      <c r="A1258" s="35" t="s">
        <v>4088</v>
      </c>
      <c r="B1258" s="76" t="s">
        <v>5452</v>
      </c>
      <c r="C1258" s="66" t="s">
        <v>37</v>
      </c>
      <c r="D1258" s="35" t="s">
        <v>52</v>
      </c>
      <c r="E1258" s="76" t="s">
        <v>53</v>
      </c>
      <c r="F1258" s="28" t="e">
        <f ca="1">_xludf.ifna(VLOOKUP(G1258,Proyectos!$A$2:$F$674,6,0),"")</f>
        <v>#NAME?</v>
      </c>
      <c r="G1258" s="76" t="s">
        <v>5356</v>
      </c>
      <c r="H1258" s="68">
        <v>1</v>
      </c>
      <c r="I1258" s="35" t="s">
        <v>25</v>
      </c>
      <c r="J1258" s="35" t="s">
        <v>41</v>
      </c>
      <c r="K1258" s="95" t="s">
        <v>10</v>
      </c>
      <c r="L1258" s="32" t="e">
        <f ca="1">_xludf.ifna(VLOOKUP(E1258,Parámetros!$D$2:$E$34,2,0),"")</f>
        <v>#NAME?</v>
      </c>
      <c r="M1258" s="32" t="e">
        <f ca="1">_xludf.ifna(VLOOKUP(G1258,Proyectos!$A$2:$T$674,20,0),"")</f>
        <v>#NAME?</v>
      </c>
      <c r="N1258" s="32" t="e">
        <f ca="1">_xludf.ifna(VLOOKUP(G1258,Proyectos!$A$2:$S$674,19,0))</f>
        <v>#NAME?</v>
      </c>
      <c r="O1258" s="32"/>
      <c r="P1258" s="31"/>
      <c r="Q1258" s="33"/>
      <c r="R1258" s="33"/>
      <c r="S1258" s="33"/>
      <c r="T1258" s="33"/>
      <c r="U1258" s="33"/>
      <c r="V1258" s="33"/>
      <c r="W1258" s="33"/>
    </row>
    <row r="1259" spans="1:23" ht="16.5" customHeight="1" x14ac:dyDescent="0.25">
      <c r="A1259" s="35" t="s">
        <v>4551</v>
      </c>
      <c r="B1259" s="76" t="s">
        <v>5453</v>
      </c>
      <c r="C1259" s="66" t="s">
        <v>37</v>
      </c>
      <c r="D1259" s="35" t="s">
        <v>52</v>
      </c>
      <c r="E1259" s="76" t="s">
        <v>135</v>
      </c>
      <c r="F1259" s="28" t="e">
        <f ca="1">_xludf.ifna(VLOOKUP(G1259,Proyectos!$A$2:$F$674,6,0),"")</f>
        <v>#NAME?</v>
      </c>
      <c r="G1259" s="76" t="s">
        <v>5439</v>
      </c>
      <c r="H1259" s="68">
        <v>0.5</v>
      </c>
      <c r="I1259" s="76" t="s">
        <v>18</v>
      </c>
      <c r="J1259" s="35" t="s">
        <v>19</v>
      </c>
      <c r="K1259" s="95" t="s">
        <v>10</v>
      </c>
      <c r="L1259" s="32" t="e">
        <f ca="1">_xludf.ifna(VLOOKUP(E1259,Parámetros!$D$2:$E$34,2,0),"")</f>
        <v>#NAME?</v>
      </c>
      <c r="M1259" s="32" t="e">
        <f ca="1">_xludf.ifna(VLOOKUP(G1259,Proyectos!$A$2:$T$674,20,0),"")</f>
        <v>#NAME?</v>
      </c>
      <c r="N1259" s="32" t="e">
        <f ca="1">_xludf.ifna(VLOOKUP(G1259,Proyectos!$A$2:$S$674,19,0))</f>
        <v>#NAME?</v>
      </c>
      <c r="O1259" s="32"/>
      <c r="P1259" s="31"/>
      <c r="Q1259" s="33"/>
      <c r="R1259" s="33"/>
      <c r="S1259" s="33"/>
      <c r="T1259" s="33"/>
      <c r="U1259" s="33"/>
      <c r="V1259" s="33"/>
      <c r="W1259" s="33"/>
    </row>
    <row r="1260" spans="1:23" ht="16.5" customHeight="1" x14ac:dyDescent="0.25">
      <c r="A1260" s="35" t="s">
        <v>4551</v>
      </c>
      <c r="B1260" s="76" t="s">
        <v>5454</v>
      </c>
      <c r="C1260" s="66" t="s">
        <v>37</v>
      </c>
      <c r="D1260" s="35" t="s">
        <v>52</v>
      </c>
      <c r="E1260" s="76" t="s">
        <v>135</v>
      </c>
      <c r="F1260" s="28" t="e">
        <f ca="1">_xludf.ifna(VLOOKUP(G1260,Proyectos!$A$2:$F$674,6,0),"")</f>
        <v>#NAME?</v>
      </c>
      <c r="G1260" s="76" t="s">
        <v>5439</v>
      </c>
      <c r="H1260" s="68">
        <v>0.5</v>
      </c>
      <c r="I1260" s="76" t="s">
        <v>18</v>
      </c>
      <c r="J1260" s="35" t="s">
        <v>19</v>
      </c>
      <c r="K1260" s="76" t="s">
        <v>10</v>
      </c>
      <c r="L1260" s="32" t="e">
        <f ca="1">_xludf.ifna(VLOOKUP(E1260,Parámetros!$D$2:$E$34,2,0),"")</f>
        <v>#NAME?</v>
      </c>
      <c r="M1260" s="32" t="e">
        <f ca="1">_xludf.ifna(VLOOKUP(G1260,Proyectos!$A$2:$T$674,20,0),"")</f>
        <v>#NAME?</v>
      </c>
      <c r="N1260" s="32" t="e">
        <f ca="1">_xludf.ifna(VLOOKUP(G1260,Proyectos!$A$2:$S$674,19,0))</f>
        <v>#NAME?</v>
      </c>
      <c r="O1260" s="31"/>
      <c r="P1260" s="31"/>
      <c r="Q1260" s="33"/>
      <c r="R1260" s="33"/>
      <c r="S1260" s="33"/>
      <c r="T1260" s="33"/>
      <c r="U1260" s="33"/>
      <c r="V1260" s="33"/>
      <c r="W1260" s="33"/>
    </row>
    <row r="1261" spans="1:23" ht="16.5" customHeight="1" x14ac:dyDescent="0.25">
      <c r="A1261" s="35" t="s">
        <v>4551</v>
      </c>
      <c r="B1261" s="76" t="s">
        <v>5455</v>
      </c>
      <c r="C1261" s="66" t="s">
        <v>37</v>
      </c>
      <c r="D1261" s="35" t="s">
        <v>52</v>
      </c>
      <c r="E1261" s="76" t="s">
        <v>135</v>
      </c>
      <c r="F1261" s="28" t="e">
        <f ca="1">_xludf.ifna(VLOOKUP(G1261,Proyectos!$A$2:$F$674,6,0),"")</f>
        <v>#NAME?</v>
      </c>
      <c r="G1261" s="76" t="s">
        <v>5439</v>
      </c>
      <c r="H1261" s="68">
        <v>0.5</v>
      </c>
      <c r="I1261" s="76" t="s">
        <v>18</v>
      </c>
      <c r="J1261" s="35" t="s">
        <v>19</v>
      </c>
      <c r="K1261" s="76" t="s">
        <v>10</v>
      </c>
      <c r="L1261" s="32" t="e">
        <f ca="1">_xludf.ifna(VLOOKUP(E1261,Parámetros!$D$2:$E$34,2,0),"")</f>
        <v>#NAME?</v>
      </c>
      <c r="M1261" s="32" t="e">
        <f ca="1">_xludf.ifna(VLOOKUP(G1261,Proyectos!$A$2:$T$674,20,0),"")</f>
        <v>#NAME?</v>
      </c>
      <c r="N1261" s="32" t="e">
        <f ca="1">_xludf.ifna(VLOOKUP(G1261,Proyectos!$A$2:$S$674,19,0))</f>
        <v>#NAME?</v>
      </c>
      <c r="O1261" s="32"/>
      <c r="P1261" s="31"/>
      <c r="Q1261" s="33"/>
      <c r="R1261" s="33"/>
      <c r="S1261" s="33"/>
      <c r="T1261" s="33"/>
      <c r="U1261" s="33"/>
      <c r="V1261" s="33"/>
      <c r="W1261" s="33"/>
    </row>
    <row r="1262" spans="1:23" ht="16.5" customHeight="1" x14ac:dyDescent="0.25">
      <c r="A1262" s="35" t="s">
        <v>4551</v>
      </c>
      <c r="B1262" s="76" t="s">
        <v>5456</v>
      </c>
      <c r="C1262" s="66" t="s">
        <v>37</v>
      </c>
      <c r="D1262" s="35" t="s">
        <v>52</v>
      </c>
      <c r="E1262" s="76" t="s">
        <v>135</v>
      </c>
      <c r="F1262" s="28" t="e">
        <f ca="1">_xludf.ifna(VLOOKUP(G1262,Proyectos!$A$2:$F$674,6,0),"")</f>
        <v>#NAME?</v>
      </c>
      <c r="G1262" s="76" t="s">
        <v>5439</v>
      </c>
      <c r="H1262" s="68">
        <v>0.5</v>
      </c>
      <c r="I1262" s="76" t="s">
        <v>18</v>
      </c>
      <c r="J1262" s="35" t="s">
        <v>19</v>
      </c>
      <c r="K1262" s="95" t="s">
        <v>10</v>
      </c>
      <c r="L1262" s="32" t="e">
        <f ca="1">_xludf.ifna(VLOOKUP(E1262,Parámetros!$D$2:$E$34,2,0),"")</f>
        <v>#NAME?</v>
      </c>
      <c r="M1262" s="32" t="e">
        <f ca="1">_xludf.ifna(VLOOKUP(G1262,Proyectos!$A$2:$T$674,20,0),"")</f>
        <v>#NAME?</v>
      </c>
      <c r="N1262" s="32" t="e">
        <f ca="1">_xludf.ifna(VLOOKUP(G1262,Proyectos!$A$2:$S$674,19,0))</f>
        <v>#NAME?</v>
      </c>
      <c r="O1262" s="31"/>
      <c r="P1262" s="31"/>
      <c r="Q1262" s="33"/>
      <c r="R1262" s="33"/>
      <c r="S1262" s="33"/>
      <c r="T1262" s="33"/>
      <c r="U1262" s="33"/>
      <c r="V1262" s="33"/>
      <c r="W1262" s="33"/>
    </row>
    <row r="1263" spans="1:23" ht="16.5" customHeight="1" x14ac:dyDescent="0.25">
      <c r="A1263" s="35" t="s">
        <v>4551</v>
      </c>
      <c r="B1263" s="76" t="s">
        <v>5457</v>
      </c>
      <c r="C1263" s="66" t="s">
        <v>37</v>
      </c>
      <c r="D1263" s="35" t="s">
        <v>52</v>
      </c>
      <c r="E1263" s="76" t="s">
        <v>135</v>
      </c>
      <c r="F1263" s="28" t="e">
        <f ca="1">_xludf.ifna(VLOOKUP(G1263,Proyectos!$A$2:$F$674,6,0),"")</f>
        <v>#NAME?</v>
      </c>
      <c r="G1263" s="76" t="s">
        <v>5439</v>
      </c>
      <c r="H1263" s="68">
        <v>0.5</v>
      </c>
      <c r="I1263" s="76" t="s">
        <v>18</v>
      </c>
      <c r="J1263" s="35" t="s">
        <v>19</v>
      </c>
      <c r="K1263" s="95" t="s">
        <v>10</v>
      </c>
      <c r="L1263" s="32" t="e">
        <f ca="1">_xludf.ifna(VLOOKUP(E1263,Parámetros!$D$2:$E$34,2,0),"")</f>
        <v>#NAME?</v>
      </c>
      <c r="M1263" s="32" t="e">
        <f ca="1">_xludf.ifna(VLOOKUP(G1263,Proyectos!$A$2:$T$674,20,0),"")</f>
        <v>#NAME?</v>
      </c>
      <c r="N1263" s="32" t="e">
        <f ca="1">_xludf.ifna(VLOOKUP(G1263,Proyectos!$A$2:$S$674,19,0))</f>
        <v>#NAME?</v>
      </c>
      <c r="O1263" s="31"/>
      <c r="P1263" s="31"/>
      <c r="Q1263" s="33"/>
      <c r="R1263" s="33"/>
      <c r="S1263" s="33"/>
      <c r="T1263" s="33"/>
      <c r="U1263" s="33"/>
      <c r="V1263" s="33"/>
      <c r="W1263" s="33"/>
    </row>
    <row r="1264" spans="1:23" ht="16.5" customHeight="1" x14ac:dyDescent="0.25">
      <c r="A1264" s="35" t="s">
        <v>4551</v>
      </c>
      <c r="B1264" s="76" t="s">
        <v>5458</v>
      </c>
      <c r="C1264" s="66" t="s">
        <v>37</v>
      </c>
      <c r="D1264" s="35" t="s">
        <v>52</v>
      </c>
      <c r="E1264" s="76" t="s">
        <v>135</v>
      </c>
      <c r="F1264" s="28" t="e">
        <f ca="1">_xludf.ifna(VLOOKUP(G1264,Proyectos!$A$2:$F$674,6,0),"")</f>
        <v>#NAME?</v>
      </c>
      <c r="G1264" s="76" t="s">
        <v>5439</v>
      </c>
      <c r="H1264" s="68">
        <v>0.5</v>
      </c>
      <c r="I1264" s="76" t="s">
        <v>18</v>
      </c>
      <c r="J1264" s="35" t="s">
        <v>19</v>
      </c>
      <c r="K1264" s="95" t="s">
        <v>10</v>
      </c>
      <c r="L1264" s="32" t="e">
        <f ca="1">_xludf.ifna(VLOOKUP(E1264,Parámetros!$D$2:$E$34,2,0),"")</f>
        <v>#NAME?</v>
      </c>
      <c r="M1264" s="32" t="e">
        <f ca="1">_xludf.ifna(VLOOKUP(G1264,Proyectos!$A$2:$T$674,20,0),"")</f>
        <v>#NAME?</v>
      </c>
      <c r="N1264" s="32" t="e">
        <f ca="1">_xludf.ifna(VLOOKUP(G1264,Proyectos!$A$2:$S$674,19,0))</f>
        <v>#NAME?</v>
      </c>
      <c r="O1264" s="32"/>
      <c r="P1264" s="31"/>
      <c r="Q1264" s="33"/>
      <c r="R1264" s="33"/>
      <c r="S1264" s="33"/>
      <c r="T1264" s="33"/>
      <c r="U1264" s="33"/>
      <c r="V1264" s="33"/>
      <c r="W1264" s="33"/>
    </row>
    <row r="1265" spans="1:23" ht="16.5" customHeight="1" x14ac:dyDescent="0.25">
      <c r="A1265" s="35" t="s">
        <v>4551</v>
      </c>
      <c r="B1265" s="76" t="s">
        <v>5459</v>
      </c>
      <c r="C1265" s="66" t="s">
        <v>37</v>
      </c>
      <c r="D1265" s="35" t="s">
        <v>52</v>
      </c>
      <c r="E1265" s="76" t="s">
        <v>135</v>
      </c>
      <c r="F1265" s="28" t="e">
        <f ca="1">_xludf.ifna(VLOOKUP(G1265,Proyectos!$A$2:$F$674,6,0),"")</f>
        <v>#NAME?</v>
      </c>
      <c r="G1265" s="76" t="s">
        <v>5439</v>
      </c>
      <c r="H1265" s="68">
        <v>0.5</v>
      </c>
      <c r="I1265" s="76" t="s">
        <v>18</v>
      </c>
      <c r="J1265" s="35" t="s">
        <v>19</v>
      </c>
      <c r="K1265" s="95" t="s">
        <v>10</v>
      </c>
      <c r="L1265" s="32" t="e">
        <f ca="1">_xludf.ifna(VLOOKUP(E1265,Parámetros!$D$2:$E$34,2,0),"")</f>
        <v>#NAME?</v>
      </c>
      <c r="M1265" s="32" t="e">
        <f ca="1">_xludf.ifna(VLOOKUP(G1265,Proyectos!$A$2:$T$674,20,0),"")</f>
        <v>#NAME?</v>
      </c>
      <c r="N1265" s="32" t="e">
        <f ca="1">_xludf.ifna(VLOOKUP(G1265,Proyectos!$A$2:$S$674,19,0))</f>
        <v>#NAME?</v>
      </c>
      <c r="O1265" s="32"/>
      <c r="P1265" s="31"/>
      <c r="Q1265" s="33"/>
      <c r="R1265" s="33"/>
      <c r="S1265" s="33"/>
      <c r="T1265" s="33"/>
      <c r="U1265" s="33"/>
      <c r="V1265" s="33"/>
      <c r="W1265" s="33"/>
    </row>
    <row r="1266" spans="1:23" ht="16.5" customHeight="1" x14ac:dyDescent="0.25">
      <c r="A1266" s="35" t="s">
        <v>4551</v>
      </c>
      <c r="B1266" s="76" t="s">
        <v>5460</v>
      </c>
      <c r="C1266" s="66" t="s">
        <v>37</v>
      </c>
      <c r="D1266" s="35" t="s">
        <v>52</v>
      </c>
      <c r="E1266" s="76" t="s">
        <v>87</v>
      </c>
      <c r="F1266" s="28" t="e">
        <f ca="1">_xludf.ifna(VLOOKUP(G1266,Proyectos!$A$2:$F$674,6,0),"")</f>
        <v>#NAME?</v>
      </c>
      <c r="G1266" s="76" t="s">
        <v>5439</v>
      </c>
      <c r="H1266" s="68">
        <v>0.5</v>
      </c>
      <c r="I1266" s="76" t="s">
        <v>18</v>
      </c>
      <c r="J1266" s="35" t="s">
        <v>19</v>
      </c>
      <c r="K1266" s="95" t="s">
        <v>10</v>
      </c>
      <c r="L1266" s="32" t="e">
        <f ca="1">_xludf.ifna(VLOOKUP(E1266,Parámetros!$D$2:$E$34,2,0),"")</f>
        <v>#NAME?</v>
      </c>
      <c r="M1266" s="32" t="e">
        <f ca="1">_xludf.ifna(VLOOKUP(G1266,Proyectos!$A$2:$T$674,20,0),"")</f>
        <v>#NAME?</v>
      </c>
      <c r="N1266" s="32" t="e">
        <f ca="1">_xludf.ifna(VLOOKUP(G1266,Proyectos!$A$2:$S$674,19,0))</f>
        <v>#NAME?</v>
      </c>
      <c r="O1266" s="32"/>
      <c r="P1266" s="31"/>
      <c r="Q1266" s="33"/>
      <c r="R1266" s="33"/>
      <c r="S1266" s="33"/>
      <c r="T1266" s="33"/>
      <c r="U1266" s="33"/>
      <c r="V1266" s="33"/>
      <c r="W1266" s="33"/>
    </row>
    <row r="1267" spans="1:23" ht="16.5" customHeight="1" x14ac:dyDescent="0.25">
      <c r="A1267" s="35" t="s">
        <v>4551</v>
      </c>
      <c r="B1267" s="76" t="s">
        <v>5461</v>
      </c>
      <c r="C1267" s="66" t="s">
        <v>37</v>
      </c>
      <c r="D1267" s="35" t="s">
        <v>52</v>
      </c>
      <c r="E1267" s="76" t="s">
        <v>87</v>
      </c>
      <c r="F1267" s="28" t="e">
        <f ca="1">_xludf.ifna(VLOOKUP(G1267,Proyectos!$A$2:$F$674,6,0),"")</f>
        <v>#NAME?</v>
      </c>
      <c r="G1267" s="76" t="s">
        <v>5439</v>
      </c>
      <c r="H1267" s="68">
        <v>0.5</v>
      </c>
      <c r="I1267" s="76" t="s">
        <v>18</v>
      </c>
      <c r="J1267" s="35" t="s">
        <v>19</v>
      </c>
      <c r="K1267" s="95" t="s">
        <v>10</v>
      </c>
      <c r="L1267" s="32" t="e">
        <f ca="1">_xludf.ifna(VLOOKUP(E1267,Parámetros!$D$2:$E$34,2,0),"")</f>
        <v>#NAME?</v>
      </c>
      <c r="M1267" s="32" t="e">
        <f ca="1">_xludf.ifna(VLOOKUP(G1267,Proyectos!$A$2:$T$674,20,0),"")</f>
        <v>#NAME?</v>
      </c>
      <c r="N1267" s="32" t="e">
        <f ca="1">_xludf.ifna(VLOOKUP(G1267,Proyectos!$A$2:$S$674,19,0))</f>
        <v>#NAME?</v>
      </c>
      <c r="O1267" s="32"/>
      <c r="P1267" s="31"/>
      <c r="Q1267" s="33"/>
      <c r="R1267" s="33"/>
      <c r="S1267" s="33"/>
      <c r="T1267" s="33"/>
      <c r="U1267" s="33"/>
      <c r="V1267" s="33"/>
      <c r="W1267" s="33"/>
    </row>
    <row r="1268" spans="1:23" ht="16.5" customHeight="1" x14ac:dyDescent="0.25">
      <c r="A1268" s="35" t="s">
        <v>4551</v>
      </c>
      <c r="B1268" s="76" t="s">
        <v>5462</v>
      </c>
      <c r="C1268" s="66" t="s">
        <v>37</v>
      </c>
      <c r="D1268" s="35" t="s">
        <v>52</v>
      </c>
      <c r="E1268" s="76" t="s">
        <v>87</v>
      </c>
      <c r="F1268" s="28" t="e">
        <f ca="1">_xludf.ifna(VLOOKUP(G1268,Proyectos!$A$2:$F$674,6,0),"")</f>
        <v>#NAME?</v>
      </c>
      <c r="G1268" s="76" t="s">
        <v>5439</v>
      </c>
      <c r="H1268" s="68">
        <v>0.5</v>
      </c>
      <c r="I1268" s="76" t="s">
        <v>18</v>
      </c>
      <c r="J1268" s="35" t="s">
        <v>19</v>
      </c>
      <c r="K1268" s="76" t="s">
        <v>10</v>
      </c>
      <c r="L1268" s="32" t="e">
        <f ca="1">_xludf.ifna(VLOOKUP(E1268,Parámetros!$D$2:$E$34,2,0),"")</f>
        <v>#NAME?</v>
      </c>
      <c r="M1268" s="32" t="e">
        <f ca="1">_xludf.ifna(VLOOKUP(G1268,Proyectos!$A$2:$T$674,20,0),"")</f>
        <v>#NAME?</v>
      </c>
      <c r="N1268" s="32" t="e">
        <f ca="1">_xludf.ifna(VLOOKUP(G1268,Proyectos!$A$2:$S$674,19,0))</f>
        <v>#NAME?</v>
      </c>
      <c r="O1268" s="32"/>
      <c r="P1268" s="31"/>
      <c r="Q1268" s="33"/>
      <c r="R1268" s="33"/>
      <c r="S1268" s="33"/>
      <c r="T1268" s="33"/>
      <c r="U1268" s="33"/>
      <c r="V1268" s="33"/>
      <c r="W1268" s="33"/>
    </row>
    <row r="1269" spans="1:23" ht="16.5" customHeight="1" x14ac:dyDescent="0.25">
      <c r="A1269" s="35" t="s">
        <v>4551</v>
      </c>
      <c r="B1269" s="76" t="s">
        <v>5453</v>
      </c>
      <c r="C1269" s="66" t="s">
        <v>37</v>
      </c>
      <c r="D1269" s="35" t="s">
        <v>52</v>
      </c>
      <c r="E1269" s="76" t="s">
        <v>135</v>
      </c>
      <c r="F1269" s="28" t="e">
        <f ca="1">_xludf.ifna(VLOOKUP(G1269,Proyectos!$A$2:$F$674,6,0),"")</f>
        <v>#NAME?</v>
      </c>
      <c r="G1269" s="76" t="s">
        <v>5359</v>
      </c>
      <c r="H1269" s="68">
        <v>0.5</v>
      </c>
      <c r="I1269" s="76" t="s">
        <v>18</v>
      </c>
      <c r="J1269" s="35" t="s">
        <v>19</v>
      </c>
      <c r="K1269" s="76" t="s">
        <v>10</v>
      </c>
      <c r="L1269" s="32" t="e">
        <f ca="1">_xludf.ifna(VLOOKUP(E1269,Parámetros!$D$2:$E$34,2,0),"")</f>
        <v>#NAME?</v>
      </c>
      <c r="M1269" s="32" t="e">
        <f ca="1">_xludf.ifna(VLOOKUP(G1269,Proyectos!$A$2:$T$674,20,0),"")</f>
        <v>#NAME?</v>
      </c>
      <c r="N1269" s="32" t="e">
        <f ca="1">_xludf.ifna(VLOOKUP(G1269,Proyectos!$A$2:$S$674,19,0))</f>
        <v>#NAME?</v>
      </c>
      <c r="O1269" s="32"/>
      <c r="P1269" s="31"/>
      <c r="Q1269" s="33"/>
      <c r="R1269" s="33"/>
      <c r="S1269" s="33"/>
      <c r="T1269" s="33"/>
      <c r="U1269" s="33"/>
      <c r="V1269" s="33"/>
      <c r="W1269" s="33"/>
    </row>
    <row r="1270" spans="1:23" ht="16.5" customHeight="1" x14ac:dyDescent="0.25">
      <c r="A1270" s="35" t="s">
        <v>4551</v>
      </c>
      <c r="B1270" s="76" t="s">
        <v>5454</v>
      </c>
      <c r="C1270" s="66" t="s">
        <v>37</v>
      </c>
      <c r="D1270" s="35" t="s">
        <v>52</v>
      </c>
      <c r="E1270" s="76" t="s">
        <v>135</v>
      </c>
      <c r="F1270" s="28" t="e">
        <f ca="1">_xludf.ifna(VLOOKUP(G1270,Proyectos!$A$2:$F$674,6,0),"")</f>
        <v>#NAME?</v>
      </c>
      <c r="G1270" s="76" t="s">
        <v>5359</v>
      </c>
      <c r="H1270" s="68">
        <v>0.5</v>
      </c>
      <c r="I1270" s="76" t="s">
        <v>18</v>
      </c>
      <c r="J1270" s="35" t="s">
        <v>19</v>
      </c>
      <c r="K1270" s="95" t="s">
        <v>10</v>
      </c>
      <c r="L1270" s="32" t="e">
        <f ca="1">_xludf.ifna(VLOOKUP(E1270,Parámetros!$D$2:$E$34,2,0),"")</f>
        <v>#NAME?</v>
      </c>
      <c r="M1270" s="32" t="e">
        <f ca="1">_xludf.ifna(VLOOKUP(G1270,Proyectos!$A$2:$T$674,20,0),"")</f>
        <v>#NAME?</v>
      </c>
      <c r="N1270" s="32" t="e">
        <f ca="1">_xludf.ifna(VLOOKUP(G1270,Proyectos!$A$2:$S$674,19,0))</f>
        <v>#NAME?</v>
      </c>
      <c r="O1270" s="31"/>
      <c r="P1270" s="31"/>
      <c r="Q1270" s="33"/>
      <c r="R1270" s="33"/>
      <c r="S1270" s="33"/>
      <c r="T1270" s="33"/>
      <c r="U1270" s="33"/>
      <c r="V1270" s="33"/>
      <c r="W1270" s="33"/>
    </row>
    <row r="1271" spans="1:23" ht="16.5" customHeight="1" x14ac:dyDescent="0.25">
      <c r="A1271" s="35" t="s">
        <v>4551</v>
      </c>
      <c r="B1271" s="76" t="s">
        <v>5455</v>
      </c>
      <c r="C1271" s="66" t="s">
        <v>37</v>
      </c>
      <c r="D1271" s="35" t="s">
        <v>52</v>
      </c>
      <c r="E1271" s="76" t="s">
        <v>135</v>
      </c>
      <c r="F1271" s="28" t="e">
        <f ca="1">_xludf.ifna(VLOOKUP(G1271,Proyectos!$A$2:$F$674,6,0),"")</f>
        <v>#NAME?</v>
      </c>
      <c r="G1271" s="76" t="s">
        <v>5359</v>
      </c>
      <c r="H1271" s="68">
        <v>0.5</v>
      </c>
      <c r="I1271" s="76" t="s">
        <v>18</v>
      </c>
      <c r="J1271" s="35" t="s">
        <v>19</v>
      </c>
      <c r="K1271" s="95" t="s">
        <v>10</v>
      </c>
      <c r="L1271" s="32" t="e">
        <f ca="1">_xludf.ifna(VLOOKUP(E1271,Parámetros!$D$2:$E$34,2,0),"")</f>
        <v>#NAME?</v>
      </c>
      <c r="M1271" s="32" t="e">
        <f ca="1">_xludf.ifna(VLOOKUP(G1271,Proyectos!$A$2:$T$674,20,0),"")</f>
        <v>#NAME?</v>
      </c>
      <c r="N1271" s="32" t="e">
        <f ca="1">_xludf.ifna(VLOOKUP(G1271,Proyectos!$A$2:$S$674,19,0))</f>
        <v>#NAME?</v>
      </c>
      <c r="O1271" s="31"/>
      <c r="P1271" s="31"/>
      <c r="Q1271" s="33"/>
      <c r="R1271" s="33"/>
      <c r="S1271" s="33"/>
      <c r="T1271" s="33"/>
      <c r="U1271" s="33"/>
      <c r="V1271" s="33"/>
      <c r="W1271" s="33"/>
    </row>
    <row r="1272" spans="1:23" ht="16.5" customHeight="1" x14ac:dyDescent="0.25">
      <c r="A1272" s="35" t="s">
        <v>4551</v>
      </c>
      <c r="B1272" s="76" t="s">
        <v>5456</v>
      </c>
      <c r="C1272" s="66" t="s">
        <v>37</v>
      </c>
      <c r="D1272" s="35" t="s">
        <v>52</v>
      </c>
      <c r="E1272" s="76" t="s">
        <v>135</v>
      </c>
      <c r="F1272" s="28" t="e">
        <f ca="1">_xludf.ifna(VLOOKUP(G1272,Proyectos!$A$2:$F$674,6,0),"")</f>
        <v>#NAME?</v>
      </c>
      <c r="G1272" s="76" t="s">
        <v>5359</v>
      </c>
      <c r="H1272" s="68">
        <v>0.5</v>
      </c>
      <c r="I1272" s="76" t="s">
        <v>18</v>
      </c>
      <c r="J1272" s="35" t="s">
        <v>19</v>
      </c>
      <c r="K1272" s="95" t="s">
        <v>10</v>
      </c>
      <c r="L1272" s="32" t="e">
        <f ca="1">_xludf.ifna(VLOOKUP(E1272,Parámetros!$D$2:$E$34,2,0),"")</f>
        <v>#NAME?</v>
      </c>
      <c r="M1272" s="32" t="e">
        <f ca="1">_xludf.ifna(VLOOKUP(G1272,Proyectos!$A$2:$T$674,20,0),"")</f>
        <v>#NAME?</v>
      </c>
      <c r="N1272" s="32" t="e">
        <f ca="1">_xludf.ifna(VLOOKUP(G1272,Proyectos!$A$2:$S$674,19,0))</f>
        <v>#NAME?</v>
      </c>
      <c r="O1272" s="31"/>
      <c r="P1272" s="31"/>
      <c r="Q1272" s="33"/>
      <c r="R1272" s="33"/>
      <c r="S1272" s="33"/>
      <c r="T1272" s="33"/>
      <c r="U1272" s="33"/>
      <c r="V1272" s="33"/>
      <c r="W1272" s="33"/>
    </row>
    <row r="1273" spans="1:23" ht="16.5" customHeight="1" x14ac:dyDescent="0.25">
      <c r="A1273" s="35" t="s">
        <v>4551</v>
      </c>
      <c r="B1273" s="76" t="s">
        <v>5457</v>
      </c>
      <c r="C1273" s="66" t="s">
        <v>37</v>
      </c>
      <c r="D1273" s="35" t="s">
        <v>52</v>
      </c>
      <c r="E1273" s="76" t="s">
        <v>135</v>
      </c>
      <c r="F1273" s="28" t="e">
        <f ca="1">_xludf.ifna(VLOOKUP(G1273,Proyectos!$A$2:$F$674,6,0),"")</f>
        <v>#NAME?</v>
      </c>
      <c r="G1273" s="76" t="s">
        <v>5359</v>
      </c>
      <c r="H1273" s="68">
        <v>0.5</v>
      </c>
      <c r="I1273" s="76" t="s">
        <v>18</v>
      </c>
      <c r="J1273" s="35" t="s">
        <v>19</v>
      </c>
      <c r="K1273" s="95" t="s">
        <v>10</v>
      </c>
      <c r="L1273" s="32" t="e">
        <f ca="1">_xludf.ifna(VLOOKUP(E1273,Parámetros!$D$2:$E$34,2,0),"")</f>
        <v>#NAME?</v>
      </c>
      <c r="M1273" s="32" t="e">
        <f ca="1">_xludf.ifna(VLOOKUP(G1273,Proyectos!$A$2:$T$674,20,0),"")</f>
        <v>#NAME?</v>
      </c>
      <c r="N1273" s="32" t="e">
        <f ca="1">_xludf.ifna(VLOOKUP(G1273,Proyectos!$A$2:$S$674,19,0))</f>
        <v>#NAME?</v>
      </c>
      <c r="O1273" s="31"/>
      <c r="P1273" s="31"/>
      <c r="Q1273" s="33"/>
      <c r="R1273" s="33"/>
      <c r="S1273" s="33"/>
      <c r="T1273" s="33"/>
      <c r="U1273" s="33"/>
      <c r="V1273" s="33"/>
      <c r="W1273" s="33"/>
    </row>
    <row r="1274" spans="1:23" ht="16.5" customHeight="1" x14ac:dyDescent="0.25">
      <c r="A1274" s="35" t="s">
        <v>4551</v>
      </c>
      <c r="B1274" s="76" t="s">
        <v>5458</v>
      </c>
      <c r="C1274" s="66" t="s">
        <v>37</v>
      </c>
      <c r="D1274" s="35" t="s">
        <v>52</v>
      </c>
      <c r="E1274" s="76" t="s">
        <v>135</v>
      </c>
      <c r="F1274" s="28" t="e">
        <f ca="1">_xludf.ifna(VLOOKUP(G1274,Proyectos!$A$2:$F$674,6,0),"")</f>
        <v>#NAME?</v>
      </c>
      <c r="G1274" s="76" t="s">
        <v>5359</v>
      </c>
      <c r="H1274" s="68">
        <v>0.5</v>
      </c>
      <c r="I1274" s="76" t="s">
        <v>18</v>
      </c>
      <c r="J1274" s="35" t="s">
        <v>19</v>
      </c>
      <c r="K1274" s="95" t="s">
        <v>10</v>
      </c>
      <c r="L1274" s="32" t="e">
        <f ca="1">_xludf.ifna(VLOOKUP(E1274,Parámetros!$D$2:$E$34,2,0),"")</f>
        <v>#NAME?</v>
      </c>
      <c r="M1274" s="32" t="e">
        <f ca="1">_xludf.ifna(VLOOKUP(G1274,Proyectos!$A$2:$T$674,20,0),"")</f>
        <v>#NAME?</v>
      </c>
      <c r="N1274" s="32" t="e">
        <f ca="1">_xludf.ifna(VLOOKUP(G1274,Proyectos!$A$2:$S$674,19,0))</f>
        <v>#NAME?</v>
      </c>
      <c r="O1274" s="31"/>
      <c r="P1274" s="31"/>
      <c r="Q1274" s="33"/>
      <c r="R1274" s="33"/>
      <c r="S1274" s="33"/>
      <c r="T1274" s="33"/>
      <c r="U1274" s="33"/>
      <c r="V1274" s="33"/>
      <c r="W1274" s="33"/>
    </row>
    <row r="1275" spans="1:23" ht="16.5" customHeight="1" x14ac:dyDescent="0.25">
      <c r="A1275" s="35" t="s">
        <v>4551</v>
      </c>
      <c r="B1275" s="76" t="s">
        <v>5459</v>
      </c>
      <c r="C1275" s="66" t="s">
        <v>37</v>
      </c>
      <c r="D1275" s="35" t="s">
        <v>52</v>
      </c>
      <c r="E1275" s="76" t="s">
        <v>135</v>
      </c>
      <c r="F1275" s="28" t="e">
        <f ca="1">_xludf.ifna(VLOOKUP(G1275,Proyectos!$A$2:$F$674,6,0),"")</f>
        <v>#NAME?</v>
      </c>
      <c r="G1275" s="76" t="s">
        <v>5359</v>
      </c>
      <c r="H1275" s="68">
        <v>0.5</v>
      </c>
      <c r="I1275" s="76" t="s">
        <v>18</v>
      </c>
      <c r="J1275" s="35" t="s">
        <v>19</v>
      </c>
      <c r="K1275" s="95" t="s">
        <v>10</v>
      </c>
      <c r="L1275" s="32" t="e">
        <f ca="1">_xludf.ifna(VLOOKUP(E1275,Parámetros!$D$2:$E$34,2,0),"")</f>
        <v>#NAME?</v>
      </c>
      <c r="M1275" s="32" t="e">
        <f ca="1">_xludf.ifna(VLOOKUP(G1275,Proyectos!$A$2:$T$674,20,0),"")</f>
        <v>#NAME?</v>
      </c>
      <c r="N1275" s="32" t="e">
        <f ca="1">_xludf.ifna(VLOOKUP(G1275,Proyectos!$A$2:$S$674,19,0))</f>
        <v>#NAME?</v>
      </c>
      <c r="O1275" s="31"/>
      <c r="P1275" s="31"/>
      <c r="Q1275" s="33"/>
      <c r="R1275" s="33"/>
      <c r="S1275" s="33"/>
      <c r="T1275" s="33"/>
      <c r="U1275" s="33"/>
      <c r="V1275" s="33"/>
      <c r="W1275" s="33"/>
    </row>
    <row r="1276" spans="1:23" ht="16.5" customHeight="1" x14ac:dyDescent="0.25">
      <c r="A1276" s="35" t="s">
        <v>4551</v>
      </c>
      <c r="B1276" s="76" t="s">
        <v>5460</v>
      </c>
      <c r="C1276" s="66" t="s">
        <v>37</v>
      </c>
      <c r="D1276" s="35" t="s">
        <v>52</v>
      </c>
      <c r="E1276" s="76" t="s">
        <v>87</v>
      </c>
      <c r="F1276" s="28" t="e">
        <f ca="1">_xludf.ifna(VLOOKUP(G1276,Proyectos!$A$2:$F$674,6,0),"")</f>
        <v>#NAME?</v>
      </c>
      <c r="G1276" s="76" t="s">
        <v>5359</v>
      </c>
      <c r="H1276" s="68">
        <v>0.5</v>
      </c>
      <c r="I1276" s="76" t="s">
        <v>18</v>
      </c>
      <c r="J1276" s="35" t="s">
        <v>19</v>
      </c>
      <c r="K1276" s="95" t="s">
        <v>10</v>
      </c>
      <c r="L1276" s="32" t="e">
        <f ca="1">_xludf.ifna(VLOOKUP(E1276,Parámetros!$D$2:$E$34,2,0),"")</f>
        <v>#NAME?</v>
      </c>
      <c r="M1276" s="32" t="e">
        <f ca="1">_xludf.ifna(VLOOKUP(G1276,Proyectos!$A$2:$T$674,20,0),"")</f>
        <v>#NAME?</v>
      </c>
      <c r="N1276" s="32" t="e">
        <f ca="1">_xludf.ifna(VLOOKUP(G1276,Proyectos!$A$2:$S$674,19,0))</f>
        <v>#NAME?</v>
      </c>
      <c r="O1276" s="31"/>
      <c r="P1276" s="31"/>
      <c r="Q1276" s="33"/>
      <c r="R1276" s="33"/>
      <c r="S1276" s="33"/>
      <c r="T1276" s="33"/>
      <c r="U1276" s="33"/>
      <c r="V1276" s="33"/>
      <c r="W1276" s="33"/>
    </row>
    <row r="1277" spans="1:23" ht="16.5" customHeight="1" x14ac:dyDescent="0.25">
      <c r="A1277" s="35" t="s">
        <v>4551</v>
      </c>
      <c r="B1277" s="76" t="s">
        <v>5461</v>
      </c>
      <c r="C1277" s="66" t="s">
        <v>37</v>
      </c>
      <c r="D1277" s="35" t="s">
        <v>52</v>
      </c>
      <c r="E1277" s="76" t="s">
        <v>87</v>
      </c>
      <c r="F1277" s="28" t="e">
        <f ca="1">_xludf.ifna(VLOOKUP(G1277,Proyectos!$A$2:$F$674,6,0),"")</f>
        <v>#NAME?</v>
      </c>
      <c r="G1277" s="76" t="s">
        <v>5359</v>
      </c>
      <c r="H1277" s="68">
        <v>0.5</v>
      </c>
      <c r="I1277" s="76" t="s">
        <v>18</v>
      </c>
      <c r="J1277" s="35" t="s">
        <v>19</v>
      </c>
      <c r="K1277" s="95" t="s">
        <v>10</v>
      </c>
      <c r="L1277" s="32" t="e">
        <f ca="1">_xludf.ifna(VLOOKUP(E1277,Parámetros!$D$2:$E$34,2,0),"")</f>
        <v>#NAME?</v>
      </c>
      <c r="M1277" s="32" t="e">
        <f ca="1">_xludf.ifna(VLOOKUP(G1277,Proyectos!$A$2:$T$674,20,0),"")</f>
        <v>#NAME?</v>
      </c>
      <c r="N1277" s="32" t="e">
        <f ca="1">_xludf.ifna(VLOOKUP(G1277,Proyectos!$A$2:$S$674,19,0))</f>
        <v>#NAME?</v>
      </c>
      <c r="O1277" s="31"/>
      <c r="P1277" s="31"/>
      <c r="Q1277" s="33"/>
      <c r="R1277" s="33"/>
      <c r="S1277" s="33"/>
      <c r="T1277" s="33"/>
      <c r="U1277" s="33"/>
      <c r="V1277" s="33"/>
      <c r="W1277" s="33"/>
    </row>
    <row r="1278" spans="1:23" ht="16.5" customHeight="1" x14ac:dyDescent="0.25">
      <c r="A1278" s="35" t="s">
        <v>4551</v>
      </c>
      <c r="B1278" s="76" t="s">
        <v>5462</v>
      </c>
      <c r="C1278" s="66" t="s">
        <v>37</v>
      </c>
      <c r="D1278" s="35" t="s">
        <v>52</v>
      </c>
      <c r="E1278" s="76" t="s">
        <v>87</v>
      </c>
      <c r="F1278" s="28" t="e">
        <f ca="1">_xludf.ifna(VLOOKUP(G1278,Proyectos!$A$2:$F$674,6,0),"")</f>
        <v>#NAME?</v>
      </c>
      <c r="G1278" s="76" t="s">
        <v>5359</v>
      </c>
      <c r="H1278" s="68">
        <v>0.5</v>
      </c>
      <c r="I1278" s="76" t="s">
        <v>18</v>
      </c>
      <c r="J1278" s="35" t="s">
        <v>19</v>
      </c>
      <c r="K1278" s="95" t="s">
        <v>10</v>
      </c>
      <c r="L1278" s="32" t="e">
        <f ca="1">_xludf.ifna(VLOOKUP(E1278,Parámetros!$D$2:$E$34,2,0),"")</f>
        <v>#NAME?</v>
      </c>
      <c r="M1278" s="32" t="e">
        <f ca="1">_xludf.ifna(VLOOKUP(G1278,Proyectos!$A$2:$T$674,20,0),"")</f>
        <v>#NAME?</v>
      </c>
      <c r="N1278" s="32" t="e">
        <f ca="1">_xludf.ifna(VLOOKUP(G1278,Proyectos!$A$2:$S$674,19,0))</f>
        <v>#NAME?</v>
      </c>
      <c r="O1278" s="31"/>
      <c r="P1278" s="31"/>
      <c r="Q1278" s="33"/>
      <c r="R1278" s="33"/>
      <c r="S1278" s="33"/>
      <c r="T1278" s="33"/>
      <c r="U1278" s="33"/>
      <c r="V1278" s="33"/>
      <c r="W1278" s="33"/>
    </row>
    <row r="1279" spans="1:23" ht="16.5" customHeight="1" x14ac:dyDescent="0.25">
      <c r="A1279" s="35" t="s">
        <v>4405</v>
      </c>
      <c r="B1279" s="76" t="s">
        <v>4406</v>
      </c>
      <c r="C1279" s="76" t="s">
        <v>64</v>
      </c>
      <c r="D1279" s="35" t="s">
        <v>86</v>
      </c>
      <c r="E1279" s="76" t="s">
        <v>126</v>
      </c>
      <c r="F1279" s="28" t="e">
        <f ca="1">_xludf.ifna(VLOOKUP(G1279,Proyectos!$A$2:$F$674,6,0),"")</f>
        <v>#NAME?</v>
      </c>
      <c r="G1279" s="76" t="s">
        <v>5463</v>
      </c>
      <c r="H1279" s="68">
        <v>0.3</v>
      </c>
      <c r="I1279" s="76" t="s">
        <v>18</v>
      </c>
      <c r="J1279" s="35" t="s">
        <v>19</v>
      </c>
      <c r="K1279" s="95"/>
      <c r="L1279" s="32" t="e">
        <f ca="1">_xludf.ifna(VLOOKUP(E1279,Parámetros!$D$2:$E$34,2,0),"")</f>
        <v>#NAME?</v>
      </c>
      <c r="M1279" s="32" t="e">
        <f ca="1">_xludf.ifna(VLOOKUP(G1279,Proyectos!$A$2:$T$674,20,0),"")</f>
        <v>#NAME?</v>
      </c>
      <c r="N1279" s="32" t="e">
        <f ca="1">_xludf.ifna(VLOOKUP(G1279,Proyectos!$A$2:$S$674,19,0))</f>
        <v>#NAME?</v>
      </c>
      <c r="O1279" s="31"/>
      <c r="P1279" s="31"/>
      <c r="Q1279" s="33"/>
      <c r="R1279" s="33"/>
      <c r="S1279" s="33"/>
      <c r="T1279" s="33"/>
      <c r="U1279" s="33"/>
      <c r="V1279" s="33"/>
      <c r="W1279" s="33"/>
    </row>
    <row r="1280" spans="1:23" ht="16.5" customHeight="1" x14ac:dyDescent="0.25">
      <c r="A1280" s="35" t="s">
        <v>4010</v>
      </c>
      <c r="B1280" s="76" t="s">
        <v>4011</v>
      </c>
      <c r="C1280" s="76" t="s">
        <v>64</v>
      </c>
      <c r="D1280" s="35" t="s">
        <v>86</v>
      </c>
      <c r="E1280" s="76" t="s">
        <v>114</v>
      </c>
      <c r="F1280" s="28" t="e">
        <f ca="1">_xludf.ifna(VLOOKUP(G1280,Proyectos!$A$2:$F$674,6,0),"")</f>
        <v>#NAME?</v>
      </c>
      <c r="G1280" s="76" t="s">
        <v>5463</v>
      </c>
      <c r="H1280" s="68">
        <v>0.02</v>
      </c>
      <c r="I1280" s="76" t="s">
        <v>25</v>
      </c>
      <c r="J1280" s="35" t="s">
        <v>72</v>
      </c>
      <c r="K1280" s="95"/>
      <c r="L1280" s="32" t="e">
        <f ca="1">_xludf.ifna(VLOOKUP(E1280,Parámetros!$D$2:$E$34,2,0),"")</f>
        <v>#NAME?</v>
      </c>
      <c r="M1280" s="32" t="e">
        <f ca="1">_xludf.ifna(VLOOKUP(G1280,Proyectos!$A$2:$T$674,20,0),"")</f>
        <v>#NAME?</v>
      </c>
      <c r="N1280" s="32" t="e">
        <f ca="1">_xludf.ifna(VLOOKUP(G1280,Proyectos!$A$2:$S$674,19,0))</f>
        <v>#NAME?</v>
      </c>
      <c r="O1280" s="31"/>
      <c r="P1280" s="31"/>
      <c r="Q1280" s="33"/>
      <c r="R1280" s="33"/>
      <c r="S1280" s="33"/>
      <c r="T1280" s="33"/>
      <c r="U1280" s="33"/>
      <c r="V1280" s="33"/>
      <c r="W1280" s="33"/>
    </row>
    <row r="1281" spans="1:23" ht="16.5" customHeight="1" x14ac:dyDescent="0.25">
      <c r="A1281" s="35" t="s">
        <v>3712</v>
      </c>
      <c r="B1281" s="76" t="s">
        <v>3713</v>
      </c>
      <c r="C1281" s="76" t="s">
        <v>64</v>
      </c>
      <c r="D1281" s="35" t="s">
        <v>86</v>
      </c>
      <c r="E1281" s="76" t="s">
        <v>39</v>
      </c>
      <c r="F1281" s="28" t="e">
        <f ca="1">_xludf.ifna(VLOOKUP(G1281,Proyectos!$A$2:$F$674,6,0),"")</f>
        <v>#NAME?</v>
      </c>
      <c r="G1281" s="76" t="s">
        <v>5463</v>
      </c>
      <c r="H1281" s="68">
        <v>0.8</v>
      </c>
      <c r="I1281" s="76" t="s">
        <v>18</v>
      </c>
      <c r="J1281" s="31" t="s">
        <v>19</v>
      </c>
      <c r="K1281" s="95"/>
      <c r="L1281" s="32" t="e">
        <f ca="1">_xludf.ifna(VLOOKUP(E1281,Parámetros!$D$2:$E$34,2,0),"")</f>
        <v>#NAME?</v>
      </c>
      <c r="M1281" s="32" t="e">
        <f ca="1">_xludf.ifna(VLOOKUP(G1281,Proyectos!$A$2:$T$674,20,0),"")</f>
        <v>#NAME?</v>
      </c>
      <c r="N1281" s="32" t="e">
        <f ca="1">_xludf.ifna(VLOOKUP(G1281,Proyectos!$A$2:$S$674,19,0))</f>
        <v>#NAME?</v>
      </c>
      <c r="O1281" s="31"/>
      <c r="P1281" s="31"/>
      <c r="Q1281" s="33"/>
      <c r="R1281" s="33"/>
      <c r="S1281" s="33"/>
      <c r="T1281" s="33"/>
      <c r="U1281" s="33"/>
      <c r="V1281" s="33"/>
      <c r="W1281" s="33"/>
    </row>
    <row r="1282" spans="1:23" ht="16.5" customHeight="1" x14ac:dyDescent="0.25">
      <c r="A1282" s="35" t="s">
        <v>3712</v>
      </c>
      <c r="B1282" s="76" t="s">
        <v>3713</v>
      </c>
      <c r="C1282" s="76" t="s">
        <v>64</v>
      </c>
      <c r="D1282" s="35" t="s">
        <v>86</v>
      </c>
      <c r="E1282" s="76" t="s">
        <v>39</v>
      </c>
      <c r="F1282" s="28" t="e">
        <f ca="1">_xludf.ifna(VLOOKUP(G1282,Proyectos!$A$2:$F$674,6,0),"")</f>
        <v>#NAME?</v>
      </c>
      <c r="G1282" s="26" t="s">
        <v>5378</v>
      </c>
      <c r="H1282" s="68">
        <v>0.2</v>
      </c>
      <c r="I1282" s="76" t="s">
        <v>18</v>
      </c>
      <c r="J1282" s="31" t="s">
        <v>19</v>
      </c>
      <c r="K1282" s="95"/>
      <c r="L1282" s="32" t="e">
        <f ca="1">_xludf.ifna(VLOOKUP(E1282,Parámetros!$D$2:$E$34,2,0),"")</f>
        <v>#NAME?</v>
      </c>
      <c r="M1282" s="32" t="e">
        <f ca="1">_xludf.ifna(VLOOKUP(G1282,Proyectos!$A$2:$T$674,20,0),"")</f>
        <v>#NAME?</v>
      </c>
      <c r="N1282" s="32" t="e">
        <f ca="1">_xludf.ifna(VLOOKUP(G1282,Proyectos!$A$2:$S$674,19,0))</f>
        <v>#NAME?</v>
      </c>
      <c r="O1282" s="31"/>
      <c r="P1282" s="31"/>
      <c r="Q1282" s="33"/>
      <c r="R1282" s="33"/>
      <c r="S1282" s="33"/>
      <c r="T1282" s="63">
        <f>IF(E1282=E1281,0,1)</f>
        <v>0</v>
      </c>
      <c r="U1282" s="33"/>
      <c r="V1282" s="33"/>
      <c r="W1282" s="33"/>
    </row>
    <row r="1283" spans="1:23" ht="16.5" customHeight="1" x14ac:dyDescent="0.25">
      <c r="A1283" s="35" t="s">
        <v>3898</v>
      </c>
      <c r="B1283" s="76" t="s">
        <v>3899</v>
      </c>
      <c r="C1283" s="76" t="s">
        <v>64</v>
      </c>
      <c r="D1283" s="35" t="s">
        <v>86</v>
      </c>
      <c r="E1283" s="76" t="s">
        <v>39</v>
      </c>
      <c r="F1283" s="28" t="e">
        <f ca="1">_xludf.ifna(VLOOKUP(G1283,Proyectos!$A$2:$F$674,6,0),"")</f>
        <v>#NAME?</v>
      </c>
      <c r="G1283" s="76" t="s">
        <v>5463</v>
      </c>
      <c r="H1283" s="68">
        <v>1</v>
      </c>
      <c r="I1283" s="76" t="s">
        <v>18</v>
      </c>
      <c r="J1283" s="35" t="s">
        <v>72</v>
      </c>
      <c r="K1283" s="95"/>
      <c r="L1283" s="32" t="e">
        <f ca="1">_xludf.ifna(VLOOKUP(E1283,Parámetros!$D$2:$E$34,2,0),"")</f>
        <v>#NAME?</v>
      </c>
      <c r="M1283" s="32" t="e">
        <f ca="1">_xludf.ifna(VLOOKUP(G1283,Proyectos!$A$2:$T$674,20,0),"")</f>
        <v>#NAME?</v>
      </c>
      <c r="N1283" s="32" t="e">
        <f ca="1">_xludf.ifna(VLOOKUP(G1283,Proyectos!$A$2:$S$674,19,0))</f>
        <v>#NAME?</v>
      </c>
      <c r="O1283" s="31"/>
      <c r="P1283" s="31"/>
      <c r="Q1283" s="33"/>
      <c r="R1283" s="33"/>
      <c r="S1283" s="33"/>
      <c r="T1283" s="33"/>
      <c r="U1283" s="33"/>
      <c r="V1283" s="33"/>
      <c r="W1283" s="33"/>
    </row>
    <row r="1284" spans="1:23" ht="16.5" customHeight="1" x14ac:dyDescent="0.25">
      <c r="A1284" s="35" t="s">
        <v>3339</v>
      </c>
      <c r="B1284" s="76" t="s">
        <v>3340</v>
      </c>
      <c r="C1284" s="76" t="s">
        <v>64</v>
      </c>
      <c r="D1284" s="35" t="s">
        <v>86</v>
      </c>
      <c r="E1284" s="76" t="s">
        <v>39</v>
      </c>
      <c r="F1284" s="28" t="e">
        <f ca="1">_xludf.ifna(VLOOKUP(G1284,Proyectos!$A$2:$F$674,6,0),"")</f>
        <v>#NAME?</v>
      </c>
      <c r="G1284" s="76" t="s">
        <v>5463</v>
      </c>
      <c r="H1284" s="68">
        <v>1</v>
      </c>
      <c r="I1284" s="76" t="s">
        <v>18</v>
      </c>
      <c r="J1284" s="31" t="s">
        <v>19</v>
      </c>
      <c r="K1284" s="95"/>
      <c r="L1284" s="32" t="e">
        <f ca="1">_xludf.ifna(VLOOKUP(E1284,Parámetros!$D$2:$E$34,2,0),"")</f>
        <v>#NAME?</v>
      </c>
      <c r="M1284" s="32" t="e">
        <f ca="1">_xludf.ifna(VLOOKUP(G1284,Proyectos!$A$2:$T$674,20,0),"")</f>
        <v>#NAME?</v>
      </c>
      <c r="N1284" s="32" t="e">
        <f ca="1">_xludf.ifna(VLOOKUP(G1284,Proyectos!$A$2:$S$674,19,0))</f>
        <v>#NAME?</v>
      </c>
      <c r="O1284" s="31"/>
      <c r="P1284" s="31"/>
      <c r="Q1284" s="33"/>
      <c r="R1284" s="33"/>
      <c r="S1284" s="33"/>
      <c r="T1284" s="33"/>
      <c r="U1284" s="33"/>
      <c r="V1284" s="33"/>
      <c r="W1284" s="33"/>
    </row>
    <row r="1285" spans="1:23" ht="16.5" customHeight="1" x14ac:dyDescent="0.25">
      <c r="A1285" s="35" t="s">
        <v>3710</v>
      </c>
      <c r="B1285" s="76" t="s">
        <v>3711</v>
      </c>
      <c r="C1285" s="76" t="s">
        <v>64</v>
      </c>
      <c r="D1285" s="35" t="s">
        <v>86</v>
      </c>
      <c r="E1285" s="76" t="s">
        <v>39</v>
      </c>
      <c r="F1285" s="28" t="e">
        <f ca="1">_xludf.ifna(VLOOKUP(G1285,Proyectos!$A$2:$F$674,6,0),"")</f>
        <v>#NAME?</v>
      </c>
      <c r="G1285" s="76" t="s">
        <v>5463</v>
      </c>
      <c r="H1285" s="68">
        <v>1</v>
      </c>
      <c r="I1285" s="76" t="s">
        <v>18</v>
      </c>
      <c r="J1285" s="31" t="s">
        <v>19</v>
      </c>
      <c r="K1285" s="95"/>
      <c r="L1285" s="32" t="e">
        <f ca="1">_xludf.ifna(VLOOKUP(E1285,Parámetros!$D$2:$E$34,2,0),"")</f>
        <v>#NAME?</v>
      </c>
      <c r="M1285" s="32" t="e">
        <f ca="1">_xludf.ifna(VLOOKUP(G1285,Proyectos!$A$2:$T$674,20,0),"")</f>
        <v>#NAME?</v>
      </c>
      <c r="N1285" s="32" t="e">
        <f ca="1">_xludf.ifna(VLOOKUP(G1285,Proyectos!$A$2:$S$674,19,0))</f>
        <v>#NAME?</v>
      </c>
      <c r="O1285" s="31"/>
      <c r="P1285" s="31"/>
      <c r="Q1285" s="33"/>
      <c r="R1285" s="33"/>
      <c r="S1285" s="33"/>
      <c r="T1285" s="33"/>
      <c r="U1285" s="33"/>
      <c r="V1285" s="33"/>
      <c r="W1285" s="33"/>
    </row>
    <row r="1286" spans="1:23" ht="16.5" customHeight="1" x14ac:dyDescent="0.25">
      <c r="A1286" s="35" t="s">
        <v>3327</v>
      </c>
      <c r="B1286" s="76" t="s">
        <v>3328</v>
      </c>
      <c r="C1286" s="76" t="s">
        <v>64</v>
      </c>
      <c r="D1286" s="35" t="s">
        <v>86</v>
      </c>
      <c r="E1286" s="76" t="s">
        <v>39</v>
      </c>
      <c r="F1286" s="28" t="e">
        <f ca="1">_xludf.ifna(VLOOKUP(G1286,Proyectos!$A$2:$F$674,6,0),"")</f>
        <v>#NAME?</v>
      </c>
      <c r="G1286" s="76" t="s">
        <v>5463</v>
      </c>
      <c r="H1286" s="68">
        <v>1</v>
      </c>
      <c r="I1286" s="76" t="s">
        <v>18</v>
      </c>
      <c r="J1286" s="35" t="s">
        <v>61</v>
      </c>
      <c r="K1286" s="95"/>
      <c r="L1286" s="32" t="e">
        <f ca="1">_xludf.ifna(VLOOKUP(E1286,Parámetros!$D$2:$E$34,2,0),"")</f>
        <v>#NAME?</v>
      </c>
      <c r="M1286" s="32" t="e">
        <f ca="1">_xludf.ifna(VLOOKUP(G1286,Proyectos!$A$2:$T$674,20,0),"")</f>
        <v>#NAME?</v>
      </c>
      <c r="N1286" s="32" t="e">
        <f ca="1">_xludf.ifna(VLOOKUP(G1286,Proyectos!$A$2:$S$674,19,0))</f>
        <v>#NAME?</v>
      </c>
      <c r="O1286" s="31"/>
      <c r="P1286" s="31"/>
      <c r="Q1286" s="33"/>
      <c r="R1286" s="33"/>
      <c r="S1286" s="33"/>
      <c r="T1286" s="33"/>
      <c r="U1286" s="33"/>
      <c r="V1286" s="33"/>
      <c r="W1286" s="33"/>
    </row>
    <row r="1287" spans="1:23" ht="16.5" customHeight="1" x14ac:dyDescent="0.25">
      <c r="A1287" s="35" t="s">
        <v>3714</v>
      </c>
      <c r="B1287" s="76" t="s">
        <v>3715</v>
      </c>
      <c r="C1287" s="76" t="s">
        <v>64</v>
      </c>
      <c r="D1287" s="35" t="s">
        <v>86</v>
      </c>
      <c r="E1287" s="76" t="s">
        <v>39</v>
      </c>
      <c r="F1287" s="28" t="e">
        <f ca="1">_xludf.ifna(VLOOKUP(G1287,Proyectos!$A$2:$F$674,6,0),"")</f>
        <v>#NAME?</v>
      </c>
      <c r="G1287" s="76" t="s">
        <v>5463</v>
      </c>
      <c r="H1287" s="68">
        <v>0.8</v>
      </c>
      <c r="I1287" s="76" t="s">
        <v>18</v>
      </c>
      <c r="J1287" s="35" t="s">
        <v>12</v>
      </c>
      <c r="K1287" s="95"/>
      <c r="L1287" s="32" t="e">
        <f ca="1">_xludf.ifna(VLOOKUP(E1287,Parámetros!$D$2:$E$34,2,0),"")</f>
        <v>#NAME?</v>
      </c>
      <c r="M1287" s="32" t="e">
        <f ca="1">_xludf.ifna(VLOOKUP(G1287,Proyectos!$A$2:$T$674,20,0),"")</f>
        <v>#NAME?</v>
      </c>
      <c r="N1287" s="32" t="e">
        <f ca="1">_xludf.ifna(VLOOKUP(G1287,Proyectos!$A$2:$S$674,19,0))</f>
        <v>#NAME?</v>
      </c>
      <c r="O1287" s="31"/>
      <c r="P1287" s="31"/>
      <c r="Q1287" s="33"/>
      <c r="R1287" s="33"/>
      <c r="S1287" s="33"/>
      <c r="T1287" s="33"/>
      <c r="U1287" s="33"/>
      <c r="V1287" s="33"/>
      <c r="W1287" s="33"/>
    </row>
    <row r="1288" spans="1:23" ht="16.5" customHeight="1" x14ac:dyDescent="0.25">
      <c r="A1288" s="35" t="s">
        <v>3714</v>
      </c>
      <c r="B1288" s="76" t="s">
        <v>3715</v>
      </c>
      <c r="C1288" s="76" t="s">
        <v>64</v>
      </c>
      <c r="D1288" s="35" t="s">
        <v>86</v>
      </c>
      <c r="E1288" s="76" t="s">
        <v>39</v>
      </c>
      <c r="F1288" s="28" t="e">
        <f ca="1">_xludf.ifna(VLOOKUP(G1288,Proyectos!$A$2:$F$674,6,0),"")</f>
        <v>#NAME?</v>
      </c>
      <c r="G1288" s="26" t="s">
        <v>5378</v>
      </c>
      <c r="H1288" s="68">
        <v>0.2</v>
      </c>
      <c r="I1288" s="76" t="s">
        <v>18</v>
      </c>
      <c r="J1288" s="35" t="s">
        <v>12</v>
      </c>
      <c r="K1288" s="95"/>
      <c r="L1288" s="32" t="e">
        <f ca="1">_xludf.ifna(VLOOKUP(E1288,Parámetros!$D$2:$E$34,2,0),"")</f>
        <v>#NAME?</v>
      </c>
      <c r="M1288" s="32" t="e">
        <f ca="1">_xludf.ifna(VLOOKUP(G1288,Proyectos!$A$2:$T$674,20,0),"")</f>
        <v>#NAME?</v>
      </c>
      <c r="N1288" s="32" t="e">
        <f ca="1">_xludf.ifna(VLOOKUP(G1288,Proyectos!$A$2:$S$674,19,0))</f>
        <v>#NAME?</v>
      </c>
      <c r="O1288" s="31"/>
      <c r="P1288" s="31"/>
      <c r="Q1288" s="33"/>
      <c r="R1288" s="33"/>
      <c r="S1288" s="33"/>
      <c r="T1288" s="63">
        <f>IF(E1288=E1287,0,1)</f>
        <v>0</v>
      </c>
      <c r="U1288" s="33"/>
      <c r="V1288" s="33"/>
      <c r="W1288" s="33"/>
    </row>
    <row r="1289" spans="1:23" ht="16.5" customHeight="1" x14ac:dyDescent="0.25">
      <c r="A1289" s="35" t="s">
        <v>4656</v>
      </c>
      <c r="B1289" s="76" t="s">
        <v>4657</v>
      </c>
      <c r="C1289" s="76" t="s">
        <v>64</v>
      </c>
      <c r="D1289" s="35" t="s">
        <v>86</v>
      </c>
      <c r="E1289" s="76" t="s">
        <v>39</v>
      </c>
      <c r="F1289" s="28" t="e">
        <f ca="1">_xludf.ifna(VLOOKUP(G1289,Proyectos!$A$2:$F$674,6,0),"")</f>
        <v>#NAME?</v>
      </c>
      <c r="G1289" s="76" t="s">
        <v>5463</v>
      </c>
      <c r="H1289" s="68">
        <v>0.8</v>
      </c>
      <c r="I1289" s="76" t="s">
        <v>11</v>
      </c>
      <c r="J1289" s="35" t="s">
        <v>72</v>
      </c>
      <c r="K1289" s="95"/>
      <c r="L1289" s="32" t="e">
        <f ca="1">_xludf.ifna(VLOOKUP(E1289,Parámetros!$D$2:$E$34,2,0),"")</f>
        <v>#NAME?</v>
      </c>
      <c r="M1289" s="32" t="e">
        <f ca="1">_xludf.ifna(VLOOKUP(G1289,Proyectos!$A$2:$T$674,20,0),"")</f>
        <v>#NAME?</v>
      </c>
      <c r="N1289" s="32" t="e">
        <f ca="1">_xludf.ifna(VLOOKUP(G1289,Proyectos!$A$2:$S$674,19,0))</f>
        <v>#NAME?</v>
      </c>
      <c r="O1289" s="31"/>
      <c r="P1289" s="31"/>
      <c r="Q1289" s="33"/>
      <c r="R1289" s="33"/>
      <c r="S1289" s="33"/>
      <c r="T1289" s="33"/>
      <c r="U1289" s="33"/>
      <c r="V1289" s="33"/>
      <c r="W1289" s="33"/>
    </row>
    <row r="1290" spans="1:23" ht="16.5" customHeight="1" x14ac:dyDescent="0.25">
      <c r="A1290" s="35" t="s">
        <v>4656</v>
      </c>
      <c r="B1290" s="76" t="s">
        <v>4657</v>
      </c>
      <c r="C1290" s="76" t="s">
        <v>64</v>
      </c>
      <c r="D1290" s="35" t="s">
        <v>86</v>
      </c>
      <c r="E1290" s="76" t="s">
        <v>39</v>
      </c>
      <c r="F1290" s="28" t="e">
        <f ca="1">_xludf.ifna(VLOOKUP(G1290,Proyectos!$A$2:$F$674,6,0),"")</f>
        <v>#NAME?</v>
      </c>
      <c r="G1290" s="26" t="s">
        <v>5378</v>
      </c>
      <c r="H1290" s="68">
        <v>0.2</v>
      </c>
      <c r="I1290" s="76" t="s">
        <v>11</v>
      </c>
      <c r="J1290" s="35" t="s">
        <v>72</v>
      </c>
      <c r="K1290" s="95"/>
      <c r="L1290" s="32" t="e">
        <f ca="1">_xludf.ifna(VLOOKUP(E1290,Parámetros!$D$2:$E$34,2,0),"")</f>
        <v>#NAME?</v>
      </c>
      <c r="M1290" s="32" t="e">
        <f ca="1">_xludf.ifna(VLOOKUP(G1290,Proyectos!$A$2:$T$674,20,0),"")</f>
        <v>#NAME?</v>
      </c>
      <c r="N1290" s="32" t="e">
        <f ca="1">_xludf.ifna(VLOOKUP(G1290,Proyectos!$A$2:$S$674,19,0))</f>
        <v>#NAME?</v>
      </c>
      <c r="O1290" s="31"/>
      <c r="P1290" s="31"/>
      <c r="Q1290" s="33"/>
      <c r="R1290" s="33"/>
      <c r="S1290" s="33"/>
      <c r="T1290" s="63">
        <f>IF(E1290=E1289,0,1)</f>
        <v>0</v>
      </c>
      <c r="U1290" s="33"/>
      <c r="V1290" s="33"/>
      <c r="W1290" s="33"/>
    </row>
    <row r="1291" spans="1:23" ht="16.5" customHeight="1" x14ac:dyDescent="0.25">
      <c r="A1291" s="35" t="s">
        <v>4043</v>
      </c>
      <c r="B1291" s="76" t="s">
        <v>4044</v>
      </c>
      <c r="C1291" s="76" t="s">
        <v>64</v>
      </c>
      <c r="D1291" s="35" t="s">
        <v>86</v>
      </c>
      <c r="E1291" s="76" t="s">
        <v>135</v>
      </c>
      <c r="F1291" s="28" t="e">
        <f ca="1">_xludf.ifna(VLOOKUP(G1291,Proyectos!$A$2:$F$674,6,0),"")</f>
        <v>#NAME?</v>
      </c>
      <c r="G1291" s="76" t="s">
        <v>5463</v>
      </c>
      <c r="H1291" s="68">
        <v>0.3</v>
      </c>
      <c r="I1291" s="76" t="s">
        <v>18</v>
      </c>
      <c r="J1291" s="35" t="s">
        <v>61</v>
      </c>
      <c r="K1291" s="95"/>
      <c r="L1291" s="32" t="e">
        <f ca="1">_xludf.ifna(VLOOKUP(E1291,Parámetros!$D$2:$E$34,2,0),"")</f>
        <v>#NAME?</v>
      </c>
      <c r="M1291" s="32" t="e">
        <f ca="1">_xludf.ifna(VLOOKUP(G1291,Proyectos!$A$2:$T$674,20,0),"")</f>
        <v>#NAME?</v>
      </c>
      <c r="N1291" s="32" t="e">
        <f ca="1">_xludf.ifna(VLOOKUP(G1291,Proyectos!$A$2:$S$674,19,0))</f>
        <v>#NAME?</v>
      </c>
      <c r="O1291" s="31"/>
      <c r="P1291" s="31"/>
      <c r="Q1291" s="33"/>
      <c r="R1291" s="33"/>
      <c r="S1291" s="33"/>
      <c r="T1291" s="33"/>
      <c r="U1291" s="33"/>
      <c r="V1291" s="33"/>
      <c r="W1291" s="33"/>
    </row>
    <row r="1292" spans="1:23" ht="16.5" customHeight="1" x14ac:dyDescent="0.25">
      <c r="A1292" s="35" t="s">
        <v>4831</v>
      </c>
      <c r="B1292" s="76" t="s">
        <v>4832</v>
      </c>
      <c r="C1292" s="76" t="s">
        <v>64</v>
      </c>
      <c r="D1292" s="35" t="s">
        <v>86</v>
      </c>
      <c r="E1292" s="76" t="s">
        <v>83</v>
      </c>
      <c r="F1292" s="28" t="e">
        <f ca="1">_xludf.ifna(VLOOKUP(G1292,Proyectos!$A$2:$F$674,6,0),"")</f>
        <v>#NAME?</v>
      </c>
      <c r="G1292" s="76" t="s">
        <v>5463</v>
      </c>
      <c r="H1292" s="68">
        <v>1</v>
      </c>
      <c r="I1292" s="76" t="s">
        <v>25</v>
      </c>
      <c r="J1292" s="35" t="s">
        <v>72</v>
      </c>
      <c r="K1292" s="95"/>
      <c r="L1292" s="32" t="e">
        <f ca="1">_xludf.ifna(VLOOKUP(E1292,Parámetros!$D$2:$E$34,2,0),"")</f>
        <v>#NAME?</v>
      </c>
      <c r="M1292" s="32" t="e">
        <f ca="1">_xludf.ifna(VLOOKUP(G1292,Proyectos!$A$2:$T$674,20,0),"")</f>
        <v>#NAME?</v>
      </c>
      <c r="N1292" s="32" t="e">
        <f ca="1">_xludf.ifna(VLOOKUP(G1292,Proyectos!$A$2:$S$674,19,0))</f>
        <v>#NAME?</v>
      </c>
      <c r="O1292" s="31"/>
      <c r="P1292" s="31"/>
      <c r="Q1292" s="33"/>
      <c r="R1292" s="33"/>
      <c r="S1292" s="33"/>
      <c r="T1292" s="33"/>
      <c r="U1292" s="33"/>
      <c r="V1292" s="33"/>
      <c r="W1292" s="33"/>
    </row>
    <row r="1293" spans="1:23" ht="16.5" customHeight="1" x14ac:dyDescent="0.25">
      <c r="A1293" s="35" t="s">
        <v>4952</v>
      </c>
      <c r="B1293" s="76" t="s">
        <v>4953</v>
      </c>
      <c r="C1293" s="76" t="s">
        <v>64</v>
      </c>
      <c r="D1293" s="35" t="s">
        <v>86</v>
      </c>
      <c r="E1293" s="76" t="s">
        <v>83</v>
      </c>
      <c r="F1293" s="28" t="e">
        <f ca="1">_xludf.ifna(VLOOKUP(G1293,Proyectos!$A$2:$F$674,6,0),"")</f>
        <v>#NAME?</v>
      </c>
      <c r="G1293" s="76" t="s">
        <v>5463</v>
      </c>
      <c r="H1293" s="68">
        <v>1</v>
      </c>
      <c r="I1293" s="76" t="s">
        <v>25</v>
      </c>
      <c r="J1293" s="35" t="s">
        <v>72</v>
      </c>
      <c r="K1293" s="95"/>
      <c r="L1293" s="32" t="e">
        <f ca="1">_xludf.ifna(VLOOKUP(E1293,Parámetros!$D$2:$E$34,2,0),"")</f>
        <v>#NAME?</v>
      </c>
      <c r="M1293" s="32" t="e">
        <f ca="1">_xludf.ifna(VLOOKUP(G1293,Proyectos!$A$2:$T$674,20,0),"")</f>
        <v>#NAME?</v>
      </c>
      <c r="N1293" s="32" t="e">
        <f ca="1">_xludf.ifna(VLOOKUP(G1293,Proyectos!$A$2:$S$674,19,0))</f>
        <v>#NAME?</v>
      </c>
      <c r="O1293" s="31"/>
      <c r="P1293" s="31"/>
      <c r="Q1293" s="33"/>
      <c r="R1293" s="33"/>
      <c r="S1293" s="33"/>
      <c r="T1293" s="33"/>
      <c r="U1293" s="33"/>
      <c r="V1293" s="33"/>
      <c r="W1293" s="33"/>
    </row>
    <row r="1294" spans="1:23" ht="16.5" customHeight="1" x14ac:dyDescent="0.25">
      <c r="A1294" s="35" t="s">
        <v>4835</v>
      </c>
      <c r="B1294" s="76" t="s">
        <v>4836</v>
      </c>
      <c r="C1294" s="76" t="s">
        <v>64</v>
      </c>
      <c r="D1294" s="35" t="s">
        <v>86</v>
      </c>
      <c r="E1294" s="76" t="s">
        <v>87</v>
      </c>
      <c r="F1294" s="28" t="e">
        <f ca="1">_xludf.ifna(VLOOKUP(G1294,Proyectos!$A$2:$F$674,6,0),"")</f>
        <v>#NAME?</v>
      </c>
      <c r="G1294" s="76" t="s">
        <v>5463</v>
      </c>
      <c r="H1294" s="68">
        <v>0.3</v>
      </c>
      <c r="I1294" s="76" t="s">
        <v>18</v>
      </c>
      <c r="J1294" s="35" t="s">
        <v>26</v>
      </c>
      <c r="K1294" s="95"/>
      <c r="L1294" s="32" t="e">
        <f ca="1">_xludf.ifna(VLOOKUP(E1294,Parámetros!$D$2:$E$34,2,0),"")</f>
        <v>#NAME?</v>
      </c>
      <c r="M1294" s="32" t="e">
        <f ca="1">_xludf.ifna(VLOOKUP(G1294,Proyectos!$A$2:$T$674,20,0),"")</f>
        <v>#NAME?</v>
      </c>
      <c r="N1294" s="32" t="e">
        <f ca="1">_xludf.ifna(VLOOKUP(G1294,Proyectos!$A$2:$S$674,19,0))</f>
        <v>#NAME?</v>
      </c>
      <c r="O1294" s="31"/>
      <c r="P1294" s="31"/>
      <c r="Q1294" s="33"/>
      <c r="R1294" s="33"/>
      <c r="S1294" s="33"/>
      <c r="T1294" s="33"/>
      <c r="U1294" s="33"/>
      <c r="V1294" s="33"/>
      <c r="W1294" s="33"/>
    </row>
    <row r="1295" spans="1:23" ht="16.5" customHeight="1" x14ac:dyDescent="0.25">
      <c r="A1295" s="35" t="s">
        <v>3388</v>
      </c>
      <c r="B1295" s="76" t="s">
        <v>3389</v>
      </c>
      <c r="C1295" s="76" t="s">
        <v>64</v>
      </c>
      <c r="D1295" s="35" t="s">
        <v>86</v>
      </c>
      <c r="E1295" s="76" t="s">
        <v>39</v>
      </c>
      <c r="F1295" s="28" t="e">
        <f ca="1">_xludf.ifna(VLOOKUP(G1295,Proyectos!$A$2:$F$674,6,0),"")</f>
        <v>#NAME?</v>
      </c>
      <c r="G1295" s="29" t="s">
        <v>5114</v>
      </c>
      <c r="H1295" s="68">
        <v>0.65</v>
      </c>
      <c r="I1295" s="76" t="s">
        <v>11</v>
      </c>
      <c r="J1295" s="35" t="s">
        <v>72</v>
      </c>
      <c r="K1295" s="95"/>
      <c r="L1295" s="32" t="e">
        <f ca="1">_xludf.ifna(VLOOKUP(E1295,Parámetros!$D$2:$E$34,2,0),"")</f>
        <v>#NAME?</v>
      </c>
      <c r="M1295" s="32" t="e">
        <f ca="1">_xludf.ifna(VLOOKUP(G1295,Proyectos!$A$2:$T$674,20,0),"")</f>
        <v>#NAME?</v>
      </c>
      <c r="N1295" s="32" t="e">
        <f ca="1">_xludf.ifna(VLOOKUP(G1295,Proyectos!$A$2:$S$674,19,0))</f>
        <v>#NAME?</v>
      </c>
      <c r="O1295" s="31"/>
      <c r="P1295" s="31"/>
      <c r="Q1295" s="33"/>
      <c r="R1295" s="33"/>
      <c r="S1295" s="33"/>
      <c r="T1295" s="33"/>
      <c r="U1295" s="33"/>
      <c r="V1295" s="33"/>
      <c r="W1295" s="33"/>
    </row>
    <row r="1296" spans="1:23" ht="16.5" customHeight="1" x14ac:dyDescent="0.25">
      <c r="A1296" s="35" t="s">
        <v>3388</v>
      </c>
      <c r="B1296" s="76" t="s">
        <v>3389</v>
      </c>
      <c r="C1296" s="76" t="s">
        <v>64</v>
      </c>
      <c r="D1296" s="35" t="s">
        <v>86</v>
      </c>
      <c r="E1296" s="76" t="s">
        <v>39</v>
      </c>
      <c r="F1296" s="28" t="e">
        <f ca="1">_xludf.ifna(VLOOKUP(G1296,Proyectos!$A$2:$F$674,6,0),"")</f>
        <v>#NAME?</v>
      </c>
      <c r="G1296" s="76" t="s">
        <v>5464</v>
      </c>
      <c r="H1296" s="68">
        <v>0.05</v>
      </c>
      <c r="I1296" s="76" t="s">
        <v>11</v>
      </c>
      <c r="J1296" s="35" t="s">
        <v>72</v>
      </c>
      <c r="K1296" s="95"/>
      <c r="L1296" s="32" t="e">
        <f ca="1">_xludf.ifna(VLOOKUP(E1296,Parámetros!$D$2:$E$34,2,0),"")</f>
        <v>#NAME?</v>
      </c>
      <c r="M1296" s="32" t="e">
        <f ca="1">_xludf.ifna(VLOOKUP(G1296,Proyectos!$A$2:$T$674,20,0),"")</f>
        <v>#NAME?</v>
      </c>
      <c r="N1296" s="32" t="e">
        <f ca="1">_xludf.ifna(VLOOKUP(G1296,Proyectos!$A$2:$S$674,19,0))</f>
        <v>#NAME?</v>
      </c>
      <c r="O1296" s="31"/>
      <c r="P1296" s="31"/>
      <c r="Q1296" s="33"/>
      <c r="R1296" s="33"/>
      <c r="S1296" s="33"/>
      <c r="T1296" s="33"/>
      <c r="U1296" s="33"/>
      <c r="V1296" s="33"/>
      <c r="W1296" s="33"/>
    </row>
    <row r="1297" spans="1:23" ht="16.5" customHeight="1" x14ac:dyDescent="0.25">
      <c r="A1297" s="35" t="s">
        <v>3388</v>
      </c>
      <c r="B1297" s="76" t="s">
        <v>3389</v>
      </c>
      <c r="C1297" s="76" t="s">
        <v>64</v>
      </c>
      <c r="D1297" s="35" t="s">
        <v>86</v>
      </c>
      <c r="E1297" s="76" t="s">
        <v>39</v>
      </c>
      <c r="F1297" s="28" t="e">
        <f ca="1">_xludf.ifna(VLOOKUP(G1297,Proyectos!$A$2:$F$674,6,0),"")</f>
        <v>#NAME?</v>
      </c>
      <c r="G1297" s="76" t="s">
        <v>5131</v>
      </c>
      <c r="H1297" s="68">
        <v>0.05</v>
      </c>
      <c r="I1297" s="76" t="s">
        <v>11</v>
      </c>
      <c r="J1297" s="35" t="s">
        <v>72</v>
      </c>
      <c r="K1297" s="95"/>
      <c r="L1297" s="32" t="e">
        <f ca="1">_xludf.ifna(VLOOKUP(E1297,Parámetros!$D$2:$E$34,2,0),"")</f>
        <v>#NAME?</v>
      </c>
      <c r="M1297" s="32" t="e">
        <f ca="1">_xludf.ifna(VLOOKUP(G1297,Proyectos!$A$2:$T$674,20,0),"")</f>
        <v>#NAME?</v>
      </c>
      <c r="N1297" s="32" t="e">
        <f ca="1">_xludf.ifna(VLOOKUP(G1297,Proyectos!$A$2:$S$674,19,0))</f>
        <v>#NAME?</v>
      </c>
      <c r="O1297" s="31"/>
      <c r="P1297" s="31"/>
      <c r="Q1297" s="33"/>
      <c r="R1297" s="33"/>
      <c r="S1297" s="33"/>
      <c r="T1297" s="33"/>
      <c r="U1297" s="33"/>
      <c r="V1297" s="33"/>
      <c r="W1297" s="33"/>
    </row>
    <row r="1298" spans="1:23" ht="16.5" customHeight="1" x14ac:dyDescent="0.25">
      <c r="A1298" s="35" t="s">
        <v>3388</v>
      </c>
      <c r="B1298" s="76" t="s">
        <v>3389</v>
      </c>
      <c r="C1298" s="76" t="s">
        <v>64</v>
      </c>
      <c r="D1298" s="35" t="s">
        <v>86</v>
      </c>
      <c r="E1298" s="76" t="s">
        <v>39</v>
      </c>
      <c r="F1298" s="28" t="e">
        <f ca="1">_xludf.ifna(VLOOKUP(G1298,Proyectos!$A$2:$F$674,6,0),"")</f>
        <v>#NAME?</v>
      </c>
      <c r="G1298" s="76" t="s">
        <v>5465</v>
      </c>
      <c r="H1298" s="68">
        <v>0.05</v>
      </c>
      <c r="I1298" s="76" t="s">
        <v>11</v>
      </c>
      <c r="J1298" s="35" t="s">
        <v>72</v>
      </c>
      <c r="K1298" s="95"/>
      <c r="L1298" s="32" t="e">
        <f ca="1">_xludf.ifna(VLOOKUP(E1298,Parámetros!$D$2:$E$34,2,0),"")</f>
        <v>#NAME?</v>
      </c>
      <c r="M1298" s="32" t="e">
        <f ca="1">_xludf.ifna(VLOOKUP(G1298,Proyectos!$A$2:$T$674,20,0),"")</f>
        <v>#NAME?</v>
      </c>
      <c r="N1298" s="32" t="e">
        <f ca="1">_xludf.ifna(VLOOKUP(G1298,Proyectos!$A$2:$S$674,19,0))</f>
        <v>#NAME?</v>
      </c>
      <c r="O1298" s="31"/>
      <c r="P1298" s="31"/>
      <c r="Q1298" s="33"/>
      <c r="R1298" s="33"/>
      <c r="S1298" s="33"/>
      <c r="T1298" s="33"/>
      <c r="U1298" s="33"/>
      <c r="V1298" s="33"/>
      <c r="W1298" s="33"/>
    </row>
    <row r="1299" spans="1:23" ht="16.5" customHeight="1" x14ac:dyDescent="0.25">
      <c r="A1299" s="35" t="s">
        <v>3388</v>
      </c>
      <c r="B1299" s="76" t="s">
        <v>3389</v>
      </c>
      <c r="C1299" s="76" t="s">
        <v>64</v>
      </c>
      <c r="D1299" s="35" t="s">
        <v>86</v>
      </c>
      <c r="E1299" s="76" t="s">
        <v>39</v>
      </c>
      <c r="F1299" s="28" t="e">
        <f ca="1">_xludf.ifna(VLOOKUP(G1299,Proyectos!$A$2:$F$674,6,0),"")</f>
        <v>#NAME?</v>
      </c>
      <c r="G1299" s="76" t="s">
        <v>5248</v>
      </c>
      <c r="H1299" s="68">
        <v>0.05</v>
      </c>
      <c r="I1299" s="76" t="s">
        <v>11</v>
      </c>
      <c r="J1299" s="35" t="s">
        <v>72</v>
      </c>
      <c r="K1299" s="95"/>
      <c r="L1299" s="32" t="e">
        <f ca="1">_xludf.ifna(VLOOKUP(E1299,Parámetros!$D$2:$E$34,2,0),"")</f>
        <v>#NAME?</v>
      </c>
      <c r="M1299" s="32" t="e">
        <f ca="1">_xludf.ifna(VLOOKUP(G1299,Proyectos!$A$2:$T$674,20,0),"")</f>
        <v>#NAME?</v>
      </c>
      <c r="N1299" s="32" t="e">
        <f ca="1">_xludf.ifna(VLOOKUP(G1299,Proyectos!$A$2:$S$674,19,0))</f>
        <v>#NAME?</v>
      </c>
      <c r="O1299" s="31"/>
      <c r="P1299" s="31"/>
      <c r="Q1299" s="33"/>
      <c r="R1299" s="33"/>
      <c r="S1299" s="33"/>
      <c r="T1299" s="33"/>
      <c r="U1299" s="33"/>
      <c r="V1299" s="33"/>
      <c r="W1299" s="33"/>
    </row>
    <row r="1300" spans="1:23" ht="16.5" customHeight="1" x14ac:dyDescent="0.25">
      <c r="A1300" s="35" t="s">
        <v>3388</v>
      </c>
      <c r="B1300" s="76" t="s">
        <v>3389</v>
      </c>
      <c r="C1300" s="76" t="s">
        <v>64</v>
      </c>
      <c r="D1300" s="35" t="s">
        <v>86</v>
      </c>
      <c r="E1300" s="76" t="s">
        <v>39</v>
      </c>
      <c r="F1300" s="28" t="e">
        <f ca="1">_xludf.ifna(VLOOKUP(G1300,Proyectos!$A$2:$F$674,6,0),"")</f>
        <v>#NAME?</v>
      </c>
      <c r="G1300" s="76" t="s">
        <v>5387</v>
      </c>
      <c r="H1300" s="68">
        <v>0.15</v>
      </c>
      <c r="I1300" s="76" t="s">
        <v>11</v>
      </c>
      <c r="J1300" s="35" t="s">
        <v>72</v>
      </c>
      <c r="K1300" s="95"/>
      <c r="L1300" s="32" t="e">
        <f ca="1">_xludf.ifna(VLOOKUP(E1300,Parámetros!$D$2:$E$34,2,0),"")</f>
        <v>#NAME?</v>
      </c>
      <c r="M1300" s="32" t="e">
        <f ca="1">_xludf.ifna(VLOOKUP(G1300,Proyectos!$A$2:$T$674,20,0),"")</f>
        <v>#NAME?</v>
      </c>
      <c r="N1300" s="32" t="e">
        <f ca="1">_xludf.ifna(VLOOKUP(G1300,Proyectos!$A$2:$S$674,19,0))</f>
        <v>#NAME?</v>
      </c>
      <c r="O1300" s="31"/>
      <c r="P1300" s="31"/>
      <c r="Q1300" s="33"/>
      <c r="R1300" s="33"/>
      <c r="S1300" s="33"/>
      <c r="T1300" s="33"/>
      <c r="U1300" s="33"/>
      <c r="V1300" s="33"/>
      <c r="W1300" s="33"/>
    </row>
    <row r="1301" spans="1:23" ht="16.5" customHeight="1" x14ac:dyDescent="0.25">
      <c r="A1301" s="35" t="s">
        <v>3622</v>
      </c>
      <c r="B1301" s="76" t="s">
        <v>3623</v>
      </c>
      <c r="C1301" s="76" t="s">
        <v>64</v>
      </c>
      <c r="D1301" s="35" t="s">
        <v>86</v>
      </c>
      <c r="E1301" s="76" t="s">
        <v>39</v>
      </c>
      <c r="F1301" s="28" t="e">
        <f ca="1">_xludf.ifna(VLOOKUP(G1301,Proyectos!$A$2:$F$674,6,0),"")</f>
        <v>#NAME?</v>
      </c>
      <c r="G1301" s="29" t="s">
        <v>5114</v>
      </c>
      <c r="H1301" s="68">
        <v>1</v>
      </c>
      <c r="I1301" s="76" t="s">
        <v>18</v>
      </c>
      <c r="J1301" s="35" t="s">
        <v>26</v>
      </c>
      <c r="K1301" s="95"/>
      <c r="L1301" s="32" t="e">
        <f ca="1">_xludf.ifna(VLOOKUP(E1301,Parámetros!$D$2:$E$34,2,0),"")</f>
        <v>#NAME?</v>
      </c>
      <c r="M1301" s="32" t="e">
        <f ca="1">_xludf.ifna(VLOOKUP(G1301,Proyectos!$A$2:$T$674,20,0),"")</f>
        <v>#NAME?</v>
      </c>
      <c r="N1301" s="32" t="e">
        <f ca="1">_xludf.ifna(VLOOKUP(G1301,Proyectos!$A$2:$S$674,19,0))</f>
        <v>#NAME?</v>
      </c>
      <c r="O1301" s="31"/>
      <c r="P1301" s="31"/>
      <c r="Q1301" s="33"/>
      <c r="R1301" s="33"/>
      <c r="S1301" s="33"/>
      <c r="T1301" s="33"/>
      <c r="U1301" s="33"/>
      <c r="V1301" s="33"/>
      <c r="W1301" s="33"/>
    </row>
    <row r="1302" spans="1:23" ht="16.5" customHeight="1" x14ac:dyDescent="0.25">
      <c r="A1302" s="35" t="s">
        <v>4010</v>
      </c>
      <c r="B1302" s="76" t="s">
        <v>4011</v>
      </c>
      <c r="C1302" s="76" t="s">
        <v>64</v>
      </c>
      <c r="D1302" s="35" t="s">
        <v>86</v>
      </c>
      <c r="E1302" s="76" t="s">
        <v>114</v>
      </c>
      <c r="F1302" s="28" t="e">
        <f ca="1">_xludf.ifna(VLOOKUP(G1302,Proyectos!$A$2:$F$674,6,0),"")</f>
        <v>#NAME?</v>
      </c>
      <c r="G1302" s="29" t="s">
        <v>5114</v>
      </c>
      <c r="H1302" s="68">
        <v>0.02</v>
      </c>
      <c r="I1302" s="76" t="s">
        <v>25</v>
      </c>
      <c r="J1302" s="35" t="s">
        <v>72</v>
      </c>
      <c r="K1302" s="95"/>
      <c r="L1302" s="32" t="e">
        <f ca="1">_xludf.ifna(VLOOKUP(E1302,Parámetros!$D$2:$E$34,2,0),"")</f>
        <v>#NAME?</v>
      </c>
      <c r="M1302" s="32" t="e">
        <f ca="1">_xludf.ifna(VLOOKUP(G1302,Proyectos!$A$2:$T$674,20,0),"")</f>
        <v>#NAME?</v>
      </c>
      <c r="N1302" s="32" t="e">
        <f ca="1">_xludf.ifna(VLOOKUP(G1302,Proyectos!$A$2:$S$674,19,0))</f>
        <v>#NAME?</v>
      </c>
      <c r="O1302" s="31"/>
      <c r="P1302" s="31"/>
      <c r="Q1302" s="33"/>
      <c r="R1302" s="33"/>
      <c r="S1302" s="33"/>
      <c r="T1302" s="33"/>
      <c r="U1302" s="33"/>
      <c r="V1302" s="33"/>
      <c r="W1302" s="33"/>
    </row>
    <row r="1303" spans="1:23" ht="16.5" customHeight="1" x14ac:dyDescent="0.25">
      <c r="A1303" s="35" t="s">
        <v>4010</v>
      </c>
      <c r="B1303" s="76" t="s">
        <v>4011</v>
      </c>
      <c r="C1303" s="76" t="s">
        <v>64</v>
      </c>
      <c r="D1303" s="35" t="s">
        <v>86</v>
      </c>
      <c r="E1303" s="76" t="s">
        <v>114</v>
      </c>
      <c r="F1303" s="28" t="e">
        <f ca="1">_xludf.ifna(VLOOKUP(G1303,Proyectos!$A$2:$F$674,6,0),"")</f>
        <v>#NAME?</v>
      </c>
      <c r="G1303" s="76" t="s">
        <v>5464</v>
      </c>
      <c r="H1303" s="68">
        <v>0.02</v>
      </c>
      <c r="I1303" s="76" t="s">
        <v>25</v>
      </c>
      <c r="J1303" s="35" t="s">
        <v>72</v>
      </c>
      <c r="K1303" s="95"/>
      <c r="L1303" s="32" t="e">
        <f ca="1">_xludf.ifna(VLOOKUP(E1303,Parámetros!$D$2:$E$34,2,0),"")</f>
        <v>#NAME?</v>
      </c>
      <c r="M1303" s="32" t="e">
        <f ca="1">_xludf.ifna(VLOOKUP(G1303,Proyectos!$A$2:$T$674,20,0),"")</f>
        <v>#NAME?</v>
      </c>
      <c r="N1303" s="32" t="e">
        <f ca="1">_xludf.ifna(VLOOKUP(G1303,Proyectos!$A$2:$S$674,19,0))</f>
        <v>#NAME?</v>
      </c>
      <c r="O1303" s="31"/>
      <c r="P1303" s="31"/>
      <c r="Q1303" s="33"/>
      <c r="R1303" s="33"/>
      <c r="S1303" s="33"/>
      <c r="T1303" s="33"/>
      <c r="U1303" s="33"/>
      <c r="V1303" s="33"/>
      <c r="W1303" s="33"/>
    </row>
    <row r="1304" spans="1:23" ht="16.5" customHeight="1" x14ac:dyDescent="0.25">
      <c r="A1304" s="35" t="s">
        <v>4010</v>
      </c>
      <c r="B1304" s="76" t="s">
        <v>4011</v>
      </c>
      <c r="C1304" s="76" t="s">
        <v>64</v>
      </c>
      <c r="D1304" s="35" t="s">
        <v>86</v>
      </c>
      <c r="E1304" s="76" t="s">
        <v>114</v>
      </c>
      <c r="F1304" s="28" t="e">
        <f ca="1">_xludf.ifna(VLOOKUP(G1304,Proyectos!$A$2:$F$674,6,0),"")</f>
        <v>#NAME?</v>
      </c>
      <c r="G1304" s="76" t="s">
        <v>5387</v>
      </c>
      <c r="H1304" s="68">
        <v>0.02</v>
      </c>
      <c r="I1304" s="76" t="s">
        <v>25</v>
      </c>
      <c r="J1304" s="35" t="s">
        <v>72</v>
      </c>
      <c r="K1304" s="95"/>
      <c r="L1304" s="32" t="e">
        <f ca="1">_xludf.ifna(VLOOKUP(E1304,Parámetros!$D$2:$E$34,2,0),"")</f>
        <v>#NAME?</v>
      </c>
      <c r="M1304" s="32" t="e">
        <f ca="1">_xludf.ifna(VLOOKUP(G1304,Proyectos!$A$2:$T$674,20,0),"")</f>
        <v>#NAME?</v>
      </c>
      <c r="N1304" s="32" t="e">
        <f ca="1">_xludf.ifna(VLOOKUP(G1304,Proyectos!$A$2:$S$674,19,0))</f>
        <v>#NAME?</v>
      </c>
      <c r="O1304" s="31"/>
      <c r="P1304" s="31"/>
      <c r="Q1304" s="33"/>
      <c r="R1304" s="33"/>
      <c r="S1304" s="33"/>
      <c r="T1304" s="33"/>
      <c r="U1304" s="33"/>
      <c r="V1304" s="33"/>
      <c r="W1304" s="33"/>
    </row>
    <row r="1305" spans="1:23" ht="16.5" customHeight="1" x14ac:dyDescent="0.25">
      <c r="A1305" s="35" t="s">
        <v>4010</v>
      </c>
      <c r="B1305" s="76" t="s">
        <v>4011</v>
      </c>
      <c r="C1305" s="76" t="s">
        <v>64</v>
      </c>
      <c r="D1305" s="35" t="s">
        <v>86</v>
      </c>
      <c r="E1305" s="76" t="s">
        <v>114</v>
      </c>
      <c r="F1305" s="28" t="e">
        <f ca="1">_xludf.ifna(VLOOKUP(G1305,Proyectos!$A$2:$F$674,6,0),"")</f>
        <v>#NAME?</v>
      </c>
      <c r="G1305" s="76" t="s">
        <v>5131</v>
      </c>
      <c r="H1305" s="68">
        <v>0.02</v>
      </c>
      <c r="I1305" s="76" t="s">
        <v>25</v>
      </c>
      <c r="J1305" s="35" t="s">
        <v>72</v>
      </c>
      <c r="K1305" s="95"/>
      <c r="L1305" s="32" t="e">
        <f ca="1">_xludf.ifna(VLOOKUP(E1305,Parámetros!$D$2:$E$34,2,0),"")</f>
        <v>#NAME?</v>
      </c>
      <c r="M1305" s="32" t="e">
        <f ca="1">_xludf.ifna(VLOOKUP(G1305,Proyectos!$A$2:$T$674,20,0),"")</f>
        <v>#NAME?</v>
      </c>
      <c r="N1305" s="32" t="e">
        <f ca="1">_xludf.ifna(VLOOKUP(G1305,Proyectos!$A$2:$S$674,19,0))</f>
        <v>#NAME?</v>
      </c>
      <c r="O1305" s="31"/>
      <c r="P1305" s="31"/>
      <c r="Q1305" s="33"/>
      <c r="R1305" s="33"/>
      <c r="S1305" s="33"/>
      <c r="T1305" s="33"/>
      <c r="U1305" s="33"/>
      <c r="V1305" s="33"/>
      <c r="W1305" s="33"/>
    </row>
    <row r="1306" spans="1:23" ht="16.5" customHeight="1" x14ac:dyDescent="0.25">
      <c r="A1306" s="35" t="s">
        <v>4010</v>
      </c>
      <c r="B1306" s="76" t="s">
        <v>4011</v>
      </c>
      <c r="C1306" s="76" t="s">
        <v>64</v>
      </c>
      <c r="D1306" s="35" t="s">
        <v>86</v>
      </c>
      <c r="E1306" s="76" t="s">
        <v>114</v>
      </c>
      <c r="F1306" s="28" t="e">
        <f ca="1">_xludf.ifna(VLOOKUP(G1306,Proyectos!$A$2:$F$674,6,0),"")</f>
        <v>#NAME?</v>
      </c>
      <c r="G1306" s="76" t="s">
        <v>5248</v>
      </c>
      <c r="H1306" s="68">
        <v>0.02</v>
      </c>
      <c r="I1306" s="76" t="s">
        <v>25</v>
      </c>
      <c r="J1306" s="35" t="s">
        <v>72</v>
      </c>
      <c r="K1306" s="95"/>
      <c r="L1306" s="32" t="e">
        <f ca="1">_xludf.ifna(VLOOKUP(E1306,Parámetros!$D$2:$E$34,2,0),"")</f>
        <v>#NAME?</v>
      </c>
      <c r="M1306" s="32" t="e">
        <f ca="1">_xludf.ifna(VLOOKUP(G1306,Proyectos!$A$2:$T$674,20,0),"")</f>
        <v>#NAME?</v>
      </c>
      <c r="N1306" s="32" t="e">
        <f ca="1">_xludf.ifna(VLOOKUP(G1306,Proyectos!$A$2:$S$674,19,0))</f>
        <v>#NAME?</v>
      </c>
      <c r="O1306" s="31"/>
      <c r="P1306" s="31"/>
      <c r="Q1306" s="33"/>
      <c r="R1306" s="33"/>
      <c r="S1306" s="33"/>
      <c r="T1306" s="33"/>
      <c r="U1306" s="33"/>
      <c r="V1306" s="33"/>
      <c r="W1306" s="33"/>
    </row>
    <row r="1307" spans="1:23" ht="16.5" customHeight="1" x14ac:dyDescent="0.25">
      <c r="A1307" s="35" t="s">
        <v>4470</v>
      </c>
      <c r="B1307" s="76" t="s">
        <v>4471</v>
      </c>
      <c r="C1307" s="76" t="s">
        <v>64</v>
      </c>
      <c r="D1307" s="35" t="s">
        <v>86</v>
      </c>
      <c r="E1307" s="76" t="s">
        <v>83</v>
      </c>
      <c r="F1307" s="28" t="e">
        <f ca="1">_xludf.ifna(VLOOKUP(G1307,Proyectos!$A$2:$F$674,6,0),"")</f>
        <v>#NAME?</v>
      </c>
      <c r="G1307" s="76" t="s">
        <v>5248</v>
      </c>
      <c r="H1307" s="68">
        <v>0.9</v>
      </c>
      <c r="I1307" s="76" t="s">
        <v>25</v>
      </c>
      <c r="J1307" s="35" t="s">
        <v>72</v>
      </c>
      <c r="K1307" s="95"/>
      <c r="L1307" s="32" t="e">
        <f ca="1">_xludf.ifna(VLOOKUP(E1307,Parámetros!$D$2:$E$34,2,0),"")</f>
        <v>#NAME?</v>
      </c>
      <c r="M1307" s="32" t="e">
        <f ca="1">_xludf.ifna(VLOOKUP(G1307,Proyectos!$A$2:$T$674,20,0),"")</f>
        <v>#NAME?</v>
      </c>
      <c r="N1307" s="32" t="e">
        <f ca="1">_xludf.ifna(VLOOKUP(G1307,Proyectos!$A$2:$S$674,19,0))</f>
        <v>#NAME?</v>
      </c>
      <c r="O1307" s="31"/>
      <c r="P1307" s="31"/>
      <c r="Q1307" s="33"/>
      <c r="R1307" s="33"/>
      <c r="S1307" s="33"/>
      <c r="T1307" s="33"/>
      <c r="U1307" s="33"/>
      <c r="V1307" s="33"/>
      <c r="W1307" s="33"/>
    </row>
    <row r="1308" spans="1:23" ht="16.5" customHeight="1" x14ac:dyDescent="0.25">
      <c r="A1308" s="35" t="s">
        <v>3896</v>
      </c>
      <c r="B1308" s="76" t="s">
        <v>3897</v>
      </c>
      <c r="C1308" s="76" t="s">
        <v>64</v>
      </c>
      <c r="D1308" s="35" t="s">
        <v>86</v>
      </c>
      <c r="E1308" s="76" t="s">
        <v>39</v>
      </c>
      <c r="F1308" s="28" t="e">
        <f ca="1">_xludf.ifna(VLOOKUP(G1308,Proyectos!$A$2:$F$674,6,0),"")</f>
        <v>#NAME?</v>
      </c>
      <c r="G1308" s="29" t="s">
        <v>5114</v>
      </c>
      <c r="H1308" s="68">
        <v>1</v>
      </c>
      <c r="I1308" s="76" t="s">
        <v>18</v>
      </c>
      <c r="J1308" s="35" t="s">
        <v>72</v>
      </c>
      <c r="K1308" s="95"/>
      <c r="L1308" s="32" t="e">
        <f ca="1">_xludf.ifna(VLOOKUP(E1308,Parámetros!$D$2:$E$34,2,0),"")</f>
        <v>#NAME?</v>
      </c>
      <c r="M1308" s="32" t="e">
        <f ca="1">_xludf.ifna(VLOOKUP(G1308,Proyectos!$A$2:$T$674,20,0),"")</f>
        <v>#NAME?</v>
      </c>
      <c r="N1308" s="32" t="e">
        <f ca="1">_xludf.ifna(VLOOKUP(G1308,Proyectos!$A$2:$S$674,19,0))</f>
        <v>#NAME?</v>
      </c>
      <c r="O1308" s="31"/>
      <c r="P1308" s="31"/>
      <c r="Q1308" s="33"/>
      <c r="R1308" s="33"/>
      <c r="S1308" s="33"/>
      <c r="T1308" s="33"/>
      <c r="U1308" s="33"/>
      <c r="V1308" s="33"/>
      <c r="W1308" s="33"/>
    </row>
    <row r="1309" spans="1:23" ht="16.5" customHeight="1" x14ac:dyDescent="0.25">
      <c r="A1309" s="35" t="s">
        <v>5053</v>
      </c>
      <c r="B1309" s="76" t="s">
        <v>5054</v>
      </c>
      <c r="C1309" s="76" t="s">
        <v>64</v>
      </c>
      <c r="D1309" s="35" t="s">
        <v>86</v>
      </c>
      <c r="E1309" s="76" t="s">
        <v>87</v>
      </c>
      <c r="F1309" s="28" t="e">
        <f ca="1">_xludf.ifna(VLOOKUP(G1309,Proyectos!$A$2:$F$674,6,0),"")</f>
        <v>#NAME?</v>
      </c>
      <c r="G1309" s="29" t="s">
        <v>5114</v>
      </c>
      <c r="H1309" s="68">
        <v>1</v>
      </c>
      <c r="I1309" s="76" t="s">
        <v>18</v>
      </c>
      <c r="J1309" s="35" t="s">
        <v>72</v>
      </c>
      <c r="K1309" s="95"/>
      <c r="L1309" s="32" t="e">
        <f ca="1">_xludf.ifna(VLOOKUP(E1309,Parámetros!$D$2:$E$34,2,0),"")</f>
        <v>#NAME?</v>
      </c>
      <c r="M1309" s="32" t="e">
        <f ca="1">_xludf.ifna(VLOOKUP(G1309,Proyectos!$A$2:$T$674,20,0),"")</f>
        <v>#NAME?</v>
      </c>
      <c r="N1309" s="32" t="e">
        <f ca="1">_xludf.ifna(VLOOKUP(G1309,Proyectos!$A$2:$S$674,19,0))</f>
        <v>#NAME?</v>
      </c>
      <c r="O1309" s="31"/>
      <c r="P1309" s="31"/>
      <c r="Q1309" s="33"/>
      <c r="R1309" s="33"/>
      <c r="S1309" s="33"/>
      <c r="T1309" s="33"/>
      <c r="U1309" s="33"/>
      <c r="V1309" s="33"/>
      <c r="W1309" s="33"/>
    </row>
    <row r="1310" spans="1:23" ht="16.5" customHeight="1" x14ac:dyDescent="0.25">
      <c r="A1310" s="35" t="s">
        <v>4837</v>
      </c>
      <c r="B1310" s="76" t="s">
        <v>4838</v>
      </c>
      <c r="C1310" s="76" t="s">
        <v>64</v>
      </c>
      <c r="D1310" s="35" t="s">
        <v>86</v>
      </c>
      <c r="E1310" s="76" t="s">
        <v>87</v>
      </c>
      <c r="F1310" s="28" t="e">
        <f ca="1">_xludf.ifna(VLOOKUP(G1310,Proyectos!$A$2:$F$674,6,0),"")</f>
        <v>#NAME?</v>
      </c>
      <c r="G1310" s="29" t="s">
        <v>5114</v>
      </c>
      <c r="H1310" s="68">
        <v>1</v>
      </c>
      <c r="I1310" s="76" t="s">
        <v>18</v>
      </c>
      <c r="J1310" s="35" t="s">
        <v>19</v>
      </c>
      <c r="K1310" s="95"/>
      <c r="L1310" s="32" t="e">
        <f ca="1">_xludf.ifna(VLOOKUP(E1310,Parámetros!$D$2:$E$34,2,0),"")</f>
        <v>#NAME?</v>
      </c>
      <c r="M1310" s="32" t="e">
        <f ca="1">_xludf.ifna(VLOOKUP(G1310,Proyectos!$A$2:$T$674,20,0),"")</f>
        <v>#NAME?</v>
      </c>
      <c r="N1310" s="32" t="e">
        <f ca="1">_xludf.ifna(VLOOKUP(G1310,Proyectos!$A$2:$S$674,19,0))</f>
        <v>#NAME?</v>
      </c>
      <c r="O1310" s="31"/>
      <c r="P1310" s="31"/>
      <c r="Q1310" s="33"/>
      <c r="R1310" s="33"/>
      <c r="S1310" s="33"/>
      <c r="T1310" s="33"/>
      <c r="U1310" s="33"/>
      <c r="V1310" s="33"/>
      <c r="W1310" s="33"/>
    </row>
    <row r="1311" spans="1:23" ht="16.5" customHeight="1" x14ac:dyDescent="0.25">
      <c r="A1311" s="35" t="s">
        <v>3898</v>
      </c>
      <c r="B1311" s="76" t="s">
        <v>5466</v>
      </c>
      <c r="C1311" s="76" t="s">
        <v>64</v>
      </c>
      <c r="D1311" s="35" t="s">
        <v>86</v>
      </c>
      <c r="E1311" s="76" t="s">
        <v>39</v>
      </c>
      <c r="F1311" s="28" t="e">
        <f ca="1">_xludf.ifna(VLOOKUP(G1311,Proyectos!$A$2:$F$674,6,0),"")</f>
        <v>#NAME?</v>
      </c>
      <c r="G1311" s="29" t="s">
        <v>5114</v>
      </c>
      <c r="H1311" s="68">
        <v>1</v>
      </c>
      <c r="I1311" s="76" t="s">
        <v>18</v>
      </c>
      <c r="J1311" s="35" t="s">
        <v>41</v>
      </c>
      <c r="K1311" s="95"/>
      <c r="L1311" s="32" t="e">
        <f ca="1">_xludf.ifna(VLOOKUP(E1311,Parámetros!$D$2:$E$34,2,0),"")</f>
        <v>#NAME?</v>
      </c>
      <c r="M1311" s="32" t="e">
        <f ca="1">_xludf.ifna(VLOOKUP(G1311,Proyectos!$A$2:$T$674,20,0),"")</f>
        <v>#NAME?</v>
      </c>
      <c r="N1311" s="32" t="e">
        <f ca="1">_xludf.ifna(VLOOKUP(G1311,Proyectos!$A$2:$S$674,19,0))</f>
        <v>#NAME?</v>
      </c>
      <c r="O1311" s="31"/>
      <c r="P1311" s="31"/>
      <c r="Q1311" s="33"/>
      <c r="R1311" s="33"/>
      <c r="S1311" s="33"/>
      <c r="T1311" s="33"/>
      <c r="U1311" s="33"/>
      <c r="V1311" s="33"/>
      <c r="W1311" s="33"/>
    </row>
    <row r="1312" spans="1:23" ht="16.5" customHeight="1" x14ac:dyDescent="0.25">
      <c r="A1312" s="35" t="s">
        <v>4673</v>
      </c>
      <c r="B1312" s="76" t="s">
        <v>4674</v>
      </c>
      <c r="C1312" s="76" t="s">
        <v>64</v>
      </c>
      <c r="D1312" s="35" t="s">
        <v>86</v>
      </c>
      <c r="E1312" s="76" t="s">
        <v>39</v>
      </c>
      <c r="F1312" s="28" t="e">
        <f ca="1">_xludf.ifna(VLOOKUP(G1312,Proyectos!$A$2:$F$674,6,0),"")</f>
        <v>#NAME?</v>
      </c>
      <c r="G1312" s="76" t="s">
        <v>5387</v>
      </c>
      <c r="H1312" s="68">
        <v>0.8</v>
      </c>
      <c r="I1312" s="76" t="s">
        <v>18</v>
      </c>
      <c r="J1312" s="35" t="s">
        <v>41</v>
      </c>
      <c r="K1312" s="95"/>
      <c r="L1312" s="32" t="e">
        <f ca="1">_xludf.ifna(VLOOKUP(E1312,Parámetros!$D$2:$E$34,2,0),"")</f>
        <v>#NAME?</v>
      </c>
      <c r="M1312" s="32" t="e">
        <f ca="1">_xludf.ifna(VLOOKUP(G1312,Proyectos!$A$2:$T$674,20,0),"")</f>
        <v>#NAME?</v>
      </c>
      <c r="N1312" s="32" t="e">
        <f ca="1">_xludf.ifna(VLOOKUP(G1312,Proyectos!$A$2:$S$674,19,0))</f>
        <v>#NAME?</v>
      </c>
      <c r="O1312" s="31"/>
      <c r="P1312" s="31"/>
      <c r="Q1312" s="33"/>
      <c r="R1312" s="33"/>
      <c r="S1312" s="33"/>
      <c r="T1312" s="33"/>
      <c r="U1312" s="33"/>
      <c r="V1312" s="33"/>
      <c r="W1312" s="33"/>
    </row>
    <row r="1313" spans="1:23" ht="16.5" customHeight="1" x14ac:dyDescent="0.25">
      <c r="A1313" s="35" t="s">
        <v>4673</v>
      </c>
      <c r="B1313" s="76" t="s">
        <v>4674</v>
      </c>
      <c r="C1313" s="76" t="s">
        <v>64</v>
      </c>
      <c r="D1313" s="35" t="s">
        <v>86</v>
      </c>
      <c r="E1313" s="76" t="s">
        <v>39</v>
      </c>
      <c r="F1313" s="28" t="e">
        <f ca="1">_xludf.ifna(VLOOKUP(G1313,Proyectos!$A$2:$F$674,6,0),"")</f>
        <v>#NAME?</v>
      </c>
      <c r="G1313" s="29" t="s">
        <v>5114</v>
      </c>
      <c r="H1313" s="68">
        <v>0.2</v>
      </c>
      <c r="I1313" s="76" t="s">
        <v>18</v>
      </c>
      <c r="J1313" s="35" t="s">
        <v>41</v>
      </c>
      <c r="K1313" s="95"/>
      <c r="L1313" s="32" t="e">
        <f ca="1">_xludf.ifna(VLOOKUP(E1313,Parámetros!$D$2:$E$34,2,0),"")</f>
        <v>#NAME?</v>
      </c>
      <c r="M1313" s="32" t="e">
        <f ca="1">_xludf.ifna(VLOOKUP(G1313,Proyectos!$A$2:$T$674,20,0),"")</f>
        <v>#NAME?</v>
      </c>
      <c r="N1313" s="32" t="e">
        <f ca="1">_xludf.ifna(VLOOKUP(G1313,Proyectos!$A$2:$S$674,19,0))</f>
        <v>#NAME?</v>
      </c>
      <c r="O1313" s="31"/>
      <c r="P1313" s="31"/>
      <c r="Q1313" s="33"/>
      <c r="R1313" s="33"/>
      <c r="S1313" s="33"/>
      <c r="T1313" s="33"/>
      <c r="U1313" s="33"/>
      <c r="V1313" s="33"/>
      <c r="W1313" s="33"/>
    </row>
    <row r="1314" spans="1:23" ht="16.5" customHeight="1" x14ac:dyDescent="0.25">
      <c r="A1314" s="35" t="s">
        <v>3894</v>
      </c>
      <c r="B1314" s="76" t="s">
        <v>3895</v>
      </c>
      <c r="C1314" s="76" t="s">
        <v>64</v>
      </c>
      <c r="D1314" s="35" t="s">
        <v>86</v>
      </c>
      <c r="E1314" s="76" t="s">
        <v>39</v>
      </c>
      <c r="F1314" s="28" t="e">
        <f ca="1">_xludf.ifna(VLOOKUP(G1314,Proyectos!$A$2:$F$674,6,0),"")</f>
        <v>#NAME?</v>
      </c>
      <c r="G1314" s="76" t="s">
        <v>5131</v>
      </c>
      <c r="H1314" s="68">
        <v>1</v>
      </c>
      <c r="I1314" s="76" t="s">
        <v>18</v>
      </c>
      <c r="J1314" s="35" t="s">
        <v>61</v>
      </c>
      <c r="K1314" s="95"/>
      <c r="L1314" s="32" t="e">
        <f ca="1">_xludf.ifna(VLOOKUP(E1314,Parámetros!$D$2:$E$34,2,0),"")</f>
        <v>#NAME?</v>
      </c>
      <c r="M1314" s="32" t="e">
        <f ca="1">_xludf.ifna(VLOOKUP(G1314,Proyectos!$A$2:$T$674,20,0),"")</f>
        <v>#NAME?</v>
      </c>
      <c r="N1314" s="32" t="e">
        <f ca="1">_xludf.ifna(VLOOKUP(G1314,Proyectos!$A$2:$S$674,19,0))</f>
        <v>#NAME?</v>
      </c>
      <c r="O1314" s="31"/>
      <c r="P1314" s="31"/>
      <c r="Q1314" s="33"/>
      <c r="R1314" s="33"/>
      <c r="S1314" s="33"/>
      <c r="T1314" s="33"/>
      <c r="U1314" s="33"/>
      <c r="V1314" s="33"/>
      <c r="W1314" s="33"/>
    </row>
    <row r="1315" spans="1:23" ht="16.5" customHeight="1" x14ac:dyDescent="0.25">
      <c r="A1315" s="35" t="s">
        <v>5057</v>
      </c>
      <c r="B1315" s="76" t="s">
        <v>5058</v>
      </c>
      <c r="C1315" s="76" t="s">
        <v>64</v>
      </c>
      <c r="D1315" s="35" t="s">
        <v>86</v>
      </c>
      <c r="E1315" s="76" t="s">
        <v>87</v>
      </c>
      <c r="F1315" s="28" t="e">
        <f ca="1">_xludf.ifna(VLOOKUP(G1315,Proyectos!$A$2:$F$674,6,0),"")</f>
        <v>#NAME?</v>
      </c>
      <c r="G1315" s="29" t="s">
        <v>5114</v>
      </c>
      <c r="H1315" s="68">
        <v>1</v>
      </c>
      <c r="I1315" s="76" t="s">
        <v>18</v>
      </c>
      <c r="J1315" s="35" t="s">
        <v>41</v>
      </c>
      <c r="K1315" s="95"/>
      <c r="L1315" s="32" t="e">
        <f ca="1">_xludf.ifna(VLOOKUP(E1315,Parámetros!$D$2:$E$34,2,0),"")</f>
        <v>#NAME?</v>
      </c>
      <c r="M1315" s="32" t="e">
        <f ca="1">_xludf.ifna(VLOOKUP(G1315,Proyectos!$A$2:$T$674,20,0),"")</f>
        <v>#NAME?</v>
      </c>
      <c r="N1315" s="32" t="e">
        <f ca="1">_xludf.ifna(VLOOKUP(G1315,Proyectos!$A$2:$S$674,19,0))</f>
        <v>#NAME?</v>
      </c>
      <c r="O1315" s="31"/>
      <c r="P1315" s="31"/>
      <c r="Q1315" s="33"/>
      <c r="R1315" s="33"/>
      <c r="S1315" s="33"/>
      <c r="T1315" s="33"/>
      <c r="U1315" s="33"/>
      <c r="V1315" s="33"/>
      <c r="W1315" s="33"/>
    </row>
    <row r="1316" spans="1:23" ht="16.5" customHeight="1" x14ac:dyDescent="0.25">
      <c r="A1316" s="35" t="s">
        <v>4086</v>
      </c>
      <c r="B1316" s="76" t="s">
        <v>4087</v>
      </c>
      <c r="C1316" s="76" t="s">
        <v>64</v>
      </c>
      <c r="D1316" s="35" t="s">
        <v>86</v>
      </c>
      <c r="E1316" s="76" t="s">
        <v>87</v>
      </c>
      <c r="F1316" s="28" t="e">
        <f ca="1">_xludf.ifna(VLOOKUP(G1316,Proyectos!$A$2:$F$674,6,0),"")</f>
        <v>#NAME?</v>
      </c>
      <c r="G1316" s="76" t="s">
        <v>5464</v>
      </c>
      <c r="H1316" s="68">
        <v>1</v>
      </c>
      <c r="I1316" s="76" t="s">
        <v>18</v>
      </c>
      <c r="J1316" s="35" t="s">
        <v>61</v>
      </c>
      <c r="K1316" s="95"/>
      <c r="L1316" s="32" t="e">
        <f ca="1">_xludf.ifna(VLOOKUP(E1316,Parámetros!$D$2:$E$34,2,0),"")</f>
        <v>#NAME?</v>
      </c>
      <c r="M1316" s="32" t="e">
        <f ca="1">_xludf.ifna(VLOOKUP(G1316,Proyectos!$A$2:$T$674,20,0),"")</f>
        <v>#NAME?</v>
      </c>
      <c r="N1316" s="32" t="e">
        <f ca="1">_xludf.ifna(VLOOKUP(G1316,Proyectos!$A$2:$S$674,19,0))</f>
        <v>#NAME?</v>
      </c>
      <c r="O1316" s="31"/>
      <c r="P1316" s="31"/>
      <c r="Q1316" s="33"/>
      <c r="R1316" s="33"/>
      <c r="S1316" s="33"/>
      <c r="T1316" s="33"/>
      <c r="U1316" s="33"/>
      <c r="V1316" s="33"/>
      <c r="W1316" s="33"/>
    </row>
    <row r="1317" spans="1:23" ht="16.5" customHeight="1" x14ac:dyDescent="0.25">
      <c r="A1317" s="35" t="s">
        <v>5023</v>
      </c>
      <c r="B1317" s="76" t="s">
        <v>5024</v>
      </c>
      <c r="C1317" s="76" t="s">
        <v>64</v>
      </c>
      <c r="D1317" s="35" t="s">
        <v>86</v>
      </c>
      <c r="E1317" s="76" t="s">
        <v>129</v>
      </c>
      <c r="F1317" s="28" t="e">
        <f ca="1">_xludf.ifna(VLOOKUP(G1317,Proyectos!$A$2:$F$674,6,0),"")</f>
        <v>#NAME?</v>
      </c>
      <c r="G1317" s="76" t="s">
        <v>5464</v>
      </c>
      <c r="H1317" s="68">
        <v>1</v>
      </c>
      <c r="I1317" s="76" t="s">
        <v>18</v>
      </c>
      <c r="J1317" s="35" t="s">
        <v>19</v>
      </c>
      <c r="K1317" s="95"/>
      <c r="L1317" s="32" t="e">
        <f ca="1">_xludf.ifna(VLOOKUP(E1317,Parámetros!$D$2:$E$34,2,0),"")</f>
        <v>#NAME?</v>
      </c>
      <c r="M1317" s="32" t="e">
        <f ca="1">_xludf.ifna(VLOOKUP(G1317,Proyectos!$A$2:$T$674,20,0),"")</f>
        <v>#NAME?</v>
      </c>
      <c r="N1317" s="32" t="e">
        <f ca="1">_xludf.ifna(VLOOKUP(G1317,Proyectos!$A$2:$S$674,19,0))</f>
        <v>#NAME?</v>
      </c>
      <c r="O1317" s="31"/>
      <c r="P1317" s="31"/>
      <c r="Q1317" s="33"/>
      <c r="R1317" s="33"/>
      <c r="S1317" s="33"/>
      <c r="T1317" s="33"/>
      <c r="U1317" s="33"/>
      <c r="V1317" s="33"/>
      <c r="W1317" s="33"/>
    </row>
    <row r="1318" spans="1:23" ht="16.5" customHeight="1" x14ac:dyDescent="0.25">
      <c r="A1318" s="35" t="s">
        <v>4151</v>
      </c>
      <c r="B1318" s="76" t="s">
        <v>4152</v>
      </c>
      <c r="C1318" s="76" t="s">
        <v>64</v>
      </c>
      <c r="D1318" s="35" t="s">
        <v>86</v>
      </c>
      <c r="E1318" s="76" t="s">
        <v>87</v>
      </c>
      <c r="F1318" s="28" t="e">
        <f ca="1">_xludf.ifna(VLOOKUP(G1318,Proyectos!$A$2:$F$674,6,0),"")</f>
        <v>#NAME?</v>
      </c>
      <c r="G1318" s="76" t="s">
        <v>5387</v>
      </c>
      <c r="H1318" s="68">
        <v>0.9</v>
      </c>
      <c r="I1318" s="76" t="s">
        <v>25</v>
      </c>
      <c r="J1318" s="35" t="s">
        <v>72</v>
      </c>
      <c r="K1318" s="95"/>
      <c r="L1318" s="32" t="e">
        <f ca="1">_xludf.ifna(VLOOKUP(E1318,Parámetros!$D$2:$E$34,2,0),"")</f>
        <v>#NAME?</v>
      </c>
      <c r="M1318" s="32" t="e">
        <f ca="1">_xludf.ifna(VLOOKUP(G1318,Proyectos!$A$2:$T$674,20,0),"")</f>
        <v>#NAME?</v>
      </c>
      <c r="N1318" s="32" t="e">
        <f ca="1">_xludf.ifna(VLOOKUP(G1318,Proyectos!$A$2:$S$674,19,0))</f>
        <v>#NAME?</v>
      </c>
      <c r="O1318" s="31"/>
      <c r="P1318" s="31"/>
      <c r="Q1318" s="33"/>
      <c r="R1318" s="33"/>
      <c r="S1318" s="33"/>
      <c r="T1318" s="33"/>
      <c r="U1318" s="33"/>
      <c r="V1318" s="33"/>
      <c r="W1318" s="33"/>
    </row>
    <row r="1319" spans="1:23" ht="16.5" customHeight="1" x14ac:dyDescent="0.25">
      <c r="A1319" s="35" t="s">
        <v>4382</v>
      </c>
      <c r="B1319" s="76" t="s">
        <v>4383</v>
      </c>
      <c r="C1319" s="76" t="s">
        <v>64</v>
      </c>
      <c r="D1319" s="35" t="s">
        <v>86</v>
      </c>
      <c r="E1319" s="76" t="s">
        <v>87</v>
      </c>
      <c r="F1319" s="28" t="e">
        <f ca="1">_xludf.ifna(VLOOKUP(G1319,Proyectos!$A$2:$F$674,6,0),"")</f>
        <v>#NAME?</v>
      </c>
      <c r="G1319" s="29" t="s">
        <v>5114</v>
      </c>
      <c r="H1319" s="68">
        <v>1</v>
      </c>
      <c r="I1319" s="76" t="s">
        <v>18</v>
      </c>
      <c r="J1319" s="35" t="s">
        <v>61</v>
      </c>
      <c r="K1319" s="95"/>
      <c r="L1319" s="32" t="e">
        <f ca="1">_xludf.ifna(VLOOKUP(E1319,Parámetros!$D$2:$E$34,2,0),"")</f>
        <v>#NAME?</v>
      </c>
      <c r="M1319" s="32" t="e">
        <f ca="1">_xludf.ifna(VLOOKUP(G1319,Proyectos!$A$2:$T$674,20,0),"")</f>
        <v>#NAME?</v>
      </c>
      <c r="N1319" s="32" t="e">
        <f ca="1">_xludf.ifna(VLOOKUP(G1319,Proyectos!$A$2:$S$674,19,0))</f>
        <v>#NAME?</v>
      </c>
      <c r="O1319" s="31"/>
      <c r="P1319" s="31"/>
      <c r="Q1319" s="33"/>
      <c r="R1319" s="33"/>
      <c r="S1319" s="33"/>
      <c r="T1319" s="33"/>
      <c r="U1319" s="33"/>
      <c r="V1319" s="33"/>
      <c r="W1319" s="33"/>
    </row>
    <row r="1320" spans="1:23" ht="16.5" customHeight="1" x14ac:dyDescent="0.25">
      <c r="A1320" s="35" t="s">
        <v>3904</v>
      </c>
      <c r="B1320" s="76" t="s">
        <v>3905</v>
      </c>
      <c r="C1320" s="76" t="s">
        <v>64</v>
      </c>
      <c r="D1320" s="35" t="s">
        <v>86</v>
      </c>
      <c r="E1320" s="76" t="s">
        <v>114</v>
      </c>
      <c r="F1320" s="28" t="e">
        <f ca="1">_xludf.ifna(VLOOKUP(G1320,Proyectos!$A$2:$F$674,6,0),"")</f>
        <v>#NAME?</v>
      </c>
      <c r="G1320" s="76" t="s">
        <v>5464</v>
      </c>
      <c r="H1320" s="68">
        <v>1</v>
      </c>
      <c r="I1320" s="76" t="s">
        <v>25</v>
      </c>
      <c r="J1320" s="35" t="s">
        <v>72</v>
      </c>
      <c r="K1320" s="95"/>
      <c r="L1320" s="32" t="e">
        <f ca="1">_xludf.ifna(VLOOKUP(E1320,Parámetros!$D$2:$E$34,2,0),"")</f>
        <v>#NAME?</v>
      </c>
      <c r="M1320" s="32" t="e">
        <f ca="1">_xludf.ifna(VLOOKUP(G1320,Proyectos!$A$2:$T$674,20,0),"")</f>
        <v>#NAME?</v>
      </c>
      <c r="N1320" s="32" t="e">
        <f ca="1">_xludf.ifna(VLOOKUP(G1320,Proyectos!$A$2:$S$674,19,0))</f>
        <v>#NAME?</v>
      </c>
      <c r="O1320" s="31"/>
      <c r="P1320" s="31"/>
      <c r="Q1320" s="33"/>
      <c r="R1320" s="33"/>
      <c r="S1320" s="33"/>
      <c r="T1320" s="33"/>
      <c r="U1320" s="33"/>
      <c r="V1320" s="33"/>
      <c r="W1320" s="33"/>
    </row>
    <row r="1321" spans="1:23" ht="16.5" customHeight="1" x14ac:dyDescent="0.25">
      <c r="A1321" s="35" t="s">
        <v>4010</v>
      </c>
      <c r="B1321" s="76" t="s">
        <v>4011</v>
      </c>
      <c r="C1321" s="76" t="s">
        <v>64</v>
      </c>
      <c r="D1321" s="35" t="s">
        <v>86</v>
      </c>
      <c r="E1321" s="76" t="s">
        <v>114</v>
      </c>
      <c r="F1321" s="28" t="e">
        <f ca="1">_xludf.ifna(VLOOKUP(G1321,Proyectos!$A$2:$F$674,6,0),"")</f>
        <v>#NAME?</v>
      </c>
      <c r="G1321" s="76" t="s">
        <v>5464</v>
      </c>
      <c r="H1321" s="68">
        <v>0.02</v>
      </c>
      <c r="I1321" s="76" t="s">
        <v>25</v>
      </c>
      <c r="J1321" s="35" t="s">
        <v>72</v>
      </c>
      <c r="K1321" s="95"/>
      <c r="L1321" s="32" t="e">
        <f ca="1">_xludf.ifna(VLOOKUP(E1321,Parámetros!$D$2:$E$34,2,0),"")</f>
        <v>#NAME?</v>
      </c>
      <c r="M1321" s="32" t="e">
        <f ca="1">_xludf.ifna(VLOOKUP(G1321,Proyectos!$A$2:$T$674,20,0),"")</f>
        <v>#NAME?</v>
      </c>
      <c r="N1321" s="32" t="e">
        <f ca="1">_xludf.ifna(VLOOKUP(G1321,Proyectos!$A$2:$S$674,19,0))</f>
        <v>#NAME?</v>
      </c>
      <c r="O1321" s="31"/>
      <c r="P1321" s="31"/>
      <c r="Q1321" s="33"/>
      <c r="R1321" s="33"/>
      <c r="S1321" s="33"/>
      <c r="T1321" s="33"/>
      <c r="U1321" s="33"/>
      <c r="V1321" s="33"/>
      <c r="W1321" s="33"/>
    </row>
    <row r="1322" spans="1:23" ht="16.5" customHeight="1" x14ac:dyDescent="0.25">
      <c r="A1322" s="35" t="s">
        <v>3719</v>
      </c>
      <c r="B1322" s="76" t="s">
        <v>3720</v>
      </c>
      <c r="C1322" s="76" t="s">
        <v>64</v>
      </c>
      <c r="D1322" s="35" t="s">
        <v>86</v>
      </c>
      <c r="E1322" s="76" t="s">
        <v>39</v>
      </c>
      <c r="F1322" s="28" t="e">
        <f ca="1">_xludf.ifna(VLOOKUP(G1322,Proyectos!$A$2:$F$674,6,0),"")</f>
        <v>#NAME?</v>
      </c>
      <c r="G1322" s="76" t="s">
        <v>5131</v>
      </c>
      <c r="H1322" s="68">
        <v>0.5</v>
      </c>
      <c r="I1322" s="76" t="s">
        <v>18</v>
      </c>
      <c r="J1322" s="35" t="s">
        <v>26</v>
      </c>
      <c r="K1322" s="95"/>
      <c r="L1322" s="32" t="e">
        <f ca="1">_xludf.ifna(VLOOKUP(E1322,Parámetros!$D$2:$E$34,2,0),"")</f>
        <v>#NAME?</v>
      </c>
      <c r="M1322" s="32" t="e">
        <f ca="1">_xludf.ifna(VLOOKUP(G1322,Proyectos!$A$2:$T$674,20,0),"")</f>
        <v>#NAME?</v>
      </c>
      <c r="N1322" s="32" t="e">
        <f ca="1">_xludf.ifna(VLOOKUP(G1322,Proyectos!$A$2:$S$674,19,0))</f>
        <v>#NAME?</v>
      </c>
      <c r="O1322" s="31"/>
      <c r="P1322" s="31"/>
      <c r="Q1322" s="33"/>
      <c r="R1322" s="33"/>
      <c r="S1322" s="33"/>
      <c r="T1322" s="33"/>
      <c r="U1322" s="33"/>
      <c r="V1322" s="33"/>
      <c r="W1322" s="33"/>
    </row>
    <row r="1323" spans="1:23" ht="16.5" customHeight="1" x14ac:dyDescent="0.25">
      <c r="A1323" s="35" t="s">
        <v>3719</v>
      </c>
      <c r="B1323" s="76" t="s">
        <v>3720</v>
      </c>
      <c r="C1323" s="76" t="s">
        <v>64</v>
      </c>
      <c r="D1323" s="35" t="s">
        <v>86</v>
      </c>
      <c r="E1323" s="76" t="s">
        <v>39</v>
      </c>
      <c r="F1323" s="28" t="e">
        <f ca="1">_xludf.ifna(VLOOKUP(G1323,Proyectos!$A$2:$F$674,6,0),"")</f>
        <v>#NAME?</v>
      </c>
      <c r="G1323" s="29" t="s">
        <v>5114</v>
      </c>
      <c r="H1323" s="68">
        <v>0.5</v>
      </c>
      <c r="I1323" s="76" t="s">
        <v>18</v>
      </c>
      <c r="J1323" s="35" t="s">
        <v>26</v>
      </c>
      <c r="K1323" s="95"/>
      <c r="L1323" s="32" t="e">
        <f ca="1">_xludf.ifna(VLOOKUP(E1323,Parámetros!$D$2:$E$34,2,0),"")</f>
        <v>#NAME?</v>
      </c>
      <c r="M1323" s="32" t="e">
        <f ca="1">_xludf.ifna(VLOOKUP(G1323,Proyectos!$A$2:$T$674,20,0),"")</f>
        <v>#NAME?</v>
      </c>
      <c r="N1323" s="32" t="e">
        <f ca="1">_xludf.ifna(VLOOKUP(G1323,Proyectos!$A$2:$S$674,19,0))</f>
        <v>#NAME?</v>
      </c>
      <c r="O1323" s="31"/>
      <c r="P1323" s="31"/>
      <c r="Q1323" s="33"/>
      <c r="R1323" s="33"/>
      <c r="S1323" s="33"/>
      <c r="T1323" s="33"/>
      <c r="U1323" s="33"/>
      <c r="V1323" s="33"/>
      <c r="W1323" s="33"/>
    </row>
    <row r="1324" spans="1:23" ht="16.5" customHeight="1" x14ac:dyDescent="0.25">
      <c r="A1324" s="35" t="s">
        <v>4288</v>
      </c>
      <c r="B1324" s="76" t="s">
        <v>4289</v>
      </c>
      <c r="C1324" s="76" t="s">
        <v>64</v>
      </c>
      <c r="D1324" s="35" t="s">
        <v>86</v>
      </c>
      <c r="E1324" s="76" t="s">
        <v>114</v>
      </c>
      <c r="F1324" s="28" t="e">
        <f ca="1">_xludf.ifna(VLOOKUP(G1324,Proyectos!$A$2:$F$674,6,0),"")</f>
        <v>#NAME?</v>
      </c>
      <c r="G1324" s="76" t="s">
        <v>5464</v>
      </c>
      <c r="H1324" s="68">
        <v>1</v>
      </c>
      <c r="I1324" s="76" t="s">
        <v>25</v>
      </c>
      <c r="J1324" s="35" t="s">
        <v>72</v>
      </c>
      <c r="K1324" s="95"/>
      <c r="L1324" s="32" t="e">
        <f ca="1">_xludf.ifna(VLOOKUP(E1324,Parámetros!$D$2:$E$34,2,0),"")</f>
        <v>#NAME?</v>
      </c>
      <c r="M1324" s="32" t="e">
        <f ca="1">_xludf.ifna(VLOOKUP(G1324,Proyectos!$A$2:$T$674,20,0),"")</f>
        <v>#NAME?</v>
      </c>
      <c r="N1324" s="32" t="e">
        <f ca="1">_xludf.ifna(VLOOKUP(G1324,Proyectos!$A$2:$S$674,19,0))</f>
        <v>#NAME?</v>
      </c>
      <c r="O1324" s="31"/>
      <c r="P1324" s="31"/>
      <c r="Q1324" s="33"/>
      <c r="R1324" s="33"/>
      <c r="S1324" s="33"/>
      <c r="T1324" s="33"/>
      <c r="U1324" s="33"/>
      <c r="V1324" s="33"/>
      <c r="W1324" s="33"/>
    </row>
    <row r="1325" spans="1:23" ht="16.5" customHeight="1" x14ac:dyDescent="0.25">
      <c r="A1325" s="35" t="s">
        <v>3558</v>
      </c>
      <c r="B1325" s="76" t="s">
        <v>3559</v>
      </c>
      <c r="C1325" s="76" t="s">
        <v>64</v>
      </c>
      <c r="D1325" s="35" t="s">
        <v>86</v>
      </c>
      <c r="E1325" s="76" t="s">
        <v>39</v>
      </c>
      <c r="F1325" s="28" t="e">
        <f ca="1">_xludf.ifna(VLOOKUP(G1325,Proyectos!$A$2:$F$674,6,0),"")</f>
        <v>#NAME?</v>
      </c>
      <c r="G1325" s="76" t="s">
        <v>5131</v>
      </c>
      <c r="H1325" s="68">
        <v>0.25</v>
      </c>
      <c r="I1325" s="76" t="s">
        <v>18</v>
      </c>
      <c r="J1325" s="35" t="s">
        <v>26</v>
      </c>
      <c r="K1325" s="95"/>
      <c r="L1325" s="32" t="e">
        <f ca="1">_xludf.ifna(VLOOKUP(E1325,Parámetros!$D$2:$E$34,2,0),"")</f>
        <v>#NAME?</v>
      </c>
      <c r="M1325" s="32" t="e">
        <f ca="1">_xludf.ifna(VLOOKUP(G1325,Proyectos!$A$2:$T$674,20,0),"")</f>
        <v>#NAME?</v>
      </c>
      <c r="N1325" s="32" t="e">
        <f ca="1">_xludf.ifna(VLOOKUP(G1325,Proyectos!$A$2:$S$674,19,0))</f>
        <v>#NAME?</v>
      </c>
      <c r="O1325" s="31"/>
      <c r="P1325" s="31"/>
      <c r="Q1325" s="33"/>
      <c r="R1325" s="33"/>
      <c r="S1325" s="33"/>
      <c r="T1325" s="33"/>
      <c r="U1325" s="33"/>
      <c r="V1325" s="33"/>
      <c r="W1325" s="33"/>
    </row>
    <row r="1326" spans="1:23" ht="16.5" customHeight="1" x14ac:dyDescent="0.25">
      <c r="A1326" s="35" t="s">
        <v>3558</v>
      </c>
      <c r="B1326" s="76" t="s">
        <v>3559</v>
      </c>
      <c r="C1326" s="76" t="s">
        <v>64</v>
      </c>
      <c r="D1326" s="35" t="s">
        <v>86</v>
      </c>
      <c r="E1326" s="76" t="s">
        <v>39</v>
      </c>
      <c r="F1326" s="28" t="e">
        <f ca="1">_xludf.ifna(VLOOKUP(G1326,Proyectos!$A$2:$F$674,6,0),"")</f>
        <v>#NAME?</v>
      </c>
      <c r="G1326" s="76" t="s">
        <v>5387</v>
      </c>
      <c r="H1326" s="68">
        <v>0.75</v>
      </c>
      <c r="I1326" s="76" t="s">
        <v>18</v>
      </c>
      <c r="J1326" s="35" t="s">
        <v>26</v>
      </c>
      <c r="K1326" s="95"/>
      <c r="L1326" s="32" t="e">
        <f ca="1">_xludf.ifna(VLOOKUP(E1326,Parámetros!$D$2:$E$34,2,0),"")</f>
        <v>#NAME?</v>
      </c>
      <c r="M1326" s="32" t="e">
        <f ca="1">_xludf.ifna(VLOOKUP(G1326,Proyectos!$A$2:$T$674,20,0),"")</f>
        <v>#NAME?</v>
      </c>
      <c r="N1326" s="32" t="e">
        <f ca="1">_xludf.ifna(VLOOKUP(G1326,Proyectos!$A$2:$S$674,19,0))</f>
        <v>#NAME?</v>
      </c>
      <c r="O1326" s="31"/>
      <c r="P1326" s="31"/>
      <c r="Q1326" s="33"/>
      <c r="R1326" s="33"/>
      <c r="S1326" s="33"/>
      <c r="T1326" s="33"/>
      <c r="U1326" s="33"/>
      <c r="V1326" s="33"/>
      <c r="W1326" s="33"/>
    </row>
    <row r="1327" spans="1:23" ht="16.5" customHeight="1" x14ac:dyDescent="0.25">
      <c r="A1327" s="35" t="s">
        <v>4151</v>
      </c>
      <c r="B1327" s="76" t="s">
        <v>4152</v>
      </c>
      <c r="C1327" s="76" t="s">
        <v>64</v>
      </c>
      <c r="D1327" s="35" t="s">
        <v>86</v>
      </c>
      <c r="E1327" s="76" t="s">
        <v>87</v>
      </c>
      <c r="F1327" s="28" t="e">
        <f ca="1">_xludf.ifna(VLOOKUP(G1327,Proyectos!$A$2:$F$674,6,0),"")</f>
        <v>#NAME?</v>
      </c>
      <c r="G1327" s="76" t="s">
        <v>5387</v>
      </c>
      <c r="H1327" s="68">
        <v>0.1</v>
      </c>
      <c r="I1327" s="76" t="s">
        <v>25</v>
      </c>
      <c r="J1327" s="35" t="s">
        <v>72</v>
      </c>
      <c r="K1327" s="95"/>
      <c r="L1327" s="32" t="e">
        <f ca="1">_xludf.ifna(VLOOKUP(E1327,Parámetros!$D$2:$E$34,2,0),"")</f>
        <v>#NAME?</v>
      </c>
      <c r="M1327" s="32" t="e">
        <f ca="1">_xludf.ifna(VLOOKUP(G1327,Proyectos!$A$2:$T$674,20,0),"")</f>
        <v>#NAME?</v>
      </c>
      <c r="N1327" s="32" t="e">
        <f ca="1">_xludf.ifna(VLOOKUP(G1327,Proyectos!$A$2:$S$674,19,0))</f>
        <v>#NAME?</v>
      </c>
      <c r="O1327" s="31"/>
      <c r="P1327" s="31"/>
      <c r="Q1327" s="33"/>
      <c r="R1327" s="33"/>
      <c r="S1327" s="33"/>
      <c r="T1327" s="33"/>
      <c r="U1327" s="33"/>
      <c r="V1327" s="33"/>
      <c r="W1327" s="33"/>
    </row>
    <row r="1328" spans="1:23" ht="16.5" customHeight="1" x14ac:dyDescent="0.25">
      <c r="A1328" s="35" t="s">
        <v>4292</v>
      </c>
      <c r="B1328" s="76" t="s">
        <v>4293</v>
      </c>
      <c r="C1328" s="76" t="s">
        <v>64</v>
      </c>
      <c r="D1328" s="35" t="s">
        <v>86</v>
      </c>
      <c r="E1328" s="76" t="s">
        <v>87</v>
      </c>
      <c r="F1328" s="28" t="e">
        <f ca="1">_xludf.ifna(VLOOKUP(G1328,Proyectos!$A$2:$F$674,6,0),"")</f>
        <v>#NAME?</v>
      </c>
      <c r="G1328" s="76" t="s">
        <v>5248</v>
      </c>
      <c r="H1328" s="68">
        <v>1</v>
      </c>
      <c r="I1328" s="76" t="s">
        <v>18</v>
      </c>
      <c r="J1328" s="35" t="s">
        <v>12</v>
      </c>
      <c r="K1328" s="95"/>
      <c r="L1328" s="32" t="e">
        <f ca="1">_xludf.ifna(VLOOKUP(E1328,Parámetros!$D$2:$E$34,2,0),"")</f>
        <v>#NAME?</v>
      </c>
      <c r="M1328" s="32" t="e">
        <f ca="1">_xludf.ifna(VLOOKUP(G1328,Proyectos!$A$2:$T$674,20,0),"")</f>
        <v>#NAME?</v>
      </c>
      <c r="N1328" s="32" t="e">
        <f ca="1">_xludf.ifna(VLOOKUP(G1328,Proyectos!$A$2:$S$674,19,0))</f>
        <v>#NAME?</v>
      </c>
      <c r="O1328" s="31"/>
      <c r="P1328" s="31"/>
      <c r="Q1328" s="33"/>
      <c r="R1328" s="33"/>
      <c r="S1328" s="33"/>
      <c r="T1328" s="33"/>
      <c r="U1328" s="33"/>
      <c r="V1328" s="33"/>
      <c r="W1328" s="33"/>
    </row>
    <row r="1329" spans="1:23" ht="16.5" customHeight="1" x14ac:dyDescent="0.25">
      <c r="A1329" s="35" t="s">
        <v>4396</v>
      </c>
      <c r="B1329" s="76" t="s">
        <v>4397</v>
      </c>
      <c r="C1329" s="76" t="s">
        <v>64</v>
      </c>
      <c r="D1329" s="35" t="s">
        <v>86</v>
      </c>
      <c r="E1329" s="76" t="s">
        <v>83</v>
      </c>
      <c r="F1329" s="28" t="e">
        <f ca="1">_xludf.ifna(VLOOKUP(G1329,Proyectos!$A$2:$F$674,6,0),"")</f>
        <v>#NAME?</v>
      </c>
      <c r="G1329" s="76" t="s">
        <v>5387</v>
      </c>
      <c r="H1329" s="68">
        <v>1</v>
      </c>
      <c r="I1329" s="76" t="s">
        <v>25</v>
      </c>
      <c r="J1329" s="35" t="s">
        <v>72</v>
      </c>
      <c r="K1329" s="95"/>
      <c r="L1329" s="32" t="e">
        <f ca="1">_xludf.ifna(VLOOKUP(E1329,Parámetros!$D$2:$E$34,2,0),"")</f>
        <v>#NAME?</v>
      </c>
      <c r="M1329" s="32" t="e">
        <f ca="1">_xludf.ifna(VLOOKUP(G1329,Proyectos!$A$2:$T$674,20,0),"")</f>
        <v>#NAME?</v>
      </c>
      <c r="N1329" s="32" t="e">
        <f ca="1">_xludf.ifna(VLOOKUP(G1329,Proyectos!$A$2:$S$674,19,0))</f>
        <v>#NAME?</v>
      </c>
      <c r="O1329" s="31"/>
      <c r="P1329" s="31"/>
      <c r="Q1329" s="33"/>
      <c r="R1329" s="33"/>
      <c r="S1329" s="33"/>
      <c r="T1329" s="33"/>
      <c r="U1329" s="33"/>
      <c r="V1329" s="33"/>
      <c r="W1329" s="33"/>
    </row>
    <row r="1330" spans="1:23" ht="16.5" customHeight="1" x14ac:dyDescent="0.25">
      <c r="A1330" s="35" t="s">
        <v>4707</v>
      </c>
      <c r="B1330" s="76" t="s">
        <v>4708</v>
      </c>
      <c r="C1330" s="76" t="s">
        <v>64</v>
      </c>
      <c r="D1330" s="35" t="s">
        <v>86</v>
      </c>
      <c r="E1330" s="76" t="s">
        <v>39</v>
      </c>
      <c r="F1330" s="28" t="e">
        <f ca="1">_xludf.ifna(VLOOKUP(G1330,Proyectos!$A$2:$F$674,6,0),"")</f>
        <v>#NAME?</v>
      </c>
      <c r="G1330" s="29" t="s">
        <v>5114</v>
      </c>
      <c r="H1330" s="68">
        <v>0.7</v>
      </c>
      <c r="I1330" s="76" t="s">
        <v>18</v>
      </c>
      <c r="J1330" s="35" t="s">
        <v>72</v>
      </c>
      <c r="K1330" s="95"/>
      <c r="L1330" s="32" t="e">
        <f ca="1">_xludf.ifna(VLOOKUP(E1330,Parámetros!$D$2:$E$34,2,0),"")</f>
        <v>#NAME?</v>
      </c>
      <c r="M1330" s="32" t="e">
        <f ca="1">_xludf.ifna(VLOOKUP(G1330,Proyectos!$A$2:$T$674,20,0),"")</f>
        <v>#NAME?</v>
      </c>
      <c r="N1330" s="32" t="e">
        <f ca="1">_xludf.ifna(VLOOKUP(G1330,Proyectos!$A$2:$S$674,19,0))</f>
        <v>#NAME?</v>
      </c>
      <c r="O1330" s="31"/>
      <c r="P1330" s="31"/>
      <c r="Q1330" s="33"/>
      <c r="R1330" s="33"/>
      <c r="S1330" s="33"/>
      <c r="T1330" s="33"/>
      <c r="U1330" s="33"/>
      <c r="V1330" s="33"/>
      <c r="W1330" s="33"/>
    </row>
    <row r="1331" spans="1:23" ht="16.5" customHeight="1" x14ac:dyDescent="0.25">
      <c r="A1331" s="35" t="s">
        <v>4707</v>
      </c>
      <c r="B1331" s="76" t="s">
        <v>4708</v>
      </c>
      <c r="C1331" s="76" t="s">
        <v>64</v>
      </c>
      <c r="D1331" s="35" t="s">
        <v>86</v>
      </c>
      <c r="E1331" s="76" t="s">
        <v>39</v>
      </c>
      <c r="F1331" s="28" t="e">
        <f ca="1">_xludf.ifna(VLOOKUP(G1331,Proyectos!$A$2:$F$674,6,0),"")</f>
        <v>#NAME?</v>
      </c>
      <c r="G1331" s="76" t="s">
        <v>5464</v>
      </c>
      <c r="H1331" s="68">
        <v>0.3</v>
      </c>
      <c r="I1331" s="76" t="s">
        <v>18</v>
      </c>
      <c r="J1331" s="35" t="s">
        <v>72</v>
      </c>
      <c r="K1331" s="95"/>
      <c r="L1331" s="32" t="e">
        <f ca="1">_xludf.ifna(VLOOKUP(E1331,Parámetros!$D$2:$E$34,2,0),"")</f>
        <v>#NAME?</v>
      </c>
      <c r="M1331" s="32" t="e">
        <f ca="1">_xludf.ifna(VLOOKUP(G1331,Proyectos!$A$2:$T$674,20,0),"")</f>
        <v>#NAME?</v>
      </c>
      <c r="N1331" s="32" t="e">
        <f ca="1">_xludf.ifna(VLOOKUP(G1331,Proyectos!$A$2:$S$674,19,0))</f>
        <v>#NAME?</v>
      </c>
      <c r="O1331" s="31"/>
      <c r="P1331" s="31"/>
      <c r="Q1331" s="33"/>
      <c r="R1331" s="33"/>
      <c r="S1331" s="33"/>
      <c r="T1331" s="33"/>
      <c r="U1331" s="33"/>
      <c r="V1331" s="33"/>
      <c r="W1331" s="33"/>
    </row>
    <row r="1332" spans="1:23" ht="16.5" customHeight="1" x14ac:dyDescent="0.25">
      <c r="A1332" s="35" t="s">
        <v>4693</v>
      </c>
      <c r="B1332" s="76" t="s">
        <v>4694</v>
      </c>
      <c r="C1332" s="76" t="s">
        <v>64</v>
      </c>
      <c r="D1332" s="35" t="s">
        <v>86</v>
      </c>
      <c r="E1332" s="76" t="s">
        <v>39</v>
      </c>
      <c r="F1332" s="28" t="e">
        <f ca="1">_xludf.ifna(VLOOKUP(G1332,Proyectos!$A$2:$F$674,6,0),"")</f>
        <v>#NAME?</v>
      </c>
      <c r="G1332" s="76" t="s">
        <v>5465</v>
      </c>
      <c r="H1332" s="68">
        <v>0.5</v>
      </c>
      <c r="I1332" s="76" t="s">
        <v>18</v>
      </c>
      <c r="J1332" s="35" t="s">
        <v>26</v>
      </c>
      <c r="K1332" s="95"/>
      <c r="L1332" s="32" t="e">
        <f ca="1">_xludf.ifna(VLOOKUP(E1332,Parámetros!$D$2:$E$34,2,0),"")</f>
        <v>#NAME?</v>
      </c>
      <c r="M1332" s="32" t="e">
        <f ca="1">_xludf.ifna(VLOOKUP(G1332,Proyectos!$A$2:$T$674,20,0),"")</f>
        <v>#NAME?</v>
      </c>
      <c r="N1332" s="32" t="e">
        <f ca="1">_xludf.ifna(VLOOKUP(G1332,Proyectos!$A$2:$S$674,19,0))</f>
        <v>#NAME?</v>
      </c>
      <c r="O1332" s="31"/>
      <c r="P1332" s="31"/>
      <c r="Q1332" s="33"/>
      <c r="R1332" s="33"/>
      <c r="S1332" s="33"/>
      <c r="T1332" s="33"/>
      <c r="U1332" s="33"/>
      <c r="V1332" s="33"/>
      <c r="W1332" s="33"/>
    </row>
    <row r="1333" spans="1:23" ht="16.5" customHeight="1" x14ac:dyDescent="0.25">
      <c r="A1333" s="35" t="s">
        <v>4693</v>
      </c>
      <c r="B1333" s="76" t="s">
        <v>4694</v>
      </c>
      <c r="C1333" s="76" t="s">
        <v>64</v>
      </c>
      <c r="D1333" s="35" t="s">
        <v>86</v>
      </c>
      <c r="E1333" s="76" t="s">
        <v>39</v>
      </c>
      <c r="F1333" s="28" t="e">
        <f ca="1">_xludf.ifna(VLOOKUP(G1333,Proyectos!$A$2:$F$674,6,0),"")</f>
        <v>#NAME?</v>
      </c>
      <c r="G1333" s="29" t="s">
        <v>5114</v>
      </c>
      <c r="H1333" s="68">
        <v>0.5</v>
      </c>
      <c r="I1333" s="76" t="s">
        <v>18</v>
      </c>
      <c r="J1333" s="35" t="s">
        <v>26</v>
      </c>
      <c r="K1333" s="95"/>
      <c r="L1333" s="32" t="e">
        <f ca="1">_xludf.ifna(VLOOKUP(E1333,Parámetros!$D$2:$E$34,2,0),"")</f>
        <v>#NAME?</v>
      </c>
      <c r="M1333" s="32" t="e">
        <f ca="1">_xludf.ifna(VLOOKUP(G1333,Proyectos!$A$2:$T$674,20,0),"")</f>
        <v>#NAME?</v>
      </c>
      <c r="N1333" s="32" t="e">
        <f ca="1">_xludf.ifna(VLOOKUP(G1333,Proyectos!$A$2:$S$674,19,0))</f>
        <v>#NAME?</v>
      </c>
      <c r="O1333" s="31"/>
      <c r="P1333" s="31"/>
      <c r="Q1333" s="33"/>
      <c r="R1333" s="33"/>
      <c r="S1333" s="33"/>
      <c r="T1333" s="33"/>
      <c r="U1333" s="33"/>
      <c r="V1333" s="33"/>
      <c r="W1333" s="33"/>
    </row>
    <row r="1334" spans="1:23" ht="16.5" customHeight="1" x14ac:dyDescent="0.25">
      <c r="A1334" s="26" t="s">
        <v>4314</v>
      </c>
      <c r="B1334" s="26" t="s">
        <v>4315</v>
      </c>
      <c r="C1334" s="26" t="s">
        <v>37</v>
      </c>
      <c r="D1334" s="27" t="s">
        <v>38</v>
      </c>
      <c r="E1334" s="27" t="s">
        <v>9</v>
      </c>
      <c r="F1334" s="28" t="e">
        <f ca="1">_xludf.ifna(VLOOKUP(G1334,Proyectos!$A$2:$F$674,6,0),"")</f>
        <v>#NAME?</v>
      </c>
      <c r="G1334" s="76" t="s">
        <v>5339</v>
      </c>
      <c r="H1334" s="32">
        <v>0.25</v>
      </c>
      <c r="I1334" s="31" t="s">
        <v>18</v>
      </c>
      <c r="J1334" s="31" t="s">
        <v>41</v>
      </c>
      <c r="K1334" s="32"/>
      <c r="L1334" s="32" t="e">
        <f ca="1">_xludf.ifna(VLOOKUP(E1334,Parámetros!$D$2:$E$34,2,0),"")</f>
        <v>#NAME?</v>
      </c>
      <c r="M1334" s="32" t="e">
        <f ca="1">_xludf.ifna(VLOOKUP(G1334,Proyectos!$A$2:$T$674,20,0),"")</f>
        <v>#NAME?</v>
      </c>
      <c r="N1334" s="32" t="e">
        <f ca="1">_xludf.ifna(VLOOKUP(G1334,Proyectos!$A$2:$S$674,19,0))</f>
        <v>#NAME?</v>
      </c>
      <c r="O1334" s="32"/>
      <c r="P1334" s="31"/>
      <c r="Q1334" s="33"/>
      <c r="R1334" s="33"/>
      <c r="S1334" s="33"/>
      <c r="T1334" s="33"/>
      <c r="U1334" s="33"/>
      <c r="V1334" s="33"/>
      <c r="W1334" s="33"/>
    </row>
    <row r="1335" spans="1:23" ht="16.5" customHeight="1" x14ac:dyDescent="0.25">
      <c r="A1335" s="26" t="s">
        <v>4147</v>
      </c>
      <c r="B1335" s="26" t="s">
        <v>5467</v>
      </c>
      <c r="C1335" s="26" t="s">
        <v>37</v>
      </c>
      <c r="D1335" s="27" t="s">
        <v>38</v>
      </c>
      <c r="E1335" s="27" t="s">
        <v>9</v>
      </c>
      <c r="F1335" s="28" t="e">
        <f ca="1">_xludf.ifna(VLOOKUP(G1335,Proyectos!$A$2:$F$674,6,0),"")</f>
        <v>#NAME?</v>
      </c>
      <c r="G1335" s="76" t="s">
        <v>5339</v>
      </c>
      <c r="H1335" s="32">
        <v>0.3</v>
      </c>
      <c r="I1335" s="31" t="s">
        <v>18</v>
      </c>
      <c r="J1335" s="31" t="s">
        <v>41</v>
      </c>
      <c r="K1335" s="32"/>
      <c r="L1335" s="32" t="e">
        <f ca="1">_xludf.ifna(VLOOKUP(E1335,Parámetros!$D$2:$E$34,2,0),"")</f>
        <v>#NAME?</v>
      </c>
      <c r="M1335" s="32" t="e">
        <f ca="1">_xludf.ifna(VLOOKUP(G1335,Proyectos!$A$2:$T$674,20,0),"")</f>
        <v>#NAME?</v>
      </c>
      <c r="N1335" s="32" t="e">
        <f ca="1">_xludf.ifna(VLOOKUP(G1335,Proyectos!$A$2:$S$674,19,0))</f>
        <v>#NAME?</v>
      </c>
      <c r="O1335" s="32"/>
      <c r="P1335" s="31"/>
      <c r="Q1335" s="33"/>
      <c r="R1335" s="33"/>
      <c r="S1335" s="33"/>
      <c r="T1335" s="33"/>
      <c r="U1335" s="33"/>
      <c r="V1335" s="33"/>
      <c r="W1335" s="33"/>
    </row>
    <row r="1336" spans="1:23" ht="16.5" customHeight="1" x14ac:dyDescent="0.25">
      <c r="A1336" s="26" t="s">
        <v>4907</v>
      </c>
      <c r="B1336" s="26" t="s">
        <v>4908</v>
      </c>
      <c r="C1336" s="26" t="s">
        <v>37</v>
      </c>
      <c r="D1336" s="27" t="s">
        <v>38</v>
      </c>
      <c r="E1336" s="27" t="s">
        <v>9</v>
      </c>
      <c r="F1336" s="28" t="e">
        <f ca="1">_xludf.ifna(VLOOKUP(G1336,Proyectos!$A$2:$F$674,6,0),"")</f>
        <v>#NAME?</v>
      </c>
      <c r="G1336" s="76" t="s">
        <v>5339</v>
      </c>
      <c r="H1336" s="32">
        <v>0.2</v>
      </c>
      <c r="I1336" s="31" t="s">
        <v>18</v>
      </c>
      <c r="J1336" s="31" t="s">
        <v>41</v>
      </c>
      <c r="K1336" s="32"/>
      <c r="L1336" s="32" t="e">
        <f ca="1">_xludf.ifna(VLOOKUP(E1336,Parámetros!$D$2:$E$34,2,0),"")</f>
        <v>#NAME?</v>
      </c>
      <c r="M1336" s="32" t="e">
        <f ca="1">_xludf.ifna(VLOOKUP(G1336,Proyectos!$A$2:$T$674,20,0),"")</f>
        <v>#NAME?</v>
      </c>
      <c r="N1336" s="32" t="e">
        <f ca="1">_xludf.ifna(VLOOKUP(G1336,Proyectos!$A$2:$S$674,19,0))</f>
        <v>#NAME?</v>
      </c>
      <c r="O1336" s="32"/>
      <c r="P1336" s="31"/>
      <c r="Q1336" s="33"/>
      <c r="R1336" s="33"/>
      <c r="S1336" s="33"/>
      <c r="T1336" s="33"/>
      <c r="U1336" s="33"/>
      <c r="V1336" s="33"/>
      <c r="W1336" s="33"/>
    </row>
    <row r="1337" spans="1:23" ht="16.5" customHeight="1" x14ac:dyDescent="0.25">
      <c r="A1337" s="26" t="s">
        <v>3945</v>
      </c>
      <c r="B1337" s="26" t="s">
        <v>3946</v>
      </c>
      <c r="C1337" s="26" t="s">
        <v>37</v>
      </c>
      <c r="D1337" s="27" t="s">
        <v>38</v>
      </c>
      <c r="E1337" s="27" t="s">
        <v>87</v>
      </c>
      <c r="F1337" s="28" t="e">
        <f ca="1">_xludf.ifna(VLOOKUP(G1337,Proyectos!$A$2:$F$674,6,0),"")</f>
        <v>#NAME?</v>
      </c>
      <c r="G1337" s="76" t="s">
        <v>5339</v>
      </c>
      <c r="H1337" s="32">
        <v>0.1</v>
      </c>
      <c r="I1337" s="31" t="s">
        <v>18</v>
      </c>
      <c r="J1337" s="31" t="s">
        <v>41</v>
      </c>
      <c r="K1337" s="32"/>
      <c r="L1337" s="32" t="e">
        <f ca="1">_xludf.ifna(VLOOKUP(E1337,Parámetros!$D$2:$E$34,2,0),"")</f>
        <v>#NAME?</v>
      </c>
      <c r="M1337" s="32" t="e">
        <f ca="1">_xludf.ifna(VLOOKUP(G1337,Proyectos!$A$2:$T$674,20,0),"")</f>
        <v>#NAME?</v>
      </c>
      <c r="N1337" s="32" t="e">
        <f ca="1">_xludf.ifna(VLOOKUP(G1337,Proyectos!$A$2:$S$674,19,0))</f>
        <v>#NAME?</v>
      </c>
      <c r="O1337" s="32"/>
      <c r="P1337" s="31"/>
      <c r="Q1337" s="33"/>
      <c r="R1337" s="33"/>
      <c r="S1337" s="33"/>
      <c r="T1337" s="33"/>
      <c r="U1337" s="33"/>
      <c r="V1337" s="33"/>
      <c r="W1337" s="33"/>
    </row>
    <row r="1338" spans="1:23" ht="16.5" customHeight="1" x14ac:dyDescent="0.25">
      <c r="A1338" s="26" t="s">
        <v>4905</v>
      </c>
      <c r="B1338" s="26" t="s">
        <v>4906</v>
      </c>
      <c r="C1338" s="26" t="s">
        <v>115</v>
      </c>
      <c r="D1338" s="27" t="s">
        <v>116</v>
      </c>
      <c r="E1338" s="27" t="s">
        <v>9</v>
      </c>
      <c r="F1338" s="28" t="e">
        <f ca="1">_xludf.ifna(VLOOKUP(G1338,Proyectos!$A$2:$F$674,6,0),"")</f>
        <v>#NAME?</v>
      </c>
      <c r="G1338" s="76" t="s">
        <v>5468</v>
      </c>
      <c r="H1338" s="96">
        <v>1</v>
      </c>
      <c r="I1338" s="31" t="s">
        <v>18</v>
      </c>
      <c r="J1338" s="31" t="s">
        <v>3280</v>
      </c>
      <c r="K1338" s="31"/>
      <c r="L1338" s="32" t="e">
        <f ca="1">_xludf.ifna(VLOOKUP(E1338,Parámetros!$D$2:$E$34,2,0),"")</f>
        <v>#NAME?</v>
      </c>
      <c r="M1338" s="32" t="e">
        <f ca="1">_xludf.ifna(VLOOKUP(G1338,Proyectos!$A$2:$T$674,20,0),"")</f>
        <v>#NAME?</v>
      </c>
      <c r="N1338" s="32" t="e">
        <f ca="1">_xludf.ifna(VLOOKUP(G1338,Proyectos!$A$2:$S$674,19,0))</f>
        <v>#NAME?</v>
      </c>
      <c r="O1338" s="31"/>
      <c r="P1338" s="31"/>
      <c r="Q1338" s="33"/>
      <c r="R1338" s="33"/>
      <c r="S1338" s="33"/>
      <c r="T1338" s="63">
        <f t="shared" ref="T1338:T1441" si="12">IF(B1338=B1337,0,1)</f>
        <v>1</v>
      </c>
      <c r="U1338" s="33"/>
      <c r="V1338" s="33"/>
      <c r="W1338" s="33"/>
    </row>
    <row r="1339" spans="1:23" ht="16.5" customHeight="1" x14ac:dyDescent="0.25">
      <c r="A1339" s="26" t="s">
        <v>4841</v>
      </c>
      <c r="B1339" s="26" t="s">
        <v>5469</v>
      </c>
      <c r="C1339" s="26" t="s">
        <v>115</v>
      </c>
      <c r="D1339" s="27" t="s">
        <v>116</v>
      </c>
      <c r="E1339" s="27" t="s">
        <v>100</v>
      </c>
      <c r="F1339" s="28" t="e">
        <f ca="1">_xludf.ifna(VLOOKUP(G1339,Proyectos!$A$2:$F$674,6,0),"")</f>
        <v>#NAME?</v>
      </c>
      <c r="G1339" s="76" t="s">
        <v>5314</v>
      </c>
      <c r="H1339" s="96">
        <v>0.7</v>
      </c>
      <c r="I1339" s="31" t="s">
        <v>18</v>
      </c>
      <c r="J1339" s="31" t="s">
        <v>3280</v>
      </c>
      <c r="K1339" s="31"/>
      <c r="L1339" s="32" t="e">
        <f ca="1">_xludf.ifna(VLOOKUP(E1339,Parámetros!$D$2:$E$34,2,0),"")</f>
        <v>#NAME?</v>
      </c>
      <c r="M1339" s="32" t="e">
        <f ca="1">_xludf.ifna(VLOOKUP(G1339,Proyectos!$A$2:$T$674,20,0),"")</f>
        <v>#NAME?</v>
      </c>
      <c r="N1339" s="32" t="e">
        <f ca="1">_xludf.ifna(VLOOKUP(G1339,Proyectos!$A$2:$S$674,19,0))</f>
        <v>#NAME?</v>
      </c>
      <c r="O1339" s="31"/>
      <c r="P1339" s="31"/>
      <c r="Q1339" s="33"/>
      <c r="R1339" s="33"/>
      <c r="S1339" s="33"/>
      <c r="T1339" s="63">
        <f t="shared" si="12"/>
        <v>1</v>
      </c>
      <c r="U1339" s="33"/>
      <c r="V1339" s="33"/>
      <c r="W1339" s="33"/>
    </row>
    <row r="1340" spans="1:23" ht="16.5" customHeight="1" x14ac:dyDescent="0.25">
      <c r="A1340" s="26" t="s">
        <v>4841</v>
      </c>
      <c r="B1340" s="26" t="s">
        <v>5469</v>
      </c>
      <c r="C1340" s="26" t="s">
        <v>115</v>
      </c>
      <c r="D1340" s="27" t="s">
        <v>116</v>
      </c>
      <c r="E1340" s="27" t="s">
        <v>100</v>
      </c>
      <c r="F1340" s="28" t="e">
        <f ca="1">_xludf.ifna(VLOOKUP(G1340,Proyectos!$A$2:$F$674,6,0),"")</f>
        <v>#NAME?</v>
      </c>
      <c r="G1340" s="76" t="s">
        <v>5237</v>
      </c>
      <c r="H1340" s="96">
        <v>0.3</v>
      </c>
      <c r="I1340" s="31" t="s">
        <v>18</v>
      </c>
      <c r="J1340" s="31" t="s">
        <v>3280</v>
      </c>
      <c r="K1340" s="31"/>
      <c r="L1340" s="32" t="e">
        <f ca="1">_xludf.ifna(VLOOKUP(E1340,Parámetros!$D$2:$E$34,2,0),"")</f>
        <v>#NAME?</v>
      </c>
      <c r="M1340" s="32" t="e">
        <f ca="1">_xludf.ifna(VLOOKUP(G1340,Proyectos!$A$2:$T$674,20,0),"")</f>
        <v>#NAME?</v>
      </c>
      <c r="N1340" s="32" t="e">
        <f ca="1">_xludf.ifna(VLOOKUP(G1340,Proyectos!$A$2:$S$674,19,0))</f>
        <v>#NAME?</v>
      </c>
      <c r="O1340" s="32"/>
      <c r="P1340" s="31"/>
      <c r="Q1340" s="33"/>
      <c r="R1340" s="33"/>
      <c r="S1340" s="33"/>
      <c r="T1340" s="63">
        <f t="shared" si="12"/>
        <v>0</v>
      </c>
      <c r="U1340" s="33"/>
      <c r="V1340" s="33"/>
      <c r="W1340" s="33"/>
    </row>
    <row r="1341" spans="1:23" ht="16.5" customHeight="1" x14ac:dyDescent="0.25">
      <c r="A1341" s="26" t="s">
        <v>4320</v>
      </c>
      <c r="B1341" s="26" t="s">
        <v>4321</v>
      </c>
      <c r="C1341" s="26" t="s">
        <v>115</v>
      </c>
      <c r="D1341" s="27" t="s">
        <v>116</v>
      </c>
      <c r="E1341" s="27" t="s">
        <v>9</v>
      </c>
      <c r="F1341" s="28" t="e">
        <f ca="1">_xludf.ifna(VLOOKUP(G1341,Proyectos!$A$2:$F$674,6,0),"")</f>
        <v>#NAME?</v>
      </c>
      <c r="G1341" s="76" t="s">
        <v>5470</v>
      </c>
      <c r="H1341" s="96">
        <v>0.1</v>
      </c>
      <c r="I1341" s="31" t="s">
        <v>18</v>
      </c>
      <c r="J1341" s="31" t="s">
        <v>12</v>
      </c>
      <c r="K1341" s="31"/>
      <c r="L1341" s="32" t="e">
        <f ca="1">_xludf.ifna(VLOOKUP(E1341,Parámetros!$D$2:$E$34,2,0),"")</f>
        <v>#NAME?</v>
      </c>
      <c r="M1341" s="32" t="e">
        <f ca="1">_xludf.ifna(VLOOKUP(G1341,Proyectos!$A$2:$T$674,20,0),"")</f>
        <v>#NAME?</v>
      </c>
      <c r="N1341" s="32" t="e">
        <f ca="1">_xludf.ifna(VLOOKUP(G1341,Proyectos!$A$2:$S$674,19,0))</f>
        <v>#NAME?</v>
      </c>
      <c r="O1341" s="32"/>
      <c r="P1341" s="31"/>
      <c r="Q1341" s="33"/>
      <c r="R1341" s="33"/>
      <c r="S1341" s="33"/>
      <c r="T1341" s="63">
        <f t="shared" si="12"/>
        <v>1</v>
      </c>
      <c r="U1341" s="33"/>
      <c r="V1341" s="33"/>
      <c r="W1341" s="33"/>
    </row>
    <row r="1342" spans="1:23" ht="16.5" customHeight="1" x14ac:dyDescent="0.25">
      <c r="A1342" s="26" t="s">
        <v>4320</v>
      </c>
      <c r="B1342" s="26" t="s">
        <v>4321</v>
      </c>
      <c r="C1342" s="26" t="s">
        <v>115</v>
      </c>
      <c r="D1342" s="27" t="s">
        <v>116</v>
      </c>
      <c r="E1342" s="27" t="s">
        <v>9</v>
      </c>
      <c r="F1342" s="28" t="e">
        <f ca="1">_xludf.ifna(VLOOKUP(G1342,Proyectos!$A$2:$F$674,6,0),"")</f>
        <v>#NAME?</v>
      </c>
      <c r="G1342" s="76" t="s">
        <v>5235</v>
      </c>
      <c r="H1342" s="96">
        <v>0.7</v>
      </c>
      <c r="I1342" s="31" t="s">
        <v>18</v>
      </c>
      <c r="J1342" s="31" t="s">
        <v>12</v>
      </c>
      <c r="K1342" s="31"/>
      <c r="L1342" s="32" t="e">
        <f ca="1">_xludf.ifna(VLOOKUP(E1342,Parámetros!$D$2:$E$34,2,0),"")</f>
        <v>#NAME?</v>
      </c>
      <c r="M1342" s="32" t="e">
        <f ca="1">_xludf.ifna(VLOOKUP(G1342,Proyectos!$A$2:$T$674,20,0),"")</f>
        <v>#NAME?</v>
      </c>
      <c r="N1342" s="32" t="e">
        <f ca="1">_xludf.ifna(VLOOKUP(G1342,Proyectos!$A$2:$S$674,19,0))</f>
        <v>#NAME?</v>
      </c>
      <c r="O1342" s="31"/>
      <c r="P1342" s="31"/>
      <c r="Q1342" s="33"/>
      <c r="R1342" s="33"/>
      <c r="S1342" s="33"/>
      <c r="T1342" s="63">
        <f t="shared" si="12"/>
        <v>0</v>
      </c>
      <c r="U1342" s="33"/>
      <c r="V1342" s="33"/>
      <c r="W1342" s="33"/>
    </row>
    <row r="1343" spans="1:23" ht="16.5" customHeight="1" x14ac:dyDescent="0.25">
      <c r="A1343" s="26" t="s">
        <v>4320</v>
      </c>
      <c r="B1343" s="26" t="s">
        <v>4321</v>
      </c>
      <c r="C1343" s="26" t="s">
        <v>115</v>
      </c>
      <c r="D1343" s="27" t="s">
        <v>116</v>
      </c>
      <c r="E1343" s="27" t="s">
        <v>9</v>
      </c>
      <c r="F1343" s="28" t="e">
        <f ca="1">_xludf.ifna(VLOOKUP(G1343,Proyectos!$A$2:$F$674,6,0),"")</f>
        <v>#NAME?</v>
      </c>
      <c r="G1343" s="76" t="s">
        <v>5237</v>
      </c>
      <c r="H1343" s="96">
        <v>0.2</v>
      </c>
      <c r="I1343" s="31" t="s">
        <v>18</v>
      </c>
      <c r="J1343" s="31" t="s">
        <v>12</v>
      </c>
      <c r="K1343" s="31"/>
      <c r="L1343" s="32" t="e">
        <f ca="1">_xludf.ifna(VLOOKUP(E1343,Parámetros!$D$2:$E$34,2,0),"")</f>
        <v>#NAME?</v>
      </c>
      <c r="M1343" s="32" t="e">
        <f ca="1">_xludf.ifna(VLOOKUP(G1343,Proyectos!$A$2:$T$674,20,0),"")</f>
        <v>#NAME?</v>
      </c>
      <c r="N1343" s="32" t="e">
        <f ca="1">_xludf.ifna(VLOOKUP(G1343,Proyectos!$A$2:$S$674,19,0))</f>
        <v>#NAME?</v>
      </c>
      <c r="O1343" s="32"/>
      <c r="P1343" s="31"/>
      <c r="Q1343" s="33"/>
      <c r="R1343" s="33"/>
      <c r="S1343" s="33"/>
      <c r="T1343" s="63">
        <f t="shared" si="12"/>
        <v>0</v>
      </c>
      <c r="U1343" s="33"/>
      <c r="V1343" s="33"/>
      <c r="W1343" s="33"/>
    </row>
    <row r="1344" spans="1:23" ht="16.5" customHeight="1" x14ac:dyDescent="0.25">
      <c r="A1344" s="26" t="s">
        <v>4922</v>
      </c>
      <c r="B1344" s="26" t="s">
        <v>4923</v>
      </c>
      <c r="C1344" s="26" t="s">
        <v>115</v>
      </c>
      <c r="D1344" s="27" t="s">
        <v>116</v>
      </c>
      <c r="E1344" s="27" t="s">
        <v>83</v>
      </c>
      <c r="F1344" s="28" t="e">
        <f ca="1">_xludf.ifna(VLOOKUP(G1344,Proyectos!$A$2:$F$674,6,0),"")</f>
        <v>#NAME?</v>
      </c>
      <c r="G1344" s="76" t="s">
        <v>5471</v>
      </c>
      <c r="H1344" s="96">
        <v>1</v>
      </c>
      <c r="I1344" s="31" t="s">
        <v>25</v>
      </c>
      <c r="J1344" s="31" t="s">
        <v>41</v>
      </c>
      <c r="K1344" s="31"/>
      <c r="L1344" s="32" t="e">
        <f ca="1">_xludf.ifna(VLOOKUP(E1344,Parámetros!$D$2:$E$34,2,0),"")</f>
        <v>#NAME?</v>
      </c>
      <c r="M1344" s="32" t="e">
        <f ca="1">_xludf.ifna(VLOOKUP(G1344,Proyectos!$A$2:$T$674,20,0),"")</f>
        <v>#NAME?</v>
      </c>
      <c r="N1344" s="32" t="e">
        <f ca="1">_xludf.ifna(VLOOKUP(G1344,Proyectos!$A$2:$S$674,19,0))</f>
        <v>#NAME?</v>
      </c>
      <c r="O1344" s="32"/>
      <c r="P1344" s="31"/>
      <c r="Q1344" s="33"/>
      <c r="R1344" s="33"/>
      <c r="S1344" s="33"/>
      <c r="T1344" s="63">
        <f t="shared" si="12"/>
        <v>1</v>
      </c>
      <c r="U1344" s="33"/>
      <c r="V1344" s="33"/>
      <c r="W1344" s="33"/>
    </row>
    <row r="1345" spans="1:23" ht="16.5" customHeight="1" x14ac:dyDescent="0.2">
      <c r="A1345" s="26" t="s">
        <v>5047</v>
      </c>
      <c r="B1345" s="26" t="s">
        <v>5048</v>
      </c>
      <c r="C1345" s="26" t="s">
        <v>115</v>
      </c>
      <c r="D1345" s="27" t="s">
        <v>116</v>
      </c>
      <c r="E1345" s="27" t="s">
        <v>126</v>
      </c>
      <c r="F1345" s="28" t="e">
        <f ca="1">_xludf.ifna(VLOOKUP(G1345,Proyectos!$A$2:$F$674,6,0),"")</f>
        <v>#NAME?</v>
      </c>
      <c r="G1345" s="29" t="s">
        <v>5114</v>
      </c>
      <c r="H1345" s="96">
        <v>1</v>
      </c>
      <c r="I1345" s="31" t="s">
        <v>18</v>
      </c>
      <c r="J1345" s="31" t="s">
        <v>61</v>
      </c>
      <c r="K1345" s="31"/>
      <c r="L1345" s="32" t="e">
        <f ca="1">_xludf.ifna(VLOOKUP(E1345,Parámetros!$D$2:$E$34,2,0),"")</f>
        <v>#NAME?</v>
      </c>
      <c r="M1345" s="32" t="e">
        <f ca="1">_xludf.ifna(VLOOKUP(G1345,Proyectos!$A$2:$T$674,20,0),"")</f>
        <v>#NAME?</v>
      </c>
      <c r="N1345" s="32" t="e">
        <f ca="1">_xludf.ifna(VLOOKUP(G1345,Proyectos!$A$2:$S$674,19,0))</f>
        <v>#NAME?</v>
      </c>
      <c r="O1345" s="32"/>
      <c r="P1345" s="31"/>
      <c r="Q1345" s="33"/>
      <c r="R1345" s="33"/>
      <c r="S1345" s="33"/>
      <c r="T1345" s="63">
        <f t="shared" si="12"/>
        <v>1</v>
      </c>
      <c r="U1345" s="33"/>
      <c r="V1345" s="33"/>
      <c r="W1345" s="33"/>
    </row>
    <row r="1346" spans="1:23" ht="16.5" customHeight="1" x14ac:dyDescent="0.2">
      <c r="A1346" s="26" t="s">
        <v>4499</v>
      </c>
      <c r="B1346" s="26" t="s">
        <v>4500</v>
      </c>
      <c r="C1346" s="26" t="s">
        <v>115</v>
      </c>
      <c r="D1346" s="27" t="s">
        <v>116</v>
      </c>
      <c r="E1346" s="27" t="s">
        <v>108</v>
      </c>
      <c r="F1346" s="28" t="e">
        <f ca="1">_xludf.ifna(VLOOKUP(G1346,Proyectos!$A$2:$F$674,6,0),"")</f>
        <v>#NAME?</v>
      </c>
      <c r="G1346" s="29" t="s">
        <v>5114</v>
      </c>
      <c r="H1346" s="96">
        <v>1</v>
      </c>
      <c r="I1346" s="31" t="s">
        <v>25</v>
      </c>
      <c r="J1346" s="31" t="s">
        <v>61</v>
      </c>
      <c r="K1346" s="31"/>
      <c r="L1346" s="32" t="e">
        <f ca="1">_xludf.ifna(VLOOKUP(E1346,Parámetros!$D$2:$E$34,2,0),"")</f>
        <v>#NAME?</v>
      </c>
      <c r="M1346" s="32" t="e">
        <f ca="1">_xludf.ifna(VLOOKUP(G1346,Proyectos!$A$2:$T$674,20,0),"")</f>
        <v>#NAME?</v>
      </c>
      <c r="N1346" s="32" t="e">
        <f ca="1">_xludf.ifna(VLOOKUP(G1346,Proyectos!$A$2:$S$674,19,0))</f>
        <v>#NAME?</v>
      </c>
      <c r="O1346" s="32"/>
      <c r="P1346" s="31"/>
      <c r="Q1346" s="33"/>
      <c r="R1346" s="33"/>
      <c r="S1346" s="33"/>
      <c r="T1346" s="63">
        <f t="shared" si="12"/>
        <v>1</v>
      </c>
      <c r="U1346" s="33"/>
      <c r="V1346" s="33"/>
      <c r="W1346" s="33"/>
    </row>
    <row r="1347" spans="1:23" ht="16.5" customHeight="1" x14ac:dyDescent="0.25">
      <c r="A1347" s="26" t="s">
        <v>4433</v>
      </c>
      <c r="B1347" s="26" t="s">
        <v>4434</v>
      </c>
      <c r="C1347" s="26" t="s">
        <v>115</v>
      </c>
      <c r="D1347" s="27" t="s">
        <v>116</v>
      </c>
      <c r="E1347" s="27" t="s">
        <v>83</v>
      </c>
      <c r="F1347" s="28" t="e">
        <f ca="1">_xludf.ifna(VLOOKUP(G1347,Proyectos!$A$2:$F$674,6,0),"")</f>
        <v>#NAME?</v>
      </c>
      <c r="G1347" s="76" t="s">
        <v>5314</v>
      </c>
      <c r="H1347" s="96">
        <v>0.5</v>
      </c>
      <c r="I1347" s="31" t="s">
        <v>25</v>
      </c>
      <c r="J1347" s="31" t="s">
        <v>41</v>
      </c>
      <c r="K1347" s="31"/>
      <c r="L1347" s="32" t="e">
        <f ca="1">_xludf.ifna(VLOOKUP(E1347,Parámetros!$D$2:$E$34,2,0),"")</f>
        <v>#NAME?</v>
      </c>
      <c r="M1347" s="32" t="e">
        <f ca="1">_xludf.ifna(VLOOKUP(G1347,Proyectos!$A$2:$T$674,20,0),"")</f>
        <v>#NAME?</v>
      </c>
      <c r="N1347" s="32" t="e">
        <f ca="1">_xludf.ifna(VLOOKUP(G1347,Proyectos!$A$2:$S$674,19,0))</f>
        <v>#NAME?</v>
      </c>
      <c r="O1347" s="31"/>
      <c r="P1347" s="31"/>
      <c r="Q1347" s="33"/>
      <c r="R1347" s="33"/>
      <c r="S1347" s="33"/>
      <c r="T1347" s="63">
        <f t="shared" si="12"/>
        <v>1</v>
      </c>
      <c r="U1347" s="33"/>
      <c r="V1347" s="33"/>
      <c r="W1347" s="33"/>
    </row>
    <row r="1348" spans="1:23" ht="16.5" customHeight="1" x14ac:dyDescent="0.25">
      <c r="A1348" s="26" t="s">
        <v>4433</v>
      </c>
      <c r="B1348" s="26" t="s">
        <v>4434</v>
      </c>
      <c r="C1348" s="26" t="s">
        <v>115</v>
      </c>
      <c r="D1348" s="27" t="s">
        <v>116</v>
      </c>
      <c r="E1348" s="27" t="s">
        <v>83</v>
      </c>
      <c r="F1348" s="28" t="e">
        <f ca="1">_xludf.ifna(VLOOKUP(G1348,Proyectos!$A$2:$F$674,6,0),"")</f>
        <v>#NAME?</v>
      </c>
      <c r="G1348" s="76" t="s">
        <v>5237</v>
      </c>
      <c r="H1348" s="96">
        <v>0.5</v>
      </c>
      <c r="I1348" s="31" t="s">
        <v>25</v>
      </c>
      <c r="J1348" s="31" t="s">
        <v>41</v>
      </c>
      <c r="K1348" s="31"/>
      <c r="L1348" s="32" t="e">
        <f ca="1">_xludf.ifna(VLOOKUP(E1348,Parámetros!$D$2:$E$34,2,0),"")</f>
        <v>#NAME?</v>
      </c>
      <c r="M1348" s="32" t="e">
        <f ca="1">_xludf.ifna(VLOOKUP(G1348,Proyectos!$A$2:$T$674,20,0),"")</f>
        <v>#NAME?</v>
      </c>
      <c r="N1348" s="32" t="e">
        <f ca="1">_xludf.ifna(VLOOKUP(G1348,Proyectos!$A$2:$S$674,19,0))</f>
        <v>#NAME?</v>
      </c>
      <c r="O1348" s="32"/>
      <c r="P1348" s="31"/>
      <c r="Q1348" s="33"/>
      <c r="R1348" s="33"/>
      <c r="S1348" s="33"/>
      <c r="T1348" s="63">
        <f t="shared" si="12"/>
        <v>0</v>
      </c>
      <c r="U1348" s="33"/>
      <c r="V1348" s="33"/>
      <c r="W1348" s="33"/>
    </row>
    <row r="1349" spans="1:23" ht="16.5" customHeight="1" x14ac:dyDescent="0.25">
      <c r="A1349" s="26" t="s">
        <v>4829</v>
      </c>
      <c r="B1349" s="26" t="s">
        <v>4830</v>
      </c>
      <c r="C1349" s="26" t="s">
        <v>115</v>
      </c>
      <c r="D1349" s="27" t="s">
        <v>116</v>
      </c>
      <c r="E1349" s="27" t="s">
        <v>83</v>
      </c>
      <c r="F1349" s="28" t="e">
        <f ca="1">_xludf.ifna(VLOOKUP(G1349,Proyectos!$A$2:$F$674,6,0),"")</f>
        <v>#NAME?</v>
      </c>
      <c r="G1349" s="76" t="s">
        <v>5472</v>
      </c>
      <c r="H1349" s="96">
        <v>1</v>
      </c>
      <c r="I1349" s="31" t="s">
        <v>25</v>
      </c>
      <c r="J1349" s="31" t="s">
        <v>61</v>
      </c>
      <c r="K1349" s="31"/>
      <c r="L1349" s="32" t="e">
        <f ca="1">_xludf.ifna(VLOOKUP(E1349,Parámetros!$D$2:$E$34,2,0),"")</f>
        <v>#NAME?</v>
      </c>
      <c r="M1349" s="32" t="e">
        <f ca="1">_xludf.ifna(VLOOKUP(G1349,Proyectos!$A$2:$T$674,20,0),"")</f>
        <v>#NAME?</v>
      </c>
      <c r="N1349" s="32" t="e">
        <f ca="1">_xludf.ifna(VLOOKUP(G1349,Proyectos!$A$2:$S$674,19,0))</f>
        <v>#NAME?</v>
      </c>
      <c r="O1349" s="32"/>
      <c r="P1349" s="31"/>
      <c r="Q1349" s="33"/>
      <c r="R1349" s="33"/>
      <c r="S1349" s="33"/>
      <c r="T1349" s="63">
        <f t="shared" si="12"/>
        <v>1</v>
      </c>
      <c r="U1349" s="33"/>
      <c r="V1349" s="33"/>
      <c r="W1349" s="33"/>
    </row>
    <row r="1350" spans="1:23" ht="16.5" customHeight="1" x14ac:dyDescent="0.25">
      <c r="A1350" s="26" t="s">
        <v>4825</v>
      </c>
      <c r="B1350" s="26" t="s">
        <v>4826</v>
      </c>
      <c r="C1350" s="26" t="s">
        <v>115</v>
      </c>
      <c r="D1350" s="27" t="s">
        <v>116</v>
      </c>
      <c r="E1350" s="27" t="s">
        <v>9</v>
      </c>
      <c r="F1350" s="28" t="e">
        <f ca="1">_xludf.ifna(VLOOKUP(G1350,Proyectos!$A$2:$F$674,6,0),"")</f>
        <v>#NAME?</v>
      </c>
      <c r="G1350" s="76" t="s">
        <v>5470</v>
      </c>
      <c r="H1350" s="96">
        <v>1</v>
      </c>
      <c r="I1350" s="31" t="s">
        <v>18</v>
      </c>
      <c r="J1350" s="31" t="s">
        <v>3280</v>
      </c>
      <c r="K1350" s="31"/>
      <c r="L1350" s="32" t="e">
        <f ca="1">_xludf.ifna(VLOOKUP(E1350,Parámetros!$D$2:$E$34,2,0),"")</f>
        <v>#NAME?</v>
      </c>
      <c r="M1350" s="32" t="e">
        <f ca="1">_xludf.ifna(VLOOKUP(G1350,Proyectos!$A$2:$T$674,20,0),"")</f>
        <v>#NAME?</v>
      </c>
      <c r="N1350" s="32" t="e">
        <f ca="1">_xludf.ifna(VLOOKUP(G1350,Proyectos!$A$2:$S$674,19,0))</f>
        <v>#NAME?</v>
      </c>
      <c r="O1350" s="31"/>
      <c r="P1350" s="31"/>
      <c r="Q1350" s="33"/>
      <c r="R1350" s="33"/>
      <c r="S1350" s="33"/>
      <c r="T1350" s="63">
        <f t="shared" si="12"/>
        <v>1</v>
      </c>
      <c r="U1350" s="33"/>
      <c r="V1350" s="33"/>
      <c r="W1350" s="33"/>
    </row>
    <row r="1351" spans="1:23" ht="16.5" customHeight="1" x14ac:dyDescent="0.25">
      <c r="A1351" s="26" t="s">
        <v>4695</v>
      </c>
      <c r="B1351" s="26" t="s">
        <v>4696</v>
      </c>
      <c r="C1351" s="26" t="s">
        <v>115</v>
      </c>
      <c r="D1351" s="27" t="s">
        <v>116</v>
      </c>
      <c r="E1351" s="27" t="s">
        <v>39</v>
      </c>
      <c r="F1351" s="28" t="e">
        <f ca="1">_xludf.ifna(VLOOKUP(G1351,Proyectos!$A$2:$F$674,6,0),"")</f>
        <v>#NAME?</v>
      </c>
      <c r="G1351" s="76" t="s">
        <v>5472</v>
      </c>
      <c r="H1351" s="96">
        <v>0.1</v>
      </c>
      <c r="I1351" s="31" t="s">
        <v>11</v>
      </c>
      <c r="J1351" s="31" t="s">
        <v>61</v>
      </c>
      <c r="K1351" s="31"/>
      <c r="L1351" s="32" t="e">
        <f ca="1">_xludf.ifna(VLOOKUP(E1351,Parámetros!$D$2:$E$34,2,0),"")</f>
        <v>#NAME?</v>
      </c>
      <c r="M1351" s="32" t="e">
        <f ca="1">_xludf.ifna(VLOOKUP(G1351,Proyectos!$A$2:$T$674,20,0),"")</f>
        <v>#NAME?</v>
      </c>
      <c r="N1351" s="32" t="e">
        <f ca="1">_xludf.ifna(VLOOKUP(G1351,Proyectos!$A$2:$S$674,19,0))</f>
        <v>#NAME?</v>
      </c>
      <c r="O1351" s="31"/>
      <c r="P1351" s="31"/>
      <c r="Q1351" s="33"/>
      <c r="R1351" s="33"/>
      <c r="S1351" s="33"/>
      <c r="T1351" s="63">
        <f t="shared" si="12"/>
        <v>1</v>
      </c>
      <c r="U1351" s="33"/>
      <c r="V1351" s="33"/>
      <c r="W1351" s="33"/>
    </row>
    <row r="1352" spans="1:23" ht="16.5" customHeight="1" x14ac:dyDescent="0.25">
      <c r="A1352" s="26" t="s">
        <v>4695</v>
      </c>
      <c r="B1352" s="26" t="s">
        <v>4696</v>
      </c>
      <c r="C1352" s="26" t="s">
        <v>115</v>
      </c>
      <c r="D1352" s="27" t="s">
        <v>116</v>
      </c>
      <c r="E1352" s="27" t="s">
        <v>39</v>
      </c>
      <c r="F1352" s="28" t="e">
        <f ca="1">_xludf.ifna(VLOOKUP(G1352,Proyectos!$A$2:$F$674,6,0),"")</f>
        <v>#NAME?</v>
      </c>
      <c r="G1352" s="76" t="s">
        <v>5112</v>
      </c>
      <c r="H1352" s="96">
        <v>0.05</v>
      </c>
      <c r="I1352" s="31" t="s">
        <v>11</v>
      </c>
      <c r="J1352" s="31" t="s">
        <v>72</v>
      </c>
      <c r="K1352" s="31"/>
      <c r="L1352" s="32" t="e">
        <f ca="1">_xludf.ifna(VLOOKUP(E1352,Parámetros!$D$2:$E$34,2,0),"")</f>
        <v>#NAME?</v>
      </c>
      <c r="M1352" s="32" t="e">
        <f ca="1">_xludf.ifna(VLOOKUP(G1352,Proyectos!$A$2:$T$674,20,0),"")</f>
        <v>#NAME?</v>
      </c>
      <c r="N1352" s="32" t="e">
        <f ca="1">_xludf.ifna(VLOOKUP(G1352,Proyectos!$A$2:$S$674,19,0))</f>
        <v>#NAME?</v>
      </c>
      <c r="O1352" s="31"/>
      <c r="P1352" s="31"/>
      <c r="Q1352" s="33"/>
      <c r="R1352" s="33"/>
      <c r="S1352" s="33"/>
      <c r="T1352" s="63">
        <f t="shared" si="12"/>
        <v>0</v>
      </c>
      <c r="U1352" s="33"/>
      <c r="V1352" s="33"/>
      <c r="W1352" s="33"/>
    </row>
    <row r="1353" spans="1:23" ht="16.5" customHeight="1" x14ac:dyDescent="0.25">
      <c r="A1353" s="26" t="s">
        <v>4695</v>
      </c>
      <c r="B1353" s="26" t="s">
        <v>4696</v>
      </c>
      <c r="C1353" s="26" t="s">
        <v>115</v>
      </c>
      <c r="D1353" s="27" t="s">
        <v>116</v>
      </c>
      <c r="E1353" s="27" t="s">
        <v>39</v>
      </c>
      <c r="F1353" s="28" t="e">
        <f ca="1">_xludf.ifna(VLOOKUP(G1353,Proyectos!$A$2:$F$674,6,0),"")</f>
        <v>#NAME?</v>
      </c>
      <c r="G1353" s="76" t="s">
        <v>5117</v>
      </c>
      <c r="H1353" s="96">
        <v>0.05</v>
      </c>
      <c r="I1353" s="31" t="s">
        <v>11</v>
      </c>
      <c r="J1353" s="31" t="s">
        <v>72</v>
      </c>
      <c r="K1353" s="31"/>
      <c r="L1353" s="32" t="e">
        <f ca="1">_xludf.ifna(VLOOKUP(E1353,Parámetros!$D$2:$E$34,2,0),"")</f>
        <v>#NAME?</v>
      </c>
      <c r="M1353" s="32" t="e">
        <f ca="1">_xludf.ifna(VLOOKUP(G1353,Proyectos!$A$2:$T$674,20,0),"")</f>
        <v>#NAME?</v>
      </c>
      <c r="N1353" s="32" t="e">
        <f ca="1">_xludf.ifna(VLOOKUP(G1353,Proyectos!$A$2:$S$674,19,0))</f>
        <v>#NAME?</v>
      </c>
      <c r="O1353" s="32"/>
      <c r="P1353" s="31"/>
      <c r="Q1353" s="33"/>
      <c r="R1353" s="33"/>
      <c r="S1353" s="33"/>
      <c r="T1353" s="63">
        <f t="shared" si="12"/>
        <v>0</v>
      </c>
      <c r="U1353" s="33"/>
      <c r="V1353" s="33"/>
      <c r="W1353" s="33"/>
    </row>
    <row r="1354" spans="1:23" ht="16.5" customHeight="1" x14ac:dyDescent="0.25">
      <c r="A1354" s="26" t="s">
        <v>4695</v>
      </c>
      <c r="B1354" s="26" t="s">
        <v>4696</v>
      </c>
      <c r="C1354" s="26" t="s">
        <v>115</v>
      </c>
      <c r="D1354" s="27" t="s">
        <v>116</v>
      </c>
      <c r="E1354" s="27" t="s">
        <v>39</v>
      </c>
      <c r="F1354" s="28" t="e">
        <f ca="1">_xludf.ifna(VLOOKUP(G1354,Proyectos!$A$2:$F$674,6,0),"")</f>
        <v>#NAME?</v>
      </c>
      <c r="G1354" s="76" t="s">
        <v>5468</v>
      </c>
      <c r="H1354" s="96">
        <v>0.15</v>
      </c>
      <c r="I1354" s="31" t="s">
        <v>11</v>
      </c>
      <c r="J1354" s="31" t="s">
        <v>72</v>
      </c>
      <c r="K1354" s="31"/>
      <c r="L1354" s="32" t="e">
        <f ca="1">_xludf.ifna(VLOOKUP(E1354,Parámetros!$D$2:$E$34,2,0),"")</f>
        <v>#NAME?</v>
      </c>
      <c r="M1354" s="32" t="e">
        <f ca="1">_xludf.ifna(VLOOKUP(G1354,Proyectos!$A$2:$T$674,20,0),"")</f>
        <v>#NAME?</v>
      </c>
      <c r="N1354" s="32" t="e">
        <f ca="1">_xludf.ifna(VLOOKUP(G1354,Proyectos!$A$2:$S$674,19,0))</f>
        <v>#NAME?</v>
      </c>
      <c r="O1354" s="32"/>
      <c r="P1354" s="31"/>
      <c r="Q1354" s="33"/>
      <c r="R1354" s="33"/>
      <c r="S1354" s="33"/>
      <c r="T1354" s="63">
        <f t="shared" si="12"/>
        <v>0</v>
      </c>
      <c r="U1354" s="33"/>
      <c r="V1354" s="33"/>
      <c r="W1354" s="33"/>
    </row>
    <row r="1355" spans="1:23" ht="16.5" customHeight="1" x14ac:dyDescent="0.25">
      <c r="A1355" s="26" t="s">
        <v>4695</v>
      </c>
      <c r="B1355" s="26" t="s">
        <v>4696</v>
      </c>
      <c r="C1355" s="26" t="s">
        <v>115</v>
      </c>
      <c r="D1355" s="27" t="s">
        <v>116</v>
      </c>
      <c r="E1355" s="27" t="s">
        <v>39</v>
      </c>
      <c r="F1355" s="28" t="e">
        <f ca="1">_xludf.ifna(VLOOKUP(G1355,Proyectos!$A$2:$F$674,6,0),"")</f>
        <v>#NAME?</v>
      </c>
      <c r="G1355" s="76" t="s">
        <v>5473</v>
      </c>
      <c r="H1355" s="96">
        <v>0.05</v>
      </c>
      <c r="I1355" s="31" t="s">
        <v>11</v>
      </c>
      <c r="J1355" s="31" t="s">
        <v>72</v>
      </c>
      <c r="K1355" s="31"/>
      <c r="L1355" s="32" t="e">
        <f ca="1">_xludf.ifna(VLOOKUP(E1355,Parámetros!$D$2:$E$34,2,0),"")</f>
        <v>#NAME?</v>
      </c>
      <c r="M1355" s="32" t="e">
        <f ca="1">_xludf.ifna(VLOOKUP(G1355,Proyectos!$A$2:$T$674,20,0),"")</f>
        <v>#NAME?</v>
      </c>
      <c r="N1355" s="32" t="e">
        <f ca="1">_xludf.ifna(VLOOKUP(G1355,Proyectos!$A$2:$S$674,19,0))</f>
        <v>#NAME?</v>
      </c>
      <c r="O1355" s="32"/>
      <c r="P1355" s="31"/>
      <c r="Q1355" s="33"/>
      <c r="R1355" s="33"/>
      <c r="S1355" s="33"/>
      <c r="T1355" s="63">
        <f t="shared" si="12"/>
        <v>0</v>
      </c>
      <c r="U1355" s="33"/>
      <c r="V1355" s="33"/>
      <c r="W1355" s="33"/>
    </row>
    <row r="1356" spans="1:23" ht="16.5" customHeight="1" x14ac:dyDescent="0.25">
      <c r="A1356" s="26" t="s">
        <v>4695</v>
      </c>
      <c r="B1356" s="26" t="s">
        <v>4696</v>
      </c>
      <c r="C1356" s="26" t="s">
        <v>115</v>
      </c>
      <c r="D1356" s="27" t="s">
        <v>116</v>
      </c>
      <c r="E1356" s="27" t="s">
        <v>39</v>
      </c>
      <c r="F1356" s="28" t="e">
        <f ca="1">_xludf.ifna(VLOOKUP(G1356,Proyectos!$A$2:$F$674,6,0),"")</f>
        <v>#NAME?</v>
      </c>
      <c r="G1356" s="76" t="s">
        <v>5474</v>
      </c>
      <c r="H1356" s="96">
        <v>0.2</v>
      </c>
      <c r="I1356" s="31" t="s">
        <v>11</v>
      </c>
      <c r="J1356" s="31" t="s">
        <v>72</v>
      </c>
      <c r="K1356" s="31"/>
      <c r="L1356" s="32" t="e">
        <f ca="1">_xludf.ifna(VLOOKUP(E1356,Parámetros!$D$2:$E$34,2,0),"")</f>
        <v>#NAME?</v>
      </c>
      <c r="M1356" s="32" t="e">
        <f ca="1">_xludf.ifna(VLOOKUP(G1356,Proyectos!$A$2:$T$674,20,0),"")</f>
        <v>#NAME?</v>
      </c>
      <c r="N1356" s="32" t="e">
        <f ca="1">_xludf.ifna(VLOOKUP(G1356,Proyectos!$A$2:$S$674,19,0))</f>
        <v>#NAME?</v>
      </c>
      <c r="O1356" s="31"/>
      <c r="P1356" s="31"/>
      <c r="Q1356" s="33"/>
      <c r="R1356" s="33"/>
      <c r="S1356" s="33"/>
      <c r="T1356" s="63">
        <f t="shared" si="12"/>
        <v>0</v>
      </c>
      <c r="U1356" s="33"/>
      <c r="V1356" s="33"/>
      <c r="W1356" s="33"/>
    </row>
    <row r="1357" spans="1:23" ht="16.5" customHeight="1" x14ac:dyDescent="0.25">
      <c r="A1357" s="26" t="s">
        <v>4695</v>
      </c>
      <c r="B1357" s="26" t="s">
        <v>4696</v>
      </c>
      <c r="C1357" s="26" t="s">
        <v>115</v>
      </c>
      <c r="D1357" s="27" t="s">
        <v>116</v>
      </c>
      <c r="E1357" s="27" t="s">
        <v>39</v>
      </c>
      <c r="F1357" s="28" t="e">
        <f ca="1">_xludf.ifna(VLOOKUP(G1357,Proyectos!$A$2:$F$674,6,0),"")</f>
        <v>#NAME?</v>
      </c>
      <c r="G1357" s="76" t="s">
        <v>5475</v>
      </c>
      <c r="H1357" s="96">
        <v>0.15</v>
      </c>
      <c r="I1357" s="31" t="s">
        <v>11</v>
      </c>
      <c r="J1357" s="31" t="s">
        <v>72</v>
      </c>
      <c r="K1357" s="31"/>
      <c r="L1357" s="32" t="e">
        <f ca="1">_xludf.ifna(VLOOKUP(E1357,Parámetros!$D$2:$E$34,2,0),"")</f>
        <v>#NAME?</v>
      </c>
      <c r="M1357" s="32" t="e">
        <f ca="1">_xludf.ifna(VLOOKUP(G1357,Proyectos!$A$2:$T$674,20,0),"")</f>
        <v>#NAME?</v>
      </c>
      <c r="N1357" s="32" t="e">
        <f ca="1">_xludf.ifna(VLOOKUP(G1357,Proyectos!$A$2:$S$674,19,0))</f>
        <v>#NAME?</v>
      </c>
      <c r="O1357" s="31"/>
      <c r="P1357" s="31"/>
      <c r="Q1357" s="33"/>
      <c r="R1357" s="33"/>
      <c r="S1357" s="33"/>
      <c r="T1357" s="63">
        <f t="shared" si="12"/>
        <v>0</v>
      </c>
      <c r="U1357" s="33"/>
      <c r="V1357" s="33"/>
      <c r="W1357" s="33"/>
    </row>
    <row r="1358" spans="1:23" ht="16.5" customHeight="1" x14ac:dyDescent="0.25">
      <c r="A1358" s="26" t="s">
        <v>4695</v>
      </c>
      <c r="B1358" s="26" t="s">
        <v>4696</v>
      </c>
      <c r="C1358" s="26" t="s">
        <v>115</v>
      </c>
      <c r="D1358" s="27" t="s">
        <v>116</v>
      </c>
      <c r="E1358" s="27" t="s">
        <v>39</v>
      </c>
      <c r="F1358" s="28" t="e">
        <f ca="1">_xludf.ifna(VLOOKUP(G1358,Proyectos!$A$2:$F$674,6,0),"")</f>
        <v>#NAME?</v>
      </c>
      <c r="G1358" s="76" t="s">
        <v>5476</v>
      </c>
      <c r="H1358" s="96">
        <v>0.1</v>
      </c>
      <c r="I1358" s="31" t="s">
        <v>11</v>
      </c>
      <c r="J1358" s="31" t="s">
        <v>72</v>
      </c>
      <c r="K1358" s="31"/>
      <c r="L1358" s="32" t="e">
        <f ca="1">_xludf.ifna(VLOOKUP(E1358,Parámetros!$D$2:$E$34,2,0),"")</f>
        <v>#NAME?</v>
      </c>
      <c r="M1358" s="32" t="e">
        <f ca="1">_xludf.ifna(VLOOKUP(G1358,Proyectos!$A$2:$T$674,20,0),"")</f>
        <v>#NAME?</v>
      </c>
      <c r="N1358" s="32" t="e">
        <f ca="1">_xludf.ifna(VLOOKUP(G1358,Proyectos!$A$2:$S$674,19,0))</f>
        <v>#NAME?</v>
      </c>
      <c r="O1358" s="32"/>
      <c r="P1358" s="31"/>
      <c r="Q1358" s="33"/>
      <c r="R1358" s="33"/>
      <c r="S1358" s="33"/>
      <c r="T1358" s="63">
        <f t="shared" si="12"/>
        <v>0</v>
      </c>
      <c r="U1358" s="33"/>
      <c r="V1358" s="33"/>
      <c r="W1358" s="33"/>
    </row>
    <row r="1359" spans="1:23" ht="16.5" customHeight="1" x14ac:dyDescent="0.25">
      <c r="A1359" s="26" t="s">
        <v>4695</v>
      </c>
      <c r="B1359" s="26" t="s">
        <v>4696</v>
      </c>
      <c r="C1359" s="26" t="s">
        <v>115</v>
      </c>
      <c r="D1359" s="27" t="s">
        <v>116</v>
      </c>
      <c r="E1359" s="27" t="s">
        <v>39</v>
      </c>
      <c r="F1359" s="28" t="e">
        <f ca="1">_xludf.ifna(VLOOKUP(G1359,Proyectos!$A$2:$F$674,6,0),"")</f>
        <v>#NAME?</v>
      </c>
      <c r="G1359" s="76" t="s">
        <v>5190</v>
      </c>
      <c r="H1359" s="96">
        <v>0.05</v>
      </c>
      <c r="I1359" s="31" t="s">
        <v>11</v>
      </c>
      <c r="J1359" s="31" t="s">
        <v>72</v>
      </c>
      <c r="K1359" s="31"/>
      <c r="L1359" s="32" t="e">
        <f ca="1">_xludf.ifna(VLOOKUP(E1359,Parámetros!$D$2:$E$34,2,0),"")</f>
        <v>#NAME?</v>
      </c>
      <c r="M1359" s="32" t="e">
        <f ca="1">_xludf.ifna(VLOOKUP(G1359,Proyectos!$A$2:$T$674,20,0),"")</f>
        <v>#NAME?</v>
      </c>
      <c r="N1359" s="32" t="e">
        <f ca="1">_xludf.ifna(VLOOKUP(G1359,Proyectos!$A$2:$S$674,19,0))</f>
        <v>#NAME?</v>
      </c>
      <c r="O1359" s="32"/>
      <c r="P1359" s="31"/>
      <c r="Q1359" s="33"/>
      <c r="R1359" s="33"/>
      <c r="S1359" s="33"/>
      <c r="T1359" s="63">
        <f t="shared" si="12"/>
        <v>0</v>
      </c>
      <c r="U1359" s="33"/>
      <c r="V1359" s="33"/>
      <c r="W1359" s="33"/>
    </row>
    <row r="1360" spans="1:23" ht="16.5" customHeight="1" x14ac:dyDescent="0.2">
      <c r="A1360" s="26" t="s">
        <v>4695</v>
      </c>
      <c r="B1360" s="26" t="s">
        <v>4696</v>
      </c>
      <c r="C1360" s="26" t="s">
        <v>115</v>
      </c>
      <c r="D1360" s="27" t="s">
        <v>116</v>
      </c>
      <c r="E1360" s="27" t="s">
        <v>39</v>
      </c>
      <c r="F1360" s="28" t="e">
        <f ca="1">_xludf.ifna(VLOOKUP(G1360,Proyectos!$A$2:$F$674,6,0),"")</f>
        <v>#NAME?</v>
      </c>
      <c r="G1360" s="29" t="s">
        <v>5114</v>
      </c>
      <c r="H1360" s="97">
        <v>0.1</v>
      </c>
      <c r="I1360" s="31" t="s">
        <v>11</v>
      </c>
      <c r="J1360" s="31" t="s">
        <v>72</v>
      </c>
      <c r="K1360" s="31"/>
      <c r="L1360" s="32" t="e">
        <f ca="1">_xludf.ifna(VLOOKUP(E1360,Parámetros!$D$2:$E$34,2,0),"")</f>
        <v>#NAME?</v>
      </c>
      <c r="M1360" s="32" t="e">
        <f ca="1">_xludf.ifna(VLOOKUP(G1360,Proyectos!$A$2:$T$674,20,0),"")</f>
        <v>#NAME?</v>
      </c>
      <c r="N1360" s="32" t="e">
        <f ca="1">_xludf.ifna(VLOOKUP(G1360,Proyectos!$A$2:$S$674,19,0))</f>
        <v>#NAME?</v>
      </c>
      <c r="O1360" s="32"/>
      <c r="P1360" s="31"/>
      <c r="Q1360" s="33"/>
      <c r="R1360" s="33"/>
      <c r="S1360" s="33"/>
      <c r="T1360" s="63">
        <f t="shared" si="12"/>
        <v>0</v>
      </c>
      <c r="U1360" s="33"/>
      <c r="V1360" s="33"/>
      <c r="W1360" s="33"/>
    </row>
    <row r="1361" spans="1:23" ht="16.5" customHeight="1" x14ac:dyDescent="0.25">
      <c r="A1361" s="26" t="s">
        <v>3920</v>
      </c>
      <c r="B1361" s="26" t="s">
        <v>3921</v>
      </c>
      <c r="C1361" s="26" t="s">
        <v>115</v>
      </c>
      <c r="D1361" s="27" t="s">
        <v>116</v>
      </c>
      <c r="E1361" s="27" t="s">
        <v>108</v>
      </c>
      <c r="F1361" s="28" t="e">
        <f ca="1">_xludf.ifna(VLOOKUP(G1361,Proyectos!$A$2:$F$674,6,0),"")</f>
        <v>#NAME?</v>
      </c>
      <c r="G1361" s="76" t="s">
        <v>5314</v>
      </c>
      <c r="H1361" s="96">
        <v>1</v>
      </c>
      <c r="I1361" s="31" t="s">
        <v>18</v>
      </c>
      <c r="J1361" s="31" t="s">
        <v>61</v>
      </c>
      <c r="K1361" s="31"/>
      <c r="L1361" s="32" t="e">
        <f ca="1">_xludf.ifna(VLOOKUP(E1361,Parámetros!$D$2:$E$34,2,0),"")</f>
        <v>#NAME?</v>
      </c>
      <c r="M1361" s="32" t="e">
        <f ca="1">_xludf.ifna(VLOOKUP(G1361,Proyectos!$A$2:$T$674,20,0),"")</f>
        <v>#NAME?</v>
      </c>
      <c r="N1361" s="32" t="e">
        <f ca="1">_xludf.ifna(VLOOKUP(G1361,Proyectos!$A$2:$S$674,19,0))</f>
        <v>#NAME?</v>
      </c>
      <c r="O1361" s="32"/>
      <c r="P1361" s="31"/>
      <c r="Q1361" s="33"/>
      <c r="R1361" s="33"/>
      <c r="S1361" s="33"/>
      <c r="T1361" s="63">
        <f t="shared" si="12"/>
        <v>1</v>
      </c>
      <c r="U1361" s="33"/>
      <c r="V1361" s="33"/>
      <c r="W1361" s="33"/>
    </row>
    <row r="1362" spans="1:23" ht="16.5" customHeight="1" x14ac:dyDescent="0.25">
      <c r="A1362" s="26" t="s">
        <v>3578</v>
      </c>
      <c r="B1362" s="26" t="s">
        <v>3579</v>
      </c>
      <c r="C1362" s="26" t="s">
        <v>115</v>
      </c>
      <c r="D1362" s="27" t="s">
        <v>116</v>
      </c>
      <c r="E1362" s="27" t="s">
        <v>39</v>
      </c>
      <c r="F1362" s="28" t="e">
        <f ca="1">_xludf.ifna(VLOOKUP(G1362,Proyectos!$A$2:$F$674,6,0),"")</f>
        <v>#NAME?</v>
      </c>
      <c r="G1362" s="76" t="s">
        <v>5468</v>
      </c>
      <c r="H1362" s="96">
        <v>0.1</v>
      </c>
      <c r="I1362" s="31" t="s">
        <v>18</v>
      </c>
      <c r="J1362" s="31" t="s">
        <v>12</v>
      </c>
      <c r="K1362" s="31"/>
      <c r="L1362" s="32" t="e">
        <f ca="1">_xludf.ifna(VLOOKUP(E1362,Parámetros!$D$2:$E$34,2,0),"")</f>
        <v>#NAME?</v>
      </c>
      <c r="M1362" s="32" t="e">
        <f ca="1">_xludf.ifna(VLOOKUP(G1362,Proyectos!$A$2:$T$674,20,0),"")</f>
        <v>#NAME?</v>
      </c>
      <c r="N1362" s="32" t="e">
        <f ca="1">_xludf.ifna(VLOOKUP(G1362,Proyectos!$A$2:$S$674,19,0))</f>
        <v>#NAME?</v>
      </c>
      <c r="O1362" s="31"/>
      <c r="P1362" s="31"/>
      <c r="Q1362" s="33"/>
      <c r="R1362" s="33"/>
      <c r="S1362" s="33"/>
      <c r="T1362" s="63">
        <f t="shared" si="12"/>
        <v>1</v>
      </c>
      <c r="U1362" s="33"/>
      <c r="V1362" s="33"/>
      <c r="W1362" s="33"/>
    </row>
    <row r="1363" spans="1:23" ht="16.5" customHeight="1" x14ac:dyDescent="0.25">
      <c r="A1363" s="26" t="s">
        <v>3578</v>
      </c>
      <c r="B1363" s="26" t="s">
        <v>3579</v>
      </c>
      <c r="C1363" s="26" t="s">
        <v>115</v>
      </c>
      <c r="D1363" s="27" t="s">
        <v>116</v>
      </c>
      <c r="E1363" s="27" t="s">
        <v>39</v>
      </c>
      <c r="F1363" s="28" t="e">
        <f ca="1">_xludf.ifna(VLOOKUP(G1363,Proyectos!$A$2:$F$674,6,0),"")</f>
        <v>#NAME?</v>
      </c>
      <c r="G1363" s="76" t="s">
        <v>5468</v>
      </c>
      <c r="H1363" s="96">
        <v>0.1</v>
      </c>
      <c r="I1363" s="31" t="s">
        <v>18</v>
      </c>
      <c r="J1363" s="31" t="s">
        <v>12</v>
      </c>
      <c r="K1363" s="31"/>
      <c r="L1363" s="32" t="e">
        <f ca="1">_xludf.ifna(VLOOKUP(E1363,Parámetros!$D$2:$E$34,2,0),"")</f>
        <v>#NAME?</v>
      </c>
      <c r="M1363" s="32" t="e">
        <f ca="1">_xludf.ifna(VLOOKUP(G1363,Proyectos!$A$2:$T$674,20,0),"")</f>
        <v>#NAME?</v>
      </c>
      <c r="N1363" s="32" t="e">
        <f ca="1">_xludf.ifna(VLOOKUP(G1363,Proyectos!$A$2:$S$674,19,0))</f>
        <v>#NAME?</v>
      </c>
      <c r="O1363" s="32"/>
      <c r="P1363" s="31"/>
      <c r="Q1363" s="33"/>
      <c r="R1363" s="33"/>
      <c r="S1363" s="33"/>
      <c r="T1363" s="63">
        <f t="shared" si="12"/>
        <v>0</v>
      </c>
      <c r="U1363" s="33"/>
      <c r="V1363" s="33"/>
      <c r="W1363" s="33"/>
    </row>
    <row r="1364" spans="1:23" ht="16.5" customHeight="1" x14ac:dyDescent="0.25">
      <c r="A1364" s="26" t="s">
        <v>3578</v>
      </c>
      <c r="B1364" s="26" t="s">
        <v>3579</v>
      </c>
      <c r="C1364" s="26" t="s">
        <v>115</v>
      </c>
      <c r="D1364" s="27" t="s">
        <v>116</v>
      </c>
      <c r="E1364" s="27" t="s">
        <v>39</v>
      </c>
      <c r="F1364" s="28" t="e">
        <f ca="1">_xludf.ifna(VLOOKUP(G1364,Proyectos!$A$2:$F$674,6,0),"")</f>
        <v>#NAME?</v>
      </c>
      <c r="G1364" s="76" t="s">
        <v>5474</v>
      </c>
      <c r="H1364" s="96">
        <v>0.8</v>
      </c>
      <c r="I1364" s="31" t="s">
        <v>18</v>
      </c>
      <c r="J1364" s="31" t="s">
        <v>12</v>
      </c>
      <c r="K1364" s="31"/>
      <c r="L1364" s="32" t="e">
        <f ca="1">_xludf.ifna(VLOOKUP(E1364,Parámetros!$D$2:$E$34,2,0),"")</f>
        <v>#NAME?</v>
      </c>
      <c r="M1364" s="32" t="e">
        <f ca="1">_xludf.ifna(VLOOKUP(G1364,Proyectos!$A$2:$T$674,20,0),"")</f>
        <v>#NAME?</v>
      </c>
      <c r="N1364" s="32" t="e">
        <f ca="1">_xludf.ifna(VLOOKUP(G1364,Proyectos!$A$2:$S$674,19,0))</f>
        <v>#NAME?</v>
      </c>
      <c r="O1364" s="32"/>
      <c r="P1364" s="31"/>
      <c r="Q1364" s="33"/>
      <c r="R1364" s="33"/>
      <c r="S1364" s="33"/>
      <c r="T1364" s="63">
        <f t="shared" si="12"/>
        <v>0</v>
      </c>
      <c r="U1364" s="33"/>
      <c r="V1364" s="33"/>
      <c r="W1364" s="33"/>
    </row>
    <row r="1365" spans="1:23" ht="16.5" customHeight="1" x14ac:dyDescent="0.25">
      <c r="A1365" s="26" t="s">
        <v>3331</v>
      </c>
      <c r="B1365" s="26" t="s">
        <v>3332</v>
      </c>
      <c r="C1365" s="26" t="s">
        <v>115</v>
      </c>
      <c r="D1365" s="27" t="s">
        <v>116</v>
      </c>
      <c r="E1365" s="27" t="s">
        <v>39</v>
      </c>
      <c r="F1365" s="28" t="e">
        <f ca="1">_xludf.ifna(VLOOKUP(G1365,Proyectos!$A$2:$F$674,6,0),"")</f>
        <v>#NAME?</v>
      </c>
      <c r="G1365" s="76" t="s">
        <v>5112</v>
      </c>
      <c r="H1365" s="96">
        <v>0.1</v>
      </c>
      <c r="I1365" s="31" t="s">
        <v>18</v>
      </c>
      <c r="J1365" s="31" t="s">
        <v>61</v>
      </c>
      <c r="K1365" s="31"/>
      <c r="L1365" s="32" t="e">
        <f ca="1">_xludf.ifna(VLOOKUP(E1365,Parámetros!$D$2:$E$34,2,0),"")</f>
        <v>#NAME?</v>
      </c>
      <c r="M1365" s="32" t="e">
        <f ca="1">_xludf.ifna(VLOOKUP(G1365,Proyectos!$A$2:$T$674,20,0),"")</f>
        <v>#NAME?</v>
      </c>
      <c r="N1365" s="32" t="e">
        <f ca="1">_xludf.ifna(VLOOKUP(G1365,Proyectos!$A$2:$S$674,19,0))</f>
        <v>#NAME?</v>
      </c>
      <c r="O1365" s="31"/>
      <c r="P1365" s="31"/>
      <c r="Q1365" s="33"/>
      <c r="R1365" s="33"/>
      <c r="S1365" s="33"/>
      <c r="T1365" s="63">
        <f t="shared" si="12"/>
        <v>1</v>
      </c>
      <c r="U1365" s="33"/>
      <c r="V1365" s="33"/>
      <c r="W1365" s="33"/>
    </row>
    <row r="1366" spans="1:23" ht="16.5" customHeight="1" x14ac:dyDescent="0.25">
      <c r="A1366" s="26" t="s">
        <v>3331</v>
      </c>
      <c r="B1366" s="26" t="s">
        <v>3332</v>
      </c>
      <c r="C1366" s="26" t="s">
        <v>115</v>
      </c>
      <c r="D1366" s="27" t="s">
        <v>116</v>
      </c>
      <c r="E1366" s="27" t="s">
        <v>39</v>
      </c>
      <c r="F1366" s="28" t="e">
        <f ca="1">_xludf.ifna(VLOOKUP(G1366,Proyectos!$A$2:$F$674,6,0),"")</f>
        <v>#NAME?</v>
      </c>
      <c r="G1366" s="76" t="s">
        <v>5117</v>
      </c>
      <c r="H1366" s="96">
        <v>0.1</v>
      </c>
      <c r="I1366" s="31" t="s">
        <v>18</v>
      </c>
      <c r="J1366" s="31" t="s">
        <v>61</v>
      </c>
      <c r="K1366" s="31"/>
      <c r="L1366" s="32" t="e">
        <f ca="1">_xludf.ifna(VLOOKUP(E1366,Parámetros!$D$2:$E$34,2,0),"")</f>
        <v>#NAME?</v>
      </c>
      <c r="M1366" s="32" t="e">
        <f ca="1">_xludf.ifna(VLOOKUP(G1366,Proyectos!$A$2:$T$674,20,0),"")</f>
        <v>#NAME?</v>
      </c>
      <c r="N1366" s="32" t="e">
        <f ca="1">_xludf.ifna(VLOOKUP(G1366,Proyectos!$A$2:$S$674,19,0))</f>
        <v>#NAME?</v>
      </c>
      <c r="O1366" s="31"/>
      <c r="P1366" s="31"/>
      <c r="Q1366" s="33"/>
      <c r="R1366" s="33"/>
      <c r="S1366" s="33"/>
      <c r="T1366" s="63">
        <f t="shared" si="12"/>
        <v>0</v>
      </c>
      <c r="U1366" s="33"/>
      <c r="V1366" s="33"/>
      <c r="W1366" s="33"/>
    </row>
    <row r="1367" spans="1:23" ht="16.5" customHeight="1" x14ac:dyDescent="0.25">
      <c r="A1367" s="26" t="s">
        <v>3331</v>
      </c>
      <c r="B1367" s="26" t="s">
        <v>3332</v>
      </c>
      <c r="C1367" s="26" t="s">
        <v>115</v>
      </c>
      <c r="D1367" s="27" t="s">
        <v>116</v>
      </c>
      <c r="E1367" s="27" t="s">
        <v>39</v>
      </c>
      <c r="F1367" s="28" t="e">
        <f ca="1">_xludf.ifna(VLOOKUP(G1367,Proyectos!$A$2:$F$674,6,0),"")</f>
        <v>#NAME?</v>
      </c>
      <c r="G1367" s="76" t="s">
        <v>5476</v>
      </c>
      <c r="H1367" s="96">
        <v>0.1</v>
      </c>
      <c r="I1367" s="31" t="s">
        <v>18</v>
      </c>
      <c r="J1367" s="31" t="s">
        <v>61</v>
      </c>
      <c r="K1367" s="31"/>
      <c r="L1367" s="32" t="e">
        <f ca="1">_xludf.ifna(VLOOKUP(E1367,Parámetros!$D$2:$E$34,2,0),"")</f>
        <v>#NAME?</v>
      </c>
      <c r="M1367" s="32" t="e">
        <f ca="1">_xludf.ifna(VLOOKUP(G1367,Proyectos!$A$2:$T$674,20,0),"")</f>
        <v>#NAME?</v>
      </c>
      <c r="N1367" s="32" t="e">
        <f ca="1">_xludf.ifna(VLOOKUP(G1367,Proyectos!$A$2:$S$674,19,0))</f>
        <v>#NAME?</v>
      </c>
      <c r="O1367" s="32"/>
      <c r="P1367" s="31"/>
      <c r="Q1367" s="33"/>
      <c r="R1367" s="33"/>
      <c r="S1367" s="33"/>
      <c r="T1367" s="63">
        <f t="shared" si="12"/>
        <v>0</v>
      </c>
      <c r="U1367" s="33"/>
      <c r="V1367" s="33"/>
      <c r="W1367" s="33"/>
    </row>
    <row r="1368" spans="1:23" ht="16.5" customHeight="1" x14ac:dyDescent="0.25">
      <c r="A1368" s="26" t="s">
        <v>3331</v>
      </c>
      <c r="B1368" s="26" t="s">
        <v>3332</v>
      </c>
      <c r="C1368" s="26" t="s">
        <v>115</v>
      </c>
      <c r="D1368" s="27" t="s">
        <v>116</v>
      </c>
      <c r="E1368" s="27" t="s">
        <v>39</v>
      </c>
      <c r="F1368" s="28" t="e">
        <f ca="1">_xludf.ifna(VLOOKUP(G1368,Proyectos!$A$2:$F$674,6,0),"")</f>
        <v>#NAME?</v>
      </c>
      <c r="G1368" s="76" t="s">
        <v>5314</v>
      </c>
      <c r="H1368" s="96">
        <v>0.1</v>
      </c>
      <c r="I1368" s="31" t="s">
        <v>18</v>
      </c>
      <c r="J1368" s="31" t="s">
        <v>61</v>
      </c>
      <c r="K1368" s="31"/>
      <c r="L1368" s="32" t="e">
        <f ca="1">_xludf.ifna(VLOOKUP(E1368,Parámetros!$D$2:$E$34,2,0),"")</f>
        <v>#NAME?</v>
      </c>
      <c r="M1368" s="32" t="e">
        <f ca="1">_xludf.ifna(VLOOKUP(G1368,Proyectos!$A$2:$T$674,20,0),"")</f>
        <v>#NAME?</v>
      </c>
      <c r="N1368" s="32" t="e">
        <f ca="1">_xludf.ifna(VLOOKUP(G1368,Proyectos!$A$2:$S$674,19,0))</f>
        <v>#NAME?</v>
      </c>
      <c r="O1368" s="32"/>
      <c r="P1368" s="31"/>
      <c r="Q1368" s="33"/>
      <c r="R1368" s="33"/>
      <c r="S1368" s="33"/>
      <c r="T1368" s="63">
        <f t="shared" si="12"/>
        <v>0</v>
      </c>
      <c r="U1368" s="33"/>
      <c r="V1368" s="33"/>
      <c r="W1368" s="33"/>
    </row>
    <row r="1369" spans="1:23" ht="16.5" customHeight="1" x14ac:dyDescent="0.25">
      <c r="A1369" s="26" t="s">
        <v>3331</v>
      </c>
      <c r="B1369" s="26" t="s">
        <v>3332</v>
      </c>
      <c r="C1369" s="26" t="s">
        <v>115</v>
      </c>
      <c r="D1369" s="27" t="s">
        <v>116</v>
      </c>
      <c r="E1369" s="27" t="s">
        <v>39</v>
      </c>
      <c r="F1369" s="28" t="e">
        <f ca="1">_xludf.ifna(VLOOKUP(G1369,Proyectos!$A$2:$F$674,6,0),"")</f>
        <v>#NAME?</v>
      </c>
      <c r="G1369" s="76" t="s">
        <v>5475</v>
      </c>
      <c r="H1369" s="96">
        <v>0.1</v>
      </c>
      <c r="I1369" s="31" t="s">
        <v>18</v>
      </c>
      <c r="J1369" s="31" t="s">
        <v>61</v>
      </c>
      <c r="K1369" s="31"/>
      <c r="L1369" s="32" t="e">
        <f ca="1">_xludf.ifna(VLOOKUP(E1369,Parámetros!$D$2:$E$34,2,0),"")</f>
        <v>#NAME?</v>
      </c>
      <c r="M1369" s="32" t="e">
        <f ca="1">_xludf.ifna(VLOOKUP(G1369,Proyectos!$A$2:$T$674,20,0),"")</f>
        <v>#NAME?</v>
      </c>
      <c r="N1369" s="32" t="e">
        <f ca="1">_xludf.ifna(VLOOKUP(G1369,Proyectos!$A$2:$S$674,19,0))</f>
        <v>#NAME?</v>
      </c>
      <c r="O1369" s="32"/>
      <c r="P1369" s="31"/>
      <c r="Q1369" s="33"/>
      <c r="R1369" s="33"/>
      <c r="S1369" s="33"/>
      <c r="T1369" s="63">
        <f t="shared" si="12"/>
        <v>0</v>
      </c>
      <c r="U1369" s="33"/>
      <c r="V1369" s="33"/>
      <c r="W1369" s="33"/>
    </row>
    <row r="1370" spans="1:23" ht="16.5" customHeight="1" x14ac:dyDescent="0.25">
      <c r="A1370" s="26" t="s">
        <v>3331</v>
      </c>
      <c r="B1370" s="26" t="s">
        <v>3332</v>
      </c>
      <c r="C1370" s="26" t="s">
        <v>115</v>
      </c>
      <c r="D1370" s="27" t="s">
        <v>116</v>
      </c>
      <c r="E1370" s="27" t="s">
        <v>39</v>
      </c>
      <c r="F1370" s="28" t="e">
        <f ca="1">_xludf.ifna(VLOOKUP(G1370,Proyectos!$A$2:$F$674,6,0),"")</f>
        <v>#NAME?</v>
      </c>
      <c r="G1370" s="76" t="s">
        <v>5477</v>
      </c>
      <c r="H1370" s="96">
        <v>0.1</v>
      </c>
      <c r="I1370" s="31" t="s">
        <v>18</v>
      </c>
      <c r="J1370" s="31" t="s">
        <v>61</v>
      </c>
      <c r="K1370" s="31"/>
      <c r="L1370" s="32" t="e">
        <f ca="1">_xludf.ifna(VLOOKUP(E1370,Parámetros!$D$2:$E$34,2,0),"")</f>
        <v>#NAME?</v>
      </c>
      <c r="M1370" s="32" t="e">
        <f ca="1">_xludf.ifna(VLOOKUP(G1370,Proyectos!$A$2:$T$674,20,0),"")</f>
        <v>#NAME?</v>
      </c>
      <c r="N1370" s="32" t="e">
        <f ca="1">_xludf.ifna(VLOOKUP(G1370,Proyectos!$A$2:$S$674,19,0))</f>
        <v>#NAME?</v>
      </c>
      <c r="O1370" s="32"/>
      <c r="P1370" s="31"/>
      <c r="Q1370" s="33"/>
      <c r="R1370" s="33"/>
      <c r="S1370" s="33"/>
      <c r="T1370" s="63">
        <f t="shared" si="12"/>
        <v>0</v>
      </c>
      <c r="U1370" s="33"/>
      <c r="V1370" s="33"/>
      <c r="W1370" s="33"/>
    </row>
    <row r="1371" spans="1:23" ht="16.5" customHeight="1" x14ac:dyDescent="0.2">
      <c r="A1371" s="26" t="s">
        <v>3331</v>
      </c>
      <c r="B1371" s="26" t="s">
        <v>3332</v>
      </c>
      <c r="C1371" s="26" t="s">
        <v>115</v>
      </c>
      <c r="D1371" s="27" t="s">
        <v>116</v>
      </c>
      <c r="E1371" s="27" t="s">
        <v>39</v>
      </c>
      <c r="F1371" s="28" t="e">
        <f ca="1">_xludf.ifna(VLOOKUP(G1371,Proyectos!$A$2:$F$674,6,0),"")</f>
        <v>#NAME?</v>
      </c>
      <c r="G1371" s="29" t="s">
        <v>5114</v>
      </c>
      <c r="H1371" s="97">
        <v>0.4</v>
      </c>
      <c r="I1371" s="31" t="s">
        <v>18</v>
      </c>
      <c r="J1371" s="31" t="s">
        <v>61</v>
      </c>
      <c r="K1371" s="31"/>
      <c r="L1371" s="32" t="e">
        <f ca="1">_xludf.ifna(VLOOKUP(E1371,Parámetros!$D$2:$E$34,2,0),"")</f>
        <v>#NAME?</v>
      </c>
      <c r="M1371" s="32" t="e">
        <f ca="1">_xludf.ifna(VLOOKUP(G1371,Proyectos!$A$2:$T$674,20,0),"")</f>
        <v>#NAME?</v>
      </c>
      <c r="N1371" s="32" t="e">
        <f ca="1">_xludf.ifna(VLOOKUP(G1371,Proyectos!$A$2:$S$674,19,0))</f>
        <v>#NAME?</v>
      </c>
      <c r="O1371" s="32"/>
      <c r="P1371" s="31"/>
      <c r="Q1371" s="33"/>
      <c r="R1371" s="33"/>
      <c r="S1371" s="33"/>
      <c r="T1371" s="63">
        <f t="shared" si="12"/>
        <v>0</v>
      </c>
      <c r="U1371" s="33"/>
      <c r="V1371" s="33"/>
      <c r="W1371" s="33"/>
    </row>
    <row r="1372" spans="1:23" ht="16.5" customHeight="1" x14ac:dyDescent="0.25">
      <c r="A1372" s="26" t="s">
        <v>4273</v>
      </c>
      <c r="B1372" s="26" t="s">
        <v>5478</v>
      </c>
      <c r="C1372" s="26" t="s">
        <v>115</v>
      </c>
      <c r="D1372" s="27" t="s">
        <v>116</v>
      </c>
      <c r="E1372" s="27" t="s">
        <v>129</v>
      </c>
      <c r="F1372" s="28" t="e">
        <f ca="1">_xludf.ifna(VLOOKUP(G1372,Proyectos!$A$2:$F$674,6,0),"")</f>
        <v>#NAME?</v>
      </c>
      <c r="G1372" s="76" t="s">
        <v>5470</v>
      </c>
      <c r="H1372" s="96">
        <v>0.35</v>
      </c>
      <c r="I1372" s="31" t="s">
        <v>18</v>
      </c>
      <c r="J1372" s="31" t="s">
        <v>3280</v>
      </c>
      <c r="K1372" s="31"/>
      <c r="L1372" s="32" t="e">
        <f ca="1">_xludf.ifna(VLOOKUP(E1372,Parámetros!$D$2:$E$34,2,0),"")</f>
        <v>#NAME?</v>
      </c>
      <c r="M1372" s="32" t="e">
        <f ca="1">_xludf.ifna(VLOOKUP(G1372,Proyectos!$A$2:$T$674,20,0),"")</f>
        <v>#NAME?</v>
      </c>
      <c r="N1372" s="32" t="e">
        <f ca="1">_xludf.ifna(VLOOKUP(G1372,Proyectos!$A$2:$S$674,19,0))</f>
        <v>#NAME?</v>
      </c>
      <c r="O1372" s="32"/>
      <c r="P1372" s="31"/>
      <c r="Q1372" s="33"/>
      <c r="R1372" s="33"/>
      <c r="S1372" s="33"/>
      <c r="T1372" s="63">
        <f t="shared" si="12"/>
        <v>1</v>
      </c>
      <c r="U1372" s="33"/>
      <c r="V1372" s="33"/>
      <c r="W1372" s="33"/>
    </row>
    <row r="1373" spans="1:23" ht="16.5" customHeight="1" x14ac:dyDescent="0.25">
      <c r="A1373" s="26" t="s">
        <v>4273</v>
      </c>
      <c r="B1373" s="26" t="s">
        <v>5478</v>
      </c>
      <c r="C1373" s="26" t="s">
        <v>115</v>
      </c>
      <c r="D1373" s="27" t="s">
        <v>116</v>
      </c>
      <c r="E1373" s="27" t="s">
        <v>129</v>
      </c>
      <c r="F1373" s="28" t="e">
        <f ca="1">_xludf.ifna(VLOOKUP(G1373,Proyectos!$A$2:$F$674,6,0),"")</f>
        <v>#NAME?</v>
      </c>
      <c r="G1373" s="76" t="s">
        <v>5235</v>
      </c>
      <c r="H1373" s="96">
        <v>0.3</v>
      </c>
      <c r="I1373" s="31" t="s">
        <v>18</v>
      </c>
      <c r="J1373" s="31" t="s">
        <v>3280</v>
      </c>
      <c r="K1373" s="31"/>
      <c r="L1373" s="32" t="e">
        <f ca="1">_xludf.ifna(VLOOKUP(E1373,Parámetros!$D$2:$E$34,2,0),"")</f>
        <v>#NAME?</v>
      </c>
      <c r="M1373" s="32" t="e">
        <f ca="1">_xludf.ifna(VLOOKUP(G1373,Proyectos!$A$2:$T$674,20,0),"")</f>
        <v>#NAME?</v>
      </c>
      <c r="N1373" s="32" t="e">
        <f ca="1">_xludf.ifna(VLOOKUP(G1373,Proyectos!$A$2:$S$674,19,0))</f>
        <v>#NAME?</v>
      </c>
      <c r="O1373" s="31"/>
      <c r="P1373" s="31"/>
      <c r="Q1373" s="33"/>
      <c r="R1373" s="33"/>
      <c r="S1373" s="33"/>
      <c r="T1373" s="63">
        <f t="shared" si="12"/>
        <v>0</v>
      </c>
      <c r="U1373" s="33"/>
      <c r="V1373" s="33"/>
      <c r="W1373" s="33"/>
    </row>
    <row r="1374" spans="1:23" ht="16.5" customHeight="1" x14ac:dyDescent="0.25">
      <c r="A1374" s="26" t="s">
        <v>4273</v>
      </c>
      <c r="B1374" s="26" t="s">
        <v>5478</v>
      </c>
      <c r="C1374" s="26" t="s">
        <v>115</v>
      </c>
      <c r="D1374" s="27" t="s">
        <v>116</v>
      </c>
      <c r="E1374" s="27" t="s">
        <v>129</v>
      </c>
      <c r="F1374" s="28" t="e">
        <f ca="1">_xludf.ifna(VLOOKUP(G1374,Proyectos!$A$2:$F$674,6,0),"")</f>
        <v>#NAME?</v>
      </c>
      <c r="G1374" s="76" t="s">
        <v>5237</v>
      </c>
      <c r="H1374" s="96">
        <v>0.35</v>
      </c>
      <c r="I1374" s="31" t="s">
        <v>18</v>
      </c>
      <c r="J1374" s="31" t="s">
        <v>3280</v>
      </c>
      <c r="K1374" s="31"/>
      <c r="L1374" s="32" t="e">
        <f ca="1">_xludf.ifna(VLOOKUP(E1374,Parámetros!$D$2:$E$34,2,0),"")</f>
        <v>#NAME?</v>
      </c>
      <c r="M1374" s="32" t="e">
        <f ca="1">_xludf.ifna(VLOOKUP(G1374,Proyectos!$A$2:$T$674,20,0),"")</f>
        <v>#NAME?</v>
      </c>
      <c r="N1374" s="32" t="e">
        <f ca="1">_xludf.ifna(VLOOKUP(G1374,Proyectos!$A$2:$S$674,19,0))</f>
        <v>#NAME?</v>
      </c>
      <c r="O1374" s="31"/>
      <c r="P1374" s="31"/>
      <c r="Q1374" s="33"/>
      <c r="R1374" s="33"/>
      <c r="S1374" s="33"/>
      <c r="T1374" s="63">
        <f t="shared" si="12"/>
        <v>0</v>
      </c>
      <c r="U1374" s="33"/>
      <c r="V1374" s="33"/>
      <c r="W1374" s="33"/>
    </row>
    <row r="1375" spans="1:23" ht="16.5" customHeight="1" x14ac:dyDescent="0.25">
      <c r="A1375" s="26" t="s">
        <v>4318</v>
      </c>
      <c r="B1375" s="26" t="s">
        <v>4319</v>
      </c>
      <c r="C1375" s="26" t="s">
        <v>115</v>
      </c>
      <c r="D1375" s="27" t="s">
        <v>116</v>
      </c>
      <c r="E1375" s="27" t="s">
        <v>108</v>
      </c>
      <c r="F1375" s="28" t="e">
        <f ca="1">_xludf.ifna(VLOOKUP(G1375,Proyectos!$A$2:$F$674,6,0),"")</f>
        <v>#NAME?</v>
      </c>
      <c r="G1375" s="76" t="s">
        <v>5235</v>
      </c>
      <c r="H1375" s="96">
        <v>1</v>
      </c>
      <c r="I1375" s="31" t="s">
        <v>18</v>
      </c>
      <c r="J1375" s="31" t="s">
        <v>19</v>
      </c>
      <c r="K1375" s="31"/>
      <c r="L1375" s="32" t="e">
        <f ca="1">_xludf.ifna(VLOOKUP(E1375,Parámetros!$D$2:$E$34,2,0),"")</f>
        <v>#NAME?</v>
      </c>
      <c r="M1375" s="32" t="e">
        <f ca="1">_xludf.ifna(VLOOKUP(G1375,Proyectos!$A$2:$T$674,20,0),"")</f>
        <v>#NAME?</v>
      </c>
      <c r="N1375" s="32" t="e">
        <f ca="1">_xludf.ifna(VLOOKUP(G1375,Proyectos!$A$2:$S$674,19,0))</f>
        <v>#NAME?</v>
      </c>
      <c r="O1375" s="32"/>
      <c r="P1375" s="31"/>
      <c r="Q1375" s="33"/>
      <c r="R1375" s="33"/>
      <c r="S1375" s="33"/>
      <c r="T1375" s="63">
        <f t="shared" si="12"/>
        <v>1</v>
      </c>
      <c r="U1375" s="33"/>
      <c r="V1375" s="33"/>
      <c r="W1375" s="33"/>
    </row>
    <row r="1376" spans="1:23" ht="16.5" customHeight="1" x14ac:dyDescent="0.25">
      <c r="A1376" s="26" t="s">
        <v>4823</v>
      </c>
      <c r="B1376" s="26" t="s">
        <v>4824</v>
      </c>
      <c r="C1376" s="26" t="s">
        <v>115</v>
      </c>
      <c r="D1376" s="27" t="s">
        <v>116</v>
      </c>
      <c r="E1376" s="27" t="s">
        <v>129</v>
      </c>
      <c r="F1376" s="28" t="e">
        <f ca="1">_xludf.ifna(VLOOKUP(G1376,Proyectos!$A$2:$F$674,6,0),"")</f>
        <v>#NAME?</v>
      </c>
      <c r="G1376" s="76" t="s">
        <v>5470</v>
      </c>
      <c r="H1376" s="96">
        <v>1</v>
      </c>
      <c r="I1376" s="31" t="s">
        <v>18</v>
      </c>
      <c r="J1376" s="31" t="s">
        <v>3280</v>
      </c>
      <c r="K1376" s="31"/>
      <c r="L1376" s="32" t="e">
        <f ca="1">_xludf.ifna(VLOOKUP(E1376,Parámetros!$D$2:$E$34,2,0),"")</f>
        <v>#NAME?</v>
      </c>
      <c r="M1376" s="32" t="e">
        <f ca="1">_xludf.ifna(VLOOKUP(G1376,Proyectos!$A$2:$T$674,20,0),"")</f>
        <v>#NAME?</v>
      </c>
      <c r="N1376" s="32" t="e">
        <f ca="1">_xludf.ifna(VLOOKUP(G1376,Proyectos!$A$2:$S$674,19,0))</f>
        <v>#NAME?</v>
      </c>
      <c r="O1376" s="32"/>
      <c r="P1376" s="31"/>
      <c r="Q1376" s="33"/>
      <c r="R1376" s="33"/>
      <c r="S1376" s="33"/>
      <c r="T1376" s="63">
        <f t="shared" si="12"/>
        <v>1</v>
      </c>
      <c r="U1376" s="33"/>
      <c r="V1376" s="33"/>
      <c r="W1376" s="33"/>
    </row>
    <row r="1377" spans="1:23" ht="16.5" customHeight="1" x14ac:dyDescent="0.25">
      <c r="A1377" s="26" t="s">
        <v>4231</v>
      </c>
      <c r="B1377" s="26" t="s">
        <v>4232</v>
      </c>
      <c r="C1377" s="26" t="s">
        <v>115</v>
      </c>
      <c r="D1377" s="27" t="s">
        <v>116</v>
      </c>
      <c r="E1377" s="27" t="s">
        <v>114</v>
      </c>
      <c r="F1377" s="28" t="e">
        <f ca="1">_xludf.ifna(VLOOKUP(G1377,Proyectos!$A$2:$F$674,6,0),"")</f>
        <v>#NAME?</v>
      </c>
      <c r="G1377" s="76" t="s">
        <v>5470</v>
      </c>
      <c r="H1377" s="96">
        <v>0.3</v>
      </c>
      <c r="I1377" s="31" t="s">
        <v>25</v>
      </c>
      <c r="J1377" s="31" t="s">
        <v>41</v>
      </c>
      <c r="K1377" s="31"/>
      <c r="L1377" s="32" t="e">
        <f ca="1">_xludf.ifna(VLOOKUP(E1377,Parámetros!$D$2:$E$34,2,0),"")</f>
        <v>#NAME?</v>
      </c>
      <c r="M1377" s="32" t="e">
        <f ca="1">_xludf.ifna(VLOOKUP(G1377,Proyectos!$A$2:$T$674,20,0),"")</f>
        <v>#NAME?</v>
      </c>
      <c r="N1377" s="32" t="e">
        <f ca="1">_xludf.ifna(VLOOKUP(G1377,Proyectos!$A$2:$S$674,19,0))</f>
        <v>#NAME?</v>
      </c>
      <c r="O1377" s="32"/>
      <c r="P1377" s="31"/>
      <c r="Q1377" s="33"/>
      <c r="R1377" s="33"/>
      <c r="S1377" s="33"/>
      <c r="T1377" s="63">
        <f t="shared" si="12"/>
        <v>1</v>
      </c>
      <c r="U1377" s="33"/>
      <c r="V1377" s="33"/>
      <c r="W1377" s="33"/>
    </row>
    <row r="1378" spans="1:23" ht="16.5" customHeight="1" x14ac:dyDescent="0.25">
      <c r="A1378" s="26" t="s">
        <v>4231</v>
      </c>
      <c r="B1378" s="26" t="s">
        <v>4232</v>
      </c>
      <c r="C1378" s="26" t="s">
        <v>115</v>
      </c>
      <c r="D1378" s="27" t="s">
        <v>116</v>
      </c>
      <c r="E1378" s="27" t="s">
        <v>114</v>
      </c>
      <c r="F1378" s="28" t="e">
        <f ca="1">_xludf.ifna(VLOOKUP(G1378,Proyectos!$A$2:$F$674,6,0),"")</f>
        <v>#NAME?</v>
      </c>
      <c r="G1378" s="76" t="s">
        <v>5235</v>
      </c>
      <c r="H1378" s="96">
        <v>0.3</v>
      </c>
      <c r="I1378" s="31" t="s">
        <v>25</v>
      </c>
      <c r="J1378" s="31" t="s">
        <v>41</v>
      </c>
      <c r="K1378" s="31"/>
      <c r="L1378" s="32" t="e">
        <f ca="1">_xludf.ifna(VLOOKUP(E1378,Parámetros!$D$2:$E$34,2,0),"")</f>
        <v>#NAME?</v>
      </c>
      <c r="M1378" s="32" t="e">
        <f ca="1">_xludf.ifna(VLOOKUP(G1378,Proyectos!$A$2:$T$674,20,0),"")</f>
        <v>#NAME?</v>
      </c>
      <c r="N1378" s="32" t="e">
        <f ca="1">_xludf.ifna(VLOOKUP(G1378,Proyectos!$A$2:$S$674,19,0))</f>
        <v>#NAME?</v>
      </c>
      <c r="O1378" s="31"/>
      <c r="P1378" s="31"/>
      <c r="Q1378" s="33"/>
      <c r="R1378" s="33"/>
      <c r="S1378" s="33"/>
      <c r="T1378" s="63">
        <f t="shared" si="12"/>
        <v>0</v>
      </c>
      <c r="U1378" s="33"/>
      <c r="V1378" s="33"/>
      <c r="W1378" s="33"/>
    </row>
    <row r="1379" spans="1:23" ht="16.5" customHeight="1" x14ac:dyDescent="0.25">
      <c r="A1379" s="26" t="s">
        <v>4231</v>
      </c>
      <c r="B1379" s="26" t="s">
        <v>4232</v>
      </c>
      <c r="C1379" s="26" t="s">
        <v>115</v>
      </c>
      <c r="D1379" s="27" t="s">
        <v>116</v>
      </c>
      <c r="E1379" s="27" t="s">
        <v>114</v>
      </c>
      <c r="F1379" s="28" t="e">
        <f ca="1">_xludf.ifna(VLOOKUP(G1379,Proyectos!$A$2:$F$674,6,0),"")</f>
        <v>#NAME?</v>
      </c>
      <c r="G1379" s="76" t="s">
        <v>5237</v>
      </c>
      <c r="H1379" s="96">
        <v>0.4</v>
      </c>
      <c r="I1379" s="31" t="s">
        <v>25</v>
      </c>
      <c r="J1379" s="31" t="s">
        <v>41</v>
      </c>
      <c r="K1379" s="31"/>
      <c r="L1379" s="32" t="e">
        <f ca="1">_xludf.ifna(VLOOKUP(E1379,Parámetros!$D$2:$E$34,2,0),"")</f>
        <v>#NAME?</v>
      </c>
      <c r="M1379" s="32" t="e">
        <f ca="1">_xludf.ifna(VLOOKUP(G1379,Proyectos!$A$2:$T$674,20,0),"")</f>
        <v>#NAME?</v>
      </c>
      <c r="N1379" s="32" t="e">
        <f ca="1">_xludf.ifna(VLOOKUP(G1379,Proyectos!$A$2:$S$674,19,0))</f>
        <v>#NAME?</v>
      </c>
      <c r="O1379" s="31"/>
      <c r="P1379" s="31"/>
      <c r="Q1379" s="33"/>
      <c r="R1379" s="33"/>
      <c r="S1379" s="33"/>
      <c r="T1379" s="63">
        <f t="shared" si="12"/>
        <v>0</v>
      </c>
      <c r="U1379" s="33"/>
      <c r="V1379" s="33"/>
      <c r="W1379" s="33"/>
    </row>
    <row r="1380" spans="1:23" ht="16.5" customHeight="1" x14ac:dyDescent="0.25">
      <c r="A1380" s="26" t="s">
        <v>3341</v>
      </c>
      <c r="B1380" s="26" t="s">
        <v>3342</v>
      </c>
      <c r="C1380" s="26" t="s">
        <v>115</v>
      </c>
      <c r="D1380" s="27" t="s">
        <v>116</v>
      </c>
      <c r="E1380" s="27" t="s">
        <v>39</v>
      </c>
      <c r="F1380" s="28" t="e">
        <f ca="1">_xludf.ifna(VLOOKUP(G1380,Proyectos!$A$2:$F$674,6,0),"")</f>
        <v>#NAME?</v>
      </c>
      <c r="G1380" s="76" t="s">
        <v>5470</v>
      </c>
      <c r="H1380" s="96">
        <v>0.1</v>
      </c>
      <c r="I1380" s="31" t="s">
        <v>18</v>
      </c>
      <c r="J1380" s="31" t="s">
        <v>61</v>
      </c>
      <c r="K1380" s="31"/>
      <c r="L1380" s="32" t="e">
        <f ca="1">_xludf.ifna(VLOOKUP(E1380,Parámetros!$D$2:$E$34,2,0),"")</f>
        <v>#NAME?</v>
      </c>
      <c r="M1380" s="32" t="e">
        <f ca="1">_xludf.ifna(VLOOKUP(G1380,Proyectos!$A$2:$T$674,20,0),"")</f>
        <v>#NAME?</v>
      </c>
      <c r="N1380" s="32" t="e">
        <f ca="1">_xludf.ifna(VLOOKUP(G1380,Proyectos!$A$2:$S$674,19,0))</f>
        <v>#NAME?</v>
      </c>
      <c r="O1380" s="32"/>
      <c r="P1380" s="31"/>
      <c r="Q1380" s="33"/>
      <c r="R1380" s="33"/>
      <c r="S1380" s="33"/>
      <c r="T1380" s="63">
        <f t="shared" si="12"/>
        <v>1</v>
      </c>
      <c r="U1380" s="33"/>
      <c r="V1380" s="33"/>
      <c r="W1380" s="33"/>
    </row>
    <row r="1381" spans="1:23" ht="16.5" customHeight="1" x14ac:dyDescent="0.25">
      <c r="A1381" s="26" t="s">
        <v>3341</v>
      </c>
      <c r="B1381" s="26" t="s">
        <v>3342</v>
      </c>
      <c r="C1381" s="26" t="s">
        <v>115</v>
      </c>
      <c r="D1381" s="27" t="s">
        <v>116</v>
      </c>
      <c r="E1381" s="27" t="s">
        <v>39</v>
      </c>
      <c r="F1381" s="28" t="e">
        <f ca="1">_xludf.ifna(VLOOKUP(G1381,Proyectos!$A$2:$F$674,6,0),"")</f>
        <v>#NAME?</v>
      </c>
      <c r="G1381" s="76" t="s">
        <v>5235</v>
      </c>
      <c r="H1381" s="96">
        <v>0.15</v>
      </c>
      <c r="I1381" s="31" t="s">
        <v>18</v>
      </c>
      <c r="J1381" s="31" t="s">
        <v>61</v>
      </c>
      <c r="K1381" s="31"/>
      <c r="L1381" s="32" t="e">
        <f ca="1">_xludf.ifna(VLOOKUP(E1381,Parámetros!$D$2:$E$34,2,0),"")</f>
        <v>#NAME?</v>
      </c>
      <c r="M1381" s="32" t="e">
        <f ca="1">_xludf.ifna(VLOOKUP(G1381,Proyectos!$A$2:$T$674,20,0),"")</f>
        <v>#NAME?</v>
      </c>
      <c r="N1381" s="32" t="e">
        <f ca="1">_xludf.ifna(VLOOKUP(G1381,Proyectos!$A$2:$S$674,19,0))</f>
        <v>#NAME?</v>
      </c>
      <c r="O1381" s="32"/>
      <c r="P1381" s="31"/>
      <c r="Q1381" s="33"/>
      <c r="R1381" s="33"/>
      <c r="S1381" s="33"/>
      <c r="T1381" s="63">
        <f t="shared" si="12"/>
        <v>0</v>
      </c>
      <c r="U1381" s="33"/>
      <c r="V1381" s="33"/>
      <c r="W1381" s="33"/>
    </row>
    <row r="1382" spans="1:23" ht="16.5" customHeight="1" x14ac:dyDescent="0.25">
      <c r="A1382" s="26" t="s">
        <v>3341</v>
      </c>
      <c r="B1382" s="26" t="s">
        <v>3342</v>
      </c>
      <c r="C1382" s="26" t="s">
        <v>115</v>
      </c>
      <c r="D1382" s="27" t="s">
        <v>116</v>
      </c>
      <c r="E1382" s="27" t="s">
        <v>39</v>
      </c>
      <c r="F1382" s="28" t="e">
        <f ca="1">_xludf.ifna(VLOOKUP(G1382,Proyectos!$A$2:$F$674,6,0),"")</f>
        <v>#NAME?</v>
      </c>
      <c r="G1382" s="76" t="s">
        <v>5237</v>
      </c>
      <c r="H1382" s="96">
        <v>0.2</v>
      </c>
      <c r="I1382" s="31" t="s">
        <v>18</v>
      </c>
      <c r="J1382" s="31" t="s">
        <v>61</v>
      </c>
      <c r="K1382" s="31"/>
      <c r="L1382" s="32" t="e">
        <f ca="1">_xludf.ifna(VLOOKUP(E1382,Parámetros!$D$2:$E$34,2,0),"")</f>
        <v>#NAME?</v>
      </c>
      <c r="M1382" s="32" t="e">
        <f ca="1">_xludf.ifna(VLOOKUP(G1382,Proyectos!$A$2:$T$674,20,0),"")</f>
        <v>#NAME?</v>
      </c>
      <c r="N1382" s="32" t="e">
        <f ca="1">_xludf.ifna(VLOOKUP(G1382,Proyectos!$A$2:$S$674,19,0))</f>
        <v>#NAME?</v>
      </c>
      <c r="O1382" s="32"/>
      <c r="P1382" s="31"/>
      <c r="Q1382" s="33"/>
      <c r="R1382" s="33"/>
      <c r="S1382" s="33"/>
      <c r="T1382" s="63">
        <f t="shared" si="12"/>
        <v>0</v>
      </c>
      <c r="U1382" s="33"/>
      <c r="V1382" s="33"/>
      <c r="W1382" s="33"/>
    </row>
    <row r="1383" spans="1:23" ht="16.5" customHeight="1" x14ac:dyDescent="0.25">
      <c r="A1383" s="26" t="s">
        <v>3341</v>
      </c>
      <c r="B1383" s="26" t="s">
        <v>3342</v>
      </c>
      <c r="C1383" s="26" t="s">
        <v>115</v>
      </c>
      <c r="D1383" s="27" t="s">
        <v>116</v>
      </c>
      <c r="E1383" s="27" t="s">
        <v>39</v>
      </c>
      <c r="F1383" s="28" t="e">
        <f ca="1">_xludf.ifna(VLOOKUP(G1383,Proyectos!$A$2:$F$674,6,0),"")</f>
        <v>#NAME?</v>
      </c>
      <c r="G1383" s="76" t="s">
        <v>5479</v>
      </c>
      <c r="H1383" s="96">
        <v>0.2</v>
      </c>
      <c r="I1383" s="31" t="s">
        <v>18</v>
      </c>
      <c r="J1383" s="31" t="s">
        <v>61</v>
      </c>
      <c r="K1383" s="31"/>
      <c r="L1383" s="32" t="e">
        <f ca="1">_xludf.ifna(VLOOKUP(E1383,Parámetros!$D$2:$E$34,2,0),"")</f>
        <v>#NAME?</v>
      </c>
      <c r="M1383" s="32" t="e">
        <f ca="1">_xludf.ifna(VLOOKUP(G1383,Proyectos!$A$2:$T$674,20,0),"")</f>
        <v>#NAME?</v>
      </c>
      <c r="N1383" s="32" t="e">
        <f ca="1">_xludf.ifna(VLOOKUP(G1383,Proyectos!$A$2:$S$674,19,0))</f>
        <v>#NAME?</v>
      </c>
      <c r="O1383" s="32"/>
      <c r="P1383" s="31"/>
      <c r="Q1383" s="33"/>
      <c r="R1383" s="33"/>
      <c r="S1383" s="33"/>
      <c r="T1383" s="63">
        <f t="shared" si="12"/>
        <v>0</v>
      </c>
      <c r="U1383" s="33"/>
      <c r="V1383" s="33"/>
      <c r="W1383" s="33"/>
    </row>
    <row r="1384" spans="1:23" ht="16.5" customHeight="1" x14ac:dyDescent="0.25">
      <c r="A1384" s="26" t="s">
        <v>3341</v>
      </c>
      <c r="B1384" s="26" t="s">
        <v>3342</v>
      </c>
      <c r="C1384" s="26" t="s">
        <v>115</v>
      </c>
      <c r="D1384" s="27" t="s">
        <v>116</v>
      </c>
      <c r="E1384" s="27" t="s">
        <v>39</v>
      </c>
      <c r="F1384" s="28" t="e">
        <f ca="1">_xludf.ifna(VLOOKUP(G1384,Proyectos!$A$2:$F$674,6,0),"")</f>
        <v>#NAME?</v>
      </c>
      <c r="G1384" s="76" t="s">
        <v>5471</v>
      </c>
      <c r="H1384" s="96">
        <v>0.15</v>
      </c>
      <c r="I1384" s="31" t="s">
        <v>18</v>
      </c>
      <c r="J1384" s="31" t="s">
        <v>61</v>
      </c>
      <c r="K1384" s="31"/>
      <c r="L1384" s="32" t="e">
        <f ca="1">_xludf.ifna(VLOOKUP(E1384,Parámetros!$D$2:$E$34,2,0),"")</f>
        <v>#NAME?</v>
      </c>
      <c r="M1384" s="32" t="e">
        <f ca="1">_xludf.ifna(VLOOKUP(G1384,Proyectos!$A$2:$T$674,20,0),"")</f>
        <v>#NAME?</v>
      </c>
      <c r="N1384" s="32" t="e">
        <f ca="1">_xludf.ifna(VLOOKUP(G1384,Proyectos!$A$2:$S$674,19,0))</f>
        <v>#NAME?</v>
      </c>
      <c r="O1384" s="32"/>
      <c r="P1384" s="31"/>
      <c r="Q1384" s="33"/>
      <c r="R1384" s="33"/>
      <c r="S1384" s="33"/>
      <c r="T1384" s="63">
        <f t="shared" si="12"/>
        <v>0</v>
      </c>
      <c r="U1384" s="33"/>
      <c r="V1384" s="33"/>
      <c r="W1384" s="33"/>
    </row>
    <row r="1385" spans="1:23" ht="16.5" customHeight="1" x14ac:dyDescent="0.25">
      <c r="A1385" s="26" t="s">
        <v>3341</v>
      </c>
      <c r="B1385" s="26" t="s">
        <v>3342</v>
      </c>
      <c r="C1385" s="26" t="s">
        <v>115</v>
      </c>
      <c r="D1385" s="27" t="s">
        <v>116</v>
      </c>
      <c r="E1385" s="27" t="s">
        <v>39</v>
      </c>
      <c r="F1385" s="28" t="e">
        <f ca="1">_xludf.ifna(VLOOKUP(G1385,Proyectos!$A$2:$F$674,6,0),"")</f>
        <v>#NAME?</v>
      </c>
      <c r="G1385" s="76" t="s">
        <v>5314</v>
      </c>
      <c r="H1385" s="96">
        <v>0.2</v>
      </c>
      <c r="I1385" s="31" t="s">
        <v>18</v>
      </c>
      <c r="J1385" s="31" t="s">
        <v>61</v>
      </c>
      <c r="K1385" s="31"/>
      <c r="L1385" s="32" t="e">
        <f ca="1">_xludf.ifna(VLOOKUP(E1385,Parámetros!$D$2:$E$34,2,0),"")</f>
        <v>#NAME?</v>
      </c>
      <c r="M1385" s="32" t="e">
        <f ca="1">_xludf.ifna(VLOOKUP(G1385,Proyectos!$A$2:$T$674,20,0),"")</f>
        <v>#NAME?</v>
      </c>
      <c r="N1385" s="32" t="e">
        <f ca="1">_xludf.ifna(VLOOKUP(G1385,Proyectos!$A$2:$S$674,19,0))</f>
        <v>#NAME?</v>
      </c>
      <c r="O1385" s="32"/>
      <c r="P1385" s="31"/>
      <c r="Q1385" s="33"/>
      <c r="R1385" s="33"/>
      <c r="S1385" s="33"/>
      <c r="T1385" s="63">
        <f t="shared" si="12"/>
        <v>0</v>
      </c>
      <c r="U1385" s="33"/>
      <c r="V1385" s="33"/>
      <c r="W1385" s="33"/>
    </row>
    <row r="1386" spans="1:23" ht="16.5" customHeight="1" x14ac:dyDescent="0.25">
      <c r="A1386" s="26" t="s">
        <v>4344</v>
      </c>
      <c r="B1386" s="26" t="s">
        <v>4345</v>
      </c>
      <c r="C1386" s="26" t="s">
        <v>115</v>
      </c>
      <c r="D1386" s="27" t="s">
        <v>116</v>
      </c>
      <c r="E1386" s="27" t="s">
        <v>83</v>
      </c>
      <c r="F1386" s="28" t="e">
        <f ca="1">_xludf.ifna(VLOOKUP(G1386,Proyectos!$A$2:$F$674,6,0),"")</f>
        <v>#NAME?</v>
      </c>
      <c r="G1386" s="76" t="s">
        <v>5468</v>
      </c>
      <c r="H1386" s="96">
        <v>1</v>
      </c>
      <c r="I1386" s="31" t="s">
        <v>25</v>
      </c>
      <c r="J1386" s="31" t="s">
        <v>41</v>
      </c>
      <c r="K1386" s="31"/>
      <c r="L1386" s="32" t="e">
        <f ca="1">_xludf.ifna(VLOOKUP(E1386,Parámetros!$D$2:$E$34,2,0),"")</f>
        <v>#NAME?</v>
      </c>
      <c r="M1386" s="32" t="e">
        <f ca="1">_xludf.ifna(VLOOKUP(G1386,Proyectos!$A$2:$T$674,20,0),"")</f>
        <v>#NAME?</v>
      </c>
      <c r="N1386" s="32" t="e">
        <f ca="1">_xludf.ifna(VLOOKUP(G1386,Proyectos!$A$2:$S$674,19,0))</f>
        <v>#NAME?</v>
      </c>
      <c r="O1386" s="31"/>
      <c r="P1386" s="31"/>
      <c r="Q1386" s="33"/>
      <c r="R1386" s="33"/>
      <c r="S1386" s="33"/>
      <c r="T1386" s="63">
        <f t="shared" si="12"/>
        <v>1</v>
      </c>
      <c r="U1386" s="33"/>
      <c r="V1386" s="33"/>
      <c r="W1386" s="33"/>
    </row>
    <row r="1387" spans="1:23" ht="16.5" customHeight="1" x14ac:dyDescent="0.2">
      <c r="A1387" s="26" t="s">
        <v>3779</v>
      </c>
      <c r="B1387" s="26" t="s">
        <v>3780</v>
      </c>
      <c r="C1387" s="26" t="s">
        <v>115</v>
      </c>
      <c r="D1387" s="27" t="s">
        <v>116</v>
      </c>
      <c r="E1387" s="27" t="s">
        <v>39</v>
      </c>
      <c r="F1387" s="28" t="e">
        <f ca="1">_xludf.ifna(VLOOKUP(G1387,Proyectos!$A$2:$F$674,6,0),"")</f>
        <v>#NAME?</v>
      </c>
      <c r="G1387" s="29" t="s">
        <v>5114</v>
      </c>
      <c r="H1387" s="98">
        <v>1</v>
      </c>
      <c r="I1387" s="31" t="s">
        <v>18</v>
      </c>
      <c r="J1387" s="31" t="s">
        <v>61</v>
      </c>
      <c r="K1387" s="31"/>
      <c r="L1387" s="32" t="e">
        <f ca="1">_xludf.ifna(VLOOKUP(E1387,Parámetros!$D$2:$E$34,2,0),"")</f>
        <v>#NAME?</v>
      </c>
      <c r="M1387" s="32" t="e">
        <f ca="1">_xludf.ifna(VLOOKUP(G1387,Proyectos!$A$2:$T$674,20,0),"")</f>
        <v>#NAME?</v>
      </c>
      <c r="N1387" s="32" t="e">
        <f ca="1">_xludf.ifna(VLOOKUP(G1387,Proyectos!$A$2:$S$674,19,0))</f>
        <v>#NAME?</v>
      </c>
      <c r="O1387" s="31"/>
      <c r="P1387" s="31"/>
      <c r="Q1387" s="33"/>
      <c r="R1387" s="33"/>
      <c r="S1387" s="33"/>
      <c r="T1387" s="63">
        <f t="shared" si="12"/>
        <v>1</v>
      </c>
      <c r="U1387" s="33"/>
      <c r="V1387" s="33"/>
      <c r="W1387" s="33"/>
    </row>
    <row r="1388" spans="1:23" ht="16.5" customHeight="1" x14ac:dyDescent="0.25">
      <c r="A1388" s="26" t="s">
        <v>4380</v>
      </c>
      <c r="B1388" s="26" t="s">
        <v>4381</v>
      </c>
      <c r="C1388" s="26" t="s">
        <v>115</v>
      </c>
      <c r="D1388" s="27" t="s">
        <v>116</v>
      </c>
      <c r="E1388" s="27" t="s">
        <v>114</v>
      </c>
      <c r="F1388" s="28" t="e">
        <f ca="1">_xludf.ifna(VLOOKUP(G1388,Proyectos!$A$2:$F$674,6,0),"")</f>
        <v>#NAME?</v>
      </c>
      <c r="G1388" s="76" t="s">
        <v>5470</v>
      </c>
      <c r="H1388" s="98">
        <v>0.5</v>
      </c>
      <c r="I1388" s="31" t="s">
        <v>25</v>
      </c>
      <c r="J1388" s="31" t="s">
        <v>41</v>
      </c>
      <c r="K1388" s="31"/>
      <c r="L1388" s="32" t="e">
        <f ca="1">_xludf.ifna(VLOOKUP(E1388,Parámetros!$D$2:$E$34,2,0),"")</f>
        <v>#NAME?</v>
      </c>
      <c r="M1388" s="32" t="e">
        <f ca="1">_xludf.ifna(VLOOKUP(G1388,Proyectos!$A$2:$T$674,20,0),"")</f>
        <v>#NAME?</v>
      </c>
      <c r="N1388" s="32" t="e">
        <f ca="1">_xludf.ifna(VLOOKUP(G1388,Proyectos!$A$2:$S$674,19,0))</f>
        <v>#NAME?</v>
      </c>
      <c r="O1388" s="31"/>
      <c r="P1388" s="31"/>
      <c r="Q1388" s="33"/>
      <c r="R1388" s="33"/>
      <c r="S1388" s="33"/>
      <c r="T1388" s="63">
        <f t="shared" si="12"/>
        <v>1</v>
      </c>
      <c r="U1388" s="33"/>
      <c r="V1388" s="33"/>
      <c r="W1388" s="33"/>
    </row>
    <row r="1389" spans="1:23" ht="16.5" customHeight="1" x14ac:dyDescent="0.25">
      <c r="A1389" s="26" t="s">
        <v>4380</v>
      </c>
      <c r="B1389" s="26" t="s">
        <v>4381</v>
      </c>
      <c r="C1389" s="26" t="s">
        <v>115</v>
      </c>
      <c r="D1389" s="27" t="s">
        <v>116</v>
      </c>
      <c r="E1389" s="27" t="s">
        <v>114</v>
      </c>
      <c r="F1389" s="28" t="e">
        <f ca="1">_xludf.ifna(VLOOKUP(G1389,Proyectos!$A$2:$F$674,6,0),"")</f>
        <v>#NAME?</v>
      </c>
      <c r="G1389" s="76" t="s">
        <v>5235</v>
      </c>
      <c r="H1389" s="98">
        <v>0.5</v>
      </c>
      <c r="I1389" s="31" t="s">
        <v>25</v>
      </c>
      <c r="J1389" s="31" t="s">
        <v>41</v>
      </c>
      <c r="K1389" s="31"/>
      <c r="L1389" s="32" t="e">
        <f ca="1">_xludf.ifna(VLOOKUP(E1389,Parámetros!$D$2:$E$34,2,0),"")</f>
        <v>#NAME?</v>
      </c>
      <c r="M1389" s="32" t="e">
        <f ca="1">_xludf.ifna(VLOOKUP(G1389,Proyectos!$A$2:$T$674,20,0),"")</f>
        <v>#NAME?</v>
      </c>
      <c r="N1389" s="32" t="e">
        <f ca="1">_xludf.ifna(VLOOKUP(G1389,Proyectos!$A$2:$S$674,19,0))</f>
        <v>#NAME?</v>
      </c>
      <c r="O1389" s="31"/>
      <c r="P1389" s="31"/>
      <c r="Q1389" s="33"/>
      <c r="R1389" s="33"/>
      <c r="S1389" s="33"/>
      <c r="T1389" s="63">
        <f t="shared" si="12"/>
        <v>0</v>
      </c>
      <c r="U1389" s="33"/>
      <c r="V1389" s="33"/>
      <c r="W1389" s="33"/>
    </row>
    <row r="1390" spans="1:23" ht="16.5" customHeight="1" x14ac:dyDescent="0.2">
      <c r="A1390" s="26" t="s">
        <v>3384</v>
      </c>
      <c r="B1390" s="26" t="s">
        <v>3385</v>
      </c>
      <c r="C1390" s="26" t="s">
        <v>115</v>
      </c>
      <c r="D1390" s="27" t="s">
        <v>116</v>
      </c>
      <c r="E1390" s="27" t="s">
        <v>39</v>
      </c>
      <c r="F1390" s="28" t="e">
        <f ca="1">_xludf.ifna(VLOOKUP(G1390,Proyectos!$A$2:$F$674,6,0),"")</f>
        <v>#NAME?</v>
      </c>
      <c r="G1390" s="29" t="s">
        <v>5114</v>
      </c>
      <c r="H1390" s="98">
        <v>1</v>
      </c>
      <c r="I1390" s="31" t="s">
        <v>11</v>
      </c>
      <c r="J1390" s="31" t="s">
        <v>61</v>
      </c>
      <c r="K1390" s="31"/>
      <c r="L1390" s="32" t="e">
        <f ca="1">_xludf.ifna(VLOOKUP(E1390,Parámetros!$D$2:$E$34,2,0),"")</f>
        <v>#NAME?</v>
      </c>
      <c r="M1390" s="32" t="e">
        <f ca="1">_xludf.ifna(VLOOKUP(G1390,Proyectos!$A$2:$T$674,20,0),"")</f>
        <v>#NAME?</v>
      </c>
      <c r="N1390" s="32" t="e">
        <f ca="1">_xludf.ifna(VLOOKUP(G1390,Proyectos!$A$2:$S$674,19,0))</f>
        <v>#NAME?</v>
      </c>
      <c r="O1390" s="31"/>
      <c r="P1390" s="31"/>
      <c r="Q1390" s="33"/>
      <c r="R1390" s="33"/>
      <c r="S1390" s="33"/>
      <c r="T1390" s="63">
        <f t="shared" si="12"/>
        <v>1</v>
      </c>
      <c r="U1390" s="33"/>
      <c r="V1390" s="33"/>
      <c r="W1390" s="33"/>
    </row>
    <row r="1391" spans="1:23" ht="16.5" customHeight="1" x14ac:dyDescent="0.25">
      <c r="A1391" s="26" t="s">
        <v>4631</v>
      </c>
      <c r="B1391" s="26" t="s">
        <v>4632</v>
      </c>
      <c r="C1391" s="26" t="s">
        <v>115</v>
      </c>
      <c r="D1391" s="27" t="s">
        <v>116</v>
      </c>
      <c r="E1391" s="27" t="s">
        <v>39</v>
      </c>
      <c r="F1391" s="28" t="e">
        <f ca="1">_xludf.ifna(VLOOKUP(G1391,Proyectos!$A$2:$F$674,6,0),"")</f>
        <v>#NAME?</v>
      </c>
      <c r="G1391" s="76" t="s">
        <v>5235</v>
      </c>
      <c r="H1391" s="98">
        <v>0.5</v>
      </c>
      <c r="I1391" s="31" t="s">
        <v>18</v>
      </c>
      <c r="J1391" s="31" t="s">
        <v>12</v>
      </c>
      <c r="K1391" s="31"/>
      <c r="L1391" s="32" t="e">
        <f ca="1">_xludf.ifna(VLOOKUP(E1391,Parámetros!$D$2:$E$34,2,0),"")</f>
        <v>#NAME?</v>
      </c>
      <c r="M1391" s="32" t="e">
        <f ca="1">_xludf.ifna(VLOOKUP(G1391,Proyectos!$A$2:$T$674,20,0),"")</f>
        <v>#NAME?</v>
      </c>
      <c r="N1391" s="32" t="e">
        <f ca="1">_xludf.ifna(VLOOKUP(G1391,Proyectos!$A$2:$S$674,19,0))</f>
        <v>#NAME?</v>
      </c>
      <c r="O1391" s="31"/>
      <c r="P1391" s="31"/>
      <c r="Q1391" s="33"/>
      <c r="R1391" s="33"/>
      <c r="S1391" s="33"/>
      <c r="T1391" s="63">
        <f t="shared" si="12"/>
        <v>1</v>
      </c>
      <c r="U1391" s="33"/>
      <c r="V1391" s="33"/>
      <c r="W1391" s="33"/>
    </row>
    <row r="1392" spans="1:23" ht="16.5" customHeight="1" x14ac:dyDescent="0.25">
      <c r="A1392" s="26" t="s">
        <v>4631</v>
      </c>
      <c r="B1392" s="26" t="s">
        <v>4632</v>
      </c>
      <c r="C1392" s="26" t="s">
        <v>115</v>
      </c>
      <c r="D1392" s="27" t="s">
        <v>116</v>
      </c>
      <c r="E1392" s="27" t="s">
        <v>39</v>
      </c>
      <c r="F1392" s="28" t="e">
        <f ca="1">_xludf.ifna(VLOOKUP(G1392,Proyectos!$A$2:$F$674,6,0),"")</f>
        <v>#NAME?</v>
      </c>
      <c r="G1392" s="76" t="s">
        <v>5470</v>
      </c>
      <c r="H1392" s="98">
        <v>0.2</v>
      </c>
      <c r="I1392" s="31" t="s">
        <v>18</v>
      </c>
      <c r="J1392" s="31" t="s">
        <v>12</v>
      </c>
      <c r="K1392" s="31"/>
      <c r="L1392" s="32" t="e">
        <f ca="1">_xludf.ifna(VLOOKUP(E1392,Parámetros!$D$2:$E$34,2,0),"")</f>
        <v>#NAME?</v>
      </c>
      <c r="M1392" s="32" t="e">
        <f ca="1">_xludf.ifna(VLOOKUP(G1392,Proyectos!$A$2:$T$674,20,0),"")</f>
        <v>#NAME?</v>
      </c>
      <c r="N1392" s="32" t="e">
        <f ca="1">_xludf.ifna(VLOOKUP(G1392,Proyectos!$A$2:$S$674,19,0))</f>
        <v>#NAME?</v>
      </c>
      <c r="O1392" s="32"/>
      <c r="P1392" s="31"/>
      <c r="Q1392" s="33"/>
      <c r="R1392" s="33"/>
      <c r="S1392" s="33"/>
      <c r="T1392" s="63">
        <f t="shared" si="12"/>
        <v>0</v>
      </c>
      <c r="U1392" s="33"/>
      <c r="V1392" s="33"/>
      <c r="W1392" s="33"/>
    </row>
    <row r="1393" spans="1:23" ht="16.5" customHeight="1" x14ac:dyDescent="0.25">
      <c r="A1393" s="26" t="s">
        <v>4631</v>
      </c>
      <c r="B1393" s="26" t="s">
        <v>4632</v>
      </c>
      <c r="C1393" s="26" t="s">
        <v>115</v>
      </c>
      <c r="D1393" s="27" t="s">
        <v>116</v>
      </c>
      <c r="E1393" s="27" t="s">
        <v>39</v>
      </c>
      <c r="F1393" s="28" t="e">
        <f ca="1">_xludf.ifna(VLOOKUP(G1393,Proyectos!$A$2:$F$674,6,0),"")</f>
        <v>#NAME?</v>
      </c>
      <c r="G1393" s="76" t="s">
        <v>5237</v>
      </c>
      <c r="H1393" s="98">
        <v>0.3</v>
      </c>
      <c r="I1393" s="31" t="s">
        <v>18</v>
      </c>
      <c r="J1393" s="31" t="s">
        <v>12</v>
      </c>
      <c r="K1393" s="31"/>
      <c r="L1393" s="32" t="e">
        <f ca="1">_xludf.ifna(VLOOKUP(E1393,Parámetros!$D$2:$E$34,2,0),"")</f>
        <v>#NAME?</v>
      </c>
      <c r="M1393" s="32" t="e">
        <f ca="1">_xludf.ifna(VLOOKUP(G1393,Proyectos!$A$2:$T$674,20,0),"")</f>
        <v>#NAME?</v>
      </c>
      <c r="N1393" s="32" t="e">
        <f ca="1">_xludf.ifna(VLOOKUP(G1393,Proyectos!$A$2:$S$674,19,0))</f>
        <v>#NAME?</v>
      </c>
      <c r="O1393" s="31"/>
      <c r="P1393" s="31"/>
      <c r="Q1393" s="33"/>
      <c r="R1393" s="33"/>
      <c r="S1393" s="33"/>
      <c r="T1393" s="63">
        <f t="shared" si="12"/>
        <v>0</v>
      </c>
      <c r="U1393" s="33"/>
      <c r="V1393" s="33"/>
      <c r="W1393" s="33"/>
    </row>
    <row r="1394" spans="1:23" ht="16.5" customHeight="1" x14ac:dyDescent="0.25">
      <c r="A1394" s="26" t="s">
        <v>3594</v>
      </c>
      <c r="B1394" s="26" t="s">
        <v>3595</v>
      </c>
      <c r="C1394" s="26" t="s">
        <v>115</v>
      </c>
      <c r="D1394" s="27" t="s">
        <v>116</v>
      </c>
      <c r="E1394" s="27" t="s">
        <v>39</v>
      </c>
      <c r="F1394" s="28" t="e">
        <f ca="1">_xludf.ifna(VLOOKUP(G1394,Proyectos!$A$2:$F$674,6,0),"")</f>
        <v>#NAME?</v>
      </c>
      <c r="G1394" s="76" t="s">
        <v>5314</v>
      </c>
      <c r="H1394" s="96">
        <v>0.2</v>
      </c>
      <c r="I1394" s="31" t="s">
        <v>18</v>
      </c>
      <c r="J1394" s="31" t="s">
        <v>19</v>
      </c>
      <c r="K1394" s="31"/>
      <c r="L1394" s="32" t="e">
        <f ca="1">_xludf.ifna(VLOOKUP(E1394,Parámetros!$D$2:$E$34,2,0),"")</f>
        <v>#NAME?</v>
      </c>
      <c r="M1394" s="32" t="e">
        <f ca="1">_xludf.ifna(VLOOKUP(G1394,Proyectos!$A$2:$T$674,20,0),"")</f>
        <v>#NAME?</v>
      </c>
      <c r="N1394" s="32" t="e">
        <f ca="1">_xludf.ifna(VLOOKUP(G1394,Proyectos!$A$2:$S$674,19,0))</f>
        <v>#NAME?</v>
      </c>
      <c r="O1394" s="32"/>
      <c r="P1394" s="31"/>
      <c r="Q1394" s="33"/>
      <c r="R1394" s="33"/>
      <c r="S1394" s="33"/>
      <c r="T1394" s="63">
        <f t="shared" si="12"/>
        <v>1</v>
      </c>
      <c r="U1394" s="33"/>
      <c r="V1394" s="33"/>
      <c r="W1394" s="33"/>
    </row>
    <row r="1395" spans="1:23" ht="16.5" customHeight="1" x14ac:dyDescent="0.25">
      <c r="A1395" s="26" t="s">
        <v>3594</v>
      </c>
      <c r="B1395" s="26" t="s">
        <v>3595</v>
      </c>
      <c r="C1395" s="26" t="s">
        <v>115</v>
      </c>
      <c r="D1395" s="27" t="s">
        <v>116</v>
      </c>
      <c r="E1395" s="27" t="s">
        <v>39</v>
      </c>
      <c r="F1395" s="28" t="e">
        <f ca="1">_xludf.ifna(VLOOKUP(G1395,Proyectos!$A$2:$F$674,6,0),"")</f>
        <v>#NAME?</v>
      </c>
      <c r="G1395" s="76" t="s">
        <v>5237</v>
      </c>
      <c r="H1395" s="96">
        <v>0.3</v>
      </c>
      <c r="I1395" s="31" t="s">
        <v>18</v>
      </c>
      <c r="J1395" s="31" t="s">
        <v>19</v>
      </c>
      <c r="K1395" s="31"/>
      <c r="L1395" s="32" t="e">
        <f ca="1">_xludf.ifna(VLOOKUP(E1395,Parámetros!$D$2:$E$34,2,0),"")</f>
        <v>#NAME?</v>
      </c>
      <c r="M1395" s="32" t="e">
        <f ca="1">_xludf.ifna(VLOOKUP(G1395,Proyectos!$A$2:$T$674,20,0),"")</f>
        <v>#NAME?</v>
      </c>
      <c r="N1395" s="32" t="e">
        <f ca="1">_xludf.ifna(VLOOKUP(G1395,Proyectos!$A$2:$S$674,19,0))</f>
        <v>#NAME?</v>
      </c>
      <c r="O1395" s="31"/>
      <c r="P1395" s="31"/>
      <c r="Q1395" s="33"/>
      <c r="R1395" s="33"/>
      <c r="S1395" s="33"/>
      <c r="T1395" s="63">
        <f t="shared" si="12"/>
        <v>0</v>
      </c>
      <c r="U1395" s="33"/>
      <c r="V1395" s="33"/>
      <c r="W1395" s="33"/>
    </row>
    <row r="1396" spans="1:23" ht="16.5" customHeight="1" x14ac:dyDescent="0.25">
      <c r="A1396" s="26" t="s">
        <v>3594</v>
      </c>
      <c r="B1396" s="26" t="s">
        <v>3595</v>
      </c>
      <c r="C1396" s="26" t="s">
        <v>115</v>
      </c>
      <c r="D1396" s="27" t="s">
        <v>116</v>
      </c>
      <c r="E1396" s="27" t="s">
        <v>39</v>
      </c>
      <c r="F1396" s="28" t="e">
        <f ca="1">_xludf.ifna(VLOOKUP(G1396,Proyectos!$A$2:$F$674,6,0),"")</f>
        <v>#NAME?</v>
      </c>
      <c r="G1396" s="76" t="s">
        <v>5314</v>
      </c>
      <c r="H1396" s="96">
        <v>0.3</v>
      </c>
      <c r="I1396" s="31" t="s">
        <v>18</v>
      </c>
      <c r="J1396" s="31" t="s">
        <v>19</v>
      </c>
      <c r="K1396" s="31"/>
      <c r="L1396" s="32" t="e">
        <f ca="1">_xludf.ifna(VLOOKUP(E1396,Parámetros!$D$2:$E$34,2,0),"")</f>
        <v>#NAME?</v>
      </c>
      <c r="M1396" s="32" t="e">
        <f ca="1">_xludf.ifna(VLOOKUP(G1396,Proyectos!$A$2:$T$674,20,0),"")</f>
        <v>#NAME?</v>
      </c>
      <c r="N1396" s="32" t="e">
        <f ca="1">_xludf.ifna(VLOOKUP(G1396,Proyectos!$A$2:$S$674,19,0))</f>
        <v>#NAME?</v>
      </c>
      <c r="O1396" s="31"/>
      <c r="P1396" s="31"/>
      <c r="Q1396" s="33"/>
      <c r="R1396" s="33"/>
      <c r="S1396" s="33"/>
      <c r="T1396" s="63">
        <f t="shared" si="12"/>
        <v>0</v>
      </c>
      <c r="U1396" s="33"/>
      <c r="V1396" s="33"/>
      <c r="W1396" s="33"/>
    </row>
    <row r="1397" spans="1:23" ht="16.5" customHeight="1" x14ac:dyDescent="0.2">
      <c r="A1397" s="26" t="s">
        <v>3594</v>
      </c>
      <c r="B1397" s="26" t="s">
        <v>3595</v>
      </c>
      <c r="C1397" s="26" t="s">
        <v>115</v>
      </c>
      <c r="D1397" s="27" t="s">
        <v>116</v>
      </c>
      <c r="E1397" s="27" t="s">
        <v>39</v>
      </c>
      <c r="F1397" s="28" t="e">
        <f ca="1">_xludf.ifna(VLOOKUP(G1397,Proyectos!$A$2:$F$674,6,0),"")</f>
        <v>#NAME?</v>
      </c>
      <c r="G1397" s="29" t="s">
        <v>5114</v>
      </c>
      <c r="H1397" s="96">
        <v>0.2</v>
      </c>
      <c r="I1397" s="31" t="s">
        <v>18</v>
      </c>
      <c r="J1397" s="31" t="s">
        <v>19</v>
      </c>
      <c r="K1397" s="31" t="s">
        <v>5480</v>
      </c>
      <c r="L1397" s="32" t="e">
        <f ca="1">_xludf.ifna(VLOOKUP(E1397,Parámetros!$D$2:$E$34,2,0),"")</f>
        <v>#NAME?</v>
      </c>
      <c r="M1397" s="32" t="e">
        <f ca="1">_xludf.ifna(VLOOKUP(G1397,Proyectos!$A$2:$T$674,20,0),"")</f>
        <v>#NAME?</v>
      </c>
      <c r="N1397" s="32" t="e">
        <f ca="1">_xludf.ifna(VLOOKUP(G1397,Proyectos!$A$2:$S$674,19,0))</f>
        <v>#NAME?</v>
      </c>
      <c r="O1397" s="32"/>
      <c r="P1397" s="31"/>
      <c r="Q1397" s="33"/>
      <c r="R1397" s="33"/>
      <c r="S1397" s="33"/>
      <c r="T1397" s="63">
        <f t="shared" si="12"/>
        <v>0</v>
      </c>
      <c r="U1397" s="33"/>
      <c r="V1397" s="33"/>
      <c r="W1397" s="33"/>
    </row>
    <row r="1398" spans="1:23" ht="16.5" customHeight="1" x14ac:dyDescent="0.2">
      <c r="A1398" s="26" t="s">
        <v>4648</v>
      </c>
      <c r="B1398" s="26" t="s">
        <v>4649</v>
      </c>
      <c r="C1398" s="26" t="s">
        <v>115</v>
      </c>
      <c r="D1398" s="27" t="s">
        <v>116</v>
      </c>
      <c r="E1398" s="27" t="s">
        <v>39</v>
      </c>
      <c r="F1398" s="28" t="e">
        <f ca="1">_xludf.ifna(VLOOKUP(G1398,Proyectos!$A$2:$F$674,6,0),"")</f>
        <v>#NAME?</v>
      </c>
      <c r="G1398" s="29" t="s">
        <v>5114</v>
      </c>
      <c r="H1398" s="96">
        <v>1</v>
      </c>
      <c r="I1398" s="31" t="s">
        <v>18</v>
      </c>
      <c r="J1398" s="31" t="s">
        <v>61</v>
      </c>
      <c r="K1398" s="31"/>
      <c r="L1398" s="32" t="e">
        <f ca="1">_xludf.ifna(VLOOKUP(E1398,Parámetros!$D$2:$E$34,2,0),"")</f>
        <v>#NAME?</v>
      </c>
      <c r="M1398" s="32" t="e">
        <f ca="1">_xludf.ifna(VLOOKUP(G1398,Proyectos!$A$2:$T$674,20,0),"")</f>
        <v>#NAME?</v>
      </c>
      <c r="N1398" s="32" t="e">
        <f ca="1">_xludf.ifna(VLOOKUP(G1398,Proyectos!$A$2:$S$674,19,0))</f>
        <v>#NAME?</v>
      </c>
      <c r="O1398" s="32"/>
      <c r="P1398" s="31"/>
      <c r="Q1398" s="33"/>
      <c r="R1398" s="33"/>
      <c r="S1398" s="33"/>
      <c r="T1398" s="63">
        <f t="shared" si="12"/>
        <v>1</v>
      </c>
      <c r="U1398" s="33"/>
      <c r="V1398" s="33"/>
      <c r="W1398" s="33"/>
    </row>
    <row r="1399" spans="1:23" ht="16.5" customHeight="1" x14ac:dyDescent="0.2">
      <c r="A1399" s="26" t="s">
        <v>3989</v>
      </c>
      <c r="B1399" s="26" t="s">
        <v>3990</v>
      </c>
      <c r="C1399" s="26" t="s">
        <v>115</v>
      </c>
      <c r="D1399" s="27" t="s">
        <v>116</v>
      </c>
      <c r="E1399" s="27" t="s">
        <v>108</v>
      </c>
      <c r="F1399" s="28" t="e">
        <f ca="1">_xludf.ifna(VLOOKUP(G1399,Proyectos!$A$2:$F$674,6,0),"")</f>
        <v>#NAME?</v>
      </c>
      <c r="G1399" s="29" t="s">
        <v>5114</v>
      </c>
      <c r="H1399" s="96">
        <v>1</v>
      </c>
      <c r="I1399" s="31" t="s">
        <v>25</v>
      </c>
      <c r="J1399" s="31" t="s">
        <v>61</v>
      </c>
      <c r="K1399" s="31"/>
      <c r="L1399" s="32" t="e">
        <f ca="1">_xludf.ifna(VLOOKUP(E1399,Parámetros!$D$2:$E$34,2,0),"")</f>
        <v>#NAME?</v>
      </c>
      <c r="M1399" s="32" t="e">
        <f ca="1">_xludf.ifna(VLOOKUP(G1399,Proyectos!$A$2:$T$674,20,0),"")</f>
        <v>#NAME?</v>
      </c>
      <c r="N1399" s="32" t="e">
        <f ca="1">_xludf.ifna(VLOOKUP(G1399,Proyectos!$A$2:$S$674,19,0))</f>
        <v>#NAME?</v>
      </c>
      <c r="O1399" s="32"/>
      <c r="P1399" s="31"/>
      <c r="Q1399" s="33"/>
      <c r="R1399" s="33"/>
      <c r="S1399" s="33"/>
      <c r="T1399" s="63">
        <f t="shared" si="12"/>
        <v>1</v>
      </c>
      <c r="U1399" s="33"/>
      <c r="V1399" s="33"/>
      <c r="W1399" s="33"/>
    </row>
    <row r="1400" spans="1:23" ht="16.5" customHeight="1" x14ac:dyDescent="0.25">
      <c r="A1400" s="26" t="s">
        <v>4142</v>
      </c>
      <c r="B1400" s="26" t="s">
        <v>4143</v>
      </c>
      <c r="C1400" s="26" t="s">
        <v>115</v>
      </c>
      <c r="D1400" s="27" t="s">
        <v>116</v>
      </c>
      <c r="E1400" s="27" t="s">
        <v>108</v>
      </c>
      <c r="F1400" s="28" t="e">
        <f ca="1">_xludf.ifna(VLOOKUP(G1400,Proyectos!$A$2:$F$674,6,0),"")</f>
        <v>#NAME?</v>
      </c>
      <c r="G1400" s="76" t="s">
        <v>5235</v>
      </c>
      <c r="H1400" s="96">
        <v>1</v>
      </c>
      <c r="I1400" s="31" t="s">
        <v>18</v>
      </c>
      <c r="J1400" s="31" t="s">
        <v>61</v>
      </c>
      <c r="K1400" s="31"/>
      <c r="L1400" s="32" t="e">
        <f ca="1">_xludf.ifna(VLOOKUP(E1400,Parámetros!$D$2:$E$34,2,0),"")</f>
        <v>#NAME?</v>
      </c>
      <c r="M1400" s="32" t="e">
        <f ca="1">_xludf.ifna(VLOOKUP(G1400,Proyectos!$A$2:$T$674,20,0),"")</f>
        <v>#NAME?</v>
      </c>
      <c r="N1400" s="32" t="e">
        <f ca="1">_xludf.ifna(VLOOKUP(G1400,Proyectos!$A$2:$S$674,19,0))</f>
        <v>#NAME?</v>
      </c>
      <c r="O1400" s="32"/>
      <c r="P1400" s="31"/>
      <c r="Q1400" s="33"/>
      <c r="R1400" s="33"/>
      <c r="S1400" s="33"/>
      <c r="T1400" s="63">
        <f t="shared" si="12"/>
        <v>1</v>
      </c>
      <c r="U1400" s="33"/>
      <c r="V1400" s="33"/>
      <c r="W1400" s="33"/>
    </row>
    <row r="1401" spans="1:23" ht="16.5" customHeight="1" x14ac:dyDescent="0.2">
      <c r="A1401" s="26" t="s">
        <v>4015</v>
      </c>
      <c r="B1401" s="26" t="s">
        <v>4016</v>
      </c>
      <c r="C1401" s="26" t="s">
        <v>115</v>
      </c>
      <c r="D1401" s="27" t="s">
        <v>116</v>
      </c>
      <c r="E1401" s="27" t="s">
        <v>126</v>
      </c>
      <c r="F1401" s="28" t="e">
        <f ca="1">_xludf.ifna(VLOOKUP(G1401,Proyectos!$A$2:$F$674,6,0),"")</f>
        <v>#NAME?</v>
      </c>
      <c r="G1401" s="29" t="s">
        <v>5114</v>
      </c>
      <c r="H1401" s="96">
        <v>1</v>
      </c>
      <c r="I1401" s="31" t="s">
        <v>18</v>
      </c>
      <c r="J1401" s="31" t="s">
        <v>61</v>
      </c>
      <c r="K1401" s="31"/>
      <c r="L1401" s="32" t="e">
        <f ca="1">_xludf.ifna(VLOOKUP(E1401,Parámetros!$D$2:$E$34,2,0),"")</f>
        <v>#NAME?</v>
      </c>
      <c r="M1401" s="32" t="e">
        <f ca="1">_xludf.ifna(VLOOKUP(G1401,Proyectos!$A$2:$T$674,20,0),"")</f>
        <v>#NAME?</v>
      </c>
      <c r="N1401" s="32" t="e">
        <f ca="1">_xludf.ifna(VLOOKUP(G1401,Proyectos!$A$2:$S$674,19,0))</f>
        <v>#NAME?</v>
      </c>
      <c r="O1401" s="32"/>
      <c r="P1401" s="31"/>
      <c r="Q1401" s="33"/>
      <c r="R1401" s="33"/>
      <c r="S1401" s="33"/>
      <c r="T1401" s="63">
        <f t="shared" si="12"/>
        <v>1</v>
      </c>
      <c r="U1401" s="33"/>
      <c r="V1401" s="33"/>
      <c r="W1401" s="33"/>
    </row>
    <row r="1402" spans="1:23" ht="16.5" customHeight="1" x14ac:dyDescent="0.25">
      <c r="A1402" s="26" t="s">
        <v>4155</v>
      </c>
      <c r="B1402" s="26" t="s">
        <v>4156</v>
      </c>
      <c r="C1402" s="26" t="s">
        <v>115</v>
      </c>
      <c r="D1402" s="27" t="s">
        <v>116</v>
      </c>
      <c r="E1402" s="27" t="s">
        <v>114</v>
      </c>
      <c r="F1402" s="28" t="e">
        <f ca="1">_xludf.ifna(VLOOKUP(G1402,Proyectos!$A$2:$F$674,6,0),"")</f>
        <v>#NAME?</v>
      </c>
      <c r="G1402" s="76" t="s">
        <v>5472</v>
      </c>
      <c r="H1402" s="96">
        <v>1</v>
      </c>
      <c r="I1402" s="31" t="s">
        <v>25</v>
      </c>
      <c r="J1402" s="31" t="s">
        <v>61</v>
      </c>
      <c r="K1402" s="31"/>
      <c r="L1402" s="32" t="e">
        <f ca="1">_xludf.ifna(VLOOKUP(E1402,Parámetros!$D$2:$E$34,2,0),"")</f>
        <v>#NAME?</v>
      </c>
      <c r="M1402" s="32" t="e">
        <f ca="1">_xludf.ifna(VLOOKUP(G1402,Proyectos!$A$2:$T$674,20,0),"")</f>
        <v>#NAME?</v>
      </c>
      <c r="N1402" s="32" t="e">
        <f ca="1">_xludf.ifna(VLOOKUP(G1402,Proyectos!$A$2:$S$674,19,0))</f>
        <v>#NAME?</v>
      </c>
      <c r="O1402" s="32"/>
      <c r="P1402" s="31"/>
      <c r="Q1402" s="33"/>
      <c r="R1402" s="33"/>
      <c r="S1402" s="33"/>
      <c r="T1402" s="63">
        <f t="shared" si="12"/>
        <v>1</v>
      </c>
      <c r="U1402" s="33"/>
      <c r="V1402" s="33"/>
      <c r="W1402" s="33"/>
    </row>
    <row r="1403" spans="1:23" ht="16.5" customHeight="1" x14ac:dyDescent="0.25">
      <c r="A1403" s="26" t="s">
        <v>4650</v>
      </c>
      <c r="B1403" s="26" t="s">
        <v>4651</v>
      </c>
      <c r="C1403" s="26" t="s">
        <v>115</v>
      </c>
      <c r="D1403" s="27" t="s">
        <v>116</v>
      </c>
      <c r="E1403" s="27" t="s">
        <v>39</v>
      </c>
      <c r="F1403" s="28" t="e">
        <f ca="1">_xludf.ifna(VLOOKUP(G1403,Proyectos!$A$2:$F$674,6,0),"")</f>
        <v>#NAME?</v>
      </c>
      <c r="G1403" s="76" t="s">
        <v>5314</v>
      </c>
      <c r="H1403" s="96">
        <v>1</v>
      </c>
      <c r="I1403" s="31" t="s">
        <v>18</v>
      </c>
      <c r="J1403" s="31" t="s">
        <v>61</v>
      </c>
      <c r="K1403" s="31"/>
      <c r="L1403" s="32" t="e">
        <f ca="1">_xludf.ifna(VLOOKUP(E1403,Parámetros!$D$2:$E$34,2,0),"")</f>
        <v>#NAME?</v>
      </c>
      <c r="M1403" s="32" t="e">
        <f ca="1">_xludf.ifna(VLOOKUP(G1403,Proyectos!$A$2:$T$674,20,0),"")</f>
        <v>#NAME?</v>
      </c>
      <c r="N1403" s="32" t="e">
        <f ca="1">_xludf.ifna(VLOOKUP(G1403,Proyectos!$A$2:$S$674,19,0))</f>
        <v>#NAME?</v>
      </c>
      <c r="O1403" s="31"/>
      <c r="P1403" s="31"/>
      <c r="Q1403" s="33"/>
      <c r="R1403" s="33"/>
      <c r="S1403" s="33"/>
      <c r="T1403" s="63">
        <f t="shared" si="12"/>
        <v>1</v>
      </c>
      <c r="U1403" s="33"/>
      <c r="V1403" s="33"/>
      <c r="W1403" s="33"/>
    </row>
    <row r="1404" spans="1:23" ht="16.5" customHeight="1" x14ac:dyDescent="0.25">
      <c r="A1404" s="26" t="s">
        <v>4243</v>
      </c>
      <c r="B1404" s="26" t="s">
        <v>4244</v>
      </c>
      <c r="C1404" s="26" t="s">
        <v>115</v>
      </c>
      <c r="D1404" s="27" t="s">
        <v>116</v>
      </c>
      <c r="E1404" s="27" t="s">
        <v>129</v>
      </c>
      <c r="F1404" s="28" t="e">
        <f ca="1">_xludf.ifna(VLOOKUP(G1404,Proyectos!$A$2:$F$674,6,0),"")</f>
        <v>#NAME?</v>
      </c>
      <c r="G1404" s="76" t="s">
        <v>5235</v>
      </c>
      <c r="H1404" s="96">
        <v>0.7</v>
      </c>
      <c r="I1404" s="31" t="s">
        <v>18</v>
      </c>
      <c r="J1404" s="31" t="s">
        <v>3280</v>
      </c>
      <c r="K1404" s="31"/>
      <c r="L1404" s="32" t="e">
        <f ca="1">_xludf.ifna(VLOOKUP(E1404,Parámetros!$D$2:$E$34,2,0),"")</f>
        <v>#NAME?</v>
      </c>
      <c r="M1404" s="32" t="e">
        <f ca="1">_xludf.ifna(VLOOKUP(G1404,Proyectos!$A$2:$T$674,20,0),"")</f>
        <v>#NAME?</v>
      </c>
      <c r="N1404" s="32" t="e">
        <f ca="1">_xludf.ifna(VLOOKUP(G1404,Proyectos!$A$2:$S$674,19,0))</f>
        <v>#NAME?</v>
      </c>
      <c r="O1404" s="32"/>
      <c r="P1404" s="31"/>
      <c r="Q1404" s="33"/>
      <c r="R1404" s="33"/>
      <c r="S1404" s="33"/>
      <c r="T1404" s="63">
        <f t="shared" si="12"/>
        <v>1</v>
      </c>
      <c r="U1404" s="33"/>
      <c r="V1404" s="33"/>
      <c r="W1404" s="33"/>
    </row>
    <row r="1405" spans="1:23" ht="16.5" customHeight="1" x14ac:dyDescent="0.25">
      <c r="A1405" s="26" t="s">
        <v>4243</v>
      </c>
      <c r="B1405" s="26" t="s">
        <v>4244</v>
      </c>
      <c r="C1405" s="26" t="s">
        <v>115</v>
      </c>
      <c r="D1405" s="27" t="s">
        <v>116</v>
      </c>
      <c r="E1405" s="27" t="s">
        <v>129</v>
      </c>
      <c r="F1405" s="28" t="e">
        <f ca="1">_xludf.ifna(VLOOKUP(G1405,Proyectos!$A$2:$F$674,6,0),"")</f>
        <v>#NAME?</v>
      </c>
      <c r="G1405" s="76" t="s">
        <v>5237</v>
      </c>
      <c r="H1405" s="96">
        <v>0.3</v>
      </c>
      <c r="I1405" s="31" t="s">
        <v>18</v>
      </c>
      <c r="J1405" s="31" t="s">
        <v>3280</v>
      </c>
      <c r="K1405" s="31"/>
      <c r="L1405" s="32" t="e">
        <f ca="1">_xludf.ifna(VLOOKUP(E1405,Parámetros!$D$2:$E$34,2,0),"")</f>
        <v>#NAME?</v>
      </c>
      <c r="M1405" s="32" t="e">
        <f ca="1">_xludf.ifna(VLOOKUP(G1405,Proyectos!$A$2:$T$674,20,0),"")</f>
        <v>#NAME?</v>
      </c>
      <c r="N1405" s="32" t="e">
        <f ca="1">_xludf.ifna(VLOOKUP(G1405,Proyectos!$A$2:$S$674,19,0))</f>
        <v>#NAME?</v>
      </c>
      <c r="O1405" s="31"/>
      <c r="P1405" s="31"/>
      <c r="Q1405" s="33"/>
      <c r="R1405" s="33"/>
      <c r="S1405" s="33"/>
      <c r="T1405" s="63">
        <f t="shared" si="12"/>
        <v>0</v>
      </c>
      <c r="U1405" s="33"/>
      <c r="V1405" s="33"/>
      <c r="W1405" s="33"/>
    </row>
    <row r="1406" spans="1:23" ht="16.5" customHeight="1" x14ac:dyDescent="0.2">
      <c r="A1406" s="26" t="s">
        <v>3850</v>
      </c>
      <c r="B1406" s="26" t="s">
        <v>3851</v>
      </c>
      <c r="C1406" s="26" t="s">
        <v>115</v>
      </c>
      <c r="D1406" s="27" t="s">
        <v>116</v>
      </c>
      <c r="E1406" s="27" t="s">
        <v>39</v>
      </c>
      <c r="F1406" s="28" t="e">
        <f ca="1">_xludf.ifna(VLOOKUP(G1406,Proyectos!$A$2:$F$674,6,0),"")</f>
        <v>#NAME?</v>
      </c>
      <c r="G1406" s="29" t="s">
        <v>5114</v>
      </c>
      <c r="H1406" s="96">
        <v>1</v>
      </c>
      <c r="I1406" s="31" t="s">
        <v>18</v>
      </c>
      <c r="J1406" s="31" t="s">
        <v>61</v>
      </c>
      <c r="K1406" s="31"/>
      <c r="L1406" s="32" t="e">
        <f ca="1">_xludf.ifna(VLOOKUP(E1406,Parámetros!$D$2:$E$34,2,0),"")</f>
        <v>#NAME?</v>
      </c>
      <c r="M1406" s="32" t="e">
        <f ca="1">_xludf.ifna(VLOOKUP(G1406,Proyectos!$A$2:$T$674,20,0),"")</f>
        <v>#NAME?</v>
      </c>
      <c r="N1406" s="32" t="e">
        <f ca="1">_xludf.ifna(VLOOKUP(G1406,Proyectos!$A$2:$S$674,19,0))</f>
        <v>#NAME?</v>
      </c>
      <c r="O1406" s="31"/>
      <c r="P1406" s="31"/>
      <c r="Q1406" s="33"/>
      <c r="R1406" s="33"/>
      <c r="S1406" s="33"/>
      <c r="T1406" s="63">
        <f t="shared" si="12"/>
        <v>1</v>
      </c>
      <c r="U1406" s="33"/>
      <c r="V1406" s="33"/>
      <c r="W1406" s="33"/>
    </row>
    <row r="1407" spans="1:23" ht="16.5" customHeight="1" x14ac:dyDescent="0.25">
      <c r="A1407" s="26" t="s">
        <v>4159</v>
      </c>
      <c r="B1407" s="26" t="s">
        <v>4160</v>
      </c>
      <c r="C1407" s="26" t="s">
        <v>115</v>
      </c>
      <c r="D1407" s="27" t="s">
        <v>116</v>
      </c>
      <c r="E1407" s="27" t="s">
        <v>9</v>
      </c>
      <c r="F1407" s="28" t="e">
        <f ca="1">_xludf.ifna(VLOOKUP(G1407,Proyectos!$A$2:$F$674,6,0),"")</f>
        <v>#NAME?</v>
      </c>
      <c r="G1407" s="76" t="s">
        <v>5314</v>
      </c>
      <c r="H1407" s="96">
        <v>0.7</v>
      </c>
      <c r="I1407" s="31" t="s">
        <v>18</v>
      </c>
      <c r="J1407" s="31" t="s">
        <v>12</v>
      </c>
      <c r="K1407" s="31"/>
      <c r="L1407" s="32" t="e">
        <f ca="1">_xludf.ifna(VLOOKUP(E1407,Parámetros!$D$2:$E$34,2,0),"")</f>
        <v>#NAME?</v>
      </c>
      <c r="M1407" s="32" t="e">
        <f ca="1">_xludf.ifna(VLOOKUP(G1407,Proyectos!$A$2:$T$674,20,0),"")</f>
        <v>#NAME?</v>
      </c>
      <c r="N1407" s="32" t="e">
        <f ca="1">_xludf.ifna(VLOOKUP(G1407,Proyectos!$A$2:$S$674,19,0))</f>
        <v>#NAME?</v>
      </c>
      <c r="O1407" s="31"/>
      <c r="P1407" s="31"/>
      <c r="Q1407" s="33"/>
      <c r="R1407" s="33"/>
      <c r="S1407" s="33"/>
      <c r="T1407" s="63">
        <f t="shared" si="12"/>
        <v>1</v>
      </c>
      <c r="U1407" s="33"/>
      <c r="V1407" s="33"/>
      <c r="W1407" s="33"/>
    </row>
    <row r="1408" spans="1:23" ht="16.5" customHeight="1" x14ac:dyDescent="0.25">
      <c r="A1408" s="26" t="s">
        <v>4159</v>
      </c>
      <c r="B1408" s="26" t="s">
        <v>4160</v>
      </c>
      <c r="C1408" s="26" t="s">
        <v>115</v>
      </c>
      <c r="D1408" s="27" t="s">
        <v>116</v>
      </c>
      <c r="E1408" s="27" t="s">
        <v>9</v>
      </c>
      <c r="F1408" s="28" t="e">
        <f ca="1">_xludf.ifna(VLOOKUP(G1408,Proyectos!$A$2:$F$674,6,0),"")</f>
        <v>#NAME?</v>
      </c>
      <c r="G1408" s="76" t="s">
        <v>5237</v>
      </c>
      <c r="H1408" s="96">
        <v>0.3</v>
      </c>
      <c r="I1408" s="31" t="s">
        <v>18</v>
      </c>
      <c r="J1408" s="31" t="s">
        <v>12</v>
      </c>
      <c r="K1408" s="31"/>
      <c r="L1408" s="32" t="e">
        <f ca="1">_xludf.ifna(VLOOKUP(E1408,Parámetros!$D$2:$E$34,2,0),"")</f>
        <v>#NAME?</v>
      </c>
      <c r="M1408" s="32" t="e">
        <f ca="1">_xludf.ifna(VLOOKUP(G1408,Proyectos!$A$2:$T$674,20,0),"")</f>
        <v>#NAME?</v>
      </c>
      <c r="N1408" s="32" t="e">
        <f ca="1">_xludf.ifna(VLOOKUP(G1408,Proyectos!$A$2:$S$674,19,0))</f>
        <v>#NAME?</v>
      </c>
      <c r="O1408" s="31"/>
      <c r="P1408" s="31"/>
      <c r="Q1408" s="33"/>
      <c r="R1408" s="33"/>
      <c r="S1408" s="33"/>
      <c r="T1408" s="63">
        <f t="shared" si="12"/>
        <v>0</v>
      </c>
      <c r="U1408" s="33"/>
      <c r="V1408" s="33"/>
      <c r="W1408" s="33"/>
    </row>
    <row r="1409" spans="1:23" ht="16.5" customHeight="1" x14ac:dyDescent="0.25">
      <c r="A1409" s="26" t="s">
        <v>3646</v>
      </c>
      <c r="B1409" s="26" t="s">
        <v>3647</v>
      </c>
      <c r="C1409" s="26" t="s">
        <v>115</v>
      </c>
      <c r="D1409" s="27" t="s">
        <v>116</v>
      </c>
      <c r="E1409" s="27" t="s">
        <v>39</v>
      </c>
      <c r="F1409" s="28" t="e">
        <f ca="1">_xludf.ifna(VLOOKUP(G1409,Proyectos!$A$2:$F$674,6,0),"")</f>
        <v>#NAME?</v>
      </c>
      <c r="G1409" s="76" t="s">
        <v>5470</v>
      </c>
      <c r="H1409" s="96">
        <v>0.4</v>
      </c>
      <c r="I1409" s="31" t="s">
        <v>18</v>
      </c>
      <c r="J1409" s="31" t="s">
        <v>61</v>
      </c>
      <c r="K1409" s="31"/>
      <c r="L1409" s="32" t="e">
        <f ca="1">_xludf.ifna(VLOOKUP(E1409,Parámetros!$D$2:$E$34,2,0),"")</f>
        <v>#NAME?</v>
      </c>
      <c r="M1409" s="32" t="e">
        <f ca="1">_xludf.ifna(VLOOKUP(G1409,Proyectos!$A$2:$T$674,20,0),"")</f>
        <v>#NAME?</v>
      </c>
      <c r="N1409" s="32" t="e">
        <f ca="1">_xludf.ifna(VLOOKUP(G1409,Proyectos!$A$2:$S$674,19,0))</f>
        <v>#NAME?</v>
      </c>
      <c r="O1409" s="32"/>
      <c r="P1409" s="31"/>
      <c r="Q1409" s="33"/>
      <c r="R1409" s="33"/>
      <c r="S1409" s="33"/>
      <c r="T1409" s="63">
        <f t="shared" si="12"/>
        <v>1</v>
      </c>
      <c r="U1409" s="33"/>
      <c r="V1409" s="33"/>
      <c r="W1409" s="33"/>
    </row>
    <row r="1410" spans="1:23" ht="16.5" customHeight="1" x14ac:dyDescent="0.25">
      <c r="A1410" s="26" t="s">
        <v>3646</v>
      </c>
      <c r="B1410" s="26" t="s">
        <v>3647</v>
      </c>
      <c r="C1410" s="26" t="s">
        <v>115</v>
      </c>
      <c r="D1410" s="27" t="s">
        <v>116</v>
      </c>
      <c r="E1410" s="27" t="s">
        <v>39</v>
      </c>
      <c r="F1410" s="28" t="e">
        <f ca="1">_xludf.ifna(VLOOKUP(G1410,Proyectos!$A$2:$F$674,6,0),"")</f>
        <v>#NAME?</v>
      </c>
      <c r="G1410" s="76" t="s">
        <v>5235</v>
      </c>
      <c r="H1410" s="96">
        <v>0.6</v>
      </c>
      <c r="I1410" s="31" t="s">
        <v>18</v>
      </c>
      <c r="J1410" s="31" t="s">
        <v>61</v>
      </c>
      <c r="K1410" s="31"/>
      <c r="L1410" s="32" t="e">
        <f ca="1">_xludf.ifna(VLOOKUP(E1410,Parámetros!$D$2:$E$34,2,0),"")</f>
        <v>#NAME?</v>
      </c>
      <c r="M1410" s="32" t="e">
        <f ca="1">_xludf.ifna(VLOOKUP(G1410,Proyectos!$A$2:$T$674,20,0),"")</f>
        <v>#NAME?</v>
      </c>
      <c r="N1410" s="32" t="e">
        <f ca="1">_xludf.ifna(VLOOKUP(G1410,Proyectos!$A$2:$S$674,19,0))</f>
        <v>#NAME?</v>
      </c>
      <c r="O1410" s="32"/>
      <c r="P1410" s="31"/>
      <c r="Q1410" s="33"/>
      <c r="R1410" s="33"/>
      <c r="S1410" s="33"/>
      <c r="T1410" s="63">
        <f t="shared" si="12"/>
        <v>0</v>
      </c>
      <c r="U1410" s="33"/>
      <c r="V1410" s="33"/>
      <c r="W1410" s="33"/>
    </row>
    <row r="1411" spans="1:23" ht="16.5" customHeight="1" x14ac:dyDescent="0.2">
      <c r="A1411" s="26" t="s">
        <v>4200</v>
      </c>
      <c r="B1411" s="26" t="s">
        <v>4201</v>
      </c>
      <c r="C1411" s="26" t="s">
        <v>115</v>
      </c>
      <c r="D1411" s="27" t="s">
        <v>116</v>
      </c>
      <c r="E1411" s="27" t="s">
        <v>114</v>
      </c>
      <c r="F1411" s="28" t="e">
        <f ca="1">_xludf.ifna(VLOOKUP(G1411,Proyectos!$A$2:$F$674,6,0),"")</f>
        <v>#NAME?</v>
      </c>
      <c r="G1411" s="29" t="s">
        <v>5114</v>
      </c>
      <c r="H1411" s="96">
        <v>1</v>
      </c>
      <c r="I1411" s="31" t="s">
        <v>25</v>
      </c>
      <c r="J1411" s="31" t="s">
        <v>61</v>
      </c>
      <c r="K1411" s="31"/>
      <c r="L1411" s="32" t="e">
        <f ca="1">_xludf.ifna(VLOOKUP(E1411,Parámetros!$D$2:$E$34,2,0),"")</f>
        <v>#NAME?</v>
      </c>
      <c r="M1411" s="32" t="e">
        <f ca="1">_xludf.ifna(VLOOKUP(G1411,Proyectos!$A$2:$T$674,20,0),"")</f>
        <v>#NAME?</v>
      </c>
      <c r="N1411" s="32" t="e">
        <f ca="1">_xludf.ifna(VLOOKUP(G1411,Proyectos!$A$2:$S$674,19,0))</f>
        <v>#NAME?</v>
      </c>
      <c r="O1411" s="32"/>
      <c r="P1411" s="31"/>
      <c r="Q1411" s="33"/>
      <c r="R1411" s="33"/>
      <c r="S1411" s="33"/>
      <c r="T1411" s="63">
        <f t="shared" si="12"/>
        <v>1</v>
      </c>
      <c r="U1411" s="33"/>
      <c r="V1411" s="33"/>
      <c r="W1411" s="33"/>
    </row>
    <row r="1412" spans="1:23" ht="16.5" customHeight="1" x14ac:dyDescent="0.2">
      <c r="A1412" s="26" t="s">
        <v>3455</v>
      </c>
      <c r="B1412" s="26" t="s">
        <v>3456</v>
      </c>
      <c r="C1412" s="26" t="s">
        <v>115</v>
      </c>
      <c r="D1412" s="27" t="s">
        <v>116</v>
      </c>
      <c r="E1412" s="27" t="s">
        <v>39</v>
      </c>
      <c r="F1412" s="28" t="e">
        <f ca="1">_xludf.ifna(VLOOKUP(G1412,Proyectos!$A$2:$F$674,6,0),"")</f>
        <v>#NAME?</v>
      </c>
      <c r="G1412" s="29" t="s">
        <v>5114</v>
      </c>
      <c r="H1412" s="96">
        <v>0.3</v>
      </c>
      <c r="I1412" s="31" t="s">
        <v>18</v>
      </c>
      <c r="J1412" s="31" t="s">
        <v>61</v>
      </c>
      <c r="K1412" s="31"/>
      <c r="L1412" s="32" t="e">
        <f ca="1">_xludf.ifna(VLOOKUP(E1412,Parámetros!$D$2:$E$34,2,0),"")</f>
        <v>#NAME?</v>
      </c>
      <c r="M1412" s="32" t="e">
        <f ca="1">_xludf.ifna(VLOOKUP(G1412,Proyectos!$A$2:$T$674,20,0),"")</f>
        <v>#NAME?</v>
      </c>
      <c r="N1412" s="32" t="e">
        <f ca="1">_xludf.ifna(VLOOKUP(G1412,Proyectos!$A$2:$S$674,19,0))</f>
        <v>#NAME?</v>
      </c>
      <c r="O1412" s="32"/>
      <c r="P1412" s="31"/>
      <c r="Q1412" s="33"/>
      <c r="R1412" s="33"/>
      <c r="S1412" s="33"/>
      <c r="T1412" s="63">
        <f t="shared" si="12"/>
        <v>1</v>
      </c>
      <c r="U1412" s="33"/>
      <c r="V1412" s="33"/>
      <c r="W1412" s="33"/>
    </row>
    <row r="1413" spans="1:23" ht="16.5" customHeight="1" x14ac:dyDescent="0.25">
      <c r="A1413" s="26" t="s">
        <v>3455</v>
      </c>
      <c r="B1413" s="26" t="s">
        <v>3456</v>
      </c>
      <c r="C1413" s="26" t="s">
        <v>115</v>
      </c>
      <c r="D1413" s="27" t="s">
        <v>116</v>
      </c>
      <c r="E1413" s="27" t="s">
        <v>39</v>
      </c>
      <c r="F1413" s="28" t="e">
        <f ca="1">_xludf.ifna(VLOOKUP(G1413,Proyectos!$A$2:$F$674,6,0),"")</f>
        <v>#NAME?</v>
      </c>
      <c r="G1413" s="76" t="s">
        <v>5476</v>
      </c>
      <c r="H1413" s="96">
        <v>0.7</v>
      </c>
      <c r="I1413" s="31" t="s">
        <v>18</v>
      </c>
      <c r="J1413" s="31" t="s">
        <v>61</v>
      </c>
      <c r="K1413" s="31"/>
      <c r="L1413" s="32" t="e">
        <f ca="1">_xludf.ifna(VLOOKUP(E1413,Parámetros!$D$2:$E$34,2,0),"")</f>
        <v>#NAME?</v>
      </c>
      <c r="M1413" s="32" t="e">
        <f ca="1">_xludf.ifna(VLOOKUP(G1413,Proyectos!$A$2:$T$674,20,0),"")</f>
        <v>#NAME?</v>
      </c>
      <c r="N1413" s="32" t="e">
        <f ca="1">_xludf.ifna(VLOOKUP(G1413,Proyectos!$A$2:$S$674,19,0))</f>
        <v>#NAME?</v>
      </c>
      <c r="O1413" s="32"/>
      <c r="P1413" s="31"/>
      <c r="Q1413" s="33"/>
      <c r="R1413" s="33"/>
      <c r="S1413" s="33"/>
      <c r="T1413" s="63">
        <f t="shared" si="12"/>
        <v>0</v>
      </c>
      <c r="U1413" s="33"/>
      <c r="V1413" s="33"/>
      <c r="W1413" s="33"/>
    </row>
    <row r="1414" spans="1:23" ht="16.5" customHeight="1" x14ac:dyDescent="0.25">
      <c r="A1414" s="26" t="s">
        <v>3668</v>
      </c>
      <c r="B1414" s="26" t="s">
        <v>3669</v>
      </c>
      <c r="C1414" s="26" t="s">
        <v>115</v>
      </c>
      <c r="D1414" s="27" t="s">
        <v>116</v>
      </c>
      <c r="E1414" s="27" t="s">
        <v>39</v>
      </c>
      <c r="F1414" s="28" t="e">
        <f ca="1">_xludf.ifna(VLOOKUP(G1414,Proyectos!$A$2:$F$674,6,0),"")</f>
        <v>#NAME?</v>
      </c>
      <c r="G1414" s="76" t="s">
        <v>5472</v>
      </c>
      <c r="H1414" s="96">
        <v>1</v>
      </c>
      <c r="I1414" s="31" t="s">
        <v>18</v>
      </c>
      <c r="J1414" s="31" t="s">
        <v>61</v>
      </c>
      <c r="K1414" s="31"/>
      <c r="L1414" s="32" t="e">
        <f ca="1">_xludf.ifna(VLOOKUP(E1414,Parámetros!$D$2:$E$34,2,0),"")</f>
        <v>#NAME?</v>
      </c>
      <c r="M1414" s="32" t="e">
        <f ca="1">_xludf.ifna(VLOOKUP(G1414,Proyectos!$A$2:$T$674,20,0),"")</f>
        <v>#NAME?</v>
      </c>
      <c r="N1414" s="32" t="e">
        <f ca="1">_xludf.ifna(VLOOKUP(G1414,Proyectos!$A$2:$S$674,19,0))</f>
        <v>#NAME?</v>
      </c>
      <c r="O1414" s="32"/>
      <c r="P1414" s="31"/>
      <c r="Q1414" s="33"/>
      <c r="R1414" s="33"/>
      <c r="S1414" s="33"/>
      <c r="T1414" s="63">
        <f t="shared" si="12"/>
        <v>1</v>
      </c>
      <c r="U1414" s="33"/>
      <c r="V1414" s="33"/>
      <c r="W1414" s="33"/>
    </row>
    <row r="1415" spans="1:23" ht="16.5" customHeight="1" x14ac:dyDescent="0.25">
      <c r="A1415" s="26" t="s">
        <v>3644</v>
      </c>
      <c r="B1415" s="26" t="s">
        <v>3645</v>
      </c>
      <c r="C1415" s="26" t="s">
        <v>115</v>
      </c>
      <c r="D1415" s="27" t="s">
        <v>116</v>
      </c>
      <c r="E1415" s="27" t="s">
        <v>39</v>
      </c>
      <c r="F1415" s="28" t="e">
        <f ca="1">_xludf.ifna(VLOOKUP(G1415,Proyectos!$A$2:$F$674,6,0),"")</f>
        <v>#NAME?</v>
      </c>
      <c r="G1415" s="76" t="s">
        <v>5477</v>
      </c>
      <c r="H1415" s="96">
        <v>0.8</v>
      </c>
      <c r="I1415" s="31" t="s">
        <v>18</v>
      </c>
      <c r="J1415" s="31" t="s">
        <v>61</v>
      </c>
      <c r="K1415" s="31"/>
      <c r="L1415" s="32" t="e">
        <f ca="1">_xludf.ifna(VLOOKUP(E1415,Parámetros!$D$2:$E$34,2,0),"")</f>
        <v>#NAME?</v>
      </c>
      <c r="M1415" s="32" t="e">
        <f ca="1">_xludf.ifna(VLOOKUP(G1415,Proyectos!$A$2:$T$674,20,0),"")</f>
        <v>#NAME?</v>
      </c>
      <c r="N1415" s="32" t="e">
        <f ca="1">_xludf.ifna(VLOOKUP(G1415,Proyectos!$A$2:$S$674,19,0))</f>
        <v>#NAME?</v>
      </c>
      <c r="O1415" s="32"/>
      <c r="P1415" s="31"/>
      <c r="Q1415" s="33"/>
      <c r="R1415" s="33"/>
      <c r="S1415" s="33"/>
      <c r="T1415" s="63">
        <f t="shared" si="12"/>
        <v>1</v>
      </c>
      <c r="U1415" s="33"/>
      <c r="V1415" s="33"/>
      <c r="W1415" s="33"/>
    </row>
    <row r="1416" spans="1:23" ht="16.5" customHeight="1" x14ac:dyDescent="0.2">
      <c r="A1416" s="26" t="s">
        <v>3644</v>
      </c>
      <c r="B1416" s="26" t="s">
        <v>3645</v>
      </c>
      <c r="C1416" s="26" t="s">
        <v>115</v>
      </c>
      <c r="D1416" s="27" t="s">
        <v>116</v>
      </c>
      <c r="E1416" s="27" t="s">
        <v>39</v>
      </c>
      <c r="F1416" s="28" t="e">
        <f ca="1">_xludf.ifna(VLOOKUP(G1416,Proyectos!$A$2:$F$674,6,0),"")</f>
        <v>#NAME?</v>
      </c>
      <c r="G1416" s="29" t="s">
        <v>5114</v>
      </c>
      <c r="H1416" s="96">
        <v>0.2</v>
      </c>
      <c r="I1416" s="31" t="s">
        <v>18</v>
      </c>
      <c r="J1416" s="31" t="s">
        <v>61</v>
      </c>
      <c r="K1416" s="31"/>
      <c r="L1416" s="32" t="e">
        <f ca="1">_xludf.ifna(VLOOKUP(E1416,Parámetros!$D$2:$E$34,2,0),"")</f>
        <v>#NAME?</v>
      </c>
      <c r="M1416" s="32" t="e">
        <f ca="1">_xludf.ifna(VLOOKUP(G1416,Proyectos!$A$2:$T$674,20,0),"")</f>
        <v>#NAME?</v>
      </c>
      <c r="N1416" s="32" t="e">
        <f ca="1">_xludf.ifna(VLOOKUP(G1416,Proyectos!$A$2:$S$674,19,0))</f>
        <v>#NAME?</v>
      </c>
      <c r="O1416" s="32"/>
      <c r="P1416" s="31"/>
      <c r="Q1416" s="33"/>
      <c r="R1416" s="33"/>
      <c r="S1416" s="33"/>
      <c r="T1416" s="63">
        <f t="shared" si="12"/>
        <v>0</v>
      </c>
      <c r="U1416" s="33"/>
      <c r="V1416" s="33"/>
      <c r="W1416" s="33"/>
    </row>
    <row r="1417" spans="1:23" ht="16.5" customHeight="1" x14ac:dyDescent="0.2">
      <c r="A1417" s="26" t="s">
        <v>3668</v>
      </c>
      <c r="B1417" s="26" t="s">
        <v>5481</v>
      </c>
      <c r="C1417" s="26" t="s">
        <v>115</v>
      </c>
      <c r="D1417" s="27" t="s">
        <v>116</v>
      </c>
      <c r="E1417" s="27" t="s">
        <v>39</v>
      </c>
      <c r="F1417" s="28" t="e">
        <f ca="1">_xludf.ifna(VLOOKUP(G1417,Proyectos!$A$2:$F$674,6,0),"")</f>
        <v>#NAME?</v>
      </c>
      <c r="G1417" s="29" t="s">
        <v>5114</v>
      </c>
      <c r="H1417" s="96">
        <v>0.5</v>
      </c>
      <c r="I1417" s="31" t="s">
        <v>18</v>
      </c>
      <c r="J1417" s="31" t="s">
        <v>41</v>
      </c>
      <c r="K1417" s="31"/>
      <c r="L1417" s="32" t="e">
        <f ca="1">_xludf.ifna(VLOOKUP(E1417,Parámetros!$D$2:$E$34,2,0),"")</f>
        <v>#NAME?</v>
      </c>
      <c r="M1417" s="32" t="e">
        <f ca="1">_xludf.ifna(VLOOKUP(G1417,Proyectos!$A$2:$T$674,20,0),"")</f>
        <v>#NAME?</v>
      </c>
      <c r="N1417" s="32" t="e">
        <f ca="1">_xludf.ifna(VLOOKUP(G1417,Proyectos!$A$2:$S$674,19,0))</f>
        <v>#NAME?</v>
      </c>
      <c r="O1417" s="32"/>
      <c r="P1417" s="31"/>
      <c r="Q1417" s="33"/>
      <c r="R1417" s="33"/>
      <c r="S1417" s="33"/>
      <c r="T1417" s="63">
        <f t="shared" si="12"/>
        <v>1</v>
      </c>
      <c r="U1417" s="33"/>
      <c r="V1417" s="33"/>
      <c r="W1417" s="33"/>
    </row>
    <row r="1418" spans="1:23" ht="16.5" customHeight="1" x14ac:dyDescent="0.25">
      <c r="A1418" s="26" t="s">
        <v>3668</v>
      </c>
      <c r="B1418" s="26" t="s">
        <v>5481</v>
      </c>
      <c r="C1418" s="26" t="s">
        <v>115</v>
      </c>
      <c r="D1418" s="27" t="s">
        <v>116</v>
      </c>
      <c r="E1418" s="27" t="s">
        <v>39</v>
      </c>
      <c r="F1418" s="28" t="e">
        <f ca="1">_xludf.ifna(VLOOKUP(G1418,Proyectos!$A$2:$F$674,6,0),"")</f>
        <v>#NAME?</v>
      </c>
      <c r="G1418" s="76" t="s">
        <v>5474</v>
      </c>
      <c r="H1418" s="96">
        <v>0.5</v>
      </c>
      <c r="I1418" s="31" t="s">
        <v>18</v>
      </c>
      <c r="J1418" s="31" t="s">
        <v>41</v>
      </c>
      <c r="K1418" s="31"/>
      <c r="L1418" s="32" t="e">
        <f ca="1">_xludf.ifna(VLOOKUP(E1418,Parámetros!$D$2:$E$34,2,0),"")</f>
        <v>#NAME?</v>
      </c>
      <c r="M1418" s="32" t="e">
        <f ca="1">_xludf.ifna(VLOOKUP(G1418,Proyectos!$A$2:$T$674,20,0),"")</f>
        <v>#NAME?</v>
      </c>
      <c r="N1418" s="32" t="e">
        <f ca="1">_xludf.ifna(VLOOKUP(G1418,Proyectos!$A$2:$S$674,19,0))</f>
        <v>#NAME?</v>
      </c>
      <c r="O1418" s="31"/>
      <c r="P1418" s="31"/>
      <c r="Q1418" s="33"/>
      <c r="R1418" s="33"/>
      <c r="S1418" s="33"/>
      <c r="T1418" s="63">
        <f t="shared" si="12"/>
        <v>0</v>
      </c>
      <c r="U1418" s="33"/>
      <c r="V1418" s="33"/>
      <c r="W1418" s="33"/>
    </row>
    <row r="1419" spans="1:23" ht="16.5" customHeight="1" x14ac:dyDescent="0.2">
      <c r="A1419" s="26" t="s">
        <v>4861</v>
      </c>
      <c r="B1419" s="26" t="s">
        <v>4862</v>
      </c>
      <c r="C1419" s="26" t="s">
        <v>115</v>
      </c>
      <c r="D1419" s="27" t="s">
        <v>116</v>
      </c>
      <c r="E1419" s="27" t="s">
        <v>126</v>
      </c>
      <c r="F1419" s="28" t="e">
        <f ca="1">_xludf.ifna(VLOOKUP(G1419,Proyectos!$A$2:$F$674,6,0),"")</f>
        <v>#NAME?</v>
      </c>
      <c r="G1419" s="29" t="s">
        <v>5114</v>
      </c>
      <c r="H1419" s="96">
        <v>1</v>
      </c>
      <c r="I1419" s="31" t="s">
        <v>18</v>
      </c>
      <c r="J1419" s="31" t="s">
        <v>61</v>
      </c>
      <c r="K1419" s="31"/>
      <c r="L1419" s="32" t="e">
        <f ca="1">_xludf.ifna(VLOOKUP(E1419,Parámetros!$D$2:$E$34,2,0),"")</f>
        <v>#NAME?</v>
      </c>
      <c r="M1419" s="32" t="e">
        <f ca="1">_xludf.ifna(VLOOKUP(G1419,Proyectos!$A$2:$T$674,20,0),"")</f>
        <v>#NAME?</v>
      </c>
      <c r="N1419" s="32" t="e">
        <f ca="1">_xludf.ifna(VLOOKUP(G1419,Proyectos!$A$2:$S$674,19,0))</f>
        <v>#NAME?</v>
      </c>
      <c r="O1419" s="31"/>
      <c r="P1419" s="31"/>
      <c r="Q1419" s="33"/>
      <c r="R1419" s="33"/>
      <c r="S1419" s="33"/>
      <c r="T1419" s="63">
        <f t="shared" si="12"/>
        <v>1</v>
      </c>
      <c r="U1419" s="33"/>
      <c r="V1419" s="33"/>
      <c r="W1419" s="33"/>
    </row>
    <row r="1420" spans="1:23" ht="16.5" customHeight="1" x14ac:dyDescent="0.25">
      <c r="A1420" s="26" t="s">
        <v>3630</v>
      </c>
      <c r="B1420" s="26" t="s">
        <v>3631</v>
      </c>
      <c r="C1420" s="26" t="s">
        <v>115</v>
      </c>
      <c r="D1420" s="27" t="s">
        <v>116</v>
      </c>
      <c r="E1420" s="27" t="s">
        <v>39</v>
      </c>
      <c r="F1420" s="28" t="e">
        <f ca="1">_xludf.ifna(VLOOKUP(G1420,Proyectos!$A$2:$F$674,6,0),"")</f>
        <v>#NAME?</v>
      </c>
      <c r="G1420" s="76" t="s">
        <v>5475</v>
      </c>
      <c r="H1420" s="96">
        <v>1</v>
      </c>
      <c r="I1420" s="31" t="s">
        <v>18</v>
      </c>
      <c r="J1420" s="31" t="s">
        <v>61</v>
      </c>
      <c r="K1420" s="31"/>
      <c r="L1420" s="32" t="e">
        <f ca="1">_xludf.ifna(VLOOKUP(E1420,Parámetros!$D$2:$E$34,2,0),"")</f>
        <v>#NAME?</v>
      </c>
      <c r="M1420" s="32" t="e">
        <f ca="1">_xludf.ifna(VLOOKUP(G1420,Proyectos!$A$2:$T$674,20,0),"")</f>
        <v>#NAME?</v>
      </c>
      <c r="N1420" s="32" t="e">
        <f ca="1">_xludf.ifna(VLOOKUP(G1420,Proyectos!$A$2:$S$674,19,0))</f>
        <v>#NAME?</v>
      </c>
      <c r="O1420" s="32"/>
      <c r="P1420" s="31"/>
      <c r="Q1420" s="33"/>
      <c r="R1420" s="33"/>
      <c r="S1420" s="33"/>
      <c r="T1420" s="63">
        <f t="shared" si="12"/>
        <v>1</v>
      </c>
      <c r="U1420" s="33"/>
      <c r="V1420" s="33"/>
      <c r="W1420" s="33"/>
    </row>
    <row r="1421" spans="1:23" ht="16.5" customHeight="1" x14ac:dyDescent="0.25">
      <c r="A1421" s="26" t="s">
        <v>3356</v>
      </c>
      <c r="B1421" s="26" t="s">
        <v>3357</v>
      </c>
      <c r="C1421" s="26" t="s">
        <v>115</v>
      </c>
      <c r="D1421" s="27" t="s">
        <v>116</v>
      </c>
      <c r="E1421" s="27" t="s">
        <v>39</v>
      </c>
      <c r="F1421" s="28" t="e">
        <f ca="1">_xludf.ifna(VLOOKUP(G1421,Proyectos!$A$2:$F$674,6,0),"")</f>
        <v>#NAME?</v>
      </c>
      <c r="G1421" s="76" t="s">
        <v>5468</v>
      </c>
      <c r="H1421" s="96">
        <v>0.1</v>
      </c>
      <c r="I1421" s="31" t="s">
        <v>18</v>
      </c>
      <c r="J1421" s="31" t="s">
        <v>61</v>
      </c>
      <c r="K1421" s="31"/>
      <c r="L1421" s="32" t="e">
        <f ca="1">_xludf.ifna(VLOOKUP(E1421,Parámetros!$D$2:$E$34,2,0),"")</f>
        <v>#NAME?</v>
      </c>
      <c r="M1421" s="32" t="e">
        <f ca="1">_xludf.ifna(VLOOKUP(G1421,Proyectos!$A$2:$T$674,20,0),"")</f>
        <v>#NAME?</v>
      </c>
      <c r="N1421" s="32" t="e">
        <f ca="1">_xludf.ifna(VLOOKUP(G1421,Proyectos!$A$2:$S$674,19,0))</f>
        <v>#NAME?</v>
      </c>
      <c r="O1421" s="32"/>
      <c r="P1421" s="31"/>
      <c r="Q1421" s="33"/>
      <c r="R1421" s="33"/>
      <c r="S1421" s="33"/>
      <c r="T1421" s="63">
        <f t="shared" si="12"/>
        <v>1</v>
      </c>
      <c r="U1421" s="33"/>
      <c r="V1421" s="33"/>
      <c r="W1421" s="33"/>
    </row>
    <row r="1422" spans="1:23" ht="16.5" customHeight="1" x14ac:dyDescent="0.25">
      <c r="A1422" s="26" t="s">
        <v>3356</v>
      </c>
      <c r="B1422" s="26" t="s">
        <v>3357</v>
      </c>
      <c r="C1422" s="26" t="s">
        <v>115</v>
      </c>
      <c r="D1422" s="27" t="s">
        <v>116</v>
      </c>
      <c r="E1422" s="27" t="s">
        <v>39</v>
      </c>
      <c r="F1422" s="28" t="e">
        <f ca="1">_xludf.ifna(VLOOKUP(G1422,Proyectos!$A$2:$F$674,6,0),"")</f>
        <v>#NAME?</v>
      </c>
      <c r="G1422" s="76" t="s">
        <v>5468</v>
      </c>
      <c r="H1422" s="96">
        <v>0.1</v>
      </c>
      <c r="I1422" s="31" t="s">
        <v>18</v>
      </c>
      <c r="J1422" s="31" t="s">
        <v>61</v>
      </c>
      <c r="K1422" s="31"/>
      <c r="L1422" s="32" t="e">
        <f ca="1">_xludf.ifna(VLOOKUP(E1422,Parámetros!$D$2:$E$34,2,0),"")</f>
        <v>#NAME?</v>
      </c>
      <c r="M1422" s="32" t="e">
        <f ca="1">_xludf.ifna(VLOOKUP(G1422,Proyectos!$A$2:$T$674,20,0),"")</f>
        <v>#NAME?</v>
      </c>
      <c r="N1422" s="32" t="e">
        <f ca="1">_xludf.ifna(VLOOKUP(G1422,Proyectos!$A$2:$S$674,19,0))</f>
        <v>#NAME?</v>
      </c>
      <c r="O1422" s="32"/>
      <c r="P1422" s="31"/>
      <c r="Q1422" s="33"/>
      <c r="R1422" s="33"/>
      <c r="S1422" s="33"/>
      <c r="T1422" s="63">
        <f t="shared" si="12"/>
        <v>0</v>
      </c>
      <c r="U1422" s="33"/>
      <c r="V1422" s="33"/>
      <c r="W1422" s="33"/>
    </row>
    <row r="1423" spans="1:23" ht="16.5" customHeight="1" x14ac:dyDescent="0.25">
      <c r="A1423" s="26" t="s">
        <v>3356</v>
      </c>
      <c r="B1423" s="26" t="s">
        <v>3357</v>
      </c>
      <c r="C1423" s="26" t="s">
        <v>115</v>
      </c>
      <c r="D1423" s="27" t="s">
        <v>116</v>
      </c>
      <c r="E1423" s="27" t="s">
        <v>39</v>
      </c>
      <c r="F1423" s="28" t="e">
        <f ca="1">_xludf.ifna(VLOOKUP(G1423,Proyectos!$A$2:$F$674,6,0),"")</f>
        <v>#NAME?</v>
      </c>
      <c r="G1423" s="76" t="s">
        <v>5474</v>
      </c>
      <c r="H1423" s="96">
        <v>0.8</v>
      </c>
      <c r="I1423" s="31" t="s">
        <v>18</v>
      </c>
      <c r="J1423" s="31" t="s">
        <v>61</v>
      </c>
      <c r="K1423" s="31"/>
      <c r="L1423" s="32" t="e">
        <f ca="1">_xludf.ifna(VLOOKUP(E1423,Parámetros!$D$2:$E$34,2,0),"")</f>
        <v>#NAME?</v>
      </c>
      <c r="M1423" s="32" t="e">
        <f ca="1">_xludf.ifna(VLOOKUP(G1423,Proyectos!$A$2:$T$674,20,0),"")</f>
        <v>#NAME?</v>
      </c>
      <c r="N1423" s="32" t="e">
        <f ca="1">_xludf.ifna(VLOOKUP(G1423,Proyectos!$A$2:$S$674,19,0))</f>
        <v>#NAME?</v>
      </c>
      <c r="O1423" s="32"/>
      <c r="P1423" s="31"/>
      <c r="Q1423" s="33"/>
      <c r="R1423" s="33"/>
      <c r="S1423" s="33"/>
      <c r="T1423" s="63">
        <f t="shared" si="12"/>
        <v>0</v>
      </c>
      <c r="U1423" s="33"/>
      <c r="V1423" s="33"/>
      <c r="W1423" s="33"/>
    </row>
    <row r="1424" spans="1:23" ht="16.5" customHeight="1" x14ac:dyDescent="0.25">
      <c r="A1424" s="26" t="s">
        <v>3562</v>
      </c>
      <c r="B1424" s="26" t="s">
        <v>3563</v>
      </c>
      <c r="C1424" s="26" t="s">
        <v>115</v>
      </c>
      <c r="D1424" s="27" t="s">
        <v>116</v>
      </c>
      <c r="E1424" s="27" t="s">
        <v>39</v>
      </c>
      <c r="F1424" s="28" t="e">
        <f ca="1">_xludf.ifna(VLOOKUP(G1424,Proyectos!$A$2:$F$674,6,0),"")</f>
        <v>#NAME?</v>
      </c>
      <c r="G1424" s="76" t="s">
        <v>5235</v>
      </c>
      <c r="H1424" s="96">
        <v>1</v>
      </c>
      <c r="I1424" s="31" t="s">
        <v>18</v>
      </c>
      <c r="J1424" s="31" t="s">
        <v>19</v>
      </c>
      <c r="K1424" s="31"/>
      <c r="L1424" s="32" t="e">
        <f ca="1">_xludf.ifna(VLOOKUP(E1424,Parámetros!$D$2:$E$34,2,0),"")</f>
        <v>#NAME?</v>
      </c>
      <c r="M1424" s="32" t="e">
        <f ca="1">_xludf.ifna(VLOOKUP(G1424,Proyectos!$A$2:$T$674,20,0),"")</f>
        <v>#NAME?</v>
      </c>
      <c r="N1424" s="32" t="e">
        <f ca="1">_xludf.ifna(VLOOKUP(G1424,Proyectos!$A$2:$S$674,19,0))</f>
        <v>#NAME?</v>
      </c>
      <c r="O1424" s="32"/>
      <c r="P1424" s="31"/>
      <c r="Q1424" s="33"/>
      <c r="R1424" s="33"/>
      <c r="S1424" s="33"/>
      <c r="T1424" s="63">
        <f t="shared" si="12"/>
        <v>1</v>
      </c>
      <c r="U1424" s="33"/>
      <c r="V1424" s="33"/>
      <c r="W1424" s="33"/>
    </row>
    <row r="1425" spans="1:23" ht="16.5" customHeight="1" x14ac:dyDescent="0.25">
      <c r="A1425" s="26" t="s">
        <v>4619</v>
      </c>
      <c r="B1425" s="26" t="s">
        <v>4620</v>
      </c>
      <c r="C1425" s="26" t="s">
        <v>115</v>
      </c>
      <c r="D1425" s="27" t="s">
        <v>116</v>
      </c>
      <c r="E1425" s="27" t="s">
        <v>39</v>
      </c>
      <c r="F1425" s="28" t="e">
        <f ca="1">_xludf.ifna(VLOOKUP(G1425,Proyectos!$A$2:$F$674,6,0),"")</f>
        <v>#NAME?</v>
      </c>
      <c r="G1425" s="76" t="s">
        <v>5470</v>
      </c>
      <c r="H1425" s="96">
        <v>0.1</v>
      </c>
      <c r="I1425" s="31" t="s">
        <v>11</v>
      </c>
      <c r="J1425" s="31" t="s">
        <v>72</v>
      </c>
      <c r="K1425" s="31"/>
      <c r="L1425" s="32" t="e">
        <f ca="1">_xludf.ifna(VLOOKUP(E1425,Parámetros!$D$2:$E$34,2,0),"")</f>
        <v>#NAME?</v>
      </c>
      <c r="M1425" s="32" t="e">
        <f ca="1">_xludf.ifna(VLOOKUP(G1425,Proyectos!$A$2:$T$674,20,0),"")</f>
        <v>#NAME?</v>
      </c>
      <c r="N1425" s="32" t="e">
        <f ca="1">_xludf.ifna(VLOOKUP(G1425,Proyectos!$A$2:$S$674,19,0))</f>
        <v>#NAME?</v>
      </c>
      <c r="O1425" s="32"/>
      <c r="P1425" s="31"/>
      <c r="Q1425" s="33"/>
      <c r="R1425" s="33"/>
      <c r="S1425" s="33"/>
      <c r="T1425" s="63">
        <f t="shared" si="12"/>
        <v>1</v>
      </c>
      <c r="U1425" s="33"/>
      <c r="V1425" s="33"/>
      <c r="W1425" s="33"/>
    </row>
    <row r="1426" spans="1:23" ht="16.5" customHeight="1" x14ac:dyDescent="0.25">
      <c r="A1426" s="26" t="s">
        <v>4619</v>
      </c>
      <c r="B1426" s="26" t="s">
        <v>4620</v>
      </c>
      <c r="C1426" s="26" t="s">
        <v>115</v>
      </c>
      <c r="D1426" s="27" t="s">
        <v>116</v>
      </c>
      <c r="E1426" s="27" t="s">
        <v>39</v>
      </c>
      <c r="F1426" s="28" t="e">
        <f ca="1">_xludf.ifna(VLOOKUP(G1426,Proyectos!$A$2:$F$674,6,0),"")</f>
        <v>#NAME?</v>
      </c>
      <c r="G1426" s="76" t="s">
        <v>5235</v>
      </c>
      <c r="H1426" s="96">
        <v>0.3</v>
      </c>
      <c r="I1426" s="31" t="s">
        <v>11</v>
      </c>
      <c r="J1426" s="31" t="s">
        <v>72</v>
      </c>
      <c r="K1426" s="31"/>
      <c r="L1426" s="32" t="e">
        <f ca="1">_xludf.ifna(VLOOKUP(E1426,Parámetros!$D$2:$E$34,2,0),"")</f>
        <v>#NAME?</v>
      </c>
      <c r="M1426" s="32" t="e">
        <f ca="1">_xludf.ifna(VLOOKUP(G1426,Proyectos!$A$2:$T$674,20,0),"")</f>
        <v>#NAME?</v>
      </c>
      <c r="N1426" s="32" t="e">
        <f ca="1">_xludf.ifna(VLOOKUP(G1426,Proyectos!$A$2:$S$674,19,0))</f>
        <v>#NAME?</v>
      </c>
      <c r="O1426" s="31"/>
      <c r="P1426" s="31"/>
      <c r="Q1426" s="33"/>
      <c r="R1426" s="33"/>
      <c r="S1426" s="33"/>
      <c r="T1426" s="63">
        <f t="shared" si="12"/>
        <v>0</v>
      </c>
      <c r="U1426" s="33"/>
      <c r="V1426" s="33"/>
      <c r="W1426" s="33"/>
    </row>
    <row r="1427" spans="1:23" ht="16.5" customHeight="1" x14ac:dyDescent="0.25">
      <c r="A1427" s="26" t="s">
        <v>4619</v>
      </c>
      <c r="B1427" s="26" t="s">
        <v>4620</v>
      </c>
      <c r="C1427" s="26" t="s">
        <v>115</v>
      </c>
      <c r="D1427" s="27" t="s">
        <v>116</v>
      </c>
      <c r="E1427" s="27" t="s">
        <v>39</v>
      </c>
      <c r="F1427" s="28" t="e">
        <f ca="1">_xludf.ifna(VLOOKUP(G1427,Proyectos!$A$2:$F$674,6,0),"")</f>
        <v>#NAME?</v>
      </c>
      <c r="G1427" s="76" t="s">
        <v>5237</v>
      </c>
      <c r="H1427" s="96">
        <v>0.1</v>
      </c>
      <c r="I1427" s="31" t="s">
        <v>11</v>
      </c>
      <c r="J1427" s="31" t="s">
        <v>72</v>
      </c>
      <c r="K1427" s="31"/>
      <c r="L1427" s="32" t="e">
        <f ca="1">_xludf.ifna(VLOOKUP(E1427,Parámetros!$D$2:$E$34,2,0),"")</f>
        <v>#NAME?</v>
      </c>
      <c r="M1427" s="32" t="e">
        <f ca="1">_xludf.ifna(VLOOKUP(G1427,Proyectos!$A$2:$T$674,20,0),"")</f>
        <v>#NAME?</v>
      </c>
      <c r="N1427" s="32" t="e">
        <f ca="1">_xludf.ifna(VLOOKUP(G1427,Proyectos!$A$2:$S$674,19,0))</f>
        <v>#NAME?</v>
      </c>
      <c r="O1427" s="32"/>
      <c r="P1427" s="31"/>
      <c r="Q1427" s="33"/>
      <c r="R1427" s="33"/>
      <c r="S1427" s="33"/>
      <c r="T1427" s="63">
        <f t="shared" si="12"/>
        <v>0</v>
      </c>
      <c r="U1427" s="33"/>
      <c r="V1427" s="33"/>
      <c r="W1427" s="33"/>
    </row>
    <row r="1428" spans="1:23" ht="16.5" customHeight="1" x14ac:dyDescent="0.25">
      <c r="A1428" s="26" t="s">
        <v>4619</v>
      </c>
      <c r="B1428" s="26" t="s">
        <v>4620</v>
      </c>
      <c r="C1428" s="26" t="s">
        <v>115</v>
      </c>
      <c r="D1428" s="27" t="s">
        <v>116</v>
      </c>
      <c r="E1428" s="27" t="s">
        <v>39</v>
      </c>
      <c r="F1428" s="28" t="e">
        <f ca="1">_xludf.ifna(VLOOKUP(G1428,Proyectos!$A$2:$F$674,6,0),"")</f>
        <v>#NAME?</v>
      </c>
      <c r="G1428" s="76" t="s">
        <v>5479</v>
      </c>
      <c r="H1428" s="96">
        <v>0.05</v>
      </c>
      <c r="I1428" s="31" t="s">
        <v>11</v>
      </c>
      <c r="J1428" s="31" t="s">
        <v>72</v>
      </c>
      <c r="K1428" s="31"/>
      <c r="L1428" s="32" t="e">
        <f ca="1">_xludf.ifna(VLOOKUP(E1428,Parámetros!$D$2:$E$34,2,0),"")</f>
        <v>#NAME?</v>
      </c>
      <c r="M1428" s="32" t="e">
        <f ca="1">_xludf.ifna(VLOOKUP(G1428,Proyectos!$A$2:$T$674,20,0),"")</f>
        <v>#NAME?</v>
      </c>
      <c r="N1428" s="32" t="e">
        <f ca="1">_xludf.ifna(VLOOKUP(G1428,Proyectos!$A$2:$S$674,19,0))</f>
        <v>#NAME?</v>
      </c>
      <c r="O1428" s="31"/>
      <c r="P1428" s="31"/>
      <c r="Q1428" s="33"/>
      <c r="R1428" s="33"/>
      <c r="S1428" s="33"/>
      <c r="T1428" s="63">
        <f t="shared" si="12"/>
        <v>0</v>
      </c>
      <c r="U1428" s="33"/>
      <c r="V1428" s="33"/>
      <c r="W1428" s="33"/>
    </row>
    <row r="1429" spans="1:23" ht="16.5" customHeight="1" x14ac:dyDescent="0.25">
      <c r="A1429" s="26" t="s">
        <v>4619</v>
      </c>
      <c r="B1429" s="26" t="s">
        <v>4620</v>
      </c>
      <c r="C1429" s="26" t="s">
        <v>115</v>
      </c>
      <c r="D1429" s="27" t="s">
        <v>116</v>
      </c>
      <c r="E1429" s="27" t="s">
        <v>39</v>
      </c>
      <c r="F1429" s="28" t="e">
        <f ca="1">_xludf.ifna(VLOOKUP(G1429,Proyectos!$A$2:$F$674,6,0),"")</f>
        <v>#NAME?</v>
      </c>
      <c r="G1429" s="76" t="s">
        <v>5471</v>
      </c>
      <c r="H1429" s="96">
        <v>0.05</v>
      </c>
      <c r="I1429" s="31" t="s">
        <v>11</v>
      </c>
      <c r="J1429" s="31" t="s">
        <v>72</v>
      </c>
      <c r="K1429" s="31"/>
      <c r="L1429" s="32" t="e">
        <f ca="1">_xludf.ifna(VLOOKUP(E1429,Parámetros!$D$2:$E$34,2,0),"")</f>
        <v>#NAME?</v>
      </c>
      <c r="M1429" s="32" t="e">
        <f ca="1">_xludf.ifna(VLOOKUP(G1429,Proyectos!$A$2:$T$674,20,0),"")</f>
        <v>#NAME?</v>
      </c>
      <c r="N1429" s="32" t="e">
        <f ca="1">_xludf.ifna(VLOOKUP(G1429,Proyectos!$A$2:$S$674,19,0))</f>
        <v>#NAME?</v>
      </c>
      <c r="O1429" s="31"/>
      <c r="P1429" s="31"/>
      <c r="Q1429" s="33"/>
      <c r="R1429" s="33"/>
      <c r="S1429" s="33"/>
      <c r="T1429" s="63">
        <f t="shared" si="12"/>
        <v>0</v>
      </c>
      <c r="U1429" s="33"/>
      <c r="V1429" s="33"/>
      <c r="W1429" s="33"/>
    </row>
    <row r="1430" spans="1:23" ht="16.5" customHeight="1" x14ac:dyDescent="0.25">
      <c r="A1430" s="26" t="s">
        <v>4619</v>
      </c>
      <c r="B1430" s="26" t="s">
        <v>4620</v>
      </c>
      <c r="C1430" s="26" t="s">
        <v>115</v>
      </c>
      <c r="D1430" s="27" t="s">
        <v>116</v>
      </c>
      <c r="E1430" s="27" t="s">
        <v>39</v>
      </c>
      <c r="F1430" s="28" t="e">
        <f ca="1">_xludf.ifna(VLOOKUP(G1430,Proyectos!$A$2:$F$674,6,0),"")</f>
        <v>#NAME?</v>
      </c>
      <c r="G1430" s="76" t="s">
        <v>5314</v>
      </c>
      <c r="H1430" s="96">
        <v>0.3</v>
      </c>
      <c r="I1430" s="31" t="s">
        <v>11</v>
      </c>
      <c r="J1430" s="31" t="s">
        <v>72</v>
      </c>
      <c r="K1430" s="31"/>
      <c r="L1430" s="32" t="e">
        <f ca="1">_xludf.ifna(VLOOKUP(E1430,Parámetros!$D$2:$E$34,2,0),"")</f>
        <v>#NAME?</v>
      </c>
      <c r="M1430" s="32" t="e">
        <f ca="1">_xludf.ifna(VLOOKUP(G1430,Proyectos!$A$2:$T$674,20,0),"")</f>
        <v>#NAME?</v>
      </c>
      <c r="N1430" s="32" t="e">
        <f ca="1">_xludf.ifna(VLOOKUP(G1430,Proyectos!$A$2:$S$674,19,0))</f>
        <v>#NAME?</v>
      </c>
      <c r="O1430" s="31"/>
      <c r="P1430" s="31"/>
      <c r="Q1430" s="33"/>
      <c r="R1430" s="33"/>
      <c r="S1430" s="33"/>
      <c r="T1430" s="63">
        <f t="shared" si="12"/>
        <v>0</v>
      </c>
      <c r="U1430" s="33"/>
      <c r="V1430" s="33"/>
      <c r="W1430" s="33"/>
    </row>
    <row r="1431" spans="1:23" ht="16.5" customHeight="1" x14ac:dyDescent="0.2">
      <c r="A1431" s="26" t="s">
        <v>4619</v>
      </c>
      <c r="B1431" s="26" t="s">
        <v>4620</v>
      </c>
      <c r="C1431" s="26" t="s">
        <v>115</v>
      </c>
      <c r="D1431" s="27" t="s">
        <v>116</v>
      </c>
      <c r="E1431" s="27" t="s">
        <v>39</v>
      </c>
      <c r="F1431" s="28" t="e">
        <f ca="1">_xludf.ifna(VLOOKUP(G1431,Proyectos!$A$2:$F$674,6,0),"")</f>
        <v>#NAME?</v>
      </c>
      <c r="G1431" s="29" t="s">
        <v>5114</v>
      </c>
      <c r="H1431" s="96">
        <v>0.1</v>
      </c>
      <c r="I1431" s="31" t="s">
        <v>11</v>
      </c>
      <c r="J1431" s="31" t="s">
        <v>72</v>
      </c>
      <c r="K1431" s="31"/>
      <c r="L1431" s="32" t="e">
        <f ca="1">_xludf.ifna(VLOOKUP(E1431,Parámetros!$D$2:$E$34,2,0),"")</f>
        <v>#NAME?</v>
      </c>
      <c r="M1431" s="32" t="e">
        <f ca="1">_xludf.ifna(VLOOKUP(G1431,Proyectos!$A$2:$T$674,20,0),"")</f>
        <v>#NAME?</v>
      </c>
      <c r="N1431" s="32" t="e">
        <f ca="1">_xludf.ifna(VLOOKUP(G1431,Proyectos!$A$2:$S$674,19,0))</f>
        <v>#NAME?</v>
      </c>
      <c r="O1431" s="31"/>
      <c r="P1431" s="31"/>
      <c r="Q1431" s="33"/>
      <c r="R1431" s="33"/>
      <c r="S1431" s="33"/>
      <c r="T1431" s="63">
        <f t="shared" si="12"/>
        <v>0</v>
      </c>
      <c r="U1431" s="33"/>
      <c r="V1431" s="33"/>
      <c r="W1431" s="33"/>
    </row>
    <row r="1432" spans="1:23" ht="16.5" customHeight="1" x14ac:dyDescent="0.2">
      <c r="A1432" s="26" t="s">
        <v>4611</v>
      </c>
      <c r="B1432" s="26" t="s">
        <v>4612</v>
      </c>
      <c r="C1432" s="26" t="s">
        <v>115</v>
      </c>
      <c r="D1432" s="27" t="s">
        <v>116</v>
      </c>
      <c r="E1432" s="27" t="s">
        <v>39</v>
      </c>
      <c r="F1432" s="28" t="e">
        <f ca="1">_xludf.ifna(VLOOKUP(G1432,Proyectos!$A$2:$F$674,6,0),"")</f>
        <v>#NAME?</v>
      </c>
      <c r="G1432" s="29" t="s">
        <v>5114</v>
      </c>
      <c r="H1432" s="96">
        <v>1</v>
      </c>
      <c r="I1432" s="31" t="s">
        <v>18</v>
      </c>
      <c r="J1432" s="31" t="s">
        <v>61</v>
      </c>
      <c r="K1432" s="31"/>
      <c r="L1432" s="32" t="e">
        <f ca="1">_xludf.ifna(VLOOKUP(E1432,Parámetros!$D$2:$E$34,2,0),"")</f>
        <v>#NAME?</v>
      </c>
      <c r="M1432" s="32" t="e">
        <f ca="1">_xludf.ifna(VLOOKUP(G1432,Proyectos!$A$2:$T$674,20,0),"")</f>
        <v>#NAME?</v>
      </c>
      <c r="N1432" s="32" t="e">
        <f ca="1">_xludf.ifna(VLOOKUP(G1432,Proyectos!$A$2:$S$674,19,0))</f>
        <v>#NAME?</v>
      </c>
      <c r="O1432" s="32"/>
      <c r="P1432" s="31"/>
      <c r="Q1432" s="33"/>
      <c r="R1432" s="33"/>
      <c r="S1432" s="33"/>
      <c r="T1432" s="63">
        <f t="shared" si="12"/>
        <v>1</v>
      </c>
      <c r="U1432" s="33"/>
      <c r="V1432" s="33"/>
      <c r="W1432" s="33"/>
    </row>
    <row r="1433" spans="1:23" ht="16.5" customHeight="1" x14ac:dyDescent="0.2">
      <c r="A1433" s="26" t="s">
        <v>3970</v>
      </c>
      <c r="B1433" s="26" t="s">
        <v>3971</v>
      </c>
      <c r="C1433" s="26" t="s">
        <v>115</v>
      </c>
      <c r="D1433" s="27" t="s">
        <v>116</v>
      </c>
      <c r="E1433" s="27" t="s">
        <v>126</v>
      </c>
      <c r="F1433" s="28" t="e">
        <f ca="1">_xludf.ifna(VLOOKUP(G1433,Proyectos!$A$2:$F$674,6,0),"")</f>
        <v>#NAME?</v>
      </c>
      <c r="G1433" s="29" t="s">
        <v>5114</v>
      </c>
      <c r="H1433" s="96">
        <v>1</v>
      </c>
      <c r="I1433" s="31" t="s">
        <v>18</v>
      </c>
      <c r="J1433" s="31" t="s">
        <v>61</v>
      </c>
      <c r="K1433" s="31"/>
      <c r="L1433" s="32" t="e">
        <f ca="1">_xludf.ifna(VLOOKUP(E1433,Parámetros!$D$2:$E$34,2,0),"")</f>
        <v>#NAME?</v>
      </c>
      <c r="M1433" s="32" t="e">
        <f ca="1">_xludf.ifna(VLOOKUP(G1433,Proyectos!$A$2:$T$674,20,0),"")</f>
        <v>#NAME?</v>
      </c>
      <c r="N1433" s="32" t="e">
        <f ca="1">_xludf.ifna(VLOOKUP(G1433,Proyectos!$A$2:$S$674,19,0))</f>
        <v>#NAME?</v>
      </c>
      <c r="O1433" s="32"/>
      <c r="P1433" s="31"/>
      <c r="Q1433" s="33"/>
      <c r="R1433" s="33"/>
      <c r="S1433" s="33"/>
      <c r="T1433" s="63">
        <f t="shared" si="12"/>
        <v>1</v>
      </c>
      <c r="U1433" s="33"/>
      <c r="V1433" s="33"/>
      <c r="W1433" s="33"/>
    </row>
    <row r="1434" spans="1:23" ht="16.5" customHeight="1" x14ac:dyDescent="0.2">
      <c r="A1434" s="26" t="s">
        <v>3795</v>
      </c>
      <c r="B1434" s="26" t="s">
        <v>3796</v>
      </c>
      <c r="C1434" s="26" t="s">
        <v>115</v>
      </c>
      <c r="D1434" s="27" t="s">
        <v>116</v>
      </c>
      <c r="E1434" s="27" t="s">
        <v>39</v>
      </c>
      <c r="F1434" s="28" t="e">
        <f ca="1">_xludf.ifna(VLOOKUP(G1434,Proyectos!$A$2:$F$674,6,0),"")</f>
        <v>#NAME?</v>
      </c>
      <c r="G1434" s="29" t="s">
        <v>5114</v>
      </c>
      <c r="H1434" s="96">
        <v>1</v>
      </c>
      <c r="I1434" s="31" t="s">
        <v>18</v>
      </c>
      <c r="J1434" s="31" t="s">
        <v>61</v>
      </c>
      <c r="K1434" s="31"/>
      <c r="L1434" s="32" t="e">
        <f ca="1">_xludf.ifna(VLOOKUP(E1434,Parámetros!$D$2:$E$34,2,0),"")</f>
        <v>#NAME?</v>
      </c>
      <c r="M1434" s="32" t="e">
        <f ca="1">_xludf.ifna(VLOOKUP(G1434,Proyectos!$A$2:$T$674,20,0),"")</f>
        <v>#NAME?</v>
      </c>
      <c r="N1434" s="32" t="e">
        <f ca="1">_xludf.ifna(VLOOKUP(G1434,Proyectos!$A$2:$S$674,19,0))</f>
        <v>#NAME?</v>
      </c>
      <c r="O1434" s="31"/>
      <c r="P1434" s="31"/>
      <c r="Q1434" s="33"/>
      <c r="R1434" s="33"/>
      <c r="S1434" s="33"/>
      <c r="T1434" s="63">
        <f t="shared" si="12"/>
        <v>1</v>
      </c>
      <c r="U1434" s="33"/>
      <c r="V1434" s="33"/>
      <c r="W1434" s="33"/>
    </row>
    <row r="1435" spans="1:23" ht="16.5" customHeight="1" x14ac:dyDescent="0.25">
      <c r="A1435" s="26" t="s">
        <v>4749</v>
      </c>
      <c r="B1435" s="26" t="s">
        <v>4750</v>
      </c>
      <c r="C1435" s="26" t="s">
        <v>115</v>
      </c>
      <c r="D1435" s="27" t="s">
        <v>116</v>
      </c>
      <c r="E1435" s="27" t="s">
        <v>39</v>
      </c>
      <c r="F1435" s="28" t="e">
        <f ca="1">_xludf.ifna(VLOOKUP(G1435,Proyectos!$A$2:$F$674,6,0),"")</f>
        <v>#NAME?</v>
      </c>
      <c r="G1435" s="76" t="s">
        <v>5468</v>
      </c>
      <c r="H1435" s="96">
        <v>0.25</v>
      </c>
      <c r="I1435" s="31" t="s">
        <v>25</v>
      </c>
      <c r="J1435" s="31" t="s">
        <v>41</v>
      </c>
      <c r="K1435" s="31"/>
      <c r="L1435" s="32" t="e">
        <f ca="1">_xludf.ifna(VLOOKUP(E1435,Parámetros!$D$2:$E$34,2,0),"")</f>
        <v>#NAME?</v>
      </c>
      <c r="M1435" s="32" t="e">
        <f ca="1">_xludf.ifna(VLOOKUP(G1435,Proyectos!$A$2:$T$674,20,0),"")</f>
        <v>#NAME?</v>
      </c>
      <c r="N1435" s="32" t="e">
        <f ca="1">_xludf.ifna(VLOOKUP(G1435,Proyectos!$A$2:$S$674,19,0))</f>
        <v>#NAME?</v>
      </c>
      <c r="O1435" s="32"/>
      <c r="P1435" s="31"/>
      <c r="Q1435" s="33"/>
      <c r="R1435" s="33"/>
      <c r="S1435" s="33"/>
      <c r="T1435" s="63">
        <f t="shared" si="12"/>
        <v>1</v>
      </c>
      <c r="U1435" s="33"/>
      <c r="V1435" s="33"/>
      <c r="W1435" s="33"/>
    </row>
    <row r="1436" spans="1:23" ht="16.5" customHeight="1" x14ac:dyDescent="0.25">
      <c r="A1436" s="26" t="s">
        <v>4749</v>
      </c>
      <c r="B1436" s="26" t="s">
        <v>4750</v>
      </c>
      <c r="C1436" s="26" t="s">
        <v>115</v>
      </c>
      <c r="D1436" s="27" t="s">
        <v>116</v>
      </c>
      <c r="E1436" s="27" t="s">
        <v>39</v>
      </c>
      <c r="F1436" s="28" t="e">
        <f ca="1">_xludf.ifna(VLOOKUP(G1436,Proyectos!$A$2:$F$674,6,0),"")</f>
        <v>#NAME?</v>
      </c>
      <c r="G1436" s="76" t="s">
        <v>5314</v>
      </c>
      <c r="H1436" s="96">
        <v>0.25</v>
      </c>
      <c r="I1436" s="31" t="s">
        <v>25</v>
      </c>
      <c r="J1436" s="31" t="s">
        <v>41</v>
      </c>
      <c r="K1436" s="31"/>
      <c r="L1436" s="32" t="e">
        <f ca="1">_xludf.ifna(VLOOKUP(E1436,Parámetros!$D$2:$E$34,2,0),"")</f>
        <v>#NAME?</v>
      </c>
      <c r="M1436" s="32" t="e">
        <f ca="1">_xludf.ifna(VLOOKUP(G1436,Proyectos!$A$2:$T$674,20,0),"")</f>
        <v>#NAME?</v>
      </c>
      <c r="N1436" s="32" t="e">
        <f ca="1">_xludf.ifna(VLOOKUP(G1436,Proyectos!$A$2:$S$674,19,0))</f>
        <v>#NAME?</v>
      </c>
      <c r="O1436" s="32"/>
      <c r="P1436" s="31"/>
      <c r="Q1436" s="33"/>
      <c r="R1436" s="33"/>
      <c r="S1436" s="33"/>
      <c r="T1436" s="63">
        <f t="shared" si="12"/>
        <v>0</v>
      </c>
      <c r="U1436" s="33"/>
      <c r="V1436" s="33"/>
      <c r="W1436" s="33"/>
    </row>
    <row r="1437" spans="1:23" ht="16.5" customHeight="1" x14ac:dyDescent="0.25">
      <c r="A1437" s="26" t="s">
        <v>4749</v>
      </c>
      <c r="B1437" s="26" t="s">
        <v>4750</v>
      </c>
      <c r="C1437" s="26" t="s">
        <v>115</v>
      </c>
      <c r="D1437" s="27" t="s">
        <v>116</v>
      </c>
      <c r="E1437" s="27" t="s">
        <v>39</v>
      </c>
      <c r="F1437" s="28" t="e">
        <f ca="1">_xludf.ifna(VLOOKUP(G1437,Proyectos!$A$2:$F$674,6,0),"")</f>
        <v>#NAME?</v>
      </c>
      <c r="G1437" s="76" t="s">
        <v>5470</v>
      </c>
      <c r="H1437" s="96">
        <v>0.25</v>
      </c>
      <c r="I1437" s="31" t="s">
        <v>25</v>
      </c>
      <c r="J1437" s="31" t="s">
        <v>41</v>
      </c>
      <c r="K1437" s="31"/>
      <c r="L1437" s="32" t="e">
        <f ca="1">_xludf.ifna(VLOOKUP(E1437,Parámetros!$D$2:$E$34,2,0),"")</f>
        <v>#NAME?</v>
      </c>
      <c r="M1437" s="32" t="e">
        <f ca="1">_xludf.ifna(VLOOKUP(G1437,Proyectos!$A$2:$T$674,20,0),"")</f>
        <v>#NAME?</v>
      </c>
      <c r="N1437" s="32" t="e">
        <f ca="1">_xludf.ifna(VLOOKUP(G1437,Proyectos!$A$2:$S$674,19,0))</f>
        <v>#NAME?</v>
      </c>
      <c r="O1437" s="32"/>
      <c r="P1437" s="31"/>
      <c r="Q1437" s="33"/>
      <c r="R1437" s="33"/>
      <c r="S1437" s="33"/>
      <c r="T1437" s="63">
        <f t="shared" si="12"/>
        <v>0</v>
      </c>
      <c r="U1437" s="33"/>
      <c r="V1437" s="33"/>
      <c r="W1437" s="33"/>
    </row>
    <row r="1438" spans="1:23" ht="16.5" customHeight="1" x14ac:dyDescent="0.25">
      <c r="A1438" s="26" t="s">
        <v>4749</v>
      </c>
      <c r="B1438" s="26" t="s">
        <v>4750</v>
      </c>
      <c r="C1438" s="26" t="s">
        <v>115</v>
      </c>
      <c r="D1438" s="27" t="s">
        <v>116</v>
      </c>
      <c r="E1438" s="27" t="s">
        <v>39</v>
      </c>
      <c r="F1438" s="28" t="e">
        <f ca="1">_xludf.ifna(VLOOKUP(G1438,Proyectos!$A$2:$F$674,6,0),"")</f>
        <v>#NAME?</v>
      </c>
      <c r="G1438" s="76" t="s">
        <v>5318</v>
      </c>
      <c r="H1438" s="96">
        <v>0.25</v>
      </c>
      <c r="I1438" s="31" t="s">
        <v>25</v>
      </c>
      <c r="J1438" s="31" t="s">
        <v>41</v>
      </c>
      <c r="K1438" s="31"/>
      <c r="L1438" s="32" t="e">
        <f ca="1">_xludf.ifna(VLOOKUP(E1438,Parámetros!$D$2:$E$34,2,0),"")</f>
        <v>#NAME?</v>
      </c>
      <c r="M1438" s="32" t="e">
        <f ca="1">_xludf.ifna(VLOOKUP(G1438,Proyectos!$A$2:$T$674,20,0),"")</f>
        <v>#NAME?</v>
      </c>
      <c r="N1438" s="32" t="e">
        <f ca="1">_xludf.ifna(VLOOKUP(G1438,Proyectos!$A$2:$S$674,19,0))</f>
        <v>#NAME?</v>
      </c>
      <c r="O1438" s="32"/>
      <c r="P1438" s="31"/>
      <c r="Q1438" s="33"/>
      <c r="R1438" s="33"/>
      <c r="S1438" s="33"/>
      <c r="T1438" s="63">
        <f t="shared" si="12"/>
        <v>0</v>
      </c>
      <c r="U1438" s="33"/>
      <c r="V1438" s="33"/>
      <c r="W1438" s="33"/>
    </row>
    <row r="1439" spans="1:23" ht="16.5" customHeight="1" x14ac:dyDescent="0.2">
      <c r="A1439" s="26" t="s">
        <v>4059</v>
      </c>
      <c r="B1439" s="26" t="s">
        <v>4060</v>
      </c>
      <c r="C1439" s="26" t="s">
        <v>115</v>
      </c>
      <c r="D1439" s="27" t="s">
        <v>116</v>
      </c>
      <c r="E1439" s="27" t="s">
        <v>126</v>
      </c>
      <c r="F1439" s="28" t="e">
        <f ca="1">_xludf.ifna(VLOOKUP(G1439,Proyectos!$A$2:$F$674,6,0),"")</f>
        <v>#NAME?</v>
      </c>
      <c r="G1439" s="29" t="s">
        <v>5114</v>
      </c>
      <c r="H1439" s="96">
        <v>1</v>
      </c>
      <c r="I1439" s="31" t="s">
        <v>18</v>
      </c>
      <c r="J1439" s="31" t="s">
        <v>61</v>
      </c>
      <c r="K1439" s="31"/>
      <c r="L1439" s="32" t="e">
        <f ca="1">_xludf.ifna(VLOOKUP(E1439,Parámetros!$D$2:$E$34,2,0),"")</f>
        <v>#NAME?</v>
      </c>
      <c r="M1439" s="32" t="e">
        <f ca="1">_xludf.ifna(VLOOKUP(G1439,Proyectos!$A$2:$T$674,20,0),"")</f>
        <v>#NAME?</v>
      </c>
      <c r="N1439" s="32" t="e">
        <f ca="1">_xludf.ifna(VLOOKUP(G1439,Proyectos!$A$2:$S$674,19,0))</f>
        <v>#NAME?</v>
      </c>
      <c r="O1439" s="32"/>
      <c r="P1439" s="31"/>
      <c r="Q1439" s="33"/>
      <c r="R1439" s="33"/>
      <c r="S1439" s="33"/>
      <c r="T1439" s="63">
        <f t="shared" si="12"/>
        <v>1</v>
      </c>
      <c r="U1439" s="33"/>
      <c r="V1439" s="33"/>
      <c r="W1439" s="33"/>
    </row>
    <row r="1440" spans="1:23" ht="16.5" customHeight="1" x14ac:dyDescent="0.25">
      <c r="A1440" s="26" t="s">
        <v>4839</v>
      </c>
      <c r="B1440" s="26" t="s">
        <v>4840</v>
      </c>
      <c r="C1440" s="26" t="s">
        <v>115</v>
      </c>
      <c r="D1440" s="27" t="s">
        <v>116</v>
      </c>
      <c r="E1440" s="27" t="s">
        <v>100</v>
      </c>
      <c r="F1440" s="28" t="e">
        <f ca="1">_xludf.ifna(VLOOKUP(G1440,Proyectos!$A$2:$F$674,6,0),"")</f>
        <v>#NAME?</v>
      </c>
      <c r="G1440" s="76" t="s">
        <v>5314</v>
      </c>
      <c r="H1440" s="96">
        <v>0.7</v>
      </c>
      <c r="I1440" s="31" t="s">
        <v>18</v>
      </c>
      <c r="J1440" s="31" t="s">
        <v>3280</v>
      </c>
      <c r="K1440" s="31"/>
      <c r="L1440" s="32" t="e">
        <f ca="1">_xludf.ifna(VLOOKUP(E1440,Parámetros!$D$2:$E$34,2,0),"")</f>
        <v>#NAME?</v>
      </c>
      <c r="M1440" s="32" t="e">
        <f ca="1">_xludf.ifna(VLOOKUP(G1440,Proyectos!$A$2:$T$674,20,0),"")</f>
        <v>#NAME?</v>
      </c>
      <c r="N1440" s="32" t="e">
        <f ca="1">_xludf.ifna(VLOOKUP(G1440,Proyectos!$A$2:$S$674,19,0))</f>
        <v>#NAME?</v>
      </c>
      <c r="O1440" s="32"/>
      <c r="P1440" s="31"/>
      <c r="Q1440" s="33"/>
      <c r="R1440" s="33"/>
      <c r="S1440" s="33"/>
      <c r="T1440" s="63">
        <f t="shared" si="12"/>
        <v>1</v>
      </c>
      <c r="U1440" s="33"/>
      <c r="V1440" s="33"/>
      <c r="W1440" s="33"/>
    </row>
    <row r="1441" spans="1:23" ht="16.5" customHeight="1" x14ac:dyDescent="0.25">
      <c r="A1441" s="26" t="s">
        <v>4839</v>
      </c>
      <c r="B1441" s="26" t="s">
        <v>4840</v>
      </c>
      <c r="C1441" s="26" t="s">
        <v>115</v>
      </c>
      <c r="D1441" s="27" t="s">
        <v>116</v>
      </c>
      <c r="E1441" s="27" t="s">
        <v>100</v>
      </c>
      <c r="F1441" s="28" t="e">
        <f ca="1">_xludf.ifna(VLOOKUP(G1441,Proyectos!$A$2:$F$674,6,0),"")</f>
        <v>#NAME?</v>
      </c>
      <c r="G1441" s="76" t="s">
        <v>5237</v>
      </c>
      <c r="H1441" s="96">
        <v>0.3</v>
      </c>
      <c r="I1441" s="31" t="s">
        <v>18</v>
      </c>
      <c r="J1441" s="31" t="s">
        <v>3280</v>
      </c>
      <c r="K1441" s="31"/>
      <c r="L1441" s="32" t="e">
        <f ca="1">_xludf.ifna(VLOOKUP(E1441,Parámetros!$D$2:$E$34,2,0),"")</f>
        <v>#NAME?</v>
      </c>
      <c r="M1441" s="32" t="e">
        <f ca="1">_xludf.ifna(VLOOKUP(G1441,Proyectos!$A$2:$T$674,20,0),"")</f>
        <v>#NAME?</v>
      </c>
      <c r="N1441" s="32" t="e">
        <f ca="1">_xludf.ifna(VLOOKUP(G1441,Proyectos!$A$2:$S$674,19,0))</f>
        <v>#NAME?</v>
      </c>
      <c r="O1441" s="32"/>
      <c r="P1441" s="31"/>
      <c r="Q1441" s="33"/>
      <c r="R1441" s="33"/>
      <c r="S1441" s="33"/>
      <c r="T1441" s="63">
        <f t="shared" si="12"/>
        <v>0</v>
      </c>
      <c r="U1441" s="33"/>
      <c r="V1441" s="33"/>
      <c r="W1441" s="33"/>
    </row>
    <row r="1442" spans="1:23" ht="16.5" customHeight="1" x14ac:dyDescent="0.25">
      <c r="A1442" s="76" t="s">
        <v>4537</v>
      </c>
      <c r="B1442" s="76" t="s">
        <v>5438</v>
      </c>
      <c r="C1442" s="66" t="s">
        <v>37</v>
      </c>
      <c r="D1442" s="35" t="s">
        <v>52</v>
      </c>
      <c r="E1442" s="76" t="s">
        <v>53</v>
      </c>
      <c r="F1442" s="28" t="e">
        <f ca="1">_xludf.ifna(VLOOKUP(G1442,Proyectos!$A$2:$F$674,6,0),"")</f>
        <v>#NAME?</v>
      </c>
      <c r="G1442" s="29" t="s">
        <v>5114</v>
      </c>
      <c r="H1442" s="44">
        <v>0.5</v>
      </c>
      <c r="I1442" s="31" t="s">
        <v>11</v>
      </c>
      <c r="J1442" s="31"/>
      <c r="K1442" s="31" t="s">
        <v>40</v>
      </c>
      <c r="L1442" s="32" t="e">
        <f ca="1">_xludf.ifna(VLOOKUP(E1442,Parámetros!$D$2:$E$34,2,0),"")</f>
        <v>#NAME?</v>
      </c>
      <c r="M1442" s="32" t="e">
        <f ca="1">_xludf.ifna(VLOOKUP(G1442,Proyectos!$A$2:$T$674,20,0),"")</f>
        <v>#NAME?</v>
      </c>
      <c r="N1442" s="32" t="e">
        <f ca="1">_xludf.ifna(VLOOKUP(G1442,Proyectos!$A$2:$S$674,19,0))</f>
        <v>#NAME?</v>
      </c>
      <c r="O1442" s="31"/>
      <c r="P1442" s="31"/>
      <c r="Q1442" s="33"/>
      <c r="R1442" s="33"/>
      <c r="S1442" s="33"/>
      <c r="T1442" s="33"/>
      <c r="U1442" s="33"/>
      <c r="V1442" s="33"/>
      <c r="W1442" s="33"/>
    </row>
    <row r="1443" spans="1:23" ht="16.5" customHeight="1" x14ac:dyDescent="0.25">
      <c r="A1443" s="76" t="s">
        <v>4549</v>
      </c>
      <c r="B1443" s="76" t="s">
        <v>5441</v>
      </c>
      <c r="C1443" s="66" t="s">
        <v>37</v>
      </c>
      <c r="D1443" s="35" t="s">
        <v>52</v>
      </c>
      <c r="E1443" s="76" t="s">
        <v>53</v>
      </c>
      <c r="F1443" s="28" t="e">
        <f ca="1">_xludf.ifna(VLOOKUP(G1443,Proyectos!$A$2:$F$674,6,0),"")</f>
        <v>#NAME?</v>
      </c>
      <c r="G1443" s="29" t="s">
        <v>5114</v>
      </c>
      <c r="H1443" s="68">
        <v>0.4</v>
      </c>
      <c r="I1443" s="76" t="s">
        <v>18</v>
      </c>
      <c r="J1443" s="55"/>
      <c r="K1443" s="95" t="s">
        <v>40</v>
      </c>
      <c r="L1443" s="32" t="e">
        <f ca="1">_xludf.ifna(VLOOKUP(E1443,Parámetros!$D$2:$E$34,2,0),"")</f>
        <v>#NAME?</v>
      </c>
      <c r="M1443" s="32" t="e">
        <f ca="1">_xludf.ifna(VLOOKUP(G1443,Proyectos!$A$2:$T$674,20,0),"")</f>
        <v>#NAME?</v>
      </c>
      <c r="N1443" s="32" t="e">
        <f ca="1">_xludf.ifna(VLOOKUP(G1443,Proyectos!$A$2:$S$674,19,0))</f>
        <v>#NAME?</v>
      </c>
      <c r="O1443" s="32"/>
      <c r="P1443" s="31"/>
      <c r="Q1443" s="33"/>
      <c r="R1443" s="33"/>
      <c r="S1443" s="33"/>
      <c r="T1443" s="33"/>
      <c r="U1443" s="33"/>
      <c r="V1443" s="33"/>
      <c r="W1443" s="33"/>
    </row>
    <row r="1444" spans="1:23" ht="16.5" customHeight="1" x14ac:dyDescent="0.25">
      <c r="A1444" s="76" t="s">
        <v>4609</v>
      </c>
      <c r="B1444" s="76" t="s">
        <v>5445</v>
      </c>
      <c r="C1444" s="66" t="s">
        <v>37</v>
      </c>
      <c r="D1444" s="35" t="s">
        <v>52</v>
      </c>
      <c r="E1444" s="76" t="s">
        <v>53</v>
      </c>
      <c r="F1444" s="28" t="e">
        <f ca="1">_xludf.ifna(VLOOKUP(G1444,Proyectos!$A$2:$F$674,6,0),"")</f>
        <v>#NAME?</v>
      </c>
      <c r="G1444" s="29" t="s">
        <v>5114</v>
      </c>
      <c r="H1444" s="68">
        <v>0.2</v>
      </c>
      <c r="I1444" s="76" t="s">
        <v>11</v>
      </c>
      <c r="J1444" s="95"/>
      <c r="K1444" s="95" t="s">
        <v>40</v>
      </c>
      <c r="L1444" s="32" t="e">
        <f ca="1">_xludf.ifna(VLOOKUP(E1444,Parámetros!$D$2:$E$34,2,0),"")</f>
        <v>#NAME?</v>
      </c>
      <c r="M1444" s="32" t="e">
        <f ca="1">_xludf.ifna(VLOOKUP(G1444,Proyectos!$A$2:$T$674,20,0),"")</f>
        <v>#NAME?</v>
      </c>
      <c r="N1444" s="32" t="e">
        <f ca="1">_xludf.ifna(VLOOKUP(G1444,Proyectos!$A$2:$S$674,19,0))</f>
        <v>#NAME?</v>
      </c>
      <c r="O1444" s="31"/>
      <c r="P1444" s="31"/>
      <c r="Q1444" s="33"/>
      <c r="R1444" s="33"/>
      <c r="S1444" s="33"/>
      <c r="T1444" s="33"/>
      <c r="U1444" s="33"/>
      <c r="V1444" s="33"/>
      <c r="W1444" s="33"/>
    </row>
    <row r="1445" spans="1:23" ht="16.5" customHeight="1" x14ac:dyDescent="0.25">
      <c r="A1445" s="76" t="s">
        <v>4535</v>
      </c>
      <c r="B1445" s="76" t="s">
        <v>5447</v>
      </c>
      <c r="C1445" s="66" t="s">
        <v>37</v>
      </c>
      <c r="D1445" s="35" t="s">
        <v>52</v>
      </c>
      <c r="E1445" s="76" t="s">
        <v>53</v>
      </c>
      <c r="F1445" s="28" t="e">
        <f ca="1">_xludf.ifna(VLOOKUP(G1445,Proyectos!$A$2:$F$674,6,0),"")</f>
        <v>#NAME?</v>
      </c>
      <c r="G1445" s="29" t="s">
        <v>5114</v>
      </c>
      <c r="H1445" s="68">
        <v>0.5</v>
      </c>
      <c r="I1445" s="146" t="s">
        <v>11</v>
      </c>
      <c r="J1445" s="147"/>
      <c r="K1445" s="95" t="s">
        <v>40</v>
      </c>
      <c r="L1445" s="32" t="e">
        <f ca="1">_xludf.ifna(VLOOKUP(E1445,Parámetros!$D$2:$E$34,2,0),"")</f>
        <v>#NAME?</v>
      </c>
      <c r="M1445" s="32" t="e">
        <f ca="1">_xludf.ifna(VLOOKUP(G1445,Proyectos!$A$2:$T$674,20,0),"")</f>
        <v>#NAME?</v>
      </c>
      <c r="N1445" s="32" t="e">
        <f ca="1">_xludf.ifna(VLOOKUP(G1445,Proyectos!$A$2:$S$674,19,0))</f>
        <v>#NAME?</v>
      </c>
      <c r="O1445" s="32"/>
      <c r="P1445" s="31"/>
      <c r="Q1445" s="33"/>
      <c r="R1445" s="33"/>
      <c r="S1445" s="33"/>
      <c r="T1445" s="33"/>
      <c r="U1445" s="33"/>
      <c r="V1445" s="33"/>
      <c r="W1445" s="33"/>
    </row>
    <row r="1446" spans="1:23" ht="16.5" customHeight="1" x14ac:dyDescent="0.25">
      <c r="A1446" s="35" t="s">
        <v>4330</v>
      </c>
      <c r="B1446" s="26" t="s">
        <v>5482</v>
      </c>
      <c r="C1446" s="66" t="s">
        <v>64</v>
      </c>
      <c r="D1446" s="26" t="s">
        <v>82</v>
      </c>
      <c r="E1446" s="27" t="s">
        <v>9</v>
      </c>
      <c r="F1446" s="28" t="e">
        <f ca="1">_xludf.ifna(VLOOKUP(G1446,Proyectos!$A$2:$F$674,6,0),"")</f>
        <v>#NAME?</v>
      </c>
      <c r="G1446" s="76" t="s">
        <v>5387</v>
      </c>
      <c r="H1446" s="32">
        <v>1</v>
      </c>
      <c r="I1446" s="31" t="s">
        <v>25</v>
      </c>
      <c r="J1446" s="31" t="s">
        <v>72</v>
      </c>
      <c r="K1446" s="95"/>
      <c r="L1446" s="32" t="e">
        <f ca="1">_xludf.ifna(VLOOKUP(E1446,Parámetros!$D$2:$E$34,2,0),"")</f>
        <v>#NAME?</v>
      </c>
      <c r="M1446" s="32" t="e">
        <f ca="1">_xludf.ifna(VLOOKUP(G1446,Proyectos!$A$2:$T$674,20,0),"")</f>
        <v>#NAME?</v>
      </c>
      <c r="N1446" s="32" t="e">
        <f ca="1">_xludf.ifna(VLOOKUP(G1446,Proyectos!$A$2:$S$674,19,0))</f>
        <v>#NAME?</v>
      </c>
      <c r="O1446" s="31"/>
      <c r="P1446" s="33"/>
      <c r="Q1446" s="33"/>
      <c r="R1446" s="33"/>
      <c r="S1446" s="33"/>
      <c r="T1446" s="33"/>
      <c r="U1446" s="33"/>
      <c r="V1446" s="33"/>
      <c r="W1446" s="33"/>
    </row>
    <row r="1447" spans="1:23" ht="16.5" customHeight="1" x14ac:dyDescent="0.25">
      <c r="A1447" s="35" t="s">
        <v>4519</v>
      </c>
      <c r="B1447" s="26" t="s">
        <v>5483</v>
      </c>
      <c r="C1447" s="66" t="s">
        <v>64</v>
      </c>
      <c r="D1447" s="26" t="s">
        <v>82</v>
      </c>
      <c r="E1447" s="27" t="s">
        <v>9</v>
      </c>
      <c r="F1447" s="28" t="e">
        <f ca="1">_xludf.ifna(VLOOKUP(G1447,Proyectos!$A$2:$F$674,6,0),"")</f>
        <v>#NAME?</v>
      </c>
      <c r="G1447" s="76" t="s">
        <v>5387</v>
      </c>
      <c r="H1447" s="32">
        <v>1</v>
      </c>
      <c r="I1447" s="31" t="s">
        <v>25</v>
      </c>
      <c r="J1447" s="31" t="s">
        <v>72</v>
      </c>
      <c r="K1447" s="32"/>
      <c r="L1447" s="32" t="e">
        <f ca="1">_xludf.ifna(VLOOKUP(E1447,Parámetros!$D$2:$E$34,2,0),"")</f>
        <v>#NAME?</v>
      </c>
      <c r="M1447" s="32" t="e">
        <f ca="1">_xludf.ifna(VLOOKUP(G1447,Proyectos!$A$2:$T$674,20,0),"")</f>
        <v>#NAME?</v>
      </c>
      <c r="N1447" s="32" t="e">
        <f ca="1">_xludf.ifna(VLOOKUP(G1447,Proyectos!$A$2:$S$674,19,0))</f>
        <v>#NAME?</v>
      </c>
      <c r="O1447" s="31"/>
      <c r="P1447" s="33"/>
      <c r="Q1447" s="33"/>
      <c r="R1447" s="33"/>
      <c r="S1447" s="33"/>
      <c r="T1447" s="33"/>
      <c r="U1447" s="33"/>
      <c r="V1447" s="33"/>
      <c r="W1447" s="33"/>
    </row>
    <row r="1448" spans="1:23" ht="16.5" customHeight="1" x14ac:dyDescent="0.25">
      <c r="A1448" s="35" t="s">
        <v>4259</v>
      </c>
      <c r="B1448" s="26" t="s">
        <v>5484</v>
      </c>
      <c r="C1448" s="66" t="s">
        <v>64</v>
      </c>
      <c r="D1448" s="26" t="s">
        <v>82</v>
      </c>
      <c r="E1448" s="27" t="s">
        <v>87</v>
      </c>
      <c r="F1448" s="28" t="e">
        <f ca="1">_xludf.ifna(VLOOKUP(G1448,Proyectos!$A$2:$F$674,6,0),"")</f>
        <v>#NAME?</v>
      </c>
      <c r="G1448" s="76" t="s">
        <v>5387</v>
      </c>
      <c r="H1448" s="32">
        <v>1</v>
      </c>
      <c r="I1448" s="31" t="s">
        <v>25</v>
      </c>
      <c r="J1448" s="31" t="s">
        <v>72</v>
      </c>
      <c r="K1448" s="32"/>
      <c r="L1448" s="32" t="e">
        <f ca="1">_xludf.ifna(VLOOKUP(E1448,Parámetros!$D$2:$E$34,2,0),"")</f>
        <v>#NAME?</v>
      </c>
      <c r="M1448" s="32" t="e">
        <f ca="1">_xludf.ifna(VLOOKUP(G1448,Proyectos!$A$2:$T$674,20,0),"")</f>
        <v>#NAME?</v>
      </c>
      <c r="N1448" s="32" t="e">
        <f ca="1">_xludf.ifna(VLOOKUP(G1448,Proyectos!$A$2:$S$674,19,0))</f>
        <v>#NAME?</v>
      </c>
      <c r="O1448" s="31"/>
      <c r="P1448" s="33"/>
      <c r="Q1448" s="33"/>
      <c r="R1448" s="33"/>
      <c r="S1448" s="33"/>
      <c r="T1448" s="33"/>
      <c r="U1448" s="33"/>
      <c r="V1448" s="33"/>
      <c r="W1448" s="33"/>
    </row>
    <row r="1449" spans="1:23" ht="16.5" customHeight="1" x14ac:dyDescent="0.2">
      <c r="A1449" s="35" t="s">
        <v>4300</v>
      </c>
      <c r="B1449" s="26" t="s">
        <v>5485</v>
      </c>
      <c r="C1449" s="66" t="s">
        <v>64</v>
      </c>
      <c r="D1449" s="26" t="s">
        <v>82</v>
      </c>
      <c r="E1449" s="27" t="s">
        <v>126</v>
      </c>
      <c r="F1449" s="28" t="e">
        <f ca="1">_xludf.ifna(VLOOKUP(G1449,Proyectos!$A$2:$F$674,6,0),"")</f>
        <v>#NAME?</v>
      </c>
      <c r="G1449" s="26" t="s">
        <v>5434</v>
      </c>
      <c r="H1449" s="32">
        <v>1</v>
      </c>
      <c r="I1449" s="31" t="s">
        <v>18</v>
      </c>
      <c r="J1449" s="31" t="s">
        <v>19</v>
      </c>
      <c r="K1449" s="32"/>
      <c r="L1449" s="32" t="e">
        <f ca="1">_xludf.ifna(VLOOKUP(E1449,Parámetros!$D$2:$E$34,2,0),"")</f>
        <v>#NAME?</v>
      </c>
      <c r="M1449" s="32" t="e">
        <f ca="1">_xludf.ifna(VLOOKUP(G1449,Proyectos!$A$2:$T$674,20,0),"")</f>
        <v>#NAME?</v>
      </c>
      <c r="N1449" s="32" t="e">
        <f ca="1">_xludf.ifna(VLOOKUP(G1449,Proyectos!$A$2:$S$674,19,0))</f>
        <v>#NAME?</v>
      </c>
      <c r="O1449" s="31"/>
      <c r="P1449" s="33"/>
      <c r="Q1449" s="33"/>
      <c r="R1449" s="33"/>
      <c r="S1449" s="33"/>
      <c r="T1449" s="33"/>
      <c r="U1449" s="33"/>
      <c r="V1449" s="33"/>
      <c r="W1449" s="33"/>
    </row>
    <row r="1450" spans="1:23" ht="16.5" customHeight="1" x14ac:dyDescent="0.25">
      <c r="A1450" s="35" t="s">
        <v>4476</v>
      </c>
      <c r="B1450" s="26" t="s">
        <v>5486</v>
      </c>
      <c r="C1450" s="66" t="s">
        <v>64</v>
      </c>
      <c r="D1450" s="26" t="s">
        <v>82</v>
      </c>
      <c r="E1450" s="27" t="s">
        <v>126</v>
      </c>
      <c r="F1450" s="28" t="e">
        <f ca="1">_xludf.ifna(VLOOKUP(G1450,Proyectos!$A$2:$F$674,6,0),"")</f>
        <v>#NAME?</v>
      </c>
      <c r="G1450" s="76" t="s">
        <v>5387</v>
      </c>
      <c r="H1450" s="32">
        <v>1</v>
      </c>
      <c r="I1450" s="31" t="s">
        <v>25</v>
      </c>
      <c r="J1450" s="31" t="s">
        <v>72</v>
      </c>
      <c r="K1450" s="32"/>
      <c r="L1450" s="32" t="e">
        <f ca="1">_xludf.ifna(VLOOKUP(E1450,Parámetros!$D$2:$E$34,2,0),"")</f>
        <v>#NAME?</v>
      </c>
      <c r="M1450" s="32" t="e">
        <f ca="1">_xludf.ifna(VLOOKUP(G1450,Proyectos!$A$2:$T$674,20,0),"")</f>
        <v>#NAME?</v>
      </c>
      <c r="N1450" s="32" t="e">
        <f ca="1">_xludf.ifna(VLOOKUP(G1450,Proyectos!$A$2:$S$674,19,0))</f>
        <v>#NAME?</v>
      </c>
      <c r="O1450" s="31"/>
      <c r="P1450" s="33"/>
      <c r="Q1450" s="33"/>
      <c r="R1450" s="33"/>
      <c r="S1450" s="33"/>
      <c r="T1450" s="33"/>
      <c r="U1450" s="33"/>
      <c r="V1450" s="33"/>
      <c r="W1450" s="33"/>
    </row>
    <row r="1451" spans="1:23" ht="16.5" customHeight="1" x14ac:dyDescent="0.2">
      <c r="A1451" s="35" t="s">
        <v>4304</v>
      </c>
      <c r="B1451" s="26" t="s">
        <v>5487</v>
      </c>
      <c r="C1451" s="66" t="s">
        <v>64</v>
      </c>
      <c r="D1451" s="26" t="s">
        <v>82</v>
      </c>
      <c r="E1451" s="27" t="s">
        <v>87</v>
      </c>
      <c r="F1451" s="28" t="e">
        <f ca="1">_xludf.ifna(VLOOKUP(G1451,Proyectos!$A$2:$F$674,6,0),"")</f>
        <v>#NAME?</v>
      </c>
      <c r="G1451" s="26" t="s">
        <v>5434</v>
      </c>
      <c r="H1451" s="32">
        <v>0.5</v>
      </c>
      <c r="I1451" s="31" t="s">
        <v>25</v>
      </c>
      <c r="J1451" s="31" t="s">
        <v>72</v>
      </c>
      <c r="K1451" s="32"/>
      <c r="L1451" s="32" t="e">
        <f ca="1">_xludf.ifna(VLOOKUP(E1451,Parámetros!$D$2:$E$34,2,0),"")</f>
        <v>#NAME?</v>
      </c>
      <c r="M1451" s="32" t="e">
        <f ca="1">_xludf.ifna(VLOOKUP(G1451,Proyectos!$A$2:$T$674,20,0),"")</f>
        <v>#NAME?</v>
      </c>
      <c r="N1451" s="32" t="e">
        <f ca="1">_xludf.ifna(VLOOKUP(G1451,Proyectos!$A$2:$S$674,19,0))</f>
        <v>#NAME?</v>
      </c>
      <c r="O1451" s="31"/>
      <c r="P1451" s="33"/>
      <c r="Q1451" s="33"/>
      <c r="R1451" s="33"/>
      <c r="S1451" s="33"/>
      <c r="T1451" s="33"/>
      <c r="U1451" s="33"/>
      <c r="V1451" s="33"/>
      <c r="W1451" s="33"/>
    </row>
    <row r="1452" spans="1:23" ht="16.5" customHeight="1" x14ac:dyDescent="0.25">
      <c r="A1452" s="35" t="s">
        <v>4304</v>
      </c>
      <c r="B1452" s="26" t="s">
        <v>5487</v>
      </c>
      <c r="C1452" s="66" t="s">
        <v>64</v>
      </c>
      <c r="D1452" s="26" t="s">
        <v>82</v>
      </c>
      <c r="E1452" s="27" t="s">
        <v>87</v>
      </c>
      <c r="F1452" s="28" t="e">
        <f ca="1">_xludf.ifna(VLOOKUP(G1452,Proyectos!$A$2:$F$674,6,0),"")</f>
        <v>#NAME?</v>
      </c>
      <c r="G1452" s="76" t="s">
        <v>5387</v>
      </c>
      <c r="H1452" s="32">
        <v>0.5</v>
      </c>
      <c r="I1452" s="31" t="s">
        <v>25</v>
      </c>
      <c r="J1452" s="31" t="s">
        <v>72</v>
      </c>
      <c r="K1452" s="32"/>
      <c r="L1452" s="32" t="e">
        <f ca="1">_xludf.ifna(VLOOKUP(E1452,Parámetros!$D$2:$E$34,2,0),"")</f>
        <v>#NAME?</v>
      </c>
      <c r="M1452" s="32" t="e">
        <f ca="1">_xludf.ifna(VLOOKUP(G1452,Proyectos!$A$2:$T$674,20,0),"")</f>
        <v>#NAME?</v>
      </c>
      <c r="N1452" s="32" t="e">
        <f ca="1">_xludf.ifna(VLOOKUP(G1452,Proyectos!$A$2:$S$674,19,0))</f>
        <v>#NAME?</v>
      </c>
      <c r="O1452" s="31"/>
      <c r="P1452" s="33"/>
      <c r="Q1452" s="33"/>
      <c r="R1452" s="33"/>
      <c r="S1452" s="33"/>
      <c r="T1452" s="33"/>
      <c r="U1452" s="33"/>
      <c r="V1452" s="33"/>
      <c r="W1452" s="33"/>
    </row>
    <row r="1453" spans="1:23" ht="16.5" customHeight="1" x14ac:dyDescent="0.2">
      <c r="A1453" s="35" t="s">
        <v>4413</v>
      </c>
      <c r="B1453" s="26" t="s">
        <v>5488</v>
      </c>
      <c r="C1453" s="66" t="s">
        <v>64</v>
      </c>
      <c r="D1453" s="26" t="s">
        <v>82</v>
      </c>
      <c r="E1453" s="35" t="s">
        <v>126</v>
      </c>
      <c r="F1453" s="28" t="e">
        <f ca="1">_xludf.ifna(VLOOKUP(G1453,Proyectos!$A$2:$F$674,6,0),"")</f>
        <v>#NAME?</v>
      </c>
      <c r="G1453" s="26" t="s">
        <v>5434</v>
      </c>
      <c r="H1453" s="32">
        <v>1</v>
      </c>
      <c r="I1453" s="31" t="s">
        <v>18</v>
      </c>
      <c r="J1453" s="31" t="s">
        <v>61</v>
      </c>
      <c r="K1453" s="32"/>
      <c r="L1453" s="32" t="e">
        <f ca="1">_xludf.ifna(VLOOKUP(E1453,Parámetros!$D$2:$E$34,2,0),"")</f>
        <v>#NAME?</v>
      </c>
      <c r="M1453" s="32" t="e">
        <f ca="1">_xludf.ifna(VLOOKUP(G1453,Proyectos!$A$2:$T$674,20,0),"")</f>
        <v>#NAME?</v>
      </c>
      <c r="N1453" s="32" t="e">
        <f ca="1">_xludf.ifna(VLOOKUP(G1453,Proyectos!$A$2:$S$674,19,0))</f>
        <v>#NAME?</v>
      </c>
      <c r="O1453" s="31"/>
      <c r="P1453" s="33"/>
      <c r="Q1453" s="33"/>
      <c r="R1453" s="33"/>
      <c r="S1453" s="33"/>
      <c r="T1453" s="33"/>
      <c r="U1453" s="33"/>
      <c r="V1453" s="33"/>
      <c r="W1453" s="33"/>
    </row>
    <row r="1454" spans="1:23" ht="16.5" customHeight="1" x14ac:dyDescent="0.25">
      <c r="A1454" s="35" t="s">
        <v>4441</v>
      </c>
      <c r="B1454" s="26" t="s">
        <v>5489</v>
      </c>
      <c r="C1454" s="66" t="s">
        <v>64</v>
      </c>
      <c r="D1454" s="26" t="s">
        <v>82</v>
      </c>
      <c r="E1454" s="35" t="s">
        <v>100</v>
      </c>
      <c r="F1454" s="28" t="e">
        <f ca="1">_xludf.ifna(VLOOKUP(G1454,Proyectos!$A$2:$F$674,6,0),"")</f>
        <v>#NAME?</v>
      </c>
      <c r="G1454" s="76" t="s">
        <v>5387</v>
      </c>
      <c r="H1454" s="32">
        <v>1</v>
      </c>
      <c r="I1454" s="31" t="s">
        <v>18</v>
      </c>
      <c r="J1454" s="31" t="s">
        <v>12</v>
      </c>
      <c r="K1454" s="32"/>
      <c r="L1454" s="32" t="e">
        <f ca="1">_xludf.ifna(VLOOKUP(E1454,Parámetros!$D$2:$E$34,2,0),"")</f>
        <v>#NAME?</v>
      </c>
      <c r="M1454" s="32" t="e">
        <f ca="1">_xludf.ifna(VLOOKUP(G1454,Proyectos!$A$2:$T$674,20,0),"")</f>
        <v>#NAME?</v>
      </c>
      <c r="N1454" s="32" t="e">
        <f ca="1">_xludf.ifna(VLOOKUP(G1454,Proyectos!$A$2:$S$674,19,0))</f>
        <v>#NAME?</v>
      </c>
      <c r="O1454" s="31"/>
      <c r="P1454" s="33"/>
      <c r="Q1454" s="33"/>
      <c r="R1454" s="33"/>
      <c r="S1454" s="33"/>
      <c r="T1454" s="33"/>
      <c r="U1454" s="33"/>
      <c r="V1454" s="33"/>
      <c r="W1454" s="33"/>
    </row>
    <row r="1455" spans="1:23" ht="16.5" customHeight="1" x14ac:dyDescent="0.25">
      <c r="A1455" s="35" t="s">
        <v>4480</v>
      </c>
      <c r="B1455" s="26" t="s">
        <v>5490</v>
      </c>
      <c r="C1455" s="66" t="s">
        <v>64</v>
      </c>
      <c r="D1455" s="26" t="s">
        <v>82</v>
      </c>
      <c r="E1455" s="35" t="s">
        <v>9</v>
      </c>
      <c r="F1455" s="28" t="e">
        <f ca="1">_xludf.ifna(VLOOKUP(G1455,Proyectos!$A$2:$F$674,6,0),"")</f>
        <v>#NAME?</v>
      </c>
      <c r="G1455" s="76" t="s">
        <v>5387</v>
      </c>
      <c r="H1455" s="32">
        <v>1</v>
      </c>
      <c r="I1455" s="31" t="s">
        <v>25</v>
      </c>
      <c r="J1455" s="31" t="s">
        <v>72</v>
      </c>
      <c r="K1455" s="32"/>
      <c r="L1455" s="32" t="e">
        <f ca="1">_xludf.ifna(VLOOKUP(E1455,Parámetros!$D$2:$E$34,2,0),"")</f>
        <v>#NAME?</v>
      </c>
      <c r="M1455" s="32" t="e">
        <f ca="1">_xludf.ifna(VLOOKUP(G1455,Proyectos!$A$2:$T$674,20,0),"")</f>
        <v>#NAME?</v>
      </c>
      <c r="N1455" s="32" t="e">
        <f ca="1">_xludf.ifna(VLOOKUP(G1455,Proyectos!$A$2:$S$674,19,0))</f>
        <v>#NAME?</v>
      </c>
      <c r="O1455" s="31"/>
      <c r="P1455" s="33"/>
      <c r="Q1455" s="33"/>
      <c r="R1455" s="33"/>
      <c r="S1455" s="33"/>
      <c r="T1455" s="33"/>
      <c r="U1455" s="33"/>
      <c r="V1455" s="33"/>
      <c r="W1455" s="33"/>
    </row>
    <row r="1456" spans="1:23" ht="16.5" customHeight="1" x14ac:dyDescent="0.25">
      <c r="A1456" s="35" t="s">
        <v>4863</v>
      </c>
      <c r="B1456" s="26" t="s">
        <v>5491</v>
      </c>
      <c r="C1456" s="66" t="s">
        <v>64</v>
      </c>
      <c r="D1456" s="26" t="s">
        <v>82</v>
      </c>
      <c r="E1456" s="35" t="s">
        <v>126</v>
      </c>
      <c r="F1456" s="28" t="e">
        <f ca="1">_xludf.ifna(VLOOKUP(G1456,Proyectos!$A$2:$F$674,6,0),"")</f>
        <v>#NAME?</v>
      </c>
      <c r="G1456" s="76" t="s">
        <v>5387</v>
      </c>
      <c r="H1456" s="32">
        <v>1</v>
      </c>
      <c r="I1456" s="31" t="s">
        <v>25</v>
      </c>
      <c r="J1456" s="31" t="s">
        <v>72</v>
      </c>
      <c r="K1456" s="32"/>
      <c r="L1456" s="32" t="e">
        <f ca="1">_xludf.ifna(VLOOKUP(E1456,Parámetros!$D$2:$E$34,2,0),"")</f>
        <v>#NAME?</v>
      </c>
      <c r="M1456" s="32" t="e">
        <f ca="1">_xludf.ifna(VLOOKUP(G1456,Proyectos!$A$2:$T$674,20,0),"")</f>
        <v>#NAME?</v>
      </c>
      <c r="N1456" s="32" t="e">
        <f ca="1">_xludf.ifna(VLOOKUP(G1456,Proyectos!$A$2:$S$674,19,0))</f>
        <v>#NAME?</v>
      </c>
      <c r="O1456" s="31"/>
      <c r="P1456" s="33"/>
      <c r="Q1456" s="33"/>
      <c r="R1456" s="33"/>
      <c r="S1456" s="33"/>
      <c r="T1456" s="33"/>
      <c r="U1456" s="33"/>
      <c r="V1456" s="33"/>
      <c r="W1456" s="33"/>
    </row>
    <row r="1457" spans="1:23" ht="16.5" customHeight="1" x14ac:dyDescent="0.25">
      <c r="A1457" s="35" t="s">
        <v>4515</v>
      </c>
      <c r="B1457" s="26" t="s">
        <v>5492</v>
      </c>
      <c r="C1457" s="66" t="s">
        <v>64</v>
      </c>
      <c r="D1457" s="26" t="s">
        <v>82</v>
      </c>
      <c r="E1457" s="35" t="s">
        <v>9</v>
      </c>
      <c r="F1457" s="28" t="e">
        <f ca="1">_xludf.ifna(VLOOKUP(G1457,Proyectos!$A$2:$F$674,6,0),"")</f>
        <v>#NAME?</v>
      </c>
      <c r="G1457" s="76" t="s">
        <v>5387</v>
      </c>
      <c r="H1457" s="32">
        <v>1</v>
      </c>
      <c r="I1457" s="31" t="s">
        <v>25</v>
      </c>
      <c r="J1457" s="31" t="s">
        <v>72</v>
      </c>
      <c r="K1457" s="32"/>
      <c r="L1457" s="32" t="e">
        <f ca="1">_xludf.ifna(VLOOKUP(E1457,Parámetros!$D$2:$E$34,2,0),"")</f>
        <v>#NAME?</v>
      </c>
      <c r="M1457" s="32" t="e">
        <f ca="1">_xludf.ifna(VLOOKUP(G1457,Proyectos!$A$2:$T$674,20,0),"")</f>
        <v>#NAME?</v>
      </c>
      <c r="N1457" s="32" t="e">
        <f ca="1">_xludf.ifna(VLOOKUP(G1457,Proyectos!$A$2:$S$674,19,0))</f>
        <v>#NAME?</v>
      </c>
      <c r="O1457" s="31"/>
      <c r="P1457" s="33"/>
      <c r="Q1457" s="33"/>
      <c r="R1457" s="33"/>
      <c r="S1457" s="33"/>
      <c r="T1457" s="33"/>
      <c r="U1457" s="33"/>
      <c r="V1457" s="33"/>
      <c r="W1457" s="33"/>
    </row>
    <row r="1458" spans="1:23" ht="16.5" customHeight="1" x14ac:dyDescent="0.25">
      <c r="A1458" s="35" t="s">
        <v>4316</v>
      </c>
      <c r="B1458" s="26" t="s">
        <v>5493</v>
      </c>
      <c r="C1458" s="66" t="s">
        <v>64</v>
      </c>
      <c r="D1458" s="26" t="s">
        <v>82</v>
      </c>
      <c r="E1458" s="35" t="s">
        <v>9</v>
      </c>
      <c r="F1458" s="28" t="e">
        <f ca="1">_xludf.ifna(VLOOKUP(G1458,Proyectos!$A$2:$F$674,6,0),"")</f>
        <v>#NAME?</v>
      </c>
      <c r="G1458" s="76" t="s">
        <v>5387</v>
      </c>
      <c r="H1458" s="32">
        <v>1</v>
      </c>
      <c r="I1458" s="31" t="s">
        <v>25</v>
      </c>
      <c r="J1458" s="31" t="s">
        <v>72</v>
      </c>
      <c r="K1458" s="32"/>
      <c r="L1458" s="32" t="e">
        <f ca="1">_xludf.ifna(VLOOKUP(E1458,Parámetros!$D$2:$E$34,2,0),"")</f>
        <v>#NAME?</v>
      </c>
      <c r="M1458" s="32" t="e">
        <f ca="1">_xludf.ifna(VLOOKUP(G1458,Proyectos!$A$2:$T$674,20,0),"")</f>
        <v>#NAME?</v>
      </c>
      <c r="N1458" s="32" t="e">
        <f ca="1">_xludf.ifna(VLOOKUP(G1458,Proyectos!$A$2:$S$674,19,0))</f>
        <v>#NAME?</v>
      </c>
      <c r="O1458" s="31"/>
      <c r="P1458" s="33"/>
      <c r="Q1458" s="33"/>
      <c r="R1458" s="33"/>
      <c r="S1458" s="33"/>
      <c r="T1458" s="33"/>
      <c r="U1458" s="33"/>
      <c r="V1458" s="33"/>
      <c r="W1458" s="33"/>
    </row>
    <row r="1459" spans="1:23" ht="16.5" customHeight="1" x14ac:dyDescent="0.25">
      <c r="A1459" s="35" t="s">
        <v>4517</v>
      </c>
      <c r="B1459" s="26" t="s">
        <v>5494</v>
      </c>
      <c r="C1459" s="66" t="s">
        <v>64</v>
      </c>
      <c r="D1459" s="26" t="s">
        <v>82</v>
      </c>
      <c r="E1459" s="35" t="s">
        <v>9</v>
      </c>
      <c r="F1459" s="28" t="e">
        <f ca="1">_xludf.ifna(VLOOKUP(G1459,Proyectos!$A$2:$F$674,6,0),"")</f>
        <v>#NAME?</v>
      </c>
      <c r="G1459" s="76" t="s">
        <v>5387</v>
      </c>
      <c r="H1459" s="32">
        <v>1</v>
      </c>
      <c r="I1459" s="31" t="s">
        <v>25</v>
      </c>
      <c r="J1459" s="31" t="s">
        <v>72</v>
      </c>
      <c r="K1459" s="32"/>
      <c r="L1459" s="32" t="e">
        <f ca="1">_xludf.ifna(VLOOKUP(E1459,Parámetros!$D$2:$E$34,2,0),"")</f>
        <v>#NAME?</v>
      </c>
      <c r="M1459" s="32" t="e">
        <f ca="1">_xludf.ifna(VLOOKUP(G1459,Proyectos!$A$2:$T$674,20,0),"")</f>
        <v>#NAME?</v>
      </c>
      <c r="N1459" s="32" t="e">
        <f ca="1">_xludf.ifna(VLOOKUP(G1459,Proyectos!$A$2:$S$674,19,0))</f>
        <v>#NAME?</v>
      </c>
      <c r="O1459" s="31"/>
      <c r="P1459" s="33"/>
      <c r="Q1459" s="33"/>
      <c r="R1459" s="33"/>
      <c r="S1459" s="33"/>
      <c r="T1459" s="33"/>
      <c r="U1459" s="33"/>
      <c r="V1459" s="33"/>
      <c r="W1459" s="33"/>
    </row>
    <row r="1460" spans="1:23" ht="16.5" customHeight="1" x14ac:dyDescent="0.25">
      <c r="A1460" s="35" t="s">
        <v>5096</v>
      </c>
      <c r="B1460" s="26" t="s">
        <v>5495</v>
      </c>
      <c r="C1460" s="66" t="s">
        <v>64</v>
      </c>
      <c r="D1460" s="26" t="s">
        <v>82</v>
      </c>
      <c r="E1460" s="35" t="s">
        <v>9</v>
      </c>
      <c r="F1460" s="28" t="e">
        <f ca="1">_xludf.ifna(VLOOKUP(G1460,Proyectos!$A$2:$F$674,6,0),"")</f>
        <v>#NAME?</v>
      </c>
      <c r="G1460" s="76" t="s">
        <v>5387</v>
      </c>
      <c r="H1460" s="32">
        <v>1</v>
      </c>
      <c r="I1460" s="31" t="s">
        <v>18</v>
      </c>
      <c r="J1460" s="31" t="s">
        <v>3280</v>
      </c>
      <c r="K1460" s="32"/>
      <c r="L1460" s="32" t="e">
        <f ca="1">_xludf.ifna(VLOOKUP(E1460,Parámetros!$D$2:$E$34,2,0),"")</f>
        <v>#NAME?</v>
      </c>
      <c r="M1460" s="32" t="e">
        <f ca="1">_xludf.ifna(VLOOKUP(G1460,Proyectos!$A$2:$T$674,20,0),"")</f>
        <v>#NAME?</v>
      </c>
      <c r="N1460" s="32" t="e">
        <f ca="1">_xludf.ifna(VLOOKUP(G1460,Proyectos!$A$2:$S$674,19,0))</f>
        <v>#NAME?</v>
      </c>
      <c r="O1460" s="31"/>
      <c r="P1460" s="33"/>
      <c r="Q1460" s="33"/>
      <c r="R1460" s="33"/>
      <c r="S1460" s="33"/>
      <c r="T1460" s="33"/>
      <c r="U1460" s="33"/>
      <c r="V1460" s="33"/>
      <c r="W1460" s="33"/>
    </row>
    <row r="1461" spans="1:23" ht="16.5" customHeight="1" x14ac:dyDescent="0.25">
      <c r="A1461" s="35" t="s">
        <v>4322</v>
      </c>
      <c r="B1461" s="26" t="s">
        <v>5496</v>
      </c>
      <c r="C1461" s="66" t="s">
        <v>64</v>
      </c>
      <c r="D1461" s="26" t="s">
        <v>82</v>
      </c>
      <c r="E1461" s="35" t="s">
        <v>9</v>
      </c>
      <c r="F1461" s="28" t="e">
        <f ca="1">_xludf.ifna(VLOOKUP(G1461,Proyectos!$A$2:$F$674,6,0),"")</f>
        <v>#NAME?</v>
      </c>
      <c r="G1461" s="76" t="s">
        <v>5387</v>
      </c>
      <c r="H1461" s="32">
        <v>1</v>
      </c>
      <c r="I1461" s="31" t="s">
        <v>18</v>
      </c>
      <c r="J1461" s="31" t="s">
        <v>3280</v>
      </c>
      <c r="K1461" s="32"/>
      <c r="L1461" s="32" t="e">
        <f ca="1">_xludf.ifna(VLOOKUP(E1461,Parámetros!$D$2:$E$34,2,0),"")</f>
        <v>#NAME?</v>
      </c>
      <c r="M1461" s="32" t="e">
        <f ca="1">_xludf.ifna(VLOOKUP(G1461,Proyectos!$A$2:$T$674,20,0),"")</f>
        <v>#NAME?</v>
      </c>
      <c r="N1461" s="32" t="e">
        <f ca="1">_xludf.ifna(VLOOKUP(G1461,Proyectos!$A$2:$S$674,19,0))</f>
        <v>#NAME?</v>
      </c>
      <c r="O1461" s="31"/>
      <c r="P1461" s="33"/>
      <c r="Q1461" s="33"/>
      <c r="R1461" s="33"/>
      <c r="S1461" s="33"/>
      <c r="T1461" s="33"/>
      <c r="U1461" s="33"/>
      <c r="V1461" s="33"/>
      <c r="W1461" s="33"/>
    </row>
    <row r="1462" spans="1:23" ht="16.5" customHeight="1" x14ac:dyDescent="0.2">
      <c r="A1462" s="35" t="s">
        <v>4394</v>
      </c>
      <c r="B1462" s="26" t="s">
        <v>5497</v>
      </c>
      <c r="C1462" s="66" t="s">
        <v>64</v>
      </c>
      <c r="D1462" s="26" t="s">
        <v>82</v>
      </c>
      <c r="E1462" s="35" t="s">
        <v>126</v>
      </c>
      <c r="F1462" s="28" t="e">
        <f ca="1">_xludf.ifna(VLOOKUP(G1462,Proyectos!$A$2:$F$674,6,0),"")</f>
        <v>#NAME?</v>
      </c>
      <c r="G1462" s="26" t="s">
        <v>5434</v>
      </c>
      <c r="H1462" s="32">
        <v>1</v>
      </c>
      <c r="I1462" s="31" t="s">
        <v>18</v>
      </c>
      <c r="J1462" s="31" t="s">
        <v>19</v>
      </c>
      <c r="K1462" s="32"/>
      <c r="L1462" s="32" t="e">
        <f ca="1">_xludf.ifna(VLOOKUP(E1462,Parámetros!$D$2:$E$34,2,0),"")</f>
        <v>#NAME?</v>
      </c>
      <c r="M1462" s="32" t="e">
        <f ca="1">_xludf.ifna(VLOOKUP(G1462,Proyectos!$A$2:$T$674,20,0),"")</f>
        <v>#NAME?</v>
      </c>
      <c r="N1462" s="32" t="e">
        <f ca="1">_xludf.ifna(VLOOKUP(G1462,Proyectos!$A$2:$S$674,19,0))</f>
        <v>#NAME?</v>
      </c>
      <c r="O1462" s="31"/>
      <c r="P1462" s="33"/>
      <c r="Q1462" s="33"/>
      <c r="R1462" s="33"/>
      <c r="S1462" s="33"/>
      <c r="T1462" s="33"/>
      <c r="U1462" s="33"/>
      <c r="V1462" s="33"/>
      <c r="W1462" s="33"/>
    </row>
    <row r="1463" spans="1:23" ht="16.5" customHeight="1" x14ac:dyDescent="0.2">
      <c r="A1463" s="35" t="s">
        <v>4070</v>
      </c>
      <c r="B1463" s="26" t="s">
        <v>5498</v>
      </c>
      <c r="C1463" s="66" t="s">
        <v>64</v>
      </c>
      <c r="D1463" s="26" t="s">
        <v>82</v>
      </c>
      <c r="E1463" s="35" t="s">
        <v>129</v>
      </c>
      <c r="F1463" s="28" t="e">
        <f ca="1">_xludf.ifna(VLOOKUP(G1463,Proyectos!$A$2:$F$674,6,0),"")</f>
        <v>#NAME?</v>
      </c>
      <c r="G1463" s="26" t="s">
        <v>5434</v>
      </c>
      <c r="H1463" s="32">
        <v>1</v>
      </c>
      <c r="I1463" s="31" t="s">
        <v>18</v>
      </c>
      <c r="J1463" s="31" t="s">
        <v>61</v>
      </c>
      <c r="K1463" s="32"/>
      <c r="L1463" s="32" t="e">
        <f ca="1">_xludf.ifna(VLOOKUP(E1463,Parámetros!$D$2:$E$34,2,0),"")</f>
        <v>#NAME?</v>
      </c>
      <c r="M1463" s="32" t="e">
        <f ca="1">_xludf.ifna(VLOOKUP(G1463,Proyectos!$A$2:$T$674,20,0),"")</f>
        <v>#NAME?</v>
      </c>
      <c r="N1463" s="32" t="e">
        <f ca="1">_xludf.ifna(VLOOKUP(G1463,Proyectos!$A$2:$S$674,19,0))</f>
        <v>#NAME?</v>
      </c>
      <c r="O1463" s="31"/>
      <c r="P1463" s="33"/>
      <c r="Q1463" s="33"/>
      <c r="R1463" s="33"/>
      <c r="S1463" s="33"/>
      <c r="T1463" s="33"/>
      <c r="U1463" s="33"/>
      <c r="V1463" s="33"/>
      <c r="W1463" s="33"/>
    </row>
    <row r="1464" spans="1:23" ht="16.5" customHeight="1" x14ac:dyDescent="0.25">
      <c r="A1464" s="35" t="s">
        <v>4057</v>
      </c>
      <c r="B1464" s="26" t="s">
        <v>5499</v>
      </c>
      <c r="C1464" s="66" t="s">
        <v>64</v>
      </c>
      <c r="D1464" s="26" t="s">
        <v>82</v>
      </c>
      <c r="E1464" s="35" t="s">
        <v>87</v>
      </c>
      <c r="F1464" s="28" t="e">
        <f ca="1">_xludf.ifna(VLOOKUP(G1464,Proyectos!$A$2:$F$674,6,0),"")</f>
        <v>#NAME?</v>
      </c>
      <c r="G1464" s="76" t="s">
        <v>5387</v>
      </c>
      <c r="H1464" s="32">
        <v>1</v>
      </c>
      <c r="I1464" s="31" t="s">
        <v>25</v>
      </c>
      <c r="J1464" s="31" t="s">
        <v>72</v>
      </c>
      <c r="K1464" s="32"/>
      <c r="L1464" s="32" t="e">
        <f ca="1">_xludf.ifna(VLOOKUP(E1464,Parámetros!$D$2:$E$34,2,0),"")</f>
        <v>#NAME?</v>
      </c>
      <c r="M1464" s="32" t="e">
        <f ca="1">_xludf.ifna(VLOOKUP(G1464,Proyectos!$A$2:$T$674,20,0),"")</f>
        <v>#NAME?</v>
      </c>
      <c r="N1464" s="32" t="e">
        <f ca="1">_xludf.ifna(VLOOKUP(G1464,Proyectos!$A$2:$S$674,19,0))</f>
        <v>#NAME?</v>
      </c>
      <c r="O1464" s="31"/>
      <c r="P1464" s="33"/>
      <c r="Q1464" s="33"/>
      <c r="R1464" s="33"/>
      <c r="S1464" s="33"/>
      <c r="T1464" s="33"/>
      <c r="U1464" s="33"/>
      <c r="V1464" s="33"/>
      <c r="W1464" s="33"/>
    </row>
    <row r="1465" spans="1:23" ht="16.5" customHeight="1" x14ac:dyDescent="0.25">
      <c r="A1465" s="35" t="s">
        <v>4029</v>
      </c>
      <c r="B1465" s="26" t="s">
        <v>5500</v>
      </c>
      <c r="C1465" s="66" t="s">
        <v>64</v>
      </c>
      <c r="D1465" s="26" t="s">
        <v>82</v>
      </c>
      <c r="E1465" s="35" t="s">
        <v>126</v>
      </c>
      <c r="F1465" s="28" t="e">
        <f ca="1">_xludf.ifna(VLOOKUP(G1465,Proyectos!$A$2:$F$674,6,0),"")</f>
        <v>#NAME?</v>
      </c>
      <c r="G1465" s="76" t="s">
        <v>5387</v>
      </c>
      <c r="H1465" s="32">
        <v>0.75</v>
      </c>
      <c r="I1465" s="31" t="s">
        <v>18</v>
      </c>
      <c r="J1465" s="31" t="s">
        <v>61</v>
      </c>
      <c r="K1465" s="32"/>
      <c r="L1465" s="32" t="e">
        <f ca="1">_xludf.ifna(VLOOKUP(E1465,Parámetros!$D$2:$E$34,2,0),"")</f>
        <v>#NAME?</v>
      </c>
      <c r="M1465" s="32" t="e">
        <f ca="1">_xludf.ifna(VLOOKUP(G1465,Proyectos!$A$2:$T$674,20,0),"")</f>
        <v>#NAME?</v>
      </c>
      <c r="N1465" s="32" t="e">
        <f ca="1">_xludf.ifna(VLOOKUP(G1465,Proyectos!$A$2:$S$674,19,0))</f>
        <v>#NAME?</v>
      </c>
      <c r="O1465" s="31"/>
      <c r="P1465" s="33"/>
      <c r="Q1465" s="33"/>
      <c r="R1465" s="33"/>
      <c r="S1465" s="33"/>
      <c r="T1465" s="33"/>
      <c r="U1465" s="33"/>
      <c r="V1465" s="33"/>
      <c r="W1465" s="33"/>
    </row>
    <row r="1466" spans="1:23" ht="16.5" customHeight="1" x14ac:dyDescent="0.2">
      <c r="A1466" s="35" t="s">
        <v>4029</v>
      </c>
      <c r="B1466" s="26" t="s">
        <v>5500</v>
      </c>
      <c r="C1466" s="66" t="s">
        <v>64</v>
      </c>
      <c r="D1466" s="26" t="s">
        <v>82</v>
      </c>
      <c r="E1466" s="35" t="s">
        <v>126</v>
      </c>
      <c r="F1466" s="28" t="e">
        <f ca="1">_xludf.ifna(VLOOKUP(G1466,Proyectos!$A$2:$F$674,6,0),"")</f>
        <v>#NAME?</v>
      </c>
      <c r="G1466" s="26" t="s">
        <v>5434</v>
      </c>
      <c r="H1466" s="32">
        <v>0.25</v>
      </c>
      <c r="I1466" s="31" t="s">
        <v>18</v>
      </c>
      <c r="J1466" s="31" t="s">
        <v>61</v>
      </c>
      <c r="K1466" s="32"/>
      <c r="L1466" s="32" t="e">
        <f ca="1">_xludf.ifna(VLOOKUP(E1466,Parámetros!$D$2:$E$34,2,0),"")</f>
        <v>#NAME?</v>
      </c>
      <c r="M1466" s="32" t="e">
        <f ca="1">_xludf.ifna(VLOOKUP(G1466,Proyectos!$A$2:$T$674,20,0),"")</f>
        <v>#NAME?</v>
      </c>
      <c r="N1466" s="32" t="e">
        <f ca="1">_xludf.ifna(VLOOKUP(G1466,Proyectos!$A$2:$S$674,19,0))</f>
        <v>#NAME?</v>
      </c>
      <c r="O1466" s="31"/>
      <c r="P1466" s="33"/>
      <c r="Q1466" s="33"/>
      <c r="R1466" s="33"/>
      <c r="S1466" s="33"/>
      <c r="T1466" s="33"/>
      <c r="U1466" s="33"/>
      <c r="V1466" s="33"/>
      <c r="W1466" s="33"/>
    </row>
    <row r="1467" spans="1:23" ht="16.5" customHeight="1" x14ac:dyDescent="0.25">
      <c r="A1467" s="35" t="s">
        <v>4208</v>
      </c>
      <c r="B1467" s="26" t="s">
        <v>5501</v>
      </c>
      <c r="C1467" s="66" t="s">
        <v>64</v>
      </c>
      <c r="D1467" s="26" t="s">
        <v>82</v>
      </c>
      <c r="E1467" s="35" t="s">
        <v>100</v>
      </c>
      <c r="F1467" s="28" t="e">
        <f ca="1">_xludf.ifna(VLOOKUP(G1467,Proyectos!$A$2:$F$674,6,0),"")</f>
        <v>#NAME?</v>
      </c>
      <c r="G1467" s="76" t="s">
        <v>5387</v>
      </c>
      <c r="H1467" s="32">
        <v>1</v>
      </c>
      <c r="I1467" s="31" t="s">
        <v>18</v>
      </c>
      <c r="J1467" s="31" t="s">
        <v>3280</v>
      </c>
      <c r="K1467" s="32"/>
      <c r="L1467" s="32" t="e">
        <f ca="1">_xludf.ifna(VLOOKUP(E1467,Parámetros!$D$2:$E$34,2,0),"")</f>
        <v>#NAME?</v>
      </c>
      <c r="M1467" s="32" t="e">
        <f ca="1">_xludf.ifna(VLOOKUP(G1467,Proyectos!$A$2:$T$674,20,0),"")</f>
        <v>#NAME?</v>
      </c>
      <c r="N1467" s="32" t="e">
        <f ca="1">_xludf.ifna(VLOOKUP(G1467,Proyectos!$A$2:$S$674,19,0))</f>
        <v>#NAME?</v>
      </c>
      <c r="O1467" s="31"/>
      <c r="P1467" s="33"/>
      <c r="Q1467" s="33"/>
      <c r="R1467" s="33"/>
      <c r="S1467" s="33"/>
      <c r="T1467" s="33"/>
      <c r="U1467" s="33"/>
      <c r="V1467" s="33"/>
      <c r="W1467" s="33"/>
    </row>
    <row r="1468" spans="1:23" ht="16.5" customHeight="1" x14ac:dyDescent="0.25">
      <c r="A1468" s="35" t="s">
        <v>4132</v>
      </c>
      <c r="B1468" s="26" t="s">
        <v>5502</v>
      </c>
      <c r="C1468" s="66" t="s">
        <v>64</v>
      </c>
      <c r="D1468" s="26" t="s">
        <v>82</v>
      </c>
      <c r="E1468" s="35" t="s">
        <v>108</v>
      </c>
      <c r="F1468" s="28" t="e">
        <f ca="1">_xludf.ifna(VLOOKUP(G1468,Proyectos!$A$2:$F$674,6,0),"")</f>
        <v>#NAME?</v>
      </c>
      <c r="G1468" s="76" t="s">
        <v>5387</v>
      </c>
      <c r="H1468" s="32">
        <v>1</v>
      </c>
      <c r="I1468" s="31" t="s">
        <v>18</v>
      </c>
      <c r="J1468" s="31" t="s">
        <v>3280</v>
      </c>
      <c r="K1468" s="32"/>
      <c r="L1468" s="32" t="e">
        <f ca="1">_xludf.ifna(VLOOKUP(E1468,Parámetros!$D$2:$E$34,2,0),"")</f>
        <v>#NAME?</v>
      </c>
      <c r="M1468" s="32" t="e">
        <f ca="1">_xludf.ifna(VLOOKUP(G1468,Proyectos!$A$2:$T$674,20,0),"")</f>
        <v>#NAME?</v>
      </c>
      <c r="N1468" s="32" t="e">
        <f ca="1">_xludf.ifna(VLOOKUP(G1468,Proyectos!$A$2:$S$674,19,0))</f>
        <v>#NAME?</v>
      </c>
      <c r="O1468" s="31"/>
      <c r="P1468" s="33"/>
      <c r="Q1468" s="33"/>
      <c r="R1468" s="33"/>
      <c r="S1468" s="33"/>
      <c r="T1468" s="33"/>
      <c r="U1468" s="33"/>
      <c r="V1468" s="33"/>
      <c r="W1468" s="33"/>
    </row>
    <row r="1469" spans="1:23" ht="16.5" customHeight="1" x14ac:dyDescent="0.25">
      <c r="A1469" s="35" t="s">
        <v>3968</v>
      </c>
      <c r="B1469" s="26" t="s">
        <v>5503</v>
      </c>
      <c r="C1469" s="66" t="s">
        <v>64</v>
      </c>
      <c r="D1469" s="26" t="s">
        <v>82</v>
      </c>
      <c r="E1469" s="35" t="s">
        <v>126</v>
      </c>
      <c r="F1469" s="28" t="e">
        <f ca="1">_xludf.ifna(VLOOKUP(G1469,Proyectos!$A$2:$F$674,6,0),"")</f>
        <v>#NAME?</v>
      </c>
      <c r="G1469" s="76" t="s">
        <v>5387</v>
      </c>
      <c r="H1469" s="32">
        <v>0.75</v>
      </c>
      <c r="I1469" s="31" t="s">
        <v>18</v>
      </c>
      <c r="J1469" s="31" t="s">
        <v>61</v>
      </c>
      <c r="K1469" s="32"/>
      <c r="L1469" s="32" t="e">
        <f ca="1">_xludf.ifna(VLOOKUP(E1469,Parámetros!$D$2:$E$34,2,0),"")</f>
        <v>#NAME?</v>
      </c>
      <c r="M1469" s="32" t="e">
        <f ca="1">_xludf.ifna(VLOOKUP(G1469,Proyectos!$A$2:$T$674,20,0),"")</f>
        <v>#NAME?</v>
      </c>
      <c r="N1469" s="32" t="e">
        <f ca="1">_xludf.ifna(VLOOKUP(G1469,Proyectos!$A$2:$S$674,19,0))</f>
        <v>#NAME?</v>
      </c>
      <c r="O1469" s="31"/>
      <c r="P1469" s="33"/>
      <c r="Q1469" s="33"/>
      <c r="R1469" s="33"/>
      <c r="S1469" s="33"/>
      <c r="T1469" s="33"/>
      <c r="U1469" s="33"/>
      <c r="V1469" s="33"/>
      <c r="W1469" s="33"/>
    </row>
    <row r="1470" spans="1:23" ht="16.5" customHeight="1" x14ac:dyDescent="0.2">
      <c r="A1470" s="35" t="s">
        <v>3968</v>
      </c>
      <c r="B1470" s="26" t="s">
        <v>5503</v>
      </c>
      <c r="C1470" s="66" t="s">
        <v>64</v>
      </c>
      <c r="D1470" s="26" t="s">
        <v>82</v>
      </c>
      <c r="E1470" s="35" t="s">
        <v>126</v>
      </c>
      <c r="F1470" s="28" t="e">
        <f ca="1">_xludf.ifna(VLOOKUP(G1470,Proyectos!$A$2:$F$674,6,0),"")</f>
        <v>#NAME?</v>
      </c>
      <c r="G1470" s="26" t="s">
        <v>5434</v>
      </c>
      <c r="H1470" s="32">
        <v>0.25</v>
      </c>
      <c r="I1470" s="31" t="s">
        <v>18</v>
      </c>
      <c r="J1470" s="31" t="s">
        <v>61</v>
      </c>
      <c r="K1470" s="32"/>
      <c r="L1470" s="32" t="e">
        <f ca="1">_xludf.ifna(VLOOKUP(E1470,Parámetros!$D$2:$E$34,2,0),"")</f>
        <v>#NAME?</v>
      </c>
      <c r="M1470" s="32" t="e">
        <f ca="1">_xludf.ifna(VLOOKUP(G1470,Proyectos!$A$2:$T$674,20,0),"")</f>
        <v>#NAME?</v>
      </c>
      <c r="N1470" s="32" t="e">
        <f ca="1">_xludf.ifna(VLOOKUP(G1470,Proyectos!$A$2:$S$674,19,0))</f>
        <v>#NAME?</v>
      </c>
      <c r="O1470" s="31"/>
      <c r="P1470" s="33"/>
      <c r="Q1470" s="33"/>
      <c r="R1470" s="33"/>
      <c r="S1470" s="33"/>
      <c r="T1470" s="33"/>
      <c r="U1470" s="33"/>
      <c r="V1470" s="33"/>
      <c r="W1470" s="33"/>
    </row>
    <row r="1471" spans="1:23" ht="16.5" customHeight="1" x14ac:dyDescent="0.25">
      <c r="A1471" s="35" t="s">
        <v>4501</v>
      </c>
      <c r="B1471" s="26" t="s">
        <v>5504</v>
      </c>
      <c r="C1471" s="66" t="s">
        <v>64</v>
      </c>
      <c r="D1471" s="26" t="s">
        <v>82</v>
      </c>
      <c r="E1471" s="35" t="s">
        <v>126</v>
      </c>
      <c r="F1471" s="28" t="e">
        <f ca="1">_xludf.ifna(VLOOKUP(G1471,Proyectos!$A$2:$F$674,6,0),"")</f>
        <v>#NAME?</v>
      </c>
      <c r="G1471" s="76" t="s">
        <v>5387</v>
      </c>
      <c r="H1471" s="32">
        <v>1</v>
      </c>
      <c r="I1471" s="31" t="s">
        <v>25</v>
      </c>
      <c r="J1471" s="31" t="s">
        <v>72</v>
      </c>
      <c r="K1471" s="32"/>
      <c r="L1471" s="32" t="e">
        <f ca="1">_xludf.ifna(VLOOKUP(E1471,Parámetros!$D$2:$E$34,2,0),"")</f>
        <v>#NAME?</v>
      </c>
      <c r="M1471" s="32" t="e">
        <f ca="1">_xludf.ifna(VLOOKUP(G1471,Proyectos!$A$2:$T$674,20,0),"")</f>
        <v>#NAME?</v>
      </c>
      <c r="N1471" s="32" t="e">
        <f ca="1">_xludf.ifna(VLOOKUP(G1471,Proyectos!$A$2:$S$674,19,0))</f>
        <v>#NAME?</v>
      </c>
      <c r="O1471" s="31"/>
      <c r="P1471" s="33"/>
      <c r="Q1471" s="33"/>
      <c r="R1471" s="33"/>
      <c r="S1471" s="33"/>
      <c r="T1471" s="33"/>
      <c r="U1471" s="33"/>
      <c r="V1471" s="33"/>
      <c r="W1471" s="33"/>
    </row>
    <row r="1472" spans="1:23" ht="16.5" customHeight="1" x14ac:dyDescent="0.25">
      <c r="A1472" s="35" t="s">
        <v>4175</v>
      </c>
      <c r="B1472" s="26" t="s">
        <v>5505</v>
      </c>
      <c r="C1472" s="66" t="s">
        <v>64</v>
      </c>
      <c r="D1472" s="26" t="s">
        <v>82</v>
      </c>
      <c r="E1472" s="35" t="s">
        <v>135</v>
      </c>
      <c r="F1472" s="28" t="e">
        <f ca="1">_xludf.ifna(VLOOKUP(G1472,Proyectos!$A$2:$F$674,6,0),"")</f>
        <v>#NAME?</v>
      </c>
      <c r="G1472" s="76" t="s">
        <v>5387</v>
      </c>
      <c r="H1472" s="32">
        <v>1</v>
      </c>
      <c r="I1472" s="31" t="s">
        <v>25</v>
      </c>
      <c r="J1472" s="31" t="s">
        <v>72</v>
      </c>
      <c r="K1472" s="32"/>
      <c r="L1472" s="32" t="e">
        <f ca="1">_xludf.ifna(VLOOKUP(E1472,Parámetros!$D$2:$E$34,2,0),"")</f>
        <v>#NAME?</v>
      </c>
      <c r="M1472" s="32" t="e">
        <f ca="1">_xludf.ifna(VLOOKUP(G1472,Proyectos!$A$2:$T$674,20,0),"")</f>
        <v>#NAME?</v>
      </c>
      <c r="N1472" s="32" t="e">
        <f ca="1">_xludf.ifna(VLOOKUP(G1472,Proyectos!$A$2:$S$674,19,0))</f>
        <v>#NAME?</v>
      </c>
      <c r="O1472" s="31"/>
      <c r="P1472" s="33"/>
      <c r="Q1472" s="33"/>
      <c r="R1472" s="33"/>
      <c r="S1472" s="33"/>
      <c r="T1472" s="33"/>
      <c r="U1472" s="33"/>
      <c r="V1472" s="33"/>
      <c r="W1472" s="33"/>
    </row>
    <row r="1473" spans="1:23" ht="16.5" customHeight="1" x14ac:dyDescent="0.2">
      <c r="A1473" s="35" t="s">
        <v>4843</v>
      </c>
      <c r="B1473" s="26" t="s">
        <v>5506</v>
      </c>
      <c r="C1473" s="66" t="s">
        <v>64</v>
      </c>
      <c r="D1473" s="26" t="s">
        <v>82</v>
      </c>
      <c r="E1473" s="35" t="s">
        <v>129</v>
      </c>
      <c r="F1473" s="28" t="e">
        <f ca="1">_xludf.ifna(VLOOKUP(G1473,Proyectos!$A$2:$F$674,6,0),"")</f>
        <v>#NAME?</v>
      </c>
      <c r="G1473" s="26" t="s">
        <v>5434</v>
      </c>
      <c r="H1473" s="32">
        <v>1</v>
      </c>
      <c r="I1473" s="31" t="s">
        <v>18</v>
      </c>
      <c r="J1473" s="31" t="s">
        <v>61</v>
      </c>
      <c r="K1473" s="32"/>
      <c r="L1473" s="32" t="e">
        <f ca="1">_xludf.ifna(VLOOKUP(E1473,Parámetros!$D$2:$E$34,2,0),"")</f>
        <v>#NAME?</v>
      </c>
      <c r="M1473" s="32" t="e">
        <f ca="1">_xludf.ifna(VLOOKUP(G1473,Proyectos!$A$2:$T$674,20,0),"")</f>
        <v>#NAME?</v>
      </c>
      <c r="N1473" s="32" t="e">
        <f ca="1">_xludf.ifna(VLOOKUP(G1473,Proyectos!$A$2:$S$674,19,0))</f>
        <v>#NAME?</v>
      </c>
      <c r="O1473" s="31"/>
      <c r="P1473" s="33"/>
      <c r="Q1473" s="33"/>
      <c r="R1473" s="33"/>
      <c r="S1473" s="33"/>
      <c r="T1473" s="33"/>
      <c r="U1473" s="33"/>
      <c r="V1473" s="33"/>
      <c r="W1473" s="33"/>
    </row>
    <row r="1474" spans="1:23" ht="16.5" customHeight="1" x14ac:dyDescent="0.25">
      <c r="A1474" s="35" t="s">
        <v>4302</v>
      </c>
      <c r="B1474" s="26" t="s">
        <v>4303</v>
      </c>
      <c r="C1474" s="66" t="s">
        <v>64</v>
      </c>
      <c r="D1474" s="26" t="s">
        <v>82</v>
      </c>
      <c r="E1474" s="35" t="s">
        <v>126</v>
      </c>
      <c r="F1474" s="28" t="e">
        <f ca="1">_xludf.ifna(VLOOKUP(G1474,Proyectos!$A$2:$F$674,6,0),"")</f>
        <v>#NAME?</v>
      </c>
      <c r="G1474" s="76" t="s">
        <v>5387</v>
      </c>
      <c r="H1474" s="32">
        <v>1</v>
      </c>
      <c r="I1474" s="31" t="s">
        <v>18</v>
      </c>
      <c r="J1474" s="31" t="s">
        <v>3280</v>
      </c>
      <c r="K1474" s="32"/>
      <c r="L1474" s="32" t="e">
        <f ca="1">_xludf.ifna(VLOOKUP(E1474,Parámetros!$D$2:$E$34,2,0),"")</f>
        <v>#NAME?</v>
      </c>
      <c r="M1474" s="32" t="e">
        <f ca="1">_xludf.ifna(VLOOKUP(G1474,Proyectos!$A$2:$T$674,20,0),"")</f>
        <v>#NAME?</v>
      </c>
      <c r="N1474" s="32" t="e">
        <f ca="1">_xludf.ifna(VLOOKUP(G1474,Proyectos!$A$2:$S$674,19,0))</f>
        <v>#NAME?</v>
      </c>
      <c r="O1474" s="31"/>
      <c r="P1474" s="33"/>
      <c r="Q1474" s="33"/>
      <c r="R1474" s="33"/>
      <c r="S1474" s="33"/>
      <c r="T1474" s="33"/>
      <c r="U1474" s="33"/>
      <c r="V1474" s="33"/>
      <c r="W1474" s="33"/>
    </row>
    <row r="1475" spans="1:23" ht="16.5" customHeight="1" x14ac:dyDescent="0.25">
      <c r="A1475" s="35" t="s">
        <v>4206</v>
      </c>
      <c r="B1475" s="26" t="s">
        <v>5384</v>
      </c>
      <c r="C1475" s="66" t="s">
        <v>64</v>
      </c>
      <c r="D1475" s="26" t="s">
        <v>82</v>
      </c>
      <c r="E1475" s="35" t="s">
        <v>9</v>
      </c>
      <c r="F1475" s="28" t="e">
        <f ca="1">_xludf.ifna(VLOOKUP(G1475,Proyectos!$A$2:$F$674,6,0),"")</f>
        <v>#NAME?</v>
      </c>
      <c r="G1475" s="76" t="s">
        <v>5387</v>
      </c>
      <c r="H1475" s="32">
        <v>0.5</v>
      </c>
      <c r="I1475" s="31" t="s">
        <v>18</v>
      </c>
      <c r="J1475" s="31" t="s">
        <v>61</v>
      </c>
      <c r="K1475" s="32"/>
      <c r="L1475" s="32" t="e">
        <f ca="1">_xludf.ifna(VLOOKUP(E1475,Parámetros!$D$2:$E$34,2,0),"")</f>
        <v>#NAME?</v>
      </c>
      <c r="M1475" s="32" t="e">
        <f ca="1">_xludf.ifna(VLOOKUP(G1475,Proyectos!$A$2:$T$674,20,0),"")</f>
        <v>#NAME?</v>
      </c>
      <c r="N1475" s="32" t="e">
        <f ca="1">_xludf.ifna(VLOOKUP(G1475,Proyectos!$A$2:$S$674,19,0))</f>
        <v>#NAME?</v>
      </c>
      <c r="O1475" s="31"/>
      <c r="P1475" s="33"/>
      <c r="Q1475" s="33"/>
      <c r="R1475" s="33"/>
      <c r="S1475" s="33"/>
      <c r="T1475" s="33"/>
      <c r="U1475" s="33"/>
      <c r="V1475" s="33"/>
      <c r="W1475" s="33"/>
    </row>
    <row r="1476" spans="1:23" ht="16.5" customHeight="1" x14ac:dyDescent="0.25">
      <c r="A1476" s="35" t="s">
        <v>5002</v>
      </c>
      <c r="B1476" s="26" t="s">
        <v>5507</v>
      </c>
      <c r="C1476" s="66" t="s">
        <v>64</v>
      </c>
      <c r="D1476" s="26" t="s">
        <v>82</v>
      </c>
      <c r="E1476" s="35" t="s">
        <v>9</v>
      </c>
      <c r="F1476" s="28" t="e">
        <f ca="1">_xludf.ifna(VLOOKUP(G1476,Proyectos!$A$2:$F$674,6,0),"")</f>
        <v>#NAME?</v>
      </c>
      <c r="G1476" s="76" t="s">
        <v>5387</v>
      </c>
      <c r="H1476" s="32">
        <v>1</v>
      </c>
      <c r="I1476" s="31" t="s">
        <v>25</v>
      </c>
      <c r="J1476" s="31" t="s">
        <v>72</v>
      </c>
      <c r="K1476" s="32"/>
      <c r="L1476" s="32" t="e">
        <f ca="1">_xludf.ifna(VLOOKUP(E1476,Parámetros!$D$2:$E$34,2,0),"")</f>
        <v>#NAME?</v>
      </c>
      <c r="M1476" s="32" t="e">
        <f ca="1">_xludf.ifna(VLOOKUP(G1476,Proyectos!$A$2:$T$674,20,0),"")</f>
        <v>#NAME?</v>
      </c>
      <c r="N1476" s="32" t="e">
        <f ca="1">_xludf.ifna(VLOOKUP(G1476,Proyectos!$A$2:$S$674,19,0))</f>
        <v>#NAME?</v>
      </c>
      <c r="O1476" s="31"/>
      <c r="P1476" s="33"/>
      <c r="Q1476" s="33"/>
      <c r="R1476" s="33"/>
      <c r="S1476" s="33"/>
      <c r="T1476" s="33"/>
      <c r="U1476" s="33"/>
      <c r="V1476" s="33"/>
      <c r="W1476" s="33"/>
    </row>
    <row r="1477" spans="1:23" ht="16.5" customHeight="1" x14ac:dyDescent="0.25">
      <c r="A1477" s="35" t="s">
        <v>4255</v>
      </c>
      <c r="B1477" s="26" t="s">
        <v>5508</v>
      </c>
      <c r="C1477" s="66" t="s">
        <v>64</v>
      </c>
      <c r="D1477" s="26" t="s">
        <v>82</v>
      </c>
      <c r="E1477" s="35" t="s">
        <v>100</v>
      </c>
      <c r="F1477" s="28" t="e">
        <f ca="1">_xludf.ifna(VLOOKUP(G1477,Proyectos!$A$2:$F$674,6,0),"")</f>
        <v>#NAME?</v>
      </c>
      <c r="G1477" s="76" t="s">
        <v>5387</v>
      </c>
      <c r="H1477" s="32">
        <v>1</v>
      </c>
      <c r="I1477" s="31" t="s">
        <v>18</v>
      </c>
      <c r="J1477" s="31" t="s">
        <v>19</v>
      </c>
      <c r="K1477" s="32"/>
      <c r="L1477" s="32" t="e">
        <f ca="1">_xludf.ifna(VLOOKUP(E1477,Parámetros!$D$2:$E$34,2,0),"")</f>
        <v>#NAME?</v>
      </c>
      <c r="M1477" s="32" t="e">
        <f ca="1">_xludf.ifna(VLOOKUP(G1477,Proyectos!$A$2:$T$674,20,0),"")</f>
        <v>#NAME?</v>
      </c>
      <c r="N1477" s="32" t="e">
        <f ca="1">_xludf.ifna(VLOOKUP(G1477,Proyectos!$A$2:$S$674,19,0))</f>
        <v>#NAME?</v>
      </c>
      <c r="O1477" s="31"/>
      <c r="P1477" s="33"/>
      <c r="Q1477" s="33"/>
      <c r="R1477" s="33"/>
      <c r="S1477" s="33"/>
      <c r="T1477" s="33"/>
      <c r="U1477" s="33"/>
      <c r="V1477" s="33"/>
      <c r="W1477" s="33"/>
    </row>
    <row r="1478" spans="1:23" ht="16.5" customHeight="1" x14ac:dyDescent="0.25">
      <c r="A1478" s="35" t="s">
        <v>4045</v>
      </c>
      <c r="B1478" s="26" t="s">
        <v>5509</v>
      </c>
      <c r="C1478" s="66" t="s">
        <v>64</v>
      </c>
      <c r="D1478" s="26" t="s">
        <v>82</v>
      </c>
      <c r="E1478" s="35" t="s">
        <v>135</v>
      </c>
      <c r="F1478" s="28" t="e">
        <f ca="1">_xludf.ifna(VLOOKUP(G1478,Proyectos!$A$2:$F$674,6,0),"")</f>
        <v>#NAME?</v>
      </c>
      <c r="G1478" s="76" t="s">
        <v>5387</v>
      </c>
      <c r="H1478" s="32">
        <v>0.5</v>
      </c>
      <c r="I1478" s="31" t="s">
        <v>18</v>
      </c>
      <c r="J1478" s="31" t="s">
        <v>61</v>
      </c>
      <c r="K1478" s="32"/>
      <c r="L1478" s="32" t="e">
        <f ca="1">_xludf.ifna(VLOOKUP(E1478,Parámetros!$D$2:$E$34,2,0),"")</f>
        <v>#NAME?</v>
      </c>
      <c r="M1478" s="32" t="e">
        <f ca="1">_xludf.ifna(VLOOKUP(G1478,Proyectos!$A$2:$T$674,20,0),"")</f>
        <v>#NAME?</v>
      </c>
      <c r="N1478" s="32" t="e">
        <f ca="1">_xludf.ifna(VLOOKUP(G1478,Proyectos!$A$2:$S$674,19,0))</f>
        <v>#NAME?</v>
      </c>
      <c r="O1478" s="31"/>
      <c r="P1478" s="33"/>
      <c r="Q1478" s="33"/>
      <c r="R1478" s="33"/>
      <c r="S1478" s="33"/>
      <c r="T1478" s="33"/>
      <c r="U1478" s="33"/>
      <c r="V1478" s="33"/>
      <c r="W1478" s="33"/>
    </row>
    <row r="1479" spans="1:23" ht="16.5" customHeight="1" x14ac:dyDescent="0.2">
      <c r="A1479" s="35" t="s">
        <v>4045</v>
      </c>
      <c r="B1479" s="26" t="s">
        <v>5509</v>
      </c>
      <c r="C1479" s="66" t="s">
        <v>64</v>
      </c>
      <c r="D1479" s="26" t="s">
        <v>82</v>
      </c>
      <c r="E1479" s="35" t="s">
        <v>135</v>
      </c>
      <c r="F1479" s="28" t="e">
        <f ca="1">_xludf.ifna(VLOOKUP(G1479,Proyectos!$A$2:$F$674,6,0),"")</f>
        <v>#NAME?</v>
      </c>
      <c r="G1479" s="26" t="s">
        <v>5434</v>
      </c>
      <c r="H1479" s="32">
        <v>0.5</v>
      </c>
      <c r="I1479" s="31" t="s">
        <v>18</v>
      </c>
      <c r="J1479" s="31" t="s">
        <v>61</v>
      </c>
      <c r="K1479" s="32"/>
      <c r="L1479" s="32" t="e">
        <f ca="1">_xludf.ifna(VLOOKUP(E1479,Parámetros!$D$2:$E$34,2,0),"")</f>
        <v>#NAME?</v>
      </c>
      <c r="M1479" s="32" t="e">
        <f ca="1">_xludf.ifna(VLOOKUP(G1479,Proyectos!$A$2:$T$674,20,0),"")</f>
        <v>#NAME?</v>
      </c>
      <c r="N1479" s="32" t="e">
        <f ca="1">_xludf.ifna(VLOOKUP(G1479,Proyectos!$A$2:$S$674,19,0))</f>
        <v>#NAME?</v>
      </c>
      <c r="O1479" s="31"/>
      <c r="P1479" s="33"/>
      <c r="Q1479" s="33"/>
      <c r="R1479" s="33"/>
      <c r="S1479" s="33"/>
      <c r="T1479" s="33"/>
      <c r="U1479" s="33"/>
      <c r="V1479" s="33"/>
      <c r="W1479" s="33"/>
    </row>
    <row r="1480" spans="1:23" ht="16.5" customHeight="1" x14ac:dyDescent="0.2">
      <c r="A1480" s="35" t="s">
        <v>4511</v>
      </c>
      <c r="B1480" s="26" t="s">
        <v>5510</v>
      </c>
      <c r="C1480" s="66" t="s">
        <v>64</v>
      </c>
      <c r="D1480" s="26" t="s">
        <v>82</v>
      </c>
      <c r="E1480" s="35" t="s">
        <v>126</v>
      </c>
      <c r="F1480" s="28" t="e">
        <f ca="1">_xludf.ifna(VLOOKUP(G1480,Proyectos!$A$2:$F$674,6,0),"")</f>
        <v>#NAME?</v>
      </c>
      <c r="G1480" s="26" t="s">
        <v>5434</v>
      </c>
      <c r="H1480" s="32">
        <v>1</v>
      </c>
      <c r="I1480" s="31" t="s">
        <v>18</v>
      </c>
      <c r="J1480" s="31" t="s">
        <v>19</v>
      </c>
      <c r="K1480" s="32"/>
      <c r="L1480" s="32" t="e">
        <f ca="1">_xludf.ifna(VLOOKUP(E1480,Parámetros!$D$2:$E$34,2,0),"")</f>
        <v>#NAME?</v>
      </c>
      <c r="M1480" s="32" t="e">
        <f ca="1">_xludf.ifna(VLOOKUP(G1480,Proyectos!$A$2:$T$674,20,0),"")</f>
        <v>#NAME?</v>
      </c>
      <c r="N1480" s="32" t="e">
        <f ca="1">_xludf.ifna(VLOOKUP(G1480,Proyectos!$A$2:$S$674,19,0))</f>
        <v>#NAME?</v>
      </c>
      <c r="O1480" s="31"/>
      <c r="P1480" s="33"/>
      <c r="Q1480" s="33"/>
      <c r="R1480" s="33"/>
      <c r="S1480" s="33"/>
      <c r="T1480" s="33"/>
      <c r="U1480" s="33"/>
      <c r="V1480" s="33"/>
      <c r="W1480" s="33"/>
    </row>
    <row r="1481" spans="1:23" ht="16.5" customHeight="1" x14ac:dyDescent="0.25">
      <c r="A1481" s="35" t="s">
        <v>4153</v>
      </c>
      <c r="B1481" s="26" t="s">
        <v>5511</v>
      </c>
      <c r="C1481" s="66" t="s">
        <v>64</v>
      </c>
      <c r="D1481" s="26" t="s">
        <v>82</v>
      </c>
      <c r="E1481" s="35" t="s">
        <v>87</v>
      </c>
      <c r="F1481" s="28" t="e">
        <f ca="1">_xludf.ifna(VLOOKUP(G1481,Proyectos!$A$2:$F$674,6,0),"")</f>
        <v>#NAME?</v>
      </c>
      <c r="G1481" s="76" t="s">
        <v>5387</v>
      </c>
      <c r="H1481" s="32">
        <v>1</v>
      </c>
      <c r="I1481" s="31" t="s">
        <v>25</v>
      </c>
      <c r="J1481" s="31" t="s">
        <v>72</v>
      </c>
      <c r="K1481" s="32"/>
      <c r="L1481" s="32" t="e">
        <f ca="1">_xludf.ifna(VLOOKUP(E1481,Parámetros!$D$2:$E$34,2,0),"")</f>
        <v>#NAME?</v>
      </c>
      <c r="M1481" s="32" t="e">
        <f ca="1">_xludf.ifna(VLOOKUP(G1481,Proyectos!$A$2:$T$674,20,0),"")</f>
        <v>#NAME?</v>
      </c>
      <c r="N1481" s="32" t="e">
        <f ca="1">_xludf.ifna(VLOOKUP(G1481,Proyectos!$A$2:$S$674,19,0))</f>
        <v>#NAME?</v>
      </c>
      <c r="O1481" s="31"/>
      <c r="P1481" s="33"/>
      <c r="Q1481" s="33"/>
      <c r="R1481" s="33"/>
      <c r="S1481" s="33"/>
      <c r="T1481" s="33"/>
      <c r="U1481" s="33"/>
      <c r="V1481" s="33"/>
      <c r="W1481" s="33"/>
    </row>
    <row r="1482" spans="1:23" ht="16.5" customHeight="1" x14ac:dyDescent="0.25">
      <c r="A1482" s="35" t="s">
        <v>4360</v>
      </c>
      <c r="B1482" s="26" t="s">
        <v>5512</v>
      </c>
      <c r="C1482" s="66" t="s">
        <v>64</v>
      </c>
      <c r="D1482" s="26" t="s">
        <v>82</v>
      </c>
      <c r="E1482" s="35" t="s">
        <v>135</v>
      </c>
      <c r="F1482" s="28" t="e">
        <f ca="1">_xludf.ifna(VLOOKUP(G1482,Proyectos!$A$2:$F$674,6,0),"")</f>
        <v>#NAME?</v>
      </c>
      <c r="G1482" s="76" t="s">
        <v>5387</v>
      </c>
      <c r="H1482" s="32">
        <v>1</v>
      </c>
      <c r="I1482" s="31" t="s">
        <v>25</v>
      </c>
      <c r="J1482" s="31" t="s">
        <v>72</v>
      </c>
      <c r="K1482" s="32"/>
      <c r="L1482" s="32" t="e">
        <f ca="1">_xludf.ifna(VLOOKUP(E1482,Parámetros!$D$2:$E$34,2,0),"")</f>
        <v>#NAME?</v>
      </c>
      <c r="M1482" s="32" t="e">
        <f ca="1">_xludf.ifna(VLOOKUP(G1482,Proyectos!$A$2:$T$674,20,0),"")</f>
        <v>#NAME?</v>
      </c>
      <c r="N1482" s="32" t="e">
        <f ca="1">_xludf.ifna(VLOOKUP(G1482,Proyectos!$A$2:$S$674,19,0))</f>
        <v>#NAME?</v>
      </c>
      <c r="O1482" s="31"/>
      <c r="P1482" s="33"/>
      <c r="Q1482" s="33"/>
      <c r="R1482" s="33"/>
      <c r="S1482" s="33"/>
      <c r="T1482" s="33"/>
      <c r="U1482" s="33"/>
      <c r="V1482" s="33"/>
      <c r="W1482" s="33"/>
    </row>
    <row r="1483" spans="1:23" ht="16.5" customHeight="1" x14ac:dyDescent="0.2">
      <c r="A1483" s="35" t="s">
        <v>4847</v>
      </c>
      <c r="B1483" s="26" t="s">
        <v>5513</v>
      </c>
      <c r="C1483" s="66" t="s">
        <v>64</v>
      </c>
      <c r="D1483" s="26" t="s">
        <v>82</v>
      </c>
      <c r="E1483" s="35" t="s">
        <v>126</v>
      </c>
      <c r="F1483" s="28" t="e">
        <f ca="1">_xludf.ifna(VLOOKUP(G1483,Proyectos!$A$2:$F$674,6,0),"")</f>
        <v>#NAME?</v>
      </c>
      <c r="G1483" s="26" t="s">
        <v>5434</v>
      </c>
      <c r="H1483" s="32">
        <v>1</v>
      </c>
      <c r="I1483" s="31" t="s">
        <v>18</v>
      </c>
      <c r="J1483" s="31" t="s">
        <v>61</v>
      </c>
      <c r="K1483" s="32"/>
      <c r="L1483" s="32" t="e">
        <f ca="1">_xludf.ifna(VLOOKUP(E1483,Parámetros!$D$2:$E$34,2,0),"")</f>
        <v>#NAME?</v>
      </c>
      <c r="M1483" s="32" t="e">
        <f ca="1">_xludf.ifna(VLOOKUP(G1483,Proyectos!$A$2:$T$674,20,0),"")</f>
        <v>#NAME?</v>
      </c>
      <c r="N1483" s="32" t="e">
        <f ca="1">_xludf.ifna(VLOOKUP(G1483,Proyectos!$A$2:$S$674,19,0))</f>
        <v>#NAME?</v>
      </c>
      <c r="O1483" s="31"/>
      <c r="P1483" s="33"/>
      <c r="Q1483" s="33"/>
      <c r="R1483" s="33"/>
      <c r="S1483" s="33"/>
      <c r="T1483" s="33"/>
      <c r="U1483" s="33"/>
      <c r="V1483" s="33"/>
      <c r="W1483" s="33"/>
    </row>
    <row r="1484" spans="1:23" ht="16.5" customHeight="1" x14ac:dyDescent="0.25">
      <c r="A1484" s="35" t="s">
        <v>4503</v>
      </c>
      <c r="B1484" s="26" t="s">
        <v>5514</v>
      </c>
      <c r="C1484" s="66" t="s">
        <v>64</v>
      </c>
      <c r="D1484" s="26" t="s">
        <v>82</v>
      </c>
      <c r="E1484" s="35" t="s">
        <v>126</v>
      </c>
      <c r="F1484" s="28" t="e">
        <f ca="1">_xludf.ifna(VLOOKUP(G1484,Proyectos!$A$2:$F$674,6,0),"")</f>
        <v>#NAME?</v>
      </c>
      <c r="G1484" s="76" t="s">
        <v>5387</v>
      </c>
      <c r="H1484" s="32">
        <v>1</v>
      </c>
      <c r="I1484" s="31" t="s">
        <v>25</v>
      </c>
      <c r="J1484" s="31" t="s">
        <v>72</v>
      </c>
      <c r="K1484" s="32"/>
      <c r="L1484" s="32" t="e">
        <f ca="1">_xludf.ifna(VLOOKUP(E1484,Parámetros!$D$2:$E$34,2,0),"")</f>
        <v>#NAME?</v>
      </c>
      <c r="M1484" s="32" t="e">
        <f ca="1">_xludf.ifna(VLOOKUP(G1484,Proyectos!$A$2:$T$674,20,0),"")</f>
        <v>#NAME?</v>
      </c>
      <c r="N1484" s="32" t="e">
        <f ca="1">_xludf.ifna(VLOOKUP(G1484,Proyectos!$A$2:$S$674,19,0))</f>
        <v>#NAME?</v>
      </c>
      <c r="O1484" s="31"/>
      <c r="P1484" s="33"/>
      <c r="Q1484" s="33"/>
      <c r="R1484" s="33"/>
      <c r="S1484" s="33"/>
      <c r="T1484" s="33"/>
      <c r="U1484" s="33"/>
      <c r="V1484" s="33"/>
      <c r="W1484" s="33"/>
    </row>
    <row r="1485" spans="1:23" ht="16.5" customHeight="1" x14ac:dyDescent="0.2">
      <c r="A1485" s="35" t="s">
        <v>4306</v>
      </c>
      <c r="B1485" s="26" t="s">
        <v>5515</v>
      </c>
      <c r="C1485" s="66" t="s">
        <v>64</v>
      </c>
      <c r="D1485" s="26" t="s">
        <v>82</v>
      </c>
      <c r="E1485" s="35" t="s">
        <v>87</v>
      </c>
      <c r="F1485" s="28" t="e">
        <f ca="1">_xludf.ifna(VLOOKUP(G1485,Proyectos!$A$2:$F$674,6,0),"")</f>
        <v>#NAME?</v>
      </c>
      <c r="G1485" s="26" t="s">
        <v>5434</v>
      </c>
      <c r="H1485" s="32">
        <v>1</v>
      </c>
      <c r="I1485" s="31" t="s">
        <v>25</v>
      </c>
      <c r="J1485" s="31" t="s">
        <v>72</v>
      </c>
      <c r="K1485" s="32"/>
      <c r="L1485" s="32" t="e">
        <f ca="1">_xludf.ifna(VLOOKUP(E1485,Parámetros!$D$2:$E$34,2,0),"")</f>
        <v>#NAME?</v>
      </c>
      <c r="M1485" s="32" t="e">
        <f ca="1">_xludf.ifna(VLOOKUP(G1485,Proyectos!$A$2:$T$674,20,0),"")</f>
        <v>#NAME?</v>
      </c>
      <c r="N1485" s="32" t="e">
        <f ca="1">_xludf.ifna(VLOOKUP(G1485,Proyectos!$A$2:$S$674,19,0))</f>
        <v>#NAME?</v>
      </c>
      <c r="O1485" s="31"/>
      <c r="P1485" s="33"/>
      <c r="Q1485" s="33"/>
      <c r="R1485" s="33"/>
      <c r="S1485" s="33"/>
      <c r="T1485" s="33"/>
      <c r="U1485" s="33"/>
      <c r="V1485" s="33"/>
      <c r="W1485" s="33"/>
    </row>
    <row r="1486" spans="1:23" ht="16.5" customHeight="1" x14ac:dyDescent="0.25">
      <c r="A1486" s="56" t="s">
        <v>3972</v>
      </c>
      <c r="B1486" s="26" t="s">
        <v>5516</v>
      </c>
      <c r="C1486" s="66" t="s">
        <v>64</v>
      </c>
      <c r="D1486" s="26" t="s">
        <v>82</v>
      </c>
      <c r="E1486" s="56" t="s">
        <v>126</v>
      </c>
      <c r="F1486" s="28" t="e">
        <f ca="1">_xludf.ifna(VLOOKUP(G1486,Proyectos!$A$2:$F$674,6,0),"")</f>
        <v>#NAME?</v>
      </c>
      <c r="G1486" s="76" t="s">
        <v>5387</v>
      </c>
      <c r="H1486" s="32">
        <v>0.5</v>
      </c>
      <c r="I1486" s="31" t="s">
        <v>18</v>
      </c>
      <c r="J1486" s="31" t="s">
        <v>61</v>
      </c>
      <c r="K1486" s="32"/>
      <c r="L1486" s="32" t="e">
        <f ca="1">_xludf.ifna(VLOOKUP(E1486,Parámetros!$D$2:$E$34,2,0),"")</f>
        <v>#NAME?</v>
      </c>
      <c r="M1486" s="32" t="e">
        <f ca="1">_xludf.ifna(VLOOKUP(G1486,Proyectos!$A$2:$T$674,20,0),"")</f>
        <v>#NAME?</v>
      </c>
      <c r="N1486" s="32" t="e">
        <f ca="1">_xludf.ifna(VLOOKUP(G1486,Proyectos!$A$2:$S$674,19,0))</f>
        <v>#NAME?</v>
      </c>
      <c r="O1486" s="31"/>
      <c r="P1486" s="33"/>
      <c r="Q1486" s="33"/>
      <c r="R1486" s="33"/>
      <c r="S1486" s="33"/>
      <c r="T1486" s="33"/>
      <c r="U1486" s="33"/>
      <c r="V1486" s="33"/>
      <c r="W1486" s="33"/>
    </row>
    <row r="1487" spans="1:23" ht="17.25" customHeight="1" x14ac:dyDescent="0.2">
      <c r="A1487" s="56" t="s">
        <v>3972</v>
      </c>
      <c r="B1487" s="26" t="s">
        <v>5516</v>
      </c>
      <c r="C1487" s="66" t="s">
        <v>64</v>
      </c>
      <c r="D1487" s="26" t="s">
        <v>82</v>
      </c>
      <c r="E1487" s="56" t="s">
        <v>126</v>
      </c>
      <c r="F1487" s="28" t="e">
        <f ca="1">_xludf.ifna(VLOOKUP(G1487,Proyectos!$A$2:$F$674,6,0),"")</f>
        <v>#NAME?</v>
      </c>
      <c r="G1487" s="26" t="s">
        <v>5434</v>
      </c>
      <c r="H1487" s="32">
        <v>0.5</v>
      </c>
      <c r="I1487" s="31" t="s">
        <v>18</v>
      </c>
      <c r="J1487" s="31" t="s">
        <v>61</v>
      </c>
      <c r="K1487" s="32"/>
      <c r="L1487" s="32" t="e">
        <f ca="1">_xludf.ifna(VLOOKUP(E1487,Parámetros!$D$2:$E$34,2,0),"")</f>
        <v>#NAME?</v>
      </c>
      <c r="M1487" s="32" t="e">
        <f ca="1">_xludf.ifna(VLOOKUP(G1487,Proyectos!$A$2:$T$674,20,0),"")</f>
        <v>#NAME?</v>
      </c>
      <c r="N1487" s="32" t="e">
        <f ca="1">_xludf.ifna(VLOOKUP(G1487,Proyectos!$A$2:$S$674,19,0))</f>
        <v>#NAME?</v>
      </c>
      <c r="O1487" s="31"/>
      <c r="P1487" s="33"/>
      <c r="Q1487" s="33"/>
      <c r="R1487" s="33"/>
      <c r="S1487" s="33"/>
      <c r="T1487" s="33"/>
      <c r="U1487" s="33"/>
      <c r="V1487" s="33"/>
      <c r="W1487" s="33"/>
    </row>
    <row r="1488" spans="1:23" ht="16.5" customHeight="1" x14ac:dyDescent="0.35">
      <c r="A1488" s="56" t="s">
        <v>4867</v>
      </c>
      <c r="B1488" s="99" t="s">
        <v>5517</v>
      </c>
      <c r="C1488" s="66" t="s">
        <v>64</v>
      </c>
      <c r="D1488" s="26" t="s">
        <v>82</v>
      </c>
      <c r="E1488" s="56" t="s">
        <v>126</v>
      </c>
      <c r="F1488" s="28" t="e">
        <f ca="1">_xludf.ifna(VLOOKUP(G1488,Proyectos!$A$2:$F$674,6,0),"")</f>
        <v>#NAME?</v>
      </c>
      <c r="G1488" s="26" t="s">
        <v>5434</v>
      </c>
      <c r="H1488" s="32">
        <v>1</v>
      </c>
      <c r="I1488" s="31" t="s">
        <v>18</v>
      </c>
      <c r="J1488" s="31" t="s">
        <v>12</v>
      </c>
      <c r="K1488" s="32"/>
      <c r="L1488" s="32" t="e">
        <f ca="1">_xludf.ifna(VLOOKUP(E1488,Parámetros!$D$2:$E$34,2,0),"")</f>
        <v>#NAME?</v>
      </c>
      <c r="M1488" s="32" t="e">
        <f ca="1">_xludf.ifna(VLOOKUP(G1488,Proyectos!$A$2:$T$674,20,0),"")</f>
        <v>#NAME?</v>
      </c>
      <c r="N1488" s="32" t="e">
        <f ca="1">_xludf.ifna(VLOOKUP(G1488,Proyectos!$A$2:$S$674,19,0))</f>
        <v>#NAME?</v>
      </c>
      <c r="O1488" s="31"/>
      <c r="P1488" s="33"/>
      <c r="Q1488" s="33"/>
      <c r="R1488" s="33"/>
      <c r="S1488" s="33"/>
      <c r="T1488" s="33"/>
      <c r="U1488" s="33"/>
      <c r="V1488" s="33"/>
      <c r="W1488" s="33"/>
    </row>
    <row r="1489" spans="1:23" ht="16.5" customHeight="1" x14ac:dyDescent="0.2">
      <c r="A1489" s="56" t="s">
        <v>4523</v>
      </c>
      <c r="B1489" s="26" t="s">
        <v>5518</v>
      </c>
      <c r="C1489" s="26" t="s">
        <v>64</v>
      </c>
      <c r="D1489" s="26" t="s">
        <v>82</v>
      </c>
      <c r="E1489" s="56" t="s">
        <v>129</v>
      </c>
      <c r="F1489" s="28" t="e">
        <f ca="1">_xludf.ifna(VLOOKUP(G1489,Proyectos!$A$2:$F$674,6,0),"")</f>
        <v>#NAME?</v>
      </c>
      <c r="G1489" s="26" t="s">
        <v>5434</v>
      </c>
      <c r="H1489" s="32">
        <v>1</v>
      </c>
      <c r="I1489" s="31" t="s">
        <v>18</v>
      </c>
      <c r="J1489" s="31" t="s">
        <v>61</v>
      </c>
      <c r="K1489" s="32" t="str">
        <f>IF(E1489="BBVA","Interno","Externo")</f>
        <v>Externo</v>
      </c>
      <c r="L1489" s="32" t="e">
        <f ca="1">_xludf.ifna(VLOOKUP(E1489,Parámetros!$D$2:$E$34,2,0),"")</f>
        <v>#NAME?</v>
      </c>
      <c r="M1489" s="32" t="e">
        <f ca="1">_xludf.ifna(VLOOKUP(G1489,Proyectos!$A$2:$T$674,20,0),"")</f>
        <v>#NAME?</v>
      </c>
      <c r="N1489" s="32" t="e">
        <f ca="1">_xludf.ifna(VLOOKUP(G1489,Proyectos!$A$2:$S$674,19,0))</f>
        <v>#NAME?</v>
      </c>
      <c r="O1489" s="31"/>
      <c r="P1489" s="33"/>
      <c r="Q1489" s="33"/>
      <c r="R1489" s="33"/>
      <c r="S1489" s="33"/>
      <c r="T1489" s="33"/>
      <c r="U1489" s="33"/>
      <c r="V1489" s="33"/>
      <c r="W1489" s="33"/>
    </row>
    <row r="1490" spans="1:23" ht="16.5" customHeight="1" x14ac:dyDescent="0.25">
      <c r="A1490" s="56" t="s">
        <v>4219</v>
      </c>
      <c r="B1490" s="26" t="s">
        <v>5519</v>
      </c>
      <c r="C1490" s="66" t="s">
        <v>64</v>
      </c>
      <c r="D1490" s="26" t="s">
        <v>82</v>
      </c>
      <c r="E1490" s="56" t="s">
        <v>135</v>
      </c>
      <c r="F1490" s="28" t="e">
        <f ca="1">_xludf.ifna(VLOOKUP(G1490,Proyectos!$A$2:$F$674,6,0),"")</f>
        <v>#NAME?</v>
      </c>
      <c r="G1490" s="76" t="s">
        <v>5387</v>
      </c>
      <c r="H1490" s="32">
        <v>1</v>
      </c>
      <c r="I1490" s="31" t="s">
        <v>18</v>
      </c>
      <c r="J1490" s="31" t="s">
        <v>3280</v>
      </c>
      <c r="K1490" s="32"/>
      <c r="L1490" s="32" t="e">
        <f ca="1">_xludf.ifna(VLOOKUP(E1490,Parámetros!$D$2:$E$34,2,0),"")</f>
        <v>#NAME?</v>
      </c>
      <c r="M1490" s="32" t="e">
        <f ca="1">_xludf.ifna(VLOOKUP(G1490,Proyectos!$A$2:$T$674,20,0),"")</f>
        <v>#NAME?</v>
      </c>
      <c r="N1490" s="32" t="e">
        <f ca="1">_xludf.ifna(VLOOKUP(G1490,Proyectos!$A$2:$S$674,19,0))</f>
        <v>#NAME?</v>
      </c>
      <c r="O1490" s="31"/>
      <c r="P1490" s="33"/>
      <c r="Q1490" s="33"/>
      <c r="R1490" s="33"/>
      <c r="S1490" s="33"/>
      <c r="T1490" s="33"/>
      <c r="U1490" s="33"/>
      <c r="V1490" s="33"/>
      <c r="W1490" s="33"/>
    </row>
    <row r="1491" spans="1:23" ht="16.5" customHeight="1" x14ac:dyDescent="0.25">
      <c r="A1491" s="35" t="s">
        <v>4261</v>
      </c>
      <c r="B1491" s="26" t="s">
        <v>5520</v>
      </c>
      <c r="C1491" s="66" t="s">
        <v>64</v>
      </c>
      <c r="D1491" s="26" t="s">
        <v>82</v>
      </c>
      <c r="E1491" s="35" t="s">
        <v>87</v>
      </c>
      <c r="F1491" s="28" t="e">
        <f ca="1">_xludf.ifna(VLOOKUP(G1491,Proyectos!$A$2:$F$674,6,0),"")</f>
        <v>#NAME?</v>
      </c>
      <c r="G1491" s="76" t="s">
        <v>5387</v>
      </c>
      <c r="H1491" s="32">
        <v>1</v>
      </c>
      <c r="I1491" s="31" t="s">
        <v>25</v>
      </c>
      <c r="J1491" s="31" t="s">
        <v>3280</v>
      </c>
      <c r="K1491" s="32"/>
      <c r="L1491" s="32" t="e">
        <f ca="1">_xludf.ifna(VLOOKUP(E1491,Parámetros!$D$2:$E$34,2,0),"")</f>
        <v>#NAME?</v>
      </c>
      <c r="M1491" s="32" t="e">
        <f ca="1">_xludf.ifna(VLOOKUP(G1491,Proyectos!$A$2:$T$674,20,0),"")</f>
        <v>#NAME?</v>
      </c>
      <c r="N1491" s="32" t="e">
        <f ca="1">_xludf.ifna(VLOOKUP(G1491,Proyectos!$A$2:$S$674,19,0))</f>
        <v>#NAME?</v>
      </c>
      <c r="O1491" s="31"/>
      <c r="P1491" s="33"/>
      <c r="Q1491" s="33"/>
      <c r="R1491" s="33"/>
      <c r="S1491" s="33"/>
      <c r="T1491" s="33"/>
      <c r="U1491" s="33"/>
      <c r="V1491" s="33"/>
      <c r="W1491" s="33"/>
    </row>
    <row r="1492" spans="1:23" ht="16.5" customHeight="1" x14ac:dyDescent="0.25">
      <c r="A1492" s="35" t="s">
        <v>4521</v>
      </c>
      <c r="B1492" s="26" t="s">
        <v>5521</v>
      </c>
      <c r="C1492" s="66" t="s">
        <v>64</v>
      </c>
      <c r="D1492" s="26" t="s">
        <v>82</v>
      </c>
      <c r="E1492" s="35" t="s">
        <v>9</v>
      </c>
      <c r="F1492" s="28" t="e">
        <f ca="1">_xludf.ifna(VLOOKUP(G1492,Proyectos!$A$2:$F$674,6,0),"")</f>
        <v>#NAME?</v>
      </c>
      <c r="G1492" s="76" t="s">
        <v>5387</v>
      </c>
      <c r="H1492" s="32">
        <v>1</v>
      </c>
      <c r="I1492" s="31" t="s">
        <v>18</v>
      </c>
      <c r="J1492" s="31" t="s">
        <v>3280</v>
      </c>
      <c r="K1492" s="32"/>
      <c r="L1492" s="32" t="e">
        <f ca="1">_xludf.ifna(VLOOKUP(E1492,Parámetros!$D$2:$E$34,2,0),"")</f>
        <v>#NAME?</v>
      </c>
      <c r="M1492" s="32" t="e">
        <f ca="1">_xludf.ifna(VLOOKUP(G1492,Proyectos!$A$2:$T$674,20,0),"")</f>
        <v>#NAME?</v>
      </c>
      <c r="N1492" s="32" t="e">
        <f ca="1">_xludf.ifna(VLOOKUP(G1492,Proyectos!$A$2:$S$674,19,0))</f>
        <v>#NAME?</v>
      </c>
      <c r="O1492" s="31"/>
      <c r="P1492" s="33"/>
      <c r="Q1492" s="33"/>
      <c r="R1492" s="33"/>
      <c r="S1492" s="33"/>
      <c r="T1492" s="33"/>
      <c r="U1492" s="33"/>
      <c r="V1492" s="33"/>
      <c r="W1492" s="33"/>
    </row>
    <row r="1493" spans="1:23" ht="16.5" customHeight="1" x14ac:dyDescent="0.25">
      <c r="A1493" s="35" t="s">
        <v>4324</v>
      </c>
      <c r="B1493" s="26" t="s">
        <v>5522</v>
      </c>
      <c r="C1493" s="66" t="s">
        <v>64</v>
      </c>
      <c r="D1493" s="26" t="s">
        <v>82</v>
      </c>
      <c r="E1493" s="35" t="s">
        <v>9</v>
      </c>
      <c r="F1493" s="28" t="e">
        <f ca="1">_xludf.ifna(VLOOKUP(G1493,Proyectos!$A$2:$F$674,6,0),"")</f>
        <v>#NAME?</v>
      </c>
      <c r="G1493" s="76" t="s">
        <v>5387</v>
      </c>
      <c r="H1493" s="32">
        <v>1</v>
      </c>
      <c r="I1493" s="31" t="s">
        <v>25</v>
      </c>
      <c r="J1493" s="31" t="s">
        <v>3280</v>
      </c>
      <c r="K1493" s="32"/>
      <c r="L1493" s="32" t="e">
        <f ca="1">_xludf.ifna(VLOOKUP(E1493,Parámetros!$D$2:$E$34,2,0),"")</f>
        <v>#NAME?</v>
      </c>
      <c r="M1493" s="32" t="e">
        <f ca="1">_xludf.ifna(VLOOKUP(G1493,Proyectos!$A$2:$T$674,20,0),"")</f>
        <v>#NAME?</v>
      </c>
      <c r="N1493" s="32" t="e">
        <f ca="1">_xludf.ifna(VLOOKUP(G1493,Proyectos!$A$2:$S$674,19,0))</f>
        <v>#NAME?</v>
      </c>
      <c r="O1493" s="31"/>
      <c r="P1493" s="33"/>
      <c r="Q1493" s="33"/>
      <c r="R1493" s="33"/>
      <c r="S1493" s="33"/>
      <c r="T1493" s="33"/>
      <c r="U1493" s="33"/>
      <c r="V1493" s="33"/>
      <c r="W1493" s="33"/>
    </row>
    <row r="1494" spans="1:23" ht="16.5" customHeight="1" x14ac:dyDescent="0.2">
      <c r="A1494" s="35" t="s">
        <v>4827</v>
      </c>
      <c r="B1494" s="26" t="s">
        <v>5523</v>
      </c>
      <c r="C1494" s="66" t="s">
        <v>64</v>
      </c>
      <c r="D1494" s="26" t="s">
        <v>82</v>
      </c>
      <c r="E1494" s="35" t="s">
        <v>135</v>
      </c>
      <c r="F1494" s="28" t="e">
        <f ca="1">_xludf.ifna(VLOOKUP(G1494,Proyectos!$A$2:$F$674,6,0),"")</f>
        <v>#NAME?</v>
      </c>
      <c r="G1494" s="26" t="s">
        <v>5434</v>
      </c>
      <c r="H1494" s="32">
        <v>1</v>
      </c>
      <c r="I1494" s="31" t="s">
        <v>18</v>
      </c>
      <c r="J1494" s="31" t="s">
        <v>3280</v>
      </c>
      <c r="K1494" s="32"/>
      <c r="L1494" s="32" t="e">
        <f ca="1">_xludf.ifna(VLOOKUP(E1494,Parámetros!$D$2:$E$34,2,0),"")</f>
        <v>#NAME?</v>
      </c>
      <c r="M1494" s="32" t="e">
        <f ca="1">_xludf.ifna(VLOOKUP(G1494,Proyectos!$A$2:$T$674,20,0),"")</f>
        <v>#NAME?</v>
      </c>
      <c r="N1494" s="32" t="e">
        <f ca="1">_xludf.ifna(VLOOKUP(G1494,Proyectos!$A$2:$S$674,19,0))</f>
        <v>#NAME?</v>
      </c>
      <c r="O1494" s="31"/>
      <c r="P1494" s="33"/>
      <c r="Q1494" s="33"/>
      <c r="R1494" s="33"/>
      <c r="S1494" s="33"/>
      <c r="T1494" s="33"/>
      <c r="U1494" s="33"/>
      <c r="V1494" s="33"/>
      <c r="W1494" s="33"/>
    </row>
    <row r="1495" spans="1:23" ht="16.5" customHeight="1" x14ac:dyDescent="0.2">
      <c r="A1495" s="35" t="s">
        <v>5100</v>
      </c>
      <c r="B1495" s="35" t="s">
        <v>5101</v>
      </c>
      <c r="C1495" s="26" t="s">
        <v>98</v>
      </c>
      <c r="D1495" s="26" t="s">
        <v>113</v>
      </c>
      <c r="E1495" s="26" t="s">
        <v>126</v>
      </c>
      <c r="F1495" s="28" t="e">
        <f ca="1">_xludf.ifna(VLOOKUP(G1495,Proyectos!$A$2:$F$674,6,0),"")</f>
        <v>#NAME?</v>
      </c>
      <c r="G1495" s="26" t="s">
        <v>5133</v>
      </c>
      <c r="H1495" s="32">
        <v>1</v>
      </c>
      <c r="I1495" s="31" t="s">
        <v>18</v>
      </c>
      <c r="J1495" s="31" t="s">
        <v>12</v>
      </c>
      <c r="K1495" s="32"/>
      <c r="L1495" s="32" t="e">
        <f ca="1">_xludf.ifna(VLOOKUP(E1495,Parámetros!$D$2:$E$34,2,0),"")</f>
        <v>#NAME?</v>
      </c>
      <c r="M1495" s="32" t="e">
        <f ca="1">_xludf.ifna(VLOOKUP(G1495,Proyectos!$A$2:$T$674,20,0),"")</f>
        <v>#NAME?</v>
      </c>
      <c r="N1495" s="32" t="e">
        <f ca="1">_xludf.ifna(VLOOKUP(G1495,Proyectos!$A$2:$S$674,19,0))</f>
        <v>#NAME?</v>
      </c>
      <c r="O1495" s="32"/>
      <c r="P1495" s="31"/>
      <c r="Q1495" s="33"/>
      <c r="R1495" s="33"/>
      <c r="S1495" s="33"/>
      <c r="T1495" s="33"/>
      <c r="U1495" s="33"/>
      <c r="V1495" s="33"/>
      <c r="W1495" s="33"/>
    </row>
    <row r="1496" spans="1:23" ht="16.5" customHeight="1" x14ac:dyDescent="0.2">
      <c r="A1496" s="35" t="s">
        <v>5055</v>
      </c>
      <c r="B1496" s="35" t="s">
        <v>5056</v>
      </c>
      <c r="C1496" s="26" t="s">
        <v>98</v>
      </c>
      <c r="D1496" s="26" t="s">
        <v>113</v>
      </c>
      <c r="E1496" s="26" t="s">
        <v>129</v>
      </c>
      <c r="F1496" s="28" t="e">
        <f ca="1">_xludf.ifna(VLOOKUP(G1496,Proyectos!$A$2:$F$674,6,0),"")</f>
        <v>#NAME?</v>
      </c>
      <c r="G1496" s="26" t="s">
        <v>5133</v>
      </c>
      <c r="H1496" s="32">
        <v>1</v>
      </c>
      <c r="I1496" s="31" t="s">
        <v>18</v>
      </c>
      <c r="J1496" s="31" t="s">
        <v>61</v>
      </c>
      <c r="K1496" s="32"/>
      <c r="L1496" s="32" t="e">
        <f ca="1">_xludf.ifna(VLOOKUP(E1496,Parámetros!$D$2:$E$34,2,0),"")</f>
        <v>#NAME?</v>
      </c>
      <c r="M1496" s="32" t="e">
        <f ca="1">_xludf.ifna(VLOOKUP(G1496,Proyectos!$A$2:$T$674,20,0),"")</f>
        <v>#NAME?</v>
      </c>
      <c r="N1496" s="32" t="e">
        <f ca="1">_xludf.ifna(VLOOKUP(G1496,Proyectos!$A$2:$S$674,19,0))</f>
        <v>#NAME?</v>
      </c>
      <c r="O1496" s="32"/>
      <c r="P1496" s="31"/>
      <c r="Q1496" s="33"/>
      <c r="R1496" s="33"/>
      <c r="S1496" s="33"/>
      <c r="T1496" s="33"/>
      <c r="U1496" s="33"/>
      <c r="V1496" s="33"/>
      <c r="W1496" s="33"/>
    </row>
    <row r="1497" spans="1:23" ht="16.5" customHeight="1" x14ac:dyDescent="0.2">
      <c r="A1497" s="35" t="s">
        <v>4879</v>
      </c>
      <c r="B1497" s="35" t="s">
        <v>4880</v>
      </c>
      <c r="C1497" s="26" t="s">
        <v>98</v>
      </c>
      <c r="D1497" s="26" t="s">
        <v>113</v>
      </c>
      <c r="E1497" s="26" t="s">
        <v>9</v>
      </c>
      <c r="F1497" s="28" t="e">
        <f ca="1">_xludf.ifna(VLOOKUP(G1497,Proyectos!$A$2:$F$674,6,0),"")</f>
        <v>#NAME?</v>
      </c>
      <c r="G1497" s="26" t="s">
        <v>5245</v>
      </c>
      <c r="H1497" s="32">
        <v>1</v>
      </c>
      <c r="I1497" s="31" t="s">
        <v>18</v>
      </c>
      <c r="J1497" s="31" t="s">
        <v>26</v>
      </c>
      <c r="K1497" s="32"/>
      <c r="L1497" s="32" t="e">
        <f ca="1">_xludf.ifna(VLOOKUP(E1497,Parámetros!$D$2:$E$34,2,0),"")</f>
        <v>#NAME?</v>
      </c>
      <c r="M1497" s="32" t="e">
        <f ca="1">_xludf.ifna(VLOOKUP(G1497,Proyectos!$A$2:$T$674,20,0),"")</f>
        <v>#NAME?</v>
      </c>
      <c r="N1497" s="32" t="e">
        <f ca="1">_xludf.ifna(VLOOKUP(G1497,Proyectos!$A$2:$S$674,19,0))</f>
        <v>#NAME?</v>
      </c>
      <c r="O1497" s="31"/>
      <c r="P1497" s="31"/>
      <c r="Q1497" s="33"/>
      <c r="R1497" s="33"/>
      <c r="S1497" s="33"/>
      <c r="T1497" s="33"/>
      <c r="U1497" s="33"/>
      <c r="V1497" s="33"/>
      <c r="W1497" s="33"/>
    </row>
    <row r="1498" spans="1:23" ht="16.5" customHeight="1" x14ac:dyDescent="0.2">
      <c r="A1498" s="35" t="s">
        <v>5092</v>
      </c>
      <c r="B1498" s="35" t="s">
        <v>5093</v>
      </c>
      <c r="C1498" s="26" t="s">
        <v>98</v>
      </c>
      <c r="D1498" s="26" t="s">
        <v>113</v>
      </c>
      <c r="E1498" s="26" t="s">
        <v>87</v>
      </c>
      <c r="F1498" s="28" t="e">
        <f ca="1">_xludf.ifna(VLOOKUP(G1498,Proyectos!$A$2:$F$674,6,0),"")</f>
        <v>#NAME?</v>
      </c>
      <c r="G1498" s="26" t="s">
        <v>5245</v>
      </c>
      <c r="H1498" s="32">
        <v>1</v>
      </c>
      <c r="I1498" s="31" t="s">
        <v>18</v>
      </c>
      <c r="J1498" s="31" t="s">
        <v>41</v>
      </c>
      <c r="K1498" s="32"/>
      <c r="L1498" s="32" t="e">
        <f ca="1">_xludf.ifna(VLOOKUP(E1498,Parámetros!$D$2:$E$34,2,0),"")</f>
        <v>#NAME?</v>
      </c>
      <c r="M1498" s="32" t="e">
        <f ca="1">_xludf.ifna(VLOOKUP(G1498,Proyectos!$A$2:$T$674,20,0),"")</f>
        <v>#NAME?</v>
      </c>
      <c r="N1498" s="32" t="e">
        <f ca="1">_xludf.ifna(VLOOKUP(G1498,Proyectos!$A$2:$S$674,19,0))</f>
        <v>#NAME?</v>
      </c>
      <c r="O1498" s="31"/>
      <c r="P1498" s="31"/>
      <c r="Q1498" s="33"/>
      <c r="R1498" s="33"/>
      <c r="S1498" s="33"/>
      <c r="T1498" s="33"/>
      <c r="U1498" s="33"/>
      <c r="V1498" s="33"/>
      <c r="W1498" s="33"/>
    </row>
    <row r="1499" spans="1:23" ht="16.5" customHeight="1" x14ac:dyDescent="0.2">
      <c r="A1499" s="35" t="s">
        <v>4478</v>
      </c>
      <c r="B1499" s="35" t="s">
        <v>4479</v>
      </c>
      <c r="C1499" s="26" t="s">
        <v>98</v>
      </c>
      <c r="D1499" s="26" t="s">
        <v>113</v>
      </c>
      <c r="E1499" s="26" t="s">
        <v>9</v>
      </c>
      <c r="F1499" s="28" t="e">
        <f ca="1">_xludf.ifna(VLOOKUP(G1499,Proyectos!$A$2:$F$674,6,0),"")</f>
        <v>#NAME?</v>
      </c>
      <c r="G1499" s="26" t="s">
        <v>5245</v>
      </c>
      <c r="H1499" s="32">
        <v>1</v>
      </c>
      <c r="I1499" s="31" t="s">
        <v>18</v>
      </c>
      <c r="J1499" s="31" t="s">
        <v>12</v>
      </c>
      <c r="K1499" s="32"/>
      <c r="L1499" s="32" t="e">
        <f ca="1">_xludf.ifna(VLOOKUP(E1499,Parámetros!$D$2:$E$34,2,0),"")</f>
        <v>#NAME?</v>
      </c>
      <c r="M1499" s="32" t="e">
        <f ca="1">_xludf.ifna(VLOOKUP(G1499,Proyectos!$A$2:$T$674,20,0),"")</f>
        <v>#NAME?</v>
      </c>
      <c r="N1499" s="32" t="e">
        <f ca="1">_xludf.ifna(VLOOKUP(G1499,Proyectos!$A$2:$S$674,19,0))</f>
        <v>#NAME?</v>
      </c>
      <c r="O1499" s="31"/>
      <c r="P1499" s="31"/>
      <c r="Q1499" s="33"/>
      <c r="R1499" s="33"/>
      <c r="S1499" s="33"/>
      <c r="T1499" s="33"/>
      <c r="U1499" s="33"/>
      <c r="V1499" s="33"/>
      <c r="W1499" s="33"/>
    </row>
    <row r="1500" spans="1:23" ht="16.5" customHeight="1" x14ac:dyDescent="0.2">
      <c r="A1500" s="35" t="s">
        <v>4332</v>
      </c>
      <c r="B1500" s="35" t="s">
        <v>4333</v>
      </c>
      <c r="C1500" s="26" t="s">
        <v>98</v>
      </c>
      <c r="D1500" s="26" t="s">
        <v>113</v>
      </c>
      <c r="E1500" s="26" t="s">
        <v>9</v>
      </c>
      <c r="F1500" s="28" t="e">
        <f ca="1">_xludf.ifna(VLOOKUP(G1500,Proyectos!$A$2:$F$674,6,0),"")</f>
        <v>#NAME?</v>
      </c>
      <c r="G1500" s="26" t="s">
        <v>5245</v>
      </c>
      <c r="H1500" s="32">
        <v>1</v>
      </c>
      <c r="I1500" s="31" t="s">
        <v>18</v>
      </c>
      <c r="J1500" s="31" t="s">
        <v>19</v>
      </c>
      <c r="K1500" s="32"/>
      <c r="L1500" s="32" t="e">
        <f ca="1">_xludf.ifna(VLOOKUP(E1500,Parámetros!$D$2:$E$34,2,0),"")</f>
        <v>#NAME?</v>
      </c>
      <c r="M1500" s="32" t="e">
        <f ca="1">_xludf.ifna(VLOOKUP(G1500,Proyectos!$A$2:$T$674,20,0),"")</f>
        <v>#NAME?</v>
      </c>
      <c r="N1500" s="32" t="e">
        <f ca="1">_xludf.ifna(VLOOKUP(G1500,Proyectos!$A$2:$S$674,19,0))</f>
        <v>#NAME?</v>
      </c>
      <c r="O1500" s="32"/>
      <c r="P1500" s="31"/>
      <c r="Q1500" s="33"/>
      <c r="R1500" s="33"/>
      <c r="S1500" s="33"/>
      <c r="T1500" s="33"/>
      <c r="U1500" s="33"/>
      <c r="V1500" s="33"/>
      <c r="W1500" s="33"/>
    </row>
    <row r="1501" spans="1:23" ht="16.5" customHeight="1" x14ac:dyDescent="0.2">
      <c r="A1501" s="35" t="s">
        <v>4439</v>
      </c>
      <c r="B1501" s="35" t="s">
        <v>4440</v>
      </c>
      <c r="C1501" s="26" t="s">
        <v>98</v>
      </c>
      <c r="D1501" s="26" t="s">
        <v>113</v>
      </c>
      <c r="E1501" s="26" t="s">
        <v>87</v>
      </c>
      <c r="F1501" s="28" t="e">
        <f ca="1">_xludf.ifna(VLOOKUP(G1501,Proyectos!$A$2:$F$674,6,0),"")</f>
        <v>#NAME?</v>
      </c>
      <c r="G1501" s="26" t="s">
        <v>5133</v>
      </c>
      <c r="H1501" s="32">
        <v>1</v>
      </c>
      <c r="I1501" s="31" t="s">
        <v>18</v>
      </c>
      <c r="J1501" s="31" t="s">
        <v>26</v>
      </c>
      <c r="K1501" s="32"/>
      <c r="L1501" s="32" t="e">
        <f ca="1">_xludf.ifna(VLOOKUP(E1501,Parámetros!$D$2:$E$34,2,0),"")</f>
        <v>#NAME?</v>
      </c>
      <c r="M1501" s="32" t="e">
        <f ca="1">_xludf.ifna(VLOOKUP(G1501,Proyectos!$A$2:$T$674,20,0),"")</f>
        <v>#NAME?</v>
      </c>
      <c r="N1501" s="32" t="e">
        <f ca="1">_xludf.ifna(VLOOKUP(G1501,Proyectos!$A$2:$S$674,19,0))</f>
        <v>#NAME?</v>
      </c>
      <c r="O1501" s="32"/>
      <c r="P1501" s="31"/>
      <c r="Q1501" s="33"/>
      <c r="R1501" s="33"/>
      <c r="S1501" s="33"/>
      <c r="T1501" s="33"/>
      <c r="U1501" s="33"/>
      <c r="V1501" s="33"/>
      <c r="W1501" s="33"/>
    </row>
    <row r="1502" spans="1:23" ht="16.5" customHeight="1" x14ac:dyDescent="0.2">
      <c r="A1502" s="35" t="s">
        <v>4126</v>
      </c>
      <c r="B1502" s="35" t="s">
        <v>4127</v>
      </c>
      <c r="C1502" s="26" t="s">
        <v>98</v>
      </c>
      <c r="D1502" s="26" t="s">
        <v>113</v>
      </c>
      <c r="E1502" s="26" t="s">
        <v>126</v>
      </c>
      <c r="F1502" s="28" t="e">
        <f ca="1">_xludf.ifna(VLOOKUP(G1502,Proyectos!$A$2:$F$674,6,0),"")</f>
        <v>#NAME?</v>
      </c>
      <c r="G1502" s="26" t="s">
        <v>5133</v>
      </c>
      <c r="H1502" s="32">
        <v>1</v>
      </c>
      <c r="I1502" s="31" t="s">
        <v>18</v>
      </c>
      <c r="J1502" s="31" t="s">
        <v>19</v>
      </c>
      <c r="K1502" s="32"/>
      <c r="L1502" s="32" t="e">
        <f ca="1">_xludf.ifna(VLOOKUP(E1502,Parámetros!$D$2:$E$34,2,0),"")</f>
        <v>#NAME?</v>
      </c>
      <c r="M1502" s="32" t="e">
        <f ca="1">_xludf.ifna(VLOOKUP(G1502,Proyectos!$A$2:$T$674,20,0),"")</f>
        <v>#NAME?</v>
      </c>
      <c r="N1502" s="32" t="e">
        <f ca="1">_xludf.ifna(VLOOKUP(G1502,Proyectos!$A$2:$S$674,19,0))</f>
        <v>#NAME?</v>
      </c>
      <c r="O1502" s="32"/>
      <c r="P1502" s="31"/>
      <c r="Q1502" s="33"/>
      <c r="R1502" s="33"/>
      <c r="S1502" s="33"/>
      <c r="T1502" s="33"/>
      <c r="U1502" s="33"/>
      <c r="V1502" s="33"/>
      <c r="W1502" s="33"/>
    </row>
    <row r="1503" spans="1:23" ht="16.5" customHeight="1" x14ac:dyDescent="0.2">
      <c r="A1503" s="56" t="s">
        <v>3660</v>
      </c>
      <c r="B1503" s="35" t="s">
        <v>3661</v>
      </c>
      <c r="C1503" s="26" t="s">
        <v>98</v>
      </c>
      <c r="D1503" s="26" t="s">
        <v>113</v>
      </c>
      <c r="E1503" s="26" t="s">
        <v>39</v>
      </c>
      <c r="F1503" s="28" t="e">
        <f ca="1">_xludf.ifna(VLOOKUP(G1503,Proyectos!$A$2:$F$674,6,0),"")</f>
        <v>#NAME?</v>
      </c>
      <c r="G1503" s="26" t="s">
        <v>5133</v>
      </c>
      <c r="H1503" s="32">
        <v>1</v>
      </c>
      <c r="I1503" s="31" t="s">
        <v>18</v>
      </c>
      <c r="J1503" s="31" t="s">
        <v>41</v>
      </c>
      <c r="K1503" s="32"/>
      <c r="L1503" s="32" t="e">
        <f ca="1">_xludf.ifna(VLOOKUP(E1503,Parámetros!$D$2:$E$34,2,0),"")</f>
        <v>#NAME?</v>
      </c>
      <c r="M1503" s="32" t="e">
        <f ca="1">_xludf.ifna(VLOOKUP(G1503,Proyectos!$A$2:$T$674,20,0),"")</f>
        <v>#NAME?</v>
      </c>
      <c r="N1503" s="32" t="e">
        <f ca="1">_xludf.ifna(VLOOKUP(G1503,Proyectos!$A$2:$S$674,19,0))</f>
        <v>#NAME?</v>
      </c>
      <c r="O1503" s="32"/>
      <c r="P1503" s="31"/>
      <c r="Q1503" s="33"/>
      <c r="R1503" s="33"/>
      <c r="S1503" s="33"/>
      <c r="T1503" s="33"/>
      <c r="U1503" s="33"/>
      <c r="V1503" s="33"/>
      <c r="W1503" s="33"/>
    </row>
    <row r="1504" spans="1:23" ht="16.5" customHeight="1" x14ac:dyDescent="0.2">
      <c r="A1504" s="35" t="s">
        <v>4338</v>
      </c>
      <c r="B1504" s="35" t="s">
        <v>4339</v>
      </c>
      <c r="C1504" s="26" t="s">
        <v>98</v>
      </c>
      <c r="D1504" s="26" t="s">
        <v>113</v>
      </c>
      <c r="E1504" s="26" t="s">
        <v>87</v>
      </c>
      <c r="F1504" s="28" t="e">
        <f ca="1">_xludf.ifna(VLOOKUP(G1504,Proyectos!$A$2:$F$674,6,0),"")</f>
        <v>#NAME?</v>
      </c>
      <c r="G1504" s="26" t="s">
        <v>5245</v>
      </c>
      <c r="H1504" s="32">
        <v>1</v>
      </c>
      <c r="I1504" s="31" t="s">
        <v>25</v>
      </c>
      <c r="J1504" s="31" t="s">
        <v>41</v>
      </c>
      <c r="K1504" s="32"/>
      <c r="L1504" s="32" t="e">
        <f ca="1">_xludf.ifna(VLOOKUP(E1504,Parámetros!$D$2:$E$34,2,0),"")</f>
        <v>#NAME?</v>
      </c>
      <c r="M1504" s="32" t="e">
        <f ca="1">_xludf.ifna(VLOOKUP(G1504,Proyectos!$A$2:$T$674,20,0),"")</f>
        <v>#NAME?</v>
      </c>
      <c r="N1504" s="32" t="e">
        <f ca="1">_xludf.ifna(VLOOKUP(G1504,Proyectos!$A$2:$S$674,19,0))</f>
        <v>#NAME?</v>
      </c>
      <c r="O1504" s="32"/>
      <c r="P1504" s="31"/>
      <c r="Q1504" s="33"/>
      <c r="R1504" s="33"/>
      <c r="S1504" s="33"/>
      <c r="T1504" s="33"/>
      <c r="U1504" s="33"/>
      <c r="V1504" s="33"/>
      <c r="W1504" s="33"/>
    </row>
    <row r="1505" spans="1:23" ht="16.5" customHeight="1" x14ac:dyDescent="0.2">
      <c r="A1505" s="35" t="s">
        <v>5069</v>
      </c>
      <c r="B1505" s="35" t="s">
        <v>5070</v>
      </c>
      <c r="C1505" s="26" t="s">
        <v>98</v>
      </c>
      <c r="D1505" s="26" t="s">
        <v>113</v>
      </c>
      <c r="E1505" s="26" t="s">
        <v>126</v>
      </c>
      <c r="F1505" s="28" t="e">
        <f ca="1">_xludf.ifna(VLOOKUP(G1505,Proyectos!$A$2:$F$674,6,0),"")</f>
        <v>#NAME?</v>
      </c>
      <c r="G1505" s="26" t="s">
        <v>5133</v>
      </c>
      <c r="H1505" s="32">
        <v>1</v>
      </c>
      <c r="I1505" s="31" t="s">
        <v>18</v>
      </c>
      <c r="J1505" s="31" t="s">
        <v>12</v>
      </c>
      <c r="K1505" s="32"/>
      <c r="L1505" s="32" t="e">
        <f ca="1">_xludf.ifna(VLOOKUP(E1505,Parámetros!$D$2:$E$34,2,0),"")</f>
        <v>#NAME?</v>
      </c>
      <c r="M1505" s="32" t="e">
        <f ca="1">_xludf.ifna(VLOOKUP(G1505,Proyectos!$A$2:$T$674,20,0),"")</f>
        <v>#NAME?</v>
      </c>
      <c r="N1505" s="32" t="e">
        <f ca="1">_xludf.ifna(VLOOKUP(G1505,Proyectos!$A$2:$S$674,19,0))</f>
        <v>#NAME?</v>
      </c>
      <c r="O1505" s="32"/>
      <c r="P1505" s="31"/>
      <c r="Q1505" s="33"/>
      <c r="R1505" s="33"/>
      <c r="S1505" s="33"/>
      <c r="T1505" s="33"/>
      <c r="U1505" s="33"/>
      <c r="V1505" s="33"/>
      <c r="W1505" s="33"/>
    </row>
    <row r="1506" spans="1:23" ht="16.5" customHeight="1" x14ac:dyDescent="0.2">
      <c r="A1506" s="35" t="s">
        <v>4603</v>
      </c>
      <c r="B1506" s="35" t="s">
        <v>4604</v>
      </c>
      <c r="C1506" s="26" t="s">
        <v>98</v>
      </c>
      <c r="D1506" s="26" t="s">
        <v>113</v>
      </c>
      <c r="E1506" s="26" t="s">
        <v>39</v>
      </c>
      <c r="F1506" s="28" t="e">
        <f ca="1">_xludf.ifna(VLOOKUP(G1506,Proyectos!$A$2:$F$674,6,0),"")</f>
        <v>#NAME?</v>
      </c>
      <c r="G1506" s="26" t="s">
        <v>5245</v>
      </c>
      <c r="H1506" s="32">
        <v>1</v>
      </c>
      <c r="I1506" s="31" t="s">
        <v>18</v>
      </c>
      <c r="J1506" s="31" t="s">
        <v>19</v>
      </c>
      <c r="K1506" s="32"/>
      <c r="L1506" s="32" t="e">
        <f ca="1">_xludf.ifna(VLOOKUP(E1506,Parámetros!$D$2:$E$34,2,0),"")</f>
        <v>#NAME?</v>
      </c>
      <c r="M1506" s="32" t="e">
        <f ca="1">_xludf.ifna(VLOOKUP(G1506,Proyectos!$A$2:$T$674,20,0),"")</f>
        <v>#NAME?</v>
      </c>
      <c r="N1506" s="32" t="e">
        <f ca="1">_xludf.ifna(VLOOKUP(G1506,Proyectos!$A$2:$S$674,19,0))</f>
        <v>#NAME?</v>
      </c>
      <c r="O1506" s="32"/>
      <c r="P1506" s="31"/>
      <c r="Q1506" s="33"/>
      <c r="R1506" s="33"/>
      <c r="S1506" s="33"/>
      <c r="T1506" s="33"/>
      <c r="U1506" s="33"/>
      <c r="V1506" s="33"/>
      <c r="W1506" s="33"/>
    </row>
    <row r="1507" spans="1:23" ht="16.5" customHeight="1" x14ac:dyDescent="0.2">
      <c r="A1507" s="35" t="s">
        <v>5059</v>
      </c>
      <c r="B1507" s="35" t="s">
        <v>5060</v>
      </c>
      <c r="C1507" s="26" t="s">
        <v>98</v>
      </c>
      <c r="D1507" s="26" t="s">
        <v>113</v>
      </c>
      <c r="E1507" s="26" t="s">
        <v>129</v>
      </c>
      <c r="F1507" s="28" t="e">
        <f ca="1">_xludf.ifna(VLOOKUP(G1507,Proyectos!$A$2:$F$674,6,0),"")</f>
        <v>#NAME?</v>
      </c>
      <c r="G1507" s="26" t="s">
        <v>5133</v>
      </c>
      <c r="H1507" s="32">
        <v>1</v>
      </c>
      <c r="I1507" s="31" t="s">
        <v>18</v>
      </c>
      <c r="J1507" s="31" t="s">
        <v>61</v>
      </c>
      <c r="K1507" s="32"/>
      <c r="L1507" s="32" t="e">
        <f ca="1">_xludf.ifna(VLOOKUP(E1507,Parámetros!$D$2:$E$34,2,0),"")</f>
        <v>#NAME?</v>
      </c>
      <c r="M1507" s="32" t="e">
        <f ca="1">_xludf.ifna(VLOOKUP(G1507,Proyectos!$A$2:$T$674,20,0),"")</f>
        <v>#NAME?</v>
      </c>
      <c r="N1507" s="32" t="e">
        <f ca="1">_xludf.ifna(VLOOKUP(G1507,Proyectos!$A$2:$S$674,19,0))</f>
        <v>#NAME?</v>
      </c>
      <c r="O1507" s="32"/>
      <c r="P1507" s="31"/>
      <c r="Q1507" s="33"/>
      <c r="R1507" s="33"/>
      <c r="S1507" s="33"/>
      <c r="T1507" s="33"/>
      <c r="U1507" s="33"/>
      <c r="V1507" s="33"/>
      <c r="W1507" s="33"/>
    </row>
    <row r="1508" spans="1:23" ht="16.5" customHeight="1" x14ac:dyDescent="0.2">
      <c r="A1508" s="26" t="s">
        <v>3864</v>
      </c>
      <c r="B1508" s="26" t="s">
        <v>3865</v>
      </c>
      <c r="C1508" s="26" t="s">
        <v>98</v>
      </c>
      <c r="D1508" s="26" t="s">
        <v>107</v>
      </c>
      <c r="E1508" s="26" t="s">
        <v>39</v>
      </c>
      <c r="F1508" s="28" t="e">
        <f ca="1">_xludf.ifna(VLOOKUP(G1508,Proyectos!$A$2:$F$674,6,0),"")</f>
        <v>#NAME?</v>
      </c>
      <c r="G1508" s="26" t="s">
        <v>5329</v>
      </c>
      <c r="H1508" s="32">
        <v>0.5</v>
      </c>
      <c r="I1508" s="31" t="s">
        <v>18</v>
      </c>
      <c r="J1508" s="27" t="s">
        <v>41</v>
      </c>
      <c r="K1508" s="27"/>
      <c r="L1508" s="32" t="e">
        <f ca="1">_xludf.ifna(VLOOKUP(E1508,Parámetros!$D$2:$E$34,2,0),"")</f>
        <v>#NAME?</v>
      </c>
      <c r="M1508" s="32" t="e">
        <f ca="1">_xludf.ifna(VLOOKUP(G1508,Proyectos!$A$2:$T$674,20,0),"")</f>
        <v>#NAME?</v>
      </c>
      <c r="N1508" s="32" t="e">
        <f ca="1">_xludf.ifna(VLOOKUP(G1508,Proyectos!$A$2:$S$674,19,0))</f>
        <v>#NAME?</v>
      </c>
      <c r="O1508" s="32"/>
      <c r="P1508" s="31"/>
      <c r="Q1508" s="33"/>
      <c r="R1508" s="33"/>
      <c r="S1508" s="33"/>
      <c r="T1508" s="33"/>
      <c r="U1508" s="33"/>
      <c r="V1508" s="33"/>
      <c r="W1508" s="33"/>
    </row>
    <row r="1509" spans="1:23" ht="16.5" customHeight="1" x14ac:dyDescent="0.2">
      <c r="A1509" s="26" t="s">
        <v>3864</v>
      </c>
      <c r="B1509" s="26" t="s">
        <v>3865</v>
      </c>
      <c r="C1509" s="26" t="s">
        <v>98</v>
      </c>
      <c r="D1509" s="26" t="s">
        <v>107</v>
      </c>
      <c r="E1509" s="26" t="s">
        <v>39</v>
      </c>
      <c r="F1509" s="28" t="e">
        <f ca="1">_xludf.ifna(VLOOKUP(G1509,Proyectos!$A$2:$F$674,6,0),"")</f>
        <v>#NAME?</v>
      </c>
      <c r="G1509" s="26" t="s">
        <v>5524</v>
      </c>
      <c r="H1509" s="32">
        <v>0.5</v>
      </c>
      <c r="I1509" s="31" t="s">
        <v>18</v>
      </c>
      <c r="J1509" s="27" t="s">
        <v>41</v>
      </c>
      <c r="K1509" s="27"/>
      <c r="L1509" s="32" t="e">
        <f ca="1">_xludf.ifna(VLOOKUP(E1509,Parámetros!$D$2:$E$34,2,0),"")</f>
        <v>#NAME?</v>
      </c>
      <c r="M1509" s="32" t="e">
        <f ca="1">_xludf.ifna(VLOOKUP(G1509,Proyectos!$A$2:$T$674,20,0),"")</f>
        <v>#NAME?</v>
      </c>
      <c r="N1509" s="32" t="e">
        <f ca="1">_xludf.ifna(VLOOKUP(G1509,Proyectos!$A$2:$S$674,19,0))</f>
        <v>#NAME?</v>
      </c>
      <c r="O1509" s="32"/>
      <c r="P1509" s="31"/>
      <c r="Q1509" s="33"/>
      <c r="R1509" s="33"/>
      <c r="S1509" s="33"/>
      <c r="T1509" s="33"/>
      <c r="U1509" s="33"/>
      <c r="V1509" s="33"/>
      <c r="W1509" s="33"/>
    </row>
    <row r="1510" spans="1:23" ht="16.5" customHeight="1" x14ac:dyDescent="0.2">
      <c r="A1510" s="35" t="s">
        <v>4235</v>
      </c>
      <c r="B1510" s="35" t="s">
        <v>4236</v>
      </c>
      <c r="C1510" s="26" t="s">
        <v>98</v>
      </c>
      <c r="D1510" s="26" t="s">
        <v>107</v>
      </c>
      <c r="E1510" s="35" t="s">
        <v>87</v>
      </c>
      <c r="F1510" s="28" t="e">
        <f ca="1">_xludf.ifna(VLOOKUP(G1510,Proyectos!$A$2:$F$674,6,0),"")</f>
        <v>#NAME?</v>
      </c>
      <c r="G1510" s="26" t="s">
        <v>5524</v>
      </c>
      <c r="H1510" s="32">
        <v>1</v>
      </c>
      <c r="I1510" s="31" t="s">
        <v>18</v>
      </c>
      <c r="J1510" s="27" t="s">
        <v>41</v>
      </c>
      <c r="K1510" s="27"/>
      <c r="L1510" s="32" t="e">
        <f ca="1">_xludf.ifna(VLOOKUP(E1510,Parámetros!$D$2:$E$34,2,0),"")</f>
        <v>#NAME?</v>
      </c>
      <c r="M1510" s="32" t="e">
        <f ca="1">_xludf.ifna(VLOOKUP(G1510,Proyectos!$A$2:$T$674,20,0),"")</f>
        <v>#NAME?</v>
      </c>
      <c r="N1510" s="32" t="e">
        <f ca="1">_xludf.ifna(VLOOKUP(G1510,Proyectos!$A$2:$S$674,19,0))</f>
        <v>#NAME?</v>
      </c>
      <c r="O1510" s="32"/>
      <c r="P1510" s="31"/>
      <c r="Q1510" s="33"/>
      <c r="R1510" s="33"/>
      <c r="S1510" s="33"/>
      <c r="T1510" s="33"/>
      <c r="U1510" s="33"/>
      <c r="V1510" s="33"/>
      <c r="W1510" s="33"/>
    </row>
    <row r="1511" spans="1:23" ht="16.5" customHeight="1" x14ac:dyDescent="0.2">
      <c r="A1511" s="35" t="s">
        <v>3439</v>
      </c>
      <c r="B1511" s="35" t="s">
        <v>3440</v>
      </c>
      <c r="C1511" s="26" t="s">
        <v>98</v>
      </c>
      <c r="D1511" s="26" t="s">
        <v>107</v>
      </c>
      <c r="E1511" s="26" t="s">
        <v>39</v>
      </c>
      <c r="F1511" s="28" t="e">
        <f ca="1">_xludf.ifna(VLOOKUP(G1511,Proyectos!$A$2:$F$674,6,0),"")</f>
        <v>#NAME?</v>
      </c>
      <c r="G1511" s="26" t="s">
        <v>5524</v>
      </c>
      <c r="H1511" s="32">
        <v>0.5</v>
      </c>
      <c r="I1511" s="31" t="s">
        <v>11</v>
      </c>
      <c r="J1511" s="27" t="s">
        <v>41</v>
      </c>
      <c r="K1511" s="27"/>
      <c r="L1511" s="32" t="e">
        <f ca="1">_xludf.ifna(VLOOKUP(E1511,Parámetros!$D$2:$E$34,2,0),"")</f>
        <v>#NAME?</v>
      </c>
      <c r="M1511" s="32" t="e">
        <f ca="1">_xludf.ifna(VLOOKUP(G1511,Proyectos!$A$2:$T$674,20,0),"")</f>
        <v>#NAME?</v>
      </c>
      <c r="N1511" s="32" t="e">
        <f ca="1">_xludf.ifna(VLOOKUP(G1511,Proyectos!$A$2:$S$674,19,0))</f>
        <v>#NAME?</v>
      </c>
      <c r="O1511" s="32"/>
      <c r="P1511" s="31"/>
      <c r="Q1511" s="33"/>
      <c r="R1511" s="33"/>
      <c r="S1511" s="33"/>
      <c r="T1511" s="33"/>
      <c r="U1511" s="33"/>
      <c r="V1511" s="33"/>
      <c r="W1511" s="33"/>
    </row>
    <row r="1512" spans="1:23" ht="16.5" customHeight="1" x14ac:dyDescent="0.2">
      <c r="A1512" s="35" t="s">
        <v>3439</v>
      </c>
      <c r="B1512" s="35" t="s">
        <v>3440</v>
      </c>
      <c r="C1512" s="26" t="s">
        <v>98</v>
      </c>
      <c r="D1512" s="26" t="s">
        <v>107</v>
      </c>
      <c r="E1512" s="26" t="s">
        <v>39</v>
      </c>
      <c r="F1512" s="28" t="e">
        <f ca="1">_xludf.ifna(VLOOKUP(G1512,Proyectos!$A$2:$F$674,6,0),"")</f>
        <v>#NAME?</v>
      </c>
      <c r="G1512" s="26" t="s">
        <v>5330</v>
      </c>
      <c r="H1512" s="32">
        <v>0.25</v>
      </c>
      <c r="I1512" s="31" t="s">
        <v>11</v>
      </c>
      <c r="J1512" s="27" t="s">
        <v>41</v>
      </c>
      <c r="K1512" s="27"/>
      <c r="L1512" s="32" t="e">
        <f ca="1">_xludf.ifna(VLOOKUP(E1512,Parámetros!$D$2:$E$34,2,0),"")</f>
        <v>#NAME?</v>
      </c>
      <c r="M1512" s="32" t="e">
        <f ca="1">_xludf.ifna(VLOOKUP(G1512,Proyectos!$A$2:$T$674,20,0),"")</f>
        <v>#NAME?</v>
      </c>
      <c r="N1512" s="32" t="e">
        <f ca="1">_xludf.ifna(VLOOKUP(G1512,Proyectos!$A$2:$S$674,19,0))</f>
        <v>#NAME?</v>
      </c>
      <c r="O1512" s="32"/>
      <c r="P1512" s="31"/>
      <c r="Q1512" s="33"/>
      <c r="R1512" s="33"/>
      <c r="S1512" s="33"/>
      <c r="T1512" s="33"/>
      <c r="U1512" s="33"/>
      <c r="V1512" s="33"/>
      <c r="W1512" s="33"/>
    </row>
    <row r="1513" spans="1:23" ht="16.5" customHeight="1" x14ac:dyDescent="0.2">
      <c r="A1513" s="35" t="s">
        <v>3439</v>
      </c>
      <c r="B1513" s="35" t="s">
        <v>3440</v>
      </c>
      <c r="C1513" s="26" t="s">
        <v>98</v>
      </c>
      <c r="D1513" s="26" t="s">
        <v>107</v>
      </c>
      <c r="E1513" s="26" t="s">
        <v>39</v>
      </c>
      <c r="F1513" s="28" t="e">
        <f ca="1">_xludf.ifna(VLOOKUP(G1513,Proyectos!$A$2:$F$674,6,0),"")</f>
        <v>#NAME?</v>
      </c>
      <c r="G1513" s="26" t="s">
        <v>5329</v>
      </c>
      <c r="H1513" s="32">
        <v>0.25</v>
      </c>
      <c r="I1513" s="31" t="s">
        <v>11</v>
      </c>
      <c r="J1513" s="27" t="s">
        <v>41</v>
      </c>
      <c r="K1513" s="27"/>
      <c r="L1513" s="32" t="e">
        <f ca="1">_xludf.ifna(VLOOKUP(E1513,Parámetros!$D$2:$E$34,2,0),"")</f>
        <v>#NAME?</v>
      </c>
      <c r="M1513" s="32" t="e">
        <f ca="1">_xludf.ifna(VLOOKUP(G1513,Proyectos!$A$2:$T$674,20,0),"")</f>
        <v>#NAME?</v>
      </c>
      <c r="N1513" s="32" t="e">
        <f ca="1">_xludf.ifna(VLOOKUP(G1513,Proyectos!$A$2:$S$674,19,0))</f>
        <v>#NAME?</v>
      </c>
      <c r="O1513" s="32"/>
      <c r="P1513" s="31"/>
      <c r="Q1513" s="33"/>
      <c r="R1513" s="33"/>
      <c r="S1513" s="33"/>
      <c r="T1513" s="33"/>
      <c r="U1513" s="33"/>
      <c r="V1513" s="33"/>
      <c r="W1513" s="33"/>
    </row>
    <row r="1514" spans="1:23" ht="16.5" customHeight="1" x14ac:dyDescent="0.2">
      <c r="A1514" s="35" t="s">
        <v>3755</v>
      </c>
      <c r="B1514" s="35" t="s">
        <v>3756</v>
      </c>
      <c r="C1514" s="26" t="s">
        <v>98</v>
      </c>
      <c r="D1514" s="26" t="s">
        <v>107</v>
      </c>
      <c r="E1514" s="26" t="s">
        <v>39</v>
      </c>
      <c r="F1514" s="28" t="e">
        <f ca="1">_xludf.ifna(VLOOKUP(G1514,Proyectos!$A$2:$F$674,6,0),"")</f>
        <v>#NAME?</v>
      </c>
      <c r="G1514" s="26" t="s">
        <v>5126</v>
      </c>
      <c r="H1514" s="32">
        <v>0.25</v>
      </c>
      <c r="I1514" s="31" t="s">
        <v>11</v>
      </c>
      <c r="J1514" s="27"/>
      <c r="K1514" s="27"/>
      <c r="L1514" s="32" t="e">
        <f ca="1">_xludf.ifna(VLOOKUP(E1514,Parámetros!$D$2:$E$34,2,0),"")</f>
        <v>#NAME?</v>
      </c>
      <c r="M1514" s="32" t="e">
        <f ca="1">_xludf.ifna(VLOOKUP(G1514,Proyectos!$A$2:$T$674,20,0),"")</f>
        <v>#NAME?</v>
      </c>
      <c r="N1514" s="32" t="e">
        <f ca="1">_xludf.ifna(VLOOKUP(G1514,Proyectos!$A$2:$S$674,19,0))</f>
        <v>#NAME?</v>
      </c>
      <c r="O1514" s="32"/>
      <c r="P1514" s="31"/>
      <c r="Q1514" s="33"/>
      <c r="R1514" s="33"/>
      <c r="S1514" s="33"/>
      <c r="T1514" s="33"/>
      <c r="U1514" s="33"/>
      <c r="V1514" s="33"/>
      <c r="W1514" s="33"/>
    </row>
    <row r="1515" spans="1:23" ht="16.5" customHeight="1" x14ac:dyDescent="0.2">
      <c r="A1515" s="35" t="s">
        <v>3755</v>
      </c>
      <c r="B1515" s="35" t="s">
        <v>3756</v>
      </c>
      <c r="C1515" s="26" t="s">
        <v>98</v>
      </c>
      <c r="D1515" s="26" t="s">
        <v>107</v>
      </c>
      <c r="E1515" s="26" t="s">
        <v>39</v>
      </c>
      <c r="F1515" s="28" t="e">
        <f ca="1">_xludf.ifna(VLOOKUP(G1515,Proyectos!$A$2:$F$674,6,0),"")</f>
        <v>#NAME?</v>
      </c>
      <c r="G1515" s="26" t="s">
        <v>5329</v>
      </c>
      <c r="H1515" s="32">
        <v>0.25</v>
      </c>
      <c r="I1515" s="31" t="s">
        <v>11</v>
      </c>
      <c r="J1515" s="27"/>
      <c r="K1515" s="27"/>
      <c r="L1515" s="32" t="e">
        <f ca="1">_xludf.ifna(VLOOKUP(E1515,Parámetros!$D$2:$E$34,2,0),"")</f>
        <v>#NAME?</v>
      </c>
      <c r="M1515" s="32" t="e">
        <f ca="1">_xludf.ifna(VLOOKUP(G1515,Proyectos!$A$2:$T$674,20,0),"")</f>
        <v>#NAME?</v>
      </c>
      <c r="N1515" s="32" t="e">
        <f ca="1">_xludf.ifna(VLOOKUP(G1515,Proyectos!$A$2:$S$674,19,0))</f>
        <v>#NAME?</v>
      </c>
      <c r="O1515" s="32"/>
      <c r="P1515" s="31"/>
      <c r="Q1515" s="33"/>
      <c r="R1515" s="33"/>
      <c r="S1515" s="33"/>
      <c r="T1515" s="33"/>
      <c r="U1515" s="33"/>
      <c r="V1515" s="33"/>
      <c r="W1515" s="33"/>
    </row>
    <row r="1516" spans="1:23" ht="16.5" customHeight="1" x14ac:dyDescent="0.2">
      <c r="A1516" s="35" t="s">
        <v>3755</v>
      </c>
      <c r="B1516" s="35" t="s">
        <v>3756</v>
      </c>
      <c r="C1516" s="26" t="s">
        <v>98</v>
      </c>
      <c r="D1516" s="26" t="s">
        <v>107</v>
      </c>
      <c r="E1516" s="26" t="s">
        <v>39</v>
      </c>
      <c r="F1516" s="28" t="e">
        <f ca="1">_xludf.ifna(VLOOKUP(G1516,Proyectos!$A$2:$F$674,6,0),"")</f>
        <v>#NAME?</v>
      </c>
      <c r="G1516" s="26" t="s">
        <v>5347</v>
      </c>
      <c r="H1516" s="32">
        <v>0.5</v>
      </c>
      <c r="I1516" s="31" t="s">
        <v>11</v>
      </c>
      <c r="J1516" s="27"/>
      <c r="K1516" s="27"/>
      <c r="L1516" s="32" t="e">
        <f ca="1">_xludf.ifna(VLOOKUP(E1516,Parámetros!$D$2:$E$34,2,0),"")</f>
        <v>#NAME?</v>
      </c>
      <c r="M1516" s="32" t="e">
        <f ca="1">_xludf.ifna(VLOOKUP(G1516,Proyectos!$A$2:$T$674,20,0),"")</f>
        <v>#NAME?</v>
      </c>
      <c r="N1516" s="32" t="e">
        <f ca="1">_xludf.ifna(VLOOKUP(G1516,Proyectos!$A$2:$S$674,19,0))</f>
        <v>#NAME?</v>
      </c>
      <c r="O1516" s="32"/>
      <c r="P1516" s="31"/>
      <c r="Q1516" s="33"/>
      <c r="R1516" s="33"/>
      <c r="S1516" s="33"/>
      <c r="T1516" s="33"/>
      <c r="U1516" s="33"/>
      <c r="V1516" s="33"/>
      <c r="W1516" s="33"/>
    </row>
    <row r="1517" spans="1:23" ht="16.5" customHeight="1" x14ac:dyDescent="0.2">
      <c r="A1517" s="35" t="s">
        <v>4233</v>
      </c>
      <c r="B1517" s="35" t="s">
        <v>4234</v>
      </c>
      <c r="C1517" s="26" t="s">
        <v>98</v>
      </c>
      <c r="D1517" s="26" t="s">
        <v>107</v>
      </c>
      <c r="E1517" s="35" t="s">
        <v>87</v>
      </c>
      <c r="F1517" s="28" t="e">
        <f ca="1">_xludf.ifna(VLOOKUP(G1517,Proyectos!$A$2:$F$674,6,0),"")</f>
        <v>#NAME?</v>
      </c>
      <c r="G1517" s="26" t="s">
        <v>5524</v>
      </c>
      <c r="H1517" s="32">
        <v>1</v>
      </c>
      <c r="I1517" s="31" t="s">
        <v>18</v>
      </c>
      <c r="J1517" s="27" t="s">
        <v>41</v>
      </c>
      <c r="K1517" s="27"/>
      <c r="L1517" s="32" t="e">
        <f ca="1">_xludf.ifna(VLOOKUP(E1517,Parámetros!$D$2:$E$34,2,0),"")</f>
        <v>#NAME?</v>
      </c>
      <c r="M1517" s="32" t="e">
        <f ca="1">_xludf.ifna(VLOOKUP(G1517,Proyectos!$A$2:$T$674,20,0),"")</f>
        <v>#NAME?</v>
      </c>
      <c r="N1517" s="32" t="e">
        <f ca="1">_xludf.ifna(VLOOKUP(G1517,Proyectos!$A$2:$S$674,19,0))</f>
        <v>#NAME?</v>
      </c>
      <c r="O1517" s="32"/>
      <c r="P1517" s="31"/>
      <c r="Q1517" s="33"/>
      <c r="R1517" s="33"/>
      <c r="S1517" s="33"/>
      <c r="T1517" s="33"/>
      <c r="U1517" s="33"/>
      <c r="V1517" s="33"/>
      <c r="W1517" s="33"/>
    </row>
    <row r="1518" spans="1:23" ht="16.5" customHeight="1" x14ac:dyDescent="0.2">
      <c r="A1518" s="35" t="s">
        <v>4990</v>
      </c>
      <c r="B1518" s="35" t="s">
        <v>4991</v>
      </c>
      <c r="C1518" s="26" t="s">
        <v>98</v>
      </c>
      <c r="D1518" s="26" t="s">
        <v>107</v>
      </c>
      <c r="E1518" s="35" t="s">
        <v>87</v>
      </c>
      <c r="F1518" s="28" t="e">
        <f ca="1">_xludf.ifna(VLOOKUP(G1518,Proyectos!$A$2:$F$674,6,0),"")</f>
        <v>#NAME?</v>
      </c>
      <c r="G1518" s="26" t="s">
        <v>5524</v>
      </c>
      <c r="H1518" s="32">
        <v>1</v>
      </c>
      <c r="I1518" s="31" t="s">
        <v>25</v>
      </c>
      <c r="J1518" s="27" t="s">
        <v>41</v>
      </c>
      <c r="K1518" s="27"/>
      <c r="L1518" s="32" t="e">
        <f ca="1">_xludf.ifna(VLOOKUP(E1518,Parámetros!$D$2:$E$34,2,0),"")</f>
        <v>#NAME?</v>
      </c>
      <c r="M1518" s="32" t="e">
        <f ca="1">_xludf.ifna(VLOOKUP(G1518,Proyectos!$A$2:$T$674,20,0),"")</f>
        <v>#NAME?</v>
      </c>
      <c r="N1518" s="32" t="e">
        <f ca="1">_xludf.ifna(VLOOKUP(G1518,Proyectos!$A$2:$S$674,19,0))</f>
        <v>#NAME?</v>
      </c>
      <c r="O1518" s="32"/>
      <c r="P1518" s="31"/>
      <c r="Q1518" s="33"/>
      <c r="R1518" s="33"/>
      <c r="S1518" s="33"/>
      <c r="T1518" s="33"/>
      <c r="U1518" s="33"/>
      <c r="V1518" s="33"/>
      <c r="W1518" s="33"/>
    </row>
    <row r="1519" spans="1:23" ht="16.5" customHeight="1" x14ac:dyDescent="0.2">
      <c r="A1519" s="26" t="s">
        <v>5086</v>
      </c>
      <c r="B1519" s="26" t="s">
        <v>5087</v>
      </c>
      <c r="C1519" s="26" t="s">
        <v>98</v>
      </c>
      <c r="D1519" s="26" t="s">
        <v>107</v>
      </c>
      <c r="E1519" s="35" t="s">
        <v>87</v>
      </c>
      <c r="F1519" s="28" t="e">
        <f ca="1">_xludf.ifna(VLOOKUP(G1519,Proyectos!$A$2:$F$674,6,0),"")</f>
        <v>#NAME?</v>
      </c>
      <c r="G1519" s="26" t="s">
        <v>5524</v>
      </c>
      <c r="H1519" s="32">
        <v>1</v>
      </c>
      <c r="I1519" s="31" t="s">
        <v>18</v>
      </c>
      <c r="J1519" s="27" t="s">
        <v>41</v>
      </c>
      <c r="K1519" s="27"/>
      <c r="L1519" s="32" t="e">
        <f ca="1">_xludf.ifna(VLOOKUP(E1519,Parámetros!$D$2:$E$34,2,0),"")</f>
        <v>#NAME?</v>
      </c>
      <c r="M1519" s="32" t="e">
        <f ca="1">_xludf.ifna(VLOOKUP(G1519,Proyectos!$A$2:$T$674,20,0),"")</f>
        <v>#NAME?</v>
      </c>
      <c r="N1519" s="32" t="e">
        <f ca="1">_xludf.ifna(VLOOKUP(G1519,Proyectos!$A$2:$S$674,19,0))</f>
        <v>#NAME?</v>
      </c>
      <c r="O1519" s="32"/>
      <c r="P1519" s="31"/>
      <c r="Q1519" s="33"/>
      <c r="R1519" s="33"/>
      <c r="S1519" s="33"/>
      <c r="T1519" s="33"/>
      <c r="U1519" s="33"/>
      <c r="V1519" s="33"/>
      <c r="W1519" s="33"/>
    </row>
    <row r="1520" spans="1:23" ht="16.5" customHeight="1" x14ac:dyDescent="0.2">
      <c r="A1520" s="35" t="s">
        <v>3775</v>
      </c>
      <c r="B1520" s="35" t="s">
        <v>3776</v>
      </c>
      <c r="C1520" s="26" t="s">
        <v>98</v>
      </c>
      <c r="D1520" s="26" t="s">
        <v>107</v>
      </c>
      <c r="E1520" s="26" t="s">
        <v>39</v>
      </c>
      <c r="F1520" s="28" t="e">
        <f ca="1">_xludf.ifna(VLOOKUP(G1520,Proyectos!$A$2:$F$674,6,0),"")</f>
        <v>#NAME?</v>
      </c>
      <c r="G1520" s="26" t="s">
        <v>5330</v>
      </c>
      <c r="H1520" s="32">
        <v>0.75</v>
      </c>
      <c r="I1520" s="31" t="s">
        <v>18</v>
      </c>
      <c r="J1520" s="27" t="s">
        <v>41</v>
      </c>
      <c r="K1520" s="27"/>
      <c r="L1520" s="32" t="e">
        <f ca="1">_xludf.ifna(VLOOKUP(E1520,Parámetros!$D$2:$E$34,2,0),"")</f>
        <v>#NAME?</v>
      </c>
      <c r="M1520" s="32" t="e">
        <f ca="1">_xludf.ifna(VLOOKUP(G1520,Proyectos!$A$2:$T$674,20,0),"")</f>
        <v>#NAME?</v>
      </c>
      <c r="N1520" s="32" t="e">
        <f ca="1">_xludf.ifna(VLOOKUP(G1520,Proyectos!$A$2:$S$674,19,0))</f>
        <v>#NAME?</v>
      </c>
      <c r="O1520" s="32"/>
      <c r="P1520" s="31"/>
      <c r="Q1520" s="33"/>
      <c r="R1520" s="33"/>
      <c r="S1520" s="33"/>
      <c r="T1520" s="33"/>
      <c r="U1520" s="33"/>
      <c r="V1520" s="33"/>
      <c r="W1520" s="33"/>
    </row>
    <row r="1521" spans="1:23" ht="16.5" customHeight="1" x14ac:dyDescent="0.2">
      <c r="A1521" s="35" t="s">
        <v>3775</v>
      </c>
      <c r="B1521" s="35" t="s">
        <v>3776</v>
      </c>
      <c r="C1521" s="26" t="s">
        <v>98</v>
      </c>
      <c r="D1521" s="26" t="s">
        <v>107</v>
      </c>
      <c r="E1521" s="26" t="s">
        <v>39</v>
      </c>
      <c r="F1521" s="28" t="e">
        <f ca="1">_xludf.ifna(VLOOKUP(G1521,Proyectos!$A$2:$F$674,6,0),"")</f>
        <v>#NAME?</v>
      </c>
      <c r="G1521" s="26" t="s">
        <v>5329</v>
      </c>
      <c r="H1521" s="32">
        <v>0.25</v>
      </c>
      <c r="I1521" s="31" t="s">
        <v>18</v>
      </c>
      <c r="J1521" s="27" t="s">
        <v>61</v>
      </c>
      <c r="K1521" s="27"/>
      <c r="L1521" s="32" t="e">
        <f ca="1">_xludf.ifna(VLOOKUP(E1521,Parámetros!$D$2:$E$34,2,0),"")</f>
        <v>#NAME?</v>
      </c>
      <c r="M1521" s="32" t="e">
        <f ca="1">_xludf.ifna(VLOOKUP(G1521,Proyectos!$A$2:$T$674,20,0),"")</f>
        <v>#NAME?</v>
      </c>
      <c r="N1521" s="32" t="e">
        <f ca="1">_xludf.ifna(VLOOKUP(G1521,Proyectos!$A$2:$S$674,19,0))</f>
        <v>#NAME?</v>
      </c>
      <c r="O1521" s="32"/>
      <c r="P1521" s="31"/>
      <c r="Q1521" s="33"/>
      <c r="R1521" s="33"/>
      <c r="S1521" s="33"/>
      <c r="T1521" s="33"/>
      <c r="U1521" s="33"/>
      <c r="V1521" s="33"/>
      <c r="W1521" s="33"/>
    </row>
    <row r="1522" spans="1:23" ht="16.5" customHeight="1" x14ac:dyDescent="0.2">
      <c r="A1522" s="26" t="s">
        <v>3708</v>
      </c>
      <c r="B1522" s="26" t="s">
        <v>3709</v>
      </c>
      <c r="C1522" s="26" t="s">
        <v>98</v>
      </c>
      <c r="D1522" s="26" t="s">
        <v>107</v>
      </c>
      <c r="E1522" s="26" t="s">
        <v>39</v>
      </c>
      <c r="F1522" s="28" t="e">
        <f ca="1">_xludf.ifna(VLOOKUP(G1522,Proyectos!$A$2:$F$674,6,0),"")</f>
        <v>#NAME?</v>
      </c>
      <c r="G1522" s="26" t="s">
        <v>5329</v>
      </c>
      <c r="H1522" s="32">
        <v>1</v>
      </c>
      <c r="I1522" s="31" t="s">
        <v>18</v>
      </c>
      <c r="J1522" s="31" t="s">
        <v>41</v>
      </c>
      <c r="K1522" s="32"/>
      <c r="L1522" s="32" t="e">
        <f ca="1">_xludf.ifna(VLOOKUP(E1522,Parámetros!$D$2:$E$34,2,0),"")</f>
        <v>#NAME?</v>
      </c>
      <c r="M1522" s="32" t="e">
        <f ca="1">_xludf.ifna(VLOOKUP(G1522,Proyectos!$A$2:$T$674,20,0),"")</f>
        <v>#NAME?</v>
      </c>
      <c r="N1522" s="32" t="e">
        <f ca="1">_xludf.ifna(VLOOKUP(G1522,Proyectos!$A$2:$S$674,19,0))</f>
        <v>#NAME?</v>
      </c>
      <c r="O1522" s="31"/>
      <c r="P1522" s="31"/>
      <c r="Q1522" s="33"/>
      <c r="R1522" s="33"/>
      <c r="S1522" s="33"/>
      <c r="T1522" s="33"/>
      <c r="U1522" s="33"/>
      <c r="V1522" s="33"/>
      <c r="W1522" s="33"/>
    </row>
    <row r="1523" spans="1:23" ht="16.5" customHeight="1" x14ac:dyDescent="0.2">
      <c r="A1523" s="49" t="s">
        <v>4263</v>
      </c>
      <c r="B1523" s="26" t="s">
        <v>4264</v>
      </c>
      <c r="C1523" s="26" t="s">
        <v>98</v>
      </c>
      <c r="D1523" s="26" t="s">
        <v>107</v>
      </c>
      <c r="E1523" s="49" t="s">
        <v>87</v>
      </c>
      <c r="F1523" s="28" t="e">
        <f ca="1">_xludf.ifna(VLOOKUP(G1523,Proyectos!$A$2:$F$674,6,0),"")</f>
        <v>#NAME?</v>
      </c>
      <c r="G1523" s="26" t="s">
        <v>5329</v>
      </c>
      <c r="H1523" s="32">
        <v>1</v>
      </c>
      <c r="I1523" s="31" t="s">
        <v>25</v>
      </c>
      <c r="J1523" s="31" t="s">
        <v>41</v>
      </c>
      <c r="K1523" s="32"/>
      <c r="L1523" s="32" t="e">
        <f ca="1">_xludf.ifna(VLOOKUP(E1523,Parámetros!$D$2:$E$34,2,0),"")</f>
        <v>#NAME?</v>
      </c>
      <c r="M1523" s="32" t="e">
        <f ca="1">_xludf.ifna(VLOOKUP(G1523,Proyectos!$A$2:$T$674,20,0),"")</f>
        <v>#NAME?</v>
      </c>
      <c r="N1523" s="32" t="e">
        <f ca="1">_xludf.ifna(VLOOKUP(G1523,Proyectos!$A$2:$S$674,19,0))</f>
        <v>#NAME?</v>
      </c>
      <c r="O1523" s="32"/>
      <c r="P1523" s="31"/>
      <c r="Q1523" s="33"/>
      <c r="R1523" s="33"/>
      <c r="S1523" s="33"/>
      <c r="T1523" s="33"/>
      <c r="U1523" s="33"/>
      <c r="V1523" s="33"/>
      <c r="W1523" s="33"/>
    </row>
    <row r="1524" spans="1:23" ht="16.5" customHeight="1" x14ac:dyDescent="0.2">
      <c r="A1524" s="35" t="s">
        <v>4909</v>
      </c>
      <c r="B1524" s="35" t="s">
        <v>4910</v>
      </c>
      <c r="C1524" s="26" t="s">
        <v>98</v>
      </c>
      <c r="D1524" s="26" t="s">
        <v>107</v>
      </c>
      <c r="E1524" s="35" t="s">
        <v>87</v>
      </c>
      <c r="F1524" s="28" t="e">
        <f ca="1">_xludf.ifna(VLOOKUP(G1524,Proyectos!$A$2:$F$674,6,0),"")</f>
        <v>#NAME?</v>
      </c>
      <c r="G1524" s="26" t="s">
        <v>5330</v>
      </c>
      <c r="H1524" s="32">
        <v>1</v>
      </c>
      <c r="I1524" s="31" t="s">
        <v>18</v>
      </c>
      <c r="J1524" s="27" t="s">
        <v>41</v>
      </c>
      <c r="K1524" s="27"/>
      <c r="L1524" s="32" t="e">
        <f ca="1">_xludf.ifna(VLOOKUP(E1524,Parámetros!$D$2:$E$34,2,0),"")</f>
        <v>#NAME?</v>
      </c>
      <c r="M1524" s="32" t="e">
        <f ca="1">_xludf.ifna(VLOOKUP(G1524,Proyectos!$A$2:$T$674,20,0),"")</f>
        <v>#NAME?</v>
      </c>
      <c r="N1524" s="32" t="e">
        <f ca="1">_xludf.ifna(VLOOKUP(G1524,Proyectos!$A$2:$S$674,19,0))</f>
        <v>#NAME?</v>
      </c>
      <c r="O1524" s="32"/>
      <c r="P1524" s="31"/>
      <c r="Q1524" s="33"/>
      <c r="R1524" s="33"/>
      <c r="S1524" s="33"/>
      <c r="T1524" s="33"/>
      <c r="U1524" s="33"/>
      <c r="V1524" s="33"/>
      <c r="W1524" s="33"/>
    </row>
    <row r="1525" spans="1:23" ht="16.5" customHeight="1" x14ac:dyDescent="0.2">
      <c r="A1525" s="35" t="s">
        <v>4221</v>
      </c>
      <c r="B1525" s="35" t="s">
        <v>4222</v>
      </c>
      <c r="C1525" s="26" t="s">
        <v>98</v>
      </c>
      <c r="D1525" s="26" t="s">
        <v>107</v>
      </c>
      <c r="E1525" s="35" t="s">
        <v>87</v>
      </c>
      <c r="F1525" s="28" t="e">
        <f ca="1">_xludf.ifna(VLOOKUP(G1525,Proyectos!$A$2:$F$674,6,0),"")</f>
        <v>#NAME?</v>
      </c>
      <c r="G1525" s="26" t="s">
        <v>5330</v>
      </c>
      <c r="H1525" s="32">
        <v>0.5</v>
      </c>
      <c r="I1525" s="31" t="s">
        <v>18</v>
      </c>
      <c r="J1525" s="27" t="s">
        <v>19</v>
      </c>
      <c r="K1525" s="27"/>
      <c r="L1525" s="32" t="e">
        <f ca="1">_xludf.ifna(VLOOKUP(E1525,Parámetros!$D$2:$E$34,2,0),"")</f>
        <v>#NAME?</v>
      </c>
      <c r="M1525" s="32" t="e">
        <f ca="1">_xludf.ifna(VLOOKUP(G1525,Proyectos!$A$2:$T$674,20,0),"")</f>
        <v>#NAME?</v>
      </c>
      <c r="N1525" s="32" t="e">
        <f ca="1">_xludf.ifna(VLOOKUP(G1525,Proyectos!$A$2:$S$674,19,0))</f>
        <v>#NAME?</v>
      </c>
      <c r="O1525" s="32"/>
      <c r="P1525" s="31"/>
      <c r="Q1525" s="33"/>
      <c r="R1525" s="33"/>
      <c r="S1525" s="33"/>
      <c r="T1525" s="33"/>
      <c r="U1525" s="33"/>
      <c r="V1525" s="33"/>
      <c r="W1525" s="33"/>
    </row>
    <row r="1526" spans="1:23" ht="16.5" customHeight="1" x14ac:dyDescent="0.2">
      <c r="A1526" s="35" t="s">
        <v>4221</v>
      </c>
      <c r="B1526" s="35" t="s">
        <v>4222</v>
      </c>
      <c r="C1526" s="26" t="s">
        <v>98</v>
      </c>
      <c r="D1526" s="26" t="s">
        <v>107</v>
      </c>
      <c r="E1526" s="26" t="s">
        <v>87</v>
      </c>
      <c r="F1526" s="28" t="e">
        <f ca="1">_xludf.ifna(VLOOKUP(G1526,Proyectos!$A$2:$F$674,6,0),"")</f>
        <v>#NAME?</v>
      </c>
      <c r="G1526" s="26" t="s">
        <v>5329</v>
      </c>
      <c r="H1526" s="32">
        <v>0.5</v>
      </c>
      <c r="I1526" s="31" t="s">
        <v>18</v>
      </c>
      <c r="J1526" s="27" t="s">
        <v>12</v>
      </c>
      <c r="K1526" s="27"/>
      <c r="L1526" s="32" t="e">
        <f ca="1">_xludf.ifna(VLOOKUP(E1526,Parámetros!$D$2:$E$34,2,0),"")</f>
        <v>#NAME?</v>
      </c>
      <c r="M1526" s="32" t="e">
        <f ca="1">_xludf.ifna(VLOOKUP(G1526,Proyectos!$A$2:$T$674,20,0),"")</f>
        <v>#NAME?</v>
      </c>
      <c r="N1526" s="32" t="e">
        <f ca="1">_xludf.ifna(VLOOKUP(G1526,Proyectos!$A$2:$S$674,19,0))</f>
        <v>#NAME?</v>
      </c>
      <c r="O1526" s="32"/>
      <c r="P1526" s="31"/>
      <c r="Q1526" s="33"/>
      <c r="R1526" s="33"/>
      <c r="S1526" s="33"/>
      <c r="T1526" s="33"/>
      <c r="U1526" s="33"/>
      <c r="V1526" s="33"/>
      <c r="W1526" s="33"/>
    </row>
    <row r="1527" spans="1:23" ht="16.5" customHeight="1" x14ac:dyDescent="0.2">
      <c r="A1527" s="35" t="s">
        <v>4709</v>
      </c>
      <c r="B1527" s="35" t="s">
        <v>4710</v>
      </c>
      <c r="C1527" s="26" t="s">
        <v>98</v>
      </c>
      <c r="D1527" s="26" t="s">
        <v>107</v>
      </c>
      <c r="E1527" s="26" t="s">
        <v>39</v>
      </c>
      <c r="F1527" s="28" t="e">
        <f ca="1">_xludf.ifna(VLOOKUP(G1527,Proyectos!$A$2:$F$674,6,0),"")</f>
        <v>#NAME?</v>
      </c>
      <c r="G1527" s="26" t="s">
        <v>5330</v>
      </c>
      <c r="H1527" s="32">
        <v>1</v>
      </c>
      <c r="I1527" s="31" t="s">
        <v>18</v>
      </c>
      <c r="J1527" s="27" t="s">
        <v>41</v>
      </c>
      <c r="K1527" s="27"/>
      <c r="L1527" s="32" t="e">
        <f ca="1">_xludf.ifna(VLOOKUP(E1527,Parámetros!$D$2:$E$34,2,0),"")</f>
        <v>#NAME?</v>
      </c>
      <c r="M1527" s="32" t="e">
        <f ca="1">_xludf.ifna(VLOOKUP(G1527,Proyectos!$A$2:$T$674,20,0),"")</f>
        <v>#NAME?</v>
      </c>
      <c r="N1527" s="32" t="e">
        <f ca="1">_xludf.ifna(VLOOKUP(G1527,Proyectos!$A$2:$S$674,19,0))</f>
        <v>#NAME?</v>
      </c>
      <c r="O1527" s="32"/>
      <c r="P1527" s="31"/>
      <c r="Q1527" s="33"/>
      <c r="R1527" s="33"/>
      <c r="S1527" s="33"/>
      <c r="T1527" s="33"/>
      <c r="U1527" s="33"/>
      <c r="V1527" s="33"/>
      <c r="W1527" s="33"/>
    </row>
    <row r="1528" spans="1:23" ht="16.5" customHeight="1" x14ac:dyDescent="0.2">
      <c r="A1528" s="35" t="s">
        <v>5061</v>
      </c>
      <c r="B1528" s="35" t="s">
        <v>5062</v>
      </c>
      <c r="C1528" s="26" t="s">
        <v>98</v>
      </c>
      <c r="D1528" s="26" t="s">
        <v>107</v>
      </c>
      <c r="E1528" s="26" t="s">
        <v>87</v>
      </c>
      <c r="F1528" s="28" t="e">
        <f ca="1">_xludf.ifna(VLOOKUP(G1528,Proyectos!$A$2:$F$674,6,0),"")</f>
        <v>#NAME?</v>
      </c>
      <c r="G1528" s="26" t="s">
        <v>5330</v>
      </c>
      <c r="H1528" s="32">
        <v>1</v>
      </c>
      <c r="I1528" s="31" t="s">
        <v>25</v>
      </c>
      <c r="J1528" s="27" t="s">
        <v>41</v>
      </c>
      <c r="K1528" s="27"/>
      <c r="L1528" s="32" t="e">
        <f ca="1">_xludf.ifna(VLOOKUP(E1528,Parámetros!$D$2:$E$34,2,0),"")</f>
        <v>#NAME?</v>
      </c>
      <c r="M1528" s="32" t="e">
        <f ca="1">_xludf.ifna(VLOOKUP(G1528,Proyectos!$A$2:$T$674,20,0),"")</f>
        <v>#NAME?</v>
      </c>
      <c r="N1528" s="32" t="e">
        <f ca="1">_xludf.ifna(VLOOKUP(G1528,Proyectos!$A$2:$S$674,19,0))</f>
        <v>#NAME?</v>
      </c>
      <c r="O1528" s="32"/>
      <c r="P1528" s="31"/>
      <c r="Q1528" s="33"/>
      <c r="R1528" s="33"/>
      <c r="S1528" s="33"/>
      <c r="T1528" s="33"/>
      <c r="U1528" s="33"/>
      <c r="V1528" s="33"/>
      <c r="W1528" s="33"/>
    </row>
    <row r="1529" spans="1:23" ht="16.5" customHeight="1" x14ac:dyDescent="0.2">
      <c r="A1529" s="79" t="s">
        <v>4108</v>
      </c>
      <c r="B1529" s="35" t="s">
        <v>4109</v>
      </c>
      <c r="C1529" s="26" t="s">
        <v>98</v>
      </c>
      <c r="D1529" s="26" t="s">
        <v>107</v>
      </c>
      <c r="E1529" s="26" t="s">
        <v>108</v>
      </c>
      <c r="F1529" s="28" t="e">
        <f ca="1">_xludf.ifna(VLOOKUP(G1529,Proyectos!$A$2:$F$674,6,0),"")</f>
        <v>#NAME?</v>
      </c>
      <c r="G1529" s="26" t="s">
        <v>5329</v>
      </c>
      <c r="H1529" s="32">
        <v>1</v>
      </c>
      <c r="I1529" s="31" t="s">
        <v>18</v>
      </c>
      <c r="J1529" s="27" t="s">
        <v>61</v>
      </c>
      <c r="K1529" s="27"/>
      <c r="L1529" s="32" t="e">
        <f ca="1">_xludf.ifna(VLOOKUP(E1529,Parámetros!$D$2:$E$34,2,0),"")</f>
        <v>#NAME?</v>
      </c>
      <c r="M1529" s="32" t="e">
        <f ca="1">_xludf.ifna(VLOOKUP(G1529,Proyectos!$A$2:$T$674,20,0),"")</f>
        <v>#NAME?</v>
      </c>
      <c r="N1529" s="32" t="e">
        <f ca="1">_xludf.ifna(VLOOKUP(G1529,Proyectos!$A$2:$S$674,19,0))</f>
        <v>#NAME?</v>
      </c>
      <c r="O1529" s="32"/>
      <c r="P1529" s="31"/>
      <c r="Q1529" s="33"/>
      <c r="R1529" s="33"/>
      <c r="S1529" s="33"/>
      <c r="T1529" s="33"/>
      <c r="U1529" s="33"/>
      <c r="V1529" s="33"/>
      <c r="W1529" s="33"/>
    </row>
    <row r="1530" spans="1:23" ht="16.5" customHeight="1" x14ac:dyDescent="0.2">
      <c r="A1530" s="79" t="s">
        <v>5015</v>
      </c>
      <c r="B1530" s="35" t="s">
        <v>5016</v>
      </c>
      <c r="C1530" s="26" t="s">
        <v>98</v>
      </c>
      <c r="D1530" s="26" t="s">
        <v>107</v>
      </c>
      <c r="E1530" s="26" t="s">
        <v>108</v>
      </c>
      <c r="F1530" s="28" t="e">
        <f ca="1">_xludf.ifna(VLOOKUP(G1530,Proyectos!$A$2:$F$674,6,0),"")</f>
        <v>#NAME?</v>
      </c>
      <c r="G1530" s="26" t="s">
        <v>5329</v>
      </c>
      <c r="H1530" s="32">
        <v>1</v>
      </c>
      <c r="I1530" s="31" t="s">
        <v>18</v>
      </c>
      <c r="J1530" s="27" t="s">
        <v>12</v>
      </c>
      <c r="K1530" s="27"/>
      <c r="L1530" s="32" t="e">
        <f ca="1">_xludf.ifna(VLOOKUP(E1530,Parámetros!$D$2:$E$34,2,0),"")</f>
        <v>#NAME?</v>
      </c>
      <c r="M1530" s="32" t="e">
        <f ca="1">_xludf.ifna(VLOOKUP(G1530,Proyectos!$A$2:$T$674,20,0),"")</f>
        <v>#NAME?</v>
      </c>
      <c r="N1530" s="32" t="e">
        <f ca="1">_xludf.ifna(VLOOKUP(G1530,Proyectos!$A$2:$S$674,19,0))</f>
        <v>#NAME?</v>
      </c>
      <c r="O1530" s="32"/>
      <c r="P1530" s="31"/>
      <c r="Q1530" s="33"/>
      <c r="R1530" s="33"/>
      <c r="S1530" s="33"/>
      <c r="T1530" s="33"/>
      <c r="U1530" s="33"/>
      <c r="V1530" s="33"/>
      <c r="W1530" s="33"/>
    </row>
    <row r="1531" spans="1:23" ht="16.5" customHeight="1" x14ac:dyDescent="0.2">
      <c r="A1531" s="35" t="s">
        <v>5039</v>
      </c>
      <c r="B1531" s="35" t="s">
        <v>5040</v>
      </c>
      <c r="C1531" s="26" t="s">
        <v>98</v>
      </c>
      <c r="D1531" s="26" t="s">
        <v>107</v>
      </c>
      <c r="E1531" s="26" t="s">
        <v>108</v>
      </c>
      <c r="F1531" s="28" t="e">
        <f ca="1">_xludf.ifna(VLOOKUP(G1531,Proyectos!$A$2:$F$674,6,0),"")</f>
        <v>#NAME?</v>
      </c>
      <c r="G1531" s="26" t="s">
        <v>5329</v>
      </c>
      <c r="H1531" s="32">
        <v>1</v>
      </c>
      <c r="I1531" s="31" t="s">
        <v>18</v>
      </c>
      <c r="J1531" s="27" t="s">
        <v>12</v>
      </c>
      <c r="K1531" s="27"/>
      <c r="L1531" s="32" t="e">
        <f ca="1">_xludf.ifna(VLOOKUP(E1531,Parámetros!$D$2:$E$34,2,0),"")</f>
        <v>#NAME?</v>
      </c>
      <c r="M1531" s="32" t="e">
        <f ca="1">_xludf.ifna(VLOOKUP(G1531,Proyectos!$A$2:$T$674,20,0),"")</f>
        <v>#NAME?</v>
      </c>
      <c r="N1531" s="32" t="e">
        <f ca="1">_xludf.ifna(VLOOKUP(G1531,Proyectos!$A$2:$S$674,19,0))</f>
        <v>#NAME?</v>
      </c>
      <c r="O1531" s="32"/>
      <c r="P1531" s="31"/>
      <c r="Q1531" s="33"/>
      <c r="R1531" s="33"/>
      <c r="S1531" s="33"/>
      <c r="T1531" s="33"/>
      <c r="U1531" s="33"/>
      <c r="V1531" s="33"/>
      <c r="W1531" s="33"/>
    </row>
    <row r="1532" spans="1:23" ht="16.5" customHeight="1" x14ac:dyDescent="0.2">
      <c r="A1532" s="79" t="s">
        <v>4290</v>
      </c>
      <c r="B1532" s="35" t="s">
        <v>5525</v>
      </c>
      <c r="C1532" s="26" t="s">
        <v>98</v>
      </c>
      <c r="D1532" s="26" t="s">
        <v>107</v>
      </c>
      <c r="E1532" s="26" t="s">
        <v>87</v>
      </c>
      <c r="F1532" s="28" t="e">
        <f ca="1">_xludf.ifna(VLOOKUP(G1532,Proyectos!$A$2:$F$674,6,0),"")</f>
        <v>#NAME?</v>
      </c>
      <c r="G1532" s="26" t="s">
        <v>5329</v>
      </c>
      <c r="H1532" s="32">
        <v>1</v>
      </c>
      <c r="I1532" s="31" t="s">
        <v>18</v>
      </c>
      <c r="J1532" s="27" t="s">
        <v>19</v>
      </c>
      <c r="K1532" s="27"/>
      <c r="L1532" s="32" t="e">
        <f ca="1">_xludf.ifna(VLOOKUP(E1532,Parámetros!$D$2:$E$34,2,0),"")</f>
        <v>#NAME?</v>
      </c>
      <c r="M1532" s="32" t="e">
        <f ca="1">_xludf.ifna(VLOOKUP(G1532,Proyectos!$A$2:$T$674,20,0),"")</f>
        <v>#NAME?</v>
      </c>
      <c r="N1532" s="32" t="e">
        <f ca="1">_xludf.ifna(VLOOKUP(G1532,Proyectos!$A$2:$S$674,19,0))</f>
        <v>#NAME?</v>
      </c>
      <c r="O1532" s="31"/>
      <c r="P1532" s="31"/>
      <c r="Q1532" s="33"/>
      <c r="R1532" s="33"/>
      <c r="S1532" s="33"/>
      <c r="T1532" s="33"/>
      <c r="U1532" s="33"/>
      <c r="V1532" s="33"/>
      <c r="W1532" s="33"/>
    </row>
    <row r="1533" spans="1:23" ht="16.5" customHeight="1" x14ac:dyDescent="0.2">
      <c r="A1533" s="35" t="s">
        <v>4149</v>
      </c>
      <c r="B1533" s="35" t="s">
        <v>4150</v>
      </c>
      <c r="C1533" s="26" t="s">
        <v>98</v>
      </c>
      <c r="D1533" s="26" t="s">
        <v>107</v>
      </c>
      <c r="E1533" s="26" t="s">
        <v>129</v>
      </c>
      <c r="F1533" s="28" t="e">
        <f ca="1">_xludf.ifna(VLOOKUP(G1533,Proyectos!$A$2:$F$674,6,0),"")</f>
        <v>#NAME?</v>
      </c>
      <c r="G1533" s="26" t="s">
        <v>5329</v>
      </c>
      <c r="H1533" s="32">
        <v>1</v>
      </c>
      <c r="I1533" s="31" t="s">
        <v>18</v>
      </c>
      <c r="J1533" s="27" t="s">
        <v>19</v>
      </c>
      <c r="K1533" s="27"/>
      <c r="L1533" s="32" t="e">
        <f ca="1">_xludf.ifna(VLOOKUP(E1533,Parámetros!$D$2:$E$34,2,0),"")</f>
        <v>#NAME?</v>
      </c>
      <c r="M1533" s="32" t="e">
        <f ca="1">_xludf.ifna(VLOOKUP(G1533,Proyectos!$A$2:$T$674,20,0),"")</f>
        <v>#NAME?</v>
      </c>
      <c r="N1533" s="32" t="e">
        <f ca="1">_xludf.ifna(VLOOKUP(G1533,Proyectos!$A$2:$S$674,19,0))</f>
        <v>#NAME?</v>
      </c>
      <c r="O1533" s="31"/>
      <c r="P1533" s="31"/>
      <c r="Q1533" s="33"/>
      <c r="R1533" s="33"/>
      <c r="S1533" s="33"/>
      <c r="T1533" s="33"/>
      <c r="U1533" s="33"/>
      <c r="V1533" s="33"/>
      <c r="W1533" s="33"/>
    </row>
    <row r="1534" spans="1:23" ht="16.5" customHeight="1" x14ac:dyDescent="0.2">
      <c r="A1534" s="35" t="s">
        <v>4277</v>
      </c>
      <c r="B1534" s="35" t="s">
        <v>4278</v>
      </c>
      <c r="C1534" s="26" t="s">
        <v>98</v>
      </c>
      <c r="D1534" s="26" t="s">
        <v>107</v>
      </c>
      <c r="E1534" s="26" t="s">
        <v>87</v>
      </c>
      <c r="F1534" s="28" t="e">
        <f ca="1">_xludf.ifna(VLOOKUP(G1534,Proyectos!$A$2:$F$674,6,0),"")</f>
        <v>#NAME?</v>
      </c>
      <c r="G1534" s="26" t="s">
        <v>5329</v>
      </c>
      <c r="H1534" s="32">
        <v>1</v>
      </c>
      <c r="I1534" s="31" t="s">
        <v>18</v>
      </c>
      <c r="J1534" s="27" t="s">
        <v>26</v>
      </c>
      <c r="K1534" s="27"/>
      <c r="L1534" s="32" t="e">
        <f ca="1">_xludf.ifna(VLOOKUP(E1534,Parámetros!$D$2:$E$34,2,0),"")</f>
        <v>#NAME?</v>
      </c>
      <c r="M1534" s="32" t="e">
        <f ca="1">_xludf.ifna(VLOOKUP(G1534,Proyectos!$A$2:$T$674,20,0),"")</f>
        <v>#NAME?</v>
      </c>
      <c r="N1534" s="32" t="e">
        <f ca="1">_xludf.ifna(VLOOKUP(G1534,Proyectos!$A$2:$S$674,19,0))</f>
        <v>#NAME?</v>
      </c>
      <c r="O1534" s="32"/>
      <c r="P1534" s="31"/>
      <c r="Q1534" s="33"/>
      <c r="R1534" s="33"/>
      <c r="S1534" s="33"/>
      <c r="T1534" s="33"/>
      <c r="U1534" s="33"/>
      <c r="V1534" s="33"/>
      <c r="W1534" s="33"/>
    </row>
    <row r="1535" spans="1:23" ht="16.5" customHeight="1" x14ac:dyDescent="0.2">
      <c r="A1535" s="35" t="s">
        <v>4491</v>
      </c>
      <c r="B1535" s="35" t="s">
        <v>4492</v>
      </c>
      <c r="C1535" s="26" t="s">
        <v>98</v>
      </c>
      <c r="D1535" s="26" t="s">
        <v>107</v>
      </c>
      <c r="E1535" s="26" t="s">
        <v>114</v>
      </c>
      <c r="F1535" s="28" t="e">
        <f ca="1">_xludf.ifna(VLOOKUP(G1535,Proyectos!$A$2:$F$674,6,0),"")</f>
        <v>#NAME?</v>
      </c>
      <c r="G1535" s="29" t="s">
        <v>5114</v>
      </c>
      <c r="H1535" s="32">
        <v>1</v>
      </c>
      <c r="I1535" s="31" t="s">
        <v>32</v>
      </c>
      <c r="J1535" s="27" t="s">
        <v>41</v>
      </c>
      <c r="K1535" s="27"/>
      <c r="L1535" s="32" t="e">
        <f ca="1">_xludf.ifna(VLOOKUP(E1535,Parámetros!$D$2:$E$34,2,0),"")</f>
        <v>#NAME?</v>
      </c>
      <c r="M1535" s="32" t="e">
        <f ca="1">_xludf.ifna(VLOOKUP(G1535,Proyectos!$A$2:$T$674,20,0),"")</f>
        <v>#NAME?</v>
      </c>
      <c r="N1535" s="32" t="e">
        <f ca="1">_xludf.ifna(VLOOKUP(G1535,Proyectos!$A$2:$S$674,19,0))</f>
        <v>#NAME?</v>
      </c>
      <c r="O1535" s="32"/>
      <c r="P1535" s="31"/>
      <c r="Q1535" s="33"/>
      <c r="R1535" s="33"/>
      <c r="S1535" s="33"/>
      <c r="T1535" s="33"/>
      <c r="U1535" s="33"/>
      <c r="V1535" s="33"/>
      <c r="W1535" s="33"/>
    </row>
    <row r="1536" spans="1:23" ht="16.5" customHeight="1" x14ac:dyDescent="0.2">
      <c r="A1536" s="35" t="s">
        <v>4982</v>
      </c>
      <c r="B1536" s="35" t="s">
        <v>4983</v>
      </c>
      <c r="C1536" s="26" t="s">
        <v>98</v>
      </c>
      <c r="D1536" s="26" t="s">
        <v>107</v>
      </c>
      <c r="E1536" s="26" t="s">
        <v>87</v>
      </c>
      <c r="F1536" s="28" t="e">
        <f ca="1">_xludf.ifna(VLOOKUP(G1536,Proyectos!$A$2:$F$674,6,0),"")</f>
        <v>#NAME?</v>
      </c>
      <c r="G1536" s="29" t="s">
        <v>5114</v>
      </c>
      <c r="H1536" s="32">
        <v>1</v>
      </c>
      <c r="I1536" s="31" t="s">
        <v>32</v>
      </c>
      <c r="J1536" s="27" t="s">
        <v>41</v>
      </c>
      <c r="K1536" s="27"/>
      <c r="L1536" s="32" t="e">
        <f ca="1">_xludf.ifna(VLOOKUP(E1536,Parámetros!$D$2:$E$34,2,0),"")</f>
        <v>#NAME?</v>
      </c>
      <c r="M1536" s="32" t="e">
        <f ca="1">_xludf.ifna(VLOOKUP(G1536,Proyectos!$A$2:$T$674,20,0),"")</f>
        <v>#NAME?</v>
      </c>
      <c r="N1536" s="32" t="e">
        <f ca="1">_xludf.ifna(VLOOKUP(G1536,Proyectos!$A$2:$S$674,19,0))</f>
        <v>#NAME?</v>
      </c>
      <c r="O1536" s="32"/>
      <c r="P1536" s="31"/>
      <c r="Q1536" s="33"/>
      <c r="R1536" s="33"/>
      <c r="S1536" s="33"/>
      <c r="T1536" s="33"/>
      <c r="U1536" s="33"/>
      <c r="V1536" s="33"/>
      <c r="W1536" s="33"/>
    </row>
    <row r="1537" spans="1:23" ht="16.5" customHeight="1" x14ac:dyDescent="0.2">
      <c r="A1537" s="26" t="s">
        <v>4008</v>
      </c>
      <c r="B1537" s="26" t="s">
        <v>4009</v>
      </c>
      <c r="C1537" s="26" t="s">
        <v>98</v>
      </c>
      <c r="D1537" s="26" t="s">
        <v>107</v>
      </c>
      <c r="E1537" s="26" t="s">
        <v>108</v>
      </c>
      <c r="F1537" s="28" t="e">
        <f ca="1">_xludf.ifna(VLOOKUP(G1537,Proyectos!$A$2:$F$674,6,0),"")</f>
        <v>#NAME?</v>
      </c>
      <c r="G1537" s="29" t="s">
        <v>5114</v>
      </c>
      <c r="H1537" s="32">
        <v>0.5</v>
      </c>
      <c r="I1537" s="31" t="s">
        <v>32</v>
      </c>
      <c r="J1537" s="27" t="s">
        <v>41</v>
      </c>
      <c r="K1537" s="27"/>
      <c r="L1537" s="32" t="e">
        <f ca="1">_xludf.ifna(VLOOKUP(E1537,Parámetros!$D$2:$E$34,2,0),"")</f>
        <v>#NAME?</v>
      </c>
      <c r="M1537" s="32" t="e">
        <f ca="1">_xludf.ifna(VLOOKUP(G1537,Proyectos!$A$2:$T$674,20,0),"")</f>
        <v>#NAME?</v>
      </c>
      <c r="N1537" s="32" t="e">
        <f ca="1">_xludf.ifna(VLOOKUP(G1537,Proyectos!$A$2:$S$674,19,0))</f>
        <v>#NAME?</v>
      </c>
      <c r="O1537" s="32"/>
      <c r="P1537" s="31"/>
      <c r="Q1537" s="33"/>
      <c r="R1537" s="33"/>
      <c r="S1537" s="33"/>
      <c r="T1537" s="33"/>
      <c r="U1537" s="33"/>
      <c r="V1537" s="33"/>
      <c r="W1537" s="33"/>
    </row>
    <row r="1538" spans="1:23" ht="16.5" customHeight="1" x14ac:dyDescent="0.2">
      <c r="A1538" s="35" t="s">
        <v>4928</v>
      </c>
      <c r="B1538" s="35" t="s">
        <v>4929</v>
      </c>
      <c r="C1538" s="26" t="s">
        <v>98</v>
      </c>
      <c r="D1538" s="26" t="s">
        <v>107</v>
      </c>
      <c r="E1538" s="26" t="s">
        <v>87</v>
      </c>
      <c r="F1538" s="28" t="e">
        <f ca="1">_xludf.ifna(VLOOKUP(G1538,Proyectos!$A$2:$F$674,6,0),"")</f>
        <v>#NAME?</v>
      </c>
      <c r="G1538" s="26" t="s">
        <v>5329</v>
      </c>
      <c r="H1538" s="32">
        <v>1</v>
      </c>
      <c r="I1538" s="31" t="s">
        <v>18</v>
      </c>
      <c r="J1538" s="27" t="s">
        <v>26</v>
      </c>
      <c r="K1538" s="27"/>
      <c r="L1538" s="32" t="e">
        <f ca="1">_xludf.ifna(VLOOKUP(E1538,Parámetros!$D$2:$E$34,2,0),"")</f>
        <v>#NAME?</v>
      </c>
      <c r="M1538" s="32" t="e">
        <f ca="1">_xludf.ifna(VLOOKUP(G1538,Proyectos!$A$2:$T$674,20,0),"")</f>
        <v>#NAME?</v>
      </c>
      <c r="N1538" s="32" t="e">
        <f ca="1">_xludf.ifna(VLOOKUP(G1538,Proyectos!$A$2:$S$674,19,0))</f>
        <v>#NAME?</v>
      </c>
      <c r="O1538" s="32"/>
      <c r="P1538" s="31"/>
      <c r="Q1538" s="33"/>
      <c r="R1538" s="33"/>
      <c r="S1538" s="33"/>
      <c r="T1538" s="33"/>
      <c r="U1538" s="33"/>
      <c r="V1538" s="33"/>
      <c r="W1538" s="33"/>
    </row>
    <row r="1539" spans="1:23" ht="16.5" customHeight="1" x14ac:dyDescent="0.25">
      <c r="A1539" s="76" t="s">
        <v>4533</v>
      </c>
      <c r="B1539" s="76" t="s">
        <v>5440</v>
      </c>
      <c r="C1539" s="66" t="s">
        <v>37</v>
      </c>
      <c r="D1539" s="35" t="s">
        <v>52</v>
      </c>
      <c r="E1539" s="76" t="s">
        <v>53</v>
      </c>
      <c r="F1539" s="28" t="e">
        <f ca="1">_xludf.ifna(VLOOKUP(G1539,Proyectos!$A$2:$F$674,6,0),"")</f>
        <v>#NAME?</v>
      </c>
      <c r="G1539" s="29" t="s">
        <v>5114</v>
      </c>
      <c r="H1539" s="68">
        <v>0.4</v>
      </c>
      <c r="I1539" s="76" t="s">
        <v>11</v>
      </c>
      <c r="J1539" s="95"/>
      <c r="K1539" s="95" t="s">
        <v>40</v>
      </c>
      <c r="L1539" s="32" t="e">
        <f ca="1">_xludf.ifna(VLOOKUP(E1539,Parámetros!$D$2:$E$34,2,0),"")</f>
        <v>#NAME?</v>
      </c>
      <c r="M1539" s="32" t="e">
        <f ca="1">_xludf.ifna(VLOOKUP(G1539,Proyectos!$A$2:$T$674,20,0),"")</f>
        <v>#NAME?</v>
      </c>
      <c r="N1539" s="32" t="e">
        <f ca="1">_xludf.ifna(VLOOKUP(G1539,Proyectos!$A$2:$S$674,19,0))</f>
        <v>#NAME?</v>
      </c>
      <c r="O1539" s="32"/>
      <c r="P1539" s="31"/>
      <c r="Q1539" s="33"/>
      <c r="R1539" s="33"/>
      <c r="S1539" s="33"/>
      <c r="T1539" s="33"/>
      <c r="U1539" s="33"/>
      <c r="V1539" s="33"/>
      <c r="W1539" s="33"/>
    </row>
    <row r="1540" spans="1:23" ht="16.5" customHeight="1" x14ac:dyDescent="0.2">
      <c r="A1540" s="26" t="s">
        <v>3928</v>
      </c>
      <c r="B1540" s="26" t="s">
        <v>3929</v>
      </c>
      <c r="C1540" s="66" t="s">
        <v>37</v>
      </c>
      <c r="D1540" s="27" t="s">
        <v>38</v>
      </c>
      <c r="E1540" s="27" t="s">
        <v>87</v>
      </c>
      <c r="F1540" s="28" t="e">
        <f ca="1">_xludf.ifna(VLOOKUP(G1540,Proyectos!$A$2:$F$674,6,0),"")</f>
        <v>#NAME?</v>
      </c>
      <c r="G1540" s="26" t="s">
        <v>5346</v>
      </c>
      <c r="H1540" s="32">
        <v>0.25</v>
      </c>
      <c r="I1540" s="31" t="s">
        <v>25</v>
      </c>
      <c r="J1540" s="31" t="s">
        <v>72</v>
      </c>
      <c r="K1540" s="32"/>
      <c r="L1540" s="32" t="e">
        <f ca="1">_xludf.ifna(VLOOKUP(E1540,Parámetros!$D$2:$E$34,2,0),"")</f>
        <v>#NAME?</v>
      </c>
      <c r="M1540" s="32" t="e">
        <f ca="1">_xludf.ifna(VLOOKUP(G1540,Proyectos!$A$2:$T$674,20,0),"")</f>
        <v>#NAME?</v>
      </c>
      <c r="N1540" s="32" t="e">
        <f ca="1">_xludf.ifna(VLOOKUP(G1540,Proyectos!$A$2:$S$674,19,0))</f>
        <v>#NAME?</v>
      </c>
      <c r="O1540" s="32"/>
      <c r="P1540" s="31"/>
      <c r="Q1540" s="33"/>
      <c r="R1540" s="33"/>
      <c r="S1540" s="33"/>
      <c r="T1540" s="33"/>
      <c r="U1540" s="33"/>
      <c r="V1540" s="33"/>
      <c r="W1540" s="33"/>
    </row>
    <row r="1541" spans="1:23" ht="16.5" customHeight="1" x14ac:dyDescent="0.2">
      <c r="A1541" s="26" t="s">
        <v>3928</v>
      </c>
      <c r="B1541" s="26" t="s">
        <v>3929</v>
      </c>
      <c r="C1541" s="66" t="s">
        <v>37</v>
      </c>
      <c r="D1541" s="27" t="s">
        <v>38</v>
      </c>
      <c r="E1541" s="27" t="s">
        <v>87</v>
      </c>
      <c r="F1541" s="28" t="e">
        <f ca="1">_xludf.ifna(VLOOKUP(G1541,Proyectos!$A$2:$F$674,6,0),"")</f>
        <v>#NAME?</v>
      </c>
      <c r="G1541" s="26" t="s">
        <v>5343</v>
      </c>
      <c r="H1541" s="32">
        <v>0.25</v>
      </c>
      <c r="I1541" s="31" t="s">
        <v>25</v>
      </c>
      <c r="J1541" s="31" t="s">
        <v>72</v>
      </c>
      <c r="K1541" s="32"/>
      <c r="L1541" s="32" t="e">
        <f ca="1">_xludf.ifna(VLOOKUP(E1541,Parámetros!$D$2:$E$34,2,0),"")</f>
        <v>#NAME?</v>
      </c>
      <c r="M1541" s="32" t="e">
        <f ca="1">_xludf.ifna(VLOOKUP(G1541,Proyectos!$A$2:$T$674,20,0),"")</f>
        <v>#NAME?</v>
      </c>
      <c r="N1541" s="32" t="e">
        <f ca="1">_xludf.ifna(VLOOKUP(G1541,Proyectos!$A$2:$S$674,19,0))</f>
        <v>#NAME?</v>
      </c>
      <c r="O1541" s="32"/>
      <c r="P1541" s="31"/>
      <c r="Q1541" s="33"/>
      <c r="R1541" s="33"/>
      <c r="S1541" s="33"/>
      <c r="T1541" s="33"/>
      <c r="U1541" s="33"/>
      <c r="V1541" s="33"/>
      <c r="W1541" s="33"/>
    </row>
    <row r="1542" spans="1:23" ht="16.5" customHeight="1" x14ac:dyDescent="0.2">
      <c r="A1542" s="26" t="s">
        <v>3928</v>
      </c>
      <c r="B1542" s="26" t="s">
        <v>3929</v>
      </c>
      <c r="C1542" s="66" t="s">
        <v>37</v>
      </c>
      <c r="D1542" s="27" t="s">
        <v>38</v>
      </c>
      <c r="E1542" s="27" t="s">
        <v>87</v>
      </c>
      <c r="F1542" s="28" t="e">
        <f ca="1">_xludf.ifna(VLOOKUP(G1542,Proyectos!$A$2:$F$674,6,0),"")</f>
        <v>#NAME?</v>
      </c>
      <c r="G1542" s="29" t="s">
        <v>5114</v>
      </c>
      <c r="H1542" s="32">
        <v>0.5</v>
      </c>
      <c r="I1542" s="31" t="s">
        <v>25</v>
      </c>
      <c r="J1542" s="31" t="s">
        <v>72</v>
      </c>
      <c r="K1542" s="32"/>
      <c r="L1542" s="32" t="e">
        <f ca="1">_xludf.ifna(VLOOKUP(E1542,Parámetros!$D$2:$E$34,2,0),"")</f>
        <v>#NAME?</v>
      </c>
      <c r="M1542" s="32" t="e">
        <f ca="1">_xludf.ifna(VLOOKUP(G1542,Proyectos!$A$2:$T$674,20,0),"")</f>
        <v>#NAME?</v>
      </c>
      <c r="N1542" s="32" t="e">
        <f ca="1">_xludf.ifna(VLOOKUP(G1542,Proyectos!$A$2:$S$674,19,0))</f>
        <v>#NAME?</v>
      </c>
      <c r="O1542" s="32"/>
      <c r="P1542" s="31"/>
      <c r="Q1542" s="33"/>
      <c r="R1542" s="33"/>
      <c r="S1542" s="33"/>
      <c r="T1542" s="33"/>
      <c r="U1542" s="33"/>
      <c r="V1542" s="33"/>
      <c r="W1542" s="33"/>
    </row>
    <row r="1543" spans="1:23" ht="16.5" customHeight="1" x14ac:dyDescent="0.2">
      <c r="A1543" s="26" t="s">
        <v>3937</v>
      </c>
      <c r="B1543" s="26" t="s">
        <v>3938</v>
      </c>
      <c r="C1543" s="66" t="s">
        <v>37</v>
      </c>
      <c r="D1543" s="27" t="s">
        <v>38</v>
      </c>
      <c r="E1543" s="27" t="s">
        <v>129</v>
      </c>
      <c r="F1543" s="28" t="e">
        <f ca="1">_xludf.ifna(VLOOKUP(G1543,Proyectos!$A$2:$F$674,6,0),"")</f>
        <v>#NAME?</v>
      </c>
      <c r="G1543" s="26" t="s">
        <v>5345</v>
      </c>
      <c r="H1543" s="32">
        <v>1</v>
      </c>
      <c r="I1543" s="31" t="s">
        <v>18</v>
      </c>
      <c r="J1543" s="31" t="s">
        <v>61</v>
      </c>
      <c r="K1543" s="32"/>
      <c r="L1543" s="32" t="e">
        <f ca="1">_xludf.ifna(VLOOKUP(E1543,Parámetros!$D$2:$E$34,2,0),"")</f>
        <v>#NAME?</v>
      </c>
      <c r="M1543" s="32" t="e">
        <f ca="1">_xludf.ifna(VLOOKUP(G1543,Proyectos!$A$2:$T$674,20,0),"")</f>
        <v>#NAME?</v>
      </c>
      <c r="N1543" s="32" t="e">
        <f ca="1">_xludf.ifna(VLOOKUP(G1543,Proyectos!$A$2:$S$674,19,0))</f>
        <v>#NAME?</v>
      </c>
      <c r="O1543" s="32"/>
      <c r="P1543" s="31"/>
      <c r="Q1543" s="33"/>
      <c r="R1543" s="33"/>
      <c r="S1543" s="33"/>
      <c r="T1543" s="33"/>
      <c r="U1543" s="33"/>
      <c r="V1543" s="33"/>
      <c r="W1543" s="33"/>
    </row>
    <row r="1544" spans="1:23" ht="16.5" customHeight="1" x14ac:dyDescent="0.2">
      <c r="A1544" s="26" t="s">
        <v>4084</v>
      </c>
      <c r="B1544" s="26" t="s">
        <v>4085</v>
      </c>
      <c r="C1544" s="66" t="s">
        <v>37</v>
      </c>
      <c r="D1544" s="27" t="s">
        <v>38</v>
      </c>
      <c r="E1544" s="27" t="s">
        <v>129</v>
      </c>
      <c r="F1544" s="28" t="e">
        <f ca="1">_xludf.ifna(VLOOKUP(G1544,Proyectos!$A$2:$F$674,6,0),"")</f>
        <v>#NAME?</v>
      </c>
      <c r="G1544" s="26" t="s">
        <v>5345</v>
      </c>
      <c r="H1544" s="32">
        <v>1</v>
      </c>
      <c r="I1544" s="31" t="s">
        <v>18</v>
      </c>
      <c r="J1544" s="31" t="s">
        <v>61</v>
      </c>
      <c r="K1544" s="32"/>
      <c r="L1544" s="32" t="e">
        <f ca="1">_xludf.ifna(VLOOKUP(E1544,Parámetros!$D$2:$E$34,2,0),"")</f>
        <v>#NAME?</v>
      </c>
      <c r="M1544" s="32" t="e">
        <f ca="1">_xludf.ifna(VLOOKUP(G1544,Proyectos!$A$2:$T$674,20,0),"")</f>
        <v>#NAME?</v>
      </c>
      <c r="N1544" s="32" t="e">
        <f ca="1">_xludf.ifna(VLOOKUP(G1544,Proyectos!$A$2:$S$674,19,0))</f>
        <v>#NAME?</v>
      </c>
      <c r="O1544" s="32"/>
      <c r="P1544" s="31"/>
      <c r="Q1544" s="33"/>
      <c r="R1544" s="33"/>
      <c r="S1544" s="33"/>
      <c r="T1544" s="33"/>
      <c r="U1544" s="33"/>
      <c r="V1544" s="33"/>
      <c r="W1544" s="33"/>
    </row>
    <row r="1545" spans="1:23" ht="16.5" customHeight="1" x14ac:dyDescent="0.2">
      <c r="A1545" s="26" t="s">
        <v>5004</v>
      </c>
      <c r="B1545" s="26" t="s">
        <v>5005</v>
      </c>
      <c r="C1545" s="66" t="s">
        <v>37</v>
      </c>
      <c r="D1545" s="27" t="s">
        <v>38</v>
      </c>
      <c r="E1545" s="26" t="s">
        <v>9</v>
      </c>
      <c r="F1545" s="28" t="e">
        <f ca="1">_xludf.ifna(VLOOKUP(G1545,Proyectos!$A$2:$F$674,6,0),"")</f>
        <v>#NAME?</v>
      </c>
      <c r="G1545" s="29" t="s">
        <v>5114</v>
      </c>
      <c r="H1545" s="32">
        <v>1</v>
      </c>
      <c r="I1545" s="31" t="s">
        <v>18</v>
      </c>
      <c r="J1545" s="31" t="s">
        <v>41</v>
      </c>
      <c r="K1545" s="32"/>
      <c r="L1545" s="32" t="e">
        <f ca="1">_xludf.ifna(VLOOKUP(E1545,Parámetros!$D$2:$E$34,2,0),"")</f>
        <v>#NAME?</v>
      </c>
      <c r="M1545" s="32" t="e">
        <f ca="1">_xludf.ifna(VLOOKUP(G1545,Proyectos!$A$2:$T$674,20,0),"")</f>
        <v>#NAME?</v>
      </c>
      <c r="N1545" s="32" t="e">
        <f ca="1">_xludf.ifna(VLOOKUP(G1545,Proyectos!$A$2:$S$674,19,0))</f>
        <v>#NAME?</v>
      </c>
      <c r="O1545" s="31"/>
      <c r="P1545" s="31"/>
      <c r="Q1545" s="33"/>
      <c r="R1545" s="33"/>
      <c r="S1545" s="33"/>
      <c r="T1545" s="33"/>
      <c r="U1545" s="33"/>
      <c r="V1545" s="33"/>
      <c r="W1545" s="33"/>
    </row>
    <row r="1546" spans="1:23" ht="16.5" customHeight="1" x14ac:dyDescent="0.2">
      <c r="A1546" s="26" t="s">
        <v>4425</v>
      </c>
      <c r="B1546" s="26" t="s">
        <v>4426</v>
      </c>
      <c r="C1546" s="26" t="s">
        <v>37</v>
      </c>
      <c r="D1546" s="27" t="s">
        <v>38</v>
      </c>
      <c r="E1546" s="27" t="s">
        <v>9</v>
      </c>
      <c r="F1546" s="28" t="e">
        <f ca="1">_xludf.ifna(VLOOKUP(G1546,Proyectos!$A$2:$F$674,6,0),"")</f>
        <v>#NAME?</v>
      </c>
      <c r="G1546" s="26" t="s">
        <v>5337</v>
      </c>
      <c r="H1546" s="32">
        <v>0.2</v>
      </c>
      <c r="I1546" s="31" t="s">
        <v>18</v>
      </c>
      <c r="J1546" s="31" t="s">
        <v>41</v>
      </c>
      <c r="K1546" s="32"/>
      <c r="L1546" s="32" t="e">
        <f ca="1">_xludf.ifna(VLOOKUP(E1546,Parámetros!$D$2:$E$34,2,0),"")</f>
        <v>#NAME?</v>
      </c>
      <c r="M1546" s="32" t="e">
        <f ca="1">_xludf.ifna(VLOOKUP(G1546,Proyectos!$A$2:$T$674,20,0),"")</f>
        <v>#NAME?</v>
      </c>
      <c r="N1546" s="32" t="e">
        <f ca="1">_xludf.ifna(VLOOKUP(G1546,Proyectos!$A$2:$S$674,19,0))</f>
        <v>#NAME?</v>
      </c>
      <c r="O1546" s="31"/>
      <c r="P1546" s="31"/>
      <c r="Q1546" s="33"/>
      <c r="R1546" s="33"/>
      <c r="S1546" s="33"/>
      <c r="T1546" s="33"/>
      <c r="U1546" s="33"/>
      <c r="V1546" s="33"/>
      <c r="W1546" s="33"/>
    </row>
    <row r="1547" spans="1:23" ht="16.5" customHeight="1" x14ac:dyDescent="0.2">
      <c r="A1547" s="26" t="s">
        <v>4310</v>
      </c>
      <c r="B1547" s="26" t="s">
        <v>4311</v>
      </c>
      <c r="C1547" s="26" t="s">
        <v>37</v>
      </c>
      <c r="D1547" s="27" t="s">
        <v>38</v>
      </c>
      <c r="E1547" s="27" t="s">
        <v>9</v>
      </c>
      <c r="F1547" s="28" t="e">
        <f ca="1">_xludf.ifna(VLOOKUP(G1547,Proyectos!$A$2:$F$674,6,0),"")</f>
        <v>#NAME?</v>
      </c>
      <c r="G1547" s="26" t="s">
        <v>5337</v>
      </c>
      <c r="H1547" s="32">
        <v>0.2</v>
      </c>
      <c r="I1547" s="31" t="s">
        <v>18</v>
      </c>
      <c r="J1547" s="31" t="s">
        <v>41</v>
      </c>
      <c r="K1547" s="32"/>
      <c r="L1547" s="32" t="e">
        <f ca="1">_xludf.ifna(VLOOKUP(E1547,Parámetros!$D$2:$E$34,2,0),"")</f>
        <v>#NAME?</v>
      </c>
      <c r="M1547" s="32" t="e">
        <f ca="1">_xludf.ifna(VLOOKUP(G1547,Proyectos!$A$2:$T$674,20,0),"")</f>
        <v>#NAME?</v>
      </c>
      <c r="N1547" s="32" t="e">
        <f ca="1">_xludf.ifna(VLOOKUP(G1547,Proyectos!$A$2:$S$674,19,0))</f>
        <v>#NAME?</v>
      </c>
      <c r="O1547" s="31"/>
      <c r="P1547" s="31"/>
      <c r="Q1547" s="33"/>
      <c r="R1547" s="33"/>
      <c r="S1547" s="33"/>
      <c r="T1547" s="33"/>
      <c r="U1547" s="33"/>
      <c r="V1547" s="33"/>
      <c r="W1547" s="33"/>
    </row>
    <row r="1548" spans="1:23" ht="16.5" customHeight="1" x14ac:dyDescent="0.2">
      <c r="A1548" s="26" t="s">
        <v>4907</v>
      </c>
      <c r="B1548" s="26" t="s">
        <v>4908</v>
      </c>
      <c r="C1548" s="26" t="s">
        <v>37</v>
      </c>
      <c r="D1548" s="27" t="s">
        <v>38</v>
      </c>
      <c r="E1548" s="27" t="s">
        <v>9</v>
      </c>
      <c r="F1548" s="28" t="e">
        <f ca="1">_xludf.ifna(VLOOKUP(G1548,Proyectos!$A$2:$F$674,6,0),"")</f>
        <v>#NAME?</v>
      </c>
      <c r="G1548" s="26" t="s">
        <v>5337</v>
      </c>
      <c r="H1548" s="32">
        <v>0.2</v>
      </c>
      <c r="I1548" s="31" t="s">
        <v>18</v>
      </c>
      <c r="J1548" s="31" t="s">
        <v>41</v>
      </c>
      <c r="K1548" s="32"/>
      <c r="L1548" s="32" t="e">
        <f ca="1">_xludf.ifna(VLOOKUP(E1548,Parámetros!$D$2:$E$34,2,0),"")</f>
        <v>#NAME?</v>
      </c>
      <c r="M1548" s="32" t="e">
        <f ca="1">_xludf.ifna(VLOOKUP(G1548,Proyectos!$A$2:$T$674,20,0),"")</f>
        <v>#NAME?</v>
      </c>
      <c r="N1548" s="32" t="e">
        <f ca="1">_xludf.ifna(VLOOKUP(G1548,Proyectos!$A$2:$S$674,19,0))</f>
        <v>#NAME?</v>
      </c>
      <c r="O1548" s="31"/>
      <c r="P1548" s="31"/>
      <c r="Q1548" s="33"/>
      <c r="R1548" s="33"/>
      <c r="S1548" s="33"/>
      <c r="T1548" s="33"/>
      <c r="U1548" s="33"/>
      <c r="V1548" s="33"/>
      <c r="W1548" s="33"/>
    </row>
    <row r="1549" spans="1:23" ht="16.5" customHeight="1" x14ac:dyDescent="0.2">
      <c r="A1549" s="26" t="s">
        <v>4247</v>
      </c>
      <c r="B1549" s="26" t="s">
        <v>4248</v>
      </c>
      <c r="C1549" s="66" t="s">
        <v>37</v>
      </c>
      <c r="D1549" s="27" t="s">
        <v>38</v>
      </c>
      <c r="E1549" s="66" t="s">
        <v>87</v>
      </c>
      <c r="F1549" s="28" t="e">
        <f ca="1">_xludf.ifna(VLOOKUP(G1549,Proyectos!$A$2:$F$674,6,0),"")</f>
        <v>#NAME?</v>
      </c>
      <c r="G1549" s="29" t="s">
        <v>5114</v>
      </c>
      <c r="H1549" s="32">
        <v>0.5</v>
      </c>
      <c r="I1549" s="31" t="s">
        <v>25</v>
      </c>
      <c r="J1549" s="31" t="s">
        <v>41</v>
      </c>
      <c r="K1549" s="69"/>
      <c r="L1549" s="32" t="e">
        <f ca="1">_xludf.ifna(VLOOKUP(E1549,Parámetros!$D$2:$E$34,2,0),"")</f>
        <v>#NAME?</v>
      </c>
      <c r="M1549" s="32" t="e">
        <f ca="1">_xludf.ifna(VLOOKUP(G1549,Proyectos!$A$2:$T$674,20,0),"")</f>
        <v>#NAME?</v>
      </c>
      <c r="N1549" s="32" t="e">
        <f ca="1">_xludf.ifna(VLOOKUP(G1549,Proyectos!$A$2:$S$674,19,0))</f>
        <v>#NAME?</v>
      </c>
      <c r="O1549" s="31"/>
      <c r="P1549" s="31"/>
      <c r="Q1549" s="33"/>
      <c r="R1549" s="33"/>
      <c r="S1549" s="33"/>
      <c r="T1549" s="33"/>
      <c r="U1549" s="33"/>
      <c r="V1549" s="33"/>
      <c r="W1549" s="33"/>
    </row>
    <row r="1550" spans="1:23" ht="16.5" customHeight="1" x14ac:dyDescent="0.2">
      <c r="A1550" s="26" t="s">
        <v>4247</v>
      </c>
      <c r="B1550" s="26" t="s">
        <v>5014</v>
      </c>
      <c r="C1550" s="66" t="s">
        <v>37</v>
      </c>
      <c r="D1550" s="27" t="s">
        <v>38</v>
      </c>
      <c r="E1550" s="66" t="s">
        <v>87</v>
      </c>
      <c r="F1550" s="28" t="e">
        <f ca="1">_xludf.ifna(VLOOKUP(G1550,Proyectos!$A$2:$F$674,6,0),"")</f>
        <v>#NAME?</v>
      </c>
      <c r="G1550" s="29" t="s">
        <v>5114</v>
      </c>
      <c r="H1550" s="32">
        <v>0.5</v>
      </c>
      <c r="I1550" s="31" t="s">
        <v>25</v>
      </c>
      <c r="J1550" s="31" t="s">
        <v>41</v>
      </c>
      <c r="K1550" s="69"/>
      <c r="L1550" s="32" t="e">
        <f ca="1">_xludf.ifna(VLOOKUP(E1550,Parámetros!$D$2:$E$34,2,0),"")</f>
        <v>#NAME?</v>
      </c>
      <c r="M1550" s="32" t="e">
        <f ca="1">_xludf.ifna(VLOOKUP(G1550,Proyectos!$A$2:$T$674,20,0),"")</f>
        <v>#NAME?</v>
      </c>
      <c r="N1550" s="32" t="e">
        <f ca="1">_xludf.ifna(VLOOKUP(G1550,Proyectos!$A$2:$S$674,19,0))</f>
        <v>#NAME?</v>
      </c>
      <c r="O1550" s="31"/>
      <c r="P1550" s="31"/>
      <c r="Q1550" s="33"/>
      <c r="R1550" s="33"/>
      <c r="S1550" s="33"/>
      <c r="T1550" s="33"/>
      <c r="U1550" s="33"/>
      <c r="V1550" s="33"/>
      <c r="W1550" s="33"/>
    </row>
    <row r="1551" spans="1:23" ht="16.5" customHeight="1" x14ac:dyDescent="0.2">
      <c r="A1551" s="35" t="s">
        <v>3866</v>
      </c>
      <c r="B1551" s="35" t="s">
        <v>3867</v>
      </c>
      <c r="C1551" s="35" t="s">
        <v>115</v>
      </c>
      <c r="D1551" s="35" t="s">
        <v>125</v>
      </c>
      <c r="E1551" s="35" t="s">
        <v>39</v>
      </c>
      <c r="F1551" s="28" t="e">
        <f ca="1">_xludf.ifna(VLOOKUP(G1551,Proyectos!$A$2:$F$674,6,0),"")</f>
        <v>#NAME?</v>
      </c>
      <c r="G1551" s="29" t="s">
        <v>5526</v>
      </c>
      <c r="H1551" s="100">
        <v>1</v>
      </c>
      <c r="I1551" s="30" t="s">
        <v>18</v>
      </c>
      <c r="J1551" s="31" t="s">
        <v>19</v>
      </c>
      <c r="K1551" s="55" t="s">
        <v>3482</v>
      </c>
      <c r="L1551" s="32" t="e">
        <f ca="1">_xludf.ifna(VLOOKUP(E1551,Parámetros!$D$2:$E$34,2,0),"")</f>
        <v>#NAME?</v>
      </c>
      <c r="M1551" s="32" t="e">
        <f ca="1">_xludf.ifna(VLOOKUP(G1551,Proyectos!$A$2:$T$674,20,0),"")</f>
        <v>#NAME?</v>
      </c>
      <c r="N1551" s="32" t="e">
        <f ca="1">_xludf.ifna(VLOOKUP(G1551,Proyectos!$A$2:$S$674,19,0))</f>
        <v>#NAME?</v>
      </c>
      <c r="O1551" s="32"/>
      <c r="P1551" s="32"/>
      <c r="Q1551" s="33"/>
      <c r="R1551" s="33"/>
      <c r="S1551" s="33"/>
      <c r="T1551" s="63" t="e">
        <f>IF(B1551=#REF!,0,1)</f>
        <v>#REF!</v>
      </c>
      <c r="U1551" s="33"/>
      <c r="V1551" s="33"/>
      <c r="W1551" s="33"/>
    </row>
    <row r="1552" spans="1:23" ht="16.5" customHeight="1" x14ac:dyDescent="0.2">
      <c r="A1552" s="35" t="s">
        <v>4713</v>
      </c>
      <c r="B1552" s="35" t="s">
        <v>4714</v>
      </c>
      <c r="C1552" s="35" t="s">
        <v>115</v>
      </c>
      <c r="D1552" s="35" t="s">
        <v>125</v>
      </c>
      <c r="E1552" s="35" t="s">
        <v>39</v>
      </c>
      <c r="F1552" s="28" t="e">
        <f ca="1">_xludf.ifna(VLOOKUP(G1552,Proyectos!$A$2:$F$674,6,0),"")</f>
        <v>#NAME?</v>
      </c>
      <c r="G1552" s="29" t="s">
        <v>5526</v>
      </c>
      <c r="H1552" s="30">
        <v>1</v>
      </c>
      <c r="I1552" s="30" t="s">
        <v>18</v>
      </c>
      <c r="J1552" s="31" t="s">
        <v>12</v>
      </c>
      <c r="K1552" s="55" t="s">
        <v>3482</v>
      </c>
      <c r="L1552" s="32" t="e">
        <f ca="1">_xludf.ifna(VLOOKUP(E1552,Parámetros!$D$2:$E$34,2,0),"")</f>
        <v>#NAME?</v>
      </c>
      <c r="M1552" s="32" t="e">
        <f ca="1">_xludf.ifna(VLOOKUP(G1552,Proyectos!$A$2:$T$674,20,0),"")</f>
        <v>#NAME?</v>
      </c>
      <c r="N1552" s="32" t="e">
        <f ca="1">_xludf.ifna(VLOOKUP(G1552,Proyectos!$A$2:$S$674,19,0))</f>
        <v>#NAME?</v>
      </c>
      <c r="O1552" s="32"/>
      <c r="P1552" s="32"/>
      <c r="Q1552" s="33"/>
      <c r="R1552" s="33"/>
      <c r="S1552" s="33"/>
      <c r="T1552" s="63">
        <f t="shared" ref="T1552:T1566" si="13">IF(B1552=B1551,0,1)</f>
        <v>1</v>
      </c>
      <c r="U1552" s="33"/>
      <c r="V1552" s="33"/>
      <c r="W1552" s="33"/>
    </row>
    <row r="1553" spans="1:23" ht="16.5" customHeight="1" x14ac:dyDescent="0.2">
      <c r="A1553" s="35" t="s">
        <v>3480</v>
      </c>
      <c r="B1553" s="35" t="s">
        <v>3481</v>
      </c>
      <c r="C1553" s="35" t="s">
        <v>115</v>
      </c>
      <c r="D1553" s="35" t="s">
        <v>125</v>
      </c>
      <c r="E1553" s="35" t="s">
        <v>39</v>
      </c>
      <c r="F1553" s="28" t="e">
        <f ca="1">_xludf.ifna(VLOOKUP(G1553,Proyectos!$A$2:$F$674,6,0),"")</f>
        <v>#NAME?</v>
      </c>
      <c r="G1553" s="29" t="s">
        <v>5526</v>
      </c>
      <c r="H1553" s="30">
        <v>1</v>
      </c>
      <c r="I1553" s="30" t="s">
        <v>18</v>
      </c>
      <c r="J1553" s="31" t="s">
        <v>12</v>
      </c>
      <c r="K1553" s="55" t="s">
        <v>3482</v>
      </c>
      <c r="L1553" s="32" t="e">
        <f ca="1">_xludf.ifna(VLOOKUP(E1553,Parámetros!$D$2:$E$34,2,0),"")</f>
        <v>#NAME?</v>
      </c>
      <c r="M1553" s="32" t="e">
        <f ca="1">_xludf.ifna(VLOOKUP(G1553,Proyectos!$A$2:$T$674,20,0),"")</f>
        <v>#NAME?</v>
      </c>
      <c r="N1553" s="32" t="e">
        <f ca="1">_xludf.ifna(VLOOKUP(G1553,Proyectos!$A$2:$S$674,19,0))</f>
        <v>#NAME?</v>
      </c>
      <c r="O1553" s="32"/>
      <c r="P1553" s="32"/>
      <c r="Q1553" s="33"/>
      <c r="R1553" s="33"/>
      <c r="S1553" s="33"/>
      <c r="T1553" s="63">
        <f t="shared" si="13"/>
        <v>1</v>
      </c>
      <c r="U1553" s="33"/>
      <c r="V1553" s="33"/>
      <c r="W1553" s="33"/>
    </row>
    <row r="1554" spans="1:23" ht="16.5" customHeight="1" x14ac:dyDescent="0.2">
      <c r="A1554" s="35" t="s">
        <v>4808</v>
      </c>
      <c r="B1554" s="35" t="s">
        <v>4809</v>
      </c>
      <c r="C1554" s="35" t="s">
        <v>115</v>
      </c>
      <c r="D1554" s="35" t="s">
        <v>125</v>
      </c>
      <c r="E1554" s="35" t="s">
        <v>39</v>
      </c>
      <c r="F1554" s="28" t="e">
        <f ca="1">_xludf.ifna(VLOOKUP(G1554,Proyectos!$A$2:$F$674,6,0),"")</f>
        <v>#NAME?</v>
      </c>
      <c r="G1554" s="29" t="s">
        <v>5248</v>
      </c>
      <c r="H1554" s="30">
        <v>0.8</v>
      </c>
      <c r="I1554" s="30" t="s">
        <v>18</v>
      </c>
      <c r="J1554" s="31" t="s">
        <v>41</v>
      </c>
      <c r="K1554" s="55" t="s">
        <v>4810</v>
      </c>
      <c r="L1554" s="32" t="e">
        <f ca="1">_xludf.ifna(VLOOKUP(E1554,Parámetros!$D$2:$E$34,2,0),"")</f>
        <v>#NAME?</v>
      </c>
      <c r="M1554" s="32" t="e">
        <f ca="1">_xludf.ifna(VLOOKUP(G1554,Proyectos!$A$2:$T$674,20,0),"")</f>
        <v>#NAME?</v>
      </c>
      <c r="N1554" s="32" t="e">
        <f ca="1">_xludf.ifna(VLOOKUP(G1554,Proyectos!$A$2:$S$674,19,0))</f>
        <v>#NAME?</v>
      </c>
      <c r="O1554" s="32"/>
      <c r="P1554" s="32"/>
      <c r="Q1554" s="33"/>
      <c r="R1554" s="33"/>
      <c r="S1554" s="33"/>
      <c r="T1554" s="63">
        <f t="shared" si="13"/>
        <v>1</v>
      </c>
      <c r="U1554" s="33"/>
      <c r="V1554" s="33"/>
      <c r="W1554" s="33"/>
    </row>
    <row r="1555" spans="1:23" ht="16.5" customHeight="1" x14ac:dyDescent="0.2">
      <c r="A1555" s="35" t="s">
        <v>4808</v>
      </c>
      <c r="B1555" s="35" t="s">
        <v>4809</v>
      </c>
      <c r="C1555" s="35" t="s">
        <v>115</v>
      </c>
      <c r="D1555" s="35" t="s">
        <v>125</v>
      </c>
      <c r="E1555" s="35" t="s">
        <v>39</v>
      </c>
      <c r="F1555" s="28" t="e">
        <f ca="1">_xludf.ifna(VLOOKUP(G1555,Proyectos!$A$2:$F$674,6,0),"")</f>
        <v>#NAME?</v>
      </c>
      <c r="G1555" s="29" t="s">
        <v>5114</v>
      </c>
      <c r="H1555" s="30">
        <v>0.1</v>
      </c>
      <c r="I1555" s="30" t="s">
        <v>18</v>
      </c>
      <c r="J1555" s="31" t="s">
        <v>41</v>
      </c>
      <c r="K1555" s="55" t="s">
        <v>5527</v>
      </c>
      <c r="L1555" s="32" t="e">
        <f ca="1">_xludf.ifna(VLOOKUP(E1555,Parámetros!$D$2:$E$34,2,0),"")</f>
        <v>#NAME?</v>
      </c>
      <c r="M1555" s="32" t="e">
        <f ca="1">_xludf.ifna(VLOOKUP(G1555,Proyectos!$A$2:$T$674,20,0),"")</f>
        <v>#NAME?</v>
      </c>
      <c r="N1555" s="32" t="e">
        <f ca="1">_xludf.ifna(VLOOKUP(G1555,Proyectos!$A$2:$S$674,19,0))</f>
        <v>#NAME?</v>
      </c>
      <c r="O1555" s="32"/>
      <c r="P1555" s="32"/>
      <c r="Q1555" s="33"/>
      <c r="R1555" s="33"/>
      <c r="S1555" s="33"/>
      <c r="T1555" s="63">
        <f t="shared" si="13"/>
        <v>0</v>
      </c>
      <c r="U1555" s="33"/>
      <c r="V1555" s="33"/>
      <c r="W1555" s="33"/>
    </row>
    <row r="1556" spans="1:23" ht="16.5" customHeight="1" x14ac:dyDescent="0.2">
      <c r="A1556" s="35" t="s">
        <v>4808</v>
      </c>
      <c r="B1556" s="35" t="s">
        <v>4809</v>
      </c>
      <c r="C1556" s="35" t="s">
        <v>115</v>
      </c>
      <c r="D1556" s="35" t="s">
        <v>125</v>
      </c>
      <c r="E1556" s="35" t="s">
        <v>39</v>
      </c>
      <c r="F1556" s="28" t="e">
        <f ca="1">_xludf.ifna(VLOOKUP(G1556,Proyectos!$A$2:$F$674,6,0),"")</f>
        <v>#NAME?</v>
      </c>
      <c r="G1556" s="29" t="s">
        <v>5114</v>
      </c>
      <c r="H1556" s="30">
        <v>0.1</v>
      </c>
      <c r="I1556" s="30" t="s">
        <v>18</v>
      </c>
      <c r="J1556" s="31" t="s">
        <v>41</v>
      </c>
      <c r="K1556" s="55" t="s">
        <v>5528</v>
      </c>
      <c r="L1556" s="32" t="e">
        <f ca="1">_xludf.ifna(VLOOKUP(E1556,Parámetros!$D$2:$E$34,2,0),"")</f>
        <v>#NAME?</v>
      </c>
      <c r="M1556" s="32" t="e">
        <f ca="1">_xludf.ifna(VLOOKUP(G1556,Proyectos!$A$2:$T$674,20,0),"")</f>
        <v>#NAME?</v>
      </c>
      <c r="N1556" s="32" t="e">
        <f ca="1">_xludf.ifna(VLOOKUP(G1556,Proyectos!$A$2:$S$674,19,0))</f>
        <v>#NAME?</v>
      </c>
      <c r="O1556" s="32"/>
      <c r="P1556" s="32"/>
      <c r="Q1556" s="33"/>
      <c r="R1556" s="33"/>
      <c r="S1556" s="33"/>
      <c r="T1556" s="63">
        <f t="shared" si="13"/>
        <v>0</v>
      </c>
      <c r="U1556" s="33"/>
      <c r="V1556" s="33"/>
      <c r="W1556" s="33"/>
    </row>
    <row r="1557" spans="1:23" ht="16.5" customHeight="1" x14ac:dyDescent="0.2">
      <c r="A1557" s="35" t="s">
        <v>3689</v>
      </c>
      <c r="B1557" s="35" t="s">
        <v>3690</v>
      </c>
      <c r="C1557" s="35" t="s">
        <v>115</v>
      </c>
      <c r="D1557" s="35" t="s">
        <v>125</v>
      </c>
      <c r="E1557" s="35" t="s">
        <v>39</v>
      </c>
      <c r="F1557" s="28" t="e">
        <f ca="1">_xludf.ifna(VLOOKUP(G1557,Proyectos!$A$2:$F$674,6,0),"")</f>
        <v>#NAME?</v>
      </c>
      <c r="G1557" s="29" t="s">
        <v>5225</v>
      </c>
      <c r="H1557" s="30">
        <v>0.7</v>
      </c>
      <c r="I1557" s="30" t="s">
        <v>18</v>
      </c>
      <c r="J1557" s="31" t="s">
        <v>19</v>
      </c>
      <c r="K1557" s="55" t="s">
        <v>3691</v>
      </c>
      <c r="L1557" s="32" t="e">
        <f ca="1">_xludf.ifna(VLOOKUP(E1557,Parámetros!$D$2:$E$34,2,0),"")</f>
        <v>#NAME?</v>
      </c>
      <c r="M1557" s="32" t="e">
        <f ca="1">_xludf.ifna(VLOOKUP(G1557,Proyectos!$A$2:$T$674,20,0),"")</f>
        <v>#NAME?</v>
      </c>
      <c r="N1557" s="32" t="e">
        <f ca="1">_xludf.ifna(VLOOKUP(G1557,Proyectos!$A$2:$S$674,19,0))</f>
        <v>#NAME?</v>
      </c>
      <c r="O1557" s="32"/>
      <c r="P1557" s="32"/>
      <c r="Q1557" s="33"/>
      <c r="R1557" s="33"/>
      <c r="S1557" s="33"/>
      <c r="T1557" s="63">
        <f t="shared" si="13"/>
        <v>1</v>
      </c>
      <c r="U1557" s="33"/>
      <c r="V1557" s="33"/>
      <c r="W1557" s="33"/>
    </row>
    <row r="1558" spans="1:23" ht="16.5" customHeight="1" x14ac:dyDescent="0.2">
      <c r="A1558" s="35" t="s">
        <v>3689</v>
      </c>
      <c r="B1558" s="35" t="s">
        <v>3690</v>
      </c>
      <c r="C1558" s="35" t="s">
        <v>115</v>
      </c>
      <c r="D1558" s="35" t="s">
        <v>125</v>
      </c>
      <c r="E1558" s="35" t="s">
        <v>39</v>
      </c>
      <c r="F1558" s="28" t="e">
        <f ca="1">_xludf.ifna(VLOOKUP(G1558,Proyectos!$A$2:$F$674,6,0),"")</f>
        <v>#NAME?</v>
      </c>
      <c r="G1558" s="29" t="s">
        <v>5472</v>
      </c>
      <c r="H1558" s="30">
        <v>0.2</v>
      </c>
      <c r="I1558" s="30" t="s">
        <v>18</v>
      </c>
      <c r="J1558" s="31" t="s">
        <v>41</v>
      </c>
      <c r="K1558" s="55" t="s">
        <v>5529</v>
      </c>
      <c r="L1558" s="32" t="e">
        <f ca="1">_xludf.ifna(VLOOKUP(E1558,Parámetros!$D$2:$E$34,2,0),"")</f>
        <v>#NAME?</v>
      </c>
      <c r="M1558" s="32" t="e">
        <f ca="1">_xludf.ifna(VLOOKUP(G1558,Proyectos!$A$2:$T$674,20,0),"")</f>
        <v>#NAME?</v>
      </c>
      <c r="N1558" s="32" t="e">
        <f ca="1">_xludf.ifna(VLOOKUP(G1558,Proyectos!$A$2:$S$674,19,0))</f>
        <v>#NAME?</v>
      </c>
      <c r="O1558" s="32"/>
      <c r="P1558" s="32"/>
      <c r="Q1558" s="33"/>
      <c r="R1558" s="33"/>
      <c r="S1558" s="33"/>
      <c r="T1558" s="63">
        <f t="shared" si="13"/>
        <v>0</v>
      </c>
      <c r="U1558" s="33"/>
      <c r="V1558" s="33"/>
      <c r="W1558" s="33"/>
    </row>
    <row r="1559" spans="1:23" ht="16.5" customHeight="1" x14ac:dyDescent="0.2">
      <c r="A1559" s="35" t="s">
        <v>3689</v>
      </c>
      <c r="B1559" s="35" t="s">
        <v>3690</v>
      </c>
      <c r="C1559" s="35" t="s">
        <v>115</v>
      </c>
      <c r="D1559" s="35" t="s">
        <v>125</v>
      </c>
      <c r="E1559" s="35" t="s">
        <v>39</v>
      </c>
      <c r="F1559" s="28" t="e">
        <f ca="1">_xludf.ifna(VLOOKUP(G1559,Proyectos!$A$2:$F$674,6,0),"")</f>
        <v>#NAME?</v>
      </c>
      <c r="G1559" s="29" t="s">
        <v>5114</v>
      </c>
      <c r="H1559" s="30">
        <v>0.1</v>
      </c>
      <c r="I1559" s="30" t="s">
        <v>18</v>
      </c>
      <c r="J1559" s="31" t="s">
        <v>41</v>
      </c>
      <c r="K1559" s="55" t="s">
        <v>5530</v>
      </c>
      <c r="L1559" s="32" t="e">
        <f ca="1">_xludf.ifna(VLOOKUP(E1559,Parámetros!$D$2:$E$34,2,0),"")</f>
        <v>#NAME?</v>
      </c>
      <c r="M1559" s="32" t="e">
        <f ca="1">_xludf.ifna(VLOOKUP(G1559,Proyectos!$A$2:$T$674,20,0),"")</f>
        <v>#NAME?</v>
      </c>
      <c r="N1559" s="32" t="e">
        <f ca="1">_xludf.ifna(VLOOKUP(G1559,Proyectos!$A$2:$S$674,19,0))</f>
        <v>#NAME?</v>
      </c>
      <c r="O1559" s="32"/>
      <c r="P1559" s="32"/>
      <c r="Q1559" s="33"/>
      <c r="R1559" s="33"/>
      <c r="S1559" s="33"/>
      <c r="T1559" s="63">
        <f t="shared" si="13"/>
        <v>0</v>
      </c>
      <c r="U1559" s="33"/>
      <c r="V1559" s="33"/>
      <c r="W1559" s="33"/>
    </row>
    <row r="1560" spans="1:23" ht="16.5" customHeight="1" x14ac:dyDescent="0.2">
      <c r="A1560" s="35" t="s">
        <v>3492</v>
      </c>
      <c r="B1560" s="35" t="s">
        <v>3493</v>
      </c>
      <c r="C1560" s="35" t="s">
        <v>115</v>
      </c>
      <c r="D1560" s="35" t="s">
        <v>125</v>
      </c>
      <c r="E1560" s="35" t="s">
        <v>39</v>
      </c>
      <c r="F1560" s="28" t="e">
        <f ca="1">_xludf.ifna(VLOOKUP(G1560,Proyectos!$A$2:$F$674,6,0),"")</f>
        <v>#NAME?</v>
      </c>
      <c r="G1560" s="38" t="s">
        <v>5323</v>
      </c>
      <c r="H1560" s="59">
        <v>0.5</v>
      </c>
      <c r="I1560" s="30" t="s">
        <v>18</v>
      </c>
      <c r="J1560" s="31" t="s">
        <v>41</v>
      </c>
      <c r="K1560" s="55" t="s">
        <v>3494</v>
      </c>
      <c r="L1560" s="32" t="e">
        <f ca="1">_xludf.ifna(VLOOKUP(E1560,Parámetros!$D$2:$E$34,2,0),"")</f>
        <v>#NAME?</v>
      </c>
      <c r="M1560" s="32" t="e">
        <f ca="1">_xludf.ifna(VLOOKUP(G1560,Proyectos!$A$2:$T$674,20,0),"")</f>
        <v>#NAME?</v>
      </c>
      <c r="N1560" s="32" t="e">
        <f ca="1">_xludf.ifna(VLOOKUP(G1560,Proyectos!$A$2:$S$674,19,0))</f>
        <v>#NAME?</v>
      </c>
      <c r="O1560" s="32"/>
      <c r="P1560" s="32"/>
      <c r="Q1560" s="33"/>
      <c r="R1560" s="33"/>
      <c r="S1560" s="33"/>
      <c r="T1560" s="63">
        <f t="shared" si="13"/>
        <v>1</v>
      </c>
      <c r="U1560" s="33"/>
      <c r="V1560" s="33"/>
      <c r="W1560" s="33"/>
    </row>
    <row r="1561" spans="1:23" ht="16.5" customHeight="1" x14ac:dyDescent="0.2">
      <c r="A1561" s="35" t="s">
        <v>3492</v>
      </c>
      <c r="B1561" s="35" t="s">
        <v>3493</v>
      </c>
      <c r="C1561" s="35" t="s">
        <v>115</v>
      </c>
      <c r="D1561" s="35" t="s">
        <v>125</v>
      </c>
      <c r="E1561" s="35" t="s">
        <v>39</v>
      </c>
      <c r="F1561" s="28" t="e">
        <f ca="1">_xludf.ifna(VLOOKUP(G1561,Proyectos!$A$2:$F$674,6,0),"")</f>
        <v>#NAME?</v>
      </c>
      <c r="G1561" s="29" t="s">
        <v>5114</v>
      </c>
      <c r="H1561" s="59">
        <v>0.1</v>
      </c>
      <c r="I1561" s="30" t="s">
        <v>18</v>
      </c>
      <c r="J1561" s="31" t="s">
        <v>41</v>
      </c>
      <c r="K1561" s="55" t="s">
        <v>5531</v>
      </c>
      <c r="L1561" s="32" t="e">
        <f ca="1">_xludf.ifna(VLOOKUP(E1561,Parámetros!$D$2:$E$34,2,0),"")</f>
        <v>#NAME?</v>
      </c>
      <c r="M1561" s="32" t="e">
        <f ca="1">_xludf.ifna(VLOOKUP(G1561,Proyectos!$A$2:$T$674,20,0),"")</f>
        <v>#NAME?</v>
      </c>
      <c r="N1561" s="32" t="e">
        <f ca="1">_xludf.ifna(VLOOKUP(G1561,Proyectos!$A$2:$S$674,19,0))</f>
        <v>#NAME?</v>
      </c>
      <c r="O1561" s="32"/>
      <c r="P1561" s="32"/>
      <c r="Q1561" s="33"/>
      <c r="R1561" s="33"/>
      <c r="S1561" s="33"/>
      <c r="T1561" s="63">
        <f t="shared" si="13"/>
        <v>0</v>
      </c>
      <c r="U1561" s="33"/>
      <c r="V1561" s="33"/>
      <c r="W1561" s="33"/>
    </row>
    <row r="1562" spans="1:23" ht="16.5" customHeight="1" x14ac:dyDescent="0.2">
      <c r="A1562" s="35" t="s">
        <v>3492</v>
      </c>
      <c r="B1562" s="35" t="s">
        <v>3493</v>
      </c>
      <c r="C1562" s="35" t="s">
        <v>115</v>
      </c>
      <c r="D1562" s="35" t="s">
        <v>125</v>
      </c>
      <c r="E1562" s="35" t="s">
        <v>39</v>
      </c>
      <c r="F1562" s="28" t="e">
        <f ca="1">_xludf.ifna(VLOOKUP(G1562,Proyectos!$A$2:$F$674,6,0),"")</f>
        <v>#NAME?</v>
      </c>
      <c r="G1562" s="29" t="s">
        <v>5114</v>
      </c>
      <c r="H1562" s="30">
        <v>0.05</v>
      </c>
      <c r="I1562" s="30" t="s">
        <v>18</v>
      </c>
      <c r="J1562" s="31" t="s">
        <v>41</v>
      </c>
      <c r="K1562" s="55" t="s">
        <v>5532</v>
      </c>
      <c r="L1562" s="32" t="e">
        <f ca="1">_xludf.ifna(VLOOKUP(E1562,Parámetros!$D$2:$E$34,2,0),"")</f>
        <v>#NAME?</v>
      </c>
      <c r="M1562" s="32" t="e">
        <f ca="1">_xludf.ifna(VLOOKUP(G1562,Proyectos!$A$2:$T$674,20,0),"")</f>
        <v>#NAME?</v>
      </c>
      <c r="N1562" s="32" t="e">
        <f ca="1">_xludf.ifna(VLOOKUP(G1562,Proyectos!$A$2:$S$674,19,0))</f>
        <v>#NAME?</v>
      </c>
      <c r="O1562" s="32"/>
      <c r="P1562" s="32"/>
      <c r="Q1562" s="33"/>
      <c r="R1562" s="33"/>
      <c r="S1562" s="33"/>
      <c r="T1562" s="63">
        <f t="shared" si="13"/>
        <v>0</v>
      </c>
      <c r="U1562" s="33"/>
      <c r="V1562" s="33"/>
      <c r="W1562" s="33"/>
    </row>
    <row r="1563" spans="1:23" ht="16.5" customHeight="1" x14ac:dyDescent="0.2">
      <c r="A1563" s="35" t="s">
        <v>3492</v>
      </c>
      <c r="B1563" s="35" t="s">
        <v>3493</v>
      </c>
      <c r="C1563" s="35" t="s">
        <v>115</v>
      </c>
      <c r="D1563" s="35" t="s">
        <v>125</v>
      </c>
      <c r="E1563" s="35" t="s">
        <v>39</v>
      </c>
      <c r="F1563" s="28" t="e">
        <f ca="1">_xludf.ifna(VLOOKUP(G1563,Proyectos!$A$2:$F$674,6,0),"")</f>
        <v>#NAME?</v>
      </c>
      <c r="G1563" s="29" t="s">
        <v>5114</v>
      </c>
      <c r="H1563" s="30">
        <v>0.1</v>
      </c>
      <c r="I1563" s="30" t="s">
        <v>18</v>
      </c>
      <c r="J1563" s="31" t="s">
        <v>41</v>
      </c>
      <c r="K1563" s="55" t="s">
        <v>5533</v>
      </c>
      <c r="L1563" s="32" t="e">
        <f ca="1">_xludf.ifna(VLOOKUP(E1563,Parámetros!$D$2:$E$34,2,0),"")</f>
        <v>#NAME?</v>
      </c>
      <c r="M1563" s="32" t="e">
        <f ca="1">_xludf.ifna(VLOOKUP(G1563,Proyectos!$A$2:$T$674,20,0),"")</f>
        <v>#NAME?</v>
      </c>
      <c r="N1563" s="32" t="e">
        <f ca="1">_xludf.ifna(VLOOKUP(G1563,Proyectos!$A$2:$S$674,19,0))</f>
        <v>#NAME?</v>
      </c>
      <c r="O1563" s="32"/>
      <c r="P1563" s="32"/>
      <c r="Q1563" s="33"/>
      <c r="R1563" s="33"/>
      <c r="S1563" s="33"/>
      <c r="T1563" s="63">
        <f t="shared" si="13"/>
        <v>0</v>
      </c>
      <c r="U1563" s="33"/>
      <c r="V1563" s="33"/>
      <c r="W1563" s="33"/>
    </row>
    <row r="1564" spans="1:23" ht="16.5" customHeight="1" x14ac:dyDescent="0.2">
      <c r="A1564" s="35" t="s">
        <v>3492</v>
      </c>
      <c r="B1564" s="35" t="s">
        <v>3493</v>
      </c>
      <c r="C1564" s="35" t="s">
        <v>115</v>
      </c>
      <c r="D1564" s="35" t="s">
        <v>125</v>
      </c>
      <c r="E1564" s="35" t="s">
        <v>39</v>
      </c>
      <c r="F1564" s="28" t="e">
        <f ca="1">_xludf.ifna(VLOOKUP(G1564,Proyectos!$A$2:$F$674,6,0),"")</f>
        <v>#NAME?</v>
      </c>
      <c r="G1564" s="29" t="s">
        <v>5114</v>
      </c>
      <c r="H1564" s="30">
        <v>0.1</v>
      </c>
      <c r="I1564" s="30" t="s">
        <v>18</v>
      </c>
      <c r="J1564" s="31" t="s">
        <v>41</v>
      </c>
      <c r="K1564" s="55" t="s">
        <v>5534</v>
      </c>
      <c r="L1564" s="32" t="e">
        <f ca="1">_xludf.ifna(VLOOKUP(E1564,Parámetros!$D$2:$E$34,2,0),"")</f>
        <v>#NAME?</v>
      </c>
      <c r="M1564" s="32" t="e">
        <f ca="1">_xludf.ifna(VLOOKUP(G1564,Proyectos!$A$2:$T$674,20,0),"")</f>
        <v>#NAME?</v>
      </c>
      <c r="N1564" s="32" t="e">
        <f ca="1">_xludf.ifna(VLOOKUP(G1564,Proyectos!$A$2:$S$674,19,0))</f>
        <v>#NAME?</v>
      </c>
      <c r="O1564" s="32"/>
      <c r="P1564" s="32"/>
      <c r="Q1564" s="33"/>
      <c r="R1564" s="33"/>
      <c r="S1564" s="33"/>
      <c r="T1564" s="63">
        <f t="shared" si="13"/>
        <v>0</v>
      </c>
      <c r="U1564" s="33"/>
      <c r="V1564" s="33"/>
      <c r="W1564" s="33"/>
    </row>
    <row r="1565" spans="1:23" ht="16.5" customHeight="1" x14ac:dyDescent="0.2">
      <c r="A1565" s="35" t="s">
        <v>3492</v>
      </c>
      <c r="B1565" s="35" t="s">
        <v>3493</v>
      </c>
      <c r="C1565" s="35" t="s">
        <v>115</v>
      </c>
      <c r="D1565" s="35" t="s">
        <v>125</v>
      </c>
      <c r="E1565" s="35" t="s">
        <v>39</v>
      </c>
      <c r="F1565" s="28" t="e">
        <f ca="1">_xludf.ifna(VLOOKUP(G1565,Proyectos!$A$2:$F$674,6,0),"")</f>
        <v>#NAME?</v>
      </c>
      <c r="G1565" s="29" t="s">
        <v>5158</v>
      </c>
      <c r="H1565" s="30">
        <v>0.1</v>
      </c>
      <c r="I1565" s="30" t="s">
        <v>18</v>
      </c>
      <c r="J1565" s="31" t="s">
        <v>41</v>
      </c>
      <c r="K1565" s="55" t="s">
        <v>5535</v>
      </c>
      <c r="L1565" s="32" t="e">
        <f ca="1">_xludf.ifna(VLOOKUP(E1565,Parámetros!$D$2:$E$34,2,0),"")</f>
        <v>#NAME?</v>
      </c>
      <c r="M1565" s="32" t="e">
        <f ca="1">_xludf.ifna(VLOOKUP(G1565,Proyectos!$A$2:$T$674,20,0),"")</f>
        <v>#NAME?</v>
      </c>
      <c r="N1565" s="32" t="e">
        <f ca="1">_xludf.ifna(VLOOKUP(G1565,Proyectos!$A$2:$S$674,19,0))</f>
        <v>#NAME?</v>
      </c>
      <c r="O1565" s="32"/>
      <c r="P1565" s="32"/>
      <c r="Q1565" s="33"/>
      <c r="R1565" s="33"/>
      <c r="S1565" s="33"/>
      <c r="T1565" s="63">
        <f t="shared" si="13"/>
        <v>0</v>
      </c>
      <c r="U1565" s="33"/>
      <c r="V1565" s="33"/>
      <c r="W1565" s="33"/>
    </row>
    <row r="1566" spans="1:23" ht="16.5" customHeight="1" x14ac:dyDescent="0.2">
      <c r="A1566" s="35" t="s">
        <v>3492</v>
      </c>
      <c r="B1566" s="35" t="s">
        <v>3493</v>
      </c>
      <c r="C1566" s="35" t="s">
        <v>115</v>
      </c>
      <c r="D1566" s="35" t="s">
        <v>125</v>
      </c>
      <c r="E1566" s="35" t="s">
        <v>39</v>
      </c>
      <c r="F1566" s="28" t="e">
        <f ca="1">_xludf.ifna(VLOOKUP(G1566,Proyectos!$A$2:$F$674,6,0),"")</f>
        <v>#NAME?</v>
      </c>
      <c r="G1566" s="29" t="s">
        <v>5536</v>
      </c>
      <c r="H1566" s="30">
        <v>0.05</v>
      </c>
      <c r="I1566" s="30" t="s">
        <v>18</v>
      </c>
      <c r="J1566" s="31" t="s">
        <v>41</v>
      </c>
      <c r="K1566" s="55" t="s">
        <v>5537</v>
      </c>
      <c r="L1566" s="32" t="e">
        <f ca="1">_xludf.ifna(VLOOKUP(E1566,Parámetros!$D$2:$E$34,2,0),"")</f>
        <v>#NAME?</v>
      </c>
      <c r="M1566" s="32" t="e">
        <f ca="1">_xludf.ifna(VLOOKUP(G1566,Proyectos!$A$2:$T$674,20,0),"")</f>
        <v>#NAME?</v>
      </c>
      <c r="N1566" s="32" t="e">
        <f ca="1">_xludf.ifna(VLOOKUP(G1566,Proyectos!$A$2:$S$674,19,0))</f>
        <v>#NAME?</v>
      </c>
      <c r="O1566" s="32"/>
      <c r="P1566" s="32"/>
      <c r="Q1566" s="33"/>
      <c r="R1566" s="33"/>
      <c r="S1566" s="33"/>
      <c r="T1566" s="63">
        <f t="shared" si="13"/>
        <v>0</v>
      </c>
      <c r="U1566" s="33"/>
      <c r="V1566" s="33"/>
      <c r="W1566" s="33"/>
    </row>
    <row r="1567" spans="1:23" ht="16.5" customHeight="1" x14ac:dyDescent="0.2">
      <c r="A1567" s="35" t="s">
        <v>4721</v>
      </c>
      <c r="B1567" s="35" t="s">
        <v>4722</v>
      </c>
      <c r="C1567" s="35" t="s">
        <v>115</v>
      </c>
      <c r="D1567" s="35" t="s">
        <v>125</v>
      </c>
      <c r="E1567" s="35" t="s">
        <v>39</v>
      </c>
      <c r="F1567" s="28" t="e">
        <f ca="1">_xludf.ifna(VLOOKUP(G1567,Proyectos!$A$2:$F$674,6,0),"")</f>
        <v>#NAME?</v>
      </c>
      <c r="G1567" s="29" t="s">
        <v>5538</v>
      </c>
      <c r="H1567" s="30">
        <v>1</v>
      </c>
      <c r="I1567" s="30" t="s">
        <v>18</v>
      </c>
      <c r="J1567" s="31" t="s">
        <v>41</v>
      </c>
      <c r="K1567" s="55"/>
      <c r="L1567" s="32" t="e">
        <f ca="1">_xludf.ifna(VLOOKUP(E1567,Parámetros!$D$2:$E$34,2,0),"")</f>
        <v>#NAME?</v>
      </c>
      <c r="M1567" s="32" t="e">
        <f ca="1">_xludf.ifna(VLOOKUP(G1567,Proyectos!$A$2:$T$674,20,0),"")</f>
        <v>#NAME?</v>
      </c>
      <c r="N1567" s="32" t="e">
        <f ca="1">_xludf.ifna(VLOOKUP(G1567,Proyectos!$A$2:$S$674,19,0))</f>
        <v>#NAME?</v>
      </c>
      <c r="O1567" s="32"/>
      <c r="P1567" s="32"/>
      <c r="Q1567" s="33"/>
      <c r="R1567" s="33"/>
      <c r="S1567" s="33"/>
      <c r="T1567" s="63" t="e">
        <f>IF(B1567=#REF!,0,1)</f>
        <v>#REF!</v>
      </c>
      <c r="U1567" s="33"/>
      <c r="V1567" s="33"/>
      <c r="W1567" s="33"/>
    </row>
    <row r="1568" spans="1:23" ht="16.5" customHeight="1" x14ac:dyDescent="0.2">
      <c r="A1568" s="35" t="s">
        <v>4635</v>
      </c>
      <c r="B1568" s="35" t="s">
        <v>4636</v>
      </c>
      <c r="C1568" s="35" t="s">
        <v>115</v>
      </c>
      <c r="D1568" s="35" t="s">
        <v>125</v>
      </c>
      <c r="E1568" s="35" t="s">
        <v>39</v>
      </c>
      <c r="F1568" s="28" t="e">
        <f ca="1">_xludf.ifna(VLOOKUP(G1568,Proyectos!$A$2:$F$674,6,0),"")</f>
        <v>#NAME?</v>
      </c>
      <c r="G1568" s="29" t="s">
        <v>5538</v>
      </c>
      <c r="H1568" s="30">
        <v>1</v>
      </c>
      <c r="I1568" s="30" t="s">
        <v>18</v>
      </c>
      <c r="J1568" s="31" t="s">
        <v>41</v>
      </c>
      <c r="K1568" s="55"/>
      <c r="L1568" s="32" t="e">
        <f ca="1">_xludf.ifna(VLOOKUP(E1568,Parámetros!$D$2:$E$34,2,0),"")</f>
        <v>#NAME?</v>
      </c>
      <c r="M1568" s="32" t="e">
        <f ca="1">_xludf.ifna(VLOOKUP(G1568,Proyectos!$A$2:$T$674,20,0),"")</f>
        <v>#NAME?</v>
      </c>
      <c r="N1568" s="32" t="e">
        <f ca="1">_xludf.ifna(VLOOKUP(G1568,Proyectos!$A$2:$S$674,19,0))</f>
        <v>#NAME?</v>
      </c>
      <c r="O1568" s="32"/>
      <c r="P1568" s="32"/>
      <c r="Q1568" s="33"/>
      <c r="R1568" s="33"/>
      <c r="S1568" s="33"/>
      <c r="T1568" s="63">
        <f t="shared" ref="T1568:T1616" si="14">IF(B1568=B1567,0,1)</f>
        <v>1</v>
      </c>
      <c r="U1568" s="33"/>
      <c r="V1568" s="33"/>
      <c r="W1568" s="33"/>
    </row>
    <row r="1569" spans="1:23" ht="16.5" customHeight="1" x14ac:dyDescent="0.2">
      <c r="A1569" s="35" t="s">
        <v>3570</v>
      </c>
      <c r="B1569" s="35" t="s">
        <v>3571</v>
      </c>
      <c r="C1569" s="35" t="s">
        <v>115</v>
      </c>
      <c r="D1569" s="35" t="s">
        <v>134</v>
      </c>
      <c r="E1569" s="35" t="s">
        <v>39</v>
      </c>
      <c r="F1569" s="28" t="e">
        <f ca="1">_xludf.ifna(VLOOKUP(G1569,Proyectos!$A$2:$F$674,6,0),"")</f>
        <v>#NAME?</v>
      </c>
      <c r="G1569" s="29" t="s">
        <v>5539</v>
      </c>
      <c r="H1569" s="30">
        <v>0.9</v>
      </c>
      <c r="I1569" s="30" t="s">
        <v>18</v>
      </c>
      <c r="J1569" s="31" t="s">
        <v>54</v>
      </c>
      <c r="K1569" s="55"/>
      <c r="L1569" s="32" t="e">
        <f ca="1">_xludf.ifna(VLOOKUP(E1569,Parámetros!$D$2:$E$34,2,0),"")</f>
        <v>#NAME?</v>
      </c>
      <c r="M1569" s="32" t="e">
        <f ca="1">_xludf.ifna(VLOOKUP(G1569,Proyectos!$A$2:$T$674,20,0),"")</f>
        <v>#NAME?</v>
      </c>
      <c r="N1569" s="32" t="e">
        <f ca="1">_xludf.ifna(VLOOKUP(G1569,Proyectos!$A$2:$S$674,19,0))</f>
        <v>#NAME?</v>
      </c>
      <c r="O1569" s="32"/>
      <c r="P1569" s="32"/>
      <c r="Q1569" s="33"/>
      <c r="R1569" s="33"/>
      <c r="S1569" s="33"/>
      <c r="T1569" s="63">
        <f t="shared" si="14"/>
        <v>1</v>
      </c>
      <c r="U1569" s="33"/>
      <c r="V1569" s="33"/>
      <c r="W1569" s="33"/>
    </row>
    <row r="1570" spans="1:23" ht="16.5" customHeight="1" x14ac:dyDescent="0.2">
      <c r="A1570" s="35" t="s">
        <v>3570</v>
      </c>
      <c r="B1570" s="35" t="s">
        <v>3571</v>
      </c>
      <c r="C1570" s="35" t="s">
        <v>115</v>
      </c>
      <c r="D1570" s="35" t="s">
        <v>134</v>
      </c>
      <c r="E1570" s="35" t="s">
        <v>39</v>
      </c>
      <c r="F1570" s="28" t="e">
        <f ca="1">_xludf.ifna(VLOOKUP(G1570,Proyectos!$A$2:$F$674,6,0),"")</f>
        <v>#NAME?</v>
      </c>
      <c r="G1570" s="29" t="s">
        <v>5114</v>
      </c>
      <c r="H1570" s="30">
        <v>0.1</v>
      </c>
      <c r="I1570" s="30" t="s">
        <v>18</v>
      </c>
      <c r="J1570" s="31" t="s">
        <v>54</v>
      </c>
      <c r="K1570" s="55"/>
      <c r="L1570" s="32" t="e">
        <f ca="1">_xludf.ifna(VLOOKUP(E1570,Parámetros!$D$2:$E$34,2,0),"")</f>
        <v>#NAME?</v>
      </c>
      <c r="M1570" s="32" t="e">
        <f ca="1">_xludf.ifna(VLOOKUP(G1570,Proyectos!$A$2:$T$674,20,0),"")</f>
        <v>#NAME?</v>
      </c>
      <c r="N1570" s="32" t="e">
        <f ca="1">_xludf.ifna(VLOOKUP(G1570,Proyectos!$A$2:$S$674,19,0))</f>
        <v>#NAME?</v>
      </c>
      <c r="O1570" s="32"/>
      <c r="P1570" s="32"/>
      <c r="Q1570" s="33"/>
      <c r="R1570" s="33"/>
      <c r="S1570" s="33"/>
      <c r="T1570" s="63">
        <f t="shared" si="14"/>
        <v>0</v>
      </c>
      <c r="U1570" s="33"/>
      <c r="V1570" s="33"/>
      <c r="W1570" s="33"/>
    </row>
    <row r="1571" spans="1:23" ht="16.5" customHeight="1" x14ac:dyDescent="0.2">
      <c r="A1571" s="35" t="s">
        <v>4144</v>
      </c>
      <c r="B1571" s="35" t="s">
        <v>4145</v>
      </c>
      <c r="C1571" s="35" t="s">
        <v>115</v>
      </c>
      <c r="D1571" s="35" t="s">
        <v>134</v>
      </c>
      <c r="E1571" s="35" t="s">
        <v>106</v>
      </c>
      <c r="F1571" s="28" t="e">
        <f ca="1">_xludf.ifna(VLOOKUP(G1571,Proyectos!$A$2:$F$674,6,0),"")</f>
        <v>#NAME?</v>
      </c>
      <c r="G1571" s="29" t="s">
        <v>5114</v>
      </c>
      <c r="H1571" s="32">
        <v>0.5</v>
      </c>
      <c r="I1571" s="30" t="s">
        <v>18</v>
      </c>
      <c r="J1571" s="44" t="s">
        <v>61</v>
      </c>
      <c r="K1571" s="55"/>
      <c r="L1571" s="32" t="e">
        <f ca="1">_xludf.ifna(VLOOKUP(E1571,Parámetros!$D$2:$E$34,2,0),"")</f>
        <v>#NAME?</v>
      </c>
      <c r="M1571" s="32" t="e">
        <f ca="1">_xludf.ifna(VLOOKUP(G1571,Proyectos!$A$2:$T$674,20,0),"")</f>
        <v>#NAME?</v>
      </c>
      <c r="N1571" s="32" t="e">
        <f ca="1">_xludf.ifna(VLOOKUP(G1571,Proyectos!$A$2:$S$674,19,0))</f>
        <v>#NAME?</v>
      </c>
      <c r="O1571" s="32"/>
      <c r="P1571" s="32"/>
      <c r="Q1571" s="33"/>
      <c r="R1571" s="33"/>
      <c r="S1571" s="33"/>
      <c r="T1571" s="63">
        <f t="shared" si="14"/>
        <v>1</v>
      </c>
      <c r="U1571" s="33"/>
      <c r="V1571" s="33"/>
      <c r="W1571" s="33"/>
    </row>
    <row r="1572" spans="1:23" ht="16.5" customHeight="1" x14ac:dyDescent="0.2">
      <c r="A1572" s="35" t="s">
        <v>4198</v>
      </c>
      <c r="B1572" s="35" t="s">
        <v>4199</v>
      </c>
      <c r="C1572" s="35" t="s">
        <v>115</v>
      </c>
      <c r="D1572" s="35" t="s">
        <v>134</v>
      </c>
      <c r="E1572" s="35" t="s">
        <v>114</v>
      </c>
      <c r="F1572" s="28" t="e">
        <f ca="1">_xludf.ifna(VLOOKUP(G1572,Proyectos!$A$2:$F$674,6,0),"")</f>
        <v>#NAME?</v>
      </c>
      <c r="G1572" s="29" t="s">
        <v>5114</v>
      </c>
      <c r="H1572" s="30">
        <v>0.5</v>
      </c>
      <c r="I1572" s="31" t="s">
        <v>25</v>
      </c>
      <c r="J1572" s="31" t="s">
        <v>72</v>
      </c>
      <c r="K1572" s="55"/>
      <c r="L1572" s="32" t="e">
        <f ca="1">_xludf.ifna(VLOOKUP(E1572,Parámetros!$D$2:$E$34,2,0),"")</f>
        <v>#NAME?</v>
      </c>
      <c r="M1572" s="32" t="e">
        <f ca="1">_xludf.ifna(VLOOKUP(G1572,Proyectos!$A$2:$T$674,20,0),"")</f>
        <v>#NAME?</v>
      </c>
      <c r="N1572" s="32" t="e">
        <f ca="1">_xludf.ifna(VLOOKUP(G1572,Proyectos!$A$2:$S$674,19,0))</f>
        <v>#NAME?</v>
      </c>
      <c r="O1572" s="32"/>
      <c r="P1572" s="32"/>
      <c r="Q1572" s="33"/>
      <c r="R1572" s="33"/>
      <c r="S1572" s="33"/>
      <c r="T1572" s="63">
        <f t="shared" si="14"/>
        <v>1</v>
      </c>
      <c r="U1572" s="33"/>
      <c r="V1572" s="33"/>
      <c r="W1572" s="33"/>
    </row>
    <row r="1573" spans="1:23" ht="16.5" customHeight="1" x14ac:dyDescent="0.2">
      <c r="A1573" s="35" t="s">
        <v>4527</v>
      </c>
      <c r="B1573" s="35" t="s">
        <v>4528</v>
      </c>
      <c r="C1573" s="35" t="s">
        <v>115</v>
      </c>
      <c r="D1573" s="35" t="s">
        <v>134</v>
      </c>
      <c r="E1573" s="35" t="s">
        <v>114</v>
      </c>
      <c r="F1573" s="28" t="e">
        <f ca="1">_xludf.ifna(VLOOKUP(G1573,Proyectos!$A$2:$F$674,6,0),"")</f>
        <v>#NAME?</v>
      </c>
      <c r="G1573" s="29" t="s">
        <v>5539</v>
      </c>
      <c r="H1573" s="30">
        <v>0.5</v>
      </c>
      <c r="I1573" s="31" t="s">
        <v>25</v>
      </c>
      <c r="J1573" s="31" t="s">
        <v>72</v>
      </c>
      <c r="K1573" s="55"/>
      <c r="L1573" s="32" t="e">
        <f ca="1">_xludf.ifna(VLOOKUP(E1573,Parámetros!$D$2:$E$34,2,0),"")</f>
        <v>#NAME?</v>
      </c>
      <c r="M1573" s="32" t="e">
        <f ca="1">_xludf.ifna(VLOOKUP(G1573,Proyectos!$A$2:$T$674,20,0),"")</f>
        <v>#NAME?</v>
      </c>
      <c r="N1573" s="32" t="e">
        <f ca="1">_xludf.ifna(VLOOKUP(G1573,Proyectos!$A$2:$S$674,19,0))</f>
        <v>#NAME?</v>
      </c>
      <c r="O1573" s="32"/>
      <c r="P1573" s="32"/>
      <c r="Q1573" s="33"/>
      <c r="R1573" s="33"/>
      <c r="S1573" s="33"/>
      <c r="T1573" s="63">
        <f t="shared" si="14"/>
        <v>1</v>
      </c>
      <c r="U1573" s="33"/>
      <c r="V1573" s="33"/>
      <c r="W1573" s="33"/>
    </row>
    <row r="1574" spans="1:23" ht="16.5" customHeight="1" x14ac:dyDescent="0.2">
      <c r="A1574" s="35" t="s">
        <v>4623</v>
      </c>
      <c r="B1574" s="35" t="s">
        <v>4624</v>
      </c>
      <c r="C1574" s="35" t="s">
        <v>115</v>
      </c>
      <c r="D1574" s="35" t="s">
        <v>134</v>
      </c>
      <c r="E1574" s="35" t="s">
        <v>39</v>
      </c>
      <c r="F1574" s="28" t="e">
        <f ca="1">_xludf.ifna(VLOOKUP(G1574,Proyectos!$A$2:$F$674,6,0),"")</f>
        <v>#NAME?</v>
      </c>
      <c r="G1574" s="29" t="s">
        <v>5114</v>
      </c>
      <c r="H1574" s="30">
        <v>0.15</v>
      </c>
      <c r="I1574" s="30" t="s">
        <v>18</v>
      </c>
      <c r="J1574" s="31" t="s">
        <v>61</v>
      </c>
      <c r="K1574" s="55"/>
      <c r="L1574" s="32" t="e">
        <f ca="1">_xludf.ifna(VLOOKUP(E1574,Parámetros!$D$2:$E$34,2,0),"")</f>
        <v>#NAME?</v>
      </c>
      <c r="M1574" s="32" t="e">
        <f ca="1">_xludf.ifna(VLOOKUP(G1574,Proyectos!$A$2:$T$674,20,0),"")</f>
        <v>#NAME?</v>
      </c>
      <c r="N1574" s="32" t="e">
        <f ca="1">_xludf.ifna(VLOOKUP(G1574,Proyectos!$A$2:$S$674,19,0))</f>
        <v>#NAME?</v>
      </c>
      <c r="O1574" s="32"/>
      <c r="P1574" s="32"/>
      <c r="Q1574" s="33"/>
      <c r="R1574" s="33"/>
      <c r="S1574" s="33"/>
      <c r="T1574" s="63">
        <f t="shared" si="14"/>
        <v>1</v>
      </c>
      <c r="U1574" s="33"/>
      <c r="V1574" s="33"/>
      <c r="W1574" s="33"/>
    </row>
    <row r="1575" spans="1:23" ht="16.5" customHeight="1" x14ac:dyDescent="0.2">
      <c r="A1575" s="35" t="s">
        <v>4623</v>
      </c>
      <c r="B1575" s="35" t="s">
        <v>4624</v>
      </c>
      <c r="C1575" s="35" t="s">
        <v>115</v>
      </c>
      <c r="D1575" s="35" t="s">
        <v>134</v>
      </c>
      <c r="E1575" s="35" t="s">
        <v>39</v>
      </c>
      <c r="F1575" s="28" t="e">
        <f ca="1">_xludf.ifna(VLOOKUP(G1575,Proyectos!$A$2:$F$674,6,0),"")</f>
        <v>#NAME?</v>
      </c>
      <c r="G1575" s="29" t="s">
        <v>5539</v>
      </c>
      <c r="H1575" s="30">
        <v>0.4</v>
      </c>
      <c r="I1575" s="30" t="s">
        <v>18</v>
      </c>
      <c r="J1575" s="31" t="s">
        <v>61</v>
      </c>
      <c r="K1575" s="55"/>
      <c r="L1575" s="32" t="e">
        <f ca="1">_xludf.ifna(VLOOKUP(E1575,Parámetros!$D$2:$E$34,2,0),"")</f>
        <v>#NAME?</v>
      </c>
      <c r="M1575" s="32" t="e">
        <f ca="1">_xludf.ifna(VLOOKUP(G1575,Proyectos!$A$2:$T$674,20,0),"")</f>
        <v>#NAME?</v>
      </c>
      <c r="N1575" s="32" t="e">
        <f ca="1">_xludf.ifna(VLOOKUP(G1575,Proyectos!$A$2:$S$674,19,0))</f>
        <v>#NAME?</v>
      </c>
      <c r="O1575" s="32"/>
      <c r="P1575" s="32"/>
      <c r="Q1575" s="33"/>
      <c r="R1575" s="33"/>
      <c r="S1575" s="33"/>
      <c r="T1575" s="63">
        <f t="shared" si="14"/>
        <v>0</v>
      </c>
      <c r="U1575" s="33"/>
      <c r="V1575" s="33"/>
      <c r="W1575" s="33"/>
    </row>
    <row r="1576" spans="1:23" ht="16.5" customHeight="1" x14ac:dyDescent="0.2">
      <c r="A1576" s="35" t="s">
        <v>4623</v>
      </c>
      <c r="B1576" s="35" t="s">
        <v>4624</v>
      </c>
      <c r="C1576" s="35" t="s">
        <v>115</v>
      </c>
      <c r="D1576" s="35" t="s">
        <v>134</v>
      </c>
      <c r="E1576" s="35" t="s">
        <v>39</v>
      </c>
      <c r="F1576" s="28" t="e">
        <f ca="1">_xludf.ifna(VLOOKUP(G1576,Proyectos!$A$2:$F$674,6,0),"")</f>
        <v>#NAME?</v>
      </c>
      <c r="G1576" s="29" t="s">
        <v>5131</v>
      </c>
      <c r="H1576" s="30">
        <v>0.05</v>
      </c>
      <c r="I1576" s="30" t="s">
        <v>18</v>
      </c>
      <c r="J1576" s="31" t="s">
        <v>61</v>
      </c>
      <c r="K1576" s="55"/>
      <c r="L1576" s="32" t="e">
        <f ca="1">_xludf.ifna(VLOOKUP(E1576,Parámetros!$D$2:$E$34,2,0),"")</f>
        <v>#NAME?</v>
      </c>
      <c r="M1576" s="32" t="e">
        <f ca="1">_xludf.ifna(VLOOKUP(G1576,Proyectos!$A$2:$T$674,20,0),"")</f>
        <v>#NAME?</v>
      </c>
      <c r="N1576" s="32" t="e">
        <f ca="1">_xludf.ifna(VLOOKUP(G1576,Proyectos!$A$2:$S$674,19,0))</f>
        <v>#NAME?</v>
      </c>
      <c r="O1576" s="32"/>
      <c r="P1576" s="32"/>
      <c r="Q1576" s="33"/>
      <c r="R1576" s="33"/>
      <c r="S1576" s="33"/>
      <c r="T1576" s="63">
        <f t="shared" si="14"/>
        <v>0</v>
      </c>
      <c r="U1576" s="33"/>
      <c r="V1576" s="33"/>
      <c r="W1576" s="33"/>
    </row>
    <row r="1577" spans="1:23" ht="16.5" customHeight="1" x14ac:dyDescent="0.2">
      <c r="A1577" s="35" t="s">
        <v>4623</v>
      </c>
      <c r="B1577" s="35" t="s">
        <v>4624</v>
      </c>
      <c r="C1577" s="35" t="s">
        <v>115</v>
      </c>
      <c r="D1577" s="35" t="s">
        <v>134</v>
      </c>
      <c r="E1577" s="35" t="s">
        <v>39</v>
      </c>
      <c r="F1577" s="28" t="e">
        <f ca="1">_xludf.ifna(VLOOKUP(G1577,Proyectos!$A$2:$F$674,6,0),"")</f>
        <v>#NAME?</v>
      </c>
      <c r="G1577" s="29" t="s">
        <v>5540</v>
      </c>
      <c r="H1577" s="30">
        <v>0.25</v>
      </c>
      <c r="I1577" s="30" t="s">
        <v>18</v>
      </c>
      <c r="J1577" s="31" t="s">
        <v>61</v>
      </c>
      <c r="K1577" s="55"/>
      <c r="L1577" s="32" t="e">
        <f ca="1">_xludf.ifna(VLOOKUP(E1577,Parámetros!$D$2:$E$34,2,0),"")</f>
        <v>#NAME?</v>
      </c>
      <c r="M1577" s="32" t="e">
        <f ca="1">_xludf.ifna(VLOOKUP(G1577,Proyectos!$A$2:$T$674,20,0),"")</f>
        <v>#NAME?</v>
      </c>
      <c r="N1577" s="32" t="e">
        <f ca="1">_xludf.ifna(VLOOKUP(G1577,Proyectos!$A$2:$S$674,19,0))</f>
        <v>#NAME?</v>
      </c>
      <c r="O1577" s="32"/>
      <c r="P1577" s="32"/>
      <c r="Q1577" s="33"/>
      <c r="R1577" s="33"/>
      <c r="S1577" s="33"/>
      <c r="T1577" s="63">
        <f t="shared" si="14"/>
        <v>0</v>
      </c>
      <c r="U1577" s="33"/>
      <c r="V1577" s="33"/>
      <c r="W1577" s="33"/>
    </row>
    <row r="1578" spans="1:23" ht="16.5" customHeight="1" x14ac:dyDescent="0.2">
      <c r="A1578" s="35" t="s">
        <v>4625</v>
      </c>
      <c r="B1578" s="35" t="s">
        <v>4626</v>
      </c>
      <c r="C1578" s="35" t="s">
        <v>115</v>
      </c>
      <c r="D1578" s="35" t="s">
        <v>134</v>
      </c>
      <c r="E1578" s="35" t="s">
        <v>39</v>
      </c>
      <c r="F1578" s="28" t="e">
        <f ca="1">_xludf.ifna(VLOOKUP(G1578,Proyectos!$A$2:$F$674,6,0),"")</f>
        <v>#NAME?</v>
      </c>
      <c r="G1578" s="29" t="s">
        <v>5539</v>
      </c>
      <c r="H1578" s="30">
        <v>0.2</v>
      </c>
      <c r="I1578" s="30" t="s">
        <v>11</v>
      </c>
      <c r="J1578" s="31" t="s">
        <v>61</v>
      </c>
      <c r="K1578" s="55"/>
      <c r="L1578" s="32" t="e">
        <f ca="1">_xludf.ifna(VLOOKUP(E1578,Parámetros!$D$2:$E$34,2,0),"")</f>
        <v>#NAME?</v>
      </c>
      <c r="M1578" s="32" t="e">
        <f ca="1">_xludf.ifna(VLOOKUP(G1578,Proyectos!$A$2:$T$674,20,0),"")</f>
        <v>#NAME?</v>
      </c>
      <c r="N1578" s="32" t="e">
        <f ca="1">_xludf.ifna(VLOOKUP(G1578,Proyectos!$A$2:$S$674,19,0))</f>
        <v>#NAME?</v>
      </c>
      <c r="O1578" s="32"/>
      <c r="P1578" s="32"/>
      <c r="Q1578" s="33"/>
      <c r="R1578" s="33"/>
      <c r="S1578" s="33"/>
      <c r="T1578" s="63">
        <f t="shared" si="14"/>
        <v>1</v>
      </c>
      <c r="U1578" s="33"/>
      <c r="V1578" s="33"/>
      <c r="W1578" s="33"/>
    </row>
    <row r="1579" spans="1:23" ht="16.5" customHeight="1" x14ac:dyDescent="0.2">
      <c r="A1579" s="35" t="s">
        <v>4685</v>
      </c>
      <c r="B1579" s="35" t="s">
        <v>4686</v>
      </c>
      <c r="C1579" s="35" t="s">
        <v>115</v>
      </c>
      <c r="D1579" s="35" t="s">
        <v>134</v>
      </c>
      <c r="E1579" s="35" t="s">
        <v>39</v>
      </c>
      <c r="F1579" s="28" t="e">
        <f ca="1">_xludf.ifna(VLOOKUP(G1579,Proyectos!$A$2:$F$674,6,0),"")</f>
        <v>#NAME?</v>
      </c>
      <c r="G1579" s="29" t="s">
        <v>5114</v>
      </c>
      <c r="H1579" s="30">
        <v>0.08</v>
      </c>
      <c r="I1579" s="30" t="s">
        <v>18</v>
      </c>
      <c r="J1579" s="31" t="s">
        <v>61</v>
      </c>
      <c r="K1579" s="55"/>
      <c r="L1579" s="32" t="e">
        <f ca="1">_xludf.ifna(VLOOKUP(E1579,Parámetros!$D$2:$E$34,2,0),"")</f>
        <v>#NAME?</v>
      </c>
      <c r="M1579" s="32" t="e">
        <f ca="1">_xludf.ifna(VLOOKUP(G1579,Proyectos!$A$2:$T$674,20,0),"")</f>
        <v>#NAME?</v>
      </c>
      <c r="N1579" s="32" t="e">
        <f ca="1">_xludf.ifna(VLOOKUP(G1579,Proyectos!$A$2:$S$674,19,0))</f>
        <v>#NAME?</v>
      </c>
      <c r="O1579" s="32"/>
      <c r="P1579" s="32"/>
      <c r="Q1579" s="33"/>
      <c r="R1579" s="33"/>
      <c r="S1579" s="33"/>
      <c r="T1579" s="63">
        <f t="shared" si="14"/>
        <v>1</v>
      </c>
      <c r="U1579" s="33"/>
      <c r="V1579" s="33"/>
      <c r="W1579" s="33"/>
    </row>
    <row r="1580" spans="1:23" ht="16.5" customHeight="1" x14ac:dyDescent="0.2">
      <c r="A1580" s="35" t="s">
        <v>4685</v>
      </c>
      <c r="B1580" s="35" t="s">
        <v>4686</v>
      </c>
      <c r="C1580" s="35" t="s">
        <v>115</v>
      </c>
      <c r="D1580" s="35" t="s">
        <v>134</v>
      </c>
      <c r="E1580" s="35" t="s">
        <v>39</v>
      </c>
      <c r="F1580" s="28" t="e">
        <f ca="1">_xludf.ifna(VLOOKUP(G1580,Proyectos!$A$2:$F$674,6,0),"")</f>
        <v>#NAME?</v>
      </c>
      <c r="G1580" s="29" t="s">
        <v>5539</v>
      </c>
      <c r="H1580" s="30">
        <v>0.35</v>
      </c>
      <c r="I1580" s="30" t="s">
        <v>18</v>
      </c>
      <c r="J1580" s="31" t="s">
        <v>61</v>
      </c>
      <c r="K1580" s="55"/>
      <c r="L1580" s="32" t="e">
        <f ca="1">_xludf.ifna(VLOOKUP(E1580,Parámetros!$D$2:$E$34,2,0),"")</f>
        <v>#NAME?</v>
      </c>
      <c r="M1580" s="32" t="e">
        <f ca="1">_xludf.ifna(VLOOKUP(G1580,Proyectos!$A$2:$T$674,20,0),"")</f>
        <v>#NAME?</v>
      </c>
      <c r="N1580" s="32" t="e">
        <f ca="1">_xludf.ifna(VLOOKUP(G1580,Proyectos!$A$2:$S$674,19,0))</f>
        <v>#NAME?</v>
      </c>
      <c r="O1580" s="32"/>
      <c r="P1580" s="32"/>
      <c r="Q1580" s="33"/>
      <c r="R1580" s="33"/>
      <c r="S1580" s="33"/>
      <c r="T1580" s="63">
        <f t="shared" si="14"/>
        <v>0</v>
      </c>
      <c r="U1580" s="33"/>
      <c r="V1580" s="33"/>
      <c r="W1580" s="33"/>
    </row>
    <row r="1581" spans="1:23" ht="16.5" customHeight="1" x14ac:dyDescent="0.2">
      <c r="A1581" s="35" t="s">
        <v>4685</v>
      </c>
      <c r="B1581" s="35" t="s">
        <v>4686</v>
      </c>
      <c r="C1581" s="35" t="s">
        <v>115</v>
      </c>
      <c r="D1581" s="35" t="s">
        <v>134</v>
      </c>
      <c r="E1581" s="35" t="s">
        <v>39</v>
      </c>
      <c r="F1581" s="28" t="e">
        <f ca="1">_xludf.ifna(VLOOKUP(G1581,Proyectos!$A$2:$F$674,6,0),"")</f>
        <v>#NAME?</v>
      </c>
      <c r="G1581" s="29" t="s">
        <v>5114</v>
      </c>
      <c r="H1581" s="30">
        <v>0.03</v>
      </c>
      <c r="I1581" s="30" t="s">
        <v>18</v>
      </c>
      <c r="J1581" s="31" t="s">
        <v>61</v>
      </c>
      <c r="K1581" s="55"/>
      <c r="L1581" s="32" t="e">
        <f ca="1">_xludf.ifna(VLOOKUP(E1581,Parámetros!$D$2:$E$34,2,0),"")</f>
        <v>#NAME?</v>
      </c>
      <c r="M1581" s="32" t="e">
        <f ca="1">_xludf.ifna(VLOOKUP(G1581,Proyectos!$A$2:$T$674,20,0),"")</f>
        <v>#NAME?</v>
      </c>
      <c r="N1581" s="32" t="e">
        <f ca="1">_xludf.ifna(VLOOKUP(G1581,Proyectos!$A$2:$S$674,19,0))</f>
        <v>#NAME?</v>
      </c>
      <c r="O1581" s="32"/>
      <c r="P1581" s="32"/>
      <c r="Q1581" s="33"/>
      <c r="R1581" s="33"/>
      <c r="S1581" s="33"/>
      <c r="T1581" s="63">
        <f t="shared" si="14"/>
        <v>0</v>
      </c>
      <c r="U1581" s="33"/>
      <c r="V1581" s="33"/>
      <c r="W1581" s="33"/>
    </row>
    <row r="1582" spans="1:23" ht="16.5" customHeight="1" x14ac:dyDescent="0.2">
      <c r="A1582" s="35" t="s">
        <v>4699</v>
      </c>
      <c r="B1582" s="35" t="s">
        <v>4700</v>
      </c>
      <c r="C1582" s="35" t="s">
        <v>115</v>
      </c>
      <c r="D1582" s="35" t="s">
        <v>134</v>
      </c>
      <c r="E1582" s="35" t="s">
        <v>39</v>
      </c>
      <c r="F1582" s="28" t="e">
        <f ca="1">_xludf.ifna(VLOOKUP(G1582,Proyectos!$A$2:$F$674,6,0),"")</f>
        <v>#NAME?</v>
      </c>
      <c r="G1582" s="29" t="s">
        <v>5539</v>
      </c>
      <c r="H1582" s="30">
        <v>0.9</v>
      </c>
      <c r="I1582" s="30" t="s">
        <v>18</v>
      </c>
      <c r="J1582" s="31" t="s">
        <v>54</v>
      </c>
      <c r="K1582" s="55"/>
      <c r="L1582" s="32" t="e">
        <f ca="1">_xludf.ifna(VLOOKUP(E1582,Parámetros!$D$2:$E$34,2,0),"")</f>
        <v>#NAME?</v>
      </c>
      <c r="M1582" s="32" t="e">
        <f ca="1">_xludf.ifna(VLOOKUP(G1582,Proyectos!$A$2:$T$674,20,0),"")</f>
        <v>#NAME?</v>
      </c>
      <c r="N1582" s="32" t="e">
        <f ca="1">_xludf.ifna(VLOOKUP(G1582,Proyectos!$A$2:$S$674,19,0))</f>
        <v>#NAME?</v>
      </c>
      <c r="O1582" s="32"/>
      <c r="P1582" s="32"/>
      <c r="Q1582" s="33"/>
      <c r="R1582" s="33"/>
      <c r="S1582" s="33"/>
      <c r="T1582" s="63">
        <f t="shared" si="14"/>
        <v>1</v>
      </c>
      <c r="U1582" s="33"/>
      <c r="V1582" s="33"/>
      <c r="W1582" s="33"/>
    </row>
    <row r="1583" spans="1:23" ht="16.5" customHeight="1" x14ac:dyDescent="0.2">
      <c r="A1583" s="35" t="s">
        <v>4699</v>
      </c>
      <c r="B1583" s="35" t="s">
        <v>4700</v>
      </c>
      <c r="C1583" s="35" t="s">
        <v>115</v>
      </c>
      <c r="D1583" s="35" t="s">
        <v>134</v>
      </c>
      <c r="E1583" s="35" t="s">
        <v>39</v>
      </c>
      <c r="F1583" s="28" t="e">
        <f ca="1">_xludf.ifna(VLOOKUP(G1583,Proyectos!$A$2:$F$674,6,0),"")</f>
        <v>#NAME?</v>
      </c>
      <c r="G1583" s="29" t="s">
        <v>5114</v>
      </c>
      <c r="H1583" s="30">
        <v>0.1</v>
      </c>
      <c r="I1583" s="30" t="s">
        <v>18</v>
      </c>
      <c r="J1583" s="31" t="s">
        <v>54</v>
      </c>
      <c r="K1583" s="55"/>
      <c r="L1583" s="32" t="e">
        <f ca="1">_xludf.ifna(VLOOKUP(E1583,Parámetros!$D$2:$E$34,2,0),"")</f>
        <v>#NAME?</v>
      </c>
      <c r="M1583" s="32" t="e">
        <f ca="1">_xludf.ifna(VLOOKUP(G1583,Proyectos!$A$2:$T$674,20,0),"")</f>
        <v>#NAME?</v>
      </c>
      <c r="N1583" s="32" t="e">
        <f ca="1">_xludf.ifna(VLOOKUP(G1583,Proyectos!$A$2:$S$674,19,0))</f>
        <v>#NAME?</v>
      </c>
      <c r="O1583" s="32"/>
      <c r="P1583" s="32"/>
      <c r="Q1583" s="33"/>
      <c r="R1583" s="33"/>
      <c r="S1583" s="33"/>
      <c r="T1583" s="63">
        <f t="shared" si="14"/>
        <v>0</v>
      </c>
      <c r="U1583" s="33"/>
      <c r="V1583" s="33"/>
      <c r="W1583" s="33"/>
    </row>
    <row r="1584" spans="1:23" ht="16.5" customHeight="1" x14ac:dyDescent="0.2">
      <c r="A1584" s="35" t="s">
        <v>4701</v>
      </c>
      <c r="B1584" s="35" t="s">
        <v>4702</v>
      </c>
      <c r="C1584" s="35" t="s">
        <v>115</v>
      </c>
      <c r="D1584" s="35" t="s">
        <v>134</v>
      </c>
      <c r="E1584" s="35" t="s">
        <v>39</v>
      </c>
      <c r="F1584" s="28" t="e">
        <f ca="1">_xludf.ifna(VLOOKUP(G1584,Proyectos!$A$2:$F$674,6,0),"")</f>
        <v>#NAME?</v>
      </c>
      <c r="G1584" s="29" t="s">
        <v>5539</v>
      </c>
      <c r="H1584" s="30">
        <v>0.9</v>
      </c>
      <c r="I1584" s="30" t="s">
        <v>18</v>
      </c>
      <c r="J1584" s="31" t="s">
        <v>12</v>
      </c>
      <c r="K1584" s="55"/>
      <c r="L1584" s="32" t="e">
        <f ca="1">_xludf.ifna(VLOOKUP(E1584,Parámetros!$D$2:$E$34,2,0),"")</f>
        <v>#NAME?</v>
      </c>
      <c r="M1584" s="32" t="e">
        <f ca="1">_xludf.ifna(VLOOKUP(G1584,Proyectos!$A$2:$T$674,20,0),"")</f>
        <v>#NAME?</v>
      </c>
      <c r="N1584" s="32" t="e">
        <f ca="1">_xludf.ifna(VLOOKUP(G1584,Proyectos!$A$2:$S$674,19,0))</f>
        <v>#NAME?</v>
      </c>
      <c r="O1584" s="32"/>
      <c r="P1584" s="32"/>
      <c r="Q1584" s="33"/>
      <c r="R1584" s="33"/>
      <c r="S1584" s="33"/>
      <c r="T1584" s="63">
        <f t="shared" si="14"/>
        <v>1</v>
      </c>
      <c r="U1584" s="33"/>
      <c r="V1584" s="33"/>
      <c r="W1584" s="33"/>
    </row>
    <row r="1585" spans="1:23" ht="16.5" customHeight="1" x14ac:dyDescent="0.2">
      <c r="A1585" s="35" t="s">
        <v>4701</v>
      </c>
      <c r="B1585" s="35" t="s">
        <v>4702</v>
      </c>
      <c r="C1585" s="35" t="s">
        <v>115</v>
      </c>
      <c r="D1585" s="35" t="s">
        <v>134</v>
      </c>
      <c r="E1585" s="35" t="s">
        <v>39</v>
      </c>
      <c r="F1585" s="28" t="e">
        <f ca="1">_xludf.ifna(VLOOKUP(G1585,Proyectos!$A$2:$F$674,6,0),"")</f>
        <v>#NAME?</v>
      </c>
      <c r="G1585" s="29" t="s">
        <v>5114</v>
      </c>
      <c r="H1585" s="30">
        <v>0.1</v>
      </c>
      <c r="I1585" s="30" t="s">
        <v>18</v>
      </c>
      <c r="J1585" s="31" t="s">
        <v>12</v>
      </c>
      <c r="K1585" s="55"/>
      <c r="L1585" s="32" t="e">
        <f ca="1">_xludf.ifna(VLOOKUP(E1585,Parámetros!$D$2:$E$34,2,0),"")</f>
        <v>#NAME?</v>
      </c>
      <c r="M1585" s="32" t="e">
        <f ca="1">_xludf.ifna(VLOOKUP(G1585,Proyectos!$A$2:$T$674,20,0),"")</f>
        <v>#NAME?</v>
      </c>
      <c r="N1585" s="32" t="e">
        <f ca="1">_xludf.ifna(VLOOKUP(G1585,Proyectos!$A$2:$S$674,19,0))</f>
        <v>#NAME?</v>
      </c>
      <c r="O1585" s="32"/>
      <c r="P1585" s="32"/>
      <c r="Q1585" s="33"/>
      <c r="R1585" s="33"/>
      <c r="S1585" s="33"/>
      <c r="T1585" s="63">
        <f t="shared" si="14"/>
        <v>0</v>
      </c>
      <c r="U1585" s="33"/>
      <c r="V1585" s="33"/>
      <c r="W1585" s="33"/>
    </row>
    <row r="1586" spans="1:23" ht="16.5" customHeight="1" x14ac:dyDescent="0.2">
      <c r="A1586" s="56" t="s">
        <v>4790</v>
      </c>
      <c r="B1586" s="35" t="s">
        <v>4791</v>
      </c>
      <c r="C1586" s="35" t="s">
        <v>115</v>
      </c>
      <c r="D1586" s="80" t="s">
        <v>134</v>
      </c>
      <c r="E1586" s="93" t="s">
        <v>39</v>
      </c>
      <c r="F1586" s="28" t="e">
        <f ca="1">_xludf.ifna(VLOOKUP(G1586,Proyectos!$A$2:$F$674,6,0),"")</f>
        <v>#NAME?</v>
      </c>
      <c r="G1586" s="29" t="s">
        <v>5539</v>
      </c>
      <c r="H1586" s="30">
        <v>1</v>
      </c>
      <c r="I1586" s="30" t="s">
        <v>11</v>
      </c>
      <c r="J1586" s="31" t="s">
        <v>54</v>
      </c>
      <c r="K1586" s="55"/>
      <c r="L1586" s="32" t="e">
        <f ca="1">_xludf.ifna(VLOOKUP(E1586,Parámetros!$D$2:$E$34,2,0),"")</f>
        <v>#NAME?</v>
      </c>
      <c r="M1586" s="32" t="e">
        <f ca="1">_xludf.ifna(VLOOKUP(G1586,Proyectos!$A$2:$T$674,20,0),"")</f>
        <v>#NAME?</v>
      </c>
      <c r="N1586" s="32" t="e">
        <f ca="1">_xludf.ifna(VLOOKUP(G1586,Proyectos!$A$2:$S$674,19,0))</f>
        <v>#NAME?</v>
      </c>
      <c r="O1586" s="32"/>
      <c r="P1586" s="32"/>
      <c r="Q1586" s="33"/>
      <c r="R1586" s="33"/>
      <c r="S1586" s="33"/>
      <c r="T1586" s="63">
        <f t="shared" si="14"/>
        <v>1</v>
      </c>
      <c r="U1586" s="33"/>
      <c r="V1586" s="33"/>
      <c r="W1586" s="33"/>
    </row>
    <row r="1587" spans="1:23" ht="16.5" customHeight="1" x14ac:dyDescent="0.2">
      <c r="A1587" s="35" t="s">
        <v>4685</v>
      </c>
      <c r="B1587" s="35" t="s">
        <v>4686</v>
      </c>
      <c r="C1587" s="35" t="s">
        <v>115</v>
      </c>
      <c r="D1587" s="35" t="s">
        <v>134</v>
      </c>
      <c r="E1587" s="35" t="s">
        <v>39</v>
      </c>
      <c r="F1587" s="28" t="e">
        <f ca="1">_xludf.ifna(VLOOKUP(G1587,Proyectos!$A$2:$F$674,6,0),"")</f>
        <v>#NAME?</v>
      </c>
      <c r="G1587" s="35" t="s">
        <v>5114</v>
      </c>
      <c r="H1587" s="30">
        <v>0.03</v>
      </c>
      <c r="I1587" s="30" t="s">
        <v>18</v>
      </c>
      <c r="J1587" s="31" t="s">
        <v>61</v>
      </c>
      <c r="K1587" s="55"/>
      <c r="L1587" s="32" t="e">
        <f ca="1">_xludf.ifna(VLOOKUP(E1587,Parámetros!$D$2:$E$34,2,0),"")</f>
        <v>#NAME?</v>
      </c>
      <c r="M1587" s="32" t="e">
        <f ca="1">_xludf.ifna(VLOOKUP(G1587,Proyectos!$A$2:$T$674,20,0),"")</f>
        <v>#NAME?</v>
      </c>
      <c r="N1587" s="32" t="e">
        <f ca="1">_xludf.ifna(VLOOKUP(G1587,Proyectos!$A$2:$S$674,19,0))</f>
        <v>#NAME?</v>
      </c>
      <c r="O1587" s="32"/>
      <c r="P1587" s="32"/>
      <c r="Q1587" s="33"/>
      <c r="R1587" s="33"/>
      <c r="S1587" s="33"/>
      <c r="T1587" s="63">
        <f t="shared" si="14"/>
        <v>1</v>
      </c>
      <c r="U1587" s="33"/>
      <c r="V1587" s="33"/>
      <c r="W1587" s="33"/>
    </row>
    <row r="1588" spans="1:23" ht="16.5" customHeight="1" x14ac:dyDescent="0.2">
      <c r="A1588" s="35" t="s">
        <v>4685</v>
      </c>
      <c r="B1588" s="35" t="s">
        <v>4686</v>
      </c>
      <c r="C1588" s="35" t="s">
        <v>115</v>
      </c>
      <c r="D1588" s="35" t="s">
        <v>134</v>
      </c>
      <c r="E1588" s="35" t="s">
        <v>39</v>
      </c>
      <c r="F1588" s="28" t="e">
        <f ca="1">_xludf.ifna(VLOOKUP(G1588,Proyectos!$A$2:$F$674,6,0),"")</f>
        <v>#NAME?</v>
      </c>
      <c r="G1588" s="35" t="s">
        <v>5114</v>
      </c>
      <c r="H1588" s="30">
        <v>0.03</v>
      </c>
      <c r="I1588" s="30" t="s">
        <v>18</v>
      </c>
      <c r="J1588" s="31" t="s">
        <v>61</v>
      </c>
      <c r="K1588" s="55"/>
      <c r="L1588" s="32" t="e">
        <f ca="1">_xludf.ifna(VLOOKUP(E1588,Parámetros!$D$2:$E$34,2,0),"")</f>
        <v>#NAME?</v>
      </c>
      <c r="M1588" s="32" t="e">
        <f ca="1">_xludf.ifna(VLOOKUP(G1588,Proyectos!$A$2:$T$674,20,0),"")</f>
        <v>#NAME?</v>
      </c>
      <c r="N1588" s="32" t="e">
        <f ca="1">_xludf.ifna(VLOOKUP(G1588,Proyectos!$A$2:$S$674,19,0))</f>
        <v>#NAME?</v>
      </c>
      <c r="O1588" s="32"/>
      <c r="P1588" s="32"/>
      <c r="Q1588" s="33"/>
      <c r="R1588" s="33"/>
      <c r="S1588" s="33"/>
      <c r="T1588" s="63">
        <f t="shared" si="14"/>
        <v>0</v>
      </c>
      <c r="U1588" s="33"/>
      <c r="V1588" s="33"/>
      <c r="W1588" s="33"/>
    </row>
    <row r="1589" spans="1:23" ht="16.5" customHeight="1" x14ac:dyDescent="0.2">
      <c r="A1589" s="35" t="s">
        <v>4685</v>
      </c>
      <c r="B1589" s="35" t="s">
        <v>4686</v>
      </c>
      <c r="C1589" s="35" t="s">
        <v>115</v>
      </c>
      <c r="D1589" s="35" t="s">
        <v>134</v>
      </c>
      <c r="E1589" s="35" t="s">
        <v>39</v>
      </c>
      <c r="F1589" s="28" t="e">
        <f ca="1">_xludf.ifna(VLOOKUP(G1589,Proyectos!$A$2:$F$674,6,0),"")</f>
        <v>#NAME?</v>
      </c>
      <c r="G1589" s="35" t="s">
        <v>5114</v>
      </c>
      <c r="H1589" s="30">
        <v>0.03</v>
      </c>
      <c r="I1589" s="30" t="s">
        <v>18</v>
      </c>
      <c r="J1589" s="31" t="s">
        <v>61</v>
      </c>
      <c r="K1589" s="55"/>
      <c r="L1589" s="32" t="e">
        <f ca="1">_xludf.ifna(VLOOKUP(E1589,Parámetros!$D$2:$E$34,2,0),"")</f>
        <v>#NAME?</v>
      </c>
      <c r="M1589" s="32" t="e">
        <f ca="1">_xludf.ifna(VLOOKUP(G1589,Proyectos!$A$2:$T$674,20,0),"")</f>
        <v>#NAME?</v>
      </c>
      <c r="N1589" s="32" t="e">
        <f ca="1">_xludf.ifna(VLOOKUP(G1589,Proyectos!$A$2:$S$674,19,0))</f>
        <v>#NAME?</v>
      </c>
      <c r="O1589" s="32"/>
      <c r="P1589" s="32"/>
      <c r="Q1589" s="33"/>
      <c r="R1589" s="33"/>
      <c r="S1589" s="33"/>
      <c r="T1589" s="63">
        <f t="shared" si="14"/>
        <v>0</v>
      </c>
      <c r="U1589" s="33"/>
      <c r="V1589" s="33"/>
      <c r="W1589" s="33"/>
    </row>
    <row r="1590" spans="1:23" ht="16.5" customHeight="1" x14ac:dyDescent="0.2">
      <c r="A1590" s="35" t="s">
        <v>4685</v>
      </c>
      <c r="B1590" s="35" t="s">
        <v>4686</v>
      </c>
      <c r="C1590" s="35" t="s">
        <v>115</v>
      </c>
      <c r="D1590" s="35" t="s">
        <v>134</v>
      </c>
      <c r="E1590" s="35" t="s">
        <v>39</v>
      </c>
      <c r="F1590" s="28" t="e">
        <f ca="1">_xludf.ifna(VLOOKUP(G1590,Proyectos!$A$2:$F$674,6,0),"")</f>
        <v>#NAME?</v>
      </c>
      <c r="G1590" s="35" t="s">
        <v>5114</v>
      </c>
      <c r="H1590" s="30">
        <v>0.03</v>
      </c>
      <c r="I1590" s="30" t="s">
        <v>18</v>
      </c>
      <c r="J1590" s="31" t="s">
        <v>61</v>
      </c>
      <c r="K1590" s="55"/>
      <c r="L1590" s="32" t="e">
        <f ca="1">_xludf.ifna(VLOOKUP(E1590,Parámetros!$D$2:$E$34,2,0),"")</f>
        <v>#NAME?</v>
      </c>
      <c r="M1590" s="32" t="e">
        <f ca="1">_xludf.ifna(VLOOKUP(G1590,Proyectos!$A$2:$T$674,20,0),"")</f>
        <v>#NAME?</v>
      </c>
      <c r="N1590" s="32" t="e">
        <f ca="1">_xludf.ifna(VLOOKUP(G1590,Proyectos!$A$2:$S$674,19,0))</f>
        <v>#NAME?</v>
      </c>
      <c r="O1590" s="32"/>
      <c r="P1590" s="32"/>
      <c r="Q1590" s="33"/>
      <c r="R1590" s="33"/>
      <c r="S1590" s="33"/>
      <c r="T1590" s="63">
        <f t="shared" si="14"/>
        <v>0</v>
      </c>
      <c r="U1590" s="33"/>
      <c r="V1590" s="33"/>
      <c r="W1590" s="33"/>
    </row>
    <row r="1591" spans="1:23" ht="16.5" customHeight="1" x14ac:dyDescent="0.2">
      <c r="A1591" s="35" t="s">
        <v>4685</v>
      </c>
      <c r="B1591" s="35" t="s">
        <v>4686</v>
      </c>
      <c r="C1591" s="35" t="s">
        <v>115</v>
      </c>
      <c r="D1591" s="35" t="s">
        <v>134</v>
      </c>
      <c r="E1591" s="35" t="s">
        <v>39</v>
      </c>
      <c r="F1591" s="28" t="e">
        <f ca="1">_xludf.ifna(VLOOKUP(G1591,Proyectos!$A$2:$F$674,6,0),"")</f>
        <v>#NAME?</v>
      </c>
      <c r="G1591" s="35" t="s">
        <v>5114</v>
      </c>
      <c r="H1591" s="30">
        <v>0.03</v>
      </c>
      <c r="I1591" s="30" t="s">
        <v>18</v>
      </c>
      <c r="J1591" s="31" t="s">
        <v>61</v>
      </c>
      <c r="K1591" s="55"/>
      <c r="L1591" s="32" t="e">
        <f ca="1">_xludf.ifna(VLOOKUP(E1591,Parámetros!$D$2:$E$34,2,0),"")</f>
        <v>#NAME?</v>
      </c>
      <c r="M1591" s="32" t="e">
        <f ca="1">_xludf.ifna(VLOOKUP(G1591,Proyectos!$A$2:$T$674,20,0),"")</f>
        <v>#NAME?</v>
      </c>
      <c r="N1591" s="32" t="e">
        <f ca="1">_xludf.ifna(VLOOKUP(G1591,Proyectos!$A$2:$S$674,19,0))</f>
        <v>#NAME?</v>
      </c>
      <c r="O1591" s="32"/>
      <c r="P1591" s="32"/>
      <c r="Q1591" s="33"/>
      <c r="R1591" s="33"/>
      <c r="S1591" s="33"/>
      <c r="T1591" s="63">
        <f t="shared" si="14"/>
        <v>0</v>
      </c>
      <c r="U1591" s="33"/>
      <c r="V1591" s="33"/>
      <c r="W1591" s="33"/>
    </row>
    <row r="1592" spans="1:23" ht="16.5" customHeight="1" x14ac:dyDescent="0.2">
      <c r="A1592" s="35" t="s">
        <v>4685</v>
      </c>
      <c r="B1592" s="35" t="s">
        <v>4686</v>
      </c>
      <c r="C1592" s="35" t="s">
        <v>115</v>
      </c>
      <c r="D1592" s="35" t="s">
        <v>134</v>
      </c>
      <c r="E1592" s="35" t="s">
        <v>39</v>
      </c>
      <c r="F1592" s="28" t="e">
        <f ca="1">_xludf.ifna(VLOOKUP(G1592,Proyectos!$A$2:$F$674,6,0),"")</f>
        <v>#NAME?</v>
      </c>
      <c r="G1592" s="35" t="s">
        <v>5114</v>
      </c>
      <c r="H1592" s="30">
        <v>0.03</v>
      </c>
      <c r="I1592" s="30" t="s">
        <v>18</v>
      </c>
      <c r="J1592" s="31" t="s">
        <v>61</v>
      </c>
      <c r="K1592" s="55"/>
      <c r="L1592" s="32" t="e">
        <f ca="1">_xludf.ifna(VLOOKUP(E1592,Parámetros!$D$2:$E$34,2,0),"")</f>
        <v>#NAME?</v>
      </c>
      <c r="M1592" s="32" t="e">
        <f ca="1">_xludf.ifna(VLOOKUP(G1592,Proyectos!$A$2:$T$674,20,0),"")</f>
        <v>#NAME?</v>
      </c>
      <c r="N1592" s="32" t="e">
        <f ca="1">_xludf.ifna(VLOOKUP(G1592,Proyectos!$A$2:$S$674,19,0))</f>
        <v>#NAME?</v>
      </c>
      <c r="O1592" s="32"/>
      <c r="P1592" s="32"/>
      <c r="Q1592" s="33"/>
      <c r="R1592" s="33"/>
      <c r="S1592" s="33"/>
      <c r="T1592" s="63">
        <f t="shared" si="14"/>
        <v>0</v>
      </c>
      <c r="U1592" s="33"/>
      <c r="V1592" s="33"/>
      <c r="W1592" s="33"/>
    </row>
    <row r="1593" spans="1:23" ht="16.5" customHeight="1" x14ac:dyDescent="0.2">
      <c r="A1593" s="35" t="s">
        <v>4685</v>
      </c>
      <c r="B1593" s="35" t="s">
        <v>4686</v>
      </c>
      <c r="C1593" s="35" t="s">
        <v>115</v>
      </c>
      <c r="D1593" s="35" t="s">
        <v>134</v>
      </c>
      <c r="E1593" s="35" t="s">
        <v>39</v>
      </c>
      <c r="F1593" s="28" t="e">
        <f ca="1">_xludf.ifna(VLOOKUP(G1593,Proyectos!$A$2:$F$674,6,0),"")</f>
        <v>#NAME?</v>
      </c>
      <c r="G1593" s="35" t="s">
        <v>5114</v>
      </c>
      <c r="H1593" s="30">
        <v>0.03</v>
      </c>
      <c r="I1593" s="30" t="s">
        <v>18</v>
      </c>
      <c r="J1593" s="31" t="s">
        <v>61</v>
      </c>
      <c r="K1593" s="55"/>
      <c r="L1593" s="32" t="e">
        <f ca="1">_xludf.ifna(VLOOKUP(E1593,Parámetros!$D$2:$E$34,2,0),"")</f>
        <v>#NAME?</v>
      </c>
      <c r="M1593" s="32" t="e">
        <f ca="1">_xludf.ifna(VLOOKUP(G1593,Proyectos!$A$2:$T$674,20,0),"")</f>
        <v>#NAME?</v>
      </c>
      <c r="N1593" s="32" t="e">
        <f ca="1">_xludf.ifna(VLOOKUP(G1593,Proyectos!$A$2:$S$674,19,0))</f>
        <v>#NAME?</v>
      </c>
      <c r="O1593" s="32"/>
      <c r="P1593" s="32"/>
      <c r="Q1593" s="33"/>
      <c r="R1593" s="33"/>
      <c r="S1593" s="33"/>
      <c r="T1593" s="63">
        <f t="shared" si="14"/>
        <v>0</v>
      </c>
      <c r="U1593" s="33"/>
      <c r="V1593" s="33"/>
      <c r="W1593" s="33"/>
    </row>
    <row r="1594" spans="1:23" ht="16.5" customHeight="1" x14ac:dyDescent="0.2">
      <c r="A1594" s="35" t="s">
        <v>4685</v>
      </c>
      <c r="B1594" s="35" t="s">
        <v>4686</v>
      </c>
      <c r="C1594" s="35" t="s">
        <v>115</v>
      </c>
      <c r="D1594" s="35" t="s">
        <v>134</v>
      </c>
      <c r="E1594" s="35" t="s">
        <v>39</v>
      </c>
      <c r="F1594" s="28" t="e">
        <f ca="1">_xludf.ifna(VLOOKUP(G1594,Proyectos!$A$2:$F$674,6,0),"")</f>
        <v>#NAME?</v>
      </c>
      <c r="G1594" s="35" t="s">
        <v>5114</v>
      </c>
      <c r="H1594" s="30">
        <v>0.03</v>
      </c>
      <c r="I1594" s="30" t="s">
        <v>18</v>
      </c>
      <c r="J1594" s="31" t="s">
        <v>61</v>
      </c>
      <c r="K1594" s="55"/>
      <c r="L1594" s="32" t="e">
        <f ca="1">_xludf.ifna(VLOOKUP(E1594,Parámetros!$D$2:$E$34,2,0),"")</f>
        <v>#NAME?</v>
      </c>
      <c r="M1594" s="32" t="e">
        <f ca="1">_xludf.ifna(VLOOKUP(G1594,Proyectos!$A$2:$T$674,20,0),"")</f>
        <v>#NAME?</v>
      </c>
      <c r="N1594" s="32" t="e">
        <f ca="1">_xludf.ifna(VLOOKUP(G1594,Proyectos!$A$2:$S$674,19,0))</f>
        <v>#NAME?</v>
      </c>
      <c r="O1594" s="32"/>
      <c r="P1594" s="32"/>
      <c r="Q1594" s="33"/>
      <c r="R1594" s="33"/>
      <c r="S1594" s="33"/>
      <c r="T1594" s="63">
        <f t="shared" si="14"/>
        <v>0</v>
      </c>
      <c r="U1594" s="33"/>
      <c r="V1594" s="33"/>
      <c r="W1594" s="33"/>
    </row>
    <row r="1595" spans="1:23" ht="16.5" customHeight="1" x14ac:dyDescent="0.2">
      <c r="A1595" s="35" t="s">
        <v>4625</v>
      </c>
      <c r="B1595" s="35" t="s">
        <v>4626</v>
      </c>
      <c r="C1595" s="35" t="s">
        <v>115</v>
      </c>
      <c r="D1595" s="35" t="s">
        <v>134</v>
      </c>
      <c r="E1595" s="35" t="s">
        <v>39</v>
      </c>
      <c r="F1595" s="28" t="e">
        <f ca="1">_xludf.ifna(VLOOKUP(G1595,Proyectos!$A$2:$F$674,6,0),"")</f>
        <v>#NAME?</v>
      </c>
      <c r="G1595" s="35" t="s">
        <v>5114</v>
      </c>
      <c r="H1595" s="30">
        <v>0.03</v>
      </c>
      <c r="I1595" s="30" t="s">
        <v>18</v>
      </c>
      <c r="J1595" s="31" t="s">
        <v>61</v>
      </c>
      <c r="K1595" s="55"/>
      <c r="L1595" s="32" t="e">
        <f ca="1">_xludf.ifna(VLOOKUP(E1595,Parámetros!$D$2:$E$34,2,0),"")</f>
        <v>#NAME?</v>
      </c>
      <c r="M1595" s="32" t="e">
        <f ca="1">_xludf.ifna(VLOOKUP(G1595,Proyectos!$A$2:$T$674,20,0),"")</f>
        <v>#NAME?</v>
      </c>
      <c r="N1595" s="32" t="e">
        <f ca="1">_xludf.ifna(VLOOKUP(G1595,Proyectos!$A$2:$S$674,19,0))</f>
        <v>#NAME?</v>
      </c>
      <c r="O1595" s="32"/>
      <c r="P1595" s="32"/>
      <c r="Q1595" s="33"/>
      <c r="R1595" s="33"/>
      <c r="S1595" s="33"/>
      <c r="T1595" s="63">
        <f t="shared" si="14"/>
        <v>1</v>
      </c>
      <c r="U1595" s="33"/>
      <c r="V1595" s="33"/>
      <c r="W1595" s="33"/>
    </row>
    <row r="1596" spans="1:23" ht="16.5" customHeight="1" x14ac:dyDescent="0.2">
      <c r="A1596" s="35" t="s">
        <v>4625</v>
      </c>
      <c r="B1596" s="35" t="s">
        <v>4626</v>
      </c>
      <c r="C1596" s="35" t="s">
        <v>115</v>
      </c>
      <c r="D1596" s="35" t="s">
        <v>134</v>
      </c>
      <c r="E1596" s="35" t="s">
        <v>39</v>
      </c>
      <c r="F1596" s="28" t="e">
        <f ca="1">_xludf.ifna(VLOOKUP(G1596,Proyectos!$A$2:$F$674,6,0),"")</f>
        <v>#NAME?</v>
      </c>
      <c r="G1596" s="35" t="s">
        <v>5114</v>
      </c>
      <c r="H1596" s="30">
        <v>0.03</v>
      </c>
      <c r="I1596" s="30" t="s">
        <v>11</v>
      </c>
      <c r="J1596" s="31" t="s">
        <v>61</v>
      </c>
      <c r="K1596" s="55"/>
      <c r="L1596" s="32" t="e">
        <f ca="1">_xludf.ifna(VLOOKUP(E1596,Parámetros!$D$2:$E$34,2,0),"")</f>
        <v>#NAME?</v>
      </c>
      <c r="M1596" s="32" t="e">
        <f ca="1">_xludf.ifna(VLOOKUP(G1596,Proyectos!$A$2:$T$674,20,0),"")</f>
        <v>#NAME?</v>
      </c>
      <c r="N1596" s="32" t="e">
        <f ca="1">_xludf.ifna(VLOOKUP(G1596,Proyectos!$A$2:$S$674,19,0))</f>
        <v>#NAME?</v>
      </c>
      <c r="O1596" s="32"/>
      <c r="P1596" s="32"/>
      <c r="Q1596" s="33"/>
      <c r="R1596" s="33"/>
      <c r="S1596" s="33"/>
      <c r="T1596" s="63">
        <f t="shared" si="14"/>
        <v>0</v>
      </c>
      <c r="U1596" s="33"/>
      <c r="V1596" s="33"/>
      <c r="W1596" s="33"/>
    </row>
    <row r="1597" spans="1:23" ht="16.5" customHeight="1" x14ac:dyDescent="0.2">
      <c r="A1597" s="35" t="s">
        <v>4625</v>
      </c>
      <c r="B1597" s="35" t="s">
        <v>4626</v>
      </c>
      <c r="C1597" s="35" t="s">
        <v>115</v>
      </c>
      <c r="D1597" s="35" t="s">
        <v>134</v>
      </c>
      <c r="E1597" s="35" t="s">
        <v>39</v>
      </c>
      <c r="F1597" s="28" t="e">
        <f ca="1">_xludf.ifna(VLOOKUP(G1597,Proyectos!$A$2:$F$674,6,0),"")</f>
        <v>#NAME?</v>
      </c>
      <c r="G1597" s="35" t="s">
        <v>5114</v>
      </c>
      <c r="H1597" s="30">
        <v>0.03</v>
      </c>
      <c r="I1597" s="30" t="s">
        <v>11</v>
      </c>
      <c r="J1597" s="31" t="s">
        <v>61</v>
      </c>
      <c r="K1597" s="55"/>
      <c r="L1597" s="32" t="e">
        <f ca="1">_xludf.ifna(VLOOKUP(E1597,Parámetros!$D$2:$E$34,2,0),"")</f>
        <v>#NAME?</v>
      </c>
      <c r="M1597" s="32" t="e">
        <f ca="1">_xludf.ifna(VLOOKUP(G1597,Proyectos!$A$2:$T$674,20,0),"")</f>
        <v>#NAME?</v>
      </c>
      <c r="N1597" s="32" t="e">
        <f ca="1">_xludf.ifna(VLOOKUP(G1597,Proyectos!$A$2:$S$674,19,0))</f>
        <v>#NAME?</v>
      </c>
      <c r="O1597" s="32"/>
      <c r="P1597" s="32"/>
      <c r="Q1597" s="33"/>
      <c r="R1597" s="33"/>
      <c r="S1597" s="33"/>
      <c r="T1597" s="63">
        <f t="shared" si="14"/>
        <v>0</v>
      </c>
      <c r="U1597" s="33"/>
      <c r="V1597" s="33"/>
      <c r="W1597" s="33"/>
    </row>
    <row r="1598" spans="1:23" ht="16.5" customHeight="1" x14ac:dyDescent="0.2">
      <c r="A1598" s="35" t="s">
        <v>4625</v>
      </c>
      <c r="B1598" s="35" t="s">
        <v>4626</v>
      </c>
      <c r="C1598" s="35" t="s">
        <v>115</v>
      </c>
      <c r="D1598" s="35" t="s">
        <v>134</v>
      </c>
      <c r="E1598" s="35" t="s">
        <v>39</v>
      </c>
      <c r="F1598" s="28" t="e">
        <f ca="1">_xludf.ifna(VLOOKUP(G1598,Proyectos!$A$2:$F$674,6,0),"")</f>
        <v>#NAME?</v>
      </c>
      <c r="G1598" s="35" t="s">
        <v>5114</v>
      </c>
      <c r="H1598" s="30">
        <v>0.03</v>
      </c>
      <c r="I1598" s="30" t="s">
        <v>11</v>
      </c>
      <c r="J1598" s="31" t="s">
        <v>61</v>
      </c>
      <c r="K1598" s="55"/>
      <c r="L1598" s="32" t="e">
        <f ca="1">_xludf.ifna(VLOOKUP(E1598,Parámetros!$D$2:$E$34,2,0),"")</f>
        <v>#NAME?</v>
      </c>
      <c r="M1598" s="32" t="e">
        <f ca="1">_xludf.ifna(VLOOKUP(G1598,Proyectos!$A$2:$T$674,20,0),"")</f>
        <v>#NAME?</v>
      </c>
      <c r="N1598" s="32" t="e">
        <f ca="1">_xludf.ifna(VLOOKUP(G1598,Proyectos!$A$2:$S$674,19,0))</f>
        <v>#NAME?</v>
      </c>
      <c r="O1598" s="32"/>
      <c r="P1598" s="32"/>
      <c r="Q1598" s="33"/>
      <c r="R1598" s="33"/>
      <c r="S1598" s="33"/>
      <c r="T1598" s="63">
        <f t="shared" si="14"/>
        <v>0</v>
      </c>
      <c r="U1598" s="33"/>
      <c r="V1598" s="33"/>
      <c r="W1598" s="33"/>
    </row>
    <row r="1599" spans="1:23" ht="16.5" customHeight="1" x14ac:dyDescent="0.2">
      <c r="A1599" s="35" t="s">
        <v>4625</v>
      </c>
      <c r="B1599" s="35" t="s">
        <v>4626</v>
      </c>
      <c r="C1599" s="35" t="s">
        <v>115</v>
      </c>
      <c r="D1599" s="35" t="s">
        <v>134</v>
      </c>
      <c r="E1599" s="35" t="s">
        <v>39</v>
      </c>
      <c r="F1599" s="28" t="e">
        <f ca="1">_xludf.ifna(VLOOKUP(G1599,Proyectos!$A$2:$F$674,6,0),"")</f>
        <v>#NAME?</v>
      </c>
      <c r="G1599" s="35" t="s">
        <v>5114</v>
      </c>
      <c r="H1599" s="30">
        <v>0.03</v>
      </c>
      <c r="I1599" s="30" t="s">
        <v>11</v>
      </c>
      <c r="J1599" s="31" t="s">
        <v>61</v>
      </c>
      <c r="K1599" s="55"/>
      <c r="L1599" s="32" t="e">
        <f ca="1">_xludf.ifna(VLOOKUP(E1599,Parámetros!$D$2:$E$34,2,0),"")</f>
        <v>#NAME?</v>
      </c>
      <c r="M1599" s="32" t="e">
        <f ca="1">_xludf.ifna(VLOOKUP(G1599,Proyectos!$A$2:$T$674,20,0),"")</f>
        <v>#NAME?</v>
      </c>
      <c r="N1599" s="32" t="e">
        <f ca="1">_xludf.ifna(VLOOKUP(G1599,Proyectos!$A$2:$S$674,19,0))</f>
        <v>#NAME?</v>
      </c>
      <c r="O1599" s="32"/>
      <c r="P1599" s="32"/>
      <c r="Q1599" s="33"/>
      <c r="R1599" s="33"/>
      <c r="S1599" s="33"/>
      <c r="T1599" s="63">
        <f t="shared" si="14"/>
        <v>0</v>
      </c>
      <c r="U1599" s="33"/>
      <c r="V1599" s="33"/>
      <c r="W1599" s="33"/>
    </row>
    <row r="1600" spans="1:23" ht="16.5" customHeight="1" x14ac:dyDescent="0.2">
      <c r="A1600" s="35" t="s">
        <v>4625</v>
      </c>
      <c r="B1600" s="35" t="s">
        <v>4626</v>
      </c>
      <c r="C1600" s="35" t="s">
        <v>115</v>
      </c>
      <c r="D1600" s="35" t="s">
        <v>134</v>
      </c>
      <c r="E1600" s="35" t="s">
        <v>39</v>
      </c>
      <c r="F1600" s="28" t="e">
        <f ca="1">_xludf.ifna(VLOOKUP(G1600,Proyectos!$A$2:$F$674,6,0),"")</f>
        <v>#NAME?</v>
      </c>
      <c r="G1600" s="35" t="s">
        <v>5114</v>
      </c>
      <c r="H1600" s="30">
        <v>0.03</v>
      </c>
      <c r="I1600" s="30" t="s">
        <v>11</v>
      </c>
      <c r="J1600" s="31" t="s">
        <v>61</v>
      </c>
      <c r="K1600" s="55"/>
      <c r="L1600" s="32" t="e">
        <f ca="1">_xludf.ifna(VLOOKUP(E1600,Parámetros!$D$2:$E$34,2,0),"")</f>
        <v>#NAME?</v>
      </c>
      <c r="M1600" s="32" t="e">
        <f ca="1">_xludf.ifna(VLOOKUP(G1600,Proyectos!$A$2:$T$674,20,0),"")</f>
        <v>#NAME?</v>
      </c>
      <c r="N1600" s="32" t="e">
        <f ca="1">_xludf.ifna(VLOOKUP(G1600,Proyectos!$A$2:$S$674,19,0))</f>
        <v>#NAME?</v>
      </c>
      <c r="O1600" s="32"/>
      <c r="P1600" s="32"/>
      <c r="Q1600" s="33"/>
      <c r="R1600" s="33"/>
      <c r="S1600" s="33"/>
      <c r="T1600" s="63">
        <f t="shared" si="14"/>
        <v>0</v>
      </c>
      <c r="U1600" s="33"/>
      <c r="V1600" s="33"/>
      <c r="W1600" s="33"/>
    </row>
    <row r="1601" spans="1:23" ht="16.5" customHeight="1" x14ac:dyDescent="0.2">
      <c r="A1601" s="35" t="s">
        <v>4625</v>
      </c>
      <c r="B1601" s="35" t="s">
        <v>4626</v>
      </c>
      <c r="C1601" s="35" t="s">
        <v>115</v>
      </c>
      <c r="D1601" s="35" t="s">
        <v>134</v>
      </c>
      <c r="E1601" s="35" t="s">
        <v>39</v>
      </c>
      <c r="F1601" s="28" t="e">
        <f ca="1">_xludf.ifna(VLOOKUP(G1601,Proyectos!$A$2:$F$674,6,0),"")</f>
        <v>#NAME?</v>
      </c>
      <c r="G1601" s="35" t="s">
        <v>5114</v>
      </c>
      <c r="H1601" s="30">
        <v>0.03</v>
      </c>
      <c r="I1601" s="30" t="s">
        <v>11</v>
      </c>
      <c r="J1601" s="31" t="s">
        <v>61</v>
      </c>
      <c r="K1601" s="55"/>
      <c r="L1601" s="32" t="e">
        <f ca="1">_xludf.ifna(VLOOKUP(E1601,Parámetros!$D$2:$E$34,2,0),"")</f>
        <v>#NAME?</v>
      </c>
      <c r="M1601" s="32" t="e">
        <f ca="1">_xludf.ifna(VLOOKUP(G1601,Proyectos!$A$2:$T$674,20,0),"")</f>
        <v>#NAME?</v>
      </c>
      <c r="N1601" s="32" t="e">
        <f ca="1">_xludf.ifna(VLOOKUP(G1601,Proyectos!$A$2:$S$674,19,0))</f>
        <v>#NAME?</v>
      </c>
      <c r="O1601" s="32"/>
      <c r="P1601" s="32"/>
      <c r="Q1601" s="33"/>
      <c r="R1601" s="33"/>
      <c r="S1601" s="33"/>
      <c r="T1601" s="63">
        <f t="shared" si="14"/>
        <v>0</v>
      </c>
      <c r="U1601" s="33"/>
      <c r="V1601" s="33"/>
      <c r="W1601" s="33"/>
    </row>
    <row r="1602" spans="1:23" ht="16.5" customHeight="1" x14ac:dyDescent="0.2">
      <c r="A1602" s="35" t="s">
        <v>4625</v>
      </c>
      <c r="B1602" s="35" t="s">
        <v>4626</v>
      </c>
      <c r="C1602" s="35" t="s">
        <v>115</v>
      </c>
      <c r="D1602" s="35" t="s">
        <v>134</v>
      </c>
      <c r="E1602" s="35" t="s">
        <v>39</v>
      </c>
      <c r="F1602" s="28" t="e">
        <f ca="1">_xludf.ifna(VLOOKUP(G1602,Proyectos!$A$2:$F$674,6,0),"")</f>
        <v>#NAME?</v>
      </c>
      <c r="G1602" s="35" t="s">
        <v>5114</v>
      </c>
      <c r="H1602" s="30">
        <v>0.03</v>
      </c>
      <c r="I1602" s="30" t="s">
        <v>11</v>
      </c>
      <c r="J1602" s="31" t="s">
        <v>61</v>
      </c>
      <c r="K1602" s="55"/>
      <c r="L1602" s="32" t="e">
        <f ca="1">_xludf.ifna(VLOOKUP(E1602,Parámetros!$D$2:$E$34,2,0),"")</f>
        <v>#NAME?</v>
      </c>
      <c r="M1602" s="32" t="e">
        <f ca="1">_xludf.ifna(VLOOKUP(G1602,Proyectos!$A$2:$T$674,20,0),"")</f>
        <v>#NAME?</v>
      </c>
      <c r="N1602" s="32" t="e">
        <f ca="1">_xludf.ifna(VLOOKUP(G1602,Proyectos!$A$2:$S$674,19,0))</f>
        <v>#NAME?</v>
      </c>
      <c r="O1602" s="32"/>
      <c r="P1602" s="32"/>
      <c r="Q1602" s="33"/>
      <c r="R1602" s="33"/>
      <c r="S1602" s="33"/>
      <c r="T1602" s="63">
        <f t="shared" si="14"/>
        <v>0</v>
      </c>
      <c r="U1602" s="33"/>
      <c r="V1602" s="33"/>
      <c r="W1602" s="33"/>
    </row>
    <row r="1603" spans="1:23" ht="16.5" customHeight="1" x14ac:dyDescent="0.2">
      <c r="A1603" s="35" t="s">
        <v>4685</v>
      </c>
      <c r="B1603" s="35" t="s">
        <v>4686</v>
      </c>
      <c r="C1603" s="35" t="s">
        <v>115</v>
      </c>
      <c r="D1603" s="35" t="s">
        <v>134</v>
      </c>
      <c r="E1603" s="35" t="s">
        <v>39</v>
      </c>
      <c r="F1603" s="28" t="e">
        <f ca="1">_xludf.ifna(VLOOKUP(G1603,Proyectos!$A$2:$F$674,6,0),"")</f>
        <v>#NAME?</v>
      </c>
      <c r="G1603" s="35" t="s">
        <v>5114</v>
      </c>
      <c r="H1603" s="30">
        <v>0.2</v>
      </c>
      <c r="I1603" s="30" t="s">
        <v>18</v>
      </c>
      <c r="J1603" s="31" t="s">
        <v>61</v>
      </c>
      <c r="K1603" s="55"/>
      <c r="L1603" s="32" t="e">
        <f ca="1">_xludf.ifna(VLOOKUP(E1603,Parámetros!$D$2:$E$34,2,0),"")</f>
        <v>#NAME?</v>
      </c>
      <c r="M1603" s="32" t="e">
        <f ca="1">_xludf.ifna(VLOOKUP(G1603,Proyectos!$A$2:$T$674,20,0),"")</f>
        <v>#NAME?</v>
      </c>
      <c r="N1603" s="32" t="e">
        <f ca="1">_xludf.ifna(VLOOKUP(G1603,Proyectos!$A$2:$S$674,19,0))</f>
        <v>#NAME?</v>
      </c>
      <c r="O1603" s="32"/>
      <c r="P1603" s="32"/>
      <c r="Q1603" s="33"/>
      <c r="R1603" s="33"/>
      <c r="S1603" s="33"/>
      <c r="T1603" s="63">
        <f t="shared" si="14"/>
        <v>1</v>
      </c>
      <c r="U1603" s="33"/>
      <c r="V1603" s="33"/>
      <c r="W1603" s="33"/>
    </row>
    <row r="1604" spans="1:23" ht="16.5" customHeight="1" x14ac:dyDescent="0.2">
      <c r="A1604" s="35" t="s">
        <v>4625</v>
      </c>
      <c r="B1604" s="35" t="s">
        <v>4626</v>
      </c>
      <c r="C1604" s="35" t="s">
        <v>115</v>
      </c>
      <c r="D1604" s="35" t="s">
        <v>134</v>
      </c>
      <c r="E1604" s="35" t="s">
        <v>39</v>
      </c>
      <c r="F1604" s="28" t="e">
        <f ca="1">_xludf.ifna(VLOOKUP(G1604,Proyectos!$A$2:$F$674,6,0),"")</f>
        <v>#NAME?</v>
      </c>
      <c r="G1604" s="35" t="s">
        <v>5114</v>
      </c>
      <c r="H1604" s="30">
        <v>0.03</v>
      </c>
      <c r="I1604" s="30" t="s">
        <v>11</v>
      </c>
      <c r="J1604" s="31" t="s">
        <v>61</v>
      </c>
      <c r="K1604" s="55"/>
      <c r="L1604" s="32" t="e">
        <f ca="1">_xludf.ifna(VLOOKUP(E1604,Parámetros!$D$2:$E$34,2,0),"")</f>
        <v>#NAME?</v>
      </c>
      <c r="M1604" s="32" t="e">
        <f ca="1">_xludf.ifna(VLOOKUP(G1604,Proyectos!$A$2:$T$674,20,0),"")</f>
        <v>#NAME?</v>
      </c>
      <c r="N1604" s="32" t="e">
        <f ca="1">_xludf.ifna(VLOOKUP(G1604,Proyectos!$A$2:$S$674,19,0))</f>
        <v>#NAME?</v>
      </c>
      <c r="O1604" s="32"/>
      <c r="P1604" s="32"/>
      <c r="Q1604" s="33"/>
      <c r="R1604" s="33"/>
      <c r="S1604" s="33"/>
      <c r="T1604" s="63">
        <f t="shared" si="14"/>
        <v>1</v>
      </c>
      <c r="U1604" s="33"/>
      <c r="V1604" s="33"/>
      <c r="W1604" s="33"/>
    </row>
    <row r="1605" spans="1:23" ht="16.5" customHeight="1" x14ac:dyDescent="0.2">
      <c r="A1605" s="35" t="s">
        <v>4623</v>
      </c>
      <c r="B1605" s="35" t="s">
        <v>4624</v>
      </c>
      <c r="C1605" s="35" t="s">
        <v>115</v>
      </c>
      <c r="D1605" s="35" t="s">
        <v>134</v>
      </c>
      <c r="E1605" s="35" t="s">
        <v>39</v>
      </c>
      <c r="F1605" s="28" t="e">
        <f ca="1">_xludf.ifna(VLOOKUP(G1605,Proyectos!$A$2:$F$674,6,0),"")</f>
        <v>#NAME?</v>
      </c>
      <c r="G1605" s="35" t="s">
        <v>5114</v>
      </c>
      <c r="H1605" s="30">
        <v>0.05</v>
      </c>
      <c r="I1605" s="30" t="s">
        <v>18</v>
      </c>
      <c r="J1605" s="31" t="s">
        <v>61</v>
      </c>
      <c r="K1605" s="55"/>
      <c r="L1605" s="32" t="e">
        <f ca="1">_xludf.ifna(VLOOKUP(E1605,Parámetros!$D$2:$E$34,2,0),"")</f>
        <v>#NAME?</v>
      </c>
      <c r="M1605" s="32" t="e">
        <f ca="1">_xludf.ifna(VLOOKUP(G1605,Proyectos!$A$2:$T$674,20,0),"")</f>
        <v>#NAME?</v>
      </c>
      <c r="N1605" s="32" t="e">
        <f ca="1">_xludf.ifna(VLOOKUP(G1605,Proyectos!$A$2:$S$674,19,0))</f>
        <v>#NAME?</v>
      </c>
      <c r="O1605" s="32"/>
      <c r="P1605" s="32"/>
      <c r="Q1605" s="33"/>
      <c r="R1605" s="33"/>
      <c r="S1605" s="33"/>
      <c r="T1605" s="63">
        <f t="shared" si="14"/>
        <v>1</v>
      </c>
      <c r="U1605" s="33"/>
      <c r="V1605" s="33"/>
      <c r="W1605" s="33"/>
    </row>
    <row r="1606" spans="1:23" ht="16.5" customHeight="1" x14ac:dyDescent="0.2">
      <c r="A1606" s="35" t="s">
        <v>4625</v>
      </c>
      <c r="B1606" s="35" t="s">
        <v>4626</v>
      </c>
      <c r="C1606" s="35" t="s">
        <v>115</v>
      </c>
      <c r="D1606" s="35" t="s">
        <v>134</v>
      </c>
      <c r="E1606" s="35" t="s">
        <v>39</v>
      </c>
      <c r="F1606" s="28" t="e">
        <f ca="1">_xludf.ifna(VLOOKUP(G1606,Proyectos!$A$2:$F$674,6,0),"")</f>
        <v>#NAME?</v>
      </c>
      <c r="G1606" s="35" t="s">
        <v>5114</v>
      </c>
      <c r="H1606" s="30">
        <v>0.03</v>
      </c>
      <c r="I1606" s="30" t="s">
        <v>11</v>
      </c>
      <c r="J1606" s="31" t="s">
        <v>61</v>
      </c>
      <c r="K1606" s="55"/>
      <c r="L1606" s="32" t="e">
        <f ca="1">_xludf.ifna(VLOOKUP(E1606,Parámetros!$D$2:$E$34,2,0),"")</f>
        <v>#NAME?</v>
      </c>
      <c r="M1606" s="32" t="e">
        <f ca="1">_xludf.ifna(VLOOKUP(G1606,Proyectos!$A$2:$T$674,20,0),"")</f>
        <v>#NAME?</v>
      </c>
      <c r="N1606" s="32" t="e">
        <f ca="1">_xludf.ifna(VLOOKUP(G1606,Proyectos!$A$2:$S$674,19,0))</f>
        <v>#NAME?</v>
      </c>
      <c r="O1606" s="32"/>
      <c r="P1606" s="32"/>
      <c r="Q1606" s="33"/>
      <c r="R1606" s="33"/>
      <c r="S1606" s="33"/>
      <c r="T1606" s="63">
        <f t="shared" si="14"/>
        <v>1</v>
      </c>
      <c r="U1606" s="33"/>
      <c r="V1606" s="33"/>
      <c r="W1606" s="33"/>
    </row>
    <row r="1607" spans="1:23" ht="16.5" customHeight="1" x14ac:dyDescent="0.2">
      <c r="A1607" s="35" t="s">
        <v>4685</v>
      </c>
      <c r="B1607" s="35" t="s">
        <v>4686</v>
      </c>
      <c r="C1607" s="35" t="s">
        <v>115</v>
      </c>
      <c r="D1607" s="35" t="s">
        <v>134</v>
      </c>
      <c r="E1607" s="35" t="s">
        <v>39</v>
      </c>
      <c r="F1607" s="28" t="e">
        <f ca="1">_xludf.ifna(VLOOKUP(G1607,Proyectos!$A$2:$F$674,6,0),"")</f>
        <v>#NAME?</v>
      </c>
      <c r="G1607" s="35" t="s">
        <v>5114</v>
      </c>
      <c r="H1607" s="30">
        <v>0.05</v>
      </c>
      <c r="I1607" s="30" t="s">
        <v>18</v>
      </c>
      <c r="J1607" s="31" t="s">
        <v>61</v>
      </c>
      <c r="K1607" s="55"/>
      <c r="L1607" s="32" t="e">
        <f ca="1">_xludf.ifna(VLOOKUP(E1607,Parámetros!$D$2:$E$34,2,0),"")</f>
        <v>#NAME?</v>
      </c>
      <c r="M1607" s="32" t="e">
        <f ca="1">_xludf.ifna(VLOOKUP(G1607,Proyectos!$A$2:$T$674,20,0),"")</f>
        <v>#NAME?</v>
      </c>
      <c r="N1607" s="32" t="e">
        <f ca="1">_xludf.ifna(VLOOKUP(G1607,Proyectos!$A$2:$S$674,19,0))</f>
        <v>#NAME?</v>
      </c>
      <c r="O1607" s="32"/>
      <c r="P1607" s="32"/>
      <c r="Q1607" s="33"/>
      <c r="R1607" s="33"/>
      <c r="S1607" s="33"/>
      <c r="T1607" s="63">
        <f t="shared" si="14"/>
        <v>1</v>
      </c>
      <c r="U1607" s="33"/>
      <c r="V1607" s="33"/>
      <c r="W1607" s="33"/>
    </row>
    <row r="1608" spans="1:23" ht="16.5" customHeight="1" x14ac:dyDescent="0.2">
      <c r="A1608" s="35" t="s">
        <v>4623</v>
      </c>
      <c r="B1608" s="35" t="s">
        <v>4624</v>
      </c>
      <c r="C1608" s="35" t="s">
        <v>115</v>
      </c>
      <c r="D1608" s="35" t="s">
        <v>134</v>
      </c>
      <c r="E1608" s="35" t="s">
        <v>39</v>
      </c>
      <c r="F1608" s="28" t="e">
        <f ca="1">_xludf.ifna(VLOOKUP(G1608,Proyectos!$A$2:$F$674,6,0),"")</f>
        <v>#NAME?</v>
      </c>
      <c r="G1608" s="35" t="s">
        <v>5114</v>
      </c>
      <c r="H1608" s="30">
        <v>0.05</v>
      </c>
      <c r="I1608" s="30" t="s">
        <v>18</v>
      </c>
      <c r="J1608" s="31" t="s">
        <v>61</v>
      </c>
      <c r="K1608" s="55"/>
      <c r="L1608" s="32" t="e">
        <f ca="1">_xludf.ifna(VLOOKUP(E1608,Parámetros!$D$2:$E$34,2,0),"")</f>
        <v>#NAME?</v>
      </c>
      <c r="M1608" s="32" t="e">
        <f ca="1">_xludf.ifna(VLOOKUP(G1608,Proyectos!$A$2:$T$674,20,0),"")</f>
        <v>#NAME?</v>
      </c>
      <c r="N1608" s="32" t="e">
        <f ca="1">_xludf.ifna(VLOOKUP(G1608,Proyectos!$A$2:$S$674,19,0))</f>
        <v>#NAME?</v>
      </c>
      <c r="O1608" s="32"/>
      <c r="P1608" s="32"/>
      <c r="Q1608" s="33"/>
      <c r="R1608" s="33"/>
      <c r="S1608" s="33"/>
      <c r="T1608" s="63">
        <f t="shared" si="14"/>
        <v>1</v>
      </c>
      <c r="U1608" s="33"/>
      <c r="V1608" s="33"/>
      <c r="W1608" s="33"/>
    </row>
    <row r="1609" spans="1:23" ht="16.5" customHeight="1" x14ac:dyDescent="0.2">
      <c r="A1609" s="35" t="s">
        <v>4685</v>
      </c>
      <c r="B1609" s="35" t="s">
        <v>4686</v>
      </c>
      <c r="C1609" s="35" t="s">
        <v>115</v>
      </c>
      <c r="D1609" s="35" t="s">
        <v>134</v>
      </c>
      <c r="E1609" s="35" t="s">
        <v>39</v>
      </c>
      <c r="F1609" s="28" t="e">
        <f ca="1">_xludf.ifna(VLOOKUP(G1609,Proyectos!$A$2:$F$674,6,0),"")</f>
        <v>#NAME?</v>
      </c>
      <c r="G1609" s="35" t="s">
        <v>5114</v>
      </c>
      <c r="H1609" s="30">
        <v>0.05</v>
      </c>
      <c r="I1609" s="30" t="s">
        <v>18</v>
      </c>
      <c r="J1609" s="31" t="s">
        <v>61</v>
      </c>
      <c r="K1609" s="55"/>
      <c r="L1609" s="32" t="e">
        <f ca="1">_xludf.ifna(VLOOKUP(E1609,Parámetros!$D$2:$E$34,2,0),"")</f>
        <v>#NAME?</v>
      </c>
      <c r="M1609" s="32" t="e">
        <f ca="1">_xludf.ifna(VLOOKUP(G1609,Proyectos!$A$2:$T$674,20,0),"")</f>
        <v>#NAME?</v>
      </c>
      <c r="N1609" s="32" t="e">
        <f ca="1">_xludf.ifna(VLOOKUP(G1609,Proyectos!$A$2:$S$674,19,0))</f>
        <v>#NAME?</v>
      </c>
      <c r="O1609" s="32"/>
      <c r="P1609" s="32"/>
      <c r="Q1609" s="33"/>
      <c r="R1609" s="33"/>
      <c r="S1609" s="33"/>
      <c r="T1609" s="63">
        <f t="shared" si="14"/>
        <v>1</v>
      </c>
      <c r="U1609" s="33"/>
      <c r="V1609" s="33"/>
      <c r="W1609" s="33"/>
    </row>
    <row r="1610" spans="1:23" ht="16.5" customHeight="1" x14ac:dyDescent="0.2">
      <c r="A1610" s="35" t="s">
        <v>4625</v>
      </c>
      <c r="B1610" s="35" t="s">
        <v>4626</v>
      </c>
      <c r="C1610" s="35" t="s">
        <v>115</v>
      </c>
      <c r="D1610" s="35" t="s">
        <v>134</v>
      </c>
      <c r="E1610" s="35" t="s">
        <v>39</v>
      </c>
      <c r="F1610" s="28" t="e">
        <f ca="1">_xludf.ifna(VLOOKUP(G1610,Proyectos!$A$2:$F$674,6,0),"")</f>
        <v>#NAME?</v>
      </c>
      <c r="G1610" s="35" t="s">
        <v>5114</v>
      </c>
      <c r="H1610" s="30">
        <v>0.05</v>
      </c>
      <c r="I1610" s="30" t="s">
        <v>11</v>
      </c>
      <c r="J1610" s="31" t="s">
        <v>61</v>
      </c>
      <c r="K1610" s="55"/>
      <c r="L1610" s="32" t="e">
        <f ca="1">_xludf.ifna(VLOOKUP(E1610,Parámetros!$D$2:$E$34,2,0),"")</f>
        <v>#NAME?</v>
      </c>
      <c r="M1610" s="32" t="e">
        <f ca="1">_xludf.ifna(VLOOKUP(G1610,Proyectos!$A$2:$T$674,20,0),"")</f>
        <v>#NAME?</v>
      </c>
      <c r="N1610" s="32" t="e">
        <f ca="1">_xludf.ifna(VLOOKUP(G1610,Proyectos!$A$2:$S$674,19,0))</f>
        <v>#NAME?</v>
      </c>
      <c r="O1610" s="32"/>
      <c r="P1610" s="32"/>
      <c r="Q1610" s="33"/>
      <c r="R1610" s="33"/>
      <c r="S1610" s="33"/>
      <c r="T1610" s="63">
        <f t="shared" si="14"/>
        <v>1</v>
      </c>
      <c r="U1610" s="33"/>
      <c r="V1610" s="33"/>
      <c r="W1610" s="33"/>
    </row>
    <row r="1611" spans="1:23" ht="16.5" customHeight="1" x14ac:dyDescent="0.2">
      <c r="A1611" s="35" t="s">
        <v>4623</v>
      </c>
      <c r="B1611" s="35" t="s">
        <v>4624</v>
      </c>
      <c r="C1611" s="35" t="s">
        <v>115</v>
      </c>
      <c r="D1611" s="35" t="s">
        <v>134</v>
      </c>
      <c r="E1611" s="35" t="s">
        <v>39</v>
      </c>
      <c r="F1611" s="28" t="e">
        <f ca="1">_xludf.ifna(VLOOKUP(G1611,Proyectos!$A$2:$F$674,6,0),"")</f>
        <v>#NAME?</v>
      </c>
      <c r="G1611" s="35" t="s">
        <v>5114</v>
      </c>
      <c r="H1611" s="30">
        <v>0.05</v>
      </c>
      <c r="I1611" s="30" t="s">
        <v>18</v>
      </c>
      <c r="J1611" s="31" t="s">
        <v>61</v>
      </c>
      <c r="K1611" s="55"/>
      <c r="L1611" s="32" t="e">
        <f ca="1">_xludf.ifna(VLOOKUP(E1611,Parámetros!$D$2:$E$34,2,0),"")</f>
        <v>#NAME?</v>
      </c>
      <c r="M1611" s="32" t="e">
        <f ca="1">_xludf.ifna(VLOOKUP(G1611,Proyectos!$A$2:$T$674,20,0),"")</f>
        <v>#NAME?</v>
      </c>
      <c r="N1611" s="32" t="e">
        <f ca="1">_xludf.ifna(VLOOKUP(G1611,Proyectos!$A$2:$S$674,19,0))</f>
        <v>#NAME?</v>
      </c>
      <c r="O1611" s="32"/>
      <c r="P1611" s="32"/>
      <c r="Q1611" s="33"/>
      <c r="R1611" s="33"/>
      <c r="S1611" s="33"/>
      <c r="T1611" s="63">
        <f t="shared" si="14"/>
        <v>1</v>
      </c>
      <c r="U1611" s="33"/>
      <c r="V1611" s="33"/>
      <c r="W1611" s="33"/>
    </row>
    <row r="1612" spans="1:23" ht="16.5" customHeight="1" x14ac:dyDescent="0.2">
      <c r="A1612" s="35" t="s">
        <v>4625</v>
      </c>
      <c r="B1612" s="35" t="s">
        <v>4626</v>
      </c>
      <c r="C1612" s="35" t="s">
        <v>115</v>
      </c>
      <c r="D1612" s="35" t="s">
        <v>134</v>
      </c>
      <c r="E1612" s="35" t="s">
        <v>39</v>
      </c>
      <c r="F1612" s="28" t="e">
        <f ca="1">_xludf.ifna(VLOOKUP(G1612,Proyectos!$A$2:$F$674,6,0),"")</f>
        <v>#NAME?</v>
      </c>
      <c r="G1612" s="29" t="s">
        <v>5114</v>
      </c>
      <c r="H1612" s="30">
        <v>0.25</v>
      </c>
      <c r="I1612" s="30" t="s">
        <v>11</v>
      </c>
      <c r="J1612" s="31" t="s">
        <v>61</v>
      </c>
      <c r="K1612" s="55"/>
      <c r="L1612" s="32" t="e">
        <f ca="1">_xludf.ifna(VLOOKUP(E1612,Parámetros!$D$2:$E$34,2,0),"")</f>
        <v>#NAME?</v>
      </c>
      <c r="M1612" s="32" t="e">
        <f ca="1">_xludf.ifna(VLOOKUP(G1612,Proyectos!$A$2:$T$674,20,0),"")</f>
        <v>#NAME?</v>
      </c>
      <c r="N1612" s="32" t="e">
        <f ca="1">_xludf.ifna(VLOOKUP(G1612,Proyectos!$A$2:$S$674,19,0))</f>
        <v>#NAME?</v>
      </c>
      <c r="O1612" s="32"/>
      <c r="P1612" s="32"/>
      <c r="Q1612" s="33"/>
      <c r="R1612" s="33"/>
      <c r="S1612" s="33"/>
      <c r="T1612" s="63">
        <f t="shared" si="14"/>
        <v>1</v>
      </c>
      <c r="U1612" s="33"/>
      <c r="V1612" s="33"/>
      <c r="W1612" s="33"/>
    </row>
    <row r="1613" spans="1:23" ht="16.5" customHeight="1" x14ac:dyDescent="0.2">
      <c r="A1613" s="35" t="s">
        <v>4625</v>
      </c>
      <c r="B1613" s="35" t="s">
        <v>4626</v>
      </c>
      <c r="C1613" s="35" t="s">
        <v>115</v>
      </c>
      <c r="D1613" s="35" t="s">
        <v>134</v>
      </c>
      <c r="E1613" s="35" t="s">
        <v>39</v>
      </c>
      <c r="F1613" s="28" t="e">
        <f ca="1">_xludf.ifna(VLOOKUP(G1613,Proyectos!$A$2:$F$674,6,0),"")</f>
        <v>#NAME?</v>
      </c>
      <c r="G1613" s="29" t="s">
        <v>5540</v>
      </c>
      <c r="H1613" s="30">
        <v>0.1</v>
      </c>
      <c r="I1613" s="101" t="s">
        <v>11</v>
      </c>
      <c r="J1613" s="31" t="s">
        <v>61</v>
      </c>
      <c r="K1613" s="102"/>
      <c r="L1613" s="32" t="e">
        <f ca="1">_xludf.ifna(VLOOKUP(E1613,Parámetros!$D$2:$E$34,2,0),"")</f>
        <v>#NAME?</v>
      </c>
      <c r="M1613" s="32" t="e">
        <f ca="1">_xludf.ifna(VLOOKUP(G1613,Proyectos!$A$2:$T$674,20,0),"")</f>
        <v>#NAME?</v>
      </c>
      <c r="N1613" s="32" t="e">
        <f ca="1">_xludf.ifna(VLOOKUP(G1613,Proyectos!$A$2:$S$674,19,0))</f>
        <v>#NAME?</v>
      </c>
      <c r="O1613" s="32"/>
      <c r="P1613" s="32"/>
      <c r="Q1613" s="33"/>
      <c r="R1613" s="33"/>
      <c r="S1613" s="33"/>
      <c r="T1613" s="63">
        <f t="shared" si="14"/>
        <v>0</v>
      </c>
      <c r="U1613" s="33"/>
      <c r="V1613" s="33"/>
      <c r="W1613" s="33"/>
    </row>
    <row r="1614" spans="1:23" ht="16.5" customHeight="1" x14ac:dyDescent="0.2">
      <c r="A1614" s="35" t="s">
        <v>4625</v>
      </c>
      <c r="B1614" s="35" t="s">
        <v>4626</v>
      </c>
      <c r="C1614" s="35" t="s">
        <v>115</v>
      </c>
      <c r="D1614" s="35" t="s">
        <v>134</v>
      </c>
      <c r="E1614" s="35" t="s">
        <v>39</v>
      </c>
      <c r="F1614" s="28" t="e">
        <f ca="1">_xludf.ifna(VLOOKUP(G1614,Proyectos!$A$2:$F$674,6,0),"")</f>
        <v>#NAME?</v>
      </c>
      <c r="G1614" s="29" t="s">
        <v>5190</v>
      </c>
      <c r="H1614" s="30">
        <v>0.1</v>
      </c>
      <c r="I1614" s="101" t="s">
        <v>11</v>
      </c>
      <c r="J1614" s="31" t="s">
        <v>61</v>
      </c>
      <c r="K1614" s="102"/>
      <c r="L1614" s="32" t="e">
        <f ca="1">_xludf.ifna(VLOOKUP(E1614,Parámetros!$D$2:$E$34,2,0),"")</f>
        <v>#NAME?</v>
      </c>
      <c r="M1614" s="32" t="e">
        <f ca="1">_xludf.ifna(VLOOKUP(G1614,Proyectos!$A$2:$T$674,20,0),"")</f>
        <v>#NAME?</v>
      </c>
      <c r="N1614" s="32" t="e">
        <f ca="1">_xludf.ifna(VLOOKUP(G1614,Proyectos!$A$2:$S$674,19,0))</f>
        <v>#NAME?</v>
      </c>
      <c r="O1614" s="32"/>
      <c r="P1614" s="32"/>
      <c r="Q1614" s="33"/>
      <c r="R1614" s="33"/>
      <c r="S1614" s="33"/>
      <c r="T1614" s="63">
        <f t="shared" si="14"/>
        <v>0</v>
      </c>
      <c r="U1614" s="33"/>
      <c r="V1614" s="33"/>
      <c r="W1614" s="33"/>
    </row>
    <row r="1615" spans="1:23" ht="16.5" customHeight="1" x14ac:dyDescent="0.2">
      <c r="A1615" s="35" t="s">
        <v>4819</v>
      </c>
      <c r="B1615" s="35" t="s">
        <v>4820</v>
      </c>
      <c r="C1615" s="35" t="s">
        <v>115</v>
      </c>
      <c r="D1615" s="35" t="s">
        <v>134</v>
      </c>
      <c r="E1615" s="35" t="s">
        <v>39</v>
      </c>
      <c r="F1615" s="28" t="e">
        <f ca="1">_xludf.ifna(VLOOKUP(G1615,Proyectos!$A$2:$F$674,6,0),"")</f>
        <v>#NAME?</v>
      </c>
      <c r="G1615" s="29" t="s">
        <v>5190</v>
      </c>
      <c r="H1615" s="30">
        <v>0.2</v>
      </c>
      <c r="I1615" s="101" t="s">
        <v>18</v>
      </c>
      <c r="J1615" s="31" t="s">
        <v>61</v>
      </c>
      <c r="K1615" s="102"/>
      <c r="L1615" s="32" t="e">
        <f ca="1">_xludf.ifna(VLOOKUP(E1615,Parámetros!$D$2:$E$34,2,0),"")</f>
        <v>#NAME?</v>
      </c>
      <c r="M1615" s="32" t="e">
        <f ca="1">_xludf.ifna(VLOOKUP(G1615,Proyectos!$A$2:$T$674,20,0),"")</f>
        <v>#NAME?</v>
      </c>
      <c r="N1615" s="32" t="e">
        <f ca="1">_xludf.ifna(VLOOKUP(G1615,Proyectos!$A$2:$S$674,19,0))</f>
        <v>#NAME?</v>
      </c>
      <c r="O1615" s="32"/>
      <c r="P1615" s="32"/>
      <c r="Q1615" s="33"/>
      <c r="R1615" s="33"/>
      <c r="S1615" s="33"/>
      <c r="T1615" s="63">
        <f t="shared" si="14"/>
        <v>1</v>
      </c>
      <c r="U1615" s="33"/>
      <c r="V1615" s="33"/>
      <c r="W1615" s="33"/>
    </row>
    <row r="1616" spans="1:23" ht="16.5" customHeight="1" x14ac:dyDescent="0.2">
      <c r="A1616" s="35" t="s">
        <v>4819</v>
      </c>
      <c r="B1616" s="35" t="s">
        <v>4820</v>
      </c>
      <c r="C1616" s="35" t="s">
        <v>115</v>
      </c>
      <c r="D1616" s="35" t="s">
        <v>134</v>
      </c>
      <c r="E1616" s="35" t="s">
        <v>39</v>
      </c>
      <c r="F1616" s="28" t="e">
        <f ca="1">_xludf.ifna(VLOOKUP(G1616,Proyectos!$A$2:$F$674,6,0),"")</f>
        <v>#NAME?</v>
      </c>
      <c r="G1616" s="29" t="s">
        <v>5114</v>
      </c>
      <c r="H1616" s="30">
        <v>0.7</v>
      </c>
      <c r="I1616" s="101" t="s">
        <v>18</v>
      </c>
      <c r="J1616" s="31" t="s">
        <v>61</v>
      </c>
      <c r="K1616" s="102"/>
      <c r="L1616" s="32" t="e">
        <f ca="1">_xludf.ifna(VLOOKUP(E1616,Parámetros!$D$2:$E$34,2,0),"")</f>
        <v>#NAME?</v>
      </c>
      <c r="M1616" s="32" t="e">
        <f ca="1">_xludf.ifna(VLOOKUP(G1616,Proyectos!$A$2:$T$674,20,0),"")</f>
        <v>#NAME?</v>
      </c>
      <c r="N1616" s="32" t="e">
        <f ca="1">_xludf.ifna(VLOOKUP(G1616,Proyectos!$A$2:$S$674,19,0))</f>
        <v>#NAME?</v>
      </c>
      <c r="O1616" s="32"/>
      <c r="P1616" s="32"/>
      <c r="Q1616" s="33"/>
      <c r="R1616" s="33"/>
      <c r="S1616" s="33"/>
      <c r="T1616" s="63">
        <f t="shared" si="14"/>
        <v>0</v>
      </c>
      <c r="U1616" s="33"/>
      <c r="V1616" s="33"/>
      <c r="W1616" s="33"/>
    </row>
    <row r="1617" spans="1:23" ht="16.5" customHeight="1" x14ac:dyDescent="0.2">
      <c r="A1617" s="35" t="s">
        <v>4819</v>
      </c>
      <c r="B1617" s="35" t="s">
        <v>4820</v>
      </c>
      <c r="C1617" s="35" t="s">
        <v>115</v>
      </c>
      <c r="D1617" s="35" t="s">
        <v>134</v>
      </c>
      <c r="E1617" s="35" t="s">
        <v>39</v>
      </c>
      <c r="F1617" s="28" t="e">
        <f ca="1">_xludf.ifna(VLOOKUP(G1617,Proyectos!$A$2:$F$674,6,0),"")</f>
        <v>#NAME?</v>
      </c>
      <c r="G1617" s="29" t="s">
        <v>5539</v>
      </c>
      <c r="H1617" s="30">
        <v>0.1</v>
      </c>
      <c r="I1617" s="30" t="s">
        <v>18</v>
      </c>
      <c r="J1617" s="31" t="s">
        <v>61</v>
      </c>
      <c r="K1617" s="55"/>
      <c r="L1617" s="32" t="e">
        <f ca="1">_xludf.ifna(VLOOKUP(E1617,Parámetros!$D$2:$E$34,2,0),"")</f>
        <v>#NAME?</v>
      </c>
      <c r="M1617" s="32" t="e">
        <f ca="1">_xludf.ifna(VLOOKUP(G1617,Proyectos!$A$2:$T$674,20,0),"")</f>
        <v>#NAME?</v>
      </c>
      <c r="N1617" s="32" t="e">
        <f ca="1">_xludf.ifna(VLOOKUP(G1617,Proyectos!$A$2:$S$674,19,0))</f>
        <v>#NAME?</v>
      </c>
      <c r="O1617" s="32"/>
      <c r="P1617" s="32"/>
      <c r="Q1617" s="33"/>
      <c r="R1617" s="33"/>
      <c r="S1617" s="33"/>
      <c r="T1617" s="63" t="e">
        <f t="shared" ref="T1617:T1618" si="15">IF(B1617=#REF!,0,1)</f>
        <v>#REF!</v>
      </c>
      <c r="U1617" s="33"/>
      <c r="V1617" s="33"/>
      <c r="W1617" s="33"/>
    </row>
    <row r="1618" spans="1:23" ht="16.5" customHeight="1" x14ac:dyDescent="0.2">
      <c r="A1618" s="35" t="s">
        <v>4061</v>
      </c>
      <c r="B1618" s="54" t="s">
        <v>5541</v>
      </c>
      <c r="C1618" s="35" t="s">
        <v>115</v>
      </c>
      <c r="D1618" s="35" t="s">
        <v>131</v>
      </c>
      <c r="E1618" s="35" t="s">
        <v>9</v>
      </c>
      <c r="F1618" s="28" t="e">
        <f ca="1">_xludf.ifna(VLOOKUP(G1618,Proyectos!$A$2:$F$674,6,0),"")</f>
        <v>#NAME?</v>
      </c>
      <c r="G1618" s="29" t="s">
        <v>5114</v>
      </c>
      <c r="H1618" s="30">
        <v>0.5</v>
      </c>
      <c r="I1618" s="31" t="s">
        <v>25</v>
      </c>
      <c r="J1618" s="31" t="s">
        <v>41</v>
      </c>
      <c r="K1618" s="30" t="s">
        <v>4063</v>
      </c>
      <c r="L1618" s="32" t="e">
        <f ca="1">_xludf.ifna(VLOOKUP(E1618,Parámetros!$D$2:$E$34,2,0),"")</f>
        <v>#NAME?</v>
      </c>
      <c r="M1618" s="32" t="e">
        <f ca="1">_xludf.ifna(VLOOKUP(G1618,Proyectos!$A$2:$T$674,20,0),"")</f>
        <v>#NAME?</v>
      </c>
      <c r="N1618" s="32" t="e">
        <f ca="1">_xludf.ifna(VLOOKUP(G1618,Proyectos!$A$2:$S$674,19,0))</f>
        <v>#NAME?</v>
      </c>
      <c r="O1618" s="32"/>
      <c r="P1618" s="32"/>
      <c r="Q1618" s="33"/>
      <c r="R1618" s="33"/>
      <c r="S1618" s="33"/>
      <c r="T1618" s="63" t="e">
        <f t="shared" si="15"/>
        <v>#REF!</v>
      </c>
      <c r="U1618" s="33"/>
      <c r="V1618" s="33"/>
      <c r="W1618" s="33"/>
    </row>
    <row r="1619" spans="1:23" ht="16.5" customHeight="1" x14ac:dyDescent="0.2">
      <c r="A1619" s="35" t="s">
        <v>4061</v>
      </c>
      <c r="B1619" s="54" t="s">
        <v>5541</v>
      </c>
      <c r="C1619" s="35" t="s">
        <v>115</v>
      </c>
      <c r="D1619" s="35" t="s">
        <v>131</v>
      </c>
      <c r="E1619" s="35" t="s">
        <v>9</v>
      </c>
      <c r="F1619" s="28" t="e">
        <f ca="1">_xludf.ifna(VLOOKUP(G1619,Proyectos!$A$2:$F$674,6,0),"")</f>
        <v>#NAME?</v>
      </c>
      <c r="G1619" s="29" t="s">
        <v>5323</v>
      </c>
      <c r="H1619" s="30">
        <v>0.5</v>
      </c>
      <c r="I1619" s="31" t="s">
        <v>25</v>
      </c>
      <c r="J1619" s="31" t="s">
        <v>41</v>
      </c>
      <c r="K1619" s="30" t="s">
        <v>5542</v>
      </c>
      <c r="L1619" s="32" t="e">
        <f ca="1">_xludf.ifna(VLOOKUP(E1619,Parámetros!$D$2:$E$34,2,0),"")</f>
        <v>#NAME?</v>
      </c>
      <c r="M1619" s="32" t="e">
        <f ca="1">_xludf.ifna(VLOOKUP(G1619,Proyectos!$A$2:$T$674,20,0),"")</f>
        <v>#NAME?</v>
      </c>
      <c r="N1619" s="32" t="e">
        <f ca="1">_xludf.ifna(VLOOKUP(G1619,Proyectos!$A$2:$S$674,19,0))</f>
        <v>#NAME?</v>
      </c>
      <c r="O1619" s="32"/>
      <c r="P1619" s="32"/>
      <c r="Q1619" s="33"/>
      <c r="R1619" s="33"/>
      <c r="S1619" s="33"/>
      <c r="T1619" s="63">
        <f t="shared" ref="T1619:T1680" si="16">IF(B1619=B1618,0,1)</f>
        <v>0</v>
      </c>
      <c r="U1619" s="33"/>
      <c r="V1619" s="33"/>
      <c r="W1619" s="33"/>
    </row>
    <row r="1620" spans="1:23" ht="16.5" customHeight="1" x14ac:dyDescent="0.2">
      <c r="A1620" s="35" t="s">
        <v>3615</v>
      </c>
      <c r="B1620" s="103" t="s">
        <v>3616</v>
      </c>
      <c r="C1620" s="35" t="s">
        <v>115</v>
      </c>
      <c r="D1620" s="35" t="s">
        <v>131</v>
      </c>
      <c r="E1620" s="35" t="s">
        <v>39</v>
      </c>
      <c r="F1620" s="28" t="e">
        <f ca="1">_xludf.ifna(VLOOKUP(G1620,Proyectos!$A$2:$F$674,6,0),"")</f>
        <v>#NAME?</v>
      </c>
      <c r="G1620" s="29" t="s">
        <v>5543</v>
      </c>
      <c r="H1620" s="30">
        <v>0.8</v>
      </c>
      <c r="I1620" s="30" t="s">
        <v>18</v>
      </c>
      <c r="J1620" s="31" t="s">
        <v>72</v>
      </c>
      <c r="K1620" s="30" t="s">
        <v>3617</v>
      </c>
      <c r="L1620" s="32" t="e">
        <f ca="1">_xludf.ifna(VLOOKUP(E1620,Parámetros!$D$2:$E$34,2,0),"")</f>
        <v>#NAME?</v>
      </c>
      <c r="M1620" s="32" t="e">
        <f ca="1">_xludf.ifna(VLOOKUP(G1620,Proyectos!$A$2:$T$674,20,0),"")</f>
        <v>#NAME?</v>
      </c>
      <c r="N1620" s="32" t="e">
        <f ca="1">_xludf.ifna(VLOOKUP(G1620,Proyectos!$A$2:$S$674,19,0))</f>
        <v>#NAME?</v>
      </c>
      <c r="O1620" s="32"/>
      <c r="P1620" s="32"/>
      <c r="Q1620" s="33"/>
      <c r="R1620" s="33"/>
      <c r="S1620" s="33"/>
      <c r="T1620" s="63">
        <f t="shared" si="16"/>
        <v>1</v>
      </c>
      <c r="U1620" s="33"/>
      <c r="V1620" s="33"/>
      <c r="W1620" s="33"/>
    </row>
    <row r="1621" spans="1:23" ht="16.5" customHeight="1" x14ac:dyDescent="0.2">
      <c r="A1621" s="35" t="s">
        <v>3548</v>
      </c>
      <c r="B1621" s="54" t="s">
        <v>5544</v>
      </c>
      <c r="C1621" s="35" t="s">
        <v>115</v>
      </c>
      <c r="D1621" s="35" t="s">
        <v>131</v>
      </c>
      <c r="E1621" s="35" t="s">
        <v>39</v>
      </c>
      <c r="F1621" s="28" t="e">
        <f ca="1">_xludf.ifna(VLOOKUP(G1621,Proyectos!$A$2:$F$674,6,0),"")</f>
        <v>#NAME?</v>
      </c>
      <c r="G1621" s="29" t="s">
        <v>5543</v>
      </c>
      <c r="H1621" s="30">
        <v>0.1</v>
      </c>
      <c r="I1621" s="52" t="s">
        <v>18</v>
      </c>
      <c r="J1621" s="31" t="s">
        <v>72</v>
      </c>
      <c r="K1621" s="55" t="s">
        <v>3550</v>
      </c>
      <c r="L1621" s="32" t="e">
        <f ca="1">_xludf.ifna(VLOOKUP(E1621,Parámetros!$D$2:$E$34,2,0),"")</f>
        <v>#NAME?</v>
      </c>
      <c r="M1621" s="32" t="e">
        <f ca="1">_xludf.ifna(VLOOKUP(G1621,Proyectos!$A$2:$T$674,20,0),"")</f>
        <v>#NAME?</v>
      </c>
      <c r="N1621" s="32" t="e">
        <f ca="1">_xludf.ifna(VLOOKUP(G1621,Proyectos!$A$2:$S$674,19,0))</f>
        <v>#NAME?</v>
      </c>
      <c r="O1621" s="32"/>
      <c r="P1621" s="32"/>
      <c r="Q1621" s="33"/>
      <c r="R1621" s="33"/>
      <c r="S1621" s="33"/>
      <c r="T1621" s="63">
        <f t="shared" si="16"/>
        <v>1</v>
      </c>
      <c r="U1621" s="33"/>
      <c r="V1621" s="33"/>
      <c r="W1621" s="33"/>
    </row>
    <row r="1622" spans="1:23" ht="16.5" customHeight="1" x14ac:dyDescent="0.2">
      <c r="A1622" s="35" t="s">
        <v>3615</v>
      </c>
      <c r="B1622" s="103" t="s">
        <v>3616</v>
      </c>
      <c r="C1622" s="35" t="s">
        <v>115</v>
      </c>
      <c r="D1622" s="35" t="s">
        <v>131</v>
      </c>
      <c r="E1622" s="35" t="s">
        <v>39</v>
      </c>
      <c r="F1622" s="28" t="e">
        <f ca="1">_xludf.ifna(VLOOKUP(G1622,Proyectos!$A$2:$F$674,6,0),"")</f>
        <v>#NAME?</v>
      </c>
      <c r="G1622" s="29" t="s">
        <v>5545</v>
      </c>
      <c r="H1622" s="30">
        <v>0.2</v>
      </c>
      <c r="I1622" s="30" t="s">
        <v>18</v>
      </c>
      <c r="J1622" s="31" t="s">
        <v>72</v>
      </c>
      <c r="K1622" s="55" t="s">
        <v>5546</v>
      </c>
      <c r="L1622" s="32" t="e">
        <f ca="1">_xludf.ifna(VLOOKUP(E1622,Parámetros!$D$2:$E$34,2,0),"")</f>
        <v>#NAME?</v>
      </c>
      <c r="M1622" s="32" t="e">
        <f ca="1">_xludf.ifna(VLOOKUP(G1622,Proyectos!$A$2:$T$674,20,0),"")</f>
        <v>#NAME?</v>
      </c>
      <c r="N1622" s="32" t="e">
        <f ca="1">_xludf.ifna(VLOOKUP(G1622,Proyectos!$A$2:$S$674,19,0))</f>
        <v>#NAME?</v>
      </c>
      <c r="O1622" s="32"/>
      <c r="P1622" s="32"/>
      <c r="Q1622" s="33"/>
      <c r="R1622" s="33"/>
      <c r="S1622" s="33"/>
      <c r="T1622" s="63">
        <f t="shared" si="16"/>
        <v>1</v>
      </c>
      <c r="U1622" s="33"/>
      <c r="V1622" s="33"/>
      <c r="W1622" s="33"/>
    </row>
    <row r="1623" spans="1:23" ht="16.5" customHeight="1" x14ac:dyDescent="0.2">
      <c r="A1623" s="35" t="s">
        <v>4726</v>
      </c>
      <c r="B1623" s="54" t="s">
        <v>5547</v>
      </c>
      <c r="C1623" s="35" t="s">
        <v>115</v>
      </c>
      <c r="D1623" s="35" t="s">
        <v>131</v>
      </c>
      <c r="E1623" s="35" t="s">
        <v>39</v>
      </c>
      <c r="F1623" s="28" t="e">
        <f ca="1">_xludf.ifna(VLOOKUP(G1623,Proyectos!$A$2:$F$674,6,0),"")</f>
        <v>#NAME?</v>
      </c>
      <c r="G1623" s="29" t="s">
        <v>5114</v>
      </c>
      <c r="H1623" s="30">
        <v>1</v>
      </c>
      <c r="I1623" s="30" t="s">
        <v>18</v>
      </c>
      <c r="J1623" s="31" t="s">
        <v>72</v>
      </c>
      <c r="K1623" s="30" t="s">
        <v>3398</v>
      </c>
      <c r="L1623" s="32" t="e">
        <f ca="1">_xludf.ifna(VLOOKUP(E1623,Parámetros!$D$2:$E$34,2,0),"")</f>
        <v>#NAME?</v>
      </c>
      <c r="M1623" s="32" t="e">
        <f ca="1">_xludf.ifna(VLOOKUP(G1623,Proyectos!$A$2:$T$674,20,0),"")</f>
        <v>#NAME?</v>
      </c>
      <c r="N1623" s="32" t="e">
        <f ca="1">_xludf.ifna(VLOOKUP(G1623,Proyectos!$A$2:$S$674,19,0))</f>
        <v>#NAME?</v>
      </c>
      <c r="O1623" s="32"/>
      <c r="P1623" s="32"/>
      <c r="Q1623" s="33"/>
      <c r="R1623" s="33"/>
      <c r="S1623" s="33"/>
      <c r="T1623" s="63">
        <f t="shared" si="16"/>
        <v>1</v>
      </c>
      <c r="U1623" s="33"/>
      <c r="V1623" s="33"/>
      <c r="W1623" s="33"/>
    </row>
    <row r="1624" spans="1:23" ht="16.5" customHeight="1" x14ac:dyDescent="0.2">
      <c r="A1624" s="35" t="s">
        <v>5028</v>
      </c>
      <c r="B1624" s="54" t="s">
        <v>5029</v>
      </c>
      <c r="C1624" s="35" t="s">
        <v>115</v>
      </c>
      <c r="D1624" s="35" t="s">
        <v>131</v>
      </c>
      <c r="E1624" s="35" t="s">
        <v>139</v>
      </c>
      <c r="F1624" s="28" t="e">
        <f ca="1">_xludf.ifna(VLOOKUP(G1624,Proyectos!$A$2:$F$674,6,0),"")</f>
        <v>#NAME?</v>
      </c>
      <c r="G1624" s="29" t="s">
        <v>5323</v>
      </c>
      <c r="H1624" s="30">
        <v>1</v>
      </c>
      <c r="I1624" s="30" t="s">
        <v>18</v>
      </c>
      <c r="J1624" s="31" t="s">
        <v>72</v>
      </c>
      <c r="K1624" s="30" t="s">
        <v>5030</v>
      </c>
      <c r="L1624" s="32" t="e">
        <f ca="1">_xludf.ifna(VLOOKUP(E1624,Parámetros!$D$2:$E$34,2,0),"")</f>
        <v>#NAME?</v>
      </c>
      <c r="M1624" s="32" t="e">
        <f ca="1">_xludf.ifna(VLOOKUP(G1624,Proyectos!$A$2:$T$674,20,0),"")</f>
        <v>#NAME?</v>
      </c>
      <c r="N1624" s="32" t="e">
        <f ca="1">_xludf.ifna(VLOOKUP(G1624,Proyectos!$A$2:$S$674,19,0))</f>
        <v>#NAME?</v>
      </c>
      <c r="O1624" s="32"/>
      <c r="P1624" s="32"/>
      <c r="Q1624" s="33"/>
      <c r="R1624" s="33"/>
      <c r="S1624" s="33"/>
      <c r="T1624" s="63">
        <f t="shared" si="16"/>
        <v>1</v>
      </c>
      <c r="U1624" s="33"/>
      <c r="V1624" s="33"/>
      <c r="W1624" s="33"/>
    </row>
    <row r="1625" spans="1:23" ht="16.5" customHeight="1" x14ac:dyDescent="0.2">
      <c r="A1625" s="35" t="s">
        <v>3351</v>
      </c>
      <c r="B1625" s="54" t="s">
        <v>5548</v>
      </c>
      <c r="C1625" s="35" t="s">
        <v>115</v>
      </c>
      <c r="D1625" s="35" t="s">
        <v>131</v>
      </c>
      <c r="E1625" s="35" t="s">
        <v>39</v>
      </c>
      <c r="F1625" s="28" t="e">
        <f ca="1">_xludf.ifna(VLOOKUP(G1625,Proyectos!$A$2:$F$674,6,0),"")</f>
        <v>#NAME?</v>
      </c>
      <c r="G1625" s="29" t="s">
        <v>5114</v>
      </c>
      <c r="H1625" s="59">
        <v>0.75</v>
      </c>
      <c r="I1625" s="30" t="s">
        <v>18</v>
      </c>
      <c r="J1625" s="31" t="s">
        <v>72</v>
      </c>
      <c r="K1625" s="55" t="s">
        <v>3353</v>
      </c>
      <c r="L1625" s="32" t="e">
        <f ca="1">_xludf.ifna(VLOOKUP(E1625,Parámetros!$D$2:$E$34,2,0),"")</f>
        <v>#NAME?</v>
      </c>
      <c r="M1625" s="32" t="e">
        <f ca="1">_xludf.ifna(VLOOKUP(G1625,Proyectos!$A$2:$T$674,20,0),"")</f>
        <v>#NAME?</v>
      </c>
      <c r="N1625" s="32" t="e">
        <f ca="1">_xludf.ifna(VLOOKUP(G1625,Proyectos!$A$2:$S$674,19,0))</f>
        <v>#NAME?</v>
      </c>
      <c r="O1625" s="32"/>
      <c r="P1625" s="32"/>
      <c r="Q1625" s="33"/>
      <c r="R1625" s="33"/>
      <c r="S1625" s="33"/>
      <c r="T1625" s="63">
        <f t="shared" si="16"/>
        <v>1</v>
      </c>
      <c r="U1625" s="33"/>
      <c r="V1625" s="33"/>
      <c r="W1625" s="33"/>
    </row>
    <row r="1626" spans="1:23" ht="16.5" customHeight="1" x14ac:dyDescent="0.2">
      <c r="A1626" s="35" t="s">
        <v>3351</v>
      </c>
      <c r="B1626" s="54" t="s">
        <v>5548</v>
      </c>
      <c r="C1626" s="35" t="s">
        <v>115</v>
      </c>
      <c r="D1626" s="35" t="s">
        <v>131</v>
      </c>
      <c r="E1626" s="35" t="s">
        <v>39</v>
      </c>
      <c r="F1626" s="28" t="e">
        <f ca="1">_xludf.ifna(VLOOKUP(G1626,Proyectos!$A$2:$F$674,6,0),"")</f>
        <v>#NAME?</v>
      </c>
      <c r="G1626" s="29" t="s">
        <v>5114</v>
      </c>
      <c r="H1626" s="59">
        <v>0.1</v>
      </c>
      <c r="I1626" s="30" t="s">
        <v>18</v>
      </c>
      <c r="J1626" s="31" t="s">
        <v>72</v>
      </c>
      <c r="K1626" s="55" t="s">
        <v>5549</v>
      </c>
      <c r="L1626" s="32" t="e">
        <f ca="1">_xludf.ifna(VLOOKUP(E1626,Parámetros!$D$2:$E$34,2,0),"")</f>
        <v>#NAME?</v>
      </c>
      <c r="M1626" s="32" t="e">
        <f ca="1">_xludf.ifna(VLOOKUP(G1626,Proyectos!$A$2:$T$674,20,0),"")</f>
        <v>#NAME?</v>
      </c>
      <c r="N1626" s="32" t="e">
        <f ca="1">_xludf.ifna(VLOOKUP(G1626,Proyectos!$A$2:$S$674,19,0))</f>
        <v>#NAME?</v>
      </c>
      <c r="O1626" s="32"/>
      <c r="P1626" s="32"/>
      <c r="Q1626" s="33"/>
      <c r="R1626" s="33"/>
      <c r="S1626" s="33"/>
      <c r="T1626" s="63">
        <f t="shared" si="16"/>
        <v>0</v>
      </c>
      <c r="U1626" s="33"/>
      <c r="V1626" s="33"/>
      <c r="W1626" s="33"/>
    </row>
    <row r="1627" spans="1:23" ht="16.5" customHeight="1" x14ac:dyDescent="0.2">
      <c r="A1627" s="35" t="s">
        <v>3351</v>
      </c>
      <c r="B1627" s="54" t="s">
        <v>5548</v>
      </c>
      <c r="C1627" s="35" t="s">
        <v>115</v>
      </c>
      <c r="D1627" s="35" t="s">
        <v>131</v>
      </c>
      <c r="E1627" s="35" t="s">
        <v>39</v>
      </c>
      <c r="F1627" s="28" t="e">
        <f ca="1">_xludf.ifna(VLOOKUP(G1627,Proyectos!$A$2:$F$674,6,0),"")</f>
        <v>#NAME?</v>
      </c>
      <c r="G1627" s="29" t="s">
        <v>5114</v>
      </c>
      <c r="H1627" s="59">
        <v>0.05</v>
      </c>
      <c r="I1627" s="30" t="s">
        <v>18</v>
      </c>
      <c r="J1627" s="31" t="s">
        <v>72</v>
      </c>
      <c r="K1627" s="55" t="s">
        <v>5550</v>
      </c>
      <c r="L1627" s="32" t="e">
        <f ca="1">_xludf.ifna(VLOOKUP(E1627,Parámetros!$D$2:$E$34,2,0),"")</f>
        <v>#NAME?</v>
      </c>
      <c r="M1627" s="32" t="e">
        <f ca="1">_xludf.ifna(VLOOKUP(G1627,Proyectos!$A$2:$T$674,20,0),"")</f>
        <v>#NAME?</v>
      </c>
      <c r="N1627" s="32" t="e">
        <f ca="1">_xludf.ifna(VLOOKUP(G1627,Proyectos!$A$2:$S$674,19,0))</f>
        <v>#NAME?</v>
      </c>
      <c r="O1627" s="32"/>
      <c r="P1627" s="32"/>
      <c r="Q1627" s="33"/>
      <c r="R1627" s="33"/>
      <c r="S1627" s="33"/>
      <c r="T1627" s="63">
        <f t="shared" si="16"/>
        <v>0</v>
      </c>
      <c r="U1627" s="33"/>
      <c r="V1627" s="33"/>
      <c r="W1627" s="33"/>
    </row>
    <row r="1628" spans="1:23" ht="16.5" customHeight="1" x14ac:dyDescent="0.2">
      <c r="A1628" s="35" t="s">
        <v>3351</v>
      </c>
      <c r="B1628" s="54" t="s">
        <v>5548</v>
      </c>
      <c r="C1628" s="35" t="s">
        <v>115</v>
      </c>
      <c r="D1628" s="35" t="s">
        <v>131</v>
      </c>
      <c r="E1628" s="35" t="s">
        <v>39</v>
      </c>
      <c r="F1628" s="28" t="e">
        <f ca="1">_xludf.ifna(VLOOKUP(G1628,Proyectos!$A$2:$F$674,6,0),"")</f>
        <v>#NAME?</v>
      </c>
      <c r="G1628" s="29" t="s">
        <v>5545</v>
      </c>
      <c r="H1628" s="59">
        <v>0.1</v>
      </c>
      <c r="I1628" s="30" t="s">
        <v>18</v>
      </c>
      <c r="J1628" s="31" t="s">
        <v>72</v>
      </c>
      <c r="K1628" s="55" t="s">
        <v>5546</v>
      </c>
      <c r="L1628" s="32" t="e">
        <f ca="1">_xludf.ifna(VLOOKUP(E1628,Parámetros!$D$2:$E$34,2,0),"")</f>
        <v>#NAME?</v>
      </c>
      <c r="M1628" s="32" t="e">
        <f ca="1">_xludf.ifna(VLOOKUP(G1628,Proyectos!$A$2:$T$674,20,0),"")</f>
        <v>#NAME?</v>
      </c>
      <c r="N1628" s="32" t="e">
        <f ca="1">_xludf.ifna(VLOOKUP(G1628,Proyectos!$A$2:$S$674,19,0))</f>
        <v>#NAME?</v>
      </c>
      <c r="O1628" s="32"/>
      <c r="P1628" s="32"/>
      <c r="Q1628" s="33"/>
      <c r="R1628" s="33"/>
      <c r="S1628" s="33"/>
      <c r="T1628" s="63">
        <f t="shared" si="16"/>
        <v>0</v>
      </c>
      <c r="U1628" s="33"/>
      <c r="V1628" s="33"/>
      <c r="W1628" s="33"/>
    </row>
    <row r="1629" spans="1:23" ht="16.5" customHeight="1" x14ac:dyDescent="0.2">
      <c r="A1629" s="35" t="s">
        <v>3548</v>
      </c>
      <c r="B1629" s="54" t="s">
        <v>5544</v>
      </c>
      <c r="C1629" s="35" t="s">
        <v>115</v>
      </c>
      <c r="D1629" s="35" t="s">
        <v>131</v>
      </c>
      <c r="E1629" s="35" t="s">
        <v>39</v>
      </c>
      <c r="F1629" s="28" t="e">
        <f ca="1">_xludf.ifna(VLOOKUP(G1629,Proyectos!$A$2:$F$674,6,0),"")</f>
        <v>#NAME?</v>
      </c>
      <c r="G1629" s="38" t="s">
        <v>5323</v>
      </c>
      <c r="H1629" s="59">
        <v>0.5</v>
      </c>
      <c r="I1629" s="30" t="s">
        <v>18</v>
      </c>
      <c r="J1629" s="31" t="s">
        <v>72</v>
      </c>
      <c r="K1629" s="55" t="s">
        <v>5551</v>
      </c>
      <c r="L1629" s="32" t="e">
        <f ca="1">_xludf.ifna(VLOOKUP(E1629,Parámetros!$D$2:$E$34,2,0),"")</f>
        <v>#NAME?</v>
      </c>
      <c r="M1629" s="32" t="e">
        <f ca="1">_xludf.ifna(VLOOKUP(G1629,Proyectos!$A$2:$T$674,20,0),"")</f>
        <v>#NAME?</v>
      </c>
      <c r="N1629" s="32" t="e">
        <f ca="1">_xludf.ifna(VLOOKUP(G1629,Proyectos!$A$2:$S$674,19,0))</f>
        <v>#NAME?</v>
      </c>
      <c r="O1629" s="32"/>
      <c r="P1629" s="32"/>
      <c r="Q1629" s="33"/>
      <c r="R1629" s="33"/>
      <c r="S1629" s="33"/>
      <c r="T1629" s="63">
        <f t="shared" si="16"/>
        <v>1</v>
      </c>
      <c r="U1629" s="33"/>
      <c r="V1629" s="33"/>
      <c r="W1629" s="33"/>
    </row>
    <row r="1630" spans="1:23" ht="16.5" customHeight="1" x14ac:dyDescent="0.2">
      <c r="A1630" s="35" t="s">
        <v>3548</v>
      </c>
      <c r="B1630" s="54" t="s">
        <v>5544</v>
      </c>
      <c r="C1630" s="35" t="s">
        <v>115</v>
      </c>
      <c r="D1630" s="35" t="s">
        <v>131</v>
      </c>
      <c r="E1630" s="35" t="s">
        <v>39</v>
      </c>
      <c r="F1630" s="28" t="e">
        <f ca="1">_xludf.ifna(VLOOKUP(G1630,Proyectos!$A$2:$F$674,6,0),"")</f>
        <v>#NAME?</v>
      </c>
      <c r="G1630" s="29" t="s">
        <v>5114</v>
      </c>
      <c r="H1630" s="59">
        <v>0.35</v>
      </c>
      <c r="I1630" s="30" t="s">
        <v>18</v>
      </c>
      <c r="J1630" s="31" t="s">
        <v>72</v>
      </c>
      <c r="K1630" s="55" t="s">
        <v>3353</v>
      </c>
      <c r="L1630" s="32" t="e">
        <f ca="1">_xludf.ifna(VLOOKUP(E1630,Parámetros!$D$2:$E$34,2,0),"")</f>
        <v>#NAME?</v>
      </c>
      <c r="M1630" s="32" t="e">
        <f ca="1">_xludf.ifna(VLOOKUP(G1630,Proyectos!$A$2:$T$674,20,0),"")</f>
        <v>#NAME?</v>
      </c>
      <c r="N1630" s="32" t="e">
        <f ca="1">_xludf.ifna(VLOOKUP(G1630,Proyectos!$A$2:$S$674,19,0))</f>
        <v>#NAME?</v>
      </c>
      <c r="O1630" s="32"/>
      <c r="P1630" s="32"/>
      <c r="Q1630" s="33"/>
      <c r="R1630" s="33"/>
      <c r="S1630" s="33"/>
      <c r="T1630" s="63">
        <f t="shared" si="16"/>
        <v>0</v>
      </c>
      <c r="U1630" s="33"/>
      <c r="V1630" s="33"/>
      <c r="W1630" s="33"/>
    </row>
    <row r="1631" spans="1:23" ht="16.5" customHeight="1" x14ac:dyDescent="0.2">
      <c r="A1631" s="35" t="s">
        <v>3548</v>
      </c>
      <c r="B1631" s="54" t="s">
        <v>5544</v>
      </c>
      <c r="C1631" s="35" t="s">
        <v>115</v>
      </c>
      <c r="D1631" s="35" t="s">
        <v>131</v>
      </c>
      <c r="E1631" s="35" t="s">
        <v>39</v>
      </c>
      <c r="F1631" s="28" t="e">
        <f ca="1">_xludf.ifna(VLOOKUP(G1631,Proyectos!$A$2:$F$674,6,0),"")</f>
        <v>#NAME?</v>
      </c>
      <c r="G1631" s="29" t="s">
        <v>5114</v>
      </c>
      <c r="H1631" s="59">
        <v>0.05</v>
      </c>
      <c r="I1631" s="30" t="s">
        <v>18</v>
      </c>
      <c r="J1631" s="31" t="s">
        <v>72</v>
      </c>
      <c r="K1631" s="55" t="s">
        <v>5550</v>
      </c>
      <c r="L1631" s="32" t="e">
        <f ca="1">_xludf.ifna(VLOOKUP(E1631,Parámetros!$D$2:$E$34,2,0),"")</f>
        <v>#NAME?</v>
      </c>
      <c r="M1631" s="32" t="e">
        <f ca="1">_xludf.ifna(VLOOKUP(G1631,Proyectos!$A$2:$T$674,20,0),"")</f>
        <v>#NAME?</v>
      </c>
      <c r="N1631" s="32" t="e">
        <f ca="1">_xludf.ifna(VLOOKUP(G1631,Proyectos!$A$2:$S$674,19,0))</f>
        <v>#NAME?</v>
      </c>
      <c r="O1631" s="32"/>
      <c r="P1631" s="32"/>
      <c r="Q1631" s="33"/>
      <c r="R1631" s="33"/>
      <c r="S1631" s="33"/>
      <c r="T1631" s="63">
        <f t="shared" si="16"/>
        <v>0</v>
      </c>
      <c r="U1631" s="33"/>
      <c r="V1631" s="33"/>
      <c r="W1631" s="33"/>
    </row>
    <row r="1632" spans="1:23" ht="16.5" customHeight="1" x14ac:dyDescent="0.2">
      <c r="A1632" s="35" t="s">
        <v>3448</v>
      </c>
      <c r="B1632" s="54" t="s">
        <v>5552</v>
      </c>
      <c r="C1632" s="35" t="s">
        <v>115</v>
      </c>
      <c r="D1632" s="35" t="s">
        <v>131</v>
      </c>
      <c r="E1632" s="35" t="s">
        <v>39</v>
      </c>
      <c r="F1632" s="28" t="e">
        <f ca="1">_xludf.ifna(VLOOKUP(G1632,Proyectos!$A$2:$F$674,6,0),"")</f>
        <v>#NAME?</v>
      </c>
      <c r="G1632" s="38" t="s">
        <v>5323</v>
      </c>
      <c r="H1632" s="59">
        <v>0.2</v>
      </c>
      <c r="I1632" s="30" t="s">
        <v>18</v>
      </c>
      <c r="J1632" s="31" t="s">
        <v>72</v>
      </c>
      <c r="K1632" s="55" t="s">
        <v>3450</v>
      </c>
      <c r="L1632" s="32" t="e">
        <f ca="1">_xludf.ifna(VLOOKUP(E1632,Parámetros!$D$2:$E$34,2,0),"")</f>
        <v>#NAME?</v>
      </c>
      <c r="M1632" s="32" t="e">
        <f ca="1">_xludf.ifna(VLOOKUP(G1632,Proyectos!$A$2:$T$674,20,0),"")</f>
        <v>#NAME?</v>
      </c>
      <c r="N1632" s="32" t="e">
        <f ca="1">_xludf.ifna(VLOOKUP(G1632,Proyectos!$A$2:$S$674,19,0))</f>
        <v>#NAME?</v>
      </c>
      <c r="O1632" s="32"/>
      <c r="P1632" s="32"/>
      <c r="Q1632" s="33"/>
      <c r="R1632" s="33"/>
      <c r="S1632" s="33"/>
      <c r="T1632" s="63">
        <f t="shared" si="16"/>
        <v>1</v>
      </c>
      <c r="U1632" s="33"/>
      <c r="V1632" s="33"/>
      <c r="W1632" s="33"/>
    </row>
    <row r="1633" spans="1:23" ht="16.5" customHeight="1" x14ac:dyDescent="0.2">
      <c r="A1633" s="35" t="s">
        <v>3448</v>
      </c>
      <c r="B1633" s="54" t="s">
        <v>5552</v>
      </c>
      <c r="C1633" s="35" t="s">
        <v>115</v>
      </c>
      <c r="D1633" s="35" t="s">
        <v>131</v>
      </c>
      <c r="E1633" s="35" t="s">
        <v>39</v>
      </c>
      <c r="F1633" s="28" t="e">
        <f ca="1">_xludf.ifna(VLOOKUP(G1633,Proyectos!$A$2:$F$674,6,0),"")</f>
        <v>#NAME?</v>
      </c>
      <c r="G1633" s="38" t="s">
        <v>5553</v>
      </c>
      <c r="H1633" s="59">
        <v>0.1</v>
      </c>
      <c r="I1633" s="30" t="s">
        <v>18</v>
      </c>
      <c r="J1633" s="31" t="s">
        <v>72</v>
      </c>
      <c r="K1633" s="55" t="s">
        <v>5554</v>
      </c>
      <c r="L1633" s="32" t="e">
        <f ca="1">_xludf.ifna(VLOOKUP(E1633,Parámetros!$D$2:$E$34,2,0),"")</f>
        <v>#NAME?</v>
      </c>
      <c r="M1633" s="32" t="e">
        <f ca="1">_xludf.ifna(VLOOKUP(G1633,Proyectos!$A$2:$T$674,20,0),"")</f>
        <v>#NAME?</v>
      </c>
      <c r="N1633" s="32" t="e">
        <f ca="1">_xludf.ifna(VLOOKUP(G1633,Proyectos!$A$2:$S$674,19,0))</f>
        <v>#NAME?</v>
      </c>
      <c r="O1633" s="32"/>
      <c r="P1633" s="32"/>
      <c r="Q1633" s="33"/>
      <c r="R1633" s="33"/>
      <c r="S1633" s="33"/>
      <c r="T1633" s="63">
        <f t="shared" si="16"/>
        <v>0</v>
      </c>
      <c r="U1633" s="33"/>
      <c r="V1633" s="33"/>
      <c r="W1633" s="33"/>
    </row>
    <row r="1634" spans="1:23" ht="16.5" customHeight="1" x14ac:dyDescent="0.2">
      <c r="A1634" s="35" t="s">
        <v>3448</v>
      </c>
      <c r="B1634" s="54" t="s">
        <v>5552</v>
      </c>
      <c r="C1634" s="35" t="s">
        <v>115</v>
      </c>
      <c r="D1634" s="35" t="s">
        <v>131</v>
      </c>
      <c r="E1634" s="35" t="s">
        <v>39</v>
      </c>
      <c r="F1634" s="28" t="e">
        <f ca="1">_xludf.ifna(VLOOKUP(G1634,Proyectos!$A$2:$F$674,6,0),"")</f>
        <v>#NAME?</v>
      </c>
      <c r="G1634" s="38" t="s">
        <v>5555</v>
      </c>
      <c r="H1634" s="59">
        <v>0</v>
      </c>
      <c r="I1634" s="30" t="s">
        <v>18</v>
      </c>
      <c r="J1634" s="31" t="s">
        <v>72</v>
      </c>
      <c r="K1634" s="55" t="s">
        <v>5556</v>
      </c>
      <c r="L1634" s="32" t="e">
        <f ca="1">_xludf.ifna(VLOOKUP(E1634,Parámetros!$D$2:$E$34,2,0),"")</f>
        <v>#NAME?</v>
      </c>
      <c r="M1634" s="32" t="e">
        <f ca="1">_xludf.ifna(VLOOKUP(G1634,Proyectos!$A$2:$T$674,20,0),"")</f>
        <v>#NAME?</v>
      </c>
      <c r="N1634" s="32" t="e">
        <f ca="1">_xludf.ifna(VLOOKUP(G1634,Proyectos!$A$2:$S$674,19,0))</f>
        <v>#NAME?</v>
      </c>
      <c r="O1634" s="32"/>
      <c r="P1634" s="32"/>
      <c r="Q1634" s="33"/>
      <c r="R1634" s="33"/>
      <c r="S1634" s="33"/>
      <c r="T1634" s="63">
        <f t="shared" si="16"/>
        <v>0</v>
      </c>
      <c r="U1634" s="33"/>
      <c r="V1634" s="33"/>
      <c r="W1634" s="33"/>
    </row>
    <row r="1635" spans="1:23" ht="16.5" customHeight="1" x14ac:dyDescent="0.2">
      <c r="A1635" s="35" t="s">
        <v>3448</v>
      </c>
      <c r="B1635" s="54" t="s">
        <v>5552</v>
      </c>
      <c r="C1635" s="35" t="s">
        <v>115</v>
      </c>
      <c r="D1635" s="35" t="s">
        <v>131</v>
      </c>
      <c r="E1635" s="35" t="s">
        <v>39</v>
      </c>
      <c r="F1635" s="28" t="e">
        <f ca="1">_xludf.ifna(VLOOKUP(G1635,Proyectos!$A$2:$F$674,6,0),"")</f>
        <v>#NAME?</v>
      </c>
      <c r="G1635" s="29" t="s">
        <v>5114</v>
      </c>
      <c r="H1635" s="59">
        <v>0.05</v>
      </c>
      <c r="I1635" s="30" t="s">
        <v>18</v>
      </c>
      <c r="J1635" s="31" t="s">
        <v>72</v>
      </c>
      <c r="K1635" s="55" t="s">
        <v>5557</v>
      </c>
      <c r="L1635" s="32" t="e">
        <f ca="1">_xludf.ifna(VLOOKUP(E1635,Parámetros!$D$2:$E$34,2,0),"")</f>
        <v>#NAME?</v>
      </c>
      <c r="M1635" s="32" t="e">
        <f ca="1">_xludf.ifna(VLOOKUP(G1635,Proyectos!$A$2:$T$674,20,0),"")</f>
        <v>#NAME?</v>
      </c>
      <c r="N1635" s="32" t="e">
        <f ca="1">_xludf.ifna(VLOOKUP(G1635,Proyectos!$A$2:$S$674,19,0))</f>
        <v>#NAME?</v>
      </c>
      <c r="O1635" s="32"/>
      <c r="P1635" s="32"/>
      <c r="Q1635" s="33"/>
      <c r="R1635" s="33"/>
      <c r="S1635" s="33"/>
      <c r="T1635" s="63">
        <f t="shared" si="16"/>
        <v>0</v>
      </c>
      <c r="U1635" s="33"/>
      <c r="V1635" s="33"/>
      <c r="W1635" s="33"/>
    </row>
    <row r="1636" spans="1:23" ht="16.5" customHeight="1" x14ac:dyDescent="0.2">
      <c r="A1636" s="35" t="s">
        <v>3448</v>
      </c>
      <c r="B1636" s="54" t="s">
        <v>5552</v>
      </c>
      <c r="C1636" s="35" t="s">
        <v>115</v>
      </c>
      <c r="D1636" s="35" t="s">
        <v>131</v>
      </c>
      <c r="E1636" s="35" t="s">
        <v>39</v>
      </c>
      <c r="F1636" s="28" t="e">
        <f ca="1">_xludf.ifna(VLOOKUP(G1636,Proyectos!$A$2:$F$674,6,0),"")</f>
        <v>#NAME?</v>
      </c>
      <c r="G1636" s="29" t="s">
        <v>5225</v>
      </c>
      <c r="H1636" s="30">
        <v>0.65</v>
      </c>
      <c r="I1636" s="30" t="s">
        <v>18</v>
      </c>
      <c r="J1636" s="31" t="s">
        <v>72</v>
      </c>
      <c r="K1636" s="55" t="s">
        <v>3507</v>
      </c>
      <c r="L1636" s="32" t="e">
        <f ca="1">_xludf.ifna(VLOOKUP(E1636,Parámetros!$D$2:$E$34,2,0),"")</f>
        <v>#NAME?</v>
      </c>
      <c r="M1636" s="32" t="e">
        <f ca="1">_xludf.ifna(VLOOKUP(G1636,Proyectos!$A$2:$T$674,20,0),"")</f>
        <v>#NAME?</v>
      </c>
      <c r="N1636" s="32" t="e">
        <f ca="1">_xludf.ifna(VLOOKUP(G1636,Proyectos!$A$2:$S$674,19,0))</f>
        <v>#NAME?</v>
      </c>
      <c r="O1636" s="32"/>
      <c r="P1636" s="32"/>
      <c r="Q1636" s="33"/>
      <c r="R1636" s="33"/>
      <c r="S1636" s="33"/>
      <c r="T1636" s="63">
        <f t="shared" si="16"/>
        <v>0</v>
      </c>
      <c r="U1636" s="33"/>
      <c r="V1636" s="33"/>
      <c r="W1636" s="33"/>
    </row>
    <row r="1637" spans="1:23" ht="16.5" customHeight="1" x14ac:dyDescent="0.2">
      <c r="A1637" s="35" t="s">
        <v>4728</v>
      </c>
      <c r="B1637" s="54" t="s">
        <v>5558</v>
      </c>
      <c r="C1637" s="35" t="s">
        <v>115</v>
      </c>
      <c r="D1637" s="35" t="s">
        <v>131</v>
      </c>
      <c r="E1637" s="35" t="s">
        <v>39</v>
      </c>
      <c r="F1637" s="28" t="e">
        <f ca="1">_xludf.ifna(VLOOKUP(G1637,Proyectos!$A$2:$F$674,6,0),"")</f>
        <v>#NAME?</v>
      </c>
      <c r="G1637" s="29" t="s">
        <v>5559</v>
      </c>
      <c r="H1637" s="30">
        <v>0.05</v>
      </c>
      <c r="I1637" s="30" t="s">
        <v>18</v>
      </c>
      <c r="J1637" s="31" t="s">
        <v>72</v>
      </c>
      <c r="K1637" s="30" t="s">
        <v>3300</v>
      </c>
      <c r="L1637" s="32" t="e">
        <f ca="1">_xludf.ifna(VLOOKUP(E1637,Parámetros!$D$2:$E$34,2,0),"")</f>
        <v>#NAME?</v>
      </c>
      <c r="M1637" s="32" t="e">
        <f ca="1">_xludf.ifna(VLOOKUP(G1637,Proyectos!$A$2:$T$674,20,0),"")</f>
        <v>#NAME?</v>
      </c>
      <c r="N1637" s="32" t="e">
        <f ca="1">_xludf.ifna(VLOOKUP(G1637,Proyectos!$A$2:$S$674,19,0))</f>
        <v>#NAME?</v>
      </c>
      <c r="O1637" s="32"/>
      <c r="P1637" s="32"/>
      <c r="Q1637" s="33"/>
      <c r="R1637" s="33"/>
      <c r="S1637" s="33"/>
      <c r="T1637" s="63">
        <f t="shared" si="16"/>
        <v>1</v>
      </c>
      <c r="U1637" s="33"/>
      <c r="V1637" s="33"/>
      <c r="W1637" s="33"/>
    </row>
    <row r="1638" spans="1:23" ht="16.5" customHeight="1" x14ac:dyDescent="0.2">
      <c r="A1638" s="35" t="s">
        <v>4728</v>
      </c>
      <c r="B1638" s="54" t="s">
        <v>5558</v>
      </c>
      <c r="C1638" s="35" t="s">
        <v>115</v>
      </c>
      <c r="D1638" s="35" t="s">
        <v>131</v>
      </c>
      <c r="E1638" s="35" t="s">
        <v>39</v>
      </c>
      <c r="F1638" s="28" t="e">
        <f ca="1">_xludf.ifna(VLOOKUP(G1638,Proyectos!$A$2:$F$674,6,0),"")</f>
        <v>#NAME?</v>
      </c>
      <c r="G1638" s="29" t="s">
        <v>5545</v>
      </c>
      <c r="H1638" s="30">
        <v>0.2</v>
      </c>
      <c r="I1638" s="30" t="s">
        <v>18</v>
      </c>
      <c r="J1638" s="31" t="s">
        <v>72</v>
      </c>
      <c r="K1638" s="55" t="s">
        <v>5546</v>
      </c>
      <c r="L1638" s="32" t="e">
        <f ca="1">_xludf.ifna(VLOOKUP(E1638,Parámetros!$D$2:$E$34,2,0),"")</f>
        <v>#NAME?</v>
      </c>
      <c r="M1638" s="32" t="e">
        <f ca="1">_xludf.ifna(VLOOKUP(G1638,Proyectos!$A$2:$T$674,20,0),"")</f>
        <v>#NAME?</v>
      </c>
      <c r="N1638" s="32" t="e">
        <f ca="1">_xludf.ifna(VLOOKUP(G1638,Proyectos!$A$2:$S$674,19,0))</f>
        <v>#NAME?</v>
      </c>
      <c r="O1638" s="32"/>
      <c r="P1638" s="32"/>
      <c r="Q1638" s="33"/>
      <c r="R1638" s="33"/>
      <c r="S1638" s="33"/>
      <c r="T1638" s="63">
        <f t="shared" si="16"/>
        <v>0</v>
      </c>
      <c r="U1638" s="33"/>
      <c r="V1638" s="33"/>
      <c r="W1638" s="33"/>
    </row>
    <row r="1639" spans="1:23" ht="16.5" customHeight="1" x14ac:dyDescent="0.2">
      <c r="A1639" s="35" t="s">
        <v>4728</v>
      </c>
      <c r="B1639" s="54" t="s">
        <v>5558</v>
      </c>
      <c r="C1639" s="35" t="s">
        <v>115</v>
      </c>
      <c r="D1639" s="35" t="s">
        <v>131</v>
      </c>
      <c r="E1639" s="35" t="s">
        <v>39</v>
      </c>
      <c r="F1639" s="28" t="e">
        <f ca="1">_xludf.ifna(VLOOKUP(G1639,Proyectos!$A$2:$F$674,6,0),"")</f>
        <v>#NAME?</v>
      </c>
      <c r="G1639" s="29" t="s">
        <v>5225</v>
      </c>
      <c r="H1639" s="30">
        <v>0.75</v>
      </c>
      <c r="I1639" s="30" t="s">
        <v>18</v>
      </c>
      <c r="J1639" s="31" t="s">
        <v>72</v>
      </c>
      <c r="K1639" s="55" t="s">
        <v>5560</v>
      </c>
      <c r="L1639" s="32" t="e">
        <f ca="1">_xludf.ifna(VLOOKUP(E1639,Parámetros!$D$2:$E$34,2,0),"")</f>
        <v>#NAME?</v>
      </c>
      <c r="M1639" s="32" t="e">
        <f ca="1">_xludf.ifna(VLOOKUP(G1639,Proyectos!$A$2:$T$674,20,0),"")</f>
        <v>#NAME?</v>
      </c>
      <c r="N1639" s="32" t="e">
        <f ca="1">_xludf.ifna(VLOOKUP(G1639,Proyectos!$A$2:$S$674,19,0))</f>
        <v>#NAME?</v>
      </c>
      <c r="O1639" s="32"/>
      <c r="P1639" s="32"/>
      <c r="Q1639" s="33"/>
      <c r="R1639" s="33"/>
      <c r="S1639" s="33"/>
      <c r="T1639" s="63">
        <f t="shared" si="16"/>
        <v>0</v>
      </c>
      <c r="U1639" s="33"/>
      <c r="V1639" s="33"/>
      <c r="W1639" s="33"/>
    </row>
    <row r="1640" spans="1:23" ht="16.5" customHeight="1" x14ac:dyDescent="0.2">
      <c r="A1640" s="35" t="s">
        <v>5025</v>
      </c>
      <c r="B1640" s="54" t="s">
        <v>5561</v>
      </c>
      <c r="C1640" s="35" t="s">
        <v>115</v>
      </c>
      <c r="D1640" s="35" t="s">
        <v>131</v>
      </c>
      <c r="E1640" s="35" t="s">
        <v>139</v>
      </c>
      <c r="F1640" s="28" t="e">
        <f ca="1">_xludf.ifna(VLOOKUP(G1640,Proyectos!$A$2:$F$674,6,0),"")</f>
        <v>#NAME?</v>
      </c>
      <c r="G1640" s="29" t="s">
        <v>5114</v>
      </c>
      <c r="H1640" s="30">
        <v>1</v>
      </c>
      <c r="I1640" s="30" t="s">
        <v>18</v>
      </c>
      <c r="J1640" s="31" t="s">
        <v>72</v>
      </c>
      <c r="K1640" s="30" t="s">
        <v>5027</v>
      </c>
      <c r="L1640" s="32" t="e">
        <f ca="1">_xludf.ifna(VLOOKUP(E1640,Parámetros!$D$2:$E$34,2,0),"")</f>
        <v>#NAME?</v>
      </c>
      <c r="M1640" s="32" t="e">
        <f ca="1">_xludf.ifna(VLOOKUP(G1640,Proyectos!$A$2:$T$674,20,0),"")</f>
        <v>#NAME?</v>
      </c>
      <c r="N1640" s="32" t="e">
        <f ca="1">_xludf.ifna(VLOOKUP(G1640,Proyectos!$A$2:$S$674,19,0))</f>
        <v>#NAME?</v>
      </c>
      <c r="O1640" s="32"/>
      <c r="P1640" s="32"/>
      <c r="Q1640" s="33"/>
      <c r="R1640" s="33"/>
      <c r="S1640" s="33"/>
      <c r="T1640" s="63">
        <f t="shared" si="16"/>
        <v>1</v>
      </c>
      <c r="U1640" s="33"/>
      <c r="V1640" s="33"/>
      <c r="W1640" s="33"/>
    </row>
    <row r="1641" spans="1:23" ht="16.5" customHeight="1" x14ac:dyDescent="0.2">
      <c r="A1641" s="35" t="s">
        <v>4738</v>
      </c>
      <c r="B1641" s="54" t="s">
        <v>5562</v>
      </c>
      <c r="C1641" s="35" t="s">
        <v>115</v>
      </c>
      <c r="D1641" s="35" t="s">
        <v>131</v>
      </c>
      <c r="E1641" s="35" t="s">
        <v>39</v>
      </c>
      <c r="F1641" s="28" t="e">
        <f ca="1">_xludf.ifna(VLOOKUP(G1641,Proyectos!$A$2:$F$674,6,0),"")</f>
        <v>#NAME?</v>
      </c>
      <c r="G1641" s="29" t="s">
        <v>5114</v>
      </c>
      <c r="H1641" s="30">
        <v>0.9</v>
      </c>
      <c r="I1641" s="30" t="s">
        <v>18</v>
      </c>
      <c r="J1641" s="31" t="s">
        <v>72</v>
      </c>
      <c r="K1641" s="55" t="s">
        <v>4740</v>
      </c>
      <c r="L1641" s="32" t="e">
        <f ca="1">_xludf.ifna(VLOOKUP(E1641,Parámetros!$D$2:$E$34,2,0),"")</f>
        <v>#NAME?</v>
      </c>
      <c r="M1641" s="32" t="e">
        <f ca="1">_xludf.ifna(VLOOKUP(G1641,Proyectos!$A$2:$T$674,20,0),"")</f>
        <v>#NAME?</v>
      </c>
      <c r="N1641" s="32" t="e">
        <f ca="1">_xludf.ifna(VLOOKUP(G1641,Proyectos!$A$2:$S$674,19,0))</f>
        <v>#NAME?</v>
      </c>
      <c r="O1641" s="32"/>
      <c r="P1641" s="32"/>
      <c r="Q1641" s="33"/>
      <c r="R1641" s="33"/>
      <c r="S1641" s="33"/>
      <c r="T1641" s="63">
        <f t="shared" si="16"/>
        <v>1</v>
      </c>
      <c r="U1641" s="33"/>
      <c r="V1641" s="33"/>
      <c r="W1641" s="33"/>
    </row>
    <row r="1642" spans="1:23" ht="16.5" customHeight="1" x14ac:dyDescent="0.2">
      <c r="A1642" s="35" t="s">
        <v>3396</v>
      </c>
      <c r="B1642" s="54" t="s">
        <v>5563</v>
      </c>
      <c r="C1642" s="35" t="s">
        <v>115</v>
      </c>
      <c r="D1642" s="35" t="s">
        <v>131</v>
      </c>
      <c r="E1642" s="35" t="s">
        <v>39</v>
      </c>
      <c r="F1642" s="28" t="e">
        <f ca="1">_xludf.ifna(VLOOKUP(G1642,Proyectos!$A$2:$F$674,6,0),"")</f>
        <v>#NAME?</v>
      </c>
      <c r="G1642" s="29" t="s">
        <v>5114</v>
      </c>
      <c r="H1642" s="30">
        <v>1</v>
      </c>
      <c r="I1642" s="30" t="s">
        <v>11</v>
      </c>
      <c r="J1642" s="31" t="s">
        <v>72</v>
      </c>
      <c r="K1642" s="30" t="s">
        <v>3398</v>
      </c>
      <c r="L1642" s="32" t="e">
        <f ca="1">_xludf.ifna(VLOOKUP(E1642,Parámetros!$D$2:$E$34,2,0),"")</f>
        <v>#NAME?</v>
      </c>
      <c r="M1642" s="32" t="e">
        <f ca="1">_xludf.ifna(VLOOKUP(G1642,Proyectos!$A$2:$T$674,20,0),"")</f>
        <v>#NAME?</v>
      </c>
      <c r="N1642" s="32" t="e">
        <f ca="1">_xludf.ifna(VLOOKUP(G1642,Proyectos!$A$2:$S$674,19,0))</f>
        <v>#NAME?</v>
      </c>
      <c r="O1642" s="32"/>
      <c r="P1642" s="32"/>
      <c r="Q1642" s="33"/>
      <c r="R1642" s="33"/>
      <c r="S1642" s="33"/>
      <c r="T1642" s="63">
        <f t="shared" si="16"/>
        <v>1</v>
      </c>
      <c r="U1642" s="33"/>
      <c r="V1642" s="33"/>
      <c r="W1642" s="33"/>
    </row>
    <row r="1643" spans="1:23" ht="16.5" customHeight="1" x14ac:dyDescent="0.2">
      <c r="A1643" s="35" t="s">
        <v>4738</v>
      </c>
      <c r="B1643" s="54" t="s">
        <v>5562</v>
      </c>
      <c r="C1643" s="35" t="s">
        <v>115</v>
      </c>
      <c r="D1643" s="35" t="s">
        <v>131</v>
      </c>
      <c r="E1643" s="35" t="s">
        <v>39</v>
      </c>
      <c r="F1643" s="28" t="e">
        <f ca="1">_xludf.ifna(VLOOKUP(G1643,Proyectos!$A$2:$F$674,6,0),"")</f>
        <v>#NAME?</v>
      </c>
      <c r="G1643" s="29" t="s">
        <v>5114</v>
      </c>
      <c r="H1643" s="30">
        <v>0.05</v>
      </c>
      <c r="I1643" s="30" t="s">
        <v>18</v>
      </c>
      <c r="J1643" s="31" t="s">
        <v>72</v>
      </c>
      <c r="K1643" s="55" t="s">
        <v>5550</v>
      </c>
      <c r="L1643" s="32" t="e">
        <f ca="1">_xludf.ifna(VLOOKUP(E1643,Parámetros!$D$2:$E$34,2,0),"")</f>
        <v>#NAME?</v>
      </c>
      <c r="M1643" s="32" t="e">
        <f ca="1">_xludf.ifna(VLOOKUP(G1643,Proyectos!$A$2:$T$674,20,0),"")</f>
        <v>#NAME?</v>
      </c>
      <c r="N1643" s="32" t="e">
        <f ca="1">_xludf.ifna(VLOOKUP(G1643,Proyectos!$A$2:$S$674,19,0))</f>
        <v>#NAME?</v>
      </c>
      <c r="O1643" s="32"/>
      <c r="P1643" s="32"/>
      <c r="Q1643" s="33"/>
      <c r="R1643" s="33"/>
      <c r="S1643" s="33"/>
      <c r="T1643" s="63">
        <f t="shared" si="16"/>
        <v>1</v>
      </c>
      <c r="U1643" s="33"/>
      <c r="V1643" s="33"/>
      <c r="W1643" s="33"/>
    </row>
    <row r="1644" spans="1:23" ht="16.5" customHeight="1" x14ac:dyDescent="0.2">
      <c r="A1644" s="35" t="s">
        <v>4738</v>
      </c>
      <c r="B1644" s="54" t="s">
        <v>5562</v>
      </c>
      <c r="C1644" s="35" t="s">
        <v>115</v>
      </c>
      <c r="D1644" s="35" t="s">
        <v>131</v>
      </c>
      <c r="E1644" s="35" t="s">
        <v>39</v>
      </c>
      <c r="F1644" s="28" t="e">
        <f ca="1">_xludf.ifna(VLOOKUP(G1644,Proyectos!$A$2:$F$674,6,0),"")</f>
        <v>#NAME?</v>
      </c>
      <c r="G1644" s="29" t="s">
        <v>5225</v>
      </c>
      <c r="H1644" s="30">
        <v>0.05</v>
      </c>
      <c r="I1644" s="30" t="s">
        <v>18</v>
      </c>
      <c r="J1644" s="31" t="s">
        <v>72</v>
      </c>
      <c r="K1644" s="55" t="s">
        <v>5564</v>
      </c>
      <c r="L1644" s="32" t="e">
        <f ca="1">_xludf.ifna(VLOOKUP(E1644,Parámetros!$D$2:$E$34,2,0),"")</f>
        <v>#NAME?</v>
      </c>
      <c r="M1644" s="32" t="e">
        <f ca="1">_xludf.ifna(VLOOKUP(G1644,Proyectos!$A$2:$T$674,20,0),"")</f>
        <v>#NAME?</v>
      </c>
      <c r="N1644" s="32" t="e">
        <f ca="1">_xludf.ifna(VLOOKUP(G1644,Proyectos!$A$2:$S$674,19,0))</f>
        <v>#NAME?</v>
      </c>
      <c r="O1644" s="32"/>
      <c r="P1644" s="32"/>
      <c r="Q1644" s="33"/>
      <c r="R1644" s="33"/>
      <c r="S1644" s="33"/>
      <c r="T1644" s="63">
        <f t="shared" si="16"/>
        <v>0</v>
      </c>
      <c r="U1644" s="33"/>
      <c r="V1644" s="33"/>
      <c r="W1644" s="33"/>
    </row>
    <row r="1645" spans="1:23" ht="16.5" customHeight="1" x14ac:dyDescent="0.2">
      <c r="A1645" s="35" t="s">
        <v>4047</v>
      </c>
      <c r="B1645" s="54" t="s">
        <v>5565</v>
      </c>
      <c r="C1645" s="35" t="s">
        <v>115</v>
      </c>
      <c r="D1645" s="35" t="s">
        <v>131</v>
      </c>
      <c r="E1645" s="35" t="s">
        <v>139</v>
      </c>
      <c r="F1645" s="28" t="e">
        <f ca="1">_xludf.ifna(VLOOKUP(G1645,Proyectos!$A$2:$F$674,6,0),"")</f>
        <v>#NAME?</v>
      </c>
      <c r="G1645" s="29" t="s">
        <v>5543</v>
      </c>
      <c r="H1645" s="30">
        <v>1</v>
      </c>
      <c r="I1645" s="30" t="s">
        <v>18</v>
      </c>
      <c r="J1645" s="31" t="s">
        <v>72</v>
      </c>
      <c r="K1645" s="30" t="s">
        <v>3550</v>
      </c>
      <c r="L1645" s="32" t="e">
        <f ca="1">_xludf.ifna(VLOOKUP(E1645,Parámetros!$D$2:$E$34,2,0),"")</f>
        <v>#NAME?</v>
      </c>
      <c r="M1645" s="32" t="e">
        <f ca="1">_xludf.ifna(VLOOKUP(G1645,Proyectos!$A$2:$T$674,20,0),"")</f>
        <v>#NAME?</v>
      </c>
      <c r="N1645" s="32" t="e">
        <f ca="1">_xludf.ifna(VLOOKUP(G1645,Proyectos!$A$2:$S$674,19,0))</f>
        <v>#NAME?</v>
      </c>
      <c r="O1645" s="32"/>
      <c r="P1645" s="32"/>
      <c r="Q1645" s="33"/>
      <c r="R1645" s="33"/>
      <c r="S1645" s="33"/>
      <c r="T1645" s="63">
        <f t="shared" si="16"/>
        <v>1</v>
      </c>
      <c r="U1645" s="33"/>
      <c r="V1645" s="33"/>
      <c r="W1645" s="33"/>
    </row>
    <row r="1646" spans="1:23" ht="16.5" customHeight="1" x14ac:dyDescent="0.2">
      <c r="A1646" s="35" t="s">
        <v>4074</v>
      </c>
      <c r="B1646" s="54" t="s">
        <v>5566</v>
      </c>
      <c r="C1646" s="35" t="s">
        <v>115</v>
      </c>
      <c r="D1646" s="35" t="s">
        <v>131</v>
      </c>
      <c r="E1646" s="35" t="s">
        <v>139</v>
      </c>
      <c r="F1646" s="28" t="e">
        <f ca="1">_xludf.ifna(VLOOKUP(G1646,Proyectos!$A$2:$F$674,6,0),"")</f>
        <v>#NAME?</v>
      </c>
      <c r="G1646" s="29" t="s">
        <v>5114</v>
      </c>
      <c r="H1646" s="30">
        <v>1</v>
      </c>
      <c r="I1646" s="30" t="s">
        <v>18</v>
      </c>
      <c r="J1646" s="31" t="s">
        <v>72</v>
      </c>
      <c r="K1646" s="30" t="s">
        <v>3398</v>
      </c>
      <c r="L1646" s="32" t="e">
        <f ca="1">_xludf.ifna(VLOOKUP(E1646,Parámetros!$D$2:$E$34,2,0),"")</f>
        <v>#NAME?</v>
      </c>
      <c r="M1646" s="32" t="e">
        <f ca="1">_xludf.ifna(VLOOKUP(G1646,Proyectos!$A$2:$T$674,20,0),"")</f>
        <v>#NAME?</v>
      </c>
      <c r="N1646" s="32" t="e">
        <f ca="1">_xludf.ifna(VLOOKUP(G1646,Proyectos!$A$2:$S$674,19,0))</f>
        <v>#NAME?</v>
      </c>
      <c r="O1646" s="32"/>
      <c r="P1646" s="32"/>
      <c r="Q1646" s="33"/>
      <c r="R1646" s="33"/>
      <c r="S1646" s="33"/>
      <c r="T1646" s="63">
        <f t="shared" si="16"/>
        <v>1</v>
      </c>
      <c r="U1646" s="33"/>
      <c r="V1646" s="33"/>
      <c r="W1646" s="33"/>
    </row>
    <row r="1647" spans="1:23" ht="16.5" customHeight="1" x14ac:dyDescent="0.2">
      <c r="A1647" s="35" t="s">
        <v>4193</v>
      </c>
      <c r="B1647" s="54" t="s">
        <v>5567</v>
      </c>
      <c r="C1647" s="35" t="s">
        <v>115</v>
      </c>
      <c r="D1647" s="35" t="s">
        <v>131</v>
      </c>
      <c r="E1647" s="35" t="s">
        <v>87</v>
      </c>
      <c r="F1647" s="28" t="e">
        <f ca="1">_xludf.ifna(VLOOKUP(G1647,Proyectos!$A$2:$F$674,6,0),"")</f>
        <v>#NAME?</v>
      </c>
      <c r="G1647" s="29" t="s">
        <v>5114</v>
      </c>
      <c r="H1647" s="30">
        <v>0.4</v>
      </c>
      <c r="I1647" s="31" t="s">
        <v>25</v>
      </c>
      <c r="J1647" s="31" t="s">
        <v>72</v>
      </c>
      <c r="K1647" s="55" t="s">
        <v>4195</v>
      </c>
      <c r="L1647" s="32" t="e">
        <f ca="1">_xludf.ifna(VLOOKUP(E1647,Parámetros!$D$2:$E$34,2,0),"")</f>
        <v>#NAME?</v>
      </c>
      <c r="M1647" s="32" t="e">
        <f ca="1">_xludf.ifna(VLOOKUP(G1647,Proyectos!$A$2:$T$674,20,0),"")</f>
        <v>#NAME?</v>
      </c>
      <c r="N1647" s="32" t="e">
        <f ca="1">_xludf.ifna(VLOOKUP(G1647,Proyectos!$A$2:$S$674,19,0))</f>
        <v>#NAME?</v>
      </c>
      <c r="O1647" s="32"/>
      <c r="P1647" s="32"/>
      <c r="Q1647" s="33"/>
      <c r="R1647" s="33"/>
      <c r="S1647" s="33"/>
      <c r="T1647" s="63">
        <f t="shared" si="16"/>
        <v>1</v>
      </c>
      <c r="U1647" s="33"/>
      <c r="V1647" s="33"/>
      <c r="W1647" s="33"/>
    </row>
    <row r="1648" spans="1:23" ht="16.5" customHeight="1" x14ac:dyDescent="0.2">
      <c r="A1648" s="35" t="s">
        <v>4193</v>
      </c>
      <c r="B1648" s="54" t="s">
        <v>5567</v>
      </c>
      <c r="C1648" s="35" t="s">
        <v>115</v>
      </c>
      <c r="D1648" s="35" t="s">
        <v>131</v>
      </c>
      <c r="E1648" s="35" t="s">
        <v>87</v>
      </c>
      <c r="F1648" s="28" t="e">
        <f ca="1">_xludf.ifna(VLOOKUP(G1648,Proyectos!$A$2:$F$674,6,0),"")</f>
        <v>#NAME?</v>
      </c>
      <c r="G1648" s="29" t="s">
        <v>5114</v>
      </c>
      <c r="H1648" s="30">
        <v>0.1</v>
      </c>
      <c r="I1648" s="31" t="s">
        <v>25</v>
      </c>
      <c r="J1648" s="31" t="s">
        <v>72</v>
      </c>
      <c r="K1648" s="30" t="s">
        <v>5568</v>
      </c>
      <c r="L1648" s="32" t="e">
        <f ca="1">_xludf.ifna(VLOOKUP(E1648,Parámetros!$D$2:$E$34,2,0),"")</f>
        <v>#NAME?</v>
      </c>
      <c r="M1648" s="32" t="e">
        <f ca="1">_xludf.ifna(VLOOKUP(G1648,Proyectos!$A$2:$T$674,20,0),"")</f>
        <v>#NAME?</v>
      </c>
      <c r="N1648" s="32" t="e">
        <f ca="1">_xludf.ifna(VLOOKUP(G1648,Proyectos!$A$2:$S$674,19,0))</f>
        <v>#NAME?</v>
      </c>
      <c r="O1648" s="32"/>
      <c r="P1648" s="32"/>
      <c r="Q1648" s="33"/>
      <c r="R1648" s="33"/>
      <c r="S1648" s="33"/>
      <c r="T1648" s="63">
        <f t="shared" si="16"/>
        <v>0</v>
      </c>
      <c r="U1648" s="33"/>
      <c r="V1648" s="33"/>
      <c r="W1648" s="33"/>
    </row>
    <row r="1649" spans="1:23" ht="16.5" customHeight="1" x14ac:dyDescent="0.2">
      <c r="A1649" s="35" t="s">
        <v>4193</v>
      </c>
      <c r="B1649" s="54" t="s">
        <v>5567</v>
      </c>
      <c r="C1649" s="35" t="s">
        <v>115</v>
      </c>
      <c r="D1649" s="35" t="s">
        <v>131</v>
      </c>
      <c r="E1649" s="35" t="s">
        <v>87</v>
      </c>
      <c r="F1649" s="28" t="e">
        <f ca="1">_xludf.ifna(VLOOKUP(G1649,Proyectos!$A$2:$F$674,6,0),"")</f>
        <v>#NAME?</v>
      </c>
      <c r="G1649" s="29" t="s">
        <v>5559</v>
      </c>
      <c r="H1649" s="30">
        <v>0.5</v>
      </c>
      <c r="I1649" s="31" t="s">
        <v>25</v>
      </c>
      <c r="J1649" s="31" t="s">
        <v>72</v>
      </c>
      <c r="K1649" s="30" t="s">
        <v>5542</v>
      </c>
      <c r="L1649" s="32" t="e">
        <f ca="1">_xludf.ifna(VLOOKUP(E1649,Parámetros!$D$2:$E$34,2,0),"")</f>
        <v>#NAME?</v>
      </c>
      <c r="M1649" s="32" t="e">
        <f ca="1">_xludf.ifna(VLOOKUP(G1649,Proyectos!$A$2:$T$674,20,0),"")</f>
        <v>#NAME?</v>
      </c>
      <c r="N1649" s="32" t="e">
        <f ca="1">_xludf.ifna(VLOOKUP(G1649,Proyectos!$A$2:$S$674,19,0))</f>
        <v>#NAME?</v>
      </c>
      <c r="O1649" s="32"/>
      <c r="P1649" s="32"/>
      <c r="Q1649" s="33"/>
      <c r="R1649" s="33"/>
      <c r="S1649" s="33"/>
      <c r="T1649" s="63">
        <f t="shared" si="16"/>
        <v>0</v>
      </c>
      <c r="U1649" s="33"/>
      <c r="V1649" s="33"/>
      <c r="W1649" s="33"/>
    </row>
    <row r="1650" spans="1:23" ht="16.5" customHeight="1" x14ac:dyDescent="0.2">
      <c r="A1650" s="35" t="s">
        <v>3298</v>
      </c>
      <c r="B1650" s="54" t="s">
        <v>5569</v>
      </c>
      <c r="C1650" s="35" t="s">
        <v>115</v>
      </c>
      <c r="D1650" s="35" t="s">
        <v>131</v>
      </c>
      <c r="E1650" s="35" t="s">
        <v>39</v>
      </c>
      <c r="F1650" s="28" t="e">
        <f ca="1">_xludf.ifna(VLOOKUP(G1650,Proyectos!$A$2:$F$674,6,0),"")</f>
        <v>#NAME?</v>
      </c>
      <c r="G1650" s="29" t="s">
        <v>5559</v>
      </c>
      <c r="H1650" s="30">
        <v>0.1</v>
      </c>
      <c r="I1650" s="30" t="s">
        <v>18</v>
      </c>
      <c r="J1650" s="31" t="s">
        <v>72</v>
      </c>
      <c r="K1650" s="30" t="s">
        <v>3300</v>
      </c>
      <c r="L1650" s="32" t="e">
        <f ca="1">_xludf.ifna(VLOOKUP(E1650,Parámetros!$D$2:$E$34,2,0),"")</f>
        <v>#NAME?</v>
      </c>
      <c r="M1650" s="32" t="e">
        <f ca="1">_xludf.ifna(VLOOKUP(G1650,Proyectos!$A$2:$T$674,20,0),"")</f>
        <v>#NAME?</v>
      </c>
      <c r="N1650" s="32" t="e">
        <f ca="1">_xludf.ifna(VLOOKUP(G1650,Proyectos!$A$2:$S$674,19,0))</f>
        <v>#NAME?</v>
      </c>
      <c r="O1650" s="32"/>
      <c r="P1650" s="32"/>
      <c r="Q1650" s="33"/>
      <c r="R1650" s="33"/>
      <c r="S1650" s="33"/>
      <c r="T1650" s="63">
        <f t="shared" si="16"/>
        <v>1</v>
      </c>
      <c r="U1650" s="33"/>
      <c r="V1650" s="33"/>
      <c r="W1650" s="33"/>
    </row>
    <row r="1651" spans="1:23" ht="16.5" customHeight="1" x14ac:dyDescent="0.2">
      <c r="A1651" s="35" t="s">
        <v>3298</v>
      </c>
      <c r="B1651" s="54" t="s">
        <v>5569</v>
      </c>
      <c r="C1651" s="35" t="s">
        <v>115</v>
      </c>
      <c r="D1651" s="35" t="s">
        <v>131</v>
      </c>
      <c r="E1651" s="35" t="s">
        <v>39</v>
      </c>
      <c r="F1651" s="28" t="e">
        <f ca="1">_xludf.ifna(VLOOKUP(G1651,Proyectos!$A$2:$F$674,6,0),"")</f>
        <v>#NAME?</v>
      </c>
      <c r="G1651" s="29" t="s">
        <v>5114</v>
      </c>
      <c r="H1651" s="30">
        <v>0.9</v>
      </c>
      <c r="I1651" s="30" t="s">
        <v>18</v>
      </c>
      <c r="J1651" s="31" t="s">
        <v>72</v>
      </c>
      <c r="K1651" s="30" t="s">
        <v>5570</v>
      </c>
      <c r="L1651" s="32" t="e">
        <f ca="1">_xludf.ifna(VLOOKUP(E1651,Parámetros!$D$2:$E$34,2,0),"")</f>
        <v>#NAME?</v>
      </c>
      <c r="M1651" s="32" t="e">
        <f ca="1">_xludf.ifna(VLOOKUP(G1651,Proyectos!$A$2:$T$674,20,0),"")</f>
        <v>#NAME?</v>
      </c>
      <c r="N1651" s="32" t="e">
        <f ca="1">_xludf.ifna(VLOOKUP(G1651,Proyectos!$A$2:$S$674,19,0))</f>
        <v>#NAME?</v>
      </c>
      <c r="O1651" s="32"/>
      <c r="P1651" s="32"/>
      <c r="Q1651" s="33"/>
      <c r="R1651" s="33"/>
      <c r="S1651" s="33"/>
      <c r="T1651" s="63">
        <f t="shared" si="16"/>
        <v>0</v>
      </c>
      <c r="U1651" s="33"/>
      <c r="V1651" s="33"/>
      <c r="W1651" s="33"/>
    </row>
    <row r="1652" spans="1:23" ht="16.5" customHeight="1" x14ac:dyDescent="0.2">
      <c r="A1652" s="56" t="s">
        <v>3505</v>
      </c>
      <c r="B1652" s="54" t="s">
        <v>5571</v>
      </c>
      <c r="C1652" s="35" t="s">
        <v>115</v>
      </c>
      <c r="D1652" s="80" t="s">
        <v>131</v>
      </c>
      <c r="E1652" s="93" t="s">
        <v>39</v>
      </c>
      <c r="F1652" s="28" t="e">
        <f ca="1">_xludf.ifna(VLOOKUP(G1652,Proyectos!$A$2:$F$674,6,0),"")</f>
        <v>#NAME?</v>
      </c>
      <c r="G1652" s="29" t="s">
        <v>5225</v>
      </c>
      <c r="H1652" s="30">
        <v>0.75</v>
      </c>
      <c r="I1652" s="30" t="s">
        <v>18</v>
      </c>
      <c r="J1652" s="31" t="s">
        <v>72</v>
      </c>
      <c r="K1652" s="55" t="s">
        <v>3507</v>
      </c>
      <c r="L1652" s="32" t="e">
        <f ca="1">_xludf.ifna(VLOOKUP(E1652,Parámetros!$D$2:$E$34,2,0),"")</f>
        <v>#NAME?</v>
      </c>
      <c r="M1652" s="32" t="e">
        <f ca="1">_xludf.ifna(VLOOKUP(G1652,Proyectos!$A$2:$T$674,20,0),"")</f>
        <v>#NAME?</v>
      </c>
      <c r="N1652" s="32" t="e">
        <f ca="1">_xludf.ifna(VLOOKUP(G1652,Proyectos!$A$2:$S$674,19,0))</f>
        <v>#NAME?</v>
      </c>
      <c r="O1652" s="32"/>
      <c r="P1652" s="32"/>
      <c r="Q1652" s="33"/>
      <c r="R1652" s="33"/>
      <c r="S1652" s="33"/>
      <c r="T1652" s="63">
        <f t="shared" si="16"/>
        <v>1</v>
      </c>
      <c r="U1652" s="33"/>
      <c r="V1652" s="33"/>
      <c r="W1652" s="33"/>
    </row>
    <row r="1653" spans="1:23" ht="16.5" customHeight="1" x14ac:dyDescent="0.2">
      <c r="A1653" s="56" t="s">
        <v>3505</v>
      </c>
      <c r="B1653" s="54" t="s">
        <v>5571</v>
      </c>
      <c r="C1653" s="35" t="s">
        <v>115</v>
      </c>
      <c r="D1653" s="80" t="s">
        <v>131</v>
      </c>
      <c r="E1653" s="93" t="s">
        <v>39</v>
      </c>
      <c r="F1653" s="28" t="e">
        <f ca="1">_xludf.ifna(VLOOKUP(G1653,Proyectos!$A$2:$F$674,6,0),"")</f>
        <v>#NAME?</v>
      </c>
      <c r="G1653" s="29" t="s">
        <v>5114</v>
      </c>
      <c r="H1653" s="30">
        <v>0.25</v>
      </c>
      <c r="I1653" s="30" t="s">
        <v>18</v>
      </c>
      <c r="J1653" s="31" t="s">
        <v>72</v>
      </c>
      <c r="K1653" s="55" t="s">
        <v>5572</v>
      </c>
      <c r="L1653" s="32" t="e">
        <f ca="1">_xludf.ifna(VLOOKUP(E1653,Parámetros!$D$2:$E$34,2,0),"")</f>
        <v>#NAME?</v>
      </c>
      <c r="M1653" s="32" t="e">
        <f ca="1">_xludf.ifna(VLOOKUP(G1653,Proyectos!$A$2:$T$674,20,0),"")</f>
        <v>#NAME?</v>
      </c>
      <c r="N1653" s="32" t="e">
        <f ca="1">_xludf.ifna(VLOOKUP(G1653,Proyectos!$A$2:$S$674,19,0))</f>
        <v>#NAME?</v>
      </c>
      <c r="O1653" s="32"/>
      <c r="P1653" s="32"/>
      <c r="Q1653" s="33"/>
      <c r="R1653" s="33"/>
      <c r="S1653" s="33"/>
      <c r="T1653" s="63">
        <f t="shared" si="16"/>
        <v>0</v>
      </c>
      <c r="U1653" s="33"/>
      <c r="V1653" s="33"/>
      <c r="W1653" s="33"/>
    </row>
    <row r="1654" spans="1:23" ht="16.5" customHeight="1" x14ac:dyDescent="0.2">
      <c r="A1654" s="35" t="s">
        <v>3862</v>
      </c>
      <c r="B1654" s="54" t="s">
        <v>5573</v>
      </c>
      <c r="C1654" s="35" t="s">
        <v>115</v>
      </c>
      <c r="D1654" s="35" t="s">
        <v>131</v>
      </c>
      <c r="E1654" s="35" t="s">
        <v>39</v>
      </c>
      <c r="F1654" s="28" t="e">
        <f ca="1">_xludf.ifna(VLOOKUP(G1654,Proyectos!$A$2:$F$674,6,0),"")</f>
        <v>#NAME?</v>
      </c>
      <c r="G1654" s="29" t="s">
        <v>5114</v>
      </c>
      <c r="H1654" s="30">
        <v>1</v>
      </c>
      <c r="I1654" s="30" t="s">
        <v>18</v>
      </c>
      <c r="J1654" s="31" t="s">
        <v>72</v>
      </c>
      <c r="K1654" s="30" t="s">
        <v>3398</v>
      </c>
      <c r="L1654" s="32" t="e">
        <f ca="1">_xludf.ifna(VLOOKUP(E1654,Parámetros!$D$2:$E$34,2,0),"")</f>
        <v>#NAME?</v>
      </c>
      <c r="M1654" s="32" t="e">
        <f ca="1">_xludf.ifna(VLOOKUP(G1654,Proyectos!$A$2:$T$674,20,0),"")</f>
        <v>#NAME?</v>
      </c>
      <c r="N1654" s="32" t="e">
        <f ca="1">_xludf.ifna(VLOOKUP(G1654,Proyectos!$A$2:$S$674,19,0))</f>
        <v>#NAME?</v>
      </c>
      <c r="O1654" s="32"/>
      <c r="P1654" s="32"/>
      <c r="Q1654" s="33"/>
      <c r="R1654" s="33"/>
      <c r="S1654" s="33"/>
      <c r="T1654" s="63">
        <f t="shared" si="16"/>
        <v>1</v>
      </c>
      <c r="U1654" s="33"/>
      <c r="V1654" s="33"/>
      <c r="W1654" s="33"/>
    </row>
    <row r="1655" spans="1:23" ht="16.5" customHeight="1" x14ac:dyDescent="0.2">
      <c r="A1655" s="35" t="s">
        <v>3781</v>
      </c>
      <c r="B1655" s="35" t="s">
        <v>3782</v>
      </c>
      <c r="C1655" s="35" t="s">
        <v>115</v>
      </c>
      <c r="D1655" s="35" t="s">
        <v>128</v>
      </c>
      <c r="E1655" s="35" t="s">
        <v>39</v>
      </c>
      <c r="F1655" s="28" t="e">
        <f ca="1">_xludf.ifna(VLOOKUP(G1655,Proyectos!$A$2:$F$674,6,0),"")</f>
        <v>#NAME?</v>
      </c>
      <c r="G1655" s="29" t="s">
        <v>5114</v>
      </c>
      <c r="H1655" s="30">
        <v>0.2</v>
      </c>
      <c r="I1655" s="30" t="s">
        <v>18</v>
      </c>
      <c r="J1655" s="31" t="s">
        <v>41</v>
      </c>
      <c r="K1655" s="30" t="s">
        <v>3783</v>
      </c>
      <c r="L1655" s="32" t="e">
        <f ca="1">_xludf.ifna(VLOOKUP(E1655,Parámetros!$D$2:$E$34,2,0),"")</f>
        <v>#NAME?</v>
      </c>
      <c r="M1655" s="32" t="e">
        <f ca="1">_xludf.ifna(VLOOKUP(G1655,Proyectos!$A$2:$T$674,20,0),"")</f>
        <v>#NAME?</v>
      </c>
      <c r="N1655" s="32" t="e">
        <f ca="1">_xludf.ifna(VLOOKUP(G1655,Proyectos!$A$2:$S$674,19,0))</f>
        <v>#NAME?</v>
      </c>
      <c r="O1655" s="32"/>
      <c r="P1655" s="32"/>
      <c r="Q1655" s="33"/>
      <c r="R1655" s="33"/>
      <c r="S1655" s="33"/>
      <c r="T1655" s="63">
        <f t="shared" si="16"/>
        <v>1</v>
      </c>
      <c r="U1655" s="33"/>
      <c r="V1655" s="33"/>
      <c r="W1655" s="33"/>
    </row>
    <row r="1656" spans="1:23" ht="16.5" customHeight="1" x14ac:dyDescent="0.2">
      <c r="A1656" s="35" t="s">
        <v>3781</v>
      </c>
      <c r="B1656" s="35" t="s">
        <v>3782</v>
      </c>
      <c r="C1656" s="35" t="s">
        <v>115</v>
      </c>
      <c r="D1656" s="35" t="s">
        <v>128</v>
      </c>
      <c r="E1656" s="35" t="s">
        <v>39</v>
      </c>
      <c r="F1656" s="28" t="e">
        <f ca="1">_xludf.ifna(VLOOKUP(G1656,Proyectos!$A$2:$F$674,6,0),"")</f>
        <v>#NAME?</v>
      </c>
      <c r="G1656" s="29" t="s">
        <v>5225</v>
      </c>
      <c r="H1656" s="30">
        <v>0.5</v>
      </c>
      <c r="I1656" s="30" t="s">
        <v>18</v>
      </c>
      <c r="J1656" s="31" t="s">
        <v>41</v>
      </c>
      <c r="K1656" s="30" t="s">
        <v>5574</v>
      </c>
      <c r="L1656" s="32" t="e">
        <f ca="1">_xludf.ifna(VLOOKUP(E1656,Parámetros!$D$2:$E$34,2,0),"")</f>
        <v>#NAME?</v>
      </c>
      <c r="M1656" s="32" t="e">
        <f ca="1">_xludf.ifna(VLOOKUP(G1656,Proyectos!$A$2:$T$674,20,0),"")</f>
        <v>#NAME?</v>
      </c>
      <c r="N1656" s="32" t="e">
        <f ca="1">_xludf.ifna(VLOOKUP(G1656,Proyectos!$A$2:$S$674,19,0))</f>
        <v>#NAME?</v>
      </c>
      <c r="O1656" s="32"/>
      <c r="P1656" s="32"/>
      <c r="Q1656" s="33"/>
      <c r="R1656" s="33"/>
      <c r="S1656" s="33"/>
      <c r="T1656" s="63">
        <f t="shared" si="16"/>
        <v>0</v>
      </c>
      <c r="U1656" s="33"/>
      <c r="V1656" s="33"/>
      <c r="W1656" s="33"/>
    </row>
    <row r="1657" spans="1:23" ht="16.5" customHeight="1" x14ac:dyDescent="0.2">
      <c r="A1657" s="35" t="s">
        <v>3781</v>
      </c>
      <c r="B1657" s="35" t="s">
        <v>3782</v>
      </c>
      <c r="C1657" s="35" t="s">
        <v>115</v>
      </c>
      <c r="D1657" s="35" t="s">
        <v>128</v>
      </c>
      <c r="E1657" s="35" t="s">
        <v>39</v>
      </c>
      <c r="F1657" s="28" t="e">
        <f ca="1">_xludf.ifna(VLOOKUP(G1657,Proyectos!$A$2:$F$674,6,0),"")</f>
        <v>#NAME?</v>
      </c>
      <c r="G1657" s="29" t="s">
        <v>5237</v>
      </c>
      <c r="H1657" s="30">
        <v>0.3</v>
      </c>
      <c r="I1657" s="30" t="s">
        <v>18</v>
      </c>
      <c r="J1657" s="31" t="s">
        <v>41</v>
      </c>
      <c r="K1657" s="30"/>
      <c r="L1657" s="32" t="e">
        <f ca="1">_xludf.ifna(VLOOKUP(E1657,Parámetros!$D$2:$E$34,2,0),"")</f>
        <v>#NAME?</v>
      </c>
      <c r="M1657" s="32" t="e">
        <f ca="1">_xludf.ifna(VLOOKUP(G1657,Proyectos!$A$2:$T$674,20,0),"")</f>
        <v>#NAME?</v>
      </c>
      <c r="N1657" s="32" t="e">
        <f ca="1">_xludf.ifna(VLOOKUP(G1657,Proyectos!$A$2:$S$674,19,0))</f>
        <v>#NAME?</v>
      </c>
      <c r="O1657" s="32"/>
      <c r="P1657" s="32"/>
      <c r="Q1657" s="33"/>
      <c r="R1657" s="33"/>
      <c r="S1657" s="33"/>
      <c r="T1657" s="63">
        <f t="shared" si="16"/>
        <v>0</v>
      </c>
      <c r="U1657" s="33"/>
      <c r="V1657" s="33"/>
      <c r="W1657" s="33"/>
    </row>
    <row r="1658" spans="1:23" ht="16.5" customHeight="1" x14ac:dyDescent="0.2">
      <c r="A1658" s="35" t="s">
        <v>4643</v>
      </c>
      <c r="B1658" s="35" t="s">
        <v>4644</v>
      </c>
      <c r="C1658" s="35" t="s">
        <v>115</v>
      </c>
      <c r="D1658" s="35" t="s">
        <v>128</v>
      </c>
      <c r="E1658" s="35" t="s">
        <v>39</v>
      </c>
      <c r="F1658" s="28" t="e">
        <f ca="1">_xludf.ifna(VLOOKUP(G1658,Proyectos!$A$2:$F$674,6,0),"")</f>
        <v>#NAME?</v>
      </c>
      <c r="G1658" s="29" t="s">
        <v>5543</v>
      </c>
      <c r="H1658" s="30">
        <v>0.2</v>
      </c>
      <c r="I1658" s="30" t="s">
        <v>18</v>
      </c>
      <c r="J1658" s="31" t="s">
        <v>41</v>
      </c>
      <c r="K1658" s="30" t="s">
        <v>4645</v>
      </c>
      <c r="L1658" s="32" t="e">
        <f ca="1">_xludf.ifna(VLOOKUP(E1658,Parámetros!$D$2:$E$34,2,0),"")</f>
        <v>#NAME?</v>
      </c>
      <c r="M1658" s="32" t="e">
        <f ca="1">_xludf.ifna(VLOOKUP(G1658,Proyectos!$A$2:$T$674,20,0),"")</f>
        <v>#NAME?</v>
      </c>
      <c r="N1658" s="32" t="e">
        <f ca="1">_xludf.ifna(VLOOKUP(G1658,Proyectos!$A$2:$S$674,19,0))</f>
        <v>#NAME?</v>
      </c>
      <c r="O1658" s="32"/>
      <c r="P1658" s="32"/>
      <c r="Q1658" s="33"/>
      <c r="R1658" s="33"/>
      <c r="S1658" s="33"/>
      <c r="T1658" s="63">
        <f t="shared" si="16"/>
        <v>1</v>
      </c>
      <c r="U1658" s="33"/>
      <c r="V1658" s="33"/>
      <c r="W1658" s="33"/>
    </row>
    <row r="1659" spans="1:23" ht="16.5" customHeight="1" x14ac:dyDescent="0.2">
      <c r="A1659" s="35" t="s">
        <v>4643</v>
      </c>
      <c r="B1659" s="35" t="s">
        <v>4644</v>
      </c>
      <c r="C1659" s="35" t="s">
        <v>115</v>
      </c>
      <c r="D1659" s="35" t="s">
        <v>128</v>
      </c>
      <c r="E1659" s="35" t="s">
        <v>39</v>
      </c>
      <c r="F1659" s="28" t="e">
        <f ca="1">_xludf.ifna(VLOOKUP(G1659,Proyectos!$A$2:$F$674,6,0),"")</f>
        <v>#NAME?</v>
      </c>
      <c r="G1659" s="29" t="s">
        <v>5114</v>
      </c>
      <c r="H1659" s="30">
        <v>0.8</v>
      </c>
      <c r="I1659" s="30" t="s">
        <v>18</v>
      </c>
      <c r="J1659" s="31" t="s">
        <v>41</v>
      </c>
      <c r="K1659" s="30" t="s">
        <v>5575</v>
      </c>
      <c r="L1659" s="32" t="e">
        <f ca="1">_xludf.ifna(VLOOKUP(E1659,Parámetros!$D$2:$E$34,2,0),"")</f>
        <v>#NAME?</v>
      </c>
      <c r="M1659" s="32" t="e">
        <f ca="1">_xludf.ifna(VLOOKUP(G1659,Proyectos!$A$2:$T$674,20,0),"")</f>
        <v>#NAME?</v>
      </c>
      <c r="N1659" s="32" t="e">
        <f ca="1">_xludf.ifna(VLOOKUP(G1659,Proyectos!$A$2:$S$674,19,0))</f>
        <v>#NAME?</v>
      </c>
      <c r="O1659" s="32"/>
      <c r="P1659" s="32"/>
      <c r="Q1659" s="33"/>
      <c r="R1659" s="33"/>
      <c r="S1659" s="33"/>
      <c r="T1659" s="63">
        <f t="shared" si="16"/>
        <v>0</v>
      </c>
      <c r="U1659" s="33"/>
      <c r="V1659" s="33"/>
      <c r="W1659" s="33"/>
    </row>
    <row r="1660" spans="1:23" ht="16.5" customHeight="1" x14ac:dyDescent="0.2">
      <c r="A1660" s="35" t="s">
        <v>3555</v>
      </c>
      <c r="B1660" s="35" t="s">
        <v>3556</v>
      </c>
      <c r="C1660" s="35" t="s">
        <v>115</v>
      </c>
      <c r="D1660" s="35" t="s">
        <v>128</v>
      </c>
      <c r="E1660" s="35" t="s">
        <v>39</v>
      </c>
      <c r="F1660" s="28" t="e">
        <f ca="1">_xludf.ifna(VLOOKUP(G1660,Proyectos!$A$2:$F$674,6,0),"")</f>
        <v>#NAME?</v>
      </c>
      <c r="G1660" s="29" t="s">
        <v>5576</v>
      </c>
      <c r="H1660" s="30">
        <v>0.9</v>
      </c>
      <c r="I1660" s="30" t="s">
        <v>11</v>
      </c>
      <c r="J1660" s="31" t="s">
        <v>72</v>
      </c>
      <c r="K1660" s="30" t="s">
        <v>3557</v>
      </c>
      <c r="L1660" s="32" t="e">
        <f ca="1">_xludf.ifna(VLOOKUP(E1660,Parámetros!$D$2:$E$34,2,0),"")</f>
        <v>#NAME?</v>
      </c>
      <c r="M1660" s="32" t="e">
        <f ca="1">_xludf.ifna(VLOOKUP(G1660,Proyectos!$A$2:$T$674,20,0),"")</f>
        <v>#NAME?</v>
      </c>
      <c r="N1660" s="32" t="e">
        <f ca="1">_xludf.ifna(VLOOKUP(G1660,Proyectos!$A$2:$S$674,19,0))</f>
        <v>#NAME?</v>
      </c>
      <c r="O1660" s="32"/>
      <c r="P1660" s="32"/>
      <c r="Q1660" s="33"/>
      <c r="R1660" s="33"/>
      <c r="S1660" s="33"/>
      <c r="T1660" s="63">
        <f t="shared" si="16"/>
        <v>1</v>
      </c>
      <c r="U1660" s="33"/>
      <c r="V1660" s="33"/>
      <c r="W1660" s="33"/>
    </row>
    <row r="1661" spans="1:23" ht="16.5" customHeight="1" x14ac:dyDescent="0.2">
      <c r="A1661" s="35" t="s">
        <v>3555</v>
      </c>
      <c r="B1661" s="35" t="s">
        <v>3556</v>
      </c>
      <c r="C1661" s="35" t="s">
        <v>115</v>
      </c>
      <c r="D1661" s="35" t="s">
        <v>128</v>
      </c>
      <c r="E1661" s="35" t="s">
        <v>39</v>
      </c>
      <c r="F1661" s="28" t="e">
        <f ca="1">_xludf.ifna(VLOOKUP(G1661,Proyectos!$A$2:$F$674,6,0),"")</f>
        <v>#NAME?</v>
      </c>
      <c r="G1661" s="29" t="s">
        <v>5114</v>
      </c>
      <c r="H1661" s="30">
        <v>0.1</v>
      </c>
      <c r="I1661" s="30" t="s">
        <v>11</v>
      </c>
      <c r="J1661" s="31" t="s">
        <v>72</v>
      </c>
      <c r="K1661" s="30" t="s">
        <v>5577</v>
      </c>
      <c r="L1661" s="32" t="e">
        <f ca="1">_xludf.ifna(VLOOKUP(E1661,Parámetros!$D$2:$E$34,2,0),"")</f>
        <v>#NAME?</v>
      </c>
      <c r="M1661" s="32" t="e">
        <f ca="1">_xludf.ifna(VLOOKUP(G1661,Proyectos!$A$2:$T$674,20,0),"")</f>
        <v>#NAME?</v>
      </c>
      <c r="N1661" s="32" t="e">
        <f ca="1">_xludf.ifna(VLOOKUP(G1661,Proyectos!$A$2:$S$674,19,0))</f>
        <v>#NAME?</v>
      </c>
      <c r="O1661" s="32"/>
      <c r="P1661" s="32"/>
      <c r="Q1661" s="33"/>
      <c r="R1661" s="33"/>
      <c r="S1661" s="33"/>
      <c r="T1661" s="63">
        <f t="shared" si="16"/>
        <v>0</v>
      </c>
      <c r="U1661" s="33"/>
      <c r="V1661" s="33"/>
      <c r="W1661" s="33"/>
    </row>
    <row r="1662" spans="1:23" ht="16.5" customHeight="1" x14ac:dyDescent="0.2">
      <c r="A1662" s="35" t="s">
        <v>3716</v>
      </c>
      <c r="B1662" s="35" t="s">
        <v>3717</v>
      </c>
      <c r="C1662" s="35" t="s">
        <v>115</v>
      </c>
      <c r="D1662" s="35" t="s">
        <v>128</v>
      </c>
      <c r="E1662" s="35" t="s">
        <v>39</v>
      </c>
      <c r="F1662" s="28" t="e">
        <f ca="1">_xludf.ifna(VLOOKUP(G1662,Proyectos!$A$2:$F$674,6,0),"")</f>
        <v>#NAME?</v>
      </c>
      <c r="G1662" s="29" t="s">
        <v>5576</v>
      </c>
      <c r="H1662" s="30">
        <v>1</v>
      </c>
      <c r="I1662" s="30" t="s">
        <v>18</v>
      </c>
      <c r="J1662" s="31" t="s">
        <v>41</v>
      </c>
      <c r="K1662" s="30" t="s">
        <v>3718</v>
      </c>
      <c r="L1662" s="32" t="e">
        <f ca="1">_xludf.ifna(VLOOKUP(E1662,Parámetros!$D$2:$E$34,2,0),"")</f>
        <v>#NAME?</v>
      </c>
      <c r="M1662" s="32" t="e">
        <f ca="1">_xludf.ifna(VLOOKUP(G1662,Proyectos!$A$2:$T$674,20,0),"")</f>
        <v>#NAME?</v>
      </c>
      <c r="N1662" s="32" t="e">
        <f ca="1">_xludf.ifna(VLOOKUP(G1662,Proyectos!$A$2:$S$674,19,0))</f>
        <v>#NAME?</v>
      </c>
      <c r="O1662" s="32"/>
      <c r="P1662" s="32"/>
      <c r="Q1662" s="33"/>
      <c r="R1662" s="33"/>
      <c r="S1662" s="33"/>
      <c r="T1662" s="63">
        <f t="shared" si="16"/>
        <v>1</v>
      </c>
      <c r="U1662" s="33"/>
      <c r="V1662" s="33"/>
      <c r="W1662" s="33"/>
    </row>
    <row r="1663" spans="1:23" ht="16.5" customHeight="1" x14ac:dyDescent="0.2">
      <c r="A1663" s="35" t="s">
        <v>4384</v>
      </c>
      <c r="B1663" s="35" t="s">
        <v>4385</v>
      </c>
      <c r="C1663" s="35" t="s">
        <v>115</v>
      </c>
      <c r="D1663" s="35" t="s">
        <v>128</v>
      </c>
      <c r="E1663" s="35" t="s">
        <v>83</v>
      </c>
      <c r="F1663" s="28" t="e">
        <f ca="1">_xludf.ifna(VLOOKUP(G1663,Proyectos!$A$2:$F$674,6,0),"")</f>
        <v>#NAME?</v>
      </c>
      <c r="G1663" s="38" t="s">
        <v>5578</v>
      </c>
      <c r="H1663" s="59">
        <v>0.2</v>
      </c>
      <c r="I1663" s="31" t="s">
        <v>25</v>
      </c>
      <c r="J1663" s="31" t="s">
        <v>72</v>
      </c>
      <c r="K1663" s="30" t="s">
        <v>4386</v>
      </c>
      <c r="L1663" s="32" t="e">
        <f ca="1">_xludf.ifna(VLOOKUP(E1663,Parámetros!$D$2:$E$34,2,0),"")</f>
        <v>#NAME?</v>
      </c>
      <c r="M1663" s="32" t="e">
        <f ca="1">_xludf.ifna(VLOOKUP(G1663,Proyectos!$A$2:$T$674,20,0),"")</f>
        <v>#NAME?</v>
      </c>
      <c r="N1663" s="32" t="e">
        <f ca="1">_xludf.ifna(VLOOKUP(G1663,Proyectos!$A$2:$S$674,19,0))</f>
        <v>#NAME?</v>
      </c>
      <c r="O1663" s="32"/>
      <c r="P1663" s="32"/>
      <c r="Q1663" s="33"/>
      <c r="R1663" s="33"/>
      <c r="S1663" s="33"/>
      <c r="T1663" s="63">
        <f t="shared" si="16"/>
        <v>1</v>
      </c>
      <c r="U1663" s="33"/>
      <c r="V1663" s="33"/>
      <c r="W1663" s="33"/>
    </row>
    <row r="1664" spans="1:23" ht="16.5" customHeight="1" x14ac:dyDescent="0.2">
      <c r="A1664" s="35" t="s">
        <v>4384</v>
      </c>
      <c r="B1664" s="35" t="s">
        <v>4385</v>
      </c>
      <c r="C1664" s="35" t="s">
        <v>115</v>
      </c>
      <c r="D1664" s="35" t="s">
        <v>128</v>
      </c>
      <c r="E1664" s="35" t="s">
        <v>83</v>
      </c>
      <c r="F1664" s="28" t="e">
        <f ca="1">_xludf.ifna(VLOOKUP(G1664,Proyectos!$A$2:$F$674,6,0),"")</f>
        <v>#NAME?</v>
      </c>
      <c r="G1664" s="29" t="s">
        <v>5323</v>
      </c>
      <c r="H1664" s="30">
        <v>0.3</v>
      </c>
      <c r="I1664" s="31" t="s">
        <v>25</v>
      </c>
      <c r="J1664" s="31" t="s">
        <v>72</v>
      </c>
      <c r="K1664" s="30"/>
      <c r="L1664" s="32" t="e">
        <f ca="1">_xludf.ifna(VLOOKUP(E1664,Parámetros!$D$2:$E$34,2,0),"")</f>
        <v>#NAME?</v>
      </c>
      <c r="M1664" s="32" t="e">
        <f ca="1">_xludf.ifna(VLOOKUP(G1664,Proyectos!$A$2:$T$674,20,0),"")</f>
        <v>#NAME?</v>
      </c>
      <c r="N1664" s="32" t="e">
        <f ca="1">_xludf.ifna(VLOOKUP(G1664,Proyectos!$A$2:$S$674,19,0))</f>
        <v>#NAME?</v>
      </c>
      <c r="O1664" s="32"/>
      <c r="P1664" s="32"/>
      <c r="Q1664" s="33"/>
      <c r="R1664" s="33"/>
      <c r="S1664" s="33"/>
      <c r="T1664" s="63">
        <f t="shared" si="16"/>
        <v>0</v>
      </c>
      <c r="U1664" s="33"/>
      <c r="V1664" s="33"/>
      <c r="W1664" s="33"/>
    </row>
    <row r="1665" spans="1:23" ht="16.5" customHeight="1" x14ac:dyDescent="0.2">
      <c r="A1665" s="35" t="s">
        <v>4384</v>
      </c>
      <c r="B1665" s="35" t="s">
        <v>4385</v>
      </c>
      <c r="C1665" s="35" t="s">
        <v>115</v>
      </c>
      <c r="D1665" s="35" t="s">
        <v>128</v>
      </c>
      <c r="E1665" s="35" t="s">
        <v>83</v>
      </c>
      <c r="F1665" s="28" t="e">
        <f ca="1">_xludf.ifna(VLOOKUP(G1665,Proyectos!$A$2:$F$674,6,0),"")</f>
        <v>#NAME?</v>
      </c>
      <c r="G1665" s="29" t="s">
        <v>5237</v>
      </c>
      <c r="H1665" s="30">
        <v>0.5</v>
      </c>
      <c r="I1665" s="31" t="s">
        <v>25</v>
      </c>
      <c r="J1665" s="31" t="s">
        <v>72</v>
      </c>
      <c r="K1665" s="30"/>
      <c r="L1665" s="32" t="e">
        <f ca="1">_xludf.ifna(VLOOKUP(E1665,Parámetros!$D$2:$E$34,2,0),"")</f>
        <v>#NAME?</v>
      </c>
      <c r="M1665" s="32" t="e">
        <f ca="1">_xludf.ifna(VLOOKUP(G1665,Proyectos!$A$2:$T$674,20,0),"")</f>
        <v>#NAME?</v>
      </c>
      <c r="N1665" s="32" t="e">
        <f ca="1">_xludf.ifna(VLOOKUP(G1665,Proyectos!$A$2:$S$674,19,0))</f>
        <v>#NAME?</v>
      </c>
      <c r="O1665" s="32"/>
      <c r="P1665" s="32"/>
      <c r="Q1665" s="33"/>
      <c r="R1665" s="33"/>
      <c r="S1665" s="33"/>
      <c r="T1665" s="63">
        <f t="shared" si="16"/>
        <v>0</v>
      </c>
      <c r="U1665" s="33"/>
      <c r="V1665" s="33"/>
      <c r="W1665" s="33"/>
    </row>
    <row r="1666" spans="1:23" ht="16.5" customHeight="1" x14ac:dyDescent="0.2">
      <c r="A1666" s="35" t="s">
        <v>4723</v>
      </c>
      <c r="B1666" s="35" t="s">
        <v>4724</v>
      </c>
      <c r="C1666" s="35" t="s">
        <v>115</v>
      </c>
      <c r="D1666" s="35" t="s">
        <v>128</v>
      </c>
      <c r="E1666" s="35" t="s">
        <v>39</v>
      </c>
      <c r="F1666" s="28" t="e">
        <f ca="1">_xludf.ifna(VLOOKUP(G1666,Proyectos!$A$2:$F$674,6,0),"")</f>
        <v>#NAME?</v>
      </c>
      <c r="G1666" s="29" t="s">
        <v>5538</v>
      </c>
      <c r="H1666" s="30">
        <v>1</v>
      </c>
      <c r="I1666" s="30" t="s">
        <v>18</v>
      </c>
      <c r="J1666" s="31" t="s">
        <v>12</v>
      </c>
      <c r="K1666" s="30" t="s">
        <v>4725</v>
      </c>
      <c r="L1666" s="32" t="e">
        <f ca="1">_xludf.ifna(VLOOKUP(E1666,Parámetros!$D$2:$E$34,2,0),"")</f>
        <v>#NAME?</v>
      </c>
      <c r="M1666" s="32" t="e">
        <f ca="1">_xludf.ifna(VLOOKUP(G1666,Proyectos!$A$2:$T$674,20,0),"")</f>
        <v>#NAME?</v>
      </c>
      <c r="N1666" s="32" t="e">
        <f ca="1">_xludf.ifna(VLOOKUP(G1666,Proyectos!$A$2:$S$674,19,0))</f>
        <v>#NAME?</v>
      </c>
      <c r="O1666" s="32"/>
      <c r="P1666" s="32"/>
      <c r="Q1666" s="33"/>
      <c r="R1666" s="33"/>
      <c r="S1666" s="33"/>
      <c r="T1666" s="63">
        <f t="shared" si="16"/>
        <v>1</v>
      </c>
      <c r="U1666" s="33"/>
      <c r="V1666" s="33"/>
      <c r="W1666" s="33"/>
    </row>
    <row r="1667" spans="1:23" ht="16.5" customHeight="1" x14ac:dyDescent="0.2">
      <c r="A1667" s="35" t="s">
        <v>3366</v>
      </c>
      <c r="B1667" s="35" t="s">
        <v>3367</v>
      </c>
      <c r="C1667" s="35" t="s">
        <v>115</v>
      </c>
      <c r="D1667" s="35" t="s">
        <v>128</v>
      </c>
      <c r="E1667" s="35" t="s">
        <v>39</v>
      </c>
      <c r="F1667" s="28" t="e">
        <f ca="1">_xludf.ifna(VLOOKUP(G1667,Proyectos!$A$2:$F$674,6,0),"")</f>
        <v>#NAME?</v>
      </c>
      <c r="G1667" s="29" t="s">
        <v>5578</v>
      </c>
      <c r="H1667" s="30">
        <v>1</v>
      </c>
      <c r="I1667" s="31" t="s">
        <v>25</v>
      </c>
      <c r="J1667" s="31" t="s">
        <v>72</v>
      </c>
      <c r="K1667" s="30" t="s">
        <v>3368</v>
      </c>
      <c r="L1667" s="32" t="e">
        <f ca="1">_xludf.ifna(VLOOKUP(E1667,Parámetros!$D$2:$E$34,2,0),"")</f>
        <v>#NAME?</v>
      </c>
      <c r="M1667" s="32" t="e">
        <f ca="1">_xludf.ifna(VLOOKUP(G1667,Proyectos!$A$2:$T$674,20,0),"")</f>
        <v>#NAME?</v>
      </c>
      <c r="N1667" s="32" t="e">
        <f ca="1">_xludf.ifna(VLOOKUP(G1667,Proyectos!$A$2:$S$674,19,0))</f>
        <v>#NAME?</v>
      </c>
      <c r="O1667" s="32"/>
      <c r="P1667" s="32"/>
      <c r="Q1667" s="33"/>
      <c r="R1667" s="33"/>
      <c r="S1667" s="33"/>
      <c r="T1667" s="63">
        <f t="shared" si="16"/>
        <v>1</v>
      </c>
      <c r="U1667" s="33"/>
      <c r="V1667" s="33"/>
      <c r="W1667" s="33"/>
    </row>
    <row r="1668" spans="1:23" ht="16.5" customHeight="1" x14ac:dyDescent="0.2">
      <c r="A1668" s="35" t="s">
        <v>4897</v>
      </c>
      <c r="B1668" s="35" t="s">
        <v>4898</v>
      </c>
      <c r="C1668" s="35" t="s">
        <v>115</v>
      </c>
      <c r="D1668" s="35" t="s">
        <v>128</v>
      </c>
      <c r="E1668" s="35" t="s">
        <v>83</v>
      </c>
      <c r="F1668" s="28" t="e">
        <f ca="1">_xludf.ifna(VLOOKUP(G1668,Proyectos!$A$2:$F$674,6,0),"")</f>
        <v>#NAME?</v>
      </c>
      <c r="G1668" s="29" t="s">
        <v>5543</v>
      </c>
      <c r="H1668" s="30">
        <v>1</v>
      </c>
      <c r="I1668" s="31" t="s">
        <v>25</v>
      </c>
      <c r="J1668" s="31" t="s">
        <v>72</v>
      </c>
      <c r="K1668" s="30" t="s">
        <v>4386</v>
      </c>
      <c r="L1668" s="32" t="e">
        <f ca="1">_xludf.ifna(VLOOKUP(E1668,Parámetros!$D$2:$E$34,2,0),"")</f>
        <v>#NAME?</v>
      </c>
      <c r="M1668" s="32" t="e">
        <f ca="1">_xludf.ifna(VLOOKUP(G1668,Proyectos!$A$2:$T$674,20,0),"")</f>
        <v>#NAME?</v>
      </c>
      <c r="N1668" s="32" t="e">
        <f ca="1">_xludf.ifna(VLOOKUP(G1668,Proyectos!$A$2:$S$674,19,0))</f>
        <v>#NAME?</v>
      </c>
      <c r="O1668" s="32"/>
      <c r="P1668" s="32"/>
      <c r="Q1668" s="33"/>
      <c r="R1668" s="33"/>
      <c r="S1668" s="33"/>
      <c r="T1668" s="63">
        <f t="shared" si="16"/>
        <v>1</v>
      </c>
      <c r="U1668" s="33"/>
      <c r="V1668" s="33"/>
      <c r="W1668" s="33"/>
    </row>
    <row r="1669" spans="1:23" ht="16.5" customHeight="1" x14ac:dyDescent="0.2">
      <c r="A1669" s="35" t="s">
        <v>5006</v>
      </c>
      <c r="B1669" s="35" t="s">
        <v>5007</v>
      </c>
      <c r="C1669" s="35" t="s">
        <v>115</v>
      </c>
      <c r="D1669" s="35" t="s">
        <v>128</v>
      </c>
      <c r="E1669" s="35" t="s">
        <v>83</v>
      </c>
      <c r="F1669" s="28" t="e">
        <f ca="1">_xludf.ifna(VLOOKUP(G1669,Proyectos!$A$2:$F$674,6,0),"")</f>
        <v>#NAME?</v>
      </c>
      <c r="G1669" s="29" t="s">
        <v>5576</v>
      </c>
      <c r="H1669" s="30">
        <v>1</v>
      </c>
      <c r="I1669" s="30" t="s">
        <v>18</v>
      </c>
      <c r="J1669" s="31" t="s">
        <v>41</v>
      </c>
      <c r="K1669" s="30" t="s">
        <v>3718</v>
      </c>
      <c r="L1669" s="32" t="e">
        <f ca="1">_xludf.ifna(VLOOKUP(E1669,Parámetros!$D$2:$E$34,2,0),"")</f>
        <v>#NAME?</v>
      </c>
      <c r="M1669" s="32" t="e">
        <f ca="1">_xludf.ifna(VLOOKUP(G1669,Proyectos!$A$2:$T$674,20,0),"")</f>
        <v>#NAME?</v>
      </c>
      <c r="N1669" s="32" t="e">
        <f ca="1">_xludf.ifna(VLOOKUP(G1669,Proyectos!$A$2:$S$674,19,0))</f>
        <v>#NAME?</v>
      </c>
      <c r="O1669" s="32"/>
      <c r="P1669" s="32"/>
      <c r="Q1669" s="33"/>
      <c r="R1669" s="33"/>
      <c r="S1669" s="33"/>
      <c r="T1669" s="63">
        <f t="shared" si="16"/>
        <v>1</v>
      </c>
      <c r="U1669" s="33"/>
      <c r="V1669" s="33"/>
      <c r="W1669" s="33"/>
    </row>
    <row r="1670" spans="1:23" ht="16.5" customHeight="1" x14ac:dyDescent="0.2">
      <c r="A1670" s="35" t="s">
        <v>3726</v>
      </c>
      <c r="B1670" s="35" t="s">
        <v>3727</v>
      </c>
      <c r="C1670" s="35" t="s">
        <v>115</v>
      </c>
      <c r="D1670" s="35" t="s">
        <v>128</v>
      </c>
      <c r="E1670" s="35" t="s">
        <v>39</v>
      </c>
      <c r="F1670" s="28" t="e">
        <f ca="1">_xludf.ifna(VLOOKUP(G1670,Proyectos!$A$2:$F$674,6,0),"")</f>
        <v>#NAME?</v>
      </c>
      <c r="G1670" s="29" t="s">
        <v>5578</v>
      </c>
      <c r="H1670" s="30">
        <v>0.6</v>
      </c>
      <c r="I1670" s="30" t="s">
        <v>18</v>
      </c>
      <c r="J1670" s="31" t="s">
        <v>41</v>
      </c>
      <c r="K1670" s="55" t="s">
        <v>3728</v>
      </c>
      <c r="L1670" s="32" t="e">
        <f ca="1">_xludf.ifna(VLOOKUP(E1670,Parámetros!$D$2:$E$34,2,0),"")</f>
        <v>#NAME?</v>
      </c>
      <c r="M1670" s="32" t="e">
        <f ca="1">_xludf.ifna(VLOOKUP(G1670,Proyectos!$A$2:$T$674,20,0),"")</f>
        <v>#NAME?</v>
      </c>
      <c r="N1670" s="32" t="e">
        <f ca="1">_xludf.ifna(VLOOKUP(G1670,Proyectos!$A$2:$S$674,19,0))</f>
        <v>#NAME?</v>
      </c>
      <c r="O1670" s="32"/>
      <c r="P1670" s="32"/>
      <c r="Q1670" s="33"/>
      <c r="R1670" s="33"/>
      <c r="S1670" s="33"/>
      <c r="T1670" s="63">
        <f t="shared" si="16"/>
        <v>1</v>
      </c>
      <c r="U1670" s="33"/>
      <c r="V1670" s="33"/>
      <c r="W1670" s="33"/>
    </row>
    <row r="1671" spans="1:23" ht="16.5" customHeight="1" x14ac:dyDescent="0.2">
      <c r="A1671" s="35" t="s">
        <v>3726</v>
      </c>
      <c r="B1671" s="35" t="s">
        <v>3727</v>
      </c>
      <c r="C1671" s="35" t="s">
        <v>115</v>
      </c>
      <c r="D1671" s="35" t="s">
        <v>128</v>
      </c>
      <c r="E1671" s="35" t="s">
        <v>39</v>
      </c>
      <c r="F1671" s="28" t="e">
        <f ca="1">_xludf.ifna(VLOOKUP(G1671,Proyectos!$A$2:$F$674,6,0),"")</f>
        <v>#NAME?</v>
      </c>
      <c r="G1671" s="29" t="s">
        <v>5323</v>
      </c>
      <c r="H1671" s="30">
        <v>0.2</v>
      </c>
      <c r="I1671" s="30" t="s">
        <v>18</v>
      </c>
      <c r="J1671" s="31" t="s">
        <v>41</v>
      </c>
      <c r="K1671" s="60" t="s">
        <v>5579</v>
      </c>
      <c r="L1671" s="32" t="e">
        <f ca="1">_xludf.ifna(VLOOKUP(E1671,Parámetros!$D$2:$E$34,2,0),"")</f>
        <v>#NAME?</v>
      </c>
      <c r="M1671" s="32" t="e">
        <f ca="1">_xludf.ifna(VLOOKUP(G1671,Proyectos!$A$2:$T$674,20,0),"")</f>
        <v>#NAME?</v>
      </c>
      <c r="N1671" s="32" t="e">
        <f ca="1">_xludf.ifna(VLOOKUP(G1671,Proyectos!$A$2:$S$674,19,0))</f>
        <v>#NAME?</v>
      </c>
      <c r="O1671" s="32"/>
      <c r="P1671" s="32"/>
      <c r="Q1671" s="33"/>
      <c r="R1671" s="33"/>
      <c r="S1671" s="33"/>
      <c r="T1671" s="63">
        <f t="shared" si="16"/>
        <v>0</v>
      </c>
      <c r="U1671" s="33"/>
      <c r="V1671" s="33"/>
      <c r="W1671" s="33"/>
    </row>
    <row r="1672" spans="1:23" ht="16.5" customHeight="1" x14ac:dyDescent="0.2">
      <c r="A1672" s="35" t="s">
        <v>3726</v>
      </c>
      <c r="B1672" s="35" t="s">
        <v>3727</v>
      </c>
      <c r="C1672" s="35" t="s">
        <v>115</v>
      </c>
      <c r="D1672" s="35" t="s">
        <v>128</v>
      </c>
      <c r="E1672" s="35" t="s">
        <v>39</v>
      </c>
      <c r="F1672" s="28" t="e">
        <f ca="1">_xludf.ifna(VLOOKUP(G1672,Proyectos!$A$2:$F$674,6,0),"")</f>
        <v>#NAME?</v>
      </c>
      <c r="G1672" s="29" t="s">
        <v>5114</v>
      </c>
      <c r="H1672" s="30">
        <v>0.2</v>
      </c>
      <c r="I1672" s="30" t="s">
        <v>18</v>
      </c>
      <c r="J1672" s="31" t="s">
        <v>41</v>
      </c>
      <c r="K1672" s="30" t="s">
        <v>3783</v>
      </c>
      <c r="L1672" s="32" t="e">
        <f ca="1">_xludf.ifna(VLOOKUP(E1672,Parámetros!$D$2:$E$34,2,0),"")</f>
        <v>#NAME?</v>
      </c>
      <c r="M1672" s="32" t="e">
        <f ca="1">_xludf.ifna(VLOOKUP(G1672,Proyectos!$A$2:$T$674,20,0),"")</f>
        <v>#NAME?</v>
      </c>
      <c r="N1672" s="32" t="e">
        <f ca="1">_xludf.ifna(VLOOKUP(G1672,Proyectos!$A$2:$S$674,19,0))</f>
        <v>#NAME?</v>
      </c>
      <c r="O1672" s="32"/>
      <c r="P1672" s="32"/>
      <c r="Q1672" s="33"/>
      <c r="R1672" s="33"/>
      <c r="S1672" s="33"/>
      <c r="T1672" s="63">
        <f t="shared" si="16"/>
        <v>0</v>
      </c>
      <c r="U1672" s="33"/>
      <c r="V1672" s="33"/>
      <c r="W1672" s="33"/>
    </row>
    <row r="1673" spans="1:23" ht="16.5" customHeight="1" x14ac:dyDescent="0.2">
      <c r="A1673" s="35" t="s">
        <v>4467</v>
      </c>
      <c r="B1673" s="35" t="s">
        <v>4468</v>
      </c>
      <c r="C1673" s="35" t="s">
        <v>115</v>
      </c>
      <c r="D1673" s="35" t="s">
        <v>128</v>
      </c>
      <c r="E1673" s="35" t="s">
        <v>83</v>
      </c>
      <c r="F1673" s="28" t="e">
        <f ca="1">_xludf.ifna(VLOOKUP(G1673,Proyectos!$A$2:$F$674,6,0),"")</f>
        <v>#NAME?</v>
      </c>
      <c r="G1673" s="29" t="s">
        <v>5576</v>
      </c>
      <c r="H1673" s="30">
        <v>1</v>
      </c>
      <c r="I1673" s="31" t="s">
        <v>25</v>
      </c>
      <c r="J1673" s="31" t="s">
        <v>72</v>
      </c>
      <c r="K1673" s="30" t="s">
        <v>4469</v>
      </c>
      <c r="L1673" s="32" t="e">
        <f ca="1">_xludf.ifna(VLOOKUP(E1673,Parámetros!$D$2:$E$34,2,0),"")</f>
        <v>#NAME?</v>
      </c>
      <c r="M1673" s="32" t="e">
        <f ca="1">_xludf.ifna(VLOOKUP(G1673,Proyectos!$A$2:$T$674,20,0),"")</f>
        <v>#NAME?</v>
      </c>
      <c r="N1673" s="32" t="e">
        <f ca="1">_xludf.ifna(VLOOKUP(G1673,Proyectos!$A$2:$S$674,19,0))</f>
        <v>#NAME?</v>
      </c>
      <c r="O1673" s="32"/>
      <c r="P1673" s="32"/>
      <c r="Q1673" s="33"/>
      <c r="R1673" s="33"/>
      <c r="S1673" s="33"/>
      <c r="T1673" s="63">
        <f t="shared" si="16"/>
        <v>1</v>
      </c>
      <c r="U1673" s="33"/>
      <c r="V1673" s="33"/>
      <c r="W1673" s="33"/>
    </row>
    <row r="1674" spans="1:23" ht="16.5" customHeight="1" x14ac:dyDescent="0.2">
      <c r="A1674" s="35" t="s">
        <v>5008</v>
      </c>
      <c r="B1674" s="35" t="s">
        <v>5009</v>
      </c>
      <c r="C1674" s="35" t="s">
        <v>115</v>
      </c>
      <c r="D1674" s="35" t="s">
        <v>128</v>
      </c>
      <c r="E1674" s="35" t="s">
        <v>108</v>
      </c>
      <c r="F1674" s="28" t="e">
        <f ca="1">_xludf.ifna(VLOOKUP(G1674,Proyectos!$A$2:$F$674,6,0),"")</f>
        <v>#NAME?</v>
      </c>
      <c r="G1674" s="29" t="s">
        <v>5114</v>
      </c>
      <c r="H1674" s="30">
        <v>1</v>
      </c>
      <c r="I1674" s="30" t="s">
        <v>32</v>
      </c>
      <c r="J1674" s="31" t="s">
        <v>72</v>
      </c>
      <c r="K1674" s="30" t="s">
        <v>5010</v>
      </c>
      <c r="L1674" s="32" t="e">
        <f ca="1">_xludf.ifna(VLOOKUP(E1674,Parámetros!$D$2:$E$34,2,0),"")</f>
        <v>#NAME?</v>
      </c>
      <c r="M1674" s="32" t="e">
        <f ca="1">_xludf.ifna(VLOOKUP(G1674,Proyectos!$A$2:$T$674,20,0),"")</f>
        <v>#NAME?</v>
      </c>
      <c r="N1674" s="32" t="e">
        <f ca="1">_xludf.ifna(VLOOKUP(G1674,Proyectos!$A$2:$S$674,19,0))</f>
        <v>#NAME?</v>
      </c>
      <c r="O1674" s="32"/>
      <c r="P1674" s="32"/>
      <c r="Q1674" s="33"/>
      <c r="R1674" s="33"/>
      <c r="S1674" s="33"/>
      <c r="T1674" s="63">
        <f t="shared" si="16"/>
        <v>1</v>
      </c>
      <c r="U1674" s="33"/>
      <c r="V1674" s="33"/>
      <c r="W1674" s="33"/>
    </row>
    <row r="1675" spans="1:23" ht="16.5" customHeight="1" x14ac:dyDescent="0.2">
      <c r="A1675" s="104" t="s">
        <v>3670</v>
      </c>
      <c r="B1675" s="35" t="s">
        <v>3671</v>
      </c>
      <c r="C1675" s="35" t="s">
        <v>115</v>
      </c>
      <c r="D1675" s="35" t="s">
        <v>128</v>
      </c>
      <c r="E1675" s="35" t="s">
        <v>39</v>
      </c>
      <c r="F1675" s="28" t="e">
        <f ca="1">_xludf.ifna(VLOOKUP(G1675,Proyectos!$A$2:$F$674,6,0),"")</f>
        <v>#NAME?</v>
      </c>
      <c r="G1675" s="29" t="s">
        <v>5538</v>
      </c>
      <c r="H1675" s="30">
        <v>0.8</v>
      </c>
      <c r="I1675" s="30" t="s">
        <v>11</v>
      </c>
      <c r="J1675" s="31" t="s">
        <v>12</v>
      </c>
      <c r="K1675" s="30" t="s">
        <v>3672</v>
      </c>
      <c r="L1675" s="32" t="e">
        <f ca="1">_xludf.ifna(VLOOKUP(E1675,Parámetros!$D$2:$E$34,2,0),"")</f>
        <v>#NAME?</v>
      </c>
      <c r="M1675" s="32" t="e">
        <f ca="1">_xludf.ifna(VLOOKUP(G1675,Proyectos!$A$2:$T$674,20,0),"")</f>
        <v>#NAME?</v>
      </c>
      <c r="N1675" s="32" t="e">
        <f ca="1">_xludf.ifna(VLOOKUP(G1675,Proyectos!$A$2:$S$674,19,0))</f>
        <v>#NAME?</v>
      </c>
      <c r="O1675" s="32"/>
      <c r="P1675" s="32"/>
      <c r="Q1675" s="33"/>
      <c r="R1675" s="33"/>
      <c r="S1675" s="33"/>
      <c r="T1675" s="63">
        <f t="shared" si="16"/>
        <v>1</v>
      </c>
      <c r="U1675" s="33"/>
      <c r="V1675" s="33"/>
      <c r="W1675" s="33"/>
    </row>
    <row r="1676" spans="1:23" ht="16.5" customHeight="1" x14ac:dyDescent="0.2">
      <c r="A1676" s="104" t="s">
        <v>3670</v>
      </c>
      <c r="B1676" s="35" t="s">
        <v>3671</v>
      </c>
      <c r="C1676" s="35" t="s">
        <v>115</v>
      </c>
      <c r="D1676" s="35" t="s">
        <v>128</v>
      </c>
      <c r="E1676" s="35" t="s">
        <v>39</v>
      </c>
      <c r="F1676" s="28" t="e">
        <f ca="1">_xludf.ifna(VLOOKUP(G1676,Proyectos!$A$2:$F$674,6,0),"")</f>
        <v>#NAME?</v>
      </c>
      <c r="G1676" s="29" t="s">
        <v>5580</v>
      </c>
      <c r="H1676" s="30">
        <v>0.2</v>
      </c>
      <c r="I1676" s="30" t="s">
        <v>11</v>
      </c>
      <c r="J1676" s="31" t="s">
        <v>12</v>
      </c>
      <c r="K1676" s="30" t="s">
        <v>5581</v>
      </c>
      <c r="L1676" s="32" t="e">
        <f ca="1">_xludf.ifna(VLOOKUP(E1676,Parámetros!$D$2:$E$34,2,0),"")</f>
        <v>#NAME?</v>
      </c>
      <c r="M1676" s="32" t="e">
        <f ca="1">_xludf.ifna(VLOOKUP(G1676,Proyectos!$A$2:$T$674,20,0),"")</f>
        <v>#NAME?</v>
      </c>
      <c r="N1676" s="32" t="e">
        <f ca="1">_xludf.ifna(VLOOKUP(G1676,Proyectos!$A$2:$S$674,19,0))</f>
        <v>#NAME?</v>
      </c>
      <c r="O1676" s="32"/>
      <c r="P1676" s="32"/>
      <c r="Q1676" s="33"/>
      <c r="R1676" s="33"/>
      <c r="S1676" s="33"/>
      <c r="T1676" s="63">
        <f t="shared" si="16"/>
        <v>0</v>
      </c>
      <c r="U1676" s="33"/>
      <c r="V1676" s="33"/>
      <c r="W1676" s="33"/>
    </row>
    <row r="1677" spans="1:23" ht="16.5" customHeight="1" x14ac:dyDescent="0.2">
      <c r="A1677" s="35" t="s">
        <v>3771</v>
      </c>
      <c r="B1677" s="35" t="s">
        <v>3772</v>
      </c>
      <c r="C1677" s="35" t="s">
        <v>115</v>
      </c>
      <c r="D1677" s="35" t="s">
        <v>128</v>
      </c>
      <c r="E1677" s="35" t="s">
        <v>39</v>
      </c>
      <c r="F1677" s="28" t="e">
        <f ca="1">_xludf.ifna(VLOOKUP(G1677,Proyectos!$A$2:$F$674,6,0),"")</f>
        <v>#NAME?</v>
      </c>
      <c r="G1677" s="29" t="s">
        <v>5576</v>
      </c>
      <c r="H1677" s="30">
        <v>1</v>
      </c>
      <c r="I1677" s="30" t="s">
        <v>18</v>
      </c>
      <c r="J1677" s="31" t="s">
        <v>41</v>
      </c>
      <c r="K1677" s="30" t="s">
        <v>3718</v>
      </c>
      <c r="L1677" s="32" t="e">
        <f ca="1">_xludf.ifna(VLOOKUP(E1677,Parámetros!$D$2:$E$34,2,0),"")</f>
        <v>#NAME?</v>
      </c>
      <c r="M1677" s="32" t="e">
        <f ca="1">_xludf.ifna(VLOOKUP(G1677,Proyectos!$A$2:$T$674,20,0),"")</f>
        <v>#NAME?</v>
      </c>
      <c r="N1677" s="32" t="e">
        <f ca="1">_xludf.ifna(VLOOKUP(G1677,Proyectos!$A$2:$S$674,19,0))</f>
        <v>#NAME?</v>
      </c>
      <c r="O1677" s="32"/>
      <c r="P1677" s="32"/>
      <c r="Q1677" s="33"/>
      <c r="R1677" s="33"/>
      <c r="S1677" s="33"/>
      <c r="T1677" s="63">
        <f t="shared" si="16"/>
        <v>1</v>
      </c>
      <c r="U1677" s="33"/>
      <c r="V1677" s="33"/>
      <c r="W1677" s="33"/>
    </row>
    <row r="1678" spans="1:23" ht="16.5" customHeight="1" x14ac:dyDescent="0.2">
      <c r="A1678" s="35" t="s">
        <v>4783</v>
      </c>
      <c r="B1678" s="35" t="s">
        <v>4784</v>
      </c>
      <c r="C1678" s="35" t="s">
        <v>115</v>
      </c>
      <c r="D1678" s="35" t="s">
        <v>128</v>
      </c>
      <c r="E1678" s="35" t="s">
        <v>39</v>
      </c>
      <c r="F1678" s="28" t="e">
        <f ca="1">_xludf.ifna(VLOOKUP(G1678,Proyectos!$A$2:$F$674,6,0),"")</f>
        <v>#NAME?</v>
      </c>
      <c r="G1678" s="29" t="s">
        <v>5538</v>
      </c>
      <c r="H1678" s="30">
        <v>1</v>
      </c>
      <c r="I1678" s="30" t="s">
        <v>18</v>
      </c>
      <c r="J1678" s="31" t="s">
        <v>19</v>
      </c>
      <c r="K1678" s="30" t="s">
        <v>4785</v>
      </c>
      <c r="L1678" s="32" t="e">
        <f ca="1">_xludf.ifna(VLOOKUP(E1678,Parámetros!$D$2:$E$34,2,0),"")</f>
        <v>#NAME?</v>
      </c>
      <c r="M1678" s="32" t="e">
        <f ca="1">_xludf.ifna(VLOOKUP(G1678,Proyectos!$A$2:$T$674,20,0),"")</f>
        <v>#NAME?</v>
      </c>
      <c r="N1678" s="32" t="e">
        <f ca="1">_xludf.ifna(VLOOKUP(G1678,Proyectos!$A$2:$S$674,19,0))</f>
        <v>#NAME?</v>
      </c>
      <c r="O1678" s="32"/>
      <c r="P1678" s="32"/>
      <c r="Q1678" s="33"/>
      <c r="R1678" s="33"/>
      <c r="S1678" s="33"/>
      <c r="T1678" s="63">
        <f t="shared" si="16"/>
        <v>1</v>
      </c>
      <c r="U1678" s="33"/>
      <c r="V1678" s="33"/>
      <c r="W1678" s="33"/>
    </row>
    <row r="1679" spans="1:23" ht="16.5" customHeight="1" x14ac:dyDescent="0.2">
      <c r="A1679" s="56" t="s">
        <v>4635</v>
      </c>
      <c r="B1679" s="35" t="s">
        <v>5582</v>
      </c>
      <c r="C1679" s="35" t="s">
        <v>115</v>
      </c>
      <c r="D1679" s="35" t="s">
        <v>128</v>
      </c>
      <c r="E1679" s="35" t="s">
        <v>39</v>
      </c>
      <c r="F1679" s="28" t="e">
        <f ca="1">_xludf.ifna(VLOOKUP(G1679,Proyectos!$A$2:$F$674,6,0),"")</f>
        <v>#NAME?</v>
      </c>
      <c r="G1679" s="29" t="s">
        <v>5538</v>
      </c>
      <c r="H1679" s="30">
        <v>1</v>
      </c>
      <c r="I1679" s="30" t="s">
        <v>18</v>
      </c>
      <c r="J1679" s="31" t="s">
        <v>41</v>
      </c>
      <c r="K1679" s="30" t="s">
        <v>4725</v>
      </c>
      <c r="L1679" s="32" t="e">
        <f ca="1">_xludf.ifna(VLOOKUP(E1679,Parámetros!$D$2:$E$34,2,0),"")</f>
        <v>#NAME?</v>
      </c>
      <c r="M1679" s="32" t="e">
        <f ca="1">_xludf.ifna(VLOOKUP(G1679,Proyectos!$A$2:$T$674,20,0),"")</f>
        <v>#NAME?</v>
      </c>
      <c r="N1679" s="32" t="e">
        <f ca="1">_xludf.ifna(VLOOKUP(G1679,Proyectos!$A$2:$S$674,19,0))</f>
        <v>#NAME?</v>
      </c>
      <c r="O1679" s="32"/>
      <c r="P1679" s="32"/>
      <c r="Q1679" s="33"/>
      <c r="R1679" s="33"/>
      <c r="S1679" s="33"/>
      <c r="T1679" s="63">
        <f t="shared" si="16"/>
        <v>1</v>
      </c>
      <c r="U1679" s="33"/>
      <c r="V1679" s="33"/>
      <c r="W1679" s="33"/>
    </row>
    <row r="1680" spans="1:23" ht="16.5" customHeight="1" x14ac:dyDescent="0.2">
      <c r="A1680" s="35" t="s">
        <v>4000</v>
      </c>
      <c r="B1680" s="35" t="s">
        <v>4001</v>
      </c>
      <c r="C1680" s="35" t="s">
        <v>115</v>
      </c>
      <c r="D1680" s="35" t="s">
        <v>128</v>
      </c>
      <c r="E1680" s="35" t="s">
        <v>83</v>
      </c>
      <c r="F1680" s="28" t="e">
        <f ca="1">_xludf.ifna(VLOOKUP(G1680,Proyectos!$A$2:$F$674,6,0),"")</f>
        <v>#NAME?</v>
      </c>
      <c r="G1680" s="29" t="s">
        <v>5576</v>
      </c>
      <c r="H1680" s="30">
        <v>1</v>
      </c>
      <c r="I1680" s="30" t="s">
        <v>18</v>
      </c>
      <c r="J1680" s="31" t="s">
        <v>61</v>
      </c>
      <c r="K1680" s="30" t="s">
        <v>3718</v>
      </c>
      <c r="L1680" s="32" t="e">
        <f ca="1">_xludf.ifna(VLOOKUP(E1680,Parámetros!$D$2:$E$34,2,0),"")</f>
        <v>#NAME?</v>
      </c>
      <c r="M1680" s="32" t="e">
        <f ca="1">_xludf.ifna(VLOOKUP(G1680,Proyectos!$A$2:$T$674,20,0),"")</f>
        <v>#NAME?</v>
      </c>
      <c r="N1680" s="32" t="e">
        <f ca="1">_xludf.ifna(VLOOKUP(G1680,Proyectos!$A$2:$S$674,19,0))</f>
        <v>#NAME?</v>
      </c>
      <c r="O1680" s="32"/>
      <c r="P1680" s="32"/>
      <c r="Q1680" s="33"/>
      <c r="R1680" s="33"/>
      <c r="S1680" s="33"/>
      <c r="T1680" s="63">
        <f t="shared" si="16"/>
        <v>1</v>
      </c>
      <c r="U1680" s="33"/>
      <c r="V1680" s="33"/>
      <c r="W1680" s="33"/>
    </row>
    <row r="1681" spans="1:23" ht="16.5" customHeight="1" x14ac:dyDescent="0.2">
      <c r="A1681" s="26" t="s">
        <v>3311</v>
      </c>
      <c r="B1681" s="26" t="s">
        <v>3312</v>
      </c>
      <c r="C1681" s="26" t="s">
        <v>37</v>
      </c>
      <c r="D1681" s="26" t="s">
        <v>38</v>
      </c>
      <c r="E1681" s="26" t="s">
        <v>39</v>
      </c>
      <c r="F1681" s="28" t="e">
        <f ca="1">_xludf.ifna(VLOOKUP(G1681,Proyectos!$A$2:$F$674,6,0),"")</f>
        <v>#NAME?</v>
      </c>
      <c r="G1681" s="29" t="s">
        <v>5114</v>
      </c>
      <c r="H1681" s="32">
        <v>0.25</v>
      </c>
      <c r="I1681" s="31" t="s">
        <v>25</v>
      </c>
      <c r="J1681" s="31" t="s">
        <v>41</v>
      </c>
      <c r="K1681" s="32"/>
      <c r="L1681" s="32" t="e">
        <f ca="1">_xludf.ifna(VLOOKUP(E1681,Parámetros!$D$2:$E$34,2,0),"")</f>
        <v>#NAME?</v>
      </c>
      <c r="M1681" s="32" t="e">
        <f ca="1">_xludf.ifna(VLOOKUP(G1681,Proyectos!$A$2:$T$674,20,0),"")</f>
        <v>#NAME?</v>
      </c>
      <c r="N1681" s="32" t="e">
        <f ca="1">_xludf.ifna(VLOOKUP(G1681,Proyectos!$A$2:$S$674,19,0))</f>
        <v>#NAME?</v>
      </c>
      <c r="O1681" s="32"/>
      <c r="P1681" s="32"/>
      <c r="Q1681" s="33"/>
      <c r="R1681" s="33"/>
      <c r="S1681" s="33"/>
      <c r="T1681" s="33"/>
      <c r="U1681" s="33"/>
      <c r="V1681" s="33"/>
      <c r="W1681" s="33"/>
    </row>
    <row r="1682" spans="1:23" ht="16.5" customHeight="1" x14ac:dyDescent="0.2">
      <c r="A1682" s="26" t="s">
        <v>3311</v>
      </c>
      <c r="B1682" s="26" t="s">
        <v>3312</v>
      </c>
      <c r="C1682" s="26" t="s">
        <v>37</v>
      </c>
      <c r="D1682" s="26" t="s">
        <v>45</v>
      </c>
      <c r="E1682" s="26" t="s">
        <v>39</v>
      </c>
      <c r="F1682" s="28" t="e">
        <f ca="1">_xludf.ifna(VLOOKUP(G1682,Proyectos!$A$2:$F$674,6,0),"")</f>
        <v>#NAME?</v>
      </c>
      <c r="G1682" s="29" t="s">
        <v>5114</v>
      </c>
      <c r="H1682" s="32">
        <v>0.25</v>
      </c>
      <c r="I1682" s="31" t="s">
        <v>25</v>
      </c>
      <c r="J1682" s="31" t="s">
        <v>41</v>
      </c>
      <c r="K1682" s="32"/>
      <c r="L1682" s="32" t="e">
        <f ca="1">_xludf.ifna(VLOOKUP(E1682,Parámetros!$D$2:$E$34,2,0),"")</f>
        <v>#NAME?</v>
      </c>
      <c r="M1682" s="32" t="e">
        <f ca="1">_xludf.ifna(VLOOKUP(G1682,Proyectos!$A$2:$T$674,20,0),"")</f>
        <v>#NAME?</v>
      </c>
      <c r="N1682" s="32" t="e">
        <f ca="1">_xludf.ifna(VLOOKUP(G1682,Proyectos!$A$2:$S$674,19,0))</f>
        <v>#NAME?</v>
      </c>
      <c r="O1682" s="32"/>
      <c r="P1682" s="32"/>
      <c r="Q1682" s="33"/>
      <c r="R1682" s="33"/>
      <c r="S1682" s="33"/>
      <c r="T1682" s="33"/>
      <c r="U1682" s="33"/>
      <c r="V1682" s="33"/>
      <c r="W1682" s="33"/>
    </row>
    <row r="1683" spans="1:23" ht="16.5" customHeight="1" x14ac:dyDescent="0.2">
      <c r="A1683" s="26" t="s">
        <v>3311</v>
      </c>
      <c r="B1683" s="26" t="s">
        <v>3312</v>
      </c>
      <c r="C1683" s="26" t="s">
        <v>37</v>
      </c>
      <c r="D1683" s="26" t="s">
        <v>59</v>
      </c>
      <c r="E1683" s="26" t="s">
        <v>39</v>
      </c>
      <c r="F1683" s="28" t="e">
        <f ca="1">_xludf.ifna(VLOOKUP(G1683,Proyectos!$A$2:$F$674,6,0),"")</f>
        <v>#NAME?</v>
      </c>
      <c r="G1683" s="29" t="s">
        <v>5114</v>
      </c>
      <c r="H1683" s="32">
        <v>0.25</v>
      </c>
      <c r="I1683" s="31" t="s">
        <v>25</v>
      </c>
      <c r="J1683" s="31" t="s">
        <v>41</v>
      </c>
      <c r="K1683" s="32"/>
      <c r="L1683" s="32" t="e">
        <f ca="1">_xludf.ifna(VLOOKUP(E1683,Parámetros!$D$2:$E$34,2,0),"")</f>
        <v>#NAME?</v>
      </c>
      <c r="M1683" s="32" t="e">
        <f ca="1">_xludf.ifna(VLOOKUP(G1683,Proyectos!$A$2:$T$674,20,0),"")</f>
        <v>#NAME?</v>
      </c>
      <c r="N1683" s="32" t="e">
        <f ca="1">_xludf.ifna(VLOOKUP(G1683,Proyectos!$A$2:$S$674,19,0))</f>
        <v>#NAME?</v>
      </c>
      <c r="O1683" s="32"/>
      <c r="P1683" s="32"/>
      <c r="Q1683" s="33"/>
      <c r="R1683" s="33"/>
      <c r="S1683" s="33"/>
      <c r="T1683" s="33"/>
      <c r="U1683" s="33"/>
      <c r="V1683" s="33"/>
      <c r="W1683" s="33"/>
    </row>
    <row r="1684" spans="1:23" ht="16.5" customHeight="1" x14ac:dyDescent="0.2">
      <c r="A1684" s="26" t="s">
        <v>3311</v>
      </c>
      <c r="B1684" s="26" t="s">
        <v>3312</v>
      </c>
      <c r="C1684" s="26" t="s">
        <v>37</v>
      </c>
      <c r="D1684" s="26" t="s">
        <v>52</v>
      </c>
      <c r="E1684" s="26" t="s">
        <v>39</v>
      </c>
      <c r="F1684" s="28" t="e">
        <f ca="1">_xludf.ifna(VLOOKUP(G1684,Proyectos!$A$2:$F$674,6,0),"")</f>
        <v>#NAME?</v>
      </c>
      <c r="G1684" s="29" t="s">
        <v>5114</v>
      </c>
      <c r="H1684" s="32">
        <v>0.25</v>
      </c>
      <c r="I1684" s="31" t="s">
        <v>25</v>
      </c>
      <c r="J1684" s="31" t="s">
        <v>41</v>
      </c>
      <c r="K1684" s="32"/>
      <c r="L1684" s="32" t="e">
        <f ca="1">_xludf.ifna(VLOOKUP(E1684,Parámetros!$D$2:$E$34,2,0),"")</f>
        <v>#NAME?</v>
      </c>
      <c r="M1684" s="32" t="e">
        <f ca="1">_xludf.ifna(VLOOKUP(G1684,Proyectos!$A$2:$T$674,20,0),"")</f>
        <v>#NAME?</v>
      </c>
      <c r="N1684" s="32" t="e">
        <f ca="1">_xludf.ifna(VLOOKUP(G1684,Proyectos!$A$2:$S$674,19,0))</f>
        <v>#NAME?</v>
      </c>
      <c r="O1684" s="32"/>
      <c r="P1684" s="32"/>
      <c r="Q1684" s="33"/>
      <c r="R1684" s="33"/>
      <c r="S1684" s="33"/>
      <c r="T1684" s="33"/>
      <c r="U1684" s="33"/>
      <c r="V1684" s="33"/>
      <c r="W1684" s="33"/>
    </row>
    <row r="1685" spans="1:23" ht="16.5" customHeight="1" x14ac:dyDescent="0.2">
      <c r="A1685" s="26" t="s">
        <v>4398</v>
      </c>
      <c r="B1685" s="26" t="s">
        <v>4399</v>
      </c>
      <c r="C1685" s="26" t="s">
        <v>37</v>
      </c>
      <c r="D1685" s="26" t="s">
        <v>38</v>
      </c>
      <c r="E1685" s="26" t="s">
        <v>87</v>
      </c>
      <c r="F1685" s="28" t="e">
        <f ca="1">_xludf.ifna(VLOOKUP(G1685,Proyectos!$A$2:$F$674,6,0),"")</f>
        <v>#NAME?</v>
      </c>
      <c r="G1685" s="29" t="s">
        <v>5114</v>
      </c>
      <c r="H1685" s="32">
        <v>0.5</v>
      </c>
      <c r="I1685" s="31" t="s">
        <v>32</v>
      </c>
      <c r="J1685" s="31" t="s">
        <v>41</v>
      </c>
      <c r="K1685" s="32"/>
      <c r="L1685" s="32" t="e">
        <f ca="1">_xludf.ifna(VLOOKUP(E1685,Parámetros!$D$2:$E$34,2,0),"")</f>
        <v>#NAME?</v>
      </c>
      <c r="M1685" s="32" t="e">
        <f ca="1">_xludf.ifna(VLOOKUP(G1685,Proyectos!$A$2:$T$674,20,0),"")</f>
        <v>#NAME?</v>
      </c>
      <c r="N1685" s="32" t="e">
        <f ca="1">_xludf.ifna(VLOOKUP(G1685,Proyectos!$A$2:$S$674,19,0))</f>
        <v>#NAME?</v>
      </c>
      <c r="O1685" s="32"/>
      <c r="P1685" s="32"/>
      <c r="Q1685" s="33"/>
      <c r="R1685" s="33"/>
      <c r="S1685" s="33"/>
      <c r="T1685" s="33"/>
      <c r="U1685" s="33"/>
      <c r="V1685" s="33"/>
      <c r="W1685" s="33"/>
    </row>
    <row r="1686" spans="1:23" ht="16.5" customHeight="1" x14ac:dyDescent="0.2">
      <c r="A1686" s="26" t="s">
        <v>4398</v>
      </c>
      <c r="B1686" s="26" t="s">
        <v>4399</v>
      </c>
      <c r="C1686" s="26" t="s">
        <v>37</v>
      </c>
      <c r="D1686" s="26" t="s">
        <v>45</v>
      </c>
      <c r="E1686" s="26" t="s">
        <v>87</v>
      </c>
      <c r="F1686" s="28" t="e">
        <f ca="1">_xludf.ifna(VLOOKUP(G1686,Proyectos!$A$2:$F$674,6,0),"")</f>
        <v>#NAME?</v>
      </c>
      <c r="G1686" s="29" t="s">
        <v>5114</v>
      </c>
      <c r="H1686" s="32">
        <v>0.5</v>
      </c>
      <c r="I1686" s="31" t="s">
        <v>32</v>
      </c>
      <c r="J1686" s="31" t="s">
        <v>41</v>
      </c>
      <c r="K1686" s="32"/>
      <c r="L1686" s="32" t="e">
        <f ca="1">_xludf.ifna(VLOOKUP(E1686,Parámetros!$D$2:$E$34,2,0),"")</f>
        <v>#NAME?</v>
      </c>
      <c r="M1686" s="32" t="e">
        <f ca="1">_xludf.ifna(VLOOKUP(G1686,Proyectos!$A$2:$T$674,20,0),"")</f>
        <v>#NAME?</v>
      </c>
      <c r="N1686" s="32" t="e">
        <f ca="1">_xludf.ifna(VLOOKUP(G1686,Proyectos!$A$2:$S$674,19,0))</f>
        <v>#NAME?</v>
      </c>
      <c r="O1686" s="32"/>
      <c r="P1686" s="32"/>
      <c r="Q1686" s="33"/>
      <c r="R1686" s="33"/>
      <c r="S1686" s="33"/>
      <c r="T1686" s="33"/>
      <c r="U1686" s="33"/>
      <c r="V1686" s="33"/>
      <c r="W1686" s="33"/>
    </row>
    <row r="1687" spans="1:23" ht="16.5" customHeight="1" x14ac:dyDescent="0.2">
      <c r="A1687" s="26" t="s">
        <v>3838</v>
      </c>
      <c r="B1687" s="26" t="s">
        <v>3839</v>
      </c>
      <c r="C1687" s="26" t="s">
        <v>98</v>
      </c>
      <c r="D1687" s="26" t="s">
        <v>110</v>
      </c>
      <c r="E1687" s="26" t="s">
        <v>39</v>
      </c>
      <c r="F1687" s="28" t="e">
        <f ca="1">_xludf.ifna(VLOOKUP(G1687,Proyectos!$A$2:$F$674,6,0),"")</f>
        <v>#NAME?</v>
      </c>
      <c r="G1687" s="26" t="s">
        <v>5583</v>
      </c>
      <c r="H1687" s="32">
        <v>0.25</v>
      </c>
      <c r="I1687" s="31" t="s">
        <v>11</v>
      </c>
      <c r="J1687" s="31" t="s">
        <v>26</v>
      </c>
      <c r="K1687" s="32"/>
      <c r="L1687" s="32" t="e">
        <f ca="1">_xludf.ifna(VLOOKUP(E1687,Parámetros!$D$2:$E$34,2,0),"")</f>
        <v>#NAME?</v>
      </c>
      <c r="M1687" s="32" t="e">
        <f ca="1">_xludf.ifna(VLOOKUP(G1687,Proyectos!$A$2:$T$674,20,0),"")</f>
        <v>#NAME?</v>
      </c>
      <c r="N1687" s="32" t="e">
        <f ca="1">_xludf.ifna(VLOOKUP(G1687,Proyectos!$A$2:$S$674,19,0))</f>
        <v>#NAME?</v>
      </c>
      <c r="O1687" s="32"/>
      <c r="P1687" s="32"/>
      <c r="Q1687" s="33"/>
      <c r="R1687" s="33"/>
      <c r="S1687" s="33"/>
      <c r="T1687" s="33"/>
      <c r="U1687" s="33"/>
      <c r="V1687" s="33"/>
      <c r="W1687" s="33"/>
    </row>
    <row r="1688" spans="1:23" ht="16.5" customHeight="1" x14ac:dyDescent="0.2">
      <c r="A1688" s="26" t="s">
        <v>3838</v>
      </c>
      <c r="B1688" s="26" t="s">
        <v>3839</v>
      </c>
      <c r="C1688" s="26" t="s">
        <v>98</v>
      </c>
      <c r="D1688" s="26" t="s">
        <v>110</v>
      </c>
      <c r="E1688" s="26" t="s">
        <v>39</v>
      </c>
      <c r="F1688" s="28" t="e">
        <f ca="1">_xludf.ifna(VLOOKUP(G1688,Proyectos!$A$2:$F$674,6,0),"")</f>
        <v>#NAME?</v>
      </c>
      <c r="G1688" s="26" t="s">
        <v>5240</v>
      </c>
      <c r="H1688" s="32">
        <v>0.25</v>
      </c>
      <c r="I1688" s="31" t="s">
        <v>11</v>
      </c>
      <c r="J1688" s="31" t="s">
        <v>26</v>
      </c>
      <c r="K1688" s="32"/>
      <c r="L1688" s="32" t="e">
        <f ca="1">_xludf.ifna(VLOOKUP(E1688,Parámetros!$D$2:$E$34,2,0),"")</f>
        <v>#NAME?</v>
      </c>
      <c r="M1688" s="32" t="e">
        <f ca="1">_xludf.ifna(VLOOKUP(G1688,Proyectos!$A$2:$T$674,20,0),"")</f>
        <v>#NAME?</v>
      </c>
      <c r="N1688" s="32" t="e">
        <f ca="1">_xludf.ifna(VLOOKUP(G1688,Proyectos!$A$2:$S$674,19,0))</f>
        <v>#NAME?</v>
      </c>
      <c r="O1688" s="32"/>
      <c r="P1688" s="32"/>
      <c r="Q1688" s="33"/>
      <c r="R1688" s="33"/>
      <c r="S1688" s="33"/>
      <c r="T1688" s="33"/>
      <c r="U1688" s="33"/>
      <c r="V1688" s="33"/>
      <c r="W1688" s="33"/>
    </row>
    <row r="1689" spans="1:23" ht="16.5" customHeight="1" x14ac:dyDescent="0.2">
      <c r="A1689" s="26" t="s">
        <v>3838</v>
      </c>
      <c r="B1689" s="26" t="s">
        <v>3839</v>
      </c>
      <c r="C1689" s="26" t="s">
        <v>98</v>
      </c>
      <c r="D1689" s="26" t="s">
        <v>110</v>
      </c>
      <c r="E1689" s="26" t="s">
        <v>39</v>
      </c>
      <c r="F1689" s="28" t="e">
        <f ca="1">_xludf.ifna(VLOOKUP(G1689,Proyectos!$A$2:$F$674,6,0),"")</f>
        <v>#NAME?</v>
      </c>
      <c r="G1689" s="26" t="s">
        <v>5242</v>
      </c>
      <c r="H1689" s="32">
        <v>0.25</v>
      </c>
      <c r="I1689" s="31" t="s">
        <v>11</v>
      </c>
      <c r="J1689" s="31" t="s">
        <v>26</v>
      </c>
      <c r="K1689" s="32"/>
      <c r="L1689" s="32" t="e">
        <f ca="1">_xludf.ifna(VLOOKUP(E1689,Parámetros!$D$2:$E$34,2,0),"")</f>
        <v>#NAME?</v>
      </c>
      <c r="M1689" s="32" t="e">
        <f ca="1">_xludf.ifna(VLOOKUP(G1689,Proyectos!$A$2:$T$674,20,0),"")</f>
        <v>#NAME?</v>
      </c>
      <c r="N1689" s="32" t="e">
        <f ca="1">_xludf.ifna(VLOOKUP(G1689,Proyectos!$A$2:$S$674,19,0))</f>
        <v>#NAME?</v>
      </c>
      <c r="O1689" s="32"/>
      <c r="P1689" s="32"/>
      <c r="Q1689" s="33"/>
      <c r="R1689" s="33"/>
      <c r="S1689" s="33"/>
      <c r="T1689" s="33"/>
      <c r="U1689" s="33"/>
      <c r="V1689" s="33"/>
      <c r="W1689" s="33"/>
    </row>
    <row r="1690" spans="1:23" ht="16.5" customHeight="1" x14ac:dyDescent="0.2">
      <c r="A1690" s="26" t="s">
        <v>3838</v>
      </c>
      <c r="B1690" s="26" t="s">
        <v>3839</v>
      </c>
      <c r="C1690" s="26" t="s">
        <v>98</v>
      </c>
      <c r="D1690" s="26" t="s">
        <v>110</v>
      </c>
      <c r="E1690" s="26" t="s">
        <v>39</v>
      </c>
      <c r="F1690" s="28" t="e">
        <f ca="1">_xludf.ifna(VLOOKUP(G1690,Proyectos!$A$2:$F$674,6,0),"")</f>
        <v>#NAME?</v>
      </c>
      <c r="G1690" s="29" t="s">
        <v>5114</v>
      </c>
      <c r="H1690" s="32">
        <v>0.25</v>
      </c>
      <c r="I1690" s="31" t="s">
        <v>11</v>
      </c>
      <c r="J1690" s="31" t="s">
        <v>26</v>
      </c>
      <c r="K1690" s="32"/>
      <c r="L1690" s="32" t="e">
        <f ca="1">_xludf.ifna(VLOOKUP(E1690,Parámetros!$D$2:$E$34,2,0),"")</f>
        <v>#NAME?</v>
      </c>
      <c r="M1690" s="32" t="e">
        <f ca="1">_xludf.ifna(VLOOKUP(G1690,Proyectos!$A$2:$T$674,20,0),"")</f>
        <v>#NAME?</v>
      </c>
      <c r="N1690" s="32" t="e">
        <f ca="1">_xludf.ifna(VLOOKUP(G1690,Proyectos!$A$2:$S$674,19,0))</f>
        <v>#NAME?</v>
      </c>
      <c r="O1690" s="32"/>
      <c r="P1690" s="32"/>
      <c r="Q1690" s="33"/>
      <c r="R1690" s="33"/>
      <c r="S1690" s="33"/>
      <c r="T1690" s="33"/>
      <c r="U1690" s="33"/>
      <c r="V1690" s="33"/>
      <c r="W1690" s="33"/>
    </row>
    <row r="1691" spans="1:23" ht="16.5" customHeight="1" x14ac:dyDescent="0.2">
      <c r="A1691" s="26" t="s">
        <v>3309</v>
      </c>
      <c r="B1691" s="26" t="s">
        <v>3310</v>
      </c>
      <c r="C1691" s="26" t="s">
        <v>98</v>
      </c>
      <c r="D1691" s="26" t="s">
        <v>113</v>
      </c>
      <c r="E1691" s="26" t="s">
        <v>39</v>
      </c>
      <c r="F1691" s="28" t="e">
        <f ca="1">_xludf.ifna(VLOOKUP(G1691,Proyectos!$A$2:$F$674,6,0),"")</f>
        <v>#NAME?</v>
      </c>
      <c r="G1691" s="26" t="s">
        <v>5245</v>
      </c>
      <c r="H1691" s="32">
        <v>1</v>
      </c>
      <c r="I1691" s="31" t="s">
        <v>11</v>
      </c>
      <c r="J1691" s="31" t="s">
        <v>41</v>
      </c>
      <c r="K1691" s="32"/>
      <c r="L1691" s="32" t="e">
        <f ca="1">_xludf.ifna(VLOOKUP(E1691,Parámetros!$D$2:$E$34,2,0),"")</f>
        <v>#NAME?</v>
      </c>
      <c r="M1691" s="32" t="e">
        <f ca="1">_xludf.ifna(VLOOKUP(G1691,Proyectos!$A$2:$T$674,20,0),"")</f>
        <v>#NAME?</v>
      </c>
      <c r="N1691" s="32" t="e">
        <f ca="1">_xludf.ifna(VLOOKUP(G1691,Proyectos!$A$2:$S$674,19,0))</f>
        <v>#NAME?</v>
      </c>
      <c r="O1691" s="32"/>
      <c r="P1691" s="32"/>
      <c r="Q1691" s="33"/>
      <c r="R1691" s="33"/>
      <c r="S1691" s="33"/>
      <c r="T1691" s="33"/>
      <c r="U1691" s="33"/>
      <c r="V1691" s="33"/>
      <c r="W1691" s="33"/>
    </row>
    <row r="1692" spans="1:23" ht="16.5" customHeight="1" x14ac:dyDescent="0.2">
      <c r="A1692" s="26" t="s">
        <v>3435</v>
      </c>
      <c r="B1692" s="26" t="s">
        <v>3436</v>
      </c>
      <c r="C1692" s="26" t="s">
        <v>98</v>
      </c>
      <c r="D1692" s="26" t="s">
        <v>113</v>
      </c>
      <c r="E1692" s="26" t="s">
        <v>39</v>
      </c>
      <c r="F1692" s="28" t="e">
        <f ca="1">_xludf.ifna(VLOOKUP(G1692,Proyectos!$A$2:$F$674,6,0),"")</f>
        <v>#NAME?</v>
      </c>
      <c r="G1692" s="26" t="s">
        <v>5133</v>
      </c>
      <c r="H1692" s="32">
        <v>1</v>
      </c>
      <c r="I1692" s="31" t="s">
        <v>11</v>
      </c>
      <c r="J1692" s="31" t="s">
        <v>61</v>
      </c>
      <c r="K1692" s="32"/>
      <c r="L1692" s="32" t="e">
        <f ca="1">_xludf.ifna(VLOOKUP(E1692,Parámetros!$D$2:$E$34,2,0),"")</f>
        <v>#NAME?</v>
      </c>
      <c r="M1692" s="32" t="e">
        <f ca="1">_xludf.ifna(VLOOKUP(G1692,Proyectos!$A$2:$T$674,20,0),"")</f>
        <v>#NAME?</v>
      </c>
      <c r="N1692" s="32" t="e">
        <f ca="1">_xludf.ifna(VLOOKUP(G1692,Proyectos!$A$2:$S$674,19,0))</f>
        <v>#NAME?</v>
      </c>
      <c r="O1692" s="32"/>
      <c r="P1692" s="32"/>
      <c r="Q1692" s="33"/>
      <c r="R1692" s="33"/>
      <c r="S1692" s="33"/>
      <c r="T1692" s="33"/>
      <c r="U1692" s="33"/>
      <c r="V1692" s="33"/>
      <c r="W1692" s="33"/>
    </row>
    <row r="1693" spans="1:23" ht="16.5" customHeight="1" x14ac:dyDescent="0.2">
      <c r="A1693" s="26" t="s">
        <v>3858</v>
      </c>
      <c r="B1693" s="26" t="s">
        <v>3859</v>
      </c>
      <c r="C1693" s="26" t="s">
        <v>98</v>
      </c>
      <c r="D1693" s="26" t="s">
        <v>110</v>
      </c>
      <c r="E1693" s="26" t="s">
        <v>39</v>
      </c>
      <c r="F1693" s="28" t="e">
        <f ca="1">_xludf.ifna(VLOOKUP(G1693,Proyectos!$A$2:$F$674,6,0),"")</f>
        <v>#NAME?</v>
      </c>
      <c r="G1693" s="26" t="s">
        <v>5242</v>
      </c>
      <c r="H1693" s="32">
        <v>1</v>
      </c>
      <c r="I1693" s="31" t="s">
        <v>11</v>
      </c>
      <c r="J1693" s="31" t="s">
        <v>41</v>
      </c>
      <c r="K1693" s="32"/>
      <c r="L1693" s="32" t="e">
        <f ca="1">_xludf.ifna(VLOOKUP(E1693,Parámetros!$D$2:$E$34,2,0),"")</f>
        <v>#NAME?</v>
      </c>
      <c r="M1693" s="32" t="e">
        <f ca="1">_xludf.ifna(VLOOKUP(G1693,Proyectos!$A$2:$T$674,20,0),"")</f>
        <v>#NAME?</v>
      </c>
      <c r="N1693" s="32" t="e">
        <f ca="1">_xludf.ifna(VLOOKUP(G1693,Proyectos!$A$2:$S$674,19,0))</f>
        <v>#NAME?</v>
      </c>
      <c r="O1693" s="32"/>
      <c r="P1693" s="32"/>
      <c r="Q1693" s="33"/>
      <c r="R1693" s="33"/>
      <c r="S1693" s="33"/>
      <c r="T1693" s="33"/>
      <c r="U1693" s="33"/>
      <c r="V1693" s="33"/>
      <c r="W1693" s="33"/>
    </row>
    <row r="1694" spans="1:23" ht="16.5" customHeight="1" x14ac:dyDescent="0.2">
      <c r="A1694" s="54" t="s">
        <v>3935</v>
      </c>
      <c r="B1694" s="35" t="s">
        <v>3936</v>
      </c>
      <c r="C1694" s="35" t="s">
        <v>64</v>
      </c>
      <c r="D1694" s="35" t="s">
        <v>82</v>
      </c>
      <c r="E1694" s="35" t="s">
        <v>135</v>
      </c>
      <c r="F1694" s="28" t="e">
        <f ca="1">_xludf.ifna(VLOOKUP(G1694,Proyectos!$A$2:$F$674,6,0),"")</f>
        <v>#NAME?</v>
      </c>
      <c r="G1694" s="29" t="s">
        <v>5114</v>
      </c>
      <c r="H1694" s="30">
        <v>0.5</v>
      </c>
      <c r="I1694" s="52" t="s">
        <v>18</v>
      </c>
      <c r="J1694" s="31" t="s">
        <v>61</v>
      </c>
      <c r="K1694" s="32"/>
      <c r="L1694" s="32" t="e">
        <f ca="1">_xludf.ifna(VLOOKUP(E1694,Parámetros!$D$2:$E$34,2,0),"")</f>
        <v>#NAME?</v>
      </c>
      <c r="M1694" s="32" t="e">
        <f ca="1">_xludf.ifna(VLOOKUP(G1694,Proyectos!$A$2:$T$674,20,0),"")</f>
        <v>#NAME?</v>
      </c>
      <c r="N1694" s="32" t="e">
        <f ca="1">_xludf.ifna(VLOOKUP(G1694,Proyectos!$A$2:$S$674,19,0))</f>
        <v>#NAME?</v>
      </c>
      <c r="O1694" s="32"/>
      <c r="P1694" s="31"/>
      <c r="Q1694" s="33"/>
      <c r="R1694" s="33"/>
      <c r="S1694" s="33"/>
      <c r="T1694" s="33"/>
      <c r="U1694" s="33"/>
      <c r="V1694" s="33"/>
      <c r="W1694" s="33"/>
    </row>
    <row r="1695" spans="1:23" ht="16.5" customHeight="1" x14ac:dyDescent="0.2">
      <c r="A1695" s="35" t="s">
        <v>3882</v>
      </c>
      <c r="B1695" s="35" t="s">
        <v>3883</v>
      </c>
      <c r="C1695" s="26" t="s">
        <v>98</v>
      </c>
      <c r="D1695" s="26" t="s">
        <v>113</v>
      </c>
      <c r="E1695" s="26" t="s">
        <v>39</v>
      </c>
      <c r="F1695" s="28" t="e">
        <f ca="1">_xludf.ifna(VLOOKUP(G1695,Proyectos!$A$2:$F$674,6,0),"")</f>
        <v>#NAME?</v>
      </c>
      <c r="G1695" s="26" t="s">
        <v>5245</v>
      </c>
      <c r="H1695" s="32">
        <v>1</v>
      </c>
      <c r="I1695" s="31" t="s">
        <v>18</v>
      </c>
      <c r="J1695" s="31" t="s">
        <v>19</v>
      </c>
      <c r="K1695" s="32"/>
      <c r="L1695" s="32" t="e">
        <f ca="1">_xludf.ifna(VLOOKUP(E1695,Parámetros!$D$2:$E$34,2,0),"")</f>
        <v>#NAME?</v>
      </c>
      <c r="M1695" s="32" t="e">
        <f ca="1">_xludf.ifna(VLOOKUP(G1695,Proyectos!$A$2:$T$674,20,0),"")</f>
        <v>#NAME?</v>
      </c>
      <c r="N1695" s="32" t="e">
        <f ca="1">_xludf.ifna(VLOOKUP(G1695,Proyectos!$A$2:$S$674,19,0))</f>
        <v>#NAME?</v>
      </c>
      <c r="O1695" s="32"/>
      <c r="P1695" s="32"/>
      <c r="Q1695" s="33"/>
      <c r="R1695" s="33"/>
      <c r="S1695" s="33"/>
      <c r="T1695" s="33"/>
      <c r="U1695" s="33"/>
      <c r="V1695" s="33"/>
      <c r="W1695" s="33"/>
    </row>
    <row r="1696" spans="1:23" ht="16.5" customHeight="1" x14ac:dyDescent="0.2">
      <c r="A1696" s="26" t="s">
        <v>3503</v>
      </c>
      <c r="B1696" s="26" t="s">
        <v>3504</v>
      </c>
      <c r="C1696" s="26" t="s">
        <v>98</v>
      </c>
      <c r="D1696" s="26" t="s">
        <v>113</v>
      </c>
      <c r="E1696" s="26" t="s">
        <v>39</v>
      </c>
      <c r="F1696" s="28" t="e">
        <f ca="1">_xludf.ifna(VLOOKUP(G1696,Proyectos!$A$2:$F$674,6,0),"")</f>
        <v>#NAME?</v>
      </c>
      <c r="G1696" s="26" t="s">
        <v>5133</v>
      </c>
      <c r="H1696" s="32">
        <v>1</v>
      </c>
      <c r="I1696" s="31" t="s">
        <v>18</v>
      </c>
      <c r="J1696" s="31" t="s">
        <v>12</v>
      </c>
      <c r="K1696" s="32"/>
      <c r="L1696" s="32" t="e">
        <f ca="1">_xludf.ifna(VLOOKUP(E1696,Parámetros!$D$2:$E$34,2,0),"")</f>
        <v>#NAME?</v>
      </c>
      <c r="M1696" s="32" t="e">
        <f ca="1">_xludf.ifna(VLOOKUP(G1696,Proyectos!$A$2:$T$674,20,0),"")</f>
        <v>#NAME?</v>
      </c>
      <c r="N1696" s="32" t="e">
        <f ca="1">_xludf.ifna(VLOOKUP(G1696,Proyectos!$A$2:$S$674,19,0))</f>
        <v>#NAME?</v>
      </c>
      <c r="O1696" s="32"/>
      <c r="P1696" s="32"/>
      <c r="Q1696" s="33"/>
      <c r="R1696" s="33"/>
      <c r="S1696" s="33"/>
      <c r="T1696" s="33"/>
      <c r="U1696" s="33"/>
      <c r="V1696" s="33"/>
      <c r="W1696" s="33"/>
    </row>
    <row r="1697" spans="1:23" ht="16.5" customHeight="1" x14ac:dyDescent="0.2">
      <c r="A1697" s="26" t="s">
        <v>4316</v>
      </c>
      <c r="B1697" s="26" t="s">
        <v>5584</v>
      </c>
      <c r="C1697" s="26" t="s">
        <v>98</v>
      </c>
      <c r="D1697" s="26" t="s">
        <v>113</v>
      </c>
      <c r="E1697" s="26" t="s">
        <v>9</v>
      </c>
      <c r="F1697" s="28" t="e">
        <f ca="1">_xludf.ifna(VLOOKUP(G1697,Proyectos!$A$2:$F$674,6,0),"")</f>
        <v>#NAME?</v>
      </c>
      <c r="G1697" s="26" t="s">
        <v>5133</v>
      </c>
      <c r="H1697" s="32">
        <v>1</v>
      </c>
      <c r="I1697" s="31" t="s">
        <v>25</v>
      </c>
      <c r="J1697" s="31" t="s">
        <v>41</v>
      </c>
      <c r="K1697" s="32"/>
      <c r="L1697" s="32" t="e">
        <f ca="1">_xludf.ifna(VLOOKUP(E1697,Parámetros!$D$2:$E$34,2,0),"")</f>
        <v>#NAME?</v>
      </c>
      <c r="M1697" s="32" t="e">
        <f ca="1">_xludf.ifna(VLOOKUP(G1697,Proyectos!$A$2:$T$674,20,0),"")</f>
        <v>#NAME?</v>
      </c>
      <c r="N1697" s="32" t="e">
        <f ca="1">_xludf.ifna(VLOOKUP(G1697,Proyectos!$A$2:$S$674,19,0))</f>
        <v>#NAME?</v>
      </c>
      <c r="O1697" s="32"/>
      <c r="P1697" s="32"/>
      <c r="Q1697" s="33"/>
      <c r="R1697" s="33"/>
      <c r="S1697" s="33"/>
      <c r="T1697" s="33"/>
      <c r="U1697" s="33"/>
      <c r="V1697" s="33"/>
      <c r="W1697" s="33"/>
    </row>
    <row r="1698" spans="1:23" ht="16.5" customHeight="1" x14ac:dyDescent="0.2">
      <c r="A1698" s="140" t="s">
        <v>5947</v>
      </c>
      <c r="B1698" s="140" t="s">
        <v>5948</v>
      </c>
      <c r="C1698" s="140" t="s">
        <v>115</v>
      </c>
      <c r="D1698" s="141" t="s">
        <v>125</v>
      </c>
      <c r="E1698" s="141" t="s">
        <v>39</v>
      </c>
      <c r="F1698" s="28" t="e">
        <f ca="1">_xludf.ifna(VLOOKUP(G1698,Proyectos!$A$2:$F$674,6,0),"")</f>
        <v>#NAME?</v>
      </c>
      <c r="G1698" s="142" t="s">
        <v>5114</v>
      </c>
      <c r="H1698" s="143">
        <v>0.3</v>
      </c>
      <c r="I1698" s="144" t="s">
        <v>18</v>
      </c>
      <c r="J1698" s="143" t="s">
        <v>12</v>
      </c>
      <c r="K1698" s="32"/>
      <c r="L1698" s="32" t="e">
        <f ca="1">_xludf.ifna(VLOOKUP(E1698,Parámetros!$D$2:$E$34,2,0),"")</f>
        <v>#NAME?</v>
      </c>
      <c r="M1698" s="32" t="e">
        <f ca="1">_xludf.ifna(VLOOKUP(G1698,Proyectos!$A$2:$T$674,20,0),"")</f>
        <v>#NAME?</v>
      </c>
      <c r="N1698" s="32" t="e">
        <f ca="1">_xludf.ifna(VLOOKUP(G1698,Proyectos!$A$2:$S$674,19,0))</f>
        <v>#NAME?</v>
      </c>
      <c r="O1698" s="32"/>
      <c r="P1698" s="32"/>
      <c r="Q1698" s="33"/>
      <c r="R1698" s="33"/>
      <c r="S1698" s="33"/>
      <c r="T1698" s="33"/>
      <c r="U1698" s="33"/>
      <c r="V1698" s="33"/>
      <c r="W1698" s="33"/>
    </row>
    <row r="1699" spans="1:23" ht="16.5" customHeight="1" x14ac:dyDescent="0.2">
      <c r="A1699" s="26"/>
      <c r="B1699" s="26"/>
      <c r="C1699" s="26"/>
      <c r="D1699" s="26"/>
      <c r="E1699" s="26"/>
      <c r="F1699" s="28" t="e">
        <f ca="1">_xludf.ifna(VLOOKUP(G1699,Proyectos!$A$2:$F$674,6,0),"")</f>
        <v>#NAME?</v>
      </c>
      <c r="G1699" s="26"/>
      <c r="H1699" s="32"/>
      <c r="I1699" s="32"/>
      <c r="J1699" s="32"/>
      <c r="K1699" s="32"/>
      <c r="L1699" s="32" t="e">
        <f ca="1">_xludf.ifna(VLOOKUP(E1699,Parámetros!$D$2:$E$34,2,0),"")</f>
        <v>#NAME?</v>
      </c>
      <c r="M1699" s="32" t="e">
        <f ca="1">_xludf.ifna(VLOOKUP(G1699,Proyectos!$A$2:$T$674,20,0),"")</f>
        <v>#NAME?</v>
      </c>
      <c r="N1699" s="32" t="e">
        <f ca="1">_xludf.ifna(VLOOKUP(G1699,Proyectos!$A$2:$S$674,19,0))</f>
        <v>#NAME?</v>
      </c>
      <c r="O1699" s="32"/>
      <c r="P1699" s="32"/>
      <c r="Q1699" s="33"/>
      <c r="R1699" s="33"/>
      <c r="S1699" s="33"/>
      <c r="T1699" s="33"/>
      <c r="U1699" s="33"/>
      <c r="V1699" s="33"/>
      <c r="W1699" s="33"/>
    </row>
    <row r="1700" spans="1:23" ht="16.5" customHeight="1" x14ac:dyDescent="0.2">
      <c r="A1700" s="26"/>
      <c r="B1700" s="26"/>
      <c r="C1700" s="26"/>
      <c r="D1700" s="26"/>
      <c r="E1700" s="26"/>
      <c r="F1700" s="28" t="e">
        <f ca="1">_xludf.ifna(VLOOKUP(G1700,Proyectos!$A$2:$F$674,6,0),"")</f>
        <v>#NAME?</v>
      </c>
      <c r="G1700" s="26"/>
      <c r="H1700" s="32"/>
      <c r="I1700" s="32"/>
      <c r="J1700" s="32"/>
      <c r="K1700" s="32"/>
      <c r="L1700" s="32" t="e">
        <f ca="1">_xludf.ifna(VLOOKUP(E1700,Parámetros!$D$2:$E$34,2,0),"")</f>
        <v>#NAME?</v>
      </c>
      <c r="M1700" s="32" t="e">
        <f ca="1">_xludf.ifna(VLOOKUP(G1700,Proyectos!$A$2:$T$674,20,0),"")</f>
        <v>#NAME?</v>
      </c>
      <c r="N1700" s="32" t="e">
        <f ca="1">_xludf.ifna(VLOOKUP(G1700,Proyectos!$A$2:$S$674,19,0))</f>
        <v>#NAME?</v>
      </c>
      <c r="O1700" s="32"/>
      <c r="P1700" s="32"/>
      <c r="Q1700" s="33"/>
      <c r="R1700" s="33"/>
      <c r="S1700" s="33"/>
      <c r="T1700" s="33"/>
      <c r="U1700" s="33"/>
      <c r="V1700" s="33"/>
      <c r="W1700" s="33"/>
    </row>
    <row r="1701" spans="1:23" ht="16.5" customHeight="1" x14ac:dyDescent="0.2">
      <c r="A1701" s="26"/>
      <c r="B1701" s="26"/>
      <c r="C1701" s="26"/>
      <c r="D1701" s="26"/>
      <c r="E1701" s="26"/>
      <c r="F1701" s="28" t="e">
        <f ca="1">_xludf.ifna(VLOOKUP(G1701,Proyectos!$A$2:$F$674,6,0),"")</f>
        <v>#NAME?</v>
      </c>
      <c r="G1701" s="26"/>
      <c r="H1701" s="32"/>
      <c r="I1701" s="32"/>
      <c r="J1701" s="32"/>
      <c r="K1701" s="32"/>
      <c r="L1701" s="32" t="e">
        <f ca="1">_xludf.ifna(VLOOKUP(E1701,Parámetros!$D$2:$E$34,2,0),"")</f>
        <v>#NAME?</v>
      </c>
      <c r="M1701" s="32" t="e">
        <f ca="1">_xludf.ifna(VLOOKUP(G1701,Proyectos!$A$2:$T$674,20,0),"")</f>
        <v>#NAME?</v>
      </c>
      <c r="N1701" s="32" t="e">
        <f ca="1">_xludf.ifna(VLOOKUP(G1701,Proyectos!$A$2:$S$674,19,0))</f>
        <v>#NAME?</v>
      </c>
      <c r="O1701" s="32"/>
      <c r="P1701" s="32"/>
      <c r="Q1701" s="33"/>
      <c r="R1701" s="33"/>
      <c r="S1701" s="33"/>
      <c r="T1701" s="33"/>
      <c r="U1701" s="33"/>
      <c r="V1701" s="33"/>
      <c r="W1701" s="33"/>
    </row>
    <row r="1702" spans="1:23" ht="16.5" customHeight="1" x14ac:dyDescent="0.2">
      <c r="A1702" s="26"/>
      <c r="B1702" s="26"/>
      <c r="C1702" s="26"/>
      <c r="D1702" s="26"/>
      <c r="E1702" s="26"/>
      <c r="F1702" s="28" t="e">
        <f ca="1">_xludf.ifna(VLOOKUP(G1702,Proyectos!$A$2:$F$674,6,0),"")</f>
        <v>#NAME?</v>
      </c>
      <c r="G1702" s="26"/>
      <c r="H1702" s="32"/>
      <c r="I1702" s="32"/>
      <c r="J1702" s="32"/>
      <c r="K1702" s="32"/>
      <c r="L1702" s="32" t="e">
        <f ca="1">_xludf.ifna(VLOOKUP(E1702,Parámetros!$D$2:$E$34,2,0),"")</f>
        <v>#NAME?</v>
      </c>
      <c r="M1702" s="32" t="e">
        <f ca="1">_xludf.ifna(VLOOKUP(G1702,Proyectos!$A$2:$T$674,20,0),"")</f>
        <v>#NAME?</v>
      </c>
      <c r="N1702" s="32" t="e">
        <f ca="1">_xludf.ifna(VLOOKUP(G1702,Proyectos!$A$2:$S$674,19,0))</f>
        <v>#NAME?</v>
      </c>
      <c r="O1702" s="32"/>
      <c r="P1702" s="32"/>
      <c r="Q1702" s="33"/>
      <c r="R1702" s="33"/>
      <c r="S1702" s="33"/>
      <c r="T1702" s="33"/>
      <c r="U1702" s="33"/>
      <c r="V1702" s="33"/>
      <c r="W1702" s="33"/>
    </row>
    <row r="1703" spans="1:23" ht="16.5" customHeight="1" x14ac:dyDescent="0.2">
      <c r="A1703" s="26"/>
      <c r="B1703" s="26"/>
      <c r="C1703" s="26"/>
      <c r="D1703" s="26"/>
      <c r="E1703" s="26"/>
      <c r="F1703" s="28" t="e">
        <f ca="1">_xludf.ifna(VLOOKUP(G1703,Proyectos!$A$2:$F$674,6,0),"")</f>
        <v>#NAME?</v>
      </c>
      <c r="G1703" s="26"/>
      <c r="H1703" s="32"/>
      <c r="I1703" s="32"/>
      <c r="J1703" s="32"/>
      <c r="K1703" s="32"/>
      <c r="L1703" s="32" t="e">
        <f ca="1">_xludf.ifna(VLOOKUP(E1703,Parámetros!$D$2:$E$34,2,0),"")</f>
        <v>#NAME?</v>
      </c>
      <c r="M1703" s="32" t="e">
        <f ca="1">_xludf.ifna(VLOOKUP(G1703,Proyectos!$A$2:$T$674,20,0),"")</f>
        <v>#NAME?</v>
      </c>
      <c r="N1703" s="32" t="e">
        <f ca="1">_xludf.ifna(VLOOKUP(G1703,Proyectos!$A$2:$S$674,19,0))</f>
        <v>#NAME?</v>
      </c>
      <c r="O1703" s="32"/>
      <c r="P1703" s="32"/>
      <c r="Q1703" s="33"/>
      <c r="R1703" s="33"/>
      <c r="S1703" s="33"/>
      <c r="T1703" s="33"/>
      <c r="U1703" s="33"/>
      <c r="V1703" s="33"/>
      <c r="W1703" s="33"/>
    </row>
    <row r="1704" spans="1:23" ht="16.5" customHeight="1" x14ac:dyDescent="0.2">
      <c r="A1704" s="26"/>
      <c r="B1704" s="26"/>
      <c r="C1704" s="26"/>
      <c r="D1704" s="26"/>
      <c r="E1704" s="26"/>
      <c r="F1704" s="28" t="e">
        <f ca="1">_xludf.ifna(VLOOKUP(G1704,Proyectos!$A$2:$F$674,6,0),"")</f>
        <v>#NAME?</v>
      </c>
      <c r="G1704" s="26"/>
      <c r="H1704" s="32"/>
      <c r="I1704" s="32"/>
      <c r="J1704" s="32"/>
      <c r="K1704" s="32"/>
      <c r="L1704" s="32" t="e">
        <f ca="1">_xludf.ifna(VLOOKUP(E1704,Parámetros!$D$2:$E$34,2,0),"")</f>
        <v>#NAME?</v>
      </c>
      <c r="M1704" s="32" t="e">
        <f ca="1">_xludf.ifna(VLOOKUP(G1704,Proyectos!$A$2:$T$674,20,0),"")</f>
        <v>#NAME?</v>
      </c>
      <c r="N1704" s="32" t="e">
        <f ca="1">_xludf.ifna(VLOOKUP(G1704,Proyectos!$A$2:$S$674,19,0))</f>
        <v>#NAME?</v>
      </c>
      <c r="O1704" s="32"/>
      <c r="P1704" s="32"/>
      <c r="Q1704" s="33"/>
      <c r="R1704" s="33"/>
      <c r="S1704" s="33"/>
      <c r="T1704" s="33"/>
      <c r="U1704" s="33"/>
      <c r="V1704" s="33"/>
      <c r="W1704" s="33"/>
    </row>
    <row r="1705" spans="1:23" ht="16.5" customHeight="1" x14ac:dyDescent="0.2">
      <c r="A1705" s="26"/>
      <c r="B1705" s="26"/>
      <c r="C1705" s="26"/>
      <c r="D1705" s="26"/>
      <c r="E1705" s="26"/>
      <c r="F1705" s="28" t="e">
        <f ca="1">_xludf.ifna(VLOOKUP(G1705,Proyectos!$A$2:$F$674,6,0),"")</f>
        <v>#NAME?</v>
      </c>
      <c r="G1705" s="26"/>
      <c r="H1705" s="32"/>
      <c r="I1705" s="32"/>
      <c r="J1705" s="32"/>
      <c r="K1705" s="32"/>
      <c r="L1705" s="32" t="e">
        <f ca="1">_xludf.ifna(VLOOKUP(E1705,Parámetros!$D$2:$E$34,2,0),"")</f>
        <v>#NAME?</v>
      </c>
      <c r="M1705" s="32" t="e">
        <f ca="1">_xludf.ifna(VLOOKUP(G1705,Proyectos!$A$2:$T$674,20,0),"")</f>
        <v>#NAME?</v>
      </c>
      <c r="N1705" s="32" t="e">
        <f ca="1">_xludf.ifna(VLOOKUP(G1705,Proyectos!$A$2:$S$674,19,0))</f>
        <v>#NAME?</v>
      </c>
      <c r="O1705" s="32"/>
      <c r="P1705" s="32"/>
      <c r="Q1705" s="33"/>
      <c r="R1705" s="33"/>
      <c r="S1705" s="33"/>
      <c r="T1705" s="33"/>
      <c r="U1705" s="33"/>
      <c r="V1705" s="33"/>
      <c r="W1705" s="33"/>
    </row>
    <row r="1706" spans="1:23" ht="16.5" customHeight="1" x14ac:dyDescent="0.2">
      <c r="A1706" s="26"/>
      <c r="B1706" s="26"/>
      <c r="C1706" s="26"/>
      <c r="D1706" s="26"/>
      <c r="E1706" s="26"/>
      <c r="F1706" s="28" t="e">
        <f ca="1">_xludf.ifna(VLOOKUP(G1706,Proyectos!$A$2:$F$674,6,0),"")</f>
        <v>#NAME?</v>
      </c>
      <c r="G1706" s="26"/>
      <c r="H1706" s="32"/>
      <c r="I1706" s="32"/>
      <c r="J1706" s="32"/>
      <c r="K1706" s="32"/>
      <c r="L1706" s="32" t="e">
        <f ca="1">_xludf.ifna(VLOOKUP(E1706,Parámetros!$D$2:$E$34,2,0),"")</f>
        <v>#NAME?</v>
      </c>
      <c r="M1706" s="32" t="e">
        <f ca="1">_xludf.ifna(VLOOKUP(G1706,Proyectos!$A$2:$T$674,20,0),"")</f>
        <v>#NAME?</v>
      </c>
      <c r="N1706" s="32" t="e">
        <f ca="1">_xludf.ifna(VLOOKUP(G1706,Proyectos!$A$2:$S$674,19,0))</f>
        <v>#NAME?</v>
      </c>
      <c r="O1706" s="32"/>
      <c r="P1706" s="32"/>
      <c r="Q1706" s="33"/>
      <c r="R1706" s="33"/>
      <c r="S1706" s="33"/>
      <c r="T1706" s="33"/>
      <c r="U1706" s="33"/>
      <c r="V1706" s="33"/>
      <c r="W1706" s="33"/>
    </row>
    <row r="1707" spans="1:23" ht="16.5" customHeight="1" x14ac:dyDescent="0.2">
      <c r="A1707" s="26"/>
      <c r="B1707" s="26"/>
      <c r="C1707" s="26"/>
      <c r="D1707" s="26"/>
      <c r="E1707" s="26"/>
      <c r="F1707" s="28" t="e">
        <f ca="1">_xludf.ifna(VLOOKUP(G1707,Proyectos!$A$2:$F$674,6,0),"")</f>
        <v>#NAME?</v>
      </c>
      <c r="G1707" s="26"/>
      <c r="H1707" s="32"/>
      <c r="I1707" s="32"/>
      <c r="J1707" s="32"/>
      <c r="K1707" s="32"/>
      <c r="L1707" s="32" t="e">
        <f ca="1">_xludf.ifna(VLOOKUP(E1707,Parámetros!$D$2:$E$34,2,0),"")</f>
        <v>#NAME?</v>
      </c>
      <c r="M1707" s="32" t="e">
        <f ca="1">_xludf.ifna(VLOOKUP(G1707,Proyectos!$A$2:$T$674,20,0),"")</f>
        <v>#NAME?</v>
      </c>
      <c r="N1707" s="32" t="e">
        <f ca="1">_xludf.ifna(VLOOKUP(G1707,Proyectos!$A$2:$S$674,19,0))</f>
        <v>#NAME?</v>
      </c>
      <c r="O1707" s="32"/>
      <c r="P1707" s="32"/>
      <c r="Q1707" s="33"/>
      <c r="R1707" s="33"/>
      <c r="S1707" s="33"/>
      <c r="T1707" s="33"/>
      <c r="U1707" s="33"/>
      <c r="V1707" s="33"/>
      <c r="W1707" s="33"/>
    </row>
    <row r="1708" spans="1:23" ht="16.5" customHeight="1" x14ac:dyDescent="0.2">
      <c r="A1708" s="26"/>
      <c r="B1708" s="26"/>
      <c r="C1708" s="26"/>
      <c r="D1708" s="26"/>
      <c r="E1708" s="26"/>
      <c r="F1708" s="28" t="e">
        <f ca="1">_xludf.ifna(VLOOKUP(G1708,Proyectos!$A$2:$F$674,6,0),"")</f>
        <v>#NAME?</v>
      </c>
      <c r="G1708" s="26"/>
      <c r="H1708" s="32"/>
      <c r="I1708" s="32"/>
      <c r="J1708" s="32"/>
      <c r="K1708" s="32"/>
      <c r="L1708" s="32" t="e">
        <f ca="1">_xludf.ifna(VLOOKUP(E1708,Parámetros!$D$2:$E$34,2,0),"")</f>
        <v>#NAME?</v>
      </c>
      <c r="M1708" s="32" t="e">
        <f ca="1">_xludf.ifna(VLOOKUP(G1708,Proyectos!$A$2:$T$674,20,0),"")</f>
        <v>#NAME?</v>
      </c>
      <c r="N1708" s="32" t="e">
        <f ca="1">_xludf.ifna(VLOOKUP(G1708,Proyectos!$A$2:$S$674,19,0))</f>
        <v>#NAME?</v>
      </c>
      <c r="O1708" s="32"/>
      <c r="P1708" s="32"/>
      <c r="Q1708" s="33"/>
      <c r="R1708" s="33"/>
      <c r="S1708" s="33"/>
      <c r="T1708" s="33"/>
      <c r="U1708" s="33"/>
      <c r="V1708" s="33"/>
      <c r="W1708" s="33"/>
    </row>
    <row r="1709" spans="1:23" ht="16.5" customHeight="1" x14ac:dyDescent="0.2">
      <c r="A1709" s="26"/>
      <c r="B1709" s="26"/>
      <c r="C1709" s="26"/>
      <c r="D1709" s="26"/>
      <c r="E1709" s="26"/>
      <c r="F1709" s="28" t="e">
        <f ca="1">_xludf.ifna(VLOOKUP(G1709,Proyectos!$A$2:$F$674,6,0),"")</f>
        <v>#NAME?</v>
      </c>
      <c r="G1709" s="26"/>
      <c r="H1709" s="32"/>
      <c r="I1709" s="32"/>
      <c r="J1709" s="32"/>
      <c r="K1709" s="32"/>
      <c r="L1709" s="32" t="e">
        <f ca="1">_xludf.ifna(VLOOKUP(E1709,Parámetros!$D$2:$E$34,2,0),"")</f>
        <v>#NAME?</v>
      </c>
      <c r="M1709" s="32" t="e">
        <f ca="1">_xludf.ifna(VLOOKUP(G1709,Proyectos!$A$2:$T$674,20,0),"")</f>
        <v>#NAME?</v>
      </c>
      <c r="N1709" s="32" t="e">
        <f ca="1">_xludf.ifna(VLOOKUP(G1709,Proyectos!$A$2:$S$674,19,0))</f>
        <v>#NAME?</v>
      </c>
      <c r="O1709" s="32"/>
      <c r="P1709" s="32"/>
      <c r="Q1709" s="33"/>
      <c r="R1709" s="33"/>
      <c r="S1709" s="33"/>
      <c r="T1709" s="33"/>
      <c r="U1709" s="33"/>
      <c r="V1709" s="33"/>
      <c r="W1709" s="33"/>
    </row>
    <row r="1710" spans="1:23" ht="16.5" customHeight="1" x14ac:dyDescent="0.2">
      <c r="A1710" s="26"/>
      <c r="B1710" s="26"/>
      <c r="C1710" s="26"/>
      <c r="D1710" s="26"/>
      <c r="E1710" s="26"/>
      <c r="F1710" s="28" t="e">
        <f ca="1">_xludf.ifna(VLOOKUP(G1710,Proyectos!$A$2:$F$674,6,0),"")</f>
        <v>#NAME?</v>
      </c>
      <c r="G1710" s="26"/>
      <c r="H1710" s="32"/>
      <c r="I1710" s="32"/>
      <c r="J1710" s="32"/>
      <c r="K1710" s="32"/>
      <c r="L1710" s="32" t="e">
        <f ca="1">_xludf.ifna(VLOOKUP(E1710,Parámetros!$D$2:$E$34,2,0),"")</f>
        <v>#NAME?</v>
      </c>
      <c r="M1710" s="32" t="e">
        <f ca="1">_xludf.ifna(VLOOKUP(G1710,Proyectos!$A$2:$T$674,20,0),"")</f>
        <v>#NAME?</v>
      </c>
      <c r="N1710" s="32" t="e">
        <f ca="1">_xludf.ifna(VLOOKUP(G1710,Proyectos!$A$2:$S$674,19,0))</f>
        <v>#NAME?</v>
      </c>
      <c r="O1710" s="32"/>
      <c r="P1710" s="32"/>
      <c r="Q1710" s="33"/>
      <c r="R1710" s="33"/>
      <c r="S1710" s="33"/>
      <c r="T1710" s="33"/>
      <c r="U1710" s="33"/>
      <c r="V1710" s="33"/>
      <c r="W1710" s="33"/>
    </row>
    <row r="1711" spans="1:23" ht="16.5" customHeight="1" x14ac:dyDescent="0.2">
      <c r="A1711" s="26"/>
      <c r="B1711" s="26"/>
      <c r="C1711" s="26"/>
      <c r="D1711" s="26"/>
      <c r="E1711" s="26"/>
      <c r="F1711" s="28" t="e">
        <f ca="1">_xludf.ifna(VLOOKUP(G1711,Proyectos!$A$2:$F$674,6,0),"")</f>
        <v>#NAME?</v>
      </c>
      <c r="G1711" s="26"/>
      <c r="H1711" s="32"/>
      <c r="I1711" s="32"/>
      <c r="J1711" s="32"/>
      <c r="K1711" s="32"/>
      <c r="L1711" s="32" t="e">
        <f ca="1">_xludf.ifna(VLOOKUP(E1711,Parámetros!$D$2:$E$34,2,0),"")</f>
        <v>#NAME?</v>
      </c>
      <c r="M1711" s="32" t="e">
        <f ca="1">_xludf.ifna(VLOOKUP(G1711,Proyectos!$A$2:$T$674,20,0),"")</f>
        <v>#NAME?</v>
      </c>
      <c r="N1711" s="32" t="e">
        <f ca="1">_xludf.ifna(VLOOKUP(G1711,Proyectos!$A$2:$S$674,19,0))</f>
        <v>#NAME?</v>
      </c>
      <c r="O1711" s="32"/>
      <c r="P1711" s="32"/>
      <c r="Q1711" s="33"/>
      <c r="R1711" s="33"/>
      <c r="S1711" s="33"/>
      <c r="T1711" s="33"/>
      <c r="U1711" s="33"/>
      <c r="V1711" s="33"/>
      <c r="W1711" s="33"/>
    </row>
    <row r="1712" spans="1:23" ht="16.5" customHeight="1" x14ac:dyDescent="0.2">
      <c r="A1712" s="26"/>
      <c r="B1712" s="26"/>
      <c r="C1712" s="26"/>
      <c r="D1712" s="26"/>
      <c r="E1712" s="26"/>
      <c r="F1712" s="28" t="e">
        <f ca="1">_xludf.ifna(VLOOKUP(G1712,Proyectos!$A$2:$F$674,6,0),"")</f>
        <v>#NAME?</v>
      </c>
      <c r="G1712" s="26"/>
      <c r="H1712" s="32"/>
      <c r="I1712" s="32"/>
      <c r="J1712" s="32"/>
      <c r="K1712" s="32"/>
      <c r="L1712" s="32" t="e">
        <f ca="1">_xludf.ifna(VLOOKUP(E1712,Parámetros!$D$2:$E$34,2,0),"")</f>
        <v>#NAME?</v>
      </c>
      <c r="M1712" s="32" t="e">
        <f ca="1">_xludf.ifna(VLOOKUP(G1712,Proyectos!$A$2:$T$674,20,0),"")</f>
        <v>#NAME?</v>
      </c>
      <c r="N1712" s="32" t="e">
        <f ca="1">_xludf.ifna(VLOOKUP(G1712,Proyectos!$A$2:$S$674,19,0))</f>
        <v>#NAME?</v>
      </c>
      <c r="O1712" s="32"/>
      <c r="P1712" s="32"/>
      <c r="Q1712" s="33"/>
      <c r="R1712" s="33"/>
      <c r="S1712" s="33"/>
      <c r="T1712" s="33"/>
      <c r="U1712" s="33"/>
      <c r="V1712" s="33"/>
      <c r="W1712" s="33"/>
    </row>
    <row r="1713" spans="1:23" ht="16.5" customHeight="1" x14ac:dyDescent="0.2">
      <c r="A1713" s="26"/>
      <c r="B1713" s="26"/>
      <c r="C1713" s="26"/>
      <c r="D1713" s="26"/>
      <c r="E1713" s="26"/>
      <c r="F1713" s="28" t="e">
        <f ca="1">_xludf.ifna(VLOOKUP(G1713,Proyectos!$A$2:$F$674,6,0),"")</f>
        <v>#NAME?</v>
      </c>
      <c r="G1713" s="26"/>
      <c r="H1713" s="32"/>
      <c r="I1713" s="32"/>
      <c r="J1713" s="32"/>
      <c r="K1713" s="32"/>
      <c r="L1713" s="32" t="e">
        <f ca="1">_xludf.ifna(VLOOKUP(E1713,Parámetros!$D$2:$E$34,2,0),"")</f>
        <v>#NAME?</v>
      </c>
      <c r="M1713" s="32" t="e">
        <f ca="1">_xludf.ifna(VLOOKUP(G1713,Proyectos!$A$2:$T$674,20,0),"")</f>
        <v>#NAME?</v>
      </c>
      <c r="N1713" s="32" t="e">
        <f ca="1">_xludf.ifna(VLOOKUP(G1713,Proyectos!$A$2:$S$674,19,0))</f>
        <v>#NAME?</v>
      </c>
      <c r="O1713" s="32"/>
      <c r="P1713" s="32"/>
      <c r="Q1713" s="33"/>
      <c r="R1713" s="33"/>
      <c r="S1713" s="33"/>
      <c r="T1713" s="33"/>
      <c r="U1713" s="33"/>
      <c r="V1713" s="33"/>
      <c r="W1713" s="33"/>
    </row>
    <row r="1714" spans="1:23" ht="16.5" customHeight="1" x14ac:dyDescent="0.2">
      <c r="A1714" s="26"/>
      <c r="B1714" s="26"/>
      <c r="C1714" s="26"/>
      <c r="D1714" s="26"/>
      <c r="E1714" s="26"/>
      <c r="F1714" s="28" t="e">
        <f ca="1">_xludf.ifna(VLOOKUP(G1714,Proyectos!$A$2:$F$674,6,0),"")</f>
        <v>#NAME?</v>
      </c>
      <c r="G1714" s="26"/>
      <c r="H1714" s="32"/>
      <c r="I1714" s="32"/>
      <c r="J1714" s="32"/>
      <c r="K1714" s="32"/>
      <c r="L1714" s="32" t="e">
        <f ca="1">_xludf.ifna(VLOOKUP(E1714,Parámetros!$D$2:$E$34,2,0),"")</f>
        <v>#NAME?</v>
      </c>
      <c r="M1714" s="32" t="e">
        <f ca="1">_xludf.ifna(VLOOKUP(G1714,Proyectos!$A$2:$T$674,20,0),"")</f>
        <v>#NAME?</v>
      </c>
      <c r="N1714" s="32" t="e">
        <f ca="1">_xludf.ifna(VLOOKUP(G1714,Proyectos!$A$2:$S$674,19,0))</f>
        <v>#NAME?</v>
      </c>
      <c r="O1714" s="32"/>
      <c r="P1714" s="32"/>
      <c r="Q1714" s="33"/>
      <c r="R1714" s="33"/>
      <c r="S1714" s="33"/>
      <c r="T1714" s="33"/>
      <c r="U1714" s="33"/>
      <c r="V1714" s="33"/>
      <c r="W1714" s="33"/>
    </row>
    <row r="1715" spans="1:23" ht="16.5" customHeight="1" x14ac:dyDescent="0.2">
      <c r="A1715" s="26"/>
      <c r="B1715" s="26"/>
      <c r="C1715" s="26"/>
      <c r="D1715" s="26"/>
      <c r="E1715" s="26"/>
      <c r="F1715" s="28" t="e">
        <f ca="1">_xludf.ifna(VLOOKUP(G1715,Proyectos!$A$2:$F$674,6,0),"")</f>
        <v>#NAME?</v>
      </c>
      <c r="G1715" s="26"/>
      <c r="H1715" s="32"/>
      <c r="I1715" s="32"/>
      <c r="J1715" s="32"/>
      <c r="K1715" s="32"/>
      <c r="L1715" s="32" t="e">
        <f ca="1">_xludf.ifna(VLOOKUP(E1715,Parámetros!$D$2:$E$34,2,0),"")</f>
        <v>#NAME?</v>
      </c>
      <c r="M1715" s="32" t="e">
        <f ca="1">_xludf.ifna(VLOOKUP(G1715,Proyectos!$A$2:$T$674,20,0),"")</f>
        <v>#NAME?</v>
      </c>
      <c r="N1715" s="32" t="e">
        <f ca="1">_xludf.ifna(VLOOKUP(G1715,Proyectos!$A$2:$S$674,19,0))</f>
        <v>#NAME?</v>
      </c>
      <c r="O1715" s="32"/>
      <c r="P1715" s="32"/>
      <c r="Q1715" s="33"/>
      <c r="R1715" s="33"/>
      <c r="S1715" s="33"/>
      <c r="T1715" s="33"/>
      <c r="U1715" s="33"/>
      <c r="V1715" s="33"/>
      <c r="W1715" s="33"/>
    </row>
    <row r="1716" spans="1:23" ht="16.5" customHeight="1" x14ac:dyDescent="0.2">
      <c r="A1716" s="26"/>
      <c r="B1716" s="26"/>
      <c r="C1716" s="26"/>
      <c r="D1716" s="26"/>
      <c r="E1716" s="26"/>
      <c r="F1716" s="28" t="e">
        <f ca="1">_xludf.ifna(VLOOKUP(G1716,Proyectos!$A$2:$F$674,6,0),"")</f>
        <v>#NAME?</v>
      </c>
      <c r="G1716" s="26"/>
      <c r="H1716" s="32"/>
      <c r="I1716" s="32"/>
      <c r="J1716" s="32"/>
      <c r="K1716" s="32"/>
      <c r="L1716" s="32" t="e">
        <f ca="1">_xludf.ifna(VLOOKUP(E1716,Parámetros!$D$2:$E$34,2,0),"")</f>
        <v>#NAME?</v>
      </c>
      <c r="M1716" s="32" t="e">
        <f ca="1">_xludf.ifna(VLOOKUP(G1716,Proyectos!$A$2:$T$674,20,0),"")</f>
        <v>#NAME?</v>
      </c>
      <c r="N1716" s="32" t="e">
        <f ca="1">_xludf.ifna(VLOOKUP(G1716,Proyectos!$A$2:$S$674,19,0))</f>
        <v>#NAME?</v>
      </c>
      <c r="O1716" s="32"/>
      <c r="P1716" s="32"/>
      <c r="Q1716" s="33"/>
      <c r="R1716" s="33"/>
      <c r="S1716" s="33"/>
      <c r="T1716" s="33"/>
      <c r="U1716" s="33"/>
      <c r="V1716" s="33"/>
      <c r="W1716" s="33"/>
    </row>
    <row r="1717" spans="1:23" ht="16.5" customHeight="1" x14ac:dyDescent="0.2">
      <c r="A1717" s="26"/>
      <c r="B1717" s="26"/>
      <c r="C1717" s="26"/>
      <c r="D1717" s="26"/>
      <c r="E1717" s="26"/>
      <c r="F1717" s="28" t="e">
        <f ca="1">_xludf.ifna(VLOOKUP(G1717,Proyectos!$A$2:$F$674,6,0),"")</f>
        <v>#NAME?</v>
      </c>
      <c r="G1717" s="26"/>
      <c r="H1717" s="32"/>
      <c r="I1717" s="32"/>
      <c r="J1717" s="32"/>
      <c r="K1717" s="32"/>
      <c r="L1717" s="32" t="e">
        <f ca="1">_xludf.ifna(VLOOKUP(E1717,Parámetros!$D$2:$E$34,2,0),"")</f>
        <v>#NAME?</v>
      </c>
      <c r="M1717" s="32" t="e">
        <f ca="1">_xludf.ifna(VLOOKUP(G1717,Proyectos!$A$2:$T$674,20,0),"")</f>
        <v>#NAME?</v>
      </c>
      <c r="N1717" s="32" t="e">
        <f ca="1">_xludf.ifna(VLOOKUP(G1717,Proyectos!$A$2:$S$674,19,0))</f>
        <v>#NAME?</v>
      </c>
      <c r="O1717" s="32"/>
      <c r="P1717" s="32"/>
      <c r="Q1717" s="33"/>
      <c r="R1717" s="33"/>
      <c r="S1717" s="33"/>
      <c r="T1717" s="33"/>
      <c r="U1717" s="33"/>
      <c r="V1717" s="33"/>
      <c r="W1717" s="33"/>
    </row>
    <row r="1718" spans="1:23" ht="16.5" customHeight="1" x14ac:dyDescent="0.2">
      <c r="A1718" s="26"/>
      <c r="B1718" s="26"/>
      <c r="C1718" s="26"/>
      <c r="D1718" s="26"/>
      <c r="E1718" s="26"/>
      <c r="F1718" s="28" t="e">
        <f ca="1">_xludf.ifna(VLOOKUP(G1718,Proyectos!$A$2:$F$674,6,0),"")</f>
        <v>#NAME?</v>
      </c>
      <c r="G1718" s="26"/>
      <c r="H1718" s="32"/>
      <c r="I1718" s="32"/>
      <c r="J1718" s="32"/>
      <c r="K1718" s="32"/>
      <c r="L1718" s="32" t="e">
        <f ca="1">_xludf.ifna(VLOOKUP(E1718,Parámetros!$D$2:$E$34,2,0),"")</f>
        <v>#NAME?</v>
      </c>
      <c r="M1718" s="32" t="e">
        <f ca="1">_xludf.ifna(VLOOKUP(G1718,Proyectos!$A$2:$T$674,20,0),"")</f>
        <v>#NAME?</v>
      </c>
      <c r="N1718" s="32" t="e">
        <f ca="1">_xludf.ifna(VLOOKUP(G1718,Proyectos!$A$2:$S$674,19,0))</f>
        <v>#NAME?</v>
      </c>
      <c r="O1718" s="32"/>
      <c r="P1718" s="32"/>
      <c r="Q1718" s="33"/>
      <c r="R1718" s="33"/>
      <c r="S1718" s="33"/>
      <c r="T1718" s="33"/>
      <c r="U1718" s="33"/>
      <c r="V1718" s="33"/>
      <c r="W1718" s="33"/>
    </row>
    <row r="1719" spans="1:23" ht="16.5" customHeight="1" x14ac:dyDescent="0.2">
      <c r="A1719" s="26"/>
      <c r="B1719" s="26"/>
      <c r="C1719" s="26"/>
      <c r="D1719" s="26"/>
      <c r="E1719" s="26"/>
      <c r="F1719" s="28" t="e">
        <f ca="1">_xludf.ifna(VLOOKUP(G1719,Proyectos!$A$2:$F$674,6,0),"")</f>
        <v>#NAME?</v>
      </c>
      <c r="G1719" s="26"/>
      <c r="H1719" s="32"/>
      <c r="I1719" s="32"/>
      <c r="J1719" s="32"/>
      <c r="K1719" s="32"/>
      <c r="L1719" s="32" t="e">
        <f ca="1">_xludf.ifna(VLOOKUP(E1719,Parámetros!$D$2:$E$34,2,0),"")</f>
        <v>#NAME?</v>
      </c>
      <c r="M1719" s="32" t="e">
        <f ca="1">_xludf.ifna(VLOOKUP(G1719,Proyectos!$A$2:$T$674,20,0),"")</f>
        <v>#NAME?</v>
      </c>
      <c r="N1719" s="32" t="e">
        <f ca="1">_xludf.ifna(VLOOKUP(G1719,Proyectos!$A$2:$S$674,19,0))</f>
        <v>#NAME?</v>
      </c>
      <c r="O1719" s="32"/>
      <c r="P1719" s="32"/>
      <c r="Q1719" s="33"/>
      <c r="R1719" s="33"/>
      <c r="S1719" s="33"/>
      <c r="T1719" s="33"/>
      <c r="U1719" s="33"/>
      <c r="V1719" s="33"/>
      <c r="W1719" s="33"/>
    </row>
    <row r="1720" spans="1:23" ht="16.5" customHeight="1" x14ac:dyDescent="0.2">
      <c r="A1720" s="26"/>
      <c r="B1720" s="26"/>
      <c r="C1720" s="26"/>
      <c r="D1720" s="26"/>
      <c r="E1720" s="26"/>
      <c r="F1720" s="28" t="e">
        <f ca="1">_xludf.ifna(VLOOKUP(G1720,Proyectos!$A$2:$F$674,6,0),"")</f>
        <v>#NAME?</v>
      </c>
      <c r="G1720" s="26"/>
      <c r="H1720" s="32"/>
      <c r="I1720" s="32"/>
      <c r="J1720" s="32"/>
      <c r="K1720" s="32"/>
      <c r="L1720" s="32" t="e">
        <f ca="1">_xludf.ifna(VLOOKUP(E1720,Parámetros!$D$2:$E$34,2,0),"")</f>
        <v>#NAME?</v>
      </c>
      <c r="M1720" s="32" t="e">
        <f ca="1">_xludf.ifna(VLOOKUP(G1720,Proyectos!$A$2:$T$674,20,0),"")</f>
        <v>#NAME?</v>
      </c>
      <c r="N1720" s="32" t="e">
        <f ca="1">_xludf.ifna(VLOOKUP(G1720,Proyectos!$A$2:$S$674,19,0))</f>
        <v>#NAME?</v>
      </c>
      <c r="O1720" s="32"/>
      <c r="P1720" s="32"/>
      <c r="Q1720" s="33"/>
      <c r="R1720" s="33"/>
      <c r="S1720" s="33"/>
      <c r="T1720" s="33"/>
      <c r="U1720" s="33"/>
      <c r="V1720" s="33"/>
      <c r="W1720" s="33"/>
    </row>
    <row r="1721" spans="1:23" ht="16.5" customHeight="1" x14ac:dyDescent="0.2">
      <c r="A1721" s="26"/>
      <c r="B1721" s="26"/>
      <c r="C1721" s="26"/>
      <c r="D1721" s="26"/>
      <c r="E1721" s="26"/>
      <c r="F1721" s="28" t="e">
        <f ca="1">_xludf.ifna(VLOOKUP(G1721,Proyectos!$A$2:$F$674,6,0),"")</f>
        <v>#NAME?</v>
      </c>
      <c r="G1721" s="26"/>
      <c r="H1721" s="32"/>
      <c r="I1721" s="32"/>
      <c r="J1721" s="32"/>
      <c r="K1721" s="32"/>
      <c r="L1721" s="32" t="e">
        <f ca="1">_xludf.ifna(VLOOKUP(E1721,Parámetros!$D$2:$E$34,2,0),"")</f>
        <v>#NAME?</v>
      </c>
      <c r="M1721" s="32" t="e">
        <f ca="1">_xludf.ifna(VLOOKUP(G1721,Proyectos!$A$2:$T$674,20,0),"")</f>
        <v>#NAME?</v>
      </c>
      <c r="N1721" s="32" t="e">
        <f ca="1">_xludf.ifna(VLOOKUP(G1721,Proyectos!$A$2:$S$674,19,0))</f>
        <v>#NAME?</v>
      </c>
      <c r="O1721" s="32"/>
      <c r="P1721" s="32"/>
      <c r="Q1721" s="33"/>
      <c r="R1721" s="33"/>
      <c r="S1721" s="33"/>
      <c r="T1721" s="33"/>
      <c r="U1721" s="33"/>
      <c r="V1721" s="33"/>
      <c r="W1721" s="33"/>
    </row>
    <row r="1722" spans="1:23" ht="16.5" customHeight="1" x14ac:dyDescent="0.2">
      <c r="A1722" s="26"/>
      <c r="B1722" s="26"/>
      <c r="C1722" s="26"/>
      <c r="D1722" s="26"/>
      <c r="E1722" s="26"/>
      <c r="F1722" s="28" t="e">
        <f ca="1">_xludf.ifna(VLOOKUP(G1722,Proyectos!$A$2:$F$674,6,0),"")</f>
        <v>#NAME?</v>
      </c>
      <c r="G1722" s="26"/>
      <c r="H1722" s="32"/>
      <c r="I1722" s="32"/>
      <c r="J1722" s="32"/>
      <c r="K1722" s="32"/>
      <c r="L1722" s="32" t="e">
        <f ca="1">_xludf.ifna(VLOOKUP(E1722,Parámetros!$D$2:$E$34,2,0),"")</f>
        <v>#NAME?</v>
      </c>
      <c r="M1722" s="32" t="e">
        <f ca="1">_xludf.ifna(VLOOKUP(G1722,Proyectos!$A$2:$T$674,20,0),"")</f>
        <v>#NAME?</v>
      </c>
      <c r="N1722" s="32" t="e">
        <f ca="1">_xludf.ifna(VLOOKUP(G1722,Proyectos!$A$2:$S$674,19,0))</f>
        <v>#NAME?</v>
      </c>
      <c r="O1722" s="32"/>
      <c r="P1722" s="32"/>
      <c r="Q1722" s="33"/>
      <c r="R1722" s="33"/>
      <c r="S1722" s="33"/>
      <c r="T1722" s="33"/>
      <c r="U1722" s="33"/>
      <c r="V1722" s="33"/>
      <c r="W1722" s="33"/>
    </row>
    <row r="1723" spans="1:23" ht="16.5" customHeight="1" x14ac:dyDescent="0.2">
      <c r="A1723" s="26"/>
      <c r="B1723" s="26"/>
      <c r="C1723" s="26"/>
      <c r="D1723" s="26"/>
      <c r="E1723" s="26"/>
      <c r="F1723" s="28" t="e">
        <f ca="1">_xludf.ifna(VLOOKUP(G1723,Proyectos!$A$2:$F$674,6,0),"")</f>
        <v>#NAME?</v>
      </c>
      <c r="G1723" s="26"/>
      <c r="H1723" s="32"/>
      <c r="I1723" s="32"/>
      <c r="J1723" s="32"/>
      <c r="K1723" s="32"/>
      <c r="L1723" s="32" t="e">
        <f ca="1">_xludf.ifna(VLOOKUP(E1723,Parámetros!$D$2:$E$34,2,0),"")</f>
        <v>#NAME?</v>
      </c>
      <c r="M1723" s="32" t="e">
        <f ca="1">_xludf.ifna(VLOOKUP(G1723,Proyectos!$A$2:$T$674,20,0),"")</f>
        <v>#NAME?</v>
      </c>
      <c r="N1723" s="32" t="e">
        <f ca="1">_xludf.ifna(VLOOKUP(G1723,Proyectos!$A$2:$S$674,19,0))</f>
        <v>#NAME?</v>
      </c>
      <c r="O1723" s="32"/>
      <c r="P1723" s="32"/>
      <c r="Q1723" s="33"/>
      <c r="R1723" s="33"/>
      <c r="S1723" s="33"/>
      <c r="T1723" s="33"/>
      <c r="U1723" s="33"/>
      <c r="V1723" s="33"/>
      <c r="W1723" s="33"/>
    </row>
    <row r="1724" spans="1:23" ht="16.5" customHeight="1" x14ac:dyDescent="0.2">
      <c r="A1724" s="26"/>
      <c r="B1724" s="26"/>
      <c r="C1724" s="26"/>
      <c r="D1724" s="26"/>
      <c r="E1724" s="26"/>
      <c r="F1724" s="28" t="e">
        <f ca="1">_xludf.ifna(VLOOKUP(G1724,Proyectos!$A$2:$F$674,6,0),"")</f>
        <v>#NAME?</v>
      </c>
      <c r="G1724" s="26"/>
      <c r="H1724" s="32"/>
      <c r="I1724" s="32"/>
      <c r="J1724" s="32"/>
      <c r="K1724" s="32"/>
      <c r="L1724" s="32" t="e">
        <f ca="1">_xludf.ifna(VLOOKUP(E1724,Parámetros!$D$2:$E$34,2,0),"")</f>
        <v>#NAME?</v>
      </c>
      <c r="M1724" s="32" t="e">
        <f ca="1">_xludf.ifna(VLOOKUP(G1724,Proyectos!$A$2:$T$674,20,0),"")</f>
        <v>#NAME?</v>
      </c>
      <c r="N1724" s="32" t="e">
        <f ca="1">_xludf.ifna(VLOOKUP(G1724,Proyectos!$A$2:$S$674,19,0))</f>
        <v>#NAME?</v>
      </c>
      <c r="O1724" s="32"/>
      <c r="P1724" s="32"/>
      <c r="Q1724" s="33"/>
      <c r="R1724" s="33"/>
      <c r="S1724" s="33"/>
      <c r="T1724" s="33"/>
      <c r="U1724" s="33"/>
      <c r="V1724" s="33"/>
      <c r="W1724" s="33"/>
    </row>
    <row r="1725" spans="1:23" ht="16.5" customHeight="1" x14ac:dyDescent="0.2">
      <c r="A1725" s="26"/>
      <c r="B1725" s="26"/>
      <c r="C1725" s="26"/>
      <c r="D1725" s="26"/>
      <c r="E1725" s="26"/>
      <c r="F1725" s="28" t="e">
        <f ca="1">_xludf.ifna(VLOOKUP(G1725,Proyectos!$A$2:$F$674,6,0),"")</f>
        <v>#NAME?</v>
      </c>
      <c r="G1725" s="26"/>
      <c r="H1725" s="32"/>
      <c r="I1725" s="32"/>
      <c r="J1725" s="32"/>
      <c r="K1725" s="32"/>
      <c r="L1725" s="32" t="e">
        <f ca="1">_xludf.ifna(VLOOKUP(E1725,Parámetros!$D$2:$E$34,2,0),"")</f>
        <v>#NAME?</v>
      </c>
      <c r="M1725" s="32" t="e">
        <f ca="1">_xludf.ifna(VLOOKUP(G1725,Proyectos!$A$2:$T$674,20,0),"")</f>
        <v>#NAME?</v>
      </c>
      <c r="N1725" s="32" t="e">
        <f ca="1">_xludf.ifna(VLOOKUP(G1725,Proyectos!$A$2:$S$674,19,0))</f>
        <v>#NAME?</v>
      </c>
      <c r="O1725" s="32"/>
      <c r="P1725" s="32"/>
      <c r="Q1725" s="33"/>
      <c r="R1725" s="33"/>
      <c r="S1725" s="33"/>
      <c r="T1725" s="33"/>
      <c r="U1725" s="33"/>
      <c r="V1725" s="33"/>
      <c r="W1725" s="33"/>
    </row>
    <row r="1726" spans="1:23" ht="16.5" customHeight="1" x14ac:dyDescent="0.2">
      <c r="A1726" s="26"/>
      <c r="B1726" s="26"/>
      <c r="C1726" s="26"/>
      <c r="D1726" s="26"/>
      <c r="E1726" s="26"/>
      <c r="F1726" s="28" t="e">
        <f ca="1">_xludf.ifna(VLOOKUP(G1726,Proyectos!$A$2:$F$674,6,0),"")</f>
        <v>#NAME?</v>
      </c>
      <c r="G1726" s="26"/>
      <c r="H1726" s="32"/>
      <c r="I1726" s="32"/>
      <c r="J1726" s="32"/>
      <c r="K1726" s="32"/>
      <c r="L1726" s="32" t="e">
        <f ca="1">_xludf.ifna(VLOOKUP(E1726,Parámetros!$D$2:$E$34,2,0),"")</f>
        <v>#NAME?</v>
      </c>
      <c r="M1726" s="32" t="e">
        <f ca="1">_xludf.ifna(VLOOKUP(G1726,Proyectos!$A$2:$T$674,20,0),"")</f>
        <v>#NAME?</v>
      </c>
      <c r="N1726" s="32" t="e">
        <f ca="1">_xludf.ifna(VLOOKUP(G1726,Proyectos!$A$2:$S$674,19,0))</f>
        <v>#NAME?</v>
      </c>
      <c r="O1726" s="32"/>
      <c r="P1726" s="32"/>
      <c r="Q1726" s="33"/>
      <c r="R1726" s="33"/>
      <c r="S1726" s="33"/>
      <c r="T1726" s="33"/>
      <c r="U1726" s="33"/>
      <c r="V1726" s="33"/>
      <c r="W1726" s="33"/>
    </row>
    <row r="1727" spans="1:23" ht="16.5" customHeight="1" x14ac:dyDescent="0.2">
      <c r="A1727" s="26"/>
      <c r="B1727" s="26"/>
      <c r="C1727" s="26"/>
      <c r="D1727" s="26"/>
      <c r="E1727" s="26"/>
      <c r="F1727" s="28" t="e">
        <f ca="1">_xludf.ifna(VLOOKUP(G1727,Proyectos!$A$2:$F$674,6,0),"")</f>
        <v>#NAME?</v>
      </c>
      <c r="G1727" s="26"/>
      <c r="H1727" s="32"/>
      <c r="I1727" s="32"/>
      <c r="J1727" s="32"/>
      <c r="K1727" s="32"/>
      <c r="L1727" s="32" t="e">
        <f ca="1">_xludf.ifna(VLOOKUP(E1727,Parámetros!$D$2:$E$34,2,0),"")</f>
        <v>#NAME?</v>
      </c>
      <c r="M1727" s="32" t="e">
        <f ca="1">_xludf.ifna(VLOOKUP(G1727,Proyectos!$A$2:$T$674,20,0),"")</f>
        <v>#NAME?</v>
      </c>
      <c r="N1727" s="32" t="e">
        <f ca="1">_xludf.ifna(VLOOKUP(G1727,Proyectos!$A$2:$S$674,19,0))</f>
        <v>#NAME?</v>
      </c>
      <c r="O1727" s="32"/>
      <c r="P1727" s="32"/>
      <c r="Q1727" s="33"/>
      <c r="R1727" s="33"/>
      <c r="S1727" s="33"/>
      <c r="T1727" s="33"/>
      <c r="U1727" s="33"/>
      <c r="V1727" s="33"/>
      <c r="W1727" s="33"/>
    </row>
    <row r="1728" spans="1:23" ht="16.5" customHeight="1" x14ac:dyDescent="0.2">
      <c r="A1728" s="26"/>
      <c r="B1728" s="26"/>
      <c r="C1728" s="26"/>
      <c r="D1728" s="26"/>
      <c r="E1728" s="26"/>
      <c r="F1728" s="28" t="e">
        <f ca="1">_xludf.ifna(VLOOKUP(G1728,Proyectos!$A$2:$F$674,6,0),"")</f>
        <v>#NAME?</v>
      </c>
      <c r="G1728" s="26"/>
      <c r="H1728" s="32"/>
      <c r="I1728" s="32"/>
      <c r="J1728" s="32"/>
      <c r="K1728" s="32"/>
      <c r="L1728" s="32" t="e">
        <f ca="1">_xludf.ifna(VLOOKUP(E1728,Parámetros!$D$2:$E$34,2,0),"")</f>
        <v>#NAME?</v>
      </c>
      <c r="M1728" s="32" t="e">
        <f ca="1">_xludf.ifna(VLOOKUP(G1728,Proyectos!$A$2:$T$674,20,0),"")</f>
        <v>#NAME?</v>
      </c>
      <c r="N1728" s="32" t="e">
        <f ca="1">_xludf.ifna(VLOOKUP(G1728,Proyectos!$A$2:$S$674,19,0))</f>
        <v>#NAME?</v>
      </c>
      <c r="O1728" s="32"/>
      <c r="P1728" s="32"/>
      <c r="Q1728" s="33"/>
      <c r="R1728" s="33"/>
      <c r="S1728" s="33"/>
      <c r="T1728" s="33"/>
      <c r="U1728" s="33"/>
      <c r="V1728" s="33"/>
      <c r="W1728" s="33"/>
    </row>
    <row r="1729" spans="1:23" ht="16.5" customHeight="1" x14ac:dyDescent="0.2">
      <c r="A1729" s="26"/>
      <c r="B1729" s="26"/>
      <c r="C1729" s="26"/>
      <c r="D1729" s="26"/>
      <c r="E1729" s="26"/>
      <c r="F1729" s="28" t="e">
        <f ca="1">_xludf.ifna(VLOOKUP(G1729,Proyectos!$A$2:$F$674,6,0),"")</f>
        <v>#NAME?</v>
      </c>
      <c r="G1729" s="26"/>
      <c r="H1729" s="32"/>
      <c r="I1729" s="32"/>
      <c r="J1729" s="32"/>
      <c r="K1729" s="32"/>
      <c r="L1729" s="32" t="e">
        <f ca="1">_xludf.ifna(VLOOKUP(E1729,Parámetros!$D$2:$E$34,2,0),"")</f>
        <v>#NAME?</v>
      </c>
      <c r="M1729" s="32" t="e">
        <f ca="1">_xludf.ifna(VLOOKUP(G1729,Proyectos!$A$2:$T$674,20,0),"")</f>
        <v>#NAME?</v>
      </c>
      <c r="N1729" s="32" t="e">
        <f ca="1">_xludf.ifna(VLOOKUP(G1729,Proyectos!$A$2:$S$674,19,0))</f>
        <v>#NAME?</v>
      </c>
      <c r="O1729" s="32"/>
      <c r="P1729" s="32"/>
      <c r="Q1729" s="33"/>
      <c r="R1729" s="33"/>
      <c r="S1729" s="33"/>
      <c r="T1729" s="33"/>
      <c r="U1729" s="33"/>
      <c r="V1729" s="33"/>
      <c r="W1729" s="33"/>
    </row>
    <row r="1730" spans="1:23" ht="16.5" customHeight="1" x14ac:dyDescent="0.2">
      <c r="A1730" s="26"/>
      <c r="B1730" s="26"/>
      <c r="C1730" s="26"/>
      <c r="D1730" s="26"/>
      <c r="E1730" s="26"/>
      <c r="F1730" s="28" t="e">
        <f ca="1">_xludf.ifna(VLOOKUP(G1730,Proyectos!$A$2:$F$674,6,0),"")</f>
        <v>#NAME?</v>
      </c>
      <c r="G1730" s="26"/>
      <c r="H1730" s="32"/>
      <c r="I1730" s="32"/>
      <c r="J1730" s="32"/>
      <c r="K1730" s="32"/>
      <c r="L1730" s="32" t="e">
        <f ca="1">_xludf.ifna(VLOOKUP(E1730,Parámetros!$D$2:$E$34,2,0),"")</f>
        <v>#NAME?</v>
      </c>
      <c r="M1730" s="32" t="e">
        <f ca="1">_xludf.ifna(VLOOKUP(G1730,Proyectos!$A$2:$T$674,20,0),"")</f>
        <v>#NAME?</v>
      </c>
      <c r="N1730" s="32" t="e">
        <f ca="1">_xludf.ifna(VLOOKUP(G1730,Proyectos!$A$2:$S$674,19,0))</f>
        <v>#NAME?</v>
      </c>
      <c r="O1730" s="32"/>
      <c r="P1730" s="32"/>
      <c r="Q1730" s="33"/>
      <c r="R1730" s="33"/>
      <c r="S1730" s="33"/>
      <c r="T1730" s="33"/>
      <c r="U1730" s="33"/>
      <c r="V1730" s="33"/>
      <c r="W1730" s="33"/>
    </row>
    <row r="1731" spans="1:23" ht="16.5" customHeight="1" x14ac:dyDescent="0.2">
      <c r="A1731" s="26"/>
      <c r="B1731" s="26"/>
      <c r="C1731" s="26"/>
      <c r="D1731" s="26"/>
      <c r="E1731" s="26"/>
      <c r="F1731" s="28" t="e">
        <f ca="1">_xludf.ifna(VLOOKUP(G1731,Proyectos!$A$2:$F$674,6,0),"")</f>
        <v>#NAME?</v>
      </c>
      <c r="G1731" s="26"/>
      <c r="H1731" s="32"/>
      <c r="I1731" s="32"/>
      <c r="J1731" s="32"/>
      <c r="K1731" s="32"/>
      <c r="L1731" s="32" t="e">
        <f ca="1">_xludf.ifna(VLOOKUP(E1731,Parámetros!$D$2:$E$34,2,0),"")</f>
        <v>#NAME?</v>
      </c>
      <c r="M1731" s="32" t="e">
        <f ca="1">_xludf.ifna(VLOOKUP(G1731,Proyectos!$A$2:$T$674,20,0),"")</f>
        <v>#NAME?</v>
      </c>
      <c r="N1731" s="32" t="e">
        <f ca="1">_xludf.ifna(VLOOKUP(G1731,Proyectos!$A$2:$S$674,19,0))</f>
        <v>#NAME?</v>
      </c>
      <c r="O1731" s="32"/>
      <c r="P1731" s="32"/>
      <c r="Q1731" s="33"/>
      <c r="R1731" s="33"/>
      <c r="S1731" s="33"/>
      <c r="T1731" s="33"/>
      <c r="U1731" s="33"/>
      <c r="V1731" s="33"/>
      <c r="W1731" s="33"/>
    </row>
    <row r="1732" spans="1:23" ht="16.5" customHeight="1" x14ac:dyDescent="0.2">
      <c r="A1732" s="26"/>
      <c r="B1732" s="26"/>
      <c r="C1732" s="26"/>
      <c r="D1732" s="26"/>
      <c r="E1732" s="26"/>
      <c r="F1732" s="28" t="e">
        <f ca="1">_xludf.ifna(VLOOKUP(G1732,Proyectos!$A$2:$F$674,6,0),"")</f>
        <v>#NAME?</v>
      </c>
      <c r="G1732" s="26"/>
      <c r="H1732" s="32"/>
      <c r="I1732" s="32"/>
      <c r="J1732" s="32"/>
      <c r="K1732" s="32"/>
      <c r="L1732" s="32" t="e">
        <f ca="1">_xludf.ifna(VLOOKUP(E1732,Parámetros!$D$2:$E$34,2,0),"")</f>
        <v>#NAME?</v>
      </c>
      <c r="M1732" s="32" t="e">
        <f ca="1">_xludf.ifna(VLOOKUP(G1732,Proyectos!$A$2:$T$674,20,0),"")</f>
        <v>#NAME?</v>
      </c>
      <c r="N1732" s="32" t="e">
        <f ca="1">_xludf.ifna(VLOOKUP(G1732,Proyectos!$A$2:$S$674,19,0))</f>
        <v>#NAME?</v>
      </c>
      <c r="O1732" s="32"/>
      <c r="P1732" s="32"/>
      <c r="Q1732" s="33"/>
      <c r="R1732" s="33"/>
      <c r="S1732" s="33"/>
      <c r="T1732" s="33"/>
      <c r="U1732" s="33"/>
      <c r="V1732" s="33"/>
      <c r="W1732" s="33"/>
    </row>
    <row r="1733" spans="1:23" ht="16.5" customHeight="1" x14ac:dyDescent="0.2">
      <c r="A1733" s="26"/>
      <c r="B1733" s="26"/>
      <c r="C1733" s="26"/>
      <c r="D1733" s="26"/>
      <c r="E1733" s="26"/>
      <c r="F1733" s="28" t="e">
        <f ca="1">_xludf.ifna(VLOOKUP(G1733,Proyectos!$A$2:$F$674,6,0),"")</f>
        <v>#NAME?</v>
      </c>
      <c r="G1733" s="26"/>
      <c r="H1733" s="32"/>
      <c r="I1733" s="32"/>
      <c r="J1733" s="32"/>
      <c r="K1733" s="32"/>
      <c r="L1733" s="32" t="e">
        <f ca="1">_xludf.ifna(VLOOKUP(E1733,Parámetros!$D$2:$E$34,2,0),"")</f>
        <v>#NAME?</v>
      </c>
      <c r="M1733" s="32" t="e">
        <f ca="1">_xludf.ifna(VLOOKUP(G1733,Proyectos!$A$2:$T$674,20,0),"")</f>
        <v>#NAME?</v>
      </c>
      <c r="N1733" s="32" t="e">
        <f ca="1">_xludf.ifna(VLOOKUP(G1733,Proyectos!$A$2:$S$674,19,0))</f>
        <v>#NAME?</v>
      </c>
      <c r="O1733" s="32"/>
      <c r="P1733" s="32"/>
      <c r="Q1733" s="33"/>
      <c r="R1733" s="33"/>
      <c r="S1733" s="33"/>
      <c r="T1733" s="33"/>
      <c r="U1733" s="33"/>
      <c r="V1733" s="33"/>
      <c r="W1733" s="33"/>
    </row>
    <row r="1734" spans="1:23" ht="16.5" customHeight="1" x14ac:dyDescent="0.2">
      <c r="A1734" s="26"/>
      <c r="B1734" s="26"/>
      <c r="C1734" s="26"/>
      <c r="D1734" s="26"/>
      <c r="E1734" s="26"/>
      <c r="F1734" s="28" t="e">
        <f ca="1">_xludf.ifna(VLOOKUP(G1734,Proyectos!$A$2:$F$674,6,0),"")</f>
        <v>#NAME?</v>
      </c>
      <c r="G1734" s="26"/>
      <c r="H1734" s="32"/>
      <c r="I1734" s="32"/>
      <c r="J1734" s="32"/>
      <c r="K1734" s="32"/>
      <c r="L1734" s="32" t="e">
        <f ca="1">_xludf.ifna(VLOOKUP(E1734,Parámetros!$D$2:$E$34,2,0),"")</f>
        <v>#NAME?</v>
      </c>
      <c r="M1734" s="32" t="e">
        <f ca="1">_xludf.ifna(VLOOKUP(G1734,Proyectos!$A$2:$T$674,20,0),"")</f>
        <v>#NAME?</v>
      </c>
      <c r="N1734" s="32" t="e">
        <f ca="1">_xludf.ifna(VLOOKUP(G1734,Proyectos!$A$2:$S$674,19,0))</f>
        <v>#NAME?</v>
      </c>
      <c r="O1734" s="32"/>
      <c r="P1734" s="32"/>
      <c r="Q1734" s="33"/>
      <c r="R1734" s="33"/>
      <c r="S1734" s="33"/>
      <c r="T1734" s="33"/>
      <c r="U1734" s="33"/>
      <c r="V1734" s="33"/>
      <c r="W1734" s="33"/>
    </row>
    <row r="1735" spans="1:23" ht="16.5" customHeight="1" x14ac:dyDescent="0.2">
      <c r="A1735" s="26"/>
      <c r="B1735" s="26"/>
      <c r="C1735" s="26"/>
      <c r="D1735" s="26"/>
      <c r="E1735" s="26"/>
      <c r="F1735" s="28" t="e">
        <f ca="1">_xludf.ifna(VLOOKUP(G1735,Proyectos!$A$2:$F$674,6,0),"")</f>
        <v>#NAME?</v>
      </c>
      <c r="G1735" s="26"/>
      <c r="H1735" s="32"/>
      <c r="I1735" s="32"/>
      <c r="J1735" s="32"/>
      <c r="K1735" s="32"/>
      <c r="L1735" s="32" t="e">
        <f ca="1">_xludf.ifna(VLOOKUP(E1735,Parámetros!$D$2:$E$34,2,0),"")</f>
        <v>#NAME?</v>
      </c>
      <c r="M1735" s="32" t="e">
        <f ca="1">_xludf.ifna(VLOOKUP(G1735,Proyectos!$A$2:$T$674,20,0),"")</f>
        <v>#NAME?</v>
      </c>
      <c r="N1735" s="32" t="e">
        <f ca="1">_xludf.ifna(VLOOKUP(G1735,Proyectos!$A$2:$S$674,19,0))</f>
        <v>#NAME?</v>
      </c>
      <c r="O1735" s="32"/>
      <c r="P1735" s="32"/>
      <c r="Q1735" s="33"/>
      <c r="R1735" s="33"/>
      <c r="S1735" s="33"/>
      <c r="T1735" s="33"/>
      <c r="U1735" s="33"/>
      <c r="V1735" s="33"/>
      <c r="W1735" s="33"/>
    </row>
    <row r="1736" spans="1:23" ht="16.5" customHeight="1" x14ac:dyDescent="0.2">
      <c r="A1736" s="26"/>
      <c r="B1736" s="26"/>
      <c r="C1736" s="26"/>
      <c r="D1736" s="26"/>
      <c r="E1736" s="26"/>
      <c r="F1736" s="28" t="e">
        <f ca="1">_xludf.ifna(VLOOKUP(G1736,Proyectos!$A$2:$F$674,6,0),"")</f>
        <v>#NAME?</v>
      </c>
      <c r="G1736" s="26"/>
      <c r="H1736" s="32"/>
      <c r="I1736" s="32"/>
      <c r="J1736" s="32"/>
      <c r="K1736" s="32"/>
      <c r="L1736" s="32" t="e">
        <f ca="1">_xludf.ifna(VLOOKUP(E1736,Parámetros!$D$2:$E$34,2,0),"")</f>
        <v>#NAME?</v>
      </c>
      <c r="M1736" s="32" t="e">
        <f ca="1">_xludf.ifna(VLOOKUP(G1736,Proyectos!$A$2:$T$674,20,0),"")</f>
        <v>#NAME?</v>
      </c>
      <c r="N1736" s="32" t="e">
        <f ca="1">_xludf.ifna(VLOOKUP(G1736,Proyectos!$A$2:$S$674,19,0))</f>
        <v>#NAME?</v>
      </c>
      <c r="O1736" s="32"/>
      <c r="P1736" s="32"/>
      <c r="Q1736" s="33"/>
      <c r="R1736" s="33"/>
      <c r="S1736" s="33"/>
      <c r="T1736" s="33"/>
      <c r="U1736" s="33"/>
      <c r="V1736" s="33"/>
      <c r="W1736" s="33"/>
    </row>
    <row r="1737" spans="1:23" ht="16.5" customHeight="1" x14ac:dyDescent="0.2">
      <c r="A1737" s="26"/>
      <c r="B1737" s="26"/>
      <c r="C1737" s="26"/>
      <c r="D1737" s="26"/>
      <c r="E1737" s="26"/>
      <c r="F1737" s="28" t="e">
        <f ca="1">_xludf.ifna(VLOOKUP(G1737,Proyectos!$A$2:$F$674,6,0),"")</f>
        <v>#NAME?</v>
      </c>
      <c r="G1737" s="26"/>
      <c r="H1737" s="32"/>
      <c r="I1737" s="32"/>
      <c r="J1737" s="32"/>
      <c r="K1737" s="32"/>
      <c r="L1737" s="32" t="e">
        <f ca="1">_xludf.ifna(VLOOKUP(E1737,Parámetros!$D$2:$E$34,2,0),"")</f>
        <v>#NAME?</v>
      </c>
      <c r="M1737" s="32" t="e">
        <f ca="1">_xludf.ifna(VLOOKUP(G1737,Proyectos!$A$2:$T$674,20,0),"")</f>
        <v>#NAME?</v>
      </c>
      <c r="N1737" s="32" t="e">
        <f ca="1">_xludf.ifna(VLOOKUP(G1737,Proyectos!$A$2:$S$674,19,0))</f>
        <v>#NAME?</v>
      </c>
      <c r="O1737" s="32"/>
      <c r="P1737" s="32"/>
      <c r="Q1737" s="33"/>
      <c r="R1737" s="33"/>
      <c r="S1737" s="33"/>
      <c r="T1737" s="33"/>
      <c r="U1737" s="33"/>
      <c r="V1737" s="33"/>
      <c r="W1737" s="33"/>
    </row>
    <row r="1738" spans="1:23" ht="16.5" customHeight="1" x14ac:dyDescent="0.2">
      <c r="A1738" s="26"/>
      <c r="B1738" s="26"/>
      <c r="C1738" s="26"/>
      <c r="D1738" s="26"/>
      <c r="E1738" s="26"/>
      <c r="F1738" s="28" t="e">
        <f ca="1">_xludf.ifna(VLOOKUP(G1738,Proyectos!$A$2:$F$674,6,0),"")</f>
        <v>#NAME?</v>
      </c>
      <c r="G1738" s="26"/>
      <c r="H1738" s="32"/>
      <c r="I1738" s="32"/>
      <c r="J1738" s="32"/>
      <c r="K1738" s="32"/>
      <c r="L1738" s="32" t="e">
        <f ca="1">_xludf.ifna(VLOOKUP(E1738,Parámetros!$D$2:$E$34,2,0),"")</f>
        <v>#NAME?</v>
      </c>
      <c r="M1738" s="32" t="e">
        <f ca="1">_xludf.ifna(VLOOKUP(G1738,Proyectos!$A$2:$T$674,20,0),"")</f>
        <v>#NAME?</v>
      </c>
      <c r="N1738" s="32" t="e">
        <f ca="1">_xludf.ifna(VLOOKUP(G1738,Proyectos!$A$2:$S$674,19,0))</f>
        <v>#NAME?</v>
      </c>
      <c r="O1738" s="32"/>
      <c r="P1738" s="32"/>
      <c r="Q1738" s="33"/>
      <c r="R1738" s="33"/>
      <c r="S1738" s="33"/>
      <c r="T1738" s="33"/>
      <c r="U1738" s="33"/>
      <c r="V1738" s="33"/>
      <c r="W1738" s="33"/>
    </row>
    <row r="1739" spans="1:23" ht="16.5" customHeight="1" x14ac:dyDescent="0.2">
      <c r="A1739" s="26"/>
      <c r="B1739" s="26"/>
      <c r="C1739" s="26"/>
      <c r="D1739" s="26"/>
      <c r="E1739" s="26"/>
      <c r="F1739" s="28" t="e">
        <f ca="1">_xludf.ifna(VLOOKUP(G1739,Proyectos!$A$2:$F$674,6,0),"")</f>
        <v>#NAME?</v>
      </c>
      <c r="G1739" s="26"/>
      <c r="H1739" s="32"/>
      <c r="I1739" s="32"/>
      <c r="J1739" s="32"/>
      <c r="K1739" s="32"/>
      <c r="L1739" s="32" t="e">
        <f ca="1">_xludf.ifna(VLOOKUP(E1739,Parámetros!$D$2:$E$34,2,0),"")</f>
        <v>#NAME?</v>
      </c>
      <c r="M1739" s="32" t="e">
        <f ca="1">_xludf.ifna(VLOOKUP(G1739,Proyectos!$A$2:$T$674,20,0),"")</f>
        <v>#NAME?</v>
      </c>
      <c r="N1739" s="32" t="e">
        <f ca="1">_xludf.ifna(VLOOKUP(G1739,Proyectos!$A$2:$S$674,19,0))</f>
        <v>#NAME?</v>
      </c>
      <c r="O1739" s="32"/>
      <c r="P1739" s="32"/>
      <c r="Q1739" s="33"/>
      <c r="R1739" s="33"/>
      <c r="S1739" s="33"/>
      <c r="T1739" s="33"/>
      <c r="U1739" s="33"/>
      <c r="V1739" s="33"/>
      <c r="W1739" s="33"/>
    </row>
    <row r="1740" spans="1:23" ht="16.5" customHeight="1" x14ac:dyDescent="0.2">
      <c r="A1740" s="26"/>
      <c r="B1740" s="26"/>
      <c r="C1740" s="26"/>
      <c r="D1740" s="26"/>
      <c r="E1740" s="26"/>
      <c r="F1740" s="28" t="e">
        <f ca="1">_xludf.ifna(VLOOKUP(G1740,Proyectos!$A$2:$F$674,6,0),"")</f>
        <v>#NAME?</v>
      </c>
      <c r="G1740" s="26"/>
      <c r="H1740" s="32"/>
      <c r="I1740" s="32"/>
      <c r="J1740" s="32"/>
      <c r="K1740" s="32"/>
      <c r="L1740" s="32" t="e">
        <f ca="1">_xludf.ifna(VLOOKUP(E1740,Parámetros!$D$2:$E$34,2,0),"")</f>
        <v>#NAME?</v>
      </c>
      <c r="M1740" s="32" t="e">
        <f ca="1">_xludf.ifna(VLOOKUP(G1740,Proyectos!$A$2:$T$674,20,0),"")</f>
        <v>#NAME?</v>
      </c>
      <c r="N1740" s="32" t="e">
        <f ca="1">_xludf.ifna(VLOOKUP(G1740,Proyectos!$A$2:$S$674,19,0))</f>
        <v>#NAME?</v>
      </c>
      <c r="O1740" s="32"/>
      <c r="P1740" s="32"/>
      <c r="Q1740" s="33"/>
      <c r="R1740" s="33"/>
      <c r="S1740" s="33"/>
      <c r="T1740" s="33"/>
      <c r="U1740" s="33"/>
      <c r="V1740" s="33"/>
      <c r="W1740" s="33"/>
    </row>
    <row r="1741" spans="1:23" ht="16.5" customHeight="1" x14ac:dyDescent="0.2">
      <c r="A1741" s="26"/>
      <c r="B1741" s="26"/>
      <c r="C1741" s="26"/>
      <c r="D1741" s="26"/>
      <c r="E1741" s="26"/>
      <c r="F1741" s="28" t="e">
        <f ca="1">_xludf.ifna(VLOOKUP(G1741,Proyectos!$A$2:$F$674,6,0),"")</f>
        <v>#NAME?</v>
      </c>
      <c r="G1741" s="26"/>
      <c r="H1741" s="32"/>
      <c r="I1741" s="32"/>
      <c r="J1741" s="32"/>
      <c r="K1741" s="32"/>
      <c r="L1741" s="32" t="e">
        <f ca="1">_xludf.ifna(VLOOKUP(E1741,Parámetros!$D$2:$E$34,2,0),"")</f>
        <v>#NAME?</v>
      </c>
      <c r="M1741" s="32" t="e">
        <f ca="1">_xludf.ifna(VLOOKUP(G1741,Proyectos!$A$2:$T$674,20,0),"")</f>
        <v>#NAME?</v>
      </c>
      <c r="N1741" s="32" t="e">
        <f ca="1">_xludf.ifna(VLOOKUP(G1741,Proyectos!$A$2:$S$674,19,0))</f>
        <v>#NAME?</v>
      </c>
      <c r="O1741" s="32"/>
      <c r="P1741" s="32"/>
      <c r="Q1741" s="33"/>
      <c r="R1741" s="33"/>
      <c r="S1741" s="33"/>
      <c r="T1741" s="33"/>
      <c r="U1741" s="33"/>
      <c r="V1741" s="33"/>
      <c r="W1741" s="33"/>
    </row>
    <row r="1742" spans="1:23" ht="16.5" customHeight="1" x14ac:dyDescent="0.2">
      <c r="A1742" s="26"/>
      <c r="B1742" s="26"/>
      <c r="C1742" s="26"/>
      <c r="D1742" s="26"/>
      <c r="E1742" s="26"/>
      <c r="F1742" s="28" t="e">
        <f ca="1">_xludf.ifna(VLOOKUP(G1742,Proyectos!$A$2:$F$674,6,0),"")</f>
        <v>#NAME?</v>
      </c>
      <c r="G1742" s="26"/>
      <c r="H1742" s="32"/>
      <c r="I1742" s="32"/>
      <c r="J1742" s="32"/>
      <c r="K1742" s="32"/>
      <c r="L1742" s="32" t="e">
        <f ca="1">_xludf.ifna(VLOOKUP(E1742,Parámetros!$D$2:$E$34,2,0),"")</f>
        <v>#NAME?</v>
      </c>
      <c r="M1742" s="32" t="e">
        <f ca="1">_xludf.ifna(VLOOKUP(G1742,Proyectos!$A$2:$T$674,20,0),"")</f>
        <v>#NAME?</v>
      </c>
      <c r="N1742" s="32" t="e">
        <f ca="1">_xludf.ifna(VLOOKUP(G1742,Proyectos!$A$2:$S$674,19,0))</f>
        <v>#NAME?</v>
      </c>
      <c r="O1742" s="32"/>
      <c r="P1742" s="32"/>
      <c r="Q1742" s="33"/>
      <c r="R1742" s="33"/>
      <c r="S1742" s="33"/>
      <c r="T1742" s="33"/>
      <c r="U1742" s="33"/>
      <c r="V1742" s="33"/>
      <c r="W1742" s="33"/>
    </row>
    <row r="1743" spans="1:23" ht="16.5" customHeight="1" x14ac:dyDescent="0.2">
      <c r="A1743" s="26"/>
      <c r="B1743" s="26"/>
      <c r="C1743" s="26"/>
      <c r="D1743" s="26"/>
      <c r="E1743" s="26"/>
      <c r="F1743" s="28" t="e">
        <f ca="1">_xludf.ifna(VLOOKUP(G1743,Proyectos!$A$2:$F$674,6,0),"")</f>
        <v>#NAME?</v>
      </c>
      <c r="G1743" s="26"/>
      <c r="H1743" s="32"/>
      <c r="I1743" s="32"/>
      <c r="J1743" s="32"/>
      <c r="K1743" s="32"/>
      <c r="L1743" s="32" t="e">
        <f ca="1">_xludf.ifna(VLOOKUP(E1743,Parámetros!$D$2:$E$34,2,0),"")</f>
        <v>#NAME?</v>
      </c>
      <c r="M1743" s="32" t="e">
        <f ca="1">_xludf.ifna(VLOOKUP(G1743,Proyectos!$A$2:$T$674,20,0),"")</f>
        <v>#NAME?</v>
      </c>
      <c r="N1743" s="32" t="e">
        <f ca="1">_xludf.ifna(VLOOKUP(G1743,Proyectos!$A$2:$S$674,19,0))</f>
        <v>#NAME?</v>
      </c>
      <c r="O1743" s="32"/>
      <c r="P1743" s="32"/>
      <c r="Q1743" s="33"/>
      <c r="R1743" s="33"/>
      <c r="S1743" s="33"/>
      <c r="T1743" s="33"/>
      <c r="U1743" s="33"/>
      <c r="V1743" s="33"/>
      <c r="W1743" s="33"/>
    </row>
    <row r="1744" spans="1:23" ht="16.5" customHeight="1" x14ac:dyDescent="0.2">
      <c r="A1744" s="26"/>
      <c r="B1744" s="26"/>
      <c r="C1744" s="26"/>
      <c r="D1744" s="26"/>
      <c r="E1744" s="26"/>
      <c r="F1744" s="28" t="e">
        <f ca="1">_xludf.ifna(VLOOKUP(G1744,Proyectos!$A$2:$F$674,6,0),"")</f>
        <v>#NAME?</v>
      </c>
      <c r="G1744" s="26"/>
      <c r="H1744" s="32"/>
      <c r="I1744" s="32"/>
      <c r="J1744" s="32"/>
      <c r="K1744" s="32"/>
      <c r="L1744" s="32" t="e">
        <f ca="1">_xludf.ifna(VLOOKUP(E1744,Parámetros!$D$2:$E$34,2,0),"")</f>
        <v>#NAME?</v>
      </c>
      <c r="M1744" s="32" t="e">
        <f ca="1">_xludf.ifna(VLOOKUP(G1744,Proyectos!$A$2:$T$674,20,0),"")</f>
        <v>#NAME?</v>
      </c>
      <c r="N1744" s="32" t="e">
        <f ca="1">_xludf.ifna(VLOOKUP(G1744,Proyectos!$A$2:$S$674,19,0))</f>
        <v>#NAME?</v>
      </c>
      <c r="O1744" s="32"/>
      <c r="P1744" s="32"/>
      <c r="Q1744" s="33"/>
      <c r="R1744" s="33"/>
      <c r="S1744" s="33"/>
      <c r="T1744" s="33"/>
      <c r="U1744" s="33"/>
      <c r="V1744" s="33"/>
      <c r="W1744" s="33"/>
    </row>
    <row r="1745" spans="1:23" ht="16.5" customHeight="1" x14ac:dyDescent="0.2">
      <c r="A1745" s="26"/>
      <c r="B1745" s="26"/>
      <c r="C1745" s="26"/>
      <c r="D1745" s="26"/>
      <c r="E1745" s="26"/>
      <c r="F1745" s="28" t="e">
        <f ca="1">_xludf.ifna(VLOOKUP(G1745,Proyectos!$A$2:$F$674,6,0),"")</f>
        <v>#NAME?</v>
      </c>
      <c r="G1745" s="26"/>
      <c r="H1745" s="32"/>
      <c r="I1745" s="32"/>
      <c r="J1745" s="32"/>
      <c r="K1745" s="32"/>
      <c r="L1745" s="32" t="e">
        <f ca="1">_xludf.ifna(VLOOKUP(E1745,Parámetros!$D$2:$E$34,2,0),"")</f>
        <v>#NAME?</v>
      </c>
      <c r="M1745" s="32" t="e">
        <f ca="1">_xludf.ifna(VLOOKUP(G1745,Proyectos!$A$2:$T$674,20,0),"")</f>
        <v>#NAME?</v>
      </c>
      <c r="N1745" s="32" t="e">
        <f ca="1">_xludf.ifna(VLOOKUP(G1745,Proyectos!$A$2:$S$674,19,0))</f>
        <v>#NAME?</v>
      </c>
      <c r="O1745" s="32"/>
      <c r="P1745" s="32"/>
      <c r="Q1745" s="33"/>
      <c r="R1745" s="33"/>
      <c r="S1745" s="33"/>
      <c r="T1745" s="33"/>
      <c r="U1745" s="33"/>
      <c r="V1745" s="33"/>
      <c r="W1745" s="33"/>
    </row>
    <row r="1746" spans="1:23" ht="16.5" customHeight="1" x14ac:dyDescent="0.2">
      <c r="A1746" s="26"/>
      <c r="B1746" s="26"/>
      <c r="C1746" s="26"/>
      <c r="D1746" s="26"/>
      <c r="E1746" s="26"/>
      <c r="F1746" s="28" t="e">
        <f ca="1">_xludf.ifna(VLOOKUP(G1746,Proyectos!$A$2:$F$674,6,0),"")</f>
        <v>#NAME?</v>
      </c>
      <c r="G1746" s="26"/>
      <c r="H1746" s="32"/>
      <c r="I1746" s="32"/>
      <c r="J1746" s="32"/>
      <c r="K1746" s="32"/>
      <c r="L1746" s="32" t="e">
        <f ca="1">_xludf.ifna(VLOOKUP(E1746,Parámetros!$D$2:$E$34,2,0),"")</f>
        <v>#NAME?</v>
      </c>
      <c r="M1746" s="32" t="e">
        <f ca="1">_xludf.ifna(VLOOKUP(G1746,Proyectos!$A$2:$T$674,20,0),"")</f>
        <v>#NAME?</v>
      </c>
      <c r="N1746" s="32" t="e">
        <f ca="1">_xludf.ifna(VLOOKUP(G1746,Proyectos!$A$2:$S$674,19,0))</f>
        <v>#NAME?</v>
      </c>
      <c r="O1746" s="32"/>
      <c r="P1746" s="32"/>
      <c r="Q1746" s="33"/>
      <c r="R1746" s="33"/>
      <c r="S1746" s="33"/>
      <c r="T1746" s="33"/>
      <c r="U1746" s="33"/>
      <c r="V1746" s="33"/>
      <c r="W1746" s="33"/>
    </row>
    <row r="1747" spans="1:23" ht="16.5" customHeight="1" x14ac:dyDescent="0.2">
      <c r="A1747" s="26"/>
      <c r="B1747" s="26"/>
      <c r="C1747" s="26"/>
      <c r="D1747" s="26"/>
      <c r="E1747" s="26"/>
      <c r="F1747" s="28" t="e">
        <f ca="1">_xludf.ifna(VLOOKUP(G1747,Proyectos!$A$2:$F$674,6,0),"")</f>
        <v>#NAME?</v>
      </c>
      <c r="G1747" s="26"/>
      <c r="H1747" s="32"/>
      <c r="I1747" s="32"/>
      <c r="J1747" s="32"/>
      <c r="K1747" s="32"/>
      <c r="L1747" s="32" t="e">
        <f ca="1">_xludf.ifna(VLOOKUP(E1747,Parámetros!$D$2:$E$34,2,0),"")</f>
        <v>#NAME?</v>
      </c>
      <c r="M1747" s="32" t="e">
        <f ca="1">_xludf.ifna(VLOOKUP(G1747,Proyectos!$A$2:$T$674,20,0),"")</f>
        <v>#NAME?</v>
      </c>
      <c r="N1747" s="32" t="e">
        <f ca="1">_xludf.ifna(VLOOKUP(G1747,Proyectos!$A$2:$S$674,19,0))</f>
        <v>#NAME?</v>
      </c>
      <c r="O1747" s="32"/>
      <c r="P1747" s="32"/>
      <c r="Q1747" s="33"/>
      <c r="R1747" s="33"/>
      <c r="S1747" s="33"/>
      <c r="T1747" s="33"/>
      <c r="U1747" s="33"/>
      <c r="V1747" s="33"/>
      <c r="W1747" s="33"/>
    </row>
    <row r="1748" spans="1:23" ht="16.5" customHeight="1" x14ac:dyDescent="0.2">
      <c r="A1748" s="26"/>
      <c r="B1748" s="26"/>
      <c r="C1748" s="26"/>
      <c r="D1748" s="26"/>
      <c r="E1748" s="26"/>
      <c r="F1748" s="28" t="e">
        <f ca="1">_xludf.ifna(VLOOKUP(G1748,Proyectos!$A$2:$F$674,6,0),"")</f>
        <v>#NAME?</v>
      </c>
      <c r="G1748" s="26"/>
      <c r="H1748" s="32"/>
      <c r="I1748" s="32"/>
      <c r="J1748" s="32"/>
      <c r="K1748" s="32"/>
      <c r="L1748" s="32" t="e">
        <f ca="1">_xludf.ifna(VLOOKUP(E1748,Parámetros!$D$2:$E$34,2,0),"")</f>
        <v>#NAME?</v>
      </c>
      <c r="M1748" s="32" t="e">
        <f ca="1">_xludf.ifna(VLOOKUP(G1748,Proyectos!$A$2:$T$674,20,0),"")</f>
        <v>#NAME?</v>
      </c>
      <c r="N1748" s="32" t="e">
        <f ca="1">_xludf.ifna(VLOOKUP(G1748,Proyectos!$A$2:$S$674,19,0))</f>
        <v>#NAME?</v>
      </c>
      <c r="O1748" s="32"/>
      <c r="P1748" s="32"/>
      <c r="Q1748" s="33"/>
      <c r="R1748" s="33"/>
      <c r="S1748" s="33"/>
      <c r="T1748" s="33"/>
      <c r="U1748" s="33"/>
      <c r="V1748" s="33"/>
      <c r="W1748" s="33"/>
    </row>
    <row r="1749" spans="1:23" ht="16.5" customHeight="1" x14ac:dyDescent="0.2">
      <c r="A1749" s="26"/>
      <c r="B1749" s="26"/>
      <c r="C1749" s="26"/>
      <c r="D1749" s="26"/>
      <c r="E1749" s="26"/>
      <c r="F1749" s="28" t="e">
        <f ca="1">_xludf.ifna(VLOOKUP(G1749,Proyectos!$A$2:$F$674,6,0),"")</f>
        <v>#NAME?</v>
      </c>
      <c r="G1749" s="26"/>
      <c r="H1749" s="32"/>
      <c r="I1749" s="32"/>
      <c r="J1749" s="32"/>
      <c r="K1749" s="32"/>
      <c r="L1749" s="32" t="e">
        <f ca="1">_xludf.ifna(VLOOKUP(E1749,Parámetros!$D$2:$E$34,2,0),"")</f>
        <v>#NAME?</v>
      </c>
      <c r="M1749" s="32" t="e">
        <f ca="1">_xludf.ifna(VLOOKUP(G1749,Proyectos!$A$2:$T$674,20,0),"")</f>
        <v>#NAME?</v>
      </c>
      <c r="N1749" s="32" t="e">
        <f ca="1">_xludf.ifna(VLOOKUP(G1749,Proyectos!$A$2:$S$674,19,0))</f>
        <v>#NAME?</v>
      </c>
      <c r="O1749" s="32"/>
      <c r="P1749" s="32"/>
      <c r="Q1749" s="33"/>
      <c r="R1749" s="33"/>
      <c r="S1749" s="33"/>
      <c r="T1749" s="33"/>
      <c r="U1749" s="33"/>
      <c r="V1749" s="33"/>
      <c r="W1749" s="33"/>
    </row>
    <row r="1750" spans="1:23" ht="16.5" customHeight="1" x14ac:dyDescent="0.2">
      <c r="A1750" s="26"/>
      <c r="B1750" s="26"/>
      <c r="C1750" s="26"/>
      <c r="D1750" s="26"/>
      <c r="E1750" s="26"/>
      <c r="F1750" s="28" t="e">
        <f ca="1">_xludf.ifna(VLOOKUP(G1750,Proyectos!$A$2:$F$674,6,0),"")</f>
        <v>#NAME?</v>
      </c>
      <c r="G1750" s="26"/>
      <c r="H1750" s="32"/>
      <c r="I1750" s="32"/>
      <c r="J1750" s="32"/>
      <c r="K1750" s="32"/>
      <c r="L1750" s="32" t="e">
        <f ca="1">_xludf.ifna(VLOOKUP(E1750,Parámetros!$D$2:$E$34,2,0),"")</f>
        <v>#NAME?</v>
      </c>
      <c r="M1750" s="32" t="e">
        <f ca="1">_xludf.ifna(VLOOKUP(G1750,Proyectos!$A$2:$T$674,20,0),"")</f>
        <v>#NAME?</v>
      </c>
      <c r="N1750" s="32" t="e">
        <f ca="1">_xludf.ifna(VLOOKUP(G1750,Proyectos!$A$2:$S$674,19,0))</f>
        <v>#NAME?</v>
      </c>
      <c r="O1750" s="32"/>
      <c r="P1750" s="32"/>
      <c r="Q1750" s="33"/>
      <c r="R1750" s="33"/>
      <c r="S1750" s="33"/>
      <c r="T1750" s="33"/>
      <c r="U1750" s="33"/>
      <c r="V1750" s="33"/>
      <c r="W1750" s="33"/>
    </row>
    <row r="1751" spans="1:23" ht="16.5" customHeight="1" x14ac:dyDescent="0.2">
      <c r="A1751" s="26"/>
      <c r="B1751" s="26"/>
      <c r="C1751" s="26"/>
      <c r="D1751" s="26"/>
      <c r="E1751" s="26"/>
      <c r="F1751" s="28" t="e">
        <f ca="1">_xludf.ifna(VLOOKUP(G1751,Proyectos!$A$2:$F$674,6,0),"")</f>
        <v>#NAME?</v>
      </c>
      <c r="G1751" s="26"/>
      <c r="H1751" s="32"/>
      <c r="I1751" s="32"/>
      <c r="J1751" s="32"/>
      <c r="K1751" s="32"/>
      <c r="L1751" s="32" t="e">
        <f ca="1">_xludf.ifna(VLOOKUP(E1751,Parámetros!$D$2:$E$34,2,0),"")</f>
        <v>#NAME?</v>
      </c>
      <c r="M1751" s="32" t="e">
        <f ca="1">_xludf.ifna(VLOOKUP(G1751,Proyectos!$A$2:$T$674,20,0),"")</f>
        <v>#NAME?</v>
      </c>
      <c r="N1751" s="32" t="e">
        <f ca="1">_xludf.ifna(VLOOKUP(G1751,Proyectos!$A$2:$S$674,19,0))</f>
        <v>#NAME?</v>
      </c>
      <c r="O1751" s="32"/>
      <c r="P1751" s="32"/>
      <c r="Q1751" s="33"/>
      <c r="R1751" s="33"/>
      <c r="S1751" s="33"/>
      <c r="T1751" s="33"/>
      <c r="U1751" s="33"/>
      <c r="V1751" s="33"/>
      <c r="W1751" s="33"/>
    </row>
    <row r="1752" spans="1:23" ht="16.5" customHeight="1" x14ac:dyDescent="0.2">
      <c r="A1752" s="26"/>
      <c r="B1752" s="26"/>
      <c r="C1752" s="26"/>
      <c r="D1752" s="26"/>
      <c r="E1752" s="26"/>
      <c r="F1752" s="28" t="e">
        <f ca="1">_xludf.ifna(VLOOKUP(G1752,Proyectos!$A$2:$F$674,6,0),"")</f>
        <v>#NAME?</v>
      </c>
      <c r="G1752" s="26"/>
      <c r="H1752" s="32"/>
      <c r="I1752" s="32"/>
      <c r="J1752" s="32"/>
      <c r="K1752" s="32"/>
      <c r="L1752" s="32" t="e">
        <f ca="1">_xludf.ifna(VLOOKUP(E1752,Parámetros!$D$2:$E$34,2,0),"")</f>
        <v>#NAME?</v>
      </c>
      <c r="M1752" s="32" t="e">
        <f ca="1">_xludf.ifna(VLOOKUP(G1752,Proyectos!$A$2:$T$674,20,0),"")</f>
        <v>#NAME?</v>
      </c>
      <c r="N1752" s="32" t="e">
        <f ca="1">_xludf.ifna(VLOOKUP(G1752,Proyectos!$A$2:$S$674,19,0))</f>
        <v>#NAME?</v>
      </c>
      <c r="O1752" s="32"/>
      <c r="P1752" s="32"/>
      <c r="Q1752" s="33"/>
      <c r="R1752" s="33"/>
      <c r="S1752" s="33"/>
      <c r="T1752" s="33"/>
      <c r="U1752" s="33"/>
      <c r="V1752" s="33"/>
      <c r="W1752" s="33"/>
    </row>
    <row r="1753" spans="1:23" ht="16.5" customHeight="1" x14ac:dyDescent="0.2">
      <c r="A1753" s="26"/>
      <c r="B1753" s="26"/>
      <c r="C1753" s="26"/>
      <c r="D1753" s="26"/>
      <c r="E1753" s="26"/>
      <c r="F1753" s="28" t="e">
        <f ca="1">_xludf.ifna(VLOOKUP(G1753,Proyectos!$A$2:$F$674,6,0),"")</f>
        <v>#NAME?</v>
      </c>
      <c r="G1753" s="26"/>
      <c r="H1753" s="32"/>
      <c r="I1753" s="32"/>
      <c r="J1753" s="32"/>
      <c r="K1753" s="32"/>
      <c r="L1753" s="32" t="e">
        <f ca="1">_xludf.ifna(VLOOKUP(E1753,Parámetros!$D$2:$E$34,2,0),"")</f>
        <v>#NAME?</v>
      </c>
      <c r="M1753" s="32" t="e">
        <f ca="1">_xludf.ifna(VLOOKUP(G1753,Proyectos!$A$2:$T$674,20,0),"")</f>
        <v>#NAME?</v>
      </c>
      <c r="N1753" s="32" t="e">
        <f ca="1">_xludf.ifna(VLOOKUP(G1753,Proyectos!$A$2:$S$674,19,0))</f>
        <v>#NAME?</v>
      </c>
      <c r="O1753" s="32"/>
      <c r="P1753" s="32"/>
      <c r="Q1753" s="33"/>
      <c r="R1753" s="33"/>
      <c r="S1753" s="33"/>
      <c r="T1753" s="33"/>
      <c r="U1753" s="33"/>
      <c r="V1753" s="33"/>
      <c r="W1753" s="33"/>
    </row>
    <row r="1754" spans="1:23" ht="16.5" customHeight="1" x14ac:dyDescent="0.2">
      <c r="A1754" s="26"/>
      <c r="B1754" s="26"/>
      <c r="C1754" s="26"/>
      <c r="D1754" s="26"/>
      <c r="E1754" s="26"/>
      <c r="F1754" s="28" t="e">
        <f ca="1">_xludf.ifna(VLOOKUP(G1754,Proyectos!$A$2:$F$674,6,0),"")</f>
        <v>#NAME?</v>
      </c>
      <c r="G1754" s="26"/>
      <c r="H1754" s="32"/>
      <c r="I1754" s="32"/>
      <c r="J1754" s="32"/>
      <c r="K1754" s="32"/>
      <c r="L1754" s="32" t="e">
        <f ca="1">_xludf.ifna(VLOOKUP(E1754,Parámetros!$D$2:$E$34,2,0),"")</f>
        <v>#NAME?</v>
      </c>
      <c r="M1754" s="32" t="e">
        <f ca="1">_xludf.ifna(VLOOKUP(G1754,Proyectos!$A$2:$T$674,20,0),"")</f>
        <v>#NAME?</v>
      </c>
      <c r="N1754" s="32" t="e">
        <f ca="1">_xludf.ifna(VLOOKUP(G1754,Proyectos!$A$2:$S$674,19,0))</f>
        <v>#NAME?</v>
      </c>
      <c r="O1754" s="32"/>
      <c r="P1754" s="32"/>
      <c r="Q1754" s="33"/>
      <c r="R1754" s="33"/>
      <c r="S1754" s="33"/>
      <c r="T1754" s="33"/>
      <c r="U1754" s="33"/>
      <c r="V1754" s="33"/>
      <c r="W1754" s="33"/>
    </row>
    <row r="1755" spans="1:23" ht="16.5" customHeight="1" x14ac:dyDescent="0.2">
      <c r="A1755" s="26"/>
      <c r="B1755" s="26"/>
      <c r="C1755" s="26"/>
      <c r="D1755" s="26"/>
      <c r="E1755" s="26"/>
      <c r="F1755" s="28" t="e">
        <f ca="1">_xludf.ifna(VLOOKUP(G1755,Proyectos!$A$2:$F$674,6,0),"")</f>
        <v>#NAME?</v>
      </c>
      <c r="G1755" s="26"/>
      <c r="H1755" s="32"/>
      <c r="I1755" s="32"/>
      <c r="J1755" s="32"/>
      <c r="K1755" s="32"/>
      <c r="L1755" s="32" t="e">
        <f ca="1">_xludf.ifna(VLOOKUP(E1755,Parámetros!$D$2:$E$34,2,0),"")</f>
        <v>#NAME?</v>
      </c>
      <c r="M1755" s="32" t="e">
        <f ca="1">_xludf.ifna(VLOOKUP(G1755,Proyectos!$A$2:$T$674,20,0),"")</f>
        <v>#NAME?</v>
      </c>
      <c r="N1755" s="32" t="e">
        <f ca="1">_xludf.ifna(VLOOKUP(G1755,Proyectos!$A$2:$S$674,19,0))</f>
        <v>#NAME?</v>
      </c>
      <c r="O1755" s="32"/>
      <c r="P1755" s="32"/>
      <c r="Q1755" s="33"/>
      <c r="R1755" s="33"/>
      <c r="S1755" s="33"/>
      <c r="T1755" s="33"/>
      <c r="U1755" s="33"/>
      <c r="V1755" s="33"/>
      <c r="W1755" s="33"/>
    </row>
    <row r="1756" spans="1:23" ht="16.5" customHeight="1" x14ac:dyDescent="0.2">
      <c r="A1756" s="26"/>
      <c r="B1756" s="26"/>
      <c r="C1756" s="26"/>
      <c r="D1756" s="26"/>
      <c r="E1756" s="26"/>
      <c r="F1756" s="28" t="e">
        <f ca="1">_xludf.ifna(VLOOKUP(G1756,Proyectos!$A$2:$F$674,6,0),"")</f>
        <v>#NAME?</v>
      </c>
      <c r="G1756" s="26"/>
      <c r="H1756" s="32"/>
      <c r="I1756" s="32"/>
      <c r="J1756" s="32"/>
      <c r="K1756" s="32"/>
      <c r="L1756" s="32" t="e">
        <f ca="1">_xludf.ifna(VLOOKUP(E1756,Parámetros!$D$2:$E$34,2,0),"")</f>
        <v>#NAME?</v>
      </c>
      <c r="M1756" s="32" t="e">
        <f ca="1">_xludf.ifna(VLOOKUP(G1756,Proyectos!$A$2:$T$674,20,0),"")</f>
        <v>#NAME?</v>
      </c>
      <c r="N1756" s="32" t="e">
        <f ca="1">_xludf.ifna(VLOOKUP(G1756,Proyectos!$A$2:$S$674,19,0))</f>
        <v>#NAME?</v>
      </c>
      <c r="O1756" s="32"/>
      <c r="P1756" s="32"/>
      <c r="Q1756" s="33"/>
      <c r="R1756" s="33"/>
      <c r="S1756" s="33"/>
      <c r="T1756" s="33"/>
      <c r="U1756" s="33"/>
      <c r="V1756" s="33"/>
      <c r="W1756" s="33"/>
    </row>
    <row r="1757" spans="1:23" ht="16.5" customHeight="1" x14ac:dyDescent="0.2">
      <c r="A1757" s="26"/>
      <c r="B1757" s="26"/>
      <c r="C1757" s="26"/>
      <c r="D1757" s="26"/>
      <c r="E1757" s="26"/>
      <c r="F1757" s="28" t="e">
        <f ca="1">_xludf.ifna(VLOOKUP(G1757,Proyectos!$A$2:$F$674,6,0),"")</f>
        <v>#NAME?</v>
      </c>
      <c r="G1757" s="26"/>
      <c r="H1757" s="32"/>
      <c r="I1757" s="32"/>
      <c r="J1757" s="32"/>
      <c r="K1757" s="32"/>
      <c r="L1757" s="32" t="e">
        <f ca="1">_xludf.ifna(VLOOKUP(E1757,Parámetros!$D$2:$E$34,2,0),"")</f>
        <v>#NAME?</v>
      </c>
      <c r="M1757" s="32" t="e">
        <f ca="1">_xludf.ifna(VLOOKUP(G1757,Proyectos!$A$2:$T$674,20,0),"")</f>
        <v>#NAME?</v>
      </c>
      <c r="N1757" s="32" t="e">
        <f ca="1">_xludf.ifna(VLOOKUP(G1757,Proyectos!$A$2:$S$674,19,0))</f>
        <v>#NAME?</v>
      </c>
      <c r="O1757" s="32"/>
      <c r="P1757" s="32"/>
      <c r="Q1757" s="33"/>
      <c r="R1757" s="33"/>
      <c r="S1757" s="33"/>
      <c r="T1757" s="33"/>
      <c r="U1757" s="33"/>
      <c r="V1757" s="33"/>
      <c r="W1757" s="33"/>
    </row>
    <row r="1758" spans="1:23" ht="16.5" customHeight="1" x14ac:dyDescent="0.2">
      <c r="A1758" s="26"/>
      <c r="B1758" s="26"/>
      <c r="C1758" s="26"/>
      <c r="D1758" s="26"/>
      <c r="E1758" s="26"/>
      <c r="F1758" s="28" t="e">
        <f ca="1">_xludf.ifna(VLOOKUP(G1758,Proyectos!$A$2:$F$674,6,0),"")</f>
        <v>#NAME?</v>
      </c>
      <c r="G1758" s="26"/>
      <c r="H1758" s="32"/>
      <c r="I1758" s="32"/>
      <c r="J1758" s="32"/>
      <c r="K1758" s="32"/>
      <c r="L1758" s="32" t="e">
        <f ca="1">_xludf.ifna(VLOOKUP(E1758,Parámetros!$D$2:$E$34,2,0),"")</f>
        <v>#NAME?</v>
      </c>
      <c r="M1758" s="32" t="e">
        <f ca="1">_xludf.ifna(VLOOKUP(G1758,Proyectos!$A$2:$T$674,20,0),"")</f>
        <v>#NAME?</v>
      </c>
      <c r="N1758" s="32" t="e">
        <f ca="1">_xludf.ifna(VLOOKUP(G1758,Proyectos!$A$2:$S$674,19,0))</f>
        <v>#NAME?</v>
      </c>
      <c r="O1758" s="32"/>
      <c r="P1758" s="32"/>
      <c r="Q1758" s="33"/>
      <c r="R1758" s="33"/>
      <c r="S1758" s="33"/>
      <c r="T1758" s="33"/>
      <c r="U1758" s="33"/>
      <c r="V1758" s="33"/>
      <c r="W1758" s="33"/>
    </row>
    <row r="1759" spans="1:23" ht="16.5" customHeight="1" x14ac:dyDescent="0.2">
      <c r="A1759" s="26"/>
      <c r="B1759" s="26"/>
      <c r="C1759" s="26"/>
      <c r="D1759" s="26"/>
      <c r="E1759" s="26"/>
      <c r="F1759" s="28" t="e">
        <f ca="1">_xludf.ifna(VLOOKUP(G1759,Proyectos!$A$2:$F$674,6,0),"")</f>
        <v>#NAME?</v>
      </c>
      <c r="G1759" s="26"/>
      <c r="H1759" s="32"/>
      <c r="I1759" s="32"/>
      <c r="J1759" s="32"/>
      <c r="K1759" s="32"/>
      <c r="L1759" s="32" t="e">
        <f ca="1">_xludf.ifna(VLOOKUP(E1759,Parámetros!$D$2:$E$34,2,0),"")</f>
        <v>#NAME?</v>
      </c>
      <c r="M1759" s="32" t="e">
        <f ca="1">_xludf.ifna(VLOOKUP(G1759,Proyectos!$A$2:$T$674,20,0),"")</f>
        <v>#NAME?</v>
      </c>
      <c r="N1759" s="32" t="e">
        <f ca="1">_xludf.ifna(VLOOKUP(G1759,Proyectos!$A$2:$S$674,19,0))</f>
        <v>#NAME?</v>
      </c>
      <c r="O1759" s="32"/>
      <c r="P1759" s="32"/>
      <c r="Q1759" s="33"/>
      <c r="R1759" s="33"/>
      <c r="S1759" s="33"/>
      <c r="T1759" s="33"/>
      <c r="U1759" s="33"/>
      <c r="V1759" s="33"/>
      <c r="W1759" s="33"/>
    </row>
    <row r="1760" spans="1:23" ht="16.5" customHeight="1" x14ac:dyDescent="0.2">
      <c r="A1760" s="26"/>
      <c r="B1760" s="26"/>
      <c r="C1760" s="26"/>
      <c r="D1760" s="26"/>
      <c r="E1760" s="26"/>
      <c r="F1760" s="28" t="e">
        <f ca="1">_xludf.ifna(VLOOKUP(G1760,Proyectos!$A$2:$F$674,6,0),"")</f>
        <v>#NAME?</v>
      </c>
      <c r="G1760" s="26"/>
      <c r="H1760" s="32"/>
      <c r="I1760" s="32"/>
      <c r="J1760" s="32"/>
      <c r="K1760" s="32"/>
      <c r="L1760" s="32" t="e">
        <f ca="1">_xludf.ifna(VLOOKUP(E1760,Parámetros!$D$2:$E$34,2,0),"")</f>
        <v>#NAME?</v>
      </c>
      <c r="M1760" s="32" t="e">
        <f ca="1">_xludf.ifna(VLOOKUP(G1760,Proyectos!$A$2:$T$674,20,0),"")</f>
        <v>#NAME?</v>
      </c>
      <c r="N1760" s="32" t="e">
        <f ca="1">_xludf.ifna(VLOOKUP(G1760,Proyectos!$A$2:$S$674,19,0))</f>
        <v>#NAME?</v>
      </c>
      <c r="O1760" s="32"/>
      <c r="P1760" s="32"/>
      <c r="Q1760" s="33"/>
      <c r="R1760" s="33"/>
      <c r="S1760" s="33"/>
      <c r="T1760" s="33"/>
      <c r="U1760" s="33"/>
      <c r="V1760" s="33"/>
      <c r="W1760" s="33"/>
    </row>
    <row r="1761" spans="1:23" ht="16.5" customHeight="1" x14ac:dyDescent="0.2">
      <c r="A1761" s="26"/>
      <c r="B1761" s="26"/>
      <c r="C1761" s="26"/>
      <c r="D1761" s="26"/>
      <c r="E1761" s="26"/>
      <c r="F1761" s="28" t="e">
        <f ca="1">_xludf.ifna(VLOOKUP(G1761,Proyectos!$A$2:$F$674,6,0),"")</f>
        <v>#NAME?</v>
      </c>
      <c r="G1761" s="26"/>
      <c r="H1761" s="32"/>
      <c r="I1761" s="32"/>
      <c r="J1761" s="32"/>
      <c r="K1761" s="32"/>
      <c r="L1761" s="32" t="e">
        <f ca="1">_xludf.ifna(VLOOKUP(E1761,Parámetros!$D$2:$E$34,2,0),"")</f>
        <v>#NAME?</v>
      </c>
      <c r="M1761" s="32" t="e">
        <f ca="1">_xludf.ifna(VLOOKUP(G1761,Proyectos!$A$2:$T$674,20,0),"")</f>
        <v>#NAME?</v>
      </c>
      <c r="N1761" s="32" t="e">
        <f ca="1">_xludf.ifna(VLOOKUP(G1761,Proyectos!$A$2:$S$674,19,0))</f>
        <v>#NAME?</v>
      </c>
      <c r="O1761" s="32"/>
      <c r="P1761" s="32"/>
      <c r="Q1761" s="33"/>
      <c r="R1761" s="33"/>
      <c r="S1761" s="33"/>
      <c r="T1761" s="33"/>
      <c r="U1761" s="33"/>
      <c r="V1761" s="33"/>
      <c r="W1761" s="33"/>
    </row>
    <row r="1762" spans="1:23" ht="16.5" customHeight="1" x14ac:dyDescent="0.2">
      <c r="A1762" s="26"/>
      <c r="B1762" s="26"/>
      <c r="C1762" s="26"/>
      <c r="D1762" s="26"/>
      <c r="E1762" s="26"/>
      <c r="F1762" s="28" t="e">
        <f ca="1">_xludf.ifna(VLOOKUP(G1762,Proyectos!$A$2:$F$674,6,0),"")</f>
        <v>#NAME?</v>
      </c>
      <c r="G1762" s="26"/>
      <c r="H1762" s="32"/>
      <c r="I1762" s="32"/>
      <c r="J1762" s="32"/>
      <c r="K1762" s="32"/>
      <c r="L1762" s="32" t="e">
        <f ca="1">_xludf.ifna(VLOOKUP(E1762,Parámetros!$D$2:$E$34,2,0),"")</f>
        <v>#NAME?</v>
      </c>
      <c r="M1762" s="32" t="e">
        <f ca="1">_xludf.ifna(VLOOKUP(G1762,Proyectos!$A$2:$T$674,20,0),"")</f>
        <v>#NAME?</v>
      </c>
      <c r="N1762" s="32" t="e">
        <f ca="1">_xludf.ifna(VLOOKUP(G1762,Proyectos!$A$2:$S$674,19,0))</f>
        <v>#NAME?</v>
      </c>
      <c r="O1762" s="32"/>
      <c r="P1762" s="32"/>
      <c r="Q1762" s="33"/>
      <c r="R1762" s="33"/>
      <c r="S1762" s="33"/>
      <c r="T1762" s="33"/>
      <c r="U1762" s="33"/>
      <c r="V1762" s="33"/>
      <c r="W1762" s="33"/>
    </row>
    <row r="1763" spans="1:23" ht="16.5" customHeight="1" x14ac:dyDescent="0.2">
      <c r="A1763" s="26"/>
      <c r="B1763" s="26"/>
      <c r="C1763" s="26"/>
      <c r="D1763" s="26"/>
      <c r="E1763" s="26"/>
      <c r="F1763" s="28" t="e">
        <f ca="1">_xludf.ifna(VLOOKUP(G1763,Proyectos!$A$2:$F$674,6,0),"")</f>
        <v>#NAME?</v>
      </c>
      <c r="G1763" s="26"/>
      <c r="H1763" s="32"/>
      <c r="I1763" s="32"/>
      <c r="J1763" s="32"/>
      <c r="K1763" s="32"/>
      <c r="L1763" s="32" t="e">
        <f ca="1">_xludf.ifna(VLOOKUP(E1763,Parámetros!$D$2:$E$34,2,0),"")</f>
        <v>#NAME?</v>
      </c>
      <c r="M1763" s="32" t="e">
        <f ca="1">_xludf.ifna(VLOOKUP(G1763,Proyectos!$A$2:$T$674,20,0),"")</f>
        <v>#NAME?</v>
      </c>
      <c r="N1763" s="32" t="e">
        <f ca="1">_xludf.ifna(VLOOKUP(G1763,Proyectos!$A$2:$S$674,19,0))</f>
        <v>#NAME?</v>
      </c>
      <c r="O1763" s="32"/>
      <c r="P1763" s="32"/>
      <c r="Q1763" s="33"/>
      <c r="R1763" s="33"/>
      <c r="S1763" s="33"/>
      <c r="T1763" s="33"/>
      <c r="U1763" s="33"/>
      <c r="V1763" s="33"/>
      <c r="W1763" s="33"/>
    </row>
    <row r="1764" spans="1:23" ht="16.5" customHeight="1" x14ac:dyDescent="0.2">
      <c r="A1764" s="26"/>
      <c r="B1764" s="26"/>
      <c r="C1764" s="26"/>
      <c r="D1764" s="26"/>
      <c r="E1764" s="26"/>
      <c r="F1764" s="28" t="e">
        <f ca="1">_xludf.ifna(VLOOKUP(G1764,Proyectos!$A$2:$F$674,6,0),"")</f>
        <v>#NAME?</v>
      </c>
      <c r="G1764" s="26"/>
      <c r="H1764" s="32"/>
      <c r="I1764" s="32"/>
      <c r="J1764" s="32"/>
      <c r="K1764" s="32"/>
      <c r="L1764" s="32" t="e">
        <f ca="1">_xludf.ifna(VLOOKUP(E1764,Parámetros!$D$2:$E$34,2,0),"")</f>
        <v>#NAME?</v>
      </c>
      <c r="M1764" s="32" t="e">
        <f ca="1">_xludf.ifna(VLOOKUP(G1764,Proyectos!$A$2:$T$674,20,0),"")</f>
        <v>#NAME?</v>
      </c>
      <c r="N1764" s="32" t="e">
        <f ca="1">_xludf.ifna(VLOOKUP(G1764,Proyectos!$A$2:$S$674,19,0))</f>
        <v>#NAME?</v>
      </c>
      <c r="O1764" s="32"/>
      <c r="P1764" s="32"/>
      <c r="Q1764" s="33"/>
      <c r="R1764" s="33"/>
      <c r="S1764" s="33"/>
      <c r="T1764" s="33"/>
      <c r="U1764" s="33"/>
      <c r="V1764" s="33"/>
      <c r="W1764" s="33"/>
    </row>
    <row r="1765" spans="1:23" ht="16.5" customHeight="1" x14ac:dyDescent="0.2">
      <c r="A1765" s="26"/>
      <c r="B1765" s="26"/>
      <c r="C1765" s="26"/>
      <c r="D1765" s="26"/>
      <c r="E1765" s="26"/>
      <c r="F1765" s="28" t="e">
        <f ca="1">_xludf.ifna(VLOOKUP(G1765,Proyectos!$A$2:$F$674,6,0),"")</f>
        <v>#NAME?</v>
      </c>
      <c r="G1765" s="26"/>
      <c r="H1765" s="32"/>
      <c r="I1765" s="32"/>
      <c r="J1765" s="32"/>
      <c r="K1765" s="32"/>
      <c r="L1765" s="32" t="e">
        <f ca="1">_xludf.ifna(VLOOKUP(E1765,Parámetros!$D$2:$E$34,2,0),"")</f>
        <v>#NAME?</v>
      </c>
      <c r="M1765" s="32" t="e">
        <f ca="1">_xludf.ifna(VLOOKUP(G1765,Proyectos!$A$2:$T$674,20,0),"")</f>
        <v>#NAME?</v>
      </c>
      <c r="N1765" s="32" t="e">
        <f ca="1">_xludf.ifna(VLOOKUP(G1765,Proyectos!$A$2:$S$674,19,0))</f>
        <v>#NAME?</v>
      </c>
      <c r="O1765" s="32"/>
      <c r="P1765" s="32"/>
      <c r="Q1765" s="33"/>
      <c r="R1765" s="33"/>
      <c r="S1765" s="33"/>
      <c r="T1765" s="33"/>
      <c r="U1765" s="33"/>
      <c r="V1765" s="33"/>
      <c r="W1765" s="33"/>
    </row>
    <row r="1766" spans="1:23" ht="16.5" customHeight="1" x14ac:dyDescent="0.2">
      <c r="A1766" s="26"/>
      <c r="B1766" s="26"/>
      <c r="C1766" s="26"/>
      <c r="D1766" s="26"/>
      <c r="E1766" s="26"/>
      <c r="F1766" s="28" t="e">
        <f ca="1">_xludf.ifna(VLOOKUP(G1766,Proyectos!$A$2:$F$674,6,0),"")</f>
        <v>#NAME?</v>
      </c>
      <c r="G1766" s="26"/>
      <c r="H1766" s="32"/>
      <c r="I1766" s="32"/>
      <c r="J1766" s="32"/>
      <c r="K1766" s="32"/>
      <c r="L1766" s="32" t="e">
        <f ca="1">_xludf.ifna(VLOOKUP(E1766,Parámetros!$D$2:$E$34,2,0),"")</f>
        <v>#NAME?</v>
      </c>
      <c r="M1766" s="32" t="e">
        <f ca="1">_xludf.ifna(VLOOKUP(G1766,Proyectos!$A$2:$T$674,20,0),"")</f>
        <v>#NAME?</v>
      </c>
      <c r="N1766" s="32" t="e">
        <f ca="1">_xludf.ifna(VLOOKUP(G1766,Proyectos!$A$2:$S$674,19,0))</f>
        <v>#NAME?</v>
      </c>
      <c r="O1766" s="32"/>
      <c r="P1766" s="32"/>
      <c r="Q1766" s="33"/>
      <c r="R1766" s="33"/>
      <c r="S1766" s="33"/>
      <c r="T1766" s="33"/>
      <c r="U1766" s="33"/>
      <c r="V1766" s="33"/>
      <c r="W1766" s="33"/>
    </row>
    <row r="1767" spans="1:23" ht="16.5" customHeight="1" x14ac:dyDescent="0.2">
      <c r="A1767" s="26"/>
      <c r="B1767" s="26"/>
      <c r="C1767" s="26"/>
      <c r="D1767" s="26"/>
      <c r="E1767" s="26"/>
      <c r="F1767" s="28" t="e">
        <f ca="1">_xludf.ifna(VLOOKUP(G1767,Proyectos!$A$2:$F$674,6,0),"")</f>
        <v>#NAME?</v>
      </c>
      <c r="G1767" s="26"/>
      <c r="H1767" s="32"/>
      <c r="I1767" s="32"/>
      <c r="J1767" s="32"/>
      <c r="K1767" s="32"/>
      <c r="L1767" s="32" t="e">
        <f ca="1">_xludf.ifna(VLOOKUP(E1767,Parámetros!$D$2:$E$34,2,0),"")</f>
        <v>#NAME?</v>
      </c>
      <c r="M1767" s="32" t="e">
        <f ca="1">_xludf.ifna(VLOOKUP(G1767,Proyectos!$A$2:$T$674,20,0),"")</f>
        <v>#NAME?</v>
      </c>
      <c r="N1767" s="32" t="e">
        <f ca="1">_xludf.ifna(VLOOKUP(G1767,Proyectos!$A$2:$S$674,19,0))</f>
        <v>#NAME?</v>
      </c>
      <c r="O1767" s="32"/>
      <c r="P1767" s="32"/>
      <c r="Q1767" s="33"/>
      <c r="R1767" s="33"/>
      <c r="S1767" s="33"/>
      <c r="T1767" s="33"/>
      <c r="U1767" s="33"/>
      <c r="V1767" s="33"/>
      <c r="W1767" s="33"/>
    </row>
    <row r="1768" spans="1:23" ht="16.5" customHeight="1" x14ac:dyDescent="0.2">
      <c r="A1768" s="26"/>
      <c r="B1768" s="26"/>
      <c r="C1768" s="26"/>
      <c r="D1768" s="26"/>
      <c r="E1768" s="26"/>
      <c r="F1768" s="28" t="e">
        <f ca="1">_xludf.ifna(VLOOKUP(G1768,Proyectos!$A$2:$F$674,6,0),"")</f>
        <v>#NAME?</v>
      </c>
      <c r="G1768" s="26"/>
      <c r="H1768" s="32"/>
      <c r="I1768" s="32"/>
      <c r="J1768" s="32"/>
      <c r="K1768" s="32"/>
      <c r="L1768" s="32" t="e">
        <f ca="1">_xludf.ifna(VLOOKUP(E1768,Parámetros!$D$2:$E$34,2,0),"")</f>
        <v>#NAME?</v>
      </c>
      <c r="M1768" s="32" t="e">
        <f ca="1">_xludf.ifna(VLOOKUP(G1768,Proyectos!$A$2:$T$674,20,0),"")</f>
        <v>#NAME?</v>
      </c>
      <c r="N1768" s="32" t="e">
        <f ca="1">_xludf.ifna(VLOOKUP(G1768,Proyectos!$A$2:$S$674,19,0))</f>
        <v>#NAME?</v>
      </c>
      <c r="O1768" s="32"/>
      <c r="P1768" s="32"/>
      <c r="Q1768" s="33"/>
      <c r="R1768" s="33"/>
      <c r="S1768" s="33"/>
      <c r="T1768" s="33"/>
      <c r="U1768" s="33"/>
      <c r="V1768" s="33"/>
      <c r="W1768" s="33"/>
    </row>
    <row r="1769" spans="1:23" ht="16.5" customHeight="1" x14ac:dyDescent="0.2">
      <c r="A1769" s="26"/>
      <c r="B1769" s="26"/>
      <c r="C1769" s="26"/>
      <c r="D1769" s="26"/>
      <c r="E1769" s="26"/>
      <c r="F1769" s="28" t="e">
        <f ca="1">_xludf.ifna(VLOOKUP(G1769,Proyectos!$A$2:$F$674,6,0),"")</f>
        <v>#NAME?</v>
      </c>
      <c r="G1769" s="26"/>
      <c r="H1769" s="32"/>
      <c r="I1769" s="32"/>
      <c r="J1769" s="32"/>
      <c r="K1769" s="32"/>
      <c r="L1769" s="32" t="e">
        <f ca="1">_xludf.ifna(VLOOKUP(E1769,Parámetros!$D$2:$E$34,2,0),"")</f>
        <v>#NAME?</v>
      </c>
      <c r="M1769" s="32" t="e">
        <f ca="1">_xludf.ifna(VLOOKUP(G1769,Proyectos!$A$2:$T$674,20,0),"")</f>
        <v>#NAME?</v>
      </c>
      <c r="N1769" s="32" t="e">
        <f ca="1">_xludf.ifna(VLOOKUP(G1769,Proyectos!$A$2:$S$674,19,0))</f>
        <v>#NAME?</v>
      </c>
      <c r="O1769" s="32"/>
      <c r="P1769" s="32"/>
      <c r="Q1769" s="33"/>
      <c r="R1769" s="33"/>
      <c r="S1769" s="33"/>
      <c r="T1769" s="33"/>
      <c r="U1769" s="33"/>
      <c r="V1769" s="33"/>
      <c r="W1769" s="33"/>
    </row>
    <row r="1770" spans="1:23" ht="16.5" customHeight="1" x14ac:dyDescent="0.2">
      <c r="A1770" s="26"/>
      <c r="B1770" s="26"/>
      <c r="C1770" s="26"/>
      <c r="D1770" s="26"/>
      <c r="E1770" s="26"/>
      <c r="F1770" s="28" t="e">
        <f ca="1">_xludf.ifna(VLOOKUP(G1770,Proyectos!$A$2:$F$674,6,0),"")</f>
        <v>#NAME?</v>
      </c>
      <c r="G1770" s="26"/>
      <c r="H1770" s="32"/>
      <c r="I1770" s="32"/>
      <c r="J1770" s="32"/>
      <c r="K1770" s="32"/>
      <c r="L1770" s="32" t="e">
        <f ca="1">_xludf.ifna(VLOOKUP(E1770,Parámetros!$D$2:$E$34,2,0),"")</f>
        <v>#NAME?</v>
      </c>
      <c r="M1770" s="32" t="e">
        <f ca="1">_xludf.ifna(VLOOKUP(G1770,Proyectos!$A$2:$T$674,20,0),"")</f>
        <v>#NAME?</v>
      </c>
      <c r="N1770" s="32" t="e">
        <f ca="1">_xludf.ifna(VLOOKUP(G1770,Proyectos!$A$2:$S$674,19,0))</f>
        <v>#NAME?</v>
      </c>
      <c r="O1770" s="32"/>
      <c r="P1770" s="32"/>
      <c r="Q1770" s="33"/>
      <c r="R1770" s="33"/>
      <c r="S1770" s="33"/>
      <c r="T1770" s="33"/>
      <c r="U1770" s="33"/>
      <c r="V1770" s="33"/>
      <c r="W1770" s="33"/>
    </row>
    <row r="1771" spans="1:23" ht="16.5" customHeight="1" x14ac:dyDescent="0.2">
      <c r="A1771" s="26"/>
      <c r="B1771" s="26"/>
      <c r="C1771" s="26"/>
      <c r="D1771" s="26"/>
      <c r="E1771" s="26"/>
      <c r="F1771" s="28" t="e">
        <f ca="1">_xludf.ifna(VLOOKUP(G1771,Proyectos!$A$2:$F$674,6,0),"")</f>
        <v>#NAME?</v>
      </c>
      <c r="G1771" s="26"/>
      <c r="H1771" s="32"/>
      <c r="I1771" s="32"/>
      <c r="J1771" s="32"/>
      <c r="K1771" s="32"/>
      <c r="L1771" s="32" t="e">
        <f ca="1">_xludf.ifna(VLOOKUP(E1771,Parámetros!$D$2:$E$34,2,0),"")</f>
        <v>#NAME?</v>
      </c>
      <c r="M1771" s="32" t="e">
        <f ca="1">_xludf.ifna(VLOOKUP(G1771,Proyectos!$A$2:$T$674,20,0),"")</f>
        <v>#NAME?</v>
      </c>
      <c r="N1771" s="32" t="e">
        <f ca="1">_xludf.ifna(VLOOKUP(G1771,Proyectos!$A$2:$S$674,19,0))</f>
        <v>#NAME?</v>
      </c>
      <c r="O1771" s="32"/>
      <c r="P1771" s="32"/>
      <c r="Q1771" s="33"/>
      <c r="R1771" s="33"/>
      <c r="S1771" s="33"/>
      <c r="T1771" s="33"/>
      <c r="U1771" s="33"/>
      <c r="V1771" s="33"/>
      <c r="W1771" s="33"/>
    </row>
    <row r="1772" spans="1:23" ht="16.5" customHeight="1" x14ac:dyDescent="0.2">
      <c r="A1772" s="26"/>
      <c r="B1772" s="26"/>
      <c r="C1772" s="26"/>
      <c r="D1772" s="26"/>
      <c r="E1772" s="26"/>
      <c r="F1772" s="28" t="e">
        <f ca="1">_xludf.ifna(VLOOKUP(G1772,Proyectos!$A$2:$F$674,6,0),"")</f>
        <v>#NAME?</v>
      </c>
      <c r="G1772" s="26"/>
      <c r="H1772" s="32"/>
      <c r="I1772" s="32"/>
      <c r="J1772" s="32"/>
      <c r="K1772" s="32"/>
      <c r="L1772" s="32" t="e">
        <f ca="1">_xludf.ifna(VLOOKUP(E1772,Parámetros!$D$2:$E$34,2,0),"")</f>
        <v>#NAME?</v>
      </c>
      <c r="M1772" s="32" t="e">
        <f ca="1">_xludf.ifna(VLOOKUP(G1772,Proyectos!$A$2:$T$674,20,0),"")</f>
        <v>#NAME?</v>
      </c>
      <c r="N1772" s="32" t="e">
        <f ca="1">_xludf.ifna(VLOOKUP(G1772,Proyectos!$A$2:$S$674,19,0))</f>
        <v>#NAME?</v>
      </c>
      <c r="O1772" s="32"/>
      <c r="P1772" s="32"/>
      <c r="Q1772" s="33"/>
      <c r="R1772" s="33"/>
      <c r="S1772" s="33"/>
      <c r="T1772" s="33"/>
      <c r="U1772" s="33"/>
      <c r="V1772" s="33"/>
      <c r="W1772" s="33"/>
    </row>
    <row r="1773" spans="1:23" ht="16.5" customHeight="1" x14ac:dyDescent="0.2">
      <c r="A1773" s="26"/>
      <c r="B1773" s="26"/>
      <c r="C1773" s="26"/>
      <c r="D1773" s="26"/>
      <c r="E1773" s="26"/>
      <c r="F1773" s="28" t="e">
        <f ca="1">_xludf.ifna(VLOOKUP(G1773,Proyectos!$A$2:$F$674,6,0),"")</f>
        <v>#NAME?</v>
      </c>
      <c r="G1773" s="26"/>
      <c r="H1773" s="32"/>
      <c r="I1773" s="32"/>
      <c r="J1773" s="32"/>
      <c r="K1773" s="32"/>
      <c r="L1773" s="32" t="e">
        <f ca="1">_xludf.ifna(VLOOKUP(E1773,Parámetros!$D$2:$E$34,2,0),"")</f>
        <v>#NAME?</v>
      </c>
      <c r="M1773" s="32" t="e">
        <f ca="1">_xludf.ifna(VLOOKUP(G1773,Proyectos!$A$2:$T$674,20,0),"")</f>
        <v>#NAME?</v>
      </c>
      <c r="N1773" s="32" t="e">
        <f ca="1">_xludf.ifna(VLOOKUP(G1773,Proyectos!$A$2:$S$674,19,0))</f>
        <v>#NAME?</v>
      </c>
      <c r="O1773" s="32"/>
      <c r="P1773" s="32"/>
      <c r="Q1773" s="33"/>
      <c r="R1773" s="33"/>
      <c r="S1773" s="33"/>
      <c r="T1773" s="33"/>
      <c r="U1773" s="33"/>
      <c r="V1773" s="33"/>
      <c r="W1773" s="33"/>
    </row>
    <row r="1774" spans="1:23" ht="16.5" customHeight="1" x14ac:dyDescent="0.2">
      <c r="A1774" s="26"/>
      <c r="B1774" s="26"/>
      <c r="C1774" s="26"/>
      <c r="D1774" s="26"/>
      <c r="E1774" s="26"/>
      <c r="F1774" s="28" t="e">
        <f ca="1">_xludf.ifna(VLOOKUP(G1774,Proyectos!$A$2:$F$674,6,0),"")</f>
        <v>#NAME?</v>
      </c>
      <c r="G1774" s="26"/>
      <c r="H1774" s="32"/>
      <c r="I1774" s="32"/>
      <c r="J1774" s="32"/>
      <c r="K1774" s="32"/>
      <c r="L1774" s="32" t="e">
        <f ca="1">_xludf.ifna(VLOOKUP(E1774,Parámetros!$D$2:$E$34,2,0),"")</f>
        <v>#NAME?</v>
      </c>
      <c r="M1774" s="32" t="e">
        <f ca="1">_xludf.ifna(VLOOKUP(G1774,Proyectos!$A$2:$T$674,20,0),"")</f>
        <v>#NAME?</v>
      </c>
      <c r="N1774" s="32" t="e">
        <f ca="1">_xludf.ifna(VLOOKUP(G1774,Proyectos!$A$2:$S$674,19,0))</f>
        <v>#NAME?</v>
      </c>
      <c r="O1774" s="32"/>
      <c r="P1774" s="32"/>
      <c r="Q1774" s="33"/>
      <c r="R1774" s="33"/>
      <c r="S1774" s="33"/>
      <c r="T1774" s="33"/>
      <c r="U1774" s="33"/>
      <c r="V1774" s="33"/>
      <c r="W1774" s="33"/>
    </row>
    <row r="1775" spans="1:23" ht="16.5" customHeight="1" x14ac:dyDescent="0.2">
      <c r="A1775" s="26"/>
      <c r="B1775" s="26"/>
      <c r="C1775" s="26"/>
      <c r="D1775" s="26"/>
      <c r="E1775" s="26"/>
      <c r="F1775" s="28" t="e">
        <f ca="1">_xludf.ifna(VLOOKUP(G1775,Proyectos!$A$2:$F$674,6,0),"")</f>
        <v>#NAME?</v>
      </c>
      <c r="G1775" s="26"/>
      <c r="H1775" s="32"/>
      <c r="I1775" s="32"/>
      <c r="J1775" s="32"/>
      <c r="K1775" s="32"/>
      <c r="L1775" s="32" t="e">
        <f ca="1">_xludf.ifna(VLOOKUP(E1775,Parámetros!$D$2:$E$34,2,0),"")</f>
        <v>#NAME?</v>
      </c>
      <c r="M1775" s="32" t="e">
        <f ca="1">_xludf.ifna(VLOOKUP(G1775,Proyectos!$A$2:$T$674,20,0),"")</f>
        <v>#NAME?</v>
      </c>
      <c r="N1775" s="32" t="e">
        <f ca="1">_xludf.ifna(VLOOKUP(G1775,Proyectos!$A$2:$S$674,19,0))</f>
        <v>#NAME?</v>
      </c>
      <c r="O1775" s="32"/>
      <c r="P1775" s="32"/>
      <c r="Q1775" s="33"/>
      <c r="R1775" s="33"/>
      <c r="S1775" s="33"/>
      <c r="T1775" s="33"/>
      <c r="U1775" s="33"/>
      <c r="V1775" s="33"/>
      <c r="W1775" s="33"/>
    </row>
    <row r="1776" spans="1:23" ht="16.5" customHeight="1" x14ac:dyDescent="0.2">
      <c r="A1776" s="26"/>
      <c r="B1776" s="26"/>
      <c r="C1776" s="26"/>
      <c r="D1776" s="26"/>
      <c r="E1776" s="26"/>
      <c r="F1776" s="28" t="e">
        <f ca="1">_xludf.ifna(VLOOKUP(G1776,Proyectos!$A$2:$F$674,6,0),"")</f>
        <v>#NAME?</v>
      </c>
      <c r="G1776" s="26"/>
      <c r="H1776" s="32"/>
      <c r="I1776" s="32"/>
      <c r="J1776" s="32"/>
      <c r="K1776" s="32"/>
      <c r="L1776" s="32" t="e">
        <f ca="1">_xludf.ifna(VLOOKUP(E1776,Parámetros!$D$2:$E$34,2,0),"")</f>
        <v>#NAME?</v>
      </c>
      <c r="M1776" s="32" t="e">
        <f ca="1">_xludf.ifna(VLOOKUP(G1776,Proyectos!$A$2:$T$674,20,0),"")</f>
        <v>#NAME?</v>
      </c>
      <c r="N1776" s="32" t="e">
        <f ca="1">_xludf.ifna(VLOOKUP(G1776,Proyectos!$A$2:$S$674,19,0))</f>
        <v>#NAME?</v>
      </c>
      <c r="O1776" s="32"/>
      <c r="P1776" s="32"/>
      <c r="Q1776" s="33"/>
      <c r="R1776" s="33"/>
      <c r="S1776" s="33"/>
      <c r="T1776" s="33"/>
      <c r="U1776" s="33"/>
      <c r="V1776" s="33"/>
      <c r="W1776" s="33"/>
    </row>
    <row r="1777" spans="1:23" ht="16.5" customHeight="1" x14ac:dyDescent="0.2">
      <c r="A1777" s="26"/>
      <c r="B1777" s="26"/>
      <c r="C1777" s="26"/>
      <c r="D1777" s="26"/>
      <c r="E1777" s="26"/>
      <c r="F1777" s="28" t="e">
        <f ca="1">_xludf.ifna(VLOOKUP(G1777,Proyectos!$A$2:$F$674,6,0),"")</f>
        <v>#NAME?</v>
      </c>
      <c r="G1777" s="26"/>
      <c r="H1777" s="32"/>
      <c r="I1777" s="32"/>
      <c r="J1777" s="32"/>
      <c r="K1777" s="32"/>
      <c r="L1777" s="32" t="e">
        <f ca="1">_xludf.ifna(VLOOKUP(E1777,Parámetros!$D$2:$E$34,2,0),"")</f>
        <v>#NAME?</v>
      </c>
      <c r="M1777" s="32" t="e">
        <f ca="1">_xludf.ifna(VLOOKUP(G1777,Proyectos!$A$2:$T$674,20,0),"")</f>
        <v>#NAME?</v>
      </c>
      <c r="N1777" s="32" t="e">
        <f ca="1">_xludf.ifna(VLOOKUP(G1777,Proyectos!$A$2:$S$674,19,0))</f>
        <v>#NAME?</v>
      </c>
      <c r="O1777" s="32"/>
      <c r="P1777" s="32"/>
      <c r="Q1777" s="33"/>
      <c r="R1777" s="33"/>
      <c r="S1777" s="33"/>
      <c r="T1777" s="33"/>
      <c r="U1777" s="33"/>
      <c r="V1777" s="33"/>
      <c r="W1777" s="33"/>
    </row>
    <row r="1778" spans="1:23" ht="16.5" customHeight="1" x14ac:dyDescent="0.2">
      <c r="A1778" s="26"/>
      <c r="B1778" s="26"/>
      <c r="C1778" s="26"/>
      <c r="D1778" s="26"/>
      <c r="E1778" s="26"/>
      <c r="F1778" s="28" t="e">
        <f ca="1">_xludf.ifna(VLOOKUP(G1778,Proyectos!$A$2:$F$674,6,0),"")</f>
        <v>#NAME?</v>
      </c>
      <c r="G1778" s="26"/>
      <c r="H1778" s="32"/>
      <c r="I1778" s="32"/>
      <c r="J1778" s="32"/>
      <c r="K1778" s="32"/>
      <c r="L1778" s="32" t="e">
        <f ca="1">_xludf.ifna(VLOOKUP(E1778,Parámetros!$D$2:$E$34,2,0),"")</f>
        <v>#NAME?</v>
      </c>
      <c r="M1778" s="32" t="e">
        <f ca="1">_xludf.ifna(VLOOKUP(G1778,Proyectos!$A$2:$T$674,20,0),"")</f>
        <v>#NAME?</v>
      </c>
      <c r="N1778" s="32" t="e">
        <f ca="1">_xludf.ifna(VLOOKUP(G1778,Proyectos!$A$2:$S$674,19,0))</f>
        <v>#NAME?</v>
      </c>
      <c r="O1778" s="32"/>
      <c r="P1778" s="32"/>
      <c r="Q1778" s="33"/>
      <c r="R1778" s="33"/>
      <c r="S1778" s="33"/>
      <c r="T1778" s="33"/>
      <c r="U1778" s="33"/>
      <c r="V1778" s="33"/>
      <c r="W1778" s="33"/>
    </row>
    <row r="1779" spans="1:23" ht="16.5" customHeight="1" x14ac:dyDescent="0.2">
      <c r="A1779" s="26"/>
      <c r="B1779" s="26"/>
      <c r="C1779" s="26"/>
      <c r="D1779" s="26"/>
      <c r="E1779" s="26"/>
      <c r="F1779" s="28" t="e">
        <f ca="1">_xludf.ifna(VLOOKUP(G1779,Proyectos!$A$2:$F$674,6,0),"")</f>
        <v>#NAME?</v>
      </c>
      <c r="G1779" s="26"/>
      <c r="H1779" s="32"/>
      <c r="I1779" s="32"/>
      <c r="J1779" s="32"/>
      <c r="K1779" s="32"/>
      <c r="L1779" s="32" t="e">
        <f ca="1">_xludf.ifna(VLOOKUP(E1779,Parámetros!$D$2:$E$34,2,0),"")</f>
        <v>#NAME?</v>
      </c>
      <c r="M1779" s="32" t="e">
        <f ca="1">_xludf.ifna(VLOOKUP(G1779,Proyectos!$A$2:$T$674,20,0),"")</f>
        <v>#NAME?</v>
      </c>
      <c r="N1779" s="32" t="e">
        <f ca="1">_xludf.ifna(VLOOKUP(G1779,Proyectos!$A$2:$S$674,19,0))</f>
        <v>#NAME?</v>
      </c>
      <c r="O1779" s="32"/>
      <c r="P1779" s="32"/>
      <c r="Q1779" s="33"/>
      <c r="R1779" s="33"/>
      <c r="S1779" s="33"/>
      <c r="T1779" s="33"/>
      <c r="U1779" s="33"/>
      <c r="V1779" s="33"/>
      <c r="W1779" s="33"/>
    </row>
    <row r="1780" spans="1:23" ht="16.5" customHeight="1" x14ac:dyDescent="0.2">
      <c r="A1780" s="26"/>
      <c r="B1780" s="26"/>
      <c r="C1780" s="26"/>
      <c r="D1780" s="26"/>
      <c r="E1780" s="26"/>
      <c r="F1780" s="28" t="e">
        <f ca="1">_xludf.ifna(VLOOKUP(G1780,Proyectos!$A$2:$F$674,6,0),"")</f>
        <v>#NAME?</v>
      </c>
      <c r="G1780" s="26"/>
      <c r="H1780" s="32"/>
      <c r="I1780" s="32"/>
      <c r="J1780" s="32"/>
      <c r="K1780" s="32"/>
      <c r="L1780" s="32" t="e">
        <f ca="1">_xludf.ifna(VLOOKUP(E1780,Parámetros!$D$2:$E$34,2,0),"")</f>
        <v>#NAME?</v>
      </c>
      <c r="M1780" s="32" t="e">
        <f ca="1">_xludf.ifna(VLOOKUP(G1780,Proyectos!$A$2:$T$674,20,0),"")</f>
        <v>#NAME?</v>
      </c>
      <c r="N1780" s="32" t="e">
        <f ca="1">_xludf.ifna(VLOOKUP(G1780,Proyectos!$A$2:$S$674,19,0))</f>
        <v>#NAME?</v>
      </c>
      <c r="O1780" s="32"/>
      <c r="P1780" s="32"/>
      <c r="Q1780" s="33"/>
      <c r="R1780" s="33"/>
      <c r="S1780" s="33"/>
      <c r="T1780" s="33"/>
      <c r="U1780" s="33"/>
      <c r="V1780" s="33"/>
      <c r="W1780" s="33"/>
    </row>
    <row r="1781" spans="1:23" ht="16.5" customHeight="1" x14ac:dyDescent="0.2">
      <c r="A1781" s="26"/>
      <c r="B1781" s="26"/>
      <c r="C1781" s="26"/>
      <c r="D1781" s="26"/>
      <c r="E1781" s="26"/>
      <c r="F1781" s="28" t="e">
        <f ca="1">_xludf.ifna(VLOOKUP(G1781,Proyectos!$A$2:$F$674,6,0),"")</f>
        <v>#NAME?</v>
      </c>
      <c r="G1781" s="26"/>
      <c r="H1781" s="32"/>
      <c r="I1781" s="32"/>
      <c r="J1781" s="32"/>
      <c r="K1781" s="32"/>
      <c r="L1781" s="32" t="e">
        <f ca="1">_xludf.ifna(VLOOKUP(E1781,Parámetros!$D$2:$E$34,2,0),"")</f>
        <v>#NAME?</v>
      </c>
      <c r="M1781" s="32" t="e">
        <f ca="1">_xludf.ifna(VLOOKUP(G1781,Proyectos!$A$2:$T$674,20,0),"")</f>
        <v>#NAME?</v>
      </c>
      <c r="N1781" s="32" t="e">
        <f ca="1">_xludf.ifna(VLOOKUP(G1781,Proyectos!$A$2:$S$674,19,0))</f>
        <v>#NAME?</v>
      </c>
      <c r="O1781" s="32"/>
      <c r="P1781" s="32"/>
      <c r="Q1781" s="33"/>
      <c r="R1781" s="33"/>
      <c r="S1781" s="33"/>
      <c r="T1781" s="33"/>
      <c r="U1781" s="33"/>
      <c r="V1781" s="33"/>
      <c r="W1781" s="33"/>
    </row>
    <row r="1782" spans="1:23" ht="16.5" customHeight="1" x14ac:dyDescent="0.2">
      <c r="A1782" s="26"/>
      <c r="B1782" s="26"/>
      <c r="C1782" s="26"/>
      <c r="D1782" s="26"/>
      <c r="E1782" s="26"/>
      <c r="F1782" s="28" t="e">
        <f ca="1">_xludf.ifna(VLOOKUP(G1782,Proyectos!$A$2:$F$674,6,0),"")</f>
        <v>#NAME?</v>
      </c>
      <c r="G1782" s="26"/>
      <c r="H1782" s="32"/>
      <c r="I1782" s="32"/>
      <c r="J1782" s="32"/>
      <c r="K1782" s="32"/>
      <c r="L1782" s="32" t="e">
        <f ca="1">_xludf.ifna(VLOOKUP(E1782,Parámetros!$D$2:$E$34,2,0),"")</f>
        <v>#NAME?</v>
      </c>
      <c r="M1782" s="32" t="e">
        <f ca="1">_xludf.ifna(VLOOKUP(G1782,Proyectos!$A$2:$T$674,20,0),"")</f>
        <v>#NAME?</v>
      </c>
      <c r="N1782" s="32" t="e">
        <f ca="1">_xludf.ifna(VLOOKUP(G1782,Proyectos!$A$2:$S$674,19,0))</f>
        <v>#NAME?</v>
      </c>
      <c r="O1782" s="32"/>
      <c r="P1782" s="32"/>
      <c r="Q1782" s="33"/>
      <c r="R1782" s="33"/>
      <c r="S1782" s="33"/>
      <c r="T1782" s="33"/>
      <c r="U1782" s="33"/>
      <c r="V1782" s="33"/>
      <c r="W1782" s="33"/>
    </row>
    <row r="1783" spans="1:23" ht="16.5" customHeight="1" x14ac:dyDescent="0.2">
      <c r="A1783" s="26"/>
      <c r="B1783" s="26"/>
      <c r="C1783" s="26"/>
      <c r="D1783" s="26"/>
      <c r="E1783" s="26"/>
      <c r="F1783" s="28" t="e">
        <f ca="1">_xludf.ifna(VLOOKUP(G1783,Proyectos!$A$2:$F$674,6,0),"")</f>
        <v>#NAME?</v>
      </c>
      <c r="G1783" s="26"/>
      <c r="H1783" s="32"/>
      <c r="I1783" s="32"/>
      <c r="J1783" s="32"/>
      <c r="K1783" s="32"/>
      <c r="L1783" s="32" t="e">
        <f ca="1">_xludf.ifna(VLOOKUP(E1783,Parámetros!$D$2:$E$34,2,0),"")</f>
        <v>#NAME?</v>
      </c>
      <c r="M1783" s="32" t="e">
        <f ca="1">_xludf.ifna(VLOOKUP(G1783,Proyectos!$A$2:$T$674,20,0),"")</f>
        <v>#NAME?</v>
      </c>
      <c r="N1783" s="32" t="e">
        <f ca="1">_xludf.ifna(VLOOKUP(G1783,Proyectos!$A$2:$S$674,19,0))</f>
        <v>#NAME?</v>
      </c>
      <c r="O1783" s="32"/>
      <c r="P1783" s="32"/>
      <c r="Q1783" s="33"/>
      <c r="R1783" s="33"/>
      <c r="S1783" s="33"/>
      <c r="T1783" s="33"/>
      <c r="U1783" s="33"/>
      <c r="V1783" s="33"/>
      <c r="W1783" s="33"/>
    </row>
    <row r="1784" spans="1:23" ht="16.5" customHeight="1" x14ac:dyDescent="0.2">
      <c r="A1784" s="26"/>
      <c r="B1784" s="26"/>
      <c r="C1784" s="26"/>
      <c r="D1784" s="26"/>
      <c r="E1784" s="26"/>
      <c r="F1784" s="28" t="e">
        <f ca="1">_xludf.ifna(VLOOKUP(G1784,Proyectos!$A$2:$F$674,6,0),"")</f>
        <v>#NAME?</v>
      </c>
      <c r="G1784" s="26"/>
      <c r="H1784" s="32"/>
      <c r="I1784" s="32"/>
      <c r="J1784" s="32"/>
      <c r="K1784" s="32"/>
      <c r="L1784" s="32" t="e">
        <f ca="1">_xludf.ifna(VLOOKUP(E1784,Parámetros!$D$2:$E$34,2,0),"")</f>
        <v>#NAME?</v>
      </c>
      <c r="M1784" s="32" t="e">
        <f ca="1">_xludf.ifna(VLOOKUP(G1784,Proyectos!$A$2:$T$674,20,0),"")</f>
        <v>#NAME?</v>
      </c>
      <c r="N1784" s="32" t="e">
        <f ca="1">_xludf.ifna(VLOOKUP(G1784,Proyectos!$A$2:$S$674,19,0))</f>
        <v>#NAME?</v>
      </c>
      <c r="O1784" s="32"/>
      <c r="P1784" s="32"/>
      <c r="Q1784" s="33"/>
      <c r="R1784" s="33"/>
      <c r="S1784" s="33"/>
      <c r="T1784" s="33"/>
      <c r="U1784" s="33"/>
      <c r="V1784" s="33"/>
      <c r="W1784" s="33"/>
    </row>
    <row r="1785" spans="1:23" ht="16.5" customHeight="1" x14ac:dyDescent="0.2">
      <c r="A1785" s="26"/>
      <c r="B1785" s="26"/>
      <c r="C1785" s="26"/>
      <c r="D1785" s="26"/>
      <c r="E1785" s="26"/>
      <c r="F1785" s="28" t="e">
        <f ca="1">_xludf.ifna(VLOOKUP(G1785,Proyectos!$A$2:$F$674,6,0),"")</f>
        <v>#NAME?</v>
      </c>
      <c r="G1785" s="26"/>
      <c r="H1785" s="32"/>
      <c r="I1785" s="32"/>
      <c r="J1785" s="32"/>
      <c r="K1785" s="32"/>
      <c r="L1785" s="32" t="e">
        <f ca="1">_xludf.ifna(VLOOKUP(E1785,Parámetros!$D$2:$E$34,2,0),"")</f>
        <v>#NAME?</v>
      </c>
      <c r="M1785" s="32" t="e">
        <f ca="1">_xludf.ifna(VLOOKUP(G1785,Proyectos!$A$2:$T$674,20,0),"")</f>
        <v>#NAME?</v>
      </c>
      <c r="N1785" s="32" t="e">
        <f ca="1">_xludf.ifna(VLOOKUP(G1785,Proyectos!$A$2:$S$674,19,0))</f>
        <v>#NAME?</v>
      </c>
      <c r="O1785" s="32"/>
      <c r="P1785" s="32"/>
      <c r="Q1785" s="33"/>
      <c r="R1785" s="33"/>
      <c r="S1785" s="33"/>
      <c r="T1785" s="33"/>
      <c r="U1785" s="33"/>
      <c r="V1785" s="33"/>
      <c r="W1785" s="33"/>
    </row>
    <row r="1786" spans="1:23" ht="16.5" customHeight="1" x14ac:dyDescent="0.2">
      <c r="A1786" s="26"/>
      <c r="B1786" s="26"/>
      <c r="C1786" s="26"/>
      <c r="D1786" s="26"/>
      <c r="E1786" s="26"/>
      <c r="F1786" s="28" t="e">
        <f ca="1">_xludf.ifna(VLOOKUP(G1786,Proyectos!$A$2:$F$674,6,0),"")</f>
        <v>#NAME?</v>
      </c>
      <c r="G1786" s="26"/>
      <c r="H1786" s="32"/>
      <c r="I1786" s="32"/>
      <c r="J1786" s="32"/>
      <c r="K1786" s="32"/>
      <c r="L1786" s="32" t="e">
        <f ca="1">_xludf.ifna(VLOOKUP(E1786,Parámetros!$D$2:$E$34,2,0),"")</f>
        <v>#NAME?</v>
      </c>
      <c r="M1786" s="32" t="e">
        <f ca="1">_xludf.ifna(VLOOKUP(G1786,Proyectos!$A$2:$T$674,20,0),"")</f>
        <v>#NAME?</v>
      </c>
      <c r="N1786" s="32" t="e">
        <f ca="1">_xludf.ifna(VLOOKUP(G1786,Proyectos!$A$2:$S$674,19,0))</f>
        <v>#NAME?</v>
      </c>
      <c r="O1786" s="32"/>
      <c r="P1786" s="32"/>
      <c r="Q1786" s="33"/>
      <c r="R1786" s="33"/>
      <c r="S1786" s="33"/>
      <c r="T1786" s="33"/>
      <c r="U1786" s="33"/>
      <c r="V1786" s="33"/>
      <c r="W1786" s="33"/>
    </row>
    <row r="1787" spans="1:23" ht="16.5" customHeight="1" x14ac:dyDescent="0.2">
      <c r="A1787" s="26"/>
      <c r="B1787" s="26"/>
      <c r="C1787" s="26"/>
      <c r="D1787" s="26"/>
      <c r="E1787" s="26"/>
      <c r="F1787" s="28" t="e">
        <f ca="1">_xludf.ifna(VLOOKUP(G1787,Proyectos!$A$2:$F$674,6,0),"")</f>
        <v>#NAME?</v>
      </c>
      <c r="G1787" s="26"/>
      <c r="H1787" s="32"/>
      <c r="I1787" s="32"/>
      <c r="J1787" s="32"/>
      <c r="K1787" s="32"/>
      <c r="L1787" s="32" t="e">
        <f ca="1">_xludf.ifna(VLOOKUP(E1787,Parámetros!$D$2:$E$34,2,0),"")</f>
        <v>#NAME?</v>
      </c>
      <c r="M1787" s="32" t="e">
        <f ca="1">_xludf.ifna(VLOOKUP(G1787,Proyectos!$A$2:$T$674,20,0),"")</f>
        <v>#NAME?</v>
      </c>
      <c r="N1787" s="32" t="e">
        <f ca="1">_xludf.ifna(VLOOKUP(G1787,Proyectos!$A$2:$S$674,19,0))</f>
        <v>#NAME?</v>
      </c>
      <c r="O1787" s="32"/>
      <c r="P1787" s="32"/>
      <c r="Q1787" s="33"/>
      <c r="R1787" s="33"/>
      <c r="S1787" s="33"/>
      <c r="T1787" s="33"/>
      <c r="U1787" s="33"/>
      <c r="V1787" s="33"/>
      <c r="W1787" s="33"/>
    </row>
    <row r="1788" spans="1:23" ht="16.5" customHeight="1" x14ac:dyDescent="0.2">
      <c r="A1788" s="26"/>
      <c r="B1788" s="26"/>
      <c r="C1788" s="26"/>
      <c r="D1788" s="26"/>
      <c r="E1788" s="26"/>
      <c r="F1788" s="28" t="e">
        <f ca="1">_xludf.ifna(VLOOKUP(G1788,Proyectos!$A$2:$F$674,6,0),"")</f>
        <v>#NAME?</v>
      </c>
      <c r="G1788" s="26"/>
      <c r="H1788" s="32"/>
      <c r="I1788" s="32"/>
      <c r="J1788" s="32"/>
      <c r="K1788" s="32"/>
      <c r="L1788" s="32" t="e">
        <f ca="1">_xludf.ifna(VLOOKUP(E1788,Parámetros!$D$2:$E$34,2,0),"")</f>
        <v>#NAME?</v>
      </c>
      <c r="M1788" s="32" t="e">
        <f ca="1">_xludf.ifna(VLOOKUP(G1788,Proyectos!$A$2:$T$674,20,0),"")</f>
        <v>#NAME?</v>
      </c>
      <c r="N1788" s="32" t="e">
        <f ca="1">_xludf.ifna(VLOOKUP(G1788,Proyectos!$A$2:$S$674,19,0))</f>
        <v>#NAME?</v>
      </c>
      <c r="O1788" s="32"/>
      <c r="P1788" s="32"/>
      <c r="Q1788" s="33"/>
      <c r="R1788" s="33"/>
      <c r="S1788" s="33"/>
      <c r="T1788" s="33"/>
      <c r="U1788" s="33"/>
      <c r="V1788" s="33"/>
      <c r="W1788" s="33"/>
    </row>
    <row r="1789" spans="1:23" ht="16.5" customHeight="1" x14ac:dyDescent="0.2">
      <c r="A1789" s="26"/>
      <c r="B1789" s="26"/>
      <c r="C1789" s="26"/>
      <c r="D1789" s="26"/>
      <c r="E1789" s="26"/>
      <c r="F1789" s="28" t="e">
        <f ca="1">_xludf.ifna(VLOOKUP(G1789,Proyectos!$A$2:$F$674,6,0),"")</f>
        <v>#NAME?</v>
      </c>
      <c r="G1789" s="26"/>
      <c r="H1789" s="32"/>
      <c r="I1789" s="32"/>
      <c r="J1789" s="32"/>
      <c r="K1789" s="32"/>
      <c r="L1789" s="32" t="e">
        <f ca="1">_xludf.ifna(VLOOKUP(E1789,Parámetros!$D$2:$E$34,2,0),"")</f>
        <v>#NAME?</v>
      </c>
      <c r="M1789" s="32" t="e">
        <f ca="1">_xludf.ifna(VLOOKUP(G1789,Proyectos!$A$2:$T$674,20,0),"")</f>
        <v>#NAME?</v>
      </c>
      <c r="N1789" s="32" t="e">
        <f ca="1">_xludf.ifna(VLOOKUP(G1789,Proyectos!$A$2:$S$674,19,0))</f>
        <v>#NAME?</v>
      </c>
      <c r="O1789" s="32"/>
      <c r="P1789" s="32"/>
      <c r="Q1789" s="33"/>
      <c r="R1789" s="33"/>
      <c r="S1789" s="33"/>
      <c r="T1789" s="33"/>
      <c r="U1789" s="33"/>
      <c r="V1789" s="33"/>
      <c r="W1789" s="33"/>
    </row>
    <row r="1790" spans="1:23" ht="16.5" customHeight="1" x14ac:dyDescent="0.2">
      <c r="A1790" s="26"/>
      <c r="B1790" s="26"/>
      <c r="C1790" s="26"/>
      <c r="D1790" s="26"/>
      <c r="E1790" s="26"/>
      <c r="F1790" s="28" t="e">
        <f ca="1">_xludf.ifna(VLOOKUP(G1790,Proyectos!$A$2:$F$674,6,0),"")</f>
        <v>#NAME?</v>
      </c>
      <c r="G1790" s="26"/>
      <c r="H1790" s="32"/>
      <c r="I1790" s="32"/>
      <c r="J1790" s="32"/>
      <c r="K1790" s="32"/>
      <c r="L1790" s="32" t="e">
        <f ca="1">_xludf.ifna(VLOOKUP(E1790,Parámetros!$D$2:$E$34,2,0),"")</f>
        <v>#NAME?</v>
      </c>
      <c r="M1790" s="32" t="e">
        <f ca="1">_xludf.ifna(VLOOKUP(G1790,Proyectos!$A$2:$T$674,20,0),"")</f>
        <v>#NAME?</v>
      </c>
      <c r="N1790" s="32" t="e">
        <f ca="1">_xludf.ifna(VLOOKUP(G1790,Proyectos!$A$2:$S$674,19,0))</f>
        <v>#NAME?</v>
      </c>
      <c r="O1790" s="32"/>
      <c r="P1790" s="32"/>
      <c r="Q1790" s="33"/>
      <c r="R1790" s="33"/>
      <c r="S1790" s="33"/>
      <c r="T1790" s="33"/>
      <c r="U1790" s="33"/>
      <c r="V1790" s="33"/>
      <c r="W1790" s="33"/>
    </row>
    <row r="1791" spans="1:23" ht="16.5" customHeight="1" x14ac:dyDescent="0.2">
      <c r="A1791" s="26"/>
      <c r="B1791" s="26"/>
      <c r="C1791" s="26"/>
      <c r="D1791" s="26"/>
      <c r="E1791" s="26"/>
      <c r="F1791" s="28" t="e">
        <f ca="1">_xludf.ifna(VLOOKUP(G1791,Proyectos!$A$2:$F$674,6,0),"")</f>
        <v>#NAME?</v>
      </c>
      <c r="G1791" s="26"/>
      <c r="H1791" s="32"/>
      <c r="I1791" s="32"/>
      <c r="J1791" s="32"/>
      <c r="K1791" s="32"/>
      <c r="L1791" s="32" t="e">
        <f ca="1">_xludf.ifna(VLOOKUP(E1791,Parámetros!$D$2:$E$34,2,0),"")</f>
        <v>#NAME?</v>
      </c>
      <c r="M1791" s="32" t="e">
        <f ca="1">_xludf.ifna(VLOOKUP(G1791,Proyectos!$A$2:$T$674,20,0),"")</f>
        <v>#NAME?</v>
      </c>
      <c r="N1791" s="32" t="e">
        <f ca="1">_xludf.ifna(VLOOKUP(G1791,Proyectos!$A$2:$S$674,19,0))</f>
        <v>#NAME?</v>
      </c>
      <c r="O1791" s="32"/>
      <c r="P1791" s="32"/>
      <c r="Q1791" s="33"/>
      <c r="R1791" s="33"/>
      <c r="S1791" s="33"/>
      <c r="T1791" s="33"/>
      <c r="U1791" s="33"/>
      <c r="V1791" s="33"/>
      <c r="W1791" s="33"/>
    </row>
    <row r="1792" spans="1:23" ht="16.5" customHeight="1" x14ac:dyDescent="0.2">
      <c r="A1792" s="26"/>
      <c r="B1792" s="26"/>
      <c r="C1792" s="26"/>
      <c r="D1792" s="26"/>
      <c r="E1792" s="26"/>
      <c r="F1792" s="28" t="e">
        <f ca="1">_xludf.ifna(VLOOKUP(G1792,Proyectos!$A$2:$F$674,6,0),"")</f>
        <v>#NAME?</v>
      </c>
      <c r="G1792" s="26"/>
      <c r="H1792" s="32"/>
      <c r="I1792" s="32"/>
      <c r="J1792" s="32"/>
      <c r="K1792" s="32"/>
      <c r="L1792" s="32" t="e">
        <f ca="1">_xludf.ifna(VLOOKUP(E1792,Parámetros!$D$2:$E$34,2,0),"")</f>
        <v>#NAME?</v>
      </c>
      <c r="M1792" s="32" t="e">
        <f ca="1">_xludf.ifna(VLOOKUP(G1792,Proyectos!$A$2:$T$674,20,0),"")</f>
        <v>#NAME?</v>
      </c>
      <c r="N1792" s="32" t="e">
        <f ca="1">_xludf.ifna(VLOOKUP(G1792,Proyectos!$A$2:$S$674,19,0))</f>
        <v>#NAME?</v>
      </c>
      <c r="O1792" s="32"/>
      <c r="P1792" s="32"/>
      <c r="Q1792" s="33"/>
      <c r="R1792" s="33"/>
      <c r="S1792" s="33"/>
      <c r="T1792" s="33"/>
      <c r="U1792" s="33"/>
      <c r="V1792" s="33"/>
      <c r="W1792" s="33"/>
    </row>
    <row r="1793" spans="1:23" ht="16.5" customHeight="1" x14ac:dyDescent="0.2">
      <c r="A1793" s="26"/>
      <c r="B1793" s="26"/>
      <c r="C1793" s="26"/>
      <c r="D1793" s="26"/>
      <c r="E1793" s="26"/>
      <c r="F1793" s="28" t="e">
        <f ca="1">_xludf.ifna(VLOOKUP(G1793,Proyectos!$A$2:$F$674,6,0),"")</f>
        <v>#NAME?</v>
      </c>
      <c r="G1793" s="26"/>
      <c r="H1793" s="32"/>
      <c r="I1793" s="32"/>
      <c r="J1793" s="32"/>
      <c r="K1793" s="32"/>
      <c r="L1793" s="32" t="e">
        <f ca="1">_xludf.ifna(VLOOKUP(E1793,Parámetros!$D$2:$E$34,2,0),"")</f>
        <v>#NAME?</v>
      </c>
      <c r="M1793" s="32" t="e">
        <f ca="1">_xludf.ifna(VLOOKUP(G1793,Proyectos!$A$2:$T$674,20,0),"")</f>
        <v>#NAME?</v>
      </c>
      <c r="N1793" s="32" t="e">
        <f ca="1">_xludf.ifna(VLOOKUP(G1793,Proyectos!$A$2:$S$674,19,0))</f>
        <v>#NAME?</v>
      </c>
      <c r="O1793" s="32"/>
      <c r="P1793" s="32"/>
      <c r="Q1793" s="33"/>
      <c r="R1793" s="33"/>
      <c r="S1793" s="33"/>
      <c r="T1793" s="33"/>
      <c r="U1793" s="33"/>
      <c r="V1793" s="33"/>
      <c r="W1793" s="33"/>
    </row>
    <row r="1794" spans="1:23" ht="16.5" customHeight="1" x14ac:dyDescent="0.2">
      <c r="A1794" s="26"/>
      <c r="B1794" s="26"/>
      <c r="C1794" s="26"/>
      <c r="D1794" s="26"/>
      <c r="E1794" s="26"/>
      <c r="F1794" s="28" t="e">
        <f ca="1">_xludf.ifna(VLOOKUP(G1794,Proyectos!$A$2:$F$674,6,0),"")</f>
        <v>#NAME?</v>
      </c>
      <c r="G1794" s="26"/>
      <c r="H1794" s="32"/>
      <c r="I1794" s="32"/>
      <c r="J1794" s="32"/>
      <c r="K1794" s="32"/>
      <c r="L1794" s="32" t="e">
        <f ca="1">_xludf.ifna(VLOOKUP(E1794,Parámetros!$D$2:$E$34,2,0),"")</f>
        <v>#NAME?</v>
      </c>
      <c r="M1794" s="32" t="e">
        <f ca="1">_xludf.ifna(VLOOKUP(G1794,Proyectos!$A$2:$T$674,20,0),"")</f>
        <v>#NAME?</v>
      </c>
      <c r="N1794" s="32" t="e">
        <f ca="1">_xludf.ifna(VLOOKUP(G1794,Proyectos!$A$2:$S$674,19,0))</f>
        <v>#NAME?</v>
      </c>
      <c r="O1794" s="32"/>
      <c r="P1794" s="32"/>
      <c r="Q1794" s="33"/>
      <c r="R1794" s="33"/>
      <c r="S1794" s="33"/>
      <c r="T1794" s="33"/>
      <c r="U1794" s="33"/>
      <c r="V1794" s="33"/>
      <c r="W1794" s="33"/>
    </row>
    <row r="1795" spans="1:23" ht="16.5" customHeight="1" x14ac:dyDescent="0.2">
      <c r="A1795" s="26"/>
      <c r="B1795" s="26"/>
      <c r="C1795" s="26"/>
      <c r="D1795" s="26"/>
      <c r="E1795" s="26"/>
      <c r="F1795" s="28" t="e">
        <f ca="1">_xludf.ifna(VLOOKUP(G1795,Proyectos!$A$2:$F$674,6,0),"")</f>
        <v>#NAME?</v>
      </c>
      <c r="G1795" s="26"/>
      <c r="H1795" s="32"/>
      <c r="I1795" s="32"/>
      <c r="J1795" s="32"/>
      <c r="K1795" s="32"/>
      <c r="L1795" s="32" t="e">
        <f ca="1">_xludf.ifna(VLOOKUP(E1795,Parámetros!$D$2:$E$34,2,0),"")</f>
        <v>#NAME?</v>
      </c>
      <c r="M1795" s="32" t="e">
        <f ca="1">_xludf.ifna(VLOOKUP(G1795,Proyectos!$A$2:$T$674,20,0),"")</f>
        <v>#NAME?</v>
      </c>
      <c r="N1795" s="32" t="e">
        <f ca="1">_xludf.ifna(VLOOKUP(G1795,Proyectos!$A$2:$S$674,19,0))</f>
        <v>#NAME?</v>
      </c>
      <c r="O1795" s="32"/>
      <c r="P1795" s="32"/>
      <c r="Q1795" s="33"/>
      <c r="R1795" s="33"/>
      <c r="S1795" s="33"/>
      <c r="T1795" s="33"/>
      <c r="U1795" s="33"/>
      <c r="V1795" s="33"/>
      <c r="W1795" s="33"/>
    </row>
    <row r="1796" spans="1:23" ht="16.5" customHeight="1" x14ac:dyDescent="0.2">
      <c r="A1796" s="26"/>
      <c r="B1796" s="26"/>
      <c r="C1796" s="26"/>
      <c r="D1796" s="26"/>
      <c r="E1796" s="26"/>
      <c r="F1796" s="28" t="e">
        <f ca="1">_xludf.ifna(VLOOKUP(G1796,Proyectos!$A$2:$F$674,6,0),"")</f>
        <v>#NAME?</v>
      </c>
      <c r="G1796" s="26"/>
      <c r="H1796" s="32"/>
      <c r="I1796" s="32"/>
      <c r="J1796" s="32"/>
      <c r="K1796" s="32"/>
      <c r="L1796" s="32" t="e">
        <f ca="1">_xludf.ifna(VLOOKUP(E1796,Parámetros!$D$2:$E$34,2,0),"")</f>
        <v>#NAME?</v>
      </c>
      <c r="M1796" s="32" t="e">
        <f ca="1">_xludf.ifna(VLOOKUP(G1796,Proyectos!$A$2:$T$674,20,0),"")</f>
        <v>#NAME?</v>
      </c>
      <c r="N1796" s="32" t="e">
        <f ca="1">_xludf.ifna(VLOOKUP(G1796,Proyectos!$A$2:$S$674,19,0))</f>
        <v>#NAME?</v>
      </c>
      <c r="O1796" s="32"/>
      <c r="P1796" s="32"/>
      <c r="Q1796" s="33"/>
      <c r="R1796" s="33"/>
      <c r="S1796" s="33"/>
      <c r="T1796" s="33"/>
      <c r="U1796" s="33"/>
      <c r="V1796" s="33"/>
      <c r="W1796" s="33"/>
    </row>
    <row r="1797" spans="1:23" ht="16.5" customHeight="1" x14ac:dyDescent="0.2">
      <c r="A1797" s="26"/>
      <c r="B1797" s="26"/>
      <c r="C1797" s="26"/>
      <c r="D1797" s="26"/>
      <c r="E1797" s="26"/>
      <c r="F1797" s="28" t="e">
        <f ca="1">_xludf.ifna(VLOOKUP(G1797,Proyectos!$A$2:$F$674,6,0),"")</f>
        <v>#NAME?</v>
      </c>
      <c r="G1797" s="26"/>
      <c r="H1797" s="32"/>
      <c r="I1797" s="32"/>
      <c r="J1797" s="32"/>
      <c r="K1797" s="32"/>
      <c r="L1797" s="32" t="e">
        <f ca="1">_xludf.ifna(VLOOKUP(E1797,Parámetros!$D$2:$E$34,2,0),"")</f>
        <v>#NAME?</v>
      </c>
      <c r="M1797" s="32" t="e">
        <f ca="1">_xludf.ifna(VLOOKUP(G1797,Proyectos!$A$2:$T$674,20,0),"")</f>
        <v>#NAME?</v>
      </c>
      <c r="N1797" s="32" t="e">
        <f ca="1">_xludf.ifna(VLOOKUP(G1797,Proyectos!$A$2:$S$674,19,0))</f>
        <v>#NAME?</v>
      </c>
      <c r="O1797" s="32"/>
      <c r="P1797" s="32"/>
      <c r="Q1797" s="33"/>
      <c r="R1797" s="33"/>
      <c r="S1797" s="33"/>
      <c r="T1797" s="33"/>
      <c r="U1797" s="33"/>
      <c r="V1797" s="33"/>
      <c r="W1797" s="33"/>
    </row>
    <row r="1798" spans="1:23" ht="16.5" customHeight="1" x14ac:dyDescent="0.2">
      <c r="A1798" s="26"/>
      <c r="B1798" s="26"/>
      <c r="C1798" s="26"/>
      <c r="D1798" s="26"/>
      <c r="E1798" s="26"/>
      <c r="F1798" s="28" t="e">
        <f ca="1">_xludf.ifna(VLOOKUP(G1798,Proyectos!$A$2:$F$674,6,0),"")</f>
        <v>#NAME?</v>
      </c>
      <c r="G1798" s="26"/>
      <c r="H1798" s="32"/>
      <c r="I1798" s="32"/>
      <c r="J1798" s="32"/>
      <c r="K1798" s="32"/>
      <c r="L1798" s="32" t="e">
        <f ca="1">_xludf.ifna(VLOOKUP(E1798,Parámetros!$D$2:$E$34,2,0),"")</f>
        <v>#NAME?</v>
      </c>
      <c r="M1798" s="32" t="e">
        <f ca="1">_xludf.ifna(VLOOKUP(G1798,Proyectos!$A$2:$T$674,20,0),"")</f>
        <v>#NAME?</v>
      </c>
      <c r="N1798" s="32" t="e">
        <f ca="1">_xludf.ifna(VLOOKUP(G1798,Proyectos!$A$2:$S$674,19,0))</f>
        <v>#NAME?</v>
      </c>
      <c r="O1798" s="32"/>
      <c r="P1798" s="32"/>
      <c r="Q1798" s="33"/>
      <c r="R1798" s="33"/>
      <c r="S1798" s="33"/>
      <c r="T1798" s="33"/>
      <c r="U1798" s="33"/>
      <c r="V1798" s="33"/>
      <c r="W1798" s="33"/>
    </row>
    <row r="1799" spans="1:23" ht="16.5" customHeight="1" x14ac:dyDescent="0.2">
      <c r="A1799" s="26"/>
      <c r="B1799" s="26"/>
      <c r="C1799" s="26"/>
      <c r="D1799" s="26"/>
      <c r="E1799" s="26"/>
      <c r="F1799" s="28" t="e">
        <f ca="1">_xludf.ifna(VLOOKUP(G1799,Proyectos!$A$2:$F$674,6,0),"")</f>
        <v>#NAME?</v>
      </c>
      <c r="G1799" s="26"/>
      <c r="H1799" s="32"/>
      <c r="I1799" s="32"/>
      <c r="J1799" s="32"/>
      <c r="K1799" s="32"/>
      <c r="L1799" s="32" t="e">
        <f ca="1">_xludf.ifna(VLOOKUP(E1799,Parámetros!$D$2:$E$34,2,0),"")</f>
        <v>#NAME?</v>
      </c>
      <c r="M1799" s="32" t="e">
        <f ca="1">_xludf.ifna(VLOOKUP(G1799,Proyectos!$A$2:$T$674,20,0),"")</f>
        <v>#NAME?</v>
      </c>
      <c r="N1799" s="32" t="e">
        <f ca="1">_xludf.ifna(VLOOKUP(G1799,Proyectos!$A$2:$S$674,19,0))</f>
        <v>#NAME?</v>
      </c>
      <c r="O1799" s="32"/>
      <c r="P1799" s="32"/>
      <c r="Q1799" s="33"/>
      <c r="R1799" s="33"/>
      <c r="S1799" s="33"/>
      <c r="T1799" s="33"/>
      <c r="U1799" s="33"/>
      <c r="V1799" s="33"/>
      <c r="W1799" s="33"/>
    </row>
    <row r="1800" spans="1:23" ht="16.5" customHeight="1" x14ac:dyDescent="0.2">
      <c r="A1800" s="26"/>
      <c r="B1800" s="26"/>
      <c r="C1800" s="26"/>
      <c r="D1800" s="26"/>
      <c r="E1800" s="26"/>
      <c r="F1800" s="28" t="e">
        <f ca="1">_xludf.ifna(VLOOKUP(G1800,Proyectos!$A$2:$F$674,6,0),"")</f>
        <v>#NAME?</v>
      </c>
      <c r="G1800" s="26"/>
      <c r="H1800" s="32"/>
      <c r="I1800" s="32"/>
      <c r="J1800" s="32"/>
      <c r="K1800" s="32"/>
      <c r="L1800" s="32" t="e">
        <f ca="1">_xludf.ifna(VLOOKUP(E1800,Parámetros!$D$2:$E$34,2,0),"")</f>
        <v>#NAME?</v>
      </c>
      <c r="M1800" s="32" t="e">
        <f ca="1">_xludf.ifna(VLOOKUP(G1800,Proyectos!$A$2:$T$674,20,0),"")</f>
        <v>#NAME?</v>
      </c>
      <c r="N1800" s="32" t="e">
        <f ca="1">_xludf.ifna(VLOOKUP(G1800,Proyectos!$A$2:$S$674,19,0))</f>
        <v>#NAME?</v>
      </c>
      <c r="O1800" s="32"/>
      <c r="P1800" s="32"/>
      <c r="Q1800" s="33"/>
      <c r="R1800" s="33"/>
      <c r="S1800" s="33"/>
      <c r="T1800" s="33"/>
      <c r="U1800" s="33"/>
      <c r="V1800" s="33"/>
      <c r="W1800" s="33"/>
    </row>
    <row r="1801" spans="1:23" ht="16.5" customHeight="1" x14ac:dyDescent="0.2">
      <c r="A1801" s="26"/>
      <c r="B1801" s="26"/>
      <c r="C1801" s="26"/>
      <c r="D1801" s="26"/>
      <c r="E1801" s="26"/>
      <c r="F1801" s="28" t="e">
        <f ca="1">_xludf.ifna(VLOOKUP(G1801,Proyectos!$A$2:$F$674,6,0),"")</f>
        <v>#NAME?</v>
      </c>
      <c r="G1801" s="26"/>
      <c r="H1801" s="32"/>
      <c r="I1801" s="32"/>
      <c r="J1801" s="32"/>
      <c r="K1801" s="32"/>
      <c r="L1801" s="32" t="e">
        <f ca="1">_xludf.ifna(VLOOKUP(E1801,Parámetros!$D$2:$E$34,2,0),"")</f>
        <v>#NAME?</v>
      </c>
      <c r="M1801" s="32" t="e">
        <f ca="1">_xludf.ifna(VLOOKUP(G1801,Proyectos!$A$2:$T$674,20,0),"")</f>
        <v>#NAME?</v>
      </c>
      <c r="N1801" s="32" t="e">
        <f ca="1">_xludf.ifna(VLOOKUP(G1801,Proyectos!$A$2:$S$674,19,0))</f>
        <v>#NAME?</v>
      </c>
      <c r="O1801" s="32"/>
      <c r="P1801" s="32"/>
      <c r="Q1801" s="33"/>
      <c r="R1801" s="33"/>
      <c r="S1801" s="33"/>
      <c r="T1801" s="33"/>
      <c r="U1801" s="33"/>
      <c r="V1801" s="33"/>
      <c r="W1801" s="33"/>
    </row>
    <row r="1802" spans="1:23" ht="16.5" customHeight="1" x14ac:dyDescent="0.2">
      <c r="A1802" s="26"/>
      <c r="B1802" s="26"/>
      <c r="C1802" s="26"/>
      <c r="D1802" s="26"/>
      <c r="E1802" s="26"/>
      <c r="F1802" s="28" t="e">
        <f ca="1">_xludf.ifna(VLOOKUP(G1802,Proyectos!$A$2:$F$674,6,0),"")</f>
        <v>#NAME?</v>
      </c>
      <c r="G1802" s="26"/>
      <c r="H1802" s="32"/>
      <c r="I1802" s="32"/>
      <c r="J1802" s="32"/>
      <c r="K1802" s="32"/>
      <c r="L1802" s="32" t="e">
        <f ca="1">_xludf.ifna(VLOOKUP(E1802,Parámetros!$D$2:$E$34,2,0),"")</f>
        <v>#NAME?</v>
      </c>
      <c r="M1802" s="32" t="e">
        <f ca="1">_xludf.ifna(VLOOKUP(G1802,Proyectos!$A$2:$T$674,20,0),"")</f>
        <v>#NAME?</v>
      </c>
      <c r="N1802" s="32" t="e">
        <f ca="1">_xludf.ifna(VLOOKUP(G1802,Proyectos!$A$2:$S$674,19,0))</f>
        <v>#NAME?</v>
      </c>
      <c r="O1802" s="32"/>
      <c r="P1802" s="32"/>
      <c r="Q1802" s="33"/>
      <c r="R1802" s="33"/>
      <c r="S1802" s="33"/>
      <c r="T1802" s="33"/>
      <c r="U1802" s="33"/>
      <c r="V1802" s="33"/>
      <c r="W1802" s="33"/>
    </row>
    <row r="1803" spans="1:23" ht="16.5" customHeight="1" x14ac:dyDescent="0.2">
      <c r="A1803" s="26"/>
      <c r="B1803" s="26"/>
      <c r="C1803" s="26"/>
      <c r="D1803" s="26"/>
      <c r="E1803" s="26"/>
      <c r="F1803" s="28" t="e">
        <f ca="1">_xludf.ifna(VLOOKUP(G1803,Proyectos!$A$2:$F$674,6,0),"")</f>
        <v>#NAME?</v>
      </c>
      <c r="G1803" s="26"/>
      <c r="H1803" s="32"/>
      <c r="I1803" s="32"/>
      <c r="J1803" s="32"/>
      <c r="K1803" s="32"/>
      <c r="L1803" s="32" t="e">
        <f ca="1">_xludf.ifna(VLOOKUP(E1803,Parámetros!$D$2:$E$34,2,0),"")</f>
        <v>#NAME?</v>
      </c>
      <c r="M1803" s="32" t="e">
        <f ca="1">_xludf.ifna(VLOOKUP(G1803,Proyectos!$A$2:$T$674,20,0),"")</f>
        <v>#NAME?</v>
      </c>
      <c r="N1803" s="32" t="e">
        <f ca="1">_xludf.ifna(VLOOKUP(G1803,Proyectos!$A$2:$S$674,19,0))</f>
        <v>#NAME?</v>
      </c>
      <c r="O1803" s="32"/>
      <c r="P1803" s="32"/>
      <c r="Q1803" s="33"/>
      <c r="R1803" s="33"/>
      <c r="S1803" s="33"/>
      <c r="T1803" s="33"/>
      <c r="U1803" s="33"/>
      <c r="V1803" s="33"/>
      <c r="W1803" s="33"/>
    </row>
    <row r="1804" spans="1:23" ht="16.5" customHeight="1" x14ac:dyDescent="0.2">
      <c r="A1804" s="26"/>
      <c r="B1804" s="26"/>
      <c r="C1804" s="26"/>
      <c r="D1804" s="26"/>
      <c r="E1804" s="26"/>
      <c r="F1804" s="28" t="e">
        <f ca="1">_xludf.ifna(VLOOKUP(G1804,Proyectos!$A$2:$F$674,6,0),"")</f>
        <v>#NAME?</v>
      </c>
      <c r="G1804" s="26"/>
      <c r="H1804" s="32"/>
      <c r="I1804" s="32"/>
      <c r="J1804" s="32"/>
      <c r="K1804" s="32"/>
      <c r="L1804" s="32" t="e">
        <f ca="1">_xludf.ifna(VLOOKUP(E1804,Parámetros!$D$2:$E$34,2,0),"")</f>
        <v>#NAME?</v>
      </c>
      <c r="M1804" s="32" t="e">
        <f ca="1">_xludf.ifna(VLOOKUP(G1804,Proyectos!$A$2:$T$674,20,0),"")</f>
        <v>#NAME?</v>
      </c>
      <c r="N1804" s="32" t="e">
        <f ca="1">_xludf.ifna(VLOOKUP(G1804,Proyectos!$A$2:$S$674,19,0))</f>
        <v>#NAME?</v>
      </c>
      <c r="O1804" s="32"/>
      <c r="P1804" s="32"/>
      <c r="Q1804" s="33"/>
      <c r="R1804" s="33"/>
      <c r="S1804" s="33"/>
      <c r="T1804" s="33"/>
      <c r="U1804" s="33"/>
      <c r="V1804" s="33"/>
      <c r="W1804" s="33"/>
    </row>
    <row r="1805" spans="1:23" ht="16.5" customHeight="1" x14ac:dyDescent="0.2">
      <c r="A1805" s="26"/>
      <c r="B1805" s="26"/>
      <c r="C1805" s="26"/>
      <c r="D1805" s="26"/>
      <c r="E1805" s="26"/>
      <c r="F1805" s="28" t="e">
        <f ca="1">_xludf.ifna(VLOOKUP(G1805,Proyectos!$A$2:$F$674,6,0),"")</f>
        <v>#NAME?</v>
      </c>
      <c r="G1805" s="26"/>
      <c r="H1805" s="32"/>
      <c r="I1805" s="32"/>
      <c r="J1805" s="32"/>
      <c r="K1805" s="32"/>
      <c r="L1805" s="32" t="e">
        <f ca="1">_xludf.ifna(VLOOKUP(E1805,Parámetros!$D$2:$E$34,2,0),"")</f>
        <v>#NAME?</v>
      </c>
      <c r="M1805" s="32" t="e">
        <f ca="1">_xludf.ifna(VLOOKUP(G1805,Proyectos!$A$2:$T$674,20,0),"")</f>
        <v>#NAME?</v>
      </c>
      <c r="N1805" s="32" t="e">
        <f ca="1">_xludf.ifna(VLOOKUP(G1805,Proyectos!$A$2:$S$674,19,0))</f>
        <v>#NAME?</v>
      </c>
      <c r="O1805" s="32"/>
      <c r="P1805" s="32"/>
      <c r="Q1805" s="33"/>
      <c r="R1805" s="33"/>
      <c r="S1805" s="33"/>
      <c r="T1805" s="33"/>
      <c r="U1805" s="33"/>
      <c r="V1805" s="33"/>
      <c r="W1805" s="33"/>
    </row>
    <row r="1806" spans="1:23" ht="16.5" customHeight="1" x14ac:dyDescent="0.2">
      <c r="A1806" s="26"/>
      <c r="B1806" s="26"/>
      <c r="C1806" s="26"/>
      <c r="D1806" s="26"/>
      <c r="E1806" s="26"/>
      <c r="F1806" s="28" t="e">
        <f ca="1">_xludf.ifna(VLOOKUP(G1806,Proyectos!$A$2:$F$674,6,0),"")</f>
        <v>#NAME?</v>
      </c>
      <c r="G1806" s="26"/>
      <c r="H1806" s="32"/>
      <c r="I1806" s="32"/>
      <c r="J1806" s="32"/>
      <c r="K1806" s="32"/>
      <c r="L1806" s="32" t="e">
        <f ca="1">_xludf.ifna(VLOOKUP(E1806,Parámetros!$D$2:$E$34,2,0),"")</f>
        <v>#NAME?</v>
      </c>
      <c r="M1806" s="32" t="e">
        <f ca="1">_xludf.ifna(VLOOKUP(G1806,Proyectos!$A$2:$T$674,20,0),"")</f>
        <v>#NAME?</v>
      </c>
      <c r="N1806" s="32" t="e">
        <f ca="1">_xludf.ifna(VLOOKUP(G1806,Proyectos!$A$2:$S$674,19,0))</f>
        <v>#NAME?</v>
      </c>
      <c r="O1806" s="32"/>
      <c r="P1806" s="32"/>
      <c r="Q1806" s="33"/>
      <c r="R1806" s="33"/>
      <c r="S1806" s="33"/>
      <c r="T1806" s="33"/>
      <c r="U1806" s="33"/>
      <c r="V1806" s="33"/>
      <c r="W1806" s="33"/>
    </row>
    <row r="1807" spans="1:23" ht="16.5" customHeight="1" x14ac:dyDescent="0.2">
      <c r="A1807" s="26"/>
      <c r="B1807" s="26"/>
      <c r="C1807" s="26"/>
      <c r="D1807" s="26"/>
      <c r="E1807" s="26"/>
      <c r="F1807" s="28" t="e">
        <f ca="1">_xludf.ifna(VLOOKUP(G1807,Proyectos!$A$2:$F$674,6,0),"")</f>
        <v>#NAME?</v>
      </c>
      <c r="G1807" s="26"/>
      <c r="H1807" s="32"/>
      <c r="I1807" s="32"/>
      <c r="J1807" s="32"/>
      <c r="K1807" s="32"/>
      <c r="L1807" s="32" t="e">
        <f ca="1">_xludf.ifna(VLOOKUP(E1807,Parámetros!$D$2:$E$34,2,0),"")</f>
        <v>#NAME?</v>
      </c>
      <c r="M1807" s="32" t="e">
        <f ca="1">_xludf.ifna(VLOOKUP(G1807,Proyectos!$A$2:$T$674,20,0),"")</f>
        <v>#NAME?</v>
      </c>
      <c r="N1807" s="32" t="e">
        <f ca="1">_xludf.ifna(VLOOKUP(G1807,Proyectos!$A$2:$S$674,19,0))</f>
        <v>#NAME?</v>
      </c>
      <c r="O1807" s="32"/>
      <c r="P1807" s="32"/>
      <c r="Q1807" s="33"/>
      <c r="R1807" s="33"/>
      <c r="S1807" s="33"/>
      <c r="T1807" s="33"/>
      <c r="U1807" s="33"/>
      <c r="V1807" s="33"/>
      <c r="W1807" s="33"/>
    </row>
    <row r="1808" spans="1:23" ht="16.5" customHeight="1" x14ac:dyDescent="0.2">
      <c r="A1808" s="26"/>
      <c r="B1808" s="26"/>
      <c r="C1808" s="26"/>
      <c r="D1808" s="26"/>
      <c r="E1808" s="26"/>
      <c r="F1808" s="28" t="e">
        <f ca="1">_xludf.ifna(VLOOKUP(G1808,Proyectos!$A$2:$F$674,6,0),"")</f>
        <v>#NAME?</v>
      </c>
      <c r="G1808" s="26"/>
      <c r="H1808" s="32"/>
      <c r="I1808" s="32"/>
      <c r="J1808" s="32"/>
      <c r="K1808" s="32"/>
      <c r="L1808" s="32" t="e">
        <f ca="1">_xludf.ifna(VLOOKUP(E1808,Parámetros!$D$2:$E$34,2,0),"")</f>
        <v>#NAME?</v>
      </c>
      <c r="M1808" s="32" t="e">
        <f ca="1">_xludf.ifna(VLOOKUP(G1808,Proyectos!$A$2:$T$674,20,0),"")</f>
        <v>#NAME?</v>
      </c>
      <c r="N1808" s="32" t="e">
        <f ca="1">_xludf.ifna(VLOOKUP(G1808,Proyectos!$A$2:$S$674,19,0))</f>
        <v>#NAME?</v>
      </c>
      <c r="O1808" s="32"/>
      <c r="P1808" s="32"/>
      <c r="Q1808" s="33"/>
      <c r="R1808" s="33"/>
      <c r="S1808" s="33"/>
      <c r="T1808" s="33"/>
      <c r="U1808" s="33"/>
      <c r="V1808" s="33"/>
      <c r="W1808" s="33"/>
    </row>
    <row r="1809" spans="1:23" ht="16.5" customHeight="1" x14ac:dyDescent="0.2">
      <c r="A1809" s="26"/>
      <c r="B1809" s="26"/>
      <c r="C1809" s="26"/>
      <c r="D1809" s="26"/>
      <c r="E1809" s="26"/>
      <c r="F1809" s="28" t="e">
        <f ca="1">_xludf.ifna(VLOOKUP(G1809,Proyectos!$A$2:$F$674,6,0),"")</f>
        <v>#NAME?</v>
      </c>
      <c r="G1809" s="26"/>
      <c r="H1809" s="32"/>
      <c r="I1809" s="32"/>
      <c r="J1809" s="32"/>
      <c r="K1809" s="32"/>
      <c r="L1809" s="32" t="e">
        <f ca="1">_xludf.ifna(VLOOKUP(E1809,Parámetros!$D$2:$E$34,2,0),"")</f>
        <v>#NAME?</v>
      </c>
      <c r="M1809" s="32" t="e">
        <f ca="1">_xludf.ifna(VLOOKUP(G1809,Proyectos!$A$2:$T$674,20,0),"")</f>
        <v>#NAME?</v>
      </c>
      <c r="N1809" s="32" t="e">
        <f ca="1">_xludf.ifna(VLOOKUP(G1809,Proyectos!$A$2:$S$674,19,0))</f>
        <v>#NAME?</v>
      </c>
      <c r="O1809" s="32"/>
      <c r="P1809" s="32"/>
      <c r="Q1809" s="33"/>
      <c r="R1809" s="33"/>
      <c r="S1809" s="33"/>
      <c r="T1809" s="33"/>
      <c r="U1809" s="33"/>
      <c r="V1809" s="33"/>
      <c r="W1809" s="33"/>
    </row>
    <row r="1810" spans="1:23" ht="16.5" customHeight="1" x14ac:dyDescent="0.2">
      <c r="A1810" s="26"/>
      <c r="B1810" s="26"/>
      <c r="C1810" s="26"/>
      <c r="D1810" s="26"/>
      <c r="E1810" s="26"/>
      <c r="F1810" s="28" t="e">
        <f ca="1">_xludf.ifna(VLOOKUP(G1810,Proyectos!$A$2:$F$674,6,0),"")</f>
        <v>#NAME?</v>
      </c>
      <c r="G1810" s="26"/>
      <c r="H1810" s="32"/>
      <c r="I1810" s="32"/>
      <c r="J1810" s="32"/>
      <c r="K1810" s="32"/>
      <c r="L1810" s="32" t="e">
        <f ca="1">_xludf.ifna(VLOOKUP(E1810,Parámetros!$D$2:$E$34,2,0),"")</f>
        <v>#NAME?</v>
      </c>
      <c r="M1810" s="32" t="e">
        <f ca="1">_xludf.ifna(VLOOKUP(G1810,Proyectos!$A$2:$T$674,20,0),"")</f>
        <v>#NAME?</v>
      </c>
      <c r="N1810" s="32" t="e">
        <f ca="1">_xludf.ifna(VLOOKUP(G1810,Proyectos!$A$2:$S$674,19,0))</f>
        <v>#NAME?</v>
      </c>
      <c r="O1810" s="32"/>
      <c r="P1810" s="32"/>
      <c r="Q1810" s="33"/>
      <c r="R1810" s="33"/>
      <c r="S1810" s="33"/>
      <c r="T1810" s="33"/>
      <c r="U1810" s="33"/>
      <c r="V1810" s="33"/>
      <c r="W1810" s="33"/>
    </row>
    <row r="1811" spans="1:23" ht="16.5" customHeight="1" x14ac:dyDescent="0.2">
      <c r="A1811" s="26"/>
      <c r="B1811" s="26"/>
      <c r="C1811" s="26"/>
      <c r="D1811" s="26"/>
      <c r="E1811" s="26"/>
      <c r="F1811" s="28" t="e">
        <f ca="1">_xludf.ifna(VLOOKUP(G1811,Proyectos!$A$2:$F$674,6,0),"")</f>
        <v>#NAME?</v>
      </c>
      <c r="G1811" s="26"/>
      <c r="H1811" s="32"/>
      <c r="I1811" s="32"/>
      <c r="J1811" s="32"/>
      <c r="K1811" s="32"/>
      <c r="L1811" s="32" t="e">
        <f ca="1">_xludf.ifna(VLOOKUP(E1811,Parámetros!$D$2:$E$34,2,0),"")</f>
        <v>#NAME?</v>
      </c>
      <c r="M1811" s="32" t="e">
        <f ca="1">_xludf.ifna(VLOOKUP(G1811,Proyectos!$A$2:$T$674,20,0),"")</f>
        <v>#NAME?</v>
      </c>
      <c r="N1811" s="32" t="e">
        <f ca="1">_xludf.ifna(VLOOKUP(G1811,Proyectos!$A$2:$S$674,19,0))</f>
        <v>#NAME?</v>
      </c>
      <c r="O1811" s="32"/>
      <c r="P1811" s="32"/>
      <c r="Q1811" s="33"/>
      <c r="R1811" s="33"/>
      <c r="S1811" s="33"/>
      <c r="T1811" s="33"/>
      <c r="U1811" s="33"/>
      <c r="V1811" s="33"/>
      <c r="W1811" s="33"/>
    </row>
    <row r="1812" spans="1:23" ht="16.5" customHeight="1" x14ac:dyDescent="0.2">
      <c r="A1812" s="26"/>
      <c r="B1812" s="26"/>
      <c r="C1812" s="26"/>
      <c r="D1812" s="26"/>
      <c r="E1812" s="26"/>
      <c r="F1812" s="28" t="e">
        <f ca="1">_xludf.ifna(VLOOKUP(G1812,Proyectos!$A$2:$F$674,6,0),"")</f>
        <v>#NAME?</v>
      </c>
      <c r="G1812" s="26"/>
      <c r="H1812" s="32"/>
      <c r="I1812" s="32"/>
      <c r="J1812" s="32"/>
      <c r="K1812" s="32"/>
      <c r="L1812" s="32" t="e">
        <f ca="1">_xludf.ifna(VLOOKUP(E1812,Parámetros!$D$2:$E$34,2,0),"")</f>
        <v>#NAME?</v>
      </c>
      <c r="M1812" s="32" t="e">
        <f ca="1">_xludf.ifna(VLOOKUP(G1812,Proyectos!$A$2:$T$674,20,0),"")</f>
        <v>#NAME?</v>
      </c>
      <c r="N1812" s="32" t="e">
        <f ca="1">_xludf.ifna(VLOOKUP(G1812,Proyectos!$A$2:$S$674,19,0))</f>
        <v>#NAME?</v>
      </c>
      <c r="O1812" s="32"/>
      <c r="P1812" s="32"/>
      <c r="Q1812" s="33"/>
      <c r="R1812" s="33"/>
      <c r="S1812" s="33"/>
      <c r="T1812" s="33"/>
      <c r="U1812" s="33"/>
      <c r="V1812" s="33"/>
      <c r="W1812" s="33"/>
    </row>
    <row r="1813" spans="1:23" ht="16.5" customHeight="1" x14ac:dyDescent="0.2">
      <c r="A1813" s="26"/>
      <c r="B1813" s="26"/>
      <c r="C1813" s="26"/>
      <c r="D1813" s="26"/>
      <c r="E1813" s="26"/>
      <c r="F1813" s="28" t="e">
        <f ca="1">_xludf.ifna(VLOOKUP(G1813,Proyectos!$A$2:$F$674,6,0),"")</f>
        <v>#NAME?</v>
      </c>
      <c r="G1813" s="26"/>
      <c r="H1813" s="32"/>
      <c r="I1813" s="32"/>
      <c r="J1813" s="32"/>
      <c r="K1813" s="32"/>
      <c r="L1813" s="32" t="e">
        <f ca="1">_xludf.ifna(VLOOKUP(E1813,Parámetros!$D$2:$E$34,2,0),"")</f>
        <v>#NAME?</v>
      </c>
      <c r="M1813" s="32" t="e">
        <f ca="1">_xludf.ifna(VLOOKUP(G1813,Proyectos!$A$2:$T$674,20,0),"")</f>
        <v>#NAME?</v>
      </c>
      <c r="N1813" s="32" t="e">
        <f ca="1">_xludf.ifna(VLOOKUP(G1813,Proyectos!$A$2:$S$674,19,0))</f>
        <v>#NAME?</v>
      </c>
      <c r="O1813" s="32"/>
      <c r="P1813" s="32"/>
      <c r="Q1813" s="33"/>
      <c r="R1813" s="33"/>
      <c r="S1813" s="33"/>
      <c r="T1813" s="33"/>
      <c r="U1813" s="33"/>
      <c r="V1813" s="33"/>
      <c r="W1813" s="33"/>
    </row>
    <row r="1814" spans="1:23" ht="16.5" customHeight="1" x14ac:dyDescent="0.2">
      <c r="A1814" s="26"/>
      <c r="B1814" s="26"/>
      <c r="C1814" s="26"/>
      <c r="D1814" s="26"/>
      <c r="E1814" s="26"/>
      <c r="F1814" s="28" t="e">
        <f ca="1">_xludf.ifna(VLOOKUP(G1814,Proyectos!$A$2:$F$674,6,0),"")</f>
        <v>#NAME?</v>
      </c>
      <c r="G1814" s="26"/>
      <c r="H1814" s="32"/>
      <c r="I1814" s="32"/>
      <c r="J1814" s="32"/>
      <c r="K1814" s="32"/>
      <c r="L1814" s="32" t="e">
        <f ca="1">_xludf.ifna(VLOOKUP(E1814,Parámetros!$D$2:$E$34,2,0),"")</f>
        <v>#NAME?</v>
      </c>
      <c r="M1814" s="32" t="e">
        <f ca="1">_xludf.ifna(VLOOKUP(G1814,Proyectos!$A$2:$T$674,20,0),"")</f>
        <v>#NAME?</v>
      </c>
      <c r="N1814" s="32" t="e">
        <f ca="1">_xludf.ifna(VLOOKUP(G1814,Proyectos!$A$2:$S$674,19,0))</f>
        <v>#NAME?</v>
      </c>
      <c r="O1814" s="32"/>
      <c r="P1814" s="32"/>
      <c r="Q1814" s="33"/>
      <c r="R1814" s="33"/>
      <c r="S1814" s="33"/>
      <c r="T1814" s="33"/>
      <c r="U1814" s="33"/>
      <c r="V1814" s="33"/>
      <c r="W1814" s="33"/>
    </row>
    <row r="1815" spans="1:23" ht="16.5" customHeight="1" x14ac:dyDescent="0.2">
      <c r="A1815" s="26"/>
      <c r="B1815" s="26"/>
      <c r="C1815" s="26"/>
      <c r="D1815" s="26"/>
      <c r="E1815" s="26"/>
      <c r="F1815" s="28" t="e">
        <f ca="1">_xludf.ifna(VLOOKUP(G1815,Proyectos!$A$2:$F$674,6,0),"")</f>
        <v>#NAME?</v>
      </c>
      <c r="G1815" s="26"/>
      <c r="H1815" s="32"/>
      <c r="I1815" s="32"/>
      <c r="J1815" s="32"/>
      <c r="K1815" s="32"/>
      <c r="L1815" s="32" t="e">
        <f ca="1">_xludf.ifna(VLOOKUP(E1815,Parámetros!$D$2:$E$34,2,0),"")</f>
        <v>#NAME?</v>
      </c>
      <c r="M1815" s="32" t="e">
        <f ca="1">_xludf.ifna(VLOOKUP(G1815,Proyectos!$A$2:$T$674,20,0),"")</f>
        <v>#NAME?</v>
      </c>
      <c r="N1815" s="32" t="e">
        <f ca="1">_xludf.ifna(VLOOKUP(G1815,Proyectos!$A$2:$S$674,19,0))</f>
        <v>#NAME?</v>
      </c>
      <c r="O1815" s="32"/>
      <c r="P1815" s="32"/>
      <c r="Q1815" s="33"/>
      <c r="R1815" s="33"/>
      <c r="S1815" s="33"/>
      <c r="T1815" s="33"/>
      <c r="U1815" s="33"/>
      <c r="V1815" s="33"/>
      <c r="W1815" s="33"/>
    </row>
    <row r="1816" spans="1:23" ht="16.5" customHeight="1" x14ac:dyDescent="0.2">
      <c r="A1816" s="26"/>
      <c r="B1816" s="26"/>
      <c r="C1816" s="26"/>
      <c r="D1816" s="26"/>
      <c r="E1816" s="26"/>
      <c r="F1816" s="28" t="e">
        <f ca="1">_xludf.ifna(VLOOKUP(G1816,Proyectos!$A$2:$F$674,6,0),"")</f>
        <v>#NAME?</v>
      </c>
      <c r="G1816" s="26"/>
      <c r="H1816" s="32"/>
      <c r="I1816" s="32"/>
      <c r="J1816" s="32"/>
      <c r="K1816" s="32"/>
      <c r="L1816" s="32" t="e">
        <f ca="1">_xludf.ifna(VLOOKUP(E1816,Parámetros!$D$2:$E$34,2,0),"")</f>
        <v>#NAME?</v>
      </c>
      <c r="M1816" s="32" t="e">
        <f ca="1">_xludf.ifna(VLOOKUP(G1816,Proyectos!$A$2:$T$674,20,0),"")</f>
        <v>#NAME?</v>
      </c>
      <c r="N1816" s="32" t="e">
        <f ca="1">_xludf.ifna(VLOOKUP(G1816,Proyectos!$A$2:$S$674,19,0))</f>
        <v>#NAME?</v>
      </c>
      <c r="O1816" s="32"/>
      <c r="P1816" s="32"/>
      <c r="Q1816" s="33"/>
      <c r="R1816" s="33"/>
      <c r="S1816" s="33"/>
      <c r="T1816" s="63">
        <f t="shared" ref="T1816:T2070" si="17">IF(B1816=B1815,0,1)</f>
        <v>0</v>
      </c>
      <c r="U1816" s="33"/>
      <c r="V1816" s="33"/>
      <c r="W1816" s="33"/>
    </row>
    <row r="1817" spans="1:23" ht="16.5" customHeight="1" x14ac:dyDescent="0.2">
      <c r="A1817" s="26"/>
      <c r="B1817" s="26"/>
      <c r="C1817" s="26"/>
      <c r="D1817" s="26"/>
      <c r="E1817" s="26"/>
      <c r="F1817" s="28" t="e">
        <f ca="1">_xludf.ifna(VLOOKUP(G1817,Proyectos!$A$2:$F$674,6,0),"")</f>
        <v>#NAME?</v>
      </c>
      <c r="G1817" s="26"/>
      <c r="H1817" s="32"/>
      <c r="I1817" s="32"/>
      <c r="J1817" s="32"/>
      <c r="K1817" s="32"/>
      <c r="L1817" s="32" t="e">
        <f ca="1">_xludf.ifna(VLOOKUP(E1817,Parámetros!$D$2:$E$34,2,0),"")</f>
        <v>#NAME?</v>
      </c>
      <c r="M1817" s="32" t="e">
        <f ca="1">_xludf.ifna(VLOOKUP(G1817,Proyectos!$A$2:$T$674,20,0),"")</f>
        <v>#NAME?</v>
      </c>
      <c r="N1817" s="32" t="e">
        <f ca="1">_xludf.ifna(VLOOKUP(G1817,Proyectos!$A$2:$S$674,19,0))</f>
        <v>#NAME?</v>
      </c>
      <c r="O1817" s="32"/>
      <c r="P1817" s="32"/>
      <c r="Q1817" s="33"/>
      <c r="R1817" s="33"/>
      <c r="S1817" s="33"/>
      <c r="T1817" s="63">
        <f t="shared" si="17"/>
        <v>0</v>
      </c>
      <c r="U1817" s="33"/>
      <c r="V1817" s="33"/>
      <c r="W1817" s="33"/>
    </row>
    <row r="1818" spans="1:23" ht="16.5" customHeight="1" x14ac:dyDescent="0.2">
      <c r="A1818" s="26"/>
      <c r="B1818" s="26"/>
      <c r="C1818" s="26"/>
      <c r="D1818" s="26"/>
      <c r="E1818" s="26"/>
      <c r="F1818" s="28" t="e">
        <f ca="1">_xludf.ifna(VLOOKUP(G1818,Proyectos!$A$2:$F$674,6,0),"")</f>
        <v>#NAME?</v>
      </c>
      <c r="G1818" s="26"/>
      <c r="H1818" s="32"/>
      <c r="I1818" s="32"/>
      <c r="J1818" s="32"/>
      <c r="K1818" s="32"/>
      <c r="L1818" s="32" t="e">
        <f ca="1">_xludf.ifna(VLOOKUP(E1818,Parámetros!$D$2:$E$34,2,0),"")</f>
        <v>#NAME?</v>
      </c>
      <c r="M1818" s="32" t="e">
        <f ca="1">_xludf.ifna(VLOOKUP(G1818,Proyectos!$A$2:$T$674,20,0),"")</f>
        <v>#NAME?</v>
      </c>
      <c r="N1818" s="32" t="e">
        <f ca="1">_xludf.ifna(VLOOKUP(G1818,Proyectos!$A$2:$S$674,19,0))</f>
        <v>#NAME?</v>
      </c>
      <c r="O1818" s="32"/>
      <c r="P1818" s="32"/>
      <c r="Q1818" s="33"/>
      <c r="R1818" s="33"/>
      <c r="S1818" s="33"/>
      <c r="T1818" s="63">
        <f t="shared" si="17"/>
        <v>0</v>
      </c>
      <c r="U1818" s="33"/>
      <c r="V1818" s="33"/>
      <c r="W1818" s="33"/>
    </row>
    <row r="1819" spans="1:23" ht="16.5" customHeight="1" x14ac:dyDescent="0.2">
      <c r="A1819" s="26"/>
      <c r="B1819" s="26"/>
      <c r="C1819" s="26"/>
      <c r="D1819" s="26"/>
      <c r="E1819" s="26"/>
      <c r="F1819" s="28" t="e">
        <f ca="1">_xludf.ifna(VLOOKUP(G1819,Proyectos!$A$2:$F$674,6,0),"")</f>
        <v>#NAME?</v>
      </c>
      <c r="G1819" s="26"/>
      <c r="H1819" s="32"/>
      <c r="I1819" s="32"/>
      <c r="J1819" s="32"/>
      <c r="K1819" s="32"/>
      <c r="L1819" s="32" t="e">
        <f ca="1">_xludf.ifna(VLOOKUP(E1819,Parámetros!$D$2:$E$34,2,0),"")</f>
        <v>#NAME?</v>
      </c>
      <c r="M1819" s="32" t="e">
        <f ca="1">_xludf.ifna(VLOOKUP(G1819,Proyectos!$A$2:$T$674,20,0),"")</f>
        <v>#NAME?</v>
      </c>
      <c r="N1819" s="32" t="e">
        <f ca="1">_xludf.ifna(VLOOKUP(G1819,Proyectos!$A$2:$S$674,19,0))</f>
        <v>#NAME?</v>
      </c>
      <c r="O1819" s="32"/>
      <c r="P1819" s="32"/>
      <c r="Q1819" s="33"/>
      <c r="R1819" s="33"/>
      <c r="S1819" s="33"/>
      <c r="T1819" s="63">
        <f t="shared" si="17"/>
        <v>0</v>
      </c>
      <c r="U1819" s="33"/>
      <c r="V1819" s="33"/>
      <c r="W1819" s="33"/>
    </row>
    <row r="1820" spans="1:23" ht="16.5" customHeight="1" x14ac:dyDescent="0.2">
      <c r="A1820" s="26"/>
      <c r="B1820" s="26"/>
      <c r="C1820" s="26"/>
      <c r="D1820" s="26"/>
      <c r="E1820" s="26"/>
      <c r="F1820" s="28" t="e">
        <f ca="1">_xludf.ifna(VLOOKUP(G1820,Proyectos!$A$2:$F$674,6,0),"")</f>
        <v>#NAME?</v>
      </c>
      <c r="G1820" s="26"/>
      <c r="H1820" s="32"/>
      <c r="I1820" s="32"/>
      <c r="J1820" s="32"/>
      <c r="K1820" s="32"/>
      <c r="L1820" s="32" t="e">
        <f ca="1">_xludf.ifna(VLOOKUP(E1820,Parámetros!$D$2:$E$34,2,0),"")</f>
        <v>#NAME?</v>
      </c>
      <c r="M1820" s="32" t="e">
        <f ca="1">_xludf.ifna(VLOOKUP(G1820,Proyectos!$A$2:$T$674,20,0),"")</f>
        <v>#NAME?</v>
      </c>
      <c r="N1820" s="32" t="e">
        <f ca="1">_xludf.ifna(VLOOKUP(G1820,Proyectos!$A$2:$S$674,19,0))</f>
        <v>#NAME?</v>
      </c>
      <c r="O1820" s="32"/>
      <c r="P1820" s="32"/>
      <c r="Q1820" s="33"/>
      <c r="R1820" s="33"/>
      <c r="S1820" s="33"/>
      <c r="T1820" s="63">
        <f t="shared" si="17"/>
        <v>0</v>
      </c>
      <c r="U1820" s="33"/>
      <c r="V1820" s="33"/>
      <c r="W1820" s="33"/>
    </row>
    <row r="1821" spans="1:23" ht="16.5" customHeight="1" x14ac:dyDescent="0.2">
      <c r="A1821" s="26"/>
      <c r="B1821" s="26"/>
      <c r="C1821" s="26"/>
      <c r="D1821" s="26"/>
      <c r="E1821" s="26"/>
      <c r="F1821" s="28" t="e">
        <f ca="1">_xludf.ifna(VLOOKUP(G1821,Proyectos!$A$2:$F$674,6,0),"")</f>
        <v>#NAME?</v>
      </c>
      <c r="G1821" s="26"/>
      <c r="H1821" s="32"/>
      <c r="I1821" s="32"/>
      <c r="J1821" s="32"/>
      <c r="K1821" s="32"/>
      <c r="L1821" s="32" t="e">
        <f ca="1">_xludf.ifna(VLOOKUP(E1821,Parámetros!$D$2:$E$34,2,0),"")</f>
        <v>#NAME?</v>
      </c>
      <c r="M1821" s="32" t="e">
        <f ca="1">_xludf.ifna(VLOOKUP(G1821,Proyectos!$A$2:$T$674,20,0),"")</f>
        <v>#NAME?</v>
      </c>
      <c r="N1821" s="32" t="e">
        <f ca="1">_xludf.ifna(VLOOKUP(G1821,Proyectos!$A$2:$S$674,19,0))</f>
        <v>#NAME?</v>
      </c>
      <c r="O1821" s="32"/>
      <c r="P1821" s="32"/>
      <c r="Q1821" s="33"/>
      <c r="R1821" s="33"/>
      <c r="S1821" s="33"/>
      <c r="T1821" s="63">
        <f t="shared" si="17"/>
        <v>0</v>
      </c>
      <c r="U1821" s="33"/>
      <c r="V1821" s="33"/>
      <c r="W1821" s="33"/>
    </row>
    <row r="1822" spans="1:23" ht="16.5" customHeight="1" x14ac:dyDescent="0.2">
      <c r="A1822" s="26"/>
      <c r="B1822" s="26"/>
      <c r="C1822" s="26"/>
      <c r="D1822" s="26"/>
      <c r="E1822" s="26"/>
      <c r="F1822" s="28" t="e">
        <f ca="1">_xludf.ifna(VLOOKUP(G1822,Proyectos!$A$2:$F$674,6,0),"")</f>
        <v>#NAME?</v>
      </c>
      <c r="G1822" s="26"/>
      <c r="H1822" s="32"/>
      <c r="I1822" s="32"/>
      <c r="J1822" s="32"/>
      <c r="K1822" s="32"/>
      <c r="L1822" s="32" t="e">
        <f ca="1">_xludf.ifna(VLOOKUP(E1822,Parámetros!$D$2:$E$34,2,0),"")</f>
        <v>#NAME?</v>
      </c>
      <c r="M1822" s="32" t="e">
        <f ca="1">_xludf.ifna(VLOOKUP(G1822,Proyectos!$A$2:$T$674,20,0),"")</f>
        <v>#NAME?</v>
      </c>
      <c r="N1822" s="32" t="e">
        <f ca="1">_xludf.ifna(VLOOKUP(G1822,Proyectos!$A$2:$S$674,19,0))</f>
        <v>#NAME?</v>
      </c>
      <c r="O1822" s="32"/>
      <c r="P1822" s="32"/>
      <c r="Q1822" s="33"/>
      <c r="R1822" s="33"/>
      <c r="S1822" s="33"/>
      <c r="T1822" s="63">
        <f t="shared" si="17"/>
        <v>0</v>
      </c>
      <c r="U1822" s="33"/>
      <c r="V1822" s="33"/>
      <c r="W1822" s="33"/>
    </row>
    <row r="1823" spans="1:23" ht="16.5" customHeight="1" x14ac:dyDescent="0.2">
      <c r="A1823" s="26"/>
      <c r="B1823" s="26"/>
      <c r="C1823" s="26"/>
      <c r="D1823" s="26"/>
      <c r="E1823" s="26"/>
      <c r="F1823" s="28" t="e">
        <f ca="1">_xludf.ifna(VLOOKUP(G1823,Proyectos!$A$2:$F$674,6,0),"")</f>
        <v>#NAME?</v>
      </c>
      <c r="G1823" s="26"/>
      <c r="H1823" s="32"/>
      <c r="I1823" s="32"/>
      <c r="J1823" s="32"/>
      <c r="K1823" s="32"/>
      <c r="L1823" s="32" t="e">
        <f ca="1">_xludf.ifna(VLOOKUP(E1823,Parámetros!$D$2:$E$34,2,0),"")</f>
        <v>#NAME?</v>
      </c>
      <c r="M1823" s="32" t="e">
        <f ca="1">_xludf.ifna(VLOOKUP(G1823,Proyectos!$A$2:$T$674,20,0),"")</f>
        <v>#NAME?</v>
      </c>
      <c r="N1823" s="32" t="e">
        <f ca="1">_xludf.ifna(VLOOKUP(G1823,Proyectos!$A$2:$S$674,19,0))</f>
        <v>#NAME?</v>
      </c>
      <c r="O1823" s="32"/>
      <c r="P1823" s="32"/>
      <c r="Q1823" s="33"/>
      <c r="R1823" s="33"/>
      <c r="S1823" s="33"/>
      <c r="T1823" s="63">
        <f t="shared" si="17"/>
        <v>0</v>
      </c>
      <c r="U1823" s="33"/>
      <c r="V1823" s="33"/>
      <c r="W1823" s="33"/>
    </row>
    <row r="1824" spans="1:23" ht="16.5" customHeight="1" x14ac:dyDescent="0.2">
      <c r="A1824" s="26"/>
      <c r="B1824" s="26"/>
      <c r="C1824" s="26"/>
      <c r="D1824" s="26"/>
      <c r="E1824" s="26"/>
      <c r="F1824" s="28" t="e">
        <f ca="1">_xludf.ifna(VLOOKUP(G1824,Proyectos!$A$2:$F$674,6,0),"")</f>
        <v>#NAME?</v>
      </c>
      <c r="G1824" s="26"/>
      <c r="H1824" s="32"/>
      <c r="I1824" s="32"/>
      <c r="J1824" s="32"/>
      <c r="K1824" s="32"/>
      <c r="L1824" s="32" t="e">
        <f ca="1">_xludf.ifna(VLOOKUP(E1824,Parámetros!$D$2:$E$34,2,0),"")</f>
        <v>#NAME?</v>
      </c>
      <c r="M1824" s="32" t="e">
        <f ca="1">_xludf.ifna(VLOOKUP(G1824,Proyectos!$A$2:$T$674,20,0),"")</f>
        <v>#NAME?</v>
      </c>
      <c r="N1824" s="32" t="e">
        <f ca="1">_xludf.ifna(VLOOKUP(G1824,Proyectos!$A$2:$S$674,19,0))</f>
        <v>#NAME?</v>
      </c>
      <c r="O1824" s="32"/>
      <c r="P1824" s="32"/>
      <c r="Q1824" s="33"/>
      <c r="R1824" s="33"/>
      <c r="S1824" s="33"/>
      <c r="T1824" s="63">
        <f t="shared" si="17"/>
        <v>0</v>
      </c>
      <c r="U1824" s="33"/>
      <c r="V1824" s="33"/>
      <c r="W1824" s="33"/>
    </row>
    <row r="1825" spans="1:23" ht="16.5" customHeight="1" x14ac:dyDescent="0.2">
      <c r="A1825" s="26"/>
      <c r="B1825" s="26"/>
      <c r="C1825" s="26"/>
      <c r="D1825" s="26"/>
      <c r="E1825" s="26"/>
      <c r="F1825" s="28" t="e">
        <f ca="1">_xludf.ifna(VLOOKUP(G1825,Proyectos!$A$2:$F$674,6,0),"")</f>
        <v>#NAME?</v>
      </c>
      <c r="G1825" s="26"/>
      <c r="H1825" s="32"/>
      <c r="I1825" s="32"/>
      <c r="J1825" s="32"/>
      <c r="K1825" s="32"/>
      <c r="L1825" s="32" t="e">
        <f ca="1">_xludf.ifna(VLOOKUP(E1825,Parámetros!$D$2:$E$34,2,0),"")</f>
        <v>#NAME?</v>
      </c>
      <c r="M1825" s="32" t="e">
        <f ca="1">_xludf.ifna(VLOOKUP(G1825,Proyectos!$A$2:$T$674,20,0),"")</f>
        <v>#NAME?</v>
      </c>
      <c r="N1825" s="32" t="e">
        <f ca="1">_xludf.ifna(VLOOKUP(G1825,Proyectos!$A$2:$S$674,19,0))</f>
        <v>#NAME?</v>
      </c>
      <c r="O1825" s="32"/>
      <c r="P1825" s="32"/>
      <c r="Q1825" s="33"/>
      <c r="R1825" s="33"/>
      <c r="S1825" s="33"/>
      <c r="T1825" s="63">
        <f t="shared" si="17"/>
        <v>0</v>
      </c>
      <c r="U1825" s="33"/>
      <c r="V1825" s="33"/>
      <c r="W1825" s="33"/>
    </row>
    <row r="1826" spans="1:23" ht="16.5" customHeight="1" x14ac:dyDescent="0.2">
      <c r="A1826" s="26"/>
      <c r="B1826" s="26"/>
      <c r="C1826" s="26"/>
      <c r="D1826" s="26"/>
      <c r="E1826" s="26"/>
      <c r="F1826" s="28" t="e">
        <f ca="1">_xludf.ifna(VLOOKUP(G1826,Proyectos!$A$2:$F$674,6,0),"")</f>
        <v>#NAME?</v>
      </c>
      <c r="G1826" s="26"/>
      <c r="H1826" s="32"/>
      <c r="I1826" s="32"/>
      <c r="J1826" s="32"/>
      <c r="K1826" s="32"/>
      <c r="L1826" s="32" t="e">
        <f ca="1">_xludf.ifna(VLOOKUP(E1826,Parámetros!$D$2:$E$34,2,0),"")</f>
        <v>#NAME?</v>
      </c>
      <c r="M1826" s="32" t="e">
        <f ca="1">_xludf.ifna(VLOOKUP(G1826,Proyectos!$A$2:$T$674,20,0),"")</f>
        <v>#NAME?</v>
      </c>
      <c r="N1826" s="32" t="e">
        <f ca="1">_xludf.ifna(VLOOKUP(G1826,Proyectos!$A$2:$S$674,19,0))</f>
        <v>#NAME?</v>
      </c>
      <c r="O1826" s="32"/>
      <c r="P1826" s="32"/>
      <c r="Q1826" s="33"/>
      <c r="R1826" s="33"/>
      <c r="S1826" s="33"/>
      <c r="T1826" s="63">
        <f t="shared" si="17"/>
        <v>0</v>
      </c>
      <c r="U1826" s="33"/>
      <c r="V1826" s="33"/>
      <c r="W1826" s="33"/>
    </row>
    <row r="1827" spans="1:23" ht="16.5" customHeight="1" x14ac:dyDescent="0.2">
      <c r="A1827" s="26"/>
      <c r="B1827" s="26"/>
      <c r="C1827" s="26"/>
      <c r="D1827" s="26"/>
      <c r="E1827" s="26"/>
      <c r="F1827" s="28" t="e">
        <f ca="1">_xludf.ifna(VLOOKUP(G1827,Proyectos!$A$2:$F$674,6,0),"")</f>
        <v>#NAME?</v>
      </c>
      <c r="G1827" s="26"/>
      <c r="H1827" s="32"/>
      <c r="I1827" s="32"/>
      <c r="J1827" s="32"/>
      <c r="K1827" s="32"/>
      <c r="L1827" s="32" t="e">
        <f ca="1">_xludf.ifna(VLOOKUP(E1827,Parámetros!$D$2:$E$34,2,0),"")</f>
        <v>#NAME?</v>
      </c>
      <c r="M1827" s="32" t="e">
        <f ca="1">_xludf.ifna(VLOOKUP(G1827,Proyectos!$A$2:$T$674,20,0),"")</f>
        <v>#NAME?</v>
      </c>
      <c r="N1827" s="32" t="e">
        <f ca="1">_xludf.ifna(VLOOKUP(G1827,Proyectos!$A$2:$S$674,19,0))</f>
        <v>#NAME?</v>
      </c>
      <c r="O1827" s="32"/>
      <c r="P1827" s="32"/>
      <c r="Q1827" s="33"/>
      <c r="R1827" s="33"/>
      <c r="S1827" s="33"/>
      <c r="T1827" s="63">
        <f t="shared" si="17"/>
        <v>0</v>
      </c>
      <c r="U1827" s="33"/>
      <c r="V1827" s="33"/>
      <c r="W1827" s="33"/>
    </row>
    <row r="1828" spans="1:23" ht="16.5" customHeight="1" x14ac:dyDescent="0.2">
      <c r="A1828" s="26"/>
      <c r="B1828" s="26"/>
      <c r="C1828" s="26"/>
      <c r="D1828" s="26"/>
      <c r="E1828" s="26"/>
      <c r="F1828" s="28" t="e">
        <f ca="1">_xludf.ifna(VLOOKUP(G1828,Proyectos!$A$2:$F$674,6,0),"")</f>
        <v>#NAME?</v>
      </c>
      <c r="G1828" s="26"/>
      <c r="H1828" s="32"/>
      <c r="I1828" s="32"/>
      <c r="J1828" s="32"/>
      <c r="K1828" s="32"/>
      <c r="L1828" s="32" t="e">
        <f ca="1">_xludf.ifna(VLOOKUP(E1828,Parámetros!$D$2:$E$34,2,0),"")</f>
        <v>#NAME?</v>
      </c>
      <c r="M1828" s="32" t="e">
        <f ca="1">_xludf.ifna(VLOOKUP(G1828,Proyectos!$A$2:$T$674,20,0),"")</f>
        <v>#NAME?</v>
      </c>
      <c r="N1828" s="32" t="e">
        <f ca="1">_xludf.ifna(VLOOKUP(G1828,Proyectos!$A$2:$S$674,19,0))</f>
        <v>#NAME?</v>
      </c>
      <c r="O1828" s="32"/>
      <c r="P1828" s="32"/>
      <c r="Q1828" s="33"/>
      <c r="R1828" s="33"/>
      <c r="S1828" s="33"/>
      <c r="T1828" s="63">
        <f t="shared" si="17"/>
        <v>0</v>
      </c>
      <c r="U1828" s="33"/>
      <c r="V1828" s="33"/>
      <c r="W1828" s="33"/>
    </row>
    <row r="1829" spans="1:23" ht="16.5" customHeight="1" x14ac:dyDescent="0.2">
      <c r="A1829" s="26"/>
      <c r="B1829" s="26"/>
      <c r="C1829" s="26"/>
      <c r="D1829" s="26"/>
      <c r="E1829" s="26"/>
      <c r="F1829" s="28" t="e">
        <f ca="1">_xludf.ifna(VLOOKUP(G1829,Proyectos!$A$2:$F$674,6,0),"")</f>
        <v>#NAME?</v>
      </c>
      <c r="G1829" s="26"/>
      <c r="H1829" s="32"/>
      <c r="I1829" s="32"/>
      <c r="J1829" s="32"/>
      <c r="K1829" s="32"/>
      <c r="L1829" s="32" t="e">
        <f ca="1">_xludf.ifna(VLOOKUP(E1829,Parámetros!$D$2:$E$34,2,0),"")</f>
        <v>#NAME?</v>
      </c>
      <c r="M1829" s="32" t="e">
        <f ca="1">_xludf.ifna(VLOOKUP(G1829,Proyectos!$A$2:$T$674,20,0),"")</f>
        <v>#NAME?</v>
      </c>
      <c r="N1829" s="32" t="e">
        <f ca="1">_xludf.ifna(VLOOKUP(G1829,Proyectos!$A$2:$S$674,19,0))</f>
        <v>#NAME?</v>
      </c>
      <c r="O1829" s="32"/>
      <c r="P1829" s="32"/>
      <c r="Q1829" s="33"/>
      <c r="R1829" s="33"/>
      <c r="S1829" s="33"/>
      <c r="T1829" s="63">
        <f t="shared" si="17"/>
        <v>0</v>
      </c>
      <c r="U1829" s="33"/>
      <c r="V1829" s="33"/>
      <c r="W1829" s="33"/>
    </row>
    <row r="1830" spans="1:23" ht="16.5" customHeight="1" x14ac:dyDescent="0.2">
      <c r="A1830" s="26"/>
      <c r="B1830" s="26"/>
      <c r="C1830" s="26"/>
      <c r="D1830" s="26"/>
      <c r="E1830" s="26"/>
      <c r="F1830" s="28" t="e">
        <f ca="1">_xludf.ifna(VLOOKUP(G1830,Proyectos!$A$2:$F$674,6,0),"")</f>
        <v>#NAME?</v>
      </c>
      <c r="G1830" s="26"/>
      <c r="H1830" s="32"/>
      <c r="I1830" s="32"/>
      <c r="J1830" s="32"/>
      <c r="K1830" s="32"/>
      <c r="L1830" s="32" t="e">
        <f ca="1">_xludf.ifna(VLOOKUP(E1830,Parámetros!$D$2:$E$34,2,0),"")</f>
        <v>#NAME?</v>
      </c>
      <c r="M1830" s="32" t="e">
        <f ca="1">_xludf.ifna(VLOOKUP(G1830,Proyectos!$A$2:$T$674,20,0),"")</f>
        <v>#NAME?</v>
      </c>
      <c r="N1830" s="32" t="e">
        <f ca="1">_xludf.ifna(VLOOKUP(G1830,Proyectos!$A$2:$S$674,19,0))</f>
        <v>#NAME?</v>
      </c>
      <c r="O1830" s="32"/>
      <c r="P1830" s="32"/>
      <c r="Q1830" s="33"/>
      <c r="R1830" s="33"/>
      <c r="S1830" s="33"/>
      <c r="T1830" s="63">
        <f t="shared" si="17"/>
        <v>0</v>
      </c>
      <c r="U1830" s="33"/>
      <c r="V1830" s="33"/>
      <c r="W1830" s="33"/>
    </row>
    <row r="1831" spans="1:23" ht="16.5" customHeight="1" x14ac:dyDescent="0.2">
      <c r="A1831" s="26"/>
      <c r="B1831" s="26"/>
      <c r="C1831" s="26"/>
      <c r="D1831" s="26"/>
      <c r="E1831" s="26"/>
      <c r="F1831" s="28" t="e">
        <f ca="1">_xludf.ifna(VLOOKUP(G1831,Proyectos!$A$2:$F$674,6,0),"")</f>
        <v>#NAME?</v>
      </c>
      <c r="G1831" s="26"/>
      <c r="H1831" s="32"/>
      <c r="I1831" s="32"/>
      <c r="J1831" s="32"/>
      <c r="K1831" s="32"/>
      <c r="L1831" s="32" t="e">
        <f ca="1">_xludf.ifna(VLOOKUP(E1831,Parámetros!$D$2:$E$34,2,0),"")</f>
        <v>#NAME?</v>
      </c>
      <c r="M1831" s="32" t="e">
        <f ca="1">_xludf.ifna(VLOOKUP(G1831,Proyectos!$A$2:$T$674,20,0),"")</f>
        <v>#NAME?</v>
      </c>
      <c r="N1831" s="32" t="e">
        <f ca="1">_xludf.ifna(VLOOKUP(G1831,Proyectos!$A$2:$S$674,19,0))</f>
        <v>#NAME?</v>
      </c>
      <c r="O1831" s="32"/>
      <c r="P1831" s="32"/>
      <c r="Q1831" s="33"/>
      <c r="R1831" s="33"/>
      <c r="S1831" s="33"/>
      <c r="T1831" s="63">
        <f t="shared" si="17"/>
        <v>0</v>
      </c>
      <c r="U1831" s="33"/>
      <c r="V1831" s="33"/>
      <c r="W1831" s="33"/>
    </row>
    <row r="1832" spans="1:23" ht="16.5" customHeight="1" x14ac:dyDescent="0.2">
      <c r="A1832" s="26"/>
      <c r="B1832" s="26"/>
      <c r="C1832" s="26"/>
      <c r="D1832" s="26"/>
      <c r="E1832" s="26"/>
      <c r="F1832" s="28" t="e">
        <f ca="1">_xludf.ifna(VLOOKUP(G1832,Proyectos!$A$2:$F$674,6,0),"")</f>
        <v>#NAME?</v>
      </c>
      <c r="G1832" s="26"/>
      <c r="H1832" s="32"/>
      <c r="I1832" s="32"/>
      <c r="J1832" s="32"/>
      <c r="K1832" s="32"/>
      <c r="L1832" s="32" t="e">
        <f ca="1">_xludf.ifna(VLOOKUP(E1832,Parámetros!$D$2:$E$34,2,0),"")</f>
        <v>#NAME?</v>
      </c>
      <c r="M1832" s="32" t="e">
        <f ca="1">_xludf.ifna(VLOOKUP(G1832,Proyectos!$A$2:$T$674,20,0),"")</f>
        <v>#NAME?</v>
      </c>
      <c r="N1832" s="32" t="e">
        <f ca="1">_xludf.ifna(VLOOKUP(G1832,Proyectos!$A$2:$S$674,19,0))</f>
        <v>#NAME?</v>
      </c>
      <c r="O1832" s="32"/>
      <c r="P1832" s="32"/>
      <c r="Q1832" s="33"/>
      <c r="R1832" s="33"/>
      <c r="S1832" s="33"/>
      <c r="T1832" s="63">
        <f t="shared" si="17"/>
        <v>0</v>
      </c>
      <c r="U1832" s="33"/>
      <c r="V1832" s="33"/>
      <c r="W1832" s="33"/>
    </row>
    <row r="1833" spans="1:23" ht="16.5" customHeight="1" x14ac:dyDescent="0.2">
      <c r="A1833" s="26"/>
      <c r="B1833" s="26"/>
      <c r="C1833" s="26"/>
      <c r="D1833" s="26"/>
      <c r="E1833" s="26"/>
      <c r="F1833" s="28" t="e">
        <f ca="1">_xludf.ifna(VLOOKUP(G1833,Proyectos!$A$2:$F$674,6,0),"")</f>
        <v>#NAME?</v>
      </c>
      <c r="G1833" s="26"/>
      <c r="H1833" s="32"/>
      <c r="I1833" s="32"/>
      <c r="J1833" s="32"/>
      <c r="K1833" s="32"/>
      <c r="L1833" s="32" t="e">
        <f ca="1">_xludf.ifna(VLOOKUP(E1833,Parámetros!$D$2:$E$34,2,0),"")</f>
        <v>#NAME?</v>
      </c>
      <c r="M1833" s="32" t="e">
        <f ca="1">_xludf.ifna(VLOOKUP(G1833,Proyectos!$A$2:$T$674,20,0),"")</f>
        <v>#NAME?</v>
      </c>
      <c r="N1833" s="32" t="e">
        <f ca="1">_xludf.ifna(VLOOKUP(G1833,Proyectos!$A$2:$S$674,19,0))</f>
        <v>#NAME?</v>
      </c>
      <c r="O1833" s="32"/>
      <c r="P1833" s="32"/>
      <c r="Q1833" s="33"/>
      <c r="R1833" s="33"/>
      <c r="S1833" s="33"/>
      <c r="T1833" s="63">
        <f t="shared" si="17"/>
        <v>0</v>
      </c>
      <c r="U1833" s="33"/>
      <c r="V1833" s="33"/>
      <c r="W1833" s="33"/>
    </row>
    <row r="1834" spans="1:23" ht="16.5" customHeight="1" x14ac:dyDescent="0.2">
      <c r="A1834" s="26"/>
      <c r="B1834" s="26"/>
      <c r="C1834" s="26"/>
      <c r="D1834" s="26"/>
      <c r="E1834" s="26"/>
      <c r="F1834" s="28" t="e">
        <f ca="1">_xludf.ifna(VLOOKUP(G1834,Proyectos!$A$2:$F$674,6,0),"")</f>
        <v>#NAME?</v>
      </c>
      <c r="G1834" s="26"/>
      <c r="H1834" s="32"/>
      <c r="I1834" s="32"/>
      <c r="J1834" s="32"/>
      <c r="K1834" s="32"/>
      <c r="L1834" s="32" t="e">
        <f ca="1">_xludf.ifna(VLOOKUP(E1834,Parámetros!$D$2:$E$34,2,0),"")</f>
        <v>#NAME?</v>
      </c>
      <c r="M1834" s="32" t="e">
        <f ca="1">_xludf.ifna(VLOOKUP(G1834,Proyectos!$A$2:$T$674,20,0),"")</f>
        <v>#NAME?</v>
      </c>
      <c r="N1834" s="32" t="e">
        <f ca="1">_xludf.ifna(VLOOKUP(G1834,Proyectos!$A$2:$S$674,19,0))</f>
        <v>#NAME?</v>
      </c>
      <c r="O1834" s="32"/>
      <c r="P1834" s="32"/>
      <c r="Q1834" s="33"/>
      <c r="R1834" s="33"/>
      <c r="S1834" s="33"/>
      <c r="T1834" s="63">
        <f t="shared" si="17"/>
        <v>0</v>
      </c>
      <c r="U1834" s="33"/>
      <c r="V1834" s="33"/>
      <c r="W1834" s="33"/>
    </row>
    <row r="1835" spans="1:23" ht="16.5" customHeight="1" x14ac:dyDescent="0.2">
      <c r="A1835" s="26"/>
      <c r="B1835" s="26"/>
      <c r="C1835" s="26"/>
      <c r="D1835" s="26"/>
      <c r="E1835" s="26"/>
      <c r="F1835" s="28" t="e">
        <f ca="1">_xludf.ifna(VLOOKUP(G1835,Proyectos!$A$2:$F$674,6,0),"")</f>
        <v>#NAME?</v>
      </c>
      <c r="G1835" s="26"/>
      <c r="H1835" s="32"/>
      <c r="I1835" s="32"/>
      <c r="J1835" s="32"/>
      <c r="K1835" s="32"/>
      <c r="L1835" s="32" t="e">
        <f ca="1">_xludf.ifna(VLOOKUP(E1835,Parámetros!$D$2:$E$34,2,0),"")</f>
        <v>#NAME?</v>
      </c>
      <c r="M1835" s="32" t="e">
        <f ca="1">_xludf.ifna(VLOOKUP(G1835,Proyectos!$A$2:$T$674,20,0),"")</f>
        <v>#NAME?</v>
      </c>
      <c r="N1835" s="32" t="e">
        <f ca="1">_xludf.ifna(VLOOKUP(G1835,Proyectos!$A$2:$S$674,19,0))</f>
        <v>#NAME?</v>
      </c>
      <c r="O1835" s="32"/>
      <c r="P1835" s="32"/>
      <c r="Q1835" s="33"/>
      <c r="R1835" s="33"/>
      <c r="S1835" s="33"/>
      <c r="T1835" s="63">
        <f t="shared" si="17"/>
        <v>0</v>
      </c>
      <c r="U1835" s="33"/>
      <c r="V1835" s="33"/>
      <c r="W1835" s="33"/>
    </row>
    <row r="1836" spans="1:23" ht="16.5" customHeight="1" x14ac:dyDescent="0.2">
      <c r="A1836" s="26"/>
      <c r="B1836" s="26"/>
      <c r="C1836" s="26"/>
      <c r="D1836" s="26"/>
      <c r="E1836" s="26"/>
      <c r="F1836" s="28" t="e">
        <f ca="1">_xludf.ifna(VLOOKUP(G1836,Proyectos!$A$2:$F$674,6,0),"")</f>
        <v>#NAME?</v>
      </c>
      <c r="G1836" s="26"/>
      <c r="H1836" s="32"/>
      <c r="I1836" s="32"/>
      <c r="J1836" s="32"/>
      <c r="K1836" s="32"/>
      <c r="L1836" s="32" t="e">
        <f ca="1">_xludf.ifna(VLOOKUP(E1836,Parámetros!$D$2:$E$34,2,0),"")</f>
        <v>#NAME?</v>
      </c>
      <c r="M1836" s="32" t="e">
        <f ca="1">_xludf.ifna(VLOOKUP(G1836,Proyectos!$A$2:$T$674,20,0),"")</f>
        <v>#NAME?</v>
      </c>
      <c r="N1836" s="32" t="e">
        <f ca="1">_xludf.ifna(VLOOKUP(G1836,Proyectos!$A$2:$S$674,19,0))</f>
        <v>#NAME?</v>
      </c>
      <c r="O1836" s="32"/>
      <c r="P1836" s="32"/>
      <c r="Q1836" s="33"/>
      <c r="R1836" s="33"/>
      <c r="S1836" s="33"/>
      <c r="T1836" s="63">
        <f t="shared" si="17"/>
        <v>0</v>
      </c>
      <c r="U1836" s="33"/>
      <c r="V1836" s="33"/>
      <c r="W1836" s="33"/>
    </row>
    <row r="1837" spans="1:23" ht="16.5" customHeight="1" x14ac:dyDescent="0.2">
      <c r="A1837" s="26"/>
      <c r="B1837" s="26"/>
      <c r="C1837" s="26"/>
      <c r="D1837" s="26"/>
      <c r="E1837" s="26"/>
      <c r="F1837" s="28" t="e">
        <f ca="1">_xludf.ifna(VLOOKUP(G1837,Proyectos!$A$2:$F$674,6,0),"")</f>
        <v>#NAME?</v>
      </c>
      <c r="G1837" s="26"/>
      <c r="H1837" s="32"/>
      <c r="I1837" s="32"/>
      <c r="J1837" s="32"/>
      <c r="K1837" s="32"/>
      <c r="L1837" s="32" t="e">
        <f ca="1">_xludf.ifna(VLOOKUP(E1837,Parámetros!$D$2:$E$34,2,0),"")</f>
        <v>#NAME?</v>
      </c>
      <c r="M1837" s="32" t="e">
        <f ca="1">_xludf.ifna(VLOOKUP(G1837,Proyectos!$A$2:$T$674,20,0),"")</f>
        <v>#NAME?</v>
      </c>
      <c r="N1837" s="32" t="e">
        <f ca="1">_xludf.ifna(VLOOKUP(G1837,Proyectos!$A$2:$S$674,19,0))</f>
        <v>#NAME?</v>
      </c>
      <c r="O1837" s="32"/>
      <c r="P1837" s="32"/>
      <c r="Q1837" s="33"/>
      <c r="R1837" s="33"/>
      <c r="S1837" s="33"/>
      <c r="T1837" s="63">
        <f t="shared" si="17"/>
        <v>0</v>
      </c>
      <c r="U1837" s="33"/>
      <c r="V1837" s="33"/>
      <c r="W1837" s="33"/>
    </row>
    <row r="1838" spans="1:23" ht="16.5" customHeight="1" x14ac:dyDescent="0.2">
      <c r="A1838" s="26"/>
      <c r="B1838" s="26"/>
      <c r="C1838" s="26"/>
      <c r="D1838" s="26"/>
      <c r="E1838" s="26"/>
      <c r="F1838" s="28" t="e">
        <f ca="1">_xludf.ifna(VLOOKUP(G1838,Proyectos!$A$2:$F$674,6,0),"")</f>
        <v>#NAME?</v>
      </c>
      <c r="G1838" s="26"/>
      <c r="H1838" s="32"/>
      <c r="I1838" s="32"/>
      <c r="J1838" s="32"/>
      <c r="K1838" s="32"/>
      <c r="L1838" s="32" t="e">
        <f ca="1">_xludf.ifna(VLOOKUP(E1838,Parámetros!$D$2:$E$34,2,0),"")</f>
        <v>#NAME?</v>
      </c>
      <c r="M1838" s="32" t="e">
        <f ca="1">_xludf.ifna(VLOOKUP(G1838,Proyectos!$A$2:$T$674,20,0),"")</f>
        <v>#NAME?</v>
      </c>
      <c r="N1838" s="32" t="e">
        <f ca="1">_xludf.ifna(VLOOKUP(G1838,Proyectos!$A$2:$S$674,19,0))</f>
        <v>#NAME?</v>
      </c>
      <c r="O1838" s="32"/>
      <c r="P1838" s="32"/>
      <c r="Q1838" s="33"/>
      <c r="R1838" s="33"/>
      <c r="S1838" s="33"/>
      <c r="T1838" s="63">
        <f t="shared" si="17"/>
        <v>0</v>
      </c>
      <c r="U1838" s="33"/>
      <c r="V1838" s="33"/>
      <c r="W1838" s="33"/>
    </row>
    <row r="1839" spans="1:23" ht="16.5" customHeight="1" x14ac:dyDescent="0.2">
      <c r="A1839" s="26"/>
      <c r="B1839" s="26"/>
      <c r="C1839" s="26"/>
      <c r="D1839" s="26"/>
      <c r="E1839" s="26"/>
      <c r="F1839" s="28" t="e">
        <f ca="1">_xludf.ifna(VLOOKUP(G1839,Proyectos!$A$2:$F$674,6,0),"")</f>
        <v>#NAME?</v>
      </c>
      <c r="G1839" s="26"/>
      <c r="H1839" s="32"/>
      <c r="I1839" s="32"/>
      <c r="J1839" s="32"/>
      <c r="K1839" s="32"/>
      <c r="L1839" s="32" t="e">
        <f ca="1">_xludf.ifna(VLOOKUP(E1839,Parámetros!$D$2:$E$34,2,0),"")</f>
        <v>#NAME?</v>
      </c>
      <c r="M1839" s="32" t="e">
        <f ca="1">_xludf.ifna(VLOOKUP(G1839,Proyectos!$A$2:$T$674,20,0),"")</f>
        <v>#NAME?</v>
      </c>
      <c r="N1839" s="32" t="e">
        <f ca="1">_xludf.ifna(VLOOKUP(G1839,Proyectos!$A$2:$S$674,19,0))</f>
        <v>#NAME?</v>
      </c>
      <c r="O1839" s="32"/>
      <c r="P1839" s="32"/>
      <c r="Q1839" s="33"/>
      <c r="R1839" s="33"/>
      <c r="S1839" s="33"/>
      <c r="T1839" s="63">
        <f t="shared" si="17"/>
        <v>0</v>
      </c>
      <c r="U1839" s="33"/>
      <c r="V1839" s="33"/>
      <c r="W1839" s="33"/>
    </row>
    <row r="1840" spans="1:23" ht="16.5" customHeight="1" x14ac:dyDescent="0.2">
      <c r="A1840" s="26"/>
      <c r="B1840" s="26"/>
      <c r="C1840" s="26"/>
      <c r="D1840" s="26"/>
      <c r="E1840" s="26"/>
      <c r="F1840" s="28" t="e">
        <f ca="1">_xludf.ifna(VLOOKUP(G1840,Proyectos!$A$2:$F$674,6,0),"")</f>
        <v>#NAME?</v>
      </c>
      <c r="G1840" s="26"/>
      <c r="H1840" s="32"/>
      <c r="I1840" s="32"/>
      <c r="J1840" s="32"/>
      <c r="K1840" s="32"/>
      <c r="L1840" s="32" t="e">
        <f ca="1">_xludf.ifna(VLOOKUP(E1840,Parámetros!$D$2:$E$34,2,0),"")</f>
        <v>#NAME?</v>
      </c>
      <c r="M1840" s="32" t="e">
        <f ca="1">_xludf.ifna(VLOOKUP(G1840,Proyectos!$A$2:$T$674,20,0),"")</f>
        <v>#NAME?</v>
      </c>
      <c r="N1840" s="32" t="e">
        <f ca="1">_xludf.ifna(VLOOKUP(G1840,Proyectos!$A$2:$S$674,19,0))</f>
        <v>#NAME?</v>
      </c>
      <c r="O1840" s="32"/>
      <c r="P1840" s="32"/>
      <c r="Q1840" s="33"/>
      <c r="R1840" s="33"/>
      <c r="S1840" s="33"/>
      <c r="T1840" s="63">
        <f t="shared" si="17"/>
        <v>0</v>
      </c>
      <c r="U1840" s="33"/>
      <c r="V1840" s="33"/>
      <c r="W1840" s="33"/>
    </row>
    <row r="1841" spans="1:23" ht="16.5" customHeight="1" x14ac:dyDescent="0.2">
      <c r="A1841" s="26"/>
      <c r="B1841" s="26"/>
      <c r="C1841" s="26"/>
      <c r="D1841" s="26"/>
      <c r="E1841" s="26"/>
      <c r="F1841" s="28" t="e">
        <f ca="1">_xludf.ifna(VLOOKUP(G1841,Proyectos!$A$2:$F$674,6,0),"")</f>
        <v>#NAME?</v>
      </c>
      <c r="G1841" s="26"/>
      <c r="H1841" s="32"/>
      <c r="I1841" s="32"/>
      <c r="J1841" s="32"/>
      <c r="K1841" s="32"/>
      <c r="L1841" s="32" t="e">
        <f ca="1">_xludf.ifna(VLOOKUP(E1841,Parámetros!$D$2:$E$34,2,0),"")</f>
        <v>#NAME?</v>
      </c>
      <c r="M1841" s="32" t="e">
        <f ca="1">_xludf.ifna(VLOOKUP(G1841,Proyectos!$A$2:$T$674,20,0),"")</f>
        <v>#NAME?</v>
      </c>
      <c r="N1841" s="32" t="e">
        <f ca="1">_xludf.ifna(VLOOKUP(G1841,Proyectos!$A$2:$S$674,19,0))</f>
        <v>#NAME?</v>
      </c>
      <c r="O1841" s="32"/>
      <c r="P1841" s="32"/>
      <c r="Q1841" s="33"/>
      <c r="R1841" s="33"/>
      <c r="S1841" s="33"/>
      <c r="T1841" s="63">
        <f t="shared" si="17"/>
        <v>0</v>
      </c>
      <c r="U1841" s="33"/>
      <c r="V1841" s="33"/>
      <c r="W1841" s="33"/>
    </row>
    <row r="1842" spans="1:23" ht="16.5" customHeight="1" x14ac:dyDescent="0.2">
      <c r="A1842" s="26"/>
      <c r="B1842" s="26"/>
      <c r="C1842" s="26"/>
      <c r="D1842" s="26"/>
      <c r="E1842" s="26"/>
      <c r="F1842" s="28" t="e">
        <f ca="1">_xludf.ifna(VLOOKUP(G1842,Proyectos!$A$2:$F$674,6,0),"")</f>
        <v>#NAME?</v>
      </c>
      <c r="G1842" s="26"/>
      <c r="H1842" s="32"/>
      <c r="I1842" s="32"/>
      <c r="J1842" s="32"/>
      <c r="K1842" s="32"/>
      <c r="L1842" s="32" t="e">
        <f ca="1">_xludf.ifna(VLOOKUP(E1842,Parámetros!$D$2:$E$34,2,0),"")</f>
        <v>#NAME?</v>
      </c>
      <c r="M1842" s="32" t="e">
        <f ca="1">_xludf.ifna(VLOOKUP(G1842,Proyectos!$A$2:$T$674,20,0),"")</f>
        <v>#NAME?</v>
      </c>
      <c r="N1842" s="32" t="e">
        <f ca="1">_xludf.ifna(VLOOKUP(G1842,Proyectos!$A$2:$S$674,19,0))</f>
        <v>#NAME?</v>
      </c>
      <c r="O1842" s="32"/>
      <c r="P1842" s="32"/>
      <c r="Q1842" s="33"/>
      <c r="R1842" s="33"/>
      <c r="S1842" s="33"/>
      <c r="T1842" s="63">
        <f t="shared" si="17"/>
        <v>0</v>
      </c>
      <c r="U1842" s="33"/>
      <c r="V1842" s="33"/>
      <c r="W1842" s="33"/>
    </row>
    <row r="1843" spans="1:23" ht="16.5" customHeight="1" x14ac:dyDescent="0.2">
      <c r="A1843" s="26"/>
      <c r="B1843" s="26"/>
      <c r="C1843" s="26"/>
      <c r="D1843" s="26"/>
      <c r="E1843" s="26"/>
      <c r="F1843" s="28" t="e">
        <f ca="1">_xludf.ifna(VLOOKUP(G1843,Proyectos!$A$2:$F$674,6,0),"")</f>
        <v>#NAME?</v>
      </c>
      <c r="G1843" s="26"/>
      <c r="H1843" s="32"/>
      <c r="I1843" s="32"/>
      <c r="J1843" s="32"/>
      <c r="K1843" s="32"/>
      <c r="L1843" s="32" t="e">
        <f ca="1">_xludf.ifna(VLOOKUP(E1843,Parámetros!$D$2:$E$34,2,0),"")</f>
        <v>#NAME?</v>
      </c>
      <c r="M1843" s="32" t="e">
        <f ca="1">_xludf.ifna(VLOOKUP(G1843,Proyectos!$A$2:$T$674,20,0),"")</f>
        <v>#NAME?</v>
      </c>
      <c r="N1843" s="32" t="e">
        <f ca="1">_xludf.ifna(VLOOKUP(G1843,Proyectos!$A$2:$S$674,19,0))</f>
        <v>#NAME?</v>
      </c>
      <c r="O1843" s="32"/>
      <c r="P1843" s="32"/>
      <c r="Q1843" s="33"/>
      <c r="R1843" s="33"/>
      <c r="S1843" s="33"/>
      <c r="T1843" s="63">
        <f t="shared" si="17"/>
        <v>0</v>
      </c>
      <c r="U1843" s="33"/>
      <c r="V1843" s="33"/>
      <c r="W1843" s="33"/>
    </row>
    <row r="1844" spans="1:23" ht="16.5" customHeight="1" x14ac:dyDescent="0.2">
      <c r="A1844" s="26"/>
      <c r="B1844" s="26"/>
      <c r="C1844" s="26"/>
      <c r="D1844" s="26"/>
      <c r="E1844" s="26"/>
      <c r="F1844" s="28" t="e">
        <f ca="1">_xludf.ifna(VLOOKUP(G1844,Proyectos!$A$2:$F$674,6,0),"")</f>
        <v>#NAME?</v>
      </c>
      <c r="G1844" s="26"/>
      <c r="H1844" s="32"/>
      <c r="I1844" s="32"/>
      <c r="J1844" s="32"/>
      <c r="K1844" s="32"/>
      <c r="L1844" s="32" t="e">
        <f ca="1">_xludf.ifna(VLOOKUP(E1844,Parámetros!$D$2:$E$34,2,0),"")</f>
        <v>#NAME?</v>
      </c>
      <c r="M1844" s="32" t="e">
        <f ca="1">_xludf.ifna(VLOOKUP(G1844,Proyectos!$A$2:$T$674,20,0),"")</f>
        <v>#NAME?</v>
      </c>
      <c r="N1844" s="32" t="e">
        <f ca="1">_xludf.ifna(VLOOKUP(G1844,Proyectos!$A$2:$S$674,19,0))</f>
        <v>#NAME?</v>
      </c>
      <c r="O1844" s="32"/>
      <c r="P1844" s="32"/>
      <c r="Q1844" s="33"/>
      <c r="R1844" s="33"/>
      <c r="S1844" s="33"/>
      <c r="T1844" s="63">
        <f t="shared" si="17"/>
        <v>0</v>
      </c>
      <c r="U1844" s="33"/>
      <c r="V1844" s="33"/>
      <c r="W1844" s="33"/>
    </row>
    <row r="1845" spans="1:23" ht="16.5" customHeight="1" x14ac:dyDescent="0.2">
      <c r="A1845" s="26"/>
      <c r="B1845" s="26"/>
      <c r="C1845" s="26"/>
      <c r="D1845" s="26"/>
      <c r="E1845" s="26"/>
      <c r="F1845" s="28" t="e">
        <f ca="1">_xludf.ifna(VLOOKUP(G1845,Proyectos!$A$2:$F$674,6,0),"")</f>
        <v>#NAME?</v>
      </c>
      <c r="G1845" s="26"/>
      <c r="H1845" s="32"/>
      <c r="I1845" s="32"/>
      <c r="J1845" s="32"/>
      <c r="K1845" s="32"/>
      <c r="L1845" s="32" t="e">
        <f ca="1">_xludf.ifna(VLOOKUP(E1845,Parámetros!$D$2:$E$34,2,0),"")</f>
        <v>#NAME?</v>
      </c>
      <c r="M1845" s="32" t="e">
        <f ca="1">_xludf.ifna(VLOOKUP(G1845,Proyectos!$A$2:$T$674,20,0),"")</f>
        <v>#NAME?</v>
      </c>
      <c r="N1845" s="32" t="e">
        <f ca="1">_xludf.ifna(VLOOKUP(G1845,Proyectos!$A$2:$S$674,19,0))</f>
        <v>#NAME?</v>
      </c>
      <c r="O1845" s="32"/>
      <c r="P1845" s="32"/>
      <c r="Q1845" s="33"/>
      <c r="R1845" s="33"/>
      <c r="S1845" s="33"/>
      <c r="T1845" s="63">
        <f t="shared" si="17"/>
        <v>0</v>
      </c>
      <c r="U1845" s="33"/>
      <c r="V1845" s="33"/>
      <c r="W1845" s="33"/>
    </row>
    <row r="1846" spans="1:23" ht="16.5" customHeight="1" x14ac:dyDescent="0.2">
      <c r="A1846" s="26"/>
      <c r="B1846" s="26"/>
      <c r="C1846" s="26"/>
      <c r="D1846" s="26"/>
      <c r="E1846" s="26"/>
      <c r="F1846" s="28" t="e">
        <f ca="1">_xludf.ifna(VLOOKUP(G1846,Proyectos!$A$2:$F$674,6,0),"")</f>
        <v>#NAME?</v>
      </c>
      <c r="G1846" s="26"/>
      <c r="H1846" s="32"/>
      <c r="I1846" s="32"/>
      <c r="J1846" s="32"/>
      <c r="K1846" s="32"/>
      <c r="L1846" s="32" t="e">
        <f ca="1">_xludf.ifna(VLOOKUP(E1846,Parámetros!$D$2:$E$34,2,0),"")</f>
        <v>#NAME?</v>
      </c>
      <c r="M1846" s="32" t="e">
        <f ca="1">_xludf.ifna(VLOOKUP(G1846,Proyectos!$A$2:$T$674,20,0),"")</f>
        <v>#NAME?</v>
      </c>
      <c r="N1846" s="32" t="e">
        <f ca="1">_xludf.ifna(VLOOKUP(G1846,Proyectos!$A$2:$S$674,19,0))</f>
        <v>#NAME?</v>
      </c>
      <c r="O1846" s="32"/>
      <c r="P1846" s="32"/>
      <c r="Q1846" s="33"/>
      <c r="R1846" s="33"/>
      <c r="S1846" s="33"/>
      <c r="T1846" s="63">
        <f t="shared" si="17"/>
        <v>0</v>
      </c>
      <c r="U1846" s="33"/>
      <c r="V1846" s="33"/>
      <c r="W1846" s="33"/>
    </row>
    <row r="1847" spans="1:23" ht="16.5" customHeight="1" x14ac:dyDescent="0.2">
      <c r="A1847" s="26"/>
      <c r="B1847" s="26"/>
      <c r="C1847" s="26"/>
      <c r="D1847" s="26"/>
      <c r="E1847" s="26"/>
      <c r="F1847" s="28" t="e">
        <f ca="1">_xludf.ifna(VLOOKUP(G1847,Proyectos!$A$2:$F$674,6,0),"")</f>
        <v>#NAME?</v>
      </c>
      <c r="G1847" s="26"/>
      <c r="H1847" s="32"/>
      <c r="I1847" s="32"/>
      <c r="J1847" s="32"/>
      <c r="K1847" s="32"/>
      <c r="L1847" s="32" t="e">
        <f ca="1">_xludf.ifna(VLOOKUP(E1847,Parámetros!$D$2:$E$34,2,0),"")</f>
        <v>#NAME?</v>
      </c>
      <c r="M1847" s="32" t="e">
        <f ca="1">_xludf.ifna(VLOOKUP(G1847,Proyectos!$A$2:$T$674,20,0),"")</f>
        <v>#NAME?</v>
      </c>
      <c r="N1847" s="32" t="e">
        <f ca="1">_xludf.ifna(VLOOKUP(G1847,Proyectos!$A$2:$S$674,19,0))</f>
        <v>#NAME?</v>
      </c>
      <c r="O1847" s="32"/>
      <c r="P1847" s="32"/>
      <c r="Q1847" s="33"/>
      <c r="R1847" s="33"/>
      <c r="S1847" s="33"/>
      <c r="T1847" s="63">
        <f t="shared" si="17"/>
        <v>0</v>
      </c>
      <c r="U1847" s="33"/>
      <c r="V1847" s="33"/>
      <c r="W1847" s="33"/>
    </row>
    <row r="1848" spans="1:23" ht="16.5" customHeight="1" x14ac:dyDescent="0.2">
      <c r="A1848" s="26"/>
      <c r="B1848" s="26"/>
      <c r="C1848" s="26"/>
      <c r="D1848" s="26"/>
      <c r="E1848" s="26"/>
      <c r="F1848" s="28" t="e">
        <f ca="1">_xludf.ifna(VLOOKUP(G1848,Proyectos!$A$2:$F$674,6,0),"")</f>
        <v>#NAME?</v>
      </c>
      <c r="G1848" s="26"/>
      <c r="H1848" s="32"/>
      <c r="I1848" s="32"/>
      <c r="J1848" s="32"/>
      <c r="K1848" s="32"/>
      <c r="L1848" s="32" t="e">
        <f ca="1">_xludf.ifna(VLOOKUP(E1848,Parámetros!$D$2:$E$34,2,0),"")</f>
        <v>#NAME?</v>
      </c>
      <c r="M1848" s="32" t="e">
        <f ca="1">_xludf.ifna(VLOOKUP(G1848,Proyectos!$A$2:$T$674,20,0),"")</f>
        <v>#NAME?</v>
      </c>
      <c r="N1848" s="32" t="e">
        <f ca="1">_xludf.ifna(VLOOKUP(G1848,Proyectos!$A$2:$S$674,19,0))</f>
        <v>#NAME?</v>
      </c>
      <c r="O1848" s="32"/>
      <c r="P1848" s="32"/>
      <c r="Q1848" s="33"/>
      <c r="R1848" s="33"/>
      <c r="S1848" s="33"/>
      <c r="T1848" s="63">
        <f t="shared" si="17"/>
        <v>0</v>
      </c>
      <c r="U1848" s="33"/>
      <c r="V1848" s="33"/>
      <c r="W1848" s="33"/>
    </row>
    <row r="1849" spans="1:23" ht="16.5" customHeight="1" x14ac:dyDescent="0.2">
      <c r="A1849" s="26"/>
      <c r="B1849" s="26"/>
      <c r="C1849" s="26"/>
      <c r="D1849" s="26"/>
      <c r="E1849" s="26"/>
      <c r="F1849" s="28" t="e">
        <f ca="1">_xludf.ifna(VLOOKUP(G1849,Proyectos!$A$2:$F$674,6,0),"")</f>
        <v>#NAME?</v>
      </c>
      <c r="G1849" s="26"/>
      <c r="H1849" s="32"/>
      <c r="I1849" s="32"/>
      <c r="J1849" s="32"/>
      <c r="K1849" s="32"/>
      <c r="L1849" s="32" t="e">
        <f ca="1">_xludf.ifna(VLOOKUP(E1849,Parámetros!$D$2:$E$34,2,0),"")</f>
        <v>#NAME?</v>
      </c>
      <c r="M1849" s="32" t="e">
        <f ca="1">_xludf.ifna(VLOOKUP(G1849,Proyectos!$A$2:$T$674,20,0),"")</f>
        <v>#NAME?</v>
      </c>
      <c r="N1849" s="32" t="e">
        <f ca="1">_xludf.ifna(VLOOKUP(G1849,Proyectos!$A$2:$S$674,19,0))</f>
        <v>#NAME?</v>
      </c>
      <c r="O1849" s="32"/>
      <c r="P1849" s="32"/>
      <c r="Q1849" s="33"/>
      <c r="R1849" s="33"/>
      <c r="S1849" s="33"/>
      <c r="T1849" s="63">
        <f t="shared" si="17"/>
        <v>0</v>
      </c>
      <c r="U1849" s="33"/>
      <c r="V1849" s="33"/>
      <c r="W1849" s="33"/>
    </row>
    <row r="1850" spans="1:23" ht="16.5" customHeight="1" x14ac:dyDescent="0.2">
      <c r="A1850" s="26"/>
      <c r="B1850" s="26"/>
      <c r="C1850" s="26"/>
      <c r="D1850" s="26"/>
      <c r="E1850" s="26"/>
      <c r="F1850" s="28" t="e">
        <f ca="1">_xludf.ifna(VLOOKUP(G1850,Proyectos!$A$2:$F$674,6,0),"")</f>
        <v>#NAME?</v>
      </c>
      <c r="G1850" s="26"/>
      <c r="H1850" s="32"/>
      <c r="I1850" s="32"/>
      <c r="J1850" s="32"/>
      <c r="K1850" s="32"/>
      <c r="L1850" s="32" t="e">
        <f ca="1">_xludf.ifna(VLOOKUP(E1850,Parámetros!$D$2:$E$34,2,0),"")</f>
        <v>#NAME?</v>
      </c>
      <c r="M1850" s="32" t="e">
        <f ca="1">_xludf.ifna(VLOOKUP(G1850,Proyectos!$A$2:$T$674,20,0),"")</f>
        <v>#NAME?</v>
      </c>
      <c r="N1850" s="32" t="e">
        <f ca="1">_xludf.ifna(VLOOKUP(G1850,Proyectos!$A$2:$S$674,19,0))</f>
        <v>#NAME?</v>
      </c>
      <c r="O1850" s="32"/>
      <c r="P1850" s="32"/>
      <c r="Q1850" s="33"/>
      <c r="R1850" s="33"/>
      <c r="S1850" s="33"/>
      <c r="T1850" s="63">
        <f t="shared" si="17"/>
        <v>0</v>
      </c>
      <c r="U1850" s="33"/>
      <c r="V1850" s="33"/>
      <c r="W1850" s="33"/>
    </row>
    <row r="1851" spans="1:23" ht="16.5" customHeight="1" x14ac:dyDescent="0.2">
      <c r="A1851" s="26"/>
      <c r="B1851" s="26"/>
      <c r="C1851" s="26"/>
      <c r="D1851" s="26"/>
      <c r="E1851" s="26"/>
      <c r="F1851" s="28" t="e">
        <f ca="1">_xludf.ifna(VLOOKUP(G1851,Proyectos!$A$2:$F$674,6,0),"")</f>
        <v>#NAME?</v>
      </c>
      <c r="G1851" s="26"/>
      <c r="H1851" s="32"/>
      <c r="I1851" s="32"/>
      <c r="J1851" s="32"/>
      <c r="K1851" s="32"/>
      <c r="L1851" s="32" t="e">
        <f ca="1">_xludf.ifna(VLOOKUP(E1851,Parámetros!$D$2:$E$34,2,0),"")</f>
        <v>#NAME?</v>
      </c>
      <c r="M1851" s="32" t="e">
        <f ca="1">_xludf.ifna(VLOOKUP(G1851,Proyectos!$A$2:$T$674,20,0),"")</f>
        <v>#NAME?</v>
      </c>
      <c r="N1851" s="32" t="e">
        <f ca="1">_xludf.ifna(VLOOKUP(G1851,Proyectos!$A$2:$S$674,19,0))</f>
        <v>#NAME?</v>
      </c>
      <c r="O1851" s="32"/>
      <c r="P1851" s="32"/>
      <c r="Q1851" s="33"/>
      <c r="R1851" s="33"/>
      <c r="S1851" s="33"/>
      <c r="T1851" s="63">
        <f t="shared" si="17"/>
        <v>0</v>
      </c>
      <c r="U1851" s="33"/>
      <c r="V1851" s="33"/>
      <c r="W1851" s="33"/>
    </row>
    <row r="1852" spans="1:23" ht="16.5" customHeight="1" x14ac:dyDescent="0.2">
      <c r="A1852" s="26"/>
      <c r="B1852" s="26"/>
      <c r="C1852" s="26"/>
      <c r="D1852" s="26"/>
      <c r="E1852" s="26"/>
      <c r="F1852" s="28" t="e">
        <f ca="1">_xludf.ifna(VLOOKUP(G1852,Proyectos!$A$2:$F$674,6,0),"")</f>
        <v>#NAME?</v>
      </c>
      <c r="G1852" s="26"/>
      <c r="H1852" s="32"/>
      <c r="I1852" s="32"/>
      <c r="J1852" s="32"/>
      <c r="K1852" s="32"/>
      <c r="L1852" s="32" t="e">
        <f ca="1">_xludf.ifna(VLOOKUP(E1852,Parámetros!$D$2:$E$34,2,0),"")</f>
        <v>#NAME?</v>
      </c>
      <c r="M1852" s="32" t="e">
        <f ca="1">_xludf.ifna(VLOOKUP(G1852,Proyectos!$A$2:$T$674,20,0),"")</f>
        <v>#NAME?</v>
      </c>
      <c r="N1852" s="32" t="e">
        <f ca="1">_xludf.ifna(VLOOKUP(G1852,Proyectos!$A$2:$S$674,19,0))</f>
        <v>#NAME?</v>
      </c>
      <c r="O1852" s="32"/>
      <c r="P1852" s="32"/>
      <c r="Q1852" s="33"/>
      <c r="R1852" s="33"/>
      <c r="S1852" s="33"/>
      <c r="T1852" s="63">
        <f t="shared" si="17"/>
        <v>0</v>
      </c>
      <c r="U1852" s="33"/>
      <c r="V1852" s="33"/>
      <c r="W1852" s="33"/>
    </row>
    <row r="1853" spans="1:23" ht="16.5" customHeight="1" x14ac:dyDescent="0.2">
      <c r="A1853" s="26"/>
      <c r="B1853" s="26"/>
      <c r="C1853" s="26"/>
      <c r="D1853" s="26"/>
      <c r="E1853" s="26"/>
      <c r="F1853" s="28" t="e">
        <f ca="1">_xludf.ifna(VLOOKUP(G1853,Proyectos!$A$2:$F$674,6,0),"")</f>
        <v>#NAME?</v>
      </c>
      <c r="G1853" s="26"/>
      <c r="H1853" s="32"/>
      <c r="I1853" s="32"/>
      <c r="J1853" s="32"/>
      <c r="K1853" s="32"/>
      <c r="L1853" s="32" t="e">
        <f ca="1">_xludf.ifna(VLOOKUP(E1853,Parámetros!$D$2:$E$34,2,0),"")</f>
        <v>#NAME?</v>
      </c>
      <c r="M1853" s="32" t="e">
        <f ca="1">_xludf.ifna(VLOOKUP(G1853,Proyectos!$A$2:$T$674,20,0),"")</f>
        <v>#NAME?</v>
      </c>
      <c r="N1853" s="32" t="e">
        <f ca="1">_xludf.ifna(VLOOKUP(G1853,Proyectos!$A$2:$S$674,19,0))</f>
        <v>#NAME?</v>
      </c>
      <c r="O1853" s="32"/>
      <c r="P1853" s="32"/>
      <c r="Q1853" s="33"/>
      <c r="R1853" s="33"/>
      <c r="S1853" s="33"/>
      <c r="T1853" s="63">
        <f t="shared" si="17"/>
        <v>0</v>
      </c>
      <c r="U1853" s="33"/>
      <c r="V1853" s="33"/>
      <c r="W1853" s="33"/>
    </row>
    <row r="1854" spans="1:23" ht="16.5" customHeight="1" x14ac:dyDescent="0.2">
      <c r="A1854" s="26"/>
      <c r="B1854" s="26"/>
      <c r="C1854" s="26"/>
      <c r="D1854" s="26"/>
      <c r="E1854" s="26"/>
      <c r="F1854" s="28" t="e">
        <f ca="1">_xludf.ifna(VLOOKUP(G1854,Proyectos!$A$2:$F$674,6,0),"")</f>
        <v>#NAME?</v>
      </c>
      <c r="G1854" s="26"/>
      <c r="H1854" s="32"/>
      <c r="I1854" s="32"/>
      <c r="J1854" s="32"/>
      <c r="K1854" s="32"/>
      <c r="L1854" s="32" t="e">
        <f ca="1">_xludf.ifna(VLOOKUP(E1854,Parámetros!$D$2:$E$34,2,0),"")</f>
        <v>#NAME?</v>
      </c>
      <c r="M1854" s="32" t="e">
        <f ca="1">_xludf.ifna(VLOOKUP(G1854,Proyectos!$A$2:$T$674,20,0),"")</f>
        <v>#NAME?</v>
      </c>
      <c r="N1854" s="32" t="e">
        <f ca="1">_xludf.ifna(VLOOKUP(G1854,Proyectos!$A$2:$S$674,19,0))</f>
        <v>#NAME?</v>
      </c>
      <c r="O1854" s="32"/>
      <c r="P1854" s="32"/>
      <c r="Q1854" s="33"/>
      <c r="R1854" s="33"/>
      <c r="S1854" s="33"/>
      <c r="T1854" s="63">
        <f t="shared" si="17"/>
        <v>0</v>
      </c>
      <c r="U1854" s="33"/>
      <c r="V1854" s="33"/>
      <c r="W1854" s="33"/>
    </row>
    <row r="1855" spans="1:23" ht="16.5" customHeight="1" x14ac:dyDescent="0.2">
      <c r="A1855" s="26"/>
      <c r="B1855" s="26"/>
      <c r="C1855" s="26"/>
      <c r="D1855" s="26"/>
      <c r="E1855" s="26"/>
      <c r="F1855" s="28" t="e">
        <f ca="1">_xludf.ifna(VLOOKUP(G1855,Proyectos!$A$2:$F$674,6,0),"")</f>
        <v>#NAME?</v>
      </c>
      <c r="G1855" s="26"/>
      <c r="H1855" s="32"/>
      <c r="I1855" s="32"/>
      <c r="J1855" s="32"/>
      <c r="K1855" s="32"/>
      <c r="L1855" s="32" t="e">
        <f ca="1">_xludf.ifna(VLOOKUP(E1855,Parámetros!$D$2:$E$34,2,0),"")</f>
        <v>#NAME?</v>
      </c>
      <c r="M1855" s="32" t="e">
        <f ca="1">_xludf.ifna(VLOOKUP(G1855,Proyectos!$A$2:$T$674,20,0),"")</f>
        <v>#NAME?</v>
      </c>
      <c r="N1855" s="32" t="e">
        <f ca="1">_xludf.ifna(VLOOKUP(G1855,Proyectos!$A$2:$S$674,19,0))</f>
        <v>#NAME?</v>
      </c>
      <c r="O1855" s="32"/>
      <c r="P1855" s="32"/>
      <c r="Q1855" s="33"/>
      <c r="R1855" s="33"/>
      <c r="S1855" s="33"/>
      <c r="T1855" s="63">
        <f t="shared" si="17"/>
        <v>0</v>
      </c>
      <c r="U1855" s="33"/>
      <c r="V1855" s="33"/>
      <c r="W1855" s="33"/>
    </row>
    <row r="1856" spans="1:23" ht="16.5" customHeight="1" x14ac:dyDescent="0.2">
      <c r="A1856" s="26"/>
      <c r="B1856" s="26"/>
      <c r="C1856" s="26"/>
      <c r="D1856" s="26"/>
      <c r="E1856" s="26"/>
      <c r="F1856" s="28" t="e">
        <f ca="1">_xludf.ifna(VLOOKUP(G1856,Proyectos!$A$2:$F$674,6,0),"")</f>
        <v>#NAME?</v>
      </c>
      <c r="G1856" s="26"/>
      <c r="H1856" s="32"/>
      <c r="I1856" s="32"/>
      <c r="J1856" s="32"/>
      <c r="K1856" s="32"/>
      <c r="L1856" s="32" t="e">
        <f ca="1">_xludf.ifna(VLOOKUP(E1856,Parámetros!$D$2:$E$34,2,0),"")</f>
        <v>#NAME?</v>
      </c>
      <c r="M1856" s="32" t="e">
        <f ca="1">_xludf.ifna(VLOOKUP(G1856,Proyectos!$A$2:$T$674,20,0),"")</f>
        <v>#NAME?</v>
      </c>
      <c r="N1856" s="32" t="e">
        <f ca="1">_xludf.ifna(VLOOKUP(G1856,Proyectos!$A$2:$S$674,19,0))</f>
        <v>#NAME?</v>
      </c>
      <c r="O1856" s="32"/>
      <c r="P1856" s="32"/>
      <c r="Q1856" s="33"/>
      <c r="R1856" s="33"/>
      <c r="S1856" s="33"/>
      <c r="T1856" s="63">
        <f t="shared" si="17"/>
        <v>0</v>
      </c>
      <c r="U1856" s="33"/>
      <c r="V1856" s="33"/>
      <c r="W1856" s="33"/>
    </row>
    <row r="1857" spans="1:23" ht="16.5" customHeight="1" x14ac:dyDescent="0.2">
      <c r="A1857" s="26"/>
      <c r="B1857" s="26"/>
      <c r="C1857" s="26"/>
      <c r="D1857" s="26"/>
      <c r="E1857" s="26"/>
      <c r="F1857" s="28" t="e">
        <f ca="1">_xludf.ifna(VLOOKUP(G1857,Proyectos!$A$2:$F$674,6,0),"")</f>
        <v>#NAME?</v>
      </c>
      <c r="G1857" s="26"/>
      <c r="H1857" s="32"/>
      <c r="I1857" s="32"/>
      <c r="J1857" s="32"/>
      <c r="K1857" s="32"/>
      <c r="L1857" s="32" t="e">
        <f ca="1">_xludf.ifna(VLOOKUP(E1857,Parámetros!$D$2:$E$34,2,0),"")</f>
        <v>#NAME?</v>
      </c>
      <c r="M1857" s="32" t="e">
        <f ca="1">_xludf.ifna(VLOOKUP(G1857,Proyectos!$A$2:$T$674,20,0),"")</f>
        <v>#NAME?</v>
      </c>
      <c r="N1857" s="32" t="e">
        <f ca="1">_xludf.ifna(VLOOKUP(G1857,Proyectos!$A$2:$S$674,19,0))</f>
        <v>#NAME?</v>
      </c>
      <c r="O1857" s="32"/>
      <c r="P1857" s="32"/>
      <c r="Q1857" s="33"/>
      <c r="R1857" s="33"/>
      <c r="S1857" s="33"/>
      <c r="T1857" s="63">
        <f t="shared" si="17"/>
        <v>0</v>
      </c>
      <c r="U1857" s="33"/>
      <c r="V1857" s="33"/>
      <c r="W1857" s="33"/>
    </row>
    <row r="1858" spans="1:23" ht="16.5" customHeight="1" x14ac:dyDescent="0.2">
      <c r="A1858" s="26"/>
      <c r="B1858" s="26"/>
      <c r="C1858" s="26"/>
      <c r="D1858" s="26"/>
      <c r="E1858" s="26"/>
      <c r="F1858" s="28" t="e">
        <f ca="1">_xludf.ifna(VLOOKUP(G1858,Proyectos!$A$2:$F$674,6,0),"")</f>
        <v>#NAME?</v>
      </c>
      <c r="G1858" s="26"/>
      <c r="H1858" s="32"/>
      <c r="I1858" s="32"/>
      <c r="J1858" s="32"/>
      <c r="K1858" s="32"/>
      <c r="L1858" s="32" t="e">
        <f ca="1">_xludf.ifna(VLOOKUP(E1858,Parámetros!$D$2:$E$34,2,0),"")</f>
        <v>#NAME?</v>
      </c>
      <c r="M1858" s="32" t="e">
        <f ca="1">_xludf.ifna(VLOOKUP(G1858,Proyectos!$A$2:$T$674,20,0),"")</f>
        <v>#NAME?</v>
      </c>
      <c r="N1858" s="32" t="e">
        <f ca="1">_xludf.ifna(VLOOKUP(G1858,Proyectos!$A$2:$S$674,19,0))</f>
        <v>#NAME?</v>
      </c>
      <c r="O1858" s="32"/>
      <c r="P1858" s="32"/>
      <c r="Q1858" s="33"/>
      <c r="R1858" s="33"/>
      <c r="S1858" s="33"/>
      <c r="T1858" s="63">
        <f t="shared" si="17"/>
        <v>0</v>
      </c>
      <c r="U1858" s="33"/>
      <c r="V1858" s="33"/>
      <c r="W1858" s="33"/>
    </row>
    <row r="1859" spans="1:23" ht="16.5" customHeight="1" x14ac:dyDescent="0.2">
      <c r="A1859" s="26"/>
      <c r="B1859" s="26"/>
      <c r="C1859" s="26"/>
      <c r="D1859" s="26"/>
      <c r="E1859" s="26"/>
      <c r="F1859" s="28" t="e">
        <f ca="1">_xludf.ifna(VLOOKUP(G1859,Proyectos!$A$2:$F$674,6,0),"")</f>
        <v>#NAME?</v>
      </c>
      <c r="G1859" s="26"/>
      <c r="H1859" s="32"/>
      <c r="I1859" s="32"/>
      <c r="J1859" s="32"/>
      <c r="K1859" s="32"/>
      <c r="L1859" s="32" t="e">
        <f ca="1">_xludf.ifna(VLOOKUP(E1859,Parámetros!$D$2:$E$34,2,0),"")</f>
        <v>#NAME?</v>
      </c>
      <c r="M1859" s="32" t="e">
        <f ca="1">_xludf.ifna(VLOOKUP(G1859,Proyectos!$A$2:$T$674,20,0),"")</f>
        <v>#NAME?</v>
      </c>
      <c r="N1859" s="32" t="e">
        <f ca="1">_xludf.ifna(VLOOKUP(G1859,Proyectos!$A$2:$S$674,19,0))</f>
        <v>#NAME?</v>
      </c>
      <c r="O1859" s="32"/>
      <c r="P1859" s="32"/>
      <c r="Q1859" s="33"/>
      <c r="R1859" s="33"/>
      <c r="S1859" s="33"/>
      <c r="T1859" s="63">
        <f t="shared" si="17"/>
        <v>0</v>
      </c>
      <c r="U1859" s="33"/>
      <c r="V1859" s="33"/>
      <c r="W1859" s="33"/>
    </row>
    <row r="1860" spans="1:23" ht="16.5" customHeight="1" x14ac:dyDescent="0.2">
      <c r="A1860" s="26"/>
      <c r="B1860" s="26"/>
      <c r="C1860" s="26"/>
      <c r="D1860" s="26"/>
      <c r="E1860" s="26"/>
      <c r="F1860" s="28" t="e">
        <f ca="1">_xludf.ifna(VLOOKUP(G1860,Proyectos!$A$2:$F$674,6,0),"")</f>
        <v>#NAME?</v>
      </c>
      <c r="G1860" s="26"/>
      <c r="H1860" s="32"/>
      <c r="I1860" s="32"/>
      <c r="J1860" s="32"/>
      <c r="K1860" s="32"/>
      <c r="L1860" s="32" t="e">
        <f ca="1">_xludf.ifna(VLOOKUP(E1860,Parámetros!$D$2:$E$34,2,0),"")</f>
        <v>#NAME?</v>
      </c>
      <c r="M1860" s="32" t="e">
        <f ca="1">_xludf.ifna(VLOOKUP(G1860,Proyectos!$A$2:$T$674,20,0),"")</f>
        <v>#NAME?</v>
      </c>
      <c r="N1860" s="32" t="e">
        <f ca="1">_xludf.ifna(VLOOKUP(G1860,Proyectos!$A$2:$S$674,19,0))</f>
        <v>#NAME?</v>
      </c>
      <c r="O1860" s="32"/>
      <c r="P1860" s="32"/>
      <c r="Q1860" s="33"/>
      <c r="R1860" s="33"/>
      <c r="S1860" s="33"/>
      <c r="T1860" s="63">
        <f t="shared" si="17"/>
        <v>0</v>
      </c>
      <c r="U1860" s="33"/>
      <c r="V1860" s="33"/>
      <c r="W1860" s="33"/>
    </row>
    <row r="1861" spans="1:23" ht="16.5" customHeight="1" x14ac:dyDescent="0.2">
      <c r="A1861" s="26"/>
      <c r="B1861" s="26"/>
      <c r="C1861" s="26"/>
      <c r="D1861" s="26"/>
      <c r="E1861" s="26"/>
      <c r="F1861" s="28" t="e">
        <f ca="1">_xludf.ifna(VLOOKUP(G1861,Proyectos!$A$2:$F$674,6,0),"")</f>
        <v>#NAME?</v>
      </c>
      <c r="G1861" s="26"/>
      <c r="H1861" s="32"/>
      <c r="I1861" s="32"/>
      <c r="J1861" s="32"/>
      <c r="K1861" s="32"/>
      <c r="L1861" s="32" t="e">
        <f ca="1">_xludf.ifna(VLOOKUP(E1861,Parámetros!$D$2:$E$34,2,0),"")</f>
        <v>#NAME?</v>
      </c>
      <c r="M1861" s="32" t="e">
        <f ca="1">_xludf.ifna(VLOOKUP(G1861,Proyectos!$A$2:$T$674,20,0),"")</f>
        <v>#NAME?</v>
      </c>
      <c r="N1861" s="32" t="e">
        <f ca="1">_xludf.ifna(VLOOKUP(G1861,Proyectos!$A$2:$S$674,19,0))</f>
        <v>#NAME?</v>
      </c>
      <c r="O1861" s="32"/>
      <c r="P1861" s="32"/>
      <c r="Q1861" s="33"/>
      <c r="R1861" s="33"/>
      <c r="S1861" s="33"/>
      <c r="T1861" s="63">
        <f t="shared" si="17"/>
        <v>0</v>
      </c>
      <c r="U1861" s="33"/>
      <c r="V1861" s="33"/>
      <c r="W1861" s="33"/>
    </row>
    <row r="1862" spans="1:23" ht="16.5" customHeight="1" x14ac:dyDescent="0.2">
      <c r="A1862" s="26"/>
      <c r="B1862" s="26"/>
      <c r="C1862" s="26"/>
      <c r="D1862" s="26"/>
      <c r="E1862" s="26"/>
      <c r="F1862" s="28" t="e">
        <f ca="1">_xludf.ifna(VLOOKUP(G1862,Proyectos!$A$2:$F$674,6,0),"")</f>
        <v>#NAME?</v>
      </c>
      <c r="G1862" s="26"/>
      <c r="H1862" s="32"/>
      <c r="I1862" s="32"/>
      <c r="J1862" s="32"/>
      <c r="K1862" s="32"/>
      <c r="L1862" s="32" t="e">
        <f ca="1">_xludf.ifna(VLOOKUP(E1862,Parámetros!$D$2:$E$34,2,0),"")</f>
        <v>#NAME?</v>
      </c>
      <c r="M1862" s="32" t="e">
        <f ca="1">_xludf.ifna(VLOOKUP(G1862,Proyectos!$A$2:$T$674,20,0),"")</f>
        <v>#NAME?</v>
      </c>
      <c r="N1862" s="32" t="e">
        <f ca="1">_xludf.ifna(VLOOKUP(G1862,Proyectos!$A$2:$S$674,19,0))</f>
        <v>#NAME?</v>
      </c>
      <c r="O1862" s="32"/>
      <c r="P1862" s="32"/>
      <c r="Q1862" s="33"/>
      <c r="R1862" s="33"/>
      <c r="S1862" s="33"/>
      <c r="T1862" s="63">
        <f t="shared" si="17"/>
        <v>0</v>
      </c>
      <c r="U1862" s="33"/>
      <c r="V1862" s="33"/>
      <c r="W1862" s="33"/>
    </row>
    <row r="1863" spans="1:23" ht="16.5" customHeight="1" x14ac:dyDescent="0.2">
      <c r="A1863" s="26"/>
      <c r="B1863" s="26"/>
      <c r="C1863" s="26"/>
      <c r="D1863" s="26"/>
      <c r="E1863" s="26"/>
      <c r="F1863" s="28" t="e">
        <f ca="1">_xludf.ifna(VLOOKUP(G1863,Proyectos!$A$2:$F$674,6,0),"")</f>
        <v>#NAME?</v>
      </c>
      <c r="G1863" s="26"/>
      <c r="H1863" s="32"/>
      <c r="I1863" s="32"/>
      <c r="J1863" s="32"/>
      <c r="K1863" s="32"/>
      <c r="L1863" s="32" t="e">
        <f ca="1">_xludf.ifna(VLOOKUP(E1863,Parámetros!$D$2:$E$34,2,0),"")</f>
        <v>#NAME?</v>
      </c>
      <c r="M1863" s="32" t="e">
        <f ca="1">_xludf.ifna(VLOOKUP(G1863,Proyectos!$A$2:$T$674,20,0),"")</f>
        <v>#NAME?</v>
      </c>
      <c r="N1863" s="32" t="e">
        <f ca="1">_xludf.ifna(VLOOKUP(G1863,Proyectos!$A$2:$S$674,19,0))</f>
        <v>#NAME?</v>
      </c>
      <c r="O1863" s="32"/>
      <c r="P1863" s="32"/>
      <c r="Q1863" s="33"/>
      <c r="R1863" s="33"/>
      <c r="S1863" s="33"/>
      <c r="T1863" s="63">
        <f t="shared" si="17"/>
        <v>0</v>
      </c>
      <c r="U1863" s="33"/>
      <c r="V1863" s="33"/>
      <c r="W1863" s="33"/>
    </row>
    <row r="1864" spans="1:23" ht="16.5" customHeight="1" x14ac:dyDescent="0.2">
      <c r="A1864" s="26"/>
      <c r="B1864" s="26"/>
      <c r="C1864" s="26"/>
      <c r="D1864" s="26"/>
      <c r="E1864" s="26"/>
      <c r="F1864" s="28" t="e">
        <f ca="1">_xludf.ifna(VLOOKUP(G1864,Proyectos!$A$2:$F$674,6,0),"")</f>
        <v>#NAME?</v>
      </c>
      <c r="G1864" s="26"/>
      <c r="H1864" s="32"/>
      <c r="I1864" s="32"/>
      <c r="J1864" s="32"/>
      <c r="K1864" s="32"/>
      <c r="L1864" s="32" t="e">
        <f ca="1">_xludf.ifna(VLOOKUP(E1864,Parámetros!$D$2:$E$34,2,0),"")</f>
        <v>#NAME?</v>
      </c>
      <c r="M1864" s="32" t="e">
        <f ca="1">_xludf.ifna(VLOOKUP(G1864,Proyectos!$A$2:$T$674,20,0),"")</f>
        <v>#NAME?</v>
      </c>
      <c r="N1864" s="32" t="e">
        <f ca="1">_xludf.ifna(VLOOKUP(G1864,Proyectos!$A$2:$S$674,19,0))</f>
        <v>#NAME?</v>
      </c>
      <c r="O1864" s="32"/>
      <c r="P1864" s="32"/>
      <c r="Q1864" s="33"/>
      <c r="R1864" s="33"/>
      <c r="S1864" s="33"/>
      <c r="T1864" s="63">
        <f t="shared" si="17"/>
        <v>0</v>
      </c>
      <c r="U1864" s="33"/>
      <c r="V1864" s="33"/>
      <c r="W1864" s="33"/>
    </row>
    <row r="1865" spans="1:23" ht="16.5" customHeight="1" x14ac:dyDescent="0.2">
      <c r="A1865" s="26"/>
      <c r="B1865" s="26"/>
      <c r="C1865" s="26"/>
      <c r="D1865" s="26"/>
      <c r="E1865" s="26"/>
      <c r="F1865" s="28" t="e">
        <f ca="1">_xludf.ifna(VLOOKUP(G1865,Proyectos!$A$2:$F$674,6,0),"")</f>
        <v>#NAME?</v>
      </c>
      <c r="G1865" s="26"/>
      <c r="H1865" s="32"/>
      <c r="I1865" s="32"/>
      <c r="J1865" s="32"/>
      <c r="K1865" s="32"/>
      <c r="L1865" s="32" t="e">
        <f ca="1">_xludf.ifna(VLOOKUP(E1865,Parámetros!$D$2:$E$34,2,0),"")</f>
        <v>#NAME?</v>
      </c>
      <c r="M1865" s="32" t="e">
        <f ca="1">_xludf.ifna(VLOOKUP(G1865,Proyectos!$A$2:$T$674,20,0),"")</f>
        <v>#NAME?</v>
      </c>
      <c r="N1865" s="32" t="e">
        <f ca="1">_xludf.ifna(VLOOKUP(G1865,Proyectos!$A$2:$S$674,19,0))</f>
        <v>#NAME?</v>
      </c>
      <c r="O1865" s="32"/>
      <c r="P1865" s="32"/>
      <c r="Q1865" s="33"/>
      <c r="R1865" s="33"/>
      <c r="S1865" s="33"/>
      <c r="T1865" s="63">
        <f t="shared" si="17"/>
        <v>0</v>
      </c>
      <c r="U1865" s="33"/>
      <c r="V1865" s="33"/>
      <c r="W1865" s="33"/>
    </row>
    <row r="1866" spans="1:23" ht="16.5" customHeight="1" x14ac:dyDescent="0.2">
      <c r="A1866" s="26"/>
      <c r="B1866" s="26"/>
      <c r="C1866" s="26"/>
      <c r="D1866" s="26"/>
      <c r="E1866" s="26"/>
      <c r="F1866" s="28" t="e">
        <f ca="1">_xludf.ifna(VLOOKUP(G1866,Proyectos!$A$2:$F$674,6,0),"")</f>
        <v>#NAME?</v>
      </c>
      <c r="G1866" s="26"/>
      <c r="H1866" s="32"/>
      <c r="I1866" s="32"/>
      <c r="J1866" s="32"/>
      <c r="K1866" s="32"/>
      <c r="L1866" s="32" t="e">
        <f ca="1">_xludf.ifna(VLOOKUP(E1866,Parámetros!$D$2:$E$34,2,0),"")</f>
        <v>#NAME?</v>
      </c>
      <c r="M1866" s="32" t="e">
        <f ca="1">_xludf.ifna(VLOOKUP(G1866,Proyectos!$A$2:$T$674,20,0),"")</f>
        <v>#NAME?</v>
      </c>
      <c r="N1866" s="32" t="e">
        <f ca="1">_xludf.ifna(VLOOKUP(G1866,Proyectos!$A$2:$S$674,19,0))</f>
        <v>#NAME?</v>
      </c>
      <c r="O1866" s="32"/>
      <c r="P1866" s="32"/>
      <c r="Q1866" s="33"/>
      <c r="R1866" s="33"/>
      <c r="S1866" s="33"/>
      <c r="T1866" s="63">
        <f t="shared" si="17"/>
        <v>0</v>
      </c>
      <c r="U1866" s="33"/>
      <c r="V1866" s="33"/>
      <c r="W1866" s="33"/>
    </row>
    <row r="1867" spans="1:23" ht="16.5" customHeight="1" x14ac:dyDescent="0.2">
      <c r="A1867" s="26"/>
      <c r="B1867" s="26"/>
      <c r="C1867" s="26"/>
      <c r="D1867" s="26"/>
      <c r="E1867" s="26"/>
      <c r="F1867" s="28" t="e">
        <f ca="1">_xludf.ifna(VLOOKUP(G1867,Proyectos!$A$2:$F$674,6,0),"")</f>
        <v>#NAME?</v>
      </c>
      <c r="G1867" s="26"/>
      <c r="H1867" s="32"/>
      <c r="I1867" s="32"/>
      <c r="J1867" s="32"/>
      <c r="K1867" s="32"/>
      <c r="L1867" s="32" t="e">
        <f ca="1">_xludf.ifna(VLOOKUP(E1867,Parámetros!$D$2:$E$34,2,0),"")</f>
        <v>#NAME?</v>
      </c>
      <c r="M1867" s="32" t="e">
        <f ca="1">_xludf.ifna(VLOOKUP(G1867,Proyectos!$A$2:$T$674,20,0),"")</f>
        <v>#NAME?</v>
      </c>
      <c r="N1867" s="32" t="e">
        <f ca="1">_xludf.ifna(VLOOKUP(G1867,Proyectos!$A$2:$S$674,19,0))</f>
        <v>#NAME?</v>
      </c>
      <c r="O1867" s="32"/>
      <c r="P1867" s="32"/>
      <c r="Q1867" s="33"/>
      <c r="R1867" s="33"/>
      <c r="S1867" s="33"/>
      <c r="T1867" s="63">
        <f t="shared" si="17"/>
        <v>0</v>
      </c>
      <c r="U1867" s="33"/>
      <c r="V1867" s="33"/>
      <c r="W1867" s="33"/>
    </row>
    <row r="1868" spans="1:23" ht="16.5" customHeight="1" x14ac:dyDescent="0.2">
      <c r="A1868" s="26"/>
      <c r="B1868" s="26"/>
      <c r="C1868" s="26"/>
      <c r="D1868" s="26"/>
      <c r="E1868" s="26"/>
      <c r="F1868" s="28" t="e">
        <f ca="1">_xludf.ifna(VLOOKUP(G1868,Proyectos!$A$2:$F$674,6,0),"")</f>
        <v>#NAME?</v>
      </c>
      <c r="G1868" s="26"/>
      <c r="H1868" s="32"/>
      <c r="I1868" s="32"/>
      <c r="J1868" s="32"/>
      <c r="K1868" s="32"/>
      <c r="L1868" s="32" t="e">
        <f ca="1">_xludf.ifna(VLOOKUP(E1868,Parámetros!$D$2:$E$34,2,0),"")</f>
        <v>#NAME?</v>
      </c>
      <c r="M1868" s="32" t="e">
        <f ca="1">_xludf.ifna(VLOOKUP(G1868,Proyectos!$A$2:$T$674,20,0),"")</f>
        <v>#NAME?</v>
      </c>
      <c r="N1868" s="32" t="e">
        <f ca="1">_xludf.ifna(VLOOKUP(G1868,Proyectos!$A$2:$S$674,19,0))</f>
        <v>#NAME?</v>
      </c>
      <c r="O1868" s="32"/>
      <c r="P1868" s="32"/>
      <c r="Q1868" s="33"/>
      <c r="R1868" s="33"/>
      <c r="S1868" s="33"/>
      <c r="T1868" s="63">
        <f t="shared" si="17"/>
        <v>0</v>
      </c>
      <c r="U1868" s="33"/>
      <c r="V1868" s="33"/>
      <c r="W1868" s="33"/>
    </row>
    <row r="1869" spans="1:23" ht="16.5" customHeight="1" x14ac:dyDescent="0.2">
      <c r="A1869" s="26"/>
      <c r="B1869" s="26"/>
      <c r="C1869" s="26"/>
      <c r="D1869" s="26"/>
      <c r="E1869" s="26"/>
      <c r="F1869" s="28" t="e">
        <f ca="1">_xludf.ifna(VLOOKUP(G1869,Proyectos!$A$2:$F$674,6,0),"")</f>
        <v>#NAME?</v>
      </c>
      <c r="G1869" s="26"/>
      <c r="H1869" s="32"/>
      <c r="I1869" s="32"/>
      <c r="J1869" s="32"/>
      <c r="K1869" s="32"/>
      <c r="L1869" s="32" t="e">
        <f ca="1">_xludf.ifna(VLOOKUP(E1869,Parámetros!$D$2:$E$34,2,0),"")</f>
        <v>#NAME?</v>
      </c>
      <c r="M1869" s="32" t="e">
        <f ca="1">_xludf.ifna(VLOOKUP(G1869,Proyectos!$A$2:$T$674,20,0),"")</f>
        <v>#NAME?</v>
      </c>
      <c r="N1869" s="32" t="e">
        <f ca="1">_xludf.ifna(VLOOKUP(G1869,Proyectos!$A$2:$S$674,19,0))</f>
        <v>#NAME?</v>
      </c>
      <c r="O1869" s="32"/>
      <c r="P1869" s="32"/>
      <c r="Q1869" s="33"/>
      <c r="R1869" s="33"/>
      <c r="S1869" s="33"/>
      <c r="T1869" s="63">
        <f t="shared" si="17"/>
        <v>0</v>
      </c>
      <c r="U1869" s="33"/>
      <c r="V1869" s="33"/>
      <c r="W1869" s="33"/>
    </row>
    <row r="1870" spans="1:23" ht="16.5" customHeight="1" x14ac:dyDescent="0.2">
      <c r="A1870" s="26"/>
      <c r="B1870" s="26"/>
      <c r="C1870" s="26"/>
      <c r="D1870" s="26"/>
      <c r="E1870" s="26"/>
      <c r="F1870" s="28" t="e">
        <f ca="1">_xludf.ifna(VLOOKUP(G1870,Proyectos!$A$2:$F$674,6,0),"")</f>
        <v>#NAME?</v>
      </c>
      <c r="G1870" s="26"/>
      <c r="H1870" s="32"/>
      <c r="I1870" s="32"/>
      <c r="J1870" s="32"/>
      <c r="K1870" s="32"/>
      <c r="L1870" s="32" t="e">
        <f ca="1">_xludf.ifna(VLOOKUP(E1870,Parámetros!$D$2:$E$34,2,0),"")</f>
        <v>#NAME?</v>
      </c>
      <c r="M1870" s="32" t="e">
        <f ca="1">_xludf.ifna(VLOOKUP(G1870,Proyectos!$A$2:$T$674,20,0),"")</f>
        <v>#NAME?</v>
      </c>
      <c r="N1870" s="32" t="e">
        <f ca="1">_xludf.ifna(VLOOKUP(G1870,Proyectos!$A$2:$S$674,19,0))</f>
        <v>#NAME?</v>
      </c>
      <c r="O1870" s="32"/>
      <c r="P1870" s="32"/>
      <c r="Q1870" s="33"/>
      <c r="R1870" s="33"/>
      <c r="S1870" s="33"/>
      <c r="T1870" s="63">
        <f t="shared" si="17"/>
        <v>0</v>
      </c>
      <c r="U1870" s="33"/>
      <c r="V1870" s="33"/>
      <c r="W1870" s="33"/>
    </row>
    <row r="1871" spans="1:23" ht="16.5" customHeight="1" x14ac:dyDescent="0.2">
      <c r="A1871" s="26"/>
      <c r="B1871" s="26"/>
      <c r="C1871" s="26"/>
      <c r="D1871" s="26"/>
      <c r="E1871" s="26"/>
      <c r="F1871" s="28" t="e">
        <f ca="1">_xludf.ifna(VLOOKUP(G1871,Proyectos!$A$2:$F$674,6,0),"")</f>
        <v>#NAME?</v>
      </c>
      <c r="G1871" s="26"/>
      <c r="H1871" s="32"/>
      <c r="I1871" s="32"/>
      <c r="J1871" s="32"/>
      <c r="K1871" s="32"/>
      <c r="L1871" s="32" t="e">
        <f ca="1">_xludf.ifna(VLOOKUP(E1871,Parámetros!$D$2:$E$34,2,0),"")</f>
        <v>#NAME?</v>
      </c>
      <c r="M1871" s="32" t="e">
        <f ca="1">_xludf.ifna(VLOOKUP(G1871,Proyectos!$A$2:$T$674,20,0),"")</f>
        <v>#NAME?</v>
      </c>
      <c r="N1871" s="32" t="e">
        <f ca="1">_xludf.ifna(VLOOKUP(G1871,Proyectos!$A$2:$S$674,19,0))</f>
        <v>#NAME?</v>
      </c>
      <c r="O1871" s="32"/>
      <c r="P1871" s="32"/>
      <c r="Q1871" s="33"/>
      <c r="R1871" s="33"/>
      <c r="S1871" s="33"/>
      <c r="T1871" s="63">
        <f t="shared" si="17"/>
        <v>0</v>
      </c>
      <c r="U1871" s="33"/>
      <c r="V1871" s="33"/>
      <c r="W1871" s="33"/>
    </row>
    <row r="1872" spans="1:23" ht="16.5" customHeight="1" x14ac:dyDescent="0.2">
      <c r="A1872" s="26"/>
      <c r="B1872" s="26"/>
      <c r="C1872" s="26"/>
      <c r="D1872" s="26"/>
      <c r="E1872" s="26"/>
      <c r="F1872" s="28" t="e">
        <f ca="1">_xludf.ifna(VLOOKUP(G1872,Proyectos!$A$2:$F$674,6,0),"")</f>
        <v>#NAME?</v>
      </c>
      <c r="G1872" s="26"/>
      <c r="H1872" s="32"/>
      <c r="I1872" s="32"/>
      <c r="J1872" s="32"/>
      <c r="K1872" s="32"/>
      <c r="L1872" s="32" t="e">
        <f ca="1">_xludf.ifna(VLOOKUP(E1872,Parámetros!$D$2:$E$34,2,0),"")</f>
        <v>#NAME?</v>
      </c>
      <c r="M1872" s="32" t="e">
        <f ca="1">_xludf.ifna(VLOOKUP(G1872,Proyectos!$A$2:$T$674,20,0),"")</f>
        <v>#NAME?</v>
      </c>
      <c r="N1872" s="32" t="e">
        <f ca="1">_xludf.ifna(VLOOKUP(G1872,Proyectos!$A$2:$S$674,19,0))</f>
        <v>#NAME?</v>
      </c>
      <c r="O1872" s="32"/>
      <c r="P1872" s="32"/>
      <c r="Q1872" s="33"/>
      <c r="R1872" s="33"/>
      <c r="S1872" s="33"/>
      <c r="T1872" s="63">
        <f t="shared" si="17"/>
        <v>0</v>
      </c>
      <c r="U1872" s="33"/>
      <c r="V1872" s="33"/>
      <c r="W1872" s="33"/>
    </row>
    <row r="1873" spans="1:23" ht="16.5" customHeight="1" x14ac:dyDescent="0.2">
      <c r="A1873" s="26"/>
      <c r="B1873" s="26"/>
      <c r="C1873" s="26"/>
      <c r="D1873" s="26"/>
      <c r="E1873" s="26"/>
      <c r="F1873" s="28" t="e">
        <f ca="1">_xludf.ifna(VLOOKUP(G1873,Proyectos!$A$2:$F$674,6,0),"")</f>
        <v>#NAME?</v>
      </c>
      <c r="G1873" s="26"/>
      <c r="H1873" s="32"/>
      <c r="I1873" s="32"/>
      <c r="J1873" s="32"/>
      <c r="K1873" s="32"/>
      <c r="L1873" s="32" t="e">
        <f ca="1">_xludf.ifna(VLOOKUP(E1873,Parámetros!$D$2:$E$34,2,0),"")</f>
        <v>#NAME?</v>
      </c>
      <c r="M1873" s="32" t="e">
        <f ca="1">_xludf.ifna(VLOOKUP(G1873,Proyectos!$A$2:$T$674,20,0),"")</f>
        <v>#NAME?</v>
      </c>
      <c r="N1873" s="32" t="e">
        <f ca="1">_xludf.ifna(VLOOKUP(G1873,Proyectos!$A$2:$S$674,19,0))</f>
        <v>#NAME?</v>
      </c>
      <c r="O1873" s="32"/>
      <c r="P1873" s="32"/>
      <c r="Q1873" s="33"/>
      <c r="R1873" s="33"/>
      <c r="S1873" s="33"/>
      <c r="T1873" s="63">
        <f t="shared" si="17"/>
        <v>0</v>
      </c>
      <c r="U1873" s="33"/>
      <c r="V1873" s="33"/>
      <c r="W1873" s="33"/>
    </row>
    <row r="1874" spans="1:23" ht="16.5" customHeight="1" x14ac:dyDescent="0.2">
      <c r="A1874" s="26"/>
      <c r="B1874" s="26"/>
      <c r="C1874" s="26"/>
      <c r="D1874" s="26"/>
      <c r="E1874" s="26"/>
      <c r="F1874" s="28" t="e">
        <f ca="1">_xludf.ifna(VLOOKUP(G1874,Proyectos!$A$2:$F$674,6,0),"")</f>
        <v>#NAME?</v>
      </c>
      <c r="G1874" s="26"/>
      <c r="H1874" s="32"/>
      <c r="I1874" s="32"/>
      <c r="J1874" s="32"/>
      <c r="K1874" s="32"/>
      <c r="L1874" s="32" t="e">
        <f ca="1">_xludf.ifna(VLOOKUP(E1874,Parámetros!$D$2:$E$34,2,0),"")</f>
        <v>#NAME?</v>
      </c>
      <c r="M1874" s="32" t="e">
        <f ca="1">_xludf.ifna(VLOOKUP(G1874,Proyectos!$A$2:$T$674,20,0),"")</f>
        <v>#NAME?</v>
      </c>
      <c r="N1874" s="32" t="e">
        <f ca="1">_xludf.ifna(VLOOKUP(G1874,Proyectos!$A$2:$S$674,19,0))</f>
        <v>#NAME?</v>
      </c>
      <c r="O1874" s="32"/>
      <c r="P1874" s="32"/>
      <c r="Q1874" s="33"/>
      <c r="R1874" s="33"/>
      <c r="S1874" s="33"/>
      <c r="T1874" s="63">
        <f t="shared" si="17"/>
        <v>0</v>
      </c>
      <c r="U1874" s="33"/>
      <c r="V1874" s="33"/>
      <c r="W1874" s="33"/>
    </row>
    <row r="1875" spans="1:23" ht="16.5" customHeight="1" x14ac:dyDescent="0.2">
      <c r="A1875" s="26"/>
      <c r="B1875" s="26"/>
      <c r="C1875" s="26"/>
      <c r="D1875" s="26"/>
      <c r="E1875" s="26"/>
      <c r="F1875" s="28" t="e">
        <f ca="1">_xludf.ifna(VLOOKUP(G1875,Proyectos!$A$2:$F$674,6,0),"")</f>
        <v>#NAME?</v>
      </c>
      <c r="G1875" s="26"/>
      <c r="H1875" s="32"/>
      <c r="I1875" s="32"/>
      <c r="J1875" s="32"/>
      <c r="K1875" s="32"/>
      <c r="L1875" s="32" t="e">
        <f ca="1">_xludf.ifna(VLOOKUP(E1875,Parámetros!$D$2:$E$34,2,0),"")</f>
        <v>#NAME?</v>
      </c>
      <c r="M1875" s="32" t="e">
        <f ca="1">_xludf.ifna(VLOOKUP(G1875,Proyectos!$A$2:$T$674,20,0),"")</f>
        <v>#NAME?</v>
      </c>
      <c r="N1875" s="32" t="e">
        <f ca="1">_xludf.ifna(VLOOKUP(G1875,Proyectos!$A$2:$S$674,19,0))</f>
        <v>#NAME?</v>
      </c>
      <c r="O1875" s="32"/>
      <c r="P1875" s="32"/>
      <c r="Q1875" s="33"/>
      <c r="R1875" s="33"/>
      <c r="S1875" s="33"/>
      <c r="T1875" s="63">
        <f t="shared" si="17"/>
        <v>0</v>
      </c>
      <c r="U1875" s="33"/>
      <c r="V1875" s="33"/>
      <c r="W1875" s="33"/>
    </row>
    <row r="1876" spans="1:23" ht="16.5" customHeight="1" x14ac:dyDescent="0.2">
      <c r="A1876" s="26"/>
      <c r="B1876" s="26"/>
      <c r="C1876" s="26"/>
      <c r="D1876" s="26"/>
      <c r="E1876" s="26"/>
      <c r="F1876" s="28" t="e">
        <f ca="1">_xludf.ifna(VLOOKUP(G1876,Proyectos!$A$2:$F$674,6,0),"")</f>
        <v>#NAME?</v>
      </c>
      <c r="G1876" s="26"/>
      <c r="H1876" s="32"/>
      <c r="I1876" s="32"/>
      <c r="J1876" s="32"/>
      <c r="K1876" s="32"/>
      <c r="L1876" s="32" t="e">
        <f ca="1">_xludf.ifna(VLOOKUP(E1876,Parámetros!$D$2:$E$34,2,0),"")</f>
        <v>#NAME?</v>
      </c>
      <c r="M1876" s="32" t="e">
        <f ca="1">_xludf.ifna(VLOOKUP(G1876,Proyectos!$A$2:$T$674,20,0),"")</f>
        <v>#NAME?</v>
      </c>
      <c r="N1876" s="32" t="e">
        <f ca="1">_xludf.ifna(VLOOKUP(G1876,Proyectos!$A$2:$S$674,19,0))</f>
        <v>#NAME?</v>
      </c>
      <c r="O1876" s="32"/>
      <c r="P1876" s="32"/>
      <c r="Q1876" s="33"/>
      <c r="R1876" s="33"/>
      <c r="S1876" s="33"/>
      <c r="T1876" s="63">
        <f t="shared" si="17"/>
        <v>0</v>
      </c>
      <c r="U1876" s="33"/>
      <c r="V1876" s="33"/>
      <c r="W1876" s="33"/>
    </row>
    <row r="1877" spans="1:23" ht="16.5" customHeight="1" x14ac:dyDescent="0.2">
      <c r="A1877" s="26"/>
      <c r="B1877" s="26"/>
      <c r="C1877" s="26"/>
      <c r="D1877" s="26"/>
      <c r="E1877" s="26"/>
      <c r="F1877" s="28" t="e">
        <f ca="1">_xludf.ifna(VLOOKUP(G1877,Proyectos!$A$2:$F$674,6,0),"")</f>
        <v>#NAME?</v>
      </c>
      <c r="G1877" s="26"/>
      <c r="H1877" s="32"/>
      <c r="I1877" s="32"/>
      <c r="J1877" s="32"/>
      <c r="K1877" s="32"/>
      <c r="L1877" s="32" t="e">
        <f ca="1">_xludf.ifna(VLOOKUP(E1877,Parámetros!$D$2:$E$34,2,0),"")</f>
        <v>#NAME?</v>
      </c>
      <c r="M1877" s="32" t="e">
        <f ca="1">_xludf.ifna(VLOOKUP(G1877,Proyectos!$A$2:$T$674,20,0),"")</f>
        <v>#NAME?</v>
      </c>
      <c r="N1877" s="32" t="e">
        <f ca="1">_xludf.ifna(VLOOKUP(G1877,Proyectos!$A$2:$S$674,19,0))</f>
        <v>#NAME?</v>
      </c>
      <c r="O1877" s="32"/>
      <c r="P1877" s="32"/>
      <c r="Q1877" s="33"/>
      <c r="R1877" s="33"/>
      <c r="S1877" s="33"/>
      <c r="T1877" s="63">
        <f t="shared" si="17"/>
        <v>0</v>
      </c>
      <c r="U1877" s="33"/>
      <c r="V1877" s="33"/>
      <c r="W1877" s="33"/>
    </row>
    <row r="1878" spans="1:23" ht="16.5" customHeight="1" x14ac:dyDescent="0.2">
      <c r="A1878" s="26"/>
      <c r="B1878" s="26"/>
      <c r="C1878" s="26"/>
      <c r="D1878" s="26"/>
      <c r="E1878" s="26"/>
      <c r="F1878" s="28" t="e">
        <f ca="1">_xludf.ifna(VLOOKUP(G1878,Proyectos!$A$2:$F$674,6,0),"")</f>
        <v>#NAME?</v>
      </c>
      <c r="G1878" s="26"/>
      <c r="H1878" s="32"/>
      <c r="I1878" s="32"/>
      <c r="J1878" s="32"/>
      <c r="K1878" s="32"/>
      <c r="L1878" s="32" t="e">
        <f ca="1">_xludf.ifna(VLOOKUP(E1878,Parámetros!$D$2:$E$34,2,0),"")</f>
        <v>#NAME?</v>
      </c>
      <c r="M1878" s="32" t="e">
        <f ca="1">_xludf.ifna(VLOOKUP(G1878,Proyectos!$A$2:$T$674,20,0),"")</f>
        <v>#NAME?</v>
      </c>
      <c r="N1878" s="32" t="e">
        <f ca="1">_xludf.ifna(VLOOKUP(G1878,Proyectos!$A$2:$S$674,19,0))</f>
        <v>#NAME?</v>
      </c>
      <c r="O1878" s="32"/>
      <c r="P1878" s="32"/>
      <c r="Q1878" s="33"/>
      <c r="R1878" s="33"/>
      <c r="S1878" s="33"/>
      <c r="T1878" s="63">
        <f t="shared" si="17"/>
        <v>0</v>
      </c>
      <c r="U1878" s="33"/>
      <c r="V1878" s="33"/>
      <c r="W1878" s="33"/>
    </row>
    <row r="1879" spans="1:23" ht="16.5" customHeight="1" x14ac:dyDescent="0.2">
      <c r="A1879" s="26"/>
      <c r="B1879" s="26"/>
      <c r="C1879" s="26"/>
      <c r="D1879" s="26"/>
      <c r="E1879" s="26"/>
      <c r="F1879" s="28" t="e">
        <f ca="1">_xludf.ifna(VLOOKUP(G1879,Proyectos!$A$2:$F$674,6,0),"")</f>
        <v>#NAME?</v>
      </c>
      <c r="G1879" s="26"/>
      <c r="H1879" s="32"/>
      <c r="I1879" s="32"/>
      <c r="J1879" s="32"/>
      <c r="K1879" s="32"/>
      <c r="L1879" s="32" t="e">
        <f ca="1">_xludf.ifna(VLOOKUP(E1879,Parámetros!$D$2:$E$34,2,0),"")</f>
        <v>#NAME?</v>
      </c>
      <c r="M1879" s="32" t="e">
        <f ca="1">_xludf.ifna(VLOOKUP(G1879,Proyectos!$A$2:$T$674,20,0),"")</f>
        <v>#NAME?</v>
      </c>
      <c r="N1879" s="32" t="e">
        <f ca="1">_xludf.ifna(VLOOKUP(G1879,Proyectos!$A$2:$S$674,19,0))</f>
        <v>#NAME?</v>
      </c>
      <c r="O1879" s="32"/>
      <c r="P1879" s="32"/>
      <c r="Q1879" s="33"/>
      <c r="R1879" s="33"/>
      <c r="S1879" s="33"/>
      <c r="T1879" s="63">
        <f t="shared" si="17"/>
        <v>0</v>
      </c>
      <c r="U1879" s="33"/>
      <c r="V1879" s="33"/>
      <c r="W1879" s="33"/>
    </row>
    <row r="1880" spans="1:23" ht="16.5" customHeight="1" x14ac:dyDescent="0.2">
      <c r="A1880" s="26"/>
      <c r="B1880" s="26"/>
      <c r="C1880" s="26"/>
      <c r="D1880" s="26"/>
      <c r="E1880" s="26"/>
      <c r="F1880" s="28" t="e">
        <f ca="1">_xludf.ifna(VLOOKUP(G1880,Proyectos!$A$2:$F$674,6,0),"")</f>
        <v>#NAME?</v>
      </c>
      <c r="G1880" s="26"/>
      <c r="H1880" s="32"/>
      <c r="I1880" s="32"/>
      <c r="J1880" s="32"/>
      <c r="K1880" s="32"/>
      <c r="L1880" s="32" t="e">
        <f ca="1">_xludf.ifna(VLOOKUP(E1880,Parámetros!$D$2:$E$34,2,0),"")</f>
        <v>#NAME?</v>
      </c>
      <c r="M1880" s="32" t="e">
        <f ca="1">_xludf.ifna(VLOOKUP(G1880,Proyectos!$A$2:$T$674,20,0),"")</f>
        <v>#NAME?</v>
      </c>
      <c r="N1880" s="32" t="e">
        <f ca="1">_xludf.ifna(VLOOKUP(G1880,Proyectos!$A$2:$S$674,19,0))</f>
        <v>#NAME?</v>
      </c>
      <c r="O1880" s="32"/>
      <c r="P1880" s="32"/>
      <c r="Q1880" s="33"/>
      <c r="R1880" s="33"/>
      <c r="S1880" s="33"/>
      <c r="T1880" s="63">
        <f t="shared" si="17"/>
        <v>0</v>
      </c>
      <c r="U1880" s="33"/>
      <c r="V1880" s="33"/>
      <c r="W1880" s="33"/>
    </row>
    <row r="1881" spans="1:23" ht="16.5" customHeight="1" x14ac:dyDescent="0.2">
      <c r="A1881" s="26"/>
      <c r="B1881" s="26"/>
      <c r="C1881" s="26"/>
      <c r="D1881" s="26"/>
      <c r="E1881" s="26"/>
      <c r="F1881" s="28" t="e">
        <f ca="1">_xludf.ifna(VLOOKUP(G1881,Proyectos!$A$2:$F$674,6,0),"")</f>
        <v>#NAME?</v>
      </c>
      <c r="G1881" s="26"/>
      <c r="H1881" s="32"/>
      <c r="I1881" s="32"/>
      <c r="J1881" s="32"/>
      <c r="K1881" s="32"/>
      <c r="L1881" s="32" t="e">
        <f ca="1">_xludf.ifna(VLOOKUP(E1881,Parámetros!$D$2:$E$34,2,0),"")</f>
        <v>#NAME?</v>
      </c>
      <c r="M1881" s="32" t="e">
        <f ca="1">_xludf.ifna(VLOOKUP(G1881,Proyectos!$A$2:$T$674,20,0),"")</f>
        <v>#NAME?</v>
      </c>
      <c r="N1881" s="32" t="e">
        <f ca="1">_xludf.ifna(VLOOKUP(G1881,Proyectos!$A$2:$S$674,19,0))</f>
        <v>#NAME?</v>
      </c>
      <c r="O1881" s="32"/>
      <c r="P1881" s="32"/>
      <c r="Q1881" s="33"/>
      <c r="R1881" s="33"/>
      <c r="S1881" s="33"/>
      <c r="T1881" s="63">
        <f t="shared" si="17"/>
        <v>0</v>
      </c>
      <c r="U1881" s="33"/>
      <c r="V1881" s="33"/>
      <c r="W1881" s="33"/>
    </row>
    <row r="1882" spans="1:23" ht="16.5" customHeight="1" x14ac:dyDescent="0.2">
      <c r="A1882" s="26"/>
      <c r="B1882" s="26"/>
      <c r="C1882" s="26"/>
      <c r="D1882" s="26"/>
      <c r="E1882" s="26"/>
      <c r="F1882" s="28" t="e">
        <f ca="1">_xludf.ifna(VLOOKUP(G1882,Proyectos!$A$2:$F$674,6,0),"")</f>
        <v>#NAME?</v>
      </c>
      <c r="G1882" s="26"/>
      <c r="H1882" s="32"/>
      <c r="I1882" s="32"/>
      <c r="J1882" s="32"/>
      <c r="K1882" s="32"/>
      <c r="L1882" s="32" t="e">
        <f ca="1">_xludf.ifna(VLOOKUP(E1882,Parámetros!$D$2:$E$34,2,0),"")</f>
        <v>#NAME?</v>
      </c>
      <c r="M1882" s="32" t="e">
        <f ca="1">_xludf.ifna(VLOOKUP(G1882,Proyectos!$A$2:$T$674,20,0),"")</f>
        <v>#NAME?</v>
      </c>
      <c r="N1882" s="32" t="e">
        <f ca="1">_xludf.ifna(VLOOKUP(G1882,Proyectos!$A$2:$S$674,19,0))</f>
        <v>#NAME?</v>
      </c>
      <c r="O1882" s="32"/>
      <c r="P1882" s="32"/>
      <c r="Q1882" s="33"/>
      <c r="R1882" s="33"/>
      <c r="S1882" s="33"/>
      <c r="T1882" s="63">
        <f t="shared" si="17"/>
        <v>0</v>
      </c>
      <c r="U1882" s="33"/>
      <c r="V1882" s="33"/>
      <c r="W1882" s="33"/>
    </row>
    <row r="1883" spans="1:23" ht="16.5" customHeight="1" x14ac:dyDescent="0.2">
      <c r="A1883" s="26"/>
      <c r="B1883" s="26"/>
      <c r="C1883" s="26"/>
      <c r="D1883" s="26"/>
      <c r="E1883" s="26"/>
      <c r="F1883" s="28" t="e">
        <f ca="1">_xludf.ifna(VLOOKUP(G1883,Proyectos!$A$2:$F$674,6,0),"")</f>
        <v>#NAME?</v>
      </c>
      <c r="G1883" s="26"/>
      <c r="H1883" s="32"/>
      <c r="I1883" s="32"/>
      <c r="J1883" s="32"/>
      <c r="K1883" s="32"/>
      <c r="L1883" s="32" t="e">
        <f ca="1">_xludf.ifna(VLOOKUP(E1883,Parámetros!$D$2:$E$34,2,0),"")</f>
        <v>#NAME?</v>
      </c>
      <c r="M1883" s="32" t="e">
        <f ca="1">_xludf.ifna(VLOOKUP(G1883,Proyectos!$A$2:$T$674,20,0),"")</f>
        <v>#NAME?</v>
      </c>
      <c r="N1883" s="32" t="e">
        <f ca="1">_xludf.ifna(VLOOKUP(G1883,Proyectos!$A$2:$S$674,19,0))</f>
        <v>#NAME?</v>
      </c>
      <c r="O1883" s="32"/>
      <c r="P1883" s="32"/>
      <c r="Q1883" s="33"/>
      <c r="R1883" s="33"/>
      <c r="S1883" s="33"/>
      <c r="T1883" s="63">
        <f t="shared" si="17"/>
        <v>0</v>
      </c>
      <c r="U1883" s="33"/>
      <c r="V1883" s="33"/>
      <c r="W1883" s="33"/>
    </row>
    <row r="1884" spans="1:23" ht="16.5" customHeight="1" x14ac:dyDescent="0.2">
      <c r="A1884" s="26"/>
      <c r="B1884" s="26"/>
      <c r="C1884" s="26"/>
      <c r="D1884" s="26"/>
      <c r="E1884" s="26"/>
      <c r="F1884" s="28" t="e">
        <f ca="1">_xludf.ifna(VLOOKUP(G1884,Proyectos!$A$2:$F$674,6,0),"")</f>
        <v>#NAME?</v>
      </c>
      <c r="G1884" s="26"/>
      <c r="H1884" s="32"/>
      <c r="I1884" s="32"/>
      <c r="J1884" s="32"/>
      <c r="K1884" s="32"/>
      <c r="L1884" s="32" t="e">
        <f ca="1">_xludf.ifna(VLOOKUP(E1884,Parámetros!$D$2:$E$34,2,0),"")</f>
        <v>#NAME?</v>
      </c>
      <c r="M1884" s="32" t="e">
        <f ca="1">_xludf.ifna(VLOOKUP(G1884,Proyectos!$A$2:$T$674,20,0),"")</f>
        <v>#NAME?</v>
      </c>
      <c r="N1884" s="32" t="e">
        <f ca="1">_xludf.ifna(VLOOKUP(G1884,Proyectos!$A$2:$S$674,19,0))</f>
        <v>#NAME?</v>
      </c>
      <c r="O1884" s="32"/>
      <c r="P1884" s="32"/>
      <c r="Q1884" s="33"/>
      <c r="R1884" s="33"/>
      <c r="S1884" s="33"/>
      <c r="T1884" s="63">
        <f t="shared" si="17"/>
        <v>0</v>
      </c>
      <c r="U1884" s="33"/>
      <c r="V1884" s="33"/>
      <c r="W1884" s="33"/>
    </row>
    <row r="1885" spans="1:23" ht="16.5" customHeight="1" x14ac:dyDescent="0.2">
      <c r="A1885" s="26"/>
      <c r="B1885" s="26"/>
      <c r="C1885" s="26"/>
      <c r="D1885" s="26"/>
      <c r="E1885" s="26"/>
      <c r="F1885" s="28" t="e">
        <f ca="1">_xludf.ifna(VLOOKUP(G1885,Proyectos!$A$2:$F$674,6,0),"")</f>
        <v>#NAME?</v>
      </c>
      <c r="G1885" s="26"/>
      <c r="H1885" s="32"/>
      <c r="I1885" s="32"/>
      <c r="J1885" s="32"/>
      <c r="K1885" s="32"/>
      <c r="L1885" s="32" t="e">
        <f ca="1">_xludf.ifna(VLOOKUP(E1885,Parámetros!$D$2:$E$34,2,0),"")</f>
        <v>#NAME?</v>
      </c>
      <c r="M1885" s="32" t="e">
        <f ca="1">_xludf.ifna(VLOOKUP(G1885,Proyectos!$A$2:$T$674,20,0),"")</f>
        <v>#NAME?</v>
      </c>
      <c r="N1885" s="32" t="e">
        <f ca="1">_xludf.ifna(VLOOKUP(G1885,Proyectos!$A$2:$S$674,19,0))</f>
        <v>#NAME?</v>
      </c>
      <c r="O1885" s="32"/>
      <c r="P1885" s="32"/>
      <c r="Q1885" s="33"/>
      <c r="R1885" s="33"/>
      <c r="S1885" s="33"/>
      <c r="T1885" s="63">
        <f t="shared" si="17"/>
        <v>0</v>
      </c>
      <c r="U1885" s="33"/>
      <c r="V1885" s="33"/>
      <c r="W1885" s="33"/>
    </row>
    <row r="1886" spans="1:23" ht="16.5" customHeight="1" x14ac:dyDescent="0.2">
      <c r="A1886" s="26"/>
      <c r="B1886" s="26"/>
      <c r="C1886" s="26"/>
      <c r="D1886" s="26"/>
      <c r="E1886" s="26"/>
      <c r="F1886" s="28" t="e">
        <f ca="1">_xludf.ifna(VLOOKUP(G1886,Proyectos!$A$2:$F$674,6,0),"")</f>
        <v>#NAME?</v>
      </c>
      <c r="G1886" s="26"/>
      <c r="H1886" s="32"/>
      <c r="I1886" s="32"/>
      <c r="J1886" s="32"/>
      <c r="K1886" s="32"/>
      <c r="L1886" s="32" t="e">
        <f ca="1">_xludf.ifna(VLOOKUP(E1886,Parámetros!$D$2:$E$34,2,0),"")</f>
        <v>#NAME?</v>
      </c>
      <c r="M1886" s="32" t="e">
        <f ca="1">_xludf.ifna(VLOOKUP(G1886,Proyectos!$A$2:$T$674,20,0),"")</f>
        <v>#NAME?</v>
      </c>
      <c r="N1886" s="32" t="e">
        <f ca="1">_xludf.ifna(VLOOKUP(G1886,Proyectos!$A$2:$S$674,19,0))</f>
        <v>#NAME?</v>
      </c>
      <c r="O1886" s="32"/>
      <c r="P1886" s="32"/>
      <c r="Q1886" s="33"/>
      <c r="R1886" s="33"/>
      <c r="S1886" s="33"/>
      <c r="T1886" s="63">
        <f t="shared" si="17"/>
        <v>0</v>
      </c>
      <c r="U1886" s="33"/>
      <c r="V1886" s="33"/>
      <c r="W1886" s="33"/>
    </row>
    <row r="1887" spans="1:23" ht="16.5" customHeight="1" x14ac:dyDescent="0.2">
      <c r="A1887" s="26"/>
      <c r="B1887" s="26"/>
      <c r="C1887" s="26"/>
      <c r="D1887" s="26"/>
      <c r="E1887" s="26"/>
      <c r="F1887" s="28" t="e">
        <f ca="1">_xludf.ifna(VLOOKUP(G1887,Proyectos!$A$2:$F$674,6,0),"")</f>
        <v>#NAME?</v>
      </c>
      <c r="G1887" s="26"/>
      <c r="H1887" s="32"/>
      <c r="I1887" s="32"/>
      <c r="J1887" s="32"/>
      <c r="K1887" s="32"/>
      <c r="L1887" s="32" t="e">
        <f ca="1">_xludf.ifna(VLOOKUP(E1887,Parámetros!$D$2:$E$34,2,0),"")</f>
        <v>#NAME?</v>
      </c>
      <c r="M1887" s="32" t="e">
        <f ca="1">_xludf.ifna(VLOOKUP(G1887,Proyectos!$A$2:$T$674,20,0),"")</f>
        <v>#NAME?</v>
      </c>
      <c r="N1887" s="32" t="e">
        <f ca="1">_xludf.ifna(VLOOKUP(G1887,Proyectos!$A$2:$S$674,19,0))</f>
        <v>#NAME?</v>
      </c>
      <c r="O1887" s="32"/>
      <c r="P1887" s="32"/>
      <c r="Q1887" s="33"/>
      <c r="R1887" s="33"/>
      <c r="S1887" s="33"/>
      <c r="T1887" s="63">
        <f t="shared" si="17"/>
        <v>0</v>
      </c>
      <c r="U1887" s="33"/>
      <c r="V1887" s="33"/>
      <c r="W1887" s="33"/>
    </row>
    <row r="1888" spans="1:23" ht="16.5" customHeight="1" x14ac:dyDescent="0.2">
      <c r="A1888" s="26"/>
      <c r="B1888" s="26"/>
      <c r="C1888" s="26"/>
      <c r="D1888" s="26"/>
      <c r="E1888" s="26"/>
      <c r="F1888" s="28" t="e">
        <f ca="1">_xludf.ifna(VLOOKUP(G1888,Proyectos!$A$2:$F$674,6,0),"")</f>
        <v>#NAME?</v>
      </c>
      <c r="G1888" s="26"/>
      <c r="H1888" s="32"/>
      <c r="I1888" s="32"/>
      <c r="J1888" s="32"/>
      <c r="K1888" s="32"/>
      <c r="L1888" s="32" t="e">
        <f ca="1">_xludf.ifna(VLOOKUP(E1888,Parámetros!$D$2:$E$34,2,0),"")</f>
        <v>#NAME?</v>
      </c>
      <c r="M1888" s="32" t="e">
        <f ca="1">_xludf.ifna(VLOOKUP(G1888,Proyectos!$A$2:$T$674,20,0),"")</f>
        <v>#NAME?</v>
      </c>
      <c r="N1888" s="32" t="e">
        <f ca="1">_xludf.ifna(VLOOKUP(G1888,Proyectos!$A$2:$S$674,19,0))</f>
        <v>#NAME?</v>
      </c>
      <c r="O1888" s="32"/>
      <c r="P1888" s="32"/>
      <c r="Q1888" s="33"/>
      <c r="R1888" s="33"/>
      <c r="S1888" s="33"/>
      <c r="T1888" s="63">
        <f t="shared" si="17"/>
        <v>0</v>
      </c>
      <c r="U1888" s="33"/>
      <c r="V1888" s="33"/>
      <c r="W1888" s="33"/>
    </row>
    <row r="1889" spans="1:23" ht="16.5" customHeight="1" x14ac:dyDescent="0.2">
      <c r="A1889" s="26"/>
      <c r="B1889" s="26"/>
      <c r="C1889" s="26"/>
      <c r="D1889" s="26"/>
      <c r="E1889" s="26"/>
      <c r="F1889" s="28" t="e">
        <f ca="1">_xludf.ifna(VLOOKUP(G1889,Proyectos!$A$2:$F$674,6,0),"")</f>
        <v>#NAME?</v>
      </c>
      <c r="G1889" s="26"/>
      <c r="H1889" s="32"/>
      <c r="I1889" s="32"/>
      <c r="J1889" s="32"/>
      <c r="K1889" s="32"/>
      <c r="L1889" s="32" t="e">
        <f ca="1">_xludf.ifna(VLOOKUP(E1889,Parámetros!$D$2:$E$34,2,0),"")</f>
        <v>#NAME?</v>
      </c>
      <c r="M1889" s="32" t="e">
        <f ca="1">_xludf.ifna(VLOOKUP(G1889,Proyectos!$A$2:$T$674,20,0),"")</f>
        <v>#NAME?</v>
      </c>
      <c r="N1889" s="32" t="e">
        <f ca="1">_xludf.ifna(VLOOKUP(G1889,Proyectos!$A$2:$S$674,19,0))</f>
        <v>#NAME?</v>
      </c>
      <c r="O1889" s="32"/>
      <c r="P1889" s="32"/>
      <c r="Q1889" s="33"/>
      <c r="R1889" s="33"/>
      <c r="S1889" s="33"/>
      <c r="T1889" s="63">
        <f t="shared" si="17"/>
        <v>0</v>
      </c>
      <c r="U1889" s="33"/>
      <c r="V1889" s="33"/>
      <c r="W1889" s="33"/>
    </row>
    <row r="1890" spans="1:23" ht="16.5" customHeight="1" x14ac:dyDescent="0.2">
      <c r="A1890" s="26"/>
      <c r="B1890" s="26"/>
      <c r="C1890" s="26"/>
      <c r="D1890" s="26"/>
      <c r="E1890" s="26"/>
      <c r="F1890" s="28" t="e">
        <f ca="1">_xludf.ifna(VLOOKUP(G1890,Proyectos!$A$2:$F$674,6,0),"")</f>
        <v>#NAME?</v>
      </c>
      <c r="G1890" s="26"/>
      <c r="H1890" s="32"/>
      <c r="I1890" s="32"/>
      <c r="J1890" s="32"/>
      <c r="K1890" s="32"/>
      <c r="L1890" s="32" t="e">
        <f ca="1">_xludf.ifna(VLOOKUP(E1890,Parámetros!$D$2:$E$34,2,0),"")</f>
        <v>#NAME?</v>
      </c>
      <c r="M1890" s="32" t="e">
        <f ca="1">_xludf.ifna(VLOOKUP(G1890,Proyectos!$A$2:$T$674,20,0),"")</f>
        <v>#NAME?</v>
      </c>
      <c r="N1890" s="32" t="e">
        <f ca="1">_xludf.ifna(VLOOKUP(G1890,Proyectos!$A$2:$S$674,19,0))</f>
        <v>#NAME?</v>
      </c>
      <c r="O1890" s="32"/>
      <c r="P1890" s="32"/>
      <c r="Q1890" s="33"/>
      <c r="R1890" s="33"/>
      <c r="S1890" s="33"/>
      <c r="T1890" s="63">
        <f t="shared" si="17"/>
        <v>0</v>
      </c>
      <c r="U1890" s="33"/>
      <c r="V1890" s="33"/>
      <c r="W1890" s="33"/>
    </row>
    <row r="1891" spans="1:23" ht="16.5" customHeight="1" x14ac:dyDescent="0.2">
      <c r="A1891" s="26"/>
      <c r="B1891" s="26"/>
      <c r="C1891" s="26"/>
      <c r="D1891" s="26"/>
      <c r="E1891" s="26"/>
      <c r="F1891" s="28" t="e">
        <f ca="1">_xludf.ifna(VLOOKUP(G1891,Proyectos!$A$2:$F$674,6,0),"")</f>
        <v>#NAME?</v>
      </c>
      <c r="G1891" s="26"/>
      <c r="H1891" s="32"/>
      <c r="I1891" s="32"/>
      <c r="J1891" s="32"/>
      <c r="K1891" s="32"/>
      <c r="L1891" s="32" t="e">
        <f ca="1">_xludf.ifna(VLOOKUP(E1891,Parámetros!$D$2:$E$34,2,0),"")</f>
        <v>#NAME?</v>
      </c>
      <c r="M1891" s="32" t="e">
        <f ca="1">_xludf.ifna(VLOOKUP(G1891,Proyectos!$A$2:$T$674,20,0),"")</f>
        <v>#NAME?</v>
      </c>
      <c r="N1891" s="32" t="e">
        <f ca="1">_xludf.ifna(VLOOKUP(G1891,Proyectos!$A$2:$S$674,19,0))</f>
        <v>#NAME?</v>
      </c>
      <c r="O1891" s="32"/>
      <c r="P1891" s="32"/>
      <c r="Q1891" s="33"/>
      <c r="R1891" s="33"/>
      <c r="S1891" s="33"/>
      <c r="T1891" s="63">
        <f t="shared" si="17"/>
        <v>0</v>
      </c>
      <c r="U1891" s="33"/>
      <c r="V1891" s="33"/>
      <c r="W1891" s="33"/>
    </row>
    <row r="1892" spans="1:23" ht="16.5" customHeight="1" x14ac:dyDescent="0.2">
      <c r="A1892" s="26"/>
      <c r="B1892" s="26"/>
      <c r="C1892" s="26"/>
      <c r="D1892" s="26"/>
      <c r="E1892" s="26"/>
      <c r="F1892" s="28" t="e">
        <f ca="1">_xludf.ifna(VLOOKUP(G1892,Proyectos!$A$2:$F$674,6,0),"")</f>
        <v>#NAME?</v>
      </c>
      <c r="G1892" s="26"/>
      <c r="H1892" s="32"/>
      <c r="I1892" s="32"/>
      <c r="J1892" s="32"/>
      <c r="K1892" s="32"/>
      <c r="L1892" s="32" t="e">
        <f ca="1">_xludf.ifna(VLOOKUP(E1892,Parámetros!$D$2:$E$34,2,0),"")</f>
        <v>#NAME?</v>
      </c>
      <c r="M1892" s="32" t="e">
        <f ca="1">_xludf.ifna(VLOOKUP(G1892,Proyectos!$A$2:$T$674,20,0),"")</f>
        <v>#NAME?</v>
      </c>
      <c r="N1892" s="32" t="e">
        <f ca="1">_xludf.ifna(VLOOKUP(G1892,Proyectos!$A$2:$S$674,19,0))</f>
        <v>#NAME?</v>
      </c>
      <c r="O1892" s="32"/>
      <c r="P1892" s="32"/>
      <c r="Q1892" s="33"/>
      <c r="R1892" s="33"/>
      <c r="S1892" s="33"/>
      <c r="T1892" s="63">
        <f t="shared" si="17"/>
        <v>0</v>
      </c>
      <c r="U1892" s="33"/>
      <c r="V1892" s="33"/>
      <c r="W1892" s="33"/>
    </row>
    <row r="1893" spans="1:23" ht="16.5" customHeight="1" x14ac:dyDescent="0.2">
      <c r="A1893" s="26"/>
      <c r="B1893" s="26"/>
      <c r="C1893" s="26"/>
      <c r="D1893" s="26"/>
      <c r="E1893" s="26"/>
      <c r="F1893" s="28" t="e">
        <f ca="1">_xludf.ifna(VLOOKUP(G1893,Proyectos!$A$2:$F$674,6,0),"")</f>
        <v>#NAME?</v>
      </c>
      <c r="G1893" s="26"/>
      <c r="H1893" s="32"/>
      <c r="I1893" s="32"/>
      <c r="J1893" s="32"/>
      <c r="K1893" s="32"/>
      <c r="L1893" s="32" t="e">
        <f ca="1">_xludf.ifna(VLOOKUP(E1893,Parámetros!$D$2:$E$34,2,0),"")</f>
        <v>#NAME?</v>
      </c>
      <c r="M1893" s="32" t="e">
        <f ca="1">_xludf.ifna(VLOOKUP(G1893,Proyectos!$A$2:$T$674,20,0),"")</f>
        <v>#NAME?</v>
      </c>
      <c r="N1893" s="32" t="e">
        <f ca="1">_xludf.ifna(VLOOKUP(G1893,Proyectos!$A$2:$S$674,19,0))</f>
        <v>#NAME?</v>
      </c>
      <c r="O1893" s="32"/>
      <c r="P1893" s="32"/>
      <c r="Q1893" s="33"/>
      <c r="R1893" s="33"/>
      <c r="S1893" s="33"/>
      <c r="T1893" s="63">
        <f t="shared" si="17"/>
        <v>0</v>
      </c>
      <c r="U1893" s="33"/>
      <c r="V1893" s="33"/>
      <c r="W1893" s="33"/>
    </row>
    <row r="1894" spans="1:23" ht="16.5" customHeight="1" x14ac:dyDescent="0.2">
      <c r="A1894" s="26"/>
      <c r="B1894" s="26"/>
      <c r="C1894" s="26"/>
      <c r="D1894" s="26"/>
      <c r="E1894" s="26"/>
      <c r="F1894" s="28" t="e">
        <f ca="1">_xludf.ifna(VLOOKUP(G1894,Proyectos!$A$2:$F$674,6,0),"")</f>
        <v>#NAME?</v>
      </c>
      <c r="G1894" s="26"/>
      <c r="H1894" s="32"/>
      <c r="I1894" s="32"/>
      <c r="J1894" s="32"/>
      <c r="K1894" s="32"/>
      <c r="L1894" s="32" t="e">
        <f ca="1">_xludf.ifna(VLOOKUP(E1894,Parámetros!$D$2:$E$34,2,0),"")</f>
        <v>#NAME?</v>
      </c>
      <c r="M1894" s="32" t="e">
        <f ca="1">_xludf.ifna(VLOOKUP(G1894,Proyectos!$A$2:$T$674,20,0),"")</f>
        <v>#NAME?</v>
      </c>
      <c r="N1894" s="32" t="e">
        <f ca="1">_xludf.ifna(VLOOKUP(G1894,Proyectos!$A$2:$S$674,19,0))</f>
        <v>#NAME?</v>
      </c>
      <c r="O1894" s="32"/>
      <c r="P1894" s="32"/>
      <c r="Q1894" s="33"/>
      <c r="R1894" s="33"/>
      <c r="S1894" s="33"/>
      <c r="T1894" s="63">
        <f t="shared" si="17"/>
        <v>0</v>
      </c>
      <c r="U1894" s="33"/>
      <c r="V1894" s="33"/>
      <c r="W1894" s="33"/>
    </row>
    <row r="1895" spans="1:23" ht="16.5" customHeight="1" x14ac:dyDescent="0.2">
      <c r="A1895" s="26"/>
      <c r="B1895" s="26"/>
      <c r="C1895" s="26"/>
      <c r="D1895" s="26"/>
      <c r="E1895" s="26"/>
      <c r="F1895" s="28" t="e">
        <f ca="1">_xludf.ifna(VLOOKUP(G1895,Proyectos!$A$2:$F$674,6,0),"")</f>
        <v>#NAME?</v>
      </c>
      <c r="G1895" s="26"/>
      <c r="H1895" s="32"/>
      <c r="I1895" s="32"/>
      <c r="J1895" s="32"/>
      <c r="K1895" s="32"/>
      <c r="L1895" s="32" t="e">
        <f ca="1">_xludf.ifna(VLOOKUP(E1895,Parámetros!$D$2:$E$34,2,0),"")</f>
        <v>#NAME?</v>
      </c>
      <c r="M1895" s="32" t="e">
        <f ca="1">_xludf.ifna(VLOOKUP(G1895,Proyectos!$A$2:$T$674,20,0),"")</f>
        <v>#NAME?</v>
      </c>
      <c r="N1895" s="32" t="e">
        <f ca="1">_xludf.ifna(VLOOKUP(G1895,Proyectos!$A$2:$S$674,19,0))</f>
        <v>#NAME?</v>
      </c>
      <c r="O1895" s="32"/>
      <c r="P1895" s="32"/>
      <c r="Q1895" s="33"/>
      <c r="R1895" s="33"/>
      <c r="S1895" s="33"/>
      <c r="T1895" s="63">
        <f t="shared" si="17"/>
        <v>0</v>
      </c>
      <c r="U1895" s="33"/>
      <c r="V1895" s="33"/>
      <c r="W1895" s="33"/>
    </row>
    <row r="1896" spans="1:23" ht="16.5" customHeight="1" x14ac:dyDescent="0.2">
      <c r="A1896" s="26"/>
      <c r="B1896" s="26"/>
      <c r="C1896" s="26"/>
      <c r="D1896" s="26"/>
      <c r="E1896" s="26"/>
      <c r="F1896" s="28" t="e">
        <f ca="1">_xludf.ifna(VLOOKUP(G1896,Proyectos!$A$2:$F$674,6,0),"")</f>
        <v>#NAME?</v>
      </c>
      <c r="G1896" s="26"/>
      <c r="H1896" s="32"/>
      <c r="I1896" s="32"/>
      <c r="J1896" s="32"/>
      <c r="K1896" s="32"/>
      <c r="L1896" s="32" t="e">
        <f ca="1">_xludf.ifna(VLOOKUP(E1896,Parámetros!$D$2:$E$34,2,0),"")</f>
        <v>#NAME?</v>
      </c>
      <c r="M1896" s="32" t="e">
        <f ca="1">_xludf.ifna(VLOOKUP(G1896,Proyectos!$A$2:$T$674,20,0),"")</f>
        <v>#NAME?</v>
      </c>
      <c r="N1896" s="32" t="e">
        <f ca="1">_xludf.ifna(VLOOKUP(G1896,Proyectos!$A$2:$S$674,19,0))</f>
        <v>#NAME?</v>
      </c>
      <c r="O1896" s="32"/>
      <c r="P1896" s="32"/>
      <c r="Q1896" s="33"/>
      <c r="R1896" s="33"/>
      <c r="S1896" s="33"/>
      <c r="T1896" s="63">
        <f t="shared" si="17"/>
        <v>0</v>
      </c>
      <c r="U1896" s="33"/>
      <c r="V1896" s="33"/>
      <c r="W1896" s="33"/>
    </row>
    <row r="1897" spans="1:23" ht="16.5" customHeight="1" x14ac:dyDescent="0.2">
      <c r="A1897" s="26"/>
      <c r="B1897" s="26"/>
      <c r="C1897" s="26"/>
      <c r="D1897" s="26"/>
      <c r="E1897" s="26"/>
      <c r="F1897" s="28" t="e">
        <f ca="1">_xludf.ifna(VLOOKUP(G1897,Proyectos!$A$2:$F$674,6,0),"")</f>
        <v>#NAME?</v>
      </c>
      <c r="G1897" s="26"/>
      <c r="H1897" s="32"/>
      <c r="I1897" s="32"/>
      <c r="J1897" s="32"/>
      <c r="K1897" s="32"/>
      <c r="L1897" s="32" t="e">
        <f ca="1">_xludf.ifna(VLOOKUP(E1897,Parámetros!$D$2:$E$34,2,0),"")</f>
        <v>#NAME?</v>
      </c>
      <c r="M1897" s="32" t="e">
        <f ca="1">_xludf.ifna(VLOOKUP(G1897,Proyectos!$A$2:$T$674,20,0),"")</f>
        <v>#NAME?</v>
      </c>
      <c r="N1897" s="32" t="e">
        <f ca="1">_xludf.ifna(VLOOKUP(G1897,Proyectos!$A$2:$S$674,19,0))</f>
        <v>#NAME?</v>
      </c>
      <c r="O1897" s="32"/>
      <c r="P1897" s="32"/>
      <c r="Q1897" s="33"/>
      <c r="R1897" s="33"/>
      <c r="S1897" s="33"/>
      <c r="T1897" s="63">
        <f t="shared" si="17"/>
        <v>0</v>
      </c>
      <c r="U1897" s="33"/>
      <c r="V1897" s="33"/>
      <c r="W1897" s="33"/>
    </row>
    <row r="1898" spans="1:23" ht="16.5" customHeight="1" x14ac:dyDescent="0.2">
      <c r="A1898" s="26"/>
      <c r="B1898" s="26"/>
      <c r="C1898" s="26"/>
      <c r="D1898" s="26"/>
      <c r="E1898" s="26"/>
      <c r="F1898" s="28" t="e">
        <f ca="1">_xludf.ifna(VLOOKUP(G1898,Proyectos!$A$2:$F$674,6,0),"")</f>
        <v>#NAME?</v>
      </c>
      <c r="G1898" s="26"/>
      <c r="H1898" s="32"/>
      <c r="I1898" s="32"/>
      <c r="J1898" s="32"/>
      <c r="K1898" s="32"/>
      <c r="L1898" s="32" t="e">
        <f ca="1">_xludf.ifna(VLOOKUP(E1898,Parámetros!$D$2:$E$34,2,0),"")</f>
        <v>#NAME?</v>
      </c>
      <c r="M1898" s="32" t="e">
        <f ca="1">_xludf.ifna(VLOOKUP(G1898,Proyectos!$A$2:$T$674,20,0),"")</f>
        <v>#NAME?</v>
      </c>
      <c r="N1898" s="32" t="e">
        <f ca="1">_xludf.ifna(VLOOKUP(G1898,Proyectos!$A$2:$S$674,19,0))</f>
        <v>#NAME?</v>
      </c>
      <c r="O1898" s="32"/>
      <c r="P1898" s="32"/>
      <c r="Q1898" s="33"/>
      <c r="R1898" s="33"/>
      <c r="S1898" s="33"/>
      <c r="T1898" s="63">
        <f t="shared" si="17"/>
        <v>0</v>
      </c>
      <c r="U1898" s="33"/>
      <c r="V1898" s="33"/>
      <c r="W1898" s="33"/>
    </row>
    <row r="1899" spans="1:23" ht="16.5" customHeight="1" x14ac:dyDescent="0.2">
      <c r="A1899" s="26"/>
      <c r="B1899" s="26"/>
      <c r="C1899" s="26"/>
      <c r="D1899" s="26"/>
      <c r="E1899" s="26"/>
      <c r="F1899" s="28" t="e">
        <f ca="1">_xludf.ifna(VLOOKUP(G1899,Proyectos!$A$2:$F$674,6,0),"")</f>
        <v>#NAME?</v>
      </c>
      <c r="G1899" s="26"/>
      <c r="H1899" s="32"/>
      <c r="I1899" s="32"/>
      <c r="J1899" s="32"/>
      <c r="K1899" s="32"/>
      <c r="L1899" s="32" t="e">
        <f ca="1">_xludf.ifna(VLOOKUP(E1899,Parámetros!$D$2:$E$34,2,0),"")</f>
        <v>#NAME?</v>
      </c>
      <c r="M1899" s="32" t="e">
        <f ca="1">_xludf.ifna(VLOOKUP(G1899,Proyectos!$A$2:$T$674,20,0),"")</f>
        <v>#NAME?</v>
      </c>
      <c r="N1899" s="32" t="e">
        <f ca="1">_xludf.ifna(VLOOKUP(G1899,Proyectos!$A$2:$S$674,19,0))</f>
        <v>#NAME?</v>
      </c>
      <c r="O1899" s="32"/>
      <c r="P1899" s="32"/>
      <c r="Q1899" s="33"/>
      <c r="R1899" s="33"/>
      <c r="S1899" s="33"/>
      <c r="T1899" s="63">
        <f t="shared" si="17"/>
        <v>0</v>
      </c>
      <c r="U1899" s="33"/>
      <c r="V1899" s="33"/>
      <c r="W1899" s="33"/>
    </row>
    <row r="1900" spans="1:23" ht="16.5" customHeight="1" x14ac:dyDescent="0.2">
      <c r="A1900" s="26"/>
      <c r="B1900" s="26"/>
      <c r="C1900" s="26"/>
      <c r="D1900" s="26"/>
      <c r="E1900" s="26"/>
      <c r="F1900" s="28" t="e">
        <f ca="1">_xludf.ifna(VLOOKUP(G1900,Proyectos!$A$2:$F$674,6,0),"")</f>
        <v>#NAME?</v>
      </c>
      <c r="G1900" s="26"/>
      <c r="H1900" s="32"/>
      <c r="I1900" s="32"/>
      <c r="J1900" s="32"/>
      <c r="K1900" s="32"/>
      <c r="L1900" s="32" t="e">
        <f ca="1">_xludf.ifna(VLOOKUP(E1900,Parámetros!$D$2:$E$34,2,0),"")</f>
        <v>#NAME?</v>
      </c>
      <c r="M1900" s="32" t="e">
        <f ca="1">_xludf.ifna(VLOOKUP(G1900,Proyectos!$A$2:$T$674,20,0),"")</f>
        <v>#NAME?</v>
      </c>
      <c r="N1900" s="32" t="e">
        <f ca="1">_xludf.ifna(VLOOKUP(G1900,Proyectos!$A$2:$S$674,19,0))</f>
        <v>#NAME?</v>
      </c>
      <c r="O1900" s="32"/>
      <c r="P1900" s="32"/>
      <c r="Q1900" s="33"/>
      <c r="R1900" s="33"/>
      <c r="S1900" s="33"/>
      <c r="T1900" s="63">
        <f t="shared" si="17"/>
        <v>0</v>
      </c>
      <c r="U1900" s="33"/>
      <c r="V1900" s="33"/>
      <c r="W1900" s="33"/>
    </row>
    <row r="1901" spans="1:23" ht="16.5" customHeight="1" x14ac:dyDescent="0.2">
      <c r="A1901" s="26"/>
      <c r="B1901" s="26"/>
      <c r="C1901" s="26"/>
      <c r="D1901" s="26"/>
      <c r="E1901" s="26"/>
      <c r="F1901" s="28" t="e">
        <f ca="1">_xludf.ifna(VLOOKUP(G1901,Proyectos!$A$2:$F$674,6,0),"")</f>
        <v>#NAME?</v>
      </c>
      <c r="G1901" s="26"/>
      <c r="H1901" s="32"/>
      <c r="I1901" s="32"/>
      <c r="J1901" s="32"/>
      <c r="K1901" s="32"/>
      <c r="L1901" s="32" t="e">
        <f ca="1">_xludf.ifna(VLOOKUP(E1901,Parámetros!$D$2:$E$34,2,0),"")</f>
        <v>#NAME?</v>
      </c>
      <c r="M1901" s="32" t="e">
        <f ca="1">_xludf.ifna(VLOOKUP(G1901,Proyectos!$A$2:$T$674,20,0),"")</f>
        <v>#NAME?</v>
      </c>
      <c r="N1901" s="32" t="e">
        <f ca="1">_xludf.ifna(VLOOKUP(G1901,Proyectos!$A$2:$S$674,19,0))</f>
        <v>#NAME?</v>
      </c>
      <c r="O1901" s="32"/>
      <c r="P1901" s="32"/>
      <c r="Q1901" s="33"/>
      <c r="R1901" s="33"/>
      <c r="S1901" s="33"/>
      <c r="T1901" s="63">
        <f t="shared" si="17"/>
        <v>0</v>
      </c>
      <c r="U1901" s="33"/>
      <c r="V1901" s="33"/>
      <c r="W1901" s="33"/>
    </row>
    <row r="1902" spans="1:23" ht="16.5" customHeight="1" x14ac:dyDescent="0.2">
      <c r="A1902" s="26"/>
      <c r="B1902" s="26"/>
      <c r="C1902" s="26"/>
      <c r="D1902" s="26"/>
      <c r="E1902" s="26"/>
      <c r="F1902" s="28" t="e">
        <f ca="1">_xludf.ifna(VLOOKUP(G1902,Proyectos!$A$2:$F$674,6,0),"")</f>
        <v>#NAME?</v>
      </c>
      <c r="G1902" s="26"/>
      <c r="H1902" s="32"/>
      <c r="I1902" s="32"/>
      <c r="J1902" s="32"/>
      <c r="K1902" s="32"/>
      <c r="L1902" s="32" t="e">
        <f ca="1">_xludf.ifna(VLOOKUP(E1902,Parámetros!$D$2:$E$34,2,0),"")</f>
        <v>#NAME?</v>
      </c>
      <c r="M1902" s="32" t="e">
        <f ca="1">_xludf.ifna(VLOOKUP(G1902,Proyectos!$A$2:$T$674,20,0),"")</f>
        <v>#NAME?</v>
      </c>
      <c r="N1902" s="32" t="e">
        <f ca="1">_xludf.ifna(VLOOKUP(G1902,Proyectos!$A$2:$S$674,19,0))</f>
        <v>#NAME?</v>
      </c>
      <c r="O1902" s="32"/>
      <c r="P1902" s="32"/>
      <c r="Q1902" s="33"/>
      <c r="R1902" s="33"/>
      <c r="S1902" s="33"/>
      <c r="T1902" s="63">
        <f t="shared" si="17"/>
        <v>0</v>
      </c>
      <c r="U1902" s="33"/>
      <c r="V1902" s="33"/>
      <c r="W1902" s="33"/>
    </row>
    <row r="1903" spans="1:23" ht="16.5" customHeight="1" x14ac:dyDescent="0.2">
      <c r="A1903" s="26"/>
      <c r="B1903" s="26"/>
      <c r="C1903" s="26"/>
      <c r="D1903" s="26"/>
      <c r="E1903" s="26"/>
      <c r="F1903" s="28" t="e">
        <f ca="1">_xludf.ifna(VLOOKUP(G1903,Proyectos!$A$2:$F$674,6,0),"")</f>
        <v>#NAME?</v>
      </c>
      <c r="G1903" s="26"/>
      <c r="H1903" s="32"/>
      <c r="I1903" s="32"/>
      <c r="J1903" s="32"/>
      <c r="K1903" s="32"/>
      <c r="L1903" s="32" t="e">
        <f ca="1">_xludf.ifna(VLOOKUP(E1903,Parámetros!$D$2:$E$34,2,0),"")</f>
        <v>#NAME?</v>
      </c>
      <c r="M1903" s="32" t="e">
        <f ca="1">_xludf.ifna(VLOOKUP(G1903,Proyectos!$A$2:$T$674,20,0),"")</f>
        <v>#NAME?</v>
      </c>
      <c r="N1903" s="32" t="e">
        <f ca="1">_xludf.ifna(VLOOKUP(G1903,Proyectos!$A$2:$S$674,19,0))</f>
        <v>#NAME?</v>
      </c>
      <c r="O1903" s="32"/>
      <c r="P1903" s="32"/>
      <c r="Q1903" s="33"/>
      <c r="R1903" s="33"/>
      <c r="S1903" s="33"/>
      <c r="T1903" s="63">
        <f t="shared" si="17"/>
        <v>0</v>
      </c>
      <c r="U1903" s="33"/>
      <c r="V1903" s="33"/>
      <c r="W1903" s="33"/>
    </row>
    <row r="1904" spans="1:23" ht="16.5" customHeight="1" x14ac:dyDescent="0.2">
      <c r="A1904" s="26"/>
      <c r="B1904" s="26"/>
      <c r="C1904" s="26"/>
      <c r="D1904" s="26"/>
      <c r="E1904" s="26"/>
      <c r="F1904" s="28" t="e">
        <f ca="1">_xludf.ifna(VLOOKUP(G1904,Proyectos!$A$2:$F$674,6,0),"")</f>
        <v>#NAME?</v>
      </c>
      <c r="G1904" s="26"/>
      <c r="H1904" s="32"/>
      <c r="I1904" s="32"/>
      <c r="J1904" s="32"/>
      <c r="K1904" s="32"/>
      <c r="L1904" s="32" t="e">
        <f ca="1">_xludf.ifna(VLOOKUP(E1904,Parámetros!$D$2:$E$34,2,0),"")</f>
        <v>#NAME?</v>
      </c>
      <c r="M1904" s="32" t="e">
        <f ca="1">_xludf.ifna(VLOOKUP(G1904,Proyectos!$A$2:$T$674,20,0),"")</f>
        <v>#NAME?</v>
      </c>
      <c r="N1904" s="32" t="e">
        <f ca="1">_xludf.ifna(VLOOKUP(G1904,Proyectos!$A$2:$S$674,19,0))</f>
        <v>#NAME?</v>
      </c>
      <c r="O1904" s="32"/>
      <c r="P1904" s="32"/>
      <c r="Q1904" s="33"/>
      <c r="R1904" s="33"/>
      <c r="S1904" s="33"/>
      <c r="T1904" s="63">
        <f t="shared" si="17"/>
        <v>0</v>
      </c>
      <c r="U1904" s="33"/>
      <c r="V1904" s="33"/>
      <c r="W1904" s="33"/>
    </row>
    <row r="1905" spans="1:23" ht="16.5" customHeight="1" x14ac:dyDescent="0.2">
      <c r="A1905" s="26"/>
      <c r="B1905" s="26"/>
      <c r="C1905" s="26"/>
      <c r="D1905" s="26"/>
      <c r="E1905" s="26"/>
      <c r="F1905" s="28" t="e">
        <f ca="1">_xludf.ifna(VLOOKUP(G1905,Proyectos!$A$2:$F$674,6,0),"")</f>
        <v>#NAME?</v>
      </c>
      <c r="G1905" s="26"/>
      <c r="H1905" s="32"/>
      <c r="I1905" s="32"/>
      <c r="J1905" s="32"/>
      <c r="K1905" s="32"/>
      <c r="L1905" s="32" t="e">
        <f ca="1">_xludf.ifna(VLOOKUP(E1905,Parámetros!$D$2:$E$34,2,0),"")</f>
        <v>#NAME?</v>
      </c>
      <c r="M1905" s="32" t="e">
        <f ca="1">_xludf.ifna(VLOOKUP(G1905,Proyectos!$A$2:$T$674,20,0),"")</f>
        <v>#NAME?</v>
      </c>
      <c r="N1905" s="32" t="e">
        <f ca="1">_xludf.ifna(VLOOKUP(G1905,Proyectos!$A$2:$S$674,19,0))</f>
        <v>#NAME?</v>
      </c>
      <c r="O1905" s="32"/>
      <c r="P1905" s="32"/>
      <c r="Q1905" s="33"/>
      <c r="R1905" s="33"/>
      <c r="S1905" s="33"/>
      <c r="T1905" s="63">
        <f t="shared" si="17"/>
        <v>0</v>
      </c>
      <c r="U1905" s="33"/>
      <c r="V1905" s="33"/>
      <c r="W1905" s="33"/>
    </row>
    <row r="1906" spans="1:23" ht="16.5" customHeight="1" x14ac:dyDescent="0.2">
      <c r="A1906" s="26"/>
      <c r="B1906" s="26"/>
      <c r="C1906" s="26"/>
      <c r="D1906" s="26"/>
      <c r="E1906" s="26"/>
      <c r="F1906" s="28" t="e">
        <f ca="1">_xludf.ifna(VLOOKUP(G1906,Proyectos!$A$2:$F$674,6,0),"")</f>
        <v>#NAME?</v>
      </c>
      <c r="G1906" s="26"/>
      <c r="H1906" s="32"/>
      <c r="I1906" s="32"/>
      <c r="J1906" s="32"/>
      <c r="K1906" s="32"/>
      <c r="L1906" s="32" t="e">
        <f ca="1">_xludf.ifna(VLOOKUP(E1906,Parámetros!$D$2:$E$34,2,0),"")</f>
        <v>#NAME?</v>
      </c>
      <c r="M1906" s="32" t="e">
        <f ca="1">_xludf.ifna(VLOOKUP(G1906,Proyectos!$A$2:$T$674,20,0),"")</f>
        <v>#NAME?</v>
      </c>
      <c r="N1906" s="32" t="e">
        <f ca="1">_xludf.ifna(VLOOKUP(G1906,Proyectos!$A$2:$S$674,19,0))</f>
        <v>#NAME?</v>
      </c>
      <c r="O1906" s="32"/>
      <c r="P1906" s="32"/>
      <c r="Q1906" s="33"/>
      <c r="R1906" s="33"/>
      <c r="S1906" s="33"/>
      <c r="T1906" s="63">
        <f t="shared" si="17"/>
        <v>0</v>
      </c>
      <c r="U1906" s="33"/>
      <c r="V1906" s="33"/>
      <c r="W1906" s="33"/>
    </row>
    <row r="1907" spans="1:23" ht="16.5" customHeight="1" x14ac:dyDescent="0.2">
      <c r="A1907" s="26"/>
      <c r="B1907" s="26"/>
      <c r="C1907" s="26"/>
      <c r="D1907" s="26"/>
      <c r="E1907" s="26"/>
      <c r="F1907" s="28" t="e">
        <f ca="1">_xludf.ifna(VLOOKUP(G1907,Proyectos!$A$2:$F$674,6,0),"")</f>
        <v>#NAME?</v>
      </c>
      <c r="G1907" s="26"/>
      <c r="H1907" s="32"/>
      <c r="I1907" s="32"/>
      <c r="J1907" s="32"/>
      <c r="K1907" s="32"/>
      <c r="L1907" s="32" t="e">
        <f ca="1">_xludf.ifna(VLOOKUP(E1907,Parámetros!$D$2:$E$34,2,0),"")</f>
        <v>#NAME?</v>
      </c>
      <c r="M1907" s="32" t="e">
        <f ca="1">_xludf.ifna(VLOOKUP(G1907,Proyectos!$A$2:$T$674,20,0),"")</f>
        <v>#NAME?</v>
      </c>
      <c r="N1907" s="32" t="e">
        <f ca="1">_xludf.ifna(VLOOKUP(G1907,Proyectos!$A$2:$S$674,19,0))</f>
        <v>#NAME?</v>
      </c>
      <c r="O1907" s="32"/>
      <c r="P1907" s="32"/>
      <c r="Q1907" s="33"/>
      <c r="R1907" s="33"/>
      <c r="S1907" s="33"/>
      <c r="T1907" s="63">
        <f t="shared" si="17"/>
        <v>0</v>
      </c>
      <c r="U1907" s="33"/>
      <c r="V1907" s="33"/>
      <c r="W1907" s="33"/>
    </row>
    <row r="1908" spans="1:23" ht="16.5" customHeight="1" x14ac:dyDescent="0.2">
      <c r="A1908" s="26"/>
      <c r="B1908" s="26"/>
      <c r="C1908" s="26"/>
      <c r="D1908" s="26"/>
      <c r="E1908" s="26"/>
      <c r="F1908" s="28" t="e">
        <f ca="1">_xludf.ifna(VLOOKUP(G1908,Proyectos!$A$2:$F$674,6,0),"")</f>
        <v>#NAME?</v>
      </c>
      <c r="G1908" s="26"/>
      <c r="H1908" s="32"/>
      <c r="I1908" s="32"/>
      <c r="J1908" s="32"/>
      <c r="K1908" s="32"/>
      <c r="L1908" s="32" t="e">
        <f ca="1">_xludf.ifna(VLOOKUP(E1908,Parámetros!$D$2:$E$34,2,0),"")</f>
        <v>#NAME?</v>
      </c>
      <c r="M1908" s="32" t="e">
        <f ca="1">_xludf.ifna(VLOOKUP(G1908,Proyectos!$A$2:$T$674,20,0),"")</f>
        <v>#NAME?</v>
      </c>
      <c r="N1908" s="32" t="e">
        <f ca="1">_xludf.ifna(VLOOKUP(G1908,Proyectos!$A$2:$S$674,19,0))</f>
        <v>#NAME?</v>
      </c>
      <c r="O1908" s="32"/>
      <c r="P1908" s="32"/>
      <c r="Q1908" s="33"/>
      <c r="R1908" s="33"/>
      <c r="S1908" s="33"/>
      <c r="T1908" s="63">
        <f t="shared" si="17"/>
        <v>0</v>
      </c>
      <c r="U1908" s="33"/>
      <c r="V1908" s="33"/>
      <c r="W1908" s="33"/>
    </row>
    <row r="1909" spans="1:23" ht="16.5" customHeight="1" x14ac:dyDescent="0.2">
      <c r="A1909" s="26"/>
      <c r="B1909" s="26"/>
      <c r="C1909" s="26"/>
      <c r="D1909" s="26"/>
      <c r="E1909" s="26"/>
      <c r="F1909" s="28" t="e">
        <f ca="1">_xludf.ifna(VLOOKUP(G1909,Proyectos!$A$2:$F$674,6,0),"")</f>
        <v>#NAME?</v>
      </c>
      <c r="G1909" s="26"/>
      <c r="H1909" s="32"/>
      <c r="I1909" s="32"/>
      <c r="J1909" s="32"/>
      <c r="K1909" s="32"/>
      <c r="L1909" s="32" t="e">
        <f ca="1">_xludf.ifna(VLOOKUP(E1909,Parámetros!$D$2:$E$34,2,0),"")</f>
        <v>#NAME?</v>
      </c>
      <c r="M1909" s="32" t="e">
        <f ca="1">_xludf.ifna(VLOOKUP(G1909,Proyectos!$A$2:$T$674,20,0),"")</f>
        <v>#NAME?</v>
      </c>
      <c r="N1909" s="32" t="e">
        <f ca="1">_xludf.ifna(VLOOKUP(G1909,Proyectos!$A$2:$S$674,19,0))</f>
        <v>#NAME?</v>
      </c>
      <c r="O1909" s="32"/>
      <c r="P1909" s="32"/>
      <c r="Q1909" s="33"/>
      <c r="R1909" s="33"/>
      <c r="S1909" s="33"/>
      <c r="T1909" s="63">
        <f t="shared" si="17"/>
        <v>0</v>
      </c>
      <c r="U1909" s="33"/>
      <c r="V1909" s="33"/>
      <c r="W1909" s="33"/>
    </row>
    <row r="1910" spans="1:23" ht="16.5" customHeight="1" x14ac:dyDescent="0.2">
      <c r="A1910" s="26"/>
      <c r="B1910" s="26"/>
      <c r="C1910" s="26"/>
      <c r="D1910" s="26"/>
      <c r="E1910" s="26"/>
      <c r="F1910" s="28" t="e">
        <f ca="1">_xludf.ifna(VLOOKUP(G1910,Proyectos!$A$2:$F$674,6,0),"")</f>
        <v>#NAME?</v>
      </c>
      <c r="G1910" s="26"/>
      <c r="H1910" s="32"/>
      <c r="I1910" s="32"/>
      <c r="J1910" s="32"/>
      <c r="K1910" s="32"/>
      <c r="L1910" s="32" t="e">
        <f ca="1">_xludf.ifna(VLOOKUP(E1910,Parámetros!$D$2:$E$34,2,0),"")</f>
        <v>#NAME?</v>
      </c>
      <c r="M1910" s="32" t="e">
        <f ca="1">_xludf.ifna(VLOOKUP(G1910,Proyectos!$A$2:$T$674,20,0),"")</f>
        <v>#NAME?</v>
      </c>
      <c r="N1910" s="32" t="e">
        <f ca="1">_xludf.ifna(VLOOKUP(G1910,Proyectos!$A$2:$S$674,19,0))</f>
        <v>#NAME?</v>
      </c>
      <c r="O1910" s="32"/>
      <c r="P1910" s="32"/>
      <c r="Q1910" s="33"/>
      <c r="R1910" s="33"/>
      <c r="S1910" s="33"/>
      <c r="T1910" s="63">
        <f t="shared" si="17"/>
        <v>0</v>
      </c>
      <c r="U1910" s="33"/>
      <c r="V1910" s="33"/>
      <c r="W1910" s="33"/>
    </row>
    <row r="1911" spans="1:23" ht="16.5" customHeight="1" x14ac:dyDescent="0.2">
      <c r="A1911" s="26"/>
      <c r="B1911" s="26"/>
      <c r="C1911" s="26"/>
      <c r="D1911" s="26"/>
      <c r="E1911" s="26"/>
      <c r="F1911" s="28" t="e">
        <f ca="1">_xludf.ifna(VLOOKUP(G1911,Proyectos!$A$2:$F$674,6,0),"")</f>
        <v>#NAME?</v>
      </c>
      <c r="G1911" s="26"/>
      <c r="H1911" s="32"/>
      <c r="I1911" s="32"/>
      <c r="J1911" s="32"/>
      <c r="K1911" s="32"/>
      <c r="L1911" s="32" t="e">
        <f ca="1">_xludf.ifna(VLOOKUP(E1911,Parámetros!$D$2:$E$34,2,0),"")</f>
        <v>#NAME?</v>
      </c>
      <c r="M1911" s="32" t="e">
        <f ca="1">_xludf.ifna(VLOOKUP(G1911,Proyectos!$A$2:$T$674,20,0),"")</f>
        <v>#NAME?</v>
      </c>
      <c r="N1911" s="32" t="e">
        <f ca="1">_xludf.ifna(VLOOKUP(G1911,Proyectos!$A$2:$S$674,19,0))</f>
        <v>#NAME?</v>
      </c>
      <c r="O1911" s="32"/>
      <c r="P1911" s="32"/>
      <c r="Q1911" s="33"/>
      <c r="R1911" s="33"/>
      <c r="S1911" s="33"/>
      <c r="T1911" s="63">
        <f t="shared" si="17"/>
        <v>0</v>
      </c>
      <c r="U1911" s="33"/>
      <c r="V1911" s="33"/>
      <c r="W1911" s="33"/>
    </row>
    <row r="1912" spans="1:23" ht="16.5" customHeight="1" x14ac:dyDescent="0.2">
      <c r="A1912" s="26"/>
      <c r="B1912" s="26"/>
      <c r="C1912" s="26"/>
      <c r="D1912" s="26"/>
      <c r="E1912" s="26"/>
      <c r="F1912" s="28" t="e">
        <f ca="1">_xludf.ifna(VLOOKUP(G1912,Proyectos!$A$2:$F$674,6,0),"")</f>
        <v>#NAME?</v>
      </c>
      <c r="G1912" s="26"/>
      <c r="H1912" s="32"/>
      <c r="I1912" s="32"/>
      <c r="J1912" s="32"/>
      <c r="K1912" s="32"/>
      <c r="L1912" s="32" t="e">
        <f ca="1">_xludf.ifna(VLOOKUP(E1912,Parámetros!$D$2:$E$34,2,0),"")</f>
        <v>#NAME?</v>
      </c>
      <c r="M1912" s="32" t="e">
        <f ca="1">_xludf.ifna(VLOOKUP(G1912,Proyectos!$A$2:$T$674,20,0),"")</f>
        <v>#NAME?</v>
      </c>
      <c r="N1912" s="32" t="e">
        <f ca="1">_xludf.ifna(VLOOKUP(G1912,Proyectos!$A$2:$S$674,19,0))</f>
        <v>#NAME?</v>
      </c>
      <c r="O1912" s="32"/>
      <c r="P1912" s="32"/>
      <c r="Q1912" s="33"/>
      <c r="R1912" s="33"/>
      <c r="S1912" s="33"/>
      <c r="T1912" s="63">
        <f t="shared" si="17"/>
        <v>0</v>
      </c>
      <c r="U1912" s="33"/>
      <c r="V1912" s="33"/>
      <c r="W1912" s="33"/>
    </row>
    <row r="1913" spans="1:23" ht="16.5" customHeight="1" x14ac:dyDescent="0.2">
      <c r="A1913" s="26"/>
      <c r="B1913" s="26"/>
      <c r="C1913" s="26"/>
      <c r="D1913" s="26"/>
      <c r="E1913" s="26"/>
      <c r="F1913" s="28" t="e">
        <f ca="1">_xludf.ifna(VLOOKUP(G1913,Proyectos!$A$2:$F$674,6,0),"")</f>
        <v>#NAME?</v>
      </c>
      <c r="G1913" s="26"/>
      <c r="H1913" s="32"/>
      <c r="I1913" s="32"/>
      <c r="J1913" s="32"/>
      <c r="K1913" s="32"/>
      <c r="L1913" s="32" t="e">
        <f ca="1">_xludf.ifna(VLOOKUP(E1913,Parámetros!$D$2:$E$34,2,0),"")</f>
        <v>#NAME?</v>
      </c>
      <c r="M1913" s="32" t="e">
        <f ca="1">_xludf.ifna(VLOOKUP(G1913,Proyectos!$A$2:$T$674,20,0),"")</f>
        <v>#NAME?</v>
      </c>
      <c r="N1913" s="32" t="e">
        <f ca="1">_xludf.ifna(VLOOKUP(G1913,Proyectos!$A$2:$S$674,19,0))</f>
        <v>#NAME?</v>
      </c>
      <c r="O1913" s="32"/>
      <c r="P1913" s="32"/>
      <c r="Q1913" s="33"/>
      <c r="R1913" s="33"/>
      <c r="S1913" s="33"/>
      <c r="T1913" s="63">
        <f t="shared" si="17"/>
        <v>0</v>
      </c>
      <c r="U1913" s="33"/>
      <c r="V1913" s="33"/>
      <c r="W1913" s="33"/>
    </row>
    <row r="1914" spans="1:23" ht="16.5" customHeight="1" x14ac:dyDescent="0.2">
      <c r="A1914" s="26"/>
      <c r="B1914" s="26"/>
      <c r="C1914" s="26"/>
      <c r="D1914" s="26"/>
      <c r="E1914" s="26"/>
      <c r="F1914" s="28" t="e">
        <f ca="1">_xludf.ifna(VLOOKUP(G1914,Proyectos!$A$2:$F$674,6,0),"")</f>
        <v>#NAME?</v>
      </c>
      <c r="G1914" s="26"/>
      <c r="H1914" s="32"/>
      <c r="I1914" s="32"/>
      <c r="J1914" s="32"/>
      <c r="K1914" s="32"/>
      <c r="L1914" s="32" t="e">
        <f ca="1">_xludf.ifna(VLOOKUP(E1914,Parámetros!$D$2:$E$34,2,0),"")</f>
        <v>#NAME?</v>
      </c>
      <c r="M1914" s="32" t="e">
        <f ca="1">_xludf.ifna(VLOOKUP(G1914,Proyectos!$A$2:$T$674,20,0),"")</f>
        <v>#NAME?</v>
      </c>
      <c r="N1914" s="32" t="e">
        <f ca="1">_xludf.ifna(VLOOKUP(G1914,Proyectos!$A$2:$S$674,19,0))</f>
        <v>#NAME?</v>
      </c>
      <c r="O1914" s="32"/>
      <c r="P1914" s="32"/>
      <c r="Q1914" s="33"/>
      <c r="R1914" s="33"/>
      <c r="S1914" s="33"/>
      <c r="T1914" s="63">
        <f t="shared" si="17"/>
        <v>0</v>
      </c>
      <c r="U1914" s="33"/>
      <c r="V1914" s="33"/>
      <c r="W1914" s="33"/>
    </row>
    <row r="1915" spans="1:23" ht="16.5" customHeight="1" x14ac:dyDescent="0.2">
      <c r="A1915" s="26"/>
      <c r="B1915" s="26"/>
      <c r="C1915" s="26"/>
      <c r="D1915" s="26"/>
      <c r="E1915" s="26"/>
      <c r="F1915" s="28" t="e">
        <f ca="1">_xludf.ifna(VLOOKUP(G1915,Proyectos!$A$2:$F$674,6,0),"")</f>
        <v>#NAME?</v>
      </c>
      <c r="G1915" s="26"/>
      <c r="H1915" s="32"/>
      <c r="I1915" s="32"/>
      <c r="J1915" s="32"/>
      <c r="K1915" s="32"/>
      <c r="L1915" s="32" t="e">
        <f ca="1">_xludf.ifna(VLOOKUP(E1915,Parámetros!$D$2:$E$34,2,0),"")</f>
        <v>#NAME?</v>
      </c>
      <c r="M1915" s="32" t="e">
        <f ca="1">_xludf.ifna(VLOOKUP(G1915,Proyectos!$A$2:$T$674,20,0),"")</f>
        <v>#NAME?</v>
      </c>
      <c r="N1915" s="32" t="e">
        <f ca="1">_xludf.ifna(VLOOKUP(G1915,Proyectos!$A$2:$S$674,19,0))</f>
        <v>#NAME?</v>
      </c>
      <c r="O1915" s="32"/>
      <c r="P1915" s="32"/>
      <c r="Q1915" s="33"/>
      <c r="R1915" s="33"/>
      <c r="S1915" s="33"/>
      <c r="T1915" s="63">
        <f t="shared" si="17"/>
        <v>0</v>
      </c>
      <c r="U1915" s="33"/>
      <c r="V1915" s="33"/>
      <c r="W1915" s="33"/>
    </row>
    <row r="1916" spans="1:23" ht="16.5" customHeight="1" x14ac:dyDescent="0.2">
      <c r="A1916" s="26"/>
      <c r="B1916" s="26"/>
      <c r="C1916" s="26"/>
      <c r="D1916" s="26"/>
      <c r="E1916" s="26"/>
      <c r="F1916" s="28" t="e">
        <f ca="1">_xludf.ifna(VLOOKUP(G1916,Proyectos!$A$2:$F$674,6,0),"")</f>
        <v>#NAME?</v>
      </c>
      <c r="G1916" s="26"/>
      <c r="H1916" s="32"/>
      <c r="I1916" s="32"/>
      <c r="J1916" s="32"/>
      <c r="K1916" s="32"/>
      <c r="L1916" s="32" t="e">
        <f ca="1">_xludf.ifna(VLOOKUP(E1916,Parámetros!$D$2:$E$34,2,0),"")</f>
        <v>#NAME?</v>
      </c>
      <c r="M1916" s="32" t="e">
        <f ca="1">_xludf.ifna(VLOOKUP(G1916,Proyectos!$A$2:$T$674,20,0),"")</f>
        <v>#NAME?</v>
      </c>
      <c r="N1916" s="32" t="e">
        <f ca="1">_xludf.ifna(VLOOKUP(G1916,Proyectos!$A$2:$S$674,19,0))</f>
        <v>#NAME?</v>
      </c>
      <c r="O1916" s="32"/>
      <c r="P1916" s="32"/>
      <c r="Q1916" s="33"/>
      <c r="R1916" s="33"/>
      <c r="S1916" s="33"/>
      <c r="T1916" s="63">
        <f t="shared" si="17"/>
        <v>0</v>
      </c>
      <c r="U1916" s="33"/>
      <c r="V1916" s="33"/>
      <c r="W1916" s="33"/>
    </row>
    <row r="1917" spans="1:23" ht="16.5" customHeight="1" x14ac:dyDescent="0.2">
      <c r="A1917" s="26"/>
      <c r="B1917" s="26"/>
      <c r="C1917" s="26"/>
      <c r="D1917" s="26"/>
      <c r="E1917" s="26"/>
      <c r="F1917" s="28" t="e">
        <f ca="1">_xludf.ifna(VLOOKUP(G1917,Proyectos!$A$2:$F$674,6,0),"")</f>
        <v>#NAME?</v>
      </c>
      <c r="G1917" s="26"/>
      <c r="H1917" s="32"/>
      <c r="I1917" s="32"/>
      <c r="J1917" s="32"/>
      <c r="K1917" s="32"/>
      <c r="L1917" s="32" t="e">
        <f ca="1">_xludf.ifna(VLOOKUP(E1917,Parámetros!$D$2:$E$34,2,0),"")</f>
        <v>#NAME?</v>
      </c>
      <c r="M1917" s="32" t="e">
        <f ca="1">_xludf.ifna(VLOOKUP(G1917,Proyectos!$A$2:$T$674,20,0),"")</f>
        <v>#NAME?</v>
      </c>
      <c r="N1917" s="32" t="e">
        <f ca="1">_xludf.ifna(VLOOKUP(G1917,Proyectos!$A$2:$S$674,19,0))</f>
        <v>#NAME?</v>
      </c>
      <c r="O1917" s="32"/>
      <c r="P1917" s="32"/>
      <c r="Q1917" s="33"/>
      <c r="R1917" s="33"/>
      <c r="S1917" s="33"/>
      <c r="T1917" s="63">
        <f t="shared" si="17"/>
        <v>0</v>
      </c>
      <c r="U1917" s="33"/>
      <c r="V1917" s="33"/>
      <c r="W1917" s="33"/>
    </row>
    <row r="1918" spans="1:23" ht="16.5" customHeight="1" x14ac:dyDescent="0.2">
      <c r="A1918" s="26"/>
      <c r="B1918" s="26"/>
      <c r="C1918" s="26"/>
      <c r="D1918" s="26"/>
      <c r="E1918" s="26"/>
      <c r="F1918" s="28" t="e">
        <f ca="1">_xludf.ifna(VLOOKUP(G1918,Proyectos!$A$2:$F$674,6,0),"")</f>
        <v>#NAME?</v>
      </c>
      <c r="G1918" s="26"/>
      <c r="H1918" s="32"/>
      <c r="I1918" s="32"/>
      <c r="J1918" s="32"/>
      <c r="K1918" s="32"/>
      <c r="L1918" s="32" t="e">
        <f ca="1">_xludf.ifna(VLOOKUP(E1918,Parámetros!$D$2:$E$34,2,0),"")</f>
        <v>#NAME?</v>
      </c>
      <c r="M1918" s="32" t="e">
        <f ca="1">_xludf.ifna(VLOOKUP(G1918,Proyectos!$A$2:$T$674,20,0),"")</f>
        <v>#NAME?</v>
      </c>
      <c r="N1918" s="32" t="e">
        <f ca="1">_xludf.ifna(VLOOKUP(G1918,Proyectos!$A$2:$S$674,19,0))</f>
        <v>#NAME?</v>
      </c>
      <c r="O1918" s="32"/>
      <c r="P1918" s="32"/>
      <c r="Q1918" s="33"/>
      <c r="R1918" s="33"/>
      <c r="S1918" s="33"/>
      <c r="T1918" s="63">
        <f t="shared" si="17"/>
        <v>0</v>
      </c>
      <c r="U1918" s="33"/>
      <c r="V1918" s="33"/>
      <c r="W1918" s="33"/>
    </row>
    <row r="1919" spans="1:23" ht="16.5" customHeight="1" x14ac:dyDescent="0.2">
      <c r="A1919" s="26"/>
      <c r="B1919" s="26"/>
      <c r="C1919" s="26"/>
      <c r="D1919" s="26"/>
      <c r="E1919" s="26"/>
      <c r="F1919" s="28" t="e">
        <f ca="1">_xludf.ifna(VLOOKUP(G1919,Proyectos!$A$2:$F$674,6,0),"")</f>
        <v>#NAME?</v>
      </c>
      <c r="G1919" s="26"/>
      <c r="H1919" s="32"/>
      <c r="I1919" s="32"/>
      <c r="J1919" s="32"/>
      <c r="K1919" s="32"/>
      <c r="L1919" s="32" t="e">
        <f ca="1">_xludf.ifna(VLOOKUP(E1919,Parámetros!$D$2:$E$34,2,0),"")</f>
        <v>#NAME?</v>
      </c>
      <c r="M1919" s="32" t="e">
        <f ca="1">_xludf.ifna(VLOOKUP(G1919,Proyectos!$A$2:$T$674,20,0),"")</f>
        <v>#NAME?</v>
      </c>
      <c r="N1919" s="32" t="e">
        <f ca="1">_xludf.ifna(VLOOKUP(G1919,Proyectos!$A$2:$S$674,19,0))</f>
        <v>#NAME?</v>
      </c>
      <c r="O1919" s="32"/>
      <c r="P1919" s="32"/>
      <c r="Q1919" s="33"/>
      <c r="R1919" s="33"/>
      <c r="S1919" s="33"/>
      <c r="T1919" s="63">
        <f t="shared" si="17"/>
        <v>0</v>
      </c>
      <c r="U1919" s="33"/>
      <c r="V1919" s="33"/>
      <c r="W1919" s="33"/>
    </row>
    <row r="1920" spans="1:23" ht="16.5" customHeight="1" x14ac:dyDescent="0.2">
      <c r="A1920" s="26"/>
      <c r="B1920" s="26"/>
      <c r="C1920" s="26"/>
      <c r="D1920" s="26"/>
      <c r="E1920" s="26"/>
      <c r="F1920" s="28" t="e">
        <f ca="1">_xludf.ifna(VLOOKUP(G1920,Proyectos!$A$2:$F$674,6,0),"")</f>
        <v>#NAME?</v>
      </c>
      <c r="G1920" s="26"/>
      <c r="H1920" s="32"/>
      <c r="I1920" s="32"/>
      <c r="J1920" s="32"/>
      <c r="K1920" s="32"/>
      <c r="L1920" s="32" t="e">
        <f ca="1">_xludf.ifna(VLOOKUP(E1920,Parámetros!$D$2:$E$34,2,0),"")</f>
        <v>#NAME?</v>
      </c>
      <c r="M1920" s="32" t="e">
        <f ca="1">_xludf.ifna(VLOOKUP(G1920,Proyectos!$A$2:$T$674,20,0),"")</f>
        <v>#NAME?</v>
      </c>
      <c r="N1920" s="32" t="e">
        <f ca="1">_xludf.ifna(VLOOKUP(G1920,Proyectos!$A$2:$S$674,19,0))</f>
        <v>#NAME?</v>
      </c>
      <c r="O1920" s="32"/>
      <c r="P1920" s="32"/>
      <c r="Q1920" s="33"/>
      <c r="R1920" s="33"/>
      <c r="S1920" s="33"/>
      <c r="T1920" s="63">
        <f t="shared" si="17"/>
        <v>0</v>
      </c>
      <c r="U1920" s="33"/>
      <c r="V1920" s="33"/>
      <c r="W1920" s="33"/>
    </row>
    <row r="1921" spans="1:23" ht="16.5" customHeight="1" x14ac:dyDescent="0.2">
      <c r="A1921" s="26"/>
      <c r="B1921" s="26"/>
      <c r="C1921" s="26"/>
      <c r="D1921" s="26"/>
      <c r="E1921" s="26"/>
      <c r="F1921" s="28" t="e">
        <f ca="1">_xludf.ifna(VLOOKUP(G1921,Proyectos!$A$2:$F$674,6,0),"")</f>
        <v>#NAME?</v>
      </c>
      <c r="G1921" s="26"/>
      <c r="H1921" s="32"/>
      <c r="I1921" s="32"/>
      <c r="J1921" s="32"/>
      <c r="K1921" s="32"/>
      <c r="L1921" s="32" t="e">
        <f ca="1">_xludf.ifna(VLOOKUP(E1921,Parámetros!$D$2:$E$34,2,0),"")</f>
        <v>#NAME?</v>
      </c>
      <c r="M1921" s="32" t="e">
        <f ca="1">_xludf.ifna(VLOOKUP(G1921,Proyectos!$A$2:$T$674,20,0),"")</f>
        <v>#NAME?</v>
      </c>
      <c r="N1921" s="32" t="e">
        <f ca="1">_xludf.ifna(VLOOKUP(G1921,Proyectos!$A$2:$S$674,19,0))</f>
        <v>#NAME?</v>
      </c>
      <c r="O1921" s="32"/>
      <c r="P1921" s="32"/>
      <c r="Q1921" s="33"/>
      <c r="R1921" s="33"/>
      <c r="S1921" s="33"/>
      <c r="T1921" s="63">
        <f t="shared" si="17"/>
        <v>0</v>
      </c>
      <c r="U1921" s="33"/>
      <c r="V1921" s="33"/>
      <c r="W1921" s="33"/>
    </row>
    <row r="1922" spans="1:23" ht="16.5" customHeight="1" x14ac:dyDescent="0.2">
      <c r="A1922" s="26"/>
      <c r="B1922" s="26"/>
      <c r="C1922" s="26"/>
      <c r="D1922" s="26"/>
      <c r="E1922" s="26"/>
      <c r="F1922" s="28" t="e">
        <f ca="1">_xludf.ifna(VLOOKUP(G1922,Proyectos!$A$2:$F$674,6,0),"")</f>
        <v>#NAME?</v>
      </c>
      <c r="G1922" s="26"/>
      <c r="H1922" s="32"/>
      <c r="I1922" s="32"/>
      <c r="J1922" s="32"/>
      <c r="K1922" s="32"/>
      <c r="L1922" s="32" t="e">
        <f ca="1">_xludf.ifna(VLOOKUP(E1922,Parámetros!$D$2:$E$34,2,0),"")</f>
        <v>#NAME?</v>
      </c>
      <c r="M1922" s="32" t="e">
        <f ca="1">_xludf.ifna(VLOOKUP(G1922,Proyectos!$A$2:$T$674,20,0),"")</f>
        <v>#NAME?</v>
      </c>
      <c r="N1922" s="32" t="e">
        <f ca="1">_xludf.ifna(VLOOKUP(G1922,Proyectos!$A$2:$S$674,19,0))</f>
        <v>#NAME?</v>
      </c>
      <c r="O1922" s="32"/>
      <c r="P1922" s="32"/>
      <c r="Q1922" s="33"/>
      <c r="R1922" s="33"/>
      <c r="S1922" s="33"/>
      <c r="T1922" s="63">
        <f t="shared" si="17"/>
        <v>0</v>
      </c>
      <c r="U1922" s="33"/>
      <c r="V1922" s="33"/>
      <c r="W1922" s="33"/>
    </row>
    <row r="1923" spans="1:23" ht="16.5" customHeight="1" x14ac:dyDescent="0.2">
      <c r="A1923" s="26"/>
      <c r="B1923" s="26"/>
      <c r="C1923" s="26"/>
      <c r="D1923" s="26"/>
      <c r="E1923" s="26"/>
      <c r="F1923" s="28" t="e">
        <f ca="1">_xludf.ifna(VLOOKUP(G1923,Proyectos!$A$2:$F$674,6,0),"")</f>
        <v>#NAME?</v>
      </c>
      <c r="G1923" s="26"/>
      <c r="H1923" s="32"/>
      <c r="I1923" s="32"/>
      <c r="J1923" s="32"/>
      <c r="K1923" s="32"/>
      <c r="L1923" s="32" t="e">
        <f ca="1">_xludf.ifna(VLOOKUP(E1923,Parámetros!$D$2:$E$34,2,0),"")</f>
        <v>#NAME?</v>
      </c>
      <c r="M1923" s="32" t="e">
        <f ca="1">_xludf.ifna(VLOOKUP(G1923,Proyectos!$A$2:$T$674,20,0),"")</f>
        <v>#NAME?</v>
      </c>
      <c r="N1923" s="32" t="e">
        <f ca="1">_xludf.ifna(VLOOKUP(G1923,Proyectos!$A$2:$S$674,19,0))</f>
        <v>#NAME?</v>
      </c>
      <c r="O1923" s="32"/>
      <c r="P1923" s="32"/>
      <c r="Q1923" s="33"/>
      <c r="R1923" s="33"/>
      <c r="S1923" s="33"/>
      <c r="T1923" s="63">
        <f t="shared" si="17"/>
        <v>0</v>
      </c>
      <c r="U1923" s="33"/>
      <c r="V1923" s="33"/>
      <c r="W1923" s="33"/>
    </row>
    <row r="1924" spans="1:23" ht="16.5" customHeight="1" x14ac:dyDescent="0.2">
      <c r="A1924" s="26"/>
      <c r="B1924" s="26"/>
      <c r="C1924" s="26"/>
      <c r="D1924" s="26"/>
      <c r="E1924" s="26"/>
      <c r="F1924" s="28" t="e">
        <f ca="1">_xludf.ifna(VLOOKUP(G1924,Proyectos!$A$2:$F$674,6,0),"")</f>
        <v>#NAME?</v>
      </c>
      <c r="G1924" s="26"/>
      <c r="H1924" s="32"/>
      <c r="I1924" s="32"/>
      <c r="J1924" s="32"/>
      <c r="K1924" s="32"/>
      <c r="L1924" s="32" t="e">
        <f ca="1">_xludf.ifna(VLOOKUP(E1924,Parámetros!$D$2:$E$34,2,0),"")</f>
        <v>#NAME?</v>
      </c>
      <c r="M1924" s="32" t="e">
        <f ca="1">_xludf.ifna(VLOOKUP(G1924,Proyectos!$A$2:$T$674,20,0),"")</f>
        <v>#NAME?</v>
      </c>
      <c r="N1924" s="32" t="e">
        <f ca="1">_xludf.ifna(VLOOKUP(G1924,Proyectos!$A$2:$S$674,19,0))</f>
        <v>#NAME?</v>
      </c>
      <c r="O1924" s="32"/>
      <c r="P1924" s="32"/>
      <c r="Q1924" s="33"/>
      <c r="R1924" s="33"/>
      <c r="S1924" s="33"/>
      <c r="T1924" s="63">
        <f t="shared" si="17"/>
        <v>0</v>
      </c>
      <c r="U1924" s="33"/>
      <c r="V1924" s="33"/>
      <c r="W1924" s="33"/>
    </row>
    <row r="1925" spans="1:23" ht="16.5" customHeight="1" x14ac:dyDescent="0.2">
      <c r="A1925" s="26"/>
      <c r="B1925" s="26"/>
      <c r="C1925" s="26"/>
      <c r="D1925" s="26"/>
      <c r="E1925" s="26"/>
      <c r="F1925" s="28" t="e">
        <f ca="1">_xludf.ifna(VLOOKUP(G1925,Proyectos!$A$2:$F$674,6,0),"")</f>
        <v>#NAME?</v>
      </c>
      <c r="G1925" s="26"/>
      <c r="H1925" s="32"/>
      <c r="I1925" s="32"/>
      <c r="J1925" s="32"/>
      <c r="K1925" s="32"/>
      <c r="L1925" s="32" t="e">
        <f ca="1">_xludf.ifna(VLOOKUP(E1925,Parámetros!$D$2:$E$34,2,0),"")</f>
        <v>#NAME?</v>
      </c>
      <c r="M1925" s="32" t="e">
        <f ca="1">_xludf.ifna(VLOOKUP(G1925,Proyectos!$A$2:$T$674,20,0),"")</f>
        <v>#NAME?</v>
      </c>
      <c r="N1925" s="32" t="e">
        <f ca="1">_xludf.ifna(VLOOKUP(G1925,Proyectos!$A$2:$S$674,19,0))</f>
        <v>#NAME?</v>
      </c>
      <c r="O1925" s="32"/>
      <c r="P1925" s="32"/>
      <c r="Q1925" s="33"/>
      <c r="R1925" s="33"/>
      <c r="S1925" s="33"/>
      <c r="T1925" s="63">
        <f t="shared" si="17"/>
        <v>0</v>
      </c>
      <c r="U1925" s="33"/>
      <c r="V1925" s="33"/>
      <c r="W1925" s="33"/>
    </row>
    <row r="1926" spans="1:23" ht="16.5" customHeight="1" x14ac:dyDescent="0.2">
      <c r="A1926" s="26"/>
      <c r="B1926" s="26"/>
      <c r="C1926" s="26"/>
      <c r="D1926" s="26"/>
      <c r="E1926" s="26"/>
      <c r="F1926" s="28" t="e">
        <f ca="1">_xludf.ifna(VLOOKUP(G1926,Proyectos!$A$2:$F$674,6,0),"")</f>
        <v>#NAME?</v>
      </c>
      <c r="G1926" s="26"/>
      <c r="H1926" s="32"/>
      <c r="I1926" s="32"/>
      <c r="J1926" s="32"/>
      <c r="K1926" s="32"/>
      <c r="L1926" s="32" t="e">
        <f ca="1">_xludf.ifna(VLOOKUP(E1926,Parámetros!$D$2:$E$34,2,0),"")</f>
        <v>#NAME?</v>
      </c>
      <c r="M1926" s="32" t="e">
        <f ca="1">_xludf.ifna(VLOOKUP(G1926,Proyectos!$A$2:$T$674,20,0),"")</f>
        <v>#NAME?</v>
      </c>
      <c r="N1926" s="32" t="e">
        <f ca="1">_xludf.ifna(VLOOKUP(G1926,Proyectos!$A$2:$S$674,19,0))</f>
        <v>#NAME?</v>
      </c>
      <c r="O1926" s="32"/>
      <c r="P1926" s="32"/>
      <c r="Q1926" s="33"/>
      <c r="R1926" s="33"/>
      <c r="S1926" s="33"/>
      <c r="T1926" s="63">
        <f t="shared" si="17"/>
        <v>0</v>
      </c>
      <c r="U1926" s="33"/>
      <c r="V1926" s="33"/>
      <c r="W1926" s="33"/>
    </row>
    <row r="1927" spans="1:23" ht="16.5" customHeight="1" x14ac:dyDescent="0.2">
      <c r="A1927" s="26"/>
      <c r="B1927" s="26"/>
      <c r="C1927" s="26"/>
      <c r="D1927" s="26"/>
      <c r="E1927" s="26"/>
      <c r="F1927" s="28" t="e">
        <f ca="1">_xludf.ifna(VLOOKUP(G1927,Proyectos!$A$2:$F$674,6,0),"")</f>
        <v>#NAME?</v>
      </c>
      <c r="G1927" s="26"/>
      <c r="H1927" s="32"/>
      <c r="I1927" s="32"/>
      <c r="J1927" s="32"/>
      <c r="K1927" s="32"/>
      <c r="L1927" s="32" t="e">
        <f ca="1">_xludf.ifna(VLOOKUP(E1927,Parámetros!$D$2:$E$34,2,0),"")</f>
        <v>#NAME?</v>
      </c>
      <c r="M1927" s="32" t="e">
        <f ca="1">_xludf.ifna(VLOOKUP(G1927,Proyectos!$A$2:$T$674,20,0),"")</f>
        <v>#NAME?</v>
      </c>
      <c r="N1927" s="32" t="e">
        <f ca="1">_xludf.ifna(VLOOKUP(G1927,Proyectos!$A$2:$S$674,19,0))</f>
        <v>#NAME?</v>
      </c>
      <c r="O1927" s="32"/>
      <c r="P1927" s="32"/>
      <c r="Q1927" s="33"/>
      <c r="R1927" s="33"/>
      <c r="S1927" s="33"/>
      <c r="T1927" s="63">
        <f t="shared" si="17"/>
        <v>0</v>
      </c>
      <c r="U1927" s="33"/>
      <c r="V1927" s="33"/>
      <c r="W1927" s="33"/>
    </row>
    <row r="1928" spans="1:23" ht="16.5" customHeight="1" x14ac:dyDescent="0.2">
      <c r="A1928" s="26"/>
      <c r="B1928" s="26"/>
      <c r="C1928" s="26"/>
      <c r="D1928" s="26"/>
      <c r="E1928" s="26"/>
      <c r="F1928" s="28" t="e">
        <f ca="1">_xludf.ifna(VLOOKUP(G1928,Proyectos!$A$2:$F$674,6,0),"")</f>
        <v>#NAME?</v>
      </c>
      <c r="G1928" s="26"/>
      <c r="H1928" s="32"/>
      <c r="I1928" s="32"/>
      <c r="J1928" s="32"/>
      <c r="K1928" s="32"/>
      <c r="L1928" s="32" t="e">
        <f ca="1">_xludf.ifna(VLOOKUP(E1928,Parámetros!$D$2:$E$34,2,0),"")</f>
        <v>#NAME?</v>
      </c>
      <c r="M1928" s="32" t="e">
        <f ca="1">_xludf.ifna(VLOOKUP(G1928,Proyectos!$A$2:$T$674,20,0),"")</f>
        <v>#NAME?</v>
      </c>
      <c r="N1928" s="32" t="e">
        <f ca="1">_xludf.ifna(VLOOKUP(G1928,Proyectos!$A$2:$S$674,19,0))</f>
        <v>#NAME?</v>
      </c>
      <c r="O1928" s="32"/>
      <c r="P1928" s="32"/>
      <c r="Q1928" s="33"/>
      <c r="R1928" s="33"/>
      <c r="S1928" s="33"/>
      <c r="T1928" s="63">
        <f t="shared" si="17"/>
        <v>0</v>
      </c>
      <c r="U1928" s="33"/>
      <c r="V1928" s="33"/>
      <c r="W1928" s="33"/>
    </row>
    <row r="1929" spans="1:23" ht="16.5" customHeight="1" x14ac:dyDescent="0.2">
      <c r="A1929" s="26"/>
      <c r="B1929" s="26"/>
      <c r="C1929" s="26"/>
      <c r="D1929" s="26"/>
      <c r="E1929" s="26"/>
      <c r="F1929" s="28" t="e">
        <f ca="1">_xludf.ifna(VLOOKUP(G1929,Proyectos!$A$2:$F$674,6,0),"")</f>
        <v>#NAME?</v>
      </c>
      <c r="G1929" s="26"/>
      <c r="H1929" s="32"/>
      <c r="I1929" s="32"/>
      <c r="J1929" s="32"/>
      <c r="K1929" s="32"/>
      <c r="L1929" s="32" t="e">
        <f ca="1">_xludf.ifna(VLOOKUP(E1929,Parámetros!$D$2:$E$34,2,0),"")</f>
        <v>#NAME?</v>
      </c>
      <c r="M1929" s="32" t="e">
        <f ca="1">_xludf.ifna(VLOOKUP(G1929,Proyectos!$A$2:$T$674,20,0),"")</f>
        <v>#NAME?</v>
      </c>
      <c r="N1929" s="32" t="e">
        <f ca="1">_xludf.ifna(VLOOKUP(G1929,Proyectos!$A$2:$S$674,19,0))</f>
        <v>#NAME?</v>
      </c>
      <c r="O1929" s="32"/>
      <c r="P1929" s="32"/>
      <c r="Q1929" s="33"/>
      <c r="R1929" s="33"/>
      <c r="S1929" s="33"/>
      <c r="T1929" s="63">
        <f t="shared" si="17"/>
        <v>0</v>
      </c>
      <c r="U1929" s="33"/>
      <c r="V1929" s="33"/>
      <c r="W1929" s="33"/>
    </row>
    <row r="1930" spans="1:23" ht="16.5" customHeight="1" x14ac:dyDescent="0.2">
      <c r="A1930" s="26"/>
      <c r="B1930" s="26"/>
      <c r="C1930" s="26"/>
      <c r="D1930" s="26"/>
      <c r="E1930" s="26"/>
      <c r="F1930" s="28" t="e">
        <f ca="1">_xludf.ifna(VLOOKUP(G1930,Proyectos!$A$2:$F$674,6,0),"")</f>
        <v>#NAME?</v>
      </c>
      <c r="G1930" s="26"/>
      <c r="H1930" s="32"/>
      <c r="I1930" s="32"/>
      <c r="J1930" s="32"/>
      <c r="K1930" s="32"/>
      <c r="L1930" s="32" t="e">
        <f ca="1">_xludf.ifna(VLOOKUP(E1930,Parámetros!$D$2:$E$34,2,0),"")</f>
        <v>#NAME?</v>
      </c>
      <c r="M1930" s="32" t="e">
        <f ca="1">_xludf.ifna(VLOOKUP(G1930,Proyectos!$A$2:$T$674,20,0),"")</f>
        <v>#NAME?</v>
      </c>
      <c r="N1930" s="32" t="e">
        <f ca="1">_xludf.ifna(VLOOKUP(G1930,Proyectos!$A$2:$S$674,19,0))</f>
        <v>#NAME?</v>
      </c>
      <c r="O1930" s="32"/>
      <c r="P1930" s="32"/>
      <c r="Q1930" s="33"/>
      <c r="R1930" s="33"/>
      <c r="S1930" s="33"/>
      <c r="T1930" s="63">
        <f t="shared" si="17"/>
        <v>0</v>
      </c>
      <c r="U1930" s="33"/>
      <c r="V1930" s="33"/>
      <c r="W1930" s="33"/>
    </row>
    <row r="1931" spans="1:23" ht="16.5" customHeight="1" x14ac:dyDescent="0.2">
      <c r="A1931" s="26"/>
      <c r="B1931" s="26"/>
      <c r="C1931" s="26"/>
      <c r="D1931" s="26"/>
      <c r="E1931" s="26"/>
      <c r="F1931" s="28" t="e">
        <f ca="1">_xludf.ifna(VLOOKUP(G1931,Proyectos!$A$2:$F$674,6,0),"")</f>
        <v>#NAME?</v>
      </c>
      <c r="G1931" s="26"/>
      <c r="H1931" s="32"/>
      <c r="I1931" s="32"/>
      <c r="J1931" s="32"/>
      <c r="K1931" s="32"/>
      <c r="L1931" s="32" t="e">
        <f ca="1">_xludf.ifna(VLOOKUP(E1931,Parámetros!$D$2:$E$34,2,0),"")</f>
        <v>#NAME?</v>
      </c>
      <c r="M1931" s="32" t="e">
        <f ca="1">_xludf.ifna(VLOOKUP(G1931,Proyectos!$A$2:$T$674,20,0),"")</f>
        <v>#NAME?</v>
      </c>
      <c r="N1931" s="32" t="e">
        <f ca="1">_xludf.ifna(VLOOKUP(G1931,Proyectos!$A$2:$S$674,19,0))</f>
        <v>#NAME?</v>
      </c>
      <c r="O1931" s="32"/>
      <c r="P1931" s="32"/>
      <c r="Q1931" s="33"/>
      <c r="R1931" s="33"/>
      <c r="S1931" s="33"/>
      <c r="T1931" s="63">
        <f t="shared" si="17"/>
        <v>0</v>
      </c>
      <c r="U1931" s="33"/>
      <c r="V1931" s="33"/>
      <c r="W1931" s="33"/>
    </row>
    <row r="1932" spans="1:23" ht="16.5" customHeight="1" x14ac:dyDescent="0.2">
      <c r="A1932" s="26"/>
      <c r="B1932" s="26"/>
      <c r="C1932" s="26"/>
      <c r="D1932" s="26"/>
      <c r="E1932" s="26"/>
      <c r="F1932" s="28" t="e">
        <f ca="1">_xludf.ifna(VLOOKUP(G1932,Proyectos!$A$2:$F$674,6,0),"")</f>
        <v>#NAME?</v>
      </c>
      <c r="G1932" s="26"/>
      <c r="H1932" s="32"/>
      <c r="I1932" s="32"/>
      <c r="J1932" s="32"/>
      <c r="K1932" s="32"/>
      <c r="L1932" s="32" t="e">
        <f ca="1">_xludf.ifna(VLOOKUP(E1932,Parámetros!$D$2:$E$34,2,0),"")</f>
        <v>#NAME?</v>
      </c>
      <c r="M1932" s="32" t="e">
        <f ca="1">_xludf.ifna(VLOOKUP(G1932,Proyectos!$A$2:$T$674,20,0),"")</f>
        <v>#NAME?</v>
      </c>
      <c r="N1932" s="32" t="e">
        <f ca="1">_xludf.ifna(VLOOKUP(G1932,Proyectos!$A$2:$S$674,19,0))</f>
        <v>#NAME?</v>
      </c>
      <c r="O1932" s="32"/>
      <c r="P1932" s="32"/>
      <c r="Q1932" s="33"/>
      <c r="R1932" s="33"/>
      <c r="S1932" s="33"/>
      <c r="T1932" s="63">
        <f t="shared" si="17"/>
        <v>0</v>
      </c>
      <c r="U1932" s="33"/>
      <c r="V1932" s="33"/>
      <c r="W1932" s="33"/>
    </row>
    <row r="1933" spans="1:23" ht="16.5" customHeight="1" x14ac:dyDescent="0.2">
      <c r="A1933" s="26"/>
      <c r="B1933" s="26"/>
      <c r="C1933" s="26"/>
      <c r="D1933" s="26"/>
      <c r="E1933" s="26"/>
      <c r="F1933" s="28" t="e">
        <f ca="1">_xludf.ifna(VLOOKUP(G1933,Proyectos!$A$2:$F$674,6,0),"")</f>
        <v>#NAME?</v>
      </c>
      <c r="G1933" s="26"/>
      <c r="H1933" s="32"/>
      <c r="I1933" s="32"/>
      <c r="J1933" s="32"/>
      <c r="K1933" s="32"/>
      <c r="L1933" s="32" t="e">
        <f ca="1">_xludf.ifna(VLOOKUP(E1933,Parámetros!$D$2:$E$34,2,0),"")</f>
        <v>#NAME?</v>
      </c>
      <c r="M1933" s="32" t="e">
        <f ca="1">_xludf.ifna(VLOOKUP(G1933,Proyectos!$A$2:$T$674,20,0),"")</f>
        <v>#NAME?</v>
      </c>
      <c r="N1933" s="32" t="e">
        <f ca="1">_xludf.ifna(VLOOKUP(G1933,Proyectos!$A$2:$S$674,19,0))</f>
        <v>#NAME?</v>
      </c>
      <c r="O1933" s="32"/>
      <c r="P1933" s="32"/>
      <c r="Q1933" s="33"/>
      <c r="R1933" s="33"/>
      <c r="S1933" s="33"/>
      <c r="T1933" s="63">
        <f t="shared" si="17"/>
        <v>0</v>
      </c>
      <c r="U1933" s="33"/>
      <c r="V1933" s="33"/>
      <c r="W1933" s="33"/>
    </row>
    <row r="1934" spans="1:23" ht="16.5" customHeight="1" x14ac:dyDescent="0.2">
      <c r="A1934" s="26"/>
      <c r="B1934" s="26"/>
      <c r="C1934" s="26"/>
      <c r="D1934" s="26"/>
      <c r="E1934" s="26"/>
      <c r="F1934" s="28" t="e">
        <f ca="1">_xludf.ifna(VLOOKUP(G1934,Proyectos!$A$2:$F$674,6,0),"")</f>
        <v>#NAME?</v>
      </c>
      <c r="G1934" s="26"/>
      <c r="H1934" s="32"/>
      <c r="I1934" s="32"/>
      <c r="J1934" s="32"/>
      <c r="K1934" s="32"/>
      <c r="L1934" s="32" t="e">
        <f ca="1">_xludf.ifna(VLOOKUP(E1934,Parámetros!$D$2:$E$34,2,0),"")</f>
        <v>#NAME?</v>
      </c>
      <c r="M1934" s="32" t="e">
        <f ca="1">_xludf.ifna(VLOOKUP(G1934,Proyectos!$A$2:$T$674,20,0),"")</f>
        <v>#NAME?</v>
      </c>
      <c r="N1934" s="32" t="e">
        <f ca="1">_xludf.ifna(VLOOKUP(G1934,Proyectos!$A$2:$S$674,19,0))</f>
        <v>#NAME?</v>
      </c>
      <c r="O1934" s="32"/>
      <c r="P1934" s="32"/>
      <c r="Q1934" s="33"/>
      <c r="R1934" s="33"/>
      <c r="S1934" s="33"/>
      <c r="T1934" s="63">
        <f t="shared" si="17"/>
        <v>0</v>
      </c>
      <c r="U1934" s="33"/>
      <c r="V1934" s="33"/>
      <c r="W1934" s="33"/>
    </row>
    <row r="1935" spans="1:23" ht="16.5" customHeight="1" x14ac:dyDescent="0.2">
      <c r="A1935" s="26"/>
      <c r="B1935" s="26"/>
      <c r="C1935" s="26"/>
      <c r="D1935" s="26"/>
      <c r="E1935" s="26"/>
      <c r="F1935" s="28" t="e">
        <f ca="1">_xludf.ifna(VLOOKUP(G1935,Proyectos!$A$2:$F$674,6,0),"")</f>
        <v>#NAME?</v>
      </c>
      <c r="G1935" s="26"/>
      <c r="H1935" s="32"/>
      <c r="I1935" s="32"/>
      <c r="J1935" s="32"/>
      <c r="K1935" s="32"/>
      <c r="L1935" s="32" t="e">
        <f ca="1">_xludf.ifna(VLOOKUP(E1935,Parámetros!$D$2:$E$34,2,0),"")</f>
        <v>#NAME?</v>
      </c>
      <c r="M1935" s="32" t="e">
        <f ca="1">_xludf.ifna(VLOOKUP(G1935,Proyectos!$A$2:$T$674,20,0),"")</f>
        <v>#NAME?</v>
      </c>
      <c r="N1935" s="32" t="e">
        <f ca="1">_xludf.ifna(VLOOKUP(G1935,Proyectos!$A$2:$S$674,19,0))</f>
        <v>#NAME?</v>
      </c>
      <c r="O1935" s="32"/>
      <c r="P1935" s="32"/>
      <c r="Q1935" s="33"/>
      <c r="R1935" s="33"/>
      <c r="S1935" s="33"/>
      <c r="T1935" s="63">
        <f t="shared" si="17"/>
        <v>0</v>
      </c>
      <c r="U1935" s="33"/>
      <c r="V1935" s="33"/>
      <c r="W1935" s="33"/>
    </row>
    <row r="1936" spans="1:23" ht="16.5" customHeight="1" x14ac:dyDescent="0.2">
      <c r="A1936" s="26"/>
      <c r="B1936" s="26"/>
      <c r="C1936" s="26"/>
      <c r="D1936" s="26"/>
      <c r="E1936" s="26"/>
      <c r="F1936" s="28" t="e">
        <f ca="1">_xludf.ifna(VLOOKUP(G1936,Proyectos!$A$2:$F$674,6,0),"")</f>
        <v>#NAME?</v>
      </c>
      <c r="G1936" s="26"/>
      <c r="H1936" s="32"/>
      <c r="I1936" s="32"/>
      <c r="J1936" s="32"/>
      <c r="K1936" s="32"/>
      <c r="L1936" s="32" t="e">
        <f ca="1">_xludf.ifna(VLOOKUP(E1936,Parámetros!$D$2:$E$34,2,0),"")</f>
        <v>#NAME?</v>
      </c>
      <c r="M1936" s="32" t="e">
        <f ca="1">_xludf.ifna(VLOOKUP(G1936,Proyectos!$A$2:$T$674,20,0),"")</f>
        <v>#NAME?</v>
      </c>
      <c r="N1936" s="32" t="e">
        <f ca="1">_xludf.ifna(VLOOKUP(G1936,Proyectos!$A$2:$S$674,19,0))</f>
        <v>#NAME?</v>
      </c>
      <c r="O1936" s="32"/>
      <c r="P1936" s="32"/>
      <c r="Q1936" s="33"/>
      <c r="R1936" s="33"/>
      <c r="S1936" s="33"/>
      <c r="T1936" s="63">
        <f t="shared" si="17"/>
        <v>0</v>
      </c>
      <c r="U1936" s="33"/>
      <c r="V1936" s="33"/>
      <c r="W1936" s="33"/>
    </row>
    <row r="1937" spans="1:23" ht="16.5" customHeight="1" x14ac:dyDescent="0.2">
      <c r="A1937" s="26"/>
      <c r="B1937" s="26"/>
      <c r="C1937" s="26"/>
      <c r="D1937" s="26"/>
      <c r="E1937" s="26"/>
      <c r="F1937" s="28" t="e">
        <f ca="1">_xludf.ifna(VLOOKUP(G1937,Proyectos!$A$2:$F$674,6,0),"")</f>
        <v>#NAME?</v>
      </c>
      <c r="G1937" s="26"/>
      <c r="H1937" s="32"/>
      <c r="I1937" s="32"/>
      <c r="J1937" s="32"/>
      <c r="K1937" s="32"/>
      <c r="L1937" s="32" t="e">
        <f ca="1">_xludf.ifna(VLOOKUP(E1937,Parámetros!$D$2:$E$34,2,0),"")</f>
        <v>#NAME?</v>
      </c>
      <c r="M1937" s="32" t="e">
        <f ca="1">_xludf.ifna(VLOOKUP(G1937,Proyectos!$A$2:$T$674,20,0),"")</f>
        <v>#NAME?</v>
      </c>
      <c r="N1937" s="32" t="e">
        <f ca="1">_xludf.ifna(VLOOKUP(G1937,Proyectos!$A$2:$S$674,19,0))</f>
        <v>#NAME?</v>
      </c>
      <c r="O1937" s="32"/>
      <c r="P1937" s="32"/>
      <c r="Q1937" s="33"/>
      <c r="R1937" s="33"/>
      <c r="S1937" s="33"/>
      <c r="T1937" s="63">
        <f t="shared" si="17"/>
        <v>0</v>
      </c>
      <c r="U1937" s="33"/>
      <c r="V1937" s="33"/>
      <c r="W1937" s="33"/>
    </row>
    <row r="1938" spans="1:23" ht="16.5" customHeight="1" x14ac:dyDescent="0.2">
      <c r="A1938" s="26"/>
      <c r="B1938" s="26"/>
      <c r="C1938" s="26"/>
      <c r="D1938" s="26"/>
      <c r="E1938" s="26"/>
      <c r="F1938" s="28" t="e">
        <f ca="1">_xludf.ifna(VLOOKUP(G1938,Proyectos!$A$2:$F$674,6,0),"")</f>
        <v>#NAME?</v>
      </c>
      <c r="G1938" s="26"/>
      <c r="H1938" s="32"/>
      <c r="I1938" s="32"/>
      <c r="J1938" s="32"/>
      <c r="K1938" s="32"/>
      <c r="L1938" s="32" t="e">
        <f ca="1">_xludf.ifna(VLOOKUP(E1938,Parámetros!$D$2:$E$34,2,0),"")</f>
        <v>#NAME?</v>
      </c>
      <c r="M1938" s="32" t="e">
        <f ca="1">_xludf.ifna(VLOOKUP(G1938,Proyectos!$A$2:$T$674,20,0),"")</f>
        <v>#NAME?</v>
      </c>
      <c r="N1938" s="32" t="e">
        <f ca="1">_xludf.ifna(VLOOKUP(G1938,Proyectos!$A$2:$S$674,19,0))</f>
        <v>#NAME?</v>
      </c>
      <c r="O1938" s="32"/>
      <c r="P1938" s="32"/>
      <c r="Q1938" s="33"/>
      <c r="R1938" s="33"/>
      <c r="S1938" s="33"/>
      <c r="T1938" s="63">
        <f t="shared" si="17"/>
        <v>0</v>
      </c>
      <c r="U1938" s="33"/>
      <c r="V1938" s="33"/>
      <c r="W1938" s="33"/>
    </row>
    <row r="1939" spans="1:23" ht="16.5" customHeight="1" x14ac:dyDescent="0.2">
      <c r="A1939" s="26"/>
      <c r="B1939" s="26"/>
      <c r="C1939" s="26"/>
      <c r="D1939" s="26"/>
      <c r="E1939" s="26"/>
      <c r="F1939" s="28" t="e">
        <f ca="1">_xludf.ifna(VLOOKUP(G1939,Proyectos!$A$2:$F$674,6,0),"")</f>
        <v>#NAME?</v>
      </c>
      <c r="G1939" s="26"/>
      <c r="H1939" s="32"/>
      <c r="I1939" s="32"/>
      <c r="J1939" s="32"/>
      <c r="K1939" s="32"/>
      <c r="L1939" s="32" t="e">
        <f ca="1">_xludf.ifna(VLOOKUP(E1939,Parámetros!$D$2:$E$34,2,0),"")</f>
        <v>#NAME?</v>
      </c>
      <c r="M1939" s="32" t="e">
        <f ca="1">_xludf.ifna(VLOOKUP(G1939,Proyectos!$A$2:$T$674,20,0),"")</f>
        <v>#NAME?</v>
      </c>
      <c r="N1939" s="32" t="e">
        <f ca="1">_xludf.ifna(VLOOKUP(G1939,Proyectos!$A$2:$S$674,19,0))</f>
        <v>#NAME?</v>
      </c>
      <c r="O1939" s="32"/>
      <c r="P1939" s="32"/>
      <c r="Q1939" s="33"/>
      <c r="R1939" s="33"/>
      <c r="S1939" s="33"/>
      <c r="T1939" s="63">
        <f t="shared" si="17"/>
        <v>0</v>
      </c>
      <c r="U1939" s="33"/>
      <c r="V1939" s="33"/>
      <c r="W1939" s="33"/>
    </row>
    <row r="1940" spans="1:23" ht="16.5" customHeight="1" x14ac:dyDescent="0.2">
      <c r="A1940" s="26"/>
      <c r="B1940" s="26"/>
      <c r="C1940" s="26"/>
      <c r="D1940" s="26"/>
      <c r="E1940" s="26"/>
      <c r="F1940" s="28" t="e">
        <f ca="1">_xludf.ifna(VLOOKUP(G1940,Proyectos!$A$2:$F$674,6,0),"")</f>
        <v>#NAME?</v>
      </c>
      <c r="G1940" s="26"/>
      <c r="H1940" s="32"/>
      <c r="I1940" s="32"/>
      <c r="J1940" s="32"/>
      <c r="K1940" s="32"/>
      <c r="L1940" s="32" t="e">
        <f ca="1">_xludf.ifna(VLOOKUP(E1940,Parámetros!$D$2:$E$34,2,0),"")</f>
        <v>#NAME?</v>
      </c>
      <c r="M1940" s="32" t="e">
        <f ca="1">_xludf.ifna(VLOOKUP(G1940,Proyectos!$A$2:$T$674,20,0),"")</f>
        <v>#NAME?</v>
      </c>
      <c r="N1940" s="32" t="e">
        <f ca="1">_xludf.ifna(VLOOKUP(G1940,Proyectos!$A$2:$S$674,19,0))</f>
        <v>#NAME?</v>
      </c>
      <c r="O1940" s="32"/>
      <c r="P1940" s="32"/>
      <c r="Q1940" s="33"/>
      <c r="R1940" s="33"/>
      <c r="S1940" s="33"/>
      <c r="T1940" s="63">
        <f t="shared" si="17"/>
        <v>0</v>
      </c>
      <c r="U1940" s="33"/>
      <c r="V1940" s="33"/>
      <c r="W1940" s="33"/>
    </row>
    <row r="1941" spans="1:23" ht="16.5" customHeight="1" x14ac:dyDescent="0.2">
      <c r="A1941" s="26"/>
      <c r="B1941" s="26"/>
      <c r="C1941" s="26"/>
      <c r="D1941" s="26"/>
      <c r="E1941" s="26"/>
      <c r="F1941" s="28" t="e">
        <f ca="1">_xludf.ifna(VLOOKUP(G1941,Proyectos!$A$2:$F$674,6,0),"")</f>
        <v>#NAME?</v>
      </c>
      <c r="G1941" s="26"/>
      <c r="H1941" s="32"/>
      <c r="I1941" s="32"/>
      <c r="J1941" s="32"/>
      <c r="K1941" s="32"/>
      <c r="L1941" s="32" t="e">
        <f ca="1">_xludf.ifna(VLOOKUP(E1941,Parámetros!$D$2:$E$34,2,0),"")</f>
        <v>#NAME?</v>
      </c>
      <c r="M1941" s="32" t="e">
        <f ca="1">_xludf.ifna(VLOOKUP(G1941,Proyectos!$A$2:$T$674,20,0),"")</f>
        <v>#NAME?</v>
      </c>
      <c r="N1941" s="32" t="e">
        <f ca="1">_xludf.ifna(VLOOKUP(G1941,Proyectos!$A$2:$S$674,19,0))</f>
        <v>#NAME?</v>
      </c>
      <c r="O1941" s="32"/>
      <c r="P1941" s="32"/>
      <c r="Q1941" s="33"/>
      <c r="R1941" s="33"/>
      <c r="S1941" s="33"/>
      <c r="T1941" s="63">
        <f t="shared" si="17"/>
        <v>0</v>
      </c>
      <c r="U1941" s="33"/>
      <c r="V1941" s="33"/>
      <c r="W1941" s="33"/>
    </row>
    <row r="1942" spans="1:23" ht="16.5" customHeight="1" x14ac:dyDescent="0.2">
      <c r="A1942" s="26"/>
      <c r="B1942" s="26"/>
      <c r="C1942" s="26"/>
      <c r="D1942" s="26"/>
      <c r="E1942" s="26"/>
      <c r="F1942" s="28" t="e">
        <f ca="1">_xludf.ifna(VLOOKUP(G1942,Proyectos!$A$2:$F$674,6,0),"")</f>
        <v>#NAME?</v>
      </c>
      <c r="G1942" s="26"/>
      <c r="H1942" s="32"/>
      <c r="I1942" s="32"/>
      <c r="J1942" s="32"/>
      <c r="K1942" s="32"/>
      <c r="L1942" s="32" t="e">
        <f ca="1">_xludf.ifna(VLOOKUP(E1942,Parámetros!$D$2:$E$34,2,0),"")</f>
        <v>#NAME?</v>
      </c>
      <c r="M1942" s="32" t="e">
        <f ca="1">_xludf.ifna(VLOOKUP(G1942,Proyectos!$A$2:$T$674,20,0),"")</f>
        <v>#NAME?</v>
      </c>
      <c r="N1942" s="32" t="e">
        <f ca="1">_xludf.ifna(VLOOKUP(G1942,Proyectos!$A$2:$S$674,19,0))</f>
        <v>#NAME?</v>
      </c>
      <c r="O1942" s="32"/>
      <c r="P1942" s="32"/>
      <c r="Q1942" s="33"/>
      <c r="R1942" s="33"/>
      <c r="S1942" s="33"/>
      <c r="T1942" s="63">
        <f t="shared" si="17"/>
        <v>0</v>
      </c>
      <c r="U1942" s="33"/>
      <c r="V1942" s="33"/>
      <c r="W1942" s="33"/>
    </row>
    <row r="1943" spans="1:23" ht="16.5" customHeight="1" x14ac:dyDescent="0.2">
      <c r="A1943" s="26"/>
      <c r="B1943" s="26"/>
      <c r="C1943" s="26"/>
      <c r="D1943" s="26"/>
      <c r="E1943" s="26"/>
      <c r="F1943" s="28" t="e">
        <f ca="1">_xludf.ifna(VLOOKUP(G1943,Proyectos!$A$2:$F$674,6,0),"")</f>
        <v>#NAME?</v>
      </c>
      <c r="G1943" s="26"/>
      <c r="H1943" s="32"/>
      <c r="I1943" s="32"/>
      <c r="J1943" s="32"/>
      <c r="K1943" s="32"/>
      <c r="L1943" s="32" t="e">
        <f ca="1">_xludf.ifna(VLOOKUP(E1943,Parámetros!$D$2:$E$34,2,0),"")</f>
        <v>#NAME?</v>
      </c>
      <c r="M1943" s="32" t="e">
        <f ca="1">_xludf.ifna(VLOOKUP(G1943,Proyectos!$A$2:$T$674,20,0),"")</f>
        <v>#NAME?</v>
      </c>
      <c r="N1943" s="32" t="e">
        <f ca="1">_xludf.ifna(VLOOKUP(G1943,Proyectos!$A$2:$S$674,19,0))</f>
        <v>#NAME?</v>
      </c>
      <c r="O1943" s="32"/>
      <c r="P1943" s="32"/>
      <c r="Q1943" s="33"/>
      <c r="R1943" s="33"/>
      <c r="S1943" s="33"/>
      <c r="T1943" s="63">
        <f t="shared" si="17"/>
        <v>0</v>
      </c>
      <c r="U1943" s="33"/>
      <c r="V1943" s="33"/>
      <c r="W1943" s="33"/>
    </row>
    <row r="1944" spans="1:23" ht="16.5" customHeight="1" x14ac:dyDescent="0.2">
      <c r="A1944" s="26"/>
      <c r="B1944" s="26"/>
      <c r="C1944" s="26"/>
      <c r="D1944" s="26"/>
      <c r="E1944" s="26"/>
      <c r="F1944" s="28" t="e">
        <f ca="1">_xludf.ifna(VLOOKUP(G1944,Proyectos!$A$2:$F$674,6,0),"")</f>
        <v>#NAME?</v>
      </c>
      <c r="G1944" s="26"/>
      <c r="H1944" s="32"/>
      <c r="I1944" s="32"/>
      <c r="J1944" s="32"/>
      <c r="K1944" s="32"/>
      <c r="L1944" s="32" t="e">
        <f ca="1">_xludf.ifna(VLOOKUP(E1944,Parámetros!$D$2:$E$34,2,0),"")</f>
        <v>#NAME?</v>
      </c>
      <c r="M1944" s="32" t="e">
        <f ca="1">_xludf.ifna(VLOOKUP(G1944,Proyectos!$A$2:$T$674,20,0),"")</f>
        <v>#NAME?</v>
      </c>
      <c r="N1944" s="32" t="e">
        <f ca="1">_xludf.ifna(VLOOKUP(G1944,Proyectos!$A$2:$S$674,19,0))</f>
        <v>#NAME?</v>
      </c>
      <c r="O1944" s="32"/>
      <c r="P1944" s="32"/>
      <c r="Q1944" s="33"/>
      <c r="R1944" s="33"/>
      <c r="S1944" s="33"/>
      <c r="T1944" s="63">
        <f t="shared" si="17"/>
        <v>0</v>
      </c>
      <c r="U1944" s="33"/>
      <c r="V1944" s="33"/>
      <c r="W1944" s="33"/>
    </row>
    <row r="1945" spans="1:23" ht="16.5" customHeight="1" x14ac:dyDescent="0.2">
      <c r="A1945" s="26"/>
      <c r="B1945" s="26"/>
      <c r="C1945" s="26"/>
      <c r="D1945" s="26"/>
      <c r="E1945" s="26"/>
      <c r="F1945" s="28" t="e">
        <f ca="1">_xludf.ifna(VLOOKUP(G1945,Proyectos!$A$2:$F$674,6,0),"")</f>
        <v>#NAME?</v>
      </c>
      <c r="G1945" s="26"/>
      <c r="H1945" s="32"/>
      <c r="I1945" s="32"/>
      <c r="J1945" s="32"/>
      <c r="K1945" s="32"/>
      <c r="L1945" s="32" t="e">
        <f ca="1">_xludf.ifna(VLOOKUP(E1945,Parámetros!$D$2:$E$34,2,0),"")</f>
        <v>#NAME?</v>
      </c>
      <c r="M1945" s="32" t="e">
        <f ca="1">_xludf.ifna(VLOOKUP(G1945,Proyectos!$A$2:$T$674,20,0),"")</f>
        <v>#NAME?</v>
      </c>
      <c r="N1945" s="32" t="e">
        <f ca="1">_xludf.ifna(VLOOKUP(G1945,Proyectos!$A$2:$S$674,19,0))</f>
        <v>#NAME?</v>
      </c>
      <c r="O1945" s="32"/>
      <c r="P1945" s="32"/>
      <c r="Q1945" s="33"/>
      <c r="R1945" s="33"/>
      <c r="S1945" s="33"/>
      <c r="T1945" s="63">
        <f t="shared" si="17"/>
        <v>0</v>
      </c>
      <c r="U1945" s="33"/>
      <c r="V1945" s="33"/>
      <c r="W1945" s="33"/>
    </row>
    <row r="1946" spans="1:23" ht="16.5" customHeight="1" x14ac:dyDescent="0.2">
      <c r="A1946" s="26"/>
      <c r="B1946" s="26"/>
      <c r="C1946" s="26"/>
      <c r="D1946" s="26"/>
      <c r="E1946" s="26"/>
      <c r="F1946" s="28" t="e">
        <f ca="1">_xludf.ifna(VLOOKUP(G1946,Proyectos!$A$2:$F$674,6,0),"")</f>
        <v>#NAME?</v>
      </c>
      <c r="G1946" s="26"/>
      <c r="H1946" s="32"/>
      <c r="I1946" s="32"/>
      <c r="J1946" s="32"/>
      <c r="K1946" s="32"/>
      <c r="L1946" s="32" t="e">
        <f ca="1">_xludf.ifna(VLOOKUP(E1946,Parámetros!$D$2:$E$34,2,0),"")</f>
        <v>#NAME?</v>
      </c>
      <c r="M1946" s="32" t="e">
        <f ca="1">_xludf.ifna(VLOOKUP(G1946,Proyectos!$A$2:$T$674,20,0),"")</f>
        <v>#NAME?</v>
      </c>
      <c r="N1946" s="32" t="e">
        <f ca="1">_xludf.ifna(VLOOKUP(G1946,Proyectos!$A$2:$S$674,19,0))</f>
        <v>#NAME?</v>
      </c>
      <c r="O1946" s="32"/>
      <c r="P1946" s="32"/>
      <c r="Q1946" s="33"/>
      <c r="R1946" s="33"/>
      <c r="S1946" s="33"/>
      <c r="T1946" s="63">
        <f t="shared" si="17"/>
        <v>0</v>
      </c>
      <c r="U1946" s="33"/>
      <c r="V1946" s="33"/>
      <c r="W1946" s="33"/>
    </row>
    <row r="1947" spans="1:23" ht="16.5" customHeight="1" x14ac:dyDescent="0.2">
      <c r="A1947" s="26"/>
      <c r="B1947" s="26"/>
      <c r="C1947" s="26"/>
      <c r="D1947" s="26"/>
      <c r="E1947" s="26"/>
      <c r="F1947" s="28" t="e">
        <f ca="1">_xludf.ifna(VLOOKUP(G1947,Proyectos!$A$2:$F$674,6,0),"")</f>
        <v>#NAME?</v>
      </c>
      <c r="G1947" s="26"/>
      <c r="H1947" s="32"/>
      <c r="I1947" s="32"/>
      <c r="J1947" s="32"/>
      <c r="K1947" s="32"/>
      <c r="L1947" s="32" t="e">
        <f ca="1">_xludf.ifna(VLOOKUP(E1947,Parámetros!$D$2:$E$34,2,0),"")</f>
        <v>#NAME?</v>
      </c>
      <c r="M1947" s="32" t="e">
        <f ca="1">_xludf.ifna(VLOOKUP(G1947,Proyectos!$A$2:$T$674,20,0),"")</f>
        <v>#NAME?</v>
      </c>
      <c r="N1947" s="32" t="e">
        <f ca="1">_xludf.ifna(VLOOKUP(G1947,Proyectos!$A$2:$S$674,19,0))</f>
        <v>#NAME?</v>
      </c>
      <c r="O1947" s="32"/>
      <c r="P1947" s="32"/>
      <c r="Q1947" s="33"/>
      <c r="R1947" s="33"/>
      <c r="S1947" s="33"/>
      <c r="T1947" s="63">
        <f t="shared" si="17"/>
        <v>0</v>
      </c>
      <c r="U1947" s="33"/>
      <c r="V1947" s="33"/>
      <c r="W1947" s="33"/>
    </row>
    <row r="1948" spans="1:23" ht="16.5" customHeight="1" x14ac:dyDescent="0.2">
      <c r="A1948" s="26"/>
      <c r="B1948" s="26"/>
      <c r="C1948" s="26"/>
      <c r="D1948" s="26"/>
      <c r="E1948" s="26"/>
      <c r="F1948" s="28" t="e">
        <f ca="1">_xludf.ifna(VLOOKUP(G1948,Proyectos!$A$2:$F$674,6,0),"")</f>
        <v>#NAME?</v>
      </c>
      <c r="G1948" s="26"/>
      <c r="H1948" s="32"/>
      <c r="I1948" s="32"/>
      <c r="J1948" s="32"/>
      <c r="K1948" s="32"/>
      <c r="L1948" s="32" t="e">
        <f ca="1">_xludf.ifna(VLOOKUP(E1948,Parámetros!$D$2:$E$34,2,0),"")</f>
        <v>#NAME?</v>
      </c>
      <c r="M1948" s="32" t="e">
        <f ca="1">_xludf.ifna(VLOOKUP(G1948,Proyectos!$A$2:$T$674,20,0),"")</f>
        <v>#NAME?</v>
      </c>
      <c r="N1948" s="32" t="e">
        <f ca="1">_xludf.ifna(VLOOKUP(G1948,Proyectos!$A$2:$S$674,19,0))</f>
        <v>#NAME?</v>
      </c>
      <c r="O1948" s="32"/>
      <c r="P1948" s="32"/>
      <c r="Q1948" s="33"/>
      <c r="R1948" s="33"/>
      <c r="S1948" s="33"/>
      <c r="T1948" s="63">
        <f t="shared" si="17"/>
        <v>0</v>
      </c>
      <c r="U1948" s="33"/>
      <c r="V1948" s="33"/>
      <c r="W1948" s="33"/>
    </row>
    <row r="1949" spans="1:23" ht="16.5" customHeight="1" x14ac:dyDescent="0.2">
      <c r="A1949" s="26"/>
      <c r="B1949" s="26"/>
      <c r="C1949" s="26"/>
      <c r="D1949" s="26"/>
      <c r="E1949" s="26"/>
      <c r="F1949" s="28" t="e">
        <f ca="1">_xludf.ifna(VLOOKUP(G1949,Proyectos!$A$2:$F$674,6,0),"")</f>
        <v>#NAME?</v>
      </c>
      <c r="G1949" s="26"/>
      <c r="H1949" s="32"/>
      <c r="I1949" s="32"/>
      <c r="J1949" s="32"/>
      <c r="K1949" s="32"/>
      <c r="L1949" s="32" t="e">
        <f ca="1">_xludf.ifna(VLOOKUP(E1949,Parámetros!$D$2:$E$34,2,0),"")</f>
        <v>#NAME?</v>
      </c>
      <c r="M1949" s="32" t="e">
        <f ca="1">_xludf.ifna(VLOOKUP(G1949,Proyectos!$A$2:$T$674,20,0),"")</f>
        <v>#NAME?</v>
      </c>
      <c r="N1949" s="32" t="e">
        <f ca="1">_xludf.ifna(VLOOKUP(G1949,Proyectos!$A$2:$S$674,19,0))</f>
        <v>#NAME?</v>
      </c>
      <c r="O1949" s="32"/>
      <c r="P1949" s="32"/>
      <c r="Q1949" s="33"/>
      <c r="R1949" s="33"/>
      <c r="S1949" s="33"/>
      <c r="T1949" s="63">
        <f t="shared" si="17"/>
        <v>0</v>
      </c>
      <c r="U1949" s="33"/>
      <c r="V1949" s="33"/>
      <c r="W1949" s="33"/>
    </row>
    <row r="1950" spans="1:23" ht="16.5" customHeight="1" x14ac:dyDescent="0.2">
      <c r="A1950" s="26"/>
      <c r="B1950" s="26"/>
      <c r="C1950" s="26"/>
      <c r="D1950" s="26"/>
      <c r="E1950" s="26"/>
      <c r="F1950" s="28" t="e">
        <f ca="1">_xludf.ifna(VLOOKUP(G1950,Proyectos!$A$2:$F$674,6,0),"")</f>
        <v>#NAME?</v>
      </c>
      <c r="G1950" s="26"/>
      <c r="H1950" s="32"/>
      <c r="I1950" s="32"/>
      <c r="J1950" s="32"/>
      <c r="K1950" s="32"/>
      <c r="L1950" s="32" t="e">
        <f ca="1">_xludf.ifna(VLOOKUP(E1950,Parámetros!$D$2:$E$34,2,0),"")</f>
        <v>#NAME?</v>
      </c>
      <c r="M1950" s="32" t="e">
        <f ca="1">_xludf.ifna(VLOOKUP(G1950,Proyectos!$A$2:$T$674,20,0),"")</f>
        <v>#NAME?</v>
      </c>
      <c r="N1950" s="32" t="e">
        <f ca="1">_xludf.ifna(VLOOKUP(G1950,Proyectos!$A$2:$S$674,19,0))</f>
        <v>#NAME?</v>
      </c>
      <c r="O1950" s="32"/>
      <c r="P1950" s="32"/>
      <c r="Q1950" s="33"/>
      <c r="R1950" s="33"/>
      <c r="S1950" s="33"/>
      <c r="T1950" s="63">
        <f t="shared" si="17"/>
        <v>0</v>
      </c>
      <c r="U1950" s="33"/>
      <c r="V1950" s="33"/>
      <c r="W1950" s="33"/>
    </row>
    <row r="1951" spans="1:23" ht="16.5" customHeight="1" x14ac:dyDescent="0.2">
      <c r="A1951" s="26"/>
      <c r="B1951" s="26"/>
      <c r="C1951" s="26"/>
      <c r="D1951" s="26"/>
      <c r="E1951" s="26"/>
      <c r="F1951" s="28" t="e">
        <f ca="1">_xludf.ifna(VLOOKUP(G1951,Proyectos!$A$2:$F$674,6,0),"")</f>
        <v>#NAME?</v>
      </c>
      <c r="G1951" s="26"/>
      <c r="H1951" s="32"/>
      <c r="I1951" s="32"/>
      <c r="J1951" s="32"/>
      <c r="K1951" s="32"/>
      <c r="L1951" s="32" t="e">
        <f ca="1">_xludf.ifna(VLOOKUP(E1951,Parámetros!$D$2:$E$34,2,0),"")</f>
        <v>#NAME?</v>
      </c>
      <c r="M1951" s="32" t="e">
        <f ca="1">_xludf.ifna(VLOOKUP(G1951,Proyectos!$A$2:$T$674,20,0),"")</f>
        <v>#NAME?</v>
      </c>
      <c r="N1951" s="32" t="e">
        <f ca="1">_xludf.ifna(VLOOKUP(G1951,Proyectos!$A$2:$S$674,19,0))</f>
        <v>#NAME?</v>
      </c>
      <c r="O1951" s="32"/>
      <c r="P1951" s="32"/>
      <c r="Q1951" s="33"/>
      <c r="R1951" s="33"/>
      <c r="S1951" s="33"/>
      <c r="T1951" s="63">
        <f t="shared" si="17"/>
        <v>0</v>
      </c>
      <c r="U1951" s="33"/>
      <c r="V1951" s="33"/>
      <c r="W1951" s="33"/>
    </row>
    <row r="1952" spans="1:23" ht="16.5" customHeight="1" x14ac:dyDescent="0.2">
      <c r="A1952" s="26"/>
      <c r="B1952" s="26"/>
      <c r="C1952" s="26"/>
      <c r="D1952" s="26"/>
      <c r="E1952" s="26"/>
      <c r="F1952" s="28" t="e">
        <f ca="1">_xludf.ifna(VLOOKUP(G1952,Proyectos!$A$2:$F$674,6,0),"")</f>
        <v>#NAME?</v>
      </c>
      <c r="G1952" s="26"/>
      <c r="H1952" s="32"/>
      <c r="I1952" s="32"/>
      <c r="J1952" s="32"/>
      <c r="K1952" s="32"/>
      <c r="L1952" s="32" t="e">
        <f ca="1">_xludf.ifna(VLOOKUP(E1952,Parámetros!$D$2:$E$34,2,0),"")</f>
        <v>#NAME?</v>
      </c>
      <c r="M1952" s="32" t="e">
        <f ca="1">_xludf.ifna(VLOOKUP(G1952,Proyectos!$A$2:$T$674,20,0),"")</f>
        <v>#NAME?</v>
      </c>
      <c r="N1952" s="32" t="e">
        <f ca="1">_xludf.ifna(VLOOKUP(G1952,Proyectos!$A$2:$S$674,19,0))</f>
        <v>#NAME?</v>
      </c>
      <c r="O1952" s="32"/>
      <c r="P1952" s="32"/>
      <c r="Q1952" s="33"/>
      <c r="R1952" s="33"/>
      <c r="S1952" s="33"/>
      <c r="T1952" s="63">
        <f t="shared" si="17"/>
        <v>0</v>
      </c>
      <c r="U1952" s="33"/>
      <c r="V1952" s="33"/>
      <c r="W1952" s="33"/>
    </row>
    <row r="1953" spans="1:23" ht="16.5" customHeight="1" x14ac:dyDescent="0.2">
      <c r="A1953" s="26"/>
      <c r="B1953" s="26"/>
      <c r="C1953" s="26"/>
      <c r="D1953" s="26"/>
      <c r="E1953" s="26"/>
      <c r="F1953" s="28" t="e">
        <f ca="1">_xludf.ifna(VLOOKUP(G1953,Proyectos!$A$2:$F$674,6,0),"")</f>
        <v>#NAME?</v>
      </c>
      <c r="G1953" s="26"/>
      <c r="H1953" s="32"/>
      <c r="I1953" s="32"/>
      <c r="J1953" s="32"/>
      <c r="K1953" s="32"/>
      <c r="L1953" s="32" t="e">
        <f ca="1">_xludf.ifna(VLOOKUP(E1953,Parámetros!$D$2:$E$34,2,0),"")</f>
        <v>#NAME?</v>
      </c>
      <c r="M1953" s="32" t="e">
        <f ca="1">_xludf.ifna(VLOOKUP(G1953,Proyectos!$A$2:$T$674,20,0),"")</f>
        <v>#NAME?</v>
      </c>
      <c r="N1953" s="32" t="e">
        <f ca="1">_xludf.ifna(VLOOKUP(G1953,Proyectos!$A$2:$S$674,19,0))</f>
        <v>#NAME?</v>
      </c>
      <c r="O1953" s="32"/>
      <c r="P1953" s="32"/>
      <c r="Q1953" s="33"/>
      <c r="R1953" s="33"/>
      <c r="S1953" s="33"/>
      <c r="T1953" s="63">
        <f t="shared" si="17"/>
        <v>0</v>
      </c>
      <c r="U1953" s="33"/>
      <c r="V1953" s="33"/>
      <c r="W1953" s="33"/>
    </row>
    <row r="1954" spans="1:23" ht="16.5" customHeight="1" x14ac:dyDescent="0.2">
      <c r="A1954" s="26"/>
      <c r="B1954" s="26"/>
      <c r="C1954" s="26"/>
      <c r="D1954" s="26"/>
      <c r="E1954" s="26"/>
      <c r="F1954" s="28" t="e">
        <f ca="1">_xludf.ifna(VLOOKUP(G1954,Proyectos!$A$2:$F$674,6,0),"")</f>
        <v>#NAME?</v>
      </c>
      <c r="G1954" s="26"/>
      <c r="H1954" s="32"/>
      <c r="I1954" s="32"/>
      <c r="J1954" s="32"/>
      <c r="K1954" s="32"/>
      <c r="L1954" s="32" t="e">
        <f ca="1">_xludf.ifna(VLOOKUP(E1954,Parámetros!$D$2:$E$34,2,0),"")</f>
        <v>#NAME?</v>
      </c>
      <c r="M1954" s="32" t="e">
        <f ca="1">_xludf.ifna(VLOOKUP(G1954,Proyectos!$A$2:$T$674,20,0),"")</f>
        <v>#NAME?</v>
      </c>
      <c r="N1954" s="32" t="e">
        <f ca="1">_xludf.ifna(VLOOKUP(G1954,Proyectos!$A$2:$S$674,19,0))</f>
        <v>#NAME?</v>
      </c>
      <c r="O1954" s="32"/>
      <c r="P1954" s="32"/>
      <c r="Q1954" s="33"/>
      <c r="R1954" s="33"/>
      <c r="S1954" s="33"/>
      <c r="T1954" s="63">
        <f t="shared" si="17"/>
        <v>0</v>
      </c>
      <c r="U1954" s="33"/>
      <c r="V1954" s="33"/>
      <c r="W1954" s="33"/>
    </row>
    <row r="1955" spans="1:23" ht="16.5" customHeight="1" x14ac:dyDescent="0.2">
      <c r="A1955" s="26"/>
      <c r="B1955" s="26"/>
      <c r="C1955" s="26"/>
      <c r="D1955" s="26"/>
      <c r="E1955" s="26"/>
      <c r="F1955" s="28" t="e">
        <f ca="1">_xludf.ifna(VLOOKUP(G1955,Proyectos!$A$2:$F$674,6,0),"")</f>
        <v>#NAME?</v>
      </c>
      <c r="G1955" s="26"/>
      <c r="H1955" s="32"/>
      <c r="I1955" s="32"/>
      <c r="J1955" s="32"/>
      <c r="K1955" s="32"/>
      <c r="L1955" s="32" t="e">
        <f ca="1">_xludf.ifna(VLOOKUP(E1955,Parámetros!$D$2:$E$34,2,0),"")</f>
        <v>#NAME?</v>
      </c>
      <c r="M1955" s="32" t="e">
        <f ca="1">_xludf.ifna(VLOOKUP(G1955,Proyectos!$A$2:$T$674,20,0),"")</f>
        <v>#NAME?</v>
      </c>
      <c r="N1955" s="32" t="e">
        <f ca="1">_xludf.ifna(VLOOKUP(G1955,Proyectos!$A$2:$S$674,19,0))</f>
        <v>#NAME?</v>
      </c>
      <c r="O1955" s="32"/>
      <c r="P1955" s="32"/>
      <c r="Q1955" s="33"/>
      <c r="R1955" s="33"/>
      <c r="S1955" s="33"/>
      <c r="T1955" s="63">
        <f t="shared" si="17"/>
        <v>0</v>
      </c>
      <c r="U1955" s="33"/>
      <c r="V1955" s="33"/>
      <c r="W1955" s="33"/>
    </row>
    <row r="1956" spans="1:23" ht="16.5" customHeight="1" x14ac:dyDescent="0.2">
      <c r="A1956" s="26"/>
      <c r="B1956" s="26"/>
      <c r="C1956" s="26"/>
      <c r="D1956" s="26"/>
      <c r="E1956" s="26"/>
      <c r="F1956" s="28" t="e">
        <f ca="1">_xludf.ifna(VLOOKUP(G1956,Proyectos!$A$2:$F$674,6,0),"")</f>
        <v>#NAME?</v>
      </c>
      <c r="G1956" s="26"/>
      <c r="H1956" s="32"/>
      <c r="I1956" s="32"/>
      <c r="J1956" s="32"/>
      <c r="K1956" s="32"/>
      <c r="L1956" s="32" t="e">
        <f ca="1">_xludf.ifna(VLOOKUP(E1956,Parámetros!$D$2:$E$34,2,0),"")</f>
        <v>#NAME?</v>
      </c>
      <c r="M1956" s="32" t="e">
        <f ca="1">_xludf.ifna(VLOOKUP(G1956,Proyectos!$A$2:$T$674,20,0),"")</f>
        <v>#NAME?</v>
      </c>
      <c r="N1956" s="32" t="e">
        <f ca="1">_xludf.ifna(VLOOKUP(G1956,Proyectos!$A$2:$S$674,19,0))</f>
        <v>#NAME?</v>
      </c>
      <c r="O1956" s="32"/>
      <c r="P1956" s="32"/>
      <c r="Q1956" s="33"/>
      <c r="R1956" s="33"/>
      <c r="S1956" s="33"/>
      <c r="T1956" s="63">
        <f t="shared" si="17"/>
        <v>0</v>
      </c>
      <c r="U1956" s="33"/>
      <c r="V1956" s="33"/>
      <c r="W1956" s="33"/>
    </row>
    <row r="1957" spans="1:23" ht="16.5" customHeight="1" x14ac:dyDescent="0.2">
      <c r="A1957" s="26"/>
      <c r="B1957" s="26"/>
      <c r="C1957" s="26"/>
      <c r="D1957" s="26"/>
      <c r="E1957" s="26"/>
      <c r="F1957" s="28" t="e">
        <f ca="1">_xludf.ifna(VLOOKUP(G1957,Proyectos!$A$2:$F$674,6,0),"")</f>
        <v>#NAME?</v>
      </c>
      <c r="G1957" s="26"/>
      <c r="H1957" s="32"/>
      <c r="I1957" s="32"/>
      <c r="J1957" s="32"/>
      <c r="K1957" s="32"/>
      <c r="L1957" s="32" t="e">
        <f ca="1">_xludf.ifna(VLOOKUP(E1957,Parámetros!$D$2:$E$34,2,0),"")</f>
        <v>#NAME?</v>
      </c>
      <c r="M1957" s="32" t="e">
        <f ca="1">_xludf.ifna(VLOOKUP(G1957,Proyectos!$A$2:$T$674,20,0),"")</f>
        <v>#NAME?</v>
      </c>
      <c r="N1957" s="32" t="e">
        <f ca="1">_xludf.ifna(VLOOKUP(G1957,Proyectos!$A$2:$S$674,19,0))</f>
        <v>#NAME?</v>
      </c>
      <c r="O1957" s="32"/>
      <c r="P1957" s="32"/>
      <c r="Q1957" s="33"/>
      <c r="R1957" s="33"/>
      <c r="S1957" s="33"/>
      <c r="T1957" s="63">
        <f t="shared" si="17"/>
        <v>0</v>
      </c>
      <c r="U1957" s="33"/>
      <c r="V1957" s="33"/>
      <c r="W1957" s="33"/>
    </row>
    <row r="1958" spans="1:23" ht="16.5" customHeight="1" x14ac:dyDescent="0.2">
      <c r="A1958" s="26"/>
      <c r="B1958" s="26"/>
      <c r="C1958" s="26"/>
      <c r="D1958" s="26"/>
      <c r="E1958" s="26"/>
      <c r="F1958" s="28" t="e">
        <f ca="1">_xludf.ifna(VLOOKUP(G1958,Proyectos!$A$2:$F$674,6,0),"")</f>
        <v>#NAME?</v>
      </c>
      <c r="G1958" s="26"/>
      <c r="H1958" s="32"/>
      <c r="I1958" s="32"/>
      <c r="J1958" s="32"/>
      <c r="K1958" s="32"/>
      <c r="L1958" s="32" t="e">
        <f ca="1">_xludf.ifna(VLOOKUP(E1958,Parámetros!$D$2:$E$34,2,0),"")</f>
        <v>#NAME?</v>
      </c>
      <c r="M1958" s="32" t="e">
        <f ca="1">_xludf.ifna(VLOOKUP(G1958,Proyectos!$A$2:$T$674,20,0),"")</f>
        <v>#NAME?</v>
      </c>
      <c r="N1958" s="32" t="e">
        <f ca="1">_xludf.ifna(VLOOKUP(G1958,Proyectos!$A$2:$S$674,19,0))</f>
        <v>#NAME?</v>
      </c>
      <c r="O1958" s="32"/>
      <c r="P1958" s="32"/>
      <c r="Q1958" s="33"/>
      <c r="R1958" s="33"/>
      <c r="S1958" s="33"/>
      <c r="T1958" s="63">
        <f t="shared" si="17"/>
        <v>0</v>
      </c>
      <c r="U1958" s="33"/>
      <c r="V1958" s="33"/>
      <c r="W1958" s="33"/>
    </row>
    <row r="1959" spans="1:23" ht="16.5" customHeight="1" x14ac:dyDescent="0.2">
      <c r="A1959" s="26"/>
      <c r="B1959" s="26"/>
      <c r="C1959" s="26"/>
      <c r="D1959" s="26"/>
      <c r="E1959" s="26"/>
      <c r="F1959" s="28" t="e">
        <f ca="1">_xludf.ifna(VLOOKUP(G1959,Proyectos!$A$2:$F$674,6,0),"")</f>
        <v>#NAME?</v>
      </c>
      <c r="G1959" s="26"/>
      <c r="H1959" s="32"/>
      <c r="I1959" s="32"/>
      <c r="J1959" s="32"/>
      <c r="K1959" s="32"/>
      <c r="L1959" s="32" t="e">
        <f ca="1">_xludf.ifna(VLOOKUP(E1959,Parámetros!$D$2:$E$34,2,0),"")</f>
        <v>#NAME?</v>
      </c>
      <c r="M1959" s="32" t="e">
        <f ca="1">_xludf.ifna(VLOOKUP(G1959,Proyectos!$A$2:$T$674,20,0),"")</f>
        <v>#NAME?</v>
      </c>
      <c r="N1959" s="32" t="e">
        <f ca="1">_xludf.ifna(VLOOKUP(G1959,Proyectos!$A$2:$S$674,19,0))</f>
        <v>#NAME?</v>
      </c>
      <c r="O1959" s="32"/>
      <c r="P1959" s="32"/>
      <c r="Q1959" s="33"/>
      <c r="R1959" s="33"/>
      <c r="S1959" s="33"/>
      <c r="T1959" s="63">
        <f t="shared" si="17"/>
        <v>0</v>
      </c>
      <c r="U1959" s="33"/>
      <c r="V1959" s="33"/>
      <c r="W1959" s="33"/>
    </row>
    <row r="1960" spans="1:23" ht="16.5" customHeight="1" x14ac:dyDescent="0.2">
      <c r="A1960" s="26"/>
      <c r="B1960" s="26"/>
      <c r="C1960" s="26"/>
      <c r="D1960" s="26"/>
      <c r="E1960" s="26"/>
      <c r="F1960" s="28" t="e">
        <f ca="1">_xludf.ifna(VLOOKUP(G1960,Proyectos!$A$2:$F$674,6,0),"")</f>
        <v>#NAME?</v>
      </c>
      <c r="G1960" s="26"/>
      <c r="H1960" s="32"/>
      <c r="I1960" s="32"/>
      <c r="J1960" s="32"/>
      <c r="K1960" s="32"/>
      <c r="L1960" s="32" t="e">
        <f ca="1">_xludf.ifna(VLOOKUP(E1960,Parámetros!$D$2:$E$34,2,0),"")</f>
        <v>#NAME?</v>
      </c>
      <c r="M1960" s="32" t="e">
        <f ca="1">_xludf.ifna(VLOOKUP(G1960,Proyectos!$A$2:$T$674,20,0),"")</f>
        <v>#NAME?</v>
      </c>
      <c r="N1960" s="32" t="e">
        <f ca="1">_xludf.ifna(VLOOKUP(G1960,Proyectos!$A$2:$S$674,19,0))</f>
        <v>#NAME?</v>
      </c>
      <c r="O1960" s="32"/>
      <c r="P1960" s="32"/>
      <c r="Q1960" s="33"/>
      <c r="R1960" s="33"/>
      <c r="S1960" s="33"/>
      <c r="T1960" s="63">
        <f t="shared" si="17"/>
        <v>0</v>
      </c>
      <c r="U1960" s="33"/>
      <c r="V1960" s="33"/>
      <c r="W1960" s="33"/>
    </row>
    <row r="1961" spans="1:23" ht="16.5" customHeight="1" x14ac:dyDescent="0.2">
      <c r="A1961" s="26"/>
      <c r="B1961" s="26"/>
      <c r="C1961" s="26"/>
      <c r="D1961" s="26"/>
      <c r="E1961" s="26"/>
      <c r="F1961" s="28" t="e">
        <f ca="1">_xludf.ifna(VLOOKUP(G1961,Proyectos!$A$2:$F$674,6,0),"")</f>
        <v>#NAME?</v>
      </c>
      <c r="G1961" s="26"/>
      <c r="H1961" s="32"/>
      <c r="I1961" s="32"/>
      <c r="J1961" s="32"/>
      <c r="K1961" s="32"/>
      <c r="L1961" s="32" t="e">
        <f ca="1">_xludf.ifna(VLOOKUP(E1961,Parámetros!$D$2:$E$34,2,0),"")</f>
        <v>#NAME?</v>
      </c>
      <c r="M1961" s="32" t="e">
        <f ca="1">_xludf.ifna(VLOOKUP(G1961,Proyectos!$A$2:$T$674,20,0),"")</f>
        <v>#NAME?</v>
      </c>
      <c r="N1961" s="32" t="e">
        <f ca="1">_xludf.ifna(VLOOKUP(G1961,Proyectos!$A$2:$S$674,19,0))</f>
        <v>#NAME?</v>
      </c>
      <c r="O1961" s="32"/>
      <c r="P1961" s="32"/>
      <c r="Q1961" s="33"/>
      <c r="R1961" s="33"/>
      <c r="S1961" s="33"/>
      <c r="T1961" s="63">
        <f t="shared" si="17"/>
        <v>0</v>
      </c>
      <c r="U1961" s="33"/>
      <c r="V1961" s="33"/>
      <c r="W1961" s="33"/>
    </row>
    <row r="1962" spans="1:23" ht="16.5" customHeight="1" x14ac:dyDescent="0.2">
      <c r="A1962" s="26"/>
      <c r="B1962" s="26"/>
      <c r="C1962" s="26"/>
      <c r="D1962" s="26"/>
      <c r="E1962" s="26"/>
      <c r="F1962" s="28" t="e">
        <f ca="1">_xludf.ifna(VLOOKUP(G1962,Proyectos!$A$2:$F$674,6,0),"")</f>
        <v>#NAME?</v>
      </c>
      <c r="G1962" s="26"/>
      <c r="H1962" s="32"/>
      <c r="I1962" s="32"/>
      <c r="J1962" s="32"/>
      <c r="K1962" s="32"/>
      <c r="L1962" s="32" t="e">
        <f ca="1">_xludf.ifna(VLOOKUP(E1962,Parámetros!$D$2:$E$34,2,0),"")</f>
        <v>#NAME?</v>
      </c>
      <c r="M1962" s="32" t="e">
        <f ca="1">_xludf.ifna(VLOOKUP(G1962,Proyectos!$A$2:$T$674,20,0),"")</f>
        <v>#NAME?</v>
      </c>
      <c r="N1962" s="32" t="e">
        <f ca="1">_xludf.ifna(VLOOKUP(G1962,Proyectos!$A$2:$S$674,19,0))</f>
        <v>#NAME?</v>
      </c>
      <c r="O1962" s="32"/>
      <c r="P1962" s="32"/>
      <c r="Q1962" s="33"/>
      <c r="R1962" s="33"/>
      <c r="S1962" s="33"/>
      <c r="T1962" s="63">
        <f t="shared" si="17"/>
        <v>0</v>
      </c>
      <c r="U1962" s="33"/>
      <c r="V1962" s="33"/>
      <c r="W1962" s="33"/>
    </row>
    <row r="1963" spans="1:23" ht="16.5" customHeight="1" x14ac:dyDescent="0.2">
      <c r="A1963" s="26"/>
      <c r="B1963" s="26"/>
      <c r="C1963" s="26"/>
      <c r="D1963" s="26"/>
      <c r="E1963" s="26"/>
      <c r="F1963" s="28" t="e">
        <f ca="1">_xludf.ifna(VLOOKUP(G1963,Proyectos!$A$2:$F$674,6,0),"")</f>
        <v>#NAME?</v>
      </c>
      <c r="G1963" s="26"/>
      <c r="H1963" s="32"/>
      <c r="I1963" s="32"/>
      <c r="J1963" s="32"/>
      <c r="K1963" s="32"/>
      <c r="L1963" s="32" t="e">
        <f ca="1">_xludf.ifna(VLOOKUP(E1963,Parámetros!$D$2:$E$34,2,0),"")</f>
        <v>#NAME?</v>
      </c>
      <c r="M1963" s="32" t="e">
        <f ca="1">_xludf.ifna(VLOOKUP(G1963,Proyectos!$A$2:$T$674,20,0),"")</f>
        <v>#NAME?</v>
      </c>
      <c r="N1963" s="32" t="e">
        <f ca="1">_xludf.ifna(VLOOKUP(G1963,Proyectos!$A$2:$S$674,19,0))</f>
        <v>#NAME?</v>
      </c>
      <c r="O1963" s="32"/>
      <c r="P1963" s="32"/>
      <c r="Q1963" s="33"/>
      <c r="R1963" s="33"/>
      <c r="S1963" s="33"/>
      <c r="T1963" s="63">
        <f t="shared" si="17"/>
        <v>0</v>
      </c>
      <c r="U1963" s="33"/>
      <c r="V1963" s="33"/>
      <c r="W1963" s="33"/>
    </row>
    <row r="1964" spans="1:23" ht="16.5" customHeight="1" x14ac:dyDescent="0.2">
      <c r="A1964" s="26"/>
      <c r="B1964" s="26"/>
      <c r="C1964" s="26"/>
      <c r="D1964" s="26"/>
      <c r="E1964" s="26"/>
      <c r="F1964" s="28" t="e">
        <f ca="1">_xludf.ifna(VLOOKUP(G1964,Proyectos!$A$2:$F$674,6,0),"")</f>
        <v>#NAME?</v>
      </c>
      <c r="G1964" s="26"/>
      <c r="H1964" s="32"/>
      <c r="I1964" s="32"/>
      <c r="J1964" s="32"/>
      <c r="K1964" s="32"/>
      <c r="L1964" s="32" t="e">
        <f ca="1">_xludf.ifna(VLOOKUP(E1964,Parámetros!$D$2:$E$34,2,0),"")</f>
        <v>#NAME?</v>
      </c>
      <c r="M1964" s="32" t="e">
        <f ca="1">_xludf.ifna(VLOOKUP(G1964,Proyectos!$A$2:$T$674,20,0),"")</f>
        <v>#NAME?</v>
      </c>
      <c r="N1964" s="32" t="e">
        <f ca="1">_xludf.ifna(VLOOKUP(G1964,Proyectos!$A$2:$S$674,19,0))</f>
        <v>#NAME?</v>
      </c>
      <c r="O1964" s="32"/>
      <c r="P1964" s="32"/>
      <c r="Q1964" s="33"/>
      <c r="R1964" s="33"/>
      <c r="S1964" s="33"/>
      <c r="T1964" s="63">
        <f t="shared" si="17"/>
        <v>0</v>
      </c>
      <c r="U1964" s="33"/>
      <c r="V1964" s="33"/>
      <c r="W1964" s="33"/>
    </row>
    <row r="1965" spans="1:23" ht="16.5" customHeight="1" x14ac:dyDescent="0.2">
      <c r="A1965" s="26"/>
      <c r="B1965" s="26"/>
      <c r="C1965" s="26"/>
      <c r="D1965" s="26"/>
      <c r="E1965" s="26"/>
      <c r="F1965" s="28" t="e">
        <f ca="1">_xludf.ifna(VLOOKUP(G1965,Proyectos!$A$2:$F$674,6,0),"")</f>
        <v>#NAME?</v>
      </c>
      <c r="G1965" s="26"/>
      <c r="H1965" s="32"/>
      <c r="I1965" s="32"/>
      <c r="J1965" s="32"/>
      <c r="K1965" s="32"/>
      <c r="L1965" s="32" t="e">
        <f ca="1">_xludf.ifna(VLOOKUP(E1965,Parámetros!$D$2:$E$34,2,0),"")</f>
        <v>#NAME?</v>
      </c>
      <c r="M1965" s="32" t="e">
        <f ca="1">_xludf.ifna(VLOOKUP(G1965,Proyectos!$A$2:$T$674,20,0),"")</f>
        <v>#NAME?</v>
      </c>
      <c r="N1965" s="32" t="e">
        <f ca="1">_xludf.ifna(VLOOKUP(G1965,Proyectos!$A$2:$S$674,19,0))</f>
        <v>#NAME?</v>
      </c>
      <c r="O1965" s="32"/>
      <c r="P1965" s="32"/>
      <c r="Q1965" s="33"/>
      <c r="R1965" s="33"/>
      <c r="S1965" s="33"/>
      <c r="T1965" s="63">
        <f t="shared" si="17"/>
        <v>0</v>
      </c>
      <c r="U1965" s="33"/>
      <c r="V1965" s="33"/>
      <c r="W1965" s="33"/>
    </row>
    <row r="1966" spans="1:23" ht="16.5" customHeight="1" x14ac:dyDescent="0.2">
      <c r="A1966" s="26"/>
      <c r="B1966" s="26"/>
      <c r="C1966" s="26"/>
      <c r="D1966" s="26"/>
      <c r="E1966" s="26"/>
      <c r="F1966" s="28" t="e">
        <f ca="1">_xludf.ifna(VLOOKUP(G1966,Proyectos!$A$2:$F$674,6,0),"")</f>
        <v>#NAME?</v>
      </c>
      <c r="G1966" s="26"/>
      <c r="H1966" s="32"/>
      <c r="I1966" s="32"/>
      <c r="J1966" s="32"/>
      <c r="K1966" s="32"/>
      <c r="L1966" s="32" t="e">
        <f ca="1">_xludf.ifna(VLOOKUP(E1966,Parámetros!$D$2:$E$34,2,0),"")</f>
        <v>#NAME?</v>
      </c>
      <c r="M1966" s="32" t="e">
        <f ca="1">_xludf.ifna(VLOOKUP(G1966,Proyectos!$A$2:$T$674,20,0),"")</f>
        <v>#NAME?</v>
      </c>
      <c r="N1966" s="32" t="e">
        <f ca="1">_xludf.ifna(VLOOKUP(G1966,Proyectos!$A$2:$S$674,19,0))</f>
        <v>#NAME?</v>
      </c>
      <c r="O1966" s="32"/>
      <c r="P1966" s="32"/>
      <c r="Q1966" s="33"/>
      <c r="R1966" s="33"/>
      <c r="S1966" s="33"/>
      <c r="T1966" s="63">
        <f t="shared" si="17"/>
        <v>0</v>
      </c>
      <c r="U1966" s="33"/>
      <c r="V1966" s="33"/>
      <c r="W1966" s="33"/>
    </row>
    <row r="1967" spans="1:23" ht="16.5" customHeight="1" x14ac:dyDescent="0.2">
      <c r="A1967" s="26"/>
      <c r="B1967" s="26"/>
      <c r="C1967" s="26"/>
      <c r="D1967" s="26"/>
      <c r="E1967" s="26"/>
      <c r="F1967" s="28" t="e">
        <f ca="1">_xludf.ifna(VLOOKUP(G1967,Proyectos!$A$2:$F$674,6,0),"")</f>
        <v>#NAME?</v>
      </c>
      <c r="G1967" s="26"/>
      <c r="H1967" s="32"/>
      <c r="I1967" s="32"/>
      <c r="J1967" s="32"/>
      <c r="K1967" s="32"/>
      <c r="L1967" s="32" t="e">
        <f ca="1">_xludf.ifna(VLOOKUP(E1967,Parámetros!$D$2:$E$34,2,0),"")</f>
        <v>#NAME?</v>
      </c>
      <c r="M1967" s="32" t="e">
        <f ca="1">_xludf.ifna(VLOOKUP(G1967,Proyectos!$A$2:$T$674,20,0),"")</f>
        <v>#NAME?</v>
      </c>
      <c r="N1967" s="32" t="e">
        <f ca="1">_xludf.ifna(VLOOKUP(G1967,Proyectos!$A$2:$S$674,19,0))</f>
        <v>#NAME?</v>
      </c>
      <c r="O1967" s="32"/>
      <c r="P1967" s="32"/>
      <c r="Q1967" s="33"/>
      <c r="R1967" s="33"/>
      <c r="S1967" s="33"/>
      <c r="T1967" s="63">
        <f t="shared" si="17"/>
        <v>0</v>
      </c>
      <c r="U1967" s="33"/>
      <c r="V1967" s="33"/>
      <c r="W1967" s="33"/>
    </row>
    <row r="1968" spans="1:23" ht="16.5" customHeight="1" x14ac:dyDescent="0.2">
      <c r="A1968" s="26"/>
      <c r="B1968" s="26"/>
      <c r="C1968" s="26"/>
      <c r="D1968" s="26"/>
      <c r="E1968" s="26"/>
      <c r="F1968" s="28" t="e">
        <f ca="1">_xludf.ifna(VLOOKUP(G1968,Proyectos!$A$2:$F$674,6,0),"")</f>
        <v>#NAME?</v>
      </c>
      <c r="G1968" s="26"/>
      <c r="H1968" s="32"/>
      <c r="I1968" s="32"/>
      <c r="J1968" s="32"/>
      <c r="K1968" s="32"/>
      <c r="L1968" s="32" t="e">
        <f ca="1">_xludf.ifna(VLOOKUP(E1968,Parámetros!$D$2:$E$34,2,0),"")</f>
        <v>#NAME?</v>
      </c>
      <c r="M1968" s="32" t="e">
        <f ca="1">_xludf.ifna(VLOOKUP(G1968,Proyectos!$A$2:$T$674,20,0),"")</f>
        <v>#NAME?</v>
      </c>
      <c r="N1968" s="32" t="e">
        <f ca="1">_xludf.ifna(VLOOKUP(G1968,Proyectos!$A$2:$S$674,19,0))</f>
        <v>#NAME?</v>
      </c>
      <c r="O1968" s="32"/>
      <c r="P1968" s="32"/>
      <c r="Q1968" s="33"/>
      <c r="R1968" s="33"/>
      <c r="S1968" s="33"/>
      <c r="T1968" s="63">
        <f t="shared" si="17"/>
        <v>0</v>
      </c>
      <c r="U1968" s="33"/>
      <c r="V1968" s="33"/>
      <c r="W1968" s="33"/>
    </row>
    <row r="1969" spans="1:23" ht="16.5" customHeight="1" x14ac:dyDescent="0.2">
      <c r="A1969" s="26"/>
      <c r="B1969" s="26"/>
      <c r="C1969" s="26"/>
      <c r="D1969" s="26"/>
      <c r="E1969" s="26"/>
      <c r="F1969" s="28" t="e">
        <f ca="1">_xludf.ifna(VLOOKUP(G1969,Proyectos!$A$2:$F$674,6,0),"")</f>
        <v>#NAME?</v>
      </c>
      <c r="G1969" s="26"/>
      <c r="H1969" s="32"/>
      <c r="I1969" s="32"/>
      <c r="J1969" s="32"/>
      <c r="K1969" s="32"/>
      <c r="L1969" s="32" t="e">
        <f ca="1">_xludf.ifna(VLOOKUP(E1969,Parámetros!$D$2:$E$34,2,0),"")</f>
        <v>#NAME?</v>
      </c>
      <c r="M1969" s="32" t="e">
        <f ca="1">_xludf.ifna(VLOOKUP(G1969,Proyectos!$A$2:$T$674,20,0),"")</f>
        <v>#NAME?</v>
      </c>
      <c r="N1969" s="32" t="e">
        <f ca="1">_xludf.ifna(VLOOKUP(G1969,Proyectos!$A$2:$S$674,19,0))</f>
        <v>#NAME?</v>
      </c>
      <c r="O1969" s="32"/>
      <c r="P1969" s="32"/>
      <c r="Q1969" s="33"/>
      <c r="R1969" s="33"/>
      <c r="S1969" s="33"/>
      <c r="T1969" s="63">
        <f t="shared" si="17"/>
        <v>0</v>
      </c>
      <c r="U1969" s="33"/>
      <c r="V1969" s="33"/>
      <c r="W1969" s="33"/>
    </row>
    <row r="1970" spans="1:23" ht="16.5" customHeight="1" x14ac:dyDescent="0.2">
      <c r="A1970" s="26"/>
      <c r="B1970" s="26"/>
      <c r="C1970" s="26"/>
      <c r="D1970" s="26"/>
      <c r="E1970" s="26"/>
      <c r="F1970" s="28" t="e">
        <f ca="1">_xludf.ifna(VLOOKUP(G1970,Proyectos!$A$2:$F$674,6,0),"")</f>
        <v>#NAME?</v>
      </c>
      <c r="G1970" s="26"/>
      <c r="H1970" s="32"/>
      <c r="I1970" s="32"/>
      <c r="J1970" s="32"/>
      <c r="K1970" s="32"/>
      <c r="L1970" s="32" t="e">
        <f ca="1">_xludf.ifna(VLOOKUP(E1970,Parámetros!$D$2:$E$34,2,0),"")</f>
        <v>#NAME?</v>
      </c>
      <c r="M1970" s="32" t="e">
        <f ca="1">_xludf.ifna(VLOOKUP(G1970,Proyectos!$A$2:$T$674,20,0),"")</f>
        <v>#NAME?</v>
      </c>
      <c r="N1970" s="32" t="e">
        <f ca="1">_xludf.ifna(VLOOKUP(G1970,Proyectos!$A$2:$S$674,19,0))</f>
        <v>#NAME?</v>
      </c>
      <c r="O1970" s="32"/>
      <c r="P1970" s="32"/>
      <c r="Q1970" s="33"/>
      <c r="R1970" s="33"/>
      <c r="S1970" s="33"/>
      <c r="T1970" s="63">
        <f t="shared" si="17"/>
        <v>0</v>
      </c>
      <c r="U1970" s="33"/>
      <c r="V1970" s="33"/>
      <c r="W1970" s="33"/>
    </row>
    <row r="1971" spans="1:23" ht="16.5" customHeight="1" x14ac:dyDescent="0.2">
      <c r="A1971" s="26"/>
      <c r="B1971" s="26"/>
      <c r="C1971" s="26"/>
      <c r="D1971" s="26"/>
      <c r="E1971" s="26"/>
      <c r="F1971" s="28" t="e">
        <f ca="1">_xludf.ifna(VLOOKUP(G1971,Proyectos!$A$2:$F$674,6,0),"")</f>
        <v>#NAME?</v>
      </c>
      <c r="G1971" s="26"/>
      <c r="H1971" s="32"/>
      <c r="I1971" s="32"/>
      <c r="J1971" s="32"/>
      <c r="K1971" s="32"/>
      <c r="L1971" s="32" t="e">
        <f ca="1">_xludf.ifna(VLOOKUP(E1971,Parámetros!$D$2:$E$34,2,0),"")</f>
        <v>#NAME?</v>
      </c>
      <c r="M1971" s="32" t="e">
        <f ca="1">_xludf.ifna(VLOOKUP(G1971,Proyectos!$A$2:$T$674,20,0),"")</f>
        <v>#NAME?</v>
      </c>
      <c r="N1971" s="32" t="e">
        <f ca="1">_xludf.ifna(VLOOKUP(G1971,Proyectos!$A$2:$S$674,19,0))</f>
        <v>#NAME?</v>
      </c>
      <c r="O1971" s="32"/>
      <c r="P1971" s="32"/>
      <c r="Q1971" s="33"/>
      <c r="R1971" s="33"/>
      <c r="S1971" s="33"/>
      <c r="T1971" s="63">
        <f t="shared" si="17"/>
        <v>0</v>
      </c>
      <c r="U1971" s="33"/>
      <c r="V1971" s="33"/>
      <c r="W1971" s="33"/>
    </row>
    <row r="1972" spans="1:23" ht="16.5" customHeight="1" x14ac:dyDescent="0.2">
      <c r="A1972" s="26"/>
      <c r="B1972" s="26"/>
      <c r="C1972" s="26"/>
      <c r="D1972" s="26"/>
      <c r="E1972" s="26"/>
      <c r="F1972" s="28" t="e">
        <f ca="1">_xludf.ifna(VLOOKUP(G1972,Proyectos!$A$2:$F$674,6,0),"")</f>
        <v>#NAME?</v>
      </c>
      <c r="G1972" s="26"/>
      <c r="H1972" s="32"/>
      <c r="I1972" s="32"/>
      <c r="J1972" s="32"/>
      <c r="K1972" s="32"/>
      <c r="L1972" s="32" t="e">
        <f ca="1">_xludf.ifna(VLOOKUP(E1972,Parámetros!$D$2:$E$34,2,0),"")</f>
        <v>#NAME?</v>
      </c>
      <c r="M1972" s="32" t="e">
        <f ca="1">_xludf.ifna(VLOOKUP(G1972,Proyectos!$A$2:$T$674,20,0),"")</f>
        <v>#NAME?</v>
      </c>
      <c r="N1972" s="32" t="e">
        <f ca="1">_xludf.ifna(VLOOKUP(G1972,Proyectos!$A$2:$S$674,19,0))</f>
        <v>#NAME?</v>
      </c>
      <c r="O1972" s="32"/>
      <c r="P1972" s="32"/>
      <c r="Q1972" s="33"/>
      <c r="R1972" s="33"/>
      <c r="S1972" s="33"/>
      <c r="T1972" s="63">
        <f t="shared" si="17"/>
        <v>0</v>
      </c>
      <c r="U1972" s="33"/>
      <c r="V1972" s="33"/>
      <c r="W1972" s="33"/>
    </row>
    <row r="1973" spans="1:23" ht="16.5" customHeight="1" x14ac:dyDescent="0.2">
      <c r="A1973" s="26"/>
      <c r="B1973" s="26"/>
      <c r="C1973" s="26"/>
      <c r="D1973" s="26"/>
      <c r="E1973" s="26"/>
      <c r="F1973" s="28" t="e">
        <f ca="1">_xludf.ifna(VLOOKUP(G1973,Proyectos!$A$2:$F$674,6,0),"")</f>
        <v>#NAME?</v>
      </c>
      <c r="G1973" s="26"/>
      <c r="H1973" s="32"/>
      <c r="I1973" s="32"/>
      <c r="J1973" s="32"/>
      <c r="K1973" s="32"/>
      <c r="L1973" s="32" t="e">
        <f ca="1">_xludf.ifna(VLOOKUP(E1973,Parámetros!$D$2:$E$34,2,0),"")</f>
        <v>#NAME?</v>
      </c>
      <c r="M1973" s="32" t="e">
        <f ca="1">_xludf.ifna(VLOOKUP(G1973,Proyectos!$A$2:$T$674,20,0),"")</f>
        <v>#NAME?</v>
      </c>
      <c r="N1973" s="32" t="e">
        <f ca="1">_xludf.ifna(VLOOKUP(G1973,Proyectos!$A$2:$S$674,19,0))</f>
        <v>#NAME?</v>
      </c>
      <c r="O1973" s="32"/>
      <c r="P1973" s="32"/>
      <c r="Q1973" s="33"/>
      <c r="R1973" s="33"/>
      <c r="S1973" s="33"/>
      <c r="T1973" s="63">
        <f t="shared" si="17"/>
        <v>0</v>
      </c>
      <c r="U1973" s="33"/>
      <c r="V1973" s="33"/>
      <c r="W1973" s="33"/>
    </row>
    <row r="1974" spans="1:23" ht="16.5" customHeight="1" x14ac:dyDescent="0.2">
      <c r="A1974" s="26"/>
      <c r="B1974" s="26"/>
      <c r="C1974" s="26"/>
      <c r="D1974" s="26"/>
      <c r="E1974" s="26"/>
      <c r="F1974" s="28" t="e">
        <f ca="1">_xludf.ifna(VLOOKUP(G1974,Proyectos!$A$2:$F$674,6,0),"")</f>
        <v>#NAME?</v>
      </c>
      <c r="G1974" s="26"/>
      <c r="H1974" s="32"/>
      <c r="I1974" s="32"/>
      <c r="J1974" s="32"/>
      <c r="K1974" s="32"/>
      <c r="L1974" s="32" t="e">
        <f ca="1">_xludf.ifna(VLOOKUP(E1974,Parámetros!$D$2:$E$34,2,0),"")</f>
        <v>#NAME?</v>
      </c>
      <c r="M1974" s="32" t="e">
        <f ca="1">_xludf.ifna(VLOOKUP(G1974,Proyectos!$A$2:$T$674,20,0),"")</f>
        <v>#NAME?</v>
      </c>
      <c r="N1974" s="32" t="e">
        <f ca="1">_xludf.ifna(VLOOKUP(G1974,Proyectos!$A$2:$S$674,19,0))</f>
        <v>#NAME?</v>
      </c>
      <c r="O1974" s="32"/>
      <c r="P1974" s="32"/>
      <c r="Q1974" s="33"/>
      <c r="R1974" s="33"/>
      <c r="S1974" s="33"/>
      <c r="T1974" s="63">
        <f t="shared" si="17"/>
        <v>0</v>
      </c>
      <c r="U1974" s="33"/>
      <c r="V1974" s="33"/>
      <c r="W1974" s="33"/>
    </row>
    <row r="1975" spans="1:23" ht="16.5" customHeight="1" x14ac:dyDescent="0.2">
      <c r="A1975" s="26"/>
      <c r="B1975" s="26"/>
      <c r="C1975" s="26"/>
      <c r="D1975" s="26"/>
      <c r="E1975" s="26"/>
      <c r="F1975" s="28" t="e">
        <f ca="1">_xludf.ifna(VLOOKUP(G1975,Proyectos!$A$2:$F$674,6,0),"")</f>
        <v>#NAME?</v>
      </c>
      <c r="G1975" s="26"/>
      <c r="H1975" s="32"/>
      <c r="I1975" s="32"/>
      <c r="J1975" s="32"/>
      <c r="K1975" s="32"/>
      <c r="L1975" s="32" t="e">
        <f ca="1">_xludf.ifna(VLOOKUP(E1975,Parámetros!$D$2:$E$34,2,0),"")</f>
        <v>#NAME?</v>
      </c>
      <c r="M1975" s="32" t="e">
        <f ca="1">_xludf.ifna(VLOOKUP(G1975,Proyectos!$A$2:$T$674,20,0),"")</f>
        <v>#NAME?</v>
      </c>
      <c r="N1975" s="32" t="e">
        <f ca="1">_xludf.ifna(VLOOKUP(G1975,Proyectos!$A$2:$S$674,19,0))</f>
        <v>#NAME?</v>
      </c>
      <c r="O1975" s="32"/>
      <c r="P1975" s="32"/>
      <c r="Q1975" s="33"/>
      <c r="R1975" s="33"/>
      <c r="S1975" s="33"/>
      <c r="T1975" s="63">
        <f t="shared" si="17"/>
        <v>0</v>
      </c>
      <c r="U1975" s="33"/>
      <c r="V1975" s="33"/>
      <c r="W1975" s="33"/>
    </row>
    <row r="1976" spans="1:23" ht="16.5" customHeight="1" x14ac:dyDescent="0.2">
      <c r="A1976" s="26"/>
      <c r="B1976" s="26"/>
      <c r="C1976" s="26"/>
      <c r="D1976" s="26"/>
      <c r="E1976" s="26"/>
      <c r="F1976" s="28" t="e">
        <f ca="1">_xludf.ifna(VLOOKUP(G1976,Proyectos!$A$2:$F$674,6,0),"")</f>
        <v>#NAME?</v>
      </c>
      <c r="G1976" s="26"/>
      <c r="H1976" s="32"/>
      <c r="I1976" s="32"/>
      <c r="J1976" s="32"/>
      <c r="K1976" s="32"/>
      <c r="L1976" s="32" t="e">
        <f ca="1">_xludf.ifna(VLOOKUP(E1976,Parámetros!$D$2:$E$34,2,0),"")</f>
        <v>#NAME?</v>
      </c>
      <c r="M1976" s="32" t="e">
        <f ca="1">_xludf.ifna(VLOOKUP(G1976,Proyectos!$A$2:$T$674,20,0),"")</f>
        <v>#NAME?</v>
      </c>
      <c r="N1976" s="32" t="e">
        <f ca="1">_xludf.ifna(VLOOKUP(G1976,Proyectos!$A$2:$S$674,19,0))</f>
        <v>#NAME?</v>
      </c>
      <c r="O1976" s="32"/>
      <c r="P1976" s="32"/>
      <c r="Q1976" s="33"/>
      <c r="R1976" s="33"/>
      <c r="S1976" s="33"/>
      <c r="T1976" s="63">
        <f t="shared" si="17"/>
        <v>0</v>
      </c>
      <c r="U1976" s="33"/>
      <c r="V1976" s="33"/>
      <c r="W1976" s="33"/>
    </row>
    <row r="1977" spans="1:23" ht="16.5" customHeight="1" x14ac:dyDescent="0.2">
      <c r="A1977" s="26"/>
      <c r="B1977" s="26"/>
      <c r="C1977" s="26"/>
      <c r="D1977" s="26"/>
      <c r="E1977" s="26"/>
      <c r="F1977" s="28" t="e">
        <f ca="1">_xludf.ifna(VLOOKUP(G1977,Proyectos!$A$2:$F$674,6,0),"")</f>
        <v>#NAME?</v>
      </c>
      <c r="G1977" s="26"/>
      <c r="H1977" s="32"/>
      <c r="I1977" s="32"/>
      <c r="J1977" s="32"/>
      <c r="K1977" s="32"/>
      <c r="L1977" s="32" t="e">
        <f ca="1">_xludf.ifna(VLOOKUP(E1977,Parámetros!$D$2:$E$34,2,0),"")</f>
        <v>#NAME?</v>
      </c>
      <c r="M1977" s="32" t="e">
        <f ca="1">_xludf.ifna(VLOOKUP(G1977,Proyectos!$A$2:$T$674,20,0),"")</f>
        <v>#NAME?</v>
      </c>
      <c r="N1977" s="32" t="e">
        <f ca="1">_xludf.ifna(VLOOKUP(G1977,Proyectos!$A$2:$S$674,19,0))</f>
        <v>#NAME?</v>
      </c>
      <c r="O1977" s="32"/>
      <c r="P1977" s="32"/>
      <c r="Q1977" s="33"/>
      <c r="R1977" s="33"/>
      <c r="S1977" s="33"/>
      <c r="T1977" s="63">
        <f t="shared" si="17"/>
        <v>0</v>
      </c>
      <c r="U1977" s="33"/>
      <c r="V1977" s="33"/>
      <c r="W1977" s="33"/>
    </row>
    <row r="1978" spans="1:23" ht="16.5" customHeight="1" x14ac:dyDescent="0.2">
      <c r="A1978" s="26"/>
      <c r="B1978" s="26"/>
      <c r="C1978" s="26"/>
      <c r="D1978" s="26"/>
      <c r="E1978" s="26"/>
      <c r="F1978" s="28" t="e">
        <f ca="1">_xludf.ifna(VLOOKUP(G1978,Proyectos!$A$2:$F$674,6,0),"")</f>
        <v>#NAME?</v>
      </c>
      <c r="G1978" s="26"/>
      <c r="H1978" s="32"/>
      <c r="I1978" s="32"/>
      <c r="J1978" s="32"/>
      <c r="K1978" s="32"/>
      <c r="L1978" s="32" t="e">
        <f ca="1">_xludf.ifna(VLOOKUP(E1978,Parámetros!$D$2:$E$34,2,0),"")</f>
        <v>#NAME?</v>
      </c>
      <c r="M1978" s="32" t="e">
        <f ca="1">_xludf.ifna(VLOOKUP(G1978,Proyectos!$A$2:$T$674,20,0),"")</f>
        <v>#NAME?</v>
      </c>
      <c r="N1978" s="32" t="e">
        <f ca="1">_xludf.ifna(VLOOKUP(G1978,Proyectos!$A$2:$S$674,19,0))</f>
        <v>#NAME?</v>
      </c>
      <c r="O1978" s="32"/>
      <c r="P1978" s="32"/>
      <c r="Q1978" s="33"/>
      <c r="R1978" s="33"/>
      <c r="S1978" s="33"/>
      <c r="T1978" s="63">
        <f t="shared" si="17"/>
        <v>0</v>
      </c>
      <c r="U1978" s="33"/>
      <c r="V1978" s="33"/>
      <c r="W1978" s="33"/>
    </row>
    <row r="1979" spans="1:23" ht="16.5" customHeight="1" x14ac:dyDescent="0.2">
      <c r="A1979" s="26"/>
      <c r="B1979" s="26"/>
      <c r="C1979" s="26"/>
      <c r="D1979" s="26"/>
      <c r="E1979" s="26"/>
      <c r="F1979" s="28" t="e">
        <f ca="1">_xludf.ifna(VLOOKUP(G1979,Proyectos!$A$2:$F$674,6,0),"")</f>
        <v>#NAME?</v>
      </c>
      <c r="G1979" s="26"/>
      <c r="H1979" s="32"/>
      <c r="I1979" s="32"/>
      <c r="J1979" s="32"/>
      <c r="K1979" s="32"/>
      <c r="L1979" s="32" t="e">
        <f ca="1">_xludf.ifna(VLOOKUP(E1979,Parámetros!$D$2:$E$34,2,0),"")</f>
        <v>#NAME?</v>
      </c>
      <c r="M1979" s="32" t="e">
        <f ca="1">_xludf.ifna(VLOOKUP(G1979,Proyectos!$A$2:$T$674,20,0),"")</f>
        <v>#NAME?</v>
      </c>
      <c r="N1979" s="32" t="e">
        <f ca="1">_xludf.ifna(VLOOKUP(G1979,Proyectos!$A$2:$S$674,19,0))</f>
        <v>#NAME?</v>
      </c>
      <c r="O1979" s="32"/>
      <c r="P1979" s="32"/>
      <c r="Q1979" s="33"/>
      <c r="R1979" s="33"/>
      <c r="S1979" s="33"/>
      <c r="T1979" s="63">
        <f t="shared" si="17"/>
        <v>0</v>
      </c>
      <c r="U1979" s="33"/>
      <c r="V1979" s="33"/>
      <c r="W1979" s="33"/>
    </row>
    <row r="1980" spans="1:23" ht="16.5" customHeight="1" x14ac:dyDescent="0.2">
      <c r="A1980" s="26"/>
      <c r="B1980" s="26"/>
      <c r="C1980" s="26"/>
      <c r="D1980" s="26"/>
      <c r="E1980" s="26"/>
      <c r="F1980" s="28" t="e">
        <f ca="1">_xludf.ifna(VLOOKUP(G1980,Proyectos!$A$2:$F$674,6,0),"")</f>
        <v>#NAME?</v>
      </c>
      <c r="G1980" s="26"/>
      <c r="H1980" s="32"/>
      <c r="I1980" s="32"/>
      <c r="J1980" s="32"/>
      <c r="K1980" s="32"/>
      <c r="L1980" s="32" t="e">
        <f ca="1">_xludf.ifna(VLOOKUP(E1980,Parámetros!$D$2:$E$34,2,0),"")</f>
        <v>#NAME?</v>
      </c>
      <c r="M1980" s="32" t="e">
        <f ca="1">_xludf.ifna(VLOOKUP(G1980,Proyectos!$A$2:$T$674,20,0),"")</f>
        <v>#NAME?</v>
      </c>
      <c r="N1980" s="32" t="e">
        <f ca="1">_xludf.ifna(VLOOKUP(G1980,Proyectos!$A$2:$S$674,19,0))</f>
        <v>#NAME?</v>
      </c>
      <c r="O1980" s="32"/>
      <c r="P1980" s="32"/>
      <c r="Q1980" s="33"/>
      <c r="R1980" s="33"/>
      <c r="S1980" s="33"/>
      <c r="T1980" s="63">
        <f t="shared" si="17"/>
        <v>0</v>
      </c>
      <c r="U1980" s="33"/>
      <c r="V1980" s="33"/>
      <c r="W1980" s="33"/>
    </row>
    <row r="1981" spans="1:23" ht="16.5" customHeight="1" x14ac:dyDescent="0.2">
      <c r="A1981" s="26"/>
      <c r="B1981" s="26"/>
      <c r="C1981" s="26"/>
      <c r="D1981" s="26"/>
      <c r="E1981" s="26"/>
      <c r="F1981" s="28" t="e">
        <f ca="1">_xludf.ifna(VLOOKUP(G1981,Proyectos!$A$2:$F$674,6,0),"")</f>
        <v>#NAME?</v>
      </c>
      <c r="G1981" s="26"/>
      <c r="H1981" s="32"/>
      <c r="I1981" s="32"/>
      <c r="J1981" s="32"/>
      <c r="K1981" s="32"/>
      <c r="L1981" s="32" t="e">
        <f ca="1">_xludf.ifna(VLOOKUP(E1981,Parámetros!$D$2:$E$34,2,0),"")</f>
        <v>#NAME?</v>
      </c>
      <c r="M1981" s="32" t="e">
        <f ca="1">_xludf.ifna(VLOOKUP(G1981,Proyectos!$A$2:$T$674,20,0),"")</f>
        <v>#NAME?</v>
      </c>
      <c r="N1981" s="32" t="e">
        <f ca="1">_xludf.ifna(VLOOKUP(G1981,Proyectos!$A$2:$S$674,19,0))</f>
        <v>#NAME?</v>
      </c>
      <c r="O1981" s="32"/>
      <c r="P1981" s="32"/>
      <c r="Q1981" s="33"/>
      <c r="R1981" s="33"/>
      <c r="S1981" s="33"/>
      <c r="T1981" s="63">
        <f t="shared" si="17"/>
        <v>0</v>
      </c>
      <c r="U1981" s="33"/>
      <c r="V1981" s="33"/>
      <c r="W1981" s="33"/>
    </row>
    <row r="1982" spans="1:23" ht="16.5" customHeight="1" x14ac:dyDescent="0.2">
      <c r="A1982" s="26"/>
      <c r="B1982" s="26"/>
      <c r="C1982" s="26"/>
      <c r="D1982" s="26"/>
      <c r="E1982" s="26"/>
      <c r="F1982" s="28" t="e">
        <f ca="1">_xludf.ifna(VLOOKUP(G1982,Proyectos!$A$2:$F$674,6,0),"")</f>
        <v>#NAME?</v>
      </c>
      <c r="G1982" s="26"/>
      <c r="H1982" s="32"/>
      <c r="I1982" s="32"/>
      <c r="J1982" s="32"/>
      <c r="K1982" s="32"/>
      <c r="L1982" s="32" t="e">
        <f ca="1">_xludf.ifna(VLOOKUP(E1982,Parámetros!$D$2:$E$34,2,0),"")</f>
        <v>#NAME?</v>
      </c>
      <c r="M1982" s="32" t="e">
        <f ca="1">_xludf.ifna(VLOOKUP(G1982,Proyectos!$A$2:$T$674,20,0),"")</f>
        <v>#NAME?</v>
      </c>
      <c r="N1982" s="32" t="e">
        <f ca="1">_xludf.ifna(VLOOKUP(G1982,Proyectos!$A$2:$S$674,19,0))</f>
        <v>#NAME?</v>
      </c>
      <c r="O1982" s="32"/>
      <c r="P1982" s="32"/>
      <c r="Q1982" s="33"/>
      <c r="R1982" s="33"/>
      <c r="S1982" s="33"/>
      <c r="T1982" s="63">
        <f t="shared" si="17"/>
        <v>0</v>
      </c>
      <c r="U1982" s="33"/>
      <c r="V1982" s="33"/>
      <c r="W1982" s="33"/>
    </row>
    <row r="1983" spans="1:23" ht="16.5" customHeight="1" x14ac:dyDescent="0.2">
      <c r="A1983" s="26"/>
      <c r="B1983" s="26"/>
      <c r="C1983" s="26"/>
      <c r="D1983" s="26"/>
      <c r="E1983" s="26"/>
      <c r="F1983" s="28" t="e">
        <f ca="1">_xludf.ifna(VLOOKUP(G1983,Proyectos!$A$2:$F$674,6,0),"")</f>
        <v>#NAME?</v>
      </c>
      <c r="G1983" s="26"/>
      <c r="H1983" s="32"/>
      <c r="I1983" s="32"/>
      <c r="J1983" s="32"/>
      <c r="K1983" s="32"/>
      <c r="L1983" s="32" t="e">
        <f ca="1">_xludf.ifna(VLOOKUP(E1983,Parámetros!$D$2:$E$34,2,0),"")</f>
        <v>#NAME?</v>
      </c>
      <c r="M1983" s="32" t="e">
        <f ca="1">_xludf.ifna(VLOOKUP(G1983,Proyectos!$A$2:$T$674,20,0),"")</f>
        <v>#NAME?</v>
      </c>
      <c r="N1983" s="32" t="e">
        <f ca="1">_xludf.ifna(VLOOKUP(G1983,Proyectos!$A$2:$S$674,19,0))</f>
        <v>#NAME?</v>
      </c>
      <c r="O1983" s="32"/>
      <c r="P1983" s="32"/>
      <c r="Q1983" s="33"/>
      <c r="R1983" s="33"/>
      <c r="S1983" s="33"/>
      <c r="T1983" s="63">
        <f t="shared" si="17"/>
        <v>0</v>
      </c>
      <c r="U1983" s="33"/>
      <c r="V1983" s="33"/>
      <c r="W1983" s="33"/>
    </row>
    <row r="1984" spans="1:23" ht="16.5" customHeight="1" x14ac:dyDescent="0.2">
      <c r="A1984" s="26"/>
      <c r="B1984" s="26"/>
      <c r="C1984" s="26"/>
      <c r="D1984" s="26"/>
      <c r="E1984" s="26"/>
      <c r="F1984" s="28" t="e">
        <f ca="1">_xludf.ifna(VLOOKUP(G1984,Proyectos!$A$2:$F$674,6,0),"")</f>
        <v>#NAME?</v>
      </c>
      <c r="G1984" s="26"/>
      <c r="H1984" s="32"/>
      <c r="I1984" s="32"/>
      <c r="J1984" s="32"/>
      <c r="K1984" s="32"/>
      <c r="L1984" s="32" t="e">
        <f ca="1">_xludf.ifna(VLOOKUP(E1984,Parámetros!$D$2:$E$34,2,0),"")</f>
        <v>#NAME?</v>
      </c>
      <c r="M1984" s="32" t="e">
        <f ca="1">_xludf.ifna(VLOOKUP(G1984,Proyectos!$A$2:$T$674,20,0),"")</f>
        <v>#NAME?</v>
      </c>
      <c r="N1984" s="32" t="e">
        <f ca="1">_xludf.ifna(VLOOKUP(G1984,Proyectos!$A$2:$S$674,19,0))</f>
        <v>#NAME?</v>
      </c>
      <c r="O1984" s="32"/>
      <c r="P1984" s="32"/>
      <c r="Q1984" s="33"/>
      <c r="R1984" s="33"/>
      <c r="S1984" s="33"/>
      <c r="T1984" s="63">
        <f t="shared" si="17"/>
        <v>0</v>
      </c>
      <c r="U1984" s="33"/>
      <c r="V1984" s="33"/>
      <c r="W1984" s="33"/>
    </row>
    <row r="1985" spans="1:23" ht="16.5" customHeight="1" x14ac:dyDescent="0.2">
      <c r="A1985" s="26"/>
      <c r="B1985" s="26"/>
      <c r="C1985" s="26"/>
      <c r="D1985" s="26"/>
      <c r="E1985" s="26"/>
      <c r="F1985" s="28" t="e">
        <f ca="1">_xludf.ifna(VLOOKUP(G1985,Proyectos!$A$2:$F$674,6,0),"")</f>
        <v>#NAME?</v>
      </c>
      <c r="G1985" s="26"/>
      <c r="H1985" s="32"/>
      <c r="I1985" s="32"/>
      <c r="J1985" s="32"/>
      <c r="K1985" s="32"/>
      <c r="L1985" s="32" t="e">
        <f ca="1">_xludf.ifna(VLOOKUP(E1985,Parámetros!$D$2:$E$34,2,0),"")</f>
        <v>#NAME?</v>
      </c>
      <c r="M1985" s="32" t="e">
        <f ca="1">_xludf.ifna(VLOOKUP(G1985,Proyectos!$A$2:$T$674,20,0),"")</f>
        <v>#NAME?</v>
      </c>
      <c r="N1985" s="32" t="e">
        <f ca="1">_xludf.ifna(VLOOKUP(G1985,Proyectos!$A$2:$S$674,19,0))</f>
        <v>#NAME?</v>
      </c>
      <c r="O1985" s="32"/>
      <c r="P1985" s="32"/>
      <c r="Q1985" s="33"/>
      <c r="R1985" s="33"/>
      <c r="S1985" s="33"/>
      <c r="T1985" s="63">
        <f t="shared" si="17"/>
        <v>0</v>
      </c>
      <c r="U1985" s="33"/>
      <c r="V1985" s="33"/>
      <c r="W1985" s="33"/>
    </row>
    <row r="1986" spans="1:23" ht="16.5" customHeight="1" x14ac:dyDescent="0.2">
      <c r="A1986" s="26"/>
      <c r="B1986" s="26"/>
      <c r="C1986" s="26"/>
      <c r="D1986" s="26"/>
      <c r="E1986" s="26"/>
      <c r="F1986" s="28" t="e">
        <f ca="1">_xludf.ifna(VLOOKUP(G1986,Proyectos!$A$2:$F$674,6,0),"")</f>
        <v>#NAME?</v>
      </c>
      <c r="G1986" s="26"/>
      <c r="H1986" s="32"/>
      <c r="I1986" s="32"/>
      <c r="J1986" s="32"/>
      <c r="K1986" s="32"/>
      <c r="L1986" s="32" t="e">
        <f ca="1">_xludf.ifna(VLOOKUP(E1986,Parámetros!$D$2:$E$34,2,0),"")</f>
        <v>#NAME?</v>
      </c>
      <c r="M1986" s="32" t="e">
        <f ca="1">_xludf.ifna(VLOOKUP(G1986,Proyectos!$A$2:$T$674,20,0),"")</f>
        <v>#NAME?</v>
      </c>
      <c r="N1986" s="32" t="e">
        <f ca="1">_xludf.ifna(VLOOKUP(G1986,Proyectos!$A$2:$S$674,19,0))</f>
        <v>#NAME?</v>
      </c>
      <c r="O1986" s="32"/>
      <c r="P1986" s="32"/>
      <c r="Q1986" s="33"/>
      <c r="R1986" s="33"/>
      <c r="S1986" s="33"/>
      <c r="T1986" s="63">
        <f t="shared" si="17"/>
        <v>0</v>
      </c>
      <c r="U1986" s="33"/>
      <c r="V1986" s="33"/>
      <c r="W1986" s="33"/>
    </row>
    <row r="1987" spans="1:23" ht="16.5" customHeight="1" x14ac:dyDescent="0.2">
      <c r="A1987" s="26"/>
      <c r="B1987" s="26"/>
      <c r="C1987" s="26"/>
      <c r="D1987" s="26"/>
      <c r="E1987" s="26"/>
      <c r="F1987" s="28" t="e">
        <f ca="1">_xludf.ifna(VLOOKUP(G1987,Proyectos!$A$2:$F$674,6,0),"")</f>
        <v>#NAME?</v>
      </c>
      <c r="G1987" s="26"/>
      <c r="H1987" s="32"/>
      <c r="I1987" s="32"/>
      <c r="J1987" s="32"/>
      <c r="K1987" s="32"/>
      <c r="L1987" s="32" t="e">
        <f ca="1">_xludf.ifna(VLOOKUP(E1987,Parámetros!$D$2:$E$34,2,0),"")</f>
        <v>#NAME?</v>
      </c>
      <c r="M1987" s="32" t="e">
        <f ca="1">_xludf.ifna(VLOOKUP(G1987,Proyectos!$A$2:$T$674,20,0),"")</f>
        <v>#NAME?</v>
      </c>
      <c r="N1987" s="32" t="e">
        <f ca="1">_xludf.ifna(VLOOKUP(G1987,Proyectos!$A$2:$S$674,19,0))</f>
        <v>#NAME?</v>
      </c>
      <c r="O1987" s="32"/>
      <c r="P1987" s="32"/>
      <c r="Q1987" s="33"/>
      <c r="R1987" s="33"/>
      <c r="S1987" s="33"/>
      <c r="T1987" s="63">
        <f t="shared" si="17"/>
        <v>0</v>
      </c>
      <c r="U1987" s="33"/>
      <c r="V1987" s="33"/>
      <c r="W1987" s="33"/>
    </row>
    <row r="1988" spans="1:23" ht="16.5" customHeight="1" x14ac:dyDescent="0.2">
      <c r="A1988" s="26"/>
      <c r="B1988" s="26"/>
      <c r="C1988" s="26"/>
      <c r="D1988" s="26"/>
      <c r="E1988" s="26"/>
      <c r="F1988" s="28" t="e">
        <f ca="1">_xludf.ifna(VLOOKUP(G1988,Proyectos!$A$2:$F$674,6,0),"")</f>
        <v>#NAME?</v>
      </c>
      <c r="G1988" s="26"/>
      <c r="H1988" s="32"/>
      <c r="I1988" s="32"/>
      <c r="J1988" s="32"/>
      <c r="K1988" s="32"/>
      <c r="L1988" s="32" t="e">
        <f ca="1">_xludf.ifna(VLOOKUP(E1988,Parámetros!$D$2:$E$34,2,0),"")</f>
        <v>#NAME?</v>
      </c>
      <c r="M1988" s="32" t="e">
        <f ca="1">_xludf.ifna(VLOOKUP(G1988,Proyectos!$A$2:$T$674,20,0),"")</f>
        <v>#NAME?</v>
      </c>
      <c r="N1988" s="32" t="e">
        <f ca="1">_xludf.ifna(VLOOKUP(G1988,Proyectos!$A$2:$S$674,19,0))</f>
        <v>#NAME?</v>
      </c>
      <c r="O1988" s="32"/>
      <c r="P1988" s="32"/>
      <c r="Q1988" s="33"/>
      <c r="R1988" s="33"/>
      <c r="S1988" s="33"/>
      <c r="T1988" s="63">
        <f t="shared" si="17"/>
        <v>0</v>
      </c>
      <c r="U1988" s="33"/>
      <c r="V1988" s="33"/>
      <c r="W1988" s="33"/>
    </row>
    <row r="1989" spans="1:23" ht="16.5" customHeight="1" x14ac:dyDescent="0.2">
      <c r="A1989" s="26"/>
      <c r="B1989" s="26"/>
      <c r="C1989" s="26"/>
      <c r="D1989" s="26"/>
      <c r="E1989" s="26"/>
      <c r="F1989" s="28" t="e">
        <f ca="1">_xludf.ifna(VLOOKUP(G1989,Proyectos!$A$2:$F$674,6,0),"")</f>
        <v>#NAME?</v>
      </c>
      <c r="G1989" s="26"/>
      <c r="H1989" s="32"/>
      <c r="I1989" s="32"/>
      <c r="J1989" s="32"/>
      <c r="K1989" s="32"/>
      <c r="L1989" s="32" t="e">
        <f ca="1">_xludf.ifna(VLOOKUP(E1989,Parámetros!$D$2:$E$34,2,0),"")</f>
        <v>#NAME?</v>
      </c>
      <c r="M1989" s="32" t="e">
        <f ca="1">_xludf.ifna(VLOOKUP(G1989,Proyectos!$A$2:$T$674,20,0),"")</f>
        <v>#NAME?</v>
      </c>
      <c r="N1989" s="32" t="e">
        <f ca="1">_xludf.ifna(VLOOKUP(G1989,Proyectos!$A$2:$S$674,19,0))</f>
        <v>#NAME?</v>
      </c>
      <c r="O1989" s="32"/>
      <c r="P1989" s="32"/>
      <c r="Q1989" s="33"/>
      <c r="R1989" s="33"/>
      <c r="S1989" s="33"/>
      <c r="T1989" s="63">
        <f t="shared" si="17"/>
        <v>0</v>
      </c>
      <c r="U1989" s="33"/>
      <c r="V1989" s="33"/>
      <c r="W1989" s="33"/>
    </row>
    <row r="1990" spans="1:23" ht="16.5" customHeight="1" x14ac:dyDescent="0.2">
      <c r="A1990" s="26"/>
      <c r="B1990" s="26"/>
      <c r="C1990" s="26"/>
      <c r="D1990" s="26"/>
      <c r="E1990" s="26"/>
      <c r="F1990" s="28" t="e">
        <f ca="1">_xludf.ifna(VLOOKUP(G1990,Proyectos!$A$2:$F$674,6,0),"")</f>
        <v>#NAME?</v>
      </c>
      <c r="G1990" s="26"/>
      <c r="H1990" s="32"/>
      <c r="I1990" s="32"/>
      <c r="J1990" s="32"/>
      <c r="K1990" s="32"/>
      <c r="L1990" s="32" t="e">
        <f ca="1">_xludf.ifna(VLOOKUP(E1990,Parámetros!$D$2:$E$34,2,0),"")</f>
        <v>#NAME?</v>
      </c>
      <c r="M1990" s="32" t="e">
        <f ca="1">_xludf.ifna(VLOOKUP(G1990,Proyectos!$A$2:$T$674,20,0),"")</f>
        <v>#NAME?</v>
      </c>
      <c r="N1990" s="32" t="e">
        <f ca="1">_xludf.ifna(VLOOKUP(G1990,Proyectos!$A$2:$S$674,19,0))</f>
        <v>#NAME?</v>
      </c>
      <c r="O1990" s="32"/>
      <c r="P1990" s="32"/>
      <c r="Q1990" s="33"/>
      <c r="R1990" s="33"/>
      <c r="S1990" s="33"/>
      <c r="T1990" s="63">
        <f t="shared" si="17"/>
        <v>0</v>
      </c>
      <c r="U1990" s="33"/>
      <c r="V1990" s="33"/>
      <c r="W1990" s="33"/>
    </row>
    <row r="1991" spans="1:23" ht="16.5" customHeight="1" x14ac:dyDescent="0.2">
      <c r="A1991" s="26"/>
      <c r="B1991" s="26"/>
      <c r="C1991" s="26"/>
      <c r="D1991" s="26"/>
      <c r="E1991" s="26"/>
      <c r="F1991" s="28" t="e">
        <f ca="1">_xludf.ifna(VLOOKUP(G1991,Proyectos!$A$2:$F$674,6,0),"")</f>
        <v>#NAME?</v>
      </c>
      <c r="G1991" s="26"/>
      <c r="H1991" s="32"/>
      <c r="I1991" s="32"/>
      <c r="J1991" s="32"/>
      <c r="K1991" s="32"/>
      <c r="L1991" s="32" t="e">
        <f ca="1">_xludf.ifna(VLOOKUP(E1991,Parámetros!$D$2:$E$34,2,0),"")</f>
        <v>#NAME?</v>
      </c>
      <c r="M1991" s="32" t="e">
        <f ca="1">_xludf.ifna(VLOOKUP(G1991,Proyectos!$A$2:$T$674,20,0),"")</f>
        <v>#NAME?</v>
      </c>
      <c r="N1991" s="32" t="e">
        <f ca="1">_xludf.ifna(VLOOKUP(G1991,Proyectos!$A$2:$S$674,19,0))</f>
        <v>#NAME?</v>
      </c>
      <c r="O1991" s="32"/>
      <c r="P1991" s="32"/>
      <c r="Q1991" s="33"/>
      <c r="R1991" s="33"/>
      <c r="S1991" s="33"/>
      <c r="T1991" s="63">
        <f t="shared" si="17"/>
        <v>0</v>
      </c>
      <c r="U1991" s="33"/>
      <c r="V1991" s="33"/>
      <c r="W1991" s="33"/>
    </row>
    <row r="1992" spans="1:23" ht="16.5" customHeight="1" x14ac:dyDescent="0.2">
      <c r="A1992" s="26"/>
      <c r="B1992" s="26"/>
      <c r="C1992" s="26"/>
      <c r="D1992" s="26"/>
      <c r="E1992" s="26"/>
      <c r="F1992" s="28" t="e">
        <f ca="1">_xludf.ifna(VLOOKUP(G1992,Proyectos!$A$2:$F$674,6,0),"")</f>
        <v>#NAME?</v>
      </c>
      <c r="G1992" s="26"/>
      <c r="H1992" s="32"/>
      <c r="I1992" s="32"/>
      <c r="J1992" s="32"/>
      <c r="K1992" s="32"/>
      <c r="L1992" s="32" t="e">
        <f ca="1">_xludf.ifna(VLOOKUP(E1992,Parámetros!$D$2:$E$34,2,0),"")</f>
        <v>#NAME?</v>
      </c>
      <c r="M1992" s="32" t="e">
        <f ca="1">_xludf.ifna(VLOOKUP(G1992,Proyectos!$A$2:$T$674,20,0),"")</f>
        <v>#NAME?</v>
      </c>
      <c r="N1992" s="32" t="e">
        <f ca="1">_xludf.ifna(VLOOKUP(G1992,Proyectos!$A$2:$S$674,19,0))</f>
        <v>#NAME?</v>
      </c>
      <c r="O1992" s="32"/>
      <c r="P1992" s="32"/>
      <c r="Q1992" s="33"/>
      <c r="R1992" s="33"/>
      <c r="S1992" s="33"/>
      <c r="T1992" s="63">
        <f t="shared" si="17"/>
        <v>0</v>
      </c>
      <c r="U1992" s="33"/>
      <c r="V1992" s="33"/>
      <c r="W1992" s="33"/>
    </row>
    <row r="1993" spans="1:23" ht="16.5" customHeight="1" x14ac:dyDescent="0.2">
      <c r="A1993" s="26"/>
      <c r="B1993" s="26"/>
      <c r="C1993" s="26"/>
      <c r="D1993" s="26"/>
      <c r="E1993" s="26"/>
      <c r="F1993" s="28" t="e">
        <f ca="1">_xludf.ifna(VLOOKUP(G1993,Proyectos!$A$2:$F$674,6,0),"")</f>
        <v>#NAME?</v>
      </c>
      <c r="G1993" s="26"/>
      <c r="H1993" s="32"/>
      <c r="I1993" s="32"/>
      <c r="J1993" s="32"/>
      <c r="K1993" s="32"/>
      <c r="L1993" s="32" t="e">
        <f ca="1">_xludf.ifna(VLOOKUP(E1993,Parámetros!$D$2:$E$34,2,0),"")</f>
        <v>#NAME?</v>
      </c>
      <c r="M1993" s="32" t="e">
        <f ca="1">_xludf.ifna(VLOOKUP(G1993,Proyectos!$A$2:$T$674,20,0),"")</f>
        <v>#NAME?</v>
      </c>
      <c r="N1993" s="32" t="e">
        <f ca="1">_xludf.ifna(VLOOKUP(G1993,Proyectos!$A$2:$S$674,19,0))</f>
        <v>#NAME?</v>
      </c>
      <c r="O1993" s="32"/>
      <c r="P1993" s="32"/>
      <c r="Q1993" s="33"/>
      <c r="R1993" s="33"/>
      <c r="S1993" s="33"/>
      <c r="T1993" s="63">
        <f t="shared" si="17"/>
        <v>0</v>
      </c>
      <c r="U1993" s="33"/>
      <c r="V1993" s="33"/>
      <c r="W1993" s="33"/>
    </row>
    <row r="1994" spans="1:23" ht="16.5" customHeight="1" x14ac:dyDescent="0.2">
      <c r="A1994" s="26"/>
      <c r="B1994" s="26"/>
      <c r="C1994" s="26"/>
      <c r="D1994" s="26"/>
      <c r="E1994" s="26"/>
      <c r="F1994" s="28" t="e">
        <f ca="1">_xludf.ifna(VLOOKUP(G1994,Proyectos!$A$2:$F$674,6,0),"")</f>
        <v>#NAME?</v>
      </c>
      <c r="G1994" s="26"/>
      <c r="H1994" s="32"/>
      <c r="I1994" s="32"/>
      <c r="J1994" s="32"/>
      <c r="K1994" s="32"/>
      <c r="L1994" s="32" t="e">
        <f ca="1">_xludf.ifna(VLOOKUP(E1994,Parámetros!$D$2:$E$34,2,0),"")</f>
        <v>#NAME?</v>
      </c>
      <c r="M1994" s="32" t="e">
        <f ca="1">_xludf.ifna(VLOOKUP(G1994,Proyectos!$A$2:$T$674,20,0),"")</f>
        <v>#NAME?</v>
      </c>
      <c r="N1994" s="32" t="e">
        <f ca="1">_xludf.ifna(VLOOKUP(G1994,Proyectos!$A$2:$S$674,19,0))</f>
        <v>#NAME?</v>
      </c>
      <c r="O1994" s="32"/>
      <c r="P1994" s="32"/>
      <c r="Q1994" s="33"/>
      <c r="R1994" s="33"/>
      <c r="S1994" s="33"/>
      <c r="T1994" s="63">
        <f t="shared" si="17"/>
        <v>0</v>
      </c>
      <c r="U1994" s="33"/>
      <c r="V1994" s="33"/>
      <c r="W1994" s="33"/>
    </row>
    <row r="1995" spans="1:23" ht="16.5" customHeight="1" x14ac:dyDescent="0.2">
      <c r="A1995" s="26"/>
      <c r="B1995" s="26"/>
      <c r="C1995" s="26"/>
      <c r="D1995" s="26"/>
      <c r="E1995" s="26"/>
      <c r="F1995" s="28" t="e">
        <f ca="1">_xludf.ifna(VLOOKUP(G1995,Proyectos!$A$2:$F$674,6,0),"")</f>
        <v>#NAME?</v>
      </c>
      <c r="G1995" s="26"/>
      <c r="H1995" s="32"/>
      <c r="I1995" s="32"/>
      <c r="J1995" s="32"/>
      <c r="K1995" s="32"/>
      <c r="L1995" s="32" t="e">
        <f ca="1">_xludf.ifna(VLOOKUP(E1995,Parámetros!$D$2:$E$34,2,0),"")</f>
        <v>#NAME?</v>
      </c>
      <c r="M1995" s="32" t="e">
        <f ca="1">_xludf.ifna(VLOOKUP(G1995,Proyectos!$A$2:$T$674,20,0),"")</f>
        <v>#NAME?</v>
      </c>
      <c r="N1995" s="32" t="e">
        <f ca="1">_xludf.ifna(VLOOKUP(G1995,Proyectos!$A$2:$S$674,19,0))</f>
        <v>#NAME?</v>
      </c>
      <c r="O1995" s="32"/>
      <c r="P1995" s="32"/>
      <c r="Q1995" s="33"/>
      <c r="R1995" s="33"/>
      <c r="S1995" s="33"/>
      <c r="T1995" s="63">
        <f t="shared" si="17"/>
        <v>0</v>
      </c>
      <c r="U1995" s="33"/>
      <c r="V1995" s="33"/>
      <c r="W1995" s="33"/>
    </row>
    <row r="1996" spans="1:23" ht="16.5" customHeight="1" x14ac:dyDescent="0.2">
      <c r="A1996" s="26"/>
      <c r="B1996" s="26"/>
      <c r="C1996" s="26"/>
      <c r="D1996" s="26"/>
      <c r="E1996" s="26"/>
      <c r="F1996" s="28" t="e">
        <f ca="1">_xludf.ifna(VLOOKUP(G1996,Proyectos!$A$2:$F$674,6,0),"")</f>
        <v>#NAME?</v>
      </c>
      <c r="G1996" s="26"/>
      <c r="H1996" s="32"/>
      <c r="I1996" s="32"/>
      <c r="J1996" s="32"/>
      <c r="K1996" s="32"/>
      <c r="L1996" s="32" t="e">
        <f ca="1">_xludf.ifna(VLOOKUP(E1996,Parámetros!$D$2:$E$34,2,0),"")</f>
        <v>#NAME?</v>
      </c>
      <c r="M1996" s="32" t="e">
        <f ca="1">_xludf.ifna(VLOOKUP(G1996,Proyectos!$A$2:$T$674,20,0),"")</f>
        <v>#NAME?</v>
      </c>
      <c r="N1996" s="32" t="e">
        <f ca="1">_xludf.ifna(VLOOKUP(G1996,Proyectos!$A$2:$S$674,19,0))</f>
        <v>#NAME?</v>
      </c>
      <c r="O1996" s="32"/>
      <c r="P1996" s="32"/>
      <c r="Q1996" s="33"/>
      <c r="R1996" s="33"/>
      <c r="S1996" s="33"/>
      <c r="T1996" s="63">
        <f t="shared" si="17"/>
        <v>0</v>
      </c>
      <c r="U1996" s="33"/>
      <c r="V1996" s="33"/>
      <c r="W1996" s="33"/>
    </row>
    <row r="1997" spans="1:23" ht="16.5" customHeight="1" x14ac:dyDescent="0.2">
      <c r="A1997" s="26"/>
      <c r="B1997" s="26"/>
      <c r="C1997" s="26"/>
      <c r="D1997" s="26"/>
      <c r="E1997" s="26"/>
      <c r="F1997" s="28" t="e">
        <f ca="1">_xludf.ifna(VLOOKUP(G1997,Proyectos!$A$2:$F$674,6,0),"")</f>
        <v>#NAME?</v>
      </c>
      <c r="G1997" s="26"/>
      <c r="H1997" s="32"/>
      <c r="I1997" s="32"/>
      <c r="J1997" s="32"/>
      <c r="K1997" s="32"/>
      <c r="L1997" s="32" t="e">
        <f ca="1">_xludf.ifna(VLOOKUP(E1997,Parámetros!$D$2:$E$34,2,0),"")</f>
        <v>#NAME?</v>
      </c>
      <c r="M1997" s="32" t="e">
        <f ca="1">_xludf.ifna(VLOOKUP(G1997,Proyectos!$A$2:$T$674,20,0),"")</f>
        <v>#NAME?</v>
      </c>
      <c r="N1997" s="32" t="e">
        <f ca="1">_xludf.ifna(VLOOKUP(G1997,Proyectos!$A$2:$S$674,19,0))</f>
        <v>#NAME?</v>
      </c>
      <c r="O1997" s="32"/>
      <c r="P1997" s="32"/>
      <c r="Q1997" s="33"/>
      <c r="R1997" s="33"/>
      <c r="S1997" s="33"/>
      <c r="T1997" s="63">
        <f t="shared" si="17"/>
        <v>0</v>
      </c>
      <c r="U1997" s="33"/>
      <c r="V1997" s="33"/>
      <c r="W1997" s="33"/>
    </row>
    <row r="1998" spans="1:23" ht="16.5" customHeight="1" x14ac:dyDescent="0.2">
      <c r="A1998" s="26"/>
      <c r="B1998" s="26"/>
      <c r="C1998" s="26"/>
      <c r="D1998" s="26"/>
      <c r="E1998" s="26"/>
      <c r="F1998" s="28" t="e">
        <f ca="1">_xludf.ifna(VLOOKUP(G1998,Proyectos!$A$2:$F$674,6,0),"")</f>
        <v>#NAME?</v>
      </c>
      <c r="G1998" s="26"/>
      <c r="H1998" s="32"/>
      <c r="I1998" s="32"/>
      <c r="J1998" s="32"/>
      <c r="K1998" s="32"/>
      <c r="L1998" s="32" t="e">
        <f ca="1">_xludf.ifna(VLOOKUP(E1998,Parámetros!$D$2:$E$34,2,0),"")</f>
        <v>#NAME?</v>
      </c>
      <c r="M1998" s="32" t="e">
        <f ca="1">_xludf.ifna(VLOOKUP(G1998,Proyectos!$A$2:$T$674,20,0),"")</f>
        <v>#NAME?</v>
      </c>
      <c r="N1998" s="32" t="e">
        <f ca="1">_xludf.ifna(VLOOKUP(G1998,Proyectos!$A$2:$S$674,19,0))</f>
        <v>#NAME?</v>
      </c>
      <c r="O1998" s="32"/>
      <c r="P1998" s="32"/>
      <c r="Q1998" s="33"/>
      <c r="R1998" s="33"/>
      <c r="S1998" s="33"/>
      <c r="T1998" s="63">
        <f t="shared" si="17"/>
        <v>0</v>
      </c>
      <c r="U1998" s="33"/>
      <c r="V1998" s="33"/>
      <c r="W1998" s="33"/>
    </row>
    <row r="1999" spans="1:23" ht="16.5" customHeight="1" x14ac:dyDescent="0.2">
      <c r="A1999" s="26"/>
      <c r="B1999" s="26"/>
      <c r="C1999" s="26"/>
      <c r="D1999" s="26"/>
      <c r="E1999" s="26"/>
      <c r="F1999" s="28" t="e">
        <f ca="1">_xludf.ifna(VLOOKUP(G1999,Proyectos!$A$2:$F$674,6,0),"")</f>
        <v>#NAME?</v>
      </c>
      <c r="G1999" s="26"/>
      <c r="H1999" s="32"/>
      <c r="I1999" s="32"/>
      <c r="J1999" s="32"/>
      <c r="K1999" s="32"/>
      <c r="L1999" s="32" t="e">
        <f ca="1">_xludf.ifna(VLOOKUP(E1999,Parámetros!$D$2:$E$34,2,0),"")</f>
        <v>#NAME?</v>
      </c>
      <c r="M1999" s="32" t="e">
        <f ca="1">_xludf.ifna(VLOOKUP(G1999,Proyectos!$A$2:$T$674,20,0),"")</f>
        <v>#NAME?</v>
      </c>
      <c r="N1999" s="32" t="e">
        <f ca="1">_xludf.ifna(VLOOKUP(G1999,Proyectos!$A$2:$S$674,19,0))</f>
        <v>#NAME?</v>
      </c>
      <c r="O1999" s="32"/>
      <c r="P1999" s="32"/>
      <c r="Q1999" s="33"/>
      <c r="R1999" s="33"/>
      <c r="S1999" s="33"/>
      <c r="T1999" s="63">
        <f t="shared" si="17"/>
        <v>0</v>
      </c>
      <c r="U1999" s="33"/>
      <c r="V1999" s="33"/>
      <c r="W1999" s="33"/>
    </row>
    <row r="2000" spans="1:23" ht="16.5" customHeight="1" x14ac:dyDescent="0.2">
      <c r="A2000" s="26"/>
      <c r="B2000" s="26"/>
      <c r="C2000" s="26"/>
      <c r="D2000" s="26"/>
      <c r="E2000" s="26"/>
      <c r="F2000" s="28" t="e">
        <f ca="1">_xludf.ifna(VLOOKUP(G2000,Proyectos!$A$2:$F$674,6,0),"")</f>
        <v>#NAME?</v>
      </c>
      <c r="G2000" s="26"/>
      <c r="H2000" s="32"/>
      <c r="I2000" s="32"/>
      <c r="J2000" s="32"/>
      <c r="K2000" s="32"/>
      <c r="L2000" s="32" t="e">
        <f ca="1">_xludf.ifna(VLOOKUP(E2000,Parámetros!$D$2:$E$34,2,0),"")</f>
        <v>#NAME?</v>
      </c>
      <c r="M2000" s="32" t="e">
        <f ca="1">_xludf.ifna(VLOOKUP(G2000,Proyectos!$A$2:$T$674,20,0),"")</f>
        <v>#NAME?</v>
      </c>
      <c r="N2000" s="32" t="e">
        <f ca="1">_xludf.ifna(VLOOKUP(G2000,Proyectos!$A$2:$S$674,19,0))</f>
        <v>#NAME?</v>
      </c>
      <c r="O2000" s="32"/>
      <c r="P2000" s="32"/>
      <c r="Q2000" s="33"/>
      <c r="R2000" s="33"/>
      <c r="S2000" s="33"/>
      <c r="T2000" s="63">
        <f t="shared" si="17"/>
        <v>0</v>
      </c>
      <c r="U2000" s="33"/>
      <c r="V2000" s="33"/>
      <c r="W2000" s="33"/>
    </row>
    <row r="2001" spans="1:23" ht="16.5" customHeight="1" x14ac:dyDescent="0.2">
      <c r="A2001" s="26"/>
      <c r="B2001" s="26"/>
      <c r="C2001" s="26"/>
      <c r="D2001" s="26"/>
      <c r="E2001" s="26"/>
      <c r="F2001" s="28" t="e">
        <f ca="1">_xludf.ifna(VLOOKUP(G2001,Proyectos!$A$2:$F$674,6,0),"")</f>
        <v>#NAME?</v>
      </c>
      <c r="G2001" s="26"/>
      <c r="H2001" s="32"/>
      <c r="I2001" s="32"/>
      <c r="J2001" s="32"/>
      <c r="K2001" s="32"/>
      <c r="L2001" s="32" t="e">
        <f ca="1">_xludf.ifna(VLOOKUP(E2001,Parámetros!$D$2:$E$34,2,0),"")</f>
        <v>#NAME?</v>
      </c>
      <c r="M2001" s="32" t="e">
        <f ca="1">_xludf.ifna(VLOOKUP(G2001,Proyectos!$A$2:$T$674,20,0),"")</f>
        <v>#NAME?</v>
      </c>
      <c r="N2001" s="32" t="e">
        <f ca="1">_xludf.ifna(VLOOKUP(G2001,Proyectos!$A$2:$S$674,19,0))</f>
        <v>#NAME?</v>
      </c>
      <c r="O2001" s="32"/>
      <c r="P2001" s="32"/>
      <c r="Q2001" s="33"/>
      <c r="R2001" s="33"/>
      <c r="S2001" s="33"/>
      <c r="T2001" s="63">
        <f t="shared" si="17"/>
        <v>0</v>
      </c>
      <c r="U2001" s="33"/>
      <c r="V2001" s="33"/>
      <c r="W2001" s="33"/>
    </row>
    <row r="2002" spans="1:23" ht="16.5" customHeight="1" x14ac:dyDescent="0.2">
      <c r="A2002" s="26"/>
      <c r="B2002" s="26"/>
      <c r="C2002" s="26"/>
      <c r="D2002" s="26"/>
      <c r="E2002" s="26"/>
      <c r="F2002" s="28" t="e">
        <f ca="1">_xludf.ifna(VLOOKUP(G2002,Proyectos!$A$2:$F$674,6,0),"")</f>
        <v>#NAME?</v>
      </c>
      <c r="G2002" s="26"/>
      <c r="H2002" s="32"/>
      <c r="I2002" s="32"/>
      <c r="J2002" s="32"/>
      <c r="K2002" s="32"/>
      <c r="L2002" s="32" t="e">
        <f ca="1">_xludf.ifna(VLOOKUP(E2002,Parámetros!$D$2:$E$34,2,0),"")</f>
        <v>#NAME?</v>
      </c>
      <c r="M2002" s="32" t="e">
        <f ca="1">_xludf.ifna(VLOOKUP(G2002,Proyectos!$A$2:$T$674,20,0),"")</f>
        <v>#NAME?</v>
      </c>
      <c r="N2002" s="32" t="e">
        <f ca="1">_xludf.ifna(VLOOKUP(G2002,Proyectos!$A$2:$S$674,19,0))</f>
        <v>#NAME?</v>
      </c>
      <c r="O2002" s="32"/>
      <c r="P2002" s="32"/>
      <c r="Q2002" s="33"/>
      <c r="R2002" s="33"/>
      <c r="S2002" s="33"/>
      <c r="T2002" s="63">
        <f t="shared" si="17"/>
        <v>0</v>
      </c>
      <c r="U2002" s="33"/>
      <c r="V2002" s="33"/>
      <c r="W2002" s="33"/>
    </row>
    <row r="2003" spans="1:23" ht="16.5" customHeight="1" x14ac:dyDescent="0.2">
      <c r="A2003" s="26"/>
      <c r="B2003" s="26"/>
      <c r="C2003" s="26"/>
      <c r="D2003" s="26"/>
      <c r="E2003" s="26"/>
      <c r="F2003" s="28" t="e">
        <f ca="1">_xludf.ifna(VLOOKUP(G2003,Proyectos!$A$2:$F$674,6,0),"")</f>
        <v>#NAME?</v>
      </c>
      <c r="G2003" s="26"/>
      <c r="H2003" s="32"/>
      <c r="I2003" s="32"/>
      <c r="J2003" s="32"/>
      <c r="K2003" s="32"/>
      <c r="L2003" s="32" t="e">
        <f ca="1">_xludf.ifna(VLOOKUP(E2003,Parámetros!$D$2:$E$34,2,0),"")</f>
        <v>#NAME?</v>
      </c>
      <c r="M2003" s="32" t="e">
        <f ca="1">_xludf.ifna(VLOOKUP(G2003,Proyectos!$A$2:$T$674,20,0),"")</f>
        <v>#NAME?</v>
      </c>
      <c r="N2003" s="32" t="e">
        <f ca="1">_xludf.ifna(VLOOKUP(G2003,Proyectos!$A$2:$S$674,19,0))</f>
        <v>#NAME?</v>
      </c>
      <c r="O2003" s="32"/>
      <c r="P2003" s="32"/>
      <c r="Q2003" s="33"/>
      <c r="R2003" s="33"/>
      <c r="S2003" s="33"/>
      <c r="T2003" s="63">
        <f t="shared" si="17"/>
        <v>0</v>
      </c>
      <c r="U2003" s="33"/>
      <c r="V2003" s="33"/>
      <c r="W2003" s="33"/>
    </row>
    <row r="2004" spans="1:23" ht="16.5" customHeight="1" x14ac:dyDescent="0.2">
      <c r="A2004" s="26"/>
      <c r="B2004" s="26"/>
      <c r="C2004" s="26"/>
      <c r="D2004" s="26"/>
      <c r="E2004" s="26"/>
      <c r="F2004" s="28" t="e">
        <f ca="1">_xludf.ifna(VLOOKUP(G2004,Proyectos!$A$2:$F$674,6,0),"")</f>
        <v>#NAME?</v>
      </c>
      <c r="G2004" s="26"/>
      <c r="H2004" s="32"/>
      <c r="I2004" s="32"/>
      <c r="J2004" s="32"/>
      <c r="K2004" s="32"/>
      <c r="L2004" s="32" t="e">
        <f ca="1">_xludf.ifna(VLOOKUP(E2004,Parámetros!$D$2:$E$34,2,0),"")</f>
        <v>#NAME?</v>
      </c>
      <c r="M2004" s="32" t="e">
        <f ca="1">_xludf.ifna(VLOOKUP(G2004,Proyectos!$A$2:$T$674,20,0),"")</f>
        <v>#NAME?</v>
      </c>
      <c r="N2004" s="32" t="e">
        <f ca="1">_xludf.ifna(VLOOKUP(G2004,Proyectos!$A$2:$S$674,19,0))</f>
        <v>#NAME?</v>
      </c>
      <c r="O2004" s="32"/>
      <c r="P2004" s="32"/>
      <c r="Q2004" s="33"/>
      <c r="R2004" s="33"/>
      <c r="S2004" s="33"/>
      <c r="T2004" s="63">
        <f t="shared" si="17"/>
        <v>0</v>
      </c>
      <c r="U2004" s="33"/>
      <c r="V2004" s="33"/>
      <c r="W2004" s="33"/>
    </row>
    <row r="2005" spans="1:23" ht="16.5" customHeight="1" x14ac:dyDescent="0.2">
      <c r="A2005" s="26"/>
      <c r="B2005" s="26"/>
      <c r="C2005" s="26"/>
      <c r="D2005" s="26"/>
      <c r="E2005" s="26"/>
      <c r="F2005" s="28" t="e">
        <f ca="1">_xludf.ifna(VLOOKUP(G2005,Proyectos!$A$2:$F$674,6,0),"")</f>
        <v>#NAME?</v>
      </c>
      <c r="G2005" s="26"/>
      <c r="H2005" s="32"/>
      <c r="I2005" s="32"/>
      <c r="J2005" s="32"/>
      <c r="K2005" s="32"/>
      <c r="L2005" s="32" t="e">
        <f ca="1">_xludf.ifna(VLOOKUP(E2005,Parámetros!$D$2:$E$34,2,0),"")</f>
        <v>#NAME?</v>
      </c>
      <c r="M2005" s="32" t="e">
        <f ca="1">_xludf.ifna(VLOOKUP(G2005,Proyectos!$A$2:$T$674,20,0),"")</f>
        <v>#NAME?</v>
      </c>
      <c r="N2005" s="32" t="e">
        <f ca="1">_xludf.ifna(VLOOKUP(G2005,Proyectos!$A$2:$S$674,19,0))</f>
        <v>#NAME?</v>
      </c>
      <c r="O2005" s="32"/>
      <c r="P2005" s="32"/>
      <c r="Q2005" s="33"/>
      <c r="R2005" s="33"/>
      <c r="S2005" s="33"/>
      <c r="T2005" s="63">
        <f t="shared" si="17"/>
        <v>0</v>
      </c>
      <c r="U2005" s="33"/>
      <c r="V2005" s="33"/>
      <c r="W2005" s="33"/>
    </row>
    <row r="2006" spans="1:23" ht="16.5" customHeight="1" x14ac:dyDescent="0.2">
      <c r="A2006" s="26"/>
      <c r="B2006" s="26"/>
      <c r="C2006" s="26"/>
      <c r="D2006" s="26"/>
      <c r="E2006" s="26"/>
      <c r="F2006" s="28" t="e">
        <f ca="1">_xludf.ifna(VLOOKUP(G2006,Proyectos!$A$2:$F$674,6,0),"")</f>
        <v>#NAME?</v>
      </c>
      <c r="G2006" s="26"/>
      <c r="H2006" s="32"/>
      <c r="I2006" s="32"/>
      <c r="J2006" s="32"/>
      <c r="K2006" s="32"/>
      <c r="L2006" s="32" t="e">
        <f ca="1">_xludf.ifna(VLOOKUP(E2006,Parámetros!$D$2:$E$34,2,0),"")</f>
        <v>#NAME?</v>
      </c>
      <c r="M2006" s="32" t="e">
        <f ca="1">_xludf.ifna(VLOOKUP(G2006,Proyectos!$A$2:$T$674,20,0),"")</f>
        <v>#NAME?</v>
      </c>
      <c r="N2006" s="32" t="e">
        <f ca="1">_xludf.ifna(VLOOKUP(G2006,Proyectos!$A$2:$S$674,19,0))</f>
        <v>#NAME?</v>
      </c>
      <c r="O2006" s="32"/>
      <c r="P2006" s="32"/>
      <c r="Q2006" s="33"/>
      <c r="R2006" s="33"/>
      <c r="S2006" s="33"/>
      <c r="T2006" s="63">
        <f t="shared" si="17"/>
        <v>0</v>
      </c>
      <c r="U2006" s="33"/>
      <c r="V2006" s="33"/>
      <c r="W2006" s="33"/>
    </row>
    <row r="2007" spans="1:23" ht="16.5" customHeight="1" x14ac:dyDescent="0.2">
      <c r="A2007" s="26"/>
      <c r="B2007" s="26"/>
      <c r="C2007" s="26"/>
      <c r="D2007" s="26"/>
      <c r="E2007" s="26"/>
      <c r="F2007" s="28" t="e">
        <f ca="1">_xludf.ifna(VLOOKUP(G2007,Proyectos!$A$2:$F$674,6,0),"")</f>
        <v>#NAME?</v>
      </c>
      <c r="G2007" s="26"/>
      <c r="H2007" s="32"/>
      <c r="I2007" s="32"/>
      <c r="J2007" s="32"/>
      <c r="K2007" s="32"/>
      <c r="L2007" s="32" t="e">
        <f ca="1">_xludf.ifna(VLOOKUP(E2007,Parámetros!$D$2:$E$34,2,0),"")</f>
        <v>#NAME?</v>
      </c>
      <c r="M2007" s="32" t="e">
        <f ca="1">_xludf.ifna(VLOOKUP(G2007,Proyectos!$A$2:$T$674,20,0),"")</f>
        <v>#NAME?</v>
      </c>
      <c r="N2007" s="32" t="e">
        <f ca="1">_xludf.ifna(VLOOKUP(G2007,Proyectos!$A$2:$S$674,19,0))</f>
        <v>#NAME?</v>
      </c>
      <c r="O2007" s="32"/>
      <c r="P2007" s="32"/>
      <c r="Q2007" s="33"/>
      <c r="R2007" s="33"/>
      <c r="S2007" s="33"/>
      <c r="T2007" s="63">
        <f t="shared" si="17"/>
        <v>0</v>
      </c>
      <c r="U2007" s="33"/>
      <c r="V2007" s="33"/>
      <c r="W2007" s="33"/>
    </row>
    <row r="2008" spans="1:23" ht="16.5" customHeight="1" x14ac:dyDescent="0.2">
      <c r="A2008" s="26"/>
      <c r="B2008" s="26"/>
      <c r="C2008" s="26"/>
      <c r="D2008" s="26"/>
      <c r="E2008" s="26"/>
      <c r="F2008" s="28" t="e">
        <f ca="1">_xludf.ifna(VLOOKUP(G2008,Proyectos!$A$2:$F$674,6,0),"")</f>
        <v>#NAME?</v>
      </c>
      <c r="G2008" s="26"/>
      <c r="H2008" s="32"/>
      <c r="I2008" s="32"/>
      <c r="J2008" s="32"/>
      <c r="K2008" s="32"/>
      <c r="L2008" s="32" t="e">
        <f ca="1">_xludf.ifna(VLOOKUP(E2008,Parámetros!$D$2:$E$34,2,0),"")</f>
        <v>#NAME?</v>
      </c>
      <c r="M2008" s="32" t="e">
        <f ca="1">_xludf.ifna(VLOOKUP(G2008,Proyectos!$A$2:$T$674,20,0),"")</f>
        <v>#NAME?</v>
      </c>
      <c r="N2008" s="32" t="e">
        <f ca="1">_xludf.ifna(VLOOKUP(G2008,Proyectos!$A$2:$S$674,19,0))</f>
        <v>#NAME?</v>
      </c>
      <c r="O2008" s="32"/>
      <c r="P2008" s="32"/>
      <c r="Q2008" s="33"/>
      <c r="R2008" s="33"/>
      <c r="S2008" s="33"/>
      <c r="T2008" s="63">
        <f t="shared" si="17"/>
        <v>0</v>
      </c>
      <c r="U2008" s="33"/>
      <c r="V2008" s="33"/>
      <c r="W2008" s="33"/>
    </row>
    <row r="2009" spans="1:23" ht="16.5" customHeight="1" x14ac:dyDescent="0.2">
      <c r="A2009" s="26"/>
      <c r="B2009" s="26"/>
      <c r="C2009" s="26"/>
      <c r="D2009" s="26"/>
      <c r="E2009" s="26"/>
      <c r="F2009" s="28" t="e">
        <f ca="1">_xludf.ifna(VLOOKUP(G2009,Proyectos!$A$2:$F$674,6,0),"")</f>
        <v>#NAME?</v>
      </c>
      <c r="G2009" s="26"/>
      <c r="H2009" s="32"/>
      <c r="I2009" s="32"/>
      <c r="J2009" s="32"/>
      <c r="K2009" s="32"/>
      <c r="L2009" s="32" t="e">
        <f ca="1">_xludf.ifna(VLOOKUP(E2009,Parámetros!$D$2:$E$34,2,0),"")</f>
        <v>#NAME?</v>
      </c>
      <c r="M2009" s="32" t="e">
        <f ca="1">_xludf.ifna(VLOOKUP(G2009,Proyectos!$A$2:$T$674,20,0),"")</f>
        <v>#NAME?</v>
      </c>
      <c r="N2009" s="32" t="e">
        <f ca="1">_xludf.ifna(VLOOKUP(G2009,Proyectos!$A$2:$S$674,19,0))</f>
        <v>#NAME?</v>
      </c>
      <c r="O2009" s="32"/>
      <c r="P2009" s="32"/>
      <c r="Q2009" s="33"/>
      <c r="R2009" s="33"/>
      <c r="S2009" s="33"/>
      <c r="T2009" s="63">
        <f t="shared" si="17"/>
        <v>0</v>
      </c>
      <c r="U2009" s="33"/>
      <c r="V2009" s="33"/>
      <c r="W2009" s="33"/>
    </row>
    <row r="2010" spans="1:23" ht="16.5" customHeight="1" x14ac:dyDescent="0.2">
      <c r="A2010" s="26"/>
      <c r="B2010" s="26"/>
      <c r="C2010" s="26"/>
      <c r="D2010" s="26"/>
      <c r="E2010" s="26"/>
      <c r="F2010" s="28" t="e">
        <f ca="1">_xludf.ifna(VLOOKUP(G2010,Proyectos!$A$2:$F$674,6,0),"")</f>
        <v>#NAME?</v>
      </c>
      <c r="G2010" s="26"/>
      <c r="H2010" s="32"/>
      <c r="I2010" s="32"/>
      <c r="J2010" s="32"/>
      <c r="K2010" s="32"/>
      <c r="L2010" s="32" t="e">
        <f ca="1">_xludf.ifna(VLOOKUP(E2010,Parámetros!$D$2:$E$34,2,0),"")</f>
        <v>#NAME?</v>
      </c>
      <c r="M2010" s="32" t="e">
        <f ca="1">_xludf.ifna(VLOOKUP(G2010,Proyectos!$A$2:$T$674,20,0),"")</f>
        <v>#NAME?</v>
      </c>
      <c r="N2010" s="32" t="e">
        <f ca="1">_xludf.ifna(VLOOKUP(G2010,Proyectos!$A$2:$S$674,19,0))</f>
        <v>#NAME?</v>
      </c>
      <c r="O2010" s="32"/>
      <c r="P2010" s="32"/>
      <c r="Q2010" s="33"/>
      <c r="R2010" s="33"/>
      <c r="S2010" s="33"/>
      <c r="T2010" s="63">
        <f t="shared" si="17"/>
        <v>0</v>
      </c>
      <c r="U2010" s="33"/>
      <c r="V2010" s="33"/>
      <c r="W2010" s="33"/>
    </row>
    <row r="2011" spans="1:23" ht="16.5" customHeight="1" x14ac:dyDescent="0.2">
      <c r="A2011" s="26"/>
      <c r="B2011" s="26"/>
      <c r="C2011" s="26"/>
      <c r="D2011" s="26"/>
      <c r="E2011" s="26"/>
      <c r="F2011" s="28" t="e">
        <f ca="1">_xludf.ifna(VLOOKUP(G2011,Proyectos!$A$2:$F$674,6,0),"")</f>
        <v>#NAME?</v>
      </c>
      <c r="G2011" s="26"/>
      <c r="H2011" s="32"/>
      <c r="I2011" s="32"/>
      <c r="J2011" s="32"/>
      <c r="K2011" s="32"/>
      <c r="L2011" s="32" t="e">
        <f ca="1">_xludf.ifna(VLOOKUP(E2011,Parámetros!$D$2:$E$34,2,0),"")</f>
        <v>#NAME?</v>
      </c>
      <c r="M2011" s="32" t="e">
        <f ca="1">_xludf.ifna(VLOOKUP(G2011,Proyectos!$A$2:$T$674,20,0),"")</f>
        <v>#NAME?</v>
      </c>
      <c r="N2011" s="32" t="e">
        <f ca="1">_xludf.ifna(VLOOKUP(G2011,Proyectos!$A$2:$S$674,19,0))</f>
        <v>#NAME?</v>
      </c>
      <c r="O2011" s="32"/>
      <c r="P2011" s="32"/>
      <c r="Q2011" s="33"/>
      <c r="R2011" s="33"/>
      <c r="S2011" s="33"/>
      <c r="T2011" s="63">
        <f t="shared" si="17"/>
        <v>0</v>
      </c>
      <c r="U2011" s="33"/>
      <c r="V2011" s="33"/>
      <c r="W2011" s="33"/>
    </row>
    <row r="2012" spans="1:23" ht="16.5" customHeight="1" x14ac:dyDescent="0.2">
      <c r="A2012" s="26"/>
      <c r="B2012" s="26"/>
      <c r="C2012" s="26"/>
      <c r="D2012" s="26"/>
      <c r="E2012" s="26"/>
      <c r="F2012" s="28" t="e">
        <f ca="1">_xludf.ifna(VLOOKUP(G2012,Proyectos!$A$2:$F$674,6,0),"")</f>
        <v>#NAME?</v>
      </c>
      <c r="G2012" s="26"/>
      <c r="H2012" s="32"/>
      <c r="I2012" s="32"/>
      <c r="J2012" s="32"/>
      <c r="K2012" s="32"/>
      <c r="L2012" s="32" t="e">
        <f ca="1">_xludf.ifna(VLOOKUP(E2012,Parámetros!$D$2:$E$34,2,0),"")</f>
        <v>#NAME?</v>
      </c>
      <c r="M2012" s="32" t="e">
        <f ca="1">_xludf.ifna(VLOOKUP(G2012,Proyectos!$A$2:$T$674,20,0),"")</f>
        <v>#NAME?</v>
      </c>
      <c r="N2012" s="32" t="e">
        <f ca="1">_xludf.ifna(VLOOKUP(G2012,Proyectos!$A$2:$S$674,19,0))</f>
        <v>#NAME?</v>
      </c>
      <c r="O2012" s="32"/>
      <c r="P2012" s="32"/>
      <c r="Q2012" s="33"/>
      <c r="R2012" s="33"/>
      <c r="S2012" s="33"/>
      <c r="T2012" s="63">
        <f t="shared" si="17"/>
        <v>0</v>
      </c>
      <c r="U2012" s="33"/>
      <c r="V2012" s="33"/>
      <c r="W2012" s="33"/>
    </row>
    <row r="2013" spans="1:23" ht="16.5" customHeight="1" x14ac:dyDescent="0.2">
      <c r="A2013" s="26"/>
      <c r="B2013" s="26"/>
      <c r="C2013" s="26"/>
      <c r="D2013" s="26"/>
      <c r="E2013" s="26"/>
      <c r="F2013" s="28" t="e">
        <f ca="1">_xludf.ifna(VLOOKUP(G2013,Proyectos!$A$2:$F$674,6,0),"")</f>
        <v>#NAME?</v>
      </c>
      <c r="G2013" s="26"/>
      <c r="H2013" s="32"/>
      <c r="I2013" s="32"/>
      <c r="J2013" s="32"/>
      <c r="K2013" s="32"/>
      <c r="L2013" s="32" t="e">
        <f ca="1">_xludf.ifna(VLOOKUP(E2013,Parámetros!$D$2:$E$34,2,0),"")</f>
        <v>#NAME?</v>
      </c>
      <c r="M2013" s="32" t="e">
        <f ca="1">_xludf.ifna(VLOOKUP(G2013,Proyectos!$A$2:$T$674,20,0),"")</f>
        <v>#NAME?</v>
      </c>
      <c r="N2013" s="32" t="e">
        <f ca="1">_xludf.ifna(VLOOKUP(G2013,Proyectos!$A$2:$S$674,19,0))</f>
        <v>#NAME?</v>
      </c>
      <c r="O2013" s="32"/>
      <c r="P2013" s="32"/>
      <c r="Q2013" s="33"/>
      <c r="R2013" s="33"/>
      <c r="S2013" s="33"/>
      <c r="T2013" s="63">
        <f t="shared" si="17"/>
        <v>0</v>
      </c>
      <c r="U2013" s="33"/>
      <c r="V2013" s="33"/>
      <c r="W2013" s="33"/>
    </row>
    <row r="2014" spans="1:23" ht="16.5" customHeight="1" x14ac:dyDescent="0.2">
      <c r="A2014" s="26"/>
      <c r="B2014" s="26"/>
      <c r="C2014" s="26"/>
      <c r="D2014" s="26"/>
      <c r="E2014" s="26"/>
      <c r="F2014" s="28" t="e">
        <f ca="1">_xludf.ifna(VLOOKUP(G2014,Proyectos!$A$2:$F$674,6,0),"")</f>
        <v>#NAME?</v>
      </c>
      <c r="G2014" s="26"/>
      <c r="H2014" s="32"/>
      <c r="I2014" s="32"/>
      <c r="J2014" s="32"/>
      <c r="K2014" s="32"/>
      <c r="L2014" s="32" t="e">
        <f ca="1">_xludf.ifna(VLOOKUP(E2014,Parámetros!$D$2:$E$34,2,0),"")</f>
        <v>#NAME?</v>
      </c>
      <c r="M2014" s="32" t="e">
        <f ca="1">_xludf.ifna(VLOOKUP(G2014,Proyectos!$A$2:$T$674,20,0),"")</f>
        <v>#NAME?</v>
      </c>
      <c r="N2014" s="32" t="e">
        <f ca="1">_xludf.ifna(VLOOKUP(G2014,Proyectos!$A$2:$S$674,19,0))</f>
        <v>#NAME?</v>
      </c>
      <c r="O2014" s="32"/>
      <c r="P2014" s="32"/>
      <c r="Q2014" s="33"/>
      <c r="R2014" s="33"/>
      <c r="S2014" s="33"/>
      <c r="T2014" s="63">
        <f t="shared" si="17"/>
        <v>0</v>
      </c>
      <c r="U2014" s="33"/>
      <c r="V2014" s="33"/>
      <c r="W2014" s="33"/>
    </row>
    <row r="2015" spans="1:23" ht="16.5" customHeight="1" x14ac:dyDescent="0.2">
      <c r="A2015" s="26"/>
      <c r="B2015" s="26"/>
      <c r="C2015" s="26"/>
      <c r="D2015" s="26"/>
      <c r="E2015" s="26"/>
      <c r="F2015" s="28" t="e">
        <f ca="1">_xludf.ifna(VLOOKUP(G2015,Proyectos!$A$2:$F$674,6,0),"")</f>
        <v>#NAME?</v>
      </c>
      <c r="G2015" s="26"/>
      <c r="H2015" s="32"/>
      <c r="I2015" s="32"/>
      <c r="J2015" s="32"/>
      <c r="K2015" s="32"/>
      <c r="L2015" s="32" t="e">
        <f ca="1">_xludf.ifna(VLOOKUP(E2015,Parámetros!$D$2:$E$34,2,0),"")</f>
        <v>#NAME?</v>
      </c>
      <c r="M2015" s="32" t="e">
        <f ca="1">_xludf.ifna(VLOOKUP(G2015,Proyectos!$A$2:$T$674,20,0),"")</f>
        <v>#NAME?</v>
      </c>
      <c r="N2015" s="32" t="e">
        <f ca="1">_xludf.ifna(VLOOKUP(G2015,Proyectos!$A$2:$S$674,19,0))</f>
        <v>#NAME?</v>
      </c>
      <c r="O2015" s="32"/>
      <c r="P2015" s="32"/>
      <c r="Q2015" s="33"/>
      <c r="R2015" s="33"/>
      <c r="S2015" s="33"/>
      <c r="T2015" s="63">
        <f t="shared" si="17"/>
        <v>0</v>
      </c>
      <c r="U2015" s="33"/>
      <c r="V2015" s="33"/>
      <c r="W2015" s="33"/>
    </row>
    <row r="2016" spans="1:23" ht="16.5" customHeight="1" x14ac:dyDescent="0.2">
      <c r="A2016" s="26"/>
      <c r="B2016" s="26"/>
      <c r="C2016" s="26"/>
      <c r="D2016" s="26"/>
      <c r="E2016" s="26"/>
      <c r="F2016" s="28" t="e">
        <f ca="1">_xludf.ifna(VLOOKUP(G2016,Proyectos!$A$2:$F$674,6,0),"")</f>
        <v>#NAME?</v>
      </c>
      <c r="G2016" s="26"/>
      <c r="H2016" s="32"/>
      <c r="I2016" s="32"/>
      <c r="J2016" s="32"/>
      <c r="K2016" s="32"/>
      <c r="L2016" s="32" t="e">
        <f ca="1">_xludf.ifna(VLOOKUP(E2016,Parámetros!$D$2:$E$34,2,0),"")</f>
        <v>#NAME?</v>
      </c>
      <c r="M2016" s="32" t="e">
        <f ca="1">_xludf.ifna(VLOOKUP(G2016,Proyectos!$A$2:$T$674,20,0),"")</f>
        <v>#NAME?</v>
      </c>
      <c r="N2016" s="32" t="e">
        <f ca="1">_xludf.ifna(VLOOKUP(G2016,Proyectos!$A$2:$S$674,19,0))</f>
        <v>#NAME?</v>
      </c>
      <c r="O2016" s="32"/>
      <c r="P2016" s="32"/>
      <c r="Q2016" s="33"/>
      <c r="R2016" s="33"/>
      <c r="S2016" s="33"/>
      <c r="T2016" s="63">
        <f t="shared" si="17"/>
        <v>0</v>
      </c>
      <c r="U2016" s="33"/>
      <c r="V2016" s="33"/>
      <c r="W2016" s="33"/>
    </row>
    <row r="2017" spans="1:23" ht="16.5" customHeight="1" x14ac:dyDescent="0.2">
      <c r="A2017" s="26"/>
      <c r="B2017" s="26"/>
      <c r="C2017" s="26"/>
      <c r="D2017" s="26"/>
      <c r="E2017" s="26"/>
      <c r="F2017" s="28" t="e">
        <f ca="1">_xludf.ifna(VLOOKUP(G2017,Proyectos!$A$2:$F$674,6,0),"")</f>
        <v>#NAME?</v>
      </c>
      <c r="G2017" s="26"/>
      <c r="H2017" s="32"/>
      <c r="I2017" s="32"/>
      <c r="J2017" s="32"/>
      <c r="K2017" s="32"/>
      <c r="L2017" s="32" t="e">
        <f ca="1">_xludf.ifna(VLOOKUP(E2017,Parámetros!$D$2:$E$34,2,0),"")</f>
        <v>#NAME?</v>
      </c>
      <c r="M2017" s="32" t="e">
        <f ca="1">_xludf.ifna(VLOOKUP(G2017,Proyectos!$A$2:$T$674,20,0),"")</f>
        <v>#NAME?</v>
      </c>
      <c r="N2017" s="32" t="e">
        <f ca="1">_xludf.ifna(VLOOKUP(G2017,Proyectos!$A$2:$S$674,19,0))</f>
        <v>#NAME?</v>
      </c>
      <c r="O2017" s="32"/>
      <c r="P2017" s="32"/>
      <c r="Q2017" s="33"/>
      <c r="R2017" s="33"/>
      <c r="S2017" s="33"/>
      <c r="T2017" s="63">
        <f t="shared" si="17"/>
        <v>0</v>
      </c>
      <c r="U2017" s="33"/>
      <c r="V2017" s="33"/>
      <c r="W2017" s="33"/>
    </row>
    <row r="2018" spans="1:23" ht="16.5" customHeight="1" x14ac:dyDescent="0.2">
      <c r="A2018" s="26"/>
      <c r="B2018" s="26"/>
      <c r="C2018" s="26"/>
      <c r="D2018" s="26"/>
      <c r="E2018" s="26"/>
      <c r="F2018" s="28" t="e">
        <f ca="1">_xludf.ifna(VLOOKUP(G2018,Proyectos!$A$2:$F$674,6,0),"")</f>
        <v>#NAME?</v>
      </c>
      <c r="G2018" s="26"/>
      <c r="H2018" s="32"/>
      <c r="I2018" s="32"/>
      <c r="J2018" s="32"/>
      <c r="K2018" s="32"/>
      <c r="L2018" s="32" t="e">
        <f ca="1">_xludf.ifna(VLOOKUP(E2018,Parámetros!$D$2:$E$34,2,0),"")</f>
        <v>#NAME?</v>
      </c>
      <c r="M2018" s="32" t="e">
        <f ca="1">_xludf.ifna(VLOOKUP(G2018,Proyectos!$A$2:$T$674,20,0),"")</f>
        <v>#NAME?</v>
      </c>
      <c r="N2018" s="32" t="e">
        <f ca="1">_xludf.ifna(VLOOKUP(G2018,Proyectos!$A$2:$S$674,19,0))</f>
        <v>#NAME?</v>
      </c>
      <c r="O2018" s="32"/>
      <c r="P2018" s="32"/>
      <c r="Q2018" s="33"/>
      <c r="R2018" s="33"/>
      <c r="S2018" s="33"/>
      <c r="T2018" s="63">
        <f t="shared" si="17"/>
        <v>0</v>
      </c>
      <c r="U2018" s="33"/>
      <c r="V2018" s="33"/>
      <c r="W2018" s="33"/>
    </row>
    <row r="2019" spans="1:23" ht="16.5" customHeight="1" x14ac:dyDescent="0.2">
      <c r="A2019" s="26"/>
      <c r="B2019" s="26"/>
      <c r="C2019" s="26"/>
      <c r="D2019" s="26"/>
      <c r="E2019" s="26"/>
      <c r="F2019" s="28" t="e">
        <f ca="1">_xludf.ifna(VLOOKUP(G2019,Proyectos!$A$2:$F$674,6,0),"")</f>
        <v>#NAME?</v>
      </c>
      <c r="G2019" s="26"/>
      <c r="H2019" s="32"/>
      <c r="I2019" s="32"/>
      <c r="J2019" s="32"/>
      <c r="K2019" s="32"/>
      <c r="L2019" s="32" t="e">
        <f ca="1">_xludf.ifna(VLOOKUP(E2019,Parámetros!$D$2:$E$34,2,0),"")</f>
        <v>#NAME?</v>
      </c>
      <c r="M2019" s="32" t="e">
        <f ca="1">_xludf.ifna(VLOOKUP(G2019,Proyectos!$A$2:$T$674,20,0),"")</f>
        <v>#NAME?</v>
      </c>
      <c r="N2019" s="32" t="e">
        <f ca="1">_xludf.ifna(VLOOKUP(G2019,Proyectos!$A$2:$S$674,19,0))</f>
        <v>#NAME?</v>
      </c>
      <c r="O2019" s="32"/>
      <c r="P2019" s="32"/>
      <c r="Q2019" s="33"/>
      <c r="R2019" s="33"/>
      <c r="S2019" s="33"/>
      <c r="T2019" s="63">
        <f t="shared" si="17"/>
        <v>0</v>
      </c>
      <c r="U2019" s="33"/>
      <c r="V2019" s="33"/>
      <c r="W2019" s="33"/>
    </row>
    <row r="2020" spans="1:23" ht="16.5" customHeight="1" x14ac:dyDescent="0.2">
      <c r="A2020" s="26"/>
      <c r="B2020" s="26"/>
      <c r="C2020" s="26"/>
      <c r="D2020" s="26"/>
      <c r="E2020" s="26"/>
      <c r="F2020" s="28" t="e">
        <f ca="1">_xludf.ifna(VLOOKUP(G2020,Proyectos!$A$2:$F$674,6,0),"")</f>
        <v>#NAME?</v>
      </c>
      <c r="G2020" s="26"/>
      <c r="H2020" s="32"/>
      <c r="I2020" s="32"/>
      <c r="J2020" s="32"/>
      <c r="K2020" s="32"/>
      <c r="L2020" s="32" t="e">
        <f ca="1">_xludf.ifna(VLOOKUP(E2020,Parámetros!$D$2:$E$34,2,0),"")</f>
        <v>#NAME?</v>
      </c>
      <c r="M2020" s="32" t="e">
        <f ca="1">_xludf.ifna(VLOOKUP(G2020,Proyectos!$A$2:$T$674,20,0),"")</f>
        <v>#NAME?</v>
      </c>
      <c r="N2020" s="32" t="e">
        <f ca="1">_xludf.ifna(VLOOKUP(G2020,Proyectos!$A$2:$S$674,19,0))</f>
        <v>#NAME?</v>
      </c>
      <c r="O2020" s="32"/>
      <c r="P2020" s="32"/>
      <c r="Q2020" s="33"/>
      <c r="R2020" s="33"/>
      <c r="S2020" s="33"/>
      <c r="T2020" s="63">
        <f t="shared" si="17"/>
        <v>0</v>
      </c>
      <c r="U2020" s="33"/>
      <c r="V2020" s="33"/>
      <c r="W2020" s="33"/>
    </row>
    <row r="2021" spans="1:23" ht="16.5" customHeight="1" x14ac:dyDescent="0.2">
      <c r="A2021" s="26"/>
      <c r="B2021" s="26"/>
      <c r="C2021" s="26"/>
      <c r="D2021" s="26"/>
      <c r="E2021" s="26"/>
      <c r="F2021" s="28" t="e">
        <f ca="1">_xludf.ifna(VLOOKUP(G2021,Proyectos!$A$2:$F$674,6,0),"")</f>
        <v>#NAME?</v>
      </c>
      <c r="G2021" s="26"/>
      <c r="H2021" s="32"/>
      <c r="I2021" s="32"/>
      <c r="J2021" s="32"/>
      <c r="K2021" s="32"/>
      <c r="L2021" s="32" t="e">
        <f ca="1">_xludf.ifna(VLOOKUP(E2021,Parámetros!$D$2:$E$34,2,0),"")</f>
        <v>#NAME?</v>
      </c>
      <c r="M2021" s="32" t="e">
        <f ca="1">_xludf.ifna(VLOOKUP(G2021,Proyectos!$A$2:$T$674,20,0),"")</f>
        <v>#NAME?</v>
      </c>
      <c r="N2021" s="32" t="e">
        <f ca="1">_xludf.ifna(VLOOKUP(G2021,Proyectos!$A$2:$S$674,19,0))</f>
        <v>#NAME?</v>
      </c>
      <c r="O2021" s="32"/>
      <c r="P2021" s="32"/>
      <c r="Q2021" s="33"/>
      <c r="R2021" s="33"/>
      <c r="S2021" s="33"/>
      <c r="T2021" s="63">
        <f t="shared" si="17"/>
        <v>0</v>
      </c>
      <c r="U2021" s="33"/>
      <c r="V2021" s="33"/>
      <c r="W2021" s="33"/>
    </row>
    <row r="2022" spans="1:23" ht="16.5" customHeight="1" x14ac:dyDescent="0.2">
      <c r="A2022" s="26"/>
      <c r="B2022" s="26"/>
      <c r="C2022" s="26"/>
      <c r="D2022" s="26"/>
      <c r="E2022" s="26"/>
      <c r="F2022" s="28" t="e">
        <f ca="1">_xludf.ifna(VLOOKUP(G2022,Proyectos!$A$2:$F$674,6,0),"")</f>
        <v>#NAME?</v>
      </c>
      <c r="G2022" s="26"/>
      <c r="H2022" s="32"/>
      <c r="I2022" s="32"/>
      <c r="J2022" s="32"/>
      <c r="K2022" s="32"/>
      <c r="L2022" s="32" t="e">
        <f ca="1">_xludf.ifna(VLOOKUP(E2022,Parámetros!$D$2:$E$34,2,0),"")</f>
        <v>#NAME?</v>
      </c>
      <c r="M2022" s="32" t="e">
        <f ca="1">_xludf.ifna(VLOOKUP(G2022,Proyectos!$A$2:$T$674,20,0),"")</f>
        <v>#NAME?</v>
      </c>
      <c r="N2022" s="32" t="e">
        <f ca="1">_xludf.ifna(VLOOKUP(G2022,Proyectos!$A$2:$S$674,19,0))</f>
        <v>#NAME?</v>
      </c>
      <c r="O2022" s="32"/>
      <c r="P2022" s="32"/>
      <c r="Q2022" s="33"/>
      <c r="R2022" s="33"/>
      <c r="S2022" s="33"/>
      <c r="T2022" s="63">
        <f t="shared" si="17"/>
        <v>0</v>
      </c>
      <c r="U2022" s="33"/>
      <c r="V2022" s="33"/>
      <c r="W2022" s="33"/>
    </row>
    <row r="2023" spans="1:23" ht="16.5" customHeight="1" x14ac:dyDescent="0.2">
      <c r="A2023" s="26"/>
      <c r="B2023" s="26"/>
      <c r="C2023" s="26"/>
      <c r="D2023" s="26"/>
      <c r="E2023" s="26"/>
      <c r="F2023" s="28" t="e">
        <f ca="1">_xludf.ifna(VLOOKUP(G2023,Proyectos!$A$2:$F$674,6,0),"")</f>
        <v>#NAME?</v>
      </c>
      <c r="G2023" s="26"/>
      <c r="H2023" s="32"/>
      <c r="I2023" s="32"/>
      <c r="J2023" s="32"/>
      <c r="K2023" s="32"/>
      <c r="L2023" s="32" t="e">
        <f ca="1">_xludf.ifna(VLOOKUP(E2023,Parámetros!$D$2:$E$34,2,0),"")</f>
        <v>#NAME?</v>
      </c>
      <c r="M2023" s="32" t="e">
        <f ca="1">_xludf.ifna(VLOOKUP(G2023,Proyectos!$A$2:$T$674,20,0),"")</f>
        <v>#NAME?</v>
      </c>
      <c r="N2023" s="32" t="e">
        <f ca="1">_xludf.ifna(VLOOKUP(G2023,Proyectos!$A$2:$S$674,19,0))</f>
        <v>#NAME?</v>
      </c>
      <c r="O2023" s="32"/>
      <c r="P2023" s="32"/>
      <c r="Q2023" s="33"/>
      <c r="R2023" s="33"/>
      <c r="S2023" s="33"/>
      <c r="T2023" s="63">
        <f t="shared" si="17"/>
        <v>0</v>
      </c>
      <c r="U2023" s="33"/>
      <c r="V2023" s="33"/>
      <c r="W2023" s="33"/>
    </row>
    <row r="2024" spans="1:23" ht="16.5" customHeight="1" x14ac:dyDescent="0.2">
      <c r="A2024" s="26"/>
      <c r="B2024" s="26"/>
      <c r="C2024" s="26"/>
      <c r="D2024" s="26"/>
      <c r="E2024" s="26"/>
      <c r="F2024" s="28" t="e">
        <f ca="1">_xludf.ifna(VLOOKUP(G2024,Proyectos!$A$2:$F$674,6,0),"")</f>
        <v>#NAME?</v>
      </c>
      <c r="G2024" s="26"/>
      <c r="H2024" s="32"/>
      <c r="I2024" s="32"/>
      <c r="J2024" s="32"/>
      <c r="K2024" s="32"/>
      <c r="L2024" s="32" t="e">
        <f ca="1">_xludf.ifna(VLOOKUP(E2024,Parámetros!$D$2:$E$34,2,0),"")</f>
        <v>#NAME?</v>
      </c>
      <c r="M2024" s="32" t="e">
        <f ca="1">_xludf.ifna(VLOOKUP(G2024,Proyectos!$A$2:$T$674,20,0),"")</f>
        <v>#NAME?</v>
      </c>
      <c r="N2024" s="32" t="e">
        <f ca="1">_xludf.ifna(VLOOKUP(G2024,Proyectos!$A$2:$S$674,19,0))</f>
        <v>#NAME?</v>
      </c>
      <c r="O2024" s="32"/>
      <c r="P2024" s="32"/>
      <c r="Q2024" s="33"/>
      <c r="R2024" s="33"/>
      <c r="S2024" s="33"/>
      <c r="T2024" s="63">
        <f t="shared" si="17"/>
        <v>0</v>
      </c>
      <c r="U2024" s="33"/>
      <c r="V2024" s="33"/>
      <c r="W2024" s="33"/>
    </row>
    <row r="2025" spans="1:23" ht="16.5" customHeight="1" x14ac:dyDescent="0.2">
      <c r="A2025" s="26"/>
      <c r="B2025" s="26"/>
      <c r="C2025" s="26"/>
      <c r="D2025" s="26"/>
      <c r="E2025" s="26"/>
      <c r="F2025" s="28" t="e">
        <f ca="1">_xludf.ifna(VLOOKUP(G2025,Proyectos!$A$2:$F$674,6,0),"")</f>
        <v>#NAME?</v>
      </c>
      <c r="G2025" s="26"/>
      <c r="H2025" s="32"/>
      <c r="I2025" s="32"/>
      <c r="J2025" s="32"/>
      <c r="K2025" s="32"/>
      <c r="L2025" s="32" t="e">
        <f ca="1">_xludf.ifna(VLOOKUP(E2025,Parámetros!$D$2:$E$34,2,0),"")</f>
        <v>#NAME?</v>
      </c>
      <c r="M2025" s="32" t="e">
        <f ca="1">_xludf.ifna(VLOOKUP(G2025,Proyectos!$A$2:$T$674,20,0),"")</f>
        <v>#NAME?</v>
      </c>
      <c r="N2025" s="32" t="e">
        <f ca="1">_xludf.ifna(VLOOKUP(G2025,Proyectos!$A$2:$S$674,19,0))</f>
        <v>#NAME?</v>
      </c>
      <c r="O2025" s="32"/>
      <c r="P2025" s="32"/>
      <c r="Q2025" s="33"/>
      <c r="R2025" s="33"/>
      <c r="S2025" s="33"/>
      <c r="T2025" s="63">
        <f t="shared" si="17"/>
        <v>0</v>
      </c>
      <c r="U2025" s="33"/>
      <c r="V2025" s="33"/>
      <c r="W2025" s="33"/>
    </row>
    <row r="2026" spans="1:23" ht="16.5" customHeight="1" x14ac:dyDescent="0.2">
      <c r="A2026" s="26"/>
      <c r="B2026" s="26"/>
      <c r="C2026" s="26"/>
      <c r="D2026" s="26"/>
      <c r="E2026" s="26"/>
      <c r="F2026" s="28" t="e">
        <f ca="1">_xludf.ifna(VLOOKUP(G2026,Proyectos!$A$2:$F$674,6,0),"")</f>
        <v>#NAME?</v>
      </c>
      <c r="G2026" s="26"/>
      <c r="H2026" s="32"/>
      <c r="I2026" s="32"/>
      <c r="J2026" s="32"/>
      <c r="K2026" s="32"/>
      <c r="L2026" s="32" t="e">
        <f ca="1">_xludf.ifna(VLOOKUP(E2026,Parámetros!$D$2:$E$34,2,0),"")</f>
        <v>#NAME?</v>
      </c>
      <c r="M2026" s="32" t="e">
        <f ca="1">_xludf.ifna(VLOOKUP(G2026,Proyectos!$A$2:$T$674,20,0),"")</f>
        <v>#NAME?</v>
      </c>
      <c r="N2026" s="32" t="e">
        <f ca="1">_xludf.ifna(VLOOKUP(G2026,Proyectos!$A$2:$S$674,19,0))</f>
        <v>#NAME?</v>
      </c>
      <c r="O2026" s="32"/>
      <c r="P2026" s="32"/>
      <c r="Q2026" s="33"/>
      <c r="R2026" s="33"/>
      <c r="S2026" s="33"/>
      <c r="T2026" s="63">
        <f t="shared" si="17"/>
        <v>0</v>
      </c>
      <c r="U2026" s="33"/>
      <c r="V2026" s="33"/>
      <c r="W2026" s="33"/>
    </row>
    <row r="2027" spans="1:23" ht="16.5" customHeight="1" x14ac:dyDescent="0.2">
      <c r="A2027" s="26"/>
      <c r="B2027" s="26"/>
      <c r="C2027" s="26"/>
      <c r="D2027" s="26"/>
      <c r="E2027" s="26"/>
      <c r="F2027" s="28" t="e">
        <f ca="1">_xludf.ifna(VLOOKUP(G2027,Proyectos!$A$2:$F$674,6,0),"")</f>
        <v>#NAME?</v>
      </c>
      <c r="G2027" s="26"/>
      <c r="H2027" s="32"/>
      <c r="I2027" s="32"/>
      <c r="J2027" s="32"/>
      <c r="K2027" s="32"/>
      <c r="L2027" s="32" t="e">
        <f ca="1">_xludf.ifna(VLOOKUP(E2027,Parámetros!$D$2:$E$34,2,0),"")</f>
        <v>#NAME?</v>
      </c>
      <c r="M2027" s="32" t="e">
        <f ca="1">_xludf.ifna(VLOOKUP(G2027,Proyectos!$A$2:$T$674,20,0),"")</f>
        <v>#NAME?</v>
      </c>
      <c r="N2027" s="32" t="e">
        <f ca="1">_xludf.ifna(VLOOKUP(G2027,Proyectos!$A$2:$S$674,19,0))</f>
        <v>#NAME?</v>
      </c>
      <c r="O2027" s="32"/>
      <c r="P2027" s="32"/>
      <c r="Q2027" s="33"/>
      <c r="R2027" s="33"/>
      <c r="S2027" s="33"/>
      <c r="T2027" s="63">
        <f t="shared" si="17"/>
        <v>0</v>
      </c>
      <c r="U2027" s="33"/>
      <c r="V2027" s="33"/>
      <c r="W2027" s="33"/>
    </row>
    <row r="2028" spans="1:23" ht="16.5" customHeight="1" x14ac:dyDescent="0.2">
      <c r="A2028" s="26"/>
      <c r="B2028" s="26"/>
      <c r="C2028" s="26"/>
      <c r="D2028" s="26"/>
      <c r="E2028" s="26"/>
      <c r="F2028" s="28" t="e">
        <f ca="1">_xludf.ifna(VLOOKUP(G2028,Proyectos!$A$2:$F$674,6,0),"")</f>
        <v>#NAME?</v>
      </c>
      <c r="G2028" s="26"/>
      <c r="H2028" s="32"/>
      <c r="I2028" s="32"/>
      <c r="J2028" s="32"/>
      <c r="K2028" s="32"/>
      <c r="L2028" s="32" t="e">
        <f ca="1">_xludf.ifna(VLOOKUP(E2028,Parámetros!$D$2:$E$34,2,0),"")</f>
        <v>#NAME?</v>
      </c>
      <c r="M2028" s="32" t="e">
        <f ca="1">_xludf.ifna(VLOOKUP(G2028,Proyectos!$A$2:$T$674,20,0),"")</f>
        <v>#NAME?</v>
      </c>
      <c r="N2028" s="32" t="e">
        <f ca="1">_xludf.ifna(VLOOKUP(G2028,Proyectos!$A$2:$S$674,19,0))</f>
        <v>#NAME?</v>
      </c>
      <c r="O2028" s="32"/>
      <c r="P2028" s="32"/>
      <c r="Q2028" s="33"/>
      <c r="R2028" s="33"/>
      <c r="S2028" s="33"/>
      <c r="T2028" s="63">
        <f t="shared" si="17"/>
        <v>0</v>
      </c>
      <c r="U2028" s="33"/>
      <c r="V2028" s="33"/>
      <c r="W2028" s="33"/>
    </row>
    <row r="2029" spans="1:23" ht="16.5" customHeight="1" x14ac:dyDescent="0.2">
      <c r="A2029" s="26"/>
      <c r="B2029" s="26"/>
      <c r="C2029" s="26"/>
      <c r="D2029" s="26"/>
      <c r="E2029" s="26"/>
      <c r="F2029" s="28" t="e">
        <f ca="1">_xludf.ifna(VLOOKUP(G2029,Proyectos!$A$2:$F$674,6,0),"")</f>
        <v>#NAME?</v>
      </c>
      <c r="G2029" s="26"/>
      <c r="H2029" s="32"/>
      <c r="I2029" s="32"/>
      <c r="J2029" s="32"/>
      <c r="K2029" s="32"/>
      <c r="L2029" s="32" t="e">
        <f ca="1">_xludf.ifna(VLOOKUP(E2029,Parámetros!$D$2:$E$34,2,0),"")</f>
        <v>#NAME?</v>
      </c>
      <c r="M2029" s="32" t="e">
        <f ca="1">_xludf.ifna(VLOOKUP(G2029,Proyectos!$A$2:$T$674,20,0),"")</f>
        <v>#NAME?</v>
      </c>
      <c r="N2029" s="32" t="e">
        <f ca="1">_xludf.ifna(VLOOKUP(G2029,Proyectos!$A$2:$S$674,19,0))</f>
        <v>#NAME?</v>
      </c>
      <c r="O2029" s="32"/>
      <c r="P2029" s="32"/>
      <c r="Q2029" s="33"/>
      <c r="R2029" s="33"/>
      <c r="S2029" s="33"/>
      <c r="T2029" s="63">
        <f t="shared" si="17"/>
        <v>0</v>
      </c>
      <c r="U2029" s="33"/>
      <c r="V2029" s="33"/>
      <c r="W2029" s="33"/>
    </row>
    <row r="2030" spans="1:23" ht="16.5" customHeight="1" x14ac:dyDescent="0.2">
      <c r="A2030" s="26"/>
      <c r="B2030" s="26"/>
      <c r="C2030" s="26"/>
      <c r="D2030" s="26"/>
      <c r="E2030" s="26"/>
      <c r="F2030" s="28" t="e">
        <f ca="1">_xludf.ifna(VLOOKUP(G2030,Proyectos!$A$2:$F$674,6,0),"")</f>
        <v>#NAME?</v>
      </c>
      <c r="G2030" s="26"/>
      <c r="H2030" s="32"/>
      <c r="I2030" s="32"/>
      <c r="J2030" s="32"/>
      <c r="K2030" s="32"/>
      <c r="L2030" s="32" t="e">
        <f ca="1">_xludf.ifna(VLOOKUP(E2030,Parámetros!$D$2:$E$34,2,0),"")</f>
        <v>#NAME?</v>
      </c>
      <c r="M2030" s="32" t="e">
        <f ca="1">_xludf.ifna(VLOOKUP(G2030,Proyectos!$A$2:$T$674,20,0),"")</f>
        <v>#NAME?</v>
      </c>
      <c r="N2030" s="32" t="e">
        <f ca="1">_xludf.ifna(VLOOKUP(G2030,Proyectos!$A$2:$S$674,19,0))</f>
        <v>#NAME?</v>
      </c>
      <c r="O2030" s="32"/>
      <c r="P2030" s="32"/>
      <c r="Q2030" s="33"/>
      <c r="R2030" s="33"/>
      <c r="S2030" s="33"/>
      <c r="T2030" s="63">
        <f t="shared" si="17"/>
        <v>0</v>
      </c>
      <c r="U2030" s="33"/>
      <c r="V2030" s="33"/>
      <c r="W2030" s="33"/>
    </row>
    <row r="2031" spans="1:23" ht="16.5" customHeight="1" x14ac:dyDescent="0.2">
      <c r="A2031" s="26"/>
      <c r="B2031" s="26"/>
      <c r="C2031" s="26"/>
      <c r="D2031" s="26"/>
      <c r="E2031" s="26"/>
      <c r="F2031" s="28" t="e">
        <f ca="1">_xludf.ifna(VLOOKUP(G2031,Proyectos!$A$2:$F$674,6,0),"")</f>
        <v>#NAME?</v>
      </c>
      <c r="G2031" s="26"/>
      <c r="H2031" s="32"/>
      <c r="I2031" s="32"/>
      <c r="J2031" s="32"/>
      <c r="K2031" s="32"/>
      <c r="L2031" s="32" t="e">
        <f ca="1">_xludf.ifna(VLOOKUP(E2031,Parámetros!$D$2:$E$34,2,0),"")</f>
        <v>#NAME?</v>
      </c>
      <c r="M2031" s="32" t="e">
        <f ca="1">_xludf.ifna(VLOOKUP(G2031,Proyectos!$A$2:$T$674,20,0),"")</f>
        <v>#NAME?</v>
      </c>
      <c r="N2031" s="32" t="e">
        <f ca="1">_xludf.ifna(VLOOKUP(G2031,Proyectos!$A$2:$S$674,19,0))</f>
        <v>#NAME?</v>
      </c>
      <c r="O2031" s="32"/>
      <c r="P2031" s="32"/>
      <c r="Q2031" s="33"/>
      <c r="R2031" s="33"/>
      <c r="S2031" s="33"/>
      <c r="T2031" s="63">
        <f t="shared" si="17"/>
        <v>0</v>
      </c>
      <c r="U2031" s="33"/>
      <c r="V2031" s="33"/>
      <c r="W2031" s="33"/>
    </row>
    <row r="2032" spans="1:23" ht="16.5" customHeight="1" x14ac:dyDescent="0.2">
      <c r="A2032" s="26"/>
      <c r="B2032" s="26"/>
      <c r="C2032" s="26"/>
      <c r="D2032" s="26"/>
      <c r="E2032" s="26"/>
      <c r="F2032" s="28" t="e">
        <f ca="1">_xludf.ifna(VLOOKUP(G2032,Proyectos!$A$2:$F$674,6,0),"")</f>
        <v>#NAME?</v>
      </c>
      <c r="G2032" s="26"/>
      <c r="H2032" s="32"/>
      <c r="I2032" s="32"/>
      <c r="J2032" s="32"/>
      <c r="K2032" s="32"/>
      <c r="L2032" s="32" t="e">
        <f ca="1">_xludf.ifna(VLOOKUP(E2032,Parámetros!$D$2:$E$34,2,0),"")</f>
        <v>#NAME?</v>
      </c>
      <c r="M2032" s="32" t="e">
        <f ca="1">_xludf.ifna(VLOOKUP(G2032,Proyectos!$A$2:$T$674,20,0),"")</f>
        <v>#NAME?</v>
      </c>
      <c r="N2032" s="32" t="e">
        <f ca="1">_xludf.ifna(VLOOKUP(G2032,Proyectos!$A$2:$S$674,19,0))</f>
        <v>#NAME?</v>
      </c>
      <c r="O2032" s="32"/>
      <c r="P2032" s="32"/>
      <c r="Q2032" s="33"/>
      <c r="R2032" s="33"/>
      <c r="S2032" s="33"/>
      <c r="T2032" s="63">
        <f t="shared" si="17"/>
        <v>0</v>
      </c>
      <c r="U2032" s="33"/>
      <c r="V2032" s="33"/>
      <c r="W2032" s="33"/>
    </row>
    <row r="2033" spans="1:23" ht="16.5" customHeight="1" x14ac:dyDescent="0.2">
      <c r="A2033" s="26"/>
      <c r="B2033" s="26"/>
      <c r="C2033" s="26"/>
      <c r="D2033" s="26"/>
      <c r="E2033" s="26"/>
      <c r="F2033" s="28" t="e">
        <f ca="1">_xludf.ifna(VLOOKUP(G2033,Proyectos!$A$2:$F$674,6,0),"")</f>
        <v>#NAME?</v>
      </c>
      <c r="G2033" s="26"/>
      <c r="H2033" s="32"/>
      <c r="I2033" s="32"/>
      <c r="J2033" s="32"/>
      <c r="K2033" s="32"/>
      <c r="L2033" s="32" t="e">
        <f ca="1">_xludf.ifna(VLOOKUP(E2033,Parámetros!$D$2:$E$34,2,0),"")</f>
        <v>#NAME?</v>
      </c>
      <c r="M2033" s="32" t="e">
        <f ca="1">_xludf.ifna(VLOOKUP(G2033,Proyectos!$A$2:$T$674,20,0),"")</f>
        <v>#NAME?</v>
      </c>
      <c r="N2033" s="32" t="e">
        <f ca="1">_xludf.ifna(VLOOKUP(G2033,Proyectos!$A$2:$S$674,19,0))</f>
        <v>#NAME?</v>
      </c>
      <c r="O2033" s="32"/>
      <c r="P2033" s="32"/>
      <c r="Q2033" s="33"/>
      <c r="R2033" s="33"/>
      <c r="S2033" s="33"/>
      <c r="T2033" s="63">
        <f t="shared" si="17"/>
        <v>0</v>
      </c>
      <c r="U2033" s="33"/>
      <c r="V2033" s="33"/>
      <c r="W2033" s="33"/>
    </row>
    <row r="2034" spans="1:23" ht="16.5" customHeight="1" x14ac:dyDescent="0.2">
      <c r="A2034" s="26"/>
      <c r="B2034" s="26"/>
      <c r="C2034" s="26"/>
      <c r="D2034" s="26"/>
      <c r="E2034" s="26"/>
      <c r="F2034" s="28" t="e">
        <f ca="1">_xludf.ifna(VLOOKUP(G2034,Proyectos!$A$2:$F$674,6,0),"")</f>
        <v>#NAME?</v>
      </c>
      <c r="G2034" s="26"/>
      <c r="H2034" s="32"/>
      <c r="I2034" s="32"/>
      <c r="J2034" s="32"/>
      <c r="K2034" s="32"/>
      <c r="L2034" s="32" t="e">
        <f ca="1">_xludf.ifna(VLOOKUP(E2034,Parámetros!$D$2:$E$34,2,0),"")</f>
        <v>#NAME?</v>
      </c>
      <c r="M2034" s="32" t="e">
        <f ca="1">_xludf.ifna(VLOOKUP(G2034,Proyectos!$A$2:$T$674,20,0),"")</f>
        <v>#NAME?</v>
      </c>
      <c r="N2034" s="32" t="e">
        <f ca="1">_xludf.ifna(VLOOKUP(G2034,Proyectos!$A$2:$S$674,19,0))</f>
        <v>#NAME?</v>
      </c>
      <c r="O2034" s="32"/>
      <c r="P2034" s="32"/>
      <c r="Q2034" s="33"/>
      <c r="R2034" s="33"/>
      <c r="S2034" s="33"/>
      <c r="T2034" s="63">
        <f t="shared" si="17"/>
        <v>0</v>
      </c>
      <c r="U2034" s="33"/>
      <c r="V2034" s="33"/>
      <c r="W2034" s="33"/>
    </row>
    <row r="2035" spans="1:23" ht="16.5" customHeight="1" x14ac:dyDescent="0.2">
      <c r="A2035" s="26"/>
      <c r="B2035" s="26"/>
      <c r="C2035" s="26"/>
      <c r="D2035" s="26"/>
      <c r="E2035" s="26"/>
      <c r="F2035" s="28" t="e">
        <f ca="1">_xludf.ifna(VLOOKUP(G2035,Proyectos!$A$2:$F$674,6,0),"")</f>
        <v>#NAME?</v>
      </c>
      <c r="G2035" s="26"/>
      <c r="H2035" s="32"/>
      <c r="I2035" s="32"/>
      <c r="J2035" s="32"/>
      <c r="K2035" s="32"/>
      <c r="L2035" s="32" t="e">
        <f ca="1">_xludf.ifna(VLOOKUP(E2035,Parámetros!$D$2:$E$34,2,0),"")</f>
        <v>#NAME?</v>
      </c>
      <c r="M2035" s="32" t="e">
        <f ca="1">_xludf.ifna(VLOOKUP(G2035,Proyectos!$A$2:$T$674,20,0),"")</f>
        <v>#NAME?</v>
      </c>
      <c r="N2035" s="32" t="e">
        <f ca="1">_xludf.ifna(VLOOKUP(G2035,Proyectos!$A$2:$S$674,19,0))</f>
        <v>#NAME?</v>
      </c>
      <c r="O2035" s="32"/>
      <c r="P2035" s="32"/>
      <c r="Q2035" s="33"/>
      <c r="R2035" s="33"/>
      <c r="S2035" s="33"/>
      <c r="T2035" s="63">
        <f t="shared" si="17"/>
        <v>0</v>
      </c>
      <c r="U2035" s="33"/>
      <c r="V2035" s="33"/>
      <c r="W2035" s="33"/>
    </row>
    <row r="2036" spans="1:23" ht="16.5" customHeight="1" x14ac:dyDescent="0.2">
      <c r="A2036" s="26"/>
      <c r="B2036" s="26"/>
      <c r="C2036" s="26"/>
      <c r="D2036" s="26"/>
      <c r="E2036" s="26"/>
      <c r="F2036" s="28" t="e">
        <f ca="1">_xludf.ifna(VLOOKUP(G2036,Proyectos!$A$2:$F$674,6,0),"")</f>
        <v>#NAME?</v>
      </c>
      <c r="G2036" s="26"/>
      <c r="H2036" s="32"/>
      <c r="I2036" s="32"/>
      <c r="J2036" s="32"/>
      <c r="K2036" s="32"/>
      <c r="L2036" s="32" t="e">
        <f ca="1">_xludf.ifna(VLOOKUP(E2036,Parámetros!$D$2:$E$34,2,0),"")</f>
        <v>#NAME?</v>
      </c>
      <c r="M2036" s="32" t="e">
        <f ca="1">_xludf.ifna(VLOOKUP(G2036,Proyectos!$A$2:$T$674,20,0),"")</f>
        <v>#NAME?</v>
      </c>
      <c r="N2036" s="32" t="e">
        <f ca="1">_xludf.ifna(VLOOKUP(G2036,Proyectos!$A$2:$S$674,19,0))</f>
        <v>#NAME?</v>
      </c>
      <c r="O2036" s="32"/>
      <c r="P2036" s="32"/>
      <c r="Q2036" s="33"/>
      <c r="R2036" s="33"/>
      <c r="S2036" s="33"/>
      <c r="T2036" s="63">
        <f t="shared" si="17"/>
        <v>0</v>
      </c>
      <c r="U2036" s="33"/>
      <c r="V2036" s="33"/>
      <c r="W2036" s="33"/>
    </row>
    <row r="2037" spans="1:23" ht="16.5" customHeight="1" x14ac:dyDescent="0.2">
      <c r="A2037" s="26"/>
      <c r="B2037" s="26"/>
      <c r="C2037" s="26"/>
      <c r="D2037" s="26"/>
      <c r="E2037" s="26"/>
      <c r="F2037" s="28" t="e">
        <f ca="1">_xludf.ifna(VLOOKUP(G2037,Proyectos!$A$2:$F$674,6,0),"")</f>
        <v>#NAME?</v>
      </c>
      <c r="G2037" s="26"/>
      <c r="H2037" s="32"/>
      <c r="I2037" s="32"/>
      <c r="J2037" s="32"/>
      <c r="K2037" s="32"/>
      <c r="L2037" s="32" t="e">
        <f ca="1">_xludf.ifna(VLOOKUP(E2037,Parámetros!$D$2:$E$34,2,0),"")</f>
        <v>#NAME?</v>
      </c>
      <c r="M2037" s="32" t="e">
        <f ca="1">_xludf.ifna(VLOOKUP(G2037,Proyectos!$A$2:$T$674,20,0),"")</f>
        <v>#NAME?</v>
      </c>
      <c r="N2037" s="32" t="e">
        <f ca="1">_xludf.ifna(VLOOKUP(G2037,Proyectos!$A$2:$S$674,19,0))</f>
        <v>#NAME?</v>
      </c>
      <c r="O2037" s="32"/>
      <c r="P2037" s="32"/>
      <c r="Q2037" s="33"/>
      <c r="R2037" s="33"/>
      <c r="S2037" s="33"/>
      <c r="T2037" s="63">
        <f t="shared" si="17"/>
        <v>0</v>
      </c>
      <c r="U2037" s="33"/>
      <c r="V2037" s="33"/>
      <c r="W2037" s="33"/>
    </row>
    <row r="2038" spans="1:23" ht="16.5" customHeight="1" x14ac:dyDescent="0.2">
      <c r="A2038" s="26"/>
      <c r="B2038" s="26"/>
      <c r="C2038" s="26"/>
      <c r="D2038" s="26"/>
      <c r="E2038" s="26"/>
      <c r="F2038" s="28" t="e">
        <f ca="1">_xludf.ifna(VLOOKUP(G2038,Proyectos!$A$2:$F$674,6,0),"")</f>
        <v>#NAME?</v>
      </c>
      <c r="G2038" s="26"/>
      <c r="H2038" s="32"/>
      <c r="I2038" s="32"/>
      <c r="J2038" s="32"/>
      <c r="K2038" s="32"/>
      <c r="L2038" s="32" t="e">
        <f ca="1">_xludf.ifna(VLOOKUP(E2038,Parámetros!$D$2:$E$34,2,0),"")</f>
        <v>#NAME?</v>
      </c>
      <c r="M2038" s="32" t="e">
        <f ca="1">_xludf.ifna(VLOOKUP(G2038,Proyectos!$A$2:$T$674,20,0),"")</f>
        <v>#NAME?</v>
      </c>
      <c r="N2038" s="32" t="e">
        <f ca="1">_xludf.ifna(VLOOKUP(G2038,Proyectos!$A$2:$S$674,19,0))</f>
        <v>#NAME?</v>
      </c>
      <c r="O2038" s="32"/>
      <c r="P2038" s="32"/>
      <c r="Q2038" s="33"/>
      <c r="R2038" s="33"/>
      <c r="S2038" s="33"/>
      <c r="T2038" s="63">
        <f t="shared" si="17"/>
        <v>0</v>
      </c>
      <c r="U2038" s="33"/>
      <c r="V2038" s="33"/>
      <c r="W2038" s="33"/>
    </row>
    <row r="2039" spans="1:23" ht="16.5" customHeight="1" x14ac:dyDescent="0.2">
      <c r="A2039" s="26"/>
      <c r="B2039" s="26"/>
      <c r="C2039" s="26"/>
      <c r="D2039" s="26"/>
      <c r="E2039" s="26"/>
      <c r="F2039" s="28" t="e">
        <f ca="1">_xludf.ifna(VLOOKUP(G2039,Proyectos!$A$2:$F$674,6,0),"")</f>
        <v>#NAME?</v>
      </c>
      <c r="G2039" s="26"/>
      <c r="H2039" s="32"/>
      <c r="I2039" s="32"/>
      <c r="J2039" s="32"/>
      <c r="K2039" s="32"/>
      <c r="L2039" s="32" t="e">
        <f ca="1">_xludf.ifna(VLOOKUP(E2039,Parámetros!$D$2:$E$34,2,0),"")</f>
        <v>#NAME?</v>
      </c>
      <c r="M2039" s="32" t="e">
        <f ca="1">_xludf.ifna(VLOOKUP(G2039,Proyectos!$A$2:$T$674,20,0),"")</f>
        <v>#NAME?</v>
      </c>
      <c r="N2039" s="32" t="e">
        <f ca="1">_xludf.ifna(VLOOKUP(G2039,Proyectos!$A$2:$S$674,19,0))</f>
        <v>#NAME?</v>
      </c>
      <c r="O2039" s="32"/>
      <c r="P2039" s="32"/>
      <c r="Q2039" s="33"/>
      <c r="R2039" s="33"/>
      <c r="S2039" s="33"/>
      <c r="T2039" s="63">
        <f t="shared" si="17"/>
        <v>0</v>
      </c>
      <c r="U2039" s="33"/>
      <c r="V2039" s="33"/>
      <c r="W2039" s="33"/>
    </row>
    <row r="2040" spans="1:23" ht="16.5" customHeight="1" x14ac:dyDescent="0.2">
      <c r="A2040" s="26"/>
      <c r="B2040" s="26"/>
      <c r="C2040" s="26"/>
      <c r="D2040" s="26"/>
      <c r="E2040" s="26"/>
      <c r="F2040" s="28" t="e">
        <f ca="1">_xludf.ifna(VLOOKUP(G2040,Proyectos!$A$2:$F$674,6,0),"")</f>
        <v>#NAME?</v>
      </c>
      <c r="G2040" s="26"/>
      <c r="H2040" s="32"/>
      <c r="I2040" s="32"/>
      <c r="J2040" s="32"/>
      <c r="K2040" s="32"/>
      <c r="L2040" s="32" t="e">
        <f ca="1">_xludf.ifna(VLOOKUP(E2040,Parámetros!$D$2:$E$34,2,0),"")</f>
        <v>#NAME?</v>
      </c>
      <c r="M2040" s="32" t="e">
        <f ca="1">_xludf.ifna(VLOOKUP(G2040,Proyectos!$A$2:$T$674,20,0),"")</f>
        <v>#NAME?</v>
      </c>
      <c r="N2040" s="32" t="e">
        <f ca="1">_xludf.ifna(VLOOKUP(G2040,Proyectos!$A$2:$S$674,19,0))</f>
        <v>#NAME?</v>
      </c>
      <c r="O2040" s="32"/>
      <c r="P2040" s="32"/>
      <c r="Q2040" s="33"/>
      <c r="R2040" s="33"/>
      <c r="S2040" s="33"/>
      <c r="T2040" s="63">
        <f t="shared" si="17"/>
        <v>0</v>
      </c>
      <c r="U2040" s="33"/>
      <c r="V2040" s="33"/>
      <c r="W2040" s="33"/>
    </row>
    <row r="2041" spans="1:23" ht="16.5" customHeight="1" x14ac:dyDescent="0.2">
      <c r="A2041" s="26"/>
      <c r="B2041" s="26"/>
      <c r="C2041" s="26"/>
      <c r="D2041" s="26"/>
      <c r="E2041" s="26"/>
      <c r="F2041" s="28" t="e">
        <f ca="1">_xludf.ifna(VLOOKUP(G2041,Proyectos!$A$2:$F$674,6,0),"")</f>
        <v>#NAME?</v>
      </c>
      <c r="G2041" s="26"/>
      <c r="H2041" s="32"/>
      <c r="I2041" s="32"/>
      <c r="J2041" s="32"/>
      <c r="K2041" s="32"/>
      <c r="L2041" s="32" t="e">
        <f ca="1">_xludf.ifna(VLOOKUP(E2041,Parámetros!$D$2:$E$34,2,0),"")</f>
        <v>#NAME?</v>
      </c>
      <c r="M2041" s="32" t="e">
        <f ca="1">_xludf.ifna(VLOOKUP(G2041,Proyectos!$A$2:$T$674,20,0),"")</f>
        <v>#NAME?</v>
      </c>
      <c r="N2041" s="32" t="e">
        <f ca="1">_xludf.ifna(VLOOKUP(G2041,Proyectos!$A$2:$S$674,19,0))</f>
        <v>#NAME?</v>
      </c>
      <c r="O2041" s="32"/>
      <c r="P2041" s="32"/>
      <c r="Q2041" s="33"/>
      <c r="R2041" s="33"/>
      <c r="S2041" s="33"/>
      <c r="T2041" s="63">
        <f t="shared" si="17"/>
        <v>0</v>
      </c>
      <c r="U2041" s="33"/>
      <c r="V2041" s="33"/>
      <c r="W2041" s="33"/>
    </row>
    <row r="2042" spans="1:23" ht="16.5" customHeight="1" x14ac:dyDescent="0.2">
      <c r="A2042" s="26"/>
      <c r="B2042" s="26"/>
      <c r="C2042" s="26"/>
      <c r="D2042" s="26"/>
      <c r="E2042" s="26"/>
      <c r="F2042" s="28" t="e">
        <f ca="1">_xludf.ifna(VLOOKUP(G2042,Proyectos!$A$2:$F$674,6,0),"")</f>
        <v>#NAME?</v>
      </c>
      <c r="G2042" s="26"/>
      <c r="H2042" s="32"/>
      <c r="I2042" s="32"/>
      <c r="J2042" s="32"/>
      <c r="K2042" s="32"/>
      <c r="L2042" s="32" t="e">
        <f ca="1">_xludf.ifna(VLOOKUP(E2042,Parámetros!$D$2:$E$34,2,0),"")</f>
        <v>#NAME?</v>
      </c>
      <c r="M2042" s="32" t="e">
        <f ca="1">_xludf.ifna(VLOOKUP(G2042,Proyectos!$A$2:$T$674,20,0),"")</f>
        <v>#NAME?</v>
      </c>
      <c r="N2042" s="32" t="e">
        <f ca="1">_xludf.ifna(VLOOKUP(G2042,Proyectos!$A$2:$S$674,19,0))</f>
        <v>#NAME?</v>
      </c>
      <c r="O2042" s="32"/>
      <c r="P2042" s="32"/>
      <c r="Q2042" s="33"/>
      <c r="R2042" s="33"/>
      <c r="S2042" s="33"/>
      <c r="T2042" s="63">
        <f t="shared" si="17"/>
        <v>0</v>
      </c>
      <c r="U2042" s="33"/>
      <c r="V2042" s="33"/>
      <c r="W2042" s="33"/>
    </row>
    <row r="2043" spans="1:23" ht="16.5" customHeight="1" x14ac:dyDescent="0.2">
      <c r="A2043" s="26"/>
      <c r="B2043" s="26"/>
      <c r="C2043" s="26"/>
      <c r="D2043" s="26"/>
      <c r="E2043" s="26"/>
      <c r="F2043" s="28" t="e">
        <f ca="1">_xludf.ifna(VLOOKUP(G2043,Proyectos!$A$2:$F$674,6,0),"")</f>
        <v>#NAME?</v>
      </c>
      <c r="G2043" s="26"/>
      <c r="H2043" s="32"/>
      <c r="I2043" s="32"/>
      <c r="J2043" s="32"/>
      <c r="K2043" s="32"/>
      <c r="L2043" s="32" t="e">
        <f ca="1">_xludf.ifna(VLOOKUP(E2043,Parámetros!$D$2:$E$34,2,0),"")</f>
        <v>#NAME?</v>
      </c>
      <c r="M2043" s="32" t="e">
        <f ca="1">_xludf.ifna(VLOOKUP(G2043,Proyectos!$A$2:$T$674,20,0),"")</f>
        <v>#NAME?</v>
      </c>
      <c r="N2043" s="32" t="e">
        <f ca="1">_xludf.ifna(VLOOKUP(G2043,Proyectos!$A$2:$S$674,19,0))</f>
        <v>#NAME?</v>
      </c>
      <c r="O2043" s="32"/>
      <c r="P2043" s="32"/>
      <c r="Q2043" s="33"/>
      <c r="R2043" s="33"/>
      <c r="S2043" s="33"/>
      <c r="T2043" s="63">
        <f t="shared" si="17"/>
        <v>0</v>
      </c>
      <c r="U2043" s="33"/>
      <c r="V2043" s="33"/>
      <c r="W2043" s="33"/>
    </row>
    <row r="2044" spans="1:23" ht="16.5" customHeight="1" x14ac:dyDescent="0.2">
      <c r="A2044" s="26"/>
      <c r="B2044" s="26"/>
      <c r="C2044" s="26"/>
      <c r="D2044" s="26"/>
      <c r="E2044" s="26"/>
      <c r="F2044" s="28" t="e">
        <f ca="1">_xludf.ifna(VLOOKUP(G2044,Proyectos!$A$2:$F$674,6,0),"")</f>
        <v>#NAME?</v>
      </c>
      <c r="G2044" s="26"/>
      <c r="H2044" s="32"/>
      <c r="I2044" s="32"/>
      <c r="J2044" s="32"/>
      <c r="K2044" s="32"/>
      <c r="L2044" s="32" t="e">
        <f ca="1">_xludf.ifna(VLOOKUP(E2044,Parámetros!$D$2:$E$34,2,0),"")</f>
        <v>#NAME?</v>
      </c>
      <c r="M2044" s="32" t="e">
        <f ca="1">_xludf.ifna(VLOOKUP(G2044,Proyectos!$A$2:$T$674,20,0),"")</f>
        <v>#NAME?</v>
      </c>
      <c r="N2044" s="32" t="e">
        <f ca="1">_xludf.ifna(VLOOKUP(G2044,Proyectos!$A$2:$S$674,19,0))</f>
        <v>#NAME?</v>
      </c>
      <c r="O2044" s="32"/>
      <c r="P2044" s="32"/>
      <c r="Q2044" s="33"/>
      <c r="R2044" s="33"/>
      <c r="S2044" s="33"/>
      <c r="T2044" s="63">
        <f t="shared" si="17"/>
        <v>0</v>
      </c>
      <c r="U2044" s="33"/>
      <c r="V2044" s="33"/>
      <c r="W2044" s="33"/>
    </row>
    <row r="2045" spans="1:23" ht="16.5" customHeight="1" x14ac:dyDescent="0.2">
      <c r="A2045" s="26"/>
      <c r="B2045" s="26"/>
      <c r="C2045" s="26"/>
      <c r="D2045" s="26"/>
      <c r="E2045" s="26"/>
      <c r="F2045" s="28" t="e">
        <f ca="1">_xludf.ifna(VLOOKUP(G2045,Proyectos!$A$2:$F$674,6,0),"")</f>
        <v>#NAME?</v>
      </c>
      <c r="G2045" s="26"/>
      <c r="H2045" s="32"/>
      <c r="I2045" s="32"/>
      <c r="J2045" s="32"/>
      <c r="K2045" s="32"/>
      <c r="L2045" s="32" t="e">
        <f ca="1">_xludf.ifna(VLOOKUP(E2045,Parámetros!$D$2:$E$34,2,0),"")</f>
        <v>#NAME?</v>
      </c>
      <c r="M2045" s="32" t="e">
        <f ca="1">_xludf.ifna(VLOOKUP(G2045,Proyectos!$A$2:$T$674,20,0),"")</f>
        <v>#NAME?</v>
      </c>
      <c r="N2045" s="32" t="e">
        <f ca="1">_xludf.ifna(VLOOKUP(G2045,Proyectos!$A$2:$S$674,19,0))</f>
        <v>#NAME?</v>
      </c>
      <c r="O2045" s="32"/>
      <c r="P2045" s="32"/>
      <c r="Q2045" s="33"/>
      <c r="R2045" s="33"/>
      <c r="S2045" s="33"/>
      <c r="T2045" s="63">
        <f t="shared" si="17"/>
        <v>0</v>
      </c>
      <c r="U2045" s="33"/>
      <c r="V2045" s="33"/>
      <c r="W2045" s="33"/>
    </row>
    <row r="2046" spans="1:23" ht="16.5" customHeight="1" x14ac:dyDescent="0.2">
      <c r="A2046" s="26"/>
      <c r="B2046" s="26"/>
      <c r="C2046" s="26"/>
      <c r="D2046" s="26"/>
      <c r="E2046" s="26"/>
      <c r="F2046" s="28" t="e">
        <f ca="1">_xludf.ifna(VLOOKUP(G2046,Proyectos!$A$2:$F$674,6,0),"")</f>
        <v>#NAME?</v>
      </c>
      <c r="G2046" s="26"/>
      <c r="H2046" s="32"/>
      <c r="I2046" s="32"/>
      <c r="J2046" s="32"/>
      <c r="K2046" s="32"/>
      <c r="L2046" s="32" t="e">
        <f ca="1">_xludf.ifna(VLOOKUP(E2046,Parámetros!$D$2:$E$34,2,0),"")</f>
        <v>#NAME?</v>
      </c>
      <c r="M2046" s="32" t="e">
        <f ca="1">_xludf.ifna(VLOOKUP(G2046,Proyectos!$A$2:$T$674,20,0),"")</f>
        <v>#NAME?</v>
      </c>
      <c r="N2046" s="32" t="e">
        <f ca="1">_xludf.ifna(VLOOKUP(G2046,Proyectos!$A$2:$S$674,19,0))</f>
        <v>#NAME?</v>
      </c>
      <c r="O2046" s="32"/>
      <c r="P2046" s="32"/>
      <c r="Q2046" s="33"/>
      <c r="R2046" s="33"/>
      <c r="S2046" s="33"/>
      <c r="T2046" s="63">
        <f t="shared" si="17"/>
        <v>0</v>
      </c>
      <c r="U2046" s="33"/>
      <c r="V2046" s="33"/>
      <c r="W2046" s="33"/>
    </row>
    <row r="2047" spans="1:23" ht="16.5" customHeight="1" x14ac:dyDescent="0.2">
      <c r="A2047" s="26"/>
      <c r="B2047" s="26"/>
      <c r="C2047" s="26"/>
      <c r="D2047" s="26"/>
      <c r="E2047" s="26"/>
      <c r="F2047" s="28" t="e">
        <f ca="1">_xludf.ifna(VLOOKUP(G2047,Proyectos!$A$2:$F$674,6,0),"")</f>
        <v>#NAME?</v>
      </c>
      <c r="G2047" s="26"/>
      <c r="H2047" s="32"/>
      <c r="I2047" s="32"/>
      <c r="J2047" s="32"/>
      <c r="K2047" s="32"/>
      <c r="L2047" s="32" t="e">
        <f ca="1">_xludf.ifna(VLOOKUP(E2047,Parámetros!$D$2:$E$34,2,0),"")</f>
        <v>#NAME?</v>
      </c>
      <c r="M2047" s="32" t="e">
        <f ca="1">_xludf.ifna(VLOOKUP(G2047,Proyectos!$A$2:$T$674,20,0),"")</f>
        <v>#NAME?</v>
      </c>
      <c r="N2047" s="32" t="e">
        <f ca="1">_xludf.ifna(VLOOKUP(G2047,Proyectos!$A$2:$S$674,19,0))</f>
        <v>#NAME?</v>
      </c>
      <c r="O2047" s="32"/>
      <c r="P2047" s="32"/>
      <c r="Q2047" s="33"/>
      <c r="R2047" s="33"/>
      <c r="S2047" s="33"/>
      <c r="T2047" s="63">
        <f t="shared" si="17"/>
        <v>0</v>
      </c>
      <c r="U2047" s="33"/>
      <c r="V2047" s="33"/>
      <c r="W2047" s="33"/>
    </row>
    <row r="2048" spans="1:23" ht="16.5" customHeight="1" x14ac:dyDescent="0.2">
      <c r="A2048" s="26"/>
      <c r="B2048" s="26"/>
      <c r="C2048" s="26"/>
      <c r="D2048" s="26"/>
      <c r="E2048" s="26"/>
      <c r="F2048" s="28" t="e">
        <f ca="1">_xludf.ifna(VLOOKUP(G2048,Proyectos!$A$2:$F$674,6,0),"")</f>
        <v>#NAME?</v>
      </c>
      <c r="G2048" s="26"/>
      <c r="H2048" s="32"/>
      <c r="I2048" s="32"/>
      <c r="J2048" s="32"/>
      <c r="K2048" s="32"/>
      <c r="L2048" s="32" t="e">
        <f ca="1">_xludf.ifna(VLOOKUP(E2048,Parámetros!$D$2:$E$34,2,0),"")</f>
        <v>#NAME?</v>
      </c>
      <c r="M2048" s="32" t="e">
        <f ca="1">_xludf.ifna(VLOOKUP(G2048,Proyectos!$A$2:$T$674,20,0),"")</f>
        <v>#NAME?</v>
      </c>
      <c r="N2048" s="32" t="e">
        <f ca="1">_xludf.ifna(VLOOKUP(G2048,Proyectos!$A$2:$S$674,19,0))</f>
        <v>#NAME?</v>
      </c>
      <c r="O2048" s="32"/>
      <c r="P2048" s="32"/>
      <c r="Q2048" s="33"/>
      <c r="R2048" s="33"/>
      <c r="S2048" s="33"/>
      <c r="T2048" s="63">
        <f t="shared" si="17"/>
        <v>0</v>
      </c>
      <c r="U2048" s="33"/>
      <c r="V2048" s="33"/>
      <c r="W2048" s="33"/>
    </row>
    <row r="2049" spans="1:23" ht="16.5" customHeight="1" x14ac:dyDescent="0.2">
      <c r="A2049" s="26"/>
      <c r="B2049" s="26"/>
      <c r="C2049" s="26"/>
      <c r="D2049" s="26"/>
      <c r="E2049" s="26"/>
      <c r="F2049" s="28" t="e">
        <f ca="1">_xludf.ifna(VLOOKUP(G2049,Proyectos!$A$2:$F$674,6,0),"")</f>
        <v>#NAME?</v>
      </c>
      <c r="G2049" s="26"/>
      <c r="H2049" s="32"/>
      <c r="I2049" s="32"/>
      <c r="J2049" s="32"/>
      <c r="K2049" s="32"/>
      <c r="L2049" s="32" t="e">
        <f ca="1">_xludf.ifna(VLOOKUP(E2049,Parámetros!$D$2:$E$34,2,0),"")</f>
        <v>#NAME?</v>
      </c>
      <c r="M2049" s="32" t="e">
        <f ca="1">_xludf.ifna(VLOOKUP(G2049,Proyectos!$A$2:$T$674,20,0),"")</f>
        <v>#NAME?</v>
      </c>
      <c r="N2049" s="32" t="e">
        <f ca="1">_xludf.ifna(VLOOKUP(G2049,Proyectos!$A$2:$S$674,19,0))</f>
        <v>#NAME?</v>
      </c>
      <c r="O2049" s="32"/>
      <c r="P2049" s="32"/>
      <c r="Q2049" s="33"/>
      <c r="R2049" s="33"/>
      <c r="S2049" s="33"/>
      <c r="T2049" s="63">
        <f t="shared" si="17"/>
        <v>0</v>
      </c>
      <c r="U2049" s="33"/>
      <c r="V2049" s="33"/>
      <c r="W2049" s="33"/>
    </row>
    <row r="2050" spans="1:23" ht="16.5" customHeight="1" x14ac:dyDescent="0.2">
      <c r="A2050" s="26"/>
      <c r="B2050" s="26"/>
      <c r="C2050" s="26"/>
      <c r="D2050" s="26"/>
      <c r="E2050" s="26"/>
      <c r="F2050" s="28" t="e">
        <f ca="1">_xludf.ifna(VLOOKUP(G2050,Proyectos!$A$2:$F$674,6,0),"")</f>
        <v>#NAME?</v>
      </c>
      <c r="G2050" s="26"/>
      <c r="H2050" s="32"/>
      <c r="I2050" s="32"/>
      <c r="J2050" s="32"/>
      <c r="K2050" s="32"/>
      <c r="L2050" s="32" t="e">
        <f ca="1">_xludf.ifna(VLOOKUP(E2050,Parámetros!$D$2:$E$34,2,0),"")</f>
        <v>#NAME?</v>
      </c>
      <c r="M2050" s="32" t="e">
        <f ca="1">_xludf.ifna(VLOOKUP(G2050,Proyectos!$A$2:$T$674,20,0),"")</f>
        <v>#NAME?</v>
      </c>
      <c r="N2050" s="32" t="e">
        <f ca="1">_xludf.ifna(VLOOKUP(G2050,Proyectos!$A$2:$S$674,19,0))</f>
        <v>#NAME?</v>
      </c>
      <c r="O2050" s="32"/>
      <c r="P2050" s="32"/>
      <c r="Q2050" s="33"/>
      <c r="R2050" s="33"/>
      <c r="S2050" s="33"/>
      <c r="T2050" s="63">
        <f t="shared" si="17"/>
        <v>0</v>
      </c>
      <c r="U2050" s="33"/>
      <c r="V2050" s="33"/>
      <c r="W2050" s="33"/>
    </row>
    <row r="2051" spans="1:23" ht="16.5" customHeight="1" x14ac:dyDescent="0.2">
      <c r="A2051" s="26"/>
      <c r="B2051" s="26"/>
      <c r="C2051" s="26"/>
      <c r="D2051" s="26"/>
      <c r="E2051" s="26"/>
      <c r="F2051" s="28" t="e">
        <f ca="1">_xludf.ifna(VLOOKUP(G2051,Proyectos!$A$2:$F$674,6,0),"")</f>
        <v>#NAME?</v>
      </c>
      <c r="G2051" s="26"/>
      <c r="H2051" s="32"/>
      <c r="I2051" s="32"/>
      <c r="J2051" s="32"/>
      <c r="K2051" s="32"/>
      <c r="L2051" s="32" t="e">
        <f ca="1">_xludf.ifna(VLOOKUP(E2051,Parámetros!$D$2:$E$34,2,0),"")</f>
        <v>#NAME?</v>
      </c>
      <c r="M2051" s="32" t="e">
        <f ca="1">_xludf.ifna(VLOOKUP(G2051,Proyectos!$A$2:$T$674,20,0),"")</f>
        <v>#NAME?</v>
      </c>
      <c r="N2051" s="32" t="e">
        <f ca="1">_xludf.ifna(VLOOKUP(G2051,Proyectos!$A$2:$S$674,19,0))</f>
        <v>#NAME?</v>
      </c>
      <c r="O2051" s="32"/>
      <c r="P2051" s="32"/>
      <c r="Q2051" s="33"/>
      <c r="R2051" s="33"/>
      <c r="S2051" s="33"/>
      <c r="T2051" s="63">
        <f t="shared" si="17"/>
        <v>0</v>
      </c>
      <c r="U2051" s="33"/>
      <c r="V2051" s="33"/>
      <c r="W2051" s="33"/>
    </row>
    <row r="2052" spans="1:23" ht="16.5" customHeight="1" x14ac:dyDescent="0.2">
      <c r="A2052" s="26"/>
      <c r="B2052" s="26"/>
      <c r="C2052" s="26"/>
      <c r="D2052" s="26"/>
      <c r="E2052" s="26"/>
      <c r="F2052" s="28" t="e">
        <f ca="1">_xludf.ifna(VLOOKUP(G2052,Proyectos!$A$2:$F$674,6,0),"")</f>
        <v>#NAME?</v>
      </c>
      <c r="G2052" s="26"/>
      <c r="H2052" s="32"/>
      <c r="I2052" s="32"/>
      <c r="J2052" s="32"/>
      <c r="K2052" s="32"/>
      <c r="L2052" s="32" t="e">
        <f ca="1">_xludf.ifna(VLOOKUP(E2052,Parámetros!$D$2:$E$34,2,0),"")</f>
        <v>#NAME?</v>
      </c>
      <c r="M2052" s="32" t="e">
        <f ca="1">_xludf.ifna(VLOOKUP(G2052,Proyectos!$A$2:$T$674,20,0),"")</f>
        <v>#NAME?</v>
      </c>
      <c r="N2052" s="32" t="e">
        <f ca="1">_xludf.ifna(VLOOKUP(G2052,Proyectos!$A$2:$S$674,19,0))</f>
        <v>#NAME?</v>
      </c>
      <c r="O2052" s="32"/>
      <c r="P2052" s="32"/>
      <c r="Q2052" s="33"/>
      <c r="R2052" s="33"/>
      <c r="S2052" s="33"/>
      <c r="T2052" s="63">
        <f t="shared" si="17"/>
        <v>0</v>
      </c>
      <c r="U2052" s="33"/>
      <c r="V2052" s="33"/>
      <c r="W2052" s="33"/>
    </row>
    <row r="2053" spans="1:23" ht="16.5" customHeight="1" x14ac:dyDescent="0.2">
      <c r="A2053" s="26"/>
      <c r="B2053" s="26"/>
      <c r="C2053" s="26"/>
      <c r="D2053" s="26"/>
      <c r="E2053" s="26"/>
      <c r="F2053" s="28" t="e">
        <f ca="1">_xludf.ifna(VLOOKUP(G2053,Proyectos!$A$2:$F$674,6,0),"")</f>
        <v>#NAME?</v>
      </c>
      <c r="G2053" s="26"/>
      <c r="H2053" s="32"/>
      <c r="I2053" s="32"/>
      <c r="J2053" s="32"/>
      <c r="K2053" s="32"/>
      <c r="L2053" s="32" t="e">
        <f ca="1">_xludf.ifna(VLOOKUP(E2053,Parámetros!$D$2:$E$34,2,0),"")</f>
        <v>#NAME?</v>
      </c>
      <c r="M2053" s="32" t="e">
        <f ca="1">_xludf.ifna(VLOOKUP(G2053,Proyectos!$A$2:$T$674,20,0),"")</f>
        <v>#NAME?</v>
      </c>
      <c r="N2053" s="32" t="e">
        <f ca="1">_xludf.ifna(VLOOKUP(G2053,Proyectos!$A$2:$S$674,19,0))</f>
        <v>#NAME?</v>
      </c>
      <c r="O2053" s="32"/>
      <c r="P2053" s="32"/>
      <c r="Q2053" s="33"/>
      <c r="R2053" s="33"/>
      <c r="S2053" s="33"/>
      <c r="T2053" s="63">
        <f t="shared" si="17"/>
        <v>0</v>
      </c>
      <c r="U2053" s="33"/>
      <c r="V2053" s="33"/>
      <c r="W2053" s="33"/>
    </row>
    <row r="2054" spans="1:23" ht="16.5" customHeight="1" x14ac:dyDescent="0.2">
      <c r="A2054" s="26"/>
      <c r="B2054" s="26"/>
      <c r="C2054" s="26"/>
      <c r="D2054" s="26"/>
      <c r="E2054" s="26"/>
      <c r="F2054" s="28" t="e">
        <f ca="1">_xludf.ifna(VLOOKUP(G2054,Proyectos!$A$2:$F$674,6,0),"")</f>
        <v>#NAME?</v>
      </c>
      <c r="G2054" s="26"/>
      <c r="H2054" s="32"/>
      <c r="I2054" s="32"/>
      <c r="J2054" s="32"/>
      <c r="K2054" s="32"/>
      <c r="L2054" s="32" t="e">
        <f ca="1">_xludf.ifna(VLOOKUP(E2054,Parámetros!$D$2:$E$34,2,0),"")</f>
        <v>#NAME?</v>
      </c>
      <c r="M2054" s="32" t="e">
        <f ca="1">_xludf.ifna(VLOOKUP(G2054,Proyectos!$A$2:$T$674,20,0),"")</f>
        <v>#NAME?</v>
      </c>
      <c r="N2054" s="32" t="e">
        <f ca="1">_xludf.ifna(VLOOKUP(G2054,Proyectos!$A$2:$S$674,19,0))</f>
        <v>#NAME?</v>
      </c>
      <c r="O2054" s="32"/>
      <c r="P2054" s="32"/>
      <c r="Q2054" s="33"/>
      <c r="R2054" s="33"/>
      <c r="S2054" s="33"/>
      <c r="T2054" s="63">
        <f t="shared" si="17"/>
        <v>0</v>
      </c>
      <c r="U2054" s="33"/>
      <c r="V2054" s="33"/>
      <c r="W2054" s="33"/>
    </row>
    <row r="2055" spans="1:23" ht="16.5" customHeight="1" x14ac:dyDescent="0.2">
      <c r="A2055" s="26"/>
      <c r="B2055" s="26"/>
      <c r="C2055" s="26"/>
      <c r="D2055" s="26"/>
      <c r="E2055" s="26"/>
      <c r="F2055" s="28" t="e">
        <f ca="1">_xludf.ifna(VLOOKUP(G2055,Proyectos!$A$2:$F$674,6,0),"")</f>
        <v>#NAME?</v>
      </c>
      <c r="G2055" s="26"/>
      <c r="H2055" s="32"/>
      <c r="I2055" s="32"/>
      <c r="J2055" s="32"/>
      <c r="K2055" s="32"/>
      <c r="L2055" s="32" t="e">
        <f ca="1">_xludf.ifna(VLOOKUP(E2055,Parámetros!$D$2:$E$34,2,0),"")</f>
        <v>#NAME?</v>
      </c>
      <c r="M2055" s="32" t="e">
        <f ca="1">_xludf.ifna(VLOOKUP(G2055,Proyectos!$A$2:$T$674,20,0),"")</f>
        <v>#NAME?</v>
      </c>
      <c r="N2055" s="32" t="e">
        <f ca="1">_xludf.ifna(VLOOKUP(G2055,Proyectos!$A$2:$S$674,19,0))</f>
        <v>#NAME?</v>
      </c>
      <c r="O2055" s="32"/>
      <c r="P2055" s="32"/>
      <c r="Q2055" s="33"/>
      <c r="R2055" s="33"/>
      <c r="S2055" s="33"/>
      <c r="T2055" s="63">
        <f t="shared" si="17"/>
        <v>0</v>
      </c>
      <c r="U2055" s="33"/>
      <c r="V2055" s="33"/>
      <c r="W2055" s="33"/>
    </row>
    <row r="2056" spans="1:23" ht="16.5" customHeight="1" x14ac:dyDescent="0.2">
      <c r="A2056" s="26"/>
      <c r="B2056" s="26"/>
      <c r="C2056" s="26"/>
      <c r="D2056" s="26"/>
      <c r="E2056" s="26"/>
      <c r="F2056" s="28" t="e">
        <f ca="1">_xludf.ifna(VLOOKUP(G2056,Proyectos!$A$2:$F$674,6,0),"")</f>
        <v>#NAME?</v>
      </c>
      <c r="G2056" s="26"/>
      <c r="H2056" s="32"/>
      <c r="I2056" s="32"/>
      <c r="J2056" s="32"/>
      <c r="K2056" s="32"/>
      <c r="L2056" s="32" t="e">
        <f ca="1">_xludf.ifna(VLOOKUP(E2056,Parámetros!$D$2:$E$34,2,0),"")</f>
        <v>#NAME?</v>
      </c>
      <c r="M2056" s="32" t="e">
        <f ca="1">_xludf.ifna(VLOOKUP(G2056,Proyectos!$A$2:$T$674,20,0),"")</f>
        <v>#NAME?</v>
      </c>
      <c r="N2056" s="32" t="e">
        <f ca="1">_xludf.ifna(VLOOKUP(G2056,Proyectos!$A$2:$S$674,19,0))</f>
        <v>#NAME?</v>
      </c>
      <c r="O2056" s="32"/>
      <c r="P2056" s="32"/>
      <c r="Q2056" s="33"/>
      <c r="R2056" s="33"/>
      <c r="S2056" s="33"/>
      <c r="T2056" s="63">
        <f t="shared" si="17"/>
        <v>0</v>
      </c>
      <c r="U2056" s="33"/>
      <c r="V2056" s="33"/>
      <c r="W2056" s="33"/>
    </row>
    <row r="2057" spans="1:23" ht="16.5" customHeight="1" x14ac:dyDescent="0.2">
      <c r="A2057" s="26"/>
      <c r="B2057" s="26"/>
      <c r="C2057" s="26"/>
      <c r="D2057" s="26"/>
      <c r="E2057" s="26"/>
      <c r="F2057" s="28" t="e">
        <f ca="1">_xludf.ifna(VLOOKUP(G2057,Proyectos!$A$2:$F$674,6,0),"")</f>
        <v>#NAME?</v>
      </c>
      <c r="G2057" s="26"/>
      <c r="H2057" s="32"/>
      <c r="I2057" s="32"/>
      <c r="J2057" s="32"/>
      <c r="K2057" s="32"/>
      <c r="L2057" s="32" t="e">
        <f ca="1">_xludf.ifna(VLOOKUP(E2057,Parámetros!$D$2:$E$34,2,0),"")</f>
        <v>#NAME?</v>
      </c>
      <c r="M2057" s="32" t="e">
        <f ca="1">_xludf.ifna(VLOOKUP(G2057,Proyectos!$A$2:$T$674,20,0),"")</f>
        <v>#NAME?</v>
      </c>
      <c r="N2057" s="32" t="e">
        <f ca="1">_xludf.ifna(VLOOKUP(G2057,Proyectos!$A$2:$S$674,19,0))</f>
        <v>#NAME?</v>
      </c>
      <c r="O2057" s="32"/>
      <c r="P2057" s="32"/>
      <c r="Q2057" s="33"/>
      <c r="R2057" s="33"/>
      <c r="S2057" s="33"/>
      <c r="T2057" s="63">
        <f t="shared" si="17"/>
        <v>0</v>
      </c>
      <c r="U2057" s="33"/>
      <c r="V2057" s="33"/>
      <c r="W2057" s="33"/>
    </row>
    <row r="2058" spans="1:23" ht="16.5" customHeight="1" x14ac:dyDescent="0.2">
      <c r="A2058" s="26"/>
      <c r="B2058" s="26"/>
      <c r="C2058" s="26"/>
      <c r="D2058" s="26"/>
      <c r="E2058" s="26"/>
      <c r="F2058" s="28" t="e">
        <f ca="1">_xludf.ifna(VLOOKUP(G2058,Proyectos!$A$2:$F$674,6,0),"")</f>
        <v>#NAME?</v>
      </c>
      <c r="G2058" s="26"/>
      <c r="H2058" s="32"/>
      <c r="I2058" s="32"/>
      <c r="J2058" s="32"/>
      <c r="K2058" s="32"/>
      <c r="L2058" s="32" t="e">
        <f ca="1">_xludf.ifna(VLOOKUP(E2058,Parámetros!$D$2:$E$34,2,0),"")</f>
        <v>#NAME?</v>
      </c>
      <c r="M2058" s="32" t="e">
        <f ca="1">_xludf.ifna(VLOOKUP(G2058,Proyectos!$A$2:$T$674,20,0),"")</f>
        <v>#NAME?</v>
      </c>
      <c r="N2058" s="32" t="e">
        <f ca="1">_xludf.ifna(VLOOKUP(G2058,Proyectos!$A$2:$S$674,19,0))</f>
        <v>#NAME?</v>
      </c>
      <c r="O2058" s="32"/>
      <c r="P2058" s="32"/>
      <c r="Q2058" s="33"/>
      <c r="R2058" s="33"/>
      <c r="S2058" s="33"/>
      <c r="T2058" s="63">
        <f t="shared" si="17"/>
        <v>0</v>
      </c>
      <c r="U2058" s="33"/>
      <c r="V2058" s="33"/>
      <c r="W2058" s="33"/>
    </row>
    <row r="2059" spans="1:23" ht="16.5" customHeight="1" x14ac:dyDescent="0.2">
      <c r="A2059" s="26"/>
      <c r="B2059" s="26"/>
      <c r="C2059" s="26"/>
      <c r="D2059" s="26"/>
      <c r="E2059" s="26"/>
      <c r="F2059" s="28" t="e">
        <f ca="1">_xludf.ifna(VLOOKUP(G2059,Proyectos!$A$2:$F$674,6,0),"")</f>
        <v>#NAME?</v>
      </c>
      <c r="G2059" s="26"/>
      <c r="H2059" s="32"/>
      <c r="I2059" s="32"/>
      <c r="J2059" s="32"/>
      <c r="K2059" s="32"/>
      <c r="L2059" s="32" t="e">
        <f ca="1">_xludf.ifna(VLOOKUP(E2059,Parámetros!$D$2:$E$34,2,0),"")</f>
        <v>#NAME?</v>
      </c>
      <c r="M2059" s="32" t="e">
        <f ca="1">_xludf.ifna(VLOOKUP(G2059,Proyectos!$A$2:$T$674,20,0),"")</f>
        <v>#NAME?</v>
      </c>
      <c r="N2059" s="32" t="e">
        <f ca="1">_xludf.ifna(VLOOKUP(G2059,Proyectos!$A$2:$S$674,19,0))</f>
        <v>#NAME?</v>
      </c>
      <c r="O2059" s="32"/>
      <c r="P2059" s="32"/>
      <c r="Q2059" s="33"/>
      <c r="R2059" s="33"/>
      <c r="S2059" s="33"/>
      <c r="T2059" s="63">
        <f t="shared" si="17"/>
        <v>0</v>
      </c>
      <c r="U2059" s="33"/>
      <c r="V2059" s="33"/>
      <c r="W2059" s="33"/>
    </row>
    <row r="2060" spans="1:23" ht="16.5" customHeight="1" x14ac:dyDescent="0.2">
      <c r="A2060" s="26"/>
      <c r="B2060" s="26"/>
      <c r="C2060" s="26"/>
      <c r="D2060" s="26"/>
      <c r="E2060" s="26"/>
      <c r="F2060" s="28" t="e">
        <f ca="1">_xludf.ifna(VLOOKUP(G2060,Proyectos!$A$2:$F$674,6,0),"")</f>
        <v>#NAME?</v>
      </c>
      <c r="G2060" s="26"/>
      <c r="H2060" s="32"/>
      <c r="I2060" s="32"/>
      <c r="J2060" s="32"/>
      <c r="K2060" s="32"/>
      <c r="L2060" s="32" t="e">
        <f ca="1">_xludf.ifna(VLOOKUP(E2060,Parámetros!$D$2:$E$34,2,0),"")</f>
        <v>#NAME?</v>
      </c>
      <c r="M2060" s="32" t="e">
        <f ca="1">_xludf.ifna(VLOOKUP(G2060,Proyectos!$A$2:$T$674,20,0),"")</f>
        <v>#NAME?</v>
      </c>
      <c r="N2060" s="32" t="e">
        <f ca="1">_xludf.ifna(VLOOKUP(G2060,Proyectos!$A$2:$S$674,19,0))</f>
        <v>#NAME?</v>
      </c>
      <c r="O2060" s="32"/>
      <c r="P2060" s="32"/>
      <c r="Q2060" s="33"/>
      <c r="R2060" s="33"/>
      <c r="S2060" s="33"/>
      <c r="T2060" s="63">
        <f t="shared" si="17"/>
        <v>0</v>
      </c>
      <c r="U2060" s="33"/>
      <c r="V2060" s="33"/>
      <c r="W2060" s="33"/>
    </row>
    <row r="2061" spans="1:23" ht="16.5" customHeight="1" x14ac:dyDescent="0.2">
      <c r="A2061" s="26"/>
      <c r="B2061" s="26"/>
      <c r="C2061" s="26"/>
      <c r="D2061" s="26"/>
      <c r="E2061" s="26"/>
      <c r="F2061" s="28" t="e">
        <f ca="1">_xludf.ifna(VLOOKUP(G2061,Proyectos!$A$2:$F$674,6,0),"")</f>
        <v>#NAME?</v>
      </c>
      <c r="G2061" s="26"/>
      <c r="H2061" s="32"/>
      <c r="I2061" s="32"/>
      <c r="J2061" s="32"/>
      <c r="K2061" s="32"/>
      <c r="L2061" s="32" t="e">
        <f ca="1">_xludf.ifna(VLOOKUP(E2061,Parámetros!$D$2:$E$34,2,0),"")</f>
        <v>#NAME?</v>
      </c>
      <c r="M2061" s="32" t="e">
        <f ca="1">_xludf.ifna(VLOOKUP(G2061,Proyectos!$A$2:$T$674,20,0),"")</f>
        <v>#NAME?</v>
      </c>
      <c r="N2061" s="32" t="e">
        <f ca="1">_xludf.ifna(VLOOKUP(G2061,Proyectos!$A$2:$S$674,19,0))</f>
        <v>#NAME?</v>
      </c>
      <c r="O2061" s="32"/>
      <c r="P2061" s="32"/>
      <c r="Q2061" s="33"/>
      <c r="R2061" s="33"/>
      <c r="S2061" s="33"/>
      <c r="T2061" s="63">
        <f t="shared" si="17"/>
        <v>0</v>
      </c>
      <c r="U2061" s="33"/>
      <c r="V2061" s="33"/>
      <c r="W2061" s="33"/>
    </row>
    <row r="2062" spans="1:23" ht="16.5" customHeight="1" x14ac:dyDescent="0.2">
      <c r="A2062" s="26"/>
      <c r="B2062" s="26"/>
      <c r="C2062" s="26"/>
      <c r="D2062" s="26"/>
      <c r="E2062" s="26"/>
      <c r="F2062" s="28" t="e">
        <f ca="1">_xludf.ifna(VLOOKUP(G2062,Proyectos!$A$2:$F$674,6,0),"")</f>
        <v>#NAME?</v>
      </c>
      <c r="G2062" s="26"/>
      <c r="H2062" s="32"/>
      <c r="I2062" s="32"/>
      <c r="J2062" s="32"/>
      <c r="K2062" s="32"/>
      <c r="L2062" s="32" t="e">
        <f ca="1">_xludf.ifna(VLOOKUP(E2062,Parámetros!$D$2:$E$34,2,0),"")</f>
        <v>#NAME?</v>
      </c>
      <c r="M2062" s="32" t="e">
        <f ca="1">_xludf.ifna(VLOOKUP(G2062,Proyectos!$A$2:$T$674,20,0),"")</f>
        <v>#NAME?</v>
      </c>
      <c r="N2062" s="32" t="e">
        <f ca="1">_xludf.ifna(VLOOKUP(G2062,Proyectos!$A$2:$S$674,19,0))</f>
        <v>#NAME?</v>
      </c>
      <c r="O2062" s="32"/>
      <c r="P2062" s="32"/>
      <c r="Q2062" s="33"/>
      <c r="R2062" s="33"/>
      <c r="S2062" s="33"/>
      <c r="T2062" s="63">
        <f t="shared" si="17"/>
        <v>0</v>
      </c>
      <c r="U2062" s="33"/>
      <c r="V2062" s="33"/>
      <c r="W2062" s="33"/>
    </row>
    <row r="2063" spans="1:23" ht="16.5" customHeight="1" x14ac:dyDescent="0.2">
      <c r="A2063" s="26"/>
      <c r="B2063" s="26"/>
      <c r="C2063" s="26"/>
      <c r="D2063" s="26"/>
      <c r="E2063" s="26"/>
      <c r="F2063" s="28" t="e">
        <f ca="1">_xludf.ifna(VLOOKUP(G2063,Proyectos!$A$2:$F$674,6,0),"")</f>
        <v>#NAME?</v>
      </c>
      <c r="G2063" s="26"/>
      <c r="H2063" s="32"/>
      <c r="I2063" s="32"/>
      <c r="J2063" s="32"/>
      <c r="K2063" s="32"/>
      <c r="L2063" s="32" t="e">
        <f ca="1">_xludf.ifna(VLOOKUP(E2063,Parámetros!$D$2:$E$34,2,0),"")</f>
        <v>#NAME?</v>
      </c>
      <c r="M2063" s="32" t="e">
        <f ca="1">_xludf.ifna(VLOOKUP(G2063,Proyectos!$A$2:$T$674,20,0),"")</f>
        <v>#NAME?</v>
      </c>
      <c r="N2063" s="32" t="e">
        <f ca="1">_xludf.ifna(VLOOKUP(G2063,Proyectos!$A$2:$S$674,19,0))</f>
        <v>#NAME?</v>
      </c>
      <c r="O2063" s="32"/>
      <c r="P2063" s="32"/>
      <c r="Q2063" s="33"/>
      <c r="R2063" s="33"/>
      <c r="S2063" s="33"/>
      <c r="T2063" s="63">
        <f t="shared" si="17"/>
        <v>0</v>
      </c>
      <c r="U2063" s="33"/>
      <c r="V2063" s="33"/>
      <c r="W2063" s="33"/>
    </row>
    <row r="2064" spans="1:23" ht="16.5" customHeight="1" x14ac:dyDescent="0.2">
      <c r="A2064" s="26"/>
      <c r="B2064" s="26"/>
      <c r="C2064" s="26"/>
      <c r="D2064" s="26"/>
      <c r="E2064" s="26"/>
      <c r="F2064" s="28" t="e">
        <f ca="1">_xludf.ifna(VLOOKUP(G2064,Proyectos!$A$2:$F$674,6,0),"")</f>
        <v>#NAME?</v>
      </c>
      <c r="G2064" s="26"/>
      <c r="H2064" s="32"/>
      <c r="I2064" s="32"/>
      <c r="J2064" s="32"/>
      <c r="K2064" s="32"/>
      <c r="L2064" s="32" t="e">
        <f ca="1">_xludf.ifna(VLOOKUP(E2064,Parámetros!$D$2:$E$34,2,0),"")</f>
        <v>#NAME?</v>
      </c>
      <c r="M2064" s="32" t="e">
        <f ca="1">_xludf.ifna(VLOOKUP(G2064,Proyectos!$A$2:$T$674,20,0),"")</f>
        <v>#NAME?</v>
      </c>
      <c r="N2064" s="32" t="e">
        <f ca="1">_xludf.ifna(VLOOKUP(G2064,Proyectos!$A$2:$S$674,19,0))</f>
        <v>#NAME?</v>
      </c>
      <c r="O2064" s="32"/>
      <c r="P2064" s="32"/>
      <c r="Q2064" s="33"/>
      <c r="R2064" s="33"/>
      <c r="S2064" s="33"/>
      <c r="T2064" s="63">
        <f t="shared" si="17"/>
        <v>0</v>
      </c>
      <c r="U2064" s="33"/>
      <c r="V2064" s="33"/>
      <c r="W2064" s="33"/>
    </row>
    <row r="2065" spans="1:23" ht="16.5" customHeight="1" x14ac:dyDescent="0.2">
      <c r="A2065" s="26"/>
      <c r="B2065" s="26"/>
      <c r="C2065" s="26"/>
      <c r="D2065" s="26"/>
      <c r="E2065" s="26"/>
      <c r="F2065" s="28" t="e">
        <f ca="1">_xludf.ifna(VLOOKUP(G2065,Proyectos!$A$2:$F$674,6,0),"")</f>
        <v>#NAME?</v>
      </c>
      <c r="G2065" s="26"/>
      <c r="H2065" s="32"/>
      <c r="I2065" s="32"/>
      <c r="J2065" s="32"/>
      <c r="K2065" s="32"/>
      <c r="L2065" s="32" t="e">
        <f ca="1">_xludf.ifna(VLOOKUP(E2065,Parámetros!$D$2:$E$34,2,0),"")</f>
        <v>#NAME?</v>
      </c>
      <c r="M2065" s="32" t="e">
        <f ca="1">_xludf.ifna(VLOOKUP(G2065,Proyectos!$A$2:$T$674,20,0),"")</f>
        <v>#NAME?</v>
      </c>
      <c r="N2065" s="32" t="e">
        <f ca="1">_xludf.ifna(VLOOKUP(G2065,Proyectos!$A$2:$S$674,19,0))</f>
        <v>#NAME?</v>
      </c>
      <c r="O2065" s="32"/>
      <c r="P2065" s="32"/>
      <c r="Q2065" s="33"/>
      <c r="R2065" s="33"/>
      <c r="S2065" s="33"/>
      <c r="T2065" s="63">
        <f t="shared" si="17"/>
        <v>0</v>
      </c>
      <c r="U2065" s="33"/>
      <c r="V2065" s="33"/>
      <c r="W2065" s="33"/>
    </row>
    <row r="2066" spans="1:23" ht="16.5" customHeight="1" x14ac:dyDescent="0.2">
      <c r="A2066" s="26"/>
      <c r="B2066" s="26"/>
      <c r="C2066" s="26"/>
      <c r="D2066" s="26"/>
      <c r="E2066" s="26"/>
      <c r="F2066" s="28" t="e">
        <f ca="1">_xludf.ifna(VLOOKUP(G2066,Proyectos!$A$2:$F$674,6,0),"")</f>
        <v>#NAME?</v>
      </c>
      <c r="G2066" s="26"/>
      <c r="H2066" s="32"/>
      <c r="I2066" s="32"/>
      <c r="J2066" s="32"/>
      <c r="K2066" s="32"/>
      <c r="L2066" s="32" t="e">
        <f ca="1">_xludf.ifna(VLOOKUP(E2066,Parámetros!$D$2:$E$34,2,0),"")</f>
        <v>#NAME?</v>
      </c>
      <c r="M2066" s="32" t="e">
        <f ca="1">_xludf.ifna(VLOOKUP(G2066,Proyectos!$A$2:$T$674,20,0),"")</f>
        <v>#NAME?</v>
      </c>
      <c r="N2066" s="32" t="e">
        <f ca="1">_xludf.ifna(VLOOKUP(G2066,Proyectos!$A$2:$S$674,19,0))</f>
        <v>#NAME?</v>
      </c>
      <c r="O2066" s="32"/>
      <c r="P2066" s="32"/>
      <c r="Q2066" s="33"/>
      <c r="R2066" s="33"/>
      <c r="S2066" s="33"/>
      <c r="T2066" s="63">
        <f t="shared" si="17"/>
        <v>0</v>
      </c>
      <c r="U2066" s="33"/>
      <c r="V2066" s="33"/>
      <c r="W2066" s="33"/>
    </row>
    <row r="2067" spans="1:23" ht="16.5" customHeight="1" x14ac:dyDescent="0.2">
      <c r="A2067" s="26"/>
      <c r="B2067" s="26"/>
      <c r="C2067" s="26"/>
      <c r="D2067" s="26"/>
      <c r="E2067" s="26"/>
      <c r="F2067" s="28" t="e">
        <f ca="1">_xludf.ifna(VLOOKUP(G2067,Proyectos!$A$2:$F$674,6,0),"")</f>
        <v>#NAME?</v>
      </c>
      <c r="G2067" s="26"/>
      <c r="H2067" s="32"/>
      <c r="I2067" s="32"/>
      <c r="J2067" s="32"/>
      <c r="K2067" s="32"/>
      <c r="L2067" s="32" t="e">
        <f ca="1">_xludf.ifna(VLOOKUP(E2067,Parámetros!$D$2:$E$34,2,0),"")</f>
        <v>#NAME?</v>
      </c>
      <c r="M2067" s="32" t="e">
        <f ca="1">_xludf.ifna(VLOOKUP(G2067,Proyectos!$A$2:$T$674,20,0),"")</f>
        <v>#NAME?</v>
      </c>
      <c r="N2067" s="32" t="e">
        <f ca="1">_xludf.ifna(VLOOKUP(G2067,Proyectos!$A$2:$S$674,19,0))</f>
        <v>#NAME?</v>
      </c>
      <c r="O2067" s="32"/>
      <c r="P2067" s="32"/>
      <c r="Q2067" s="33"/>
      <c r="R2067" s="33"/>
      <c r="S2067" s="33"/>
      <c r="T2067" s="63">
        <f t="shared" si="17"/>
        <v>0</v>
      </c>
      <c r="U2067" s="33"/>
      <c r="V2067" s="33"/>
      <c r="W2067" s="33"/>
    </row>
    <row r="2068" spans="1:23" ht="16.5" customHeight="1" x14ac:dyDescent="0.2">
      <c r="A2068" s="26"/>
      <c r="B2068" s="26"/>
      <c r="C2068" s="26"/>
      <c r="D2068" s="26"/>
      <c r="E2068" s="26"/>
      <c r="F2068" s="28" t="e">
        <f ca="1">_xludf.ifna(VLOOKUP(G2068,Proyectos!$A$2:$F$674,6,0),"")</f>
        <v>#NAME?</v>
      </c>
      <c r="G2068" s="26"/>
      <c r="H2068" s="32"/>
      <c r="I2068" s="32"/>
      <c r="J2068" s="32"/>
      <c r="K2068" s="32"/>
      <c r="L2068" s="32" t="e">
        <f ca="1">_xludf.ifna(VLOOKUP(E2068,Parámetros!$D$2:$E$34,2,0),"")</f>
        <v>#NAME?</v>
      </c>
      <c r="M2068" s="32" t="e">
        <f ca="1">_xludf.ifna(VLOOKUP(G2068,Proyectos!$A$2:$T$674,20,0),"")</f>
        <v>#NAME?</v>
      </c>
      <c r="N2068" s="32" t="e">
        <f ca="1">_xludf.ifna(VLOOKUP(G2068,Proyectos!$A$2:$S$674,19,0))</f>
        <v>#NAME?</v>
      </c>
      <c r="O2068" s="32"/>
      <c r="P2068" s="32"/>
      <c r="Q2068" s="33"/>
      <c r="R2068" s="33"/>
      <c r="S2068" s="33"/>
      <c r="T2068" s="63">
        <f t="shared" si="17"/>
        <v>0</v>
      </c>
      <c r="U2068" s="33"/>
      <c r="V2068" s="33"/>
      <c r="W2068" s="33"/>
    </row>
    <row r="2069" spans="1:23" ht="16.5" customHeight="1" x14ac:dyDescent="0.2">
      <c r="A2069" s="26"/>
      <c r="B2069" s="26"/>
      <c r="C2069" s="26"/>
      <c r="D2069" s="26"/>
      <c r="E2069" s="26"/>
      <c r="F2069" s="28" t="e">
        <f ca="1">_xludf.ifna(VLOOKUP(G2069,Proyectos!$A$2:$F$674,6,0),"")</f>
        <v>#NAME?</v>
      </c>
      <c r="G2069" s="26"/>
      <c r="H2069" s="32"/>
      <c r="I2069" s="32"/>
      <c r="J2069" s="32"/>
      <c r="K2069" s="32"/>
      <c r="L2069" s="32" t="e">
        <f ca="1">_xludf.ifna(VLOOKUP(E2069,Parámetros!$D$2:$E$34,2,0),"")</f>
        <v>#NAME?</v>
      </c>
      <c r="M2069" s="32" t="e">
        <f ca="1">_xludf.ifna(VLOOKUP(G2069,Proyectos!$A$2:$T$674,20,0),"")</f>
        <v>#NAME?</v>
      </c>
      <c r="N2069" s="32" t="e">
        <f ca="1">_xludf.ifna(VLOOKUP(G2069,Proyectos!$A$2:$S$674,19,0))</f>
        <v>#NAME?</v>
      </c>
      <c r="O2069" s="32"/>
      <c r="P2069" s="32"/>
      <c r="Q2069" s="33"/>
      <c r="R2069" s="33"/>
      <c r="S2069" s="33"/>
      <c r="T2069" s="63">
        <f t="shared" si="17"/>
        <v>0</v>
      </c>
      <c r="U2069" s="33"/>
      <c r="V2069" s="33"/>
      <c r="W2069" s="33"/>
    </row>
    <row r="2070" spans="1:23" ht="16.5" customHeight="1" x14ac:dyDescent="0.2">
      <c r="A2070" s="26"/>
      <c r="B2070" s="26"/>
      <c r="C2070" s="26"/>
      <c r="D2070" s="26"/>
      <c r="E2070" s="26"/>
      <c r="F2070" s="28" t="e">
        <f ca="1">_xludf.ifna(VLOOKUP(G2070,Proyectos!$A$2:$F$674,6,0),"")</f>
        <v>#NAME?</v>
      </c>
      <c r="G2070" s="26"/>
      <c r="H2070" s="32"/>
      <c r="I2070" s="32"/>
      <c r="J2070" s="32"/>
      <c r="K2070" s="32"/>
      <c r="L2070" s="32" t="e">
        <f ca="1">_xludf.ifna(VLOOKUP(E2070,Parámetros!$D$2:$E$34,2,0),"")</f>
        <v>#NAME?</v>
      </c>
      <c r="M2070" s="32" t="e">
        <f ca="1">_xludf.ifna(VLOOKUP(G2070,Proyectos!$A$2:$T$674,20,0),"")</f>
        <v>#NAME?</v>
      </c>
      <c r="N2070" s="32" t="e">
        <f ca="1">_xludf.ifna(VLOOKUP(G2070,Proyectos!$A$2:$S$674,19,0))</f>
        <v>#NAME?</v>
      </c>
      <c r="O2070" s="32"/>
      <c r="P2070" s="32"/>
      <c r="Q2070" s="33"/>
      <c r="R2070" s="33"/>
      <c r="S2070" s="33"/>
      <c r="T2070" s="63">
        <f t="shared" si="17"/>
        <v>0</v>
      </c>
      <c r="U2070" s="33"/>
      <c r="V2070" s="33"/>
      <c r="W2070" s="33"/>
    </row>
    <row r="2071" spans="1:23" ht="16.5" customHeight="1" x14ac:dyDescent="0.2">
      <c r="A2071" s="26"/>
      <c r="B2071" s="26"/>
      <c r="C2071" s="26"/>
      <c r="D2071" s="26"/>
      <c r="E2071" s="26"/>
      <c r="F2071" s="28" t="e">
        <f ca="1">_xludf.ifna(VLOOKUP(G2071,Proyectos!$A$2:$F$674,6,0),"")</f>
        <v>#NAME?</v>
      </c>
      <c r="G2071" s="26"/>
      <c r="H2071" s="32"/>
      <c r="I2071" s="32"/>
      <c r="J2071" s="32"/>
      <c r="K2071" s="32"/>
      <c r="L2071" s="32" t="e">
        <f ca="1">_xludf.ifna(VLOOKUP(E2071,Parámetros!$D$2:$E$34,2,0),"")</f>
        <v>#NAME?</v>
      </c>
      <c r="M2071" s="32" t="e">
        <f ca="1">_xludf.ifna(VLOOKUP(G2071,Proyectos!$A$2:$T$674,20,0),"")</f>
        <v>#NAME?</v>
      </c>
      <c r="N2071" s="32" t="e">
        <f ca="1">_xludf.ifna(VLOOKUP(G2071,Proyectos!$A$2:$S$674,19,0))</f>
        <v>#NAME?</v>
      </c>
      <c r="O2071" s="32"/>
      <c r="P2071" s="32"/>
      <c r="Q2071" s="33"/>
      <c r="R2071" s="33"/>
      <c r="S2071" s="33"/>
      <c r="T2071" s="63">
        <f t="shared" ref="T2071:T2142" si="18">IF(B2071=B2070,0,1)</f>
        <v>0</v>
      </c>
      <c r="U2071" s="33"/>
      <c r="V2071" s="33"/>
      <c r="W2071" s="33"/>
    </row>
    <row r="2072" spans="1:23" ht="16.5" customHeight="1" x14ac:dyDescent="0.2">
      <c r="A2072" s="26"/>
      <c r="B2072" s="26"/>
      <c r="C2072" s="26"/>
      <c r="D2072" s="26"/>
      <c r="E2072" s="26"/>
      <c r="F2072" s="28" t="e">
        <f ca="1">_xludf.ifna(VLOOKUP(G2072,Proyectos!$A$2:$F$674,6,0),"")</f>
        <v>#NAME?</v>
      </c>
      <c r="G2072" s="26"/>
      <c r="H2072" s="32"/>
      <c r="I2072" s="32"/>
      <c r="J2072" s="32"/>
      <c r="K2072" s="32"/>
      <c r="L2072" s="32" t="e">
        <f ca="1">_xludf.ifna(VLOOKUP(E2072,Parámetros!$D$2:$E$34,2,0),"")</f>
        <v>#NAME?</v>
      </c>
      <c r="M2072" s="32" t="e">
        <f ca="1">_xludf.ifna(VLOOKUP(G2072,Proyectos!$A$2:$T$674,20,0),"")</f>
        <v>#NAME?</v>
      </c>
      <c r="N2072" s="32" t="e">
        <f ca="1">_xludf.ifna(VLOOKUP(G2072,Proyectos!$A$2:$S$674,19,0))</f>
        <v>#NAME?</v>
      </c>
      <c r="O2072" s="32"/>
      <c r="P2072" s="32"/>
      <c r="Q2072" s="33"/>
      <c r="R2072" s="33"/>
      <c r="S2072" s="33"/>
      <c r="T2072" s="63">
        <f t="shared" si="18"/>
        <v>0</v>
      </c>
      <c r="U2072" s="33"/>
      <c r="V2072" s="33"/>
      <c r="W2072" s="33"/>
    </row>
    <row r="2073" spans="1:23" ht="16.5" customHeight="1" x14ac:dyDescent="0.2">
      <c r="A2073" s="26"/>
      <c r="B2073" s="26"/>
      <c r="C2073" s="26"/>
      <c r="D2073" s="26"/>
      <c r="E2073" s="26"/>
      <c r="F2073" s="28" t="e">
        <f ca="1">_xludf.ifna(VLOOKUP(G2073,Proyectos!$A$2:$F$674,6,0),"")</f>
        <v>#NAME?</v>
      </c>
      <c r="G2073" s="26"/>
      <c r="H2073" s="32"/>
      <c r="I2073" s="32"/>
      <c r="J2073" s="32"/>
      <c r="K2073" s="32"/>
      <c r="L2073" s="32" t="e">
        <f ca="1">_xludf.ifna(VLOOKUP(E2073,Parámetros!$D$2:$E$34,2,0),"")</f>
        <v>#NAME?</v>
      </c>
      <c r="M2073" s="32" t="e">
        <f ca="1">_xludf.ifna(VLOOKUP(G2073,Proyectos!$A$2:$T$674,20,0),"")</f>
        <v>#NAME?</v>
      </c>
      <c r="N2073" s="32" t="e">
        <f ca="1">_xludf.ifna(VLOOKUP(G2073,Proyectos!$A$2:$S$674,19,0))</f>
        <v>#NAME?</v>
      </c>
      <c r="O2073" s="32"/>
      <c r="P2073" s="32"/>
      <c r="Q2073" s="33"/>
      <c r="R2073" s="33"/>
      <c r="S2073" s="33"/>
      <c r="T2073" s="63">
        <f t="shared" si="18"/>
        <v>0</v>
      </c>
      <c r="U2073" s="33"/>
      <c r="V2073" s="33"/>
      <c r="W2073" s="33"/>
    </row>
    <row r="2074" spans="1:23" ht="16.5" customHeight="1" x14ac:dyDescent="0.2">
      <c r="A2074" s="26"/>
      <c r="B2074" s="26"/>
      <c r="C2074" s="26"/>
      <c r="D2074" s="26"/>
      <c r="E2074" s="26"/>
      <c r="F2074" s="28" t="e">
        <f ca="1">_xludf.ifna(VLOOKUP(G2074,Proyectos!$A$2:$F$674,6,0),"")</f>
        <v>#NAME?</v>
      </c>
      <c r="G2074" s="26"/>
      <c r="H2074" s="32"/>
      <c r="I2074" s="32"/>
      <c r="J2074" s="32"/>
      <c r="K2074" s="32"/>
      <c r="L2074" s="32" t="e">
        <f ca="1">_xludf.ifna(VLOOKUP(E2074,Parámetros!$D$2:$E$34,2,0),"")</f>
        <v>#NAME?</v>
      </c>
      <c r="M2074" s="32" t="e">
        <f ca="1">_xludf.ifna(VLOOKUP(G2074,Proyectos!$A$2:$T$674,20,0),"")</f>
        <v>#NAME?</v>
      </c>
      <c r="N2074" s="32" t="e">
        <f ca="1">_xludf.ifna(VLOOKUP(G2074,Proyectos!$A$2:$S$674,19,0))</f>
        <v>#NAME?</v>
      </c>
      <c r="O2074" s="32"/>
      <c r="P2074" s="32"/>
      <c r="Q2074" s="33"/>
      <c r="R2074" s="33"/>
      <c r="S2074" s="33"/>
      <c r="T2074" s="63">
        <f t="shared" si="18"/>
        <v>0</v>
      </c>
      <c r="U2074" s="33"/>
      <c r="V2074" s="33"/>
      <c r="W2074" s="33"/>
    </row>
    <row r="2075" spans="1:23" ht="16.5" customHeight="1" x14ac:dyDescent="0.2">
      <c r="A2075" s="26"/>
      <c r="B2075" s="26"/>
      <c r="C2075" s="26"/>
      <c r="D2075" s="26"/>
      <c r="E2075" s="26"/>
      <c r="F2075" s="28" t="e">
        <f ca="1">_xludf.ifna(VLOOKUP(G2075,Proyectos!$A$2:$F$674,6,0),"")</f>
        <v>#NAME?</v>
      </c>
      <c r="G2075" s="26"/>
      <c r="H2075" s="32"/>
      <c r="I2075" s="32"/>
      <c r="J2075" s="32"/>
      <c r="K2075" s="32"/>
      <c r="L2075" s="32" t="e">
        <f ca="1">_xludf.ifna(VLOOKUP(E2075,Parámetros!$D$2:$E$34,2,0),"")</f>
        <v>#NAME?</v>
      </c>
      <c r="M2075" s="32" t="e">
        <f ca="1">_xludf.ifna(VLOOKUP(G2075,Proyectos!$A$2:$T$674,20,0),"")</f>
        <v>#NAME?</v>
      </c>
      <c r="N2075" s="32" t="e">
        <f ca="1">_xludf.ifna(VLOOKUP(G2075,Proyectos!$A$2:$S$674,19,0))</f>
        <v>#NAME?</v>
      </c>
      <c r="O2075" s="32"/>
      <c r="P2075" s="32"/>
      <c r="Q2075" s="33"/>
      <c r="R2075" s="33"/>
      <c r="S2075" s="33"/>
      <c r="T2075" s="63">
        <f t="shared" si="18"/>
        <v>0</v>
      </c>
      <c r="U2075" s="33"/>
      <c r="V2075" s="33"/>
      <c r="W2075" s="33"/>
    </row>
    <row r="2076" spans="1:23" ht="16.5" customHeight="1" x14ac:dyDescent="0.2">
      <c r="A2076" s="26"/>
      <c r="B2076" s="26"/>
      <c r="C2076" s="26"/>
      <c r="D2076" s="26"/>
      <c r="E2076" s="26"/>
      <c r="F2076" s="28" t="e">
        <f ca="1">_xludf.ifna(VLOOKUP(G2076,Proyectos!$A$2:$F$674,6,0),"")</f>
        <v>#NAME?</v>
      </c>
      <c r="G2076" s="26"/>
      <c r="H2076" s="32"/>
      <c r="I2076" s="32"/>
      <c r="J2076" s="32"/>
      <c r="K2076" s="32"/>
      <c r="L2076" s="32" t="e">
        <f ca="1">_xludf.ifna(VLOOKUP(E2076,Parámetros!$D$2:$E$34,2,0),"")</f>
        <v>#NAME?</v>
      </c>
      <c r="M2076" s="32" t="e">
        <f ca="1">_xludf.ifna(VLOOKUP(G2076,Proyectos!$A$2:$T$674,20,0),"")</f>
        <v>#NAME?</v>
      </c>
      <c r="N2076" s="32" t="e">
        <f ca="1">_xludf.ifna(VLOOKUP(G2076,Proyectos!$A$2:$S$674,19,0))</f>
        <v>#NAME?</v>
      </c>
      <c r="O2076" s="32"/>
      <c r="P2076" s="32"/>
      <c r="Q2076" s="33"/>
      <c r="R2076" s="33"/>
      <c r="S2076" s="33"/>
      <c r="T2076" s="63">
        <f t="shared" si="18"/>
        <v>0</v>
      </c>
      <c r="U2076" s="33"/>
      <c r="V2076" s="33"/>
      <c r="W2076" s="33"/>
    </row>
    <row r="2077" spans="1:23" ht="16.5" customHeight="1" x14ac:dyDescent="0.2">
      <c r="A2077" s="26"/>
      <c r="B2077" s="26"/>
      <c r="C2077" s="26"/>
      <c r="D2077" s="26"/>
      <c r="E2077" s="26"/>
      <c r="F2077" s="28" t="e">
        <f ca="1">_xludf.ifna(VLOOKUP(G2077,Proyectos!$A$2:$F$674,6,0),"")</f>
        <v>#NAME?</v>
      </c>
      <c r="G2077" s="26"/>
      <c r="H2077" s="32"/>
      <c r="I2077" s="32"/>
      <c r="J2077" s="32"/>
      <c r="K2077" s="32"/>
      <c r="L2077" s="32" t="e">
        <f ca="1">_xludf.ifna(VLOOKUP(E2077,Parámetros!$D$2:$E$34,2,0),"")</f>
        <v>#NAME?</v>
      </c>
      <c r="M2077" s="32" t="e">
        <f ca="1">_xludf.ifna(VLOOKUP(G2077,Proyectos!$A$2:$T$674,20,0),"")</f>
        <v>#NAME?</v>
      </c>
      <c r="N2077" s="32" t="e">
        <f ca="1">_xludf.ifna(VLOOKUP(G2077,Proyectos!$A$2:$S$674,19,0))</f>
        <v>#NAME?</v>
      </c>
      <c r="O2077" s="32"/>
      <c r="P2077" s="32"/>
      <c r="Q2077" s="33"/>
      <c r="R2077" s="33"/>
      <c r="S2077" s="33"/>
      <c r="T2077" s="63">
        <f t="shared" si="18"/>
        <v>0</v>
      </c>
      <c r="U2077" s="33"/>
      <c r="V2077" s="33"/>
      <c r="W2077" s="33"/>
    </row>
    <row r="2078" spans="1:23" ht="16.5" customHeight="1" x14ac:dyDescent="0.2">
      <c r="A2078" s="26"/>
      <c r="B2078" s="26"/>
      <c r="C2078" s="26"/>
      <c r="D2078" s="26"/>
      <c r="E2078" s="26"/>
      <c r="F2078" s="28" t="e">
        <f ca="1">_xludf.ifna(VLOOKUP(G2078,Proyectos!$A$2:$F$674,6,0),"")</f>
        <v>#NAME?</v>
      </c>
      <c r="G2078" s="26"/>
      <c r="H2078" s="32"/>
      <c r="I2078" s="32"/>
      <c r="J2078" s="32"/>
      <c r="K2078" s="32"/>
      <c r="L2078" s="32" t="e">
        <f ca="1">_xludf.ifna(VLOOKUP(E2078,Parámetros!$D$2:$E$34,2,0),"")</f>
        <v>#NAME?</v>
      </c>
      <c r="M2078" s="32" t="e">
        <f ca="1">_xludf.ifna(VLOOKUP(G2078,Proyectos!$A$2:$T$674,20,0),"")</f>
        <v>#NAME?</v>
      </c>
      <c r="N2078" s="32" t="e">
        <f ca="1">_xludf.ifna(VLOOKUP(G2078,Proyectos!$A$2:$S$674,19,0))</f>
        <v>#NAME?</v>
      </c>
      <c r="O2078" s="32"/>
      <c r="P2078" s="32"/>
      <c r="Q2078" s="33"/>
      <c r="R2078" s="33"/>
      <c r="S2078" s="33"/>
      <c r="T2078" s="63">
        <f t="shared" si="18"/>
        <v>0</v>
      </c>
      <c r="U2078" s="33"/>
      <c r="V2078" s="33"/>
      <c r="W2078" s="33"/>
    </row>
    <row r="2079" spans="1:23" ht="16.5" customHeight="1" x14ac:dyDescent="0.2">
      <c r="A2079" s="26"/>
      <c r="B2079" s="26"/>
      <c r="C2079" s="26"/>
      <c r="D2079" s="26"/>
      <c r="E2079" s="26"/>
      <c r="F2079" s="28" t="e">
        <f ca="1">_xludf.ifna(VLOOKUP(G2079,Proyectos!$A$2:$F$674,6,0),"")</f>
        <v>#NAME?</v>
      </c>
      <c r="G2079" s="26"/>
      <c r="H2079" s="32"/>
      <c r="I2079" s="32"/>
      <c r="J2079" s="32"/>
      <c r="K2079" s="32"/>
      <c r="L2079" s="32" t="e">
        <f ca="1">_xludf.ifna(VLOOKUP(E2079,Parámetros!$D$2:$E$34,2,0),"")</f>
        <v>#NAME?</v>
      </c>
      <c r="M2079" s="32" t="e">
        <f ca="1">_xludf.ifna(VLOOKUP(G2079,Proyectos!$A$2:$T$674,20,0),"")</f>
        <v>#NAME?</v>
      </c>
      <c r="N2079" s="32" t="e">
        <f ca="1">_xludf.ifna(VLOOKUP(G2079,Proyectos!$A$2:$S$674,19,0))</f>
        <v>#NAME?</v>
      </c>
      <c r="O2079" s="32"/>
      <c r="P2079" s="32"/>
      <c r="Q2079" s="33"/>
      <c r="R2079" s="33"/>
      <c r="S2079" s="33"/>
      <c r="T2079" s="63">
        <f t="shared" si="18"/>
        <v>0</v>
      </c>
      <c r="U2079" s="33"/>
      <c r="V2079" s="33"/>
      <c r="W2079" s="33"/>
    </row>
    <row r="2080" spans="1:23" ht="16.5" customHeight="1" x14ac:dyDescent="0.2">
      <c r="A2080" s="26"/>
      <c r="B2080" s="26"/>
      <c r="C2080" s="26"/>
      <c r="D2080" s="26"/>
      <c r="E2080" s="26"/>
      <c r="F2080" s="28" t="e">
        <f ca="1">_xludf.ifna(VLOOKUP(G2080,Proyectos!$A$2:$F$674,6,0),"")</f>
        <v>#NAME?</v>
      </c>
      <c r="G2080" s="26"/>
      <c r="H2080" s="32"/>
      <c r="I2080" s="32"/>
      <c r="J2080" s="32"/>
      <c r="K2080" s="32"/>
      <c r="L2080" s="32" t="e">
        <f ca="1">_xludf.ifna(VLOOKUP(E2080,Parámetros!$D$2:$E$34,2,0),"")</f>
        <v>#NAME?</v>
      </c>
      <c r="M2080" s="32" t="e">
        <f ca="1">_xludf.ifna(VLOOKUP(G2080,Proyectos!$A$2:$T$674,20,0),"")</f>
        <v>#NAME?</v>
      </c>
      <c r="N2080" s="32" t="e">
        <f ca="1">_xludf.ifna(VLOOKUP(G2080,Proyectos!$A$2:$S$674,19,0))</f>
        <v>#NAME?</v>
      </c>
      <c r="O2080" s="32"/>
      <c r="P2080" s="32"/>
      <c r="Q2080" s="33"/>
      <c r="R2080" s="33"/>
      <c r="S2080" s="33"/>
      <c r="T2080" s="63">
        <f t="shared" si="18"/>
        <v>0</v>
      </c>
      <c r="U2080" s="33"/>
      <c r="V2080" s="33"/>
      <c r="W2080" s="33"/>
    </row>
    <row r="2081" spans="1:23" ht="16.5" customHeight="1" x14ac:dyDescent="0.2">
      <c r="A2081" s="26"/>
      <c r="B2081" s="26"/>
      <c r="C2081" s="26"/>
      <c r="D2081" s="26"/>
      <c r="E2081" s="26"/>
      <c r="F2081" s="28" t="e">
        <f ca="1">_xludf.ifna(VLOOKUP(G2081,Proyectos!$A$2:$F$674,6,0),"")</f>
        <v>#NAME?</v>
      </c>
      <c r="G2081" s="26"/>
      <c r="H2081" s="32"/>
      <c r="I2081" s="32"/>
      <c r="J2081" s="32"/>
      <c r="K2081" s="32"/>
      <c r="L2081" s="32" t="e">
        <f ca="1">_xludf.ifna(VLOOKUP(E2081,Parámetros!$D$2:$E$34,2,0),"")</f>
        <v>#NAME?</v>
      </c>
      <c r="M2081" s="32" t="e">
        <f ca="1">_xludf.ifna(VLOOKUP(G2081,Proyectos!$A$2:$T$674,20,0),"")</f>
        <v>#NAME?</v>
      </c>
      <c r="N2081" s="32" t="e">
        <f ca="1">_xludf.ifna(VLOOKUP(G2081,Proyectos!$A$2:$S$674,19,0))</f>
        <v>#NAME?</v>
      </c>
      <c r="O2081" s="32"/>
      <c r="P2081" s="32"/>
      <c r="Q2081" s="33"/>
      <c r="R2081" s="33"/>
      <c r="S2081" s="33"/>
      <c r="T2081" s="63">
        <f t="shared" si="18"/>
        <v>0</v>
      </c>
      <c r="U2081" s="33"/>
      <c r="V2081" s="33"/>
      <c r="W2081" s="33"/>
    </row>
    <row r="2082" spans="1:23" ht="16.5" customHeight="1" x14ac:dyDescent="0.2">
      <c r="A2082" s="26"/>
      <c r="B2082" s="26"/>
      <c r="C2082" s="26"/>
      <c r="D2082" s="26"/>
      <c r="E2082" s="26"/>
      <c r="F2082" s="28" t="e">
        <f ca="1">_xludf.ifna(VLOOKUP(G2082,Proyectos!$A$2:$F$674,6,0),"")</f>
        <v>#NAME?</v>
      </c>
      <c r="G2082" s="26"/>
      <c r="H2082" s="32"/>
      <c r="I2082" s="32"/>
      <c r="J2082" s="32"/>
      <c r="K2082" s="32"/>
      <c r="L2082" s="32" t="e">
        <f ca="1">_xludf.ifna(VLOOKUP(E2082,Parámetros!$D$2:$E$34,2,0),"")</f>
        <v>#NAME?</v>
      </c>
      <c r="M2082" s="32" t="e">
        <f ca="1">_xludf.ifna(VLOOKUP(G2082,Proyectos!$A$2:$T$674,20,0),"")</f>
        <v>#NAME?</v>
      </c>
      <c r="N2082" s="32" t="e">
        <f ca="1">_xludf.ifna(VLOOKUP(G2082,Proyectos!$A$2:$S$674,19,0))</f>
        <v>#NAME?</v>
      </c>
      <c r="O2082" s="32"/>
      <c r="P2082" s="32"/>
      <c r="Q2082" s="33"/>
      <c r="R2082" s="33"/>
      <c r="S2082" s="33"/>
      <c r="T2082" s="63">
        <f t="shared" si="18"/>
        <v>0</v>
      </c>
      <c r="U2082" s="33"/>
      <c r="V2082" s="33"/>
      <c r="W2082" s="33"/>
    </row>
    <row r="2083" spans="1:23" ht="16.5" customHeight="1" x14ac:dyDescent="0.2">
      <c r="A2083" s="26"/>
      <c r="B2083" s="26"/>
      <c r="C2083" s="26"/>
      <c r="D2083" s="26"/>
      <c r="E2083" s="26"/>
      <c r="F2083" s="28" t="e">
        <f ca="1">_xludf.ifna(VLOOKUP(G2083,Proyectos!$A$2:$F$674,6,0),"")</f>
        <v>#NAME?</v>
      </c>
      <c r="G2083" s="26"/>
      <c r="H2083" s="32"/>
      <c r="I2083" s="32"/>
      <c r="J2083" s="32"/>
      <c r="K2083" s="32"/>
      <c r="L2083" s="32" t="e">
        <f ca="1">_xludf.ifna(VLOOKUP(E2083,Parámetros!$D$2:$E$34,2,0),"")</f>
        <v>#NAME?</v>
      </c>
      <c r="M2083" s="32" t="e">
        <f ca="1">_xludf.ifna(VLOOKUP(G2083,Proyectos!$A$2:$T$674,20,0),"")</f>
        <v>#NAME?</v>
      </c>
      <c r="N2083" s="32" t="e">
        <f ca="1">_xludf.ifna(VLOOKUP(G2083,Proyectos!$A$2:$S$674,19,0))</f>
        <v>#NAME?</v>
      </c>
      <c r="O2083" s="32"/>
      <c r="P2083" s="32"/>
      <c r="Q2083" s="33"/>
      <c r="R2083" s="33"/>
      <c r="S2083" s="33"/>
      <c r="T2083" s="63">
        <f t="shared" si="18"/>
        <v>0</v>
      </c>
      <c r="U2083" s="33"/>
      <c r="V2083" s="33"/>
      <c r="W2083" s="33"/>
    </row>
    <row r="2084" spans="1:23" ht="16.5" customHeight="1" x14ac:dyDescent="0.2">
      <c r="A2084" s="26"/>
      <c r="B2084" s="26"/>
      <c r="C2084" s="26"/>
      <c r="D2084" s="26"/>
      <c r="E2084" s="26"/>
      <c r="F2084" s="28" t="e">
        <f ca="1">_xludf.ifna(VLOOKUP(G2084,Proyectos!$A$2:$F$674,6,0),"")</f>
        <v>#NAME?</v>
      </c>
      <c r="G2084" s="26"/>
      <c r="H2084" s="32"/>
      <c r="I2084" s="32"/>
      <c r="J2084" s="32"/>
      <c r="K2084" s="32"/>
      <c r="L2084" s="32" t="e">
        <f ca="1">_xludf.ifna(VLOOKUP(E2084,Parámetros!$D$2:$E$34,2,0),"")</f>
        <v>#NAME?</v>
      </c>
      <c r="M2084" s="32" t="e">
        <f ca="1">_xludf.ifna(VLOOKUP(G2084,Proyectos!$A$2:$T$674,20,0),"")</f>
        <v>#NAME?</v>
      </c>
      <c r="N2084" s="32" t="e">
        <f ca="1">_xludf.ifna(VLOOKUP(G2084,Proyectos!$A$2:$S$674,19,0))</f>
        <v>#NAME?</v>
      </c>
      <c r="O2084" s="32"/>
      <c r="P2084" s="32"/>
      <c r="Q2084" s="33"/>
      <c r="R2084" s="33"/>
      <c r="S2084" s="33"/>
      <c r="T2084" s="63">
        <f t="shared" si="18"/>
        <v>0</v>
      </c>
      <c r="U2084" s="33"/>
      <c r="V2084" s="33"/>
      <c r="W2084" s="33"/>
    </row>
    <row r="2085" spans="1:23" ht="16.5" customHeight="1" x14ac:dyDescent="0.2">
      <c r="A2085" s="26"/>
      <c r="B2085" s="26"/>
      <c r="C2085" s="26"/>
      <c r="D2085" s="26"/>
      <c r="E2085" s="26"/>
      <c r="F2085" s="28" t="e">
        <f ca="1">_xludf.ifna(VLOOKUP(G2085,Proyectos!$A$2:$F$674,6,0),"")</f>
        <v>#NAME?</v>
      </c>
      <c r="G2085" s="26"/>
      <c r="H2085" s="32"/>
      <c r="I2085" s="32"/>
      <c r="J2085" s="32"/>
      <c r="K2085" s="32"/>
      <c r="L2085" s="32" t="e">
        <f ca="1">_xludf.ifna(VLOOKUP(E2085,Parámetros!$D$2:$E$34,2,0),"")</f>
        <v>#NAME?</v>
      </c>
      <c r="M2085" s="32" t="e">
        <f ca="1">_xludf.ifna(VLOOKUP(G2085,Proyectos!$A$2:$T$674,20,0),"")</f>
        <v>#NAME?</v>
      </c>
      <c r="N2085" s="32" t="e">
        <f ca="1">_xludf.ifna(VLOOKUP(G2085,Proyectos!$A$2:$S$674,19,0))</f>
        <v>#NAME?</v>
      </c>
      <c r="O2085" s="32"/>
      <c r="P2085" s="32"/>
      <c r="Q2085" s="33"/>
      <c r="R2085" s="33"/>
      <c r="S2085" s="33"/>
      <c r="T2085" s="63">
        <f t="shared" si="18"/>
        <v>0</v>
      </c>
      <c r="U2085" s="33"/>
      <c r="V2085" s="33"/>
      <c r="W2085" s="33"/>
    </row>
    <row r="2086" spans="1:23" ht="16.5" customHeight="1" x14ac:dyDescent="0.2">
      <c r="A2086" s="26"/>
      <c r="B2086" s="26"/>
      <c r="C2086" s="26"/>
      <c r="D2086" s="26"/>
      <c r="E2086" s="26"/>
      <c r="F2086" s="28"/>
      <c r="G2086" s="26"/>
      <c r="H2086" s="32"/>
      <c r="I2086" s="32"/>
      <c r="J2086" s="32"/>
      <c r="K2086" s="32"/>
      <c r="L2086" s="32" t="e">
        <f ca="1">_xludf.ifna(VLOOKUP(E2086,Parámetros!$D$2:$E$34,2,0),"")</f>
        <v>#NAME?</v>
      </c>
      <c r="M2086" s="32" t="e">
        <f ca="1">_xludf.ifna(VLOOKUP(G2086,Proyectos!$A$2:$T$674,20,0),"")</f>
        <v>#NAME?</v>
      </c>
      <c r="N2086" s="32" t="e">
        <f ca="1">_xludf.ifna(VLOOKUP(G2086,Proyectos!$A$2:$S$674,19,0))</f>
        <v>#NAME?</v>
      </c>
      <c r="O2086" s="32"/>
      <c r="P2086" s="32"/>
      <c r="Q2086" s="33"/>
      <c r="R2086" s="33"/>
      <c r="S2086" s="33"/>
      <c r="T2086" s="63">
        <f t="shared" si="18"/>
        <v>0</v>
      </c>
      <c r="U2086" s="33"/>
      <c r="V2086" s="33"/>
      <c r="W2086" s="33"/>
    </row>
    <row r="2087" spans="1:23" ht="16.5" customHeight="1" x14ac:dyDescent="0.2">
      <c r="A2087" s="26"/>
      <c r="B2087" s="26"/>
      <c r="C2087" s="26"/>
      <c r="D2087" s="26"/>
      <c r="E2087" s="26"/>
      <c r="F2087" s="28"/>
      <c r="G2087" s="26"/>
      <c r="H2087" s="32"/>
      <c r="I2087" s="32"/>
      <c r="J2087" s="32"/>
      <c r="K2087" s="32"/>
      <c r="L2087" s="32" t="e">
        <f ca="1">_xludf.ifna(VLOOKUP(E2087,Parámetros!$D$2:$E$34,2,0),"")</f>
        <v>#NAME?</v>
      </c>
      <c r="M2087" s="32" t="e">
        <f ca="1">_xludf.ifna(VLOOKUP(G2087,Proyectos!$A$2:$T$674,20,0),"")</f>
        <v>#NAME?</v>
      </c>
      <c r="N2087" s="32" t="e">
        <f ca="1">_xludf.ifna(VLOOKUP(G2087,Proyectos!$A$2:$S$674,19,0))</f>
        <v>#NAME?</v>
      </c>
      <c r="O2087" s="32"/>
      <c r="P2087" s="32"/>
      <c r="Q2087" s="33"/>
      <c r="R2087" s="33"/>
      <c r="S2087" s="33"/>
      <c r="T2087" s="63">
        <f t="shared" si="18"/>
        <v>0</v>
      </c>
      <c r="U2087" s="33"/>
      <c r="V2087" s="33"/>
      <c r="W2087" s="33"/>
    </row>
    <row r="2088" spans="1:23" ht="16.5" customHeight="1" x14ac:dyDescent="0.2">
      <c r="A2088" s="26"/>
      <c r="B2088" s="26"/>
      <c r="C2088" s="26"/>
      <c r="D2088" s="26"/>
      <c r="E2088" s="26"/>
      <c r="F2088" s="28"/>
      <c r="G2088" s="26"/>
      <c r="H2088" s="32"/>
      <c r="I2088" s="32"/>
      <c r="J2088" s="32"/>
      <c r="K2088" s="32"/>
      <c r="L2088" s="32" t="e">
        <f ca="1">_xludf.ifna(VLOOKUP(E2088,Parámetros!$D$2:$E$34,2,0),"")</f>
        <v>#NAME?</v>
      </c>
      <c r="M2088" s="32" t="e">
        <f ca="1">_xludf.ifna(VLOOKUP(G2088,Proyectos!$A$2:$T$674,20,0),"")</f>
        <v>#NAME?</v>
      </c>
      <c r="N2088" s="32" t="e">
        <f ca="1">_xludf.ifna(VLOOKUP(G2088,Proyectos!$A$2:$S$674,19,0))</f>
        <v>#NAME?</v>
      </c>
      <c r="O2088" s="32"/>
      <c r="P2088" s="32"/>
      <c r="Q2088" s="33"/>
      <c r="R2088" s="33"/>
      <c r="S2088" s="33"/>
      <c r="T2088" s="63">
        <f t="shared" si="18"/>
        <v>0</v>
      </c>
      <c r="U2088" s="33"/>
      <c r="V2088" s="33"/>
      <c r="W2088" s="33"/>
    </row>
    <row r="2089" spans="1:23" ht="16.5" customHeight="1" x14ac:dyDescent="0.2">
      <c r="A2089" s="26"/>
      <c r="B2089" s="26"/>
      <c r="C2089" s="26"/>
      <c r="D2089" s="26"/>
      <c r="E2089" s="26"/>
      <c r="F2089" s="28"/>
      <c r="G2089" s="26"/>
      <c r="H2089" s="32"/>
      <c r="I2089" s="32"/>
      <c r="J2089" s="32"/>
      <c r="K2089" s="32"/>
      <c r="L2089" s="32" t="e">
        <f ca="1">_xludf.ifna(VLOOKUP(E2089,Parámetros!$D$2:$E$34,2,0),"")</f>
        <v>#NAME?</v>
      </c>
      <c r="M2089" s="32" t="e">
        <f ca="1">_xludf.ifna(VLOOKUP(G2089,Proyectos!$A$2:$T$674,20,0),"")</f>
        <v>#NAME?</v>
      </c>
      <c r="N2089" s="32" t="e">
        <f ca="1">_xludf.ifna(VLOOKUP(G2089,Proyectos!$A$2:$S$674,19,0))</f>
        <v>#NAME?</v>
      </c>
      <c r="O2089" s="32"/>
      <c r="P2089" s="32"/>
      <c r="Q2089" s="33"/>
      <c r="R2089" s="33"/>
      <c r="S2089" s="33"/>
      <c r="T2089" s="63">
        <f t="shared" si="18"/>
        <v>0</v>
      </c>
      <c r="U2089" s="33"/>
      <c r="V2089" s="33"/>
      <c r="W2089" s="33"/>
    </row>
    <row r="2090" spans="1:23" ht="16.5" customHeight="1" x14ac:dyDescent="0.2">
      <c r="A2090" s="26"/>
      <c r="B2090" s="26"/>
      <c r="C2090" s="26"/>
      <c r="D2090" s="26"/>
      <c r="E2090" s="26"/>
      <c r="F2090" s="28"/>
      <c r="G2090" s="26"/>
      <c r="H2090" s="32"/>
      <c r="I2090" s="32"/>
      <c r="J2090" s="32"/>
      <c r="K2090" s="32"/>
      <c r="L2090" s="32" t="e">
        <f ca="1">_xludf.ifna(VLOOKUP(E2090,Parámetros!$D$2:$E$34,2,0),"")</f>
        <v>#NAME?</v>
      </c>
      <c r="M2090" s="32" t="e">
        <f ca="1">_xludf.ifna(VLOOKUP(G2090,Proyectos!$A$2:$T$674,20,0),"")</f>
        <v>#NAME?</v>
      </c>
      <c r="N2090" s="32" t="e">
        <f ca="1">_xludf.ifna(VLOOKUP(G2090,Proyectos!$A$2:$S$674,19,0))</f>
        <v>#NAME?</v>
      </c>
      <c r="O2090" s="32"/>
      <c r="P2090" s="32"/>
      <c r="Q2090" s="33"/>
      <c r="R2090" s="33"/>
      <c r="S2090" s="33"/>
      <c r="T2090" s="63">
        <f t="shared" si="18"/>
        <v>0</v>
      </c>
      <c r="U2090" s="33"/>
      <c r="V2090" s="33"/>
      <c r="W2090" s="33"/>
    </row>
    <row r="2091" spans="1:23" ht="16.5" customHeight="1" x14ac:dyDescent="0.2">
      <c r="A2091" s="26"/>
      <c r="B2091" s="26"/>
      <c r="C2091" s="26"/>
      <c r="D2091" s="26"/>
      <c r="E2091" s="26"/>
      <c r="F2091" s="28"/>
      <c r="G2091" s="26"/>
      <c r="H2091" s="32"/>
      <c r="I2091" s="32"/>
      <c r="J2091" s="32"/>
      <c r="K2091" s="32"/>
      <c r="L2091" s="32" t="e">
        <f ca="1">_xludf.ifna(VLOOKUP(E2091,Parámetros!$D$2:$E$34,2,0),"")</f>
        <v>#NAME?</v>
      </c>
      <c r="M2091" s="32" t="e">
        <f ca="1">_xludf.ifna(VLOOKUP(G2091,Proyectos!$A$2:$T$674,20,0),"")</f>
        <v>#NAME?</v>
      </c>
      <c r="N2091" s="32" t="e">
        <f ca="1">_xludf.ifna(VLOOKUP(G2091,Proyectos!$A$2:$S$674,19,0))</f>
        <v>#NAME?</v>
      </c>
      <c r="O2091" s="32"/>
      <c r="P2091" s="32"/>
      <c r="Q2091" s="33"/>
      <c r="R2091" s="33"/>
      <c r="S2091" s="33"/>
      <c r="T2091" s="63">
        <f t="shared" si="18"/>
        <v>0</v>
      </c>
      <c r="U2091" s="33"/>
      <c r="V2091" s="33"/>
      <c r="W2091" s="33"/>
    </row>
    <row r="2092" spans="1:23" ht="16.5" customHeight="1" x14ac:dyDescent="0.2">
      <c r="A2092" s="26"/>
      <c r="B2092" s="26"/>
      <c r="C2092" s="26"/>
      <c r="D2092" s="26"/>
      <c r="E2092" s="26"/>
      <c r="F2092" s="28"/>
      <c r="G2092" s="26"/>
      <c r="H2092" s="32"/>
      <c r="I2092" s="32"/>
      <c r="J2092" s="32"/>
      <c r="K2092" s="32"/>
      <c r="L2092" s="32" t="e">
        <f ca="1">_xludf.ifna(VLOOKUP(E2092,Parámetros!$D$2:$E$34,2,0),"")</f>
        <v>#NAME?</v>
      </c>
      <c r="M2092" s="32" t="e">
        <f ca="1">_xludf.ifna(VLOOKUP(G2092,Proyectos!$A$2:$T$674,20,0),"")</f>
        <v>#NAME?</v>
      </c>
      <c r="N2092" s="32" t="e">
        <f ca="1">_xludf.ifna(VLOOKUP(G2092,Proyectos!$A$2:$S$674,19,0))</f>
        <v>#NAME?</v>
      </c>
      <c r="O2092" s="32"/>
      <c r="P2092" s="32"/>
      <c r="Q2092" s="33"/>
      <c r="R2092" s="33"/>
      <c r="S2092" s="33"/>
      <c r="T2092" s="63">
        <f t="shared" si="18"/>
        <v>0</v>
      </c>
      <c r="U2092" s="33"/>
      <c r="V2092" s="33"/>
      <c r="W2092" s="33"/>
    </row>
    <row r="2093" spans="1:23" ht="16.5" customHeight="1" x14ac:dyDescent="0.2">
      <c r="A2093" s="26"/>
      <c r="B2093" s="26"/>
      <c r="C2093" s="26"/>
      <c r="D2093" s="26"/>
      <c r="E2093" s="26"/>
      <c r="F2093" s="28"/>
      <c r="G2093" s="26"/>
      <c r="H2093" s="32"/>
      <c r="I2093" s="32"/>
      <c r="J2093" s="32"/>
      <c r="K2093" s="32"/>
      <c r="L2093" s="32" t="e">
        <f ca="1">_xludf.ifna(VLOOKUP(E2093,Parámetros!$D$2:$E$34,2,0),"")</f>
        <v>#NAME?</v>
      </c>
      <c r="M2093" s="32" t="e">
        <f ca="1">_xludf.ifna(VLOOKUP(G2093,Proyectos!$A$2:$T$674,20,0),"")</f>
        <v>#NAME?</v>
      </c>
      <c r="N2093" s="32" t="e">
        <f ca="1">_xludf.ifna(VLOOKUP(G2093,Proyectos!$A$2:$S$674,19,0))</f>
        <v>#NAME?</v>
      </c>
      <c r="O2093" s="32"/>
      <c r="P2093" s="32"/>
      <c r="Q2093" s="33"/>
      <c r="R2093" s="33"/>
      <c r="S2093" s="33"/>
      <c r="T2093" s="63">
        <f t="shared" si="18"/>
        <v>0</v>
      </c>
      <c r="U2093" s="33"/>
      <c r="V2093" s="33"/>
      <c r="W2093" s="33"/>
    </row>
    <row r="2094" spans="1:23" ht="16.5" customHeight="1" x14ac:dyDescent="0.2">
      <c r="A2094" s="26"/>
      <c r="B2094" s="26"/>
      <c r="C2094" s="26"/>
      <c r="D2094" s="26"/>
      <c r="E2094" s="26"/>
      <c r="F2094" s="28"/>
      <c r="G2094" s="26"/>
      <c r="H2094" s="32"/>
      <c r="I2094" s="32"/>
      <c r="J2094" s="32"/>
      <c r="K2094" s="32"/>
      <c r="L2094" s="32" t="e">
        <f ca="1">_xludf.ifna(VLOOKUP(E2094,Parámetros!$D$2:$E$34,2,0),"")</f>
        <v>#NAME?</v>
      </c>
      <c r="M2094" s="32" t="e">
        <f ca="1">_xludf.ifna(VLOOKUP(G2094,Proyectos!$A$2:$T$674,20,0),"")</f>
        <v>#NAME?</v>
      </c>
      <c r="N2094" s="32" t="e">
        <f ca="1">_xludf.ifna(VLOOKUP(G2094,Proyectos!$A$2:$S$674,19,0))</f>
        <v>#NAME?</v>
      </c>
      <c r="O2094" s="32"/>
      <c r="P2094" s="32"/>
      <c r="Q2094" s="33"/>
      <c r="R2094" s="33"/>
      <c r="S2094" s="33"/>
      <c r="T2094" s="63">
        <f t="shared" si="18"/>
        <v>0</v>
      </c>
      <c r="U2094" s="33"/>
      <c r="V2094" s="33"/>
      <c r="W2094" s="33"/>
    </row>
    <row r="2095" spans="1:23" ht="16.5" customHeight="1" x14ac:dyDescent="0.2">
      <c r="A2095" s="26"/>
      <c r="B2095" s="26"/>
      <c r="C2095" s="26"/>
      <c r="D2095" s="26"/>
      <c r="E2095" s="26"/>
      <c r="F2095" s="28"/>
      <c r="G2095" s="26"/>
      <c r="H2095" s="32"/>
      <c r="I2095" s="32"/>
      <c r="J2095" s="32"/>
      <c r="K2095" s="32"/>
      <c r="L2095" s="32" t="e">
        <f ca="1">_xludf.ifna(VLOOKUP(E2095,Parámetros!$D$2:$E$34,2,0),"")</f>
        <v>#NAME?</v>
      </c>
      <c r="M2095" s="32" t="e">
        <f ca="1">_xludf.ifna(VLOOKUP(G2095,Proyectos!$A$2:$T$674,20,0),"")</f>
        <v>#NAME?</v>
      </c>
      <c r="N2095" s="32" t="e">
        <f ca="1">_xludf.ifna(VLOOKUP(G2095,Proyectos!$A$2:$S$674,19,0))</f>
        <v>#NAME?</v>
      </c>
      <c r="O2095" s="32"/>
      <c r="P2095" s="32"/>
      <c r="Q2095" s="33"/>
      <c r="R2095" s="33"/>
      <c r="S2095" s="33"/>
      <c r="T2095" s="63">
        <f t="shared" si="18"/>
        <v>0</v>
      </c>
      <c r="U2095" s="33"/>
      <c r="V2095" s="33"/>
      <c r="W2095" s="33"/>
    </row>
    <row r="2096" spans="1:23" ht="16.5" customHeight="1" x14ac:dyDescent="0.2">
      <c r="A2096" s="26"/>
      <c r="B2096" s="26"/>
      <c r="C2096" s="26"/>
      <c r="D2096" s="26"/>
      <c r="E2096" s="26"/>
      <c r="F2096" s="28"/>
      <c r="G2096" s="26"/>
      <c r="H2096" s="32"/>
      <c r="I2096" s="32"/>
      <c r="J2096" s="32"/>
      <c r="K2096" s="32"/>
      <c r="L2096" s="32" t="e">
        <f ca="1">_xludf.ifna(VLOOKUP(E2096,Parámetros!$D$2:$E$34,2,0),"")</f>
        <v>#NAME?</v>
      </c>
      <c r="M2096" s="32" t="e">
        <f ca="1">_xludf.ifna(VLOOKUP(G2096,Proyectos!$A$2:$T$674,20,0),"")</f>
        <v>#NAME?</v>
      </c>
      <c r="N2096" s="32" t="e">
        <f ca="1">_xludf.ifna(VLOOKUP(G2096,Proyectos!$A$2:$S$674,19,0))</f>
        <v>#NAME?</v>
      </c>
      <c r="O2096" s="32"/>
      <c r="P2096" s="32"/>
      <c r="Q2096" s="33"/>
      <c r="R2096" s="33"/>
      <c r="S2096" s="33"/>
      <c r="T2096" s="63">
        <f t="shared" si="18"/>
        <v>0</v>
      </c>
      <c r="U2096" s="33"/>
      <c r="V2096" s="33"/>
      <c r="W2096" s="33"/>
    </row>
    <row r="2097" spans="1:23" ht="16.5" customHeight="1" x14ac:dyDescent="0.2">
      <c r="A2097" s="26"/>
      <c r="B2097" s="26"/>
      <c r="C2097" s="26"/>
      <c r="D2097" s="26"/>
      <c r="E2097" s="26"/>
      <c r="F2097" s="28"/>
      <c r="G2097" s="26"/>
      <c r="H2097" s="32"/>
      <c r="I2097" s="32"/>
      <c r="J2097" s="32"/>
      <c r="K2097" s="32"/>
      <c r="L2097" s="32" t="e">
        <f ca="1">_xludf.ifna(VLOOKUP(E2097,Parámetros!$D$2:$E$34,2,0),"")</f>
        <v>#NAME?</v>
      </c>
      <c r="M2097" s="32" t="e">
        <f ca="1">_xludf.ifna(VLOOKUP(G2097,Proyectos!$A$2:$T$674,20,0),"")</f>
        <v>#NAME?</v>
      </c>
      <c r="N2097" s="32" t="e">
        <f ca="1">_xludf.ifna(VLOOKUP(G2097,Proyectos!$A$2:$S$674,19,0))</f>
        <v>#NAME?</v>
      </c>
      <c r="O2097" s="32"/>
      <c r="P2097" s="32"/>
      <c r="Q2097" s="33"/>
      <c r="R2097" s="33"/>
      <c r="S2097" s="33"/>
      <c r="T2097" s="63">
        <f t="shared" si="18"/>
        <v>0</v>
      </c>
      <c r="U2097" s="33"/>
      <c r="V2097" s="33"/>
      <c r="W2097" s="33"/>
    </row>
    <row r="2098" spans="1:23" ht="16.5" customHeight="1" x14ac:dyDescent="0.2">
      <c r="A2098" s="26"/>
      <c r="B2098" s="26"/>
      <c r="C2098" s="26"/>
      <c r="D2098" s="26"/>
      <c r="E2098" s="26"/>
      <c r="F2098" s="28"/>
      <c r="G2098" s="26"/>
      <c r="H2098" s="32"/>
      <c r="I2098" s="32"/>
      <c r="J2098" s="32"/>
      <c r="K2098" s="32"/>
      <c r="L2098" s="32" t="e">
        <f ca="1">_xludf.ifna(VLOOKUP(E2098,Parámetros!$D$2:$E$34,2,0),"")</f>
        <v>#NAME?</v>
      </c>
      <c r="M2098" s="32" t="e">
        <f ca="1">_xludf.ifna(VLOOKUP(G2098,Proyectos!$A$2:$T$674,20,0),"")</f>
        <v>#NAME?</v>
      </c>
      <c r="N2098" s="32" t="e">
        <f ca="1">_xludf.ifna(VLOOKUP(G2098,Proyectos!$A$2:$S$674,19,0))</f>
        <v>#NAME?</v>
      </c>
      <c r="O2098" s="32"/>
      <c r="P2098" s="32"/>
      <c r="Q2098" s="33"/>
      <c r="R2098" s="33"/>
      <c r="S2098" s="33"/>
      <c r="T2098" s="63">
        <f t="shared" si="18"/>
        <v>0</v>
      </c>
      <c r="U2098" s="33"/>
      <c r="V2098" s="33"/>
      <c r="W2098" s="33"/>
    </row>
    <row r="2099" spans="1:23" ht="16.5" customHeight="1" x14ac:dyDescent="0.2">
      <c r="A2099" s="26"/>
      <c r="B2099" s="26"/>
      <c r="C2099" s="26"/>
      <c r="D2099" s="26"/>
      <c r="E2099" s="26"/>
      <c r="F2099" s="28"/>
      <c r="G2099" s="26"/>
      <c r="H2099" s="32"/>
      <c r="I2099" s="32"/>
      <c r="J2099" s="32"/>
      <c r="K2099" s="32"/>
      <c r="L2099" s="32" t="e">
        <f ca="1">_xludf.ifna(VLOOKUP(E2099,Parámetros!$D$2:$E$34,2,0),"")</f>
        <v>#NAME?</v>
      </c>
      <c r="M2099" s="32" t="e">
        <f ca="1">_xludf.ifna(VLOOKUP(G2099,Proyectos!$A$2:$T$674,20,0),"")</f>
        <v>#NAME?</v>
      </c>
      <c r="N2099" s="32" t="e">
        <f ca="1">_xludf.ifna(VLOOKUP(G2099,Proyectos!$A$2:$S$674,19,0))</f>
        <v>#NAME?</v>
      </c>
      <c r="O2099" s="32"/>
      <c r="P2099" s="32"/>
      <c r="Q2099" s="33"/>
      <c r="R2099" s="33"/>
      <c r="S2099" s="33"/>
      <c r="T2099" s="63">
        <f t="shared" si="18"/>
        <v>0</v>
      </c>
      <c r="U2099" s="33"/>
      <c r="V2099" s="33"/>
      <c r="W2099" s="33"/>
    </row>
    <row r="2100" spans="1:23" ht="16.5" customHeight="1" x14ac:dyDescent="0.2">
      <c r="A2100" s="26"/>
      <c r="B2100" s="26"/>
      <c r="C2100" s="26"/>
      <c r="D2100" s="26"/>
      <c r="E2100" s="26"/>
      <c r="F2100" s="28"/>
      <c r="G2100" s="26"/>
      <c r="H2100" s="32"/>
      <c r="I2100" s="32"/>
      <c r="J2100" s="32"/>
      <c r="K2100" s="32"/>
      <c r="L2100" s="32" t="e">
        <f ca="1">_xludf.ifna(VLOOKUP(E2100,Parámetros!$D$2:$E$34,2,0),"")</f>
        <v>#NAME?</v>
      </c>
      <c r="M2100" s="32" t="e">
        <f ca="1">_xludf.ifna(VLOOKUP(G2100,Proyectos!$A$2:$T$674,20,0),"")</f>
        <v>#NAME?</v>
      </c>
      <c r="N2100" s="32" t="e">
        <f ca="1">_xludf.ifna(VLOOKUP(G2100,Proyectos!$A$2:$S$674,19,0))</f>
        <v>#NAME?</v>
      </c>
      <c r="O2100" s="32"/>
      <c r="P2100" s="32"/>
      <c r="Q2100" s="33"/>
      <c r="R2100" s="33"/>
      <c r="S2100" s="33"/>
      <c r="T2100" s="63">
        <f t="shared" si="18"/>
        <v>0</v>
      </c>
      <c r="U2100" s="33"/>
      <c r="V2100" s="33"/>
      <c r="W2100" s="33"/>
    </row>
    <row r="2101" spans="1:23" ht="16.5" customHeight="1" x14ac:dyDescent="0.2">
      <c r="A2101" s="26"/>
      <c r="B2101" s="26"/>
      <c r="C2101" s="26"/>
      <c r="D2101" s="26"/>
      <c r="E2101" s="26"/>
      <c r="F2101" s="28"/>
      <c r="G2101" s="26"/>
      <c r="H2101" s="32"/>
      <c r="I2101" s="32"/>
      <c r="J2101" s="32"/>
      <c r="K2101" s="32"/>
      <c r="L2101" s="32" t="e">
        <f ca="1">_xludf.ifna(VLOOKUP(E2101,Parámetros!$D$2:$E$34,2,0),"")</f>
        <v>#NAME?</v>
      </c>
      <c r="M2101" s="32" t="e">
        <f ca="1">_xludf.ifna(VLOOKUP(G2101,Proyectos!$A$2:$T$674,20,0),"")</f>
        <v>#NAME?</v>
      </c>
      <c r="N2101" s="32" t="e">
        <f ca="1">_xludf.ifna(VLOOKUP(G2101,Proyectos!$A$2:$S$674,19,0))</f>
        <v>#NAME?</v>
      </c>
      <c r="O2101" s="32"/>
      <c r="P2101" s="32"/>
      <c r="Q2101" s="33"/>
      <c r="R2101" s="33"/>
      <c r="S2101" s="33"/>
      <c r="T2101" s="63">
        <f t="shared" si="18"/>
        <v>0</v>
      </c>
      <c r="U2101" s="33"/>
      <c r="V2101" s="33"/>
      <c r="W2101" s="33"/>
    </row>
    <row r="2102" spans="1:23" ht="16.5" customHeight="1" x14ac:dyDescent="0.2">
      <c r="A2102" s="26"/>
      <c r="B2102" s="26"/>
      <c r="C2102" s="26"/>
      <c r="D2102" s="26"/>
      <c r="E2102" s="26"/>
      <c r="F2102" s="28"/>
      <c r="G2102" s="26"/>
      <c r="H2102" s="32"/>
      <c r="I2102" s="32"/>
      <c r="J2102" s="32"/>
      <c r="K2102" s="32"/>
      <c r="L2102" s="32" t="e">
        <f ca="1">_xludf.ifna(VLOOKUP(E2102,Parámetros!$D$2:$E$34,2,0),"")</f>
        <v>#NAME?</v>
      </c>
      <c r="M2102" s="32" t="e">
        <f ca="1">_xludf.ifna(VLOOKUP(G2102,Proyectos!$A$2:$T$674,20,0),"")</f>
        <v>#NAME?</v>
      </c>
      <c r="N2102" s="32" t="e">
        <f ca="1">_xludf.ifna(VLOOKUP(G2102,Proyectos!$A$2:$S$674,19,0))</f>
        <v>#NAME?</v>
      </c>
      <c r="O2102" s="32"/>
      <c r="P2102" s="32"/>
      <c r="Q2102" s="33"/>
      <c r="R2102" s="33"/>
      <c r="S2102" s="33"/>
      <c r="T2102" s="63">
        <f t="shared" si="18"/>
        <v>0</v>
      </c>
      <c r="U2102" s="33"/>
      <c r="V2102" s="33"/>
      <c r="W2102" s="33"/>
    </row>
    <row r="2103" spans="1:23" ht="16.5" customHeight="1" x14ac:dyDescent="0.2">
      <c r="A2103" s="26"/>
      <c r="B2103" s="26"/>
      <c r="C2103" s="26"/>
      <c r="D2103" s="26"/>
      <c r="E2103" s="26"/>
      <c r="F2103" s="28"/>
      <c r="G2103" s="26"/>
      <c r="H2103" s="32"/>
      <c r="I2103" s="32"/>
      <c r="J2103" s="32"/>
      <c r="K2103" s="32"/>
      <c r="L2103" s="32" t="e">
        <f ca="1">_xludf.ifna(VLOOKUP(E2103,Parámetros!$D$2:$E$34,2,0),"")</f>
        <v>#NAME?</v>
      </c>
      <c r="M2103" s="32" t="e">
        <f ca="1">_xludf.ifna(VLOOKUP(G2103,Proyectos!$A$2:$T$674,20,0),"")</f>
        <v>#NAME?</v>
      </c>
      <c r="N2103" s="32" t="e">
        <f ca="1">_xludf.ifna(VLOOKUP(G2103,Proyectos!$A$2:$S$674,19,0))</f>
        <v>#NAME?</v>
      </c>
      <c r="O2103" s="32"/>
      <c r="P2103" s="32"/>
      <c r="Q2103" s="33"/>
      <c r="R2103" s="33"/>
      <c r="S2103" s="33"/>
      <c r="T2103" s="63">
        <f t="shared" si="18"/>
        <v>0</v>
      </c>
      <c r="U2103" s="33"/>
      <c r="V2103" s="33"/>
      <c r="W2103" s="33"/>
    </row>
    <row r="2104" spans="1:23" ht="16.5" customHeight="1" x14ac:dyDescent="0.2">
      <c r="A2104" s="26"/>
      <c r="B2104" s="26"/>
      <c r="C2104" s="26"/>
      <c r="D2104" s="26"/>
      <c r="E2104" s="26"/>
      <c r="F2104" s="28"/>
      <c r="G2104" s="26"/>
      <c r="H2104" s="32"/>
      <c r="I2104" s="32"/>
      <c r="J2104" s="32"/>
      <c r="K2104" s="32"/>
      <c r="L2104" s="32" t="e">
        <f ca="1">_xludf.ifna(VLOOKUP(E2104,Parámetros!$D$2:$E$34,2,0),"")</f>
        <v>#NAME?</v>
      </c>
      <c r="M2104" s="32" t="e">
        <f ca="1">_xludf.ifna(VLOOKUP(G2104,Proyectos!$A$2:$T$674,20,0),"")</f>
        <v>#NAME?</v>
      </c>
      <c r="N2104" s="32" t="e">
        <f ca="1">_xludf.ifna(VLOOKUP(G2104,Proyectos!$A$2:$S$674,19,0))</f>
        <v>#NAME?</v>
      </c>
      <c r="O2104" s="32"/>
      <c r="P2104" s="32"/>
      <c r="Q2104" s="33"/>
      <c r="R2104" s="33"/>
      <c r="S2104" s="33"/>
      <c r="T2104" s="63">
        <f t="shared" si="18"/>
        <v>0</v>
      </c>
      <c r="U2104" s="33"/>
      <c r="V2104" s="33"/>
      <c r="W2104" s="33"/>
    </row>
    <row r="2105" spans="1:23" ht="16.5" customHeight="1" x14ac:dyDescent="0.2">
      <c r="A2105" s="26"/>
      <c r="B2105" s="26"/>
      <c r="C2105" s="26"/>
      <c r="D2105" s="26"/>
      <c r="E2105" s="26"/>
      <c r="F2105" s="28"/>
      <c r="G2105" s="26"/>
      <c r="H2105" s="32"/>
      <c r="I2105" s="32"/>
      <c r="J2105" s="32"/>
      <c r="K2105" s="32"/>
      <c r="L2105" s="32" t="e">
        <f ca="1">_xludf.ifna(VLOOKUP(E2105,Parámetros!$D$2:$E$34,2,0),"")</f>
        <v>#NAME?</v>
      </c>
      <c r="M2105" s="32" t="e">
        <f ca="1">_xludf.ifna(VLOOKUP(G2105,Proyectos!$A$2:$T$674,20,0),"")</f>
        <v>#NAME?</v>
      </c>
      <c r="N2105" s="32" t="e">
        <f ca="1">_xludf.ifna(VLOOKUP(G2105,Proyectos!$A$2:$S$674,19,0))</f>
        <v>#NAME?</v>
      </c>
      <c r="O2105" s="32"/>
      <c r="P2105" s="32"/>
      <c r="Q2105" s="33"/>
      <c r="R2105" s="33"/>
      <c r="S2105" s="33"/>
      <c r="T2105" s="63">
        <f t="shared" si="18"/>
        <v>0</v>
      </c>
      <c r="U2105" s="33"/>
      <c r="V2105" s="33"/>
      <c r="W2105" s="33"/>
    </row>
    <row r="2106" spans="1:23" ht="16.5" customHeight="1" x14ac:dyDescent="0.2">
      <c r="A2106" s="26"/>
      <c r="B2106" s="26"/>
      <c r="C2106" s="26"/>
      <c r="D2106" s="26"/>
      <c r="E2106" s="26"/>
      <c r="F2106" s="28"/>
      <c r="G2106" s="26"/>
      <c r="H2106" s="32"/>
      <c r="I2106" s="32"/>
      <c r="J2106" s="32"/>
      <c r="K2106" s="32"/>
      <c r="L2106" s="32" t="e">
        <f ca="1">_xludf.ifna(VLOOKUP(E2106,Parámetros!$D$2:$E$34,2,0),"")</f>
        <v>#NAME?</v>
      </c>
      <c r="M2106" s="32" t="e">
        <f ca="1">_xludf.ifna(VLOOKUP(G2106,Proyectos!$A$2:$T$674,20,0),"")</f>
        <v>#NAME?</v>
      </c>
      <c r="N2106" s="32" t="e">
        <f ca="1">_xludf.ifna(VLOOKUP(G2106,Proyectos!$A$2:$S$674,19,0))</f>
        <v>#NAME?</v>
      </c>
      <c r="O2106" s="32"/>
      <c r="P2106" s="32"/>
      <c r="Q2106" s="33"/>
      <c r="R2106" s="33"/>
      <c r="S2106" s="33"/>
      <c r="T2106" s="63">
        <f t="shared" si="18"/>
        <v>0</v>
      </c>
      <c r="U2106" s="33"/>
      <c r="V2106" s="33"/>
      <c r="W2106" s="33"/>
    </row>
    <row r="2107" spans="1:23" ht="16.5" customHeight="1" x14ac:dyDescent="0.2">
      <c r="A2107" s="26"/>
      <c r="B2107" s="26"/>
      <c r="C2107" s="26"/>
      <c r="D2107" s="26"/>
      <c r="E2107" s="26"/>
      <c r="F2107" s="28"/>
      <c r="G2107" s="26"/>
      <c r="H2107" s="32"/>
      <c r="I2107" s="32"/>
      <c r="J2107" s="32"/>
      <c r="K2107" s="32"/>
      <c r="L2107" s="32" t="e">
        <f ca="1">_xludf.ifna(VLOOKUP(E2107,Parámetros!$D$2:$E$34,2,0),"")</f>
        <v>#NAME?</v>
      </c>
      <c r="M2107" s="32" t="e">
        <f ca="1">_xludf.ifna(VLOOKUP(G2107,Proyectos!$A$2:$T$674,20,0),"")</f>
        <v>#NAME?</v>
      </c>
      <c r="N2107" s="32" t="e">
        <f ca="1">_xludf.ifna(VLOOKUP(G2107,Proyectos!$A$2:$S$674,19,0))</f>
        <v>#NAME?</v>
      </c>
      <c r="O2107" s="32"/>
      <c r="P2107" s="32"/>
      <c r="Q2107" s="33"/>
      <c r="R2107" s="33"/>
      <c r="S2107" s="33"/>
      <c r="T2107" s="63">
        <f t="shared" si="18"/>
        <v>0</v>
      </c>
      <c r="U2107" s="33"/>
      <c r="V2107" s="33"/>
      <c r="W2107" s="33"/>
    </row>
    <row r="2108" spans="1:23" ht="16.5" customHeight="1" x14ac:dyDescent="0.2">
      <c r="A2108" s="26"/>
      <c r="B2108" s="26"/>
      <c r="C2108" s="26"/>
      <c r="D2108" s="26"/>
      <c r="E2108" s="26"/>
      <c r="F2108" s="28"/>
      <c r="G2108" s="26"/>
      <c r="H2108" s="32"/>
      <c r="I2108" s="32"/>
      <c r="J2108" s="32"/>
      <c r="K2108" s="32"/>
      <c r="L2108" s="32" t="e">
        <f ca="1">_xludf.ifna(VLOOKUP(E2108,Parámetros!$D$2:$E$34,2,0),"")</f>
        <v>#NAME?</v>
      </c>
      <c r="M2108" s="32" t="e">
        <f ca="1">_xludf.ifna(VLOOKUP(G2108,Proyectos!$A$2:$T$674,20,0),"")</f>
        <v>#NAME?</v>
      </c>
      <c r="N2108" s="32" t="e">
        <f ca="1">_xludf.ifna(VLOOKUP(G2108,Proyectos!$A$2:$S$674,19,0))</f>
        <v>#NAME?</v>
      </c>
      <c r="O2108" s="32"/>
      <c r="P2108" s="32"/>
      <c r="Q2108" s="33"/>
      <c r="R2108" s="33"/>
      <c r="S2108" s="33"/>
      <c r="T2108" s="63">
        <f t="shared" si="18"/>
        <v>0</v>
      </c>
      <c r="U2108" s="33"/>
      <c r="V2108" s="33"/>
      <c r="W2108" s="33"/>
    </row>
    <row r="2109" spans="1:23" ht="16.5" customHeight="1" x14ac:dyDescent="0.2">
      <c r="A2109" s="26"/>
      <c r="B2109" s="26"/>
      <c r="C2109" s="26"/>
      <c r="D2109" s="26"/>
      <c r="E2109" s="26"/>
      <c r="F2109" s="28"/>
      <c r="G2109" s="26"/>
      <c r="H2109" s="32"/>
      <c r="I2109" s="32"/>
      <c r="J2109" s="32"/>
      <c r="K2109" s="32"/>
      <c r="L2109" s="32" t="e">
        <f ca="1">_xludf.ifna(VLOOKUP(E2109,Parámetros!$D$2:$E$34,2,0),"")</f>
        <v>#NAME?</v>
      </c>
      <c r="M2109" s="32" t="e">
        <f ca="1">_xludf.ifna(VLOOKUP(G2109,Proyectos!$A$2:$T$674,20,0),"")</f>
        <v>#NAME?</v>
      </c>
      <c r="N2109" s="32" t="e">
        <f ca="1">_xludf.ifna(VLOOKUP(G2109,Proyectos!$A$2:$S$674,19,0))</f>
        <v>#NAME?</v>
      </c>
      <c r="O2109" s="32"/>
      <c r="P2109" s="32"/>
      <c r="Q2109" s="33"/>
      <c r="R2109" s="33"/>
      <c r="S2109" s="33"/>
      <c r="T2109" s="63">
        <f t="shared" si="18"/>
        <v>0</v>
      </c>
      <c r="U2109" s="33"/>
      <c r="V2109" s="33"/>
      <c r="W2109" s="33"/>
    </row>
    <row r="2110" spans="1:23" ht="16.5" customHeight="1" x14ac:dyDescent="0.2">
      <c r="A2110" s="26"/>
      <c r="B2110" s="26"/>
      <c r="C2110" s="26"/>
      <c r="D2110" s="26"/>
      <c r="E2110" s="26"/>
      <c r="F2110" s="28"/>
      <c r="G2110" s="26"/>
      <c r="H2110" s="32"/>
      <c r="I2110" s="32"/>
      <c r="J2110" s="32"/>
      <c r="K2110" s="32"/>
      <c r="L2110" s="32" t="e">
        <f ca="1">_xludf.ifna(VLOOKUP(E2110,Parámetros!$D$2:$E$34,2,0),"")</f>
        <v>#NAME?</v>
      </c>
      <c r="M2110" s="32" t="e">
        <f ca="1">_xludf.ifna(VLOOKUP(G2110,Proyectos!$A$2:$T$674,20,0),"")</f>
        <v>#NAME?</v>
      </c>
      <c r="N2110" s="32" t="e">
        <f ca="1">_xludf.ifna(VLOOKUP(G2110,Proyectos!$A$2:$S$674,19,0))</f>
        <v>#NAME?</v>
      </c>
      <c r="O2110" s="32"/>
      <c r="P2110" s="32"/>
      <c r="Q2110" s="33"/>
      <c r="R2110" s="33"/>
      <c r="S2110" s="33"/>
      <c r="T2110" s="63">
        <f t="shared" si="18"/>
        <v>0</v>
      </c>
      <c r="U2110" s="33"/>
      <c r="V2110" s="33"/>
      <c r="W2110" s="33"/>
    </row>
    <row r="2111" spans="1:23" ht="16.5" customHeight="1" x14ac:dyDescent="0.2">
      <c r="A2111" s="26"/>
      <c r="B2111" s="26"/>
      <c r="C2111" s="26"/>
      <c r="D2111" s="26"/>
      <c r="E2111" s="26"/>
      <c r="F2111" s="28"/>
      <c r="G2111" s="26"/>
      <c r="H2111" s="32"/>
      <c r="I2111" s="32"/>
      <c r="J2111" s="32"/>
      <c r="K2111" s="32"/>
      <c r="L2111" s="32" t="e">
        <f ca="1">_xludf.ifna(VLOOKUP(E2111,Parámetros!$D$2:$E$34,2,0),"")</f>
        <v>#NAME?</v>
      </c>
      <c r="M2111" s="32" t="e">
        <f ca="1">_xludf.ifna(VLOOKUP(G2111,Proyectos!$A$2:$T$674,20,0),"")</f>
        <v>#NAME?</v>
      </c>
      <c r="N2111" s="32" t="e">
        <f ca="1">_xludf.ifna(VLOOKUP(G2111,Proyectos!$A$2:$S$674,19,0))</f>
        <v>#NAME?</v>
      </c>
      <c r="O2111" s="32"/>
      <c r="P2111" s="32"/>
      <c r="Q2111" s="33"/>
      <c r="R2111" s="33"/>
      <c r="S2111" s="33"/>
      <c r="T2111" s="63">
        <f t="shared" si="18"/>
        <v>0</v>
      </c>
      <c r="U2111" s="33"/>
      <c r="V2111" s="33"/>
      <c r="W2111" s="33"/>
    </row>
    <row r="2112" spans="1:23" ht="16.5" customHeight="1" x14ac:dyDescent="0.2">
      <c r="A2112" s="26"/>
      <c r="B2112" s="26"/>
      <c r="C2112" s="26"/>
      <c r="D2112" s="26"/>
      <c r="E2112" s="26"/>
      <c r="F2112" s="28"/>
      <c r="G2112" s="26"/>
      <c r="H2112" s="32"/>
      <c r="I2112" s="32"/>
      <c r="J2112" s="32"/>
      <c r="K2112" s="32"/>
      <c r="L2112" s="32" t="e">
        <f ca="1">_xludf.ifna(VLOOKUP(E2112,Parámetros!$D$2:$E$34,2,0),"")</f>
        <v>#NAME?</v>
      </c>
      <c r="M2112" s="32" t="e">
        <f ca="1">_xludf.ifna(VLOOKUP(G2112,Proyectos!$A$2:$T$674,20,0),"")</f>
        <v>#NAME?</v>
      </c>
      <c r="N2112" s="32" t="e">
        <f ca="1">_xludf.ifna(VLOOKUP(G2112,Proyectos!$A$2:$S$674,19,0))</f>
        <v>#NAME?</v>
      </c>
      <c r="O2112" s="32"/>
      <c r="P2112" s="32"/>
      <c r="Q2112" s="33"/>
      <c r="R2112" s="33"/>
      <c r="S2112" s="33"/>
      <c r="T2112" s="63">
        <f t="shared" si="18"/>
        <v>0</v>
      </c>
      <c r="U2112" s="33"/>
      <c r="V2112" s="33"/>
      <c r="W2112" s="33"/>
    </row>
    <row r="2113" spans="1:23" ht="16.5" customHeight="1" x14ac:dyDescent="0.2">
      <c r="A2113" s="26"/>
      <c r="B2113" s="26"/>
      <c r="C2113" s="26"/>
      <c r="D2113" s="26"/>
      <c r="E2113" s="26"/>
      <c r="F2113" s="28"/>
      <c r="G2113" s="26"/>
      <c r="H2113" s="32"/>
      <c r="I2113" s="32"/>
      <c r="J2113" s="32"/>
      <c r="K2113" s="32"/>
      <c r="L2113" s="32" t="e">
        <f ca="1">_xludf.ifna(VLOOKUP(E2113,Parámetros!$D$2:$E$34,2,0),"")</f>
        <v>#NAME?</v>
      </c>
      <c r="M2113" s="32" t="e">
        <f ca="1">_xludf.ifna(VLOOKUP(G2113,Proyectos!$A$2:$T$674,20,0),"")</f>
        <v>#NAME?</v>
      </c>
      <c r="N2113" s="32" t="e">
        <f ca="1">_xludf.ifna(VLOOKUP(G2113,Proyectos!$A$2:$S$674,19,0))</f>
        <v>#NAME?</v>
      </c>
      <c r="O2113" s="32"/>
      <c r="P2113" s="32"/>
      <c r="Q2113" s="33"/>
      <c r="R2113" s="33"/>
      <c r="S2113" s="33"/>
      <c r="T2113" s="63">
        <f t="shared" si="18"/>
        <v>0</v>
      </c>
      <c r="U2113" s="33"/>
      <c r="V2113" s="33"/>
      <c r="W2113" s="33"/>
    </row>
    <row r="2114" spans="1:23" ht="16.5" customHeight="1" x14ac:dyDescent="0.2">
      <c r="A2114" s="26"/>
      <c r="B2114" s="26"/>
      <c r="C2114" s="26"/>
      <c r="D2114" s="26"/>
      <c r="E2114" s="26"/>
      <c r="F2114" s="28"/>
      <c r="G2114" s="26"/>
      <c r="H2114" s="32"/>
      <c r="I2114" s="32"/>
      <c r="J2114" s="32"/>
      <c r="K2114" s="32"/>
      <c r="L2114" s="32" t="e">
        <f ca="1">_xludf.ifna(VLOOKUP(E2114,Parámetros!$D$2:$E$34,2,0),"")</f>
        <v>#NAME?</v>
      </c>
      <c r="M2114" s="32" t="e">
        <f ca="1">_xludf.ifna(VLOOKUP(G2114,Proyectos!$A$2:$T$674,20,0),"")</f>
        <v>#NAME?</v>
      </c>
      <c r="N2114" s="32" t="e">
        <f ca="1">_xludf.ifna(VLOOKUP(G2114,Proyectos!$A$2:$S$674,19,0))</f>
        <v>#NAME?</v>
      </c>
      <c r="O2114" s="32"/>
      <c r="P2114" s="32"/>
      <c r="Q2114" s="33"/>
      <c r="R2114" s="33"/>
      <c r="S2114" s="33"/>
      <c r="T2114" s="63">
        <f t="shared" si="18"/>
        <v>0</v>
      </c>
      <c r="U2114" s="33"/>
      <c r="V2114" s="33"/>
      <c r="W2114" s="33"/>
    </row>
    <row r="2115" spans="1:23" ht="16.5" customHeight="1" x14ac:dyDescent="0.2">
      <c r="A2115" s="26"/>
      <c r="B2115" s="26"/>
      <c r="C2115" s="26"/>
      <c r="D2115" s="26"/>
      <c r="E2115" s="26"/>
      <c r="F2115" s="28"/>
      <c r="G2115" s="26"/>
      <c r="H2115" s="32"/>
      <c r="I2115" s="32"/>
      <c r="J2115" s="32"/>
      <c r="K2115" s="32"/>
      <c r="L2115" s="32" t="e">
        <f ca="1">_xludf.ifna(VLOOKUP(E2115,Parámetros!$D$2:$E$34,2,0),"")</f>
        <v>#NAME?</v>
      </c>
      <c r="M2115" s="32" t="e">
        <f ca="1">_xludf.ifna(VLOOKUP(G2115,Proyectos!$A$2:$T$674,20,0),"")</f>
        <v>#NAME?</v>
      </c>
      <c r="N2115" s="32" t="e">
        <f ca="1">_xludf.ifna(VLOOKUP(G2115,Proyectos!$A$2:$S$674,19,0))</f>
        <v>#NAME?</v>
      </c>
      <c r="O2115" s="32"/>
      <c r="P2115" s="32"/>
      <c r="Q2115" s="33"/>
      <c r="R2115" s="33"/>
      <c r="S2115" s="33"/>
      <c r="T2115" s="63">
        <f t="shared" si="18"/>
        <v>0</v>
      </c>
      <c r="U2115" s="33"/>
      <c r="V2115" s="33"/>
      <c r="W2115" s="33"/>
    </row>
    <row r="2116" spans="1:23" ht="16.5" customHeight="1" x14ac:dyDescent="0.2">
      <c r="A2116" s="26"/>
      <c r="B2116" s="26"/>
      <c r="C2116" s="26"/>
      <c r="D2116" s="26"/>
      <c r="E2116" s="26"/>
      <c r="F2116" s="28"/>
      <c r="G2116" s="26"/>
      <c r="H2116" s="32"/>
      <c r="I2116" s="32"/>
      <c r="J2116" s="32"/>
      <c r="K2116" s="32"/>
      <c r="L2116" s="32" t="e">
        <f ca="1">_xludf.ifna(VLOOKUP(E2116,Parámetros!$D$2:$E$34,2,0),"")</f>
        <v>#NAME?</v>
      </c>
      <c r="M2116" s="32" t="e">
        <f ca="1">_xludf.ifna(VLOOKUP(G2116,Proyectos!$A$2:$T$674,20,0),"")</f>
        <v>#NAME?</v>
      </c>
      <c r="N2116" s="32" t="e">
        <f ca="1">_xludf.ifna(VLOOKUP(G2116,Proyectos!$A$2:$S$674,19,0))</f>
        <v>#NAME?</v>
      </c>
      <c r="O2116" s="32"/>
      <c r="P2116" s="32"/>
      <c r="Q2116" s="33"/>
      <c r="R2116" s="33"/>
      <c r="S2116" s="33"/>
      <c r="T2116" s="63">
        <f t="shared" si="18"/>
        <v>0</v>
      </c>
      <c r="U2116" s="33"/>
      <c r="V2116" s="33"/>
      <c r="W2116" s="33"/>
    </row>
    <row r="2117" spans="1:23" ht="16.5" customHeight="1" x14ac:dyDescent="0.2">
      <c r="A2117" s="26"/>
      <c r="B2117" s="26"/>
      <c r="C2117" s="26"/>
      <c r="D2117" s="26"/>
      <c r="E2117" s="26"/>
      <c r="F2117" s="28"/>
      <c r="G2117" s="26"/>
      <c r="H2117" s="32"/>
      <c r="I2117" s="32"/>
      <c r="J2117" s="32"/>
      <c r="K2117" s="32"/>
      <c r="L2117" s="32" t="e">
        <f ca="1">_xludf.ifna(VLOOKUP(E2117,Parámetros!$D$2:$E$34,2,0),"")</f>
        <v>#NAME?</v>
      </c>
      <c r="M2117" s="32" t="e">
        <f ca="1">_xludf.ifna(VLOOKUP(G2117,Proyectos!$A$2:$T$674,20,0),"")</f>
        <v>#NAME?</v>
      </c>
      <c r="N2117" s="32" t="e">
        <f ca="1">_xludf.ifna(VLOOKUP(G2117,Proyectos!$A$2:$S$674,19,0))</f>
        <v>#NAME?</v>
      </c>
      <c r="O2117" s="32"/>
      <c r="P2117" s="32"/>
      <c r="Q2117" s="33"/>
      <c r="R2117" s="33"/>
      <c r="S2117" s="33"/>
      <c r="T2117" s="63">
        <f t="shared" si="18"/>
        <v>0</v>
      </c>
      <c r="U2117" s="33"/>
      <c r="V2117" s="33"/>
      <c r="W2117" s="33"/>
    </row>
    <row r="2118" spans="1:23" ht="16.5" customHeight="1" x14ac:dyDescent="0.2">
      <c r="A2118" s="26"/>
      <c r="B2118" s="26"/>
      <c r="C2118" s="26"/>
      <c r="D2118" s="26"/>
      <c r="E2118" s="26"/>
      <c r="F2118" s="28"/>
      <c r="G2118" s="26"/>
      <c r="H2118" s="32"/>
      <c r="I2118" s="32"/>
      <c r="J2118" s="32"/>
      <c r="K2118" s="32"/>
      <c r="L2118" s="32" t="e">
        <f ca="1">_xludf.ifna(VLOOKUP(E2118,Parámetros!$D$2:$E$34,2,0),"")</f>
        <v>#NAME?</v>
      </c>
      <c r="M2118" s="32" t="e">
        <f ca="1">_xludf.ifna(VLOOKUP(G2118,Proyectos!$A$2:$T$674,20,0),"")</f>
        <v>#NAME?</v>
      </c>
      <c r="N2118" s="32" t="e">
        <f ca="1">_xludf.ifna(VLOOKUP(G2118,Proyectos!$A$2:$S$674,19,0))</f>
        <v>#NAME?</v>
      </c>
      <c r="O2118" s="32"/>
      <c r="P2118" s="32"/>
      <c r="Q2118" s="33"/>
      <c r="R2118" s="33"/>
      <c r="S2118" s="33"/>
      <c r="T2118" s="63">
        <f t="shared" si="18"/>
        <v>0</v>
      </c>
      <c r="U2118" s="33"/>
      <c r="V2118" s="33"/>
      <c r="W2118" s="33"/>
    </row>
    <row r="2119" spans="1:23" ht="16.5" customHeight="1" x14ac:dyDescent="0.2">
      <c r="A2119" s="26"/>
      <c r="B2119" s="26"/>
      <c r="C2119" s="26"/>
      <c r="D2119" s="26"/>
      <c r="E2119" s="26"/>
      <c r="F2119" s="28"/>
      <c r="G2119" s="26"/>
      <c r="H2119" s="32"/>
      <c r="I2119" s="32"/>
      <c r="J2119" s="32"/>
      <c r="K2119" s="32"/>
      <c r="L2119" s="32" t="e">
        <f ca="1">_xludf.ifna(VLOOKUP(E2119,Parámetros!$D$2:$E$34,2,0),"")</f>
        <v>#NAME?</v>
      </c>
      <c r="M2119" s="32" t="e">
        <f ca="1">_xludf.ifna(VLOOKUP(G2119,Proyectos!$A$2:$T$674,20,0),"")</f>
        <v>#NAME?</v>
      </c>
      <c r="N2119" s="32" t="e">
        <f ca="1">_xludf.ifna(VLOOKUP(G2119,Proyectos!$A$2:$S$674,19,0))</f>
        <v>#NAME?</v>
      </c>
      <c r="O2119" s="32"/>
      <c r="P2119" s="32"/>
      <c r="Q2119" s="33"/>
      <c r="R2119" s="33"/>
      <c r="S2119" s="33"/>
      <c r="T2119" s="63">
        <f t="shared" si="18"/>
        <v>0</v>
      </c>
      <c r="U2119" s="33"/>
      <c r="V2119" s="33"/>
      <c r="W2119" s="33"/>
    </row>
    <row r="2120" spans="1:23" ht="16.5" customHeight="1" x14ac:dyDescent="0.2">
      <c r="A2120" s="26"/>
      <c r="B2120" s="26"/>
      <c r="C2120" s="26"/>
      <c r="D2120" s="26"/>
      <c r="E2120" s="26"/>
      <c r="F2120" s="28"/>
      <c r="G2120" s="26"/>
      <c r="H2120" s="32"/>
      <c r="I2120" s="32"/>
      <c r="J2120" s="32"/>
      <c r="K2120" s="32"/>
      <c r="L2120" s="32" t="e">
        <f ca="1">_xludf.ifna(VLOOKUP(E2120,Parámetros!$D$2:$E$34,2,0),"")</f>
        <v>#NAME?</v>
      </c>
      <c r="M2120" s="32" t="e">
        <f ca="1">_xludf.ifna(VLOOKUP(G2120,Proyectos!$A$2:$T$674,20,0),"")</f>
        <v>#NAME?</v>
      </c>
      <c r="N2120" s="32" t="e">
        <f ca="1">_xludf.ifna(VLOOKUP(G2120,Proyectos!$A$2:$S$674,19,0))</f>
        <v>#NAME?</v>
      </c>
      <c r="O2120" s="32"/>
      <c r="P2120" s="32"/>
      <c r="Q2120" s="33"/>
      <c r="R2120" s="33"/>
      <c r="S2120" s="33"/>
      <c r="T2120" s="63">
        <f t="shared" si="18"/>
        <v>0</v>
      </c>
      <c r="U2120" s="33"/>
      <c r="V2120" s="33"/>
      <c r="W2120" s="33"/>
    </row>
    <row r="2121" spans="1:23" ht="16.5" customHeight="1" x14ac:dyDescent="0.2">
      <c r="A2121" s="26"/>
      <c r="B2121" s="26"/>
      <c r="C2121" s="26"/>
      <c r="D2121" s="26"/>
      <c r="E2121" s="26"/>
      <c r="F2121" s="28"/>
      <c r="G2121" s="26"/>
      <c r="H2121" s="32"/>
      <c r="I2121" s="32"/>
      <c r="J2121" s="32"/>
      <c r="K2121" s="32"/>
      <c r="L2121" s="32" t="e">
        <f ca="1">_xludf.ifna(VLOOKUP(E2121,Parámetros!$D$2:$E$34,2,0),"")</f>
        <v>#NAME?</v>
      </c>
      <c r="M2121" s="32" t="e">
        <f ca="1">_xludf.ifna(VLOOKUP(G2121,Proyectos!$A$2:$T$674,20,0),"")</f>
        <v>#NAME?</v>
      </c>
      <c r="N2121" s="32" t="e">
        <f ca="1">_xludf.ifna(VLOOKUP(G2121,Proyectos!$A$2:$S$674,19,0))</f>
        <v>#NAME?</v>
      </c>
      <c r="O2121" s="32"/>
      <c r="P2121" s="32"/>
      <c r="Q2121" s="33"/>
      <c r="R2121" s="33"/>
      <c r="S2121" s="33"/>
      <c r="T2121" s="63">
        <f t="shared" si="18"/>
        <v>0</v>
      </c>
      <c r="U2121" s="33"/>
      <c r="V2121" s="33"/>
      <c r="W2121" s="33"/>
    </row>
    <row r="2122" spans="1:23" ht="16.5" customHeight="1" x14ac:dyDescent="0.2">
      <c r="A2122" s="26"/>
      <c r="B2122" s="26"/>
      <c r="C2122" s="26"/>
      <c r="D2122" s="26"/>
      <c r="E2122" s="26"/>
      <c r="F2122" s="28"/>
      <c r="G2122" s="26"/>
      <c r="H2122" s="32"/>
      <c r="I2122" s="32"/>
      <c r="J2122" s="32"/>
      <c r="K2122" s="32"/>
      <c r="L2122" s="32" t="e">
        <f ca="1">_xludf.ifna(VLOOKUP(E2122,Parámetros!$D$2:$E$34,2,0),"")</f>
        <v>#NAME?</v>
      </c>
      <c r="M2122" s="32" t="e">
        <f ca="1">_xludf.ifna(VLOOKUP(G2122,Proyectos!$A$2:$T$674,20,0),"")</f>
        <v>#NAME?</v>
      </c>
      <c r="N2122" s="32" t="e">
        <f ca="1">_xludf.ifna(VLOOKUP(G2122,Proyectos!$A$2:$S$674,19,0))</f>
        <v>#NAME?</v>
      </c>
      <c r="O2122" s="32"/>
      <c r="P2122" s="32"/>
      <c r="Q2122" s="33"/>
      <c r="R2122" s="33"/>
      <c r="S2122" s="33"/>
      <c r="T2122" s="63">
        <f t="shared" si="18"/>
        <v>0</v>
      </c>
      <c r="U2122" s="33"/>
      <c r="V2122" s="33"/>
      <c r="W2122" s="33"/>
    </row>
    <row r="2123" spans="1:23" ht="16.5" customHeight="1" x14ac:dyDescent="0.2">
      <c r="A2123" s="26"/>
      <c r="B2123" s="26"/>
      <c r="C2123" s="26"/>
      <c r="D2123" s="26"/>
      <c r="E2123" s="26"/>
      <c r="F2123" s="28"/>
      <c r="G2123" s="26"/>
      <c r="H2123" s="32"/>
      <c r="I2123" s="32"/>
      <c r="J2123" s="32"/>
      <c r="K2123" s="32"/>
      <c r="L2123" s="32" t="e">
        <f ca="1">_xludf.ifna(VLOOKUP(E2123,Parámetros!$D$2:$E$34,2,0),"")</f>
        <v>#NAME?</v>
      </c>
      <c r="M2123" s="32" t="e">
        <f ca="1">_xludf.ifna(VLOOKUP(G2123,Proyectos!$A$2:$T$674,20,0),"")</f>
        <v>#NAME?</v>
      </c>
      <c r="N2123" s="32" t="e">
        <f ca="1">_xludf.ifna(VLOOKUP(G2123,Proyectos!$A$2:$S$674,19,0))</f>
        <v>#NAME?</v>
      </c>
      <c r="O2123" s="32"/>
      <c r="P2123" s="32"/>
      <c r="Q2123" s="33"/>
      <c r="R2123" s="33"/>
      <c r="S2123" s="33"/>
      <c r="T2123" s="63">
        <f t="shared" si="18"/>
        <v>0</v>
      </c>
      <c r="U2123" s="33"/>
      <c r="V2123" s="33"/>
      <c r="W2123" s="33"/>
    </row>
    <row r="2124" spans="1:23" ht="16.5" customHeight="1" x14ac:dyDescent="0.2">
      <c r="A2124" s="26"/>
      <c r="B2124" s="26"/>
      <c r="C2124" s="26"/>
      <c r="D2124" s="26"/>
      <c r="E2124" s="26"/>
      <c r="F2124" s="28"/>
      <c r="G2124" s="26"/>
      <c r="H2124" s="32"/>
      <c r="I2124" s="32"/>
      <c r="J2124" s="32"/>
      <c r="K2124" s="32"/>
      <c r="L2124" s="32" t="e">
        <f ca="1">_xludf.ifna(VLOOKUP(E2124,Parámetros!$D$2:$E$34,2,0),"")</f>
        <v>#NAME?</v>
      </c>
      <c r="M2124" s="32" t="e">
        <f ca="1">_xludf.ifna(VLOOKUP(G2124,Proyectos!$A$2:$T$674,20,0),"")</f>
        <v>#NAME?</v>
      </c>
      <c r="N2124" s="32" t="e">
        <f ca="1">_xludf.ifna(VLOOKUP(G2124,Proyectos!$A$2:$S$674,19,0))</f>
        <v>#NAME?</v>
      </c>
      <c r="O2124" s="32"/>
      <c r="P2124" s="32"/>
      <c r="Q2124" s="33"/>
      <c r="R2124" s="33"/>
      <c r="S2124" s="33"/>
      <c r="T2124" s="63">
        <f t="shared" si="18"/>
        <v>0</v>
      </c>
      <c r="U2124" s="33"/>
      <c r="V2124" s="33"/>
      <c r="W2124" s="33"/>
    </row>
    <row r="2125" spans="1:23" ht="16.5" customHeight="1" x14ac:dyDescent="0.2">
      <c r="A2125" s="26"/>
      <c r="B2125" s="26"/>
      <c r="C2125" s="26"/>
      <c r="D2125" s="26"/>
      <c r="E2125" s="26"/>
      <c r="F2125" s="28"/>
      <c r="G2125" s="26"/>
      <c r="H2125" s="32"/>
      <c r="I2125" s="32"/>
      <c r="J2125" s="32"/>
      <c r="K2125" s="32"/>
      <c r="L2125" s="32" t="e">
        <f ca="1">_xludf.ifna(VLOOKUP(E2125,Parámetros!$D$2:$E$34,2,0),"")</f>
        <v>#NAME?</v>
      </c>
      <c r="M2125" s="32" t="e">
        <f ca="1">_xludf.ifna(VLOOKUP(G2125,Proyectos!$A$2:$T$674,20,0),"")</f>
        <v>#NAME?</v>
      </c>
      <c r="N2125" s="32" t="e">
        <f ca="1">_xludf.ifna(VLOOKUP(G2125,Proyectos!$A$2:$S$674,19,0))</f>
        <v>#NAME?</v>
      </c>
      <c r="O2125" s="32"/>
      <c r="P2125" s="32"/>
      <c r="Q2125" s="33"/>
      <c r="R2125" s="33"/>
      <c r="S2125" s="33"/>
      <c r="T2125" s="63">
        <f t="shared" si="18"/>
        <v>0</v>
      </c>
      <c r="U2125" s="33"/>
      <c r="V2125" s="33"/>
      <c r="W2125" s="33"/>
    </row>
    <row r="2126" spans="1:23" ht="16.5" customHeight="1" x14ac:dyDescent="0.2">
      <c r="A2126" s="26"/>
      <c r="B2126" s="26"/>
      <c r="C2126" s="26"/>
      <c r="D2126" s="26"/>
      <c r="E2126" s="26"/>
      <c r="F2126" s="28"/>
      <c r="G2126" s="26"/>
      <c r="H2126" s="32"/>
      <c r="I2126" s="32"/>
      <c r="J2126" s="32"/>
      <c r="K2126" s="32"/>
      <c r="L2126" s="32" t="e">
        <f ca="1">_xludf.ifna(VLOOKUP(E2126,Parámetros!$D$2:$E$34,2,0),"")</f>
        <v>#NAME?</v>
      </c>
      <c r="M2126" s="32" t="e">
        <f ca="1">_xludf.ifna(VLOOKUP(G2126,Proyectos!$A$2:$T$674,20,0),"")</f>
        <v>#NAME?</v>
      </c>
      <c r="N2126" s="32" t="e">
        <f ca="1">_xludf.ifna(VLOOKUP(G2126,Proyectos!$A$2:$S$674,19,0))</f>
        <v>#NAME?</v>
      </c>
      <c r="O2126" s="32"/>
      <c r="P2126" s="32"/>
      <c r="Q2126" s="33"/>
      <c r="R2126" s="33"/>
      <c r="S2126" s="33"/>
      <c r="T2126" s="63">
        <f t="shared" si="18"/>
        <v>0</v>
      </c>
      <c r="U2126" s="33"/>
      <c r="V2126" s="33"/>
      <c r="W2126" s="33"/>
    </row>
    <row r="2127" spans="1:23" ht="16.5" customHeight="1" x14ac:dyDescent="0.2">
      <c r="A2127" s="26"/>
      <c r="B2127" s="26"/>
      <c r="C2127" s="26"/>
      <c r="D2127" s="26"/>
      <c r="E2127" s="26"/>
      <c r="F2127" s="28"/>
      <c r="G2127" s="26"/>
      <c r="H2127" s="32"/>
      <c r="I2127" s="32"/>
      <c r="J2127" s="32"/>
      <c r="K2127" s="32"/>
      <c r="L2127" s="32" t="e">
        <f ca="1">_xludf.ifna(VLOOKUP(E2127,Parámetros!$D$2:$E$34,2,0),"")</f>
        <v>#NAME?</v>
      </c>
      <c r="M2127" s="32" t="e">
        <f ca="1">_xludf.ifna(VLOOKUP(G2127,Proyectos!$A$2:$T$674,20,0),"")</f>
        <v>#NAME?</v>
      </c>
      <c r="N2127" s="32" t="e">
        <f ca="1">_xludf.ifna(VLOOKUP(G2127,Proyectos!$A$2:$S$674,19,0))</f>
        <v>#NAME?</v>
      </c>
      <c r="O2127" s="32"/>
      <c r="P2127" s="32"/>
      <c r="Q2127" s="33"/>
      <c r="R2127" s="33"/>
      <c r="S2127" s="33"/>
      <c r="T2127" s="63">
        <f t="shared" si="18"/>
        <v>0</v>
      </c>
      <c r="U2127" s="33"/>
      <c r="V2127" s="33"/>
      <c r="W2127" s="33"/>
    </row>
    <row r="2128" spans="1:23" ht="16.5" customHeight="1" x14ac:dyDescent="0.2">
      <c r="A2128" s="26"/>
      <c r="B2128" s="26"/>
      <c r="C2128" s="26"/>
      <c r="D2128" s="26"/>
      <c r="E2128" s="26"/>
      <c r="F2128" s="28"/>
      <c r="G2128" s="26"/>
      <c r="H2128" s="32"/>
      <c r="I2128" s="32"/>
      <c r="J2128" s="32"/>
      <c r="K2128" s="32"/>
      <c r="L2128" s="32" t="e">
        <f ca="1">_xludf.ifna(VLOOKUP(E2128,Parámetros!$D$2:$E$34,2,0),"")</f>
        <v>#NAME?</v>
      </c>
      <c r="M2128" s="32" t="e">
        <f ca="1">_xludf.ifna(VLOOKUP(G2128,Proyectos!$A$2:$T$674,20,0),"")</f>
        <v>#NAME?</v>
      </c>
      <c r="N2128" s="32" t="e">
        <f ca="1">_xludf.ifna(VLOOKUP(G2128,Proyectos!$A$2:$S$674,19,0))</f>
        <v>#NAME?</v>
      </c>
      <c r="O2128" s="32"/>
      <c r="P2128" s="32"/>
      <c r="Q2128" s="33"/>
      <c r="R2128" s="33"/>
      <c r="S2128" s="33"/>
      <c r="T2128" s="63">
        <f t="shared" si="18"/>
        <v>0</v>
      </c>
      <c r="U2128" s="33"/>
      <c r="V2128" s="33"/>
      <c r="W2128" s="33"/>
    </row>
    <row r="2129" spans="1:23" ht="16.5" customHeight="1" x14ac:dyDescent="0.2">
      <c r="A2129" s="26"/>
      <c r="B2129" s="26"/>
      <c r="C2129" s="26"/>
      <c r="D2129" s="26"/>
      <c r="E2129" s="26"/>
      <c r="F2129" s="28"/>
      <c r="G2129" s="26"/>
      <c r="H2129" s="32"/>
      <c r="I2129" s="32"/>
      <c r="J2129" s="32"/>
      <c r="K2129" s="32"/>
      <c r="L2129" s="32" t="e">
        <f ca="1">_xludf.ifna(VLOOKUP(E2129,Parámetros!$D$2:$E$34,2,0),"")</f>
        <v>#NAME?</v>
      </c>
      <c r="M2129" s="32" t="e">
        <f ca="1">_xludf.ifna(VLOOKUP(G2129,Proyectos!$A$2:$T$674,20,0),"")</f>
        <v>#NAME?</v>
      </c>
      <c r="N2129" s="32" t="e">
        <f ca="1">_xludf.ifna(VLOOKUP(G2129,Proyectos!$A$2:$S$674,19,0))</f>
        <v>#NAME?</v>
      </c>
      <c r="O2129" s="32"/>
      <c r="P2129" s="32"/>
      <c r="Q2129" s="33"/>
      <c r="R2129" s="33"/>
      <c r="S2129" s="33"/>
      <c r="T2129" s="63">
        <f t="shared" si="18"/>
        <v>0</v>
      </c>
      <c r="U2129" s="33"/>
      <c r="V2129" s="33"/>
      <c r="W2129" s="33"/>
    </row>
    <row r="2130" spans="1:23" ht="16.5" customHeight="1" x14ac:dyDescent="0.2">
      <c r="A2130" s="26"/>
      <c r="B2130" s="26"/>
      <c r="C2130" s="26"/>
      <c r="D2130" s="26"/>
      <c r="E2130" s="26"/>
      <c r="F2130" s="28"/>
      <c r="G2130" s="26"/>
      <c r="H2130" s="32"/>
      <c r="I2130" s="32"/>
      <c r="J2130" s="32"/>
      <c r="K2130" s="32"/>
      <c r="L2130" s="32" t="e">
        <f ca="1">_xludf.ifna(VLOOKUP(E2130,Parámetros!$D$2:$E$34,2,0),"")</f>
        <v>#NAME?</v>
      </c>
      <c r="M2130" s="32" t="e">
        <f ca="1">_xludf.ifna(VLOOKUP(G2130,Proyectos!$A$2:$T$674,20,0),"")</f>
        <v>#NAME?</v>
      </c>
      <c r="N2130" s="32" t="e">
        <f ca="1">_xludf.ifna(VLOOKUP(G2130,Proyectos!$A$2:$S$674,19,0))</f>
        <v>#NAME?</v>
      </c>
      <c r="O2130" s="32"/>
      <c r="P2130" s="32"/>
      <c r="Q2130" s="33"/>
      <c r="R2130" s="33"/>
      <c r="S2130" s="33"/>
      <c r="T2130" s="63">
        <f t="shared" si="18"/>
        <v>0</v>
      </c>
      <c r="U2130" s="33"/>
      <c r="V2130" s="33"/>
      <c r="W2130" s="33"/>
    </row>
    <row r="2131" spans="1:23" ht="16.5" customHeight="1" x14ac:dyDescent="0.2">
      <c r="A2131" s="26"/>
      <c r="B2131" s="26"/>
      <c r="C2131" s="26"/>
      <c r="D2131" s="26"/>
      <c r="E2131" s="26"/>
      <c r="F2131" s="28"/>
      <c r="G2131" s="26"/>
      <c r="H2131" s="32"/>
      <c r="I2131" s="32"/>
      <c r="J2131" s="32"/>
      <c r="K2131" s="32"/>
      <c r="L2131" s="32" t="e">
        <f ca="1">_xludf.ifna(VLOOKUP(E2131,Parámetros!$D$2:$E$34,2,0),"")</f>
        <v>#NAME?</v>
      </c>
      <c r="M2131" s="32" t="e">
        <f ca="1">_xludf.ifna(VLOOKUP(G2131,Proyectos!$A$2:$T$674,20,0),"")</f>
        <v>#NAME?</v>
      </c>
      <c r="N2131" s="32" t="e">
        <f ca="1">_xludf.ifna(VLOOKUP(G2131,Proyectos!$A$2:$S$674,19,0))</f>
        <v>#NAME?</v>
      </c>
      <c r="O2131" s="32"/>
      <c r="P2131" s="32"/>
      <c r="Q2131" s="33"/>
      <c r="R2131" s="33"/>
      <c r="S2131" s="33"/>
      <c r="T2131" s="63">
        <f t="shared" si="18"/>
        <v>0</v>
      </c>
      <c r="U2131" s="33"/>
      <c r="V2131" s="33"/>
      <c r="W2131" s="33"/>
    </row>
    <row r="2132" spans="1:23" ht="16.5" customHeight="1" x14ac:dyDescent="0.2">
      <c r="A2132" s="26"/>
      <c r="B2132" s="26"/>
      <c r="C2132" s="26"/>
      <c r="D2132" s="26"/>
      <c r="E2132" s="26"/>
      <c r="F2132" s="28"/>
      <c r="G2132" s="26"/>
      <c r="H2132" s="32"/>
      <c r="I2132" s="32"/>
      <c r="J2132" s="32"/>
      <c r="K2132" s="32"/>
      <c r="L2132" s="32" t="e">
        <f ca="1">_xludf.ifna(VLOOKUP(E2132,Parámetros!$D$2:$E$34,2,0),"")</f>
        <v>#NAME?</v>
      </c>
      <c r="M2132" s="32" t="e">
        <f ca="1">_xludf.ifna(VLOOKUP(G2132,Proyectos!$A$2:$T$674,20,0),"")</f>
        <v>#NAME?</v>
      </c>
      <c r="N2132" s="32" t="e">
        <f ca="1">_xludf.ifna(VLOOKUP(G2132,Proyectos!$A$2:$S$674,19,0))</f>
        <v>#NAME?</v>
      </c>
      <c r="O2132" s="32"/>
      <c r="P2132" s="32"/>
      <c r="Q2132" s="33"/>
      <c r="R2132" s="33"/>
      <c r="S2132" s="33"/>
      <c r="T2132" s="63">
        <f t="shared" si="18"/>
        <v>0</v>
      </c>
      <c r="U2132" s="33"/>
      <c r="V2132" s="33"/>
      <c r="W2132" s="33"/>
    </row>
    <row r="2133" spans="1:23" ht="16.5" customHeight="1" x14ac:dyDescent="0.2">
      <c r="A2133" s="26"/>
      <c r="B2133" s="26"/>
      <c r="C2133" s="26"/>
      <c r="D2133" s="26"/>
      <c r="E2133" s="26"/>
      <c r="F2133" s="28"/>
      <c r="G2133" s="26"/>
      <c r="H2133" s="32"/>
      <c r="I2133" s="32"/>
      <c r="J2133" s="32"/>
      <c r="K2133" s="32"/>
      <c r="L2133" s="32" t="e">
        <f ca="1">_xludf.ifna(VLOOKUP(E2133,Parámetros!$D$2:$E$34,2,0),"")</f>
        <v>#NAME?</v>
      </c>
      <c r="M2133" s="32" t="e">
        <f ca="1">_xludf.ifna(VLOOKUP(G2133,Proyectos!$A$2:$T$674,20,0),"")</f>
        <v>#NAME?</v>
      </c>
      <c r="N2133" s="32" t="e">
        <f ca="1">_xludf.ifna(VLOOKUP(G2133,Proyectos!$A$2:$S$674,19,0))</f>
        <v>#NAME?</v>
      </c>
      <c r="O2133" s="32"/>
      <c r="P2133" s="32"/>
      <c r="Q2133" s="33"/>
      <c r="R2133" s="33"/>
      <c r="S2133" s="33"/>
      <c r="T2133" s="63">
        <f t="shared" si="18"/>
        <v>0</v>
      </c>
      <c r="U2133" s="33"/>
      <c r="V2133" s="33"/>
      <c r="W2133" s="33"/>
    </row>
    <row r="2134" spans="1:23" ht="16.5" customHeight="1" x14ac:dyDescent="0.2">
      <c r="A2134" s="26"/>
      <c r="B2134" s="26"/>
      <c r="C2134" s="26"/>
      <c r="D2134" s="26"/>
      <c r="E2134" s="26"/>
      <c r="F2134" s="28"/>
      <c r="G2134" s="26"/>
      <c r="H2134" s="32"/>
      <c r="I2134" s="32"/>
      <c r="J2134" s="32"/>
      <c r="K2134" s="32"/>
      <c r="L2134" s="32" t="e">
        <f ca="1">_xludf.ifna(VLOOKUP(E2134,Parámetros!$D$2:$E$34,2,0),"")</f>
        <v>#NAME?</v>
      </c>
      <c r="M2134" s="32" t="e">
        <f ca="1">_xludf.ifna(VLOOKUP(G2134,Proyectos!$A$2:$T$674,20,0),"")</f>
        <v>#NAME?</v>
      </c>
      <c r="N2134" s="32" t="e">
        <f ca="1">_xludf.ifna(VLOOKUP(G2134,Proyectos!$A$2:$S$674,19,0))</f>
        <v>#NAME?</v>
      </c>
      <c r="O2134" s="32"/>
      <c r="P2134" s="32"/>
      <c r="Q2134" s="33"/>
      <c r="R2134" s="33"/>
      <c r="S2134" s="33"/>
      <c r="T2134" s="63">
        <f t="shared" si="18"/>
        <v>0</v>
      </c>
      <c r="U2134" s="33"/>
      <c r="V2134" s="33"/>
      <c r="W2134" s="33"/>
    </row>
    <row r="2135" spans="1:23" ht="16.5" customHeight="1" x14ac:dyDescent="0.2">
      <c r="A2135" s="26"/>
      <c r="B2135" s="26"/>
      <c r="C2135" s="26"/>
      <c r="D2135" s="26"/>
      <c r="E2135" s="26"/>
      <c r="F2135" s="28"/>
      <c r="G2135" s="26"/>
      <c r="H2135" s="32"/>
      <c r="I2135" s="32"/>
      <c r="J2135" s="32"/>
      <c r="K2135" s="32"/>
      <c r="L2135" s="32" t="e">
        <f ca="1">_xludf.ifna(VLOOKUP(E2135,Parámetros!$D$2:$E$34,2,0),"")</f>
        <v>#NAME?</v>
      </c>
      <c r="M2135" s="32" t="e">
        <f ca="1">_xludf.ifna(VLOOKUP(G2135,Proyectos!$A$2:$T$674,20,0),"")</f>
        <v>#NAME?</v>
      </c>
      <c r="N2135" s="32" t="e">
        <f ca="1">_xludf.ifna(VLOOKUP(G2135,Proyectos!$A$2:$S$674,19,0))</f>
        <v>#NAME?</v>
      </c>
      <c r="O2135" s="32"/>
      <c r="P2135" s="32"/>
      <c r="Q2135" s="33"/>
      <c r="R2135" s="33"/>
      <c r="S2135" s="33"/>
      <c r="T2135" s="63">
        <f t="shared" si="18"/>
        <v>0</v>
      </c>
      <c r="U2135" s="33"/>
      <c r="V2135" s="33"/>
      <c r="W2135" s="33"/>
    </row>
    <row r="2136" spans="1:23" ht="16.5" customHeight="1" x14ac:dyDescent="0.2">
      <c r="A2136" s="26"/>
      <c r="B2136" s="26"/>
      <c r="C2136" s="26"/>
      <c r="D2136" s="26"/>
      <c r="E2136" s="26"/>
      <c r="F2136" s="28"/>
      <c r="G2136" s="26"/>
      <c r="H2136" s="32"/>
      <c r="I2136" s="32"/>
      <c r="J2136" s="32"/>
      <c r="K2136" s="32"/>
      <c r="L2136" s="32" t="e">
        <f ca="1">_xludf.ifna(VLOOKUP(E2136,Parámetros!$D$2:$E$34,2,0),"")</f>
        <v>#NAME?</v>
      </c>
      <c r="M2136" s="32" t="e">
        <f ca="1">_xludf.ifna(VLOOKUP(G2136,Proyectos!$A$2:$T$674,20,0),"")</f>
        <v>#NAME?</v>
      </c>
      <c r="N2136" s="32" t="e">
        <f ca="1">_xludf.ifna(VLOOKUP(G2136,Proyectos!$A$2:$S$674,19,0))</f>
        <v>#NAME?</v>
      </c>
      <c r="O2136" s="32"/>
      <c r="P2136" s="32"/>
      <c r="Q2136" s="33"/>
      <c r="R2136" s="33"/>
      <c r="S2136" s="33"/>
      <c r="T2136" s="63">
        <f t="shared" si="18"/>
        <v>0</v>
      </c>
      <c r="U2136" s="33"/>
      <c r="V2136" s="33"/>
      <c r="W2136" s="33"/>
    </row>
    <row r="2137" spans="1:23" ht="16.5" customHeight="1" x14ac:dyDescent="0.2">
      <c r="A2137" s="26"/>
      <c r="B2137" s="26"/>
      <c r="C2137" s="26"/>
      <c r="D2137" s="26"/>
      <c r="E2137" s="26"/>
      <c r="F2137" s="28"/>
      <c r="G2137" s="26"/>
      <c r="H2137" s="32"/>
      <c r="I2137" s="32"/>
      <c r="J2137" s="32"/>
      <c r="K2137" s="32"/>
      <c r="L2137" s="32" t="e">
        <f ca="1">_xludf.ifna(VLOOKUP(E2137,Parámetros!$D$2:$E$34,2,0),"")</f>
        <v>#NAME?</v>
      </c>
      <c r="M2137" s="32" t="e">
        <f ca="1">_xludf.ifna(VLOOKUP(G2137,Proyectos!$A$2:$T$674,20,0),"")</f>
        <v>#NAME?</v>
      </c>
      <c r="N2137" s="32" t="e">
        <f ca="1">_xludf.ifna(VLOOKUP(G2137,Proyectos!$A$2:$S$674,19,0))</f>
        <v>#NAME?</v>
      </c>
      <c r="O2137" s="32"/>
      <c r="P2137" s="32"/>
      <c r="Q2137" s="33"/>
      <c r="R2137" s="33"/>
      <c r="S2137" s="33"/>
      <c r="T2137" s="63">
        <f t="shared" si="18"/>
        <v>0</v>
      </c>
      <c r="U2137" s="33"/>
      <c r="V2137" s="33"/>
      <c r="W2137" s="33"/>
    </row>
    <row r="2138" spans="1:23" ht="16.5" customHeight="1" x14ac:dyDescent="0.2">
      <c r="A2138" s="26"/>
      <c r="B2138" s="26"/>
      <c r="C2138" s="26"/>
      <c r="D2138" s="26"/>
      <c r="E2138" s="26"/>
      <c r="F2138" s="28"/>
      <c r="G2138" s="26"/>
      <c r="H2138" s="32"/>
      <c r="I2138" s="32"/>
      <c r="J2138" s="32"/>
      <c r="K2138" s="32"/>
      <c r="L2138" s="32" t="e">
        <f ca="1">_xludf.ifna(VLOOKUP(E2138,Parámetros!$D$2:$E$34,2,0),"")</f>
        <v>#NAME?</v>
      </c>
      <c r="M2138" s="32" t="e">
        <f ca="1">_xludf.ifna(VLOOKUP(G2138,Proyectos!$A$2:$T$674,20,0),"")</f>
        <v>#NAME?</v>
      </c>
      <c r="N2138" s="32" t="e">
        <f ca="1">_xludf.ifna(VLOOKUP(G2138,Proyectos!$A$2:$S$674,19,0))</f>
        <v>#NAME?</v>
      </c>
      <c r="O2138" s="32"/>
      <c r="P2138" s="32"/>
      <c r="Q2138" s="33"/>
      <c r="R2138" s="33"/>
      <c r="S2138" s="33"/>
      <c r="T2138" s="63">
        <f t="shared" si="18"/>
        <v>0</v>
      </c>
      <c r="U2138" s="33"/>
      <c r="V2138" s="33"/>
      <c r="W2138" s="33"/>
    </row>
    <row r="2139" spans="1:23" ht="16.5" customHeight="1" x14ac:dyDescent="0.2">
      <c r="A2139" s="26"/>
      <c r="B2139" s="26"/>
      <c r="C2139" s="26"/>
      <c r="D2139" s="26"/>
      <c r="E2139" s="26"/>
      <c r="F2139" s="28"/>
      <c r="G2139" s="26"/>
      <c r="H2139" s="32"/>
      <c r="I2139" s="32"/>
      <c r="J2139" s="32"/>
      <c r="K2139" s="32"/>
      <c r="L2139" s="32" t="e">
        <f ca="1">_xludf.ifna(VLOOKUP(E2139,Parámetros!$D$2:$E$34,2,0),"")</f>
        <v>#NAME?</v>
      </c>
      <c r="M2139" s="32" t="e">
        <f ca="1">_xludf.ifna(VLOOKUP(G2139,Proyectos!$A$2:$T$674,20,0),"")</f>
        <v>#NAME?</v>
      </c>
      <c r="N2139" s="32" t="e">
        <f ca="1">_xludf.ifna(VLOOKUP(G2139,Proyectos!$A$2:$S$674,19,0))</f>
        <v>#NAME?</v>
      </c>
      <c r="O2139" s="32"/>
      <c r="P2139" s="32"/>
      <c r="Q2139" s="33"/>
      <c r="R2139" s="33"/>
      <c r="S2139" s="33"/>
      <c r="T2139" s="63">
        <f t="shared" si="18"/>
        <v>0</v>
      </c>
      <c r="U2139" s="33"/>
      <c r="V2139" s="33"/>
      <c r="W2139" s="33"/>
    </row>
    <row r="2140" spans="1:23" ht="16.5" customHeight="1" x14ac:dyDescent="0.2">
      <c r="A2140" s="26"/>
      <c r="B2140" s="26"/>
      <c r="C2140" s="26"/>
      <c r="D2140" s="26"/>
      <c r="E2140" s="26"/>
      <c r="F2140" s="28"/>
      <c r="G2140" s="26"/>
      <c r="H2140" s="32"/>
      <c r="I2140" s="32"/>
      <c r="J2140" s="32"/>
      <c r="K2140" s="32"/>
      <c r="L2140" s="32" t="e">
        <f ca="1">_xludf.ifna(VLOOKUP(E2140,Parámetros!$D$2:$E$34,2,0),"")</f>
        <v>#NAME?</v>
      </c>
      <c r="M2140" s="32" t="e">
        <f ca="1">_xludf.ifna(VLOOKUP(G2140,Proyectos!$A$2:$T$674,20,0),"")</f>
        <v>#NAME?</v>
      </c>
      <c r="N2140" s="32" t="e">
        <f ca="1">_xludf.ifna(VLOOKUP(G2140,Proyectos!$A$2:$S$674,19,0))</f>
        <v>#NAME?</v>
      </c>
      <c r="O2140" s="32"/>
      <c r="P2140" s="32"/>
      <c r="Q2140" s="33"/>
      <c r="R2140" s="33"/>
      <c r="S2140" s="33"/>
      <c r="T2140" s="63">
        <f t="shared" si="18"/>
        <v>0</v>
      </c>
      <c r="U2140" s="33"/>
      <c r="V2140" s="33"/>
      <c r="W2140" s="33"/>
    </row>
    <row r="2141" spans="1:23" ht="16.5" customHeight="1" x14ac:dyDescent="0.2">
      <c r="A2141" s="26"/>
      <c r="B2141" s="26"/>
      <c r="C2141" s="26"/>
      <c r="D2141" s="26"/>
      <c r="E2141" s="26"/>
      <c r="F2141" s="28"/>
      <c r="G2141" s="26"/>
      <c r="H2141" s="32"/>
      <c r="I2141" s="32"/>
      <c r="J2141" s="32"/>
      <c r="K2141" s="32"/>
      <c r="L2141" s="32" t="e">
        <f ca="1">_xludf.ifna(VLOOKUP(E2141,Parámetros!$D$2:$E$34,2,0),"")</f>
        <v>#NAME?</v>
      </c>
      <c r="M2141" s="32" t="e">
        <f ca="1">_xludf.ifna(VLOOKUP(G2141,Proyectos!$A$2:$T$674,20,0),"")</f>
        <v>#NAME?</v>
      </c>
      <c r="N2141" s="32" t="e">
        <f ca="1">_xludf.ifna(VLOOKUP(G2141,Proyectos!$A$2:$S$674,19,0))</f>
        <v>#NAME?</v>
      </c>
      <c r="O2141" s="32"/>
      <c r="P2141" s="32"/>
      <c r="Q2141" s="33"/>
      <c r="R2141" s="33"/>
      <c r="S2141" s="33"/>
      <c r="T2141" s="63">
        <f t="shared" si="18"/>
        <v>0</v>
      </c>
      <c r="U2141" s="33"/>
      <c r="V2141" s="33"/>
      <c r="W2141" s="33"/>
    </row>
    <row r="2142" spans="1:23" ht="16.5" customHeight="1" x14ac:dyDescent="0.2">
      <c r="A2142" s="26"/>
      <c r="B2142" s="26"/>
      <c r="C2142" s="26"/>
      <c r="D2142" s="26"/>
      <c r="E2142" s="26"/>
      <c r="F2142" s="28"/>
      <c r="G2142" s="26"/>
      <c r="H2142" s="32"/>
      <c r="I2142" s="32"/>
      <c r="J2142" s="32"/>
      <c r="K2142" s="32"/>
      <c r="L2142" s="32" t="e">
        <f ca="1">_xludf.ifna(VLOOKUP(E2142,Parámetros!$D$2:$E$34,2,0),"")</f>
        <v>#NAME?</v>
      </c>
      <c r="M2142" s="32" t="e">
        <f ca="1">_xludf.ifna(VLOOKUP(G2142,Proyectos!$A$2:$T$674,20,0),"")</f>
        <v>#NAME?</v>
      </c>
      <c r="N2142" s="32" t="e">
        <f ca="1">_xludf.ifna(VLOOKUP(G2142,Proyectos!$A$2:$S$674,19,0))</f>
        <v>#NAME?</v>
      </c>
      <c r="O2142" s="32"/>
      <c r="P2142" s="32"/>
      <c r="Q2142" s="33"/>
      <c r="R2142" s="33"/>
      <c r="S2142" s="33"/>
      <c r="T2142" s="63">
        <f t="shared" si="18"/>
        <v>0</v>
      </c>
      <c r="U2142" s="33"/>
      <c r="V2142" s="33"/>
      <c r="W2142" s="33"/>
    </row>
    <row r="2143" spans="1:23" ht="16.5" customHeight="1" x14ac:dyDescent="0.2">
      <c r="A2143" s="26"/>
      <c r="B2143" s="26"/>
      <c r="C2143" s="26"/>
      <c r="D2143" s="26"/>
      <c r="E2143" s="26"/>
      <c r="F2143" s="28"/>
      <c r="G2143" s="26"/>
      <c r="H2143" s="32"/>
      <c r="I2143" s="32"/>
      <c r="J2143" s="32"/>
      <c r="K2143" s="32"/>
      <c r="L2143" s="32" t="e">
        <f ca="1">_xludf.ifna(VLOOKUP(E2143,Parámetros!$D$2:$E$34,2,0),"")</f>
        <v>#NAME?</v>
      </c>
      <c r="M2143" s="32" t="e">
        <f ca="1">_xludf.ifna(VLOOKUP(G2143,Proyectos!$A$2:$T$674,20,0),"")</f>
        <v>#NAME?</v>
      </c>
      <c r="N2143" s="32" t="e">
        <f ca="1">_xludf.ifna(VLOOKUP(G2143,Proyectos!$A$2:$S$674,19,0))</f>
        <v>#NAME?</v>
      </c>
      <c r="O2143" s="32"/>
      <c r="P2143" s="32"/>
      <c r="Q2143" s="33"/>
      <c r="R2143" s="33"/>
      <c r="S2143" s="33"/>
      <c r="T2143" s="63">
        <f t="shared" ref="T2143:T2331" si="19">IF(E2143=E2142,0,1)</f>
        <v>0</v>
      </c>
      <c r="U2143" s="33"/>
      <c r="V2143" s="33"/>
      <c r="W2143" s="33"/>
    </row>
    <row r="2144" spans="1:23" ht="16.5" customHeight="1" x14ac:dyDescent="0.2">
      <c r="A2144" s="26"/>
      <c r="B2144" s="26"/>
      <c r="C2144" s="26"/>
      <c r="D2144" s="26"/>
      <c r="E2144" s="26"/>
      <c r="F2144" s="28"/>
      <c r="G2144" s="26"/>
      <c r="H2144" s="32"/>
      <c r="I2144" s="32"/>
      <c r="J2144" s="32"/>
      <c r="K2144" s="32"/>
      <c r="L2144" s="32" t="e">
        <f ca="1">_xludf.ifna(VLOOKUP(E2144,Parámetros!$D$2:$E$34,2,0),"")</f>
        <v>#NAME?</v>
      </c>
      <c r="M2144" s="32" t="e">
        <f ca="1">_xludf.ifna(VLOOKUP(G2144,Proyectos!$A$2:$T$674,20,0),"")</f>
        <v>#NAME?</v>
      </c>
      <c r="N2144" s="32" t="e">
        <f ca="1">_xludf.ifna(VLOOKUP(G2144,Proyectos!$A$2:$S$674,19,0))</f>
        <v>#NAME?</v>
      </c>
      <c r="O2144" s="32"/>
      <c r="P2144" s="32"/>
      <c r="Q2144" s="33"/>
      <c r="R2144" s="33"/>
      <c r="S2144" s="33"/>
      <c r="T2144" s="63">
        <f t="shared" si="19"/>
        <v>0</v>
      </c>
      <c r="U2144" s="33"/>
      <c r="V2144" s="33"/>
      <c r="W2144" s="33"/>
    </row>
    <row r="2145" spans="1:23" ht="16.5" customHeight="1" x14ac:dyDescent="0.2">
      <c r="A2145" s="26"/>
      <c r="B2145" s="26"/>
      <c r="C2145" s="26"/>
      <c r="D2145" s="26"/>
      <c r="E2145" s="26"/>
      <c r="F2145" s="28"/>
      <c r="G2145" s="26"/>
      <c r="H2145" s="32"/>
      <c r="I2145" s="32"/>
      <c r="J2145" s="32"/>
      <c r="K2145" s="32"/>
      <c r="L2145" s="32" t="e">
        <f ca="1">_xludf.ifna(VLOOKUP(E2145,Parámetros!$D$2:$E$34,2,0),"")</f>
        <v>#NAME?</v>
      </c>
      <c r="M2145" s="32" t="e">
        <f ca="1">_xludf.ifna(VLOOKUP(G2145,Proyectos!$A$2:$T$674,20,0),"")</f>
        <v>#NAME?</v>
      </c>
      <c r="N2145" s="32" t="e">
        <f ca="1">_xludf.ifna(VLOOKUP(G2145,Proyectos!$A$2:$S$674,19,0))</f>
        <v>#NAME?</v>
      </c>
      <c r="O2145" s="32"/>
      <c r="P2145" s="32"/>
      <c r="Q2145" s="33"/>
      <c r="R2145" s="33"/>
      <c r="S2145" s="33"/>
      <c r="T2145" s="63">
        <f t="shared" si="19"/>
        <v>0</v>
      </c>
      <c r="U2145" s="33"/>
      <c r="V2145" s="33"/>
      <c r="W2145" s="33"/>
    </row>
    <row r="2146" spans="1:23" ht="16.5" customHeight="1" x14ac:dyDescent="0.2">
      <c r="A2146" s="26"/>
      <c r="B2146" s="26"/>
      <c r="C2146" s="26"/>
      <c r="D2146" s="26"/>
      <c r="E2146" s="26"/>
      <c r="F2146" s="28"/>
      <c r="G2146" s="26"/>
      <c r="H2146" s="32"/>
      <c r="I2146" s="32"/>
      <c r="J2146" s="32"/>
      <c r="K2146" s="32"/>
      <c r="L2146" s="32" t="e">
        <f ca="1">_xludf.ifna(VLOOKUP(E2146,Parámetros!$D$2:$E$34,2,0),"")</f>
        <v>#NAME?</v>
      </c>
      <c r="M2146" s="32" t="e">
        <f ca="1">_xludf.ifna(VLOOKUP(G2146,Proyectos!$A$2:$T$674,20,0),"")</f>
        <v>#NAME?</v>
      </c>
      <c r="N2146" s="32" t="e">
        <f ca="1">_xludf.ifna(VLOOKUP(G2146,Proyectos!$A$2:$S$674,19,0))</f>
        <v>#NAME?</v>
      </c>
      <c r="O2146" s="32"/>
      <c r="P2146" s="32"/>
      <c r="Q2146" s="33"/>
      <c r="R2146" s="33"/>
      <c r="S2146" s="33"/>
      <c r="T2146" s="63">
        <f t="shared" si="19"/>
        <v>0</v>
      </c>
      <c r="U2146" s="33"/>
      <c r="V2146" s="33"/>
      <c r="W2146" s="33"/>
    </row>
    <row r="2147" spans="1:23" ht="16.5" customHeight="1" x14ac:dyDescent="0.2">
      <c r="A2147" s="26"/>
      <c r="B2147" s="26"/>
      <c r="C2147" s="26"/>
      <c r="D2147" s="26"/>
      <c r="E2147" s="26"/>
      <c r="F2147" s="28"/>
      <c r="G2147" s="26"/>
      <c r="H2147" s="32"/>
      <c r="I2147" s="32"/>
      <c r="J2147" s="32"/>
      <c r="K2147" s="32"/>
      <c r="L2147" s="32" t="e">
        <f ca="1">_xludf.ifna(VLOOKUP(E2147,Parámetros!$D$2:$E$34,2,0),"")</f>
        <v>#NAME?</v>
      </c>
      <c r="M2147" s="32" t="e">
        <f ca="1">_xludf.ifna(VLOOKUP(G2147,Proyectos!$A$2:$T$674,20,0),"")</f>
        <v>#NAME?</v>
      </c>
      <c r="N2147" s="32" t="e">
        <f ca="1">_xludf.ifna(VLOOKUP(G2147,Proyectos!$A$2:$S$674,19,0))</f>
        <v>#NAME?</v>
      </c>
      <c r="O2147" s="32"/>
      <c r="P2147" s="32"/>
      <c r="Q2147" s="33"/>
      <c r="R2147" s="33"/>
      <c r="S2147" s="33"/>
      <c r="T2147" s="63">
        <f t="shared" si="19"/>
        <v>0</v>
      </c>
      <c r="U2147" s="33"/>
      <c r="V2147" s="33"/>
      <c r="W2147" s="33"/>
    </row>
    <row r="2148" spans="1:23" ht="16.5" customHeight="1" x14ac:dyDescent="0.2">
      <c r="A2148" s="26"/>
      <c r="B2148" s="26"/>
      <c r="C2148" s="26"/>
      <c r="D2148" s="26"/>
      <c r="E2148" s="26"/>
      <c r="F2148" s="28"/>
      <c r="G2148" s="26"/>
      <c r="H2148" s="32"/>
      <c r="I2148" s="32"/>
      <c r="J2148" s="32"/>
      <c r="K2148" s="32"/>
      <c r="L2148" s="32" t="e">
        <f ca="1">_xludf.ifna(VLOOKUP(E2148,Parámetros!$D$2:$E$34,2,0),"")</f>
        <v>#NAME?</v>
      </c>
      <c r="M2148" s="32" t="e">
        <f ca="1">_xludf.ifna(VLOOKUP(G2148,Proyectos!$A$2:$T$674,20,0),"")</f>
        <v>#NAME?</v>
      </c>
      <c r="N2148" s="32" t="e">
        <f ca="1">_xludf.ifna(VLOOKUP(G2148,Proyectos!$A$2:$S$674,19,0))</f>
        <v>#NAME?</v>
      </c>
      <c r="O2148" s="32"/>
      <c r="P2148" s="32"/>
      <c r="Q2148" s="33"/>
      <c r="R2148" s="33"/>
      <c r="S2148" s="33"/>
      <c r="T2148" s="63">
        <f t="shared" si="19"/>
        <v>0</v>
      </c>
      <c r="U2148" s="33"/>
      <c r="V2148" s="33"/>
      <c r="W2148" s="33"/>
    </row>
    <row r="2149" spans="1:23" ht="16.5" customHeight="1" x14ac:dyDescent="0.2">
      <c r="A2149" s="26"/>
      <c r="B2149" s="26"/>
      <c r="C2149" s="26"/>
      <c r="D2149" s="26"/>
      <c r="E2149" s="26"/>
      <c r="F2149" s="28"/>
      <c r="G2149" s="26"/>
      <c r="H2149" s="32"/>
      <c r="I2149" s="32"/>
      <c r="J2149" s="32"/>
      <c r="K2149" s="32"/>
      <c r="L2149" s="32" t="e">
        <f ca="1">_xludf.ifna(VLOOKUP(E2149,Parámetros!$D$2:$E$34,2,0),"")</f>
        <v>#NAME?</v>
      </c>
      <c r="M2149" s="32" t="e">
        <f ca="1">_xludf.ifna(VLOOKUP(G2149,Proyectos!$A$2:$T$674,20,0),"")</f>
        <v>#NAME?</v>
      </c>
      <c r="N2149" s="32" t="e">
        <f ca="1">_xludf.ifna(VLOOKUP(G2149,Proyectos!$A$2:$S$674,19,0))</f>
        <v>#NAME?</v>
      </c>
      <c r="O2149" s="32"/>
      <c r="P2149" s="32"/>
      <c r="Q2149" s="33"/>
      <c r="R2149" s="33"/>
      <c r="S2149" s="33"/>
      <c r="T2149" s="63">
        <f t="shared" si="19"/>
        <v>0</v>
      </c>
      <c r="U2149" s="33"/>
      <c r="V2149" s="33"/>
      <c r="W2149" s="33"/>
    </row>
    <row r="2150" spans="1:23" ht="16.5" customHeight="1" x14ac:dyDescent="0.2">
      <c r="A2150" s="26"/>
      <c r="B2150" s="26"/>
      <c r="C2150" s="26"/>
      <c r="D2150" s="26"/>
      <c r="E2150" s="26"/>
      <c r="F2150" s="28"/>
      <c r="G2150" s="26"/>
      <c r="H2150" s="32"/>
      <c r="I2150" s="32"/>
      <c r="J2150" s="32"/>
      <c r="K2150" s="32"/>
      <c r="L2150" s="32" t="e">
        <f ca="1">_xludf.ifna(VLOOKUP(E2150,Parámetros!$D$2:$E$34,2,0),"")</f>
        <v>#NAME?</v>
      </c>
      <c r="M2150" s="32" t="e">
        <f ca="1">_xludf.ifna(VLOOKUP(G2150,Proyectos!$A$2:$T$674,20,0),"")</f>
        <v>#NAME?</v>
      </c>
      <c r="N2150" s="32" t="e">
        <f ca="1">_xludf.ifna(VLOOKUP(G2150,Proyectos!$A$2:$S$674,19,0))</f>
        <v>#NAME?</v>
      </c>
      <c r="O2150" s="32"/>
      <c r="P2150" s="32"/>
      <c r="Q2150" s="33"/>
      <c r="R2150" s="33"/>
      <c r="S2150" s="33"/>
      <c r="T2150" s="63">
        <f t="shared" si="19"/>
        <v>0</v>
      </c>
      <c r="U2150" s="33"/>
      <c r="V2150" s="33"/>
      <c r="W2150" s="33"/>
    </row>
    <row r="2151" spans="1:23" ht="16.5" customHeight="1" x14ac:dyDescent="0.2">
      <c r="A2151" s="26"/>
      <c r="B2151" s="26"/>
      <c r="C2151" s="26"/>
      <c r="D2151" s="26"/>
      <c r="E2151" s="26"/>
      <c r="F2151" s="28"/>
      <c r="G2151" s="26"/>
      <c r="H2151" s="32"/>
      <c r="I2151" s="32"/>
      <c r="J2151" s="32"/>
      <c r="K2151" s="32"/>
      <c r="L2151" s="32" t="e">
        <f ca="1">_xludf.ifna(VLOOKUP(E2151,Parámetros!$D$2:$E$34,2,0),"")</f>
        <v>#NAME?</v>
      </c>
      <c r="M2151" s="32" t="e">
        <f ca="1">_xludf.ifna(VLOOKUP(G2151,Proyectos!$A$2:$T$674,20,0),"")</f>
        <v>#NAME?</v>
      </c>
      <c r="N2151" s="32" t="e">
        <f ca="1">_xludf.ifna(VLOOKUP(G2151,Proyectos!$A$2:$S$674,19,0))</f>
        <v>#NAME?</v>
      </c>
      <c r="O2151" s="32"/>
      <c r="P2151" s="32"/>
      <c r="Q2151" s="33"/>
      <c r="R2151" s="33"/>
      <c r="S2151" s="33"/>
      <c r="T2151" s="63">
        <f t="shared" si="19"/>
        <v>0</v>
      </c>
      <c r="U2151" s="33"/>
      <c r="V2151" s="33"/>
      <c r="W2151" s="33"/>
    </row>
    <row r="2152" spans="1:23" ht="16.5" customHeight="1" x14ac:dyDescent="0.2">
      <c r="A2152" s="26"/>
      <c r="B2152" s="26"/>
      <c r="C2152" s="26"/>
      <c r="D2152" s="26"/>
      <c r="E2152" s="26"/>
      <c r="F2152" s="28"/>
      <c r="G2152" s="26"/>
      <c r="H2152" s="32"/>
      <c r="I2152" s="32"/>
      <c r="J2152" s="32"/>
      <c r="K2152" s="32"/>
      <c r="L2152" s="32" t="e">
        <f ca="1">_xludf.ifna(VLOOKUP(E2152,Parámetros!$D$2:$E$34,2,0),"")</f>
        <v>#NAME?</v>
      </c>
      <c r="M2152" s="32" t="e">
        <f ca="1">_xludf.ifna(VLOOKUP(G2152,Proyectos!$A$2:$T$674,20,0),"")</f>
        <v>#NAME?</v>
      </c>
      <c r="N2152" s="32" t="e">
        <f ca="1">_xludf.ifna(VLOOKUP(G2152,Proyectos!$A$2:$S$674,19,0))</f>
        <v>#NAME?</v>
      </c>
      <c r="O2152" s="32"/>
      <c r="P2152" s="32"/>
      <c r="Q2152" s="33"/>
      <c r="R2152" s="33"/>
      <c r="S2152" s="33"/>
      <c r="T2152" s="63">
        <f t="shared" si="19"/>
        <v>0</v>
      </c>
      <c r="U2152" s="33"/>
      <c r="V2152" s="33"/>
      <c r="W2152" s="33"/>
    </row>
    <row r="2153" spans="1:23" ht="16.5" customHeight="1" x14ac:dyDescent="0.2">
      <c r="A2153" s="26"/>
      <c r="B2153" s="26"/>
      <c r="C2153" s="26"/>
      <c r="D2153" s="26"/>
      <c r="E2153" s="26"/>
      <c r="F2153" s="28"/>
      <c r="G2153" s="26"/>
      <c r="H2153" s="32"/>
      <c r="I2153" s="32"/>
      <c r="J2153" s="32"/>
      <c r="K2153" s="32"/>
      <c r="L2153" s="32" t="e">
        <f ca="1">_xludf.ifna(VLOOKUP(E2153,Parámetros!$D$2:$E$34,2,0),"")</f>
        <v>#NAME?</v>
      </c>
      <c r="M2153" s="32" t="e">
        <f ca="1">_xludf.ifna(VLOOKUP(G2153,Proyectos!$A$2:$T$674,20,0),"")</f>
        <v>#NAME?</v>
      </c>
      <c r="N2153" s="32" t="e">
        <f ca="1">_xludf.ifna(VLOOKUP(G2153,Proyectos!$A$2:$S$674,19,0))</f>
        <v>#NAME?</v>
      </c>
      <c r="O2153" s="32"/>
      <c r="P2153" s="32"/>
      <c r="Q2153" s="33"/>
      <c r="R2153" s="33"/>
      <c r="S2153" s="33"/>
      <c r="T2153" s="63">
        <f t="shared" si="19"/>
        <v>0</v>
      </c>
      <c r="U2153" s="33"/>
      <c r="V2153" s="33"/>
      <c r="W2153" s="33"/>
    </row>
    <row r="2154" spans="1:23" ht="16.5" customHeight="1" x14ac:dyDescent="0.2">
      <c r="A2154" s="26"/>
      <c r="B2154" s="26"/>
      <c r="C2154" s="26"/>
      <c r="D2154" s="26"/>
      <c r="E2154" s="26"/>
      <c r="F2154" s="28"/>
      <c r="G2154" s="26"/>
      <c r="H2154" s="32"/>
      <c r="I2154" s="32"/>
      <c r="J2154" s="32"/>
      <c r="K2154" s="32"/>
      <c r="L2154" s="32" t="e">
        <f ca="1">_xludf.ifna(VLOOKUP(E2154,Parámetros!$D$2:$E$34,2,0),"")</f>
        <v>#NAME?</v>
      </c>
      <c r="M2154" s="32" t="e">
        <f ca="1">_xludf.ifna(VLOOKUP(G2154,Proyectos!$A$2:$T$674,20,0),"")</f>
        <v>#NAME?</v>
      </c>
      <c r="N2154" s="32" t="e">
        <f ca="1">_xludf.ifna(VLOOKUP(G2154,Proyectos!$A$2:$S$674,19,0))</f>
        <v>#NAME?</v>
      </c>
      <c r="O2154" s="32"/>
      <c r="P2154" s="32"/>
      <c r="Q2154" s="33"/>
      <c r="R2154" s="33"/>
      <c r="S2154" s="33"/>
      <c r="T2154" s="63">
        <f t="shared" si="19"/>
        <v>0</v>
      </c>
      <c r="U2154" s="33"/>
      <c r="V2154" s="33"/>
      <c r="W2154" s="33"/>
    </row>
    <row r="2155" spans="1:23" ht="16.5" customHeight="1" x14ac:dyDescent="0.2">
      <c r="A2155" s="26"/>
      <c r="B2155" s="26"/>
      <c r="C2155" s="26"/>
      <c r="D2155" s="26"/>
      <c r="E2155" s="26"/>
      <c r="F2155" s="28"/>
      <c r="G2155" s="26"/>
      <c r="H2155" s="32"/>
      <c r="I2155" s="32"/>
      <c r="J2155" s="32"/>
      <c r="K2155" s="32"/>
      <c r="L2155" s="32" t="e">
        <f ca="1">_xludf.ifna(VLOOKUP(E2155,Parámetros!$D$2:$E$34,2,0),"")</f>
        <v>#NAME?</v>
      </c>
      <c r="M2155" s="32" t="e">
        <f ca="1">_xludf.ifna(VLOOKUP(G2155,Proyectos!$A$2:$T$674,20,0),"")</f>
        <v>#NAME?</v>
      </c>
      <c r="N2155" s="32" t="e">
        <f ca="1">_xludf.ifna(VLOOKUP(G2155,Proyectos!$A$2:$S$674,19,0))</f>
        <v>#NAME?</v>
      </c>
      <c r="O2155" s="32"/>
      <c r="P2155" s="32"/>
      <c r="Q2155" s="33"/>
      <c r="R2155" s="33"/>
      <c r="S2155" s="33"/>
      <c r="T2155" s="63">
        <f t="shared" si="19"/>
        <v>0</v>
      </c>
      <c r="U2155" s="33"/>
      <c r="V2155" s="33"/>
      <c r="W2155" s="33"/>
    </row>
    <row r="2156" spans="1:23" ht="16.5" customHeight="1" x14ac:dyDescent="0.2">
      <c r="A2156" s="26"/>
      <c r="B2156" s="26"/>
      <c r="C2156" s="26"/>
      <c r="D2156" s="26"/>
      <c r="E2156" s="26"/>
      <c r="F2156" s="28"/>
      <c r="G2156" s="26"/>
      <c r="H2156" s="32"/>
      <c r="I2156" s="32"/>
      <c r="J2156" s="32"/>
      <c r="K2156" s="32"/>
      <c r="L2156" s="32" t="e">
        <f ca="1">_xludf.ifna(VLOOKUP(E2156,Parámetros!$D$2:$E$34,2,0),"")</f>
        <v>#NAME?</v>
      </c>
      <c r="M2156" s="32" t="e">
        <f ca="1">_xludf.ifna(VLOOKUP(G2156,Proyectos!$A$2:$T$674,20,0),"")</f>
        <v>#NAME?</v>
      </c>
      <c r="N2156" s="32" t="e">
        <f ca="1">_xludf.ifna(VLOOKUP(G2156,Proyectos!$A$2:$S$674,19,0))</f>
        <v>#NAME?</v>
      </c>
      <c r="O2156" s="32"/>
      <c r="P2156" s="32"/>
      <c r="Q2156" s="33"/>
      <c r="R2156" s="33"/>
      <c r="S2156" s="33"/>
      <c r="T2156" s="63">
        <f t="shared" si="19"/>
        <v>0</v>
      </c>
      <c r="U2156" s="33"/>
      <c r="V2156" s="33"/>
      <c r="W2156" s="33"/>
    </row>
    <row r="2157" spans="1:23" ht="16.5" customHeight="1" x14ac:dyDescent="0.2">
      <c r="A2157" s="26"/>
      <c r="B2157" s="26"/>
      <c r="C2157" s="26"/>
      <c r="D2157" s="26"/>
      <c r="E2157" s="26"/>
      <c r="F2157" s="28"/>
      <c r="G2157" s="26"/>
      <c r="H2157" s="32"/>
      <c r="I2157" s="32"/>
      <c r="J2157" s="32"/>
      <c r="K2157" s="32"/>
      <c r="L2157" s="32" t="e">
        <f ca="1">_xludf.ifna(VLOOKUP(E2157,Parámetros!$D$2:$E$34,2,0),"")</f>
        <v>#NAME?</v>
      </c>
      <c r="M2157" s="32" t="e">
        <f ca="1">_xludf.ifna(VLOOKUP(G2157,Proyectos!$A$2:$T$674,20,0),"")</f>
        <v>#NAME?</v>
      </c>
      <c r="N2157" s="32" t="e">
        <f ca="1">_xludf.ifna(VLOOKUP(G2157,Proyectos!$A$2:$S$674,19,0))</f>
        <v>#NAME?</v>
      </c>
      <c r="O2157" s="32"/>
      <c r="P2157" s="32"/>
      <c r="Q2157" s="33"/>
      <c r="R2157" s="33"/>
      <c r="S2157" s="33"/>
      <c r="T2157" s="63">
        <f t="shared" si="19"/>
        <v>0</v>
      </c>
      <c r="U2157" s="33"/>
      <c r="V2157" s="33"/>
      <c r="W2157" s="33"/>
    </row>
    <row r="2158" spans="1:23" ht="16.5" customHeight="1" x14ac:dyDescent="0.2">
      <c r="A2158" s="26"/>
      <c r="B2158" s="26"/>
      <c r="C2158" s="26"/>
      <c r="D2158" s="26"/>
      <c r="E2158" s="26"/>
      <c r="F2158" s="28"/>
      <c r="G2158" s="26"/>
      <c r="H2158" s="32"/>
      <c r="I2158" s="32"/>
      <c r="J2158" s="32"/>
      <c r="K2158" s="32"/>
      <c r="L2158" s="32" t="e">
        <f ca="1">_xludf.ifna(VLOOKUP(E2158,Parámetros!$D$2:$E$34,2,0),"")</f>
        <v>#NAME?</v>
      </c>
      <c r="M2158" s="32" t="e">
        <f ca="1">_xludf.ifna(VLOOKUP(G2158,Proyectos!$A$2:$T$674,20,0),"")</f>
        <v>#NAME?</v>
      </c>
      <c r="N2158" s="32" t="e">
        <f ca="1">_xludf.ifna(VLOOKUP(G2158,Proyectos!$A$2:$S$674,19,0))</f>
        <v>#NAME?</v>
      </c>
      <c r="O2158" s="32"/>
      <c r="P2158" s="32"/>
      <c r="Q2158" s="33"/>
      <c r="R2158" s="33"/>
      <c r="S2158" s="33"/>
      <c r="T2158" s="63">
        <f t="shared" si="19"/>
        <v>0</v>
      </c>
      <c r="U2158" s="33"/>
      <c r="V2158" s="33"/>
      <c r="W2158" s="33"/>
    </row>
    <row r="2159" spans="1:23" ht="16.5" customHeight="1" x14ac:dyDescent="0.2">
      <c r="A2159" s="26"/>
      <c r="B2159" s="26"/>
      <c r="C2159" s="26"/>
      <c r="D2159" s="26"/>
      <c r="E2159" s="26"/>
      <c r="F2159" s="28"/>
      <c r="G2159" s="26"/>
      <c r="H2159" s="32"/>
      <c r="I2159" s="32"/>
      <c r="J2159" s="32"/>
      <c r="K2159" s="32"/>
      <c r="L2159" s="32" t="e">
        <f ca="1">_xludf.ifna(VLOOKUP(E2159,Parámetros!$D$2:$E$34,2,0),"")</f>
        <v>#NAME?</v>
      </c>
      <c r="M2159" s="32" t="e">
        <f ca="1">_xludf.ifna(VLOOKUP(G2159,Proyectos!$A$2:$T$674,20,0),"")</f>
        <v>#NAME?</v>
      </c>
      <c r="N2159" s="32" t="e">
        <f ca="1">_xludf.ifna(VLOOKUP(G2159,Proyectos!$A$2:$S$674,19,0))</f>
        <v>#NAME?</v>
      </c>
      <c r="O2159" s="32"/>
      <c r="P2159" s="32"/>
      <c r="Q2159" s="33"/>
      <c r="R2159" s="33"/>
      <c r="S2159" s="33"/>
      <c r="T2159" s="63">
        <f t="shared" si="19"/>
        <v>0</v>
      </c>
      <c r="U2159" s="33"/>
      <c r="V2159" s="33"/>
      <c r="W2159" s="33"/>
    </row>
    <row r="2160" spans="1:23" ht="16.5" customHeight="1" x14ac:dyDescent="0.2">
      <c r="A2160" s="26"/>
      <c r="B2160" s="26"/>
      <c r="C2160" s="26"/>
      <c r="D2160" s="26"/>
      <c r="E2160" s="26"/>
      <c r="F2160" s="28"/>
      <c r="G2160" s="26"/>
      <c r="H2160" s="32"/>
      <c r="I2160" s="32"/>
      <c r="J2160" s="32"/>
      <c r="K2160" s="32"/>
      <c r="L2160" s="32" t="e">
        <f ca="1">_xludf.ifna(VLOOKUP(E2160,Parámetros!$D$2:$E$34,2,0),"")</f>
        <v>#NAME?</v>
      </c>
      <c r="M2160" s="32" t="e">
        <f ca="1">_xludf.ifna(VLOOKUP(G2160,Proyectos!$A$2:$T$674,20,0),"")</f>
        <v>#NAME?</v>
      </c>
      <c r="N2160" s="32" t="e">
        <f ca="1">_xludf.ifna(VLOOKUP(G2160,Proyectos!$A$2:$S$674,19,0))</f>
        <v>#NAME?</v>
      </c>
      <c r="O2160" s="32"/>
      <c r="P2160" s="32"/>
      <c r="Q2160" s="33"/>
      <c r="R2160" s="33"/>
      <c r="S2160" s="33"/>
      <c r="T2160" s="63">
        <f t="shared" si="19"/>
        <v>0</v>
      </c>
      <c r="U2160" s="33"/>
      <c r="V2160" s="33"/>
      <c r="W2160" s="33"/>
    </row>
    <row r="2161" spans="1:23" ht="16.5" customHeight="1" x14ac:dyDescent="0.2">
      <c r="A2161" s="26"/>
      <c r="B2161" s="26"/>
      <c r="C2161" s="26"/>
      <c r="D2161" s="26"/>
      <c r="E2161" s="26"/>
      <c r="F2161" s="28"/>
      <c r="G2161" s="26"/>
      <c r="H2161" s="32"/>
      <c r="I2161" s="32"/>
      <c r="J2161" s="32"/>
      <c r="K2161" s="32"/>
      <c r="L2161" s="32" t="e">
        <f ca="1">_xludf.ifna(VLOOKUP(E2161,Parámetros!$D$2:$E$34,2,0),"")</f>
        <v>#NAME?</v>
      </c>
      <c r="M2161" s="32" t="e">
        <f ca="1">_xludf.ifna(VLOOKUP(G2161,Proyectos!$A$2:$T$674,20,0),"")</f>
        <v>#NAME?</v>
      </c>
      <c r="N2161" s="32" t="e">
        <f ca="1">_xludf.ifna(VLOOKUP(G2161,Proyectos!$A$2:$S$674,19,0))</f>
        <v>#NAME?</v>
      </c>
      <c r="O2161" s="32"/>
      <c r="P2161" s="32"/>
      <c r="Q2161" s="33"/>
      <c r="R2161" s="33"/>
      <c r="S2161" s="33"/>
      <c r="T2161" s="63">
        <f t="shared" si="19"/>
        <v>0</v>
      </c>
      <c r="U2161" s="33"/>
      <c r="V2161" s="33"/>
      <c r="W2161" s="33"/>
    </row>
    <row r="2162" spans="1:23" ht="16.5" customHeight="1" x14ac:dyDescent="0.2">
      <c r="A2162" s="26"/>
      <c r="B2162" s="26"/>
      <c r="C2162" s="26"/>
      <c r="D2162" s="26"/>
      <c r="E2162" s="26"/>
      <c r="F2162" s="28"/>
      <c r="G2162" s="26"/>
      <c r="H2162" s="32"/>
      <c r="I2162" s="32"/>
      <c r="J2162" s="32"/>
      <c r="K2162" s="32"/>
      <c r="L2162" s="32" t="e">
        <f ca="1">_xludf.ifna(VLOOKUP(E2162,Parámetros!$D$2:$E$34,2,0),"")</f>
        <v>#NAME?</v>
      </c>
      <c r="M2162" s="32" t="e">
        <f ca="1">_xludf.ifna(VLOOKUP(G2162,Proyectos!$A$2:$T$674,20,0),"")</f>
        <v>#NAME?</v>
      </c>
      <c r="N2162" s="32" t="e">
        <f ca="1">_xludf.ifna(VLOOKUP(G2162,Proyectos!$A$2:$S$674,19,0))</f>
        <v>#NAME?</v>
      </c>
      <c r="O2162" s="32"/>
      <c r="P2162" s="32"/>
      <c r="Q2162" s="33"/>
      <c r="R2162" s="33"/>
      <c r="S2162" s="33"/>
      <c r="T2162" s="63">
        <f t="shared" si="19"/>
        <v>0</v>
      </c>
      <c r="U2162" s="33"/>
      <c r="V2162" s="33"/>
      <c r="W2162" s="33"/>
    </row>
    <row r="2163" spans="1:23" ht="16.5" customHeight="1" x14ac:dyDescent="0.2">
      <c r="A2163" s="26"/>
      <c r="B2163" s="26"/>
      <c r="C2163" s="26"/>
      <c r="D2163" s="26"/>
      <c r="E2163" s="26"/>
      <c r="F2163" s="28"/>
      <c r="G2163" s="26"/>
      <c r="H2163" s="32"/>
      <c r="I2163" s="32"/>
      <c r="J2163" s="32"/>
      <c r="K2163" s="32"/>
      <c r="L2163" s="32" t="e">
        <f ca="1">_xludf.ifna(VLOOKUP(E2163,Parámetros!$D$2:$E$34,2,0),"")</f>
        <v>#NAME?</v>
      </c>
      <c r="M2163" s="32" t="e">
        <f ca="1">_xludf.ifna(VLOOKUP(G2163,Proyectos!$A$2:$T$674,20,0),"")</f>
        <v>#NAME?</v>
      </c>
      <c r="N2163" s="32" t="e">
        <f ca="1">_xludf.ifna(VLOOKUP(G2163,Proyectos!$A$2:$S$674,19,0))</f>
        <v>#NAME?</v>
      </c>
      <c r="O2163" s="32"/>
      <c r="P2163" s="32"/>
      <c r="Q2163" s="33"/>
      <c r="R2163" s="33"/>
      <c r="S2163" s="33"/>
      <c r="T2163" s="63">
        <f t="shared" si="19"/>
        <v>0</v>
      </c>
      <c r="U2163" s="33"/>
      <c r="V2163" s="33"/>
      <c r="W2163" s="33"/>
    </row>
    <row r="2164" spans="1:23" ht="16.5" customHeight="1" x14ac:dyDescent="0.2">
      <c r="A2164" s="26"/>
      <c r="B2164" s="26"/>
      <c r="C2164" s="26"/>
      <c r="D2164" s="26"/>
      <c r="E2164" s="26"/>
      <c r="F2164" s="28"/>
      <c r="G2164" s="26"/>
      <c r="H2164" s="32"/>
      <c r="I2164" s="32"/>
      <c r="J2164" s="32"/>
      <c r="K2164" s="32"/>
      <c r="L2164" s="32" t="e">
        <f ca="1">_xludf.ifna(VLOOKUP(E2164,Parámetros!$D$2:$E$34,2,0),"")</f>
        <v>#NAME?</v>
      </c>
      <c r="M2164" s="32" t="e">
        <f ca="1">_xludf.ifna(VLOOKUP(G2164,Proyectos!$A$2:$T$674,20,0),"")</f>
        <v>#NAME?</v>
      </c>
      <c r="N2164" s="32" t="e">
        <f ca="1">_xludf.ifna(VLOOKUP(G2164,Proyectos!$A$2:$S$674,19,0))</f>
        <v>#NAME?</v>
      </c>
      <c r="O2164" s="32"/>
      <c r="P2164" s="32"/>
      <c r="Q2164" s="33"/>
      <c r="R2164" s="33"/>
      <c r="S2164" s="33"/>
      <c r="T2164" s="63">
        <f t="shared" si="19"/>
        <v>0</v>
      </c>
      <c r="U2164" s="33"/>
      <c r="V2164" s="33"/>
      <c r="W2164" s="33"/>
    </row>
    <row r="2165" spans="1:23" ht="16.5" customHeight="1" x14ac:dyDescent="0.2">
      <c r="A2165" s="26"/>
      <c r="B2165" s="26"/>
      <c r="C2165" s="26"/>
      <c r="D2165" s="26"/>
      <c r="E2165" s="26"/>
      <c r="F2165" s="28"/>
      <c r="G2165" s="26"/>
      <c r="H2165" s="32"/>
      <c r="I2165" s="32"/>
      <c r="J2165" s="32"/>
      <c r="K2165" s="32"/>
      <c r="L2165" s="32" t="e">
        <f ca="1">_xludf.ifna(VLOOKUP(E2165,Parámetros!$D$2:$E$34,2,0),"")</f>
        <v>#NAME?</v>
      </c>
      <c r="M2165" s="32" t="e">
        <f ca="1">_xludf.ifna(VLOOKUP(G2165,Proyectos!$A$2:$T$674,20,0),"")</f>
        <v>#NAME?</v>
      </c>
      <c r="N2165" s="32" t="e">
        <f ca="1">_xludf.ifna(VLOOKUP(G2165,Proyectos!$A$2:$S$674,19,0))</f>
        <v>#NAME?</v>
      </c>
      <c r="O2165" s="32"/>
      <c r="P2165" s="32"/>
      <c r="Q2165" s="33"/>
      <c r="R2165" s="33"/>
      <c r="S2165" s="33"/>
      <c r="T2165" s="63">
        <f t="shared" si="19"/>
        <v>0</v>
      </c>
      <c r="U2165" s="33"/>
      <c r="V2165" s="33"/>
      <c r="W2165" s="33"/>
    </row>
    <row r="2166" spans="1:23" ht="16.5" customHeight="1" x14ac:dyDescent="0.2">
      <c r="A2166" s="26"/>
      <c r="B2166" s="26"/>
      <c r="C2166" s="26"/>
      <c r="D2166" s="26"/>
      <c r="E2166" s="26"/>
      <c r="F2166" s="28"/>
      <c r="G2166" s="26"/>
      <c r="H2166" s="32"/>
      <c r="I2166" s="32"/>
      <c r="J2166" s="32"/>
      <c r="K2166" s="32"/>
      <c r="L2166" s="32" t="e">
        <f ca="1">_xludf.ifna(VLOOKUP(E2166,Parámetros!$D$2:$E$34,2,0),"")</f>
        <v>#NAME?</v>
      </c>
      <c r="M2166" s="32" t="e">
        <f ca="1">_xludf.ifna(VLOOKUP(G2166,Proyectos!$A$2:$T$674,20,0),"")</f>
        <v>#NAME?</v>
      </c>
      <c r="N2166" s="32" t="e">
        <f ca="1">_xludf.ifna(VLOOKUP(G2166,Proyectos!$A$2:$S$674,19,0))</f>
        <v>#NAME?</v>
      </c>
      <c r="O2166" s="32"/>
      <c r="P2166" s="32"/>
      <c r="Q2166" s="33"/>
      <c r="R2166" s="33"/>
      <c r="S2166" s="33"/>
      <c r="T2166" s="63">
        <f t="shared" si="19"/>
        <v>0</v>
      </c>
      <c r="U2166" s="33"/>
      <c r="V2166" s="33"/>
      <c r="W2166" s="33"/>
    </row>
    <row r="2167" spans="1:23" ht="16.5" customHeight="1" x14ac:dyDescent="0.2">
      <c r="A2167" s="26"/>
      <c r="B2167" s="26"/>
      <c r="C2167" s="26"/>
      <c r="D2167" s="26"/>
      <c r="E2167" s="26"/>
      <c r="F2167" s="28"/>
      <c r="G2167" s="26"/>
      <c r="H2167" s="32"/>
      <c r="I2167" s="32"/>
      <c r="J2167" s="32"/>
      <c r="K2167" s="32"/>
      <c r="L2167" s="32" t="e">
        <f ca="1">_xludf.ifna(VLOOKUP(E2167,Parámetros!$D$2:$E$34,2,0),"")</f>
        <v>#NAME?</v>
      </c>
      <c r="M2167" s="32" t="e">
        <f ca="1">_xludf.ifna(VLOOKUP(G2167,Proyectos!$A$2:$T$674,20,0),"")</f>
        <v>#NAME?</v>
      </c>
      <c r="N2167" s="32" t="e">
        <f ca="1">_xludf.ifna(VLOOKUP(G2167,Proyectos!$A$2:$S$674,19,0))</f>
        <v>#NAME?</v>
      </c>
      <c r="O2167" s="32"/>
      <c r="P2167" s="32"/>
      <c r="Q2167" s="33"/>
      <c r="R2167" s="33"/>
      <c r="S2167" s="33"/>
      <c r="T2167" s="63">
        <f t="shared" si="19"/>
        <v>0</v>
      </c>
      <c r="U2167" s="33"/>
      <c r="V2167" s="33"/>
      <c r="W2167" s="33"/>
    </row>
    <row r="2168" spans="1:23" ht="16.5" customHeight="1" x14ac:dyDescent="0.2">
      <c r="A2168" s="26"/>
      <c r="B2168" s="26"/>
      <c r="C2168" s="26"/>
      <c r="D2168" s="26"/>
      <c r="E2168" s="26"/>
      <c r="F2168" s="28"/>
      <c r="G2168" s="26"/>
      <c r="H2168" s="32"/>
      <c r="I2168" s="32"/>
      <c r="J2168" s="32"/>
      <c r="K2168" s="32"/>
      <c r="L2168" s="32" t="e">
        <f ca="1">_xludf.ifna(VLOOKUP(E2168,Parámetros!$D$2:$E$34,2,0),"")</f>
        <v>#NAME?</v>
      </c>
      <c r="M2168" s="32" t="e">
        <f ca="1">_xludf.ifna(VLOOKUP(G2168,Proyectos!$A$2:$T$674,20,0),"")</f>
        <v>#NAME?</v>
      </c>
      <c r="N2168" s="32" t="e">
        <f ca="1">_xludf.ifna(VLOOKUP(G2168,Proyectos!$A$2:$S$674,19,0))</f>
        <v>#NAME?</v>
      </c>
      <c r="O2168" s="32"/>
      <c r="P2168" s="32"/>
      <c r="Q2168" s="33"/>
      <c r="R2168" s="33"/>
      <c r="S2168" s="33"/>
      <c r="T2168" s="63">
        <f t="shared" si="19"/>
        <v>0</v>
      </c>
      <c r="U2168" s="33"/>
      <c r="V2168" s="33"/>
      <c r="W2168" s="33"/>
    </row>
    <row r="2169" spans="1:23" ht="16.5" customHeight="1" x14ac:dyDescent="0.2">
      <c r="A2169" s="26"/>
      <c r="B2169" s="26"/>
      <c r="C2169" s="26"/>
      <c r="D2169" s="26"/>
      <c r="E2169" s="26"/>
      <c r="F2169" s="28"/>
      <c r="G2169" s="26"/>
      <c r="H2169" s="32"/>
      <c r="I2169" s="32"/>
      <c r="J2169" s="32"/>
      <c r="K2169" s="32"/>
      <c r="L2169" s="32" t="e">
        <f ca="1">_xludf.ifna(VLOOKUP(E2169,Parámetros!$D$2:$E$34,2,0),"")</f>
        <v>#NAME?</v>
      </c>
      <c r="M2169" s="32" t="e">
        <f ca="1">_xludf.ifna(VLOOKUP(G2169,Proyectos!$A$2:$T$674,20,0),"")</f>
        <v>#NAME?</v>
      </c>
      <c r="N2169" s="32" t="e">
        <f ca="1">_xludf.ifna(VLOOKUP(G2169,Proyectos!$A$2:$S$674,19,0))</f>
        <v>#NAME?</v>
      </c>
      <c r="O2169" s="32"/>
      <c r="P2169" s="32"/>
      <c r="Q2169" s="33"/>
      <c r="R2169" s="33"/>
      <c r="S2169" s="33"/>
      <c r="T2169" s="63">
        <f t="shared" si="19"/>
        <v>0</v>
      </c>
      <c r="U2169" s="33"/>
      <c r="V2169" s="33"/>
      <c r="W2169" s="33"/>
    </row>
    <row r="2170" spans="1:23" ht="16.5" customHeight="1" x14ac:dyDescent="0.2">
      <c r="A2170" s="26"/>
      <c r="B2170" s="26"/>
      <c r="C2170" s="26"/>
      <c r="D2170" s="26"/>
      <c r="E2170" s="26"/>
      <c r="F2170" s="28"/>
      <c r="G2170" s="26"/>
      <c r="H2170" s="32"/>
      <c r="I2170" s="32"/>
      <c r="J2170" s="32"/>
      <c r="K2170" s="32"/>
      <c r="L2170" s="32" t="e">
        <f ca="1">_xludf.ifna(VLOOKUP(E2170,Parámetros!$D$2:$E$34,2,0),"")</f>
        <v>#NAME?</v>
      </c>
      <c r="M2170" s="32" t="e">
        <f ca="1">_xludf.ifna(VLOOKUP(G2170,Proyectos!$A$2:$T$674,20,0),"")</f>
        <v>#NAME?</v>
      </c>
      <c r="N2170" s="32" t="e">
        <f ca="1">_xludf.ifna(VLOOKUP(G2170,Proyectos!$A$2:$S$674,19,0))</f>
        <v>#NAME?</v>
      </c>
      <c r="O2170" s="32"/>
      <c r="P2170" s="32"/>
      <c r="Q2170" s="33"/>
      <c r="R2170" s="33"/>
      <c r="S2170" s="33"/>
      <c r="T2170" s="63">
        <f t="shared" si="19"/>
        <v>0</v>
      </c>
      <c r="U2170" s="33"/>
      <c r="V2170" s="33"/>
      <c r="W2170" s="33"/>
    </row>
    <row r="2171" spans="1:23" ht="16.5" customHeight="1" x14ac:dyDescent="0.2">
      <c r="A2171" s="26"/>
      <c r="B2171" s="26"/>
      <c r="C2171" s="26"/>
      <c r="D2171" s="26"/>
      <c r="E2171" s="26"/>
      <c r="F2171" s="28"/>
      <c r="G2171" s="26"/>
      <c r="H2171" s="32"/>
      <c r="I2171" s="32"/>
      <c r="J2171" s="32"/>
      <c r="K2171" s="32"/>
      <c r="L2171" s="32" t="e">
        <f ca="1">_xludf.ifna(VLOOKUP(E2171,Parámetros!$D$2:$E$34,2,0),"")</f>
        <v>#NAME?</v>
      </c>
      <c r="M2171" s="32" t="e">
        <f ca="1">_xludf.ifna(VLOOKUP(G2171,Proyectos!$A$2:$T$674,20,0),"")</f>
        <v>#NAME?</v>
      </c>
      <c r="N2171" s="32" t="e">
        <f ca="1">_xludf.ifna(VLOOKUP(G2171,Proyectos!$A$2:$S$674,19,0))</f>
        <v>#NAME?</v>
      </c>
      <c r="O2171" s="32"/>
      <c r="P2171" s="32"/>
      <c r="Q2171" s="33"/>
      <c r="R2171" s="33"/>
      <c r="S2171" s="33"/>
      <c r="T2171" s="63">
        <f t="shared" si="19"/>
        <v>0</v>
      </c>
      <c r="U2171" s="33"/>
      <c r="V2171" s="33"/>
      <c r="W2171" s="33"/>
    </row>
    <row r="2172" spans="1:23" ht="16.5" customHeight="1" x14ac:dyDescent="0.2">
      <c r="A2172" s="26"/>
      <c r="B2172" s="26"/>
      <c r="C2172" s="26"/>
      <c r="D2172" s="26"/>
      <c r="E2172" s="26"/>
      <c r="F2172" s="28"/>
      <c r="G2172" s="26"/>
      <c r="H2172" s="32"/>
      <c r="I2172" s="32"/>
      <c r="J2172" s="32"/>
      <c r="K2172" s="32"/>
      <c r="L2172" s="32" t="e">
        <f ca="1">_xludf.ifna(VLOOKUP(E2172,Parámetros!$D$2:$E$34,2,0),"")</f>
        <v>#NAME?</v>
      </c>
      <c r="M2172" s="32" t="e">
        <f ca="1">_xludf.ifna(VLOOKUP(G2172,Proyectos!$A$2:$T$674,20,0),"")</f>
        <v>#NAME?</v>
      </c>
      <c r="N2172" s="32" t="e">
        <f ca="1">_xludf.ifna(VLOOKUP(G2172,Proyectos!$A$2:$S$674,19,0))</f>
        <v>#NAME?</v>
      </c>
      <c r="O2172" s="32"/>
      <c r="P2172" s="32"/>
      <c r="Q2172" s="33"/>
      <c r="R2172" s="33"/>
      <c r="S2172" s="33"/>
      <c r="T2172" s="63">
        <f t="shared" si="19"/>
        <v>0</v>
      </c>
      <c r="U2172" s="33"/>
      <c r="V2172" s="33"/>
      <c r="W2172" s="33"/>
    </row>
    <row r="2173" spans="1:23" ht="16.5" customHeight="1" x14ac:dyDescent="0.2">
      <c r="A2173" s="26"/>
      <c r="B2173" s="26"/>
      <c r="C2173" s="26"/>
      <c r="D2173" s="26"/>
      <c r="E2173" s="26"/>
      <c r="F2173" s="28"/>
      <c r="G2173" s="26"/>
      <c r="H2173" s="32"/>
      <c r="I2173" s="32"/>
      <c r="J2173" s="32"/>
      <c r="K2173" s="32"/>
      <c r="L2173" s="32" t="e">
        <f ca="1">_xludf.ifna(VLOOKUP(E2173,Parámetros!$D$2:$E$34,2,0),"")</f>
        <v>#NAME?</v>
      </c>
      <c r="M2173" s="32" t="e">
        <f ca="1">_xludf.ifna(VLOOKUP(G2173,Proyectos!$A$2:$T$674,20,0),"")</f>
        <v>#NAME?</v>
      </c>
      <c r="N2173" s="32" t="e">
        <f ca="1">_xludf.ifna(VLOOKUP(G2173,Proyectos!$A$2:$S$674,19,0))</f>
        <v>#NAME?</v>
      </c>
      <c r="O2173" s="32"/>
      <c r="P2173" s="32"/>
      <c r="Q2173" s="33"/>
      <c r="R2173" s="33"/>
      <c r="S2173" s="33"/>
      <c r="T2173" s="63">
        <f t="shared" si="19"/>
        <v>0</v>
      </c>
      <c r="U2173" s="33"/>
      <c r="V2173" s="33"/>
      <c r="W2173" s="33"/>
    </row>
    <row r="2174" spans="1:23" ht="16.5" customHeight="1" x14ac:dyDescent="0.2">
      <c r="A2174" s="26"/>
      <c r="B2174" s="26"/>
      <c r="C2174" s="26"/>
      <c r="D2174" s="26"/>
      <c r="E2174" s="26"/>
      <c r="F2174" s="28"/>
      <c r="G2174" s="26"/>
      <c r="H2174" s="32"/>
      <c r="I2174" s="32"/>
      <c r="J2174" s="32"/>
      <c r="K2174" s="32"/>
      <c r="L2174" s="32" t="e">
        <f ca="1">_xludf.ifna(VLOOKUP(E2174,Parámetros!$D$2:$E$34,2,0),"")</f>
        <v>#NAME?</v>
      </c>
      <c r="M2174" s="32" t="e">
        <f ca="1">_xludf.ifna(VLOOKUP(G2174,Proyectos!$A$2:$T$674,20,0),"")</f>
        <v>#NAME?</v>
      </c>
      <c r="N2174" s="32" t="e">
        <f ca="1">_xludf.ifna(VLOOKUP(G2174,Proyectos!$A$2:$S$674,19,0))</f>
        <v>#NAME?</v>
      </c>
      <c r="O2174" s="32"/>
      <c r="P2174" s="32"/>
      <c r="Q2174" s="33"/>
      <c r="R2174" s="33"/>
      <c r="S2174" s="33"/>
      <c r="T2174" s="63">
        <f t="shared" si="19"/>
        <v>0</v>
      </c>
      <c r="U2174" s="33"/>
      <c r="V2174" s="33"/>
      <c r="W2174" s="33"/>
    </row>
    <row r="2175" spans="1:23" ht="16.5" customHeight="1" x14ac:dyDescent="0.2">
      <c r="A2175" s="26"/>
      <c r="B2175" s="26"/>
      <c r="C2175" s="26"/>
      <c r="D2175" s="26"/>
      <c r="E2175" s="26"/>
      <c r="F2175" s="28"/>
      <c r="G2175" s="26"/>
      <c r="H2175" s="32"/>
      <c r="I2175" s="32"/>
      <c r="J2175" s="32"/>
      <c r="K2175" s="32"/>
      <c r="L2175" s="32" t="e">
        <f ca="1">_xludf.ifna(VLOOKUP(E2175,Parámetros!$D$2:$E$34,2,0),"")</f>
        <v>#NAME?</v>
      </c>
      <c r="M2175" s="32" t="e">
        <f ca="1">_xludf.ifna(VLOOKUP(G2175,Proyectos!$A$2:$T$674,20,0),"")</f>
        <v>#NAME?</v>
      </c>
      <c r="N2175" s="32" t="e">
        <f ca="1">_xludf.ifna(VLOOKUP(G2175,Proyectos!$A$2:$S$674,19,0))</f>
        <v>#NAME?</v>
      </c>
      <c r="O2175" s="32"/>
      <c r="P2175" s="32"/>
      <c r="Q2175" s="33"/>
      <c r="R2175" s="33"/>
      <c r="S2175" s="33"/>
      <c r="T2175" s="63">
        <f t="shared" si="19"/>
        <v>0</v>
      </c>
      <c r="U2175" s="33"/>
      <c r="V2175" s="33"/>
      <c r="W2175" s="33"/>
    </row>
    <row r="2176" spans="1:23" ht="16.5" customHeight="1" x14ac:dyDescent="0.2">
      <c r="A2176" s="26"/>
      <c r="B2176" s="26"/>
      <c r="C2176" s="26"/>
      <c r="D2176" s="26"/>
      <c r="E2176" s="26"/>
      <c r="F2176" s="28"/>
      <c r="G2176" s="26"/>
      <c r="H2176" s="32"/>
      <c r="I2176" s="32"/>
      <c r="J2176" s="32"/>
      <c r="K2176" s="32"/>
      <c r="L2176" s="32" t="e">
        <f ca="1">_xludf.ifna(VLOOKUP(E2176,Parámetros!$D$2:$E$34,2,0),"")</f>
        <v>#NAME?</v>
      </c>
      <c r="M2176" s="32" t="e">
        <f ca="1">_xludf.ifna(VLOOKUP(G2176,Proyectos!$A$2:$T$674,20,0),"")</f>
        <v>#NAME?</v>
      </c>
      <c r="N2176" s="32" t="e">
        <f ca="1">_xludf.ifna(VLOOKUP(G2176,Proyectos!$A$2:$S$674,19,0))</f>
        <v>#NAME?</v>
      </c>
      <c r="O2176" s="32"/>
      <c r="P2176" s="32"/>
      <c r="Q2176" s="33"/>
      <c r="R2176" s="33"/>
      <c r="S2176" s="33"/>
      <c r="T2176" s="63">
        <f t="shared" si="19"/>
        <v>0</v>
      </c>
      <c r="U2176" s="33"/>
      <c r="V2176" s="33"/>
      <c r="W2176" s="33"/>
    </row>
    <row r="2177" spans="1:23" ht="16.5" customHeight="1" x14ac:dyDescent="0.2">
      <c r="A2177" s="26"/>
      <c r="B2177" s="26"/>
      <c r="C2177" s="26"/>
      <c r="D2177" s="26"/>
      <c r="E2177" s="26"/>
      <c r="F2177" s="28"/>
      <c r="G2177" s="26"/>
      <c r="H2177" s="32"/>
      <c r="I2177" s="32"/>
      <c r="J2177" s="32"/>
      <c r="K2177" s="32"/>
      <c r="L2177" s="32" t="e">
        <f ca="1">_xludf.ifna(VLOOKUP(E2177,Parámetros!$D$2:$E$34,2,0),"")</f>
        <v>#NAME?</v>
      </c>
      <c r="M2177" s="32" t="e">
        <f ca="1">_xludf.ifna(VLOOKUP(G2177,Proyectos!$A$2:$T$674,20,0),"")</f>
        <v>#NAME?</v>
      </c>
      <c r="N2177" s="32" t="e">
        <f ca="1">_xludf.ifna(VLOOKUP(G2177,Proyectos!$A$2:$S$674,19,0))</f>
        <v>#NAME?</v>
      </c>
      <c r="O2177" s="32"/>
      <c r="P2177" s="32"/>
      <c r="Q2177" s="33"/>
      <c r="R2177" s="33"/>
      <c r="S2177" s="33"/>
      <c r="T2177" s="63">
        <f t="shared" si="19"/>
        <v>0</v>
      </c>
      <c r="U2177" s="33"/>
      <c r="V2177" s="33"/>
      <c r="W2177" s="33"/>
    </row>
    <row r="2178" spans="1:23" ht="16.5" customHeight="1" x14ac:dyDescent="0.2">
      <c r="A2178" s="26"/>
      <c r="B2178" s="26"/>
      <c r="C2178" s="26"/>
      <c r="D2178" s="26"/>
      <c r="E2178" s="26"/>
      <c r="F2178" s="28"/>
      <c r="G2178" s="26"/>
      <c r="H2178" s="32"/>
      <c r="I2178" s="32"/>
      <c r="J2178" s="32"/>
      <c r="K2178" s="32"/>
      <c r="L2178" s="32" t="e">
        <f ca="1">_xludf.ifna(VLOOKUP(E2178,Parámetros!$D$2:$E$34,2,0),"")</f>
        <v>#NAME?</v>
      </c>
      <c r="M2178" s="32" t="e">
        <f ca="1">_xludf.ifna(VLOOKUP(G2178,Proyectos!$A$2:$T$674,20,0),"")</f>
        <v>#NAME?</v>
      </c>
      <c r="N2178" s="32" t="e">
        <f ca="1">_xludf.ifna(VLOOKUP(G2178,Proyectos!$A$2:$S$674,19,0))</f>
        <v>#NAME?</v>
      </c>
      <c r="O2178" s="32"/>
      <c r="P2178" s="32"/>
      <c r="Q2178" s="33"/>
      <c r="R2178" s="33"/>
      <c r="S2178" s="33"/>
      <c r="T2178" s="63">
        <f t="shared" si="19"/>
        <v>0</v>
      </c>
      <c r="U2178" s="33"/>
      <c r="V2178" s="33"/>
      <c r="W2178" s="33"/>
    </row>
    <row r="2179" spans="1:23" ht="16.5" customHeight="1" x14ac:dyDescent="0.2">
      <c r="A2179" s="26"/>
      <c r="B2179" s="26"/>
      <c r="C2179" s="26"/>
      <c r="D2179" s="26"/>
      <c r="E2179" s="26"/>
      <c r="F2179" s="28"/>
      <c r="G2179" s="26"/>
      <c r="H2179" s="32"/>
      <c r="I2179" s="32"/>
      <c r="J2179" s="32"/>
      <c r="K2179" s="32"/>
      <c r="L2179" s="32" t="e">
        <f ca="1">_xludf.ifna(VLOOKUP(E2179,Parámetros!$D$2:$E$34,2,0),"")</f>
        <v>#NAME?</v>
      </c>
      <c r="M2179" s="32" t="e">
        <f ca="1">_xludf.ifna(VLOOKUP(G2179,Proyectos!$A$2:$T$674,20,0),"")</f>
        <v>#NAME?</v>
      </c>
      <c r="N2179" s="32" t="e">
        <f ca="1">_xludf.ifna(VLOOKUP(G2179,Proyectos!$A$2:$S$674,19,0))</f>
        <v>#NAME?</v>
      </c>
      <c r="O2179" s="32"/>
      <c r="P2179" s="32"/>
      <c r="Q2179" s="33"/>
      <c r="R2179" s="33"/>
      <c r="S2179" s="33"/>
      <c r="T2179" s="63">
        <f t="shared" si="19"/>
        <v>0</v>
      </c>
      <c r="U2179" s="33"/>
      <c r="V2179" s="33"/>
      <c r="W2179" s="33"/>
    </row>
    <row r="2180" spans="1:23" ht="16.5" customHeight="1" x14ac:dyDescent="0.2">
      <c r="A2180" s="26"/>
      <c r="B2180" s="26"/>
      <c r="C2180" s="26"/>
      <c r="D2180" s="26"/>
      <c r="E2180" s="26"/>
      <c r="F2180" s="28"/>
      <c r="G2180" s="26"/>
      <c r="H2180" s="32"/>
      <c r="I2180" s="32"/>
      <c r="J2180" s="32"/>
      <c r="K2180" s="32"/>
      <c r="L2180" s="32" t="e">
        <f ca="1">_xludf.ifna(VLOOKUP(E2180,Parámetros!$D$2:$E$34,2,0),"")</f>
        <v>#NAME?</v>
      </c>
      <c r="M2180" s="32" t="e">
        <f ca="1">_xludf.ifna(VLOOKUP(G2180,Proyectos!$A$2:$T$674,20,0),"")</f>
        <v>#NAME?</v>
      </c>
      <c r="N2180" s="32" t="e">
        <f ca="1">_xludf.ifna(VLOOKUP(G2180,Proyectos!$A$2:$S$674,19,0))</f>
        <v>#NAME?</v>
      </c>
      <c r="O2180" s="32"/>
      <c r="P2180" s="32"/>
      <c r="Q2180" s="33"/>
      <c r="R2180" s="33"/>
      <c r="S2180" s="33"/>
      <c r="T2180" s="63">
        <f t="shared" si="19"/>
        <v>0</v>
      </c>
      <c r="U2180" s="33"/>
      <c r="V2180" s="33"/>
      <c r="W2180" s="33"/>
    </row>
    <row r="2181" spans="1:23" ht="16.5" customHeight="1" x14ac:dyDescent="0.2">
      <c r="A2181" s="26"/>
      <c r="B2181" s="26"/>
      <c r="C2181" s="26"/>
      <c r="D2181" s="26"/>
      <c r="E2181" s="26"/>
      <c r="F2181" s="28"/>
      <c r="G2181" s="26"/>
      <c r="H2181" s="32"/>
      <c r="I2181" s="32"/>
      <c r="J2181" s="32"/>
      <c r="K2181" s="32"/>
      <c r="L2181" s="32" t="e">
        <f ca="1">_xludf.ifna(VLOOKUP(E2181,Parámetros!$D$2:$E$34,2,0),"")</f>
        <v>#NAME?</v>
      </c>
      <c r="M2181" s="32" t="e">
        <f ca="1">_xludf.ifna(VLOOKUP(G2181,Proyectos!$A$2:$T$674,20,0),"")</f>
        <v>#NAME?</v>
      </c>
      <c r="N2181" s="32" t="e">
        <f ca="1">_xludf.ifna(VLOOKUP(G2181,Proyectos!$A$2:$S$674,19,0))</f>
        <v>#NAME?</v>
      </c>
      <c r="O2181" s="32"/>
      <c r="P2181" s="32"/>
      <c r="Q2181" s="33"/>
      <c r="R2181" s="33"/>
      <c r="S2181" s="33"/>
      <c r="T2181" s="63">
        <f t="shared" si="19"/>
        <v>0</v>
      </c>
      <c r="U2181" s="33"/>
      <c r="V2181" s="33"/>
      <c r="W2181" s="33"/>
    </row>
    <row r="2182" spans="1:23" ht="16.5" customHeight="1" x14ac:dyDescent="0.2">
      <c r="A2182" s="26"/>
      <c r="B2182" s="26"/>
      <c r="C2182" s="26"/>
      <c r="D2182" s="26"/>
      <c r="E2182" s="26"/>
      <c r="F2182" s="28"/>
      <c r="G2182" s="26"/>
      <c r="H2182" s="32"/>
      <c r="I2182" s="32"/>
      <c r="J2182" s="32"/>
      <c r="K2182" s="32"/>
      <c r="L2182" s="32" t="e">
        <f ca="1">_xludf.ifna(VLOOKUP(E2182,Parámetros!$D$2:$E$34,2,0),"")</f>
        <v>#NAME?</v>
      </c>
      <c r="M2182" s="32" t="e">
        <f ca="1">_xludf.ifna(VLOOKUP(G2182,Proyectos!$A$2:$T$674,20,0),"")</f>
        <v>#NAME?</v>
      </c>
      <c r="N2182" s="32" t="e">
        <f ca="1">_xludf.ifna(VLOOKUP(G2182,Proyectos!$A$2:$S$674,19,0))</f>
        <v>#NAME?</v>
      </c>
      <c r="O2182" s="32"/>
      <c r="P2182" s="32"/>
      <c r="Q2182" s="33"/>
      <c r="R2182" s="33"/>
      <c r="S2182" s="33"/>
      <c r="T2182" s="63">
        <f t="shared" si="19"/>
        <v>0</v>
      </c>
      <c r="U2182" s="33"/>
      <c r="V2182" s="33"/>
      <c r="W2182" s="33"/>
    </row>
    <row r="2183" spans="1:23" ht="16.5" customHeight="1" x14ac:dyDescent="0.2">
      <c r="A2183" s="26"/>
      <c r="B2183" s="26"/>
      <c r="C2183" s="26"/>
      <c r="D2183" s="26"/>
      <c r="E2183" s="26"/>
      <c r="F2183" s="28"/>
      <c r="G2183" s="26"/>
      <c r="H2183" s="32"/>
      <c r="I2183" s="32"/>
      <c r="J2183" s="32"/>
      <c r="K2183" s="32"/>
      <c r="L2183" s="32" t="e">
        <f ca="1">_xludf.ifna(VLOOKUP(E2183,Parámetros!$D$2:$E$34,2,0),"")</f>
        <v>#NAME?</v>
      </c>
      <c r="M2183" s="32" t="e">
        <f ca="1">_xludf.ifna(VLOOKUP(G2183,Proyectos!$A$2:$T$674,20,0),"")</f>
        <v>#NAME?</v>
      </c>
      <c r="N2183" s="32" t="e">
        <f ca="1">_xludf.ifna(VLOOKUP(G2183,Proyectos!$A$2:$S$674,19,0))</f>
        <v>#NAME?</v>
      </c>
      <c r="O2183" s="32"/>
      <c r="P2183" s="32"/>
      <c r="Q2183" s="33"/>
      <c r="R2183" s="33"/>
      <c r="S2183" s="33"/>
      <c r="T2183" s="63">
        <f t="shared" si="19"/>
        <v>0</v>
      </c>
      <c r="U2183" s="33"/>
      <c r="V2183" s="33"/>
      <c r="W2183" s="33"/>
    </row>
    <row r="2184" spans="1:23" ht="16.5" customHeight="1" x14ac:dyDescent="0.2">
      <c r="A2184" s="26"/>
      <c r="B2184" s="26"/>
      <c r="C2184" s="26"/>
      <c r="D2184" s="26"/>
      <c r="E2184" s="26"/>
      <c r="F2184" s="28"/>
      <c r="G2184" s="26"/>
      <c r="H2184" s="32"/>
      <c r="I2184" s="32"/>
      <c r="J2184" s="32"/>
      <c r="K2184" s="32"/>
      <c r="L2184" s="32" t="e">
        <f ca="1">_xludf.ifna(VLOOKUP(E2184,Parámetros!$D$2:$E$34,2,0),"")</f>
        <v>#NAME?</v>
      </c>
      <c r="M2184" s="32" t="e">
        <f ca="1">_xludf.ifna(VLOOKUP(G2184,Proyectos!$A$2:$T$674,20,0),"")</f>
        <v>#NAME?</v>
      </c>
      <c r="N2184" s="32" t="e">
        <f ca="1">_xludf.ifna(VLOOKUP(G2184,Proyectos!$A$2:$S$674,19,0))</f>
        <v>#NAME?</v>
      </c>
      <c r="O2184" s="32"/>
      <c r="P2184" s="32"/>
      <c r="Q2184" s="33"/>
      <c r="R2184" s="33"/>
      <c r="S2184" s="33"/>
      <c r="T2184" s="63">
        <f t="shared" si="19"/>
        <v>0</v>
      </c>
      <c r="U2184" s="33"/>
      <c r="V2184" s="33"/>
      <c r="W2184" s="33"/>
    </row>
    <row r="2185" spans="1:23" ht="16.5" customHeight="1" x14ac:dyDescent="0.2">
      <c r="A2185" s="26"/>
      <c r="B2185" s="26"/>
      <c r="C2185" s="26"/>
      <c r="D2185" s="26"/>
      <c r="E2185" s="26"/>
      <c r="F2185" s="28"/>
      <c r="G2185" s="26"/>
      <c r="H2185" s="32"/>
      <c r="I2185" s="32"/>
      <c r="J2185" s="32"/>
      <c r="K2185" s="32"/>
      <c r="L2185" s="32" t="e">
        <f ca="1">_xludf.ifna(VLOOKUP(E2185,Parámetros!$D$2:$E$34,2,0),"")</f>
        <v>#NAME?</v>
      </c>
      <c r="M2185" s="32" t="e">
        <f ca="1">_xludf.ifna(VLOOKUP(G2185,Proyectos!$A$2:$T$674,20,0),"")</f>
        <v>#NAME?</v>
      </c>
      <c r="N2185" s="32" t="e">
        <f ca="1">_xludf.ifna(VLOOKUP(G2185,Proyectos!$A$2:$S$674,19,0))</f>
        <v>#NAME?</v>
      </c>
      <c r="O2185" s="32"/>
      <c r="P2185" s="32"/>
      <c r="Q2185" s="33"/>
      <c r="R2185" s="33"/>
      <c r="S2185" s="33"/>
      <c r="T2185" s="63">
        <f t="shared" si="19"/>
        <v>0</v>
      </c>
      <c r="U2185" s="33"/>
      <c r="V2185" s="33"/>
      <c r="W2185" s="33"/>
    </row>
    <row r="2186" spans="1:23" ht="16.5" customHeight="1" x14ac:dyDescent="0.2">
      <c r="A2186" s="26"/>
      <c r="B2186" s="26"/>
      <c r="C2186" s="26"/>
      <c r="D2186" s="26"/>
      <c r="E2186" s="26"/>
      <c r="F2186" s="28"/>
      <c r="G2186" s="26"/>
      <c r="H2186" s="32"/>
      <c r="I2186" s="32"/>
      <c r="J2186" s="32"/>
      <c r="K2186" s="32"/>
      <c r="L2186" s="32" t="e">
        <f ca="1">_xludf.ifna(VLOOKUP(E2186,Parámetros!$D$2:$E$34,2,0),"")</f>
        <v>#NAME?</v>
      </c>
      <c r="M2186" s="32" t="e">
        <f ca="1">_xludf.ifna(VLOOKUP(G2186,Proyectos!$A$2:$T$674,20,0),"")</f>
        <v>#NAME?</v>
      </c>
      <c r="N2186" s="32" t="e">
        <f ca="1">_xludf.ifna(VLOOKUP(G2186,Proyectos!$A$2:$S$674,19,0))</f>
        <v>#NAME?</v>
      </c>
      <c r="O2186" s="32"/>
      <c r="P2186" s="32"/>
      <c r="Q2186" s="33"/>
      <c r="R2186" s="33"/>
      <c r="S2186" s="33"/>
      <c r="T2186" s="63">
        <f t="shared" si="19"/>
        <v>0</v>
      </c>
      <c r="U2186" s="33"/>
      <c r="V2186" s="33"/>
      <c r="W2186" s="33"/>
    </row>
    <row r="2187" spans="1:23" ht="16.5" customHeight="1" x14ac:dyDescent="0.2">
      <c r="A2187" s="26"/>
      <c r="B2187" s="26"/>
      <c r="C2187" s="26"/>
      <c r="D2187" s="26"/>
      <c r="E2187" s="26"/>
      <c r="F2187" s="28"/>
      <c r="G2187" s="26"/>
      <c r="H2187" s="32"/>
      <c r="I2187" s="32"/>
      <c r="J2187" s="32"/>
      <c r="K2187" s="32"/>
      <c r="L2187" s="32" t="e">
        <f ca="1">_xludf.ifna(VLOOKUP(E2187,Parámetros!$D$2:$E$34,2,0),"")</f>
        <v>#NAME?</v>
      </c>
      <c r="M2187" s="32" t="e">
        <f ca="1">_xludf.ifna(VLOOKUP(G2187,Proyectos!$A$2:$T$674,20,0),"")</f>
        <v>#NAME?</v>
      </c>
      <c r="N2187" s="32" t="e">
        <f ca="1">_xludf.ifna(VLOOKUP(G2187,Proyectos!$A$2:$S$674,19,0))</f>
        <v>#NAME?</v>
      </c>
      <c r="O2187" s="32"/>
      <c r="P2187" s="32"/>
      <c r="Q2187" s="33"/>
      <c r="R2187" s="33"/>
      <c r="S2187" s="33"/>
      <c r="T2187" s="63">
        <f t="shared" si="19"/>
        <v>0</v>
      </c>
      <c r="U2187" s="33"/>
      <c r="V2187" s="33"/>
      <c r="W2187" s="33"/>
    </row>
    <row r="2188" spans="1:23" ht="16.5" customHeight="1" x14ac:dyDescent="0.2">
      <c r="A2188" s="26"/>
      <c r="B2188" s="26"/>
      <c r="C2188" s="26"/>
      <c r="D2188" s="26"/>
      <c r="E2188" s="26"/>
      <c r="F2188" s="28"/>
      <c r="G2188" s="26"/>
      <c r="H2188" s="32"/>
      <c r="I2188" s="32"/>
      <c r="J2188" s="32"/>
      <c r="K2188" s="32"/>
      <c r="L2188" s="32" t="e">
        <f ca="1">_xludf.ifna(VLOOKUP(E2188,Parámetros!$D$2:$E$34,2,0),"")</f>
        <v>#NAME?</v>
      </c>
      <c r="M2188" s="32" t="e">
        <f ca="1">_xludf.ifna(VLOOKUP(G2188,Proyectos!$A$2:$T$674,20,0),"")</f>
        <v>#NAME?</v>
      </c>
      <c r="N2188" s="32" t="e">
        <f ca="1">_xludf.ifna(VLOOKUP(G2188,Proyectos!$A$2:$S$674,19,0))</f>
        <v>#NAME?</v>
      </c>
      <c r="O2188" s="32"/>
      <c r="P2188" s="32"/>
      <c r="Q2188" s="33"/>
      <c r="R2188" s="33"/>
      <c r="S2188" s="33"/>
      <c r="T2188" s="63">
        <f t="shared" si="19"/>
        <v>0</v>
      </c>
      <c r="U2188" s="33"/>
      <c r="V2188" s="33"/>
      <c r="W2188" s="33"/>
    </row>
    <row r="2189" spans="1:23" ht="16.5" customHeight="1" x14ac:dyDescent="0.2">
      <c r="A2189" s="26"/>
      <c r="B2189" s="26"/>
      <c r="C2189" s="26"/>
      <c r="D2189" s="26"/>
      <c r="E2189" s="26"/>
      <c r="F2189" s="28"/>
      <c r="G2189" s="26"/>
      <c r="H2189" s="32"/>
      <c r="I2189" s="32"/>
      <c r="J2189" s="32"/>
      <c r="K2189" s="32"/>
      <c r="L2189" s="32" t="e">
        <f ca="1">_xludf.ifna(VLOOKUP(E2189,Parámetros!$D$2:$E$34,2,0),"")</f>
        <v>#NAME?</v>
      </c>
      <c r="M2189" s="32" t="e">
        <f ca="1">_xludf.ifna(VLOOKUP(G2189,Proyectos!$A$2:$T$674,20,0),"")</f>
        <v>#NAME?</v>
      </c>
      <c r="N2189" s="32" t="e">
        <f ca="1">_xludf.ifna(VLOOKUP(G2189,Proyectos!$A$2:$S$674,19,0))</f>
        <v>#NAME?</v>
      </c>
      <c r="O2189" s="32"/>
      <c r="P2189" s="32"/>
      <c r="Q2189" s="33"/>
      <c r="R2189" s="33"/>
      <c r="S2189" s="33"/>
      <c r="T2189" s="63">
        <f t="shared" si="19"/>
        <v>0</v>
      </c>
      <c r="U2189" s="33"/>
      <c r="V2189" s="33"/>
      <c r="W2189" s="33"/>
    </row>
    <row r="2190" spans="1:23" ht="16.5" customHeight="1" x14ac:dyDescent="0.2">
      <c r="A2190" s="26"/>
      <c r="B2190" s="26"/>
      <c r="C2190" s="26"/>
      <c r="D2190" s="26"/>
      <c r="E2190" s="26"/>
      <c r="F2190" s="28"/>
      <c r="G2190" s="26"/>
      <c r="H2190" s="32"/>
      <c r="I2190" s="32"/>
      <c r="J2190" s="32"/>
      <c r="K2190" s="32"/>
      <c r="L2190" s="32" t="e">
        <f ca="1">_xludf.ifna(VLOOKUP(E2190,Parámetros!$D$2:$E$34,2,0),"")</f>
        <v>#NAME?</v>
      </c>
      <c r="M2190" s="32" t="e">
        <f ca="1">_xludf.ifna(VLOOKUP(G2190,Proyectos!$A$2:$T$674,20,0),"")</f>
        <v>#NAME?</v>
      </c>
      <c r="N2190" s="32" t="e">
        <f ca="1">_xludf.ifna(VLOOKUP(G2190,Proyectos!$A$2:$S$674,19,0))</f>
        <v>#NAME?</v>
      </c>
      <c r="O2190" s="32"/>
      <c r="P2190" s="32"/>
      <c r="Q2190" s="33"/>
      <c r="R2190" s="33"/>
      <c r="S2190" s="33"/>
      <c r="T2190" s="63">
        <f t="shared" si="19"/>
        <v>0</v>
      </c>
      <c r="U2190" s="33"/>
      <c r="V2190" s="33"/>
      <c r="W2190" s="33"/>
    </row>
    <row r="2191" spans="1:23" ht="16.5" customHeight="1" x14ac:dyDescent="0.2">
      <c r="A2191" s="26"/>
      <c r="B2191" s="26"/>
      <c r="C2191" s="26"/>
      <c r="D2191" s="26"/>
      <c r="E2191" s="26"/>
      <c r="F2191" s="28"/>
      <c r="G2191" s="26"/>
      <c r="H2191" s="32"/>
      <c r="I2191" s="32"/>
      <c r="J2191" s="32"/>
      <c r="K2191" s="32"/>
      <c r="L2191" s="32" t="e">
        <f ca="1">_xludf.ifna(VLOOKUP(E2191,Parámetros!$D$2:$E$34,2,0),"")</f>
        <v>#NAME?</v>
      </c>
      <c r="M2191" s="32" t="e">
        <f ca="1">_xludf.ifna(VLOOKUP(G2191,Proyectos!$A$2:$T$674,20,0),"")</f>
        <v>#NAME?</v>
      </c>
      <c r="N2191" s="32" t="e">
        <f ca="1">_xludf.ifna(VLOOKUP(G2191,Proyectos!$A$2:$S$674,19,0))</f>
        <v>#NAME?</v>
      </c>
      <c r="O2191" s="32"/>
      <c r="P2191" s="32"/>
      <c r="Q2191" s="33"/>
      <c r="R2191" s="33"/>
      <c r="S2191" s="33"/>
      <c r="T2191" s="63">
        <f t="shared" si="19"/>
        <v>0</v>
      </c>
      <c r="U2191" s="33"/>
      <c r="V2191" s="33"/>
      <c r="W2191" s="33"/>
    </row>
    <row r="2192" spans="1:23" ht="16.5" customHeight="1" x14ac:dyDescent="0.2">
      <c r="A2192" s="26"/>
      <c r="B2192" s="26"/>
      <c r="C2192" s="26"/>
      <c r="D2192" s="26"/>
      <c r="E2192" s="26"/>
      <c r="F2192" s="28"/>
      <c r="G2192" s="26"/>
      <c r="H2192" s="32"/>
      <c r="I2192" s="32"/>
      <c r="J2192" s="32"/>
      <c r="K2192" s="32"/>
      <c r="L2192" s="32" t="e">
        <f ca="1">_xludf.ifna(VLOOKUP(E2192,Parámetros!$D$2:$E$34,2,0),"")</f>
        <v>#NAME?</v>
      </c>
      <c r="M2192" s="32" t="e">
        <f ca="1">_xludf.ifna(VLOOKUP(G2192,Proyectos!$A$2:$T$674,20,0),"")</f>
        <v>#NAME?</v>
      </c>
      <c r="N2192" s="32" t="e">
        <f ca="1">_xludf.ifna(VLOOKUP(G2192,Proyectos!$A$2:$S$674,19,0))</f>
        <v>#NAME?</v>
      </c>
      <c r="O2192" s="32"/>
      <c r="P2192" s="32"/>
      <c r="Q2192" s="33"/>
      <c r="R2192" s="33"/>
      <c r="S2192" s="33"/>
      <c r="T2192" s="63">
        <f t="shared" si="19"/>
        <v>0</v>
      </c>
      <c r="U2192" s="33"/>
      <c r="V2192" s="33"/>
      <c r="W2192" s="33"/>
    </row>
    <row r="2193" spans="1:23" ht="16.5" customHeight="1" x14ac:dyDescent="0.2">
      <c r="A2193" s="26"/>
      <c r="B2193" s="26"/>
      <c r="C2193" s="26"/>
      <c r="D2193" s="26"/>
      <c r="E2193" s="26"/>
      <c r="F2193" s="28"/>
      <c r="G2193" s="26"/>
      <c r="H2193" s="32"/>
      <c r="I2193" s="32"/>
      <c r="J2193" s="32"/>
      <c r="K2193" s="32"/>
      <c r="L2193" s="32" t="e">
        <f ca="1">_xludf.ifna(VLOOKUP(E2193,Parámetros!$D$2:$E$34,2,0),"")</f>
        <v>#NAME?</v>
      </c>
      <c r="M2193" s="32" t="e">
        <f ca="1">_xludf.ifna(VLOOKUP(G2193,Proyectos!$A$2:$T$674,20,0),"")</f>
        <v>#NAME?</v>
      </c>
      <c r="N2193" s="32" t="e">
        <f ca="1">_xludf.ifna(VLOOKUP(G2193,Proyectos!$A$2:$S$674,19,0))</f>
        <v>#NAME?</v>
      </c>
      <c r="O2193" s="32"/>
      <c r="P2193" s="32"/>
      <c r="Q2193" s="33"/>
      <c r="R2193" s="33"/>
      <c r="S2193" s="33"/>
      <c r="T2193" s="63">
        <f t="shared" si="19"/>
        <v>0</v>
      </c>
      <c r="U2193" s="33"/>
      <c r="V2193" s="33"/>
      <c r="W2193" s="33"/>
    </row>
    <row r="2194" spans="1:23" ht="16.5" customHeight="1" x14ac:dyDescent="0.2">
      <c r="A2194" s="26"/>
      <c r="B2194" s="26"/>
      <c r="C2194" s="26"/>
      <c r="D2194" s="26"/>
      <c r="E2194" s="26"/>
      <c r="F2194" s="28"/>
      <c r="G2194" s="26"/>
      <c r="H2194" s="32"/>
      <c r="I2194" s="32"/>
      <c r="J2194" s="32"/>
      <c r="K2194" s="32"/>
      <c r="L2194" s="32" t="e">
        <f ca="1">_xludf.ifna(VLOOKUP(E2194,Parámetros!$D$2:$E$34,2,0),"")</f>
        <v>#NAME?</v>
      </c>
      <c r="M2194" s="32" t="e">
        <f ca="1">_xludf.ifna(VLOOKUP(G2194,Proyectos!$A$2:$T$674,20,0),"")</f>
        <v>#NAME?</v>
      </c>
      <c r="N2194" s="32" t="e">
        <f ca="1">_xludf.ifna(VLOOKUP(G2194,Proyectos!$A$2:$S$674,19,0))</f>
        <v>#NAME?</v>
      </c>
      <c r="O2194" s="32"/>
      <c r="P2194" s="32"/>
      <c r="Q2194" s="33"/>
      <c r="R2194" s="33"/>
      <c r="S2194" s="33"/>
      <c r="T2194" s="63">
        <f t="shared" si="19"/>
        <v>0</v>
      </c>
      <c r="U2194" s="33"/>
      <c r="V2194" s="33"/>
      <c r="W2194" s="33"/>
    </row>
    <row r="2195" spans="1:23" ht="16.5" customHeight="1" x14ac:dyDescent="0.2">
      <c r="A2195" s="26"/>
      <c r="B2195" s="26"/>
      <c r="C2195" s="26"/>
      <c r="D2195" s="26"/>
      <c r="E2195" s="26"/>
      <c r="F2195" s="28"/>
      <c r="G2195" s="26"/>
      <c r="H2195" s="32"/>
      <c r="I2195" s="32"/>
      <c r="J2195" s="32"/>
      <c r="K2195" s="32"/>
      <c r="L2195" s="32" t="e">
        <f ca="1">_xludf.ifna(VLOOKUP(E2195,Parámetros!$D$2:$E$34,2,0),"")</f>
        <v>#NAME?</v>
      </c>
      <c r="M2195" s="32" t="e">
        <f ca="1">_xludf.ifna(VLOOKUP(G2195,Proyectos!$A$2:$T$674,20,0),"")</f>
        <v>#NAME?</v>
      </c>
      <c r="N2195" s="32" t="e">
        <f ca="1">_xludf.ifna(VLOOKUP(G2195,Proyectos!$A$2:$S$674,19,0))</f>
        <v>#NAME?</v>
      </c>
      <c r="O2195" s="32"/>
      <c r="P2195" s="32"/>
      <c r="Q2195" s="33"/>
      <c r="R2195" s="33"/>
      <c r="S2195" s="33"/>
      <c r="T2195" s="63">
        <f t="shared" si="19"/>
        <v>0</v>
      </c>
      <c r="U2195" s="33"/>
      <c r="V2195" s="33"/>
      <c r="W2195" s="33"/>
    </row>
    <row r="2196" spans="1:23" ht="16.5" customHeight="1" x14ac:dyDescent="0.2">
      <c r="A2196" s="26"/>
      <c r="B2196" s="26"/>
      <c r="C2196" s="26"/>
      <c r="D2196" s="26"/>
      <c r="E2196" s="26"/>
      <c r="F2196" s="28"/>
      <c r="G2196" s="26"/>
      <c r="H2196" s="32"/>
      <c r="I2196" s="32"/>
      <c r="J2196" s="32"/>
      <c r="K2196" s="32"/>
      <c r="L2196" s="32" t="e">
        <f ca="1">_xludf.ifna(VLOOKUP(E2196,Parámetros!$D$2:$E$34,2,0),"")</f>
        <v>#NAME?</v>
      </c>
      <c r="M2196" s="32" t="e">
        <f ca="1">_xludf.ifna(VLOOKUP(G2196,Proyectos!$A$2:$T$674,20,0),"")</f>
        <v>#NAME?</v>
      </c>
      <c r="N2196" s="32" t="e">
        <f ca="1">_xludf.ifna(VLOOKUP(G2196,Proyectos!$A$2:$S$674,19,0))</f>
        <v>#NAME?</v>
      </c>
      <c r="O2196" s="32"/>
      <c r="P2196" s="32"/>
      <c r="Q2196" s="33"/>
      <c r="R2196" s="33"/>
      <c r="S2196" s="33"/>
      <c r="T2196" s="63">
        <f t="shared" si="19"/>
        <v>0</v>
      </c>
      <c r="U2196" s="33"/>
      <c r="V2196" s="33"/>
      <c r="W2196" s="33"/>
    </row>
    <row r="2197" spans="1:23" ht="16.5" customHeight="1" x14ac:dyDescent="0.2">
      <c r="A2197" s="26"/>
      <c r="B2197" s="26"/>
      <c r="C2197" s="26"/>
      <c r="D2197" s="26"/>
      <c r="E2197" s="26"/>
      <c r="F2197" s="28"/>
      <c r="G2197" s="26"/>
      <c r="H2197" s="32"/>
      <c r="I2197" s="32"/>
      <c r="J2197" s="32"/>
      <c r="K2197" s="32"/>
      <c r="L2197" s="32" t="e">
        <f ca="1">_xludf.ifna(VLOOKUP(E2197,Parámetros!$D$2:$E$34,2,0),"")</f>
        <v>#NAME?</v>
      </c>
      <c r="M2197" s="32" t="e">
        <f ca="1">_xludf.ifna(VLOOKUP(G2197,Proyectos!$A$2:$T$674,20,0),"")</f>
        <v>#NAME?</v>
      </c>
      <c r="N2197" s="32" t="e">
        <f ca="1">_xludf.ifna(VLOOKUP(G2197,Proyectos!$A$2:$S$674,19,0))</f>
        <v>#NAME?</v>
      </c>
      <c r="O2197" s="32"/>
      <c r="P2197" s="32"/>
      <c r="Q2197" s="33"/>
      <c r="R2197" s="33"/>
      <c r="S2197" s="33"/>
      <c r="T2197" s="63">
        <f t="shared" si="19"/>
        <v>0</v>
      </c>
      <c r="U2197" s="33"/>
      <c r="V2197" s="33"/>
      <c r="W2197" s="33"/>
    </row>
    <row r="2198" spans="1:23" ht="16.5" customHeight="1" x14ac:dyDescent="0.2">
      <c r="A2198" s="26"/>
      <c r="B2198" s="26"/>
      <c r="C2198" s="26"/>
      <c r="D2198" s="26"/>
      <c r="E2198" s="26"/>
      <c r="F2198" s="28"/>
      <c r="G2198" s="26"/>
      <c r="H2198" s="32"/>
      <c r="I2198" s="32"/>
      <c r="J2198" s="32"/>
      <c r="K2198" s="32"/>
      <c r="L2198" s="32" t="e">
        <f ca="1">_xludf.ifna(VLOOKUP(E2198,Parámetros!$D$2:$E$34,2,0),"")</f>
        <v>#NAME?</v>
      </c>
      <c r="M2198" s="32" t="e">
        <f ca="1">_xludf.ifna(VLOOKUP(G2198,Proyectos!$A$2:$T$674,20,0),"")</f>
        <v>#NAME?</v>
      </c>
      <c r="N2198" s="32" t="e">
        <f ca="1">_xludf.ifna(VLOOKUP(G2198,Proyectos!$A$2:$S$674,19,0))</f>
        <v>#NAME?</v>
      </c>
      <c r="O2198" s="32"/>
      <c r="P2198" s="32"/>
      <c r="Q2198" s="33"/>
      <c r="R2198" s="33"/>
      <c r="S2198" s="33"/>
      <c r="T2198" s="63">
        <f t="shared" si="19"/>
        <v>0</v>
      </c>
      <c r="U2198" s="33"/>
      <c r="V2198" s="33"/>
      <c r="W2198" s="33"/>
    </row>
    <row r="2199" spans="1:23" ht="16.5" customHeight="1" x14ac:dyDescent="0.2">
      <c r="A2199" s="26"/>
      <c r="B2199" s="26"/>
      <c r="C2199" s="26"/>
      <c r="D2199" s="26"/>
      <c r="E2199" s="26"/>
      <c r="F2199" s="28"/>
      <c r="G2199" s="26"/>
      <c r="H2199" s="32"/>
      <c r="I2199" s="32"/>
      <c r="J2199" s="32"/>
      <c r="K2199" s="32"/>
      <c r="L2199" s="32" t="e">
        <f ca="1">_xludf.ifna(VLOOKUP(E2199,Parámetros!$D$2:$E$34,2,0),"")</f>
        <v>#NAME?</v>
      </c>
      <c r="M2199" s="32" t="e">
        <f ca="1">_xludf.ifna(VLOOKUP(G2199,Proyectos!$A$2:$T$674,20,0),"")</f>
        <v>#NAME?</v>
      </c>
      <c r="N2199" s="32" t="e">
        <f ca="1">_xludf.ifna(VLOOKUP(G2199,Proyectos!$A$2:$S$674,19,0))</f>
        <v>#NAME?</v>
      </c>
      <c r="O2199" s="32"/>
      <c r="P2199" s="32"/>
      <c r="Q2199" s="33"/>
      <c r="R2199" s="33"/>
      <c r="S2199" s="33"/>
      <c r="T2199" s="63">
        <f t="shared" si="19"/>
        <v>0</v>
      </c>
      <c r="U2199" s="33"/>
      <c r="V2199" s="33"/>
      <c r="W2199" s="33"/>
    </row>
    <row r="2200" spans="1:23" ht="16.5" customHeight="1" x14ac:dyDescent="0.2">
      <c r="A2200" s="26"/>
      <c r="B2200" s="26"/>
      <c r="C2200" s="26"/>
      <c r="D2200" s="26"/>
      <c r="E2200" s="26"/>
      <c r="F2200" s="28"/>
      <c r="G2200" s="26"/>
      <c r="H2200" s="32"/>
      <c r="I2200" s="32"/>
      <c r="J2200" s="32"/>
      <c r="K2200" s="32"/>
      <c r="L2200" s="32" t="e">
        <f ca="1">_xludf.ifna(VLOOKUP(E2200,Parámetros!$D$2:$E$34,2,0),"")</f>
        <v>#NAME?</v>
      </c>
      <c r="M2200" s="32" t="e">
        <f ca="1">_xludf.ifna(VLOOKUP(G2200,Proyectos!$A$2:$T$674,20,0),"")</f>
        <v>#NAME?</v>
      </c>
      <c r="N2200" s="32" t="e">
        <f ca="1">_xludf.ifna(VLOOKUP(G2200,Proyectos!$A$2:$S$674,19,0))</f>
        <v>#NAME?</v>
      </c>
      <c r="O2200" s="32"/>
      <c r="P2200" s="32"/>
      <c r="Q2200" s="33"/>
      <c r="R2200" s="33"/>
      <c r="S2200" s="33"/>
      <c r="T2200" s="63">
        <f t="shared" si="19"/>
        <v>0</v>
      </c>
      <c r="U2200" s="33"/>
      <c r="V2200" s="33"/>
      <c r="W2200" s="33"/>
    </row>
    <row r="2201" spans="1:23" ht="16.5" customHeight="1" x14ac:dyDescent="0.2">
      <c r="A2201" s="26"/>
      <c r="B2201" s="26"/>
      <c r="C2201" s="26"/>
      <c r="D2201" s="26"/>
      <c r="E2201" s="26"/>
      <c r="F2201" s="28"/>
      <c r="G2201" s="26"/>
      <c r="H2201" s="32"/>
      <c r="I2201" s="32"/>
      <c r="J2201" s="32"/>
      <c r="K2201" s="32"/>
      <c r="L2201" s="32" t="e">
        <f ca="1">_xludf.ifna(VLOOKUP(E2201,Parámetros!$D$2:$E$34,2,0),"")</f>
        <v>#NAME?</v>
      </c>
      <c r="M2201" s="32" t="e">
        <f ca="1">_xludf.ifna(VLOOKUP(G2201,Proyectos!$A$2:$T$674,20,0),"")</f>
        <v>#NAME?</v>
      </c>
      <c r="N2201" s="32" t="e">
        <f ca="1">_xludf.ifna(VLOOKUP(G2201,Proyectos!$A$2:$S$674,19,0))</f>
        <v>#NAME?</v>
      </c>
      <c r="O2201" s="32"/>
      <c r="P2201" s="32"/>
      <c r="Q2201" s="33"/>
      <c r="R2201" s="33"/>
      <c r="S2201" s="33"/>
      <c r="T2201" s="63">
        <f t="shared" si="19"/>
        <v>0</v>
      </c>
      <c r="U2201" s="33"/>
      <c r="V2201" s="33"/>
      <c r="W2201" s="33"/>
    </row>
    <row r="2202" spans="1:23" ht="16.5" customHeight="1" x14ac:dyDescent="0.2">
      <c r="A2202" s="26"/>
      <c r="B2202" s="26"/>
      <c r="C2202" s="26"/>
      <c r="D2202" s="26"/>
      <c r="E2202" s="26"/>
      <c r="F2202" s="28"/>
      <c r="G2202" s="26"/>
      <c r="H2202" s="32"/>
      <c r="I2202" s="32"/>
      <c r="J2202" s="32"/>
      <c r="K2202" s="32"/>
      <c r="L2202" s="32" t="e">
        <f ca="1">_xludf.ifna(VLOOKUP(E2202,Parámetros!$D$2:$E$34,2,0),"")</f>
        <v>#NAME?</v>
      </c>
      <c r="M2202" s="32" t="e">
        <f ca="1">_xludf.ifna(VLOOKUP(G2202,Proyectos!$A$2:$T$674,20,0),"")</f>
        <v>#NAME?</v>
      </c>
      <c r="N2202" s="32" t="e">
        <f ca="1">_xludf.ifna(VLOOKUP(G2202,Proyectos!$A$2:$S$674,19,0))</f>
        <v>#NAME?</v>
      </c>
      <c r="O2202" s="32"/>
      <c r="P2202" s="32"/>
      <c r="Q2202" s="33"/>
      <c r="R2202" s="33"/>
      <c r="S2202" s="33"/>
      <c r="T2202" s="63">
        <f t="shared" si="19"/>
        <v>0</v>
      </c>
      <c r="U2202" s="33"/>
      <c r="V2202" s="33"/>
      <c r="W2202" s="33"/>
    </row>
    <row r="2203" spans="1:23" ht="16.5" customHeight="1" x14ac:dyDescent="0.2">
      <c r="A2203" s="26"/>
      <c r="B2203" s="26"/>
      <c r="C2203" s="26"/>
      <c r="D2203" s="26"/>
      <c r="E2203" s="26"/>
      <c r="F2203" s="28"/>
      <c r="G2203" s="26"/>
      <c r="H2203" s="32"/>
      <c r="I2203" s="32"/>
      <c r="J2203" s="32"/>
      <c r="K2203" s="32"/>
      <c r="L2203" s="32" t="e">
        <f ca="1">_xludf.ifna(VLOOKUP(E2203,Parámetros!$D$2:$E$34,2,0),"")</f>
        <v>#NAME?</v>
      </c>
      <c r="M2203" s="32" t="e">
        <f ca="1">_xludf.ifna(VLOOKUP(G2203,Proyectos!$A$2:$T$674,20,0),"")</f>
        <v>#NAME?</v>
      </c>
      <c r="N2203" s="32" t="e">
        <f ca="1">_xludf.ifna(VLOOKUP(G2203,Proyectos!$A$2:$S$674,19,0))</f>
        <v>#NAME?</v>
      </c>
      <c r="O2203" s="32"/>
      <c r="P2203" s="32"/>
      <c r="Q2203" s="33"/>
      <c r="R2203" s="33"/>
      <c r="S2203" s="33"/>
      <c r="T2203" s="63">
        <f t="shared" si="19"/>
        <v>0</v>
      </c>
      <c r="U2203" s="33"/>
      <c r="V2203" s="33"/>
      <c r="W2203" s="33"/>
    </row>
    <row r="2204" spans="1:23" ht="16.5" customHeight="1" x14ac:dyDescent="0.2">
      <c r="A2204" s="26"/>
      <c r="B2204" s="26"/>
      <c r="C2204" s="26"/>
      <c r="D2204" s="26"/>
      <c r="E2204" s="26"/>
      <c r="F2204" s="28"/>
      <c r="G2204" s="26"/>
      <c r="H2204" s="32"/>
      <c r="I2204" s="32"/>
      <c r="J2204" s="32"/>
      <c r="K2204" s="32"/>
      <c r="L2204" s="32" t="e">
        <f ca="1">_xludf.ifna(VLOOKUP(E2204,Parámetros!$D$2:$E$34,2,0),"")</f>
        <v>#NAME?</v>
      </c>
      <c r="M2204" s="32" t="e">
        <f ca="1">_xludf.ifna(VLOOKUP(G2204,Proyectos!$A$2:$T$674,20,0),"")</f>
        <v>#NAME?</v>
      </c>
      <c r="N2204" s="32" t="e">
        <f ca="1">_xludf.ifna(VLOOKUP(G2204,Proyectos!$A$2:$S$674,19,0))</f>
        <v>#NAME?</v>
      </c>
      <c r="O2204" s="32"/>
      <c r="P2204" s="32"/>
      <c r="Q2204" s="33"/>
      <c r="R2204" s="33"/>
      <c r="S2204" s="33"/>
      <c r="T2204" s="63">
        <f t="shared" si="19"/>
        <v>0</v>
      </c>
      <c r="U2204" s="33"/>
      <c r="V2204" s="33"/>
      <c r="W2204" s="33"/>
    </row>
    <row r="2205" spans="1:23" ht="16.5" customHeight="1" x14ac:dyDescent="0.2">
      <c r="A2205" s="26"/>
      <c r="B2205" s="26"/>
      <c r="C2205" s="26"/>
      <c r="D2205" s="26"/>
      <c r="E2205" s="26"/>
      <c r="F2205" s="28"/>
      <c r="G2205" s="26"/>
      <c r="H2205" s="32"/>
      <c r="I2205" s="32"/>
      <c r="J2205" s="32"/>
      <c r="K2205" s="32"/>
      <c r="L2205" s="32" t="e">
        <f ca="1">_xludf.ifna(VLOOKUP(E2205,Parámetros!$D$2:$E$34,2,0),"")</f>
        <v>#NAME?</v>
      </c>
      <c r="M2205" s="32" t="e">
        <f ca="1">_xludf.ifna(VLOOKUP(G2205,Proyectos!$A$2:$T$674,20,0),"")</f>
        <v>#NAME?</v>
      </c>
      <c r="N2205" s="32" t="e">
        <f ca="1">_xludf.ifna(VLOOKUP(G2205,Proyectos!$A$2:$S$674,19,0))</f>
        <v>#NAME?</v>
      </c>
      <c r="O2205" s="32"/>
      <c r="P2205" s="32"/>
      <c r="Q2205" s="33"/>
      <c r="R2205" s="33"/>
      <c r="S2205" s="33"/>
      <c r="T2205" s="63">
        <f t="shared" si="19"/>
        <v>0</v>
      </c>
      <c r="U2205" s="33"/>
      <c r="V2205" s="33"/>
      <c r="W2205" s="33"/>
    </row>
    <row r="2206" spans="1:23" ht="16.5" customHeight="1" x14ac:dyDescent="0.2">
      <c r="A2206" s="26"/>
      <c r="B2206" s="26"/>
      <c r="C2206" s="26"/>
      <c r="D2206" s="26"/>
      <c r="E2206" s="26"/>
      <c r="F2206" s="28"/>
      <c r="G2206" s="26"/>
      <c r="H2206" s="32"/>
      <c r="I2206" s="32"/>
      <c r="J2206" s="32"/>
      <c r="K2206" s="32"/>
      <c r="L2206" s="32" t="e">
        <f ca="1">_xludf.ifna(VLOOKUP(E2206,Parámetros!$D$2:$E$34,2,0),"")</f>
        <v>#NAME?</v>
      </c>
      <c r="M2206" s="32" t="e">
        <f ca="1">_xludf.ifna(VLOOKUP(G2206,Proyectos!$A$2:$T$674,20,0),"")</f>
        <v>#NAME?</v>
      </c>
      <c r="N2206" s="32" t="e">
        <f ca="1">_xludf.ifna(VLOOKUP(G2206,Proyectos!$A$2:$S$674,19,0))</f>
        <v>#NAME?</v>
      </c>
      <c r="O2206" s="32"/>
      <c r="P2206" s="32"/>
      <c r="Q2206" s="33"/>
      <c r="R2206" s="33"/>
      <c r="S2206" s="33"/>
      <c r="T2206" s="63">
        <f t="shared" si="19"/>
        <v>0</v>
      </c>
      <c r="U2206" s="33"/>
      <c r="V2206" s="33"/>
      <c r="W2206" s="33"/>
    </row>
    <row r="2207" spans="1:23" ht="16.5" customHeight="1" x14ac:dyDescent="0.2">
      <c r="A2207" s="26"/>
      <c r="B2207" s="26"/>
      <c r="C2207" s="26"/>
      <c r="D2207" s="26"/>
      <c r="E2207" s="26"/>
      <c r="F2207" s="28"/>
      <c r="G2207" s="26"/>
      <c r="H2207" s="32"/>
      <c r="I2207" s="32"/>
      <c r="J2207" s="32"/>
      <c r="K2207" s="32"/>
      <c r="L2207" s="32" t="e">
        <f ca="1">_xludf.ifna(VLOOKUP(E2207,Parámetros!$D$2:$E$34,2,0),"")</f>
        <v>#NAME?</v>
      </c>
      <c r="M2207" s="32" t="e">
        <f ca="1">_xludf.ifna(VLOOKUP(G2207,Proyectos!$A$2:$T$674,20,0),"")</f>
        <v>#NAME?</v>
      </c>
      <c r="N2207" s="32" t="e">
        <f ca="1">_xludf.ifna(VLOOKUP(G2207,Proyectos!$A$2:$S$674,19,0))</f>
        <v>#NAME?</v>
      </c>
      <c r="O2207" s="32"/>
      <c r="P2207" s="32"/>
      <c r="Q2207" s="33"/>
      <c r="R2207" s="33"/>
      <c r="S2207" s="33"/>
      <c r="T2207" s="63">
        <f t="shared" si="19"/>
        <v>0</v>
      </c>
      <c r="U2207" s="33"/>
      <c r="V2207" s="33"/>
      <c r="W2207" s="33"/>
    </row>
    <row r="2208" spans="1:23" ht="16.5" customHeight="1" x14ac:dyDescent="0.2">
      <c r="A2208" s="26"/>
      <c r="B2208" s="26"/>
      <c r="C2208" s="26"/>
      <c r="D2208" s="26"/>
      <c r="E2208" s="26"/>
      <c r="F2208" s="28"/>
      <c r="G2208" s="26"/>
      <c r="H2208" s="32"/>
      <c r="I2208" s="32"/>
      <c r="J2208" s="32"/>
      <c r="K2208" s="32"/>
      <c r="L2208" s="32" t="e">
        <f ca="1">_xludf.ifna(VLOOKUP(E2208,Parámetros!$D$2:$E$34,2,0),"")</f>
        <v>#NAME?</v>
      </c>
      <c r="M2208" s="32" t="e">
        <f ca="1">_xludf.ifna(VLOOKUP(G2208,Proyectos!$A$2:$T$674,20,0),"")</f>
        <v>#NAME?</v>
      </c>
      <c r="N2208" s="32" t="e">
        <f ca="1">_xludf.ifna(VLOOKUP(G2208,Proyectos!$A$2:$S$674,19,0))</f>
        <v>#NAME?</v>
      </c>
      <c r="O2208" s="32"/>
      <c r="P2208" s="32"/>
      <c r="Q2208" s="33"/>
      <c r="R2208" s="33"/>
      <c r="S2208" s="33"/>
      <c r="T2208" s="63">
        <f t="shared" si="19"/>
        <v>0</v>
      </c>
      <c r="U2208" s="33"/>
      <c r="V2208" s="33"/>
      <c r="W2208" s="33"/>
    </row>
    <row r="2209" spans="1:23" ht="16.5" customHeight="1" x14ac:dyDescent="0.2">
      <c r="A2209" s="26"/>
      <c r="B2209" s="26"/>
      <c r="C2209" s="26"/>
      <c r="D2209" s="26"/>
      <c r="E2209" s="26"/>
      <c r="F2209" s="28"/>
      <c r="G2209" s="26"/>
      <c r="H2209" s="32"/>
      <c r="I2209" s="32"/>
      <c r="J2209" s="32"/>
      <c r="K2209" s="32"/>
      <c r="L2209" s="32" t="e">
        <f ca="1">_xludf.ifna(VLOOKUP(E2209,Parámetros!$D$2:$E$34,2,0),"")</f>
        <v>#NAME?</v>
      </c>
      <c r="M2209" s="32" t="e">
        <f ca="1">_xludf.ifna(VLOOKUP(G2209,Proyectos!$A$2:$T$674,20,0),"")</f>
        <v>#NAME?</v>
      </c>
      <c r="N2209" s="32" t="e">
        <f ca="1">_xludf.ifna(VLOOKUP(G2209,Proyectos!$A$2:$S$674,19,0))</f>
        <v>#NAME?</v>
      </c>
      <c r="O2209" s="32"/>
      <c r="P2209" s="32"/>
      <c r="Q2209" s="33"/>
      <c r="R2209" s="33"/>
      <c r="S2209" s="33"/>
      <c r="T2209" s="63">
        <f t="shared" si="19"/>
        <v>0</v>
      </c>
      <c r="U2209" s="33"/>
      <c r="V2209" s="33"/>
      <c r="W2209" s="33"/>
    </row>
    <row r="2210" spans="1:23" ht="16.5" customHeight="1" x14ac:dyDescent="0.2">
      <c r="A2210" s="26"/>
      <c r="B2210" s="26"/>
      <c r="C2210" s="26"/>
      <c r="D2210" s="26"/>
      <c r="E2210" s="26"/>
      <c r="F2210" s="28"/>
      <c r="G2210" s="26"/>
      <c r="H2210" s="32"/>
      <c r="I2210" s="32"/>
      <c r="J2210" s="32"/>
      <c r="K2210" s="32"/>
      <c r="L2210" s="32" t="e">
        <f ca="1">_xludf.ifna(VLOOKUP(E2210,Parámetros!$D$2:$E$34,2,0),"")</f>
        <v>#NAME?</v>
      </c>
      <c r="M2210" s="32" t="e">
        <f ca="1">_xludf.ifna(VLOOKUP(G2210,Proyectos!$A$2:$T$674,20,0),"")</f>
        <v>#NAME?</v>
      </c>
      <c r="N2210" s="32" t="e">
        <f ca="1">_xludf.ifna(VLOOKUP(G2210,Proyectos!$A$2:$S$674,19,0))</f>
        <v>#NAME?</v>
      </c>
      <c r="O2210" s="32"/>
      <c r="P2210" s="32"/>
      <c r="Q2210" s="33"/>
      <c r="R2210" s="33"/>
      <c r="S2210" s="33"/>
      <c r="T2210" s="63">
        <f t="shared" si="19"/>
        <v>0</v>
      </c>
      <c r="U2210" s="33"/>
      <c r="V2210" s="33"/>
      <c r="W2210" s="33"/>
    </row>
    <row r="2211" spans="1:23" ht="16.5" customHeight="1" x14ac:dyDescent="0.2">
      <c r="A2211" s="26"/>
      <c r="B2211" s="26"/>
      <c r="C2211" s="26"/>
      <c r="D2211" s="26"/>
      <c r="E2211" s="26"/>
      <c r="F2211" s="28"/>
      <c r="G2211" s="26"/>
      <c r="H2211" s="32"/>
      <c r="I2211" s="32"/>
      <c r="J2211" s="32"/>
      <c r="K2211" s="32"/>
      <c r="L2211" s="32" t="e">
        <f ca="1">_xludf.ifna(VLOOKUP(E2211,Parámetros!$D$2:$E$34,2,0),"")</f>
        <v>#NAME?</v>
      </c>
      <c r="M2211" s="32" t="e">
        <f ca="1">_xludf.ifna(VLOOKUP(G2211,Proyectos!$A$2:$T$674,20,0),"")</f>
        <v>#NAME?</v>
      </c>
      <c r="N2211" s="32" t="e">
        <f ca="1">_xludf.ifna(VLOOKUP(G2211,Proyectos!$A$2:$S$674,19,0))</f>
        <v>#NAME?</v>
      </c>
      <c r="O2211" s="32"/>
      <c r="P2211" s="32"/>
      <c r="Q2211" s="33"/>
      <c r="R2211" s="33"/>
      <c r="S2211" s="33"/>
      <c r="T2211" s="63">
        <f t="shared" si="19"/>
        <v>0</v>
      </c>
      <c r="U2211" s="33"/>
      <c r="V2211" s="33"/>
      <c r="W2211" s="33"/>
    </row>
    <row r="2212" spans="1:23" ht="16.5" customHeight="1" x14ac:dyDescent="0.2">
      <c r="A2212" s="26"/>
      <c r="B2212" s="26"/>
      <c r="C2212" s="26"/>
      <c r="D2212" s="26"/>
      <c r="E2212" s="26"/>
      <c r="F2212" s="28"/>
      <c r="G2212" s="26"/>
      <c r="H2212" s="32"/>
      <c r="I2212" s="32"/>
      <c r="J2212" s="32"/>
      <c r="K2212" s="32"/>
      <c r="L2212" s="32" t="e">
        <f ca="1">_xludf.ifna(VLOOKUP(E2212,Parámetros!$D$2:$E$34,2,0),"")</f>
        <v>#NAME?</v>
      </c>
      <c r="M2212" s="32" t="e">
        <f ca="1">_xludf.ifna(VLOOKUP(G2212,Proyectos!$A$2:$T$674,20,0),"")</f>
        <v>#NAME?</v>
      </c>
      <c r="N2212" s="32" t="e">
        <f ca="1">_xludf.ifna(VLOOKUP(G2212,Proyectos!$A$2:$S$674,19,0))</f>
        <v>#NAME?</v>
      </c>
      <c r="O2212" s="32"/>
      <c r="P2212" s="32"/>
      <c r="Q2212" s="33"/>
      <c r="R2212" s="33"/>
      <c r="S2212" s="33"/>
      <c r="T2212" s="63">
        <f t="shared" si="19"/>
        <v>0</v>
      </c>
      <c r="U2212" s="33"/>
      <c r="V2212" s="33"/>
      <c r="W2212" s="33"/>
    </row>
    <row r="2213" spans="1:23" ht="16.5" customHeight="1" x14ac:dyDescent="0.2">
      <c r="A2213" s="26"/>
      <c r="B2213" s="26"/>
      <c r="C2213" s="26"/>
      <c r="D2213" s="26"/>
      <c r="E2213" s="26"/>
      <c r="F2213" s="28"/>
      <c r="G2213" s="26"/>
      <c r="H2213" s="32"/>
      <c r="I2213" s="32"/>
      <c r="J2213" s="32"/>
      <c r="K2213" s="32"/>
      <c r="L2213" s="32" t="e">
        <f ca="1">_xludf.ifna(VLOOKUP(E2213,Parámetros!$D$2:$E$34,2,0),"")</f>
        <v>#NAME?</v>
      </c>
      <c r="M2213" s="32" t="e">
        <f ca="1">_xludf.ifna(VLOOKUP(G2213,Proyectos!$A$2:$T$674,20,0),"")</f>
        <v>#NAME?</v>
      </c>
      <c r="N2213" s="32" t="e">
        <f ca="1">_xludf.ifna(VLOOKUP(G2213,Proyectos!$A$2:$S$674,19,0))</f>
        <v>#NAME?</v>
      </c>
      <c r="O2213" s="32"/>
      <c r="P2213" s="32"/>
      <c r="Q2213" s="33"/>
      <c r="R2213" s="33"/>
      <c r="S2213" s="33"/>
      <c r="T2213" s="63">
        <f t="shared" si="19"/>
        <v>0</v>
      </c>
      <c r="U2213" s="33"/>
      <c r="V2213" s="33"/>
      <c r="W2213" s="33"/>
    </row>
    <row r="2214" spans="1:23" ht="16.5" customHeight="1" x14ac:dyDescent="0.2">
      <c r="A2214" s="26"/>
      <c r="B2214" s="26"/>
      <c r="C2214" s="26"/>
      <c r="D2214" s="26"/>
      <c r="E2214" s="26"/>
      <c r="F2214" s="28"/>
      <c r="G2214" s="26"/>
      <c r="H2214" s="32"/>
      <c r="I2214" s="32"/>
      <c r="J2214" s="32"/>
      <c r="K2214" s="32"/>
      <c r="L2214" s="32" t="e">
        <f ca="1">_xludf.ifna(VLOOKUP(E2214,Parámetros!$D$2:$E$34,2,0),"")</f>
        <v>#NAME?</v>
      </c>
      <c r="M2214" s="32" t="e">
        <f ca="1">_xludf.ifna(VLOOKUP(G2214,Proyectos!$A$2:$T$674,20,0),"")</f>
        <v>#NAME?</v>
      </c>
      <c r="N2214" s="32" t="e">
        <f ca="1">_xludf.ifna(VLOOKUP(G2214,Proyectos!$A$2:$S$674,19,0))</f>
        <v>#NAME?</v>
      </c>
      <c r="O2214" s="32"/>
      <c r="P2214" s="32"/>
      <c r="Q2214" s="33"/>
      <c r="R2214" s="33"/>
      <c r="S2214" s="33"/>
      <c r="T2214" s="63">
        <f t="shared" si="19"/>
        <v>0</v>
      </c>
      <c r="U2214" s="33"/>
      <c r="V2214" s="33"/>
      <c r="W2214" s="33"/>
    </row>
    <row r="2215" spans="1:23" ht="16.5" customHeight="1" x14ac:dyDescent="0.2">
      <c r="A2215" s="26"/>
      <c r="B2215" s="26"/>
      <c r="C2215" s="26"/>
      <c r="D2215" s="26"/>
      <c r="E2215" s="26"/>
      <c r="F2215" s="28"/>
      <c r="G2215" s="26"/>
      <c r="H2215" s="32"/>
      <c r="I2215" s="32"/>
      <c r="J2215" s="32"/>
      <c r="K2215" s="32"/>
      <c r="L2215" s="32" t="e">
        <f ca="1">_xludf.ifna(VLOOKUP(E2215,Parámetros!$D$2:$E$34,2,0),"")</f>
        <v>#NAME?</v>
      </c>
      <c r="M2215" s="32" t="e">
        <f ca="1">_xludf.ifna(VLOOKUP(G2215,Proyectos!$A$2:$T$674,20,0),"")</f>
        <v>#NAME?</v>
      </c>
      <c r="N2215" s="32" t="e">
        <f ca="1">_xludf.ifna(VLOOKUP(G2215,Proyectos!$A$2:$S$674,19,0))</f>
        <v>#NAME?</v>
      </c>
      <c r="O2215" s="32"/>
      <c r="P2215" s="32"/>
      <c r="Q2215" s="33"/>
      <c r="R2215" s="33"/>
      <c r="S2215" s="33"/>
      <c r="T2215" s="63">
        <f t="shared" si="19"/>
        <v>0</v>
      </c>
      <c r="U2215" s="33"/>
      <c r="V2215" s="33"/>
      <c r="W2215" s="33"/>
    </row>
    <row r="2216" spans="1:23" ht="16.5" customHeight="1" x14ac:dyDescent="0.2">
      <c r="A2216" s="26"/>
      <c r="B2216" s="26"/>
      <c r="C2216" s="26"/>
      <c r="D2216" s="26"/>
      <c r="E2216" s="26"/>
      <c r="F2216" s="28"/>
      <c r="G2216" s="26"/>
      <c r="H2216" s="32"/>
      <c r="I2216" s="32"/>
      <c r="J2216" s="32"/>
      <c r="K2216" s="32"/>
      <c r="L2216" s="32" t="e">
        <f ca="1">_xludf.ifna(VLOOKUP(E2216,Parámetros!$D$2:$E$34,2,0),"")</f>
        <v>#NAME?</v>
      </c>
      <c r="M2216" s="32" t="e">
        <f ca="1">_xludf.ifna(VLOOKUP(G2216,Proyectos!$A$2:$T$674,20,0),"")</f>
        <v>#NAME?</v>
      </c>
      <c r="N2216" s="32" t="e">
        <f ca="1">_xludf.ifna(VLOOKUP(G2216,Proyectos!$A$2:$S$674,19,0))</f>
        <v>#NAME?</v>
      </c>
      <c r="O2216" s="32"/>
      <c r="P2216" s="32"/>
      <c r="Q2216" s="33"/>
      <c r="R2216" s="33"/>
      <c r="S2216" s="33"/>
      <c r="T2216" s="63">
        <f t="shared" si="19"/>
        <v>0</v>
      </c>
      <c r="U2216" s="33"/>
      <c r="V2216" s="33"/>
      <c r="W2216" s="33"/>
    </row>
    <row r="2217" spans="1:23" ht="16.5" customHeight="1" x14ac:dyDescent="0.2">
      <c r="A2217" s="26"/>
      <c r="B2217" s="26"/>
      <c r="C2217" s="26"/>
      <c r="D2217" s="26"/>
      <c r="E2217" s="26"/>
      <c r="F2217" s="28"/>
      <c r="G2217" s="26"/>
      <c r="H2217" s="32"/>
      <c r="I2217" s="32"/>
      <c r="J2217" s="32"/>
      <c r="K2217" s="32"/>
      <c r="L2217" s="32" t="e">
        <f ca="1">_xludf.ifna(VLOOKUP(E2217,Parámetros!$D$2:$E$34,2,0),"")</f>
        <v>#NAME?</v>
      </c>
      <c r="M2217" s="32" t="e">
        <f ca="1">_xludf.ifna(VLOOKUP(G2217,Proyectos!$A$2:$T$674,20,0),"")</f>
        <v>#NAME?</v>
      </c>
      <c r="N2217" s="32" t="e">
        <f ca="1">_xludf.ifna(VLOOKUP(G2217,Proyectos!$A$2:$S$674,19,0))</f>
        <v>#NAME?</v>
      </c>
      <c r="O2217" s="32"/>
      <c r="P2217" s="32"/>
      <c r="Q2217" s="33"/>
      <c r="R2217" s="33"/>
      <c r="S2217" s="33"/>
      <c r="T2217" s="63">
        <f t="shared" si="19"/>
        <v>0</v>
      </c>
      <c r="U2217" s="33"/>
      <c r="V2217" s="33"/>
      <c r="W2217" s="33"/>
    </row>
    <row r="2218" spans="1:23" ht="16.5" customHeight="1" x14ac:dyDescent="0.2">
      <c r="A2218" s="26"/>
      <c r="B2218" s="26"/>
      <c r="C2218" s="26"/>
      <c r="D2218" s="26"/>
      <c r="E2218" s="26"/>
      <c r="F2218" s="28"/>
      <c r="G2218" s="26"/>
      <c r="H2218" s="32"/>
      <c r="I2218" s="32"/>
      <c r="J2218" s="32"/>
      <c r="K2218" s="32"/>
      <c r="L2218" s="32" t="e">
        <f ca="1">_xludf.ifna(VLOOKUP(E2218,Parámetros!$D$2:$E$34,2,0),"")</f>
        <v>#NAME?</v>
      </c>
      <c r="M2218" s="32" t="e">
        <f ca="1">_xludf.ifna(VLOOKUP(G2218,Proyectos!$A$2:$T$674,20,0),"")</f>
        <v>#NAME?</v>
      </c>
      <c r="N2218" s="32" t="e">
        <f ca="1">_xludf.ifna(VLOOKUP(G2218,Proyectos!$A$2:$S$674,19,0))</f>
        <v>#NAME?</v>
      </c>
      <c r="O2218" s="32"/>
      <c r="P2218" s="32"/>
      <c r="Q2218" s="33"/>
      <c r="R2218" s="33"/>
      <c r="S2218" s="33"/>
      <c r="T2218" s="63">
        <f t="shared" si="19"/>
        <v>0</v>
      </c>
      <c r="U2218" s="33"/>
      <c r="V2218" s="33"/>
      <c r="W2218" s="33"/>
    </row>
    <row r="2219" spans="1:23" ht="16.5" customHeight="1" x14ac:dyDescent="0.2">
      <c r="A2219" s="26"/>
      <c r="B2219" s="26"/>
      <c r="C2219" s="26"/>
      <c r="D2219" s="26"/>
      <c r="E2219" s="26"/>
      <c r="F2219" s="28"/>
      <c r="G2219" s="26"/>
      <c r="H2219" s="32"/>
      <c r="I2219" s="32"/>
      <c r="J2219" s="32"/>
      <c r="K2219" s="32"/>
      <c r="L2219" s="32" t="e">
        <f ca="1">_xludf.ifna(VLOOKUP(E2219,Parámetros!$D$2:$E$34,2,0),"")</f>
        <v>#NAME?</v>
      </c>
      <c r="M2219" s="32" t="e">
        <f ca="1">_xludf.ifna(VLOOKUP(G2219,Proyectos!$A$2:$T$674,20,0),"")</f>
        <v>#NAME?</v>
      </c>
      <c r="N2219" s="32" t="e">
        <f ca="1">_xludf.ifna(VLOOKUP(G2219,Proyectos!$A$2:$S$674,19,0))</f>
        <v>#NAME?</v>
      </c>
      <c r="O2219" s="32"/>
      <c r="P2219" s="32"/>
      <c r="Q2219" s="33"/>
      <c r="R2219" s="33"/>
      <c r="S2219" s="33"/>
      <c r="T2219" s="63">
        <f t="shared" si="19"/>
        <v>0</v>
      </c>
      <c r="U2219" s="33"/>
      <c r="V2219" s="33"/>
      <c r="W2219" s="33"/>
    </row>
    <row r="2220" spans="1:23" ht="16.5" customHeight="1" x14ac:dyDescent="0.2">
      <c r="A2220" s="26"/>
      <c r="B2220" s="26"/>
      <c r="C2220" s="26"/>
      <c r="D2220" s="26"/>
      <c r="E2220" s="26"/>
      <c r="F2220" s="28"/>
      <c r="G2220" s="26"/>
      <c r="H2220" s="32"/>
      <c r="I2220" s="32"/>
      <c r="J2220" s="32"/>
      <c r="K2220" s="32"/>
      <c r="L2220" s="32" t="e">
        <f ca="1">_xludf.ifna(VLOOKUP(E2220,Parámetros!$D$2:$E$34,2,0),"")</f>
        <v>#NAME?</v>
      </c>
      <c r="M2220" s="32" t="e">
        <f ca="1">_xludf.ifna(VLOOKUP(G2220,Proyectos!$A$2:$T$674,20,0),"")</f>
        <v>#NAME?</v>
      </c>
      <c r="N2220" s="32" t="e">
        <f ca="1">_xludf.ifna(VLOOKUP(G2220,Proyectos!$A$2:$S$674,19,0))</f>
        <v>#NAME?</v>
      </c>
      <c r="O2220" s="32"/>
      <c r="P2220" s="32"/>
      <c r="Q2220" s="33"/>
      <c r="R2220" s="33"/>
      <c r="S2220" s="33"/>
      <c r="T2220" s="63">
        <f t="shared" si="19"/>
        <v>0</v>
      </c>
      <c r="U2220" s="33"/>
      <c r="V2220" s="33"/>
      <c r="W2220" s="33"/>
    </row>
    <row r="2221" spans="1:23" ht="16.5" customHeight="1" x14ac:dyDescent="0.2">
      <c r="A2221" s="26"/>
      <c r="B2221" s="26"/>
      <c r="C2221" s="26"/>
      <c r="D2221" s="26"/>
      <c r="E2221" s="26"/>
      <c r="F2221" s="28"/>
      <c r="G2221" s="26"/>
      <c r="H2221" s="32"/>
      <c r="I2221" s="32"/>
      <c r="J2221" s="32"/>
      <c r="K2221" s="32"/>
      <c r="L2221" s="32" t="e">
        <f ca="1">_xludf.ifna(VLOOKUP(E2221,Parámetros!$D$2:$E$34,2,0),"")</f>
        <v>#NAME?</v>
      </c>
      <c r="M2221" s="32" t="e">
        <f ca="1">_xludf.ifna(VLOOKUP(G2221,Proyectos!$A$2:$T$674,20,0),"")</f>
        <v>#NAME?</v>
      </c>
      <c r="N2221" s="32" t="e">
        <f ca="1">_xludf.ifna(VLOOKUP(G2221,Proyectos!$A$2:$S$674,19,0))</f>
        <v>#NAME?</v>
      </c>
      <c r="O2221" s="32"/>
      <c r="P2221" s="32"/>
      <c r="Q2221" s="33"/>
      <c r="R2221" s="33"/>
      <c r="S2221" s="33"/>
      <c r="T2221" s="63">
        <f t="shared" si="19"/>
        <v>0</v>
      </c>
      <c r="U2221" s="33"/>
      <c r="V2221" s="33"/>
      <c r="W2221" s="33"/>
    </row>
    <row r="2222" spans="1:23" ht="16.5" customHeight="1" x14ac:dyDescent="0.2">
      <c r="A2222" s="26"/>
      <c r="B2222" s="26"/>
      <c r="C2222" s="26"/>
      <c r="D2222" s="26"/>
      <c r="E2222" s="26"/>
      <c r="F2222" s="28"/>
      <c r="G2222" s="26"/>
      <c r="H2222" s="32"/>
      <c r="I2222" s="32"/>
      <c r="J2222" s="32"/>
      <c r="K2222" s="32"/>
      <c r="L2222" s="32" t="e">
        <f ca="1">_xludf.ifna(VLOOKUP(E2222,Parámetros!$D$2:$E$34,2,0),"")</f>
        <v>#NAME?</v>
      </c>
      <c r="M2222" s="32" t="e">
        <f ca="1">_xludf.ifna(VLOOKUP(G2222,Proyectos!$A$2:$T$674,20,0),"")</f>
        <v>#NAME?</v>
      </c>
      <c r="N2222" s="32" t="e">
        <f ca="1">_xludf.ifna(VLOOKUP(G2222,Proyectos!$A$2:$S$674,19,0))</f>
        <v>#NAME?</v>
      </c>
      <c r="O2222" s="32"/>
      <c r="P2222" s="32"/>
      <c r="Q2222" s="33"/>
      <c r="R2222" s="33"/>
      <c r="S2222" s="33"/>
      <c r="T2222" s="63">
        <f t="shared" si="19"/>
        <v>0</v>
      </c>
      <c r="U2222" s="33"/>
      <c r="V2222" s="33"/>
      <c r="W2222" s="33"/>
    </row>
    <row r="2223" spans="1:23" ht="16.5" customHeight="1" x14ac:dyDescent="0.2">
      <c r="A2223" s="26"/>
      <c r="B2223" s="26"/>
      <c r="C2223" s="26"/>
      <c r="D2223" s="26"/>
      <c r="E2223" s="26"/>
      <c r="F2223" s="28"/>
      <c r="G2223" s="26"/>
      <c r="H2223" s="32"/>
      <c r="I2223" s="32"/>
      <c r="J2223" s="32"/>
      <c r="K2223" s="32"/>
      <c r="L2223" s="32" t="e">
        <f ca="1">_xludf.ifna(VLOOKUP(E2223,Parámetros!$D$2:$E$34,2,0),"")</f>
        <v>#NAME?</v>
      </c>
      <c r="M2223" s="32" t="e">
        <f ca="1">_xludf.ifna(VLOOKUP(G2223,Proyectos!$A$2:$T$674,20,0),"")</f>
        <v>#NAME?</v>
      </c>
      <c r="N2223" s="32" t="e">
        <f ca="1">_xludf.ifna(VLOOKUP(G2223,Proyectos!$A$2:$S$674,19,0))</f>
        <v>#NAME?</v>
      </c>
      <c r="O2223" s="32"/>
      <c r="P2223" s="32"/>
      <c r="Q2223" s="33"/>
      <c r="R2223" s="33"/>
      <c r="S2223" s="33"/>
      <c r="T2223" s="63">
        <f t="shared" si="19"/>
        <v>0</v>
      </c>
      <c r="U2223" s="33"/>
      <c r="V2223" s="33"/>
      <c r="W2223" s="33"/>
    </row>
    <row r="2224" spans="1:23" ht="16.5" customHeight="1" x14ac:dyDescent="0.2">
      <c r="A2224" s="26"/>
      <c r="B2224" s="26"/>
      <c r="C2224" s="26"/>
      <c r="D2224" s="26"/>
      <c r="E2224" s="26"/>
      <c r="F2224" s="28"/>
      <c r="G2224" s="26"/>
      <c r="H2224" s="32"/>
      <c r="I2224" s="32"/>
      <c r="J2224" s="32"/>
      <c r="K2224" s="32"/>
      <c r="L2224" s="32" t="e">
        <f ca="1">_xludf.ifna(VLOOKUP(E2224,Parámetros!$D$2:$E$34,2,0),"")</f>
        <v>#NAME?</v>
      </c>
      <c r="M2224" s="32" t="e">
        <f ca="1">_xludf.ifna(VLOOKUP(G2224,Proyectos!$A$2:$T$674,20,0),"")</f>
        <v>#NAME?</v>
      </c>
      <c r="N2224" s="32" t="e">
        <f ca="1">_xludf.ifna(VLOOKUP(G2224,Proyectos!$A$2:$S$674,19,0))</f>
        <v>#NAME?</v>
      </c>
      <c r="O2224" s="32"/>
      <c r="P2224" s="32"/>
      <c r="Q2224" s="33"/>
      <c r="R2224" s="33"/>
      <c r="S2224" s="33"/>
      <c r="T2224" s="63">
        <f t="shared" si="19"/>
        <v>0</v>
      </c>
      <c r="U2224" s="33"/>
      <c r="V2224" s="33"/>
      <c r="W2224" s="33"/>
    </row>
    <row r="2225" spans="1:23" ht="16.5" customHeight="1" x14ac:dyDescent="0.2">
      <c r="A2225" s="26"/>
      <c r="B2225" s="26"/>
      <c r="C2225" s="26"/>
      <c r="D2225" s="26"/>
      <c r="E2225" s="26"/>
      <c r="F2225" s="28"/>
      <c r="G2225" s="26"/>
      <c r="H2225" s="32"/>
      <c r="I2225" s="32"/>
      <c r="J2225" s="32"/>
      <c r="K2225" s="32"/>
      <c r="L2225" s="32" t="e">
        <f ca="1">_xludf.ifna(VLOOKUP(E2225,Parámetros!$D$2:$E$34,2,0),"")</f>
        <v>#NAME?</v>
      </c>
      <c r="M2225" s="32" t="e">
        <f ca="1">_xludf.ifna(VLOOKUP(G2225,Proyectos!$A$2:$T$674,20,0),"")</f>
        <v>#NAME?</v>
      </c>
      <c r="N2225" s="32" t="e">
        <f ca="1">_xludf.ifna(VLOOKUP(G2225,Proyectos!$A$2:$S$674,19,0))</f>
        <v>#NAME?</v>
      </c>
      <c r="O2225" s="32"/>
      <c r="P2225" s="32"/>
      <c r="Q2225" s="33"/>
      <c r="R2225" s="33"/>
      <c r="S2225" s="33"/>
      <c r="T2225" s="63">
        <f t="shared" si="19"/>
        <v>0</v>
      </c>
      <c r="U2225" s="33"/>
      <c r="V2225" s="33"/>
      <c r="W2225" s="33"/>
    </row>
    <row r="2226" spans="1:23" ht="16.5" customHeight="1" x14ac:dyDescent="0.2">
      <c r="A2226" s="26"/>
      <c r="B2226" s="26"/>
      <c r="C2226" s="26"/>
      <c r="D2226" s="26"/>
      <c r="E2226" s="26"/>
      <c r="F2226" s="28"/>
      <c r="G2226" s="26"/>
      <c r="H2226" s="32"/>
      <c r="I2226" s="32"/>
      <c r="J2226" s="32"/>
      <c r="K2226" s="32"/>
      <c r="L2226" s="32" t="e">
        <f ca="1">_xludf.ifna(VLOOKUP(E2226,Parámetros!$D$2:$E$34,2,0),"")</f>
        <v>#NAME?</v>
      </c>
      <c r="M2226" s="32" t="e">
        <f ca="1">_xludf.ifna(VLOOKUP(G2226,Proyectos!$A$2:$T$674,20,0),"")</f>
        <v>#NAME?</v>
      </c>
      <c r="N2226" s="32" t="e">
        <f ca="1">_xludf.ifna(VLOOKUP(G2226,Proyectos!$A$2:$S$674,19,0))</f>
        <v>#NAME?</v>
      </c>
      <c r="O2226" s="32"/>
      <c r="P2226" s="32"/>
      <c r="Q2226" s="33"/>
      <c r="R2226" s="33"/>
      <c r="S2226" s="33"/>
      <c r="T2226" s="63">
        <f t="shared" si="19"/>
        <v>0</v>
      </c>
      <c r="U2226" s="33"/>
      <c r="V2226" s="33"/>
      <c r="W2226" s="33"/>
    </row>
    <row r="2227" spans="1:23" ht="16.5" customHeight="1" x14ac:dyDescent="0.2">
      <c r="A2227" s="26"/>
      <c r="B2227" s="26"/>
      <c r="C2227" s="26"/>
      <c r="D2227" s="26"/>
      <c r="E2227" s="26"/>
      <c r="F2227" s="28"/>
      <c r="G2227" s="26"/>
      <c r="H2227" s="32"/>
      <c r="I2227" s="32"/>
      <c r="J2227" s="32"/>
      <c r="K2227" s="32"/>
      <c r="L2227" s="32" t="e">
        <f ca="1">_xludf.ifna(VLOOKUP(E2227,Parámetros!$D$2:$E$34,2,0),"")</f>
        <v>#NAME?</v>
      </c>
      <c r="M2227" s="32" t="e">
        <f ca="1">_xludf.ifna(VLOOKUP(G2227,Proyectos!$A$2:$T$674,20,0),"")</f>
        <v>#NAME?</v>
      </c>
      <c r="N2227" s="32" t="e">
        <f ca="1">_xludf.ifna(VLOOKUP(G2227,Proyectos!$A$2:$S$674,19,0))</f>
        <v>#NAME?</v>
      </c>
      <c r="O2227" s="32"/>
      <c r="P2227" s="32"/>
      <c r="Q2227" s="33"/>
      <c r="R2227" s="33"/>
      <c r="S2227" s="33"/>
      <c r="T2227" s="63">
        <f t="shared" si="19"/>
        <v>0</v>
      </c>
      <c r="U2227" s="33"/>
      <c r="V2227" s="33"/>
      <c r="W2227" s="33"/>
    </row>
    <row r="2228" spans="1:23" ht="16.5" customHeight="1" x14ac:dyDescent="0.2">
      <c r="A2228" s="26"/>
      <c r="B2228" s="26"/>
      <c r="C2228" s="26"/>
      <c r="D2228" s="26"/>
      <c r="E2228" s="26"/>
      <c r="F2228" s="28"/>
      <c r="G2228" s="26"/>
      <c r="H2228" s="32"/>
      <c r="I2228" s="32"/>
      <c r="J2228" s="32"/>
      <c r="K2228" s="32"/>
      <c r="L2228" s="32" t="e">
        <f ca="1">_xludf.ifna(VLOOKUP(E2228,Parámetros!$D$2:$E$34,2,0),"")</f>
        <v>#NAME?</v>
      </c>
      <c r="M2228" s="32" t="e">
        <f ca="1">_xludf.ifna(VLOOKUP(G2228,Proyectos!$A$2:$T$674,20,0),"")</f>
        <v>#NAME?</v>
      </c>
      <c r="N2228" s="32" t="e">
        <f ca="1">_xludf.ifna(VLOOKUP(G2228,Proyectos!$A$2:$S$674,19,0))</f>
        <v>#NAME?</v>
      </c>
      <c r="O2228" s="32"/>
      <c r="P2228" s="32"/>
      <c r="Q2228" s="33"/>
      <c r="R2228" s="33"/>
      <c r="S2228" s="33"/>
      <c r="T2228" s="63">
        <f t="shared" si="19"/>
        <v>0</v>
      </c>
      <c r="U2228" s="33"/>
      <c r="V2228" s="33"/>
      <c r="W2228" s="33"/>
    </row>
    <row r="2229" spans="1:23" ht="16.5" customHeight="1" x14ac:dyDescent="0.2">
      <c r="A2229" s="26"/>
      <c r="B2229" s="26"/>
      <c r="C2229" s="26"/>
      <c r="D2229" s="26"/>
      <c r="E2229" s="26"/>
      <c r="F2229" s="28"/>
      <c r="G2229" s="26"/>
      <c r="H2229" s="32"/>
      <c r="I2229" s="32"/>
      <c r="J2229" s="32"/>
      <c r="K2229" s="32"/>
      <c r="L2229" s="32" t="e">
        <f ca="1">_xludf.ifna(VLOOKUP(E2229,Parámetros!$D$2:$E$34,2,0),"")</f>
        <v>#NAME?</v>
      </c>
      <c r="M2229" s="32" t="e">
        <f ca="1">_xludf.ifna(VLOOKUP(G2229,Proyectos!$A$2:$T$674,20,0),"")</f>
        <v>#NAME?</v>
      </c>
      <c r="N2229" s="32" t="e">
        <f ca="1">_xludf.ifna(VLOOKUP(G2229,Proyectos!$A$2:$S$674,19,0))</f>
        <v>#NAME?</v>
      </c>
      <c r="O2229" s="32"/>
      <c r="P2229" s="32"/>
      <c r="Q2229" s="33"/>
      <c r="R2229" s="33"/>
      <c r="S2229" s="33"/>
      <c r="T2229" s="63">
        <f t="shared" si="19"/>
        <v>0</v>
      </c>
      <c r="U2229" s="33"/>
      <c r="V2229" s="33"/>
      <c r="W2229" s="33"/>
    </row>
    <row r="2230" spans="1:23" ht="16.5" customHeight="1" x14ac:dyDescent="0.2">
      <c r="A2230" s="26"/>
      <c r="B2230" s="26"/>
      <c r="C2230" s="26"/>
      <c r="D2230" s="26"/>
      <c r="E2230" s="26"/>
      <c r="F2230" s="28"/>
      <c r="G2230" s="26"/>
      <c r="H2230" s="32"/>
      <c r="I2230" s="32"/>
      <c r="J2230" s="32"/>
      <c r="K2230" s="32"/>
      <c r="L2230" s="32" t="e">
        <f ca="1">_xludf.ifna(VLOOKUP(E2230,Parámetros!$D$2:$E$34,2,0),"")</f>
        <v>#NAME?</v>
      </c>
      <c r="M2230" s="32" t="e">
        <f ca="1">_xludf.ifna(VLOOKUP(G2230,Proyectos!$A$2:$T$674,20,0),"")</f>
        <v>#NAME?</v>
      </c>
      <c r="N2230" s="32" t="e">
        <f ca="1">_xludf.ifna(VLOOKUP(G2230,Proyectos!$A$2:$S$674,19,0))</f>
        <v>#NAME?</v>
      </c>
      <c r="O2230" s="32"/>
      <c r="P2230" s="32"/>
      <c r="Q2230" s="33"/>
      <c r="R2230" s="33"/>
      <c r="S2230" s="33"/>
      <c r="T2230" s="63">
        <f t="shared" si="19"/>
        <v>0</v>
      </c>
      <c r="U2230" s="33"/>
      <c r="V2230" s="33"/>
      <c r="W2230" s="33"/>
    </row>
    <row r="2231" spans="1:23" ht="16.5" customHeight="1" x14ac:dyDescent="0.2">
      <c r="A2231" s="26"/>
      <c r="B2231" s="26"/>
      <c r="C2231" s="26"/>
      <c r="D2231" s="26"/>
      <c r="E2231" s="26"/>
      <c r="F2231" s="28"/>
      <c r="G2231" s="26"/>
      <c r="H2231" s="32"/>
      <c r="I2231" s="32"/>
      <c r="J2231" s="32"/>
      <c r="K2231" s="32"/>
      <c r="L2231" s="32" t="e">
        <f ca="1">_xludf.ifna(VLOOKUP(E2231,Parámetros!$D$2:$E$34,2,0),"")</f>
        <v>#NAME?</v>
      </c>
      <c r="M2231" s="32" t="e">
        <f ca="1">_xludf.ifna(VLOOKUP(G2231,Proyectos!$A$2:$T$674,20,0),"")</f>
        <v>#NAME?</v>
      </c>
      <c r="N2231" s="32" t="e">
        <f ca="1">_xludf.ifna(VLOOKUP(G2231,Proyectos!$A$2:$S$674,19,0))</f>
        <v>#NAME?</v>
      </c>
      <c r="O2231" s="32"/>
      <c r="P2231" s="32"/>
      <c r="Q2231" s="33"/>
      <c r="R2231" s="33"/>
      <c r="S2231" s="33"/>
      <c r="T2231" s="63">
        <f t="shared" si="19"/>
        <v>0</v>
      </c>
      <c r="U2231" s="33"/>
      <c r="V2231" s="33"/>
      <c r="W2231" s="33"/>
    </row>
    <row r="2232" spans="1:23" ht="16.5" customHeight="1" x14ac:dyDescent="0.2">
      <c r="A2232" s="26"/>
      <c r="B2232" s="26"/>
      <c r="C2232" s="26"/>
      <c r="D2232" s="26"/>
      <c r="E2232" s="26"/>
      <c r="F2232" s="28"/>
      <c r="G2232" s="26"/>
      <c r="H2232" s="32"/>
      <c r="I2232" s="32"/>
      <c r="J2232" s="32"/>
      <c r="K2232" s="32"/>
      <c r="L2232" s="32" t="e">
        <f ca="1">_xludf.ifna(VLOOKUP(E2232,Parámetros!$D$2:$E$34,2,0),"")</f>
        <v>#NAME?</v>
      </c>
      <c r="M2232" s="32" t="e">
        <f ca="1">_xludf.ifna(VLOOKUP(G2232,Proyectos!$A$2:$T$674,20,0),"")</f>
        <v>#NAME?</v>
      </c>
      <c r="N2232" s="32" t="e">
        <f ca="1">_xludf.ifna(VLOOKUP(G2232,Proyectos!$A$2:$S$674,19,0))</f>
        <v>#NAME?</v>
      </c>
      <c r="O2232" s="32"/>
      <c r="P2232" s="32"/>
      <c r="Q2232" s="33"/>
      <c r="R2232" s="33"/>
      <c r="S2232" s="33"/>
      <c r="T2232" s="63">
        <f t="shared" si="19"/>
        <v>0</v>
      </c>
      <c r="U2232" s="33"/>
      <c r="V2232" s="33"/>
      <c r="W2232" s="33"/>
    </row>
    <row r="2233" spans="1:23" ht="16.5" customHeight="1" x14ac:dyDescent="0.2">
      <c r="A2233" s="26"/>
      <c r="B2233" s="26"/>
      <c r="C2233" s="26"/>
      <c r="D2233" s="26"/>
      <c r="E2233" s="26"/>
      <c r="F2233" s="28"/>
      <c r="G2233" s="26"/>
      <c r="H2233" s="32"/>
      <c r="I2233" s="32"/>
      <c r="J2233" s="32"/>
      <c r="K2233" s="32"/>
      <c r="L2233" s="32" t="e">
        <f ca="1">_xludf.ifna(VLOOKUP(E2233,Parámetros!$D$2:$E$34,2,0),"")</f>
        <v>#NAME?</v>
      </c>
      <c r="M2233" s="32" t="e">
        <f ca="1">_xludf.ifna(VLOOKUP(G2233,Proyectos!$A$2:$T$674,20,0),"")</f>
        <v>#NAME?</v>
      </c>
      <c r="N2233" s="32" t="e">
        <f ca="1">_xludf.ifna(VLOOKUP(G2233,Proyectos!$A$2:$S$674,19,0))</f>
        <v>#NAME?</v>
      </c>
      <c r="O2233" s="32"/>
      <c r="P2233" s="32"/>
      <c r="Q2233" s="33"/>
      <c r="R2233" s="33"/>
      <c r="S2233" s="33"/>
      <c r="T2233" s="63">
        <f t="shared" si="19"/>
        <v>0</v>
      </c>
      <c r="U2233" s="33"/>
      <c r="V2233" s="33"/>
      <c r="W2233" s="33"/>
    </row>
    <row r="2234" spans="1:23" ht="16.5" customHeight="1" x14ac:dyDescent="0.2">
      <c r="A2234" s="26"/>
      <c r="B2234" s="26"/>
      <c r="C2234" s="26"/>
      <c r="D2234" s="26"/>
      <c r="E2234" s="26"/>
      <c r="F2234" s="28"/>
      <c r="G2234" s="26"/>
      <c r="H2234" s="32"/>
      <c r="I2234" s="32"/>
      <c r="J2234" s="32"/>
      <c r="K2234" s="32"/>
      <c r="L2234" s="32" t="e">
        <f ca="1">_xludf.ifna(VLOOKUP(E2234,Parámetros!$D$2:$E$34,2,0),"")</f>
        <v>#NAME?</v>
      </c>
      <c r="M2234" s="32" t="e">
        <f ca="1">_xludf.ifna(VLOOKUP(G2234,Proyectos!$A$2:$T$674,20,0),"")</f>
        <v>#NAME?</v>
      </c>
      <c r="N2234" s="32" t="e">
        <f ca="1">_xludf.ifna(VLOOKUP(G2234,Proyectos!$A$2:$S$674,19,0))</f>
        <v>#NAME?</v>
      </c>
      <c r="O2234" s="32"/>
      <c r="P2234" s="32"/>
      <c r="Q2234" s="33"/>
      <c r="R2234" s="33"/>
      <c r="S2234" s="33"/>
      <c r="T2234" s="63">
        <f t="shared" si="19"/>
        <v>0</v>
      </c>
      <c r="U2234" s="33"/>
      <c r="V2234" s="33"/>
      <c r="W2234" s="33"/>
    </row>
    <row r="2235" spans="1:23" ht="16.5" customHeight="1" x14ac:dyDescent="0.2">
      <c r="A2235" s="26"/>
      <c r="B2235" s="26"/>
      <c r="C2235" s="26"/>
      <c r="D2235" s="26"/>
      <c r="E2235" s="26"/>
      <c r="F2235" s="28"/>
      <c r="G2235" s="26"/>
      <c r="H2235" s="32"/>
      <c r="I2235" s="32"/>
      <c r="J2235" s="32"/>
      <c r="K2235" s="32"/>
      <c r="L2235" s="32" t="e">
        <f ca="1">_xludf.ifna(VLOOKUP(E2235,Parámetros!$D$2:$E$34,2,0),"")</f>
        <v>#NAME?</v>
      </c>
      <c r="M2235" s="32" t="e">
        <f ca="1">_xludf.ifna(VLOOKUP(G2235,Proyectos!$A$2:$T$674,20,0),"")</f>
        <v>#NAME?</v>
      </c>
      <c r="N2235" s="32" t="e">
        <f ca="1">_xludf.ifna(VLOOKUP(G2235,Proyectos!$A$2:$S$674,19,0))</f>
        <v>#NAME?</v>
      </c>
      <c r="O2235" s="32"/>
      <c r="P2235" s="32"/>
      <c r="Q2235" s="33"/>
      <c r="R2235" s="33"/>
      <c r="S2235" s="33"/>
      <c r="T2235" s="63">
        <f t="shared" si="19"/>
        <v>0</v>
      </c>
      <c r="U2235" s="33"/>
      <c r="V2235" s="33"/>
      <c r="W2235" s="33"/>
    </row>
    <row r="2236" spans="1:23" ht="16.5" customHeight="1" x14ac:dyDescent="0.2">
      <c r="A2236" s="26"/>
      <c r="B2236" s="26"/>
      <c r="C2236" s="26"/>
      <c r="D2236" s="26"/>
      <c r="E2236" s="26"/>
      <c r="F2236" s="28"/>
      <c r="G2236" s="26"/>
      <c r="H2236" s="32"/>
      <c r="I2236" s="32"/>
      <c r="J2236" s="32"/>
      <c r="K2236" s="32"/>
      <c r="L2236" s="32" t="e">
        <f ca="1">_xludf.ifna(VLOOKUP(E2236,Parámetros!$D$2:$E$34,2,0),"")</f>
        <v>#NAME?</v>
      </c>
      <c r="M2236" s="32" t="e">
        <f ca="1">_xludf.ifna(VLOOKUP(G2236,Proyectos!$A$2:$T$674,20,0),"")</f>
        <v>#NAME?</v>
      </c>
      <c r="N2236" s="32" t="e">
        <f ca="1">_xludf.ifna(VLOOKUP(G2236,Proyectos!$A$2:$S$674,19,0))</f>
        <v>#NAME?</v>
      </c>
      <c r="O2236" s="32"/>
      <c r="P2236" s="32"/>
      <c r="Q2236" s="33"/>
      <c r="R2236" s="33"/>
      <c r="S2236" s="33"/>
      <c r="T2236" s="63">
        <f t="shared" si="19"/>
        <v>0</v>
      </c>
      <c r="U2236" s="33"/>
      <c r="V2236" s="33"/>
      <c r="W2236" s="33"/>
    </row>
    <row r="2237" spans="1:23" ht="16.5" customHeight="1" x14ac:dyDescent="0.2">
      <c r="A2237" s="26"/>
      <c r="B2237" s="26"/>
      <c r="C2237" s="26"/>
      <c r="D2237" s="26"/>
      <c r="E2237" s="26"/>
      <c r="F2237" s="28"/>
      <c r="G2237" s="26"/>
      <c r="H2237" s="32"/>
      <c r="I2237" s="32"/>
      <c r="J2237" s="32"/>
      <c r="K2237" s="32"/>
      <c r="L2237" s="32" t="e">
        <f ca="1">_xludf.ifna(VLOOKUP(E2237,Parámetros!$D$2:$E$34,2,0),"")</f>
        <v>#NAME?</v>
      </c>
      <c r="M2237" s="32" t="e">
        <f ca="1">_xludf.ifna(VLOOKUP(G2237,Proyectos!$A$2:$T$674,20,0),"")</f>
        <v>#NAME?</v>
      </c>
      <c r="N2237" s="32" t="e">
        <f ca="1">_xludf.ifna(VLOOKUP(G2237,Proyectos!$A$2:$S$674,19,0))</f>
        <v>#NAME?</v>
      </c>
      <c r="O2237" s="32"/>
      <c r="P2237" s="32"/>
      <c r="Q2237" s="33"/>
      <c r="R2237" s="33"/>
      <c r="S2237" s="33"/>
      <c r="T2237" s="63">
        <f t="shared" si="19"/>
        <v>0</v>
      </c>
      <c r="U2237" s="33"/>
      <c r="V2237" s="33"/>
      <c r="W2237" s="33"/>
    </row>
    <row r="2238" spans="1:23" ht="16.5" customHeight="1" x14ac:dyDescent="0.2">
      <c r="A2238" s="26"/>
      <c r="B2238" s="26"/>
      <c r="C2238" s="26"/>
      <c r="D2238" s="26"/>
      <c r="E2238" s="26"/>
      <c r="F2238" s="28"/>
      <c r="G2238" s="26"/>
      <c r="H2238" s="32"/>
      <c r="I2238" s="32"/>
      <c r="J2238" s="32"/>
      <c r="K2238" s="32"/>
      <c r="L2238" s="32" t="e">
        <f ca="1">_xludf.ifna(VLOOKUP(E2238,Parámetros!$D$2:$E$34,2,0),"")</f>
        <v>#NAME?</v>
      </c>
      <c r="M2238" s="32" t="e">
        <f ca="1">_xludf.ifna(VLOOKUP(G2238,Proyectos!$A$2:$T$674,20,0),"")</f>
        <v>#NAME?</v>
      </c>
      <c r="N2238" s="32" t="e">
        <f ca="1">_xludf.ifna(VLOOKUP(G2238,Proyectos!$A$2:$S$674,19,0))</f>
        <v>#NAME?</v>
      </c>
      <c r="O2238" s="32"/>
      <c r="P2238" s="32"/>
      <c r="Q2238" s="33"/>
      <c r="R2238" s="33"/>
      <c r="S2238" s="33"/>
      <c r="T2238" s="63">
        <f t="shared" si="19"/>
        <v>0</v>
      </c>
      <c r="U2238" s="33"/>
      <c r="V2238" s="33"/>
      <c r="W2238" s="33"/>
    </row>
    <row r="2239" spans="1:23" ht="16.5" customHeight="1" x14ac:dyDescent="0.2">
      <c r="A2239" s="26"/>
      <c r="B2239" s="26"/>
      <c r="C2239" s="26"/>
      <c r="D2239" s="26"/>
      <c r="E2239" s="26"/>
      <c r="F2239" s="28"/>
      <c r="G2239" s="26"/>
      <c r="H2239" s="32"/>
      <c r="I2239" s="32"/>
      <c r="J2239" s="32"/>
      <c r="K2239" s="32"/>
      <c r="L2239" s="32" t="e">
        <f ca="1">_xludf.ifna(VLOOKUP(E2239,Parámetros!$D$2:$E$34,2,0),"")</f>
        <v>#NAME?</v>
      </c>
      <c r="M2239" s="32" t="e">
        <f ca="1">_xludf.ifna(VLOOKUP(G2239,Proyectos!$A$2:$T$674,20,0),"")</f>
        <v>#NAME?</v>
      </c>
      <c r="N2239" s="32" t="e">
        <f ca="1">_xludf.ifna(VLOOKUP(G2239,Proyectos!$A$2:$S$674,19,0))</f>
        <v>#NAME?</v>
      </c>
      <c r="O2239" s="32"/>
      <c r="P2239" s="32"/>
      <c r="Q2239" s="33"/>
      <c r="R2239" s="33"/>
      <c r="S2239" s="33"/>
      <c r="T2239" s="63">
        <f t="shared" si="19"/>
        <v>0</v>
      </c>
      <c r="U2239" s="33"/>
      <c r="V2239" s="33"/>
      <c r="W2239" s="33"/>
    </row>
    <row r="2240" spans="1:23" ht="16.5" customHeight="1" x14ac:dyDescent="0.2">
      <c r="A2240" s="26"/>
      <c r="B2240" s="26"/>
      <c r="C2240" s="26"/>
      <c r="D2240" s="26"/>
      <c r="E2240" s="26"/>
      <c r="F2240" s="28"/>
      <c r="G2240" s="26"/>
      <c r="H2240" s="32"/>
      <c r="I2240" s="32"/>
      <c r="J2240" s="32"/>
      <c r="K2240" s="32"/>
      <c r="L2240" s="32" t="e">
        <f ca="1">_xludf.ifna(VLOOKUP(E2240,Parámetros!$D$2:$E$34,2,0),"")</f>
        <v>#NAME?</v>
      </c>
      <c r="M2240" s="32" t="e">
        <f ca="1">_xludf.ifna(VLOOKUP(G2240,Proyectos!$A$2:$T$674,20,0),"")</f>
        <v>#NAME?</v>
      </c>
      <c r="N2240" s="32" t="e">
        <f ca="1">_xludf.ifna(VLOOKUP(G2240,Proyectos!$A$2:$S$674,19,0))</f>
        <v>#NAME?</v>
      </c>
      <c r="O2240" s="32"/>
      <c r="P2240" s="32"/>
      <c r="Q2240" s="33"/>
      <c r="R2240" s="33"/>
      <c r="S2240" s="33"/>
      <c r="T2240" s="63">
        <f t="shared" si="19"/>
        <v>0</v>
      </c>
      <c r="U2240" s="33"/>
      <c r="V2240" s="33"/>
      <c r="W2240" s="33"/>
    </row>
    <row r="2241" spans="1:23" ht="16.5" customHeight="1" x14ac:dyDescent="0.2">
      <c r="A2241" s="26"/>
      <c r="B2241" s="26"/>
      <c r="C2241" s="26"/>
      <c r="D2241" s="26"/>
      <c r="E2241" s="26"/>
      <c r="F2241" s="28"/>
      <c r="G2241" s="26"/>
      <c r="H2241" s="32"/>
      <c r="I2241" s="32"/>
      <c r="J2241" s="32"/>
      <c r="K2241" s="32"/>
      <c r="L2241" s="32" t="e">
        <f ca="1">_xludf.ifna(VLOOKUP(E2241,Parámetros!$D$2:$E$34,2,0),"")</f>
        <v>#NAME?</v>
      </c>
      <c r="M2241" s="32" t="e">
        <f ca="1">_xludf.ifna(VLOOKUP(G2241,Proyectos!$A$2:$T$674,20,0),"")</f>
        <v>#NAME?</v>
      </c>
      <c r="N2241" s="32" t="e">
        <f ca="1">_xludf.ifna(VLOOKUP(G2241,Proyectos!$A$2:$S$674,19,0))</f>
        <v>#NAME?</v>
      </c>
      <c r="O2241" s="32"/>
      <c r="P2241" s="32"/>
      <c r="Q2241" s="33"/>
      <c r="R2241" s="33"/>
      <c r="S2241" s="33"/>
      <c r="T2241" s="63">
        <f t="shared" si="19"/>
        <v>0</v>
      </c>
      <c r="U2241" s="33"/>
      <c r="V2241" s="33"/>
      <c r="W2241" s="33"/>
    </row>
    <row r="2242" spans="1:23" ht="16.5" customHeight="1" x14ac:dyDescent="0.2">
      <c r="A2242" s="26"/>
      <c r="B2242" s="26"/>
      <c r="C2242" s="26"/>
      <c r="D2242" s="26"/>
      <c r="E2242" s="26"/>
      <c r="F2242" s="28"/>
      <c r="G2242" s="26"/>
      <c r="H2242" s="32"/>
      <c r="I2242" s="32"/>
      <c r="J2242" s="32"/>
      <c r="K2242" s="32"/>
      <c r="L2242" s="32" t="e">
        <f ca="1">_xludf.ifna(VLOOKUP(E2242,Parámetros!$D$2:$E$34,2,0),"")</f>
        <v>#NAME?</v>
      </c>
      <c r="M2242" s="32" t="e">
        <f ca="1">_xludf.ifna(VLOOKUP(G2242,Proyectos!$A$2:$T$674,20,0),"")</f>
        <v>#NAME?</v>
      </c>
      <c r="N2242" s="32" t="e">
        <f ca="1">_xludf.ifna(VLOOKUP(G2242,Proyectos!$A$2:$S$674,19,0))</f>
        <v>#NAME?</v>
      </c>
      <c r="O2242" s="32"/>
      <c r="P2242" s="32"/>
      <c r="Q2242" s="33"/>
      <c r="R2242" s="33"/>
      <c r="S2242" s="33"/>
      <c r="T2242" s="63">
        <f t="shared" si="19"/>
        <v>0</v>
      </c>
      <c r="U2242" s="33"/>
      <c r="V2242" s="33"/>
      <c r="W2242" s="33"/>
    </row>
    <row r="2243" spans="1:23" ht="16.5" customHeight="1" x14ac:dyDescent="0.2">
      <c r="A2243" s="26"/>
      <c r="B2243" s="26"/>
      <c r="C2243" s="26"/>
      <c r="D2243" s="26"/>
      <c r="E2243" s="26"/>
      <c r="F2243" s="28"/>
      <c r="G2243" s="26"/>
      <c r="H2243" s="32"/>
      <c r="I2243" s="32"/>
      <c r="J2243" s="32"/>
      <c r="K2243" s="32"/>
      <c r="L2243" s="32" t="e">
        <f ca="1">_xludf.ifna(VLOOKUP(E2243,Parámetros!$D$2:$E$34,2,0),"")</f>
        <v>#NAME?</v>
      </c>
      <c r="M2243" s="32" t="e">
        <f ca="1">_xludf.ifna(VLOOKUP(G2243,Proyectos!$A$2:$T$674,20,0),"")</f>
        <v>#NAME?</v>
      </c>
      <c r="N2243" s="32" t="e">
        <f ca="1">_xludf.ifna(VLOOKUP(G2243,Proyectos!$A$2:$S$674,19,0))</f>
        <v>#NAME?</v>
      </c>
      <c r="O2243" s="32"/>
      <c r="P2243" s="32"/>
      <c r="Q2243" s="33"/>
      <c r="R2243" s="33"/>
      <c r="S2243" s="33"/>
      <c r="T2243" s="63">
        <f t="shared" si="19"/>
        <v>0</v>
      </c>
      <c r="U2243" s="33"/>
      <c r="V2243" s="33"/>
      <c r="W2243" s="33"/>
    </row>
    <row r="2244" spans="1:23" ht="16.5" customHeight="1" x14ac:dyDescent="0.2">
      <c r="A2244" s="26"/>
      <c r="B2244" s="26"/>
      <c r="C2244" s="26"/>
      <c r="D2244" s="26"/>
      <c r="E2244" s="26"/>
      <c r="F2244" s="28"/>
      <c r="G2244" s="26"/>
      <c r="H2244" s="32"/>
      <c r="I2244" s="32"/>
      <c r="J2244" s="32"/>
      <c r="K2244" s="32"/>
      <c r="L2244" s="32" t="e">
        <f ca="1">_xludf.ifna(VLOOKUP(E2244,Parámetros!$D$2:$E$34,2,0),"")</f>
        <v>#NAME?</v>
      </c>
      <c r="M2244" s="32" t="e">
        <f ca="1">_xludf.ifna(VLOOKUP(G2244,Proyectos!$A$2:$T$674,20,0),"")</f>
        <v>#NAME?</v>
      </c>
      <c r="N2244" s="32" t="e">
        <f ca="1">_xludf.ifna(VLOOKUP(G2244,Proyectos!$A$2:$S$674,19,0))</f>
        <v>#NAME?</v>
      </c>
      <c r="O2244" s="32"/>
      <c r="P2244" s="32"/>
      <c r="Q2244" s="33"/>
      <c r="R2244" s="33"/>
      <c r="S2244" s="33"/>
      <c r="T2244" s="63">
        <f t="shared" si="19"/>
        <v>0</v>
      </c>
      <c r="U2244" s="33"/>
      <c r="V2244" s="33"/>
      <c r="W2244" s="33"/>
    </row>
    <row r="2245" spans="1:23" ht="16.5" customHeight="1" x14ac:dyDescent="0.2">
      <c r="A2245" s="26"/>
      <c r="B2245" s="26"/>
      <c r="C2245" s="26"/>
      <c r="D2245" s="26"/>
      <c r="E2245" s="26"/>
      <c r="F2245" s="28"/>
      <c r="G2245" s="26"/>
      <c r="H2245" s="32"/>
      <c r="I2245" s="32"/>
      <c r="J2245" s="32"/>
      <c r="K2245" s="32"/>
      <c r="L2245" s="32" t="e">
        <f ca="1">_xludf.ifna(VLOOKUP(E2245,Parámetros!$D$2:$E$34,2,0),"")</f>
        <v>#NAME?</v>
      </c>
      <c r="M2245" s="32" t="e">
        <f ca="1">_xludf.ifna(VLOOKUP(G2245,Proyectos!$A$2:$T$674,20,0),"")</f>
        <v>#NAME?</v>
      </c>
      <c r="N2245" s="32" t="e">
        <f ca="1">_xludf.ifna(VLOOKUP(G2245,Proyectos!$A$2:$S$674,19,0))</f>
        <v>#NAME?</v>
      </c>
      <c r="O2245" s="32"/>
      <c r="P2245" s="32"/>
      <c r="Q2245" s="33"/>
      <c r="R2245" s="33"/>
      <c r="S2245" s="33"/>
      <c r="T2245" s="63">
        <f t="shared" si="19"/>
        <v>0</v>
      </c>
      <c r="U2245" s="33"/>
      <c r="V2245" s="33"/>
      <c r="W2245" s="33"/>
    </row>
    <row r="2246" spans="1:23" ht="16.5" customHeight="1" x14ac:dyDescent="0.2">
      <c r="A2246" s="26"/>
      <c r="B2246" s="26"/>
      <c r="C2246" s="26"/>
      <c r="D2246" s="26"/>
      <c r="E2246" s="26"/>
      <c r="F2246" s="28"/>
      <c r="G2246" s="26"/>
      <c r="H2246" s="32"/>
      <c r="I2246" s="32"/>
      <c r="J2246" s="32"/>
      <c r="K2246" s="32"/>
      <c r="L2246" s="32" t="e">
        <f ca="1">_xludf.ifna(VLOOKUP(E2246,Parámetros!$D$2:$E$34,2,0),"")</f>
        <v>#NAME?</v>
      </c>
      <c r="M2246" s="32" t="e">
        <f ca="1">_xludf.ifna(VLOOKUP(G2246,Proyectos!$A$2:$T$674,20,0),"")</f>
        <v>#NAME?</v>
      </c>
      <c r="N2246" s="32" t="e">
        <f ca="1">_xludf.ifna(VLOOKUP(G2246,Proyectos!$A$2:$S$674,19,0))</f>
        <v>#NAME?</v>
      </c>
      <c r="O2246" s="32"/>
      <c r="P2246" s="32"/>
      <c r="Q2246" s="33"/>
      <c r="R2246" s="33"/>
      <c r="S2246" s="33"/>
      <c r="T2246" s="63">
        <f t="shared" si="19"/>
        <v>0</v>
      </c>
      <c r="U2246" s="33"/>
      <c r="V2246" s="33"/>
      <c r="W2246" s="33"/>
    </row>
    <row r="2247" spans="1:23" ht="16.5" customHeight="1" x14ac:dyDescent="0.2">
      <c r="A2247" s="26"/>
      <c r="B2247" s="26"/>
      <c r="C2247" s="26"/>
      <c r="D2247" s="26"/>
      <c r="E2247" s="26"/>
      <c r="F2247" s="28"/>
      <c r="G2247" s="26"/>
      <c r="H2247" s="32"/>
      <c r="I2247" s="32"/>
      <c r="J2247" s="32"/>
      <c r="K2247" s="32"/>
      <c r="L2247" s="32" t="e">
        <f ca="1">_xludf.ifna(VLOOKUP(E2247,Parámetros!$D$2:$E$34,2,0),"")</f>
        <v>#NAME?</v>
      </c>
      <c r="M2247" s="32" t="e">
        <f ca="1">_xludf.ifna(VLOOKUP(G2247,Proyectos!$A$2:$T$674,20,0),"")</f>
        <v>#NAME?</v>
      </c>
      <c r="N2247" s="32" t="e">
        <f ca="1">_xludf.ifna(VLOOKUP(G2247,Proyectos!$A$2:$S$674,19,0))</f>
        <v>#NAME?</v>
      </c>
      <c r="O2247" s="32"/>
      <c r="P2247" s="32"/>
      <c r="Q2247" s="33"/>
      <c r="R2247" s="33"/>
      <c r="S2247" s="33"/>
      <c r="T2247" s="63">
        <f t="shared" si="19"/>
        <v>0</v>
      </c>
      <c r="U2247" s="33"/>
      <c r="V2247" s="33"/>
      <c r="W2247" s="33"/>
    </row>
    <row r="2248" spans="1:23" ht="16.5" customHeight="1" x14ac:dyDescent="0.2">
      <c r="A2248" s="26"/>
      <c r="B2248" s="26"/>
      <c r="C2248" s="26"/>
      <c r="D2248" s="26"/>
      <c r="E2248" s="26"/>
      <c r="F2248" s="28"/>
      <c r="G2248" s="26"/>
      <c r="H2248" s="32"/>
      <c r="I2248" s="32"/>
      <c r="J2248" s="32"/>
      <c r="K2248" s="32"/>
      <c r="L2248" s="32" t="e">
        <f ca="1">_xludf.ifna(VLOOKUP(E2248,Parámetros!$D$2:$E$34,2,0),"")</f>
        <v>#NAME?</v>
      </c>
      <c r="M2248" s="32" t="e">
        <f ca="1">_xludf.ifna(VLOOKUP(G2248,Proyectos!$A$2:$T$674,20,0),"")</f>
        <v>#NAME?</v>
      </c>
      <c r="N2248" s="32" t="e">
        <f ca="1">_xludf.ifna(VLOOKUP(G2248,Proyectos!$A$2:$S$674,19,0))</f>
        <v>#NAME?</v>
      </c>
      <c r="O2248" s="32"/>
      <c r="P2248" s="32"/>
      <c r="Q2248" s="33"/>
      <c r="R2248" s="33"/>
      <c r="S2248" s="33"/>
      <c r="T2248" s="63">
        <f t="shared" si="19"/>
        <v>0</v>
      </c>
      <c r="U2248" s="33"/>
      <c r="V2248" s="33"/>
      <c r="W2248" s="33"/>
    </row>
    <row r="2249" spans="1:23" ht="16.5" customHeight="1" x14ac:dyDescent="0.2">
      <c r="A2249" s="26"/>
      <c r="B2249" s="26"/>
      <c r="C2249" s="26"/>
      <c r="D2249" s="26"/>
      <c r="E2249" s="26"/>
      <c r="F2249" s="28"/>
      <c r="G2249" s="26"/>
      <c r="H2249" s="32"/>
      <c r="I2249" s="32"/>
      <c r="J2249" s="32"/>
      <c r="K2249" s="32"/>
      <c r="L2249" s="32" t="e">
        <f ca="1">_xludf.ifna(VLOOKUP(E2249,Parámetros!$D$2:$E$34,2,0),"")</f>
        <v>#NAME?</v>
      </c>
      <c r="M2249" s="32" t="e">
        <f ca="1">_xludf.ifna(VLOOKUP(G2249,Proyectos!$A$2:$T$674,20,0),"")</f>
        <v>#NAME?</v>
      </c>
      <c r="N2249" s="32" t="e">
        <f ca="1">_xludf.ifna(VLOOKUP(G2249,Proyectos!$A$2:$S$674,19,0))</f>
        <v>#NAME?</v>
      </c>
      <c r="O2249" s="32"/>
      <c r="P2249" s="32"/>
      <c r="Q2249" s="33"/>
      <c r="R2249" s="33"/>
      <c r="S2249" s="33"/>
      <c r="T2249" s="63">
        <f t="shared" si="19"/>
        <v>0</v>
      </c>
      <c r="U2249" s="33"/>
      <c r="V2249" s="33"/>
      <c r="W2249" s="33"/>
    </row>
    <row r="2250" spans="1:23" ht="16.5" customHeight="1" x14ac:dyDescent="0.2">
      <c r="A2250" s="26"/>
      <c r="B2250" s="26"/>
      <c r="C2250" s="26"/>
      <c r="D2250" s="26"/>
      <c r="E2250" s="26"/>
      <c r="F2250" s="28"/>
      <c r="G2250" s="26"/>
      <c r="H2250" s="32"/>
      <c r="I2250" s="32"/>
      <c r="J2250" s="32"/>
      <c r="K2250" s="32"/>
      <c r="L2250" s="32" t="e">
        <f ca="1">_xludf.ifna(VLOOKUP(E2250,Parámetros!$D$2:$E$34,2,0),"")</f>
        <v>#NAME?</v>
      </c>
      <c r="M2250" s="32" t="e">
        <f ca="1">_xludf.ifna(VLOOKUP(G2250,Proyectos!$A$2:$T$674,20,0),"")</f>
        <v>#NAME?</v>
      </c>
      <c r="N2250" s="32" t="e">
        <f ca="1">_xludf.ifna(VLOOKUP(G2250,Proyectos!$A$2:$S$674,19,0))</f>
        <v>#NAME?</v>
      </c>
      <c r="O2250" s="32"/>
      <c r="P2250" s="32"/>
      <c r="Q2250" s="33"/>
      <c r="R2250" s="33"/>
      <c r="S2250" s="33"/>
      <c r="T2250" s="63">
        <f t="shared" si="19"/>
        <v>0</v>
      </c>
      <c r="U2250" s="33"/>
      <c r="V2250" s="33"/>
      <c r="W2250" s="33"/>
    </row>
    <row r="2251" spans="1:23" ht="16.5" customHeight="1" x14ac:dyDescent="0.2">
      <c r="A2251" s="26"/>
      <c r="B2251" s="26"/>
      <c r="C2251" s="26"/>
      <c r="D2251" s="26"/>
      <c r="E2251" s="26"/>
      <c r="F2251" s="28"/>
      <c r="G2251" s="26"/>
      <c r="H2251" s="32"/>
      <c r="I2251" s="32"/>
      <c r="J2251" s="32"/>
      <c r="K2251" s="32"/>
      <c r="L2251" s="32" t="e">
        <f ca="1">_xludf.ifna(VLOOKUP(E2251,Parámetros!$D$2:$E$34,2,0),"")</f>
        <v>#NAME?</v>
      </c>
      <c r="M2251" s="32" t="e">
        <f ca="1">_xludf.ifna(VLOOKUP(G2251,Proyectos!$A$2:$T$674,20,0),"")</f>
        <v>#NAME?</v>
      </c>
      <c r="N2251" s="32" t="e">
        <f ca="1">_xludf.ifna(VLOOKUP(G2251,Proyectos!$A$2:$S$674,19,0))</f>
        <v>#NAME?</v>
      </c>
      <c r="O2251" s="32"/>
      <c r="P2251" s="32"/>
      <c r="Q2251" s="33"/>
      <c r="R2251" s="33"/>
      <c r="S2251" s="33"/>
      <c r="T2251" s="63">
        <f t="shared" si="19"/>
        <v>0</v>
      </c>
      <c r="U2251" s="33"/>
      <c r="V2251" s="33"/>
      <c r="W2251" s="33"/>
    </row>
    <row r="2252" spans="1:23" ht="16.5" customHeight="1" x14ac:dyDescent="0.2">
      <c r="A2252" s="26"/>
      <c r="B2252" s="26"/>
      <c r="C2252" s="26"/>
      <c r="D2252" s="26"/>
      <c r="E2252" s="26"/>
      <c r="F2252" s="28"/>
      <c r="G2252" s="26"/>
      <c r="H2252" s="32"/>
      <c r="I2252" s="32"/>
      <c r="J2252" s="32"/>
      <c r="K2252" s="32"/>
      <c r="L2252" s="32" t="e">
        <f ca="1">_xludf.ifna(VLOOKUP(E2252,Parámetros!$D$2:$E$34,2,0),"")</f>
        <v>#NAME?</v>
      </c>
      <c r="M2252" s="32" t="e">
        <f ca="1">_xludf.ifna(VLOOKUP(G2252,Proyectos!$A$2:$T$674,20,0),"")</f>
        <v>#NAME?</v>
      </c>
      <c r="N2252" s="32" t="e">
        <f ca="1">_xludf.ifna(VLOOKUP(G2252,Proyectos!$A$2:$S$674,19,0))</f>
        <v>#NAME?</v>
      </c>
      <c r="O2252" s="32"/>
      <c r="P2252" s="32"/>
      <c r="Q2252" s="33"/>
      <c r="R2252" s="33"/>
      <c r="S2252" s="33"/>
      <c r="T2252" s="63">
        <f t="shared" si="19"/>
        <v>0</v>
      </c>
      <c r="U2252" s="33"/>
      <c r="V2252" s="33"/>
      <c r="W2252" s="33"/>
    </row>
    <row r="2253" spans="1:23" ht="16.5" customHeight="1" x14ac:dyDescent="0.2">
      <c r="A2253" s="26"/>
      <c r="B2253" s="26"/>
      <c r="C2253" s="26"/>
      <c r="D2253" s="26"/>
      <c r="E2253" s="26"/>
      <c r="F2253" s="28"/>
      <c r="G2253" s="26"/>
      <c r="H2253" s="32"/>
      <c r="I2253" s="32"/>
      <c r="J2253" s="32"/>
      <c r="K2253" s="32"/>
      <c r="L2253" s="32" t="e">
        <f ca="1">_xludf.ifna(VLOOKUP(E2253,Parámetros!$D$2:$E$34,2,0),"")</f>
        <v>#NAME?</v>
      </c>
      <c r="M2253" s="32" t="e">
        <f ca="1">_xludf.ifna(VLOOKUP(G2253,Proyectos!$A$2:$T$674,20,0),"")</f>
        <v>#NAME?</v>
      </c>
      <c r="N2253" s="32" t="e">
        <f ca="1">_xludf.ifna(VLOOKUP(G2253,Proyectos!$A$2:$S$674,19,0))</f>
        <v>#NAME?</v>
      </c>
      <c r="O2253" s="32"/>
      <c r="P2253" s="32"/>
      <c r="Q2253" s="33"/>
      <c r="R2253" s="33"/>
      <c r="S2253" s="33"/>
      <c r="T2253" s="63">
        <f t="shared" si="19"/>
        <v>0</v>
      </c>
      <c r="U2253" s="33"/>
      <c r="V2253" s="33"/>
      <c r="W2253" s="33"/>
    </row>
    <row r="2254" spans="1:23" ht="16.5" customHeight="1" x14ac:dyDescent="0.2">
      <c r="A2254" s="26"/>
      <c r="B2254" s="26"/>
      <c r="C2254" s="26"/>
      <c r="D2254" s="26"/>
      <c r="E2254" s="26"/>
      <c r="F2254" s="28"/>
      <c r="G2254" s="26"/>
      <c r="H2254" s="32"/>
      <c r="I2254" s="32"/>
      <c r="J2254" s="32"/>
      <c r="K2254" s="32"/>
      <c r="L2254" s="32" t="e">
        <f ca="1">_xludf.ifna(VLOOKUP(E2254,Parámetros!$D$2:$E$34,2,0),"")</f>
        <v>#NAME?</v>
      </c>
      <c r="M2254" s="32" t="e">
        <f ca="1">_xludf.ifna(VLOOKUP(G2254,Proyectos!$A$2:$T$674,20,0),"")</f>
        <v>#NAME?</v>
      </c>
      <c r="N2254" s="32" t="e">
        <f ca="1">_xludf.ifna(VLOOKUP(G2254,Proyectos!$A$2:$S$674,19,0))</f>
        <v>#NAME?</v>
      </c>
      <c r="O2254" s="32"/>
      <c r="P2254" s="32"/>
      <c r="Q2254" s="33"/>
      <c r="R2254" s="33"/>
      <c r="S2254" s="33"/>
      <c r="T2254" s="63">
        <f t="shared" si="19"/>
        <v>0</v>
      </c>
      <c r="U2254" s="33"/>
      <c r="V2254" s="33"/>
      <c r="W2254" s="33"/>
    </row>
    <row r="2255" spans="1:23" ht="16.5" customHeight="1" x14ac:dyDescent="0.2">
      <c r="A2255" s="26"/>
      <c r="B2255" s="26"/>
      <c r="C2255" s="26"/>
      <c r="D2255" s="26"/>
      <c r="E2255" s="26"/>
      <c r="F2255" s="28"/>
      <c r="G2255" s="26"/>
      <c r="H2255" s="32"/>
      <c r="I2255" s="32"/>
      <c r="J2255" s="32"/>
      <c r="K2255" s="32"/>
      <c r="L2255" s="32" t="e">
        <f ca="1">_xludf.ifna(VLOOKUP(E2255,Parámetros!$D$2:$E$34,2,0),"")</f>
        <v>#NAME?</v>
      </c>
      <c r="M2255" s="32" t="e">
        <f ca="1">_xludf.ifna(VLOOKUP(G2255,Proyectos!$A$2:$T$674,20,0),"")</f>
        <v>#NAME?</v>
      </c>
      <c r="N2255" s="32" t="e">
        <f ca="1">_xludf.ifna(VLOOKUP(G2255,Proyectos!$A$2:$S$674,19,0))</f>
        <v>#NAME?</v>
      </c>
      <c r="O2255" s="32"/>
      <c r="P2255" s="32"/>
      <c r="Q2255" s="33"/>
      <c r="R2255" s="33"/>
      <c r="S2255" s="33"/>
      <c r="T2255" s="63">
        <f t="shared" si="19"/>
        <v>0</v>
      </c>
      <c r="U2255" s="33"/>
      <c r="V2255" s="33"/>
      <c r="W2255" s="33"/>
    </row>
    <row r="2256" spans="1:23" ht="16.5" customHeight="1" x14ac:dyDescent="0.2">
      <c r="A2256" s="26"/>
      <c r="B2256" s="26"/>
      <c r="C2256" s="26"/>
      <c r="D2256" s="26"/>
      <c r="E2256" s="26"/>
      <c r="F2256" s="28"/>
      <c r="G2256" s="26"/>
      <c r="H2256" s="32"/>
      <c r="I2256" s="32"/>
      <c r="J2256" s="32"/>
      <c r="K2256" s="32"/>
      <c r="L2256" s="32" t="e">
        <f ca="1">_xludf.ifna(VLOOKUP(E2256,Parámetros!$D$2:$E$34,2,0),"")</f>
        <v>#NAME?</v>
      </c>
      <c r="M2256" s="32" t="e">
        <f ca="1">_xludf.ifna(VLOOKUP(G2256,Proyectos!$A$2:$T$674,20,0),"")</f>
        <v>#NAME?</v>
      </c>
      <c r="N2256" s="32" t="e">
        <f ca="1">_xludf.ifna(VLOOKUP(G2256,Proyectos!$A$2:$S$674,19,0))</f>
        <v>#NAME?</v>
      </c>
      <c r="O2256" s="32"/>
      <c r="P2256" s="32"/>
      <c r="Q2256" s="33"/>
      <c r="R2256" s="33"/>
      <c r="S2256" s="33"/>
      <c r="T2256" s="63">
        <f t="shared" si="19"/>
        <v>0</v>
      </c>
      <c r="U2256" s="33"/>
      <c r="V2256" s="33"/>
      <c r="W2256" s="33"/>
    </row>
    <row r="2257" spans="1:23" ht="16.5" customHeight="1" x14ac:dyDescent="0.2">
      <c r="A2257" s="26"/>
      <c r="B2257" s="26"/>
      <c r="C2257" s="26"/>
      <c r="D2257" s="26"/>
      <c r="E2257" s="26"/>
      <c r="F2257" s="28"/>
      <c r="G2257" s="26"/>
      <c r="H2257" s="32"/>
      <c r="I2257" s="32"/>
      <c r="J2257" s="32"/>
      <c r="K2257" s="32"/>
      <c r="L2257" s="32" t="e">
        <f ca="1">_xludf.ifna(VLOOKUP(E2257,Parámetros!$D$2:$E$34,2,0),"")</f>
        <v>#NAME?</v>
      </c>
      <c r="M2257" s="32" t="e">
        <f ca="1">_xludf.ifna(VLOOKUP(G2257,Proyectos!$A$2:$T$674,20,0),"")</f>
        <v>#NAME?</v>
      </c>
      <c r="N2257" s="32" t="e">
        <f ca="1">_xludf.ifna(VLOOKUP(G2257,Proyectos!$A$2:$S$674,19,0))</f>
        <v>#NAME?</v>
      </c>
      <c r="O2257" s="32"/>
      <c r="P2257" s="32"/>
      <c r="Q2257" s="33"/>
      <c r="R2257" s="33"/>
      <c r="S2257" s="33"/>
      <c r="T2257" s="63">
        <f t="shared" si="19"/>
        <v>0</v>
      </c>
      <c r="U2257" s="33"/>
      <c r="V2257" s="33"/>
      <c r="W2257" s="33"/>
    </row>
    <row r="2258" spans="1:23" ht="16.5" customHeight="1" x14ac:dyDescent="0.2">
      <c r="A2258" s="26"/>
      <c r="B2258" s="26"/>
      <c r="C2258" s="26"/>
      <c r="D2258" s="26"/>
      <c r="E2258" s="26"/>
      <c r="F2258" s="28"/>
      <c r="G2258" s="26"/>
      <c r="H2258" s="32"/>
      <c r="I2258" s="32"/>
      <c r="J2258" s="32"/>
      <c r="K2258" s="32"/>
      <c r="L2258" s="32" t="e">
        <f ca="1">_xludf.ifna(VLOOKUP(E2258,Parámetros!$D$2:$E$34,2,0),"")</f>
        <v>#NAME?</v>
      </c>
      <c r="M2258" s="32" t="e">
        <f ca="1">_xludf.ifna(VLOOKUP(G2258,Proyectos!$A$2:$T$674,20,0),"")</f>
        <v>#NAME?</v>
      </c>
      <c r="N2258" s="32" t="e">
        <f ca="1">_xludf.ifna(VLOOKUP(G2258,Proyectos!$A$2:$S$674,19,0))</f>
        <v>#NAME?</v>
      </c>
      <c r="O2258" s="32"/>
      <c r="P2258" s="32"/>
      <c r="Q2258" s="33"/>
      <c r="R2258" s="33"/>
      <c r="S2258" s="33"/>
      <c r="T2258" s="63">
        <f t="shared" si="19"/>
        <v>0</v>
      </c>
      <c r="U2258" s="33"/>
      <c r="V2258" s="33"/>
      <c r="W2258" s="33"/>
    </row>
    <row r="2259" spans="1:23" ht="16.5" customHeight="1" x14ac:dyDescent="0.2">
      <c r="A2259" s="26"/>
      <c r="B2259" s="26"/>
      <c r="C2259" s="26"/>
      <c r="D2259" s="26"/>
      <c r="E2259" s="26"/>
      <c r="F2259" s="28"/>
      <c r="G2259" s="26"/>
      <c r="H2259" s="32"/>
      <c r="I2259" s="32"/>
      <c r="J2259" s="32"/>
      <c r="K2259" s="32"/>
      <c r="L2259" s="32" t="e">
        <f ca="1">_xludf.ifna(VLOOKUP(E2259,Parámetros!$D$2:$E$34,2,0),"")</f>
        <v>#NAME?</v>
      </c>
      <c r="M2259" s="32" t="e">
        <f ca="1">_xludf.ifna(VLOOKUP(G2259,Proyectos!$A$2:$T$674,20,0),"")</f>
        <v>#NAME?</v>
      </c>
      <c r="N2259" s="32" t="e">
        <f ca="1">_xludf.ifna(VLOOKUP(G2259,Proyectos!$A$2:$S$674,19,0))</f>
        <v>#NAME?</v>
      </c>
      <c r="O2259" s="32"/>
      <c r="P2259" s="32"/>
      <c r="Q2259" s="33"/>
      <c r="R2259" s="33"/>
      <c r="S2259" s="33"/>
      <c r="T2259" s="63">
        <f t="shared" si="19"/>
        <v>0</v>
      </c>
      <c r="U2259" s="33"/>
      <c r="V2259" s="33"/>
      <c r="W2259" s="33"/>
    </row>
    <row r="2260" spans="1:23" ht="16.5" customHeight="1" x14ac:dyDescent="0.2">
      <c r="A2260" s="26"/>
      <c r="B2260" s="26"/>
      <c r="C2260" s="26"/>
      <c r="D2260" s="26"/>
      <c r="E2260" s="26"/>
      <c r="F2260" s="28"/>
      <c r="G2260" s="26"/>
      <c r="H2260" s="32"/>
      <c r="I2260" s="32"/>
      <c r="J2260" s="32"/>
      <c r="K2260" s="32"/>
      <c r="L2260" s="32" t="e">
        <f ca="1">_xludf.ifna(VLOOKUP(E2260,Parámetros!$D$2:$E$34,2,0),"")</f>
        <v>#NAME?</v>
      </c>
      <c r="M2260" s="32" t="e">
        <f ca="1">_xludf.ifna(VLOOKUP(G2260,Proyectos!$A$2:$T$674,20,0),"")</f>
        <v>#NAME?</v>
      </c>
      <c r="N2260" s="32" t="e">
        <f ca="1">_xludf.ifna(VLOOKUP(G2260,Proyectos!$A$2:$S$674,19,0))</f>
        <v>#NAME?</v>
      </c>
      <c r="O2260" s="32"/>
      <c r="P2260" s="32"/>
      <c r="Q2260" s="33"/>
      <c r="R2260" s="33"/>
      <c r="S2260" s="33"/>
      <c r="T2260" s="63">
        <f t="shared" si="19"/>
        <v>0</v>
      </c>
      <c r="U2260" s="33"/>
      <c r="V2260" s="33"/>
      <c r="W2260" s="33"/>
    </row>
    <row r="2261" spans="1:23" ht="16.5" customHeight="1" x14ac:dyDescent="0.2">
      <c r="A2261" s="26"/>
      <c r="B2261" s="26"/>
      <c r="C2261" s="26"/>
      <c r="D2261" s="26"/>
      <c r="E2261" s="26"/>
      <c r="F2261" s="28"/>
      <c r="G2261" s="26"/>
      <c r="H2261" s="32"/>
      <c r="I2261" s="32"/>
      <c r="J2261" s="32"/>
      <c r="K2261" s="32"/>
      <c r="L2261" s="32" t="e">
        <f ca="1">_xludf.ifna(VLOOKUP(E2261,Parámetros!$D$2:$E$34,2,0),"")</f>
        <v>#NAME?</v>
      </c>
      <c r="M2261" s="32" t="e">
        <f ca="1">_xludf.ifna(VLOOKUP(G2261,Proyectos!$A$2:$T$674,20,0),"")</f>
        <v>#NAME?</v>
      </c>
      <c r="N2261" s="32" t="e">
        <f ca="1">_xludf.ifna(VLOOKUP(G2261,Proyectos!$A$2:$S$674,19,0))</f>
        <v>#NAME?</v>
      </c>
      <c r="O2261" s="32"/>
      <c r="P2261" s="32"/>
      <c r="Q2261" s="33"/>
      <c r="R2261" s="33"/>
      <c r="S2261" s="33"/>
      <c r="T2261" s="63">
        <f t="shared" si="19"/>
        <v>0</v>
      </c>
      <c r="U2261" s="33"/>
      <c r="V2261" s="33"/>
      <c r="W2261" s="33"/>
    </row>
    <row r="2262" spans="1:23" ht="16.5" customHeight="1" x14ac:dyDescent="0.2">
      <c r="A2262" s="26"/>
      <c r="B2262" s="26"/>
      <c r="C2262" s="26"/>
      <c r="D2262" s="26"/>
      <c r="E2262" s="26"/>
      <c r="F2262" s="28"/>
      <c r="G2262" s="26"/>
      <c r="H2262" s="32"/>
      <c r="I2262" s="32"/>
      <c r="J2262" s="32"/>
      <c r="K2262" s="32"/>
      <c r="L2262" s="32" t="e">
        <f ca="1">_xludf.ifna(VLOOKUP(E2262,Parámetros!$D$2:$E$34,2,0),"")</f>
        <v>#NAME?</v>
      </c>
      <c r="M2262" s="32" t="e">
        <f ca="1">_xludf.ifna(VLOOKUP(G2262,Proyectos!$A$2:$T$674,20,0),"")</f>
        <v>#NAME?</v>
      </c>
      <c r="N2262" s="32" t="e">
        <f ca="1">_xludf.ifna(VLOOKUP(G2262,Proyectos!$A$2:$S$674,19,0))</f>
        <v>#NAME?</v>
      </c>
      <c r="O2262" s="32"/>
      <c r="P2262" s="32"/>
      <c r="Q2262" s="33"/>
      <c r="R2262" s="33"/>
      <c r="S2262" s="33"/>
      <c r="T2262" s="63">
        <f t="shared" si="19"/>
        <v>0</v>
      </c>
      <c r="U2262" s="33"/>
      <c r="V2262" s="33"/>
      <c r="W2262" s="33"/>
    </row>
    <row r="2263" spans="1:23" ht="16.5" customHeight="1" x14ac:dyDescent="0.2">
      <c r="A2263" s="26"/>
      <c r="B2263" s="26"/>
      <c r="C2263" s="26"/>
      <c r="D2263" s="26"/>
      <c r="E2263" s="26"/>
      <c r="F2263" s="28"/>
      <c r="G2263" s="26"/>
      <c r="H2263" s="32"/>
      <c r="I2263" s="32"/>
      <c r="J2263" s="32"/>
      <c r="K2263" s="32"/>
      <c r="L2263" s="32" t="e">
        <f ca="1">_xludf.ifna(VLOOKUP(E2263,Parámetros!$D$2:$E$34,2,0),"")</f>
        <v>#NAME?</v>
      </c>
      <c r="M2263" s="32" t="e">
        <f ca="1">_xludf.ifna(VLOOKUP(G2263,Proyectos!$A$2:$T$674,20,0),"")</f>
        <v>#NAME?</v>
      </c>
      <c r="N2263" s="32" t="e">
        <f ca="1">_xludf.ifna(VLOOKUP(G2263,Proyectos!$A$2:$S$674,19,0))</f>
        <v>#NAME?</v>
      </c>
      <c r="O2263" s="32"/>
      <c r="P2263" s="32"/>
      <c r="Q2263" s="33"/>
      <c r="R2263" s="33"/>
      <c r="S2263" s="33"/>
      <c r="T2263" s="63">
        <f t="shared" si="19"/>
        <v>0</v>
      </c>
      <c r="U2263" s="33"/>
      <c r="V2263" s="33"/>
      <c r="W2263" s="33"/>
    </row>
    <row r="2264" spans="1:23" ht="16.5" customHeight="1" x14ac:dyDescent="0.2">
      <c r="A2264" s="26"/>
      <c r="B2264" s="26"/>
      <c r="C2264" s="26"/>
      <c r="D2264" s="26"/>
      <c r="E2264" s="26"/>
      <c r="F2264" s="28"/>
      <c r="G2264" s="26"/>
      <c r="H2264" s="32"/>
      <c r="I2264" s="32"/>
      <c r="J2264" s="32"/>
      <c r="K2264" s="32"/>
      <c r="L2264" s="32" t="e">
        <f ca="1">_xludf.ifna(VLOOKUP(E2264,Parámetros!$D$2:$E$34,2,0),"")</f>
        <v>#NAME?</v>
      </c>
      <c r="M2264" s="32" t="e">
        <f ca="1">_xludf.ifna(VLOOKUP(G2264,Proyectos!$A$2:$T$674,20,0),"")</f>
        <v>#NAME?</v>
      </c>
      <c r="N2264" s="32" t="e">
        <f ca="1">_xludf.ifna(VLOOKUP(G2264,Proyectos!$A$2:$S$674,19,0))</f>
        <v>#NAME?</v>
      </c>
      <c r="O2264" s="32"/>
      <c r="P2264" s="32"/>
      <c r="Q2264" s="33"/>
      <c r="R2264" s="33"/>
      <c r="S2264" s="33"/>
      <c r="T2264" s="63">
        <f t="shared" si="19"/>
        <v>0</v>
      </c>
      <c r="U2264" s="33"/>
      <c r="V2264" s="33"/>
      <c r="W2264" s="33"/>
    </row>
    <row r="2265" spans="1:23" ht="16.5" customHeight="1" x14ac:dyDescent="0.2">
      <c r="A2265" s="26"/>
      <c r="B2265" s="26"/>
      <c r="C2265" s="26"/>
      <c r="D2265" s="26"/>
      <c r="E2265" s="26"/>
      <c r="F2265" s="28"/>
      <c r="G2265" s="26"/>
      <c r="H2265" s="32"/>
      <c r="I2265" s="32"/>
      <c r="J2265" s="32"/>
      <c r="K2265" s="32"/>
      <c r="L2265" s="32" t="e">
        <f ca="1">_xludf.ifna(VLOOKUP(E2265,Parámetros!$D$2:$E$34,2,0),"")</f>
        <v>#NAME?</v>
      </c>
      <c r="M2265" s="32" t="e">
        <f ca="1">_xludf.ifna(VLOOKUP(G2265,Proyectos!$A$2:$T$674,20,0),"")</f>
        <v>#NAME?</v>
      </c>
      <c r="N2265" s="32" t="e">
        <f ca="1">_xludf.ifna(VLOOKUP(G2265,Proyectos!$A$2:$S$674,19,0))</f>
        <v>#NAME?</v>
      </c>
      <c r="O2265" s="32"/>
      <c r="P2265" s="32"/>
      <c r="Q2265" s="33"/>
      <c r="R2265" s="33"/>
      <c r="S2265" s="33"/>
      <c r="T2265" s="63">
        <f t="shared" si="19"/>
        <v>0</v>
      </c>
      <c r="U2265" s="33"/>
      <c r="V2265" s="33"/>
      <c r="W2265" s="33"/>
    </row>
    <row r="2266" spans="1:23" ht="16.5" customHeight="1" x14ac:dyDescent="0.2">
      <c r="A2266" s="26"/>
      <c r="B2266" s="26"/>
      <c r="C2266" s="26"/>
      <c r="D2266" s="26"/>
      <c r="E2266" s="26"/>
      <c r="F2266" s="28"/>
      <c r="G2266" s="26"/>
      <c r="H2266" s="32"/>
      <c r="I2266" s="32"/>
      <c r="J2266" s="32"/>
      <c r="K2266" s="32"/>
      <c r="L2266" s="32" t="e">
        <f ca="1">_xludf.ifna(VLOOKUP(E2266,Parámetros!$D$2:$E$34,2,0),"")</f>
        <v>#NAME?</v>
      </c>
      <c r="M2266" s="32" t="e">
        <f ca="1">_xludf.ifna(VLOOKUP(G2266,Proyectos!$A$2:$T$674,20,0),"")</f>
        <v>#NAME?</v>
      </c>
      <c r="N2266" s="32" t="e">
        <f ca="1">_xludf.ifna(VLOOKUP(G2266,Proyectos!$A$2:$S$674,19,0))</f>
        <v>#NAME?</v>
      </c>
      <c r="O2266" s="32"/>
      <c r="P2266" s="32"/>
      <c r="Q2266" s="33"/>
      <c r="R2266" s="33"/>
      <c r="S2266" s="33"/>
      <c r="T2266" s="63">
        <f t="shared" si="19"/>
        <v>0</v>
      </c>
      <c r="U2266" s="33"/>
      <c r="V2266" s="33"/>
      <c r="W2266" s="33"/>
    </row>
    <row r="2267" spans="1:23" ht="16.5" customHeight="1" x14ac:dyDescent="0.2">
      <c r="A2267" s="26"/>
      <c r="B2267" s="26"/>
      <c r="C2267" s="26"/>
      <c r="D2267" s="26"/>
      <c r="E2267" s="26"/>
      <c r="F2267" s="28"/>
      <c r="G2267" s="26"/>
      <c r="H2267" s="32"/>
      <c r="I2267" s="32"/>
      <c r="J2267" s="32"/>
      <c r="K2267" s="32"/>
      <c r="L2267" s="32" t="e">
        <f ca="1">_xludf.ifna(VLOOKUP(E2267,Parámetros!$D$2:$E$34,2,0),"")</f>
        <v>#NAME?</v>
      </c>
      <c r="M2267" s="32" t="e">
        <f ca="1">_xludf.ifna(VLOOKUP(G2267,Proyectos!$A$2:$T$674,20,0),"")</f>
        <v>#NAME?</v>
      </c>
      <c r="N2267" s="32" t="e">
        <f ca="1">_xludf.ifna(VLOOKUP(G2267,Proyectos!$A$2:$S$674,19,0))</f>
        <v>#NAME?</v>
      </c>
      <c r="O2267" s="32"/>
      <c r="P2267" s="32"/>
      <c r="Q2267" s="33"/>
      <c r="R2267" s="33"/>
      <c r="S2267" s="33"/>
      <c r="T2267" s="63">
        <f t="shared" si="19"/>
        <v>0</v>
      </c>
      <c r="U2267" s="33"/>
      <c r="V2267" s="33"/>
      <c r="W2267" s="33"/>
    </row>
    <row r="2268" spans="1:23" ht="16.5" customHeight="1" x14ac:dyDescent="0.2">
      <c r="A2268" s="26"/>
      <c r="B2268" s="26"/>
      <c r="C2268" s="26"/>
      <c r="D2268" s="26"/>
      <c r="E2268" s="26"/>
      <c r="F2268" s="28"/>
      <c r="G2268" s="26"/>
      <c r="H2268" s="32"/>
      <c r="I2268" s="32"/>
      <c r="J2268" s="32"/>
      <c r="K2268" s="32"/>
      <c r="L2268" s="32" t="e">
        <f ca="1">_xludf.ifna(VLOOKUP(E2268,Parámetros!$D$2:$E$34,2,0),"")</f>
        <v>#NAME?</v>
      </c>
      <c r="M2268" s="32" t="e">
        <f ca="1">_xludf.ifna(VLOOKUP(G2268,Proyectos!$A$2:$T$674,20,0),"")</f>
        <v>#NAME?</v>
      </c>
      <c r="N2268" s="32" t="e">
        <f ca="1">_xludf.ifna(VLOOKUP(G2268,Proyectos!$A$2:$S$674,19,0))</f>
        <v>#NAME?</v>
      </c>
      <c r="O2268" s="32"/>
      <c r="P2268" s="32"/>
      <c r="Q2268" s="33"/>
      <c r="R2268" s="33"/>
      <c r="S2268" s="33"/>
      <c r="T2268" s="63">
        <f t="shared" si="19"/>
        <v>0</v>
      </c>
      <c r="U2268" s="33"/>
      <c r="V2268" s="33"/>
      <c r="W2268" s="33"/>
    </row>
    <row r="2269" spans="1:23" ht="16.5" customHeight="1" x14ac:dyDescent="0.2">
      <c r="A2269" s="26"/>
      <c r="B2269" s="26"/>
      <c r="C2269" s="26"/>
      <c r="D2269" s="26"/>
      <c r="E2269" s="26"/>
      <c r="F2269" s="28"/>
      <c r="G2269" s="26"/>
      <c r="H2269" s="32"/>
      <c r="I2269" s="32"/>
      <c r="J2269" s="32"/>
      <c r="K2269" s="32"/>
      <c r="L2269" s="32" t="e">
        <f ca="1">_xludf.ifna(VLOOKUP(E2269,Parámetros!$D$2:$E$34,2,0),"")</f>
        <v>#NAME?</v>
      </c>
      <c r="M2269" s="32" t="e">
        <f ca="1">_xludf.ifna(VLOOKUP(G2269,Proyectos!$A$2:$T$674,20,0),"")</f>
        <v>#NAME?</v>
      </c>
      <c r="N2269" s="32" t="e">
        <f ca="1">_xludf.ifna(VLOOKUP(G2269,Proyectos!$A$2:$S$674,19,0))</f>
        <v>#NAME?</v>
      </c>
      <c r="O2269" s="32"/>
      <c r="P2269" s="32"/>
      <c r="Q2269" s="33"/>
      <c r="R2269" s="33"/>
      <c r="S2269" s="33"/>
      <c r="T2269" s="63">
        <f t="shared" si="19"/>
        <v>0</v>
      </c>
      <c r="U2269" s="33"/>
      <c r="V2269" s="33"/>
      <c r="W2269" s="33"/>
    </row>
    <row r="2270" spans="1:23" ht="16.5" customHeight="1" x14ac:dyDescent="0.2">
      <c r="A2270" s="26"/>
      <c r="B2270" s="26"/>
      <c r="C2270" s="26"/>
      <c r="D2270" s="26"/>
      <c r="E2270" s="26"/>
      <c r="F2270" s="28"/>
      <c r="G2270" s="26"/>
      <c r="H2270" s="32"/>
      <c r="I2270" s="32"/>
      <c r="J2270" s="32"/>
      <c r="K2270" s="32"/>
      <c r="L2270" s="32" t="e">
        <f ca="1">_xludf.ifna(VLOOKUP(E2270,Parámetros!$D$2:$E$34,2,0),"")</f>
        <v>#NAME?</v>
      </c>
      <c r="M2270" s="32" t="e">
        <f ca="1">_xludf.ifna(VLOOKUP(G2270,Proyectos!$A$2:$T$674,20,0),"")</f>
        <v>#NAME?</v>
      </c>
      <c r="N2270" s="32" t="e">
        <f ca="1">_xludf.ifna(VLOOKUP(G2270,Proyectos!$A$2:$S$674,19,0))</f>
        <v>#NAME?</v>
      </c>
      <c r="O2270" s="32"/>
      <c r="P2270" s="32"/>
      <c r="Q2270" s="33"/>
      <c r="R2270" s="33"/>
      <c r="S2270" s="33"/>
      <c r="T2270" s="63">
        <f t="shared" si="19"/>
        <v>0</v>
      </c>
      <c r="U2270" s="33"/>
      <c r="V2270" s="33"/>
      <c r="W2270" s="33"/>
    </row>
    <row r="2271" spans="1:23" ht="16.5" customHeight="1" x14ac:dyDescent="0.2">
      <c r="A2271" s="26"/>
      <c r="B2271" s="26"/>
      <c r="C2271" s="26"/>
      <c r="D2271" s="26"/>
      <c r="E2271" s="26"/>
      <c r="F2271" s="28"/>
      <c r="G2271" s="26"/>
      <c r="H2271" s="32"/>
      <c r="I2271" s="32"/>
      <c r="J2271" s="32"/>
      <c r="K2271" s="32"/>
      <c r="L2271" s="32" t="e">
        <f ca="1">_xludf.ifna(VLOOKUP(E2271,Parámetros!$D$2:$E$34,2,0),"")</f>
        <v>#NAME?</v>
      </c>
      <c r="M2271" s="32" t="e">
        <f ca="1">_xludf.ifna(VLOOKUP(G2271,Proyectos!$A$2:$T$674,20,0),"")</f>
        <v>#NAME?</v>
      </c>
      <c r="N2271" s="32" t="e">
        <f ca="1">_xludf.ifna(VLOOKUP(G2271,Proyectos!$A$2:$S$674,19,0))</f>
        <v>#NAME?</v>
      </c>
      <c r="O2271" s="32"/>
      <c r="P2271" s="32"/>
      <c r="Q2271" s="33"/>
      <c r="R2271" s="33"/>
      <c r="S2271" s="33"/>
      <c r="T2271" s="63">
        <f t="shared" si="19"/>
        <v>0</v>
      </c>
      <c r="U2271" s="33"/>
      <c r="V2271" s="33"/>
      <c r="W2271" s="33"/>
    </row>
    <row r="2272" spans="1:23" ht="16.5" customHeight="1" x14ac:dyDescent="0.2">
      <c r="A2272" s="26"/>
      <c r="B2272" s="26"/>
      <c r="C2272" s="26"/>
      <c r="D2272" s="26"/>
      <c r="E2272" s="26"/>
      <c r="F2272" s="28"/>
      <c r="G2272" s="26"/>
      <c r="H2272" s="32"/>
      <c r="I2272" s="32"/>
      <c r="J2272" s="32"/>
      <c r="K2272" s="32"/>
      <c r="L2272" s="32" t="e">
        <f ca="1">_xludf.ifna(VLOOKUP(E2272,Parámetros!$D$2:$E$34,2,0),"")</f>
        <v>#NAME?</v>
      </c>
      <c r="M2272" s="32" t="e">
        <f ca="1">_xludf.ifna(VLOOKUP(G2272,Proyectos!$A$2:$T$674,20,0),"")</f>
        <v>#NAME?</v>
      </c>
      <c r="N2272" s="32" t="e">
        <f ca="1">_xludf.ifna(VLOOKUP(G2272,Proyectos!$A$2:$S$674,19,0))</f>
        <v>#NAME?</v>
      </c>
      <c r="O2272" s="32"/>
      <c r="P2272" s="32"/>
      <c r="Q2272" s="33"/>
      <c r="R2272" s="33"/>
      <c r="S2272" s="33"/>
      <c r="T2272" s="63">
        <f t="shared" si="19"/>
        <v>0</v>
      </c>
      <c r="U2272" s="33"/>
      <c r="V2272" s="33"/>
      <c r="W2272" s="33"/>
    </row>
    <row r="2273" spans="1:23" ht="16.5" customHeight="1" x14ac:dyDescent="0.2">
      <c r="A2273" s="26"/>
      <c r="B2273" s="26"/>
      <c r="C2273" s="26"/>
      <c r="D2273" s="26"/>
      <c r="E2273" s="26"/>
      <c r="F2273" s="28"/>
      <c r="G2273" s="26"/>
      <c r="H2273" s="32"/>
      <c r="I2273" s="32"/>
      <c r="J2273" s="32"/>
      <c r="K2273" s="32"/>
      <c r="L2273" s="32" t="e">
        <f ca="1">_xludf.ifna(VLOOKUP(E2273,Parámetros!$D$2:$E$34,2,0),"")</f>
        <v>#NAME?</v>
      </c>
      <c r="M2273" s="32" t="e">
        <f ca="1">_xludf.ifna(VLOOKUP(G2273,Proyectos!$A$2:$T$674,20,0),"")</f>
        <v>#NAME?</v>
      </c>
      <c r="N2273" s="32" t="e">
        <f ca="1">_xludf.ifna(VLOOKUP(G2273,Proyectos!$A$2:$S$674,19,0))</f>
        <v>#NAME?</v>
      </c>
      <c r="O2273" s="32"/>
      <c r="P2273" s="32"/>
      <c r="Q2273" s="33"/>
      <c r="R2273" s="33"/>
      <c r="S2273" s="33"/>
      <c r="T2273" s="63">
        <f t="shared" si="19"/>
        <v>0</v>
      </c>
      <c r="U2273" s="33"/>
      <c r="V2273" s="33"/>
      <c r="W2273" s="33"/>
    </row>
    <row r="2274" spans="1:23" ht="16.5" customHeight="1" x14ac:dyDescent="0.2">
      <c r="A2274" s="26"/>
      <c r="B2274" s="26"/>
      <c r="C2274" s="26"/>
      <c r="D2274" s="26"/>
      <c r="E2274" s="26"/>
      <c r="F2274" s="28"/>
      <c r="G2274" s="26"/>
      <c r="H2274" s="32"/>
      <c r="I2274" s="32"/>
      <c r="J2274" s="32"/>
      <c r="K2274" s="32"/>
      <c r="L2274" s="32" t="e">
        <f ca="1">_xludf.ifna(VLOOKUP(E2274,Parámetros!$D$2:$E$34,2,0),"")</f>
        <v>#NAME?</v>
      </c>
      <c r="M2274" s="32" t="e">
        <f ca="1">_xludf.ifna(VLOOKUP(G2274,Proyectos!$A$2:$T$674,20,0),"")</f>
        <v>#NAME?</v>
      </c>
      <c r="N2274" s="32" t="e">
        <f ca="1">_xludf.ifna(VLOOKUP(G2274,Proyectos!$A$2:$S$674,19,0))</f>
        <v>#NAME?</v>
      </c>
      <c r="O2274" s="32"/>
      <c r="P2274" s="32"/>
      <c r="Q2274" s="33"/>
      <c r="R2274" s="33"/>
      <c r="S2274" s="33"/>
      <c r="T2274" s="63">
        <f t="shared" si="19"/>
        <v>0</v>
      </c>
      <c r="U2274" s="33"/>
      <c r="V2274" s="33"/>
      <c r="W2274" s="33"/>
    </row>
    <row r="2275" spans="1:23" ht="16.5" customHeight="1" x14ac:dyDescent="0.2">
      <c r="A2275" s="26"/>
      <c r="B2275" s="26"/>
      <c r="C2275" s="26"/>
      <c r="D2275" s="26"/>
      <c r="E2275" s="26"/>
      <c r="F2275" s="28"/>
      <c r="G2275" s="26"/>
      <c r="H2275" s="32"/>
      <c r="I2275" s="32"/>
      <c r="J2275" s="32"/>
      <c r="K2275" s="32"/>
      <c r="L2275" s="32" t="e">
        <f ca="1">_xludf.ifna(VLOOKUP(E2275,Parámetros!$D$2:$E$34,2,0),"")</f>
        <v>#NAME?</v>
      </c>
      <c r="M2275" s="32" t="e">
        <f ca="1">_xludf.ifna(VLOOKUP(G2275,Proyectos!$A$2:$T$674,20,0),"")</f>
        <v>#NAME?</v>
      </c>
      <c r="N2275" s="32" t="e">
        <f ca="1">_xludf.ifna(VLOOKUP(G2275,Proyectos!$A$2:$S$674,19,0))</f>
        <v>#NAME?</v>
      </c>
      <c r="O2275" s="32"/>
      <c r="P2275" s="32"/>
      <c r="Q2275" s="33"/>
      <c r="R2275" s="33"/>
      <c r="S2275" s="33"/>
      <c r="T2275" s="63">
        <f t="shared" si="19"/>
        <v>0</v>
      </c>
      <c r="U2275" s="33"/>
      <c r="V2275" s="33"/>
      <c r="W2275" s="33"/>
    </row>
    <row r="2276" spans="1:23" ht="16.5" customHeight="1" x14ac:dyDescent="0.2">
      <c r="A2276" s="26"/>
      <c r="B2276" s="26"/>
      <c r="C2276" s="26"/>
      <c r="D2276" s="26"/>
      <c r="E2276" s="26"/>
      <c r="F2276" s="28"/>
      <c r="G2276" s="26"/>
      <c r="H2276" s="32"/>
      <c r="I2276" s="32"/>
      <c r="J2276" s="32"/>
      <c r="K2276" s="32"/>
      <c r="L2276" s="32" t="e">
        <f ca="1">_xludf.ifna(VLOOKUP(E2276,Parámetros!$D$2:$E$34,2,0),"")</f>
        <v>#NAME?</v>
      </c>
      <c r="M2276" s="32" t="e">
        <f ca="1">_xludf.ifna(VLOOKUP(G2276,Proyectos!$A$2:$T$674,20,0),"")</f>
        <v>#NAME?</v>
      </c>
      <c r="N2276" s="32" t="e">
        <f ca="1">_xludf.ifna(VLOOKUP(G2276,Proyectos!$A$2:$S$674,19,0))</f>
        <v>#NAME?</v>
      </c>
      <c r="O2276" s="32"/>
      <c r="P2276" s="32"/>
      <c r="Q2276" s="33"/>
      <c r="R2276" s="33"/>
      <c r="S2276" s="33"/>
      <c r="T2276" s="63">
        <f t="shared" si="19"/>
        <v>0</v>
      </c>
      <c r="U2276" s="33"/>
      <c r="V2276" s="33"/>
      <c r="W2276" s="33"/>
    </row>
    <row r="2277" spans="1:23" ht="16.5" customHeight="1" x14ac:dyDescent="0.2">
      <c r="A2277" s="26"/>
      <c r="B2277" s="26"/>
      <c r="C2277" s="26"/>
      <c r="D2277" s="26"/>
      <c r="E2277" s="26"/>
      <c r="F2277" s="28"/>
      <c r="G2277" s="26"/>
      <c r="H2277" s="32"/>
      <c r="I2277" s="32"/>
      <c r="J2277" s="32"/>
      <c r="K2277" s="32"/>
      <c r="L2277" s="32" t="e">
        <f ca="1">_xludf.ifna(VLOOKUP(E2277,Parámetros!$D$2:$E$34,2,0),"")</f>
        <v>#NAME?</v>
      </c>
      <c r="M2277" s="32" t="e">
        <f ca="1">_xludf.ifna(VLOOKUP(G2277,Proyectos!$A$2:$T$674,20,0),"")</f>
        <v>#NAME?</v>
      </c>
      <c r="N2277" s="32" t="e">
        <f ca="1">_xludf.ifna(VLOOKUP(G2277,Proyectos!$A$2:$S$674,19,0))</f>
        <v>#NAME?</v>
      </c>
      <c r="O2277" s="32"/>
      <c r="P2277" s="32"/>
      <c r="Q2277" s="33"/>
      <c r="R2277" s="33"/>
      <c r="S2277" s="33"/>
      <c r="T2277" s="63">
        <f t="shared" si="19"/>
        <v>0</v>
      </c>
      <c r="U2277" s="33"/>
      <c r="V2277" s="33"/>
      <c r="W2277" s="33"/>
    </row>
    <row r="2278" spans="1:23" ht="16.5" customHeight="1" x14ac:dyDescent="0.2">
      <c r="A2278" s="26"/>
      <c r="B2278" s="26"/>
      <c r="C2278" s="26"/>
      <c r="D2278" s="26"/>
      <c r="E2278" s="26"/>
      <c r="F2278" s="28"/>
      <c r="G2278" s="26"/>
      <c r="H2278" s="32"/>
      <c r="I2278" s="32"/>
      <c r="J2278" s="32"/>
      <c r="K2278" s="32"/>
      <c r="L2278" s="32" t="e">
        <f ca="1">_xludf.ifna(VLOOKUP(E2278,Parámetros!$D$2:$E$34,2,0),"")</f>
        <v>#NAME?</v>
      </c>
      <c r="M2278" s="32" t="e">
        <f ca="1">_xludf.ifna(VLOOKUP(G2278,Proyectos!$A$2:$T$674,20,0),"")</f>
        <v>#NAME?</v>
      </c>
      <c r="N2278" s="32" t="e">
        <f ca="1">_xludf.ifna(VLOOKUP(G2278,Proyectos!$A$2:$S$674,19,0))</f>
        <v>#NAME?</v>
      </c>
      <c r="O2278" s="32"/>
      <c r="P2278" s="32"/>
      <c r="Q2278" s="33"/>
      <c r="R2278" s="33"/>
      <c r="S2278" s="33"/>
      <c r="T2278" s="63">
        <f t="shared" si="19"/>
        <v>0</v>
      </c>
      <c r="U2278" s="33"/>
      <c r="V2278" s="33"/>
      <c r="W2278" s="33"/>
    </row>
    <row r="2279" spans="1:23" ht="16.5" customHeight="1" x14ac:dyDescent="0.2">
      <c r="A2279" s="26"/>
      <c r="B2279" s="26"/>
      <c r="C2279" s="26"/>
      <c r="D2279" s="26"/>
      <c r="E2279" s="26"/>
      <c r="F2279" s="28"/>
      <c r="G2279" s="26"/>
      <c r="H2279" s="32"/>
      <c r="I2279" s="32"/>
      <c r="J2279" s="32"/>
      <c r="K2279" s="32"/>
      <c r="L2279" s="32" t="e">
        <f ca="1">_xludf.ifna(VLOOKUP(E2279,Parámetros!$D$2:$E$34,2,0),"")</f>
        <v>#NAME?</v>
      </c>
      <c r="M2279" s="32" t="e">
        <f ca="1">_xludf.ifna(VLOOKUP(G2279,Proyectos!$A$2:$T$674,20,0),"")</f>
        <v>#NAME?</v>
      </c>
      <c r="N2279" s="32" t="e">
        <f ca="1">_xludf.ifna(VLOOKUP(G2279,Proyectos!$A$2:$S$674,19,0))</f>
        <v>#NAME?</v>
      </c>
      <c r="O2279" s="32"/>
      <c r="P2279" s="32"/>
      <c r="Q2279" s="33"/>
      <c r="R2279" s="33"/>
      <c r="S2279" s="33"/>
      <c r="T2279" s="63">
        <f t="shared" si="19"/>
        <v>0</v>
      </c>
      <c r="U2279" s="33"/>
      <c r="V2279" s="33"/>
      <c r="W2279" s="33"/>
    </row>
    <row r="2280" spans="1:23" ht="16.5" customHeight="1" x14ac:dyDescent="0.2">
      <c r="A2280" s="26"/>
      <c r="B2280" s="26"/>
      <c r="C2280" s="26"/>
      <c r="D2280" s="26"/>
      <c r="E2280" s="26"/>
      <c r="F2280" s="28"/>
      <c r="G2280" s="26"/>
      <c r="H2280" s="32"/>
      <c r="I2280" s="32"/>
      <c r="J2280" s="32"/>
      <c r="K2280" s="32"/>
      <c r="L2280" s="32" t="e">
        <f ca="1">_xludf.ifna(VLOOKUP(E2280,Parámetros!$D$2:$E$34,2,0),"")</f>
        <v>#NAME?</v>
      </c>
      <c r="M2280" s="32" t="e">
        <f ca="1">_xludf.ifna(VLOOKUP(G2280,Proyectos!$A$2:$T$674,20,0),"")</f>
        <v>#NAME?</v>
      </c>
      <c r="N2280" s="32" t="e">
        <f ca="1">_xludf.ifna(VLOOKUP(G2280,Proyectos!$A$2:$S$674,19,0))</f>
        <v>#NAME?</v>
      </c>
      <c r="O2280" s="32"/>
      <c r="P2280" s="32"/>
      <c r="Q2280" s="33"/>
      <c r="R2280" s="33"/>
      <c r="S2280" s="33"/>
      <c r="T2280" s="63">
        <f t="shared" si="19"/>
        <v>0</v>
      </c>
      <c r="U2280" s="33"/>
      <c r="V2280" s="33"/>
      <c r="W2280" s="33"/>
    </row>
    <row r="2281" spans="1:23" ht="16.5" customHeight="1" x14ac:dyDescent="0.2">
      <c r="A2281" s="26"/>
      <c r="B2281" s="26"/>
      <c r="C2281" s="26"/>
      <c r="D2281" s="26"/>
      <c r="E2281" s="26"/>
      <c r="F2281" s="28"/>
      <c r="G2281" s="26"/>
      <c r="H2281" s="32"/>
      <c r="I2281" s="32"/>
      <c r="J2281" s="32"/>
      <c r="K2281" s="32"/>
      <c r="L2281" s="32" t="e">
        <f ca="1">_xludf.ifna(VLOOKUP(E2281,Parámetros!$D$2:$E$34,2,0),"")</f>
        <v>#NAME?</v>
      </c>
      <c r="M2281" s="32" t="e">
        <f ca="1">_xludf.ifna(VLOOKUP(G2281,Proyectos!$A$2:$T$674,20,0),"")</f>
        <v>#NAME?</v>
      </c>
      <c r="N2281" s="32" t="e">
        <f ca="1">_xludf.ifna(VLOOKUP(G2281,Proyectos!$A$2:$S$674,19,0))</f>
        <v>#NAME?</v>
      </c>
      <c r="O2281" s="32"/>
      <c r="P2281" s="32"/>
      <c r="Q2281" s="33"/>
      <c r="R2281" s="33"/>
      <c r="S2281" s="33"/>
      <c r="T2281" s="63">
        <f t="shared" si="19"/>
        <v>0</v>
      </c>
      <c r="U2281" s="33"/>
      <c r="V2281" s="33"/>
      <c r="W2281" s="33"/>
    </row>
    <row r="2282" spans="1:23" ht="16.5" customHeight="1" x14ac:dyDescent="0.2">
      <c r="A2282" s="26"/>
      <c r="B2282" s="26"/>
      <c r="C2282" s="26"/>
      <c r="D2282" s="26"/>
      <c r="E2282" s="26"/>
      <c r="F2282" s="28"/>
      <c r="G2282" s="26"/>
      <c r="H2282" s="32"/>
      <c r="I2282" s="32"/>
      <c r="J2282" s="32"/>
      <c r="K2282" s="32"/>
      <c r="L2282" s="32" t="e">
        <f ca="1">_xludf.ifna(VLOOKUP(E2282,Parámetros!$D$2:$E$34,2,0),"")</f>
        <v>#NAME?</v>
      </c>
      <c r="M2282" s="32" t="e">
        <f ca="1">_xludf.ifna(VLOOKUP(G2282,Proyectos!$A$2:$T$674,20,0),"")</f>
        <v>#NAME?</v>
      </c>
      <c r="N2282" s="32" t="e">
        <f ca="1">_xludf.ifna(VLOOKUP(G2282,Proyectos!$A$2:$S$674,19,0))</f>
        <v>#NAME?</v>
      </c>
      <c r="O2282" s="32"/>
      <c r="P2282" s="32"/>
      <c r="Q2282" s="33"/>
      <c r="R2282" s="33"/>
      <c r="S2282" s="33"/>
      <c r="T2282" s="63">
        <f t="shared" si="19"/>
        <v>0</v>
      </c>
      <c r="U2282" s="33"/>
      <c r="V2282" s="33"/>
      <c r="W2282" s="33"/>
    </row>
    <row r="2283" spans="1:23" ht="16.5" customHeight="1" x14ac:dyDescent="0.2">
      <c r="A2283" s="26"/>
      <c r="B2283" s="26"/>
      <c r="C2283" s="26"/>
      <c r="D2283" s="26"/>
      <c r="E2283" s="26"/>
      <c r="F2283" s="28"/>
      <c r="G2283" s="26"/>
      <c r="H2283" s="32"/>
      <c r="I2283" s="32"/>
      <c r="J2283" s="32"/>
      <c r="K2283" s="32"/>
      <c r="L2283" s="32" t="e">
        <f ca="1">_xludf.ifna(VLOOKUP(E2283,Parámetros!$D$2:$E$34,2,0),"")</f>
        <v>#NAME?</v>
      </c>
      <c r="M2283" s="32" t="e">
        <f ca="1">_xludf.ifna(VLOOKUP(G2283,Proyectos!$A$2:$T$674,20,0),"")</f>
        <v>#NAME?</v>
      </c>
      <c r="N2283" s="32" t="e">
        <f ca="1">_xludf.ifna(VLOOKUP(G2283,Proyectos!$A$2:$S$674,19,0))</f>
        <v>#NAME?</v>
      </c>
      <c r="O2283" s="32"/>
      <c r="P2283" s="32"/>
      <c r="Q2283" s="33"/>
      <c r="R2283" s="33"/>
      <c r="S2283" s="33"/>
      <c r="T2283" s="63">
        <f t="shared" si="19"/>
        <v>0</v>
      </c>
      <c r="U2283" s="33"/>
      <c r="V2283" s="33"/>
      <c r="W2283" s="33"/>
    </row>
    <row r="2284" spans="1:23" ht="16.5" customHeight="1" x14ac:dyDescent="0.2">
      <c r="A2284" s="26"/>
      <c r="B2284" s="26"/>
      <c r="C2284" s="26"/>
      <c r="D2284" s="26"/>
      <c r="E2284" s="26"/>
      <c r="F2284" s="28"/>
      <c r="G2284" s="26"/>
      <c r="H2284" s="32"/>
      <c r="I2284" s="32"/>
      <c r="J2284" s="32"/>
      <c r="K2284" s="32"/>
      <c r="L2284" s="32" t="e">
        <f ca="1">_xludf.ifna(VLOOKUP(E2284,Parámetros!$D$2:$E$34,2,0),"")</f>
        <v>#NAME?</v>
      </c>
      <c r="M2284" s="32" t="e">
        <f ca="1">_xludf.ifna(VLOOKUP(G2284,Proyectos!$A$2:$T$674,20,0),"")</f>
        <v>#NAME?</v>
      </c>
      <c r="N2284" s="32" t="e">
        <f ca="1">_xludf.ifna(VLOOKUP(G2284,Proyectos!$A$2:$S$674,19,0))</f>
        <v>#NAME?</v>
      </c>
      <c r="O2284" s="32"/>
      <c r="P2284" s="32"/>
      <c r="Q2284" s="33"/>
      <c r="R2284" s="33"/>
      <c r="S2284" s="33"/>
      <c r="T2284" s="63">
        <f t="shared" si="19"/>
        <v>0</v>
      </c>
      <c r="U2284" s="33"/>
      <c r="V2284" s="33"/>
      <c r="W2284" s="33"/>
    </row>
    <row r="2285" spans="1:23" ht="16.5" customHeight="1" x14ac:dyDescent="0.2">
      <c r="A2285" s="26"/>
      <c r="B2285" s="26"/>
      <c r="C2285" s="26"/>
      <c r="D2285" s="26"/>
      <c r="E2285" s="26"/>
      <c r="F2285" s="28"/>
      <c r="G2285" s="26"/>
      <c r="H2285" s="32"/>
      <c r="I2285" s="32"/>
      <c r="J2285" s="32"/>
      <c r="K2285" s="32"/>
      <c r="L2285" s="32" t="e">
        <f ca="1">_xludf.ifna(VLOOKUP(E2285,Parámetros!$D$2:$E$34,2,0),"")</f>
        <v>#NAME?</v>
      </c>
      <c r="M2285" s="32" t="e">
        <f ca="1">_xludf.ifna(VLOOKUP(G2285,Proyectos!$A$2:$T$674,20,0),"")</f>
        <v>#NAME?</v>
      </c>
      <c r="N2285" s="32" t="e">
        <f ca="1">_xludf.ifna(VLOOKUP(G2285,Proyectos!$A$2:$S$674,19,0))</f>
        <v>#NAME?</v>
      </c>
      <c r="O2285" s="32"/>
      <c r="P2285" s="32"/>
      <c r="Q2285" s="33"/>
      <c r="R2285" s="33"/>
      <c r="S2285" s="33"/>
      <c r="T2285" s="63">
        <f t="shared" si="19"/>
        <v>0</v>
      </c>
      <c r="U2285" s="33"/>
      <c r="V2285" s="33"/>
      <c r="W2285" s="33"/>
    </row>
    <row r="2286" spans="1:23" ht="16.5" customHeight="1" x14ac:dyDescent="0.2">
      <c r="A2286" s="26"/>
      <c r="B2286" s="26"/>
      <c r="C2286" s="26"/>
      <c r="D2286" s="26"/>
      <c r="E2286" s="26"/>
      <c r="F2286" s="28"/>
      <c r="G2286" s="26"/>
      <c r="H2286" s="32"/>
      <c r="I2286" s="32"/>
      <c r="J2286" s="32"/>
      <c r="K2286" s="32"/>
      <c r="L2286" s="32" t="e">
        <f ca="1">_xludf.ifna(VLOOKUP(E2286,Parámetros!$D$2:$E$34,2,0),"")</f>
        <v>#NAME?</v>
      </c>
      <c r="M2286" s="32" t="e">
        <f ca="1">_xludf.ifna(VLOOKUP(G2286,Proyectos!$A$2:$T$674,20,0),"")</f>
        <v>#NAME?</v>
      </c>
      <c r="N2286" s="32" t="e">
        <f ca="1">_xludf.ifna(VLOOKUP(G2286,Proyectos!$A$2:$S$674,19,0))</f>
        <v>#NAME?</v>
      </c>
      <c r="O2286" s="32"/>
      <c r="P2286" s="32"/>
      <c r="Q2286" s="33"/>
      <c r="R2286" s="33"/>
      <c r="S2286" s="33"/>
      <c r="T2286" s="63">
        <f t="shared" si="19"/>
        <v>0</v>
      </c>
      <c r="U2286" s="33"/>
      <c r="V2286" s="33"/>
      <c r="W2286" s="33"/>
    </row>
    <row r="2287" spans="1:23" ht="16.5" customHeight="1" x14ac:dyDescent="0.2">
      <c r="A2287" s="26"/>
      <c r="B2287" s="26"/>
      <c r="C2287" s="26"/>
      <c r="D2287" s="26"/>
      <c r="E2287" s="26"/>
      <c r="F2287" s="28"/>
      <c r="G2287" s="26"/>
      <c r="H2287" s="32"/>
      <c r="I2287" s="32"/>
      <c r="J2287" s="32"/>
      <c r="K2287" s="32"/>
      <c r="L2287" s="32" t="e">
        <f ca="1">_xludf.ifna(VLOOKUP(E2287,Parámetros!$D$2:$E$34,2,0),"")</f>
        <v>#NAME?</v>
      </c>
      <c r="M2287" s="32" t="e">
        <f ca="1">_xludf.ifna(VLOOKUP(G2287,Proyectos!$A$2:$T$674,20,0),"")</f>
        <v>#NAME?</v>
      </c>
      <c r="N2287" s="32" t="e">
        <f ca="1">_xludf.ifna(VLOOKUP(G2287,Proyectos!$A$2:$S$674,19,0))</f>
        <v>#NAME?</v>
      </c>
      <c r="O2287" s="32"/>
      <c r="P2287" s="32"/>
      <c r="Q2287" s="33"/>
      <c r="R2287" s="33"/>
      <c r="S2287" s="33"/>
      <c r="T2287" s="63">
        <f t="shared" si="19"/>
        <v>0</v>
      </c>
      <c r="U2287" s="33"/>
      <c r="V2287" s="33"/>
      <c r="W2287" s="33"/>
    </row>
    <row r="2288" spans="1:23" ht="16.5" customHeight="1" x14ac:dyDescent="0.2">
      <c r="A2288" s="26"/>
      <c r="B2288" s="26"/>
      <c r="C2288" s="26"/>
      <c r="D2288" s="26"/>
      <c r="E2288" s="26"/>
      <c r="F2288" s="28"/>
      <c r="G2288" s="26"/>
      <c r="H2288" s="32"/>
      <c r="I2288" s="32"/>
      <c r="J2288" s="32"/>
      <c r="K2288" s="32"/>
      <c r="L2288" s="32" t="e">
        <f ca="1">_xludf.ifna(VLOOKUP(E2288,Parámetros!$D$2:$E$34,2,0),"")</f>
        <v>#NAME?</v>
      </c>
      <c r="M2288" s="32" t="e">
        <f ca="1">_xludf.ifna(VLOOKUP(G2288,Proyectos!$A$2:$T$674,20,0),"")</f>
        <v>#NAME?</v>
      </c>
      <c r="N2288" s="32" t="e">
        <f ca="1">_xludf.ifna(VLOOKUP(G2288,Proyectos!$A$2:$S$674,19,0))</f>
        <v>#NAME?</v>
      </c>
      <c r="O2288" s="32"/>
      <c r="P2288" s="32"/>
      <c r="Q2288" s="33"/>
      <c r="R2288" s="33"/>
      <c r="S2288" s="33"/>
      <c r="T2288" s="63">
        <f t="shared" si="19"/>
        <v>0</v>
      </c>
      <c r="U2288" s="33"/>
      <c r="V2288" s="33"/>
      <c r="W2288" s="33"/>
    </row>
    <row r="2289" spans="1:23" ht="16.5" customHeight="1" x14ac:dyDescent="0.2">
      <c r="A2289" s="26"/>
      <c r="B2289" s="26"/>
      <c r="C2289" s="26"/>
      <c r="D2289" s="26"/>
      <c r="E2289" s="26"/>
      <c r="F2289" s="28"/>
      <c r="G2289" s="26"/>
      <c r="H2289" s="32"/>
      <c r="I2289" s="32"/>
      <c r="J2289" s="32"/>
      <c r="K2289" s="32"/>
      <c r="L2289" s="32" t="e">
        <f ca="1">_xludf.ifna(VLOOKUP(E2289,Parámetros!$D$2:$E$34,2,0),"")</f>
        <v>#NAME?</v>
      </c>
      <c r="M2289" s="32" t="e">
        <f ca="1">_xludf.ifna(VLOOKUP(G2289,Proyectos!$A$2:$T$674,20,0),"")</f>
        <v>#NAME?</v>
      </c>
      <c r="N2289" s="32" t="e">
        <f ca="1">_xludf.ifna(VLOOKUP(G2289,Proyectos!$A$2:$S$674,19,0))</f>
        <v>#NAME?</v>
      </c>
      <c r="O2289" s="32"/>
      <c r="P2289" s="32"/>
      <c r="Q2289" s="33"/>
      <c r="R2289" s="33"/>
      <c r="S2289" s="33"/>
      <c r="T2289" s="63">
        <f t="shared" si="19"/>
        <v>0</v>
      </c>
      <c r="U2289" s="33"/>
      <c r="V2289" s="33"/>
      <c r="W2289" s="33"/>
    </row>
    <row r="2290" spans="1:23" ht="16.5" customHeight="1" x14ac:dyDescent="0.2">
      <c r="A2290" s="26"/>
      <c r="B2290" s="26"/>
      <c r="C2290" s="26"/>
      <c r="D2290" s="26"/>
      <c r="E2290" s="26"/>
      <c r="F2290" s="28"/>
      <c r="G2290" s="26"/>
      <c r="H2290" s="32"/>
      <c r="I2290" s="32"/>
      <c r="J2290" s="32"/>
      <c r="K2290" s="32"/>
      <c r="L2290" s="32" t="e">
        <f ca="1">_xludf.ifna(VLOOKUP(E2290,Parámetros!$D$2:$E$34,2,0),"")</f>
        <v>#NAME?</v>
      </c>
      <c r="M2290" s="32" t="e">
        <f ca="1">_xludf.ifna(VLOOKUP(G2290,Proyectos!$A$2:$T$674,20,0),"")</f>
        <v>#NAME?</v>
      </c>
      <c r="N2290" s="32" t="e">
        <f ca="1">_xludf.ifna(VLOOKUP(G2290,Proyectos!$A$2:$S$674,19,0))</f>
        <v>#NAME?</v>
      </c>
      <c r="O2290" s="32"/>
      <c r="P2290" s="32"/>
      <c r="Q2290" s="33"/>
      <c r="R2290" s="33"/>
      <c r="S2290" s="33"/>
      <c r="T2290" s="63">
        <f t="shared" si="19"/>
        <v>0</v>
      </c>
      <c r="U2290" s="33"/>
      <c r="V2290" s="33"/>
      <c r="W2290" s="33"/>
    </row>
    <row r="2291" spans="1:23" ht="16.5" customHeight="1" x14ac:dyDescent="0.2">
      <c r="A2291" s="26"/>
      <c r="B2291" s="26"/>
      <c r="C2291" s="26"/>
      <c r="D2291" s="26"/>
      <c r="E2291" s="26"/>
      <c r="F2291" s="28"/>
      <c r="G2291" s="26"/>
      <c r="H2291" s="32"/>
      <c r="I2291" s="32"/>
      <c r="J2291" s="32"/>
      <c r="K2291" s="32"/>
      <c r="L2291" s="32" t="e">
        <f ca="1">_xludf.ifna(VLOOKUP(E2291,Parámetros!$D$2:$E$34,2,0),"")</f>
        <v>#NAME?</v>
      </c>
      <c r="M2291" s="32" t="e">
        <f ca="1">_xludf.ifna(VLOOKUP(G2291,Proyectos!$A$2:$T$674,20,0),"")</f>
        <v>#NAME?</v>
      </c>
      <c r="N2291" s="32" t="e">
        <f ca="1">_xludf.ifna(VLOOKUP(G2291,Proyectos!$A$2:$S$674,19,0))</f>
        <v>#NAME?</v>
      </c>
      <c r="O2291" s="32"/>
      <c r="P2291" s="32"/>
      <c r="Q2291" s="33"/>
      <c r="R2291" s="33"/>
      <c r="S2291" s="33"/>
      <c r="T2291" s="63">
        <f t="shared" si="19"/>
        <v>0</v>
      </c>
      <c r="U2291" s="33"/>
      <c r="V2291" s="33"/>
      <c r="W2291" s="33"/>
    </row>
    <row r="2292" spans="1:23" ht="16.5" customHeight="1" x14ac:dyDescent="0.2">
      <c r="A2292" s="26"/>
      <c r="B2292" s="26"/>
      <c r="C2292" s="26"/>
      <c r="D2292" s="26"/>
      <c r="E2292" s="26"/>
      <c r="F2292" s="28"/>
      <c r="G2292" s="26"/>
      <c r="H2292" s="32"/>
      <c r="I2292" s="32"/>
      <c r="J2292" s="32"/>
      <c r="K2292" s="32"/>
      <c r="L2292" s="32" t="e">
        <f ca="1">_xludf.ifna(VLOOKUP(E2292,Parámetros!$D$2:$E$34,2,0),"")</f>
        <v>#NAME?</v>
      </c>
      <c r="M2292" s="32" t="e">
        <f ca="1">_xludf.ifna(VLOOKUP(G2292,Proyectos!$A$2:$T$674,20,0),"")</f>
        <v>#NAME?</v>
      </c>
      <c r="N2292" s="32" t="e">
        <f ca="1">_xludf.ifna(VLOOKUP(G2292,Proyectos!$A$2:$S$674,19,0))</f>
        <v>#NAME?</v>
      </c>
      <c r="O2292" s="32"/>
      <c r="P2292" s="32"/>
      <c r="Q2292" s="33"/>
      <c r="R2292" s="33"/>
      <c r="S2292" s="33"/>
      <c r="T2292" s="63">
        <f t="shared" si="19"/>
        <v>0</v>
      </c>
      <c r="U2292" s="33"/>
      <c r="V2292" s="33"/>
      <c r="W2292" s="33"/>
    </row>
    <row r="2293" spans="1:23" ht="16.5" customHeight="1" x14ac:dyDescent="0.2">
      <c r="A2293" s="26"/>
      <c r="B2293" s="26"/>
      <c r="C2293" s="26"/>
      <c r="D2293" s="26"/>
      <c r="E2293" s="26"/>
      <c r="F2293" s="28"/>
      <c r="G2293" s="26"/>
      <c r="H2293" s="32"/>
      <c r="I2293" s="32"/>
      <c r="J2293" s="32"/>
      <c r="K2293" s="32"/>
      <c r="L2293" s="32" t="e">
        <f ca="1">_xludf.ifna(VLOOKUP(E2293,Parámetros!$D$2:$E$34,2,0),"")</f>
        <v>#NAME?</v>
      </c>
      <c r="M2293" s="32" t="e">
        <f ca="1">_xludf.ifna(VLOOKUP(G2293,Proyectos!$A$2:$T$674,20,0),"")</f>
        <v>#NAME?</v>
      </c>
      <c r="N2293" s="32" t="e">
        <f ca="1">_xludf.ifna(VLOOKUP(G2293,Proyectos!$A$2:$S$674,19,0))</f>
        <v>#NAME?</v>
      </c>
      <c r="O2293" s="32"/>
      <c r="P2293" s="32"/>
      <c r="Q2293" s="33"/>
      <c r="R2293" s="33"/>
      <c r="S2293" s="33"/>
      <c r="T2293" s="63">
        <f t="shared" si="19"/>
        <v>0</v>
      </c>
      <c r="U2293" s="33"/>
      <c r="V2293" s="33"/>
      <c r="W2293" s="33"/>
    </row>
    <row r="2294" spans="1:23" ht="16.5" customHeight="1" x14ac:dyDescent="0.2">
      <c r="A2294" s="26"/>
      <c r="B2294" s="26"/>
      <c r="C2294" s="26"/>
      <c r="D2294" s="26"/>
      <c r="E2294" s="26"/>
      <c r="F2294" s="28"/>
      <c r="G2294" s="26"/>
      <c r="H2294" s="32"/>
      <c r="I2294" s="32"/>
      <c r="J2294" s="32"/>
      <c r="K2294" s="32"/>
      <c r="L2294" s="32" t="e">
        <f ca="1">_xludf.ifna(VLOOKUP(E2294,Parámetros!$D$2:$E$34,2,0),"")</f>
        <v>#NAME?</v>
      </c>
      <c r="M2294" s="32" t="e">
        <f ca="1">_xludf.ifna(VLOOKUP(G2294,Proyectos!$A$2:$T$674,20,0),"")</f>
        <v>#NAME?</v>
      </c>
      <c r="N2294" s="32" t="e">
        <f ca="1">_xludf.ifna(VLOOKUP(G2294,Proyectos!$A$2:$S$674,19,0))</f>
        <v>#NAME?</v>
      </c>
      <c r="O2294" s="32"/>
      <c r="P2294" s="32"/>
      <c r="Q2294" s="33"/>
      <c r="R2294" s="33"/>
      <c r="S2294" s="33"/>
      <c r="T2294" s="63">
        <f t="shared" si="19"/>
        <v>0</v>
      </c>
      <c r="U2294" s="33"/>
      <c r="V2294" s="33"/>
      <c r="W2294" s="33"/>
    </row>
    <row r="2295" spans="1:23" ht="16.5" customHeight="1" x14ac:dyDescent="0.2">
      <c r="A2295" s="26"/>
      <c r="B2295" s="26"/>
      <c r="C2295" s="26"/>
      <c r="D2295" s="26"/>
      <c r="E2295" s="26"/>
      <c r="F2295" s="28"/>
      <c r="G2295" s="26"/>
      <c r="H2295" s="32"/>
      <c r="I2295" s="32"/>
      <c r="J2295" s="32"/>
      <c r="K2295" s="32"/>
      <c r="L2295" s="32" t="e">
        <f ca="1">_xludf.ifna(VLOOKUP(E2295,Parámetros!$D$2:$E$34,2,0),"")</f>
        <v>#NAME?</v>
      </c>
      <c r="M2295" s="32" t="e">
        <f ca="1">_xludf.ifna(VLOOKUP(G2295,Proyectos!$A$2:$T$674,20,0),"")</f>
        <v>#NAME?</v>
      </c>
      <c r="N2295" s="32" t="e">
        <f ca="1">_xludf.ifna(VLOOKUP(G2295,Proyectos!$A$2:$S$674,19,0))</f>
        <v>#NAME?</v>
      </c>
      <c r="O2295" s="32"/>
      <c r="P2295" s="32"/>
      <c r="Q2295" s="33"/>
      <c r="R2295" s="33"/>
      <c r="S2295" s="33"/>
      <c r="T2295" s="63">
        <f t="shared" si="19"/>
        <v>0</v>
      </c>
      <c r="U2295" s="33"/>
      <c r="V2295" s="33"/>
      <c r="W2295" s="33"/>
    </row>
    <row r="2296" spans="1:23" ht="16.5" customHeight="1" x14ac:dyDescent="0.2">
      <c r="A2296" s="26"/>
      <c r="B2296" s="26"/>
      <c r="C2296" s="26"/>
      <c r="D2296" s="26"/>
      <c r="E2296" s="26"/>
      <c r="F2296" s="28"/>
      <c r="G2296" s="26"/>
      <c r="H2296" s="32"/>
      <c r="I2296" s="32"/>
      <c r="J2296" s="32"/>
      <c r="K2296" s="32"/>
      <c r="L2296" s="32" t="e">
        <f ca="1">_xludf.ifna(VLOOKUP(E2296,Parámetros!$D$2:$E$34,2,0),"")</f>
        <v>#NAME?</v>
      </c>
      <c r="M2296" s="32" t="e">
        <f ca="1">_xludf.ifna(VLOOKUP(G2296,Proyectos!$A$2:$T$674,20,0),"")</f>
        <v>#NAME?</v>
      </c>
      <c r="N2296" s="32" t="e">
        <f ca="1">_xludf.ifna(VLOOKUP(G2296,Proyectos!$A$2:$S$674,19,0))</f>
        <v>#NAME?</v>
      </c>
      <c r="O2296" s="32"/>
      <c r="P2296" s="32"/>
      <c r="Q2296" s="33"/>
      <c r="R2296" s="33"/>
      <c r="S2296" s="33"/>
      <c r="T2296" s="63">
        <f t="shared" si="19"/>
        <v>0</v>
      </c>
      <c r="U2296" s="33"/>
      <c r="V2296" s="33"/>
      <c r="W2296" s="33"/>
    </row>
    <row r="2297" spans="1:23" ht="16.5" customHeight="1" x14ac:dyDescent="0.2">
      <c r="A2297" s="26"/>
      <c r="B2297" s="26"/>
      <c r="C2297" s="26"/>
      <c r="D2297" s="26"/>
      <c r="E2297" s="26"/>
      <c r="F2297" s="28"/>
      <c r="G2297" s="26"/>
      <c r="H2297" s="32"/>
      <c r="I2297" s="32"/>
      <c r="J2297" s="32"/>
      <c r="K2297" s="32"/>
      <c r="L2297" s="32" t="e">
        <f ca="1">_xludf.ifna(VLOOKUP(E2297,Parámetros!$D$2:$E$34,2,0),"")</f>
        <v>#NAME?</v>
      </c>
      <c r="M2297" s="32" t="e">
        <f ca="1">_xludf.ifna(VLOOKUP(G2297,Proyectos!$A$2:$T$674,20,0),"")</f>
        <v>#NAME?</v>
      </c>
      <c r="N2297" s="32" t="e">
        <f ca="1">_xludf.ifna(VLOOKUP(G2297,Proyectos!$A$2:$S$674,19,0))</f>
        <v>#NAME?</v>
      </c>
      <c r="O2297" s="32"/>
      <c r="P2297" s="32"/>
      <c r="Q2297" s="33"/>
      <c r="R2297" s="33"/>
      <c r="S2297" s="33"/>
      <c r="T2297" s="63">
        <f t="shared" si="19"/>
        <v>0</v>
      </c>
      <c r="U2297" s="33"/>
      <c r="V2297" s="33"/>
      <c r="W2297" s="33"/>
    </row>
    <row r="2298" spans="1:23" ht="16.5" customHeight="1" x14ac:dyDescent="0.2">
      <c r="A2298" s="26"/>
      <c r="B2298" s="26"/>
      <c r="C2298" s="26"/>
      <c r="D2298" s="26"/>
      <c r="E2298" s="26"/>
      <c r="F2298" s="28"/>
      <c r="G2298" s="26"/>
      <c r="H2298" s="32"/>
      <c r="I2298" s="32"/>
      <c r="J2298" s="32"/>
      <c r="K2298" s="32"/>
      <c r="L2298" s="32" t="e">
        <f ca="1">_xludf.ifna(VLOOKUP(E2298,Parámetros!$D$2:$E$34,2,0),"")</f>
        <v>#NAME?</v>
      </c>
      <c r="M2298" s="32" t="e">
        <f ca="1">_xludf.ifna(VLOOKUP(G2298,Proyectos!$A$2:$T$674,20,0),"")</f>
        <v>#NAME?</v>
      </c>
      <c r="N2298" s="32" t="e">
        <f ca="1">_xludf.ifna(VLOOKUP(G2298,Proyectos!$A$2:$S$674,19,0))</f>
        <v>#NAME?</v>
      </c>
      <c r="O2298" s="32"/>
      <c r="P2298" s="32"/>
      <c r="Q2298" s="33"/>
      <c r="R2298" s="33"/>
      <c r="S2298" s="33"/>
      <c r="T2298" s="63">
        <f t="shared" si="19"/>
        <v>0</v>
      </c>
      <c r="U2298" s="33"/>
      <c r="V2298" s="33"/>
      <c r="W2298" s="33"/>
    </row>
    <row r="2299" spans="1:23" ht="16.5" customHeight="1" x14ac:dyDescent="0.2">
      <c r="A2299" s="26"/>
      <c r="B2299" s="26"/>
      <c r="C2299" s="26"/>
      <c r="D2299" s="26"/>
      <c r="E2299" s="26"/>
      <c r="F2299" s="28"/>
      <c r="G2299" s="26"/>
      <c r="H2299" s="32"/>
      <c r="I2299" s="32"/>
      <c r="J2299" s="32"/>
      <c r="K2299" s="32"/>
      <c r="L2299" s="32" t="e">
        <f ca="1">_xludf.ifna(VLOOKUP(E2299,Parámetros!$D$2:$E$34,2,0),"")</f>
        <v>#NAME?</v>
      </c>
      <c r="M2299" s="32" t="e">
        <f ca="1">_xludf.ifna(VLOOKUP(G2299,Proyectos!$A$2:$T$674,20,0),"")</f>
        <v>#NAME?</v>
      </c>
      <c r="N2299" s="32" t="e">
        <f ca="1">_xludf.ifna(VLOOKUP(G2299,Proyectos!$A$2:$S$674,19,0))</f>
        <v>#NAME?</v>
      </c>
      <c r="O2299" s="32"/>
      <c r="P2299" s="32"/>
      <c r="Q2299" s="33"/>
      <c r="R2299" s="33"/>
      <c r="S2299" s="33"/>
      <c r="T2299" s="63">
        <f t="shared" si="19"/>
        <v>0</v>
      </c>
      <c r="U2299" s="33"/>
      <c r="V2299" s="33"/>
      <c r="W2299" s="33"/>
    </row>
    <row r="2300" spans="1:23" ht="16.5" customHeight="1" x14ac:dyDescent="0.2">
      <c r="A2300" s="26"/>
      <c r="B2300" s="26"/>
      <c r="C2300" s="26"/>
      <c r="D2300" s="26"/>
      <c r="E2300" s="26"/>
      <c r="F2300" s="28"/>
      <c r="G2300" s="26"/>
      <c r="H2300" s="32"/>
      <c r="I2300" s="32"/>
      <c r="J2300" s="32"/>
      <c r="K2300" s="32"/>
      <c r="L2300" s="32" t="e">
        <f ca="1">_xludf.ifna(VLOOKUP(E2300,Parámetros!$D$2:$E$34,2,0),"")</f>
        <v>#NAME?</v>
      </c>
      <c r="M2300" s="32" t="e">
        <f ca="1">_xludf.ifna(VLOOKUP(G2300,Proyectos!$A$2:$T$674,20,0),"")</f>
        <v>#NAME?</v>
      </c>
      <c r="N2300" s="32" t="e">
        <f ca="1">_xludf.ifna(VLOOKUP(G2300,Proyectos!$A$2:$S$674,19,0))</f>
        <v>#NAME?</v>
      </c>
      <c r="O2300" s="32"/>
      <c r="P2300" s="32"/>
      <c r="Q2300" s="33"/>
      <c r="R2300" s="33"/>
      <c r="S2300" s="33"/>
      <c r="T2300" s="63">
        <f t="shared" si="19"/>
        <v>0</v>
      </c>
      <c r="U2300" s="33"/>
      <c r="V2300" s="33"/>
      <c r="W2300" s="33"/>
    </row>
    <row r="2301" spans="1:23" ht="16.5" customHeight="1" x14ac:dyDescent="0.2">
      <c r="A2301" s="26"/>
      <c r="B2301" s="26"/>
      <c r="C2301" s="26"/>
      <c r="D2301" s="26"/>
      <c r="E2301" s="26"/>
      <c r="F2301" s="28"/>
      <c r="G2301" s="26"/>
      <c r="H2301" s="32"/>
      <c r="I2301" s="32"/>
      <c r="J2301" s="32"/>
      <c r="K2301" s="32"/>
      <c r="L2301" s="32" t="e">
        <f ca="1">_xludf.ifna(VLOOKUP(E2301,Parámetros!$D$2:$E$34,2,0),"")</f>
        <v>#NAME?</v>
      </c>
      <c r="M2301" s="32" t="e">
        <f ca="1">_xludf.ifna(VLOOKUP(G2301,Proyectos!$A$2:$T$674,20,0),"")</f>
        <v>#NAME?</v>
      </c>
      <c r="N2301" s="32" t="e">
        <f ca="1">_xludf.ifna(VLOOKUP(G2301,Proyectos!$A$2:$S$674,19,0))</f>
        <v>#NAME?</v>
      </c>
      <c r="O2301" s="32"/>
      <c r="P2301" s="32"/>
      <c r="Q2301" s="33"/>
      <c r="R2301" s="33"/>
      <c r="S2301" s="33"/>
      <c r="T2301" s="63">
        <f t="shared" si="19"/>
        <v>0</v>
      </c>
      <c r="U2301" s="33"/>
      <c r="V2301" s="33"/>
      <c r="W2301" s="33"/>
    </row>
    <row r="2302" spans="1:23" ht="16.5" customHeight="1" x14ac:dyDescent="0.2">
      <c r="A2302" s="26"/>
      <c r="B2302" s="26"/>
      <c r="C2302" s="26"/>
      <c r="D2302" s="26"/>
      <c r="E2302" s="26"/>
      <c r="F2302" s="28"/>
      <c r="G2302" s="26"/>
      <c r="H2302" s="32"/>
      <c r="I2302" s="32"/>
      <c r="J2302" s="32"/>
      <c r="K2302" s="32"/>
      <c r="L2302" s="32" t="e">
        <f ca="1">_xludf.ifna(VLOOKUP(E2302,Parámetros!$D$2:$E$34,2,0),"")</f>
        <v>#NAME?</v>
      </c>
      <c r="M2302" s="32" t="e">
        <f ca="1">_xludf.ifna(VLOOKUP(G2302,Proyectos!$A$2:$T$674,20,0),"")</f>
        <v>#NAME?</v>
      </c>
      <c r="N2302" s="32" t="e">
        <f ca="1">_xludf.ifna(VLOOKUP(G2302,Proyectos!$A$2:$S$674,19,0))</f>
        <v>#NAME?</v>
      </c>
      <c r="O2302" s="32"/>
      <c r="P2302" s="32"/>
      <c r="Q2302" s="33"/>
      <c r="R2302" s="33"/>
      <c r="S2302" s="33"/>
      <c r="T2302" s="63">
        <f t="shared" si="19"/>
        <v>0</v>
      </c>
      <c r="U2302" s="33"/>
      <c r="V2302" s="33"/>
      <c r="W2302" s="33"/>
    </row>
    <row r="2303" spans="1:23" ht="16.5" customHeight="1" x14ac:dyDescent="0.2">
      <c r="A2303" s="26"/>
      <c r="B2303" s="26"/>
      <c r="C2303" s="26"/>
      <c r="D2303" s="26"/>
      <c r="E2303" s="26"/>
      <c r="F2303" s="28"/>
      <c r="G2303" s="26"/>
      <c r="H2303" s="32"/>
      <c r="I2303" s="32"/>
      <c r="J2303" s="32"/>
      <c r="K2303" s="32"/>
      <c r="L2303" s="32" t="e">
        <f ca="1">_xludf.ifna(VLOOKUP(E2303,Parámetros!$D$2:$E$34,2,0),"")</f>
        <v>#NAME?</v>
      </c>
      <c r="M2303" s="32" t="e">
        <f ca="1">_xludf.ifna(VLOOKUP(G2303,Proyectos!$A$2:$T$674,20,0),"")</f>
        <v>#NAME?</v>
      </c>
      <c r="N2303" s="32" t="e">
        <f ca="1">_xludf.ifna(VLOOKUP(G2303,Proyectos!$A$2:$S$674,19,0))</f>
        <v>#NAME?</v>
      </c>
      <c r="O2303" s="32"/>
      <c r="P2303" s="32"/>
      <c r="Q2303" s="33"/>
      <c r="R2303" s="33"/>
      <c r="S2303" s="33"/>
      <c r="T2303" s="63">
        <f t="shared" si="19"/>
        <v>0</v>
      </c>
      <c r="U2303" s="33"/>
      <c r="V2303" s="33"/>
      <c r="W2303" s="33"/>
    </row>
    <row r="2304" spans="1:23" ht="16.5" customHeight="1" x14ac:dyDescent="0.2">
      <c r="A2304" s="26"/>
      <c r="B2304" s="26"/>
      <c r="C2304" s="26"/>
      <c r="D2304" s="26"/>
      <c r="E2304" s="26"/>
      <c r="F2304" s="28"/>
      <c r="G2304" s="26"/>
      <c r="H2304" s="32"/>
      <c r="I2304" s="32"/>
      <c r="J2304" s="32"/>
      <c r="K2304" s="32"/>
      <c r="L2304" s="32" t="e">
        <f ca="1">_xludf.ifna(VLOOKUP(E2304,Parámetros!$D$2:$E$34,2,0),"")</f>
        <v>#NAME?</v>
      </c>
      <c r="M2304" s="32" t="e">
        <f ca="1">_xludf.ifna(VLOOKUP(G2304,Proyectos!$A$2:$T$674,20,0),"")</f>
        <v>#NAME?</v>
      </c>
      <c r="N2304" s="32" t="e">
        <f ca="1">_xludf.ifna(VLOOKUP(G2304,Proyectos!$A$2:$S$674,19,0))</f>
        <v>#NAME?</v>
      </c>
      <c r="O2304" s="32"/>
      <c r="P2304" s="32"/>
      <c r="Q2304" s="33"/>
      <c r="R2304" s="33"/>
      <c r="S2304" s="33"/>
      <c r="T2304" s="63">
        <f t="shared" si="19"/>
        <v>0</v>
      </c>
      <c r="U2304" s="33"/>
      <c r="V2304" s="33"/>
      <c r="W2304" s="33"/>
    </row>
    <row r="2305" spans="1:23" ht="16.5" customHeight="1" x14ac:dyDescent="0.2">
      <c r="A2305" s="26"/>
      <c r="B2305" s="26"/>
      <c r="C2305" s="26"/>
      <c r="D2305" s="26"/>
      <c r="E2305" s="26"/>
      <c r="F2305" s="28"/>
      <c r="G2305" s="26"/>
      <c r="H2305" s="32"/>
      <c r="I2305" s="32"/>
      <c r="J2305" s="32"/>
      <c r="K2305" s="32"/>
      <c r="L2305" s="32" t="e">
        <f ca="1">_xludf.ifna(VLOOKUP(E2305,Parámetros!$D$2:$E$34,2,0),"")</f>
        <v>#NAME?</v>
      </c>
      <c r="M2305" s="32" t="e">
        <f ca="1">_xludf.ifna(VLOOKUP(G2305,Proyectos!$A$2:$T$674,20,0),"")</f>
        <v>#NAME?</v>
      </c>
      <c r="N2305" s="32" t="e">
        <f ca="1">_xludf.ifna(VLOOKUP(G2305,Proyectos!$A$2:$S$674,19,0))</f>
        <v>#NAME?</v>
      </c>
      <c r="O2305" s="32"/>
      <c r="P2305" s="32"/>
      <c r="Q2305" s="33"/>
      <c r="R2305" s="33"/>
      <c r="S2305" s="33"/>
      <c r="T2305" s="63">
        <f t="shared" si="19"/>
        <v>0</v>
      </c>
      <c r="U2305" s="33"/>
      <c r="V2305" s="33"/>
      <c r="W2305" s="33"/>
    </row>
    <row r="2306" spans="1:23" ht="16.5" customHeight="1" x14ac:dyDescent="0.2">
      <c r="A2306" s="26"/>
      <c r="B2306" s="26"/>
      <c r="C2306" s="26"/>
      <c r="D2306" s="26"/>
      <c r="E2306" s="26"/>
      <c r="F2306" s="28"/>
      <c r="G2306" s="26"/>
      <c r="H2306" s="32"/>
      <c r="I2306" s="32"/>
      <c r="J2306" s="32"/>
      <c r="K2306" s="32"/>
      <c r="L2306" s="32" t="e">
        <f ca="1">_xludf.ifna(VLOOKUP(E2306,Parámetros!$D$2:$E$34,2,0),"")</f>
        <v>#NAME?</v>
      </c>
      <c r="M2306" s="32" t="e">
        <f ca="1">_xludf.ifna(VLOOKUP(G2306,Proyectos!$A$2:$T$674,20,0),"")</f>
        <v>#NAME?</v>
      </c>
      <c r="N2306" s="32" t="e">
        <f ca="1">_xludf.ifna(VLOOKUP(G2306,Proyectos!$A$2:$S$674,19,0))</f>
        <v>#NAME?</v>
      </c>
      <c r="O2306" s="32"/>
      <c r="P2306" s="32"/>
      <c r="Q2306" s="33"/>
      <c r="R2306" s="33"/>
      <c r="S2306" s="33"/>
      <c r="T2306" s="63">
        <f t="shared" si="19"/>
        <v>0</v>
      </c>
      <c r="U2306" s="33"/>
      <c r="V2306" s="33"/>
      <c r="W2306" s="33"/>
    </row>
    <row r="2307" spans="1:23" ht="16.5" customHeight="1" x14ac:dyDescent="0.2">
      <c r="A2307" s="26"/>
      <c r="B2307" s="26"/>
      <c r="C2307" s="26"/>
      <c r="D2307" s="26"/>
      <c r="E2307" s="26"/>
      <c r="F2307" s="28"/>
      <c r="G2307" s="26"/>
      <c r="H2307" s="32"/>
      <c r="I2307" s="32"/>
      <c r="J2307" s="32"/>
      <c r="K2307" s="32"/>
      <c r="L2307" s="32" t="e">
        <f ca="1">_xludf.ifna(VLOOKUP(E2307,Parámetros!$D$2:$E$34,2,0),"")</f>
        <v>#NAME?</v>
      </c>
      <c r="M2307" s="32" t="e">
        <f ca="1">_xludf.ifna(VLOOKUP(G2307,Proyectos!$A$2:$T$674,20,0),"")</f>
        <v>#NAME?</v>
      </c>
      <c r="N2307" s="32" t="e">
        <f ca="1">_xludf.ifna(VLOOKUP(G2307,Proyectos!$A$2:$S$674,19,0))</f>
        <v>#NAME?</v>
      </c>
      <c r="O2307" s="32"/>
      <c r="P2307" s="32"/>
      <c r="Q2307" s="33"/>
      <c r="R2307" s="33"/>
      <c r="S2307" s="33"/>
      <c r="T2307" s="63">
        <f t="shared" si="19"/>
        <v>0</v>
      </c>
      <c r="U2307" s="33"/>
      <c r="V2307" s="33"/>
      <c r="W2307" s="33"/>
    </row>
    <row r="2308" spans="1:23" ht="16.5" customHeight="1" x14ac:dyDescent="0.2">
      <c r="A2308" s="26"/>
      <c r="B2308" s="26"/>
      <c r="C2308" s="26"/>
      <c r="D2308" s="26"/>
      <c r="E2308" s="26"/>
      <c r="F2308" s="28"/>
      <c r="G2308" s="26"/>
      <c r="H2308" s="32"/>
      <c r="I2308" s="32"/>
      <c r="J2308" s="32"/>
      <c r="K2308" s="32"/>
      <c r="L2308" s="32" t="e">
        <f ca="1">_xludf.ifna(VLOOKUP(E2308,Parámetros!$D$2:$E$34,2,0),"")</f>
        <v>#NAME?</v>
      </c>
      <c r="M2308" s="32" t="e">
        <f ca="1">_xludf.ifna(VLOOKUP(G2308,Proyectos!$A$2:$T$674,20,0),"")</f>
        <v>#NAME?</v>
      </c>
      <c r="N2308" s="32" t="e">
        <f ca="1">_xludf.ifna(VLOOKUP(G2308,Proyectos!$A$2:$S$674,19,0))</f>
        <v>#NAME?</v>
      </c>
      <c r="O2308" s="32"/>
      <c r="P2308" s="32"/>
      <c r="Q2308" s="33"/>
      <c r="R2308" s="33"/>
      <c r="S2308" s="33"/>
      <c r="T2308" s="63">
        <f t="shared" si="19"/>
        <v>0</v>
      </c>
      <c r="U2308" s="33"/>
      <c r="V2308" s="33"/>
      <c r="W2308" s="33"/>
    </row>
    <row r="2309" spans="1:23" ht="16.5" customHeight="1" x14ac:dyDescent="0.2">
      <c r="A2309" s="26"/>
      <c r="B2309" s="26"/>
      <c r="C2309" s="26"/>
      <c r="D2309" s="26"/>
      <c r="E2309" s="26"/>
      <c r="F2309" s="28"/>
      <c r="G2309" s="26"/>
      <c r="H2309" s="32"/>
      <c r="I2309" s="32"/>
      <c r="J2309" s="32"/>
      <c r="K2309" s="32"/>
      <c r="L2309" s="32" t="e">
        <f ca="1">_xludf.ifna(VLOOKUP(E2309,Parámetros!$D$2:$E$34,2,0),"")</f>
        <v>#NAME?</v>
      </c>
      <c r="M2309" s="32" t="e">
        <f ca="1">_xludf.ifna(VLOOKUP(G2309,Proyectos!$A$2:$T$674,20,0),"")</f>
        <v>#NAME?</v>
      </c>
      <c r="N2309" s="32" t="e">
        <f ca="1">_xludf.ifna(VLOOKUP(G2309,Proyectos!$A$2:$S$674,19,0))</f>
        <v>#NAME?</v>
      </c>
      <c r="O2309" s="32"/>
      <c r="P2309" s="32"/>
      <c r="Q2309" s="33"/>
      <c r="R2309" s="33"/>
      <c r="S2309" s="33"/>
      <c r="T2309" s="63">
        <f t="shared" si="19"/>
        <v>0</v>
      </c>
      <c r="U2309" s="33"/>
      <c r="V2309" s="33"/>
      <c r="W2309" s="33"/>
    </row>
    <row r="2310" spans="1:23" ht="16.5" customHeight="1" x14ac:dyDescent="0.2">
      <c r="A2310" s="26"/>
      <c r="B2310" s="26"/>
      <c r="C2310" s="26"/>
      <c r="D2310" s="26"/>
      <c r="E2310" s="26"/>
      <c r="F2310" s="28"/>
      <c r="G2310" s="26"/>
      <c r="H2310" s="32"/>
      <c r="I2310" s="32"/>
      <c r="J2310" s="32"/>
      <c r="K2310" s="32"/>
      <c r="L2310" s="32" t="e">
        <f ca="1">_xludf.ifna(VLOOKUP(E2310,Parámetros!$D$2:$E$34,2,0),"")</f>
        <v>#NAME?</v>
      </c>
      <c r="M2310" s="32" t="e">
        <f ca="1">_xludf.ifna(VLOOKUP(G2310,Proyectos!$A$2:$T$674,20,0),"")</f>
        <v>#NAME?</v>
      </c>
      <c r="N2310" s="32" t="e">
        <f ca="1">_xludf.ifna(VLOOKUP(G2310,Proyectos!$A$2:$S$674,19,0))</f>
        <v>#NAME?</v>
      </c>
      <c r="O2310" s="32"/>
      <c r="P2310" s="32"/>
      <c r="Q2310" s="33"/>
      <c r="R2310" s="33"/>
      <c r="S2310" s="33"/>
      <c r="T2310" s="63">
        <f t="shared" si="19"/>
        <v>0</v>
      </c>
      <c r="U2310" s="33"/>
      <c r="V2310" s="33"/>
      <c r="W2310" s="33"/>
    </row>
    <row r="2311" spans="1:23" ht="16.5" customHeight="1" x14ac:dyDescent="0.2">
      <c r="A2311" s="26"/>
      <c r="B2311" s="26"/>
      <c r="C2311" s="26"/>
      <c r="D2311" s="26"/>
      <c r="E2311" s="26"/>
      <c r="F2311" s="28"/>
      <c r="G2311" s="26"/>
      <c r="H2311" s="32"/>
      <c r="I2311" s="32"/>
      <c r="J2311" s="32"/>
      <c r="K2311" s="32"/>
      <c r="L2311" s="32" t="e">
        <f ca="1">_xludf.ifna(VLOOKUP(E2311,Parámetros!$D$2:$E$34,2,0),"")</f>
        <v>#NAME?</v>
      </c>
      <c r="M2311" s="32" t="e">
        <f ca="1">_xludf.ifna(VLOOKUP(G2311,Proyectos!$A$2:$T$674,20,0),"")</f>
        <v>#NAME?</v>
      </c>
      <c r="N2311" s="32" t="e">
        <f ca="1">_xludf.ifna(VLOOKUP(G2311,Proyectos!$A$2:$S$674,19,0))</f>
        <v>#NAME?</v>
      </c>
      <c r="O2311" s="32"/>
      <c r="P2311" s="32"/>
      <c r="Q2311" s="33"/>
      <c r="R2311" s="33"/>
      <c r="S2311" s="33"/>
      <c r="T2311" s="63">
        <f t="shared" si="19"/>
        <v>0</v>
      </c>
      <c r="U2311" s="33"/>
      <c r="V2311" s="33"/>
      <c r="W2311" s="33"/>
    </row>
    <row r="2312" spans="1:23" ht="16.5" customHeight="1" x14ac:dyDescent="0.2">
      <c r="A2312" s="26"/>
      <c r="B2312" s="26"/>
      <c r="C2312" s="26"/>
      <c r="D2312" s="26"/>
      <c r="E2312" s="26"/>
      <c r="F2312" s="28"/>
      <c r="G2312" s="26"/>
      <c r="H2312" s="32"/>
      <c r="I2312" s="32"/>
      <c r="J2312" s="32"/>
      <c r="K2312" s="32"/>
      <c r="L2312" s="32" t="e">
        <f ca="1">_xludf.ifna(VLOOKUP(E2312,Parámetros!$D$2:$E$34,2,0),"")</f>
        <v>#NAME?</v>
      </c>
      <c r="M2312" s="32" t="e">
        <f ca="1">_xludf.ifna(VLOOKUP(G2312,Proyectos!$A$2:$T$674,20,0),"")</f>
        <v>#NAME?</v>
      </c>
      <c r="N2312" s="32" t="e">
        <f ca="1">_xludf.ifna(VLOOKUP(G2312,Proyectos!$A$2:$S$674,19,0))</f>
        <v>#NAME?</v>
      </c>
      <c r="O2312" s="32"/>
      <c r="P2312" s="32"/>
      <c r="Q2312" s="33"/>
      <c r="R2312" s="33"/>
      <c r="S2312" s="33"/>
      <c r="T2312" s="63">
        <f t="shared" si="19"/>
        <v>0</v>
      </c>
      <c r="U2312" s="33"/>
      <c r="V2312" s="33"/>
      <c r="W2312" s="33"/>
    </row>
    <row r="2313" spans="1:23" ht="16.5" customHeight="1" x14ac:dyDescent="0.2">
      <c r="A2313" s="26"/>
      <c r="B2313" s="26"/>
      <c r="C2313" s="26"/>
      <c r="D2313" s="26"/>
      <c r="E2313" s="26"/>
      <c r="F2313" s="28"/>
      <c r="G2313" s="26"/>
      <c r="H2313" s="32"/>
      <c r="I2313" s="32"/>
      <c r="J2313" s="32"/>
      <c r="K2313" s="32"/>
      <c r="L2313" s="32" t="e">
        <f ca="1">_xludf.ifna(VLOOKUP(E2313,Parámetros!$D$2:$E$34,2,0),"")</f>
        <v>#NAME?</v>
      </c>
      <c r="M2313" s="32" t="e">
        <f ca="1">_xludf.ifna(VLOOKUP(G2313,Proyectos!$A$2:$T$674,20,0),"")</f>
        <v>#NAME?</v>
      </c>
      <c r="N2313" s="32" t="e">
        <f ca="1">_xludf.ifna(VLOOKUP(G2313,Proyectos!$A$2:$S$674,19,0))</f>
        <v>#NAME?</v>
      </c>
      <c r="O2313" s="32"/>
      <c r="P2313" s="32"/>
      <c r="Q2313" s="33"/>
      <c r="R2313" s="33"/>
      <c r="S2313" s="33"/>
      <c r="T2313" s="63">
        <f t="shared" si="19"/>
        <v>0</v>
      </c>
      <c r="U2313" s="33"/>
      <c r="V2313" s="33"/>
      <c r="W2313" s="33"/>
    </row>
    <row r="2314" spans="1:23" ht="16.5" customHeight="1" x14ac:dyDescent="0.2">
      <c r="A2314" s="26"/>
      <c r="B2314" s="26"/>
      <c r="C2314" s="26"/>
      <c r="D2314" s="26"/>
      <c r="E2314" s="26"/>
      <c r="F2314" s="28"/>
      <c r="G2314" s="26"/>
      <c r="H2314" s="32"/>
      <c r="I2314" s="32"/>
      <c r="J2314" s="32"/>
      <c r="K2314" s="32"/>
      <c r="L2314" s="32" t="e">
        <f ca="1">_xludf.ifna(VLOOKUP(E2314,Parámetros!$D$2:$E$34,2,0),"")</f>
        <v>#NAME?</v>
      </c>
      <c r="M2314" s="32" t="e">
        <f ca="1">_xludf.ifna(VLOOKUP(G2314,Proyectos!$A$2:$T$674,20,0),"")</f>
        <v>#NAME?</v>
      </c>
      <c r="N2314" s="32" t="e">
        <f ca="1">_xludf.ifna(VLOOKUP(G2314,Proyectos!$A$2:$S$674,19,0))</f>
        <v>#NAME?</v>
      </c>
      <c r="O2314" s="32"/>
      <c r="P2314" s="32"/>
      <c r="Q2314" s="33"/>
      <c r="R2314" s="33"/>
      <c r="S2314" s="33"/>
      <c r="T2314" s="63">
        <f t="shared" si="19"/>
        <v>0</v>
      </c>
      <c r="U2314" s="33"/>
      <c r="V2314" s="33"/>
      <c r="W2314" s="33"/>
    </row>
    <row r="2315" spans="1:23" ht="16.5" customHeight="1" x14ac:dyDescent="0.2">
      <c r="A2315" s="26"/>
      <c r="B2315" s="26"/>
      <c r="C2315" s="26"/>
      <c r="D2315" s="26"/>
      <c r="E2315" s="26"/>
      <c r="F2315" s="28"/>
      <c r="G2315" s="26"/>
      <c r="H2315" s="32"/>
      <c r="I2315" s="32"/>
      <c r="J2315" s="32"/>
      <c r="K2315" s="32"/>
      <c r="L2315" s="32" t="e">
        <f ca="1">_xludf.ifna(VLOOKUP(E2315,Parámetros!$D$2:$E$34,2,0),"")</f>
        <v>#NAME?</v>
      </c>
      <c r="M2315" s="32" t="e">
        <f ca="1">_xludf.ifna(VLOOKUP(G2315,Proyectos!$A$2:$T$674,20,0),"")</f>
        <v>#NAME?</v>
      </c>
      <c r="N2315" s="32" t="e">
        <f ca="1">_xludf.ifna(VLOOKUP(G2315,Proyectos!$A$2:$S$674,19,0))</f>
        <v>#NAME?</v>
      </c>
      <c r="O2315" s="32"/>
      <c r="P2315" s="32"/>
      <c r="Q2315" s="33"/>
      <c r="R2315" s="33"/>
      <c r="S2315" s="33"/>
      <c r="T2315" s="63">
        <f t="shared" si="19"/>
        <v>0</v>
      </c>
      <c r="U2315" s="33"/>
      <c r="V2315" s="33"/>
      <c r="W2315" s="33"/>
    </row>
    <row r="2316" spans="1:23" ht="16.5" customHeight="1" x14ac:dyDescent="0.2">
      <c r="A2316" s="26"/>
      <c r="B2316" s="26"/>
      <c r="C2316" s="26"/>
      <c r="D2316" s="26"/>
      <c r="E2316" s="26"/>
      <c r="F2316" s="28"/>
      <c r="G2316" s="26"/>
      <c r="H2316" s="32"/>
      <c r="I2316" s="32"/>
      <c r="J2316" s="32"/>
      <c r="K2316" s="32"/>
      <c r="L2316" s="32" t="e">
        <f ca="1">_xludf.ifna(VLOOKUP(E2316,Parámetros!$D$2:$E$34,2,0),"")</f>
        <v>#NAME?</v>
      </c>
      <c r="M2316" s="32" t="e">
        <f ca="1">_xludf.ifna(VLOOKUP(G2316,Proyectos!$A$2:$T$674,20,0),"")</f>
        <v>#NAME?</v>
      </c>
      <c r="N2316" s="32" t="e">
        <f ca="1">_xludf.ifna(VLOOKUP(G2316,Proyectos!$A$2:$S$674,19,0))</f>
        <v>#NAME?</v>
      </c>
      <c r="O2316" s="32"/>
      <c r="P2316" s="32"/>
      <c r="Q2316" s="33"/>
      <c r="R2316" s="33"/>
      <c r="S2316" s="33"/>
      <c r="T2316" s="63">
        <f t="shared" si="19"/>
        <v>0</v>
      </c>
      <c r="U2316" s="33"/>
      <c r="V2316" s="33"/>
      <c r="W2316" s="33"/>
    </row>
    <row r="2317" spans="1:23" ht="16.5" customHeight="1" x14ac:dyDescent="0.2">
      <c r="A2317" s="26"/>
      <c r="B2317" s="26"/>
      <c r="C2317" s="26"/>
      <c r="D2317" s="26"/>
      <c r="E2317" s="26"/>
      <c r="F2317" s="28"/>
      <c r="G2317" s="26"/>
      <c r="H2317" s="32"/>
      <c r="I2317" s="32"/>
      <c r="J2317" s="32"/>
      <c r="K2317" s="32"/>
      <c r="L2317" s="32" t="e">
        <f ca="1">_xludf.ifna(VLOOKUP(E2317,Parámetros!$D$2:$E$34,2,0),"")</f>
        <v>#NAME?</v>
      </c>
      <c r="M2317" s="32" t="e">
        <f ca="1">_xludf.ifna(VLOOKUP(G2317,Proyectos!$A$2:$T$674,20,0),"")</f>
        <v>#NAME?</v>
      </c>
      <c r="N2317" s="32" t="e">
        <f ca="1">_xludf.ifna(VLOOKUP(G2317,Proyectos!$A$2:$S$674,19,0))</f>
        <v>#NAME?</v>
      </c>
      <c r="O2317" s="32"/>
      <c r="P2317" s="32"/>
      <c r="Q2317" s="33"/>
      <c r="R2317" s="33"/>
      <c r="S2317" s="33"/>
      <c r="T2317" s="63">
        <f t="shared" si="19"/>
        <v>0</v>
      </c>
      <c r="U2317" s="33"/>
      <c r="V2317" s="33"/>
      <c r="W2317" s="33"/>
    </row>
    <row r="2318" spans="1:23" ht="16.5" customHeight="1" x14ac:dyDescent="0.2">
      <c r="A2318" s="26"/>
      <c r="B2318" s="26"/>
      <c r="C2318" s="26"/>
      <c r="D2318" s="26"/>
      <c r="E2318" s="26"/>
      <c r="F2318" s="28"/>
      <c r="G2318" s="26"/>
      <c r="H2318" s="32"/>
      <c r="I2318" s="32"/>
      <c r="J2318" s="32"/>
      <c r="K2318" s="32"/>
      <c r="L2318" s="32" t="e">
        <f ca="1">_xludf.ifna(VLOOKUP(E2318,Parámetros!$D$2:$E$34,2,0),"")</f>
        <v>#NAME?</v>
      </c>
      <c r="M2318" s="32" t="e">
        <f ca="1">_xludf.ifna(VLOOKUP(G2318,Proyectos!$A$2:$T$674,20,0),"")</f>
        <v>#NAME?</v>
      </c>
      <c r="N2318" s="32" t="e">
        <f ca="1">_xludf.ifna(VLOOKUP(G2318,Proyectos!$A$2:$S$674,19,0))</f>
        <v>#NAME?</v>
      </c>
      <c r="O2318" s="32"/>
      <c r="P2318" s="32"/>
      <c r="Q2318" s="33"/>
      <c r="R2318" s="33"/>
      <c r="S2318" s="33"/>
      <c r="T2318" s="63">
        <f t="shared" si="19"/>
        <v>0</v>
      </c>
      <c r="U2318" s="33"/>
      <c r="V2318" s="33"/>
      <c r="W2318" s="33"/>
    </row>
    <row r="2319" spans="1:23" ht="16.5" customHeight="1" x14ac:dyDescent="0.2">
      <c r="A2319" s="26"/>
      <c r="B2319" s="26"/>
      <c r="C2319" s="26"/>
      <c r="D2319" s="26"/>
      <c r="E2319" s="26"/>
      <c r="F2319" s="28"/>
      <c r="G2319" s="26"/>
      <c r="H2319" s="32"/>
      <c r="I2319" s="32"/>
      <c r="J2319" s="32"/>
      <c r="K2319" s="32"/>
      <c r="L2319" s="32" t="e">
        <f ca="1">_xludf.ifna(VLOOKUP(E2319,Parámetros!$D$2:$E$34,2,0),"")</f>
        <v>#NAME?</v>
      </c>
      <c r="M2319" s="32" t="e">
        <f ca="1">_xludf.ifna(VLOOKUP(G2319,Proyectos!$A$2:$T$674,20,0),"")</f>
        <v>#NAME?</v>
      </c>
      <c r="N2319" s="32" t="e">
        <f ca="1">_xludf.ifna(VLOOKUP(G2319,Proyectos!$A$2:$S$674,19,0))</f>
        <v>#NAME?</v>
      </c>
      <c r="O2319" s="32"/>
      <c r="P2319" s="32"/>
      <c r="Q2319" s="33"/>
      <c r="R2319" s="33"/>
      <c r="S2319" s="33"/>
      <c r="T2319" s="63">
        <f t="shared" si="19"/>
        <v>0</v>
      </c>
      <c r="U2319" s="33"/>
      <c r="V2319" s="33"/>
      <c r="W2319" s="33"/>
    </row>
    <row r="2320" spans="1:23" ht="16.5" customHeight="1" x14ac:dyDescent="0.2">
      <c r="A2320" s="26"/>
      <c r="B2320" s="26"/>
      <c r="C2320" s="26"/>
      <c r="D2320" s="26"/>
      <c r="E2320" s="26"/>
      <c r="F2320" s="28"/>
      <c r="G2320" s="26"/>
      <c r="H2320" s="32"/>
      <c r="I2320" s="32"/>
      <c r="J2320" s="32"/>
      <c r="K2320" s="32"/>
      <c r="L2320" s="32" t="e">
        <f ca="1">_xludf.ifna(VLOOKUP(E2320,Parámetros!$D$2:$E$34,2,0),"")</f>
        <v>#NAME?</v>
      </c>
      <c r="M2320" s="32" t="e">
        <f ca="1">_xludf.ifna(VLOOKUP(G2320,Proyectos!$A$2:$T$674,20,0),"")</f>
        <v>#NAME?</v>
      </c>
      <c r="N2320" s="32" t="e">
        <f ca="1">_xludf.ifna(VLOOKUP(G2320,Proyectos!$A$2:$S$674,19,0))</f>
        <v>#NAME?</v>
      </c>
      <c r="O2320" s="32"/>
      <c r="P2320" s="32"/>
      <c r="Q2320" s="33"/>
      <c r="R2320" s="33"/>
      <c r="S2320" s="33"/>
      <c r="T2320" s="63">
        <f t="shared" si="19"/>
        <v>0</v>
      </c>
      <c r="U2320" s="33"/>
      <c r="V2320" s="33"/>
      <c r="W2320" s="33"/>
    </row>
    <row r="2321" spans="1:23" ht="16.5" customHeight="1" x14ac:dyDescent="0.2">
      <c r="A2321" s="26"/>
      <c r="B2321" s="26"/>
      <c r="C2321" s="26"/>
      <c r="D2321" s="26"/>
      <c r="E2321" s="26"/>
      <c r="F2321" s="28"/>
      <c r="G2321" s="26"/>
      <c r="H2321" s="32"/>
      <c r="I2321" s="32"/>
      <c r="J2321" s="32"/>
      <c r="K2321" s="32"/>
      <c r="L2321" s="32" t="e">
        <f ca="1">_xludf.ifna(VLOOKUP(E2321,Parámetros!$D$2:$E$34,2,0),"")</f>
        <v>#NAME?</v>
      </c>
      <c r="M2321" s="32" t="e">
        <f ca="1">_xludf.ifna(VLOOKUP(G2321,Proyectos!$A$2:$T$674,20,0),"")</f>
        <v>#NAME?</v>
      </c>
      <c r="N2321" s="32" t="e">
        <f ca="1">_xludf.ifna(VLOOKUP(G2321,Proyectos!$A$2:$S$674,19,0))</f>
        <v>#NAME?</v>
      </c>
      <c r="O2321" s="32"/>
      <c r="P2321" s="32"/>
      <c r="Q2321" s="33"/>
      <c r="R2321" s="33"/>
      <c r="S2321" s="33"/>
      <c r="T2321" s="63">
        <f t="shared" si="19"/>
        <v>0</v>
      </c>
      <c r="U2321" s="33"/>
      <c r="V2321" s="33"/>
      <c r="W2321" s="33"/>
    </row>
    <row r="2322" spans="1:23" ht="16.5" customHeight="1" x14ac:dyDescent="0.2">
      <c r="A2322" s="26"/>
      <c r="B2322" s="26"/>
      <c r="C2322" s="26"/>
      <c r="D2322" s="26"/>
      <c r="E2322" s="26"/>
      <c r="F2322" s="28"/>
      <c r="G2322" s="26"/>
      <c r="H2322" s="32"/>
      <c r="I2322" s="32"/>
      <c r="J2322" s="32"/>
      <c r="K2322" s="32"/>
      <c r="L2322" s="32" t="e">
        <f ca="1">_xludf.ifna(VLOOKUP(E2322,Parámetros!$D$2:$E$34,2,0),"")</f>
        <v>#NAME?</v>
      </c>
      <c r="M2322" s="32" t="e">
        <f ca="1">_xludf.ifna(VLOOKUP(G2322,Proyectos!$A$2:$T$674,20,0),"")</f>
        <v>#NAME?</v>
      </c>
      <c r="N2322" s="32" t="e">
        <f ca="1">_xludf.ifna(VLOOKUP(G2322,Proyectos!$A$2:$S$674,19,0))</f>
        <v>#NAME?</v>
      </c>
      <c r="O2322" s="32"/>
      <c r="P2322" s="32"/>
      <c r="Q2322" s="33"/>
      <c r="R2322" s="33"/>
      <c r="S2322" s="33"/>
      <c r="T2322" s="63">
        <f t="shared" si="19"/>
        <v>0</v>
      </c>
      <c r="U2322" s="33"/>
      <c r="V2322" s="33"/>
      <c r="W2322" s="33"/>
    </row>
    <row r="2323" spans="1:23" ht="16.5" customHeight="1" x14ac:dyDescent="0.2">
      <c r="A2323" s="26"/>
      <c r="B2323" s="26"/>
      <c r="C2323" s="26"/>
      <c r="D2323" s="26"/>
      <c r="E2323" s="26"/>
      <c r="F2323" s="28"/>
      <c r="G2323" s="26"/>
      <c r="H2323" s="32"/>
      <c r="I2323" s="32"/>
      <c r="J2323" s="32"/>
      <c r="K2323" s="32"/>
      <c r="L2323" s="32" t="e">
        <f ca="1">_xludf.ifna(VLOOKUP(E2323,Parámetros!$D$2:$E$34,2,0),"")</f>
        <v>#NAME?</v>
      </c>
      <c r="M2323" s="32" t="e">
        <f ca="1">_xludf.ifna(VLOOKUP(G2323,Proyectos!$A$2:$T$674,20,0),"")</f>
        <v>#NAME?</v>
      </c>
      <c r="N2323" s="32" t="e">
        <f ca="1">_xludf.ifna(VLOOKUP(G2323,Proyectos!$A$2:$S$674,19,0))</f>
        <v>#NAME?</v>
      </c>
      <c r="O2323" s="32"/>
      <c r="P2323" s="32"/>
      <c r="Q2323" s="33"/>
      <c r="R2323" s="33"/>
      <c r="S2323" s="33"/>
      <c r="T2323" s="63">
        <f t="shared" si="19"/>
        <v>0</v>
      </c>
      <c r="U2323" s="33"/>
      <c r="V2323" s="33"/>
      <c r="W2323" s="33"/>
    </row>
    <row r="2324" spans="1:23" ht="16.5" customHeight="1" x14ac:dyDescent="0.2">
      <c r="A2324" s="26"/>
      <c r="B2324" s="26"/>
      <c r="C2324" s="26"/>
      <c r="D2324" s="26"/>
      <c r="E2324" s="26"/>
      <c r="F2324" s="28"/>
      <c r="G2324" s="26"/>
      <c r="H2324" s="32"/>
      <c r="I2324" s="32"/>
      <c r="J2324" s="32"/>
      <c r="K2324" s="32"/>
      <c r="L2324" s="32" t="e">
        <f ca="1">_xludf.ifna(VLOOKUP(E2324,Parámetros!$D$2:$E$34,2,0),"")</f>
        <v>#NAME?</v>
      </c>
      <c r="M2324" s="32" t="e">
        <f ca="1">_xludf.ifna(VLOOKUP(G2324,Proyectos!$A$2:$T$674,20,0),"")</f>
        <v>#NAME?</v>
      </c>
      <c r="N2324" s="32" t="e">
        <f ca="1">_xludf.ifna(VLOOKUP(G2324,Proyectos!$A$2:$S$674,19,0))</f>
        <v>#NAME?</v>
      </c>
      <c r="O2324" s="32"/>
      <c r="P2324" s="32"/>
      <c r="Q2324" s="33"/>
      <c r="R2324" s="33"/>
      <c r="S2324" s="33"/>
      <c r="T2324" s="63">
        <f t="shared" si="19"/>
        <v>0</v>
      </c>
      <c r="U2324" s="33"/>
      <c r="V2324" s="33"/>
      <c r="W2324" s="33"/>
    </row>
    <row r="2325" spans="1:23" ht="16.5" customHeight="1" x14ac:dyDescent="0.2">
      <c r="A2325" s="26"/>
      <c r="B2325" s="26"/>
      <c r="C2325" s="26"/>
      <c r="D2325" s="26"/>
      <c r="E2325" s="26"/>
      <c r="F2325" s="28"/>
      <c r="G2325" s="26"/>
      <c r="H2325" s="32"/>
      <c r="I2325" s="32"/>
      <c r="J2325" s="32"/>
      <c r="K2325" s="32"/>
      <c r="L2325" s="32" t="e">
        <f ca="1">_xludf.ifna(VLOOKUP(E2325,Parámetros!$D$2:$E$34,2,0),"")</f>
        <v>#NAME?</v>
      </c>
      <c r="M2325" s="32" t="e">
        <f ca="1">_xludf.ifna(VLOOKUP(G2325,Proyectos!$A$2:$T$674,20,0),"")</f>
        <v>#NAME?</v>
      </c>
      <c r="N2325" s="32" t="e">
        <f ca="1">_xludf.ifna(VLOOKUP(G2325,Proyectos!$A$2:$S$674,19,0))</f>
        <v>#NAME?</v>
      </c>
      <c r="O2325" s="32"/>
      <c r="P2325" s="32"/>
      <c r="Q2325" s="33"/>
      <c r="R2325" s="33"/>
      <c r="S2325" s="33"/>
      <c r="T2325" s="63">
        <f t="shared" si="19"/>
        <v>0</v>
      </c>
      <c r="U2325" s="33"/>
      <c r="V2325" s="33"/>
      <c r="W2325" s="33"/>
    </row>
    <row r="2326" spans="1:23" ht="16.5" customHeight="1" x14ac:dyDescent="0.2">
      <c r="A2326" s="26"/>
      <c r="B2326" s="26"/>
      <c r="C2326" s="26"/>
      <c r="D2326" s="26"/>
      <c r="E2326" s="26"/>
      <c r="F2326" s="28"/>
      <c r="G2326" s="26"/>
      <c r="H2326" s="32"/>
      <c r="I2326" s="32"/>
      <c r="J2326" s="32"/>
      <c r="K2326" s="32"/>
      <c r="L2326" s="32" t="e">
        <f ca="1">_xludf.ifna(VLOOKUP(E2326,Parámetros!$D$2:$E$34,2,0),"")</f>
        <v>#NAME?</v>
      </c>
      <c r="M2326" s="32" t="e">
        <f ca="1">_xludf.ifna(VLOOKUP(G2326,Proyectos!$A$2:$T$674,20,0),"")</f>
        <v>#NAME?</v>
      </c>
      <c r="N2326" s="32" t="e">
        <f ca="1">_xludf.ifna(VLOOKUP(G2326,Proyectos!$A$2:$S$674,19,0))</f>
        <v>#NAME?</v>
      </c>
      <c r="O2326" s="32"/>
      <c r="P2326" s="32"/>
      <c r="Q2326" s="33"/>
      <c r="R2326" s="33"/>
      <c r="S2326" s="33"/>
      <c r="T2326" s="63">
        <f t="shared" si="19"/>
        <v>0</v>
      </c>
      <c r="U2326" s="33"/>
      <c r="V2326" s="33"/>
      <c r="W2326" s="33"/>
    </row>
    <row r="2327" spans="1:23" ht="16.5" customHeight="1" x14ac:dyDescent="0.2">
      <c r="A2327" s="26"/>
      <c r="B2327" s="26"/>
      <c r="C2327" s="26"/>
      <c r="D2327" s="26"/>
      <c r="E2327" s="26"/>
      <c r="F2327" s="28"/>
      <c r="G2327" s="26"/>
      <c r="H2327" s="32"/>
      <c r="I2327" s="32"/>
      <c r="J2327" s="32"/>
      <c r="K2327" s="32"/>
      <c r="L2327" s="32" t="e">
        <f ca="1">_xludf.ifna(VLOOKUP(E2327,Parámetros!$D$2:$E$34,2,0),"")</f>
        <v>#NAME?</v>
      </c>
      <c r="M2327" s="32" t="e">
        <f ca="1">_xludf.ifna(VLOOKUP(G2327,Proyectos!$A$2:$T$674,20,0),"")</f>
        <v>#NAME?</v>
      </c>
      <c r="N2327" s="32" t="e">
        <f ca="1">_xludf.ifna(VLOOKUP(G2327,Proyectos!$A$2:$S$674,19,0))</f>
        <v>#NAME?</v>
      </c>
      <c r="O2327" s="32"/>
      <c r="P2327" s="32"/>
      <c r="Q2327" s="33"/>
      <c r="R2327" s="33"/>
      <c r="S2327" s="33"/>
      <c r="T2327" s="63">
        <f t="shared" si="19"/>
        <v>0</v>
      </c>
      <c r="U2327" s="33"/>
      <c r="V2327" s="33"/>
      <c r="W2327" s="33"/>
    </row>
    <row r="2328" spans="1:23" ht="16.5" customHeight="1" x14ac:dyDescent="0.2">
      <c r="A2328" s="26"/>
      <c r="B2328" s="26"/>
      <c r="C2328" s="26"/>
      <c r="D2328" s="26"/>
      <c r="E2328" s="26"/>
      <c r="F2328" s="28"/>
      <c r="G2328" s="26"/>
      <c r="H2328" s="32"/>
      <c r="I2328" s="32"/>
      <c r="J2328" s="32"/>
      <c r="K2328" s="32"/>
      <c r="L2328" s="32" t="e">
        <f ca="1">_xludf.ifna(VLOOKUP(E2328,Parámetros!$D$2:$E$34,2,0),"")</f>
        <v>#NAME?</v>
      </c>
      <c r="M2328" s="32" t="e">
        <f ca="1">_xludf.ifna(VLOOKUP(G2328,Proyectos!$A$2:$T$674,20,0),"")</f>
        <v>#NAME?</v>
      </c>
      <c r="N2328" s="32" t="e">
        <f ca="1">_xludf.ifna(VLOOKUP(G2328,Proyectos!$A$2:$S$674,19,0))</f>
        <v>#NAME?</v>
      </c>
      <c r="O2328" s="32"/>
      <c r="P2328" s="32"/>
      <c r="Q2328" s="33"/>
      <c r="R2328" s="33"/>
      <c r="S2328" s="33"/>
      <c r="T2328" s="63">
        <f t="shared" si="19"/>
        <v>0</v>
      </c>
      <c r="U2328" s="33"/>
      <c r="V2328" s="33"/>
      <c r="W2328" s="33"/>
    </row>
    <row r="2329" spans="1:23" ht="16.5" customHeight="1" x14ac:dyDescent="0.2">
      <c r="A2329" s="26"/>
      <c r="B2329" s="26"/>
      <c r="C2329" s="26"/>
      <c r="D2329" s="26"/>
      <c r="E2329" s="26"/>
      <c r="F2329" s="28"/>
      <c r="G2329" s="26"/>
      <c r="H2329" s="32"/>
      <c r="I2329" s="32"/>
      <c r="J2329" s="32"/>
      <c r="K2329" s="32"/>
      <c r="L2329" s="32" t="e">
        <f ca="1">_xludf.ifna(VLOOKUP(E2329,Parámetros!$D$2:$E$34,2,0),"")</f>
        <v>#NAME?</v>
      </c>
      <c r="M2329" s="32" t="e">
        <f ca="1">_xludf.ifna(VLOOKUP(G2329,Proyectos!$A$2:$T$674,20,0),"")</f>
        <v>#NAME?</v>
      </c>
      <c r="N2329" s="32" t="e">
        <f ca="1">_xludf.ifna(VLOOKUP(G2329,Proyectos!$A$2:$S$674,19,0))</f>
        <v>#NAME?</v>
      </c>
      <c r="O2329" s="32"/>
      <c r="P2329" s="32"/>
      <c r="Q2329" s="33"/>
      <c r="R2329" s="33"/>
      <c r="S2329" s="33"/>
      <c r="T2329" s="63">
        <f t="shared" si="19"/>
        <v>0</v>
      </c>
      <c r="U2329" s="33"/>
      <c r="V2329" s="33"/>
      <c r="W2329" s="33"/>
    </row>
    <row r="2330" spans="1:23" ht="16.5" customHeight="1" x14ac:dyDescent="0.2">
      <c r="A2330" s="26"/>
      <c r="B2330" s="26"/>
      <c r="C2330" s="26"/>
      <c r="D2330" s="26"/>
      <c r="E2330" s="26"/>
      <c r="F2330" s="28"/>
      <c r="G2330" s="26"/>
      <c r="H2330" s="32"/>
      <c r="I2330" s="32"/>
      <c r="J2330" s="32"/>
      <c r="K2330" s="32"/>
      <c r="L2330" s="32" t="e">
        <f ca="1">_xludf.ifna(VLOOKUP(E2330,Parámetros!$D$2:$E$34,2,0),"")</f>
        <v>#NAME?</v>
      </c>
      <c r="M2330" s="32" t="e">
        <f ca="1">_xludf.ifna(VLOOKUP(G2330,Proyectos!$A$2:$T$674,20,0),"")</f>
        <v>#NAME?</v>
      </c>
      <c r="N2330" s="32" t="e">
        <f ca="1">_xludf.ifna(VLOOKUP(G2330,Proyectos!$A$2:$S$674,19,0))</f>
        <v>#NAME?</v>
      </c>
      <c r="O2330" s="32"/>
      <c r="P2330" s="32"/>
      <c r="Q2330" s="33"/>
      <c r="R2330" s="33"/>
      <c r="S2330" s="33"/>
      <c r="T2330" s="63">
        <f t="shared" si="19"/>
        <v>0</v>
      </c>
      <c r="U2330" s="33"/>
      <c r="V2330" s="33"/>
      <c r="W2330" s="33"/>
    </row>
    <row r="2331" spans="1:23" ht="16.5" customHeight="1" x14ac:dyDescent="0.2">
      <c r="A2331" s="26"/>
      <c r="B2331" s="26"/>
      <c r="C2331" s="26"/>
      <c r="D2331" s="26"/>
      <c r="E2331" s="26"/>
      <c r="F2331" s="28"/>
      <c r="G2331" s="26"/>
      <c r="H2331" s="32"/>
      <c r="I2331" s="32"/>
      <c r="J2331" s="32"/>
      <c r="K2331" s="32"/>
      <c r="L2331" s="32" t="e">
        <f ca="1">_xludf.ifna(VLOOKUP(E2331,Parámetros!$D$2:$E$34,2,0),"")</f>
        <v>#NAME?</v>
      </c>
      <c r="M2331" s="32" t="e">
        <f ca="1">_xludf.ifna(VLOOKUP(G2331,Proyectos!$A$2:$T$674,20,0),"")</f>
        <v>#NAME?</v>
      </c>
      <c r="N2331" s="32" t="e">
        <f ca="1">_xludf.ifna(VLOOKUP(G2331,Proyectos!$A$2:$S$674,19,0))</f>
        <v>#NAME?</v>
      </c>
      <c r="O2331" s="32"/>
      <c r="P2331" s="32"/>
      <c r="Q2331" s="33"/>
      <c r="R2331" s="33"/>
      <c r="S2331" s="33"/>
      <c r="T2331" s="63">
        <f t="shared" si="19"/>
        <v>0</v>
      </c>
      <c r="U2331" s="33"/>
      <c r="V2331" s="33"/>
      <c r="W2331" s="33"/>
    </row>
    <row r="2332" spans="1:23" ht="16.5" customHeight="1" x14ac:dyDescent="0.2">
      <c r="A2332" s="26"/>
      <c r="B2332" s="26"/>
      <c r="C2332" s="26"/>
      <c r="D2332" s="26"/>
      <c r="E2332" s="26"/>
      <c r="F2332" s="28"/>
      <c r="G2332" s="26"/>
      <c r="H2332" s="32"/>
      <c r="I2332" s="32"/>
      <c r="J2332" s="32"/>
      <c r="K2332" s="32"/>
      <c r="L2332" s="32" t="e">
        <f ca="1">_xludf.ifna(VLOOKUP(E2332,Parámetros!$D$2:$E$34,2,0),"")</f>
        <v>#NAME?</v>
      </c>
      <c r="M2332" s="32" t="e">
        <f ca="1">_xludf.ifna(VLOOKUP(G2332,Proyectos!$A$2:$T$674,20,0),"")</f>
        <v>#NAME?</v>
      </c>
      <c r="N2332" s="32" t="e">
        <f ca="1">_xludf.ifna(VLOOKUP(G2332,Proyectos!$A$2:$S$674,19,0))</f>
        <v>#NAME?</v>
      </c>
      <c r="O2332" s="32"/>
      <c r="P2332" s="32"/>
      <c r="Q2332" s="33"/>
      <c r="R2332" s="33"/>
      <c r="S2332" s="33"/>
      <c r="T2332" s="63">
        <f>IF(E2332=E2330,0,1)</f>
        <v>0</v>
      </c>
      <c r="U2332" s="33"/>
      <c r="V2332" s="33"/>
      <c r="W2332" s="33"/>
    </row>
    <row r="2333" spans="1:23" ht="16.5" customHeight="1" x14ac:dyDescent="0.2">
      <c r="A2333" s="26"/>
      <c r="B2333" s="26"/>
      <c r="C2333" s="26"/>
      <c r="D2333" s="26"/>
      <c r="E2333" s="26"/>
      <c r="F2333" s="28"/>
      <c r="G2333" s="26"/>
      <c r="H2333" s="32"/>
      <c r="I2333" s="32"/>
      <c r="J2333" s="32"/>
      <c r="K2333" s="32"/>
      <c r="L2333" s="32" t="e">
        <f ca="1">_xludf.ifna(VLOOKUP(E2333,Parámetros!$D$2:$E$34,2,0),"")</f>
        <v>#NAME?</v>
      </c>
      <c r="M2333" s="32" t="e">
        <f ca="1">_xludf.ifna(VLOOKUP(G2333,Proyectos!$A$2:$T$674,20,0),"")</f>
        <v>#NAME?</v>
      </c>
      <c r="N2333" s="32" t="e">
        <f ca="1">_xludf.ifna(VLOOKUP(G2333,Proyectos!$A$2:$S$674,19,0))</f>
        <v>#NAME?</v>
      </c>
      <c r="O2333" s="32"/>
      <c r="P2333" s="32"/>
      <c r="Q2333" s="33"/>
      <c r="R2333" s="33"/>
      <c r="S2333" s="33"/>
      <c r="T2333" s="63">
        <f t="shared" ref="T2333:T2405" si="20">IF(E2333=E2332,0,1)</f>
        <v>0</v>
      </c>
      <c r="U2333" s="33"/>
      <c r="V2333" s="33"/>
      <c r="W2333" s="33"/>
    </row>
    <row r="2334" spans="1:23" ht="16.5" customHeight="1" x14ac:dyDescent="0.2">
      <c r="A2334" s="26"/>
      <c r="B2334" s="26"/>
      <c r="C2334" s="26"/>
      <c r="D2334" s="26"/>
      <c r="E2334" s="26"/>
      <c r="F2334" s="28"/>
      <c r="G2334" s="26"/>
      <c r="H2334" s="32"/>
      <c r="I2334" s="32"/>
      <c r="J2334" s="32"/>
      <c r="K2334" s="32"/>
      <c r="L2334" s="32" t="e">
        <f ca="1">_xludf.ifna(VLOOKUP(E2334,Parámetros!$D$2:$E$34,2,0),"")</f>
        <v>#NAME?</v>
      </c>
      <c r="M2334" s="32" t="e">
        <f ca="1">_xludf.ifna(VLOOKUP(G2334,Proyectos!$A$2:$T$674,20,0),"")</f>
        <v>#NAME?</v>
      </c>
      <c r="N2334" s="32" t="e">
        <f ca="1">_xludf.ifna(VLOOKUP(G2334,Proyectos!$A$2:$S$674,19,0))</f>
        <v>#NAME?</v>
      </c>
      <c r="O2334" s="32"/>
      <c r="P2334" s="32"/>
      <c r="Q2334" s="33"/>
      <c r="R2334" s="33"/>
      <c r="S2334" s="33"/>
      <c r="T2334" s="63">
        <f t="shared" si="20"/>
        <v>0</v>
      </c>
      <c r="U2334" s="33"/>
      <c r="V2334" s="33"/>
      <c r="W2334" s="33"/>
    </row>
    <row r="2335" spans="1:23" ht="16.5" customHeight="1" x14ac:dyDescent="0.2">
      <c r="A2335" s="26"/>
      <c r="B2335" s="26"/>
      <c r="C2335" s="26"/>
      <c r="D2335" s="26"/>
      <c r="E2335" s="26"/>
      <c r="F2335" s="28"/>
      <c r="G2335" s="26"/>
      <c r="H2335" s="32"/>
      <c r="I2335" s="32"/>
      <c r="J2335" s="32"/>
      <c r="K2335" s="32"/>
      <c r="L2335" s="32" t="e">
        <f ca="1">_xludf.ifna(VLOOKUP(E2335,Parámetros!$D$2:$E$34,2,0),"")</f>
        <v>#NAME?</v>
      </c>
      <c r="M2335" s="32" t="e">
        <f ca="1">_xludf.ifna(VLOOKUP(G2335,Proyectos!$A$2:$T$674,20,0),"")</f>
        <v>#NAME?</v>
      </c>
      <c r="N2335" s="32" t="e">
        <f ca="1">_xludf.ifna(VLOOKUP(G2335,Proyectos!$A$2:$S$674,19,0))</f>
        <v>#NAME?</v>
      </c>
      <c r="O2335" s="32"/>
      <c r="P2335" s="32"/>
      <c r="Q2335" s="33"/>
      <c r="R2335" s="33"/>
      <c r="S2335" s="33"/>
      <c r="T2335" s="63">
        <f t="shared" si="20"/>
        <v>0</v>
      </c>
      <c r="U2335" s="33"/>
      <c r="V2335" s="33"/>
      <c r="W2335" s="33"/>
    </row>
    <row r="2336" spans="1:23" ht="16.5" customHeight="1" x14ac:dyDescent="0.2">
      <c r="A2336" s="26"/>
      <c r="B2336" s="26"/>
      <c r="C2336" s="26"/>
      <c r="D2336" s="26"/>
      <c r="E2336" s="26"/>
      <c r="F2336" s="28"/>
      <c r="G2336" s="26"/>
      <c r="H2336" s="32"/>
      <c r="I2336" s="32"/>
      <c r="J2336" s="32"/>
      <c r="K2336" s="32"/>
      <c r="L2336" s="32" t="e">
        <f ca="1">_xludf.ifna(VLOOKUP(E2336,Parámetros!$D$2:$E$34,2,0),"")</f>
        <v>#NAME?</v>
      </c>
      <c r="M2336" s="32" t="e">
        <f ca="1">_xludf.ifna(VLOOKUP(G2336,Proyectos!$A$2:$T$674,20,0),"")</f>
        <v>#NAME?</v>
      </c>
      <c r="N2336" s="32" t="e">
        <f ca="1">_xludf.ifna(VLOOKUP(G2336,Proyectos!$A$2:$S$674,19,0))</f>
        <v>#NAME?</v>
      </c>
      <c r="O2336" s="32"/>
      <c r="P2336" s="32"/>
      <c r="Q2336" s="33"/>
      <c r="R2336" s="33"/>
      <c r="S2336" s="33"/>
      <c r="T2336" s="63">
        <f t="shared" si="20"/>
        <v>0</v>
      </c>
      <c r="U2336" s="33"/>
      <c r="V2336" s="33"/>
      <c r="W2336" s="33"/>
    </row>
    <row r="2337" spans="1:23" ht="16.5" customHeight="1" x14ac:dyDescent="0.2">
      <c r="A2337" s="26"/>
      <c r="B2337" s="26"/>
      <c r="C2337" s="26"/>
      <c r="D2337" s="26"/>
      <c r="E2337" s="26"/>
      <c r="F2337" s="28"/>
      <c r="G2337" s="26"/>
      <c r="H2337" s="32"/>
      <c r="I2337" s="32"/>
      <c r="J2337" s="32"/>
      <c r="K2337" s="32"/>
      <c r="L2337" s="32" t="e">
        <f ca="1">_xludf.ifna(VLOOKUP(E2337,Parámetros!$D$2:$E$34,2,0),"")</f>
        <v>#NAME?</v>
      </c>
      <c r="M2337" s="32" t="e">
        <f ca="1">_xludf.ifna(VLOOKUP(G2337,Proyectos!$A$2:$T$674,20,0),"")</f>
        <v>#NAME?</v>
      </c>
      <c r="N2337" s="32" t="e">
        <f ca="1">_xludf.ifna(VLOOKUP(G2337,Proyectos!$A$2:$S$674,19,0))</f>
        <v>#NAME?</v>
      </c>
      <c r="O2337" s="32"/>
      <c r="P2337" s="32"/>
      <c r="Q2337" s="33"/>
      <c r="R2337" s="33"/>
      <c r="S2337" s="33"/>
      <c r="T2337" s="63">
        <f t="shared" si="20"/>
        <v>0</v>
      </c>
      <c r="U2337" s="33"/>
      <c r="V2337" s="33"/>
      <c r="W2337" s="33"/>
    </row>
    <row r="2338" spans="1:23" ht="16.5" customHeight="1" x14ac:dyDescent="0.2">
      <c r="A2338" s="26"/>
      <c r="B2338" s="26"/>
      <c r="C2338" s="26"/>
      <c r="D2338" s="26"/>
      <c r="E2338" s="26"/>
      <c r="F2338" s="28"/>
      <c r="G2338" s="26"/>
      <c r="H2338" s="32"/>
      <c r="I2338" s="32"/>
      <c r="J2338" s="32"/>
      <c r="K2338" s="32"/>
      <c r="L2338" s="32" t="e">
        <f ca="1">_xludf.ifna(VLOOKUP(E2338,Parámetros!$D$2:$E$34,2,0),"")</f>
        <v>#NAME?</v>
      </c>
      <c r="M2338" s="32" t="e">
        <f ca="1">_xludf.ifna(VLOOKUP(G2338,Proyectos!$A$2:$T$674,20,0),"")</f>
        <v>#NAME?</v>
      </c>
      <c r="N2338" s="32" t="e">
        <f ca="1">_xludf.ifna(VLOOKUP(G2338,Proyectos!$A$2:$S$674,19,0))</f>
        <v>#NAME?</v>
      </c>
      <c r="O2338" s="32"/>
      <c r="P2338" s="32"/>
      <c r="Q2338" s="33"/>
      <c r="R2338" s="33"/>
      <c r="S2338" s="33"/>
      <c r="T2338" s="63">
        <f t="shared" si="20"/>
        <v>0</v>
      </c>
      <c r="U2338" s="33"/>
      <c r="V2338" s="33"/>
      <c r="W2338" s="33"/>
    </row>
    <row r="2339" spans="1:23" ht="16.5" customHeight="1" x14ac:dyDescent="0.2">
      <c r="A2339" s="26"/>
      <c r="B2339" s="26"/>
      <c r="C2339" s="26"/>
      <c r="D2339" s="26"/>
      <c r="E2339" s="26"/>
      <c r="F2339" s="28"/>
      <c r="G2339" s="26"/>
      <c r="H2339" s="32"/>
      <c r="I2339" s="32"/>
      <c r="J2339" s="32"/>
      <c r="K2339" s="32"/>
      <c r="L2339" s="32" t="e">
        <f ca="1">_xludf.ifna(VLOOKUP(E2339,Parámetros!$D$2:$E$34,2,0),"")</f>
        <v>#NAME?</v>
      </c>
      <c r="M2339" s="32" t="e">
        <f ca="1">_xludf.ifna(VLOOKUP(G2339,Proyectos!$A$2:$T$674,20,0),"")</f>
        <v>#NAME?</v>
      </c>
      <c r="N2339" s="32" t="e">
        <f ca="1">_xludf.ifna(VLOOKUP(G2339,Proyectos!$A$2:$S$674,19,0))</f>
        <v>#NAME?</v>
      </c>
      <c r="O2339" s="32"/>
      <c r="P2339" s="32"/>
      <c r="Q2339" s="33"/>
      <c r="R2339" s="33"/>
      <c r="S2339" s="33"/>
      <c r="T2339" s="63">
        <f t="shared" si="20"/>
        <v>0</v>
      </c>
      <c r="U2339" s="33"/>
      <c r="V2339" s="33"/>
      <c r="W2339" s="33"/>
    </row>
    <row r="2340" spans="1:23" ht="16.5" customHeight="1" x14ac:dyDescent="0.2">
      <c r="A2340" s="26"/>
      <c r="B2340" s="26"/>
      <c r="C2340" s="26"/>
      <c r="D2340" s="26"/>
      <c r="E2340" s="26"/>
      <c r="F2340" s="28"/>
      <c r="G2340" s="26"/>
      <c r="H2340" s="32"/>
      <c r="I2340" s="32"/>
      <c r="J2340" s="32"/>
      <c r="K2340" s="32"/>
      <c r="L2340" s="32" t="e">
        <f ca="1">_xludf.ifna(VLOOKUP(E2340,Parámetros!$D$2:$E$34,2,0),"")</f>
        <v>#NAME?</v>
      </c>
      <c r="M2340" s="32" t="e">
        <f ca="1">_xludf.ifna(VLOOKUP(G2340,Proyectos!$A$2:$T$674,20,0),"")</f>
        <v>#NAME?</v>
      </c>
      <c r="N2340" s="32" t="e">
        <f ca="1">_xludf.ifna(VLOOKUP(G2340,Proyectos!$A$2:$S$674,19,0))</f>
        <v>#NAME?</v>
      </c>
      <c r="O2340" s="32"/>
      <c r="P2340" s="32"/>
      <c r="Q2340" s="33"/>
      <c r="R2340" s="33"/>
      <c r="S2340" s="33"/>
      <c r="T2340" s="63">
        <f t="shared" si="20"/>
        <v>0</v>
      </c>
      <c r="U2340" s="33"/>
      <c r="V2340" s="33"/>
      <c r="W2340" s="33"/>
    </row>
    <row r="2341" spans="1:23" ht="16.5" customHeight="1" x14ac:dyDescent="0.2">
      <c r="A2341" s="26"/>
      <c r="B2341" s="26"/>
      <c r="C2341" s="26"/>
      <c r="D2341" s="26"/>
      <c r="E2341" s="26"/>
      <c r="F2341" s="28"/>
      <c r="G2341" s="26"/>
      <c r="H2341" s="32"/>
      <c r="I2341" s="32"/>
      <c r="J2341" s="32"/>
      <c r="K2341" s="32"/>
      <c r="L2341" s="32" t="e">
        <f ca="1">_xludf.ifna(VLOOKUP(E2341,Parámetros!$D$2:$E$34,2,0),"")</f>
        <v>#NAME?</v>
      </c>
      <c r="M2341" s="32" t="e">
        <f ca="1">_xludf.ifna(VLOOKUP(G2341,Proyectos!$A$2:$T$674,20,0),"")</f>
        <v>#NAME?</v>
      </c>
      <c r="N2341" s="32" t="e">
        <f ca="1">_xludf.ifna(VLOOKUP(G2341,Proyectos!$A$2:$S$674,19,0))</f>
        <v>#NAME?</v>
      </c>
      <c r="O2341" s="32"/>
      <c r="P2341" s="32"/>
      <c r="Q2341" s="33"/>
      <c r="R2341" s="33"/>
      <c r="S2341" s="33"/>
      <c r="T2341" s="63">
        <f t="shared" si="20"/>
        <v>0</v>
      </c>
      <c r="U2341" s="33"/>
      <c r="V2341" s="33"/>
      <c r="W2341" s="33"/>
    </row>
    <row r="2342" spans="1:23" ht="16.5" customHeight="1" x14ac:dyDescent="0.2">
      <c r="A2342" s="26"/>
      <c r="B2342" s="26"/>
      <c r="C2342" s="26"/>
      <c r="D2342" s="26"/>
      <c r="E2342" s="26"/>
      <c r="F2342" s="28"/>
      <c r="G2342" s="26"/>
      <c r="H2342" s="32"/>
      <c r="I2342" s="32"/>
      <c r="J2342" s="32"/>
      <c r="K2342" s="32"/>
      <c r="L2342" s="32" t="e">
        <f ca="1">_xludf.ifna(VLOOKUP(E2342,Parámetros!$D$2:$E$34,2,0),"")</f>
        <v>#NAME?</v>
      </c>
      <c r="M2342" s="32" t="e">
        <f ca="1">_xludf.ifna(VLOOKUP(G2342,Proyectos!$A$2:$T$674,20,0),"")</f>
        <v>#NAME?</v>
      </c>
      <c r="N2342" s="32" t="e">
        <f ca="1">_xludf.ifna(VLOOKUP(G2342,Proyectos!$A$2:$S$674,19,0))</f>
        <v>#NAME?</v>
      </c>
      <c r="O2342" s="32"/>
      <c r="P2342" s="32"/>
      <c r="Q2342" s="33"/>
      <c r="R2342" s="33"/>
      <c r="S2342" s="33"/>
      <c r="T2342" s="63">
        <f t="shared" si="20"/>
        <v>0</v>
      </c>
      <c r="U2342" s="33"/>
      <c r="V2342" s="33"/>
      <c r="W2342" s="33"/>
    </row>
    <row r="2343" spans="1:23" ht="16.5" customHeight="1" x14ac:dyDescent="0.2">
      <c r="A2343" s="26"/>
      <c r="B2343" s="26"/>
      <c r="C2343" s="26"/>
      <c r="D2343" s="26"/>
      <c r="E2343" s="26"/>
      <c r="F2343" s="28"/>
      <c r="G2343" s="26"/>
      <c r="H2343" s="32"/>
      <c r="I2343" s="32"/>
      <c r="J2343" s="32"/>
      <c r="K2343" s="32"/>
      <c r="L2343" s="32" t="e">
        <f ca="1">_xludf.ifna(VLOOKUP(E2343,Parámetros!$D$2:$E$34,2,0),"")</f>
        <v>#NAME?</v>
      </c>
      <c r="M2343" s="32" t="e">
        <f ca="1">_xludf.ifna(VLOOKUP(G2343,Proyectos!$A$2:$T$674,20,0),"")</f>
        <v>#NAME?</v>
      </c>
      <c r="N2343" s="32" t="e">
        <f ca="1">_xludf.ifna(VLOOKUP(G2343,Proyectos!$A$2:$S$674,19,0))</f>
        <v>#NAME?</v>
      </c>
      <c r="O2343" s="32"/>
      <c r="P2343" s="32"/>
      <c r="Q2343" s="33"/>
      <c r="R2343" s="33"/>
      <c r="S2343" s="33"/>
      <c r="T2343" s="63">
        <f t="shared" si="20"/>
        <v>0</v>
      </c>
      <c r="U2343" s="33"/>
      <c r="V2343" s="33"/>
      <c r="W2343" s="33"/>
    </row>
    <row r="2344" spans="1:23" ht="16.5" customHeight="1" x14ac:dyDescent="0.2">
      <c r="A2344" s="26"/>
      <c r="B2344" s="26"/>
      <c r="C2344" s="26"/>
      <c r="D2344" s="26"/>
      <c r="E2344" s="26"/>
      <c r="F2344" s="28"/>
      <c r="G2344" s="26"/>
      <c r="H2344" s="32"/>
      <c r="I2344" s="32"/>
      <c r="J2344" s="32"/>
      <c r="K2344" s="32"/>
      <c r="L2344" s="32" t="e">
        <f ca="1">_xludf.ifna(VLOOKUP(E2344,Parámetros!$D$2:$E$34,2,0),"")</f>
        <v>#NAME?</v>
      </c>
      <c r="M2344" s="32" t="e">
        <f ca="1">_xludf.ifna(VLOOKUP(G2344,Proyectos!$A$2:$T$674,20,0),"")</f>
        <v>#NAME?</v>
      </c>
      <c r="N2344" s="32" t="e">
        <f ca="1">_xludf.ifna(VLOOKUP(G2344,Proyectos!$A$2:$S$674,19,0))</f>
        <v>#NAME?</v>
      </c>
      <c r="O2344" s="32"/>
      <c r="P2344" s="32"/>
      <c r="Q2344" s="33"/>
      <c r="R2344" s="33"/>
      <c r="S2344" s="33"/>
      <c r="T2344" s="63">
        <f t="shared" si="20"/>
        <v>0</v>
      </c>
      <c r="U2344" s="33"/>
      <c r="V2344" s="33"/>
      <c r="W2344" s="33"/>
    </row>
    <row r="2345" spans="1:23" ht="16.5" customHeight="1" x14ac:dyDescent="0.2">
      <c r="A2345" s="26"/>
      <c r="B2345" s="26"/>
      <c r="C2345" s="26"/>
      <c r="D2345" s="26"/>
      <c r="E2345" s="26"/>
      <c r="F2345" s="28"/>
      <c r="G2345" s="26"/>
      <c r="H2345" s="32"/>
      <c r="I2345" s="32"/>
      <c r="J2345" s="32"/>
      <c r="K2345" s="32"/>
      <c r="L2345" s="32" t="e">
        <f ca="1">_xludf.ifna(VLOOKUP(E2345,Parámetros!$D$2:$E$34,2,0),"")</f>
        <v>#NAME?</v>
      </c>
      <c r="M2345" s="32" t="e">
        <f ca="1">_xludf.ifna(VLOOKUP(G2345,Proyectos!$A$2:$T$674,20,0),"")</f>
        <v>#NAME?</v>
      </c>
      <c r="N2345" s="32" t="e">
        <f ca="1">_xludf.ifna(VLOOKUP(G2345,Proyectos!$A$2:$S$674,19,0))</f>
        <v>#NAME?</v>
      </c>
      <c r="O2345" s="32"/>
      <c r="P2345" s="32"/>
      <c r="Q2345" s="33"/>
      <c r="R2345" s="33"/>
      <c r="S2345" s="33"/>
      <c r="T2345" s="63">
        <f t="shared" si="20"/>
        <v>0</v>
      </c>
      <c r="U2345" s="33"/>
      <c r="V2345" s="33"/>
      <c r="W2345" s="33"/>
    </row>
    <row r="2346" spans="1:23" ht="16.5" customHeight="1" x14ac:dyDescent="0.2">
      <c r="A2346" s="26"/>
      <c r="B2346" s="26"/>
      <c r="C2346" s="26"/>
      <c r="D2346" s="26"/>
      <c r="E2346" s="26"/>
      <c r="F2346" s="28"/>
      <c r="G2346" s="26"/>
      <c r="H2346" s="32"/>
      <c r="I2346" s="32"/>
      <c r="J2346" s="32"/>
      <c r="K2346" s="32"/>
      <c r="L2346" s="32" t="e">
        <f ca="1">_xludf.ifna(VLOOKUP(E2346,Parámetros!$D$2:$E$34,2,0),"")</f>
        <v>#NAME?</v>
      </c>
      <c r="M2346" s="32" t="e">
        <f ca="1">_xludf.ifna(VLOOKUP(G2346,Proyectos!$A$2:$T$674,20,0),"")</f>
        <v>#NAME?</v>
      </c>
      <c r="N2346" s="32" t="e">
        <f ca="1">_xludf.ifna(VLOOKUP(G2346,Proyectos!$A$2:$S$674,19,0))</f>
        <v>#NAME?</v>
      </c>
      <c r="O2346" s="32"/>
      <c r="P2346" s="32"/>
      <c r="Q2346" s="33"/>
      <c r="R2346" s="33"/>
      <c r="S2346" s="33"/>
      <c r="T2346" s="63">
        <f t="shared" si="20"/>
        <v>0</v>
      </c>
      <c r="U2346" s="33"/>
      <c r="V2346" s="33"/>
      <c r="W2346" s="33"/>
    </row>
    <row r="2347" spans="1:23" ht="16.5" customHeight="1" x14ac:dyDescent="0.2">
      <c r="A2347" s="26"/>
      <c r="B2347" s="26"/>
      <c r="C2347" s="26"/>
      <c r="D2347" s="26"/>
      <c r="E2347" s="26"/>
      <c r="F2347" s="28"/>
      <c r="G2347" s="26"/>
      <c r="H2347" s="32"/>
      <c r="I2347" s="32"/>
      <c r="J2347" s="32"/>
      <c r="K2347" s="32"/>
      <c r="L2347" s="32" t="e">
        <f ca="1">_xludf.ifna(VLOOKUP(E2347,Parámetros!$D$2:$E$34,2,0),"")</f>
        <v>#NAME?</v>
      </c>
      <c r="M2347" s="32" t="e">
        <f ca="1">_xludf.ifna(VLOOKUP(G2347,Proyectos!$A$2:$T$674,20,0),"")</f>
        <v>#NAME?</v>
      </c>
      <c r="N2347" s="32" t="e">
        <f ca="1">_xludf.ifna(VLOOKUP(G2347,Proyectos!$A$2:$S$674,19,0))</f>
        <v>#NAME?</v>
      </c>
      <c r="O2347" s="32"/>
      <c r="P2347" s="32"/>
      <c r="Q2347" s="33"/>
      <c r="R2347" s="33"/>
      <c r="S2347" s="33"/>
      <c r="T2347" s="63">
        <f t="shared" si="20"/>
        <v>0</v>
      </c>
      <c r="U2347" s="33"/>
      <c r="V2347" s="33"/>
      <c r="W2347" s="33"/>
    </row>
    <row r="2348" spans="1:23" ht="16.5" customHeight="1" x14ac:dyDescent="0.2">
      <c r="A2348" s="26"/>
      <c r="B2348" s="26"/>
      <c r="C2348" s="26"/>
      <c r="D2348" s="26"/>
      <c r="E2348" s="26"/>
      <c r="F2348" s="28"/>
      <c r="G2348" s="26"/>
      <c r="H2348" s="32"/>
      <c r="I2348" s="32"/>
      <c r="J2348" s="32"/>
      <c r="K2348" s="32"/>
      <c r="L2348" s="32" t="e">
        <f ca="1">_xludf.ifna(VLOOKUP(E2348,Parámetros!$D$2:$E$34,2,0),"")</f>
        <v>#NAME?</v>
      </c>
      <c r="M2348" s="32" t="e">
        <f ca="1">_xludf.ifna(VLOOKUP(G2348,Proyectos!$A$2:$T$674,20,0),"")</f>
        <v>#NAME?</v>
      </c>
      <c r="N2348" s="32" t="e">
        <f ca="1">_xludf.ifna(VLOOKUP(G2348,Proyectos!$A$2:$S$674,19,0))</f>
        <v>#NAME?</v>
      </c>
      <c r="O2348" s="32"/>
      <c r="P2348" s="32"/>
      <c r="Q2348" s="33"/>
      <c r="R2348" s="33"/>
      <c r="S2348" s="33"/>
      <c r="T2348" s="63">
        <f t="shared" si="20"/>
        <v>0</v>
      </c>
      <c r="U2348" s="33"/>
      <c r="V2348" s="33"/>
      <c r="W2348" s="33"/>
    </row>
    <row r="2349" spans="1:23" ht="16.5" customHeight="1" x14ac:dyDescent="0.2">
      <c r="A2349" s="26"/>
      <c r="B2349" s="26"/>
      <c r="C2349" s="26"/>
      <c r="D2349" s="26"/>
      <c r="E2349" s="26"/>
      <c r="F2349" s="28"/>
      <c r="G2349" s="26"/>
      <c r="H2349" s="32"/>
      <c r="I2349" s="32"/>
      <c r="J2349" s="32"/>
      <c r="K2349" s="32"/>
      <c r="L2349" s="32" t="e">
        <f ca="1">_xludf.ifna(VLOOKUP(E2349,Parámetros!$D$2:$E$34,2,0),"")</f>
        <v>#NAME?</v>
      </c>
      <c r="M2349" s="32" t="e">
        <f ca="1">_xludf.ifna(VLOOKUP(G2349,Proyectos!$A$2:$T$674,20,0),"")</f>
        <v>#NAME?</v>
      </c>
      <c r="N2349" s="32" t="e">
        <f ca="1">_xludf.ifna(VLOOKUP(G2349,Proyectos!$A$2:$S$674,19,0))</f>
        <v>#NAME?</v>
      </c>
      <c r="O2349" s="32"/>
      <c r="P2349" s="32"/>
      <c r="Q2349" s="33"/>
      <c r="R2349" s="33"/>
      <c r="S2349" s="33"/>
      <c r="T2349" s="63">
        <f t="shared" si="20"/>
        <v>0</v>
      </c>
      <c r="U2349" s="33"/>
      <c r="V2349" s="33"/>
      <c r="W2349" s="33"/>
    </row>
    <row r="2350" spans="1:23" ht="16.5" customHeight="1" x14ac:dyDescent="0.2">
      <c r="A2350" s="26"/>
      <c r="B2350" s="26"/>
      <c r="C2350" s="26"/>
      <c r="D2350" s="26"/>
      <c r="E2350" s="26"/>
      <c r="F2350" s="28"/>
      <c r="G2350" s="26"/>
      <c r="H2350" s="32"/>
      <c r="I2350" s="32"/>
      <c r="J2350" s="32"/>
      <c r="K2350" s="32"/>
      <c r="L2350" s="32" t="e">
        <f ca="1">_xludf.ifna(VLOOKUP(E2350,Parámetros!$D$2:$E$34,2,0),"")</f>
        <v>#NAME?</v>
      </c>
      <c r="M2350" s="32" t="e">
        <f ca="1">_xludf.ifna(VLOOKUP(G2350,Proyectos!$A$2:$T$674,20,0),"")</f>
        <v>#NAME?</v>
      </c>
      <c r="N2350" s="32" t="e">
        <f ca="1">_xludf.ifna(VLOOKUP(G2350,Proyectos!$A$2:$S$674,19,0))</f>
        <v>#NAME?</v>
      </c>
      <c r="O2350" s="32"/>
      <c r="P2350" s="32"/>
      <c r="Q2350" s="33"/>
      <c r="R2350" s="33"/>
      <c r="S2350" s="33"/>
      <c r="T2350" s="63">
        <f t="shared" si="20"/>
        <v>0</v>
      </c>
      <c r="U2350" s="33"/>
      <c r="V2350" s="33"/>
      <c r="W2350" s="33"/>
    </row>
    <row r="2351" spans="1:23" ht="16.5" customHeight="1" x14ac:dyDescent="0.2">
      <c r="A2351" s="26"/>
      <c r="B2351" s="26"/>
      <c r="C2351" s="26"/>
      <c r="D2351" s="26"/>
      <c r="E2351" s="26"/>
      <c r="F2351" s="28"/>
      <c r="G2351" s="26"/>
      <c r="H2351" s="32"/>
      <c r="I2351" s="32"/>
      <c r="J2351" s="32"/>
      <c r="K2351" s="32"/>
      <c r="L2351" s="32" t="e">
        <f ca="1">_xludf.ifna(VLOOKUP(E2351,Parámetros!$D$2:$E$34,2,0),"")</f>
        <v>#NAME?</v>
      </c>
      <c r="M2351" s="32" t="e">
        <f ca="1">_xludf.ifna(VLOOKUP(G2351,Proyectos!$A$2:$T$674,20,0),"")</f>
        <v>#NAME?</v>
      </c>
      <c r="N2351" s="32" t="e">
        <f ca="1">_xludf.ifna(VLOOKUP(G2351,Proyectos!$A$2:$S$674,19,0))</f>
        <v>#NAME?</v>
      </c>
      <c r="O2351" s="32"/>
      <c r="P2351" s="32"/>
      <c r="Q2351" s="33"/>
      <c r="R2351" s="33"/>
      <c r="S2351" s="33"/>
      <c r="T2351" s="63">
        <f t="shared" si="20"/>
        <v>0</v>
      </c>
      <c r="U2351" s="33"/>
      <c r="V2351" s="33"/>
      <c r="W2351" s="33"/>
    </row>
    <row r="2352" spans="1:23" ht="16.5" customHeight="1" x14ac:dyDescent="0.2">
      <c r="A2352" s="26"/>
      <c r="B2352" s="26"/>
      <c r="C2352" s="26"/>
      <c r="D2352" s="26"/>
      <c r="E2352" s="26"/>
      <c r="F2352" s="28"/>
      <c r="G2352" s="26"/>
      <c r="H2352" s="32"/>
      <c r="I2352" s="32"/>
      <c r="J2352" s="32"/>
      <c r="K2352" s="32"/>
      <c r="L2352" s="32" t="e">
        <f ca="1">_xludf.ifna(VLOOKUP(E2352,Parámetros!$D$2:$E$34,2,0),"")</f>
        <v>#NAME?</v>
      </c>
      <c r="M2352" s="32" t="e">
        <f ca="1">_xludf.ifna(VLOOKUP(G2352,Proyectos!$A$2:$T$674,20,0),"")</f>
        <v>#NAME?</v>
      </c>
      <c r="N2352" s="32" t="e">
        <f ca="1">_xludf.ifna(VLOOKUP(G2352,Proyectos!$A$2:$S$674,19,0))</f>
        <v>#NAME?</v>
      </c>
      <c r="O2352" s="32"/>
      <c r="P2352" s="32"/>
      <c r="Q2352" s="33"/>
      <c r="R2352" s="33"/>
      <c r="S2352" s="33"/>
      <c r="T2352" s="63">
        <f t="shared" si="20"/>
        <v>0</v>
      </c>
      <c r="U2352" s="33"/>
      <c r="V2352" s="33"/>
      <c r="W2352" s="33"/>
    </row>
    <row r="2353" spans="1:23" ht="16.5" customHeight="1" x14ac:dyDescent="0.2">
      <c r="A2353" s="26"/>
      <c r="B2353" s="26"/>
      <c r="C2353" s="26"/>
      <c r="D2353" s="26"/>
      <c r="E2353" s="26"/>
      <c r="F2353" s="28"/>
      <c r="G2353" s="26"/>
      <c r="H2353" s="32"/>
      <c r="I2353" s="32"/>
      <c r="J2353" s="32"/>
      <c r="K2353" s="32"/>
      <c r="L2353" s="32" t="e">
        <f ca="1">_xludf.ifna(VLOOKUP(E2353,Parámetros!$D$2:$E$34,2,0),"")</f>
        <v>#NAME?</v>
      </c>
      <c r="M2353" s="32" t="e">
        <f ca="1">_xludf.ifna(VLOOKUP(G2353,Proyectos!$A$2:$T$674,20,0),"")</f>
        <v>#NAME?</v>
      </c>
      <c r="N2353" s="32" t="e">
        <f ca="1">_xludf.ifna(VLOOKUP(G2353,Proyectos!$A$2:$S$674,19,0))</f>
        <v>#NAME?</v>
      </c>
      <c r="O2353" s="32"/>
      <c r="P2353" s="32"/>
      <c r="Q2353" s="33"/>
      <c r="R2353" s="33"/>
      <c r="S2353" s="33"/>
      <c r="T2353" s="63">
        <f t="shared" si="20"/>
        <v>0</v>
      </c>
      <c r="U2353" s="33"/>
      <c r="V2353" s="33"/>
      <c r="W2353" s="33"/>
    </row>
    <row r="2354" spans="1:23" ht="16.5" customHeight="1" x14ac:dyDescent="0.2">
      <c r="A2354" s="26"/>
      <c r="B2354" s="26"/>
      <c r="C2354" s="26"/>
      <c r="D2354" s="26"/>
      <c r="E2354" s="26"/>
      <c r="F2354" s="28"/>
      <c r="G2354" s="26"/>
      <c r="H2354" s="32"/>
      <c r="I2354" s="32"/>
      <c r="J2354" s="32"/>
      <c r="K2354" s="32"/>
      <c r="L2354" s="32" t="e">
        <f ca="1">_xludf.ifna(VLOOKUP(E2354,Parámetros!$D$2:$E$34,2,0),"")</f>
        <v>#NAME?</v>
      </c>
      <c r="M2354" s="32" t="e">
        <f ca="1">_xludf.ifna(VLOOKUP(G2354,Proyectos!$A$2:$T$674,20,0),"")</f>
        <v>#NAME?</v>
      </c>
      <c r="N2354" s="32" t="e">
        <f ca="1">_xludf.ifna(VLOOKUP(G2354,Proyectos!$A$2:$S$674,19,0))</f>
        <v>#NAME?</v>
      </c>
      <c r="O2354" s="32"/>
      <c r="P2354" s="32"/>
      <c r="Q2354" s="33"/>
      <c r="R2354" s="33"/>
      <c r="S2354" s="33"/>
      <c r="T2354" s="63">
        <f t="shared" si="20"/>
        <v>0</v>
      </c>
      <c r="U2354" s="33"/>
      <c r="V2354" s="33"/>
      <c r="W2354" s="33"/>
    </row>
    <row r="2355" spans="1:23" ht="16.5" customHeight="1" x14ac:dyDescent="0.2">
      <c r="A2355" s="26"/>
      <c r="B2355" s="26"/>
      <c r="C2355" s="26"/>
      <c r="D2355" s="26"/>
      <c r="E2355" s="26"/>
      <c r="F2355" s="28"/>
      <c r="G2355" s="26"/>
      <c r="H2355" s="32"/>
      <c r="I2355" s="32"/>
      <c r="J2355" s="32"/>
      <c r="K2355" s="32"/>
      <c r="L2355" s="32" t="e">
        <f ca="1">_xludf.ifna(VLOOKUP(E2355,Parámetros!$D$2:$E$34,2,0),"")</f>
        <v>#NAME?</v>
      </c>
      <c r="M2355" s="32" t="e">
        <f ca="1">_xludf.ifna(VLOOKUP(G2355,Proyectos!$A$2:$T$674,20,0),"")</f>
        <v>#NAME?</v>
      </c>
      <c r="N2355" s="32" t="e">
        <f ca="1">_xludf.ifna(VLOOKUP(G2355,Proyectos!$A$2:$S$674,19,0))</f>
        <v>#NAME?</v>
      </c>
      <c r="O2355" s="32"/>
      <c r="P2355" s="32"/>
      <c r="Q2355" s="33"/>
      <c r="R2355" s="33"/>
      <c r="S2355" s="33"/>
      <c r="T2355" s="63">
        <f t="shared" si="20"/>
        <v>0</v>
      </c>
      <c r="U2355" s="33"/>
      <c r="V2355" s="33"/>
      <c r="W2355" s="33"/>
    </row>
    <row r="2356" spans="1:23" ht="16.5" customHeight="1" x14ac:dyDescent="0.2">
      <c r="A2356" s="26"/>
      <c r="B2356" s="26"/>
      <c r="C2356" s="26"/>
      <c r="D2356" s="26"/>
      <c r="E2356" s="26"/>
      <c r="F2356" s="28"/>
      <c r="G2356" s="26"/>
      <c r="H2356" s="32"/>
      <c r="I2356" s="32"/>
      <c r="J2356" s="32"/>
      <c r="K2356" s="32"/>
      <c r="L2356" s="32" t="e">
        <f ca="1">_xludf.ifna(VLOOKUP(E2356,Parámetros!$D$2:$E$34,2,0),"")</f>
        <v>#NAME?</v>
      </c>
      <c r="M2356" s="32" t="e">
        <f ca="1">_xludf.ifna(VLOOKUP(G2356,Proyectos!$A$2:$T$674,20,0),"")</f>
        <v>#NAME?</v>
      </c>
      <c r="N2356" s="32" t="e">
        <f ca="1">_xludf.ifna(VLOOKUP(G2356,Proyectos!$A$2:$S$674,19,0))</f>
        <v>#NAME?</v>
      </c>
      <c r="O2356" s="32"/>
      <c r="P2356" s="32"/>
      <c r="Q2356" s="33"/>
      <c r="R2356" s="33"/>
      <c r="S2356" s="33"/>
      <c r="T2356" s="63">
        <f t="shared" si="20"/>
        <v>0</v>
      </c>
      <c r="U2356" s="33"/>
      <c r="V2356" s="33"/>
      <c r="W2356" s="33"/>
    </row>
    <row r="2357" spans="1:23" ht="16.5" customHeight="1" x14ac:dyDescent="0.2">
      <c r="A2357" s="26"/>
      <c r="B2357" s="26"/>
      <c r="C2357" s="26"/>
      <c r="D2357" s="26"/>
      <c r="E2357" s="26"/>
      <c r="F2357" s="28"/>
      <c r="G2357" s="26"/>
      <c r="H2357" s="32"/>
      <c r="I2357" s="32"/>
      <c r="J2357" s="32"/>
      <c r="K2357" s="32"/>
      <c r="L2357" s="32" t="e">
        <f ca="1">_xludf.ifna(VLOOKUP(E2357,Parámetros!$D$2:$E$34,2,0),"")</f>
        <v>#NAME?</v>
      </c>
      <c r="M2357" s="32" t="e">
        <f ca="1">_xludf.ifna(VLOOKUP(G2357,Proyectos!$A$2:$T$674,20,0),"")</f>
        <v>#NAME?</v>
      </c>
      <c r="N2357" s="32" t="e">
        <f ca="1">_xludf.ifna(VLOOKUP(G2357,Proyectos!$A$2:$S$674,19,0))</f>
        <v>#NAME?</v>
      </c>
      <c r="O2357" s="32"/>
      <c r="P2357" s="32"/>
      <c r="Q2357" s="33"/>
      <c r="R2357" s="33"/>
      <c r="S2357" s="33"/>
      <c r="T2357" s="63">
        <f t="shared" si="20"/>
        <v>0</v>
      </c>
      <c r="U2357" s="33"/>
      <c r="V2357" s="33"/>
      <c r="W2357" s="33"/>
    </row>
    <row r="2358" spans="1:23" ht="16.5" customHeight="1" x14ac:dyDescent="0.2">
      <c r="A2358" s="26"/>
      <c r="B2358" s="26"/>
      <c r="C2358" s="26"/>
      <c r="D2358" s="26"/>
      <c r="E2358" s="26"/>
      <c r="F2358" s="28"/>
      <c r="G2358" s="26"/>
      <c r="H2358" s="32"/>
      <c r="I2358" s="32"/>
      <c r="J2358" s="32"/>
      <c r="K2358" s="32"/>
      <c r="L2358" s="32" t="e">
        <f ca="1">_xludf.ifna(VLOOKUP(E2358,Parámetros!$D$2:$E$34,2,0),"")</f>
        <v>#NAME?</v>
      </c>
      <c r="M2358" s="32" t="e">
        <f ca="1">_xludf.ifna(VLOOKUP(G2358,Proyectos!$A$2:$T$674,20,0),"")</f>
        <v>#NAME?</v>
      </c>
      <c r="N2358" s="32" t="e">
        <f ca="1">_xludf.ifna(VLOOKUP(G2358,Proyectos!$A$2:$S$674,19,0))</f>
        <v>#NAME?</v>
      </c>
      <c r="O2358" s="32"/>
      <c r="P2358" s="32"/>
      <c r="Q2358" s="33"/>
      <c r="R2358" s="33"/>
      <c r="S2358" s="33"/>
      <c r="T2358" s="63">
        <f t="shared" si="20"/>
        <v>0</v>
      </c>
      <c r="U2358" s="33"/>
      <c r="V2358" s="33"/>
      <c r="W2358" s="33"/>
    </row>
    <row r="2359" spans="1:23" ht="16.5" customHeight="1" x14ac:dyDescent="0.2">
      <c r="A2359" s="26"/>
      <c r="B2359" s="26"/>
      <c r="C2359" s="26"/>
      <c r="D2359" s="26"/>
      <c r="E2359" s="26"/>
      <c r="F2359" s="28"/>
      <c r="G2359" s="26"/>
      <c r="H2359" s="32"/>
      <c r="I2359" s="32"/>
      <c r="J2359" s="32"/>
      <c r="K2359" s="32"/>
      <c r="L2359" s="32" t="e">
        <f ca="1">_xludf.ifna(VLOOKUP(E2359,Parámetros!$D$2:$E$34,2,0),"")</f>
        <v>#NAME?</v>
      </c>
      <c r="M2359" s="32" t="e">
        <f ca="1">_xludf.ifna(VLOOKUP(G2359,Proyectos!$A$2:$T$674,20,0),"")</f>
        <v>#NAME?</v>
      </c>
      <c r="N2359" s="32" t="e">
        <f ca="1">_xludf.ifna(VLOOKUP(G2359,Proyectos!$A$2:$S$674,19,0))</f>
        <v>#NAME?</v>
      </c>
      <c r="O2359" s="32"/>
      <c r="P2359" s="32"/>
      <c r="Q2359" s="33"/>
      <c r="R2359" s="33"/>
      <c r="S2359" s="33"/>
      <c r="T2359" s="63">
        <f t="shared" si="20"/>
        <v>0</v>
      </c>
      <c r="U2359" s="33"/>
      <c r="V2359" s="33"/>
      <c r="W2359" s="33"/>
    </row>
    <row r="2360" spans="1:23" ht="16.5" customHeight="1" x14ac:dyDescent="0.2">
      <c r="A2360" s="26"/>
      <c r="B2360" s="26"/>
      <c r="C2360" s="26"/>
      <c r="D2360" s="26"/>
      <c r="E2360" s="26"/>
      <c r="F2360" s="28"/>
      <c r="G2360" s="26"/>
      <c r="H2360" s="32"/>
      <c r="I2360" s="32"/>
      <c r="J2360" s="32"/>
      <c r="K2360" s="32"/>
      <c r="L2360" s="32" t="e">
        <f ca="1">_xludf.ifna(VLOOKUP(E2360,Parámetros!$D$2:$E$34,2,0),"")</f>
        <v>#NAME?</v>
      </c>
      <c r="M2360" s="32" t="e">
        <f ca="1">_xludf.ifna(VLOOKUP(G2360,Proyectos!$A$2:$T$674,20,0),"")</f>
        <v>#NAME?</v>
      </c>
      <c r="N2360" s="32" t="e">
        <f ca="1">_xludf.ifna(VLOOKUP(G2360,Proyectos!$A$2:$S$674,19,0))</f>
        <v>#NAME?</v>
      </c>
      <c r="O2360" s="32"/>
      <c r="P2360" s="32"/>
      <c r="Q2360" s="33"/>
      <c r="R2360" s="33"/>
      <c r="S2360" s="33"/>
      <c r="T2360" s="63">
        <f t="shared" si="20"/>
        <v>0</v>
      </c>
      <c r="U2360" s="33"/>
      <c r="V2360" s="33"/>
      <c r="W2360" s="33"/>
    </row>
    <row r="2361" spans="1:23" ht="16.5" customHeight="1" x14ac:dyDescent="0.2">
      <c r="A2361" s="26"/>
      <c r="B2361" s="26"/>
      <c r="C2361" s="26"/>
      <c r="D2361" s="26"/>
      <c r="E2361" s="26"/>
      <c r="F2361" s="28"/>
      <c r="G2361" s="26"/>
      <c r="H2361" s="32"/>
      <c r="I2361" s="32"/>
      <c r="J2361" s="32"/>
      <c r="K2361" s="32"/>
      <c r="L2361" s="32" t="e">
        <f ca="1">_xludf.ifna(VLOOKUP(E2361,Parámetros!$D$2:$E$34,2,0),"")</f>
        <v>#NAME?</v>
      </c>
      <c r="M2361" s="32" t="e">
        <f ca="1">_xludf.ifna(VLOOKUP(G2361,Proyectos!$A$2:$T$674,20,0),"")</f>
        <v>#NAME?</v>
      </c>
      <c r="N2361" s="32" t="e">
        <f ca="1">_xludf.ifna(VLOOKUP(G2361,Proyectos!$A$2:$S$674,19,0))</f>
        <v>#NAME?</v>
      </c>
      <c r="O2361" s="32"/>
      <c r="P2361" s="32"/>
      <c r="Q2361" s="33"/>
      <c r="R2361" s="33"/>
      <c r="S2361" s="33"/>
      <c r="T2361" s="63">
        <f t="shared" si="20"/>
        <v>0</v>
      </c>
      <c r="U2361" s="33"/>
      <c r="V2361" s="33"/>
      <c r="W2361" s="33"/>
    </row>
    <row r="2362" spans="1:23" ht="16.5" customHeight="1" x14ac:dyDescent="0.2">
      <c r="A2362" s="26"/>
      <c r="B2362" s="26"/>
      <c r="C2362" s="26"/>
      <c r="D2362" s="26"/>
      <c r="E2362" s="26"/>
      <c r="F2362" s="28"/>
      <c r="G2362" s="26"/>
      <c r="H2362" s="32"/>
      <c r="I2362" s="32"/>
      <c r="J2362" s="32"/>
      <c r="K2362" s="32"/>
      <c r="L2362" s="32" t="e">
        <f ca="1">_xludf.ifna(VLOOKUP(E2362,Parámetros!$D$2:$E$34,2,0),"")</f>
        <v>#NAME?</v>
      </c>
      <c r="M2362" s="32" t="e">
        <f ca="1">_xludf.ifna(VLOOKUP(G2362,Proyectos!$A$2:$T$674,20,0),"")</f>
        <v>#NAME?</v>
      </c>
      <c r="N2362" s="32" t="e">
        <f ca="1">_xludf.ifna(VLOOKUP(G2362,Proyectos!$A$2:$S$674,19,0))</f>
        <v>#NAME?</v>
      </c>
      <c r="O2362" s="32"/>
      <c r="P2362" s="32"/>
      <c r="Q2362" s="33"/>
      <c r="R2362" s="33"/>
      <c r="S2362" s="33"/>
      <c r="T2362" s="63">
        <f t="shared" si="20"/>
        <v>0</v>
      </c>
      <c r="U2362" s="33"/>
      <c r="V2362" s="33"/>
      <c r="W2362" s="33"/>
    </row>
    <row r="2363" spans="1:23" ht="16.5" customHeight="1" x14ac:dyDescent="0.2">
      <c r="A2363" s="26"/>
      <c r="B2363" s="26"/>
      <c r="C2363" s="26"/>
      <c r="D2363" s="26"/>
      <c r="E2363" s="26"/>
      <c r="F2363" s="28"/>
      <c r="G2363" s="26"/>
      <c r="H2363" s="32"/>
      <c r="I2363" s="32"/>
      <c r="J2363" s="32"/>
      <c r="K2363" s="32"/>
      <c r="L2363" s="32" t="e">
        <f ca="1">_xludf.ifna(VLOOKUP(E2363,Parámetros!$D$2:$E$34,2,0),"")</f>
        <v>#NAME?</v>
      </c>
      <c r="M2363" s="32" t="e">
        <f ca="1">_xludf.ifna(VLOOKUP(G2363,Proyectos!$A$2:$T$674,20,0),"")</f>
        <v>#NAME?</v>
      </c>
      <c r="N2363" s="32" t="e">
        <f ca="1">_xludf.ifna(VLOOKUP(G2363,Proyectos!$A$2:$S$674,19,0))</f>
        <v>#NAME?</v>
      </c>
      <c r="O2363" s="32"/>
      <c r="P2363" s="32"/>
      <c r="Q2363" s="33"/>
      <c r="R2363" s="33"/>
      <c r="S2363" s="33"/>
      <c r="T2363" s="63">
        <f t="shared" si="20"/>
        <v>0</v>
      </c>
      <c r="U2363" s="33"/>
      <c r="V2363" s="33"/>
      <c r="W2363" s="33"/>
    </row>
    <row r="2364" spans="1:23" ht="16.5" customHeight="1" x14ac:dyDescent="0.2">
      <c r="A2364" s="26"/>
      <c r="B2364" s="26"/>
      <c r="C2364" s="26"/>
      <c r="D2364" s="26"/>
      <c r="E2364" s="26"/>
      <c r="F2364" s="28"/>
      <c r="G2364" s="26"/>
      <c r="H2364" s="32"/>
      <c r="I2364" s="32"/>
      <c r="J2364" s="32"/>
      <c r="K2364" s="32"/>
      <c r="L2364" s="32" t="e">
        <f ca="1">_xludf.ifna(VLOOKUP(E2364,Parámetros!$D$2:$E$34,2,0),"")</f>
        <v>#NAME?</v>
      </c>
      <c r="M2364" s="32" t="e">
        <f ca="1">_xludf.ifna(VLOOKUP(G2364,Proyectos!$A$2:$T$674,20,0),"")</f>
        <v>#NAME?</v>
      </c>
      <c r="N2364" s="32" t="e">
        <f ca="1">_xludf.ifna(VLOOKUP(G2364,Proyectos!$A$2:$S$674,19,0))</f>
        <v>#NAME?</v>
      </c>
      <c r="O2364" s="32"/>
      <c r="P2364" s="32"/>
      <c r="Q2364" s="33"/>
      <c r="R2364" s="33"/>
      <c r="S2364" s="33"/>
      <c r="T2364" s="63">
        <f t="shared" si="20"/>
        <v>0</v>
      </c>
      <c r="U2364" s="33"/>
      <c r="V2364" s="33"/>
      <c r="W2364" s="33"/>
    </row>
    <row r="2365" spans="1:23" ht="16.5" customHeight="1" x14ac:dyDescent="0.2">
      <c r="A2365" s="26"/>
      <c r="B2365" s="26"/>
      <c r="C2365" s="26"/>
      <c r="D2365" s="26"/>
      <c r="E2365" s="26"/>
      <c r="F2365" s="28"/>
      <c r="G2365" s="26"/>
      <c r="H2365" s="32"/>
      <c r="I2365" s="32"/>
      <c r="J2365" s="32"/>
      <c r="K2365" s="32"/>
      <c r="L2365" s="32" t="e">
        <f ca="1">_xludf.ifna(VLOOKUP(E2365,Parámetros!$D$2:$E$34,2,0),"")</f>
        <v>#NAME?</v>
      </c>
      <c r="M2365" s="32" t="e">
        <f ca="1">_xludf.ifna(VLOOKUP(G2365,Proyectos!$A$2:$T$674,20,0),"")</f>
        <v>#NAME?</v>
      </c>
      <c r="N2365" s="32" t="e">
        <f ca="1">_xludf.ifna(VLOOKUP(G2365,Proyectos!$A$2:$S$674,19,0))</f>
        <v>#NAME?</v>
      </c>
      <c r="O2365" s="32"/>
      <c r="P2365" s="32"/>
      <c r="Q2365" s="33"/>
      <c r="R2365" s="33"/>
      <c r="S2365" s="33"/>
      <c r="T2365" s="63">
        <f t="shared" si="20"/>
        <v>0</v>
      </c>
      <c r="U2365" s="33"/>
      <c r="V2365" s="33"/>
      <c r="W2365" s="33"/>
    </row>
    <row r="2366" spans="1:23" ht="16.5" customHeight="1" x14ac:dyDescent="0.2">
      <c r="A2366" s="26"/>
      <c r="B2366" s="26"/>
      <c r="C2366" s="26"/>
      <c r="D2366" s="26"/>
      <c r="E2366" s="26"/>
      <c r="F2366" s="28"/>
      <c r="G2366" s="26"/>
      <c r="H2366" s="32"/>
      <c r="I2366" s="32"/>
      <c r="J2366" s="32"/>
      <c r="K2366" s="32"/>
      <c r="L2366" s="32" t="e">
        <f ca="1">_xludf.ifna(VLOOKUP(E2366,Parámetros!$D$2:$E$34,2,0),"")</f>
        <v>#NAME?</v>
      </c>
      <c r="M2366" s="32" t="e">
        <f ca="1">_xludf.ifna(VLOOKUP(G2366,Proyectos!$A$2:$T$674,20,0),"")</f>
        <v>#NAME?</v>
      </c>
      <c r="N2366" s="32" t="e">
        <f ca="1">_xludf.ifna(VLOOKUP(G2366,Proyectos!$A$2:$S$674,19,0))</f>
        <v>#NAME?</v>
      </c>
      <c r="O2366" s="32"/>
      <c r="P2366" s="32"/>
      <c r="Q2366" s="33"/>
      <c r="R2366" s="33"/>
      <c r="S2366" s="33"/>
      <c r="T2366" s="63">
        <f t="shared" si="20"/>
        <v>0</v>
      </c>
      <c r="U2366" s="33"/>
      <c r="V2366" s="33"/>
      <c r="W2366" s="33"/>
    </row>
    <row r="2367" spans="1:23" ht="16.5" customHeight="1" x14ac:dyDescent="0.2">
      <c r="A2367" s="26"/>
      <c r="B2367" s="26"/>
      <c r="C2367" s="26"/>
      <c r="D2367" s="26"/>
      <c r="E2367" s="26"/>
      <c r="F2367" s="28"/>
      <c r="G2367" s="26"/>
      <c r="H2367" s="32"/>
      <c r="I2367" s="32"/>
      <c r="J2367" s="32"/>
      <c r="K2367" s="32"/>
      <c r="L2367" s="32" t="e">
        <f ca="1">_xludf.ifna(VLOOKUP(E2367,Parámetros!$D$2:$E$34,2,0),"")</f>
        <v>#NAME?</v>
      </c>
      <c r="M2367" s="32" t="e">
        <f ca="1">_xludf.ifna(VLOOKUP(G2367,Proyectos!$A$2:$T$674,20,0),"")</f>
        <v>#NAME?</v>
      </c>
      <c r="N2367" s="32" t="e">
        <f ca="1">_xludf.ifna(VLOOKUP(G2367,Proyectos!$A$2:$S$674,19,0))</f>
        <v>#NAME?</v>
      </c>
      <c r="O2367" s="32"/>
      <c r="P2367" s="32"/>
      <c r="Q2367" s="33"/>
      <c r="R2367" s="33"/>
      <c r="S2367" s="33"/>
      <c r="T2367" s="63">
        <f t="shared" si="20"/>
        <v>0</v>
      </c>
      <c r="U2367" s="33"/>
      <c r="V2367" s="33"/>
      <c r="W2367" s="33"/>
    </row>
    <row r="2368" spans="1:23" ht="16.5" customHeight="1" x14ac:dyDescent="0.2">
      <c r="A2368" s="26"/>
      <c r="B2368" s="26"/>
      <c r="C2368" s="26"/>
      <c r="D2368" s="26"/>
      <c r="E2368" s="26"/>
      <c r="F2368" s="28"/>
      <c r="G2368" s="26"/>
      <c r="H2368" s="32"/>
      <c r="I2368" s="32"/>
      <c r="J2368" s="32"/>
      <c r="K2368" s="32"/>
      <c r="L2368" s="32" t="e">
        <f ca="1">_xludf.ifna(VLOOKUP(E2368,Parámetros!$D$2:$E$34,2,0),"")</f>
        <v>#NAME?</v>
      </c>
      <c r="M2368" s="32" t="e">
        <f ca="1">_xludf.ifna(VLOOKUP(G2368,Proyectos!$A$2:$T$674,20,0),"")</f>
        <v>#NAME?</v>
      </c>
      <c r="N2368" s="32" t="e">
        <f ca="1">_xludf.ifna(VLOOKUP(G2368,Proyectos!$A$2:$S$674,19,0))</f>
        <v>#NAME?</v>
      </c>
      <c r="O2368" s="32"/>
      <c r="P2368" s="32"/>
      <c r="Q2368" s="33"/>
      <c r="R2368" s="33"/>
      <c r="S2368" s="33"/>
      <c r="T2368" s="63">
        <f t="shared" si="20"/>
        <v>0</v>
      </c>
      <c r="U2368" s="33"/>
      <c r="V2368" s="33"/>
      <c r="W2368" s="33"/>
    </row>
    <row r="2369" spans="1:23" ht="16.5" customHeight="1" x14ac:dyDescent="0.2">
      <c r="A2369" s="26"/>
      <c r="B2369" s="26"/>
      <c r="C2369" s="26"/>
      <c r="D2369" s="26"/>
      <c r="E2369" s="26"/>
      <c r="F2369" s="28"/>
      <c r="G2369" s="26"/>
      <c r="H2369" s="32"/>
      <c r="I2369" s="32"/>
      <c r="J2369" s="32"/>
      <c r="K2369" s="32"/>
      <c r="L2369" s="32" t="e">
        <f ca="1">_xludf.ifna(VLOOKUP(E2369,Parámetros!$D$2:$E$34,2,0),"")</f>
        <v>#NAME?</v>
      </c>
      <c r="M2369" s="32" t="e">
        <f ca="1">_xludf.ifna(VLOOKUP(G2369,Proyectos!$A$2:$T$674,20,0),"")</f>
        <v>#NAME?</v>
      </c>
      <c r="N2369" s="32" t="e">
        <f ca="1">_xludf.ifna(VLOOKUP(G2369,Proyectos!$A$2:$S$674,19,0))</f>
        <v>#NAME?</v>
      </c>
      <c r="O2369" s="32"/>
      <c r="P2369" s="32"/>
      <c r="Q2369" s="33"/>
      <c r="R2369" s="33"/>
      <c r="S2369" s="33"/>
      <c r="T2369" s="63">
        <f t="shared" si="20"/>
        <v>0</v>
      </c>
      <c r="U2369" s="33"/>
      <c r="V2369" s="33"/>
      <c r="W2369" s="33"/>
    </row>
    <row r="2370" spans="1:23" ht="16.5" customHeight="1" x14ac:dyDescent="0.2">
      <c r="A2370" s="26"/>
      <c r="B2370" s="26"/>
      <c r="C2370" s="26"/>
      <c r="D2370" s="26"/>
      <c r="E2370" s="26"/>
      <c r="F2370" s="28"/>
      <c r="G2370" s="26"/>
      <c r="H2370" s="32"/>
      <c r="I2370" s="32"/>
      <c r="J2370" s="32"/>
      <c r="K2370" s="32"/>
      <c r="L2370" s="32" t="e">
        <f ca="1">_xludf.ifna(VLOOKUP(E2370,Parámetros!$D$2:$E$34,2,0),"")</f>
        <v>#NAME?</v>
      </c>
      <c r="M2370" s="32" t="e">
        <f ca="1">_xludf.ifna(VLOOKUP(G2370,Proyectos!$A$2:$T$674,20,0),"")</f>
        <v>#NAME?</v>
      </c>
      <c r="N2370" s="32" t="e">
        <f ca="1">_xludf.ifna(VLOOKUP(G2370,Proyectos!$A$2:$S$674,19,0))</f>
        <v>#NAME?</v>
      </c>
      <c r="O2370" s="32"/>
      <c r="P2370" s="32"/>
      <c r="Q2370" s="33"/>
      <c r="R2370" s="33"/>
      <c r="S2370" s="33"/>
      <c r="T2370" s="63">
        <f t="shared" si="20"/>
        <v>0</v>
      </c>
      <c r="U2370" s="33"/>
      <c r="V2370" s="33"/>
      <c r="W2370" s="33"/>
    </row>
    <row r="2371" spans="1:23" ht="16.5" customHeight="1" x14ac:dyDescent="0.2">
      <c r="A2371" s="26"/>
      <c r="B2371" s="26"/>
      <c r="C2371" s="26"/>
      <c r="D2371" s="26"/>
      <c r="E2371" s="26"/>
      <c r="F2371" s="28"/>
      <c r="G2371" s="26"/>
      <c r="H2371" s="32"/>
      <c r="I2371" s="32"/>
      <c r="J2371" s="32"/>
      <c r="K2371" s="32"/>
      <c r="L2371" s="32" t="e">
        <f ca="1">_xludf.ifna(VLOOKUP(E2371,Parámetros!$D$2:$E$34,2,0),"")</f>
        <v>#NAME?</v>
      </c>
      <c r="M2371" s="32" t="e">
        <f ca="1">_xludf.ifna(VLOOKUP(G2371,Proyectos!$A$2:$T$674,20,0),"")</f>
        <v>#NAME?</v>
      </c>
      <c r="N2371" s="32" t="e">
        <f ca="1">_xludf.ifna(VLOOKUP(G2371,Proyectos!$A$2:$S$674,19,0))</f>
        <v>#NAME?</v>
      </c>
      <c r="O2371" s="32"/>
      <c r="P2371" s="32"/>
      <c r="Q2371" s="33"/>
      <c r="R2371" s="33"/>
      <c r="S2371" s="33"/>
      <c r="T2371" s="63">
        <f t="shared" si="20"/>
        <v>0</v>
      </c>
      <c r="U2371" s="33"/>
      <c r="V2371" s="33"/>
      <c r="W2371" s="33"/>
    </row>
    <row r="2372" spans="1:23" ht="16.5" customHeight="1" x14ac:dyDescent="0.2">
      <c r="A2372" s="26"/>
      <c r="B2372" s="26"/>
      <c r="C2372" s="26"/>
      <c r="D2372" s="26"/>
      <c r="E2372" s="26"/>
      <c r="F2372" s="28"/>
      <c r="G2372" s="26"/>
      <c r="H2372" s="32"/>
      <c r="I2372" s="32"/>
      <c r="J2372" s="32"/>
      <c r="K2372" s="32"/>
      <c r="L2372" s="32" t="e">
        <f ca="1">_xludf.ifna(VLOOKUP(E2372,Parámetros!$D$2:$E$34,2,0),"")</f>
        <v>#NAME?</v>
      </c>
      <c r="M2372" s="32" t="e">
        <f ca="1">_xludf.ifna(VLOOKUP(G2372,Proyectos!$A$2:$T$674,20,0),"")</f>
        <v>#NAME?</v>
      </c>
      <c r="N2372" s="32" t="e">
        <f ca="1">_xludf.ifna(VLOOKUP(G2372,Proyectos!$A$2:$S$674,19,0))</f>
        <v>#NAME?</v>
      </c>
      <c r="O2372" s="32"/>
      <c r="P2372" s="32"/>
      <c r="Q2372" s="33"/>
      <c r="R2372" s="33"/>
      <c r="S2372" s="33"/>
      <c r="T2372" s="63">
        <f t="shared" si="20"/>
        <v>0</v>
      </c>
      <c r="U2372" s="33"/>
      <c r="V2372" s="33"/>
      <c r="W2372" s="33"/>
    </row>
    <row r="2373" spans="1:23" ht="16.5" customHeight="1" x14ac:dyDescent="0.2">
      <c r="A2373" s="26"/>
      <c r="B2373" s="26"/>
      <c r="C2373" s="26"/>
      <c r="D2373" s="26"/>
      <c r="E2373" s="26"/>
      <c r="F2373" s="28"/>
      <c r="G2373" s="26"/>
      <c r="H2373" s="32"/>
      <c r="I2373" s="32"/>
      <c r="J2373" s="32"/>
      <c r="K2373" s="32"/>
      <c r="L2373" s="32" t="e">
        <f ca="1">_xludf.ifna(VLOOKUP(E2373,Parámetros!$D$2:$E$34,2,0),"")</f>
        <v>#NAME?</v>
      </c>
      <c r="M2373" s="32" t="e">
        <f ca="1">_xludf.ifna(VLOOKUP(G2373,Proyectos!$A$2:$T$674,20,0),"")</f>
        <v>#NAME?</v>
      </c>
      <c r="N2373" s="32" t="e">
        <f ca="1">_xludf.ifna(VLOOKUP(G2373,Proyectos!$A$2:$S$674,19,0))</f>
        <v>#NAME?</v>
      </c>
      <c r="O2373" s="32"/>
      <c r="P2373" s="32"/>
      <c r="Q2373" s="33"/>
      <c r="R2373" s="33"/>
      <c r="S2373" s="33"/>
      <c r="T2373" s="63">
        <f t="shared" si="20"/>
        <v>0</v>
      </c>
      <c r="U2373" s="33"/>
      <c r="V2373" s="33"/>
      <c r="W2373" s="33"/>
    </row>
    <row r="2374" spans="1:23" ht="16.5" customHeight="1" x14ac:dyDescent="0.2">
      <c r="A2374" s="26"/>
      <c r="B2374" s="26"/>
      <c r="C2374" s="26"/>
      <c r="D2374" s="26"/>
      <c r="E2374" s="26"/>
      <c r="F2374" s="28"/>
      <c r="G2374" s="26"/>
      <c r="H2374" s="32"/>
      <c r="I2374" s="32"/>
      <c r="J2374" s="32"/>
      <c r="K2374" s="32"/>
      <c r="L2374" s="32" t="e">
        <f ca="1">_xludf.ifna(VLOOKUP(E2374,Parámetros!$D$2:$E$34,2,0),"")</f>
        <v>#NAME?</v>
      </c>
      <c r="M2374" s="32" t="e">
        <f ca="1">_xludf.ifna(VLOOKUP(G2374,Proyectos!$A$2:$T$674,20,0),"")</f>
        <v>#NAME?</v>
      </c>
      <c r="N2374" s="32" t="e">
        <f ca="1">_xludf.ifna(VLOOKUP(G2374,Proyectos!$A$2:$S$674,19,0))</f>
        <v>#NAME?</v>
      </c>
      <c r="O2374" s="32"/>
      <c r="P2374" s="32"/>
      <c r="Q2374" s="33"/>
      <c r="R2374" s="33"/>
      <c r="S2374" s="33"/>
      <c r="T2374" s="63">
        <f t="shared" si="20"/>
        <v>0</v>
      </c>
      <c r="U2374" s="33"/>
      <c r="V2374" s="33"/>
      <c r="W2374" s="33"/>
    </row>
    <row r="2375" spans="1:23" ht="16.5" customHeight="1" x14ac:dyDescent="0.2">
      <c r="A2375" s="26"/>
      <c r="B2375" s="26"/>
      <c r="C2375" s="26"/>
      <c r="D2375" s="26"/>
      <c r="E2375" s="26"/>
      <c r="F2375" s="28"/>
      <c r="G2375" s="26"/>
      <c r="H2375" s="32"/>
      <c r="I2375" s="32"/>
      <c r="J2375" s="32"/>
      <c r="K2375" s="32"/>
      <c r="L2375" s="32" t="e">
        <f ca="1">_xludf.ifna(VLOOKUP(E2375,Parámetros!$D$2:$E$34,2,0),"")</f>
        <v>#NAME?</v>
      </c>
      <c r="M2375" s="32" t="e">
        <f ca="1">_xludf.ifna(VLOOKUP(G2375,Proyectos!$A$2:$T$674,20,0),"")</f>
        <v>#NAME?</v>
      </c>
      <c r="N2375" s="32" t="e">
        <f ca="1">_xludf.ifna(VLOOKUP(G2375,Proyectos!$A$2:$S$674,19,0))</f>
        <v>#NAME?</v>
      </c>
      <c r="O2375" s="32"/>
      <c r="P2375" s="32"/>
      <c r="Q2375" s="33"/>
      <c r="R2375" s="33"/>
      <c r="S2375" s="33"/>
      <c r="T2375" s="63">
        <f t="shared" si="20"/>
        <v>0</v>
      </c>
      <c r="U2375" s="33"/>
      <c r="V2375" s="33"/>
      <c r="W2375" s="33"/>
    </row>
    <row r="2376" spans="1:23" ht="16.5" customHeight="1" x14ac:dyDescent="0.2">
      <c r="A2376" s="26"/>
      <c r="B2376" s="26"/>
      <c r="C2376" s="26"/>
      <c r="D2376" s="26"/>
      <c r="E2376" s="26"/>
      <c r="F2376" s="28"/>
      <c r="G2376" s="26"/>
      <c r="H2376" s="32"/>
      <c r="I2376" s="32"/>
      <c r="J2376" s="32"/>
      <c r="K2376" s="32"/>
      <c r="L2376" s="32" t="e">
        <f ca="1">_xludf.ifna(VLOOKUP(E2376,Parámetros!$D$2:$E$34,2,0),"")</f>
        <v>#NAME?</v>
      </c>
      <c r="M2376" s="32" t="e">
        <f ca="1">_xludf.ifna(VLOOKUP(G2376,Proyectos!$A$2:$T$674,20,0),"")</f>
        <v>#NAME?</v>
      </c>
      <c r="N2376" s="32" t="e">
        <f ca="1">_xludf.ifna(VLOOKUP(G2376,Proyectos!$A$2:$S$674,19,0))</f>
        <v>#NAME?</v>
      </c>
      <c r="O2376" s="32"/>
      <c r="P2376" s="32"/>
      <c r="Q2376" s="33"/>
      <c r="R2376" s="33"/>
      <c r="S2376" s="33"/>
      <c r="T2376" s="63">
        <f t="shared" si="20"/>
        <v>0</v>
      </c>
      <c r="U2376" s="33"/>
      <c r="V2376" s="33"/>
      <c r="W2376" s="33"/>
    </row>
    <row r="2377" spans="1:23" ht="16.5" customHeight="1" x14ac:dyDescent="0.2">
      <c r="A2377" s="26"/>
      <c r="B2377" s="26"/>
      <c r="C2377" s="26"/>
      <c r="D2377" s="26"/>
      <c r="E2377" s="26"/>
      <c r="F2377" s="28"/>
      <c r="G2377" s="26"/>
      <c r="H2377" s="32"/>
      <c r="I2377" s="32"/>
      <c r="J2377" s="32"/>
      <c r="K2377" s="32"/>
      <c r="L2377" s="32" t="e">
        <f ca="1">_xludf.ifna(VLOOKUP(E2377,Parámetros!$D$2:$E$34,2,0),"")</f>
        <v>#NAME?</v>
      </c>
      <c r="M2377" s="32" t="e">
        <f ca="1">_xludf.ifna(VLOOKUP(G2377,Proyectos!$A$2:$T$674,20,0),"")</f>
        <v>#NAME?</v>
      </c>
      <c r="N2377" s="32" t="e">
        <f ca="1">_xludf.ifna(VLOOKUP(G2377,Proyectos!$A$2:$S$674,19,0))</f>
        <v>#NAME?</v>
      </c>
      <c r="O2377" s="32"/>
      <c r="P2377" s="32"/>
      <c r="Q2377" s="33"/>
      <c r="R2377" s="33"/>
      <c r="S2377" s="33"/>
      <c r="T2377" s="63">
        <f t="shared" si="20"/>
        <v>0</v>
      </c>
      <c r="U2377" s="33"/>
      <c r="V2377" s="33"/>
      <c r="W2377" s="33"/>
    </row>
    <row r="2378" spans="1:23" ht="16.5" customHeight="1" x14ac:dyDescent="0.2">
      <c r="A2378" s="26"/>
      <c r="B2378" s="26"/>
      <c r="C2378" s="26"/>
      <c r="D2378" s="26"/>
      <c r="E2378" s="26"/>
      <c r="F2378" s="28"/>
      <c r="G2378" s="26"/>
      <c r="H2378" s="32"/>
      <c r="I2378" s="32"/>
      <c r="J2378" s="32"/>
      <c r="K2378" s="32"/>
      <c r="L2378" s="32" t="e">
        <f ca="1">_xludf.ifna(VLOOKUP(E2378,Parámetros!$D$2:$E$34,2,0),"")</f>
        <v>#NAME?</v>
      </c>
      <c r="M2378" s="32" t="e">
        <f ca="1">_xludf.ifna(VLOOKUP(G2378,Proyectos!$A$2:$T$674,20,0),"")</f>
        <v>#NAME?</v>
      </c>
      <c r="N2378" s="32" t="e">
        <f ca="1">_xludf.ifna(VLOOKUP(G2378,Proyectos!$A$2:$S$674,19,0))</f>
        <v>#NAME?</v>
      </c>
      <c r="O2378" s="32"/>
      <c r="P2378" s="32"/>
      <c r="Q2378" s="33"/>
      <c r="R2378" s="33"/>
      <c r="S2378" s="33"/>
      <c r="T2378" s="63">
        <f t="shared" si="20"/>
        <v>0</v>
      </c>
      <c r="U2378" s="33"/>
      <c r="V2378" s="33"/>
      <c r="W2378" s="33"/>
    </row>
    <row r="2379" spans="1:23" ht="16.5" customHeight="1" x14ac:dyDescent="0.2">
      <c r="A2379" s="26"/>
      <c r="B2379" s="26"/>
      <c r="C2379" s="26"/>
      <c r="D2379" s="26"/>
      <c r="E2379" s="26"/>
      <c r="F2379" s="28"/>
      <c r="G2379" s="26"/>
      <c r="H2379" s="32"/>
      <c r="I2379" s="32"/>
      <c r="J2379" s="32"/>
      <c r="K2379" s="32"/>
      <c r="L2379" s="32" t="e">
        <f ca="1">_xludf.ifna(VLOOKUP(E2379,Parámetros!$D$2:$E$34,2,0),"")</f>
        <v>#NAME?</v>
      </c>
      <c r="M2379" s="32" t="e">
        <f ca="1">_xludf.ifna(VLOOKUP(G2379,Proyectos!$A$2:$T$674,20,0),"")</f>
        <v>#NAME?</v>
      </c>
      <c r="N2379" s="32" t="e">
        <f ca="1">_xludf.ifna(VLOOKUP(G2379,Proyectos!$A$2:$S$674,19,0))</f>
        <v>#NAME?</v>
      </c>
      <c r="O2379" s="32"/>
      <c r="P2379" s="32"/>
      <c r="Q2379" s="33"/>
      <c r="R2379" s="33"/>
      <c r="S2379" s="33"/>
      <c r="T2379" s="63">
        <f t="shared" si="20"/>
        <v>0</v>
      </c>
      <c r="U2379" s="33"/>
      <c r="V2379" s="33"/>
      <c r="W2379" s="33"/>
    </row>
    <row r="2380" spans="1:23" ht="16.5" customHeight="1" x14ac:dyDescent="0.2">
      <c r="A2380" s="26"/>
      <c r="B2380" s="26"/>
      <c r="C2380" s="26"/>
      <c r="D2380" s="26"/>
      <c r="E2380" s="26"/>
      <c r="F2380" s="28"/>
      <c r="G2380" s="26"/>
      <c r="H2380" s="32"/>
      <c r="I2380" s="32"/>
      <c r="J2380" s="32"/>
      <c r="K2380" s="32"/>
      <c r="L2380" s="32" t="e">
        <f ca="1">_xludf.ifna(VLOOKUP(E2380,Parámetros!$D$2:$E$34,2,0),"")</f>
        <v>#NAME?</v>
      </c>
      <c r="M2380" s="32" t="e">
        <f ca="1">_xludf.ifna(VLOOKUP(G2380,Proyectos!$A$2:$T$674,20,0),"")</f>
        <v>#NAME?</v>
      </c>
      <c r="N2380" s="32" t="e">
        <f ca="1">_xludf.ifna(VLOOKUP(G2380,Proyectos!$A$2:$S$674,19,0))</f>
        <v>#NAME?</v>
      </c>
      <c r="O2380" s="32"/>
      <c r="P2380" s="32"/>
      <c r="Q2380" s="33"/>
      <c r="R2380" s="33"/>
      <c r="S2380" s="33"/>
      <c r="T2380" s="63">
        <f t="shared" si="20"/>
        <v>0</v>
      </c>
      <c r="U2380" s="33"/>
      <c r="V2380" s="33"/>
      <c r="W2380" s="33"/>
    </row>
    <row r="2381" spans="1:23" ht="16.5" customHeight="1" x14ac:dyDescent="0.2">
      <c r="A2381" s="26"/>
      <c r="B2381" s="26"/>
      <c r="C2381" s="26"/>
      <c r="D2381" s="26"/>
      <c r="E2381" s="26"/>
      <c r="F2381" s="28"/>
      <c r="G2381" s="26"/>
      <c r="H2381" s="32"/>
      <c r="I2381" s="32"/>
      <c r="J2381" s="32"/>
      <c r="K2381" s="32"/>
      <c r="L2381" s="32" t="e">
        <f ca="1">_xludf.ifna(VLOOKUP(E2381,Parámetros!$D$2:$E$34,2,0),"")</f>
        <v>#NAME?</v>
      </c>
      <c r="M2381" s="32" t="e">
        <f ca="1">_xludf.ifna(VLOOKUP(G2381,Proyectos!$A$2:$T$674,20,0),"")</f>
        <v>#NAME?</v>
      </c>
      <c r="N2381" s="32" t="e">
        <f ca="1">_xludf.ifna(VLOOKUP(G2381,Proyectos!$A$2:$S$674,19,0))</f>
        <v>#NAME?</v>
      </c>
      <c r="O2381" s="32"/>
      <c r="P2381" s="32"/>
      <c r="Q2381" s="33"/>
      <c r="R2381" s="33"/>
      <c r="S2381" s="33"/>
      <c r="T2381" s="63">
        <f t="shared" si="20"/>
        <v>0</v>
      </c>
      <c r="U2381" s="33"/>
      <c r="V2381" s="33"/>
      <c r="W2381" s="33"/>
    </row>
    <row r="2382" spans="1:23" ht="16.5" customHeight="1" x14ac:dyDescent="0.2">
      <c r="A2382" s="26"/>
      <c r="B2382" s="26"/>
      <c r="C2382" s="26"/>
      <c r="D2382" s="26"/>
      <c r="E2382" s="26"/>
      <c r="F2382" s="28"/>
      <c r="G2382" s="26"/>
      <c r="H2382" s="32"/>
      <c r="I2382" s="32"/>
      <c r="J2382" s="32"/>
      <c r="K2382" s="32"/>
      <c r="L2382" s="32" t="e">
        <f ca="1">_xludf.ifna(VLOOKUP(E2382,Parámetros!$D$2:$E$34,2,0),"")</f>
        <v>#NAME?</v>
      </c>
      <c r="M2382" s="32" t="e">
        <f ca="1">_xludf.ifna(VLOOKUP(G2382,Proyectos!$A$2:$T$674,20,0),"")</f>
        <v>#NAME?</v>
      </c>
      <c r="N2382" s="32" t="e">
        <f ca="1">_xludf.ifna(VLOOKUP(G2382,Proyectos!$A$2:$S$674,19,0))</f>
        <v>#NAME?</v>
      </c>
      <c r="O2382" s="32"/>
      <c r="P2382" s="32"/>
      <c r="Q2382" s="33"/>
      <c r="R2382" s="33"/>
      <c r="S2382" s="33"/>
      <c r="T2382" s="63">
        <f t="shared" si="20"/>
        <v>0</v>
      </c>
      <c r="U2382" s="33"/>
      <c r="V2382" s="33"/>
      <c r="W2382" s="33"/>
    </row>
    <row r="2383" spans="1:23" ht="16.5" customHeight="1" x14ac:dyDescent="0.2">
      <c r="A2383" s="26"/>
      <c r="B2383" s="26"/>
      <c r="C2383" s="26"/>
      <c r="D2383" s="26"/>
      <c r="E2383" s="26"/>
      <c r="F2383" s="28"/>
      <c r="G2383" s="26"/>
      <c r="H2383" s="32"/>
      <c r="I2383" s="32"/>
      <c r="J2383" s="32"/>
      <c r="K2383" s="32"/>
      <c r="L2383" s="32" t="e">
        <f ca="1">_xludf.ifna(VLOOKUP(E2383,Parámetros!$D$2:$E$34,2,0),"")</f>
        <v>#NAME?</v>
      </c>
      <c r="M2383" s="32" t="e">
        <f ca="1">_xludf.ifna(VLOOKUP(G2383,Proyectos!$A$2:$T$674,20,0),"")</f>
        <v>#NAME?</v>
      </c>
      <c r="N2383" s="32" t="e">
        <f ca="1">_xludf.ifna(VLOOKUP(G2383,Proyectos!$A$2:$S$674,19,0))</f>
        <v>#NAME?</v>
      </c>
      <c r="O2383" s="32"/>
      <c r="P2383" s="32"/>
      <c r="Q2383" s="33"/>
      <c r="R2383" s="33"/>
      <c r="S2383" s="33"/>
      <c r="T2383" s="63">
        <f t="shared" si="20"/>
        <v>0</v>
      </c>
      <c r="U2383" s="33"/>
      <c r="V2383" s="33"/>
      <c r="W2383" s="33"/>
    </row>
    <row r="2384" spans="1:23" ht="16.5" customHeight="1" x14ac:dyDescent="0.2">
      <c r="A2384" s="26"/>
      <c r="B2384" s="26"/>
      <c r="C2384" s="26"/>
      <c r="D2384" s="26"/>
      <c r="E2384" s="26"/>
      <c r="F2384" s="28"/>
      <c r="G2384" s="26"/>
      <c r="H2384" s="32"/>
      <c r="I2384" s="32"/>
      <c r="J2384" s="32"/>
      <c r="K2384" s="32"/>
      <c r="L2384" s="32" t="e">
        <f ca="1">_xludf.ifna(VLOOKUP(E2384,Parámetros!$D$2:$E$34,2,0),"")</f>
        <v>#NAME?</v>
      </c>
      <c r="M2384" s="32" t="e">
        <f ca="1">_xludf.ifna(VLOOKUP(G2384,Proyectos!$A$2:$T$674,20,0),"")</f>
        <v>#NAME?</v>
      </c>
      <c r="N2384" s="32" t="e">
        <f ca="1">_xludf.ifna(VLOOKUP(G2384,Proyectos!$A$2:$S$674,19,0))</f>
        <v>#NAME?</v>
      </c>
      <c r="O2384" s="32"/>
      <c r="P2384" s="32"/>
      <c r="Q2384" s="33"/>
      <c r="R2384" s="33"/>
      <c r="S2384" s="33"/>
      <c r="T2384" s="63">
        <f t="shared" si="20"/>
        <v>0</v>
      </c>
      <c r="U2384" s="33"/>
      <c r="V2384" s="33"/>
      <c r="W2384" s="33"/>
    </row>
    <row r="2385" spans="1:23" ht="16.5" customHeight="1" x14ac:dyDescent="0.2">
      <c r="A2385" s="26"/>
      <c r="B2385" s="26"/>
      <c r="C2385" s="26"/>
      <c r="D2385" s="26"/>
      <c r="E2385" s="26"/>
      <c r="F2385" s="28"/>
      <c r="G2385" s="26"/>
      <c r="H2385" s="32"/>
      <c r="I2385" s="32"/>
      <c r="J2385" s="32"/>
      <c r="K2385" s="32"/>
      <c r="L2385" s="32" t="e">
        <f ca="1">_xludf.ifna(VLOOKUP(E2385,Parámetros!$D$2:$E$34,2,0),"")</f>
        <v>#NAME?</v>
      </c>
      <c r="M2385" s="32" t="e">
        <f ca="1">_xludf.ifna(VLOOKUP(G2385,Proyectos!$A$2:$T$674,20,0),"")</f>
        <v>#NAME?</v>
      </c>
      <c r="N2385" s="32" t="e">
        <f ca="1">_xludf.ifna(VLOOKUP(G2385,Proyectos!$A$2:$S$674,19,0))</f>
        <v>#NAME?</v>
      </c>
      <c r="O2385" s="32"/>
      <c r="P2385" s="32"/>
      <c r="Q2385" s="33"/>
      <c r="R2385" s="33"/>
      <c r="S2385" s="33"/>
      <c r="T2385" s="63">
        <f t="shared" si="20"/>
        <v>0</v>
      </c>
      <c r="U2385" s="33"/>
      <c r="V2385" s="33"/>
      <c r="W2385" s="33"/>
    </row>
    <row r="2386" spans="1:23" ht="16.5" customHeight="1" x14ac:dyDescent="0.2">
      <c r="A2386" s="26"/>
      <c r="B2386" s="26"/>
      <c r="C2386" s="26"/>
      <c r="D2386" s="26"/>
      <c r="E2386" s="26"/>
      <c r="F2386" s="28"/>
      <c r="G2386" s="26"/>
      <c r="H2386" s="32"/>
      <c r="I2386" s="32"/>
      <c r="J2386" s="32"/>
      <c r="K2386" s="32"/>
      <c r="L2386" s="32" t="e">
        <f ca="1">_xludf.ifna(VLOOKUP(E2386,Parámetros!$D$2:$E$34,2,0),"")</f>
        <v>#NAME?</v>
      </c>
      <c r="M2386" s="32" t="e">
        <f ca="1">_xludf.ifna(VLOOKUP(G2386,Proyectos!$A$2:$T$674,20,0),"")</f>
        <v>#NAME?</v>
      </c>
      <c r="N2386" s="32" t="e">
        <f ca="1">_xludf.ifna(VLOOKUP(G2386,Proyectos!$A$2:$S$674,19,0))</f>
        <v>#NAME?</v>
      </c>
      <c r="O2386" s="32"/>
      <c r="P2386" s="32"/>
      <c r="Q2386" s="33"/>
      <c r="R2386" s="33"/>
      <c r="S2386" s="33"/>
      <c r="T2386" s="63">
        <f t="shared" si="20"/>
        <v>0</v>
      </c>
      <c r="U2386" s="33"/>
      <c r="V2386" s="33"/>
      <c r="W2386" s="33"/>
    </row>
    <row r="2387" spans="1:23" ht="16.5" customHeight="1" x14ac:dyDescent="0.2">
      <c r="A2387" s="26"/>
      <c r="B2387" s="26"/>
      <c r="C2387" s="26"/>
      <c r="D2387" s="26"/>
      <c r="E2387" s="26"/>
      <c r="F2387" s="28"/>
      <c r="G2387" s="26"/>
      <c r="H2387" s="32"/>
      <c r="I2387" s="32"/>
      <c r="J2387" s="32"/>
      <c r="K2387" s="32"/>
      <c r="L2387" s="32" t="e">
        <f ca="1">_xludf.ifna(VLOOKUP(E2387,Parámetros!$D$2:$E$34,2,0),"")</f>
        <v>#NAME?</v>
      </c>
      <c r="M2387" s="32" t="e">
        <f ca="1">_xludf.ifna(VLOOKUP(G2387,Proyectos!$A$2:$T$674,20,0),"")</f>
        <v>#NAME?</v>
      </c>
      <c r="N2387" s="32" t="e">
        <f ca="1">_xludf.ifna(VLOOKUP(G2387,Proyectos!$A$2:$S$674,19,0))</f>
        <v>#NAME?</v>
      </c>
      <c r="O2387" s="32"/>
      <c r="P2387" s="32"/>
      <c r="Q2387" s="33"/>
      <c r="R2387" s="33"/>
      <c r="S2387" s="33"/>
      <c r="T2387" s="63">
        <f t="shared" si="20"/>
        <v>0</v>
      </c>
      <c r="U2387" s="33"/>
      <c r="V2387" s="33"/>
      <c r="W2387" s="33"/>
    </row>
    <row r="2388" spans="1:23" ht="16.5" customHeight="1" x14ac:dyDescent="0.2">
      <c r="A2388" s="26"/>
      <c r="B2388" s="26"/>
      <c r="C2388" s="26"/>
      <c r="D2388" s="26"/>
      <c r="E2388" s="26"/>
      <c r="F2388" s="28"/>
      <c r="G2388" s="26"/>
      <c r="H2388" s="32"/>
      <c r="I2388" s="32"/>
      <c r="J2388" s="32"/>
      <c r="K2388" s="32"/>
      <c r="L2388" s="32" t="e">
        <f ca="1">_xludf.ifna(VLOOKUP(E2388,Parámetros!$D$2:$E$34,2,0),"")</f>
        <v>#NAME?</v>
      </c>
      <c r="M2388" s="32" t="e">
        <f ca="1">_xludf.ifna(VLOOKUP(G2388,Proyectos!$A$2:$T$674,20,0),"")</f>
        <v>#NAME?</v>
      </c>
      <c r="N2388" s="32" t="e">
        <f ca="1">_xludf.ifna(VLOOKUP(G2388,Proyectos!$A$2:$S$674,19,0))</f>
        <v>#NAME?</v>
      </c>
      <c r="O2388" s="32"/>
      <c r="P2388" s="32"/>
      <c r="Q2388" s="33"/>
      <c r="R2388" s="33"/>
      <c r="S2388" s="33"/>
      <c r="T2388" s="63">
        <f t="shared" si="20"/>
        <v>0</v>
      </c>
      <c r="U2388" s="33"/>
      <c r="V2388" s="33"/>
      <c r="W2388" s="33"/>
    </row>
    <row r="2389" spans="1:23" ht="16.5" customHeight="1" x14ac:dyDescent="0.2">
      <c r="A2389" s="26"/>
      <c r="B2389" s="26"/>
      <c r="C2389" s="26"/>
      <c r="D2389" s="26"/>
      <c r="E2389" s="26"/>
      <c r="F2389" s="28"/>
      <c r="G2389" s="26"/>
      <c r="H2389" s="32"/>
      <c r="I2389" s="32"/>
      <c r="J2389" s="32"/>
      <c r="K2389" s="32"/>
      <c r="L2389" s="32" t="e">
        <f ca="1">_xludf.ifna(VLOOKUP(E2389,Parámetros!$D$2:$E$34,2,0),"")</f>
        <v>#NAME?</v>
      </c>
      <c r="M2389" s="32" t="e">
        <f ca="1">_xludf.ifna(VLOOKUP(G2389,Proyectos!$A$2:$T$674,20,0),"")</f>
        <v>#NAME?</v>
      </c>
      <c r="N2389" s="32" t="e">
        <f ca="1">_xludf.ifna(VLOOKUP(G2389,Proyectos!$A$2:$S$674,19,0))</f>
        <v>#NAME?</v>
      </c>
      <c r="O2389" s="32"/>
      <c r="P2389" s="32"/>
      <c r="Q2389" s="33"/>
      <c r="R2389" s="33"/>
      <c r="S2389" s="33"/>
      <c r="T2389" s="63">
        <f t="shared" si="20"/>
        <v>0</v>
      </c>
      <c r="U2389" s="33"/>
      <c r="V2389" s="33"/>
      <c r="W2389" s="33"/>
    </row>
    <row r="2390" spans="1:23" ht="16.5" customHeight="1" x14ac:dyDescent="0.2">
      <c r="A2390" s="26"/>
      <c r="B2390" s="26"/>
      <c r="C2390" s="26"/>
      <c r="D2390" s="26"/>
      <c r="E2390" s="26"/>
      <c r="F2390" s="28"/>
      <c r="G2390" s="26"/>
      <c r="H2390" s="32"/>
      <c r="I2390" s="32"/>
      <c r="J2390" s="32"/>
      <c r="K2390" s="32"/>
      <c r="L2390" s="32" t="e">
        <f ca="1">_xludf.ifna(VLOOKUP(E2390,Parámetros!$D$2:$E$34,2,0),"")</f>
        <v>#NAME?</v>
      </c>
      <c r="M2390" s="32" t="e">
        <f ca="1">_xludf.ifna(VLOOKUP(G2390,Proyectos!$A$2:$T$674,20,0),"")</f>
        <v>#NAME?</v>
      </c>
      <c r="N2390" s="32" t="e">
        <f ca="1">_xludf.ifna(VLOOKUP(G2390,Proyectos!$A$2:$S$674,19,0))</f>
        <v>#NAME?</v>
      </c>
      <c r="O2390" s="32"/>
      <c r="P2390" s="32"/>
      <c r="Q2390" s="33"/>
      <c r="R2390" s="33"/>
      <c r="S2390" s="33"/>
      <c r="T2390" s="63">
        <f t="shared" si="20"/>
        <v>0</v>
      </c>
      <c r="U2390" s="33"/>
      <c r="V2390" s="33"/>
      <c r="W2390" s="33"/>
    </row>
    <row r="2391" spans="1:23" ht="16.5" customHeight="1" x14ac:dyDescent="0.2">
      <c r="A2391" s="26"/>
      <c r="B2391" s="26"/>
      <c r="C2391" s="26"/>
      <c r="D2391" s="26"/>
      <c r="E2391" s="26"/>
      <c r="F2391" s="28"/>
      <c r="G2391" s="26"/>
      <c r="H2391" s="32"/>
      <c r="I2391" s="32"/>
      <c r="J2391" s="32"/>
      <c r="K2391" s="32"/>
      <c r="L2391" s="32" t="e">
        <f ca="1">_xludf.ifna(VLOOKUP(E2391,Parámetros!$D$2:$E$34,2,0),"")</f>
        <v>#NAME?</v>
      </c>
      <c r="M2391" s="32" t="e">
        <f ca="1">_xludf.ifna(VLOOKUP(G2391,Proyectos!$A$2:$T$674,20,0),"")</f>
        <v>#NAME?</v>
      </c>
      <c r="N2391" s="32" t="e">
        <f ca="1">_xludf.ifna(VLOOKUP(G2391,Proyectos!$A$2:$S$674,19,0))</f>
        <v>#NAME?</v>
      </c>
      <c r="O2391" s="32"/>
      <c r="P2391" s="32"/>
      <c r="Q2391" s="33"/>
      <c r="R2391" s="33"/>
      <c r="S2391" s="33"/>
      <c r="T2391" s="63">
        <f t="shared" si="20"/>
        <v>0</v>
      </c>
      <c r="U2391" s="33"/>
      <c r="V2391" s="33"/>
      <c r="W2391" s="33"/>
    </row>
    <row r="2392" spans="1:23" ht="16.5" customHeight="1" x14ac:dyDescent="0.2">
      <c r="A2392" s="26"/>
      <c r="B2392" s="26"/>
      <c r="C2392" s="26"/>
      <c r="D2392" s="26"/>
      <c r="E2392" s="26"/>
      <c r="F2392" s="28"/>
      <c r="G2392" s="26"/>
      <c r="H2392" s="32"/>
      <c r="I2392" s="32"/>
      <c r="J2392" s="32"/>
      <c r="K2392" s="32"/>
      <c r="L2392" s="32" t="e">
        <f ca="1">_xludf.ifna(VLOOKUP(E2392,Parámetros!$D$2:$E$34,2,0),"")</f>
        <v>#NAME?</v>
      </c>
      <c r="M2392" s="32" t="e">
        <f ca="1">_xludf.ifna(VLOOKUP(G2392,Proyectos!$A$2:$T$674,20,0),"")</f>
        <v>#NAME?</v>
      </c>
      <c r="N2392" s="32" t="e">
        <f ca="1">_xludf.ifna(VLOOKUP(G2392,Proyectos!$A$2:$S$674,19,0))</f>
        <v>#NAME?</v>
      </c>
      <c r="O2392" s="32"/>
      <c r="P2392" s="32"/>
      <c r="Q2392" s="33"/>
      <c r="R2392" s="33"/>
      <c r="S2392" s="33"/>
      <c r="T2392" s="63">
        <f t="shared" si="20"/>
        <v>0</v>
      </c>
      <c r="U2392" s="33"/>
      <c r="V2392" s="33"/>
      <c r="W2392" s="33"/>
    </row>
    <row r="2393" spans="1:23" ht="16.5" customHeight="1" x14ac:dyDescent="0.2">
      <c r="A2393" s="26"/>
      <c r="B2393" s="26"/>
      <c r="C2393" s="26"/>
      <c r="D2393" s="26"/>
      <c r="E2393" s="26"/>
      <c r="F2393" s="28"/>
      <c r="G2393" s="26"/>
      <c r="H2393" s="32"/>
      <c r="I2393" s="32"/>
      <c r="J2393" s="32"/>
      <c r="K2393" s="32"/>
      <c r="L2393" s="32" t="e">
        <f ca="1">_xludf.ifna(VLOOKUP(E2393,Parámetros!$D$2:$E$34,2,0),"")</f>
        <v>#NAME?</v>
      </c>
      <c r="M2393" s="32" t="e">
        <f ca="1">_xludf.ifna(VLOOKUP(G2393,Proyectos!$A$2:$T$674,20,0),"")</f>
        <v>#NAME?</v>
      </c>
      <c r="N2393" s="32" t="e">
        <f ca="1">_xludf.ifna(VLOOKUP(G2393,Proyectos!$A$2:$S$674,19,0))</f>
        <v>#NAME?</v>
      </c>
      <c r="O2393" s="32"/>
      <c r="P2393" s="32"/>
      <c r="Q2393" s="33"/>
      <c r="R2393" s="33"/>
      <c r="S2393" s="33"/>
      <c r="T2393" s="63">
        <f t="shared" si="20"/>
        <v>0</v>
      </c>
      <c r="U2393" s="33"/>
      <c r="V2393" s="33"/>
      <c r="W2393" s="33"/>
    </row>
    <row r="2394" spans="1:23" ht="16.5" customHeight="1" x14ac:dyDescent="0.2">
      <c r="A2394" s="26"/>
      <c r="B2394" s="26"/>
      <c r="C2394" s="26"/>
      <c r="D2394" s="26"/>
      <c r="E2394" s="26"/>
      <c r="F2394" s="28"/>
      <c r="G2394" s="26"/>
      <c r="H2394" s="32"/>
      <c r="I2394" s="32"/>
      <c r="J2394" s="32"/>
      <c r="K2394" s="32"/>
      <c r="L2394" s="32" t="e">
        <f ca="1">_xludf.ifna(VLOOKUP(E2394,Parámetros!$D$2:$E$34,2,0),"")</f>
        <v>#NAME?</v>
      </c>
      <c r="M2394" s="32" t="e">
        <f ca="1">_xludf.ifna(VLOOKUP(G2394,Proyectos!$A$2:$T$674,20,0),"")</f>
        <v>#NAME?</v>
      </c>
      <c r="N2394" s="32" t="e">
        <f ca="1">_xludf.ifna(VLOOKUP(G2394,Proyectos!$A$2:$S$674,19,0))</f>
        <v>#NAME?</v>
      </c>
      <c r="O2394" s="32"/>
      <c r="P2394" s="32"/>
      <c r="Q2394" s="33"/>
      <c r="R2394" s="33"/>
      <c r="S2394" s="33"/>
      <c r="T2394" s="63">
        <f t="shared" si="20"/>
        <v>0</v>
      </c>
      <c r="U2394" s="33"/>
      <c r="V2394" s="33"/>
      <c r="W2394" s="33"/>
    </row>
    <row r="2395" spans="1:23" ht="16.5" customHeight="1" x14ac:dyDescent="0.2">
      <c r="A2395" s="26"/>
      <c r="B2395" s="26"/>
      <c r="C2395" s="26"/>
      <c r="D2395" s="26"/>
      <c r="E2395" s="26"/>
      <c r="F2395" s="28"/>
      <c r="G2395" s="26"/>
      <c r="H2395" s="32"/>
      <c r="I2395" s="32"/>
      <c r="J2395" s="32"/>
      <c r="K2395" s="32"/>
      <c r="L2395" s="32" t="e">
        <f ca="1">_xludf.ifna(VLOOKUP(E2395,Parámetros!$D$2:$E$34,2,0),"")</f>
        <v>#NAME?</v>
      </c>
      <c r="M2395" s="32" t="e">
        <f ca="1">_xludf.ifna(VLOOKUP(G2395,Proyectos!$A$2:$T$674,20,0),"")</f>
        <v>#NAME?</v>
      </c>
      <c r="N2395" s="32" t="e">
        <f ca="1">_xludf.ifna(VLOOKUP(G2395,Proyectos!$A$2:$S$674,19,0))</f>
        <v>#NAME?</v>
      </c>
      <c r="O2395" s="32"/>
      <c r="P2395" s="32"/>
      <c r="Q2395" s="33"/>
      <c r="R2395" s="33"/>
      <c r="S2395" s="33"/>
      <c r="T2395" s="63">
        <f t="shared" si="20"/>
        <v>0</v>
      </c>
      <c r="U2395" s="33"/>
      <c r="V2395" s="33"/>
      <c r="W2395" s="33"/>
    </row>
    <row r="2396" spans="1:23" ht="16.5" customHeight="1" x14ac:dyDescent="0.2">
      <c r="A2396" s="26"/>
      <c r="B2396" s="26"/>
      <c r="C2396" s="26"/>
      <c r="D2396" s="26"/>
      <c r="E2396" s="26"/>
      <c r="F2396" s="28"/>
      <c r="G2396" s="26"/>
      <c r="H2396" s="32"/>
      <c r="I2396" s="32"/>
      <c r="J2396" s="32"/>
      <c r="K2396" s="32"/>
      <c r="L2396" s="32" t="e">
        <f ca="1">_xludf.ifna(VLOOKUP(E2396,Parámetros!$D$2:$E$34,2,0),"")</f>
        <v>#NAME?</v>
      </c>
      <c r="M2396" s="32" t="e">
        <f ca="1">_xludf.ifna(VLOOKUP(G2396,Proyectos!$A$2:$T$674,20,0),"")</f>
        <v>#NAME?</v>
      </c>
      <c r="N2396" s="32" t="e">
        <f ca="1">_xludf.ifna(VLOOKUP(G2396,Proyectos!$A$2:$S$674,19,0))</f>
        <v>#NAME?</v>
      </c>
      <c r="O2396" s="32"/>
      <c r="P2396" s="32"/>
      <c r="Q2396" s="33"/>
      <c r="R2396" s="33"/>
      <c r="S2396" s="33"/>
      <c r="T2396" s="63">
        <f t="shared" si="20"/>
        <v>0</v>
      </c>
      <c r="U2396" s="33"/>
      <c r="V2396" s="33"/>
      <c r="W2396" s="33"/>
    </row>
    <row r="2397" spans="1:23" ht="16.5" customHeight="1" x14ac:dyDescent="0.2">
      <c r="A2397" s="26"/>
      <c r="B2397" s="26"/>
      <c r="C2397" s="26"/>
      <c r="D2397" s="26"/>
      <c r="E2397" s="26"/>
      <c r="F2397" s="28"/>
      <c r="G2397" s="26"/>
      <c r="H2397" s="32"/>
      <c r="I2397" s="32"/>
      <c r="J2397" s="32"/>
      <c r="K2397" s="32"/>
      <c r="L2397" s="32" t="e">
        <f ca="1">_xludf.ifna(VLOOKUP(E2397,Parámetros!$D$2:$E$34,2,0),"")</f>
        <v>#NAME?</v>
      </c>
      <c r="M2397" s="32" t="e">
        <f ca="1">_xludf.ifna(VLOOKUP(G2397,Proyectos!$A$2:$T$674,20,0),"")</f>
        <v>#NAME?</v>
      </c>
      <c r="N2397" s="32" t="e">
        <f ca="1">_xludf.ifna(VLOOKUP(G2397,Proyectos!$A$2:$S$674,19,0))</f>
        <v>#NAME?</v>
      </c>
      <c r="O2397" s="32"/>
      <c r="P2397" s="32"/>
      <c r="Q2397" s="33"/>
      <c r="R2397" s="33"/>
      <c r="S2397" s="33"/>
      <c r="T2397" s="63">
        <f t="shared" si="20"/>
        <v>0</v>
      </c>
      <c r="U2397" s="33"/>
      <c r="V2397" s="33"/>
      <c r="W2397" s="33"/>
    </row>
    <row r="2398" spans="1:23" ht="16.5" customHeight="1" x14ac:dyDescent="0.2">
      <c r="A2398" s="26"/>
      <c r="B2398" s="26"/>
      <c r="C2398" s="26"/>
      <c r="D2398" s="26"/>
      <c r="E2398" s="26"/>
      <c r="F2398" s="28"/>
      <c r="G2398" s="26"/>
      <c r="H2398" s="32"/>
      <c r="I2398" s="32"/>
      <c r="J2398" s="32"/>
      <c r="K2398" s="32"/>
      <c r="L2398" s="32" t="e">
        <f ca="1">_xludf.ifna(VLOOKUP(E2398,Parámetros!$D$2:$E$34,2,0),"")</f>
        <v>#NAME?</v>
      </c>
      <c r="M2398" s="32" t="e">
        <f ca="1">_xludf.ifna(VLOOKUP(G2398,Proyectos!$A$2:$T$674,20,0),"")</f>
        <v>#NAME?</v>
      </c>
      <c r="N2398" s="32" t="e">
        <f ca="1">_xludf.ifna(VLOOKUP(G2398,Proyectos!$A$2:$S$674,19,0))</f>
        <v>#NAME?</v>
      </c>
      <c r="O2398" s="32"/>
      <c r="P2398" s="32"/>
      <c r="Q2398" s="33"/>
      <c r="R2398" s="33"/>
      <c r="S2398" s="33"/>
      <c r="T2398" s="63">
        <f t="shared" si="20"/>
        <v>0</v>
      </c>
      <c r="U2398" s="33"/>
      <c r="V2398" s="33"/>
      <c r="W2398" s="33"/>
    </row>
    <row r="2399" spans="1:23" ht="16.5" customHeight="1" x14ac:dyDescent="0.2">
      <c r="A2399" s="26"/>
      <c r="B2399" s="26"/>
      <c r="C2399" s="26"/>
      <c r="D2399" s="26"/>
      <c r="E2399" s="26"/>
      <c r="F2399" s="28"/>
      <c r="G2399" s="26"/>
      <c r="H2399" s="32"/>
      <c r="I2399" s="32"/>
      <c r="J2399" s="32"/>
      <c r="K2399" s="32"/>
      <c r="L2399" s="32" t="e">
        <f ca="1">_xludf.ifna(VLOOKUP(E2399,Parámetros!$D$2:$E$34,2,0),"")</f>
        <v>#NAME?</v>
      </c>
      <c r="M2399" s="32" t="e">
        <f ca="1">_xludf.ifna(VLOOKUP(G2399,Proyectos!$A$2:$T$674,20,0),"")</f>
        <v>#NAME?</v>
      </c>
      <c r="N2399" s="32" t="e">
        <f ca="1">_xludf.ifna(VLOOKUP(G2399,Proyectos!$A$2:$S$674,19,0))</f>
        <v>#NAME?</v>
      </c>
      <c r="O2399" s="32"/>
      <c r="P2399" s="32"/>
      <c r="Q2399" s="33"/>
      <c r="R2399" s="33"/>
      <c r="S2399" s="33"/>
      <c r="T2399" s="63">
        <f t="shared" si="20"/>
        <v>0</v>
      </c>
      <c r="U2399" s="33"/>
      <c r="V2399" s="33"/>
      <c r="W2399" s="33"/>
    </row>
    <row r="2400" spans="1:23" ht="16.5" customHeight="1" x14ac:dyDescent="0.2">
      <c r="A2400" s="26"/>
      <c r="B2400" s="26"/>
      <c r="C2400" s="26"/>
      <c r="D2400" s="26"/>
      <c r="E2400" s="26"/>
      <c r="F2400" s="28"/>
      <c r="G2400" s="26"/>
      <c r="H2400" s="32"/>
      <c r="I2400" s="32"/>
      <c r="J2400" s="32"/>
      <c r="K2400" s="32"/>
      <c r="L2400" s="32" t="e">
        <f ca="1">_xludf.ifna(VLOOKUP(E2400,Parámetros!$D$2:$E$34,2,0),"")</f>
        <v>#NAME?</v>
      </c>
      <c r="M2400" s="32" t="e">
        <f ca="1">_xludf.ifna(VLOOKUP(G2400,Proyectos!$A$2:$T$674,20,0),"")</f>
        <v>#NAME?</v>
      </c>
      <c r="N2400" s="32" t="e">
        <f ca="1">_xludf.ifna(VLOOKUP(G2400,Proyectos!$A$2:$S$674,19,0))</f>
        <v>#NAME?</v>
      </c>
      <c r="O2400" s="32"/>
      <c r="P2400" s="32"/>
      <c r="Q2400" s="33"/>
      <c r="R2400" s="33"/>
      <c r="S2400" s="33"/>
      <c r="T2400" s="63">
        <f t="shared" si="20"/>
        <v>0</v>
      </c>
      <c r="U2400" s="33"/>
      <c r="V2400" s="33"/>
      <c r="W2400" s="33"/>
    </row>
    <row r="2401" spans="1:23" ht="16.5" customHeight="1" x14ac:dyDescent="0.2">
      <c r="A2401" s="26"/>
      <c r="B2401" s="26"/>
      <c r="C2401" s="26"/>
      <c r="D2401" s="26"/>
      <c r="E2401" s="26"/>
      <c r="F2401" s="28"/>
      <c r="G2401" s="26"/>
      <c r="H2401" s="32"/>
      <c r="I2401" s="32"/>
      <c r="J2401" s="32"/>
      <c r="K2401" s="32"/>
      <c r="L2401" s="32" t="e">
        <f ca="1">_xludf.ifna(VLOOKUP(E2401,Parámetros!$D$2:$E$34,2,0),"")</f>
        <v>#NAME?</v>
      </c>
      <c r="M2401" s="32" t="e">
        <f ca="1">_xludf.ifna(VLOOKUP(G2401,Proyectos!$A$2:$T$674,20,0),"")</f>
        <v>#NAME?</v>
      </c>
      <c r="N2401" s="32" t="e">
        <f ca="1">_xludf.ifna(VLOOKUP(G2401,Proyectos!$A$2:$S$674,19,0))</f>
        <v>#NAME?</v>
      </c>
      <c r="O2401" s="32"/>
      <c r="P2401" s="32"/>
      <c r="Q2401" s="33"/>
      <c r="R2401" s="33"/>
      <c r="S2401" s="33"/>
      <c r="T2401" s="63">
        <f t="shared" si="20"/>
        <v>0</v>
      </c>
      <c r="U2401" s="33"/>
      <c r="V2401" s="33"/>
      <c r="W2401" s="33"/>
    </row>
    <row r="2402" spans="1:23" ht="16.5" customHeight="1" x14ac:dyDescent="0.2">
      <c r="A2402" s="26"/>
      <c r="B2402" s="26"/>
      <c r="C2402" s="26"/>
      <c r="D2402" s="26"/>
      <c r="E2402" s="26"/>
      <c r="F2402" s="28"/>
      <c r="G2402" s="26"/>
      <c r="H2402" s="32"/>
      <c r="I2402" s="32"/>
      <c r="J2402" s="32"/>
      <c r="K2402" s="32"/>
      <c r="L2402" s="32" t="e">
        <f ca="1">_xludf.ifna(VLOOKUP(E2402,Parámetros!$D$2:$E$34,2,0),"")</f>
        <v>#NAME?</v>
      </c>
      <c r="M2402" s="32" t="e">
        <f ca="1">_xludf.ifna(VLOOKUP(G2402,Proyectos!$A$2:$T$674,20,0),"")</f>
        <v>#NAME?</v>
      </c>
      <c r="N2402" s="32" t="e">
        <f ca="1">_xludf.ifna(VLOOKUP(G2402,Proyectos!$A$2:$S$674,19,0))</f>
        <v>#NAME?</v>
      </c>
      <c r="O2402" s="32"/>
      <c r="P2402" s="32"/>
      <c r="Q2402" s="33"/>
      <c r="R2402" s="33"/>
      <c r="S2402" s="33"/>
      <c r="T2402" s="63">
        <f t="shared" si="20"/>
        <v>0</v>
      </c>
      <c r="U2402" s="33"/>
      <c r="V2402" s="33"/>
      <c r="W2402" s="33"/>
    </row>
    <row r="2403" spans="1:23" ht="16.5" customHeight="1" x14ac:dyDescent="0.2">
      <c r="A2403" s="26"/>
      <c r="B2403" s="26"/>
      <c r="C2403" s="26"/>
      <c r="D2403" s="26"/>
      <c r="E2403" s="26"/>
      <c r="F2403" s="28"/>
      <c r="G2403" s="26"/>
      <c r="H2403" s="32"/>
      <c r="I2403" s="32"/>
      <c r="J2403" s="32"/>
      <c r="K2403" s="32"/>
      <c r="L2403" s="32" t="e">
        <f ca="1">_xludf.ifna(VLOOKUP(E2403,Parámetros!$D$2:$E$34,2,0),"")</f>
        <v>#NAME?</v>
      </c>
      <c r="M2403" s="32" t="e">
        <f ca="1">_xludf.ifna(VLOOKUP(G2403,Proyectos!$A$2:$T$674,20,0),"")</f>
        <v>#NAME?</v>
      </c>
      <c r="N2403" s="32" t="e">
        <f ca="1">_xludf.ifna(VLOOKUP(G2403,Proyectos!$A$2:$S$674,19,0))</f>
        <v>#NAME?</v>
      </c>
      <c r="O2403" s="32"/>
      <c r="P2403" s="32"/>
      <c r="Q2403" s="33"/>
      <c r="R2403" s="33"/>
      <c r="S2403" s="33"/>
      <c r="T2403" s="63">
        <f t="shared" si="20"/>
        <v>0</v>
      </c>
      <c r="U2403" s="33"/>
      <c r="V2403" s="33"/>
      <c r="W2403" s="33"/>
    </row>
    <row r="2404" spans="1:23" ht="16.5" customHeight="1" x14ac:dyDescent="0.2">
      <c r="A2404" s="26"/>
      <c r="B2404" s="26"/>
      <c r="C2404" s="26"/>
      <c r="D2404" s="26"/>
      <c r="E2404" s="26"/>
      <c r="F2404" s="28"/>
      <c r="G2404" s="26"/>
      <c r="H2404" s="32"/>
      <c r="I2404" s="32"/>
      <c r="J2404" s="32"/>
      <c r="K2404" s="32"/>
      <c r="L2404" s="32" t="e">
        <f ca="1">_xludf.ifna(VLOOKUP(E2404,Parámetros!$D$2:$E$34,2,0),"")</f>
        <v>#NAME?</v>
      </c>
      <c r="M2404" s="32" t="e">
        <f ca="1">_xludf.ifna(VLOOKUP(G2404,Proyectos!$A$2:$T$674,20,0),"")</f>
        <v>#NAME?</v>
      </c>
      <c r="N2404" s="32" t="e">
        <f ca="1">_xludf.ifna(VLOOKUP(G2404,Proyectos!$A$2:$S$674,19,0))</f>
        <v>#NAME?</v>
      </c>
      <c r="O2404" s="32"/>
      <c r="P2404" s="32"/>
      <c r="Q2404" s="33"/>
      <c r="R2404" s="33"/>
      <c r="S2404" s="33"/>
      <c r="T2404" s="63">
        <f t="shared" si="20"/>
        <v>0</v>
      </c>
      <c r="U2404" s="33"/>
      <c r="V2404" s="33"/>
      <c r="W2404" s="33"/>
    </row>
    <row r="2405" spans="1:23" ht="16.5" customHeight="1" x14ac:dyDescent="0.2">
      <c r="A2405" s="26"/>
      <c r="B2405" s="26"/>
      <c r="C2405" s="26"/>
      <c r="D2405" s="26"/>
      <c r="E2405" s="26"/>
      <c r="F2405" s="28"/>
      <c r="G2405" s="26"/>
      <c r="H2405" s="32"/>
      <c r="I2405" s="32"/>
      <c r="J2405" s="32"/>
      <c r="K2405" s="32"/>
      <c r="L2405" s="32" t="e">
        <f ca="1">_xludf.ifna(VLOOKUP(E2405,Parámetros!$D$2:$E$34,2,0),"")</f>
        <v>#NAME?</v>
      </c>
      <c r="M2405" s="32" t="e">
        <f ca="1">_xludf.ifna(VLOOKUP(G2405,Proyectos!$A$2:$T$674,20,0),"")</f>
        <v>#NAME?</v>
      </c>
      <c r="N2405" s="32" t="e">
        <f ca="1">_xludf.ifna(VLOOKUP(G2405,Proyectos!$A$2:$S$674,19,0))</f>
        <v>#NAME?</v>
      </c>
      <c r="O2405" s="32"/>
      <c r="P2405" s="32"/>
      <c r="Q2405" s="33"/>
      <c r="R2405" s="33"/>
      <c r="S2405" s="33"/>
      <c r="T2405" s="63">
        <f t="shared" si="20"/>
        <v>0</v>
      </c>
      <c r="U2405" s="33"/>
      <c r="V2405" s="33"/>
      <c r="W2405" s="33"/>
    </row>
    <row r="2406" spans="1:23" ht="16.5" customHeight="1" x14ac:dyDescent="0.2">
      <c r="A2406" s="26"/>
      <c r="B2406" s="26"/>
      <c r="C2406" s="26"/>
      <c r="D2406" s="26"/>
      <c r="E2406" s="26"/>
      <c r="F2406" s="28"/>
      <c r="G2406" s="26"/>
      <c r="H2406" s="32"/>
      <c r="I2406" s="32"/>
      <c r="J2406" s="32"/>
      <c r="K2406" s="32"/>
      <c r="L2406" s="32" t="e">
        <f ca="1">_xludf.ifna(VLOOKUP(E2406,Parámetros!$D$2:$E$34,2,0),"")</f>
        <v>#NAME?</v>
      </c>
      <c r="M2406" s="32" t="e">
        <f ca="1">_xludf.ifna(VLOOKUP(G2406,Proyectos!$A$2:$T$674,20,0),"")</f>
        <v>#NAME?</v>
      </c>
      <c r="N2406" s="32" t="e">
        <f ca="1">_xludf.ifna(VLOOKUP(G2406,Proyectos!$A$2:$S$674,19,0))</f>
        <v>#NAME?</v>
      </c>
      <c r="O2406" s="32"/>
      <c r="P2406" s="32"/>
      <c r="Q2406" s="33"/>
      <c r="R2406" s="33"/>
      <c r="S2406" s="33"/>
      <c r="T2406" s="63">
        <f>IF(E2406=E2404,0,1)</f>
        <v>0</v>
      </c>
      <c r="U2406" s="33"/>
      <c r="V2406" s="33"/>
      <c r="W2406" s="33"/>
    </row>
    <row r="2407" spans="1:23" ht="16.5" customHeight="1" x14ac:dyDescent="0.2">
      <c r="A2407" s="26"/>
      <c r="B2407" s="26"/>
      <c r="C2407" s="26"/>
      <c r="D2407" s="26"/>
      <c r="E2407" s="26"/>
      <c r="F2407" s="28"/>
      <c r="G2407" s="26"/>
      <c r="H2407" s="32"/>
      <c r="I2407" s="32"/>
      <c r="J2407" s="32"/>
      <c r="K2407" s="32"/>
      <c r="L2407" s="32" t="e">
        <f ca="1">_xludf.ifna(VLOOKUP(E2407,Parámetros!$D$2:$E$34,2,0),"")</f>
        <v>#NAME?</v>
      </c>
      <c r="M2407" s="32" t="e">
        <f ca="1">_xludf.ifna(VLOOKUP(G2407,Proyectos!$A$2:$T$674,20,0),"")</f>
        <v>#NAME?</v>
      </c>
      <c r="N2407" s="32" t="e">
        <f ca="1">_xludf.ifna(VLOOKUP(G2407,Proyectos!$A$2:$S$674,19,0))</f>
        <v>#NAME?</v>
      </c>
      <c r="O2407" s="32"/>
      <c r="P2407" s="32"/>
      <c r="Q2407" s="33"/>
      <c r="R2407" s="33"/>
      <c r="S2407" s="33"/>
      <c r="T2407" s="63">
        <f t="shared" ref="T2407:T2661" si="21">IF(E2407=E2406,0,1)</f>
        <v>0</v>
      </c>
      <c r="U2407" s="33"/>
      <c r="V2407" s="33"/>
      <c r="W2407" s="33"/>
    </row>
    <row r="2408" spans="1:23" ht="16.5" customHeight="1" x14ac:dyDescent="0.2">
      <c r="A2408" s="26"/>
      <c r="B2408" s="26"/>
      <c r="C2408" s="26"/>
      <c r="D2408" s="26"/>
      <c r="E2408" s="26"/>
      <c r="F2408" s="28"/>
      <c r="G2408" s="26"/>
      <c r="H2408" s="32"/>
      <c r="I2408" s="32"/>
      <c r="J2408" s="32"/>
      <c r="K2408" s="32"/>
      <c r="L2408" s="32" t="e">
        <f ca="1">_xludf.ifna(VLOOKUP(E2408,Parámetros!$D$2:$E$34,2,0),"")</f>
        <v>#NAME?</v>
      </c>
      <c r="M2408" s="32" t="e">
        <f ca="1">_xludf.ifna(VLOOKUP(G2408,Proyectos!$A$2:$T$674,20,0),"")</f>
        <v>#NAME?</v>
      </c>
      <c r="N2408" s="32" t="e">
        <f ca="1">_xludf.ifna(VLOOKUP(G2408,Proyectos!$A$2:$S$674,19,0))</f>
        <v>#NAME?</v>
      </c>
      <c r="O2408" s="32"/>
      <c r="P2408" s="32"/>
      <c r="Q2408" s="33"/>
      <c r="R2408" s="33"/>
      <c r="S2408" s="33"/>
      <c r="T2408" s="63">
        <f t="shared" si="21"/>
        <v>0</v>
      </c>
      <c r="U2408" s="33"/>
      <c r="V2408" s="33"/>
      <c r="W2408" s="33"/>
    </row>
    <row r="2409" spans="1:23" ht="16.5" customHeight="1" x14ac:dyDescent="0.2">
      <c r="A2409" s="26"/>
      <c r="B2409" s="26"/>
      <c r="C2409" s="26"/>
      <c r="D2409" s="26"/>
      <c r="E2409" s="26"/>
      <c r="F2409" s="28"/>
      <c r="G2409" s="26"/>
      <c r="H2409" s="32"/>
      <c r="I2409" s="32"/>
      <c r="J2409" s="32"/>
      <c r="K2409" s="32"/>
      <c r="L2409" s="32" t="e">
        <f ca="1">_xludf.ifna(VLOOKUP(E2409,Parámetros!$D$2:$E$34,2,0),"")</f>
        <v>#NAME?</v>
      </c>
      <c r="M2409" s="32" t="e">
        <f ca="1">_xludf.ifna(VLOOKUP(G2409,Proyectos!$A$2:$T$674,20,0),"")</f>
        <v>#NAME?</v>
      </c>
      <c r="N2409" s="32" t="e">
        <f ca="1">_xludf.ifna(VLOOKUP(G2409,Proyectos!$A$2:$S$674,19,0))</f>
        <v>#NAME?</v>
      </c>
      <c r="O2409" s="32"/>
      <c r="P2409" s="32"/>
      <c r="Q2409" s="33"/>
      <c r="R2409" s="33"/>
      <c r="S2409" s="33"/>
      <c r="T2409" s="63">
        <f t="shared" si="21"/>
        <v>0</v>
      </c>
      <c r="U2409" s="33"/>
      <c r="V2409" s="33"/>
      <c r="W2409" s="33"/>
    </row>
    <row r="2410" spans="1:23" ht="16.5" customHeight="1" x14ac:dyDescent="0.2">
      <c r="A2410" s="26"/>
      <c r="B2410" s="26"/>
      <c r="C2410" s="26"/>
      <c r="D2410" s="26"/>
      <c r="E2410" s="26"/>
      <c r="F2410" s="28"/>
      <c r="G2410" s="26"/>
      <c r="H2410" s="32"/>
      <c r="I2410" s="32"/>
      <c r="J2410" s="32"/>
      <c r="K2410" s="32"/>
      <c r="L2410" s="32" t="e">
        <f ca="1">_xludf.ifna(VLOOKUP(E2410,Parámetros!$D$2:$E$34,2,0),"")</f>
        <v>#NAME?</v>
      </c>
      <c r="M2410" s="32" t="e">
        <f ca="1">_xludf.ifna(VLOOKUP(G2410,Proyectos!$A$2:$T$674,20,0),"")</f>
        <v>#NAME?</v>
      </c>
      <c r="N2410" s="32" t="e">
        <f ca="1">_xludf.ifna(VLOOKUP(G2410,Proyectos!$A$2:$S$674,19,0))</f>
        <v>#NAME?</v>
      </c>
      <c r="O2410" s="32"/>
      <c r="P2410" s="32"/>
      <c r="Q2410" s="33"/>
      <c r="R2410" s="33"/>
      <c r="S2410" s="33"/>
      <c r="T2410" s="63">
        <f t="shared" si="21"/>
        <v>0</v>
      </c>
      <c r="U2410" s="33"/>
      <c r="V2410" s="33"/>
      <c r="W2410" s="33"/>
    </row>
    <row r="2411" spans="1:23" ht="16.5" customHeight="1" x14ac:dyDescent="0.2">
      <c r="A2411" s="26"/>
      <c r="B2411" s="26"/>
      <c r="C2411" s="26"/>
      <c r="D2411" s="26"/>
      <c r="E2411" s="26"/>
      <c r="F2411" s="28"/>
      <c r="G2411" s="26"/>
      <c r="H2411" s="32"/>
      <c r="I2411" s="32"/>
      <c r="J2411" s="32"/>
      <c r="K2411" s="32"/>
      <c r="L2411" s="32" t="e">
        <f ca="1">_xludf.ifna(VLOOKUP(E2411,Parámetros!$D$2:$E$34,2,0),"")</f>
        <v>#NAME?</v>
      </c>
      <c r="M2411" s="32" t="e">
        <f ca="1">_xludf.ifna(VLOOKUP(G2411,Proyectos!$A$2:$T$674,20,0),"")</f>
        <v>#NAME?</v>
      </c>
      <c r="N2411" s="32" t="e">
        <f ca="1">_xludf.ifna(VLOOKUP(G2411,Proyectos!$A$2:$S$674,19,0))</f>
        <v>#NAME?</v>
      </c>
      <c r="O2411" s="32"/>
      <c r="P2411" s="32"/>
      <c r="Q2411" s="33"/>
      <c r="R2411" s="33"/>
      <c r="S2411" s="33"/>
      <c r="T2411" s="63">
        <f t="shared" si="21"/>
        <v>0</v>
      </c>
      <c r="U2411" s="33"/>
      <c r="V2411" s="33"/>
      <c r="W2411" s="33"/>
    </row>
    <row r="2412" spans="1:23" ht="16.5" customHeight="1" x14ac:dyDescent="0.2">
      <c r="A2412" s="26"/>
      <c r="B2412" s="26"/>
      <c r="C2412" s="26"/>
      <c r="D2412" s="26"/>
      <c r="E2412" s="26"/>
      <c r="F2412" s="28"/>
      <c r="G2412" s="26"/>
      <c r="H2412" s="32"/>
      <c r="I2412" s="32"/>
      <c r="J2412" s="32"/>
      <c r="K2412" s="32"/>
      <c r="L2412" s="32" t="e">
        <f ca="1">_xludf.ifna(VLOOKUP(E2412,Parámetros!$D$2:$E$34,2,0),"")</f>
        <v>#NAME?</v>
      </c>
      <c r="M2412" s="32" t="e">
        <f ca="1">_xludf.ifna(VLOOKUP(G2412,Proyectos!$A$2:$T$674,20,0),"")</f>
        <v>#NAME?</v>
      </c>
      <c r="N2412" s="32" t="e">
        <f ca="1">_xludf.ifna(VLOOKUP(G2412,Proyectos!$A$2:$S$674,19,0))</f>
        <v>#NAME?</v>
      </c>
      <c r="O2412" s="32"/>
      <c r="P2412" s="32"/>
      <c r="Q2412" s="33"/>
      <c r="R2412" s="33"/>
      <c r="S2412" s="33"/>
      <c r="T2412" s="63">
        <f t="shared" si="21"/>
        <v>0</v>
      </c>
      <c r="U2412" s="33"/>
      <c r="V2412" s="33"/>
      <c r="W2412" s="33"/>
    </row>
    <row r="2413" spans="1:23" ht="16.5" customHeight="1" x14ac:dyDescent="0.2">
      <c r="A2413" s="26"/>
      <c r="B2413" s="26"/>
      <c r="C2413" s="26"/>
      <c r="D2413" s="26"/>
      <c r="E2413" s="26"/>
      <c r="F2413" s="28"/>
      <c r="G2413" s="26"/>
      <c r="H2413" s="32"/>
      <c r="I2413" s="32"/>
      <c r="J2413" s="32"/>
      <c r="K2413" s="32"/>
      <c r="L2413" s="32" t="e">
        <f ca="1">_xludf.ifna(VLOOKUP(E2413,Parámetros!$D$2:$E$34,2,0),"")</f>
        <v>#NAME?</v>
      </c>
      <c r="M2413" s="32" t="e">
        <f ca="1">_xludf.ifna(VLOOKUP(G2413,Proyectos!$A$2:$T$674,20,0),"")</f>
        <v>#NAME?</v>
      </c>
      <c r="N2413" s="32" t="e">
        <f ca="1">_xludf.ifna(VLOOKUP(G2413,Proyectos!$A$2:$S$674,19,0))</f>
        <v>#NAME?</v>
      </c>
      <c r="O2413" s="32"/>
      <c r="P2413" s="32"/>
      <c r="Q2413" s="33"/>
      <c r="R2413" s="33"/>
      <c r="S2413" s="33"/>
      <c r="T2413" s="63">
        <f t="shared" si="21"/>
        <v>0</v>
      </c>
      <c r="U2413" s="33"/>
      <c r="V2413" s="33"/>
      <c r="W2413" s="33"/>
    </row>
    <row r="2414" spans="1:23" ht="16.5" customHeight="1" x14ac:dyDescent="0.2">
      <c r="A2414" s="26"/>
      <c r="B2414" s="26"/>
      <c r="C2414" s="26"/>
      <c r="D2414" s="26"/>
      <c r="E2414" s="26"/>
      <c r="F2414" s="28"/>
      <c r="G2414" s="26"/>
      <c r="H2414" s="32"/>
      <c r="I2414" s="32"/>
      <c r="J2414" s="32"/>
      <c r="K2414" s="32"/>
      <c r="L2414" s="32" t="e">
        <f ca="1">_xludf.ifna(VLOOKUP(E2414,Parámetros!$D$2:$E$34,2,0),"")</f>
        <v>#NAME?</v>
      </c>
      <c r="M2414" s="32" t="e">
        <f ca="1">_xludf.ifna(VLOOKUP(G2414,Proyectos!$A$2:$T$674,20,0),"")</f>
        <v>#NAME?</v>
      </c>
      <c r="N2414" s="32" t="e">
        <f ca="1">_xludf.ifna(VLOOKUP(G2414,Proyectos!$A$2:$S$674,19,0))</f>
        <v>#NAME?</v>
      </c>
      <c r="O2414" s="32"/>
      <c r="P2414" s="32"/>
      <c r="Q2414" s="33"/>
      <c r="R2414" s="33"/>
      <c r="S2414" s="33"/>
      <c r="T2414" s="63">
        <f t="shared" si="21"/>
        <v>0</v>
      </c>
      <c r="U2414" s="33"/>
      <c r="V2414" s="33"/>
      <c r="W2414" s="33"/>
    </row>
    <row r="2415" spans="1:23" ht="16.5" customHeight="1" x14ac:dyDescent="0.2">
      <c r="A2415" s="26"/>
      <c r="B2415" s="26"/>
      <c r="C2415" s="26"/>
      <c r="D2415" s="26"/>
      <c r="E2415" s="26"/>
      <c r="F2415" s="28"/>
      <c r="G2415" s="26"/>
      <c r="H2415" s="32"/>
      <c r="I2415" s="32"/>
      <c r="J2415" s="32"/>
      <c r="K2415" s="32"/>
      <c r="L2415" s="32" t="e">
        <f ca="1">_xludf.ifna(VLOOKUP(E2415,Parámetros!$D$2:$E$34,2,0),"")</f>
        <v>#NAME?</v>
      </c>
      <c r="M2415" s="32" t="e">
        <f ca="1">_xludf.ifna(VLOOKUP(G2415,Proyectos!$A$2:$T$674,20,0),"")</f>
        <v>#NAME?</v>
      </c>
      <c r="N2415" s="32" t="e">
        <f ca="1">_xludf.ifna(VLOOKUP(G2415,Proyectos!$A$2:$S$674,19,0))</f>
        <v>#NAME?</v>
      </c>
      <c r="O2415" s="32"/>
      <c r="P2415" s="32"/>
      <c r="Q2415" s="33"/>
      <c r="R2415" s="33"/>
      <c r="S2415" s="33"/>
      <c r="T2415" s="63">
        <f t="shared" si="21"/>
        <v>0</v>
      </c>
      <c r="U2415" s="33"/>
      <c r="V2415" s="33"/>
      <c r="W2415" s="33"/>
    </row>
    <row r="2416" spans="1:23" ht="16.5" customHeight="1" x14ac:dyDescent="0.2">
      <c r="A2416" s="26"/>
      <c r="B2416" s="26"/>
      <c r="C2416" s="26"/>
      <c r="D2416" s="26"/>
      <c r="E2416" s="26"/>
      <c r="F2416" s="28"/>
      <c r="G2416" s="26"/>
      <c r="H2416" s="32"/>
      <c r="I2416" s="32"/>
      <c r="J2416" s="32"/>
      <c r="K2416" s="32"/>
      <c r="L2416" s="32" t="e">
        <f ca="1">_xludf.ifna(VLOOKUP(E2416,Parámetros!$D$2:$E$34,2,0),"")</f>
        <v>#NAME?</v>
      </c>
      <c r="M2416" s="32" t="e">
        <f ca="1">_xludf.ifna(VLOOKUP(G2416,Proyectos!$A$2:$T$674,20,0),"")</f>
        <v>#NAME?</v>
      </c>
      <c r="N2416" s="32" t="e">
        <f ca="1">_xludf.ifna(VLOOKUP(G2416,Proyectos!$A$2:$S$674,19,0))</f>
        <v>#NAME?</v>
      </c>
      <c r="O2416" s="32"/>
      <c r="P2416" s="32"/>
      <c r="Q2416" s="33"/>
      <c r="R2416" s="33"/>
      <c r="S2416" s="33"/>
      <c r="T2416" s="63">
        <f t="shared" si="21"/>
        <v>0</v>
      </c>
      <c r="U2416" s="33"/>
      <c r="V2416" s="33"/>
      <c r="W2416" s="33"/>
    </row>
    <row r="2417" spans="1:23" ht="16.5" customHeight="1" x14ac:dyDescent="0.2">
      <c r="A2417" s="26"/>
      <c r="B2417" s="26"/>
      <c r="C2417" s="26"/>
      <c r="D2417" s="26"/>
      <c r="E2417" s="26"/>
      <c r="F2417" s="28"/>
      <c r="G2417" s="26"/>
      <c r="H2417" s="32"/>
      <c r="I2417" s="32"/>
      <c r="J2417" s="32"/>
      <c r="K2417" s="32"/>
      <c r="L2417" s="32" t="e">
        <f ca="1">_xludf.ifna(VLOOKUP(E2417,Parámetros!$D$2:$E$34,2,0),"")</f>
        <v>#NAME?</v>
      </c>
      <c r="M2417" s="32" t="e">
        <f ca="1">_xludf.ifna(VLOOKUP(G2417,Proyectos!$A$2:$T$674,20,0),"")</f>
        <v>#NAME?</v>
      </c>
      <c r="N2417" s="32" t="e">
        <f ca="1">_xludf.ifna(VLOOKUP(G2417,Proyectos!$A$2:$S$674,19,0))</f>
        <v>#NAME?</v>
      </c>
      <c r="O2417" s="32"/>
      <c r="P2417" s="32"/>
      <c r="Q2417" s="33"/>
      <c r="R2417" s="33"/>
      <c r="S2417" s="33"/>
      <c r="T2417" s="63">
        <f t="shared" si="21"/>
        <v>0</v>
      </c>
      <c r="U2417" s="33"/>
      <c r="V2417" s="33"/>
      <c r="W2417" s="33"/>
    </row>
    <row r="2418" spans="1:23" ht="16.5" customHeight="1" x14ac:dyDescent="0.2">
      <c r="A2418" s="26"/>
      <c r="B2418" s="26"/>
      <c r="C2418" s="26"/>
      <c r="D2418" s="26"/>
      <c r="E2418" s="26"/>
      <c r="F2418" s="28"/>
      <c r="G2418" s="26"/>
      <c r="H2418" s="32"/>
      <c r="I2418" s="32"/>
      <c r="J2418" s="32"/>
      <c r="K2418" s="32"/>
      <c r="L2418" s="32" t="e">
        <f ca="1">_xludf.ifna(VLOOKUP(E2418,Parámetros!$D$2:$E$34,2,0),"")</f>
        <v>#NAME?</v>
      </c>
      <c r="M2418" s="32" t="e">
        <f ca="1">_xludf.ifna(VLOOKUP(G2418,Proyectos!$A$2:$T$674,20,0),"")</f>
        <v>#NAME?</v>
      </c>
      <c r="N2418" s="32" t="e">
        <f ca="1">_xludf.ifna(VLOOKUP(G2418,Proyectos!$A$2:$S$674,19,0))</f>
        <v>#NAME?</v>
      </c>
      <c r="O2418" s="32"/>
      <c r="P2418" s="32"/>
      <c r="Q2418" s="33"/>
      <c r="R2418" s="33"/>
      <c r="S2418" s="33"/>
      <c r="T2418" s="63">
        <f t="shared" si="21"/>
        <v>0</v>
      </c>
      <c r="U2418" s="33"/>
      <c r="V2418" s="33"/>
      <c r="W2418" s="33"/>
    </row>
    <row r="2419" spans="1:23" ht="16.5" customHeight="1" x14ac:dyDescent="0.2">
      <c r="A2419" s="26"/>
      <c r="B2419" s="26"/>
      <c r="C2419" s="26"/>
      <c r="D2419" s="26"/>
      <c r="E2419" s="26"/>
      <c r="F2419" s="28"/>
      <c r="G2419" s="26"/>
      <c r="H2419" s="32"/>
      <c r="I2419" s="32"/>
      <c r="J2419" s="32"/>
      <c r="K2419" s="32"/>
      <c r="L2419" s="32" t="e">
        <f ca="1">_xludf.ifna(VLOOKUP(E2419,Parámetros!$D$2:$E$34,2,0),"")</f>
        <v>#NAME?</v>
      </c>
      <c r="M2419" s="32" t="e">
        <f ca="1">_xludf.ifna(VLOOKUP(G2419,Proyectos!$A$2:$T$674,20,0),"")</f>
        <v>#NAME?</v>
      </c>
      <c r="N2419" s="32" t="e">
        <f ca="1">_xludf.ifna(VLOOKUP(G2419,Proyectos!$A$2:$S$674,19,0))</f>
        <v>#NAME?</v>
      </c>
      <c r="O2419" s="32"/>
      <c r="P2419" s="32"/>
      <c r="Q2419" s="33"/>
      <c r="R2419" s="33"/>
      <c r="S2419" s="33"/>
      <c r="T2419" s="63">
        <f t="shared" si="21"/>
        <v>0</v>
      </c>
      <c r="U2419" s="33"/>
      <c r="V2419" s="33"/>
      <c r="W2419" s="33"/>
    </row>
    <row r="2420" spans="1:23" ht="16.5" customHeight="1" x14ac:dyDescent="0.2">
      <c r="A2420" s="26"/>
      <c r="B2420" s="26"/>
      <c r="C2420" s="26"/>
      <c r="D2420" s="26"/>
      <c r="E2420" s="26"/>
      <c r="F2420" s="28"/>
      <c r="G2420" s="26"/>
      <c r="H2420" s="32"/>
      <c r="I2420" s="32"/>
      <c r="J2420" s="32"/>
      <c r="K2420" s="32"/>
      <c r="L2420" s="32" t="e">
        <f ca="1">_xludf.ifna(VLOOKUP(E2420,Parámetros!$D$2:$E$34,2,0),"")</f>
        <v>#NAME?</v>
      </c>
      <c r="M2420" s="32" t="e">
        <f ca="1">_xludf.ifna(VLOOKUP(G2420,Proyectos!$A$2:$T$674,20,0),"")</f>
        <v>#NAME?</v>
      </c>
      <c r="N2420" s="32" t="e">
        <f ca="1">_xludf.ifna(VLOOKUP(G2420,Proyectos!$A$2:$S$674,19,0))</f>
        <v>#NAME?</v>
      </c>
      <c r="O2420" s="32"/>
      <c r="P2420" s="32"/>
      <c r="Q2420" s="33"/>
      <c r="R2420" s="33"/>
      <c r="S2420" s="33"/>
      <c r="T2420" s="63">
        <f t="shared" si="21"/>
        <v>0</v>
      </c>
      <c r="U2420" s="33"/>
      <c r="V2420" s="33"/>
      <c r="W2420" s="33"/>
    </row>
    <row r="2421" spans="1:23" ht="16.5" customHeight="1" x14ac:dyDescent="0.2">
      <c r="A2421" s="26"/>
      <c r="B2421" s="26"/>
      <c r="C2421" s="26"/>
      <c r="D2421" s="26"/>
      <c r="E2421" s="26"/>
      <c r="F2421" s="28"/>
      <c r="G2421" s="26"/>
      <c r="H2421" s="32"/>
      <c r="I2421" s="32"/>
      <c r="J2421" s="32"/>
      <c r="K2421" s="32"/>
      <c r="L2421" s="32" t="e">
        <f ca="1">_xludf.ifna(VLOOKUP(E2421,Parámetros!$D$2:$E$34,2,0),"")</f>
        <v>#NAME?</v>
      </c>
      <c r="M2421" s="32" t="e">
        <f ca="1">_xludf.ifna(VLOOKUP(G2421,Proyectos!$A$2:$T$674,20,0),"")</f>
        <v>#NAME?</v>
      </c>
      <c r="N2421" s="32" t="e">
        <f ca="1">_xludf.ifna(VLOOKUP(G2421,Proyectos!$A$2:$S$674,19,0))</f>
        <v>#NAME?</v>
      </c>
      <c r="O2421" s="32"/>
      <c r="P2421" s="32"/>
      <c r="Q2421" s="33"/>
      <c r="R2421" s="33"/>
      <c r="S2421" s="33"/>
      <c r="T2421" s="63">
        <f t="shared" si="21"/>
        <v>0</v>
      </c>
      <c r="U2421" s="33"/>
      <c r="V2421" s="33"/>
      <c r="W2421" s="33"/>
    </row>
    <row r="2422" spans="1:23" ht="16.5" customHeight="1" x14ac:dyDescent="0.2">
      <c r="A2422" s="26"/>
      <c r="B2422" s="26"/>
      <c r="C2422" s="26"/>
      <c r="D2422" s="26"/>
      <c r="E2422" s="26"/>
      <c r="F2422" s="28"/>
      <c r="G2422" s="26"/>
      <c r="H2422" s="32"/>
      <c r="I2422" s="32"/>
      <c r="J2422" s="32"/>
      <c r="K2422" s="32"/>
      <c r="L2422" s="32" t="e">
        <f ca="1">_xludf.ifna(VLOOKUP(E2422,Parámetros!$D$2:$E$34,2,0),"")</f>
        <v>#NAME?</v>
      </c>
      <c r="M2422" s="32" t="e">
        <f ca="1">_xludf.ifna(VLOOKUP(G2422,Proyectos!$A$2:$T$674,20,0),"")</f>
        <v>#NAME?</v>
      </c>
      <c r="N2422" s="32" t="e">
        <f ca="1">_xludf.ifna(VLOOKUP(G2422,Proyectos!$A$2:$S$674,19,0))</f>
        <v>#NAME?</v>
      </c>
      <c r="O2422" s="32"/>
      <c r="P2422" s="32"/>
      <c r="Q2422" s="33"/>
      <c r="R2422" s="33"/>
      <c r="S2422" s="33"/>
      <c r="T2422" s="63">
        <f t="shared" si="21"/>
        <v>0</v>
      </c>
      <c r="U2422" s="33"/>
      <c r="V2422" s="33"/>
      <c r="W2422" s="33"/>
    </row>
    <row r="2423" spans="1:23" ht="16.5" customHeight="1" x14ac:dyDescent="0.2">
      <c r="A2423" s="26"/>
      <c r="B2423" s="26"/>
      <c r="C2423" s="26"/>
      <c r="D2423" s="26"/>
      <c r="E2423" s="26"/>
      <c r="F2423" s="28"/>
      <c r="G2423" s="26"/>
      <c r="H2423" s="32"/>
      <c r="I2423" s="32"/>
      <c r="J2423" s="32"/>
      <c r="K2423" s="32"/>
      <c r="L2423" s="32" t="e">
        <f ca="1">_xludf.ifna(VLOOKUP(E2423,Parámetros!$D$2:$E$34,2,0),"")</f>
        <v>#NAME?</v>
      </c>
      <c r="M2423" s="32" t="e">
        <f ca="1">_xludf.ifna(VLOOKUP(G2423,Proyectos!$A$2:$T$674,20,0),"")</f>
        <v>#NAME?</v>
      </c>
      <c r="N2423" s="32" t="e">
        <f ca="1">_xludf.ifna(VLOOKUP(G2423,Proyectos!$A$2:$S$674,19,0))</f>
        <v>#NAME?</v>
      </c>
      <c r="O2423" s="32"/>
      <c r="P2423" s="32"/>
      <c r="Q2423" s="33"/>
      <c r="R2423" s="33"/>
      <c r="S2423" s="33"/>
      <c r="T2423" s="63">
        <f t="shared" si="21"/>
        <v>0</v>
      </c>
      <c r="U2423" s="33"/>
      <c r="V2423" s="33"/>
      <c r="W2423" s="33"/>
    </row>
    <row r="2424" spans="1:23" ht="16.5" customHeight="1" x14ac:dyDescent="0.2">
      <c r="A2424" s="26"/>
      <c r="B2424" s="26"/>
      <c r="C2424" s="26"/>
      <c r="D2424" s="26"/>
      <c r="E2424" s="26"/>
      <c r="F2424" s="28"/>
      <c r="G2424" s="26"/>
      <c r="H2424" s="32"/>
      <c r="I2424" s="32"/>
      <c r="J2424" s="32"/>
      <c r="K2424" s="32"/>
      <c r="L2424" s="32" t="e">
        <f ca="1">_xludf.ifna(VLOOKUP(E2424,Parámetros!$D$2:$E$34,2,0),"")</f>
        <v>#NAME?</v>
      </c>
      <c r="M2424" s="32" t="e">
        <f ca="1">_xludf.ifna(VLOOKUP(G2424,Proyectos!$A$2:$T$674,20,0),"")</f>
        <v>#NAME?</v>
      </c>
      <c r="N2424" s="32" t="e">
        <f ca="1">_xludf.ifna(VLOOKUP(G2424,Proyectos!$A$2:$S$674,19,0))</f>
        <v>#NAME?</v>
      </c>
      <c r="O2424" s="32"/>
      <c r="P2424" s="32"/>
      <c r="Q2424" s="33"/>
      <c r="R2424" s="33"/>
      <c r="S2424" s="33"/>
      <c r="T2424" s="63">
        <f t="shared" si="21"/>
        <v>0</v>
      </c>
      <c r="U2424" s="33"/>
      <c r="V2424" s="33"/>
      <c r="W2424" s="33"/>
    </row>
    <row r="2425" spans="1:23" ht="16.5" customHeight="1" x14ac:dyDescent="0.2">
      <c r="A2425" s="26"/>
      <c r="B2425" s="26"/>
      <c r="C2425" s="26"/>
      <c r="D2425" s="26"/>
      <c r="E2425" s="26"/>
      <c r="F2425" s="28"/>
      <c r="G2425" s="26"/>
      <c r="H2425" s="32"/>
      <c r="I2425" s="32"/>
      <c r="J2425" s="32"/>
      <c r="K2425" s="32"/>
      <c r="L2425" s="32" t="e">
        <f ca="1">_xludf.ifna(VLOOKUP(E2425,Parámetros!$D$2:$E$34,2,0),"")</f>
        <v>#NAME?</v>
      </c>
      <c r="M2425" s="32" t="e">
        <f ca="1">_xludf.ifna(VLOOKUP(G2425,Proyectos!$A$2:$T$674,20,0),"")</f>
        <v>#NAME?</v>
      </c>
      <c r="N2425" s="32" t="e">
        <f ca="1">_xludf.ifna(VLOOKUP(G2425,Proyectos!$A$2:$S$674,19,0))</f>
        <v>#NAME?</v>
      </c>
      <c r="O2425" s="32"/>
      <c r="P2425" s="32"/>
      <c r="Q2425" s="33"/>
      <c r="R2425" s="33"/>
      <c r="S2425" s="33"/>
      <c r="T2425" s="63">
        <f t="shared" si="21"/>
        <v>0</v>
      </c>
      <c r="U2425" s="33"/>
      <c r="V2425" s="33"/>
      <c r="W2425" s="33"/>
    </row>
    <row r="2426" spans="1:23" ht="16.5" customHeight="1" x14ac:dyDescent="0.2">
      <c r="A2426" s="26"/>
      <c r="B2426" s="26"/>
      <c r="C2426" s="26"/>
      <c r="D2426" s="26"/>
      <c r="E2426" s="26"/>
      <c r="F2426" s="28"/>
      <c r="G2426" s="26"/>
      <c r="H2426" s="32"/>
      <c r="I2426" s="32"/>
      <c r="J2426" s="32"/>
      <c r="K2426" s="32"/>
      <c r="L2426" s="32" t="e">
        <f ca="1">_xludf.ifna(VLOOKUP(E2426,Parámetros!$D$2:$E$34,2,0),"")</f>
        <v>#NAME?</v>
      </c>
      <c r="M2426" s="32" t="e">
        <f ca="1">_xludf.ifna(VLOOKUP(G2426,Proyectos!$A$2:$T$674,20,0),"")</f>
        <v>#NAME?</v>
      </c>
      <c r="N2426" s="32" t="e">
        <f ca="1">_xludf.ifna(VLOOKUP(G2426,Proyectos!$A$2:$S$674,19,0))</f>
        <v>#NAME?</v>
      </c>
      <c r="O2426" s="32"/>
      <c r="P2426" s="32"/>
      <c r="Q2426" s="33"/>
      <c r="R2426" s="33"/>
      <c r="S2426" s="33"/>
      <c r="T2426" s="63">
        <f t="shared" si="21"/>
        <v>0</v>
      </c>
      <c r="U2426" s="33"/>
      <c r="V2426" s="33"/>
      <c r="W2426" s="33"/>
    </row>
    <row r="2427" spans="1:23" ht="16.5" customHeight="1" x14ac:dyDescent="0.2">
      <c r="A2427" s="26"/>
      <c r="B2427" s="26"/>
      <c r="C2427" s="26"/>
      <c r="D2427" s="26"/>
      <c r="E2427" s="26"/>
      <c r="F2427" s="28"/>
      <c r="G2427" s="26"/>
      <c r="H2427" s="32"/>
      <c r="I2427" s="32"/>
      <c r="J2427" s="32"/>
      <c r="K2427" s="32"/>
      <c r="L2427" s="32" t="e">
        <f ca="1">_xludf.ifna(VLOOKUP(E2427,Parámetros!$D$2:$E$34,2,0),"")</f>
        <v>#NAME?</v>
      </c>
      <c r="M2427" s="32" t="e">
        <f ca="1">_xludf.ifna(VLOOKUP(G2427,Proyectos!$A$2:$T$674,20,0),"")</f>
        <v>#NAME?</v>
      </c>
      <c r="N2427" s="32" t="e">
        <f ca="1">_xludf.ifna(VLOOKUP(G2427,Proyectos!$A$2:$S$674,19,0))</f>
        <v>#NAME?</v>
      </c>
      <c r="O2427" s="32"/>
      <c r="P2427" s="32"/>
      <c r="Q2427" s="33"/>
      <c r="R2427" s="33"/>
      <c r="S2427" s="33"/>
      <c r="T2427" s="63">
        <f t="shared" si="21"/>
        <v>0</v>
      </c>
      <c r="U2427" s="33"/>
      <c r="V2427" s="33"/>
      <c r="W2427" s="33"/>
    </row>
    <row r="2428" spans="1:23" ht="16.5" customHeight="1" x14ac:dyDescent="0.2">
      <c r="A2428" s="26"/>
      <c r="B2428" s="26"/>
      <c r="C2428" s="26"/>
      <c r="D2428" s="26"/>
      <c r="E2428" s="26"/>
      <c r="F2428" s="28"/>
      <c r="G2428" s="26"/>
      <c r="H2428" s="32"/>
      <c r="I2428" s="32"/>
      <c r="J2428" s="32"/>
      <c r="K2428" s="32"/>
      <c r="L2428" s="32" t="e">
        <f ca="1">_xludf.ifna(VLOOKUP(E2428,Parámetros!$D$2:$E$34,2,0),"")</f>
        <v>#NAME?</v>
      </c>
      <c r="M2428" s="32" t="e">
        <f ca="1">_xludf.ifna(VLOOKUP(G2428,Proyectos!$A$2:$T$674,20,0),"")</f>
        <v>#NAME?</v>
      </c>
      <c r="N2428" s="32" t="e">
        <f ca="1">_xludf.ifna(VLOOKUP(G2428,Proyectos!$A$2:$S$674,19,0))</f>
        <v>#NAME?</v>
      </c>
      <c r="O2428" s="32"/>
      <c r="P2428" s="32"/>
      <c r="Q2428" s="33"/>
      <c r="R2428" s="33"/>
      <c r="S2428" s="33"/>
      <c r="T2428" s="63">
        <f t="shared" si="21"/>
        <v>0</v>
      </c>
      <c r="U2428" s="33"/>
      <c r="V2428" s="33"/>
      <c r="W2428" s="33"/>
    </row>
    <row r="2429" spans="1:23" ht="16.5" customHeight="1" x14ac:dyDescent="0.2">
      <c r="A2429" s="26"/>
      <c r="B2429" s="26"/>
      <c r="C2429" s="26"/>
      <c r="D2429" s="26"/>
      <c r="E2429" s="26"/>
      <c r="F2429" s="28"/>
      <c r="G2429" s="26"/>
      <c r="H2429" s="32"/>
      <c r="I2429" s="32"/>
      <c r="J2429" s="32"/>
      <c r="K2429" s="32"/>
      <c r="L2429" s="32" t="e">
        <f ca="1">_xludf.ifna(VLOOKUP(E2429,Parámetros!$D$2:$E$34,2,0),"")</f>
        <v>#NAME?</v>
      </c>
      <c r="M2429" s="32" t="e">
        <f ca="1">_xludf.ifna(VLOOKUP(G2429,Proyectos!$A$2:$T$674,20,0),"")</f>
        <v>#NAME?</v>
      </c>
      <c r="N2429" s="32" t="e">
        <f ca="1">_xludf.ifna(VLOOKUP(G2429,Proyectos!$A$2:$S$674,19,0))</f>
        <v>#NAME?</v>
      </c>
      <c r="O2429" s="32"/>
      <c r="P2429" s="32"/>
      <c r="Q2429" s="33"/>
      <c r="R2429" s="33"/>
      <c r="S2429" s="33"/>
      <c r="T2429" s="63">
        <f t="shared" si="21"/>
        <v>0</v>
      </c>
      <c r="U2429" s="33"/>
      <c r="V2429" s="33"/>
      <c r="W2429" s="33"/>
    </row>
    <row r="2430" spans="1:23" ht="16.5" customHeight="1" x14ac:dyDescent="0.2">
      <c r="A2430" s="26"/>
      <c r="B2430" s="26"/>
      <c r="C2430" s="26"/>
      <c r="D2430" s="26"/>
      <c r="E2430" s="26"/>
      <c r="F2430" s="28"/>
      <c r="G2430" s="26"/>
      <c r="H2430" s="32"/>
      <c r="I2430" s="32"/>
      <c r="J2430" s="32"/>
      <c r="K2430" s="32"/>
      <c r="L2430" s="32" t="e">
        <f ca="1">_xludf.ifna(VLOOKUP(E2430,Parámetros!$D$2:$E$34,2,0),"")</f>
        <v>#NAME?</v>
      </c>
      <c r="M2430" s="32" t="e">
        <f ca="1">_xludf.ifna(VLOOKUP(G2430,Proyectos!$A$2:$T$674,20,0),"")</f>
        <v>#NAME?</v>
      </c>
      <c r="N2430" s="32" t="e">
        <f ca="1">_xludf.ifna(VLOOKUP(G2430,Proyectos!$A$2:$S$674,19,0))</f>
        <v>#NAME?</v>
      </c>
      <c r="O2430" s="32"/>
      <c r="P2430" s="32"/>
      <c r="Q2430" s="33"/>
      <c r="R2430" s="33"/>
      <c r="S2430" s="33"/>
      <c r="T2430" s="63">
        <f t="shared" si="21"/>
        <v>0</v>
      </c>
      <c r="U2430" s="33"/>
      <c r="V2430" s="33"/>
      <c r="W2430" s="33"/>
    </row>
    <row r="2431" spans="1:23" ht="16.5" customHeight="1" x14ac:dyDescent="0.2">
      <c r="A2431" s="26"/>
      <c r="B2431" s="26"/>
      <c r="C2431" s="26"/>
      <c r="D2431" s="26"/>
      <c r="E2431" s="26"/>
      <c r="F2431" s="28"/>
      <c r="G2431" s="26"/>
      <c r="H2431" s="32"/>
      <c r="I2431" s="32"/>
      <c r="J2431" s="32"/>
      <c r="K2431" s="32"/>
      <c r="L2431" s="32" t="e">
        <f ca="1">_xludf.ifna(VLOOKUP(E2431,Parámetros!$D$2:$E$34,2,0),"")</f>
        <v>#NAME?</v>
      </c>
      <c r="M2431" s="32" t="e">
        <f ca="1">_xludf.ifna(VLOOKUP(G2431,Proyectos!$A$2:$T$674,20,0),"")</f>
        <v>#NAME?</v>
      </c>
      <c r="N2431" s="32" t="e">
        <f ca="1">_xludf.ifna(VLOOKUP(G2431,Proyectos!$A$2:$S$674,19,0))</f>
        <v>#NAME?</v>
      </c>
      <c r="O2431" s="32"/>
      <c r="P2431" s="32"/>
      <c r="Q2431" s="33"/>
      <c r="R2431" s="33"/>
      <c r="S2431" s="33"/>
      <c r="T2431" s="63">
        <f t="shared" si="21"/>
        <v>0</v>
      </c>
      <c r="U2431" s="33"/>
      <c r="V2431" s="33"/>
      <c r="W2431" s="33"/>
    </row>
    <row r="2432" spans="1:23" ht="16.5" customHeight="1" x14ac:dyDescent="0.2">
      <c r="A2432" s="26"/>
      <c r="B2432" s="26"/>
      <c r="C2432" s="26"/>
      <c r="D2432" s="26"/>
      <c r="E2432" s="26"/>
      <c r="F2432" s="28"/>
      <c r="G2432" s="26"/>
      <c r="H2432" s="32"/>
      <c r="I2432" s="32"/>
      <c r="J2432" s="32"/>
      <c r="K2432" s="32"/>
      <c r="L2432" s="32" t="e">
        <f ca="1">_xludf.ifna(VLOOKUP(E2432,Parámetros!$D$2:$E$34,2,0),"")</f>
        <v>#NAME?</v>
      </c>
      <c r="M2432" s="32" t="e">
        <f ca="1">_xludf.ifna(VLOOKUP(G2432,Proyectos!$A$2:$T$674,20,0),"")</f>
        <v>#NAME?</v>
      </c>
      <c r="N2432" s="32" t="e">
        <f ca="1">_xludf.ifna(VLOOKUP(G2432,Proyectos!$A$2:$S$674,19,0))</f>
        <v>#NAME?</v>
      </c>
      <c r="O2432" s="32"/>
      <c r="P2432" s="32"/>
      <c r="Q2432" s="33"/>
      <c r="R2432" s="33"/>
      <c r="S2432" s="33"/>
      <c r="T2432" s="63">
        <f t="shared" si="21"/>
        <v>0</v>
      </c>
      <c r="U2432" s="33"/>
      <c r="V2432" s="33"/>
      <c r="W2432" s="33"/>
    </row>
    <row r="2433" spans="1:23" ht="16.5" customHeight="1" x14ac:dyDescent="0.2">
      <c r="A2433" s="26"/>
      <c r="B2433" s="26"/>
      <c r="C2433" s="26"/>
      <c r="D2433" s="26"/>
      <c r="E2433" s="26"/>
      <c r="F2433" s="28"/>
      <c r="G2433" s="26"/>
      <c r="H2433" s="32"/>
      <c r="I2433" s="32"/>
      <c r="J2433" s="32"/>
      <c r="K2433" s="32"/>
      <c r="L2433" s="32" t="e">
        <f ca="1">_xludf.ifna(VLOOKUP(E2433,Parámetros!$D$2:$E$34,2,0),"")</f>
        <v>#NAME?</v>
      </c>
      <c r="M2433" s="32" t="e">
        <f ca="1">_xludf.ifna(VLOOKUP(G2433,Proyectos!$A$2:$T$674,20,0),"")</f>
        <v>#NAME?</v>
      </c>
      <c r="N2433" s="32" t="e">
        <f ca="1">_xludf.ifna(VLOOKUP(G2433,Proyectos!$A$2:$S$674,19,0))</f>
        <v>#NAME?</v>
      </c>
      <c r="O2433" s="32"/>
      <c r="P2433" s="32"/>
      <c r="Q2433" s="33"/>
      <c r="R2433" s="33"/>
      <c r="S2433" s="33"/>
      <c r="T2433" s="63">
        <f t="shared" si="21"/>
        <v>0</v>
      </c>
      <c r="U2433" s="33"/>
      <c r="V2433" s="33"/>
      <c r="W2433" s="33"/>
    </row>
    <row r="2434" spans="1:23" ht="16.5" customHeight="1" x14ac:dyDescent="0.2">
      <c r="A2434" s="26"/>
      <c r="B2434" s="26"/>
      <c r="C2434" s="26"/>
      <c r="D2434" s="26"/>
      <c r="E2434" s="26"/>
      <c r="F2434" s="28"/>
      <c r="G2434" s="26"/>
      <c r="H2434" s="32"/>
      <c r="I2434" s="32"/>
      <c r="J2434" s="32"/>
      <c r="K2434" s="32"/>
      <c r="L2434" s="32" t="e">
        <f ca="1">_xludf.ifna(VLOOKUP(E2434,Parámetros!$D$2:$E$34,2,0),"")</f>
        <v>#NAME?</v>
      </c>
      <c r="M2434" s="32" t="e">
        <f ca="1">_xludf.ifna(VLOOKUP(G2434,Proyectos!$A$2:$T$674,20,0),"")</f>
        <v>#NAME?</v>
      </c>
      <c r="N2434" s="32" t="e">
        <f ca="1">_xludf.ifna(VLOOKUP(G2434,Proyectos!$A$2:$S$674,19,0))</f>
        <v>#NAME?</v>
      </c>
      <c r="O2434" s="32"/>
      <c r="P2434" s="32"/>
      <c r="Q2434" s="33"/>
      <c r="R2434" s="33"/>
      <c r="S2434" s="33"/>
      <c r="T2434" s="63">
        <f t="shared" si="21"/>
        <v>0</v>
      </c>
      <c r="U2434" s="33"/>
      <c r="V2434" s="33"/>
      <c r="W2434" s="33"/>
    </row>
    <row r="2435" spans="1:23" ht="16.5" customHeight="1" x14ac:dyDescent="0.2">
      <c r="A2435" s="26"/>
      <c r="B2435" s="26"/>
      <c r="C2435" s="26"/>
      <c r="D2435" s="26"/>
      <c r="E2435" s="26"/>
      <c r="F2435" s="28"/>
      <c r="G2435" s="26"/>
      <c r="H2435" s="32"/>
      <c r="I2435" s="32"/>
      <c r="J2435" s="32"/>
      <c r="K2435" s="32"/>
      <c r="L2435" s="32" t="e">
        <f ca="1">_xludf.ifna(VLOOKUP(E2435,Parámetros!$D$2:$E$34,2,0),"")</f>
        <v>#NAME?</v>
      </c>
      <c r="M2435" s="32" t="e">
        <f ca="1">_xludf.ifna(VLOOKUP(G2435,Proyectos!$A$2:$T$674,20,0),"")</f>
        <v>#NAME?</v>
      </c>
      <c r="N2435" s="32" t="e">
        <f ca="1">_xludf.ifna(VLOOKUP(G2435,Proyectos!$A$2:$S$674,19,0))</f>
        <v>#NAME?</v>
      </c>
      <c r="O2435" s="32"/>
      <c r="P2435" s="32"/>
      <c r="Q2435" s="33"/>
      <c r="R2435" s="33"/>
      <c r="S2435" s="33"/>
      <c r="T2435" s="63">
        <f t="shared" si="21"/>
        <v>0</v>
      </c>
      <c r="U2435" s="33"/>
      <c r="V2435" s="33"/>
      <c r="W2435" s="33"/>
    </row>
    <row r="2436" spans="1:23" ht="16.5" customHeight="1" x14ac:dyDescent="0.2">
      <c r="A2436" s="26"/>
      <c r="B2436" s="26"/>
      <c r="C2436" s="26"/>
      <c r="D2436" s="26"/>
      <c r="E2436" s="26"/>
      <c r="F2436" s="28"/>
      <c r="G2436" s="26"/>
      <c r="H2436" s="32"/>
      <c r="I2436" s="32"/>
      <c r="J2436" s="32"/>
      <c r="K2436" s="32"/>
      <c r="L2436" s="32" t="e">
        <f ca="1">_xludf.ifna(VLOOKUP(E2436,Parámetros!$D$2:$E$34,2,0),"")</f>
        <v>#NAME?</v>
      </c>
      <c r="M2436" s="32" t="e">
        <f ca="1">_xludf.ifna(VLOOKUP(G2436,Proyectos!$A$2:$T$674,20,0),"")</f>
        <v>#NAME?</v>
      </c>
      <c r="N2436" s="32" t="e">
        <f ca="1">_xludf.ifna(VLOOKUP(G2436,Proyectos!$A$2:$S$674,19,0))</f>
        <v>#NAME?</v>
      </c>
      <c r="O2436" s="32"/>
      <c r="P2436" s="32"/>
      <c r="Q2436" s="33"/>
      <c r="R2436" s="33"/>
      <c r="S2436" s="33"/>
      <c r="T2436" s="63">
        <f t="shared" si="21"/>
        <v>0</v>
      </c>
      <c r="U2436" s="33"/>
      <c r="V2436" s="33"/>
      <c r="W2436" s="33"/>
    </row>
    <row r="2437" spans="1:23" ht="16.5" customHeight="1" x14ac:dyDescent="0.2">
      <c r="A2437" s="26"/>
      <c r="B2437" s="26"/>
      <c r="C2437" s="26"/>
      <c r="D2437" s="26"/>
      <c r="E2437" s="26"/>
      <c r="F2437" s="28"/>
      <c r="G2437" s="26"/>
      <c r="H2437" s="32"/>
      <c r="I2437" s="32"/>
      <c r="J2437" s="32"/>
      <c r="K2437" s="32"/>
      <c r="L2437" s="32" t="e">
        <f ca="1">_xludf.ifna(VLOOKUP(E2437,Parámetros!$D$2:$E$34,2,0),"")</f>
        <v>#NAME?</v>
      </c>
      <c r="M2437" s="32" t="e">
        <f ca="1">_xludf.ifna(VLOOKUP(G2437,Proyectos!$A$2:$T$674,20,0),"")</f>
        <v>#NAME?</v>
      </c>
      <c r="N2437" s="32" t="e">
        <f ca="1">_xludf.ifna(VLOOKUP(G2437,Proyectos!$A$2:$S$674,19,0))</f>
        <v>#NAME?</v>
      </c>
      <c r="O2437" s="32"/>
      <c r="P2437" s="32"/>
      <c r="Q2437" s="33"/>
      <c r="R2437" s="33"/>
      <c r="S2437" s="33"/>
      <c r="T2437" s="63">
        <f t="shared" si="21"/>
        <v>0</v>
      </c>
      <c r="U2437" s="33"/>
      <c r="V2437" s="33"/>
      <c r="W2437" s="33"/>
    </row>
    <row r="2438" spans="1:23" ht="16.5" customHeight="1" x14ac:dyDescent="0.2">
      <c r="A2438" s="26"/>
      <c r="B2438" s="26"/>
      <c r="C2438" s="26"/>
      <c r="D2438" s="26"/>
      <c r="E2438" s="26"/>
      <c r="F2438" s="28"/>
      <c r="G2438" s="26"/>
      <c r="H2438" s="32"/>
      <c r="I2438" s="32"/>
      <c r="J2438" s="32"/>
      <c r="K2438" s="32"/>
      <c r="L2438" s="32" t="e">
        <f ca="1">_xludf.ifna(VLOOKUP(E2438,Parámetros!$D$2:$E$34,2,0),"")</f>
        <v>#NAME?</v>
      </c>
      <c r="M2438" s="32" t="e">
        <f ca="1">_xludf.ifna(VLOOKUP(G2438,Proyectos!$A$2:$T$674,20,0),"")</f>
        <v>#NAME?</v>
      </c>
      <c r="N2438" s="32" t="e">
        <f ca="1">_xludf.ifna(VLOOKUP(G2438,Proyectos!$A$2:$S$674,19,0))</f>
        <v>#NAME?</v>
      </c>
      <c r="O2438" s="32"/>
      <c r="P2438" s="32"/>
      <c r="Q2438" s="33"/>
      <c r="R2438" s="33"/>
      <c r="S2438" s="33"/>
      <c r="T2438" s="63">
        <f t="shared" si="21"/>
        <v>0</v>
      </c>
      <c r="U2438" s="33"/>
      <c r="V2438" s="33"/>
      <c r="W2438" s="33"/>
    </row>
    <row r="2439" spans="1:23" ht="16.5" customHeight="1" x14ac:dyDescent="0.2">
      <c r="A2439" s="26"/>
      <c r="B2439" s="26"/>
      <c r="C2439" s="26"/>
      <c r="D2439" s="26"/>
      <c r="E2439" s="26"/>
      <c r="F2439" s="28"/>
      <c r="G2439" s="26"/>
      <c r="H2439" s="32"/>
      <c r="I2439" s="32"/>
      <c r="J2439" s="32"/>
      <c r="K2439" s="32"/>
      <c r="L2439" s="32" t="e">
        <f ca="1">_xludf.ifna(VLOOKUP(E2439,Parámetros!$D$2:$E$34,2,0),"")</f>
        <v>#NAME?</v>
      </c>
      <c r="M2439" s="32" t="e">
        <f ca="1">_xludf.ifna(VLOOKUP(G2439,Proyectos!$A$2:$T$674,20,0),"")</f>
        <v>#NAME?</v>
      </c>
      <c r="N2439" s="32" t="e">
        <f ca="1">_xludf.ifna(VLOOKUP(G2439,Proyectos!$A$2:$S$674,19,0))</f>
        <v>#NAME?</v>
      </c>
      <c r="O2439" s="32"/>
      <c r="P2439" s="32"/>
      <c r="Q2439" s="33"/>
      <c r="R2439" s="33"/>
      <c r="S2439" s="33"/>
      <c r="T2439" s="63">
        <f t="shared" si="21"/>
        <v>0</v>
      </c>
      <c r="U2439" s="33"/>
      <c r="V2439" s="33"/>
      <c r="W2439" s="33"/>
    </row>
    <row r="2440" spans="1:23" ht="16.5" customHeight="1" x14ac:dyDescent="0.2">
      <c r="A2440" s="26"/>
      <c r="B2440" s="26"/>
      <c r="C2440" s="26"/>
      <c r="D2440" s="26"/>
      <c r="E2440" s="26"/>
      <c r="F2440" s="28"/>
      <c r="G2440" s="26"/>
      <c r="H2440" s="32"/>
      <c r="I2440" s="32"/>
      <c r="J2440" s="32"/>
      <c r="K2440" s="32"/>
      <c r="L2440" s="32" t="e">
        <f ca="1">_xludf.ifna(VLOOKUP(E2440,Parámetros!$D$2:$E$34,2,0),"")</f>
        <v>#NAME?</v>
      </c>
      <c r="M2440" s="32" t="e">
        <f ca="1">_xludf.ifna(VLOOKUP(G2440,Proyectos!$A$2:$T$674,20,0),"")</f>
        <v>#NAME?</v>
      </c>
      <c r="N2440" s="32" t="e">
        <f ca="1">_xludf.ifna(VLOOKUP(G2440,Proyectos!$A$2:$S$674,19,0))</f>
        <v>#NAME?</v>
      </c>
      <c r="O2440" s="32"/>
      <c r="P2440" s="32"/>
      <c r="Q2440" s="33"/>
      <c r="R2440" s="33"/>
      <c r="S2440" s="33"/>
      <c r="T2440" s="63">
        <f t="shared" si="21"/>
        <v>0</v>
      </c>
      <c r="U2440" s="33"/>
      <c r="V2440" s="33"/>
      <c r="W2440" s="33"/>
    </row>
    <row r="2441" spans="1:23" ht="16.5" customHeight="1" x14ac:dyDescent="0.2">
      <c r="A2441" s="26"/>
      <c r="B2441" s="26"/>
      <c r="C2441" s="26"/>
      <c r="D2441" s="26"/>
      <c r="E2441" s="26"/>
      <c r="F2441" s="28"/>
      <c r="G2441" s="26"/>
      <c r="H2441" s="32"/>
      <c r="I2441" s="32"/>
      <c r="J2441" s="32"/>
      <c r="K2441" s="32"/>
      <c r="L2441" s="32" t="e">
        <f ca="1">_xludf.ifna(VLOOKUP(E2441,Parámetros!$D$2:$E$34,2,0),"")</f>
        <v>#NAME?</v>
      </c>
      <c r="M2441" s="32" t="e">
        <f ca="1">_xludf.ifna(VLOOKUP(G2441,Proyectos!$A$2:$T$674,20,0),"")</f>
        <v>#NAME?</v>
      </c>
      <c r="N2441" s="32" t="e">
        <f ca="1">_xludf.ifna(VLOOKUP(G2441,Proyectos!$A$2:$S$674,19,0))</f>
        <v>#NAME?</v>
      </c>
      <c r="O2441" s="32"/>
      <c r="P2441" s="32"/>
      <c r="Q2441" s="33"/>
      <c r="R2441" s="33"/>
      <c r="S2441" s="33"/>
      <c r="T2441" s="63">
        <f t="shared" si="21"/>
        <v>0</v>
      </c>
      <c r="U2441" s="33"/>
      <c r="V2441" s="33"/>
      <c r="W2441" s="33"/>
    </row>
    <row r="2442" spans="1:23" ht="16.5" customHeight="1" x14ac:dyDescent="0.2">
      <c r="A2442" s="26"/>
      <c r="B2442" s="26"/>
      <c r="C2442" s="26"/>
      <c r="D2442" s="26"/>
      <c r="E2442" s="26"/>
      <c r="F2442" s="28"/>
      <c r="G2442" s="26"/>
      <c r="H2442" s="32"/>
      <c r="I2442" s="32"/>
      <c r="J2442" s="32"/>
      <c r="K2442" s="32"/>
      <c r="L2442" s="32" t="e">
        <f ca="1">_xludf.ifna(VLOOKUP(E2442,Parámetros!$D$2:$E$34,2,0),"")</f>
        <v>#NAME?</v>
      </c>
      <c r="M2442" s="32" t="e">
        <f ca="1">_xludf.ifna(VLOOKUP(G2442,Proyectos!$A$2:$T$674,20,0),"")</f>
        <v>#NAME?</v>
      </c>
      <c r="N2442" s="32" t="e">
        <f ca="1">_xludf.ifna(VLOOKUP(G2442,Proyectos!$A$2:$S$674,19,0))</f>
        <v>#NAME?</v>
      </c>
      <c r="O2442" s="32"/>
      <c r="P2442" s="32"/>
      <c r="Q2442" s="33"/>
      <c r="R2442" s="33"/>
      <c r="S2442" s="33"/>
      <c r="T2442" s="63">
        <f t="shared" si="21"/>
        <v>0</v>
      </c>
      <c r="U2442" s="33"/>
      <c r="V2442" s="33"/>
      <c r="W2442" s="33"/>
    </row>
    <row r="2443" spans="1:23" ht="16.5" customHeight="1" x14ac:dyDescent="0.2">
      <c r="A2443" s="26"/>
      <c r="B2443" s="26"/>
      <c r="C2443" s="26"/>
      <c r="D2443" s="26"/>
      <c r="E2443" s="26"/>
      <c r="F2443" s="28"/>
      <c r="G2443" s="26"/>
      <c r="H2443" s="32"/>
      <c r="I2443" s="32"/>
      <c r="J2443" s="32"/>
      <c r="K2443" s="32"/>
      <c r="L2443" s="32" t="e">
        <f ca="1">_xludf.ifna(VLOOKUP(E2443,Parámetros!$D$2:$E$34,2,0),"")</f>
        <v>#NAME?</v>
      </c>
      <c r="M2443" s="32" t="e">
        <f ca="1">_xludf.ifna(VLOOKUP(G2443,Proyectos!$A$2:$T$674,20,0),"")</f>
        <v>#NAME?</v>
      </c>
      <c r="N2443" s="32" t="e">
        <f ca="1">_xludf.ifna(VLOOKUP(G2443,Proyectos!$A$2:$S$674,19,0))</f>
        <v>#NAME?</v>
      </c>
      <c r="O2443" s="32"/>
      <c r="P2443" s="32"/>
      <c r="Q2443" s="33"/>
      <c r="R2443" s="33"/>
      <c r="S2443" s="33"/>
      <c r="T2443" s="63">
        <f t="shared" si="21"/>
        <v>0</v>
      </c>
      <c r="U2443" s="33"/>
      <c r="V2443" s="33"/>
      <c r="W2443" s="33"/>
    </row>
    <row r="2444" spans="1:23" ht="16.5" customHeight="1" x14ac:dyDescent="0.2">
      <c r="A2444" s="26"/>
      <c r="B2444" s="26"/>
      <c r="C2444" s="26"/>
      <c r="D2444" s="26"/>
      <c r="E2444" s="26"/>
      <c r="F2444" s="28"/>
      <c r="G2444" s="26"/>
      <c r="H2444" s="32"/>
      <c r="I2444" s="32"/>
      <c r="J2444" s="32"/>
      <c r="K2444" s="32"/>
      <c r="L2444" s="32" t="e">
        <f ca="1">_xludf.ifna(VLOOKUP(E2444,Parámetros!$D$2:$E$34,2,0),"")</f>
        <v>#NAME?</v>
      </c>
      <c r="M2444" s="32" t="e">
        <f ca="1">_xludf.ifna(VLOOKUP(G2444,Proyectos!$A$2:$T$674,20,0),"")</f>
        <v>#NAME?</v>
      </c>
      <c r="N2444" s="32" t="e">
        <f ca="1">_xludf.ifna(VLOOKUP(G2444,Proyectos!$A$2:$S$674,19,0))</f>
        <v>#NAME?</v>
      </c>
      <c r="O2444" s="32"/>
      <c r="P2444" s="32"/>
      <c r="Q2444" s="33"/>
      <c r="R2444" s="33"/>
      <c r="S2444" s="33"/>
      <c r="T2444" s="63">
        <f t="shared" si="21"/>
        <v>0</v>
      </c>
      <c r="U2444" s="33"/>
      <c r="V2444" s="33"/>
      <c r="W2444" s="33"/>
    </row>
    <row r="2445" spans="1:23" ht="16.5" customHeight="1" x14ac:dyDescent="0.2">
      <c r="A2445" s="26"/>
      <c r="B2445" s="26"/>
      <c r="C2445" s="26"/>
      <c r="D2445" s="26"/>
      <c r="E2445" s="26"/>
      <c r="F2445" s="28"/>
      <c r="G2445" s="26"/>
      <c r="H2445" s="32"/>
      <c r="I2445" s="32"/>
      <c r="J2445" s="32"/>
      <c r="K2445" s="32"/>
      <c r="L2445" s="32" t="e">
        <f ca="1">_xludf.ifna(VLOOKUP(E2445,Parámetros!$D$2:$E$34,2,0),"")</f>
        <v>#NAME?</v>
      </c>
      <c r="M2445" s="32" t="e">
        <f ca="1">_xludf.ifna(VLOOKUP(G2445,Proyectos!$A$2:$T$674,20,0),"")</f>
        <v>#NAME?</v>
      </c>
      <c r="N2445" s="32" t="e">
        <f ca="1">_xludf.ifna(VLOOKUP(G2445,Proyectos!$A$2:$S$674,19,0))</f>
        <v>#NAME?</v>
      </c>
      <c r="O2445" s="32"/>
      <c r="P2445" s="32"/>
      <c r="Q2445" s="33"/>
      <c r="R2445" s="33"/>
      <c r="S2445" s="33"/>
      <c r="T2445" s="63">
        <f t="shared" si="21"/>
        <v>0</v>
      </c>
      <c r="U2445" s="33"/>
      <c r="V2445" s="33"/>
      <c r="W2445" s="33"/>
    </row>
    <row r="2446" spans="1:23" ht="16.5" customHeight="1" x14ac:dyDescent="0.2">
      <c r="A2446" s="26"/>
      <c r="B2446" s="26"/>
      <c r="C2446" s="26"/>
      <c r="D2446" s="26"/>
      <c r="E2446" s="26"/>
      <c r="F2446" s="28"/>
      <c r="G2446" s="26"/>
      <c r="H2446" s="32"/>
      <c r="I2446" s="32"/>
      <c r="J2446" s="32"/>
      <c r="K2446" s="32"/>
      <c r="L2446" s="32" t="e">
        <f ca="1">_xludf.ifna(VLOOKUP(E2446,Parámetros!$D$2:$E$34,2,0),"")</f>
        <v>#NAME?</v>
      </c>
      <c r="M2446" s="32" t="e">
        <f ca="1">_xludf.ifna(VLOOKUP(G2446,Proyectos!$A$2:$T$674,20,0),"")</f>
        <v>#NAME?</v>
      </c>
      <c r="N2446" s="32" t="e">
        <f ca="1">_xludf.ifna(VLOOKUP(G2446,Proyectos!$A$2:$S$674,19,0))</f>
        <v>#NAME?</v>
      </c>
      <c r="O2446" s="32"/>
      <c r="P2446" s="32"/>
      <c r="Q2446" s="33"/>
      <c r="R2446" s="33"/>
      <c r="S2446" s="33"/>
      <c r="T2446" s="63">
        <f t="shared" si="21"/>
        <v>0</v>
      </c>
      <c r="U2446" s="33"/>
      <c r="V2446" s="33"/>
      <c r="W2446" s="33"/>
    </row>
    <row r="2447" spans="1:23" ht="16.5" customHeight="1" x14ac:dyDescent="0.2">
      <c r="A2447" s="26"/>
      <c r="B2447" s="26"/>
      <c r="C2447" s="26"/>
      <c r="D2447" s="26"/>
      <c r="E2447" s="26"/>
      <c r="F2447" s="28"/>
      <c r="G2447" s="26"/>
      <c r="H2447" s="32"/>
      <c r="I2447" s="32"/>
      <c r="J2447" s="32"/>
      <c r="K2447" s="32"/>
      <c r="L2447" s="32" t="e">
        <f ca="1">_xludf.ifna(VLOOKUP(E2447,Parámetros!$D$2:$E$34,2,0),"")</f>
        <v>#NAME?</v>
      </c>
      <c r="M2447" s="32" t="e">
        <f ca="1">_xludf.ifna(VLOOKUP(G2447,Proyectos!$A$2:$T$674,20,0),"")</f>
        <v>#NAME?</v>
      </c>
      <c r="N2447" s="32" t="e">
        <f ca="1">_xludf.ifna(VLOOKUP(G2447,Proyectos!$A$2:$S$674,19,0))</f>
        <v>#NAME?</v>
      </c>
      <c r="O2447" s="32"/>
      <c r="P2447" s="32"/>
      <c r="Q2447" s="33"/>
      <c r="R2447" s="33"/>
      <c r="S2447" s="33"/>
      <c r="T2447" s="63">
        <f t="shared" si="21"/>
        <v>0</v>
      </c>
      <c r="U2447" s="33"/>
      <c r="V2447" s="33"/>
      <c r="W2447" s="33"/>
    </row>
    <row r="2448" spans="1:23" ht="16.5" customHeight="1" x14ac:dyDescent="0.2">
      <c r="A2448" s="26"/>
      <c r="B2448" s="26"/>
      <c r="C2448" s="26"/>
      <c r="D2448" s="26"/>
      <c r="E2448" s="26"/>
      <c r="F2448" s="28"/>
      <c r="G2448" s="26"/>
      <c r="H2448" s="32"/>
      <c r="I2448" s="32"/>
      <c r="J2448" s="32"/>
      <c r="K2448" s="32"/>
      <c r="L2448" s="32" t="e">
        <f ca="1">_xludf.ifna(VLOOKUP(E2448,Parámetros!$D$2:$E$34,2,0),"")</f>
        <v>#NAME?</v>
      </c>
      <c r="M2448" s="32" t="e">
        <f ca="1">_xludf.ifna(VLOOKUP(G2448,Proyectos!$A$2:$T$674,20,0),"")</f>
        <v>#NAME?</v>
      </c>
      <c r="N2448" s="32" t="e">
        <f ca="1">_xludf.ifna(VLOOKUP(G2448,Proyectos!$A$2:$S$674,19,0))</f>
        <v>#NAME?</v>
      </c>
      <c r="O2448" s="32"/>
      <c r="P2448" s="32"/>
      <c r="Q2448" s="33"/>
      <c r="R2448" s="33"/>
      <c r="S2448" s="33"/>
      <c r="T2448" s="63">
        <f t="shared" si="21"/>
        <v>0</v>
      </c>
      <c r="U2448" s="33"/>
      <c r="V2448" s="33"/>
      <c r="W2448" s="33"/>
    </row>
    <row r="2449" spans="1:23" ht="16.5" customHeight="1" x14ac:dyDescent="0.2">
      <c r="A2449" s="26"/>
      <c r="B2449" s="26"/>
      <c r="C2449" s="26"/>
      <c r="D2449" s="26"/>
      <c r="E2449" s="26"/>
      <c r="F2449" s="28"/>
      <c r="G2449" s="26"/>
      <c r="H2449" s="32"/>
      <c r="I2449" s="32"/>
      <c r="J2449" s="32"/>
      <c r="K2449" s="32"/>
      <c r="L2449" s="32" t="e">
        <f ca="1">_xludf.ifna(VLOOKUP(E2449,Parámetros!$D$2:$E$34,2,0),"")</f>
        <v>#NAME?</v>
      </c>
      <c r="M2449" s="32" t="e">
        <f ca="1">_xludf.ifna(VLOOKUP(G2449,Proyectos!$A$2:$T$674,20,0),"")</f>
        <v>#NAME?</v>
      </c>
      <c r="N2449" s="32" t="e">
        <f ca="1">_xludf.ifna(VLOOKUP(G2449,Proyectos!$A$2:$S$674,19,0))</f>
        <v>#NAME?</v>
      </c>
      <c r="O2449" s="32"/>
      <c r="P2449" s="32"/>
      <c r="Q2449" s="33"/>
      <c r="R2449" s="33"/>
      <c r="S2449" s="33"/>
      <c r="T2449" s="63">
        <f t="shared" si="21"/>
        <v>0</v>
      </c>
      <c r="U2449" s="33"/>
      <c r="V2449" s="33"/>
      <c r="W2449" s="33"/>
    </row>
    <row r="2450" spans="1:23" ht="16.5" customHeight="1" x14ac:dyDescent="0.2">
      <c r="A2450" s="26"/>
      <c r="B2450" s="26"/>
      <c r="C2450" s="26"/>
      <c r="D2450" s="26"/>
      <c r="E2450" s="26"/>
      <c r="F2450" s="28"/>
      <c r="G2450" s="26"/>
      <c r="H2450" s="32"/>
      <c r="I2450" s="32"/>
      <c r="J2450" s="32"/>
      <c r="K2450" s="32"/>
      <c r="L2450" s="32" t="e">
        <f ca="1">_xludf.ifna(VLOOKUP(E2450,Parámetros!$D$2:$E$34,2,0),"")</f>
        <v>#NAME?</v>
      </c>
      <c r="M2450" s="32" t="e">
        <f ca="1">_xludf.ifna(VLOOKUP(G2450,Proyectos!$A$2:$T$674,20,0),"")</f>
        <v>#NAME?</v>
      </c>
      <c r="N2450" s="32" t="e">
        <f ca="1">_xludf.ifna(VLOOKUP(G2450,Proyectos!$A$2:$S$674,19,0))</f>
        <v>#NAME?</v>
      </c>
      <c r="O2450" s="32"/>
      <c r="P2450" s="32"/>
      <c r="Q2450" s="33"/>
      <c r="R2450" s="33"/>
      <c r="S2450" s="33"/>
      <c r="T2450" s="63">
        <f t="shared" si="21"/>
        <v>0</v>
      </c>
      <c r="U2450" s="33"/>
      <c r="V2450" s="33"/>
      <c r="W2450" s="33"/>
    </row>
    <row r="2451" spans="1:23" ht="16.5" customHeight="1" x14ac:dyDescent="0.2">
      <c r="A2451" s="26"/>
      <c r="B2451" s="26"/>
      <c r="C2451" s="26"/>
      <c r="D2451" s="26"/>
      <c r="E2451" s="26"/>
      <c r="F2451" s="28"/>
      <c r="G2451" s="26"/>
      <c r="H2451" s="32"/>
      <c r="I2451" s="32"/>
      <c r="J2451" s="32"/>
      <c r="K2451" s="32"/>
      <c r="L2451" s="32" t="e">
        <f ca="1">_xludf.ifna(VLOOKUP(E2451,Parámetros!$D$2:$E$34,2,0),"")</f>
        <v>#NAME?</v>
      </c>
      <c r="M2451" s="32" t="e">
        <f ca="1">_xludf.ifna(VLOOKUP(G2451,Proyectos!$A$2:$T$674,20,0),"")</f>
        <v>#NAME?</v>
      </c>
      <c r="N2451" s="32" t="e">
        <f ca="1">_xludf.ifna(VLOOKUP(G2451,Proyectos!$A$2:$S$674,19,0))</f>
        <v>#NAME?</v>
      </c>
      <c r="O2451" s="32"/>
      <c r="P2451" s="32"/>
      <c r="Q2451" s="33"/>
      <c r="R2451" s="33"/>
      <c r="S2451" s="33"/>
      <c r="T2451" s="63">
        <f t="shared" si="21"/>
        <v>0</v>
      </c>
      <c r="U2451" s="33"/>
      <c r="V2451" s="33"/>
      <c r="W2451" s="33"/>
    </row>
    <row r="2452" spans="1:23" ht="16.5" customHeight="1" x14ac:dyDescent="0.2">
      <c r="A2452" s="26"/>
      <c r="B2452" s="26"/>
      <c r="C2452" s="26"/>
      <c r="D2452" s="26"/>
      <c r="E2452" s="26"/>
      <c r="F2452" s="28"/>
      <c r="G2452" s="26"/>
      <c r="H2452" s="32"/>
      <c r="I2452" s="32"/>
      <c r="J2452" s="32"/>
      <c r="K2452" s="32"/>
      <c r="L2452" s="32" t="e">
        <f ca="1">_xludf.ifna(VLOOKUP(E2452,Parámetros!$D$2:$E$34,2,0),"")</f>
        <v>#NAME?</v>
      </c>
      <c r="M2452" s="32" t="e">
        <f ca="1">_xludf.ifna(VLOOKUP(G2452,Proyectos!$A$2:$T$674,20,0),"")</f>
        <v>#NAME?</v>
      </c>
      <c r="N2452" s="32" t="e">
        <f ca="1">_xludf.ifna(VLOOKUP(G2452,Proyectos!$A$2:$S$674,19,0))</f>
        <v>#NAME?</v>
      </c>
      <c r="O2452" s="32"/>
      <c r="P2452" s="32"/>
      <c r="Q2452" s="33"/>
      <c r="R2452" s="33"/>
      <c r="S2452" s="33"/>
      <c r="T2452" s="63">
        <f t="shared" si="21"/>
        <v>0</v>
      </c>
      <c r="U2452" s="33"/>
      <c r="V2452" s="33"/>
      <c r="W2452" s="33"/>
    </row>
    <row r="2453" spans="1:23" ht="16.5" customHeight="1" x14ac:dyDescent="0.2">
      <c r="A2453" s="26"/>
      <c r="B2453" s="26"/>
      <c r="C2453" s="26"/>
      <c r="D2453" s="26"/>
      <c r="E2453" s="26"/>
      <c r="F2453" s="28"/>
      <c r="G2453" s="26"/>
      <c r="H2453" s="32"/>
      <c r="I2453" s="32"/>
      <c r="J2453" s="32"/>
      <c r="K2453" s="32"/>
      <c r="L2453" s="32" t="e">
        <f ca="1">_xludf.ifna(VLOOKUP(E2453,Parámetros!$D$2:$E$34,2,0),"")</f>
        <v>#NAME?</v>
      </c>
      <c r="M2453" s="32" t="e">
        <f ca="1">_xludf.ifna(VLOOKUP(G2453,Proyectos!$A$2:$T$674,20,0),"")</f>
        <v>#NAME?</v>
      </c>
      <c r="N2453" s="32" t="e">
        <f ca="1">_xludf.ifna(VLOOKUP(G2453,Proyectos!$A$2:$S$674,19,0))</f>
        <v>#NAME?</v>
      </c>
      <c r="O2453" s="32"/>
      <c r="P2453" s="32"/>
      <c r="Q2453" s="33"/>
      <c r="R2453" s="33"/>
      <c r="S2453" s="33"/>
      <c r="T2453" s="63">
        <f t="shared" si="21"/>
        <v>0</v>
      </c>
      <c r="U2453" s="33"/>
      <c r="V2453" s="33"/>
      <c r="W2453" s="33"/>
    </row>
    <row r="2454" spans="1:23" ht="16.5" customHeight="1" x14ac:dyDescent="0.2">
      <c r="A2454" s="26"/>
      <c r="B2454" s="26"/>
      <c r="C2454" s="26"/>
      <c r="D2454" s="26"/>
      <c r="E2454" s="26"/>
      <c r="F2454" s="28"/>
      <c r="G2454" s="26"/>
      <c r="H2454" s="32"/>
      <c r="I2454" s="32"/>
      <c r="J2454" s="32"/>
      <c r="K2454" s="32"/>
      <c r="L2454" s="32" t="e">
        <f ca="1">_xludf.ifna(VLOOKUP(E2454,Parámetros!$D$2:$E$34,2,0),"")</f>
        <v>#NAME?</v>
      </c>
      <c r="M2454" s="32" t="e">
        <f ca="1">_xludf.ifna(VLOOKUP(G2454,Proyectos!$A$2:$T$674,20,0),"")</f>
        <v>#NAME?</v>
      </c>
      <c r="N2454" s="32" t="e">
        <f ca="1">_xludf.ifna(VLOOKUP(G2454,Proyectos!$A$2:$S$674,19,0))</f>
        <v>#NAME?</v>
      </c>
      <c r="O2454" s="32"/>
      <c r="P2454" s="32"/>
      <c r="Q2454" s="33"/>
      <c r="R2454" s="33"/>
      <c r="S2454" s="33"/>
      <c r="T2454" s="63">
        <f t="shared" si="21"/>
        <v>0</v>
      </c>
      <c r="U2454" s="33"/>
      <c r="V2454" s="33"/>
      <c r="W2454" s="33"/>
    </row>
    <row r="2455" spans="1:23" ht="16.5" customHeight="1" x14ac:dyDescent="0.2">
      <c r="A2455" s="26"/>
      <c r="B2455" s="26"/>
      <c r="C2455" s="26"/>
      <c r="D2455" s="26"/>
      <c r="E2455" s="26"/>
      <c r="F2455" s="28"/>
      <c r="G2455" s="26"/>
      <c r="H2455" s="32"/>
      <c r="I2455" s="32"/>
      <c r="J2455" s="32"/>
      <c r="K2455" s="32"/>
      <c r="L2455" s="32" t="e">
        <f ca="1">_xludf.ifna(VLOOKUP(E2455,Parámetros!$D$2:$E$34,2,0),"")</f>
        <v>#NAME?</v>
      </c>
      <c r="M2455" s="32" t="e">
        <f ca="1">_xludf.ifna(VLOOKUP(G2455,Proyectos!$A$2:$T$674,20,0),"")</f>
        <v>#NAME?</v>
      </c>
      <c r="N2455" s="32" t="e">
        <f ca="1">_xludf.ifna(VLOOKUP(G2455,Proyectos!$A$2:$S$674,19,0))</f>
        <v>#NAME?</v>
      </c>
      <c r="O2455" s="32"/>
      <c r="P2455" s="32"/>
      <c r="Q2455" s="33"/>
      <c r="R2455" s="33"/>
      <c r="S2455" s="33"/>
      <c r="T2455" s="63">
        <f t="shared" si="21"/>
        <v>0</v>
      </c>
      <c r="U2455" s="33"/>
      <c r="V2455" s="33"/>
      <c r="W2455" s="33"/>
    </row>
    <row r="2456" spans="1:23" ht="16.5" customHeight="1" x14ac:dyDescent="0.2">
      <c r="A2456" s="26"/>
      <c r="B2456" s="26"/>
      <c r="C2456" s="26"/>
      <c r="D2456" s="26"/>
      <c r="E2456" s="26"/>
      <c r="F2456" s="28"/>
      <c r="G2456" s="26"/>
      <c r="H2456" s="32"/>
      <c r="I2456" s="32"/>
      <c r="J2456" s="32"/>
      <c r="K2456" s="32"/>
      <c r="L2456" s="32" t="e">
        <f ca="1">_xludf.ifna(VLOOKUP(E2456,Parámetros!$D$2:$E$34,2,0),"")</f>
        <v>#NAME?</v>
      </c>
      <c r="M2456" s="32" t="e">
        <f ca="1">_xludf.ifna(VLOOKUP(G2456,Proyectos!$A$2:$T$674,20,0),"")</f>
        <v>#NAME?</v>
      </c>
      <c r="N2456" s="32" t="e">
        <f ca="1">_xludf.ifna(VLOOKUP(G2456,Proyectos!$A$2:$S$674,19,0))</f>
        <v>#NAME?</v>
      </c>
      <c r="O2456" s="32"/>
      <c r="P2456" s="32"/>
      <c r="Q2456" s="33"/>
      <c r="R2456" s="33"/>
      <c r="S2456" s="33"/>
      <c r="T2456" s="63">
        <f t="shared" si="21"/>
        <v>0</v>
      </c>
      <c r="U2456" s="33"/>
      <c r="V2456" s="33"/>
      <c r="W2456" s="33"/>
    </row>
    <row r="2457" spans="1:23" ht="16.5" customHeight="1" x14ac:dyDescent="0.2">
      <c r="A2457" s="26"/>
      <c r="B2457" s="26"/>
      <c r="C2457" s="26"/>
      <c r="D2457" s="26"/>
      <c r="E2457" s="26"/>
      <c r="F2457" s="28"/>
      <c r="G2457" s="26"/>
      <c r="H2457" s="32"/>
      <c r="I2457" s="32"/>
      <c r="J2457" s="32"/>
      <c r="K2457" s="32"/>
      <c r="L2457" s="32" t="e">
        <f ca="1">_xludf.ifna(VLOOKUP(E2457,Parámetros!$D$2:$E$34,2,0),"")</f>
        <v>#NAME?</v>
      </c>
      <c r="M2457" s="32" t="e">
        <f ca="1">_xludf.ifna(VLOOKUP(G2457,Proyectos!$A$2:$T$674,20,0),"")</f>
        <v>#NAME?</v>
      </c>
      <c r="N2457" s="32" t="e">
        <f ca="1">_xludf.ifna(VLOOKUP(G2457,Proyectos!$A$2:$S$674,19,0))</f>
        <v>#NAME?</v>
      </c>
      <c r="O2457" s="32"/>
      <c r="P2457" s="32"/>
      <c r="Q2457" s="33"/>
      <c r="R2457" s="33"/>
      <c r="S2457" s="33"/>
      <c r="T2457" s="63">
        <f t="shared" si="21"/>
        <v>0</v>
      </c>
      <c r="U2457" s="33"/>
      <c r="V2457" s="33"/>
      <c r="W2457" s="33"/>
    </row>
    <row r="2458" spans="1:23" ht="16.5" customHeight="1" x14ac:dyDescent="0.2">
      <c r="A2458" s="26"/>
      <c r="B2458" s="26"/>
      <c r="C2458" s="26"/>
      <c r="D2458" s="26"/>
      <c r="E2458" s="26"/>
      <c r="F2458" s="28"/>
      <c r="G2458" s="26"/>
      <c r="H2458" s="32"/>
      <c r="I2458" s="32"/>
      <c r="J2458" s="32"/>
      <c r="K2458" s="32"/>
      <c r="L2458" s="32" t="e">
        <f ca="1">_xludf.ifna(VLOOKUP(E2458,Parámetros!$D$2:$E$34,2,0),"")</f>
        <v>#NAME?</v>
      </c>
      <c r="M2458" s="32" t="e">
        <f ca="1">_xludf.ifna(VLOOKUP(G2458,Proyectos!$A$2:$T$674,20,0),"")</f>
        <v>#NAME?</v>
      </c>
      <c r="N2458" s="32" t="e">
        <f ca="1">_xludf.ifna(VLOOKUP(G2458,Proyectos!$A$2:$S$674,19,0))</f>
        <v>#NAME?</v>
      </c>
      <c r="O2458" s="32"/>
      <c r="P2458" s="32"/>
      <c r="Q2458" s="33"/>
      <c r="R2458" s="33"/>
      <c r="S2458" s="33"/>
      <c r="T2458" s="63">
        <f t="shared" si="21"/>
        <v>0</v>
      </c>
      <c r="U2458" s="33"/>
      <c r="V2458" s="33"/>
      <c r="W2458" s="33"/>
    </row>
    <row r="2459" spans="1:23" ht="16.5" customHeight="1" x14ac:dyDescent="0.2">
      <c r="A2459" s="26"/>
      <c r="B2459" s="26"/>
      <c r="C2459" s="26"/>
      <c r="D2459" s="26"/>
      <c r="E2459" s="26"/>
      <c r="F2459" s="28"/>
      <c r="G2459" s="26"/>
      <c r="H2459" s="32"/>
      <c r="I2459" s="32"/>
      <c r="J2459" s="32"/>
      <c r="K2459" s="32"/>
      <c r="L2459" s="32" t="e">
        <f ca="1">_xludf.ifna(VLOOKUP(E2459,Parámetros!$D$2:$E$34,2,0),"")</f>
        <v>#NAME?</v>
      </c>
      <c r="M2459" s="32" t="e">
        <f ca="1">_xludf.ifna(VLOOKUP(G2459,Proyectos!$A$2:$T$674,20,0),"")</f>
        <v>#NAME?</v>
      </c>
      <c r="N2459" s="32" t="e">
        <f ca="1">_xludf.ifna(VLOOKUP(G2459,Proyectos!$A$2:$S$674,19,0))</f>
        <v>#NAME?</v>
      </c>
      <c r="O2459" s="32"/>
      <c r="P2459" s="32"/>
      <c r="Q2459" s="33"/>
      <c r="R2459" s="33"/>
      <c r="S2459" s="33"/>
      <c r="T2459" s="63">
        <f t="shared" si="21"/>
        <v>0</v>
      </c>
      <c r="U2459" s="33"/>
      <c r="V2459" s="33"/>
      <c r="W2459" s="33"/>
    </row>
    <row r="2460" spans="1:23" ht="16.5" customHeight="1" x14ac:dyDescent="0.2">
      <c r="A2460" s="26"/>
      <c r="B2460" s="26"/>
      <c r="C2460" s="26"/>
      <c r="D2460" s="26"/>
      <c r="E2460" s="26"/>
      <c r="F2460" s="28"/>
      <c r="G2460" s="26"/>
      <c r="H2460" s="32"/>
      <c r="I2460" s="32"/>
      <c r="J2460" s="32"/>
      <c r="K2460" s="32"/>
      <c r="L2460" s="32" t="e">
        <f ca="1">_xludf.ifna(VLOOKUP(E2460,Parámetros!$D$2:$E$34,2,0),"")</f>
        <v>#NAME?</v>
      </c>
      <c r="M2460" s="32" t="e">
        <f ca="1">_xludf.ifna(VLOOKUP(G2460,Proyectos!$A$2:$T$674,20,0),"")</f>
        <v>#NAME?</v>
      </c>
      <c r="N2460" s="32" t="e">
        <f ca="1">_xludf.ifna(VLOOKUP(G2460,Proyectos!$A$2:$S$674,19,0))</f>
        <v>#NAME?</v>
      </c>
      <c r="O2460" s="32"/>
      <c r="P2460" s="32"/>
      <c r="Q2460" s="33"/>
      <c r="R2460" s="33"/>
      <c r="S2460" s="33"/>
      <c r="T2460" s="63">
        <f t="shared" si="21"/>
        <v>0</v>
      </c>
      <c r="U2460" s="33"/>
      <c r="V2460" s="33"/>
      <c r="W2460" s="33"/>
    </row>
    <row r="2461" spans="1:23" ht="16.5" customHeight="1" x14ac:dyDescent="0.2">
      <c r="A2461" s="26"/>
      <c r="B2461" s="26"/>
      <c r="C2461" s="26"/>
      <c r="D2461" s="26"/>
      <c r="E2461" s="26"/>
      <c r="F2461" s="28"/>
      <c r="G2461" s="26"/>
      <c r="H2461" s="32"/>
      <c r="I2461" s="32"/>
      <c r="J2461" s="32"/>
      <c r="K2461" s="32"/>
      <c r="L2461" s="32" t="e">
        <f ca="1">_xludf.ifna(VLOOKUP(E2461,Parámetros!$D$2:$E$34,2,0),"")</f>
        <v>#NAME?</v>
      </c>
      <c r="M2461" s="32" t="e">
        <f ca="1">_xludf.ifna(VLOOKUP(G2461,Proyectos!$A$2:$T$674,20,0),"")</f>
        <v>#NAME?</v>
      </c>
      <c r="N2461" s="32" t="e">
        <f ca="1">_xludf.ifna(VLOOKUP(G2461,Proyectos!$A$2:$S$674,19,0))</f>
        <v>#NAME?</v>
      </c>
      <c r="O2461" s="32"/>
      <c r="P2461" s="32"/>
      <c r="Q2461" s="33"/>
      <c r="R2461" s="33"/>
      <c r="S2461" s="33"/>
      <c r="T2461" s="63">
        <f t="shared" si="21"/>
        <v>0</v>
      </c>
      <c r="U2461" s="33"/>
      <c r="V2461" s="33"/>
      <c r="W2461" s="33"/>
    </row>
    <row r="2462" spans="1:23" ht="16.5" customHeight="1" x14ac:dyDescent="0.2">
      <c r="A2462" s="26"/>
      <c r="B2462" s="26"/>
      <c r="C2462" s="26"/>
      <c r="D2462" s="26"/>
      <c r="E2462" s="26"/>
      <c r="F2462" s="28"/>
      <c r="G2462" s="26"/>
      <c r="H2462" s="32"/>
      <c r="I2462" s="32"/>
      <c r="J2462" s="32"/>
      <c r="K2462" s="32"/>
      <c r="L2462" s="32" t="e">
        <f ca="1">_xludf.ifna(VLOOKUP(E2462,Parámetros!$D$2:$E$34,2,0),"")</f>
        <v>#NAME?</v>
      </c>
      <c r="M2462" s="32" t="e">
        <f ca="1">_xludf.ifna(VLOOKUP(G2462,Proyectos!$A$2:$T$674,20,0),"")</f>
        <v>#NAME?</v>
      </c>
      <c r="N2462" s="32" t="e">
        <f ca="1">_xludf.ifna(VLOOKUP(G2462,Proyectos!$A$2:$S$674,19,0))</f>
        <v>#NAME?</v>
      </c>
      <c r="O2462" s="32"/>
      <c r="P2462" s="32"/>
      <c r="Q2462" s="33"/>
      <c r="R2462" s="33"/>
      <c r="S2462" s="33"/>
      <c r="T2462" s="63">
        <f t="shared" si="21"/>
        <v>0</v>
      </c>
      <c r="U2462" s="33"/>
      <c r="V2462" s="33"/>
      <c r="W2462" s="33"/>
    </row>
    <row r="2463" spans="1:23" ht="16.5" customHeight="1" x14ac:dyDescent="0.2">
      <c r="A2463" s="26"/>
      <c r="B2463" s="26"/>
      <c r="C2463" s="26"/>
      <c r="D2463" s="26"/>
      <c r="E2463" s="26"/>
      <c r="F2463" s="28"/>
      <c r="G2463" s="26"/>
      <c r="H2463" s="32"/>
      <c r="I2463" s="32"/>
      <c r="J2463" s="32"/>
      <c r="K2463" s="32"/>
      <c r="L2463" s="32" t="e">
        <f ca="1">_xludf.ifna(VLOOKUP(E2463,Parámetros!$D$2:$E$34,2,0),"")</f>
        <v>#NAME?</v>
      </c>
      <c r="M2463" s="32" t="e">
        <f ca="1">_xludf.ifna(VLOOKUP(G2463,Proyectos!$A$2:$T$674,20,0),"")</f>
        <v>#NAME?</v>
      </c>
      <c r="N2463" s="32" t="e">
        <f ca="1">_xludf.ifna(VLOOKUP(G2463,Proyectos!$A$2:$S$674,19,0))</f>
        <v>#NAME?</v>
      </c>
      <c r="O2463" s="32"/>
      <c r="P2463" s="32"/>
      <c r="Q2463" s="33"/>
      <c r="R2463" s="33"/>
      <c r="S2463" s="33"/>
      <c r="T2463" s="63">
        <f t="shared" si="21"/>
        <v>0</v>
      </c>
      <c r="U2463" s="33"/>
      <c r="V2463" s="33"/>
      <c r="W2463" s="33"/>
    </row>
    <row r="2464" spans="1:23" ht="16.5" customHeight="1" x14ac:dyDescent="0.2">
      <c r="A2464" s="26"/>
      <c r="B2464" s="26"/>
      <c r="C2464" s="26"/>
      <c r="D2464" s="26"/>
      <c r="E2464" s="26"/>
      <c r="F2464" s="28"/>
      <c r="G2464" s="26"/>
      <c r="H2464" s="32"/>
      <c r="I2464" s="32"/>
      <c r="J2464" s="32"/>
      <c r="K2464" s="32"/>
      <c r="L2464" s="32" t="e">
        <f ca="1">_xludf.ifna(VLOOKUP(E2464,Parámetros!$D$2:$E$34,2,0),"")</f>
        <v>#NAME?</v>
      </c>
      <c r="M2464" s="32" t="e">
        <f ca="1">_xludf.ifna(VLOOKUP(G2464,Proyectos!$A$2:$T$674,20,0),"")</f>
        <v>#NAME?</v>
      </c>
      <c r="N2464" s="32" t="e">
        <f ca="1">_xludf.ifna(VLOOKUP(G2464,Proyectos!$A$2:$S$674,19,0))</f>
        <v>#NAME?</v>
      </c>
      <c r="O2464" s="32"/>
      <c r="P2464" s="32"/>
      <c r="Q2464" s="33"/>
      <c r="R2464" s="33"/>
      <c r="S2464" s="33"/>
      <c r="T2464" s="63">
        <f t="shared" si="21"/>
        <v>0</v>
      </c>
      <c r="U2464" s="33"/>
      <c r="V2464" s="33"/>
      <c r="W2464" s="33"/>
    </row>
    <row r="2465" spans="1:23" ht="16.5" customHeight="1" x14ac:dyDescent="0.2">
      <c r="A2465" s="26"/>
      <c r="B2465" s="26"/>
      <c r="C2465" s="26"/>
      <c r="D2465" s="26"/>
      <c r="E2465" s="26"/>
      <c r="F2465" s="28"/>
      <c r="G2465" s="26"/>
      <c r="H2465" s="32"/>
      <c r="I2465" s="32"/>
      <c r="J2465" s="32"/>
      <c r="K2465" s="32"/>
      <c r="L2465" s="32" t="e">
        <f ca="1">_xludf.ifna(VLOOKUP(E2465,Parámetros!$D$2:$E$34,2,0),"")</f>
        <v>#NAME?</v>
      </c>
      <c r="M2465" s="32" t="e">
        <f ca="1">_xludf.ifna(VLOOKUP(G2465,Proyectos!$A$2:$T$674,20,0),"")</f>
        <v>#NAME?</v>
      </c>
      <c r="N2465" s="32" t="e">
        <f ca="1">_xludf.ifna(VLOOKUP(G2465,Proyectos!$A$2:$S$674,19,0))</f>
        <v>#NAME?</v>
      </c>
      <c r="O2465" s="32"/>
      <c r="P2465" s="32"/>
      <c r="Q2465" s="33"/>
      <c r="R2465" s="33"/>
      <c r="S2465" s="33"/>
      <c r="T2465" s="63">
        <f t="shared" si="21"/>
        <v>0</v>
      </c>
      <c r="U2465" s="33"/>
      <c r="V2465" s="33"/>
      <c r="W2465" s="33"/>
    </row>
    <row r="2466" spans="1:23" ht="16.5" customHeight="1" x14ac:dyDescent="0.2">
      <c r="A2466" s="26"/>
      <c r="B2466" s="26"/>
      <c r="C2466" s="26"/>
      <c r="D2466" s="26"/>
      <c r="E2466" s="26"/>
      <c r="F2466" s="28"/>
      <c r="G2466" s="26"/>
      <c r="H2466" s="32"/>
      <c r="I2466" s="32"/>
      <c r="J2466" s="32"/>
      <c r="K2466" s="32"/>
      <c r="L2466" s="32" t="e">
        <f ca="1">_xludf.ifna(VLOOKUP(E2466,Parámetros!$D$2:$E$34,2,0),"")</f>
        <v>#NAME?</v>
      </c>
      <c r="M2466" s="32" t="e">
        <f ca="1">_xludf.ifna(VLOOKUP(G2466,Proyectos!$A$2:$T$674,20,0),"")</f>
        <v>#NAME?</v>
      </c>
      <c r="N2466" s="32" t="e">
        <f ca="1">_xludf.ifna(VLOOKUP(G2466,Proyectos!$A$2:$S$674,19,0))</f>
        <v>#NAME?</v>
      </c>
      <c r="O2466" s="32"/>
      <c r="P2466" s="32"/>
      <c r="Q2466" s="33"/>
      <c r="R2466" s="33"/>
      <c r="S2466" s="33"/>
      <c r="T2466" s="63">
        <f t="shared" si="21"/>
        <v>0</v>
      </c>
      <c r="U2466" s="33"/>
      <c r="V2466" s="33"/>
      <c r="W2466" s="33"/>
    </row>
    <row r="2467" spans="1:23" ht="16.5" customHeight="1" x14ac:dyDescent="0.2">
      <c r="A2467" s="26"/>
      <c r="B2467" s="26"/>
      <c r="C2467" s="26"/>
      <c r="D2467" s="26"/>
      <c r="E2467" s="26"/>
      <c r="F2467" s="28"/>
      <c r="G2467" s="26"/>
      <c r="H2467" s="32"/>
      <c r="I2467" s="32"/>
      <c r="J2467" s="32"/>
      <c r="K2467" s="32"/>
      <c r="L2467" s="32" t="e">
        <f ca="1">_xludf.ifna(VLOOKUP(E2467,Parámetros!$D$2:$E$34,2,0),"")</f>
        <v>#NAME?</v>
      </c>
      <c r="M2467" s="32" t="e">
        <f ca="1">_xludf.ifna(VLOOKUP(G2467,Proyectos!$A$2:$T$674,20,0),"")</f>
        <v>#NAME?</v>
      </c>
      <c r="N2467" s="32" t="e">
        <f ca="1">_xludf.ifna(VLOOKUP(G2467,Proyectos!$A$2:$S$674,19,0))</f>
        <v>#NAME?</v>
      </c>
      <c r="O2467" s="32"/>
      <c r="P2467" s="32"/>
      <c r="Q2467" s="33"/>
      <c r="R2467" s="33"/>
      <c r="S2467" s="33"/>
      <c r="T2467" s="63">
        <f t="shared" si="21"/>
        <v>0</v>
      </c>
      <c r="U2467" s="33"/>
      <c r="V2467" s="33"/>
      <c r="W2467" s="33"/>
    </row>
    <row r="2468" spans="1:23" ht="16.5" customHeight="1" x14ac:dyDescent="0.2">
      <c r="A2468" s="26"/>
      <c r="B2468" s="26"/>
      <c r="C2468" s="26"/>
      <c r="D2468" s="26"/>
      <c r="E2468" s="26"/>
      <c r="F2468" s="28"/>
      <c r="G2468" s="26"/>
      <c r="H2468" s="32"/>
      <c r="I2468" s="32"/>
      <c r="J2468" s="32"/>
      <c r="K2468" s="32"/>
      <c r="L2468" s="32" t="e">
        <f ca="1">_xludf.ifna(VLOOKUP(E2468,Parámetros!$D$2:$E$34,2,0),"")</f>
        <v>#NAME?</v>
      </c>
      <c r="M2468" s="32" t="e">
        <f ca="1">_xludf.ifna(VLOOKUP(G2468,Proyectos!$A$2:$T$674,20,0),"")</f>
        <v>#NAME?</v>
      </c>
      <c r="N2468" s="32" t="e">
        <f ca="1">_xludf.ifna(VLOOKUP(G2468,Proyectos!$A$2:$S$674,19,0))</f>
        <v>#NAME?</v>
      </c>
      <c r="O2468" s="32"/>
      <c r="P2468" s="32"/>
      <c r="Q2468" s="33"/>
      <c r="R2468" s="33"/>
      <c r="S2468" s="33"/>
      <c r="T2468" s="63">
        <f t="shared" si="21"/>
        <v>0</v>
      </c>
      <c r="U2468" s="33"/>
      <c r="V2468" s="33"/>
      <c r="W2468" s="33"/>
    </row>
    <row r="2469" spans="1:23" ht="16.5" customHeight="1" x14ac:dyDescent="0.2">
      <c r="A2469" s="26"/>
      <c r="B2469" s="26"/>
      <c r="C2469" s="26"/>
      <c r="D2469" s="26"/>
      <c r="E2469" s="26"/>
      <c r="F2469" s="28"/>
      <c r="G2469" s="26"/>
      <c r="H2469" s="32"/>
      <c r="I2469" s="32"/>
      <c r="J2469" s="32"/>
      <c r="K2469" s="32"/>
      <c r="L2469" s="32" t="e">
        <f ca="1">_xludf.ifna(VLOOKUP(E2469,Parámetros!$D$2:$E$34,2,0),"")</f>
        <v>#NAME?</v>
      </c>
      <c r="M2469" s="32" t="e">
        <f ca="1">_xludf.ifna(VLOOKUP(G2469,Proyectos!$A$2:$T$674,20,0),"")</f>
        <v>#NAME?</v>
      </c>
      <c r="N2469" s="32" t="e">
        <f ca="1">_xludf.ifna(VLOOKUP(G2469,Proyectos!$A$2:$S$674,19,0))</f>
        <v>#NAME?</v>
      </c>
      <c r="O2469" s="32"/>
      <c r="P2469" s="32"/>
      <c r="Q2469" s="33"/>
      <c r="R2469" s="33"/>
      <c r="S2469" s="33"/>
      <c r="T2469" s="63">
        <f t="shared" si="21"/>
        <v>0</v>
      </c>
      <c r="U2469" s="33"/>
      <c r="V2469" s="33"/>
      <c r="W2469" s="33"/>
    </row>
    <row r="2470" spans="1:23" ht="16.5" customHeight="1" x14ac:dyDescent="0.2">
      <c r="A2470" s="26"/>
      <c r="B2470" s="26"/>
      <c r="C2470" s="26"/>
      <c r="D2470" s="26"/>
      <c r="E2470" s="26"/>
      <c r="F2470" s="28"/>
      <c r="G2470" s="26"/>
      <c r="H2470" s="32"/>
      <c r="I2470" s="32"/>
      <c r="J2470" s="32"/>
      <c r="K2470" s="32"/>
      <c r="L2470" s="32" t="e">
        <f ca="1">_xludf.ifna(VLOOKUP(E2470,Parámetros!$D$2:$E$34,2,0),"")</f>
        <v>#NAME?</v>
      </c>
      <c r="M2470" s="32" t="e">
        <f ca="1">_xludf.ifna(VLOOKUP(G2470,Proyectos!$A$2:$T$674,20,0),"")</f>
        <v>#NAME?</v>
      </c>
      <c r="N2470" s="32" t="e">
        <f ca="1">_xludf.ifna(VLOOKUP(G2470,Proyectos!$A$2:$S$674,19,0))</f>
        <v>#NAME?</v>
      </c>
      <c r="O2470" s="32"/>
      <c r="P2470" s="32"/>
      <c r="Q2470" s="33"/>
      <c r="R2470" s="33"/>
      <c r="S2470" s="33"/>
      <c r="T2470" s="63">
        <f t="shared" si="21"/>
        <v>0</v>
      </c>
      <c r="U2470" s="33"/>
      <c r="V2470" s="33"/>
      <c r="W2470" s="33"/>
    </row>
    <row r="2471" spans="1:23" ht="16.5" customHeight="1" x14ac:dyDescent="0.2">
      <c r="A2471" s="26"/>
      <c r="B2471" s="26"/>
      <c r="C2471" s="26"/>
      <c r="D2471" s="26"/>
      <c r="E2471" s="26"/>
      <c r="F2471" s="28"/>
      <c r="G2471" s="26"/>
      <c r="H2471" s="32"/>
      <c r="I2471" s="32"/>
      <c r="J2471" s="32"/>
      <c r="K2471" s="32"/>
      <c r="L2471" s="32" t="e">
        <f ca="1">_xludf.ifna(VLOOKUP(E2471,Parámetros!$D$2:$E$34,2,0),"")</f>
        <v>#NAME?</v>
      </c>
      <c r="M2471" s="32" t="e">
        <f ca="1">_xludf.ifna(VLOOKUP(G2471,Proyectos!$A$2:$T$674,20,0),"")</f>
        <v>#NAME?</v>
      </c>
      <c r="N2471" s="32" t="e">
        <f ca="1">_xludf.ifna(VLOOKUP(G2471,Proyectos!$A$2:$S$674,19,0))</f>
        <v>#NAME?</v>
      </c>
      <c r="O2471" s="32"/>
      <c r="P2471" s="32"/>
      <c r="Q2471" s="33"/>
      <c r="R2471" s="33"/>
      <c r="S2471" s="33"/>
      <c r="T2471" s="63">
        <f t="shared" si="21"/>
        <v>0</v>
      </c>
      <c r="U2471" s="33"/>
      <c r="V2471" s="33"/>
      <c r="W2471" s="33"/>
    </row>
    <row r="2472" spans="1:23" ht="16.5" customHeight="1" x14ac:dyDescent="0.2">
      <c r="A2472" s="26"/>
      <c r="B2472" s="26"/>
      <c r="C2472" s="26"/>
      <c r="D2472" s="26"/>
      <c r="E2472" s="26"/>
      <c r="F2472" s="28"/>
      <c r="G2472" s="26"/>
      <c r="H2472" s="32"/>
      <c r="I2472" s="32"/>
      <c r="J2472" s="32"/>
      <c r="K2472" s="32"/>
      <c r="L2472" s="32" t="e">
        <f ca="1">_xludf.ifna(VLOOKUP(E2472,Parámetros!$D$2:$E$34,2,0),"")</f>
        <v>#NAME?</v>
      </c>
      <c r="M2472" s="32" t="e">
        <f ca="1">_xludf.ifna(VLOOKUP(G2472,Proyectos!$A$2:$T$674,20,0),"")</f>
        <v>#NAME?</v>
      </c>
      <c r="N2472" s="32" t="e">
        <f ca="1">_xludf.ifna(VLOOKUP(G2472,Proyectos!$A$2:$S$674,19,0))</f>
        <v>#NAME?</v>
      </c>
      <c r="O2472" s="32"/>
      <c r="P2472" s="32"/>
      <c r="Q2472" s="33"/>
      <c r="R2472" s="33"/>
      <c r="S2472" s="33"/>
      <c r="T2472" s="63">
        <f t="shared" si="21"/>
        <v>0</v>
      </c>
      <c r="U2472" s="33"/>
      <c r="V2472" s="33"/>
      <c r="W2472" s="33"/>
    </row>
    <row r="2473" spans="1:23" ht="16.5" customHeight="1" x14ac:dyDescent="0.2">
      <c r="A2473" s="26"/>
      <c r="B2473" s="26"/>
      <c r="C2473" s="26"/>
      <c r="D2473" s="26"/>
      <c r="E2473" s="26"/>
      <c r="F2473" s="28"/>
      <c r="G2473" s="26"/>
      <c r="H2473" s="32"/>
      <c r="I2473" s="32"/>
      <c r="J2473" s="32"/>
      <c r="K2473" s="32"/>
      <c r="L2473" s="32" t="e">
        <f ca="1">_xludf.ifna(VLOOKUP(E2473,Parámetros!$D$2:$E$34,2,0),"")</f>
        <v>#NAME?</v>
      </c>
      <c r="M2473" s="32" t="e">
        <f ca="1">_xludf.ifna(VLOOKUP(G2473,Proyectos!$A$2:$T$674,20,0),"")</f>
        <v>#NAME?</v>
      </c>
      <c r="N2473" s="32" t="e">
        <f ca="1">_xludf.ifna(VLOOKUP(G2473,Proyectos!$A$2:$S$674,19,0))</f>
        <v>#NAME?</v>
      </c>
      <c r="O2473" s="32"/>
      <c r="P2473" s="32"/>
      <c r="Q2473" s="33"/>
      <c r="R2473" s="33"/>
      <c r="S2473" s="33"/>
      <c r="T2473" s="63">
        <f t="shared" si="21"/>
        <v>0</v>
      </c>
      <c r="U2473" s="33"/>
      <c r="V2473" s="33"/>
      <c r="W2473" s="33"/>
    </row>
    <row r="2474" spans="1:23" ht="16.5" customHeight="1" x14ac:dyDescent="0.2">
      <c r="A2474" s="26"/>
      <c r="B2474" s="26"/>
      <c r="C2474" s="26"/>
      <c r="D2474" s="26"/>
      <c r="E2474" s="26"/>
      <c r="F2474" s="28"/>
      <c r="G2474" s="26"/>
      <c r="H2474" s="32"/>
      <c r="I2474" s="32"/>
      <c r="J2474" s="32"/>
      <c r="K2474" s="32"/>
      <c r="L2474" s="32" t="e">
        <f ca="1">_xludf.ifna(VLOOKUP(E2474,Parámetros!$D$2:$E$34,2,0),"")</f>
        <v>#NAME?</v>
      </c>
      <c r="M2474" s="32" t="e">
        <f ca="1">_xludf.ifna(VLOOKUP(G2474,Proyectos!$A$2:$T$674,20,0),"")</f>
        <v>#NAME?</v>
      </c>
      <c r="N2474" s="32" t="e">
        <f ca="1">_xludf.ifna(VLOOKUP(G2474,Proyectos!$A$2:$S$674,19,0))</f>
        <v>#NAME?</v>
      </c>
      <c r="O2474" s="32"/>
      <c r="P2474" s="32"/>
      <c r="Q2474" s="33"/>
      <c r="R2474" s="33"/>
      <c r="S2474" s="33"/>
      <c r="T2474" s="63">
        <f t="shared" si="21"/>
        <v>0</v>
      </c>
      <c r="U2474" s="33"/>
      <c r="V2474" s="33"/>
      <c r="W2474" s="33"/>
    </row>
    <row r="2475" spans="1:23" ht="16.5" customHeight="1" x14ac:dyDescent="0.2">
      <c r="A2475" s="26"/>
      <c r="B2475" s="26"/>
      <c r="C2475" s="26"/>
      <c r="D2475" s="26"/>
      <c r="E2475" s="26"/>
      <c r="F2475" s="28"/>
      <c r="G2475" s="26"/>
      <c r="H2475" s="32"/>
      <c r="I2475" s="32"/>
      <c r="J2475" s="32"/>
      <c r="K2475" s="32"/>
      <c r="L2475" s="32" t="e">
        <f ca="1">_xludf.ifna(VLOOKUP(E2475,Parámetros!$D$2:$E$34,2,0),"")</f>
        <v>#NAME?</v>
      </c>
      <c r="M2475" s="32" t="e">
        <f ca="1">_xludf.ifna(VLOOKUP(G2475,Proyectos!$A$2:$T$674,20,0),"")</f>
        <v>#NAME?</v>
      </c>
      <c r="N2475" s="32" t="e">
        <f ca="1">_xludf.ifna(VLOOKUP(G2475,Proyectos!$A$2:$S$674,19,0))</f>
        <v>#NAME?</v>
      </c>
      <c r="O2475" s="32"/>
      <c r="P2475" s="32"/>
      <c r="Q2475" s="33"/>
      <c r="R2475" s="33"/>
      <c r="S2475" s="33"/>
      <c r="T2475" s="63">
        <f t="shared" si="21"/>
        <v>0</v>
      </c>
      <c r="U2475" s="33"/>
      <c r="V2475" s="33"/>
      <c r="W2475" s="33"/>
    </row>
    <row r="2476" spans="1:23" ht="16.5" customHeight="1" x14ac:dyDescent="0.2">
      <c r="A2476" s="26"/>
      <c r="B2476" s="26"/>
      <c r="C2476" s="26"/>
      <c r="D2476" s="26"/>
      <c r="E2476" s="26"/>
      <c r="F2476" s="28"/>
      <c r="G2476" s="26"/>
      <c r="H2476" s="32"/>
      <c r="I2476" s="32"/>
      <c r="J2476" s="32"/>
      <c r="K2476" s="32"/>
      <c r="L2476" s="32" t="e">
        <f ca="1">_xludf.ifna(VLOOKUP(E2476,Parámetros!$D$2:$E$34,2,0),"")</f>
        <v>#NAME?</v>
      </c>
      <c r="M2476" s="32" t="e">
        <f ca="1">_xludf.ifna(VLOOKUP(G2476,Proyectos!$A$2:$T$674,20,0),"")</f>
        <v>#NAME?</v>
      </c>
      <c r="N2476" s="32" t="e">
        <f ca="1">_xludf.ifna(VLOOKUP(G2476,Proyectos!$A$2:$S$674,19,0))</f>
        <v>#NAME?</v>
      </c>
      <c r="O2476" s="32"/>
      <c r="P2476" s="32"/>
      <c r="Q2476" s="33"/>
      <c r="R2476" s="33"/>
      <c r="S2476" s="33"/>
      <c r="T2476" s="63">
        <f t="shared" si="21"/>
        <v>0</v>
      </c>
      <c r="U2476" s="33"/>
      <c r="V2476" s="33"/>
      <c r="W2476" s="33"/>
    </row>
    <row r="2477" spans="1:23" ht="16.5" customHeight="1" x14ac:dyDescent="0.2">
      <c r="A2477" s="26"/>
      <c r="B2477" s="26"/>
      <c r="C2477" s="26"/>
      <c r="D2477" s="26"/>
      <c r="E2477" s="26"/>
      <c r="F2477" s="28"/>
      <c r="G2477" s="26"/>
      <c r="H2477" s="32"/>
      <c r="I2477" s="32"/>
      <c r="J2477" s="32"/>
      <c r="K2477" s="32"/>
      <c r="L2477" s="32" t="e">
        <f ca="1">_xludf.ifna(VLOOKUP(E2477,Parámetros!$D$2:$E$34,2,0),"")</f>
        <v>#NAME?</v>
      </c>
      <c r="M2477" s="32" t="e">
        <f ca="1">_xludf.ifna(VLOOKUP(G2477,Proyectos!$A$2:$T$674,20,0),"")</f>
        <v>#NAME?</v>
      </c>
      <c r="N2477" s="32" t="e">
        <f ca="1">_xludf.ifna(VLOOKUP(G2477,Proyectos!$A$2:$S$674,19,0))</f>
        <v>#NAME?</v>
      </c>
      <c r="O2477" s="32"/>
      <c r="P2477" s="32"/>
      <c r="Q2477" s="33"/>
      <c r="R2477" s="33"/>
      <c r="S2477" s="33"/>
      <c r="T2477" s="63">
        <f t="shared" si="21"/>
        <v>0</v>
      </c>
      <c r="U2477" s="33"/>
      <c r="V2477" s="33"/>
      <c r="W2477" s="33"/>
    </row>
    <row r="2478" spans="1:23" ht="16.5" customHeight="1" x14ac:dyDescent="0.2">
      <c r="A2478" s="26"/>
      <c r="B2478" s="26"/>
      <c r="C2478" s="26"/>
      <c r="D2478" s="26"/>
      <c r="E2478" s="26"/>
      <c r="F2478" s="28"/>
      <c r="G2478" s="26"/>
      <c r="H2478" s="32"/>
      <c r="I2478" s="32"/>
      <c r="J2478" s="32"/>
      <c r="K2478" s="32"/>
      <c r="L2478" s="32" t="e">
        <f ca="1">_xludf.ifna(VLOOKUP(E2478,Parámetros!$D$2:$E$34,2,0),"")</f>
        <v>#NAME?</v>
      </c>
      <c r="M2478" s="32" t="e">
        <f ca="1">_xludf.ifna(VLOOKUP(G2478,Proyectos!$A$2:$T$674,20,0),"")</f>
        <v>#NAME?</v>
      </c>
      <c r="N2478" s="32" t="e">
        <f ca="1">_xludf.ifna(VLOOKUP(G2478,Proyectos!$A$2:$S$674,19,0))</f>
        <v>#NAME?</v>
      </c>
      <c r="O2478" s="32"/>
      <c r="P2478" s="32"/>
      <c r="Q2478" s="33"/>
      <c r="R2478" s="33"/>
      <c r="S2478" s="33"/>
      <c r="T2478" s="63">
        <f t="shared" si="21"/>
        <v>0</v>
      </c>
      <c r="U2478" s="33"/>
      <c r="V2478" s="33"/>
      <c r="W2478" s="33"/>
    </row>
    <row r="2479" spans="1:23" ht="16.5" customHeight="1" x14ac:dyDescent="0.2">
      <c r="A2479" s="26"/>
      <c r="B2479" s="26"/>
      <c r="C2479" s="26"/>
      <c r="D2479" s="26"/>
      <c r="E2479" s="26"/>
      <c r="F2479" s="28"/>
      <c r="G2479" s="26"/>
      <c r="H2479" s="32"/>
      <c r="I2479" s="32"/>
      <c r="J2479" s="32"/>
      <c r="K2479" s="32"/>
      <c r="L2479" s="32" t="e">
        <f ca="1">_xludf.ifna(VLOOKUP(E2479,Parámetros!$D$2:$E$34,2,0),"")</f>
        <v>#NAME?</v>
      </c>
      <c r="M2479" s="32" t="e">
        <f ca="1">_xludf.ifna(VLOOKUP(G2479,Proyectos!$A$2:$T$674,20,0),"")</f>
        <v>#NAME?</v>
      </c>
      <c r="N2479" s="32" t="e">
        <f ca="1">_xludf.ifna(VLOOKUP(G2479,Proyectos!$A$2:$S$674,19,0))</f>
        <v>#NAME?</v>
      </c>
      <c r="O2479" s="32"/>
      <c r="P2479" s="32"/>
      <c r="Q2479" s="33"/>
      <c r="R2479" s="33"/>
      <c r="S2479" s="33"/>
      <c r="T2479" s="63">
        <f t="shared" si="21"/>
        <v>0</v>
      </c>
      <c r="U2479" s="33"/>
      <c r="V2479" s="33"/>
      <c r="W2479" s="33"/>
    </row>
    <row r="2480" spans="1:23" ht="16.5" customHeight="1" x14ac:dyDescent="0.2">
      <c r="A2480" s="26"/>
      <c r="B2480" s="26"/>
      <c r="C2480" s="26"/>
      <c r="D2480" s="26"/>
      <c r="E2480" s="26"/>
      <c r="F2480" s="28"/>
      <c r="G2480" s="26"/>
      <c r="H2480" s="32"/>
      <c r="I2480" s="32"/>
      <c r="J2480" s="32"/>
      <c r="K2480" s="32"/>
      <c r="L2480" s="32" t="e">
        <f ca="1">_xludf.ifna(VLOOKUP(E2480,Parámetros!$D$2:$E$34,2,0),"")</f>
        <v>#NAME?</v>
      </c>
      <c r="M2480" s="32" t="e">
        <f ca="1">_xludf.ifna(VLOOKUP(G2480,Proyectos!$A$2:$T$674,20,0),"")</f>
        <v>#NAME?</v>
      </c>
      <c r="N2480" s="32" t="e">
        <f ca="1">_xludf.ifna(VLOOKUP(G2480,Proyectos!$A$2:$S$674,19,0))</f>
        <v>#NAME?</v>
      </c>
      <c r="O2480" s="32"/>
      <c r="P2480" s="32"/>
      <c r="Q2480" s="33"/>
      <c r="R2480" s="33"/>
      <c r="S2480" s="33"/>
      <c r="T2480" s="63">
        <f t="shared" si="21"/>
        <v>0</v>
      </c>
      <c r="U2480" s="33"/>
      <c r="V2480" s="33"/>
      <c r="W2480" s="33"/>
    </row>
    <row r="2481" spans="1:23" ht="16.5" customHeight="1" x14ac:dyDescent="0.2">
      <c r="A2481" s="26"/>
      <c r="B2481" s="26"/>
      <c r="C2481" s="26"/>
      <c r="D2481" s="26"/>
      <c r="E2481" s="26"/>
      <c r="F2481" s="28"/>
      <c r="G2481" s="26"/>
      <c r="H2481" s="32"/>
      <c r="I2481" s="32"/>
      <c r="J2481" s="32"/>
      <c r="K2481" s="32"/>
      <c r="L2481" s="32" t="e">
        <f ca="1">_xludf.ifna(VLOOKUP(E2481,Parámetros!$D$2:$E$34,2,0),"")</f>
        <v>#NAME?</v>
      </c>
      <c r="M2481" s="32" t="e">
        <f ca="1">_xludf.ifna(VLOOKUP(G2481,Proyectos!$A$2:$T$674,20,0),"")</f>
        <v>#NAME?</v>
      </c>
      <c r="N2481" s="32" t="e">
        <f ca="1">_xludf.ifna(VLOOKUP(G2481,Proyectos!$A$2:$S$674,19,0))</f>
        <v>#NAME?</v>
      </c>
      <c r="O2481" s="32"/>
      <c r="P2481" s="32"/>
      <c r="Q2481" s="33"/>
      <c r="R2481" s="33"/>
      <c r="S2481" s="33"/>
      <c r="T2481" s="63">
        <f t="shared" si="21"/>
        <v>0</v>
      </c>
      <c r="U2481" s="33"/>
      <c r="V2481" s="33"/>
      <c r="W2481" s="33"/>
    </row>
    <row r="2482" spans="1:23" ht="16.5" customHeight="1" x14ac:dyDescent="0.2">
      <c r="A2482" s="26"/>
      <c r="B2482" s="26"/>
      <c r="C2482" s="26"/>
      <c r="D2482" s="26"/>
      <c r="E2482" s="26"/>
      <c r="F2482" s="28"/>
      <c r="G2482" s="26"/>
      <c r="H2482" s="32"/>
      <c r="I2482" s="32"/>
      <c r="J2482" s="32"/>
      <c r="K2482" s="32"/>
      <c r="L2482" s="32" t="e">
        <f ca="1">_xludf.ifna(VLOOKUP(E2482,Parámetros!$D$2:$E$34,2,0),"")</f>
        <v>#NAME?</v>
      </c>
      <c r="M2482" s="32" t="e">
        <f ca="1">_xludf.ifna(VLOOKUP(G2482,Proyectos!$A$2:$T$674,20,0),"")</f>
        <v>#NAME?</v>
      </c>
      <c r="N2482" s="32" t="e">
        <f ca="1">_xludf.ifna(VLOOKUP(G2482,Proyectos!$A$2:$S$674,19,0))</f>
        <v>#NAME?</v>
      </c>
      <c r="O2482" s="32"/>
      <c r="P2482" s="32"/>
      <c r="Q2482" s="33"/>
      <c r="R2482" s="33"/>
      <c r="S2482" s="33"/>
      <c r="T2482" s="63">
        <f t="shared" si="21"/>
        <v>0</v>
      </c>
      <c r="U2482" s="33"/>
      <c r="V2482" s="33"/>
      <c r="W2482" s="33"/>
    </row>
    <row r="2483" spans="1:23" ht="16.5" customHeight="1" x14ac:dyDescent="0.2">
      <c r="A2483" s="26"/>
      <c r="B2483" s="26"/>
      <c r="C2483" s="26"/>
      <c r="D2483" s="26"/>
      <c r="E2483" s="26"/>
      <c r="F2483" s="28"/>
      <c r="G2483" s="26"/>
      <c r="H2483" s="32"/>
      <c r="I2483" s="32"/>
      <c r="J2483" s="32"/>
      <c r="K2483" s="32"/>
      <c r="L2483" s="32" t="e">
        <f ca="1">_xludf.ifna(VLOOKUP(E2483,Parámetros!$D$2:$E$34,2,0),"")</f>
        <v>#NAME?</v>
      </c>
      <c r="M2483" s="32" t="e">
        <f ca="1">_xludf.ifna(VLOOKUP(G2483,Proyectos!$A$2:$T$674,20,0),"")</f>
        <v>#NAME?</v>
      </c>
      <c r="N2483" s="32" t="e">
        <f ca="1">_xludf.ifna(VLOOKUP(G2483,Proyectos!$A$2:$S$674,19,0))</f>
        <v>#NAME?</v>
      </c>
      <c r="O2483" s="32"/>
      <c r="P2483" s="32"/>
      <c r="Q2483" s="33"/>
      <c r="R2483" s="33"/>
      <c r="S2483" s="33"/>
      <c r="T2483" s="63">
        <f t="shared" si="21"/>
        <v>0</v>
      </c>
      <c r="U2483" s="33"/>
      <c r="V2483" s="33"/>
      <c r="W2483" s="33"/>
    </row>
    <row r="2484" spans="1:23" ht="16.5" customHeight="1" x14ac:dyDescent="0.2">
      <c r="A2484" s="26"/>
      <c r="B2484" s="26"/>
      <c r="C2484" s="26"/>
      <c r="D2484" s="26"/>
      <c r="E2484" s="26"/>
      <c r="F2484" s="28"/>
      <c r="G2484" s="26"/>
      <c r="H2484" s="32"/>
      <c r="I2484" s="32"/>
      <c r="J2484" s="32"/>
      <c r="K2484" s="32"/>
      <c r="L2484" s="32" t="e">
        <f ca="1">_xludf.ifna(VLOOKUP(E2484,Parámetros!$D$2:$E$34,2,0),"")</f>
        <v>#NAME?</v>
      </c>
      <c r="M2484" s="32" t="e">
        <f ca="1">_xludf.ifna(VLOOKUP(G2484,Proyectos!$A$2:$T$674,20,0),"")</f>
        <v>#NAME?</v>
      </c>
      <c r="N2484" s="32" t="e">
        <f ca="1">_xludf.ifna(VLOOKUP(G2484,Proyectos!$A$2:$S$674,19,0))</f>
        <v>#NAME?</v>
      </c>
      <c r="O2484" s="32"/>
      <c r="P2484" s="32"/>
      <c r="Q2484" s="33"/>
      <c r="R2484" s="33"/>
      <c r="S2484" s="33"/>
      <c r="T2484" s="63">
        <f t="shared" si="21"/>
        <v>0</v>
      </c>
      <c r="U2484" s="33"/>
      <c r="V2484" s="33"/>
      <c r="W2484" s="33"/>
    </row>
    <row r="2485" spans="1:23" ht="16.5" customHeight="1" x14ac:dyDescent="0.2">
      <c r="A2485" s="26"/>
      <c r="B2485" s="26"/>
      <c r="C2485" s="26"/>
      <c r="D2485" s="26"/>
      <c r="E2485" s="26"/>
      <c r="F2485" s="28"/>
      <c r="G2485" s="26"/>
      <c r="H2485" s="32"/>
      <c r="I2485" s="32"/>
      <c r="J2485" s="32"/>
      <c r="K2485" s="32"/>
      <c r="L2485" s="32" t="e">
        <f ca="1">_xludf.ifna(VLOOKUP(E2485,Parámetros!$D$2:$E$34,2,0),"")</f>
        <v>#NAME?</v>
      </c>
      <c r="M2485" s="32" t="e">
        <f ca="1">_xludf.ifna(VLOOKUP(G2485,Proyectos!$A$2:$T$674,20,0),"")</f>
        <v>#NAME?</v>
      </c>
      <c r="N2485" s="32" t="e">
        <f ca="1">_xludf.ifna(VLOOKUP(G2485,Proyectos!$A$2:$S$674,19,0))</f>
        <v>#NAME?</v>
      </c>
      <c r="O2485" s="32"/>
      <c r="P2485" s="32"/>
      <c r="Q2485" s="33"/>
      <c r="R2485" s="33"/>
      <c r="S2485" s="33"/>
      <c r="T2485" s="63">
        <f t="shared" si="21"/>
        <v>0</v>
      </c>
      <c r="U2485" s="33"/>
      <c r="V2485" s="33"/>
      <c r="W2485" s="33"/>
    </row>
    <row r="2486" spans="1:23" ht="16.5" customHeight="1" x14ac:dyDescent="0.2">
      <c r="A2486" s="26"/>
      <c r="B2486" s="26"/>
      <c r="C2486" s="26"/>
      <c r="D2486" s="26"/>
      <c r="E2486" s="26"/>
      <c r="F2486" s="28"/>
      <c r="G2486" s="26"/>
      <c r="H2486" s="32"/>
      <c r="I2486" s="32"/>
      <c r="J2486" s="32"/>
      <c r="K2486" s="32"/>
      <c r="L2486" s="32" t="e">
        <f ca="1">_xludf.ifna(VLOOKUP(E2486,Parámetros!$D$2:$E$34,2,0),"")</f>
        <v>#NAME?</v>
      </c>
      <c r="M2486" s="32" t="e">
        <f ca="1">_xludf.ifna(VLOOKUP(G2486,Proyectos!$A$2:$T$674,20,0),"")</f>
        <v>#NAME?</v>
      </c>
      <c r="N2486" s="32" t="e">
        <f ca="1">_xludf.ifna(VLOOKUP(G2486,Proyectos!$A$2:$S$674,19,0))</f>
        <v>#NAME?</v>
      </c>
      <c r="O2486" s="32"/>
      <c r="P2486" s="32"/>
      <c r="Q2486" s="33"/>
      <c r="R2486" s="33"/>
      <c r="S2486" s="33"/>
      <c r="T2486" s="63">
        <f t="shared" si="21"/>
        <v>0</v>
      </c>
      <c r="U2486" s="33"/>
      <c r="V2486" s="33"/>
      <c r="W2486" s="33"/>
    </row>
    <row r="2487" spans="1:23" ht="16.5" customHeight="1" x14ac:dyDescent="0.2">
      <c r="A2487" s="26"/>
      <c r="B2487" s="26"/>
      <c r="C2487" s="26"/>
      <c r="D2487" s="26"/>
      <c r="E2487" s="26"/>
      <c r="F2487" s="28"/>
      <c r="G2487" s="26"/>
      <c r="H2487" s="32"/>
      <c r="I2487" s="32"/>
      <c r="J2487" s="32"/>
      <c r="K2487" s="32"/>
      <c r="L2487" s="32" t="e">
        <f ca="1">_xludf.ifna(VLOOKUP(E2487,Parámetros!$D$2:$E$34,2,0),"")</f>
        <v>#NAME?</v>
      </c>
      <c r="M2487" s="32" t="e">
        <f ca="1">_xludf.ifna(VLOOKUP(G2487,Proyectos!$A$2:$T$674,20,0),"")</f>
        <v>#NAME?</v>
      </c>
      <c r="N2487" s="32" t="e">
        <f ca="1">_xludf.ifna(VLOOKUP(G2487,Proyectos!$A$2:$S$674,19,0))</f>
        <v>#NAME?</v>
      </c>
      <c r="O2487" s="32"/>
      <c r="P2487" s="32"/>
      <c r="Q2487" s="33"/>
      <c r="R2487" s="33"/>
      <c r="S2487" s="33"/>
      <c r="T2487" s="63">
        <f t="shared" si="21"/>
        <v>0</v>
      </c>
      <c r="U2487" s="33"/>
      <c r="V2487" s="33"/>
      <c r="W2487" s="33"/>
    </row>
    <row r="2488" spans="1:23" ht="16.5" customHeight="1" x14ac:dyDescent="0.2">
      <c r="A2488" s="26"/>
      <c r="B2488" s="26"/>
      <c r="C2488" s="26"/>
      <c r="D2488" s="26"/>
      <c r="E2488" s="26"/>
      <c r="F2488" s="28"/>
      <c r="G2488" s="26"/>
      <c r="H2488" s="32"/>
      <c r="I2488" s="32"/>
      <c r="J2488" s="32"/>
      <c r="K2488" s="32"/>
      <c r="L2488" s="32" t="e">
        <f ca="1">_xludf.ifna(VLOOKUP(E2488,Parámetros!$D$2:$E$34,2,0),"")</f>
        <v>#NAME?</v>
      </c>
      <c r="M2488" s="32" t="e">
        <f ca="1">_xludf.ifna(VLOOKUP(G2488,Proyectos!$A$2:$T$674,20,0),"")</f>
        <v>#NAME?</v>
      </c>
      <c r="N2488" s="32" t="e">
        <f ca="1">_xludf.ifna(VLOOKUP(G2488,Proyectos!$A$2:$S$674,19,0))</f>
        <v>#NAME?</v>
      </c>
      <c r="O2488" s="32"/>
      <c r="P2488" s="32"/>
      <c r="Q2488" s="33"/>
      <c r="R2488" s="33"/>
      <c r="S2488" s="33"/>
      <c r="T2488" s="63">
        <f t="shared" si="21"/>
        <v>0</v>
      </c>
      <c r="U2488" s="33"/>
      <c r="V2488" s="33"/>
      <c r="W2488" s="33"/>
    </row>
    <row r="2489" spans="1:23" ht="16.5" customHeight="1" x14ac:dyDescent="0.2">
      <c r="A2489" s="26"/>
      <c r="B2489" s="26"/>
      <c r="C2489" s="26"/>
      <c r="D2489" s="26"/>
      <c r="E2489" s="26"/>
      <c r="F2489" s="28"/>
      <c r="G2489" s="26"/>
      <c r="H2489" s="32"/>
      <c r="I2489" s="32"/>
      <c r="J2489" s="32"/>
      <c r="K2489" s="32"/>
      <c r="L2489" s="32" t="e">
        <f ca="1">_xludf.ifna(VLOOKUP(E2489,Parámetros!$D$2:$E$34,2,0),"")</f>
        <v>#NAME?</v>
      </c>
      <c r="M2489" s="32" t="e">
        <f ca="1">_xludf.ifna(VLOOKUP(G2489,Proyectos!$A$2:$T$674,20,0),"")</f>
        <v>#NAME?</v>
      </c>
      <c r="N2489" s="32" t="e">
        <f ca="1">_xludf.ifna(VLOOKUP(G2489,Proyectos!$A$2:$S$674,19,0))</f>
        <v>#NAME?</v>
      </c>
      <c r="O2489" s="32"/>
      <c r="P2489" s="32"/>
      <c r="Q2489" s="33"/>
      <c r="R2489" s="33"/>
      <c r="S2489" s="33"/>
      <c r="T2489" s="63">
        <f t="shared" si="21"/>
        <v>0</v>
      </c>
      <c r="U2489" s="33"/>
      <c r="V2489" s="33"/>
      <c r="W2489" s="33"/>
    </row>
    <row r="2490" spans="1:23" ht="16.5" customHeight="1" x14ac:dyDescent="0.2">
      <c r="A2490" s="26"/>
      <c r="B2490" s="26"/>
      <c r="C2490" s="26"/>
      <c r="D2490" s="26"/>
      <c r="E2490" s="26"/>
      <c r="F2490" s="28"/>
      <c r="G2490" s="26"/>
      <c r="H2490" s="32"/>
      <c r="I2490" s="32"/>
      <c r="J2490" s="32"/>
      <c r="K2490" s="32"/>
      <c r="L2490" s="32" t="e">
        <f ca="1">_xludf.ifna(VLOOKUP(E2490,Parámetros!$D$2:$E$34,2,0),"")</f>
        <v>#NAME?</v>
      </c>
      <c r="M2490" s="32" t="e">
        <f ca="1">_xludf.ifna(VLOOKUP(G2490,Proyectos!$A$2:$T$674,20,0),"")</f>
        <v>#NAME?</v>
      </c>
      <c r="N2490" s="32" t="e">
        <f ca="1">_xludf.ifna(VLOOKUP(G2490,Proyectos!$A$2:$S$674,19,0))</f>
        <v>#NAME?</v>
      </c>
      <c r="O2490" s="32"/>
      <c r="P2490" s="32"/>
      <c r="Q2490" s="33"/>
      <c r="R2490" s="33"/>
      <c r="S2490" s="33"/>
      <c r="T2490" s="63">
        <f t="shared" si="21"/>
        <v>0</v>
      </c>
      <c r="U2490" s="33"/>
      <c r="V2490" s="33"/>
      <c r="W2490" s="33"/>
    </row>
    <row r="2491" spans="1:23" ht="16.5" customHeight="1" x14ac:dyDescent="0.2">
      <c r="A2491" s="26"/>
      <c r="B2491" s="26"/>
      <c r="C2491" s="26"/>
      <c r="D2491" s="26"/>
      <c r="E2491" s="26"/>
      <c r="F2491" s="28"/>
      <c r="G2491" s="26"/>
      <c r="H2491" s="32"/>
      <c r="I2491" s="32"/>
      <c r="J2491" s="32"/>
      <c r="K2491" s="32"/>
      <c r="L2491" s="32" t="e">
        <f ca="1">_xludf.ifna(VLOOKUP(E2491,Parámetros!$D$2:$E$34,2,0),"")</f>
        <v>#NAME?</v>
      </c>
      <c r="M2491" s="32" t="e">
        <f ca="1">_xludf.ifna(VLOOKUP(G2491,Proyectos!$A$2:$T$674,20,0),"")</f>
        <v>#NAME?</v>
      </c>
      <c r="N2491" s="32" t="e">
        <f ca="1">_xludf.ifna(VLOOKUP(G2491,Proyectos!$A$2:$S$674,19,0))</f>
        <v>#NAME?</v>
      </c>
      <c r="O2491" s="32"/>
      <c r="P2491" s="32"/>
      <c r="Q2491" s="33"/>
      <c r="R2491" s="33"/>
      <c r="S2491" s="33"/>
      <c r="T2491" s="63">
        <f t="shared" si="21"/>
        <v>0</v>
      </c>
      <c r="U2491" s="33"/>
      <c r="V2491" s="33"/>
      <c r="W2491" s="33"/>
    </row>
    <row r="2492" spans="1:23" ht="16.5" customHeight="1" x14ac:dyDescent="0.2">
      <c r="A2492" s="26"/>
      <c r="B2492" s="26"/>
      <c r="C2492" s="26"/>
      <c r="D2492" s="26"/>
      <c r="E2492" s="26"/>
      <c r="F2492" s="28"/>
      <c r="G2492" s="26"/>
      <c r="H2492" s="32"/>
      <c r="I2492" s="32"/>
      <c r="J2492" s="32"/>
      <c r="K2492" s="32"/>
      <c r="L2492" s="32" t="e">
        <f ca="1">_xludf.ifna(VLOOKUP(E2492,Parámetros!$D$2:$E$34,2,0),"")</f>
        <v>#NAME?</v>
      </c>
      <c r="M2492" s="32" t="e">
        <f ca="1">_xludf.ifna(VLOOKUP(G2492,Proyectos!$A$2:$T$674,20,0),"")</f>
        <v>#NAME?</v>
      </c>
      <c r="N2492" s="32" t="e">
        <f ca="1">_xludf.ifna(VLOOKUP(G2492,Proyectos!$A$2:$S$674,19,0))</f>
        <v>#NAME?</v>
      </c>
      <c r="O2492" s="32"/>
      <c r="P2492" s="32"/>
      <c r="Q2492" s="33"/>
      <c r="R2492" s="33"/>
      <c r="S2492" s="33"/>
      <c r="T2492" s="63">
        <f t="shared" si="21"/>
        <v>0</v>
      </c>
      <c r="U2492" s="33"/>
      <c r="V2492" s="33"/>
      <c r="W2492" s="33"/>
    </row>
    <row r="2493" spans="1:23" ht="16.5" customHeight="1" x14ac:dyDescent="0.2">
      <c r="A2493" s="26"/>
      <c r="B2493" s="26"/>
      <c r="C2493" s="26"/>
      <c r="D2493" s="26"/>
      <c r="E2493" s="26"/>
      <c r="F2493" s="28"/>
      <c r="G2493" s="26"/>
      <c r="H2493" s="32"/>
      <c r="I2493" s="32"/>
      <c r="J2493" s="32"/>
      <c r="K2493" s="32"/>
      <c r="L2493" s="32" t="e">
        <f ca="1">_xludf.ifna(VLOOKUP(E2493,Parámetros!$D$2:$E$34,2,0),"")</f>
        <v>#NAME?</v>
      </c>
      <c r="M2493" s="32" t="e">
        <f ca="1">_xludf.ifna(VLOOKUP(G2493,Proyectos!$A$2:$T$674,20,0),"")</f>
        <v>#NAME?</v>
      </c>
      <c r="N2493" s="32" t="e">
        <f ca="1">_xludf.ifna(VLOOKUP(G2493,Proyectos!$A$2:$S$674,19,0))</f>
        <v>#NAME?</v>
      </c>
      <c r="O2493" s="32"/>
      <c r="P2493" s="32"/>
      <c r="Q2493" s="33"/>
      <c r="R2493" s="33"/>
      <c r="S2493" s="33"/>
      <c r="T2493" s="63">
        <f t="shared" si="21"/>
        <v>0</v>
      </c>
      <c r="U2493" s="33"/>
      <c r="V2493" s="33"/>
      <c r="W2493" s="33"/>
    </row>
    <row r="2494" spans="1:23" ht="16.5" customHeight="1" x14ac:dyDescent="0.2">
      <c r="A2494" s="26"/>
      <c r="B2494" s="26"/>
      <c r="C2494" s="26"/>
      <c r="D2494" s="26"/>
      <c r="E2494" s="26"/>
      <c r="F2494" s="28"/>
      <c r="G2494" s="26"/>
      <c r="H2494" s="32"/>
      <c r="I2494" s="32"/>
      <c r="J2494" s="32"/>
      <c r="K2494" s="32"/>
      <c r="L2494" s="32" t="e">
        <f ca="1">_xludf.ifna(VLOOKUP(E2494,Parámetros!$D$2:$E$34,2,0),"")</f>
        <v>#NAME?</v>
      </c>
      <c r="M2494" s="32" t="e">
        <f ca="1">_xludf.ifna(VLOOKUP(G2494,Proyectos!$A$2:$T$674,20,0),"")</f>
        <v>#NAME?</v>
      </c>
      <c r="N2494" s="32" t="e">
        <f ca="1">_xludf.ifna(VLOOKUP(G2494,Proyectos!$A$2:$S$674,19,0))</f>
        <v>#NAME?</v>
      </c>
      <c r="O2494" s="32"/>
      <c r="P2494" s="32"/>
      <c r="Q2494" s="33"/>
      <c r="R2494" s="33"/>
      <c r="S2494" s="33"/>
      <c r="T2494" s="63">
        <f t="shared" si="21"/>
        <v>0</v>
      </c>
      <c r="U2494" s="33"/>
      <c r="V2494" s="33"/>
      <c r="W2494" s="33"/>
    </row>
    <row r="2495" spans="1:23" ht="16.5" customHeight="1" x14ac:dyDescent="0.2">
      <c r="A2495" s="26"/>
      <c r="B2495" s="26"/>
      <c r="C2495" s="26"/>
      <c r="D2495" s="26"/>
      <c r="E2495" s="26"/>
      <c r="F2495" s="28"/>
      <c r="G2495" s="26"/>
      <c r="H2495" s="32"/>
      <c r="I2495" s="32"/>
      <c r="J2495" s="32"/>
      <c r="K2495" s="32"/>
      <c r="L2495" s="32" t="e">
        <f ca="1">_xludf.ifna(VLOOKUP(E2495,Parámetros!$D$2:$E$34,2,0),"")</f>
        <v>#NAME?</v>
      </c>
      <c r="M2495" s="32" t="e">
        <f ca="1">_xludf.ifna(VLOOKUP(G2495,Proyectos!$A$2:$T$674,20,0),"")</f>
        <v>#NAME?</v>
      </c>
      <c r="N2495" s="32" t="e">
        <f ca="1">_xludf.ifna(VLOOKUP(G2495,Proyectos!$A$2:$S$674,19,0))</f>
        <v>#NAME?</v>
      </c>
      <c r="O2495" s="32"/>
      <c r="P2495" s="32"/>
      <c r="Q2495" s="33"/>
      <c r="R2495" s="33"/>
      <c r="S2495" s="33"/>
      <c r="T2495" s="63">
        <f t="shared" si="21"/>
        <v>0</v>
      </c>
      <c r="U2495" s="33"/>
      <c r="V2495" s="33"/>
      <c r="W2495" s="33"/>
    </row>
    <row r="2496" spans="1:23" ht="16.5" customHeight="1" x14ac:dyDescent="0.2">
      <c r="A2496" s="26"/>
      <c r="B2496" s="26"/>
      <c r="C2496" s="26"/>
      <c r="D2496" s="26"/>
      <c r="E2496" s="26"/>
      <c r="F2496" s="28"/>
      <c r="G2496" s="26"/>
      <c r="H2496" s="32"/>
      <c r="I2496" s="32"/>
      <c r="J2496" s="32"/>
      <c r="K2496" s="32"/>
      <c r="L2496" s="32" t="e">
        <f ca="1">_xludf.ifna(VLOOKUP(E2496,Parámetros!$D$2:$E$34,2,0),"")</f>
        <v>#NAME?</v>
      </c>
      <c r="M2496" s="32" t="e">
        <f ca="1">_xludf.ifna(VLOOKUP(G2496,Proyectos!$A$2:$T$674,20,0),"")</f>
        <v>#NAME?</v>
      </c>
      <c r="N2496" s="32" t="e">
        <f ca="1">_xludf.ifna(VLOOKUP(G2496,Proyectos!$A$2:$S$674,19,0))</f>
        <v>#NAME?</v>
      </c>
      <c r="O2496" s="32"/>
      <c r="P2496" s="32"/>
      <c r="Q2496" s="33"/>
      <c r="R2496" s="33"/>
      <c r="S2496" s="33"/>
      <c r="T2496" s="63">
        <f t="shared" si="21"/>
        <v>0</v>
      </c>
      <c r="U2496" s="33"/>
      <c r="V2496" s="33"/>
      <c r="W2496" s="33"/>
    </row>
    <row r="2497" spans="1:23" ht="16.5" customHeight="1" x14ac:dyDescent="0.2">
      <c r="A2497" s="26"/>
      <c r="B2497" s="26"/>
      <c r="C2497" s="26"/>
      <c r="D2497" s="26"/>
      <c r="E2497" s="26"/>
      <c r="F2497" s="28"/>
      <c r="G2497" s="26"/>
      <c r="H2497" s="32"/>
      <c r="I2497" s="32"/>
      <c r="J2497" s="32"/>
      <c r="K2497" s="32"/>
      <c r="L2497" s="32" t="e">
        <f ca="1">_xludf.ifna(VLOOKUP(E2497,Parámetros!$D$2:$E$34,2,0),"")</f>
        <v>#NAME?</v>
      </c>
      <c r="M2497" s="32" t="e">
        <f ca="1">_xludf.ifna(VLOOKUP(G2497,Proyectos!$A$2:$T$674,20,0),"")</f>
        <v>#NAME?</v>
      </c>
      <c r="N2497" s="32" t="e">
        <f ca="1">_xludf.ifna(VLOOKUP(G2497,Proyectos!$A$2:$S$674,19,0))</f>
        <v>#NAME?</v>
      </c>
      <c r="O2497" s="32"/>
      <c r="P2497" s="32"/>
      <c r="Q2497" s="33"/>
      <c r="R2497" s="33"/>
      <c r="S2497" s="33"/>
      <c r="T2497" s="63">
        <f t="shared" si="21"/>
        <v>0</v>
      </c>
      <c r="U2497" s="33"/>
      <c r="V2497" s="33"/>
      <c r="W2497" s="33"/>
    </row>
    <row r="2498" spans="1:23" ht="16.5" customHeight="1" x14ac:dyDescent="0.2">
      <c r="A2498" s="26"/>
      <c r="B2498" s="26"/>
      <c r="C2498" s="26"/>
      <c r="D2498" s="26"/>
      <c r="E2498" s="26"/>
      <c r="F2498" s="28"/>
      <c r="G2498" s="26"/>
      <c r="H2498" s="32"/>
      <c r="I2498" s="32"/>
      <c r="J2498" s="32"/>
      <c r="K2498" s="32"/>
      <c r="L2498" s="32" t="e">
        <f ca="1">_xludf.ifna(VLOOKUP(E2498,Parámetros!$D$2:$E$34,2,0),"")</f>
        <v>#NAME?</v>
      </c>
      <c r="M2498" s="32" t="e">
        <f ca="1">_xludf.ifna(VLOOKUP(G2498,Proyectos!$A$2:$T$674,20,0),"")</f>
        <v>#NAME?</v>
      </c>
      <c r="N2498" s="32" t="e">
        <f ca="1">_xludf.ifna(VLOOKUP(G2498,Proyectos!$A$2:$S$674,19,0))</f>
        <v>#NAME?</v>
      </c>
      <c r="O2498" s="32"/>
      <c r="P2498" s="32"/>
      <c r="Q2498" s="33"/>
      <c r="R2498" s="33"/>
      <c r="S2498" s="33"/>
      <c r="T2498" s="63">
        <f t="shared" si="21"/>
        <v>0</v>
      </c>
      <c r="U2498" s="33"/>
      <c r="V2498" s="33"/>
      <c r="W2498" s="33"/>
    </row>
    <row r="2499" spans="1:23" ht="16.5" customHeight="1" x14ac:dyDescent="0.2">
      <c r="A2499" s="26"/>
      <c r="B2499" s="26"/>
      <c r="C2499" s="26"/>
      <c r="D2499" s="26"/>
      <c r="E2499" s="26"/>
      <c r="F2499" s="28"/>
      <c r="G2499" s="26"/>
      <c r="H2499" s="32"/>
      <c r="I2499" s="32"/>
      <c r="J2499" s="32"/>
      <c r="K2499" s="32"/>
      <c r="L2499" s="32" t="e">
        <f ca="1">_xludf.ifna(VLOOKUP(E2499,Parámetros!$D$2:$E$34,2,0),"")</f>
        <v>#NAME?</v>
      </c>
      <c r="M2499" s="32" t="e">
        <f ca="1">_xludf.ifna(VLOOKUP(G2499,Proyectos!$A$2:$T$674,20,0),"")</f>
        <v>#NAME?</v>
      </c>
      <c r="N2499" s="32" t="e">
        <f ca="1">_xludf.ifna(VLOOKUP(G2499,Proyectos!$A$2:$S$674,19,0))</f>
        <v>#NAME?</v>
      </c>
      <c r="O2499" s="32"/>
      <c r="P2499" s="32"/>
      <c r="Q2499" s="33"/>
      <c r="R2499" s="33"/>
      <c r="S2499" s="33"/>
      <c r="T2499" s="63">
        <f t="shared" si="21"/>
        <v>0</v>
      </c>
      <c r="U2499" s="33"/>
      <c r="V2499" s="33"/>
      <c r="W2499" s="33"/>
    </row>
    <row r="2500" spans="1:23" ht="16.5" customHeight="1" x14ac:dyDescent="0.2">
      <c r="A2500" s="26"/>
      <c r="B2500" s="26"/>
      <c r="C2500" s="26"/>
      <c r="D2500" s="26"/>
      <c r="E2500" s="26"/>
      <c r="F2500" s="28"/>
      <c r="G2500" s="26"/>
      <c r="H2500" s="32"/>
      <c r="I2500" s="32"/>
      <c r="J2500" s="32"/>
      <c r="K2500" s="32"/>
      <c r="L2500" s="32" t="e">
        <f ca="1">_xludf.ifna(VLOOKUP(E2500,Parámetros!$D$2:$E$34,2,0),"")</f>
        <v>#NAME?</v>
      </c>
      <c r="M2500" s="32" t="e">
        <f ca="1">_xludf.ifna(VLOOKUP(G2500,Proyectos!$A$2:$T$674,20,0),"")</f>
        <v>#NAME?</v>
      </c>
      <c r="N2500" s="32" t="e">
        <f ca="1">_xludf.ifna(VLOOKUP(G2500,Proyectos!$A$2:$S$674,19,0))</f>
        <v>#NAME?</v>
      </c>
      <c r="O2500" s="32"/>
      <c r="P2500" s="32"/>
      <c r="Q2500" s="33"/>
      <c r="R2500" s="33"/>
      <c r="S2500" s="33"/>
      <c r="T2500" s="63">
        <f t="shared" si="21"/>
        <v>0</v>
      </c>
      <c r="U2500" s="33"/>
      <c r="V2500" s="33"/>
      <c r="W2500" s="33"/>
    </row>
    <row r="2501" spans="1:23" ht="16.5" customHeight="1" x14ac:dyDescent="0.2">
      <c r="A2501" s="26"/>
      <c r="B2501" s="26"/>
      <c r="C2501" s="26"/>
      <c r="D2501" s="26"/>
      <c r="E2501" s="26"/>
      <c r="F2501" s="28"/>
      <c r="G2501" s="26"/>
      <c r="H2501" s="32"/>
      <c r="I2501" s="32"/>
      <c r="J2501" s="32"/>
      <c r="K2501" s="32"/>
      <c r="L2501" s="32" t="e">
        <f ca="1">_xludf.ifna(VLOOKUP(E2501,Parámetros!$D$2:$E$34,2,0),"")</f>
        <v>#NAME?</v>
      </c>
      <c r="M2501" s="32" t="e">
        <f ca="1">_xludf.ifna(VLOOKUP(G2501,Proyectos!$A$2:$T$674,20,0),"")</f>
        <v>#NAME?</v>
      </c>
      <c r="N2501" s="32" t="e">
        <f ca="1">_xludf.ifna(VLOOKUP(G2501,Proyectos!$A$2:$S$674,19,0))</f>
        <v>#NAME?</v>
      </c>
      <c r="O2501" s="32"/>
      <c r="P2501" s="32"/>
      <c r="Q2501" s="33"/>
      <c r="R2501" s="33"/>
      <c r="S2501" s="33"/>
      <c r="T2501" s="63">
        <f t="shared" si="21"/>
        <v>0</v>
      </c>
      <c r="U2501" s="33"/>
      <c r="V2501" s="33"/>
      <c r="W2501" s="33"/>
    </row>
    <row r="2502" spans="1:23" ht="16.5" customHeight="1" x14ac:dyDescent="0.2">
      <c r="A2502" s="26"/>
      <c r="B2502" s="26"/>
      <c r="C2502" s="26"/>
      <c r="D2502" s="26"/>
      <c r="E2502" s="26"/>
      <c r="F2502" s="28"/>
      <c r="G2502" s="26"/>
      <c r="H2502" s="32"/>
      <c r="I2502" s="32"/>
      <c r="J2502" s="32"/>
      <c r="K2502" s="32"/>
      <c r="L2502" s="32" t="e">
        <f ca="1">_xludf.ifna(VLOOKUP(E2502,Parámetros!$D$2:$E$34,2,0),"")</f>
        <v>#NAME?</v>
      </c>
      <c r="M2502" s="32" t="e">
        <f ca="1">_xludf.ifna(VLOOKUP(G2502,Proyectos!$A$2:$T$674,20,0),"")</f>
        <v>#NAME?</v>
      </c>
      <c r="N2502" s="32" t="e">
        <f ca="1">_xludf.ifna(VLOOKUP(G2502,Proyectos!$A$2:$S$674,19,0))</f>
        <v>#NAME?</v>
      </c>
      <c r="O2502" s="32"/>
      <c r="P2502" s="32"/>
      <c r="Q2502" s="33"/>
      <c r="R2502" s="33"/>
      <c r="S2502" s="33"/>
      <c r="T2502" s="63">
        <f t="shared" si="21"/>
        <v>0</v>
      </c>
      <c r="U2502" s="33"/>
      <c r="V2502" s="33"/>
      <c r="W2502" s="33"/>
    </row>
    <row r="2503" spans="1:23" ht="16.5" customHeight="1" x14ac:dyDescent="0.2">
      <c r="A2503" s="26"/>
      <c r="B2503" s="26"/>
      <c r="C2503" s="26"/>
      <c r="D2503" s="26"/>
      <c r="E2503" s="26"/>
      <c r="F2503" s="28"/>
      <c r="G2503" s="26"/>
      <c r="H2503" s="32"/>
      <c r="I2503" s="32"/>
      <c r="J2503" s="32"/>
      <c r="K2503" s="32"/>
      <c r="L2503" s="32" t="e">
        <f ca="1">_xludf.ifna(VLOOKUP(E2503,Parámetros!$D$2:$E$34,2,0),"")</f>
        <v>#NAME?</v>
      </c>
      <c r="M2503" s="32" t="e">
        <f ca="1">_xludf.ifna(VLOOKUP(G2503,Proyectos!$A$2:$T$674,20,0),"")</f>
        <v>#NAME?</v>
      </c>
      <c r="N2503" s="32" t="e">
        <f ca="1">_xludf.ifna(VLOOKUP(G2503,Proyectos!$A$2:$S$674,19,0))</f>
        <v>#NAME?</v>
      </c>
      <c r="O2503" s="32"/>
      <c r="P2503" s="32"/>
      <c r="Q2503" s="33"/>
      <c r="R2503" s="33"/>
      <c r="S2503" s="33"/>
      <c r="T2503" s="63">
        <f t="shared" si="21"/>
        <v>0</v>
      </c>
      <c r="U2503" s="33"/>
      <c r="V2503" s="33"/>
      <c r="W2503" s="33"/>
    </row>
    <row r="2504" spans="1:23" ht="16.5" customHeight="1" x14ac:dyDescent="0.2">
      <c r="A2504" s="26"/>
      <c r="B2504" s="26"/>
      <c r="C2504" s="26"/>
      <c r="D2504" s="26"/>
      <c r="E2504" s="26"/>
      <c r="F2504" s="28"/>
      <c r="G2504" s="26"/>
      <c r="H2504" s="32"/>
      <c r="I2504" s="32"/>
      <c r="J2504" s="32"/>
      <c r="K2504" s="32"/>
      <c r="L2504" s="32" t="e">
        <f ca="1">_xludf.ifna(VLOOKUP(E2504,Parámetros!$D$2:$E$34,2,0),"")</f>
        <v>#NAME?</v>
      </c>
      <c r="M2504" s="32" t="e">
        <f ca="1">_xludf.ifna(VLOOKUP(G2504,Proyectos!$A$2:$T$674,20,0),"")</f>
        <v>#NAME?</v>
      </c>
      <c r="N2504" s="32" t="e">
        <f ca="1">_xludf.ifna(VLOOKUP(G2504,Proyectos!$A$2:$S$674,19,0))</f>
        <v>#NAME?</v>
      </c>
      <c r="O2504" s="32"/>
      <c r="P2504" s="32"/>
      <c r="Q2504" s="33"/>
      <c r="R2504" s="33"/>
      <c r="S2504" s="33"/>
      <c r="T2504" s="63">
        <f t="shared" si="21"/>
        <v>0</v>
      </c>
      <c r="U2504" s="33"/>
      <c r="V2504" s="33"/>
      <c r="W2504" s="33"/>
    </row>
    <row r="2505" spans="1:23" ht="16.5" customHeight="1" x14ac:dyDescent="0.2">
      <c r="A2505" s="26"/>
      <c r="B2505" s="26"/>
      <c r="C2505" s="26"/>
      <c r="D2505" s="26"/>
      <c r="E2505" s="26"/>
      <c r="F2505" s="28"/>
      <c r="G2505" s="26"/>
      <c r="H2505" s="32"/>
      <c r="I2505" s="32"/>
      <c r="J2505" s="32"/>
      <c r="K2505" s="32"/>
      <c r="L2505" s="32" t="e">
        <f ca="1">_xludf.ifna(VLOOKUP(E2505,Parámetros!$D$2:$E$34,2,0),"")</f>
        <v>#NAME?</v>
      </c>
      <c r="M2505" s="32" t="e">
        <f ca="1">_xludf.ifna(VLOOKUP(G2505,Proyectos!$A$2:$T$674,20,0),"")</f>
        <v>#NAME?</v>
      </c>
      <c r="N2505" s="32" t="e">
        <f ca="1">_xludf.ifna(VLOOKUP(G2505,Proyectos!$A$2:$S$674,19,0))</f>
        <v>#NAME?</v>
      </c>
      <c r="O2505" s="32"/>
      <c r="P2505" s="32"/>
      <c r="Q2505" s="33"/>
      <c r="R2505" s="33"/>
      <c r="S2505" s="33"/>
      <c r="T2505" s="63">
        <f t="shared" si="21"/>
        <v>0</v>
      </c>
      <c r="U2505" s="33"/>
      <c r="V2505" s="33"/>
      <c r="W2505" s="33"/>
    </row>
    <row r="2506" spans="1:23" ht="16.5" customHeight="1" x14ac:dyDescent="0.2">
      <c r="A2506" s="26"/>
      <c r="B2506" s="26"/>
      <c r="C2506" s="26"/>
      <c r="D2506" s="26"/>
      <c r="E2506" s="26"/>
      <c r="F2506" s="28"/>
      <c r="G2506" s="26"/>
      <c r="H2506" s="32"/>
      <c r="I2506" s="32"/>
      <c r="J2506" s="32"/>
      <c r="K2506" s="32"/>
      <c r="L2506" s="32" t="e">
        <f ca="1">_xludf.ifna(VLOOKUP(E2506,Parámetros!$D$2:$E$34,2,0),"")</f>
        <v>#NAME?</v>
      </c>
      <c r="M2506" s="32" t="e">
        <f ca="1">_xludf.ifna(VLOOKUP(G2506,Proyectos!$A$2:$T$674,20,0),"")</f>
        <v>#NAME?</v>
      </c>
      <c r="N2506" s="32" t="e">
        <f ca="1">_xludf.ifna(VLOOKUP(G2506,Proyectos!$A$2:$S$674,19,0))</f>
        <v>#NAME?</v>
      </c>
      <c r="O2506" s="32"/>
      <c r="P2506" s="32"/>
      <c r="Q2506" s="33"/>
      <c r="R2506" s="33"/>
      <c r="S2506" s="33"/>
      <c r="T2506" s="63">
        <f t="shared" si="21"/>
        <v>0</v>
      </c>
      <c r="U2506" s="33"/>
      <c r="V2506" s="33"/>
      <c r="W2506" s="33"/>
    </row>
    <row r="2507" spans="1:23" ht="16.5" customHeight="1" x14ac:dyDescent="0.2">
      <c r="A2507" s="26"/>
      <c r="B2507" s="26"/>
      <c r="C2507" s="26"/>
      <c r="D2507" s="26"/>
      <c r="E2507" s="26"/>
      <c r="F2507" s="28"/>
      <c r="G2507" s="26"/>
      <c r="H2507" s="32"/>
      <c r="I2507" s="32"/>
      <c r="J2507" s="32"/>
      <c r="K2507" s="32"/>
      <c r="L2507" s="32" t="e">
        <f ca="1">_xludf.ifna(VLOOKUP(E2507,Parámetros!$D$2:$E$34,2,0),"")</f>
        <v>#NAME?</v>
      </c>
      <c r="M2507" s="32" t="e">
        <f ca="1">_xludf.ifna(VLOOKUP(G2507,Proyectos!$A$2:$T$674,20,0),"")</f>
        <v>#NAME?</v>
      </c>
      <c r="N2507" s="32" t="e">
        <f ca="1">_xludf.ifna(VLOOKUP(G2507,Proyectos!$A$2:$S$674,19,0))</f>
        <v>#NAME?</v>
      </c>
      <c r="O2507" s="32"/>
      <c r="P2507" s="32"/>
      <c r="Q2507" s="33"/>
      <c r="R2507" s="33"/>
      <c r="S2507" s="33"/>
      <c r="T2507" s="63">
        <f t="shared" si="21"/>
        <v>0</v>
      </c>
      <c r="U2507" s="33"/>
      <c r="V2507" s="33"/>
      <c r="W2507" s="33"/>
    </row>
    <row r="2508" spans="1:23" ht="16.5" customHeight="1" x14ac:dyDescent="0.2">
      <c r="A2508" s="26"/>
      <c r="B2508" s="26"/>
      <c r="C2508" s="26"/>
      <c r="D2508" s="26"/>
      <c r="E2508" s="26"/>
      <c r="F2508" s="28"/>
      <c r="G2508" s="26"/>
      <c r="H2508" s="32"/>
      <c r="I2508" s="32"/>
      <c r="J2508" s="32"/>
      <c r="K2508" s="32"/>
      <c r="L2508" s="32" t="e">
        <f ca="1">_xludf.ifna(VLOOKUP(E2508,Parámetros!$D$2:$E$34,2,0),"")</f>
        <v>#NAME?</v>
      </c>
      <c r="M2508" s="32" t="e">
        <f ca="1">_xludf.ifna(VLOOKUP(G2508,Proyectos!$A$2:$T$674,20,0),"")</f>
        <v>#NAME?</v>
      </c>
      <c r="N2508" s="32" t="e">
        <f ca="1">_xludf.ifna(VLOOKUP(G2508,Proyectos!$A$2:$S$674,19,0))</f>
        <v>#NAME?</v>
      </c>
      <c r="O2508" s="32"/>
      <c r="P2508" s="32"/>
      <c r="Q2508" s="33"/>
      <c r="R2508" s="33"/>
      <c r="S2508" s="33"/>
      <c r="T2508" s="63">
        <f t="shared" si="21"/>
        <v>0</v>
      </c>
      <c r="U2508" s="33"/>
      <c r="V2508" s="33"/>
      <c r="W2508" s="33"/>
    </row>
    <row r="2509" spans="1:23" ht="16.5" customHeight="1" x14ac:dyDescent="0.2">
      <c r="A2509" s="26"/>
      <c r="B2509" s="26"/>
      <c r="C2509" s="26"/>
      <c r="D2509" s="26"/>
      <c r="E2509" s="26"/>
      <c r="F2509" s="28"/>
      <c r="G2509" s="26"/>
      <c r="H2509" s="32"/>
      <c r="I2509" s="32"/>
      <c r="J2509" s="32"/>
      <c r="K2509" s="32"/>
      <c r="L2509" s="32" t="e">
        <f ca="1">_xludf.ifna(VLOOKUP(E2509,Parámetros!$D$2:$E$34,2,0),"")</f>
        <v>#NAME?</v>
      </c>
      <c r="M2509" s="32" t="e">
        <f ca="1">_xludf.ifna(VLOOKUP(G2509,Proyectos!$A$2:$T$674,20,0),"")</f>
        <v>#NAME?</v>
      </c>
      <c r="N2509" s="32" t="e">
        <f ca="1">_xludf.ifna(VLOOKUP(G2509,Proyectos!$A$2:$S$674,19,0))</f>
        <v>#NAME?</v>
      </c>
      <c r="O2509" s="32"/>
      <c r="P2509" s="32"/>
      <c r="Q2509" s="33"/>
      <c r="R2509" s="33"/>
      <c r="S2509" s="33"/>
      <c r="T2509" s="63">
        <f t="shared" si="21"/>
        <v>0</v>
      </c>
      <c r="U2509" s="33"/>
      <c r="V2509" s="33"/>
      <c r="W2509" s="33"/>
    </row>
    <row r="2510" spans="1:23" ht="16.5" customHeight="1" x14ac:dyDescent="0.2">
      <c r="A2510" s="26"/>
      <c r="B2510" s="26"/>
      <c r="C2510" s="26"/>
      <c r="D2510" s="26"/>
      <c r="E2510" s="26"/>
      <c r="F2510" s="28"/>
      <c r="G2510" s="26"/>
      <c r="H2510" s="32"/>
      <c r="I2510" s="32"/>
      <c r="J2510" s="32"/>
      <c r="K2510" s="32"/>
      <c r="L2510" s="32" t="e">
        <f ca="1">_xludf.ifna(VLOOKUP(E2510,Parámetros!$D$2:$E$34,2,0),"")</f>
        <v>#NAME?</v>
      </c>
      <c r="M2510" s="32" t="e">
        <f ca="1">_xludf.ifna(VLOOKUP(G2510,Proyectos!$A$2:$T$674,20,0),"")</f>
        <v>#NAME?</v>
      </c>
      <c r="N2510" s="32" t="e">
        <f ca="1">_xludf.ifna(VLOOKUP(G2510,Proyectos!$A$2:$S$674,19,0))</f>
        <v>#NAME?</v>
      </c>
      <c r="O2510" s="32"/>
      <c r="P2510" s="32"/>
      <c r="Q2510" s="33"/>
      <c r="R2510" s="33"/>
      <c r="S2510" s="33"/>
      <c r="T2510" s="63">
        <f t="shared" si="21"/>
        <v>0</v>
      </c>
      <c r="U2510" s="33"/>
      <c r="V2510" s="33"/>
      <c r="W2510" s="33"/>
    </row>
    <row r="2511" spans="1:23" ht="16.5" customHeight="1" x14ac:dyDescent="0.2">
      <c r="A2511" s="26"/>
      <c r="B2511" s="26"/>
      <c r="C2511" s="26"/>
      <c r="D2511" s="26"/>
      <c r="E2511" s="26"/>
      <c r="F2511" s="28"/>
      <c r="G2511" s="26"/>
      <c r="H2511" s="32"/>
      <c r="I2511" s="32"/>
      <c r="J2511" s="32"/>
      <c r="K2511" s="32"/>
      <c r="L2511" s="32" t="e">
        <f ca="1">_xludf.ifna(VLOOKUP(E2511,Parámetros!$D$2:$E$34,2,0),"")</f>
        <v>#NAME?</v>
      </c>
      <c r="M2511" s="32" t="e">
        <f ca="1">_xludf.ifna(VLOOKUP(G2511,Proyectos!$A$2:$T$674,20,0),"")</f>
        <v>#NAME?</v>
      </c>
      <c r="N2511" s="32" t="e">
        <f ca="1">_xludf.ifna(VLOOKUP(G2511,Proyectos!$A$2:$S$674,19,0))</f>
        <v>#NAME?</v>
      </c>
      <c r="O2511" s="32"/>
      <c r="P2511" s="32"/>
      <c r="Q2511" s="33"/>
      <c r="R2511" s="33"/>
      <c r="S2511" s="33"/>
      <c r="T2511" s="63">
        <f t="shared" si="21"/>
        <v>0</v>
      </c>
      <c r="U2511" s="33"/>
      <c r="V2511" s="33"/>
      <c r="W2511" s="33"/>
    </row>
    <row r="2512" spans="1:23" ht="16.5" customHeight="1" x14ac:dyDescent="0.2">
      <c r="A2512" s="26"/>
      <c r="B2512" s="26"/>
      <c r="C2512" s="26"/>
      <c r="D2512" s="26"/>
      <c r="E2512" s="26"/>
      <c r="F2512" s="28"/>
      <c r="G2512" s="26"/>
      <c r="H2512" s="32"/>
      <c r="I2512" s="32"/>
      <c r="J2512" s="32"/>
      <c r="K2512" s="32"/>
      <c r="L2512" s="32" t="e">
        <f ca="1">_xludf.ifna(VLOOKUP(E2512,Parámetros!$D$2:$E$34,2,0),"")</f>
        <v>#NAME?</v>
      </c>
      <c r="M2512" s="32" t="e">
        <f ca="1">_xludf.ifna(VLOOKUP(G2512,Proyectos!$A$2:$T$674,20,0),"")</f>
        <v>#NAME?</v>
      </c>
      <c r="N2512" s="32" t="e">
        <f ca="1">_xludf.ifna(VLOOKUP(G2512,Proyectos!$A$2:$S$674,19,0))</f>
        <v>#NAME?</v>
      </c>
      <c r="O2512" s="32"/>
      <c r="P2512" s="32"/>
      <c r="Q2512" s="33"/>
      <c r="R2512" s="33"/>
      <c r="S2512" s="33"/>
      <c r="T2512" s="63">
        <f t="shared" si="21"/>
        <v>0</v>
      </c>
      <c r="U2512" s="33"/>
      <c r="V2512" s="33"/>
      <c r="W2512" s="33"/>
    </row>
    <row r="2513" spans="1:23" ht="16.5" customHeight="1" x14ac:dyDescent="0.2">
      <c r="A2513" s="26"/>
      <c r="B2513" s="26"/>
      <c r="C2513" s="26"/>
      <c r="D2513" s="26"/>
      <c r="E2513" s="26"/>
      <c r="F2513" s="28"/>
      <c r="G2513" s="26"/>
      <c r="H2513" s="32"/>
      <c r="I2513" s="32"/>
      <c r="J2513" s="32"/>
      <c r="K2513" s="32"/>
      <c r="L2513" s="32" t="e">
        <f ca="1">_xludf.ifna(VLOOKUP(E2513,Parámetros!$D$2:$E$34,2,0),"")</f>
        <v>#NAME?</v>
      </c>
      <c r="M2513" s="32" t="e">
        <f ca="1">_xludf.ifna(VLOOKUP(G2513,Proyectos!$A$2:$T$674,20,0),"")</f>
        <v>#NAME?</v>
      </c>
      <c r="N2513" s="32" t="e">
        <f ca="1">_xludf.ifna(VLOOKUP(G2513,Proyectos!$A$2:$S$674,19,0))</f>
        <v>#NAME?</v>
      </c>
      <c r="O2513" s="32"/>
      <c r="P2513" s="32"/>
      <c r="Q2513" s="33"/>
      <c r="R2513" s="33"/>
      <c r="S2513" s="33"/>
      <c r="T2513" s="63">
        <f t="shared" si="21"/>
        <v>0</v>
      </c>
      <c r="U2513" s="33"/>
      <c r="V2513" s="33"/>
      <c r="W2513" s="33"/>
    </row>
    <row r="2514" spans="1:23" ht="16.5" customHeight="1" x14ac:dyDescent="0.2">
      <c r="A2514" s="26"/>
      <c r="B2514" s="26"/>
      <c r="C2514" s="26"/>
      <c r="D2514" s="26"/>
      <c r="E2514" s="26"/>
      <c r="F2514" s="28"/>
      <c r="G2514" s="26"/>
      <c r="H2514" s="32"/>
      <c r="I2514" s="32"/>
      <c r="J2514" s="32"/>
      <c r="K2514" s="32"/>
      <c r="L2514" s="32" t="e">
        <f ca="1">_xludf.ifna(VLOOKUP(E2514,Parámetros!$D$2:$E$34,2,0),"")</f>
        <v>#NAME?</v>
      </c>
      <c r="M2514" s="32" t="e">
        <f ca="1">_xludf.ifna(VLOOKUP(G2514,Proyectos!$A$2:$T$674,20,0),"")</f>
        <v>#NAME?</v>
      </c>
      <c r="N2514" s="32" t="e">
        <f ca="1">_xludf.ifna(VLOOKUP(G2514,Proyectos!$A$2:$S$674,19,0))</f>
        <v>#NAME?</v>
      </c>
      <c r="O2514" s="32"/>
      <c r="P2514" s="32"/>
      <c r="Q2514" s="33"/>
      <c r="R2514" s="33"/>
      <c r="S2514" s="33"/>
      <c r="T2514" s="63">
        <f t="shared" si="21"/>
        <v>0</v>
      </c>
      <c r="U2514" s="33"/>
      <c r="V2514" s="33"/>
      <c r="W2514" s="33"/>
    </row>
    <row r="2515" spans="1:23" ht="16.5" customHeight="1" x14ac:dyDescent="0.2">
      <c r="A2515" s="26"/>
      <c r="B2515" s="26"/>
      <c r="C2515" s="26"/>
      <c r="D2515" s="26"/>
      <c r="E2515" s="26"/>
      <c r="F2515" s="28"/>
      <c r="G2515" s="26"/>
      <c r="H2515" s="32"/>
      <c r="I2515" s="32"/>
      <c r="J2515" s="32"/>
      <c r="K2515" s="32"/>
      <c r="L2515" s="32" t="e">
        <f ca="1">_xludf.ifna(VLOOKUP(E2515,Parámetros!$D$2:$E$34,2,0),"")</f>
        <v>#NAME?</v>
      </c>
      <c r="M2515" s="32" t="e">
        <f ca="1">_xludf.ifna(VLOOKUP(G2515,Proyectos!$A$2:$T$674,20,0),"")</f>
        <v>#NAME?</v>
      </c>
      <c r="N2515" s="32" t="e">
        <f ca="1">_xludf.ifna(VLOOKUP(G2515,Proyectos!$A$2:$S$674,19,0))</f>
        <v>#NAME?</v>
      </c>
      <c r="O2515" s="32"/>
      <c r="P2515" s="32"/>
      <c r="Q2515" s="33"/>
      <c r="R2515" s="33"/>
      <c r="S2515" s="33"/>
      <c r="T2515" s="63">
        <f t="shared" si="21"/>
        <v>0</v>
      </c>
      <c r="U2515" s="33"/>
      <c r="V2515" s="33"/>
      <c r="W2515" s="33"/>
    </row>
    <row r="2516" spans="1:23" ht="16.5" customHeight="1" x14ac:dyDescent="0.2">
      <c r="A2516" s="26"/>
      <c r="B2516" s="26"/>
      <c r="C2516" s="26"/>
      <c r="D2516" s="26"/>
      <c r="E2516" s="26"/>
      <c r="F2516" s="28"/>
      <c r="G2516" s="26"/>
      <c r="H2516" s="32"/>
      <c r="I2516" s="32"/>
      <c r="J2516" s="32"/>
      <c r="K2516" s="32"/>
      <c r="L2516" s="32" t="e">
        <f ca="1">_xludf.ifna(VLOOKUP(E2516,Parámetros!$D$2:$E$34,2,0),"")</f>
        <v>#NAME?</v>
      </c>
      <c r="M2516" s="32" t="e">
        <f ca="1">_xludf.ifna(VLOOKUP(G2516,Proyectos!$A$2:$T$674,20,0),"")</f>
        <v>#NAME?</v>
      </c>
      <c r="N2516" s="32" t="e">
        <f ca="1">_xludf.ifna(VLOOKUP(G2516,Proyectos!$A$2:$S$674,19,0))</f>
        <v>#NAME?</v>
      </c>
      <c r="O2516" s="32"/>
      <c r="P2516" s="32"/>
      <c r="Q2516" s="33"/>
      <c r="R2516" s="33"/>
      <c r="S2516" s="33"/>
      <c r="T2516" s="63">
        <f t="shared" si="21"/>
        <v>0</v>
      </c>
      <c r="U2516" s="33"/>
      <c r="V2516" s="33"/>
      <c r="W2516" s="33"/>
    </row>
    <row r="2517" spans="1:23" ht="16.5" customHeight="1" x14ac:dyDescent="0.2">
      <c r="A2517" s="26"/>
      <c r="B2517" s="26"/>
      <c r="C2517" s="26"/>
      <c r="D2517" s="26"/>
      <c r="E2517" s="26"/>
      <c r="F2517" s="28"/>
      <c r="G2517" s="26"/>
      <c r="H2517" s="32"/>
      <c r="I2517" s="32"/>
      <c r="J2517" s="32"/>
      <c r="K2517" s="32"/>
      <c r="L2517" s="32" t="e">
        <f ca="1">_xludf.ifna(VLOOKUP(E2517,Parámetros!$D$2:$E$34,2,0),"")</f>
        <v>#NAME?</v>
      </c>
      <c r="M2517" s="32" t="e">
        <f ca="1">_xludf.ifna(VLOOKUP(G2517,Proyectos!$A$2:$T$674,20,0),"")</f>
        <v>#NAME?</v>
      </c>
      <c r="N2517" s="32" t="e">
        <f ca="1">_xludf.ifna(VLOOKUP(G2517,Proyectos!$A$2:$S$674,19,0))</f>
        <v>#NAME?</v>
      </c>
      <c r="O2517" s="32"/>
      <c r="P2517" s="32"/>
      <c r="Q2517" s="33"/>
      <c r="R2517" s="33"/>
      <c r="S2517" s="33"/>
      <c r="T2517" s="63">
        <f t="shared" si="21"/>
        <v>0</v>
      </c>
      <c r="U2517" s="33"/>
      <c r="V2517" s="33"/>
      <c r="W2517" s="33"/>
    </row>
    <row r="2518" spans="1:23" ht="16.5" customHeight="1" x14ac:dyDescent="0.2">
      <c r="A2518" s="26"/>
      <c r="B2518" s="26"/>
      <c r="C2518" s="26"/>
      <c r="D2518" s="26"/>
      <c r="E2518" s="26"/>
      <c r="F2518" s="28"/>
      <c r="G2518" s="26"/>
      <c r="H2518" s="32"/>
      <c r="I2518" s="32"/>
      <c r="J2518" s="32"/>
      <c r="K2518" s="32"/>
      <c r="L2518" s="32" t="e">
        <f ca="1">_xludf.ifna(VLOOKUP(E2518,Parámetros!$D$2:$E$34,2,0),"")</f>
        <v>#NAME?</v>
      </c>
      <c r="M2518" s="32" t="e">
        <f ca="1">_xludf.ifna(VLOOKUP(G2518,Proyectos!$A$2:$T$674,20,0),"")</f>
        <v>#NAME?</v>
      </c>
      <c r="N2518" s="32" t="e">
        <f ca="1">_xludf.ifna(VLOOKUP(G2518,Proyectos!$A$2:$S$674,19,0))</f>
        <v>#NAME?</v>
      </c>
      <c r="O2518" s="32"/>
      <c r="P2518" s="32"/>
      <c r="Q2518" s="33"/>
      <c r="R2518" s="33"/>
      <c r="S2518" s="33"/>
      <c r="T2518" s="63">
        <f t="shared" si="21"/>
        <v>0</v>
      </c>
      <c r="U2518" s="33"/>
      <c r="V2518" s="33"/>
      <c r="W2518" s="33"/>
    </row>
    <row r="2519" spans="1:23" ht="16.5" customHeight="1" x14ac:dyDescent="0.2">
      <c r="A2519" s="26"/>
      <c r="B2519" s="26"/>
      <c r="C2519" s="26"/>
      <c r="D2519" s="26"/>
      <c r="E2519" s="26"/>
      <c r="F2519" s="28"/>
      <c r="G2519" s="26"/>
      <c r="H2519" s="32"/>
      <c r="I2519" s="32"/>
      <c r="J2519" s="32"/>
      <c r="K2519" s="32"/>
      <c r="L2519" s="32" t="e">
        <f ca="1">_xludf.ifna(VLOOKUP(E2519,Parámetros!$D$2:$E$34,2,0),"")</f>
        <v>#NAME?</v>
      </c>
      <c r="M2519" s="32" t="e">
        <f ca="1">_xludf.ifna(VLOOKUP(G2519,Proyectos!$A$2:$T$674,20,0),"")</f>
        <v>#NAME?</v>
      </c>
      <c r="N2519" s="32" t="e">
        <f ca="1">_xludf.ifna(VLOOKUP(G2519,Proyectos!$A$2:$S$674,19,0))</f>
        <v>#NAME?</v>
      </c>
      <c r="O2519" s="32"/>
      <c r="P2519" s="32"/>
      <c r="Q2519" s="33"/>
      <c r="R2519" s="33"/>
      <c r="S2519" s="33"/>
      <c r="T2519" s="63">
        <f t="shared" si="21"/>
        <v>0</v>
      </c>
      <c r="U2519" s="33"/>
      <c r="V2519" s="33"/>
      <c r="W2519" s="33"/>
    </row>
    <row r="2520" spans="1:23" ht="16.5" customHeight="1" x14ac:dyDescent="0.2">
      <c r="A2520" s="26"/>
      <c r="B2520" s="26"/>
      <c r="C2520" s="26"/>
      <c r="D2520" s="26"/>
      <c r="E2520" s="26"/>
      <c r="F2520" s="28"/>
      <c r="G2520" s="26"/>
      <c r="H2520" s="32"/>
      <c r="I2520" s="32"/>
      <c r="J2520" s="32"/>
      <c r="K2520" s="32"/>
      <c r="L2520" s="32" t="e">
        <f ca="1">_xludf.ifna(VLOOKUP(E2520,Parámetros!$D$2:$E$34,2,0),"")</f>
        <v>#NAME?</v>
      </c>
      <c r="M2520" s="32" t="e">
        <f ca="1">_xludf.ifna(VLOOKUP(G2520,Proyectos!$A$2:$T$674,20,0),"")</f>
        <v>#NAME?</v>
      </c>
      <c r="N2520" s="32" t="e">
        <f ca="1">_xludf.ifna(VLOOKUP(G2520,Proyectos!$A$2:$S$674,19,0))</f>
        <v>#NAME?</v>
      </c>
      <c r="O2520" s="32"/>
      <c r="P2520" s="32"/>
      <c r="Q2520" s="33"/>
      <c r="R2520" s="33"/>
      <c r="S2520" s="33"/>
      <c r="T2520" s="63">
        <f t="shared" si="21"/>
        <v>0</v>
      </c>
      <c r="U2520" s="33"/>
      <c r="V2520" s="33"/>
      <c r="W2520" s="33"/>
    </row>
    <row r="2521" spans="1:23" ht="16.5" customHeight="1" x14ac:dyDescent="0.2">
      <c r="A2521" s="26"/>
      <c r="B2521" s="26"/>
      <c r="C2521" s="26"/>
      <c r="D2521" s="26"/>
      <c r="E2521" s="26"/>
      <c r="F2521" s="28"/>
      <c r="G2521" s="26"/>
      <c r="H2521" s="32"/>
      <c r="I2521" s="32"/>
      <c r="J2521" s="32"/>
      <c r="K2521" s="32"/>
      <c r="L2521" s="32" t="e">
        <f ca="1">_xludf.ifna(VLOOKUP(E2521,Parámetros!$D$2:$E$34,2,0),"")</f>
        <v>#NAME?</v>
      </c>
      <c r="M2521" s="32" t="e">
        <f ca="1">_xludf.ifna(VLOOKUP(G2521,Proyectos!$A$2:$T$674,20,0),"")</f>
        <v>#NAME?</v>
      </c>
      <c r="N2521" s="32" t="e">
        <f ca="1">_xludf.ifna(VLOOKUP(G2521,Proyectos!$A$2:$S$674,19,0))</f>
        <v>#NAME?</v>
      </c>
      <c r="O2521" s="32"/>
      <c r="P2521" s="32"/>
      <c r="Q2521" s="33"/>
      <c r="R2521" s="33"/>
      <c r="S2521" s="33"/>
      <c r="T2521" s="63">
        <f t="shared" si="21"/>
        <v>0</v>
      </c>
      <c r="U2521" s="33"/>
      <c r="V2521" s="33"/>
      <c r="W2521" s="33"/>
    </row>
    <row r="2522" spans="1:23" ht="16.5" customHeight="1" x14ac:dyDescent="0.2">
      <c r="A2522" s="26"/>
      <c r="B2522" s="26"/>
      <c r="C2522" s="26"/>
      <c r="D2522" s="26"/>
      <c r="E2522" s="26"/>
      <c r="F2522" s="28"/>
      <c r="G2522" s="26"/>
      <c r="H2522" s="32"/>
      <c r="I2522" s="32"/>
      <c r="J2522" s="32"/>
      <c r="K2522" s="32"/>
      <c r="L2522" s="32" t="e">
        <f ca="1">_xludf.ifna(VLOOKUP(E2522,Parámetros!$D$2:$E$34,2,0),"")</f>
        <v>#NAME?</v>
      </c>
      <c r="M2522" s="32" t="e">
        <f ca="1">_xludf.ifna(VLOOKUP(G2522,Proyectos!$A$2:$T$674,20,0),"")</f>
        <v>#NAME?</v>
      </c>
      <c r="N2522" s="32" t="e">
        <f ca="1">_xludf.ifna(VLOOKUP(G2522,Proyectos!$A$2:$S$674,19,0))</f>
        <v>#NAME?</v>
      </c>
      <c r="O2522" s="32"/>
      <c r="P2522" s="32"/>
      <c r="Q2522" s="33"/>
      <c r="R2522" s="33"/>
      <c r="S2522" s="33"/>
      <c r="T2522" s="63">
        <f t="shared" si="21"/>
        <v>0</v>
      </c>
      <c r="U2522" s="33"/>
      <c r="V2522" s="33"/>
      <c r="W2522" s="33"/>
    </row>
    <row r="2523" spans="1:23" ht="16.5" customHeight="1" x14ac:dyDescent="0.2">
      <c r="A2523" s="26"/>
      <c r="B2523" s="26"/>
      <c r="C2523" s="26"/>
      <c r="D2523" s="26"/>
      <c r="E2523" s="26"/>
      <c r="F2523" s="28"/>
      <c r="G2523" s="26"/>
      <c r="H2523" s="32"/>
      <c r="I2523" s="32"/>
      <c r="J2523" s="32"/>
      <c r="K2523" s="32"/>
      <c r="L2523" s="32" t="e">
        <f ca="1">_xludf.ifna(VLOOKUP(E2523,Parámetros!$D$2:$E$34,2,0),"")</f>
        <v>#NAME?</v>
      </c>
      <c r="M2523" s="32" t="e">
        <f ca="1">_xludf.ifna(VLOOKUP(G2523,Proyectos!$A$2:$T$674,20,0),"")</f>
        <v>#NAME?</v>
      </c>
      <c r="N2523" s="32" t="e">
        <f ca="1">_xludf.ifna(VLOOKUP(G2523,Proyectos!$A$2:$S$674,19,0))</f>
        <v>#NAME?</v>
      </c>
      <c r="O2523" s="32"/>
      <c r="P2523" s="32"/>
      <c r="Q2523" s="33"/>
      <c r="R2523" s="33"/>
      <c r="S2523" s="33"/>
      <c r="T2523" s="63">
        <f t="shared" si="21"/>
        <v>0</v>
      </c>
      <c r="U2523" s="33"/>
      <c r="V2523" s="33"/>
      <c r="W2523" s="33"/>
    </row>
    <row r="2524" spans="1:23" ht="16.5" customHeight="1" x14ac:dyDescent="0.2">
      <c r="A2524" s="26"/>
      <c r="B2524" s="26"/>
      <c r="C2524" s="26"/>
      <c r="D2524" s="26"/>
      <c r="E2524" s="26"/>
      <c r="F2524" s="28"/>
      <c r="G2524" s="26"/>
      <c r="H2524" s="32"/>
      <c r="I2524" s="32"/>
      <c r="J2524" s="32"/>
      <c r="K2524" s="32"/>
      <c r="L2524" s="32" t="e">
        <f ca="1">_xludf.ifna(VLOOKUP(E2524,Parámetros!$D$2:$E$34,2,0),"")</f>
        <v>#NAME?</v>
      </c>
      <c r="M2524" s="32" t="e">
        <f ca="1">_xludf.ifna(VLOOKUP(G2524,Proyectos!$A$2:$T$674,20,0),"")</f>
        <v>#NAME?</v>
      </c>
      <c r="N2524" s="32" t="e">
        <f ca="1">_xludf.ifna(VLOOKUP(G2524,Proyectos!$A$2:$S$674,19,0))</f>
        <v>#NAME?</v>
      </c>
      <c r="O2524" s="32"/>
      <c r="P2524" s="32"/>
      <c r="Q2524" s="33"/>
      <c r="R2524" s="33"/>
      <c r="S2524" s="33"/>
      <c r="T2524" s="63">
        <f t="shared" si="21"/>
        <v>0</v>
      </c>
      <c r="U2524" s="33"/>
      <c r="V2524" s="33"/>
      <c r="W2524" s="33"/>
    </row>
    <row r="2525" spans="1:23" ht="16.5" customHeight="1" x14ac:dyDescent="0.2">
      <c r="A2525" s="26"/>
      <c r="B2525" s="26"/>
      <c r="C2525" s="26"/>
      <c r="D2525" s="26"/>
      <c r="E2525" s="26"/>
      <c r="F2525" s="28"/>
      <c r="G2525" s="26"/>
      <c r="H2525" s="32"/>
      <c r="I2525" s="32"/>
      <c r="J2525" s="32"/>
      <c r="K2525" s="32"/>
      <c r="L2525" s="32" t="e">
        <f ca="1">_xludf.ifna(VLOOKUP(E2525,Parámetros!$D$2:$E$34,2,0),"")</f>
        <v>#NAME?</v>
      </c>
      <c r="M2525" s="32" t="e">
        <f ca="1">_xludf.ifna(VLOOKUP(G2525,Proyectos!$A$2:$T$674,20,0),"")</f>
        <v>#NAME?</v>
      </c>
      <c r="N2525" s="32" t="e">
        <f ca="1">_xludf.ifna(VLOOKUP(G2525,Proyectos!$A$2:$S$674,19,0))</f>
        <v>#NAME?</v>
      </c>
      <c r="O2525" s="32"/>
      <c r="P2525" s="32"/>
      <c r="Q2525" s="33"/>
      <c r="R2525" s="33"/>
      <c r="S2525" s="33"/>
      <c r="T2525" s="63">
        <f t="shared" si="21"/>
        <v>0</v>
      </c>
      <c r="U2525" s="33"/>
      <c r="V2525" s="33"/>
      <c r="W2525" s="33"/>
    </row>
    <row r="2526" spans="1:23" ht="16.5" customHeight="1" x14ac:dyDescent="0.2">
      <c r="A2526" s="26"/>
      <c r="B2526" s="26"/>
      <c r="C2526" s="26"/>
      <c r="D2526" s="26"/>
      <c r="E2526" s="26"/>
      <c r="F2526" s="28"/>
      <c r="G2526" s="26"/>
      <c r="H2526" s="32"/>
      <c r="I2526" s="32"/>
      <c r="J2526" s="32"/>
      <c r="K2526" s="32"/>
      <c r="L2526" s="32" t="e">
        <f ca="1">_xludf.ifna(VLOOKUP(E2526,Parámetros!$D$2:$E$34,2,0),"")</f>
        <v>#NAME?</v>
      </c>
      <c r="M2526" s="32" t="e">
        <f ca="1">_xludf.ifna(VLOOKUP(G2526,Proyectos!$A$2:$T$674,20,0),"")</f>
        <v>#NAME?</v>
      </c>
      <c r="N2526" s="32" t="e">
        <f ca="1">_xludf.ifna(VLOOKUP(G2526,Proyectos!$A$2:$S$674,19,0))</f>
        <v>#NAME?</v>
      </c>
      <c r="O2526" s="32"/>
      <c r="P2526" s="32"/>
      <c r="Q2526" s="33"/>
      <c r="R2526" s="33"/>
      <c r="S2526" s="33"/>
      <c r="T2526" s="63">
        <f t="shared" si="21"/>
        <v>0</v>
      </c>
      <c r="U2526" s="33"/>
      <c r="V2526" s="33"/>
      <c r="W2526" s="33"/>
    </row>
    <row r="2527" spans="1:23" ht="16.5" customHeight="1" x14ac:dyDescent="0.2">
      <c r="A2527" s="26"/>
      <c r="B2527" s="26"/>
      <c r="C2527" s="26"/>
      <c r="D2527" s="26"/>
      <c r="E2527" s="26"/>
      <c r="F2527" s="28"/>
      <c r="G2527" s="26"/>
      <c r="H2527" s="32"/>
      <c r="I2527" s="32"/>
      <c r="J2527" s="32"/>
      <c r="K2527" s="32"/>
      <c r="L2527" s="32" t="e">
        <f ca="1">_xludf.ifna(VLOOKUP(E2527,Parámetros!$D$2:$E$34,2,0),"")</f>
        <v>#NAME?</v>
      </c>
      <c r="M2527" s="32" t="e">
        <f ca="1">_xludf.ifna(VLOOKUP(G2527,Proyectos!$A$2:$T$674,20,0),"")</f>
        <v>#NAME?</v>
      </c>
      <c r="N2527" s="32" t="e">
        <f ca="1">_xludf.ifna(VLOOKUP(G2527,Proyectos!$A$2:$S$674,19,0))</f>
        <v>#NAME?</v>
      </c>
      <c r="O2527" s="32"/>
      <c r="P2527" s="32"/>
      <c r="Q2527" s="33"/>
      <c r="R2527" s="33"/>
      <c r="S2527" s="33"/>
      <c r="T2527" s="63">
        <f t="shared" si="21"/>
        <v>0</v>
      </c>
      <c r="U2527" s="33"/>
      <c r="V2527" s="33"/>
      <c r="W2527" s="33"/>
    </row>
    <row r="2528" spans="1:23" ht="16.5" customHeight="1" x14ac:dyDescent="0.2">
      <c r="A2528" s="26"/>
      <c r="B2528" s="26"/>
      <c r="C2528" s="26"/>
      <c r="D2528" s="26"/>
      <c r="E2528" s="26"/>
      <c r="F2528" s="28"/>
      <c r="G2528" s="26"/>
      <c r="H2528" s="32"/>
      <c r="I2528" s="32"/>
      <c r="J2528" s="32"/>
      <c r="K2528" s="32"/>
      <c r="L2528" s="32" t="e">
        <f ca="1">_xludf.ifna(VLOOKUP(E2528,Parámetros!$D$2:$E$34,2,0),"")</f>
        <v>#NAME?</v>
      </c>
      <c r="M2528" s="32" t="e">
        <f ca="1">_xludf.ifna(VLOOKUP(G2528,Proyectos!$A$2:$T$674,20,0),"")</f>
        <v>#NAME?</v>
      </c>
      <c r="N2528" s="32" t="e">
        <f ca="1">_xludf.ifna(VLOOKUP(G2528,Proyectos!$A$2:$S$674,19,0))</f>
        <v>#NAME?</v>
      </c>
      <c r="O2528" s="32"/>
      <c r="P2528" s="32"/>
      <c r="Q2528" s="33"/>
      <c r="R2528" s="33"/>
      <c r="S2528" s="33"/>
      <c r="T2528" s="63">
        <f t="shared" si="21"/>
        <v>0</v>
      </c>
      <c r="U2528" s="33"/>
      <c r="V2528" s="33"/>
      <c r="W2528" s="33"/>
    </row>
    <row r="2529" spans="1:23" ht="16.5" customHeight="1" x14ac:dyDescent="0.2">
      <c r="A2529" s="26"/>
      <c r="B2529" s="26"/>
      <c r="C2529" s="26"/>
      <c r="D2529" s="26"/>
      <c r="E2529" s="26"/>
      <c r="F2529" s="28"/>
      <c r="G2529" s="26"/>
      <c r="H2529" s="32"/>
      <c r="I2529" s="32"/>
      <c r="J2529" s="32"/>
      <c r="K2529" s="32"/>
      <c r="L2529" s="32" t="e">
        <f ca="1">_xludf.ifna(VLOOKUP(E2529,Parámetros!$D$2:$E$34,2,0),"")</f>
        <v>#NAME?</v>
      </c>
      <c r="M2529" s="32" t="e">
        <f ca="1">_xludf.ifna(VLOOKUP(G2529,Proyectos!$A$2:$T$674,20,0),"")</f>
        <v>#NAME?</v>
      </c>
      <c r="N2529" s="32" t="e">
        <f ca="1">_xludf.ifna(VLOOKUP(G2529,Proyectos!$A$2:$S$674,19,0))</f>
        <v>#NAME?</v>
      </c>
      <c r="O2529" s="32"/>
      <c r="P2529" s="32"/>
      <c r="Q2529" s="33"/>
      <c r="R2529" s="33"/>
      <c r="S2529" s="33"/>
      <c r="T2529" s="63">
        <f t="shared" si="21"/>
        <v>0</v>
      </c>
      <c r="U2529" s="33"/>
      <c r="V2529" s="33"/>
      <c r="W2529" s="33"/>
    </row>
    <row r="2530" spans="1:23" ht="16.5" customHeight="1" x14ac:dyDescent="0.2">
      <c r="A2530" s="26"/>
      <c r="B2530" s="26"/>
      <c r="C2530" s="26"/>
      <c r="D2530" s="26"/>
      <c r="E2530" s="26"/>
      <c r="F2530" s="28"/>
      <c r="G2530" s="26"/>
      <c r="H2530" s="32"/>
      <c r="I2530" s="32"/>
      <c r="J2530" s="32"/>
      <c r="K2530" s="32"/>
      <c r="L2530" s="32" t="e">
        <f ca="1">_xludf.ifna(VLOOKUP(E2530,Parámetros!$D$2:$E$34,2,0),"")</f>
        <v>#NAME?</v>
      </c>
      <c r="M2530" s="32" t="e">
        <f ca="1">_xludf.ifna(VLOOKUP(G2530,Proyectos!$A$2:$T$674,20,0),"")</f>
        <v>#NAME?</v>
      </c>
      <c r="N2530" s="32" t="e">
        <f ca="1">_xludf.ifna(VLOOKUP(G2530,Proyectos!$A$2:$S$674,19,0))</f>
        <v>#NAME?</v>
      </c>
      <c r="O2530" s="32"/>
      <c r="P2530" s="32"/>
      <c r="Q2530" s="33"/>
      <c r="R2530" s="33"/>
      <c r="S2530" s="33"/>
      <c r="T2530" s="63">
        <f t="shared" si="21"/>
        <v>0</v>
      </c>
      <c r="U2530" s="33"/>
      <c r="V2530" s="33"/>
      <c r="W2530" s="33"/>
    </row>
    <row r="2531" spans="1:23" ht="16.5" customHeight="1" x14ac:dyDescent="0.2">
      <c r="A2531" s="26"/>
      <c r="B2531" s="26"/>
      <c r="C2531" s="26"/>
      <c r="D2531" s="26"/>
      <c r="E2531" s="26"/>
      <c r="F2531" s="28"/>
      <c r="G2531" s="26"/>
      <c r="H2531" s="32"/>
      <c r="I2531" s="32"/>
      <c r="J2531" s="32"/>
      <c r="K2531" s="32"/>
      <c r="L2531" s="32" t="e">
        <f ca="1">_xludf.ifna(VLOOKUP(E2531,Parámetros!$D$2:$E$34,2,0),"")</f>
        <v>#NAME?</v>
      </c>
      <c r="M2531" s="32" t="e">
        <f ca="1">_xludf.ifna(VLOOKUP(G2531,Proyectos!$A$2:$T$674,20,0),"")</f>
        <v>#NAME?</v>
      </c>
      <c r="N2531" s="32" t="e">
        <f ca="1">_xludf.ifna(VLOOKUP(G2531,Proyectos!$A$2:$S$674,19,0))</f>
        <v>#NAME?</v>
      </c>
      <c r="O2531" s="32"/>
      <c r="P2531" s="32"/>
      <c r="Q2531" s="33"/>
      <c r="R2531" s="33"/>
      <c r="S2531" s="33"/>
      <c r="T2531" s="63">
        <f t="shared" si="21"/>
        <v>0</v>
      </c>
      <c r="U2531" s="33"/>
      <c r="V2531" s="33"/>
      <c r="W2531" s="33"/>
    </row>
    <row r="2532" spans="1:23" ht="16.5" customHeight="1" x14ac:dyDescent="0.2">
      <c r="A2532" s="26"/>
      <c r="B2532" s="26"/>
      <c r="C2532" s="26"/>
      <c r="D2532" s="26"/>
      <c r="E2532" s="26"/>
      <c r="F2532" s="28"/>
      <c r="G2532" s="26"/>
      <c r="H2532" s="32"/>
      <c r="I2532" s="32"/>
      <c r="J2532" s="32"/>
      <c r="K2532" s="32"/>
      <c r="L2532" s="32" t="e">
        <f ca="1">_xludf.ifna(VLOOKUP(E2532,Parámetros!$D$2:$E$34,2,0),"")</f>
        <v>#NAME?</v>
      </c>
      <c r="M2532" s="32" t="e">
        <f ca="1">_xludf.ifna(VLOOKUP(G2532,Proyectos!$A$2:$T$674,20,0),"")</f>
        <v>#NAME?</v>
      </c>
      <c r="N2532" s="32" t="e">
        <f ca="1">_xludf.ifna(VLOOKUP(G2532,Proyectos!$A$2:$S$674,19,0))</f>
        <v>#NAME?</v>
      </c>
      <c r="O2532" s="32"/>
      <c r="P2532" s="32"/>
      <c r="Q2532" s="33"/>
      <c r="R2532" s="33"/>
      <c r="S2532" s="33"/>
      <c r="T2532" s="63">
        <f t="shared" si="21"/>
        <v>0</v>
      </c>
      <c r="U2532" s="33"/>
      <c r="V2532" s="33"/>
      <c r="W2532" s="33"/>
    </row>
    <row r="2533" spans="1:23" ht="16.5" customHeight="1" x14ac:dyDescent="0.2">
      <c r="A2533" s="26"/>
      <c r="B2533" s="26"/>
      <c r="C2533" s="26"/>
      <c r="D2533" s="26"/>
      <c r="E2533" s="26"/>
      <c r="F2533" s="28"/>
      <c r="G2533" s="26"/>
      <c r="H2533" s="32"/>
      <c r="I2533" s="32"/>
      <c r="J2533" s="32"/>
      <c r="K2533" s="32"/>
      <c r="L2533" s="32" t="e">
        <f ca="1">_xludf.ifna(VLOOKUP(E2533,Parámetros!$D$2:$E$34,2,0),"")</f>
        <v>#NAME?</v>
      </c>
      <c r="M2533" s="32" t="e">
        <f ca="1">_xludf.ifna(VLOOKUP(G2533,Proyectos!$A$2:$T$674,20,0),"")</f>
        <v>#NAME?</v>
      </c>
      <c r="N2533" s="32" t="e">
        <f ca="1">_xludf.ifna(VLOOKUP(G2533,Proyectos!$A$2:$S$674,19,0))</f>
        <v>#NAME?</v>
      </c>
      <c r="O2533" s="32"/>
      <c r="P2533" s="32"/>
      <c r="Q2533" s="33"/>
      <c r="R2533" s="33"/>
      <c r="S2533" s="33"/>
      <c r="T2533" s="63">
        <f t="shared" si="21"/>
        <v>0</v>
      </c>
      <c r="U2533" s="33"/>
      <c r="V2533" s="33"/>
      <c r="W2533" s="33"/>
    </row>
    <row r="2534" spans="1:23" ht="16.5" customHeight="1" x14ac:dyDescent="0.2">
      <c r="A2534" s="26"/>
      <c r="B2534" s="26"/>
      <c r="C2534" s="26"/>
      <c r="D2534" s="26"/>
      <c r="E2534" s="26"/>
      <c r="F2534" s="28"/>
      <c r="G2534" s="26"/>
      <c r="H2534" s="32"/>
      <c r="I2534" s="32"/>
      <c r="J2534" s="32"/>
      <c r="K2534" s="32"/>
      <c r="L2534" s="32" t="e">
        <f ca="1">_xludf.ifna(VLOOKUP(E2534,Parámetros!$D$2:$E$34,2,0),"")</f>
        <v>#NAME?</v>
      </c>
      <c r="M2534" s="32" t="e">
        <f ca="1">_xludf.ifna(VLOOKUP(G2534,Proyectos!$A$2:$T$674,20,0),"")</f>
        <v>#NAME?</v>
      </c>
      <c r="N2534" s="32" t="e">
        <f ca="1">_xludf.ifna(VLOOKUP(G2534,Proyectos!$A$2:$S$674,19,0))</f>
        <v>#NAME?</v>
      </c>
      <c r="O2534" s="32"/>
      <c r="P2534" s="32"/>
      <c r="Q2534" s="33"/>
      <c r="R2534" s="33"/>
      <c r="S2534" s="33"/>
      <c r="T2534" s="63">
        <f t="shared" si="21"/>
        <v>0</v>
      </c>
      <c r="U2534" s="33"/>
      <c r="V2534" s="33"/>
      <c r="W2534" s="33"/>
    </row>
    <row r="2535" spans="1:23" ht="16.5" customHeight="1" x14ac:dyDescent="0.2">
      <c r="A2535" s="26"/>
      <c r="B2535" s="26"/>
      <c r="C2535" s="26"/>
      <c r="D2535" s="26"/>
      <c r="E2535" s="26"/>
      <c r="F2535" s="28"/>
      <c r="G2535" s="26"/>
      <c r="H2535" s="32"/>
      <c r="I2535" s="32"/>
      <c r="J2535" s="32"/>
      <c r="K2535" s="32"/>
      <c r="L2535" s="32" t="e">
        <f ca="1">_xludf.ifna(VLOOKUP(E2535,Parámetros!$D$2:$E$34,2,0),"")</f>
        <v>#NAME?</v>
      </c>
      <c r="M2535" s="32" t="e">
        <f ca="1">_xludf.ifna(VLOOKUP(G2535,Proyectos!$A$2:$T$674,20,0),"")</f>
        <v>#NAME?</v>
      </c>
      <c r="N2535" s="32" t="e">
        <f ca="1">_xludf.ifna(VLOOKUP(G2535,Proyectos!$A$2:$S$674,19,0))</f>
        <v>#NAME?</v>
      </c>
      <c r="O2535" s="32"/>
      <c r="P2535" s="32"/>
      <c r="Q2535" s="33"/>
      <c r="R2535" s="33"/>
      <c r="S2535" s="33"/>
      <c r="T2535" s="63">
        <f t="shared" si="21"/>
        <v>0</v>
      </c>
      <c r="U2535" s="33"/>
      <c r="V2535" s="33"/>
      <c r="W2535" s="33"/>
    </row>
    <row r="2536" spans="1:23" ht="16.5" customHeight="1" x14ac:dyDescent="0.2">
      <c r="A2536" s="26"/>
      <c r="B2536" s="26"/>
      <c r="C2536" s="26"/>
      <c r="D2536" s="26"/>
      <c r="E2536" s="26"/>
      <c r="F2536" s="28"/>
      <c r="G2536" s="26"/>
      <c r="H2536" s="32"/>
      <c r="I2536" s="32"/>
      <c r="J2536" s="32"/>
      <c r="K2536" s="32"/>
      <c r="L2536" s="32" t="e">
        <f ca="1">_xludf.ifna(VLOOKUP(E2536,Parámetros!$D$2:$E$34,2,0),"")</f>
        <v>#NAME?</v>
      </c>
      <c r="M2536" s="32" t="e">
        <f ca="1">_xludf.ifna(VLOOKUP(G2536,Proyectos!$A$2:$T$674,20,0),"")</f>
        <v>#NAME?</v>
      </c>
      <c r="N2536" s="32" t="e">
        <f ca="1">_xludf.ifna(VLOOKUP(G2536,Proyectos!$A$2:$S$674,19,0))</f>
        <v>#NAME?</v>
      </c>
      <c r="O2536" s="32"/>
      <c r="P2536" s="32"/>
      <c r="Q2536" s="33"/>
      <c r="R2536" s="33"/>
      <c r="S2536" s="33"/>
      <c r="T2536" s="63">
        <f t="shared" si="21"/>
        <v>0</v>
      </c>
      <c r="U2536" s="33"/>
      <c r="V2536" s="33"/>
      <c r="W2536" s="33"/>
    </row>
    <row r="2537" spans="1:23" ht="16.5" customHeight="1" x14ac:dyDescent="0.2">
      <c r="A2537" s="26"/>
      <c r="B2537" s="26"/>
      <c r="C2537" s="26"/>
      <c r="D2537" s="26"/>
      <c r="E2537" s="26"/>
      <c r="F2537" s="28"/>
      <c r="G2537" s="26"/>
      <c r="H2537" s="32"/>
      <c r="I2537" s="32"/>
      <c r="J2537" s="32"/>
      <c r="K2537" s="32"/>
      <c r="L2537" s="32" t="e">
        <f ca="1">_xludf.ifna(VLOOKUP(E2537,Parámetros!$D$2:$E$34,2,0),"")</f>
        <v>#NAME?</v>
      </c>
      <c r="M2537" s="32" t="e">
        <f ca="1">_xludf.ifna(VLOOKUP(G2537,Proyectos!$A$2:$T$674,20,0),"")</f>
        <v>#NAME?</v>
      </c>
      <c r="N2537" s="32" t="e">
        <f ca="1">_xludf.ifna(VLOOKUP(G2537,Proyectos!$A$2:$S$674,19,0))</f>
        <v>#NAME?</v>
      </c>
      <c r="O2537" s="32"/>
      <c r="P2537" s="32"/>
      <c r="Q2537" s="33"/>
      <c r="R2537" s="33"/>
      <c r="S2537" s="33"/>
      <c r="T2537" s="63">
        <f t="shared" si="21"/>
        <v>0</v>
      </c>
      <c r="U2537" s="33"/>
      <c r="V2537" s="33"/>
      <c r="W2537" s="33"/>
    </row>
    <row r="2538" spans="1:23" ht="16.5" customHeight="1" x14ac:dyDescent="0.2">
      <c r="A2538" s="26"/>
      <c r="B2538" s="26"/>
      <c r="C2538" s="26"/>
      <c r="D2538" s="26"/>
      <c r="E2538" s="26"/>
      <c r="F2538" s="28"/>
      <c r="G2538" s="26"/>
      <c r="H2538" s="32"/>
      <c r="I2538" s="32"/>
      <c r="J2538" s="32"/>
      <c r="K2538" s="32"/>
      <c r="L2538" s="32" t="e">
        <f ca="1">_xludf.ifna(VLOOKUP(E2538,Parámetros!$D$2:$E$34,2,0),"")</f>
        <v>#NAME?</v>
      </c>
      <c r="M2538" s="32" t="e">
        <f ca="1">_xludf.ifna(VLOOKUP(G2538,Proyectos!$A$2:$T$674,20,0),"")</f>
        <v>#NAME?</v>
      </c>
      <c r="N2538" s="32" t="e">
        <f ca="1">_xludf.ifna(VLOOKUP(G2538,Proyectos!$A$2:$S$674,19,0))</f>
        <v>#NAME?</v>
      </c>
      <c r="O2538" s="32"/>
      <c r="P2538" s="32"/>
      <c r="Q2538" s="33"/>
      <c r="R2538" s="33"/>
      <c r="S2538" s="33"/>
      <c r="T2538" s="63">
        <f t="shared" si="21"/>
        <v>0</v>
      </c>
      <c r="U2538" s="33"/>
      <c r="V2538" s="33"/>
      <c r="W2538" s="33"/>
    </row>
    <row r="2539" spans="1:23" ht="16.5" customHeight="1" x14ac:dyDescent="0.2">
      <c r="A2539" s="26"/>
      <c r="B2539" s="26"/>
      <c r="C2539" s="26"/>
      <c r="D2539" s="26"/>
      <c r="E2539" s="26"/>
      <c r="F2539" s="28"/>
      <c r="G2539" s="26"/>
      <c r="H2539" s="32"/>
      <c r="I2539" s="32"/>
      <c r="J2539" s="32"/>
      <c r="K2539" s="32"/>
      <c r="L2539" s="32" t="e">
        <f ca="1">_xludf.ifna(VLOOKUP(E2539,Parámetros!$D$2:$E$34,2,0),"")</f>
        <v>#NAME?</v>
      </c>
      <c r="M2539" s="32" t="e">
        <f ca="1">_xludf.ifna(VLOOKUP(G2539,Proyectos!$A$2:$T$674,20,0),"")</f>
        <v>#NAME?</v>
      </c>
      <c r="N2539" s="32" t="e">
        <f ca="1">_xludf.ifna(VLOOKUP(G2539,Proyectos!$A$2:$S$674,19,0))</f>
        <v>#NAME?</v>
      </c>
      <c r="O2539" s="32"/>
      <c r="P2539" s="32"/>
      <c r="Q2539" s="33"/>
      <c r="R2539" s="33"/>
      <c r="S2539" s="33"/>
      <c r="T2539" s="63">
        <f t="shared" si="21"/>
        <v>0</v>
      </c>
      <c r="U2539" s="33"/>
      <c r="V2539" s="33"/>
      <c r="W2539" s="33"/>
    </row>
    <row r="2540" spans="1:23" ht="16.5" customHeight="1" x14ac:dyDescent="0.2">
      <c r="A2540" s="26"/>
      <c r="B2540" s="26"/>
      <c r="C2540" s="26"/>
      <c r="D2540" s="26"/>
      <c r="E2540" s="26"/>
      <c r="F2540" s="28"/>
      <c r="G2540" s="26"/>
      <c r="H2540" s="32"/>
      <c r="I2540" s="32"/>
      <c r="J2540" s="32"/>
      <c r="K2540" s="32"/>
      <c r="L2540" s="32" t="e">
        <f ca="1">_xludf.ifna(VLOOKUP(E2540,Parámetros!$D$2:$E$34,2,0),"")</f>
        <v>#NAME?</v>
      </c>
      <c r="M2540" s="32" t="e">
        <f ca="1">_xludf.ifna(VLOOKUP(G2540,Proyectos!$A$2:$T$674,20,0),"")</f>
        <v>#NAME?</v>
      </c>
      <c r="N2540" s="32" t="e">
        <f ca="1">_xludf.ifna(VLOOKUP(G2540,Proyectos!$A$2:$S$674,19,0))</f>
        <v>#NAME?</v>
      </c>
      <c r="O2540" s="32"/>
      <c r="P2540" s="32"/>
      <c r="Q2540" s="33"/>
      <c r="R2540" s="33"/>
      <c r="S2540" s="33"/>
      <c r="T2540" s="63">
        <f t="shared" si="21"/>
        <v>0</v>
      </c>
      <c r="U2540" s="33"/>
      <c r="V2540" s="33"/>
      <c r="W2540" s="33"/>
    </row>
    <row r="2541" spans="1:23" ht="16.5" customHeight="1" x14ac:dyDescent="0.2">
      <c r="A2541" s="26"/>
      <c r="B2541" s="26"/>
      <c r="C2541" s="26"/>
      <c r="D2541" s="26"/>
      <c r="E2541" s="26"/>
      <c r="F2541" s="28"/>
      <c r="G2541" s="26"/>
      <c r="H2541" s="32"/>
      <c r="I2541" s="32"/>
      <c r="J2541" s="32"/>
      <c r="K2541" s="32"/>
      <c r="L2541" s="32" t="e">
        <f ca="1">_xludf.ifna(VLOOKUP(E2541,Parámetros!$D$2:$E$34,2,0),"")</f>
        <v>#NAME?</v>
      </c>
      <c r="M2541" s="32" t="e">
        <f ca="1">_xludf.ifna(VLOOKUP(G2541,Proyectos!$A$2:$T$674,20,0),"")</f>
        <v>#NAME?</v>
      </c>
      <c r="N2541" s="32" t="e">
        <f ca="1">_xludf.ifna(VLOOKUP(G2541,Proyectos!$A$2:$S$674,19,0))</f>
        <v>#NAME?</v>
      </c>
      <c r="O2541" s="32"/>
      <c r="P2541" s="32"/>
      <c r="Q2541" s="33"/>
      <c r="R2541" s="33"/>
      <c r="S2541" s="33"/>
      <c r="T2541" s="63">
        <f t="shared" si="21"/>
        <v>0</v>
      </c>
      <c r="U2541" s="33"/>
      <c r="V2541" s="33"/>
      <c r="W2541" s="33"/>
    </row>
    <row r="2542" spans="1:23" ht="16.5" customHeight="1" x14ac:dyDescent="0.2">
      <c r="A2542" s="26"/>
      <c r="B2542" s="26"/>
      <c r="C2542" s="26"/>
      <c r="D2542" s="26"/>
      <c r="E2542" s="26"/>
      <c r="F2542" s="28"/>
      <c r="G2542" s="26"/>
      <c r="H2542" s="32"/>
      <c r="I2542" s="32"/>
      <c r="J2542" s="32"/>
      <c r="K2542" s="32"/>
      <c r="L2542" s="32" t="e">
        <f ca="1">_xludf.ifna(VLOOKUP(E2542,Parámetros!$D$2:$E$34,2,0),"")</f>
        <v>#NAME?</v>
      </c>
      <c r="M2542" s="32" t="e">
        <f ca="1">_xludf.ifna(VLOOKUP(G2542,Proyectos!$A$2:$T$674,20,0),"")</f>
        <v>#NAME?</v>
      </c>
      <c r="N2542" s="32" t="e">
        <f ca="1">_xludf.ifna(VLOOKUP(G2542,Proyectos!$A$2:$S$674,19,0))</f>
        <v>#NAME?</v>
      </c>
      <c r="O2542" s="32"/>
      <c r="P2542" s="32"/>
      <c r="Q2542" s="33"/>
      <c r="R2542" s="33"/>
      <c r="S2542" s="33"/>
      <c r="T2542" s="63">
        <f t="shared" si="21"/>
        <v>0</v>
      </c>
      <c r="U2542" s="33"/>
      <c r="V2542" s="33"/>
      <c r="W2542" s="33"/>
    </row>
    <row r="2543" spans="1:23" ht="16.5" customHeight="1" x14ac:dyDescent="0.2">
      <c r="A2543" s="26"/>
      <c r="B2543" s="26"/>
      <c r="C2543" s="26"/>
      <c r="D2543" s="26"/>
      <c r="E2543" s="26"/>
      <c r="F2543" s="28"/>
      <c r="G2543" s="26"/>
      <c r="H2543" s="32"/>
      <c r="I2543" s="32"/>
      <c r="J2543" s="32"/>
      <c r="K2543" s="32"/>
      <c r="L2543" s="32" t="e">
        <f ca="1">_xludf.ifna(VLOOKUP(E2543,Parámetros!$D$2:$E$34,2,0),"")</f>
        <v>#NAME?</v>
      </c>
      <c r="M2543" s="32" t="e">
        <f ca="1">_xludf.ifna(VLOOKUP(G2543,Proyectos!$A$2:$T$674,20,0),"")</f>
        <v>#NAME?</v>
      </c>
      <c r="N2543" s="32" t="e">
        <f ca="1">_xludf.ifna(VLOOKUP(G2543,Proyectos!$A$2:$S$674,19,0))</f>
        <v>#NAME?</v>
      </c>
      <c r="O2543" s="32"/>
      <c r="P2543" s="32"/>
      <c r="Q2543" s="33"/>
      <c r="R2543" s="33"/>
      <c r="S2543" s="33"/>
      <c r="T2543" s="63">
        <f t="shared" si="21"/>
        <v>0</v>
      </c>
      <c r="U2543" s="33"/>
      <c r="V2543" s="33"/>
      <c r="W2543" s="33"/>
    </row>
    <row r="2544" spans="1:23" ht="16.5" customHeight="1" x14ac:dyDescent="0.2">
      <c r="A2544" s="26"/>
      <c r="B2544" s="26"/>
      <c r="C2544" s="26"/>
      <c r="D2544" s="26"/>
      <c r="E2544" s="26"/>
      <c r="F2544" s="28"/>
      <c r="G2544" s="26"/>
      <c r="H2544" s="32"/>
      <c r="I2544" s="32"/>
      <c r="J2544" s="32"/>
      <c r="K2544" s="32"/>
      <c r="L2544" s="32" t="e">
        <f ca="1">_xludf.ifna(VLOOKUP(E2544,Parámetros!$D$2:$E$34,2,0),"")</f>
        <v>#NAME?</v>
      </c>
      <c r="M2544" s="32" t="e">
        <f ca="1">_xludf.ifna(VLOOKUP(G2544,Proyectos!$A$2:$T$674,20,0),"")</f>
        <v>#NAME?</v>
      </c>
      <c r="N2544" s="32" t="e">
        <f ca="1">_xludf.ifna(VLOOKUP(G2544,Proyectos!$A$2:$S$674,19,0))</f>
        <v>#NAME?</v>
      </c>
      <c r="O2544" s="32"/>
      <c r="P2544" s="32"/>
      <c r="Q2544" s="33"/>
      <c r="R2544" s="33"/>
      <c r="S2544" s="33"/>
      <c r="T2544" s="63">
        <f t="shared" si="21"/>
        <v>0</v>
      </c>
      <c r="U2544" s="33"/>
      <c r="V2544" s="33"/>
      <c r="W2544" s="33"/>
    </row>
    <row r="2545" spans="1:23" ht="16.5" customHeight="1" x14ac:dyDescent="0.2">
      <c r="A2545" s="26"/>
      <c r="B2545" s="26"/>
      <c r="C2545" s="26"/>
      <c r="D2545" s="26"/>
      <c r="E2545" s="26"/>
      <c r="F2545" s="28"/>
      <c r="G2545" s="26"/>
      <c r="H2545" s="32"/>
      <c r="I2545" s="32"/>
      <c r="J2545" s="32"/>
      <c r="K2545" s="32"/>
      <c r="L2545" s="32" t="e">
        <f ca="1">_xludf.ifna(VLOOKUP(E2545,Parámetros!$D$2:$E$34,2,0),"")</f>
        <v>#NAME?</v>
      </c>
      <c r="M2545" s="32" t="e">
        <f ca="1">_xludf.ifna(VLOOKUP(G2545,Proyectos!$A$2:$T$674,20,0),"")</f>
        <v>#NAME?</v>
      </c>
      <c r="N2545" s="32" t="e">
        <f ca="1">_xludf.ifna(VLOOKUP(G2545,Proyectos!$A$2:$S$674,19,0))</f>
        <v>#NAME?</v>
      </c>
      <c r="O2545" s="32"/>
      <c r="P2545" s="32"/>
      <c r="Q2545" s="33"/>
      <c r="R2545" s="33"/>
      <c r="S2545" s="33"/>
      <c r="T2545" s="63">
        <f t="shared" si="21"/>
        <v>0</v>
      </c>
      <c r="U2545" s="33"/>
      <c r="V2545" s="33"/>
      <c r="W2545" s="33"/>
    </row>
    <row r="2546" spans="1:23" ht="16.5" customHeight="1" x14ac:dyDescent="0.2">
      <c r="A2546" s="26"/>
      <c r="B2546" s="26"/>
      <c r="C2546" s="26"/>
      <c r="D2546" s="26"/>
      <c r="E2546" s="26"/>
      <c r="F2546" s="28"/>
      <c r="G2546" s="26"/>
      <c r="H2546" s="32"/>
      <c r="I2546" s="32"/>
      <c r="J2546" s="32"/>
      <c r="K2546" s="32"/>
      <c r="L2546" s="32" t="e">
        <f ca="1">_xludf.ifna(VLOOKUP(E2546,Parámetros!$D$2:$E$34,2,0),"")</f>
        <v>#NAME?</v>
      </c>
      <c r="M2546" s="32" t="e">
        <f ca="1">_xludf.ifna(VLOOKUP(G2546,Proyectos!$A$2:$T$674,20,0),"")</f>
        <v>#NAME?</v>
      </c>
      <c r="N2546" s="32" t="e">
        <f ca="1">_xludf.ifna(VLOOKUP(G2546,Proyectos!$A$2:$S$674,19,0))</f>
        <v>#NAME?</v>
      </c>
      <c r="O2546" s="32"/>
      <c r="P2546" s="32"/>
      <c r="Q2546" s="33"/>
      <c r="R2546" s="33"/>
      <c r="S2546" s="33"/>
      <c r="T2546" s="63">
        <f t="shared" si="21"/>
        <v>0</v>
      </c>
      <c r="U2546" s="33"/>
      <c r="V2546" s="33"/>
      <c r="W2546" s="33"/>
    </row>
    <row r="2547" spans="1:23" ht="16.5" customHeight="1" x14ac:dyDescent="0.2">
      <c r="A2547" s="26"/>
      <c r="B2547" s="26"/>
      <c r="C2547" s="26"/>
      <c r="D2547" s="26"/>
      <c r="E2547" s="26"/>
      <c r="F2547" s="28"/>
      <c r="G2547" s="26"/>
      <c r="H2547" s="32"/>
      <c r="I2547" s="32"/>
      <c r="J2547" s="32"/>
      <c r="K2547" s="32"/>
      <c r="L2547" s="32" t="e">
        <f ca="1">_xludf.ifna(VLOOKUP(E2547,Parámetros!$D$2:$E$34,2,0),"")</f>
        <v>#NAME?</v>
      </c>
      <c r="M2547" s="32" t="e">
        <f ca="1">_xludf.ifna(VLOOKUP(G2547,Proyectos!$A$2:$T$674,20,0),"")</f>
        <v>#NAME?</v>
      </c>
      <c r="N2547" s="32" t="e">
        <f ca="1">_xludf.ifna(VLOOKUP(G2547,Proyectos!$A$2:$S$674,19,0))</f>
        <v>#NAME?</v>
      </c>
      <c r="O2547" s="32"/>
      <c r="P2547" s="32"/>
      <c r="Q2547" s="33"/>
      <c r="R2547" s="33"/>
      <c r="S2547" s="33"/>
      <c r="T2547" s="63">
        <f t="shared" si="21"/>
        <v>0</v>
      </c>
      <c r="U2547" s="33"/>
      <c r="V2547" s="33"/>
      <c r="W2547" s="33"/>
    </row>
    <row r="2548" spans="1:23" ht="16.5" customHeight="1" x14ac:dyDescent="0.2">
      <c r="A2548" s="26"/>
      <c r="B2548" s="26"/>
      <c r="C2548" s="26"/>
      <c r="D2548" s="26"/>
      <c r="E2548" s="26"/>
      <c r="F2548" s="28"/>
      <c r="G2548" s="26"/>
      <c r="H2548" s="32"/>
      <c r="I2548" s="32"/>
      <c r="J2548" s="32"/>
      <c r="K2548" s="32"/>
      <c r="L2548" s="32" t="e">
        <f ca="1">_xludf.ifna(VLOOKUP(E2548,Parámetros!$D$2:$E$34,2,0),"")</f>
        <v>#NAME?</v>
      </c>
      <c r="M2548" s="32" t="e">
        <f ca="1">_xludf.ifna(VLOOKUP(G2548,Proyectos!$A$2:$T$674,20,0),"")</f>
        <v>#NAME?</v>
      </c>
      <c r="N2548" s="32" t="e">
        <f ca="1">_xludf.ifna(VLOOKUP(G2548,Proyectos!$A$2:$S$674,19,0))</f>
        <v>#NAME?</v>
      </c>
      <c r="O2548" s="32"/>
      <c r="P2548" s="32"/>
      <c r="Q2548" s="33"/>
      <c r="R2548" s="33"/>
      <c r="S2548" s="33"/>
      <c r="T2548" s="63">
        <f t="shared" si="21"/>
        <v>0</v>
      </c>
      <c r="U2548" s="33"/>
      <c r="V2548" s="33"/>
      <c r="W2548" s="33"/>
    </row>
    <row r="2549" spans="1:23" ht="16.5" customHeight="1" x14ac:dyDescent="0.2">
      <c r="A2549" s="26"/>
      <c r="B2549" s="26"/>
      <c r="C2549" s="26"/>
      <c r="D2549" s="26"/>
      <c r="E2549" s="26"/>
      <c r="F2549" s="28"/>
      <c r="G2549" s="26"/>
      <c r="H2549" s="32"/>
      <c r="I2549" s="32"/>
      <c r="J2549" s="32"/>
      <c r="K2549" s="32"/>
      <c r="L2549" s="32" t="e">
        <f ca="1">_xludf.ifna(VLOOKUP(E2549,Parámetros!$D$2:$E$34,2,0),"")</f>
        <v>#NAME?</v>
      </c>
      <c r="M2549" s="32" t="e">
        <f ca="1">_xludf.ifna(VLOOKUP(G2549,Proyectos!$A$2:$T$674,20,0),"")</f>
        <v>#NAME?</v>
      </c>
      <c r="N2549" s="32" t="e">
        <f ca="1">_xludf.ifna(VLOOKUP(G2549,Proyectos!$A$2:$S$674,19,0))</f>
        <v>#NAME?</v>
      </c>
      <c r="O2549" s="32"/>
      <c r="P2549" s="32"/>
      <c r="Q2549" s="33"/>
      <c r="R2549" s="33"/>
      <c r="S2549" s="33"/>
      <c r="T2549" s="63">
        <f t="shared" si="21"/>
        <v>0</v>
      </c>
      <c r="U2549" s="33"/>
      <c r="V2549" s="33"/>
      <c r="W2549" s="33"/>
    </row>
    <row r="2550" spans="1:23" ht="16.5" customHeight="1" x14ac:dyDescent="0.2">
      <c r="A2550" s="26"/>
      <c r="B2550" s="26"/>
      <c r="C2550" s="26"/>
      <c r="D2550" s="26"/>
      <c r="E2550" s="26"/>
      <c r="F2550" s="28"/>
      <c r="G2550" s="26"/>
      <c r="H2550" s="32"/>
      <c r="I2550" s="32"/>
      <c r="J2550" s="32"/>
      <c r="K2550" s="32"/>
      <c r="L2550" s="32" t="e">
        <f ca="1">_xludf.ifna(VLOOKUP(E2550,Parámetros!$D$2:$E$34,2,0),"")</f>
        <v>#NAME?</v>
      </c>
      <c r="M2550" s="32" t="e">
        <f ca="1">_xludf.ifna(VLOOKUP(G2550,Proyectos!$A$2:$T$674,20,0),"")</f>
        <v>#NAME?</v>
      </c>
      <c r="N2550" s="32" t="e">
        <f ca="1">_xludf.ifna(VLOOKUP(G2550,Proyectos!$A$2:$S$674,19,0))</f>
        <v>#NAME?</v>
      </c>
      <c r="O2550" s="32"/>
      <c r="P2550" s="32"/>
      <c r="Q2550" s="33"/>
      <c r="R2550" s="33"/>
      <c r="S2550" s="33"/>
      <c r="T2550" s="63">
        <f t="shared" si="21"/>
        <v>0</v>
      </c>
      <c r="U2550" s="33"/>
      <c r="V2550" s="33"/>
      <c r="W2550" s="33"/>
    </row>
    <row r="2551" spans="1:23" ht="16.5" customHeight="1" x14ac:dyDescent="0.2">
      <c r="A2551" s="26"/>
      <c r="B2551" s="26"/>
      <c r="C2551" s="26"/>
      <c r="D2551" s="26"/>
      <c r="E2551" s="26"/>
      <c r="F2551" s="28"/>
      <c r="G2551" s="26"/>
      <c r="H2551" s="32"/>
      <c r="I2551" s="32"/>
      <c r="J2551" s="32"/>
      <c r="K2551" s="32"/>
      <c r="L2551" s="32" t="e">
        <f ca="1">_xludf.ifna(VLOOKUP(E2551,Parámetros!$D$2:$E$34,2,0),"")</f>
        <v>#NAME?</v>
      </c>
      <c r="M2551" s="32" t="e">
        <f ca="1">_xludf.ifna(VLOOKUP(G2551,Proyectos!$A$2:$T$674,20,0),"")</f>
        <v>#NAME?</v>
      </c>
      <c r="N2551" s="32" t="e">
        <f ca="1">_xludf.ifna(VLOOKUP(G2551,Proyectos!$A$2:$S$674,19,0))</f>
        <v>#NAME?</v>
      </c>
      <c r="O2551" s="32"/>
      <c r="P2551" s="32"/>
      <c r="Q2551" s="33"/>
      <c r="R2551" s="33"/>
      <c r="S2551" s="33"/>
      <c r="T2551" s="63">
        <f t="shared" si="21"/>
        <v>0</v>
      </c>
      <c r="U2551" s="33"/>
      <c r="V2551" s="33"/>
      <c r="W2551" s="33"/>
    </row>
    <row r="2552" spans="1:23" ht="16.5" customHeight="1" x14ac:dyDescent="0.2">
      <c r="A2552" s="26"/>
      <c r="B2552" s="26"/>
      <c r="C2552" s="26"/>
      <c r="D2552" s="26"/>
      <c r="E2552" s="26"/>
      <c r="F2552" s="28"/>
      <c r="G2552" s="26"/>
      <c r="H2552" s="32"/>
      <c r="I2552" s="32"/>
      <c r="J2552" s="32"/>
      <c r="K2552" s="32"/>
      <c r="L2552" s="32" t="e">
        <f ca="1">_xludf.ifna(VLOOKUP(E2552,Parámetros!$D$2:$E$34,2,0),"")</f>
        <v>#NAME?</v>
      </c>
      <c r="M2552" s="32" t="e">
        <f ca="1">_xludf.ifna(VLOOKUP(G2552,Proyectos!$A$2:$T$674,20,0),"")</f>
        <v>#NAME?</v>
      </c>
      <c r="N2552" s="32" t="e">
        <f ca="1">_xludf.ifna(VLOOKUP(G2552,Proyectos!$A$2:$S$674,19,0))</f>
        <v>#NAME?</v>
      </c>
      <c r="O2552" s="32"/>
      <c r="P2552" s="32"/>
      <c r="Q2552" s="33"/>
      <c r="R2552" s="33"/>
      <c r="S2552" s="33"/>
      <c r="T2552" s="63">
        <f t="shared" si="21"/>
        <v>0</v>
      </c>
      <c r="U2552" s="33"/>
      <c r="V2552" s="33"/>
      <c r="W2552" s="33"/>
    </row>
    <row r="2553" spans="1:23" ht="16.5" customHeight="1" x14ac:dyDescent="0.2">
      <c r="A2553" s="26"/>
      <c r="B2553" s="26"/>
      <c r="C2553" s="26"/>
      <c r="D2553" s="26"/>
      <c r="E2553" s="26"/>
      <c r="F2553" s="28"/>
      <c r="G2553" s="26"/>
      <c r="H2553" s="32"/>
      <c r="I2553" s="32"/>
      <c r="J2553" s="32"/>
      <c r="K2553" s="32"/>
      <c r="L2553" s="32" t="e">
        <f ca="1">_xludf.ifna(VLOOKUP(E2553,Parámetros!$D$2:$E$34,2,0),"")</f>
        <v>#NAME?</v>
      </c>
      <c r="M2553" s="32" t="e">
        <f ca="1">_xludf.ifna(VLOOKUP(G2553,Proyectos!$A$2:$T$674,20,0),"")</f>
        <v>#NAME?</v>
      </c>
      <c r="N2553" s="32" t="e">
        <f ca="1">_xludf.ifna(VLOOKUP(G2553,Proyectos!$A$2:$S$674,19,0))</f>
        <v>#NAME?</v>
      </c>
      <c r="O2553" s="32"/>
      <c r="P2553" s="32"/>
      <c r="Q2553" s="33"/>
      <c r="R2553" s="33"/>
      <c r="S2553" s="33"/>
      <c r="T2553" s="63">
        <f t="shared" si="21"/>
        <v>0</v>
      </c>
      <c r="U2553" s="33"/>
      <c r="V2553" s="33"/>
      <c r="W2553" s="33"/>
    </row>
    <row r="2554" spans="1:23" ht="16.5" customHeight="1" x14ac:dyDescent="0.2">
      <c r="A2554" s="26"/>
      <c r="B2554" s="26"/>
      <c r="C2554" s="26"/>
      <c r="D2554" s="26"/>
      <c r="E2554" s="26"/>
      <c r="F2554" s="28"/>
      <c r="G2554" s="26"/>
      <c r="H2554" s="32"/>
      <c r="I2554" s="32"/>
      <c r="J2554" s="32"/>
      <c r="K2554" s="32"/>
      <c r="L2554" s="32" t="e">
        <f ca="1">_xludf.ifna(VLOOKUP(E2554,Parámetros!$D$2:$E$34,2,0),"")</f>
        <v>#NAME?</v>
      </c>
      <c r="M2554" s="32" t="e">
        <f ca="1">_xludf.ifna(VLOOKUP(G2554,Proyectos!$A$2:$T$674,20,0),"")</f>
        <v>#NAME?</v>
      </c>
      <c r="N2554" s="32" t="e">
        <f ca="1">_xludf.ifna(VLOOKUP(G2554,Proyectos!$A$2:$S$674,19,0))</f>
        <v>#NAME?</v>
      </c>
      <c r="O2554" s="32"/>
      <c r="P2554" s="32"/>
      <c r="Q2554" s="33"/>
      <c r="R2554" s="33"/>
      <c r="S2554" s="33"/>
      <c r="T2554" s="63">
        <f t="shared" si="21"/>
        <v>0</v>
      </c>
      <c r="U2554" s="33"/>
      <c r="V2554" s="33"/>
      <c r="W2554" s="33"/>
    </row>
    <row r="2555" spans="1:23" ht="16.5" customHeight="1" x14ac:dyDescent="0.2">
      <c r="A2555" s="26"/>
      <c r="B2555" s="26"/>
      <c r="C2555" s="26"/>
      <c r="D2555" s="26"/>
      <c r="E2555" s="26"/>
      <c r="F2555" s="28"/>
      <c r="G2555" s="26"/>
      <c r="H2555" s="32"/>
      <c r="I2555" s="32"/>
      <c r="J2555" s="32"/>
      <c r="K2555" s="32"/>
      <c r="L2555" s="32" t="e">
        <f ca="1">_xludf.ifna(VLOOKUP(E2555,Parámetros!$D$2:$E$34,2,0),"")</f>
        <v>#NAME?</v>
      </c>
      <c r="M2555" s="32" t="e">
        <f ca="1">_xludf.ifna(VLOOKUP(G2555,Proyectos!$A$2:$T$674,20,0),"")</f>
        <v>#NAME?</v>
      </c>
      <c r="N2555" s="32" t="e">
        <f ca="1">_xludf.ifna(VLOOKUP(G2555,Proyectos!$A$2:$S$674,19,0))</f>
        <v>#NAME?</v>
      </c>
      <c r="O2555" s="32"/>
      <c r="P2555" s="32"/>
      <c r="Q2555" s="33"/>
      <c r="R2555" s="33"/>
      <c r="S2555" s="33"/>
      <c r="T2555" s="63">
        <f t="shared" si="21"/>
        <v>0</v>
      </c>
      <c r="U2555" s="33"/>
      <c r="V2555" s="33"/>
      <c r="W2555" s="33"/>
    </row>
    <row r="2556" spans="1:23" ht="16.5" customHeight="1" x14ac:dyDescent="0.2">
      <c r="A2556" s="26"/>
      <c r="B2556" s="26"/>
      <c r="C2556" s="26"/>
      <c r="D2556" s="26"/>
      <c r="E2556" s="26"/>
      <c r="F2556" s="28"/>
      <c r="G2556" s="26"/>
      <c r="H2556" s="32"/>
      <c r="I2556" s="32"/>
      <c r="J2556" s="32"/>
      <c r="K2556" s="32"/>
      <c r="L2556" s="32" t="e">
        <f ca="1">_xludf.ifna(VLOOKUP(E2556,Parámetros!$D$2:$E$34,2,0),"")</f>
        <v>#NAME?</v>
      </c>
      <c r="M2556" s="32" t="e">
        <f ca="1">_xludf.ifna(VLOOKUP(G2556,Proyectos!$A$2:$T$674,20,0),"")</f>
        <v>#NAME?</v>
      </c>
      <c r="N2556" s="32" t="e">
        <f ca="1">_xludf.ifna(VLOOKUP(G2556,Proyectos!$A$2:$S$674,19,0))</f>
        <v>#NAME?</v>
      </c>
      <c r="O2556" s="32"/>
      <c r="P2556" s="32"/>
      <c r="Q2556" s="33"/>
      <c r="R2556" s="33"/>
      <c r="S2556" s="33"/>
      <c r="T2556" s="63">
        <f t="shared" si="21"/>
        <v>0</v>
      </c>
      <c r="U2556" s="33"/>
      <c r="V2556" s="33"/>
      <c r="W2556" s="33"/>
    </row>
    <row r="2557" spans="1:23" ht="16.5" customHeight="1" x14ac:dyDescent="0.2">
      <c r="A2557" s="26"/>
      <c r="B2557" s="26"/>
      <c r="C2557" s="26"/>
      <c r="D2557" s="26"/>
      <c r="E2557" s="26"/>
      <c r="F2557" s="28"/>
      <c r="G2557" s="26"/>
      <c r="H2557" s="32"/>
      <c r="I2557" s="32"/>
      <c r="J2557" s="32"/>
      <c r="K2557" s="32"/>
      <c r="L2557" s="32" t="e">
        <f ca="1">_xludf.ifna(VLOOKUP(E2557,Parámetros!$D$2:$E$34,2,0),"")</f>
        <v>#NAME?</v>
      </c>
      <c r="M2557" s="32" t="e">
        <f ca="1">_xludf.ifna(VLOOKUP(G2557,Proyectos!$A$2:$T$674,20,0),"")</f>
        <v>#NAME?</v>
      </c>
      <c r="N2557" s="32" t="e">
        <f ca="1">_xludf.ifna(VLOOKUP(G2557,Proyectos!$A$2:$S$674,19,0))</f>
        <v>#NAME?</v>
      </c>
      <c r="O2557" s="32"/>
      <c r="P2557" s="32"/>
      <c r="Q2557" s="33"/>
      <c r="R2557" s="33"/>
      <c r="S2557" s="33"/>
      <c r="T2557" s="63">
        <f t="shared" si="21"/>
        <v>0</v>
      </c>
      <c r="U2557" s="33"/>
      <c r="V2557" s="33"/>
      <c r="W2557" s="33"/>
    </row>
    <row r="2558" spans="1:23" ht="16.5" customHeight="1" x14ac:dyDescent="0.2">
      <c r="A2558" s="26"/>
      <c r="B2558" s="26"/>
      <c r="C2558" s="26"/>
      <c r="D2558" s="26"/>
      <c r="E2558" s="26"/>
      <c r="F2558" s="28"/>
      <c r="G2558" s="26"/>
      <c r="H2558" s="32"/>
      <c r="I2558" s="32"/>
      <c r="J2558" s="32"/>
      <c r="K2558" s="32"/>
      <c r="L2558" s="32" t="e">
        <f ca="1">_xludf.ifna(VLOOKUP(E2558,Parámetros!$D$2:$E$34,2,0),"")</f>
        <v>#NAME?</v>
      </c>
      <c r="M2558" s="32" t="e">
        <f ca="1">_xludf.ifna(VLOOKUP(G2558,Proyectos!$A$2:$T$674,20,0),"")</f>
        <v>#NAME?</v>
      </c>
      <c r="N2558" s="32" t="e">
        <f ca="1">_xludf.ifna(VLOOKUP(G2558,Proyectos!$A$2:$S$674,19,0))</f>
        <v>#NAME?</v>
      </c>
      <c r="O2558" s="32"/>
      <c r="P2558" s="32"/>
      <c r="Q2558" s="33"/>
      <c r="R2558" s="33"/>
      <c r="S2558" s="33"/>
      <c r="T2558" s="63">
        <f t="shared" si="21"/>
        <v>0</v>
      </c>
      <c r="U2558" s="33"/>
      <c r="V2558" s="33"/>
      <c r="W2558" s="33"/>
    </row>
    <row r="2559" spans="1:23" ht="16.5" customHeight="1" x14ac:dyDescent="0.2">
      <c r="A2559" s="26"/>
      <c r="B2559" s="26"/>
      <c r="C2559" s="26"/>
      <c r="D2559" s="26"/>
      <c r="E2559" s="26"/>
      <c r="F2559" s="28"/>
      <c r="G2559" s="26"/>
      <c r="H2559" s="32"/>
      <c r="I2559" s="32"/>
      <c r="J2559" s="32"/>
      <c r="K2559" s="32"/>
      <c r="L2559" s="32" t="e">
        <f ca="1">_xludf.ifna(VLOOKUP(E2559,Parámetros!$D$2:$E$34,2,0),"")</f>
        <v>#NAME?</v>
      </c>
      <c r="M2559" s="32" t="e">
        <f ca="1">_xludf.ifna(VLOOKUP(G2559,Proyectos!$A$2:$T$674,20,0),"")</f>
        <v>#NAME?</v>
      </c>
      <c r="N2559" s="32" t="e">
        <f ca="1">_xludf.ifna(VLOOKUP(G2559,Proyectos!$A$2:$S$674,19,0))</f>
        <v>#NAME?</v>
      </c>
      <c r="O2559" s="32"/>
      <c r="P2559" s="32"/>
      <c r="Q2559" s="33"/>
      <c r="R2559" s="33"/>
      <c r="S2559" s="33"/>
      <c r="T2559" s="63">
        <f t="shared" si="21"/>
        <v>0</v>
      </c>
      <c r="U2559" s="33"/>
      <c r="V2559" s="33"/>
      <c r="W2559" s="33"/>
    </row>
    <row r="2560" spans="1:23" ht="16.5" customHeight="1" x14ac:dyDescent="0.2">
      <c r="A2560" s="26"/>
      <c r="B2560" s="26"/>
      <c r="C2560" s="26"/>
      <c r="D2560" s="26"/>
      <c r="E2560" s="26"/>
      <c r="F2560" s="28"/>
      <c r="G2560" s="26"/>
      <c r="H2560" s="32"/>
      <c r="I2560" s="32"/>
      <c r="J2560" s="32"/>
      <c r="K2560" s="32"/>
      <c r="L2560" s="32" t="e">
        <f ca="1">_xludf.ifna(VLOOKUP(E2560,Parámetros!$D$2:$E$34,2,0),"")</f>
        <v>#NAME?</v>
      </c>
      <c r="M2560" s="32" t="e">
        <f ca="1">_xludf.ifna(VLOOKUP(G2560,Proyectos!$A$2:$T$674,20,0),"")</f>
        <v>#NAME?</v>
      </c>
      <c r="N2560" s="32" t="e">
        <f ca="1">_xludf.ifna(VLOOKUP(G2560,Proyectos!$A$2:$S$674,19,0))</f>
        <v>#NAME?</v>
      </c>
      <c r="O2560" s="32"/>
      <c r="P2560" s="32"/>
      <c r="Q2560" s="33"/>
      <c r="R2560" s="33"/>
      <c r="S2560" s="33"/>
      <c r="T2560" s="63">
        <f t="shared" si="21"/>
        <v>0</v>
      </c>
      <c r="U2560" s="33"/>
      <c r="V2560" s="33"/>
      <c r="W2560" s="33"/>
    </row>
    <row r="2561" spans="1:23" ht="16.5" customHeight="1" x14ac:dyDescent="0.2">
      <c r="A2561" s="26"/>
      <c r="B2561" s="26"/>
      <c r="C2561" s="26"/>
      <c r="D2561" s="26"/>
      <c r="E2561" s="26"/>
      <c r="F2561" s="28"/>
      <c r="G2561" s="26"/>
      <c r="H2561" s="32"/>
      <c r="I2561" s="32"/>
      <c r="J2561" s="32"/>
      <c r="K2561" s="32"/>
      <c r="L2561" s="32" t="e">
        <f ca="1">_xludf.ifna(VLOOKUP(E2561,Parámetros!$D$2:$E$34,2,0),"")</f>
        <v>#NAME?</v>
      </c>
      <c r="M2561" s="32" t="e">
        <f ca="1">_xludf.ifna(VLOOKUP(G2561,Proyectos!$A$2:$T$674,20,0),"")</f>
        <v>#NAME?</v>
      </c>
      <c r="N2561" s="32" t="e">
        <f ca="1">_xludf.ifna(VLOOKUP(G2561,Proyectos!$A$2:$S$674,19,0))</f>
        <v>#NAME?</v>
      </c>
      <c r="O2561" s="32"/>
      <c r="P2561" s="32"/>
      <c r="Q2561" s="33"/>
      <c r="R2561" s="33"/>
      <c r="S2561" s="33"/>
      <c r="T2561" s="63">
        <f t="shared" si="21"/>
        <v>0</v>
      </c>
      <c r="U2561" s="33"/>
      <c r="V2561" s="33"/>
      <c r="W2561" s="33"/>
    </row>
    <row r="2562" spans="1:23" ht="16.5" customHeight="1" x14ac:dyDescent="0.2">
      <c r="A2562" s="26"/>
      <c r="B2562" s="26"/>
      <c r="C2562" s="26"/>
      <c r="D2562" s="26"/>
      <c r="E2562" s="26"/>
      <c r="F2562" s="28"/>
      <c r="G2562" s="26"/>
      <c r="H2562" s="32"/>
      <c r="I2562" s="32"/>
      <c r="J2562" s="32"/>
      <c r="K2562" s="32"/>
      <c r="L2562" s="32" t="e">
        <f ca="1">_xludf.ifna(VLOOKUP(E2562,Parámetros!$D$2:$E$34,2,0),"")</f>
        <v>#NAME?</v>
      </c>
      <c r="M2562" s="32" t="e">
        <f ca="1">_xludf.ifna(VLOOKUP(G2562,Proyectos!$A$2:$T$674,20,0),"")</f>
        <v>#NAME?</v>
      </c>
      <c r="N2562" s="32" t="e">
        <f ca="1">_xludf.ifna(VLOOKUP(G2562,Proyectos!$A$2:$S$674,19,0))</f>
        <v>#NAME?</v>
      </c>
      <c r="O2562" s="32"/>
      <c r="P2562" s="32"/>
      <c r="Q2562" s="33"/>
      <c r="R2562" s="33"/>
      <c r="S2562" s="33"/>
      <c r="T2562" s="63">
        <f t="shared" si="21"/>
        <v>0</v>
      </c>
      <c r="U2562" s="33"/>
      <c r="V2562" s="33"/>
      <c r="W2562" s="33"/>
    </row>
    <row r="2563" spans="1:23" ht="16.5" customHeight="1" x14ac:dyDescent="0.2">
      <c r="A2563" s="26"/>
      <c r="B2563" s="26"/>
      <c r="C2563" s="26"/>
      <c r="D2563" s="26"/>
      <c r="E2563" s="26"/>
      <c r="F2563" s="28"/>
      <c r="G2563" s="26"/>
      <c r="H2563" s="32"/>
      <c r="I2563" s="32"/>
      <c r="J2563" s="32"/>
      <c r="K2563" s="32"/>
      <c r="L2563" s="32" t="e">
        <f ca="1">_xludf.ifna(VLOOKUP(E2563,Parámetros!$D$2:$E$34,2,0),"")</f>
        <v>#NAME?</v>
      </c>
      <c r="M2563" s="32" t="e">
        <f ca="1">_xludf.ifna(VLOOKUP(G2563,Proyectos!$A$2:$T$674,20,0),"")</f>
        <v>#NAME?</v>
      </c>
      <c r="N2563" s="32" t="e">
        <f ca="1">_xludf.ifna(VLOOKUP(G2563,Proyectos!$A$2:$S$674,19,0))</f>
        <v>#NAME?</v>
      </c>
      <c r="O2563" s="32"/>
      <c r="P2563" s="32"/>
      <c r="Q2563" s="33"/>
      <c r="R2563" s="33"/>
      <c r="S2563" s="33"/>
      <c r="T2563" s="63">
        <f t="shared" si="21"/>
        <v>0</v>
      </c>
      <c r="U2563" s="33"/>
      <c r="V2563" s="33"/>
      <c r="W2563" s="33"/>
    </row>
    <row r="2564" spans="1:23" ht="16.5" customHeight="1" x14ac:dyDescent="0.2">
      <c r="A2564" s="26"/>
      <c r="B2564" s="26"/>
      <c r="C2564" s="26"/>
      <c r="D2564" s="26"/>
      <c r="E2564" s="26"/>
      <c r="F2564" s="28"/>
      <c r="G2564" s="26"/>
      <c r="H2564" s="32"/>
      <c r="I2564" s="32"/>
      <c r="J2564" s="32"/>
      <c r="K2564" s="32"/>
      <c r="L2564" s="32" t="e">
        <f ca="1">_xludf.ifna(VLOOKUP(E2564,Parámetros!$D$2:$E$34,2,0),"")</f>
        <v>#NAME?</v>
      </c>
      <c r="M2564" s="32" t="e">
        <f ca="1">_xludf.ifna(VLOOKUP(G2564,Proyectos!$A$2:$T$674,20,0),"")</f>
        <v>#NAME?</v>
      </c>
      <c r="N2564" s="32" t="e">
        <f ca="1">_xludf.ifna(VLOOKUP(G2564,Proyectos!$A$2:$S$674,19,0))</f>
        <v>#NAME?</v>
      </c>
      <c r="O2564" s="32"/>
      <c r="P2564" s="32"/>
      <c r="Q2564" s="33"/>
      <c r="R2564" s="33"/>
      <c r="S2564" s="33"/>
      <c r="T2564" s="63">
        <f t="shared" si="21"/>
        <v>0</v>
      </c>
      <c r="U2564" s="33"/>
      <c r="V2564" s="33"/>
      <c r="W2564" s="33"/>
    </row>
    <row r="2565" spans="1:23" ht="16.5" customHeight="1" x14ac:dyDescent="0.2">
      <c r="A2565" s="26"/>
      <c r="B2565" s="26"/>
      <c r="C2565" s="26"/>
      <c r="D2565" s="26"/>
      <c r="E2565" s="26"/>
      <c r="F2565" s="28"/>
      <c r="G2565" s="26"/>
      <c r="H2565" s="32"/>
      <c r="I2565" s="32"/>
      <c r="J2565" s="32"/>
      <c r="K2565" s="32"/>
      <c r="L2565" s="32" t="e">
        <f ca="1">_xludf.ifna(VLOOKUP(E2565,Parámetros!$D$2:$E$34,2,0),"")</f>
        <v>#NAME?</v>
      </c>
      <c r="M2565" s="32" t="e">
        <f ca="1">_xludf.ifna(VLOOKUP(G2565,Proyectos!$A$2:$T$674,20,0),"")</f>
        <v>#NAME?</v>
      </c>
      <c r="N2565" s="32" t="e">
        <f ca="1">_xludf.ifna(VLOOKUP(G2565,Proyectos!$A$2:$S$674,19,0))</f>
        <v>#NAME?</v>
      </c>
      <c r="O2565" s="32"/>
      <c r="P2565" s="32"/>
      <c r="Q2565" s="33"/>
      <c r="R2565" s="33"/>
      <c r="S2565" s="33"/>
      <c r="T2565" s="63">
        <f t="shared" si="21"/>
        <v>0</v>
      </c>
      <c r="U2565" s="33"/>
      <c r="V2565" s="33"/>
      <c r="W2565" s="33"/>
    </row>
    <row r="2566" spans="1:23" ht="16.5" customHeight="1" x14ac:dyDescent="0.2">
      <c r="A2566" s="26"/>
      <c r="B2566" s="26"/>
      <c r="C2566" s="26"/>
      <c r="D2566" s="26"/>
      <c r="E2566" s="26"/>
      <c r="F2566" s="28"/>
      <c r="G2566" s="26"/>
      <c r="H2566" s="32"/>
      <c r="I2566" s="32"/>
      <c r="J2566" s="32"/>
      <c r="K2566" s="32"/>
      <c r="L2566" s="32" t="e">
        <f ca="1">_xludf.ifna(VLOOKUP(E2566,Parámetros!$D$2:$E$34,2,0),"")</f>
        <v>#NAME?</v>
      </c>
      <c r="M2566" s="32" t="e">
        <f ca="1">_xludf.ifna(VLOOKUP(G2566,Proyectos!$A$2:$T$674,20,0),"")</f>
        <v>#NAME?</v>
      </c>
      <c r="N2566" s="32" t="e">
        <f ca="1">_xludf.ifna(VLOOKUP(G2566,Proyectos!$A$2:$S$674,19,0))</f>
        <v>#NAME?</v>
      </c>
      <c r="O2566" s="32"/>
      <c r="P2566" s="32"/>
      <c r="Q2566" s="33"/>
      <c r="R2566" s="33"/>
      <c r="S2566" s="33"/>
      <c r="T2566" s="63">
        <f t="shared" si="21"/>
        <v>0</v>
      </c>
      <c r="U2566" s="33"/>
      <c r="V2566" s="33"/>
      <c r="W2566" s="33"/>
    </row>
    <row r="2567" spans="1:23" ht="16.5" customHeight="1" x14ac:dyDescent="0.2">
      <c r="A2567" s="26"/>
      <c r="B2567" s="26"/>
      <c r="C2567" s="26"/>
      <c r="D2567" s="26"/>
      <c r="E2567" s="26"/>
      <c r="F2567" s="28"/>
      <c r="G2567" s="26"/>
      <c r="H2567" s="32"/>
      <c r="I2567" s="32"/>
      <c r="J2567" s="32"/>
      <c r="K2567" s="32"/>
      <c r="L2567" s="32" t="e">
        <f ca="1">_xludf.ifna(VLOOKUP(E2567,Parámetros!$D$2:$E$34,2,0),"")</f>
        <v>#NAME?</v>
      </c>
      <c r="M2567" s="32" t="e">
        <f ca="1">_xludf.ifna(VLOOKUP(G2567,Proyectos!$A$2:$T$674,20,0),"")</f>
        <v>#NAME?</v>
      </c>
      <c r="N2567" s="32" t="e">
        <f ca="1">_xludf.ifna(VLOOKUP(G2567,Proyectos!$A$2:$S$674,19,0))</f>
        <v>#NAME?</v>
      </c>
      <c r="O2567" s="32"/>
      <c r="P2567" s="32"/>
      <c r="Q2567" s="33"/>
      <c r="R2567" s="33"/>
      <c r="S2567" s="33"/>
      <c r="T2567" s="63">
        <f t="shared" si="21"/>
        <v>0</v>
      </c>
      <c r="U2567" s="33"/>
      <c r="V2567" s="33"/>
      <c r="W2567" s="33"/>
    </row>
    <row r="2568" spans="1:23" ht="16.5" customHeight="1" x14ac:dyDescent="0.2">
      <c r="A2568" s="26"/>
      <c r="B2568" s="26"/>
      <c r="C2568" s="26"/>
      <c r="D2568" s="26"/>
      <c r="E2568" s="26"/>
      <c r="F2568" s="28"/>
      <c r="G2568" s="26"/>
      <c r="H2568" s="32"/>
      <c r="I2568" s="32"/>
      <c r="J2568" s="32"/>
      <c r="K2568" s="32"/>
      <c r="L2568" s="32" t="e">
        <f ca="1">_xludf.ifna(VLOOKUP(E2568,Parámetros!$D$2:$E$34,2,0),"")</f>
        <v>#NAME?</v>
      </c>
      <c r="M2568" s="32" t="e">
        <f ca="1">_xludf.ifna(VLOOKUP(G2568,Proyectos!$A$2:$T$674,20,0),"")</f>
        <v>#NAME?</v>
      </c>
      <c r="N2568" s="32" t="e">
        <f ca="1">_xludf.ifna(VLOOKUP(G2568,Proyectos!$A$2:$S$674,19,0))</f>
        <v>#NAME?</v>
      </c>
      <c r="O2568" s="32"/>
      <c r="P2568" s="32"/>
      <c r="Q2568" s="33"/>
      <c r="R2568" s="33"/>
      <c r="S2568" s="33"/>
      <c r="T2568" s="63">
        <f t="shared" si="21"/>
        <v>0</v>
      </c>
      <c r="U2568" s="33"/>
      <c r="V2568" s="33"/>
      <c r="W2568" s="33"/>
    </row>
    <row r="2569" spans="1:23" ht="16.5" customHeight="1" x14ac:dyDescent="0.2">
      <c r="A2569" s="26"/>
      <c r="B2569" s="26"/>
      <c r="C2569" s="26"/>
      <c r="D2569" s="26"/>
      <c r="E2569" s="26"/>
      <c r="F2569" s="28"/>
      <c r="G2569" s="26"/>
      <c r="H2569" s="32"/>
      <c r="I2569" s="32"/>
      <c r="J2569" s="32"/>
      <c r="K2569" s="32"/>
      <c r="L2569" s="32" t="e">
        <f ca="1">_xludf.ifna(VLOOKUP(E2569,Parámetros!$D$2:$E$34,2,0),"")</f>
        <v>#NAME?</v>
      </c>
      <c r="M2569" s="32" t="e">
        <f ca="1">_xludf.ifna(VLOOKUP(G2569,Proyectos!$A$2:$T$674,20,0),"")</f>
        <v>#NAME?</v>
      </c>
      <c r="N2569" s="32" t="e">
        <f ca="1">_xludf.ifna(VLOOKUP(G2569,Proyectos!$A$2:$S$674,19,0))</f>
        <v>#NAME?</v>
      </c>
      <c r="O2569" s="32"/>
      <c r="P2569" s="32"/>
      <c r="Q2569" s="33"/>
      <c r="R2569" s="33"/>
      <c r="S2569" s="33"/>
      <c r="T2569" s="63">
        <f t="shared" si="21"/>
        <v>0</v>
      </c>
      <c r="U2569" s="33"/>
      <c r="V2569" s="33"/>
      <c r="W2569" s="33"/>
    </row>
    <row r="2570" spans="1:23" ht="16.5" customHeight="1" x14ac:dyDescent="0.2">
      <c r="A2570" s="26"/>
      <c r="B2570" s="26"/>
      <c r="C2570" s="26"/>
      <c r="D2570" s="26"/>
      <c r="E2570" s="26"/>
      <c r="F2570" s="28"/>
      <c r="G2570" s="26"/>
      <c r="H2570" s="32"/>
      <c r="I2570" s="32"/>
      <c r="J2570" s="32"/>
      <c r="K2570" s="32"/>
      <c r="L2570" s="32" t="e">
        <f ca="1">_xludf.ifna(VLOOKUP(E2570,Parámetros!$D$2:$E$34,2,0),"")</f>
        <v>#NAME?</v>
      </c>
      <c r="M2570" s="32" t="e">
        <f ca="1">_xludf.ifna(VLOOKUP(G2570,Proyectos!$A$2:$T$674,20,0),"")</f>
        <v>#NAME?</v>
      </c>
      <c r="N2570" s="32" t="e">
        <f ca="1">_xludf.ifna(VLOOKUP(G2570,Proyectos!$A$2:$S$674,19,0))</f>
        <v>#NAME?</v>
      </c>
      <c r="O2570" s="32"/>
      <c r="P2570" s="32"/>
      <c r="Q2570" s="33"/>
      <c r="R2570" s="33"/>
      <c r="S2570" s="33"/>
      <c r="T2570" s="63">
        <f t="shared" si="21"/>
        <v>0</v>
      </c>
      <c r="U2570" s="33"/>
      <c r="V2570" s="33"/>
      <c r="W2570" s="33"/>
    </row>
    <row r="2571" spans="1:23" ht="16.5" customHeight="1" x14ac:dyDescent="0.2">
      <c r="A2571" s="26"/>
      <c r="B2571" s="26"/>
      <c r="C2571" s="26"/>
      <c r="D2571" s="26"/>
      <c r="E2571" s="26"/>
      <c r="F2571" s="28"/>
      <c r="G2571" s="26"/>
      <c r="H2571" s="32"/>
      <c r="I2571" s="32"/>
      <c r="J2571" s="32"/>
      <c r="K2571" s="32"/>
      <c r="L2571" s="32" t="e">
        <f ca="1">_xludf.ifna(VLOOKUP(E2571,Parámetros!$D$2:$E$34,2,0),"")</f>
        <v>#NAME?</v>
      </c>
      <c r="M2571" s="32" t="e">
        <f ca="1">_xludf.ifna(VLOOKUP(G2571,Proyectos!$A$2:$T$674,20,0),"")</f>
        <v>#NAME?</v>
      </c>
      <c r="N2571" s="32" t="e">
        <f ca="1">_xludf.ifna(VLOOKUP(G2571,Proyectos!$A$2:$S$674,19,0))</f>
        <v>#NAME?</v>
      </c>
      <c r="O2571" s="32"/>
      <c r="P2571" s="32"/>
      <c r="Q2571" s="33"/>
      <c r="R2571" s="33"/>
      <c r="S2571" s="33"/>
      <c r="T2571" s="63">
        <f t="shared" si="21"/>
        <v>0</v>
      </c>
      <c r="U2571" s="33"/>
      <c r="V2571" s="33"/>
      <c r="W2571" s="33"/>
    </row>
    <row r="2572" spans="1:23" ht="16.5" customHeight="1" x14ac:dyDescent="0.2">
      <c r="A2572" s="26"/>
      <c r="B2572" s="26"/>
      <c r="C2572" s="26"/>
      <c r="D2572" s="26"/>
      <c r="E2572" s="26"/>
      <c r="F2572" s="28"/>
      <c r="G2572" s="26"/>
      <c r="H2572" s="32"/>
      <c r="I2572" s="32"/>
      <c r="J2572" s="32"/>
      <c r="K2572" s="32"/>
      <c r="L2572" s="32" t="e">
        <f ca="1">_xludf.ifna(VLOOKUP(E2572,Parámetros!$D$2:$E$34,2,0),"")</f>
        <v>#NAME?</v>
      </c>
      <c r="M2572" s="32" t="e">
        <f ca="1">_xludf.ifna(VLOOKUP(G2572,Proyectos!$A$2:$T$674,20,0),"")</f>
        <v>#NAME?</v>
      </c>
      <c r="N2572" s="32" t="e">
        <f ca="1">_xludf.ifna(VLOOKUP(G2572,Proyectos!$A$2:$S$674,19,0))</f>
        <v>#NAME?</v>
      </c>
      <c r="O2572" s="32"/>
      <c r="P2572" s="32"/>
      <c r="Q2572" s="33"/>
      <c r="R2572" s="33"/>
      <c r="S2572" s="33"/>
      <c r="T2572" s="63">
        <f t="shared" si="21"/>
        <v>0</v>
      </c>
      <c r="U2572" s="33"/>
      <c r="V2572" s="33"/>
      <c r="W2572" s="33"/>
    </row>
    <row r="2573" spans="1:23" ht="16.5" customHeight="1" x14ac:dyDescent="0.2">
      <c r="A2573" s="26"/>
      <c r="B2573" s="26"/>
      <c r="C2573" s="26"/>
      <c r="D2573" s="26"/>
      <c r="E2573" s="26"/>
      <c r="F2573" s="28"/>
      <c r="G2573" s="26"/>
      <c r="H2573" s="32"/>
      <c r="I2573" s="32"/>
      <c r="J2573" s="32"/>
      <c r="K2573" s="32"/>
      <c r="L2573" s="32" t="e">
        <f ca="1">_xludf.ifna(VLOOKUP(E2573,Parámetros!$D$2:$E$34,2,0),"")</f>
        <v>#NAME?</v>
      </c>
      <c r="M2573" s="32" t="e">
        <f ca="1">_xludf.ifna(VLOOKUP(G2573,Proyectos!$A$2:$T$674,20,0),"")</f>
        <v>#NAME?</v>
      </c>
      <c r="N2573" s="32" t="e">
        <f ca="1">_xludf.ifna(VLOOKUP(G2573,Proyectos!$A$2:$S$674,19,0))</f>
        <v>#NAME?</v>
      </c>
      <c r="O2573" s="32"/>
      <c r="P2573" s="32"/>
      <c r="Q2573" s="33"/>
      <c r="R2573" s="33"/>
      <c r="S2573" s="33"/>
      <c r="T2573" s="63">
        <f t="shared" si="21"/>
        <v>0</v>
      </c>
      <c r="U2573" s="33"/>
      <c r="V2573" s="33"/>
      <c r="W2573" s="33"/>
    </row>
    <row r="2574" spans="1:23" ht="16.5" customHeight="1" x14ac:dyDescent="0.2">
      <c r="A2574" s="26"/>
      <c r="B2574" s="26"/>
      <c r="C2574" s="26"/>
      <c r="D2574" s="26"/>
      <c r="E2574" s="26"/>
      <c r="F2574" s="28"/>
      <c r="G2574" s="26"/>
      <c r="H2574" s="32"/>
      <c r="I2574" s="32"/>
      <c r="J2574" s="32"/>
      <c r="K2574" s="32"/>
      <c r="L2574" s="32" t="e">
        <f ca="1">_xludf.ifna(VLOOKUP(E2574,Parámetros!$D$2:$E$34,2,0),"")</f>
        <v>#NAME?</v>
      </c>
      <c r="M2574" s="32" t="e">
        <f ca="1">_xludf.ifna(VLOOKUP(G2574,Proyectos!$A$2:$T$674,20,0),"")</f>
        <v>#NAME?</v>
      </c>
      <c r="N2574" s="32" t="e">
        <f ca="1">_xludf.ifna(VLOOKUP(G2574,Proyectos!$A$2:$S$674,19,0))</f>
        <v>#NAME?</v>
      </c>
      <c r="O2574" s="32"/>
      <c r="P2574" s="32"/>
      <c r="Q2574" s="33"/>
      <c r="R2574" s="33"/>
      <c r="S2574" s="33"/>
      <c r="T2574" s="63">
        <f t="shared" si="21"/>
        <v>0</v>
      </c>
      <c r="U2574" s="33"/>
      <c r="V2574" s="33"/>
      <c r="W2574" s="33"/>
    </row>
    <row r="2575" spans="1:23" ht="16.5" customHeight="1" x14ac:dyDescent="0.2">
      <c r="A2575" s="26"/>
      <c r="B2575" s="26"/>
      <c r="C2575" s="26"/>
      <c r="D2575" s="26"/>
      <c r="E2575" s="26"/>
      <c r="F2575" s="28"/>
      <c r="G2575" s="26"/>
      <c r="H2575" s="32"/>
      <c r="I2575" s="32"/>
      <c r="J2575" s="32"/>
      <c r="K2575" s="32"/>
      <c r="L2575" s="32" t="e">
        <f ca="1">_xludf.ifna(VLOOKUP(E2575,Parámetros!$D$2:$E$34,2,0),"")</f>
        <v>#NAME?</v>
      </c>
      <c r="M2575" s="32" t="e">
        <f ca="1">_xludf.ifna(VLOOKUP(G2575,Proyectos!$A$2:$T$674,20,0),"")</f>
        <v>#NAME?</v>
      </c>
      <c r="N2575" s="32" t="e">
        <f ca="1">_xludf.ifna(VLOOKUP(G2575,Proyectos!$A$2:$S$674,19,0))</f>
        <v>#NAME?</v>
      </c>
      <c r="O2575" s="32"/>
      <c r="P2575" s="32"/>
      <c r="Q2575" s="33"/>
      <c r="R2575" s="33"/>
      <c r="S2575" s="33"/>
      <c r="T2575" s="63">
        <f t="shared" si="21"/>
        <v>0</v>
      </c>
      <c r="U2575" s="33"/>
      <c r="V2575" s="33"/>
      <c r="W2575" s="33"/>
    </row>
    <row r="2576" spans="1:23" ht="16.5" customHeight="1" x14ac:dyDescent="0.2">
      <c r="A2576" s="26"/>
      <c r="B2576" s="26"/>
      <c r="C2576" s="26"/>
      <c r="D2576" s="26"/>
      <c r="E2576" s="26"/>
      <c r="F2576" s="28"/>
      <c r="G2576" s="26"/>
      <c r="H2576" s="32"/>
      <c r="I2576" s="32"/>
      <c r="J2576" s="32"/>
      <c r="K2576" s="32"/>
      <c r="L2576" s="32" t="e">
        <f ca="1">_xludf.ifna(VLOOKUP(E2576,Parámetros!$D$2:$E$34,2,0),"")</f>
        <v>#NAME?</v>
      </c>
      <c r="M2576" s="32" t="e">
        <f ca="1">_xludf.ifna(VLOOKUP(G2576,Proyectos!$A$2:$T$674,20,0),"")</f>
        <v>#NAME?</v>
      </c>
      <c r="N2576" s="32" t="e">
        <f ca="1">_xludf.ifna(VLOOKUP(G2576,Proyectos!$A$2:$S$674,19,0))</f>
        <v>#NAME?</v>
      </c>
      <c r="O2576" s="32"/>
      <c r="P2576" s="32"/>
      <c r="Q2576" s="33"/>
      <c r="R2576" s="33"/>
      <c r="S2576" s="33"/>
      <c r="T2576" s="63">
        <f t="shared" si="21"/>
        <v>0</v>
      </c>
      <c r="U2576" s="33"/>
      <c r="V2576" s="33"/>
      <c r="W2576" s="33"/>
    </row>
    <row r="2577" spans="1:23" ht="16.5" customHeight="1" x14ac:dyDescent="0.2">
      <c r="A2577" s="26"/>
      <c r="B2577" s="26"/>
      <c r="C2577" s="26"/>
      <c r="D2577" s="26"/>
      <c r="E2577" s="26"/>
      <c r="F2577" s="28"/>
      <c r="G2577" s="26"/>
      <c r="H2577" s="32"/>
      <c r="I2577" s="32"/>
      <c r="J2577" s="32"/>
      <c r="K2577" s="32"/>
      <c r="L2577" s="32" t="e">
        <f ca="1">_xludf.ifna(VLOOKUP(E2577,Parámetros!$D$2:$E$34,2,0),"")</f>
        <v>#NAME?</v>
      </c>
      <c r="M2577" s="32" t="e">
        <f ca="1">_xludf.ifna(VLOOKUP(G2577,Proyectos!$A$2:$T$674,20,0),"")</f>
        <v>#NAME?</v>
      </c>
      <c r="N2577" s="32" t="e">
        <f ca="1">_xludf.ifna(VLOOKUP(G2577,Proyectos!$A$2:$S$674,19,0))</f>
        <v>#NAME?</v>
      </c>
      <c r="O2577" s="32"/>
      <c r="P2577" s="32"/>
      <c r="Q2577" s="33"/>
      <c r="R2577" s="33"/>
      <c r="S2577" s="33"/>
      <c r="T2577" s="63">
        <f t="shared" si="21"/>
        <v>0</v>
      </c>
      <c r="U2577" s="33"/>
      <c r="V2577" s="33"/>
      <c r="W2577" s="33"/>
    </row>
    <row r="2578" spans="1:23" ht="16.5" customHeight="1" x14ac:dyDescent="0.2">
      <c r="A2578" s="26"/>
      <c r="B2578" s="26"/>
      <c r="C2578" s="26"/>
      <c r="D2578" s="26"/>
      <c r="E2578" s="26"/>
      <c r="F2578" s="28"/>
      <c r="G2578" s="26"/>
      <c r="H2578" s="32"/>
      <c r="I2578" s="32"/>
      <c r="J2578" s="32"/>
      <c r="K2578" s="32"/>
      <c r="L2578" s="32" t="e">
        <f ca="1">_xludf.ifna(VLOOKUP(E2578,Parámetros!$D$2:$E$34,2,0),"")</f>
        <v>#NAME?</v>
      </c>
      <c r="M2578" s="32" t="e">
        <f ca="1">_xludf.ifna(VLOOKUP(G2578,Proyectos!$A$2:$T$674,20,0),"")</f>
        <v>#NAME?</v>
      </c>
      <c r="N2578" s="32" t="e">
        <f ca="1">_xludf.ifna(VLOOKUP(G2578,Proyectos!$A$2:$S$674,19,0))</f>
        <v>#NAME?</v>
      </c>
      <c r="O2578" s="32"/>
      <c r="P2578" s="32"/>
      <c r="Q2578" s="33"/>
      <c r="R2578" s="33"/>
      <c r="S2578" s="33"/>
      <c r="T2578" s="63">
        <f t="shared" si="21"/>
        <v>0</v>
      </c>
      <c r="U2578" s="33"/>
      <c r="V2578" s="33"/>
      <c r="W2578" s="33"/>
    </row>
    <row r="2579" spans="1:23" ht="16.5" customHeight="1" x14ac:dyDescent="0.2">
      <c r="A2579" s="26"/>
      <c r="B2579" s="26"/>
      <c r="C2579" s="26"/>
      <c r="D2579" s="26"/>
      <c r="E2579" s="26"/>
      <c r="F2579" s="28"/>
      <c r="G2579" s="26"/>
      <c r="H2579" s="32"/>
      <c r="I2579" s="32"/>
      <c r="J2579" s="32"/>
      <c r="K2579" s="32"/>
      <c r="L2579" s="32" t="e">
        <f ca="1">_xludf.ifna(VLOOKUP(E2579,Parámetros!$D$2:$E$34,2,0),"")</f>
        <v>#NAME?</v>
      </c>
      <c r="M2579" s="32" t="e">
        <f ca="1">_xludf.ifna(VLOOKUP(G2579,Proyectos!$A$2:$T$674,20,0),"")</f>
        <v>#NAME?</v>
      </c>
      <c r="N2579" s="32" t="e">
        <f ca="1">_xludf.ifna(VLOOKUP(G2579,Proyectos!$A$2:$S$674,19,0))</f>
        <v>#NAME?</v>
      </c>
      <c r="O2579" s="32"/>
      <c r="P2579" s="32"/>
      <c r="Q2579" s="33"/>
      <c r="R2579" s="33"/>
      <c r="S2579" s="33"/>
      <c r="T2579" s="63">
        <f t="shared" si="21"/>
        <v>0</v>
      </c>
      <c r="U2579" s="33"/>
      <c r="V2579" s="33"/>
      <c r="W2579" s="33"/>
    </row>
    <row r="2580" spans="1:23" ht="16.5" customHeight="1" x14ac:dyDescent="0.2">
      <c r="A2580" s="26"/>
      <c r="B2580" s="26"/>
      <c r="C2580" s="26"/>
      <c r="D2580" s="26"/>
      <c r="E2580" s="26"/>
      <c r="F2580" s="28"/>
      <c r="G2580" s="26"/>
      <c r="H2580" s="32"/>
      <c r="I2580" s="32"/>
      <c r="J2580" s="32"/>
      <c r="K2580" s="32"/>
      <c r="L2580" s="32" t="e">
        <f ca="1">_xludf.ifna(VLOOKUP(E2580,Parámetros!$D$2:$E$34,2,0),"")</f>
        <v>#NAME?</v>
      </c>
      <c r="M2580" s="32" t="e">
        <f ca="1">_xludf.ifna(VLOOKUP(G2580,Proyectos!$A$2:$T$674,20,0),"")</f>
        <v>#NAME?</v>
      </c>
      <c r="N2580" s="32" t="e">
        <f ca="1">_xludf.ifna(VLOOKUP(G2580,Proyectos!$A$2:$S$674,19,0))</f>
        <v>#NAME?</v>
      </c>
      <c r="O2580" s="32"/>
      <c r="P2580" s="32"/>
      <c r="Q2580" s="33"/>
      <c r="R2580" s="33"/>
      <c r="S2580" s="33"/>
      <c r="T2580" s="63">
        <f t="shared" si="21"/>
        <v>0</v>
      </c>
      <c r="U2580" s="33"/>
      <c r="V2580" s="33"/>
      <c r="W2580" s="33"/>
    </row>
    <row r="2581" spans="1:23" ht="16.5" customHeight="1" x14ac:dyDescent="0.2">
      <c r="A2581" s="26"/>
      <c r="B2581" s="26"/>
      <c r="C2581" s="26"/>
      <c r="D2581" s="26"/>
      <c r="E2581" s="26"/>
      <c r="F2581" s="28"/>
      <c r="G2581" s="26"/>
      <c r="H2581" s="32"/>
      <c r="I2581" s="32"/>
      <c r="J2581" s="32"/>
      <c r="K2581" s="32"/>
      <c r="L2581" s="32" t="e">
        <f ca="1">_xludf.ifna(VLOOKUP(E2581,Parámetros!$D$2:$E$34,2,0),"")</f>
        <v>#NAME?</v>
      </c>
      <c r="M2581" s="32" t="e">
        <f ca="1">_xludf.ifna(VLOOKUP(G2581,Proyectos!$A$2:$T$674,20,0),"")</f>
        <v>#NAME?</v>
      </c>
      <c r="N2581" s="32" t="e">
        <f ca="1">_xludf.ifna(VLOOKUP(G2581,Proyectos!$A$2:$S$674,19,0))</f>
        <v>#NAME?</v>
      </c>
      <c r="O2581" s="32"/>
      <c r="P2581" s="32"/>
      <c r="Q2581" s="33"/>
      <c r="R2581" s="33"/>
      <c r="S2581" s="33"/>
      <c r="T2581" s="63">
        <f t="shared" si="21"/>
        <v>0</v>
      </c>
      <c r="U2581" s="33"/>
      <c r="V2581" s="33"/>
      <c r="W2581" s="33"/>
    </row>
    <row r="2582" spans="1:23" ht="16.5" customHeight="1" x14ac:dyDescent="0.2">
      <c r="A2582" s="26"/>
      <c r="B2582" s="26"/>
      <c r="C2582" s="26"/>
      <c r="D2582" s="26"/>
      <c r="E2582" s="26"/>
      <c r="F2582" s="28"/>
      <c r="G2582" s="26"/>
      <c r="H2582" s="32"/>
      <c r="I2582" s="32"/>
      <c r="J2582" s="32"/>
      <c r="K2582" s="32"/>
      <c r="L2582" s="32" t="e">
        <f ca="1">_xludf.ifna(VLOOKUP(E2582,Parámetros!$D$2:$E$34,2,0),"")</f>
        <v>#NAME?</v>
      </c>
      <c r="M2582" s="32" t="e">
        <f ca="1">_xludf.ifna(VLOOKUP(G2582,Proyectos!$A$2:$T$674,20,0),"")</f>
        <v>#NAME?</v>
      </c>
      <c r="N2582" s="32" t="e">
        <f ca="1">_xludf.ifna(VLOOKUP(G2582,Proyectos!$A$2:$S$674,19,0))</f>
        <v>#NAME?</v>
      </c>
      <c r="O2582" s="32"/>
      <c r="P2582" s="32"/>
      <c r="Q2582" s="33"/>
      <c r="R2582" s="33"/>
      <c r="S2582" s="33"/>
      <c r="T2582" s="63">
        <f t="shared" si="21"/>
        <v>0</v>
      </c>
      <c r="U2582" s="33"/>
      <c r="V2582" s="33"/>
      <c r="W2582" s="33"/>
    </row>
    <row r="2583" spans="1:23" ht="16.5" customHeight="1" x14ac:dyDescent="0.2">
      <c r="A2583" s="26"/>
      <c r="B2583" s="26"/>
      <c r="C2583" s="26"/>
      <c r="D2583" s="26"/>
      <c r="E2583" s="26"/>
      <c r="F2583" s="28"/>
      <c r="G2583" s="26"/>
      <c r="H2583" s="32"/>
      <c r="I2583" s="32"/>
      <c r="J2583" s="32"/>
      <c r="K2583" s="32"/>
      <c r="L2583" s="32" t="e">
        <f ca="1">_xludf.ifna(VLOOKUP(E2583,Parámetros!$D$2:$E$34,2,0),"")</f>
        <v>#NAME?</v>
      </c>
      <c r="M2583" s="32" t="e">
        <f ca="1">_xludf.ifna(VLOOKUP(G2583,Proyectos!$A$2:$T$674,20,0),"")</f>
        <v>#NAME?</v>
      </c>
      <c r="N2583" s="32" t="e">
        <f ca="1">_xludf.ifna(VLOOKUP(G2583,Proyectos!$A$2:$S$674,19,0))</f>
        <v>#NAME?</v>
      </c>
      <c r="O2583" s="32"/>
      <c r="P2583" s="32"/>
      <c r="Q2583" s="33"/>
      <c r="R2583" s="33"/>
      <c r="S2583" s="33"/>
      <c r="T2583" s="63">
        <f t="shared" si="21"/>
        <v>0</v>
      </c>
      <c r="U2583" s="33"/>
      <c r="V2583" s="33"/>
      <c r="W2583" s="33"/>
    </row>
    <row r="2584" spans="1:23" ht="16.5" customHeight="1" x14ac:dyDescent="0.2">
      <c r="A2584" s="26"/>
      <c r="B2584" s="26"/>
      <c r="C2584" s="26"/>
      <c r="D2584" s="26"/>
      <c r="E2584" s="26"/>
      <c r="F2584" s="28"/>
      <c r="G2584" s="26"/>
      <c r="H2584" s="32"/>
      <c r="I2584" s="32"/>
      <c r="J2584" s="32"/>
      <c r="K2584" s="32"/>
      <c r="L2584" s="32" t="e">
        <f ca="1">_xludf.ifna(VLOOKUP(E2584,Parámetros!$D$2:$E$34,2,0),"")</f>
        <v>#NAME?</v>
      </c>
      <c r="M2584" s="32" t="e">
        <f ca="1">_xludf.ifna(VLOOKUP(G2584,Proyectos!$A$2:$T$674,20,0),"")</f>
        <v>#NAME?</v>
      </c>
      <c r="N2584" s="32" t="e">
        <f ca="1">_xludf.ifna(VLOOKUP(G2584,Proyectos!$A$2:$S$674,19,0))</f>
        <v>#NAME?</v>
      </c>
      <c r="O2584" s="32"/>
      <c r="P2584" s="32"/>
      <c r="Q2584" s="33"/>
      <c r="R2584" s="33"/>
      <c r="S2584" s="33"/>
      <c r="T2584" s="63">
        <f t="shared" si="21"/>
        <v>0</v>
      </c>
      <c r="U2584" s="33"/>
      <c r="V2584" s="33"/>
      <c r="W2584" s="33"/>
    </row>
    <row r="2585" spans="1:23" ht="16.5" customHeight="1" x14ac:dyDescent="0.2">
      <c r="A2585" s="26"/>
      <c r="B2585" s="26"/>
      <c r="C2585" s="26"/>
      <c r="D2585" s="26"/>
      <c r="E2585" s="26"/>
      <c r="F2585" s="28"/>
      <c r="G2585" s="26"/>
      <c r="H2585" s="32"/>
      <c r="I2585" s="32"/>
      <c r="J2585" s="32"/>
      <c r="K2585" s="32"/>
      <c r="L2585" s="32" t="e">
        <f ca="1">_xludf.ifna(VLOOKUP(E2585,Parámetros!$D$2:$E$34,2,0),"")</f>
        <v>#NAME?</v>
      </c>
      <c r="M2585" s="32" t="e">
        <f ca="1">_xludf.ifna(VLOOKUP(G2585,Proyectos!$A$2:$T$674,20,0),"")</f>
        <v>#NAME?</v>
      </c>
      <c r="N2585" s="32" t="e">
        <f ca="1">_xludf.ifna(VLOOKUP(G2585,Proyectos!$A$2:$S$674,19,0))</f>
        <v>#NAME?</v>
      </c>
      <c r="O2585" s="32"/>
      <c r="P2585" s="32"/>
      <c r="Q2585" s="33"/>
      <c r="R2585" s="33"/>
      <c r="S2585" s="33"/>
      <c r="T2585" s="63">
        <f t="shared" si="21"/>
        <v>0</v>
      </c>
      <c r="U2585" s="33"/>
      <c r="V2585" s="33"/>
      <c r="W2585" s="33"/>
    </row>
    <row r="2586" spans="1:23" ht="16.5" customHeight="1" x14ac:dyDescent="0.2">
      <c r="A2586" s="26"/>
      <c r="B2586" s="26"/>
      <c r="C2586" s="26"/>
      <c r="D2586" s="26"/>
      <c r="E2586" s="26"/>
      <c r="F2586" s="28"/>
      <c r="G2586" s="26"/>
      <c r="H2586" s="32"/>
      <c r="I2586" s="32"/>
      <c r="J2586" s="32"/>
      <c r="K2586" s="32"/>
      <c r="L2586" s="32" t="e">
        <f ca="1">_xludf.ifna(VLOOKUP(E2586,Parámetros!$D$2:$E$34,2,0),"")</f>
        <v>#NAME?</v>
      </c>
      <c r="M2586" s="32" t="e">
        <f ca="1">_xludf.ifna(VLOOKUP(G2586,Proyectos!$A$2:$T$674,20,0),"")</f>
        <v>#NAME?</v>
      </c>
      <c r="N2586" s="32" t="e">
        <f ca="1">_xludf.ifna(VLOOKUP(G2586,Proyectos!$A$2:$S$674,19,0))</f>
        <v>#NAME?</v>
      </c>
      <c r="O2586" s="32"/>
      <c r="P2586" s="32"/>
      <c r="Q2586" s="33"/>
      <c r="R2586" s="33"/>
      <c r="S2586" s="33"/>
      <c r="T2586" s="63">
        <f t="shared" si="21"/>
        <v>0</v>
      </c>
      <c r="U2586" s="33"/>
      <c r="V2586" s="33"/>
      <c r="W2586" s="33"/>
    </row>
    <row r="2587" spans="1:23" ht="16.5" customHeight="1" x14ac:dyDescent="0.2">
      <c r="A2587" s="26"/>
      <c r="B2587" s="26"/>
      <c r="C2587" s="26"/>
      <c r="D2587" s="26"/>
      <c r="E2587" s="26"/>
      <c r="F2587" s="28"/>
      <c r="G2587" s="26"/>
      <c r="H2587" s="32"/>
      <c r="I2587" s="32"/>
      <c r="J2587" s="32"/>
      <c r="K2587" s="32"/>
      <c r="L2587" s="32" t="e">
        <f ca="1">_xludf.ifna(VLOOKUP(E2587,Parámetros!$D$2:$E$34,2,0),"")</f>
        <v>#NAME?</v>
      </c>
      <c r="M2587" s="32" t="e">
        <f ca="1">_xludf.ifna(VLOOKUP(G2587,Proyectos!$A$2:$T$674,20,0),"")</f>
        <v>#NAME?</v>
      </c>
      <c r="N2587" s="32" t="e">
        <f ca="1">_xludf.ifna(VLOOKUP(G2587,Proyectos!$A$2:$S$674,19,0))</f>
        <v>#NAME?</v>
      </c>
      <c r="O2587" s="32"/>
      <c r="P2587" s="32"/>
      <c r="Q2587" s="33"/>
      <c r="R2587" s="33"/>
      <c r="S2587" s="33"/>
      <c r="T2587" s="63">
        <f t="shared" si="21"/>
        <v>0</v>
      </c>
      <c r="U2587" s="33"/>
      <c r="V2587" s="33"/>
      <c r="W2587" s="33"/>
    </row>
    <row r="2588" spans="1:23" ht="16.5" customHeight="1" x14ac:dyDescent="0.2">
      <c r="A2588" s="26"/>
      <c r="B2588" s="26"/>
      <c r="C2588" s="26"/>
      <c r="D2588" s="26"/>
      <c r="E2588" s="26"/>
      <c r="F2588" s="28"/>
      <c r="G2588" s="26"/>
      <c r="H2588" s="32"/>
      <c r="I2588" s="32"/>
      <c r="J2588" s="32"/>
      <c r="K2588" s="32"/>
      <c r="L2588" s="32" t="e">
        <f ca="1">_xludf.ifna(VLOOKUP(E2588,Parámetros!$D$2:$E$34,2,0),"")</f>
        <v>#NAME?</v>
      </c>
      <c r="M2588" s="32" t="e">
        <f ca="1">_xludf.ifna(VLOOKUP(G2588,Proyectos!$A$2:$T$674,20,0),"")</f>
        <v>#NAME?</v>
      </c>
      <c r="N2588" s="32" t="e">
        <f ca="1">_xludf.ifna(VLOOKUP(G2588,Proyectos!$A$2:$S$674,19,0))</f>
        <v>#NAME?</v>
      </c>
      <c r="O2588" s="32"/>
      <c r="P2588" s="32"/>
      <c r="Q2588" s="33"/>
      <c r="R2588" s="33"/>
      <c r="S2588" s="33"/>
      <c r="T2588" s="63">
        <f t="shared" si="21"/>
        <v>0</v>
      </c>
      <c r="U2588" s="33"/>
      <c r="V2588" s="33"/>
      <c r="W2588" s="33"/>
    </row>
    <row r="2589" spans="1:23" ht="16.5" customHeight="1" x14ac:dyDescent="0.2">
      <c r="A2589" s="26"/>
      <c r="B2589" s="26"/>
      <c r="C2589" s="26"/>
      <c r="D2589" s="26"/>
      <c r="E2589" s="26"/>
      <c r="F2589" s="28"/>
      <c r="G2589" s="26"/>
      <c r="H2589" s="32"/>
      <c r="I2589" s="32"/>
      <c r="J2589" s="32"/>
      <c r="K2589" s="32"/>
      <c r="L2589" s="32" t="e">
        <f ca="1">_xludf.ifna(VLOOKUP(E2589,Parámetros!$D$2:$E$34,2,0),"")</f>
        <v>#NAME?</v>
      </c>
      <c r="M2589" s="32" t="e">
        <f ca="1">_xludf.ifna(VLOOKUP(G2589,Proyectos!$A$2:$T$674,20,0),"")</f>
        <v>#NAME?</v>
      </c>
      <c r="N2589" s="32" t="e">
        <f ca="1">_xludf.ifna(VLOOKUP(G2589,Proyectos!$A$2:$S$674,19,0))</f>
        <v>#NAME?</v>
      </c>
      <c r="O2589" s="32"/>
      <c r="P2589" s="32"/>
      <c r="Q2589" s="33"/>
      <c r="R2589" s="33"/>
      <c r="S2589" s="33"/>
      <c r="T2589" s="63">
        <f t="shared" si="21"/>
        <v>0</v>
      </c>
      <c r="U2589" s="33"/>
      <c r="V2589" s="33"/>
      <c r="W2589" s="33"/>
    </row>
    <row r="2590" spans="1:23" ht="16.5" customHeight="1" x14ac:dyDescent="0.2">
      <c r="A2590" s="26"/>
      <c r="B2590" s="26"/>
      <c r="C2590" s="26"/>
      <c r="D2590" s="26"/>
      <c r="E2590" s="26"/>
      <c r="F2590" s="28"/>
      <c r="G2590" s="26"/>
      <c r="H2590" s="32"/>
      <c r="I2590" s="32"/>
      <c r="J2590" s="32"/>
      <c r="K2590" s="32"/>
      <c r="L2590" s="32" t="e">
        <f ca="1">_xludf.ifna(VLOOKUP(E2590,Parámetros!$D$2:$E$34,2,0),"")</f>
        <v>#NAME?</v>
      </c>
      <c r="M2590" s="32" t="e">
        <f ca="1">_xludf.ifna(VLOOKUP(G2590,Proyectos!$A$2:$T$674,20,0),"")</f>
        <v>#NAME?</v>
      </c>
      <c r="N2590" s="32" t="e">
        <f ca="1">_xludf.ifna(VLOOKUP(G2590,Proyectos!$A$2:$S$674,19,0))</f>
        <v>#NAME?</v>
      </c>
      <c r="O2590" s="32"/>
      <c r="P2590" s="32"/>
      <c r="Q2590" s="33"/>
      <c r="R2590" s="33"/>
      <c r="S2590" s="33"/>
      <c r="T2590" s="63">
        <f t="shared" si="21"/>
        <v>0</v>
      </c>
      <c r="U2590" s="33"/>
      <c r="V2590" s="33"/>
      <c r="W2590" s="33"/>
    </row>
    <row r="2591" spans="1:23" ht="16.5" customHeight="1" x14ac:dyDescent="0.2">
      <c r="A2591" s="26"/>
      <c r="B2591" s="26"/>
      <c r="C2591" s="26"/>
      <c r="D2591" s="26"/>
      <c r="E2591" s="26"/>
      <c r="F2591" s="28"/>
      <c r="G2591" s="26"/>
      <c r="H2591" s="32"/>
      <c r="I2591" s="32"/>
      <c r="J2591" s="32"/>
      <c r="K2591" s="32"/>
      <c r="L2591" s="32" t="e">
        <f ca="1">_xludf.ifna(VLOOKUP(E2591,Parámetros!$D$2:$E$34,2,0),"")</f>
        <v>#NAME?</v>
      </c>
      <c r="M2591" s="32" t="e">
        <f ca="1">_xludf.ifna(VLOOKUP(G2591,Proyectos!$A$2:$T$674,20,0),"")</f>
        <v>#NAME?</v>
      </c>
      <c r="N2591" s="32" t="e">
        <f ca="1">_xludf.ifna(VLOOKUP(G2591,Proyectos!$A$2:$S$674,19,0))</f>
        <v>#NAME?</v>
      </c>
      <c r="O2591" s="32"/>
      <c r="P2591" s="32"/>
      <c r="Q2591" s="33"/>
      <c r="R2591" s="33"/>
      <c r="S2591" s="33"/>
      <c r="T2591" s="63">
        <f t="shared" si="21"/>
        <v>0</v>
      </c>
      <c r="U2591" s="33"/>
      <c r="V2591" s="33"/>
      <c r="W2591" s="33"/>
    </row>
    <row r="2592" spans="1:23" ht="16.5" customHeight="1" x14ac:dyDescent="0.2">
      <c r="A2592" s="26"/>
      <c r="B2592" s="26"/>
      <c r="C2592" s="26"/>
      <c r="D2592" s="26"/>
      <c r="E2592" s="26"/>
      <c r="F2592" s="28"/>
      <c r="G2592" s="26"/>
      <c r="H2592" s="32"/>
      <c r="I2592" s="32"/>
      <c r="J2592" s="32"/>
      <c r="K2592" s="32"/>
      <c r="L2592" s="32" t="e">
        <f ca="1">_xludf.ifna(VLOOKUP(E2592,Parámetros!$D$2:$E$34,2,0),"")</f>
        <v>#NAME?</v>
      </c>
      <c r="M2592" s="32" t="e">
        <f ca="1">_xludf.ifna(VLOOKUP(G2592,Proyectos!$A$2:$T$674,20,0),"")</f>
        <v>#NAME?</v>
      </c>
      <c r="N2592" s="32" t="e">
        <f ca="1">_xludf.ifna(VLOOKUP(G2592,Proyectos!$A$2:$S$674,19,0))</f>
        <v>#NAME?</v>
      </c>
      <c r="O2592" s="32"/>
      <c r="P2592" s="32"/>
      <c r="Q2592" s="33"/>
      <c r="R2592" s="33"/>
      <c r="S2592" s="33"/>
      <c r="T2592" s="63">
        <f t="shared" si="21"/>
        <v>0</v>
      </c>
      <c r="U2592" s="33"/>
      <c r="V2592" s="33"/>
      <c r="W2592" s="33"/>
    </row>
    <row r="2593" spans="1:23" ht="16.5" customHeight="1" x14ac:dyDescent="0.2">
      <c r="A2593" s="26"/>
      <c r="B2593" s="26"/>
      <c r="C2593" s="26"/>
      <c r="D2593" s="26"/>
      <c r="E2593" s="26"/>
      <c r="F2593" s="28"/>
      <c r="G2593" s="26"/>
      <c r="H2593" s="32"/>
      <c r="I2593" s="32"/>
      <c r="J2593" s="32"/>
      <c r="K2593" s="32"/>
      <c r="L2593" s="32" t="e">
        <f ca="1">_xludf.ifna(VLOOKUP(E2593,Parámetros!$D$2:$E$34,2,0),"")</f>
        <v>#NAME?</v>
      </c>
      <c r="M2593" s="32" t="e">
        <f ca="1">_xludf.ifna(VLOOKUP(G2593,Proyectos!$A$2:$T$674,20,0),"")</f>
        <v>#NAME?</v>
      </c>
      <c r="N2593" s="32" t="e">
        <f ca="1">_xludf.ifna(VLOOKUP(G2593,Proyectos!$A$2:$S$674,19,0))</f>
        <v>#NAME?</v>
      </c>
      <c r="O2593" s="32"/>
      <c r="P2593" s="32"/>
      <c r="Q2593" s="33"/>
      <c r="R2593" s="33"/>
      <c r="S2593" s="33"/>
      <c r="T2593" s="63">
        <f t="shared" si="21"/>
        <v>0</v>
      </c>
      <c r="U2593" s="33"/>
      <c r="V2593" s="33"/>
      <c r="W2593" s="33"/>
    </row>
    <row r="2594" spans="1:23" ht="16.5" customHeight="1" x14ac:dyDescent="0.2">
      <c r="A2594" s="26"/>
      <c r="B2594" s="26"/>
      <c r="C2594" s="26"/>
      <c r="D2594" s="26"/>
      <c r="E2594" s="26"/>
      <c r="F2594" s="28"/>
      <c r="G2594" s="26"/>
      <c r="H2594" s="32"/>
      <c r="I2594" s="32"/>
      <c r="J2594" s="32"/>
      <c r="K2594" s="32"/>
      <c r="L2594" s="32" t="e">
        <f ca="1">_xludf.ifna(VLOOKUP(E2594,Parámetros!$D$2:$E$34,2,0),"")</f>
        <v>#NAME?</v>
      </c>
      <c r="M2594" s="32" t="e">
        <f ca="1">_xludf.ifna(VLOOKUP(G2594,Proyectos!$A$2:$T$674,20,0),"")</f>
        <v>#NAME?</v>
      </c>
      <c r="N2594" s="32" t="e">
        <f ca="1">_xludf.ifna(VLOOKUP(G2594,Proyectos!$A$2:$S$674,19,0))</f>
        <v>#NAME?</v>
      </c>
      <c r="O2594" s="32"/>
      <c r="P2594" s="32"/>
      <c r="Q2594" s="33"/>
      <c r="R2594" s="33"/>
      <c r="S2594" s="33"/>
      <c r="T2594" s="63">
        <f t="shared" si="21"/>
        <v>0</v>
      </c>
      <c r="U2594" s="33"/>
      <c r="V2594" s="33"/>
      <c r="W2594" s="33"/>
    </row>
    <row r="2595" spans="1:23" ht="16.5" customHeight="1" x14ac:dyDescent="0.2">
      <c r="A2595" s="26"/>
      <c r="B2595" s="26"/>
      <c r="C2595" s="26"/>
      <c r="D2595" s="26"/>
      <c r="E2595" s="26"/>
      <c r="F2595" s="28"/>
      <c r="G2595" s="26"/>
      <c r="H2595" s="32"/>
      <c r="I2595" s="32"/>
      <c r="J2595" s="32"/>
      <c r="K2595" s="32"/>
      <c r="L2595" s="32" t="e">
        <f ca="1">_xludf.ifna(VLOOKUP(E2595,Parámetros!$D$2:$E$34,2,0),"")</f>
        <v>#NAME?</v>
      </c>
      <c r="M2595" s="32" t="e">
        <f ca="1">_xludf.ifna(VLOOKUP(G2595,Proyectos!$A$2:$T$674,20,0),"")</f>
        <v>#NAME?</v>
      </c>
      <c r="N2595" s="32" t="e">
        <f ca="1">_xludf.ifna(VLOOKUP(G2595,Proyectos!$A$2:$S$674,19,0))</f>
        <v>#NAME?</v>
      </c>
      <c r="O2595" s="32"/>
      <c r="P2595" s="32"/>
      <c r="Q2595" s="33"/>
      <c r="R2595" s="33"/>
      <c r="S2595" s="33"/>
      <c r="T2595" s="63">
        <f t="shared" si="21"/>
        <v>0</v>
      </c>
      <c r="U2595" s="33"/>
      <c r="V2595" s="33"/>
      <c r="W2595" s="33"/>
    </row>
    <row r="2596" spans="1:23" ht="16.5" customHeight="1" x14ac:dyDescent="0.2">
      <c r="A2596" s="26"/>
      <c r="B2596" s="26"/>
      <c r="C2596" s="26"/>
      <c r="D2596" s="26"/>
      <c r="E2596" s="26"/>
      <c r="F2596" s="28"/>
      <c r="G2596" s="26"/>
      <c r="H2596" s="32"/>
      <c r="I2596" s="32"/>
      <c r="J2596" s="32"/>
      <c r="K2596" s="32"/>
      <c r="L2596" s="32" t="e">
        <f ca="1">_xludf.ifna(VLOOKUP(E2596,Parámetros!$D$2:$E$34,2,0),"")</f>
        <v>#NAME?</v>
      </c>
      <c r="M2596" s="32" t="e">
        <f ca="1">_xludf.ifna(VLOOKUP(G2596,Proyectos!$A$2:$T$674,20,0),"")</f>
        <v>#NAME?</v>
      </c>
      <c r="N2596" s="32" t="e">
        <f ca="1">_xludf.ifna(VLOOKUP(G2596,Proyectos!$A$2:$S$674,19,0))</f>
        <v>#NAME?</v>
      </c>
      <c r="O2596" s="32"/>
      <c r="P2596" s="32"/>
      <c r="Q2596" s="33"/>
      <c r="R2596" s="33"/>
      <c r="S2596" s="33"/>
      <c r="T2596" s="63">
        <f t="shared" si="21"/>
        <v>0</v>
      </c>
      <c r="U2596" s="33"/>
      <c r="V2596" s="33"/>
      <c r="W2596" s="33"/>
    </row>
    <row r="2597" spans="1:23" ht="16.5" customHeight="1" x14ac:dyDescent="0.2">
      <c r="A2597" s="26"/>
      <c r="B2597" s="26"/>
      <c r="C2597" s="26"/>
      <c r="D2597" s="26"/>
      <c r="E2597" s="26"/>
      <c r="F2597" s="28"/>
      <c r="G2597" s="26"/>
      <c r="H2597" s="32"/>
      <c r="I2597" s="32"/>
      <c r="J2597" s="32"/>
      <c r="K2597" s="32"/>
      <c r="L2597" s="32" t="e">
        <f ca="1">_xludf.ifna(VLOOKUP(E2597,Parámetros!$D$2:$E$34,2,0),"")</f>
        <v>#NAME?</v>
      </c>
      <c r="M2597" s="32" t="e">
        <f ca="1">_xludf.ifna(VLOOKUP(G2597,Proyectos!$A$2:$T$674,20,0),"")</f>
        <v>#NAME?</v>
      </c>
      <c r="N2597" s="32" t="e">
        <f ca="1">_xludf.ifna(VLOOKUP(G2597,Proyectos!$A$2:$S$674,19,0))</f>
        <v>#NAME?</v>
      </c>
      <c r="O2597" s="32"/>
      <c r="P2597" s="32"/>
      <c r="Q2597" s="33"/>
      <c r="R2597" s="33"/>
      <c r="S2597" s="33"/>
      <c r="T2597" s="63">
        <f t="shared" si="21"/>
        <v>0</v>
      </c>
      <c r="U2597" s="33"/>
      <c r="V2597" s="33"/>
      <c r="W2597" s="33"/>
    </row>
    <row r="2598" spans="1:23" ht="16.5" customHeight="1" x14ac:dyDescent="0.2">
      <c r="A2598" s="26"/>
      <c r="B2598" s="26"/>
      <c r="C2598" s="26"/>
      <c r="D2598" s="26"/>
      <c r="E2598" s="26"/>
      <c r="F2598" s="28"/>
      <c r="G2598" s="26"/>
      <c r="H2598" s="32"/>
      <c r="I2598" s="32"/>
      <c r="J2598" s="32"/>
      <c r="K2598" s="32"/>
      <c r="L2598" s="32" t="e">
        <f ca="1">_xludf.ifna(VLOOKUP(E2598,Parámetros!$D$2:$E$34,2,0),"")</f>
        <v>#NAME?</v>
      </c>
      <c r="M2598" s="32" t="e">
        <f ca="1">_xludf.ifna(VLOOKUP(G2598,Proyectos!$A$2:$T$674,20,0),"")</f>
        <v>#NAME?</v>
      </c>
      <c r="N2598" s="32" t="e">
        <f ca="1">_xludf.ifna(VLOOKUP(G2598,Proyectos!$A$2:$S$674,19,0))</f>
        <v>#NAME?</v>
      </c>
      <c r="O2598" s="32"/>
      <c r="P2598" s="32"/>
      <c r="Q2598" s="33"/>
      <c r="R2598" s="33"/>
      <c r="S2598" s="33"/>
      <c r="T2598" s="63">
        <f t="shared" si="21"/>
        <v>0</v>
      </c>
      <c r="U2598" s="33"/>
      <c r="V2598" s="33"/>
      <c r="W2598" s="33"/>
    </row>
    <row r="2599" spans="1:23" ht="16.5" customHeight="1" x14ac:dyDescent="0.2">
      <c r="A2599" s="26"/>
      <c r="B2599" s="26"/>
      <c r="C2599" s="26"/>
      <c r="D2599" s="26"/>
      <c r="E2599" s="26"/>
      <c r="F2599" s="28"/>
      <c r="G2599" s="26"/>
      <c r="H2599" s="32"/>
      <c r="I2599" s="32"/>
      <c r="J2599" s="32"/>
      <c r="K2599" s="32"/>
      <c r="L2599" s="32" t="e">
        <f ca="1">_xludf.ifna(VLOOKUP(E2599,Parámetros!$D$2:$E$34,2,0),"")</f>
        <v>#NAME?</v>
      </c>
      <c r="M2599" s="32" t="e">
        <f ca="1">_xludf.ifna(VLOOKUP(G2599,Proyectos!$A$2:$T$674,20,0),"")</f>
        <v>#NAME?</v>
      </c>
      <c r="N2599" s="32" t="e">
        <f ca="1">_xludf.ifna(VLOOKUP(G2599,Proyectos!$A$2:$S$674,19,0))</f>
        <v>#NAME?</v>
      </c>
      <c r="O2599" s="32"/>
      <c r="P2599" s="32"/>
      <c r="Q2599" s="33"/>
      <c r="R2599" s="33"/>
      <c r="S2599" s="33"/>
      <c r="T2599" s="63">
        <f t="shared" si="21"/>
        <v>0</v>
      </c>
      <c r="U2599" s="33"/>
      <c r="V2599" s="33"/>
      <c r="W2599" s="33"/>
    </row>
    <row r="2600" spans="1:23" ht="16.5" customHeight="1" x14ac:dyDescent="0.2">
      <c r="A2600" s="26"/>
      <c r="B2600" s="26"/>
      <c r="C2600" s="26"/>
      <c r="D2600" s="26"/>
      <c r="E2600" s="26"/>
      <c r="F2600" s="28"/>
      <c r="G2600" s="26"/>
      <c r="H2600" s="32"/>
      <c r="I2600" s="32"/>
      <c r="J2600" s="32"/>
      <c r="K2600" s="32"/>
      <c r="L2600" s="32" t="e">
        <f ca="1">_xludf.ifna(VLOOKUP(E2600,Parámetros!$D$2:$E$34,2,0),"")</f>
        <v>#NAME?</v>
      </c>
      <c r="M2600" s="32" t="e">
        <f ca="1">_xludf.ifna(VLOOKUP(G2600,Proyectos!$A$2:$T$674,20,0),"")</f>
        <v>#NAME?</v>
      </c>
      <c r="N2600" s="32" t="e">
        <f ca="1">_xludf.ifna(VLOOKUP(G2600,Proyectos!$A$2:$S$674,19,0))</f>
        <v>#NAME?</v>
      </c>
      <c r="O2600" s="32"/>
      <c r="P2600" s="32"/>
      <c r="Q2600" s="33"/>
      <c r="R2600" s="33"/>
      <c r="S2600" s="33"/>
      <c r="T2600" s="63">
        <f t="shared" si="21"/>
        <v>0</v>
      </c>
      <c r="U2600" s="33"/>
      <c r="V2600" s="33"/>
      <c r="W2600" s="33"/>
    </row>
    <row r="2601" spans="1:23" ht="16.5" customHeight="1" x14ac:dyDescent="0.2">
      <c r="A2601" s="26"/>
      <c r="B2601" s="26"/>
      <c r="C2601" s="26"/>
      <c r="D2601" s="26"/>
      <c r="E2601" s="26"/>
      <c r="F2601" s="28"/>
      <c r="G2601" s="26"/>
      <c r="H2601" s="32"/>
      <c r="I2601" s="32"/>
      <c r="J2601" s="32"/>
      <c r="K2601" s="32"/>
      <c r="L2601" s="32" t="e">
        <f ca="1">_xludf.ifna(VLOOKUP(E2601,Parámetros!$D$2:$E$34,2,0),"")</f>
        <v>#NAME?</v>
      </c>
      <c r="M2601" s="32" t="e">
        <f ca="1">_xludf.ifna(VLOOKUP(G2601,Proyectos!$A$2:$T$674,20,0),"")</f>
        <v>#NAME?</v>
      </c>
      <c r="N2601" s="32" t="e">
        <f ca="1">_xludf.ifna(VLOOKUP(G2601,Proyectos!$A$2:$S$674,19,0))</f>
        <v>#NAME?</v>
      </c>
      <c r="O2601" s="32"/>
      <c r="P2601" s="32"/>
      <c r="Q2601" s="33"/>
      <c r="R2601" s="33"/>
      <c r="S2601" s="33"/>
      <c r="T2601" s="63">
        <f t="shared" si="21"/>
        <v>0</v>
      </c>
      <c r="U2601" s="33"/>
      <c r="V2601" s="33"/>
      <c r="W2601" s="33"/>
    </row>
    <row r="2602" spans="1:23" ht="16.5" customHeight="1" x14ac:dyDescent="0.2">
      <c r="A2602" s="26"/>
      <c r="B2602" s="26"/>
      <c r="C2602" s="26"/>
      <c r="D2602" s="26"/>
      <c r="E2602" s="26"/>
      <c r="F2602" s="28"/>
      <c r="G2602" s="26"/>
      <c r="H2602" s="32"/>
      <c r="I2602" s="32"/>
      <c r="J2602" s="32"/>
      <c r="K2602" s="32"/>
      <c r="L2602" s="32" t="e">
        <f ca="1">_xludf.ifna(VLOOKUP(E2602,Parámetros!$D$2:$E$34,2,0),"")</f>
        <v>#NAME?</v>
      </c>
      <c r="M2602" s="32" t="e">
        <f ca="1">_xludf.ifna(VLOOKUP(G2602,Proyectos!$A$2:$T$674,20,0),"")</f>
        <v>#NAME?</v>
      </c>
      <c r="N2602" s="32" t="e">
        <f ca="1">_xludf.ifna(VLOOKUP(G2602,Proyectos!$A$2:$S$674,19,0))</f>
        <v>#NAME?</v>
      </c>
      <c r="O2602" s="32"/>
      <c r="P2602" s="32"/>
      <c r="Q2602" s="33"/>
      <c r="R2602" s="33"/>
      <c r="S2602" s="33"/>
      <c r="T2602" s="63">
        <f t="shared" si="21"/>
        <v>0</v>
      </c>
      <c r="U2602" s="33"/>
      <c r="V2602" s="33"/>
      <c r="W2602" s="33"/>
    </row>
    <row r="2603" spans="1:23" ht="16.5" customHeight="1" x14ac:dyDescent="0.2">
      <c r="A2603" s="26"/>
      <c r="B2603" s="26"/>
      <c r="C2603" s="26"/>
      <c r="D2603" s="26"/>
      <c r="E2603" s="26"/>
      <c r="F2603" s="28"/>
      <c r="G2603" s="26"/>
      <c r="H2603" s="32"/>
      <c r="I2603" s="32"/>
      <c r="J2603" s="32"/>
      <c r="K2603" s="32"/>
      <c r="L2603" s="32" t="e">
        <f ca="1">_xludf.ifna(VLOOKUP(E2603,Parámetros!$D$2:$E$34,2,0),"")</f>
        <v>#NAME?</v>
      </c>
      <c r="M2603" s="32" t="e">
        <f ca="1">_xludf.ifna(VLOOKUP(G2603,Proyectos!$A$2:$T$674,20,0),"")</f>
        <v>#NAME?</v>
      </c>
      <c r="N2603" s="32" t="e">
        <f ca="1">_xludf.ifna(VLOOKUP(G2603,Proyectos!$A$2:$S$674,19,0))</f>
        <v>#NAME?</v>
      </c>
      <c r="O2603" s="32"/>
      <c r="P2603" s="32"/>
      <c r="Q2603" s="33"/>
      <c r="R2603" s="33"/>
      <c r="S2603" s="33"/>
      <c r="T2603" s="63">
        <f t="shared" si="21"/>
        <v>0</v>
      </c>
      <c r="U2603" s="33"/>
      <c r="V2603" s="33"/>
      <c r="W2603" s="33"/>
    </row>
    <row r="2604" spans="1:23" ht="16.5" customHeight="1" x14ac:dyDescent="0.2">
      <c r="A2604" s="26"/>
      <c r="B2604" s="26"/>
      <c r="C2604" s="26"/>
      <c r="D2604" s="26"/>
      <c r="E2604" s="26"/>
      <c r="F2604" s="28"/>
      <c r="G2604" s="26"/>
      <c r="H2604" s="32"/>
      <c r="I2604" s="32"/>
      <c r="J2604" s="32"/>
      <c r="K2604" s="32"/>
      <c r="L2604" s="32" t="e">
        <f ca="1">_xludf.ifna(VLOOKUP(E2604,Parámetros!$D$2:$E$34,2,0),"")</f>
        <v>#NAME?</v>
      </c>
      <c r="M2604" s="32" t="e">
        <f ca="1">_xludf.ifna(VLOOKUP(G2604,Proyectos!$A$2:$T$674,20,0),"")</f>
        <v>#NAME?</v>
      </c>
      <c r="N2604" s="32" t="e">
        <f ca="1">_xludf.ifna(VLOOKUP(G2604,Proyectos!$A$2:$S$674,19,0))</f>
        <v>#NAME?</v>
      </c>
      <c r="O2604" s="32"/>
      <c r="P2604" s="32"/>
      <c r="Q2604" s="33"/>
      <c r="R2604" s="33"/>
      <c r="S2604" s="33"/>
      <c r="T2604" s="63">
        <f t="shared" si="21"/>
        <v>0</v>
      </c>
      <c r="U2604" s="33"/>
      <c r="V2604" s="33"/>
      <c r="W2604" s="33"/>
    </row>
    <row r="2605" spans="1:23" ht="16.5" customHeight="1" x14ac:dyDescent="0.2">
      <c r="A2605" s="26"/>
      <c r="B2605" s="26"/>
      <c r="C2605" s="26"/>
      <c r="D2605" s="26"/>
      <c r="E2605" s="26"/>
      <c r="F2605" s="28"/>
      <c r="G2605" s="26"/>
      <c r="H2605" s="32"/>
      <c r="I2605" s="32"/>
      <c r="J2605" s="32"/>
      <c r="K2605" s="32"/>
      <c r="L2605" s="32" t="e">
        <f ca="1">_xludf.ifna(VLOOKUP(E2605,Parámetros!$D$2:$E$34,2,0),"")</f>
        <v>#NAME?</v>
      </c>
      <c r="M2605" s="32" t="e">
        <f ca="1">_xludf.ifna(VLOOKUP(G2605,Proyectos!$A$2:$T$674,20,0),"")</f>
        <v>#NAME?</v>
      </c>
      <c r="N2605" s="32" t="e">
        <f ca="1">_xludf.ifna(VLOOKUP(G2605,Proyectos!$A$2:$S$674,19,0))</f>
        <v>#NAME?</v>
      </c>
      <c r="O2605" s="32"/>
      <c r="P2605" s="32"/>
      <c r="Q2605" s="33"/>
      <c r="R2605" s="33"/>
      <c r="S2605" s="33"/>
      <c r="T2605" s="63">
        <f t="shared" si="21"/>
        <v>0</v>
      </c>
      <c r="U2605" s="33"/>
      <c r="V2605" s="33"/>
      <c r="W2605" s="33"/>
    </row>
    <row r="2606" spans="1:23" ht="16.5" customHeight="1" x14ac:dyDescent="0.2">
      <c r="A2606" s="26"/>
      <c r="B2606" s="26"/>
      <c r="C2606" s="26"/>
      <c r="D2606" s="26"/>
      <c r="E2606" s="26"/>
      <c r="F2606" s="28"/>
      <c r="G2606" s="26"/>
      <c r="H2606" s="32"/>
      <c r="I2606" s="32"/>
      <c r="J2606" s="32"/>
      <c r="K2606" s="32"/>
      <c r="L2606" s="32" t="e">
        <f ca="1">_xludf.ifna(VLOOKUP(E2606,Parámetros!$D$2:$E$34,2,0),"")</f>
        <v>#NAME?</v>
      </c>
      <c r="M2606" s="32" t="e">
        <f ca="1">_xludf.ifna(VLOOKUP(G2606,Proyectos!$A$2:$T$674,20,0),"")</f>
        <v>#NAME?</v>
      </c>
      <c r="N2606" s="32" t="e">
        <f ca="1">_xludf.ifna(VLOOKUP(G2606,Proyectos!$A$2:$S$674,19,0))</f>
        <v>#NAME?</v>
      </c>
      <c r="O2606" s="32"/>
      <c r="P2606" s="32"/>
      <c r="Q2606" s="33"/>
      <c r="R2606" s="33"/>
      <c r="S2606" s="33"/>
      <c r="T2606" s="63">
        <f t="shared" si="21"/>
        <v>0</v>
      </c>
      <c r="U2606" s="33"/>
      <c r="V2606" s="33"/>
      <c r="W2606" s="33"/>
    </row>
    <row r="2607" spans="1:23" ht="16.5" customHeight="1" x14ac:dyDescent="0.2">
      <c r="A2607" s="26"/>
      <c r="B2607" s="26"/>
      <c r="C2607" s="26"/>
      <c r="D2607" s="26"/>
      <c r="E2607" s="26"/>
      <c r="F2607" s="28"/>
      <c r="G2607" s="26"/>
      <c r="H2607" s="32"/>
      <c r="I2607" s="32"/>
      <c r="J2607" s="32"/>
      <c r="K2607" s="32"/>
      <c r="L2607" s="32" t="e">
        <f ca="1">_xludf.ifna(VLOOKUP(E2607,Parámetros!$D$2:$E$34,2,0),"")</f>
        <v>#NAME?</v>
      </c>
      <c r="M2607" s="32" t="e">
        <f ca="1">_xludf.ifna(VLOOKUP(G2607,Proyectos!$A$2:$T$674,20,0),"")</f>
        <v>#NAME?</v>
      </c>
      <c r="N2607" s="32" t="e">
        <f ca="1">_xludf.ifna(VLOOKUP(G2607,Proyectos!$A$2:$S$674,19,0))</f>
        <v>#NAME?</v>
      </c>
      <c r="O2607" s="32"/>
      <c r="P2607" s="32"/>
      <c r="Q2607" s="33"/>
      <c r="R2607" s="33"/>
      <c r="S2607" s="33"/>
      <c r="T2607" s="63">
        <f t="shared" si="21"/>
        <v>0</v>
      </c>
      <c r="U2607" s="33"/>
      <c r="V2607" s="33"/>
      <c r="W2607" s="33"/>
    </row>
    <row r="2608" spans="1:23" ht="16.5" customHeight="1" x14ac:dyDescent="0.2">
      <c r="A2608" s="26"/>
      <c r="B2608" s="26"/>
      <c r="C2608" s="26"/>
      <c r="D2608" s="26"/>
      <c r="E2608" s="26"/>
      <c r="F2608" s="28"/>
      <c r="G2608" s="26"/>
      <c r="H2608" s="32"/>
      <c r="I2608" s="32"/>
      <c r="J2608" s="32"/>
      <c r="K2608" s="32"/>
      <c r="L2608" s="32" t="e">
        <f ca="1">_xludf.ifna(VLOOKUP(E2608,Parámetros!$D$2:$E$34,2,0),"")</f>
        <v>#NAME?</v>
      </c>
      <c r="M2608" s="32" t="e">
        <f ca="1">_xludf.ifna(VLOOKUP(G2608,Proyectos!$A$2:$T$674,20,0),"")</f>
        <v>#NAME?</v>
      </c>
      <c r="N2608" s="32" t="e">
        <f ca="1">_xludf.ifna(VLOOKUP(G2608,Proyectos!$A$2:$S$674,19,0))</f>
        <v>#NAME?</v>
      </c>
      <c r="O2608" s="32"/>
      <c r="P2608" s="32"/>
      <c r="Q2608" s="33"/>
      <c r="R2608" s="33"/>
      <c r="S2608" s="33"/>
      <c r="T2608" s="63">
        <f t="shared" si="21"/>
        <v>0</v>
      </c>
      <c r="U2608" s="33"/>
      <c r="V2608" s="33"/>
      <c r="W2608" s="33"/>
    </row>
    <row r="2609" spans="1:23" ht="16.5" customHeight="1" x14ac:dyDescent="0.2">
      <c r="A2609" s="26"/>
      <c r="B2609" s="26"/>
      <c r="C2609" s="26"/>
      <c r="D2609" s="26"/>
      <c r="E2609" s="26"/>
      <c r="F2609" s="28"/>
      <c r="G2609" s="26"/>
      <c r="H2609" s="32"/>
      <c r="I2609" s="32"/>
      <c r="J2609" s="32"/>
      <c r="K2609" s="32"/>
      <c r="L2609" s="32" t="e">
        <f ca="1">_xludf.ifna(VLOOKUP(E2609,Parámetros!$D$2:$E$34,2,0),"")</f>
        <v>#NAME?</v>
      </c>
      <c r="M2609" s="32" t="e">
        <f ca="1">_xludf.ifna(VLOOKUP(G2609,Proyectos!$A$2:$T$674,20,0),"")</f>
        <v>#NAME?</v>
      </c>
      <c r="N2609" s="32" t="e">
        <f ca="1">_xludf.ifna(VLOOKUP(G2609,Proyectos!$A$2:$S$674,19,0))</f>
        <v>#NAME?</v>
      </c>
      <c r="O2609" s="32"/>
      <c r="P2609" s="32"/>
      <c r="Q2609" s="33"/>
      <c r="R2609" s="33"/>
      <c r="S2609" s="33"/>
      <c r="T2609" s="63">
        <f t="shared" si="21"/>
        <v>0</v>
      </c>
      <c r="U2609" s="33"/>
      <c r="V2609" s="33"/>
      <c r="W2609" s="33"/>
    </row>
    <row r="2610" spans="1:23" ht="16.5" customHeight="1" x14ac:dyDescent="0.2">
      <c r="A2610" s="26"/>
      <c r="B2610" s="26"/>
      <c r="C2610" s="26"/>
      <c r="D2610" s="26"/>
      <c r="E2610" s="26"/>
      <c r="F2610" s="28"/>
      <c r="G2610" s="26"/>
      <c r="H2610" s="32"/>
      <c r="I2610" s="32"/>
      <c r="J2610" s="32"/>
      <c r="K2610" s="32"/>
      <c r="L2610" s="32" t="e">
        <f ca="1">_xludf.ifna(VLOOKUP(E2610,Parámetros!$D$2:$E$34,2,0),"")</f>
        <v>#NAME?</v>
      </c>
      <c r="M2610" s="32" t="e">
        <f ca="1">_xludf.ifna(VLOOKUP(G2610,Proyectos!$A$2:$T$674,20,0),"")</f>
        <v>#NAME?</v>
      </c>
      <c r="N2610" s="32" t="e">
        <f ca="1">_xludf.ifna(VLOOKUP(G2610,Proyectos!$A$2:$S$674,19,0))</f>
        <v>#NAME?</v>
      </c>
      <c r="O2610" s="32"/>
      <c r="P2610" s="32"/>
      <c r="Q2610" s="33"/>
      <c r="R2610" s="33"/>
      <c r="S2610" s="33"/>
      <c r="T2610" s="63">
        <f t="shared" si="21"/>
        <v>0</v>
      </c>
      <c r="U2610" s="33"/>
      <c r="V2610" s="33"/>
      <c r="W2610" s="33"/>
    </row>
    <row r="2611" spans="1:23" ht="16.5" customHeight="1" x14ac:dyDescent="0.2">
      <c r="A2611" s="26"/>
      <c r="B2611" s="26"/>
      <c r="C2611" s="26"/>
      <c r="D2611" s="26"/>
      <c r="E2611" s="26"/>
      <c r="F2611" s="28"/>
      <c r="G2611" s="26"/>
      <c r="H2611" s="32"/>
      <c r="I2611" s="32"/>
      <c r="J2611" s="32"/>
      <c r="K2611" s="32"/>
      <c r="L2611" s="32" t="e">
        <f ca="1">_xludf.ifna(VLOOKUP(E2611,Parámetros!$D$2:$E$34,2,0),"")</f>
        <v>#NAME?</v>
      </c>
      <c r="M2611" s="32" t="e">
        <f ca="1">_xludf.ifna(VLOOKUP(G2611,Proyectos!$A$2:$T$674,20,0),"")</f>
        <v>#NAME?</v>
      </c>
      <c r="N2611" s="32" t="e">
        <f ca="1">_xludf.ifna(VLOOKUP(G2611,Proyectos!$A$2:$S$674,19,0))</f>
        <v>#NAME?</v>
      </c>
      <c r="O2611" s="32"/>
      <c r="P2611" s="32"/>
      <c r="Q2611" s="33"/>
      <c r="R2611" s="33"/>
      <c r="S2611" s="33"/>
      <c r="T2611" s="63">
        <f t="shared" si="21"/>
        <v>0</v>
      </c>
      <c r="U2611" s="33"/>
      <c r="V2611" s="33"/>
      <c r="W2611" s="33"/>
    </row>
    <row r="2612" spans="1:23" ht="16.5" customHeight="1" x14ac:dyDescent="0.2">
      <c r="A2612" s="26"/>
      <c r="B2612" s="26"/>
      <c r="C2612" s="26"/>
      <c r="D2612" s="26"/>
      <c r="E2612" s="26"/>
      <c r="F2612" s="28"/>
      <c r="G2612" s="26"/>
      <c r="H2612" s="32"/>
      <c r="I2612" s="32"/>
      <c r="J2612" s="32"/>
      <c r="K2612" s="32"/>
      <c r="L2612" s="32" t="e">
        <f ca="1">_xludf.ifna(VLOOKUP(E2612,Parámetros!$D$2:$E$34,2,0),"")</f>
        <v>#NAME?</v>
      </c>
      <c r="M2612" s="32" t="e">
        <f ca="1">_xludf.ifna(VLOOKUP(G2612,Proyectos!$A$2:$T$674,20,0),"")</f>
        <v>#NAME?</v>
      </c>
      <c r="N2612" s="32" t="e">
        <f ca="1">_xludf.ifna(VLOOKUP(G2612,Proyectos!$A$2:$S$674,19,0))</f>
        <v>#NAME?</v>
      </c>
      <c r="O2612" s="32"/>
      <c r="P2612" s="32"/>
      <c r="Q2612" s="33"/>
      <c r="R2612" s="33"/>
      <c r="S2612" s="33"/>
      <c r="T2612" s="63">
        <f t="shared" si="21"/>
        <v>0</v>
      </c>
      <c r="U2612" s="33"/>
      <c r="V2612" s="33"/>
      <c r="W2612" s="33"/>
    </row>
    <row r="2613" spans="1:23" ht="16.5" customHeight="1" x14ac:dyDescent="0.2">
      <c r="A2613" s="26"/>
      <c r="B2613" s="26"/>
      <c r="C2613" s="26"/>
      <c r="D2613" s="26"/>
      <c r="E2613" s="26"/>
      <c r="F2613" s="28"/>
      <c r="G2613" s="26"/>
      <c r="H2613" s="32"/>
      <c r="I2613" s="32"/>
      <c r="J2613" s="32"/>
      <c r="K2613" s="32"/>
      <c r="L2613" s="32" t="e">
        <f ca="1">_xludf.ifna(VLOOKUP(E2613,Parámetros!$D$2:$E$34,2,0),"")</f>
        <v>#NAME?</v>
      </c>
      <c r="M2613" s="32" t="e">
        <f ca="1">_xludf.ifna(VLOOKUP(G2613,Proyectos!$A$2:$T$674,20,0),"")</f>
        <v>#NAME?</v>
      </c>
      <c r="N2613" s="32" t="e">
        <f ca="1">_xludf.ifna(VLOOKUP(G2613,Proyectos!$A$2:$S$674,19,0))</f>
        <v>#NAME?</v>
      </c>
      <c r="O2613" s="32"/>
      <c r="P2613" s="32"/>
      <c r="Q2613" s="33"/>
      <c r="R2613" s="33"/>
      <c r="S2613" s="33"/>
      <c r="T2613" s="63">
        <f t="shared" si="21"/>
        <v>0</v>
      </c>
      <c r="U2613" s="33"/>
      <c r="V2613" s="33"/>
      <c r="W2613" s="33"/>
    </row>
    <row r="2614" spans="1:23" ht="16.5" customHeight="1" x14ac:dyDescent="0.2">
      <c r="A2614" s="26"/>
      <c r="B2614" s="26"/>
      <c r="C2614" s="26"/>
      <c r="D2614" s="26"/>
      <c r="E2614" s="26"/>
      <c r="F2614" s="28"/>
      <c r="G2614" s="26"/>
      <c r="H2614" s="32"/>
      <c r="I2614" s="32"/>
      <c r="J2614" s="32"/>
      <c r="K2614" s="32"/>
      <c r="L2614" s="32" t="e">
        <f ca="1">_xludf.ifna(VLOOKUP(E2614,Parámetros!$D$2:$E$34,2,0),"")</f>
        <v>#NAME?</v>
      </c>
      <c r="M2614" s="32" t="e">
        <f ca="1">_xludf.ifna(VLOOKUP(G2614,Proyectos!$A$2:$T$674,20,0),"")</f>
        <v>#NAME?</v>
      </c>
      <c r="N2614" s="32" t="e">
        <f ca="1">_xludf.ifna(VLOOKUP(G2614,Proyectos!$A$2:$S$674,19,0))</f>
        <v>#NAME?</v>
      </c>
      <c r="O2614" s="32"/>
      <c r="P2614" s="32"/>
      <c r="Q2614" s="33"/>
      <c r="R2614" s="33"/>
      <c r="S2614" s="33"/>
      <c r="T2614" s="63">
        <f t="shared" si="21"/>
        <v>0</v>
      </c>
      <c r="U2614" s="33"/>
      <c r="V2614" s="33"/>
      <c r="W2614" s="33"/>
    </row>
    <row r="2615" spans="1:23" ht="16.5" customHeight="1" x14ac:dyDescent="0.2">
      <c r="A2615" s="26"/>
      <c r="B2615" s="26"/>
      <c r="C2615" s="26"/>
      <c r="D2615" s="26"/>
      <c r="E2615" s="26"/>
      <c r="F2615" s="28"/>
      <c r="G2615" s="26"/>
      <c r="H2615" s="32"/>
      <c r="I2615" s="32"/>
      <c r="J2615" s="32"/>
      <c r="K2615" s="32"/>
      <c r="L2615" s="32" t="e">
        <f ca="1">_xludf.ifna(VLOOKUP(E2615,Parámetros!$D$2:$E$34,2,0),"")</f>
        <v>#NAME?</v>
      </c>
      <c r="M2615" s="32" t="e">
        <f ca="1">_xludf.ifna(VLOOKUP(G2615,Proyectos!$A$2:$T$674,20,0),"")</f>
        <v>#NAME?</v>
      </c>
      <c r="N2615" s="32" t="e">
        <f ca="1">_xludf.ifna(VLOOKUP(G2615,Proyectos!$A$2:$S$674,19,0))</f>
        <v>#NAME?</v>
      </c>
      <c r="O2615" s="32"/>
      <c r="P2615" s="32"/>
      <c r="Q2615" s="33"/>
      <c r="R2615" s="33"/>
      <c r="S2615" s="33"/>
      <c r="T2615" s="63">
        <f t="shared" si="21"/>
        <v>0</v>
      </c>
      <c r="U2615" s="33"/>
      <c r="V2615" s="33"/>
      <c r="W2615" s="33"/>
    </row>
    <row r="2616" spans="1:23" ht="16.5" customHeight="1" x14ac:dyDescent="0.2">
      <c r="A2616" s="26"/>
      <c r="B2616" s="26"/>
      <c r="C2616" s="26"/>
      <c r="D2616" s="26"/>
      <c r="E2616" s="26"/>
      <c r="F2616" s="28"/>
      <c r="G2616" s="26"/>
      <c r="H2616" s="32"/>
      <c r="I2616" s="32"/>
      <c r="J2616" s="32"/>
      <c r="K2616" s="32"/>
      <c r="L2616" s="32" t="e">
        <f ca="1">_xludf.ifna(VLOOKUP(E2616,Parámetros!$D$2:$E$34,2,0),"")</f>
        <v>#NAME?</v>
      </c>
      <c r="M2616" s="32" t="e">
        <f ca="1">_xludf.ifna(VLOOKUP(G2616,Proyectos!$A$2:$T$674,20,0),"")</f>
        <v>#NAME?</v>
      </c>
      <c r="N2616" s="32" t="e">
        <f ca="1">_xludf.ifna(VLOOKUP(G2616,Proyectos!$A$2:$S$674,19,0))</f>
        <v>#NAME?</v>
      </c>
      <c r="O2616" s="32"/>
      <c r="P2616" s="32"/>
      <c r="Q2616" s="33"/>
      <c r="R2616" s="33"/>
      <c r="S2616" s="33"/>
      <c r="T2616" s="63">
        <f t="shared" si="21"/>
        <v>0</v>
      </c>
      <c r="U2616" s="33"/>
      <c r="V2616" s="33"/>
      <c r="W2616" s="33"/>
    </row>
    <row r="2617" spans="1:23" ht="16.5" customHeight="1" x14ac:dyDescent="0.2">
      <c r="A2617" s="26"/>
      <c r="B2617" s="26"/>
      <c r="C2617" s="26"/>
      <c r="D2617" s="26"/>
      <c r="E2617" s="26"/>
      <c r="F2617" s="28"/>
      <c r="G2617" s="26"/>
      <c r="H2617" s="32"/>
      <c r="I2617" s="32"/>
      <c r="J2617" s="32"/>
      <c r="K2617" s="32"/>
      <c r="L2617" s="32" t="e">
        <f ca="1">_xludf.ifna(VLOOKUP(E2617,Parámetros!$D$2:$E$34,2,0),"")</f>
        <v>#NAME?</v>
      </c>
      <c r="M2617" s="32" t="e">
        <f ca="1">_xludf.ifna(VLOOKUP(G2617,Proyectos!$A$2:$T$674,20,0),"")</f>
        <v>#NAME?</v>
      </c>
      <c r="N2617" s="32" t="e">
        <f ca="1">_xludf.ifna(VLOOKUP(G2617,Proyectos!$A$2:$S$674,19,0))</f>
        <v>#NAME?</v>
      </c>
      <c r="O2617" s="32"/>
      <c r="P2617" s="32"/>
      <c r="Q2617" s="33"/>
      <c r="R2617" s="33"/>
      <c r="S2617" s="33"/>
      <c r="T2617" s="63">
        <f t="shared" si="21"/>
        <v>0</v>
      </c>
      <c r="U2617" s="33"/>
      <c r="V2617" s="33"/>
      <c r="W2617" s="33"/>
    </row>
    <row r="2618" spans="1:23" ht="16.5" customHeight="1" x14ac:dyDescent="0.2">
      <c r="A2618" s="26"/>
      <c r="B2618" s="26"/>
      <c r="C2618" s="26"/>
      <c r="D2618" s="26"/>
      <c r="E2618" s="26"/>
      <c r="F2618" s="28"/>
      <c r="G2618" s="26"/>
      <c r="H2618" s="32"/>
      <c r="I2618" s="32"/>
      <c r="J2618" s="32"/>
      <c r="K2618" s="32"/>
      <c r="L2618" s="32" t="e">
        <f ca="1">_xludf.ifna(VLOOKUP(E2618,Parámetros!$D$2:$E$34,2,0),"")</f>
        <v>#NAME?</v>
      </c>
      <c r="M2618" s="32" t="e">
        <f ca="1">_xludf.ifna(VLOOKUP(G2618,Proyectos!$A$2:$T$674,20,0),"")</f>
        <v>#NAME?</v>
      </c>
      <c r="N2618" s="32" t="e">
        <f ca="1">_xludf.ifna(VLOOKUP(G2618,Proyectos!$A$2:$S$674,19,0))</f>
        <v>#NAME?</v>
      </c>
      <c r="O2618" s="32"/>
      <c r="P2618" s="32"/>
      <c r="Q2618" s="33"/>
      <c r="R2618" s="33"/>
      <c r="S2618" s="33"/>
      <c r="T2618" s="63">
        <f t="shared" si="21"/>
        <v>0</v>
      </c>
      <c r="U2618" s="33"/>
      <c r="V2618" s="33"/>
      <c r="W2618" s="33"/>
    </row>
    <row r="2619" spans="1:23" ht="16.5" customHeight="1" x14ac:dyDescent="0.2">
      <c r="A2619" s="26"/>
      <c r="B2619" s="26"/>
      <c r="C2619" s="26"/>
      <c r="D2619" s="26"/>
      <c r="E2619" s="26"/>
      <c r="F2619" s="28"/>
      <c r="G2619" s="26"/>
      <c r="H2619" s="32"/>
      <c r="I2619" s="32"/>
      <c r="J2619" s="32"/>
      <c r="K2619" s="32"/>
      <c r="L2619" s="32" t="e">
        <f ca="1">_xludf.ifna(VLOOKUP(E2619,Parámetros!$D$2:$E$34,2,0),"")</f>
        <v>#NAME?</v>
      </c>
      <c r="M2619" s="32" t="e">
        <f ca="1">_xludf.ifna(VLOOKUP(G2619,Proyectos!$A$2:$T$674,20,0),"")</f>
        <v>#NAME?</v>
      </c>
      <c r="N2619" s="32" t="e">
        <f ca="1">_xludf.ifna(VLOOKUP(G2619,Proyectos!$A$2:$S$674,19,0))</f>
        <v>#NAME?</v>
      </c>
      <c r="O2619" s="32"/>
      <c r="P2619" s="32"/>
      <c r="Q2619" s="33"/>
      <c r="R2619" s="33"/>
      <c r="S2619" s="33"/>
      <c r="T2619" s="63">
        <f t="shared" si="21"/>
        <v>0</v>
      </c>
      <c r="U2619" s="33"/>
      <c r="V2619" s="33"/>
      <c r="W2619" s="33"/>
    </row>
    <row r="2620" spans="1:23" ht="16.5" customHeight="1" x14ac:dyDescent="0.2">
      <c r="A2620" s="26"/>
      <c r="B2620" s="26"/>
      <c r="C2620" s="26"/>
      <c r="D2620" s="26"/>
      <c r="E2620" s="26"/>
      <c r="F2620" s="28"/>
      <c r="G2620" s="26"/>
      <c r="H2620" s="32"/>
      <c r="I2620" s="32"/>
      <c r="J2620" s="32"/>
      <c r="K2620" s="32"/>
      <c r="L2620" s="32" t="e">
        <f ca="1">_xludf.ifna(VLOOKUP(E2620,Parámetros!$D$2:$E$34,2,0),"")</f>
        <v>#NAME?</v>
      </c>
      <c r="M2620" s="32" t="e">
        <f ca="1">_xludf.ifna(VLOOKUP(G2620,Proyectos!$A$2:$T$674,20,0),"")</f>
        <v>#NAME?</v>
      </c>
      <c r="N2620" s="32" t="e">
        <f ca="1">_xludf.ifna(VLOOKUP(G2620,Proyectos!$A$2:$S$674,19,0))</f>
        <v>#NAME?</v>
      </c>
      <c r="O2620" s="32"/>
      <c r="P2620" s="32"/>
      <c r="Q2620" s="33"/>
      <c r="R2620" s="33"/>
      <c r="S2620" s="33"/>
      <c r="T2620" s="63">
        <f t="shared" si="21"/>
        <v>0</v>
      </c>
      <c r="U2620" s="33"/>
      <c r="V2620" s="33"/>
      <c r="W2620" s="33"/>
    </row>
    <row r="2621" spans="1:23" ht="16.5" customHeight="1" x14ac:dyDescent="0.2">
      <c r="A2621" s="26"/>
      <c r="B2621" s="26"/>
      <c r="C2621" s="26"/>
      <c r="D2621" s="26"/>
      <c r="E2621" s="26"/>
      <c r="F2621" s="28"/>
      <c r="G2621" s="26"/>
      <c r="H2621" s="32"/>
      <c r="I2621" s="32"/>
      <c r="J2621" s="32"/>
      <c r="K2621" s="32"/>
      <c r="L2621" s="32" t="e">
        <f ca="1">_xludf.ifna(VLOOKUP(E2621,Parámetros!$D$2:$E$34,2,0),"")</f>
        <v>#NAME?</v>
      </c>
      <c r="M2621" s="32" t="e">
        <f ca="1">_xludf.ifna(VLOOKUP(G2621,Proyectos!$A$2:$T$674,20,0),"")</f>
        <v>#NAME?</v>
      </c>
      <c r="N2621" s="32" t="e">
        <f ca="1">_xludf.ifna(VLOOKUP(G2621,Proyectos!$A$2:$S$674,19,0))</f>
        <v>#NAME?</v>
      </c>
      <c r="O2621" s="32"/>
      <c r="P2621" s="32"/>
      <c r="Q2621" s="33"/>
      <c r="R2621" s="33"/>
      <c r="S2621" s="33"/>
      <c r="T2621" s="63">
        <f t="shared" si="21"/>
        <v>0</v>
      </c>
      <c r="U2621" s="33"/>
      <c r="V2621" s="33"/>
      <c r="W2621" s="33"/>
    </row>
    <row r="2622" spans="1:23" ht="16.5" customHeight="1" x14ac:dyDescent="0.2">
      <c r="A2622" s="26"/>
      <c r="B2622" s="26"/>
      <c r="C2622" s="26"/>
      <c r="D2622" s="26"/>
      <c r="E2622" s="26"/>
      <c r="F2622" s="28"/>
      <c r="G2622" s="26"/>
      <c r="H2622" s="32"/>
      <c r="I2622" s="32"/>
      <c r="J2622" s="32"/>
      <c r="K2622" s="32"/>
      <c r="L2622" s="32" t="e">
        <f ca="1">_xludf.ifna(VLOOKUP(E2622,Parámetros!$D$2:$E$34,2,0),"")</f>
        <v>#NAME?</v>
      </c>
      <c r="M2622" s="32" t="e">
        <f ca="1">_xludf.ifna(VLOOKUP(G2622,Proyectos!$A$2:$T$674,20,0),"")</f>
        <v>#NAME?</v>
      </c>
      <c r="N2622" s="32" t="e">
        <f ca="1">_xludf.ifna(VLOOKUP(G2622,Proyectos!$A$2:$S$674,19,0))</f>
        <v>#NAME?</v>
      </c>
      <c r="O2622" s="32"/>
      <c r="P2622" s="32"/>
      <c r="Q2622" s="33"/>
      <c r="R2622" s="33"/>
      <c r="S2622" s="33"/>
      <c r="T2622" s="63">
        <f t="shared" si="21"/>
        <v>0</v>
      </c>
      <c r="U2622" s="33"/>
      <c r="V2622" s="33"/>
      <c r="W2622" s="33"/>
    </row>
    <row r="2623" spans="1:23" ht="16.5" customHeight="1" x14ac:dyDescent="0.2">
      <c r="A2623" s="26"/>
      <c r="B2623" s="26"/>
      <c r="C2623" s="26"/>
      <c r="D2623" s="26"/>
      <c r="E2623" s="26"/>
      <c r="F2623" s="28"/>
      <c r="G2623" s="26"/>
      <c r="H2623" s="32"/>
      <c r="I2623" s="32"/>
      <c r="J2623" s="32"/>
      <c r="K2623" s="32"/>
      <c r="L2623" s="32" t="e">
        <f ca="1">_xludf.ifna(VLOOKUP(E2623,Parámetros!$D$2:$E$34,2,0),"")</f>
        <v>#NAME?</v>
      </c>
      <c r="M2623" s="32" t="e">
        <f ca="1">_xludf.ifna(VLOOKUP(G2623,Proyectos!$A$2:$T$674,20,0),"")</f>
        <v>#NAME?</v>
      </c>
      <c r="N2623" s="32" t="e">
        <f ca="1">_xludf.ifna(VLOOKUP(G2623,Proyectos!$A$2:$S$674,19,0))</f>
        <v>#NAME?</v>
      </c>
      <c r="O2623" s="32"/>
      <c r="P2623" s="32"/>
      <c r="Q2623" s="33"/>
      <c r="R2623" s="33"/>
      <c r="S2623" s="33"/>
      <c r="T2623" s="63">
        <f t="shared" si="21"/>
        <v>0</v>
      </c>
      <c r="U2623" s="33"/>
      <c r="V2623" s="33"/>
      <c r="W2623" s="33"/>
    </row>
    <row r="2624" spans="1:23" ht="16.5" customHeight="1" x14ac:dyDescent="0.2">
      <c r="A2624" s="26"/>
      <c r="B2624" s="26"/>
      <c r="C2624" s="26"/>
      <c r="D2624" s="26"/>
      <c r="E2624" s="26"/>
      <c r="F2624" s="28"/>
      <c r="G2624" s="26"/>
      <c r="H2624" s="32"/>
      <c r="I2624" s="32"/>
      <c r="J2624" s="32"/>
      <c r="K2624" s="32"/>
      <c r="L2624" s="32" t="e">
        <f ca="1">_xludf.ifna(VLOOKUP(E2624,Parámetros!$D$2:$E$34,2,0),"")</f>
        <v>#NAME?</v>
      </c>
      <c r="M2624" s="32" t="e">
        <f ca="1">_xludf.ifna(VLOOKUP(G2624,Proyectos!$A$2:$T$674,20,0),"")</f>
        <v>#NAME?</v>
      </c>
      <c r="N2624" s="32" t="e">
        <f ca="1">_xludf.ifna(VLOOKUP(G2624,Proyectos!$A$2:$S$674,19,0))</f>
        <v>#NAME?</v>
      </c>
      <c r="O2624" s="32"/>
      <c r="P2624" s="32"/>
      <c r="Q2624" s="33"/>
      <c r="R2624" s="33"/>
      <c r="S2624" s="33"/>
      <c r="T2624" s="63">
        <f t="shared" si="21"/>
        <v>0</v>
      </c>
      <c r="U2624" s="33"/>
      <c r="V2624" s="33"/>
      <c r="W2624" s="33"/>
    </row>
    <row r="2625" spans="1:23" ht="16.5" customHeight="1" x14ac:dyDescent="0.2">
      <c r="A2625" s="26"/>
      <c r="B2625" s="26"/>
      <c r="C2625" s="26"/>
      <c r="D2625" s="26"/>
      <c r="E2625" s="26"/>
      <c r="F2625" s="28"/>
      <c r="G2625" s="26"/>
      <c r="H2625" s="32"/>
      <c r="I2625" s="32"/>
      <c r="J2625" s="32"/>
      <c r="K2625" s="32"/>
      <c r="L2625" s="32" t="e">
        <f ca="1">_xludf.ifna(VLOOKUP(E2625,Parámetros!$D$2:$E$34,2,0),"")</f>
        <v>#NAME?</v>
      </c>
      <c r="M2625" s="32" t="e">
        <f ca="1">_xludf.ifna(VLOOKUP(G2625,Proyectos!$A$2:$T$674,20,0),"")</f>
        <v>#NAME?</v>
      </c>
      <c r="N2625" s="32" t="e">
        <f ca="1">_xludf.ifna(VLOOKUP(G2625,Proyectos!$A$2:$S$674,19,0))</f>
        <v>#NAME?</v>
      </c>
      <c r="O2625" s="32"/>
      <c r="P2625" s="32"/>
      <c r="Q2625" s="33"/>
      <c r="R2625" s="33"/>
      <c r="S2625" s="33"/>
      <c r="T2625" s="63">
        <f t="shared" si="21"/>
        <v>0</v>
      </c>
      <c r="U2625" s="33"/>
      <c r="V2625" s="33"/>
      <c r="W2625" s="33"/>
    </row>
    <row r="2626" spans="1:23" ht="16.5" customHeight="1" x14ac:dyDescent="0.2">
      <c r="A2626" s="26"/>
      <c r="B2626" s="26"/>
      <c r="C2626" s="26"/>
      <c r="D2626" s="26"/>
      <c r="E2626" s="26"/>
      <c r="F2626" s="28"/>
      <c r="G2626" s="26"/>
      <c r="H2626" s="32"/>
      <c r="I2626" s="32"/>
      <c r="J2626" s="32"/>
      <c r="K2626" s="32"/>
      <c r="L2626" s="32" t="e">
        <f ca="1">_xludf.ifna(VLOOKUP(E2626,Parámetros!$D$2:$E$34,2,0),"")</f>
        <v>#NAME?</v>
      </c>
      <c r="M2626" s="32" t="e">
        <f ca="1">_xludf.ifna(VLOOKUP(G2626,Proyectos!$A$2:$T$674,20,0),"")</f>
        <v>#NAME?</v>
      </c>
      <c r="N2626" s="32" t="e">
        <f ca="1">_xludf.ifna(VLOOKUP(G2626,Proyectos!$A$2:$S$674,19,0))</f>
        <v>#NAME?</v>
      </c>
      <c r="O2626" s="32"/>
      <c r="P2626" s="32"/>
      <c r="Q2626" s="33"/>
      <c r="R2626" s="33"/>
      <c r="S2626" s="33"/>
      <c r="T2626" s="63">
        <f t="shared" si="21"/>
        <v>0</v>
      </c>
      <c r="U2626" s="33"/>
      <c r="V2626" s="33"/>
      <c r="W2626" s="33"/>
    </row>
    <row r="2627" spans="1:23" ht="16.5" customHeight="1" x14ac:dyDescent="0.2">
      <c r="A2627" s="26"/>
      <c r="B2627" s="26"/>
      <c r="C2627" s="26"/>
      <c r="D2627" s="26"/>
      <c r="E2627" s="26"/>
      <c r="F2627" s="28"/>
      <c r="G2627" s="26"/>
      <c r="H2627" s="32"/>
      <c r="I2627" s="32"/>
      <c r="J2627" s="32"/>
      <c r="K2627" s="32"/>
      <c r="L2627" s="32" t="e">
        <f ca="1">_xludf.ifna(VLOOKUP(E2627,Parámetros!$D$2:$E$34,2,0),"")</f>
        <v>#NAME?</v>
      </c>
      <c r="M2627" s="32" t="e">
        <f ca="1">_xludf.ifna(VLOOKUP(G2627,Proyectos!$A$2:$T$674,20,0),"")</f>
        <v>#NAME?</v>
      </c>
      <c r="N2627" s="32" t="e">
        <f ca="1">_xludf.ifna(VLOOKUP(G2627,Proyectos!$A$2:$S$674,19,0))</f>
        <v>#NAME?</v>
      </c>
      <c r="O2627" s="32"/>
      <c r="P2627" s="32"/>
      <c r="Q2627" s="33"/>
      <c r="R2627" s="33"/>
      <c r="S2627" s="33"/>
      <c r="T2627" s="63">
        <f t="shared" si="21"/>
        <v>0</v>
      </c>
      <c r="U2627" s="33"/>
      <c r="V2627" s="33"/>
      <c r="W2627" s="33"/>
    </row>
    <row r="2628" spans="1:23" ht="16.5" customHeight="1" x14ac:dyDescent="0.2">
      <c r="A2628" s="26"/>
      <c r="B2628" s="26"/>
      <c r="C2628" s="26"/>
      <c r="D2628" s="26"/>
      <c r="E2628" s="26"/>
      <c r="F2628" s="28"/>
      <c r="G2628" s="26"/>
      <c r="H2628" s="32"/>
      <c r="I2628" s="32"/>
      <c r="J2628" s="32"/>
      <c r="K2628" s="32"/>
      <c r="L2628" s="32" t="e">
        <f ca="1">_xludf.ifna(VLOOKUP(E2628,Parámetros!$D$2:$E$34,2,0),"")</f>
        <v>#NAME?</v>
      </c>
      <c r="M2628" s="32" t="e">
        <f ca="1">_xludf.ifna(VLOOKUP(G2628,Proyectos!$A$2:$T$674,20,0),"")</f>
        <v>#NAME?</v>
      </c>
      <c r="N2628" s="32" t="e">
        <f ca="1">_xludf.ifna(VLOOKUP(G2628,Proyectos!$A$2:$S$674,19,0))</f>
        <v>#NAME?</v>
      </c>
      <c r="O2628" s="32"/>
      <c r="P2628" s="32"/>
      <c r="Q2628" s="33"/>
      <c r="R2628" s="33"/>
      <c r="S2628" s="33"/>
      <c r="T2628" s="63">
        <f t="shared" si="21"/>
        <v>0</v>
      </c>
      <c r="U2628" s="33"/>
      <c r="V2628" s="33"/>
      <c r="W2628" s="33"/>
    </row>
    <row r="2629" spans="1:23" ht="16.5" customHeight="1" x14ac:dyDescent="0.2">
      <c r="A2629" s="26"/>
      <c r="B2629" s="26"/>
      <c r="C2629" s="26"/>
      <c r="D2629" s="26"/>
      <c r="E2629" s="26"/>
      <c r="F2629" s="28"/>
      <c r="G2629" s="26"/>
      <c r="H2629" s="32"/>
      <c r="I2629" s="32"/>
      <c r="J2629" s="32"/>
      <c r="K2629" s="32"/>
      <c r="L2629" s="32" t="e">
        <f ca="1">_xludf.ifna(VLOOKUP(E2629,Parámetros!$D$2:$E$34,2,0),"")</f>
        <v>#NAME?</v>
      </c>
      <c r="M2629" s="32" t="e">
        <f ca="1">_xludf.ifna(VLOOKUP(G2629,Proyectos!$A$2:$T$674,20,0),"")</f>
        <v>#NAME?</v>
      </c>
      <c r="N2629" s="32" t="e">
        <f ca="1">_xludf.ifna(VLOOKUP(G2629,Proyectos!$A$2:$S$674,19,0))</f>
        <v>#NAME?</v>
      </c>
      <c r="O2629" s="32"/>
      <c r="P2629" s="32"/>
      <c r="Q2629" s="33"/>
      <c r="R2629" s="33"/>
      <c r="S2629" s="33"/>
      <c r="T2629" s="63">
        <f t="shared" si="21"/>
        <v>0</v>
      </c>
      <c r="U2629" s="33"/>
      <c r="V2629" s="33"/>
      <c r="W2629" s="33"/>
    </row>
    <row r="2630" spans="1:23" ht="16.5" customHeight="1" x14ac:dyDescent="0.2">
      <c r="A2630" s="26"/>
      <c r="B2630" s="26"/>
      <c r="C2630" s="26"/>
      <c r="D2630" s="26"/>
      <c r="E2630" s="26"/>
      <c r="F2630" s="28"/>
      <c r="G2630" s="26"/>
      <c r="H2630" s="32"/>
      <c r="I2630" s="32"/>
      <c r="J2630" s="32"/>
      <c r="K2630" s="32"/>
      <c r="L2630" s="32" t="e">
        <f ca="1">_xludf.ifna(VLOOKUP(E2630,Parámetros!$D$2:$E$34,2,0),"")</f>
        <v>#NAME?</v>
      </c>
      <c r="M2630" s="32" t="e">
        <f ca="1">_xludf.ifna(VLOOKUP(G2630,Proyectos!$A$2:$T$674,20,0),"")</f>
        <v>#NAME?</v>
      </c>
      <c r="N2630" s="32" t="e">
        <f ca="1">_xludf.ifna(VLOOKUP(G2630,Proyectos!$A$2:$S$674,19,0))</f>
        <v>#NAME?</v>
      </c>
      <c r="O2630" s="32"/>
      <c r="P2630" s="32"/>
      <c r="Q2630" s="33"/>
      <c r="R2630" s="33"/>
      <c r="S2630" s="33"/>
      <c r="T2630" s="63">
        <f t="shared" si="21"/>
        <v>0</v>
      </c>
      <c r="U2630" s="33"/>
      <c r="V2630" s="33"/>
      <c r="W2630" s="33"/>
    </row>
    <row r="2631" spans="1:23" ht="16.5" customHeight="1" x14ac:dyDescent="0.2">
      <c r="A2631" s="26"/>
      <c r="B2631" s="26"/>
      <c r="C2631" s="26"/>
      <c r="D2631" s="26"/>
      <c r="E2631" s="26"/>
      <c r="F2631" s="28"/>
      <c r="G2631" s="26"/>
      <c r="H2631" s="32"/>
      <c r="I2631" s="32"/>
      <c r="J2631" s="32"/>
      <c r="K2631" s="32"/>
      <c r="L2631" s="32" t="e">
        <f ca="1">_xludf.ifna(VLOOKUP(E2631,Parámetros!$D$2:$E$34,2,0),"")</f>
        <v>#NAME?</v>
      </c>
      <c r="M2631" s="32" t="e">
        <f ca="1">_xludf.ifna(VLOOKUP(G2631,Proyectos!$A$2:$T$674,20,0),"")</f>
        <v>#NAME?</v>
      </c>
      <c r="N2631" s="32" t="e">
        <f ca="1">_xludf.ifna(VLOOKUP(G2631,Proyectos!$A$2:$S$674,19,0))</f>
        <v>#NAME?</v>
      </c>
      <c r="O2631" s="32"/>
      <c r="P2631" s="32"/>
      <c r="Q2631" s="33"/>
      <c r="R2631" s="33"/>
      <c r="S2631" s="33"/>
      <c r="T2631" s="63">
        <f t="shared" si="21"/>
        <v>0</v>
      </c>
      <c r="U2631" s="33"/>
      <c r="V2631" s="33"/>
      <c r="W2631" s="33"/>
    </row>
    <row r="2632" spans="1:23" ht="16.5" customHeight="1" x14ac:dyDescent="0.2">
      <c r="A2632" s="26"/>
      <c r="B2632" s="26"/>
      <c r="C2632" s="26"/>
      <c r="D2632" s="26"/>
      <c r="E2632" s="26"/>
      <c r="F2632" s="28"/>
      <c r="G2632" s="26"/>
      <c r="H2632" s="32"/>
      <c r="I2632" s="32"/>
      <c r="J2632" s="32"/>
      <c r="K2632" s="32"/>
      <c r="L2632" s="32" t="e">
        <f ca="1">_xludf.ifna(VLOOKUP(E2632,Parámetros!$D$2:$E$34,2,0),"")</f>
        <v>#NAME?</v>
      </c>
      <c r="M2632" s="32" t="e">
        <f ca="1">_xludf.ifna(VLOOKUP(G2632,Proyectos!$A$2:$T$674,20,0),"")</f>
        <v>#NAME?</v>
      </c>
      <c r="N2632" s="32" t="e">
        <f ca="1">_xludf.ifna(VLOOKUP(G2632,Proyectos!$A$2:$S$674,19,0))</f>
        <v>#NAME?</v>
      </c>
      <c r="O2632" s="32"/>
      <c r="P2632" s="32"/>
      <c r="Q2632" s="33"/>
      <c r="R2632" s="33"/>
      <c r="S2632" s="33"/>
      <c r="T2632" s="63">
        <f t="shared" si="21"/>
        <v>0</v>
      </c>
      <c r="U2632" s="33"/>
      <c r="V2632" s="33"/>
      <c r="W2632" s="33"/>
    </row>
    <row r="2633" spans="1:23" ht="16.5" customHeight="1" x14ac:dyDescent="0.2">
      <c r="A2633" s="26"/>
      <c r="B2633" s="26"/>
      <c r="C2633" s="26"/>
      <c r="D2633" s="26"/>
      <c r="E2633" s="26"/>
      <c r="F2633" s="28"/>
      <c r="G2633" s="26"/>
      <c r="H2633" s="32"/>
      <c r="I2633" s="32"/>
      <c r="J2633" s="32"/>
      <c r="K2633" s="32"/>
      <c r="L2633" s="32" t="e">
        <f ca="1">_xludf.ifna(VLOOKUP(E2633,Parámetros!$D$2:$E$34,2,0),"")</f>
        <v>#NAME?</v>
      </c>
      <c r="M2633" s="32" t="e">
        <f ca="1">_xludf.ifna(VLOOKUP(G2633,Proyectos!$A$2:$T$674,20,0),"")</f>
        <v>#NAME?</v>
      </c>
      <c r="N2633" s="32" t="e">
        <f ca="1">_xludf.ifna(VLOOKUP(G2633,Proyectos!$A$2:$S$674,19,0))</f>
        <v>#NAME?</v>
      </c>
      <c r="O2633" s="32"/>
      <c r="P2633" s="32"/>
      <c r="Q2633" s="33"/>
      <c r="R2633" s="33"/>
      <c r="S2633" s="33"/>
      <c r="T2633" s="63">
        <f t="shared" si="21"/>
        <v>0</v>
      </c>
      <c r="U2633" s="33"/>
      <c r="V2633" s="33"/>
      <c r="W2633" s="33"/>
    </row>
    <row r="2634" spans="1:23" ht="16.5" customHeight="1" x14ac:dyDescent="0.2">
      <c r="A2634" s="26"/>
      <c r="B2634" s="26"/>
      <c r="C2634" s="26"/>
      <c r="D2634" s="26"/>
      <c r="E2634" s="26"/>
      <c r="F2634" s="28"/>
      <c r="G2634" s="26"/>
      <c r="H2634" s="32"/>
      <c r="I2634" s="32"/>
      <c r="J2634" s="32"/>
      <c r="K2634" s="32"/>
      <c r="L2634" s="32" t="e">
        <f ca="1">_xludf.ifna(VLOOKUP(E2634,Parámetros!$D$2:$E$34,2,0),"")</f>
        <v>#NAME?</v>
      </c>
      <c r="M2634" s="32" t="e">
        <f ca="1">_xludf.ifna(VLOOKUP(G2634,Proyectos!$A$2:$T$674,20,0),"")</f>
        <v>#NAME?</v>
      </c>
      <c r="N2634" s="32" t="e">
        <f ca="1">_xludf.ifna(VLOOKUP(G2634,Proyectos!$A$2:$S$674,19,0))</f>
        <v>#NAME?</v>
      </c>
      <c r="O2634" s="32"/>
      <c r="P2634" s="32"/>
      <c r="Q2634" s="33"/>
      <c r="R2634" s="33"/>
      <c r="S2634" s="33"/>
      <c r="T2634" s="63">
        <f t="shared" si="21"/>
        <v>0</v>
      </c>
      <c r="U2634" s="33"/>
      <c r="V2634" s="33"/>
      <c r="W2634" s="33"/>
    </row>
    <row r="2635" spans="1:23" ht="16.5" customHeight="1" x14ac:dyDescent="0.2">
      <c r="A2635" s="26"/>
      <c r="B2635" s="26"/>
      <c r="C2635" s="26"/>
      <c r="D2635" s="26"/>
      <c r="E2635" s="26"/>
      <c r="F2635" s="28"/>
      <c r="G2635" s="26"/>
      <c r="H2635" s="32"/>
      <c r="I2635" s="32"/>
      <c r="J2635" s="32"/>
      <c r="K2635" s="32"/>
      <c r="L2635" s="32" t="e">
        <f ca="1">_xludf.ifna(VLOOKUP(E2635,Parámetros!$D$2:$E$34,2,0),"")</f>
        <v>#NAME?</v>
      </c>
      <c r="M2635" s="32" t="e">
        <f ca="1">_xludf.ifna(VLOOKUP(G2635,Proyectos!$A$2:$T$674,20,0),"")</f>
        <v>#NAME?</v>
      </c>
      <c r="N2635" s="32" t="e">
        <f ca="1">_xludf.ifna(VLOOKUP(G2635,Proyectos!$A$2:$S$674,19,0))</f>
        <v>#NAME?</v>
      </c>
      <c r="O2635" s="32"/>
      <c r="P2635" s="32"/>
      <c r="Q2635" s="33"/>
      <c r="R2635" s="33"/>
      <c r="S2635" s="33"/>
      <c r="T2635" s="63">
        <f t="shared" si="21"/>
        <v>0</v>
      </c>
      <c r="U2635" s="33"/>
      <c r="V2635" s="33"/>
      <c r="W2635" s="33"/>
    </row>
    <row r="2636" spans="1:23" ht="16.5" customHeight="1" x14ac:dyDescent="0.2">
      <c r="A2636" s="26"/>
      <c r="B2636" s="26"/>
      <c r="C2636" s="26"/>
      <c r="D2636" s="26"/>
      <c r="E2636" s="26"/>
      <c r="F2636" s="28"/>
      <c r="G2636" s="26"/>
      <c r="H2636" s="32"/>
      <c r="I2636" s="32"/>
      <c r="J2636" s="32"/>
      <c r="K2636" s="32"/>
      <c r="L2636" s="32" t="e">
        <f ca="1">_xludf.ifna(VLOOKUP(E2636,Parámetros!$D$2:$E$34,2,0),"")</f>
        <v>#NAME?</v>
      </c>
      <c r="M2636" s="32" t="e">
        <f ca="1">_xludf.ifna(VLOOKUP(G2636,Proyectos!$A$2:$T$674,20,0),"")</f>
        <v>#NAME?</v>
      </c>
      <c r="N2636" s="32" t="e">
        <f ca="1">_xludf.ifna(VLOOKUP(G2636,Proyectos!$A$2:$S$674,19,0))</f>
        <v>#NAME?</v>
      </c>
      <c r="O2636" s="32"/>
      <c r="P2636" s="32"/>
      <c r="Q2636" s="33"/>
      <c r="R2636" s="33"/>
      <c r="S2636" s="33"/>
      <c r="T2636" s="63">
        <f t="shared" si="21"/>
        <v>0</v>
      </c>
      <c r="U2636" s="33"/>
      <c r="V2636" s="33"/>
      <c r="W2636" s="33"/>
    </row>
    <row r="2637" spans="1:23" ht="16.5" customHeight="1" x14ac:dyDescent="0.2">
      <c r="A2637" s="26"/>
      <c r="B2637" s="26"/>
      <c r="C2637" s="26"/>
      <c r="D2637" s="26"/>
      <c r="E2637" s="26"/>
      <c r="F2637" s="28"/>
      <c r="G2637" s="26"/>
      <c r="H2637" s="32"/>
      <c r="I2637" s="32"/>
      <c r="J2637" s="32"/>
      <c r="K2637" s="32"/>
      <c r="L2637" s="32" t="e">
        <f ca="1">_xludf.ifna(VLOOKUP(E2637,Parámetros!$D$2:$E$34,2,0),"")</f>
        <v>#NAME?</v>
      </c>
      <c r="M2637" s="32" t="e">
        <f ca="1">_xludf.ifna(VLOOKUP(G2637,Proyectos!$A$2:$T$674,20,0),"")</f>
        <v>#NAME?</v>
      </c>
      <c r="N2637" s="32" t="e">
        <f ca="1">_xludf.ifna(VLOOKUP(G2637,Proyectos!$A$2:$S$674,19,0))</f>
        <v>#NAME?</v>
      </c>
      <c r="O2637" s="32"/>
      <c r="P2637" s="32"/>
      <c r="Q2637" s="33"/>
      <c r="R2637" s="33"/>
      <c r="S2637" s="33"/>
      <c r="T2637" s="63">
        <f t="shared" si="21"/>
        <v>0</v>
      </c>
      <c r="U2637" s="33"/>
      <c r="V2637" s="33"/>
      <c r="W2637" s="33"/>
    </row>
    <row r="2638" spans="1:23" ht="16.5" customHeight="1" x14ac:dyDescent="0.2">
      <c r="A2638" s="26"/>
      <c r="B2638" s="26"/>
      <c r="C2638" s="26"/>
      <c r="D2638" s="26"/>
      <c r="E2638" s="26"/>
      <c r="F2638" s="28"/>
      <c r="G2638" s="26"/>
      <c r="H2638" s="32"/>
      <c r="I2638" s="32"/>
      <c r="J2638" s="32"/>
      <c r="K2638" s="32"/>
      <c r="L2638" s="32" t="e">
        <f ca="1">_xludf.ifna(VLOOKUP(E2638,Parámetros!$D$2:$E$34,2,0),"")</f>
        <v>#NAME?</v>
      </c>
      <c r="M2638" s="32" t="e">
        <f ca="1">_xludf.ifna(VLOOKUP(G2638,Proyectos!$A$2:$T$674,20,0),"")</f>
        <v>#NAME?</v>
      </c>
      <c r="N2638" s="32" t="e">
        <f ca="1">_xludf.ifna(VLOOKUP(G2638,Proyectos!$A$2:$S$674,19,0))</f>
        <v>#NAME?</v>
      </c>
      <c r="O2638" s="32"/>
      <c r="P2638" s="32"/>
      <c r="Q2638" s="33"/>
      <c r="R2638" s="33"/>
      <c r="S2638" s="33"/>
      <c r="T2638" s="63">
        <f t="shared" si="21"/>
        <v>0</v>
      </c>
      <c r="U2638" s="33"/>
      <c r="V2638" s="33"/>
      <c r="W2638" s="33"/>
    </row>
    <row r="2639" spans="1:23" ht="16.5" customHeight="1" x14ac:dyDescent="0.2">
      <c r="A2639" s="26"/>
      <c r="B2639" s="26"/>
      <c r="C2639" s="26"/>
      <c r="D2639" s="26"/>
      <c r="E2639" s="26"/>
      <c r="F2639" s="28"/>
      <c r="G2639" s="26"/>
      <c r="H2639" s="32"/>
      <c r="I2639" s="32"/>
      <c r="J2639" s="32"/>
      <c r="K2639" s="32"/>
      <c r="L2639" s="32" t="e">
        <f ca="1">_xludf.ifna(VLOOKUP(E2639,Parámetros!$D$2:$E$34,2,0),"")</f>
        <v>#NAME?</v>
      </c>
      <c r="M2639" s="32" t="e">
        <f ca="1">_xludf.ifna(VLOOKUP(G2639,Proyectos!$A$2:$T$674,20,0),"")</f>
        <v>#NAME?</v>
      </c>
      <c r="N2639" s="32" t="e">
        <f ca="1">_xludf.ifna(VLOOKUP(G2639,Proyectos!$A$2:$S$674,19,0))</f>
        <v>#NAME?</v>
      </c>
      <c r="O2639" s="32"/>
      <c r="P2639" s="32"/>
      <c r="Q2639" s="33"/>
      <c r="R2639" s="33"/>
      <c r="S2639" s="33"/>
      <c r="T2639" s="63">
        <f t="shared" si="21"/>
        <v>0</v>
      </c>
      <c r="U2639" s="33"/>
      <c r="V2639" s="33"/>
      <c r="W2639" s="33"/>
    </row>
    <row r="2640" spans="1:23" ht="16.5" customHeight="1" x14ac:dyDescent="0.2">
      <c r="A2640" s="26"/>
      <c r="B2640" s="26"/>
      <c r="C2640" s="26"/>
      <c r="D2640" s="26"/>
      <c r="E2640" s="26"/>
      <c r="F2640" s="28"/>
      <c r="G2640" s="26"/>
      <c r="H2640" s="32"/>
      <c r="I2640" s="32"/>
      <c r="J2640" s="32"/>
      <c r="K2640" s="32"/>
      <c r="L2640" s="32" t="e">
        <f ca="1">_xludf.ifna(VLOOKUP(E2640,Parámetros!$D$2:$E$34,2,0),"")</f>
        <v>#NAME?</v>
      </c>
      <c r="M2640" s="32" t="e">
        <f ca="1">_xludf.ifna(VLOOKUP(G2640,Proyectos!$A$2:$T$674,20,0),"")</f>
        <v>#NAME?</v>
      </c>
      <c r="N2640" s="32" t="e">
        <f ca="1">_xludf.ifna(VLOOKUP(G2640,Proyectos!$A$2:$S$674,19,0))</f>
        <v>#NAME?</v>
      </c>
      <c r="O2640" s="32"/>
      <c r="P2640" s="32"/>
      <c r="Q2640" s="33"/>
      <c r="R2640" s="33"/>
      <c r="S2640" s="33"/>
      <c r="T2640" s="63">
        <f t="shared" si="21"/>
        <v>0</v>
      </c>
      <c r="U2640" s="33"/>
      <c r="V2640" s="33"/>
      <c r="W2640" s="33"/>
    </row>
    <row r="2641" spans="1:23" ht="16.5" customHeight="1" x14ac:dyDescent="0.2">
      <c r="A2641" s="26"/>
      <c r="B2641" s="26"/>
      <c r="C2641" s="26"/>
      <c r="D2641" s="26"/>
      <c r="E2641" s="26"/>
      <c r="F2641" s="28"/>
      <c r="G2641" s="26"/>
      <c r="H2641" s="32"/>
      <c r="I2641" s="32"/>
      <c r="J2641" s="32"/>
      <c r="K2641" s="32"/>
      <c r="L2641" s="32" t="e">
        <f ca="1">_xludf.ifna(VLOOKUP(E2641,Parámetros!$D$2:$E$34,2,0),"")</f>
        <v>#NAME?</v>
      </c>
      <c r="M2641" s="32" t="e">
        <f ca="1">_xludf.ifna(VLOOKUP(G2641,Proyectos!$A$2:$T$674,20,0),"")</f>
        <v>#NAME?</v>
      </c>
      <c r="N2641" s="32" t="e">
        <f ca="1">_xludf.ifna(VLOOKUP(G2641,Proyectos!$A$2:$S$674,19,0))</f>
        <v>#NAME?</v>
      </c>
      <c r="O2641" s="32"/>
      <c r="P2641" s="32"/>
      <c r="Q2641" s="33"/>
      <c r="R2641" s="33"/>
      <c r="S2641" s="33"/>
      <c r="T2641" s="63">
        <f t="shared" si="21"/>
        <v>0</v>
      </c>
      <c r="U2641" s="33"/>
      <c r="V2641" s="33"/>
      <c r="W2641" s="33"/>
    </row>
    <row r="2642" spans="1:23" ht="16.5" customHeight="1" x14ac:dyDescent="0.2">
      <c r="A2642" s="26"/>
      <c r="B2642" s="26"/>
      <c r="C2642" s="26"/>
      <c r="D2642" s="26"/>
      <c r="E2642" s="26"/>
      <c r="F2642" s="28"/>
      <c r="G2642" s="26"/>
      <c r="H2642" s="32"/>
      <c r="I2642" s="32"/>
      <c r="J2642" s="32"/>
      <c r="K2642" s="32"/>
      <c r="L2642" s="32" t="e">
        <f ca="1">_xludf.ifna(VLOOKUP(E2642,Parámetros!$D$2:$E$34,2,0),"")</f>
        <v>#NAME?</v>
      </c>
      <c r="M2642" s="32" t="e">
        <f ca="1">_xludf.ifna(VLOOKUP(G2642,Proyectos!$A$2:$T$674,20,0),"")</f>
        <v>#NAME?</v>
      </c>
      <c r="N2642" s="32" t="e">
        <f ca="1">_xludf.ifna(VLOOKUP(G2642,Proyectos!$A$2:$S$674,19,0))</f>
        <v>#NAME?</v>
      </c>
      <c r="O2642" s="32"/>
      <c r="P2642" s="32"/>
      <c r="Q2642" s="33"/>
      <c r="R2642" s="33"/>
      <c r="S2642" s="33"/>
      <c r="T2642" s="63">
        <f t="shared" si="21"/>
        <v>0</v>
      </c>
      <c r="U2642" s="33"/>
      <c r="V2642" s="33"/>
      <c r="W2642" s="33"/>
    </row>
    <row r="2643" spans="1:23" ht="16.5" customHeight="1" x14ac:dyDescent="0.2">
      <c r="A2643" s="26"/>
      <c r="B2643" s="26"/>
      <c r="C2643" s="26"/>
      <c r="D2643" s="26"/>
      <c r="E2643" s="26"/>
      <c r="F2643" s="28"/>
      <c r="G2643" s="26"/>
      <c r="H2643" s="32"/>
      <c r="I2643" s="32"/>
      <c r="J2643" s="32"/>
      <c r="K2643" s="32"/>
      <c r="L2643" s="32" t="e">
        <f ca="1">_xludf.ifna(VLOOKUP(E2643,Parámetros!$D$2:$E$34,2,0),"")</f>
        <v>#NAME?</v>
      </c>
      <c r="M2643" s="32" t="e">
        <f ca="1">_xludf.ifna(VLOOKUP(G2643,Proyectos!$A$2:$T$674,20,0),"")</f>
        <v>#NAME?</v>
      </c>
      <c r="N2643" s="32" t="e">
        <f ca="1">_xludf.ifna(VLOOKUP(G2643,Proyectos!$A$2:$S$674,19,0))</f>
        <v>#NAME?</v>
      </c>
      <c r="O2643" s="32"/>
      <c r="P2643" s="32"/>
      <c r="Q2643" s="33"/>
      <c r="R2643" s="33"/>
      <c r="S2643" s="33"/>
      <c r="T2643" s="63">
        <f t="shared" si="21"/>
        <v>0</v>
      </c>
      <c r="U2643" s="33"/>
      <c r="V2643" s="33"/>
      <c r="W2643" s="33"/>
    </row>
    <row r="2644" spans="1:23" ht="16.5" customHeight="1" x14ac:dyDescent="0.2">
      <c r="A2644" s="26"/>
      <c r="B2644" s="26"/>
      <c r="C2644" s="26"/>
      <c r="D2644" s="26"/>
      <c r="E2644" s="26"/>
      <c r="F2644" s="28"/>
      <c r="G2644" s="26"/>
      <c r="H2644" s="32"/>
      <c r="I2644" s="32"/>
      <c r="J2644" s="32"/>
      <c r="K2644" s="32"/>
      <c r="L2644" s="32" t="e">
        <f ca="1">_xludf.ifna(VLOOKUP(E2644,Parámetros!$D$2:$E$34,2,0),"")</f>
        <v>#NAME?</v>
      </c>
      <c r="M2644" s="32" t="e">
        <f ca="1">_xludf.ifna(VLOOKUP(G2644,Proyectos!$A$2:$T$674,20,0),"")</f>
        <v>#NAME?</v>
      </c>
      <c r="N2644" s="32" t="e">
        <f ca="1">_xludf.ifna(VLOOKUP(G2644,Proyectos!$A$2:$S$674,19,0))</f>
        <v>#NAME?</v>
      </c>
      <c r="O2644" s="32"/>
      <c r="P2644" s="32"/>
      <c r="Q2644" s="33"/>
      <c r="R2644" s="33"/>
      <c r="S2644" s="33"/>
      <c r="T2644" s="63">
        <f t="shared" si="21"/>
        <v>0</v>
      </c>
      <c r="U2644" s="33"/>
      <c r="V2644" s="33"/>
      <c r="W2644" s="33"/>
    </row>
    <row r="2645" spans="1:23" ht="16.5" customHeight="1" x14ac:dyDescent="0.2">
      <c r="A2645" s="26"/>
      <c r="B2645" s="26"/>
      <c r="C2645" s="26"/>
      <c r="D2645" s="26"/>
      <c r="E2645" s="26"/>
      <c r="F2645" s="28"/>
      <c r="G2645" s="26"/>
      <c r="H2645" s="32"/>
      <c r="I2645" s="32"/>
      <c r="J2645" s="32"/>
      <c r="K2645" s="32"/>
      <c r="L2645" s="32" t="e">
        <f ca="1">_xludf.ifna(VLOOKUP(E2645,Parámetros!$D$2:$E$34,2,0),"")</f>
        <v>#NAME?</v>
      </c>
      <c r="M2645" s="32" t="e">
        <f ca="1">_xludf.ifna(VLOOKUP(G2645,Proyectos!$A$2:$T$674,20,0),"")</f>
        <v>#NAME?</v>
      </c>
      <c r="N2645" s="32" t="e">
        <f ca="1">_xludf.ifna(VLOOKUP(G2645,Proyectos!$A$2:$S$674,19,0))</f>
        <v>#NAME?</v>
      </c>
      <c r="O2645" s="32"/>
      <c r="P2645" s="32"/>
      <c r="Q2645" s="33"/>
      <c r="R2645" s="33"/>
      <c r="S2645" s="33"/>
      <c r="T2645" s="63">
        <f t="shared" si="21"/>
        <v>0</v>
      </c>
      <c r="U2645" s="33"/>
      <c r="V2645" s="33"/>
      <c r="W2645" s="33"/>
    </row>
    <row r="2646" spans="1:23" ht="16.5" customHeight="1" x14ac:dyDescent="0.2">
      <c r="A2646" s="26"/>
      <c r="B2646" s="26"/>
      <c r="C2646" s="26"/>
      <c r="D2646" s="26"/>
      <c r="E2646" s="26"/>
      <c r="F2646" s="28"/>
      <c r="G2646" s="26"/>
      <c r="H2646" s="32"/>
      <c r="I2646" s="32"/>
      <c r="J2646" s="32"/>
      <c r="K2646" s="32"/>
      <c r="L2646" s="32" t="e">
        <f ca="1">_xludf.ifna(VLOOKUP(E2646,Parámetros!$D$2:$E$34,2,0),"")</f>
        <v>#NAME?</v>
      </c>
      <c r="M2646" s="32" t="e">
        <f ca="1">_xludf.ifna(VLOOKUP(G2646,Proyectos!$A$2:$T$674,20,0),"")</f>
        <v>#NAME?</v>
      </c>
      <c r="N2646" s="32" t="e">
        <f ca="1">_xludf.ifna(VLOOKUP(G2646,Proyectos!$A$2:$S$674,19,0))</f>
        <v>#NAME?</v>
      </c>
      <c r="O2646" s="32"/>
      <c r="P2646" s="32"/>
      <c r="Q2646" s="33"/>
      <c r="R2646" s="33"/>
      <c r="S2646" s="33"/>
      <c r="T2646" s="63">
        <f t="shared" si="21"/>
        <v>0</v>
      </c>
      <c r="U2646" s="33"/>
      <c r="V2646" s="33"/>
      <c r="W2646" s="33"/>
    </row>
    <row r="2647" spans="1:23" ht="16.5" customHeight="1" x14ac:dyDescent="0.2">
      <c r="A2647" s="26"/>
      <c r="B2647" s="26"/>
      <c r="C2647" s="26"/>
      <c r="D2647" s="26"/>
      <c r="E2647" s="26"/>
      <c r="F2647" s="28"/>
      <c r="G2647" s="26"/>
      <c r="H2647" s="32"/>
      <c r="I2647" s="32"/>
      <c r="J2647" s="32"/>
      <c r="K2647" s="32"/>
      <c r="L2647" s="32" t="e">
        <f ca="1">_xludf.ifna(VLOOKUP(E2647,Parámetros!$D$2:$E$34,2,0),"")</f>
        <v>#NAME?</v>
      </c>
      <c r="M2647" s="32" t="e">
        <f ca="1">_xludf.ifna(VLOOKUP(G2647,Proyectos!$A$2:$T$674,20,0),"")</f>
        <v>#NAME?</v>
      </c>
      <c r="N2647" s="32" t="e">
        <f ca="1">_xludf.ifna(VLOOKUP(G2647,Proyectos!$A$2:$S$674,19,0))</f>
        <v>#NAME?</v>
      </c>
      <c r="O2647" s="32"/>
      <c r="P2647" s="32"/>
      <c r="Q2647" s="33"/>
      <c r="R2647" s="33"/>
      <c r="S2647" s="33"/>
      <c r="T2647" s="63">
        <f t="shared" si="21"/>
        <v>0</v>
      </c>
      <c r="U2647" s="33"/>
      <c r="V2647" s="33"/>
      <c r="W2647" s="33"/>
    </row>
    <row r="2648" spans="1:23" ht="16.5" customHeight="1" x14ac:dyDescent="0.2">
      <c r="A2648" s="26"/>
      <c r="B2648" s="26"/>
      <c r="C2648" s="26"/>
      <c r="D2648" s="26"/>
      <c r="E2648" s="26"/>
      <c r="F2648" s="28"/>
      <c r="G2648" s="26"/>
      <c r="H2648" s="32"/>
      <c r="I2648" s="32"/>
      <c r="J2648" s="32"/>
      <c r="K2648" s="32"/>
      <c r="L2648" s="32" t="e">
        <f ca="1">_xludf.ifna(VLOOKUP(E2648,Parámetros!$D$2:$E$34,2,0),"")</f>
        <v>#NAME?</v>
      </c>
      <c r="M2648" s="32" t="e">
        <f ca="1">_xludf.ifna(VLOOKUP(G2648,Proyectos!$A$2:$T$674,20,0),"")</f>
        <v>#NAME?</v>
      </c>
      <c r="N2648" s="32" t="e">
        <f ca="1">_xludf.ifna(VLOOKUP(G2648,Proyectos!$A$2:$S$674,19,0))</f>
        <v>#NAME?</v>
      </c>
      <c r="O2648" s="32"/>
      <c r="P2648" s="32"/>
      <c r="Q2648" s="33"/>
      <c r="R2648" s="33"/>
      <c r="S2648" s="33"/>
      <c r="T2648" s="63">
        <f t="shared" si="21"/>
        <v>0</v>
      </c>
      <c r="U2648" s="33"/>
      <c r="V2648" s="33"/>
      <c r="W2648" s="33"/>
    </row>
    <row r="2649" spans="1:23" ht="16.5" customHeight="1" x14ac:dyDescent="0.2">
      <c r="A2649" s="26"/>
      <c r="B2649" s="26"/>
      <c r="C2649" s="26"/>
      <c r="D2649" s="26"/>
      <c r="E2649" s="26"/>
      <c r="F2649" s="28"/>
      <c r="G2649" s="26"/>
      <c r="H2649" s="32"/>
      <c r="I2649" s="32"/>
      <c r="J2649" s="32"/>
      <c r="K2649" s="32"/>
      <c r="L2649" s="32" t="e">
        <f ca="1">_xludf.ifna(VLOOKUP(E2649,Parámetros!$D$2:$E$34,2,0),"")</f>
        <v>#NAME?</v>
      </c>
      <c r="M2649" s="32" t="e">
        <f ca="1">_xludf.ifna(VLOOKUP(G2649,Proyectos!$A$2:$T$674,20,0),"")</f>
        <v>#NAME?</v>
      </c>
      <c r="N2649" s="32" t="e">
        <f ca="1">_xludf.ifna(VLOOKUP(G2649,Proyectos!$A$2:$S$674,19,0))</f>
        <v>#NAME?</v>
      </c>
      <c r="O2649" s="32"/>
      <c r="P2649" s="32"/>
      <c r="Q2649" s="33"/>
      <c r="R2649" s="33"/>
      <c r="S2649" s="33"/>
      <c r="T2649" s="63">
        <f t="shared" si="21"/>
        <v>0</v>
      </c>
      <c r="U2649" s="33"/>
      <c r="V2649" s="33"/>
      <c r="W2649" s="33"/>
    </row>
    <row r="2650" spans="1:23" ht="16.5" customHeight="1" x14ac:dyDescent="0.2">
      <c r="A2650" s="26"/>
      <c r="B2650" s="26"/>
      <c r="C2650" s="26"/>
      <c r="D2650" s="26"/>
      <c r="E2650" s="26"/>
      <c r="F2650" s="28"/>
      <c r="G2650" s="26"/>
      <c r="H2650" s="32"/>
      <c r="I2650" s="32"/>
      <c r="J2650" s="32"/>
      <c r="K2650" s="32"/>
      <c r="L2650" s="32" t="e">
        <f ca="1">_xludf.ifna(VLOOKUP(E2650,Parámetros!$D$2:$E$34,2,0),"")</f>
        <v>#NAME?</v>
      </c>
      <c r="M2650" s="32" t="e">
        <f ca="1">_xludf.ifna(VLOOKUP(G2650,Proyectos!$A$2:$T$674,20,0),"")</f>
        <v>#NAME?</v>
      </c>
      <c r="N2650" s="32" t="e">
        <f ca="1">_xludf.ifna(VLOOKUP(G2650,Proyectos!$A$2:$S$674,19,0))</f>
        <v>#NAME?</v>
      </c>
      <c r="O2650" s="32"/>
      <c r="P2650" s="32"/>
      <c r="Q2650" s="33"/>
      <c r="R2650" s="33"/>
      <c r="S2650" s="33"/>
      <c r="T2650" s="63">
        <f t="shared" si="21"/>
        <v>0</v>
      </c>
      <c r="U2650" s="33"/>
      <c r="V2650" s="33"/>
      <c r="W2650" s="33"/>
    </row>
    <row r="2651" spans="1:23" ht="16.5" customHeight="1" x14ac:dyDescent="0.2">
      <c r="A2651" s="26"/>
      <c r="B2651" s="26"/>
      <c r="C2651" s="26"/>
      <c r="D2651" s="26"/>
      <c r="E2651" s="26"/>
      <c r="F2651" s="28"/>
      <c r="G2651" s="26"/>
      <c r="H2651" s="32"/>
      <c r="I2651" s="32"/>
      <c r="J2651" s="32"/>
      <c r="K2651" s="32"/>
      <c r="L2651" s="32" t="e">
        <f ca="1">_xludf.ifna(VLOOKUP(E2651,Parámetros!$D$2:$E$34,2,0),"")</f>
        <v>#NAME?</v>
      </c>
      <c r="M2651" s="32" t="e">
        <f ca="1">_xludf.ifna(VLOOKUP(G2651,Proyectos!$A$2:$T$674,20,0),"")</f>
        <v>#NAME?</v>
      </c>
      <c r="N2651" s="32" t="e">
        <f ca="1">_xludf.ifna(VLOOKUP(G2651,Proyectos!$A$2:$S$674,19,0))</f>
        <v>#NAME?</v>
      </c>
      <c r="O2651" s="32"/>
      <c r="P2651" s="32"/>
      <c r="Q2651" s="33"/>
      <c r="R2651" s="33"/>
      <c r="S2651" s="33"/>
      <c r="T2651" s="63">
        <f t="shared" si="21"/>
        <v>0</v>
      </c>
      <c r="U2651" s="33"/>
      <c r="V2651" s="33"/>
      <c r="W2651" s="33"/>
    </row>
    <row r="2652" spans="1:23" ht="16.5" customHeight="1" x14ac:dyDescent="0.2">
      <c r="A2652" s="26"/>
      <c r="B2652" s="26"/>
      <c r="C2652" s="26"/>
      <c r="D2652" s="26"/>
      <c r="E2652" s="26"/>
      <c r="F2652" s="28"/>
      <c r="G2652" s="26"/>
      <c r="H2652" s="32"/>
      <c r="I2652" s="32"/>
      <c r="J2652" s="32"/>
      <c r="K2652" s="32"/>
      <c r="L2652" s="32" t="e">
        <f ca="1">_xludf.ifna(VLOOKUP(E2652,Parámetros!$D$2:$E$34,2,0),"")</f>
        <v>#NAME?</v>
      </c>
      <c r="M2652" s="32" t="e">
        <f ca="1">_xludf.ifna(VLOOKUP(G2652,Proyectos!$A$2:$T$674,20,0),"")</f>
        <v>#NAME?</v>
      </c>
      <c r="N2652" s="32" t="e">
        <f ca="1">_xludf.ifna(VLOOKUP(G2652,Proyectos!$A$2:$S$674,19,0))</f>
        <v>#NAME?</v>
      </c>
      <c r="O2652" s="32"/>
      <c r="P2652" s="32"/>
      <c r="Q2652" s="33"/>
      <c r="R2652" s="33"/>
      <c r="S2652" s="33"/>
      <c r="T2652" s="63">
        <f t="shared" si="21"/>
        <v>0</v>
      </c>
      <c r="U2652" s="33"/>
      <c r="V2652" s="33"/>
      <c r="W2652" s="33"/>
    </row>
    <row r="2653" spans="1:23" ht="16.5" customHeight="1" x14ac:dyDescent="0.2">
      <c r="A2653" s="26"/>
      <c r="B2653" s="26"/>
      <c r="C2653" s="26"/>
      <c r="D2653" s="26"/>
      <c r="E2653" s="26"/>
      <c r="F2653" s="28"/>
      <c r="G2653" s="26"/>
      <c r="H2653" s="32"/>
      <c r="I2653" s="32"/>
      <c r="J2653" s="32"/>
      <c r="K2653" s="32"/>
      <c r="L2653" s="32" t="e">
        <f ca="1">_xludf.ifna(VLOOKUP(E2653,Parámetros!$D$2:$E$34,2,0),"")</f>
        <v>#NAME?</v>
      </c>
      <c r="M2653" s="32" t="e">
        <f ca="1">_xludf.ifna(VLOOKUP(G2653,Proyectos!$A$2:$T$674,20,0),"")</f>
        <v>#NAME?</v>
      </c>
      <c r="N2653" s="32" t="e">
        <f ca="1">_xludf.ifna(VLOOKUP(G2653,Proyectos!$A$2:$S$674,19,0))</f>
        <v>#NAME?</v>
      </c>
      <c r="O2653" s="32"/>
      <c r="P2653" s="32"/>
      <c r="Q2653" s="33"/>
      <c r="R2653" s="33"/>
      <c r="S2653" s="33"/>
      <c r="T2653" s="63">
        <f t="shared" si="21"/>
        <v>0</v>
      </c>
      <c r="U2653" s="33"/>
      <c r="V2653" s="33"/>
      <c r="W2653" s="33"/>
    </row>
    <row r="2654" spans="1:23" ht="16.5" customHeight="1" x14ac:dyDescent="0.2">
      <c r="A2654" s="26"/>
      <c r="B2654" s="26"/>
      <c r="C2654" s="26"/>
      <c r="D2654" s="26"/>
      <c r="E2654" s="26"/>
      <c r="F2654" s="28"/>
      <c r="G2654" s="26"/>
      <c r="H2654" s="32"/>
      <c r="I2654" s="32"/>
      <c r="J2654" s="32"/>
      <c r="K2654" s="32"/>
      <c r="L2654" s="32" t="e">
        <f ca="1">_xludf.ifna(VLOOKUP(E2654,Parámetros!$D$2:$E$34,2,0),"")</f>
        <v>#NAME?</v>
      </c>
      <c r="M2654" s="32" t="e">
        <f ca="1">_xludf.ifna(VLOOKUP(G2654,Proyectos!$A$2:$T$674,20,0),"")</f>
        <v>#NAME?</v>
      </c>
      <c r="N2654" s="32" t="e">
        <f ca="1">_xludf.ifna(VLOOKUP(G2654,Proyectos!$A$2:$S$674,19,0))</f>
        <v>#NAME?</v>
      </c>
      <c r="O2654" s="32"/>
      <c r="P2654" s="32"/>
      <c r="Q2654" s="33"/>
      <c r="R2654" s="33"/>
      <c r="S2654" s="33"/>
      <c r="T2654" s="63">
        <f t="shared" si="21"/>
        <v>0</v>
      </c>
      <c r="U2654" s="33"/>
      <c r="V2654" s="33"/>
      <c r="W2654" s="33"/>
    </row>
    <row r="2655" spans="1:23" ht="16.5" customHeight="1" x14ac:dyDescent="0.2">
      <c r="A2655" s="26"/>
      <c r="B2655" s="26"/>
      <c r="C2655" s="26"/>
      <c r="D2655" s="26"/>
      <c r="E2655" s="26"/>
      <c r="F2655" s="28"/>
      <c r="G2655" s="26"/>
      <c r="H2655" s="32"/>
      <c r="I2655" s="32"/>
      <c r="J2655" s="32"/>
      <c r="K2655" s="32"/>
      <c r="L2655" s="32" t="e">
        <f ca="1">_xludf.ifna(VLOOKUP(E2655,Parámetros!$D$2:$E$34,2,0),"")</f>
        <v>#NAME?</v>
      </c>
      <c r="M2655" s="32" t="e">
        <f ca="1">_xludf.ifna(VLOOKUP(G2655,Proyectos!$A$2:$T$674,20,0),"")</f>
        <v>#NAME?</v>
      </c>
      <c r="N2655" s="32" t="e">
        <f ca="1">_xludf.ifna(VLOOKUP(G2655,Proyectos!$A$2:$S$674,19,0))</f>
        <v>#NAME?</v>
      </c>
      <c r="O2655" s="32"/>
      <c r="P2655" s="32"/>
      <c r="Q2655" s="33"/>
      <c r="R2655" s="33"/>
      <c r="S2655" s="33"/>
      <c r="T2655" s="63">
        <f t="shared" si="21"/>
        <v>0</v>
      </c>
      <c r="U2655" s="33"/>
      <c r="V2655" s="33"/>
      <c r="W2655" s="33"/>
    </row>
    <row r="2656" spans="1:23" ht="16.5" customHeight="1" x14ac:dyDescent="0.2">
      <c r="A2656" s="26"/>
      <c r="B2656" s="26"/>
      <c r="C2656" s="26"/>
      <c r="D2656" s="26"/>
      <c r="E2656" s="26"/>
      <c r="F2656" s="28"/>
      <c r="G2656" s="26"/>
      <c r="H2656" s="32"/>
      <c r="I2656" s="32"/>
      <c r="J2656" s="32"/>
      <c r="K2656" s="32"/>
      <c r="L2656" s="32" t="e">
        <f ca="1">_xludf.ifna(VLOOKUP(E2656,Parámetros!$D$2:$E$34,2,0),"")</f>
        <v>#NAME?</v>
      </c>
      <c r="M2656" s="32" t="e">
        <f ca="1">_xludf.ifna(VLOOKUP(G2656,Proyectos!$A$2:$T$674,20,0),"")</f>
        <v>#NAME?</v>
      </c>
      <c r="N2656" s="32" t="e">
        <f ca="1">_xludf.ifna(VLOOKUP(G2656,Proyectos!$A$2:$S$674,19,0))</f>
        <v>#NAME?</v>
      </c>
      <c r="O2656" s="32"/>
      <c r="P2656" s="32"/>
      <c r="Q2656" s="33"/>
      <c r="R2656" s="33"/>
      <c r="S2656" s="33"/>
      <c r="T2656" s="63">
        <f t="shared" si="21"/>
        <v>0</v>
      </c>
      <c r="U2656" s="33"/>
      <c r="V2656" s="33"/>
      <c r="W2656" s="33"/>
    </row>
    <row r="2657" spans="1:23" ht="16.5" customHeight="1" x14ac:dyDescent="0.2">
      <c r="A2657" s="26"/>
      <c r="B2657" s="26"/>
      <c r="C2657" s="26"/>
      <c r="D2657" s="26"/>
      <c r="E2657" s="26"/>
      <c r="F2657" s="28"/>
      <c r="G2657" s="26"/>
      <c r="H2657" s="32"/>
      <c r="I2657" s="32"/>
      <c r="J2657" s="32"/>
      <c r="K2657" s="32"/>
      <c r="L2657" s="32" t="e">
        <f ca="1">_xludf.ifna(VLOOKUP(E2657,Parámetros!$D$2:$E$34,2,0),"")</f>
        <v>#NAME?</v>
      </c>
      <c r="M2657" s="32" t="e">
        <f ca="1">_xludf.ifna(VLOOKUP(G2657,Proyectos!$A$2:$T$674,20,0),"")</f>
        <v>#NAME?</v>
      </c>
      <c r="N2657" s="32" t="e">
        <f ca="1">_xludf.ifna(VLOOKUP(G2657,Proyectos!$A$2:$S$674,19,0))</f>
        <v>#NAME?</v>
      </c>
      <c r="O2657" s="32"/>
      <c r="P2657" s="32"/>
      <c r="Q2657" s="33"/>
      <c r="R2657" s="33"/>
      <c r="S2657" s="33"/>
      <c r="T2657" s="63">
        <f t="shared" si="21"/>
        <v>0</v>
      </c>
      <c r="U2657" s="33"/>
      <c r="V2657" s="33"/>
      <c r="W2657" s="33"/>
    </row>
    <row r="2658" spans="1:23" ht="16.5" customHeight="1" x14ac:dyDescent="0.2">
      <c r="A2658" s="26"/>
      <c r="B2658" s="26"/>
      <c r="C2658" s="26"/>
      <c r="D2658" s="26"/>
      <c r="E2658" s="26"/>
      <c r="F2658" s="28"/>
      <c r="G2658" s="26"/>
      <c r="H2658" s="32"/>
      <c r="I2658" s="32"/>
      <c r="J2658" s="32"/>
      <c r="K2658" s="32"/>
      <c r="L2658" s="32" t="e">
        <f ca="1">_xludf.ifna(VLOOKUP(E2658,Parámetros!$D$2:$E$34,2,0),"")</f>
        <v>#NAME?</v>
      </c>
      <c r="M2658" s="32" t="e">
        <f ca="1">_xludf.ifna(VLOOKUP(G2658,Proyectos!$A$2:$T$674,20,0),"")</f>
        <v>#NAME?</v>
      </c>
      <c r="N2658" s="32" t="e">
        <f ca="1">_xludf.ifna(VLOOKUP(G2658,Proyectos!$A$2:$S$674,19,0))</f>
        <v>#NAME?</v>
      </c>
      <c r="O2658" s="32"/>
      <c r="P2658" s="32"/>
      <c r="Q2658" s="33"/>
      <c r="R2658" s="33"/>
      <c r="S2658" s="33"/>
      <c r="T2658" s="63">
        <f t="shared" si="21"/>
        <v>0</v>
      </c>
      <c r="U2658" s="33"/>
      <c r="V2658" s="33"/>
      <c r="W2658" s="33"/>
    </row>
    <row r="2659" spans="1:23" ht="16.5" customHeight="1" x14ac:dyDescent="0.2">
      <c r="A2659" s="26"/>
      <c r="B2659" s="26"/>
      <c r="C2659" s="26"/>
      <c r="D2659" s="26"/>
      <c r="E2659" s="26"/>
      <c r="F2659" s="28"/>
      <c r="G2659" s="26"/>
      <c r="H2659" s="32"/>
      <c r="I2659" s="32"/>
      <c r="J2659" s="32"/>
      <c r="K2659" s="32"/>
      <c r="L2659" s="32" t="e">
        <f ca="1">_xludf.ifna(VLOOKUP(E2659,Parámetros!$D$2:$E$34,2,0),"")</f>
        <v>#NAME?</v>
      </c>
      <c r="M2659" s="32" t="e">
        <f ca="1">_xludf.ifna(VLOOKUP(G2659,Proyectos!$A$2:$T$674,20,0),"")</f>
        <v>#NAME?</v>
      </c>
      <c r="N2659" s="32" t="e">
        <f ca="1">_xludf.ifna(VLOOKUP(G2659,Proyectos!$A$2:$S$674,19,0))</f>
        <v>#NAME?</v>
      </c>
      <c r="O2659" s="32"/>
      <c r="P2659" s="32"/>
      <c r="Q2659" s="33"/>
      <c r="R2659" s="33"/>
      <c r="S2659" s="33"/>
      <c r="T2659" s="63">
        <f t="shared" si="21"/>
        <v>0</v>
      </c>
      <c r="U2659" s="33"/>
      <c r="V2659" s="33"/>
      <c r="W2659" s="33"/>
    </row>
    <row r="2660" spans="1:23" ht="16.5" customHeight="1" x14ac:dyDescent="0.2">
      <c r="A2660" s="26"/>
      <c r="B2660" s="26"/>
      <c r="C2660" s="26"/>
      <c r="D2660" s="26"/>
      <c r="E2660" s="26"/>
      <c r="F2660" s="28"/>
      <c r="G2660" s="26"/>
      <c r="H2660" s="32"/>
      <c r="I2660" s="32"/>
      <c r="J2660" s="32"/>
      <c r="K2660" s="32"/>
      <c r="L2660" s="32" t="e">
        <f ca="1">_xludf.ifna(VLOOKUP(E2660,Parámetros!$D$2:$E$34,2,0),"")</f>
        <v>#NAME?</v>
      </c>
      <c r="M2660" s="32" t="e">
        <f ca="1">_xludf.ifna(VLOOKUP(G2660,Proyectos!$A$2:$T$674,20,0),"")</f>
        <v>#NAME?</v>
      </c>
      <c r="N2660" s="32" t="e">
        <f ca="1">_xludf.ifna(VLOOKUP(G2660,Proyectos!$A$2:$S$674,19,0))</f>
        <v>#NAME?</v>
      </c>
      <c r="O2660" s="32"/>
      <c r="P2660" s="32"/>
      <c r="Q2660" s="33"/>
      <c r="R2660" s="33"/>
      <c r="S2660" s="33"/>
      <c r="T2660" s="63">
        <f t="shared" si="21"/>
        <v>0</v>
      </c>
      <c r="U2660" s="33"/>
      <c r="V2660" s="33"/>
      <c r="W2660" s="33"/>
    </row>
    <row r="2661" spans="1:23" ht="16.5" customHeight="1" x14ac:dyDescent="0.2">
      <c r="A2661" s="26"/>
      <c r="B2661" s="26"/>
      <c r="C2661" s="26"/>
      <c r="D2661" s="26"/>
      <c r="E2661" s="26"/>
      <c r="F2661" s="28"/>
      <c r="G2661" s="26"/>
      <c r="H2661" s="32"/>
      <c r="I2661" s="32"/>
      <c r="J2661" s="32"/>
      <c r="K2661" s="32"/>
      <c r="L2661" s="32" t="e">
        <f ca="1">_xludf.ifna(VLOOKUP(E2661,Parámetros!$D$2:$E$34,2,0),"")</f>
        <v>#NAME?</v>
      </c>
      <c r="M2661" s="32" t="e">
        <f ca="1">_xludf.ifna(VLOOKUP(G2661,Proyectos!$A$2:$T$674,20,0),"")</f>
        <v>#NAME?</v>
      </c>
      <c r="N2661" s="32" t="e">
        <f ca="1">_xludf.ifna(VLOOKUP(G2661,Proyectos!$A$2:$S$674,19,0))</f>
        <v>#NAME?</v>
      </c>
      <c r="O2661" s="32"/>
      <c r="P2661" s="32"/>
      <c r="Q2661" s="33"/>
      <c r="R2661" s="33"/>
      <c r="S2661" s="33"/>
      <c r="T2661" s="63">
        <f t="shared" si="21"/>
        <v>0</v>
      </c>
      <c r="U2661" s="33"/>
      <c r="V2661" s="33"/>
      <c r="W2661" s="33"/>
    </row>
    <row r="2662" spans="1:23" ht="16.5" customHeight="1" x14ac:dyDescent="0.2">
      <c r="A2662" s="26"/>
      <c r="B2662" s="26"/>
      <c r="C2662" s="26"/>
      <c r="D2662" s="26"/>
      <c r="E2662" s="26"/>
      <c r="F2662" s="28"/>
      <c r="G2662" s="26"/>
      <c r="H2662" s="32"/>
      <c r="I2662" s="32"/>
      <c r="J2662" s="32"/>
      <c r="K2662" s="32"/>
      <c r="L2662" s="32" t="e">
        <f ca="1">_xludf.ifna(VLOOKUP(E2662,Parámetros!$D$2:$E$34,2,0),"")</f>
        <v>#NAME?</v>
      </c>
      <c r="M2662" s="32" t="e">
        <f ca="1">_xludf.ifna(VLOOKUP(G2662,Proyectos!$A$2:$T$674,20,0),"")</f>
        <v>#NAME?</v>
      </c>
      <c r="N2662" s="32" t="e">
        <f ca="1">_xludf.ifna(VLOOKUP(G2662,Proyectos!$A$2:$S$674,19,0))</f>
        <v>#NAME?</v>
      </c>
      <c r="O2662" s="32"/>
      <c r="P2662" s="32"/>
      <c r="Q2662" s="33"/>
      <c r="R2662" s="33"/>
      <c r="S2662" s="33"/>
      <c r="T2662" s="63">
        <f t="shared" ref="T2662:T2770" si="22">IF(E2662=E2661,0,1)</f>
        <v>0</v>
      </c>
      <c r="U2662" s="33"/>
      <c r="V2662" s="33"/>
      <c r="W2662" s="33"/>
    </row>
    <row r="2663" spans="1:23" ht="16.5" customHeight="1" x14ac:dyDescent="0.2">
      <c r="A2663" s="26"/>
      <c r="B2663" s="26"/>
      <c r="C2663" s="26"/>
      <c r="D2663" s="26"/>
      <c r="E2663" s="26"/>
      <c r="F2663" s="28"/>
      <c r="G2663" s="26"/>
      <c r="H2663" s="32"/>
      <c r="I2663" s="32"/>
      <c r="J2663" s="32"/>
      <c r="K2663" s="32"/>
      <c r="L2663" s="32" t="e">
        <f ca="1">_xludf.ifna(VLOOKUP(E2663,Parámetros!$D$2:$E$34,2,0),"")</f>
        <v>#NAME?</v>
      </c>
      <c r="M2663" s="32" t="e">
        <f ca="1">_xludf.ifna(VLOOKUP(G2663,Proyectos!$A$2:$T$674,20,0),"")</f>
        <v>#NAME?</v>
      </c>
      <c r="N2663" s="32" t="e">
        <f ca="1">_xludf.ifna(VLOOKUP(G2663,Proyectos!$A$2:$S$674,19,0))</f>
        <v>#NAME?</v>
      </c>
      <c r="O2663" s="32"/>
      <c r="P2663" s="32"/>
      <c r="Q2663" s="33"/>
      <c r="R2663" s="33"/>
      <c r="S2663" s="33"/>
      <c r="T2663" s="63">
        <f t="shared" si="22"/>
        <v>0</v>
      </c>
      <c r="U2663" s="33"/>
      <c r="V2663" s="33"/>
      <c r="W2663" s="33"/>
    </row>
    <row r="2664" spans="1:23" ht="16.5" customHeight="1" x14ac:dyDescent="0.2">
      <c r="A2664" s="26"/>
      <c r="B2664" s="26"/>
      <c r="C2664" s="26"/>
      <c r="D2664" s="26"/>
      <c r="E2664" s="26"/>
      <c r="F2664" s="28"/>
      <c r="G2664" s="26"/>
      <c r="H2664" s="32"/>
      <c r="I2664" s="32"/>
      <c r="J2664" s="32"/>
      <c r="K2664" s="32"/>
      <c r="L2664" s="32" t="e">
        <f ca="1">_xludf.ifna(VLOOKUP(E2664,Parámetros!$D$2:$E$34,2,0),"")</f>
        <v>#NAME?</v>
      </c>
      <c r="M2664" s="32" t="e">
        <f ca="1">_xludf.ifna(VLOOKUP(G2664,Proyectos!$A$2:$T$674,20,0),"")</f>
        <v>#NAME?</v>
      </c>
      <c r="N2664" s="32" t="e">
        <f ca="1">_xludf.ifna(VLOOKUP(G2664,Proyectos!$A$2:$S$674,19,0))</f>
        <v>#NAME?</v>
      </c>
      <c r="O2664" s="32"/>
      <c r="P2664" s="32"/>
      <c r="Q2664" s="33"/>
      <c r="R2664" s="33"/>
      <c r="S2664" s="33"/>
      <c r="T2664" s="63">
        <f t="shared" si="22"/>
        <v>0</v>
      </c>
      <c r="U2664" s="33"/>
      <c r="V2664" s="33"/>
      <c r="W2664" s="33"/>
    </row>
    <row r="2665" spans="1:23" ht="16.5" customHeight="1" x14ac:dyDescent="0.2">
      <c r="A2665" s="26"/>
      <c r="B2665" s="26"/>
      <c r="C2665" s="26"/>
      <c r="D2665" s="26"/>
      <c r="E2665" s="26"/>
      <c r="F2665" s="28"/>
      <c r="G2665" s="26"/>
      <c r="H2665" s="32"/>
      <c r="I2665" s="32"/>
      <c r="J2665" s="32"/>
      <c r="K2665" s="32"/>
      <c r="L2665" s="32" t="e">
        <f ca="1">_xludf.ifna(VLOOKUP(E2665,Parámetros!$D$2:$E$34,2,0),"")</f>
        <v>#NAME?</v>
      </c>
      <c r="M2665" s="32" t="e">
        <f ca="1">_xludf.ifna(VLOOKUP(G2665,Proyectos!$A$2:$T$674,20,0),"")</f>
        <v>#NAME?</v>
      </c>
      <c r="N2665" s="32" t="e">
        <f ca="1">_xludf.ifna(VLOOKUP(G2665,Proyectos!$A$2:$S$674,19,0))</f>
        <v>#NAME?</v>
      </c>
      <c r="O2665" s="32"/>
      <c r="P2665" s="32"/>
      <c r="Q2665" s="33"/>
      <c r="R2665" s="33"/>
      <c r="S2665" s="33"/>
      <c r="T2665" s="63">
        <f t="shared" si="22"/>
        <v>0</v>
      </c>
      <c r="U2665" s="33"/>
      <c r="V2665" s="33"/>
      <c r="W2665" s="33"/>
    </row>
    <row r="2666" spans="1:23" ht="16.5" customHeight="1" x14ac:dyDescent="0.2">
      <c r="A2666" s="26"/>
      <c r="B2666" s="26"/>
      <c r="C2666" s="26"/>
      <c r="D2666" s="26"/>
      <c r="E2666" s="26"/>
      <c r="F2666" s="28"/>
      <c r="G2666" s="26"/>
      <c r="H2666" s="32"/>
      <c r="I2666" s="32"/>
      <c r="J2666" s="32"/>
      <c r="K2666" s="32"/>
      <c r="L2666" s="32" t="e">
        <f ca="1">_xludf.ifna(VLOOKUP(E2666,Parámetros!$D$2:$E$34,2,0),"")</f>
        <v>#NAME?</v>
      </c>
      <c r="M2666" s="32" t="e">
        <f ca="1">_xludf.ifna(VLOOKUP(G2666,Proyectos!$A$2:$T$674,20,0),"")</f>
        <v>#NAME?</v>
      </c>
      <c r="N2666" s="32" t="e">
        <f ca="1">_xludf.ifna(VLOOKUP(G2666,Proyectos!$A$2:$S$674,19,0))</f>
        <v>#NAME?</v>
      </c>
      <c r="O2666" s="32"/>
      <c r="P2666" s="32"/>
      <c r="Q2666" s="33"/>
      <c r="R2666" s="33"/>
      <c r="S2666" s="33"/>
      <c r="T2666" s="63">
        <f t="shared" si="22"/>
        <v>0</v>
      </c>
      <c r="U2666" s="33"/>
      <c r="V2666" s="33"/>
      <c r="W2666" s="33"/>
    </row>
    <row r="2667" spans="1:23" ht="16.5" customHeight="1" x14ac:dyDescent="0.2">
      <c r="A2667" s="26"/>
      <c r="B2667" s="26"/>
      <c r="C2667" s="26"/>
      <c r="D2667" s="26"/>
      <c r="E2667" s="26"/>
      <c r="F2667" s="28"/>
      <c r="G2667" s="26"/>
      <c r="H2667" s="32"/>
      <c r="I2667" s="32"/>
      <c r="J2667" s="32"/>
      <c r="K2667" s="32"/>
      <c r="L2667" s="32" t="e">
        <f ca="1">_xludf.ifna(VLOOKUP(E2667,Parámetros!$D$2:$E$34,2,0),"")</f>
        <v>#NAME?</v>
      </c>
      <c r="M2667" s="32" t="e">
        <f ca="1">_xludf.ifna(VLOOKUP(G2667,Proyectos!$A$2:$T$674,20,0),"")</f>
        <v>#NAME?</v>
      </c>
      <c r="N2667" s="32" t="e">
        <f ca="1">_xludf.ifna(VLOOKUP(G2667,Proyectos!$A$2:$S$674,19,0))</f>
        <v>#NAME?</v>
      </c>
      <c r="O2667" s="32"/>
      <c r="P2667" s="32"/>
      <c r="Q2667" s="33"/>
      <c r="R2667" s="33"/>
      <c r="S2667" s="33"/>
      <c r="T2667" s="63">
        <f t="shared" si="22"/>
        <v>0</v>
      </c>
      <c r="U2667" s="33"/>
      <c r="V2667" s="33"/>
      <c r="W2667" s="33"/>
    </row>
    <row r="2668" spans="1:23" ht="16.5" customHeight="1" x14ac:dyDescent="0.2">
      <c r="A2668" s="26"/>
      <c r="B2668" s="26"/>
      <c r="C2668" s="26"/>
      <c r="D2668" s="26"/>
      <c r="E2668" s="26"/>
      <c r="F2668" s="28"/>
      <c r="G2668" s="26"/>
      <c r="H2668" s="32"/>
      <c r="I2668" s="32"/>
      <c r="J2668" s="32"/>
      <c r="K2668" s="32"/>
      <c r="L2668" s="32" t="e">
        <f ca="1">_xludf.ifna(VLOOKUP(E2668,Parámetros!$D$2:$E$34,2,0),"")</f>
        <v>#NAME?</v>
      </c>
      <c r="M2668" s="32" t="e">
        <f ca="1">_xludf.ifna(VLOOKUP(G2668,Proyectos!$A$2:$T$674,20,0),"")</f>
        <v>#NAME?</v>
      </c>
      <c r="N2668" s="32" t="e">
        <f ca="1">_xludf.ifna(VLOOKUP(G2668,Proyectos!$A$2:$S$674,19,0))</f>
        <v>#NAME?</v>
      </c>
      <c r="O2668" s="32"/>
      <c r="P2668" s="32"/>
      <c r="Q2668" s="33"/>
      <c r="R2668" s="33"/>
      <c r="S2668" s="33"/>
      <c r="T2668" s="63">
        <f t="shared" si="22"/>
        <v>0</v>
      </c>
      <c r="U2668" s="33"/>
      <c r="V2668" s="33"/>
      <c r="W2668" s="33"/>
    </row>
    <row r="2669" spans="1:23" ht="16.5" customHeight="1" x14ac:dyDescent="0.2">
      <c r="A2669" s="26"/>
      <c r="B2669" s="26"/>
      <c r="C2669" s="26"/>
      <c r="D2669" s="26"/>
      <c r="E2669" s="26"/>
      <c r="F2669" s="28"/>
      <c r="G2669" s="26"/>
      <c r="H2669" s="32"/>
      <c r="I2669" s="32"/>
      <c r="J2669" s="32"/>
      <c r="K2669" s="32"/>
      <c r="L2669" s="32" t="e">
        <f ca="1">_xludf.ifna(VLOOKUP(E2669,Parámetros!$D$2:$E$34,2,0),"")</f>
        <v>#NAME?</v>
      </c>
      <c r="M2669" s="32" t="e">
        <f ca="1">_xludf.ifna(VLOOKUP(G2669,Proyectos!$A$2:$T$674,20,0),"")</f>
        <v>#NAME?</v>
      </c>
      <c r="N2669" s="32" t="e">
        <f ca="1">_xludf.ifna(VLOOKUP(G2669,Proyectos!$A$2:$S$674,19,0))</f>
        <v>#NAME?</v>
      </c>
      <c r="O2669" s="32"/>
      <c r="P2669" s="32"/>
      <c r="Q2669" s="33"/>
      <c r="R2669" s="33"/>
      <c r="S2669" s="33"/>
      <c r="T2669" s="63">
        <f t="shared" si="22"/>
        <v>0</v>
      </c>
      <c r="U2669" s="33"/>
      <c r="V2669" s="33"/>
      <c r="W2669" s="33"/>
    </row>
    <row r="2670" spans="1:23" ht="16.5" customHeight="1" x14ac:dyDescent="0.2">
      <c r="A2670" s="26"/>
      <c r="B2670" s="26"/>
      <c r="C2670" s="26"/>
      <c r="D2670" s="26"/>
      <c r="E2670" s="26"/>
      <c r="F2670" s="28"/>
      <c r="G2670" s="26"/>
      <c r="H2670" s="32"/>
      <c r="I2670" s="32"/>
      <c r="J2670" s="32"/>
      <c r="K2670" s="32"/>
      <c r="L2670" s="32" t="e">
        <f ca="1">_xludf.ifna(VLOOKUP(E2670,Parámetros!$D$2:$E$34,2,0),"")</f>
        <v>#NAME?</v>
      </c>
      <c r="M2670" s="32" t="e">
        <f ca="1">_xludf.ifna(VLOOKUP(G2670,Proyectos!$A$2:$T$674,20,0),"")</f>
        <v>#NAME?</v>
      </c>
      <c r="N2670" s="32" t="e">
        <f ca="1">_xludf.ifna(VLOOKUP(G2670,Proyectos!$A$2:$S$674,19,0))</f>
        <v>#NAME?</v>
      </c>
      <c r="O2670" s="32"/>
      <c r="P2670" s="32"/>
      <c r="Q2670" s="33"/>
      <c r="R2670" s="33"/>
      <c r="S2670" s="33"/>
      <c r="T2670" s="63">
        <f t="shared" si="22"/>
        <v>0</v>
      </c>
      <c r="U2670" s="33"/>
      <c r="V2670" s="33"/>
      <c r="W2670" s="33"/>
    </row>
    <row r="2671" spans="1:23" ht="16.5" customHeight="1" x14ac:dyDescent="0.2">
      <c r="A2671" s="26"/>
      <c r="B2671" s="26"/>
      <c r="C2671" s="26"/>
      <c r="D2671" s="26"/>
      <c r="E2671" s="26"/>
      <c r="F2671" s="28"/>
      <c r="G2671" s="26"/>
      <c r="H2671" s="32"/>
      <c r="I2671" s="32"/>
      <c r="J2671" s="32"/>
      <c r="K2671" s="32"/>
      <c r="L2671" s="32" t="e">
        <f ca="1">_xludf.ifna(VLOOKUP(E2671,Parámetros!$D$2:$E$34,2,0),"")</f>
        <v>#NAME?</v>
      </c>
      <c r="M2671" s="32" t="e">
        <f ca="1">_xludf.ifna(VLOOKUP(G2671,Proyectos!$A$2:$T$674,20,0),"")</f>
        <v>#NAME?</v>
      </c>
      <c r="N2671" s="32" t="e">
        <f ca="1">_xludf.ifna(VLOOKUP(G2671,Proyectos!$A$2:$S$674,19,0))</f>
        <v>#NAME?</v>
      </c>
      <c r="O2671" s="32"/>
      <c r="P2671" s="32"/>
      <c r="Q2671" s="33"/>
      <c r="R2671" s="33"/>
      <c r="S2671" s="33"/>
      <c r="T2671" s="63">
        <f t="shared" si="22"/>
        <v>0</v>
      </c>
      <c r="U2671" s="33"/>
      <c r="V2671" s="33"/>
      <c r="W2671" s="33"/>
    </row>
    <row r="2672" spans="1:23" ht="16.5" customHeight="1" x14ac:dyDescent="0.2">
      <c r="A2672" s="26"/>
      <c r="B2672" s="26"/>
      <c r="C2672" s="26"/>
      <c r="D2672" s="26"/>
      <c r="E2672" s="26"/>
      <c r="F2672" s="28"/>
      <c r="G2672" s="26"/>
      <c r="H2672" s="32"/>
      <c r="I2672" s="32"/>
      <c r="J2672" s="32"/>
      <c r="K2672" s="32"/>
      <c r="L2672" s="32" t="e">
        <f ca="1">_xludf.ifna(VLOOKUP(E2672,Parámetros!$D$2:$E$34,2,0),"")</f>
        <v>#NAME?</v>
      </c>
      <c r="M2672" s="32" t="e">
        <f ca="1">_xludf.ifna(VLOOKUP(G2672,Proyectos!$A$2:$T$674,20,0),"")</f>
        <v>#NAME?</v>
      </c>
      <c r="N2672" s="32" t="e">
        <f ca="1">_xludf.ifna(VLOOKUP(G2672,Proyectos!$A$2:$S$674,19,0))</f>
        <v>#NAME?</v>
      </c>
      <c r="O2672" s="32"/>
      <c r="P2672" s="32"/>
      <c r="Q2672" s="33"/>
      <c r="R2672" s="33"/>
      <c r="S2672" s="33"/>
      <c r="T2672" s="63">
        <f t="shared" si="22"/>
        <v>0</v>
      </c>
      <c r="U2672" s="33"/>
      <c r="V2672" s="33"/>
      <c r="W2672" s="33"/>
    </row>
    <row r="2673" spans="1:23" ht="16.5" customHeight="1" x14ac:dyDescent="0.2">
      <c r="A2673" s="26"/>
      <c r="B2673" s="26"/>
      <c r="C2673" s="26"/>
      <c r="D2673" s="26"/>
      <c r="E2673" s="26"/>
      <c r="F2673" s="28"/>
      <c r="G2673" s="26"/>
      <c r="H2673" s="32"/>
      <c r="I2673" s="32"/>
      <c r="J2673" s="32"/>
      <c r="K2673" s="32"/>
      <c r="L2673" s="32" t="e">
        <f ca="1">_xludf.ifna(VLOOKUP(E2673,Parámetros!$D$2:$E$34,2,0),"")</f>
        <v>#NAME?</v>
      </c>
      <c r="M2673" s="32" t="e">
        <f ca="1">_xludf.ifna(VLOOKUP(G2673,Proyectos!$A$2:$T$674,20,0),"")</f>
        <v>#NAME?</v>
      </c>
      <c r="N2673" s="32" t="e">
        <f ca="1">_xludf.ifna(VLOOKUP(G2673,Proyectos!$A$2:$S$674,19,0))</f>
        <v>#NAME?</v>
      </c>
      <c r="O2673" s="32"/>
      <c r="P2673" s="32"/>
      <c r="Q2673" s="33"/>
      <c r="R2673" s="33"/>
      <c r="S2673" s="33"/>
      <c r="T2673" s="63">
        <f t="shared" si="22"/>
        <v>0</v>
      </c>
      <c r="U2673" s="33"/>
      <c r="V2673" s="33"/>
      <c r="W2673" s="33"/>
    </row>
    <row r="2674" spans="1:23" ht="16.5" customHeight="1" x14ac:dyDescent="0.2">
      <c r="A2674" s="26"/>
      <c r="B2674" s="26"/>
      <c r="C2674" s="26"/>
      <c r="D2674" s="26"/>
      <c r="E2674" s="26"/>
      <c r="F2674" s="28"/>
      <c r="G2674" s="26"/>
      <c r="H2674" s="32"/>
      <c r="I2674" s="32"/>
      <c r="J2674" s="32"/>
      <c r="K2674" s="32"/>
      <c r="L2674" s="32" t="e">
        <f ca="1">_xludf.ifna(VLOOKUP(E2674,Parámetros!$D$2:$E$34,2,0),"")</f>
        <v>#NAME?</v>
      </c>
      <c r="M2674" s="32" t="e">
        <f ca="1">_xludf.ifna(VLOOKUP(G2674,Proyectos!$A$2:$T$674,20,0),"")</f>
        <v>#NAME?</v>
      </c>
      <c r="N2674" s="32" t="e">
        <f ca="1">_xludf.ifna(VLOOKUP(G2674,Proyectos!$A$2:$S$674,19,0))</f>
        <v>#NAME?</v>
      </c>
      <c r="O2674" s="32"/>
      <c r="P2674" s="32"/>
      <c r="Q2674" s="33"/>
      <c r="R2674" s="33"/>
      <c r="S2674" s="33"/>
      <c r="T2674" s="63">
        <f t="shared" si="22"/>
        <v>0</v>
      </c>
      <c r="U2674" s="33"/>
      <c r="V2674" s="33"/>
      <c r="W2674" s="33"/>
    </row>
    <row r="2675" spans="1:23" ht="16.5" customHeight="1" x14ac:dyDescent="0.2">
      <c r="A2675" s="26"/>
      <c r="B2675" s="26"/>
      <c r="C2675" s="26"/>
      <c r="D2675" s="26"/>
      <c r="E2675" s="26"/>
      <c r="F2675" s="28"/>
      <c r="G2675" s="26"/>
      <c r="H2675" s="32"/>
      <c r="I2675" s="32"/>
      <c r="J2675" s="32"/>
      <c r="K2675" s="32"/>
      <c r="L2675" s="32" t="e">
        <f ca="1">_xludf.ifna(VLOOKUP(E2675,Parámetros!$D$2:$E$34,2,0),"")</f>
        <v>#NAME?</v>
      </c>
      <c r="M2675" s="32" t="e">
        <f ca="1">_xludf.ifna(VLOOKUP(G2675,Proyectos!$A$2:$T$674,20,0),"")</f>
        <v>#NAME?</v>
      </c>
      <c r="N2675" s="32" t="e">
        <f ca="1">_xludf.ifna(VLOOKUP(G2675,Proyectos!$A$2:$S$674,19,0))</f>
        <v>#NAME?</v>
      </c>
      <c r="O2675" s="32"/>
      <c r="P2675" s="32"/>
      <c r="Q2675" s="33"/>
      <c r="R2675" s="33"/>
      <c r="S2675" s="33"/>
      <c r="T2675" s="63">
        <f t="shared" si="22"/>
        <v>0</v>
      </c>
      <c r="U2675" s="33"/>
      <c r="V2675" s="33"/>
      <c r="W2675" s="33"/>
    </row>
    <row r="2676" spans="1:23" ht="16.5" customHeight="1" x14ac:dyDescent="0.2">
      <c r="A2676" s="26"/>
      <c r="B2676" s="26"/>
      <c r="C2676" s="26"/>
      <c r="D2676" s="26"/>
      <c r="E2676" s="26"/>
      <c r="F2676" s="28"/>
      <c r="G2676" s="26"/>
      <c r="H2676" s="32"/>
      <c r="I2676" s="32"/>
      <c r="J2676" s="32"/>
      <c r="K2676" s="32"/>
      <c r="L2676" s="32" t="e">
        <f ca="1">_xludf.ifna(VLOOKUP(E2676,Parámetros!$D$2:$E$34,2,0),"")</f>
        <v>#NAME?</v>
      </c>
      <c r="M2676" s="32" t="e">
        <f ca="1">_xludf.ifna(VLOOKUP(G2676,Proyectos!$A$2:$T$674,20,0),"")</f>
        <v>#NAME?</v>
      </c>
      <c r="N2676" s="32" t="e">
        <f ca="1">_xludf.ifna(VLOOKUP(G2676,Proyectos!$A$2:$S$674,19,0))</f>
        <v>#NAME?</v>
      </c>
      <c r="O2676" s="32"/>
      <c r="P2676" s="32"/>
      <c r="Q2676" s="33"/>
      <c r="R2676" s="33"/>
      <c r="S2676" s="33"/>
      <c r="T2676" s="63">
        <f t="shared" si="22"/>
        <v>0</v>
      </c>
      <c r="U2676" s="33"/>
      <c r="V2676" s="33"/>
      <c r="W2676" s="33"/>
    </row>
    <row r="2677" spans="1:23" ht="16.5" customHeight="1" x14ac:dyDescent="0.2">
      <c r="A2677" s="26"/>
      <c r="B2677" s="26"/>
      <c r="C2677" s="26"/>
      <c r="D2677" s="26"/>
      <c r="E2677" s="26"/>
      <c r="F2677" s="28"/>
      <c r="G2677" s="26"/>
      <c r="H2677" s="32"/>
      <c r="I2677" s="32"/>
      <c r="J2677" s="32"/>
      <c r="K2677" s="32"/>
      <c r="L2677" s="32" t="e">
        <f ca="1">_xludf.ifna(VLOOKUP(E2677,Parámetros!$D$2:$E$34,2,0),"")</f>
        <v>#NAME?</v>
      </c>
      <c r="M2677" s="32" t="e">
        <f ca="1">_xludf.ifna(VLOOKUP(G2677,Proyectos!$A$2:$T$674,20,0),"")</f>
        <v>#NAME?</v>
      </c>
      <c r="N2677" s="32" t="e">
        <f ca="1">_xludf.ifna(VLOOKUP(G2677,Proyectos!$A$2:$S$674,19,0))</f>
        <v>#NAME?</v>
      </c>
      <c r="O2677" s="32"/>
      <c r="P2677" s="32"/>
      <c r="Q2677" s="33"/>
      <c r="R2677" s="33"/>
      <c r="S2677" s="33"/>
      <c r="T2677" s="63">
        <f t="shared" si="22"/>
        <v>0</v>
      </c>
      <c r="U2677" s="33"/>
      <c r="V2677" s="33"/>
      <c r="W2677" s="33"/>
    </row>
    <row r="2678" spans="1:23" ht="16.5" customHeight="1" x14ac:dyDescent="0.2">
      <c r="A2678" s="26"/>
      <c r="B2678" s="26"/>
      <c r="C2678" s="26"/>
      <c r="D2678" s="26"/>
      <c r="E2678" s="26"/>
      <c r="F2678" s="28"/>
      <c r="G2678" s="26"/>
      <c r="H2678" s="32"/>
      <c r="I2678" s="32"/>
      <c r="J2678" s="32"/>
      <c r="K2678" s="32"/>
      <c r="L2678" s="32" t="e">
        <f ca="1">_xludf.ifna(VLOOKUP(E2678,Parámetros!$D$2:$E$34,2,0),"")</f>
        <v>#NAME?</v>
      </c>
      <c r="M2678" s="32" t="e">
        <f ca="1">_xludf.ifna(VLOOKUP(G2678,Proyectos!$A$2:$T$674,20,0),"")</f>
        <v>#NAME?</v>
      </c>
      <c r="N2678" s="32" t="e">
        <f ca="1">_xludf.ifna(VLOOKUP(G2678,Proyectos!$A$2:$S$674,19,0))</f>
        <v>#NAME?</v>
      </c>
      <c r="O2678" s="32"/>
      <c r="P2678" s="32"/>
      <c r="Q2678" s="33"/>
      <c r="R2678" s="33"/>
      <c r="S2678" s="33"/>
      <c r="T2678" s="63">
        <f t="shared" si="22"/>
        <v>0</v>
      </c>
      <c r="U2678" s="33"/>
      <c r="V2678" s="33"/>
      <c r="W2678" s="33"/>
    </row>
    <row r="2679" spans="1:23" ht="16.5" customHeight="1" x14ac:dyDescent="0.2">
      <c r="A2679" s="26"/>
      <c r="B2679" s="26"/>
      <c r="C2679" s="26"/>
      <c r="D2679" s="26"/>
      <c r="E2679" s="26"/>
      <c r="F2679" s="28"/>
      <c r="G2679" s="26"/>
      <c r="H2679" s="32"/>
      <c r="I2679" s="32"/>
      <c r="J2679" s="32"/>
      <c r="K2679" s="32"/>
      <c r="L2679" s="32" t="e">
        <f ca="1">_xludf.ifna(VLOOKUP(E2679,Parámetros!$D$2:$E$34,2,0),"")</f>
        <v>#NAME?</v>
      </c>
      <c r="M2679" s="32" t="e">
        <f ca="1">_xludf.ifna(VLOOKUP(G2679,Proyectos!$A$2:$T$674,20,0),"")</f>
        <v>#NAME?</v>
      </c>
      <c r="N2679" s="32" t="e">
        <f ca="1">_xludf.ifna(VLOOKUP(G2679,Proyectos!$A$2:$S$674,19,0))</f>
        <v>#NAME?</v>
      </c>
      <c r="O2679" s="32"/>
      <c r="P2679" s="32"/>
      <c r="Q2679" s="33"/>
      <c r="R2679" s="33"/>
      <c r="S2679" s="33"/>
      <c r="T2679" s="63">
        <f t="shared" si="22"/>
        <v>0</v>
      </c>
      <c r="U2679" s="33"/>
      <c r="V2679" s="33"/>
      <c r="W2679" s="33"/>
    </row>
    <row r="2680" spans="1:23" ht="16.5" customHeight="1" x14ac:dyDescent="0.2">
      <c r="A2680" s="26"/>
      <c r="B2680" s="26"/>
      <c r="C2680" s="26"/>
      <c r="D2680" s="26"/>
      <c r="E2680" s="26"/>
      <c r="F2680" s="28"/>
      <c r="G2680" s="26"/>
      <c r="H2680" s="32"/>
      <c r="I2680" s="32"/>
      <c r="J2680" s="32"/>
      <c r="K2680" s="32"/>
      <c r="L2680" s="32" t="e">
        <f ca="1">_xludf.ifna(VLOOKUP(E2680,Parámetros!$D$2:$E$34,2,0),"")</f>
        <v>#NAME?</v>
      </c>
      <c r="M2680" s="32" t="e">
        <f ca="1">_xludf.ifna(VLOOKUP(G2680,Proyectos!$A$2:$T$674,20,0),"")</f>
        <v>#NAME?</v>
      </c>
      <c r="N2680" s="32" t="e">
        <f ca="1">_xludf.ifna(VLOOKUP(G2680,Proyectos!$A$2:$S$674,19,0))</f>
        <v>#NAME?</v>
      </c>
      <c r="O2680" s="32"/>
      <c r="P2680" s="32"/>
      <c r="Q2680" s="33"/>
      <c r="R2680" s="33"/>
      <c r="S2680" s="33"/>
      <c r="T2680" s="63">
        <f t="shared" si="22"/>
        <v>0</v>
      </c>
      <c r="U2680" s="33"/>
      <c r="V2680" s="33"/>
      <c r="W2680" s="33"/>
    </row>
    <row r="2681" spans="1:23" ht="16.5" customHeight="1" x14ac:dyDescent="0.2">
      <c r="A2681" s="26"/>
      <c r="B2681" s="26"/>
      <c r="C2681" s="26"/>
      <c r="D2681" s="26"/>
      <c r="E2681" s="26"/>
      <c r="F2681" s="28"/>
      <c r="G2681" s="26"/>
      <c r="H2681" s="32"/>
      <c r="I2681" s="32"/>
      <c r="J2681" s="32"/>
      <c r="K2681" s="32"/>
      <c r="L2681" s="32" t="e">
        <f ca="1">_xludf.ifna(VLOOKUP(E2681,Parámetros!$D$2:$E$34,2,0),"")</f>
        <v>#NAME?</v>
      </c>
      <c r="M2681" s="32" t="e">
        <f ca="1">_xludf.ifna(VLOOKUP(G2681,Proyectos!$A$2:$T$674,20,0),"")</f>
        <v>#NAME?</v>
      </c>
      <c r="N2681" s="32" t="e">
        <f ca="1">_xludf.ifna(VLOOKUP(G2681,Proyectos!$A$2:$S$674,19,0))</f>
        <v>#NAME?</v>
      </c>
      <c r="O2681" s="32"/>
      <c r="P2681" s="32"/>
      <c r="Q2681" s="33"/>
      <c r="R2681" s="33"/>
      <c r="S2681" s="33"/>
      <c r="T2681" s="63">
        <f t="shared" si="22"/>
        <v>0</v>
      </c>
      <c r="U2681" s="33"/>
      <c r="V2681" s="33"/>
      <c r="W2681" s="33"/>
    </row>
    <row r="2682" spans="1:23" ht="16.5" customHeight="1" x14ac:dyDescent="0.2">
      <c r="A2682" s="26"/>
      <c r="B2682" s="26"/>
      <c r="C2682" s="26"/>
      <c r="D2682" s="26"/>
      <c r="E2682" s="26"/>
      <c r="F2682" s="28"/>
      <c r="G2682" s="26"/>
      <c r="H2682" s="32"/>
      <c r="I2682" s="32"/>
      <c r="J2682" s="32"/>
      <c r="K2682" s="32"/>
      <c r="L2682" s="32" t="e">
        <f ca="1">_xludf.ifna(VLOOKUP(E2682,Parámetros!$D$2:$E$34,2,0),"")</f>
        <v>#NAME?</v>
      </c>
      <c r="M2682" s="32" t="e">
        <f ca="1">_xludf.ifna(VLOOKUP(G2682,Proyectos!$A$2:$T$674,20,0),"")</f>
        <v>#NAME?</v>
      </c>
      <c r="N2682" s="32" t="e">
        <f ca="1">_xludf.ifna(VLOOKUP(G2682,Proyectos!$A$2:$S$674,19,0))</f>
        <v>#NAME?</v>
      </c>
      <c r="O2682" s="32"/>
      <c r="P2682" s="32"/>
      <c r="Q2682" s="33"/>
      <c r="R2682" s="33"/>
      <c r="S2682" s="33"/>
      <c r="T2682" s="63">
        <f t="shared" si="22"/>
        <v>0</v>
      </c>
      <c r="U2682" s="33"/>
      <c r="V2682" s="33"/>
      <c r="W2682" s="33"/>
    </row>
    <row r="2683" spans="1:23" ht="16.5" customHeight="1" x14ac:dyDescent="0.2">
      <c r="A2683" s="26"/>
      <c r="B2683" s="26"/>
      <c r="C2683" s="26"/>
      <c r="D2683" s="26"/>
      <c r="E2683" s="26"/>
      <c r="F2683" s="28"/>
      <c r="G2683" s="26"/>
      <c r="H2683" s="32"/>
      <c r="I2683" s="32"/>
      <c r="J2683" s="32"/>
      <c r="K2683" s="32"/>
      <c r="L2683" s="32" t="e">
        <f ca="1">_xludf.ifna(VLOOKUP(E2683,Parámetros!$D$2:$E$34,2,0),"")</f>
        <v>#NAME?</v>
      </c>
      <c r="M2683" s="32" t="e">
        <f ca="1">_xludf.ifna(VLOOKUP(G2683,Proyectos!$A$2:$T$674,20,0),"")</f>
        <v>#NAME?</v>
      </c>
      <c r="N2683" s="32" t="e">
        <f ca="1">_xludf.ifna(VLOOKUP(G2683,Proyectos!$A$2:$S$674,19,0))</f>
        <v>#NAME?</v>
      </c>
      <c r="O2683" s="32"/>
      <c r="P2683" s="32"/>
      <c r="Q2683" s="33"/>
      <c r="R2683" s="33"/>
      <c r="S2683" s="33"/>
      <c r="T2683" s="63">
        <f t="shared" si="22"/>
        <v>0</v>
      </c>
      <c r="U2683" s="33"/>
      <c r="V2683" s="33"/>
      <c r="W2683" s="33"/>
    </row>
    <row r="2684" spans="1:23" ht="16.5" customHeight="1" x14ac:dyDescent="0.2">
      <c r="A2684" s="26"/>
      <c r="B2684" s="26"/>
      <c r="C2684" s="26"/>
      <c r="D2684" s="26"/>
      <c r="E2684" s="26"/>
      <c r="F2684" s="28"/>
      <c r="G2684" s="26"/>
      <c r="H2684" s="32"/>
      <c r="I2684" s="32"/>
      <c r="J2684" s="32"/>
      <c r="K2684" s="32"/>
      <c r="L2684" s="32" t="e">
        <f ca="1">_xludf.ifna(VLOOKUP(E2684,Parámetros!$D$2:$E$34,2,0),"")</f>
        <v>#NAME?</v>
      </c>
      <c r="M2684" s="32" t="e">
        <f ca="1">_xludf.ifna(VLOOKUP(G2684,Proyectos!$A$2:$T$674,20,0),"")</f>
        <v>#NAME?</v>
      </c>
      <c r="N2684" s="32" t="e">
        <f ca="1">_xludf.ifna(VLOOKUP(G2684,Proyectos!$A$2:$S$674,19,0))</f>
        <v>#NAME?</v>
      </c>
      <c r="O2684" s="32"/>
      <c r="P2684" s="32"/>
      <c r="Q2684" s="33"/>
      <c r="R2684" s="33"/>
      <c r="S2684" s="33"/>
      <c r="T2684" s="63">
        <f t="shared" si="22"/>
        <v>0</v>
      </c>
      <c r="U2684" s="33"/>
      <c r="V2684" s="33"/>
      <c r="W2684" s="33"/>
    </row>
    <row r="2685" spans="1:23" ht="16.5" customHeight="1" x14ac:dyDescent="0.2">
      <c r="A2685" s="26"/>
      <c r="B2685" s="26"/>
      <c r="C2685" s="26"/>
      <c r="D2685" s="26"/>
      <c r="E2685" s="26"/>
      <c r="F2685" s="28"/>
      <c r="G2685" s="26"/>
      <c r="H2685" s="32"/>
      <c r="I2685" s="32"/>
      <c r="J2685" s="32"/>
      <c r="K2685" s="32"/>
      <c r="L2685" s="32" t="e">
        <f ca="1">_xludf.ifna(VLOOKUP(E2685,Parámetros!$D$2:$E$34,2,0),"")</f>
        <v>#NAME?</v>
      </c>
      <c r="M2685" s="32" t="e">
        <f ca="1">_xludf.ifna(VLOOKUP(G2685,Proyectos!$A$2:$T$674,20,0),"")</f>
        <v>#NAME?</v>
      </c>
      <c r="N2685" s="32" t="e">
        <f ca="1">_xludf.ifna(VLOOKUP(G2685,Proyectos!$A$2:$S$674,19,0))</f>
        <v>#NAME?</v>
      </c>
      <c r="O2685" s="32"/>
      <c r="P2685" s="32"/>
      <c r="Q2685" s="33"/>
      <c r="R2685" s="33"/>
      <c r="S2685" s="33"/>
      <c r="T2685" s="63">
        <f t="shared" si="22"/>
        <v>0</v>
      </c>
      <c r="U2685" s="33"/>
      <c r="V2685" s="33"/>
      <c r="W2685" s="33"/>
    </row>
    <row r="2686" spans="1:23" ht="16.5" customHeight="1" x14ac:dyDescent="0.2">
      <c r="A2686" s="26"/>
      <c r="B2686" s="26"/>
      <c r="C2686" s="26"/>
      <c r="D2686" s="26"/>
      <c r="E2686" s="26"/>
      <c r="F2686" s="28"/>
      <c r="G2686" s="26"/>
      <c r="H2686" s="32"/>
      <c r="I2686" s="32"/>
      <c r="J2686" s="32"/>
      <c r="K2686" s="32"/>
      <c r="L2686" s="32" t="e">
        <f ca="1">_xludf.ifna(VLOOKUP(E2686,Parámetros!$D$2:$E$34,2,0),"")</f>
        <v>#NAME?</v>
      </c>
      <c r="M2686" s="32" t="e">
        <f ca="1">_xludf.ifna(VLOOKUP(G2686,Proyectos!$A$2:$T$674,20,0),"")</f>
        <v>#NAME?</v>
      </c>
      <c r="N2686" s="32" t="e">
        <f ca="1">_xludf.ifna(VLOOKUP(G2686,Proyectos!$A$2:$S$674,19,0))</f>
        <v>#NAME?</v>
      </c>
      <c r="O2686" s="32"/>
      <c r="P2686" s="32"/>
      <c r="Q2686" s="33"/>
      <c r="R2686" s="33"/>
      <c r="S2686" s="33"/>
      <c r="T2686" s="63">
        <f t="shared" si="22"/>
        <v>0</v>
      </c>
      <c r="U2686" s="33"/>
      <c r="V2686" s="33"/>
      <c r="W2686" s="33"/>
    </row>
    <row r="2687" spans="1:23" ht="16.5" customHeight="1" x14ac:dyDescent="0.2">
      <c r="A2687" s="26"/>
      <c r="B2687" s="26"/>
      <c r="C2687" s="26"/>
      <c r="D2687" s="26"/>
      <c r="E2687" s="26"/>
      <c r="F2687" s="28"/>
      <c r="G2687" s="26"/>
      <c r="H2687" s="32"/>
      <c r="I2687" s="32"/>
      <c r="J2687" s="32"/>
      <c r="K2687" s="32"/>
      <c r="L2687" s="32" t="e">
        <f ca="1">_xludf.ifna(VLOOKUP(E2687,Parámetros!$D$2:$E$34,2,0),"")</f>
        <v>#NAME?</v>
      </c>
      <c r="M2687" s="32" t="e">
        <f ca="1">_xludf.ifna(VLOOKUP(G2687,Proyectos!$A$2:$T$674,20,0),"")</f>
        <v>#NAME?</v>
      </c>
      <c r="N2687" s="32" t="e">
        <f ca="1">_xludf.ifna(VLOOKUP(G2687,Proyectos!$A$2:$S$674,19,0))</f>
        <v>#NAME?</v>
      </c>
      <c r="O2687" s="32"/>
      <c r="P2687" s="32"/>
      <c r="Q2687" s="33"/>
      <c r="R2687" s="33"/>
      <c r="S2687" s="33"/>
      <c r="T2687" s="63">
        <f t="shared" si="22"/>
        <v>0</v>
      </c>
      <c r="U2687" s="33"/>
      <c r="V2687" s="33"/>
      <c r="W2687" s="33"/>
    </row>
    <row r="2688" spans="1:23" ht="16.5" customHeight="1" x14ac:dyDescent="0.2">
      <c r="A2688" s="26"/>
      <c r="B2688" s="26"/>
      <c r="C2688" s="26"/>
      <c r="D2688" s="26"/>
      <c r="E2688" s="26"/>
      <c r="F2688" s="28"/>
      <c r="G2688" s="26"/>
      <c r="H2688" s="32"/>
      <c r="I2688" s="32"/>
      <c r="J2688" s="32"/>
      <c r="K2688" s="32"/>
      <c r="L2688" s="32" t="e">
        <f ca="1">_xludf.ifna(VLOOKUP(E2688,Parámetros!$D$2:$E$34,2,0),"")</f>
        <v>#NAME?</v>
      </c>
      <c r="M2688" s="32" t="e">
        <f ca="1">_xludf.ifna(VLOOKUP(G2688,Proyectos!$A$2:$T$674,20,0),"")</f>
        <v>#NAME?</v>
      </c>
      <c r="N2688" s="32" t="e">
        <f ca="1">_xludf.ifna(VLOOKUP(G2688,Proyectos!$A$2:$S$674,19,0))</f>
        <v>#NAME?</v>
      </c>
      <c r="O2688" s="32"/>
      <c r="P2688" s="32"/>
      <c r="Q2688" s="33"/>
      <c r="R2688" s="33"/>
      <c r="S2688" s="33"/>
      <c r="T2688" s="63">
        <f t="shared" si="22"/>
        <v>0</v>
      </c>
      <c r="U2688" s="33"/>
      <c r="V2688" s="33"/>
      <c r="W2688" s="33"/>
    </row>
    <row r="2689" spans="1:23" ht="16.5" customHeight="1" x14ac:dyDescent="0.2">
      <c r="A2689" s="26"/>
      <c r="B2689" s="26"/>
      <c r="C2689" s="26"/>
      <c r="D2689" s="26"/>
      <c r="E2689" s="26"/>
      <c r="F2689" s="28"/>
      <c r="G2689" s="26"/>
      <c r="H2689" s="32"/>
      <c r="I2689" s="32"/>
      <c r="J2689" s="32"/>
      <c r="K2689" s="32"/>
      <c r="L2689" s="32" t="e">
        <f ca="1">_xludf.ifna(VLOOKUP(E2689,Parámetros!$D$2:$E$34,2,0),"")</f>
        <v>#NAME?</v>
      </c>
      <c r="M2689" s="32" t="e">
        <f ca="1">_xludf.ifna(VLOOKUP(G2689,Proyectos!$A$2:$T$674,20,0),"")</f>
        <v>#NAME?</v>
      </c>
      <c r="N2689" s="32" t="e">
        <f ca="1">_xludf.ifna(VLOOKUP(G2689,Proyectos!$A$2:$S$674,19,0))</f>
        <v>#NAME?</v>
      </c>
      <c r="O2689" s="32"/>
      <c r="P2689" s="32"/>
      <c r="Q2689" s="33"/>
      <c r="R2689" s="33"/>
      <c r="S2689" s="33"/>
      <c r="T2689" s="63">
        <f t="shared" si="22"/>
        <v>0</v>
      </c>
      <c r="U2689" s="33"/>
      <c r="V2689" s="33"/>
      <c r="W2689" s="33"/>
    </row>
    <row r="2690" spans="1:23" ht="16.5" customHeight="1" x14ac:dyDescent="0.2">
      <c r="A2690" s="26"/>
      <c r="B2690" s="26"/>
      <c r="C2690" s="26"/>
      <c r="D2690" s="26"/>
      <c r="E2690" s="26"/>
      <c r="F2690" s="28"/>
      <c r="G2690" s="26"/>
      <c r="H2690" s="32"/>
      <c r="I2690" s="32"/>
      <c r="J2690" s="32"/>
      <c r="K2690" s="32"/>
      <c r="L2690" s="32" t="e">
        <f ca="1">_xludf.ifna(VLOOKUP(E2690,Parámetros!$D$2:$E$34,2,0),"")</f>
        <v>#NAME?</v>
      </c>
      <c r="M2690" s="32" t="e">
        <f ca="1">_xludf.ifna(VLOOKUP(G2690,Proyectos!$A$2:$T$674,20,0),"")</f>
        <v>#NAME?</v>
      </c>
      <c r="N2690" s="32" t="e">
        <f ca="1">_xludf.ifna(VLOOKUP(G2690,Proyectos!$A$2:$S$674,19,0))</f>
        <v>#NAME?</v>
      </c>
      <c r="O2690" s="32"/>
      <c r="P2690" s="32"/>
      <c r="Q2690" s="33"/>
      <c r="R2690" s="33"/>
      <c r="S2690" s="33"/>
      <c r="T2690" s="63">
        <f t="shared" si="22"/>
        <v>0</v>
      </c>
      <c r="U2690" s="33"/>
      <c r="V2690" s="33"/>
      <c r="W2690" s="33"/>
    </row>
    <row r="2691" spans="1:23" ht="16.5" customHeight="1" x14ac:dyDescent="0.2">
      <c r="A2691" s="26"/>
      <c r="B2691" s="26"/>
      <c r="C2691" s="26"/>
      <c r="D2691" s="26"/>
      <c r="E2691" s="26"/>
      <c r="F2691" s="28"/>
      <c r="G2691" s="26"/>
      <c r="H2691" s="32"/>
      <c r="I2691" s="32"/>
      <c r="J2691" s="32"/>
      <c r="K2691" s="32"/>
      <c r="L2691" s="32" t="e">
        <f ca="1">_xludf.ifna(VLOOKUP(E2691,Parámetros!$D$2:$E$34,2,0),"")</f>
        <v>#NAME?</v>
      </c>
      <c r="M2691" s="32" t="e">
        <f ca="1">_xludf.ifna(VLOOKUP(G2691,Proyectos!$A$2:$T$674,20,0),"")</f>
        <v>#NAME?</v>
      </c>
      <c r="N2691" s="32" t="e">
        <f ca="1">_xludf.ifna(VLOOKUP(G2691,Proyectos!$A$2:$S$674,19,0))</f>
        <v>#NAME?</v>
      </c>
      <c r="O2691" s="32"/>
      <c r="P2691" s="32"/>
      <c r="Q2691" s="33"/>
      <c r="R2691" s="33"/>
      <c r="S2691" s="33"/>
      <c r="T2691" s="63">
        <f t="shared" si="22"/>
        <v>0</v>
      </c>
      <c r="U2691" s="33"/>
      <c r="V2691" s="33"/>
      <c r="W2691" s="33"/>
    </row>
    <row r="2692" spans="1:23" ht="16.5" customHeight="1" x14ac:dyDescent="0.2">
      <c r="A2692" s="26"/>
      <c r="B2692" s="26"/>
      <c r="C2692" s="26"/>
      <c r="D2692" s="26"/>
      <c r="E2692" s="26"/>
      <c r="F2692" s="28"/>
      <c r="G2692" s="26"/>
      <c r="H2692" s="32"/>
      <c r="I2692" s="32"/>
      <c r="J2692" s="32"/>
      <c r="K2692" s="32"/>
      <c r="L2692" s="32" t="e">
        <f ca="1">_xludf.ifna(VLOOKUP(E2692,Parámetros!$D$2:$E$34,2,0),"")</f>
        <v>#NAME?</v>
      </c>
      <c r="M2692" s="32" t="e">
        <f ca="1">_xludf.ifna(VLOOKUP(G2692,Proyectos!$A$2:$T$674,20,0),"")</f>
        <v>#NAME?</v>
      </c>
      <c r="N2692" s="32" t="e">
        <f ca="1">_xludf.ifna(VLOOKUP(G2692,Proyectos!$A$2:$S$674,19,0))</f>
        <v>#NAME?</v>
      </c>
      <c r="O2692" s="32"/>
      <c r="P2692" s="32"/>
      <c r="Q2692" s="33"/>
      <c r="R2692" s="33"/>
      <c r="S2692" s="33"/>
      <c r="T2692" s="63">
        <f t="shared" si="22"/>
        <v>0</v>
      </c>
      <c r="U2692" s="33"/>
      <c r="V2692" s="33"/>
      <c r="W2692" s="33"/>
    </row>
    <row r="2693" spans="1:23" ht="16.5" customHeight="1" x14ac:dyDescent="0.2">
      <c r="A2693" s="26"/>
      <c r="B2693" s="26"/>
      <c r="C2693" s="26"/>
      <c r="D2693" s="26"/>
      <c r="E2693" s="26"/>
      <c r="F2693" s="28"/>
      <c r="G2693" s="26"/>
      <c r="H2693" s="32"/>
      <c r="I2693" s="32"/>
      <c r="J2693" s="32"/>
      <c r="K2693" s="32"/>
      <c r="L2693" s="32" t="e">
        <f ca="1">_xludf.ifna(VLOOKUP(E2693,Parámetros!$D$2:$E$34,2,0),"")</f>
        <v>#NAME?</v>
      </c>
      <c r="M2693" s="32" t="e">
        <f ca="1">_xludf.ifna(VLOOKUP(G2693,Proyectos!$A$2:$T$674,20,0),"")</f>
        <v>#NAME?</v>
      </c>
      <c r="N2693" s="32" t="e">
        <f ca="1">_xludf.ifna(VLOOKUP(G2693,Proyectos!$A$2:$S$674,19,0))</f>
        <v>#NAME?</v>
      </c>
      <c r="O2693" s="32"/>
      <c r="P2693" s="32"/>
      <c r="Q2693" s="33"/>
      <c r="R2693" s="33"/>
      <c r="S2693" s="33"/>
      <c r="T2693" s="63">
        <f t="shared" si="22"/>
        <v>0</v>
      </c>
      <c r="U2693" s="33"/>
      <c r="V2693" s="33"/>
      <c r="W2693" s="33"/>
    </row>
    <row r="2694" spans="1:23" ht="16.5" customHeight="1" x14ac:dyDescent="0.2">
      <c r="A2694" s="26"/>
      <c r="B2694" s="26"/>
      <c r="C2694" s="26"/>
      <c r="D2694" s="26"/>
      <c r="E2694" s="26"/>
      <c r="F2694" s="28"/>
      <c r="G2694" s="26"/>
      <c r="H2694" s="32"/>
      <c r="I2694" s="32"/>
      <c r="J2694" s="32"/>
      <c r="K2694" s="32"/>
      <c r="L2694" s="32" t="e">
        <f ca="1">_xludf.ifna(VLOOKUP(E2694,Parámetros!$D$2:$E$34,2,0),"")</f>
        <v>#NAME?</v>
      </c>
      <c r="M2694" s="32" t="e">
        <f ca="1">_xludf.ifna(VLOOKUP(G2694,Proyectos!$A$2:$T$674,20,0),"")</f>
        <v>#NAME?</v>
      </c>
      <c r="N2694" s="32" t="e">
        <f ca="1">_xludf.ifna(VLOOKUP(G2694,Proyectos!$A$2:$S$674,19,0))</f>
        <v>#NAME?</v>
      </c>
      <c r="O2694" s="32"/>
      <c r="P2694" s="32"/>
      <c r="Q2694" s="33"/>
      <c r="R2694" s="33"/>
      <c r="S2694" s="33"/>
      <c r="T2694" s="63">
        <f t="shared" si="22"/>
        <v>0</v>
      </c>
      <c r="U2694" s="33"/>
      <c r="V2694" s="33"/>
      <c r="W2694" s="33"/>
    </row>
    <row r="2695" spans="1:23" ht="16.5" customHeight="1" x14ac:dyDescent="0.2">
      <c r="A2695" s="26"/>
      <c r="B2695" s="26"/>
      <c r="C2695" s="26"/>
      <c r="D2695" s="26"/>
      <c r="E2695" s="26"/>
      <c r="F2695" s="28"/>
      <c r="G2695" s="26"/>
      <c r="H2695" s="32"/>
      <c r="I2695" s="32"/>
      <c r="J2695" s="32"/>
      <c r="K2695" s="32"/>
      <c r="L2695" s="32" t="e">
        <f ca="1">_xludf.ifna(VLOOKUP(E2695,Parámetros!$D$2:$E$34,2,0),"")</f>
        <v>#NAME?</v>
      </c>
      <c r="M2695" s="32" t="e">
        <f ca="1">_xludf.ifna(VLOOKUP(G2695,Proyectos!$A$2:$T$674,20,0),"")</f>
        <v>#NAME?</v>
      </c>
      <c r="N2695" s="32" t="e">
        <f ca="1">_xludf.ifna(VLOOKUP(G2695,Proyectos!$A$2:$S$674,19,0))</f>
        <v>#NAME?</v>
      </c>
      <c r="O2695" s="32"/>
      <c r="P2695" s="32"/>
      <c r="Q2695" s="33"/>
      <c r="R2695" s="33"/>
      <c r="S2695" s="33"/>
      <c r="T2695" s="63">
        <f t="shared" si="22"/>
        <v>0</v>
      </c>
      <c r="U2695" s="33"/>
      <c r="V2695" s="33"/>
      <c r="W2695" s="33"/>
    </row>
    <row r="2696" spans="1:23" ht="16.5" customHeight="1" x14ac:dyDescent="0.2">
      <c r="A2696" s="26"/>
      <c r="B2696" s="26"/>
      <c r="C2696" s="26"/>
      <c r="D2696" s="26"/>
      <c r="E2696" s="26"/>
      <c r="F2696" s="28"/>
      <c r="G2696" s="26"/>
      <c r="H2696" s="32"/>
      <c r="I2696" s="32"/>
      <c r="J2696" s="32"/>
      <c r="K2696" s="32"/>
      <c r="L2696" s="32" t="e">
        <f ca="1">_xludf.ifna(VLOOKUP(E2696,Parámetros!$D$2:$E$34,2,0),"")</f>
        <v>#NAME?</v>
      </c>
      <c r="M2696" s="32" t="e">
        <f ca="1">_xludf.ifna(VLOOKUP(G2696,Proyectos!$A$2:$T$674,20,0),"")</f>
        <v>#NAME?</v>
      </c>
      <c r="N2696" s="32" t="e">
        <f ca="1">_xludf.ifna(VLOOKUP(G2696,Proyectos!$A$2:$S$674,19,0))</f>
        <v>#NAME?</v>
      </c>
      <c r="O2696" s="32"/>
      <c r="P2696" s="32"/>
      <c r="Q2696" s="33"/>
      <c r="R2696" s="33"/>
      <c r="S2696" s="33"/>
      <c r="T2696" s="63">
        <f t="shared" si="22"/>
        <v>0</v>
      </c>
      <c r="U2696" s="33"/>
      <c r="V2696" s="33"/>
      <c r="W2696" s="33"/>
    </row>
    <row r="2697" spans="1:23" ht="16.5" customHeight="1" x14ac:dyDescent="0.2">
      <c r="A2697" s="26"/>
      <c r="B2697" s="26"/>
      <c r="C2697" s="26"/>
      <c r="D2697" s="26"/>
      <c r="E2697" s="26"/>
      <c r="F2697" s="28"/>
      <c r="G2697" s="26"/>
      <c r="H2697" s="32"/>
      <c r="I2697" s="32"/>
      <c r="J2697" s="32"/>
      <c r="K2697" s="32"/>
      <c r="L2697" s="32" t="e">
        <f ca="1">_xludf.ifna(VLOOKUP(E2697,Parámetros!$D$2:$E$34,2,0),"")</f>
        <v>#NAME?</v>
      </c>
      <c r="M2697" s="32" t="e">
        <f ca="1">_xludf.ifna(VLOOKUP(G2697,Proyectos!$A$2:$T$674,20,0),"")</f>
        <v>#NAME?</v>
      </c>
      <c r="N2697" s="32" t="e">
        <f ca="1">_xludf.ifna(VLOOKUP(G2697,Proyectos!$A$2:$S$674,19,0))</f>
        <v>#NAME?</v>
      </c>
      <c r="O2697" s="32"/>
      <c r="P2697" s="32"/>
      <c r="Q2697" s="33"/>
      <c r="R2697" s="33"/>
      <c r="S2697" s="33"/>
      <c r="T2697" s="63">
        <f t="shared" si="22"/>
        <v>0</v>
      </c>
      <c r="U2697" s="33"/>
      <c r="V2697" s="33"/>
      <c r="W2697" s="33"/>
    </row>
    <row r="2698" spans="1:23" ht="16.5" customHeight="1" x14ac:dyDescent="0.2">
      <c r="A2698" s="26"/>
      <c r="B2698" s="26"/>
      <c r="C2698" s="26"/>
      <c r="D2698" s="26"/>
      <c r="E2698" s="26"/>
      <c r="F2698" s="28"/>
      <c r="G2698" s="26"/>
      <c r="H2698" s="32"/>
      <c r="I2698" s="32"/>
      <c r="J2698" s="32"/>
      <c r="K2698" s="32"/>
      <c r="L2698" s="32" t="e">
        <f ca="1">_xludf.ifna(VLOOKUP(E2698,Parámetros!$D$2:$E$34,2,0),"")</f>
        <v>#NAME?</v>
      </c>
      <c r="M2698" s="32" t="e">
        <f ca="1">_xludf.ifna(VLOOKUP(G2698,Proyectos!$A$2:$T$674,20,0),"")</f>
        <v>#NAME?</v>
      </c>
      <c r="N2698" s="32" t="e">
        <f ca="1">_xludf.ifna(VLOOKUP(G2698,Proyectos!$A$2:$S$674,19,0))</f>
        <v>#NAME?</v>
      </c>
      <c r="O2698" s="32"/>
      <c r="P2698" s="32"/>
      <c r="Q2698" s="33"/>
      <c r="R2698" s="33"/>
      <c r="S2698" s="33"/>
      <c r="T2698" s="63">
        <f t="shared" si="22"/>
        <v>0</v>
      </c>
      <c r="U2698" s="33"/>
      <c r="V2698" s="33"/>
      <c r="W2698" s="33"/>
    </row>
    <row r="2699" spans="1:23" ht="16.5" customHeight="1" x14ac:dyDescent="0.2">
      <c r="A2699" s="26"/>
      <c r="B2699" s="26"/>
      <c r="C2699" s="26"/>
      <c r="D2699" s="26"/>
      <c r="E2699" s="26"/>
      <c r="F2699" s="28"/>
      <c r="G2699" s="26"/>
      <c r="H2699" s="32"/>
      <c r="I2699" s="32"/>
      <c r="J2699" s="32"/>
      <c r="K2699" s="32"/>
      <c r="L2699" s="32" t="e">
        <f ca="1">_xludf.ifna(VLOOKUP(E2699,Parámetros!$D$2:$E$34,2,0),"")</f>
        <v>#NAME?</v>
      </c>
      <c r="M2699" s="32" t="e">
        <f ca="1">_xludf.ifna(VLOOKUP(G2699,Proyectos!$A$2:$T$674,20,0),"")</f>
        <v>#NAME?</v>
      </c>
      <c r="N2699" s="32" t="e">
        <f ca="1">_xludf.ifna(VLOOKUP(G2699,Proyectos!$A$2:$S$674,19,0))</f>
        <v>#NAME?</v>
      </c>
      <c r="O2699" s="32"/>
      <c r="P2699" s="32"/>
      <c r="Q2699" s="33"/>
      <c r="R2699" s="33"/>
      <c r="S2699" s="33"/>
      <c r="T2699" s="63">
        <f t="shared" si="22"/>
        <v>0</v>
      </c>
      <c r="U2699" s="33"/>
      <c r="V2699" s="33"/>
      <c r="W2699" s="33"/>
    </row>
    <row r="2700" spans="1:23" ht="16.5" customHeight="1" x14ac:dyDescent="0.2">
      <c r="A2700" s="26"/>
      <c r="B2700" s="26"/>
      <c r="C2700" s="26"/>
      <c r="D2700" s="26"/>
      <c r="E2700" s="26"/>
      <c r="F2700" s="28"/>
      <c r="G2700" s="26"/>
      <c r="H2700" s="32"/>
      <c r="I2700" s="32"/>
      <c r="J2700" s="32"/>
      <c r="K2700" s="32"/>
      <c r="L2700" s="32" t="e">
        <f ca="1">_xludf.ifna(VLOOKUP(E2700,Parámetros!$D$2:$E$34,2,0),"")</f>
        <v>#NAME?</v>
      </c>
      <c r="M2700" s="32" t="e">
        <f ca="1">_xludf.ifna(VLOOKUP(G2700,Proyectos!$A$2:$T$674,20,0),"")</f>
        <v>#NAME?</v>
      </c>
      <c r="N2700" s="32" t="e">
        <f ca="1">_xludf.ifna(VLOOKUP(G2700,Proyectos!$A$2:$S$674,19,0))</f>
        <v>#NAME?</v>
      </c>
      <c r="O2700" s="32"/>
      <c r="P2700" s="32"/>
      <c r="Q2700" s="33"/>
      <c r="R2700" s="33"/>
      <c r="S2700" s="33"/>
      <c r="T2700" s="63">
        <f t="shared" si="22"/>
        <v>0</v>
      </c>
      <c r="U2700" s="33"/>
      <c r="V2700" s="33"/>
      <c r="W2700" s="33"/>
    </row>
    <row r="2701" spans="1:23" ht="16.5" customHeight="1" x14ac:dyDescent="0.2">
      <c r="A2701" s="26"/>
      <c r="B2701" s="26"/>
      <c r="C2701" s="26"/>
      <c r="D2701" s="26"/>
      <c r="E2701" s="26"/>
      <c r="F2701" s="28"/>
      <c r="G2701" s="26"/>
      <c r="H2701" s="32"/>
      <c r="I2701" s="32"/>
      <c r="J2701" s="32"/>
      <c r="K2701" s="32"/>
      <c r="L2701" s="32" t="e">
        <f ca="1">_xludf.ifna(VLOOKUP(E2701,Parámetros!$D$2:$E$34,2,0),"")</f>
        <v>#NAME?</v>
      </c>
      <c r="M2701" s="32" t="e">
        <f ca="1">_xludf.ifna(VLOOKUP(G2701,Proyectos!$A$2:$T$674,20,0),"")</f>
        <v>#NAME?</v>
      </c>
      <c r="N2701" s="32" t="e">
        <f ca="1">_xludf.ifna(VLOOKUP(G2701,Proyectos!$A$2:$S$674,19,0))</f>
        <v>#NAME?</v>
      </c>
      <c r="O2701" s="32"/>
      <c r="P2701" s="32"/>
      <c r="Q2701" s="33"/>
      <c r="R2701" s="33"/>
      <c r="S2701" s="33"/>
      <c r="T2701" s="63">
        <f t="shared" si="22"/>
        <v>0</v>
      </c>
      <c r="U2701" s="33"/>
      <c r="V2701" s="33"/>
      <c r="W2701" s="33"/>
    </row>
    <row r="2702" spans="1:23" ht="16.5" customHeight="1" x14ac:dyDescent="0.2">
      <c r="A2702" s="26"/>
      <c r="B2702" s="26"/>
      <c r="C2702" s="26"/>
      <c r="D2702" s="26"/>
      <c r="E2702" s="26"/>
      <c r="F2702" s="28"/>
      <c r="G2702" s="26"/>
      <c r="H2702" s="32"/>
      <c r="I2702" s="32"/>
      <c r="J2702" s="32"/>
      <c r="K2702" s="32"/>
      <c r="L2702" s="32" t="e">
        <f ca="1">_xludf.ifna(VLOOKUP(E2702,Parámetros!$D$2:$E$34,2,0),"")</f>
        <v>#NAME?</v>
      </c>
      <c r="M2702" s="32" t="e">
        <f ca="1">_xludf.ifna(VLOOKUP(G2702,Proyectos!$A$2:$T$674,20,0),"")</f>
        <v>#NAME?</v>
      </c>
      <c r="N2702" s="32" t="e">
        <f ca="1">_xludf.ifna(VLOOKUP(G2702,Proyectos!$A$2:$S$674,19,0))</f>
        <v>#NAME?</v>
      </c>
      <c r="O2702" s="32"/>
      <c r="P2702" s="32"/>
      <c r="Q2702" s="33"/>
      <c r="R2702" s="33"/>
      <c r="S2702" s="33"/>
      <c r="T2702" s="63">
        <f t="shared" si="22"/>
        <v>0</v>
      </c>
      <c r="U2702" s="33"/>
      <c r="V2702" s="33"/>
      <c r="W2702" s="33"/>
    </row>
    <row r="2703" spans="1:23" ht="16.5" customHeight="1" x14ac:dyDescent="0.2">
      <c r="A2703" s="26"/>
      <c r="B2703" s="26"/>
      <c r="C2703" s="26"/>
      <c r="D2703" s="26"/>
      <c r="E2703" s="26"/>
      <c r="F2703" s="28"/>
      <c r="G2703" s="26"/>
      <c r="H2703" s="32"/>
      <c r="I2703" s="32"/>
      <c r="J2703" s="32"/>
      <c r="K2703" s="32"/>
      <c r="L2703" s="32" t="e">
        <f ca="1">_xludf.ifna(VLOOKUP(E2703,Parámetros!$D$2:$E$34,2,0),"")</f>
        <v>#NAME?</v>
      </c>
      <c r="M2703" s="32" t="e">
        <f ca="1">_xludf.ifna(VLOOKUP(G2703,Proyectos!$A$2:$T$674,20,0),"")</f>
        <v>#NAME?</v>
      </c>
      <c r="N2703" s="32" t="e">
        <f ca="1">_xludf.ifna(VLOOKUP(G2703,Proyectos!$A$2:$S$674,19,0))</f>
        <v>#NAME?</v>
      </c>
      <c r="O2703" s="32"/>
      <c r="P2703" s="32"/>
      <c r="Q2703" s="33"/>
      <c r="R2703" s="33"/>
      <c r="S2703" s="33"/>
      <c r="T2703" s="63">
        <f t="shared" si="22"/>
        <v>0</v>
      </c>
      <c r="U2703" s="33"/>
      <c r="V2703" s="33"/>
      <c r="W2703" s="33"/>
    </row>
    <row r="2704" spans="1:23" ht="16.5" customHeight="1" x14ac:dyDescent="0.2">
      <c r="A2704" s="26"/>
      <c r="B2704" s="26"/>
      <c r="C2704" s="26"/>
      <c r="D2704" s="26"/>
      <c r="E2704" s="26"/>
      <c r="F2704" s="28"/>
      <c r="G2704" s="26"/>
      <c r="H2704" s="32"/>
      <c r="I2704" s="32"/>
      <c r="J2704" s="32"/>
      <c r="K2704" s="32"/>
      <c r="L2704" s="32" t="e">
        <f ca="1">_xludf.ifna(VLOOKUP(E2704,Parámetros!$D$2:$E$34,2,0),"")</f>
        <v>#NAME?</v>
      </c>
      <c r="M2704" s="32" t="e">
        <f ca="1">_xludf.ifna(VLOOKUP(G2704,Proyectos!$A$2:$T$674,20,0),"")</f>
        <v>#NAME?</v>
      </c>
      <c r="N2704" s="32" t="e">
        <f ca="1">_xludf.ifna(VLOOKUP(G2704,Proyectos!$A$2:$S$674,19,0))</f>
        <v>#NAME?</v>
      </c>
      <c r="O2704" s="32"/>
      <c r="P2704" s="32"/>
      <c r="Q2704" s="33"/>
      <c r="R2704" s="33"/>
      <c r="S2704" s="33"/>
      <c r="T2704" s="63">
        <f t="shared" si="22"/>
        <v>0</v>
      </c>
      <c r="U2704" s="33"/>
      <c r="V2704" s="33"/>
      <c r="W2704" s="33"/>
    </row>
    <row r="2705" spans="1:23" ht="16.5" customHeight="1" x14ac:dyDescent="0.2">
      <c r="A2705" s="26"/>
      <c r="B2705" s="26"/>
      <c r="C2705" s="26"/>
      <c r="D2705" s="26"/>
      <c r="E2705" s="26"/>
      <c r="F2705" s="28"/>
      <c r="G2705" s="26"/>
      <c r="H2705" s="32"/>
      <c r="I2705" s="32"/>
      <c r="J2705" s="32"/>
      <c r="K2705" s="32"/>
      <c r="L2705" s="32" t="e">
        <f ca="1">_xludf.ifna(VLOOKUP(E2705,Parámetros!$D$2:$E$34,2,0),"")</f>
        <v>#NAME?</v>
      </c>
      <c r="M2705" s="32" t="e">
        <f ca="1">_xludf.ifna(VLOOKUP(G2705,Proyectos!$A$2:$T$674,20,0),"")</f>
        <v>#NAME?</v>
      </c>
      <c r="N2705" s="32" t="e">
        <f ca="1">_xludf.ifna(VLOOKUP(G2705,Proyectos!$A$2:$S$674,19,0))</f>
        <v>#NAME?</v>
      </c>
      <c r="O2705" s="32"/>
      <c r="P2705" s="32"/>
      <c r="Q2705" s="33"/>
      <c r="R2705" s="33"/>
      <c r="S2705" s="33"/>
      <c r="T2705" s="63">
        <f t="shared" si="22"/>
        <v>0</v>
      </c>
      <c r="U2705" s="33"/>
      <c r="V2705" s="33"/>
      <c r="W2705" s="33"/>
    </row>
    <row r="2706" spans="1:23" ht="16.5" customHeight="1" x14ac:dyDescent="0.2">
      <c r="A2706" s="26"/>
      <c r="B2706" s="26"/>
      <c r="C2706" s="26"/>
      <c r="D2706" s="26"/>
      <c r="E2706" s="26"/>
      <c r="F2706" s="28"/>
      <c r="G2706" s="26"/>
      <c r="H2706" s="32"/>
      <c r="I2706" s="32"/>
      <c r="J2706" s="32"/>
      <c r="K2706" s="32"/>
      <c r="L2706" s="32" t="e">
        <f ca="1">_xludf.ifna(VLOOKUP(E2706,Parámetros!$D$2:$E$34,2,0),"")</f>
        <v>#NAME?</v>
      </c>
      <c r="M2706" s="32" t="e">
        <f ca="1">_xludf.ifna(VLOOKUP(G2706,Proyectos!$A$2:$T$674,20,0),"")</f>
        <v>#NAME?</v>
      </c>
      <c r="N2706" s="32" t="e">
        <f ca="1">_xludf.ifna(VLOOKUP(G2706,Proyectos!$A$2:$S$674,19,0))</f>
        <v>#NAME?</v>
      </c>
      <c r="O2706" s="32"/>
      <c r="P2706" s="32"/>
      <c r="Q2706" s="33"/>
      <c r="R2706" s="33"/>
      <c r="S2706" s="33"/>
      <c r="T2706" s="63">
        <f t="shared" si="22"/>
        <v>0</v>
      </c>
      <c r="U2706" s="33"/>
      <c r="V2706" s="33"/>
      <c r="W2706" s="33"/>
    </row>
    <row r="2707" spans="1:23" ht="16.5" customHeight="1" x14ac:dyDescent="0.2">
      <c r="A2707" s="26"/>
      <c r="B2707" s="26"/>
      <c r="C2707" s="26"/>
      <c r="D2707" s="26"/>
      <c r="E2707" s="26"/>
      <c r="F2707" s="28"/>
      <c r="G2707" s="26"/>
      <c r="H2707" s="32"/>
      <c r="I2707" s="32"/>
      <c r="J2707" s="32"/>
      <c r="K2707" s="32"/>
      <c r="L2707" s="32" t="e">
        <f ca="1">_xludf.ifna(VLOOKUP(E2707,Parámetros!$D$2:$E$34,2,0),"")</f>
        <v>#NAME?</v>
      </c>
      <c r="M2707" s="32" t="e">
        <f ca="1">_xludf.ifna(VLOOKUP(G2707,Proyectos!$A$2:$T$674,20,0),"")</f>
        <v>#NAME?</v>
      </c>
      <c r="N2707" s="32" t="e">
        <f ca="1">_xludf.ifna(VLOOKUP(G2707,Proyectos!$A$2:$S$674,19,0))</f>
        <v>#NAME?</v>
      </c>
      <c r="O2707" s="32"/>
      <c r="P2707" s="32"/>
      <c r="Q2707" s="33"/>
      <c r="R2707" s="33"/>
      <c r="S2707" s="33"/>
      <c r="T2707" s="63">
        <f t="shared" si="22"/>
        <v>0</v>
      </c>
      <c r="U2707" s="33"/>
      <c r="V2707" s="33"/>
      <c r="W2707" s="33"/>
    </row>
    <row r="2708" spans="1:23" ht="16.5" customHeight="1" x14ac:dyDescent="0.2">
      <c r="A2708" s="26"/>
      <c r="B2708" s="26"/>
      <c r="C2708" s="26"/>
      <c r="D2708" s="26"/>
      <c r="E2708" s="26"/>
      <c r="F2708" s="28"/>
      <c r="G2708" s="26"/>
      <c r="H2708" s="32"/>
      <c r="I2708" s="32"/>
      <c r="J2708" s="32"/>
      <c r="K2708" s="32"/>
      <c r="L2708" s="32" t="e">
        <f ca="1">_xludf.ifna(VLOOKUP(E2708,Parámetros!$D$2:$E$34,2,0),"")</f>
        <v>#NAME?</v>
      </c>
      <c r="M2708" s="32" t="e">
        <f ca="1">_xludf.ifna(VLOOKUP(G2708,Proyectos!$A$2:$T$674,20,0),"")</f>
        <v>#NAME?</v>
      </c>
      <c r="N2708" s="32" t="e">
        <f ca="1">_xludf.ifna(VLOOKUP(G2708,Proyectos!$A$2:$S$674,19,0))</f>
        <v>#NAME?</v>
      </c>
      <c r="O2708" s="32"/>
      <c r="P2708" s="32"/>
      <c r="Q2708" s="33"/>
      <c r="R2708" s="33"/>
      <c r="S2708" s="33"/>
      <c r="T2708" s="63">
        <f t="shared" si="22"/>
        <v>0</v>
      </c>
      <c r="U2708" s="33"/>
      <c r="V2708" s="33"/>
      <c r="W2708" s="33"/>
    </row>
    <row r="2709" spans="1:23" ht="16.5" customHeight="1" x14ac:dyDescent="0.2">
      <c r="A2709" s="26"/>
      <c r="B2709" s="26"/>
      <c r="C2709" s="26"/>
      <c r="D2709" s="26"/>
      <c r="E2709" s="26"/>
      <c r="F2709" s="28"/>
      <c r="G2709" s="26"/>
      <c r="H2709" s="32"/>
      <c r="I2709" s="32"/>
      <c r="J2709" s="32"/>
      <c r="K2709" s="32"/>
      <c r="L2709" s="32" t="e">
        <f ca="1">_xludf.ifna(VLOOKUP(E2709,Parámetros!$D$2:$E$34,2,0),"")</f>
        <v>#NAME?</v>
      </c>
      <c r="M2709" s="32" t="e">
        <f ca="1">_xludf.ifna(VLOOKUP(G2709,Proyectos!$A$2:$T$674,20,0),"")</f>
        <v>#NAME?</v>
      </c>
      <c r="N2709" s="32" t="e">
        <f ca="1">_xludf.ifna(VLOOKUP(G2709,Proyectos!$A$2:$S$674,19,0))</f>
        <v>#NAME?</v>
      </c>
      <c r="O2709" s="32"/>
      <c r="P2709" s="32"/>
      <c r="Q2709" s="33"/>
      <c r="R2709" s="33"/>
      <c r="S2709" s="33"/>
      <c r="T2709" s="63">
        <f t="shared" si="22"/>
        <v>0</v>
      </c>
      <c r="U2709" s="33"/>
      <c r="V2709" s="33"/>
      <c r="W2709" s="33"/>
    </row>
    <row r="2710" spans="1:23" ht="16.5" customHeight="1" x14ac:dyDescent="0.2">
      <c r="A2710" s="26"/>
      <c r="B2710" s="26"/>
      <c r="C2710" s="26"/>
      <c r="D2710" s="26"/>
      <c r="E2710" s="26"/>
      <c r="F2710" s="28"/>
      <c r="G2710" s="26"/>
      <c r="H2710" s="32"/>
      <c r="I2710" s="32"/>
      <c r="J2710" s="32"/>
      <c r="K2710" s="32"/>
      <c r="L2710" s="32" t="e">
        <f ca="1">_xludf.ifna(VLOOKUP(E2710,Parámetros!$D$2:$E$34,2,0),"")</f>
        <v>#NAME?</v>
      </c>
      <c r="M2710" s="32" t="e">
        <f ca="1">_xludf.ifna(VLOOKUP(G2710,Proyectos!$A$2:$T$674,20,0),"")</f>
        <v>#NAME?</v>
      </c>
      <c r="N2710" s="32" t="e">
        <f ca="1">_xludf.ifna(VLOOKUP(G2710,Proyectos!$A$2:$S$674,19,0))</f>
        <v>#NAME?</v>
      </c>
      <c r="O2710" s="32"/>
      <c r="P2710" s="32"/>
      <c r="Q2710" s="33"/>
      <c r="R2710" s="33"/>
      <c r="S2710" s="33"/>
      <c r="T2710" s="63">
        <f t="shared" si="22"/>
        <v>0</v>
      </c>
      <c r="U2710" s="33"/>
      <c r="V2710" s="33"/>
      <c r="W2710" s="33"/>
    </row>
    <row r="2711" spans="1:23" ht="16.5" customHeight="1" x14ac:dyDescent="0.2">
      <c r="A2711" s="26"/>
      <c r="B2711" s="26"/>
      <c r="C2711" s="26"/>
      <c r="D2711" s="26"/>
      <c r="E2711" s="26"/>
      <c r="F2711" s="28"/>
      <c r="G2711" s="26"/>
      <c r="H2711" s="32"/>
      <c r="I2711" s="32"/>
      <c r="J2711" s="32"/>
      <c r="K2711" s="32"/>
      <c r="L2711" s="32" t="e">
        <f ca="1">_xludf.ifna(VLOOKUP(E2711,Parámetros!$D$2:$E$34,2,0),"")</f>
        <v>#NAME?</v>
      </c>
      <c r="M2711" s="32" t="e">
        <f ca="1">_xludf.ifna(VLOOKUP(G2711,Proyectos!$A$2:$T$674,20,0),"")</f>
        <v>#NAME?</v>
      </c>
      <c r="N2711" s="32" t="e">
        <f ca="1">_xludf.ifna(VLOOKUP(G2711,Proyectos!$A$2:$S$674,19,0))</f>
        <v>#NAME?</v>
      </c>
      <c r="O2711" s="32"/>
      <c r="P2711" s="32"/>
      <c r="Q2711" s="33"/>
      <c r="R2711" s="33"/>
      <c r="S2711" s="33"/>
      <c r="T2711" s="63">
        <f t="shared" si="22"/>
        <v>0</v>
      </c>
      <c r="U2711" s="33"/>
      <c r="V2711" s="33"/>
      <c r="W2711" s="33"/>
    </row>
    <row r="2712" spans="1:23" ht="16.5" customHeight="1" x14ac:dyDescent="0.2">
      <c r="A2712" s="26"/>
      <c r="B2712" s="26"/>
      <c r="C2712" s="26"/>
      <c r="D2712" s="26"/>
      <c r="E2712" s="26"/>
      <c r="F2712" s="28"/>
      <c r="G2712" s="26"/>
      <c r="H2712" s="32"/>
      <c r="I2712" s="32"/>
      <c r="J2712" s="32"/>
      <c r="K2712" s="32"/>
      <c r="L2712" s="32" t="e">
        <f ca="1">_xludf.ifna(VLOOKUP(E2712,Parámetros!$D$2:$E$34,2,0),"")</f>
        <v>#NAME?</v>
      </c>
      <c r="M2712" s="32" t="e">
        <f ca="1">_xludf.ifna(VLOOKUP(G2712,Proyectos!$A$2:$T$674,20,0),"")</f>
        <v>#NAME?</v>
      </c>
      <c r="N2712" s="32" t="e">
        <f ca="1">_xludf.ifna(VLOOKUP(G2712,Proyectos!$A$2:$S$674,19,0))</f>
        <v>#NAME?</v>
      </c>
      <c r="O2712" s="32"/>
      <c r="P2712" s="32"/>
      <c r="Q2712" s="33"/>
      <c r="R2712" s="33"/>
      <c r="S2712" s="33"/>
      <c r="T2712" s="63">
        <f t="shared" si="22"/>
        <v>0</v>
      </c>
      <c r="U2712" s="33"/>
      <c r="V2712" s="33"/>
      <c r="W2712" s="33"/>
    </row>
    <row r="2713" spans="1:23" ht="16.5" customHeight="1" x14ac:dyDescent="0.2">
      <c r="A2713" s="26"/>
      <c r="B2713" s="26"/>
      <c r="C2713" s="26"/>
      <c r="D2713" s="26"/>
      <c r="E2713" s="26"/>
      <c r="F2713" s="28"/>
      <c r="G2713" s="26"/>
      <c r="H2713" s="32"/>
      <c r="I2713" s="32"/>
      <c r="J2713" s="32"/>
      <c r="K2713" s="32"/>
      <c r="L2713" s="32" t="e">
        <f ca="1">_xludf.ifna(VLOOKUP(E2713,Parámetros!$D$2:$E$34,2,0),"")</f>
        <v>#NAME?</v>
      </c>
      <c r="M2713" s="32" t="e">
        <f ca="1">_xludf.ifna(VLOOKUP(G2713,Proyectos!$A$2:$T$674,20,0),"")</f>
        <v>#NAME?</v>
      </c>
      <c r="N2713" s="32" t="e">
        <f ca="1">_xludf.ifna(VLOOKUP(G2713,Proyectos!$A$2:$S$674,19,0))</f>
        <v>#NAME?</v>
      </c>
      <c r="O2713" s="32"/>
      <c r="P2713" s="32"/>
      <c r="Q2713" s="33"/>
      <c r="R2713" s="33"/>
      <c r="S2713" s="33"/>
      <c r="T2713" s="63">
        <f t="shared" si="22"/>
        <v>0</v>
      </c>
      <c r="U2713" s="33"/>
      <c r="V2713" s="33"/>
      <c r="W2713" s="33"/>
    </row>
    <row r="2714" spans="1:23" ht="16.5" customHeight="1" x14ac:dyDescent="0.2">
      <c r="A2714" s="26"/>
      <c r="B2714" s="26"/>
      <c r="C2714" s="26"/>
      <c r="D2714" s="26"/>
      <c r="E2714" s="26"/>
      <c r="F2714" s="28"/>
      <c r="G2714" s="26"/>
      <c r="H2714" s="32"/>
      <c r="I2714" s="32"/>
      <c r="J2714" s="32"/>
      <c r="K2714" s="32"/>
      <c r="L2714" s="32" t="e">
        <f ca="1">_xludf.ifna(VLOOKUP(E2714,Parámetros!$D$2:$E$34,2,0),"")</f>
        <v>#NAME?</v>
      </c>
      <c r="M2714" s="32" t="e">
        <f ca="1">_xludf.ifna(VLOOKUP(G2714,Proyectos!$A$2:$T$674,20,0),"")</f>
        <v>#NAME?</v>
      </c>
      <c r="N2714" s="32" t="e">
        <f ca="1">_xludf.ifna(VLOOKUP(G2714,Proyectos!$A$2:$S$674,19,0))</f>
        <v>#NAME?</v>
      </c>
      <c r="O2714" s="32"/>
      <c r="P2714" s="32"/>
      <c r="Q2714" s="33"/>
      <c r="R2714" s="33"/>
      <c r="S2714" s="33"/>
      <c r="T2714" s="63">
        <f t="shared" si="22"/>
        <v>0</v>
      </c>
      <c r="U2714" s="33"/>
      <c r="V2714" s="33"/>
      <c r="W2714" s="33"/>
    </row>
    <row r="2715" spans="1:23" ht="16.5" customHeight="1" x14ac:dyDescent="0.2">
      <c r="A2715" s="26"/>
      <c r="B2715" s="26"/>
      <c r="C2715" s="26"/>
      <c r="D2715" s="26"/>
      <c r="E2715" s="26"/>
      <c r="F2715" s="28"/>
      <c r="G2715" s="26"/>
      <c r="H2715" s="32"/>
      <c r="I2715" s="32"/>
      <c r="J2715" s="32"/>
      <c r="K2715" s="32"/>
      <c r="L2715" s="32" t="e">
        <f ca="1">_xludf.ifna(VLOOKUP(E2715,Parámetros!$D$2:$E$34,2,0),"")</f>
        <v>#NAME?</v>
      </c>
      <c r="M2715" s="32" t="e">
        <f ca="1">_xludf.ifna(VLOOKUP(G2715,Proyectos!$A$2:$T$674,20,0),"")</f>
        <v>#NAME?</v>
      </c>
      <c r="N2715" s="32" t="e">
        <f ca="1">_xludf.ifna(VLOOKUP(G2715,Proyectos!$A$2:$S$674,19,0))</f>
        <v>#NAME?</v>
      </c>
      <c r="O2715" s="32"/>
      <c r="P2715" s="32"/>
      <c r="Q2715" s="33"/>
      <c r="R2715" s="33"/>
      <c r="S2715" s="33"/>
      <c r="T2715" s="63">
        <f t="shared" si="22"/>
        <v>0</v>
      </c>
      <c r="U2715" s="33"/>
      <c r="V2715" s="33"/>
      <c r="W2715" s="33"/>
    </row>
    <row r="2716" spans="1:23" ht="16.5" customHeight="1" x14ac:dyDescent="0.2">
      <c r="A2716" s="26"/>
      <c r="B2716" s="26"/>
      <c r="C2716" s="26"/>
      <c r="D2716" s="26"/>
      <c r="E2716" s="26"/>
      <c r="F2716" s="28"/>
      <c r="G2716" s="26"/>
      <c r="H2716" s="32"/>
      <c r="I2716" s="32"/>
      <c r="J2716" s="32"/>
      <c r="K2716" s="32"/>
      <c r="L2716" s="32" t="e">
        <f ca="1">_xludf.ifna(VLOOKUP(E2716,Parámetros!$D$2:$E$34,2,0),"")</f>
        <v>#NAME?</v>
      </c>
      <c r="M2716" s="32" t="e">
        <f ca="1">_xludf.ifna(VLOOKUP(G2716,Proyectos!$A$2:$T$674,20,0),"")</f>
        <v>#NAME?</v>
      </c>
      <c r="N2716" s="32" t="e">
        <f ca="1">_xludf.ifna(VLOOKUP(G2716,Proyectos!$A$2:$S$674,19,0))</f>
        <v>#NAME?</v>
      </c>
      <c r="O2716" s="32"/>
      <c r="P2716" s="32"/>
      <c r="Q2716" s="33"/>
      <c r="R2716" s="33"/>
      <c r="S2716" s="33"/>
      <c r="T2716" s="63">
        <f t="shared" si="22"/>
        <v>0</v>
      </c>
      <c r="U2716" s="33"/>
      <c r="V2716" s="33"/>
      <c r="W2716" s="33"/>
    </row>
    <row r="2717" spans="1:23" ht="16.5" customHeight="1" x14ac:dyDescent="0.2">
      <c r="A2717" s="26"/>
      <c r="B2717" s="26"/>
      <c r="C2717" s="26"/>
      <c r="D2717" s="26"/>
      <c r="E2717" s="26"/>
      <c r="F2717" s="28"/>
      <c r="G2717" s="26"/>
      <c r="H2717" s="32"/>
      <c r="I2717" s="32"/>
      <c r="J2717" s="32"/>
      <c r="K2717" s="32"/>
      <c r="L2717" s="32" t="e">
        <f ca="1">_xludf.ifna(VLOOKUP(E2717,Parámetros!$D$2:$E$34,2,0),"")</f>
        <v>#NAME?</v>
      </c>
      <c r="M2717" s="32" t="e">
        <f ca="1">_xludf.ifna(VLOOKUP(G2717,Proyectos!$A$2:$T$674,20,0),"")</f>
        <v>#NAME?</v>
      </c>
      <c r="N2717" s="32" t="e">
        <f ca="1">_xludf.ifna(VLOOKUP(G2717,Proyectos!$A$2:$S$674,19,0))</f>
        <v>#NAME?</v>
      </c>
      <c r="O2717" s="32"/>
      <c r="P2717" s="32"/>
      <c r="Q2717" s="33"/>
      <c r="R2717" s="33"/>
      <c r="S2717" s="33"/>
      <c r="T2717" s="63">
        <f t="shared" si="22"/>
        <v>0</v>
      </c>
      <c r="U2717" s="33"/>
      <c r="V2717" s="33"/>
      <c r="W2717" s="33"/>
    </row>
    <row r="2718" spans="1:23" ht="16.5" customHeight="1" x14ac:dyDescent="0.2">
      <c r="A2718" s="26"/>
      <c r="B2718" s="26"/>
      <c r="C2718" s="26"/>
      <c r="D2718" s="26"/>
      <c r="E2718" s="26"/>
      <c r="F2718" s="28"/>
      <c r="G2718" s="26"/>
      <c r="H2718" s="32"/>
      <c r="I2718" s="32"/>
      <c r="J2718" s="32"/>
      <c r="K2718" s="32"/>
      <c r="L2718" s="32" t="e">
        <f ca="1">_xludf.ifna(VLOOKUP(E2718,Parámetros!$D$2:$E$34,2,0),"")</f>
        <v>#NAME?</v>
      </c>
      <c r="M2718" s="32" t="e">
        <f ca="1">_xludf.ifna(VLOOKUP(G2718,Proyectos!$A$2:$T$674,20,0),"")</f>
        <v>#NAME?</v>
      </c>
      <c r="N2718" s="32" t="e">
        <f ca="1">_xludf.ifna(VLOOKUP(G2718,Proyectos!$A$2:$S$674,19,0))</f>
        <v>#NAME?</v>
      </c>
      <c r="O2718" s="32"/>
      <c r="P2718" s="32"/>
      <c r="Q2718" s="33"/>
      <c r="R2718" s="33"/>
      <c r="S2718" s="33"/>
      <c r="T2718" s="63">
        <f t="shared" si="22"/>
        <v>0</v>
      </c>
      <c r="U2718" s="33"/>
      <c r="V2718" s="33"/>
      <c r="W2718" s="33"/>
    </row>
    <row r="2719" spans="1:23" ht="16.5" customHeight="1" x14ac:dyDescent="0.2">
      <c r="A2719" s="26"/>
      <c r="B2719" s="26"/>
      <c r="C2719" s="26"/>
      <c r="D2719" s="26"/>
      <c r="E2719" s="26"/>
      <c r="F2719" s="28"/>
      <c r="G2719" s="26"/>
      <c r="H2719" s="32"/>
      <c r="I2719" s="32"/>
      <c r="J2719" s="32"/>
      <c r="K2719" s="32"/>
      <c r="L2719" s="32" t="e">
        <f ca="1">_xludf.ifna(VLOOKUP(E2719,Parámetros!$D$2:$E$34,2,0),"")</f>
        <v>#NAME?</v>
      </c>
      <c r="M2719" s="32" t="e">
        <f ca="1">_xludf.ifna(VLOOKUP(G2719,Proyectos!$A$2:$T$674,20,0),"")</f>
        <v>#NAME?</v>
      </c>
      <c r="N2719" s="32" t="e">
        <f ca="1">_xludf.ifna(VLOOKUP(G2719,Proyectos!$A$2:$S$674,19,0))</f>
        <v>#NAME?</v>
      </c>
      <c r="O2719" s="32"/>
      <c r="P2719" s="32"/>
      <c r="Q2719" s="33"/>
      <c r="R2719" s="33"/>
      <c r="S2719" s="33"/>
      <c r="T2719" s="63">
        <f t="shared" si="22"/>
        <v>0</v>
      </c>
      <c r="U2719" s="33"/>
      <c r="V2719" s="33"/>
      <c r="W2719" s="33"/>
    </row>
    <row r="2720" spans="1:23" ht="16.5" customHeight="1" x14ac:dyDescent="0.2">
      <c r="A2720" s="26"/>
      <c r="B2720" s="26"/>
      <c r="C2720" s="26"/>
      <c r="D2720" s="26"/>
      <c r="E2720" s="26"/>
      <c r="F2720" s="28"/>
      <c r="G2720" s="26"/>
      <c r="H2720" s="32"/>
      <c r="I2720" s="32"/>
      <c r="J2720" s="32"/>
      <c r="K2720" s="32"/>
      <c r="L2720" s="32" t="e">
        <f ca="1">_xludf.ifna(VLOOKUP(E2720,Parámetros!$D$2:$E$34,2,0),"")</f>
        <v>#NAME?</v>
      </c>
      <c r="M2720" s="32" t="e">
        <f ca="1">_xludf.ifna(VLOOKUP(G2720,Proyectos!$A$2:$T$674,20,0),"")</f>
        <v>#NAME?</v>
      </c>
      <c r="N2720" s="32" t="e">
        <f ca="1">_xludf.ifna(VLOOKUP(G2720,Proyectos!$A$2:$S$674,19,0))</f>
        <v>#NAME?</v>
      </c>
      <c r="O2720" s="32"/>
      <c r="P2720" s="32"/>
      <c r="Q2720" s="33"/>
      <c r="R2720" s="33"/>
      <c r="S2720" s="33"/>
      <c r="T2720" s="63">
        <f t="shared" si="22"/>
        <v>0</v>
      </c>
      <c r="U2720" s="33"/>
      <c r="V2720" s="33"/>
      <c r="W2720" s="33"/>
    </row>
    <row r="2721" spans="1:23" ht="16.5" customHeight="1" x14ac:dyDescent="0.2">
      <c r="A2721" s="26"/>
      <c r="B2721" s="26"/>
      <c r="C2721" s="26"/>
      <c r="D2721" s="26"/>
      <c r="E2721" s="26"/>
      <c r="F2721" s="28"/>
      <c r="G2721" s="26"/>
      <c r="H2721" s="32"/>
      <c r="I2721" s="32"/>
      <c r="J2721" s="32"/>
      <c r="K2721" s="32"/>
      <c r="L2721" s="32" t="e">
        <f ca="1">_xludf.ifna(VLOOKUP(E2721,Parámetros!$D$2:$E$34,2,0),"")</f>
        <v>#NAME?</v>
      </c>
      <c r="M2721" s="32" t="e">
        <f ca="1">_xludf.ifna(VLOOKUP(G2721,Proyectos!$A$2:$T$674,20,0),"")</f>
        <v>#NAME?</v>
      </c>
      <c r="N2721" s="32" t="e">
        <f ca="1">_xludf.ifna(VLOOKUP(G2721,Proyectos!$A$2:$S$674,19,0))</f>
        <v>#NAME?</v>
      </c>
      <c r="O2721" s="32"/>
      <c r="P2721" s="32"/>
      <c r="Q2721" s="33"/>
      <c r="R2721" s="33"/>
      <c r="S2721" s="33"/>
      <c r="T2721" s="63">
        <f t="shared" si="22"/>
        <v>0</v>
      </c>
      <c r="U2721" s="33"/>
      <c r="V2721" s="33"/>
      <c r="W2721" s="33"/>
    </row>
    <row r="2722" spans="1:23" ht="16.5" customHeight="1" x14ac:dyDescent="0.2">
      <c r="A2722" s="26"/>
      <c r="B2722" s="26"/>
      <c r="C2722" s="26"/>
      <c r="D2722" s="26"/>
      <c r="E2722" s="26"/>
      <c r="F2722" s="28"/>
      <c r="G2722" s="26"/>
      <c r="H2722" s="32"/>
      <c r="I2722" s="32"/>
      <c r="J2722" s="32"/>
      <c r="K2722" s="32"/>
      <c r="L2722" s="32" t="e">
        <f ca="1">_xludf.ifna(VLOOKUP(E2722,Parámetros!$D$2:$E$34,2,0),"")</f>
        <v>#NAME?</v>
      </c>
      <c r="M2722" s="32" t="e">
        <f ca="1">_xludf.ifna(VLOOKUP(G2722,Proyectos!$A$2:$T$674,20,0),"")</f>
        <v>#NAME?</v>
      </c>
      <c r="N2722" s="32" t="e">
        <f ca="1">_xludf.ifna(VLOOKUP(G2722,Proyectos!$A$2:$S$674,19,0))</f>
        <v>#NAME?</v>
      </c>
      <c r="O2722" s="32"/>
      <c r="P2722" s="32"/>
      <c r="Q2722" s="33"/>
      <c r="R2722" s="33"/>
      <c r="S2722" s="33"/>
      <c r="T2722" s="63">
        <f t="shared" si="22"/>
        <v>0</v>
      </c>
      <c r="U2722" s="33"/>
      <c r="V2722" s="33"/>
      <c r="W2722" s="33"/>
    </row>
    <row r="2723" spans="1:23" ht="16.5" customHeight="1" x14ac:dyDescent="0.2">
      <c r="A2723" s="26"/>
      <c r="B2723" s="26"/>
      <c r="C2723" s="26"/>
      <c r="D2723" s="26"/>
      <c r="E2723" s="26"/>
      <c r="F2723" s="28"/>
      <c r="G2723" s="26"/>
      <c r="H2723" s="32"/>
      <c r="I2723" s="32"/>
      <c r="J2723" s="32"/>
      <c r="K2723" s="32"/>
      <c r="L2723" s="32" t="e">
        <f ca="1">_xludf.ifna(VLOOKUP(E2723,Parámetros!$D$2:$E$34,2,0),"")</f>
        <v>#NAME?</v>
      </c>
      <c r="M2723" s="32" t="e">
        <f ca="1">_xludf.ifna(VLOOKUP(G2723,Proyectos!$A$2:$T$674,20,0),"")</f>
        <v>#NAME?</v>
      </c>
      <c r="N2723" s="32" t="e">
        <f ca="1">_xludf.ifna(VLOOKUP(G2723,Proyectos!$A$2:$S$674,19,0))</f>
        <v>#NAME?</v>
      </c>
      <c r="O2723" s="32"/>
      <c r="P2723" s="32"/>
      <c r="Q2723" s="33"/>
      <c r="R2723" s="33"/>
      <c r="S2723" s="33"/>
      <c r="T2723" s="63">
        <f t="shared" si="22"/>
        <v>0</v>
      </c>
      <c r="U2723" s="33"/>
      <c r="V2723" s="33"/>
      <c r="W2723" s="33"/>
    </row>
    <row r="2724" spans="1:23" ht="16.5" customHeight="1" x14ac:dyDescent="0.2">
      <c r="A2724" s="26"/>
      <c r="B2724" s="26"/>
      <c r="C2724" s="26"/>
      <c r="D2724" s="26"/>
      <c r="E2724" s="26"/>
      <c r="F2724" s="28"/>
      <c r="G2724" s="26"/>
      <c r="H2724" s="32"/>
      <c r="I2724" s="32"/>
      <c r="J2724" s="32"/>
      <c r="K2724" s="32"/>
      <c r="L2724" s="32" t="e">
        <f ca="1">_xludf.ifna(VLOOKUP(E2724,Parámetros!$D$2:$E$34,2,0),"")</f>
        <v>#NAME?</v>
      </c>
      <c r="M2724" s="32" t="e">
        <f ca="1">_xludf.ifna(VLOOKUP(G2724,Proyectos!$A$2:$T$674,20,0),"")</f>
        <v>#NAME?</v>
      </c>
      <c r="N2724" s="32" t="e">
        <f ca="1">_xludf.ifna(VLOOKUP(G2724,Proyectos!$A$2:$S$674,19,0))</f>
        <v>#NAME?</v>
      </c>
      <c r="O2724" s="32"/>
      <c r="P2724" s="32"/>
      <c r="Q2724" s="33"/>
      <c r="R2724" s="33"/>
      <c r="S2724" s="33"/>
      <c r="T2724" s="63">
        <f t="shared" si="22"/>
        <v>0</v>
      </c>
      <c r="U2724" s="33"/>
      <c r="V2724" s="33"/>
      <c r="W2724" s="33"/>
    </row>
    <row r="2725" spans="1:23" ht="16.5" customHeight="1" x14ac:dyDescent="0.2">
      <c r="A2725" s="26"/>
      <c r="B2725" s="26"/>
      <c r="C2725" s="26"/>
      <c r="D2725" s="26"/>
      <c r="E2725" s="26"/>
      <c r="F2725" s="28"/>
      <c r="G2725" s="26"/>
      <c r="H2725" s="32"/>
      <c r="I2725" s="32"/>
      <c r="J2725" s="32"/>
      <c r="K2725" s="32"/>
      <c r="L2725" s="32" t="e">
        <f ca="1">_xludf.ifna(VLOOKUP(E2725,Parámetros!$D$2:$E$34,2,0),"")</f>
        <v>#NAME?</v>
      </c>
      <c r="M2725" s="32" t="e">
        <f ca="1">_xludf.ifna(VLOOKUP(G2725,Proyectos!$A$2:$T$674,20,0),"")</f>
        <v>#NAME?</v>
      </c>
      <c r="N2725" s="32" t="e">
        <f ca="1">_xludf.ifna(VLOOKUP(G2725,Proyectos!$A$2:$S$674,19,0))</f>
        <v>#NAME?</v>
      </c>
      <c r="O2725" s="32"/>
      <c r="P2725" s="32"/>
      <c r="Q2725" s="33"/>
      <c r="R2725" s="33"/>
      <c r="S2725" s="33"/>
      <c r="T2725" s="63">
        <f t="shared" si="22"/>
        <v>0</v>
      </c>
      <c r="U2725" s="33"/>
      <c r="V2725" s="33"/>
      <c r="W2725" s="33"/>
    </row>
    <row r="2726" spans="1:23" ht="16.5" customHeight="1" x14ac:dyDescent="0.2">
      <c r="A2726" s="26"/>
      <c r="B2726" s="26"/>
      <c r="C2726" s="26"/>
      <c r="D2726" s="26"/>
      <c r="E2726" s="26"/>
      <c r="F2726" s="28"/>
      <c r="G2726" s="26"/>
      <c r="H2726" s="32"/>
      <c r="I2726" s="32"/>
      <c r="J2726" s="32"/>
      <c r="K2726" s="32"/>
      <c r="L2726" s="32" t="e">
        <f ca="1">_xludf.ifna(VLOOKUP(E2726,Parámetros!$D$2:$E$34,2,0),"")</f>
        <v>#NAME?</v>
      </c>
      <c r="M2726" s="32" t="e">
        <f ca="1">_xludf.ifna(VLOOKUP(G2726,Proyectos!$A$2:$T$674,20,0),"")</f>
        <v>#NAME?</v>
      </c>
      <c r="N2726" s="32" t="e">
        <f ca="1">_xludf.ifna(VLOOKUP(G2726,Proyectos!$A$2:$S$674,19,0))</f>
        <v>#NAME?</v>
      </c>
      <c r="O2726" s="32"/>
      <c r="P2726" s="32"/>
      <c r="Q2726" s="33"/>
      <c r="R2726" s="33"/>
      <c r="S2726" s="33"/>
      <c r="T2726" s="63">
        <f t="shared" si="22"/>
        <v>0</v>
      </c>
      <c r="U2726" s="33"/>
      <c r="V2726" s="33"/>
      <c r="W2726" s="33"/>
    </row>
    <row r="2727" spans="1:23" ht="16.5" customHeight="1" x14ac:dyDescent="0.2">
      <c r="A2727" s="26"/>
      <c r="B2727" s="26"/>
      <c r="C2727" s="26"/>
      <c r="D2727" s="26"/>
      <c r="E2727" s="26"/>
      <c r="F2727" s="28"/>
      <c r="G2727" s="26"/>
      <c r="H2727" s="32"/>
      <c r="I2727" s="32"/>
      <c r="J2727" s="32"/>
      <c r="K2727" s="32"/>
      <c r="L2727" s="32" t="e">
        <f ca="1">_xludf.ifna(VLOOKUP(E2727,Parámetros!$D$2:$E$34,2,0),"")</f>
        <v>#NAME?</v>
      </c>
      <c r="M2727" s="32" t="e">
        <f ca="1">_xludf.ifna(VLOOKUP(G2727,Proyectos!$A$2:$T$674,20,0),"")</f>
        <v>#NAME?</v>
      </c>
      <c r="N2727" s="32" t="e">
        <f ca="1">_xludf.ifna(VLOOKUP(G2727,Proyectos!$A$2:$S$674,19,0))</f>
        <v>#NAME?</v>
      </c>
      <c r="O2727" s="32"/>
      <c r="P2727" s="32"/>
      <c r="Q2727" s="33"/>
      <c r="R2727" s="33"/>
      <c r="S2727" s="33"/>
      <c r="T2727" s="63">
        <f t="shared" si="22"/>
        <v>0</v>
      </c>
      <c r="U2727" s="33"/>
      <c r="V2727" s="33"/>
      <c r="W2727" s="33"/>
    </row>
    <row r="2728" spans="1:23" ht="16.5" customHeight="1" x14ac:dyDescent="0.2">
      <c r="A2728" s="26"/>
      <c r="B2728" s="26"/>
      <c r="C2728" s="26"/>
      <c r="D2728" s="26"/>
      <c r="E2728" s="26"/>
      <c r="F2728" s="28"/>
      <c r="G2728" s="26"/>
      <c r="H2728" s="32"/>
      <c r="I2728" s="32"/>
      <c r="J2728" s="32"/>
      <c r="K2728" s="32"/>
      <c r="L2728" s="32" t="e">
        <f ca="1">_xludf.ifna(VLOOKUP(E2728,Parámetros!$D$2:$E$34,2,0),"")</f>
        <v>#NAME?</v>
      </c>
      <c r="M2728" s="32" t="e">
        <f ca="1">_xludf.ifna(VLOOKUP(G2728,Proyectos!$A$2:$T$674,20,0),"")</f>
        <v>#NAME?</v>
      </c>
      <c r="N2728" s="32" t="e">
        <f ca="1">_xludf.ifna(VLOOKUP(G2728,Proyectos!$A$2:$S$674,19,0))</f>
        <v>#NAME?</v>
      </c>
      <c r="O2728" s="32"/>
      <c r="P2728" s="32"/>
      <c r="Q2728" s="33"/>
      <c r="R2728" s="33"/>
      <c r="S2728" s="33"/>
      <c r="T2728" s="63">
        <f t="shared" si="22"/>
        <v>0</v>
      </c>
      <c r="U2728" s="33"/>
      <c r="V2728" s="33"/>
      <c r="W2728" s="33"/>
    </row>
    <row r="2729" spans="1:23" ht="16.5" customHeight="1" x14ac:dyDescent="0.2">
      <c r="A2729" s="26"/>
      <c r="B2729" s="26"/>
      <c r="C2729" s="26"/>
      <c r="D2729" s="26"/>
      <c r="E2729" s="26"/>
      <c r="F2729" s="28"/>
      <c r="G2729" s="26"/>
      <c r="H2729" s="32"/>
      <c r="I2729" s="32"/>
      <c r="J2729" s="32"/>
      <c r="K2729" s="32"/>
      <c r="L2729" s="32" t="e">
        <f ca="1">_xludf.ifna(VLOOKUP(E2729,Parámetros!$D$2:$E$34,2,0),"")</f>
        <v>#NAME?</v>
      </c>
      <c r="M2729" s="32" t="e">
        <f ca="1">_xludf.ifna(VLOOKUP(G2729,Proyectos!$A$2:$T$674,20,0),"")</f>
        <v>#NAME?</v>
      </c>
      <c r="N2729" s="32" t="e">
        <f ca="1">_xludf.ifna(VLOOKUP(G2729,Proyectos!$A$2:$S$674,19,0))</f>
        <v>#NAME?</v>
      </c>
      <c r="O2729" s="32"/>
      <c r="P2729" s="32"/>
      <c r="Q2729" s="33"/>
      <c r="R2729" s="33"/>
      <c r="S2729" s="33"/>
      <c r="T2729" s="63">
        <f t="shared" si="22"/>
        <v>0</v>
      </c>
      <c r="U2729" s="33"/>
      <c r="V2729" s="33"/>
      <c r="W2729" s="33"/>
    </row>
    <row r="2730" spans="1:23" ht="16.5" customHeight="1" x14ac:dyDescent="0.2">
      <c r="A2730" s="26"/>
      <c r="B2730" s="26"/>
      <c r="C2730" s="26"/>
      <c r="D2730" s="26"/>
      <c r="E2730" s="26"/>
      <c r="F2730" s="28"/>
      <c r="G2730" s="26"/>
      <c r="H2730" s="32"/>
      <c r="I2730" s="32"/>
      <c r="J2730" s="32"/>
      <c r="K2730" s="32"/>
      <c r="L2730" s="32" t="e">
        <f ca="1">_xludf.ifna(VLOOKUP(E2730,Parámetros!$D$2:$E$34,2,0),"")</f>
        <v>#NAME?</v>
      </c>
      <c r="M2730" s="32" t="e">
        <f ca="1">_xludf.ifna(VLOOKUP(G2730,Proyectos!$A$2:$T$674,20,0),"")</f>
        <v>#NAME?</v>
      </c>
      <c r="N2730" s="32" t="e">
        <f ca="1">_xludf.ifna(VLOOKUP(G2730,Proyectos!$A$2:$S$674,19,0))</f>
        <v>#NAME?</v>
      </c>
      <c r="O2730" s="32"/>
      <c r="P2730" s="32"/>
      <c r="Q2730" s="33"/>
      <c r="R2730" s="33"/>
      <c r="S2730" s="33"/>
      <c r="T2730" s="63">
        <f t="shared" si="22"/>
        <v>0</v>
      </c>
      <c r="U2730" s="33"/>
      <c r="V2730" s="33"/>
      <c r="W2730" s="33"/>
    </row>
    <row r="2731" spans="1:23" ht="16.5" customHeight="1" x14ac:dyDescent="0.2">
      <c r="A2731" s="26"/>
      <c r="B2731" s="26"/>
      <c r="C2731" s="26"/>
      <c r="D2731" s="26"/>
      <c r="E2731" s="26"/>
      <c r="F2731" s="28"/>
      <c r="G2731" s="26"/>
      <c r="H2731" s="32"/>
      <c r="I2731" s="32"/>
      <c r="J2731" s="32"/>
      <c r="K2731" s="32"/>
      <c r="L2731" s="32" t="e">
        <f ca="1">_xludf.ifna(VLOOKUP(E2731,Parámetros!$D$2:$E$34,2,0),"")</f>
        <v>#NAME?</v>
      </c>
      <c r="M2731" s="32" t="e">
        <f ca="1">_xludf.ifna(VLOOKUP(G2731,Proyectos!$A$2:$T$674,20,0),"")</f>
        <v>#NAME?</v>
      </c>
      <c r="N2731" s="32" t="e">
        <f ca="1">_xludf.ifna(VLOOKUP(G2731,Proyectos!$A$2:$S$674,19,0))</f>
        <v>#NAME?</v>
      </c>
      <c r="O2731" s="32"/>
      <c r="P2731" s="32"/>
      <c r="Q2731" s="33"/>
      <c r="R2731" s="33"/>
      <c r="S2731" s="33"/>
      <c r="T2731" s="63">
        <f t="shared" si="22"/>
        <v>0</v>
      </c>
      <c r="U2731" s="33"/>
      <c r="V2731" s="33"/>
      <c r="W2731" s="33"/>
    </row>
    <row r="2732" spans="1:23" ht="16.5" customHeight="1" x14ac:dyDescent="0.2">
      <c r="A2732" s="26"/>
      <c r="B2732" s="26"/>
      <c r="C2732" s="26"/>
      <c r="D2732" s="26"/>
      <c r="E2732" s="26"/>
      <c r="F2732" s="28"/>
      <c r="G2732" s="26"/>
      <c r="H2732" s="32"/>
      <c r="I2732" s="32"/>
      <c r="J2732" s="32"/>
      <c r="K2732" s="32"/>
      <c r="L2732" s="32" t="e">
        <f ca="1">_xludf.ifna(VLOOKUP(E2732,Parámetros!$D$2:$E$34,2,0),"")</f>
        <v>#NAME?</v>
      </c>
      <c r="M2732" s="32" t="e">
        <f ca="1">_xludf.ifna(VLOOKUP(G2732,Proyectos!$A$2:$T$674,20,0),"")</f>
        <v>#NAME?</v>
      </c>
      <c r="N2732" s="32" t="e">
        <f ca="1">_xludf.ifna(VLOOKUP(G2732,Proyectos!$A$2:$S$674,19,0))</f>
        <v>#NAME?</v>
      </c>
      <c r="O2732" s="32"/>
      <c r="P2732" s="32"/>
      <c r="Q2732" s="33"/>
      <c r="R2732" s="33"/>
      <c r="S2732" s="33"/>
      <c r="T2732" s="63">
        <f t="shared" si="22"/>
        <v>0</v>
      </c>
      <c r="U2732" s="33"/>
      <c r="V2732" s="33"/>
      <c r="W2732" s="33"/>
    </row>
    <row r="2733" spans="1:23" ht="16.5" customHeight="1" x14ac:dyDescent="0.2">
      <c r="A2733" s="26"/>
      <c r="B2733" s="26"/>
      <c r="C2733" s="26"/>
      <c r="D2733" s="26"/>
      <c r="E2733" s="26"/>
      <c r="F2733" s="28"/>
      <c r="G2733" s="26"/>
      <c r="H2733" s="32"/>
      <c r="I2733" s="32"/>
      <c r="J2733" s="32"/>
      <c r="K2733" s="32"/>
      <c r="L2733" s="32" t="e">
        <f ca="1">_xludf.ifna(VLOOKUP(E2733,Parámetros!$D$2:$E$34,2,0),"")</f>
        <v>#NAME?</v>
      </c>
      <c r="M2733" s="32" t="e">
        <f ca="1">_xludf.ifna(VLOOKUP(G2733,Proyectos!$A$2:$T$674,20,0),"")</f>
        <v>#NAME?</v>
      </c>
      <c r="N2733" s="32" t="e">
        <f ca="1">_xludf.ifna(VLOOKUP(G2733,Proyectos!$A$2:$S$674,19,0))</f>
        <v>#NAME?</v>
      </c>
      <c r="O2733" s="32"/>
      <c r="P2733" s="32"/>
      <c r="Q2733" s="33"/>
      <c r="R2733" s="33"/>
      <c r="S2733" s="33"/>
      <c r="T2733" s="63">
        <f t="shared" si="22"/>
        <v>0</v>
      </c>
      <c r="U2733" s="33"/>
      <c r="V2733" s="33"/>
      <c r="W2733" s="33"/>
    </row>
    <row r="2734" spans="1:23" ht="16.5" customHeight="1" x14ac:dyDescent="0.2">
      <c r="A2734" s="26"/>
      <c r="B2734" s="26"/>
      <c r="C2734" s="26"/>
      <c r="D2734" s="26"/>
      <c r="E2734" s="26"/>
      <c r="F2734" s="28"/>
      <c r="G2734" s="26"/>
      <c r="H2734" s="32"/>
      <c r="I2734" s="32"/>
      <c r="J2734" s="32"/>
      <c r="K2734" s="32"/>
      <c r="L2734" s="32" t="e">
        <f ca="1">_xludf.ifna(VLOOKUP(E2734,Parámetros!$D$2:$E$34,2,0),"")</f>
        <v>#NAME?</v>
      </c>
      <c r="M2734" s="32" t="e">
        <f ca="1">_xludf.ifna(VLOOKUP(G2734,Proyectos!$A$2:$T$674,20,0),"")</f>
        <v>#NAME?</v>
      </c>
      <c r="N2734" s="32" t="e">
        <f ca="1">_xludf.ifna(VLOOKUP(G2734,Proyectos!$A$2:$S$674,19,0))</f>
        <v>#NAME?</v>
      </c>
      <c r="O2734" s="32"/>
      <c r="P2734" s="32"/>
      <c r="Q2734" s="33"/>
      <c r="R2734" s="33"/>
      <c r="S2734" s="33"/>
      <c r="T2734" s="63">
        <f t="shared" si="22"/>
        <v>0</v>
      </c>
      <c r="U2734" s="33"/>
      <c r="V2734" s="33"/>
      <c r="W2734" s="33"/>
    </row>
    <row r="2735" spans="1:23" ht="16.5" customHeight="1" x14ac:dyDescent="0.2">
      <c r="A2735" s="26"/>
      <c r="B2735" s="26"/>
      <c r="C2735" s="26"/>
      <c r="D2735" s="26"/>
      <c r="E2735" s="26"/>
      <c r="F2735" s="28"/>
      <c r="G2735" s="26"/>
      <c r="H2735" s="32"/>
      <c r="I2735" s="32"/>
      <c r="J2735" s="32"/>
      <c r="K2735" s="32"/>
      <c r="L2735" s="32" t="e">
        <f ca="1">_xludf.ifna(VLOOKUP(E2735,Parámetros!$D$2:$E$34,2,0),"")</f>
        <v>#NAME?</v>
      </c>
      <c r="M2735" s="32" t="e">
        <f ca="1">_xludf.ifna(VLOOKUP(G2735,Proyectos!$A$2:$T$674,20,0),"")</f>
        <v>#NAME?</v>
      </c>
      <c r="N2735" s="32" t="e">
        <f ca="1">_xludf.ifna(VLOOKUP(G2735,Proyectos!$A$2:$S$674,19,0))</f>
        <v>#NAME?</v>
      </c>
      <c r="O2735" s="32"/>
      <c r="P2735" s="32"/>
      <c r="Q2735" s="33"/>
      <c r="R2735" s="33"/>
      <c r="S2735" s="33"/>
      <c r="T2735" s="63">
        <f t="shared" si="22"/>
        <v>0</v>
      </c>
      <c r="U2735" s="33"/>
      <c r="V2735" s="33"/>
      <c r="W2735" s="33"/>
    </row>
    <row r="2736" spans="1:23" ht="16.5" customHeight="1" x14ac:dyDescent="0.2">
      <c r="A2736" s="26"/>
      <c r="B2736" s="26"/>
      <c r="C2736" s="26"/>
      <c r="D2736" s="26"/>
      <c r="E2736" s="26"/>
      <c r="F2736" s="28"/>
      <c r="G2736" s="26"/>
      <c r="H2736" s="32"/>
      <c r="I2736" s="32"/>
      <c r="J2736" s="32"/>
      <c r="K2736" s="32"/>
      <c r="L2736" s="32" t="e">
        <f ca="1">_xludf.ifna(VLOOKUP(E2736,Parámetros!$D$2:$E$34,2,0),"")</f>
        <v>#NAME?</v>
      </c>
      <c r="M2736" s="32" t="e">
        <f ca="1">_xludf.ifna(VLOOKUP(G2736,Proyectos!$A$2:$T$674,20,0),"")</f>
        <v>#NAME?</v>
      </c>
      <c r="N2736" s="32" t="e">
        <f ca="1">_xludf.ifna(VLOOKUP(G2736,Proyectos!$A$2:$S$674,19,0))</f>
        <v>#NAME?</v>
      </c>
      <c r="O2736" s="32"/>
      <c r="P2736" s="32"/>
      <c r="Q2736" s="33"/>
      <c r="R2736" s="33"/>
      <c r="S2736" s="33"/>
      <c r="T2736" s="63">
        <f t="shared" si="22"/>
        <v>0</v>
      </c>
      <c r="U2736" s="33"/>
      <c r="V2736" s="33"/>
      <c r="W2736" s="33"/>
    </row>
    <row r="2737" spans="1:23" ht="16.5" customHeight="1" x14ac:dyDescent="0.2">
      <c r="A2737" s="26"/>
      <c r="B2737" s="26"/>
      <c r="C2737" s="26"/>
      <c r="D2737" s="26"/>
      <c r="E2737" s="26"/>
      <c r="F2737" s="28"/>
      <c r="G2737" s="26"/>
      <c r="H2737" s="32"/>
      <c r="I2737" s="32"/>
      <c r="J2737" s="32"/>
      <c r="K2737" s="32"/>
      <c r="L2737" s="32" t="e">
        <f ca="1">_xludf.ifna(VLOOKUP(E2737,Parámetros!$D$2:$E$34,2,0),"")</f>
        <v>#NAME?</v>
      </c>
      <c r="M2737" s="32" t="e">
        <f ca="1">_xludf.ifna(VLOOKUP(G2737,Proyectos!$A$2:$T$674,20,0),"")</f>
        <v>#NAME?</v>
      </c>
      <c r="N2737" s="32" t="e">
        <f ca="1">_xludf.ifna(VLOOKUP(G2737,Proyectos!$A$2:$S$674,19,0))</f>
        <v>#NAME?</v>
      </c>
      <c r="O2737" s="32"/>
      <c r="P2737" s="32"/>
      <c r="Q2737" s="33"/>
      <c r="R2737" s="33"/>
      <c r="S2737" s="33"/>
      <c r="T2737" s="63">
        <f t="shared" si="22"/>
        <v>0</v>
      </c>
      <c r="U2737" s="33"/>
      <c r="V2737" s="33"/>
      <c r="W2737" s="33"/>
    </row>
    <row r="2738" spans="1:23" ht="16.5" customHeight="1" x14ac:dyDescent="0.2">
      <c r="A2738" s="26"/>
      <c r="B2738" s="26"/>
      <c r="C2738" s="26"/>
      <c r="D2738" s="26"/>
      <c r="E2738" s="26"/>
      <c r="F2738" s="28"/>
      <c r="G2738" s="26"/>
      <c r="H2738" s="32"/>
      <c r="I2738" s="32"/>
      <c r="J2738" s="32"/>
      <c r="K2738" s="32"/>
      <c r="L2738" s="32" t="e">
        <f ca="1">_xludf.ifna(VLOOKUP(E2738,Parámetros!$D$2:$E$34,2,0),"")</f>
        <v>#NAME?</v>
      </c>
      <c r="M2738" s="32" t="e">
        <f ca="1">_xludf.ifna(VLOOKUP(G2738,Proyectos!$A$2:$T$674,20,0),"")</f>
        <v>#NAME?</v>
      </c>
      <c r="N2738" s="32" t="e">
        <f ca="1">_xludf.ifna(VLOOKUP(G2738,Proyectos!$A$2:$S$674,19,0))</f>
        <v>#NAME?</v>
      </c>
      <c r="O2738" s="32"/>
      <c r="P2738" s="32"/>
      <c r="Q2738" s="33"/>
      <c r="R2738" s="33"/>
      <c r="S2738" s="33"/>
      <c r="T2738" s="63">
        <f t="shared" si="22"/>
        <v>0</v>
      </c>
      <c r="U2738" s="33"/>
      <c r="V2738" s="33"/>
      <c r="W2738" s="33"/>
    </row>
    <row r="2739" spans="1:23" ht="16.5" customHeight="1" x14ac:dyDescent="0.2">
      <c r="A2739" s="26"/>
      <c r="B2739" s="26"/>
      <c r="C2739" s="26"/>
      <c r="D2739" s="26"/>
      <c r="E2739" s="26"/>
      <c r="F2739" s="28"/>
      <c r="G2739" s="26"/>
      <c r="H2739" s="32"/>
      <c r="I2739" s="32"/>
      <c r="J2739" s="32"/>
      <c r="K2739" s="32"/>
      <c r="L2739" s="32" t="e">
        <f ca="1">_xludf.ifna(VLOOKUP(E2739,Parámetros!$D$2:$E$34,2,0),"")</f>
        <v>#NAME?</v>
      </c>
      <c r="M2739" s="32" t="e">
        <f ca="1">_xludf.ifna(VLOOKUP(G2739,Proyectos!$A$2:$T$674,20,0),"")</f>
        <v>#NAME?</v>
      </c>
      <c r="N2739" s="32" t="e">
        <f ca="1">_xludf.ifna(VLOOKUP(G2739,Proyectos!$A$2:$S$674,19,0))</f>
        <v>#NAME?</v>
      </c>
      <c r="O2739" s="32"/>
      <c r="P2739" s="32"/>
      <c r="Q2739" s="33"/>
      <c r="R2739" s="33"/>
      <c r="S2739" s="33"/>
      <c r="T2739" s="63">
        <f t="shared" si="22"/>
        <v>0</v>
      </c>
      <c r="U2739" s="33"/>
      <c r="V2739" s="33"/>
      <c r="W2739" s="33"/>
    </row>
    <row r="2740" spans="1:23" ht="16.5" customHeight="1" x14ac:dyDescent="0.2">
      <c r="A2740" s="26"/>
      <c r="B2740" s="26"/>
      <c r="C2740" s="26"/>
      <c r="D2740" s="26"/>
      <c r="E2740" s="26"/>
      <c r="F2740" s="28"/>
      <c r="G2740" s="26"/>
      <c r="H2740" s="32"/>
      <c r="I2740" s="32"/>
      <c r="J2740" s="32"/>
      <c r="K2740" s="32"/>
      <c r="L2740" s="32" t="e">
        <f ca="1">_xludf.ifna(VLOOKUP(E2740,Parámetros!$D$2:$E$34,2,0),"")</f>
        <v>#NAME?</v>
      </c>
      <c r="M2740" s="32" t="e">
        <f ca="1">_xludf.ifna(VLOOKUP(G2740,Proyectos!$A$2:$T$674,20,0),"")</f>
        <v>#NAME?</v>
      </c>
      <c r="N2740" s="32" t="e">
        <f ca="1">_xludf.ifna(VLOOKUP(G2740,Proyectos!$A$2:$S$674,19,0))</f>
        <v>#NAME?</v>
      </c>
      <c r="O2740" s="32"/>
      <c r="P2740" s="32"/>
      <c r="Q2740" s="33"/>
      <c r="R2740" s="33"/>
      <c r="S2740" s="33"/>
      <c r="T2740" s="63">
        <f t="shared" si="22"/>
        <v>0</v>
      </c>
      <c r="U2740" s="33"/>
      <c r="V2740" s="33"/>
      <c r="W2740" s="33"/>
    </row>
    <row r="2741" spans="1:23" ht="16.5" customHeight="1" x14ac:dyDescent="0.2">
      <c r="A2741" s="26"/>
      <c r="B2741" s="26"/>
      <c r="C2741" s="26"/>
      <c r="D2741" s="26"/>
      <c r="E2741" s="26"/>
      <c r="F2741" s="28"/>
      <c r="G2741" s="26"/>
      <c r="H2741" s="32"/>
      <c r="I2741" s="32"/>
      <c r="J2741" s="32"/>
      <c r="K2741" s="32"/>
      <c r="L2741" s="32" t="e">
        <f ca="1">_xludf.ifna(VLOOKUP(E2741,Parámetros!$D$2:$E$34,2,0),"")</f>
        <v>#NAME?</v>
      </c>
      <c r="M2741" s="32" t="e">
        <f ca="1">_xludf.ifna(VLOOKUP(G2741,Proyectos!$A$2:$T$674,20,0),"")</f>
        <v>#NAME?</v>
      </c>
      <c r="N2741" s="32" t="e">
        <f ca="1">_xludf.ifna(VLOOKUP(G2741,Proyectos!$A$2:$S$674,19,0))</f>
        <v>#NAME?</v>
      </c>
      <c r="O2741" s="32"/>
      <c r="P2741" s="32"/>
      <c r="Q2741" s="33"/>
      <c r="R2741" s="33"/>
      <c r="S2741" s="33"/>
      <c r="T2741" s="63">
        <f t="shared" si="22"/>
        <v>0</v>
      </c>
      <c r="U2741" s="33"/>
      <c r="V2741" s="33"/>
      <c r="W2741" s="33"/>
    </row>
    <row r="2742" spans="1:23" ht="16.5" customHeight="1" x14ac:dyDescent="0.2">
      <c r="A2742" s="26"/>
      <c r="B2742" s="26"/>
      <c r="C2742" s="26"/>
      <c r="D2742" s="26"/>
      <c r="E2742" s="26"/>
      <c r="F2742" s="28"/>
      <c r="G2742" s="26"/>
      <c r="H2742" s="32"/>
      <c r="I2742" s="32"/>
      <c r="J2742" s="32"/>
      <c r="K2742" s="32"/>
      <c r="L2742" s="32" t="e">
        <f ca="1">_xludf.ifna(VLOOKUP(E2742,Parámetros!$D$2:$E$34,2,0),"")</f>
        <v>#NAME?</v>
      </c>
      <c r="M2742" s="32" t="e">
        <f ca="1">_xludf.ifna(VLOOKUP(G2742,Proyectos!$A$2:$T$674,20,0),"")</f>
        <v>#NAME?</v>
      </c>
      <c r="N2742" s="32" t="e">
        <f ca="1">_xludf.ifna(VLOOKUP(G2742,Proyectos!$A$2:$S$674,19,0))</f>
        <v>#NAME?</v>
      </c>
      <c r="O2742" s="32"/>
      <c r="P2742" s="32"/>
      <c r="Q2742" s="33"/>
      <c r="R2742" s="33"/>
      <c r="S2742" s="33"/>
      <c r="T2742" s="63">
        <f t="shared" si="22"/>
        <v>0</v>
      </c>
      <c r="U2742" s="33"/>
      <c r="V2742" s="33"/>
      <c r="W2742" s="33"/>
    </row>
    <row r="2743" spans="1:23" ht="16.5" customHeight="1" x14ac:dyDescent="0.2">
      <c r="A2743" s="26"/>
      <c r="B2743" s="26"/>
      <c r="C2743" s="26"/>
      <c r="D2743" s="26"/>
      <c r="E2743" s="26"/>
      <c r="F2743" s="28"/>
      <c r="G2743" s="26"/>
      <c r="H2743" s="32"/>
      <c r="I2743" s="32"/>
      <c r="J2743" s="32"/>
      <c r="K2743" s="32"/>
      <c r="L2743" s="32" t="e">
        <f ca="1">_xludf.ifna(VLOOKUP(E2743,Parámetros!$D$2:$E$34,2,0),"")</f>
        <v>#NAME?</v>
      </c>
      <c r="M2743" s="32" t="e">
        <f ca="1">_xludf.ifna(VLOOKUP(G2743,Proyectos!$A$2:$T$674,20,0),"")</f>
        <v>#NAME?</v>
      </c>
      <c r="N2743" s="32" t="e">
        <f ca="1">_xludf.ifna(VLOOKUP(G2743,Proyectos!$A$2:$S$674,19,0))</f>
        <v>#NAME?</v>
      </c>
      <c r="O2743" s="32"/>
      <c r="P2743" s="32"/>
      <c r="Q2743" s="33"/>
      <c r="R2743" s="33"/>
      <c r="S2743" s="33"/>
      <c r="T2743" s="63">
        <f t="shared" si="22"/>
        <v>0</v>
      </c>
      <c r="U2743" s="33"/>
      <c r="V2743" s="33"/>
      <c r="W2743" s="33"/>
    </row>
    <row r="2744" spans="1:23" ht="16.5" customHeight="1" x14ac:dyDescent="0.2">
      <c r="A2744" s="26"/>
      <c r="B2744" s="26"/>
      <c r="C2744" s="26"/>
      <c r="D2744" s="26"/>
      <c r="E2744" s="26"/>
      <c r="F2744" s="28"/>
      <c r="G2744" s="26"/>
      <c r="H2744" s="32"/>
      <c r="I2744" s="32"/>
      <c r="J2744" s="32"/>
      <c r="K2744" s="32"/>
      <c r="L2744" s="32" t="e">
        <f ca="1">_xludf.ifna(VLOOKUP(E2744,Parámetros!$D$2:$E$34,2,0),"")</f>
        <v>#NAME?</v>
      </c>
      <c r="M2744" s="32" t="e">
        <f ca="1">_xludf.ifna(VLOOKUP(G2744,Proyectos!$A$2:$T$674,20,0),"")</f>
        <v>#NAME?</v>
      </c>
      <c r="N2744" s="32" t="e">
        <f ca="1">_xludf.ifna(VLOOKUP(G2744,Proyectos!$A$2:$S$674,19,0))</f>
        <v>#NAME?</v>
      </c>
      <c r="O2744" s="32"/>
      <c r="P2744" s="32"/>
      <c r="Q2744" s="33"/>
      <c r="R2744" s="33"/>
      <c r="S2744" s="33"/>
      <c r="T2744" s="63">
        <f t="shared" si="22"/>
        <v>0</v>
      </c>
      <c r="U2744" s="33"/>
      <c r="V2744" s="33"/>
      <c r="W2744" s="33"/>
    </row>
    <row r="2745" spans="1:23" ht="16.5" customHeight="1" x14ac:dyDescent="0.2">
      <c r="A2745" s="26"/>
      <c r="B2745" s="26"/>
      <c r="C2745" s="26"/>
      <c r="D2745" s="26"/>
      <c r="E2745" s="26"/>
      <c r="F2745" s="28"/>
      <c r="G2745" s="26"/>
      <c r="H2745" s="32"/>
      <c r="I2745" s="32"/>
      <c r="J2745" s="32"/>
      <c r="K2745" s="32"/>
      <c r="L2745" s="32" t="e">
        <f ca="1">_xludf.ifna(VLOOKUP(E2745,Parámetros!$D$2:$E$34,2,0),"")</f>
        <v>#NAME?</v>
      </c>
      <c r="M2745" s="32" t="e">
        <f ca="1">_xludf.ifna(VLOOKUP(G2745,Proyectos!$A$2:$T$674,20,0),"")</f>
        <v>#NAME?</v>
      </c>
      <c r="N2745" s="32" t="e">
        <f ca="1">_xludf.ifna(VLOOKUP(G2745,Proyectos!$A$2:$S$674,19,0))</f>
        <v>#NAME?</v>
      </c>
      <c r="O2745" s="32"/>
      <c r="P2745" s="32"/>
      <c r="Q2745" s="33"/>
      <c r="R2745" s="33"/>
      <c r="S2745" s="33"/>
      <c r="T2745" s="63">
        <f t="shared" si="22"/>
        <v>0</v>
      </c>
      <c r="U2745" s="33"/>
      <c r="V2745" s="33"/>
      <c r="W2745" s="33"/>
    </row>
    <row r="2746" spans="1:23" ht="16.5" customHeight="1" x14ac:dyDescent="0.2">
      <c r="A2746" s="26"/>
      <c r="B2746" s="26"/>
      <c r="C2746" s="26"/>
      <c r="D2746" s="26"/>
      <c r="E2746" s="26"/>
      <c r="F2746" s="28"/>
      <c r="G2746" s="26"/>
      <c r="H2746" s="32"/>
      <c r="I2746" s="32"/>
      <c r="J2746" s="32"/>
      <c r="K2746" s="32"/>
      <c r="L2746" s="32" t="e">
        <f ca="1">_xludf.ifna(VLOOKUP(E2746,Parámetros!$D$2:$E$34,2,0),"")</f>
        <v>#NAME?</v>
      </c>
      <c r="M2746" s="32" t="e">
        <f ca="1">_xludf.ifna(VLOOKUP(G2746,Proyectos!$A$2:$T$674,20,0),"")</f>
        <v>#NAME?</v>
      </c>
      <c r="N2746" s="32" t="e">
        <f ca="1">_xludf.ifna(VLOOKUP(G2746,Proyectos!$A$2:$S$674,19,0))</f>
        <v>#NAME?</v>
      </c>
      <c r="O2746" s="32"/>
      <c r="P2746" s="32"/>
      <c r="Q2746" s="33"/>
      <c r="R2746" s="33"/>
      <c r="S2746" s="33"/>
      <c r="T2746" s="63">
        <f t="shared" si="22"/>
        <v>0</v>
      </c>
      <c r="U2746" s="33"/>
      <c r="V2746" s="33"/>
      <c r="W2746" s="33"/>
    </row>
    <row r="2747" spans="1:23" ht="16.5" customHeight="1" x14ac:dyDescent="0.2">
      <c r="A2747" s="26"/>
      <c r="B2747" s="26"/>
      <c r="C2747" s="26"/>
      <c r="D2747" s="26"/>
      <c r="E2747" s="26"/>
      <c r="F2747" s="28"/>
      <c r="G2747" s="26"/>
      <c r="H2747" s="32"/>
      <c r="I2747" s="32"/>
      <c r="J2747" s="32"/>
      <c r="K2747" s="32"/>
      <c r="L2747" s="32" t="e">
        <f ca="1">_xludf.ifna(VLOOKUP(E2747,Parámetros!$D$2:$E$34,2,0),"")</f>
        <v>#NAME?</v>
      </c>
      <c r="M2747" s="32" t="e">
        <f ca="1">_xludf.ifna(VLOOKUP(G2747,Proyectos!$A$2:$T$674,20,0),"")</f>
        <v>#NAME?</v>
      </c>
      <c r="N2747" s="32" t="e">
        <f ca="1">_xludf.ifna(VLOOKUP(G2747,Proyectos!$A$2:$S$674,19,0))</f>
        <v>#NAME?</v>
      </c>
      <c r="O2747" s="32"/>
      <c r="P2747" s="32"/>
      <c r="Q2747" s="33"/>
      <c r="R2747" s="33"/>
      <c r="S2747" s="33"/>
      <c r="T2747" s="63">
        <f t="shared" si="22"/>
        <v>0</v>
      </c>
      <c r="U2747" s="33"/>
      <c r="V2747" s="33"/>
      <c r="W2747" s="33"/>
    </row>
    <row r="2748" spans="1:23" ht="16.5" customHeight="1" x14ac:dyDescent="0.2">
      <c r="A2748" s="26"/>
      <c r="B2748" s="26"/>
      <c r="C2748" s="26"/>
      <c r="D2748" s="26"/>
      <c r="E2748" s="26"/>
      <c r="F2748" s="28"/>
      <c r="G2748" s="26"/>
      <c r="H2748" s="32"/>
      <c r="I2748" s="32"/>
      <c r="J2748" s="32"/>
      <c r="K2748" s="32"/>
      <c r="L2748" s="32" t="e">
        <f ca="1">_xludf.ifna(VLOOKUP(E2748,Parámetros!$D$2:$E$34,2,0),"")</f>
        <v>#NAME?</v>
      </c>
      <c r="M2748" s="32" t="e">
        <f ca="1">_xludf.ifna(VLOOKUP(G2748,Proyectos!$A$2:$T$674,20,0),"")</f>
        <v>#NAME?</v>
      </c>
      <c r="N2748" s="32" t="e">
        <f ca="1">_xludf.ifna(VLOOKUP(G2748,Proyectos!$A$2:$S$674,19,0))</f>
        <v>#NAME?</v>
      </c>
      <c r="O2748" s="32"/>
      <c r="P2748" s="32"/>
      <c r="Q2748" s="33"/>
      <c r="R2748" s="33"/>
      <c r="S2748" s="33"/>
      <c r="T2748" s="63">
        <f t="shared" si="22"/>
        <v>0</v>
      </c>
      <c r="U2748" s="33"/>
      <c r="V2748" s="33"/>
      <c r="W2748" s="33"/>
    </row>
    <row r="2749" spans="1:23" ht="16.5" customHeight="1" x14ac:dyDescent="0.2">
      <c r="A2749" s="26"/>
      <c r="B2749" s="26"/>
      <c r="C2749" s="26"/>
      <c r="D2749" s="26"/>
      <c r="E2749" s="26"/>
      <c r="F2749" s="28"/>
      <c r="G2749" s="26"/>
      <c r="H2749" s="32"/>
      <c r="I2749" s="32"/>
      <c r="J2749" s="32"/>
      <c r="K2749" s="32"/>
      <c r="L2749" s="32" t="e">
        <f ca="1">_xludf.ifna(VLOOKUP(E2749,Parámetros!$D$2:$E$34,2,0),"")</f>
        <v>#NAME?</v>
      </c>
      <c r="M2749" s="32" t="e">
        <f ca="1">_xludf.ifna(VLOOKUP(G2749,Proyectos!$A$2:$T$674,20,0),"")</f>
        <v>#NAME?</v>
      </c>
      <c r="N2749" s="32" t="e">
        <f ca="1">_xludf.ifna(VLOOKUP(G2749,Proyectos!$A$2:$S$674,19,0))</f>
        <v>#NAME?</v>
      </c>
      <c r="O2749" s="32"/>
      <c r="P2749" s="32"/>
      <c r="Q2749" s="33"/>
      <c r="R2749" s="33"/>
      <c r="S2749" s="33"/>
      <c r="T2749" s="63">
        <f t="shared" si="22"/>
        <v>0</v>
      </c>
      <c r="U2749" s="33"/>
      <c r="V2749" s="33"/>
      <c r="W2749" s="33"/>
    </row>
    <row r="2750" spans="1:23" ht="16.5" customHeight="1" x14ac:dyDescent="0.2">
      <c r="A2750" s="26"/>
      <c r="B2750" s="26"/>
      <c r="C2750" s="26"/>
      <c r="D2750" s="26"/>
      <c r="E2750" s="26"/>
      <c r="F2750" s="28"/>
      <c r="G2750" s="26"/>
      <c r="H2750" s="32"/>
      <c r="I2750" s="32"/>
      <c r="J2750" s="32"/>
      <c r="K2750" s="32"/>
      <c r="L2750" s="32" t="e">
        <f ca="1">_xludf.ifna(VLOOKUP(E2750,Parámetros!$D$2:$E$34,2,0),"")</f>
        <v>#NAME?</v>
      </c>
      <c r="M2750" s="32" t="e">
        <f ca="1">_xludf.ifna(VLOOKUP(G2750,Proyectos!$A$2:$T$674,20,0),"")</f>
        <v>#NAME?</v>
      </c>
      <c r="N2750" s="32" t="e">
        <f ca="1">_xludf.ifna(VLOOKUP(G2750,Proyectos!$A$2:$S$674,19,0))</f>
        <v>#NAME?</v>
      </c>
      <c r="O2750" s="32"/>
      <c r="P2750" s="32"/>
      <c r="Q2750" s="33"/>
      <c r="R2750" s="33"/>
      <c r="S2750" s="33"/>
      <c r="T2750" s="63">
        <f t="shared" si="22"/>
        <v>0</v>
      </c>
      <c r="U2750" s="33"/>
      <c r="V2750" s="33"/>
      <c r="W2750" s="33"/>
    </row>
    <row r="2751" spans="1:23" ht="16.5" customHeight="1" x14ac:dyDescent="0.2">
      <c r="A2751" s="26"/>
      <c r="B2751" s="26"/>
      <c r="C2751" s="26"/>
      <c r="D2751" s="26"/>
      <c r="E2751" s="26"/>
      <c r="F2751" s="28"/>
      <c r="G2751" s="26"/>
      <c r="H2751" s="32"/>
      <c r="I2751" s="32"/>
      <c r="J2751" s="32"/>
      <c r="K2751" s="32"/>
      <c r="L2751" s="32" t="e">
        <f ca="1">_xludf.ifna(VLOOKUP(E2751,Parámetros!$D$2:$E$34,2,0),"")</f>
        <v>#NAME?</v>
      </c>
      <c r="M2751" s="32" t="e">
        <f ca="1">_xludf.ifna(VLOOKUP(G2751,Proyectos!$A$2:$T$674,20,0),"")</f>
        <v>#NAME?</v>
      </c>
      <c r="N2751" s="32" t="e">
        <f ca="1">_xludf.ifna(VLOOKUP(G2751,Proyectos!$A$2:$S$674,19,0))</f>
        <v>#NAME?</v>
      </c>
      <c r="O2751" s="32"/>
      <c r="P2751" s="32"/>
      <c r="Q2751" s="33"/>
      <c r="R2751" s="33"/>
      <c r="S2751" s="33"/>
      <c r="T2751" s="63">
        <f t="shared" si="22"/>
        <v>0</v>
      </c>
      <c r="U2751" s="33"/>
      <c r="V2751" s="33"/>
      <c r="W2751" s="33"/>
    </row>
    <row r="2752" spans="1:23" ht="16.5" customHeight="1" x14ac:dyDescent="0.2">
      <c r="A2752" s="26"/>
      <c r="B2752" s="26"/>
      <c r="C2752" s="26"/>
      <c r="D2752" s="26"/>
      <c r="E2752" s="26"/>
      <c r="F2752" s="28"/>
      <c r="G2752" s="26"/>
      <c r="H2752" s="32"/>
      <c r="I2752" s="32"/>
      <c r="J2752" s="32"/>
      <c r="K2752" s="32"/>
      <c r="L2752" s="32" t="e">
        <f ca="1">_xludf.ifna(VLOOKUP(E2752,Parámetros!$D$2:$E$34,2,0),"")</f>
        <v>#NAME?</v>
      </c>
      <c r="M2752" s="32" t="e">
        <f ca="1">_xludf.ifna(VLOOKUP(G2752,Proyectos!$A$2:$T$674,20,0),"")</f>
        <v>#NAME?</v>
      </c>
      <c r="N2752" s="32" t="e">
        <f ca="1">_xludf.ifna(VLOOKUP(G2752,Proyectos!$A$2:$S$674,19,0))</f>
        <v>#NAME?</v>
      </c>
      <c r="O2752" s="32"/>
      <c r="P2752" s="32"/>
      <c r="Q2752" s="33"/>
      <c r="R2752" s="33"/>
      <c r="S2752" s="33"/>
      <c r="T2752" s="63">
        <f t="shared" si="22"/>
        <v>0</v>
      </c>
      <c r="U2752" s="33"/>
      <c r="V2752" s="33"/>
      <c r="W2752" s="33"/>
    </row>
    <row r="2753" spans="1:23" ht="16.5" customHeight="1" x14ac:dyDescent="0.2">
      <c r="A2753" s="26"/>
      <c r="B2753" s="26"/>
      <c r="C2753" s="26"/>
      <c r="D2753" s="26"/>
      <c r="E2753" s="26"/>
      <c r="F2753" s="28"/>
      <c r="G2753" s="26"/>
      <c r="H2753" s="32"/>
      <c r="I2753" s="32"/>
      <c r="J2753" s="32"/>
      <c r="K2753" s="32"/>
      <c r="L2753" s="32" t="e">
        <f ca="1">_xludf.ifna(VLOOKUP(E2753,Parámetros!$D$2:$E$34,2,0),"")</f>
        <v>#NAME?</v>
      </c>
      <c r="M2753" s="32" t="e">
        <f ca="1">_xludf.ifna(VLOOKUP(G2753,Proyectos!$A$2:$T$674,20,0),"")</f>
        <v>#NAME?</v>
      </c>
      <c r="N2753" s="32" t="e">
        <f ca="1">_xludf.ifna(VLOOKUP(G2753,Proyectos!$A$2:$S$674,19,0))</f>
        <v>#NAME?</v>
      </c>
      <c r="O2753" s="32"/>
      <c r="P2753" s="32"/>
      <c r="Q2753" s="33"/>
      <c r="R2753" s="33"/>
      <c r="S2753" s="33"/>
      <c r="T2753" s="63">
        <f t="shared" si="22"/>
        <v>0</v>
      </c>
      <c r="U2753" s="33"/>
      <c r="V2753" s="33"/>
      <c r="W2753" s="33"/>
    </row>
    <row r="2754" spans="1:23" ht="16.5" customHeight="1" x14ac:dyDescent="0.2">
      <c r="A2754" s="26"/>
      <c r="B2754" s="26"/>
      <c r="C2754" s="26"/>
      <c r="D2754" s="26"/>
      <c r="E2754" s="26"/>
      <c r="F2754" s="28"/>
      <c r="G2754" s="26"/>
      <c r="H2754" s="32"/>
      <c r="I2754" s="32"/>
      <c r="J2754" s="32"/>
      <c r="K2754" s="32"/>
      <c r="L2754" s="32" t="e">
        <f ca="1">_xludf.ifna(VLOOKUP(E2754,Parámetros!$D$2:$E$34,2,0),"")</f>
        <v>#NAME?</v>
      </c>
      <c r="M2754" s="32" t="e">
        <f ca="1">_xludf.ifna(VLOOKUP(G2754,Proyectos!$A$2:$T$674,20,0),"")</f>
        <v>#NAME?</v>
      </c>
      <c r="N2754" s="32" t="e">
        <f ca="1">_xludf.ifna(VLOOKUP(G2754,Proyectos!$A$2:$S$674,19,0))</f>
        <v>#NAME?</v>
      </c>
      <c r="O2754" s="32"/>
      <c r="P2754" s="32"/>
      <c r="Q2754" s="33"/>
      <c r="R2754" s="33"/>
      <c r="S2754" s="33"/>
      <c r="T2754" s="63">
        <f t="shared" si="22"/>
        <v>0</v>
      </c>
      <c r="U2754" s="33"/>
      <c r="V2754" s="33"/>
      <c r="W2754" s="33"/>
    </row>
    <row r="2755" spans="1:23" ht="16.5" customHeight="1" x14ac:dyDescent="0.2">
      <c r="A2755" s="26"/>
      <c r="B2755" s="26"/>
      <c r="C2755" s="26"/>
      <c r="D2755" s="26"/>
      <c r="E2755" s="26"/>
      <c r="F2755" s="28"/>
      <c r="G2755" s="26"/>
      <c r="H2755" s="32"/>
      <c r="I2755" s="32"/>
      <c r="J2755" s="32"/>
      <c r="K2755" s="32"/>
      <c r="L2755" s="32" t="e">
        <f ca="1">_xludf.ifna(VLOOKUP(E2755,Parámetros!$D$2:$E$34,2,0),"")</f>
        <v>#NAME?</v>
      </c>
      <c r="M2755" s="32" t="e">
        <f ca="1">_xludf.ifna(VLOOKUP(G2755,Proyectos!$A$2:$T$674,20,0),"")</f>
        <v>#NAME?</v>
      </c>
      <c r="N2755" s="32" t="e">
        <f ca="1">_xludf.ifna(VLOOKUP(G2755,Proyectos!$A$2:$S$674,19,0))</f>
        <v>#NAME?</v>
      </c>
      <c r="O2755" s="32"/>
      <c r="P2755" s="32"/>
      <c r="Q2755" s="33"/>
      <c r="R2755" s="33"/>
      <c r="S2755" s="33"/>
      <c r="T2755" s="63">
        <f t="shared" si="22"/>
        <v>0</v>
      </c>
      <c r="U2755" s="33"/>
      <c r="V2755" s="33"/>
      <c r="W2755" s="33"/>
    </row>
    <row r="2756" spans="1:23" ht="16.5" customHeight="1" x14ac:dyDescent="0.2">
      <c r="A2756" s="26"/>
      <c r="B2756" s="26"/>
      <c r="C2756" s="26"/>
      <c r="D2756" s="26"/>
      <c r="E2756" s="26"/>
      <c r="F2756" s="28"/>
      <c r="G2756" s="26"/>
      <c r="H2756" s="32"/>
      <c r="I2756" s="32"/>
      <c r="J2756" s="32"/>
      <c r="K2756" s="32"/>
      <c r="L2756" s="32" t="e">
        <f ca="1">_xludf.ifna(VLOOKUP(E2756,Parámetros!$D$2:$E$34,2,0),"")</f>
        <v>#NAME?</v>
      </c>
      <c r="M2756" s="32" t="e">
        <f ca="1">_xludf.ifna(VLOOKUP(G2756,Proyectos!$A$2:$T$674,20,0),"")</f>
        <v>#NAME?</v>
      </c>
      <c r="N2756" s="32" t="e">
        <f ca="1">_xludf.ifna(VLOOKUP(G2756,Proyectos!$A$2:$S$674,19,0))</f>
        <v>#NAME?</v>
      </c>
      <c r="O2756" s="32"/>
      <c r="P2756" s="32"/>
      <c r="Q2756" s="33"/>
      <c r="R2756" s="33"/>
      <c r="S2756" s="33"/>
      <c r="T2756" s="63">
        <f t="shared" si="22"/>
        <v>0</v>
      </c>
      <c r="U2756" s="33"/>
      <c r="V2756" s="33"/>
      <c r="W2756" s="33"/>
    </row>
    <row r="2757" spans="1:23" ht="16.5" customHeight="1" x14ac:dyDescent="0.2">
      <c r="A2757" s="26"/>
      <c r="B2757" s="26"/>
      <c r="C2757" s="26"/>
      <c r="D2757" s="26"/>
      <c r="E2757" s="26"/>
      <c r="F2757" s="28"/>
      <c r="G2757" s="26"/>
      <c r="H2757" s="32"/>
      <c r="I2757" s="32"/>
      <c r="J2757" s="32"/>
      <c r="K2757" s="32"/>
      <c r="L2757" s="32" t="e">
        <f ca="1">_xludf.ifna(VLOOKUP(E2757,Parámetros!$D$2:$E$34,2,0),"")</f>
        <v>#NAME?</v>
      </c>
      <c r="M2757" s="32" t="e">
        <f ca="1">_xludf.ifna(VLOOKUP(G2757,Proyectos!$A$2:$T$674,20,0),"")</f>
        <v>#NAME?</v>
      </c>
      <c r="N2757" s="32" t="e">
        <f ca="1">_xludf.ifna(VLOOKUP(G2757,Proyectos!$A$2:$S$674,19,0))</f>
        <v>#NAME?</v>
      </c>
      <c r="O2757" s="32"/>
      <c r="P2757" s="32"/>
      <c r="Q2757" s="33"/>
      <c r="R2757" s="33"/>
      <c r="S2757" s="33"/>
      <c r="T2757" s="63">
        <f t="shared" si="22"/>
        <v>0</v>
      </c>
      <c r="U2757" s="33"/>
      <c r="V2757" s="33"/>
      <c r="W2757" s="33"/>
    </row>
    <row r="2758" spans="1:23" ht="16.5" customHeight="1" x14ac:dyDescent="0.2">
      <c r="A2758" s="26"/>
      <c r="B2758" s="26"/>
      <c r="C2758" s="26"/>
      <c r="D2758" s="26"/>
      <c r="E2758" s="26"/>
      <c r="F2758" s="28"/>
      <c r="G2758" s="26"/>
      <c r="H2758" s="32"/>
      <c r="I2758" s="32"/>
      <c r="J2758" s="32"/>
      <c r="K2758" s="32"/>
      <c r="L2758" s="32" t="e">
        <f ca="1">_xludf.ifna(VLOOKUP(E2758,Parámetros!$D$2:$E$34,2,0),"")</f>
        <v>#NAME?</v>
      </c>
      <c r="M2758" s="32" t="e">
        <f ca="1">_xludf.ifna(VLOOKUP(G2758,Proyectos!$A$2:$T$674,20,0),"")</f>
        <v>#NAME?</v>
      </c>
      <c r="N2758" s="32" t="e">
        <f ca="1">_xludf.ifna(VLOOKUP(G2758,Proyectos!$A$2:$S$674,19,0))</f>
        <v>#NAME?</v>
      </c>
      <c r="O2758" s="32"/>
      <c r="P2758" s="32"/>
      <c r="Q2758" s="33"/>
      <c r="R2758" s="33"/>
      <c r="S2758" s="33"/>
      <c r="T2758" s="63">
        <f t="shared" si="22"/>
        <v>0</v>
      </c>
      <c r="U2758" s="33"/>
      <c r="V2758" s="33"/>
      <c r="W2758" s="33"/>
    </row>
    <row r="2759" spans="1:23" ht="16.5" customHeight="1" x14ac:dyDescent="0.2">
      <c r="A2759" s="26"/>
      <c r="B2759" s="26"/>
      <c r="C2759" s="26"/>
      <c r="D2759" s="26"/>
      <c r="E2759" s="26"/>
      <c r="F2759" s="28"/>
      <c r="G2759" s="26"/>
      <c r="H2759" s="32"/>
      <c r="I2759" s="32"/>
      <c r="J2759" s="32"/>
      <c r="K2759" s="32"/>
      <c r="L2759" s="32" t="e">
        <f ca="1">_xludf.ifna(VLOOKUP(E2759,Parámetros!$D$2:$E$34,2,0),"")</f>
        <v>#NAME?</v>
      </c>
      <c r="M2759" s="32" t="e">
        <f ca="1">_xludf.ifna(VLOOKUP(G2759,Proyectos!$A$2:$T$674,20,0),"")</f>
        <v>#NAME?</v>
      </c>
      <c r="N2759" s="32" t="e">
        <f ca="1">_xludf.ifna(VLOOKUP(G2759,Proyectos!$A$2:$S$674,19,0))</f>
        <v>#NAME?</v>
      </c>
      <c r="O2759" s="32"/>
      <c r="P2759" s="32"/>
      <c r="Q2759" s="33"/>
      <c r="R2759" s="33"/>
      <c r="S2759" s="33"/>
      <c r="T2759" s="63">
        <f t="shared" si="22"/>
        <v>0</v>
      </c>
      <c r="U2759" s="33"/>
      <c r="V2759" s="33"/>
      <c r="W2759" s="33"/>
    </row>
    <row r="2760" spans="1:23" ht="16.5" customHeight="1" x14ac:dyDescent="0.2">
      <c r="A2760" s="26"/>
      <c r="B2760" s="26"/>
      <c r="C2760" s="26"/>
      <c r="D2760" s="26"/>
      <c r="E2760" s="26"/>
      <c r="F2760" s="28"/>
      <c r="G2760" s="26"/>
      <c r="H2760" s="32"/>
      <c r="I2760" s="32"/>
      <c r="J2760" s="32"/>
      <c r="K2760" s="32"/>
      <c r="L2760" s="32" t="e">
        <f ca="1">_xludf.ifna(VLOOKUP(E2760,Parámetros!$D$2:$E$34,2,0),"")</f>
        <v>#NAME?</v>
      </c>
      <c r="M2760" s="32" t="e">
        <f ca="1">_xludf.ifna(VLOOKUP(G2760,Proyectos!$A$2:$T$674,20,0),"")</f>
        <v>#NAME?</v>
      </c>
      <c r="N2760" s="32" t="e">
        <f ca="1">_xludf.ifna(VLOOKUP(G2760,Proyectos!$A$2:$S$674,19,0))</f>
        <v>#NAME?</v>
      </c>
      <c r="O2760" s="32"/>
      <c r="P2760" s="32"/>
      <c r="Q2760" s="33"/>
      <c r="R2760" s="33"/>
      <c r="S2760" s="33"/>
      <c r="T2760" s="63">
        <f t="shared" si="22"/>
        <v>0</v>
      </c>
      <c r="U2760" s="33"/>
      <c r="V2760" s="33"/>
      <c r="W2760" s="33"/>
    </row>
    <row r="2761" spans="1:23" ht="16.5" customHeight="1" x14ac:dyDescent="0.2">
      <c r="A2761" s="26"/>
      <c r="B2761" s="26"/>
      <c r="C2761" s="26"/>
      <c r="D2761" s="26"/>
      <c r="E2761" s="26"/>
      <c r="F2761" s="28"/>
      <c r="G2761" s="26"/>
      <c r="H2761" s="32"/>
      <c r="I2761" s="32"/>
      <c r="J2761" s="32"/>
      <c r="K2761" s="32"/>
      <c r="L2761" s="32" t="e">
        <f ca="1">_xludf.ifna(VLOOKUP(E2761,Parámetros!$D$2:$E$34,2,0),"")</f>
        <v>#NAME?</v>
      </c>
      <c r="M2761" s="32" t="e">
        <f ca="1">_xludf.ifna(VLOOKUP(G2761,Proyectos!$A$2:$T$674,20,0),"")</f>
        <v>#NAME?</v>
      </c>
      <c r="N2761" s="32" t="e">
        <f ca="1">_xludf.ifna(VLOOKUP(G2761,Proyectos!$A$2:$S$674,19,0))</f>
        <v>#NAME?</v>
      </c>
      <c r="O2761" s="32"/>
      <c r="P2761" s="32"/>
      <c r="Q2761" s="33"/>
      <c r="R2761" s="33"/>
      <c r="S2761" s="33"/>
      <c r="T2761" s="63">
        <f t="shared" si="22"/>
        <v>0</v>
      </c>
      <c r="U2761" s="33"/>
      <c r="V2761" s="33"/>
      <c r="W2761" s="33"/>
    </row>
    <row r="2762" spans="1:23" ht="16.5" customHeight="1" x14ac:dyDescent="0.2">
      <c r="A2762" s="26"/>
      <c r="B2762" s="26"/>
      <c r="C2762" s="26"/>
      <c r="D2762" s="26"/>
      <c r="E2762" s="26"/>
      <c r="F2762" s="28"/>
      <c r="G2762" s="26"/>
      <c r="H2762" s="32"/>
      <c r="I2762" s="32"/>
      <c r="J2762" s="32"/>
      <c r="K2762" s="32"/>
      <c r="L2762" s="32" t="e">
        <f ca="1">_xludf.ifna(VLOOKUP(E2762,Parámetros!$D$2:$E$34,2,0),"")</f>
        <v>#NAME?</v>
      </c>
      <c r="M2762" s="32" t="e">
        <f ca="1">_xludf.ifna(VLOOKUP(G2762,Proyectos!$A$2:$T$674,20,0),"")</f>
        <v>#NAME?</v>
      </c>
      <c r="N2762" s="32" t="e">
        <f ca="1">_xludf.ifna(VLOOKUP(G2762,Proyectos!$A$2:$S$674,19,0))</f>
        <v>#NAME?</v>
      </c>
      <c r="O2762" s="32"/>
      <c r="P2762" s="32"/>
      <c r="Q2762" s="33"/>
      <c r="R2762" s="33"/>
      <c r="S2762" s="33"/>
      <c r="T2762" s="63">
        <f t="shared" si="22"/>
        <v>0</v>
      </c>
      <c r="U2762" s="33"/>
      <c r="V2762" s="33"/>
      <c r="W2762" s="33"/>
    </row>
    <row r="2763" spans="1:23" ht="16.5" customHeight="1" x14ac:dyDescent="0.2">
      <c r="A2763" s="26"/>
      <c r="B2763" s="26"/>
      <c r="C2763" s="26"/>
      <c r="D2763" s="26"/>
      <c r="E2763" s="26"/>
      <c r="F2763" s="28"/>
      <c r="G2763" s="26"/>
      <c r="H2763" s="32"/>
      <c r="I2763" s="32"/>
      <c r="J2763" s="32"/>
      <c r="K2763" s="32"/>
      <c r="L2763" s="32" t="e">
        <f ca="1">_xludf.ifna(VLOOKUP(E2763,Parámetros!$D$2:$E$34,2,0),"")</f>
        <v>#NAME?</v>
      </c>
      <c r="M2763" s="32" t="e">
        <f ca="1">_xludf.ifna(VLOOKUP(G2763,Proyectos!$A$2:$T$674,20,0),"")</f>
        <v>#NAME?</v>
      </c>
      <c r="N2763" s="32" t="e">
        <f ca="1">_xludf.ifna(VLOOKUP(G2763,Proyectos!$A$2:$S$674,19,0))</f>
        <v>#NAME?</v>
      </c>
      <c r="O2763" s="32"/>
      <c r="P2763" s="32"/>
      <c r="Q2763" s="33"/>
      <c r="R2763" s="33"/>
      <c r="S2763" s="33"/>
      <c r="T2763" s="63">
        <f t="shared" si="22"/>
        <v>0</v>
      </c>
      <c r="U2763" s="33"/>
      <c r="V2763" s="33"/>
      <c r="W2763" s="33"/>
    </row>
    <row r="2764" spans="1:23" ht="16.5" customHeight="1" x14ac:dyDescent="0.2">
      <c r="A2764" s="26"/>
      <c r="B2764" s="26"/>
      <c r="C2764" s="26"/>
      <c r="D2764" s="26"/>
      <c r="E2764" s="26"/>
      <c r="F2764" s="28"/>
      <c r="G2764" s="26"/>
      <c r="H2764" s="32"/>
      <c r="I2764" s="32"/>
      <c r="J2764" s="32"/>
      <c r="K2764" s="32"/>
      <c r="L2764" s="32" t="e">
        <f ca="1">_xludf.ifna(VLOOKUP(E2764,Parámetros!$D$2:$E$34,2,0),"")</f>
        <v>#NAME?</v>
      </c>
      <c r="M2764" s="32" t="e">
        <f ca="1">_xludf.ifna(VLOOKUP(G2764,Proyectos!$A$2:$T$674,20,0),"")</f>
        <v>#NAME?</v>
      </c>
      <c r="N2764" s="32" t="e">
        <f ca="1">_xludf.ifna(VLOOKUP(G2764,Proyectos!$A$2:$S$674,19,0))</f>
        <v>#NAME?</v>
      </c>
      <c r="O2764" s="32"/>
      <c r="P2764" s="32"/>
      <c r="Q2764" s="33"/>
      <c r="R2764" s="33"/>
      <c r="S2764" s="33"/>
      <c r="T2764" s="63">
        <f t="shared" si="22"/>
        <v>0</v>
      </c>
      <c r="U2764" s="33"/>
      <c r="V2764" s="33"/>
      <c r="W2764" s="33"/>
    </row>
    <row r="2765" spans="1:23" ht="16.5" customHeight="1" x14ac:dyDescent="0.2">
      <c r="A2765" s="26"/>
      <c r="B2765" s="26"/>
      <c r="C2765" s="26"/>
      <c r="D2765" s="26"/>
      <c r="E2765" s="26"/>
      <c r="F2765" s="28"/>
      <c r="G2765" s="26"/>
      <c r="H2765" s="32"/>
      <c r="I2765" s="32"/>
      <c r="J2765" s="32"/>
      <c r="K2765" s="32"/>
      <c r="L2765" s="32" t="e">
        <f ca="1">_xludf.ifna(VLOOKUP(E2765,Parámetros!$D$2:$E$34,2,0),"")</f>
        <v>#NAME?</v>
      </c>
      <c r="M2765" s="32" t="e">
        <f ca="1">_xludf.ifna(VLOOKUP(G2765,Proyectos!$A$2:$T$674,20,0),"")</f>
        <v>#NAME?</v>
      </c>
      <c r="N2765" s="32" t="e">
        <f ca="1">_xludf.ifna(VLOOKUP(G2765,Proyectos!$A$2:$S$674,19,0))</f>
        <v>#NAME?</v>
      </c>
      <c r="O2765" s="32"/>
      <c r="P2765" s="32"/>
      <c r="Q2765" s="33"/>
      <c r="R2765" s="33"/>
      <c r="S2765" s="33"/>
      <c r="T2765" s="63">
        <f t="shared" si="22"/>
        <v>0</v>
      </c>
      <c r="U2765" s="33"/>
      <c r="V2765" s="33"/>
      <c r="W2765" s="33"/>
    </row>
    <row r="2766" spans="1:23" ht="16.5" customHeight="1" x14ac:dyDescent="0.2">
      <c r="A2766" s="26"/>
      <c r="B2766" s="26"/>
      <c r="C2766" s="26"/>
      <c r="D2766" s="26"/>
      <c r="E2766" s="26"/>
      <c r="F2766" s="28"/>
      <c r="G2766" s="26"/>
      <c r="H2766" s="32"/>
      <c r="I2766" s="32"/>
      <c r="J2766" s="32"/>
      <c r="K2766" s="32"/>
      <c r="L2766" s="32" t="e">
        <f ca="1">_xludf.ifna(VLOOKUP(E2766,Parámetros!$D$2:$E$34,2,0),"")</f>
        <v>#NAME?</v>
      </c>
      <c r="M2766" s="32" t="e">
        <f ca="1">_xludf.ifna(VLOOKUP(G2766,Proyectos!$A$2:$T$674,20,0),"")</f>
        <v>#NAME?</v>
      </c>
      <c r="N2766" s="32" t="e">
        <f ca="1">_xludf.ifna(VLOOKUP(G2766,Proyectos!$A$2:$S$674,19,0))</f>
        <v>#NAME?</v>
      </c>
      <c r="O2766" s="32"/>
      <c r="P2766" s="32"/>
      <c r="Q2766" s="33"/>
      <c r="R2766" s="33"/>
      <c r="S2766" s="33"/>
      <c r="T2766" s="63">
        <f t="shared" si="22"/>
        <v>0</v>
      </c>
      <c r="U2766" s="33"/>
      <c r="V2766" s="33"/>
      <c r="W2766" s="33"/>
    </row>
    <row r="2767" spans="1:23" ht="16.5" customHeight="1" x14ac:dyDescent="0.2">
      <c r="A2767" s="26"/>
      <c r="B2767" s="26"/>
      <c r="C2767" s="26"/>
      <c r="D2767" s="26"/>
      <c r="E2767" s="26"/>
      <c r="F2767" s="28"/>
      <c r="G2767" s="26"/>
      <c r="H2767" s="32"/>
      <c r="I2767" s="32"/>
      <c r="J2767" s="32"/>
      <c r="K2767" s="32"/>
      <c r="L2767" s="32" t="e">
        <f ca="1">_xludf.ifna(VLOOKUP(E2767,Parámetros!$D$2:$E$34,2,0),"")</f>
        <v>#NAME?</v>
      </c>
      <c r="M2767" s="32" t="e">
        <f ca="1">_xludf.ifna(VLOOKUP(G2767,Proyectos!$A$2:$T$674,20,0),"")</f>
        <v>#NAME?</v>
      </c>
      <c r="N2767" s="32" t="e">
        <f ca="1">_xludf.ifna(VLOOKUP(G2767,Proyectos!$A$2:$S$674,19,0))</f>
        <v>#NAME?</v>
      </c>
      <c r="O2767" s="32"/>
      <c r="P2767" s="32"/>
      <c r="Q2767" s="33"/>
      <c r="R2767" s="33"/>
      <c r="S2767" s="33"/>
      <c r="T2767" s="63">
        <f t="shared" si="22"/>
        <v>0</v>
      </c>
      <c r="U2767" s="33"/>
      <c r="V2767" s="33"/>
      <c r="W2767" s="33"/>
    </row>
    <row r="2768" spans="1:23" ht="16.5" customHeight="1" x14ac:dyDescent="0.2">
      <c r="A2768" s="26"/>
      <c r="B2768" s="26"/>
      <c r="C2768" s="26"/>
      <c r="D2768" s="26"/>
      <c r="E2768" s="26"/>
      <c r="F2768" s="28"/>
      <c r="G2768" s="26"/>
      <c r="H2768" s="32"/>
      <c r="I2768" s="32"/>
      <c r="J2768" s="32"/>
      <c r="K2768" s="32"/>
      <c r="L2768" s="32" t="e">
        <f ca="1">_xludf.ifna(VLOOKUP(E2768,Parámetros!$D$2:$E$34,2,0),"")</f>
        <v>#NAME?</v>
      </c>
      <c r="M2768" s="32" t="e">
        <f ca="1">_xludf.ifna(VLOOKUP(G2768,Proyectos!$A$2:$T$674,20,0),"")</f>
        <v>#NAME?</v>
      </c>
      <c r="N2768" s="32" t="e">
        <f ca="1">_xludf.ifna(VLOOKUP(G2768,Proyectos!$A$2:$S$674,19,0))</f>
        <v>#NAME?</v>
      </c>
      <c r="O2768" s="32"/>
      <c r="P2768" s="32"/>
      <c r="Q2768" s="33"/>
      <c r="R2768" s="33"/>
      <c r="S2768" s="33"/>
      <c r="T2768" s="63">
        <f t="shared" si="22"/>
        <v>0</v>
      </c>
      <c r="U2768" s="33"/>
      <c r="V2768" s="33"/>
      <c r="W2768" s="33"/>
    </row>
    <row r="2769" spans="1:23" ht="16.5" customHeight="1" x14ac:dyDescent="0.2">
      <c r="A2769" s="26"/>
      <c r="B2769" s="26"/>
      <c r="C2769" s="26"/>
      <c r="D2769" s="26"/>
      <c r="E2769" s="26"/>
      <c r="F2769" s="28"/>
      <c r="G2769" s="26"/>
      <c r="H2769" s="32"/>
      <c r="I2769" s="32"/>
      <c r="J2769" s="32"/>
      <c r="K2769" s="32"/>
      <c r="L2769" s="32" t="e">
        <f ca="1">_xludf.ifna(VLOOKUP(E2769,Parámetros!$D$2:$E$34,2,0),"")</f>
        <v>#NAME?</v>
      </c>
      <c r="M2769" s="32" t="e">
        <f ca="1">_xludf.ifna(VLOOKUP(G2769,Proyectos!$A$2:$T$674,20,0),"")</f>
        <v>#NAME?</v>
      </c>
      <c r="N2769" s="32" t="e">
        <f ca="1">_xludf.ifna(VLOOKUP(G2769,Proyectos!$A$2:$S$674,19,0))</f>
        <v>#NAME?</v>
      </c>
      <c r="O2769" s="32"/>
      <c r="P2769" s="32"/>
      <c r="Q2769" s="33"/>
      <c r="R2769" s="33"/>
      <c r="S2769" s="33"/>
      <c r="T2769" s="63">
        <f t="shared" si="22"/>
        <v>0</v>
      </c>
      <c r="U2769" s="33"/>
      <c r="V2769" s="33"/>
      <c r="W2769" s="33"/>
    </row>
    <row r="2770" spans="1:23" ht="16.5" customHeight="1" x14ac:dyDescent="0.2">
      <c r="A2770" s="26"/>
      <c r="B2770" s="26"/>
      <c r="C2770" s="26"/>
      <c r="D2770" s="26"/>
      <c r="E2770" s="26"/>
      <c r="F2770" s="28"/>
      <c r="G2770" s="26"/>
      <c r="H2770" s="32"/>
      <c r="I2770" s="32"/>
      <c r="J2770" s="32"/>
      <c r="K2770" s="32"/>
      <c r="L2770" s="32" t="e">
        <f ca="1">_xludf.ifna(VLOOKUP(E2770,Parámetros!$D$2:$E$34,2,0),"")</f>
        <v>#NAME?</v>
      </c>
      <c r="M2770" s="32" t="e">
        <f ca="1">_xludf.ifna(VLOOKUP(G2770,Proyectos!$A$2:$T$674,20,0),"")</f>
        <v>#NAME?</v>
      </c>
      <c r="N2770" s="32" t="e">
        <f ca="1">_xludf.ifna(VLOOKUP(G2770,Proyectos!$A$2:$S$674,19,0))</f>
        <v>#NAME?</v>
      </c>
      <c r="O2770" s="32"/>
      <c r="P2770" s="32"/>
      <c r="Q2770" s="33"/>
      <c r="R2770" s="33"/>
      <c r="S2770" s="33"/>
      <c r="T2770" s="63">
        <f t="shared" si="22"/>
        <v>0</v>
      </c>
      <c r="U2770" s="33"/>
      <c r="V2770" s="33"/>
      <c r="W2770" s="33"/>
    </row>
    <row r="2771" spans="1:23" ht="16.5" customHeight="1" x14ac:dyDescent="0.2">
      <c r="A2771" s="26"/>
      <c r="B2771" s="26"/>
      <c r="C2771" s="26"/>
      <c r="D2771" s="26"/>
      <c r="E2771" s="26"/>
      <c r="F2771" s="28"/>
      <c r="G2771" s="26"/>
      <c r="H2771" s="32"/>
      <c r="I2771" s="32"/>
      <c r="J2771" s="32"/>
      <c r="K2771" s="32"/>
      <c r="L2771" s="32" t="e">
        <f ca="1">_xludf.ifna(VLOOKUP(E2771,Parámetros!$D$2:$E$34,2,0),"")</f>
        <v>#NAME?</v>
      </c>
      <c r="M2771" s="32" t="e">
        <f ca="1">_xludf.ifna(VLOOKUP(G2771,Proyectos!$A$2:$T$674,20,0),"")</f>
        <v>#NAME?</v>
      </c>
      <c r="N2771" s="32" t="e">
        <f ca="1">_xludf.ifna(VLOOKUP(G2771,Proyectos!$A$2:$S$674,19,0))</f>
        <v>#NAME?</v>
      </c>
      <c r="O2771" s="32"/>
      <c r="P2771" s="32"/>
      <c r="Q2771" s="33"/>
      <c r="R2771" s="33"/>
      <c r="S2771" s="33"/>
      <c r="T2771" s="63">
        <f>IF(E2771=E2769,0,1)</f>
        <v>0</v>
      </c>
      <c r="U2771" s="33"/>
      <c r="V2771" s="33"/>
      <c r="W2771" s="33"/>
    </row>
    <row r="2772" spans="1:23" ht="16.5" customHeight="1" x14ac:dyDescent="0.2">
      <c r="A2772" s="26"/>
      <c r="B2772" s="26"/>
      <c r="C2772" s="26"/>
      <c r="D2772" s="26"/>
      <c r="E2772" s="26"/>
      <c r="F2772" s="28"/>
      <c r="G2772" s="26"/>
      <c r="H2772" s="32"/>
      <c r="I2772" s="32"/>
      <c r="J2772" s="32"/>
      <c r="K2772" s="32"/>
      <c r="L2772" s="32" t="e">
        <f ca="1">_xludf.ifna(VLOOKUP(E2772,Parámetros!$D$2:$E$34,2,0),"")</f>
        <v>#NAME?</v>
      </c>
      <c r="M2772" s="32" t="e">
        <f ca="1">_xludf.ifna(VLOOKUP(G2772,Proyectos!$A$2:$T$674,20,0),"")</f>
        <v>#NAME?</v>
      </c>
      <c r="N2772" s="32" t="e">
        <f ca="1">_xludf.ifna(VLOOKUP(G2772,Proyectos!$A$2:$S$674,19,0))</f>
        <v>#NAME?</v>
      </c>
      <c r="O2772" s="32"/>
      <c r="P2772" s="32"/>
      <c r="Q2772" s="33"/>
      <c r="R2772" s="33"/>
      <c r="S2772" s="33"/>
      <c r="T2772" s="63">
        <f t="shared" ref="T2772:T3018" si="23">IF(E2772=E2771,0,1)</f>
        <v>0</v>
      </c>
      <c r="U2772" s="33"/>
      <c r="V2772" s="33"/>
      <c r="W2772" s="33"/>
    </row>
    <row r="2773" spans="1:23" ht="16.5" customHeight="1" x14ac:dyDescent="0.2">
      <c r="A2773" s="26"/>
      <c r="B2773" s="26"/>
      <c r="C2773" s="26"/>
      <c r="D2773" s="26"/>
      <c r="E2773" s="26"/>
      <c r="F2773" s="28"/>
      <c r="G2773" s="26"/>
      <c r="H2773" s="32"/>
      <c r="I2773" s="32"/>
      <c r="J2773" s="32"/>
      <c r="K2773" s="32"/>
      <c r="L2773" s="32" t="e">
        <f ca="1">_xludf.ifna(VLOOKUP(E2773,Parámetros!$D$2:$E$34,2,0),"")</f>
        <v>#NAME?</v>
      </c>
      <c r="M2773" s="32" t="e">
        <f ca="1">_xludf.ifna(VLOOKUP(G2773,Proyectos!$A$2:$T$674,20,0),"")</f>
        <v>#NAME?</v>
      </c>
      <c r="N2773" s="32" t="e">
        <f ca="1">_xludf.ifna(VLOOKUP(G2773,Proyectos!$A$2:$S$674,19,0))</f>
        <v>#NAME?</v>
      </c>
      <c r="O2773" s="32"/>
      <c r="P2773" s="32"/>
      <c r="Q2773" s="33"/>
      <c r="R2773" s="33"/>
      <c r="S2773" s="33"/>
      <c r="T2773" s="63">
        <f t="shared" si="23"/>
        <v>0</v>
      </c>
      <c r="U2773" s="33"/>
      <c r="V2773" s="33"/>
      <c r="W2773" s="33"/>
    </row>
    <row r="2774" spans="1:23" ht="16.5" customHeight="1" x14ac:dyDescent="0.2">
      <c r="A2774" s="26"/>
      <c r="B2774" s="26"/>
      <c r="C2774" s="26"/>
      <c r="D2774" s="26"/>
      <c r="E2774" s="26"/>
      <c r="F2774" s="28"/>
      <c r="G2774" s="26"/>
      <c r="H2774" s="32"/>
      <c r="I2774" s="32"/>
      <c r="J2774" s="32"/>
      <c r="K2774" s="32"/>
      <c r="L2774" s="32" t="e">
        <f ca="1">_xludf.ifna(VLOOKUP(E2774,Parámetros!$D$2:$E$34,2,0),"")</f>
        <v>#NAME?</v>
      </c>
      <c r="M2774" s="32" t="e">
        <f ca="1">_xludf.ifna(VLOOKUP(G2774,Proyectos!$A$2:$T$674,20,0),"")</f>
        <v>#NAME?</v>
      </c>
      <c r="N2774" s="32" t="e">
        <f ca="1">_xludf.ifna(VLOOKUP(G2774,Proyectos!$A$2:$S$674,19,0))</f>
        <v>#NAME?</v>
      </c>
      <c r="O2774" s="32"/>
      <c r="P2774" s="32"/>
      <c r="Q2774" s="33"/>
      <c r="R2774" s="33"/>
      <c r="S2774" s="33"/>
      <c r="T2774" s="63">
        <f t="shared" si="23"/>
        <v>0</v>
      </c>
      <c r="U2774" s="33"/>
      <c r="V2774" s="33"/>
      <c r="W2774" s="33"/>
    </row>
    <row r="2775" spans="1:23" ht="16.5" customHeight="1" x14ac:dyDescent="0.2">
      <c r="A2775" s="26"/>
      <c r="B2775" s="26"/>
      <c r="C2775" s="26"/>
      <c r="D2775" s="26"/>
      <c r="E2775" s="26"/>
      <c r="F2775" s="28"/>
      <c r="G2775" s="26"/>
      <c r="H2775" s="32"/>
      <c r="I2775" s="32"/>
      <c r="J2775" s="32"/>
      <c r="K2775" s="32"/>
      <c r="L2775" s="32" t="e">
        <f ca="1">_xludf.ifna(VLOOKUP(E2775,Parámetros!$D$2:$E$34,2,0),"")</f>
        <v>#NAME?</v>
      </c>
      <c r="M2775" s="32" t="e">
        <f ca="1">_xludf.ifna(VLOOKUP(G2775,Proyectos!$A$2:$T$674,20,0),"")</f>
        <v>#NAME?</v>
      </c>
      <c r="N2775" s="32" t="e">
        <f ca="1">_xludf.ifna(VLOOKUP(G2775,Proyectos!$A$2:$S$674,19,0))</f>
        <v>#NAME?</v>
      </c>
      <c r="O2775" s="32"/>
      <c r="P2775" s="32"/>
      <c r="Q2775" s="33"/>
      <c r="R2775" s="33"/>
      <c r="S2775" s="33"/>
      <c r="T2775" s="63">
        <f t="shared" si="23"/>
        <v>0</v>
      </c>
      <c r="U2775" s="33"/>
      <c r="V2775" s="33"/>
      <c r="W2775" s="33"/>
    </row>
    <row r="2776" spans="1:23" ht="16.5" customHeight="1" x14ac:dyDescent="0.2">
      <c r="A2776" s="26"/>
      <c r="B2776" s="26"/>
      <c r="C2776" s="26"/>
      <c r="D2776" s="26"/>
      <c r="E2776" s="26"/>
      <c r="F2776" s="28"/>
      <c r="G2776" s="26"/>
      <c r="H2776" s="32"/>
      <c r="I2776" s="32"/>
      <c r="J2776" s="32"/>
      <c r="K2776" s="32"/>
      <c r="L2776" s="32" t="e">
        <f ca="1">_xludf.ifna(VLOOKUP(E2776,Parámetros!$D$2:$E$34,2,0),"")</f>
        <v>#NAME?</v>
      </c>
      <c r="M2776" s="32" t="e">
        <f ca="1">_xludf.ifna(VLOOKUP(G2776,Proyectos!$A$2:$T$674,20,0),"")</f>
        <v>#NAME?</v>
      </c>
      <c r="N2776" s="32" t="e">
        <f ca="1">_xludf.ifna(VLOOKUP(G2776,Proyectos!$A$2:$S$674,19,0))</f>
        <v>#NAME?</v>
      </c>
      <c r="O2776" s="32"/>
      <c r="P2776" s="32"/>
      <c r="Q2776" s="33"/>
      <c r="R2776" s="33"/>
      <c r="S2776" s="33"/>
      <c r="T2776" s="63">
        <f t="shared" si="23"/>
        <v>0</v>
      </c>
      <c r="U2776" s="33"/>
      <c r="V2776" s="33"/>
      <c r="W2776" s="33"/>
    </row>
    <row r="2777" spans="1:23" ht="16.5" customHeight="1" x14ac:dyDescent="0.2">
      <c r="A2777" s="26"/>
      <c r="B2777" s="26"/>
      <c r="C2777" s="26"/>
      <c r="D2777" s="26"/>
      <c r="E2777" s="26"/>
      <c r="F2777" s="28"/>
      <c r="G2777" s="26"/>
      <c r="H2777" s="32"/>
      <c r="I2777" s="32"/>
      <c r="J2777" s="32"/>
      <c r="K2777" s="32"/>
      <c r="L2777" s="32" t="e">
        <f ca="1">_xludf.ifna(VLOOKUP(E2777,Parámetros!$D$2:$E$34,2,0),"")</f>
        <v>#NAME?</v>
      </c>
      <c r="M2777" s="32" t="e">
        <f ca="1">_xludf.ifna(VLOOKUP(G2777,Proyectos!$A$2:$T$674,20,0),"")</f>
        <v>#NAME?</v>
      </c>
      <c r="N2777" s="32" t="e">
        <f ca="1">_xludf.ifna(VLOOKUP(G2777,Proyectos!$A$2:$S$674,19,0))</f>
        <v>#NAME?</v>
      </c>
      <c r="O2777" s="32"/>
      <c r="P2777" s="32"/>
      <c r="Q2777" s="33"/>
      <c r="R2777" s="33"/>
      <c r="S2777" s="33"/>
      <c r="T2777" s="63">
        <f t="shared" si="23"/>
        <v>0</v>
      </c>
      <c r="U2777" s="33"/>
      <c r="V2777" s="33"/>
      <c r="W2777" s="33"/>
    </row>
    <row r="2778" spans="1:23" ht="16.5" customHeight="1" x14ac:dyDescent="0.2">
      <c r="A2778" s="26"/>
      <c r="B2778" s="26"/>
      <c r="C2778" s="26"/>
      <c r="D2778" s="26"/>
      <c r="E2778" s="26"/>
      <c r="F2778" s="28"/>
      <c r="G2778" s="26"/>
      <c r="H2778" s="32"/>
      <c r="I2778" s="32"/>
      <c r="J2778" s="32"/>
      <c r="K2778" s="32"/>
      <c r="L2778" s="32" t="e">
        <f ca="1">_xludf.ifna(VLOOKUP(E2778,Parámetros!$D$2:$E$34,2,0),"")</f>
        <v>#NAME?</v>
      </c>
      <c r="M2778" s="32" t="e">
        <f ca="1">_xludf.ifna(VLOOKUP(G2778,Proyectos!$A$2:$T$674,20,0),"")</f>
        <v>#NAME?</v>
      </c>
      <c r="N2778" s="32" t="e">
        <f ca="1">_xludf.ifna(VLOOKUP(G2778,Proyectos!$A$2:$S$674,19,0))</f>
        <v>#NAME?</v>
      </c>
      <c r="O2778" s="32"/>
      <c r="P2778" s="32"/>
      <c r="Q2778" s="33"/>
      <c r="R2778" s="33"/>
      <c r="S2778" s="33"/>
      <c r="T2778" s="63">
        <f t="shared" si="23"/>
        <v>0</v>
      </c>
      <c r="U2778" s="33"/>
      <c r="V2778" s="33"/>
      <c r="W2778" s="33"/>
    </row>
    <row r="2779" spans="1:23" ht="16.5" customHeight="1" x14ac:dyDescent="0.2">
      <c r="A2779" s="26"/>
      <c r="B2779" s="26"/>
      <c r="C2779" s="26"/>
      <c r="D2779" s="26"/>
      <c r="E2779" s="26"/>
      <c r="F2779" s="28"/>
      <c r="G2779" s="26"/>
      <c r="H2779" s="32"/>
      <c r="I2779" s="32"/>
      <c r="J2779" s="32"/>
      <c r="K2779" s="32"/>
      <c r="L2779" s="32" t="e">
        <f ca="1">_xludf.ifna(VLOOKUP(E2779,Parámetros!$D$2:$E$34,2,0),"")</f>
        <v>#NAME?</v>
      </c>
      <c r="M2779" s="32" t="e">
        <f ca="1">_xludf.ifna(VLOOKUP(G2779,Proyectos!$A$2:$T$674,20,0),"")</f>
        <v>#NAME?</v>
      </c>
      <c r="N2779" s="32" t="e">
        <f ca="1">_xludf.ifna(VLOOKUP(G2779,Proyectos!$A$2:$S$674,19,0))</f>
        <v>#NAME?</v>
      </c>
      <c r="O2779" s="32"/>
      <c r="P2779" s="32"/>
      <c r="Q2779" s="33"/>
      <c r="R2779" s="33"/>
      <c r="S2779" s="33"/>
      <c r="T2779" s="63">
        <f t="shared" si="23"/>
        <v>0</v>
      </c>
      <c r="U2779" s="33"/>
      <c r="V2779" s="33"/>
      <c r="W2779" s="33"/>
    </row>
    <row r="2780" spans="1:23" ht="16.5" customHeight="1" x14ac:dyDescent="0.2">
      <c r="A2780" s="26"/>
      <c r="B2780" s="26"/>
      <c r="C2780" s="26"/>
      <c r="D2780" s="26"/>
      <c r="E2780" s="26"/>
      <c r="F2780" s="28"/>
      <c r="G2780" s="26"/>
      <c r="H2780" s="32"/>
      <c r="I2780" s="32"/>
      <c r="J2780" s="32"/>
      <c r="K2780" s="32"/>
      <c r="L2780" s="32" t="e">
        <f ca="1">_xludf.ifna(VLOOKUP(E2780,Parámetros!$D$2:$E$34,2,0),"")</f>
        <v>#NAME?</v>
      </c>
      <c r="M2780" s="32" t="e">
        <f ca="1">_xludf.ifna(VLOOKUP(G2780,Proyectos!$A$2:$T$674,20,0),"")</f>
        <v>#NAME?</v>
      </c>
      <c r="N2780" s="32" t="e">
        <f ca="1">_xludf.ifna(VLOOKUP(G2780,Proyectos!$A$2:$S$674,19,0))</f>
        <v>#NAME?</v>
      </c>
      <c r="O2780" s="32"/>
      <c r="P2780" s="32"/>
      <c r="Q2780" s="33"/>
      <c r="R2780" s="33"/>
      <c r="S2780" s="33"/>
      <c r="T2780" s="63">
        <f t="shared" si="23"/>
        <v>0</v>
      </c>
      <c r="U2780" s="33"/>
      <c r="V2780" s="33"/>
      <c r="W2780" s="33"/>
    </row>
    <row r="2781" spans="1:23" ht="16.5" customHeight="1" x14ac:dyDescent="0.2">
      <c r="A2781" s="26"/>
      <c r="B2781" s="26"/>
      <c r="C2781" s="26"/>
      <c r="D2781" s="26"/>
      <c r="E2781" s="26"/>
      <c r="F2781" s="28"/>
      <c r="G2781" s="26"/>
      <c r="H2781" s="32"/>
      <c r="I2781" s="32"/>
      <c r="J2781" s="32"/>
      <c r="K2781" s="32"/>
      <c r="L2781" s="32" t="e">
        <f ca="1">_xludf.ifna(VLOOKUP(E2781,Parámetros!$D$2:$E$34,2,0),"")</f>
        <v>#NAME?</v>
      </c>
      <c r="M2781" s="32" t="e">
        <f ca="1">_xludf.ifna(VLOOKUP(G2781,Proyectos!$A$2:$T$674,20,0),"")</f>
        <v>#NAME?</v>
      </c>
      <c r="N2781" s="32" t="e">
        <f ca="1">_xludf.ifna(VLOOKUP(G2781,Proyectos!$A$2:$S$674,19,0))</f>
        <v>#NAME?</v>
      </c>
      <c r="O2781" s="32"/>
      <c r="P2781" s="32"/>
      <c r="Q2781" s="33"/>
      <c r="R2781" s="33"/>
      <c r="S2781" s="33"/>
      <c r="T2781" s="63">
        <f t="shared" si="23"/>
        <v>0</v>
      </c>
      <c r="U2781" s="33"/>
      <c r="V2781" s="33"/>
      <c r="W2781" s="33"/>
    </row>
    <row r="2782" spans="1:23" ht="16.5" customHeight="1" x14ac:dyDescent="0.2">
      <c r="A2782" s="26"/>
      <c r="B2782" s="26"/>
      <c r="C2782" s="26"/>
      <c r="D2782" s="26"/>
      <c r="E2782" s="26"/>
      <c r="F2782" s="28"/>
      <c r="G2782" s="26"/>
      <c r="H2782" s="32"/>
      <c r="I2782" s="32"/>
      <c r="J2782" s="32"/>
      <c r="K2782" s="32"/>
      <c r="L2782" s="32" t="e">
        <f ca="1">_xludf.ifna(VLOOKUP(E2782,Parámetros!$D$2:$E$34,2,0),"")</f>
        <v>#NAME?</v>
      </c>
      <c r="M2782" s="32" t="e">
        <f ca="1">_xludf.ifna(VLOOKUP(G2782,Proyectos!$A$2:$T$674,20,0),"")</f>
        <v>#NAME?</v>
      </c>
      <c r="N2782" s="32" t="e">
        <f ca="1">_xludf.ifna(VLOOKUP(G2782,Proyectos!$A$2:$S$674,19,0))</f>
        <v>#NAME?</v>
      </c>
      <c r="O2782" s="32"/>
      <c r="P2782" s="32"/>
      <c r="Q2782" s="33"/>
      <c r="R2782" s="33"/>
      <c r="S2782" s="33"/>
      <c r="T2782" s="63">
        <f t="shared" si="23"/>
        <v>0</v>
      </c>
      <c r="U2782" s="33"/>
      <c r="V2782" s="33"/>
      <c r="W2782" s="33"/>
    </row>
    <row r="2783" spans="1:23" ht="16.5" customHeight="1" x14ac:dyDescent="0.2">
      <c r="A2783" s="26"/>
      <c r="B2783" s="26"/>
      <c r="C2783" s="26"/>
      <c r="D2783" s="26"/>
      <c r="E2783" s="26"/>
      <c r="F2783" s="28"/>
      <c r="G2783" s="26"/>
      <c r="H2783" s="32"/>
      <c r="I2783" s="32"/>
      <c r="J2783" s="32"/>
      <c r="K2783" s="32"/>
      <c r="L2783" s="32" t="e">
        <f ca="1">_xludf.ifna(VLOOKUP(E2783,Parámetros!$D$2:$E$34,2,0),"")</f>
        <v>#NAME?</v>
      </c>
      <c r="M2783" s="32" t="e">
        <f ca="1">_xludf.ifna(VLOOKUP(G2783,Proyectos!$A$2:$T$674,20,0),"")</f>
        <v>#NAME?</v>
      </c>
      <c r="N2783" s="32" t="e">
        <f ca="1">_xludf.ifna(VLOOKUP(G2783,Proyectos!$A$2:$S$674,19,0))</f>
        <v>#NAME?</v>
      </c>
      <c r="O2783" s="32"/>
      <c r="P2783" s="32"/>
      <c r="Q2783" s="33"/>
      <c r="R2783" s="33"/>
      <c r="S2783" s="33"/>
      <c r="T2783" s="63">
        <f t="shared" si="23"/>
        <v>0</v>
      </c>
      <c r="U2783" s="33"/>
      <c r="V2783" s="33"/>
      <c r="W2783" s="33"/>
    </row>
    <row r="2784" spans="1:23" ht="16.5" customHeight="1" x14ac:dyDescent="0.2">
      <c r="A2784" s="26"/>
      <c r="B2784" s="26"/>
      <c r="C2784" s="26"/>
      <c r="D2784" s="26"/>
      <c r="E2784" s="26"/>
      <c r="F2784" s="28"/>
      <c r="G2784" s="26"/>
      <c r="H2784" s="32"/>
      <c r="I2784" s="32"/>
      <c r="J2784" s="32"/>
      <c r="K2784" s="32"/>
      <c r="L2784" s="32" t="e">
        <f ca="1">_xludf.ifna(VLOOKUP(E2784,Parámetros!$D$2:$E$34,2,0),"")</f>
        <v>#NAME?</v>
      </c>
      <c r="M2784" s="32" t="e">
        <f ca="1">_xludf.ifna(VLOOKUP(G2784,Proyectos!$A$2:$T$674,20,0),"")</f>
        <v>#NAME?</v>
      </c>
      <c r="N2784" s="32" t="e">
        <f ca="1">_xludf.ifna(VLOOKUP(G2784,Proyectos!$A$2:$S$674,19,0))</f>
        <v>#NAME?</v>
      </c>
      <c r="O2784" s="32"/>
      <c r="P2784" s="32"/>
      <c r="Q2784" s="33"/>
      <c r="R2784" s="33"/>
      <c r="S2784" s="33"/>
      <c r="T2784" s="63">
        <f t="shared" si="23"/>
        <v>0</v>
      </c>
      <c r="U2784" s="33"/>
      <c r="V2784" s="33"/>
      <c r="W2784" s="33"/>
    </row>
    <row r="2785" spans="1:23" ht="16.5" customHeight="1" x14ac:dyDescent="0.2">
      <c r="A2785" s="26"/>
      <c r="B2785" s="26"/>
      <c r="C2785" s="26"/>
      <c r="D2785" s="26"/>
      <c r="E2785" s="26"/>
      <c r="F2785" s="28"/>
      <c r="G2785" s="26"/>
      <c r="H2785" s="32"/>
      <c r="I2785" s="32"/>
      <c r="J2785" s="32"/>
      <c r="K2785" s="32"/>
      <c r="L2785" s="32" t="e">
        <f ca="1">_xludf.ifna(VLOOKUP(E2785,Parámetros!$D$2:$E$34,2,0),"")</f>
        <v>#NAME?</v>
      </c>
      <c r="M2785" s="32" t="e">
        <f ca="1">_xludf.ifna(VLOOKUP(G2785,Proyectos!$A$2:$T$674,20,0),"")</f>
        <v>#NAME?</v>
      </c>
      <c r="N2785" s="32" t="e">
        <f ca="1">_xludf.ifna(VLOOKUP(G2785,Proyectos!$A$2:$S$674,19,0))</f>
        <v>#NAME?</v>
      </c>
      <c r="O2785" s="32"/>
      <c r="P2785" s="32"/>
      <c r="Q2785" s="33"/>
      <c r="R2785" s="33"/>
      <c r="S2785" s="33"/>
      <c r="T2785" s="63">
        <f t="shared" si="23"/>
        <v>0</v>
      </c>
      <c r="U2785" s="33"/>
      <c r="V2785" s="33"/>
      <c r="W2785" s="33"/>
    </row>
    <row r="2786" spans="1:23" ht="16.5" customHeight="1" x14ac:dyDescent="0.2">
      <c r="A2786" s="26"/>
      <c r="B2786" s="26"/>
      <c r="C2786" s="26"/>
      <c r="D2786" s="26"/>
      <c r="E2786" s="26"/>
      <c r="F2786" s="28"/>
      <c r="G2786" s="26"/>
      <c r="H2786" s="32"/>
      <c r="I2786" s="32"/>
      <c r="J2786" s="32"/>
      <c r="K2786" s="32"/>
      <c r="L2786" s="32" t="e">
        <f ca="1">_xludf.ifna(VLOOKUP(E2786,Parámetros!$D$2:$E$34,2,0),"")</f>
        <v>#NAME?</v>
      </c>
      <c r="M2786" s="32" t="e">
        <f ca="1">_xludf.ifna(VLOOKUP(G2786,Proyectos!$A$2:$T$674,20,0),"")</f>
        <v>#NAME?</v>
      </c>
      <c r="N2786" s="32" t="e">
        <f ca="1">_xludf.ifna(VLOOKUP(G2786,Proyectos!$A$2:$S$674,19,0))</f>
        <v>#NAME?</v>
      </c>
      <c r="O2786" s="32"/>
      <c r="P2786" s="32"/>
      <c r="Q2786" s="33"/>
      <c r="R2786" s="33"/>
      <c r="S2786" s="33"/>
      <c r="T2786" s="63">
        <f t="shared" si="23"/>
        <v>0</v>
      </c>
      <c r="U2786" s="33"/>
      <c r="V2786" s="33"/>
      <c r="W2786" s="33"/>
    </row>
    <row r="2787" spans="1:23" ht="16.5" customHeight="1" x14ac:dyDescent="0.2">
      <c r="A2787" s="26"/>
      <c r="B2787" s="26"/>
      <c r="C2787" s="26"/>
      <c r="D2787" s="26"/>
      <c r="E2787" s="26"/>
      <c r="F2787" s="28"/>
      <c r="G2787" s="26"/>
      <c r="H2787" s="32"/>
      <c r="I2787" s="32"/>
      <c r="J2787" s="32"/>
      <c r="K2787" s="32"/>
      <c r="L2787" s="32" t="e">
        <f ca="1">_xludf.ifna(VLOOKUP(E2787,Parámetros!$D$2:$E$34,2,0),"")</f>
        <v>#NAME?</v>
      </c>
      <c r="M2787" s="32" t="e">
        <f ca="1">_xludf.ifna(VLOOKUP(G2787,Proyectos!$A$2:$T$674,20,0),"")</f>
        <v>#NAME?</v>
      </c>
      <c r="N2787" s="32" t="e">
        <f ca="1">_xludf.ifna(VLOOKUP(G2787,Proyectos!$A$2:$S$674,19,0))</f>
        <v>#NAME?</v>
      </c>
      <c r="O2787" s="32"/>
      <c r="P2787" s="32"/>
      <c r="Q2787" s="33"/>
      <c r="R2787" s="33"/>
      <c r="S2787" s="33"/>
      <c r="T2787" s="63">
        <f t="shared" si="23"/>
        <v>0</v>
      </c>
      <c r="U2787" s="33"/>
      <c r="V2787" s="33"/>
      <c r="W2787" s="33"/>
    </row>
    <row r="2788" spans="1:23" ht="16.5" customHeight="1" x14ac:dyDescent="0.2">
      <c r="A2788" s="26"/>
      <c r="B2788" s="26"/>
      <c r="C2788" s="26"/>
      <c r="D2788" s="26"/>
      <c r="E2788" s="26"/>
      <c r="F2788" s="28"/>
      <c r="G2788" s="26"/>
      <c r="H2788" s="32"/>
      <c r="I2788" s="32"/>
      <c r="J2788" s="32"/>
      <c r="K2788" s="32"/>
      <c r="L2788" s="32" t="e">
        <f ca="1">_xludf.ifna(VLOOKUP(E2788,Parámetros!$D$2:$E$34,2,0),"")</f>
        <v>#NAME?</v>
      </c>
      <c r="M2788" s="32" t="e">
        <f ca="1">_xludf.ifna(VLOOKUP(G2788,Proyectos!$A$2:$T$674,20,0),"")</f>
        <v>#NAME?</v>
      </c>
      <c r="N2788" s="32" t="e">
        <f ca="1">_xludf.ifna(VLOOKUP(G2788,Proyectos!$A$2:$S$674,19,0))</f>
        <v>#NAME?</v>
      </c>
      <c r="O2788" s="32"/>
      <c r="P2788" s="32"/>
      <c r="Q2788" s="33"/>
      <c r="R2788" s="33"/>
      <c r="S2788" s="33"/>
      <c r="T2788" s="63">
        <f t="shared" si="23"/>
        <v>0</v>
      </c>
      <c r="U2788" s="33"/>
      <c r="V2788" s="33"/>
      <c r="W2788" s="33"/>
    </row>
    <row r="2789" spans="1:23" ht="16.5" customHeight="1" x14ac:dyDescent="0.2">
      <c r="A2789" s="26"/>
      <c r="B2789" s="26"/>
      <c r="C2789" s="26"/>
      <c r="D2789" s="26"/>
      <c r="E2789" s="26"/>
      <c r="F2789" s="28"/>
      <c r="G2789" s="26"/>
      <c r="H2789" s="32"/>
      <c r="I2789" s="32"/>
      <c r="J2789" s="32"/>
      <c r="K2789" s="32"/>
      <c r="L2789" s="32" t="e">
        <f ca="1">_xludf.ifna(VLOOKUP(E2789,Parámetros!$D$2:$E$34,2,0),"")</f>
        <v>#NAME?</v>
      </c>
      <c r="M2789" s="32" t="e">
        <f ca="1">_xludf.ifna(VLOOKUP(G2789,Proyectos!$A$2:$T$674,20,0),"")</f>
        <v>#NAME?</v>
      </c>
      <c r="N2789" s="32" t="e">
        <f ca="1">_xludf.ifna(VLOOKUP(G2789,Proyectos!$A$2:$S$674,19,0))</f>
        <v>#NAME?</v>
      </c>
      <c r="O2789" s="32"/>
      <c r="P2789" s="32"/>
      <c r="Q2789" s="33"/>
      <c r="R2789" s="33"/>
      <c r="S2789" s="33"/>
      <c r="T2789" s="63">
        <f t="shared" si="23"/>
        <v>0</v>
      </c>
      <c r="U2789" s="33"/>
      <c r="V2789" s="33"/>
      <c r="W2789" s="33"/>
    </row>
    <row r="2790" spans="1:23" ht="16.5" customHeight="1" x14ac:dyDescent="0.2">
      <c r="A2790" s="26"/>
      <c r="B2790" s="26"/>
      <c r="C2790" s="26"/>
      <c r="D2790" s="26"/>
      <c r="E2790" s="26"/>
      <c r="F2790" s="28"/>
      <c r="G2790" s="26"/>
      <c r="H2790" s="32"/>
      <c r="I2790" s="32"/>
      <c r="J2790" s="32"/>
      <c r="K2790" s="32"/>
      <c r="L2790" s="32" t="e">
        <f ca="1">_xludf.ifna(VLOOKUP(E2790,Parámetros!$D$2:$E$34,2,0),"")</f>
        <v>#NAME?</v>
      </c>
      <c r="M2790" s="32" t="e">
        <f ca="1">_xludf.ifna(VLOOKUP(G2790,Proyectos!$A$2:$T$674,20,0),"")</f>
        <v>#NAME?</v>
      </c>
      <c r="N2790" s="32" t="e">
        <f ca="1">_xludf.ifna(VLOOKUP(G2790,Proyectos!$A$2:$S$674,19,0))</f>
        <v>#NAME?</v>
      </c>
      <c r="O2790" s="32"/>
      <c r="P2790" s="32"/>
      <c r="Q2790" s="33"/>
      <c r="R2790" s="33"/>
      <c r="S2790" s="33"/>
      <c r="T2790" s="63">
        <f t="shared" si="23"/>
        <v>0</v>
      </c>
      <c r="U2790" s="33"/>
      <c r="V2790" s="33"/>
      <c r="W2790" s="33"/>
    </row>
    <row r="2791" spans="1:23" ht="16.5" customHeight="1" x14ac:dyDescent="0.2">
      <c r="A2791" s="26"/>
      <c r="B2791" s="26"/>
      <c r="C2791" s="26"/>
      <c r="D2791" s="26"/>
      <c r="E2791" s="26"/>
      <c r="F2791" s="28"/>
      <c r="G2791" s="26"/>
      <c r="H2791" s="32"/>
      <c r="I2791" s="32"/>
      <c r="J2791" s="32"/>
      <c r="K2791" s="32"/>
      <c r="L2791" s="32" t="e">
        <f ca="1">_xludf.ifna(VLOOKUP(E2791,Parámetros!$D$2:$E$34,2,0),"")</f>
        <v>#NAME?</v>
      </c>
      <c r="M2791" s="32" t="e">
        <f ca="1">_xludf.ifna(VLOOKUP(G2791,Proyectos!$A$2:$T$674,20,0),"")</f>
        <v>#NAME?</v>
      </c>
      <c r="N2791" s="32" t="e">
        <f ca="1">_xludf.ifna(VLOOKUP(G2791,Proyectos!$A$2:$S$674,19,0))</f>
        <v>#NAME?</v>
      </c>
      <c r="O2791" s="32"/>
      <c r="P2791" s="32"/>
      <c r="Q2791" s="33"/>
      <c r="R2791" s="33"/>
      <c r="S2791" s="33"/>
      <c r="T2791" s="63">
        <f t="shared" si="23"/>
        <v>0</v>
      </c>
      <c r="U2791" s="33"/>
      <c r="V2791" s="33"/>
      <c r="W2791" s="33"/>
    </row>
    <row r="2792" spans="1:23" ht="16.5" customHeight="1" x14ac:dyDescent="0.2">
      <c r="A2792" s="26"/>
      <c r="B2792" s="26"/>
      <c r="C2792" s="26"/>
      <c r="D2792" s="26"/>
      <c r="E2792" s="26"/>
      <c r="F2792" s="28"/>
      <c r="G2792" s="26"/>
      <c r="H2792" s="32"/>
      <c r="I2792" s="32"/>
      <c r="J2792" s="32"/>
      <c r="K2792" s="32"/>
      <c r="L2792" s="32" t="e">
        <f ca="1">_xludf.ifna(VLOOKUP(E2792,Parámetros!$D$2:$E$34,2,0),"")</f>
        <v>#NAME?</v>
      </c>
      <c r="M2792" s="32" t="e">
        <f ca="1">_xludf.ifna(VLOOKUP(G2792,Proyectos!$A$2:$T$674,20,0),"")</f>
        <v>#NAME?</v>
      </c>
      <c r="N2792" s="32" t="e">
        <f ca="1">_xludf.ifna(VLOOKUP(G2792,Proyectos!$A$2:$S$674,19,0))</f>
        <v>#NAME?</v>
      </c>
      <c r="O2792" s="32"/>
      <c r="P2792" s="32"/>
      <c r="Q2792" s="33"/>
      <c r="R2792" s="33"/>
      <c r="S2792" s="33"/>
      <c r="T2792" s="63">
        <f t="shared" si="23"/>
        <v>0</v>
      </c>
      <c r="U2792" s="33"/>
      <c r="V2792" s="33"/>
      <c r="W2792" s="33"/>
    </row>
    <row r="2793" spans="1:23" ht="16.5" customHeight="1" x14ac:dyDescent="0.2">
      <c r="A2793" s="26"/>
      <c r="B2793" s="26"/>
      <c r="C2793" s="26"/>
      <c r="D2793" s="26"/>
      <c r="E2793" s="26"/>
      <c r="F2793" s="28"/>
      <c r="G2793" s="26"/>
      <c r="H2793" s="32"/>
      <c r="I2793" s="32"/>
      <c r="J2793" s="32"/>
      <c r="K2793" s="32"/>
      <c r="L2793" s="32" t="e">
        <f ca="1">_xludf.ifna(VLOOKUP(E2793,Parámetros!$D$2:$E$34,2,0),"")</f>
        <v>#NAME?</v>
      </c>
      <c r="M2793" s="32" t="e">
        <f ca="1">_xludf.ifna(VLOOKUP(G2793,Proyectos!$A$2:$T$674,20,0),"")</f>
        <v>#NAME?</v>
      </c>
      <c r="N2793" s="32" t="e">
        <f ca="1">_xludf.ifna(VLOOKUP(G2793,Proyectos!$A$2:$S$674,19,0))</f>
        <v>#NAME?</v>
      </c>
      <c r="O2793" s="32"/>
      <c r="P2793" s="32"/>
      <c r="Q2793" s="33"/>
      <c r="R2793" s="33"/>
      <c r="S2793" s="33"/>
      <c r="T2793" s="63">
        <f t="shared" si="23"/>
        <v>0</v>
      </c>
      <c r="U2793" s="33"/>
      <c r="V2793" s="33"/>
      <c r="W2793" s="33"/>
    </row>
    <row r="2794" spans="1:23" ht="16.5" customHeight="1" x14ac:dyDescent="0.2">
      <c r="A2794" s="26"/>
      <c r="B2794" s="26"/>
      <c r="C2794" s="26"/>
      <c r="D2794" s="26"/>
      <c r="E2794" s="26"/>
      <c r="F2794" s="28"/>
      <c r="G2794" s="26"/>
      <c r="H2794" s="32"/>
      <c r="I2794" s="32"/>
      <c r="J2794" s="32"/>
      <c r="K2794" s="32"/>
      <c r="L2794" s="32" t="e">
        <f ca="1">_xludf.ifna(VLOOKUP(E2794,Parámetros!$D$2:$E$34,2,0),"")</f>
        <v>#NAME?</v>
      </c>
      <c r="M2794" s="32" t="e">
        <f ca="1">_xludf.ifna(VLOOKUP(G2794,Proyectos!$A$2:$T$674,20,0),"")</f>
        <v>#NAME?</v>
      </c>
      <c r="N2794" s="32" t="e">
        <f ca="1">_xludf.ifna(VLOOKUP(G2794,Proyectos!$A$2:$S$674,19,0))</f>
        <v>#NAME?</v>
      </c>
      <c r="O2794" s="32"/>
      <c r="P2794" s="32"/>
      <c r="Q2794" s="33"/>
      <c r="R2794" s="33"/>
      <c r="S2794" s="33"/>
      <c r="T2794" s="63">
        <f t="shared" si="23"/>
        <v>0</v>
      </c>
      <c r="U2794" s="33"/>
      <c r="V2794" s="33"/>
      <c r="W2794" s="33"/>
    </row>
    <row r="2795" spans="1:23" ht="16.5" customHeight="1" x14ac:dyDescent="0.2">
      <c r="A2795" s="26"/>
      <c r="B2795" s="26"/>
      <c r="C2795" s="26"/>
      <c r="D2795" s="26"/>
      <c r="E2795" s="26"/>
      <c r="F2795" s="28"/>
      <c r="G2795" s="26"/>
      <c r="H2795" s="32"/>
      <c r="I2795" s="32"/>
      <c r="J2795" s="32"/>
      <c r="K2795" s="32"/>
      <c r="L2795" s="32" t="e">
        <f ca="1">_xludf.ifna(VLOOKUP(E2795,Parámetros!$D$2:$E$34,2,0),"")</f>
        <v>#NAME?</v>
      </c>
      <c r="M2795" s="32" t="e">
        <f ca="1">_xludf.ifna(VLOOKUP(G2795,Proyectos!$A$2:$T$674,20,0),"")</f>
        <v>#NAME?</v>
      </c>
      <c r="N2795" s="32" t="e">
        <f ca="1">_xludf.ifna(VLOOKUP(G2795,Proyectos!$A$2:$S$674,19,0))</f>
        <v>#NAME?</v>
      </c>
      <c r="O2795" s="32"/>
      <c r="P2795" s="32"/>
      <c r="Q2795" s="33"/>
      <c r="R2795" s="33"/>
      <c r="S2795" s="33"/>
      <c r="T2795" s="63">
        <f t="shared" si="23"/>
        <v>0</v>
      </c>
      <c r="U2795" s="33"/>
      <c r="V2795" s="33"/>
      <c r="W2795" s="33"/>
    </row>
    <row r="2796" spans="1:23" ht="16.5" customHeight="1" x14ac:dyDescent="0.2">
      <c r="A2796" s="26"/>
      <c r="B2796" s="26"/>
      <c r="C2796" s="26"/>
      <c r="D2796" s="26"/>
      <c r="E2796" s="26"/>
      <c r="F2796" s="28"/>
      <c r="G2796" s="26"/>
      <c r="H2796" s="32"/>
      <c r="I2796" s="32"/>
      <c r="J2796" s="32"/>
      <c r="K2796" s="32"/>
      <c r="L2796" s="32" t="e">
        <f ca="1">_xludf.ifna(VLOOKUP(E2796,Parámetros!$D$2:$E$34,2,0),"")</f>
        <v>#NAME?</v>
      </c>
      <c r="M2796" s="32" t="e">
        <f ca="1">_xludf.ifna(VLOOKUP(G2796,Proyectos!$A$2:$T$674,20,0),"")</f>
        <v>#NAME?</v>
      </c>
      <c r="N2796" s="32" t="e">
        <f ca="1">_xludf.ifna(VLOOKUP(G2796,Proyectos!$A$2:$S$674,19,0))</f>
        <v>#NAME?</v>
      </c>
      <c r="O2796" s="32"/>
      <c r="P2796" s="32"/>
      <c r="Q2796" s="33"/>
      <c r="R2796" s="33"/>
      <c r="S2796" s="33"/>
      <c r="T2796" s="63">
        <f t="shared" si="23"/>
        <v>0</v>
      </c>
      <c r="U2796" s="33"/>
      <c r="V2796" s="33"/>
      <c r="W2796" s="33"/>
    </row>
    <row r="2797" spans="1:23" ht="16.5" customHeight="1" x14ac:dyDescent="0.2">
      <c r="A2797" s="26"/>
      <c r="B2797" s="26"/>
      <c r="C2797" s="26"/>
      <c r="D2797" s="26"/>
      <c r="E2797" s="26"/>
      <c r="F2797" s="28"/>
      <c r="G2797" s="26"/>
      <c r="H2797" s="32"/>
      <c r="I2797" s="32"/>
      <c r="J2797" s="32"/>
      <c r="K2797" s="32"/>
      <c r="L2797" s="32" t="e">
        <f ca="1">_xludf.ifna(VLOOKUP(E2797,Parámetros!$D$2:$E$34,2,0),"")</f>
        <v>#NAME?</v>
      </c>
      <c r="M2797" s="32" t="e">
        <f ca="1">_xludf.ifna(VLOOKUP(G2797,Proyectos!$A$2:$T$674,20,0),"")</f>
        <v>#NAME?</v>
      </c>
      <c r="N2797" s="32" t="e">
        <f ca="1">_xludf.ifna(VLOOKUP(G2797,Proyectos!$A$2:$S$674,19,0))</f>
        <v>#NAME?</v>
      </c>
      <c r="O2797" s="32"/>
      <c r="P2797" s="32"/>
      <c r="Q2797" s="33"/>
      <c r="R2797" s="33"/>
      <c r="S2797" s="33"/>
      <c r="T2797" s="63">
        <f t="shared" si="23"/>
        <v>0</v>
      </c>
      <c r="U2797" s="33"/>
      <c r="V2797" s="33"/>
      <c r="W2797" s="33"/>
    </row>
    <row r="2798" spans="1:23" ht="16.5" customHeight="1" x14ac:dyDescent="0.2">
      <c r="A2798" s="26"/>
      <c r="B2798" s="26"/>
      <c r="C2798" s="26"/>
      <c r="D2798" s="26"/>
      <c r="E2798" s="26"/>
      <c r="F2798" s="28"/>
      <c r="G2798" s="26"/>
      <c r="H2798" s="32"/>
      <c r="I2798" s="32"/>
      <c r="J2798" s="32"/>
      <c r="K2798" s="32"/>
      <c r="L2798" s="32" t="e">
        <f ca="1">_xludf.ifna(VLOOKUP(E2798,Parámetros!$D$2:$E$34,2,0),"")</f>
        <v>#NAME?</v>
      </c>
      <c r="M2798" s="32" t="e">
        <f ca="1">_xludf.ifna(VLOOKUP(G2798,Proyectos!$A$2:$T$674,20,0),"")</f>
        <v>#NAME?</v>
      </c>
      <c r="N2798" s="32" t="e">
        <f ca="1">_xludf.ifna(VLOOKUP(G2798,Proyectos!$A$2:$S$674,19,0))</f>
        <v>#NAME?</v>
      </c>
      <c r="O2798" s="32"/>
      <c r="P2798" s="32"/>
      <c r="Q2798" s="33"/>
      <c r="R2798" s="33"/>
      <c r="S2798" s="33"/>
      <c r="T2798" s="63">
        <f t="shared" si="23"/>
        <v>0</v>
      </c>
      <c r="U2798" s="33"/>
      <c r="V2798" s="33"/>
      <c r="W2798" s="33"/>
    </row>
    <row r="2799" spans="1:23" ht="16.5" customHeight="1" x14ac:dyDescent="0.2">
      <c r="A2799" s="26"/>
      <c r="B2799" s="26"/>
      <c r="C2799" s="26"/>
      <c r="D2799" s="26"/>
      <c r="E2799" s="26"/>
      <c r="F2799" s="28"/>
      <c r="G2799" s="26"/>
      <c r="H2799" s="32"/>
      <c r="I2799" s="32"/>
      <c r="J2799" s="32"/>
      <c r="K2799" s="32"/>
      <c r="L2799" s="32" t="e">
        <f ca="1">_xludf.ifna(VLOOKUP(E2799,Parámetros!$D$2:$E$34,2,0),"")</f>
        <v>#NAME?</v>
      </c>
      <c r="M2799" s="32" t="e">
        <f ca="1">_xludf.ifna(VLOOKUP(G2799,Proyectos!$A$2:$T$674,20,0),"")</f>
        <v>#NAME?</v>
      </c>
      <c r="N2799" s="32" t="e">
        <f ca="1">_xludf.ifna(VLOOKUP(G2799,Proyectos!$A$2:$S$674,19,0))</f>
        <v>#NAME?</v>
      </c>
      <c r="O2799" s="32"/>
      <c r="P2799" s="32"/>
      <c r="Q2799" s="33"/>
      <c r="R2799" s="33"/>
      <c r="S2799" s="33"/>
      <c r="T2799" s="63">
        <f t="shared" si="23"/>
        <v>0</v>
      </c>
      <c r="U2799" s="33"/>
      <c r="V2799" s="33"/>
      <c r="W2799" s="33"/>
    </row>
    <row r="2800" spans="1:23" ht="16.5" customHeight="1" x14ac:dyDescent="0.2">
      <c r="A2800" s="26"/>
      <c r="B2800" s="26"/>
      <c r="C2800" s="26"/>
      <c r="D2800" s="26"/>
      <c r="E2800" s="26"/>
      <c r="F2800" s="28"/>
      <c r="G2800" s="26"/>
      <c r="H2800" s="32"/>
      <c r="I2800" s="32"/>
      <c r="J2800" s="32"/>
      <c r="K2800" s="32"/>
      <c r="L2800" s="32" t="e">
        <f ca="1">_xludf.ifna(VLOOKUP(E2800,Parámetros!$D$2:$E$34,2,0),"")</f>
        <v>#NAME?</v>
      </c>
      <c r="M2800" s="32" t="e">
        <f ca="1">_xludf.ifna(VLOOKUP(G2800,Proyectos!$A$2:$T$674,20,0),"")</f>
        <v>#NAME?</v>
      </c>
      <c r="N2800" s="32" t="e">
        <f ca="1">_xludf.ifna(VLOOKUP(G2800,Proyectos!$A$2:$S$674,19,0))</f>
        <v>#NAME?</v>
      </c>
      <c r="O2800" s="32"/>
      <c r="P2800" s="32"/>
      <c r="Q2800" s="33"/>
      <c r="R2800" s="33"/>
      <c r="S2800" s="33"/>
      <c r="T2800" s="63">
        <f t="shared" si="23"/>
        <v>0</v>
      </c>
      <c r="U2800" s="33"/>
      <c r="V2800" s="33"/>
      <c r="W2800" s="33"/>
    </row>
    <row r="2801" spans="1:23" ht="16.5" customHeight="1" x14ac:dyDescent="0.2">
      <c r="A2801" s="26"/>
      <c r="B2801" s="26"/>
      <c r="C2801" s="26"/>
      <c r="D2801" s="26"/>
      <c r="E2801" s="26"/>
      <c r="F2801" s="28"/>
      <c r="G2801" s="26"/>
      <c r="H2801" s="32"/>
      <c r="I2801" s="32"/>
      <c r="J2801" s="32"/>
      <c r="K2801" s="32"/>
      <c r="L2801" s="32" t="e">
        <f ca="1">_xludf.ifna(VLOOKUP(E2801,Parámetros!$D$2:$E$34,2,0),"")</f>
        <v>#NAME?</v>
      </c>
      <c r="M2801" s="32" t="e">
        <f ca="1">_xludf.ifna(VLOOKUP(G2801,Proyectos!$A$2:$T$674,20,0),"")</f>
        <v>#NAME?</v>
      </c>
      <c r="N2801" s="32" t="e">
        <f ca="1">_xludf.ifna(VLOOKUP(G2801,Proyectos!$A$2:$S$674,19,0))</f>
        <v>#NAME?</v>
      </c>
      <c r="O2801" s="32"/>
      <c r="P2801" s="32"/>
      <c r="Q2801" s="33"/>
      <c r="R2801" s="33"/>
      <c r="S2801" s="33"/>
      <c r="T2801" s="63">
        <f t="shared" si="23"/>
        <v>0</v>
      </c>
      <c r="U2801" s="33"/>
      <c r="V2801" s="33"/>
      <c r="W2801" s="33"/>
    </row>
    <row r="2802" spans="1:23" ht="16.5" customHeight="1" x14ac:dyDescent="0.2">
      <c r="A2802" s="26"/>
      <c r="B2802" s="26"/>
      <c r="C2802" s="26"/>
      <c r="D2802" s="26"/>
      <c r="E2802" s="26"/>
      <c r="F2802" s="28"/>
      <c r="G2802" s="26"/>
      <c r="H2802" s="32"/>
      <c r="I2802" s="32"/>
      <c r="J2802" s="32"/>
      <c r="K2802" s="32"/>
      <c r="L2802" s="32" t="e">
        <f ca="1">_xludf.ifna(VLOOKUP(E2802,Parámetros!$D$2:$E$34,2,0),"")</f>
        <v>#NAME?</v>
      </c>
      <c r="M2802" s="32" t="e">
        <f ca="1">_xludf.ifna(VLOOKUP(G2802,Proyectos!$A$2:$T$674,20,0),"")</f>
        <v>#NAME?</v>
      </c>
      <c r="N2802" s="32" t="e">
        <f ca="1">_xludf.ifna(VLOOKUP(G2802,Proyectos!$A$2:$S$674,19,0))</f>
        <v>#NAME?</v>
      </c>
      <c r="O2802" s="32"/>
      <c r="P2802" s="32"/>
      <c r="Q2802" s="33"/>
      <c r="R2802" s="33"/>
      <c r="S2802" s="33"/>
      <c r="T2802" s="63">
        <f t="shared" si="23"/>
        <v>0</v>
      </c>
      <c r="U2802" s="33"/>
      <c r="V2802" s="33"/>
      <c r="W2802" s="33"/>
    </row>
    <row r="2803" spans="1:23" ht="16.5" customHeight="1" x14ac:dyDescent="0.2">
      <c r="A2803" s="26"/>
      <c r="B2803" s="26"/>
      <c r="C2803" s="26"/>
      <c r="D2803" s="26"/>
      <c r="E2803" s="26"/>
      <c r="F2803" s="28"/>
      <c r="G2803" s="26"/>
      <c r="H2803" s="32"/>
      <c r="I2803" s="32"/>
      <c r="J2803" s="32"/>
      <c r="K2803" s="32"/>
      <c r="L2803" s="32" t="e">
        <f ca="1">_xludf.ifna(VLOOKUP(E2803,Parámetros!$D$2:$E$34,2,0),"")</f>
        <v>#NAME?</v>
      </c>
      <c r="M2803" s="32" t="e">
        <f ca="1">_xludf.ifna(VLOOKUP(G2803,Proyectos!$A$2:$T$674,20,0),"")</f>
        <v>#NAME?</v>
      </c>
      <c r="N2803" s="32" t="e">
        <f ca="1">_xludf.ifna(VLOOKUP(G2803,Proyectos!$A$2:$S$674,19,0))</f>
        <v>#NAME?</v>
      </c>
      <c r="O2803" s="32"/>
      <c r="P2803" s="32"/>
      <c r="Q2803" s="33"/>
      <c r="R2803" s="33"/>
      <c r="S2803" s="33"/>
      <c r="T2803" s="63">
        <f t="shared" si="23"/>
        <v>0</v>
      </c>
      <c r="U2803" s="33"/>
      <c r="V2803" s="33"/>
      <c r="W2803" s="33"/>
    </row>
    <row r="2804" spans="1:23" ht="16.5" customHeight="1" x14ac:dyDescent="0.2">
      <c r="A2804" s="26"/>
      <c r="B2804" s="26"/>
      <c r="C2804" s="26"/>
      <c r="D2804" s="26"/>
      <c r="E2804" s="26"/>
      <c r="F2804" s="28"/>
      <c r="G2804" s="26"/>
      <c r="H2804" s="32"/>
      <c r="I2804" s="32"/>
      <c r="J2804" s="32"/>
      <c r="K2804" s="32"/>
      <c r="L2804" s="32" t="e">
        <f ca="1">_xludf.ifna(VLOOKUP(E2804,Parámetros!$D$2:$E$34,2,0),"")</f>
        <v>#NAME?</v>
      </c>
      <c r="M2804" s="32" t="e">
        <f ca="1">_xludf.ifna(VLOOKUP(G2804,Proyectos!$A$2:$T$674,20,0),"")</f>
        <v>#NAME?</v>
      </c>
      <c r="N2804" s="32" t="e">
        <f ca="1">_xludf.ifna(VLOOKUP(G2804,Proyectos!$A$2:$S$674,19,0))</f>
        <v>#NAME?</v>
      </c>
      <c r="O2804" s="32"/>
      <c r="P2804" s="32"/>
      <c r="Q2804" s="33"/>
      <c r="R2804" s="33"/>
      <c r="S2804" s="33"/>
      <c r="T2804" s="63">
        <f t="shared" si="23"/>
        <v>0</v>
      </c>
      <c r="U2804" s="33"/>
      <c r="V2804" s="33"/>
      <c r="W2804" s="33"/>
    </row>
    <row r="2805" spans="1:23" ht="16.5" customHeight="1" x14ac:dyDescent="0.2">
      <c r="A2805" s="26"/>
      <c r="B2805" s="26"/>
      <c r="C2805" s="26"/>
      <c r="D2805" s="26"/>
      <c r="E2805" s="26"/>
      <c r="F2805" s="28"/>
      <c r="G2805" s="26"/>
      <c r="H2805" s="32"/>
      <c r="I2805" s="32"/>
      <c r="J2805" s="32"/>
      <c r="K2805" s="32"/>
      <c r="L2805" s="32" t="e">
        <f ca="1">_xludf.ifna(VLOOKUP(E2805,Parámetros!$D$2:$E$34,2,0),"")</f>
        <v>#NAME?</v>
      </c>
      <c r="M2805" s="32" t="e">
        <f ca="1">_xludf.ifna(VLOOKUP(G2805,Proyectos!$A$2:$T$674,20,0),"")</f>
        <v>#NAME?</v>
      </c>
      <c r="N2805" s="32" t="e">
        <f ca="1">_xludf.ifna(VLOOKUP(G2805,Proyectos!$A$2:$S$674,19,0))</f>
        <v>#NAME?</v>
      </c>
      <c r="O2805" s="32"/>
      <c r="P2805" s="32"/>
      <c r="Q2805" s="33"/>
      <c r="R2805" s="33"/>
      <c r="S2805" s="33"/>
      <c r="T2805" s="63">
        <f t="shared" si="23"/>
        <v>0</v>
      </c>
      <c r="U2805" s="33"/>
      <c r="V2805" s="33"/>
      <c r="W2805" s="33"/>
    </row>
    <row r="2806" spans="1:23" ht="16.5" customHeight="1" x14ac:dyDescent="0.2">
      <c r="A2806" s="26"/>
      <c r="B2806" s="26"/>
      <c r="C2806" s="26"/>
      <c r="D2806" s="26"/>
      <c r="E2806" s="26"/>
      <c r="F2806" s="28"/>
      <c r="G2806" s="26"/>
      <c r="H2806" s="32"/>
      <c r="I2806" s="32"/>
      <c r="J2806" s="32"/>
      <c r="K2806" s="32"/>
      <c r="L2806" s="32" t="e">
        <f ca="1">_xludf.ifna(VLOOKUP(E2806,Parámetros!$D$2:$E$34,2,0),"")</f>
        <v>#NAME?</v>
      </c>
      <c r="M2806" s="32" t="e">
        <f ca="1">_xludf.ifna(VLOOKUP(G2806,Proyectos!$A$2:$T$674,20,0),"")</f>
        <v>#NAME?</v>
      </c>
      <c r="N2806" s="32" t="e">
        <f ca="1">_xludf.ifna(VLOOKUP(G2806,Proyectos!$A$2:$S$674,19,0))</f>
        <v>#NAME?</v>
      </c>
      <c r="O2806" s="32"/>
      <c r="P2806" s="32"/>
      <c r="Q2806" s="33"/>
      <c r="R2806" s="33"/>
      <c r="S2806" s="33"/>
      <c r="T2806" s="63">
        <f t="shared" si="23"/>
        <v>0</v>
      </c>
      <c r="U2806" s="33"/>
      <c r="V2806" s="33"/>
      <c r="W2806" s="33"/>
    </row>
    <row r="2807" spans="1:23" ht="16.5" customHeight="1" x14ac:dyDescent="0.2">
      <c r="A2807" s="26"/>
      <c r="B2807" s="26"/>
      <c r="C2807" s="26"/>
      <c r="D2807" s="26"/>
      <c r="E2807" s="26"/>
      <c r="F2807" s="28"/>
      <c r="G2807" s="26"/>
      <c r="H2807" s="32"/>
      <c r="I2807" s="32"/>
      <c r="J2807" s="32"/>
      <c r="K2807" s="32"/>
      <c r="L2807" s="32" t="e">
        <f ca="1">_xludf.ifna(VLOOKUP(E2807,Parámetros!$D$2:$E$34,2,0),"")</f>
        <v>#NAME?</v>
      </c>
      <c r="M2807" s="32" t="e">
        <f ca="1">_xludf.ifna(VLOOKUP(G2807,Proyectos!$A$2:$T$674,20,0),"")</f>
        <v>#NAME?</v>
      </c>
      <c r="N2807" s="32" t="e">
        <f ca="1">_xludf.ifna(VLOOKUP(G2807,Proyectos!$A$2:$S$674,19,0))</f>
        <v>#NAME?</v>
      </c>
      <c r="O2807" s="32"/>
      <c r="P2807" s="32"/>
      <c r="Q2807" s="33"/>
      <c r="R2807" s="33"/>
      <c r="S2807" s="33"/>
      <c r="T2807" s="63">
        <f t="shared" si="23"/>
        <v>0</v>
      </c>
      <c r="U2807" s="33"/>
      <c r="V2807" s="33"/>
      <c r="W2807" s="33"/>
    </row>
    <row r="2808" spans="1:23" ht="16.5" customHeight="1" x14ac:dyDescent="0.2">
      <c r="A2808" s="26"/>
      <c r="B2808" s="26"/>
      <c r="C2808" s="26"/>
      <c r="D2808" s="26"/>
      <c r="E2808" s="26"/>
      <c r="F2808" s="28"/>
      <c r="G2808" s="26"/>
      <c r="H2808" s="32"/>
      <c r="I2808" s="32"/>
      <c r="J2808" s="32"/>
      <c r="K2808" s="32"/>
      <c r="L2808" s="32" t="e">
        <f ca="1">_xludf.ifna(VLOOKUP(E2808,Parámetros!$D$2:$E$34,2,0),"")</f>
        <v>#NAME?</v>
      </c>
      <c r="M2808" s="32" t="e">
        <f ca="1">_xludf.ifna(VLOOKUP(G2808,Proyectos!$A$2:$T$674,20,0),"")</f>
        <v>#NAME?</v>
      </c>
      <c r="N2808" s="32" t="e">
        <f ca="1">_xludf.ifna(VLOOKUP(G2808,Proyectos!$A$2:$S$674,19,0))</f>
        <v>#NAME?</v>
      </c>
      <c r="O2808" s="32"/>
      <c r="P2808" s="32"/>
      <c r="Q2808" s="33"/>
      <c r="R2808" s="33"/>
      <c r="S2808" s="33"/>
      <c r="T2808" s="63">
        <f t="shared" si="23"/>
        <v>0</v>
      </c>
      <c r="U2808" s="33"/>
      <c r="V2808" s="33"/>
      <c r="W2808" s="33"/>
    </row>
    <row r="2809" spans="1:23" ht="16.5" customHeight="1" x14ac:dyDescent="0.2">
      <c r="A2809" s="26"/>
      <c r="B2809" s="26"/>
      <c r="C2809" s="26"/>
      <c r="D2809" s="26"/>
      <c r="E2809" s="26"/>
      <c r="F2809" s="28"/>
      <c r="G2809" s="26"/>
      <c r="H2809" s="32"/>
      <c r="I2809" s="32"/>
      <c r="J2809" s="32"/>
      <c r="K2809" s="32"/>
      <c r="L2809" s="32" t="e">
        <f ca="1">_xludf.ifna(VLOOKUP(E2809,Parámetros!$D$2:$E$34,2,0),"")</f>
        <v>#NAME?</v>
      </c>
      <c r="M2809" s="32" t="e">
        <f ca="1">_xludf.ifna(VLOOKUP(G2809,Proyectos!$A$2:$T$674,20,0),"")</f>
        <v>#NAME?</v>
      </c>
      <c r="N2809" s="32" t="e">
        <f ca="1">_xludf.ifna(VLOOKUP(G2809,Proyectos!$A$2:$S$674,19,0))</f>
        <v>#NAME?</v>
      </c>
      <c r="O2809" s="32"/>
      <c r="P2809" s="32"/>
      <c r="Q2809" s="33"/>
      <c r="R2809" s="33"/>
      <c r="S2809" s="33"/>
      <c r="T2809" s="63">
        <f t="shared" si="23"/>
        <v>0</v>
      </c>
      <c r="U2809" s="33"/>
      <c r="V2809" s="33"/>
      <c r="W2809" s="33"/>
    </row>
    <row r="2810" spans="1:23" ht="16.5" customHeight="1" x14ac:dyDescent="0.2">
      <c r="A2810" s="26"/>
      <c r="B2810" s="26"/>
      <c r="C2810" s="26"/>
      <c r="D2810" s="26"/>
      <c r="E2810" s="26"/>
      <c r="F2810" s="28"/>
      <c r="G2810" s="26"/>
      <c r="H2810" s="32"/>
      <c r="I2810" s="32"/>
      <c r="J2810" s="32"/>
      <c r="K2810" s="32"/>
      <c r="L2810" s="32" t="e">
        <f ca="1">_xludf.ifna(VLOOKUP(E2810,Parámetros!$D$2:$E$34,2,0),"")</f>
        <v>#NAME?</v>
      </c>
      <c r="M2810" s="32" t="e">
        <f ca="1">_xludf.ifna(VLOOKUP(G2810,Proyectos!$A$2:$T$674,20,0),"")</f>
        <v>#NAME?</v>
      </c>
      <c r="N2810" s="32" t="e">
        <f ca="1">_xludf.ifna(VLOOKUP(G2810,Proyectos!$A$2:$S$674,19,0))</f>
        <v>#NAME?</v>
      </c>
      <c r="O2810" s="32"/>
      <c r="P2810" s="32"/>
      <c r="Q2810" s="33"/>
      <c r="R2810" s="33"/>
      <c r="S2810" s="33"/>
      <c r="T2810" s="63">
        <f t="shared" si="23"/>
        <v>0</v>
      </c>
      <c r="U2810" s="33"/>
      <c r="V2810" s="33"/>
      <c r="W2810" s="33"/>
    </row>
    <row r="2811" spans="1:23" ht="16.5" customHeight="1" x14ac:dyDescent="0.2">
      <c r="A2811" s="26"/>
      <c r="B2811" s="26"/>
      <c r="C2811" s="26"/>
      <c r="D2811" s="26"/>
      <c r="E2811" s="26"/>
      <c r="F2811" s="28"/>
      <c r="G2811" s="26"/>
      <c r="H2811" s="32"/>
      <c r="I2811" s="32"/>
      <c r="J2811" s="32"/>
      <c r="K2811" s="32"/>
      <c r="L2811" s="32" t="e">
        <f ca="1">_xludf.ifna(VLOOKUP(E2811,Parámetros!$D$2:$E$34,2,0),"")</f>
        <v>#NAME?</v>
      </c>
      <c r="M2811" s="32" t="e">
        <f ca="1">_xludf.ifna(VLOOKUP(G2811,Proyectos!$A$2:$T$674,20,0),"")</f>
        <v>#NAME?</v>
      </c>
      <c r="N2811" s="32" t="e">
        <f ca="1">_xludf.ifna(VLOOKUP(G2811,Proyectos!$A$2:$S$674,19,0))</f>
        <v>#NAME?</v>
      </c>
      <c r="O2811" s="32"/>
      <c r="P2811" s="32"/>
      <c r="Q2811" s="33"/>
      <c r="R2811" s="33"/>
      <c r="S2811" s="33"/>
      <c r="T2811" s="63">
        <f t="shared" si="23"/>
        <v>0</v>
      </c>
      <c r="U2811" s="33"/>
      <c r="V2811" s="33"/>
      <c r="W2811" s="33"/>
    </row>
    <row r="2812" spans="1:23" ht="16.5" customHeight="1" x14ac:dyDescent="0.2">
      <c r="A2812" s="26"/>
      <c r="B2812" s="26"/>
      <c r="C2812" s="26"/>
      <c r="D2812" s="26"/>
      <c r="E2812" s="26"/>
      <c r="F2812" s="28"/>
      <c r="G2812" s="26"/>
      <c r="H2812" s="32"/>
      <c r="I2812" s="32"/>
      <c r="J2812" s="32"/>
      <c r="K2812" s="32"/>
      <c r="L2812" s="32" t="e">
        <f ca="1">_xludf.ifna(VLOOKUP(E2812,Parámetros!$D$2:$E$34,2,0),"")</f>
        <v>#NAME?</v>
      </c>
      <c r="M2812" s="32" t="e">
        <f ca="1">_xludf.ifna(VLOOKUP(G2812,Proyectos!$A$2:$T$674,20,0),"")</f>
        <v>#NAME?</v>
      </c>
      <c r="N2812" s="32" t="e">
        <f ca="1">_xludf.ifna(VLOOKUP(G2812,Proyectos!$A$2:$S$674,19,0))</f>
        <v>#NAME?</v>
      </c>
      <c r="O2812" s="32"/>
      <c r="P2812" s="32"/>
      <c r="Q2812" s="33"/>
      <c r="R2812" s="33"/>
      <c r="S2812" s="33"/>
      <c r="T2812" s="63">
        <f t="shared" si="23"/>
        <v>0</v>
      </c>
      <c r="U2812" s="33"/>
      <c r="V2812" s="33"/>
      <c r="W2812" s="33"/>
    </row>
    <row r="2813" spans="1:23" ht="16.5" customHeight="1" x14ac:dyDescent="0.2">
      <c r="A2813" s="26"/>
      <c r="B2813" s="26"/>
      <c r="C2813" s="26"/>
      <c r="D2813" s="26"/>
      <c r="E2813" s="26"/>
      <c r="F2813" s="28"/>
      <c r="G2813" s="26"/>
      <c r="H2813" s="32"/>
      <c r="I2813" s="32"/>
      <c r="J2813" s="32"/>
      <c r="K2813" s="32"/>
      <c r="L2813" s="32" t="e">
        <f ca="1">_xludf.ifna(VLOOKUP(E2813,Parámetros!$D$2:$E$34,2,0),"")</f>
        <v>#NAME?</v>
      </c>
      <c r="M2813" s="32" t="e">
        <f ca="1">_xludf.ifna(VLOOKUP(G2813,Proyectos!$A$2:$T$674,20,0),"")</f>
        <v>#NAME?</v>
      </c>
      <c r="N2813" s="32" t="e">
        <f ca="1">_xludf.ifna(VLOOKUP(G2813,Proyectos!$A$2:$S$674,19,0))</f>
        <v>#NAME?</v>
      </c>
      <c r="O2813" s="32"/>
      <c r="P2813" s="32"/>
      <c r="Q2813" s="33"/>
      <c r="R2813" s="33"/>
      <c r="S2813" s="33"/>
      <c r="T2813" s="63">
        <f t="shared" si="23"/>
        <v>0</v>
      </c>
      <c r="U2813" s="33"/>
      <c r="V2813" s="33"/>
      <c r="W2813" s="33"/>
    </row>
    <row r="2814" spans="1:23" ht="16.5" customHeight="1" x14ac:dyDescent="0.2">
      <c r="A2814" s="26"/>
      <c r="B2814" s="26"/>
      <c r="C2814" s="26"/>
      <c r="D2814" s="26"/>
      <c r="E2814" s="26"/>
      <c r="F2814" s="28"/>
      <c r="G2814" s="26"/>
      <c r="H2814" s="32"/>
      <c r="I2814" s="32"/>
      <c r="J2814" s="32"/>
      <c r="K2814" s="32"/>
      <c r="L2814" s="32" t="e">
        <f ca="1">_xludf.ifna(VLOOKUP(E2814,Parámetros!$D$2:$E$34,2,0),"")</f>
        <v>#NAME?</v>
      </c>
      <c r="M2814" s="32" t="e">
        <f ca="1">_xludf.ifna(VLOOKUP(G2814,Proyectos!$A$2:$T$674,20,0),"")</f>
        <v>#NAME?</v>
      </c>
      <c r="N2814" s="32" t="e">
        <f ca="1">_xludf.ifna(VLOOKUP(G2814,Proyectos!$A$2:$S$674,19,0))</f>
        <v>#NAME?</v>
      </c>
      <c r="O2814" s="32"/>
      <c r="P2814" s="32"/>
      <c r="Q2814" s="33"/>
      <c r="R2814" s="33"/>
      <c r="S2814" s="33"/>
      <c r="T2814" s="63">
        <f t="shared" si="23"/>
        <v>0</v>
      </c>
      <c r="U2814" s="33"/>
      <c r="V2814" s="33"/>
      <c r="W2814" s="33"/>
    </row>
    <row r="2815" spans="1:23" ht="16.5" customHeight="1" x14ac:dyDescent="0.2">
      <c r="A2815" s="26"/>
      <c r="B2815" s="26"/>
      <c r="C2815" s="26"/>
      <c r="D2815" s="26"/>
      <c r="E2815" s="26"/>
      <c r="F2815" s="28"/>
      <c r="G2815" s="26"/>
      <c r="H2815" s="32"/>
      <c r="I2815" s="32"/>
      <c r="J2815" s="32"/>
      <c r="K2815" s="32"/>
      <c r="L2815" s="32" t="e">
        <f ca="1">_xludf.ifna(VLOOKUP(E2815,Parámetros!$D$2:$E$34,2,0),"")</f>
        <v>#NAME?</v>
      </c>
      <c r="M2815" s="32" t="e">
        <f ca="1">_xludf.ifna(VLOOKUP(G2815,Proyectos!$A$2:$T$674,20,0),"")</f>
        <v>#NAME?</v>
      </c>
      <c r="N2815" s="32" t="e">
        <f ca="1">_xludf.ifna(VLOOKUP(G2815,Proyectos!$A$2:$S$674,19,0))</f>
        <v>#NAME?</v>
      </c>
      <c r="O2815" s="32"/>
      <c r="P2815" s="32"/>
      <c r="Q2815" s="33"/>
      <c r="R2815" s="33"/>
      <c r="S2815" s="33"/>
      <c r="T2815" s="63">
        <f t="shared" si="23"/>
        <v>0</v>
      </c>
      <c r="U2815" s="33"/>
      <c r="V2815" s="33"/>
      <c r="W2815" s="33"/>
    </row>
    <row r="2816" spans="1:23" ht="16.5" customHeight="1" x14ac:dyDescent="0.2">
      <c r="A2816" s="26"/>
      <c r="B2816" s="26"/>
      <c r="C2816" s="26"/>
      <c r="D2816" s="26"/>
      <c r="E2816" s="26"/>
      <c r="F2816" s="28"/>
      <c r="G2816" s="26"/>
      <c r="H2816" s="32"/>
      <c r="I2816" s="32"/>
      <c r="J2816" s="32"/>
      <c r="K2816" s="32"/>
      <c r="L2816" s="32" t="e">
        <f ca="1">_xludf.ifna(VLOOKUP(E2816,Parámetros!$D$2:$E$34,2,0),"")</f>
        <v>#NAME?</v>
      </c>
      <c r="M2816" s="32" t="e">
        <f ca="1">_xludf.ifna(VLOOKUP(G2816,Proyectos!$A$2:$T$674,20,0),"")</f>
        <v>#NAME?</v>
      </c>
      <c r="N2816" s="32" t="e">
        <f ca="1">_xludf.ifna(VLOOKUP(G2816,Proyectos!$A$2:$S$674,19,0))</f>
        <v>#NAME?</v>
      </c>
      <c r="O2816" s="32"/>
      <c r="P2816" s="32"/>
      <c r="Q2816" s="33"/>
      <c r="R2816" s="33"/>
      <c r="S2816" s="33"/>
      <c r="T2816" s="63">
        <f t="shared" si="23"/>
        <v>0</v>
      </c>
      <c r="U2816" s="33"/>
      <c r="V2816" s="33"/>
      <c r="W2816" s="33"/>
    </row>
    <row r="2817" spans="1:23" ht="16.5" customHeight="1" x14ac:dyDescent="0.2">
      <c r="A2817" s="26"/>
      <c r="B2817" s="26"/>
      <c r="C2817" s="26"/>
      <c r="D2817" s="26"/>
      <c r="E2817" s="26"/>
      <c r="F2817" s="28"/>
      <c r="G2817" s="26"/>
      <c r="H2817" s="32"/>
      <c r="I2817" s="32"/>
      <c r="J2817" s="32"/>
      <c r="K2817" s="32"/>
      <c r="L2817" s="32" t="e">
        <f ca="1">_xludf.ifna(VLOOKUP(E2817,Parámetros!$D$2:$E$34,2,0),"")</f>
        <v>#NAME?</v>
      </c>
      <c r="M2817" s="32" t="e">
        <f ca="1">_xludf.ifna(VLOOKUP(G2817,Proyectos!$A$2:$T$674,20,0),"")</f>
        <v>#NAME?</v>
      </c>
      <c r="N2817" s="32" t="e">
        <f ca="1">_xludf.ifna(VLOOKUP(G2817,Proyectos!$A$2:$S$674,19,0))</f>
        <v>#NAME?</v>
      </c>
      <c r="O2817" s="32"/>
      <c r="P2817" s="32"/>
      <c r="Q2817" s="33"/>
      <c r="R2817" s="33"/>
      <c r="S2817" s="33"/>
      <c r="T2817" s="63">
        <f t="shared" si="23"/>
        <v>0</v>
      </c>
      <c r="U2817" s="33"/>
      <c r="V2817" s="33"/>
      <c r="W2817" s="33"/>
    </row>
    <row r="2818" spans="1:23" ht="16.5" customHeight="1" x14ac:dyDescent="0.2">
      <c r="A2818" s="26"/>
      <c r="B2818" s="26"/>
      <c r="C2818" s="26"/>
      <c r="D2818" s="26"/>
      <c r="E2818" s="26"/>
      <c r="F2818" s="28"/>
      <c r="G2818" s="26"/>
      <c r="H2818" s="32"/>
      <c r="I2818" s="32"/>
      <c r="J2818" s="32"/>
      <c r="K2818" s="32"/>
      <c r="L2818" s="32" t="e">
        <f ca="1">_xludf.ifna(VLOOKUP(E2818,Parámetros!$D$2:$E$34,2,0),"")</f>
        <v>#NAME?</v>
      </c>
      <c r="M2818" s="32" t="e">
        <f ca="1">_xludf.ifna(VLOOKUP(G2818,Proyectos!$A$2:$T$674,20,0),"")</f>
        <v>#NAME?</v>
      </c>
      <c r="N2818" s="32" t="e">
        <f ca="1">_xludf.ifna(VLOOKUP(G2818,Proyectos!$A$2:$S$674,19,0))</f>
        <v>#NAME?</v>
      </c>
      <c r="O2818" s="32"/>
      <c r="P2818" s="32"/>
      <c r="Q2818" s="33"/>
      <c r="R2818" s="33"/>
      <c r="S2818" s="33"/>
      <c r="T2818" s="63">
        <f t="shared" si="23"/>
        <v>0</v>
      </c>
      <c r="U2818" s="33"/>
      <c r="V2818" s="33"/>
      <c r="W2818" s="33"/>
    </row>
    <row r="2819" spans="1:23" ht="16.5" customHeight="1" x14ac:dyDescent="0.2">
      <c r="A2819" s="26"/>
      <c r="B2819" s="26"/>
      <c r="C2819" s="26"/>
      <c r="D2819" s="26"/>
      <c r="E2819" s="26"/>
      <c r="F2819" s="28"/>
      <c r="G2819" s="26"/>
      <c r="H2819" s="32"/>
      <c r="I2819" s="32"/>
      <c r="J2819" s="32"/>
      <c r="K2819" s="32"/>
      <c r="L2819" s="32" t="e">
        <f ca="1">_xludf.ifna(VLOOKUP(E2819,Parámetros!$D$2:$E$34,2,0),"")</f>
        <v>#NAME?</v>
      </c>
      <c r="M2819" s="32" t="e">
        <f ca="1">_xludf.ifna(VLOOKUP(G2819,Proyectos!$A$2:$T$674,20,0),"")</f>
        <v>#NAME?</v>
      </c>
      <c r="N2819" s="32" t="e">
        <f ca="1">_xludf.ifna(VLOOKUP(G2819,Proyectos!$A$2:$S$674,19,0))</f>
        <v>#NAME?</v>
      </c>
      <c r="O2819" s="32"/>
      <c r="P2819" s="32"/>
      <c r="Q2819" s="33"/>
      <c r="R2819" s="33"/>
      <c r="S2819" s="33"/>
      <c r="T2819" s="63">
        <f t="shared" si="23"/>
        <v>0</v>
      </c>
      <c r="U2819" s="33"/>
      <c r="V2819" s="33"/>
      <c r="W2819" s="33"/>
    </row>
    <row r="2820" spans="1:23" ht="16.5" customHeight="1" x14ac:dyDescent="0.2">
      <c r="A2820" s="26"/>
      <c r="B2820" s="26"/>
      <c r="C2820" s="26"/>
      <c r="D2820" s="26"/>
      <c r="E2820" s="26"/>
      <c r="F2820" s="28"/>
      <c r="G2820" s="26"/>
      <c r="H2820" s="32"/>
      <c r="I2820" s="32"/>
      <c r="J2820" s="32"/>
      <c r="K2820" s="32"/>
      <c r="L2820" s="32" t="e">
        <f ca="1">_xludf.ifna(VLOOKUP(E2820,Parámetros!$D$2:$E$34,2,0),"")</f>
        <v>#NAME?</v>
      </c>
      <c r="M2820" s="32" t="e">
        <f ca="1">_xludf.ifna(VLOOKUP(G2820,Proyectos!$A$2:$T$674,20,0),"")</f>
        <v>#NAME?</v>
      </c>
      <c r="N2820" s="32" t="e">
        <f ca="1">_xludf.ifna(VLOOKUP(G2820,Proyectos!$A$2:$S$674,19,0))</f>
        <v>#NAME?</v>
      </c>
      <c r="O2820" s="32"/>
      <c r="P2820" s="32"/>
      <c r="Q2820" s="33"/>
      <c r="R2820" s="33"/>
      <c r="S2820" s="33"/>
      <c r="T2820" s="63">
        <f t="shared" si="23"/>
        <v>0</v>
      </c>
      <c r="U2820" s="33"/>
      <c r="V2820" s="33"/>
      <c r="W2820" s="33"/>
    </row>
    <row r="2821" spans="1:23" ht="16.5" customHeight="1" x14ac:dyDescent="0.2">
      <c r="A2821" s="26"/>
      <c r="B2821" s="26"/>
      <c r="C2821" s="26"/>
      <c r="D2821" s="26"/>
      <c r="E2821" s="26"/>
      <c r="F2821" s="28"/>
      <c r="G2821" s="26"/>
      <c r="H2821" s="32"/>
      <c r="I2821" s="32"/>
      <c r="J2821" s="32"/>
      <c r="K2821" s="32"/>
      <c r="L2821" s="32" t="e">
        <f ca="1">_xludf.ifna(VLOOKUP(E2821,Parámetros!$D$2:$E$34,2,0),"")</f>
        <v>#NAME?</v>
      </c>
      <c r="M2821" s="32" t="e">
        <f ca="1">_xludf.ifna(VLOOKUP(G2821,Proyectos!$A$2:$T$674,20,0),"")</f>
        <v>#NAME?</v>
      </c>
      <c r="N2821" s="32" t="e">
        <f ca="1">_xludf.ifna(VLOOKUP(G2821,Proyectos!$A$2:$S$674,19,0))</f>
        <v>#NAME?</v>
      </c>
      <c r="O2821" s="32"/>
      <c r="P2821" s="32"/>
      <c r="Q2821" s="33"/>
      <c r="R2821" s="33"/>
      <c r="S2821" s="33"/>
      <c r="T2821" s="63">
        <f t="shared" si="23"/>
        <v>0</v>
      </c>
      <c r="U2821" s="33"/>
      <c r="V2821" s="33"/>
      <c r="W2821" s="33"/>
    </row>
    <row r="2822" spans="1:23" ht="16.5" customHeight="1" x14ac:dyDescent="0.2">
      <c r="A2822" s="26"/>
      <c r="B2822" s="26"/>
      <c r="C2822" s="26"/>
      <c r="D2822" s="26"/>
      <c r="E2822" s="26"/>
      <c r="F2822" s="28"/>
      <c r="G2822" s="26"/>
      <c r="H2822" s="32"/>
      <c r="I2822" s="32"/>
      <c r="J2822" s="32"/>
      <c r="K2822" s="32"/>
      <c r="L2822" s="32" t="e">
        <f ca="1">_xludf.ifna(VLOOKUP(E2822,Parámetros!$D$2:$E$34,2,0),"")</f>
        <v>#NAME?</v>
      </c>
      <c r="M2822" s="32" t="e">
        <f ca="1">_xludf.ifna(VLOOKUP(G2822,Proyectos!$A$2:$T$674,20,0),"")</f>
        <v>#NAME?</v>
      </c>
      <c r="N2822" s="32" t="e">
        <f ca="1">_xludf.ifna(VLOOKUP(G2822,Proyectos!$A$2:$S$674,19,0))</f>
        <v>#NAME?</v>
      </c>
      <c r="O2822" s="32"/>
      <c r="P2822" s="32"/>
      <c r="Q2822" s="33"/>
      <c r="R2822" s="33"/>
      <c r="S2822" s="33"/>
      <c r="T2822" s="63">
        <f t="shared" si="23"/>
        <v>0</v>
      </c>
      <c r="U2822" s="33"/>
      <c r="V2822" s="33"/>
      <c r="W2822" s="33"/>
    </row>
    <row r="2823" spans="1:23" ht="16.5" customHeight="1" x14ac:dyDescent="0.2">
      <c r="A2823" s="26"/>
      <c r="B2823" s="26"/>
      <c r="C2823" s="26"/>
      <c r="D2823" s="26"/>
      <c r="E2823" s="26"/>
      <c r="F2823" s="28"/>
      <c r="G2823" s="26"/>
      <c r="H2823" s="32"/>
      <c r="I2823" s="32"/>
      <c r="J2823" s="32"/>
      <c r="K2823" s="32"/>
      <c r="L2823" s="32" t="e">
        <f ca="1">_xludf.ifna(VLOOKUP(E2823,Parámetros!$D$2:$E$34,2,0),"")</f>
        <v>#NAME?</v>
      </c>
      <c r="M2823" s="32" t="e">
        <f ca="1">_xludf.ifna(VLOOKUP(G2823,Proyectos!$A$2:$T$674,20,0),"")</f>
        <v>#NAME?</v>
      </c>
      <c r="N2823" s="32" t="e">
        <f ca="1">_xludf.ifna(VLOOKUP(G2823,Proyectos!$A$2:$S$674,19,0))</f>
        <v>#NAME?</v>
      </c>
      <c r="O2823" s="32"/>
      <c r="P2823" s="32"/>
      <c r="Q2823" s="33"/>
      <c r="R2823" s="33"/>
      <c r="S2823" s="33"/>
      <c r="T2823" s="63">
        <f t="shared" si="23"/>
        <v>0</v>
      </c>
      <c r="U2823" s="33"/>
      <c r="V2823" s="33"/>
      <c r="W2823" s="33"/>
    </row>
    <row r="2824" spans="1:23" ht="16.5" customHeight="1" x14ac:dyDescent="0.2">
      <c r="A2824" s="26"/>
      <c r="B2824" s="26"/>
      <c r="C2824" s="26"/>
      <c r="D2824" s="26"/>
      <c r="E2824" s="26"/>
      <c r="F2824" s="28"/>
      <c r="G2824" s="26"/>
      <c r="H2824" s="32"/>
      <c r="I2824" s="32"/>
      <c r="J2824" s="32"/>
      <c r="K2824" s="32"/>
      <c r="L2824" s="32" t="e">
        <f ca="1">_xludf.ifna(VLOOKUP(E2824,Parámetros!$D$2:$E$34,2,0),"")</f>
        <v>#NAME?</v>
      </c>
      <c r="M2824" s="32" t="e">
        <f ca="1">_xludf.ifna(VLOOKUP(G2824,Proyectos!$A$2:$T$674,20,0),"")</f>
        <v>#NAME?</v>
      </c>
      <c r="N2824" s="32" t="e">
        <f ca="1">_xludf.ifna(VLOOKUP(G2824,Proyectos!$A$2:$S$674,19,0))</f>
        <v>#NAME?</v>
      </c>
      <c r="O2824" s="32"/>
      <c r="P2824" s="32"/>
      <c r="Q2824" s="33"/>
      <c r="R2824" s="33"/>
      <c r="S2824" s="33"/>
      <c r="T2824" s="63">
        <f t="shared" si="23"/>
        <v>0</v>
      </c>
      <c r="U2824" s="33"/>
      <c r="V2824" s="33"/>
      <c r="W2824" s="33"/>
    </row>
    <row r="2825" spans="1:23" ht="16.5" customHeight="1" x14ac:dyDescent="0.2">
      <c r="A2825" s="26"/>
      <c r="B2825" s="26"/>
      <c r="C2825" s="26"/>
      <c r="D2825" s="26"/>
      <c r="E2825" s="26"/>
      <c r="F2825" s="28"/>
      <c r="G2825" s="26"/>
      <c r="H2825" s="32"/>
      <c r="I2825" s="32"/>
      <c r="J2825" s="32"/>
      <c r="K2825" s="32"/>
      <c r="L2825" s="32" t="e">
        <f ca="1">_xludf.ifna(VLOOKUP(E2825,Parámetros!$D$2:$E$34,2,0),"")</f>
        <v>#NAME?</v>
      </c>
      <c r="M2825" s="32" t="e">
        <f ca="1">_xludf.ifna(VLOOKUP(G2825,Proyectos!$A$2:$T$674,20,0),"")</f>
        <v>#NAME?</v>
      </c>
      <c r="N2825" s="32" t="e">
        <f ca="1">_xludf.ifna(VLOOKUP(G2825,Proyectos!$A$2:$S$674,19,0))</f>
        <v>#NAME?</v>
      </c>
      <c r="O2825" s="32"/>
      <c r="P2825" s="32"/>
      <c r="Q2825" s="33"/>
      <c r="R2825" s="33"/>
      <c r="S2825" s="33"/>
      <c r="T2825" s="63">
        <f t="shared" si="23"/>
        <v>0</v>
      </c>
      <c r="U2825" s="33"/>
      <c r="V2825" s="33"/>
      <c r="W2825" s="33"/>
    </row>
    <row r="2826" spans="1:23" ht="16.5" customHeight="1" x14ac:dyDescent="0.2">
      <c r="A2826" s="26"/>
      <c r="B2826" s="26"/>
      <c r="C2826" s="26"/>
      <c r="D2826" s="26"/>
      <c r="E2826" s="26"/>
      <c r="F2826" s="28"/>
      <c r="G2826" s="26"/>
      <c r="H2826" s="32"/>
      <c r="I2826" s="32"/>
      <c r="J2826" s="32"/>
      <c r="K2826" s="32"/>
      <c r="L2826" s="32" t="e">
        <f ca="1">_xludf.ifna(VLOOKUP(E2826,Parámetros!$D$2:$E$34,2,0),"")</f>
        <v>#NAME?</v>
      </c>
      <c r="M2826" s="32" t="e">
        <f ca="1">_xludf.ifna(VLOOKUP(G2826,Proyectos!$A$2:$T$674,20,0),"")</f>
        <v>#NAME?</v>
      </c>
      <c r="N2826" s="32" t="e">
        <f ca="1">_xludf.ifna(VLOOKUP(G2826,Proyectos!$A$2:$S$674,19,0))</f>
        <v>#NAME?</v>
      </c>
      <c r="O2826" s="32"/>
      <c r="P2826" s="32"/>
      <c r="Q2826" s="33"/>
      <c r="R2826" s="33"/>
      <c r="S2826" s="33"/>
      <c r="T2826" s="63">
        <f t="shared" si="23"/>
        <v>0</v>
      </c>
      <c r="U2826" s="33"/>
      <c r="V2826" s="33"/>
      <c r="W2826" s="33"/>
    </row>
    <row r="2827" spans="1:23" ht="16.5" customHeight="1" x14ac:dyDescent="0.2">
      <c r="A2827" s="26"/>
      <c r="B2827" s="26"/>
      <c r="C2827" s="26"/>
      <c r="D2827" s="26"/>
      <c r="E2827" s="26"/>
      <c r="F2827" s="28"/>
      <c r="G2827" s="26"/>
      <c r="H2827" s="32"/>
      <c r="I2827" s="32"/>
      <c r="J2827" s="32"/>
      <c r="K2827" s="32"/>
      <c r="L2827" s="32" t="e">
        <f ca="1">_xludf.ifna(VLOOKUP(E2827,Parámetros!$D$2:$E$34,2,0),"")</f>
        <v>#NAME?</v>
      </c>
      <c r="M2827" s="32" t="e">
        <f ca="1">_xludf.ifna(VLOOKUP(G2827,Proyectos!$A$2:$T$674,20,0),"")</f>
        <v>#NAME?</v>
      </c>
      <c r="N2827" s="32" t="e">
        <f ca="1">_xludf.ifna(VLOOKUP(G2827,Proyectos!$A$2:$S$674,19,0))</f>
        <v>#NAME?</v>
      </c>
      <c r="O2827" s="32"/>
      <c r="P2827" s="32"/>
      <c r="Q2827" s="33"/>
      <c r="R2827" s="33"/>
      <c r="S2827" s="33"/>
      <c r="T2827" s="63">
        <f t="shared" si="23"/>
        <v>0</v>
      </c>
      <c r="U2827" s="33"/>
      <c r="V2827" s="33"/>
      <c r="W2827" s="33"/>
    </row>
    <row r="2828" spans="1:23" ht="16.5" customHeight="1" x14ac:dyDescent="0.2">
      <c r="A2828" s="26"/>
      <c r="B2828" s="26"/>
      <c r="C2828" s="26"/>
      <c r="D2828" s="26"/>
      <c r="E2828" s="26"/>
      <c r="F2828" s="28"/>
      <c r="G2828" s="26"/>
      <c r="H2828" s="32"/>
      <c r="I2828" s="32"/>
      <c r="J2828" s="32"/>
      <c r="K2828" s="32"/>
      <c r="L2828" s="32" t="e">
        <f ca="1">_xludf.ifna(VLOOKUP(E2828,Parámetros!$D$2:$E$34,2,0),"")</f>
        <v>#NAME?</v>
      </c>
      <c r="M2828" s="32" t="e">
        <f ca="1">_xludf.ifna(VLOOKUP(G2828,Proyectos!$A$2:$T$674,20,0),"")</f>
        <v>#NAME?</v>
      </c>
      <c r="N2828" s="32" t="e">
        <f ca="1">_xludf.ifna(VLOOKUP(G2828,Proyectos!$A$2:$S$674,19,0))</f>
        <v>#NAME?</v>
      </c>
      <c r="O2828" s="32"/>
      <c r="P2828" s="32"/>
      <c r="Q2828" s="33"/>
      <c r="R2828" s="33"/>
      <c r="S2828" s="33"/>
      <c r="T2828" s="63">
        <f t="shared" si="23"/>
        <v>0</v>
      </c>
      <c r="U2828" s="33"/>
      <c r="V2828" s="33"/>
      <c r="W2828" s="33"/>
    </row>
    <row r="2829" spans="1:23" ht="16.5" customHeight="1" x14ac:dyDescent="0.2">
      <c r="A2829" s="26"/>
      <c r="B2829" s="26"/>
      <c r="C2829" s="26"/>
      <c r="D2829" s="26"/>
      <c r="E2829" s="26"/>
      <c r="F2829" s="28"/>
      <c r="G2829" s="26"/>
      <c r="H2829" s="32"/>
      <c r="I2829" s="32"/>
      <c r="J2829" s="32"/>
      <c r="K2829" s="32"/>
      <c r="L2829" s="32" t="e">
        <f ca="1">_xludf.ifna(VLOOKUP(E2829,Parámetros!$D$2:$E$34,2,0),"")</f>
        <v>#NAME?</v>
      </c>
      <c r="M2829" s="32" t="e">
        <f ca="1">_xludf.ifna(VLOOKUP(G2829,Proyectos!$A$2:$T$674,20,0),"")</f>
        <v>#NAME?</v>
      </c>
      <c r="N2829" s="32" t="e">
        <f ca="1">_xludf.ifna(VLOOKUP(G2829,Proyectos!$A$2:$S$674,19,0))</f>
        <v>#NAME?</v>
      </c>
      <c r="O2829" s="32"/>
      <c r="P2829" s="32"/>
      <c r="Q2829" s="33"/>
      <c r="R2829" s="33"/>
      <c r="S2829" s="33"/>
      <c r="T2829" s="63">
        <f t="shared" si="23"/>
        <v>0</v>
      </c>
      <c r="U2829" s="33"/>
      <c r="V2829" s="33"/>
      <c r="W2829" s="33"/>
    </row>
    <row r="2830" spans="1:23" ht="16.5" customHeight="1" x14ac:dyDescent="0.2">
      <c r="A2830" s="26"/>
      <c r="B2830" s="26"/>
      <c r="C2830" s="26"/>
      <c r="D2830" s="26"/>
      <c r="E2830" s="26"/>
      <c r="F2830" s="28"/>
      <c r="G2830" s="26"/>
      <c r="H2830" s="32"/>
      <c r="I2830" s="32"/>
      <c r="J2830" s="32"/>
      <c r="K2830" s="32"/>
      <c r="L2830" s="32" t="e">
        <f ca="1">_xludf.ifna(VLOOKUP(E2830,Parámetros!$D$2:$E$34,2,0),"")</f>
        <v>#NAME?</v>
      </c>
      <c r="M2830" s="32" t="e">
        <f ca="1">_xludf.ifna(VLOOKUP(G2830,Proyectos!$A$2:$T$674,20,0),"")</f>
        <v>#NAME?</v>
      </c>
      <c r="N2830" s="32" t="e">
        <f ca="1">_xludf.ifna(VLOOKUP(G2830,Proyectos!$A$2:$S$674,19,0))</f>
        <v>#NAME?</v>
      </c>
      <c r="O2830" s="32"/>
      <c r="P2830" s="32"/>
      <c r="Q2830" s="33"/>
      <c r="R2830" s="33"/>
      <c r="S2830" s="33"/>
      <c r="T2830" s="63">
        <f t="shared" si="23"/>
        <v>0</v>
      </c>
      <c r="U2830" s="33"/>
      <c r="V2830" s="33"/>
      <c r="W2830" s="33"/>
    </row>
    <row r="2831" spans="1:23" ht="16.5" customHeight="1" x14ac:dyDescent="0.2">
      <c r="A2831" s="26"/>
      <c r="B2831" s="26"/>
      <c r="C2831" s="26"/>
      <c r="D2831" s="26"/>
      <c r="E2831" s="26"/>
      <c r="F2831" s="28"/>
      <c r="G2831" s="26"/>
      <c r="H2831" s="32"/>
      <c r="I2831" s="32"/>
      <c r="J2831" s="32"/>
      <c r="K2831" s="32"/>
      <c r="L2831" s="32" t="e">
        <f ca="1">_xludf.ifna(VLOOKUP(E2831,Parámetros!$D$2:$E$34,2,0),"")</f>
        <v>#NAME?</v>
      </c>
      <c r="M2831" s="32" t="e">
        <f ca="1">_xludf.ifna(VLOOKUP(G2831,Proyectos!$A$2:$T$674,20,0),"")</f>
        <v>#NAME?</v>
      </c>
      <c r="N2831" s="32" t="e">
        <f ca="1">_xludf.ifna(VLOOKUP(G2831,Proyectos!$A$2:$S$674,19,0))</f>
        <v>#NAME?</v>
      </c>
      <c r="O2831" s="32"/>
      <c r="P2831" s="32"/>
      <c r="Q2831" s="33"/>
      <c r="R2831" s="33"/>
      <c r="S2831" s="33"/>
      <c r="T2831" s="63">
        <f t="shared" si="23"/>
        <v>0</v>
      </c>
      <c r="U2831" s="33"/>
      <c r="V2831" s="33"/>
      <c r="W2831" s="33"/>
    </row>
    <row r="2832" spans="1:23" ht="16.5" customHeight="1" x14ac:dyDescent="0.2">
      <c r="A2832" s="26"/>
      <c r="B2832" s="26"/>
      <c r="C2832" s="26"/>
      <c r="D2832" s="26"/>
      <c r="E2832" s="26"/>
      <c r="F2832" s="28"/>
      <c r="G2832" s="26"/>
      <c r="H2832" s="32"/>
      <c r="I2832" s="32"/>
      <c r="J2832" s="32"/>
      <c r="K2832" s="32"/>
      <c r="L2832" s="32" t="e">
        <f ca="1">_xludf.ifna(VLOOKUP(E2832,Parámetros!$D$2:$E$34,2,0),"")</f>
        <v>#NAME?</v>
      </c>
      <c r="M2832" s="32" t="e">
        <f ca="1">_xludf.ifna(VLOOKUP(G2832,Proyectos!$A$2:$T$674,20,0),"")</f>
        <v>#NAME?</v>
      </c>
      <c r="N2832" s="32" t="e">
        <f ca="1">_xludf.ifna(VLOOKUP(G2832,Proyectos!$A$2:$S$674,19,0))</f>
        <v>#NAME?</v>
      </c>
      <c r="O2832" s="32"/>
      <c r="P2832" s="32"/>
      <c r="Q2832" s="33"/>
      <c r="R2832" s="33"/>
      <c r="S2832" s="33"/>
      <c r="T2832" s="63">
        <f t="shared" si="23"/>
        <v>0</v>
      </c>
      <c r="U2832" s="33"/>
      <c r="V2832" s="33"/>
      <c r="W2832" s="33"/>
    </row>
    <row r="2833" spans="1:23" ht="16.5" customHeight="1" x14ac:dyDescent="0.2">
      <c r="A2833" s="26"/>
      <c r="B2833" s="26"/>
      <c r="C2833" s="26"/>
      <c r="D2833" s="26"/>
      <c r="E2833" s="26"/>
      <c r="F2833" s="28"/>
      <c r="G2833" s="26"/>
      <c r="H2833" s="32"/>
      <c r="I2833" s="32"/>
      <c r="J2833" s="32"/>
      <c r="K2833" s="32"/>
      <c r="L2833" s="32" t="e">
        <f ca="1">_xludf.ifna(VLOOKUP(E2833,Parámetros!$D$2:$E$34,2,0),"")</f>
        <v>#NAME?</v>
      </c>
      <c r="M2833" s="32" t="e">
        <f ca="1">_xludf.ifna(VLOOKUP(G2833,Proyectos!$A$2:$T$674,20,0),"")</f>
        <v>#NAME?</v>
      </c>
      <c r="N2833" s="32" t="e">
        <f ca="1">_xludf.ifna(VLOOKUP(G2833,Proyectos!$A$2:$S$674,19,0))</f>
        <v>#NAME?</v>
      </c>
      <c r="O2833" s="32"/>
      <c r="P2833" s="32"/>
      <c r="Q2833" s="33"/>
      <c r="R2833" s="33"/>
      <c r="S2833" s="33"/>
      <c r="T2833" s="63">
        <f t="shared" si="23"/>
        <v>0</v>
      </c>
      <c r="U2833" s="33"/>
      <c r="V2833" s="33"/>
      <c r="W2833" s="33"/>
    </row>
    <row r="2834" spans="1:23" ht="16.5" customHeight="1" x14ac:dyDescent="0.2">
      <c r="A2834" s="26"/>
      <c r="B2834" s="26"/>
      <c r="C2834" s="26"/>
      <c r="D2834" s="26"/>
      <c r="E2834" s="26"/>
      <c r="F2834" s="28"/>
      <c r="G2834" s="26"/>
      <c r="H2834" s="32"/>
      <c r="I2834" s="32"/>
      <c r="J2834" s="32"/>
      <c r="K2834" s="32"/>
      <c r="L2834" s="32" t="e">
        <f ca="1">_xludf.ifna(VLOOKUP(E2834,Parámetros!$D$2:$E$34,2,0),"")</f>
        <v>#NAME?</v>
      </c>
      <c r="M2834" s="32" t="e">
        <f ca="1">_xludf.ifna(VLOOKUP(G2834,Proyectos!$A$2:$T$674,20,0),"")</f>
        <v>#NAME?</v>
      </c>
      <c r="N2834" s="32" t="e">
        <f ca="1">_xludf.ifna(VLOOKUP(G2834,Proyectos!$A$2:$S$674,19,0))</f>
        <v>#NAME?</v>
      </c>
      <c r="O2834" s="32"/>
      <c r="P2834" s="32"/>
      <c r="Q2834" s="33"/>
      <c r="R2834" s="33"/>
      <c r="S2834" s="33"/>
      <c r="T2834" s="63">
        <f t="shared" si="23"/>
        <v>0</v>
      </c>
      <c r="U2834" s="33"/>
      <c r="V2834" s="33"/>
      <c r="W2834" s="33"/>
    </row>
    <row r="2835" spans="1:23" ht="16.5" customHeight="1" x14ac:dyDescent="0.2">
      <c r="A2835" s="26"/>
      <c r="B2835" s="26"/>
      <c r="C2835" s="26"/>
      <c r="D2835" s="26"/>
      <c r="E2835" s="26"/>
      <c r="F2835" s="28"/>
      <c r="G2835" s="26"/>
      <c r="H2835" s="32"/>
      <c r="I2835" s="32"/>
      <c r="J2835" s="32"/>
      <c r="K2835" s="32"/>
      <c r="L2835" s="32" t="e">
        <f ca="1">_xludf.ifna(VLOOKUP(E2835,Parámetros!$D$2:$E$34,2,0),"")</f>
        <v>#NAME?</v>
      </c>
      <c r="M2835" s="32" t="e">
        <f ca="1">_xludf.ifna(VLOOKUP(G2835,Proyectos!$A$2:$T$674,20,0),"")</f>
        <v>#NAME?</v>
      </c>
      <c r="N2835" s="32" t="e">
        <f ca="1">_xludf.ifna(VLOOKUP(G2835,Proyectos!$A$2:$S$674,19,0))</f>
        <v>#NAME?</v>
      </c>
      <c r="O2835" s="32"/>
      <c r="P2835" s="32"/>
      <c r="Q2835" s="33"/>
      <c r="R2835" s="33"/>
      <c r="S2835" s="33"/>
      <c r="T2835" s="63">
        <f t="shared" si="23"/>
        <v>0</v>
      </c>
      <c r="U2835" s="33"/>
      <c r="V2835" s="33"/>
      <c r="W2835" s="33"/>
    </row>
    <row r="2836" spans="1:23" ht="16.5" customHeight="1" x14ac:dyDescent="0.2">
      <c r="A2836" s="26"/>
      <c r="B2836" s="26"/>
      <c r="C2836" s="26"/>
      <c r="D2836" s="26"/>
      <c r="E2836" s="26"/>
      <c r="F2836" s="28"/>
      <c r="G2836" s="26"/>
      <c r="H2836" s="32"/>
      <c r="I2836" s="32"/>
      <c r="J2836" s="32"/>
      <c r="K2836" s="32"/>
      <c r="L2836" s="32" t="e">
        <f ca="1">_xludf.ifna(VLOOKUP(E2836,Parámetros!$D$2:$E$34,2,0),"")</f>
        <v>#NAME?</v>
      </c>
      <c r="M2836" s="32" t="e">
        <f ca="1">_xludf.ifna(VLOOKUP(G2836,Proyectos!$A$2:$T$674,20,0),"")</f>
        <v>#NAME?</v>
      </c>
      <c r="N2836" s="32" t="e">
        <f ca="1">_xludf.ifna(VLOOKUP(G2836,Proyectos!$A$2:$S$674,19,0))</f>
        <v>#NAME?</v>
      </c>
      <c r="O2836" s="32"/>
      <c r="P2836" s="32"/>
      <c r="Q2836" s="33"/>
      <c r="R2836" s="33"/>
      <c r="S2836" s="33"/>
      <c r="T2836" s="63">
        <f t="shared" si="23"/>
        <v>0</v>
      </c>
      <c r="U2836" s="33"/>
      <c r="V2836" s="33"/>
      <c r="W2836" s="33"/>
    </row>
    <row r="2837" spans="1:23" ht="16.5" customHeight="1" x14ac:dyDescent="0.2">
      <c r="A2837" s="26"/>
      <c r="B2837" s="26"/>
      <c r="C2837" s="26"/>
      <c r="D2837" s="26"/>
      <c r="E2837" s="26"/>
      <c r="F2837" s="28"/>
      <c r="G2837" s="26"/>
      <c r="H2837" s="32"/>
      <c r="I2837" s="32"/>
      <c r="J2837" s="32"/>
      <c r="K2837" s="32"/>
      <c r="L2837" s="32" t="e">
        <f ca="1">_xludf.ifna(VLOOKUP(E2837,Parámetros!$D$2:$E$34,2,0),"")</f>
        <v>#NAME?</v>
      </c>
      <c r="M2837" s="32" t="e">
        <f ca="1">_xludf.ifna(VLOOKUP(G2837,Proyectos!$A$2:$T$674,20,0),"")</f>
        <v>#NAME?</v>
      </c>
      <c r="N2837" s="32" t="e">
        <f ca="1">_xludf.ifna(VLOOKUP(G2837,Proyectos!$A$2:$S$674,19,0))</f>
        <v>#NAME?</v>
      </c>
      <c r="O2837" s="32"/>
      <c r="P2837" s="32"/>
      <c r="Q2837" s="33"/>
      <c r="R2837" s="33"/>
      <c r="S2837" s="33"/>
      <c r="T2837" s="63">
        <f t="shared" si="23"/>
        <v>0</v>
      </c>
      <c r="U2837" s="33"/>
      <c r="V2837" s="33"/>
      <c r="W2837" s="33"/>
    </row>
    <row r="2838" spans="1:23" ht="16.5" customHeight="1" x14ac:dyDescent="0.2">
      <c r="A2838" s="26"/>
      <c r="B2838" s="26"/>
      <c r="C2838" s="26"/>
      <c r="D2838" s="26"/>
      <c r="E2838" s="26"/>
      <c r="F2838" s="28"/>
      <c r="G2838" s="26"/>
      <c r="H2838" s="32"/>
      <c r="I2838" s="32"/>
      <c r="J2838" s="32"/>
      <c r="K2838" s="32"/>
      <c r="L2838" s="32" t="e">
        <f ca="1">_xludf.ifna(VLOOKUP(E2838,Parámetros!$D$2:$E$34,2,0),"")</f>
        <v>#NAME?</v>
      </c>
      <c r="M2838" s="32" t="e">
        <f ca="1">_xludf.ifna(VLOOKUP(G2838,Proyectos!$A$2:$T$674,20,0),"")</f>
        <v>#NAME?</v>
      </c>
      <c r="N2838" s="32" t="e">
        <f ca="1">_xludf.ifna(VLOOKUP(G2838,Proyectos!$A$2:$S$674,19,0))</f>
        <v>#NAME?</v>
      </c>
      <c r="O2838" s="32"/>
      <c r="P2838" s="32"/>
      <c r="Q2838" s="33"/>
      <c r="R2838" s="33"/>
      <c r="S2838" s="33"/>
      <c r="T2838" s="63">
        <f t="shared" si="23"/>
        <v>0</v>
      </c>
      <c r="U2838" s="33"/>
      <c r="V2838" s="33"/>
      <c r="W2838" s="33"/>
    </row>
    <row r="2839" spans="1:23" ht="16.5" customHeight="1" x14ac:dyDescent="0.2">
      <c r="A2839" s="26"/>
      <c r="B2839" s="26"/>
      <c r="C2839" s="26"/>
      <c r="D2839" s="26"/>
      <c r="E2839" s="26"/>
      <c r="F2839" s="28"/>
      <c r="G2839" s="26"/>
      <c r="H2839" s="32"/>
      <c r="I2839" s="32"/>
      <c r="J2839" s="32"/>
      <c r="K2839" s="32"/>
      <c r="L2839" s="32" t="e">
        <f ca="1">_xludf.ifna(VLOOKUP(E2839,Parámetros!$D$2:$E$34,2,0),"")</f>
        <v>#NAME?</v>
      </c>
      <c r="M2839" s="32" t="e">
        <f ca="1">_xludf.ifna(VLOOKUP(G2839,Proyectos!$A$2:$T$674,20,0),"")</f>
        <v>#NAME?</v>
      </c>
      <c r="N2839" s="32" t="e">
        <f ca="1">_xludf.ifna(VLOOKUP(G2839,Proyectos!$A$2:$S$674,19,0))</f>
        <v>#NAME?</v>
      </c>
      <c r="O2839" s="32"/>
      <c r="P2839" s="32"/>
      <c r="Q2839" s="33"/>
      <c r="R2839" s="33"/>
      <c r="S2839" s="33"/>
      <c r="T2839" s="63">
        <f t="shared" si="23"/>
        <v>0</v>
      </c>
      <c r="U2839" s="33"/>
      <c r="V2839" s="33"/>
      <c r="W2839" s="33"/>
    </row>
    <row r="2840" spans="1:23" ht="16.5" customHeight="1" x14ac:dyDescent="0.2">
      <c r="A2840" s="26"/>
      <c r="B2840" s="26"/>
      <c r="C2840" s="26"/>
      <c r="D2840" s="26"/>
      <c r="E2840" s="26"/>
      <c r="F2840" s="28"/>
      <c r="G2840" s="26"/>
      <c r="H2840" s="32"/>
      <c r="I2840" s="32"/>
      <c r="J2840" s="32"/>
      <c r="K2840" s="32"/>
      <c r="L2840" s="32" t="e">
        <f ca="1">_xludf.ifna(VLOOKUP(E2840,Parámetros!$D$2:$E$34,2,0),"")</f>
        <v>#NAME?</v>
      </c>
      <c r="M2840" s="32" t="e">
        <f ca="1">_xludf.ifna(VLOOKUP(G2840,Proyectos!$A$2:$T$674,20,0),"")</f>
        <v>#NAME?</v>
      </c>
      <c r="N2840" s="32" t="e">
        <f ca="1">_xludf.ifna(VLOOKUP(G2840,Proyectos!$A$2:$S$674,19,0))</f>
        <v>#NAME?</v>
      </c>
      <c r="O2840" s="32"/>
      <c r="P2840" s="32"/>
      <c r="Q2840" s="33"/>
      <c r="R2840" s="33"/>
      <c r="S2840" s="33"/>
      <c r="T2840" s="63">
        <f t="shared" si="23"/>
        <v>0</v>
      </c>
      <c r="U2840" s="33"/>
      <c r="V2840" s="33"/>
      <c r="W2840" s="33"/>
    </row>
    <row r="2841" spans="1:23" ht="16.5" customHeight="1" x14ac:dyDescent="0.2">
      <c r="A2841" s="26"/>
      <c r="B2841" s="26"/>
      <c r="C2841" s="26"/>
      <c r="D2841" s="26"/>
      <c r="E2841" s="26"/>
      <c r="F2841" s="28"/>
      <c r="G2841" s="26"/>
      <c r="H2841" s="32"/>
      <c r="I2841" s="32"/>
      <c r="J2841" s="32"/>
      <c r="K2841" s="32"/>
      <c r="L2841" s="32" t="e">
        <f ca="1">_xludf.ifna(VLOOKUP(E2841,Parámetros!$D$2:$E$34,2,0),"")</f>
        <v>#NAME?</v>
      </c>
      <c r="M2841" s="32" t="e">
        <f ca="1">_xludf.ifna(VLOOKUP(G2841,Proyectos!$A$2:$T$674,20,0),"")</f>
        <v>#NAME?</v>
      </c>
      <c r="N2841" s="32" t="e">
        <f ca="1">_xludf.ifna(VLOOKUP(G2841,Proyectos!$A$2:$S$674,19,0))</f>
        <v>#NAME?</v>
      </c>
      <c r="O2841" s="32"/>
      <c r="P2841" s="32"/>
      <c r="Q2841" s="33"/>
      <c r="R2841" s="33"/>
      <c r="S2841" s="33"/>
      <c r="T2841" s="63">
        <f t="shared" si="23"/>
        <v>0</v>
      </c>
      <c r="U2841" s="33"/>
      <c r="V2841" s="33"/>
      <c r="W2841" s="33"/>
    </row>
    <row r="2842" spans="1:23" ht="16.5" customHeight="1" x14ac:dyDescent="0.2">
      <c r="A2842" s="26"/>
      <c r="B2842" s="26"/>
      <c r="C2842" s="26"/>
      <c r="D2842" s="26"/>
      <c r="E2842" s="26"/>
      <c r="F2842" s="28"/>
      <c r="G2842" s="26"/>
      <c r="H2842" s="32"/>
      <c r="I2842" s="32"/>
      <c r="J2842" s="32"/>
      <c r="K2842" s="32"/>
      <c r="L2842" s="32" t="e">
        <f ca="1">_xludf.ifna(VLOOKUP(E2842,Parámetros!$D$2:$E$34,2,0),"")</f>
        <v>#NAME?</v>
      </c>
      <c r="M2842" s="32" t="e">
        <f ca="1">_xludf.ifna(VLOOKUP(G2842,Proyectos!$A$2:$T$674,20,0),"")</f>
        <v>#NAME?</v>
      </c>
      <c r="N2842" s="32" t="e">
        <f ca="1">_xludf.ifna(VLOOKUP(G2842,Proyectos!$A$2:$S$674,19,0))</f>
        <v>#NAME?</v>
      </c>
      <c r="O2842" s="32"/>
      <c r="P2842" s="32"/>
      <c r="Q2842" s="33"/>
      <c r="R2842" s="33"/>
      <c r="S2842" s="33"/>
      <c r="T2842" s="63">
        <f t="shared" si="23"/>
        <v>0</v>
      </c>
      <c r="U2842" s="33"/>
      <c r="V2842" s="33"/>
      <c r="W2842" s="33"/>
    </row>
    <row r="2843" spans="1:23" ht="16.5" customHeight="1" x14ac:dyDescent="0.2">
      <c r="A2843" s="26"/>
      <c r="B2843" s="26"/>
      <c r="C2843" s="26"/>
      <c r="D2843" s="26"/>
      <c r="E2843" s="26"/>
      <c r="F2843" s="28"/>
      <c r="G2843" s="26"/>
      <c r="H2843" s="32"/>
      <c r="I2843" s="32"/>
      <c r="J2843" s="32"/>
      <c r="K2843" s="32"/>
      <c r="L2843" s="32" t="e">
        <f ca="1">_xludf.ifna(VLOOKUP(E2843,Parámetros!$D$2:$E$34,2,0),"")</f>
        <v>#NAME?</v>
      </c>
      <c r="M2843" s="32" t="e">
        <f ca="1">_xludf.ifna(VLOOKUP(G2843,Proyectos!$A$2:$T$674,20,0),"")</f>
        <v>#NAME?</v>
      </c>
      <c r="N2843" s="32" t="e">
        <f ca="1">_xludf.ifna(VLOOKUP(G2843,Proyectos!$A$2:$S$674,19,0))</f>
        <v>#NAME?</v>
      </c>
      <c r="O2843" s="32"/>
      <c r="P2843" s="32"/>
      <c r="Q2843" s="33"/>
      <c r="R2843" s="33"/>
      <c r="S2843" s="33"/>
      <c r="T2843" s="63">
        <f t="shared" si="23"/>
        <v>0</v>
      </c>
      <c r="U2843" s="33"/>
      <c r="V2843" s="33"/>
      <c r="W2843" s="33"/>
    </row>
    <row r="2844" spans="1:23" ht="16.5" customHeight="1" x14ac:dyDescent="0.2">
      <c r="A2844" s="26"/>
      <c r="B2844" s="26"/>
      <c r="C2844" s="26"/>
      <c r="D2844" s="26"/>
      <c r="E2844" s="26"/>
      <c r="F2844" s="28"/>
      <c r="G2844" s="26"/>
      <c r="H2844" s="32"/>
      <c r="I2844" s="32"/>
      <c r="J2844" s="32"/>
      <c r="K2844" s="32"/>
      <c r="L2844" s="32" t="e">
        <f ca="1">_xludf.ifna(VLOOKUP(E2844,Parámetros!$D$2:$E$34,2,0),"")</f>
        <v>#NAME?</v>
      </c>
      <c r="M2844" s="32" t="e">
        <f ca="1">_xludf.ifna(VLOOKUP(G2844,Proyectos!$A$2:$T$674,20,0),"")</f>
        <v>#NAME?</v>
      </c>
      <c r="N2844" s="32" t="e">
        <f ca="1">_xludf.ifna(VLOOKUP(G2844,Proyectos!$A$2:$S$674,19,0))</f>
        <v>#NAME?</v>
      </c>
      <c r="O2844" s="32"/>
      <c r="P2844" s="32"/>
      <c r="Q2844" s="33"/>
      <c r="R2844" s="33"/>
      <c r="S2844" s="33"/>
      <c r="T2844" s="63">
        <f t="shared" si="23"/>
        <v>0</v>
      </c>
      <c r="U2844" s="33"/>
      <c r="V2844" s="33"/>
      <c r="W2844" s="33"/>
    </row>
    <row r="2845" spans="1:23" ht="16.5" customHeight="1" x14ac:dyDescent="0.2">
      <c r="A2845" s="26"/>
      <c r="B2845" s="26"/>
      <c r="C2845" s="26"/>
      <c r="D2845" s="26"/>
      <c r="E2845" s="26"/>
      <c r="F2845" s="28"/>
      <c r="G2845" s="26"/>
      <c r="H2845" s="32"/>
      <c r="I2845" s="32"/>
      <c r="J2845" s="32"/>
      <c r="K2845" s="32"/>
      <c r="L2845" s="32" t="e">
        <f ca="1">_xludf.ifna(VLOOKUP(E2845,Parámetros!$D$2:$E$34,2,0),"")</f>
        <v>#NAME?</v>
      </c>
      <c r="M2845" s="32" t="e">
        <f ca="1">_xludf.ifna(VLOOKUP(G2845,Proyectos!$A$2:$T$674,20,0),"")</f>
        <v>#NAME?</v>
      </c>
      <c r="N2845" s="32" t="e">
        <f ca="1">_xludf.ifna(VLOOKUP(G2845,Proyectos!$A$2:$S$674,19,0))</f>
        <v>#NAME?</v>
      </c>
      <c r="O2845" s="32"/>
      <c r="P2845" s="32"/>
      <c r="Q2845" s="33"/>
      <c r="R2845" s="33"/>
      <c r="S2845" s="33"/>
      <c r="T2845" s="63">
        <f t="shared" si="23"/>
        <v>0</v>
      </c>
      <c r="U2845" s="33"/>
      <c r="V2845" s="33"/>
      <c r="W2845" s="33"/>
    </row>
    <row r="2846" spans="1:23" ht="16.5" customHeight="1" x14ac:dyDescent="0.2">
      <c r="A2846" s="26"/>
      <c r="B2846" s="26"/>
      <c r="C2846" s="26"/>
      <c r="D2846" s="26"/>
      <c r="E2846" s="26"/>
      <c r="F2846" s="28"/>
      <c r="G2846" s="26"/>
      <c r="H2846" s="32"/>
      <c r="I2846" s="32"/>
      <c r="J2846" s="32"/>
      <c r="K2846" s="32"/>
      <c r="L2846" s="32" t="e">
        <f ca="1">_xludf.ifna(VLOOKUP(E2846,Parámetros!$D$2:$E$34,2,0),"")</f>
        <v>#NAME?</v>
      </c>
      <c r="M2846" s="32" t="e">
        <f ca="1">_xludf.ifna(VLOOKUP(G2846,Proyectos!$A$2:$T$674,20,0),"")</f>
        <v>#NAME?</v>
      </c>
      <c r="N2846" s="32" t="e">
        <f ca="1">_xludf.ifna(VLOOKUP(G2846,Proyectos!$A$2:$S$674,19,0))</f>
        <v>#NAME?</v>
      </c>
      <c r="O2846" s="32"/>
      <c r="P2846" s="32"/>
      <c r="Q2846" s="33"/>
      <c r="R2846" s="33"/>
      <c r="S2846" s="33"/>
      <c r="T2846" s="63">
        <f t="shared" si="23"/>
        <v>0</v>
      </c>
      <c r="U2846" s="33"/>
      <c r="V2846" s="33"/>
      <c r="W2846" s="33"/>
    </row>
    <row r="2847" spans="1:23" ht="16.5" customHeight="1" x14ac:dyDescent="0.2">
      <c r="A2847" s="26"/>
      <c r="B2847" s="26"/>
      <c r="C2847" s="26"/>
      <c r="D2847" s="26"/>
      <c r="E2847" s="26"/>
      <c r="F2847" s="28"/>
      <c r="G2847" s="26"/>
      <c r="H2847" s="32"/>
      <c r="I2847" s="32"/>
      <c r="J2847" s="32"/>
      <c r="K2847" s="32"/>
      <c r="L2847" s="32" t="e">
        <f ca="1">_xludf.ifna(VLOOKUP(E2847,Parámetros!$D$2:$E$34,2,0),"")</f>
        <v>#NAME?</v>
      </c>
      <c r="M2847" s="32" t="e">
        <f ca="1">_xludf.ifna(VLOOKUP(G2847,Proyectos!$A$2:$T$674,20,0),"")</f>
        <v>#NAME?</v>
      </c>
      <c r="N2847" s="32" t="e">
        <f ca="1">_xludf.ifna(VLOOKUP(G2847,Proyectos!$A$2:$S$674,19,0))</f>
        <v>#NAME?</v>
      </c>
      <c r="O2847" s="32"/>
      <c r="P2847" s="32"/>
      <c r="Q2847" s="33"/>
      <c r="R2847" s="33"/>
      <c r="S2847" s="33"/>
      <c r="T2847" s="63">
        <f t="shared" si="23"/>
        <v>0</v>
      </c>
      <c r="U2847" s="33"/>
      <c r="V2847" s="33"/>
      <c r="W2847" s="33"/>
    </row>
    <row r="2848" spans="1:23" ht="16.5" customHeight="1" x14ac:dyDescent="0.2">
      <c r="A2848" s="26"/>
      <c r="B2848" s="26"/>
      <c r="C2848" s="26"/>
      <c r="D2848" s="26"/>
      <c r="E2848" s="26"/>
      <c r="F2848" s="28"/>
      <c r="G2848" s="26"/>
      <c r="H2848" s="32"/>
      <c r="I2848" s="32"/>
      <c r="J2848" s="32"/>
      <c r="K2848" s="32"/>
      <c r="L2848" s="32" t="e">
        <f ca="1">_xludf.ifna(VLOOKUP(E2848,Parámetros!$D$2:$E$34,2,0),"")</f>
        <v>#NAME?</v>
      </c>
      <c r="M2848" s="32" t="e">
        <f ca="1">_xludf.ifna(VLOOKUP(G2848,Proyectos!$A$2:$T$674,20,0),"")</f>
        <v>#NAME?</v>
      </c>
      <c r="N2848" s="32" t="e">
        <f ca="1">_xludf.ifna(VLOOKUP(G2848,Proyectos!$A$2:$S$674,19,0))</f>
        <v>#NAME?</v>
      </c>
      <c r="O2848" s="32"/>
      <c r="P2848" s="32"/>
      <c r="Q2848" s="33"/>
      <c r="R2848" s="33"/>
      <c r="S2848" s="33"/>
      <c r="T2848" s="63">
        <f t="shared" si="23"/>
        <v>0</v>
      </c>
      <c r="U2848" s="33"/>
      <c r="V2848" s="33"/>
      <c r="W2848" s="33"/>
    </row>
    <row r="2849" spans="1:23" ht="16.5" customHeight="1" x14ac:dyDescent="0.2">
      <c r="A2849" s="26"/>
      <c r="B2849" s="26"/>
      <c r="C2849" s="26"/>
      <c r="D2849" s="26"/>
      <c r="E2849" s="26"/>
      <c r="F2849" s="28"/>
      <c r="G2849" s="26"/>
      <c r="H2849" s="32"/>
      <c r="I2849" s="32"/>
      <c r="J2849" s="32"/>
      <c r="K2849" s="32"/>
      <c r="L2849" s="32" t="e">
        <f ca="1">_xludf.ifna(VLOOKUP(E2849,Parámetros!$D$2:$E$34,2,0),"")</f>
        <v>#NAME?</v>
      </c>
      <c r="M2849" s="32" t="e">
        <f ca="1">_xludf.ifna(VLOOKUP(G2849,Proyectos!$A$2:$T$674,20,0),"")</f>
        <v>#NAME?</v>
      </c>
      <c r="N2849" s="32" t="e">
        <f ca="1">_xludf.ifna(VLOOKUP(G2849,Proyectos!$A$2:$S$674,19,0))</f>
        <v>#NAME?</v>
      </c>
      <c r="O2849" s="32"/>
      <c r="P2849" s="32"/>
      <c r="Q2849" s="33"/>
      <c r="R2849" s="33"/>
      <c r="S2849" s="33"/>
      <c r="T2849" s="63">
        <f t="shared" si="23"/>
        <v>0</v>
      </c>
      <c r="U2849" s="33"/>
      <c r="V2849" s="33"/>
      <c r="W2849" s="33"/>
    </row>
    <row r="2850" spans="1:23" ht="16.5" customHeight="1" x14ac:dyDescent="0.2">
      <c r="A2850" s="26"/>
      <c r="B2850" s="26"/>
      <c r="C2850" s="26"/>
      <c r="D2850" s="26"/>
      <c r="E2850" s="26"/>
      <c r="F2850" s="28"/>
      <c r="G2850" s="26"/>
      <c r="H2850" s="32"/>
      <c r="I2850" s="32"/>
      <c r="J2850" s="32"/>
      <c r="K2850" s="32"/>
      <c r="L2850" s="32" t="e">
        <f ca="1">_xludf.ifna(VLOOKUP(E2850,Parámetros!$D$2:$E$34,2,0),"")</f>
        <v>#NAME?</v>
      </c>
      <c r="M2850" s="32" t="e">
        <f ca="1">_xludf.ifna(VLOOKUP(G2850,Proyectos!$A$2:$T$674,20,0),"")</f>
        <v>#NAME?</v>
      </c>
      <c r="N2850" s="32" t="e">
        <f ca="1">_xludf.ifna(VLOOKUP(G2850,Proyectos!$A$2:$S$674,19,0))</f>
        <v>#NAME?</v>
      </c>
      <c r="O2850" s="32"/>
      <c r="P2850" s="32"/>
      <c r="Q2850" s="33"/>
      <c r="R2850" s="33"/>
      <c r="S2850" s="33"/>
      <c r="T2850" s="63">
        <f t="shared" si="23"/>
        <v>0</v>
      </c>
      <c r="U2850" s="33"/>
      <c r="V2850" s="33"/>
      <c r="W2850" s="33"/>
    </row>
    <row r="2851" spans="1:23" ht="16.5" customHeight="1" x14ac:dyDescent="0.2">
      <c r="A2851" s="26"/>
      <c r="B2851" s="26"/>
      <c r="C2851" s="26"/>
      <c r="D2851" s="26"/>
      <c r="E2851" s="26"/>
      <c r="F2851" s="28"/>
      <c r="G2851" s="26"/>
      <c r="H2851" s="32"/>
      <c r="I2851" s="32"/>
      <c r="J2851" s="32"/>
      <c r="K2851" s="32"/>
      <c r="L2851" s="32" t="e">
        <f ca="1">_xludf.ifna(VLOOKUP(E2851,Parámetros!$D$2:$E$34,2,0),"")</f>
        <v>#NAME?</v>
      </c>
      <c r="M2851" s="32" t="e">
        <f ca="1">_xludf.ifna(VLOOKUP(G2851,Proyectos!$A$2:$T$674,20,0),"")</f>
        <v>#NAME?</v>
      </c>
      <c r="N2851" s="32" t="e">
        <f ca="1">_xludf.ifna(VLOOKUP(G2851,Proyectos!$A$2:$S$674,19,0))</f>
        <v>#NAME?</v>
      </c>
      <c r="O2851" s="32"/>
      <c r="P2851" s="32"/>
      <c r="Q2851" s="33"/>
      <c r="R2851" s="33"/>
      <c r="S2851" s="33"/>
      <c r="T2851" s="63">
        <f t="shared" si="23"/>
        <v>0</v>
      </c>
      <c r="U2851" s="33"/>
      <c r="V2851" s="33"/>
      <c r="W2851" s="33"/>
    </row>
    <row r="2852" spans="1:23" ht="16.5" customHeight="1" x14ac:dyDescent="0.2">
      <c r="A2852" s="26"/>
      <c r="B2852" s="26"/>
      <c r="C2852" s="26"/>
      <c r="D2852" s="26"/>
      <c r="E2852" s="26"/>
      <c r="F2852" s="28"/>
      <c r="G2852" s="26"/>
      <c r="H2852" s="32"/>
      <c r="I2852" s="32"/>
      <c r="J2852" s="32"/>
      <c r="K2852" s="32"/>
      <c r="L2852" s="32" t="e">
        <f ca="1">_xludf.ifna(VLOOKUP(E2852,Parámetros!$D$2:$E$34,2,0),"")</f>
        <v>#NAME?</v>
      </c>
      <c r="M2852" s="32" t="e">
        <f ca="1">_xludf.ifna(VLOOKUP(G2852,Proyectos!$A$2:$T$674,20,0),"")</f>
        <v>#NAME?</v>
      </c>
      <c r="N2852" s="32" t="e">
        <f ca="1">_xludf.ifna(VLOOKUP(G2852,Proyectos!$A$2:$S$674,19,0))</f>
        <v>#NAME?</v>
      </c>
      <c r="O2852" s="32"/>
      <c r="P2852" s="32"/>
      <c r="Q2852" s="33"/>
      <c r="R2852" s="33"/>
      <c r="S2852" s="33"/>
      <c r="T2852" s="63">
        <f t="shared" si="23"/>
        <v>0</v>
      </c>
      <c r="U2852" s="33"/>
      <c r="V2852" s="33"/>
      <c r="W2852" s="33"/>
    </row>
    <row r="2853" spans="1:23" ht="16.5" customHeight="1" x14ac:dyDescent="0.2">
      <c r="A2853" s="26"/>
      <c r="B2853" s="26"/>
      <c r="C2853" s="26"/>
      <c r="D2853" s="26"/>
      <c r="E2853" s="26"/>
      <c r="F2853" s="28"/>
      <c r="G2853" s="26"/>
      <c r="H2853" s="32"/>
      <c r="I2853" s="32"/>
      <c r="J2853" s="32"/>
      <c r="K2853" s="32"/>
      <c r="L2853" s="32" t="e">
        <f ca="1">_xludf.ifna(VLOOKUP(E2853,Parámetros!$D$2:$E$34,2,0),"")</f>
        <v>#NAME?</v>
      </c>
      <c r="M2853" s="32" t="e">
        <f ca="1">_xludf.ifna(VLOOKUP(G2853,Proyectos!$A$2:$T$674,20,0),"")</f>
        <v>#NAME?</v>
      </c>
      <c r="N2853" s="32" t="e">
        <f ca="1">_xludf.ifna(VLOOKUP(G2853,Proyectos!$A$2:$S$674,19,0))</f>
        <v>#NAME?</v>
      </c>
      <c r="O2853" s="32"/>
      <c r="P2853" s="32"/>
      <c r="Q2853" s="33"/>
      <c r="R2853" s="33"/>
      <c r="S2853" s="33"/>
      <c r="T2853" s="63">
        <f t="shared" si="23"/>
        <v>0</v>
      </c>
      <c r="U2853" s="33"/>
      <c r="V2853" s="33"/>
      <c r="W2853" s="33"/>
    </row>
    <row r="2854" spans="1:23" ht="16.5" customHeight="1" x14ac:dyDescent="0.2">
      <c r="A2854" s="26"/>
      <c r="B2854" s="26"/>
      <c r="C2854" s="26"/>
      <c r="D2854" s="26"/>
      <c r="E2854" s="26"/>
      <c r="F2854" s="28"/>
      <c r="G2854" s="26"/>
      <c r="H2854" s="32"/>
      <c r="I2854" s="32"/>
      <c r="J2854" s="32"/>
      <c r="K2854" s="32"/>
      <c r="L2854" s="32" t="e">
        <f ca="1">_xludf.ifna(VLOOKUP(E2854,Parámetros!$D$2:$E$34,2,0),"")</f>
        <v>#NAME?</v>
      </c>
      <c r="M2854" s="32" t="e">
        <f ca="1">_xludf.ifna(VLOOKUP(G2854,Proyectos!$A$2:$T$674,20,0),"")</f>
        <v>#NAME?</v>
      </c>
      <c r="N2854" s="32" t="e">
        <f ca="1">_xludf.ifna(VLOOKUP(G2854,Proyectos!$A$2:$S$674,19,0))</f>
        <v>#NAME?</v>
      </c>
      <c r="O2854" s="32"/>
      <c r="P2854" s="32"/>
      <c r="Q2854" s="33"/>
      <c r="R2854" s="33"/>
      <c r="S2854" s="33"/>
      <c r="T2854" s="63">
        <f t="shared" si="23"/>
        <v>0</v>
      </c>
      <c r="U2854" s="33"/>
      <c r="V2854" s="33"/>
      <c r="W2854" s="33"/>
    </row>
    <row r="2855" spans="1:23" ht="16.5" customHeight="1" x14ac:dyDescent="0.2">
      <c r="A2855" s="26"/>
      <c r="B2855" s="26"/>
      <c r="C2855" s="26"/>
      <c r="D2855" s="26"/>
      <c r="E2855" s="26"/>
      <c r="F2855" s="28"/>
      <c r="G2855" s="26"/>
      <c r="H2855" s="32"/>
      <c r="I2855" s="32"/>
      <c r="J2855" s="32"/>
      <c r="K2855" s="32"/>
      <c r="L2855" s="32" t="e">
        <f ca="1">_xludf.ifna(VLOOKUP(E2855,Parámetros!$D$2:$E$34,2,0),"")</f>
        <v>#NAME?</v>
      </c>
      <c r="M2855" s="32" t="e">
        <f ca="1">_xludf.ifna(VLOOKUP(G2855,Proyectos!$A$2:$T$674,20,0),"")</f>
        <v>#NAME?</v>
      </c>
      <c r="N2855" s="32" t="e">
        <f ca="1">_xludf.ifna(VLOOKUP(G2855,Proyectos!$A$2:$S$674,19,0))</f>
        <v>#NAME?</v>
      </c>
      <c r="O2855" s="32"/>
      <c r="P2855" s="32"/>
      <c r="Q2855" s="33"/>
      <c r="R2855" s="33"/>
      <c r="S2855" s="33"/>
      <c r="T2855" s="63">
        <f t="shared" si="23"/>
        <v>0</v>
      </c>
      <c r="U2855" s="33"/>
      <c r="V2855" s="33"/>
      <c r="W2855" s="33"/>
    </row>
    <row r="2856" spans="1:23" ht="16.5" customHeight="1" x14ac:dyDescent="0.2">
      <c r="A2856" s="26"/>
      <c r="B2856" s="26"/>
      <c r="C2856" s="26"/>
      <c r="D2856" s="26"/>
      <c r="E2856" s="26"/>
      <c r="F2856" s="28"/>
      <c r="G2856" s="26"/>
      <c r="H2856" s="32"/>
      <c r="I2856" s="32"/>
      <c r="J2856" s="32"/>
      <c r="K2856" s="32"/>
      <c r="L2856" s="32" t="e">
        <f ca="1">_xludf.ifna(VLOOKUP(E2856,Parámetros!$D$2:$E$34,2,0),"")</f>
        <v>#NAME?</v>
      </c>
      <c r="M2856" s="32" t="e">
        <f ca="1">_xludf.ifna(VLOOKUP(G2856,Proyectos!$A$2:$T$674,20,0),"")</f>
        <v>#NAME?</v>
      </c>
      <c r="N2856" s="32" t="e">
        <f ca="1">_xludf.ifna(VLOOKUP(G2856,Proyectos!$A$2:$S$674,19,0))</f>
        <v>#NAME?</v>
      </c>
      <c r="O2856" s="32"/>
      <c r="P2856" s="32"/>
      <c r="Q2856" s="33"/>
      <c r="R2856" s="33"/>
      <c r="S2856" s="33"/>
      <c r="T2856" s="63">
        <f t="shared" si="23"/>
        <v>0</v>
      </c>
      <c r="U2856" s="33"/>
      <c r="V2856" s="33"/>
      <c r="W2856" s="33"/>
    </row>
    <row r="2857" spans="1:23" ht="16.5" customHeight="1" x14ac:dyDescent="0.2">
      <c r="A2857" s="26"/>
      <c r="B2857" s="26"/>
      <c r="C2857" s="26"/>
      <c r="D2857" s="26"/>
      <c r="E2857" s="26"/>
      <c r="F2857" s="28"/>
      <c r="G2857" s="26"/>
      <c r="H2857" s="32"/>
      <c r="I2857" s="32"/>
      <c r="J2857" s="32"/>
      <c r="K2857" s="32"/>
      <c r="L2857" s="32" t="e">
        <f ca="1">_xludf.ifna(VLOOKUP(E2857,Parámetros!$D$2:$E$34,2,0),"")</f>
        <v>#NAME?</v>
      </c>
      <c r="M2857" s="32" t="e">
        <f ca="1">_xludf.ifna(VLOOKUP(G2857,Proyectos!$A$2:$T$674,20,0),"")</f>
        <v>#NAME?</v>
      </c>
      <c r="N2857" s="32" t="e">
        <f ca="1">_xludf.ifna(VLOOKUP(G2857,Proyectos!$A$2:$S$674,19,0))</f>
        <v>#NAME?</v>
      </c>
      <c r="O2857" s="32"/>
      <c r="P2857" s="32"/>
      <c r="Q2857" s="33"/>
      <c r="R2857" s="33"/>
      <c r="S2857" s="33"/>
      <c r="T2857" s="63">
        <f t="shared" si="23"/>
        <v>0</v>
      </c>
      <c r="U2857" s="33"/>
      <c r="V2857" s="33"/>
      <c r="W2857" s="33"/>
    </row>
    <row r="2858" spans="1:23" ht="16.5" customHeight="1" x14ac:dyDescent="0.2">
      <c r="A2858" s="26"/>
      <c r="B2858" s="26"/>
      <c r="C2858" s="26"/>
      <c r="D2858" s="26"/>
      <c r="E2858" s="26"/>
      <c r="F2858" s="28"/>
      <c r="G2858" s="26"/>
      <c r="H2858" s="32"/>
      <c r="I2858" s="32"/>
      <c r="J2858" s="32"/>
      <c r="K2858" s="32"/>
      <c r="L2858" s="32" t="e">
        <f ca="1">_xludf.ifna(VLOOKUP(E2858,Parámetros!$D$2:$E$34,2,0),"")</f>
        <v>#NAME?</v>
      </c>
      <c r="M2858" s="32" t="e">
        <f ca="1">_xludf.ifna(VLOOKUP(G2858,Proyectos!$A$2:$T$674,20,0),"")</f>
        <v>#NAME?</v>
      </c>
      <c r="N2858" s="32" t="e">
        <f ca="1">_xludf.ifna(VLOOKUP(G2858,Proyectos!$A$2:$S$674,19,0))</f>
        <v>#NAME?</v>
      </c>
      <c r="O2858" s="32"/>
      <c r="P2858" s="32"/>
      <c r="Q2858" s="33"/>
      <c r="R2858" s="33"/>
      <c r="S2858" s="33"/>
      <c r="T2858" s="63">
        <f t="shared" si="23"/>
        <v>0</v>
      </c>
      <c r="U2858" s="33"/>
      <c r="V2858" s="33"/>
      <c r="W2858" s="33"/>
    </row>
    <row r="2859" spans="1:23" ht="16.5" customHeight="1" x14ac:dyDescent="0.2">
      <c r="A2859" s="26"/>
      <c r="B2859" s="26"/>
      <c r="C2859" s="26"/>
      <c r="D2859" s="26"/>
      <c r="E2859" s="26"/>
      <c r="F2859" s="28"/>
      <c r="G2859" s="26"/>
      <c r="H2859" s="32"/>
      <c r="I2859" s="32"/>
      <c r="J2859" s="32"/>
      <c r="K2859" s="32"/>
      <c r="L2859" s="32" t="e">
        <f ca="1">_xludf.ifna(VLOOKUP(E2859,Parámetros!$D$2:$E$34,2,0),"")</f>
        <v>#NAME?</v>
      </c>
      <c r="M2859" s="32" t="e">
        <f ca="1">_xludf.ifna(VLOOKUP(G2859,Proyectos!$A$2:$T$674,20,0),"")</f>
        <v>#NAME?</v>
      </c>
      <c r="N2859" s="32" t="e">
        <f ca="1">_xludf.ifna(VLOOKUP(G2859,Proyectos!$A$2:$S$674,19,0))</f>
        <v>#NAME?</v>
      </c>
      <c r="O2859" s="32"/>
      <c r="P2859" s="32"/>
      <c r="Q2859" s="33"/>
      <c r="R2859" s="33"/>
      <c r="S2859" s="33"/>
      <c r="T2859" s="63">
        <f t="shared" si="23"/>
        <v>0</v>
      </c>
      <c r="U2859" s="33"/>
      <c r="V2859" s="33"/>
      <c r="W2859" s="33"/>
    </row>
    <row r="2860" spans="1:23" ht="16.5" customHeight="1" x14ac:dyDescent="0.2">
      <c r="A2860" s="26"/>
      <c r="B2860" s="26"/>
      <c r="C2860" s="26"/>
      <c r="D2860" s="26"/>
      <c r="E2860" s="26"/>
      <c r="F2860" s="28"/>
      <c r="G2860" s="26"/>
      <c r="H2860" s="32"/>
      <c r="I2860" s="32"/>
      <c r="J2860" s="32"/>
      <c r="K2860" s="32"/>
      <c r="L2860" s="32" t="e">
        <f ca="1">_xludf.ifna(VLOOKUP(E2860,Parámetros!$D$2:$E$34,2,0),"")</f>
        <v>#NAME?</v>
      </c>
      <c r="M2860" s="32" t="e">
        <f ca="1">_xludf.ifna(VLOOKUP(G2860,Proyectos!$A$2:$T$674,20,0),"")</f>
        <v>#NAME?</v>
      </c>
      <c r="N2860" s="32" t="e">
        <f ca="1">_xludf.ifna(VLOOKUP(G2860,Proyectos!$A$2:$S$674,19,0))</f>
        <v>#NAME?</v>
      </c>
      <c r="O2860" s="32"/>
      <c r="P2860" s="32"/>
      <c r="Q2860" s="33"/>
      <c r="R2860" s="33"/>
      <c r="S2860" s="33"/>
      <c r="T2860" s="63">
        <f t="shared" si="23"/>
        <v>0</v>
      </c>
      <c r="U2860" s="33"/>
      <c r="V2860" s="33"/>
      <c r="W2860" s="33"/>
    </row>
    <row r="2861" spans="1:23" ht="16.5" customHeight="1" x14ac:dyDescent="0.2">
      <c r="A2861" s="26"/>
      <c r="B2861" s="26"/>
      <c r="C2861" s="26"/>
      <c r="D2861" s="26"/>
      <c r="E2861" s="26"/>
      <c r="F2861" s="28"/>
      <c r="G2861" s="26"/>
      <c r="H2861" s="32"/>
      <c r="I2861" s="32"/>
      <c r="J2861" s="32"/>
      <c r="K2861" s="32"/>
      <c r="L2861" s="32" t="e">
        <f ca="1">_xludf.ifna(VLOOKUP(E2861,Parámetros!$D$2:$E$34,2,0),"")</f>
        <v>#NAME?</v>
      </c>
      <c r="M2861" s="32" t="e">
        <f ca="1">_xludf.ifna(VLOOKUP(G2861,Proyectos!$A$2:$T$674,20,0),"")</f>
        <v>#NAME?</v>
      </c>
      <c r="N2861" s="32" t="e">
        <f ca="1">_xludf.ifna(VLOOKUP(G2861,Proyectos!$A$2:$S$674,19,0))</f>
        <v>#NAME?</v>
      </c>
      <c r="O2861" s="32"/>
      <c r="P2861" s="32"/>
      <c r="Q2861" s="33"/>
      <c r="R2861" s="33"/>
      <c r="S2861" s="33"/>
      <c r="T2861" s="63">
        <f t="shared" si="23"/>
        <v>0</v>
      </c>
      <c r="U2861" s="33"/>
      <c r="V2861" s="33"/>
      <c r="W2861" s="33"/>
    </row>
    <row r="2862" spans="1:23" ht="16.5" customHeight="1" x14ac:dyDescent="0.2">
      <c r="A2862" s="26"/>
      <c r="B2862" s="26"/>
      <c r="C2862" s="26"/>
      <c r="D2862" s="26"/>
      <c r="E2862" s="26"/>
      <c r="F2862" s="28"/>
      <c r="G2862" s="26"/>
      <c r="H2862" s="32"/>
      <c r="I2862" s="32"/>
      <c r="J2862" s="32"/>
      <c r="K2862" s="32"/>
      <c r="L2862" s="32" t="e">
        <f ca="1">_xludf.ifna(VLOOKUP(E2862,Parámetros!$D$2:$E$34,2,0),"")</f>
        <v>#NAME?</v>
      </c>
      <c r="M2862" s="32" t="e">
        <f ca="1">_xludf.ifna(VLOOKUP(G2862,Proyectos!$A$2:$T$674,20,0),"")</f>
        <v>#NAME?</v>
      </c>
      <c r="N2862" s="32" t="e">
        <f ca="1">_xludf.ifna(VLOOKUP(G2862,Proyectos!$A$2:$S$674,19,0))</f>
        <v>#NAME?</v>
      </c>
      <c r="O2862" s="32"/>
      <c r="P2862" s="32"/>
      <c r="Q2862" s="33"/>
      <c r="R2862" s="33"/>
      <c r="S2862" s="33"/>
      <c r="T2862" s="63">
        <f t="shared" si="23"/>
        <v>0</v>
      </c>
      <c r="U2862" s="33"/>
      <c r="V2862" s="33"/>
      <c r="W2862" s="33"/>
    </row>
    <row r="2863" spans="1:23" ht="16.5" customHeight="1" x14ac:dyDescent="0.2">
      <c r="A2863" s="26"/>
      <c r="B2863" s="26"/>
      <c r="C2863" s="26"/>
      <c r="D2863" s="26"/>
      <c r="E2863" s="26"/>
      <c r="F2863" s="28"/>
      <c r="G2863" s="26"/>
      <c r="H2863" s="32"/>
      <c r="I2863" s="32"/>
      <c r="J2863" s="32"/>
      <c r="K2863" s="32"/>
      <c r="L2863" s="32" t="e">
        <f ca="1">_xludf.ifna(VLOOKUP(E2863,Parámetros!$D$2:$E$34,2,0),"")</f>
        <v>#NAME?</v>
      </c>
      <c r="M2863" s="32" t="e">
        <f ca="1">_xludf.ifna(VLOOKUP(G2863,Proyectos!$A$2:$T$674,20,0),"")</f>
        <v>#NAME?</v>
      </c>
      <c r="N2863" s="32" t="e">
        <f ca="1">_xludf.ifna(VLOOKUP(G2863,Proyectos!$A$2:$S$674,19,0))</f>
        <v>#NAME?</v>
      </c>
      <c r="O2863" s="32"/>
      <c r="P2863" s="32"/>
      <c r="Q2863" s="33"/>
      <c r="R2863" s="33"/>
      <c r="S2863" s="33"/>
      <c r="T2863" s="63">
        <f t="shared" si="23"/>
        <v>0</v>
      </c>
      <c r="U2863" s="33"/>
      <c r="V2863" s="33"/>
      <c r="W2863" s="33"/>
    </row>
    <row r="2864" spans="1:23" ht="16.5" customHeight="1" x14ac:dyDescent="0.2">
      <c r="A2864" s="26"/>
      <c r="B2864" s="26"/>
      <c r="C2864" s="26"/>
      <c r="D2864" s="26"/>
      <c r="E2864" s="26"/>
      <c r="F2864" s="28"/>
      <c r="G2864" s="26"/>
      <c r="H2864" s="32"/>
      <c r="I2864" s="32"/>
      <c r="J2864" s="32"/>
      <c r="K2864" s="32"/>
      <c r="L2864" s="32" t="e">
        <f ca="1">_xludf.ifna(VLOOKUP(E2864,Parámetros!$D$2:$E$34,2,0),"")</f>
        <v>#NAME?</v>
      </c>
      <c r="M2864" s="32" t="e">
        <f ca="1">_xludf.ifna(VLOOKUP(G2864,Proyectos!$A$2:$T$674,20,0),"")</f>
        <v>#NAME?</v>
      </c>
      <c r="N2864" s="32" t="e">
        <f ca="1">_xludf.ifna(VLOOKUP(G2864,Proyectos!$A$2:$S$674,19,0))</f>
        <v>#NAME?</v>
      </c>
      <c r="O2864" s="32"/>
      <c r="P2864" s="32"/>
      <c r="Q2864" s="33"/>
      <c r="R2864" s="33"/>
      <c r="S2864" s="33"/>
      <c r="T2864" s="63">
        <f t="shared" si="23"/>
        <v>0</v>
      </c>
      <c r="U2864" s="33"/>
      <c r="V2864" s="33"/>
      <c r="W2864" s="33"/>
    </row>
    <row r="2865" spans="1:23" ht="16.5" customHeight="1" x14ac:dyDescent="0.2">
      <c r="A2865" s="26"/>
      <c r="B2865" s="26"/>
      <c r="C2865" s="26"/>
      <c r="D2865" s="26"/>
      <c r="E2865" s="26"/>
      <c r="F2865" s="28"/>
      <c r="G2865" s="26"/>
      <c r="H2865" s="32"/>
      <c r="I2865" s="32"/>
      <c r="J2865" s="32"/>
      <c r="K2865" s="32"/>
      <c r="L2865" s="32" t="e">
        <f ca="1">_xludf.ifna(VLOOKUP(E2865,Parámetros!$D$2:$E$34,2,0),"")</f>
        <v>#NAME?</v>
      </c>
      <c r="M2865" s="32" t="e">
        <f ca="1">_xludf.ifna(VLOOKUP(G2865,Proyectos!$A$2:$T$674,20,0),"")</f>
        <v>#NAME?</v>
      </c>
      <c r="N2865" s="32" t="e">
        <f ca="1">_xludf.ifna(VLOOKUP(G2865,Proyectos!$A$2:$S$674,19,0))</f>
        <v>#NAME?</v>
      </c>
      <c r="O2865" s="32"/>
      <c r="P2865" s="32"/>
      <c r="Q2865" s="33"/>
      <c r="R2865" s="33"/>
      <c r="S2865" s="33"/>
      <c r="T2865" s="63">
        <f t="shared" si="23"/>
        <v>0</v>
      </c>
      <c r="U2865" s="33"/>
      <c r="V2865" s="33"/>
      <c r="W2865" s="33"/>
    </row>
    <row r="2866" spans="1:23" ht="16.5" customHeight="1" x14ac:dyDescent="0.2">
      <c r="A2866" s="26"/>
      <c r="B2866" s="26"/>
      <c r="C2866" s="26"/>
      <c r="D2866" s="26"/>
      <c r="E2866" s="26"/>
      <c r="F2866" s="28"/>
      <c r="G2866" s="26"/>
      <c r="H2866" s="32"/>
      <c r="I2866" s="32"/>
      <c r="J2866" s="32"/>
      <c r="K2866" s="32"/>
      <c r="L2866" s="32" t="e">
        <f ca="1">_xludf.ifna(VLOOKUP(E2866,Parámetros!$D$2:$E$34,2,0),"")</f>
        <v>#NAME?</v>
      </c>
      <c r="M2866" s="32" t="e">
        <f ca="1">_xludf.ifna(VLOOKUP(G2866,Proyectos!$A$2:$T$674,20,0),"")</f>
        <v>#NAME?</v>
      </c>
      <c r="N2866" s="32" t="e">
        <f ca="1">_xludf.ifna(VLOOKUP(G2866,Proyectos!$A$2:$S$674,19,0))</f>
        <v>#NAME?</v>
      </c>
      <c r="O2866" s="32"/>
      <c r="P2866" s="32"/>
      <c r="Q2866" s="33"/>
      <c r="R2866" s="33"/>
      <c r="S2866" s="33"/>
      <c r="T2866" s="63">
        <f t="shared" si="23"/>
        <v>0</v>
      </c>
      <c r="U2866" s="33"/>
      <c r="V2866" s="33"/>
      <c r="W2866" s="33"/>
    </row>
    <row r="2867" spans="1:23" ht="16.5" customHeight="1" x14ac:dyDescent="0.2">
      <c r="A2867" s="26"/>
      <c r="B2867" s="26"/>
      <c r="C2867" s="26"/>
      <c r="D2867" s="26"/>
      <c r="E2867" s="26"/>
      <c r="F2867" s="28"/>
      <c r="G2867" s="26"/>
      <c r="H2867" s="32"/>
      <c r="I2867" s="32"/>
      <c r="J2867" s="32"/>
      <c r="K2867" s="32"/>
      <c r="L2867" s="32" t="e">
        <f ca="1">_xludf.ifna(VLOOKUP(E2867,Parámetros!$D$2:$E$34,2,0),"")</f>
        <v>#NAME?</v>
      </c>
      <c r="M2867" s="32" t="e">
        <f ca="1">_xludf.ifna(VLOOKUP(G2867,Proyectos!$A$2:$T$674,20,0),"")</f>
        <v>#NAME?</v>
      </c>
      <c r="N2867" s="32" t="e">
        <f ca="1">_xludf.ifna(VLOOKUP(G2867,Proyectos!$A$2:$S$674,19,0))</f>
        <v>#NAME?</v>
      </c>
      <c r="O2867" s="32"/>
      <c r="P2867" s="32"/>
      <c r="Q2867" s="33"/>
      <c r="R2867" s="33"/>
      <c r="S2867" s="33"/>
      <c r="T2867" s="63">
        <f t="shared" si="23"/>
        <v>0</v>
      </c>
      <c r="U2867" s="33"/>
      <c r="V2867" s="33"/>
      <c r="W2867" s="33"/>
    </row>
    <row r="2868" spans="1:23" ht="16.5" customHeight="1" x14ac:dyDescent="0.2">
      <c r="A2868" s="26"/>
      <c r="B2868" s="26"/>
      <c r="C2868" s="26"/>
      <c r="D2868" s="26"/>
      <c r="E2868" s="26"/>
      <c r="F2868" s="28"/>
      <c r="G2868" s="26"/>
      <c r="H2868" s="32"/>
      <c r="I2868" s="32"/>
      <c r="J2868" s="32"/>
      <c r="K2868" s="32"/>
      <c r="L2868" s="32" t="e">
        <f ca="1">_xludf.ifna(VLOOKUP(E2868,Parámetros!$D$2:$E$34,2,0),"")</f>
        <v>#NAME?</v>
      </c>
      <c r="M2868" s="32" t="e">
        <f ca="1">_xludf.ifna(VLOOKUP(G2868,Proyectos!$A$2:$T$674,20,0),"")</f>
        <v>#NAME?</v>
      </c>
      <c r="N2868" s="32" t="e">
        <f ca="1">_xludf.ifna(VLOOKUP(G2868,Proyectos!$A$2:$S$674,19,0))</f>
        <v>#NAME?</v>
      </c>
      <c r="O2868" s="32"/>
      <c r="P2868" s="32"/>
      <c r="Q2868" s="33"/>
      <c r="R2868" s="33"/>
      <c r="S2868" s="33"/>
      <c r="T2868" s="63">
        <f t="shared" si="23"/>
        <v>0</v>
      </c>
      <c r="U2868" s="33"/>
      <c r="V2868" s="33"/>
      <c r="W2868" s="33"/>
    </row>
    <row r="2869" spans="1:23" ht="16.5" customHeight="1" x14ac:dyDescent="0.2">
      <c r="A2869" s="26"/>
      <c r="B2869" s="26"/>
      <c r="C2869" s="26"/>
      <c r="D2869" s="26"/>
      <c r="E2869" s="26"/>
      <c r="F2869" s="28"/>
      <c r="G2869" s="26"/>
      <c r="H2869" s="32"/>
      <c r="I2869" s="32"/>
      <c r="J2869" s="32"/>
      <c r="K2869" s="32"/>
      <c r="L2869" s="32" t="e">
        <f ca="1">_xludf.ifna(VLOOKUP(E2869,Parámetros!$D$2:$E$34,2,0),"")</f>
        <v>#NAME?</v>
      </c>
      <c r="M2869" s="32" t="e">
        <f ca="1">_xludf.ifna(VLOOKUP(G2869,Proyectos!$A$2:$T$674,20,0),"")</f>
        <v>#NAME?</v>
      </c>
      <c r="N2869" s="32" t="e">
        <f ca="1">_xludf.ifna(VLOOKUP(G2869,Proyectos!$A$2:$S$674,19,0))</f>
        <v>#NAME?</v>
      </c>
      <c r="O2869" s="32"/>
      <c r="P2869" s="32"/>
      <c r="Q2869" s="33"/>
      <c r="R2869" s="33"/>
      <c r="S2869" s="33"/>
      <c r="T2869" s="63">
        <f t="shared" si="23"/>
        <v>0</v>
      </c>
      <c r="U2869" s="33"/>
      <c r="V2869" s="33"/>
      <c r="W2869" s="33"/>
    </row>
    <row r="2870" spans="1:23" ht="16.5" customHeight="1" x14ac:dyDescent="0.2">
      <c r="A2870" s="26"/>
      <c r="B2870" s="26"/>
      <c r="C2870" s="26"/>
      <c r="D2870" s="26"/>
      <c r="E2870" s="26"/>
      <c r="F2870" s="28"/>
      <c r="G2870" s="26"/>
      <c r="H2870" s="32"/>
      <c r="I2870" s="32"/>
      <c r="J2870" s="32"/>
      <c r="K2870" s="32"/>
      <c r="L2870" s="32" t="e">
        <f ca="1">_xludf.ifna(VLOOKUP(E2870,Parámetros!$D$2:$E$34,2,0),"")</f>
        <v>#NAME?</v>
      </c>
      <c r="M2870" s="32" t="e">
        <f ca="1">_xludf.ifna(VLOOKUP(G2870,Proyectos!$A$2:$T$674,20,0),"")</f>
        <v>#NAME?</v>
      </c>
      <c r="N2870" s="32" t="e">
        <f ca="1">_xludf.ifna(VLOOKUP(G2870,Proyectos!$A$2:$S$674,19,0))</f>
        <v>#NAME?</v>
      </c>
      <c r="O2870" s="32"/>
      <c r="P2870" s="32"/>
      <c r="Q2870" s="33"/>
      <c r="R2870" s="33"/>
      <c r="S2870" s="33"/>
      <c r="T2870" s="63">
        <f t="shared" si="23"/>
        <v>0</v>
      </c>
      <c r="U2870" s="33"/>
      <c r="V2870" s="33"/>
      <c r="W2870" s="33"/>
    </row>
    <row r="2871" spans="1:23" ht="16.5" customHeight="1" x14ac:dyDescent="0.2">
      <c r="A2871" s="26"/>
      <c r="B2871" s="26"/>
      <c r="C2871" s="26"/>
      <c r="D2871" s="26"/>
      <c r="E2871" s="26"/>
      <c r="F2871" s="28"/>
      <c r="G2871" s="26"/>
      <c r="H2871" s="32"/>
      <c r="I2871" s="32"/>
      <c r="J2871" s="32"/>
      <c r="K2871" s="32"/>
      <c r="L2871" s="32" t="e">
        <f ca="1">_xludf.ifna(VLOOKUP(E2871,Parámetros!$D$2:$E$34,2,0),"")</f>
        <v>#NAME?</v>
      </c>
      <c r="M2871" s="32" t="e">
        <f ca="1">_xludf.ifna(VLOOKUP(G2871,Proyectos!$A$2:$T$674,20,0),"")</f>
        <v>#NAME?</v>
      </c>
      <c r="N2871" s="32" t="e">
        <f ca="1">_xludf.ifna(VLOOKUP(G2871,Proyectos!$A$2:$S$674,19,0))</f>
        <v>#NAME?</v>
      </c>
      <c r="O2871" s="32"/>
      <c r="P2871" s="32"/>
      <c r="Q2871" s="33"/>
      <c r="R2871" s="33"/>
      <c r="S2871" s="33"/>
      <c r="T2871" s="63">
        <f t="shared" si="23"/>
        <v>0</v>
      </c>
      <c r="U2871" s="33"/>
      <c r="V2871" s="33"/>
      <c r="W2871" s="33"/>
    </row>
    <row r="2872" spans="1:23" ht="16.5" customHeight="1" x14ac:dyDescent="0.2">
      <c r="A2872" s="26"/>
      <c r="B2872" s="26"/>
      <c r="C2872" s="26"/>
      <c r="D2872" s="26"/>
      <c r="E2872" s="26"/>
      <c r="F2872" s="28"/>
      <c r="G2872" s="26"/>
      <c r="H2872" s="32"/>
      <c r="I2872" s="32"/>
      <c r="J2872" s="32"/>
      <c r="K2872" s="32"/>
      <c r="L2872" s="32" t="e">
        <f ca="1">_xludf.ifna(VLOOKUP(E2872,Parámetros!$D$2:$E$34,2,0),"")</f>
        <v>#NAME?</v>
      </c>
      <c r="M2872" s="32" t="e">
        <f ca="1">_xludf.ifna(VLOOKUP(G2872,Proyectos!$A$2:$T$674,20,0),"")</f>
        <v>#NAME?</v>
      </c>
      <c r="N2872" s="32" t="e">
        <f ca="1">_xludf.ifna(VLOOKUP(G2872,Proyectos!$A$2:$S$674,19,0))</f>
        <v>#NAME?</v>
      </c>
      <c r="O2872" s="32"/>
      <c r="P2872" s="32"/>
      <c r="Q2872" s="33"/>
      <c r="R2872" s="33"/>
      <c r="S2872" s="33"/>
      <c r="T2872" s="63">
        <f t="shared" si="23"/>
        <v>0</v>
      </c>
      <c r="U2872" s="33"/>
      <c r="V2872" s="33"/>
      <c r="W2872" s="33"/>
    </row>
    <row r="2873" spans="1:23" ht="16.5" customHeight="1" x14ac:dyDescent="0.2">
      <c r="A2873" s="26"/>
      <c r="B2873" s="26"/>
      <c r="C2873" s="26"/>
      <c r="D2873" s="26"/>
      <c r="E2873" s="26"/>
      <c r="F2873" s="28"/>
      <c r="G2873" s="26"/>
      <c r="H2873" s="32"/>
      <c r="I2873" s="32"/>
      <c r="J2873" s="32"/>
      <c r="K2873" s="32"/>
      <c r="L2873" s="32" t="e">
        <f ca="1">_xludf.ifna(VLOOKUP(E2873,Parámetros!$D$2:$E$34,2,0),"")</f>
        <v>#NAME?</v>
      </c>
      <c r="M2873" s="32" t="e">
        <f ca="1">_xludf.ifna(VLOOKUP(G2873,Proyectos!$A$2:$T$674,20,0),"")</f>
        <v>#NAME?</v>
      </c>
      <c r="N2873" s="32" t="e">
        <f ca="1">_xludf.ifna(VLOOKUP(G2873,Proyectos!$A$2:$S$674,19,0))</f>
        <v>#NAME?</v>
      </c>
      <c r="O2873" s="32"/>
      <c r="P2873" s="32"/>
      <c r="Q2873" s="33"/>
      <c r="R2873" s="33"/>
      <c r="S2873" s="33"/>
      <c r="T2873" s="63">
        <f t="shared" si="23"/>
        <v>0</v>
      </c>
      <c r="U2873" s="33"/>
      <c r="V2873" s="33"/>
      <c r="W2873" s="33"/>
    </row>
    <row r="2874" spans="1:23" ht="16.5" customHeight="1" x14ac:dyDescent="0.2">
      <c r="A2874" s="26"/>
      <c r="B2874" s="26"/>
      <c r="C2874" s="26"/>
      <c r="D2874" s="26"/>
      <c r="E2874" s="26"/>
      <c r="F2874" s="28"/>
      <c r="G2874" s="26"/>
      <c r="H2874" s="32"/>
      <c r="I2874" s="32"/>
      <c r="J2874" s="32"/>
      <c r="K2874" s="32"/>
      <c r="L2874" s="32" t="e">
        <f ca="1">_xludf.ifna(VLOOKUP(E2874,Parámetros!$D$2:$E$34,2,0),"")</f>
        <v>#NAME?</v>
      </c>
      <c r="M2874" s="32" t="e">
        <f ca="1">_xludf.ifna(VLOOKUP(G2874,Proyectos!$A$2:$T$674,20,0),"")</f>
        <v>#NAME?</v>
      </c>
      <c r="N2874" s="32" t="e">
        <f ca="1">_xludf.ifna(VLOOKUP(G2874,Proyectos!$A$2:$S$674,19,0))</f>
        <v>#NAME?</v>
      </c>
      <c r="O2874" s="32"/>
      <c r="P2874" s="32"/>
      <c r="Q2874" s="33"/>
      <c r="R2874" s="33"/>
      <c r="S2874" s="33"/>
      <c r="T2874" s="63">
        <f t="shared" si="23"/>
        <v>0</v>
      </c>
      <c r="U2874" s="33"/>
      <c r="V2874" s="33"/>
      <c r="W2874" s="33"/>
    </row>
    <row r="2875" spans="1:23" ht="16.5" customHeight="1" x14ac:dyDescent="0.2">
      <c r="A2875" s="26"/>
      <c r="B2875" s="26"/>
      <c r="C2875" s="26"/>
      <c r="D2875" s="26"/>
      <c r="E2875" s="26"/>
      <c r="F2875" s="28"/>
      <c r="G2875" s="26"/>
      <c r="H2875" s="32"/>
      <c r="I2875" s="32"/>
      <c r="J2875" s="32"/>
      <c r="K2875" s="32"/>
      <c r="L2875" s="32" t="e">
        <f ca="1">_xludf.ifna(VLOOKUP(E2875,Parámetros!$D$2:$E$34,2,0),"")</f>
        <v>#NAME?</v>
      </c>
      <c r="M2875" s="32" t="e">
        <f ca="1">_xludf.ifna(VLOOKUP(G2875,Proyectos!$A$2:$T$674,20,0),"")</f>
        <v>#NAME?</v>
      </c>
      <c r="N2875" s="32" t="e">
        <f ca="1">_xludf.ifna(VLOOKUP(G2875,Proyectos!$A$2:$S$674,19,0))</f>
        <v>#NAME?</v>
      </c>
      <c r="O2875" s="32"/>
      <c r="P2875" s="32"/>
      <c r="Q2875" s="33"/>
      <c r="R2875" s="33"/>
      <c r="S2875" s="33"/>
      <c r="T2875" s="63">
        <f t="shared" si="23"/>
        <v>0</v>
      </c>
      <c r="U2875" s="33"/>
      <c r="V2875" s="33"/>
      <c r="W2875" s="33"/>
    </row>
    <row r="2876" spans="1:23" ht="16.5" customHeight="1" x14ac:dyDescent="0.2">
      <c r="A2876" s="26"/>
      <c r="B2876" s="26"/>
      <c r="C2876" s="26"/>
      <c r="D2876" s="26"/>
      <c r="E2876" s="26"/>
      <c r="F2876" s="28"/>
      <c r="G2876" s="26"/>
      <c r="H2876" s="32"/>
      <c r="I2876" s="32"/>
      <c r="J2876" s="32"/>
      <c r="K2876" s="32"/>
      <c r="L2876" s="32" t="e">
        <f ca="1">_xludf.ifna(VLOOKUP(E2876,Parámetros!$D$2:$E$34,2,0),"")</f>
        <v>#NAME?</v>
      </c>
      <c r="M2876" s="32" t="e">
        <f ca="1">_xludf.ifna(VLOOKUP(G2876,Proyectos!$A$2:$T$674,20,0),"")</f>
        <v>#NAME?</v>
      </c>
      <c r="N2876" s="32" t="e">
        <f ca="1">_xludf.ifna(VLOOKUP(G2876,Proyectos!$A$2:$S$674,19,0))</f>
        <v>#NAME?</v>
      </c>
      <c r="O2876" s="32"/>
      <c r="P2876" s="32"/>
      <c r="Q2876" s="33"/>
      <c r="R2876" s="33"/>
      <c r="S2876" s="33"/>
      <c r="T2876" s="63">
        <f t="shared" si="23"/>
        <v>0</v>
      </c>
      <c r="U2876" s="33"/>
      <c r="V2876" s="33"/>
      <c r="W2876" s="33"/>
    </row>
    <row r="2877" spans="1:23" ht="16.5" customHeight="1" x14ac:dyDescent="0.2">
      <c r="A2877" s="26"/>
      <c r="B2877" s="26"/>
      <c r="C2877" s="26"/>
      <c r="D2877" s="26"/>
      <c r="E2877" s="26"/>
      <c r="F2877" s="28"/>
      <c r="G2877" s="26"/>
      <c r="H2877" s="32"/>
      <c r="I2877" s="32"/>
      <c r="J2877" s="32"/>
      <c r="K2877" s="32"/>
      <c r="L2877" s="32" t="e">
        <f ca="1">_xludf.ifna(VLOOKUP(E2877,Parámetros!$D$2:$E$34,2,0),"")</f>
        <v>#NAME?</v>
      </c>
      <c r="M2877" s="32" t="e">
        <f ca="1">_xludf.ifna(VLOOKUP(G2877,Proyectos!$A$2:$T$674,20,0),"")</f>
        <v>#NAME?</v>
      </c>
      <c r="N2877" s="32" t="e">
        <f ca="1">_xludf.ifna(VLOOKUP(G2877,Proyectos!$A$2:$S$674,19,0))</f>
        <v>#NAME?</v>
      </c>
      <c r="O2877" s="32"/>
      <c r="P2877" s="32"/>
      <c r="Q2877" s="33"/>
      <c r="R2877" s="33"/>
      <c r="S2877" s="33"/>
      <c r="T2877" s="63">
        <f t="shared" si="23"/>
        <v>0</v>
      </c>
      <c r="U2877" s="33"/>
      <c r="V2877" s="33"/>
      <c r="W2877" s="33"/>
    </row>
    <row r="2878" spans="1:23" ht="16.5" customHeight="1" x14ac:dyDescent="0.2">
      <c r="A2878" s="26"/>
      <c r="B2878" s="26"/>
      <c r="C2878" s="26"/>
      <c r="D2878" s="26"/>
      <c r="E2878" s="26"/>
      <c r="F2878" s="28"/>
      <c r="G2878" s="26"/>
      <c r="H2878" s="32"/>
      <c r="I2878" s="32"/>
      <c r="J2878" s="32"/>
      <c r="K2878" s="32"/>
      <c r="L2878" s="32" t="e">
        <f ca="1">_xludf.ifna(VLOOKUP(E2878,Parámetros!$D$2:$E$34,2,0),"")</f>
        <v>#NAME?</v>
      </c>
      <c r="M2878" s="32" t="e">
        <f ca="1">_xludf.ifna(VLOOKUP(G2878,Proyectos!$A$2:$T$674,20,0),"")</f>
        <v>#NAME?</v>
      </c>
      <c r="N2878" s="32" t="e">
        <f ca="1">_xludf.ifna(VLOOKUP(G2878,Proyectos!$A$2:$S$674,19,0))</f>
        <v>#NAME?</v>
      </c>
      <c r="O2878" s="32"/>
      <c r="P2878" s="32"/>
      <c r="Q2878" s="33"/>
      <c r="R2878" s="33"/>
      <c r="S2878" s="33"/>
      <c r="T2878" s="63">
        <f t="shared" si="23"/>
        <v>0</v>
      </c>
      <c r="U2878" s="33"/>
      <c r="V2878" s="33"/>
      <c r="W2878" s="33"/>
    </row>
    <row r="2879" spans="1:23" ht="16.5" customHeight="1" x14ac:dyDescent="0.2">
      <c r="A2879" s="26"/>
      <c r="B2879" s="26"/>
      <c r="C2879" s="26"/>
      <c r="D2879" s="26"/>
      <c r="E2879" s="26"/>
      <c r="F2879" s="28"/>
      <c r="G2879" s="26"/>
      <c r="H2879" s="32"/>
      <c r="I2879" s="32"/>
      <c r="J2879" s="32"/>
      <c r="K2879" s="32"/>
      <c r="L2879" s="32" t="e">
        <f ca="1">_xludf.ifna(VLOOKUP(E2879,Parámetros!$D$2:$E$34,2,0),"")</f>
        <v>#NAME?</v>
      </c>
      <c r="M2879" s="32" t="e">
        <f ca="1">_xludf.ifna(VLOOKUP(G2879,Proyectos!$A$2:$T$674,20,0),"")</f>
        <v>#NAME?</v>
      </c>
      <c r="N2879" s="32" t="e">
        <f ca="1">_xludf.ifna(VLOOKUP(G2879,Proyectos!$A$2:$S$674,19,0))</f>
        <v>#NAME?</v>
      </c>
      <c r="O2879" s="32"/>
      <c r="P2879" s="32"/>
      <c r="Q2879" s="33"/>
      <c r="R2879" s="33"/>
      <c r="S2879" s="33"/>
      <c r="T2879" s="63">
        <f t="shared" si="23"/>
        <v>0</v>
      </c>
      <c r="U2879" s="33"/>
      <c r="V2879" s="33"/>
      <c r="W2879" s="33"/>
    </row>
    <row r="2880" spans="1:23" ht="16.5" customHeight="1" x14ac:dyDescent="0.2">
      <c r="A2880" s="26"/>
      <c r="B2880" s="26"/>
      <c r="C2880" s="26"/>
      <c r="D2880" s="26"/>
      <c r="E2880" s="26"/>
      <c r="F2880" s="28"/>
      <c r="G2880" s="26"/>
      <c r="H2880" s="32"/>
      <c r="I2880" s="32"/>
      <c r="J2880" s="32"/>
      <c r="K2880" s="32"/>
      <c r="L2880" s="32" t="e">
        <f ca="1">_xludf.ifna(VLOOKUP(E2880,Parámetros!$D$2:$E$34,2,0),"")</f>
        <v>#NAME?</v>
      </c>
      <c r="M2880" s="32" t="e">
        <f ca="1">_xludf.ifna(VLOOKUP(G2880,Proyectos!$A$2:$T$674,20,0),"")</f>
        <v>#NAME?</v>
      </c>
      <c r="N2880" s="32" t="e">
        <f ca="1">_xludf.ifna(VLOOKUP(G2880,Proyectos!$A$2:$S$674,19,0))</f>
        <v>#NAME?</v>
      </c>
      <c r="O2880" s="32"/>
      <c r="P2880" s="32"/>
      <c r="Q2880" s="33"/>
      <c r="R2880" s="33"/>
      <c r="S2880" s="33"/>
      <c r="T2880" s="63">
        <f t="shared" si="23"/>
        <v>0</v>
      </c>
      <c r="U2880" s="33"/>
      <c r="V2880" s="33"/>
      <c r="W2880" s="33"/>
    </row>
    <row r="2881" spans="1:23" ht="16.5" customHeight="1" x14ac:dyDescent="0.2">
      <c r="A2881" s="26"/>
      <c r="B2881" s="26"/>
      <c r="C2881" s="26"/>
      <c r="D2881" s="26"/>
      <c r="E2881" s="26"/>
      <c r="F2881" s="28"/>
      <c r="G2881" s="26"/>
      <c r="H2881" s="32"/>
      <c r="I2881" s="32"/>
      <c r="J2881" s="32"/>
      <c r="K2881" s="32"/>
      <c r="L2881" s="32" t="e">
        <f ca="1">_xludf.ifna(VLOOKUP(E2881,Parámetros!$D$2:$E$34,2,0),"")</f>
        <v>#NAME?</v>
      </c>
      <c r="M2881" s="32" t="e">
        <f ca="1">_xludf.ifna(VLOOKUP(G2881,Proyectos!$A$2:$T$674,20,0),"")</f>
        <v>#NAME?</v>
      </c>
      <c r="N2881" s="32" t="e">
        <f ca="1">_xludf.ifna(VLOOKUP(G2881,Proyectos!$A$2:$S$674,19,0))</f>
        <v>#NAME?</v>
      </c>
      <c r="O2881" s="32"/>
      <c r="P2881" s="32"/>
      <c r="Q2881" s="33"/>
      <c r="R2881" s="33"/>
      <c r="S2881" s="33"/>
      <c r="T2881" s="63">
        <f t="shared" si="23"/>
        <v>0</v>
      </c>
      <c r="U2881" s="33"/>
      <c r="V2881" s="33"/>
      <c r="W2881" s="33"/>
    </row>
    <row r="2882" spans="1:23" ht="16.5" customHeight="1" x14ac:dyDescent="0.2">
      <c r="A2882" s="26"/>
      <c r="B2882" s="26"/>
      <c r="C2882" s="26"/>
      <c r="D2882" s="26"/>
      <c r="E2882" s="26"/>
      <c r="F2882" s="28"/>
      <c r="G2882" s="26"/>
      <c r="H2882" s="32"/>
      <c r="I2882" s="32"/>
      <c r="J2882" s="32"/>
      <c r="K2882" s="32"/>
      <c r="L2882" s="32" t="e">
        <f ca="1">_xludf.ifna(VLOOKUP(E2882,Parámetros!$D$2:$E$34,2,0),"")</f>
        <v>#NAME?</v>
      </c>
      <c r="M2882" s="32" t="e">
        <f ca="1">_xludf.ifna(VLOOKUP(G2882,Proyectos!$A$2:$T$674,20,0),"")</f>
        <v>#NAME?</v>
      </c>
      <c r="N2882" s="32" t="e">
        <f ca="1">_xludf.ifna(VLOOKUP(G2882,Proyectos!$A$2:$S$674,19,0))</f>
        <v>#NAME?</v>
      </c>
      <c r="O2882" s="32"/>
      <c r="P2882" s="32"/>
      <c r="Q2882" s="33"/>
      <c r="R2882" s="33"/>
      <c r="S2882" s="33"/>
      <c r="T2882" s="63">
        <f t="shared" si="23"/>
        <v>0</v>
      </c>
      <c r="U2882" s="33"/>
      <c r="V2882" s="33"/>
      <c r="W2882" s="33"/>
    </row>
    <row r="2883" spans="1:23" ht="16.5" customHeight="1" x14ac:dyDescent="0.2">
      <c r="A2883" s="26"/>
      <c r="B2883" s="26"/>
      <c r="C2883" s="26"/>
      <c r="D2883" s="26"/>
      <c r="E2883" s="26"/>
      <c r="F2883" s="28"/>
      <c r="G2883" s="26"/>
      <c r="H2883" s="32"/>
      <c r="I2883" s="32"/>
      <c r="J2883" s="32"/>
      <c r="K2883" s="32"/>
      <c r="L2883" s="32" t="e">
        <f ca="1">_xludf.ifna(VLOOKUP(E2883,Parámetros!$D$2:$E$34,2,0),"")</f>
        <v>#NAME?</v>
      </c>
      <c r="M2883" s="32" t="e">
        <f ca="1">_xludf.ifna(VLOOKUP(G2883,Proyectos!$A$2:$T$674,20,0),"")</f>
        <v>#NAME?</v>
      </c>
      <c r="N2883" s="32" t="e">
        <f ca="1">_xludf.ifna(VLOOKUP(G2883,Proyectos!$A$2:$S$674,19,0))</f>
        <v>#NAME?</v>
      </c>
      <c r="O2883" s="32"/>
      <c r="P2883" s="32"/>
      <c r="Q2883" s="33"/>
      <c r="R2883" s="33"/>
      <c r="S2883" s="33"/>
      <c r="T2883" s="63">
        <f t="shared" si="23"/>
        <v>0</v>
      </c>
      <c r="U2883" s="33"/>
      <c r="V2883" s="33"/>
      <c r="W2883" s="33"/>
    </row>
    <row r="2884" spans="1:23" ht="16.5" customHeight="1" x14ac:dyDescent="0.2">
      <c r="A2884" s="26"/>
      <c r="B2884" s="26"/>
      <c r="C2884" s="26"/>
      <c r="D2884" s="26"/>
      <c r="E2884" s="26"/>
      <c r="F2884" s="28"/>
      <c r="G2884" s="26"/>
      <c r="H2884" s="32"/>
      <c r="I2884" s="32"/>
      <c r="J2884" s="32"/>
      <c r="K2884" s="32"/>
      <c r="L2884" s="32" t="e">
        <f ca="1">_xludf.ifna(VLOOKUP(E2884,Parámetros!$D$2:$E$34,2,0),"")</f>
        <v>#NAME?</v>
      </c>
      <c r="M2884" s="32" t="e">
        <f ca="1">_xludf.ifna(VLOOKUP(G2884,Proyectos!$A$2:$T$674,20,0),"")</f>
        <v>#NAME?</v>
      </c>
      <c r="N2884" s="32" t="e">
        <f ca="1">_xludf.ifna(VLOOKUP(G2884,Proyectos!$A$2:$S$674,19,0))</f>
        <v>#NAME?</v>
      </c>
      <c r="O2884" s="32"/>
      <c r="P2884" s="32"/>
      <c r="Q2884" s="33"/>
      <c r="R2884" s="33"/>
      <c r="S2884" s="33"/>
      <c r="T2884" s="63">
        <f t="shared" si="23"/>
        <v>0</v>
      </c>
      <c r="U2884" s="33"/>
      <c r="V2884" s="33"/>
      <c r="W2884" s="33"/>
    </row>
    <row r="2885" spans="1:23" ht="16.5" customHeight="1" x14ac:dyDescent="0.2">
      <c r="A2885" s="26"/>
      <c r="B2885" s="26"/>
      <c r="C2885" s="26"/>
      <c r="D2885" s="26"/>
      <c r="E2885" s="26"/>
      <c r="F2885" s="28"/>
      <c r="G2885" s="26"/>
      <c r="H2885" s="32"/>
      <c r="I2885" s="32"/>
      <c r="J2885" s="32"/>
      <c r="K2885" s="32"/>
      <c r="L2885" s="32" t="e">
        <f ca="1">_xludf.ifna(VLOOKUP(E2885,Parámetros!$D$2:$E$34,2,0),"")</f>
        <v>#NAME?</v>
      </c>
      <c r="M2885" s="32" t="e">
        <f ca="1">_xludf.ifna(VLOOKUP(G2885,Proyectos!$A$2:$T$674,20,0),"")</f>
        <v>#NAME?</v>
      </c>
      <c r="N2885" s="32" t="e">
        <f ca="1">_xludf.ifna(VLOOKUP(G2885,Proyectos!$A$2:$S$674,19,0))</f>
        <v>#NAME?</v>
      </c>
      <c r="O2885" s="32"/>
      <c r="P2885" s="32"/>
      <c r="Q2885" s="33"/>
      <c r="R2885" s="33"/>
      <c r="S2885" s="33"/>
      <c r="T2885" s="63">
        <f t="shared" si="23"/>
        <v>0</v>
      </c>
      <c r="U2885" s="33"/>
      <c r="V2885" s="33"/>
      <c r="W2885" s="33"/>
    </row>
    <row r="2886" spans="1:23" ht="16.5" customHeight="1" x14ac:dyDescent="0.2">
      <c r="A2886" s="26"/>
      <c r="B2886" s="26"/>
      <c r="C2886" s="26"/>
      <c r="D2886" s="26"/>
      <c r="E2886" s="26"/>
      <c r="F2886" s="28"/>
      <c r="G2886" s="26"/>
      <c r="H2886" s="32"/>
      <c r="I2886" s="32"/>
      <c r="J2886" s="32"/>
      <c r="K2886" s="32"/>
      <c r="L2886" s="32" t="e">
        <f ca="1">_xludf.ifna(VLOOKUP(E2886,Parámetros!$D$2:$E$34,2,0),"")</f>
        <v>#NAME?</v>
      </c>
      <c r="M2886" s="32" t="e">
        <f ca="1">_xludf.ifna(VLOOKUP(G2886,Proyectos!$A$2:$T$674,20,0),"")</f>
        <v>#NAME?</v>
      </c>
      <c r="N2886" s="32" t="e">
        <f ca="1">_xludf.ifna(VLOOKUP(G2886,Proyectos!$A$2:$S$674,19,0))</f>
        <v>#NAME?</v>
      </c>
      <c r="O2886" s="32"/>
      <c r="P2886" s="32"/>
      <c r="Q2886" s="33"/>
      <c r="R2886" s="33"/>
      <c r="S2886" s="33"/>
      <c r="T2886" s="63">
        <f t="shared" si="23"/>
        <v>0</v>
      </c>
      <c r="U2886" s="33"/>
      <c r="V2886" s="33"/>
      <c r="W2886" s="33"/>
    </row>
    <row r="2887" spans="1:23" ht="16.5" customHeight="1" x14ac:dyDescent="0.2">
      <c r="A2887" s="26"/>
      <c r="B2887" s="26"/>
      <c r="C2887" s="26"/>
      <c r="D2887" s="26"/>
      <c r="E2887" s="26"/>
      <c r="F2887" s="28"/>
      <c r="G2887" s="26"/>
      <c r="H2887" s="32"/>
      <c r="I2887" s="32"/>
      <c r="J2887" s="32"/>
      <c r="K2887" s="32"/>
      <c r="L2887" s="32" t="e">
        <f ca="1">_xludf.ifna(VLOOKUP(E2887,Parámetros!$D$2:$E$34,2,0),"")</f>
        <v>#NAME?</v>
      </c>
      <c r="M2887" s="32" t="e">
        <f ca="1">_xludf.ifna(VLOOKUP(G2887,Proyectos!$A$2:$T$674,20,0),"")</f>
        <v>#NAME?</v>
      </c>
      <c r="N2887" s="32" t="e">
        <f ca="1">_xludf.ifna(VLOOKUP(G2887,Proyectos!$A$2:$S$674,19,0))</f>
        <v>#NAME?</v>
      </c>
      <c r="O2887" s="32"/>
      <c r="P2887" s="32"/>
      <c r="Q2887" s="33"/>
      <c r="R2887" s="33"/>
      <c r="S2887" s="33"/>
      <c r="T2887" s="63">
        <f t="shared" si="23"/>
        <v>0</v>
      </c>
      <c r="U2887" s="33"/>
      <c r="V2887" s="33"/>
      <c r="W2887" s="33"/>
    </row>
    <row r="2888" spans="1:23" ht="16.5" customHeight="1" x14ac:dyDescent="0.2">
      <c r="A2888" s="26"/>
      <c r="B2888" s="26"/>
      <c r="C2888" s="26"/>
      <c r="D2888" s="26"/>
      <c r="E2888" s="26"/>
      <c r="F2888" s="28"/>
      <c r="G2888" s="26"/>
      <c r="H2888" s="32"/>
      <c r="I2888" s="32"/>
      <c r="J2888" s="32"/>
      <c r="K2888" s="32"/>
      <c r="L2888" s="32" t="e">
        <f ca="1">_xludf.ifna(VLOOKUP(E2888,Parámetros!$D$2:$E$34,2,0),"")</f>
        <v>#NAME?</v>
      </c>
      <c r="M2888" s="32" t="e">
        <f ca="1">_xludf.ifna(VLOOKUP(G2888,Proyectos!$A$2:$T$674,20,0),"")</f>
        <v>#NAME?</v>
      </c>
      <c r="N2888" s="32" t="e">
        <f ca="1">_xludf.ifna(VLOOKUP(G2888,Proyectos!$A$2:$S$674,19,0))</f>
        <v>#NAME?</v>
      </c>
      <c r="O2888" s="32"/>
      <c r="P2888" s="32"/>
      <c r="Q2888" s="33"/>
      <c r="R2888" s="33"/>
      <c r="S2888" s="33"/>
      <c r="T2888" s="63">
        <f t="shared" si="23"/>
        <v>0</v>
      </c>
      <c r="U2888" s="33"/>
      <c r="V2888" s="33"/>
      <c r="W2888" s="33"/>
    </row>
    <row r="2889" spans="1:23" ht="16.5" customHeight="1" x14ac:dyDescent="0.2">
      <c r="A2889" s="26"/>
      <c r="B2889" s="26"/>
      <c r="C2889" s="26"/>
      <c r="D2889" s="26"/>
      <c r="E2889" s="26"/>
      <c r="F2889" s="28"/>
      <c r="G2889" s="26"/>
      <c r="H2889" s="32"/>
      <c r="I2889" s="32"/>
      <c r="J2889" s="32"/>
      <c r="K2889" s="32"/>
      <c r="L2889" s="32" t="e">
        <f ca="1">_xludf.ifna(VLOOKUP(E2889,Parámetros!$D$2:$E$34,2,0),"")</f>
        <v>#NAME?</v>
      </c>
      <c r="M2889" s="32" t="e">
        <f ca="1">_xludf.ifna(VLOOKUP(G2889,Proyectos!$A$2:$T$674,20,0),"")</f>
        <v>#NAME?</v>
      </c>
      <c r="N2889" s="32" t="e">
        <f ca="1">_xludf.ifna(VLOOKUP(G2889,Proyectos!$A$2:$S$674,19,0))</f>
        <v>#NAME?</v>
      </c>
      <c r="O2889" s="32"/>
      <c r="P2889" s="32"/>
      <c r="Q2889" s="33"/>
      <c r="R2889" s="33"/>
      <c r="S2889" s="33"/>
      <c r="T2889" s="63">
        <f t="shared" si="23"/>
        <v>0</v>
      </c>
      <c r="U2889" s="33"/>
      <c r="V2889" s="33"/>
      <c r="W2889" s="33"/>
    </row>
    <row r="2890" spans="1:23" ht="16.5" customHeight="1" x14ac:dyDescent="0.2">
      <c r="A2890" s="26"/>
      <c r="B2890" s="26"/>
      <c r="C2890" s="26"/>
      <c r="D2890" s="26"/>
      <c r="E2890" s="26"/>
      <c r="F2890" s="28"/>
      <c r="G2890" s="26"/>
      <c r="H2890" s="32"/>
      <c r="I2890" s="32"/>
      <c r="J2890" s="32"/>
      <c r="K2890" s="32"/>
      <c r="L2890" s="32" t="e">
        <f ca="1">_xludf.ifna(VLOOKUP(E2890,Parámetros!$D$2:$E$34,2,0),"")</f>
        <v>#NAME?</v>
      </c>
      <c r="M2890" s="32" t="e">
        <f ca="1">_xludf.ifna(VLOOKUP(G2890,Proyectos!$A$2:$T$674,20,0),"")</f>
        <v>#NAME?</v>
      </c>
      <c r="N2890" s="32" t="e">
        <f ca="1">_xludf.ifna(VLOOKUP(G2890,Proyectos!$A$2:$S$674,19,0))</f>
        <v>#NAME?</v>
      </c>
      <c r="O2890" s="32"/>
      <c r="P2890" s="32"/>
      <c r="Q2890" s="33"/>
      <c r="R2890" s="33"/>
      <c r="S2890" s="33"/>
      <c r="T2890" s="63">
        <f t="shared" si="23"/>
        <v>0</v>
      </c>
      <c r="U2890" s="33"/>
      <c r="V2890" s="33"/>
      <c r="W2890" s="33"/>
    </row>
    <row r="2891" spans="1:23" ht="16.5" customHeight="1" x14ac:dyDescent="0.2">
      <c r="A2891" s="26"/>
      <c r="B2891" s="26"/>
      <c r="C2891" s="26"/>
      <c r="D2891" s="26"/>
      <c r="E2891" s="26"/>
      <c r="F2891" s="28"/>
      <c r="G2891" s="26"/>
      <c r="H2891" s="32"/>
      <c r="I2891" s="32"/>
      <c r="J2891" s="32"/>
      <c r="K2891" s="32"/>
      <c r="L2891" s="32" t="e">
        <f ca="1">_xludf.ifna(VLOOKUP(E2891,Parámetros!$D$2:$E$34,2,0),"")</f>
        <v>#NAME?</v>
      </c>
      <c r="M2891" s="32" t="e">
        <f ca="1">_xludf.ifna(VLOOKUP(G2891,Proyectos!$A$2:$T$674,20,0),"")</f>
        <v>#NAME?</v>
      </c>
      <c r="N2891" s="32" t="e">
        <f ca="1">_xludf.ifna(VLOOKUP(G2891,Proyectos!$A$2:$S$674,19,0))</f>
        <v>#NAME?</v>
      </c>
      <c r="O2891" s="32"/>
      <c r="P2891" s="32"/>
      <c r="Q2891" s="33"/>
      <c r="R2891" s="33"/>
      <c r="S2891" s="33"/>
      <c r="T2891" s="63">
        <f t="shared" si="23"/>
        <v>0</v>
      </c>
      <c r="U2891" s="33"/>
      <c r="V2891" s="33"/>
      <c r="W2891" s="33"/>
    </row>
    <row r="2892" spans="1:23" ht="16.5" customHeight="1" x14ac:dyDescent="0.2">
      <c r="A2892" s="26"/>
      <c r="B2892" s="26"/>
      <c r="C2892" s="26"/>
      <c r="D2892" s="26"/>
      <c r="E2892" s="26"/>
      <c r="F2892" s="28"/>
      <c r="G2892" s="26"/>
      <c r="H2892" s="32"/>
      <c r="I2892" s="32"/>
      <c r="J2892" s="32"/>
      <c r="K2892" s="32"/>
      <c r="L2892" s="32" t="e">
        <f ca="1">_xludf.ifna(VLOOKUP(E2892,Parámetros!$D$2:$E$34,2,0),"")</f>
        <v>#NAME?</v>
      </c>
      <c r="M2892" s="32" t="e">
        <f ca="1">_xludf.ifna(VLOOKUP(G2892,Proyectos!$A$2:$T$674,20,0),"")</f>
        <v>#NAME?</v>
      </c>
      <c r="N2892" s="32" t="e">
        <f ca="1">_xludf.ifna(VLOOKUP(G2892,Proyectos!$A$2:$S$674,19,0))</f>
        <v>#NAME?</v>
      </c>
      <c r="O2892" s="32"/>
      <c r="P2892" s="32"/>
      <c r="Q2892" s="33"/>
      <c r="R2892" s="33"/>
      <c r="S2892" s="33"/>
      <c r="T2892" s="63">
        <f t="shared" si="23"/>
        <v>0</v>
      </c>
      <c r="U2892" s="33"/>
      <c r="V2892" s="33"/>
      <c r="W2892" s="33"/>
    </row>
    <row r="2893" spans="1:23" ht="16.5" customHeight="1" x14ac:dyDescent="0.2">
      <c r="A2893" s="26"/>
      <c r="B2893" s="26"/>
      <c r="C2893" s="26"/>
      <c r="D2893" s="26"/>
      <c r="E2893" s="26"/>
      <c r="F2893" s="28"/>
      <c r="G2893" s="26"/>
      <c r="H2893" s="32"/>
      <c r="I2893" s="32"/>
      <c r="J2893" s="32"/>
      <c r="K2893" s="32"/>
      <c r="L2893" s="32" t="e">
        <f ca="1">_xludf.ifna(VLOOKUP(E2893,Parámetros!$D$2:$E$34,2,0),"")</f>
        <v>#NAME?</v>
      </c>
      <c r="M2893" s="32" t="e">
        <f ca="1">_xludf.ifna(VLOOKUP(G2893,Proyectos!$A$2:$T$674,20,0),"")</f>
        <v>#NAME?</v>
      </c>
      <c r="N2893" s="32" t="e">
        <f ca="1">_xludf.ifna(VLOOKUP(G2893,Proyectos!$A$2:$S$674,19,0))</f>
        <v>#NAME?</v>
      </c>
      <c r="O2893" s="32"/>
      <c r="P2893" s="32"/>
      <c r="Q2893" s="33"/>
      <c r="R2893" s="33"/>
      <c r="S2893" s="33"/>
      <c r="T2893" s="63">
        <f t="shared" si="23"/>
        <v>0</v>
      </c>
      <c r="U2893" s="33"/>
      <c r="V2893" s="33"/>
      <c r="W2893" s="33"/>
    </row>
    <row r="2894" spans="1:23" ht="16.5" customHeight="1" x14ac:dyDescent="0.2">
      <c r="A2894" s="26"/>
      <c r="B2894" s="26"/>
      <c r="C2894" s="26"/>
      <c r="D2894" s="26"/>
      <c r="E2894" s="26"/>
      <c r="F2894" s="28"/>
      <c r="G2894" s="26"/>
      <c r="H2894" s="32"/>
      <c r="I2894" s="32"/>
      <c r="J2894" s="32"/>
      <c r="K2894" s="32"/>
      <c r="L2894" s="32" t="e">
        <f ca="1">_xludf.ifna(VLOOKUP(E2894,Parámetros!$D$2:$E$34,2,0),"")</f>
        <v>#NAME?</v>
      </c>
      <c r="M2894" s="32" t="e">
        <f ca="1">_xludf.ifna(VLOOKUP(G2894,Proyectos!$A$2:$T$674,20,0),"")</f>
        <v>#NAME?</v>
      </c>
      <c r="N2894" s="32" t="e">
        <f ca="1">_xludf.ifna(VLOOKUP(G2894,Proyectos!$A$2:$S$674,19,0))</f>
        <v>#NAME?</v>
      </c>
      <c r="O2894" s="32"/>
      <c r="P2894" s="32"/>
      <c r="Q2894" s="33"/>
      <c r="R2894" s="33"/>
      <c r="S2894" s="33"/>
      <c r="T2894" s="63">
        <f t="shared" si="23"/>
        <v>0</v>
      </c>
      <c r="U2894" s="33"/>
      <c r="V2894" s="33"/>
      <c r="W2894" s="33"/>
    </row>
    <row r="2895" spans="1:23" ht="16.5" customHeight="1" x14ac:dyDescent="0.2">
      <c r="A2895" s="26"/>
      <c r="B2895" s="26"/>
      <c r="C2895" s="26"/>
      <c r="D2895" s="26"/>
      <c r="E2895" s="26"/>
      <c r="F2895" s="28"/>
      <c r="G2895" s="26"/>
      <c r="H2895" s="32"/>
      <c r="I2895" s="32"/>
      <c r="J2895" s="32"/>
      <c r="K2895" s="32"/>
      <c r="L2895" s="32" t="e">
        <f ca="1">_xludf.ifna(VLOOKUP(E2895,Parámetros!$D$2:$E$34,2,0),"")</f>
        <v>#NAME?</v>
      </c>
      <c r="M2895" s="32" t="e">
        <f ca="1">_xludf.ifna(VLOOKUP(G2895,Proyectos!$A$2:$T$674,20,0),"")</f>
        <v>#NAME?</v>
      </c>
      <c r="N2895" s="32" t="e">
        <f ca="1">_xludf.ifna(VLOOKUP(G2895,Proyectos!$A$2:$S$674,19,0))</f>
        <v>#NAME?</v>
      </c>
      <c r="O2895" s="32"/>
      <c r="P2895" s="32"/>
      <c r="Q2895" s="33"/>
      <c r="R2895" s="33"/>
      <c r="S2895" s="33"/>
      <c r="T2895" s="63">
        <f t="shared" si="23"/>
        <v>0</v>
      </c>
      <c r="U2895" s="33"/>
      <c r="V2895" s="33"/>
      <c r="W2895" s="33"/>
    </row>
    <row r="2896" spans="1:23" ht="16.5" customHeight="1" x14ac:dyDescent="0.2">
      <c r="A2896" s="26"/>
      <c r="B2896" s="26"/>
      <c r="C2896" s="26"/>
      <c r="D2896" s="26"/>
      <c r="E2896" s="26"/>
      <c r="F2896" s="28"/>
      <c r="G2896" s="26"/>
      <c r="H2896" s="32"/>
      <c r="I2896" s="32"/>
      <c r="J2896" s="32"/>
      <c r="K2896" s="32"/>
      <c r="L2896" s="32" t="e">
        <f ca="1">_xludf.ifna(VLOOKUP(E2896,Parámetros!$D$2:$E$34,2,0),"")</f>
        <v>#NAME?</v>
      </c>
      <c r="M2896" s="32" t="e">
        <f ca="1">_xludf.ifna(VLOOKUP(G2896,Proyectos!$A$2:$T$674,20,0),"")</f>
        <v>#NAME?</v>
      </c>
      <c r="N2896" s="32" t="e">
        <f ca="1">_xludf.ifna(VLOOKUP(G2896,Proyectos!$A$2:$S$674,19,0))</f>
        <v>#NAME?</v>
      </c>
      <c r="O2896" s="32"/>
      <c r="P2896" s="32"/>
      <c r="Q2896" s="33"/>
      <c r="R2896" s="33"/>
      <c r="S2896" s="33"/>
      <c r="T2896" s="63">
        <f t="shared" si="23"/>
        <v>0</v>
      </c>
      <c r="U2896" s="33"/>
      <c r="V2896" s="33"/>
      <c r="W2896" s="33"/>
    </row>
    <row r="2897" spans="1:23" ht="16.5" customHeight="1" x14ac:dyDescent="0.2">
      <c r="A2897" s="26"/>
      <c r="B2897" s="26"/>
      <c r="C2897" s="26"/>
      <c r="D2897" s="26"/>
      <c r="E2897" s="26"/>
      <c r="F2897" s="28"/>
      <c r="G2897" s="26"/>
      <c r="H2897" s="32"/>
      <c r="I2897" s="32"/>
      <c r="J2897" s="32"/>
      <c r="K2897" s="32"/>
      <c r="L2897" s="32" t="e">
        <f ca="1">_xludf.ifna(VLOOKUP(E2897,Parámetros!$D$2:$E$34,2,0),"")</f>
        <v>#NAME?</v>
      </c>
      <c r="M2897" s="32" t="e">
        <f ca="1">_xludf.ifna(VLOOKUP(G2897,Proyectos!$A$2:$T$674,20,0),"")</f>
        <v>#NAME?</v>
      </c>
      <c r="N2897" s="32" t="e">
        <f ca="1">_xludf.ifna(VLOOKUP(G2897,Proyectos!$A$2:$S$674,19,0))</f>
        <v>#NAME?</v>
      </c>
      <c r="O2897" s="32"/>
      <c r="P2897" s="32"/>
      <c r="Q2897" s="33"/>
      <c r="R2897" s="33"/>
      <c r="S2897" s="33"/>
      <c r="T2897" s="63">
        <f t="shared" si="23"/>
        <v>0</v>
      </c>
      <c r="U2897" s="33"/>
      <c r="V2897" s="33"/>
      <c r="W2897" s="33"/>
    </row>
    <row r="2898" spans="1:23" ht="16.5" customHeight="1" x14ac:dyDescent="0.2">
      <c r="A2898" s="26"/>
      <c r="B2898" s="26"/>
      <c r="C2898" s="26"/>
      <c r="D2898" s="26"/>
      <c r="E2898" s="26"/>
      <c r="F2898" s="28"/>
      <c r="G2898" s="26"/>
      <c r="H2898" s="32"/>
      <c r="I2898" s="32"/>
      <c r="J2898" s="32"/>
      <c r="K2898" s="32"/>
      <c r="L2898" s="32" t="e">
        <f ca="1">_xludf.ifna(VLOOKUP(E2898,Parámetros!$D$2:$E$34,2,0),"")</f>
        <v>#NAME?</v>
      </c>
      <c r="M2898" s="32" t="e">
        <f ca="1">_xludf.ifna(VLOOKUP(G2898,Proyectos!$A$2:$T$674,20,0),"")</f>
        <v>#NAME?</v>
      </c>
      <c r="N2898" s="32" t="e">
        <f ca="1">_xludf.ifna(VLOOKUP(G2898,Proyectos!$A$2:$S$674,19,0))</f>
        <v>#NAME?</v>
      </c>
      <c r="O2898" s="32"/>
      <c r="P2898" s="32"/>
      <c r="Q2898" s="33"/>
      <c r="R2898" s="33"/>
      <c r="S2898" s="33"/>
      <c r="T2898" s="63">
        <f t="shared" si="23"/>
        <v>0</v>
      </c>
      <c r="U2898" s="33"/>
      <c r="V2898" s="33"/>
      <c r="W2898" s="33"/>
    </row>
    <row r="2899" spans="1:23" ht="16.5" customHeight="1" x14ac:dyDescent="0.2">
      <c r="A2899" s="26"/>
      <c r="B2899" s="26"/>
      <c r="C2899" s="26"/>
      <c r="D2899" s="26"/>
      <c r="E2899" s="26"/>
      <c r="F2899" s="28"/>
      <c r="G2899" s="26"/>
      <c r="H2899" s="32"/>
      <c r="I2899" s="32"/>
      <c r="J2899" s="32"/>
      <c r="K2899" s="32"/>
      <c r="L2899" s="32" t="e">
        <f ca="1">_xludf.ifna(VLOOKUP(E2899,Parámetros!$D$2:$E$34,2,0),"")</f>
        <v>#NAME?</v>
      </c>
      <c r="M2899" s="32" t="e">
        <f ca="1">_xludf.ifna(VLOOKUP(G2899,Proyectos!$A$2:$T$674,20,0),"")</f>
        <v>#NAME?</v>
      </c>
      <c r="N2899" s="32" t="e">
        <f ca="1">_xludf.ifna(VLOOKUP(G2899,Proyectos!$A$2:$S$674,19,0))</f>
        <v>#NAME?</v>
      </c>
      <c r="O2899" s="32"/>
      <c r="P2899" s="32"/>
      <c r="Q2899" s="33"/>
      <c r="R2899" s="33"/>
      <c r="S2899" s="33"/>
      <c r="T2899" s="63">
        <f t="shared" si="23"/>
        <v>0</v>
      </c>
      <c r="U2899" s="33"/>
      <c r="V2899" s="33"/>
      <c r="W2899" s="33"/>
    </row>
    <row r="2900" spans="1:23" ht="16.5" customHeight="1" x14ac:dyDescent="0.2">
      <c r="A2900" s="26"/>
      <c r="B2900" s="26"/>
      <c r="C2900" s="26"/>
      <c r="D2900" s="26"/>
      <c r="E2900" s="26"/>
      <c r="F2900" s="28"/>
      <c r="G2900" s="26"/>
      <c r="H2900" s="32"/>
      <c r="I2900" s="32"/>
      <c r="J2900" s="32"/>
      <c r="K2900" s="32"/>
      <c r="L2900" s="32" t="e">
        <f ca="1">_xludf.ifna(VLOOKUP(E2900,Parámetros!$D$2:$E$34,2,0),"")</f>
        <v>#NAME?</v>
      </c>
      <c r="M2900" s="32" t="e">
        <f ca="1">_xludf.ifna(VLOOKUP(G2900,Proyectos!$A$2:$T$674,20,0),"")</f>
        <v>#NAME?</v>
      </c>
      <c r="N2900" s="32" t="e">
        <f ca="1">_xludf.ifna(VLOOKUP(G2900,Proyectos!$A$2:$S$674,19,0))</f>
        <v>#NAME?</v>
      </c>
      <c r="O2900" s="32"/>
      <c r="P2900" s="32"/>
      <c r="Q2900" s="33"/>
      <c r="R2900" s="33"/>
      <c r="S2900" s="33"/>
      <c r="T2900" s="63">
        <f t="shared" si="23"/>
        <v>0</v>
      </c>
      <c r="U2900" s="33"/>
      <c r="V2900" s="33"/>
      <c r="W2900" s="33"/>
    </row>
    <row r="2901" spans="1:23" ht="16.5" customHeight="1" x14ac:dyDescent="0.2">
      <c r="A2901" s="26"/>
      <c r="B2901" s="26"/>
      <c r="C2901" s="26"/>
      <c r="D2901" s="26"/>
      <c r="E2901" s="26"/>
      <c r="F2901" s="28"/>
      <c r="G2901" s="26"/>
      <c r="H2901" s="32"/>
      <c r="I2901" s="32"/>
      <c r="J2901" s="32"/>
      <c r="K2901" s="32"/>
      <c r="L2901" s="32" t="e">
        <f ca="1">_xludf.ifna(VLOOKUP(E2901,Parámetros!$D$2:$E$34,2,0),"")</f>
        <v>#NAME?</v>
      </c>
      <c r="M2901" s="32" t="e">
        <f ca="1">_xludf.ifna(VLOOKUP(G2901,Proyectos!$A$2:$T$674,20,0),"")</f>
        <v>#NAME?</v>
      </c>
      <c r="N2901" s="32" t="e">
        <f ca="1">_xludf.ifna(VLOOKUP(G2901,Proyectos!$A$2:$S$674,19,0))</f>
        <v>#NAME?</v>
      </c>
      <c r="O2901" s="32"/>
      <c r="P2901" s="32"/>
      <c r="Q2901" s="33"/>
      <c r="R2901" s="33"/>
      <c r="S2901" s="33"/>
      <c r="T2901" s="63">
        <f t="shared" si="23"/>
        <v>0</v>
      </c>
      <c r="U2901" s="33"/>
      <c r="V2901" s="33"/>
      <c r="W2901" s="33"/>
    </row>
    <row r="2902" spans="1:23" ht="16.5" customHeight="1" x14ac:dyDescent="0.2">
      <c r="A2902" s="26"/>
      <c r="B2902" s="26"/>
      <c r="C2902" s="26"/>
      <c r="D2902" s="26"/>
      <c r="E2902" s="26"/>
      <c r="F2902" s="28"/>
      <c r="G2902" s="26"/>
      <c r="H2902" s="32"/>
      <c r="I2902" s="32"/>
      <c r="J2902" s="32"/>
      <c r="K2902" s="32"/>
      <c r="L2902" s="32" t="e">
        <f ca="1">_xludf.ifna(VLOOKUP(E2902,Parámetros!$D$2:$E$34,2,0),"")</f>
        <v>#NAME?</v>
      </c>
      <c r="M2902" s="32" t="e">
        <f ca="1">_xludf.ifna(VLOOKUP(G2902,Proyectos!$A$2:$T$674,20,0),"")</f>
        <v>#NAME?</v>
      </c>
      <c r="N2902" s="32" t="e">
        <f ca="1">_xludf.ifna(VLOOKUP(G2902,Proyectos!$A$2:$S$674,19,0))</f>
        <v>#NAME?</v>
      </c>
      <c r="O2902" s="32"/>
      <c r="P2902" s="32"/>
      <c r="Q2902" s="33"/>
      <c r="R2902" s="33"/>
      <c r="S2902" s="33"/>
      <c r="T2902" s="63">
        <f t="shared" si="23"/>
        <v>0</v>
      </c>
      <c r="U2902" s="33"/>
      <c r="V2902" s="33"/>
      <c r="W2902" s="33"/>
    </row>
    <row r="2903" spans="1:23" ht="16.5" customHeight="1" x14ac:dyDescent="0.2">
      <c r="A2903" s="26"/>
      <c r="B2903" s="26"/>
      <c r="C2903" s="26"/>
      <c r="D2903" s="26"/>
      <c r="E2903" s="26"/>
      <c r="F2903" s="28"/>
      <c r="G2903" s="26"/>
      <c r="H2903" s="32"/>
      <c r="I2903" s="32"/>
      <c r="J2903" s="32"/>
      <c r="K2903" s="32"/>
      <c r="L2903" s="32" t="e">
        <f ca="1">_xludf.ifna(VLOOKUP(E2903,Parámetros!$D$2:$E$34,2,0),"")</f>
        <v>#NAME?</v>
      </c>
      <c r="M2903" s="32" t="e">
        <f ca="1">_xludf.ifna(VLOOKUP(G2903,Proyectos!$A$2:$T$674,20,0),"")</f>
        <v>#NAME?</v>
      </c>
      <c r="N2903" s="32" t="e">
        <f ca="1">_xludf.ifna(VLOOKUP(G2903,Proyectos!$A$2:$S$674,19,0))</f>
        <v>#NAME?</v>
      </c>
      <c r="O2903" s="32"/>
      <c r="P2903" s="32"/>
      <c r="Q2903" s="33"/>
      <c r="R2903" s="33"/>
      <c r="S2903" s="33"/>
      <c r="T2903" s="63">
        <f t="shared" si="23"/>
        <v>0</v>
      </c>
      <c r="U2903" s="33"/>
      <c r="V2903" s="33"/>
      <c r="W2903" s="33"/>
    </row>
    <row r="2904" spans="1:23" ht="16.5" customHeight="1" x14ac:dyDescent="0.2">
      <c r="A2904" s="26"/>
      <c r="B2904" s="26"/>
      <c r="C2904" s="26"/>
      <c r="D2904" s="26"/>
      <c r="E2904" s="26"/>
      <c r="F2904" s="28"/>
      <c r="G2904" s="26"/>
      <c r="H2904" s="32"/>
      <c r="I2904" s="32"/>
      <c r="J2904" s="32"/>
      <c r="K2904" s="32"/>
      <c r="L2904" s="32" t="e">
        <f ca="1">_xludf.ifna(VLOOKUP(E2904,Parámetros!$D$2:$E$34,2,0),"")</f>
        <v>#NAME?</v>
      </c>
      <c r="M2904" s="32" t="e">
        <f ca="1">_xludf.ifna(VLOOKUP(G2904,Proyectos!$A$2:$T$674,20,0),"")</f>
        <v>#NAME?</v>
      </c>
      <c r="N2904" s="32" t="e">
        <f ca="1">_xludf.ifna(VLOOKUP(G2904,Proyectos!$A$2:$S$674,19,0))</f>
        <v>#NAME?</v>
      </c>
      <c r="O2904" s="32"/>
      <c r="P2904" s="32"/>
      <c r="Q2904" s="33"/>
      <c r="R2904" s="33"/>
      <c r="S2904" s="33"/>
      <c r="T2904" s="63">
        <f t="shared" si="23"/>
        <v>0</v>
      </c>
      <c r="U2904" s="33"/>
      <c r="V2904" s="33"/>
      <c r="W2904" s="33"/>
    </row>
    <row r="2905" spans="1:23" ht="16.5" customHeight="1" x14ac:dyDescent="0.2">
      <c r="A2905" s="26"/>
      <c r="B2905" s="26"/>
      <c r="C2905" s="26"/>
      <c r="D2905" s="26"/>
      <c r="E2905" s="26"/>
      <c r="F2905" s="28"/>
      <c r="G2905" s="26"/>
      <c r="H2905" s="32"/>
      <c r="I2905" s="32"/>
      <c r="J2905" s="32"/>
      <c r="K2905" s="32"/>
      <c r="L2905" s="32" t="e">
        <f ca="1">_xludf.ifna(VLOOKUP(E2905,Parámetros!$D$2:$E$34,2,0),"")</f>
        <v>#NAME?</v>
      </c>
      <c r="M2905" s="32" t="e">
        <f ca="1">_xludf.ifna(VLOOKUP(G2905,Proyectos!$A$2:$T$674,20,0),"")</f>
        <v>#NAME?</v>
      </c>
      <c r="N2905" s="32" t="e">
        <f ca="1">_xludf.ifna(VLOOKUP(G2905,Proyectos!$A$2:$S$674,19,0))</f>
        <v>#NAME?</v>
      </c>
      <c r="O2905" s="32"/>
      <c r="P2905" s="32"/>
      <c r="Q2905" s="33"/>
      <c r="R2905" s="33"/>
      <c r="S2905" s="33"/>
      <c r="T2905" s="63">
        <f t="shared" si="23"/>
        <v>0</v>
      </c>
      <c r="U2905" s="33"/>
      <c r="V2905" s="33"/>
      <c r="W2905" s="33"/>
    </row>
    <row r="2906" spans="1:23" ht="16.5" customHeight="1" x14ac:dyDescent="0.2">
      <c r="A2906" s="26"/>
      <c r="B2906" s="26"/>
      <c r="C2906" s="26"/>
      <c r="D2906" s="26"/>
      <c r="E2906" s="26"/>
      <c r="F2906" s="28"/>
      <c r="G2906" s="26"/>
      <c r="H2906" s="32"/>
      <c r="I2906" s="32"/>
      <c r="J2906" s="32"/>
      <c r="K2906" s="32"/>
      <c r="L2906" s="32" t="e">
        <f ca="1">_xludf.ifna(VLOOKUP(E2906,Parámetros!$D$2:$E$34,2,0),"")</f>
        <v>#NAME?</v>
      </c>
      <c r="M2906" s="32" t="e">
        <f ca="1">_xludf.ifna(VLOOKUP(G2906,Proyectos!$A$2:$T$674,20,0),"")</f>
        <v>#NAME?</v>
      </c>
      <c r="N2906" s="32" t="e">
        <f ca="1">_xludf.ifna(VLOOKUP(G2906,Proyectos!$A$2:$S$674,19,0))</f>
        <v>#NAME?</v>
      </c>
      <c r="O2906" s="32"/>
      <c r="P2906" s="32"/>
      <c r="Q2906" s="33"/>
      <c r="R2906" s="33"/>
      <c r="S2906" s="33"/>
      <c r="T2906" s="63">
        <f t="shared" si="23"/>
        <v>0</v>
      </c>
      <c r="U2906" s="33"/>
      <c r="V2906" s="33"/>
      <c r="W2906" s="33"/>
    </row>
    <row r="2907" spans="1:23" ht="16.5" customHeight="1" x14ac:dyDescent="0.2">
      <c r="A2907" s="26"/>
      <c r="B2907" s="26"/>
      <c r="C2907" s="26"/>
      <c r="D2907" s="26"/>
      <c r="E2907" s="26"/>
      <c r="F2907" s="28"/>
      <c r="G2907" s="26"/>
      <c r="H2907" s="32"/>
      <c r="I2907" s="32"/>
      <c r="J2907" s="32"/>
      <c r="K2907" s="32"/>
      <c r="L2907" s="32" t="e">
        <f ca="1">_xludf.ifna(VLOOKUP(E2907,Parámetros!$D$2:$E$34,2,0),"")</f>
        <v>#NAME?</v>
      </c>
      <c r="M2907" s="32" t="e">
        <f ca="1">_xludf.ifna(VLOOKUP(G2907,Proyectos!$A$2:$T$674,20,0),"")</f>
        <v>#NAME?</v>
      </c>
      <c r="N2907" s="32" t="e">
        <f ca="1">_xludf.ifna(VLOOKUP(G2907,Proyectos!$A$2:$S$674,19,0))</f>
        <v>#NAME?</v>
      </c>
      <c r="O2907" s="32"/>
      <c r="P2907" s="32"/>
      <c r="Q2907" s="33"/>
      <c r="R2907" s="33"/>
      <c r="S2907" s="33"/>
      <c r="T2907" s="63">
        <f t="shared" si="23"/>
        <v>0</v>
      </c>
      <c r="U2907" s="33"/>
      <c r="V2907" s="33"/>
      <c r="W2907" s="33"/>
    </row>
    <row r="2908" spans="1:23" ht="16.5" customHeight="1" x14ac:dyDescent="0.2">
      <c r="A2908" s="26"/>
      <c r="B2908" s="26"/>
      <c r="C2908" s="26"/>
      <c r="D2908" s="26"/>
      <c r="E2908" s="26"/>
      <c r="F2908" s="28"/>
      <c r="G2908" s="26"/>
      <c r="H2908" s="32"/>
      <c r="I2908" s="32"/>
      <c r="J2908" s="32"/>
      <c r="K2908" s="32"/>
      <c r="L2908" s="32" t="e">
        <f ca="1">_xludf.ifna(VLOOKUP(E2908,Parámetros!$D$2:$E$34,2,0),"")</f>
        <v>#NAME?</v>
      </c>
      <c r="M2908" s="32" t="e">
        <f ca="1">_xludf.ifna(VLOOKUP(G2908,Proyectos!$A$2:$T$674,20,0),"")</f>
        <v>#NAME?</v>
      </c>
      <c r="N2908" s="32" t="e">
        <f ca="1">_xludf.ifna(VLOOKUP(G2908,Proyectos!$A$2:$S$674,19,0))</f>
        <v>#NAME?</v>
      </c>
      <c r="O2908" s="32"/>
      <c r="P2908" s="32"/>
      <c r="Q2908" s="33"/>
      <c r="R2908" s="33"/>
      <c r="S2908" s="33"/>
      <c r="T2908" s="63">
        <f t="shared" si="23"/>
        <v>0</v>
      </c>
      <c r="U2908" s="33"/>
      <c r="V2908" s="33"/>
      <c r="W2908" s="33"/>
    </row>
    <row r="2909" spans="1:23" ht="16.5" customHeight="1" x14ac:dyDescent="0.2">
      <c r="A2909" s="26"/>
      <c r="B2909" s="26"/>
      <c r="C2909" s="26"/>
      <c r="D2909" s="26"/>
      <c r="E2909" s="26"/>
      <c r="F2909" s="28"/>
      <c r="G2909" s="26"/>
      <c r="H2909" s="32"/>
      <c r="I2909" s="32"/>
      <c r="J2909" s="32"/>
      <c r="K2909" s="32"/>
      <c r="L2909" s="32" t="e">
        <f ca="1">_xludf.ifna(VLOOKUP(E2909,Parámetros!$D$2:$E$34,2,0),"")</f>
        <v>#NAME?</v>
      </c>
      <c r="M2909" s="32" t="e">
        <f ca="1">_xludf.ifna(VLOOKUP(G2909,Proyectos!$A$2:$T$674,20,0),"")</f>
        <v>#NAME?</v>
      </c>
      <c r="N2909" s="32" t="e">
        <f ca="1">_xludf.ifna(VLOOKUP(G2909,Proyectos!$A$2:$S$674,19,0))</f>
        <v>#NAME?</v>
      </c>
      <c r="O2909" s="32"/>
      <c r="P2909" s="32"/>
      <c r="Q2909" s="33"/>
      <c r="R2909" s="33"/>
      <c r="S2909" s="33"/>
      <c r="T2909" s="63">
        <f t="shared" si="23"/>
        <v>0</v>
      </c>
      <c r="U2909" s="33"/>
      <c r="V2909" s="33"/>
      <c r="W2909" s="33"/>
    </row>
    <row r="2910" spans="1:23" ht="16.5" customHeight="1" x14ac:dyDescent="0.2">
      <c r="A2910" s="26"/>
      <c r="B2910" s="26"/>
      <c r="C2910" s="26"/>
      <c r="D2910" s="26"/>
      <c r="E2910" s="26"/>
      <c r="F2910" s="28"/>
      <c r="G2910" s="26"/>
      <c r="H2910" s="32"/>
      <c r="I2910" s="32"/>
      <c r="J2910" s="32"/>
      <c r="K2910" s="32"/>
      <c r="L2910" s="32" t="e">
        <f ca="1">_xludf.ifna(VLOOKUP(E2910,Parámetros!$D$2:$E$34,2,0),"")</f>
        <v>#NAME?</v>
      </c>
      <c r="M2910" s="32" t="e">
        <f ca="1">_xludf.ifna(VLOOKUP(G2910,Proyectos!$A$2:$T$674,20,0),"")</f>
        <v>#NAME?</v>
      </c>
      <c r="N2910" s="32" t="e">
        <f ca="1">_xludf.ifna(VLOOKUP(G2910,Proyectos!$A$2:$S$674,19,0))</f>
        <v>#NAME?</v>
      </c>
      <c r="O2910" s="32"/>
      <c r="P2910" s="32"/>
      <c r="Q2910" s="33"/>
      <c r="R2910" s="33"/>
      <c r="S2910" s="33"/>
      <c r="T2910" s="63">
        <f t="shared" si="23"/>
        <v>0</v>
      </c>
      <c r="U2910" s="33"/>
      <c r="V2910" s="33"/>
      <c r="W2910" s="33"/>
    </row>
    <row r="2911" spans="1:23" ht="16.5" customHeight="1" x14ac:dyDescent="0.2">
      <c r="A2911" s="26"/>
      <c r="B2911" s="26"/>
      <c r="C2911" s="26"/>
      <c r="D2911" s="26"/>
      <c r="E2911" s="26"/>
      <c r="F2911" s="28"/>
      <c r="G2911" s="26"/>
      <c r="H2911" s="32"/>
      <c r="I2911" s="32"/>
      <c r="J2911" s="32"/>
      <c r="K2911" s="32"/>
      <c r="L2911" s="32" t="e">
        <f ca="1">_xludf.ifna(VLOOKUP(E2911,Parámetros!$D$2:$E$34,2,0),"")</f>
        <v>#NAME?</v>
      </c>
      <c r="M2911" s="32" t="e">
        <f ca="1">_xludf.ifna(VLOOKUP(G2911,Proyectos!$A$2:$T$674,20,0),"")</f>
        <v>#NAME?</v>
      </c>
      <c r="N2911" s="32" t="e">
        <f ca="1">_xludf.ifna(VLOOKUP(G2911,Proyectos!$A$2:$S$674,19,0))</f>
        <v>#NAME?</v>
      </c>
      <c r="O2911" s="32"/>
      <c r="P2911" s="32"/>
      <c r="Q2911" s="33"/>
      <c r="R2911" s="33"/>
      <c r="S2911" s="33"/>
      <c r="T2911" s="63">
        <f t="shared" si="23"/>
        <v>0</v>
      </c>
      <c r="U2911" s="33"/>
      <c r="V2911" s="33"/>
      <c r="W2911" s="33"/>
    </row>
    <row r="2912" spans="1:23" ht="16.5" customHeight="1" x14ac:dyDescent="0.2">
      <c r="A2912" s="26"/>
      <c r="B2912" s="26"/>
      <c r="C2912" s="26"/>
      <c r="D2912" s="26"/>
      <c r="E2912" s="26"/>
      <c r="F2912" s="28"/>
      <c r="G2912" s="26"/>
      <c r="H2912" s="32"/>
      <c r="I2912" s="32"/>
      <c r="J2912" s="32"/>
      <c r="K2912" s="32"/>
      <c r="L2912" s="32" t="e">
        <f ca="1">_xludf.ifna(VLOOKUP(E2912,Parámetros!$D$2:$E$34,2,0),"")</f>
        <v>#NAME?</v>
      </c>
      <c r="M2912" s="32" t="e">
        <f ca="1">_xludf.ifna(VLOOKUP(G2912,Proyectos!$A$2:$T$674,20,0),"")</f>
        <v>#NAME?</v>
      </c>
      <c r="N2912" s="32" t="e">
        <f ca="1">_xludf.ifna(VLOOKUP(G2912,Proyectos!$A$2:$S$674,19,0))</f>
        <v>#NAME?</v>
      </c>
      <c r="O2912" s="32"/>
      <c r="P2912" s="32"/>
      <c r="Q2912" s="33"/>
      <c r="R2912" s="33"/>
      <c r="S2912" s="33"/>
      <c r="T2912" s="63">
        <f t="shared" si="23"/>
        <v>0</v>
      </c>
      <c r="U2912" s="33"/>
      <c r="V2912" s="33"/>
      <c r="W2912" s="33"/>
    </row>
    <row r="2913" spans="1:23" ht="16.5" customHeight="1" x14ac:dyDescent="0.2">
      <c r="A2913" s="26"/>
      <c r="B2913" s="26"/>
      <c r="C2913" s="26"/>
      <c r="D2913" s="26"/>
      <c r="E2913" s="26"/>
      <c r="F2913" s="28"/>
      <c r="G2913" s="26"/>
      <c r="H2913" s="32"/>
      <c r="I2913" s="32"/>
      <c r="J2913" s="32"/>
      <c r="K2913" s="32"/>
      <c r="L2913" s="32" t="e">
        <f ca="1">_xludf.ifna(VLOOKUP(E2913,Parámetros!$D$2:$E$34,2,0),"")</f>
        <v>#NAME?</v>
      </c>
      <c r="M2913" s="32" t="e">
        <f ca="1">_xludf.ifna(VLOOKUP(G2913,Proyectos!$A$2:$T$674,20,0),"")</f>
        <v>#NAME?</v>
      </c>
      <c r="N2913" s="32" t="e">
        <f ca="1">_xludf.ifna(VLOOKUP(G2913,Proyectos!$A$2:$S$674,19,0))</f>
        <v>#NAME?</v>
      </c>
      <c r="O2913" s="32"/>
      <c r="P2913" s="32"/>
      <c r="Q2913" s="33"/>
      <c r="R2913" s="33"/>
      <c r="S2913" s="33"/>
      <c r="T2913" s="63">
        <f t="shared" si="23"/>
        <v>0</v>
      </c>
      <c r="U2913" s="33"/>
      <c r="V2913" s="33"/>
      <c r="W2913" s="33"/>
    </row>
    <row r="2914" spans="1:23" ht="16.5" customHeight="1" x14ac:dyDescent="0.2">
      <c r="A2914" s="26"/>
      <c r="B2914" s="26"/>
      <c r="C2914" s="26"/>
      <c r="D2914" s="26"/>
      <c r="E2914" s="26"/>
      <c r="F2914" s="28"/>
      <c r="G2914" s="26"/>
      <c r="H2914" s="32"/>
      <c r="I2914" s="32"/>
      <c r="J2914" s="32"/>
      <c r="K2914" s="32"/>
      <c r="L2914" s="32" t="e">
        <f ca="1">_xludf.ifna(VLOOKUP(E2914,Parámetros!$D$2:$E$34,2,0),"")</f>
        <v>#NAME?</v>
      </c>
      <c r="M2914" s="32" t="e">
        <f ca="1">_xludf.ifna(VLOOKUP(G2914,Proyectos!$A$2:$T$674,20,0),"")</f>
        <v>#NAME?</v>
      </c>
      <c r="N2914" s="32" t="e">
        <f ca="1">_xludf.ifna(VLOOKUP(G2914,Proyectos!$A$2:$S$674,19,0))</f>
        <v>#NAME?</v>
      </c>
      <c r="O2914" s="32"/>
      <c r="P2914" s="32"/>
      <c r="Q2914" s="33"/>
      <c r="R2914" s="33"/>
      <c r="S2914" s="33"/>
      <c r="T2914" s="63">
        <f t="shared" si="23"/>
        <v>0</v>
      </c>
      <c r="U2914" s="33"/>
      <c r="V2914" s="33"/>
      <c r="W2914" s="33"/>
    </row>
    <row r="2915" spans="1:23" ht="16.5" customHeight="1" x14ac:dyDescent="0.2">
      <c r="A2915" s="26"/>
      <c r="B2915" s="26"/>
      <c r="C2915" s="26"/>
      <c r="D2915" s="26"/>
      <c r="E2915" s="26"/>
      <c r="F2915" s="28"/>
      <c r="G2915" s="26"/>
      <c r="H2915" s="32"/>
      <c r="I2915" s="32"/>
      <c r="J2915" s="32"/>
      <c r="K2915" s="32"/>
      <c r="L2915" s="32" t="e">
        <f ca="1">_xludf.ifna(VLOOKUP(E2915,Parámetros!$D$2:$E$34,2,0),"")</f>
        <v>#NAME?</v>
      </c>
      <c r="M2915" s="32" t="e">
        <f ca="1">_xludf.ifna(VLOOKUP(G2915,Proyectos!$A$2:$T$674,20,0),"")</f>
        <v>#NAME?</v>
      </c>
      <c r="N2915" s="32" t="e">
        <f ca="1">_xludf.ifna(VLOOKUP(G2915,Proyectos!$A$2:$S$674,19,0))</f>
        <v>#NAME?</v>
      </c>
      <c r="O2915" s="32"/>
      <c r="P2915" s="32"/>
      <c r="Q2915" s="33"/>
      <c r="R2915" s="33"/>
      <c r="S2915" s="33"/>
      <c r="T2915" s="63">
        <f t="shared" si="23"/>
        <v>0</v>
      </c>
      <c r="U2915" s="33"/>
      <c r="V2915" s="33"/>
      <c r="W2915" s="33"/>
    </row>
    <row r="2916" spans="1:23" ht="16.5" customHeight="1" x14ac:dyDescent="0.2">
      <c r="A2916" s="26"/>
      <c r="B2916" s="26"/>
      <c r="C2916" s="26"/>
      <c r="D2916" s="26"/>
      <c r="E2916" s="26"/>
      <c r="F2916" s="28"/>
      <c r="G2916" s="26"/>
      <c r="H2916" s="32"/>
      <c r="I2916" s="32"/>
      <c r="J2916" s="32"/>
      <c r="K2916" s="32"/>
      <c r="L2916" s="32" t="e">
        <f ca="1">_xludf.ifna(VLOOKUP(E2916,Parámetros!$D$2:$E$34,2,0),"")</f>
        <v>#NAME?</v>
      </c>
      <c r="M2916" s="32" t="e">
        <f ca="1">_xludf.ifna(VLOOKUP(G2916,Proyectos!$A$2:$T$674,20,0),"")</f>
        <v>#NAME?</v>
      </c>
      <c r="N2916" s="32" t="e">
        <f ca="1">_xludf.ifna(VLOOKUP(G2916,Proyectos!$A$2:$S$674,19,0))</f>
        <v>#NAME?</v>
      </c>
      <c r="O2916" s="32"/>
      <c r="P2916" s="32"/>
      <c r="Q2916" s="33"/>
      <c r="R2916" s="33"/>
      <c r="S2916" s="33"/>
      <c r="T2916" s="63">
        <f t="shared" si="23"/>
        <v>0</v>
      </c>
      <c r="U2916" s="33"/>
      <c r="V2916" s="33"/>
      <c r="W2916" s="33"/>
    </row>
    <row r="2917" spans="1:23" ht="16.5" customHeight="1" x14ac:dyDescent="0.2">
      <c r="A2917" s="26"/>
      <c r="B2917" s="26"/>
      <c r="C2917" s="26"/>
      <c r="D2917" s="26"/>
      <c r="E2917" s="26"/>
      <c r="F2917" s="28"/>
      <c r="G2917" s="26"/>
      <c r="H2917" s="32"/>
      <c r="I2917" s="32"/>
      <c r="J2917" s="32"/>
      <c r="K2917" s="32"/>
      <c r="L2917" s="32" t="e">
        <f ca="1">_xludf.ifna(VLOOKUP(E2917,Parámetros!$D$2:$E$34,2,0),"")</f>
        <v>#NAME?</v>
      </c>
      <c r="M2917" s="32" t="e">
        <f ca="1">_xludf.ifna(VLOOKUP(G2917,Proyectos!$A$2:$T$674,20,0),"")</f>
        <v>#NAME?</v>
      </c>
      <c r="N2917" s="32" t="e">
        <f ca="1">_xludf.ifna(VLOOKUP(G2917,Proyectos!$A$2:$S$674,19,0))</f>
        <v>#NAME?</v>
      </c>
      <c r="O2917" s="32"/>
      <c r="P2917" s="32"/>
      <c r="Q2917" s="33"/>
      <c r="R2917" s="33"/>
      <c r="S2917" s="33"/>
      <c r="T2917" s="63">
        <f t="shared" si="23"/>
        <v>0</v>
      </c>
      <c r="U2917" s="33"/>
      <c r="V2917" s="33"/>
      <c r="W2917" s="33"/>
    </row>
    <row r="2918" spans="1:23" ht="16.5" customHeight="1" x14ac:dyDescent="0.2">
      <c r="A2918" s="26"/>
      <c r="B2918" s="26"/>
      <c r="C2918" s="26"/>
      <c r="D2918" s="26"/>
      <c r="E2918" s="26"/>
      <c r="F2918" s="28"/>
      <c r="G2918" s="26"/>
      <c r="H2918" s="32"/>
      <c r="I2918" s="32"/>
      <c r="J2918" s="32"/>
      <c r="K2918" s="32"/>
      <c r="L2918" s="32" t="e">
        <f ca="1">_xludf.ifna(VLOOKUP(E2918,Parámetros!$D$2:$E$34,2,0),"")</f>
        <v>#NAME?</v>
      </c>
      <c r="M2918" s="32" t="e">
        <f ca="1">_xludf.ifna(VLOOKUP(G2918,Proyectos!$A$2:$T$674,20,0),"")</f>
        <v>#NAME?</v>
      </c>
      <c r="N2918" s="32" t="e">
        <f ca="1">_xludf.ifna(VLOOKUP(G2918,Proyectos!$A$2:$S$674,19,0))</f>
        <v>#NAME?</v>
      </c>
      <c r="O2918" s="32"/>
      <c r="P2918" s="32"/>
      <c r="Q2918" s="33"/>
      <c r="R2918" s="33"/>
      <c r="S2918" s="33"/>
      <c r="T2918" s="63">
        <f t="shared" si="23"/>
        <v>0</v>
      </c>
      <c r="U2918" s="33"/>
      <c r="V2918" s="33"/>
      <c r="W2918" s="33"/>
    </row>
    <row r="2919" spans="1:23" ht="16.5" customHeight="1" x14ac:dyDescent="0.2">
      <c r="A2919" s="26"/>
      <c r="B2919" s="26"/>
      <c r="C2919" s="26"/>
      <c r="D2919" s="26"/>
      <c r="E2919" s="26"/>
      <c r="F2919" s="28"/>
      <c r="G2919" s="26"/>
      <c r="H2919" s="32"/>
      <c r="I2919" s="32"/>
      <c r="J2919" s="32"/>
      <c r="K2919" s="32"/>
      <c r="L2919" s="32" t="e">
        <f ca="1">_xludf.ifna(VLOOKUP(E2919,Parámetros!$D$2:$E$34,2,0),"")</f>
        <v>#NAME?</v>
      </c>
      <c r="M2919" s="32" t="e">
        <f ca="1">_xludf.ifna(VLOOKUP(G2919,Proyectos!$A$2:$T$674,20,0),"")</f>
        <v>#NAME?</v>
      </c>
      <c r="N2919" s="32" t="e">
        <f ca="1">_xludf.ifna(VLOOKUP(G2919,Proyectos!$A$2:$S$674,19,0))</f>
        <v>#NAME?</v>
      </c>
      <c r="O2919" s="32"/>
      <c r="P2919" s="32"/>
      <c r="Q2919" s="33"/>
      <c r="R2919" s="33"/>
      <c r="S2919" s="33"/>
      <c r="T2919" s="63">
        <f t="shared" si="23"/>
        <v>0</v>
      </c>
      <c r="U2919" s="33"/>
      <c r="V2919" s="33"/>
      <c r="W2919" s="33"/>
    </row>
    <row r="2920" spans="1:23" ht="16.5" customHeight="1" x14ac:dyDescent="0.2">
      <c r="A2920" s="26"/>
      <c r="B2920" s="26"/>
      <c r="C2920" s="26"/>
      <c r="D2920" s="26"/>
      <c r="E2920" s="26"/>
      <c r="F2920" s="28"/>
      <c r="G2920" s="26"/>
      <c r="H2920" s="32"/>
      <c r="I2920" s="32"/>
      <c r="J2920" s="32"/>
      <c r="K2920" s="32"/>
      <c r="L2920" s="32" t="e">
        <f ca="1">_xludf.ifna(VLOOKUP(E2920,Parámetros!$D$2:$E$34,2,0),"")</f>
        <v>#NAME?</v>
      </c>
      <c r="M2920" s="32" t="e">
        <f ca="1">_xludf.ifna(VLOOKUP(G2920,Proyectos!$A$2:$T$674,20,0),"")</f>
        <v>#NAME?</v>
      </c>
      <c r="N2920" s="32" t="e">
        <f ca="1">_xludf.ifna(VLOOKUP(G2920,Proyectos!$A$2:$S$674,19,0))</f>
        <v>#NAME?</v>
      </c>
      <c r="O2920" s="32"/>
      <c r="P2920" s="32"/>
      <c r="Q2920" s="33"/>
      <c r="R2920" s="33"/>
      <c r="S2920" s="33"/>
      <c r="T2920" s="63">
        <f t="shared" si="23"/>
        <v>0</v>
      </c>
      <c r="U2920" s="33"/>
      <c r="V2920" s="33"/>
      <c r="W2920" s="33"/>
    </row>
    <row r="2921" spans="1:23" ht="16.5" customHeight="1" x14ac:dyDescent="0.2">
      <c r="A2921" s="26"/>
      <c r="B2921" s="26"/>
      <c r="C2921" s="26"/>
      <c r="D2921" s="26"/>
      <c r="E2921" s="26"/>
      <c r="F2921" s="28"/>
      <c r="G2921" s="26"/>
      <c r="H2921" s="32"/>
      <c r="I2921" s="32"/>
      <c r="J2921" s="32"/>
      <c r="K2921" s="32"/>
      <c r="L2921" s="32" t="e">
        <f ca="1">_xludf.ifna(VLOOKUP(E2921,Parámetros!$D$2:$E$34,2,0),"")</f>
        <v>#NAME?</v>
      </c>
      <c r="M2921" s="32" t="e">
        <f ca="1">_xludf.ifna(VLOOKUP(G2921,Proyectos!$A$2:$T$674,20,0),"")</f>
        <v>#NAME?</v>
      </c>
      <c r="N2921" s="32" t="e">
        <f ca="1">_xludf.ifna(VLOOKUP(G2921,Proyectos!$A$2:$S$674,19,0))</f>
        <v>#NAME?</v>
      </c>
      <c r="O2921" s="32"/>
      <c r="P2921" s="32"/>
      <c r="Q2921" s="33"/>
      <c r="R2921" s="33"/>
      <c r="S2921" s="33"/>
      <c r="T2921" s="63">
        <f t="shared" si="23"/>
        <v>0</v>
      </c>
      <c r="U2921" s="33"/>
      <c r="V2921" s="33"/>
      <c r="W2921" s="33"/>
    </row>
    <row r="2922" spans="1:23" ht="16.5" customHeight="1" x14ac:dyDescent="0.2">
      <c r="A2922" s="26"/>
      <c r="B2922" s="26"/>
      <c r="C2922" s="26"/>
      <c r="D2922" s="26"/>
      <c r="E2922" s="26"/>
      <c r="F2922" s="28"/>
      <c r="G2922" s="26"/>
      <c r="H2922" s="32"/>
      <c r="I2922" s="32"/>
      <c r="J2922" s="32"/>
      <c r="K2922" s="32"/>
      <c r="L2922" s="32" t="e">
        <f ca="1">_xludf.ifna(VLOOKUP(E2922,Parámetros!$D$2:$E$34,2,0),"")</f>
        <v>#NAME?</v>
      </c>
      <c r="M2922" s="32" t="e">
        <f ca="1">_xludf.ifna(VLOOKUP(G2922,Proyectos!$A$2:$T$674,20,0),"")</f>
        <v>#NAME?</v>
      </c>
      <c r="N2922" s="32" t="e">
        <f ca="1">_xludf.ifna(VLOOKUP(G2922,Proyectos!$A$2:$S$674,19,0))</f>
        <v>#NAME?</v>
      </c>
      <c r="O2922" s="32"/>
      <c r="P2922" s="32"/>
      <c r="Q2922" s="33"/>
      <c r="R2922" s="33"/>
      <c r="S2922" s="33"/>
      <c r="T2922" s="63">
        <f t="shared" si="23"/>
        <v>0</v>
      </c>
      <c r="U2922" s="33"/>
      <c r="V2922" s="33"/>
      <c r="W2922" s="33"/>
    </row>
    <row r="2923" spans="1:23" ht="16.5" customHeight="1" x14ac:dyDescent="0.2">
      <c r="A2923" s="26"/>
      <c r="B2923" s="26"/>
      <c r="C2923" s="26"/>
      <c r="D2923" s="26"/>
      <c r="E2923" s="26"/>
      <c r="F2923" s="28"/>
      <c r="G2923" s="26"/>
      <c r="H2923" s="32"/>
      <c r="I2923" s="32"/>
      <c r="J2923" s="32"/>
      <c r="K2923" s="32"/>
      <c r="L2923" s="32" t="e">
        <f ca="1">_xludf.ifna(VLOOKUP(E2923,Parámetros!$D$2:$E$34,2,0),"")</f>
        <v>#NAME?</v>
      </c>
      <c r="M2923" s="32" t="e">
        <f ca="1">_xludf.ifna(VLOOKUP(G2923,Proyectos!$A$2:$T$674,20,0),"")</f>
        <v>#NAME?</v>
      </c>
      <c r="N2923" s="32" t="e">
        <f ca="1">_xludf.ifna(VLOOKUP(G2923,Proyectos!$A$2:$S$674,19,0))</f>
        <v>#NAME?</v>
      </c>
      <c r="O2923" s="32"/>
      <c r="P2923" s="32"/>
      <c r="Q2923" s="33"/>
      <c r="R2923" s="33"/>
      <c r="S2923" s="33"/>
      <c r="T2923" s="63">
        <f t="shared" si="23"/>
        <v>0</v>
      </c>
      <c r="U2923" s="33"/>
      <c r="V2923" s="33"/>
      <c r="W2923" s="33"/>
    </row>
    <row r="2924" spans="1:23" ht="16.5" customHeight="1" x14ac:dyDescent="0.2">
      <c r="A2924" s="26"/>
      <c r="B2924" s="26"/>
      <c r="C2924" s="26"/>
      <c r="D2924" s="26"/>
      <c r="E2924" s="26"/>
      <c r="F2924" s="28"/>
      <c r="G2924" s="26"/>
      <c r="H2924" s="32"/>
      <c r="I2924" s="32"/>
      <c r="J2924" s="32"/>
      <c r="K2924" s="32"/>
      <c r="L2924" s="32" t="e">
        <f ca="1">_xludf.ifna(VLOOKUP(E2924,Parámetros!$D$2:$E$34,2,0),"")</f>
        <v>#NAME?</v>
      </c>
      <c r="M2924" s="32" t="e">
        <f ca="1">_xludf.ifna(VLOOKUP(G2924,Proyectos!$A$2:$T$674,20,0),"")</f>
        <v>#NAME?</v>
      </c>
      <c r="N2924" s="32" t="e">
        <f ca="1">_xludf.ifna(VLOOKUP(G2924,Proyectos!$A$2:$S$674,19,0))</f>
        <v>#NAME?</v>
      </c>
      <c r="O2924" s="32"/>
      <c r="P2924" s="32"/>
      <c r="Q2924" s="33"/>
      <c r="R2924" s="33"/>
      <c r="S2924" s="33"/>
      <c r="T2924" s="63">
        <f t="shared" si="23"/>
        <v>0</v>
      </c>
      <c r="U2924" s="33"/>
      <c r="V2924" s="33"/>
      <c r="W2924" s="33"/>
    </row>
    <row r="2925" spans="1:23" ht="16.5" customHeight="1" x14ac:dyDescent="0.2">
      <c r="A2925" s="26"/>
      <c r="B2925" s="26"/>
      <c r="C2925" s="26"/>
      <c r="D2925" s="26"/>
      <c r="E2925" s="26"/>
      <c r="F2925" s="28"/>
      <c r="G2925" s="26"/>
      <c r="H2925" s="32"/>
      <c r="I2925" s="32"/>
      <c r="J2925" s="32"/>
      <c r="K2925" s="32"/>
      <c r="L2925" s="32" t="e">
        <f ca="1">_xludf.ifna(VLOOKUP(E2925,Parámetros!$D$2:$E$34,2,0),"")</f>
        <v>#NAME?</v>
      </c>
      <c r="M2925" s="32" t="e">
        <f ca="1">_xludf.ifna(VLOOKUP(G2925,Proyectos!$A$2:$T$674,20,0),"")</f>
        <v>#NAME?</v>
      </c>
      <c r="N2925" s="32" t="e">
        <f ca="1">_xludf.ifna(VLOOKUP(G2925,Proyectos!$A$2:$S$674,19,0))</f>
        <v>#NAME?</v>
      </c>
      <c r="O2925" s="32"/>
      <c r="P2925" s="32"/>
      <c r="Q2925" s="33"/>
      <c r="R2925" s="33"/>
      <c r="S2925" s="33"/>
      <c r="T2925" s="63">
        <f t="shared" si="23"/>
        <v>0</v>
      </c>
      <c r="U2925" s="33"/>
      <c r="V2925" s="33"/>
      <c r="W2925" s="33"/>
    </row>
    <row r="2926" spans="1:23" ht="16.5" customHeight="1" x14ac:dyDescent="0.2">
      <c r="A2926" s="26"/>
      <c r="B2926" s="26"/>
      <c r="C2926" s="26"/>
      <c r="D2926" s="26"/>
      <c r="E2926" s="26"/>
      <c r="F2926" s="28"/>
      <c r="G2926" s="26"/>
      <c r="H2926" s="32"/>
      <c r="I2926" s="32"/>
      <c r="J2926" s="32"/>
      <c r="K2926" s="32"/>
      <c r="L2926" s="32" t="e">
        <f ca="1">_xludf.ifna(VLOOKUP(E2926,Parámetros!$D$2:$E$34,2,0),"")</f>
        <v>#NAME?</v>
      </c>
      <c r="M2926" s="32" t="e">
        <f ca="1">_xludf.ifna(VLOOKUP(G2926,Proyectos!$A$2:$T$674,20,0),"")</f>
        <v>#NAME?</v>
      </c>
      <c r="N2926" s="32" t="e">
        <f ca="1">_xludf.ifna(VLOOKUP(G2926,Proyectos!$A$2:$S$674,19,0))</f>
        <v>#NAME?</v>
      </c>
      <c r="O2926" s="32"/>
      <c r="P2926" s="32"/>
      <c r="Q2926" s="33"/>
      <c r="R2926" s="33"/>
      <c r="S2926" s="33"/>
      <c r="T2926" s="63">
        <f t="shared" si="23"/>
        <v>0</v>
      </c>
      <c r="U2926" s="33"/>
      <c r="V2926" s="33"/>
      <c r="W2926" s="33"/>
    </row>
    <row r="2927" spans="1:23" ht="16.5" customHeight="1" x14ac:dyDescent="0.2">
      <c r="A2927" s="26"/>
      <c r="B2927" s="26"/>
      <c r="C2927" s="26"/>
      <c r="D2927" s="26"/>
      <c r="E2927" s="26"/>
      <c r="F2927" s="28"/>
      <c r="G2927" s="26"/>
      <c r="H2927" s="32"/>
      <c r="I2927" s="32"/>
      <c r="J2927" s="32"/>
      <c r="K2927" s="32"/>
      <c r="L2927" s="32" t="e">
        <f ca="1">_xludf.ifna(VLOOKUP(E2927,Parámetros!$D$2:$E$34,2,0),"")</f>
        <v>#NAME?</v>
      </c>
      <c r="M2927" s="32" t="e">
        <f ca="1">_xludf.ifna(VLOOKUP(G2927,Proyectos!$A$2:$T$674,20,0),"")</f>
        <v>#NAME?</v>
      </c>
      <c r="N2927" s="32" t="e">
        <f ca="1">_xludf.ifna(VLOOKUP(G2927,Proyectos!$A$2:$S$674,19,0))</f>
        <v>#NAME?</v>
      </c>
      <c r="O2927" s="32"/>
      <c r="P2927" s="32"/>
      <c r="Q2927" s="33"/>
      <c r="R2927" s="33"/>
      <c r="S2927" s="33"/>
      <c r="T2927" s="63">
        <f t="shared" si="23"/>
        <v>0</v>
      </c>
      <c r="U2927" s="33"/>
      <c r="V2927" s="33"/>
      <c r="W2927" s="33"/>
    </row>
    <row r="2928" spans="1:23" ht="16.5" customHeight="1" x14ac:dyDescent="0.2">
      <c r="A2928" s="26"/>
      <c r="B2928" s="26"/>
      <c r="C2928" s="26"/>
      <c r="D2928" s="26"/>
      <c r="E2928" s="26"/>
      <c r="F2928" s="28"/>
      <c r="G2928" s="26"/>
      <c r="H2928" s="32"/>
      <c r="I2928" s="32"/>
      <c r="J2928" s="32"/>
      <c r="K2928" s="32"/>
      <c r="L2928" s="32" t="e">
        <f ca="1">_xludf.ifna(VLOOKUP(E2928,Parámetros!$D$2:$E$34,2,0),"")</f>
        <v>#NAME?</v>
      </c>
      <c r="M2928" s="32" t="e">
        <f ca="1">_xludf.ifna(VLOOKUP(G2928,Proyectos!$A$2:$T$674,20,0),"")</f>
        <v>#NAME?</v>
      </c>
      <c r="N2928" s="32" t="e">
        <f ca="1">_xludf.ifna(VLOOKUP(G2928,Proyectos!$A$2:$S$674,19,0))</f>
        <v>#NAME?</v>
      </c>
      <c r="O2928" s="32"/>
      <c r="P2928" s="32"/>
      <c r="Q2928" s="33"/>
      <c r="R2928" s="33"/>
      <c r="S2928" s="33"/>
      <c r="T2928" s="63">
        <f t="shared" si="23"/>
        <v>0</v>
      </c>
      <c r="U2928" s="33"/>
      <c r="V2928" s="33"/>
      <c r="W2928" s="33"/>
    </row>
    <row r="2929" spans="1:23" ht="16.5" customHeight="1" x14ac:dyDescent="0.2">
      <c r="A2929" s="26"/>
      <c r="B2929" s="26"/>
      <c r="C2929" s="26"/>
      <c r="D2929" s="26"/>
      <c r="E2929" s="26"/>
      <c r="F2929" s="28"/>
      <c r="G2929" s="26"/>
      <c r="H2929" s="32"/>
      <c r="I2929" s="32"/>
      <c r="J2929" s="32"/>
      <c r="K2929" s="32"/>
      <c r="L2929" s="32" t="e">
        <f ca="1">_xludf.ifna(VLOOKUP(E2929,Parámetros!$D$2:$E$34,2,0),"")</f>
        <v>#NAME?</v>
      </c>
      <c r="M2929" s="32" t="e">
        <f ca="1">_xludf.ifna(VLOOKUP(G2929,Proyectos!$A$2:$T$674,20,0),"")</f>
        <v>#NAME?</v>
      </c>
      <c r="N2929" s="32" t="e">
        <f ca="1">_xludf.ifna(VLOOKUP(G2929,Proyectos!$A$2:$S$674,19,0))</f>
        <v>#NAME?</v>
      </c>
      <c r="O2929" s="32"/>
      <c r="P2929" s="32"/>
      <c r="Q2929" s="33"/>
      <c r="R2929" s="33"/>
      <c r="S2929" s="33"/>
      <c r="T2929" s="63">
        <f t="shared" si="23"/>
        <v>0</v>
      </c>
      <c r="U2929" s="33"/>
      <c r="V2929" s="33"/>
      <c r="W2929" s="33"/>
    </row>
    <row r="2930" spans="1:23" ht="16.5" customHeight="1" x14ac:dyDescent="0.2">
      <c r="A2930" s="26"/>
      <c r="B2930" s="26"/>
      <c r="C2930" s="26"/>
      <c r="D2930" s="26"/>
      <c r="E2930" s="26"/>
      <c r="F2930" s="28"/>
      <c r="G2930" s="26"/>
      <c r="H2930" s="32"/>
      <c r="I2930" s="32"/>
      <c r="J2930" s="32"/>
      <c r="K2930" s="32"/>
      <c r="L2930" s="32" t="e">
        <f ca="1">_xludf.ifna(VLOOKUP(E2930,Parámetros!$D$2:$E$34,2,0),"")</f>
        <v>#NAME?</v>
      </c>
      <c r="M2930" s="32" t="e">
        <f ca="1">_xludf.ifna(VLOOKUP(G2930,Proyectos!$A$2:$T$674,20,0),"")</f>
        <v>#NAME?</v>
      </c>
      <c r="N2930" s="32" t="e">
        <f ca="1">_xludf.ifna(VLOOKUP(G2930,Proyectos!$A$2:$S$674,19,0))</f>
        <v>#NAME?</v>
      </c>
      <c r="O2930" s="32"/>
      <c r="P2930" s="32"/>
      <c r="Q2930" s="33"/>
      <c r="R2930" s="33"/>
      <c r="S2930" s="33"/>
      <c r="T2930" s="63">
        <f t="shared" si="23"/>
        <v>0</v>
      </c>
      <c r="U2930" s="33"/>
      <c r="V2930" s="33"/>
      <c r="W2930" s="33"/>
    </row>
    <row r="2931" spans="1:23" ht="16.5" customHeight="1" x14ac:dyDescent="0.2">
      <c r="A2931" s="26"/>
      <c r="B2931" s="26"/>
      <c r="C2931" s="26"/>
      <c r="D2931" s="26"/>
      <c r="E2931" s="26"/>
      <c r="F2931" s="28"/>
      <c r="G2931" s="26"/>
      <c r="H2931" s="32"/>
      <c r="I2931" s="32"/>
      <c r="J2931" s="32"/>
      <c r="K2931" s="32"/>
      <c r="L2931" s="32" t="e">
        <f ca="1">_xludf.ifna(VLOOKUP(E2931,Parámetros!$D$2:$E$34,2,0),"")</f>
        <v>#NAME?</v>
      </c>
      <c r="M2931" s="32" t="e">
        <f ca="1">_xludf.ifna(VLOOKUP(G2931,Proyectos!$A$2:$T$674,20,0),"")</f>
        <v>#NAME?</v>
      </c>
      <c r="N2931" s="32" t="e">
        <f ca="1">_xludf.ifna(VLOOKUP(G2931,Proyectos!$A$2:$S$674,19,0))</f>
        <v>#NAME?</v>
      </c>
      <c r="O2931" s="32"/>
      <c r="P2931" s="32"/>
      <c r="Q2931" s="33"/>
      <c r="R2931" s="33"/>
      <c r="S2931" s="33"/>
      <c r="T2931" s="63">
        <f t="shared" si="23"/>
        <v>0</v>
      </c>
      <c r="U2931" s="33"/>
      <c r="V2931" s="33"/>
      <c r="W2931" s="33"/>
    </row>
    <row r="2932" spans="1:23" ht="16.5" customHeight="1" x14ac:dyDescent="0.2">
      <c r="A2932" s="26"/>
      <c r="B2932" s="26"/>
      <c r="C2932" s="26"/>
      <c r="D2932" s="26"/>
      <c r="E2932" s="26"/>
      <c r="F2932" s="28"/>
      <c r="G2932" s="26"/>
      <c r="H2932" s="32"/>
      <c r="I2932" s="32"/>
      <c r="J2932" s="32"/>
      <c r="K2932" s="32"/>
      <c r="L2932" s="32" t="e">
        <f ca="1">_xludf.ifna(VLOOKUP(E2932,Parámetros!$D$2:$E$34,2,0),"")</f>
        <v>#NAME?</v>
      </c>
      <c r="M2932" s="32" t="e">
        <f ca="1">_xludf.ifna(VLOOKUP(G2932,Proyectos!$A$2:$T$674,20,0),"")</f>
        <v>#NAME?</v>
      </c>
      <c r="N2932" s="32" t="e">
        <f ca="1">_xludf.ifna(VLOOKUP(G2932,Proyectos!$A$2:$S$674,19,0))</f>
        <v>#NAME?</v>
      </c>
      <c r="O2932" s="32"/>
      <c r="P2932" s="32"/>
      <c r="Q2932" s="33"/>
      <c r="R2932" s="33"/>
      <c r="S2932" s="33"/>
      <c r="T2932" s="63">
        <f t="shared" si="23"/>
        <v>0</v>
      </c>
      <c r="U2932" s="33"/>
      <c r="V2932" s="33"/>
      <c r="W2932" s="33"/>
    </row>
    <row r="2933" spans="1:23" ht="16.5" customHeight="1" x14ac:dyDescent="0.2">
      <c r="A2933" s="26"/>
      <c r="B2933" s="26"/>
      <c r="C2933" s="26"/>
      <c r="D2933" s="26"/>
      <c r="E2933" s="26"/>
      <c r="F2933" s="28"/>
      <c r="G2933" s="26"/>
      <c r="H2933" s="32"/>
      <c r="I2933" s="32"/>
      <c r="J2933" s="32"/>
      <c r="K2933" s="32"/>
      <c r="L2933" s="32" t="e">
        <f ca="1">_xludf.ifna(VLOOKUP(E2933,Parámetros!$D$2:$E$34,2,0),"")</f>
        <v>#NAME?</v>
      </c>
      <c r="M2933" s="32" t="e">
        <f ca="1">_xludf.ifna(VLOOKUP(G2933,Proyectos!$A$2:$T$674,20,0),"")</f>
        <v>#NAME?</v>
      </c>
      <c r="N2933" s="32" t="e">
        <f ca="1">_xludf.ifna(VLOOKUP(G2933,Proyectos!$A$2:$S$674,19,0))</f>
        <v>#NAME?</v>
      </c>
      <c r="O2933" s="32"/>
      <c r="P2933" s="32"/>
      <c r="Q2933" s="33"/>
      <c r="R2933" s="33"/>
      <c r="S2933" s="33"/>
      <c r="T2933" s="63">
        <f t="shared" si="23"/>
        <v>0</v>
      </c>
      <c r="U2933" s="33"/>
      <c r="V2933" s="33"/>
      <c r="W2933" s="33"/>
    </row>
    <row r="2934" spans="1:23" ht="16.5" customHeight="1" x14ac:dyDescent="0.2">
      <c r="A2934" s="26"/>
      <c r="B2934" s="26"/>
      <c r="C2934" s="26"/>
      <c r="D2934" s="26"/>
      <c r="E2934" s="26"/>
      <c r="F2934" s="28"/>
      <c r="G2934" s="26"/>
      <c r="H2934" s="32"/>
      <c r="I2934" s="32"/>
      <c r="J2934" s="32"/>
      <c r="K2934" s="32"/>
      <c r="L2934" s="32" t="e">
        <f ca="1">_xludf.ifna(VLOOKUP(E2934,Parámetros!$D$2:$E$34,2,0),"")</f>
        <v>#NAME?</v>
      </c>
      <c r="M2934" s="32" t="e">
        <f ca="1">_xludf.ifna(VLOOKUP(G2934,Proyectos!$A$2:$T$674,20,0),"")</f>
        <v>#NAME?</v>
      </c>
      <c r="N2934" s="32" t="e">
        <f ca="1">_xludf.ifna(VLOOKUP(G2934,Proyectos!$A$2:$S$674,19,0))</f>
        <v>#NAME?</v>
      </c>
      <c r="O2934" s="32"/>
      <c r="P2934" s="32"/>
      <c r="Q2934" s="33"/>
      <c r="R2934" s="33"/>
      <c r="S2934" s="33"/>
      <c r="T2934" s="63">
        <f t="shared" si="23"/>
        <v>0</v>
      </c>
      <c r="U2934" s="33"/>
      <c r="V2934" s="33"/>
      <c r="W2934" s="33"/>
    </row>
    <row r="2935" spans="1:23" ht="16.5" customHeight="1" x14ac:dyDescent="0.2">
      <c r="A2935" s="26"/>
      <c r="B2935" s="26"/>
      <c r="C2935" s="26"/>
      <c r="D2935" s="26"/>
      <c r="E2935" s="26"/>
      <c r="F2935" s="28"/>
      <c r="G2935" s="26"/>
      <c r="H2935" s="32"/>
      <c r="I2935" s="32"/>
      <c r="J2935" s="32"/>
      <c r="K2935" s="32"/>
      <c r="L2935" s="32" t="e">
        <f ca="1">_xludf.ifna(VLOOKUP(E2935,Parámetros!$D$2:$E$34,2,0),"")</f>
        <v>#NAME?</v>
      </c>
      <c r="M2935" s="32" t="e">
        <f ca="1">_xludf.ifna(VLOOKUP(G2935,Proyectos!$A$2:$T$674,20,0),"")</f>
        <v>#NAME?</v>
      </c>
      <c r="N2935" s="32" t="e">
        <f ca="1">_xludf.ifna(VLOOKUP(G2935,Proyectos!$A$2:$S$674,19,0))</f>
        <v>#NAME?</v>
      </c>
      <c r="O2935" s="32"/>
      <c r="P2935" s="32"/>
      <c r="Q2935" s="33"/>
      <c r="R2935" s="33"/>
      <c r="S2935" s="33"/>
      <c r="T2935" s="63">
        <f t="shared" si="23"/>
        <v>0</v>
      </c>
      <c r="U2935" s="33"/>
      <c r="V2935" s="33"/>
      <c r="W2935" s="33"/>
    </row>
    <row r="2936" spans="1:23" ht="16.5" customHeight="1" x14ac:dyDescent="0.2">
      <c r="A2936" s="26"/>
      <c r="B2936" s="26"/>
      <c r="C2936" s="26"/>
      <c r="D2936" s="26"/>
      <c r="E2936" s="26"/>
      <c r="F2936" s="28"/>
      <c r="G2936" s="26"/>
      <c r="H2936" s="32"/>
      <c r="I2936" s="32"/>
      <c r="J2936" s="32"/>
      <c r="K2936" s="32"/>
      <c r="L2936" s="32" t="e">
        <f ca="1">_xludf.ifna(VLOOKUP(E2936,Parámetros!$D$2:$E$34,2,0),"")</f>
        <v>#NAME?</v>
      </c>
      <c r="M2936" s="32" t="e">
        <f ca="1">_xludf.ifna(VLOOKUP(G2936,Proyectos!$A$2:$T$674,20,0),"")</f>
        <v>#NAME?</v>
      </c>
      <c r="N2936" s="32" t="e">
        <f ca="1">_xludf.ifna(VLOOKUP(G2936,Proyectos!$A$2:$S$674,19,0))</f>
        <v>#NAME?</v>
      </c>
      <c r="O2936" s="32"/>
      <c r="P2936" s="32"/>
      <c r="Q2936" s="33"/>
      <c r="R2936" s="33"/>
      <c r="S2936" s="33"/>
      <c r="T2936" s="63">
        <f t="shared" si="23"/>
        <v>0</v>
      </c>
      <c r="U2936" s="33"/>
      <c r="V2936" s="33"/>
      <c r="W2936" s="33"/>
    </row>
    <row r="2937" spans="1:23" ht="16.5" customHeight="1" x14ac:dyDescent="0.2">
      <c r="A2937" s="26"/>
      <c r="B2937" s="26"/>
      <c r="C2937" s="26"/>
      <c r="D2937" s="26"/>
      <c r="E2937" s="26"/>
      <c r="F2937" s="28"/>
      <c r="G2937" s="26"/>
      <c r="H2937" s="32"/>
      <c r="I2937" s="32"/>
      <c r="J2937" s="32"/>
      <c r="K2937" s="32"/>
      <c r="L2937" s="32" t="e">
        <f ca="1">_xludf.ifna(VLOOKUP(E2937,Parámetros!$D$2:$E$34,2,0),"")</f>
        <v>#NAME?</v>
      </c>
      <c r="M2937" s="32" t="e">
        <f ca="1">_xludf.ifna(VLOOKUP(G2937,Proyectos!$A$2:$T$674,20,0),"")</f>
        <v>#NAME?</v>
      </c>
      <c r="N2937" s="32" t="e">
        <f ca="1">_xludf.ifna(VLOOKUP(G2937,Proyectos!$A$2:$S$674,19,0))</f>
        <v>#NAME?</v>
      </c>
      <c r="O2937" s="32"/>
      <c r="P2937" s="32"/>
      <c r="Q2937" s="33"/>
      <c r="R2937" s="33"/>
      <c r="S2937" s="33"/>
      <c r="T2937" s="63">
        <f t="shared" si="23"/>
        <v>0</v>
      </c>
      <c r="U2937" s="33"/>
      <c r="V2937" s="33"/>
      <c r="W2937" s="33"/>
    </row>
    <row r="2938" spans="1:23" ht="16.5" customHeight="1" x14ac:dyDescent="0.2">
      <c r="A2938" s="26"/>
      <c r="B2938" s="26"/>
      <c r="C2938" s="26"/>
      <c r="D2938" s="26"/>
      <c r="E2938" s="26"/>
      <c r="F2938" s="28"/>
      <c r="G2938" s="26"/>
      <c r="H2938" s="32"/>
      <c r="I2938" s="32"/>
      <c r="J2938" s="32"/>
      <c r="K2938" s="32"/>
      <c r="L2938" s="32" t="e">
        <f ca="1">_xludf.ifna(VLOOKUP(E2938,Parámetros!$D$2:$E$34,2,0),"")</f>
        <v>#NAME?</v>
      </c>
      <c r="M2938" s="32" t="e">
        <f ca="1">_xludf.ifna(VLOOKUP(G2938,Proyectos!$A$2:$T$674,20,0),"")</f>
        <v>#NAME?</v>
      </c>
      <c r="N2938" s="32" t="e">
        <f ca="1">_xludf.ifna(VLOOKUP(G2938,Proyectos!$A$2:$S$674,19,0))</f>
        <v>#NAME?</v>
      </c>
      <c r="O2938" s="32"/>
      <c r="P2938" s="32"/>
      <c r="Q2938" s="33"/>
      <c r="R2938" s="33"/>
      <c r="S2938" s="33"/>
      <c r="T2938" s="63">
        <f t="shared" si="23"/>
        <v>0</v>
      </c>
      <c r="U2938" s="33"/>
      <c r="V2938" s="33"/>
      <c r="W2938" s="33"/>
    </row>
    <row r="2939" spans="1:23" ht="16.5" customHeight="1" x14ac:dyDescent="0.2">
      <c r="A2939" s="26"/>
      <c r="B2939" s="26"/>
      <c r="C2939" s="26"/>
      <c r="D2939" s="26"/>
      <c r="E2939" s="26"/>
      <c r="F2939" s="28"/>
      <c r="G2939" s="26"/>
      <c r="H2939" s="32"/>
      <c r="I2939" s="32"/>
      <c r="J2939" s="32"/>
      <c r="K2939" s="32"/>
      <c r="L2939" s="32" t="e">
        <f ca="1">_xludf.ifna(VLOOKUP(E2939,Parámetros!$D$2:$E$34,2,0),"")</f>
        <v>#NAME?</v>
      </c>
      <c r="M2939" s="32" t="e">
        <f ca="1">_xludf.ifna(VLOOKUP(G2939,Proyectos!$A$2:$T$674,20,0),"")</f>
        <v>#NAME?</v>
      </c>
      <c r="N2939" s="32" t="e">
        <f ca="1">_xludf.ifna(VLOOKUP(G2939,Proyectos!$A$2:$S$674,19,0))</f>
        <v>#NAME?</v>
      </c>
      <c r="O2939" s="32"/>
      <c r="P2939" s="32"/>
      <c r="Q2939" s="33"/>
      <c r="R2939" s="33"/>
      <c r="S2939" s="33"/>
      <c r="T2939" s="63">
        <f t="shared" si="23"/>
        <v>0</v>
      </c>
      <c r="U2939" s="33"/>
      <c r="V2939" s="33"/>
      <c r="W2939" s="33"/>
    </row>
    <row r="2940" spans="1:23" ht="16.5" customHeight="1" x14ac:dyDescent="0.2">
      <c r="A2940" s="26"/>
      <c r="B2940" s="26"/>
      <c r="C2940" s="26"/>
      <c r="D2940" s="26"/>
      <c r="E2940" s="26"/>
      <c r="F2940" s="28"/>
      <c r="G2940" s="26"/>
      <c r="H2940" s="32"/>
      <c r="I2940" s="32"/>
      <c r="J2940" s="32"/>
      <c r="K2940" s="32"/>
      <c r="L2940" s="32" t="e">
        <f ca="1">_xludf.ifna(VLOOKUP(E2940,Parámetros!$D$2:$E$34,2,0),"")</f>
        <v>#NAME?</v>
      </c>
      <c r="M2940" s="32" t="e">
        <f ca="1">_xludf.ifna(VLOOKUP(G2940,Proyectos!$A$2:$T$674,20,0),"")</f>
        <v>#NAME?</v>
      </c>
      <c r="N2940" s="32" t="e">
        <f ca="1">_xludf.ifna(VLOOKUP(G2940,Proyectos!$A$2:$S$674,19,0))</f>
        <v>#NAME?</v>
      </c>
      <c r="O2940" s="32"/>
      <c r="P2940" s="32"/>
      <c r="Q2940" s="33"/>
      <c r="R2940" s="33"/>
      <c r="S2940" s="33"/>
      <c r="T2940" s="63">
        <f t="shared" si="23"/>
        <v>0</v>
      </c>
      <c r="U2940" s="33"/>
      <c r="V2940" s="33"/>
      <c r="W2940" s="33"/>
    </row>
    <row r="2941" spans="1:23" ht="16.5" customHeight="1" x14ac:dyDescent="0.2">
      <c r="A2941" s="26"/>
      <c r="B2941" s="26"/>
      <c r="C2941" s="26"/>
      <c r="D2941" s="26"/>
      <c r="E2941" s="26"/>
      <c r="F2941" s="28"/>
      <c r="G2941" s="26"/>
      <c r="H2941" s="32"/>
      <c r="I2941" s="32"/>
      <c r="J2941" s="32"/>
      <c r="K2941" s="32"/>
      <c r="L2941" s="32" t="e">
        <f ca="1">_xludf.ifna(VLOOKUP(E2941,Parámetros!$D$2:$E$34,2,0),"")</f>
        <v>#NAME?</v>
      </c>
      <c r="M2941" s="32" t="e">
        <f ca="1">_xludf.ifna(VLOOKUP(G2941,Proyectos!$A$2:$T$674,20,0),"")</f>
        <v>#NAME?</v>
      </c>
      <c r="N2941" s="32" t="e">
        <f ca="1">_xludf.ifna(VLOOKUP(G2941,Proyectos!$A$2:$S$674,19,0))</f>
        <v>#NAME?</v>
      </c>
      <c r="O2941" s="32"/>
      <c r="P2941" s="32"/>
      <c r="Q2941" s="33"/>
      <c r="R2941" s="33"/>
      <c r="S2941" s="33"/>
      <c r="T2941" s="63">
        <f t="shared" si="23"/>
        <v>0</v>
      </c>
      <c r="U2941" s="33"/>
      <c r="V2941" s="33"/>
      <c r="W2941" s="33"/>
    </row>
    <row r="2942" spans="1:23" ht="16.5" customHeight="1" x14ac:dyDescent="0.2">
      <c r="A2942" s="26"/>
      <c r="B2942" s="26"/>
      <c r="C2942" s="26"/>
      <c r="D2942" s="26"/>
      <c r="E2942" s="26"/>
      <c r="F2942" s="28"/>
      <c r="G2942" s="26"/>
      <c r="H2942" s="32"/>
      <c r="I2942" s="32"/>
      <c r="J2942" s="32"/>
      <c r="K2942" s="32"/>
      <c r="L2942" s="32" t="e">
        <f ca="1">_xludf.ifna(VLOOKUP(E2942,Parámetros!$D$2:$E$34,2,0),"")</f>
        <v>#NAME?</v>
      </c>
      <c r="M2942" s="32" t="e">
        <f ca="1">_xludf.ifna(VLOOKUP(G2942,Proyectos!$A$2:$T$674,20,0),"")</f>
        <v>#NAME?</v>
      </c>
      <c r="N2942" s="32" t="e">
        <f ca="1">_xludf.ifna(VLOOKUP(G2942,Proyectos!$A$2:$S$674,19,0))</f>
        <v>#NAME?</v>
      </c>
      <c r="O2942" s="32"/>
      <c r="P2942" s="32"/>
      <c r="Q2942" s="33"/>
      <c r="R2942" s="33"/>
      <c r="S2942" s="33"/>
      <c r="T2942" s="63">
        <f t="shared" si="23"/>
        <v>0</v>
      </c>
      <c r="U2942" s="33"/>
      <c r="V2942" s="33"/>
      <c r="W2942" s="33"/>
    </row>
    <row r="2943" spans="1:23" ht="16.5" customHeight="1" x14ac:dyDescent="0.2">
      <c r="A2943" s="26"/>
      <c r="B2943" s="26"/>
      <c r="C2943" s="26"/>
      <c r="D2943" s="26"/>
      <c r="E2943" s="26"/>
      <c r="F2943" s="28"/>
      <c r="G2943" s="26"/>
      <c r="H2943" s="32"/>
      <c r="I2943" s="32"/>
      <c r="J2943" s="32"/>
      <c r="K2943" s="32"/>
      <c r="L2943" s="32" t="e">
        <f ca="1">_xludf.ifna(VLOOKUP(E2943,Parámetros!$D$2:$E$34,2,0),"")</f>
        <v>#NAME?</v>
      </c>
      <c r="M2943" s="32" t="e">
        <f ca="1">_xludf.ifna(VLOOKUP(G2943,Proyectos!$A$2:$T$674,20,0),"")</f>
        <v>#NAME?</v>
      </c>
      <c r="N2943" s="32" t="e">
        <f ca="1">_xludf.ifna(VLOOKUP(G2943,Proyectos!$A$2:$S$674,19,0))</f>
        <v>#NAME?</v>
      </c>
      <c r="O2943" s="32"/>
      <c r="P2943" s="32"/>
      <c r="Q2943" s="33"/>
      <c r="R2943" s="33"/>
      <c r="S2943" s="33"/>
      <c r="T2943" s="63">
        <f t="shared" si="23"/>
        <v>0</v>
      </c>
      <c r="U2943" s="33"/>
      <c r="V2943" s="33"/>
      <c r="W2943" s="33"/>
    </row>
    <row r="2944" spans="1:23" ht="16.5" customHeight="1" x14ac:dyDescent="0.2">
      <c r="A2944" s="26"/>
      <c r="B2944" s="26"/>
      <c r="C2944" s="26"/>
      <c r="D2944" s="26"/>
      <c r="E2944" s="26"/>
      <c r="F2944" s="28"/>
      <c r="G2944" s="26"/>
      <c r="H2944" s="32"/>
      <c r="I2944" s="32"/>
      <c r="J2944" s="32"/>
      <c r="K2944" s="32"/>
      <c r="L2944" s="32" t="e">
        <f ca="1">_xludf.ifna(VLOOKUP(E2944,Parámetros!$D$2:$E$34,2,0),"")</f>
        <v>#NAME?</v>
      </c>
      <c r="M2944" s="32" t="e">
        <f ca="1">_xludf.ifna(VLOOKUP(G2944,Proyectos!$A$2:$T$674,20,0),"")</f>
        <v>#NAME?</v>
      </c>
      <c r="N2944" s="32" t="e">
        <f ca="1">_xludf.ifna(VLOOKUP(G2944,Proyectos!$A$2:$S$674,19,0))</f>
        <v>#NAME?</v>
      </c>
      <c r="O2944" s="32"/>
      <c r="P2944" s="32"/>
      <c r="Q2944" s="33"/>
      <c r="R2944" s="33"/>
      <c r="S2944" s="33"/>
      <c r="T2944" s="63">
        <f t="shared" si="23"/>
        <v>0</v>
      </c>
      <c r="U2944" s="33"/>
      <c r="V2944" s="33"/>
      <c r="W2944" s="33"/>
    </row>
    <row r="2945" spans="1:23" ht="16.5" customHeight="1" x14ac:dyDescent="0.2">
      <c r="A2945" s="26"/>
      <c r="B2945" s="26"/>
      <c r="C2945" s="26"/>
      <c r="D2945" s="26"/>
      <c r="E2945" s="26"/>
      <c r="F2945" s="28"/>
      <c r="G2945" s="26"/>
      <c r="H2945" s="32"/>
      <c r="I2945" s="32"/>
      <c r="J2945" s="32"/>
      <c r="K2945" s="32"/>
      <c r="L2945" s="32" t="e">
        <f ca="1">_xludf.ifna(VLOOKUP(E2945,Parámetros!$D$2:$E$34,2,0),"")</f>
        <v>#NAME?</v>
      </c>
      <c r="M2945" s="32" t="e">
        <f ca="1">_xludf.ifna(VLOOKUP(G2945,Proyectos!$A$2:$T$674,20,0),"")</f>
        <v>#NAME?</v>
      </c>
      <c r="N2945" s="32" t="e">
        <f ca="1">_xludf.ifna(VLOOKUP(G2945,Proyectos!$A$2:$S$674,19,0))</f>
        <v>#NAME?</v>
      </c>
      <c r="O2945" s="32"/>
      <c r="P2945" s="32"/>
      <c r="Q2945" s="33"/>
      <c r="R2945" s="33"/>
      <c r="S2945" s="33"/>
      <c r="T2945" s="63">
        <f t="shared" si="23"/>
        <v>0</v>
      </c>
      <c r="U2945" s="33"/>
      <c r="V2945" s="33"/>
      <c r="W2945" s="33"/>
    </row>
    <row r="2946" spans="1:23" ht="16.5" customHeight="1" x14ac:dyDescent="0.2">
      <c r="A2946" s="26"/>
      <c r="B2946" s="26"/>
      <c r="C2946" s="26"/>
      <c r="D2946" s="26"/>
      <c r="E2946" s="26"/>
      <c r="F2946" s="28"/>
      <c r="G2946" s="26"/>
      <c r="H2946" s="32"/>
      <c r="I2946" s="32"/>
      <c r="J2946" s="32"/>
      <c r="K2946" s="32"/>
      <c r="L2946" s="32" t="e">
        <f ca="1">_xludf.ifna(VLOOKUP(E2946,Parámetros!$D$2:$E$34,2,0),"")</f>
        <v>#NAME?</v>
      </c>
      <c r="M2946" s="32" t="e">
        <f ca="1">_xludf.ifna(VLOOKUP(G2946,Proyectos!$A$2:$T$674,20,0),"")</f>
        <v>#NAME?</v>
      </c>
      <c r="N2946" s="32" t="e">
        <f ca="1">_xludf.ifna(VLOOKUP(G2946,Proyectos!$A$2:$S$674,19,0))</f>
        <v>#NAME?</v>
      </c>
      <c r="O2946" s="32"/>
      <c r="P2946" s="32"/>
      <c r="Q2946" s="33"/>
      <c r="R2946" s="33"/>
      <c r="S2946" s="33"/>
      <c r="T2946" s="63">
        <f t="shared" si="23"/>
        <v>0</v>
      </c>
      <c r="U2946" s="33"/>
      <c r="V2946" s="33"/>
      <c r="W2946" s="33"/>
    </row>
    <row r="2947" spans="1:23" ht="16.5" customHeight="1" x14ac:dyDescent="0.2">
      <c r="A2947" s="26"/>
      <c r="B2947" s="26"/>
      <c r="C2947" s="26"/>
      <c r="D2947" s="26"/>
      <c r="E2947" s="26"/>
      <c r="F2947" s="28"/>
      <c r="G2947" s="26"/>
      <c r="H2947" s="32"/>
      <c r="I2947" s="32"/>
      <c r="J2947" s="32"/>
      <c r="K2947" s="32"/>
      <c r="L2947" s="32" t="e">
        <f ca="1">_xludf.ifna(VLOOKUP(E2947,Parámetros!$D$2:$E$34,2,0),"")</f>
        <v>#NAME?</v>
      </c>
      <c r="M2947" s="32" t="e">
        <f ca="1">_xludf.ifna(VLOOKUP(G2947,Proyectos!$A$2:$T$674,20,0),"")</f>
        <v>#NAME?</v>
      </c>
      <c r="N2947" s="32" t="e">
        <f ca="1">_xludf.ifna(VLOOKUP(G2947,Proyectos!$A$2:$S$674,19,0))</f>
        <v>#NAME?</v>
      </c>
      <c r="O2947" s="32"/>
      <c r="P2947" s="32"/>
      <c r="Q2947" s="33"/>
      <c r="R2947" s="33"/>
      <c r="S2947" s="33"/>
      <c r="T2947" s="63">
        <f t="shared" si="23"/>
        <v>0</v>
      </c>
      <c r="U2947" s="33"/>
      <c r="V2947" s="33"/>
      <c r="W2947" s="33"/>
    </row>
    <row r="2948" spans="1:23" ht="16.5" customHeight="1" x14ac:dyDescent="0.2">
      <c r="A2948" s="26"/>
      <c r="B2948" s="26"/>
      <c r="C2948" s="26"/>
      <c r="D2948" s="26"/>
      <c r="E2948" s="26"/>
      <c r="F2948" s="28"/>
      <c r="G2948" s="26"/>
      <c r="H2948" s="32"/>
      <c r="I2948" s="32"/>
      <c r="J2948" s="32"/>
      <c r="K2948" s="32"/>
      <c r="L2948" s="32" t="e">
        <f ca="1">_xludf.ifna(VLOOKUP(E2948,Parámetros!$D$2:$E$34,2,0),"")</f>
        <v>#NAME?</v>
      </c>
      <c r="M2948" s="32" t="e">
        <f ca="1">_xludf.ifna(VLOOKUP(G2948,Proyectos!$A$2:$T$674,20,0),"")</f>
        <v>#NAME?</v>
      </c>
      <c r="N2948" s="32" t="e">
        <f ca="1">_xludf.ifna(VLOOKUP(G2948,Proyectos!$A$2:$S$674,19,0))</f>
        <v>#NAME?</v>
      </c>
      <c r="O2948" s="32"/>
      <c r="P2948" s="32"/>
      <c r="Q2948" s="33"/>
      <c r="R2948" s="33"/>
      <c r="S2948" s="33"/>
      <c r="T2948" s="63">
        <f t="shared" si="23"/>
        <v>0</v>
      </c>
      <c r="U2948" s="33"/>
      <c r="V2948" s="33"/>
      <c r="W2948" s="33"/>
    </row>
    <row r="2949" spans="1:23" ht="16.5" customHeight="1" x14ac:dyDescent="0.2">
      <c r="A2949" s="26"/>
      <c r="B2949" s="26"/>
      <c r="C2949" s="26"/>
      <c r="D2949" s="26"/>
      <c r="E2949" s="26"/>
      <c r="F2949" s="28"/>
      <c r="G2949" s="26"/>
      <c r="H2949" s="32"/>
      <c r="I2949" s="32"/>
      <c r="J2949" s="32"/>
      <c r="K2949" s="32"/>
      <c r="L2949" s="32" t="e">
        <f ca="1">_xludf.ifna(VLOOKUP(E2949,Parámetros!$D$2:$E$34,2,0),"")</f>
        <v>#NAME?</v>
      </c>
      <c r="M2949" s="32" t="e">
        <f ca="1">_xludf.ifna(VLOOKUP(G2949,Proyectos!$A$2:$T$674,20,0),"")</f>
        <v>#NAME?</v>
      </c>
      <c r="N2949" s="32" t="e">
        <f ca="1">_xludf.ifna(VLOOKUP(G2949,Proyectos!$A$2:$S$674,19,0))</f>
        <v>#NAME?</v>
      </c>
      <c r="O2949" s="32"/>
      <c r="P2949" s="32"/>
      <c r="Q2949" s="33"/>
      <c r="R2949" s="33"/>
      <c r="S2949" s="33"/>
      <c r="T2949" s="63">
        <f t="shared" si="23"/>
        <v>0</v>
      </c>
      <c r="U2949" s="33"/>
      <c r="V2949" s="33"/>
      <c r="W2949" s="33"/>
    </row>
    <row r="2950" spans="1:23" ht="16.5" customHeight="1" x14ac:dyDescent="0.2">
      <c r="A2950" s="26"/>
      <c r="B2950" s="26"/>
      <c r="C2950" s="26"/>
      <c r="D2950" s="26"/>
      <c r="E2950" s="26"/>
      <c r="F2950" s="28"/>
      <c r="G2950" s="26"/>
      <c r="H2950" s="32"/>
      <c r="I2950" s="32"/>
      <c r="J2950" s="32"/>
      <c r="K2950" s="32"/>
      <c r="L2950" s="32" t="e">
        <f ca="1">_xludf.ifna(VLOOKUP(E2950,Parámetros!$D$2:$E$34,2,0),"")</f>
        <v>#NAME?</v>
      </c>
      <c r="M2950" s="32" t="e">
        <f ca="1">_xludf.ifna(VLOOKUP(G2950,Proyectos!$A$2:$T$674,20,0),"")</f>
        <v>#NAME?</v>
      </c>
      <c r="N2950" s="32" t="e">
        <f ca="1">_xludf.ifna(VLOOKUP(G2950,Proyectos!$A$2:$S$674,19,0))</f>
        <v>#NAME?</v>
      </c>
      <c r="O2950" s="32"/>
      <c r="P2950" s="32"/>
      <c r="Q2950" s="33"/>
      <c r="R2950" s="33"/>
      <c r="S2950" s="33"/>
      <c r="T2950" s="63">
        <f t="shared" si="23"/>
        <v>0</v>
      </c>
      <c r="U2950" s="33"/>
      <c r="V2950" s="33"/>
      <c r="W2950" s="33"/>
    </row>
    <row r="2951" spans="1:23" ht="16.5" customHeight="1" x14ac:dyDescent="0.2">
      <c r="A2951" s="26"/>
      <c r="B2951" s="26"/>
      <c r="C2951" s="26"/>
      <c r="D2951" s="26"/>
      <c r="E2951" s="26"/>
      <c r="F2951" s="28"/>
      <c r="G2951" s="26"/>
      <c r="H2951" s="32"/>
      <c r="I2951" s="32"/>
      <c r="J2951" s="32"/>
      <c r="K2951" s="32"/>
      <c r="L2951" s="32" t="e">
        <f ca="1">_xludf.ifna(VLOOKUP(E2951,Parámetros!$D$2:$E$34,2,0),"")</f>
        <v>#NAME?</v>
      </c>
      <c r="M2951" s="32" t="e">
        <f ca="1">_xludf.ifna(VLOOKUP(G2951,Proyectos!$A$2:$T$674,20,0),"")</f>
        <v>#NAME?</v>
      </c>
      <c r="N2951" s="32" t="e">
        <f ca="1">_xludf.ifna(VLOOKUP(G2951,Proyectos!$A$2:$S$674,19,0))</f>
        <v>#NAME?</v>
      </c>
      <c r="O2951" s="32"/>
      <c r="P2951" s="32"/>
      <c r="Q2951" s="33"/>
      <c r="R2951" s="33"/>
      <c r="S2951" s="33"/>
      <c r="T2951" s="63">
        <f t="shared" si="23"/>
        <v>0</v>
      </c>
      <c r="U2951" s="33"/>
      <c r="V2951" s="33"/>
      <c r="W2951" s="33"/>
    </row>
    <row r="2952" spans="1:23" ht="16.5" customHeight="1" x14ac:dyDescent="0.2">
      <c r="A2952" s="26"/>
      <c r="B2952" s="26"/>
      <c r="C2952" s="26"/>
      <c r="D2952" s="26"/>
      <c r="E2952" s="26"/>
      <c r="F2952" s="28"/>
      <c r="G2952" s="26"/>
      <c r="H2952" s="32"/>
      <c r="I2952" s="32"/>
      <c r="J2952" s="32"/>
      <c r="K2952" s="32"/>
      <c r="L2952" s="32" t="e">
        <f ca="1">_xludf.ifna(VLOOKUP(E2952,Parámetros!$D$2:$E$34,2,0),"")</f>
        <v>#NAME?</v>
      </c>
      <c r="M2952" s="32" t="e">
        <f ca="1">_xludf.ifna(VLOOKUP(G2952,Proyectos!$A$2:$T$674,20,0),"")</f>
        <v>#NAME?</v>
      </c>
      <c r="N2952" s="32" t="e">
        <f ca="1">_xludf.ifna(VLOOKUP(G2952,Proyectos!$A$2:$S$674,19,0))</f>
        <v>#NAME?</v>
      </c>
      <c r="O2952" s="32"/>
      <c r="P2952" s="32"/>
      <c r="Q2952" s="33"/>
      <c r="R2952" s="33"/>
      <c r="S2952" s="33"/>
      <c r="T2952" s="63">
        <f t="shared" si="23"/>
        <v>0</v>
      </c>
      <c r="U2952" s="33"/>
      <c r="V2952" s="33"/>
      <c r="W2952" s="33"/>
    </row>
    <row r="2953" spans="1:23" ht="16.5" customHeight="1" x14ac:dyDescent="0.2">
      <c r="A2953" s="26"/>
      <c r="B2953" s="26"/>
      <c r="C2953" s="26"/>
      <c r="D2953" s="26"/>
      <c r="E2953" s="26"/>
      <c r="F2953" s="28"/>
      <c r="G2953" s="26"/>
      <c r="H2953" s="32"/>
      <c r="I2953" s="32"/>
      <c r="J2953" s="32"/>
      <c r="K2953" s="32"/>
      <c r="L2953" s="32" t="e">
        <f ca="1">_xludf.ifna(VLOOKUP(E2953,Parámetros!$D$2:$E$34,2,0),"")</f>
        <v>#NAME?</v>
      </c>
      <c r="M2953" s="32" t="e">
        <f ca="1">_xludf.ifna(VLOOKUP(G2953,Proyectos!$A$2:$T$674,20,0),"")</f>
        <v>#NAME?</v>
      </c>
      <c r="N2953" s="32" t="e">
        <f ca="1">_xludf.ifna(VLOOKUP(G2953,Proyectos!$A$2:$S$674,19,0))</f>
        <v>#NAME?</v>
      </c>
      <c r="O2953" s="32"/>
      <c r="P2953" s="32"/>
      <c r="Q2953" s="33"/>
      <c r="R2953" s="33"/>
      <c r="S2953" s="33"/>
      <c r="T2953" s="63">
        <f t="shared" si="23"/>
        <v>0</v>
      </c>
      <c r="U2953" s="33"/>
      <c r="V2953" s="33"/>
      <c r="W2953" s="33"/>
    </row>
    <row r="2954" spans="1:23" ht="16.5" customHeight="1" x14ac:dyDescent="0.2">
      <c r="A2954" s="26"/>
      <c r="B2954" s="26"/>
      <c r="C2954" s="26"/>
      <c r="D2954" s="26"/>
      <c r="E2954" s="26"/>
      <c r="F2954" s="28"/>
      <c r="G2954" s="26"/>
      <c r="H2954" s="32"/>
      <c r="I2954" s="32"/>
      <c r="J2954" s="32"/>
      <c r="K2954" s="32"/>
      <c r="L2954" s="32" t="e">
        <f ca="1">_xludf.ifna(VLOOKUP(E2954,Parámetros!$D$2:$E$34,2,0),"")</f>
        <v>#NAME?</v>
      </c>
      <c r="M2954" s="32" t="e">
        <f ca="1">_xludf.ifna(VLOOKUP(G2954,Proyectos!$A$2:$T$674,20,0),"")</f>
        <v>#NAME?</v>
      </c>
      <c r="N2954" s="32" t="e">
        <f ca="1">_xludf.ifna(VLOOKUP(G2954,Proyectos!$A$2:$S$674,19,0))</f>
        <v>#NAME?</v>
      </c>
      <c r="O2954" s="32"/>
      <c r="P2954" s="32"/>
      <c r="Q2954" s="33"/>
      <c r="R2954" s="33"/>
      <c r="S2954" s="33"/>
      <c r="T2954" s="63">
        <f t="shared" si="23"/>
        <v>0</v>
      </c>
      <c r="U2954" s="33"/>
      <c r="V2954" s="33"/>
      <c r="W2954" s="33"/>
    </row>
    <row r="2955" spans="1:23" ht="16.5" customHeight="1" x14ac:dyDescent="0.2">
      <c r="A2955" s="26"/>
      <c r="B2955" s="26"/>
      <c r="C2955" s="26"/>
      <c r="D2955" s="26"/>
      <c r="E2955" s="26"/>
      <c r="F2955" s="28"/>
      <c r="G2955" s="26"/>
      <c r="H2955" s="32"/>
      <c r="I2955" s="32"/>
      <c r="J2955" s="32"/>
      <c r="K2955" s="32"/>
      <c r="L2955" s="32" t="e">
        <f ca="1">_xludf.ifna(VLOOKUP(E2955,Parámetros!$D$2:$E$34,2,0),"")</f>
        <v>#NAME?</v>
      </c>
      <c r="M2955" s="32" t="e">
        <f ca="1">_xludf.ifna(VLOOKUP(G2955,Proyectos!$A$2:$T$674,20,0),"")</f>
        <v>#NAME?</v>
      </c>
      <c r="N2955" s="32" t="e">
        <f ca="1">_xludf.ifna(VLOOKUP(G2955,Proyectos!$A$2:$S$674,19,0))</f>
        <v>#NAME?</v>
      </c>
      <c r="O2955" s="32"/>
      <c r="P2955" s="32"/>
      <c r="Q2955" s="33"/>
      <c r="R2955" s="33"/>
      <c r="S2955" s="33"/>
      <c r="T2955" s="63">
        <f t="shared" si="23"/>
        <v>0</v>
      </c>
      <c r="U2955" s="33"/>
      <c r="V2955" s="33"/>
      <c r="W2955" s="33"/>
    </row>
    <row r="2956" spans="1:23" ht="16.5" customHeight="1" x14ac:dyDescent="0.2">
      <c r="A2956" s="26"/>
      <c r="B2956" s="26"/>
      <c r="C2956" s="26"/>
      <c r="D2956" s="26"/>
      <c r="E2956" s="26"/>
      <c r="F2956" s="28"/>
      <c r="G2956" s="26"/>
      <c r="H2956" s="32"/>
      <c r="I2956" s="32"/>
      <c r="J2956" s="32"/>
      <c r="K2956" s="32"/>
      <c r="L2956" s="32" t="e">
        <f ca="1">_xludf.ifna(VLOOKUP(E2956,Parámetros!$D$2:$E$34,2,0),"")</f>
        <v>#NAME?</v>
      </c>
      <c r="M2956" s="32" t="e">
        <f ca="1">_xludf.ifna(VLOOKUP(G2956,Proyectos!$A$2:$T$674,20,0),"")</f>
        <v>#NAME?</v>
      </c>
      <c r="N2956" s="32" t="e">
        <f ca="1">_xludf.ifna(VLOOKUP(G2956,Proyectos!$A$2:$S$674,19,0))</f>
        <v>#NAME?</v>
      </c>
      <c r="O2956" s="32"/>
      <c r="P2956" s="32"/>
      <c r="Q2956" s="33"/>
      <c r="R2956" s="33"/>
      <c r="S2956" s="33"/>
      <c r="T2956" s="63">
        <f t="shared" si="23"/>
        <v>0</v>
      </c>
      <c r="U2956" s="33"/>
      <c r="V2956" s="33"/>
      <c r="W2956" s="33"/>
    </row>
    <row r="2957" spans="1:23" ht="16.5" customHeight="1" x14ac:dyDescent="0.2">
      <c r="A2957" s="26"/>
      <c r="B2957" s="26"/>
      <c r="C2957" s="26"/>
      <c r="D2957" s="26"/>
      <c r="E2957" s="26"/>
      <c r="F2957" s="28"/>
      <c r="G2957" s="26"/>
      <c r="H2957" s="32"/>
      <c r="I2957" s="32"/>
      <c r="J2957" s="32"/>
      <c r="K2957" s="32"/>
      <c r="L2957" s="32" t="e">
        <f ca="1">_xludf.ifna(VLOOKUP(E2957,Parámetros!$D$2:$E$34,2,0),"")</f>
        <v>#NAME?</v>
      </c>
      <c r="M2957" s="32" t="e">
        <f ca="1">_xludf.ifna(VLOOKUP(G2957,Proyectos!$A$2:$T$674,20,0),"")</f>
        <v>#NAME?</v>
      </c>
      <c r="N2957" s="32" t="e">
        <f ca="1">_xludf.ifna(VLOOKUP(G2957,Proyectos!$A$2:$S$674,19,0))</f>
        <v>#NAME?</v>
      </c>
      <c r="O2957" s="32"/>
      <c r="P2957" s="32"/>
      <c r="Q2957" s="33"/>
      <c r="R2957" s="33"/>
      <c r="S2957" s="33"/>
      <c r="T2957" s="63">
        <f t="shared" si="23"/>
        <v>0</v>
      </c>
      <c r="U2957" s="33"/>
      <c r="V2957" s="33"/>
      <c r="W2957" s="33"/>
    </row>
    <row r="2958" spans="1:23" ht="16.5" customHeight="1" x14ac:dyDescent="0.2">
      <c r="A2958" s="26"/>
      <c r="B2958" s="26"/>
      <c r="C2958" s="26"/>
      <c r="D2958" s="26"/>
      <c r="E2958" s="26"/>
      <c r="F2958" s="28"/>
      <c r="G2958" s="26"/>
      <c r="H2958" s="32"/>
      <c r="I2958" s="32"/>
      <c r="J2958" s="32"/>
      <c r="K2958" s="32"/>
      <c r="L2958" s="32" t="e">
        <f ca="1">_xludf.ifna(VLOOKUP(E2958,Parámetros!$D$2:$E$34,2,0),"")</f>
        <v>#NAME?</v>
      </c>
      <c r="M2958" s="32" t="e">
        <f ca="1">_xludf.ifna(VLOOKUP(G2958,Proyectos!$A$2:$T$674,20,0),"")</f>
        <v>#NAME?</v>
      </c>
      <c r="N2958" s="32" t="e">
        <f ca="1">_xludf.ifna(VLOOKUP(G2958,Proyectos!$A$2:$S$674,19,0))</f>
        <v>#NAME?</v>
      </c>
      <c r="O2958" s="32"/>
      <c r="P2958" s="32"/>
      <c r="Q2958" s="33"/>
      <c r="R2958" s="33"/>
      <c r="S2958" s="33"/>
      <c r="T2958" s="63">
        <f t="shared" si="23"/>
        <v>0</v>
      </c>
      <c r="U2958" s="33"/>
      <c r="V2958" s="33"/>
      <c r="W2958" s="33"/>
    </row>
    <row r="2959" spans="1:23" ht="16.5" customHeight="1" x14ac:dyDescent="0.2">
      <c r="A2959" s="26"/>
      <c r="B2959" s="26"/>
      <c r="C2959" s="26"/>
      <c r="D2959" s="26"/>
      <c r="E2959" s="26"/>
      <c r="F2959" s="28"/>
      <c r="G2959" s="26"/>
      <c r="H2959" s="32"/>
      <c r="I2959" s="32"/>
      <c r="J2959" s="32"/>
      <c r="K2959" s="32"/>
      <c r="L2959" s="32" t="e">
        <f ca="1">_xludf.ifna(VLOOKUP(E2959,Parámetros!$D$2:$E$34,2,0),"")</f>
        <v>#NAME?</v>
      </c>
      <c r="M2959" s="32" t="e">
        <f ca="1">_xludf.ifna(VLOOKUP(G2959,Proyectos!$A$2:$T$674,20,0),"")</f>
        <v>#NAME?</v>
      </c>
      <c r="N2959" s="32" t="e">
        <f ca="1">_xludf.ifna(VLOOKUP(G2959,Proyectos!$A$2:$S$674,19,0))</f>
        <v>#NAME?</v>
      </c>
      <c r="O2959" s="32"/>
      <c r="P2959" s="32"/>
      <c r="Q2959" s="33"/>
      <c r="R2959" s="33"/>
      <c r="S2959" s="33"/>
      <c r="T2959" s="63">
        <f t="shared" si="23"/>
        <v>0</v>
      </c>
      <c r="U2959" s="33"/>
      <c r="V2959" s="33"/>
      <c r="W2959" s="33"/>
    </row>
    <row r="2960" spans="1:23" ht="16.5" customHeight="1" x14ac:dyDescent="0.2">
      <c r="A2960" s="26"/>
      <c r="B2960" s="26"/>
      <c r="C2960" s="26"/>
      <c r="D2960" s="26"/>
      <c r="E2960" s="26"/>
      <c r="F2960" s="28"/>
      <c r="G2960" s="26"/>
      <c r="H2960" s="32"/>
      <c r="I2960" s="32"/>
      <c r="J2960" s="32"/>
      <c r="K2960" s="32"/>
      <c r="L2960" s="32" t="e">
        <f ca="1">_xludf.ifna(VLOOKUP(E2960,Parámetros!$D$2:$E$34,2,0),"")</f>
        <v>#NAME?</v>
      </c>
      <c r="M2960" s="32" t="e">
        <f ca="1">_xludf.ifna(VLOOKUP(G2960,Proyectos!$A$2:$T$674,20,0),"")</f>
        <v>#NAME?</v>
      </c>
      <c r="N2960" s="32" t="e">
        <f ca="1">_xludf.ifna(VLOOKUP(G2960,Proyectos!$A$2:$S$674,19,0))</f>
        <v>#NAME?</v>
      </c>
      <c r="O2960" s="32"/>
      <c r="P2960" s="32"/>
      <c r="Q2960" s="33"/>
      <c r="R2960" s="33"/>
      <c r="S2960" s="33"/>
      <c r="T2960" s="63">
        <f t="shared" si="23"/>
        <v>0</v>
      </c>
      <c r="U2960" s="33"/>
      <c r="V2960" s="33"/>
      <c r="W2960" s="33"/>
    </row>
    <row r="2961" spans="1:23" ht="16.5" customHeight="1" x14ac:dyDescent="0.2">
      <c r="A2961" s="26"/>
      <c r="B2961" s="26"/>
      <c r="C2961" s="26"/>
      <c r="D2961" s="26"/>
      <c r="E2961" s="26"/>
      <c r="F2961" s="28"/>
      <c r="G2961" s="26"/>
      <c r="H2961" s="32"/>
      <c r="I2961" s="32"/>
      <c r="J2961" s="32"/>
      <c r="K2961" s="32"/>
      <c r="L2961" s="32" t="e">
        <f ca="1">_xludf.ifna(VLOOKUP(E2961,Parámetros!$D$2:$E$34,2,0),"")</f>
        <v>#NAME?</v>
      </c>
      <c r="M2961" s="32" t="e">
        <f ca="1">_xludf.ifna(VLOOKUP(G2961,Proyectos!$A$2:$T$674,20,0),"")</f>
        <v>#NAME?</v>
      </c>
      <c r="N2961" s="32" t="e">
        <f ca="1">_xludf.ifna(VLOOKUP(G2961,Proyectos!$A$2:$S$674,19,0))</f>
        <v>#NAME?</v>
      </c>
      <c r="O2961" s="32"/>
      <c r="P2961" s="32"/>
      <c r="Q2961" s="33"/>
      <c r="R2961" s="33"/>
      <c r="S2961" s="33"/>
      <c r="T2961" s="63">
        <f t="shared" si="23"/>
        <v>0</v>
      </c>
      <c r="U2961" s="33"/>
      <c r="V2961" s="33"/>
      <c r="W2961" s="33"/>
    </row>
    <row r="2962" spans="1:23" ht="16.5" customHeight="1" x14ac:dyDescent="0.2">
      <c r="A2962" s="26"/>
      <c r="B2962" s="26"/>
      <c r="C2962" s="26"/>
      <c r="D2962" s="26"/>
      <c r="E2962" s="26"/>
      <c r="F2962" s="28"/>
      <c r="G2962" s="26"/>
      <c r="H2962" s="32"/>
      <c r="I2962" s="32"/>
      <c r="J2962" s="32"/>
      <c r="K2962" s="32"/>
      <c r="L2962" s="32" t="e">
        <f ca="1">_xludf.ifna(VLOOKUP(E2962,Parámetros!$D$2:$E$34,2,0),"")</f>
        <v>#NAME?</v>
      </c>
      <c r="M2962" s="32" t="e">
        <f ca="1">_xludf.ifna(VLOOKUP(G2962,Proyectos!$A$2:$T$674,20,0),"")</f>
        <v>#NAME?</v>
      </c>
      <c r="N2962" s="32" t="e">
        <f ca="1">_xludf.ifna(VLOOKUP(G2962,Proyectos!$A$2:$S$674,19,0))</f>
        <v>#NAME?</v>
      </c>
      <c r="O2962" s="32"/>
      <c r="P2962" s="32"/>
      <c r="Q2962" s="33"/>
      <c r="R2962" s="33"/>
      <c r="S2962" s="33"/>
      <c r="T2962" s="63">
        <f t="shared" si="23"/>
        <v>0</v>
      </c>
      <c r="U2962" s="33"/>
      <c r="V2962" s="33"/>
      <c r="W2962" s="33"/>
    </row>
    <row r="2963" spans="1:23" ht="16.5" customHeight="1" x14ac:dyDescent="0.2">
      <c r="A2963" s="26"/>
      <c r="B2963" s="26"/>
      <c r="C2963" s="26"/>
      <c r="D2963" s="26"/>
      <c r="E2963" s="26"/>
      <c r="F2963" s="28"/>
      <c r="G2963" s="26"/>
      <c r="H2963" s="32"/>
      <c r="I2963" s="32"/>
      <c r="J2963" s="32"/>
      <c r="K2963" s="32"/>
      <c r="L2963" s="32" t="e">
        <f ca="1">_xludf.ifna(VLOOKUP(E2963,Parámetros!$D$2:$E$34,2,0),"")</f>
        <v>#NAME?</v>
      </c>
      <c r="M2963" s="32" t="e">
        <f ca="1">_xludf.ifna(VLOOKUP(G2963,Proyectos!$A$2:$T$674,20,0),"")</f>
        <v>#NAME?</v>
      </c>
      <c r="N2963" s="32" t="e">
        <f ca="1">_xludf.ifna(VLOOKUP(G2963,Proyectos!$A$2:$S$674,19,0))</f>
        <v>#NAME?</v>
      </c>
      <c r="O2963" s="32"/>
      <c r="P2963" s="32"/>
      <c r="Q2963" s="33"/>
      <c r="R2963" s="33"/>
      <c r="S2963" s="33"/>
      <c r="T2963" s="63">
        <f t="shared" si="23"/>
        <v>0</v>
      </c>
      <c r="U2963" s="33"/>
      <c r="V2963" s="33"/>
      <c r="W2963" s="33"/>
    </row>
    <row r="2964" spans="1:23" ht="16.5" customHeight="1" x14ac:dyDescent="0.2">
      <c r="A2964" s="26"/>
      <c r="B2964" s="26"/>
      <c r="C2964" s="26"/>
      <c r="D2964" s="26"/>
      <c r="E2964" s="26"/>
      <c r="F2964" s="28"/>
      <c r="G2964" s="26"/>
      <c r="H2964" s="32"/>
      <c r="I2964" s="32"/>
      <c r="J2964" s="32"/>
      <c r="K2964" s="32"/>
      <c r="L2964" s="32" t="e">
        <f ca="1">_xludf.ifna(VLOOKUP(E2964,Parámetros!$D$2:$E$34,2,0),"")</f>
        <v>#NAME?</v>
      </c>
      <c r="M2964" s="32" t="e">
        <f ca="1">_xludf.ifna(VLOOKUP(G2964,Proyectos!$A$2:$T$674,20,0),"")</f>
        <v>#NAME?</v>
      </c>
      <c r="N2964" s="32" t="e">
        <f ca="1">_xludf.ifna(VLOOKUP(G2964,Proyectos!$A$2:$S$674,19,0))</f>
        <v>#NAME?</v>
      </c>
      <c r="O2964" s="32"/>
      <c r="P2964" s="32"/>
      <c r="Q2964" s="33"/>
      <c r="R2964" s="33"/>
      <c r="S2964" s="33"/>
      <c r="T2964" s="63">
        <f t="shared" si="23"/>
        <v>0</v>
      </c>
      <c r="U2964" s="33"/>
      <c r="V2964" s="33"/>
      <c r="W2964" s="33"/>
    </row>
    <row r="2965" spans="1:23" ht="16.5" customHeight="1" x14ac:dyDescent="0.2">
      <c r="A2965" s="26"/>
      <c r="B2965" s="26"/>
      <c r="C2965" s="26"/>
      <c r="D2965" s="26"/>
      <c r="E2965" s="26"/>
      <c r="F2965" s="28"/>
      <c r="G2965" s="26"/>
      <c r="H2965" s="32"/>
      <c r="I2965" s="32"/>
      <c r="J2965" s="32"/>
      <c r="K2965" s="32"/>
      <c r="L2965" s="32" t="e">
        <f ca="1">_xludf.ifna(VLOOKUP(E2965,Parámetros!$D$2:$E$34,2,0),"")</f>
        <v>#NAME?</v>
      </c>
      <c r="M2965" s="32" t="e">
        <f ca="1">_xludf.ifna(VLOOKUP(G2965,Proyectos!$A$2:$T$674,20,0),"")</f>
        <v>#NAME?</v>
      </c>
      <c r="N2965" s="32" t="e">
        <f ca="1">_xludf.ifna(VLOOKUP(G2965,Proyectos!$A$2:$S$674,19,0))</f>
        <v>#NAME?</v>
      </c>
      <c r="O2965" s="32"/>
      <c r="P2965" s="32"/>
      <c r="Q2965" s="33"/>
      <c r="R2965" s="33"/>
      <c r="S2965" s="33"/>
      <c r="T2965" s="63">
        <f t="shared" si="23"/>
        <v>0</v>
      </c>
      <c r="U2965" s="33"/>
      <c r="V2965" s="33"/>
      <c r="W2965" s="33"/>
    </row>
    <row r="2966" spans="1:23" ht="16.5" customHeight="1" x14ac:dyDescent="0.2">
      <c r="A2966" s="26"/>
      <c r="B2966" s="26"/>
      <c r="C2966" s="26"/>
      <c r="D2966" s="26"/>
      <c r="E2966" s="26"/>
      <c r="F2966" s="28"/>
      <c r="G2966" s="26"/>
      <c r="H2966" s="32"/>
      <c r="I2966" s="32"/>
      <c r="J2966" s="32"/>
      <c r="K2966" s="32"/>
      <c r="L2966" s="32" t="e">
        <f ca="1">_xludf.ifna(VLOOKUP(E2966,Parámetros!$D$2:$E$34,2,0),"")</f>
        <v>#NAME?</v>
      </c>
      <c r="M2966" s="32" t="e">
        <f ca="1">_xludf.ifna(VLOOKUP(G2966,Proyectos!$A$2:$T$674,20,0),"")</f>
        <v>#NAME?</v>
      </c>
      <c r="N2966" s="32" t="e">
        <f ca="1">_xludf.ifna(VLOOKUP(G2966,Proyectos!$A$2:$S$674,19,0))</f>
        <v>#NAME?</v>
      </c>
      <c r="O2966" s="32"/>
      <c r="P2966" s="32"/>
      <c r="Q2966" s="33"/>
      <c r="R2966" s="33"/>
      <c r="S2966" s="33"/>
      <c r="T2966" s="63">
        <f t="shared" si="23"/>
        <v>0</v>
      </c>
      <c r="U2966" s="33"/>
      <c r="V2966" s="33"/>
      <c r="W2966" s="33"/>
    </row>
    <row r="2967" spans="1:23" ht="16.5" customHeight="1" x14ac:dyDescent="0.2">
      <c r="A2967" s="26"/>
      <c r="B2967" s="26"/>
      <c r="C2967" s="26"/>
      <c r="D2967" s="26"/>
      <c r="E2967" s="26"/>
      <c r="F2967" s="28"/>
      <c r="G2967" s="26"/>
      <c r="H2967" s="32"/>
      <c r="I2967" s="32"/>
      <c r="J2967" s="32"/>
      <c r="K2967" s="32"/>
      <c r="L2967" s="32" t="e">
        <f ca="1">_xludf.ifna(VLOOKUP(E2967,Parámetros!$D$2:$E$34,2,0),"")</f>
        <v>#NAME?</v>
      </c>
      <c r="M2967" s="32" t="e">
        <f ca="1">_xludf.ifna(VLOOKUP(G2967,Proyectos!$A$2:$T$674,20,0),"")</f>
        <v>#NAME?</v>
      </c>
      <c r="N2967" s="32" t="e">
        <f ca="1">_xludf.ifna(VLOOKUP(G2967,Proyectos!$A$2:$S$674,19,0))</f>
        <v>#NAME?</v>
      </c>
      <c r="O2967" s="32"/>
      <c r="P2967" s="32"/>
      <c r="Q2967" s="33"/>
      <c r="R2967" s="33"/>
      <c r="S2967" s="33"/>
      <c r="T2967" s="63">
        <f t="shared" si="23"/>
        <v>0</v>
      </c>
      <c r="U2967" s="33"/>
      <c r="V2967" s="33"/>
      <c r="W2967" s="33"/>
    </row>
    <row r="2968" spans="1:23" ht="16.5" customHeight="1" x14ac:dyDescent="0.2">
      <c r="A2968" s="26"/>
      <c r="B2968" s="26"/>
      <c r="C2968" s="26"/>
      <c r="D2968" s="26"/>
      <c r="E2968" s="26"/>
      <c r="F2968" s="28"/>
      <c r="G2968" s="26"/>
      <c r="H2968" s="32"/>
      <c r="I2968" s="32"/>
      <c r="J2968" s="32"/>
      <c r="K2968" s="32"/>
      <c r="L2968" s="32" t="e">
        <f ca="1">_xludf.ifna(VLOOKUP(E2968,Parámetros!$D$2:$E$34,2,0),"")</f>
        <v>#NAME?</v>
      </c>
      <c r="M2968" s="32" t="e">
        <f ca="1">_xludf.ifna(VLOOKUP(G2968,Proyectos!$A$2:$T$674,20,0),"")</f>
        <v>#NAME?</v>
      </c>
      <c r="N2968" s="32" t="e">
        <f ca="1">_xludf.ifna(VLOOKUP(G2968,Proyectos!$A$2:$S$674,19,0))</f>
        <v>#NAME?</v>
      </c>
      <c r="O2968" s="32"/>
      <c r="P2968" s="32"/>
      <c r="Q2968" s="33"/>
      <c r="R2968" s="33"/>
      <c r="S2968" s="33"/>
      <c r="T2968" s="63">
        <f t="shared" si="23"/>
        <v>0</v>
      </c>
      <c r="U2968" s="33"/>
      <c r="V2968" s="33"/>
      <c r="W2968" s="33"/>
    </row>
    <row r="2969" spans="1:23" ht="16.5" customHeight="1" x14ac:dyDescent="0.2">
      <c r="A2969" s="26"/>
      <c r="B2969" s="26"/>
      <c r="C2969" s="26"/>
      <c r="D2969" s="26"/>
      <c r="E2969" s="26"/>
      <c r="F2969" s="28"/>
      <c r="G2969" s="26"/>
      <c r="H2969" s="32"/>
      <c r="I2969" s="32"/>
      <c r="J2969" s="32"/>
      <c r="K2969" s="32"/>
      <c r="L2969" s="32" t="e">
        <f ca="1">_xludf.ifna(VLOOKUP(E2969,Parámetros!$D$2:$E$34,2,0),"")</f>
        <v>#NAME?</v>
      </c>
      <c r="M2969" s="32" t="e">
        <f ca="1">_xludf.ifna(VLOOKUP(G2969,Proyectos!$A$2:$T$674,20,0),"")</f>
        <v>#NAME?</v>
      </c>
      <c r="N2969" s="32" t="e">
        <f ca="1">_xludf.ifna(VLOOKUP(G2969,Proyectos!$A$2:$S$674,19,0))</f>
        <v>#NAME?</v>
      </c>
      <c r="O2969" s="32"/>
      <c r="P2969" s="32"/>
      <c r="Q2969" s="33"/>
      <c r="R2969" s="33"/>
      <c r="S2969" s="33"/>
      <c r="T2969" s="63">
        <f t="shared" si="23"/>
        <v>0</v>
      </c>
      <c r="U2969" s="33"/>
      <c r="V2969" s="33"/>
      <c r="W2969" s="33"/>
    </row>
    <row r="2970" spans="1:23" ht="16.5" customHeight="1" x14ac:dyDescent="0.2">
      <c r="A2970" s="26"/>
      <c r="B2970" s="26"/>
      <c r="C2970" s="26"/>
      <c r="D2970" s="26"/>
      <c r="E2970" s="26"/>
      <c r="F2970" s="28"/>
      <c r="G2970" s="26"/>
      <c r="H2970" s="32"/>
      <c r="I2970" s="32"/>
      <c r="J2970" s="32"/>
      <c r="K2970" s="32"/>
      <c r="L2970" s="32" t="e">
        <f ca="1">_xludf.ifna(VLOOKUP(E2970,Parámetros!$D$2:$E$34,2,0),"")</f>
        <v>#NAME?</v>
      </c>
      <c r="M2970" s="32" t="e">
        <f ca="1">_xludf.ifna(VLOOKUP(G2970,Proyectos!$A$2:$T$674,20,0),"")</f>
        <v>#NAME?</v>
      </c>
      <c r="N2970" s="32" t="e">
        <f ca="1">_xludf.ifna(VLOOKUP(G2970,Proyectos!$A$2:$S$674,19,0))</f>
        <v>#NAME?</v>
      </c>
      <c r="O2970" s="32"/>
      <c r="P2970" s="32"/>
      <c r="Q2970" s="33"/>
      <c r="R2970" s="33"/>
      <c r="S2970" s="33"/>
      <c r="T2970" s="63">
        <f t="shared" si="23"/>
        <v>0</v>
      </c>
      <c r="U2970" s="33"/>
      <c r="V2970" s="33"/>
      <c r="W2970" s="33"/>
    </row>
    <row r="2971" spans="1:23" ht="16.5" customHeight="1" x14ac:dyDescent="0.2">
      <c r="A2971" s="26"/>
      <c r="B2971" s="26"/>
      <c r="C2971" s="26"/>
      <c r="D2971" s="26"/>
      <c r="E2971" s="26"/>
      <c r="F2971" s="28"/>
      <c r="G2971" s="26"/>
      <c r="H2971" s="32"/>
      <c r="I2971" s="32"/>
      <c r="J2971" s="32"/>
      <c r="K2971" s="32"/>
      <c r="L2971" s="32" t="e">
        <f ca="1">_xludf.ifna(VLOOKUP(E2971,Parámetros!$D$2:$E$34,2,0),"")</f>
        <v>#NAME?</v>
      </c>
      <c r="M2971" s="32" t="e">
        <f ca="1">_xludf.ifna(VLOOKUP(G2971,Proyectos!$A$2:$T$674,20,0),"")</f>
        <v>#NAME?</v>
      </c>
      <c r="N2971" s="32" t="e">
        <f ca="1">_xludf.ifna(VLOOKUP(G2971,Proyectos!$A$2:$S$674,19,0))</f>
        <v>#NAME?</v>
      </c>
      <c r="O2971" s="32"/>
      <c r="P2971" s="32"/>
      <c r="Q2971" s="33"/>
      <c r="R2971" s="33"/>
      <c r="S2971" s="33"/>
      <c r="T2971" s="63">
        <f t="shared" si="23"/>
        <v>0</v>
      </c>
      <c r="U2971" s="33"/>
      <c r="V2971" s="33"/>
      <c r="W2971" s="33"/>
    </row>
    <row r="2972" spans="1:23" ht="16.5" customHeight="1" x14ac:dyDescent="0.2">
      <c r="A2972" s="26"/>
      <c r="B2972" s="26"/>
      <c r="C2972" s="26"/>
      <c r="D2972" s="26"/>
      <c r="E2972" s="26"/>
      <c r="F2972" s="28"/>
      <c r="G2972" s="26"/>
      <c r="H2972" s="32"/>
      <c r="I2972" s="32"/>
      <c r="J2972" s="32"/>
      <c r="K2972" s="32"/>
      <c r="L2972" s="32" t="e">
        <f ca="1">_xludf.ifna(VLOOKUP(E2972,Parámetros!$D$2:$E$34,2,0),"")</f>
        <v>#NAME?</v>
      </c>
      <c r="M2972" s="32" t="e">
        <f ca="1">_xludf.ifna(VLOOKUP(G2972,Proyectos!$A$2:$T$674,20,0),"")</f>
        <v>#NAME?</v>
      </c>
      <c r="N2972" s="32" t="e">
        <f ca="1">_xludf.ifna(VLOOKUP(G2972,Proyectos!$A$2:$S$674,19,0))</f>
        <v>#NAME?</v>
      </c>
      <c r="O2972" s="32"/>
      <c r="P2972" s="32"/>
      <c r="Q2972" s="33"/>
      <c r="R2972" s="33"/>
      <c r="S2972" s="33"/>
      <c r="T2972" s="63">
        <f t="shared" si="23"/>
        <v>0</v>
      </c>
      <c r="U2972" s="33"/>
      <c r="V2972" s="33"/>
      <c r="W2972" s="33"/>
    </row>
    <row r="2973" spans="1:23" ht="16.5" customHeight="1" x14ac:dyDescent="0.2">
      <c r="A2973" s="26"/>
      <c r="B2973" s="26"/>
      <c r="C2973" s="26"/>
      <c r="D2973" s="26"/>
      <c r="E2973" s="26"/>
      <c r="F2973" s="28"/>
      <c r="G2973" s="26"/>
      <c r="H2973" s="32"/>
      <c r="I2973" s="32"/>
      <c r="J2973" s="32"/>
      <c r="K2973" s="32"/>
      <c r="L2973" s="32" t="e">
        <f ca="1">_xludf.ifna(VLOOKUP(E2973,Parámetros!$D$2:$E$34,2,0),"")</f>
        <v>#NAME?</v>
      </c>
      <c r="M2973" s="32" t="e">
        <f ca="1">_xludf.ifna(VLOOKUP(G2973,Proyectos!$A$2:$T$674,20,0),"")</f>
        <v>#NAME?</v>
      </c>
      <c r="N2973" s="32" t="e">
        <f ca="1">_xludf.ifna(VLOOKUP(G2973,Proyectos!$A$2:$S$674,19,0))</f>
        <v>#NAME?</v>
      </c>
      <c r="O2973" s="32"/>
      <c r="P2973" s="32"/>
      <c r="Q2973" s="33"/>
      <c r="R2973" s="33"/>
      <c r="S2973" s="33"/>
      <c r="T2973" s="63">
        <f t="shared" si="23"/>
        <v>0</v>
      </c>
      <c r="U2973" s="33"/>
      <c r="V2973" s="33"/>
      <c r="W2973" s="33"/>
    </row>
    <row r="2974" spans="1:23" ht="16.5" customHeight="1" x14ac:dyDescent="0.2">
      <c r="A2974" s="26"/>
      <c r="B2974" s="26"/>
      <c r="C2974" s="26"/>
      <c r="D2974" s="26"/>
      <c r="E2974" s="26"/>
      <c r="F2974" s="28"/>
      <c r="G2974" s="26"/>
      <c r="H2974" s="32"/>
      <c r="I2974" s="32"/>
      <c r="J2974" s="32"/>
      <c r="K2974" s="32"/>
      <c r="L2974" s="32" t="e">
        <f ca="1">_xludf.ifna(VLOOKUP(E2974,Parámetros!$D$2:$E$34,2,0),"")</f>
        <v>#NAME?</v>
      </c>
      <c r="M2974" s="32" t="e">
        <f ca="1">_xludf.ifna(VLOOKUP(G2974,Proyectos!$A$2:$T$674,20,0),"")</f>
        <v>#NAME?</v>
      </c>
      <c r="N2974" s="32" t="e">
        <f ca="1">_xludf.ifna(VLOOKUP(G2974,Proyectos!$A$2:$S$674,19,0))</f>
        <v>#NAME?</v>
      </c>
      <c r="O2974" s="32"/>
      <c r="P2974" s="32"/>
      <c r="Q2974" s="33"/>
      <c r="R2974" s="33"/>
      <c r="S2974" s="33"/>
      <c r="T2974" s="63">
        <f t="shared" si="23"/>
        <v>0</v>
      </c>
      <c r="U2974" s="33"/>
      <c r="V2974" s="33"/>
      <c r="W2974" s="33"/>
    </row>
    <row r="2975" spans="1:23" ht="16.5" customHeight="1" x14ac:dyDescent="0.2">
      <c r="A2975" s="26"/>
      <c r="B2975" s="26"/>
      <c r="C2975" s="26"/>
      <c r="D2975" s="26"/>
      <c r="E2975" s="26"/>
      <c r="F2975" s="28"/>
      <c r="G2975" s="26"/>
      <c r="H2975" s="32"/>
      <c r="I2975" s="32"/>
      <c r="J2975" s="32"/>
      <c r="K2975" s="32"/>
      <c r="L2975" s="32" t="e">
        <f ca="1">_xludf.ifna(VLOOKUP(E2975,Parámetros!$D$2:$E$34,2,0),"")</f>
        <v>#NAME?</v>
      </c>
      <c r="M2975" s="32" t="e">
        <f ca="1">_xludf.ifna(VLOOKUP(G2975,Proyectos!$A$2:$T$674,20,0),"")</f>
        <v>#NAME?</v>
      </c>
      <c r="N2975" s="32" t="e">
        <f ca="1">_xludf.ifna(VLOOKUP(G2975,Proyectos!$A$2:$S$674,19,0))</f>
        <v>#NAME?</v>
      </c>
      <c r="O2975" s="32"/>
      <c r="P2975" s="32"/>
      <c r="Q2975" s="33"/>
      <c r="R2975" s="33"/>
      <c r="S2975" s="33"/>
      <c r="T2975" s="63">
        <f t="shared" si="23"/>
        <v>0</v>
      </c>
      <c r="U2975" s="33"/>
      <c r="V2975" s="33"/>
      <c r="W2975" s="33"/>
    </row>
    <row r="2976" spans="1:23" ht="16.5" customHeight="1" x14ac:dyDescent="0.2">
      <c r="A2976" s="26"/>
      <c r="B2976" s="26"/>
      <c r="C2976" s="26"/>
      <c r="D2976" s="26"/>
      <c r="E2976" s="26"/>
      <c r="F2976" s="28"/>
      <c r="G2976" s="26"/>
      <c r="H2976" s="32"/>
      <c r="I2976" s="32"/>
      <c r="J2976" s="32"/>
      <c r="K2976" s="32"/>
      <c r="L2976" s="32" t="e">
        <f ca="1">_xludf.ifna(VLOOKUP(E2976,Parámetros!$D$2:$E$34,2,0),"")</f>
        <v>#NAME?</v>
      </c>
      <c r="M2976" s="32" t="e">
        <f ca="1">_xludf.ifna(VLOOKUP(G2976,Proyectos!$A$2:$T$674,20,0),"")</f>
        <v>#NAME?</v>
      </c>
      <c r="N2976" s="32" t="e">
        <f ca="1">_xludf.ifna(VLOOKUP(G2976,Proyectos!$A$2:$S$674,19,0))</f>
        <v>#NAME?</v>
      </c>
      <c r="O2976" s="32"/>
      <c r="P2976" s="32"/>
      <c r="Q2976" s="33"/>
      <c r="R2976" s="33"/>
      <c r="S2976" s="33"/>
      <c r="T2976" s="63">
        <f t="shared" si="23"/>
        <v>0</v>
      </c>
      <c r="U2976" s="33"/>
      <c r="V2976" s="33"/>
      <c r="W2976" s="33"/>
    </row>
    <row r="2977" spans="1:23" ht="16.5" customHeight="1" x14ac:dyDescent="0.2">
      <c r="A2977" s="26"/>
      <c r="B2977" s="26"/>
      <c r="C2977" s="26"/>
      <c r="D2977" s="26"/>
      <c r="E2977" s="26"/>
      <c r="F2977" s="28"/>
      <c r="G2977" s="26"/>
      <c r="H2977" s="32"/>
      <c r="I2977" s="32"/>
      <c r="J2977" s="32"/>
      <c r="K2977" s="32"/>
      <c r="L2977" s="32" t="e">
        <f ca="1">_xludf.ifna(VLOOKUP(E2977,Parámetros!$D$2:$E$34,2,0),"")</f>
        <v>#NAME?</v>
      </c>
      <c r="M2977" s="32" t="e">
        <f ca="1">_xludf.ifna(VLOOKUP(G2977,Proyectos!$A$2:$T$674,20,0),"")</f>
        <v>#NAME?</v>
      </c>
      <c r="N2977" s="32" t="e">
        <f ca="1">_xludf.ifna(VLOOKUP(G2977,Proyectos!$A$2:$S$674,19,0))</f>
        <v>#NAME?</v>
      </c>
      <c r="O2977" s="32"/>
      <c r="P2977" s="32"/>
      <c r="Q2977" s="33"/>
      <c r="R2977" s="33"/>
      <c r="S2977" s="33"/>
      <c r="T2977" s="63">
        <f t="shared" si="23"/>
        <v>0</v>
      </c>
      <c r="U2977" s="33"/>
      <c r="V2977" s="33"/>
      <c r="W2977" s="33"/>
    </row>
    <row r="2978" spans="1:23" ht="16.5" customHeight="1" x14ac:dyDescent="0.2">
      <c r="A2978" s="26"/>
      <c r="B2978" s="26"/>
      <c r="C2978" s="26"/>
      <c r="D2978" s="26"/>
      <c r="E2978" s="26"/>
      <c r="F2978" s="28"/>
      <c r="G2978" s="26"/>
      <c r="H2978" s="32"/>
      <c r="I2978" s="32"/>
      <c r="J2978" s="32"/>
      <c r="K2978" s="32"/>
      <c r="L2978" s="32" t="e">
        <f ca="1">_xludf.ifna(VLOOKUP(E2978,Parámetros!$D$2:$E$34,2,0),"")</f>
        <v>#NAME?</v>
      </c>
      <c r="M2978" s="32" t="e">
        <f ca="1">_xludf.ifna(VLOOKUP(G2978,Proyectos!$A$2:$T$674,20,0),"")</f>
        <v>#NAME?</v>
      </c>
      <c r="N2978" s="32" t="e">
        <f ca="1">_xludf.ifna(VLOOKUP(G2978,Proyectos!$A$2:$S$674,19,0))</f>
        <v>#NAME?</v>
      </c>
      <c r="O2978" s="32"/>
      <c r="P2978" s="32"/>
      <c r="Q2978" s="33"/>
      <c r="R2978" s="33"/>
      <c r="S2978" s="33"/>
      <c r="T2978" s="63">
        <f t="shared" si="23"/>
        <v>0</v>
      </c>
      <c r="U2978" s="33"/>
      <c r="V2978" s="33"/>
      <c r="W2978" s="33"/>
    </row>
    <row r="2979" spans="1:23" ht="16.5" customHeight="1" x14ac:dyDescent="0.2">
      <c r="A2979" s="26"/>
      <c r="B2979" s="26"/>
      <c r="C2979" s="26"/>
      <c r="D2979" s="26"/>
      <c r="E2979" s="26"/>
      <c r="F2979" s="28"/>
      <c r="G2979" s="26"/>
      <c r="H2979" s="32"/>
      <c r="I2979" s="32"/>
      <c r="J2979" s="32"/>
      <c r="K2979" s="32"/>
      <c r="L2979" s="32" t="e">
        <f ca="1">_xludf.ifna(VLOOKUP(E2979,Parámetros!$D$2:$E$34,2,0),"")</f>
        <v>#NAME?</v>
      </c>
      <c r="M2979" s="32" t="e">
        <f ca="1">_xludf.ifna(VLOOKUP(G2979,Proyectos!$A$2:$T$674,20,0),"")</f>
        <v>#NAME?</v>
      </c>
      <c r="N2979" s="32" t="e">
        <f ca="1">_xludf.ifna(VLOOKUP(G2979,Proyectos!$A$2:$S$674,19,0))</f>
        <v>#NAME?</v>
      </c>
      <c r="O2979" s="32"/>
      <c r="P2979" s="32"/>
      <c r="Q2979" s="33"/>
      <c r="R2979" s="33"/>
      <c r="S2979" s="33"/>
      <c r="T2979" s="63">
        <f t="shared" si="23"/>
        <v>0</v>
      </c>
      <c r="U2979" s="33"/>
      <c r="V2979" s="33"/>
      <c r="W2979" s="33"/>
    </row>
    <row r="2980" spans="1:23" ht="16.5" customHeight="1" x14ac:dyDescent="0.2">
      <c r="A2980" s="26"/>
      <c r="B2980" s="26"/>
      <c r="C2980" s="26"/>
      <c r="D2980" s="26"/>
      <c r="E2980" s="26"/>
      <c r="F2980" s="28"/>
      <c r="G2980" s="26"/>
      <c r="H2980" s="32"/>
      <c r="I2980" s="32"/>
      <c r="J2980" s="32"/>
      <c r="K2980" s="32"/>
      <c r="L2980" s="32" t="e">
        <f ca="1">_xludf.ifna(VLOOKUP(E2980,Parámetros!$D$2:$E$34,2,0),"")</f>
        <v>#NAME?</v>
      </c>
      <c r="M2980" s="32" t="e">
        <f ca="1">_xludf.ifna(VLOOKUP(G2980,Proyectos!$A$2:$T$674,20,0),"")</f>
        <v>#NAME?</v>
      </c>
      <c r="N2980" s="32" t="e">
        <f ca="1">_xludf.ifna(VLOOKUP(G2980,Proyectos!$A$2:$S$674,19,0))</f>
        <v>#NAME?</v>
      </c>
      <c r="O2980" s="32"/>
      <c r="P2980" s="32"/>
      <c r="Q2980" s="33"/>
      <c r="R2980" s="33"/>
      <c r="S2980" s="33"/>
      <c r="T2980" s="63">
        <f t="shared" si="23"/>
        <v>0</v>
      </c>
      <c r="U2980" s="33"/>
      <c r="V2980" s="33"/>
      <c r="W2980" s="33"/>
    </row>
    <row r="2981" spans="1:23" ht="16.5" customHeight="1" x14ac:dyDescent="0.2">
      <c r="A2981" s="26"/>
      <c r="B2981" s="26"/>
      <c r="C2981" s="26"/>
      <c r="D2981" s="26"/>
      <c r="E2981" s="26"/>
      <c r="F2981" s="28"/>
      <c r="G2981" s="26"/>
      <c r="H2981" s="32"/>
      <c r="I2981" s="32"/>
      <c r="J2981" s="32"/>
      <c r="K2981" s="32"/>
      <c r="L2981" s="32" t="e">
        <f ca="1">_xludf.ifna(VLOOKUP(E2981,Parámetros!$D$2:$E$34,2,0),"")</f>
        <v>#NAME?</v>
      </c>
      <c r="M2981" s="32" t="e">
        <f ca="1">_xludf.ifna(VLOOKUP(G2981,Proyectos!$A$2:$T$674,20,0),"")</f>
        <v>#NAME?</v>
      </c>
      <c r="N2981" s="32" t="e">
        <f ca="1">_xludf.ifna(VLOOKUP(G2981,Proyectos!$A$2:$S$674,19,0))</f>
        <v>#NAME?</v>
      </c>
      <c r="O2981" s="32"/>
      <c r="P2981" s="32"/>
      <c r="Q2981" s="33"/>
      <c r="R2981" s="33"/>
      <c r="S2981" s="33"/>
      <c r="T2981" s="63">
        <f t="shared" si="23"/>
        <v>0</v>
      </c>
      <c r="U2981" s="33"/>
      <c r="V2981" s="33"/>
      <c r="W2981" s="33"/>
    </row>
    <row r="2982" spans="1:23" ht="16.5" customHeight="1" x14ac:dyDescent="0.2">
      <c r="A2982" s="26"/>
      <c r="B2982" s="26"/>
      <c r="C2982" s="26"/>
      <c r="D2982" s="26"/>
      <c r="E2982" s="26"/>
      <c r="F2982" s="28"/>
      <c r="G2982" s="26"/>
      <c r="H2982" s="32"/>
      <c r="I2982" s="32"/>
      <c r="J2982" s="32"/>
      <c r="K2982" s="32"/>
      <c r="L2982" s="32" t="e">
        <f ca="1">_xludf.ifna(VLOOKUP(E2982,Parámetros!$D$2:$E$34,2,0),"")</f>
        <v>#NAME?</v>
      </c>
      <c r="M2982" s="32" t="e">
        <f ca="1">_xludf.ifna(VLOOKUP(G2982,Proyectos!$A$2:$T$674,20,0),"")</f>
        <v>#NAME?</v>
      </c>
      <c r="N2982" s="32" t="e">
        <f ca="1">_xludf.ifna(VLOOKUP(G2982,Proyectos!$A$2:$S$674,19,0))</f>
        <v>#NAME?</v>
      </c>
      <c r="O2982" s="32"/>
      <c r="P2982" s="32"/>
      <c r="Q2982" s="33"/>
      <c r="R2982" s="33"/>
      <c r="S2982" s="33"/>
      <c r="T2982" s="63">
        <f t="shared" si="23"/>
        <v>0</v>
      </c>
      <c r="U2982" s="33"/>
      <c r="V2982" s="33"/>
      <c r="W2982" s="33"/>
    </row>
    <row r="2983" spans="1:23" ht="16.5" customHeight="1" x14ac:dyDescent="0.2">
      <c r="A2983" s="26"/>
      <c r="B2983" s="26"/>
      <c r="C2983" s="26"/>
      <c r="D2983" s="26"/>
      <c r="E2983" s="26"/>
      <c r="F2983" s="28"/>
      <c r="G2983" s="26"/>
      <c r="H2983" s="32"/>
      <c r="I2983" s="32"/>
      <c r="J2983" s="32"/>
      <c r="K2983" s="32"/>
      <c r="L2983" s="32" t="e">
        <f ca="1">_xludf.ifna(VLOOKUP(E2983,Parámetros!$D$2:$E$34,2,0),"")</f>
        <v>#NAME?</v>
      </c>
      <c r="M2983" s="32" t="e">
        <f ca="1">_xludf.ifna(VLOOKUP(G2983,Proyectos!$A$2:$T$674,20,0),"")</f>
        <v>#NAME?</v>
      </c>
      <c r="N2983" s="32" t="e">
        <f ca="1">_xludf.ifna(VLOOKUP(G2983,Proyectos!$A$2:$S$674,19,0))</f>
        <v>#NAME?</v>
      </c>
      <c r="O2983" s="32"/>
      <c r="P2983" s="32"/>
      <c r="Q2983" s="33"/>
      <c r="R2983" s="33"/>
      <c r="S2983" s="33"/>
      <c r="T2983" s="63">
        <f t="shared" si="23"/>
        <v>0</v>
      </c>
      <c r="U2983" s="33"/>
      <c r="V2983" s="33"/>
      <c r="W2983" s="33"/>
    </row>
    <row r="2984" spans="1:23" ht="16.5" customHeight="1" x14ac:dyDescent="0.2">
      <c r="A2984" s="26"/>
      <c r="B2984" s="26"/>
      <c r="C2984" s="26"/>
      <c r="D2984" s="26"/>
      <c r="E2984" s="26"/>
      <c r="F2984" s="28"/>
      <c r="G2984" s="26"/>
      <c r="H2984" s="32"/>
      <c r="I2984" s="32"/>
      <c r="J2984" s="32"/>
      <c r="K2984" s="32"/>
      <c r="L2984" s="32" t="e">
        <f ca="1">_xludf.ifna(VLOOKUP(E2984,Parámetros!$D$2:$E$34,2,0),"")</f>
        <v>#NAME?</v>
      </c>
      <c r="M2984" s="32" t="e">
        <f ca="1">_xludf.ifna(VLOOKUP(G2984,Proyectos!$A$2:$T$674,20,0),"")</f>
        <v>#NAME?</v>
      </c>
      <c r="N2984" s="32" t="e">
        <f ca="1">_xludf.ifna(VLOOKUP(G2984,Proyectos!$A$2:$S$674,19,0))</f>
        <v>#NAME?</v>
      </c>
      <c r="O2984" s="32"/>
      <c r="P2984" s="32"/>
      <c r="Q2984" s="33"/>
      <c r="R2984" s="33"/>
      <c r="S2984" s="33"/>
      <c r="T2984" s="63">
        <f t="shared" si="23"/>
        <v>0</v>
      </c>
      <c r="U2984" s="33"/>
      <c r="V2984" s="33"/>
      <c r="W2984" s="33"/>
    </row>
    <row r="2985" spans="1:23" ht="16.5" customHeight="1" x14ac:dyDescent="0.2">
      <c r="A2985" s="26"/>
      <c r="B2985" s="26"/>
      <c r="C2985" s="26"/>
      <c r="D2985" s="26"/>
      <c r="E2985" s="26"/>
      <c r="F2985" s="28"/>
      <c r="G2985" s="26"/>
      <c r="H2985" s="32"/>
      <c r="I2985" s="32"/>
      <c r="J2985" s="32"/>
      <c r="K2985" s="32"/>
      <c r="L2985" s="32" t="e">
        <f ca="1">_xludf.ifna(VLOOKUP(E2985,Parámetros!$D$2:$E$34,2,0),"")</f>
        <v>#NAME?</v>
      </c>
      <c r="M2985" s="32" t="e">
        <f ca="1">_xludf.ifna(VLOOKUP(G2985,Proyectos!$A$2:$T$674,20,0),"")</f>
        <v>#NAME?</v>
      </c>
      <c r="N2985" s="32" t="e">
        <f ca="1">_xludf.ifna(VLOOKUP(G2985,Proyectos!$A$2:$S$674,19,0))</f>
        <v>#NAME?</v>
      </c>
      <c r="O2985" s="32"/>
      <c r="P2985" s="32"/>
      <c r="Q2985" s="33"/>
      <c r="R2985" s="33"/>
      <c r="S2985" s="33"/>
      <c r="T2985" s="63">
        <f t="shared" si="23"/>
        <v>0</v>
      </c>
      <c r="U2985" s="33"/>
      <c r="V2985" s="33"/>
      <c r="W2985" s="33"/>
    </row>
    <row r="2986" spans="1:23" ht="16.5" customHeight="1" x14ac:dyDescent="0.2">
      <c r="A2986" s="26"/>
      <c r="B2986" s="26"/>
      <c r="C2986" s="26"/>
      <c r="D2986" s="26"/>
      <c r="E2986" s="26"/>
      <c r="F2986" s="28"/>
      <c r="G2986" s="26"/>
      <c r="H2986" s="32"/>
      <c r="I2986" s="32"/>
      <c r="J2986" s="32"/>
      <c r="K2986" s="32"/>
      <c r="L2986" s="32" t="e">
        <f ca="1">_xludf.ifna(VLOOKUP(E2986,Parámetros!$D$2:$E$34,2,0),"")</f>
        <v>#NAME?</v>
      </c>
      <c r="M2986" s="32" t="e">
        <f ca="1">_xludf.ifna(VLOOKUP(G2986,Proyectos!$A$2:$T$674,20,0),"")</f>
        <v>#NAME?</v>
      </c>
      <c r="N2986" s="32" t="e">
        <f ca="1">_xludf.ifna(VLOOKUP(G2986,Proyectos!$A$2:$S$674,19,0))</f>
        <v>#NAME?</v>
      </c>
      <c r="O2986" s="32"/>
      <c r="P2986" s="32"/>
      <c r="Q2986" s="33"/>
      <c r="R2986" s="33"/>
      <c r="S2986" s="33"/>
      <c r="T2986" s="63">
        <f t="shared" si="23"/>
        <v>0</v>
      </c>
      <c r="U2986" s="33"/>
      <c r="V2986" s="33"/>
      <c r="W2986" s="33"/>
    </row>
    <row r="2987" spans="1:23" ht="16.5" customHeight="1" x14ac:dyDescent="0.2">
      <c r="A2987" s="26"/>
      <c r="B2987" s="26"/>
      <c r="C2987" s="26"/>
      <c r="D2987" s="26"/>
      <c r="E2987" s="26"/>
      <c r="F2987" s="28"/>
      <c r="G2987" s="26"/>
      <c r="H2987" s="32"/>
      <c r="I2987" s="32"/>
      <c r="J2987" s="32"/>
      <c r="K2987" s="32"/>
      <c r="L2987" s="32" t="e">
        <f ca="1">_xludf.ifna(VLOOKUP(E2987,Parámetros!$D$2:$E$34,2,0),"")</f>
        <v>#NAME?</v>
      </c>
      <c r="M2987" s="32" t="e">
        <f ca="1">_xludf.ifna(VLOOKUP(G2987,Proyectos!$A$2:$T$674,20,0),"")</f>
        <v>#NAME?</v>
      </c>
      <c r="N2987" s="32" t="e">
        <f ca="1">_xludf.ifna(VLOOKUP(G2987,Proyectos!$A$2:$S$674,19,0))</f>
        <v>#NAME?</v>
      </c>
      <c r="O2987" s="32"/>
      <c r="P2987" s="32"/>
      <c r="Q2987" s="33"/>
      <c r="R2987" s="33"/>
      <c r="S2987" s="33"/>
      <c r="T2987" s="63">
        <f t="shared" si="23"/>
        <v>0</v>
      </c>
      <c r="U2987" s="33"/>
      <c r="V2987" s="33"/>
      <c r="W2987" s="33"/>
    </row>
    <row r="2988" spans="1:23" ht="16.5" customHeight="1" x14ac:dyDescent="0.2">
      <c r="A2988" s="26"/>
      <c r="B2988" s="26"/>
      <c r="C2988" s="26"/>
      <c r="D2988" s="26"/>
      <c r="E2988" s="26"/>
      <c r="F2988" s="28"/>
      <c r="G2988" s="26"/>
      <c r="H2988" s="32"/>
      <c r="I2988" s="32"/>
      <c r="J2988" s="32"/>
      <c r="K2988" s="32"/>
      <c r="L2988" s="32" t="e">
        <f ca="1">_xludf.ifna(VLOOKUP(E2988,Parámetros!$D$2:$E$34,2,0),"")</f>
        <v>#NAME?</v>
      </c>
      <c r="M2988" s="32" t="e">
        <f ca="1">_xludf.ifna(VLOOKUP(G2988,Proyectos!$A$2:$T$674,20,0),"")</f>
        <v>#NAME?</v>
      </c>
      <c r="N2988" s="32" t="e">
        <f ca="1">_xludf.ifna(VLOOKUP(G2988,Proyectos!$A$2:$S$674,19,0))</f>
        <v>#NAME?</v>
      </c>
      <c r="O2988" s="32"/>
      <c r="P2988" s="32"/>
      <c r="Q2988" s="33"/>
      <c r="R2988" s="33"/>
      <c r="S2988" s="33"/>
      <c r="T2988" s="63">
        <f t="shared" si="23"/>
        <v>0</v>
      </c>
      <c r="U2988" s="33"/>
      <c r="V2988" s="33"/>
      <c r="W2988" s="33"/>
    </row>
    <row r="2989" spans="1:23" ht="16.5" customHeight="1" x14ac:dyDescent="0.2">
      <c r="A2989" s="26"/>
      <c r="B2989" s="26"/>
      <c r="C2989" s="26"/>
      <c r="D2989" s="26"/>
      <c r="E2989" s="26"/>
      <c r="F2989" s="28"/>
      <c r="G2989" s="26"/>
      <c r="H2989" s="32"/>
      <c r="I2989" s="32"/>
      <c r="J2989" s="32"/>
      <c r="K2989" s="32"/>
      <c r="L2989" s="32" t="e">
        <f ca="1">_xludf.ifna(VLOOKUP(E2989,Parámetros!$D$2:$E$34,2,0),"")</f>
        <v>#NAME?</v>
      </c>
      <c r="M2989" s="32" t="e">
        <f ca="1">_xludf.ifna(VLOOKUP(G2989,Proyectos!$A$2:$T$674,20,0),"")</f>
        <v>#NAME?</v>
      </c>
      <c r="N2989" s="32" t="e">
        <f ca="1">_xludf.ifna(VLOOKUP(G2989,Proyectos!$A$2:$S$674,19,0))</f>
        <v>#NAME?</v>
      </c>
      <c r="O2989" s="32"/>
      <c r="P2989" s="32"/>
      <c r="Q2989" s="33"/>
      <c r="R2989" s="33"/>
      <c r="S2989" s="33"/>
      <c r="T2989" s="63">
        <f t="shared" si="23"/>
        <v>0</v>
      </c>
      <c r="U2989" s="33"/>
      <c r="V2989" s="33"/>
      <c r="W2989" s="33"/>
    </row>
    <row r="2990" spans="1:23" ht="16.5" customHeight="1" x14ac:dyDescent="0.2">
      <c r="A2990" s="26"/>
      <c r="B2990" s="26"/>
      <c r="C2990" s="26"/>
      <c r="D2990" s="26"/>
      <c r="E2990" s="26"/>
      <c r="F2990" s="28"/>
      <c r="G2990" s="26"/>
      <c r="H2990" s="32"/>
      <c r="I2990" s="32"/>
      <c r="J2990" s="32"/>
      <c r="K2990" s="32"/>
      <c r="L2990" s="32" t="e">
        <f ca="1">_xludf.ifna(VLOOKUP(E2990,Parámetros!$D$2:$E$34,2,0),"")</f>
        <v>#NAME?</v>
      </c>
      <c r="M2990" s="32" t="e">
        <f ca="1">_xludf.ifna(VLOOKUP(G2990,Proyectos!$A$2:$T$674,20,0),"")</f>
        <v>#NAME?</v>
      </c>
      <c r="N2990" s="32" t="e">
        <f ca="1">_xludf.ifna(VLOOKUP(G2990,Proyectos!$A$2:$S$674,19,0))</f>
        <v>#NAME?</v>
      </c>
      <c r="O2990" s="32"/>
      <c r="P2990" s="32"/>
      <c r="Q2990" s="33"/>
      <c r="R2990" s="33"/>
      <c r="S2990" s="33"/>
      <c r="T2990" s="63">
        <f t="shared" si="23"/>
        <v>0</v>
      </c>
      <c r="U2990" s="33"/>
      <c r="V2990" s="33"/>
      <c r="W2990" s="33"/>
    </row>
    <row r="2991" spans="1:23" ht="16.5" customHeight="1" x14ac:dyDescent="0.2">
      <c r="A2991" s="26"/>
      <c r="B2991" s="26"/>
      <c r="C2991" s="26"/>
      <c r="D2991" s="26"/>
      <c r="E2991" s="26"/>
      <c r="F2991" s="28"/>
      <c r="G2991" s="26"/>
      <c r="H2991" s="32"/>
      <c r="I2991" s="32"/>
      <c r="J2991" s="32"/>
      <c r="K2991" s="32"/>
      <c r="L2991" s="32" t="e">
        <f ca="1">_xludf.ifna(VLOOKUP(E2991,Parámetros!$D$2:$E$34,2,0),"")</f>
        <v>#NAME?</v>
      </c>
      <c r="M2991" s="32" t="e">
        <f ca="1">_xludf.ifna(VLOOKUP(G2991,Proyectos!$A$2:$T$674,20,0),"")</f>
        <v>#NAME?</v>
      </c>
      <c r="N2991" s="32" t="e">
        <f ca="1">_xludf.ifna(VLOOKUP(G2991,Proyectos!$A$2:$S$674,19,0))</f>
        <v>#NAME?</v>
      </c>
      <c r="O2991" s="32"/>
      <c r="P2991" s="32"/>
      <c r="Q2991" s="33"/>
      <c r="R2991" s="33"/>
      <c r="S2991" s="33"/>
      <c r="T2991" s="63">
        <f t="shared" si="23"/>
        <v>0</v>
      </c>
      <c r="U2991" s="33"/>
      <c r="V2991" s="33"/>
      <c r="W2991" s="33"/>
    </row>
    <row r="2992" spans="1:23" ht="16.5" customHeight="1" x14ac:dyDescent="0.2">
      <c r="A2992" s="26"/>
      <c r="B2992" s="26"/>
      <c r="C2992" s="26"/>
      <c r="D2992" s="26"/>
      <c r="E2992" s="26"/>
      <c r="F2992" s="28"/>
      <c r="G2992" s="26"/>
      <c r="H2992" s="32"/>
      <c r="I2992" s="32"/>
      <c r="J2992" s="32"/>
      <c r="K2992" s="32"/>
      <c r="L2992" s="32" t="e">
        <f ca="1">_xludf.ifna(VLOOKUP(E2992,Parámetros!$D$2:$E$34,2,0),"")</f>
        <v>#NAME?</v>
      </c>
      <c r="M2992" s="32" t="e">
        <f ca="1">_xludf.ifna(VLOOKUP(G2992,Proyectos!$A$2:$T$674,20,0),"")</f>
        <v>#NAME?</v>
      </c>
      <c r="N2992" s="32" t="e">
        <f ca="1">_xludf.ifna(VLOOKUP(G2992,Proyectos!$A$2:$S$674,19,0))</f>
        <v>#NAME?</v>
      </c>
      <c r="O2992" s="32"/>
      <c r="P2992" s="32"/>
      <c r="Q2992" s="33"/>
      <c r="R2992" s="33"/>
      <c r="S2992" s="33"/>
      <c r="T2992" s="63">
        <f t="shared" si="23"/>
        <v>0</v>
      </c>
      <c r="U2992" s="33"/>
      <c r="V2992" s="33"/>
      <c r="W2992" s="33"/>
    </row>
    <row r="2993" spans="1:23" ht="16.5" customHeight="1" x14ac:dyDescent="0.2">
      <c r="A2993" s="26"/>
      <c r="B2993" s="26"/>
      <c r="C2993" s="26"/>
      <c r="D2993" s="26"/>
      <c r="E2993" s="26"/>
      <c r="F2993" s="28"/>
      <c r="G2993" s="26"/>
      <c r="H2993" s="32"/>
      <c r="I2993" s="32"/>
      <c r="J2993" s="32"/>
      <c r="K2993" s="32"/>
      <c r="L2993" s="32" t="e">
        <f ca="1">_xludf.ifna(VLOOKUP(E2993,Parámetros!$D$2:$E$34,2,0),"")</f>
        <v>#NAME?</v>
      </c>
      <c r="M2993" s="32" t="e">
        <f ca="1">_xludf.ifna(VLOOKUP(G2993,Proyectos!$A$2:$T$674,20,0),"")</f>
        <v>#NAME?</v>
      </c>
      <c r="N2993" s="32" t="e">
        <f ca="1">_xludf.ifna(VLOOKUP(G2993,Proyectos!$A$2:$S$674,19,0))</f>
        <v>#NAME?</v>
      </c>
      <c r="O2993" s="32"/>
      <c r="P2993" s="32"/>
      <c r="Q2993" s="33"/>
      <c r="R2993" s="33"/>
      <c r="S2993" s="33"/>
      <c r="T2993" s="63">
        <f t="shared" si="23"/>
        <v>0</v>
      </c>
      <c r="U2993" s="33"/>
      <c r="V2993" s="33"/>
      <c r="W2993" s="33"/>
    </row>
    <row r="2994" spans="1:23" ht="16.5" customHeight="1" x14ac:dyDescent="0.2">
      <c r="A2994" s="26"/>
      <c r="B2994" s="26"/>
      <c r="C2994" s="26"/>
      <c r="D2994" s="26"/>
      <c r="E2994" s="26"/>
      <c r="F2994" s="28"/>
      <c r="G2994" s="26"/>
      <c r="H2994" s="32"/>
      <c r="I2994" s="32"/>
      <c r="J2994" s="32"/>
      <c r="K2994" s="32"/>
      <c r="L2994" s="32" t="e">
        <f ca="1">_xludf.ifna(VLOOKUP(E2994,Parámetros!$D$2:$E$34,2,0),"")</f>
        <v>#NAME?</v>
      </c>
      <c r="M2994" s="32" t="e">
        <f ca="1">_xludf.ifna(VLOOKUP(G2994,Proyectos!$A$2:$T$674,20,0),"")</f>
        <v>#NAME?</v>
      </c>
      <c r="N2994" s="32" t="e">
        <f ca="1">_xludf.ifna(VLOOKUP(G2994,Proyectos!$A$2:$S$674,19,0))</f>
        <v>#NAME?</v>
      </c>
      <c r="O2994" s="32"/>
      <c r="P2994" s="32"/>
      <c r="Q2994" s="33"/>
      <c r="R2994" s="33"/>
      <c r="S2994" s="33"/>
      <c r="T2994" s="63">
        <f t="shared" si="23"/>
        <v>0</v>
      </c>
      <c r="U2994" s="33"/>
      <c r="V2994" s="33"/>
      <c r="W2994" s="33"/>
    </row>
    <row r="2995" spans="1:23" ht="16.5" customHeight="1" x14ac:dyDescent="0.2">
      <c r="A2995" s="26"/>
      <c r="B2995" s="26"/>
      <c r="C2995" s="26"/>
      <c r="D2995" s="26"/>
      <c r="E2995" s="26"/>
      <c r="F2995" s="28"/>
      <c r="G2995" s="26"/>
      <c r="H2995" s="32"/>
      <c r="I2995" s="32"/>
      <c r="J2995" s="32"/>
      <c r="K2995" s="32"/>
      <c r="L2995" s="32" t="e">
        <f ca="1">_xludf.ifna(VLOOKUP(E2995,Parámetros!$D$2:$E$34,2,0),"")</f>
        <v>#NAME?</v>
      </c>
      <c r="M2995" s="32" t="e">
        <f ca="1">_xludf.ifna(VLOOKUP(G2995,Proyectos!$A$2:$T$674,20,0),"")</f>
        <v>#NAME?</v>
      </c>
      <c r="N2995" s="32" t="e">
        <f ca="1">_xludf.ifna(VLOOKUP(G2995,Proyectos!$A$2:$S$674,19,0))</f>
        <v>#NAME?</v>
      </c>
      <c r="O2995" s="32"/>
      <c r="P2995" s="32"/>
      <c r="Q2995" s="33"/>
      <c r="R2995" s="33"/>
      <c r="S2995" s="33"/>
      <c r="T2995" s="63">
        <f t="shared" si="23"/>
        <v>0</v>
      </c>
      <c r="U2995" s="33"/>
      <c r="V2995" s="33"/>
      <c r="W2995" s="33"/>
    </row>
    <row r="2996" spans="1:23" ht="16.5" customHeight="1" x14ac:dyDescent="0.2">
      <c r="A2996" s="26"/>
      <c r="B2996" s="26"/>
      <c r="C2996" s="26"/>
      <c r="D2996" s="26"/>
      <c r="E2996" s="26"/>
      <c r="F2996" s="28"/>
      <c r="G2996" s="26"/>
      <c r="H2996" s="32"/>
      <c r="I2996" s="32"/>
      <c r="J2996" s="32"/>
      <c r="K2996" s="32"/>
      <c r="L2996" s="32" t="e">
        <f ca="1">_xludf.ifna(VLOOKUP(E2996,Parámetros!$D$2:$E$34,2,0),"")</f>
        <v>#NAME?</v>
      </c>
      <c r="M2996" s="32" t="e">
        <f ca="1">_xludf.ifna(VLOOKUP(G2996,Proyectos!$A$2:$T$674,20,0),"")</f>
        <v>#NAME?</v>
      </c>
      <c r="N2996" s="32" t="e">
        <f ca="1">_xludf.ifna(VLOOKUP(G2996,Proyectos!$A$2:$S$674,19,0))</f>
        <v>#NAME?</v>
      </c>
      <c r="O2996" s="32"/>
      <c r="P2996" s="32"/>
      <c r="Q2996" s="33"/>
      <c r="R2996" s="33"/>
      <c r="S2996" s="33"/>
      <c r="T2996" s="63">
        <f t="shared" si="23"/>
        <v>0</v>
      </c>
      <c r="U2996" s="33"/>
      <c r="V2996" s="33"/>
      <c r="W2996" s="33"/>
    </row>
    <row r="2997" spans="1:23" ht="16.5" customHeight="1" x14ac:dyDescent="0.2">
      <c r="A2997" s="26"/>
      <c r="B2997" s="26"/>
      <c r="C2997" s="26"/>
      <c r="D2997" s="26"/>
      <c r="E2997" s="26"/>
      <c r="F2997" s="28"/>
      <c r="G2997" s="26"/>
      <c r="H2997" s="32"/>
      <c r="I2997" s="32"/>
      <c r="J2997" s="32"/>
      <c r="K2997" s="32"/>
      <c r="L2997" s="32" t="e">
        <f ca="1">_xludf.ifna(VLOOKUP(E2997,Parámetros!$D$2:$E$34,2,0),"")</f>
        <v>#NAME?</v>
      </c>
      <c r="M2997" s="32" t="e">
        <f ca="1">_xludf.ifna(VLOOKUP(G2997,Proyectos!$A$2:$T$674,20,0),"")</f>
        <v>#NAME?</v>
      </c>
      <c r="N2997" s="32" t="e">
        <f ca="1">_xludf.ifna(VLOOKUP(G2997,Proyectos!$A$2:$S$674,19,0))</f>
        <v>#NAME?</v>
      </c>
      <c r="O2997" s="32"/>
      <c r="P2997" s="32"/>
      <c r="Q2997" s="33"/>
      <c r="R2997" s="33"/>
      <c r="S2997" s="33"/>
      <c r="T2997" s="63">
        <f t="shared" si="23"/>
        <v>0</v>
      </c>
      <c r="U2997" s="33"/>
      <c r="V2997" s="33"/>
      <c r="W2997" s="33"/>
    </row>
    <row r="2998" spans="1:23" ht="16.5" customHeight="1" x14ac:dyDescent="0.2">
      <c r="A2998" s="26"/>
      <c r="B2998" s="26"/>
      <c r="C2998" s="26"/>
      <c r="D2998" s="26"/>
      <c r="E2998" s="26"/>
      <c r="F2998" s="28"/>
      <c r="G2998" s="26"/>
      <c r="H2998" s="32"/>
      <c r="I2998" s="32"/>
      <c r="J2998" s="32"/>
      <c r="K2998" s="32"/>
      <c r="L2998" s="32" t="e">
        <f ca="1">_xludf.ifna(VLOOKUP(E2998,Parámetros!$D$2:$E$34,2,0),"")</f>
        <v>#NAME?</v>
      </c>
      <c r="M2998" s="32" t="e">
        <f ca="1">_xludf.ifna(VLOOKUP(G2998,Proyectos!$A$2:$T$674,20,0),"")</f>
        <v>#NAME?</v>
      </c>
      <c r="N2998" s="32" t="e">
        <f ca="1">_xludf.ifna(VLOOKUP(G2998,Proyectos!$A$2:$S$674,19,0))</f>
        <v>#NAME?</v>
      </c>
      <c r="O2998" s="32"/>
      <c r="P2998" s="32"/>
      <c r="Q2998" s="33"/>
      <c r="R2998" s="33"/>
      <c r="S2998" s="33"/>
      <c r="T2998" s="63">
        <f t="shared" si="23"/>
        <v>0</v>
      </c>
      <c r="U2998" s="33"/>
      <c r="V2998" s="33"/>
      <c r="W2998" s="33"/>
    </row>
    <row r="2999" spans="1:23" ht="16.5" customHeight="1" x14ac:dyDescent="0.2">
      <c r="A2999" s="26"/>
      <c r="B2999" s="26"/>
      <c r="C2999" s="26"/>
      <c r="D2999" s="26"/>
      <c r="E2999" s="26"/>
      <c r="F2999" s="28"/>
      <c r="G2999" s="26"/>
      <c r="H2999" s="32"/>
      <c r="I2999" s="32"/>
      <c r="J2999" s="32"/>
      <c r="K2999" s="32"/>
      <c r="L2999" s="32" t="e">
        <f ca="1">_xludf.ifna(VLOOKUP(E2999,Parámetros!$D$2:$E$34,2,0),"")</f>
        <v>#NAME?</v>
      </c>
      <c r="M2999" s="32" t="e">
        <f ca="1">_xludf.ifna(VLOOKUP(G2999,Proyectos!$A$2:$T$674,20,0),"")</f>
        <v>#NAME?</v>
      </c>
      <c r="N2999" s="32" t="e">
        <f ca="1">_xludf.ifna(VLOOKUP(G2999,Proyectos!$A$2:$S$674,19,0))</f>
        <v>#NAME?</v>
      </c>
      <c r="O2999" s="32"/>
      <c r="P2999" s="32"/>
      <c r="Q2999" s="33"/>
      <c r="R2999" s="33"/>
      <c r="S2999" s="33"/>
      <c r="T2999" s="63">
        <f t="shared" si="23"/>
        <v>0</v>
      </c>
      <c r="U2999" s="33"/>
      <c r="V2999" s="33"/>
      <c r="W2999" s="33"/>
    </row>
    <row r="3000" spans="1:23" ht="16.5" customHeight="1" x14ac:dyDescent="0.2">
      <c r="A3000" s="26"/>
      <c r="B3000" s="26"/>
      <c r="C3000" s="26"/>
      <c r="D3000" s="26"/>
      <c r="E3000" s="26"/>
      <c r="F3000" s="28"/>
      <c r="G3000" s="26"/>
      <c r="H3000" s="32"/>
      <c r="I3000" s="32"/>
      <c r="J3000" s="32"/>
      <c r="K3000" s="32"/>
      <c r="L3000" s="32" t="e">
        <f ca="1">_xludf.ifna(VLOOKUP(E3000,Parámetros!$D$2:$E$34,2,0),"")</f>
        <v>#NAME?</v>
      </c>
      <c r="M3000" s="32" t="e">
        <f ca="1">_xludf.ifna(VLOOKUP(G3000,Proyectos!$A$2:$T$674,20,0),"")</f>
        <v>#NAME?</v>
      </c>
      <c r="N3000" s="32" t="e">
        <f ca="1">_xludf.ifna(VLOOKUP(G3000,Proyectos!$A$2:$S$674,19,0))</f>
        <v>#NAME?</v>
      </c>
      <c r="O3000" s="32"/>
      <c r="P3000" s="32"/>
      <c r="Q3000" s="33"/>
      <c r="R3000" s="33"/>
      <c r="S3000" s="33"/>
      <c r="T3000" s="63">
        <f t="shared" si="23"/>
        <v>0</v>
      </c>
      <c r="U3000" s="33"/>
      <c r="V3000" s="33"/>
      <c r="W3000" s="33"/>
    </row>
    <row r="3001" spans="1:23" ht="16.5" customHeight="1" x14ac:dyDescent="0.2">
      <c r="A3001" s="26"/>
      <c r="B3001" s="26"/>
      <c r="C3001" s="26"/>
      <c r="D3001" s="26"/>
      <c r="E3001" s="26"/>
      <c r="F3001" s="28"/>
      <c r="G3001" s="26"/>
      <c r="H3001" s="32"/>
      <c r="I3001" s="32"/>
      <c r="J3001" s="32"/>
      <c r="K3001" s="32"/>
      <c r="L3001" s="32" t="e">
        <f ca="1">_xludf.ifna(VLOOKUP(E3001,Parámetros!$D$2:$E$34,2,0),"")</f>
        <v>#NAME?</v>
      </c>
      <c r="M3001" s="32" t="e">
        <f ca="1">_xludf.ifna(VLOOKUP(G3001,Proyectos!$A$2:$T$674,20,0),"")</f>
        <v>#NAME?</v>
      </c>
      <c r="N3001" s="32" t="e">
        <f ca="1">_xludf.ifna(VLOOKUP(G3001,Proyectos!$A$2:$S$674,19,0))</f>
        <v>#NAME?</v>
      </c>
      <c r="O3001" s="32"/>
      <c r="P3001" s="32"/>
      <c r="Q3001" s="33"/>
      <c r="R3001" s="33"/>
      <c r="S3001" s="33"/>
      <c r="T3001" s="63">
        <f t="shared" si="23"/>
        <v>0</v>
      </c>
      <c r="U3001" s="33"/>
      <c r="V3001" s="33"/>
      <c r="W3001" s="33"/>
    </row>
    <row r="3002" spans="1:23" ht="16.5" customHeight="1" x14ac:dyDescent="0.2">
      <c r="A3002" s="26"/>
      <c r="B3002" s="26"/>
      <c r="C3002" s="26"/>
      <c r="D3002" s="26"/>
      <c r="E3002" s="26"/>
      <c r="F3002" s="28"/>
      <c r="G3002" s="26"/>
      <c r="H3002" s="32"/>
      <c r="I3002" s="32"/>
      <c r="J3002" s="32"/>
      <c r="K3002" s="32"/>
      <c r="L3002" s="32" t="e">
        <f ca="1">_xludf.ifna(VLOOKUP(E3002,Parámetros!$D$2:$E$34,2,0),"")</f>
        <v>#NAME?</v>
      </c>
      <c r="M3002" s="32" t="e">
        <f ca="1">_xludf.ifna(VLOOKUP(G3002,Proyectos!$A$2:$T$674,20,0),"")</f>
        <v>#NAME?</v>
      </c>
      <c r="N3002" s="32" t="e">
        <f ca="1">_xludf.ifna(VLOOKUP(G3002,Proyectos!$A$2:$S$674,19,0))</f>
        <v>#NAME?</v>
      </c>
      <c r="O3002" s="32"/>
      <c r="P3002" s="32"/>
      <c r="Q3002" s="33"/>
      <c r="R3002" s="33"/>
      <c r="S3002" s="33"/>
      <c r="T3002" s="63">
        <f t="shared" si="23"/>
        <v>0</v>
      </c>
      <c r="U3002" s="33"/>
      <c r="V3002" s="33"/>
      <c r="W3002" s="33"/>
    </row>
    <row r="3003" spans="1:23" ht="16.5" customHeight="1" x14ac:dyDescent="0.2">
      <c r="A3003" s="26"/>
      <c r="B3003" s="26"/>
      <c r="C3003" s="26"/>
      <c r="D3003" s="26"/>
      <c r="E3003" s="26"/>
      <c r="F3003" s="28"/>
      <c r="G3003" s="26"/>
      <c r="H3003" s="32"/>
      <c r="I3003" s="32"/>
      <c r="J3003" s="32"/>
      <c r="K3003" s="32"/>
      <c r="L3003" s="32" t="e">
        <f ca="1">_xludf.ifna(VLOOKUP(E3003,Parámetros!$D$2:$E$34,2,0),"")</f>
        <v>#NAME?</v>
      </c>
      <c r="M3003" s="32" t="e">
        <f ca="1">_xludf.ifna(VLOOKUP(G3003,Proyectos!$A$2:$T$674,20,0),"")</f>
        <v>#NAME?</v>
      </c>
      <c r="N3003" s="32" t="e">
        <f ca="1">_xludf.ifna(VLOOKUP(G3003,Proyectos!$A$2:$S$674,19,0))</f>
        <v>#NAME?</v>
      </c>
      <c r="O3003" s="32"/>
      <c r="P3003" s="32"/>
      <c r="Q3003" s="33"/>
      <c r="R3003" s="33"/>
      <c r="S3003" s="33"/>
      <c r="T3003" s="63">
        <f t="shared" si="23"/>
        <v>0</v>
      </c>
      <c r="U3003" s="33"/>
      <c r="V3003" s="33"/>
      <c r="W3003" s="33"/>
    </row>
    <row r="3004" spans="1:23" ht="16.5" customHeight="1" x14ac:dyDescent="0.2">
      <c r="A3004" s="26"/>
      <c r="B3004" s="26"/>
      <c r="C3004" s="26"/>
      <c r="D3004" s="26"/>
      <c r="E3004" s="26"/>
      <c r="F3004" s="28"/>
      <c r="G3004" s="26"/>
      <c r="H3004" s="32"/>
      <c r="I3004" s="32"/>
      <c r="J3004" s="32"/>
      <c r="K3004" s="32"/>
      <c r="L3004" s="32" t="e">
        <f ca="1">_xludf.ifna(VLOOKUP(E3004,Parámetros!$D$2:$E$34,2,0),"")</f>
        <v>#NAME?</v>
      </c>
      <c r="M3004" s="32" t="e">
        <f ca="1">_xludf.ifna(VLOOKUP(G3004,Proyectos!$A$2:$T$674,20,0),"")</f>
        <v>#NAME?</v>
      </c>
      <c r="N3004" s="32" t="e">
        <f ca="1">_xludf.ifna(VLOOKUP(G3004,Proyectos!$A$2:$S$674,19,0))</f>
        <v>#NAME?</v>
      </c>
      <c r="O3004" s="32"/>
      <c r="P3004" s="32"/>
      <c r="Q3004" s="33"/>
      <c r="R3004" s="33"/>
      <c r="S3004" s="33"/>
      <c r="T3004" s="63">
        <f t="shared" si="23"/>
        <v>0</v>
      </c>
      <c r="U3004" s="33"/>
      <c r="V3004" s="33"/>
      <c r="W3004" s="33"/>
    </row>
    <row r="3005" spans="1:23" ht="16.5" customHeight="1" x14ac:dyDescent="0.2">
      <c r="A3005" s="26"/>
      <c r="B3005" s="26"/>
      <c r="C3005" s="26"/>
      <c r="D3005" s="26"/>
      <c r="E3005" s="26"/>
      <c r="F3005" s="28"/>
      <c r="G3005" s="26"/>
      <c r="H3005" s="32"/>
      <c r="I3005" s="32"/>
      <c r="J3005" s="32"/>
      <c r="K3005" s="32"/>
      <c r="L3005" s="32" t="e">
        <f ca="1">_xludf.ifna(VLOOKUP(E3005,Parámetros!$D$2:$E$34,2,0),"")</f>
        <v>#NAME?</v>
      </c>
      <c r="M3005" s="32" t="e">
        <f ca="1">_xludf.ifna(VLOOKUP(G3005,Proyectos!$A$2:$T$674,20,0),"")</f>
        <v>#NAME?</v>
      </c>
      <c r="N3005" s="32" t="e">
        <f ca="1">_xludf.ifna(VLOOKUP(G3005,Proyectos!$A$2:$S$674,19,0))</f>
        <v>#NAME?</v>
      </c>
      <c r="O3005" s="32"/>
      <c r="P3005" s="32"/>
      <c r="Q3005" s="33"/>
      <c r="R3005" s="33"/>
      <c r="S3005" s="33"/>
      <c r="T3005" s="63">
        <f t="shared" si="23"/>
        <v>0</v>
      </c>
      <c r="U3005" s="33"/>
      <c r="V3005" s="33"/>
      <c r="W3005" s="33"/>
    </row>
    <row r="3006" spans="1:23" ht="16.5" customHeight="1" x14ac:dyDescent="0.2">
      <c r="A3006" s="26"/>
      <c r="B3006" s="26"/>
      <c r="C3006" s="26"/>
      <c r="D3006" s="26"/>
      <c r="E3006" s="26"/>
      <c r="F3006" s="28"/>
      <c r="G3006" s="26"/>
      <c r="H3006" s="32"/>
      <c r="I3006" s="32"/>
      <c r="J3006" s="32"/>
      <c r="K3006" s="32"/>
      <c r="L3006" s="32" t="e">
        <f ca="1">_xludf.ifna(VLOOKUP(E3006,Parámetros!$D$2:$E$34,2,0),"")</f>
        <v>#NAME?</v>
      </c>
      <c r="M3006" s="32" t="e">
        <f ca="1">_xludf.ifna(VLOOKUP(G3006,Proyectos!$A$2:$T$674,20,0),"")</f>
        <v>#NAME?</v>
      </c>
      <c r="N3006" s="32" t="e">
        <f ca="1">_xludf.ifna(VLOOKUP(G3006,Proyectos!$A$2:$S$674,19,0))</f>
        <v>#NAME?</v>
      </c>
      <c r="O3006" s="32"/>
      <c r="P3006" s="32"/>
      <c r="Q3006" s="33"/>
      <c r="R3006" s="33"/>
      <c r="S3006" s="33"/>
      <c r="T3006" s="63">
        <f t="shared" si="23"/>
        <v>0</v>
      </c>
      <c r="U3006" s="33"/>
      <c r="V3006" s="33"/>
      <c r="W3006" s="33"/>
    </row>
    <row r="3007" spans="1:23" ht="16.5" customHeight="1" x14ac:dyDescent="0.2">
      <c r="A3007" s="26"/>
      <c r="B3007" s="26"/>
      <c r="C3007" s="26"/>
      <c r="D3007" s="26"/>
      <c r="E3007" s="26"/>
      <c r="F3007" s="28"/>
      <c r="G3007" s="26"/>
      <c r="H3007" s="32"/>
      <c r="I3007" s="32"/>
      <c r="J3007" s="32"/>
      <c r="K3007" s="32"/>
      <c r="L3007" s="32" t="e">
        <f ca="1">_xludf.ifna(VLOOKUP(E3007,Parámetros!$D$2:$E$34,2,0),"")</f>
        <v>#NAME?</v>
      </c>
      <c r="M3007" s="32" t="e">
        <f ca="1">_xludf.ifna(VLOOKUP(G3007,Proyectos!$A$2:$T$674,20,0),"")</f>
        <v>#NAME?</v>
      </c>
      <c r="N3007" s="32" t="e">
        <f ca="1">_xludf.ifna(VLOOKUP(G3007,Proyectos!$A$2:$S$674,19,0))</f>
        <v>#NAME?</v>
      </c>
      <c r="O3007" s="32"/>
      <c r="P3007" s="32"/>
      <c r="Q3007" s="33"/>
      <c r="R3007" s="33"/>
      <c r="S3007" s="33"/>
      <c r="T3007" s="63">
        <f t="shared" si="23"/>
        <v>0</v>
      </c>
      <c r="U3007" s="33"/>
      <c r="V3007" s="33"/>
      <c r="W3007" s="33"/>
    </row>
    <row r="3008" spans="1:23" ht="16.5" customHeight="1" x14ac:dyDescent="0.2">
      <c r="A3008" s="26"/>
      <c r="B3008" s="26"/>
      <c r="C3008" s="26"/>
      <c r="D3008" s="26"/>
      <c r="E3008" s="26"/>
      <c r="F3008" s="28"/>
      <c r="G3008" s="26"/>
      <c r="H3008" s="32"/>
      <c r="I3008" s="32"/>
      <c r="J3008" s="32"/>
      <c r="K3008" s="32"/>
      <c r="L3008" s="32" t="e">
        <f ca="1">_xludf.ifna(VLOOKUP(E3008,Parámetros!$D$2:$E$34,2,0),"")</f>
        <v>#NAME?</v>
      </c>
      <c r="M3008" s="32" t="e">
        <f ca="1">_xludf.ifna(VLOOKUP(G3008,Proyectos!$A$2:$T$674,20,0),"")</f>
        <v>#NAME?</v>
      </c>
      <c r="N3008" s="32" t="e">
        <f ca="1">_xludf.ifna(VLOOKUP(G3008,Proyectos!$A$2:$S$674,19,0))</f>
        <v>#NAME?</v>
      </c>
      <c r="O3008" s="32"/>
      <c r="P3008" s="32"/>
      <c r="Q3008" s="33"/>
      <c r="R3008" s="33"/>
      <c r="S3008" s="33"/>
      <c r="T3008" s="63">
        <f t="shared" si="23"/>
        <v>0</v>
      </c>
      <c r="U3008" s="33"/>
      <c r="V3008" s="33"/>
      <c r="W3008" s="33"/>
    </row>
    <row r="3009" spans="1:23" ht="16.5" customHeight="1" x14ac:dyDescent="0.2">
      <c r="A3009" s="26"/>
      <c r="B3009" s="26"/>
      <c r="C3009" s="26"/>
      <c r="D3009" s="26"/>
      <c r="E3009" s="26"/>
      <c r="F3009" s="28"/>
      <c r="G3009" s="26"/>
      <c r="H3009" s="32"/>
      <c r="I3009" s="32"/>
      <c r="J3009" s="32"/>
      <c r="K3009" s="32"/>
      <c r="L3009" s="32" t="e">
        <f ca="1">_xludf.ifna(VLOOKUP(E3009,Parámetros!$D$2:$E$34,2,0),"")</f>
        <v>#NAME?</v>
      </c>
      <c r="M3009" s="32" t="e">
        <f ca="1">_xludf.ifna(VLOOKUP(G3009,Proyectos!$A$2:$T$674,20,0),"")</f>
        <v>#NAME?</v>
      </c>
      <c r="N3009" s="32" t="e">
        <f ca="1">_xludf.ifna(VLOOKUP(G3009,Proyectos!$A$2:$S$674,19,0))</f>
        <v>#NAME?</v>
      </c>
      <c r="O3009" s="32"/>
      <c r="P3009" s="32"/>
      <c r="Q3009" s="33"/>
      <c r="R3009" s="33"/>
      <c r="S3009" s="33"/>
      <c r="T3009" s="63">
        <f t="shared" si="23"/>
        <v>0</v>
      </c>
      <c r="U3009" s="33"/>
      <c r="V3009" s="33"/>
      <c r="W3009" s="33"/>
    </row>
    <row r="3010" spans="1:23" ht="16.5" customHeight="1" x14ac:dyDescent="0.2">
      <c r="A3010" s="26"/>
      <c r="B3010" s="26"/>
      <c r="C3010" s="26"/>
      <c r="D3010" s="26"/>
      <c r="E3010" s="26"/>
      <c r="F3010" s="28"/>
      <c r="G3010" s="26"/>
      <c r="H3010" s="32"/>
      <c r="I3010" s="32"/>
      <c r="J3010" s="32"/>
      <c r="K3010" s="32"/>
      <c r="L3010" s="32" t="e">
        <f ca="1">_xludf.ifna(VLOOKUP(E3010,Parámetros!$D$2:$E$34,2,0),"")</f>
        <v>#NAME?</v>
      </c>
      <c r="M3010" s="32" t="e">
        <f ca="1">_xludf.ifna(VLOOKUP(G3010,Proyectos!$A$2:$T$674,20,0),"")</f>
        <v>#NAME?</v>
      </c>
      <c r="N3010" s="32" t="e">
        <f ca="1">_xludf.ifna(VLOOKUP(G3010,Proyectos!$A$2:$S$674,19,0))</f>
        <v>#NAME?</v>
      </c>
      <c r="O3010" s="32"/>
      <c r="P3010" s="32"/>
      <c r="Q3010" s="33"/>
      <c r="R3010" s="33"/>
      <c r="S3010" s="33"/>
      <c r="T3010" s="63">
        <f t="shared" si="23"/>
        <v>0</v>
      </c>
      <c r="U3010" s="33"/>
      <c r="V3010" s="33"/>
      <c r="W3010" s="33"/>
    </row>
    <row r="3011" spans="1:23" ht="16.5" customHeight="1" x14ac:dyDescent="0.2">
      <c r="A3011" s="26"/>
      <c r="B3011" s="26"/>
      <c r="C3011" s="26"/>
      <c r="D3011" s="26"/>
      <c r="E3011" s="26"/>
      <c r="F3011" s="28"/>
      <c r="G3011" s="26"/>
      <c r="H3011" s="32"/>
      <c r="I3011" s="32"/>
      <c r="J3011" s="32"/>
      <c r="K3011" s="32"/>
      <c r="L3011" s="32" t="e">
        <f ca="1">_xludf.ifna(VLOOKUP(E3011,Parámetros!$D$2:$E$34,2,0),"")</f>
        <v>#NAME?</v>
      </c>
      <c r="M3011" s="32" t="e">
        <f ca="1">_xludf.ifna(VLOOKUP(G3011,Proyectos!$A$2:$T$674,20,0),"")</f>
        <v>#NAME?</v>
      </c>
      <c r="N3011" s="32" t="e">
        <f ca="1">_xludf.ifna(VLOOKUP(G3011,Proyectos!$A$2:$S$674,19,0))</f>
        <v>#NAME?</v>
      </c>
      <c r="O3011" s="32"/>
      <c r="P3011" s="32"/>
      <c r="Q3011" s="33"/>
      <c r="R3011" s="33"/>
      <c r="S3011" s="33"/>
      <c r="T3011" s="63">
        <f t="shared" si="23"/>
        <v>0</v>
      </c>
      <c r="U3011" s="33"/>
      <c r="V3011" s="33"/>
      <c r="W3011" s="33"/>
    </row>
    <row r="3012" spans="1:23" ht="16.5" customHeight="1" x14ac:dyDescent="0.2">
      <c r="A3012" s="26"/>
      <c r="B3012" s="26"/>
      <c r="C3012" s="26"/>
      <c r="D3012" s="26"/>
      <c r="E3012" s="26"/>
      <c r="F3012" s="28"/>
      <c r="G3012" s="26"/>
      <c r="H3012" s="32"/>
      <c r="I3012" s="32"/>
      <c r="J3012" s="32"/>
      <c r="K3012" s="32"/>
      <c r="L3012" s="32" t="e">
        <f ca="1">_xludf.ifna(VLOOKUP(E3012,Parámetros!$D$2:$E$34,2,0),"")</f>
        <v>#NAME?</v>
      </c>
      <c r="M3012" s="32" t="e">
        <f ca="1">_xludf.ifna(VLOOKUP(G3012,Proyectos!$A$2:$T$674,20,0),"")</f>
        <v>#NAME?</v>
      </c>
      <c r="N3012" s="32" t="e">
        <f ca="1">_xludf.ifna(VLOOKUP(G3012,Proyectos!$A$2:$S$674,19,0))</f>
        <v>#NAME?</v>
      </c>
      <c r="O3012" s="32"/>
      <c r="P3012" s="32"/>
      <c r="Q3012" s="33"/>
      <c r="R3012" s="33"/>
      <c r="S3012" s="33"/>
      <c r="T3012" s="63">
        <f t="shared" si="23"/>
        <v>0</v>
      </c>
      <c r="U3012" s="33"/>
      <c r="V3012" s="33"/>
      <c r="W3012" s="33"/>
    </row>
    <row r="3013" spans="1:23" ht="16.5" customHeight="1" x14ac:dyDescent="0.2">
      <c r="A3013" s="26"/>
      <c r="B3013" s="26"/>
      <c r="C3013" s="26"/>
      <c r="D3013" s="26"/>
      <c r="E3013" s="26"/>
      <c r="F3013" s="28"/>
      <c r="G3013" s="26"/>
      <c r="H3013" s="32"/>
      <c r="I3013" s="32"/>
      <c r="J3013" s="32"/>
      <c r="K3013" s="32"/>
      <c r="L3013" s="32" t="e">
        <f ca="1">_xludf.ifna(VLOOKUP(E3013,Parámetros!$D$2:$E$34,2,0),"")</f>
        <v>#NAME?</v>
      </c>
      <c r="M3013" s="32" t="e">
        <f ca="1">_xludf.ifna(VLOOKUP(G3013,Proyectos!$A$2:$T$674,20,0),"")</f>
        <v>#NAME?</v>
      </c>
      <c r="N3013" s="32" t="e">
        <f ca="1">_xludf.ifna(VLOOKUP(G3013,Proyectos!$A$2:$S$674,19,0))</f>
        <v>#NAME?</v>
      </c>
      <c r="O3013" s="32"/>
      <c r="P3013" s="32"/>
      <c r="Q3013" s="33"/>
      <c r="R3013" s="33"/>
      <c r="S3013" s="33"/>
      <c r="T3013" s="63">
        <f t="shared" si="23"/>
        <v>0</v>
      </c>
      <c r="U3013" s="33"/>
      <c r="V3013" s="33"/>
      <c r="W3013" s="33"/>
    </row>
    <row r="3014" spans="1:23" ht="16.5" customHeight="1" x14ac:dyDescent="0.2">
      <c r="A3014" s="26"/>
      <c r="B3014" s="26"/>
      <c r="C3014" s="26"/>
      <c r="D3014" s="26"/>
      <c r="E3014" s="26"/>
      <c r="F3014" s="28"/>
      <c r="G3014" s="26"/>
      <c r="H3014" s="32"/>
      <c r="I3014" s="32"/>
      <c r="J3014" s="32"/>
      <c r="K3014" s="32"/>
      <c r="L3014" s="32" t="e">
        <f ca="1">_xludf.ifna(VLOOKUP(E3014,Parámetros!$D$2:$E$34,2,0),"")</f>
        <v>#NAME?</v>
      </c>
      <c r="M3014" s="32" t="e">
        <f ca="1">_xludf.ifna(VLOOKUP(G3014,Proyectos!$A$2:$T$674,20,0),"")</f>
        <v>#NAME?</v>
      </c>
      <c r="N3014" s="32" t="e">
        <f ca="1">_xludf.ifna(VLOOKUP(G3014,Proyectos!$A$2:$S$674,19,0))</f>
        <v>#NAME?</v>
      </c>
      <c r="O3014" s="32"/>
      <c r="P3014" s="32"/>
      <c r="Q3014" s="33"/>
      <c r="R3014" s="33"/>
      <c r="S3014" s="33"/>
      <c r="T3014" s="63">
        <f t="shared" si="23"/>
        <v>0</v>
      </c>
      <c r="U3014" s="33"/>
      <c r="V3014" s="33"/>
      <c r="W3014" s="33"/>
    </row>
    <row r="3015" spans="1:23" ht="16.5" customHeight="1" x14ac:dyDescent="0.2">
      <c r="A3015" s="26"/>
      <c r="B3015" s="26"/>
      <c r="C3015" s="26"/>
      <c r="D3015" s="26"/>
      <c r="E3015" s="26"/>
      <c r="F3015" s="28"/>
      <c r="G3015" s="26"/>
      <c r="H3015" s="32"/>
      <c r="I3015" s="32"/>
      <c r="J3015" s="32"/>
      <c r="K3015" s="32"/>
      <c r="L3015" s="32" t="e">
        <f ca="1">_xludf.ifna(VLOOKUP(E3015,Parámetros!$D$2:$E$34,2,0),"")</f>
        <v>#NAME?</v>
      </c>
      <c r="M3015" s="32" t="e">
        <f ca="1">_xludf.ifna(VLOOKUP(G3015,Proyectos!$A$2:$T$674,20,0),"")</f>
        <v>#NAME?</v>
      </c>
      <c r="N3015" s="32" t="e">
        <f ca="1">_xludf.ifna(VLOOKUP(G3015,Proyectos!$A$2:$S$674,19,0))</f>
        <v>#NAME?</v>
      </c>
      <c r="O3015" s="32"/>
      <c r="P3015" s="32"/>
      <c r="Q3015" s="33"/>
      <c r="R3015" s="33"/>
      <c r="S3015" s="33"/>
      <c r="T3015" s="63">
        <f t="shared" si="23"/>
        <v>0</v>
      </c>
      <c r="U3015" s="33"/>
      <c r="V3015" s="33"/>
      <c r="W3015" s="33"/>
    </row>
    <row r="3016" spans="1:23" ht="16.5" customHeight="1" x14ac:dyDescent="0.2">
      <c r="A3016" s="26"/>
      <c r="B3016" s="26"/>
      <c r="C3016" s="26"/>
      <c r="D3016" s="26"/>
      <c r="E3016" s="26"/>
      <c r="F3016" s="28"/>
      <c r="G3016" s="26"/>
      <c r="H3016" s="32"/>
      <c r="I3016" s="32"/>
      <c r="J3016" s="32"/>
      <c r="K3016" s="32"/>
      <c r="L3016" s="32" t="e">
        <f ca="1">_xludf.ifna(VLOOKUP(E3016,Parámetros!$D$2:$E$34,2,0),"")</f>
        <v>#NAME?</v>
      </c>
      <c r="M3016" s="32" t="e">
        <f ca="1">_xludf.ifna(VLOOKUP(G3016,Proyectos!$A$2:$T$674,20,0),"")</f>
        <v>#NAME?</v>
      </c>
      <c r="N3016" s="32" t="e">
        <f ca="1">_xludf.ifna(VLOOKUP(G3016,Proyectos!$A$2:$S$674,19,0))</f>
        <v>#NAME?</v>
      </c>
      <c r="O3016" s="32"/>
      <c r="P3016" s="32"/>
      <c r="Q3016" s="33"/>
      <c r="R3016" s="33"/>
      <c r="S3016" s="33"/>
      <c r="T3016" s="63">
        <f t="shared" si="23"/>
        <v>0</v>
      </c>
      <c r="U3016" s="33"/>
      <c r="V3016" s="33"/>
      <c r="W3016" s="33"/>
    </row>
    <row r="3017" spans="1:23" ht="16.5" customHeight="1" x14ac:dyDescent="0.2">
      <c r="A3017" s="26"/>
      <c r="B3017" s="26"/>
      <c r="C3017" s="26"/>
      <c r="D3017" s="26"/>
      <c r="E3017" s="26"/>
      <c r="F3017" s="28"/>
      <c r="G3017" s="26"/>
      <c r="H3017" s="32"/>
      <c r="I3017" s="32"/>
      <c r="J3017" s="32"/>
      <c r="K3017" s="32"/>
      <c r="L3017" s="32" t="e">
        <f ca="1">_xludf.ifna(VLOOKUP(E3017,Parámetros!$D$2:$E$34,2,0),"")</f>
        <v>#NAME?</v>
      </c>
      <c r="M3017" s="32" t="e">
        <f ca="1">_xludf.ifna(VLOOKUP(G3017,Proyectos!$A$2:$T$674,20,0),"")</f>
        <v>#NAME?</v>
      </c>
      <c r="N3017" s="32" t="e">
        <f ca="1">_xludf.ifna(VLOOKUP(G3017,Proyectos!$A$2:$S$674,19,0))</f>
        <v>#NAME?</v>
      </c>
      <c r="O3017" s="32"/>
      <c r="P3017" s="32"/>
      <c r="Q3017" s="33"/>
      <c r="R3017" s="33"/>
      <c r="S3017" s="33"/>
      <c r="T3017" s="63">
        <f t="shared" si="23"/>
        <v>0</v>
      </c>
      <c r="U3017" s="33"/>
      <c r="V3017" s="33"/>
      <c r="W3017" s="33"/>
    </row>
    <row r="3018" spans="1:23" ht="16.5" customHeight="1" x14ac:dyDescent="0.2">
      <c r="A3018" s="26"/>
      <c r="B3018" s="26"/>
      <c r="C3018" s="26"/>
      <c r="D3018" s="26"/>
      <c r="E3018" s="26"/>
      <c r="F3018" s="28"/>
      <c r="G3018" s="26"/>
      <c r="H3018" s="32"/>
      <c r="I3018" s="32"/>
      <c r="J3018" s="32"/>
      <c r="K3018" s="32"/>
      <c r="L3018" s="32" t="e">
        <f ca="1">_xludf.ifna(VLOOKUP(E3018,Parámetros!$D$2:$E$34,2,0),"")</f>
        <v>#NAME?</v>
      </c>
      <c r="M3018" s="32" t="e">
        <f ca="1">_xludf.ifna(VLOOKUP(G3018,Proyectos!$A$2:$T$674,20,0),"")</f>
        <v>#NAME?</v>
      </c>
      <c r="N3018" s="32" t="e">
        <f ca="1">_xludf.ifna(VLOOKUP(G3018,Proyectos!$A$2:$S$674,19,0))</f>
        <v>#NAME?</v>
      </c>
      <c r="O3018" s="32"/>
      <c r="P3018" s="32"/>
      <c r="Q3018" s="33"/>
      <c r="R3018" s="33"/>
      <c r="S3018" s="33"/>
      <c r="T3018" s="63">
        <f t="shared" si="23"/>
        <v>0</v>
      </c>
      <c r="U3018" s="33"/>
      <c r="V3018" s="33"/>
      <c r="W3018" s="33"/>
    </row>
    <row r="3019" spans="1:23" ht="16.5" customHeight="1" x14ac:dyDescent="0.2">
      <c r="A3019" s="26"/>
      <c r="B3019" s="26"/>
      <c r="C3019" s="26"/>
      <c r="D3019" s="26"/>
      <c r="E3019" s="26"/>
      <c r="F3019" s="28"/>
      <c r="G3019" s="26"/>
      <c r="H3019" s="32"/>
      <c r="I3019" s="32"/>
      <c r="J3019" s="32"/>
      <c r="K3019" s="32"/>
      <c r="L3019" s="32" t="e">
        <f ca="1">_xludf.ifna(VLOOKUP(E3019,Parámetros!$D$2:$E$34,2,0),"")</f>
        <v>#NAME?</v>
      </c>
      <c r="M3019" s="32" t="e">
        <f ca="1">_xludf.ifna(VLOOKUP(G3019,Proyectos!$A$2:$T$674,20,0),"")</f>
        <v>#NAME?</v>
      </c>
      <c r="N3019" s="32" t="e">
        <f ca="1">_xludf.ifna(VLOOKUP(G3019,Proyectos!$A$2:$S$674,19,0))</f>
        <v>#NAME?</v>
      </c>
      <c r="O3019" s="32"/>
      <c r="P3019" s="32"/>
      <c r="Q3019" s="33"/>
      <c r="R3019" s="33"/>
      <c r="S3019" s="33"/>
      <c r="T3019" s="63">
        <f>IF(E3019=E3017,0,1)</f>
        <v>0</v>
      </c>
      <c r="U3019" s="33"/>
      <c r="V3019" s="33"/>
      <c r="W3019" s="33"/>
    </row>
    <row r="3020" spans="1:23" ht="16.5" customHeight="1" x14ac:dyDescent="0.2">
      <c r="A3020" s="26"/>
      <c r="B3020" s="26"/>
      <c r="C3020" s="26"/>
      <c r="D3020" s="26"/>
      <c r="E3020" s="26"/>
      <c r="F3020" s="28"/>
      <c r="G3020" s="26"/>
      <c r="H3020" s="32"/>
      <c r="I3020" s="32"/>
      <c r="J3020" s="32"/>
      <c r="K3020" s="32"/>
      <c r="L3020" s="32" t="e">
        <f ca="1">_xludf.ifna(VLOOKUP(E3020,Parámetros!$D$2:$E$34,2,0),"")</f>
        <v>#NAME?</v>
      </c>
      <c r="M3020" s="32" t="e">
        <f ca="1">_xludf.ifna(VLOOKUP(G3020,Proyectos!$A$2:$T$674,20,0),"")</f>
        <v>#NAME?</v>
      </c>
      <c r="N3020" s="32" t="e">
        <f ca="1">_xludf.ifna(VLOOKUP(G3020,Proyectos!$A$2:$S$674,19,0))</f>
        <v>#NAME?</v>
      </c>
      <c r="O3020" s="32"/>
      <c r="P3020" s="32"/>
      <c r="Q3020" s="33"/>
      <c r="R3020" s="33"/>
      <c r="S3020" s="33"/>
      <c r="T3020" s="63">
        <f t="shared" ref="T3020:T3145" si="24">IF(E3020=E3019,0,1)</f>
        <v>0</v>
      </c>
      <c r="U3020" s="33"/>
      <c r="V3020" s="33"/>
      <c r="W3020" s="33"/>
    </row>
    <row r="3021" spans="1:23" ht="16.5" customHeight="1" x14ac:dyDescent="0.2">
      <c r="A3021" s="26"/>
      <c r="B3021" s="26"/>
      <c r="C3021" s="26"/>
      <c r="D3021" s="26"/>
      <c r="E3021" s="26"/>
      <c r="F3021" s="28"/>
      <c r="G3021" s="26"/>
      <c r="H3021" s="32"/>
      <c r="I3021" s="32"/>
      <c r="J3021" s="32"/>
      <c r="K3021" s="32"/>
      <c r="L3021" s="32" t="e">
        <f ca="1">_xludf.ifna(VLOOKUP(E3021,Parámetros!$D$2:$E$34,2,0),"")</f>
        <v>#NAME?</v>
      </c>
      <c r="M3021" s="32" t="e">
        <f ca="1">_xludf.ifna(VLOOKUP(G3021,Proyectos!$A$2:$T$674,20,0),"")</f>
        <v>#NAME?</v>
      </c>
      <c r="N3021" s="32" t="e">
        <f ca="1">_xludf.ifna(VLOOKUP(G3021,Proyectos!$A$2:$S$674,19,0))</f>
        <v>#NAME?</v>
      </c>
      <c r="O3021" s="32"/>
      <c r="P3021" s="32"/>
      <c r="Q3021" s="33"/>
      <c r="R3021" s="33"/>
      <c r="S3021" s="33"/>
      <c r="T3021" s="63">
        <f t="shared" si="24"/>
        <v>0</v>
      </c>
      <c r="U3021" s="33"/>
      <c r="V3021" s="33"/>
      <c r="W3021" s="33"/>
    </row>
    <row r="3022" spans="1:23" ht="16.5" customHeight="1" x14ac:dyDescent="0.2">
      <c r="A3022" s="26"/>
      <c r="B3022" s="26"/>
      <c r="C3022" s="26"/>
      <c r="D3022" s="26"/>
      <c r="E3022" s="26"/>
      <c r="F3022" s="28"/>
      <c r="G3022" s="26"/>
      <c r="H3022" s="32"/>
      <c r="I3022" s="32"/>
      <c r="J3022" s="32"/>
      <c r="K3022" s="32"/>
      <c r="L3022" s="32" t="e">
        <f ca="1">_xludf.ifna(VLOOKUP(E3022,Parámetros!$D$2:$E$34,2,0),"")</f>
        <v>#NAME?</v>
      </c>
      <c r="M3022" s="32" t="e">
        <f ca="1">_xludf.ifna(VLOOKUP(G3022,Proyectos!$A$2:$T$674,20,0),"")</f>
        <v>#NAME?</v>
      </c>
      <c r="N3022" s="32" t="e">
        <f ca="1">_xludf.ifna(VLOOKUP(G3022,Proyectos!$A$2:$S$674,19,0))</f>
        <v>#NAME?</v>
      </c>
      <c r="O3022" s="32"/>
      <c r="P3022" s="32"/>
      <c r="Q3022" s="33"/>
      <c r="R3022" s="33"/>
      <c r="S3022" s="33"/>
      <c r="T3022" s="63">
        <f t="shared" si="24"/>
        <v>0</v>
      </c>
      <c r="U3022" s="33"/>
      <c r="V3022" s="33"/>
      <c r="W3022" s="33"/>
    </row>
    <row r="3023" spans="1:23" ht="16.5" customHeight="1" x14ac:dyDescent="0.2">
      <c r="A3023" s="26"/>
      <c r="B3023" s="26"/>
      <c r="C3023" s="26"/>
      <c r="D3023" s="26"/>
      <c r="E3023" s="26"/>
      <c r="F3023" s="28"/>
      <c r="G3023" s="26"/>
      <c r="H3023" s="32"/>
      <c r="I3023" s="32"/>
      <c r="J3023" s="32"/>
      <c r="K3023" s="32"/>
      <c r="L3023" s="32" t="e">
        <f ca="1">_xludf.ifna(VLOOKUP(E3023,Parámetros!$D$2:$E$34,2,0),"")</f>
        <v>#NAME?</v>
      </c>
      <c r="M3023" s="32" t="e">
        <f ca="1">_xludf.ifna(VLOOKUP(G3023,Proyectos!$A$2:$T$674,20,0),"")</f>
        <v>#NAME?</v>
      </c>
      <c r="N3023" s="32" t="e">
        <f ca="1">_xludf.ifna(VLOOKUP(G3023,Proyectos!$A$2:$S$674,19,0))</f>
        <v>#NAME?</v>
      </c>
      <c r="O3023" s="32"/>
      <c r="P3023" s="32"/>
      <c r="Q3023" s="33"/>
      <c r="R3023" s="33"/>
      <c r="S3023" s="33"/>
      <c r="T3023" s="63">
        <f t="shared" si="24"/>
        <v>0</v>
      </c>
      <c r="U3023" s="33"/>
      <c r="V3023" s="33"/>
      <c r="W3023" s="33"/>
    </row>
    <row r="3024" spans="1:23" ht="16.5" customHeight="1" x14ac:dyDescent="0.2">
      <c r="A3024" s="26"/>
      <c r="B3024" s="26"/>
      <c r="C3024" s="26"/>
      <c r="D3024" s="26"/>
      <c r="E3024" s="26"/>
      <c r="F3024" s="28"/>
      <c r="G3024" s="26"/>
      <c r="H3024" s="32"/>
      <c r="I3024" s="32"/>
      <c r="J3024" s="32"/>
      <c r="K3024" s="32"/>
      <c r="L3024" s="32" t="e">
        <f ca="1">_xludf.ifna(VLOOKUP(E3024,Parámetros!$D$2:$E$34,2,0),"")</f>
        <v>#NAME?</v>
      </c>
      <c r="M3024" s="32" t="e">
        <f ca="1">_xludf.ifna(VLOOKUP(G3024,Proyectos!$A$2:$T$674,20,0),"")</f>
        <v>#NAME?</v>
      </c>
      <c r="N3024" s="32" t="e">
        <f ca="1">_xludf.ifna(VLOOKUP(G3024,Proyectos!$A$2:$S$674,19,0))</f>
        <v>#NAME?</v>
      </c>
      <c r="O3024" s="32"/>
      <c r="P3024" s="32"/>
      <c r="Q3024" s="33"/>
      <c r="R3024" s="33"/>
      <c r="S3024" s="33"/>
      <c r="T3024" s="63">
        <f t="shared" si="24"/>
        <v>0</v>
      </c>
      <c r="U3024" s="33"/>
      <c r="V3024" s="33"/>
      <c r="W3024" s="33"/>
    </row>
    <row r="3025" spans="1:23" ht="16.5" customHeight="1" x14ac:dyDescent="0.2">
      <c r="A3025" s="26"/>
      <c r="B3025" s="26"/>
      <c r="C3025" s="26"/>
      <c r="D3025" s="26"/>
      <c r="E3025" s="26"/>
      <c r="F3025" s="28"/>
      <c r="G3025" s="26"/>
      <c r="H3025" s="32"/>
      <c r="I3025" s="32"/>
      <c r="J3025" s="32"/>
      <c r="K3025" s="32"/>
      <c r="L3025" s="32" t="e">
        <f ca="1">_xludf.ifna(VLOOKUP(E3025,Parámetros!$D$2:$E$34,2,0),"")</f>
        <v>#NAME?</v>
      </c>
      <c r="M3025" s="32" t="e">
        <f ca="1">_xludf.ifna(VLOOKUP(G3025,Proyectos!$A$2:$T$674,20,0),"")</f>
        <v>#NAME?</v>
      </c>
      <c r="N3025" s="32" t="e">
        <f ca="1">_xludf.ifna(VLOOKUP(G3025,Proyectos!$A$2:$S$674,19,0))</f>
        <v>#NAME?</v>
      </c>
      <c r="O3025" s="32"/>
      <c r="P3025" s="32"/>
      <c r="Q3025" s="33"/>
      <c r="R3025" s="33"/>
      <c r="S3025" s="33"/>
      <c r="T3025" s="63">
        <f t="shared" si="24"/>
        <v>0</v>
      </c>
      <c r="U3025" s="33"/>
      <c r="V3025" s="33"/>
      <c r="W3025" s="33"/>
    </row>
    <row r="3026" spans="1:23" ht="16.5" customHeight="1" x14ac:dyDescent="0.2">
      <c r="A3026" s="26"/>
      <c r="B3026" s="26"/>
      <c r="C3026" s="26"/>
      <c r="D3026" s="26"/>
      <c r="E3026" s="26"/>
      <c r="F3026" s="28"/>
      <c r="G3026" s="26"/>
      <c r="H3026" s="32"/>
      <c r="I3026" s="32"/>
      <c r="J3026" s="32"/>
      <c r="K3026" s="32"/>
      <c r="L3026" s="32" t="e">
        <f ca="1">_xludf.ifna(VLOOKUP(E3026,Parámetros!$D$2:$E$34,2,0),"")</f>
        <v>#NAME?</v>
      </c>
      <c r="M3026" s="32" t="e">
        <f ca="1">_xludf.ifna(VLOOKUP(G3026,Proyectos!$A$2:$T$674,20,0),"")</f>
        <v>#NAME?</v>
      </c>
      <c r="N3026" s="32" t="e">
        <f ca="1">_xludf.ifna(VLOOKUP(G3026,Proyectos!$A$2:$S$674,19,0))</f>
        <v>#NAME?</v>
      </c>
      <c r="O3026" s="32"/>
      <c r="P3026" s="32"/>
      <c r="Q3026" s="33"/>
      <c r="R3026" s="33"/>
      <c r="S3026" s="33"/>
      <c r="T3026" s="63">
        <f t="shared" si="24"/>
        <v>0</v>
      </c>
      <c r="U3026" s="33"/>
      <c r="V3026" s="33"/>
      <c r="W3026" s="33"/>
    </row>
    <row r="3027" spans="1:23" ht="16.5" customHeight="1" x14ac:dyDescent="0.2">
      <c r="A3027" s="26"/>
      <c r="B3027" s="26"/>
      <c r="C3027" s="26"/>
      <c r="D3027" s="26"/>
      <c r="E3027" s="26"/>
      <c r="F3027" s="28"/>
      <c r="G3027" s="26"/>
      <c r="H3027" s="32"/>
      <c r="I3027" s="32"/>
      <c r="J3027" s="32"/>
      <c r="K3027" s="32"/>
      <c r="L3027" s="32" t="e">
        <f ca="1">_xludf.ifna(VLOOKUP(E3027,Parámetros!$D$2:$E$34,2,0),"")</f>
        <v>#NAME?</v>
      </c>
      <c r="M3027" s="32" t="e">
        <f ca="1">_xludf.ifna(VLOOKUP(G3027,Proyectos!$A$2:$T$674,20,0),"")</f>
        <v>#NAME?</v>
      </c>
      <c r="N3027" s="32" t="e">
        <f ca="1">_xludf.ifna(VLOOKUP(G3027,Proyectos!$A$2:$S$674,19,0))</f>
        <v>#NAME?</v>
      </c>
      <c r="O3027" s="32"/>
      <c r="P3027" s="32"/>
      <c r="Q3027" s="33"/>
      <c r="R3027" s="33"/>
      <c r="S3027" s="33"/>
      <c r="T3027" s="63">
        <f t="shared" si="24"/>
        <v>0</v>
      </c>
      <c r="U3027" s="33"/>
      <c r="V3027" s="33"/>
      <c r="W3027" s="33"/>
    </row>
    <row r="3028" spans="1:23" ht="16.5" customHeight="1" x14ac:dyDescent="0.2">
      <c r="A3028" s="26"/>
      <c r="B3028" s="26"/>
      <c r="C3028" s="26"/>
      <c r="D3028" s="26"/>
      <c r="E3028" s="26"/>
      <c r="F3028" s="28"/>
      <c r="G3028" s="26"/>
      <c r="H3028" s="32"/>
      <c r="I3028" s="32"/>
      <c r="J3028" s="32"/>
      <c r="K3028" s="32"/>
      <c r="L3028" s="32" t="e">
        <f ca="1">_xludf.ifna(VLOOKUP(E3028,Parámetros!$D$2:$E$34,2,0),"")</f>
        <v>#NAME?</v>
      </c>
      <c r="M3028" s="32" t="e">
        <f ca="1">_xludf.ifna(VLOOKUP(G3028,Proyectos!$A$2:$T$674,20,0),"")</f>
        <v>#NAME?</v>
      </c>
      <c r="N3028" s="32" t="e">
        <f ca="1">_xludf.ifna(VLOOKUP(G3028,Proyectos!$A$2:$S$674,19,0))</f>
        <v>#NAME?</v>
      </c>
      <c r="O3028" s="32"/>
      <c r="P3028" s="32"/>
      <c r="Q3028" s="33"/>
      <c r="R3028" s="33"/>
      <c r="S3028" s="33"/>
      <c r="T3028" s="63">
        <f t="shared" si="24"/>
        <v>0</v>
      </c>
      <c r="U3028" s="33"/>
      <c r="V3028" s="33"/>
      <c r="W3028" s="33"/>
    </row>
    <row r="3029" spans="1:23" ht="16.5" customHeight="1" x14ac:dyDescent="0.2">
      <c r="A3029" s="26"/>
      <c r="B3029" s="26"/>
      <c r="C3029" s="26"/>
      <c r="D3029" s="26"/>
      <c r="E3029" s="26"/>
      <c r="F3029" s="28"/>
      <c r="G3029" s="26"/>
      <c r="H3029" s="32"/>
      <c r="I3029" s="32"/>
      <c r="J3029" s="32"/>
      <c r="K3029" s="32"/>
      <c r="L3029" s="32" t="e">
        <f ca="1">_xludf.ifna(VLOOKUP(E3029,Parámetros!$D$2:$E$34,2,0),"")</f>
        <v>#NAME?</v>
      </c>
      <c r="M3029" s="32" t="e">
        <f ca="1">_xludf.ifna(VLOOKUP(G3029,Proyectos!$A$2:$T$674,20,0),"")</f>
        <v>#NAME?</v>
      </c>
      <c r="N3029" s="32" t="e">
        <f ca="1">_xludf.ifna(VLOOKUP(G3029,Proyectos!$A$2:$S$674,19,0))</f>
        <v>#NAME?</v>
      </c>
      <c r="O3029" s="32"/>
      <c r="P3029" s="32"/>
      <c r="Q3029" s="33"/>
      <c r="R3029" s="33"/>
      <c r="S3029" s="33"/>
      <c r="T3029" s="63">
        <f t="shared" si="24"/>
        <v>0</v>
      </c>
      <c r="U3029" s="33"/>
      <c r="V3029" s="33"/>
      <c r="W3029" s="33"/>
    </row>
    <row r="3030" spans="1:23" ht="16.5" customHeight="1" x14ac:dyDescent="0.2">
      <c r="A3030" s="26"/>
      <c r="B3030" s="26"/>
      <c r="C3030" s="26"/>
      <c r="D3030" s="26"/>
      <c r="E3030" s="26"/>
      <c r="F3030" s="28"/>
      <c r="G3030" s="26"/>
      <c r="H3030" s="32"/>
      <c r="I3030" s="32"/>
      <c r="J3030" s="32"/>
      <c r="K3030" s="32"/>
      <c r="L3030" s="32" t="e">
        <f ca="1">_xludf.ifna(VLOOKUP(E3030,Parámetros!$D$2:$E$34,2,0),"")</f>
        <v>#NAME?</v>
      </c>
      <c r="M3030" s="32" t="e">
        <f ca="1">_xludf.ifna(VLOOKUP(G3030,Proyectos!$A$2:$T$674,20,0),"")</f>
        <v>#NAME?</v>
      </c>
      <c r="N3030" s="32" t="e">
        <f ca="1">_xludf.ifna(VLOOKUP(G3030,Proyectos!$A$2:$S$674,19,0))</f>
        <v>#NAME?</v>
      </c>
      <c r="O3030" s="32"/>
      <c r="P3030" s="32"/>
      <c r="Q3030" s="33"/>
      <c r="R3030" s="33"/>
      <c r="S3030" s="33"/>
      <c r="T3030" s="63">
        <f t="shared" si="24"/>
        <v>0</v>
      </c>
      <c r="U3030" s="33"/>
      <c r="V3030" s="33"/>
      <c r="W3030" s="33"/>
    </row>
    <row r="3031" spans="1:23" ht="16.5" customHeight="1" x14ac:dyDescent="0.2">
      <c r="A3031" s="26"/>
      <c r="B3031" s="26"/>
      <c r="C3031" s="26"/>
      <c r="D3031" s="26"/>
      <c r="E3031" s="26"/>
      <c r="F3031" s="28"/>
      <c r="G3031" s="26"/>
      <c r="H3031" s="32"/>
      <c r="I3031" s="32"/>
      <c r="J3031" s="32"/>
      <c r="K3031" s="32"/>
      <c r="L3031" s="32" t="e">
        <f ca="1">_xludf.ifna(VLOOKUP(E3031,Parámetros!$D$2:$E$34,2,0),"")</f>
        <v>#NAME?</v>
      </c>
      <c r="M3031" s="32" t="e">
        <f ca="1">_xludf.ifna(VLOOKUP(G3031,Proyectos!$A$2:$T$674,20,0),"")</f>
        <v>#NAME?</v>
      </c>
      <c r="N3031" s="32" t="e">
        <f ca="1">_xludf.ifna(VLOOKUP(G3031,Proyectos!$A$2:$S$674,19,0))</f>
        <v>#NAME?</v>
      </c>
      <c r="O3031" s="32"/>
      <c r="P3031" s="32"/>
      <c r="Q3031" s="33"/>
      <c r="R3031" s="33"/>
      <c r="S3031" s="33"/>
      <c r="T3031" s="63">
        <f t="shared" si="24"/>
        <v>0</v>
      </c>
      <c r="U3031" s="33"/>
      <c r="V3031" s="33"/>
      <c r="W3031" s="33"/>
    </row>
    <row r="3032" spans="1:23" ht="16.5" customHeight="1" x14ac:dyDescent="0.2">
      <c r="A3032" s="26"/>
      <c r="B3032" s="26"/>
      <c r="C3032" s="26"/>
      <c r="D3032" s="26"/>
      <c r="E3032" s="26"/>
      <c r="F3032" s="28"/>
      <c r="G3032" s="26"/>
      <c r="H3032" s="32"/>
      <c r="I3032" s="32"/>
      <c r="J3032" s="32"/>
      <c r="K3032" s="32"/>
      <c r="L3032" s="32" t="e">
        <f ca="1">_xludf.ifna(VLOOKUP(E3032,Parámetros!$D$2:$E$34,2,0),"")</f>
        <v>#NAME?</v>
      </c>
      <c r="M3032" s="32" t="e">
        <f ca="1">_xludf.ifna(VLOOKUP(G3032,Proyectos!$A$2:$T$674,20,0),"")</f>
        <v>#NAME?</v>
      </c>
      <c r="N3032" s="32" t="e">
        <f ca="1">_xludf.ifna(VLOOKUP(G3032,Proyectos!$A$2:$S$674,19,0))</f>
        <v>#NAME?</v>
      </c>
      <c r="O3032" s="32"/>
      <c r="P3032" s="32"/>
      <c r="Q3032" s="33"/>
      <c r="R3032" s="33"/>
      <c r="S3032" s="33"/>
      <c r="T3032" s="63">
        <f t="shared" si="24"/>
        <v>0</v>
      </c>
      <c r="U3032" s="33"/>
      <c r="V3032" s="33"/>
      <c r="W3032" s="33"/>
    </row>
    <row r="3033" spans="1:23" ht="16.5" customHeight="1" x14ac:dyDescent="0.2">
      <c r="A3033" s="26"/>
      <c r="B3033" s="26"/>
      <c r="C3033" s="26"/>
      <c r="D3033" s="26"/>
      <c r="E3033" s="26"/>
      <c r="F3033" s="28"/>
      <c r="G3033" s="26"/>
      <c r="H3033" s="32"/>
      <c r="I3033" s="32"/>
      <c r="J3033" s="32"/>
      <c r="K3033" s="32"/>
      <c r="L3033" s="32" t="e">
        <f ca="1">_xludf.ifna(VLOOKUP(E3033,Parámetros!$D$2:$E$34,2,0),"")</f>
        <v>#NAME?</v>
      </c>
      <c r="M3033" s="32" t="e">
        <f ca="1">_xludf.ifna(VLOOKUP(G3033,Proyectos!$A$2:$T$674,20,0),"")</f>
        <v>#NAME?</v>
      </c>
      <c r="N3033" s="32" t="e">
        <f ca="1">_xludf.ifna(VLOOKUP(G3033,Proyectos!$A$2:$S$674,19,0))</f>
        <v>#NAME?</v>
      </c>
      <c r="O3033" s="32"/>
      <c r="P3033" s="32"/>
      <c r="Q3033" s="33"/>
      <c r="R3033" s="33"/>
      <c r="S3033" s="33"/>
      <c r="T3033" s="63">
        <f t="shared" si="24"/>
        <v>0</v>
      </c>
      <c r="U3033" s="33"/>
      <c r="V3033" s="33"/>
      <c r="W3033" s="33"/>
    </row>
    <row r="3034" spans="1:23" ht="16.5" customHeight="1" x14ac:dyDescent="0.2">
      <c r="A3034" s="26"/>
      <c r="B3034" s="26"/>
      <c r="C3034" s="26"/>
      <c r="D3034" s="26"/>
      <c r="E3034" s="26"/>
      <c r="F3034" s="28"/>
      <c r="G3034" s="26"/>
      <c r="H3034" s="32"/>
      <c r="I3034" s="32"/>
      <c r="J3034" s="32"/>
      <c r="K3034" s="32"/>
      <c r="L3034" s="32" t="e">
        <f ca="1">_xludf.ifna(VLOOKUP(E3034,Parámetros!$D$2:$E$34,2,0),"")</f>
        <v>#NAME?</v>
      </c>
      <c r="M3034" s="32" t="e">
        <f ca="1">_xludf.ifna(VLOOKUP(G3034,Proyectos!$A$2:$T$674,20,0),"")</f>
        <v>#NAME?</v>
      </c>
      <c r="N3034" s="32" t="e">
        <f ca="1">_xludf.ifna(VLOOKUP(G3034,Proyectos!$A$2:$S$674,19,0))</f>
        <v>#NAME?</v>
      </c>
      <c r="O3034" s="32"/>
      <c r="P3034" s="32"/>
      <c r="Q3034" s="33"/>
      <c r="R3034" s="33"/>
      <c r="S3034" s="33"/>
      <c r="T3034" s="63">
        <f t="shared" si="24"/>
        <v>0</v>
      </c>
      <c r="U3034" s="33"/>
      <c r="V3034" s="33"/>
      <c r="W3034" s="33"/>
    </row>
    <row r="3035" spans="1:23" ht="16.5" customHeight="1" x14ac:dyDescent="0.2">
      <c r="A3035" s="26"/>
      <c r="B3035" s="26"/>
      <c r="C3035" s="26"/>
      <c r="D3035" s="26"/>
      <c r="E3035" s="26"/>
      <c r="F3035" s="28"/>
      <c r="G3035" s="26"/>
      <c r="H3035" s="32"/>
      <c r="I3035" s="32"/>
      <c r="J3035" s="32"/>
      <c r="K3035" s="32"/>
      <c r="L3035" s="32" t="e">
        <f ca="1">_xludf.ifna(VLOOKUP(E3035,Parámetros!$D$2:$E$34,2,0),"")</f>
        <v>#NAME?</v>
      </c>
      <c r="M3035" s="32" t="e">
        <f ca="1">_xludf.ifna(VLOOKUP(G3035,Proyectos!$A$2:$T$674,20,0),"")</f>
        <v>#NAME?</v>
      </c>
      <c r="N3035" s="32" t="e">
        <f ca="1">_xludf.ifna(VLOOKUP(G3035,Proyectos!$A$2:$S$674,19,0))</f>
        <v>#NAME?</v>
      </c>
      <c r="O3035" s="32"/>
      <c r="P3035" s="32"/>
      <c r="Q3035" s="33"/>
      <c r="R3035" s="33"/>
      <c r="S3035" s="33"/>
      <c r="T3035" s="63">
        <f t="shared" si="24"/>
        <v>0</v>
      </c>
      <c r="U3035" s="33"/>
      <c r="V3035" s="33"/>
      <c r="W3035" s="33"/>
    </row>
    <row r="3036" spans="1:23" ht="16.5" customHeight="1" x14ac:dyDescent="0.2">
      <c r="A3036" s="26"/>
      <c r="B3036" s="26"/>
      <c r="C3036" s="26"/>
      <c r="D3036" s="26"/>
      <c r="E3036" s="26"/>
      <c r="F3036" s="28"/>
      <c r="G3036" s="26"/>
      <c r="H3036" s="32"/>
      <c r="I3036" s="32"/>
      <c r="J3036" s="32"/>
      <c r="K3036" s="32"/>
      <c r="L3036" s="32" t="e">
        <f ca="1">_xludf.ifna(VLOOKUP(E3036,Parámetros!$D$2:$E$34,2,0),"")</f>
        <v>#NAME?</v>
      </c>
      <c r="M3036" s="32" t="e">
        <f ca="1">_xludf.ifna(VLOOKUP(G3036,Proyectos!$A$2:$T$674,20,0),"")</f>
        <v>#NAME?</v>
      </c>
      <c r="N3036" s="32" t="e">
        <f ca="1">_xludf.ifna(VLOOKUP(G3036,Proyectos!$A$2:$S$674,19,0))</f>
        <v>#NAME?</v>
      </c>
      <c r="O3036" s="32"/>
      <c r="P3036" s="32"/>
      <c r="Q3036" s="33"/>
      <c r="R3036" s="33"/>
      <c r="S3036" s="33"/>
      <c r="T3036" s="63">
        <f t="shared" si="24"/>
        <v>0</v>
      </c>
      <c r="U3036" s="33"/>
      <c r="V3036" s="33"/>
      <c r="W3036" s="33"/>
    </row>
    <row r="3037" spans="1:23" ht="16.5" customHeight="1" x14ac:dyDescent="0.2">
      <c r="A3037" s="26"/>
      <c r="B3037" s="26"/>
      <c r="C3037" s="26"/>
      <c r="D3037" s="26"/>
      <c r="E3037" s="26"/>
      <c r="F3037" s="28"/>
      <c r="G3037" s="26"/>
      <c r="H3037" s="32"/>
      <c r="I3037" s="32"/>
      <c r="J3037" s="32"/>
      <c r="K3037" s="32"/>
      <c r="L3037" s="32" t="e">
        <f ca="1">_xludf.ifna(VLOOKUP(E3037,Parámetros!$D$2:$E$34,2,0),"")</f>
        <v>#NAME?</v>
      </c>
      <c r="M3037" s="32" t="e">
        <f ca="1">_xludf.ifna(VLOOKUP(G3037,Proyectos!$A$2:$T$674,20,0),"")</f>
        <v>#NAME?</v>
      </c>
      <c r="N3037" s="32" t="e">
        <f ca="1">_xludf.ifna(VLOOKUP(G3037,Proyectos!$A$2:$S$674,19,0))</f>
        <v>#NAME?</v>
      </c>
      <c r="O3037" s="32"/>
      <c r="P3037" s="32"/>
      <c r="Q3037" s="33"/>
      <c r="R3037" s="33"/>
      <c r="S3037" s="33"/>
      <c r="T3037" s="63">
        <f t="shared" si="24"/>
        <v>0</v>
      </c>
      <c r="U3037" s="33"/>
      <c r="V3037" s="33"/>
      <c r="W3037" s="33"/>
    </row>
    <row r="3038" spans="1:23" ht="16.5" customHeight="1" x14ac:dyDescent="0.2">
      <c r="A3038" s="26"/>
      <c r="B3038" s="26"/>
      <c r="C3038" s="26"/>
      <c r="D3038" s="26"/>
      <c r="E3038" s="26"/>
      <c r="F3038" s="28"/>
      <c r="G3038" s="26"/>
      <c r="H3038" s="32"/>
      <c r="I3038" s="32"/>
      <c r="J3038" s="32"/>
      <c r="K3038" s="32"/>
      <c r="L3038" s="32" t="e">
        <f ca="1">_xludf.ifna(VLOOKUP(E3038,Parámetros!$D$2:$E$34,2,0),"")</f>
        <v>#NAME?</v>
      </c>
      <c r="M3038" s="32" t="e">
        <f ca="1">_xludf.ifna(VLOOKUP(G3038,Proyectos!$A$2:$T$674,20,0),"")</f>
        <v>#NAME?</v>
      </c>
      <c r="N3038" s="32" t="e">
        <f ca="1">_xludf.ifna(VLOOKUP(G3038,Proyectos!$A$2:$S$674,19,0))</f>
        <v>#NAME?</v>
      </c>
      <c r="O3038" s="32"/>
      <c r="P3038" s="32"/>
      <c r="Q3038" s="33"/>
      <c r="R3038" s="33"/>
      <c r="S3038" s="33"/>
      <c r="T3038" s="63">
        <f t="shared" si="24"/>
        <v>0</v>
      </c>
      <c r="U3038" s="33"/>
      <c r="V3038" s="33"/>
      <c r="W3038" s="33"/>
    </row>
    <row r="3039" spans="1:23" ht="16.5" customHeight="1" x14ac:dyDescent="0.2">
      <c r="A3039" s="26"/>
      <c r="B3039" s="26"/>
      <c r="C3039" s="26"/>
      <c r="D3039" s="26"/>
      <c r="E3039" s="26"/>
      <c r="F3039" s="28"/>
      <c r="G3039" s="26"/>
      <c r="H3039" s="32"/>
      <c r="I3039" s="32"/>
      <c r="J3039" s="32"/>
      <c r="K3039" s="32"/>
      <c r="L3039" s="32" t="e">
        <f ca="1">_xludf.ifna(VLOOKUP(E3039,Parámetros!$D$2:$E$34,2,0),"")</f>
        <v>#NAME?</v>
      </c>
      <c r="M3039" s="32" t="e">
        <f ca="1">_xludf.ifna(VLOOKUP(G3039,Proyectos!$A$2:$T$674,20,0),"")</f>
        <v>#NAME?</v>
      </c>
      <c r="N3039" s="32" t="e">
        <f ca="1">_xludf.ifna(VLOOKUP(G3039,Proyectos!$A$2:$S$674,19,0))</f>
        <v>#NAME?</v>
      </c>
      <c r="O3039" s="32"/>
      <c r="P3039" s="32"/>
      <c r="Q3039" s="33"/>
      <c r="R3039" s="33"/>
      <c r="S3039" s="33"/>
      <c r="T3039" s="63">
        <f t="shared" si="24"/>
        <v>0</v>
      </c>
      <c r="U3039" s="33"/>
      <c r="V3039" s="33"/>
      <c r="W3039" s="33"/>
    </row>
    <row r="3040" spans="1:23" ht="16.5" customHeight="1" x14ac:dyDescent="0.2">
      <c r="A3040" s="26"/>
      <c r="B3040" s="26"/>
      <c r="C3040" s="26"/>
      <c r="D3040" s="26"/>
      <c r="E3040" s="26"/>
      <c r="F3040" s="28"/>
      <c r="G3040" s="26"/>
      <c r="H3040" s="32"/>
      <c r="I3040" s="32"/>
      <c r="J3040" s="32"/>
      <c r="K3040" s="32"/>
      <c r="L3040" s="32" t="e">
        <f ca="1">_xludf.ifna(VLOOKUP(E3040,Parámetros!$D$2:$E$34,2,0),"")</f>
        <v>#NAME?</v>
      </c>
      <c r="M3040" s="32" t="e">
        <f ca="1">_xludf.ifna(VLOOKUP(G3040,Proyectos!$A$2:$T$674,20,0),"")</f>
        <v>#NAME?</v>
      </c>
      <c r="N3040" s="32" t="e">
        <f ca="1">_xludf.ifna(VLOOKUP(G3040,Proyectos!$A$2:$S$674,19,0))</f>
        <v>#NAME?</v>
      </c>
      <c r="O3040" s="32"/>
      <c r="P3040" s="32"/>
      <c r="Q3040" s="33"/>
      <c r="R3040" s="33"/>
      <c r="S3040" s="33"/>
      <c r="T3040" s="63">
        <f t="shared" si="24"/>
        <v>0</v>
      </c>
      <c r="U3040" s="33"/>
      <c r="V3040" s="33"/>
      <c r="W3040" s="33"/>
    </row>
    <row r="3041" spans="1:23" ht="16.5" customHeight="1" x14ac:dyDescent="0.2">
      <c r="A3041" s="26"/>
      <c r="B3041" s="26"/>
      <c r="C3041" s="26"/>
      <c r="D3041" s="26"/>
      <c r="E3041" s="26"/>
      <c r="F3041" s="28"/>
      <c r="G3041" s="26"/>
      <c r="H3041" s="32"/>
      <c r="I3041" s="32"/>
      <c r="J3041" s="32"/>
      <c r="K3041" s="32"/>
      <c r="L3041" s="32" t="e">
        <f ca="1">_xludf.ifna(VLOOKUP(E3041,Parámetros!$D$2:$E$34,2,0),"")</f>
        <v>#NAME?</v>
      </c>
      <c r="M3041" s="32" t="e">
        <f ca="1">_xludf.ifna(VLOOKUP(G3041,Proyectos!$A$2:$T$674,20,0),"")</f>
        <v>#NAME?</v>
      </c>
      <c r="N3041" s="32" t="e">
        <f ca="1">_xludf.ifna(VLOOKUP(G3041,Proyectos!$A$2:$S$674,19,0))</f>
        <v>#NAME?</v>
      </c>
      <c r="O3041" s="32"/>
      <c r="P3041" s="32"/>
      <c r="Q3041" s="33"/>
      <c r="R3041" s="33"/>
      <c r="S3041" s="33"/>
      <c r="T3041" s="63">
        <f t="shared" si="24"/>
        <v>0</v>
      </c>
      <c r="U3041" s="33"/>
      <c r="V3041" s="33"/>
      <c r="W3041" s="33"/>
    </row>
    <row r="3042" spans="1:23" ht="16.5" customHeight="1" x14ac:dyDescent="0.2">
      <c r="A3042" s="26"/>
      <c r="B3042" s="26"/>
      <c r="C3042" s="26"/>
      <c r="D3042" s="26"/>
      <c r="E3042" s="26"/>
      <c r="F3042" s="28"/>
      <c r="G3042" s="26"/>
      <c r="H3042" s="32"/>
      <c r="I3042" s="32"/>
      <c r="J3042" s="32"/>
      <c r="K3042" s="32"/>
      <c r="L3042" s="32" t="e">
        <f ca="1">_xludf.ifna(VLOOKUP(E3042,Parámetros!$D$2:$E$34,2,0),"")</f>
        <v>#NAME?</v>
      </c>
      <c r="M3042" s="32" t="e">
        <f ca="1">_xludf.ifna(VLOOKUP(G3042,Proyectos!$A$2:$T$674,20,0),"")</f>
        <v>#NAME?</v>
      </c>
      <c r="N3042" s="32" t="e">
        <f ca="1">_xludf.ifna(VLOOKUP(G3042,Proyectos!$A$2:$S$674,19,0))</f>
        <v>#NAME?</v>
      </c>
      <c r="O3042" s="32"/>
      <c r="P3042" s="32"/>
      <c r="Q3042" s="33"/>
      <c r="R3042" s="33"/>
      <c r="S3042" s="33"/>
      <c r="T3042" s="63">
        <f t="shared" si="24"/>
        <v>0</v>
      </c>
      <c r="U3042" s="33"/>
      <c r="V3042" s="33"/>
      <c r="W3042" s="33"/>
    </row>
    <row r="3043" spans="1:23" ht="16.5" customHeight="1" x14ac:dyDescent="0.2">
      <c r="A3043" s="26"/>
      <c r="B3043" s="26"/>
      <c r="C3043" s="26"/>
      <c r="D3043" s="26"/>
      <c r="E3043" s="26"/>
      <c r="F3043" s="28"/>
      <c r="G3043" s="26"/>
      <c r="H3043" s="32"/>
      <c r="I3043" s="32"/>
      <c r="J3043" s="32"/>
      <c r="K3043" s="32"/>
      <c r="L3043" s="32" t="e">
        <f ca="1">_xludf.ifna(VLOOKUP(E3043,Parámetros!$D$2:$E$34,2,0),"")</f>
        <v>#NAME?</v>
      </c>
      <c r="M3043" s="32" t="e">
        <f ca="1">_xludf.ifna(VLOOKUP(G3043,Proyectos!$A$2:$T$674,20,0),"")</f>
        <v>#NAME?</v>
      </c>
      <c r="N3043" s="32" t="e">
        <f ca="1">_xludf.ifna(VLOOKUP(G3043,Proyectos!$A$2:$S$674,19,0))</f>
        <v>#NAME?</v>
      </c>
      <c r="O3043" s="32"/>
      <c r="P3043" s="32"/>
      <c r="Q3043" s="33"/>
      <c r="R3043" s="33"/>
      <c r="S3043" s="33"/>
      <c r="T3043" s="63">
        <f t="shared" si="24"/>
        <v>0</v>
      </c>
      <c r="U3043" s="33"/>
      <c r="V3043" s="33"/>
      <c r="W3043" s="33"/>
    </row>
    <row r="3044" spans="1:23" ht="16.5" customHeight="1" x14ac:dyDescent="0.2">
      <c r="A3044" s="26"/>
      <c r="B3044" s="26"/>
      <c r="C3044" s="26"/>
      <c r="D3044" s="26"/>
      <c r="E3044" s="26"/>
      <c r="F3044" s="28"/>
      <c r="G3044" s="26"/>
      <c r="H3044" s="32"/>
      <c r="I3044" s="32"/>
      <c r="J3044" s="32"/>
      <c r="K3044" s="32"/>
      <c r="L3044" s="32" t="e">
        <f ca="1">_xludf.ifna(VLOOKUP(E3044,Parámetros!$D$2:$E$34,2,0),"")</f>
        <v>#NAME?</v>
      </c>
      <c r="M3044" s="32" t="e">
        <f ca="1">_xludf.ifna(VLOOKUP(G3044,Proyectos!$A$2:$T$674,20,0),"")</f>
        <v>#NAME?</v>
      </c>
      <c r="N3044" s="32" t="e">
        <f ca="1">_xludf.ifna(VLOOKUP(G3044,Proyectos!$A$2:$S$674,19,0))</f>
        <v>#NAME?</v>
      </c>
      <c r="O3044" s="32"/>
      <c r="P3044" s="32"/>
      <c r="Q3044" s="33"/>
      <c r="R3044" s="33"/>
      <c r="S3044" s="33"/>
      <c r="T3044" s="63">
        <f t="shared" si="24"/>
        <v>0</v>
      </c>
      <c r="U3044" s="33"/>
      <c r="V3044" s="33"/>
      <c r="W3044" s="33"/>
    </row>
    <row r="3045" spans="1:23" ht="16.5" customHeight="1" x14ac:dyDescent="0.2">
      <c r="A3045" s="26"/>
      <c r="B3045" s="26"/>
      <c r="C3045" s="26"/>
      <c r="D3045" s="26"/>
      <c r="E3045" s="26"/>
      <c r="F3045" s="28"/>
      <c r="G3045" s="26"/>
      <c r="H3045" s="32"/>
      <c r="I3045" s="32"/>
      <c r="J3045" s="32"/>
      <c r="K3045" s="32"/>
      <c r="L3045" s="32" t="e">
        <f ca="1">_xludf.ifna(VLOOKUP(E3045,Parámetros!$D$2:$E$34,2,0),"")</f>
        <v>#NAME?</v>
      </c>
      <c r="M3045" s="32" t="e">
        <f ca="1">_xludf.ifna(VLOOKUP(G3045,Proyectos!$A$2:$T$674,20,0),"")</f>
        <v>#NAME?</v>
      </c>
      <c r="N3045" s="32" t="e">
        <f ca="1">_xludf.ifna(VLOOKUP(G3045,Proyectos!$A$2:$S$674,19,0))</f>
        <v>#NAME?</v>
      </c>
      <c r="O3045" s="32"/>
      <c r="P3045" s="32"/>
      <c r="Q3045" s="33"/>
      <c r="R3045" s="33"/>
      <c r="S3045" s="33"/>
      <c r="T3045" s="63">
        <f t="shared" si="24"/>
        <v>0</v>
      </c>
      <c r="U3045" s="33"/>
      <c r="V3045" s="33"/>
      <c r="W3045" s="33"/>
    </row>
    <row r="3046" spans="1:23" ht="16.5" customHeight="1" x14ac:dyDescent="0.2">
      <c r="A3046" s="26"/>
      <c r="B3046" s="26"/>
      <c r="C3046" s="26"/>
      <c r="D3046" s="26"/>
      <c r="E3046" s="26"/>
      <c r="F3046" s="28"/>
      <c r="G3046" s="26"/>
      <c r="H3046" s="32"/>
      <c r="I3046" s="32"/>
      <c r="J3046" s="32"/>
      <c r="K3046" s="32"/>
      <c r="L3046" s="32" t="e">
        <f ca="1">_xludf.ifna(VLOOKUP(E3046,Parámetros!$D$2:$E$34,2,0),"")</f>
        <v>#NAME?</v>
      </c>
      <c r="M3046" s="32" t="e">
        <f ca="1">_xludf.ifna(VLOOKUP(G3046,Proyectos!$A$2:$T$674,20,0),"")</f>
        <v>#NAME?</v>
      </c>
      <c r="N3046" s="32" t="e">
        <f ca="1">_xludf.ifna(VLOOKUP(G3046,Proyectos!$A$2:$S$674,19,0))</f>
        <v>#NAME?</v>
      </c>
      <c r="O3046" s="32"/>
      <c r="P3046" s="32"/>
      <c r="Q3046" s="33"/>
      <c r="R3046" s="33"/>
      <c r="S3046" s="33"/>
      <c r="T3046" s="63">
        <f t="shared" si="24"/>
        <v>0</v>
      </c>
      <c r="U3046" s="33"/>
      <c r="V3046" s="33"/>
      <c r="W3046" s="33"/>
    </row>
    <row r="3047" spans="1:23" ht="16.5" customHeight="1" x14ac:dyDescent="0.2">
      <c r="A3047" s="26"/>
      <c r="B3047" s="26"/>
      <c r="C3047" s="26"/>
      <c r="D3047" s="26"/>
      <c r="E3047" s="26"/>
      <c r="F3047" s="28"/>
      <c r="G3047" s="26"/>
      <c r="H3047" s="32"/>
      <c r="I3047" s="32"/>
      <c r="J3047" s="32"/>
      <c r="K3047" s="32"/>
      <c r="L3047" s="32" t="e">
        <f ca="1">_xludf.ifna(VLOOKUP(E3047,Parámetros!$D$2:$E$34,2,0),"")</f>
        <v>#NAME?</v>
      </c>
      <c r="M3047" s="32" t="e">
        <f ca="1">_xludf.ifna(VLOOKUP(G3047,Proyectos!$A$2:$T$674,20,0),"")</f>
        <v>#NAME?</v>
      </c>
      <c r="N3047" s="32" t="e">
        <f ca="1">_xludf.ifna(VLOOKUP(G3047,Proyectos!$A$2:$S$674,19,0))</f>
        <v>#NAME?</v>
      </c>
      <c r="O3047" s="32"/>
      <c r="P3047" s="32"/>
      <c r="Q3047" s="33"/>
      <c r="R3047" s="33"/>
      <c r="S3047" s="33"/>
      <c r="T3047" s="63">
        <f t="shared" si="24"/>
        <v>0</v>
      </c>
      <c r="U3047" s="33"/>
      <c r="V3047" s="33"/>
      <c r="W3047" s="33"/>
    </row>
    <row r="3048" spans="1:23" ht="16.5" customHeight="1" x14ac:dyDescent="0.2">
      <c r="A3048" s="26"/>
      <c r="B3048" s="26"/>
      <c r="C3048" s="26"/>
      <c r="D3048" s="26"/>
      <c r="E3048" s="26"/>
      <c r="F3048" s="28"/>
      <c r="G3048" s="26"/>
      <c r="H3048" s="32"/>
      <c r="I3048" s="32"/>
      <c r="J3048" s="32"/>
      <c r="K3048" s="32"/>
      <c r="L3048" s="32" t="e">
        <f ca="1">_xludf.ifna(VLOOKUP(E3048,Parámetros!$D$2:$E$34,2,0),"")</f>
        <v>#NAME?</v>
      </c>
      <c r="M3048" s="32" t="e">
        <f ca="1">_xludf.ifna(VLOOKUP(G3048,Proyectos!$A$2:$T$674,20,0),"")</f>
        <v>#NAME?</v>
      </c>
      <c r="N3048" s="32" t="e">
        <f ca="1">_xludf.ifna(VLOOKUP(G3048,Proyectos!$A$2:$S$674,19,0))</f>
        <v>#NAME?</v>
      </c>
      <c r="O3048" s="32"/>
      <c r="P3048" s="32"/>
      <c r="Q3048" s="33"/>
      <c r="R3048" s="33"/>
      <c r="S3048" s="33"/>
      <c r="T3048" s="63">
        <f t="shared" si="24"/>
        <v>0</v>
      </c>
      <c r="U3048" s="33"/>
      <c r="V3048" s="33"/>
      <c r="W3048" s="33"/>
    </row>
    <row r="3049" spans="1:23" ht="16.5" customHeight="1" x14ac:dyDescent="0.2">
      <c r="A3049" s="26"/>
      <c r="B3049" s="26"/>
      <c r="C3049" s="26"/>
      <c r="D3049" s="26"/>
      <c r="E3049" s="26"/>
      <c r="F3049" s="28"/>
      <c r="G3049" s="26"/>
      <c r="H3049" s="32"/>
      <c r="I3049" s="32"/>
      <c r="J3049" s="32"/>
      <c r="K3049" s="32"/>
      <c r="L3049" s="32" t="e">
        <f ca="1">_xludf.ifna(VLOOKUP(E3049,Parámetros!$D$2:$E$34,2,0),"")</f>
        <v>#NAME?</v>
      </c>
      <c r="M3049" s="32" t="e">
        <f ca="1">_xludf.ifna(VLOOKUP(G3049,Proyectos!$A$2:$T$674,20,0),"")</f>
        <v>#NAME?</v>
      </c>
      <c r="N3049" s="32" t="e">
        <f ca="1">_xludf.ifna(VLOOKUP(G3049,Proyectos!$A$2:$S$674,19,0))</f>
        <v>#NAME?</v>
      </c>
      <c r="O3049" s="32"/>
      <c r="P3049" s="32"/>
      <c r="Q3049" s="33"/>
      <c r="R3049" s="33"/>
      <c r="S3049" s="33"/>
      <c r="T3049" s="63">
        <f t="shared" si="24"/>
        <v>0</v>
      </c>
      <c r="U3049" s="33"/>
      <c r="V3049" s="33"/>
      <c r="W3049" s="33"/>
    </row>
    <row r="3050" spans="1:23" ht="16.5" customHeight="1" x14ac:dyDescent="0.2">
      <c r="A3050" s="26"/>
      <c r="B3050" s="26"/>
      <c r="C3050" s="26"/>
      <c r="D3050" s="26"/>
      <c r="E3050" s="26"/>
      <c r="F3050" s="28"/>
      <c r="G3050" s="26"/>
      <c r="H3050" s="32"/>
      <c r="I3050" s="32"/>
      <c r="J3050" s="32"/>
      <c r="K3050" s="32"/>
      <c r="L3050" s="32" t="e">
        <f ca="1">_xludf.ifna(VLOOKUP(E3050,Parámetros!$D$2:$E$34,2,0),"")</f>
        <v>#NAME?</v>
      </c>
      <c r="M3050" s="32" t="e">
        <f ca="1">_xludf.ifna(VLOOKUP(G3050,Proyectos!$A$2:$T$674,20,0),"")</f>
        <v>#NAME?</v>
      </c>
      <c r="N3050" s="32" t="e">
        <f ca="1">_xludf.ifna(VLOOKUP(G3050,Proyectos!$A$2:$S$674,19,0))</f>
        <v>#NAME?</v>
      </c>
      <c r="O3050" s="32"/>
      <c r="P3050" s="32"/>
      <c r="Q3050" s="33"/>
      <c r="R3050" s="33"/>
      <c r="S3050" s="33"/>
      <c r="T3050" s="63">
        <f t="shared" si="24"/>
        <v>0</v>
      </c>
      <c r="U3050" s="33"/>
      <c r="V3050" s="33"/>
      <c r="W3050" s="33"/>
    </row>
    <row r="3051" spans="1:23" ht="16.5" customHeight="1" x14ac:dyDescent="0.2">
      <c r="A3051" s="26"/>
      <c r="B3051" s="26"/>
      <c r="C3051" s="26"/>
      <c r="D3051" s="26"/>
      <c r="E3051" s="26"/>
      <c r="F3051" s="28"/>
      <c r="G3051" s="26"/>
      <c r="H3051" s="32"/>
      <c r="I3051" s="32"/>
      <c r="J3051" s="32"/>
      <c r="K3051" s="32"/>
      <c r="L3051" s="32" t="e">
        <f ca="1">_xludf.ifna(VLOOKUP(E3051,Parámetros!$D$2:$E$34,2,0),"")</f>
        <v>#NAME?</v>
      </c>
      <c r="M3051" s="32" t="e">
        <f ca="1">_xludf.ifna(VLOOKUP(G3051,Proyectos!$A$2:$T$674,20,0),"")</f>
        <v>#NAME?</v>
      </c>
      <c r="N3051" s="32" t="e">
        <f ca="1">_xludf.ifna(VLOOKUP(G3051,Proyectos!$A$2:$S$674,19,0))</f>
        <v>#NAME?</v>
      </c>
      <c r="O3051" s="32"/>
      <c r="P3051" s="32"/>
      <c r="Q3051" s="33"/>
      <c r="R3051" s="33"/>
      <c r="S3051" s="33"/>
      <c r="T3051" s="63">
        <f t="shared" si="24"/>
        <v>0</v>
      </c>
      <c r="U3051" s="33"/>
      <c r="V3051" s="33"/>
      <c r="W3051" s="33"/>
    </row>
    <row r="3052" spans="1:23" ht="16.5" customHeight="1" x14ac:dyDescent="0.2">
      <c r="A3052" s="26"/>
      <c r="B3052" s="26"/>
      <c r="C3052" s="26"/>
      <c r="D3052" s="26"/>
      <c r="E3052" s="26"/>
      <c r="F3052" s="28"/>
      <c r="G3052" s="26"/>
      <c r="H3052" s="32"/>
      <c r="I3052" s="32"/>
      <c r="J3052" s="32"/>
      <c r="K3052" s="32"/>
      <c r="L3052" s="32" t="e">
        <f ca="1">_xludf.ifna(VLOOKUP(E3052,Parámetros!$D$2:$E$34,2,0),"")</f>
        <v>#NAME?</v>
      </c>
      <c r="M3052" s="32" t="e">
        <f ca="1">_xludf.ifna(VLOOKUP(G3052,Proyectos!$A$2:$T$674,20,0),"")</f>
        <v>#NAME?</v>
      </c>
      <c r="N3052" s="32" t="e">
        <f ca="1">_xludf.ifna(VLOOKUP(G3052,Proyectos!$A$2:$S$674,19,0))</f>
        <v>#NAME?</v>
      </c>
      <c r="O3052" s="32"/>
      <c r="P3052" s="32"/>
      <c r="Q3052" s="33"/>
      <c r="R3052" s="33"/>
      <c r="S3052" s="33"/>
      <c r="T3052" s="63">
        <f t="shared" si="24"/>
        <v>0</v>
      </c>
      <c r="U3052" s="33"/>
      <c r="V3052" s="33"/>
      <c r="W3052" s="33"/>
    </row>
    <row r="3053" spans="1:23" ht="16.5" customHeight="1" x14ac:dyDescent="0.2">
      <c r="A3053" s="26"/>
      <c r="B3053" s="26"/>
      <c r="C3053" s="26"/>
      <c r="D3053" s="26"/>
      <c r="E3053" s="26"/>
      <c r="F3053" s="28"/>
      <c r="G3053" s="26"/>
      <c r="H3053" s="32"/>
      <c r="I3053" s="32"/>
      <c r="J3053" s="32"/>
      <c r="K3053" s="32"/>
      <c r="L3053" s="32" t="e">
        <f ca="1">_xludf.ifna(VLOOKUP(E3053,Parámetros!$D$2:$E$34,2,0),"")</f>
        <v>#NAME?</v>
      </c>
      <c r="M3053" s="32" t="e">
        <f ca="1">_xludf.ifna(VLOOKUP(G3053,Proyectos!$A$2:$T$674,20,0),"")</f>
        <v>#NAME?</v>
      </c>
      <c r="N3053" s="32" t="e">
        <f ca="1">_xludf.ifna(VLOOKUP(G3053,Proyectos!$A$2:$S$674,19,0))</f>
        <v>#NAME?</v>
      </c>
      <c r="O3053" s="32"/>
      <c r="P3053" s="32"/>
      <c r="Q3053" s="33"/>
      <c r="R3053" s="33"/>
      <c r="S3053" s="33"/>
      <c r="T3053" s="63">
        <f t="shared" si="24"/>
        <v>0</v>
      </c>
      <c r="U3053" s="33"/>
      <c r="V3053" s="33"/>
      <c r="W3053" s="33"/>
    </row>
    <row r="3054" spans="1:23" ht="16.5" customHeight="1" x14ac:dyDescent="0.2">
      <c r="A3054" s="26"/>
      <c r="B3054" s="26"/>
      <c r="C3054" s="26"/>
      <c r="D3054" s="26"/>
      <c r="E3054" s="26"/>
      <c r="F3054" s="28"/>
      <c r="G3054" s="26"/>
      <c r="H3054" s="32"/>
      <c r="I3054" s="32"/>
      <c r="J3054" s="32"/>
      <c r="K3054" s="32"/>
      <c r="L3054" s="32" t="e">
        <f ca="1">_xludf.ifna(VLOOKUP(E3054,Parámetros!$D$2:$E$34,2,0),"")</f>
        <v>#NAME?</v>
      </c>
      <c r="M3054" s="32" t="e">
        <f ca="1">_xludf.ifna(VLOOKUP(G3054,Proyectos!$A$2:$T$674,20,0),"")</f>
        <v>#NAME?</v>
      </c>
      <c r="N3054" s="32" t="e">
        <f ca="1">_xludf.ifna(VLOOKUP(G3054,Proyectos!$A$2:$S$674,19,0))</f>
        <v>#NAME?</v>
      </c>
      <c r="O3054" s="32"/>
      <c r="P3054" s="32"/>
      <c r="Q3054" s="33"/>
      <c r="R3054" s="33"/>
      <c r="S3054" s="33"/>
      <c r="T3054" s="63">
        <f t="shared" si="24"/>
        <v>0</v>
      </c>
      <c r="U3054" s="33"/>
      <c r="V3054" s="33"/>
      <c r="W3054" s="33"/>
    </row>
    <row r="3055" spans="1:23" ht="16.5" customHeight="1" x14ac:dyDescent="0.2">
      <c r="A3055" s="26"/>
      <c r="B3055" s="26"/>
      <c r="C3055" s="26"/>
      <c r="D3055" s="26"/>
      <c r="E3055" s="26"/>
      <c r="F3055" s="28"/>
      <c r="G3055" s="26"/>
      <c r="H3055" s="32"/>
      <c r="I3055" s="32"/>
      <c r="J3055" s="32"/>
      <c r="K3055" s="32"/>
      <c r="L3055" s="32" t="e">
        <f ca="1">_xludf.ifna(VLOOKUP(E3055,Parámetros!$D$2:$E$34,2,0),"")</f>
        <v>#NAME?</v>
      </c>
      <c r="M3055" s="32" t="e">
        <f ca="1">_xludf.ifna(VLOOKUP(G3055,Proyectos!$A$2:$T$674,20,0),"")</f>
        <v>#NAME?</v>
      </c>
      <c r="N3055" s="32" t="e">
        <f ca="1">_xludf.ifna(VLOOKUP(G3055,Proyectos!$A$2:$S$674,19,0))</f>
        <v>#NAME?</v>
      </c>
      <c r="O3055" s="32"/>
      <c r="P3055" s="32"/>
      <c r="Q3055" s="33"/>
      <c r="R3055" s="33"/>
      <c r="S3055" s="33"/>
      <c r="T3055" s="63">
        <f t="shared" si="24"/>
        <v>0</v>
      </c>
      <c r="U3055" s="33"/>
      <c r="V3055" s="33"/>
      <c r="W3055" s="33"/>
    </row>
    <row r="3056" spans="1:23" ht="16.5" customHeight="1" x14ac:dyDescent="0.2">
      <c r="A3056" s="26"/>
      <c r="B3056" s="26"/>
      <c r="C3056" s="26"/>
      <c r="D3056" s="26"/>
      <c r="E3056" s="26"/>
      <c r="F3056" s="28"/>
      <c r="G3056" s="26"/>
      <c r="H3056" s="32"/>
      <c r="I3056" s="32"/>
      <c r="J3056" s="32"/>
      <c r="K3056" s="32"/>
      <c r="L3056" s="32" t="e">
        <f ca="1">_xludf.ifna(VLOOKUP(E3056,Parámetros!$D$2:$E$34,2,0),"")</f>
        <v>#NAME?</v>
      </c>
      <c r="M3056" s="32" t="e">
        <f ca="1">_xludf.ifna(VLOOKUP(G3056,Proyectos!$A$2:$T$674,20,0),"")</f>
        <v>#NAME?</v>
      </c>
      <c r="N3056" s="32" t="e">
        <f ca="1">_xludf.ifna(VLOOKUP(G3056,Proyectos!$A$2:$S$674,19,0))</f>
        <v>#NAME?</v>
      </c>
      <c r="O3056" s="32"/>
      <c r="P3056" s="32"/>
      <c r="Q3056" s="33"/>
      <c r="R3056" s="33"/>
      <c r="S3056" s="33"/>
      <c r="T3056" s="63">
        <f t="shared" si="24"/>
        <v>0</v>
      </c>
      <c r="U3056" s="33"/>
      <c r="V3056" s="33"/>
      <c r="W3056" s="33"/>
    </row>
    <row r="3057" spans="1:23" ht="16.5" customHeight="1" x14ac:dyDescent="0.2">
      <c r="A3057" s="26"/>
      <c r="B3057" s="26"/>
      <c r="C3057" s="26"/>
      <c r="D3057" s="26"/>
      <c r="E3057" s="26"/>
      <c r="F3057" s="28"/>
      <c r="G3057" s="26"/>
      <c r="H3057" s="32"/>
      <c r="I3057" s="32"/>
      <c r="J3057" s="32"/>
      <c r="K3057" s="32"/>
      <c r="L3057" s="32" t="e">
        <f ca="1">_xludf.ifna(VLOOKUP(E3057,Parámetros!$D$2:$E$34,2,0),"")</f>
        <v>#NAME?</v>
      </c>
      <c r="M3057" s="32" t="e">
        <f ca="1">_xludf.ifna(VLOOKUP(G3057,Proyectos!$A$2:$T$674,20,0),"")</f>
        <v>#NAME?</v>
      </c>
      <c r="N3057" s="32" t="e">
        <f ca="1">_xludf.ifna(VLOOKUP(G3057,Proyectos!$A$2:$S$674,19,0))</f>
        <v>#NAME?</v>
      </c>
      <c r="O3057" s="32"/>
      <c r="P3057" s="32"/>
      <c r="Q3057" s="33"/>
      <c r="R3057" s="33"/>
      <c r="S3057" s="33"/>
      <c r="T3057" s="63">
        <f t="shared" si="24"/>
        <v>0</v>
      </c>
      <c r="U3057" s="33"/>
      <c r="V3057" s="33"/>
      <c r="W3057" s="33"/>
    </row>
    <row r="3058" spans="1:23" ht="16.5" customHeight="1" x14ac:dyDescent="0.2">
      <c r="A3058" s="26"/>
      <c r="B3058" s="26"/>
      <c r="C3058" s="26"/>
      <c r="D3058" s="26"/>
      <c r="E3058" s="26"/>
      <c r="F3058" s="28"/>
      <c r="G3058" s="26"/>
      <c r="H3058" s="32"/>
      <c r="I3058" s="32"/>
      <c r="J3058" s="32"/>
      <c r="K3058" s="32"/>
      <c r="L3058" s="32" t="e">
        <f ca="1">_xludf.ifna(VLOOKUP(E3058,Parámetros!$D$2:$E$34,2,0),"")</f>
        <v>#NAME?</v>
      </c>
      <c r="M3058" s="32" t="e">
        <f ca="1">_xludf.ifna(VLOOKUP(G3058,Proyectos!$A$2:$T$674,20,0),"")</f>
        <v>#NAME?</v>
      </c>
      <c r="N3058" s="32" t="e">
        <f ca="1">_xludf.ifna(VLOOKUP(G3058,Proyectos!$A$2:$S$674,19,0))</f>
        <v>#NAME?</v>
      </c>
      <c r="O3058" s="32"/>
      <c r="P3058" s="32"/>
      <c r="Q3058" s="33"/>
      <c r="R3058" s="33"/>
      <c r="S3058" s="33"/>
      <c r="T3058" s="63">
        <f t="shared" si="24"/>
        <v>0</v>
      </c>
      <c r="U3058" s="33"/>
      <c r="V3058" s="33"/>
      <c r="W3058" s="33"/>
    </row>
    <row r="3059" spans="1:23" ht="16.5" customHeight="1" x14ac:dyDescent="0.2">
      <c r="A3059" s="26"/>
      <c r="B3059" s="26"/>
      <c r="C3059" s="26"/>
      <c r="D3059" s="26"/>
      <c r="E3059" s="26"/>
      <c r="F3059" s="28"/>
      <c r="G3059" s="26"/>
      <c r="H3059" s="32"/>
      <c r="I3059" s="32"/>
      <c r="J3059" s="32"/>
      <c r="K3059" s="32"/>
      <c r="L3059" s="32" t="e">
        <f ca="1">_xludf.ifna(VLOOKUP(E3059,Parámetros!$D$2:$E$34,2,0),"")</f>
        <v>#NAME?</v>
      </c>
      <c r="M3059" s="32" t="e">
        <f ca="1">_xludf.ifna(VLOOKUP(G3059,Proyectos!$A$2:$T$674,20,0),"")</f>
        <v>#NAME?</v>
      </c>
      <c r="N3059" s="32" t="e">
        <f ca="1">_xludf.ifna(VLOOKUP(G3059,Proyectos!$A$2:$S$674,19,0))</f>
        <v>#NAME?</v>
      </c>
      <c r="O3059" s="32"/>
      <c r="P3059" s="32"/>
      <c r="Q3059" s="33"/>
      <c r="R3059" s="33"/>
      <c r="S3059" s="33"/>
      <c r="T3059" s="63">
        <f t="shared" si="24"/>
        <v>0</v>
      </c>
      <c r="U3059" s="33"/>
      <c r="V3059" s="33"/>
      <c r="W3059" s="33"/>
    </row>
    <row r="3060" spans="1:23" ht="16.5" customHeight="1" x14ac:dyDescent="0.2">
      <c r="A3060" s="26"/>
      <c r="B3060" s="26"/>
      <c r="C3060" s="26"/>
      <c r="D3060" s="26"/>
      <c r="E3060" s="26"/>
      <c r="F3060" s="28"/>
      <c r="G3060" s="26"/>
      <c r="H3060" s="32"/>
      <c r="I3060" s="32"/>
      <c r="J3060" s="32"/>
      <c r="K3060" s="32"/>
      <c r="L3060" s="32" t="e">
        <f ca="1">_xludf.ifna(VLOOKUP(E3060,Parámetros!$D$2:$E$34,2,0),"")</f>
        <v>#NAME?</v>
      </c>
      <c r="M3060" s="32" t="e">
        <f ca="1">_xludf.ifna(VLOOKUP(G3060,Proyectos!$A$2:$T$674,20,0),"")</f>
        <v>#NAME?</v>
      </c>
      <c r="N3060" s="32" t="e">
        <f ca="1">_xludf.ifna(VLOOKUP(G3060,Proyectos!$A$2:$S$674,19,0))</f>
        <v>#NAME?</v>
      </c>
      <c r="O3060" s="32"/>
      <c r="P3060" s="32"/>
      <c r="Q3060" s="33"/>
      <c r="R3060" s="33"/>
      <c r="S3060" s="33"/>
      <c r="T3060" s="63">
        <f t="shared" si="24"/>
        <v>0</v>
      </c>
      <c r="U3060" s="33"/>
      <c r="V3060" s="33"/>
      <c r="W3060" s="33"/>
    </row>
    <row r="3061" spans="1:23" ht="16.5" customHeight="1" x14ac:dyDescent="0.2">
      <c r="A3061" s="26"/>
      <c r="B3061" s="26"/>
      <c r="C3061" s="26"/>
      <c r="D3061" s="26"/>
      <c r="E3061" s="26"/>
      <c r="F3061" s="28"/>
      <c r="G3061" s="26"/>
      <c r="H3061" s="32"/>
      <c r="I3061" s="32"/>
      <c r="J3061" s="32"/>
      <c r="K3061" s="32"/>
      <c r="L3061" s="32" t="e">
        <f ca="1">_xludf.ifna(VLOOKUP(E3061,Parámetros!$D$2:$E$34,2,0),"")</f>
        <v>#NAME?</v>
      </c>
      <c r="M3061" s="32" t="e">
        <f ca="1">_xludf.ifna(VLOOKUP(G3061,Proyectos!$A$2:$T$674,20,0),"")</f>
        <v>#NAME?</v>
      </c>
      <c r="N3061" s="32" t="e">
        <f ca="1">_xludf.ifna(VLOOKUP(G3061,Proyectos!$A$2:$S$674,19,0))</f>
        <v>#NAME?</v>
      </c>
      <c r="O3061" s="32"/>
      <c r="P3061" s="32"/>
      <c r="Q3061" s="33"/>
      <c r="R3061" s="33"/>
      <c r="S3061" s="33"/>
      <c r="T3061" s="63">
        <f t="shared" si="24"/>
        <v>0</v>
      </c>
      <c r="U3061" s="33"/>
      <c r="V3061" s="33"/>
      <c r="W3061" s="33"/>
    </row>
    <row r="3062" spans="1:23" ht="16.5" customHeight="1" x14ac:dyDescent="0.2">
      <c r="A3062" s="26"/>
      <c r="B3062" s="26"/>
      <c r="C3062" s="26"/>
      <c r="D3062" s="26"/>
      <c r="E3062" s="26"/>
      <c r="F3062" s="28"/>
      <c r="G3062" s="26"/>
      <c r="H3062" s="32"/>
      <c r="I3062" s="32"/>
      <c r="J3062" s="32"/>
      <c r="K3062" s="32"/>
      <c r="L3062" s="32" t="e">
        <f ca="1">_xludf.ifna(VLOOKUP(E3062,Parámetros!$D$2:$E$34,2,0),"")</f>
        <v>#NAME?</v>
      </c>
      <c r="M3062" s="32" t="e">
        <f ca="1">_xludf.ifna(VLOOKUP(G3062,Proyectos!$A$2:$T$674,20,0),"")</f>
        <v>#NAME?</v>
      </c>
      <c r="N3062" s="32" t="e">
        <f ca="1">_xludf.ifna(VLOOKUP(G3062,Proyectos!$A$2:$S$674,19,0))</f>
        <v>#NAME?</v>
      </c>
      <c r="O3062" s="32"/>
      <c r="P3062" s="32"/>
      <c r="Q3062" s="33"/>
      <c r="R3062" s="33"/>
      <c r="S3062" s="33"/>
      <c r="T3062" s="63">
        <f t="shared" si="24"/>
        <v>0</v>
      </c>
      <c r="U3062" s="33"/>
      <c r="V3062" s="33"/>
      <c r="W3062" s="33"/>
    </row>
    <row r="3063" spans="1:23" ht="16.5" customHeight="1" x14ac:dyDescent="0.2">
      <c r="A3063" s="26"/>
      <c r="B3063" s="26"/>
      <c r="C3063" s="26"/>
      <c r="D3063" s="26"/>
      <c r="E3063" s="26"/>
      <c r="F3063" s="28"/>
      <c r="G3063" s="26"/>
      <c r="H3063" s="32"/>
      <c r="I3063" s="32"/>
      <c r="J3063" s="32"/>
      <c r="K3063" s="32"/>
      <c r="L3063" s="32" t="e">
        <f ca="1">_xludf.ifna(VLOOKUP(E3063,Parámetros!$D$2:$E$34,2,0),"")</f>
        <v>#NAME?</v>
      </c>
      <c r="M3063" s="32" t="e">
        <f ca="1">_xludf.ifna(VLOOKUP(G3063,Proyectos!$A$2:$T$674,20,0),"")</f>
        <v>#NAME?</v>
      </c>
      <c r="N3063" s="32" t="e">
        <f ca="1">_xludf.ifna(VLOOKUP(G3063,Proyectos!$A$2:$S$674,19,0))</f>
        <v>#NAME?</v>
      </c>
      <c r="O3063" s="32"/>
      <c r="P3063" s="32"/>
      <c r="Q3063" s="33"/>
      <c r="R3063" s="33"/>
      <c r="S3063" s="33"/>
      <c r="T3063" s="63">
        <f t="shared" si="24"/>
        <v>0</v>
      </c>
      <c r="U3063" s="33"/>
      <c r="V3063" s="33"/>
      <c r="W3063" s="33"/>
    </row>
    <row r="3064" spans="1:23" ht="16.5" customHeight="1" x14ac:dyDescent="0.2">
      <c r="A3064" s="26"/>
      <c r="B3064" s="26"/>
      <c r="C3064" s="26"/>
      <c r="D3064" s="26"/>
      <c r="E3064" s="26"/>
      <c r="F3064" s="28"/>
      <c r="G3064" s="26"/>
      <c r="H3064" s="32"/>
      <c r="I3064" s="32"/>
      <c r="J3064" s="32"/>
      <c r="K3064" s="32"/>
      <c r="L3064" s="32" t="e">
        <f ca="1">_xludf.ifna(VLOOKUP(E3064,Parámetros!$D$2:$E$34,2,0),"")</f>
        <v>#NAME?</v>
      </c>
      <c r="M3064" s="32" t="e">
        <f ca="1">_xludf.ifna(VLOOKUP(G3064,Proyectos!$A$2:$T$674,20,0),"")</f>
        <v>#NAME?</v>
      </c>
      <c r="N3064" s="32" t="e">
        <f ca="1">_xludf.ifna(VLOOKUP(G3064,Proyectos!$A$2:$S$674,19,0))</f>
        <v>#NAME?</v>
      </c>
      <c r="O3064" s="32"/>
      <c r="P3064" s="32"/>
      <c r="Q3064" s="33"/>
      <c r="R3064" s="33"/>
      <c r="S3064" s="33"/>
      <c r="T3064" s="63">
        <f t="shared" si="24"/>
        <v>0</v>
      </c>
      <c r="U3064" s="33"/>
      <c r="V3064" s="33"/>
      <c r="W3064" s="33"/>
    </row>
    <row r="3065" spans="1:23" ht="16.5" customHeight="1" x14ac:dyDescent="0.2">
      <c r="A3065" s="26"/>
      <c r="B3065" s="26"/>
      <c r="C3065" s="26"/>
      <c r="D3065" s="26"/>
      <c r="E3065" s="26"/>
      <c r="F3065" s="28"/>
      <c r="G3065" s="26"/>
      <c r="H3065" s="32"/>
      <c r="I3065" s="32"/>
      <c r="J3065" s="32"/>
      <c r="K3065" s="32"/>
      <c r="L3065" s="32" t="e">
        <f ca="1">_xludf.ifna(VLOOKUP(E3065,Parámetros!$D$2:$E$34,2,0),"")</f>
        <v>#NAME?</v>
      </c>
      <c r="M3065" s="32" t="e">
        <f ca="1">_xludf.ifna(VLOOKUP(G3065,Proyectos!$A$2:$T$674,20,0),"")</f>
        <v>#NAME?</v>
      </c>
      <c r="N3065" s="32" t="e">
        <f ca="1">_xludf.ifna(VLOOKUP(G3065,Proyectos!$A$2:$S$674,19,0))</f>
        <v>#NAME?</v>
      </c>
      <c r="O3065" s="32"/>
      <c r="P3065" s="32"/>
      <c r="Q3065" s="33"/>
      <c r="R3065" s="33"/>
      <c r="S3065" s="33"/>
      <c r="T3065" s="63">
        <f t="shared" si="24"/>
        <v>0</v>
      </c>
      <c r="U3065" s="33"/>
      <c r="V3065" s="33"/>
      <c r="W3065" s="33"/>
    </row>
    <row r="3066" spans="1:23" ht="16.5" customHeight="1" x14ac:dyDescent="0.2">
      <c r="A3066" s="26"/>
      <c r="B3066" s="26"/>
      <c r="C3066" s="26"/>
      <c r="D3066" s="26"/>
      <c r="E3066" s="26"/>
      <c r="F3066" s="28"/>
      <c r="G3066" s="26"/>
      <c r="H3066" s="32"/>
      <c r="I3066" s="32"/>
      <c r="J3066" s="32"/>
      <c r="K3066" s="32"/>
      <c r="L3066" s="32" t="e">
        <f ca="1">_xludf.ifna(VLOOKUP(E3066,Parámetros!$D$2:$E$34,2,0),"")</f>
        <v>#NAME?</v>
      </c>
      <c r="M3066" s="32" t="e">
        <f ca="1">_xludf.ifna(VLOOKUP(G3066,Proyectos!$A$2:$T$674,20,0),"")</f>
        <v>#NAME?</v>
      </c>
      <c r="N3066" s="32" t="e">
        <f ca="1">_xludf.ifna(VLOOKUP(G3066,Proyectos!$A$2:$S$674,19,0))</f>
        <v>#NAME?</v>
      </c>
      <c r="O3066" s="32"/>
      <c r="P3066" s="32"/>
      <c r="Q3066" s="33"/>
      <c r="R3066" s="33"/>
      <c r="S3066" s="33"/>
      <c r="T3066" s="63">
        <f t="shared" si="24"/>
        <v>0</v>
      </c>
      <c r="U3066" s="33"/>
      <c r="V3066" s="33"/>
      <c r="W3066" s="33"/>
    </row>
    <row r="3067" spans="1:23" ht="16.5" customHeight="1" x14ac:dyDescent="0.2">
      <c r="A3067" s="26"/>
      <c r="B3067" s="26"/>
      <c r="C3067" s="26"/>
      <c r="D3067" s="26"/>
      <c r="E3067" s="26"/>
      <c r="F3067" s="28"/>
      <c r="G3067" s="26"/>
      <c r="H3067" s="32"/>
      <c r="I3067" s="32"/>
      <c r="J3067" s="32"/>
      <c r="K3067" s="32"/>
      <c r="L3067" s="32" t="e">
        <f ca="1">_xludf.ifna(VLOOKUP(E3067,Parámetros!$D$2:$E$34,2,0),"")</f>
        <v>#NAME?</v>
      </c>
      <c r="M3067" s="32" t="e">
        <f ca="1">_xludf.ifna(VLOOKUP(G3067,Proyectos!$A$2:$T$674,20,0),"")</f>
        <v>#NAME?</v>
      </c>
      <c r="N3067" s="32" t="e">
        <f ca="1">_xludf.ifna(VLOOKUP(G3067,Proyectos!$A$2:$S$674,19,0))</f>
        <v>#NAME?</v>
      </c>
      <c r="O3067" s="32"/>
      <c r="P3067" s="32"/>
      <c r="Q3067" s="33"/>
      <c r="R3067" s="33"/>
      <c r="S3067" s="33"/>
      <c r="T3067" s="63">
        <f t="shared" si="24"/>
        <v>0</v>
      </c>
      <c r="U3067" s="33"/>
      <c r="V3067" s="33"/>
      <c r="W3067" s="33"/>
    </row>
    <row r="3068" spans="1:23" ht="16.5" customHeight="1" x14ac:dyDescent="0.2">
      <c r="A3068" s="26"/>
      <c r="B3068" s="26"/>
      <c r="C3068" s="26"/>
      <c r="D3068" s="26"/>
      <c r="E3068" s="26"/>
      <c r="F3068" s="28"/>
      <c r="G3068" s="26"/>
      <c r="H3068" s="32"/>
      <c r="I3068" s="32"/>
      <c r="J3068" s="32"/>
      <c r="K3068" s="32"/>
      <c r="L3068" s="32" t="e">
        <f ca="1">_xludf.ifna(VLOOKUP(E3068,Parámetros!$D$2:$E$34,2,0),"")</f>
        <v>#NAME?</v>
      </c>
      <c r="M3068" s="32" t="e">
        <f ca="1">_xludf.ifna(VLOOKUP(G3068,Proyectos!$A$2:$T$674,20,0),"")</f>
        <v>#NAME?</v>
      </c>
      <c r="N3068" s="32" t="e">
        <f ca="1">_xludf.ifna(VLOOKUP(G3068,Proyectos!$A$2:$S$674,19,0))</f>
        <v>#NAME?</v>
      </c>
      <c r="O3068" s="32"/>
      <c r="P3068" s="32"/>
      <c r="Q3068" s="33"/>
      <c r="R3068" s="33"/>
      <c r="S3068" s="33"/>
      <c r="T3068" s="63">
        <f t="shared" si="24"/>
        <v>0</v>
      </c>
      <c r="U3068" s="33"/>
      <c r="V3068" s="33"/>
      <c r="W3068" s="33"/>
    </row>
    <row r="3069" spans="1:23" ht="16.5" customHeight="1" x14ac:dyDescent="0.2">
      <c r="A3069" s="26"/>
      <c r="B3069" s="26"/>
      <c r="C3069" s="26"/>
      <c r="D3069" s="26"/>
      <c r="E3069" s="26"/>
      <c r="F3069" s="28"/>
      <c r="G3069" s="26"/>
      <c r="H3069" s="32"/>
      <c r="I3069" s="32"/>
      <c r="J3069" s="32"/>
      <c r="K3069" s="32"/>
      <c r="L3069" s="32" t="e">
        <f ca="1">_xludf.ifna(VLOOKUP(E3069,Parámetros!$D$2:$E$34,2,0),"")</f>
        <v>#NAME?</v>
      </c>
      <c r="M3069" s="32" t="e">
        <f ca="1">_xludf.ifna(VLOOKUP(G3069,Proyectos!$A$2:$T$674,20,0),"")</f>
        <v>#NAME?</v>
      </c>
      <c r="N3069" s="32" t="e">
        <f ca="1">_xludf.ifna(VLOOKUP(G3069,Proyectos!$A$2:$S$674,19,0))</f>
        <v>#NAME?</v>
      </c>
      <c r="O3069" s="32"/>
      <c r="P3069" s="32"/>
      <c r="Q3069" s="33"/>
      <c r="R3069" s="33"/>
      <c r="S3069" s="33"/>
      <c r="T3069" s="63">
        <f t="shared" si="24"/>
        <v>0</v>
      </c>
      <c r="U3069" s="33"/>
      <c r="V3069" s="33"/>
      <c r="W3069" s="33"/>
    </row>
    <row r="3070" spans="1:23" ht="16.5" customHeight="1" x14ac:dyDescent="0.2">
      <c r="A3070" s="26"/>
      <c r="B3070" s="26"/>
      <c r="C3070" s="26"/>
      <c r="D3070" s="26"/>
      <c r="E3070" s="26"/>
      <c r="F3070" s="28"/>
      <c r="G3070" s="26"/>
      <c r="H3070" s="32"/>
      <c r="I3070" s="32"/>
      <c r="J3070" s="32"/>
      <c r="K3070" s="32"/>
      <c r="L3070" s="32" t="e">
        <f ca="1">_xludf.ifna(VLOOKUP(E3070,Parámetros!$D$2:$E$34,2,0),"")</f>
        <v>#NAME?</v>
      </c>
      <c r="M3070" s="32" t="e">
        <f ca="1">_xludf.ifna(VLOOKUP(G3070,Proyectos!$A$2:$T$674,20,0),"")</f>
        <v>#NAME?</v>
      </c>
      <c r="N3070" s="32" t="e">
        <f ca="1">_xludf.ifna(VLOOKUP(G3070,Proyectos!$A$2:$S$674,19,0))</f>
        <v>#NAME?</v>
      </c>
      <c r="O3070" s="32"/>
      <c r="P3070" s="32"/>
      <c r="Q3070" s="33"/>
      <c r="R3070" s="33"/>
      <c r="S3070" s="33"/>
      <c r="T3070" s="63">
        <f t="shared" si="24"/>
        <v>0</v>
      </c>
      <c r="U3070" s="33"/>
      <c r="V3070" s="33"/>
      <c r="W3070" s="33"/>
    </row>
    <row r="3071" spans="1:23" ht="16.5" customHeight="1" x14ac:dyDescent="0.2">
      <c r="A3071" s="26"/>
      <c r="B3071" s="26"/>
      <c r="C3071" s="26"/>
      <c r="D3071" s="26"/>
      <c r="E3071" s="26"/>
      <c r="F3071" s="28"/>
      <c r="G3071" s="26"/>
      <c r="H3071" s="32"/>
      <c r="I3071" s="32"/>
      <c r="J3071" s="32"/>
      <c r="K3071" s="32"/>
      <c r="L3071" s="32" t="e">
        <f ca="1">_xludf.ifna(VLOOKUP(E3071,Parámetros!$D$2:$E$34,2,0),"")</f>
        <v>#NAME?</v>
      </c>
      <c r="M3071" s="32" t="e">
        <f ca="1">_xludf.ifna(VLOOKUP(G3071,Proyectos!$A$2:$T$674,20,0),"")</f>
        <v>#NAME?</v>
      </c>
      <c r="N3071" s="32" t="e">
        <f ca="1">_xludf.ifna(VLOOKUP(G3071,Proyectos!$A$2:$S$674,19,0))</f>
        <v>#NAME?</v>
      </c>
      <c r="O3071" s="32"/>
      <c r="P3071" s="32"/>
      <c r="Q3071" s="33"/>
      <c r="R3071" s="33"/>
      <c r="S3071" s="33"/>
      <c r="T3071" s="63">
        <f t="shared" si="24"/>
        <v>0</v>
      </c>
      <c r="U3071" s="33"/>
      <c r="V3071" s="33"/>
      <c r="W3071" s="33"/>
    </row>
    <row r="3072" spans="1:23" ht="16.5" customHeight="1" x14ac:dyDescent="0.2">
      <c r="A3072" s="26"/>
      <c r="B3072" s="26"/>
      <c r="C3072" s="26"/>
      <c r="D3072" s="26"/>
      <c r="E3072" s="26"/>
      <c r="F3072" s="28"/>
      <c r="G3072" s="26"/>
      <c r="H3072" s="32"/>
      <c r="I3072" s="32"/>
      <c r="J3072" s="32"/>
      <c r="K3072" s="32"/>
      <c r="L3072" s="32" t="e">
        <f ca="1">_xludf.ifna(VLOOKUP(E3072,Parámetros!$D$2:$E$34,2,0),"")</f>
        <v>#NAME?</v>
      </c>
      <c r="M3072" s="32" t="e">
        <f ca="1">_xludf.ifna(VLOOKUP(G3072,Proyectos!$A$2:$T$674,20,0),"")</f>
        <v>#NAME?</v>
      </c>
      <c r="N3072" s="32" t="e">
        <f ca="1">_xludf.ifna(VLOOKUP(G3072,Proyectos!$A$2:$S$674,19,0))</f>
        <v>#NAME?</v>
      </c>
      <c r="O3072" s="32"/>
      <c r="P3072" s="32"/>
      <c r="Q3072" s="33"/>
      <c r="R3072" s="33"/>
      <c r="S3072" s="33"/>
      <c r="T3072" s="63">
        <f t="shared" si="24"/>
        <v>0</v>
      </c>
      <c r="U3072" s="33"/>
      <c r="V3072" s="33"/>
      <c r="W3072" s="33"/>
    </row>
    <row r="3073" spans="1:23" ht="16.5" customHeight="1" x14ac:dyDescent="0.2">
      <c r="A3073" s="26"/>
      <c r="B3073" s="26"/>
      <c r="C3073" s="26"/>
      <c r="D3073" s="26"/>
      <c r="E3073" s="26"/>
      <c r="F3073" s="28"/>
      <c r="G3073" s="26"/>
      <c r="H3073" s="32"/>
      <c r="I3073" s="32"/>
      <c r="J3073" s="32"/>
      <c r="K3073" s="32"/>
      <c r="L3073" s="32" t="e">
        <f ca="1">_xludf.ifna(VLOOKUP(E3073,Parámetros!$D$2:$E$34,2,0),"")</f>
        <v>#NAME?</v>
      </c>
      <c r="M3073" s="32" t="e">
        <f ca="1">_xludf.ifna(VLOOKUP(G3073,Proyectos!$A$2:$T$674,20,0),"")</f>
        <v>#NAME?</v>
      </c>
      <c r="N3073" s="32" t="e">
        <f ca="1">_xludf.ifna(VLOOKUP(G3073,Proyectos!$A$2:$S$674,19,0))</f>
        <v>#NAME?</v>
      </c>
      <c r="O3073" s="32"/>
      <c r="P3073" s="32"/>
      <c r="Q3073" s="33"/>
      <c r="R3073" s="33"/>
      <c r="S3073" s="33"/>
      <c r="T3073" s="63">
        <f t="shared" si="24"/>
        <v>0</v>
      </c>
      <c r="U3073" s="33"/>
      <c r="V3073" s="33"/>
      <c r="W3073" s="33"/>
    </row>
    <row r="3074" spans="1:23" ht="16.5" customHeight="1" x14ac:dyDescent="0.2">
      <c r="A3074" s="26"/>
      <c r="B3074" s="26"/>
      <c r="C3074" s="26"/>
      <c r="D3074" s="26"/>
      <c r="E3074" s="26"/>
      <c r="F3074" s="28"/>
      <c r="G3074" s="26"/>
      <c r="H3074" s="32"/>
      <c r="I3074" s="32"/>
      <c r="J3074" s="32"/>
      <c r="K3074" s="32"/>
      <c r="L3074" s="32" t="e">
        <f ca="1">_xludf.ifna(VLOOKUP(E3074,Parámetros!$D$2:$E$34,2,0),"")</f>
        <v>#NAME?</v>
      </c>
      <c r="M3074" s="32" t="e">
        <f ca="1">_xludf.ifna(VLOOKUP(G3074,Proyectos!$A$2:$T$674,20,0),"")</f>
        <v>#NAME?</v>
      </c>
      <c r="N3074" s="32" t="e">
        <f ca="1">_xludf.ifna(VLOOKUP(G3074,Proyectos!$A$2:$S$674,19,0))</f>
        <v>#NAME?</v>
      </c>
      <c r="O3074" s="32"/>
      <c r="P3074" s="32"/>
      <c r="Q3074" s="33"/>
      <c r="R3074" s="33"/>
      <c r="S3074" s="33"/>
      <c r="T3074" s="63">
        <f t="shared" si="24"/>
        <v>0</v>
      </c>
      <c r="U3074" s="33"/>
      <c r="V3074" s="33"/>
      <c r="W3074" s="33"/>
    </row>
    <row r="3075" spans="1:23" ht="16.5" customHeight="1" x14ac:dyDescent="0.2">
      <c r="A3075" s="26"/>
      <c r="B3075" s="26"/>
      <c r="C3075" s="26"/>
      <c r="D3075" s="26"/>
      <c r="E3075" s="26"/>
      <c r="F3075" s="28"/>
      <c r="G3075" s="26"/>
      <c r="H3075" s="32"/>
      <c r="I3075" s="32"/>
      <c r="J3075" s="32"/>
      <c r="K3075" s="32"/>
      <c r="L3075" s="32" t="e">
        <f ca="1">_xludf.ifna(VLOOKUP(E3075,Parámetros!$D$2:$E$34,2,0),"")</f>
        <v>#NAME?</v>
      </c>
      <c r="M3075" s="32" t="e">
        <f ca="1">_xludf.ifna(VLOOKUP(G3075,Proyectos!$A$2:$T$674,20,0),"")</f>
        <v>#NAME?</v>
      </c>
      <c r="N3075" s="32" t="e">
        <f ca="1">_xludf.ifna(VLOOKUP(G3075,Proyectos!$A$2:$S$674,19,0))</f>
        <v>#NAME?</v>
      </c>
      <c r="O3075" s="32"/>
      <c r="P3075" s="32"/>
      <c r="Q3075" s="33"/>
      <c r="R3075" s="33"/>
      <c r="S3075" s="33"/>
      <c r="T3075" s="63">
        <f t="shared" si="24"/>
        <v>0</v>
      </c>
      <c r="U3075" s="33"/>
      <c r="V3075" s="33"/>
      <c r="W3075" s="33"/>
    </row>
    <row r="3076" spans="1:23" ht="16.5" customHeight="1" x14ac:dyDescent="0.2">
      <c r="A3076" s="26"/>
      <c r="B3076" s="26"/>
      <c r="C3076" s="26"/>
      <c r="D3076" s="26"/>
      <c r="E3076" s="26"/>
      <c r="F3076" s="28"/>
      <c r="G3076" s="26"/>
      <c r="H3076" s="32"/>
      <c r="I3076" s="32"/>
      <c r="J3076" s="32"/>
      <c r="K3076" s="32"/>
      <c r="L3076" s="32" t="e">
        <f ca="1">_xludf.ifna(VLOOKUP(E3076,Parámetros!$D$2:$E$34,2,0),"")</f>
        <v>#NAME?</v>
      </c>
      <c r="M3076" s="32" t="e">
        <f ca="1">_xludf.ifna(VLOOKUP(G3076,Proyectos!$A$2:$T$674,20,0),"")</f>
        <v>#NAME?</v>
      </c>
      <c r="N3076" s="32" t="e">
        <f ca="1">_xludf.ifna(VLOOKUP(G3076,Proyectos!$A$2:$S$674,19,0))</f>
        <v>#NAME?</v>
      </c>
      <c r="O3076" s="32"/>
      <c r="P3076" s="32"/>
      <c r="Q3076" s="33"/>
      <c r="R3076" s="33"/>
      <c r="S3076" s="33"/>
      <c r="T3076" s="63">
        <f t="shared" si="24"/>
        <v>0</v>
      </c>
      <c r="U3076" s="33"/>
      <c r="V3076" s="33"/>
      <c r="W3076" s="33"/>
    </row>
    <row r="3077" spans="1:23" ht="16.5" customHeight="1" x14ac:dyDescent="0.2">
      <c r="A3077" s="26"/>
      <c r="B3077" s="26"/>
      <c r="C3077" s="26"/>
      <c r="D3077" s="26"/>
      <c r="E3077" s="26"/>
      <c r="F3077" s="28"/>
      <c r="G3077" s="26"/>
      <c r="H3077" s="32"/>
      <c r="I3077" s="32"/>
      <c r="J3077" s="32"/>
      <c r="K3077" s="32"/>
      <c r="L3077" s="32" t="e">
        <f ca="1">_xludf.ifna(VLOOKUP(E3077,Parámetros!$D$2:$E$34,2,0),"")</f>
        <v>#NAME?</v>
      </c>
      <c r="M3077" s="32" t="e">
        <f ca="1">_xludf.ifna(VLOOKUP(G3077,Proyectos!$A$2:$T$674,20,0),"")</f>
        <v>#NAME?</v>
      </c>
      <c r="N3077" s="32" t="e">
        <f ca="1">_xludf.ifna(VLOOKUP(G3077,Proyectos!$A$2:$S$674,19,0))</f>
        <v>#NAME?</v>
      </c>
      <c r="O3077" s="32"/>
      <c r="P3077" s="32"/>
      <c r="Q3077" s="33"/>
      <c r="R3077" s="33"/>
      <c r="S3077" s="33"/>
      <c r="T3077" s="63">
        <f t="shared" si="24"/>
        <v>0</v>
      </c>
      <c r="U3077" s="33"/>
      <c r="V3077" s="33"/>
      <c r="W3077" s="33"/>
    </row>
    <row r="3078" spans="1:23" ht="16.5" customHeight="1" x14ac:dyDescent="0.2">
      <c r="A3078" s="26"/>
      <c r="B3078" s="26"/>
      <c r="C3078" s="26"/>
      <c r="D3078" s="26"/>
      <c r="E3078" s="26"/>
      <c r="F3078" s="28"/>
      <c r="G3078" s="26"/>
      <c r="H3078" s="32"/>
      <c r="I3078" s="32"/>
      <c r="J3078" s="32"/>
      <c r="K3078" s="32"/>
      <c r="L3078" s="32" t="e">
        <f ca="1">_xludf.ifna(VLOOKUP(E3078,Parámetros!$D$2:$E$34,2,0),"")</f>
        <v>#NAME?</v>
      </c>
      <c r="M3078" s="32" t="e">
        <f ca="1">_xludf.ifna(VLOOKUP(G3078,Proyectos!$A$2:$T$674,20,0),"")</f>
        <v>#NAME?</v>
      </c>
      <c r="N3078" s="32" t="e">
        <f ca="1">_xludf.ifna(VLOOKUP(G3078,Proyectos!$A$2:$S$674,19,0))</f>
        <v>#NAME?</v>
      </c>
      <c r="O3078" s="32"/>
      <c r="P3078" s="32"/>
      <c r="Q3078" s="33"/>
      <c r="R3078" s="33"/>
      <c r="S3078" s="33"/>
      <c r="T3078" s="63">
        <f t="shared" si="24"/>
        <v>0</v>
      </c>
      <c r="U3078" s="33"/>
      <c r="V3078" s="33"/>
      <c r="W3078" s="33"/>
    </row>
    <row r="3079" spans="1:23" ht="16.5" customHeight="1" x14ac:dyDescent="0.2">
      <c r="A3079" s="26"/>
      <c r="B3079" s="26"/>
      <c r="C3079" s="26"/>
      <c r="D3079" s="26"/>
      <c r="E3079" s="26"/>
      <c r="F3079" s="28"/>
      <c r="G3079" s="26"/>
      <c r="H3079" s="32"/>
      <c r="I3079" s="32"/>
      <c r="J3079" s="32"/>
      <c r="K3079" s="32"/>
      <c r="L3079" s="32" t="e">
        <f ca="1">_xludf.ifna(VLOOKUP(E3079,Parámetros!$D$2:$E$34,2,0),"")</f>
        <v>#NAME?</v>
      </c>
      <c r="M3079" s="32" t="e">
        <f ca="1">_xludf.ifna(VLOOKUP(G3079,Proyectos!$A$2:$T$674,20,0),"")</f>
        <v>#NAME?</v>
      </c>
      <c r="N3079" s="32" t="e">
        <f ca="1">_xludf.ifna(VLOOKUP(G3079,Proyectos!$A$2:$S$674,19,0))</f>
        <v>#NAME?</v>
      </c>
      <c r="O3079" s="32"/>
      <c r="P3079" s="32"/>
      <c r="Q3079" s="33"/>
      <c r="R3079" s="33"/>
      <c r="S3079" s="33"/>
      <c r="T3079" s="63">
        <f t="shared" si="24"/>
        <v>0</v>
      </c>
      <c r="U3079" s="33"/>
      <c r="V3079" s="33"/>
      <c r="W3079" s="33"/>
    </row>
    <row r="3080" spans="1:23" ht="16.5" customHeight="1" x14ac:dyDescent="0.2">
      <c r="A3080" s="26"/>
      <c r="B3080" s="26"/>
      <c r="C3080" s="26"/>
      <c r="D3080" s="26"/>
      <c r="E3080" s="26"/>
      <c r="F3080" s="28"/>
      <c r="G3080" s="26"/>
      <c r="H3080" s="32"/>
      <c r="I3080" s="32"/>
      <c r="J3080" s="32"/>
      <c r="K3080" s="32"/>
      <c r="L3080" s="32" t="e">
        <f ca="1">_xludf.ifna(VLOOKUP(E3080,Parámetros!$D$2:$E$34,2,0),"")</f>
        <v>#NAME?</v>
      </c>
      <c r="M3080" s="32" t="e">
        <f ca="1">_xludf.ifna(VLOOKUP(G3080,Proyectos!$A$2:$T$674,20,0),"")</f>
        <v>#NAME?</v>
      </c>
      <c r="N3080" s="32" t="e">
        <f ca="1">_xludf.ifna(VLOOKUP(G3080,Proyectos!$A$2:$S$674,19,0))</f>
        <v>#NAME?</v>
      </c>
      <c r="O3080" s="32"/>
      <c r="P3080" s="32"/>
      <c r="Q3080" s="33"/>
      <c r="R3080" s="33"/>
      <c r="S3080" s="33"/>
      <c r="T3080" s="63">
        <f t="shared" si="24"/>
        <v>0</v>
      </c>
      <c r="U3080" s="33"/>
      <c r="V3080" s="33"/>
      <c r="W3080" s="33"/>
    </row>
    <row r="3081" spans="1:23" ht="16.5" customHeight="1" x14ac:dyDescent="0.2">
      <c r="A3081" s="26"/>
      <c r="B3081" s="26"/>
      <c r="C3081" s="26"/>
      <c r="D3081" s="26"/>
      <c r="E3081" s="26"/>
      <c r="F3081" s="28"/>
      <c r="G3081" s="26"/>
      <c r="H3081" s="32"/>
      <c r="I3081" s="32"/>
      <c r="J3081" s="32"/>
      <c r="K3081" s="32"/>
      <c r="L3081" s="32" t="e">
        <f ca="1">_xludf.ifna(VLOOKUP(E3081,Parámetros!$D$2:$E$34,2,0),"")</f>
        <v>#NAME?</v>
      </c>
      <c r="M3081" s="32" t="e">
        <f ca="1">_xludf.ifna(VLOOKUP(G3081,Proyectos!$A$2:$T$674,20,0),"")</f>
        <v>#NAME?</v>
      </c>
      <c r="N3081" s="32" t="e">
        <f ca="1">_xludf.ifna(VLOOKUP(G3081,Proyectos!$A$2:$S$674,19,0))</f>
        <v>#NAME?</v>
      </c>
      <c r="O3081" s="32"/>
      <c r="P3081" s="32"/>
      <c r="Q3081" s="33"/>
      <c r="R3081" s="33"/>
      <c r="S3081" s="33"/>
      <c r="T3081" s="63">
        <f t="shared" si="24"/>
        <v>0</v>
      </c>
      <c r="U3081" s="33"/>
      <c r="V3081" s="33"/>
      <c r="W3081" s="33"/>
    </row>
    <row r="3082" spans="1:23" ht="16.5" customHeight="1" x14ac:dyDescent="0.2">
      <c r="A3082" s="26"/>
      <c r="B3082" s="26"/>
      <c r="C3082" s="26"/>
      <c r="D3082" s="26"/>
      <c r="E3082" s="26"/>
      <c r="F3082" s="28"/>
      <c r="G3082" s="26"/>
      <c r="H3082" s="32"/>
      <c r="I3082" s="32"/>
      <c r="J3082" s="32"/>
      <c r="K3082" s="32"/>
      <c r="L3082" s="32" t="e">
        <f ca="1">_xludf.ifna(VLOOKUP(E3082,Parámetros!$D$2:$E$34,2,0),"")</f>
        <v>#NAME?</v>
      </c>
      <c r="M3082" s="32" t="e">
        <f ca="1">_xludf.ifna(VLOOKUP(G3082,Proyectos!$A$2:$T$674,20,0),"")</f>
        <v>#NAME?</v>
      </c>
      <c r="N3082" s="32" t="e">
        <f ca="1">_xludf.ifna(VLOOKUP(G3082,Proyectos!$A$2:$S$674,19,0))</f>
        <v>#NAME?</v>
      </c>
      <c r="O3082" s="32"/>
      <c r="P3082" s="32"/>
      <c r="Q3082" s="33"/>
      <c r="R3082" s="33"/>
      <c r="S3082" s="33"/>
      <c r="T3082" s="63">
        <f t="shared" si="24"/>
        <v>0</v>
      </c>
      <c r="U3082" s="33"/>
      <c r="V3082" s="33"/>
      <c r="W3082" s="33"/>
    </row>
    <row r="3083" spans="1:23" ht="16.5" customHeight="1" x14ac:dyDescent="0.2">
      <c r="A3083" s="26"/>
      <c r="B3083" s="26"/>
      <c r="C3083" s="26"/>
      <c r="D3083" s="26"/>
      <c r="E3083" s="26"/>
      <c r="F3083" s="28"/>
      <c r="G3083" s="26"/>
      <c r="H3083" s="32"/>
      <c r="I3083" s="32"/>
      <c r="J3083" s="32"/>
      <c r="K3083" s="32"/>
      <c r="L3083" s="32" t="e">
        <f ca="1">_xludf.ifna(VLOOKUP(E3083,Parámetros!$D$2:$E$34,2,0),"")</f>
        <v>#NAME?</v>
      </c>
      <c r="M3083" s="32" t="e">
        <f ca="1">_xludf.ifna(VLOOKUP(G3083,Proyectos!$A$2:$T$674,20,0),"")</f>
        <v>#NAME?</v>
      </c>
      <c r="N3083" s="32" t="e">
        <f ca="1">_xludf.ifna(VLOOKUP(G3083,Proyectos!$A$2:$S$674,19,0))</f>
        <v>#NAME?</v>
      </c>
      <c r="O3083" s="32"/>
      <c r="P3083" s="32"/>
      <c r="Q3083" s="33"/>
      <c r="R3083" s="33"/>
      <c r="S3083" s="33"/>
      <c r="T3083" s="63">
        <f t="shared" si="24"/>
        <v>0</v>
      </c>
      <c r="U3083" s="33"/>
      <c r="V3083" s="33"/>
      <c r="W3083" s="33"/>
    </row>
    <row r="3084" spans="1:23" ht="16.5" customHeight="1" x14ac:dyDescent="0.2">
      <c r="A3084" s="26"/>
      <c r="B3084" s="26"/>
      <c r="C3084" s="26"/>
      <c r="D3084" s="26"/>
      <c r="E3084" s="26"/>
      <c r="F3084" s="28"/>
      <c r="G3084" s="26"/>
      <c r="H3084" s="32"/>
      <c r="I3084" s="32"/>
      <c r="J3084" s="32"/>
      <c r="K3084" s="32"/>
      <c r="L3084" s="32" t="e">
        <f ca="1">_xludf.ifna(VLOOKUP(E3084,Parámetros!$D$2:$E$34,2,0),"")</f>
        <v>#NAME?</v>
      </c>
      <c r="M3084" s="32" t="e">
        <f ca="1">_xludf.ifna(VLOOKUP(G3084,Proyectos!$A$2:$T$674,20,0),"")</f>
        <v>#NAME?</v>
      </c>
      <c r="N3084" s="32" t="e">
        <f ca="1">_xludf.ifna(VLOOKUP(G3084,Proyectos!$A$2:$S$674,19,0))</f>
        <v>#NAME?</v>
      </c>
      <c r="O3084" s="32"/>
      <c r="P3084" s="32"/>
      <c r="Q3084" s="33"/>
      <c r="R3084" s="33"/>
      <c r="S3084" s="33"/>
      <c r="T3084" s="63">
        <f t="shared" si="24"/>
        <v>0</v>
      </c>
      <c r="U3084" s="33"/>
      <c r="V3084" s="33"/>
      <c r="W3084" s="33"/>
    </row>
    <row r="3085" spans="1:23" ht="16.5" customHeight="1" x14ac:dyDescent="0.2">
      <c r="A3085" s="26"/>
      <c r="B3085" s="26"/>
      <c r="C3085" s="26"/>
      <c r="D3085" s="26"/>
      <c r="E3085" s="26"/>
      <c r="F3085" s="28"/>
      <c r="G3085" s="26"/>
      <c r="H3085" s="32"/>
      <c r="I3085" s="32"/>
      <c r="J3085" s="32"/>
      <c r="K3085" s="32"/>
      <c r="L3085" s="32" t="e">
        <f ca="1">_xludf.ifna(VLOOKUP(E3085,Parámetros!$D$2:$E$34,2,0),"")</f>
        <v>#NAME?</v>
      </c>
      <c r="M3085" s="32" t="e">
        <f ca="1">_xludf.ifna(VLOOKUP(G3085,Proyectos!$A$2:$T$674,20,0),"")</f>
        <v>#NAME?</v>
      </c>
      <c r="N3085" s="32" t="e">
        <f ca="1">_xludf.ifna(VLOOKUP(G3085,Proyectos!$A$2:$S$674,19,0))</f>
        <v>#NAME?</v>
      </c>
      <c r="O3085" s="32"/>
      <c r="P3085" s="32"/>
      <c r="Q3085" s="33"/>
      <c r="R3085" s="33"/>
      <c r="S3085" s="33"/>
      <c r="T3085" s="63">
        <f t="shared" si="24"/>
        <v>0</v>
      </c>
      <c r="U3085" s="33"/>
      <c r="V3085" s="33"/>
      <c r="W3085" s="33"/>
    </row>
    <row r="3086" spans="1:23" ht="16.5" customHeight="1" x14ac:dyDescent="0.2">
      <c r="A3086" s="26"/>
      <c r="B3086" s="26"/>
      <c r="C3086" s="26"/>
      <c r="D3086" s="26"/>
      <c r="E3086" s="26"/>
      <c r="F3086" s="28"/>
      <c r="G3086" s="26"/>
      <c r="H3086" s="32"/>
      <c r="I3086" s="32"/>
      <c r="J3086" s="32"/>
      <c r="K3086" s="32"/>
      <c r="L3086" s="32" t="e">
        <f ca="1">_xludf.ifna(VLOOKUP(E3086,Parámetros!$D$2:$E$34,2,0),"")</f>
        <v>#NAME?</v>
      </c>
      <c r="M3086" s="32" t="e">
        <f ca="1">_xludf.ifna(VLOOKUP(G3086,Proyectos!$A$2:$T$674,20,0),"")</f>
        <v>#NAME?</v>
      </c>
      <c r="N3086" s="32" t="e">
        <f ca="1">_xludf.ifna(VLOOKUP(G3086,Proyectos!$A$2:$S$674,19,0))</f>
        <v>#NAME?</v>
      </c>
      <c r="O3086" s="32"/>
      <c r="P3086" s="32"/>
      <c r="Q3086" s="33"/>
      <c r="R3086" s="33"/>
      <c r="S3086" s="33"/>
      <c r="T3086" s="63">
        <f t="shared" si="24"/>
        <v>0</v>
      </c>
      <c r="U3086" s="33"/>
      <c r="V3086" s="33"/>
      <c r="W3086" s="33"/>
    </row>
    <row r="3087" spans="1:23" ht="16.5" customHeight="1" x14ac:dyDescent="0.2">
      <c r="A3087" s="26"/>
      <c r="B3087" s="26"/>
      <c r="C3087" s="26"/>
      <c r="D3087" s="26"/>
      <c r="E3087" s="26"/>
      <c r="F3087" s="28"/>
      <c r="G3087" s="26"/>
      <c r="H3087" s="32"/>
      <c r="I3087" s="32"/>
      <c r="J3087" s="32"/>
      <c r="K3087" s="32"/>
      <c r="L3087" s="32" t="e">
        <f ca="1">_xludf.ifna(VLOOKUP(E3087,Parámetros!$D$2:$E$34,2,0),"")</f>
        <v>#NAME?</v>
      </c>
      <c r="M3087" s="32" t="e">
        <f ca="1">_xludf.ifna(VLOOKUP(G3087,Proyectos!$A$2:$T$674,20,0),"")</f>
        <v>#NAME?</v>
      </c>
      <c r="N3087" s="32" t="e">
        <f ca="1">_xludf.ifna(VLOOKUP(G3087,Proyectos!$A$2:$S$674,19,0))</f>
        <v>#NAME?</v>
      </c>
      <c r="O3087" s="32"/>
      <c r="P3087" s="32"/>
      <c r="Q3087" s="33"/>
      <c r="R3087" s="33"/>
      <c r="S3087" s="33"/>
      <c r="T3087" s="63">
        <f t="shared" si="24"/>
        <v>0</v>
      </c>
      <c r="U3087" s="33"/>
      <c r="V3087" s="33"/>
      <c r="W3087" s="33"/>
    </row>
    <row r="3088" spans="1:23" ht="16.5" customHeight="1" x14ac:dyDescent="0.2">
      <c r="A3088" s="26"/>
      <c r="B3088" s="26"/>
      <c r="C3088" s="26"/>
      <c r="D3088" s="26"/>
      <c r="E3088" s="26"/>
      <c r="F3088" s="28"/>
      <c r="G3088" s="26"/>
      <c r="H3088" s="32"/>
      <c r="I3088" s="32"/>
      <c r="J3088" s="32"/>
      <c r="K3088" s="32"/>
      <c r="L3088" s="32" t="e">
        <f ca="1">_xludf.ifna(VLOOKUP(E3088,Parámetros!$D$2:$E$34,2,0),"")</f>
        <v>#NAME?</v>
      </c>
      <c r="M3088" s="32" t="e">
        <f ca="1">_xludf.ifna(VLOOKUP(G3088,Proyectos!$A$2:$T$674,20,0),"")</f>
        <v>#NAME?</v>
      </c>
      <c r="N3088" s="32" t="e">
        <f ca="1">_xludf.ifna(VLOOKUP(G3088,Proyectos!$A$2:$S$674,19,0))</f>
        <v>#NAME?</v>
      </c>
      <c r="O3088" s="32"/>
      <c r="P3088" s="32"/>
      <c r="Q3088" s="33"/>
      <c r="R3088" s="33"/>
      <c r="S3088" s="33"/>
      <c r="T3088" s="63">
        <f t="shared" si="24"/>
        <v>0</v>
      </c>
      <c r="U3088" s="33"/>
      <c r="V3088" s="33"/>
      <c r="W3088" s="33"/>
    </row>
    <row r="3089" spans="1:23" ht="16.5" customHeight="1" x14ac:dyDescent="0.2">
      <c r="A3089" s="26"/>
      <c r="B3089" s="26"/>
      <c r="C3089" s="26"/>
      <c r="D3089" s="26"/>
      <c r="E3089" s="26"/>
      <c r="F3089" s="28"/>
      <c r="G3089" s="26"/>
      <c r="H3089" s="32"/>
      <c r="I3089" s="32"/>
      <c r="J3089" s="32"/>
      <c r="K3089" s="32"/>
      <c r="L3089" s="32" t="e">
        <f ca="1">_xludf.ifna(VLOOKUP(E3089,Parámetros!$D$2:$E$34,2,0),"")</f>
        <v>#NAME?</v>
      </c>
      <c r="M3089" s="32" t="e">
        <f ca="1">_xludf.ifna(VLOOKUP(G3089,Proyectos!$A$2:$T$674,20,0),"")</f>
        <v>#NAME?</v>
      </c>
      <c r="N3089" s="32" t="e">
        <f ca="1">_xludf.ifna(VLOOKUP(G3089,Proyectos!$A$2:$S$674,19,0))</f>
        <v>#NAME?</v>
      </c>
      <c r="O3089" s="32"/>
      <c r="P3089" s="32"/>
      <c r="Q3089" s="33"/>
      <c r="R3089" s="33"/>
      <c r="S3089" s="33"/>
      <c r="T3089" s="63">
        <f t="shared" si="24"/>
        <v>0</v>
      </c>
      <c r="U3089" s="33"/>
      <c r="V3089" s="33"/>
      <c r="W3089" s="33"/>
    </row>
    <row r="3090" spans="1:23" ht="16.5" customHeight="1" x14ac:dyDescent="0.2">
      <c r="A3090" s="26"/>
      <c r="B3090" s="26"/>
      <c r="C3090" s="26"/>
      <c r="D3090" s="26"/>
      <c r="E3090" s="26"/>
      <c r="F3090" s="28"/>
      <c r="G3090" s="26"/>
      <c r="H3090" s="32"/>
      <c r="I3090" s="32"/>
      <c r="J3090" s="32"/>
      <c r="K3090" s="32"/>
      <c r="L3090" s="32" t="e">
        <f ca="1">_xludf.ifna(VLOOKUP(E3090,Parámetros!$D$2:$E$34,2,0),"")</f>
        <v>#NAME?</v>
      </c>
      <c r="M3090" s="32" t="e">
        <f ca="1">_xludf.ifna(VLOOKUP(G3090,Proyectos!$A$2:$T$674,20,0),"")</f>
        <v>#NAME?</v>
      </c>
      <c r="N3090" s="32" t="e">
        <f ca="1">_xludf.ifna(VLOOKUP(G3090,Proyectos!$A$2:$S$674,19,0))</f>
        <v>#NAME?</v>
      </c>
      <c r="O3090" s="32"/>
      <c r="P3090" s="32"/>
      <c r="Q3090" s="33"/>
      <c r="R3090" s="33"/>
      <c r="S3090" s="33"/>
      <c r="T3090" s="63">
        <f t="shared" si="24"/>
        <v>0</v>
      </c>
      <c r="U3090" s="33"/>
      <c r="V3090" s="33"/>
      <c r="W3090" s="33"/>
    </row>
    <row r="3091" spans="1:23" ht="16.5" customHeight="1" x14ac:dyDescent="0.2">
      <c r="A3091" s="26"/>
      <c r="B3091" s="26"/>
      <c r="C3091" s="26"/>
      <c r="D3091" s="26"/>
      <c r="E3091" s="26"/>
      <c r="F3091" s="28"/>
      <c r="G3091" s="26"/>
      <c r="H3091" s="32"/>
      <c r="I3091" s="32"/>
      <c r="J3091" s="32"/>
      <c r="K3091" s="32"/>
      <c r="L3091" s="32" t="e">
        <f ca="1">_xludf.ifna(VLOOKUP(E3091,Parámetros!$D$2:$E$34,2,0),"")</f>
        <v>#NAME?</v>
      </c>
      <c r="M3091" s="32" t="e">
        <f ca="1">_xludf.ifna(VLOOKUP(G3091,Proyectos!$A$2:$T$674,20,0),"")</f>
        <v>#NAME?</v>
      </c>
      <c r="N3091" s="32" t="e">
        <f ca="1">_xludf.ifna(VLOOKUP(G3091,Proyectos!$A$2:$S$674,19,0))</f>
        <v>#NAME?</v>
      </c>
      <c r="O3091" s="32"/>
      <c r="P3091" s="32"/>
      <c r="Q3091" s="33"/>
      <c r="R3091" s="33"/>
      <c r="S3091" s="33"/>
      <c r="T3091" s="63">
        <f t="shared" si="24"/>
        <v>0</v>
      </c>
      <c r="U3091" s="33"/>
      <c r="V3091" s="33"/>
      <c r="W3091" s="33"/>
    </row>
    <row r="3092" spans="1:23" ht="16.5" customHeight="1" x14ac:dyDescent="0.2">
      <c r="A3092" s="26"/>
      <c r="B3092" s="26"/>
      <c r="C3092" s="26"/>
      <c r="D3092" s="26"/>
      <c r="E3092" s="26"/>
      <c r="F3092" s="28"/>
      <c r="G3092" s="26"/>
      <c r="H3092" s="32"/>
      <c r="I3092" s="32"/>
      <c r="J3092" s="32"/>
      <c r="K3092" s="32"/>
      <c r="L3092" s="32" t="e">
        <f ca="1">_xludf.ifna(VLOOKUP(E3092,Parámetros!$D$2:$E$34,2,0),"")</f>
        <v>#NAME?</v>
      </c>
      <c r="M3092" s="32" t="e">
        <f ca="1">_xludf.ifna(VLOOKUP(G3092,Proyectos!$A$2:$T$674,20,0),"")</f>
        <v>#NAME?</v>
      </c>
      <c r="N3092" s="32" t="e">
        <f ca="1">_xludf.ifna(VLOOKUP(G3092,Proyectos!$A$2:$S$674,19,0))</f>
        <v>#NAME?</v>
      </c>
      <c r="O3092" s="32"/>
      <c r="P3092" s="32"/>
      <c r="Q3092" s="33"/>
      <c r="R3092" s="33"/>
      <c r="S3092" s="33"/>
      <c r="T3092" s="63">
        <f t="shared" si="24"/>
        <v>0</v>
      </c>
      <c r="U3092" s="33"/>
      <c r="V3092" s="33"/>
      <c r="W3092" s="33"/>
    </row>
    <row r="3093" spans="1:23" ht="16.5" customHeight="1" x14ac:dyDescent="0.2">
      <c r="A3093" s="26"/>
      <c r="B3093" s="26"/>
      <c r="C3093" s="26"/>
      <c r="D3093" s="26"/>
      <c r="E3093" s="26"/>
      <c r="F3093" s="28"/>
      <c r="G3093" s="26"/>
      <c r="H3093" s="32"/>
      <c r="I3093" s="32"/>
      <c r="J3093" s="32"/>
      <c r="K3093" s="32"/>
      <c r="L3093" s="32" t="e">
        <f ca="1">_xludf.ifna(VLOOKUP(E3093,Parámetros!$D$2:$E$34,2,0),"")</f>
        <v>#NAME?</v>
      </c>
      <c r="M3093" s="32" t="e">
        <f ca="1">_xludf.ifna(VLOOKUP(G3093,Proyectos!$A$2:$T$674,20,0),"")</f>
        <v>#NAME?</v>
      </c>
      <c r="N3093" s="32" t="e">
        <f ca="1">_xludf.ifna(VLOOKUP(G3093,Proyectos!$A$2:$S$674,19,0))</f>
        <v>#NAME?</v>
      </c>
      <c r="O3093" s="32"/>
      <c r="P3093" s="32"/>
      <c r="Q3093" s="33"/>
      <c r="R3093" s="33"/>
      <c r="S3093" s="33"/>
      <c r="T3093" s="63">
        <f t="shared" si="24"/>
        <v>0</v>
      </c>
      <c r="U3093" s="33"/>
      <c r="V3093" s="33"/>
      <c r="W3093" s="33"/>
    </row>
    <row r="3094" spans="1:23" ht="16.5" customHeight="1" x14ac:dyDescent="0.2">
      <c r="A3094" s="26"/>
      <c r="B3094" s="26"/>
      <c r="C3094" s="26"/>
      <c r="D3094" s="26"/>
      <c r="E3094" s="26"/>
      <c r="F3094" s="28"/>
      <c r="G3094" s="26"/>
      <c r="H3094" s="32"/>
      <c r="I3094" s="32"/>
      <c r="J3094" s="32"/>
      <c r="K3094" s="32"/>
      <c r="L3094" s="32" t="e">
        <f ca="1">_xludf.ifna(VLOOKUP(E3094,Parámetros!$D$2:$E$34,2,0),"")</f>
        <v>#NAME?</v>
      </c>
      <c r="M3094" s="32" t="e">
        <f ca="1">_xludf.ifna(VLOOKUP(G3094,Proyectos!$A$2:$T$674,20,0),"")</f>
        <v>#NAME?</v>
      </c>
      <c r="N3094" s="32" t="e">
        <f ca="1">_xludf.ifna(VLOOKUP(G3094,Proyectos!$A$2:$S$674,19,0))</f>
        <v>#NAME?</v>
      </c>
      <c r="O3094" s="32"/>
      <c r="P3094" s="32"/>
      <c r="Q3094" s="33"/>
      <c r="R3094" s="33"/>
      <c r="S3094" s="33"/>
      <c r="T3094" s="63">
        <f t="shared" si="24"/>
        <v>0</v>
      </c>
      <c r="U3094" s="33"/>
      <c r="V3094" s="33"/>
      <c r="W3094" s="33"/>
    </row>
    <row r="3095" spans="1:23" ht="16.5" customHeight="1" x14ac:dyDescent="0.2">
      <c r="A3095" s="26"/>
      <c r="B3095" s="26"/>
      <c r="C3095" s="26"/>
      <c r="D3095" s="26"/>
      <c r="E3095" s="26"/>
      <c r="F3095" s="28"/>
      <c r="G3095" s="26"/>
      <c r="H3095" s="32"/>
      <c r="I3095" s="32"/>
      <c r="J3095" s="32"/>
      <c r="K3095" s="32"/>
      <c r="L3095" s="32" t="e">
        <f ca="1">_xludf.ifna(VLOOKUP(E3095,Parámetros!$D$2:$E$34,2,0),"")</f>
        <v>#NAME?</v>
      </c>
      <c r="M3095" s="32" t="e">
        <f ca="1">_xludf.ifna(VLOOKUP(G3095,Proyectos!$A$2:$T$674,20,0),"")</f>
        <v>#NAME?</v>
      </c>
      <c r="N3095" s="32" t="e">
        <f ca="1">_xludf.ifna(VLOOKUP(G3095,Proyectos!$A$2:$S$674,19,0))</f>
        <v>#NAME?</v>
      </c>
      <c r="O3095" s="32"/>
      <c r="P3095" s="32"/>
      <c r="Q3095" s="33"/>
      <c r="R3095" s="33"/>
      <c r="S3095" s="33"/>
      <c r="T3095" s="63">
        <f t="shared" si="24"/>
        <v>0</v>
      </c>
      <c r="U3095" s="33"/>
      <c r="V3095" s="33"/>
      <c r="W3095" s="33"/>
    </row>
    <row r="3096" spans="1:23" ht="16.5" customHeight="1" x14ac:dyDescent="0.2">
      <c r="A3096" s="26"/>
      <c r="B3096" s="26"/>
      <c r="C3096" s="26"/>
      <c r="D3096" s="26"/>
      <c r="E3096" s="26"/>
      <c r="F3096" s="28"/>
      <c r="G3096" s="26"/>
      <c r="H3096" s="32"/>
      <c r="I3096" s="32"/>
      <c r="J3096" s="32"/>
      <c r="K3096" s="32"/>
      <c r="L3096" s="32" t="e">
        <f ca="1">_xludf.ifna(VLOOKUP(E3096,Parámetros!$D$2:$E$34,2,0),"")</f>
        <v>#NAME?</v>
      </c>
      <c r="M3096" s="32" t="e">
        <f ca="1">_xludf.ifna(VLOOKUP(G3096,Proyectos!$A$2:$T$674,20,0),"")</f>
        <v>#NAME?</v>
      </c>
      <c r="N3096" s="32" t="e">
        <f ca="1">_xludf.ifna(VLOOKUP(G3096,Proyectos!$A$2:$S$674,19,0))</f>
        <v>#NAME?</v>
      </c>
      <c r="O3096" s="32"/>
      <c r="P3096" s="32"/>
      <c r="Q3096" s="33"/>
      <c r="R3096" s="33"/>
      <c r="S3096" s="33"/>
      <c r="T3096" s="63">
        <f t="shared" si="24"/>
        <v>0</v>
      </c>
      <c r="U3096" s="33"/>
      <c r="V3096" s="33"/>
      <c r="W3096" s="33"/>
    </row>
    <row r="3097" spans="1:23" ht="16.5" customHeight="1" x14ac:dyDescent="0.2">
      <c r="A3097" s="26"/>
      <c r="B3097" s="26"/>
      <c r="C3097" s="26"/>
      <c r="D3097" s="26"/>
      <c r="E3097" s="26"/>
      <c r="F3097" s="28"/>
      <c r="G3097" s="26"/>
      <c r="H3097" s="32"/>
      <c r="I3097" s="32"/>
      <c r="J3097" s="32"/>
      <c r="K3097" s="32"/>
      <c r="L3097" s="32" t="e">
        <f ca="1">_xludf.ifna(VLOOKUP(E3097,Parámetros!$D$2:$E$34,2,0),"")</f>
        <v>#NAME?</v>
      </c>
      <c r="M3097" s="32" t="e">
        <f ca="1">_xludf.ifna(VLOOKUP(G3097,Proyectos!$A$2:$T$674,20,0),"")</f>
        <v>#NAME?</v>
      </c>
      <c r="N3097" s="32" t="e">
        <f ca="1">_xludf.ifna(VLOOKUP(G3097,Proyectos!$A$2:$S$674,19,0))</f>
        <v>#NAME?</v>
      </c>
      <c r="O3097" s="32"/>
      <c r="P3097" s="32"/>
      <c r="Q3097" s="33"/>
      <c r="R3097" s="33"/>
      <c r="S3097" s="33"/>
      <c r="T3097" s="63">
        <f t="shared" si="24"/>
        <v>0</v>
      </c>
      <c r="U3097" s="33"/>
      <c r="V3097" s="33"/>
      <c r="W3097" s="33"/>
    </row>
    <row r="3098" spans="1:23" ht="16.5" customHeight="1" x14ac:dyDescent="0.2">
      <c r="A3098" s="26"/>
      <c r="B3098" s="26"/>
      <c r="C3098" s="26"/>
      <c r="D3098" s="26"/>
      <c r="E3098" s="26"/>
      <c r="F3098" s="28"/>
      <c r="G3098" s="26"/>
      <c r="H3098" s="32"/>
      <c r="I3098" s="32"/>
      <c r="J3098" s="32"/>
      <c r="K3098" s="32"/>
      <c r="L3098" s="32" t="e">
        <f ca="1">_xludf.ifna(VLOOKUP(E3098,Parámetros!$D$2:$E$34,2,0),"")</f>
        <v>#NAME?</v>
      </c>
      <c r="M3098" s="32" t="e">
        <f ca="1">_xludf.ifna(VLOOKUP(G3098,Proyectos!$A$2:$T$674,20,0),"")</f>
        <v>#NAME?</v>
      </c>
      <c r="N3098" s="32" t="e">
        <f ca="1">_xludf.ifna(VLOOKUP(G3098,Proyectos!$A$2:$S$674,19,0))</f>
        <v>#NAME?</v>
      </c>
      <c r="O3098" s="32"/>
      <c r="P3098" s="32"/>
      <c r="Q3098" s="33"/>
      <c r="R3098" s="33"/>
      <c r="S3098" s="33"/>
      <c r="T3098" s="63">
        <f t="shared" si="24"/>
        <v>0</v>
      </c>
      <c r="U3098" s="33"/>
      <c r="V3098" s="33"/>
      <c r="W3098" s="33"/>
    </row>
    <row r="3099" spans="1:23" ht="16.5" customHeight="1" x14ac:dyDescent="0.2">
      <c r="A3099" s="26"/>
      <c r="B3099" s="26"/>
      <c r="C3099" s="26"/>
      <c r="D3099" s="26"/>
      <c r="E3099" s="26"/>
      <c r="F3099" s="28"/>
      <c r="G3099" s="26"/>
      <c r="H3099" s="32"/>
      <c r="I3099" s="32"/>
      <c r="J3099" s="32"/>
      <c r="K3099" s="32"/>
      <c r="L3099" s="32" t="e">
        <f ca="1">_xludf.ifna(VLOOKUP(E3099,Parámetros!$D$2:$E$34,2,0),"")</f>
        <v>#NAME?</v>
      </c>
      <c r="M3099" s="32" t="e">
        <f ca="1">_xludf.ifna(VLOOKUP(G3099,Proyectos!$A$2:$T$674,20,0),"")</f>
        <v>#NAME?</v>
      </c>
      <c r="N3099" s="32" t="e">
        <f ca="1">_xludf.ifna(VLOOKUP(G3099,Proyectos!$A$2:$S$674,19,0))</f>
        <v>#NAME?</v>
      </c>
      <c r="O3099" s="32"/>
      <c r="P3099" s="32"/>
      <c r="Q3099" s="33"/>
      <c r="R3099" s="33"/>
      <c r="S3099" s="33"/>
      <c r="T3099" s="63">
        <f t="shared" si="24"/>
        <v>0</v>
      </c>
      <c r="U3099" s="33"/>
      <c r="V3099" s="33"/>
      <c r="W3099" s="33"/>
    </row>
    <row r="3100" spans="1:23" ht="16.5" customHeight="1" x14ac:dyDescent="0.2">
      <c r="A3100" s="26"/>
      <c r="B3100" s="26"/>
      <c r="C3100" s="26"/>
      <c r="D3100" s="26"/>
      <c r="E3100" s="26"/>
      <c r="F3100" s="28"/>
      <c r="G3100" s="26"/>
      <c r="H3100" s="32"/>
      <c r="I3100" s="32"/>
      <c r="J3100" s="32"/>
      <c r="K3100" s="32"/>
      <c r="L3100" s="32" t="e">
        <f ca="1">_xludf.ifna(VLOOKUP(E3100,Parámetros!$D$2:$E$34,2,0),"")</f>
        <v>#NAME?</v>
      </c>
      <c r="M3100" s="32" t="e">
        <f ca="1">_xludf.ifna(VLOOKUP(G3100,Proyectos!$A$2:$T$674,20,0),"")</f>
        <v>#NAME?</v>
      </c>
      <c r="N3100" s="32" t="e">
        <f ca="1">_xludf.ifna(VLOOKUP(G3100,Proyectos!$A$2:$S$674,19,0))</f>
        <v>#NAME?</v>
      </c>
      <c r="O3100" s="32"/>
      <c r="P3100" s="32"/>
      <c r="Q3100" s="33"/>
      <c r="R3100" s="33"/>
      <c r="S3100" s="33"/>
      <c r="T3100" s="63">
        <f t="shared" si="24"/>
        <v>0</v>
      </c>
      <c r="U3100" s="33"/>
      <c r="V3100" s="33"/>
      <c r="W3100" s="33"/>
    </row>
    <row r="3101" spans="1:23" ht="16.5" customHeight="1" x14ac:dyDescent="0.2">
      <c r="A3101" s="26"/>
      <c r="B3101" s="26"/>
      <c r="C3101" s="26"/>
      <c r="D3101" s="26"/>
      <c r="E3101" s="26"/>
      <c r="F3101" s="28"/>
      <c r="G3101" s="26"/>
      <c r="H3101" s="32"/>
      <c r="I3101" s="32"/>
      <c r="J3101" s="32"/>
      <c r="K3101" s="32"/>
      <c r="L3101" s="32" t="e">
        <f ca="1">_xludf.ifna(VLOOKUP(E3101,Parámetros!$D$2:$E$34,2,0),"")</f>
        <v>#NAME?</v>
      </c>
      <c r="M3101" s="32" t="e">
        <f ca="1">_xludf.ifna(VLOOKUP(G3101,Proyectos!$A$2:$T$674,20,0),"")</f>
        <v>#NAME?</v>
      </c>
      <c r="N3101" s="32" t="e">
        <f ca="1">_xludf.ifna(VLOOKUP(G3101,Proyectos!$A$2:$S$674,19,0))</f>
        <v>#NAME?</v>
      </c>
      <c r="O3101" s="32"/>
      <c r="P3101" s="32"/>
      <c r="Q3101" s="33"/>
      <c r="R3101" s="33"/>
      <c r="S3101" s="33"/>
      <c r="T3101" s="63">
        <f t="shared" si="24"/>
        <v>0</v>
      </c>
      <c r="U3101" s="33"/>
      <c r="V3101" s="33"/>
      <c r="W3101" s="33"/>
    </row>
    <row r="3102" spans="1:23" ht="16.5" customHeight="1" x14ac:dyDescent="0.2">
      <c r="A3102" s="26"/>
      <c r="B3102" s="26"/>
      <c r="C3102" s="26"/>
      <c r="D3102" s="26"/>
      <c r="E3102" s="26"/>
      <c r="F3102" s="28"/>
      <c r="G3102" s="26"/>
      <c r="H3102" s="32"/>
      <c r="I3102" s="32"/>
      <c r="J3102" s="32"/>
      <c r="K3102" s="32"/>
      <c r="L3102" s="32" t="e">
        <f ca="1">_xludf.ifna(VLOOKUP(E3102,Parámetros!$D$2:$E$34,2,0),"")</f>
        <v>#NAME?</v>
      </c>
      <c r="M3102" s="32" t="e">
        <f ca="1">_xludf.ifna(VLOOKUP(G3102,Proyectos!$A$2:$T$674,20,0),"")</f>
        <v>#NAME?</v>
      </c>
      <c r="N3102" s="32" t="e">
        <f ca="1">_xludf.ifna(VLOOKUP(G3102,Proyectos!$A$2:$S$674,19,0))</f>
        <v>#NAME?</v>
      </c>
      <c r="O3102" s="32"/>
      <c r="P3102" s="32"/>
      <c r="Q3102" s="33"/>
      <c r="R3102" s="33"/>
      <c r="S3102" s="33"/>
      <c r="T3102" s="63">
        <f t="shared" si="24"/>
        <v>0</v>
      </c>
      <c r="U3102" s="33"/>
      <c r="V3102" s="33"/>
      <c r="W3102" s="33"/>
    </row>
    <row r="3103" spans="1:23" ht="16.5" customHeight="1" x14ac:dyDescent="0.2">
      <c r="A3103" s="26"/>
      <c r="B3103" s="26"/>
      <c r="C3103" s="26"/>
      <c r="D3103" s="26"/>
      <c r="E3103" s="26"/>
      <c r="F3103" s="28"/>
      <c r="G3103" s="26"/>
      <c r="H3103" s="32"/>
      <c r="I3103" s="32"/>
      <c r="J3103" s="32"/>
      <c r="K3103" s="32"/>
      <c r="L3103" s="32" t="e">
        <f ca="1">_xludf.ifna(VLOOKUP(E3103,Parámetros!$D$2:$E$34,2,0),"")</f>
        <v>#NAME?</v>
      </c>
      <c r="M3103" s="32" t="e">
        <f ca="1">_xludf.ifna(VLOOKUP(G3103,Proyectos!$A$2:$T$674,20,0),"")</f>
        <v>#NAME?</v>
      </c>
      <c r="N3103" s="32" t="e">
        <f ca="1">_xludf.ifna(VLOOKUP(G3103,Proyectos!$A$2:$S$674,19,0))</f>
        <v>#NAME?</v>
      </c>
      <c r="O3103" s="32"/>
      <c r="P3103" s="32"/>
      <c r="Q3103" s="33"/>
      <c r="R3103" s="33"/>
      <c r="S3103" s="33"/>
      <c r="T3103" s="63">
        <f t="shared" si="24"/>
        <v>0</v>
      </c>
      <c r="U3103" s="33"/>
      <c r="V3103" s="33"/>
      <c r="W3103" s="33"/>
    </row>
    <row r="3104" spans="1:23" ht="16.5" customHeight="1" x14ac:dyDescent="0.2">
      <c r="A3104" s="26"/>
      <c r="B3104" s="26"/>
      <c r="C3104" s="26"/>
      <c r="D3104" s="26"/>
      <c r="E3104" s="26"/>
      <c r="F3104" s="28"/>
      <c r="G3104" s="26"/>
      <c r="H3104" s="32"/>
      <c r="I3104" s="32"/>
      <c r="J3104" s="32"/>
      <c r="K3104" s="32"/>
      <c r="L3104" s="32" t="e">
        <f ca="1">_xludf.ifna(VLOOKUP(E3104,Parámetros!$D$2:$E$34,2,0),"")</f>
        <v>#NAME?</v>
      </c>
      <c r="M3104" s="32" t="e">
        <f ca="1">_xludf.ifna(VLOOKUP(G3104,Proyectos!$A$2:$T$674,20,0),"")</f>
        <v>#NAME?</v>
      </c>
      <c r="N3104" s="32" t="e">
        <f ca="1">_xludf.ifna(VLOOKUP(G3104,Proyectos!$A$2:$S$674,19,0))</f>
        <v>#NAME?</v>
      </c>
      <c r="O3104" s="32"/>
      <c r="P3104" s="32"/>
      <c r="Q3104" s="33"/>
      <c r="R3104" s="33"/>
      <c r="S3104" s="33"/>
      <c r="T3104" s="63">
        <f t="shared" si="24"/>
        <v>0</v>
      </c>
      <c r="U3104" s="33"/>
      <c r="V3104" s="33"/>
      <c r="W3104" s="33"/>
    </row>
    <row r="3105" spans="1:23" ht="16.5" customHeight="1" x14ac:dyDescent="0.2">
      <c r="A3105" s="26"/>
      <c r="B3105" s="26"/>
      <c r="C3105" s="26"/>
      <c r="D3105" s="26"/>
      <c r="E3105" s="26"/>
      <c r="F3105" s="28"/>
      <c r="G3105" s="26"/>
      <c r="H3105" s="32"/>
      <c r="I3105" s="32"/>
      <c r="J3105" s="32"/>
      <c r="K3105" s="32"/>
      <c r="L3105" s="32" t="e">
        <f ca="1">_xludf.ifna(VLOOKUP(E3105,Parámetros!$D$2:$E$34,2,0),"")</f>
        <v>#NAME?</v>
      </c>
      <c r="M3105" s="32" t="e">
        <f ca="1">_xludf.ifna(VLOOKUP(G3105,Proyectos!$A$2:$T$674,20,0),"")</f>
        <v>#NAME?</v>
      </c>
      <c r="N3105" s="32" t="e">
        <f ca="1">_xludf.ifna(VLOOKUP(G3105,Proyectos!$A$2:$S$674,19,0))</f>
        <v>#NAME?</v>
      </c>
      <c r="O3105" s="32"/>
      <c r="P3105" s="32"/>
      <c r="Q3105" s="33"/>
      <c r="R3105" s="33"/>
      <c r="S3105" s="33"/>
      <c r="T3105" s="63">
        <f t="shared" si="24"/>
        <v>0</v>
      </c>
      <c r="U3105" s="33"/>
      <c r="V3105" s="33"/>
      <c r="W3105" s="33"/>
    </row>
    <row r="3106" spans="1:23" ht="16.5" customHeight="1" x14ac:dyDescent="0.2">
      <c r="A3106" s="26"/>
      <c r="B3106" s="26"/>
      <c r="C3106" s="26"/>
      <c r="D3106" s="26"/>
      <c r="E3106" s="26"/>
      <c r="F3106" s="28"/>
      <c r="G3106" s="26"/>
      <c r="H3106" s="32"/>
      <c r="I3106" s="32"/>
      <c r="J3106" s="32"/>
      <c r="K3106" s="32"/>
      <c r="L3106" s="32" t="e">
        <f ca="1">_xludf.ifna(VLOOKUP(E3106,Parámetros!$D$2:$E$34,2,0),"")</f>
        <v>#NAME?</v>
      </c>
      <c r="M3106" s="32" t="e">
        <f ca="1">_xludf.ifna(VLOOKUP(G3106,Proyectos!$A$2:$T$674,20,0),"")</f>
        <v>#NAME?</v>
      </c>
      <c r="N3106" s="32" t="e">
        <f ca="1">_xludf.ifna(VLOOKUP(G3106,Proyectos!$A$2:$S$674,19,0))</f>
        <v>#NAME?</v>
      </c>
      <c r="O3106" s="32"/>
      <c r="P3106" s="32"/>
      <c r="Q3106" s="33"/>
      <c r="R3106" s="33"/>
      <c r="S3106" s="33"/>
      <c r="T3106" s="63">
        <f t="shared" si="24"/>
        <v>0</v>
      </c>
      <c r="U3106" s="33"/>
      <c r="V3106" s="33"/>
      <c r="W3106" s="33"/>
    </row>
    <row r="3107" spans="1:23" ht="16.5" customHeight="1" x14ac:dyDescent="0.2">
      <c r="A3107" s="26"/>
      <c r="B3107" s="26"/>
      <c r="C3107" s="26"/>
      <c r="D3107" s="26"/>
      <c r="E3107" s="26"/>
      <c r="F3107" s="28"/>
      <c r="G3107" s="26"/>
      <c r="H3107" s="32"/>
      <c r="I3107" s="32"/>
      <c r="J3107" s="32"/>
      <c r="K3107" s="32"/>
      <c r="L3107" s="32" t="e">
        <f ca="1">_xludf.ifna(VLOOKUP(E3107,Parámetros!$D$2:$E$34,2,0),"")</f>
        <v>#NAME?</v>
      </c>
      <c r="M3107" s="32" t="e">
        <f ca="1">_xludf.ifna(VLOOKUP(G3107,Proyectos!$A$2:$T$674,20,0),"")</f>
        <v>#NAME?</v>
      </c>
      <c r="N3107" s="32" t="e">
        <f ca="1">_xludf.ifna(VLOOKUP(G3107,Proyectos!$A$2:$S$674,19,0))</f>
        <v>#NAME?</v>
      </c>
      <c r="O3107" s="32"/>
      <c r="P3107" s="32"/>
      <c r="Q3107" s="33"/>
      <c r="R3107" s="33"/>
      <c r="S3107" s="33"/>
      <c r="T3107" s="63">
        <f t="shared" si="24"/>
        <v>0</v>
      </c>
      <c r="U3107" s="33"/>
      <c r="V3107" s="33"/>
      <c r="W3107" s="33"/>
    </row>
    <row r="3108" spans="1:23" ht="16.5" customHeight="1" x14ac:dyDescent="0.2">
      <c r="A3108" s="26"/>
      <c r="B3108" s="26"/>
      <c r="C3108" s="26"/>
      <c r="D3108" s="26"/>
      <c r="E3108" s="26"/>
      <c r="F3108" s="28"/>
      <c r="G3108" s="26"/>
      <c r="H3108" s="32"/>
      <c r="I3108" s="32"/>
      <c r="J3108" s="32"/>
      <c r="K3108" s="32"/>
      <c r="L3108" s="32" t="e">
        <f ca="1">_xludf.ifna(VLOOKUP(E3108,Parámetros!$D$2:$E$34,2,0),"")</f>
        <v>#NAME?</v>
      </c>
      <c r="M3108" s="32" t="e">
        <f ca="1">_xludf.ifna(VLOOKUP(G3108,Proyectos!$A$2:$T$674,20,0),"")</f>
        <v>#NAME?</v>
      </c>
      <c r="N3108" s="32" t="e">
        <f ca="1">_xludf.ifna(VLOOKUP(G3108,Proyectos!$A$2:$S$674,19,0))</f>
        <v>#NAME?</v>
      </c>
      <c r="O3108" s="32"/>
      <c r="P3108" s="32"/>
      <c r="Q3108" s="33"/>
      <c r="R3108" s="33"/>
      <c r="S3108" s="33"/>
      <c r="T3108" s="63">
        <f t="shared" si="24"/>
        <v>0</v>
      </c>
      <c r="U3108" s="33"/>
      <c r="V3108" s="33"/>
      <c r="W3108" s="33"/>
    </row>
    <row r="3109" spans="1:23" ht="16.5" customHeight="1" x14ac:dyDescent="0.2">
      <c r="A3109" s="26"/>
      <c r="B3109" s="26"/>
      <c r="C3109" s="26"/>
      <c r="D3109" s="26"/>
      <c r="E3109" s="26"/>
      <c r="F3109" s="28"/>
      <c r="G3109" s="26"/>
      <c r="H3109" s="32"/>
      <c r="I3109" s="32"/>
      <c r="J3109" s="32"/>
      <c r="K3109" s="32"/>
      <c r="L3109" s="32" t="e">
        <f ca="1">_xludf.ifna(VLOOKUP(E3109,Parámetros!$D$2:$E$34,2,0),"")</f>
        <v>#NAME?</v>
      </c>
      <c r="M3109" s="32" t="e">
        <f ca="1">_xludf.ifna(VLOOKUP(G3109,Proyectos!$A$2:$T$674,20,0),"")</f>
        <v>#NAME?</v>
      </c>
      <c r="N3109" s="32" t="e">
        <f ca="1">_xludf.ifna(VLOOKUP(G3109,Proyectos!$A$2:$S$674,19,0))</f>
        <v>#NAME?</v>
      </c>
      <c r="O3109" s="32"/>
      <c r="P3109" s="32"/>
      <c r="Q3109" s="33"/>
      <c r="R3109" s="33"/>
      <c r="S3109" s="33"/>
      <c r="T3109" s="63">
        <f t="shared" si="24"/>
        <v>0</v>
      </c>
      <c r="U3109" s="33"/>
      <c r="V3109" s="33"/>
      <c r="W3109" s="33"/>
    </row>
    <row r="3110" spans="1:23" ht="16.5" customHeight="1" x14ac:dyDescent="0.2">
      <c r="A3110" s="26"/>
      <c r="B3110" s="26"/>
      <c r="C3110" s="26"/>
      <c r="D3110" s="26"/>
      <c r="E3110" s="26"/>
      <c r="F3110" s="28"/>
      <c r="G3110" s="26"/>
      <c r="H3110" s="32"/>
      <c r="I3110" s="32"/>
      <c r="J3110" s="32"/>
      <c r="K3110" s="32"/>
      <c r="L3110" s="32" t="e">
        <f ca="1">_xludf.ifna(VLOOKUP(E3110,Parámetros!$D$2:$E$34,2,0),"")</f>
        <v>#NAME?</v>
      </c>
      <c r="M3110" s="32" t="e">
        <f ca="1">_xludf.ifna(VLOOKUP(G3110,Proyectos!$A$2:$T$674,20,0),"")</f>
        <v>#NAME?</v>
      </c>
      <c r="N3110" s="32" t="e">
        <f ca="1">_xludf.ifna(VLOOKUP(G3110,Proyectos!$A$2:$S$674,19,0))</f>
        <v>#NAME?</v>
      </c>
      <c r="O3110" s="32"/>
      <c r="P3110" s="32"/>
      <c r="Q3110" s="33"/>
      <c r="R3110" s="33"/>
      <c r="S3110" s="33"/>
      <c r="T3110" s="63">
        <f t="shared" si="24"/>
        <v>0</v>
      </c>
      <c r="U3110" s="33"/>
      <c r="V3110" s="33"/>
      <c r="W3110" s="33"/>
    </row>
    <row r="3111" spans="1:23" ht="16.5" customHeight="1" x14ac:dyDescent="0.2">
      <c r="A3111" s="26"/>
      <c r="B3111" s="26"/>
      <c r="C3111" s="26"/>
      <c r="D3111" s="26"/>
      <c r="E3111" s="26"/>
      <c r="F3111" s="28"/>
      <c r="G3111" s="26"/>
      <c r="H3111" s="32"/>
      <c r="I3111" s="32"/>
      <c r="J3111" s="32"/>
      <c r="K3111" s="32"/>
      <c r="L3111" s="32" t="e">
        <f ca="1">_xludf.ifna(VLOOKUP(E3111,Parámetros!$D$2:$E$34,2,0),"")</f>
        <v>#NAME?</v>
      </c>
      <c r="M3111" s="32" t="e">
        <f ca="1">_xludf.ifna(VLOOKUP(G3111,Proyectos!$A$2:$T$674,20,0),"")</f>
        <v>#NAME?</v>
      </c>
      <c r="N3111" s="32" t="e">
        <f ca="1">_xludf.ifna(VLOOKUP(G3111,Proyectos!$A$2:$S$674,19,0))</f>
        <v>#NAME?</v>
      </c>
      <c r="O3111" s="32"/>
      <c r="P3111" s="32"/>
      <c r="Q3111" s="33"/>
      <c r="R3111" s="33"/>
      <c r="S3111" s="33"/>
      <c r="T3111" s="63">
        <f t="shared" si="24"/>
        <v>0</v>
      </c>
      <c r="U3111" s="33"/>
      <c r="V3111" s="33"/>
      <c r="W3111" s="33"/>
    </row>
    <row r="3112" spans="1:23" ht="16.5" customHeight="1" x14ac:dyDescent="0.2">
      <c r="A3112" s="26"/>
      <c r="B3112" s="26"/>
      <c r="C3112" s="26"/>
      <c r="D3112" s="26"/>
      <c r="E3112" s="26"/>
      <c r="F3112" s="28"/>
      <c r="G3112" s="26"/>
      <c r="H3112" s="32"/>
      <c r="I3112" s="32"/>
      <c r="J3112" s="32"/>
      <c r="K3112" s="32"/>
      <c r="L3112" s="32" t="e">
        <f ca="1">_xludf.ifna(VLOOKUP(E3112,Parámetros!$D$2:$E$34,2,0),"")</f>
        <v>#NAME?</v>
      </c>
      <c r="M3112" s="32" t="e">
        <f ca="1">_xludf.ifna(VLOOKUP(G3112,Proyectos!$A$2:$T$674,20,0),"")</f>
        <v>#NAME?</v>
      </c>
      <c r="N3112" s="32" t="e">
        <f ca="1">_xludf.ifna(VLOOKUP(G3112,Proyectos!$A$2:$S$674,19,0))</f>
        <v>#NAME?</v>
      </c>
      <c r="O3112" s="32"/>
      <c r="P3112" s="32"/>
      <c r="Q3112" s="33"/>
      <c r="R3112" s="33"/>
      <c r="S3112" s="33"/>
      <c r="T3112" s="63">
        <f t="shared" si="24"/>
        <v>0</v>
      </c>
      <c r="U3112" s="33"/>
      <c r="V3112" s="33"/>
      <c r="W3112" s="33"/>
    </row>
    <row r="3113" spans="1:23" ht="16.5" customHeight="1" x14ac:dyDescent="0.2">
      <c r="A3113" s="26"/>
      <c r="B3113" s="26"/>
      <c r="C3113" s="26"/>
      <c r="D3113" s="26"/>
      <c r="E3113" s="26"/>
      <c r="F3113" s="28"/>
      <c r="G3113" s="26"/>
      <c r="H3113" s="32"/>
      <c r="I3113" s="32"/>
      <c r="J3113" s="32"/>
      <c r="K3113" s="32"/>
      <c r="L3113" s="32" t="e">
        <f ca="1">_xludf.ifna(VLOOKUP(E3113,Parámetros!$D$2:$E$34,2,0),"")</f>
        <v>#NAME?</v>
      </c>
      <c r="M3113" s="32" t="e">
        <f ca="1">_xludf.ifna(VLOOKUP(G3113,Proyectos!$A$2:$T$674,20,0),"")</f>
        <v>#NAME?</v>
      </c>
      <c r="N3113" s="32" t="e">
        <f ca="1">_xludf.ifna(VLOOKUP(G3113,Proyectos!$A$2:$S$674,19,0))</f>
        <v>#NAME?</v>
      </c>
      <c r="O3113" s="32"/>
      <c r="P3113" s="32"/>
      <c r="Q3113" s="33"/>
      <c r="R3113" s="33"/>
      <c r="S3113" s="33"/>
      <c r="T3113" s="63">
        <f t="shared" si="24"/>
        <v>0</v>
      </c>
      <c r="U3113" s="33"/>
      <c r="V3113" s="33"/>
      <c r="W3113" s="33"/>
    </row>
    <row r="3114" spans="1:23" ht="16.5" customHeight="1" x14ac:dyDescent="0.2">
      <c r="A3114" s="26"/>
      <c r="B3114" s="26"/>
      <c r="C3114" s="26"/>
      <c r="D3114" s="26"/>
      <c r="E3114" s="26"/>
      <c r="F3114" s="28"/>
      <c r="G3114" s="26"/>
      <c r="H3114" s="32"/>
      <c r="I3114" s="32"/>
      <c r="J3114" s="32"/>
      <c r="K3114" s="32"/>
      <c r="L3114" s="32" t="e">
        <f ca="1">_xludf.ifna(VLOOKUP(E3114,Parámetros!$D$2:$E$34,2,0),"")</f>
        <v>#NAME?</v>
      </c>
      <c r="M3114" s="32" t="e">
        <f ca="1">_xludf.ifna(VLOOKUP(G3114,Proyectos!$A$2:$T$674,20,0),"")</f>
        <v>#NAME?</v>
      </c>
      <c r="N3114" s="32" t="e">
        <f ca="1">_xludf.ifna(VLOOKUP(G3114,Proyectos!$A$2:$S$674,19,0))</f>
        <v>#NAME?</v>
      </c>
      <c r="O3114" s="32"/>
      <c r="P3114" s="32"/>
      <c r="Q3114" s="33"/>
      <c r="R3114" s="33"/>
      <c r="S3114" s="33"/>
      <c r="T3114" s="63">
        <f t="shared" si="24"/>
        <v>0</v>
      </c>
      <c r="U3114" s="33"/>
      <c r="V3114" s="33"/>
      <c r="W3114" s="33"/>
    </row>
    <row r="3115" spans="1:23" ht="16.5" customHeight="1" x14ac:dyDescent="0.2">
      <c r="A3115" s="26"/>
      <c r="B3115" s="26"/>
      <c r="C3115" s="26"/>
      <c r="D3115" s="26"/>
      <c r="E3115" s="26"/>
      <c r="F3115" s="28"/>
      <c r="G3115" s="26"/>
      <c r="H3115" s="32"/>
      <c r="I3115" s="32"/>
      <c r="J3115" s="32"/>
      <c r="K3115" s="32"/>
      <c r="L3115" s="32" t="e">
        <f ca="1">_xludf.ifna(VLOOKUP(E3115,Parámetros!$D$2:$E$34,2,0),"")</f>
        <v>#NAME?</v>
      </c>
      <c r="M3115" s="32" t="e">
        <f ca="1">_xludf.ifna(VLOOKUP(G3115,Proyectos!$A$2:$T$674,20,0),"")</f>
        <v>#NAME?</v>
      </c>
      <c r="N3115" s="32" t="e">
        <f ca="1">_xludf.ifna(VLOOKUP(G3115,Proyectos!$A$2:$S$674,19,0))</f>
        <v>#NAME?</v>
      </c>
      <c r="O3115" s="32"/>
      <c r="P3115" s="32"/>
      <c r="Q3115" s="33"/>
      <c r="R3115" s="33"/>
      <c r="S3115" s="33"/>
      <c r="T3115" s="63">
        <f t="shared" si="24"/>
        <v>0</v>
      </c>
      <c r="U3115" s="33"/>
      <c r="V3115" s="33"/>
      <c r="W3115" s="33"/>
    </row>
    <row r="3116" spans="1:23" ht="16.5" customHeight="1" x14ac:dyDescent="0.2">
      <c r="A3116" s="26"/>
      <c r="B3116" s="26"/>
      <c r="C3116" s="26"/>
      <c r="D3116" s="26"/>
      <c r="E3116" s="26"/>
      <c r="F3116" s="28"/>
      <c r="G3116" s="26"/>
      <c r="H3116" s="32"/>
      <c r="I3116" s="32"/>
      <c r="J3116" s="32"/>
      <c r="K3116" s="32"/>
      <c r="L3116" s="32" t="e">
        <f ca="1">_xludf.ifna(VLOOKUP(E3116,Parámetros!$D$2:$E$34,2,0),"")</f>
        <v>#NAME?</v>
      </c>
      <c r="M3116" s="32" t="e">
        <f ca="1">_xludf.ifna(VLOOKUP(G3116,Proyectos!$A$2:$T$674,20,0),"")</f>
        <v>#NAME?</v>
      </c>
      <c r="N3116" s="32" t="e">
        <f ca="1">_xludf.ifna(VLOOKUP(G3116,Proyectos!$A$2:$S$674,19,0))</f>
        <v>#NAME?</v>
      </c>
      <c r="O3116" s="32"/>
      <c r="P3116" s="32"/>
      <c r="Q3116" s="33"/>
      <c r="R3116" s="33"/>
      <c r="S3116" s="33"/>
      <c r="T3116" s="63">
        <f t="shared" si="24"/>
        <v>0</v>
      </c>
      <c r="U3116" s="33"/>
      <c r="V3116" s="33"/>
      <c r="W3116" s="33"/>
    </row>
    <row r="3117" spans="1:23" ht="16.5" customHeight="1" x14ac:dyDescent="0.2">
      <c r="A3117" s="26"/>
      <c r="B3117" s="26"/>
      <c r="C3117" s="26"/>
      <c r="D3117" s="26"/>
      <c r="E3117" s="26"/>
      <c r="F3117" s="28"/>
      <c r="G3117" s="26"/>
      <c r="H3117" s="32"/>
      <c r="I3117" s="32"/>
      <c r="J3117" s="32"/>
      <c r="K3117" s="32"/>
      <c r="L3117" s="32" t="e">
        <f ca="1">_xludf.ifna(VLOOKUP(E3117,Parámetros!$D$2:$E$34,2,0),"")</f>
        <v>#NAME?</v>
      </c>
      <c r="M3117" s="32" t="e">
        <f ca="1">_xludf.ifna(VLOOKUP(G3117,Proyectos!$A$2:$T$674,20,0),"")</f>
        <v>#NAME?</v>
      </c>
      <c r="N3117" s="32" t="e">
        <f ca="1">_xludf.ifna(VLOOKUP(G3117,Proyectos!$A$2:$S$674,19,0))</f>
        <v>#NAME?</v>
      </c>
      <c r="O3117" s="32"/>
      <c r="P3117" s="32"/>
      <c r="Q3117" s="33"/>
      <c r="R3117" s="33"/>
      <c r="S3117" s="33"/>
      <c r="T3117" s="63">
        <f t="shared" si="24"/>
        <v>0</v>
      </c>
      <c r="U3117" s="33"/>
      <c r="V3117" s="33"/>
      <c r="W3117" s="33"/>
    </row>
    <row r="3118" spans="1:23" ht="16.5" customHeight="1" x14ac:dyDescent="0.2">
      <c r="A3118" s="26"/>
      <c r="B3118" s="26"/>
      <c r="C3118" s="26"/>
      <c r="D3118" s="26"/>
      <c r="E3118" s="26"/>
      <c r="F3118" s="28"/>
      <c r="G3118" s="26"/>
      <c r="H3118" s="32"/>
      <c r="I3118" s="32"/>
      <c r="J3118" s="32"/>
      <c r="K3118" s="32"/>
      <c r="L3118" s="32" t="e">
        <f ca="1">_xludf.ifna(VLOOKUP(E3118,Parámetros!$D$2:$E$34,2,0),"")</f>
        <v>#NAME?</v>
      </c>
      <c r="M3118" s="32" t="e">
        <f ca="1">_xludf.ifna(VLOOKUP(G3118,Proyectos!$A$2:$T$674,20,0),"")</f>
        <v>#NAME?</v>
      </c>
      <c r="N3118" s="32" t="e">
        <f ca="1">_xludf.ifna(VLOOKUP(G3118,Proyectos!$A$2:$S$674,19,0))</f>
        <v>#NAME?</v>
      </c>
      <c r="O3118" s="32"/>
      <c r="P3118" s="32"/>
      <c r="Q3118" s="33"/>
      <c r="R3118" s="33"/>
      <c r="S3118" s="33"/>
      <c r="T3118" s="63">
        <f t="shared" si="24"/>
        <v>0</v>
      </c>
      <c r="U3118" s="33"/>
      <c r="V3118" s="33"/>
      <c r="W3118" s="33"/>
    </row>
    <row r="3119" spans="1:23" ht="16.5" customHeight="1" x14ac:dyDescent="0.2">
      <c r="A3119" s="26"/>
      <c r="B3119" s="26"/>
      <c r="C3119" s="26"/>
      <c r="D3119" s="26"/>
      <c r="E3119" s="26"/>
      <c r="F3119" s="28"/>
      <c r="G3119" s="26"/>
      <c r="H3119" s="32"/>
      <c r="I3119" s="32"/>
      <c r="J3119" s="32"/>
      <c r="K3119" s="32"/>
      <c r="L3119" s="32" t="e">
        <f ca="1">_xludf.ifna(VLOOKUP(E3119,Parámetros!$D$2:$E$34,2,0),"")</f>
        <v>#NAME?</v>
      </c>
      <c r="M3119" s="32" t="e">
        <f ca="1">_xludf.ifna(VLOOKUP(G3119,Proyectos!$A$2:$T$674,20,0),"")</f>
        <v>#NAME?</v>
      </c>
      <c r="N3119" s="32" t="e">
        <f ca="1">_xludf.ifna(VLOOKUP(G3119,Proyectos!$A$2:$S$674,19,0))</f>
        <v>#NAME?</v>
      </c>
      <c r="O3119" s="32"/>
      <c r="P3119" s="32"/>
      <c r="Q3119" s="33"/>
      <c r="R3119" s="33"/>
      <c r="S3119" s="33"/>
      <c r="T3119" s="63">
        <f t="shared" si="24"/>
        <v>0</v>
      </c>
      <c r="U3119" s="33"/>
      <c r="V3119" s="33"/>
      <c r="W3119" s="33"/>
    </row>
    <row r="3120" spans="1:23" ht="16.5" customHeight="1" x14ac:dyDescent="0.2">
      <c r="A3120" s="26"/>
      <c r="B3120" s="26"/>
      <c r="C3120" s="26"/>
      <c r="D3120" s="26"/>
      <c r="E3120" s="26"/>
      <c r="F3120" s="28"/>
      <c r="G3120" s="26"/>
      <c r="H3120" s="32"/>
      <c r="I3120" s="32"/>
      <c r="J3120" s="32"/>
      <c r="K3120" s="32"/>
      <c r="L3120" s="32" t="e">
        <f ca="1">_xludf.ifna(VLOOKUP(E3120,Parámetros!$D$2:$E$34,2,0),"")</f>
        <v>#NAME?</v>
      </c>
      <c r="M3120" s="32" t="e">
        <f ca="1">_xludf.ifna(VLOOKUP(G3120,Proyectos!$A$2:$T$674,20,0),"")</f>
        <v>#NAME?</v>
      </c>
      <c r="N3120" s="32" t="e">
        <f ca="1">_xludf.ifna(VLOOKUP(G3120,Proyectos!$A$2:$S$674,19,0))</f>
        <v>#NAME?</v>
      </c>
      <c r="O3120" s="32"/>
      <c r="P3120" s="32"/>
      <c r="Q3120" s="33"/>
      <c r="R3120" s="33"/>
      <c r="S3120" s="33"/>
      <c r="T3120" s="63">
        <f t="shared" si="24"/>
        <v>0</v>
      </c>
      <c r="U3120" s="33"/>
      <c r="V3120" s="33"/>
      <c r="W3120" s="33"/>
    </row>
    <row r="3121" spans="1:23" ht="16.5" customHeight="1" x14ac:dyDescent="0.2">
      <c r="A3121" s="26"/>
      <c r="B3121" s="26"/>
      <c r="C3121" s="26"/>
      <c r="D3121" s="26"/>
      <c r="E3121" s="26"/>
      <c r="F3121" s="28"/>
      <c r="G3121" s="26"/>
      <c r="H3121" s="32"/>
      <c r="I3121" s="32"/>
      <c r="J3121" s="32"/>
      <c r="K3121" s="32"/>
      <c r="L3121" s="32" t="e">
        <f ca="1">_xludf.ifna(VLOOKUP(E3121,Parámetros!$D$2:$E$34,2,0),"")</f>
        <v>#NAME?</v>
      </c>
      <c r="M3121" s="32" t="e">
        <f ca="1">_xludf.ifna(VLOOKUP(G3121,Proyectos!$A$2:$T$674,20,0),"")</f>
        <v>#NAME?</v>
      </c>
      <c r="N3121" s="32" t="e">
        <f ca="1">_xludf.ifna(VLOOKUP(G3121,Proyectos!$A$2:$S$674,19,0))</f>
        <v>#NAME?</v>
      </c>
      <c r="O3121" s="32"/>
      <c r="P3121" s="32"/>
      <c r="Q3121" s="33"/>
      <c r="R3121" s="33"/>
      <c r="S3121" s="33"/>
      <c r="T3121" s="63">
        <f t="shared" si="24"/>
        <v>0</v>
      </c>
      <c r="U3121" s="33"/>
      <c r="V3121" s="33"/>
      <c r="W3121" s="33"/>
    </row>
    <row r="3122" spans="1:23" ht="16.5" customHeight="1" x14ac:dyDescent="0.2">
      <c r="A3122" s="26"/>
      <c r="B3122" s="26"/>
      <c r="C3122" s="26"/>
      <c r="D3122" s="26"/>
      <c r="E3122" s="26"/>
      <c r="F3122" s="28"/>
      <c r="G3122" s="26"/>
      <c r="H3122" s="32"/>
      <c r="I3122" s="32"/>
      <c r="J3122" s="32"/>
      <c r="K3122" s="32"/>
      <c r="L3122" s="32" t="e">
        <f ca="1">_xludf.ifna(VLOOKUP(E3122,Parámetros!$D$2:$E$34,2,0),"")</f>
        <v>#NAME?</v>
      </c>
      <c r="M3122" s="32" t="e">
        <f ca="1">_xludf.ifna(VLOOKUP(G3122,Proyectos!$A$2:$T$674,20,0),"")</f>
        <v>#NAME?</v>
      </c>
      <c r="N3122" s="32" t="e">
        <f ca="1">_xludf.ifna(VLOOKUP(G3122,Proyectos!$A$2:$S$674,19,0))</f>
        <v>#NAME?</v>
      </c>
      <c r="O3122" s="32"/>
      <c r="P3122" s="32"/>
      <c r="Q3122" s="33"/>
      <c r="R3122" s="33"/>
      <c r="S3122" s="33"/>
      <c r="T3122" s="63">
        <f t="shared" si="24"/>
        <v>0</v>
      </c>
      <c r="U3122" s="33"/>
      <c r="V3122" s="33"/>
      <c r="W3122" s="33"/>
    </row>
    <row r="3123" spans="1:23" ht="16.5" customHeight="1" x14ac:dyDescent="0.2">
      <c r="A3123" s="26"/>
      <c r="B3123" s="26"/>
      <c r="C3123" s="26"/>
      <c r="D3123" s="26"/>
      <c r="E3123" s="26"/>
      <c r="F3123" s="28"/>
      <c r="G3123" s="26"/>
      <c r="H3123" s="32"/>
      <c r="I3123" s="32"/>
      <c r="J3123" s="32"/>
      <c r="K3123" s="32"/>
      <c r="L3123" s="32" t="e">
        <f ca="1">_xludf.ifna(VLOOKUP(E3123,Parámetros!$D$2:$E$34,2,0),"")</f>
        <v>#NAME?</v>
      </c>
      <c r="M3123" s="32" t="e">
        <f ca="1">_xludf.ifna(VLOOKUP(G3123,Proyectos!$A$2:$T$674,20,0),"")</f>
        <v>#NAME?</v>
      </c>
      <c r="N3123" s="32" t="e">
        <f ca="1">_xludf.ifna(VLOOKUP(G3123,Proyectos!$A$2:$S$674,19,0))</f>
        <v>#NAME?</v>
      </c>
      <c r="O3123" s="32"/>
      <c r="P3123" s="32"/>
      <c r="Q3123" s="33"/>
      <c r="R3123" s="33"/>
      <c r="S3123" s="33"/>
      <c r="T3123" s="63">
        <f t="shared" si="24"/>
        <v>0</v>
      </c>
      <c r="U3123" s="33"/>
      <c r="V3123" s="33"/>
      <c r="W3123" s="33"/>
    </row>
    <row r="3124" spans="1:23" ht="16.5" customHeight="1" x14ac:dyDescent="0.2">
      <c r="A3124" s="26"/>
      <c r="B3124" s="26"/>
      <c r="C3124" s="26"/>
      <c r="D3124" s="26"/>
      <c r="E3124" s="26"/>
      <c r="F3124" s="28"/>
      <c r="G3124" s="26"/>
      <c r="H3124" s="32"/>
      <c r="I3124" s="32"/>
      <c r="J3124" s="32"/>
      <c r="K3124" s="32"/>
      <c r="L3124" s="32" t="e">
        <f ca="1">_xludf.ifna(VLOOKUP(E3124,Parámetros!$D$2:$E$34,2,0),"")</f>
        <v>#NAME?</v>
      </c>
      <c r="M3124" s="32" t="e">
        <f ca="1">_xludf.ifna(VLOOKUP(G3124,Proyectos!$A$2:$T$674,20,0),"")</f>
        <v>#NAME?</v>
      </c>
      <c r="N3124" s="32" t="e">
        <f ca="1">_xludf.ifna(VLOOKUP(G3124,Proyectos!$A$2:$S$674,19,0))</f>
        <v>#NAME?</v>
      </c>
      <c r="O3124" s="32"/>
      <c r="P3124" s="32"/>
      <c r="Q3124" s="33"/>
      <c r="R3124" s="33"/>
      <c r="S3124" s="33"/>
      <c r="T3124" s="63">
        <f t="shared" si="24"/>
        <v>0</v>
      </c>
      <c r="U3124" s="33"/>
      <c r="V3124" s="33"/>
      <c r="W3124" s="33"/>
    </row>
    <row r="3125" spans="1:23" ht="16.5" customHeight="1" x14ac:dyDescent="0.2">
      <c r="A3125" s="26"/>
      <c r="B3125" s="26"/>
      <c r="C3125" s="26"/>
      <c r="D3125" s="26"/>
      <c r="E3125" s="26"/>
      <c r="F3125" s="28"/>
      <c r="G3125" s="26"/>
      <c r="H3125" s="32"/>
      <c r="I3125" s="32"/>
      <c r="J3125" s="32"/>
      <c r="K3125" s="32"/>
      <c r="L3125" s="32" t="e">
        <f ca="1">_xludf.ifna(VLOOKUP(E3125,Parámetros!$D$2:$E$34,2,0),"")</f>
        <v>#NAME?</v>
      </c>
      <c r="M3125" s="32" t="e">
        <f ca="1">_xludf.ifna(VLOOKUP(G3125,Proyectos!$A$2:$T$674,20,0),"")</f>
        <v>#NAME?</v>
      </c>
      <c r="N3125" s="32" t="e">
        <f ca="1">_xludf.ifna(VLOOKUP(G3125,Proyectos!$A$2:$S$674,19,0))</f>
        <v>#NAME?</v>
      </c>
      <c r="O3125" s="32"/>
      <c r="P3125" s="32"/>
      <c r="Q3125" s="33"/>
      <c r="R3125" s="33"/>
      <c r="S3125" s="33"/>
      <c r="T3125" s="63">
        <f t="shared" si="24"/>
        <v>0</v>
      </c>
      <c r="U3125" s="33"/>
      <c r="V3125" s="33"/>
      <c r="W3125" s="33"/>
    </row>
    <row r="3126" spans="1:23" ht="16.5" customHeight="1" x14ac:dyDescent="0.2">
      <c r="A3126" s="26"/>
      <c r="B3126" s="26"/>
      <c r="C3126" s="26"/>
      <c r="D3126" s="26"/>
      <c r="E3126" s="26"/>
      <c r="F3126" s="28"/>
      <c r="G3126" s="26"/>
      <c r="H3126" s="32"/>
      <c r="I3126" s="32"/>
      <c r="J3126" s="32"/>
      <c r="K3126" s="32"/>
      <c r="L3126" s="32" t="e">
        <f ca="1">_xludf.ifna(VLOOKUP(E3126,Parámetros!$D$2:$E$34,2,0),"")</f>
        <v>#NAME?</v>
      </c>
      <c r="M3126" s="32" t="e">
        <f ca="1">_xludf.ifna(VLOOKUP(G3126,Proyectos!$A$2:$T$674,20,0),"")</f>
        <v>#NAME?</v>
      </c>
      <c r="N3126" s="32" t="e">
        <f ca="1">_xludf.ifna(VLOOKUP(G3126,Proyectos!$A$2:$S$674,19,0))</f>
        <v>#NAME?</v>
      </c>
      <c r="O3126" s="32"/>
      <c r="P3126" s="32"/>
      <c r="Q3126" s="33"/>
      <c r="R3126" s="33"/>
      <c r="S3126" s="33"/>
      <c r="T3126" s="63">
        <f t="shared" si="24"/>
        <v>0</v>
      </c>
      <c r="U3126" s="33"/>
      <c r="V3126" s="33"/>
      <c r="W3126" s="33"/>
    </row>
    <row r="3127" spans="1:23" ht="16.5" customHeight="1" x14ac:dyDescent="0.2">
      <c r="A3127" s="26"/>
      <c r="B3127" s="26"/>
      <c r="C3127" s="26"/>
      <c r="D3127" s="26"/>
      <c r="E3127" s="26"/>
      <c r="F3127" s="28"/>
      <c r="G3127" s="26"/>
      <c r="H3127" s="32"/>
      <c r="I3127" s="32"/>
      <c r="J3127" s="32"/>
      <c r="K3127" s="32"/>
      <c r="L3127" s="32" t="e">
        <f ca="1">_xludf.ifna(VLOOKUP(E3127,Parámetros!$D$2:$E$34,2,0),"")</f>
        <v>#NAME?</v>
      </c>
      <c r="M3127" s="32" t="e">
        <f ca="1">_xludf.ifna(VLOOKUP(G3127,Proyectos!$A$2:$T$674,20,0),"")</f>
        <v>#NAME?</v>
      </c>
      <c r="N3127" s="32" t="e">
        <f ca="1">_xludf.ifna(VLOOKUP(G3127,Proyectos!$A$2:$S$674,19,0))</f>
        <v>#NAME?</v>
      </c>
      <c r="O3127" s="32"/>
      <c r="P3127" s="32"/>
      <c r="Q3127" s="33"/>
      <c r="R3127" s="33"/>
      <c r="S3127" s="33"/>
      <c r="T3127" s="63">
        <f t="shared" si="24"/>
        <v>0</v>
      </c>
      <c r="U3127" s="33"/>
      <c r="V3127" s="33"/>
      <c r="W3127" s="33"/>
    </row>
    <row r="3128" spans="1:23" ht="16.5" customHeight="1" x14ac:dyDescent="0.2">
      <c r="A3128" s="26"/>
      <c r="B3128" s="26"/>
      <c r="C3128" s="26"/>
      <c r="D3128" s="26"/>
      <c r="E3128" s="26"/>
      <c r="F3128" s="28"/>
      <c r="G3128" s="26"/>
      <c r="H3128" s="32"/>
      <c r="I3128" s="32"/>
      <c r="J3128" s="32"/>
      <c r="K3128" s="32"/>
      <c r="L3128" s="32" t="e">
        <f ca="1">_xludf.ifna(VLOOKUP(E3128,Parámetros!$D$2:$E$34,2,0),"")</f>
        <v>#NAME?</v>
      </c>
      <c r="M3128" s="32" t="e">
        <f ca="1">_xludf.ifna(VLOOKUP(G3128,Proyectos!$A$2:$T$674,20,0),"")</f>
        <v>#NAME?</v>
      </c>
      <c r="N3128" s="32" t="e">
        <f ca="1">_xludf.ifna(VLOOKUP(G3128,Proyectos!$A$2:$S$674,19,0))</f>
        <v>#NAME?</v>
      </c>
      <c r="O3128" s="32"/>
      <c r="P3128" s="32"/>
      <c r="Q3128" s="33"/>
      <c r="R3128" s="33"/>
      <c r="S3128" s="33"/>
      <c r="T3128" s="63">
        <f t="shared" si="24"/>
        <v>0</v>
      </c>
      <c r="U3128" s="33"/>
      <c r="V3128" s="33"/>
      <c r="W3128" s="33"/>
    </row>
    <row r="3129" spans="1:23" ht="16.5" customHeight="1" x14ac:dyDescent="0.2">
      <c r="A3129" s="26"/>
      <c r="B3129" s="26"/>
      <c r="C3129" s="26"/>
      <c r="D3129" s="26"/>
      <c r="E3129" s="26"/>
      <c r="F3129" s="28"/>
      <c r="G3129" s="26"/>
      <c r="H3129" s="32"/>
      <c r="I3129" s="32"/>
      <c r="J3129" s="32"/>
      <c r="K3129" s="32"/>
      <c r="L3129" s="32" t="e">
        <f ca="1">_xludf.ifna(VLOOKUP(E3129,Parámetros!$D$2:$E$34,2,0),"")</f>
        <v>#NAME?</v>
      </c>
      <c r="M3129" s="32" t="e">
        <f ca="1">_xludf.ifna(VLOOKUP(G3129,Proyectos!$A$2:$T$674,20,0),"")</f>
        <v>#NAME?</v>
      </c>
      <c r="N3129" s="32" t="e">
        <f ca="1">_xludf.ifna(VLOOKUP(G3129,Proyectos!$A$2:$S$674,19,0))</f>
        <v>#NAME?</v>
      </c>
      <c r="O3129" s="32"/>
      <c r="P3129" s="32"/>
      <c r="Q3129" s="33"/>
      <c r="R3129" s="33"/>
      <c r="S3129" s="33"/>
      <c r="T3129" s="63">
        <f t="shared" si="24"/>
        <v>0</v>
      </c>
      <c r="U3129" s="33"/>
      <c r="V3129" s="33"/>
      <c r="W3129" s="33"/>
    </row>
    <row r="3130" spans="1:23" ht="16.5" customHeight="1" x14ac:dyDescent="0.2">
      <c r="A3130" s="26"/>
      <c r="B3130" s="26"/>
      <c r="C3130" s="26"/>
      <c r="D3130" s="26"/>
      <c r="E3130" s="26"/>
      <c r="F3130" s="28"/>
      <c r="G3130" s="26"/>
      <c r="H3130" s="32"/>
      <c r="I3130" s="32"/>
      <c r="J3130" s="32"/>
      <c r="K3130" s="32"/>
      <c r="L3130" s="32" t="e">
        <f ca="1">_xludf.ifna(VLOOKUP(E3130,Parámetros!$D$2:$E$34,2,0),"")</f>
        <v>#NAME?</v>
      </c>
      <c r="M3130" s="32" t="e">
        <f ca="1">_xludf.ifna(VLOOKUP(G3130,Proyectos!$A$2:$T$674,20,0),"")</f>
        <v>#NAME?</v>
      </c>
      <c r="N3130" s="32" t="e">
        <f ca="1">_xludf.ifna(VLOOKUP(G3130,Proyectos!$A$2:$S$674,19,0))</f>
        <v>#NAME?</v>
      </c>
      <c r="O3130" s="32"/>
      <c r="P3130" s="32"/>
      <c r="Q3130" s="33"/>
      <c r="R3130" s="33"/>
      <c r="S3130" s="33"/>
      <c r="T3130" s="63">
        <f t="shared" si="24"/>
        <v>0</v>
      </c>
      <c r="U3130" s="33"/>
      <c r="V3130" s="33"/>
      <c r="W3130" s="33"/>
    </row>
    <row r="3131" spans="1:23" ht="16.5" customHeight="1" x14ac:dyDescent="0.2">
      <c r="A3131" s="26"/>
      <c r="B3131" s="26"/>
      <c r="C3131" s="26"/>
      <c r="D3131" s="26"/>
      <c r="E3131" s="26"/>
      <c r="F3131" s="28"/>
      <c r="G3131" s="26"/>
      <c r="H3131" s="32"/>
      <c r="I3131" s="32"/>
      <c r="J3131" s="32"/>
      <c r="K3131" s="32"/>
      <c r="L3131" s="32" t="e">
        <f ca="1">_xludf.ifna(VLOOKUP(E3131,Parámetros!$D$2:$E$34,2,0),"")</f>
        <v>#NAME?</v>
      </c>
      <c r="M3131" s="32" t="e">
        <f ca="1">_xludf.ifna(VLOOKUP(G3131,Proyectos!$A$2:$T$674,20,0),"")</f>
        <v>#NAME?</v>
      </c>
      <c r="N3131" s="32" t="e">
        <f ca="1">_xludf.ifna(VLOOKUP(G3131,Proyectos!$A$2:$S$674,19,0))</f>
        <v>#NAME?</v>
      </c>
      <c r="O3131" s="32"/>
      <c r="P3131" s="32"/>
      <c r="Q3131" s="33"/>
      <c r="R3131" s="33"/>
      <c r="S3131" s="33"/>
      <c r="T3131" s="63">
        <f t="shared" si="24"/>
        <v>0</v>
      </c>
      <c r="U3131" s="33"/>
      <c r="V3131" s="33"/>
      <c r="W3131" s="33"/>
    </row>
    <row r="3132" spans="1:23" ht="16.5" customHeight="1" x14ac:dyDescent="0.2">
      <c r="A3132" s="26"/>
      <c r="B3132" s="26"/>
      <c r="C3132" s="26"/>
      <c r="D3132" s="26"/>
      <c r="E3132" s="26"/>
      <c r="F3132" s="28"/>
      <c r="G3132" s="26"/>
      <c r="H3132" s="32"/>
      <c r="I3132" s="32"/>
      <c r="J3132" s="32"/>
      <c r="K3132" s="32"/>
      <c r="L3132" s="32" t="e">
        <f ca="1">_xludf.ifna(VLOOKUP(E3132,Parámetros!$D$2:$E$34,2,0),"")</f>
        <v>#NAME?</v>
      </c>
      <c r="M3132" s="32" t="e">
        <f ca="1">_xludf.ifna(VLOOKUP(G3132,Proyectos!$A$2:$T$674,20,0),"")</f>
        <v>#NAME?</v>
      </c>
      <c r="N3132" s="32" t="e">
        <f ca="1">_xludf.ifna(VLOOKUP(G3132,Proyectos!$A$2:$S$674,19,0))</f>
        <v>#NAME?</v>
      </c>
      <c r="O3132" s="32"/>
      <c r="P3132" s="32"/>
      <c r="Q3132" s="33"/>
      <c r="R3132" s="33"/>
      <c r="S3132" s="33"/>
      <c r="T3132" s="63">
        <f t="shared" si="24"/>
        <v>0</v>
      </c>
      <c r="U3132" s="33"/>
      <c r="V3132" s="33"/>
      <c r="W3132" s="33"/>
    </row>
    <row r="3133" spans="1:23" ht="16.5" customHeight="1" x14ac:dyDescent="0.2">
      <c r="A3133" s="26"/>
      <c r="B3133" s="26"/>
      <c r="C3133" s="26"/>
      <c r="D3133" s="26"/>
      <c r="E3133" s="26"/>
      <c r="F3133" s="28"/>
      <c r="G3133" s="26"/>
      <c r="H3133" s="32"/>
      <c r="I3133" s="32"/>
      <c r="J3133" s="32"/>
      <c r="K3133" s="32"/>
      <c r="L3133" s="32" t="e">
        <f ca="1">_xludf.ifna(VLOOKUP(E3133,Parámetros!$D$2:$E$34,2,0),"")</f>
        <v>#NAME?</v>
      </c>
      <c r="M3133" s="32" t="e">
        <f ca="1">_xludf.ifna(VLOOKUP(G3133,Proyectos!$A$2:$T$674,20,0),"")</f>
        <v>#NAME?</v>
      </c>
      <c r="N3133" s="32" t="e">
        <f ca="1">_xludf.ifna(VLOOKUP(G3133,Proyectos!$A$2:$S$674,19,0))</f>
        <v>#NAME?</v>
      </c>
      <c r="O3133" s="32"/>
      <c r="P3133" s="32"/>
      <c r="Q3133" s="33"/>
      <c r="R3133" s="33"/>
      <c r="S3133" s="33"/>
      <c r="T3133" s="63">
        <f t="shared" si="24"/>
        <v>0</v>
      </c>
      <c r="U3133" s="33"/>
      <c r="V3133" s="33"/>
      <c r="W3133" s="33"/>
    </row>
    <row r="3134" spans="1:23" ht="16.5" customHeight="1" x14ac:dyDescent="0.2">
      <c r="A3134" s="26"/>
      <c r="B3134" s="26"/>
      <c r="C3134" s="26"/>
      <c r="D3134" s="26"/>
      <c r="E3134" s="26"/>
      <c r="F3134" s="28"/>
      <c r="G3134" s="26"/>
      <c r="H3134" s="32"/>
      <c r="I3134" s="32"/>
      <c r="J3134" s="32"/>
      <c r="K3134" s="32"/>
      <c r="L3134" s="32" t="e">
        <f ca="1">_xludf.ifna(VLOOKUP(E3134,Parámetros!$D$2:$E$34,2,0),"")</f>
        <v>#NAME?</v>
      </c>
      <c r="M3134" s="32" t="e">
        <f ca="1">_xludf.ifna(VLOOKUP(G3134,Proyectos!$A$2:$T$674,20,0),"")</f>
        <v>#NAME?</v>
      </c>
      <c r="N3134" s="32" t="e">
        <f ca="1">_xludf.ifna(VLOOKUP(G3134,Proyectos!$A$2:$S$674,19,0))</f>
        <v>#NAME?</v>
      </c>
      <c r="O3134" s="32"/>
      <c r="P3134" s="32"/>
      <c r="Q3134" s="33"/>
      <c r="R3134" s="33"/>
      <c r="S3134" s="33"/>
      <c r="T3134" s="63">
        <f t="shared" si="24"/>
        <v>0</v>
      </c>
      <c r="U3134" s="33"/>
      <c r="V3134" s="33"/>
      <c r="W3134" s="33"/>
    </row>
    <row r="3135" spans="1:23" ht="16.5" customHeight="1" x14ac:dyDescent="0.2">
      <c r="A3135" s="26"/>
      <c r="B3135" s="26"/>
      <c r="C3135" s="26"/>
      <c r="D3135" s="26"/>
      <c r="E3135" s="26"/>
      <c r="F3135" s="28"/>
      <c r="G3135" s="26"/>
      <c r="H3135" s="32"/>
      <c r="I3135" s="32"/>
      <c r="J3135" s="32"/>
      <c r="K3135" s="32"/>
      <c r="L3135" s="32" t="e">
        <f ca="1">_xludf.ifna(VLOOKUP(E3135,Parámetros!$D$2:$E$34,2,0),"")</f>
        <v>#NAME?</v>
      </c>
      <c r="M3135" s="32" t="e">
        <f ca="1">_xludf.ifna(VLOOKUP(G3135,Proyectos!$A$2:$T$674,20,0),"")</f>
        <v>#NAME?</v>
      </c>
      <c r="N3135" s="32" t="e">
        <f ca="1">_xludf.ifna(VLOOKUP(G3135,Proyectos!$A$2:$S$674,19,0))</f>
        <v>#NAME?</v>
      </c>
      <c r="O3135" s="32"/>
      <c r="P3135" s="32"/>
      <c r="Q3135" s="33"/>
      <c r="R3135" s="33"/>
      <c r="S3135" s="33"/>
      <c r="T3135" s="63">
        <f t="shared" si="24"/>
        <v>0</v>
      </c>
      <c r="U3135" s="33"/>
      <c r="V3135" s="33"/>
      <c r="W3135" s="33"/>
    </row>
    <row r="3136" spans="1:23" ht="16.5" customHeight="1" x14ac:dyDescent="0.2">
      <c r="A3136" s="26"/>
      <c r="B3136" s="26"/>
      <c r="C3136" s="26"/>
      <c r="D3136" s="26"/>
      <c r="E3136" s="26"/>
      <c r="F3136" s="28"/>
      <c r="G3136" s="26"/>
      <c r="H3136" s="32"/>
      <c r="I3136" s="32"/>
      <c r="J3136" s="32"/>
      <c r="K3136" s="32"/>
      <c r="L3136" s="32" t="e">
        <f ca="1">_xludf.ifna(VLOOKUP(E3136,Parámetros!$D$2:$E$34,2,0),"")</f>
        <v>#NAME?</v>
      </c>
      <c r="M3136" s="32" t="e">
        <f ca="1">_xludf.ifna(VLOOKUP(G3136,Proyectos!$A$2:$T$674,20,0),"")</f>
        <v>#NAME?</v>
      </c>
      <c r="N3136" s="32" t="e">
        <f ca="1">_xludf.ifna(VLOOKUP(G3136,Proyectos!$A$2:$S$674,19,0))</f>
        <v>#NAME?</v>
      </c>
      <c r="O3136" s="32"/>
      <c r="P3136" s="32"/>
      <c r="Q3136" s="33"/>
      <c r="R3136" s="33"/>
      <c r="S3136" s="33"/>
      <c r="T3136" s="63">
        <f t="shared" si="24"/>
        <v>0</v>
      </c>
      <c r="U3136" s="33"/>
      <c r="V3136" s="33"/>
      <c r="W3136" s="33"/>
    </row>
    <row r="3137" spans="1:23" ht="16.5" customHeight="1" x14ac:dyDescent="0.2">
      <c r="A3137" s="26"/>
      <c r="B3137" s="26"/>
      <c r="C3137" s="26"/>
      <c r="D3137" s="26"/>
      <c r="E3137" s="26"/>
      <c r="F3137" s="28"/>
      <c r="G3137" s="26"/>
      <c r="H3137" s="32"/>
      <c r="I3137" s="32"/>
      <c r="J3137" s="32"/>
      <c r="K3137" s="32"/>
      <c r="L3137" s="32" t="e">
        <f ca="1">_xludf.ifna(VLOOKUP(E3137,Parámetros!$D$2:$E$34,2,0),"")</f>
        <v>#NAME?</v>
      </c>
      <c r="M3137" s="32" t="e">
        <f ca="1">_xludf.ifna(VLOOKUP(G3137,Proyectos!$A$2:$T$674,20,0),"")</f>
        <v>#NAME?</v>
      </c>
      <c r="N3137" s="32" t="e">
        <f ca="1">_xludf.ifna(VLOOKUP(G3137,Proyectos!$A$2:$S$674,19,0))</f>
        <v>#NAME?</v>
      </c>
      <c r="O3137" s="32"/>
      <c r="P3137" s="32"/>
      <c r="Q3137" s="33"/>
      <c r="R3137" s="33"/>
      <c r="S3137" s="33"/>
      <c r="T3137" s="63">
        <f t="shared" si="24"/>
        <v>0</v>
      </c>
      <c r="U3137" s="33"/>
      <c r="V3137" s="33"/>
      <c r="W3137" s="33"/>
    </row>
    <row r="3138" spans="1:23" ht="16.5" customHeight="1" x14ac:dyDescent="0.2">
      <c r="A3138" s="26"/>
      <c r="B3138" s="26"/>
      <c r="C3138" s="26"/>
      <c r="D3138" s="26"/>
      <c r="E3138" s="26"/>
      <c r="F3138" s="28"/>
      <c r="G3138" s="26"/>
      <c r="H3138" s="32"/>
      <c r="I3138" s="32"/>
      <c r="J3138" s="32"/>
      <c r="K3138" s="32"/>
      <c r="L3138" s="32" t="e">
        <f ca="1">_xludf.ifna(VLOOKUP(E3138,Parámetros!$D$2:$E$34,2,0),"")</f>
        <v>#NAME?</v>
      </c>
      <c r="M3138" s="32" t="e">
        <f ca="1">_xludf.ifna(VLOOKUP(G3138,Proyectos!$A$2:$T$674,20,0),"")</f>
        <v>#NAME?</v>
      </c>
      <c r="N3138" s="32" t="e">
        <f ca="1">_xludf.ifna(VLOOKUP(G3138,Proyectos!$A$2:$S$674,19,0))</f>
        <v>#NAME?</v>
      </c>
      <c r="O3138" s="32"/>
      <c r="P3138" s="32"/>
      <c r="Q3138" s="33"/>
      <c r="R3138" s="33"/>
      <c r="S3138" s="33"/>
      <c r="T3138" s="63">
        <f t="shared" si="24"/>
        <v>0</v>
      </c>
      <c r="U3138" s="33"/>
      <c r="V3138" s="33"/>
      <c r="W3138" s="33"/>
    </row>
    <row r="3139" spans="1:23" ht="16.5" customHeight="1" x14ac:dyDescent="0.2">
      <c r="A3139" s="26"/>
      <c r="B3139" s="26"/>
      <c r="C3139" s="26"/>
      <c r="D3139" s="26"/>
      <c r="E3139" s="26"/>
      <c r="F3139" s="28"/>
      <c r="G3139" s="26"/>
      <c r="H3139" s="32"/>
      <c r="I3139" s="32"/>
      <c r="J3139" s="32"/>
      <c r="K3139" s="32"/>
      <c r="L3139" s="32" t="e">
        <f ca="1">_xludf.ifna(VLOOKUP(E3139,Parámetros!$D$2:$E$34,2,0),"")</f>
        <v>#NAME?</v>
      </c>
      <c r="M3139" s="32" t="e">
        <f ca="1">_xludf.ifna(VLOOKUP(G3139,Proyectos!$A$2:$T$674,20,0),"")</f>
        <v>#NAME?</v>
      </c>
      <c r="N3139" s="32" t="e">
        <f ca="1">_xludf.ifna(VLOOKUP(G3139,Proyectos!$A$2:$S$674,19,0))</f>
        <v>#NAME?</v>
      </c>
      <c r="O3139" s="32"/>
      <c r="P3139" s="32"/>
      <c r="Q3139" s="33"/>
      <c r="R3139" s="33"/>
      <c r="S3139" s="33"/>
      <c r="T3139" s="63">
        <f t="shared" si="24"/>
        <v>0</v>
      </c>
      <c r="U3139" s="33"/>
      <c r="V3139" s="33"/>
      <c r="W3139" s="33"/>
    </row>
    <row r="3140" spans="1:23" ht="16.5" customHeight="1" x14ac:dyDescent="0.2">
      <c r="A3140" s="26"/>
      <c r="B3140" s="26"/>
      <c r="C3140" s="26"/>
      <c r="D3140" s="26"/>
      <c r="E3140" s="26"/>
      <c r="F3140" s="28"/>
      <c r="G3140" s="26"/>
      <c r="H3140" s="32"/>
      <c r="I3140" s="32"/>
      <c r="J3140" s="32"/>
      <c r="K3140" s="32"/>
      <c r="L3140" s="32" t="e">
        <f ca="1">_xludf.ifna(VLOOKUP(E3140,Parámetros!$D$2:$E$34,2,0),"")</f>
        <v>#NAME?</v>
      </c>
      <c r="M3140" s="32" t="e">
        <f ca="1">_xludf.ifna(VLOOKUP(G3140,Proyectos!$A$2:$T$674,20,0),"")</f>
        <v>#NAME?</v>
      </c>
      <c r="N3140" s="32" t="e">
        <f ca="1">_xludf.ifna(VLOOKUP(G3140,Proyectos!$A$2:$S$674,19,0))</f>
        <v>#NAME?</v>
      </c>
      <c r="O3140" s="32"/>
      <c r="P3140" s="32"/>
      <c r="Q3140" s="33"/>
      <c r="R3140" s="33"/>
      <c r="S3140" s="33"/>
      <c r="T3140" s="63">
        <f t="shared" si="24"/>
        <v>0</v>
      </c>
      <c r="U3140" s="33"/>
      <c r="V3140" s="33"/>
      <c r="W3140" s="33"/>
    </row>
    <row r="3141" spans="1:23" ht="16.5" customHeight="1" x14ac:dyDescent="0.2">
      <c r="A3141" s="26"/>
      <c r="B3141" s="26"/>
      <c r="C3141" s="26"/>
      <c r="D3141" s="26"/>
      <c r="E3141" s="26"/>
      <c r="F3141" s="28"/>
      <c r="G3141" s="26"/>
      <c r="H3141" s="32"/>
      <c r="I3141" s="32"/>
      <c r="J3141" s="32"/>
      <c r="K3141" s="32"/>
      <c r="L3141" s="32" t="e">
        <f ca="1">_xludf.ifna(VLOOKUP(E3141,Parámetros!$D$2:$E$34,2,0),"")</f>
        <v>#NAME?</v>
      </c>
      <c r="M3141" s="32" t="e">
        <f ca="1">_xludf.ifna(VLOOKUP(G3141,Proyectos!$A$2:$T$674,20,0),"")</f>
        <v>#NAME?</v>
      </c>
      <c r="N3141" s="32" t="e">
        <f ca="1">_xludf.ifna(VLOOKUP(G3141,Proyectos!$A$2:$S$674,19,0))</f>
        <v>#NAME?</v>
      </c>
      <c r="O3141" s="32"/>
      <c r="P3141" s="32"/>
      <c r="Q3141" s="33"/>
      <c r="R3141" s="33"/>
      <c r="S3141" s="33"/>
      <c r="T3141" s="63">
        <f t="shared" si="24"/>
        <v>0</v>
      </c>
      <c r="U3141" s="33"/>
      <c r="V3141" s="33"/>
      <c r="W3141" s="33"/>
    </row>
    <row r="3142" spans="1:23" ht="16.5" customHeight="1" x14ac:dyDescent="0.2">
      <c r="A3142" s="26"/>
      <c r="B3142" s="26"/>
      <c r="C3142" s="26"/>
      <c r="D3142" s="26"/>
      <c r="E3142" s="26"/>
      <c r="F3142" s="28"/>
      <c r="G3142" s="26"/>
      <c r="H3142" s="32"/>
      <c r="I3142" s="32"/>
      <c r="J3142" s="32"/>
      <c r="K3142" s="32"/>
      <c r="L3142" s="32" t="e">
        <f ca="1">_xludf.ifna(VLOOKUP(E3142,Parámetros!$D$2:$E$34,2,0),"")</f>
        <v>#NAME?</v>
      </c>
      <c r="M3142" s="32" t="e">
        <f ca="1">_xludf.ifna(VLOOKUP(G3142,Proyectos!$A$2:$T$674,20,0),"")</f>
        <v>#NAME?</v>
      </c>
      <c r="N3142" s="32" t="e">
        <f ca="1">_xludf.ifna(VLOOKUP(G3142,Proyectos!$A$2:$S$674,19,0))</f>
        <v>#NAME?</v>
      </c>
      <c r="O3142" s="32"/>
      <c r="P3142" s="32"/>
      <c r="Q3142" s="33"/>
      <c r="R3142" s="33"/>
      <c r="S3142" s="33"/>
      <c r="T3142" s="63">
        <f t="shared" si="24"/>
        <v>0</v>
      </c>
      <c r="U3142" s="33"/>
      <c r="V3142" s="33"/>
      <c r="W3142" s="33"/>
    </row>
    <row r="3143" spans="1:23" ht="16.5" customHeight="1" x14ac:dyDescent="0.2">
      <c r="A3143" s="26"/>
      <c r="B3143" s="26"/>
      <c r="C3143" s="26"/>
      <c r="D3143" s="26"/>
      <c r="E3143" s="26"/>
      <c r="F3143" s="28"/>
      <c r="G3143" s="26"/>
      <c r="H3143" s="32"/>
      <c r="I3143" s="32"/>
      <c r="J3143" s="32"/>
      <c r="K3143" s="32"/>
      <c r="L3143" s="32" t="e">
        <f ca="1">_xludf.ifna(VLOOKUP(E3143,Parámetros!$D$2:$E$34,2,0),"")</f>
        <v>#NAME?</v>
      </c>
      <c r="M3143" s="32" t="e">
        <f ca="1">_xludf.ifna(VLOOKUP(G3143,Proyectos!$A$2:$T$674,20,0),"")</f>
        <v>#NAME?</v>
      </c>
      <c r="N3143" s="32" t="e">
        <f ca="1">_xludf.ifna(VLOOKUP(G3143,Proyectos!$A$2:$S$674,19,0))</f>
        <v>#NAME?</v>
      </c>
      <c r="O3143" s="32"/>
      <c r="P3143" s="32"/>
      <c r="Q3143" s="33"/>
      <c r="R3143" s="33"/>
      <c r="S3143" s="33"/>
      <c r="T3143" s="63">
        <f t="shared" si="24"/>
        <v>0</v>
      </c>
      <c r="U3143" s="33"/>
      <c r="V3143" s="33"/>
      <c r="W3143" s="33"/>
    </row>
    <row r="3144" spans="1:23" ht="16.5" customHeight="1" x14ac:dyDescent="0.2">
      <c r="A3144" s="26"/>
      <c r="B3144" s="26"/>
      <c r="C3144" s="26"/>
      <c r="D3144" s="26"/>
      <c r="E3144" s="26"/>
      <c r="F3144" s="28"/>
      <c r="G3144" s="26"/>
      <c r="H3144" s="32"/>
      <c r="I3144" s="32"/>
      <c r="J3144" s="32"/>
      <c r="K3144" s="32"/>
      <c r="L3144" s="32" t="e">
        <f ca="1">_xludf.ifna(VLOOKUP(E3144,Parámetros!$D$2:$E$34,2,0),"")</f>
        <v>#NAME?</v>
      </c>
      <c r="M3144" s="32" t="e">
        <f ca="1">_xludf.ifna(VLOOKUP(G3144,Proyectos!$A$2:$T$674,20,0),"")</f>
        <v>#NAME?</v>
      </c>
      <c r="N3144" s="32" t="e">
        <f ca="1">_xludf.ifna(VLOOKUP(G3144,Proyectos!$A$2:$S$674,19,0))</f>
        <v>#NAME?</v>
      </c>
      <c r="O3144" s="32"/>
      <c r="P3144" s="32"/>
      <c r="Q3144" s="33"/>
      <c r="R3144" s="33"/>
      <c r="S3144" s="33"/>
      <c r="T3144" s="63">
        <f t="shared" si="24"/>
        <v>0</v>
      </c>
      <c r="U3144" s="33"/>
      <c r="V3144" s="33"/>
      <c r="W3144" s="33"/>
    </row>
    <row r="3145" spans="1:23" ht="16.5" customHeight="1" x14ac:dyDescent="0.2">
      <c r="A3145" s="26"/>
      <c r="B3145" s="26"/>
      <c r="C3145" s="26"/>
      <c r="D3145" s="26"/>
      <c r="E3145" s="26"/>
      <c r="F3145" s="28"/>
      <c r="G3145" s="26"/>
      <c r="H3145" s="32"/>
      <c r="I3145" s="32"/>
      <c r="J3145" s="32"/>
      <c r="K3145" s="32"/>
      <c r="L3145" s="32" t="e">
        <f ca="1">_xludf.ifna(VLOOKUP(E3145,Parámetros!$D$2:$E$34,2,0),"")</f>
        <v>#NAME?</v>
      </c>
      <c r="M3145" s="32" t="e">
        <f ca="1">_xludf.ifna(VLOOKUP(G3145,Proyectos!$A$2:$T$674,20,0),"")</f>
        <v>#NAME?</v>
      </c>
      <c r="N3145" s="32" t="e">
        <f ca="1">_xludf.ifna(VLOOKUP(G3145,Proyectos!$A$2:$S$674,19,0))</f>
        <v>#NAME?</v>
      </c>
      <c r="O3145" s="32"/>
      <c r="P3145" s="32"/>
      <c r="Q3145" s="33"/>
      <c r="R3145" s="33"/>
      <c r="S3145" s="33"/>
      <c r="T3145" s="63">
        <f t="shared" si="24"/>
        <v>0</v>
      </c>
      <c r="U3145" s="33"/>
      <c r="V3145" s="33"/>
      <c r="W3145" s="33"/>
    </row>
    <row r="3146" spans="1:23" ht="16.5" customHeight="1" x14ac:dyDescent="0.2">
      <c r="A3146" s="26"/>
      <c r="B3146" s="26"/>
      <c r="C3146" s="26"/>
      <c r="D3146" s="26"/>
      <c r="E3146" s="26"/>
      <c r="F3146" s="28"/>
      <c r="G3146" s="26"/>
      <c r="H3146" s="32"/>
      <c r="I3146" s="32"/>
      <c r="J3146" s="32"/>
      <c r="K3146" s="32"/>
      <c r="L3146" s="32" t="e">
        <f ca="1">_xludf.ifna(VLOOKUP(E3146,Parámetros!$D$2:$E$34,2,0),"")</f>
        <v>#NAME?</v>
      </c>
      <c r="M3146" s="32" t="e">
        <f ca="1">_xludf.ifna(VLOOKUP(G3146,Proyectos!$A$2:$T$674,20,0),"")</f>
        <v>#NAME?</v>
      </c>
      <c r="N3146" s="32" t="e">
        <f ca="1">_xludf.ifna(VLOOKUP(G3146,Proyectos!$A$2:$S$674,19,0))</f>
        <v>#NAME?</v>
      </c>
      <c r="O3146" s="32"/>
      <c r="P3146" s="32"/>
      <c r="Q3146" s="33"/>
      <c r="R3146" s="33"/>
      <c r="S3146" s="33"/>
      <c r="T3146" s="63" t="e">
        <f>IF(E3146=#REF!,0,1)</f>
        <v>#REF!</v>
      </c>
      <c r="U3146" s="33"/>
      <c r="V3146" s="33"/>
      <c r="W3146" s="33"/>
    </row>
    <row r="3147" spans="1:23" ht="16.5" customHeight="1" x14ac:dyDescent="0.2">
      <c r="A3147" s="26"/>
      <c r="B3147" s="26"/>
      <c r="C3147" s="26"/>
      <c r="D3147" s="26"/>
      <c r="E3147" s="26"/>
      <c r="F3147" s="28"/>
      <c r="G3147" s="26"/>
      <c r="H3147" s="32"/>
      <c r="I3147" s="32"/>
      <c r="J3147" s="32"/>
      <c r="K3147" s="32"/>
      <c r="L3147" s="32" t="e">
        <f ca="1">_xludf.ifna(VLOOKUP(E3147,Parámetros!$D$2:$E$34,2,0),"")</f>
        <v>#NAME?</v>
      </c>
      <c r="M3147" s="32" t="e">
        <f ca="1">_xludf.ifna(VLOOKUP(G3147,Proyectos!$A$2:$T$674,20,0),"")</f>
        <v>#NAME?</v>
      </c>
      <c r="N3147" s="32" t="e">
        <f ca="1">_xludf.ifna(VLOOKUP(G3147,Proyectos!$A$2:$S$674,19,0))</f>
        <v>#NAME?</v>
      </c>
      <c r="O3147" s="32"/>
      <c r="P3147" s="32"/>
      <c r="Q3147" s="33"/>
      <c r="R3147" s="33"/>
      <c r="S3147" s="33"/>
      <c r="T3147" s="63">
        <f t="shared" ref="T3147:T3289" si="25">IF(E3147=E3146,0,1)</f>
        <v>0</v>
      </c>
      <c r="U3147" s="33"/>
      <c r="V3147" s="33"/>
      <c r="W3147" s="33"/>
    </row>
    <row r="3148" spans="1:23" ht="16.5" customHeight="1" x14ac:dyDescent="0.2">
      <c r="A3148" s="26"/>
      <c r="B3148" s="26"/>
      <c r="C3148" s="26"/>
      <c r="D3148" s="26"/>
      <c r="E3148" s="26"/>
      <c r="F3148" s="28"/>
      <c r="G3148" s="26"/>
      <c r="H3148" s="32"/>
      <c r="I3148" s="32"/>
      <c r="J3148" s="32"/>
      <c r="K3148" s="32"/>
      <c r="L3148" s="32" t="e">
        <f ca="1">_xludf.ifna(VLOOKUP(E3148,Parámetros!$D$2:$E$34,2,0),"")</f>
        <v>#NAME?</v>
      </c>
      <c r="M3148" s="32" t="e">
        <f ca="1">_xludf.ifna(VLOOKUP(G3148,Proyectos!$A$2:$T$674,20,0),"")</f>
        <v>#NAME?</v>
      </c>
      <c r="N3148" s="32" t="e">
        <f ca="1">_xludf.ifna(VLOOKUP(G3148,Proyectos!$A$2:$S$674,19,0))</f>
        <v>#NAME?</v>
      </c>
      <c r="O3148" s="32"/>
      <c r="P3148" s="32"/>
      <c r="Q3148" s="33"/>
      <c r="R3148" s="33"/>
      <c r="S3148" s="33"/>
      <c r="T3148" s="63">
        <f t="shared" si="25"/>
        <v>0</v>
      </c>
      <c r="U3148" s="33"/>
      <c r="V3148" s="33"/>
      <c r="W3148" s="33"/>
    </row>
    <row r="3149" spans="1:23" ht="16.5" customHeight="1" x14ac:dyDescent="0.2">
      <c r="A3149" s="26"/>
      <c r="B3149" s="26"/>
      <c r="C3149" s="26"/>
      <c r="D3149" s="26"/>
      <c r="E3149" s="26"/>
      <c r="F3149" s="28"/>
      <c r="G3149" s="26"/>
      <c r="H3149" s="32"/>
      <c r="I3149" s="32"/>
      <c r="J3149" s="32"/>
      <c r="K3149" s="32"/>
      <c r="L3149" s="32" t="e">
        <f ca="1">_xludf.ifna(VLOOKUP(E3149,Parámetros!$D$2:$E$34,2,0),"")</f>
        <v>#NAME?</v>
      </c>
      <c r="M3149" s="32" t="e">
        <f ca="1">_xludf.ifna(VLOOKUP(G3149,Proyectos!$A$2:$T$674,20,0),"")</f>
        <v>#NAME?</v>
      </c>
      <c r="N3149" s="32" t="e">
        <f ca="1">_xludf.ifna(VLOOKUP(G3149,Proyectos!$A$2:$S$674,19,0))</f>
        <v>#NAME?</v>
      </c>
      <c r="O3149" s="32"/>
      <c r="P3149" s="32"/>
      <c r="Q3149" s="33"/>
      <c r="R3149" s="33"/>
      <c r="S3149" s="33"/>
      <c r="T3149" s="63">
        <f t="shared" si="25"/>
        <v>0</v>
      </c>
      <c r="U3149" s="33"/>
      <c r="V3149" s="33"/>
      <c r="W3149" s="33"/>
    </row>
    <row r="3150" spans="1:23" ht="16.5" customHeight="1" x14ac:dyDescent="0.2">
      <c r="A3150" s="26"/>
      <c r="B3150" s="26"/>
      <c r="C3150" s="26"/>
      <c r="D3150" s="26"/>
      <c r="E3150" s="26"/>
      <c r="F3150" s="28"/>
      <c r="G3150" s="26"/>
      <c r="H3150" s="32"/>
      <c r="I3150" s="32"/>
      <c r="J3150" s="32"/>
      <c r="K3150" s="32"/>
      <c r="L3150" s="32" t="e">
        <f ca="1">_xludf.ifna(VLOOKUP(E3150,Parámetros!$D$2:$E$34,2,0),"")</f>
        <v>#NAME?</v>
      </c>
      <c r="M3150" s="32" t="e">
        <f ca="1">_xludf.ifna(VLOOKUP(G3150,Proyectos!$A$2:$T$674,20,0),"")</f>
        <v>#NAME?</v>
      </c>
      <c r="N3150" s="32" t="e">
        <f ca="1">_xludf.ifna(VLOOKUP(G3150,Proyectos!$A$2:$S$674,19,0))</f>
        <v>#NAME?</v>
      </c>
      <c r="O3150" s="32"/>
      <c r="P3150" s="32"/>
      <c r="Q3150" s="33"/>
      <c r="R3150" s="33"/>
      <c r="S3150" s="33"/>
      <c r="T3150" s="63">
        <f t="shared" si="25"/>
        <v>0</v>
      </c>
      <c r="U3150" s="33"/>
      <c r="V3150" s="33"/>
      <c r="W3150" s="33"/>
    </row>
    <row r="3151" spans="1:23" ht="16.5" customHeight="1" x14ac:dyDescent="0.2">
      <c r="A3151" s="26"/>
      <c r="B3151" s="26"/>
      <c r="C3151" s="26"/>
      <c r="D3151" s="26"/>
      <c r="E3151" s="26"/>
      <c r="F3151" s="28"/>
      <c r="G3151" s="26"/>
      <c r="H3151" s="32"/>
      <c r="I3151" s="32"/>
      <c r="J3151" s="32"/>
      <c r="K3151" s="32"/>
      <c r="L3151" s="32" t="e">
        <f ca="1">_xludf.ifna(VLOOKUP(E3151,Parámetros!$D$2:$E$34,2,0),"")</f>
        <v>#NAME?</v>
      </c>
      <c r="M3151" s="32" t="e">
        <f ca="1">_xludf.ifna(VLOOKUP(G3151,Proyectos!$A$2:$T$674,20,0),"")</f>
        <v>#NAME?</v>
      </c>
      <c r="N3151" s="32" t="e">
        <f ca="1">_xludf.ifna(VLOOKUP(G3151,Proyectos!$A$2:$S$674,19,0))</f>
        <v>#NAME?</v>
      </c>
      <c r="O3151" s="32"/>
      <c r="P3151" s="32"/>
      <c r="Q3151" s="33"/>
      <c r="R3151" s="33"/>
      <c r="S3151" s="33"/>
      <c r="T3151" s="63">
        <f t="shared" si="25"/>
        <v>0</v>
      </c>
      <c r="U3151" s="33"/>
      <c r="V3151" s="33"/>
      <c r="W3151" s="33"/>
    </row>
    <row r="3152" spans="1:23" ht="16.5" customHeight="1" x14ac:dyDescent="0.2">
      <c r="A3152" s="26"/>
      <c r="B3152" s="26"/>
      <c r="C3152" s="26"/>
      <c r="D3152" s="26"/>
      <c r="E3152" s="26"/>
      <c r="F3152" s="28"/>
      <c r="G3152" s="26"/>
      <c r="H3152" s="32"/>
      <c r="I3152" s="32"/>
      <c r="J3152" s="32"/>
      <c r="K3152" s="32"/>
      <c r="L3152" s="32" t="e">
        <f ca="1">_xludf.ifna(VLOOKUP(E3152,Parámetros!$D$2:$E$34,2,0),"")</f>
        <v>#NAME?</v>
      </c>
      <c r="M3152" s="32" t="e">
        <f ca="1">_xludf.ifna(VLOOKUP(G3152,Proyectos!$A$2:$T$674,20,0),"")</f>
        <v>#NAME?</v>
      </c>
      <c r="N3152" s="32" t="e">
        <f ca="1">_xludf.ifna(VLOOKUP(G3152,Proyectos!$A$2:$S$674,19,0))</f>
        <v>#NAME?</v>
      </c>
      <c r="O3152" s="32"/>
      <c r="P3152" s="32"/>
      <c r="Q3152" s="33"/>
      <c r="R3152" s="33"/>
      <c r="S3152" s="33"/>
      <c r="T3152" s="63">
        <f t="shared" si="25"/>
        <v>0</v>
      </c>
      <c r="U3152" s="33"/>
      <c r="V3152" s="33"/>
      <c r="W3152" s="33"/>
    </row>
    <row r="3153" spans="1:23" ht="16.5" customHeight="1" x14ac:dyDescent="0.2">
      <c r="A3153" s="26"/>
      <c r="B3153" s="26"/>
      <c r="C3153" s="26"/>
      <c r="D3153" s="26"/>
      <c r="E3153" s="26"/>
      <c r="F3153" s="28"/>
      <c r="G3153" s="26"/>
      <c r="H3153" s="32"/>
      <c r="I3153" s="32"/>
      <c r="J3153" s="32"/>
      <c r="K3153" s="32"/>
      <c r="L3153" s="32" t="e">
        <f ca="1">_xludf.ifna(VLOOKUP(E3153,Parámetros!$D$2:$E$34,2,0),"")</f>
        <v>#NAME?</v>
      </c>
      <c r="M3153" s="32" t="e">
        <f ca="1">_xludf.ifna(VLOOKUP(G3153,Proyectos!$A$2:$T$674,20,0),"")</f>
        <v>#NAME?</v>
      </c>
      <c r="N3153" s="32" t="e">
        <f ca="1">_xludf.ifna(VLOOKUP(G3153,Proyectos!$A$2:$S$674,19,0))</f>
        <v>#NAME?</v>
      </c>
      <c r="O3153" s="32"/>
      <c r="P3153" s="32"/>
      <c r="Q3153" s="33"/>
      <c r="R3153" s="33"/>
      <c r="S3153" s="33"/>
      <c r="T3153" s="63">
        <f t="shared" si="25"/>
        <v>0</v>
      </c>
      <c r="U3153" s="33"/>
      <c r="V3153" s="33"/>
      <c r="W3153" s="33"/>
    </row>
    <row r="3154" spans="1:23" ht="16.5" customHeight="1" x14ac:dyDescent="0.2">
      <c r="A3154" s="26"/>
      <c r="B3154" s="26"/>
      <c r="C3154" s="26"/>
      <c r="D3154" s="26"/>
      <c r="E3154" s="26"/>
      <c r="F3154" s="28"/>
      <c r="G3154" s="26"/>
      <c r="H3154" s="32"/>
      <c r="I3154" s="32"/>
      <c r="J3154" s="32"/>
      <c r="K3154" s="32"/>
      <c r="L3154" s="32" t="e">
        <f ca="1">_xludf.ifna(VLOOKUP(E3154,Parámetros!$D$2:$E$34,2,0),"")</f>
        <v>#NAME?</v>
      </c>
      <c r="M3154" s="32" t="e">
        <f ca="1">_xludf.ifna(VLOOKUP(G3154,Proyectos!$A$2:$T$674,20,0),"")</f>
        <v>#NAME?</v>
      </c>
      <c r="N3154" s="32" t="e">
        <f ca="1">_xludf.ifna(VLOOKUP(G3154,Proyectos!$A$2:$S$674,19,0))</f>
        <v>#NAME?</v>
      </c>
      <c r="O3154" s="32"/>
      <c r="P3154" s="32"/>
      <c r="Q3154" s="33"/>
      <c r="R3154" s="33"/>
      <c r="S3154" s="33"/>
      <c r="T3154" s="63">
        <f t="shared" si="25"/>
        <v>0</v>
      </c>
      <c r="U3154" s="33"/>
      <c r="V3154" s="33"/>
      <c r="W3154" s="33"/>
    </row>
    <row r="3155" spans="1:23" ht="16.5" customHeight="1" x14ac:dyDescent="0.2">
      <c r="A3155" s="26"/>
      <c r="B3155" s="26"/>
      <c r="C3155" s="26"/>
      <c r="D3155" s="26"/>
      <c r="E3155" s="26"/>
      <c r="F3155" s="28"/>
      <c r="G3155" s="26"/>
      <c r="H3155" s="32"/>
      <c r="I3155" s="32"/>
      <c r="J3155" s="32"/>
      <c r="K3155" s="32"/>
      <c r="L3155" s="32" t="e">
        <f ca="1">_xludf.ifna(VLOOKUP(E3155,Parámetros!$D$2:$E$34,2,0),"")</f>
        <v>#NAME?</v>
      </c>
      <c r="M3155" s="32" t="e">
        <f ca="1">_xludf.ifna(VLOOKUP(G3155,Proyectos!$A$2:$T$674,20,0),"")</f>
        <v>#NAME?</v>
      </c>
      <c r="N3155" s="32" t="e">
        <f ca="1">_xludf.ifna(VLOOKUP(G3155,Proyectos!$A$2:$S$674,19,0))</f>
        <v>#NAME?</v>
      </c>
      <c r="O3155" s="32"/>
      <c r="P3155" s="32"/>
      <c r="Q3155" s="33"/>
      <c r="R3155" s="33"/>
      <c r="S3155" s="33"/>
      <c r="T3155" s="63">
        <f t="shared" si="25"/>
        <v>0</v>
      </c>
      <c r="U3155" s="33"/>
      <c r="V3155" s="33"/>
      <c r="W3155" s="33"/>
    </row>
    <row r="3156" spans="1:23" ht="16.5" customHeight="1" x14ac:dyDescent="0.2">
      <c r="A3156" s="26"/>
      <c r="B3156" s="26"/>
      <c r="C3156" s="26"/>
      <c r="D3156" s="26"/>
      <c r="E3156" s="26"/>
      <c r="F3156" s="28"/>
      <c r="G3156" s="26"/>
      <c r="H3156" s="32"/>
      <c r="I3156" s="32"/>
      <c r="J3156" s="32"/>
      <c r="K3156" s="32"/>
      <c r="L3156" s="32" t="e">
        <f ca="1">_xludf.ifna(VLOOKUP(E3156,Parámetros!$D$2:$E$34,2,0),"")</f>
        <v>#NAME?</v>
      </c>
      <c r="M3156" s="32" t="e">
        <f ca="1">_xludf.ifna(VLOOKUP(G3156,Proyectos!$A$2:$T$674,20,0),"")</f>
        <v>#NAME?</v>
      </c>
      <c r="N3156" s="32" t="e">
        <f ca="1">_xludf.ifna(VLOOKUP(G3156,Proyectos!$A$2:$S$674,19,0))</f>
        <v>#NAME?</v>
      </c>
      <c r="O3156" s="32"/>
      <c r="P3156" s="32"/>
      <c r="Q3156" s="33"/>
      <c r="R3156" s="33"/>
      <c r="S3156" s="33"/>
      <c r="T3156" s="63">
        <f t="shared" si="25"/>
        <v>0</v>
      </c>
      <c r="U3156" s="33"/>
      <c r="V3156" s="33"/>
      <c r="W3156" s="33"/>
    </row>
    <row r="3157" spans="1:23" ht="16.5" customHeight="1" x14ac:dyDescent="0.2">
      <c r="A3157" s="26"/>
      <c r="B3157" s="26"/>
      <c r="C3157" s="26"/>
      <c r="D3157" s="26"/>
      <c r="E3157" s="26"/>
      <c r="F3157" s="28"/>
      <c r="G3157" s="26"/>
      <c r="H3157" s="32"/>
      <c r="I3157" s="32"/>
      <c r="J3157" s="32"/>
      <c r="K3157" s="32"/>
      <c r="L3157" s="32" t="e">
        <f ca="1">_xludf.ifna(VLOOKUP(E3157,Parámetros!$D$2:$E$34,2,0),"")</f>
        <v>#NAME?</v>
      </c>
      <c r="M3157" s="32" t="e">
        <f ca="1">_xludf.ifna(VLOOKUP(G3157,Proyectos!$A$2:$T$674,20,0),"")</f>
        <v>#NAME?</v>
      </c>
      <c r="N3157" s="32" t="e">
        <f ca="1">_xludf.ifna(VLOOKUP(G3157,Proyectos!$A$2:$S$674,19,0))</f>
        <v>#NAME?</v>
      </c>
      <c r="O3157" s="32"/>
      <c r="P3157" s="32"/>
      <c r="Q3157" s="33"/>
      <c r="R3157" s="33"/>
      <c r="S3157" s="33"/>
      <c r="T3157" s="63">
        <f t="shared" si="25"/>
        <v>0</v>
      </c>
      <c r="U3157" s="33"/>
      <c r="V3157" s="33"/>
      <c r="W3157" s="33"/>
    </row>
    <row r="3158" spans="1:23" ht="16.5" customHeight="1" x14ac:dyDescent="0.2">
      <c r="A3158" s="26"/>
      <c r="B3158" s="26"/>
      <c r="C3158" s="26"/>
      <c r="D3158" s="26"/>
      <c r="E3158" s="26"/>
      <c r="F3158" s="28"/>
      <c r="G3158" s="26"/>
      <c r="H3158" s="32"/>
      <c r="I3158" s="32"/>
      <c r="J3158" s="32"/>
      <c r="K3158" s="32"/>
      <c r="L3158" s="32" t="e">
        <f ca="1">_xludf.ifna(VLOOKUP(E3158,Parámetros!$D$2:$E$34,2,0),"")</f>
        <v>#NAME?</v>
      </c>
      <c r="M3158" s="32" t="e">
        <f ca="1">_xludf.ifna(VLOOKUP(G3158,Proyectos!$A$2:$T$674,20,0),"")</f>
        <v>#NAME?</v>
      </c>
      <c r="N3158" s="32" t="e">
        <f ca="1">_xludf.ifna(VLOOKUP(G3158,Proyectos!$A$2:$S$674,19,0))</f>
        <v>#NAME?</v>
      </c>
      <c r="O3158" s="32"/>
      <c r="P3158" s="32"/>
      <c r="Q3158" s="33"/>
      <c r="R3158" s="33"/>
      <c r="S3158" s="33"/>
      <c r="T3158" s="63">
        <f t="shared" si="25"/>
        <v>0</v>
      </c>
      <c r="U3158" s="33"/>
      <c r="V3158" s="33"/>
      <c r="W3158" s="33"/>
    </row>
    <row r="3159" spans="1:23" ht="16.5" customHeight="1" x14ac:dyDescent="0.2">
      <c r="A3159" s="26"/>
      <c r="B3159" s="26"/>
      <c r="C3159" s="26"/>
      <c r="D3159" s="26"/>
      <c r="E3159" s="26"/>
      <c r="F3159" s="28"/>
      <c r="G3159" s="26"/>
      <c r="H3159" s="32"/>
      <c r="I3159" s="32"/>
      <c r="J3159" s="32"/>
      <c r="K3159" s="32"/>
      <c r="L3159" s="32" t="e">
        <f ca="1">_xludf.ifna(VLOOKUP(E3159,Parámetros!$D$2:$E$34,2,0),"")</f>
        <v>#NAME?</v>
      </c>
      <c r="M3159" s="32" t="e">
        <f ca="1">_xludf.ifna(VLOOKUP(G3159,Proyectos!$A$2:$T$674,20,0),"")</f>
        <v>#NAME?</v>
      </c>
      <c r="N3159" s="32" t="e">
        <f ca="1">_xludf.ifna(VLOOKUP(G3159,Proyectos!$A$2:$S$674,19,0))</f>
        <v>#NAME?</v>
      </c>
      <c r="O3159" s="32"/>
      <c r="P3159" s="32"/>
      <c r="Q3159" s="33"/>
      <c r="R3159" s="33"/>
      <c r="S3159" s="33"/>
      <c r="T3159" s="63">
        <f t="shared" si="25"/>
        <v>0</v>
      </c>
      <c r="U3159" s="33"/>
      <c r="V3159" s="33"/>
      <c r="W3159" s="33"/>
    </row>
    <row r="3160" spans="1:23" ht="16.5" customHeight="1" x14ac:dyDescent="0.2">
      <c r="A3160" s="26"/>
      <c r="B3160" s="26"/>
      <c r="C3160" s="26"/>
      <c r="D3160" s="26"/>
      <c r="E3160" s="26"/>
      <c r="F3160" s="28"/>
      <c r="G3160" s="26"/>
      <c r="H3160" s="32"/>
      <c r="I3160" s="32"/>
      <c r="J3160" s="32"/>
      <c r="K3160" s="32"/>
      <c r="L3160" s="32" t="e">
        <f ca="1">_xludf.ifna(VLOOKUP(E3160,Parámetros!$D$2:$E$34,2,0),"")</f>
        <v>#NAME?</v>
      </c>
      <c r="M3160" s="32" t="e">
        <f ca="1">_xludf.ifna(VLOOKUP(G3160,Proyectos!$A$2:$T$674,20,0),"")</f>
        <v>#NAME?</v>
      </c>
      <c r="N3160" s="32" t="e">
        <f ca="1">_xludf.ifna(VLOOKUP(G3160,Proyectos!$A$2:$S$674,19,0))</f>
        <v>#NAME?</v>
      </c>
      <c r="O3160" s="32"/>
      <c r="P3160" s="32"/>
      <c r="Q3160" s="33"/>
      <c r="R3160" s="33"/>
      <c r="S3160" s="33"/>
      <c r="T3160" s="63">
        <f t="shared" si="25"/>
        <v>0</v>
      </c>
      <c r="U3160" s="33"/>
      <c r="V3160" s="33"/>
      <c r="W3160" s="33"/>
    </row>
    <row r="3161" spans="1:23" ht="16.5" customHeight="1" x14ac:dyDescent="0.2">
      <c r="A3161" s="26"/>
      <c r="B3161" s="26"/>
      <c r="C3161" s="26"/>
      <c r="D3161" s="26"/>
      <c r="E3161" s="26"/>
      <c r="F3161" s="28"/>
      <c r="G3161" s="26"/>
      <c r="H3161" s="32"/>
      <c r="I3161" s="32"/>
      <c r="J3161" s="32"/>
      <c r="K3161" s="32"/>
      <c r="L3161" s="32" t="e">
        <f ca="1">_xludf.ifna(VLOOKUP(E3161,Parámetros!$D$2:$E$34,2,0),"")</f>
        <v>#NAME?</v>
      </c>
      <c r="M3161" s="32" t="e">
        <f ca="1">_xludf.ifna(VLOOKUP(G3161,Proyectos!$A$2:$T$674,20,0),"")</f>
        <v>#NAME?</v>
      </c>
      <c r="N3161" s="32" t="e">
        <f ca="1">_xludf.ifna(VLOOKUP(G3161,Proyectos!$A$2:$S$674,19,0))</f>
        <v>#NAME?</v>
      </c>
      <c r="O3161" s="32"/>
      <c r="P3161" s="32"/>
      <c r="Q3161" s="33"/>
      <c r="R3161" s="33"/>
      <c r="S3161" s="33"/>
      <c r="T3161" s="63">
        <f t="shared" si="25"/>
        <v>0</v>
      </c>
      <c r="U3161" s="33"/>
      <c r="V3161" s="33"/>
      <c r="W3161" s="33"/>
    </row>
    <row r="3162" spans="1:23" ht="16.5" customHeight="1" x14ac:dyDescent="0.2">
      <c r="A3162" s="26"/>
      <c r="B3162" s="26"/>
      <c r="C3162" s="26"/>
      <c r="D3162" s="26"/>
      <c r="E3162" s="26"/>
      <c r="F3162" s="28"/>
      <c r="G3162" s="26"/>
      <c r="H3162" s="32"/>
      <c r="I3162" s="32"/>
      <c r="J3162" s="32"/>
      <c r="K3162" s="32"/>
      <c r="L3162" s="32" t="e">
        <f ca="1">_xludf.ifna(VLOOKUP(E3162,Parámetros!$D$2:$E$34,2,0),"")</f>
        <v>#NAME?</v>
      </c>
      <c r="M3162" s="32" t="e">
        <f ca="1">_xludf.ifna(VLOOKUP(G3162,Proyectos!$A$2:$T$674,20,0),"")</f>
        <v>#NAME?</v>
      </c>
      <c r="N3162" s="32" t="e">
        <f ca="1">_xludf.ifna(VLOOKUP(G3162,Proyectos!$A$2:$S$674,19,0))</f>
        <v>#NAME?</v>
      </c>
      <c r="O3162" s="32"/>
      <c r="P3162" s="32"/>
      <c r="Q3162" s="33"/>
      <c r="R3162" s="33"/>
      <c r="S3162" s="33"/>
      <c r="T3162" s="63">
        <f t="shared" si="25"/>
        <v>0</v>
      </c>
      <c r="U3162" s="33"/>
      <c r="V3162" s="33"/>
      <c r="W3162" s="33"/>
    </row>
    <row r="3163" spans="1:23" ht="16.5" customHeight="1" x14ac:dyDescent="0.2">
      <c r="A3163" s="26"/>
      <c r="B3163" s="26"/>
      <c r="C3163" s="26"/>
      <c r="D3163" s="26"/>
      <c r="E3163" s="26"/>
      <c r="F3163" s="28"/>
      <c r="G3163" s="26"/>
      <c r="H3163" s="32"/>
      <c r="I3163" s="32"/>
      <c r="J3163" s="32"/>
      <c r="K3163" s="32"/>
      <c r="L3163" s="32" t="e">
        <f ca="1">_xludf.ifna(VLOOKUP(E3163,Parámetros!$D$2:$E$34,2,0),"")</f>
        <v>#NAME?</v>
      </c>
      <c r="M3163" s="32" t="e">
        <f ca="1">_xludf.ifna(VLOOKUP(G3163,Proyectos!$A$2:$T$674,20,0),"")</f>
        <v>#NAME?</v>
      </c>
      <c r="N3163" s="32" t="e">
        <f ca="1">_xludf.ifna(VLOOKUP(G3163,Proyectos!$A$2:$S$674,19,0))</f>
        <v>#NAME?</v>
      </c>
      <c r="O3163" s="32"/>
      <c r="P3163" s="32"/>
      <c r="Q3163" s="33"/>
      <c r="R3163" s="33"/>
      <c r="S3163" s="33"/>
      <c r="T3163" s="63">
        <f t="shared" si="25"/>
        <v>0</v>
      </c>
      <c r="U3163" s="33"/>
      <c r="V3163" s="33"/>
      <c r="W3163" s="33"/>
    </row>
    <row r="3164" spans="1:23" ht="16.5" customHeight="1" x14ac:dyDescent="0.2">
      <c r="A3164" s="26"/>
      <c r="B3164" s="26"/>
      <c r="C3164" s="26"/>
      <c r="D3164" s="26"/>
      <c r="E3164" s="26"/>
      <c r="F3164" s="28"/>
      <c r="G3164" s="26"/>
      <c r="H3164" s="32"/>
      <c r="I3164" s="32"/>
      <c r="J3164" s="32"/>
      <c r="K3164" s="32"/>
      <c r="L3164" s="32" t="e">
        <f ca="1">_xludf.ifna(VLOOKUP(E3164,Parámetros!$D$2:$E$34,2,0),"")</f>
        <v>#NAME?</v>
      </c>
      <c r="M3164" s="32" t="e">
        <f ca="1">_xludf.ifna(VLOOKUP(G3164,Proyectos!$A$2:$T$674,20,0),"")</f>
        <v>#NAME?</v>
      </c>
      <c r="N3164" s="32" t="e">
        <f ca="1">_xludf.ifna(VLOOKUP(G3164,Proyectos!$A$2:$S$674,19,0))</f>
        <v>#NAME?</v>
      </c>
      <c r="O3164" s="32"/>
      <c r="P3164" s="32"/>
      <c r="Q3164" s="33"/>
      <c r="R3164" s="33"/>
      <c r="S3164" s="33"/>
      <c r="T3164" s="63">
        <f t="shared" si="25"/>
        <v>0</v>
      </c>
      <c r="U3164" s="33"/>
      <c r="V3164" s="33"/>
      <c r="W3164" s="33"/>
    </row>
    <row r="3165" spans="1:23" ht="16.5" customHeight="1" x14ac:dyDescent="0.2">
      <c r="A3165" s="26"/>
      <c r="B3165" s="26"/>
      <c r="C3165" s="26"/>
      <c r="D3165" s="26"/>
      <c r="E3165" s="26"/>
      <c r="F3165" s="28"/>
      <c r="G3165" s="26"/>
      <c r="H3165" s="32"/>
      <c r="I3165" s="32"/>
      <c r="J3165" s="32"/>
      <c r="K3165" s="32"/>
      <c r="L3165" s="32" t="e">
        <f ca="1">_xludf.ifna(VLOOKUP(E3165,Parámetros!$D$2:$E$34,2,0),"")</f>
        <v>#NAME?</v>
      </c>
      <c r="M3165" s="32" t="e">
        <f ca="1">_xludf.ifna(VLOOKUP(G3165,Proyectos!$A$2:$T$674,20,0),"")</f>
        <v>#NAME?</v>
      </c>
      <c r="N3165" s="32" t="e">
        <f ca="1">_xludf.ifna(VLOOKUP(G3165,Proyectos!$A$2:$S$674,19,0))</f>
        <v>#NAME?</v>
      </c>
      <c r="O3165" s="32"/>
      <c r="P3165" s="32"/>
      <c r="Q3165" s="33"/>
      <c r="R3165" s="33"/>
      <c r="S3165" s="33"/>
      <c r="T3165" s="63">
        <f t="shared" si="25"/>
        <v>0</v>
      </c>
      <c r="U3165" s="33"/>
      <c r="V3165" s="33"/>
      <c r="W3165" s="33"/>
    </row>
    <row r="3166" spans="1:23" ht="16.5" customHeight="1" x14ac:dyDescent="0.2">
      <c r="A3166" s="26"/>
      <c r="B3166" s="26"/>
      <c r="C3166" s="26"/>
      <c r="D3166" s="26"/>
      <c r="E3166" s="26"/>
      <c r="F3166" s="28"/>
      <c r="G3166" s="26"/>
      <c r="H3166" s="32"/>
      <c r="I3166" s="32"/>
      <c r="J3166" s="32"/>
      <c r="K3166" s="32"/>
      <c r="L3166" s="32" t="e">
        <f ca="1">_xludf.ifna(VLOOKUP(E3166,Parámetros!$D$2:$E$34,2,0),"")</f>
        <v>#NAME?</v>
      </c>
      <c r="M3166" s="32" t="e">
        <f ca="1">_xludf.ifna(VLOOKUP(G3166,Proyectos!$A$2:$T$674,20,0),"")</f>
        <v>#NAME?</v>
      </c>
      <c r="N3166" s="32" t="e">
        <f ca="1">_xludf.ifna(VLOOKUP(G3166,Proyectos!$A$2:$S$674,19,0))</f>
        <v>#NAME?</v>
      </c>
      <c r="O3166" s="32"/>
      <c r="P3166" s="32"/>
      <c r="Q3166" s="33"/>
      <c r="R3166" s="33"/>
      <c r="S3166" s="33"/>
      <c r="T3166" s="63">
        <f t="shared" si="25"/>
        <v>0</v>
      </c>
      <c r="U3166" s="33"/>
      <c r="V3166" s="33"/>
      <c r="W3166" s="33"/>
    </row>
    <row r="3167" spans="1:23" ht="16.5" customHeight="1" x14ac:dyDescent="0.2">
      <c r="A3167" s="26"/>
      <c r="B3167" s="26"/>
      <c r="C3167" s="26"/>
      <c r="D3167" s="26"/>
      <c r="E3167" s="26"/>
      <c r="F3167" s="28"/>
      <c r="G3167" s="26"/>
      <c r="H3167" s="32"/>
      <c r="I3167" s="32"/>
      <c r="J3167" s="32"/>
      <c r="K3167" s="32"/>
      <c r="L3167" s="32" t="e">
        <f ca="1">_xludf.ifna(VLOOKUP(E3167,Parámetros!$D$2:$E$34,2,0),"")</f>
        <v>#NAME?</v>
      </c>
      <c r="M3167" s="32" t="e">
        <f ca="1">_xludf.ifna(VLOOKUP(G3167,Proyectos!$A$2:$T$674,20,0),"")</f>
        <v>#NAME?</v>
      </c>
      <c r="N3167" s="32" t="e">
        <f ca="1">_xludf.ifna(VLOOKUP(G3167,Proyectos!$A$2:$S$674,19,0))</f>
        <v>#NAME?</v>
      </c>
      <c r="O3167" s="32"/>
      <c r="P3167" s="32"/>
      <c r="Q3167" s="33"/>
      <c r="R3167" s="33"/>
      <c r="S3167" s="33"/>
      <c r="T3167" s="63">
        <f t="shared" si="25"/>
        <v>0</v>
      </c>
      <c r="U3167" s="33"/>
      <c r="V3167" s="33"/>
      <c r="W3167" s="33"/>
    </row>
    <row r="3168" spans="1:23" ht="16.5" customHeight="1" x14ac:dyDescent="0.2">
      <c r="A3168" s="26"/>
      <c r="B3168" s="26"/>
      <c r="C3168" s="26"/>
      <c r="D3168" s="26"/>
      <c r="E3168" s="26"/>
      <c r="F3168" s="28"/>
      <c r="G3168" s="26"/>
      <c r="H3168" s="32"/>
      <c r="I3168" s="32"/>
      <c r="J3168" s="32"/>
      <c r="K3168" s="32"/>
      <c r="L3168" s="32" t="e">
        <f ca="1">_xludf.ifna(VLOOKUP(E3168,Parámetros!$D$2:$E$34,2,0),"")</f>
        <v>#NAME?</v>
      </c>
      <c r="M3168" s="32" t="e">
        <f ca="1">_xludf.ifna(VLOOKUP(G3168,Proyectos!$A$2:$T$674,20,0),"")</f>
        <v>#NAME?</v>
      </c>
      <c r="N3168" s="32" t="e">
        <f ca="1">_xludf.ifna(VLOOKUP(G3168,Proyectos!$A$2:$S$674,19,0))</f>
        <v>#NAME?</v>
      </c>
      <c r="O3168" s="32"/>
      <c r="P3168" s="32"/>
      <c r="Q3168" s="33"/>
      <c r="R3168" s="33"/>
      <c r="S3168" s="33"/>
      <c r="T3168" s="63">
        <f t="shared" si="25"/>
        <v>0</v>
      </c>
      <c r="U3168" s="33"/>
      <c r="V3168" s="33"/>
      <c r="W3168" s="33"/>
    </row>
    <row r="3169" spans="1:23" ht="16.5" customHeight="1" x14ac:dyDescent="0.2">
      <c r="A3169" s="26"/>
      <c r="B3169" s="26"/>
      <c r="C3169" s="26"/>
      <c r="D3169" s="26"/>
      <c r="E3169" s="26"/>
      <c r="F3169" s="28"/>
      <c r="G3169" s="26"/>
      <c r="H3169" s="32"/>
      <c r="I3169" s="32"/>
      <c r="J3169" s="32"/>
      <c r="K3169" s="32"/>
      <c r="L3169" s="32" t="e">
        <f ca="1">_xludf.ifna(VLOOKUP(E3169,Parámetros!$D$2:$E$34,2,0),"")</f>
        <v>#NAME?</v>
      </c>
      <c r="M3169" s="32" t="e">
        <f ca="1">_xludf.ifna(VLOOKUP(G3169,Proyectos!$A$2:$T$674,20,0),"")</f>
        <v>#NAME?</v>
      </c>
      <c r="N3169" s="32" t="e">
        <f ca="1">_xludf.ifna(VLOOKUP(G3169,Proyectos!$A$2:$S$674,19,0))</f>
        <v>#NAME?</v>
      </c>
      <c r="O3169" s="32"/>
      <c r="P3169" s="32"/>
      <c r="Q3169" s="33"/>
      <c r="R3169" s="33"/>
      <c r="S3169" s="33"/>
      <c r="T3169" s="63">
        <f t="shared" si="25"/>
        <v>0</v>
      </c>
      <c r="U3169" s="33"/>
      <c r="V3169" s="33"/>
      <c r="W3169" s="33"/>
    </row>
    <row r="3170" spans="1:23" ht="16.5" customHeight="1" x14ac:dyDescent="0.2">
      <c r="A3170" s="26"/>
      <c r="B3170" s="26"/>
      <c r="C3170" s="26"/>
      <c r="D3170" s="26"/>
      <c r="E3170" s="26"/>
      <c r="F3170" s="28"/>
      <c r="G3170" s="26"/>
      <c r="H3170" s="32"/>
      <c r="I3170" s="32"/>
      <c r="J3170" s="32"/>
      <c r="K3170" s="32"/>
      <c r="L3170" s="32" t="e">
        <f ca="1">_xludf.ifna(VLOOKUP(E3170,Parámetros!$D$2:$E$34,2,0),"")</f>
        <v>#NAME?</v>
      </c>
      <c r="M3170" s="32" t="e">
        <f ca="1">_xludf.ifna(VLOOKUP(G3170,Proyectos!$A$2:$T$674,20,0),"")</f>
        <v>#NAME?</v>
      </c>
      <c r="N3170" s="32" t="e">
        <f ca="1">_xludf.ifna(VLOOKUP(G3170,Proyectos!$A$2:$S$674,19,0))</f>
        <v>#NAME?</v>
      </c>
      <c r="O3170" s="32"/>
      <c r="P3170" s="32"/>
      <c r="Q3170" s="33"/>
      <c r="R3170" s="33"/>
      <c r="S3170" s="33"/>
      <c r="T3170" s="63">
        <f t="shared" si="25"/>
        <v>0</v>
      </c>
      <c r="U3170" s="33"/>
      <c r="V3170" s="33"/>
      <c r="W3170" s="33"/>
    </row>
    <row r="3171" spans="1:23" ht="16.5" customHeight="1" x14ac:dyDescent="0.2">
      <c r="A3171" s="26"/>
      <c r="B3171" s="26"/>
      <c r="C3171" s="26"/>
      <c r="D3171" s="26"/>
      <c r="E3171" s="26"/>
      <c r="F3171" s="28"/>
      <c r="G3171" s="26"/>
      <c r="H3171" s="32"/>
      <c r="I3171" s="32"/>
      <c r="J3171" s="32"/>
      <c r="K3171" s="32"/>
      <c r="L3171" s="32" t="e">
        <f ca="1">_xludf.ifna(VLOOKUP(E3171,Parámetros!$D$2:$E$34,2,0),"")</f>
        <v>#NAME?</v>
      </c>
      <c r="M3171" s="32" t="e">
        <f ca="1">_xludf.ifna(VLOOKUP(G3171,Proyectos!$A$2:$T$674,20,0),"")</f>
        <v>#NAME?</v>
      </c>
      <c r="N3171" s="32" t="e">
        <f ca="1">_xludf.ifna(VLOOKUP(G3171,Proyectos!$A$2:$S$674,19,0))</f>
        <v>#NAME?</v>
      </c>
      <c r="O3171" s="32"/>
      <c r="P3171" s="32"/>
      <c r="Q3171" s="33"/>
      <c r="R3171" s="33"/>
      <c r="S3171" s="33"/>
      <c r="T3171" s="63">
        <f t="shared" si="25"/>
        <v>0</v>
      </c>
      <c r="U3171" s="33"/>
      <c r="V3171" s="33"/>
      <c r="W3171" s="33"/>
    </row>
    <row r="3172" spans="1:23" ht="16.5" customHeight="1" x14ac:dyDescent="0.2">
      <c r="A3172" s="26"/>
      <c r="B3172" s="26"/>
      <c r="C3172" s="26"/>
      <c r="D3172" s="26"/>
      <c r="E3172" s="26"/>
      <c r="F3172" s="28"/>
      <c r="G3172" s="26"/>
      <c r="H3172" s="32"/>
      <c r="I3172" s="32"/>
      <c r="J3172" s="32"/>
      <c r="K3172" s="32"/>
      <c r="L3172" s="32" t="e">
        <f ca="1">_xludf.ifna(VLOOKUP(E3172,Parámetros!$D$2:$E$34,2,0),"")</f>
        <v>#NAME?</v>
      </c>
      <c r="M3172" s="32" t="e">
        <f ca="1">_xludf.ifna(VLOOKUP(G3172,Proyectos!$A$2:$T$674,20,0),"")</f>
        <v>#NAME?</v>
      </c>
      <c r="N3172" s="32" t="e">
        <f ca="1">_xludf.ifna(VLOOKUP(G3172,Proyectos!$A$2:$S$674,19,0))</f>
        <v>#NAME?</v>
      </c>
      <c r="O3172" s="32"/>
      <c r="P3172" s="32"/>
      <c r="Q3172" s="33"/>
      <c r="R3172" s="33"/>
      <c r="S3172" s="33"/>
      <c r="T3172" s="63">
        <f t="shared" si="25"/>
        <v>0</v>
      </c>
      <c r="U3172" s="33"/>
      <c r="V3172" s="33"/>
      <c r="W3172" s="33"/>
    </row>
    <row r="3173" spans="1:23" ht="16.5" customHeight="1" x14ac:dyDescent="0.2">
      <c r="A3173" s="26"/>
      <c r="B3173" s="26"/>
      <c r="C3173" s="26"/>
      <c r="D3173" s="26"/>
      <c r="E3173" s="26"/>
      <c r="F3173" s="28"/>
      <c r="G3173" s="26"/>
      <c r="H3173" s="32"/>
      <c r="I3173" s="32"/>
      <c r="J3173" s="32"/>
      <c r="K3173" s="32"/>
      <c r="L3173" s="32" t="e">
        <f ca="1">_xludf.ifna(VLOOKUP(E3173,Parámetros!$D$2:$E$34,2,0),"")</f>
        <v>#NAME?</v>
      </c>
      <c r="M3173" s="32" t="e">
        <f ca="1">_xludf.ifna(VLOOKUP(G3173,Proyectos!$A$2:$T$674,20,0),"")</f>
        <v>#NAME?</v>
      </c>
      <c r="N3173" s="32" t="e">
        <f ca="1">_xludf.ifna(VLOOKUP(G3173,Proyectos!$A$2:$S$674,19,0))</f>
        <v>#NAME?</v>
      </c>
      <c r="O3173" s="32"/>
      <c r="P3173" s="32"/>
      <c r="Q3173" s="33"/>
      <c r="R3173" s="33"/>
      <c r="S3173" s="33"/>
      <c r="T3173" s="63">
        <f t="shared" si="25"/>
        <v>0</v>
      </c>
      <c r="U3173" s="33"/>
      <c r="V3173" s="33"/>
      <c r="W3173" s="33"/>
    </row>
    <row r="3174" spans="1:23" ht="16.5" customHeight="1" x14ac:dyDescent="0.2">
      <c r="A3174" s="26"/>
      <c r="B3174" s="26"/>
      <c r="C3174" s="26"/>
      <c r="D3174" s="26"/>
      <c r="E3174" s="26"/>
      <c r="F3174" s="28"/>
      <c r="G3174" s="26"/>
      <c r="H3174" s="32"/>
      <c r="I3174" s="32"/>
      <c r="J3174" s="32"/>
      <c r="K3174" s="32"/>
      <c r="L3174" s="32" t="e">
        <f ca="1">_xludf.ifna(VLOOKUP(E3174,Parámetros!$D$2:$E$34,2,0),"")</f>
        <v>#NAME?</v>
      </c>
      <c r="M3174" s="32" t="e">
        <f ca="1">_xludf.ifna(VLOOKUP(G3174,Proyectos!$A$2:$T$674,20,0),"")</f>
        <v>#NAME?</v>
      </c>
      <c r="N3174" s="32" t="e">
        <f ca="1">_xludf.ifna(VLOOKUP(G3174,Proyectos!$A$2:$S$674,19,0))</f>
        <v>#NAME?</v>
      </c>
      <c r="O3174" s="32"/>
      <c r="P3174" s="32"/>
      <c r="Q3174" s="33"/>
      <c r="R3174" s="33"/>
      <c r="S3174" s="33"/>
      <c r="T3174" s="63">
        <f t="shared" si="25"/>
        <v>0</v>
      </c>
      <c r="U3174" s="33"/>
      <c r="V3174" s="33"/>
      <c r="W3174" s="33"/>
    </row>
    <row r="3175" spans="1:23" ht="16.5" customHeight="1" x14ac:dyDescent="0.2">
      <c r="A3175" s="26"/>
      <c r="B3175" s="26"/>
      <c r="C3175" s="26"/>
      <c r="D3175" s="26"/>
      <c r="E3175" s="26"/>
      <c r="F3175" s="28"/>
      <c r="G3175" s="26"/>
      <c r="H3175" s="32"/>
      <c r="I3175" s="32"/>
      <c r="J3175" s="32"/>
      <c r="K3175" s="32"/>
      <c r="L3175" s="32" t="e">
        <f ca="1">_xludf.ifna(VLOOKUP(E3175,Parámetros!$D$2:$E$34,2,0),"")</f>
        <v>#NAME?</v>
      </c>
      <c r="M3175" s="32" t="e">
        <f ca="1">_xludf.ifna(VLOOKUP(G3175,Proyectos!$A$2:$T$674,20,0),"")</f>
        <v>#NAME?</v>
      </c>
      <c r="N3175" s="32" t="e">
        <f ca="1">_xludf.ifna(VLOOKUP(G3175,Proyectos!$A$2:$S$674,19,0))</f>
        <v>#NAME?</v>
      </c>
      <c r="O3175" s="32"/>
      <c r="P3175" s="32"/>
      <c r="Q3175" s="33"/>
      <c r="R3175" s="33"/>
      <c r="S3175" s="33"/>
      <c r="T3175" s="63">
        <f t="shared" si="25"/>
        <v>0</v>
      </c>
      <c r="U3175" s="33"/>
      <c r="V3175" s="33"/>
      <c r="W3175" s="33"/>
    </row>
    <row r="3176" spans="1:23" ht="16.5" customHeight="1" x14ac:dyDescent="0.2">
      <c r="A3176" s="26"/>
      <c r="B3176" s="26"/>
      <c r="C3176" s="26"/>
      <c r="D3176" s="26"/>
      <c r="E3176" s="26"/>
      <c r="F3176" s="28"/>
      <c r="G3176" s="26"/>
      <c r="H3176" s="32"/>
      <c r="I3176" s="32"/>
      <c r="J3176" s="32"/>
      <c r="K3176" s="32"/>
      <c r="L3176" s="32" t="e">
        <f ca="1">_xludf.ifna(VLOOKUP(E3176,Parámetros!$D$2:$E$34,2,0),"")</f>
        <v>#NAME?</v>
      </c>
      <c r="M3176" s="32" t="e">
        <f ca="1">_xludf.ifna(VLOOKUP(G3176,Proyectos!$A$2:$T$674,20,0),"")</f>
        <v>#NAME?</v>
      </c>
      <c r="N3176" s="32" t="e">
        <f ca="1">_xludf.ifna(VLOOKUP(G3176,Proyectos!$A$2:$S$674,19,0))</f>
        <v>#NAME?</v>
      </c>
      <c r="O3176" s="32"/>
      <c r="P3176" s="32"/>
      <c r="Q3176" s="33"/>
      <c r="R3176" s="33"/>
      <c r="S3176" s="33"/>
      <c r="T3176" s="63">
        <f t="shared" si="25"/>
        <v>0</v>
      </c>
      <c r="U3176" s="33"/>
      <c r="V3176" s="33"/>
      <c r="W3176" s="33"/>
    </row>
    <row r="3177" spans="1:23" ht="16.5" customHeight="1" x14ac:dyDescent="0.2">
      <c r="A3177" s="26"/>
      <c r="B3177" s="26"/>
      <c r="C3177" s="26"/>
      <c r="D3177" s="26"/>
      <c r="E3177" s="26"/>
      <c r="F3177" s="28"/>
      <c r="G3177" s="26"/>
      <c r="H3177" s="32"/>
      <c r="I3177" s="32"/>
      <c r="J3177" s="32"/>
      <c r="K3177" s="32"/>
      <c r="L3177" s="32" t="e">
        <f ca="1">_xludf.ifna(VLOOKUP(E3177,Parámetros!$D$2:$E$34,2,0),"")</f>
        <v>#NAME?</v>
      </c>
      <c r="M3177" s="32" t="e">
        <f ca="1">_xludf.ifna(VLOOKUP(G3177,Proyectos!$A$2:$T$674,20,0),"")</f>
        <v>#NAME?</v>
      </c>
      <c r="N3177" s="32" t="e">
        <f ca="1">_xludf.ifna(VLOOKUP(G3177,Proyectos!$A$2:$S$674,19,0))</f>
        <v>#NAME?</v>
      </c>
      <c r="O3177" s="32"/>
      <c r="P3177" s="32"/>
      <c r="Q3177" s="33"/>
      <c r="R3177" s="33"/>
      <c r="S3177" s="33"/>
      <c r="T3177" s="63">
        <f t="shared" si="25"/>
        <v>0</v>
      </c>
      <c r="U3177" s="33"/>
      <c r="V3177" s="33"/>
      <c r="W3177" s="33"/>
    </row>
    <row r="3178" spans="1:23" ht="16.5" customHeight="1" x14ac:dyDescent="0.2">
      <c r="A3178" s="26"/>
      <c r="B3178" s="26"/>
      <c r="C3178" s="26"/>
      <c r="D3178" s="26"/>
      <c r="E3178" s="26"/>
      <c r="F3178" s="28"/>
      <c r="G3178" s="26"/>
      <c r="H3178" s="32"/>
      <c r="I3178" s="32"/>
      <c r="J3178" s="32"/>
      <c r="K3178" s="32"/>
      <c r="L3178" s="32" t="e">
        <f ca="1">_xludf.ifna(VLOOKUP(E3178,Parámetros!$D$2:$E$34,2,0),"")</f>
        <v>#NAME?</v>
      </c>
      <c r="M3178" s="32" t="e">
        <f ca="1">_xludf.ifna(VLOOKUP(G3178,Proyectos!$A$2:$T$674,20,0),"")</f>
        <v>#NAME?</v>
      </c>
      <c r="N3178" s="32" t="e">
        <f ca="1">_xludf.ifna(VLOOKUP(G3178,Proyectos!$A$2:$S$674,19,0))</f>
        <v>#NAME?</v>
      </c>
      <c r="O3178" s="32"/>
      <c r="P3178" s="32"/>
      <c r="Q3178" s="33"/>
      <c r="R3178" s="33"/>
      <c r="S3178" s="33"/>
      <c r="T3178" s="63">
        <f t="shared" si="25"/>
        <v>0</v>
      </c>
      <c r="U3178" s="33"/>
      <c r="V3178" s="33"/>
      <c r="W3178" s="33"/>
    </row>
    <row r="3179" spans="1:23" ht="16.5" customHeight="1" x14ac:dyDescent="0.2">
      <c r="A3179" s="26"/>
      <c r="B3179" s="26"/>
      <c r="C3179" s="26"/>
      <c r="D3179" s="26"/>
      <c r="E3179" s="26"/>
      <c r="F3179" s="28"/>
      <c r="G3179" s="26"/>
      <c r="H3179" s="32"/>
      <c r="I3179" s="32"/>
      <c r="J3179" s="32"/>
      <c r="K3179" s="32"/>
      <c r="L3179" s="32" t="e">
        <f ca="1">_xludf.ifna(VLOOKUP(E3179,Parámetros!$D$2:$E$34,2,0),"")</f>
        <v>#NAME?</v>
      </c>
      <c r="M3179" s="32" t="e">
        <f ca="1">_xludf.ifna(VLOOKUP(G3179,Proyectos!$A$2:$T$674,20,0),"")</f>
        <v>#NAME?</v>
      </c>
      <c r="N3179" s="32" t="e">
        <f ca="1">_xludf.ifna(VLOOKUP(G3179,Proyectos!$A$2:$S$674,19,0))</f>
        <v>#NAME?</v>
      </c>
      <c r="O3179" s="32"/>
      <c r="P3179" s="32"/>
      <c r="Q3179" s="33"/>
      <c r="R3179" s="33"/>
      <c r="S3179" s="33"/>
      <c r="T3179" s="63">
        <f t="shared" si="25"/>
        <v>0</v>
      </c>
      <c r="U3179" s="33"/>
      <c r="V3179" s="33"/>
      <c r="W3179" s="33"/>
    </row>
    <row r="3180" spans="1:23" ht="16.5" customHeight="1" x14ac:dyDescent="0.2">
      <c r="A3180" s="26"/>
      <c r="B3180" s="26"/>
      <c r="C3180" s="26"/>
      <c r="D3180" s="26"/>
      <c r="E3180" s="26"/>
      <c r="F3180" s="28"/>
      <c r="G3180" s="26"/>
      <c r="H3180" s="32"/>
      <c r="I3180" s="32"/>
      <c r="J3180" s="32"/>
      <c r="K3180" s="32"/>
      <c r="L3180" s="32" t="e">
        <f ca="1">_xludf.ifna(VLOOKUP(E3180,Parámetros!$D$2:$E$34,2,0),"")</f>
        <v>#NAME?</v>
      </c>
      <c r="M3180" s="32" t="e">
        <f ca="1">_xludf.ifna(VLOOKUP(G3180,Proyectos!$A$2:$T$674,20,0),"")</f>
        <v>#NAME?</v>
      </c>
      <c r="N3180" s="32" t="e">
        <f ca="1">_xludf.ifna(VLOOKUP(G3180,Proyectos!$A$2:$S$674,19,0))</f>
        <v>#NAME?</v>
      </c>
      <c r="O3180" s="32"/>
      <c r="P3180" s="32"/>
      <c r="Q3180" s="33"/>
      <c r="R3180" s="33"/>
      <c r="S3180" s="33"/>
      <c r="T3180" s="63">
        <f t="shared" si="25"/>
        <v>0</v>
      </c>
      <c r="U3180" s="33"/>
      <c r="V3180" s="33"/>
      <c r="W3180" s="33"/>
    </row>
    <row r="3181" spans="1:23" ht="16.5" customHeight="1" x14ac:dyDescent="0.2">
      <c r="A3181" s="26"/>
      <c r="B3181" s="26"/>
      <c r="C3181" s="26"/>
      <c r="D3181" s="26"/>
      <c r="E3181" s="26"/>
      <c r="F3181" s="28"/>
      <c r="G3181" s="26"/>
      <c r="H3181" s="32"/>
      <c r="I3181" s="32"/>
      <c r="J3181" s="32"/>
      <c r="K3181" s="32"/>
      <c r="L3181" s="32" t="e">
        <f ca="1">_xludf.ifna(VLOOKUP(E3181,Parámetros!$D$2:$E$34,2,0),"")</f>
        <v>#NAME?</v>
      </c>
      <c r="M3181" s="32" t="e">
        <f ca="1">_xludf.ifna(VLOOKUP(G3181,Proyectos!$A$2:$T$674,20,0),"")</f>
        <v>#NAME?</v>
      </c>
      <c r="N3181" s="32" t="e">
        <f ca="1">_xludf.ifna(VLOOKUP(G3181,Proyectos!$A$2:$S$674,19,0))</f>
        <v>#NAME?</v>
      </c>
      <c r="O3181" s="32"/>
      <c r="P3181" s="32"/>
      <c r="Q3181" s="33"/>
      <c r="R3181" s="33"/>
      <c r="S3181" s="33"/>
      <c r="T3181" s="63">
        <f t="shared" si="25"/>
        <v>0</v>
      </c>
      <c r="U3181" s="33"/>
      <c r="V3181" s="33"/>
      <c r="W3181" s="33"/>
    </row>
    <row r="3182" spans="1:23" ht="16.5" customHeight="1" x14ac:dyDescent="0.2">
      <c r="A3182" s="26"/>
      <c r="B3182" s="26"/>
      <c r="C3182" s="26"/>
      <c r="D3182" s="26"/>
      <c r="E3182" s="26"/>
      <c r="F3182" s="28"/>
      <c r="G3182" s="26"/>
      <c r="H3182" s="32"/>
      <c r="I3182" s="32"/>
      <c r="J3182" s="32"/>
      <c r="K3182" s="32"/>
      <c r="L3182" s="32" t="e">
        <f ca="1">_xludf.ifna(VLOOKUP(E3182,Parámetros!$D$2:$E$34,2,0),"")</f>
        <v>#NAME?</v>
      </c>
      <c r="M3182" s="32" t="e">
        <f ca="1">_xludf.ifna(VLOOKUP(G3182,Proyectos!$A$2:$T$674,20,0),"")</f>
        <v>#NAME?</v>
      </c>
      <c r="N3182" s="32" t="e">
        <f ca="1">_xludf.ifna(VLOOKUP(G3182,Proyectos!$A$2:$S$674,19,0))</f>
        <v>#NAME?</v>
      </c>
      <c r="O3182" s="32"/>
      <c r="P3182" s="32"/>
      <c r="Q3182" s="33"/>
      <c r="R3182" s="33"/>
      <c r="S3182" s="33"/>
      <c r="T3182" s="63">
        <f t="shared" si="25"/>
        <v>0</v>
      </c>
      <c r="U3182" s="33"/>
      <c r="V3182" s="33"/>
      <c r="W3182" s="33"/>
    </row>
    <row r="3183" spans="1:23" ht="16.5" customHeight="1" x14ac:dyDescent="0.2">
      <c r="A3183" s="26"/>
      <c r="B3183" s="26"/>
      <c r="C3183" s="26"/>
      <c r="D3183" s="26"/>
      <c r="E3183" s="26"/>
      <c r="F3183" s="28"/>
      <c r="G3183" s="26"/>
      <c r="H3183" s="32"/>
      <c r="I3183" s="32"/>
      <c r="J3183" s="32"/>
      <c r="K3183" s="32"/>
      <c r="L3183" s="32" t="e">
        <f ca="1">_xludf.ifna(VLOOKUP(E3183,Parámetros!$D$2:$E$34,2,0),"")</f>
        <v>#NAME?</v>
      </c>
      <c r="M3183" s="32" t="e">
        <f ca="1">_xludf.ifna(VLOOKUP(G3183,Proyectos!$A$2:$T$674,20,0),"")</f>
        <v>#NAME?</v>
      </c>
      <c r="N3183" s="32" t="e">
        <f ca="1">_xludf.ifna(VLOOKUP(G3183,Proyectos!$A$2:$S$674,19,0))</f>
        <v>#NAME?</v>
      </c>
      <c r="O3183" s="32"/>
      <c r="P3183" s="32"/>
      <c r="Q3183" s="33"/>
      <c r="R3183" s="33"/>
      <c r="S3183" s="33"/>
      <c r="T3183" s="63">
        <f t="shared" si="25"/>
        <v>0</v>
      </c>
      <c r="U3183" s="33"/>
      <c r="V3183" s="33"/>
      <c r="W3183" s="33"/>
    </row>
    <row r="3184" spans="1:23" ht="16.5" customHeight="1" x14ac:dyDescent="0.2">
      <c r="A3184" s="26"/>
      <c r="B3184" s="26"/>
      <c r="C3184" s="26"/>
      <c r="D3184" s="26"/>
      <c r="E3184" s="26"/>
      <c r="F3184" s="28"/>
      <c r="G3184" s="26"/>
      <c r="H3184" s="32"/>
      <c r="I3184" s="32"/>
      <c r="J3184" s="32"/>
      <c r="K3184" s="32"/>
      <c r="L3184" s="32" t="e">
        <f ca="1">_xludf.ifna(VLOOKUP(E3184,Parámetros!$D$2:$E$34,2,0),"")</f>
        <v>#NAME?</v>
      </c>
      <c r="M3184" s="32" t="e">
        <f ca="1">_xludf.ifna(VLOOKUP(G3184,Proyectos!$A$2:$T$674,20,0),"")</f>
        <v>#NAME?</v>
      </c>
      <c r="N3184" s="32" t="e">
        <f ca="1">_xludf.ifna(VLOOKUP(G3184,Proyectos!$A$2:$S$674,19,0))</f>
        <v>#NAME?</v>
      </c>
      <c r="O3184" s="32"/>
      <c r="P3184" s="32"/>
      <c r="Q3184" s="33"/>
      <c r="R3184" s="33"/>
      <c r="S3184" s="33"/>
      <c r="T3184" s="63">
        <f t="shared" si="25"/>
        <v>0</v>
      </c>
      <c r="U3184" s="33"/>
      <c r="V3184" s="33"/>
      <c r="W3184" s="33"/>
    </row>
    <row r="3185" spans="1:23" ht="16.5" customHeight="1" x14ac:dyDescent="0.2">
      <c r="A3185" s="26"/>
      <c r="B3185" s="26"/>
      <c r="C3185" s="26"/>
      <c r="D3185" s="26"/>
      <c r="E3185" s="26"/>
      <c r="F3185" s="28"/>
      <c r="G3185" s="26"/>
      <c r="H3185" s="32"/>
      <c r="I3185" s="32"/>
      <c r="J3185" s="32"/>
      <c r="K3185" s="32"/>
      <c r="L3185" s="32" t="e">
        <f ca="1">_xludf.ifna(VLOOKUP(E3185,Parámetros!$D$2:$E$34,2,0),"")</f>
        <v>#NAME?</v>
      </c>
      <c r="M3185" s="32" t="e">
        <f ca="1">_xludf.ifna(VLOOKUP(G3185,Proyectos!$A$2:$T$674,20,0),"")</f>
        <v>#NAME?</v>
      </c>
      <c r="N3185" s="32" t="e">
        <f ca="1">_xludf.ifna(VLOOKUP(G3185,Proyectos!$A$2:$S$674,19,0))</f>
        <v>#NAME?</v>
      </c>
      <c r="O3185" s="32"/>
      <c r="P3185" s="32"/>
      <c r="Q3185" s="33"/>
      <c r="R3185" s="33"/>
      <c r="S3185" s="33"/>
      <c r="T3185" s="63">
        <f t="shared" si="25"/>
        <v>0</v>
      </c>
      <c r="U3185" s="33"/>
      <c r="V3185" s="33"/>
      <c r="W3185" s="33"/>
    </row>
    <row r="3186" spans="1:23" ht="16.5" customHeight="1" x14ac:dyDescent="0.2">
      <c r="A3186" s="26"/>
      <c r="B3186" s="26"/>
      <c r="C3186" s="26"/>
      <c r="D3186" s="26"/>
      <c r="E3186" s="26"/>
      <c r="F3186" s="28"/>
      <c r="G3186" s="26"/>
      <c r="H3186" s="32"/>
      <c r="I3186" s="32"/>
      <c r="J3186" s="32"/>
      <c r="K3186" s="32"/>
      <c r="L3186" s="32" t="e">
        <f ca="1">_xludf.ifna(VLOOKUP(E3186,Parámetros!$D$2:$E$34,2,0),"")</f>
        <v>#NAME?</v>
      </c>
      <c r="M3186" s="32" t="e">
        <f ca="1">_xludf.ifna(VLOOKUP(G3186,Proyectos!$A$2:$T$674,20,0),"")</f>
        <v>#NAME?</v>
      </c>
      <c r="N3186" s="32" t="e">
        <f ca="1">_xludf.ifna(VLOOKUP(G3186,Proyectos!$A$2:$S$674,19,0))</f>
        <v>#NAME?</v>
      </c>
      <c r="O3186" s="32"/>
      <c r="P3186" s="32"/>
      <c r="Q3186" s="33"/>
      <c r="R3186" s="33"/>
      <c r="S3186" s="33"/>
      <c r="T3186" s="63">
        <f t="shared" si="25"/>
        <v>0</v>
      </c>
      <c r="U3186" s="33"/>
      <c r="V3186" s="33"/>
      <c r="W3186" s="33"/>
    </row>
    <row r="3187" spans="1:23" ht="16.5" customHeight="1" x14ac:dyDescent="0.2">
      <c r="A3187" s="26"/>
      <c r="B3187" s="26"/>
      <c r="C3187" s="26"/>
      <c r="D3187" s="26"/>
      <c r="E3187" s="26"/>
      <c r="F3187" s="28"/>
      <c r="G3187" s="26"/>
      <c r="H3187" s="32"/>
      <c r="I3187" s="32"/>
      <c r="J3187" s="32"/>
      <c r="K3187" s="32"/>
      <c r="L3187" s="32" t="e">
        <f ca="1">_xludf.ifna(VLOOKUP(E3187,Parámetros!$D$2:$E$34,2,0),"")</f>
        <v>#NAME?</v>
      </c>
      <c r="M3187" s="32" t="e">
        <f ca="1">_xludf.ifna(VLOOKUP(G3187,Proyectos!$A$2:$T$674,20,0),"")</f>
        <v>#NAME?</v>
      </c>
      <c r="N3187" s="32" t="e">
        <f ca="1">_xludf.ifna(VLOOKUP(G3187,Proyectos!$A$2:$S$674,19,0))</f>
        <v>#NAME?</v>
      </c>
      <c r="O3187" s="32"/>
      <c r="P3187" s="32"/>
      <c r="Q3187" s="33"/>
      <c r="R3187" s="33"/>
      <c r="S3187" s="33"/>
      <c r="T3187" s="63">
        <f t="shared" si="25"/>
        <v>0</v>
      </c>
      <c r="U3187" s="33"/>
      <c r="V3187" s="33"/>
      <c r="W3187" s="33"/>
    </row>
    <row r="3188" spans="1:23" ht="16.5" customHeight="1" x14ac:dyDescent="0.2">
      <c r="A3188" s="26"/>
      <c r="B3188" s="26"/>
      <c r="C3188" s="26"/>
      <c r="D3188" s="26"/>
      <c r="E3188" s="26"/>
      <c r="F3188" s="28"/>
      <c r="G3188" s="26"/>
      <c r="H3188" s="32"/>
      <c r="I3188" s="32"/>
      <c r="J3188" s="32"/>
      <c r="K3188" s="32"/>
      <c r="L3188" s="32" t="e">
        <f ca="1">_xludf.ifna(VLOOKUP(E3188,Parámetros!$D$2:$E$34,2,0),"")</f>
        <v>#NAME?</v>
      </c>
      <c r="M3188" s="32" t="e">
        <f ca="1">_xludf.ifna(VLOOKUP(G3188,Proyectos!$A$2:$T$674,20,0),"")</f>
        <v>#NAME?</v>
      </c>
      <c r="N3188" s="32" t="e">
        <f ca="1">_xludf.ifna(VLOOKUP(G3188,Proyectos!$A$2:$S$674,19,0))</f>
        <v>#NAME?</v>
      </c>
      <c r="O3188" s="32"/>
      <c r="P3188" s="32"/>
      <c r="Q3188" s="33"/>
      <c r="R3188" s="33"/>
      <c r="S3188" s="33"/>
      <c r="T3188" s="63">
        <f t="shared" si="25"/>
        <v>0</v>
      </c>
      <c r="U3188" s="33"/>
      <c r="V3188" s="33"/>
      <c r="W3188" s="33"/>
    </row>
    <row r="3189" spans="1:23" ht="16.5" customHeight="1" x14ac:dyDescent="0.2">
      <c r="A3189" s="26"/>
      <c r="B3189" s="26"/>
      <c r="C3189" s="26"/>
      <c r="D3189" s="26"/>
      <c r="E3189" s="26"/>
      <c r="F3189" s="28"/>
      <c r="G3189" s="26"/>
      <c r="H3189" s="32"/>
      <c r="I3189" s="32"/>
      <c r="J3189" s="32"/>
      <c r="K3189" s="32"/>
      <c r="L3189" s="32" t="e">
        <f ca="1">_xludf.ifna(VLOOKUP(E3189,Parámetros!$D$2:$E$34,2,0),"")</f>
        <v>#NAME?</v>
      </c>
      <c r="M3189" s="32" t="e">
        <f ca="1">_xludf.ifna(VLOOKUP(G3189,Proyectos!$A$2:$T$674,20,0),"")</f>
        <v>#NAME?</v>
      </c>
      <c r="N3189" s="32" t="e">
        <f ca="1">_xludf.ifna(VLOOKUP(G3189,Proyectos!$A$2:$S$674,19,0))</f>
        <v>#NAME?</v>
      </c>
      <c r="O3189" s="32"/>
      <c r="P3189" s="32"/>
      <c r="Q3189" s="33"/>
      <c r="R3189" s="33"/>
      <c r="S3189" s="33"/>
      <c r="T3189" s="63">
        <f t="shared" si="25"/>
        <v>0</v>
      </c>
      <c r="U3189" s="33"/>
      <c r="V3189" s="33"/>
      <c r="W3189" s="33"/>
    </row>
    <row r="3190" spans="1:23" ht="16.5" customHeight="1" x14ac:dyDescent="0.2">
      <c r="A3190" s="26"/>
      <c r="B3190" s="26"/>
      <c r="C3190" s="26"/>
      <c r="D3190" s="26"/>
      <c r="E3190" s="26"/>
      <c r="F3190" s="28"/>
      <c r="G3190" s="26"/>
      <c r="H3190" s="32"/>
      <c r="I3190" s="32"/>
      <c r="J3190" s="32"/>
      <c r="K3190" s="32"/>
      <c r="L3190" s="32" t="e">
        <f ca="1">_xludf.ifna(VLOOKUP(E3190,Parámetros!$D$2:$E$34,2,0),"")</f>
        <v>#NAME?</v>
      </c>
      <c r="M3190" s="32" t="e">
        <f ca="1">_xludf.ifna(VLOOKUP(G3190,Proyectos!$A$2:$T$674,20,0),"")</f>
        <v>#NAME?</v>
      </c>
      <c r="N3190" s="32" t="e">
        <f ca="1">_xludf.ifna(VLOOKUP(G3190,Proyectos!$A$2:$S$674,19,0))</f>
        <v>#NAME?</v>
      </c>
      <c r="O3190" s="32"/>
      <c r="P3190" s="32"/>
      <c r="Q3190" s="33"/>
      <c r="R3190" s="33"/>
      <c r="S3190" s="33"/>
      <c r="T3190" s="63">
        <f t="shared" si="25"/>
        <v>0</v>
      </c>
      <c r="U3190" s="33"/>
      <c r="V3190" s="33"/>
      <c r="W3190" s="33"/>
    </row>
    <row r="3191" spans="1:23" ht="16.5" customHeight="1" x14ac:dyDescent="0.2">
      <c r="A3191" s="26"/>
      <c r="B3191" s="26"/>
      <c r="C3191" s="26"/>
      <c r="D3191" s="26"/>
      <c r="E3191" s="26"/>
      <c r="F3191" s="28"/>
      <c r="G3191" s="26"/>
      <c r="H3191" s="32"/>
      <c r="I3191" s="32"/>
      <c r="J3191" s="32"/>
      <c r="K3191" s="32"/>
      <c r="L3191" s="32" t="e">
        <f ca="1">_xludf.ifna(VLOOKUP(E3191,Parámetros!$D$2:$E$34,2,0),"")</f>
        <v>#NAME?</v>
      </c>
      <c r="M3191" s="32" t="e">
        <f ca="1">_xludf.ifna(VLOOKUP(G3191,Proyectos!$A$2:$T$674,20,0),"")</f>
        <v>#NAME?</v>
      </c>
      <c r="N3191" s="32" t="e">
        <f ca="1">_xludf.ifna(VLOOKUP(G3191,Proyectos!$A$2:$S$674,19,0))</f>
        <v>#NAME?</v>
      </c>
      <c r="O3191" s="32"/>
      <c r="P3191" s="32"/>
      <c r="Q3191" s="33"/>
      <c r="R3191" s="33"/>
      <c r="S3191" s="33"/>
      <c r="T3191" s="63">
        <f t="shared" si="25"/>
        <v>0</v>
      </c>
      <c r="U3191" s="33"/>
      <c r="V3191" s="33"/>
      <c r="W3191" s="33"/>
    </row>
    <row r="3192" spans="1:23" ht="16.5" customHeight="1" x14ac:dyDescent="0.2">
      <c r="A3192" s="26"/>
      <c r="B3192" s="26"/>
      <c r="C3192" s="26"/>
      <c r="D3192" s="26"/>
      <c r="E3192" s="26"/>
      <c r="F3192" s="28"/>
      <c r="G3192" s="26"/>
      <c r="H3192" s="32"/>
      <c r="I3192" s="32"/>
      <c r="J3192" s="32"/>
      <c r="K3192" s="32"/>
      <c r="L3192" s="32" t="e">
        <f ca="1">_xludf.ifna(VLOOKUP(E3192,Parámetros!$D$2:$E$34,2,0),"")</f>
        <v>#NAME?</v>
      </c>
      <c r="M3192" s="32" t="e">
        <f ca="1">_xludf.ifna(VLOOKUP(G3192,Proyectos!$A$2:$T$674,20,0),"")</f>
        <v>#NAME?</v>
      </c>
      <c r="N3192" s="32" t="e">
        <f ca="1">_xludf.ifna(VLOOKUP(G3192,Proyectos!$A$2:$S$674,19,0))</f>
        <v>#NAME?</v>
      </c>
      <c r="O3192" s="32"/>
      <c r="P3192" s="32"/>
      <c r="Q3192" s="33"/>
      <c r="R3192" s="33"/>
      <c r="S3192" s="33"/>
      <c r="T3192" s="63">
        <f t="shared" si="25"/>
        <v>0</v>
      </c>
      <c r="U3192" s="33"/>
      <c r="V3192" s="33"/>
      <c r="W3192" s="33"/>
    </row>
    <row r="3193" spans="1:23" ht="16.5" customHeight="1" x14ac:dyDescent="0.2">
      <c r="A3193" s="26"/>
      <c r="B3193" s="26"/>
      <c r="C3193" s="26"/>
      <c r="D3193" s="26"/>
      <c r="E3193" s="26"/>
      <c r="F3193" s="28"/>
      <c r="G3193" s="26"/>
      <c r="H3193" s="32"/>
      <c r="I3193" s="32"/>
      <c r="J3193" s="32"/>
      <c r="K3193" s="32"/>
      <c r="L3193" s="32" t="e">
        <f ca="1">_xludf.ifna(VLOOKUP(E3193,Parámetros!$D$2:$E$34,2,0),"")</f>
        <v>#NAME?</v>
      </c>
      <c r="M3193" s="32" t="e">
        <f ca="1">_xludf.ifna(VLOOKUP(G3193,Proyectos!$A$2:$T$674,20,0),"")</f>
        <v>#NAME?</v>
      </c>
      <c r="N3193" s="32" t="e">
        <f ca="1">_xludf.ifna(VLOOKUP(G3193,Proyectos!$A$2:$S$674,19,0))</f>
        <v>#NAME?</v>
      </c>
      <c r="O3193" s="32"/>
      <c r="P3193" s="32"/>
      <c r="Q3193" s="33"/>
      <c r="R3193" s="33"/>
      <c r="S3193" s="33"/>
      <c r="T3193" s="63">
        <f t="shared" si="25"/>
        <v>0</v>
      </c>
      <c r="U3193" s="33"/>
      <c r="V3193" s="33"/>
      <c r="W3193" s="33"/>
    </row>
    <row r="3194" spans="1:23" ht="16.5" customHeight="1" x14ac:dyDescent="0.2">
      <c r="A3194" s="26"/>
      <c r="B3194" s="26"/>
      <c r="C3194" s="26"/>
      <c r="D3194" s="26"/>
      <c r="E3194" s="26"/>
      <c r="F3194" s="28"/>
      <c r="G3194" s="26"/>
      <c r="H3194" s="32"/>
      <c r="I3194" s="32"/>
      <c r="J3194" s="32"/>
      <c r="K3194" s="32"/>
      <c r="L3194" s="32" t="e">
        <f ca="1">_xludf.ifna(VLOOKUP(E3194,Parámetros!$D$2:$E$34,2,0),"")</f>
        <v>#NAME?</v>
      </c>
      <c r="M3194" s="32" t="e">
        <f ca="1">_xludf.ifna(VLOOKUP(G3194,Proyectos!$A$2:$T$674,20,0),"")</f>
        <v>#NAME?</v>
      </c>
      <c r="N3194" s="32" t="e">
        <f ca="1">_xludf.ifna(VLOOKUP(G3194,Proyectos!$A$2:$S$674,19,0))</f>
        <v>#NAME?</v>
      </c>
      <c r="O3194" s="32"/>
      <c r="P3194" s="32"/>
      <c r="Q3194" s="33"/>
      <c r="R3194" s="33"/>
      <c r="S3194" s="33"/>
      <c r="T3194" s="63">
        <f t="shared" si="25"/>
        <v>0</v>
      </c>
      <c r="U3194" s="33"/>
      <c r="V3194" s="33"/>
      <c r="W3194" s="33"/>
    </row>
    <row r="3195" spans="1:23" ht="16.5" customHeight="1" x14ac:dyDescent="0.2">
      <c r="A3195" s="26"/>
      <c r="B3195" s="26"/>
      <c r="C3195" s="26"/>
      <c r="D3195" s="26"/>
      <c r="E3195" s="26"/>
      <c r="F3195" s="28"/>
      <c r="G3195" s="26"/>
      <c r="H3195" s="32"/>
      <c r="I3195" s="32"/>
      <c r="J3195" s="32"/>
      <c r="K3195" s="32"/>
      <c r="L3195" s="32" t="e">
        <f ca="1">_xludf.ifna(VLOOKUP(E3195,Parámetros!$D$2:$E$34,2,0),"")</f>
        <v>#NAME?</v>
      </c>
      <c r="M3195" s="32" t="e">
        <f ca="1">_xludf.ifna(VLOOKUP(G3195,Proyectos!$A$2:$T$674,20,0),"")</f>
        <v>#NAME?</v>
      </c>
      <c r="N3195" s="32" t="e">
        <f ca="1">_xludf.ifna(VLOOKUP(G3195,Proyectos!$A$2:$S$674,19,0))</f>
        <v>#NAME?</v>
      </c>
      <c r="O3195" s="32"/>
      <c r="P3195" s="32"/>
      <c r="Q3195" s="33"/>
      <c r="R3195" s="33"/>
      <c r="S3195" s="33"/>
      <c r="T3195" s="63">
        <f t="shared" si="25"/>
        <v>0</v>
      </c>
      <c r="U3195" s="33"/>
      <c r="V3195" s="33"/>
      <c r="W3195" s="33"/>
    </row>
    <row r="3196" spans="1:23" ht="16.5" customHeight="1" x14ac:dyDescent="0.2">
      <c r="A3196" s="26"/>
      <c r="B3196" s="26"/>
      <c r="C3196" s="26"/>
      <c r="D3196" s="26"/>
      <c r="E3196" s="26"/>
      <c r="F3196" s="28"/>
      <c r="G3196" s="26"/>
      <c r="H3196" s="32"/>
      <c r="I3196" s="32"/>
      <c r="J3196" s="32"/>
      <c r="K3196" s="32"/>
      <c r="L3196" s="32" t="e">
        <f ca="1">_xludf.ifna(VLOOKUP(E3196,Parámetros!$D$2:$E$34,2,0),"")</f>
        <v>#NAME?</v>
      </c>
      <c r="M3196" s="32" t="e">
        <f ca="1">_xludf.ifna(VLOOKUP(G3196,Proyectos!$A$2:$T$674,20,0),"")</f>
        <v>#NAME?</v>
      </c>
      <c r="N3196" s="32" t="e">
        <f ca="1">_xludf.ifna(VLOOKUP(G3196,Proyectos!$A$2:$S$674,19,0))</f>
        <v>#NAME?</v>
      </c>
      <c r="O3196" s="32"/>
      <c r="P3196" s="32"/>
      <c r="Q3196" s="33"/>
      <c r="R3196" s="33"/>
      <c r="S3196" s="33"/>
      <c r="T3196" s="63">
        <f t="shared" si="25"/>
        <v>0</v>
      </c>
      <c r="U3196" s="33"/>
      <c r="V3196" s="33"/>
      <c r="W3196" s="33"/>
    </row>
    <row r="3197" spans="1:23" ht="16.5" customHeight="1" x14ac:dyDescent="0.2">
      <c r="A3197" s="26"/>
      <c r="B3197" s="26"/>
      <c r="C3197" s="26"/>
      <c r="D3197" s="26"/>
      <c r="E3197" s="26"/>
      <c r="F3197" s="28"/>
      <c r="G3197" s="26"/>
      <c r="H3197" s="32"/>
      <c r="I3197" s="32"/>
      <c r="J3197" s="32"/>
      <c r="K3197" s="32"/>
      <c r="L3197" s="32" t="e">
        <f ca="1">_xludf.ifna(VLOOKUP(E3197,Parámetros!$D$2:$E$34,2,0),"")</f>
        <v>#NAME?</v>
      </c>
      <c r="M3197" s="32" t="e">
        <f ca="1">_xludf.ifna(VLOOKUP(G3197,Proyectos!$A$2:$T$674,20,0),"")</f>
        <v>#NAME?</v>
      </c>
      <c r="N3197" s="32" t="e">
        <f ca="1">_xludf.ifna(VLOOKUP(G3197,Proyectos!$A$2:$S$674,19,0))</f>
        <v>#NAME?</v>
      </c>
      <c r="O3197" s="32"/>
      <c r="P3197" s="32"/>
      <c r="Q3197" s="33"/>
      <c r="R3197" s="33"/>
      <c r="S3197" s="33"/>
      <c r="T3197" s="63">
        <f t="shared" si="25"/>
        <v>0</v>
      </c>
      <c r="U3197" s="33"/>
      <c r="V3197" s="33"/>
      <c r="W3197" s="33"/>
    </row>
    <row r="3198" spans="1:23" ht="16.5" customHeight="1" x14ac:dyDescent="0.2">
      <c r="A3198" s="26"/>
      <c r="B3198" s="26"/>
      <c r="C3198" s="26"/>
      <c r="D3198" s="26"/>
      <c r="E3198" s="26"/>
      <c r="F3198" s="28"/>
      <c r="G3198" s="26"/>
      <c r="H3198" s="32"/>
      <c r="I3198" s="32"/>
      <c r="J3198" s="32"/>
      <c r="K3198" s="32"/>
      <c r="L3198" s="32" t="e">
        <f ca="1">_xludf.ifna(VLOOKUP(E3198,Parámetros!$D$2:$E$34,2,0),"")</f>
        <v>#NAME?</v>
      </c>
      <c r="M3198" s="32" t="e">
        <f ca="1">_xludf.ifna(VLOOKUP(G3198,Proyectos!$A$2:$T$674,20,0),"")</f>
        <v>#NAME?</v>
      </c>
      <c r="N3198" s="32" t="e">
        <f ca="1">_xludf.ifna(VLOOKUP(G3198,Proyectos!$A$2:$S$674,19,0))</f>
        <v>#NAME?</v>
      </c>
      <c r="O3198" s="32"/>
      <c r="P3198" s="32"/>
      <c r="Q3198" s="33"/>
      <c r="R3198" s="33"/>
      <c r="S3198" s="33"/>
      <c r="T3198" s="63">
        <f t="shared" si="25"/>
        <v>0</v>
      </c>
      <c r="U3198" s="33"/>
      <c r="V3198" s="33"/>
      <c r="W3198" s="33"/>
    </row>
    <row r="3199" spans="1:23" ht="16.5" customHeight="1" x14ac:dyDescent="0.2">
      <c r="A3199" s="26"/>
      <c r="B3199" s="26"/>
      <c r="C3199" s="26"/>
      <c r="D3199" s="26"/>
      <c r="E3199" s="26"/>
      <c r="F3199" s="28"/>
      <c r="G3199" s="26"/>
      <c r="H3199" s="32"/>
      <c r="I3199" s="32"/>
      <c r="J3199" s="32"/>
      <c r="K3199" s="32"/>
      <c r="L3199" s="32" t="e">
        <f ca="1">_xludf.ifna(VLOOKUP(E3199,Parámetros!$D$2:$E$34,2,0),"")</f>
        <v>#NAME?</v>
      </c>
      <c r="M3199" s="32" t="e">
        <f ca="1">_xludf.ifna(VLOOKUP(G3199,Proyectos!$A$2:$T$674,20,0),"")</f>
        <v>#NAME?</v>
      </c>
      <c r="N3199" s="32" t="e">
        <f ca="1">_xludf.ifna(VLOOKUP(G3199,Proyectos!$A$2:$S$674,19,0))</f>
        <v>#NAME?</v>
      </c>
      <c r="O3199" s="32"/>
      <c r="P3199" s="32"/>
      <c r="Q3199" s="33"/>
      <c r="R3199" s="33"/>
      <c r="S3199" s="33"/>
      <c r="T3199" s="63">
        <f t="shared" si="25"/>
        <v>0</v>
      </c>
      <c r="U3199" s="33"/>
      <c r="V3199" s="33"/>
      <c r="W3199" s="33"/>
    </row>
    <row r="3200" spans="1:23" ht="16.5" customHeight="1" x14ac:dyDescent="0.2">
      <c r="A3200" s="26"/>
      <c r="B3200" s="26"/>
      <c r="C3200" s="26"/>
      <c r="D3200" s="26"/>
      <c r="E3200" s="26"/>
      <c r="F3200" s="28"/>
      <c r="G3200" s="26"/>
      <c r="H3200" s="32"/>
      <c r="I3200" s="32"/>
      <c r="J3200" s="32"/>
      <c r="K3200" s="32"/>
      <c r="L3200" s="32" t="e">
        <f ca="1">_xludf.ifna(VLOOKUP(E3200,Parámetros!$D$2:$E$34,2,0),"")</f>
        <v>#NAME?</v>
      </c>
      <c r="M3200" s="32" t="e">
        <f ca="1">_xludf.ifna(VLOOKUP(G3200,Proyectos!$A$2:$T$674,20,0),"")</f>
        <v>#NAME?</v>
      </c>
      <c r="N3200" s="32" t="e">
        <f ca="1">_xludf.ifna(VLOOKUP(G3200,Proyectos!$A$2:$S$674,19,0))</f>
        <v>#NAME?</v>
      </c>
      <c r="O3200" s="32"/>
      <c r="P3200" s="32"/>
      <c r="Q3200" s="33"/>
      <c r="R3200" s="33"/>
      <c r="S3200" s="33"/>
      <c r="T3200" s="63">
        <f t="shared" si="25"/>
        <v>0</v>
      </c>
      <c r="U3200" s="33"/>
      <c r="V3200" s="33"/>
      <c r="W3200" s="33"/>
    </row>
    <row r="3201" spans="1:23" ht="16.5" customHeight="1" x14ac:dyDescent="0.2">
      <c r="A3201" s="26"/>
      <c r="B3201" s="26"/>
      <c r="C3201" s="26"/>
      <c r="D3201" s="26"/>
      <c r="E3201" s="26"/>
      <c r="F3201" s="28"/>
      <c r="G3201" s="26"/>
      <c r="H3201" s="32"/>
      <c r="I3201" s="32"/>
      <c r="J3201" s="32"/>
      <c r="K3201" s="32"/>
      <c r="L3201" s="32" t="e">
        <f ca="1">_xludf.ifna(VLOOKUP(E3201,Parámetros!$D$2:$E$34,2,0),"")</f>
        <v>#NAME?</v>
      </c>
      <c r="M3201" s="32" t="e">
        <f ca="1">_xludf.ifna(VLOOKUP(G3201,Proyectos!$A$2:$T$674,20,0),"")</f>
        <v>#NAME?</v>
      </c>
      <c r="N3201" s="32" t="e">
        <f ca="1">_xludf.ifna(VLOOKUP(G3201,Proyectos!$A$2:$S$674,19,0))</f>
        <v>#NAME?</v>
      </c>
      <c r="O3201" s="32"/>
      <c r="P3201" s="32"/>
      <c r="Q3201" s="33"/>
      <c r="R3201" s="33"/>
      <c r="S3201" s="33"/>
      <c r="T3201" s="63">
        <f t="shared" si="25"/>
        <v>0</v>
      </c>
      <c r="U3201" s="33"/>
      <c r="V3201" s="33"/>
      <c r="W3201" s="33"/>
    </row>
    <row r="3202" spans="1:23" ht="16.5" customHeight="1" x14ac:dyDescent="0.2">
      <c r="A3202" s="26"/>
      <c r="B3202" s="26"/>
      <c r="C3202" s="26"/>
      <c r="D3202" s="26"/>
      <c r="E3202" s="26"/>
      <c r="F3202" s="28"/>
      <c r="G3202" s="26"/>
      <c r="H3202" s="32"/>
      <c r="I3202" s="32"/>
      <c r="J3202" s="32"/>
      <c r="K3202" s="32"/>
      <c r="L3202" s="32" t="e">
        <f ca="1">_xludf.ifna(VLOOKUP(E3202,Parámetros!$D$2:$E$34,2,0),"")</f>
        <v>#NAME?</v>
      </c>
      <c r="M3202" s="32" t="e">
        <f ca="1">_xludf.ifna(VLOOKUP(G3202,Proyectos!$A$2:$T$674,20,0),"")</f>
        <v>#NAME?</v>
      </c>
      <c r="N3202" s="32" t="e">
        <f ca="1">_xludf.ifna(VLOOKUP(G3202,Proyectos!$A$2:$S$674,19,0))</f>
        <v>#NAME?</v>
      </c>
      <c r="O3202" s="32"/>
      <c r="P3202" s="32"/>
      <c r="Q3202" s="33"/>
      <c r="R3202" s="33"/>
      <c r="S3202" s="33"/>
      <c r="T3202" s="63">
        <f t="shared" si="25"/>
        <v>0</v>
      </c>
      <c r="U3202" s="33"/>
      <c r="V3202" s="33"/>
      <c r="W3202" s="33"/>
    </row>
    <row r="3203" spans="1:23" ht="16.5" customHeight="1" x14ac:dyDescent="0.2">
      <c r="A3203" s="26"/>
      <c r="B3203" s="26"/>
      <c r="C3203" s="26"/>
      <c r="D3203" s="26"/>
      <c r="E3203" s="26"/>
      <c r="F3203" s="28"/>
      <c r="G3203" s="26"/>
      <c r="H3203" s="32"/>
      <c r="I3203" s="32"/>
      <c r="J3203" s="32"/>
      <c r="K3203" s="32"/>
      <c r="L3203" s="32" t="e">
        <f ca="1">_xludf.ifna(VLOOKUP(E3203,Parámetros!$D$2:$E$34,2,0),"")</f>
        <v>#NAME?</v>
      </c>
      <c r="M3203" s="32" t="e">
        <f ca="1">_xludf.ifna(VLOOKUP(G3203,Proyectos!$A$2:$T$674,20,0),"")</f>
        <v>#NAME?</v>
      </c>
      <c r="N3203" s="32" t="e">
        <f ca="1">_xludf.ifna(VLOOKUP(G3203,Proyectos!$A$2:$S$674,19,0))</f>
        <v>#NAME?</v>
      </c>
      <c r="O3203" s="32"/>
      <c r="P3203" s="32"/>
      <c r="Q3203" s="33"/>
      <c r="R3203" s="33"/>
      <c r="S3203" s="33"/>
      <c r="T3203" s="63">
        <f t="shared" si="25"/>
        <v>0</v>
      </c>
      <c r="U3203" s="33"/>
      <c r="V3203" s="33"/>
      <c r="W3203" s="33"/>
    </row>
    <row r="3204" spans="1:23" ht="16.5" customHeight="1" x14ac:dyDescent="0.2">
      <c r="A3204" s="26"/>
      <c r="B3204" s="26"/>
      <c r="C3204" s="26"/>
      <c r="D3204" s="26"/>
      <c r="E3204" s="26"/>
      <c r="F3204" s="28"/>
      <c r="G3204" s="26"/>
      <c r="H3204" s="32"/>
      <c r="I3204" s="32"/>
      <c r="J3204" s="32"/>
      <c r="K3204" s="32"/>
      <c r="L3204" s="32" t="e">
        <f ca="1">_xludf.ifna(VLOOKUP(E3204,Parámetros!$D$2:$E$34,2,0),"")</f>
        <v>#NAME?</v>
      </c>
      <c r="M3204" s="32" t="e">
        <f ca="1">_xludf.ifna(VLOOKUP(G3204,Proyectos!$A$2:$T$674,20,0),"")</f>
        <v>#NAME?</v>
      </c>
      <c r="N3204" s="32" t="e">
        <f ca="1">_xludf.ifna(VLOOKUP(G3204,Proyectos!$A$2:$S$674,19,0))</f>
        <v>#NAME?</v>
      </c>
      <c r="O3204" s="32"/>
      <c r="P3204" s="32"/>
      <c r="Q3204" s="33"/>
      <c r="R3204" s="33"/>
      <c r="S3204" s="33"/>
      <c r="T3204" s="63">
        <f t="shared" si="25"/>
        <v>0</v>
      </c>
      <c r="U3204" s="33"/>
      <c r="V3204" s="33"/>
      <c r="W3204" s="33"/>
    </row>
    <row r="3205" spans="1:23" ht="16.5" customHeight="1" x14ac:dyDescent="0.2">
      <c r="A3205" s="26"/>
      <c r="B3205" s="26"/>
      <c r="C3205" s="26"/>
      <c r="D3205" s="26"/>
      <c r="E3205" s="26"/>
      <c r="F3205" s="28"/>
      <c r="G3205" s="26"/>
      <c r="H3205" s="32"/>
      <c r="I3205" s="32"/>
      <c r="J3205" s="32"/>
      <c r="K3205" s="32"/>
      <c r="L3205" s="32" t="e">
        <f ca="1">_xludf.ifna(VLOOKUP(E3205,Parámetros!$D$2:$E$34,2,0),"")</f>
        <v>#NAME?</v>
      </c>
      <c r="M3205" s="32" t="e">
        <f ca="1">_xludf.ifna(VLOOKUP(G3205,Proyectos!$A$2:$T$674,20,0),"")</f>
        <v>#NAME?</v>
      </c>
      <c r="N3205" s="32" t="e">
        <f ca="1">_xludf.ifna(VLOOKUP(G3205,Proyectos!$A$2:$S$674,19,0))</f>
        <v>#NAME?</v>
      </c>
      <c r="O3205" s="32"/>
      <c r="P3205" s="32"/>
      <c r="Q3205" s="33"/>
      <c r="R3205" s="33"/>
      <c r="S3205" s="33"/>
      <c r="T3205" s="63">
        <f t="shared" si="25"/>
        <v>0</v>
      </c>
      <c r="U3205" s="33"/>
      <c r="V3205" s="33"/>
      <c r="W3205" s="33"/>
    </row>
    <row r="3206" spans="1:23" ht="16.5" customHeight="1" x14ac:dyDescent="0.2">
      <c r="A3206" s="26"/>
      <c r="B3206" s="26"/>
      <c r="C3206" s="26"/>
      <c r="D3206" s="26"/>
      <c r="E3206" s="26"/>
      <c r="F3206" s="28"/>
      <c r="G3206" s="26"/>
      <c r="H3206" s="32"/>
      <c r="I3206" s="32"/>
      <c r="J3206" s="32"/>
      <c r="K3206" s="32"/>
      <c r="L3206" s="32" t="e">
        <f ca="1">_xludf.ifna(VLOOKUP(E3206,Parámetros!$D$2:$E$34,2,0),"")</f>
        <v>#NAME?</v>
      </c>
      <c r="M3206" s="32" t="e">
        <f ca="1">_xludf.ifna(VLOOKUP(G3206,Proyectos!$A$2:$T$674,20,0),"")</f>
        <v>#NAME?</v>
      </c>
      <c r="N3206" s="32" t="e">
        <f ca="1">_xludf.ifna(VLOOKUP(G3206,Proyectos!$A$2:$S$674,19,0))</f>
        <v>#NAME?</v>
      </c>
      <c r="O3206" s="32"/>
      <c r="P3206" s="32"/>
      <c r="Q3206" s="33"/>
      <c r="R3206" s="33"/>
      <c r="S3206" s="33"/>
      <c r="T3206" s="63">
        <f t="shared" si="25"/>
        <v>0</v>
      </c>
      <c r="U3206" s="33"/>
      <c r="V3206" s="33"/>
      <c r="W3206" s="33"/>
    </row>
    <row r="3207" spans="1:23" ht="16.5" customHeight="1" x14ac:dyDescent="0.2">
      <c r="A3207" s="26"/>
      <c r="B3207" s="26"/>
      <c r="C3207" s="26"/>
      <c r="D3207" s="26"/>
      <c r="E3207" s="26"/>
      <c r="F3207" s="28"/>
      <c r="G3207" s="26"/>
      <c r="H3207" s="32"/>
      <c r="I3207" s="32"/>
      <c r="J3207" s="32"/>
      <c r="K3207" s="32"/>
      <c r="L3207" s="32" t="e">
        <f ca="1">_xludf.ifna(VLOOKUP(E3207,Parámetros!$D$2:$E$34,2,0),"")</f>
        <v>#NAME?</v>
      </c>
      <c r="M3207" s="32" t="e">
        <f ca="1">_xludf.ifna(VLOOKUP(G3207,Proyectos!$A$2:$T$674,20,0),"")</f>
        <v>#NAME?</v>
      </c>
      <c r="N3207" s="32" t="e">
        <f ca="1">_xludf.ifna(VLOOKUP(G3207,Proyectos!$A$2:$S$674,19,0))</f>
        <v>#NAME?</v>
      </c>
      <c r="O3207" s="32"/>
      <c r="P3207" s="32"/>
      <c r="Q3207" s="33"/>
      <c r="R3207" s="33"/>
      <c r="S3207" s="33"/>
      <c r="T3207" s="63">
        <f t="shared" si="25"/>
        <v>0</v>
      </c>
      <c r="U3207" s="33"/>
      <c r="V3207" s="33"/>
      <c r="W3207" s="33"/>
    </row>
    <row r="3208" spans="1:23" ht="16.5" customHeight="1" x14ac:dyDescent="0.2">
      <c r="A3208" s="26"/>
      <c r="B3208" s="26"/>
      <c r="C3208" s="26"/>
      <c r="D3208" s="26"/>
      <c r="E3208" s="26"/>
      <c r="F3208" s="28"/>
      <c r="G3208" s="26"/>
      <c r="H3208" s="32"/>
      <c r="I3208" s="32"/>
      <c r="J3208" s="32"/>
      <c r="K3208" s="32"/>
      <c r="L3208" s="32" t="e">
        <f ca="1">_xludf.ifna(VLOOKUP(E3208,Parámetros!$D$2:$E$34,2,0),"")</f>
        <v>#NAME?</v>
      </c>
      <c r="M3208" s="32" t="e">
        <f ca="1">_xludf.ifna(VLOOKUP(G3208,Proyectos!$A$2:$T$674,20,0),"")</f>
        <v>#NAME?</v>
      </c>
      <c r="N3208" s="32" t="e">
        <f ca="1">_xludf.ifna(VLOOKUP(G3208,Proyectos!$A$2:$S$674,19,0))</f>
        <v>#NAME?</v>
      </c>
      <c r="O3208" s="32"/>
      <c r="P3208" s="32"/>
      <c r="Q3208" s="33"/>
      <c r="R3208" s="33"/>
      <c r="S3208" s="33"/>
      <c r="T3208" s="63">
        <f t="shared" si="25"/>
        <v>0</v>
      </c>
      <c r="U3208" s="33"/>
      <c r="V3208" s="33"/>
      <c r="W3208" s="33"/>
    </row>
    <row r="3209" spans="1:23" ht="16.5" customHeight="1" x14ac:dyDescent="0.2">
      <c r="A3209" s="26"/>
      <c r="B3209" s="26"/>
      <c r="C3209" s="26"/>
      <c r="D3209" s="26"/>
      <c r="E3209" s="26"/>
      <c r="F3209" s="28"/>
      <c r="G3209" s="26"/>
      <c r="H3209" s="32"/>
      <c r="I3209" s="32"/>
      <c r="J3209" s="32"/>
      <c r="K3209" s="32"/>
      <c r="L3209" s="32" t="e">
        <f ca="1">_xludf.ifna(VLOOKUP(E3209,Parámetros!$D$2:$E$34,2,0),"")</f>
        <v>#NAME?</v>
      </c>
      <c r="M3209" s="32" t="e">
        <f ca="1">_xludf.ifna(VLOOKUP(G3209,Proyectos!$A$2:$T$674,20,0),"")</f>
        <v>#NAME?</v>
      </c>
      <c r="N3209" s="32" t="e">
        <f ca="1">_xludf.ifna(VLOOKUP(G3209,Proyectos!$A$2:$S$674,19,0))</f>
        <v>#NAME?</v>
      </c>
      <c r="O3209" s="32"/>
      <c r="P3209" s="32"/>
      <c r="Q3209" s="33"/>
      <c r="R3209" s="33"/>
      <c r="S3209" s="33"/>
      <c r="T3209" s="63">
        <f t="shared" si="25"/>
        <v>0</v>
      </c>
      <c r="U3209" s="33"/>
      <c r="V3209" s="33"/>
      <c r="W3209" s="33"/>
    </row>
    <row r="3210" spans="1:23" ht="16.5" customHeight="1" x14ac:dyDescent="0.2">
      <c r="A3210" s="26"/>
      <c r="B3210" s="26"/>
      <c r="C3210" s="26"/>
      <c r="D3210" s="26"/>
      <c r="E3210" s="26"/>
      <c r="F3210" s="28"/>
      <c r="G3210" s="26"/>
      <c r="H3210" s="32"/>
      <c r="I3210" s="32"/>
      <c r="J3210" s="32"/>
      <c r="K3210" s="32"/>
      <c r="L3210" s="32" t="e">
        <f ca="1">_xludf.ifna(VLOOKUP(E3210,Parámetros!$D$2:$E$34,2,0),"")</f>
        <v>#NAME?</v>
      </c>
      <c r="M3210" s="32" t="e">
        <f ca="1">_xludf.ifna(VLOOKUP(G3210,Proyectos!$A$2:$T$674,20,0),"")</f>
        <v>#NAME?</v>
      </c>
      <c r="N3210" s="32" t="e">
        <f ca="1">_xludf.ifna(VLOOKUP(G3210,Proyectos!$A$2:$S$674,19,0))</f>
        <v>#NAME?</v>
      </c>
      <c r="O3210" s="32"/>
      <c r="P3210" s="32"/>
      <c r="Q3210" s="33"/>
      <c r="R3210" s="33"/>
      <c r="S3210" s="33"/>
      <c r="T3210" s="63">
        <f t="shared" si="25"/>
        <v>0</v>
      </c>
      <c r="U3210" s="33"/>
      <c r="V3210" s="33"/>
      <c r="W3210" s="33"/>
    </row>
    <row r="3211" spans="1:23" ht="16.5" customHeight="1" x14ac:dyDescent="0.2">
      <c r="A3211" s="26"/>
      <c r="B3211" s="26"/>
      <c r="C3211" s="26"/>
      <c r="D3211" s="26"/>
      <c r="E3211" s="26"/>
      <c r="F3211" s="28"/>
      <c r="G3211" s="26"/>
      <c r="H3211" s="32"/>
      <c r="I3211" s="32"/>
      <c r="J3211" s="32"/>
      <c r="K3211" s="32"/>
      <c r="L3211" s="32" t="e">
        <f ca="1">_xludf.ifna(VLOOKUP(E3211,Parámetros!$D$2:$E$34,2,0),"")</f>
        <v>#NAME?</v>
      </c>
      <c r="M3211" s="32" t="e">
        <f ca="1">_xludf.ifna(VLOOKUP(G3211,Proyectos!$A$2:$T$674,20,0),"")</f>
        <v>#NAME?</v>
      </c>
      <c r="N3211" s="32" t="e">
        <f ca="1">_xludf.ifna(VLOOKUP(G3211,Proyectos!$A$2:$S$674,19,0))</f>
        <v>#NAME?</v>
      </c>
      <c r="O3211" s="32"/>
      <c r="P3211" s="32"/>
      <c r="Q3211" s="33"/>
      <c r="R3211" s="33"/>
      <c r="S3211" s="33"/>
      <c r="T3211" s="63">
        <f t="shared" si="25"/>
        <v>0</v>
      </c>
      <c r="U3211" s="33"/>
      <c r="V3211" s="33"/>
      <c r="W3211" s="33"/>
    </row>
    <row r="3212" spans="1:23" ht="16.5" customHeight="1" x14ac:dyDescent="0.2">
      <c r="A3212" s="26"/>
      <c r="B3212" s="26"/>
      <c r="C3212" s="26"/>
      <c r="D3212" s="26"/>
      <c r="E3212" s="26"/>
      <c r="F3212" s="28"/>
      <c r="G3212" s="26"/>
      <c r="H3212" s="32"/>
      <c r="I3212" s="32"/>
      <c r="J3212" s="32"/>
      <c r="K3212" s="32"/>
      <c r="L3212" s="32" t="e">
        <f ca="1">_xludf.ifna(VLOOKUP(E3212,Parámetros!$D$2:$E$34,2,0),"")</f>
        <v>#NAME?</v>
      </c>
      <c r="M3212" s="32" t="e">
        <f ca="1">_xludf.ifna(VLOOKUP(G3212,Proyectos!$A$2:$T$674,20,0),"")</f>
        <v>#NAME?</v>
      </c>
      <c r="N3212" s="32" t="e">
        <f ca="1">_xludf.ifna(VLOOKUP(G3212,Proyectos!$A$2:$S$674,19,0))</f>
        <v>#NAME?</v>
      </c>
      <c r="O3212" s="32"/>
      <c r="P3212" s="32"/>
      <c r="Q3212" s="33"/>
      <c r="R3212" s="33"/>
      <c r="S3212" s="33"/>
      <c r="T3212" s="63">
        <f t="shared" si="25"/>
        <v>0</v>
      </c>
      <c r="U3212" s="33"/>
      <c r="V3212" s="33"/>
      <c r="W3212" s="33"/>
    </row>
    <row r="3213" spans="1:23" ht="16.5" customHeight="1" x14ac:dyDescent="0.2">
      <c r="A3213" s="26"/>
      <c r="B3213" s="26"/>
      <c r="C3213" s="26"/>
      <c r="D3213" s="26"/>
      <c r="E3213" s="26"/>
      <c r="F3213" s="28"/>
      <c r="G3213" s="26"/>
      <c r="H3213" s="32"/>
      <c r="I3213" s="32"/>
      <c r="J3213" s="32"/>
      <c r="K3213" s="32"/>
      <c r="L3213" s="32" t="e">
        <f ca="1">_xludf.ifna(VLOOKUP(E3213,Parámetros!$D$2:$E$34,2,0),"")</f>
        <v>#NAME?</v>
      </c>
      <c r="M3213" s="32" t="e">
        <f ca="1">_xludf.ifna(VLOOKUP(G3213,Proyectos!$A$2:$T$674,20,0),"")</f>
        <v>#NAME?</v>
      </c>
      <c r="N3213" s="32" t="e">
        <f ca="1">_xludf.ifna(VLOOKUP(G3213,Proyectos!$A$2:$S$674,19,0))</f>
        <v>#NAME?</v>
      </c>
      <c r="O3213" s="32"/>
      <c r="P3213" s="32"/>
      <c r="Q3213" s="33"/>
      <c r="R3213" s="33"/>
      <c r="S3213" s="33"/>
      <c r="T3213" s="63">
        <f t="shared" si="25"/>
        <v>0</v>
      </c>
      <c r="U3213" s="33"/>
      <c r="V3213" s="33"/>
      <c r="W3213" s="33"/>
    </row>
    <row r="3214" spans="1:23" ht="16.5" customHeight="1" x14ac:dyDescent="0.2">
      <c r="A3214" s="26"/>
      <c r="B3214" s="26"/>
      <c r="C3214" s="26"/>
      <c r="D3214" s="26"/>
      <c r="E3214" s="26"/>
      <c r="F3214" s="28"/>
      <c r="G3214" s="26"/>
      <c r="H3214" s="32"/>
      <c r="I3214" s="32"/>
      <c r="J3214" s="32"/>
      <c r="K3214" s="32"/>
      <c r="L3214" s="32" t="e">
        <f ca="1">_xludf.ifna(VLOOKUP(E3214,Parámetros!$D$2:$E$34,2,0),"")</f>
        <v>#NAME?</v>
      </c>
      <c r="M3214" s="32" t="e">
        <f ca="1">_xludf.ifna(VLOOKUP(G3214,Proyectos!$A$2:$T$674,20,0),"")</f>
        <v>#NAME?</v>
      </c>
      <c r="N3214" s="32" t="e">
        <f ca="1">_xludf.ifna(VLOOKUP(G3214,Proyectos!$A$2:$S$674,19,0))</f>
        <v>#NAME?</v>
      </c>
      <c r="O3214" s="32"/>
      <c r="P3214" s="32"/>
      <c r="Q3214" s="33"/>
      <c r="R3214" s="33"/>
      <c r="S3214" s="33"/>
      <c r="T3214" s="63">
        <f t="shared" si="25"/>
        <v>0</v>
      </c>
      <c r="U3214" s="33"/>
      <c r="V3214" s="33"/>
      <c r="W3214" s="33"/>
    </row>
    <row r="3215" spans="1:23" ht="16.5" customHeight="1" x14ac:dyDescent="0.2">
      <c r="A3215" s="26"/>
      <c r="B3215" s="26"/>
      <c r="C3215" s="26"/>
      <c r="D3215" s="26"/>
      <c r="E3215" s="26"/>
      <c r="F3215" s="28"/>
      <c r="G3215" s="26"/>
      <c r="H3215" s="32"/>
      <c r="I3215" s="32"/>
      <c r="J3215" s="32"/>
      <c r="K3215" s="32"/>
      <c r="L3215" s="32" t="e">
        <f ca="1">_xludf.ifna(VLOOKUP(E3215,Parámetros!$D$2:$E$34,2,0),"")</f>
        <v>#NAME?</v>
      </c>
      <c r="M3215" s="32" t="e">
        <f ca="1">_xludf.ifna(VLOOKUP(G3215,Proyectos!$A$2:$T$674,20,0),"")</f>
        <v>#NAME?</v>
      </c>
      <c r="N3215" s="32" t="e">
        <f ca="1">_xludf.ifna(VLOOKUP(G3215,Proyectos!$A$2:$S$674,19,0))</f>
        <v>#NAME?</v>
      </c>
      <c r="O3215" s="32"/>
      <c r="P3215" s="32"/>
      <c r="Q3215" s="33"/>
      <c r="R3215" s="33"/>
      <c r="S3215" s="33"/>
      <c r="T3215" s="63">
        <f t="shared" si="25"/>
        <v>0</v>
      </c>
      <c r="U3215" s="33"/>
      <c r="V3215" s="33"/>
      <c r="W3215" s="33"/>
    </row>
    <row r="3216" spans="1:23" ht="16.5" customHeight="1" x14ac:dyDescent="0.2">
      <c r="A3216" s="26"/>
      <c r="B3216" s="26"/>
      <c r="C3216" s="26"/>
      <c r="D3216" s="26"/>
      <c r="E3216" s="26"/>
      <c r="F3216" s="28"/>
      <c r="G3216" s="26"/>
      <c r="H3216" s="32"/>
      <c r="I3216" s="32"/>
      <c r="J3216" s="32"/>
      <c r="K3216" s="32"/>
      <c r="L3216" s="32" t="e">
        <f ca="1">_xludf.ifna(VLOOKUP(E3216,Parámetros!$D$2:$E$34,2,0),"")</f>
        <v>#NAME?</v>
      </c>
      <c r="M3216" s="32" t="e">
        <f ca="1">_xludf.ifna(VLOOKUP(G3216,Proyectos!$A$2:$T$674,20,0),"")</f>
        <v>#NAME?</v>
      </c>
      <c r="N3216" s="32" t="e">
        <f ca="1">_xludf.ifna(VLOOKUP(G3216,Proyectos!$A$2:$S$674,19,0))</f>
        <v>#NAME?</v>
      </c>
      <c r="O3216" s="32"/>
      <c r="P3216" s="32"/>
      <c r="Q3216" s="33"/>
      <c r="R3216" s="33"/>
      <c r="S3216" s="33"/>
      <c r="T3216" s="63">
        <f t="shared" si="25"/>
        <v>0</v>
      </c>
      <c r="U3216" s="33"/>
      <c r="V3216" s="33"/>
      <c r="W3216" s="33"/>
    </row>
    <row r="3217" spans="1:23" ht="16.5" customHeight="1" x14ac:dyDescent="0.2">
      <c r="A3217" s="26"/>
      <c r="B3217" s="26"/>
      <c r="C3217" s="26"/>
      <c r="D3217" s="26"/>
      <c r="E3217" s="26"/>
      <c r="F3217" s="28"/>
      <c r="G3217" s="26"/>
      <c r="H3217" s="32"/>
      <c r="I3217" s="32"/>
      <c r="J3217" s="32"/>
      <c r="K3217" s="32"/>
      <c r="L3217" s="32" t="e">
        <f ca="1">_xludf.ifna(VLOOKUP(E3217,Parámetros!$D$2:$E$34,2,0),"")</f>
        <v>#NAME?</v>
      </c>
      <c r="M3217" s="32" t="e">
        <f ca="1">_xludf.ifna(VLOOKUP(G3217,Proyectos!$A$2:$T$674,20,0),"")</f>
        <v>#NAME?</v>
      </c>
      <c r="N3217" s="32" t="e">
        <f ca="1">_xludf.ifna(VLOOKUP(G3217,Proyectos!$A$2:$S$674,19,0))</f>
        <v>#NAME?</v>
      </c>
      <c r="O3217" s="32"/>
      <c r="P3217" s="32"/>
      <c r="Q3217" s="33"/>
      <c r="R3217" s="33"/>
      <c r="S3217" s="33"/>
      <c r="T3217" s="63">
        <f t="shared" si="25"/>
        <v>0</v>
      </c>
      <c r="U3217" s="33"/>
      <c r="V3217" s="33"/>
      <c r="W3217" s="33"/>
    </row>
    <row r="3218" spans="1:23" ht="16.5" customHeight="1" x14ac:dyDescent="0.2">
      <c r="A3218" s="26"/>
      <c r="B3218" s="26"/>
      <c r="C3218" s="26"/>
      <c r="D3218" s="26"/>
      <c r="E3218" s="26"/>
      <c r="F3218" s="28"/>
      <c r="G3218" s="26"/>
      <c r="H3218" s="32"/>
      <c r="I3218" s="32"/>
      <c r="J3218" s="32"/>
      <c r="K3218" s="32"/>
      <c r="L3218" s="32" t="e">
        <f ca="1">_xludf.ifna(VLOOKUP(E3218,Parámetros!$D$2:$E$34,2,0),"")</f>
        <v>#NAME?</v>
      </c>
      <c r="M3218" s="32" t="e">
        <f ca="1">_xludf.ifna(VLOOKUP(G3218,Proyectos!$A$2:$T$674,20,0),"")</f>
        <v>#NAME?</v>
      </c>
      <c r="N3218" s="32" t="e">
        <f ca="1">_xludf.ifna(VLOOKUP(G3218,Proyectos!$A$2:$S$674,19,0))</f>
        <v>#NAME?</v>
      </c>
      <c r="O3218" s="32"/>
      <c r="P3218" s="32"/>
      <c r="Q3218" s="33"/>
      <c r="R3218" s="33"/>
      <c r="S3218" s="33"/>
      <c r="T3218" s="63">
        <f t="shared" si="25"/>
        <v>0</v>
      </c>
      <c r="U3218" s="33"/>
      <c r="V3218" s="33"/>
      <c r="W3218" s="33"/>
    </row>
    <row r="3219" spans="1:23" ht="16.5" customHeight="1" x14ac:dyDescent="0.2">
      <c r="A3219" s="26"/>
      <c r="B3219" s="26"/>
      <c r="C3219" s="26"/>
      <c r="D3219" s="26"/>
      <c r="E3219" s="26"/>
      <c r="F3219" s="28"/>
      <c r="G3219" s="26"/>
      <c r="H3219" s="32"/>
      <c r="I3219" s="32"/>
      <c r="J3219" s="32"/>
      <c r="K3219" s="32"/>
      <c r="L3219" s="32" t="e">
        <f ca="1">_xludf.ifna(VLOOKUP(E3219,Parámetros!$D$2:$E$34,2,0),"")</f>
        <v>#NAME?</v>
      </c>
      <c r="M3219" s="32" t="e">
        <f ca="1">_xludf.ifna(VLOOKUP(G3219,Proyectos!$A$2:$T$674,20,0),"")</f>
        <v>#NAME?</v>
      </c>
      <c r="N3219" s="32" t="e">
        <f ca="1">_xludf.ifna(VLOOKUP(G3219,Proyectos!$A$2:$S$674,19,0))</f>
        <v>#NAME?</v>
      </c>
      <c r="O3219" s="32"/>
      <c r="P3219" s="32"/>
      <c r="Q3219" s="33"/>
      <c r="R3219" s="33"/>
      <c r="S3219" s="33"/>
      <c r="T3219" s="63">
        <f t="shared" si="25"/>
        <v>0</v>
      </c>
      <c r="U3219" s="33"/>
      <c r="V3219" s="33"/>
      <c r="W3219" s="33"/>
    </row>
    <row r="3220" spans="1:23" ht="16.5" customHeight="1" x14ac:dyDescent="0.2">
      <c r="A3220" s="26"/>
      <c r="B3220" s="26"/>
      <c r="C3220" s="26"/>
      <c r="D3220" s="26"/>
      <c r="E3220" s="26"/>
      <c r="F3220" s="28"/>
      <c r="G3220" s="26"/>
      <c r="H3220" s="32"/>
      <c r="I3220" s="32"/>
      <c r="J3220" s="32"/>
      <c r="K3220" s="32"/>
      <c r="L3220" s="32" t="e">
        <f ca="1">_xludf.ifna(VLOOKUP(E3220,Parámetros!$D$2:$E$34,2,0),"")</f>
        <v>#NAME?</v>
      </c>
      <c r="M3220" s="32" t="e">
        <f ca="1">_xludf.ifna(VLOOKUP(G3220,Proyectos!$A$2:$T$674,20,0),"")</f>
        <v>#NAME?</v>
      </c>
      <c r="N3220" s="32" t="e">
        <f ca="1">_xludf.ifna(VLOOKUP(G3220,Proyectos!$A$2:$S$674,19,0))</f>
        <v>#NAME?</v>
      </c>
      <c r="O3220" s="32"/>
      <c r="P3220" s="32"/>
      <c r="Q3220" s="33"/>
      <c r="R3220" s="33"/>
      <c r="S3220" s="33"/>
      <c r="T3220" s="63">
        <f t="shared" si="25"/>
        <v>0</v>
      </c>
      <c r="U3220" s="33"/>
      <c r="V3220" s="33"/>
      <c r="W3220" s="33"/>
    </row>
    <row r="3221" spans="1:23" ht="16.5" customHeight="1" x14ac:dyDescent="0.2">
      <c r="A3221" s="26"/>
      <c r="B3221" s="26"/>
      <c r="C3221" s="26"/>
      <c r="D3221" s="26"/>
      <c r="E3221" s="26"/>
      <c r="F3221" s="28"/>
      <c r="G3221" s="26"/>
      <c r="H3221" s="32"/>
      <c r="I3221" s="32"/>
      <c r="J3221" s="32"/>
      <c r="K3221" s="32"/>
      <c r="L3221" s="32" t="e">
        <f ca="1">_xludf.ifna(VLOOKUP(E3221,Parámetros!$D$2:$E$34,2,0),"")</f>
        <v>#NAME?</v>
      </c>
      <c r="M3221" s="32" t="e">
        <f ca="1">_xludf.ifna(VLOOKUP(G3221,Proyectos!$A$2:$T$674,20,0),"")</f>
        <v>#NAME?</v>
      </c>
      <c r="N3221" s="32" t="e">
        <f ca="1">_xludf.ifna(VLOOKUP(G3221,Proyectos!$A$2:$S$674,19,0))</f>
        <v>#NAME?</v>
      </c>
      <c r="O3221" s="32"/>
      <c r="P3221" s="32"/>
      <c r="Q3221" s="33"/>
      <c r="R3221" s="33"/>
      <c r="S3221" s="33"/>
      <c r="T3221" s="63">
        <f t="shared" si="25"/>
        <v>0</v>
      </c>
      <c r="U3221" s="33"/>
      <c r="V3221" s="33"/>
      <c r="W3221" s="33"/>
    </row>
    <row r="3222" spans="1:23" ht="16.5" customHeight="1" x14ac:dyDescent="0.2">
      <c r="A3222" s="26"/>
      <c r="B3222" s="26"/>
      <c r="C3222" s="26"/>
      <c r="D3222" s="26"/>
      <c r="E3222" s="26"/>
      <c r="F3222" s="28"/>
      <c r="G3222" s="26"/>
      <c r="H3222" s="32"/>
      <c r="I3222" s="32"/>
      <c r="J3222" s="32"/>
      <c r="K3222" s="32"/>
      <c r="L3222" s="32" t="e">
        <f ca="1">_xludf.ifna(VLOOKUP(E3222,Parámetros!$D$2:$E$34,2,0),"")</f>
        <v>#NAME?</v>
      </c>
      <c r="M3222" s="32" t="e">
        <f ca="1">_xludf.ifna(VLOOKUP(G3222,Proyectos!$A$2:$T$674,20,0),"")</f>
        <v>#NAME?</v>
      </c>
      <c r="N3222" s="32" t="e">
        <f ca="1">_xludf.ifna(VLOOKUP(G3222,Proyectos!$A$2:$S$674,19,0))</f>
        <v>#NAME?</v>
      </c>
      <c r="O3222" s="32"/>
      <c r="P3222" s="32"/>
      <c r="Q3222" s="33"/>
      <c r="R3222" s="33"/>
      <c r="S3222" s="33"/>
      <c r="T3222" s="63">
        <f t="shared" si="25"/>
        <v>0</v>
      </c>
      <c r="U3222" s="33"/>
      <c r="V3222" s="33"/>
      <c r="W3222" s="33"/>
    </row>
    <row r="3223" spans="1:23" ht="16.5" customHeight="1" x14ac:dyDescent="0.2">
      <c r="A3223" s="26"/>
      <c r="B3223" s="26"/>
      <c r="C3223" s="26"/>
      <c r="D3223" s="26"/>
      <c r="E3223" s="26"/>
      <c r="F3223" s="28"/>
      <c r="G3223" s="26"/>
      <c r="H3223" s="32"/>
      <c r="I3223" s="32"/>
      <c r="J3223" s="32"/>
      <c r="K3223" s="32"/>
      <c r="L3223" s="32" t="e">
        <f ca="1">_xludf.ifna(VLOOKUP(E3223,Parámetros!$D$2:$E$34,2,0),"")</f>
        <v>#NAME?</v>
      </c>
      <c r="M3223" s="32" t="e">
        <f ca="1">_xludf.ifna(VLOOKUP(G3223,Proyectos!$A$2:$T$674,20,0),"")</f>
        <v>#NAME?</v>
      </c>
      <c r="N3223" s="32" t="e">
        <f ca="1">_xludf.ifna(VLOOKUP(G3223,Proyectos!$A$2:$S$674,19,0))</f>
        <v>#NAME?</v>
      </c>
      <c r="O3223" s="32"/>
      <c r="P3223" s="32"/>
      <c r="Q3223" s="33"/>
      <c r="R3223" s="33"/>
      <c r="S3223" s="33"/>
      <c r="T3223" s="63">
        <f t="shared" si="25"/>
        <v>0</v>
      </c>
      <c r="U3223" s="33"/>
      <c r="V3223" s="33"/>
      <c r="W3223" s="33"/>
    </row>
    <row r="3224" spans="1:23" ht="16.5" customHeight="1" x14ac:dyDescent="0.2">
      <c r="A3224" s="26"/>
      <c r="B3224" s="26"/>
      <c r="C3224" s="26"/>
      <c r="D3224" s="26"/>
      <c r="E3224" s="26"/>
      <c r="F3224" s="28"/>
      <c r="G3224" s="26"/>
      <c r="H3224" s="32"/>
      <c r="I3224" s="32"/>
      <c r="J3224" s="32"/>
      <c r="K3224" s="32"/>
      <c r="L3224" s="32" t="e">
        <f ca="1">_xludf.ifna(VLOOKUP(E3224,Parámetros!$D$2:$E$34,2,0),"")</f>
        <v>#NAME?</v>
      </c>
      <c r="M3224" s="32" t="e">
        <f ca="1">_xludf.ifna(VLOOKUP(G3224,Proyectos!$A$2:$T$674,20,0),"")</f>
        <v>#NAME?</v>
      </c>
      <c r="N3224" s="32" t="e">
        <f ca="1">_xludf.ifna(VLOOKUP(G3224,Proyectos!$A$2:$S$674,19,0))</f>
        <v>#NAME?</v>
      </c>
      <c r="O3224" s="32"/>
      <c r="P3224" s="32"/>
      <c r="Q3224" s="33"/>
      <c r="R3224" s="33"/>
      <c r="S3224" s="33"/>
      <c r="T3224" s="63">
        <f t="shared" si="25"/>
        <v>0</v>
      </c>
      <c r="U3224" s="33"/>
      <c r="V3224" s="33"/>
      <c r="W3224" s="33"/>
    </row>
    <row r="3225" spans="1:23" ht="16.5" customHeight="1" x14ac:dyDescent="0.2">
      <c r="A3225" s="26"/>
      <c r="B3225" s="26"/>
      <c r="C3225" s="26"/>
      <c r="D3225" s="26"/>
      <c r="E3225" s="26"/>
      <c r="F3225" s="28"/>
      <c r="G3225" s="26"/>
      <c r="H3225" s="32"/>
      <c r="I3225" s="32"/>
      <c r="J3225" s="32"/>
      <c r="K3225" s="32"/>
      <c r="L3225" s="32" t="e">
        <f ca="1">_xludf.ifna(VLOOKUP(E3225,Parámetros!$D$2:$E$34,2,0),"")</f>
        <v>#NAME?</v>
      </c>
      <c r="M3225" s="32" t="e">
        <f ca="1">_xludf.ifna(VLOOKUP(G3225,Proyectos!$A$2:$T$674,20,0),"")</f>
        <v>#NAME?</v>
      </c>
      <c r="N3225" s="32" t="e">
        <f ca="1">_xludf.ifna(VLOOKUP(G3225,Proyectos!$A$2:$S$674,19,0))</f>
        <v>#NAME?</v>
      </c>
      <c r="O3225" s="32"/>
      <c r="P3225" s="32"/>
      <c r="Q3225" s="33"/>
      <c r="R3225" s="33"/>
      <c r="S3225" s="33"/>
      <c r="T3225" s="63">
        <f t="shared" si="25"/>
        <v>0</v>
      </c>
      <c r="U3225" s="33"/>
      <c r="V3225" s="33"/>
      <c r="W3225" s="33"/>
    </row>
    <row r="3226" spans="1:23" ht="16.5" customHeight="1" x14ac:dyDescent="0.2">
      <c r="A3226" s="26"/>
      <c r="B3226" s="26"/>
      <c r="C3226" s="26"/>
      <c r="D3226" s="26"/>
      <c r="E3226" s="26"/>
      <c r="F3226" s="28"/>
      <c r="G3226" s="26"/>
      <c r="H3226" s="32"/>
      <c r="I3226" s="32"/>
      <c r="J3226" s="32"/>
      <c r="K3226" s="32"/>
      <c r="L3226" s="32" t="e">
        <f ca="1">_xludf.ifna(VLOOKUP(E3226,Parámetros!$D$2:$E$34,2,0),"")</f>
        <v>#NAME?</v>
      </c>
      <c r="M3226" s="32" t="e">
        <f ca="1">_xludf.ifna(VLOOKUP(G3226,Proyectos!$A$2:$T$674,20,0),"")</f>
        <v>#NAME?</v>
      </c>
      <c r="N3226" s="32" t="e">
        <f ca="1">_xludf.ifna(VLOOKUP(G3226,Proyectos!$A$2:$S$674,19,0))</f>
        <v>#NAME?</v>
      </c>
      <c r="O3226" s="32"/>
      <c r="P3226" s="32"/>
      <c r="Q3226" s="33"/>
      <c r="R3226" s="33"/>
      <c r="S3226" s="33"/>
      <c r="T3226" s="63">
        <f t="shared" si="25"/>
        <v>0</v>
      </c>
      <c r="U3226" s="33"/>
      <c r="V3226" s="33"/>
      <c r="W3226" s="33"/>
    </row>
    <row r="3227" spans="1:23" ht="16.5" customHeight="1" x14ac:dyDescent="0.2">
      <c r="A3227" s="26"/>
      <c r="B3227" s="26"/>
      <c r="C3227" s="26"/>
      <c r="D3227" s="26"/>
      <c r="E3227" s="26"/>
      <c r="F3227" s="28"/>
      <c r="G3227" s="26"/>
      <c r="H3227" s="32"/>
      <c r="I3227" s="32"/>
      <c r="J3227" s="32"/>
      <c r="K3227" s="32"/>
      <c r="L3227" s="32" t="e">
        <f ca="1">_xludf.ifna(VLOOKUP(E3227,Parámetros!$D$2:$E$34,2,0),"")</f>
        <v>#NAME?</v>
      </c>
      <c r="M3227" s="32" t="e">
        <f ca="1">_xludf.ifna(VLOOKUP(G3227,Proyectos!$A$2:$T$674,20,0),"")</f>
        <v>#NAME?</v>
      </c>
      <c r="N3227" s="32" t="e">
        <f ca="1">_xludf.ifna(VLOOKUP(G3227,Proyectos!$A$2:$S$674,19,0))</f>
        <v>#NAME?</v>
      </c>
      <c r="O3227" s="32"/>
      <c r="P3227" s="32"/>
      <c r="Q3227" s="33"/>
      <c r="R3227" s="33"/>
      <c r="S3227" s="33"/>
      <c r="T3227" s="63">
        <f t="shared" si="25"/>
        <v>0</v>
      </c>
      <c r="U3227" s="33"/>
      <c r="V3227" s="33"/>
      <c r="W3227" s="33"/>
    </row>
    <row r="3228" spans="1:23" ht="16.5" customHeight="1" x14ac:dyDescent="0.2">
      <c r="A3228" s="26"/>
      <c r="B3228" s="26"/>
      <c r="C3228" s="26"/>
      <c r="D3228" s="26"/>
      <c r="E3228" s="26"/>
      <c r="F3228" s="28"/>
      <c r="G3228" s="26"/>
      <c r="H3228" s="32"/>
      <c r="I3228" s="32"/>
      <c r="J3228" s="32"/>
      <c r="K3228" s="32"/>
      <c r="L3228" s="32" t="e">
        <f ca="1">_xludf.ifna(VLOOKUP(E3228,Parámetros!$D$2:$E$34,2,0),"")</f>
        <v>#NAME?</v>
      </c>
      <c r="M3228" s="32" t="e">
        <f ca="1">_xludf.ifna(VLOOKUP(G3228,Proyectos!$A$2:$T$674,20,0),"")</f>
        <v>#NAME?</v>
      </c>
      <c r="N3228" s="32" t="e">
        <f ca="1">_xludf.ifna(VLOOKUP(G3228,Proyectos!$A$2:$S$674,19,0))</f>
        <v>#NAME?</v>
      </c>
      <c r="O3228" s="32"/>
      <c r="P3228" s="32"/>
      <c r="Q3228" s="33"/>
      <c r="R3228" s="33"/>
      <c r="S3228" s="33"/>
      <c r="T3228" s="63">
        <f t="shared" si="25"/>
        <v>0</v>
      </c>
      <c r="U3228" s="33"/>
      <c r="V3228" s="33"/>
      <c r="W3228" s="33"/>
    </row>
    <row r="3229" spans="1:23" ht="16.5" customHeight="1" x14ac:dyDescent="0.2">
      <c r="A3229" s="26"/>
      <c r="B3229" s="26"/>
      <c r="C3229" s="26"/>
      <c r="D3229" s="26"/>
      <c r="E3229" s="26"/>
      <c r="F3229" s="28"/>
      <c r="G3229" s="26"/>
      <c r="H3229" s="32"/>
      <c r="I3229" s="32"/>
      <c r="J3229" s="32"/>
      <c r="K3229" s="32"/>
      <c r="L3229" s="32" t="e">
        <f ca="1">_xludf.ifna(VLOOKUP(E3229,Parámetros!$D$2:$E$34,2,0),"")</f>
        <v>#NAME?</v>
      </c>
      <c r="M3229" s="32" t="e">
        <f ca="1">_xludf.ifna(VLOOKUP(G3229,Proyectos!$A$2:$T$674,20,0),"")</f>
        <v>#NAME?</v>
      </c>
      <c r="N3229" s="32" t="e">
        <f ca="1">_xludf.ifna(VLOOKUP(G3229,Proyectos!$A$2:$S$674,19,0))</f>
        <v>#NAME?</v>
      </c>
      <c r="O3229" s="32"/>
      <c r="P3229" s="32"/>
      <c r="Q3229" s="33"/>
      <c r="R3229" s="33"/>
      <c r="S3229" s="33"/>
      <c r="T3229" s="63">
        <f t="shared" si="25"/>
        <v>0</v>
      </c>
      <c r="U3229" s="33"/>
      <c r="V3229" s="33"/>
      <c r="W3229" s="33"/>
    </row>
    <row r="3230" spans="1:23" ht="16.5" customHeight="1" x14ac:dyDescent="0.2">
      <c r="A3230" s="26"/>
      <c r="B3230" s="26"/>
      <c r="C3230" s="26"/>
      <c r="D3230" s="26"/>
      <c r="E3230" s="26"/>
      <c r="F3230" s="28"/>
      <c r="G3230" s="26"/>
      <c r="H3230" s="32"/>
      <c r="I3230" s="32"/>
      <c r="J3230" s="32"/>
      <c r="K3230" s="32"/>
      <c r="L3230" s="32" t="e">
        <f ca="1">_xludf.ifna(VLOOKUP(E3230,Parámetros!$D$2:$E$34,2,0),"")</f>
        <v>#NAME?</v>
      </c>
      <c r="M3230" s="32" t="e">
        <f ca="1">_xludf.ifna(VLOOKUP(G3230,Proyectos!$A$2:$T$674,20,0),"")</f>
        <v>#NAME?</v>
      </c>
      <c r="N3230" s="32" t="e">
        <f ca="1">_xludf.ifna(VLOOKUP(G3230,Proyectos!$A$2:$S$674,19,0))</f>
        <v>#NAME?</v>
      </c>
      <c r="O3230" s="32"/>
      <c r="P3230" s="32"/>
      <c r="Q3230" s="33"/>
      <c r="R3230" s="33"/>
      <c r="S3230" s="33"/>
      <c r="T3230" s="63">
        <f t="shared" si="25"/>
        <v>0</v>
      </c>
      <c r="U3230" s="33"/>
      <c r="V3230" s="33"/>
      <c r="W3230" s="33"/>
    </row>
    <row r="3231" spans="1:23" ht="16.5" customHeight="1" x14ac:dyDescent="0.2">
      <c r="A3231" s="26"/>
      <c r="B3231" s="26"/>
      <c r="C3231" s="26"/>
      <c r="D3231" s="26"/>
      <c r="E3231" s="26"/>
      <c r="F3231" s="28"/>
      <c r="G3231" s="26"/>
      <c r="H3231" s="32"/>
      <c r="I3231" s="32"/>
      <c r="J3231" s="32"/>
      <c r="K3231" s="32"/>
      <c r="L3231" s="32" t="e">
        <f ca="1">_xludf.ifna(VLOOKUP(E3231,Parámetros!$D$2:$E$34,2,0),"")</f>
        <v>#NAME?</v>
      </c>
      <c r="M3231" s="32" t="e">
        <f ca="1">_xludf.ifna(VLOOKUP(G3231,Proyectos!$A$2:$T$674,20,0),"")</f>
        <v>#NAME?</v>
      </c>
      <c r="N3231" s="32" t="e">
        <f ca="1">_xludf.ifna(VLOOKUP(G3231,Proyectos!$A$2:$S$674,19,0))</f>
        <v>#NAME?</v>
      </c>
      <c r="O3231" s="32"/>
      <c r="P3231" s="32"/>
      <c r="Q3231" s="33"/>
      <c r="R3231" s="33"/>
      <c r="S3231" s="33"/>
      <c r="T3231" s="63">
        <f t="shared" si="25"/>
        <v>0</v>
      </c>
      <c r="U3231" s="33"/>
      <c r="V3231" s="33"/>
      <c r="W3231" s="33"/>
    </row>
    <row r="3232" spans="1:23" ht="16.5" customHeight="1" x14ac:dyDescent="0.2">
      <c r="A3232" s="26"/>
      <c r="B3232" s="26"/>
      <c r="C3232" s="26"/>
      <c r="D3232" s="26"/>
      <c r="E3232" s="26"/>
      <c r="F3232" s="28"/>
      <c r="G3232" s="26"/>
      <c r="H3232" s="32"/>
      <c r="I3232" s="32"/>
      <c r="J3232" s="32"/>
      <c r="K3232" s="32"/>
      <c r="L3232" s="32" t="e">
        <f ca="1">_xludf.ifna(VLOOKUP(E3232,Parámetros!$D$2:$E$34,2,0),"")</f>
        <v>#NAME?</v>
      </c>
      <c r="M3232" s="32" t="e">
        <f ca="1">_xludf.ifna(VLOOKUP(G3232,Proyectos!$A$2:$T$674,20,0),"")</f>
        <v>#NAME?</v>
      </c>
      <c r="N3232" s="32" t="e">
        <f ca="1">_xludf.ifna(VLOOKUP(G3232,Proyectos!$A$2:$S$674,19,0))</f>
        <v>#NAME?</v>
      </c>
      <c r="O3232" s="32"/>
      <c r="P3232" s="32"/>
      <c r="Q3232" s="33"/>
      <c r="R3232" s="33"/>
      <c r="S3232" s="33"/>
      <c r="T3232" s="63">
        <f t="shared" si="25"/>
        <v>0</v>
      </c>
      <c r="U3232" s="33"/>
      <c r="V3232" s="33"/>
      <c r="W3232" s="33"/>
    </row>
    <row r="3233" spans="1:23" ht="16.5" customHeight="1" x14ac:dyDescent="0.2">
      <c r="A3233" s="26"/>
      <c r="B3233" s="26"/>
      <c r="C3233" s="26"/>
      <c r="D3233" s="26"/>
      <c r="E3233" s="26"/>
      <c r="F3233" s="28"/>
      <c r="G3233" s="26"/>
      <c r="H3233" s="32"/>
      <c r="I3233" s="32"/>
      <c r="J3233" s="32"/>
      <c r="K3233" s="32"/>
      <c r="L3233" s="32" t="e">
        <f ca="1">_xludf.ifna(VLOOKUP(E3233,Parámetros!$D$2:$E$34,2,0),"")</f>
        <v>#NAME?</v>
      </c>
      <c r="M3233" s="32" t="e">
        <f ca="1">_xludf.ifna(VLOOKUP(G3233,Proyectos!$A$2:$T$674,20,0),"")</f>
        <v>#NAME?</v>
      </c>
      <c r="N3233" s="32" t="e">
        <f ca="1">_xludf.ifna(VLOOKUP(G3233,Proyectos!$A$2:$S$674,19,0))</f>
        <v>#NAME?</v>
      </c>
      <c r="O3233" s="32"/>
      <c r="P3233" s="32"/>
      <c r="Q3233" s="33"/>
      <c r="R3233" s="33"/>
      <c r="S3233" s="33"/>
      <c r="T3233" s="63">
        <f t="shared" si="25"/>
        <v>0</v>
      </c>
      <c r="U3233" s="33"/>
      <c r="V3233" s="33"/>
      <c r="W3233" s="33"/>
    </row>
    <row r="3234" spans="1:23" ht="16.5" customHeight="1" x14ac:dyDescent="0.2">
      <c r="A3234" s="26"/>
      <c r="B3234" s="26"/>
      <c r="C3234" s="26"/>
      <c r="D3234" s="26"/>
      <c r="E3234" s="26"/>
      <c r="F3234" s="28"/>
      <c r="G3234" s="26"/>
      <c r="H3234" s="32"/>
      <c r="I3234" s="32"/>
      <c r="J3234" s="32"/>
      <c r="K3234" s="32"/>
      <c r="L3234" s="32" t="e">
        <f ca="1">_xludf.ifna(VLOOKUP(E3234,Parámetros!$D$2:$E$34,2,0),"")</f>
        <v>#NAME?</v>
      </c>
      <c r="M3234" s="32" t="e">
        <f ca="1">_xludf.ifna(VLOOKUP(G3234,Proyectos!$A$2:$T$674,20,0),"")</f>
        <v>#NAME?</v>
      </c>
      <c r="N3234" s="32" t="e">
        <f ca="1">_xludf.ifna(VLOOKUP(G3234,Proyectos!$A$2:$S$674,19,0))</f>
        <v>#NAME?</v>
      </c>
      <c r="O3234" s="32"/>
      <c r="P3234" s="32"/>
      <c r="Q3234" s="33"/>
      <c r="R3234" s="33"/>
      <c r="S3234" s="33"/>
      <c r="T3234" s="63">
        <f t="shared" si="25"/>
        <v>0</v>
      </c>
      <c r="U3234" s="33"/>
      <c r="V3234" s="33"/>
      <c r="W3234" s="33"/>
    </row>
    <row r="3235" spans="1:23" ht="16.5" customHeight="1" x14ac:dyDescent="0.2">
      <c r="A3235" s="26"/>
      <c r="B3235" s="26"/>
      <c r="C3235" s="26"/>
      <c r="D3235" s="26"/>
      <c r="E3235" s="26"/>
      <c r="F3235" s="28"/>
      <c r="G3235" s="26"/>
      <c r="H3235" s="32"/>
      <c r="I3235" s="32"/>
      <c r="J3235" s="32"/>
      <c r="K3235" s="32"/>
      <c r="L3235" s="32" t="e">
        <f ca="1">_xludf.ifna(VLOOKUP(E3235,Parámetros!$D$2:$E$34,2,0),"")</f>
        <v>#NAME?</v>
      </c>
      <c r="M3235" s="32" t="e">
        <f ca="1">_xludf.ifna(VLOOKUP(G3235,Proyectos!$A$2:$T$674,20,0),"")</f>
        <v>#NAME?</v>
      </c>
      <c r="N3235" s="32" t="e">
        <f ca="1">_xludf.ifna(VLOOKUP(G3235,Proyectos!$A$2:$S$674,19,0))</f>
        <v>#NAME?</v>
      </c>
      <c r="O3235" s="32"/>
      <c r="P3235" s="32"/>
      <c r="Q3235" s="33"/>
      <c r="R3235" s="33"/>
      <c r="S3235" s="33"/>
      <c r="T3235" s="63">
        <f t="shared" si="25"/>
        <v>0</v>
      </c>
      <c r="U3235" s="33"/>
      <c r="V3235" s="33"/>
      <c r="W3235" s="33"/>
    </row>
    <row r="3236" spans="1:23" ht="16.5" customHeight="1" x14ac:dyDescent="0.2">
      <c r="A3236" s="26"/>
      <c r="B3236" s="26"/>
      <c r="C3236" s="26"/>
      <c r="D3236" s="26"/>
      <c r="E3236" s="26"/>
      <c r="F3236" s="28"/>
      <c r="G3236" s="26"/>
      <c r="H3236" s="32"/>
      <c r="I3236" s="32"/>
      <c r="J3236" s="32"/>
      <c r="K3236" s="32"/>
      <c r="L3236" s="32" t="e">
        <f ca="1">_xludf.ifna(VLOOKUP(E3236,Parámetros!$D$2:$E$34,2,0),"")</f>
        <v>#NAME?</v>
      </c>
      <c r="M3236" s="32" t="e">
        <f ca="1">_xludf.ifna(VLOOKUP(G3236,Proyectos!$A$2:$T$674,20,0),"")</f>
        <v>#NAME?</v>
      </c>
      <c r="N3236" s="32" t="e">
        <f ca="1">_xludf.ifna(VLOOKUP(G3236,Proyectos!$A$2:$S$674,19,0))</f>
        <v>#NAME?</v>
      </c>
      <c r="O3236" s="32"/>
      <c r="P3236" s="32"/>
      <c r="Q3236" s="33"/>
      <c r="R3236" s="33"/>
      <c r="S3236" s="33"/>
      <c r="T3236" s="63">
        <f t="shared" si="25"/>
        <v>0</v>
      </c>
      <c r="U3236" s="33"/>
      <c r="V3236" s="33"/>
      <c r="W3236" s="33"/>
    </row>
    <row r="3237" spans="1:23" ht="16.5" customHeight="1" x14ac:dyDescent="0.2">
      <c r="A3237" s="26"/>
      <c r="B3237" s="26"/>
      <c r="C3237" s="26"/>
      <c r="D3237" s="26"/>
      <c r="E3237" s="26"/>
      <c r="F3237" s="28"/>
      <c r="G3237" s="26"/>
      <c r="H3237" s="32"/>
      <c r="I3237" s="32"/>
      <c r="J3237" s="32"/>
      <c r="K3237" s="32"/>
      <c r="L3237" s="32" t="e">
        <f ca="1">_xludf.ifna(VLOOKUP(E3237,Parámetros!$D$2:$E$34,2,0),"")</f>
        <v>#NAME?</v>
      </c>
      <c r="M3237" s="32" t="e">
        <f ca="1">_xludf.ifna(VLOOKUP(G3237,Proyectos!$A$2:$T$674,20,0),"")</f>
        <v>#NAME?</v>
      </c>
      <c r="N3237" s="32" t="e">
        <f ca="1">_xludf.ifna(VLOOKUP(G3237,Proyectos!$A$2:$S$674,19,0))</f>
        <v>#NAME?</v>
      </c>
      <c r="O3237" s="32"/>
      <c r="P3237" s="32"/>
      <c r="Q3237" s="33"/>
      <c r="R3237" s="33"/>
      <c r="S3237" s="33"/>
      <c r="T3237" s="63">
        <f t="shared" si="25"/>
        <v>0</v>
      </c>
      <c r="U3237" s="33"/>
      <c r="V3237" s="33"/>
      <c r="W3237" s="33"/>
    </row>
    <row r="3238" spans="1:23" ht="16.5" customHeight="1" x14ac:dyDescent="0.2">
      <c r="A3238" s="26"/>
      <c r="B3238" s="26"/>
      <c r="C3238" s="26"/>
      <c r="D3238" s="26"/>
      <c r="E3238" s="26"/>
      <c r="F3238" s="28"/>
      <c r="G3238" s="26"/>
      <c r="H3238" s="32"/>
      <c r="I3238" s="32"/>
      <c r="J3238" s="32"/>
      <c r="K3238" s="32"/>
      <c r="L3238" s="32" t="e">
        <f ca="1">_xludf.ifna(VLOOKUP(E3238,Parámetros!$D$2:$E$34,2,0),"")</f>
        <v>#NAME?</v>
      </c>
      <c r="M3238" s="32" t="e">
        <f ca="1">_xludf.ifna(VLOOKUP(G3238,Proyectos!$A$2:$T$674,20,0),"")</f>
        <v>#NAME?</v>
      </c>
      <c r="N3238" s="32" t="e">
        <f ca="1">_xludf.ifna(VLOOKUP(G3238,Proyectos!$A$2:$S$674,19,0))</f>
        <v>#NAME?</v>
      </c>
      <c r="O3238" s="32"/>
      <c r="P3238" s="32"/>
      <c r="Q3238" s="33"/>
      <c r="R3238" s="33"/>
      <c r="S3238" s="33"/>
      <c r="T3238" s="63">
        <f t="shared" si="25"/>
        <v>0</v>
      </c>
      <c r="U3238" s="33"/>
      <c r="V3238" s="33"/>
      <c r="W3238" s="33"/>
    </row>
    <row r="3239" spans="1:23" ht="16.5" customHeight="1" x14ac:dyDescent="0.2">
      <c r="A3239" s="26"/>
      <c r="B3239" s="26"/>
      <c r="C3239" s="26"/>
      <c r="D3239" s="26"/>
      <c r="E3239" s="26"/>
      <c r="F3239" s="28"/>
      <c r="G3239" s="26"/>
      <c r="H3239" s="32"/>
      <c r="I3239" s="32"/>
      <c r="J3239" s="32"/>
      <c r="K3239" s="32"/>
      <c r="L3239" s="32" t="e">
        <f ca="1">_xludf.ifna(VLOOKUP(E3239,Parámetros!$D$2:$E$34,2,0),"")</f>
        <v>#NAME?</v>
      </c>
      <c r="M3239" s="32" t="e">
        <f ca="1">_xludf.ifna(VLOOKUP(G3239,Proyectos!$A$2:$T$674,20,0),"")</f>
        <v>#NAME?</v>
      </c>
      <c r="N3239" s="32" t="e">
        <f ca="1">_xludf.ifna(VLOOKUP(G3239,Proyectos!$A$2:$S$674,19,0))</f>
        <v>#NAME?</v>
      </c>
      <c r="O3239" s="32"/>
      <c r="P3239" s="32"/>
      <c r="Q3239" s="33"/>
      <c r="R3239" s="33"/>
      <c r="S3239" s="33"/>
      <c r="T3239" s="63">
        <f t="shared" si="25"/>
        <v>0</v>
      </c>
      <c r="U3239" s="33"/>
      <c r="V3239" s="33"/>
      <c r="W3239" s="33"/>
    </row>
    <row r="3240" spans="1:23" ht="16.5" customHeight="1" x14ac:dyDescent="0.2">
      <c r="A3240" s="26"/>
      <c r="B3240" s="26"/>
      <c r="C3240" s="26"/>
      <c r="D3240" s="26"/>
      <c r="E3240" s="26"/>
      <c r="F3240" s="28"/>
      <c r="G3240" s="26"/>
      <c r="H3240" s="32"/>
      <c r="I3240" s="32"/>
      <c r="J3240" s="32"/>
      <c r="K3240" s="32"/>
      <c r="L3240" s="32" t="e">
        <f ca="1">_xludf.ifna(VLOOKUP(E3240,Parámetros!$D$2:$E$34,2,0),"")</f>
        <v>#NAME?</v>
      </c>
      <c r="M3240" s="32" t="e">
        <f ca="1">_xludf.ifna(VLOOKUP(G3240,Proyectos!$A$2:$T$674,20,0),"")</f>
        <v>#NAME?</v>
      </c>
      <c r="N3240" s="32" t="e">
        <f ca="1">_xludf.ifna(VLOOKUP(G3240,Proyectos!$A$2:$S$674,19,0))</f>
        <v>#NAME?</v>
      </c>
      <c r="O3240" s="32"/>
      <c r="P3240" s="32"/>
      <c r="Q3240" s="33"/>
      <c r="R3240" s="33"/>
      <c r="S3240" s="33"/>
      <c r="T3240" s="63">
        <f t="shared" si="25"/>
        <v>0</v>
      </c>
      <c r="U3240" s="33"/>
      <c r="V3240" s="33"/>
      <c r="W3240" s="33"/>
    </row>
    <row r="3241" spans="1:23" ht="16.5" customHeight="1" x14ac:dyDescent="0.2">
      <c r="A3241" s="26"/>
      <c r="B3241" s="26"/>
      <c r="C3241" s="26"/>
      <c r="D3241" s="26"/>
      <c r="E3241" s="26"/>
      <c r="F3241" s="28"/>
      <c r="G3241" s="26"/>
      <c r="H3241" s="32"/>
      <c r="I3241" s="32"/>
      <c r="J3241" s="32"/>
      <c r="K3241" s="32"/>
      <c r="L3241" s="32" t="e">
        <f ca="1">_xludf.ifna(VLOOKUP(E3241,Parámetros!$D$2:$E$34,2,0),"")</f>
        <v>#NAME?</v>
      </c>
      <c r="M3241" s="32" t="e">
        <f ca="1">_xludf.ifna(VLOOKUP(G3241,Proyectos!$A$2:$T$674,20,0),"")</f>
        <v>#NAME?</v>
      </c>
      <c r="N3241" s="32" t="e">
        <f ca="1">_xludf.ifna(VLOOKUP(G3241,Proyectos!$A$2:$S$674,19,0))</f>
        <v>#NAME?</v>
      </c>
      <c r="O3241" s="32"/>
      <c r="P3241" s="32"/>
      <c r="Q3241" s="33"/>
      <c r="R3241" s="33"/>
      <c r="S3241" s="33"/>
      <c r="T3241" s="63">
        <f t="shared" si="25"/>
        <v>0</v>
      </c>
      <c r="U3241" s="33"/>
      <c r="V3241" s="33"/>
      <c r="W3241" s="33"/>
    </row>
    <row r="3242" spans="1:23" ht="16.5" customHeight="1" x14ac:dyDescent="0.2">
      <c r="A3242" s="26"/>
      <c r="B3242" s="26"/>
      <c r="C3242" s="26"/>
      <c r="D3242" s="26"/>
      <c r="E3242" s="26"/>
      <c r="F3242" s="28"/>
      <c r="G3242" s="26"/>
      <c r="H3242" s="32"/>
      <c r="I3242" s="32"/>
      <c r="J3242" s="32"/>
      <c r="K3242" s="32"/>
      <c r="L3242" s="32" t="e">
        <f ca="1">_xludf.ifna(VLOOKUP(E3242,Parámetros!$D$2:$E$34,2,0),"")</f>
        <v>#NAME?</v>
      </c>
      <c r="M3242" s="32" t="e">
        <f ca="1">_xludf.ifna(VLOOKUP(G3242,Proyectos!$A$2:$T$674,20,0),"")</f>
        <v>#NAME?</v>
      </c>
      <c r="N3242" s="32" t="e">
        <f ca="1">_xludf.ifna(VLOOKUP(G3242,Proyectos!$A$2:$S$674,19,0))</f>
        <v>#NAME?</v>
      </c>
      <c r="O3242" s="32"/>
      <c r="P3242" s="32"/>
      <c r="Q3242" s="33"/>
      <c r="R3242" s="33"/>
      <c r="S3242" s="33"/>
      <c r="T3242" s="63">
        <f t="shared" si="25"/>
        <v>0</v>
      </c>
      <c r="U3242" s="33"/>
      <c r="V3242" s="33"/>
      <c r="W3242" s="33"/>
    </row>
    <row r="3243" spans="1:23" ht="16.5" customHeight="1" x14ac:dyDescent="0.2">
      <c r="A3243" s="26"/>
      <c r="B3243" s="26"/>
      <c r="C3243" s="26"/>
      <c r="D3243" s="26"/>
      <c r="E3243" s="26"/>
      <c r="F3243" s="28"/>
      <c r="G3243" s="26"/>
      <c r="H3243" s="32"/>
      <c r="I3243" s="32"/>
      <c r="J3243" s="32"/>
      <c r="K3243" s="32"/>
      <c r="L3243" s="32" t="e">
        <f ca="1">_xludf.ifna(VLOOKUP(E3243,Parámetros!$D$2:$E$34,2,0),"")</f>
        <v>#NAME?</v>
      </c>
      <c r="M3243" s="32" t="e">
        <f ca="1">_xludf.ifna(VLOOKUP(G3243,Proyectos!$A$2:$T$674,20,0),"")</f>
        <v>#NAME?</v>
      </c>
      <c r="N3243" s="32" t="e">
        <f ca="1">_xludf.ifna(VLOOKUP(G3243,Proyectos!$A$2:$S$674,19,0))</f>
        <v>#NAME?</v>
      </c>
      <c r="O3243" s="32"/>
      <c r="P3243" s="32"/>
      <c r="Q3243" s="33"/>
      <c r="R3243" s="33"/>
      <c r="S3243" s="33"/>
      <c r="T3243" s="63">
        <f t="shared" si="25"/>
        <v>0</v>
      </c>
      <c r="U3243" s="33"/>
      <c r="V3243" s="33"/>
      <c r="W3243" s="33"/>
    </row>
    <row r="3244" spans="1:23" ht="16.5" customHeight="1" x14ac:dyDescent="0.2">
      <c r="A3244" s="26"/>
      <c r="B3244" s="26"/>
      <c r="C3244" s="26"/>
      <c r="D3244" s="26"/>
      <c r="E3244" s="26"/>
      <c r="F3244" s="28"/>
      <c r="G3244" s="26"/>
      <c r="H3244" s="32"/>
      <c r="I3244" s="32"/>
      <c r="J3244" s="32"/>
      <c r="K3244" s="32"/>
      <c r="L3244" s="32" t="e">
        <f ca="1">_xludf.ifna(VLOOKUP(E3244,Parámetros!$D$2:$E$34,2,0),"")</f>
        <v>#NAME?</v>
      </c>
      <c r="M3244" s="32" t="e">
        <f ca="1">_xludf.ifna(VLOOKUP(G3244,Proyectos!$A$2:$T$674,20,0),"")</f>
        <v>#NAME?</v>
      </c>
      <c r="N3244" s="32" t="e">
        <f ca="1">_xludf.ifna(VLOOKUP(G3244,Proyectos!$A$2:$S$674,19,0))</f>
        <v>#NAME?</v>
      </c>
      <c r="O3244" s="32"/>
      <c r="P3244" s="32"/>
      <c r="Q3244" s="33"/>
      <c r="R3244" s="33"/>
      <c r="S3244" s="33"/>
      <c r="T3244" s="63">
        <f t="shared" si="25"/>
        <v>0</v>
      </c>
      <c r="U3244" s="33"/>
      <c r="V3244" s="33"/>
      <c r="W3244" s="33"/>
    </row>
    <row r="3245" spans="1:23" ht="16.5" customHeight="1" x14ac:dyDescent="0.2">
      <c r="A3245" s="26"/>
      <c r="B3245" s="26"/>
      <c r="C3245" s="26"/>
      <c r="D3245" s="26"/>
      <c r="E3245" s="26"/>
      <c r="F3245" s="28"/>
      <c r="G3245" s="26"/>
      <c r="H3245" s="32"/>
      <c r="I3245" s="32"/>
      <c r="J3245" s="32"/>
      <c r="K3245" s="32"/>
      <c r="L3245" s="32" t="e">
        <f ca="1">_xludf.ifna(VLOOKUP(E3245,Parámetros!$D$2:$E$34,2,0),"")</f>
        <v>#NAME?</v>
      </c>
      <c r="M3245" s="32" t="e">
        <f ca="1">_xludf.ifna(VLOOKUP(G3245,Proyectos!$A$2:$T$674,20,0),"")</f>
        <v>#NAME?</v>
      </c>
      <c r="N3245" s="32" t="e">
        <f ca="1">_xludf.ifna(VLOOKUP(G3245,Proyectos!$A$2:$S$674,19,0))</f>
        <v>#NAME?</v>
      </c>
      <c r="O3245" s="32"/>
      <c r="P3245" s="32"/>
      <c r="Q3245" s="33"/>
      <c r="R3245" s="33"/>
      <c r="S3245" s="33"/>
      <c r="T3245" s="63">
        <f t="shared" si="25"/>
        <v>0</v>
      </c>
      <c r="U3245" s="33"/>
      <c r="V3245" s="33"/>
      <c r="W3245" s="33"/>
    </row>
    <row r="3246" spans="1:23" ht="16.5" customHeight="1" x14ac:dyDescent="0.2">
      <c r="A3246" s="26"/>
      <c r="B3246" s="26"/>
      <c r="C3246" s="26"/>
      <c r="D3246" s="26"/>
      <c r="E3246" s="26"/>
      <c r="F3246" s="28"/>
      <c r="G3246" s="26"/>
      <c r="H3246" s="32"/>
      <c r="I3246" s="32"/>
      <c r="J3246" s="32"/>
      <c r="K3246" s="32"/>
      <c r="L3246" s="32" t="e">
        <f ca="1">_xludf.ifna(VLOOKUP(E3246,Parámetros!$D$2:$E$34,2,0),"")</f>
        <v>#NAME?</v>
      </c>
      <c r="M3246" s="32" t="e">
        <f ca="1">_xludf.ifna(VLOOKUP(G3246,Proyectos!$A$2:$T$674,20,0),"")</f>
        <v>#NAME?</v>
      </c>
      <c r="N3246" s="32" t="e">
        <f ca="1">_xludf.ifna(VLOOKUP(G3246,Proyectos!$A$2:$S$674,19,0))</f>
        <v>#NAME?</v>
      </c>
      <c r="O3246" s="32"/>
      <c r="P3246" s="32"/>
      <c r="Q3246" s="33"/>
      <c r="R3246" s="33"/>
      <c r="S3246" s="33"/>
      <c r="T3246" s="63">
        <f t="shared" si="25"/>
        <v>0</v>
      </c>
      <c r="U3246" s="33"/>
      <c r="V3246" s="33"/>
      <c r="W3246" s="33"/>
    </row>
    <row r="3247" spans="1:23" ht="16.5" customHeight="1" x14ac:dyDescent="0.2">
      <c r="A3247" s="26"/>
      <c r="B3247" s="26"/>
      <c r="C3247" s="26"/>
      <c r="D3247" s="26"/>
      <c r="E3247" s="26"/>
      <c r="F3247" s="28"/>
      <c r="G3247" s="26"/>
      <c r="H3247" s="32"/>
      <c r="I3247" s="32"/>
      <c r="J3247" s="32"/>
      <c r="K3247" s="32"/>
      <c r="L3247" s="32" t="e">
        <f ca="1">_xludf.ifna(VLOOKUP(E3247,Parámetros!$D$2:$E$34,2,0),"")</f>
        <v>#NAME?</v>
      </c>
      <c r="M3247" s="32" t="e">
        <f ca="1">_xludf.ifna(VLOOKUP(G3247,Proyectos!$A$2:$T$674,20,0),"")</f>
        <v>#NAME?</v>
      </c>
      <c r="N3247" s="32" t="e">
        <f ca="1">_xludf.ifna(VLOOKUP(G3247,Proyectos!$A$2:$S$674,19,0))</f>
        <v>#NAME?</v>
      </c>
      <c r="O3247" s="32"/>
      <c r="P3247" s="32"/>
      <c r="Q3247" s="33"/>
      <c r="R3247" s="33"/>
      <c r="S3247" s="33"/>
      <c r="T3247" s="63">
        <f t="shared" si="25"/>
        <v>0</v>
      </c>
      <c r="U3247" s="33"/>
      <c r="V3247" s="33"/>
      <c r="W3247" s="33"/>
    </row>
    <row r="3248" spans="1:23" ht="16.5" customHeight="1" x14ac:dyDescent="0.2">
      <c r="A3248" s="26"/>
      <c r="B3248" s="26"/>
      <c r="C3248" s="26"/>
      <c r="D3248" s="26"/>
      <c r="E3248" s="26"/>
      <c r="F3248" s="28"/>
      <c r="G3248" s="26"/>
      <c r="H3248" s="32"/>
      <c r="I3248" s="32"/>
      <c r="J3248" s="32"/>
      <c r="K3248" s="32"/>
      <c r="L3248" s="32" t="e">
        <f ca="1">_xludf.ifna(VLOOKUP(E3248,Parámetros!$D$2:$E$34,2,0),"")</f>
        <v>#NAME?</v>
      </c>
      <c r="M3248" s="32" t="e">
        <f ca="1">_xludf.ifna(VLOOKUP(G3248,Proyectos!$A$2:$T$674,20,0),"")</f>
        <v>#NAME?</v>
      </c>
      <c r="N3248" s="32" t="e">
        <f ca="1">_xludf.ifna(VLOOKUP(G3248,Proyectos!$A$2:$S$674,19,0))</f>
        <v>#NAME?</v>
      </c>
      <c r="O3248" s="32"/>
      <c r="P3248" s="32"/>
      <c r="Q3248" s="33"/>
      <c r="R3248" s="33"/>
      <c r="S3248" s="33"/>
      <c r="T3248" s="63">
        <f t="shared" si="25"/>
        <v>0</v>
      </c>
      <c r="U3248" s="33"/>
      <c r="V3248" s="33"/>
      <c r="W3248" s="33"/>
    </row>
    <row r="3249" spans="1:23" ht="16.5" customHeight="1" x14ac:dyDescent="0.2">
      <c r="A3249" s="26"/>
      <c r="B3249" s="26"/>
      <c r="C3249" s="26"/>
      <c r="D3249" s="26"/>
      <c r="E3249" s="26"/>
      <c r="F3249" s="28"/>
      <c r="G3249" s="26"/>
      <c r="H3249" s="32"/>
      <c r="I3249" s="32"/>
      <c r="J3249" s="32"/>
      <c r="K3249" s="32"/>
      <c r="L3249" s="32" t="e">
        <f ca="1">_xludf.ifna(VLOOKUP(E3249,Parámetros!$D$2:$E$34,2,0),"")</f>
        <v>#NAME?</v>
      </c>
      <c r="M3249" s="32" t="e">
        <f ca="1">_xludf.ifna(VLOOKUP(G3249,Proyectos!$A$2:$T$674,20,0),"")</f>
        <v>#NAME?</v>
      </c>
      <c r="N3249" s="32" t="e">
        <f ca="1">_xludf.ifna(VLOOKUP(G3249,Proyectos!$A$2:$S$674,19,0))</f>
        <v>#NAME?</v>
      </c>
      <c r="O3249" s="32"/>
      <c r="P3249" s="32"/>
      <c r="Q3249" s="33"/>
      <c r="R3249" s="33"/>
      <c r="S3249" s="33"/>
      <c r="T3249" s="63">
        <f t="shared" si="25"/>
        <v>0</v>
      </c>
      <c r="U3249" s="33"/>
      <c r="V3249" s="33"/>
      <c r="W3249" s="33"/>
    </row>
    <row r="3250" spans="1:23" ht="16.5" customHeight="1" x14ac:dyDescent="0.2">
      <c r="A3250" s="26"/>
      <c r="B3250" s="26"/>
      <c r="C3250" s="26"/>
      <c r="D3250" s="26"/>
      <c r="E3250" s="26"/>
      <c r="F3250" s="28"/>
      <c r="G3250" s="26"/>
      <c r="H3250" s="32"/>
      <c r="I3250" s="32"/>
      <c r="J3250" s="32"/>
      <c r="K3250" s="32"/>
      <c r="L3250" s="32" t="e">
        <f ca="1">_xludf.ifna(VLOOKUP(E3250,Parámetros!$D$2:$E$34,2,0),"")</f>
        <v>#NAME?</v>
      </c>
      <c r="M3250" s="32" t="e">
        <f ca="1">_xludf.ifna(VLOOKUP(G3250,Proyectos!$A$2:$T$674,20,0),"")</f>
        <v>#NAME?</v>
      </c>
      <c r="N3250" s="32" t="e">
        <f ca="1">_xludf.ifna(VLOOKUP(G3250,Proyectos!$A$2:$S$674,19,0))</f>
        <v>#NAME?</v>
      </c>
      <c r="O3250" s="32"/>
      <c r="P3250" s="32"/>
      <c r="Q3250" s="33"/>
      <c r="R3250" s="33"/>
      <c r="S3250" s="33"/>
      <c r="T3250" s="63">
        <f t="shared" si="25"/>
        <v>0</v>
      </c>
      <c r="U3250" s="33"/>
      <c r="V3250" s="33"/>
      <c r="W3250" s="33"/>
    </row>
    <row r="3251" spans="1:23" ht="16.5" customHeight="1" x14ac:dyDescent="0.2">
      <c r="A3251" s="26"/>
      <c r="B3251" s="26"/>
      <c r="C3251" s="26"/>
      <c r="D3251" s="26"/>
      <c r="E3251" s="26"/>
      <c r="F3251" s="28"/>
      <c r="G3251" s="26"/>
      <c r="H3251" s="32"/>
      <c r="I3251" s="32"/>
      <c r="J3251" s="32"/>
      <c r="K3251" s="32"/>
      <c r="L3251" s="32" t="e">
        <f ca="1">_xludf.ifna(VLOOKUP(E3251,Parámetros!$D$2:$E$34,2,0),"")</f>
        <v>#NAME?</v>
      </c>
      <c r="M3251" s="32" t="e">
        <f ca="1">_xludf.ifna(VLOOKUP(G3251,Proyectos!$A$2:$T$674,20,0),"")</f>
        <v>#NAME?</v>
      </c>
      <c r="N3251" s="32" t="e">
        <f ca="1">_xludf.ifna(VLOOKUP(G3251,Proyectos!$A$2:$S$674,19,0))</f>
        <v>#NAME?</v>
      </c>
      <c r="O3251" s="32"/>
      <c r="P3251" s="32"/>
      <c r="Q3251" s="33"/>
      <c r="R3251" s="33"/>
      <c r="S3251" s="33"/>
      <c r="T3251" s="63">
        <f t="shared" si="25"/>
        <v>0</v>
      </c>
      <c r="U3251" s="33"/>
      <c r="V3251" s="33"/>
      <c r="W3251" s="33"/>
    </row>
    <row r="3252" spans="1:23" ht="16.5" customHeight="1" x14ac:dyDescent="0.2">
      <c r="A3252" s="26"/>
      <c r="B3252" s="26"/>
      <c r="C3252" s="26"/>
      <c r="D3252" s="26"/>
      <c r="E3252" s="26"/>
      <c r="F3252" s="28"/>
      <c r="G3252" s="26"/>
      <c r="H3252" s="32"/>
      <c r="I3252" s="32"/>
      <c r="J3252" s="32"/>
      <c r="K3252" s="32"/>
      <c r="L3252" s="32" t="e">
        <f ca="1">_xludf.ifna(VLOOKUP(E3252,Parámetros!$D$2:$E$34,2,0),"")</f>
        <v>#NAME?</v>
      </c>
      <c r="M3252" s="32" t="e">
        <f ca="1">_xludf.ifna(VLOOKUP(G3252,Proyectos!$A$2:$T$674,20,0),"")</f>
        <v>#NAME?</v>
      </c>
      <c r="N3252" s="32" t="e">
        <f ca="1">_xludf.ifna(VLOOKUP(G3252,Proyectos!$A$2:$S$674,19,0))</f>
        <v>#NAME?</v>
      </c>
      <c r="O3252" s="32"/>
      <c r="P3252" s="32"/>
      <c r="Q3252" s="33"/>
      <c r="R3252" s="33"/>
      <c r="S3252" s="33"/>
      <c r="T3252" s="63">
        <f t="shared" si="25"/>
        <v>0</v>
      </c>
      <c r="U3252" s="33"/>
      <c r="V3252" s="33"/>
      <c r="W3252" s="33"/>
    </row>
    <row r="3253" spans="1:23" ht="16.5" customHeight="1" x14ac:dyDescent="0.2">
      <c r="A3253" s="26"/>
      <c r="B3253" s="26"/>
      <c r="C3253" s="26"/>
      <c r="D3253" s="26"/>
      <c r="E3253" s="26"/>
      <c r="F3253" s="28"/>
      <c r="G3253" s="26"/>
      <c r="H3253" s="32"/>
      <c r="I3253" s="32"/>
      <c r="J3253" s="32"/>
      <c r="K3253" s="32"/>
      <c r="L3253" s="32" t="e">
        <f ca="1">_xludf.ifna(VLOOKUP(E3253,Parámetros!$D$2:$E$34,2,0),"")</f>
        <v>#NAME?</v>
      </c>
      <c r="M3253" s="32" t="e">
        <f ca="1">_xludf.ifna(VLOOKUP(G3253,Proyectos!$A$2:$T$674,20,0),"")</f>
        <v>#NAME?</v>
      </c>
      <c r="N3253" s="32" t="e">
        <f ca="1">_xludf.ifna(VLOOKUP(G3253,Proyectos!$A$2:$S$674,19,0))</f>
        <v>#NAME?</v>
      </c>
      <c r="O3253" s="32"/>
      <c r="P3253" s="32"/>
      <c r="Q3253" s="33"/>
      <c r="R3253" s="33"/>
      <c r="S3253" s="33"/>
      <c r="T3253" s="63">
        <f t="shared" si="25"/>
        <v>0</v>
      </c>
      <c r="U3253" s="33"/>
      <c r="V3253" s="33"/>
      <c r="W3253" s="33"/>
    </row>
    <row r="3254" spans="1:23" ht="16.5" customHeight="1" x14ac:dyDescent="0.2">
      <c r="A3254" s="26"/>
      <c r="B3254" s="26"/>
      <c r="C3254" s="26"/>
      <c r="D3254" s="26"/>
      <c r="E3254" s="26"/>
      <c r="F3254" s="28"/>
      <c r="G3254" s="26"/>
      <c r="H3254" s="32"/>
      <c r="I3254" s="32"/>
      <c r="J3254" s="32"/>
      <c r="K3254" s="32"/>
      <c r="L3254" s="32" t="e">
        <f ca="1">_xludf.ifna(VLOOKUP(E3254,Parámetros!$D$2:$E$34,2,0),"")</f>
        <v>#NAME?</v>
      </c>
      <c r="M3254" s="32" t="e">
        <f ca="1">_xludf.ifna(VLOOKUP(G3254,Proyectos!$A$2:$T$674,20,0),"")</f>
        <v>#NAME?</v>
      </c>
      <c r="N3254" s="32" t="e">
        <f ca="1">_xludf.ifna(VLOOKUP(G3254,Proyectos!$A$2:$S$674,19,0))</f>
        <v>#NAME?</v>
      </c>
      <c r="O3254" s="32"/>
      <c r="P3254" s="32"/>
      <c r="Q3254" s="33"/>
      <c r="R3254" s="33"/>
      <c r="S3254" s="33"/>
      <c r="T3254" s="63">
        <f t="shared" si="25"/>
        <v>0</v>
      </c>
      <c r="U3254" s="33"/>
      <c r="V3254" s="33"/>
      <c r="W3254" s="33"/>
    </row>
    <row r="3255" spans="1:23" ht="16.5" customHeight="1" x14ac:dyDescent="0.2">
      <c r="A3255" s="26"/>
      <c r="B3255" s="26"/>
      <c r="C3255" s="26"/>
      <c r="D3255" s="26"/>
      <c r="E3255" s="26"/>
      <c r="F3255" s="28"/>
      <c r="G3255" s="26"/>
      <c r="H3255" s="32"/>
      <c r="I3255" s="32"/>
      <c r="J3255" s="32"/>
      <c r="K3255" s="32"/>
      <c r="L3255" s="32" t="e">
        <f ca="1">_xludf.ifna(VLOOKUP(E3255,Parámetros!$D$2:$E$34,2,0),"")</f>
        <v>#NAME?</v>
      </c>
      <c r="M3255" s="32" t="e">
        <f ca="1">_xludf.ifna(VLOOKUP(G3255,Proyectos!$A$2:$T$674,20,0),"")</f>
        <v>#NAME?</v>
      </c>
      <c r="N3255" s="32" t="e">
        <f ca="1">_xludf.ifna(VLOOKUP(G3255,Proyectos!$A$2:$S$674,19,0))</f>
        <v>#NAME?</v>
      </c>
      <c r="O3255" s="32"/>
      <c r="P3255" s="32"/>
      <c r="Q3255" s="33"/>
      <c r="R3255" s="33"/>
      <c r="S3255" s="33"/>
      <c r="T3255" s="63">
        <f t="shared" si="25"/>
        <v>0</v>
      </c>
      <c r="U3255" s="33"/>
      <c r="V3255" s="33"/>
      <c r="W3255" s="33"/>
    </row>
    <row r="3256" spans="1:23" ht="16.5" customHeight="1" x14ac:dyDescent="0.2">
      <c r="A3256" s="26"/>
      <c r="B3256" s="26"/>
      <c r="C3256" s="26"/>
      <c r="D3256" s="26"/>
      <c r="E3256" s="26"/>
      <c r="F3256" s="28"/>
      <c r="G3256" s="26"/>
      <c r="H3256" s="32"/>
      <c r="I3256" s="32"/>
      <c r="J3256" s="32"/>
      <c r="K3256" s="32"/>
      <c r="L3256" s="32" t="e">
        <f ca="1">_xludf.ifna(VLOOKUP(E3256,Parámetros!$D$2:$E$34,2,0),"")</f>
        <v>#NAME?</v>
      </c>
      <c r="M3256" s="32" t="e">
        <f ca="1">_xludf.ifna(VLOOKUP(G3256,Proyectos!$A$2:$T$674,20,0),"")</f>
        <v>#NAME?</v>
      </c>
      <c r="N3256" s="32" t="e">
        <f ca="1">_xludf.ifna(VLOOKUP(G3256,Proyectos!$A$2:$S$674,19,0))</f>
        <v>#NAME?</v>
      </c>
      <c r="O3256" s="32"/>
      <c r="P3256" s="32"/>
      <c r="Q3256" s="33"/>
      <c r="R3256" s="33"/>
      <c r="S3256" s="33"/>
      <c r="T3256" s="63">
        <f t="shared" si="25"/>
        <v>0</v>
      </c>
      <c r="U3256" s="33"/>
      <c r="V3256" s="33"/>
      <c r="W3256" s="33"/>
    </row>
    <row r="3257" spans="1:23" ht="16.5" customHeight="1" x14ac:dyDescent="0.2">
      <c r="A3257" s="26"/>
      <c r="B3257" s="26"/>
      <c r="C3257" s="26"/>
      <c r="D3257" s="26"/>
      <c r="E3257" s="26"/>
      <c r="F3257" s="28"/>
      <c r="G3257" s="26"/>
      <c r="H3257" s="32"/>
      <c r="I3257" s="32"/>
      <c r="J3257" s="32"/>
      <c r="K3257" s="32"/>
      <c r="L3257" s="32" t="e">
        <f ca="1">_xludf.ifna(VLOOKUP(E3257,Parámetros!$D$2:$E$34,2,0),"")</f>
        <v>#NAME?</v>
      </c>
      <c r="M3257" s="32" t="e">
        <f ca="1">_xludf.ifna(VLOOKUP(G3257,Proyectos!$A$2:$T$674,20,0),"")</f>
        <v>#NAME?</v>
      </c>
      <c r="N3257" s="32" t="e">
        <f ca="1">_xludf.ifna(VLOOKUP(G3257,Proyectos!$A$2:$S$674,19,0))</f>
        <v>#NAME?</v>
      </c>
      <c r="O3257" s="32"/>
      <c r="P3257" s="32"/>
      <c r="Q3257" s="33"/>
      <c r="R3257" s="33"/>
      <c r="S3257" s="33"/>
      <c r="T3257" s="63">
        <f t="shared" si="25"/>
        <v>0</v>
      </c>
      <c r="U3257" s="33"/>
      <c r="V3257" s="33"/>
      <c r="W3257" s="33"/>
    </row>
    <row r="3258" spans="1:23" ht="16.5" customHeight="1" x14ac:dyDescent="0.2">
      <c r="A3258" s="26"/>
      <c r="B3258" s="26"/>
      <c r="C3258" s="26"/>
      <c r="D3258" s="26"/>
      <c r="E3258" s="26"/>
      <c r="F3258" s="28"/>
      <c r="G3258" s="26"/>
      <c r="H3258" s="32"/>
      <c r="I3258" s="32"/>
      <c r="J3258" s="32"/>
      <c r="K3258" s="32"/>
      <c r="L3258" s="32" t="e">
        <f ca="1">_xludf.ifna(VLOOKUP(E3258,Parámetros!$D$2:$E$34,2,0),"")</f>
        <v>#NAME?</v>
      </c>
      <c r="M3258" s="32" t="e">
        <f ca="1">_xludf.ifna(VLOOKUP(G3258,Proyectos!$A$2:$T$674,20,0),"")</f>
        <v>#NAME?</v>
      </c>
      <c r="N3258" s="32" t="e">
        <f ca="1">_xludf.ifna(VLOOKUP(G3258,Proyectos!$A$2:$S$674,19,0))</f>
        <v>#NAME?</v>
      </c>
      <c r="O3258" s="32"/>
      <c r="P3258" s="32"/>
      <c r="Q3258" s="33"/>
      <c r="R3258" s="33"/>
      <c r="S3258" s="33"/>
      <c r="T3258" s="63">
        <f t="shared" si="25"/>
        <v>0</v>
      </c>
      <c r="U3258" s="33"/>
      <c r="V3258" s="33"/>
      <c r="W3258" s="33"/>
    </row>
    <row r="3259" spans="1:23" ht="16.5" customHeight="1" x14ac:dyDescent="0.2">
      <c r="A3259" s="26"/>
      <c r="B3259" s="26"/>
      <c r="C3259" s="26"/>
      <c r="D3259" s="26"/>
      <c r="E3259" s="26"/>
      <c r="F3259" s="28"/>
      <c r="G3259" s="26"/>
      <c r="H3259" s="32"/>
      <c r="I3259" s="32"/>
      <c r="J3259" s="32"/>
      <c r="K3259" s="32"/>
      <c r="L3259" s="32" t="e">
        <f ca="1">_xludf.ifna(VLOOKUP(E3259,Parámetros!$D$2:$E$34,2,0),"")</f>
        <v>#NAME?</v>
      </c>
      <c r="M3259" s="32" t="e">
        <f ca="1">_xludf.ifna(VLOOKUP(G3259,Proyectos!$A$2:$T$674,20,0),"")</f>
        <v>#NAME?</v>
      </c>
      <c r="N3259" s="32" t="e">
        <f ca="1">_xludf.ifna(VLOOKUP(G3259,Proyectos!$A$2:$S$674,19,0))</f>
        <v>#NAME?</v>
      </c>
      <c r="O3259" s="32"/>
      <c r="P3259" s="32"/>
      <c r="Q3259" s="33"/>
      <c r="R3259" s="33"/>
      <c r="S3259" s="33"/>
      <c r="T3259" s="63">
        <f t="shared" si="25"/>
        <v>0</v>
      </c>
      <c r="U3259" s="33"/>
      <c r="V3259" s="33"/>
      <c r="W3259" s="33"/>
    </row>
    <row r="3260" spans="1:23" ht="16.5" customHeight="1" x14ac:dyDescent="0.2">
      <c r="A3260" s="26"/>
      <c r="B3260" s="26"/>
      <c r="C3260" s="26"/>
      <c r="D3260" s="26"/>
      <c r="E3260" s="26"/>
      <c r="F3260" s="28"/>
      <c r="G3260" s="26"/>
      <c r="H3260" s="32"/>
      <c r="I3260" s="32"/>
      <c r="J3260" s="32"/>
      <c r="K3260" s="32"/>
      <c r="L3260" s="32" t="e">
        <f ca="1">_xludf.ifna(VLOOKUP(E3260,Parámetros!$D$2:$E$34,2,0),"")</f>
        <v>#NAME?</v>
      </c>
      <c r="M3260" s="32" t="e">
        <f ca="1">_xludf.ifna(VLOOKUP(G3260,Proyectos!$A$2:$T$674,20,0),"")</f>
        <v>#NAME?</v>
      </c>
      <c r="N3260" s="32" t="e">
        <f ca="1">_xludf.ifna(VLOOKUP(G3260,Proyectos!$A$2:$S$674,19,0))</f>
        <v>#NAME?</v>
      </c>
      <c r="O3260" s="32"/>
      <c r="P3260" s="32"/>
      <c r="Q3260" s="33"/>
      <c r="R3260" s="33"/>
      <c r="S3260" s="33"/>
      <c r="T3260" s="63">
        <f t="shared" si="25"/>
        <v>0</v>
      </c>
      <c r="U3260" s="33"/>
      <c r="V3260" s="33"/>
      <c r="W3260" s="33"/>
    </row>
    <row r="3261" spans="1:23" ht="16.5" customHeight="1" x14ac:dyDescent="0.2">
      <c r="A3261" s="26"/>
      <c r="B3261" s="26"/>
      <c r="C3261" s="26"/>
      <c r="D3261" s="26"/>
      <c r="E3261" s="26"/>
      <c r="F3261" s="28"/>
      <c r="G3261" s="26"/>
      <c r="H3261" s="32"/>
      <c r="I3261" s="32"/>
      <c r="J3261" s="32"/>
      <c r="K3261" s="32"/>
      <c r="L3261" s="32" t="e">
        <f ca="1">_xludf.ifna(VLOOKUP(E3261,Parámetros!$D$2:$E$34,2,0),"")</f>
        <v>#NAME?</v>
      </c>
      <c r="M3261" s="32" t="e">
        <f ca="1">_xludf.ifna(VLOOKUP(G3261,Proyectos!$A$2:$T$674,20,0),"")</f>
        <v>#NAME?</v>
      </c>
      <c r="N3261" s="32" t="e">
        <f ca="1">_xludf.ifna(VLOOKUP(G3261,Proyectos!$A$2:$S$674,19,0))</f>
        <v>#NAME?</v>
      </c>
      <c r="O3261" s="32"/>
      <c r="P3261" s="32"/>
      <c r="Q3261" s="33"/>
      <c r="R3261" s="33"/>
      <c r="S3261" s="33"/>
      <c r="T3261" s="63">
        <f t="shared" si="25"/>
        <v>0</v>
      </c>
      <c r="U3261" s="33"/>
      <c r="V3261" s="33"/>
      <c r="W3261" s="33"/>
    </row>
    <row r="3262" spans="1:23" ht="16.5" customHeight="1" x14ac:dyDescent="0.2">
      <c r="A3262" s="26"/>
      <c r="B3262" s="26"/>
      <c r="C3262" s="26"/>
      <c r="D3262" s="26"/>
      <c r="E3262" s="26"/>
      <c r="F3262" s="28"/>
      <c r="G3262" s="26"/>
      <c r="H3262" s="32"/>
      <c r="I3262" s="32"/>
      <c r="J3262" s="32"/>
      <c r="K3262" s="32"/>
      <c r="L3262" s="32" t="e">
        <f ca="1">_xludf.ifna(VLOOKUP(E3262,Parámetros!$D$2:$E$34,2,0),"")</f>
        <v>#NAME?</v>
      </c>
      <c r="M3262" s="32" t="e">
        <f ca="1">_xludf.ifna(VLOOKUP(G3262,Proyectos!$A$2:$T$674,20,0),"")</f>
        <v>#NAME?</v>
      </c>
      <c r="N3262" s="32" t="e">
        <f ca="1">_xludf.ifna(VLOOKUP(G3262,Proyectos!$A$2:$S$674,19,0))</f>
        <v>#NAME?</v>
      </c>
      <c r="O3262" s="32"/>
      <c r="P3262" s="32"/>
      <c r="Q3262" s="33"/>
      <c r="R3262" s="33"/>
      <c r="S3262" s="33"/>
      <c r="T3262" s="63">
        <f t="shared" si="25"/>
        <v>0</v>
      </c>
      <c r="U3262" s="33"/>
      <c r="V3262" s="33"/>
      <c r="W3262" s="33"/>
    </row>
    <row r="3263" spans="1:23" ht="16.5" customHeight="1" x14ac:dyDescent="0.2">
      <c r="A3263" s="26"/>
      <c r="B3263" s="26"/>
      <c r="C3263" s="26"/>
      <c r="D3263" s="26"/>
      <c r="E3263" s="26"/>
      <c r="F3263" s="28"/>
      <c r="G3263" s="26"/>
      <c r="H3263" s="32"/>
      <c r="I3263" s="32"/>
      <c r="J3263" s="32"/>
      <c r="K3263" s="32"/>
      <c r="L3263" s="32" t="e">
        <f ca="1">_xludf.ifna(VLOOKUP(E3263,Parámetros!$D$2:$E$34,2,0),"")</f>
        <v>#NAME?</v>
      </c>
      <c r="M3263" s="32" t="e">
        <f ca="1">_xludf.ifna(VLOOKUP(G3263,Proyectos!$A$2:$T$674,20,0),"")</f>
        <v>#NAME?</v>
      </c>
      <c r="N3263" s="32" t="e">
        <f ca="1">_xludf.ifna(VLOOKUP(G3263,Proyectos!$A$2:$S$674,19,0))</f>
        <v>#NAME?</v>
      </c>
      <c r="O3263" s="32"/>
      <c r="P3263" s="32"/>
      <c r="Q3263" s="33"/>
      <c r="R3263" s="33"/>
      <c r="S3263" s="33"/>
      <c r="T3263" s="63">
        <f t="shared" si="25"/>
        <v>0</v>
      </c>
      <c r="U3263" s="33"/>
      <c r="V3263" s="33"/>
      <c r="W3263" s="33"/>
    </row>
    <row r="3264" spans="1:23" ht="16.5" customHeight="1" x14ac:dyDescent="0.2">
      <c r="A3264" s="26"/>
      <c r="B3264" s="26"/>
      <c r="C3264" s="26"/>
      <c r="D3264" s="26"/>
      <c r="E3264" s="26"/>
      <c r="F3264" s="28"/>
      <c r="G3264" s="26"/>
      <c r="H3264" s="32"/>
      <c r="I3264" s="32"/>
      <c r="J3264" s="32"/>
      <c r="K3264" s="32"/>
      <c r="L3264" s="32" t="e">
        <f ca="1">_xludf.ifna(VLOOKUP(E3264,Parámetros!$D$2:$E$34,2,0),"")</f>
        <v>#NAME?</v>
      </c>
      <c r="M3264" s="32" t="e">
        <f ca="1">_xludf.ifna(VLOOKUP(G3264,Proyectos!$A$2:$T$674,20,0),"")</f>
        <v>#NAME?</v>
      </c>
      <c r="N3264" s="32" t="e">
        <f ca="1">_xludf.ifna(VLOOKUP(G3264,Proyectos!$A$2:$S$674,19,0))</f>
        <v>#NAME?</v>
      </c>
      <c r="O3264" s="32"/>
      <c r="P3264" s="32"/>
      <c r="Q3264" s="33"/>
      <c r="R3264" s="33"/>
      <c r="S3264" s="33"/>
      <c r="T3264" s="63">
        <f t="shared" si="25"/>
        <v>0</v>
      </c>
      <c r="U3264" s="33"/>
      <c r="V3264" s="33"/>
      <c r="W3264" s="33"/>
    </row>
    <row r="3265" spans="1:23" ht="16.5" customHeight="1" x14ac:dyDescent="0.2">
      <c r="A3265" s="26"/>
      <c r="B3265" s="26"/>
      <c r="C3265" s="26"/>
      <c r="D3265" s="26"/>
      <c r="E3265" s="26"/>
      <c r="F3265" s="28"/>
      <c r="G3265" s="26"/>
      <c r="H3265" s="32"/>
      <c r="I3265" s="32"/>
      <c r="J3265" s="32"/>
      <c r="K3265" s="32"/>
      <c r="L3265" s="32" t="e">
        <f ca="1">_xludf.ifna(VLOOKUP(E3265,Parámetros!$D$2:$E$34,2,0),"")</f>
        <v>#NAME?</v>
      </c>
      <c r="M3265" s="32" t="e">
        <f ca="1">_xludf.ifna(VLOOKUP(G3265,Proyectos!$A$2:$T$674,20,0),"")</f>
        <v>#NAME?</v>
      </c>
      <c r="N3265" s="32" t="e">
        <f ca="1">_xludf.ifna(VLOOKUP(G3265,Proyectos!$A$2:$S$674,19,0))</f>
        <v>#NAME?</v>
      </c>
      <c r="O3265" s="32"/>
      <c r="P3265" s="32"/>
      <c r="Q3265" s="33"/>
      <c r="R3265" s="33"/>
      <c r="S3265" s="33"/>
      <c r="T3265" s="63">
        <f t="shared" si="25"/>
        <v>0</v>
      </c>
      <c r="U3265" s="33"/>
      <c r="V3265" s="33"/>
      <c r="W3265" s="33"/>
    </row>
    <row r="3266" spans="1:23" ht="16.5" customHeight="1" x14ac:dyDescent="0.2">
      <c r="A3266" s="26"/>
      <c r="B3266" s="26"/>
      <c r="C3266" s="26"/>
      <c r="D3266" s="26"/>
      <c r="E3266" s="26"/>
      <c r="F3266" s="28"/>
      <c r="G3266" s="26"/>
      <c r="H3266" s="32"/>
      <c r="I3266" s="32"/>
      <c r="J3266" s="32"/>
      <c r="K3266" s="32"/>
      <c r="L3266" s="32" t="e">
        <f ca="1">_xludf.ifna(VLOOKUP(E3266,Parámetros!$D$2:$E$34,2,0),"")</f>
        <v>#NAME?</v>
      </c>
      <c r="M3266" s="32" t="e">
        <f ca="1">_xludf.ifna(VLOOKUP(G3266,Proyectos!$A$2:$T$674,20,0),"")</f>
        <v>#NAME?</v>
      </c>
      <c r="N3266" s="32" t="e">
        <f ca="1">_xludf.ifna(VLOOKUP(G3266,Proyectos!$A$2:$S$674,19,0))</f>
        <v>#NAME?</v>
      </c>
      <c r="O3266" s="32"/>
      <c r="P3266" s="32"/>
      <c r="Q3266" s="33"/>
      <c r="R3266" s="33"/>
      <c r="S3266" s="33"/>
      <c r="T3266" s="63">
        <f t="shared" si="25"/>
        <v>0</v>
      </c>
      <c r="U3266" s="33"/>
      <c r="V3266" s="33"/>
      <c r="W3266" s="33"/>
    </row>
    <row r="3267" spans="1:23" ht="16.5" customHeight="1" x14ac:dyDescent="0.2">
      <c r="A3267" s="26"/>
      <c r="B3267" s="26"/>
      <c r="C3267" s="26"/>
      <c r="D3267" s="26"/>
      <c r="E3267" s="26"/>
      <c r="F3267" s="28"/>
      <c r="G3267" s="26"/>
      <c r="H3267" s="32"/>
      <c r="I3267" s="32"/>
      <c r="J3267" s="32"/>
      <c r="K3267" s="32"/>
      <c r="L3267" s="32" t="e">
        <f ca="1">_xludf.ifna(VLOOKUP(E3267,Parámetros!$D$2:$E$34,2,0),"")</f>
        <v>#NAME?</v>
      </c>
      <c r="M3267" s="32" t="e">
        <f ca="1">_xludf.ifna(VLOOKUP(G3267,Proyectos!$A$2:$T$674,20,0),"")</f>
        <v>#NAME?</v>
      </c>
      <c r="N3267" s="32" t="e">
        <f ca="1">_xludf.ifna(VLOOKUP(G3267,Proyectos!$A$2:$S$674,19,0))</f>
        <v>#NAME?</v>
      </c>
      <c r="O3267" s="32"/>
      <c r="P3267" s="32"/>
      <c r="Q3267" s="33"/>
      <c r="R3267" s="33"/>
      <c r="S3267" s="33"/>
      <c r="T3267" s="63">
        <f t="shared" si="25"/>
        <v>0</v>
      </c>
      <c r="U3267" s="33"/>
      <c r="V3267" s="33"/>
      <c r="W3267" s="33"/>
    </row>
    <row r="3268" spans="1:23" ht="16.5" customHeight="1" x14ac:dyDescent="0.2">
      <c r="A3268" s="26"/>
      <c r="B3268" s="26"/>
      <c r="C3268" s="26"/>
      <c r="D3268" s="26"/>
      <c r="E3268" s="26"/>
      <c r="F3268" s="28"/>
      <c r="G3268" s="26"/>
      <c r="H3268" s="32"/>
      <c r="I3268" s="32"/>
      <c r="J3268" s="32"/>
      <c r="K3268" s="32"/>
      <c r="L3268" s="32" t="e">
        <f ca="1">_xludf.ifna(VLOOKUP(E3268,Parámetros!$D$2:$E$34,2,0),"")</f>
        <v>#NAME?</v>
      </c>
      <c r="M3268" s="32" t="e">
        <f ca="1">_xludf.ifna(VLOOKUP(G3268,Proyectos!$A$2:$T$674,20,0),"")</f>
        <v>#NAME?</v>
      </c>
      <c r="N3268" s="32" t="e">
        <f ca="1">_xludf.ifna(VLOOKUP(G3268,Proyectos!$A$2:$S$674,19,0))</f>
        <v>#NAME?</v>
      </c>
      <c r="O3268" s="32"/>
      <c r="P3268" s="32"/>
      <c r="Q3268" s="33"/>
      <c r="R3268" s="33"/>
      <c r="S3268" s="33"/>
      <c r="T3268" s="63">
        <f t="shared" si="25"/>
        <v>0</v>
      </c>
      <c r="U3268" s="33"/>
      <c r="V3268" s="33"/>
      <c r="W3268" s="33"/>
    </row>
    <row r="3269" spans="1:23" ht="16.5" customHeight="1" x14ac:dyDescent="0.2">
      <c r="A3269" s="26"/>
      <c r="B3269" s="26"/>
      <c r="C3269" s="26"/>
      <c r="D3269" s="26"/>
      <c r="E3269" s="26"/>
      <c r="F3269" s="28"/>
      <c r="G3269" s="26"/>
      <c r="H3269" s="32"/>
      <c r="I3269" s="32"/>
      <c r="J3269" s="32"/>
      <c r="K3269" s="32"/>
      <c r="L3269" s="32" t="e">
        <f ca="1">_xludf.ifna(VLOOKUP(E3269,Parámetros!$D$2:$E$34,2,0),"")</f>
        <v>#NAME?</v>
      </c>
      <c r="M3269" s="32" t="e">
        <f ca="1">_xludf.ifna(VLOOKUP(G3269,Proyectos!$A$2:$T$674,20,0),"")</f>
        <v>#NAME?</v>
      </c>
      <c r="N3269" s="32" t="e">
        <f ca="1">_xludf.ifna(VLOOKUP(G3269,Proyectos!$A$2:$S$674,19,0))</f>
        <v>#NAME?</v>
      </c>
      <c r="O3269" s="32"/>
      <c r="P3269" s="32"/>
      <c r="Q3269" s="33"/>
      <c r="R3269" s="33"/>
      <c r="S3269" s="33"/>
      <c r="T3269" s="63">
        <f t="shared" si="25"/>
        <v>0</v>
      </c>
      <c r="U3269" s="33"/>
      <c r="V3269" s="33"/>
      <c r="W3269" s="33"/>
    </row>
    <row r="3270" spans="1:23" ht="16.5" customHeight="1" x14ac:dyDescent="0.2">
      <c r="A3270" s="26"/>
      <c r="B3270" s="26"/>
      <c r="C3270" s="26"/>
      <c r="D3270" s="26"/>
      <c r="E3270" s="26"/>
      <c r="F3270" s="28"/>
      <c r="G3270" s="26"/>
      <c r="H3270" s="32"/>
      <c r="I3270" s="32"/>
      <c r="J3270" s="32"/>
      <c r="K3270" s="32"/>
      <c r="L3270" s="32" t="e">
        <f ca="1">_xludf.ifna(VLOOKUP(E3270,Parámetros!$D$2:$E$34,2,0),"")</f>
        <v>#NAME?</v>
      </c>
      <c r="M3270" s="32" t="e">
        <f ca="1">_xludf.ifna(VLOOKUP(G3270,Proyectos!$A$2:$T$674,20,0),"")</f>
        <v>#NAME?</v>
      </c>
      <c r="N3270" s="32" t="e">
        <f ca="1">_xludf.ifna(VLOOKUP(G3270,Proyectos!$A$2:$S$674,19,0))</f>
        <v>#NAME?</v>
      </c>
      <c r="O3270" s="32"/>
      <c r="P3270" s="32"/>
      <c r="Q3270" s="33"/>
      <c r="R3270" s="33"/>
      <c r="S3270" s="33"/>
      <c r="T3270" s="63">
        <f t="shared" si="25"/>
        <v>0</v>
      </c>
      <c r="U3270" s="33"/>
      <c r="V3270" s="33"/>
      <c r="W3270" s="33"/>
    </row>
    <row r="3271" spans="1:23" ht="16.5" customHeight="1" x14ac:dyDescent="0.2">
      <c r="A3271" s="26"/>
      <c r="B3271" s="26"/>
      <c r="C3271" s="26"/>
      <c r="D3271" s="26"/>
      <c r="E3271" s="26"/>
      <c r="F3271" s="28"/>
      <c r="G3271" s="26"/>
      <c r="H3271" s="32"/>
      <c r="I3271" s="32"/>
      <c r="J3271" s="32"/>
      <c r="K3271" s="32"/>
      <c r="L3271" s="32" t="e">
        <f ca="1">_xludf.ifna(VLOOKUP(E3271,Parámetros!$D$2:$E$34,2,0),"")</f>
        <v>#NAME?</v>
      </c>
      <c r="M3271" s="32" t="e">
        <f ca="1">_xludf.ifna(VLOOKUP(G3271,Proyectos!$A$2:$T$674,20,0),"")</f>
        <v>#NAME?</v>
      </c>
      <c r="N3271" s="32" t="e">
        <f ca="1">_xludf.ifna(VLOOKUP(G3271,Proyectos!$A$2:$S$674,19,0))</f>
        <v>#NAME?</v>
      </c>
      <c r="O3271" s="32"/>
      <c r="P3271" s="32"/>
      <c r="Q3271" s="33"/>
      <c r="R3271" s="33"/>
      <c r="S3271" s="33"/>
      <c r="T3271" s="63">
        <f t="shared" si="25"/>
        <v>0</v>
      </c>
      <c r="U3271" s="33"/>
      <c r="V3271" s="33"/>
      <c r="W3271" s="33"/>
    </row>
    <row r="3272" spans="1:23" ht="16.5" customHeight="1" x14ac:dyDescent="0.2">
      <c r="A3272" s="26"/>
      <c r="B3272" s="26"/>
      <c r="C3272" s="26"/>
      <c r="D3272" s="26"/>
      <c r="E3272" s="26"/>
      <c r="F3272" s="28"/>
      <c r="G3272" s="26"/>
      <c r="H3272" s="32"/>
      <c r="I3272" s="32"/>
      <c r="J3272" s="32"/>
      <c r="K3272" s="32"/>
      <c r="L3272" s="32" t="e">
        <f ca="1">_xludf.ifna(VLOOKUP(E3272,Parámetros!$D$2:$E$34,2,0),"")</f>
        <v>#NAME?</v>
      </c>
      <c r="M3272" s="32" t="e">
        <f ca="1">_xludf.ifna(VLOOKUP(G3272,Proyectos!$A$2:$T$674,20,0),"")</f>
        <v>#NAME?</v>
      </c>
      <c r="N3272" s="32" t="e">
        <f ca="1">_xludf.ifna(VLOOKUP(G3272,Proyectos!$A$2:$S$674,19,0))</f>
        <v>#NAME?</v>
      </c>
      <c r="O3272" s="32"/>
      <c r="P3272" s="32"/>
      <c r="Q3272" s="33"/>
      <c r="R3272" s="33"/>
      <c r="S3272" s="33"/>
      <c r="T3272" s="63">
        <f t="shared" si="25"/>
        <v>0</v>
      </c>
      <c r="U3272" s="33"/>
      <c r="V3272" s="33"/>
      <c r="W3272" s="33"/>
    </row>
    <row r="3273" spans="1:23" ht="16.5" customHeight="1" x14ac:dyDescent="0.2">
      <c r="A3273" s="26"/>
      <c r="B3273" s="26"/>
      <c r="C3273" s="26"/>
      <c r="D3273" s="26"/>
      <c r="E3273" s="26"/>
      <c r="F3273" s="28"/>
      <c r="G3273" s="26"/>
      <c r="H3273" s="32"/>
      <c r="I3273" s="32"/>
      <c r="J3273" s="32"/>
      <c r="K3273" s="32"/>
      <c r="L3273" s="32" t="e">
        <f ca="1">_xludf.ifna(VLOOKUP(E3273,Parámetros!$D$2:$E$34,2,0),"")</f>
        <v>#NAME?</v>
      </c>
      <c r="M3273" s="32" t="e">
        <f ca="1">_xludf.ifna(VLOOKUP(G3273,Proyectos!$A$2:$T$674,20,0),"")</f>
        <v>#NAME?</v>
      </c>
      <c r="N3273" s="32" t="e">
        <f ca="1">_xludf.ifna(VLOOKUP(G3273,Proyectos!$A$2:$S$674,19,0))</f>
        <v>#NAME?</v>
      </c>
      <c r="O3273" s="32"/>
      <c r="P3273" s="32"/>
      <c r="Q3273" s="33"/>
      <c r="R3273" s="33"/>
      <c r="S3273" s="33"/>
      <c r="T3273" s="63">
        <f t="shared" si="25"/>
        <v>0</v>
      </c>
      <c r="U3273" s="33"/>
      <c r="V3273" s="33"/>
      <c r="W3273" s="33"/>
    </row>
    <row r="3274" spans="1:23" ht="16.5" customHeight="1" x14ac:dyDescent="0.2">
      <c r="A3274" s="26"/>
      <c r="B3274" s="26"/>
      <c r="C3274" s="26"/>
      <c r="D3274" s="26"/>
      <c r="E3274" s="26"/>
      <c r="F3274" s="28"/>
      <c r="G3274" s="26"/>
      <c r="H3274" s="32"/>
      <c r="I3274" s="32"/>
      <c r="J3274" s="32"/>
      <c r="K3274" s="32"/>
      <c r="L3274" s="32" t="e">
        <f ca="1">_xludf.ifna(VLOOKUP(E3274,Parámetros!$D$2:$E$34,2,0),"")</f>
        <v>#NAME?</v>
      </c>
      <c r="M3274" s="32" t="e">
        <f ca="1">_xludf.ifna(VLOOKUP(G3274,Proyectos!$A$2:$T$674,20,0),"")</f>
        <v>#NAME?</v>
      </c>
      <c r="N3274" s="32" t="e">
        <f ca="1">_xludf.ifna(VLOOKUP(G3274,Proyectos!$A$2:$S$674,19,0))</f>
        <v>#NAME?</v>
      </c>
      <c r="O3274" s="32"/>
      <c r="P3274" s="32"/>
      <c r="Q3274" s="33"/>
      <c r="R3274" s="33"/>
      <c r="S3274" s="33"/>
      <c r="T3274" s="63">
        <f t="shared" si="25"/>
        <v>0</v>
      </c>
      <c r="U3274" s="33"/>
      <c r="V3274" s="33"/>
      <c r="W3274" s="33"/>
    </row>
    <row r="3275" spans="1:23" ht="16.5" customHeight="1" x14ac:dyDescent="0.2">
      <c r="A3275" s="26"/>
      <c r="B3275" s="26"/>
      <c r="C3275" s="26"/>
      <c r="D3275" s="26"/>
      <c r="E3275" s="26"/>
      <c r="F3275" s="28"/>
      <c r="G3275" s="26"/>
      <c r="H3275" s="32"/>
      <c r="I3275" s="32"/>
      <c r="J3275" s="32"/>
      <c r="K3275" s="32"/>
      <c r="L3275" s="32" t="e">
        <f ca="1">_xludf.ifna(VLOOKUP(E3275,Parámetros!$D$2:$E$34,2,0),"")</f>
        <v>#NAME?</v>
      </c>
      <c r="M3275" s="32" t="e">
        <f ca="1">_xludf.ifna(VLOOKUP(G3275,Proyectos!$A$2:$T$674,20,0),"")</f>
        <v>#NAME?</v>
      </c>
      <c r="N3275" s="32" t="e">
        <f ca="1">_xludf.ifna(VLOOKUP(G3275,Proyectos!$A$2:$S$674,19,0))</f>
        <v>#NAME?</v>
      </c>
      <c r="O3275" s="32"/>
      <c r="P3275" s="32"/>
      <c r="Q3275" s="33"/>
      <c r="R3275" s="33"/>
      <c r="S3275" s="33"/>
      <c r="T3275" s="63">
        <f t="shared" si="25"/>
        <v>0</v>
      </c>
      <c r="U3275" s="33"/>
      <c r="V3275" s="33"/>
      <c r="W3275" s="33"/>
    </row>
    <row r="3276" spans="1:23" ht="16.5" customHeight="1" x14ac:dyDescent="0.2">
      <c r="A3276" s="26"/>
      <c r="B3276" s="26"/>
      <c r="C3276" s="26"/>
      <c r="D3276" s="26"/>
      <c r="E3276" s="26"/>
      <c r="F3276" s="28"/>
      <c r="G3276" s="26"/>
      <c r="H3276" s="32"/>
      <c r="I3276" s="32"/>
      <c r="J3276" s="32"/>
      <c r="K3276" s="32"/>
      <c r="L3276" s="32" t="e">
        <f ca="1">_xludf.ifna(VLOOKUP(E3276,Parámetros!$D$2:$E$34,2,0),"")</f>
        <v>#NAME?</v>
      </c>
      <c r="M3276" s="32" t="e">
        <f ca="1">_xludf.ifna(VLOOKUP(G3276,Proyectos!$A$2:$T$674,20,0),"")</f>
        <v>#NAME?</v>
      </c>
      <c r="N3276" s="32" t="e">
        <f ca="1">_xludf.ifna(VLOOKUP(G3276,Proyectos!$A$2:$S$674,19,0))</f>
        <v>#NAME?</v>
      </c>
      <c r="O3276" s="32"/>
      <c r="P3276" s="32"/>
      <c r="Q3276" s="33"/>
      <c r="R3276" s="33"/>
      <c r="S3276" s="33"/>
      <c r="T3276" s="63">
        <f t="shared" si="25"/>
        <v>0</v>
      </c>
      <c r="U3276" s="33"/>
      <c r="V3276" s="33"/>
      <c r="W3276" s="33"/>
    </row>
    <row r="3277" spans="1:23" ht="16.5" customHeight="1" x14ac:dyDescent="0.2">
      <c r="A3277" s="26"/>
      <c r="B3277" s="26"/>
      <c r="C3277" s="26"/>
      <c r="D3277" s="26"/>
      <c r="E3277" s="26"/>
      <c r="F3277" s="28"/>
      <c r="G3277" s="26"/>
      <c r="H3277" s="32"/>
      <c r="I3277" s="32"/>
      <c r="J3277" s="32"/>
      <c r="K3277" s="32"/>
      <c r="L3277" s="32" t="e">
        <f ca="1">_xludf.ifna(VLOOKUP(E3277,Parámetros!$D$2:$E$34,2,0),"")</f>
        <v>#NAME?</v>
      </c>
      <c r="M3277" s="32" t="e">
        <f ca="1">_xludf.ifna(VLOOKUP(G3277,Proyectos!$A$2:$T$674,20,0),"")</f>
        <v>#NAME?</v>
      </c>
      <c r="N3277" s="32" t="e">
        <f ca="1">_xludf.ifna(VLOOKUP(G3277,Proyectos!$A$2:$S$674,19,0))</f>
        <v>#NAME?</v>
      </c>
      <c r="O3277" s="32"/>
      <c r="P3277" s="32"/>
      <c r="Q3277" s="33"/>
      <c r="R3277" s="33"/>
      <c r="S3277" s="33"/>
      <c r="T3277" s="63">
        <f t="shared" si="25"/>
        <v>0</v>
      </c>
      <c r="U3277" s="33"/>
      <c r="V3277" s="33"/>
      <c r="W3277" s="33"/>
    </row>
    <row r="3278" spans="1:23" ht="16.5" customHeight="1" x14ac:dyDescent="0.2">
      <c r="A3278" s="26"/>
      <c r="B3278" s="26"/>
      <c r="C3278" s="26"/>
      <c r="D3278" s="26"/>
      <c r="E3278" s="26"/>
      <c r="F3278" s="28"/>
      <c r="G3278" s="26"/>
      <c r="H3278" s="32"/>
      <c r="I3278" s="32"/>
      <c r="J3278" s="32"/>
      <c r="K3278" s="32"/>
      <c r="L3278" s="32" t="e">
        <f ca="1">_xludf.ifna(VLOOKUP(E3278,Parámetros!$D$2:$E$34,2,0),"")</f>
        <v>#NAME?</v>
      </c>
      <c r="M3278" s="32" t="e">
        <f ca="1">_xludf.ifna(VLOOKUP(G3278,Proyectos!$A$2:$T$674,20,0),"")</f>
        <v>#NAME?</v>
      </c>
      <c r="N3278" s="32" t="e">
        <f ca="1">_xludf.ifna(VLOOKUP(G3278,Proyectos!$A$2:$S$674,19,0))</f>
        <v>#NAME?</v>
      </c>
      <c r="O3278" s="32"/>
      <c r="P3278" s="32"/>
      <c r="Q3278" s="33"/>
      <c r="R3278" s="33"/>
      <c r="S3278" s="33"/>
      <c r="T3278" s="63">
        <f t="shared" si="25"/>
        <v>0</v>
      </c>
      <c r="U3278" s="33"/>
      <c r="V3278" s="33"/>
      <c r="W3278" s="33"/>
    </row>
    <row r="3279" spans="1:23" ht="16.5" customHeight="1" x14ac:dyDescent="0.2">
      <c r="A3279" s="26"/>
      <c r="B3279" s="26"/>
      <c r="C3279" s="26"/>
      <c r="D3279" s="26"/>
      <c r="E3279" s="26"/>
      <c r="F3279" s="28"/>
      <c r="G3279" s="26"/>
      <c r="H3279" s="32"/>
      <c r="I3279" s="32"/>
      <c r="J3279" s="32"/>
      <c r="K3279" s="32"/>
      <c r="L3279" s="32" t="e">
        <f ca="1">_xludf.ifna(VLOOKUP(E3279,Parámetros!$D$2:$E$34,2,0),"")</f>
        <v>#NAME?</v>
      </c>
      <c r="M3279" s="32" t="e">
        <f ca="1">_xludf.ifna(VLOOKUP(G3279,Proyectos!$A$2:$T$674,20,0),"")</f>
        <v>#NAME?</v>
      </c>
      <c r="N3279" s="32" t="e">
        <f ca="1">_xludf.ifna(VLOOKUP(G3279,Proyectos!$A$2:$S$674,19,0))</f>
        <v>#NAME?</v>
      </c>
      <c r="O3279" s="32"/>
      <c r="P3279" s="32"/>
      <c r="Q3279" s="33"/>
      <c r="R3279" s="33"/>
      <c r="S3279" s="33"/>
      <c r="T3279" s="63">
        <f t="shared" si="25"/>
        <v>0</v>
      </c>
      <c r="U3279" s="33"/>
      <c r="V3279" s="33"/>
      <c r="W3279" s="33"/>
    </row>
    <row r="3280" spans="1:23" ht="16.5" customHeight="1" x14ac:dyDescent="0.2">
      <c r="A3280" s="26"/>
      <c r="B3280" s="26"/>
      <c r="C3280" s="26"/>
      <c r="D3280" s="26"/>
      <c r="E3280" s="26"/>
      <c r="F3280" s="28"/>
      <c r="G3280" s="26"/>
      <c r="H3280" s="32"/>
      <c r="I3280" s="32"/>
      <c r="J3280" s="32"/>
      <c r="K3280" s="32"/>
      <c r="L3280" s="32" t="e">
        <f ca="1">_xludf.ifna(VLOOKUP(E3280,Parámetros!$D$2:$E$34,2,0),"")</f>
        <v>#NAME?</v>
      </c>
      <c r="M3280" s="32" t="e">
        <f ca="1">_xludf.ifna(VLOOKUP(G3280,Proyectos!$A$2:$T$674,20,0),"")</f>
        <v>#NAME?</v>
      </c>
      <c r="N3280" s="32" t="e">
        <f ca="1">_xludf.ifna(VLOOKUP(G3280,Proyectos!$A$2:$S$674,19,0))</f>
        <v>#NAME?</v>
      </c>
      <c r="O3280" s="32"/>
      <c r="P3280" s="32"/>
      <c r="Q3280" s="33"/>
      <c r="R3280" s="33"/>
      <c r="S3280" s="33"/>
      <c r="T3280" s="63">
        <f t="shared" si="25"/>
        <v>0</v>
      </c>
      <c r="U3280" s="33"/>
      <c r="V3280" s="33"/>
      <c r="W3280" s="33"/>
    </row>
    <row r="3281" spans="1:23" ht="16.5" customHeight="1" x14ac:dyDescent="0.2">
      <c r="A3281" s="26"/>
      <c r="B3281" s="26"/>
      <c r="C3281" s="26"/>
      <c r="D3281" s="26"/>
      <c r="E3281" s="26"/>
      <c r="F3281" s="28"/>
      <c r="G3281" s="26"/>
      <c r="H3281" s="32"/>
      <c r="I3281" s="32"/>
      <c r="J3281" s="32"/>
      <c r="K3281" s="32"/>
      <c r="L3281" s="32" t="e">
        <f ca="1">_xludf.ifna(VLOOKUP(E3281,Parámetros!$D$2:$E$34,2,0),"")</f>
        <v>#NAME?</v>
      </c>
      <c r="M3281" s="32" t="e">
        <f ca="1">_xludf.ifna(VLOOKUP(G3281,Proyectos!$A$2:$T$674,20,0),"")</f>
        <v>#NAME?</v>
      </c>
      <c r="N3281" s="32" t="e">
        <f ca="1">_xludf.ifna(VLOOKUP(G3281,Proyectos!$A$2:$S$674,19,0))</f>
        <v>#NAME?</v>
      </c>
      <c r="O3281" s="32"/>
      <c r="P3281" s="32"/>
      <c r="Q3281" s="33"/>
      <c r="R3281" s="33"/>
      <c r="S3281" s="33"/>
      <c r="T3281" s="63">
        <f t="shared" si="25"/>
        <v>0</v>
      </c>
      <c r="U3281" s="33"/>
      <c r="V3281" s="33"/>
      <c r="W3281" s="33"/>
    </row>
    <row r="3282" spans="1:23" ht="16.5" customHeight="1" x14ac:dyDescent="0.2">
      <c r="A3282" s="26"/>
      <c r="B3282" s="26"/>
      <c r="C3282" s="26"/>
      <c r="D3282" s="26"/>
      <c r="E3282" s="26"/>
      <c r="F3282" s="28"/>
      <c r="G3282" s="26"/>
      <c r="H3282" s="32"/>
      <c r="I3282" s="32"/>
      <c r="J3282" s="32"/>
      <c r="K3282" s="32"/>
      <c r="L3282" s="32" t="e">
        <f ca="1">_xludf.ifna(VLOOKUP(E3282,Parámetros!$D$2:$E$34,2,0),"")</f>
        <v>#NAME?</v>
      </c>
      <c r="M3282" s="32" t="e">
        <f ca="1">_xludf.ifna(VLOOKUP(G3282,Proyectos!$A$2:$T$674,20,0),"")</f>
        <v>#NAME?</v>
      </c>
      <c r="N3282" s="32" t="e">
        <f ca="1">_xludf.ifna(VLOOKUP(G3282,Proyectos!$A$2:$S$674,19,0))</f>
        <v>#NAME?</v>
      </c>
      <c r="O3282" s="32"/>
      <c r="P3282" s="32"/>
      <c r="Q3282" s="33"/>
      <c r="R3282" s="33"/>
      <c r="S3282" s="33"/>
      <c r="T3282" s="63">
        <f t="shared" si="25"/>
        <v>0</v>
      </c>
      <c r="U3282" s="33"/>
      <c r="V3282" s="33"/>
      <c r="W3282" s="33"/>
    </row>
    <row r="3283" spans="1:23" ht="16.5" customHeight="1" x14ac:dyDescent="0.2">
      <c r="A3283" s="26"/>
      <c r="B3283" s="26"/>
      <c r="C3283" s="26"/>
      <c r="D3283" s="26"/>
      <c r="E3283" s="26"/>
      <c r="F3283" s="28"/>
      <c r="G3283" s="26"/>
      <c r="H3283" s="32"/>
      <c r="I3283" s="32"/>
      <c r="J3283" s="32"/>
      <c r="K3283" s="32"/>
      <c r="L3283" s="32" t="e">
        <f ca="1">_xludf.ifna(VLOOKUP(E3283,Parámetros!$D$2:$E$34,2,0),"")</f>
        <v>#NAME?</v>
      </c>
      <c r="M3283" s="32" t="e">
        <f ca="1">_xludf.ifna(VLOOKUP(G3283,Proyectos!$A$2:$T$674,20,0),"")</f>
        <v>#NAME?</v>
      </c>
      <c r="N3283" s="32" t="e">
        <f ca="1">_xludf.ifna(VLOOKUP(G3283,Proyectos!$A$2:$S$674,19,0))</f>
        <v>#NAME?</v>
      </c>
      <c r="O3283" s="32"/>
      <c r="P3283" s="32"/>
      <c r="Q3283" s="33"/>
      <c r="R3283" s="33"/>
      <c r="S3283" s="33"/>
      <c r="T3283" s="63">
        <f t="shared" si="25"/>
        <v>0</v>
      </c>
      <c r="U3283" s="33"/>
      <c r="V3283" s="33"/>
      <c r="W3283" s="33"/>
    </row>
    <row r="3284" spans="1:23" ht="16.5" customHeight="1" x14ac:dyDescent="0.2">
      <c r="A3284" s="26"/>
      <c r="B3284" s="26"/>
      <c r="C3284" s="26"/>
      <c r="D3284" s="26"/>
      <c r="E3284" s="26"/>
      <c r="F3284" s="28"/>
      <c r="G3284" s="26"/>
      <c r="H3284" s="32"/>
      <c r="I3284" s="32"/>
      <c r="J3284" s="32"/>
      <c r="K3284" s="32"/>
      <c r="L3284" s="32" t="e">
        <f ca="1">_xludf.ifna(VLOOKUP(E3284,Parámetros!$D$2:$E$34,2,0),"")</f>
        <v>#NAME?</v>
      </c>
      <c r="M3284" s="32" t="e">
        <f ca="1">_xludf.ifna(VLOOKUP(G3284,Proyectos!$A$2:$T$674,20,0),"")</f>
        <v>#NAME?</v>
      </c>
      <c r="N3284" s="32" t="e">
        <f ca="1">_xludf.ifna(VLOOKUP(G3284,Proyectos!$A$2:$S$674,19,0))</f>
        <v>#NAME?</v>
      </c>
      <c r="O3284" s="32"/>
      <c r="P3284" s="32"/>
      <c r="Q3284" s="33"/>
      <c r="R3284" s="33"/>
      <c r="S3284" s="33"/>
      <c r="T3284" s="63">
        <f t="shared" si="25"/>
        <v>0</v>
      </c>
      <c r="U3284" s="33"/>
      <c r="V3284" s="33"/>
      <c r="W3284" s="33"/>
    </row>
    <row r="3285" spans="1:23" ht="16.5" customHeight="1" x14ac:dyDescent="0.2">
      <c r="A3285" s="26"/>
      <c r="B3285" s="26"/>
      <c r="C3285" s="26"/>
      <c r="D3285" s="26"/>
      <c r="E3285" s="26"/>
      <c r="F3285" s="28"/>
      <c r="G3285" s="26"/>
      <c r="H3285" s="32"/>
      <c r="I3285" s="32"/>
      <c r="J3285" s="32"/>
      <c r="K3285" s="32"/>
      <c r="L3285" s="32" t="e">
        <f ca="1">_xludf.ifna(VLOOKUP(E3285,Parámetros!$D$2:$E$34,2,0),"")</f>
        <v>#NAME?</v>
      </c>
      <c r="M3285" s="32" t="e">
        <f ca="1">_xludf.ifna(VLOOKUP(G3285,Proyectos!$A$2:$T$674,20,0),"")</f>
        <v>#NAME?</v>
      </c>
      <c r="N3285" s="32" t="e">
        <f ca="1">_xludf.ifna(VLOOKUP(G3285,Proyectos!$A$2:$S$674,19,0))</f>
        <v>#NAME?</v>
      </c>
      <c r="O3285" s="32"/>
      <c r="P3285" s="32"/>
      <c r="Q3285" s="33"/>
      <c r="R3285" s="33"/>
      <c r="S3285" s="33"/>
      <c r="T3285" s="63">
        <f t="shared" si="25"/>
        <v>0</v>
      </c>
      <c r="U3285" s="33"/>
      <c r="V3285" s="33"/>
      <c r="W3285" s="33"/>
    </row>
    <row r="3286" spans="1:23" ht="16.5" customHeight="1" x14ac:dyDescent="0.2">
      <c r="A3286" s="26"/>
      <c r="B3286" s="26"/>
      <c r="C3286" s="26"/>
      <c r="D3286" s="26"/>
      <c r="E3286" s="26"/>
      <c r="F3286" s="28"/>
      <c r="G3286" s="26"/>
      <c r="H3286" s="32"/>
      <c r="I3286" s="32"/>
      <c r="J3286" s="32"/>
      <c r="K3286" s="32"/>
      <c r="L3286" s="32" t="e">
        <f ca="1">_xludf.ifna(VLOOKUP(E3286,Parámetros!$D$2:$E$34,2,0),"")</f>
        <v>#NAME?</v>
      </c>
      <c r="M3286" s="32" t="e">
        <f ca="1">_xludf.ifna(VLOOKUP(G3286,Proyectos!$A$2:$T$674,20,0),"")</f>
        <v>#NAME?</v>
      </c>
      <c r="N3286" s="32" t="e">
        <f ca="1">_xludf.ifna(VLOOKUP(G3286,Proyectos!$A$2:$S$674,19,0))</f>
        <v>#NAME?</v>
      </c>
      <c r="O3286" s="32"/>
      <c r="P3286" s="32"/>
      <c r="Q3286" s="33"/>
      <c r="R3286" s="33"/>
      <c r="S3286" s="33"/>
      <c r="T3286" s="63">
        <f t="shared" si="25"/>
        <v>0</v>
      </c>
      <c r="U3286" s="33"/>
      <c r="V3286" s="33"/>
      <c r="W3286" s="33"/>
    </row>
    <row r="3287" spans="1:23" ht="16.5" customHeight="1" x14ac:dyDescent="0.2">
      <c r="A3287" s="26"/>
      <c r="B3287" s="26"/>
      <c r="C3287" s="26"/>
      <c r="D3287" s="26"/>
      <c r="E3287" s="26"/>
      <c r="F3287" s="28"/>
      <c r="G3287" s="26"/>
      <c r="H3287" s="32"/>
      <c r="I3287" s="32"/>
      <c r="J3287" s="32"/>
      <c r="K3287" s="32"/>
      <c r="L3287" s="32" t="e">
        <f ca="1">_xludf.ifna(VLOOKUP(E3287,Parámetros!$D$2:$E$34,2,0),"")</f>
        <v>#NAME?</v>
      </c>
      <c r="M3287" s="32" t="e">
        <f ca="1">_xludf.ifna(VLOOKUP(G3287,Proyectos!$A$2:$T$674,20,0),"")</f>
        <v>#NAME?</v>
      </c>
      <c r="N3287" s="32" t="e">
        <f ca="1">_xludf.ifna(VLOOKUP(G3287,Proyectos!$A$2:$S$674,19,0))</f>
        <v>#NAME?</v>
      </c>
      <c r="O3287" s="32"/>
      <c r="P3287" s="32"/>
      <c r="Q3287" s="33"/>
      <c r="R3287" s="33"/>
      <c r="S3287" s="33"/>
      <c r="T3287" s="63">
        <f t="shared" si="25"/>
        <v>0</v>
      </c>
      <c r="U3287" s="33"/>
      <c r="V3287" s="33"/>
      <c r="W3287" s="33"/>
    </row>
    <row r="3288" spans="1:23" ht="16.5" customHeight="1" x14ac:dyDescent="0.2">
      <c r="A3288" s="26"/>
      <c r="B3288" s="26"/>
      <c r="C3288" s="26"/>
      <c r="D3288" s="26"/>
      <c r="E3288" s="26"/>
      <c r="F3288" s="28"/>
      <c r="G3288" s="26"/>
      <c r="H3288" s="32"/>
      <c r="I3288" s="32"/>
      <c r="J3288" s="32"/>
      <c r="K3288" s="32"/>
      <c r="L3288" s="32" t="e">
        <f ca="1">_xludf.ifna(VLOOKUP(E3288,Parámetros!$D$2:$E$34,2,0),"")</f>
        <v>#NAME?</v>
      </c>
      <c r="M3288" s="32" t="e">
        <f ca="1">_xludf.ifna(VLOOKUP(G3288,Proyectos!$A$2:$T$674,20,0),"")</f>
        <v>#NAME?</v>
      </c>
      <c r="N3288" s="32" t="e">
        <f ca="1">_xludf.ifna(VLOOKUP(G3288,Proyectos!$A$2:$S$674,19,0))</f>
        <v>#NAME?</v>
      </c>
      <c r="O3288" s="32"/>
      <c r="P3288" s="32"/>
      <c r="Q3288" s="33"/>
      <c r="R3288" s="33"/>
      <c r="S3288" s="33"/>
      <c r="T3288" s="63">
        <f t="shared" si="25"/>
        <v>0</v>
      </c>
      <c r="U3288" s="33"/>
      <c r="V3288" s="33"/>
      <c r="W3288" s="33"/>
    </row>
    <row r="3289" spans="1:23" ht="16.5" customHeight="1" x14ac:dyDescent="0.2">
      <c r="A3289" s="26"/>
      <c r="B3289" s="26"/>
      <c r="C3289" s="26"/>
      <c r="D3289" s="26"/>
      <c r="E3289" s="26"/>
      <c r="F3289" s="28"/>
      <c r="G3289" s="26"/>
      <c r="H3289" s="32"/>
      <c r="I3289" s="32"/>
      <c r="J3289" s="32"/>
      <c r="K3289" s="32"/>
      <c r="L3289" s="32" t="e">
        <f ca="1">_xludf.ifna(VLOOKUP(E3289,Parámetros!$D$2:$E$34,2,0),"")</f>
        <v>#NAME?</v>
      </c>
      <c r="M3289" s="32" t="e">
        <f ca="1">_xludf.ifna(VLOOKUP(G3289,Proyectos!$A$2:$T$674,20,0),"")</f>
        <v>#NAME?</v>
      </c>
      <c r="N3289" s="32" t="e">
        <f ca="1">_xludf.ifna(VLOOKUP(G3289,Proyectos!$A$2:$S$674,19,0))</f>
        <v>#NAME?</v>
      </c>
      <c r="O3289" s="32"/>
      <c r="P3289" s="32"/>
      <c r="Q3289" s="33"/>
      <c r="R3289" s="33"/>
      <c r="S3289" s="33"/>
      <c r="T3289" s="63">
        <f t="shared" si="25"/>
        <v>0</v>
      </c>
      <c r="U3289" s="33"/>
      <c r="V3289" s="33"/>
      <c r="W3289" s="33"/>
    </row>
    <row r="3290" spans="1:23" ht="16.5" customHeight="1" x14ac:dyDescent="0.2">
      <c r="A3290" s="26"/>
      <c r="B3290" s="26"/>
      <c r="C3290" s="26"/>
      <c r="D3290" s="26"/>
      <c r="E3290" s="26"/>
      <c r="F3290" s="28"/>
      <c r="G3290" s="26"/>
      <c r="H3290" s="32"/>
      <c r="I3290" s="32"/>
      <c r="J3290" s="32"/>
      <c r="K3290" s="32"/>
      <c r="L3290" s="32" t="e">
        <f ca="1">_xludf.ifna(VLOOKUP(E3290,Parámetros!$D$2:$E$34,2,0),"")</f>
        <v>#NAME?</v>
      </c>
      <c r="M3290" s="32" t="e">
        <f ca="1">_xludf.ifna(VLOOKUP(G3290,Proyectos!$A$2:$T$674,20,0),"")</f>
        <v>#NAME?</v>
      </c>
      <c r="N3290" s="32" t="e">
        <f ca="1">_xludf.ifna(VLOOKUP(G3290,Proyectos!$A$2:$S$674,19,0))</f>
        <v>#NAME?</v>
      </c>
      <c r="O3290" s="32"/>
      <c r="P3290" s="32"/>
      <c r="Q3290" s="33"/>
      <c r="R3290" s="33"/>
      <c r="S3290" s="33"/>
      <c r="T3290" s="63"/>
      <c r="U3290" s="33"/>
      <c r="V3290" s="33"/>
      <c r="W3290" s="33"/>
    </row>
    <row r="3291" spans="1:23" ht="16.5" customHeight="1" x14ac:dyDescent="0.2">
      <c r="A3291" s="26"/>
      <c r="B3291" s="26"/>
      <c r="C3291" s="26"/>
      <c r="D3291" s="26"/>
      <c r="E3291" s="26"/>
      <c r="F3291" s="28"/>
      <c r="G3291" s="26"/>
      <c r="H3291" s="32"/>
      <c r="I3291" s="32"/>
      <c r="J3291" s="32"/>
      <c r="K3291" s="32"/>
      <c r="L3291" s="32" t="e">
        <f ca="1">_xludf.ifna(VLOOKUP(E3291,Parámetros!$D$2:$E$34,2,0),"")</f>
        <v>#NAME?</v>
      </c>
      <c r="M3291" s="32" t="e">
        <f ca="1">_xludf.ifna(VLOOKUP(G3291,Proyectos!$A$2:$T$674,20,0),"")</f>
        <v>#NAME?</v>
      </c>
      <c r="N3291" s="32" t="e">
        <f ca="1">_xludf.ifna(VLOOKUP(G3291,Proyectos!$A$2:$S$674,19,0))</f>
        <v>#NAME?</v>
      </c>
      <c r="O3291" s="32"/>
      <c r="P3291" s="32"/>
      <c r="Q3291" s="33"/>
      <c r="R3291" s="33"/>
      <c r="S3291" s="33"/>
      <c r="T3291" s="63"/>
      <c r="U3291" s="33"/>
      <c r="V3291" s="33"/>
      <c r="W3291" s="33"/>
    </row>
    <row r="3292" spans="1:23" ht="16.5" customHeight="1" x14ac:dyDescent="0.2">
      <c r="A3292" s="26"/>
      <c r="B3292" s="26"/>
      <c r="C3292" s="26"/>
      <c r="D3292" s="26"/>
      <c r="E3292" s="26"/>
      <c r="F3292" s="28"/>
      <c r="G3292" s="26"/>
      <c r="H3292" s="32"/>
      <c r="I3292" s="32"/>
      <c r="J3292" s="32"/>
      <c r="K3292" s="32"/>
      <c r="L3292" s="32" t="e">
        <f ca="1">_xludf.ifna(VLOOKUP(E3292,Parámetros!$D$2:$E$34,2,0),"")</f>
        <v>#NAME?</v>
      </c>
      <c r="M3292" s="32" t="e">
        <f ca="1">_xludf.ifna(VLOOKUP(G3292,Proyectos!$A$2:$T$674,20,0),"")</f>
        <v>#NAME?</v>
      </c>
      <c r="N3292" s="32" t="e">
        <f ca="1">_xludf.ifna(VLOOKUP(G3292,Proyectos!$A$2:$S$674,19,0))</f>
        <v>#NAME?</v>
      </c>
      <c r="O3292" s="32"/>
      <c r="P3292" s="32"/>
      <c r="Q3292" s="33"/>
      <c r="R3292" s="33"/>
      <c r="S3292" s="33"/>
      <c r="T3292" s="63"/>
      <c r="U3292" s="33"/>
      <c r="V3292" s="33"/>
      <c r="W3292" s="33"/>
    </row>
    <row r="3293" spans="1:23" ht="16.5" customHeight="1" x14ac:dyDescent="0.2">
      <c r="A3293" s="26"/>
      <c r="B3293" s="26"/>
      <c r="C3293" s="26"/>
      <c r="D3293" s="26"/>
      <c r="E3293" s="26"/>
      <c r="F3293" s="28"/>
      <c r="G3293" s="26"/>
      <c r="H3293" s="32"/>
      <c r="I3293" s="32"/>
      <c r="J3293" s="32"/>
      <c r="K3293" s="32"/>
      <c r="L3293" s="32" t="e">
        <f ca="1">_xludf.ifna(VLOOKUP(E3293,Parámetros!$D$2:$E$34,2,0),"")</f>
        <v>#NAME?</v>
      </c>
      <c r="M3293" s="32" t="e">
        <f ca="1">_xludf.ifna(VLOOKUP(G3293,Proyectos!$A$2:$T$674,20,0),"")</f>
        <v>#NAME?</v>
      </c>
      <c r="N3293" s="32" t="e">
        <f ca="1">_xludf.ifna(VLOOKUP(G3293,Proyectos!$A$2:$S$674,19,0))</f>
        <v>#NAME?</v>
      </c>
      <c r="O3293" s="32"/>
      <c r="P3293" s="32"/>
      <c r="Q3293" s="33"/>
      <c r="R3293" s="33"/>
      <c r="S3293" s="33"/>
      <c r="T3293" s="63"/>
      <c r="U3293" s="33"/>
      <c r="V3293" s="33"/>
      <c r="W3293" s="33"/>
    </row>
    <row r="3294" spans="1:23" ht="16.5" customHeight="1" x14ac:dyDescent="0.2">
      <c r="A3294" s="26"/>
      <c r="B3294" s="26"/>
      <c r="C3294" s="26"/>
      <c r="D3294" s="26"/>
      <c r="E3294" s="26"/>
      <c r="F3294" s="28"/>
      <c r="G3294" s="26"/>
      <c r="H3294" s="32"/>
      <c r="I3294" s="32"/>
      <c r="J3294" s="32"/>
      <c r="K3294" s="32"/>
      <c r="L3294" s="32" t="e">
        <f ca="1">_xludf.ifna(VLOOKUP(E3294,Parámetros!$D$2:$E$34,2,0),"")</f>
        <v>#NAME?</v>
      </c>
      <c r="M3294" s="32" t="e">
        <f ca="1">_xludf.ifna(VLOOKUP(G3294,Proyectos!$A$2:$T$674,20,0),"")</f>
        <v>#NAME?</v>
      </c>
      <c r="N3294" s="32" t="e">
        <f ca="1">_xludf.ifna(VLOOKUP(G3294,Proyectos!$A$2:$S$674,19,0))</f>
        <v>#NAME?</v>
      </c>
      <c r="O3294" s="32"/>
      <c r="P3294" s="32"/>
      <c r="Q3294" s="33"/>
      <c r="R3294" s="33"/>
      <c r="S3294" s="33"/>
      <c r="T3294" s="63"/>
      <c r="U3294" s="33"/>
      <c r="V3294" s="33"/>
      <c r="W3294" s="33"/>
    </row>
    <row r="3295" spans="1:23" ht="16.5" customHeight="1" x14ac:dyDescent="0.2">
      <c r="A3295" s="26"/>
      <c r="B3295" s="26"/>
      <c r="C3295" s="26"/>
      <c r="D3295" s="26"/>
      <c r="E3295" s="26"/>
      <c r="F3295" s="28"/>
      <c r="G3295" s="26"/>
      <c r="H3295" s="32"/>
      <c r="I3295" s="32"/>
      <c r="J3295" s="32"/>
      <c r="K3295" s="32"/>
      <c r="L3295" s="32" t="e">
        <f ca="1">_xludf.ifna(VLOOKUP(E3295,Parámetros!$D$2:$E$34,2,0),"")</f>
        <v>#NAME?</v>
      </c>
      <c r="M3295" s="32" t="e">
        <f ca="1">_xludf.ifna(VLOOKUP(G3295,Proyectos!$A$2:$T$674,20,0),"")</f>
        <v>#NAME?</v>
      </c>
      <c r="N3295" s="32" t="e">
        <f ca="1">_xludf.ifna(VLOOKUP(G3295,Proyectos!$A$2:$S$674,19,0))</f>
        <v>#NAME?</v>
      </c>
      <c r="O3295" s="32"/>
      <c r="P3295" s="32"/>
      <c r="Q3295" s="33"/>
      <c r="R3295" s="33"/>
      <c r="S3295" s="33"/>
      <c r="T3295" s="63"/>
      <c r="U3295" s="33"/>
      <c r="V3295" s="33"/>
      <c r="W3295" s="33"/>
    </row>
    <row r="3296" spans="1:23" ht="16.5" customHeight="1" x14ac:dyDescent="0.2">
      <c r="A3296" s="26"/>
      <c r="B3296" s="26"/>
      <c r="C3296" s="26"/>
      <c r="D3296" s="26"/>
      <c r="E3296" s="26"/>
      <c r="F3296" s="28"/>
      <c r="G3296" s="26"/>
      <c r="H3296" s="32"/>
      <c r="I3296" s="32"/>
      <c r="J3296" s="32"/>
      <c r="K3296" s="32"/>
      <c r="L3296" s="32" t="e">
        <f ca="1">_xludf.ifna(VLOOKUP(E3296,Parámetros!$D$2:$E$34,2,0),"")</f>
        <v>#NAME?</v>
      </c>
      <c r="M3296" s="32" t="e">
        <f ca="1">_xludf.ifna(VLOOKUP(G3296,Proyectos!$A$2:$T$674,20,0),"")</f>
        <v>#NAME?</v>
      </c>
      <c r="N3296" s="32" t="e">
        <f ca="1">_xludf.ifna(VLOOKUP(G3296,Proyectos!$A$2:$S$674,19,0))</f>
        <v>#NAME?</v>
      </c>
      <c r="O3296" s="32"/>
      <c r="P3296" s="32"/>
      <c r="Q3296" s="33"/>
      <c r="R3296" s="33"/>
      <c r="S3296" s="33"/>
      <c r="T3296" s="63"/>
      <c r="U3296" s="33"/>
      <c r="V3296" s="33"/>
      <c r="W3296" s="33"/>
    </row>
    <row r="3297" spans="1:23" ht="16.5" customHeight="1" x14ac:dyDescent="0.2">
      <c r="A3297" s="26"/>
      <c r="B3297" s="26"/>
      <c r="C3297" s="26"/>
      <c r="D3297" s="26"/>
      <c r="E3297" s="26"/>
      <c r="F3297" s="28"/>
      <c r="G3297" s="26"/>
      <c r="H3297" s="32"/>
      <c r="I3297" s="32"/>
      <c r="J3297" s="32"/>
      <c r="K3297" s="32"/>
      <c r="L3297" s="32" t="e">
        <f ca="1">_xludf.ifna(VLOOKUP(E3297,Parámetros!$D$2:$E$34,2,0),"")</f>
        <v>#NAME?</v>
      </c>
      <c r="M3297" s="32" t="e">
        <f ca="1">_xludf.ifna(VLOOKUP(G3297,Proyectos!$A$2:$T$674,20,0),"")</f>
        <v>#NAME?</v>
      </c>
      <c r="N3297" s="32" t="e">
        <f ca="1">_xludf.ifna(VLOOKUP(G3297,Proyectos!$A$2:$S$674,19,0))</f>
        <v>#NAME?</v>
      </c>
      <c r="O3297" s="32"/>
      <c r="P3297" s="32"/>
      <c r="Q3297" s="33"/>
      <c r="R3297" s="33"/>
      <c r="S3297" s="33"/>
      <c r="T3297" s="63"/>
      <c r="U3297" s="33"/>
      <c r="V3297" s="33"/>
      <c r="W3297" s="33"/>
    </row>
    <row r="3298" spans="1:23" ht="16.5" customHeight="1" x14ac:dyDescent="0.2">
      <c r="A3298" s="26"/>
      <c r="B3298" s="26"/>
      <c r="C3298" s="26"/>
      <c r="D3298" s="26"/>
      <c r="E3298" s="26"/>
      <c r="F3298" s="28"/>
      <c r="G3298" s="26"/>
      <c r="H3298" s="32"/>
      <c r="I3298" s="32"/>
      <c r="J3298" s="32"/>
      <c r="K3298" s="32"/>
      <c r="L3298" s="32" t="e">
        <f ca="1">_xludf.ifna(VLOOKUP(E3298,Parámetros!$D$2:$E$34,2,0),"")</f>
        <v>#NAME?</v>
      </c>
      <c r="M3298" s="32" t="e">
        <f ca="1">_xludf.ifna(VLOOKUP(G3298,Proyectos!$A$2:$T$674,20,0),"")</f>
        <v>#NAME?</v>
      </c>
      <c r="N3298" s="32" t="e">
        <f ca="1">_xludf.ifna(VLOOKUP(G3298,Proyectos!$A$2:$S$674,19,0))</f>
        <v>#NAME?</v>
      </c>
      <c r="O3298" s="32"/>
      <c r="P3298" s="32"/>
      <c r="Q3298" s="33"/>
      <c r="R3298" s="33"/>
      <c r="S3298" s="33"/>
      <c r="T3298" s="63"/>
      <c r="U3298" s="33"/>
      <c r="V3298" s="33"/>
      <c r="W3298" s="33"/>
    </row>
    <row r="3299" spans="1:23" ht="16.5" customHeight="1" x14ac:dyDescent="0.2">
      <c r="A3299" s="26"/>
      <c r="B3299" s="26"/>
      <c r="C3299" s="26"/>
      <c r="D3299" s="26"/>
      <c r="E3299" s="26"/>
      <c r="F3299" s="28"/>
      <c r="G3299" s="26"/>
      <c r="H3299" s="32"/>
      <c r="I3299" s="32"/>
      <c r="J3299" s="32"/>
      <c r="K3299" s="32"/>
      <c r="L3299" s="32" t="e">
        <f ca="1">_xludf.ifna(VLOOKUP(E3299,Parámetros!$D$2:$E$34,2,0),"")</f>
        <v>#NAME?</v>
      </c>
      <c r="M3299" s="32" t="e">
        <f ca="1">_xludf.ifna(VLOOKUP(G3299,Proyectos!$A$2:$T$674,20,0),"")</f>
        <v>#NAME?</v>
      </c>
      <c r="N3299" s="32" t="e">
        <f ca="1">_xludf.ifna(VLOOKUP(G3299,Proyectos!$A$2:$S$674,19,0))</f>
        <v>#NAME?</v>
      </c>
      <c r="O3299" s="32"/>
      <c r="P3299" s="32"/>
      <c r="Q3299" s="33"/>
      <c r="R3299" s="33"/>
      <c r="S3299" s="33"/>
      <c r="T3299" s="63"/>
      <c r="U3299" s="33"/>
      <c r="V3299" s="33"/>
      <c r="W3299" s="33"/>
    </row>
    <row r="3300" spans="1:23" ht="16.5" customHeight="1" x14ac:dyDescent="0.2">
      <c r="A3300" s="26"/>
      <c r="B3300" s="26"/>
      <c r="C3300" s="26"/>
      <c r="D3300" s="26"/>
      <c r="E3300" s="26"/>
      <c r="F3300" s="28"/>
      <c r="G3300" s="26"/>
      <c r="H3300" s="32"/>
      <c r="I3300" s="32"/>
      <c r="J3300" s="32"/>
      <c r="K3300" s="32"/>
      <c r="L3300" s="32" t="e">
        <f ca="1">_xludf.ifna(VLOOKUP(E3300,Parámetros!$D$2:$E$34,2,0),"")</f>
        <v>#NAME?</v>
      </c>
      <c r="M3300" s="32" t="e">
        <f ca="1">_xludf.ifna(VLOOKUP(G3300,Proyectos!$A$2:$T$674,20,0),"")</f>
        <v>#NAME?</v>
      </c>
      <c r="N3300" s="32" t="e">
        <f ca="1">_xludf.ifna(VLOOKUP(G3300,Proyectos!$A$2:$S$674,19,0))</f>
        <v>#NAME?</v>
      </c>
      <c r="O3300" s="32"/>
      <c r="P3300" s="32"/>
      <c r="Q3300" s="33"/>
      <c r="R3300" s="33"/>
      <c r="S3300" s="33"/>
      <c r="T3300" s="63"/>
      <c r="U3300" s="33"/>
      <c r="V3300" s="33"/>
      <c r="W3300" s="33"/>
    </row>
    <row r="3301" spans="1:23" ht="16.5" customHeight="1" x14ac:dyDescent="0.2">
      <c r="A3301" s="26"/>
      <c r="B3301" s="26"/>
      <c r="C3301" s="26"/>
      <c r="D3301" s="26"/>
      <c r="E3301" s="26"/>
      <c r="F3301" s="28"/>
      <c r="G3301" s="26"/>
      <c r="H3301" s="32"/>
      <c r="I3301" s="32"/>
      <c r="J3301" s="32"/>
      <c r="K3301" s="32"/>
      <c r="L3301" s="32" t="e">
        <f ca="1">_xludf.ifna(VLOOKUP(E3301,Parámetros!$D$2:$E$34,2,0),"")</f>
        <v>#NAME?</v>
      </c>
      <c r="M3301" s="32" t="e">
        <f ca="1">_xludf.ifna(VLOOKUP(G3301,Proyectos!$A$2:$T$674,20,0),"")</f>
        <v>#NAME?</v>
      </c>
      <c r="N3301" s="32" t="e">
        <f ca="1">_xludf.ifna(VLOOKUP(G3301,Proyectos!$A$2:$S$674,19,0))</f>
        <v>#NAME?</v>
      </c>
      <c r="O3301" s="32"/>
      <c r="P3301" s="32"/>
      <c r="Q3301" s="33"/>
      <c r="R3301" s="33"/>
      <c r="S3301" s="33"/>
      <c r="T3301" s="63"/>
      <c r="U3301" s="33"/>
      <c r="V3301" s="33"/>
      <c r="W3301" s="33"/>
    </row>
    <row r="3302" spans="1:23" ht="16.5" customHeight="1" x14ac:dyDescent="0.2">
      <c r="A3302" s="26"/>
      <c r="B3302" s="26"/>
      <c r="C3302" s="26"/>
      <c r="D3302" s="26"/>
      <c r="E3302" s="26"/>
      <c r="F3302" s="28"/>
      <c r="G3302" s="26"/>
      <c r="H3302" s="32"/>
      <c r="I3302" s="32"/>
      <c r="J3302" s="32"/>
      <c r="K3302" s="32"/>
      <c r="L3302" s="32" t="e">
        <f ca="1">_xludf.ifna(VLOOKUP(E3302,Parámetros!$D$2:$E$34,2,0),"")</f>
        <v>#NAME?</v>
      </c>
      <c r="M3302" s="32" t="e">
        <f ca="1">_xludf.ifna(VLOOKUP(G3302,Proyectos!$A$2:$T$674,20,0),"")</f>
        <v>#NAME?</v>
      </c>
      <c r="N3302" s="32" t="e">
        <f ca="1">_xludf.ifna(VLOOKUP(G3302,Proyectos!$A$2:$S$674,19,0))</f>
        <v>#NAME?</v>
      </c>
      <c r="O3302" s="32"/>
      <c r="P3302" s="32"/>
      <c r="Q3302" s="33"/>
      <c r="R3302" s="33"/>
      <c r="S3302" s="33"/>
      <c r="T3302" s="63"/>
      <c r="U3302" s="33"/>
      <c r="V3302" s="33"/>
      <c r="W3302" s="33"/>
    </row>
    <row r="3303" spans="1:23" ht="16.5" customHeight="1" x14ac:dyDescent="0.2">
      <c r="A3303" s="26"/>
      <c r="B3303" s="26"/>
      <c r="C3303" s="26"/>
      <c r="D3303" s="26"/>
      <c r="E3303" s="26"/>
      <c r="F3303" s="28"/>
      <c r="G3303" s="26"/>
      <c r="H3303" s="32"/>
      <c r="I3303" s="32"/>
      <c r="J3303" s="32"/>
      <c r="K3303" s="32"/>
      <c r="L3303" s="32" t="e">
        <f ca="1">_xludf.ifna(VLOOKUP(E3303,Parámetros!$D$2:$E$34,2,0),"")</f>
        <v>#NAME?</v>
      </c>
      <c r="M3303" s="32" t="e">
        <f ca="1">_xludf.ifna(VLOOKUP(G3303,Proyectos!$A$2:$T$674,20,0),"")</f>
        <v>#NAME?</v>
      </c>
      <c r="N3303" s="32" t="e">
        <f ca="1">_xludf.ifna(VLOOKUP(G3303,Proyectos!$A$2:$S$674,19,0))</f>
        <v>#NAME?</v>
      </c>
      <c r="O3303" s="32"/>
      <c r="P3303" s="32"/>
      <c r="Q3303" s="33"/>
      <c r="R3303" s="33"/>
      <c r="S3303" s="33"/>
      <c r="T3303" s="63"/>
      <c r="U3303" s="33"/>
      <c r="V3303" s="33"/>
      <c r="W3303" s="33"/>
    </row>
    <row r="3304" spans="1:23" ht="16.5" customHeight="1" x14ac:dyDescent="0.2">
      <c r="A3304" s="26"/>
      <c r="B3304" s="26"/>
      <c r="C3304" s="26"/>
      <c r="D3304" s="26"/>
      <c r="E3304" s="26"/>
      <c r="F3304" s="28"/>
      <c r="G3304" s="26"/>
      <c r="H3304" s="32"/>
      <c r="I3304" s="32"/>
      <c r="J3304" s="32"/>
      <c r="K3304" s="32"/>
      <c r="L3304" s="32" t="e">
        <f ca="1">_xludf.ifna(VLOOKUP(E3304,Parámetros!$D$2:$E$34,2,0),"")</f>
        <v>#NAME?</v>
      </c>
      <c r="M3304" s="32" t="e">
        <f ca="1">_xludf.ifna(VLOOKUP(G3304,Proyectos!$A$2:$T$674,20,0),"")</f>
        <v>#NAME?</v>
      </c>
      <c r="N3304" s="32" t="e">
        <f ca="1">_xludf.ifna(VLOOKUP(G3304,Proyectos!$A$2:$S$674,19,0))</f>
        <v>#NAME?</v>
      </c>
      <c r="O3304" s="32"/>
      <c r="P3304" s="32"/>
      <c r="Q3304" s="33"/>
      <c r="R3304" s="33"/>
      <c r="S3304" s="33"/>
      <c r="T3304" s="63"/>
      <c r="U3304" s="33"/>
      <c r="V3304" s="33"/>
      <c r="W3304" s="33"/>
    </row>
    <row r="3305" spans="1:23" ht="16.5" customHeight="1" x14ac:dyDescent="0.2">
      <c r="A3305" s="26"/>
      <c r="B3305" s="26"/>
      <c r="C3305" s="26"/>
      <c r="D3305" s="26"/>
      <c r="E3305" s="26"/>
      <c r="F3305" s="28"/>
      <c r="G3305" s="26"/>
      <c r="H3305" s="32"/>
      <c r="I3305" s="32"/>
      <c r="J3305" s="32"/>
      <c r="K3305" s="32"/>
      <c r="L3305" s="32" t="e">
        <f ca="1">_xludf.ifna(VLOOKUP(E3305,Parámetros!$D$2:$E$34,2,0),"")</f>
        <v>#NAME?</v>
      </c>
      <c r="M3305" s="32" t="e">
        <f ca="1">_xludf.ifna(VLOOKUP(G3305,Proyectos!$A$2:$T$674,20,0),"")</f>
        <v>#NAME?</v>
      </c>
      <c r="N3305" s="32" t="e">
        <f ca="1">_xludf.ifna(VLOOKUP(G3305,Proyectos!$A$2:$S$674,19,0))</f>
        <v>#NAME?</v>
      </c>
      <c r="O3305" s="32"/>
      <c r="P3305" s="32"/>
      <c r="Q3305" s="33"/>
      <c r="R3305" s="33"/>
      <c r="S3305" s="33"/>
      <c r="T3305" s="63"/>
      <c r="U3305" s="33"/>
      <c r="V3305" s="33"/>
      <c r="W3305" s="33"/>
    </row>
    <row r="3306" spans="1:23" ht="16.5" customHeight="1" x14ac:dyDescent="0.2">
      <c r="A3306" s="26"/>
      <c r="B3306" s="26"/>
      <c r="C3306" s="26"/>
      <c r="D3306" s="26"/>
      <c r="E3306" s="26"/>
      <c r="F3306" s="28"/>
      <c r="G3306" s="26"/>
      <c r="H3306" s="32"/>
      <c r="I3306" s="32"/>
      <c r="J3306" s="32"/>
      <c r="K3306" s="32"/>
      <c r="L3306" s="32" t="e">
        <f ca="1">_xludf.ifna(VLOOKUP(E3306,Parámetros!$D$2:$E$34,2,0),"")</f>
        <v>#NAME?</v>
      </c>
      <c r="M3306" s="32" t="e">
        <f ca="1">_xludf.ifna(VLOOKUP(G3306,Proyectos!$A$2:$T$674,20,0),"")</f>
        <v>#NAME?</v>
      </c>
      <c r="N3306" s="32" t="e">
        <f ca="1">_xludf.ifna(VLOOKUP(G3306,Proyectos!$A$2:$S$674,19,0))</f>
        <v>#NAME?</v>
      </c>
      <c r="O3306" s="32"/>
      <c r="P3306" s="32"/>
      <c r="Q3306" s="33"/>
      <c r="R3306" s="33"/>
      <c r="S3306" s="33"/>
      <c r="T3306" s="63"/>
      <c r="U3306" s="33"/>
      <c r="V3306" s="33"/>
      <c r="W3306" s="33"/>
    </row>
    <row r="3307" spans="1:23" ht="16.5" customHeight="1" x14ac:dyDescent="0.2">
      <c r="A3307" s="26"/>
      <c r="B3307" s="26"/>
      <c r="C3307" s="26"/>
      <c r="D3307" s="26"/>
      <c r="E3307" s="26"/>
      <c r="F3307" s="28"/>
      <c r="G3307" s="26"/>
      <c r="H3307" s="32"/>
      <c r="I3307" s="32"/>
      <c r="J3307" s="32"/>
      <c r="K3307" s="32"/>
      <c r="L3307" s="32" t="e">
        <f ca="1">_xludf.ifna(VLOOKUP(E3307,Parámetros!$D$2:$E$34,2,0),"")</f>
        <v>#NAME?</v>
      </c>
      <c r="M3307" s="32" t="e">
        <f ca="1">_xludf.ifna(VLOOKUP(G3307,Proyectos!$A$2:$T$674,20,0),"")</f>
        <v>#NAME?</v>
      </c>
      <c r="N3307" s="32" t="e">
        <f ca="1">_xludf.ifna(VLOOKUP(G3307,Proyectos!$A$2:$S$674,19,0))</f>
        <v>#NAME?</v>
      </c>
      <c r="O3307" s="32"/>
      <c r="P3307" s="32"/>
      <c r="Q3307" s="33"/>
      <c r="R3307" s="33"/>
      <c r="S3307" s="33"/>
      <c r="T3307" s="63"/>
      <c r="U3307" s="33"/>
      <c r="V3307" s="33"/>
      <c r="W3307" s="33"/>
    </row>
    <row r="3308" spans="1:23" ht="16.5" customHeight="1" x14ac:dyDescent="0.2">
      <c r="A3308" s="26"/>
      <c r="B3308" s="26"/>
      <c r="C3308" s="26"/>
      <c r="D3308" s="26"/>
      <c r="E3308" s="26"/>
      <c r="F3308" s="28"/>
      <c r="G3308" s="26"/>
      <c r="H3308" s="32"/>
      <c r="I3308" s="32"/>
      <c r="J3308" s="32"/>
      <c r="K3308" s="32"/>
      <c r="L3308" s="32" t="e">
        <f ca="1">_xludf.ifna(VLOOKUP(E3308,Parámetros!$D$2:$E$34,2,0),"")</f>
        <v>#NAME?</v>
      </c>
      <c r="M3308" s="32" t="e">
        <f ca="1">_xludf.ifna(VLOOKUP(G3308,Proyectos!$A$2:$T$674,20,0),"")</f>
        <v>#NAME?</v>
      </c>
      <c r="N3308" s="32" t="e">
        <f ca="1">_xludf.ifna(VLOOKUP(G3308,Proyectos!$A$2:$S$674,19,0))</f>
        <v>#NAME?</v>
      </c>
      <c r="O3308" s="32"/>
      <c r="P3308" s="32"/>
      <c r="Q3308" s="33"/>
      <c r="R3308" s="33"/>
      <c r="S3308" s="33"/>
      <c r="T3308" s="63"/>
      <c r="U3308" s="33"/>
      <c r="V3308" s="33"/>
      <c r="W3308" s="33"/>
    </row>
    <row r="3309" spans="1:23" ht="16.5" customHeight="1" x14ac:dyDescent="0.2">
      <c r="A3309" s="26"/>
      <c r="B3309" s="26"/>
      <c r="C3309" s="26"/>
      <c r="D3309" s="26"/>
      <c r="E3309" s="26"/>
      <c r="F3309" s="28"/>
      <c r="G3309" s="26"/>
      <c r="H3309" s="32"/>
      <c r="I3309" s="32"/>
      <c r="J3309" s="32"/>
      <c r="K3309" s="32"/>
      <c r="L3309" s="32" t="e">
        <f ca="1">_xludf.ifna(VLOOKUP(E3309,Parámetros!$D$2:$E$34,2,0),"")</f>
        <v>#NAME?</v>
      </c>
      <c r="M3309" s="32" t="e">
        <f ca="1">_xludf.ifna(VLOOKUP(G3309,Proyectos!$A$2:$T$674,20,0),"")</f>
        <v>#NAME?</v>
      </c>
      <c r="N3309" s="32" t="e">
        <f ca="1">_xludf.ifna(VLOOKUP(G3309,Proyectos!$A$2:$S$674,19,0))</f>
        <v>#NAME?</v>
      </c>
      <c r="O3309" s="32"/>
      <c r="P3309" s="32"/>
      <c r="Q3309" s="33"/>
      <c r="R3309" s="33"/>
      <c r="S3309" s="33"/>
      <c r="T3309" s="63"/>
      <c r="U3309" s="33"/>
      <c r="V3309" s="33"/>
      <c r="W3309" s="33"/>
    </row>
    <row r="3310" spans="1:23" ht="16.5" customHeight="1" x14ac:dyDescent="0.2">
      <c r="A3310" s="26"/>
      <c r="B3310" s="26"/>
      <c r="C3310" s="26"/>
      <c r="D3310" s="26"/>
      <c r="E3310" s="26"/>
      <c r="F3310" s="28"/>
      <c r="G3310" s="26"/>
      <c r="H3310" s="32"/>
      <c r="I3310" s="32"/>
      <c r="J3310" s="32"/>
      <c r="K3310" s="32"/>
      <c r="L3310" s="32" t="e">
        <f ca="1">_xludf.ifna(VLOOKUP(E3310,Parámetros!$D$2:$E$34,2,0),"")</f>
        <v>#NAME?</v>
      </c>
      <c r="M3310" s="32" t="e">
        <f ca="1">_xludf.ifna(VLOOKUP(G3310,Proyectos!$A$2:$T$674,20,0),"")</f>
        <v>#NAME?</v>
      </c>
      <c r="N3310" s="32" t="e">
        <f ca="1">_xludf.ifna(VLOOKUP(G3310,Proyectos!$A$2:$S$674,19,0))</f>
        <v>#NAME?</v>
      </c>
      <c r="O3310" s="32"/>
      <c r="P3310" s="32"/>
      <c r="Q3310" s="33"/>
      <c r="R3310" s="33"/>
      <c r="S3310" s="33"/>
      <c r="T3310" s="63"/>
      <c r="U3310" s="33"/>
      <c r="V3310" s="33"/>
      <c r="W3310" s="33"/>
    </row>
    <row r="3311" spans="1:23" ht="16.5" customHeight="1" x14ac:dyDescent="0.2">
      <c r="A3311" s="26"/>
      <c r="B3311" s="26"/>
      <c r="C3311" s="26"/>
      <c r="D3311" s="26"/>
      <c r="E3311" s="26"/>
      <c r="F3311" s="28"/>
      <c r="G3311" s="26"/>
      <c r="H3311" s="32"/>
      <c r="I3311" s="32"/>
      <c r="J3311" s="32"/>
      <c r="K3311" s="32"/>
      <c r="L3311" s="32" t="e">
        <f ca="1">_xludf.ifna(VLOOKUP(E3311,Parámetros!$D$2:$E$34,2,0),"")</f>
        <v>#NAME?</v>
      </c>
      <c r="M3311" s="32" t="e">
        <f ca="1">_xludf.ifna(VLOOKUP(G3311,Proyectos!$A$2:$T$674,20,0),"")</f>
        <v>#NAME?</v>
      </c>
      <c r="N3311" s="32" t="e">
        <f ca="1">_xludf.ifna(VLOOKUP(G3311,Proyectos!$A$2:$S$674,19,0))</f>
        <v>#NAME?</v>
      </c>
      <c r="O3311" s="32"/>
      <c r="P3311" s="32"/>
      <c r="Q3311" s="33"/>
      <c r="R3311" s="33"/>
      <c r="S3311" s="33"/>
      <c r="T3311" s="63"/>
      <c r="U3311" s="33"/>
      <c r="V3311" s="33"/>
      <c r="W3311" s="33"/>
    </row>
    <row r="3312" spans="1:23" ht="16.5" customHeight="1" x14ac:dyDescent="0.2">
      <c r="A3312" s="26"/>
      <c r="B3312" s="26"/>
      <c r="C3312" s="26"/>
      <c r="D3312" s="26"/>
      <c r="E3312" s="26"/>
      <c r="F3312" s="28"/>
      <c r="G3312" s="26"/>
      <c r="H3312" s="32"/>
      <c r="I3312" s="32"/>
      <c r="J3312" s="32"/>
      <c r="K3312" s="32"/>
      <c r="L3312" s="32" t="e">
        <f ca="1">_xludf.ifna(VLOOKUP(E3312,Parámetros!$D$2:$E$34,2,0),"")</f>
        <v>#NAME?</v>
      </c>
      <c r="M3312" s="32" t="e">
        <f ca="1">_xludf.ifna(VLOOKUP(G3312,Proyectos!$A$2:$T$674,20,0),"")</f>
        <v>#NAME?</v>
      </c>
      <c r="N3312" s="32" t="e">
        <f ca="1">_xludf.ifna(VLOOKUP(G3312,Proyectos!$A$2:$S$674,19,0))</f>
        <v>#NAME?</v>
      </c>
      <c r="O3312" s="32"/>
      <c r="P3312" s="32"/>
      <c r="Q3312" s="33"/>
      <c r="R3312" s="33"/>
      <c r="S3312" s="33"/>
      <c r="T3312" s="63"/>
      <c r="U3312" s="33"/>
      <c r="V3312" s="33"/>
      <c r="W3312" s="33"/>
    </row>
    <row r="3313" spans="1:23" ht="16.5" customHeight="1" x14ac:dyDescent="0.2">
      <c r="A3313" s="26"/>
      <c r="B3313" s="26"/>
      <c r="C3313" s="26"/>
      <c r="D3313" s="26"/>
      <c r="E3313" s="26"/>
      <c r="F3313" s="28"/>
      <c r="G3313" s="26"/>
      <c r="H3313" s="32"/>
      <c r="I3313" s="32"/>
      <c r="J3313" s="32"/>
      <c r="K3313" s="32"/>
      <c r="L3313" s="32" t="e">
        <f ca="1">_xludf.ifna(VLOOKUP(E3313,Parámetros!$D$2:$E$34,2,0),"")</f>
        <v>#NAME?</v>
      </c>
      <c r="M3313" s="32" t="e">
        <f ca="1">_xludf.ifna(VLOOKUP(G3313,Proyectos!$A$2:$T$674,20,0),"")</f>
        <v>#NAME?</v>
      </c>
      <c r="N3313" s="32" t="e">
        <f ca="1">_xludf.ifna(VLOOKUP(G3313,Proyectos!$A$2:$S$674,19,0))</f>
        <v>#NAME?</v>
      </c>
      <c r="O3313" s="32"/>
      <c r="P3313" s="32"/>
      <c r="Q3313" s="33"/>
      <c r="R3313" s="33"/>
      <c r="S3313" s="33"/>
      <c r="T3313" s="63"/>
      <c r="U3313" s="33"/>
      <c r="V3313" s="33"/>
      <c r="W3313" s="33"/>
    </row>
    <row r="3314" spans="1:23" ht="16.5" customHeight="1" x14ac:dyDescent="0.2">
      <c r="A3314" s="26"/>
      <c r="B3314" s="26"/>
      <c r="C3314" s="26"/>
      <c r="D3314" s="26"/>
      <c r="E3314" s="26"/>
      <c r="F3314" s="28"/>
      <c r="G3314" s="26"/>
      <c r="H3314" s="32"/>
      <c r="I3314" s="32"/>
      <c r="J3314" s="32"/>
      <c r="K3314" s="32"/>
      <c r="L3314" s="32" t="e">
        <f ca="1">_xludf.ifna(VLOOKUP(E3314,Parámetros!$D$2:$E$34,2,0),"")</f>
        <v>#NAME?</v>
      </c>
      <c r="M3314" s="32" t="e">
        <f ca="1">_xludf.ifna(VLOOKUP(G3314,Proyectos!$A$2:$T$674,20,0),"")</f>
        <v>#NAME?</v>
      </c>
      <c r="N3314" s="32" t="e">
        <f ca="1">_xludf.ifna(VLOOKUP(G3314,Proyectos!$A$2:$S$674,19,0))</f>
        <v>#NAME?</v>
      </c>
      <c r="O3314" s="32"/>
      <c r="P3314" s="32"/>
      <c r="Q3314" s="33"/>
      <c r="R3314" s="33"/>
      <c r="S3314" s="33"/>
      <c r="T3314" s="63"/>
      <c r="U3314" s="33"/>
      <c r="V3314" s="33"/>
      <c r="W3314" s="33"/>
    </row>
    <row r="3315" spans="1:23" ht="16.5" customHeight="1" x14ac:dyDescent="0.2">
      <c r="A3315" s="26"/>
      <c r="B3315" s="26"/>
      <c r="C3315" s="26"/>
      <c r="D3315" s="26"/>
      <c r="E3315" s="26"/>
      <c r="F3315" s="28"/>
      <c r="G3315" s="26"/>
      <c r="H3315" s="32"/>
      <c r="I3315" s="32"/>
      <c r="J3315" s="32"/>
      <c r="K3315" s="32"/>
      <c r="L3315" s="32" t="e">
        <f ca="1">_xludf.ifna(VLOOKUP(E3315,Parámetros!$D$2:$E$34,2,0),"")</f>
        <v>#NAME?</v>
      </c>
      <c r="M3315" s="32" t="e">
        <f ca="1">_xludf.ifna(VLOOKUP(G3315,Proyectos!$A$2:$T$674,20,0),"")</f>
        <v>#NAME?</v>
      </c>
      <c r="N3315" s="32" t="e">
        <f ca="1">_xludf.ifna(VLOOKUP(G3315,Proyectos!$A$2:$S$674,19,0))</f>
        <v>#NAME?</v>
      </c>
      <c r="O3315" s="32"/>
      <c r="P3315" s="32"/>
      <c r="Q3315" s="33"/>
      <c r="R3315" s="33"/>
      <c r="S3315" s="33"/>
      <c r="T3315" s="63"/>
      <c r="U3315" s="33"/>
      <c r="V3315" s="33"/>
      <c r="W3315" s="33"/>
    </row>
    <row r="3316" spans="1:23" ht="16.5" customHeight="1" x14ac:dyDescent="0.2">
      <c r="A3316" s="26"/>
      <c r="B3316" s="26"/>
      <c r="C3316" s="26"/>
      <c r="D3316" s="26"/>
      <c r="E3316" s="26"/>
      <c r="F3316" s="28"/>
      <c r="G3316" s="26"/>
      <c r="H3316" s="32"/>
      <c r="I3316" s="32"/>
      <c r="J3316" s="32"/>
      <c r="K3316" s="32"/>
      <c r="L3316" s="32" t="e">
        <f ca="1">_xludf.ifna(VLOOKUP(E3316,Parámetros!$D$2:$E$34,2,0),"")</f>
        <v>#NAME?</v>
      </c>
      <c r="M3316" s="32" t="e">
        <f ca="1">_xludf.ifna(VLOOKUP(G3316,Proyectos!$A$2:$T$674,20,0),"")</f>
        <v>#NAME?</v>
      </c>
      <c r="N3316" s="32" t="e">
        <f ca="1">_xludf.ifna(VLOOKUP(G3316,Proyectos!$A$2:$S$674,19,0))</f>
        <v>#NAME?</v>
      </c>
      <c r="O3316" s="32"/>
      <c r="P3316" s="32"/>
      <c r="Q3316" s="33"/>
      <c r="R3316" s="33"/>
      <c r="S3316" s="33"/>
      <c r="T3316" s="63"/>
      <c r="U3316" s="33"/>
      <c r="V3316" s="33"/>
      <c r="W3316" s="33"/>
    </row>
    <row r="3317" spans="1:23" ht="16.5" customHeight="1" x14ac:dyDescent="0.2">
      <c r="A3317" s="26"/>
      <c r="B3317" s="26"/>
      <c r="C3317" s="26"/>
      <c r="D3317" s="26"/>
      <c r="E3317" s="26"/>
      <c r="F3317" s="28"/>
      <c r="G3317" s="26"/>
      <c r="H3317" s="32"/>
      <c r="I3317" s="32"/>
      <c r="J3317" s="32"/>
      <c r="K3317" s="32"/>
      <c r="L3317" s="32" t="e">
        <f ca="1">_xludf.ifna(VLOOKUP(E3317,Parámetros!$D$2:$E$34,2,0),"")</f>
        <v>#NAME?</v>
      </c>
      <c r="M3317" s="32" t="e">
        <f ca="1">_xludf.ifna(VLOOKUP(G3317,Proyectos!$A$2:$T$674,20,0),"")</f>
        <v>#NAME?</v>
      </c>
      <c r="N3317" s="32" t="e">
        <f ca="1">_xludf.ifna(VLOOKUP(G3317,Proyectos!$A$2:$S$674,19,0))</f>
        <v>#NAME?</v>
      </c>
      <c r="O3317" s="32"/>
      <c r="P3317" s="32"/>
      <c r="Q3317" s="33"/>
      <c r="R3317" s="33"/>
      <c r="S3317" s="33"/>
      <c r="T3317" s="63"/>
      <c r="U3317" s="33"/>
      <c r="V3317" s="33"/>
      <c r="W3317" s="33"/>
    </row>
    <row r="3318" spans="1:23" ht="16.5" customHeight="1" x14ac:dyDescent="0.2">
      <c r="A3318" s="26"/>
      <c r="B3318" s="26"/>
      <c r="C3318" s="26"/>
      <c r="D3318" s="26"/>
      <c r="E3318" s="26"/>
      <c r="F3318" s="28"/>
      <c r="G3318" s="26"/>
      <c r="H3318" s="32"/>
      <c r="I3318" s="32"/>
      <c r="J3318" s="32"/>
      <c r="K3318" s="32"/>
      <c r="L3318" s="32" t="e">
        <f ca="1">_xludf.ifna(VLOOKUP(E3318,Parámetros!$D$2:$E$34,2,0),"")</f>
        <v>#NAME?</v>
      </c>
      <c r="M3318" s="32" t="e">
        <f ca="1">_xludf.ifna(VLOOKUP(G3318,Proyectos!$A$2:$T$674,20,0),"")</f>
        <v>#NAME?</v>
      </c>
      <c r="N3318" s="32" t="e">
        <f ca="1">_xludf.ifna(VLOOKUP(G3318,Proyectos!$A$2:$S$674,19,0))</f>
        <v>#NAME?</v>
      </c>
      <c r="O3318" s="32"/>
      <c r="P3318" s="32"/>
      <c r="Q3318" s="33"/>
      <c r="R3318" s="33"/>
      <c r="S3318" s="33"/>
      <c r="T3318" s="63"/>
      <c r="U3318" s="33"/>
      <c r="V3318" s="33"/>
      <c r="W3318" s="33"/>
    </row>
    <row r="3319" spans="1:23" ht="16.5" customHeight="1" x14ac:dyDescent="0.2">
      <c r="A3319" s="26"/>
      <c r="B3319" s="26"/>
      <c r="C3319" s="26"/>
      <c r="D3319" s="26"/>
      <c r="E3319" s="26"/>
      <c r="F3319" s="28"/>
      <c r="G3319" s="26"/>
      <c r="H3319" s="32"/>
      <c r="I3319" s="32"/>
      <c r="J3319" s="32"/>
      <c r="K3319" s="32"/>
      <c r="L3319" s="32" t="e">
        <f ca="1">_xludf.ifna(VLOOKUP(E3319,Parámetros!$D$2:$E$34,2,0),"")</f>
        <v>#NAME?</v>
      </c>
      <c r="M3319" s="32" t="e">
        <f ca="1">_xludf.ifna(VLOOKUP(G3319,Proyectos!$A$2:$T$674,20,0),"")</f>
        <v>#NAME?</v>
      </c>
      <c r="N3319" s="32" t="e">
        <f ca="1">_xludf.ifna(VLOOKUP(G3319,Proyectos!$A$2:$S$674,19,0))</f>
        <v>#NAME?</v>
      </c>
      <c r="O3319" s="32"/>
      <c r="P3319" s="32"/>
      <c r="Q3319" s="33"/>
      <c r="R3319" s="33"/>
      <c r="S3319" s="33"/>
      <c r="T3319" s="63"/>
      <c r="U3319" s="33"/>
      <c r="V3319" s="33"/>
      <c r="W3319" s="33"/>
    </row>
    <row r="3320" spans="1:23" ht="16.5" customHeight="1" x14ac:dyDescent="0.2">
      <c r="A3320" s="26"/>
      <c r="B3320" s="26"/>
      <c r="C3320" s="26"/>
      <c r="D3320" s="26"/>
      <c r="E3320" s="26"/>
      <c r="F3320" s="28"/>
      <c r="G3320" s="26"/>
      <c r="H3320" s="32"/>
      <c r="I3320" s="32"/>
      <c r="J3320" s="32"/>
      <c r="K3320" s="32"/>
      <c r="L3320" s="32" t="e">
        <f ca="1">_xludf.ifna(VLOOKUP(E3320,Parámetros!$D$2:$E$34,2,0),"")</f>
        <v>#NAME?</v>
      </c>
      <c r="M3320" s="32" t="e">
        <f ca="1">_xludf.ifna(VLOOKUP(G3320,Proyectos!$A$2:$T$674,20,0),"")</f>
        <v>#NAME?</v>
      </c>
      <c r="N3320" s="32" t="e">
        <f ca="1">_xludf.ifna(VLOOKUP(G3320,Proyectos!$A$2:$S$674,19,0))</f>
        <v>#NAME?</v>
      </c>
      <c r="O3320" s="32"/>
      <c r="P3320" s="32"/>
      <c r="Q3320" s="33"/>
      <c r="R3320" s="33"/>
      <c r="S3320" s="33"/>
      <c r="T3320" s="63"/>
      <c r="U3320" s="33"/>
      <c r="V3320" s="33"/>
      <c r="W3320" s="33"/>
    </row>
    <row r="3321" spans="1:23" ht="16.5" customHeight="1" x14ac:dyDescent="0.2">
      <c r="A3321" s="26"/>
      <c r="B3321" s="26"/>
      <c r="C3321" s="26"/>
      <c r="D3321" s="26"/>
      <c r="E3321" s="26"/>
      <c r="F3321" s="28"/>
      <c r="G3321" s="26"/>
      <c r="H3321" s="32"/>
      <c r="I3321" s="32"/>
      <c r="J3321" s="32"/>
      <c r="K3321" s="32"/>
      <c r="L3321" s="32" t="e">
        <f ca="1">_xludf.ifna(VLOOKUP(E3321,Parámetros!$D$2:$E$34,2,0),"")</f>
        <v>#NAME?</v>
      </c>
      <c r="M3321" s="32" t="e">
        <f ca="1">_xludf.ifna(VLOOKUP(G3321,Proyectos!$A$2:$T$674,20,0),"")</f>
        <v>#NAME?</v>
      </c>
      <c r="N3321" s="32" t="e">
        <f ca="1">_xludf.ifna(VLOOKUP(G3321,Proyectos!$A$2:$S$674,19,0))</f>
        <v>#NAME?</v>
      </c>
      <c r="O3321" s="32"/>
      <c r="P3321" s="32"/>
      <c r="Q3321" s="33"/>
      <c r="R3321" s="33"/>
      <c r="S3321" s="33"/>
      <c r="T3321" s="63"/>
      <c r="U3321" s="33"/>
      <c r="V3321" s="33"/>
      <c r="W3321" s="33"/>
    </row>
    <row r="3322" spans="1:23" ht="16.5" customHeight="1" x14ac:dyDescent="0.2">
      <c r="A3322" s="26"/>
      <c r="B3322" s="26"/>
      <c r="C3322" s="26"/>
      <c r="D3322" s="26"/>
      <c r="E3322" s="26"/>
      <c r="F3322" s="28"/>
      <c r="G3322" s="26"/>
      <c r="H3322" s="32"/>
      <c r="I3322" s="32"/>
      <c r="J3322" s="32"/>
      <c r="K3322" s="32"/>
      <c r="L3322" s="32" t="e">
        <f ca="1">_xludf.ifna(VLOOKUP(E3322,Parámetros!$D$2:$E$34,2,0),"")</f>
        <v>#NAME?</v>
      </c>
      <c r="M3322" s="32" t="e">
        <f ca="1">_xludf.ifna(VLOOKUP(G3322,Proyectos!$A$2:$T$674,20,0),"")</f>
        <v>#NAME?</v>
      </c>
      <c r="N3322" s="32" t="e">
        <f ca="1">_xludf.ifna(VLOOKUP(G3322,Proyectos!$A$2:$S$674,19,0))</f>
        <v>#NAME?</v>
      </c>
      <c r="O3322" s="32"/>
      <c r="P3322" s="32"/>
      <c r="Q3322" s="33"/>
      <c r="R3322" s="33"/>
      <c r="S3322" s="33"/>
      <c r="T3322" s="63"/>
      <c r="U3322" s="33"/>
      <c r="V3322" s="33"/>
      <c r="W3322" s="33"/>
    </row>
    <row r="3323" spans="1:23" ht="16.5" customHeight="1" x14ac:dyDescent="0.2">
      <c r="A3323" s="26"/>
      <c r="B3323" s="26"/>
      <c r="C3323" s="26"/>
      <c r="D3323" s="26"/>
      <c r="E3323" s="26"/>
      <c r="F3323" s="28"/>
      <c r="G3323" s="26"/>
      <c r="H3323" s="32"/>
      <c r="I3323" s="32"/>
      <c r="J3323" s="32"/>
      <c r="K3323" s="32"/>
      <c r="L3323" s="32" t="e">
        <f ca="1">_xludf.ifna(VLOOKUP(E3323,Parámetros!$D$2:$E$34,2,0),"")</f>
        <v>#NAME?</v>
      </c>
      <c r="M3323" s="32" t="e">
        <f ca="1">_xludf.ifna(VLOOKUP(G3323,Proyectos!$A$2:$T$674,20,0),"")</f>
        <v>#NAME?</v>
      </c>
      <c r="N3323" s="32" t="e">
        <f ca="1">_xludf.ifna(VLOOKUP(G3323,Proyectos!$A$2:$S$674,19,0))</f>
        <v>#NAME?</v>
      </c>
      <c r="O3323" s="32"/>
      <c r="P3323" s="32"/>
      <c r="Q3323" s="33"/>
      <c r="R3323" s="33"/>
      <c r="S3323" s="33"/>
      <c r="T3323" s="63"/>
      <c r="U3323" s="33"/>
      <c r="V3323" s="33"/>
      <c r="W3323" s="33"/>
    </row>
    <row r="3324" spans="1:23" ht="16.5" customHeight="1" x14ac:dyDescent="0.2">
      <c r="A3324" s="26"/>
      <c r="B3324" s="26"/>
      <c r="C3324" s="26"/>
      <c r="D3324" s="26"/>
      <c r="E3324" s="26"/>
      <c r="F3324" s="28"/>
      <c r="G3324" s="26"/>
      <c r="H3324" s="32"/>
      <c r="I3324" s="32"/>
      <c r="J3324" s="32"/>
      <c r="K3324" s="32"/>
      <c r="L3324" s="32" t="e">
        <f ca="1">_xludf.ifna(VLOOKUP(E3324,Parámetros!$D$2:$E$34,2,0),"")</f>
        <v>#NAME?</v>
      </c>
      <c r="M3324" s="32" t="e">
        <f ca="1">_xludf.ifna(VLOOKUP(G3324,Proyectos!$A$2:$T$674,20,0),"")</f>
        <v>#NAME?</v>
      </c>
      <c r="N3324" s="32" t="e">
        <f ca="1">_xludf.ifna(VLOOKUP(G3324,Proyectos!$A$2:$S$674,19,0))</f>
        <v>#NAME?</v>
      </c>
      <c r="O3324" s="32"/>
      <c r="P3324" s="32"/>
      <c r="Q3324" s="33"/>
      <c r="R3324" s="33"/>
      <c r="S3324" s="33"/>
      <c r="T3324" s="63"/>
      <c r="U3324" s="33"/>
      <c r="V3324" s="33"/>
      <c r="W3324" s="33"/>
    </row>
    <row r="3325" spans="1:23" ht="16.5" customHeight="1" x14ac:dyDescent="0.2">
      <c r="A3325" s="26"/>
      <c r="B3325" s="26"/>
      <c r="C3325" s="26"/>
      <c r="D3325" s="26"/>
      <c r="E3325" s="26"/>
      <c r="F3325" s="28"/>
      <c r="G3325" s="26"/>
      <c r="H3325" s="32"/>
      <c r="I3325" s="32"/>
      <c r="J3325" s="32"/>
      <c r="K3325" s="32"/>
      <c r="L3325" s="32" t="e">
        <f ca="1">_xludf.ifna(VLOOKUP(E3325,Parámetros!$D$2:$E$34,2,0),"")</f>
        <v>#NAME?</v>
      </c>
      <c r="M3325" s="32" t="e">
        <f ca="1">_xludf.ifna(VLOOKUP(G3325,Proyectos!$A$2:$T$674,20,0),"")</f>
        <v>#NAME?</v>
      </c>
      <c r="N3325" s="32" t="e">
        <f ca="1">_xludf.ifna(VLOOKUP(G3325,Proyectos!$A$2:$S$674,19,0))</f>
        <v>#NAME?</v>
      </c>
      <c r="O3325" s="32"/>
      <c r="P3325" s="32"/>
      <c r="Q3325" s="33"/>
      <c r="R3325" s="33"/>
      <c r="S3325" s="33"/>
      <c r="T3325" s="63"/>
      <c r="U3325" s="33"/>
      <c r="V3325" s="33"/>
      <c r="W3325" s="33"/>
    </row>
    <row r="3326" spans="1:23" ht="16.5" customHeight="1" x14ac:dyDescent="0.2">
      <c r="A3326" s="26"/>
      <c r="B3326" s="26"/>
      <c r="C3326" s="26"/>
      <c r="D3326" s="26"/>
      <c r="E3326" s="26"/>
      <c r="F3326" s="28"/>
      <c r="G3326" s="26"/>
      <c r="H3326" s="32"/>
      <c r="I3326" s="32"/>
      <c r="J3326" s="32"/>
      <c r="K3326" s="32"/>
      <c r="L3326" s="32" t="e">
        <f ca="1">_xludf.ifna(VLOOKUP(E3326,Parámetros!$D$2:$E$34,2,0),"")</f>
        <v>#NAME?</v>
      </c>
      <c r="M3326" s="32" t="e">
        <f ca="1">_xludf.ifna(VLOOKUP(G3326,Proyectos!$A$2:$T$674,20,0),"")</f>
        <v>#NAME?</v>
      </c>
      <c r="N3326" s="32" t="e">
        <f ca="1">_xludf.ifna(VLOOKUP(G3326,Proyectos!$A$2:$S$674,19,0))</f>
        <v>#NAME?</v>
      </c>
      <c r="O3326" s="32"/>
      <c r="P3326" s="32"/>
      <c r="Q3326" s="33"/>
      <c r="R3326" s="33"/>
      <c r="S3326" s="33"/>
      <c r="T3326" s="63"/>
      <c r="U3326" s="33"/>
      <c r="V3326" s="33"/>
      <c r="W3326" s="33"/>
    </row>
    <row r="3327" spans="1:23" ht="16.5" customHeight="1" x14ac:dyDescent="0.2">
      <c r="A3327" s="26"/>
      <c r="B3327" s="26"/>
      <c r="C3327" s="26"/>
      <c r="D3327" s="26"/>
      <c r="E3327" s="26"/>
      <c r="F3327" s="28"/>
      <c r="G3327" s="26"/>
      <c r="H3327" s="32"/>
      <c r="I3327" s="32"/>
      <c r="J3327" s="32"/>
      <c r="K3327" s="32"/>
      <c r="L3327" s="32" t="e">
        <f ca="1">_xludf.ifna(VLOOKUP(E3327,Parámetros!$D$2:$E$34,2,0),"")</f>
        <v>#NAME?</v>
      </c>
      <c r="M3327" s="32" t="e">
        <f ca="1">_xludf.ifna(VLOOKUP(G3327,Proyectos!$A$2:$T$674,20,0),"")</f>
        <v>#NAME?</v>
      </c>
      <c r="N3327" s="32" t="e">
        <f ca="1">_xludf.ifna(VLOOKUP(G3327,Proyectos!$A$2:$S$674,19,0))</f>
        <v>#NAME?</v>
      </c>
      <c r="O3327" s="32"/>
      <c r="P3327" s="32"/>
      <c r="Q3327" s="33"/>
      <c r="R3327" s="33"/>
      <c r="S3327" s="33"/>
      <c r="T3327" s="63"/>
      <c r="U3327" s="33"/>
      <c r="V3327" s="33"/>
      <c r="W3327" s="33"/>
    </row>
    <row r="3328" spans="1:23" ht="16.5" customHeight="1" x14ac:dyDescent="0.2">
      <c r="A3328" s="26"/>
      <c r="B3328" s="26"/>
      <c r="C3328" s="26"/>
      <c r="D3328" s="26"/>
      <c r="E3328" s="26"/>
      <c r="F3328" s="28"/>
      <c r="G3328" s="26"/>
      <c r="H3328" s="32"/>
      <c r="I3328" s="32"/>
      <c r="J3328" s="32"/>
      <c r="K3328" s="32"/>
      <c r="L3328" s="32" t="e">
        <f ca="1">_xludf.ifna(VLOOKUP(E3328,Parámetros!$D$2:$E$34,2,0),"")</f>
        <v>#NAME?</v>
      </c>
      <c r="M3328" s="32" t="e">
        <f ca="1">_xludf.ifna(VLOOKUP(G3328,Proyectos!$A$2:$T$674,20,0),"")</f>
        <v>#NAME?</v>
      </c>
      <c r="N3328" s="32" t="e">
        <f ca="1">_xludf.ifna(VLOOKUP(G3328,Proyectos!$A$2:$S$674,19,0))</f>
        <v>#NAME?</v>
      </c>
      <c r="O3328" s="32"/>
      <c r="P3328" s="32"/>
      <c r="Q3328" s="33"/>
      <c r="R3328" s="33"/>
      <c r="S3328" s="33"/>
      <c r="T3328" s="63"/>
      <c r="U3328" s="33"/>
      <c r="V3328" s="33"/>
      <c r="W3328" s="33"/>
    </row>
    <row r="3329" spans="1:23" ht="16.5" customHeight="1" x14ac:dyDescent="0.2">
      <c r="A3329" s="26"/>
      <c r="B3329" s="26"/>
      <c r="C3329" s="26"/>
      <c r="D3329" s="26"/>
      <c r="E3329" s="26"/>
      <c r="F3329" s="28"/>
      <c r="G3329" s="26"/>
      <c r="H3329" s="32"/>
      <c r="I3329" s="32"/>
      <c r="J3329" s="32"/>
      <c r="K3329" s="32"/>
      <c r="L3329" s="32" t="e">
        <f ca="1">_xludf.ifna(VLOOKUP(E3329,Parámetros!$D$2:$E$34,2,0),"")</f>
        <v>#NAME?</v>
      </c>
      <c r="M3329" s="32" t="e">
        <f ca="1">_xludf.ifna(VLOOKUP(G3329,Proyectos!$A$2:$T$674,20,0),"")</f>
        <v>#NAME?</v>
      </c>
      <c r="N3329" s="32" t="e">
        <f ca="1">_xludf.ifna(VLOOKUP(G3329,Proyectos!$A$2:$S$674,19,0))</f>
        <v>#NAME?</v>
      </c>
      <c r="O3329" s="32"/>
      <c r="P3329" s="32"/>
      <c r="Q3329" s="33"/>
      <c r="R3329" s="33"/>
      <c r="S3329" s="33"/>
      <c r="T3329" s="63"/>
      <c r="U3329" s="33"/>
      <c r="V3329" s="33"/>
      <c r="W3329" s="33"/>
    </row>
    <row r="3330" spans="1:23" ht="16.5" customHeight="1" x14ac:dyDescent="0.2">
      <c r="A3330" s="26"/>
      <c r="B3330" s="26"/>
      <c r="C3330" s="26"/>
      <c r="D3330" s="26"/>
      <c r="E3330" s="26"/>
      <c r="F3330" s="28"/>
      <c r="G3330" s="26"/>
      <c r="H3330" s="32"/>
      <c r="I3330" s="32"/>
      <c r="J3330" s="32"/>
      <c r="K3330" s="32"/>
      <c r="L3330" s="32" t="e">
        <f ca="1">_xludf.ifna(VLOOKUP(E3330,Parámetros!$D$2:$E$34,2,0),"")</f>
        <v>#NAME?</v>
      </c>
      <c r="M3330" s="32" t="e">
        <f ca="1">_xludf.ifna(VLOOKUP(G3330,Proyectos!$A$2:$T$674,20,0),"")</f>
        <v>#NAME?</v>
      </c>
      <c r="N3330" s="32" t="e">
        <f ca="1">_xludf.ifna(VLOOKUP(G3330,Proyectos!$A$2:$S$674,19,0))</f>
        <v>#NAME?</v>
      </c>
      <c r="O3330" s="32"/>
      <c r="P3330" s="32"/>
      <c r="Q3330" s="33"/>
      <c r="R3330" s="33"/>
      <c r="S3330" s="33"/>
      <c r="T3330" s="63"/>
      <c r="U3330" s="33"/>
      <c r="V3330" s="33"/>
      <c r="W3330" s="33"/>
    </row>
    <row r="3331" spans="1:23" ht="16.5" customHeight="1" x14ac:dyDescent="0.2">
      <c r="A3331" s="26"/>
      <c r="B3331" s="26"/>
      <c r="C3331" s="26"/>
      <c r="D3331" s="26"/>
      <c r="E3331" s="26"/>
      <c r="F3331" s="28"/>
      <c r="G3331" s="26"/>
      <c r="H3331" s="32"/>
      <c r="I3331" s="32"/>
      <c r="J3331" s="32"/>
      <c r="K3331" s="32"/>
      <c r="L3331" s="32" t="e">
        <f ca="1">_xludf.ifna(VLOOKUP(E3331,Parámetros!$D$2:$E$34,2,0),"")</f>
        <v>#NAME?</v>
      </c>
      <c r="M3331" s="32" t="e">
        <f ca="1">_xludf.ifna(VLOOKUP(G3331,Proyectos!$A$2:$T$674,20,0),"")</f>
        <v>#NAME?</v>
      </c>
      <c r="N3331" s="32" t="e">
        <f ca="1">_xludf.ifna(VLOOKUP(G3331,Proyectos!$A$2:$S$674,19,0))</f>
        <v>#NAME?</v>
      </c>
      <c r="O3331" s="32"/>
      <c r="P3331" s="32"/>
      <c r="Q3331" s="33"/>
      <c r="R3331" s="33"/>
      <c r="S3331" s="33"/>
      <c r="T3331" s="63"/>
      <c r="U3331" s="33"/>
      <c r="V3331" s="33"/>
      <c r="W3331" s="33"/>
    </row>
    <row r="3332" spans="1:23" ht="16.5" customHeight="1" x14ac:dyDescent="0.2">
      <c r="A3332" s="26"/>
      <c r="B3332" s="26"/>
      <c r="C3332" s="26"/>
      <c r="D3332" s="26"/>
      <c r="E3332" s="26"/>
      <c r="F3332" s="28"/>
      <c r="G3332" s="26"/>
      <c r="H3332" s="32"/>
      <c r="I3332" s="32"/>
      <c r="J3332" s="32"/>
      <c r="K3332" s="32"/>
      <c r="L3332" s="32" t="e">
        <f ca="1">_xludf.ifna(VLOOKUP(E3332,Parámetros!$D$2:$E$34,2,0),"")</f>
        <v>#NAME?</v>
      </c>
      <c r="M3332" s="32" t="e">
        <f ca="1">_xludf.ifna(VLOOKUP(G3332,Proyectos!$A$2:$T$674,20,0),"")</f>
        <v>#NAME?</v>
      </c>
      <c r="N3332" s="32" t="e">
        <f ca="1">_xludf.ifna(VLOOKUP(G3332,Proyectos!$A$2:$S$674,19,0))</f>
        <v>#NAME?</v>
      </c>
      <c r="O3332" s="32"/>
      <c r="P3332" s="32"/>
      <c r="Q3332" s="33"/>
      <c r="R3332" s="33"/>
      <c r="S3332" s="33"/>
      <c r="T3332" s="63"/>
      <c r="U3332" s="33"/>
      <c r="V3332" s="33"/>
      <c r="W3332" s="33"/>
    </row>
    <row r="3333" spans="1:23" ht="16.5" customHeight="1" x14ac:dyDescent="0.2">
      <c r="A3333" s="26"/>
      <c r="B3333" s="26"/>
      <c r="C3333" s="26"/>
      <c r="D3333" s="26"/>
      <c r="E3333" s="26"/>
      <c r="F3333" s="28"/>
      <c r="G3333" s="26"/>
      <c r="H3333" s="32"/>
      <c r="I3333" s="32"/>
      <c r="J3333" s="32"/>
      <c r="K3333" s="32"/>
      <c r="L3333" s="32" t="e">
        <f ca="1">_xludf.ifna(VLOOKUP(E3333,Parámetros!$D$2:$E$34,2,0),"")</f>
        <v>#NAME?</v>
      </c>
      <c r="M3333" s="32" t="e">
        <f ca="1">_xludf.ifna(VLOOKUP(G3333,Proyectos!$A$2:$T$674,20,0),"")</f>
        <v>#NAME?</v>
      </c>
      <c r="N3333" s="32" t="e">
        <f ca="1">_xludf.ifna(VLOOKUP(G3333,Proyectos!$A$2:$S$674,19,0))</f>
        <v>#NAME?</v>
      </c>
      <c r="O3333" s="32"/>
      <c r="P3333" s="32"/>
      <c r="Q3333" s="33"/>
      <c r="R3333" s="33"/>
      <c r="S3333" s="33"/>
      <c r="T3333" s="63"/>
      <c r="U3333" s="33"/>
      <c r="V3333" s="33"/>
      <c r="W3333" s="33"/>
    </row>
    <row r="3334" spans="1:23" ht="16.5" customHeight="1" x14ac:dyDescent="0.2">
      <c r="A3334" s="26"/>
      <c r="B3334" s="26"/>
      <c r="C3334" s="26"/>
      <c r="D3334" s="26"/>
      <c r="E3334" s="26"/>
      <c r="F3334" s="28"/>
      <c r="G3334" s="26"/>
      <c r="H3334" s="32"/>
      <c r="I3334" s="32"/>
      <c r="J3334" s="32"/>
      <c r="K3334" s="32"/>
      <c r="L3334" s="32" t="e">
        <f ca="1">_xludf.ifna(VLOOKUP(E3334,Parámetros!$D$2:$E$34,2,0),"")</f>
        <v>#NAME?</v>
      </c>
      <c r="M3334" s="32" t="e">
        <f ca="1">_xludf.ifna(VLOOKUP(G3334,Proyectos!$A$2:$T$674,20,0),"")</f>
        <v>#NAME?</v>
      </c>
      <c r="N3334" s="32" t="e">
        <f ca="1">_xludf.ifna(VLOOKUP(G3334,Proyectos!$A$2:$S$674,19,0))</f>
        <v>#NAME?</v>
      </c>
      <c r="O3334" s="32"/>
      <c r="P3334" s="32"/>
      <c r="Q3334" s="33"/>
      <c r="R3334" s="33"/>
      <c r="S3334" s="33"/>
      <c r="T3334" s="63"/>
      <c r="U3334" s="33"/>
      <c r="V3334" s="33"/>
      <c r="W3334" s="33"/>
    </row>
    <row r="3335" spans="1:23" ht="16.5" customHeight="1" x14ac:dyDescent="0.2">
      <c r="A3335" s="26"/>
      <c r="B3335" s="26"/>
      <c r="C3335" s="26"/>
      <c r="D3335" s="26"/>
      <c r="E3335" s="26"/>
      <c r="F3335" s="28"/>
      <c r="G3335" s="26"/>
      <c r="H3335" s="32"/>
      <c r="I3335" s="32"/>
      <c r="J3335" s="32"/>
      <c r="K3335" s="32"/>
      <c r="L3335" s="32" t="e">
        <f ca="1">_xludf.ifna(VLOOKUP(E3335,Parámetros!$D$2:$E$34,2,0),"")</f>
        <v>#NAME?</v>
      </c>
      <c r="M3335" s="32" t="e">
        <f ca="1">_xludf.ifna(VLOOKUP(G3335,Proyectos!$A$2:$T$674,20,0),"")</f>
        <v>#NAME?</v>
      </c>
      <c r="N3335" s="32" t="e">
        <f ca="1">_xludf.ifna(VLOOKUP(G3335,Proyectos!$A$2:$S$674,19,0))</f>
        <v>#NAME?</v>
      </c>
      <c r="O3335" s="32"/>
      <c r="P3335" s="32"/>
      <c r="Q3335" s="33"/>
      <c r="R3335" s="33"/>
      <c r="S3335" s="33"/>
      <c r="T3335" s="63"/>
      <c r="U3335" s="33"/>
      <c r="V3335" s="33"/>
      <c r="W3335" s="33"/>
    </row>
    <row r="3336" spans="1:23" ht="16.5" customHeight="1" x14ac:dyDescent="0.2">
      <c r="A3336" s="26"/>
      <c r="B3336" s="26"/>
      <c r="C3336" s="26"/>
      <c r="D3336" s="26"/>
      <c r="E3336" s="26"/>
      <c r="F3336" s="28"/>
      <c r="G3336" s="26"/>
      <c r="H3336" s="32"/>
      <c r="I3336" s="32"/>
      <c r="J3336" s="32"/>
      <c r="K3336" s="32"/>
      <c r="L3336" s="32" t="e">
        <f ca="1">_xludf.ifna(VLOOKUP(E3336,Parámetros!$D$2:$E$34,2,0),"")</f>
        <v>#NAME?</v>
      </c>
      <c r="M3336" s="32" t="e">
        <f ca="1">_xludf.ifna(VLOOKUP(G3336,Proyectos!$A$2:$T$674,20,0),"")</f>
        <v>#NAME?</v>
      </c>
      <c r="N3336" s="32" t="e">
        <f ca="1">_xludf.ifna(VLOOKUP(G3336,Proyectos!$A$2:$S$674,19,0))</f>
        <v>#NAME?</v>
      </c>
      <c r="O3336" s="32"/>
      <c r="P3336" s="32"/>
      <c r="Q3336" s="33"/>
      <c r="R3336" s="33"/>
      <c r="S3336" s="33"/>
      <c r="T3336" s="63"/>
      <c r="U3336" s="33"/>
      <c r="V3336" s="33"/>
      <c r="W3336" s="33"/>
    </row>
    <row r="3337" spans="1:23" ht="16.5" customHeight="1" x14ac:dyDescent="0.2">
      <c r="A3337" s="26"/>
      <c r="B3337" s="26"/>
      <c r="C3337" s="26"/>
      <c r="D3337" s="26"/>
      <c r="E3337" s="26"/>
      <c r="F3337" s="28"/>
      <c r="G3337" s="26"/>
      <c r="H3337" s="32"/>
      <c r="I3337" s="32"/>
      <c r="J3337" s="32"/>
      <c r="K3337" s="32"/>
      <c r="L3337" s="32" t="e">
        <f ca="1">_xludf.ifna(VLOOKUP(E3337,Parámetros!$D$2:$E$34,2,0),"")</f>
        <v>#NAME?</v>
      </c>
      <c r="M3337" s="32" t="e">
        <f ca="1">_xludf.ifna(VLOOKUP(G3337,Proyectos!$A$2:$T$674,20,0),"")</f>
        <v>#NAME?</v>
      </c>
      <c r="N3337" s="32" t="e">
        <f ca="1">_xludf.ifna(VLOOKUP(G3337,Proyectos!$A$2:$S$674,19,0))</f>
        <v>#NAME?</v>
      </c>
      <c r="O3337" s="32"/>
      <c r="P3337" s="32"/>
      <c r="Q3337" s="33"/>
      <c r="R3337" s="33"/>
      <c r="S3337" s="33"/>
      <c r="T3337" s="63"/>
      <c r="U3337" s="33"/>
      <c r="V3337" s="33"/>
      <c r="W3337" s="33"/>
    </row>
    <row r="3338" spans="1:23" ht="16.5" customHeight="1" x14ac:dyDescent="0.2">
      <c r="A3338" s="26"/>
      <c r="B3338" s="26"/>
      <c r="C3338" s="26"/>
      <c r="D3338" s="26"/>
      <c r="E3338" s="26"/>
      <c r="F3338" s="28"/>
      <c r="G3338" s="26"/>
      <c r="H3338" s="32"/>
      <c r="I3338" s="32"/>
      <c r="J3338" s="32"/>
      <c r="K3338" s="32"/>
      <c r="L3338" s="32" t="e">
        <f ca="1">_xludf.ifna(VLOOKUP(E3338,Parámetros!$D$2:$E$34,2,0),"")</f>
        <v>#NAME?</v>
      </c>
      <c r="M3338" s="32" t="e">
        <f ca="1">_xludf.ifna(VLOOKUP(G3338,Proyectos!$A$2:$T$674,20,0),"")</f>
        <v>#NAME?</v>
      </c>
      <c r="N3338" s="32" t="e">
        <f ca="1">_xludf.ifna(VLOOKUP(G3338,Proyectos!$A$2:$S$674,19,0))</f>
        <v>#NAME?</v>
      </c>
      <c r="O3338" s="32"/>
      <c r="P3338" s="32"/>
      <c r="Q3338" s="33"/>
      <c r="R3338" s="33"/>
      <c r="S3338" s="33"/>
      <c r="T3338" s="63"/>
      <c r="U3338" s="33"/>
      <c r="V3338" s="33"/>
      <c r="W3338" s="33"/>
    </row>
    <row r="3339" spans="1:23" ht="16.5" customHeight="1" x14ac:dyDescent="0.2">
      <c r="A3339" s="26"/>
      <c r="B3339" s="26"/>
      <c r="C3339" s="26"/>
      <c r="D3339" s="26"/>
      <c r="E3339" s="26"/>
      <c r="F3339" s="28"/>
      <c r="G3339" s="26"/>
      <c r="H3339" s="32"/>
      <c r="I3339" s="32"/>
      <c r="J3339" s="32"/>
      <c r="K3339" s="32"/>
      <c r="L3339" s="32" t="e">
        <f ca="1">_xludf.ifna(VLOOKUP(E3339,Parámetros!$D$2:$E$34,2,0),"")</f>
        <v>#NAME?</v>
      </c>
      <c r="M3339" s="32" t="e">
        <f ca="1">_xludf.ifna(VLOOKUP(G3339,Proyectos!$A$2:$T$674,20,0),"")</f>
        <v>#NAME?</v>
      </c>
      <c r="N3339" s="32" t="e">
        <f ca="1">_xludf.ifna(VLOOKUP(G3339,Proyectos!$A$2:$S$674,19,0))</f>
        <v>#NAME?</v>
      </c>
      <c r="O3339" s="32"/>
      <c r="P3339" s="32"/>
      <c r="Q3339" s="33"/>
      <c r="R3339" s="33"/>
      <c r="S3339" s="33"/>
      <c r="T3339" s="63"/>
      <c r="U3339" s="33"/>
      <c r="V3339" s="33"/>
      <c r="W3339" s="33"/>
    </row>
    <row r="3340" spans="1:23" ht="16.5" customHeight="1" x14ac:dyDescent="0.2">
      <c r="A3340" s="26"/>
      <c r="B3340" s="26"/>
      <c r="C3340" s="26"/>
      <c r="D3340" s="26"/>
      <c r="E3340" s="26"/>
      <c r="F3340" s="28"/>
      <c r="G3340" s="26"/>
      <c r="H3340" s="32"/>
      <c r="I3340" s="32"/>
      <c r="J3340" s="32"/>
      <c r="K3340" s="32"/>
      <c r="L3340" s="32" t="e">
        <f ca="1">_xludf.ifna(VLOOKUP(E3340,Parámetros!$D$2:$E$34,2,0),"")</f>
        <v>#NAME?</v>
      </c>
      <c r="M3340" s="32" t="e">
        <f ca="1">_xludf.ifna(VLOOKUP(G3340,Proyectos!$A$2:$T$674,20,0),"")</f>
        <v>#NAME?</v>
      </c>
      <c r="N3340" s="32" t="e">
        <f ca="1">_xludf.ifna(VLOOKUP(G3340,Proyectos!$A$2:$S$674,19,0))</f>
        <v>#NAME?</v>
      </c>
      <c r="O3340" s="32"/>
      <c r="P3340" s="32"/>
      <c r="Q3340" s="33"/>
      <c r="R3340" s="33"/>
      <c r="S3340" s="33"/>
      <c r="T3340" s="63"/>
      <c r="U3340" s="33"/>
      <c r="V3340" s="33"/>
      <c r="W3340" s="33"/>
    </row>
    <row r="3341" spans="1:23" ht="16.5" customHeight="1" x14ac:dyDescent="0.2">
      <c r="A3341" s="26"/>
      <c r="B3341" s="26"/>
      <c r="C3341" s="26"/>
      <c r="D3341" s="26"/>
      <c r="E3341" s="26"/>
      <c r="F3341" s="28"/>
      <c r="G3341" s="26"/>
      <c r="H3341" s="32"/>
      <c r="I3341" s="32"/>
      <c r="J3341" s="32"/>
      <c r="K3341" s="32"/>
      <c r="L3341" s="32" t="e">
        <f ca="1">_xludf.ifna(VLOOKUP(E3341,Parámetros!$D$2:$E$34,2,0),"")</f>
        <v>#NAME?</v>
      </c>
      <c r="M3341" s="32" t="e">
        <f ca="1">_xludf.ifna(VLOOKUP(G3341,Proyectos!$A$2:$T$674,20,0),"")</f>
        <v>#NAME?</v>
      </c>
      <c r="N3341" s="32" t="e">
        <f ca="1">_xludf.ifna(VLOOKUP(G3341,Proyectos!$A$2:$S$674,19,0))</f>
        <v>#NAME?</v>
      </c>
      <c r="O3341" s="32"/>
      <c r="P3341" s="32"/>
      <c r="Q3341" s="33"/>
      <c r="R3341" s="33"/>
      <c r="S3341" s="33"/>
      <c r="T3341" s="63"/>
      <c r="U3341" s="33"/>
      <c r="V3341" s="33"/>
      <c r="W3341" s="33"/>
    </row>
    <row r="3342" spans="1:23" ht="16.5" customHeight="1" x14ac:dyDescent="0.2">
      <c r="A3342" s="26"/>
      <c r="B3342" s="26"/>
      <c r="C3342" s="26"/>
      <c r="D3342" s="26"/>
      <c r="E3342" s="26"/>
      <c r="F3342" s="28"/>
      <c r="G3342" s="26"/>
      <c r="H3342" s="32"/>
      <c r="I3342" s="32"/>
      <c r="J3342" s="32"/>
      <c r="K3342" s="32"/>
      <c r="L3342" s="32" t="e">
        <f ca="1">_xludf.ifna(VLOOKUP(E3342,Parámetros!$D$2:$E$34,2,0),"")</f>
        <v>#NAME?</v>
      </c>
      <c r="M3342" s="32" t="e">
        <f ca="1">_xludf.ifna(VLOOKUP(G3342,Proyectos!$A$2:$T$674,20,0),"")</f>
        <v>#NAME?</v>
      </c>
      <c r="N3342" s="32" t="e">
        <f ca="1">_xludf.ifna(VLOOKUP(G3342,Proyectos!$A$2:$S$674,19,0))</f>
        <v>#NAME?</v>
      </c>
      <c r="O3342" s="32"/>
      <c r="P3342" s="32"/>
      <c r="Q3342" s="33"/>
      <c r="R3342" s="33"/>
      <c r="S3342" s="33"/>
      <c r="T3342" s="63"/>
      <c r="U3342" s="33"/>
      <c r="V3342" s="33"/>
      <c r="W3342" s="33"/>
    </row>
    <row r="3343" spans="1:23" ht="16.5" customHeight="1" x14ac:dyDescent="0.2">
      <c r="A3343" s="26"/>
      <c r="B3343" s="26"/>
      <c r="C3343" s="26"/>
      <c r="D3343" s="26"/>
      <c r="E3343" s="26"/>
      <c r="F3343" s="28"/>
      <c r="G3343" s="26"/>
      <c r="H3343" s="32"/>
      <c r="I3343" s="32"/>
      <c r="J3343" s="32"/>
      <c r="K3343" s="32"/>
      <c r="L3343" s="32" t="e">
        <f ca="1">_xludf.ifna(VLOOKUP(E3343,Parámetros!$D$2:$E$34,2,0),"")</f>
        <v>#NAME?</v>
      </c>
      <c r="M3343" s="32" t="e">
        <f ca="1">_xludf.ifna(VLOOKUP(G3343,Proyectos!$A$2:$T$674,20,0),"")</f>
        <v>#NAME?</v>
      </c>
      <c r="N3343" s="32" t="e">
        <f ca="1">_xludf.ifna(VLOOKUP(G3343,Proyectos!$A$2:$S$674,19,0))</f>
        <v>#NAME?</v>
      </c>
      <c r="O3343" s="32"/>
      <c r="P3343" s="32"/>
      <c r="Q3343" s="33"/>
      <c r="R3343" s="33"/>
      <c r="S3343" s="33"/>
      <c r="T3343" s="63"/>
      <c r="U3343" s="33"/>
      <c r="V3343" s="33"/>
      <c r="W3343" s="33"/>
    </row>
    <row r="3344" spans="1:23" ht="16.5" customHeight="1" x14ac:dyDescent="0.2">
      <c r="A3344" s="26"/>
      <c r="B3344" s="26"/>
      <c r="C3344" s="26"/>
      <c r="D3344" s="26"/>
      <c r="E3344" s="26"/>
      <c r="F3344" s="28"/>
      <c r="G3344" s="26"/>
      <c r="H3344" s="32"/>
      <c r="I3344" s="32"/>
      <c r="J3344" s="32"/>
      <c r="K3344" s="32"/>
      <c r="L3344" s="32" t="e">
        <f ca="1">_xludf.ifna(VLOOKUP(E3344,Parámetros!$D$2:$E$34,2,0),"")</f>
        <v>#NAME?</v>
      </c>
      <c r="M3344" s="32" t="e">
        <f ca="1">_xludf.ifna(VLOOKUP(G3344,Proyectos!$A$2:$T$674,20,0),"")</f>
        <v>#NAME?</v>
      </c>
      <c r="N3344" s="32" t="e">
        <f ca="1">_xludf.ifna(VLOOKUP(G3344,Proyectos!$A$2:$S$674,19,0))</f>
        <v>#NAME?</v>
      </c>
      <c r="O3344" s="32"/>
      <c r="P3344" s="32"/>
      <c r="Q3344" s="33"/>
      <c r="R3344" s="33"/>
      <c r="S3344" s="33"/>
      <c r="T3344" s="63"/>
      <c r="U3344" s="33"/>
      <c r="V3344" s="33"/>
      <c r="W3344" s="33"/>
    </row>
    <row r="3345" spans="1:23" ht="16.5" customHeight="1" x14ac:dyDescent="0.2">
      <c r="A3345" s="26"/>
      <c r="B3345" s="26"/>
      <c r="C3345" s="26"/>
      <c r="D3345" s="26"/>
      <c r="E3345" s="26"/>
      <c r="F3345" s="28"/>
      <c r="G3345" s="26"/>
      <c r="H3345" s="32"/>
      <c r="I3345" s="32"/>
      <c r="J3345" s="32"/>
      <c r="K3345" s="32"/>
      <c r="L3345" s="32" t="e">
        <f ca="1">_xludf.ifna(VLOOKUP(E3345,Parámetros!$D$2:$E$34,2,0),"")</f>
        <v>#NAME?</v>
      </c>
      <c r="M3345" s="32" t="e">
        <f ca="1">_xludf.ifna(VLOOKUP(G3345,Proyectos!$A$2:$T$674,20,0),"")</f>
        <v>#NAME?</v>
      </c>
      <c r="N3345" s="32" t="e">
        <f ca="1">_xludf.ifna(VLOOKUP(G3345,Proyectos!$A$2:$S$674,19,0))</f>
        <v>#NAME?</v>
      </c>
      <c r="O3345" s="32"/>
      <c r="P3345" s="32"/>
      <c r="Q3345" s="33"/>
      <c r="R3345" s="33"/>
      <c r="S3345" s="33"/>
      <c r="T3345" s="63"/>
      <c r="U3345" s="33"/>
      <c r="V3345" s="33"/>
      <c r="W3345" s="33"/>
    </row>
    <row r="3346" spans="1:23" ht="16.5" customHeight="1" x14ac:dyDescent="0.2">
      <c r="A3346" s="26"/>
      <c r="B3346" s="26"/>
      <c r="C3346" s="26"/>
      <c r="D3346" s="26"/>
      <c r="E3346" s="26"/>
      <c r="F3346" s="28"/>
      <c r="G3346" s="26"/>
      <c r="H3346" s="32"/>
      <c r="I3346" s="32"/>
      <c r="J3346" s="32"/>
      <c r="K3346" s="32"/>
      <c r="L3346" s="32" t="e">
        <f ca="1">_xludf.ifna(VLOOKUP(E3346,Parámetros!$D$2:$E$34,2,0),"")</f>
        <v>#NAME?</v>
      </c>
      <c r="M3346" s="32" t="e">
        <f ca="1">_xludf.ifna(VLOOKUP(G3346,Proyectos!$A$2:$T$674,20,0),"")</f>
        <v>#NAME?</v>
      </c>
      <c r="N3346" s="32" t="e">
        <f ca="1">_xludf.ifna(VLOOKUP(G3346,Proyectos!$A$2:$S$674,19,0))</f>
        <v>#NAME?</v>
      </c>
      <c r="O3346" s="32"/>
      <c r="P3346" s="32"/>
      <c r="Q3346" s="33"/>
      <c r="R3346" s="33"/>
      <c r="S3346" s="33"/>
      <c r="T3346" s="63"/>
      <c r="U3346" s="33"/>
      <c r="V3346" s="33"/>
      <c r="W3346" s="33"/>
    </row>
    <row r="3347" spans="1:23" ht="16.5" customHeight="1" x14ac:dyDescent="0.2">
      <c r="A3347" s="26"/>
      <c r="B3347" s="26"/>
      <c r="C3347" s="26"/>
      <c r="D3347" s="26"/>
      <c r="E3347" s="26"/>
      <c r="F3347" s="28"/>
      <c r="G3347" s="26"/>
      <c r="H3347" s="32"/>
      <c r="I3347" s="32"/>
      <c r="J3347" s="32"/>
      <c r="K3347" s="32"/>
      <c r="L3347" s="32" t="e">
        <f ca="1">_xludf.ifna(VLOOKUP(E3347,Parámetros!$D$2:$E$34,2,0),"")</f>
        <v>#NAME?</v>
      </c>
      <c r="M3347" s="32" t="e">
        <f ca="1">_xludf.ifna(VLOOKUP(G3347,Proyectos!$A$2:$T$674,20,0),"")</f>
        <v>#NAME?</v>
      </c>
      <c r="N3347" s="32" t="e">
        <f ca="1">_xludf.ifna(VLOOKUP(G3347,Proyectos!$A$2:$S$674,19,0))</f>
        <v>#NAME?</v>
      </c>
      <c r="O3347" s="32"/>
      <c r="P3347" s="32"/>
      <c r="Q3347" s="33"/>
      <c r="R3347" s="33"/>
      <c r="S3347" s="33"/>
      <c r="T3347" s="63"/>
      <c r="U3347" s="33"/>
      <c r="V3347" s="33"/>
      <c r="W3347" s="33"/>
    </row>
    <row r="3348" spans="1:23" ht="16.5" customHeight="1" x14ac:dyDescent="0.2">
      <c r="A3348" s="26"/>
      <c r="B3348" s="26"/>
      <c r="C3348" s="26"/>
      <c r="D3348" s="26"/>
      <c r="E3348" s="26"/>
      <c r="F3348" s="28"/>
      <c r="G3348" s="26"/>
      <c r="H3348" s="32"/>
      <c r="I3348" s="32"/>
      <c r="J3348" s="32"/>
      <c r="K3348" s="32"/>
      <c r="L3348" s="32" t="e">
        <f ca="1">_xludf.ifna(VLOOKUP(E3348,Parámetros!$D$2:$E$34,2,0),"")</f>
        <v>#NAME?</v>
      </c>
      <c r="M3348" s="32" t="e">
        <f ca="1">_xludf.ifna(VLOOKUP(G3348,Proyectos!$A$2:$T$674,20,0),"")</f>
        <v>#NAME?</v>
      </c>
      <c r="N3348" s="32" t="e">
        <f ca="1">_xludf.ifna(VLOOKUP(G3348,Proyectos!$A$2:$S$674,19,0))</f>
        <v>#NAME?</v>
      </c>
      <c r="O3348" s="32"/>
      <c r="P3348" s="32"/>
      <c r="Q3348" s="33"/>
      <c r="R3348" s="33"/>
      <c r="S3348" s="33"/>
      <c r="T3348" s="63"/>
      <c r="U3348" s="33"/>
      <c r="V3348" s="33"/>
      <c r="W3348" s="33"/>
    </row>
    <row r="3349" spans="1:23" ht="16.5" customHeight="1" x14ac:dyDescent="0.2">
      <c r="A3349" s="26"/>
      <c r="B3349" s="26"/>
      <c r="C3349" s="26"/>
      <c r="D3349" s="26"/>
      <c r="E3349" s="26"/>
      <c r="F3349" s="28"/>
      <c r="G3349" s="26"/>
      <c r="H3349" s="32"/>
      <c r="I3349" s="32"/>
      <c r="J3349" s="32"/>
      <c r="K3349" s="32"/>
      <c r="L3349" s="32" t="e">
        <f ca="1">_xludf.ifna(VLOOKUP(E3349,Parámetros!$D$2:$E$34,2,0),"")</f>
        <v>#NAME?</v>
      </c>
      <c r="M3349" s="32" t="e">
        <f ca="1">_xludf.ifna(VLOOKUP(G3349,Proyectos!$A$2:$T$674,20,0),"")</f>
        <v>#NAME?</v>
      </c>
      <c r="N3349" s="32" t="e">
        <f ca="1">_xludf.ifna(VLOOKUP(G3349,Proyectos!$A$2:$S$674,19,0))</f>
        <v>#NAME?</v>
      </c>
      <c r="O3349" s="32"/>
      <c r="P3349" s="32"/>
      <c r="Q3349" s="33"/>
      <c r="R3349" s="33"/>
      <c r="S3349" s="33"/>
      <c r="T3349" s="63"/>
      <c r="U3349" s="33"/>
      <c r="V3349" s="33"/>
      <c r="W3349" s="33"/>
    </row>
    <row r="3350" spans="1:23" ht="16.5" customHeight="1" x14ac:dyDescent="0.2">
      <c r="A3350" s="26"/>
      <c r="B3350" s="26"/>
      <c r="C3350" s="26"/>
      <c r="D3350" s="26"/>
      <c r="E3350" s="26"/>
      <c r="F3350" s="28"/>
      <c r="G3350" s="26"/>
      <c r="H3350" s="32"/>
      <c r="I3350" s="32"/>
      <c r="J3350" s="32"/>
      <c r="K3350" s="32"/>
      <c r="L3350" s="32" t="e">
        <f ca="1">_xludf.ifna(VLOOKUP(E3350,Parámetros!$D$2:$E$34,2,0),"")</f>
        <v>#NAME?</v>
      </c>
      <c r="M3350" s="32" t="e">
        <f ca="1">_xludf.ifna(VLOOKUP(G3350,Proyectos!$A$2:$T$674,20,0),"")</f>
        <v>#NAME?</v>
      </c>
      <c r="N3350" s="32" t="e">
        <f ca="1">_xludf.ifna(VLOOKUP(G3350,Proyectos!$A$2:$S$674,19,0))</f>
        <v>#NAME?</v>
      </c>
      <c r="O3350" s="32"/>
      <c r="P3350" s="32"/>
      <c r="Q3350" s="33"/>
      <c r="R3350" s="33"/>
      <c r="S3350" s="33"/>
      <c r="T3350" s="63"/>
      <c r="U3350" s="33"/>
      <c r="V3350" s="33"/>
      <c r="W3350" s="33"/>
    </row>
    <row r="3351" spans="1:23" ht="16.5" customHeight="1" x14ac:dyDescent="0.2">
      <c r="A3351" s="26"/>
      <c r="B3351" s="26"/>
      <c r="C3351" s="26"/>
      <c r="D3351" s="26"/>
      <c r="E3351" s="26"/>
      <c r="F3351" s="28"/>
      <c r="G3351" s="26"/>
      <c r="H3351" s="32"/>
      <c r="I3351" s="32"/>
      <c r="J3351" s="32"/>
      <c r="K3351" s="32"/>
      <c r="L3351" s="32" t="e">
        <f ca="1">_xludf.ifna(VLOOKUP(E3351,Parámetros!$D$2:$E$34,2,0),"")</f>
        <v>#NAME?</v>
      </c>
      <c r="M3351" s="32" t="e">
        <f ca="1">_xludf.ifna(VLOOKUP(G3351,Proyectos!$A$2:$T$674,20,0),"")</f>
        <v>#NAME?</v>
      </c>
      <c r="N3351" s="32" t="e">
        <f ca="1">_xludf.ifna(VLOOKUP(G3351,Proyectos!$A$2:$S$674,19,0))</f>
        <v>#NAME?</v>
      </c>
      <c r="O3351" s="32"/>
      <c r="P3351" s="32"/>
      <c r="Q3351" s="33"/>
      <c r="R3351" s="33"/>
      <c r="S3351" s="33"/>
      <c r="T3351" s="63"/>
      <c r="U3351" s="33"/>
      <c r="V3351" s="33"/>
      <c r="W3351" s="33"/>
    </row>
    <row r="3352" spans="1:23" ht="16.5" customHeight="1" x14ac:dyDescent="0.2">
      <c r="A3352" s="26"/>
      <c r="B3352" s="26"/>
      <c r="C3352" s="26"/>
      <c r="D3352" s="26"/>
      <c r="E3352" s="26"/>
      <c r="F3352" s="28"/>
      <c r="G3352" s="26"/>
      <c r="H3352" s="32"/>
      <c r="I3352" s="32"/>
      <c r="J3352" s="32"/>
      <c r="K3352" s="32"/>
      <c r="L3352" s="32" t="e">
        <f ca="1">_xludf.ifna(VLOOKUP(E3352,Parámetros!$D$2:$E$34,2,0),"")</f>
        <v>#NAME?</v>
      </c>
      <c r="M3352" s="32" t="e">
        <f ca="1">_xludf.ifna(VLOOKUP(G3352,Proyectos!$A$2:$T$674,20,0),"")</f>
        <v>#NAME?</v>
      </c>
      <c r="N3352" s="32" t="e">
        <f ca="1">_xludf.ifna(VLOOKUP(G3352,Proyectos!$A$2:$S$674,19,0))</f>
        <v>#NAME?</v>
      </c>
      <c r="O3352" s="32"/>
      <c r="P3352" s="32"/>
      <c r="Q3352" s="33"/>
      <c r="R3352" s="33"/>
      <c r="S3352" s="33"/>
      <c r="T3352" s="63"/>
      <c r="U3352" s="33"/>
      <c r="V3352" s="33"/>
      <c r="W3352" s="33"/>
    </row>
    <row r="3353" spans="1:23" ht="16.5" customHeight="1" x14ac:dyDescent="0.2">
      <c r="A3353" s="26"/>
      <c r="B3353" s="26"/>
      <c r="C3353" s="26"/>
      <c r="D3353" s="26"/>
      <c r="E3353" s="26"/>
      <c r="F3353" s="28"/>
      <c r="G3353" s="26"/>
      <c r="H3353" s="32"/>
      <c r="I3353" s="32"/>
      <c r="J3353" s="32"/>
      <c r="K3353" s="32"/>
      <c r="L3353" s="32" t="e">
        <f ca="1">_xludf.ifna(VLOOKUP(E3353,Parámetros!$D$2:$E$34,2,0),"")</f>
        <v>#NAME?</v>
      </c>
      <c r="M3353" s="32" t="e">
        <f ca="1">_xludf.ifna(VLOOKUP(G3353,Proyectos!$A$2:$T$674,20,0),"")</f>
        <v>#NAME?</v>
      </c>
      <c r="N3353" s="32" t="e">
        <f ca="1">_xludf.ifna(VLOOKUP(G3353,Proyectos!$A$2:$S$674,19,0))</f>
        <v>#NAME?</v>
      </c>
      <c r="O3353" s="32"/>
      <c r="P3353" s="32"/>
      <c r="Q3353" s="33"/>
      <c r="R3353" s="33"/>
      <c r="S3353" s="33"/>
      <c r="T3353" s="63"/>
      <c r="U3353" s="33"/>
      <c r="V3353" s="33"/>
      <c r="W3353" s="33"/>
    </row>
    <row r="3354" spans="1:23" ht="16.5" customHeight="1" x14ac:dyDescent="0.2">
      <c r="A3354" s="26"/>
      <c r="B3354" s="26"/>
      <c r="C3354" s="26"/>
      <c r="D3354" s="26"/>
      <c r="E3354" s="26"/>
      <c r="F3354" s="28"/>
      <c r="G3354" s="26"/>
      <c r="H3354" s="32"/>
      <c r="I3354" s="32"/>
      <c r="J3354" s="32"/>
      <c r="K3354" s="32"/>
      <c r="L3354" s="32" t="e">
        <f ca="1">_xludf.ifna(VLOOKUP(E3354,Parámetros!$D$2:$E$34,2,0),"")</f>
        <v>#NAME?</v>
      </c>
      <c r="M3354" s="32" t="e">
        <f ca="1">_xludf.ifna(VLOOKUP(G3354,Proyectos!$A$2:$T$674,20,0),"")</f>
        <v>#NAME?</v>
      </c>
      <c r="N3354" s="32" t="e">
        <f ca="1">_xludf.ifna(VLOOKUP(G3354,Proyectos!$A$2:$S$674,19,0))</f>
        <v>#NAME?</v>
      </c>
      <c r="O3354" s="32"/>
      <c r="P3354" s="32"/>
      <c r="Q3354" s="33"/>
      <c r="R3354" s="33"/>
      <c r="S3354" s="33"/>
      <c r="T3354" s="63"/>
      <c r="U3354" s="33"/>
      <c r="V3354" s="33"/>
      <c r="W3354" s="33"/>
    </row>
    <row r="3355" spans="1:23" ht="16.5" customHeight="1" x14ac:dyDescent="0.2">
      <c r="A3355" s="26"/>
      <c r="B3355" s="26"/>
      <c r="C3355" s="26"/>
      <c r="D3355" s="26"/>
      <c r="E3355" s="26"/>
      <c r="F3355" s="28"/>
      <c r="G3355" s="26"/>
      <c r="H3355" s="32"/>
      <c r="I3355" s="32"/>
      <c r="J3355" s="32"/>
      <c r="K3355" s="32"/>
      <c r="L3355" s="32" t="e">
        <f ca="1">_xludf.ifna(VLOOKUP(E3355,Parámetros!$D$2:$E$34,2,0),"")</f>
        <v>#NAME?</v>
      </c>
      <c r="M3355" s="32" t="e">
        <f ca="1">_xludf.ifna(VLOOKUP(G3355,Proyectos!$A$2:$T$674,20,0),"")</f>
        <v>#NAME?</v>
      </c>
      <c r="N3355" s="32" t="e">
        <f ca="1">_xludf.ifna(VLOOKUP(G3355,Proyectos!$A$2:$S$674,19,0))</f>
        <v>#NAME?</v>
      </c>
      <c r="O3355" s="32"/>
      <c r="P3355" s="32"/>
      <c r="Q3355" s="33"/>
      <c r="R3355" s="33"/>
      <c r="S3355" s="33"/>
      <c r="T3355" s="63"/>
      <c r="U3355" s="33"/>
      <c r="V3355" s="33"/>
      <c r="W3355" s="33"/>
    </row>
    <row r="3356" spans="1:23" ht="16.5" customHeight="1" x14ac:dyDescent="0.2">
      <c r="A3356" s="26"/>
      <c r="B3356" s="26"/>
      <c r="C3356" s="26"/>
      <c r="D3356" s="26"/>
      <c r="E3356" s="26"/>
      <c r="F3356" s="28"/>
      <c r="G3356" s="26"/>
      <c r="H3356" s="32"/>
      <c r="I3356" s="32"/>
      <c r="J3356" s="32"/>
      <c r="K3356" s="32"/>
      <c r="L3356" s="32" t="e">
        <f ca="1">_xludf.ifna(VLOOKUP(E3356,Parámetros!$D$2:$E$34,2,0),"")</f>
        <v>#NAME?</v>
      </c>
      <c r="M3356" s="32" t="e">
        <f ca="1">_xludf.ifna(VLOOKUP(G3356,Proyectos!$A$2:$T$674,20,0),"")</f>
        <v>#NAME?</v>
      </c>
      <c r="N3356" s="32" t="e">
        <f ca="1">_xludf.ifna(VLOOKUP(G3356,Proyectos!$A$2:$S$674,19,0))</f>
        <v>#NAME?</v>
      </c>
      <c r="O3356" s="32"/>
      <c r="P3356" s="32"/>
      <c r="Q3356" s="33"/>
      <c r="R3356" s="33"/>
      <c r="S3356" s="33"/>
      <c r="T3356" s="63"/>
      <c r="U3356" s="33"/>
      <c r="V3356" s="33"/>
      <c r="W3356" s="33"/>
    </row>
    <row r="3357" spans="1:23" ht="16.5" customHeight="1" x14ac:dyDescent="0.2">
      <c r="A3357" s="26"/>
      <c r="B3357" s="26"/>
      <c r="C3357" s="26"/>
      <c r="D3357" s="26"/>
      <c r="E3357" s="26"/>
      <c r="F3357" s="28"/>
      <c r="G3357" s="26"/>
      <c r="H3357" s="32"/>
      <c r="I3357" s="32"/>
      <c r="J3357" s="32"/>
      <c r="K3357" s="32"/>
      <c r="L3357" s="32" t="e">
        <f ca="1">_xludf.ifna(VLOOKUP(E3357,Parámetros!$D$2:$E$34,2,0),"")</f>
        <v>#NAME?</v>
      </c>
      <c r="M3357" s="32" t="e">
        <f ca="1">_xludf.ifna(VLOOKUP(G3357,Proyectos!$A$2:$T$674,20,0),"")</f>
        <v>#NAME?</v>
      </c>
      <c r="N3357" s="32" t="e">
        <f ca="1">_xludf.ifna(VLOOKUP(G3357,Proyectos!$A$2:$S$674,19,0))</f>
        <v>#NAME?</v>
      </c>
      <c r="O3357" s="32"/>
      <c r="P3357" s="32"/>
      <c r="Q3357" s="33"/>
      <c r="R3357" s="33"/>
      <c r="S3357" s="33"/>
      <c r="T3357" s="63"/>
      <c r="U3357" s="33"/>
      <c r="V3357" s="33"/>
      <c r="W3357" s="33"/>
    </row>
    <row r="3358" spans="1:23" ht="16.5" customHeight="1" x14ac:dyDescent="0.2">
      <c r="A3358" s="26"/>
      <c r="B3358" s="26"/>
      <c r="C3358" s="26"/>
      <c r="D3358" s="26"/>
      <c r="E3358" s="26"/>
      <c r="F3358" s="28"/>
      <c r="G3358" s="26"/>
      <c r="H3358" s="32"/>
      <c r="I3358" s="32"/>
      <c r="J3358" s="32"/>
      <c r="K3358" s="32"/>
      <c r="L3358" s="32" t="e">
        <f ca="1">_xludf.ifna(VLOOKUP(E3358,Parámetros!$D$2:$E$34,2,0),"")</f>
        <v>#NAME?</v>
      </c>
      <c r="M3358" s="32" t="e">
        <f ca="1">_xludf.ifna(VLOOKUP(G3358,Proyectos!$A$2:$T$674,20,0),"")</f>
        <v>#NAME?</v>
      </c>
      <c r="N3358" s="32" t="e">
        <f ca="1">_xludf.ifna(VLOOKUP(G3358,Proyectos!$A$2:$S$674,19,0))</f>
        <v>#NAME?</v>
      </c>
      <c r="O3358" s="32"/>
      <c r="P3358" s="32"/>
      <c r="Q3358" s="33"/>
      <c r="R3358" s="33"/>
      <c r="S3358" s="33"/>
      <c r="T3358" s="63"/>
      <c r="U3358" s="33"/>
      <c r="V3358" s="33"/>
      <c r="W3358" s="33"/>
    </row>
    <row r="3359" spans="1:23" ht="16.5" customHeight="1" x14ac:dyDescent="0.2">
      <c r="A3359" s="26"/>
      <c r="B3359" s="26"/>
      <c r="C3359" s="26"/>
      <c r="D3359" s="26"/>
      <c r="E3359" s="26"/>
      <c r="F3359" s="28"/>
      <c r="G3359" s="26"/>
      <c r="H3359" s="32"/>
      <c r="I3359" s="32"/>
      <c r="J3359" s="32"/>
      <c r="K3359" s="32"/>
      <c r="L3359" s="32" t="e">
        <f ca="1">_xludf.ifna(VLOOKUP(E3359,Parámetros!$D$2:$E$34,2,0),"")</f>
        <v>#NAME?</v>
      </c>
      <c r="M3359" s="32" t="e">
        <f ca="1">_xludf.ifna(VLOOKUP(G3359,Proyectos!$A$2:$T$674,20,0),"")</f>
        <v>#NAME?</v>
      </c>
      <c r="N3359" s="32" t="e">
        <f ca="1">_xludf.ifna(VLOOKUP(G3359,Proyectos!$A$2:$S$674,19,0))</f>
        <v>#NAME?</v>
      </c>
      <c r="O3359" s="32"/>
      <c r="P3359" s="32"/>
      <c r="Q3359" s="33"/>
      <c r="R3359" s="33"/>
      <c r="S3359" s="33"/>
      <c r="T3359" s="63"/>
      <c r="U3359" s="33"/>
      <c r="V3359" s="33"/>
      <c r="W3359" s="33"/>
    </row>
    <row r="3360" spans="1:23" ht="16.5" customHeight="1" x14ac:dyDescent="0.2">
      <c r="A3360" s="26"/>
      <c r="B3360" s="26"/>
      <c r="C3360" s="26"/>
      <c r="D3360" s="26"/>
      <c r="E3360" s="26"/>
      <c r="F3360" s="28"/>
      <c r="G3360" s="26"/>
      <c r="H3360" s="32"/>
      <c r="I3360" s="32"/>
      <c r="J3360" s="32"/>
      <c r="K3360" s="32"/>
      <c r="L3360" s="32" t="e">
        <f ca="1">_xludf.ifna(VLOOKUP(E3360,Parámetros!$D$2:$E$34,2,0),"")</f>
        <v>#NAME?</v>
      </c>
      <c r="M3360" s="32" t="e">
        <f ca="1">_xludf.ifna(VLOOKUP(G3360,Proyectos!$A$2:$T$674,20,0),"")</f>
        <v>#NAME?</v>
      </c>
      <c r="N3360" s="32" t="e">
        <f ca="1">_xludf.ifna(VLOOKUP(G3360,Proyectos!$A$2:$S$674,19,0))</f>
        <v>#NAME?</v>
      </c>
      <c r="O3360" s="32"/>
      <c r="P3360" s="32"/>
      <c r="Q3360" s="33"/>
      <c r="R3360" s="33"/>
      <c r="S3360" s="33"/>
      <c r="T3360" s="63"/>
      <c r="U3360" s="33"/>
      <c r="V3360" s="33"/>
      <c r="W3360" s="33"/>
    </row>
    <row r="3361" spans="1:23" ht="16.5" customHeight="1" x14ac:dyDescent="0.2">
      <c r="A3361" s="26"/>
      <c r="B3361" s="26"/>
      <c r="C3361" s="26"/>
      <c r="D3361" s="26"/>
      <c r="E3361" s="26"/>
      <c r="F3361" s="28"/>
      <c r="G3361" s="26"/>
      <c r="H3361" s="32"/>
      <c r="I3361" s="32"/>
      <c r="J3361" s="32"/>
      <c r="K3361" s="32"/>
      <c r="L3361" s="32" t="e">
        <f ca="1">_xludf.ifna(VLOOKUP(E3361,Parámetros!$D$2:$E$34,2,0),"")</f>
        <v>#NAME?</v>
      </c>
      <c r="M3361" s="32" t="e">
        <f ca="1">_xludf.ifna(VLOOKUP(G3361,Proyectos!$A$2:$T$674,20,0),"")</f>
        <v>#NAME?</v>
      </c>
      <c r="N3361" s="32" t="e">
        <f ca="1">_xludf.ifna(VLOOKUP(G3361,Proyectos!$A$2:$S$674,19,0))</f>
        <v>#NAME?</v>
      </c>
      <c r="O3361" s="32"/>
      <c r="P3361" s="32"/>
      <c r="Q3361" s="33"/>
      <c r="R3361" s="33"/>
      <c r="S3361" s="33"/>
      <c r="T3361" s="63"/>
      <c r="U3361" s="33"/>
      <c r="V3361" s="33"/>
      <c r="W3361" s="33"/>
    </row>
    <row r="3362" spans="1:23" ht="16.5" customHeight="1" x14ac:dyDescent="0.2">
      <c r="A3362" s="26"/>
      <c r="B3362" s="26"/>
      <c r="C3362" s="26"/>
      <c r="D3362" s="26"/>
      <c r="E3362" s="26"/>
      <c r="F3362" s="28"/>
      <c r="G3362" s="26"/>
      <c r="H3362" s="32"/>
      <c r="I3362" s="32"/>
      <c r="J3362" s="32"/>
      <c r="K3362" s="32"/>
      <c r="L3362" s="32" t="e">
        <f ca="1">_xludf.ifna(VLOOKUP(E3362,Parámetros!$D$2:$E$34,2,0),"")</f>
        <v>#NAME?</v>
      </c>
      <c r="M3362" s="32" t="e">
        <f ca="1">_xludf.ifna(VLOOKUP(G3362,Proyectos!$A$2:$T$674,20,0),"")</f>
        <v>#NAME?</v>
      </c>
      <c r="N3362" s="32" t="e">
        <f ca="1">_xludf.ifna(VLOOKUP(G3362,Proyectos!$A$2:$S$674,19,0))</f>
        <v>#NAME?</v>
      </c>
      <c r="O3362" s="32"/>
      <c r="P3362" s="32"/>
      <c r="Q3362" s="33"/>
      <c r="R3362" s="33"/>
      <c r="S3362" s="33"/>
      <c r="T3362" s="63"/>
      <c r="U3362" s="33"/>
      <c r="V3362" s="33"/>
      <c r="W3362" s="33"/>
    </row>
    <row r="3363" spans="1:23" ht="16.5" customHeight="1" x14ac:dyDescent="0.2">
      <c r="A3363" s="26"/>
      <c r="B3363" s="26"/>
      <c r="C3363" s="26"/>
      <c r="D3363" s="26"/>
      <c r="E3363" s="26"/>
      <c r="F3363" s="28"/>
      <c r="G3363" s="26"/>
      <c r="H3363" s="32"/>
      <c r="I3363" s="32"/>
      <c r="J3363" s="32"/>
      <c r="K3363" s="32"/>
      <c r="L3363" s="32" t="e">
        <f ca="1">_xludf.ifna(VLOOKUP(E3363,Parámetros!$D$2:$E$34,2,0),"")</f>
        <v>#NAME?</v>
      </c>
      <c r="M3363" s="32" t="e">
        <f ca="1">_xludf.ifna(VLOOKUP(G3363,Proyectos!$A$2:$T$674,20,0),"")</f>
        <v>#NAME?</v>
      </c>
      <c r="N3363" s="32" t="e">
        <f ca="1">_xludf.ifna(VLOOKUP(G3363,Proyectos!$A$2:$S$674,19,0))</f>
        <v>#NAME?</v>
      </c>
      <c r="O3363" s="32"/>
      <c r="P3363" s="32"/>
      <c r="Q3363" s="33"/>
      <c r="R3363" s="33"/>
      <c r="S3363" s="33"/>
      <c r="T3363" s="63"/>
      <c r="U3363" s="33"/>
      <c r="V3363" s="33"/>
      <c r="W3363" s="33"/>
    </row>
    <row r="3364" spans="1:23" ht="16.5" customHeight="1" x14ac:dyDescent="0.2">
      <c r="A3364" s="26"/>
      <c r="B3364" s="26"/>
      <c r="C3364" s="26"/>
      <c r="D3364" s="26"/>
      <c r="E3364" s="26"/>
      <c r="F3364" s="28"/>
      <c r="G3364" s="26"/>
      <c r="H3364" s="32"/>
      <c r="I3364" s="32"/>
      <c r="J3364" s="32"/>
      <c r="K3364" s="32"/>
      <c r="L3364" s="32" t="e">
        <f ca="1">_xludf.ifna(VLOOKUP(E3364,Parámetros!$D$2:$E$34,2,0),"")</f>
        <v>#NAME?</v>
      </c>
      <c r="M3364" s="32" t="e">
        <f ca="1">_xludf.ifna(VLOOKUP(G3364,Proyectos!$A$2:$T$674,20,0),"")</f>
        <v>#NAME?</v>
      </c>
      <c r="N3364" s="32" t="e">
        <f ca="1">_xludf.ifna(VLOOKUP(G3364,Proyectos!$A$2:$S$674,19,0))</f>
        <v>#NAME?</v>
      </c>
      <c r="O3364" s="32"/>
      <c r="P3364" s="32"/>
      <c r="Q3364" s="33"/>
      <c r="R3364" s="33"/>
      <c r="S3364" s="33"/>
      <c r="T3364" s="63"/>
      <c r="U3364" s="33"/>
      <c r="V3364" s="33"/>
      <c r="W3364" s="33"/>
    </row>
    <row r="3365" spans="1:23" ht="16.5" customHeight="1" x14ac:dyDescent="0.2">
      <c r="A3365" s="26"/>
      <c r="B3365" s="26"/>
      <c r="C3365" s="26"/>
      <c r="D3365" s="26"/>
      <c r="E3365" s="26"/>
      <c r="F3365" s="28"/>
      <c r="G3365" s="26"/>
      <c r="H3365" s="32"/>
      <c r="I3365" s="32"/>
      <c r="J3365" s="32"/>
      <c r="K3365" s="32"/>
      <c r="L3365" s="32" t="e">
        <f ca="1">_xludf.ifna(VLOOKUP(E3365,Parámetros!$D$2:$E$34,2,0),"")</f>
        <v>#NAME?</v>
      </c>
      <c r="M3365" s="32" t="e">
        <f ca="1">_xludf.ifna(VLOOKUP(G3365,Proyectos!$A$2:$T$674,20,0),"")</f>
        <v>#NAME?</v>
      </c>
      <c r="N3365" s="32" t="e">
        <f ca="1">_xludf.ifna(VLOOKUP(G3365,Proyectos!$A$2:$S$674,19,0))</f>
        <v>#NAME?</v>
      </c>
      <c r="O3365" s="32"/>
      <c r="P3365" s="32"/>
      <c r="Q3365" s="33"/>
      <c r="R3365" s="33"/>
      <c r="S3365" s="33"/>
      <c r="T3365" s="63"/>
      <c r="U3365" s="33"/>
      <c r="V3365" s="33"/>
      <c r="W3365" s="33"/>
    </row>
    <row r="3366" spans="1:23" ht="16.5" customHeight="1" x14ac:dyDescent="0.2">
      <c r="A3366" s="26"/>
      <c r="B3366" s="26"/>
      <c r="C3366" s="26"/>
      <c r="D3366" s="26"/>
      <c r="E3366" s="26"/>
      <c r="F3366" s="28"/>
      <c r="G3366" s="26"/>
      <c r="H3366" s="32"/>
      <c r="I3366" s="32"/>
      <c r="J3366" s="32"/>
      <c r="K3366" s="32"/>
      <c r="L3366" s="32" t="e">
        <f ca="1">_xludf.ifna(VLOOKUP(E3366,Parámetros!$D$2:$E$34,2,0),"")</f>
        <v>#NAME?</v>
      </c>
      <c r="M3366" s="32" t="e">
        <f ca="1">_xludf.ifna(VLOOKUP(G3366,Proyectos!$A$2:$T$674,20,0),"")</f>
        <v>#NAME?</v>
      </c>
      <c r="N3366" s="32" t="e">
        <f ca="1">_xludf.ifna(VLOOKUP(G3366,Proyectos!$A$2:$S$674,19,0))</f>
        <v>#NAME?</v>
      </c>
      <c r="O3366" s="32"/>
      <c r="P3366" s="32"/>
      <c r="Q3366" s="33"/>
      <c r="R3366" s="33"/>
      <c r="S3366" s="33"/>
      <c r="T3366" s="63"/>
      <c r="U3366" s="33"/>
      <c r="V3366" s="33"/>
      <c r="W3366" s="33"/>
    </row>
    <row r="3367" spans="1:23" ht="16.5" customHeight="1" x14ac:dyDescent="0.2">
      <c r="A3367" s="26"/>
      <c r="B3367" s="26"/>
      <c r="C3367" s="26"/>
      <c r="D3367" s="26"/>
      <c r="E3367" s="26"/>
      <c r="F3367" s="28"/>
      <c r="G3367" s="26"/>
      <c r="H3367" s="32"/>
      <c r="I3367" s="32"/>
      <c r="J3367" s="32"/>
      <c r="K3367" s="32"/>
      <c r="L3367" s="32" t="e">
        <f ca="1">_xludf.ifna(VLOOKUP(E3367,Parámetros!$D$2:$E$34,2,0),"")</f>
        <v>#NAME?</v>
      </c>
      <c r="M3367" s="32" t="e">
        <f ca="1">_xludf.ifna(VLOOKUP(G3367,Proyectos!$A$2:$T$674,20,0),"")</f>
        <v>#NAME?</v>
      </c>
      <c r="N3367" s="32" t="e">
        <f ca="1">_xludf.ifna(VLOOKUP(G3367,Proyectos!$A$2:$S$674,19,0))</f>
        <v>#NAME?</v>
      </c>
      <c r="O3367" s="32"/>
      <c r="P3367" s="32"/>
      <c r="Q3367" s="33"/>
      <c r="R3367" s="33"/>
      <c r="S3367" s="33"/>
      <c r="T3367" s="63"/>
      <c r="U3367" s="33"/>
      <c r="V3367" s="33"/>
      <c r="W3367" s="33"/>
    </row>
    <row r="3368" spans="1:23" ht="16.5" customHeight="1" x14ac:dyDescent="0.2">
      <c r="A3368" s="26"/>
      <c r="B3368" s="26"/>
      <c r="C3368" s="26"/>
      <c r="D3368" s="26"/>
      <c r="E3368" s="26"/>
      <c r="F3368" s="28"/>
      <c r="G3368" s="26"/>
      <c r="H3368" s="32"/>
      <c r="I3368" s="32"/>
      <c r="J3368" s="32"/>
      <c r="K3368" s="32"/>
      <c r="L3368" s="32" t="e">
        <f ca="1">_xludf.ifna(VLOOKUP(E3368,Parámetros!$D$2:$E$34,2,0),"")</f>
        <v>#NAME?</v>
      </c>
      <c r="M3368" s="32" t="e">
        <f ca="1">_xludf.ifna(VLOOKUP(G3368,Proyectos!$A$2:$T$674,20,0),"")</f>
        <v>#NAME?</v>
      </c>
      <c r="N3368" s="32" t="e">
        <f ca="1">_xludf.ifna(VLOOKUP(G3368,Proyectos!$A$2:$S$674,19,0))</f>
        <v>#NAME?</v>
      </c>
      <c r="O3368" s="32"/>
      <c r="P3368" s="32"/>
      <c r="Q3368" s="33"/>
      <c r="R3368" s="33"/>
      <c r="S3368" s="33"/>
      <c r="T3368" s="63"/>
      <c r="U3368" s="33"/>
      <c r="V3368" s="33"/>
      <c r="W3368" s="33"/>
    </row>
    <row r="3369" spans="1:23" ht="16.5" customHeight="1" x14ac:dyDescent="0.2">
      <c r="A3369" s="26"/>
      <c r="B3369" s="26"/>
      <c r="C3369" s="26"/>
      <c r="D3369" s="26"/>
      <c r="E3369" s="26"/>
      <c r="F3369" s="28"/>
      <c r="G3369" s="26"/>
      <c r="H3369" s="32"/>
      <c r="I3369" s="32"/>
      <c r="J3369" s="32"/>
      <c r="K3369" s="32"/>
      <c r="L3369" s="32" t="e">
        <f ca="1">_xludf.ifna(VLOOKUP(E3369,Parámetros!$D$2:$E$34,2,0),"")</f>
        <v>#NAME?</v>
      </c>
      <c r="M3369" s="32" t="e">
        <f ca="1">_xludf.ifna(VLOOKUP(G3369,Proyectos!$A$2:$T$674,20,0),"")</f>
        <v>#NAME?</v>
      </c>
      <c r="N3369" s="32" t="e">
        <f ca="1">_xludf.ifna(VLOOKUP(G3369,Proyectos!$A$2:$S$674,19,0))</f>
        <v>#NAME?</v>
      </c>
      <c r="O3369" s="32"/>
      <c r="P3369" s="32"/>
      <c r="Q3369" s="33"/>
      <c r="R3369" s="33"/>
      <c r="S3369" s="33"/>
      <c r="T3369" s="63"/>
      <c r="U3369" s="33"/>
      <c r="V3369" s="33"/>
      <c r="W3369" s="33"/>
    </row>
    <row r="3370" spans="1:23" ht="16.5" customHeight="1" x14ac:dyDescent="0.2">
      <c r="A3370" s="26"/>
      <c r="B3370" s="26"/>
      <c r="C3370" s="26"/>
      <c r="D3370" s="26"/>
      <c r="E3370" s="26"/>
      <c r="F3370" s="28"/>
      <c r="G3370" s="26"/>
      <c r="H3370" s="32"/>
      <c r="I3370" s="32"/>
      <c r="J3370" s="32"/>
      <c r="K3370" s="32"/>
      <c r="L3370" s="32" t="e">
        <f ca="1">_xludf.ifna(VLOOKUP(E3370,Parámetros!$D$2:$E$34,2,0),"")</f>
        <v>#NAME?</v>
      </c>
      <c r="M3370" s="32" t="e">
        <f ca="1">_xludf.ifna(VLOOKUP(G3370,Proyectos!$A$2:$T$674,20,0),"")</f>
        <v>#NAME?</v>
      </c>
      <c r="N3370" s="32" t="e">
        <f ca="1">_xludf.ifna(VLOOKUP(G3370,Proyectos!$A$2:$S$674,19,0))</f>
        <v>#NAME?</v>
      </c>
      <c r="O3370" s="32"/>
      <c r="P3370" s="32"/>
      <c r="Q3370" s="33"/>
      <c r="R3370" s="33"/>
      <c r="S3370" s="33"/>
      <c r="T3370" s="63"/>
      <c r="U3370" s="33"/>
      <c r="V3370" s="33"/>
      <c r="W3370" s="33"/>
    </row>
    <row r="3371" spans="1:23" ht="16.5" customHeight="1" x14ac:dyDescent="0.2">
      <c r="A3371" s="26"/>
      <c r="B3371" s="26"/>
      <c r="C3371" s="26"/>
      <c r="D3371" s="26"/>
      <c r="E3371" s="26"/>
      <c r="F3371" s="28"/>
      <c r="G3371" s="26"/>
      <c r="H3371" s="32"/>
      <c r="I3371" s="32"/>
      <c r="J3371" s="32"/>
      <c r="K3371" s="32"/>
      <c r="L3371" s="32" t="e">
        <f ca="1">_xludf.ifna(VLOOKUP(E3371,Parámetros!$D$2:$E$34,2,0),"")</f>
        <v>#NAME?</v>
      </c>
      <c r="M3371" s="32" t="e">
        <f ca="1">_xludf.ifna(VLOOKUP(G3371,Proyectos!$A$2:$T$674,20,0),"")</f>
        <v>#NAME?</v>
      </c>
      <c r="N3371" s="32" t="e">
        <f ca="1">_xludf.ifna(VLOOKUP(G3371,Proyectos!$A$2:$S$674,19,0))</f>
        <v>#NAME?</v>
      </c>
      <c r="O3371" s="32"/>
      <c r="P3371" s="32"/>
      <c r="Q3371" s="33"/>
      <c r="R3371" s="33"/>
      <c r="S3371" s="33"/>
      <c r="T3371" s="63"/>
      <c r="U3371" s="33"/>
      <c r="V3371" s="33"/>
      <c r="W3371" s="33"/>
    </row>
    <row r="3372" spans="1:23" ht="16.5" customHeight="1" x14ac:dyDescent="0.2">
      <c r="A3372" s="26"/>
      <c r="B3372" s="26"/>
      <c r="C3372" s="26"/>
      <c r="D3372" s="26"/>
      <c r="E3372" s="26"/>
      <c r="F3372" s="28"/>
      <c r="G3372" s="26"/>
      <c r="H3372" s="32"/>
      <c r="I3372" s="32"/>
      <c r="J3372" s="32"/>
      <c r="K3372" s="32"/>
      <c r="L3372" s="32" t="e">
        <f ca="1">_xludf.ifna(VLOOKUP(E3372,Parámetros!$D$2:$E$34,2,0),"")</f>
        <v>#NAME?</v>
      </c>
      <c r="M3372" s="32" t="e">
        <f ca="1">_xludf.ifna(VLOOKUP(G3372,Proyectos!$A$2:$T$674,20,0),"")</f>
        <v>#NAME?</v>
      </c>
      <c r="N3372" s="32" t="e">
        <f ca="1">_xludf.ifna(VLOOKUP(G3372,Proyectos!$A$2:$S$674,19,0))</f>
        <v>#NAME?</v>
      </c>
      <c r="O3372" s="32"/>
      <c r="P3372" s="32"/>
      <c r="Q3372" s="33"/>
      <c r="R3372" s="33"/>
      <c r="S3372" s="33"/>
      <c r="T3372" s="63"/>
      <c r="U3372" s="33"/>
      <c r="V3372" s="33"/>
      <c r="W3372" s="33"/>
    </row>
    <row r="3373" spans="1:23" ht="16.5" customHeight="1" x14ac:dyDescent="0.2">
      <c r="A3373" s="26"/>
      <c r="B3373" s="26"/>
      <c r="C3373" s="26"/>
      <c r="D3373" s="26"/>
      <c r="E3373" s="26"/>
      <c r="F3373" s="28"/>
      <c r="G3373" s="26"/>
      <c r="H3373" s="32"/>
      <c r="I3373" s="32"/>
      <c r="J3373" s="32"/>
      <c r="K3373" s="32"/>
      <c r="L3373" s="32" t="e">
        <f ca="1">_xludf.ifna(VLOOKUP(E3373,Parámetros!$D$2:$E$34,2,0),"")</f>
        <v>#NAME?</v>
      </c>
      <c r="M3373" s="32" t="e">
        <f ca="1">_xludf.ifna(VLOOKUP(G3373,Proyectos!$A$2:$T$674,20,0),"")</f>
        <v>#NAME?</v>
      </c>
      <c r="N3373" s="32" t="e">
        <f ca="1">_xludf.ifna(VLOOKUP(G3373,Proyectos!$A$2:$S$674,19,0))</f>
        <v>#NAME?</v>
      </c>
      <c r="O3373" s="32"/>
      <c r="P3373" s="32"/>
      <c r="Q3373" s="33"/>
      <c r="R3373" s="33"/>
      <c r="S3373" s="33"/>
      <c r="T3373" s="63"/>
      <c r="U3373" s="33"/>
      <c r="V3373" s="33"/>
      <c r="W3373" s="33"/>
    </row>
    <row r="3374" spans="1:23" ht="16.5" customHeight="1" x14ac:dyDescent="0.2">
      <c r="A3374" s="26"/>
      <c r="B3374" s="26"/>
      <c r="C3374" s="26"/>
      <c r="D3374" s="26"/>
      <c r="E3374" s="26"/>
      <c r="F3374" s="28"/>
      <c r="G3374" s="26"/>
      <c r="H3374" s="32"/>
      <c r="I3374" s="32"/>
      <c r="J3374" s="32"/>
      <c r="K3374" s="32"/>
      <c r="L3374" s="32" t="e">
        <f ca="1">_xludf.ifna(VLOOKUP(E3374,Parámetros!$D$2:$E$34,2,0),"")</f>
        <v>#NAME?</v>
      </c>
      <c r="M3374" s="32" t="e">
        <f ca="1">_xludf.ifna(VLOOKUP(G3374,Proyectos!$A$2:$T$674,20,0),"")</f>
        <v>#NAME?</v>
      </c>
      <c r="N3374" s="32" t="e">
        <f ca="1">_xludf.ifna(VLOOKUP(G3374,Proyectos!$A$2:$S$674,19,0))</f>
        <v>#NAME?</v>
      </c>
      <c r="O3374" s="32"/>
      <c r="P3374" s="32"/>
      <c r="Q3374" s="33"/>
      <c r="R3374" s="33"/>
      <c r="S3374" s="33"/>
      <c r="T3374" s="63"/>
      <c r="U3374" s="33"/>
      <c r="V3374" s="33"/>
      <c r="W3374" s="33"/>
    </row>
    <row r="3375" spans="1:23" ht="16.5" customHeight="1" x14ac:dyDescent="0.2">
      <c r="A3375" s="26"/>
      <c r="B3375" s="26"/>
      <c r="C3375" s="26"/>
      <c r="D3375" s="26"/>
      <c r="E3375" s="26"/>
      <c r="F3375" s="28"/>
      <c r="G3375" s="26"/>
      <c r="H3375" s="32"/>
      <c r="I3375" s="32"/>
      <c r="J3375" s="32"/>
      <c r="K3375" s="32"/>
      <c r="L3375" s="32" t="e">
        <f ca="1">_xludf.ifna(VLOOKUP(E3375,Parámetros!$D$2:$E$34,2,0),"")</f>
        <v>#NAME?</v>
      </c>
      <c r="M3375" s="32" t="e">
        <f ca="1">_xludf.ifna(VLOOKUP(G3375,Proyectos!$A$2:$T$674,20,0),"")</f>
        <v>#NAME?</v>
      </c>
      <c r="N3375" s="32" t="e">
        <f ca="1">_xludf.ifna(VLOOKUP(G3375,Proyectos!$A$2:$S$674,19,0))</f>
        <v>#NAME?</v>
      </c>
      <c r="O3375" s="32"/>
      <c r="P3375" s="32"/>
      <c r="Q3375" s="33"/>
      <c r="R3375" s="33"/>
      <c r="S3375" s="33"/>
      <c r="T3375" s="63"/>
      <c r="U3375" s="33"/>
      <c r="V3375" s="33"/>
      <c r="W3375" s="33"/>
    </row>
    <row r="3376" spans="1:23" ht="16.5" customHeight="1" x14ac:dyDescent="0.2">
      <c r="A3376" s="26"/>
      <c r="B3376" s="26"/>
      <c r="C3376" s="26"/>
      <c r="D3376" s="26"/>
      <c r="E3376" s="26"/>
      <c r="F3376" s="28"/>
      <c r="G3376" s="26"/>
      <c r="H3376" s="32"/>
      <c r="I3376" s="32"/>
      <c r="J3376" s="32"/>
      <c r="K3376" s="32"/>
      <c r="L3376" s="32" t="e">
        <f ca="1">_xludf.ifna(VLOOKUP(E3376,Parámetros!$D$2:$E$34,2,0),"")</f>
        <v>#NAME?</v>
      </c>
      <c r="M3376" s="32" t="e">
        <f ca="1">_xludf.ifna(VLOOKUP(G3376,Proyectos!$A$2:$T$674,20,0),"")</f>
        <v>#NAME?</v>
      </c>
      <c r="N3376" s="32" t="e">
        <f ca="1">_xludf.ifna(VLOOKUP(G3376,Proyectos!$A$2:$S$674,19,0))</f>
        <v>#NAME?</v>
      </c>
      <c r="O3376" s="32"/>
      <c r="P3376" s="32"/>
      <c r="Q3376" s="33"/>
      <c r="R3376" s="33"/>
      <c r="S3376" s="33"/>
      <c r="T3376" s="63"/>
      <c r="U3376" s="33"/>
      <c r="V3376" s="33"/>
      <c r="W3376" s="33"/>
    </row>
    <row r="3377" spans="1:23" ht="16.5" customHeight="1" x14ac:dyDescent="0.2">
      <c r="A3377" s="26"/>
      <c r="B3377" s="26"/>
      <c r="C3377" s="26"/>
      <c r="D3377" s="26"/>
      <c r="E3377" s="26"/>
      <c r="F3377" s="28"/>
      <c r="G3377" s="26"/>
      <c r="H3377" s="32"/>
      <c r="I3377" s="32"/>
      <c r="J3377" s="32"/>
      <c r="K3377" s="32"/>
      <c r="L3377" s="32" t="e">
        <f ca="1">_xludf.ifna(VLOOKUP(E3377,Parámetros!$D$2:$E$34,2,0),"")</f>
        <v>#NAME?</v>
      </c>
      <c r="M3377" s="32" t="e">
        <f ca="1">_xludf.ifna(VLOOKUP(G3377,Proyectos!$A$2:$T$674,20,0),"")</f>
        <v>#NAME?</v>
      </c>
      <c r="N3377" s="32" t="e">
        <f ca="1">_xludf.ifna(VLOOKUP(G3377,Proyectos!$A$2:$S$674,19,0))</f>
        <v>#NAME?</v>
      </c>
      <c r="O3377" s="32"/>
      <c r="P3377" s="32"/>
      <c r="Q3377" s="33"/>
      <c r="R3377" s="33"/>
      <c r="S3377" s="33"/>
      <c r="T3377" s="63"/>
      <c r="U3377" s="33"/>
      <c r="V3377" s="33"/>
      <c r="W3377" s="33"/>
    </row>
    <row r="3378" spans="1:23" ht="16.5" customHeight="1" x14ac:dyDescent="0.2">
      <c r="A3378" s="26"/>
      <c r="B3378" s="26"/>
      <c r="C3378" s="26"/>
      <c r="D3378" s="26"/>
      <c r="E3378" s="26"/>
      <c r="F3378" s="28"/>
      <c r="G3378" s="26"/>
      <c r="H3378" s="32"/>
      <c r="I3378" s="32"/>
      <c r="J3378" s="32"/>
      <c r="K3378" s="32"/>
      <c r="L3378" s="32" t="e">
        <f ca="1">_xludf.ifna(VLOOKUP(E3378,Parámetros!$D$2:$E$34,2,0),"")</f>
        <v>#NAME?</v>
      </c>
      <c r="M3378" s="32" t="e">
        <f ca="1">_xludf.ifna(VLOOKUP(G3378,Proyectos!$A$2:$T$674,20,0),"")</f>
        <v>#NAME?</v>
      </c>
      <c r="N3378" s="32" t="e">
        <f ca="1">_xludf.ifna(VLOOKUP(G3378,Proyectos!$A$2:$S$674,19,0))</f>
        <v>#NAME?</v>
      </c>
      <c r="O3378" s="32"/>
      <c r="P3378" s="32"/>
      <c r="Q3378" s="33"/>
      <c r="R3378" s="33"/>
      <c r="S3378" s="33"/>
      <c r="T3378" s="63"/>
      <c r="U3378" s="33"/>
      <c r="V3378" s="33"/>
      <c r="W3378" s="33"/>
    </row>
    <row r="3379" spans="1:23" ht="16.5" customHeight="1" x14ac:dyDescent="0.2">
      <c r="A3379" s="26"/>
      <c r="B3379" s="26"/>
      <c r="C3379" s="26"/>
      <c r="D3379" s="26"/>
      <c r="E3379" s="26"/>
      <c r="F3379" s="28"/>
      <c r="G3379" s="26"/>
      <c r="H3379" s="32"/>
      <c r="I3379" s="32"/>
      <c r="J3379" s="32"/>
      <c r="K3379" s="32"/>
      <c r="L3379" s="32" t="e">
        <f ca="1">_xludf.ifna(VLOOKUP(E3379,Parámetros!$D$2:$E$34,2,0),"")</f>
        <v>#NAME?</v>
      </c>
      <c r="M3379" s="32" t="e">
        <f ca="1">_xludf.ifna(VLOOKUP(G3379,Proyectos!$A$2:$T$674,20,0),"")</f>
        <v>#NAME?</v>
      </c>
      <c r="N3379" s="32" t="e">
        <f ca="1">_xludf.ifna(VLOOKUP(G3379,Proyectos!$A$2:$S$674,19,0))</f>
        <v>#NAME?</v>
      </c>
      <c r="O3379" s="32"/>
      <c r="P3379" s="32"/>
      <c r="Q3379" s="33"/>
      <c r="R3379" s="33"/>
      <c r="S3379" s="33"/>
      <c r="T3379" s="63"/>
      <c r="U3379" s="33"/>
      <c r="V3379" s="33"/>
      <c r="W3379" s="33"/>
    </row>
    <row r="3380" spans="1:23" ht="16.5" customHeight="1" x14ac:dyDescent="0.2">
      <c r="A3380" s="26"/>
      <c r="B3380" s="26"/>
      <c r="C3380" s="26"/>
      <c r="D3380" s="26"/>
      <c r="E3380" s="26"/>
      <c r="F3380" s="28"/>
      <c r="G3380" s="26"/>
      <c r="H3380" s="32"/>
      <c r="I3380" s="32"/>
      <c r="J3380" s="32"/>
      <c r="K3380" s="32"/>
      <c r="L3380" s="32" t="e">
        <f ca="1">_xludf.ifna(VLOOKUP(E3380,Parámetros!$D$2:$E$34,2,0),"")</f>
        <v>#NAME?</v>
      </c>
      <c r="M3380" s="32" t="e">
        <f ca="1">_xludf.ifna(VLOOKUP(G3380,Proyectos!$A$2:$T$674,20,0),"")</f>
        <v>#NAME?</v>
      </c>
      <c r="N3380" s="32" t="e">
        <f ca="1">_xludf.ifna(VLOOKUP(G3380,Proyectos!$A$2:$S$674,19,0))</f>
        <v>#NAME?</v>
      </c>
      <c r="O3380" s="32"/>
      <c r="P3380" s="32"/>
      <c r="Q3380" s="33"/>
      <c r="R3380" s="33"/>
      <c r="S3380" s="33"/>
      <c r="T3380" s="63"/>
      <c r="U3380" s="33"/>
      <c r="V3380" s="33"/>
      <c r="W3380" s="33"/>
    </row>
    <row r="3381" spans="1:23" ht="16.5" customHeight="1" x14ac:dyDescent="0.2">
      <c r="A3381" s="26"/>
      <c r="B3381" s="26"/>
      <c r="C3381" s="26"/>
      <c r="D3381" s="26"/>
      <c r="E3381" s="26"/>
      <c r="F3381" s="28"/>
      <c r="G3381" s="26"/>
      <c r="H3381" s="32"/>
      <c r="I3381" s="32"/>
      <c r="J3381" s="32"/>
      <c r="K3381" s="32"/>
      <c r="L3381" s="32" t="e">
        <f ca="1">_xludf.ifna(VLOOKUP(E3381,Parámetros!$D$2:$E$34,2,0),"")</f>
        <v>#NAME?</v>
      </c>
      <c r="M3381" s="32" t="e">
        <f ca="1">_xludf.ifna(VLOOKUP(G3381,Proyectos!$A$2:$T$674,20,0),"")</f>
        <v>#NAME?</v>
      </c>
      <c r="N3381" s="32" t="e">
        <f ca="1">_xludf.ifna(VLOOKUP(G3381,Proyectos!$A$2:$S$674,19,0))</f>
        <v>#NAME?</v>
      </c>
      <c r="O3381" s="32"/>
      <c r="P3381" s="32"/>
      <c r="Q3381" s="33"/>
      <c r="R3381" s="33"/>
      <c r="S3381" s="33"/>
      <c r="T3381" s="63"/>
      <c r="U3381" s="33"/>
      <c r="V3381" s="33"/>
      <c r="W3381" s="33"/>
    </row>
    <row r="3382" spans="1:23" ht="16.5" customHeight="1" x14ac:dyDescent="0.2">
      <c r="A3382" s="26"/>
      <c r="B3382" s="26"/>
      <c r="C3382" s="26"/>
      <c r="D3382" s="26"/>
      <c r="E3382" s="26"/>
      <c r="F3382" s="28"/>
      <c r="G3382" s="26"/>
      <c r="H3382" s="32"/>
      <c r="I3382" s="32"/>
      <c r="J3382" s="32"/>
      <c r="K3382" s="32"/>
      <c r="L3382" s="32" t="e">
        <f ca="1">_xludf.ifna(VLOOKUP(E3382,Parámetros!$D$2:$E$34,2,0),"")</f>
        <v>#NAME?</v>
      </c>
      <c r="M3382" s="32" t="e">
        <f ca="1">_xludf.ifna(VLOOKUP(G3382,Proyectos!$A$2:$T$674,20,0),"")</f>
        <v>#NAME?</v>
      </c>
      <c r="N3382" s="32" t="e">
        <f ca="1">_xludf.ifna(VLOOKUP(G3382,Proyectos!$A$2:$S$674,19,0))</f>
        <v>#NAME?</v>
      </c>
      <c r="O3382" s="32"/>
      <c r="P3382" s="32"/>
      <c r="Q3382" s="33"/>
      <c r="R3382" s="33"/>
      <c r="S3382" s="33"/>
      <c r="T3382" s="63"/>
      <c r="U3382" s="33"/>
      <c r="V3382" s="33"/>
      <c r="W3382" s="33"/>
    </row>
    <row r="3383" spans="1:23" ht="16.5" customHeight="1" x14ac:dyDescent="0.2">
      <c r="A3383" s="26"/>
      <c r="B3383" s="26"/>
      <c r="C3383" s="26"/>
      <c r="D3383" s="26"/>
      <c r="E3383" s="26"/>
      <c r="F3383" s="28"/>
      <c r="G3383" s="26"/>
      <c r="H3383" s="32"/>
      <c r="I3383" s="32"/>
      <c r="J3383" s="32"/>
      <c r="K3383" s="32"/>
      <c r="L3383" s="32" t="e">
        <f ca="1">_xludf.ifna(VLOOKUP(E3383,Parámetros!$D$2:$E$34,2,0),"")</f>
        <v>#NAME?</v>
      </c>
      <c r="M3383" s="32" t="e">
        <f ca="1">_xludf.ifna(VLOOKUP(G3383,Proyectos!$A$2:$T$674,20,0),"")</f>
        <v>#NAME?</v>
      </c>
      <c r="N3383" s="32" t="e">
        <f ca="1">_xludf.ifna(VLOOKUP(G3383,Proyectos!$A$2:$S$674,19,0))</f>
        <v>#NAME?</v>
      </c>
      <c r="O3383" s="32"/>
      <c r="P3383" s="32"/>
      <c r="Q3383" s="33"/>
      <c r="R3383" s="33"/>
      <c r="S3383" s="33"/>
      <c r="T3383" s="63"/>
      <c r="U3383" s="33"/>
      <c r="V3383" s="33"/>
      <c r="W3383" s="33"/>
    </row>
    <row r="3384" spans="1:23" ht="16.5" customHeight="1" x14ac:dyDescent="0.2">
      <c r="A3384" s="26"/>
      <c r="B3384" s="26"/>
      <c r="C3384" s="26"/>
      <c r="D3384" s="26"/>
      <c r="E3384" s="26"/>
      <c r="F3384" s="28"/>
      <c r="G3384" s="26"/>
      <c r="H3384" s="32"/>
      <c r="I3384" s="32"/>
      <c r="J3384" s="32"/>
      <c r="K3384" s="32"/>
      <c r="L3384" s="32" t="e">
        <f ca="1">_xludf.ifna(VLOOKUP(E3384,Parámetros!$D$2:$E$34,2,0),"")</f>
        <v>#NAME?</v>
      </c>
      <c r="M3384" s="32" t="e">
        <f ca="1">_xludf.ifna(VLOOKUP(G3384,Proyectos!$A$2:$T$674,20,0),"")</f>
        <v>#NAME?</v>
      </c>
      <c r="N3384" s="32" t="e">
        <f ca="1">_xludf.ifna(VLOOKUP(G3384,Proyectos!$A$2:$S$674,19,0))</f>
        <v>#NAME?</v>
      </c>
      <c r="O3384" s="32"/>
      <c r="P3384" s="32"/>
      <c r="Q3384" s="33"/>
      <c r="R3384" s="33"/>
      <c r="S3384" s="33"/>
      <c r="T3384" s="63"/>
      <c r="U3384" s="33"/>
      <c r="V3384" s="33"/>
      <c r="W3384" s="33"/>
    </row>
    <row r="3385" spans="1:23" ht="16.5" customHeight="1" x14ac:dyDescent="0.2">
      <c r="A3385" s="26"/>
      <c r="B3385" s="26"/>
      <c r="C3385" s="26"/>
      <c r="D3385" s="26"/>
      <c r="E3385" s="26"/>
      <c r="F3385" s="28"/>
      <c r="G3385" s="26"/>
      <c r="H3385" s="32"/>
      <c r="I3385" s="32"/>
      <c r="J3385" s="32"/>
      <c r="K3385" s="32"/>
      <c r="L3385" s="32" t="e">
        <f ca="1">_xludf.ifna(VLOOKUP(E3385,Parámetros!$D$2:$E$34,2,0),"")</f>
        <v>#NAME?</v>
      </c>
      <c r="M3385" s="32" t="e">
        <f ca="1">_xludf.ifna(VLOOKUP(G3385,Proyectos!$A$2:$T$674,20,0),"")</f>
        <v>#NAME?</v>
      </c>
      <c r="N3385" s="32" t="e">
        <f ca="1">_xludf.ifna(VLOOKUP(G3385,Proyectos!$A$2:$S$674,19,0))</f>
        <v>#NAME?</v>
      </c>
      <c r="O3385" s="32"/>
      <c r="P3385" s="32"/>
      <c r="Q3385" s="33"/>
      <c r="R3385" s="33"/>
      <c r="S3385" s="33"/>
      <c r="T3385" s="63"/>
      <c r="U3385" s="33"/>
      <c r="V3385" s="33"/>
      <c r="W3385" s="33"/>
    </row>
    <row r="3386" spans="1:23" ht="16.5" customHeight="1" x14ac:dyDescent="0.2">
      <c r="A3386" s="26"/>
      <c r="B3386" s="26"/>
      <c r="C3386" s="26"/>
      <c r="D3386" s="26"/>
      <c r="E3386" s="26"/>
      <c r="F3386" s="28"/>
      <c r="G3386" s="26"/>
      <c r="H3386" s="32"/>
      <c r="I3386" s="32"/>
      <c r="J3386" s="32"/>
      <c r="K3386" s="32"/>
      <c r="L3386" s="32" t="e">
        <f ca="1">_xludf.ifna(VLOOKUP(E3386,Parámetros!$D$2:$E$34,2,0),"")</f>
        <v>#NAME?</v>
      </c>
      <c r="M3386" s="32" t="e">
        <f ca="1">_xludf.ifna(VLOOKUP(G3386,Proyectos!$A$2:$T$674,20,0),"")</f>
        <v>#NAME?</v>
      </c>
      <c r="N3386" s="32" t="e">
        <f ca="1">_xludf.ifna(VLOOKUP(G3386,Proyectos!$A$2:$S$674,19,0))</f>
        <v>#NAME?</v>
      </c>
      <c r="O3386" s="32"/>
      <c r="P3386" s="32"/>
      <c r="Q3386" s="33"/>
      <c r="R3386" s="33"/>
      <c r="S3386" s="33"/>
      <c r="T3386" s="63"/>
      <c r="U3386" s="33"/>
      <c r="V3386" s="33"/>
      <c r="W3386" s="33"/>
    </row>
    <row r="3387" spans="1:23" ht="16.5" customHeight="1" x14ac:dyDescent="0.2">
      <c r="A3387" s="26"/>
      <c r="B3387" s="26"/>
      <c r="C3387" s="26"/>
      <c r="D3387" s="26"/>
      <c r="E3387" s="26"/>
      <c r="F3387" s="28"/>
      <c r="G3387" s="26"/>
      <c r="H3387" s="32"/>
      <c r="I3387" s="32"/>
      <c r="J3387" s="32"/>
      <c r="K3387" s="32"/>
      <c r="L3387" s="32" t="e">
        <f ca="1">_xludf.ifna(VLOOKUP(E3387,Parámetros!$D$2:$E$34,2,0),"")</f>
        <v>#NAME?</v>
      </c>
      <c r="M3387" s="32" t="e">
        <f ca="1">_xludf.ifna(VLOOKUP(G3387,Proyectos!$A$2:$T$674,20,0),"")</f>
        <v>#NAME?</v>
      </c>
      <c r="N3387" s="32" t="e">
        <f ca="1">_xludf.ifna(VLOOKUP(G3387,Proyectos!$A$2:$S$674,19,0))</f>
        <v>#NAME?</v>
      </c>
      <c r="O3387" s="32"/>
      <c r="P3387" s="32"/>
      <c r="Q3387" s="33"/>
      <c r="R3387" s="33"/>
      <c r="S3387" s="33"/>
      <c r="T3387" s="63"/>
      <c r="U3387" s="33"/>
      <c r="V3387" s="33"/>
      <c r="W3387" s="33"/>
    </row>
    <row r="3388" spans="1:23" ht="16.5" customHeight="1" x14ac:dyDescent="0.2">
      <c r="A3388" s="26"/>
      <c r="B3388" s="26"/>
      <c r="C3388" s="26"/>
      <c r="D3388" s="26"/>
      <c r="E3388" s="26"/>
      <c r="F3388" s="28"/>
      <c r="G3388" s="26"/>
      <c r="H3388" s="32"/>
      <c r="I3388" s="32"/>
      <c r="J3388" s="32"/>
      <c r="K3388" s="32"/>
      <c r="L3388" s="32" t="e">
        <f ca="1">_xludf.ifna(VLOOKUP(E3388,Parámetros!$D$2:$E$34,2,0),"")</f>
        <v>#NAME?</v>
      </c>
      <c r="M3388" s="32" t="e">
        <f ca="1">_xludf.ifna(VLOOKUP(G3388,Proyectos!$A$2:$T$674,20,0),"")</f>
        <v>#NAME?</v>
      </c>
      <c r="N3388" s="32" t="e">
        <f ca="1">_xludf.ifna(VLOOKUP(G3388,Proyectos!$A$2:$S$674,19,0))</f>
        <v>#NAME?</v>
      </c>
      <c r="O3388" s="32"/>
      <c r="P3388" s="32"/>
      <c r="Q3388" s="33"/>
      <c r="R3388" s="33"/>
      <c r="S3388" s="33"/>
      <c r="T3388" s="63"/>
      <c r="U3388" s="33"/>
      <c r="V3388" s="33"/>
      <c r="W3388" s="33"/>
    </row>
    <row r="3389" spans="1:23" ht="16.5" customHeight="1" x14ac:dyDescent="0.2">
      <c r="A3389" s="26"/>
      <c r="B3389" s="26"/>
      <c r="C3389" s="26"/>
      <c r="D3389" s="26"/>
      <c r="E3389" s="26"/>
      <c r="F3389" s="28"/>
      <c r="G3389" s="26"/>
      <c r="H3389" s="32"/>
      <c r="I3389" s="32"/>
      <c r="J3389" s="32"/>
      <c r="K3389" s="32"/>
      <c r="L3389" s="32" t="e">
        <f ca="1">_xludf.ifna(VLOOKUP(E3389,Parámetros!$D$2:$E$34,2,0),"")</f>
        <v>#NAME?</v>
      </c>
      <c r="M3389" s="32" t="e">
        <f ca="1">_xludf.ifna(VLOOKUP(G3389,Proyectos!$A$2:$T$674,20,0),"")</f>
        <v>#NAME?</v>
      </c>
      <c r="N3389" s="32" t="e">
        <f ca="1">_xludf.ifna(VLOOKUP(G3389,Proyectos!$A$2:$S$674,19,0))</f>
        <v>#NAME?</v>
      </c>
      <c r="O3389" s="32"/>
      <c r="P3389" s="32"/>
      <c r="Q3389" s="33"/>
      <c r="R3389" s="33"/>
      <c r="S3389" s="33"/>
      <c r="T3389" s="63"/>
      <c r="U3389" s="33"/>
      <c r="V3389" s="33"/>
      <c r="W3389" s="33"/>
    </row>
    <row r="3390" spans="1:23" ht="16.5" customHeight="1" x14ac:dyDescent="0.2">
      <c r="A3390" s="26"/>
      <c r="B3390" s="26"/>
      <c r="C3390" s="26"/>
      <c r="D3390" s="26"/>
      <c r="E3390" s="26"/>
      <c r="F3390" s="28"/>
      <c r="G3390" s="26"/>
      <c r="H3390" s="32"/>
      <c r="I3390" s="32"/>
      <c r="J3390" s="32"/>
      <c r="K3390" s="32"/>
      <c r="L3390" s="32" t="e">
        <f ca="1">_xludf.ifna(VLOOKUP(E3390,Parámetros!$D$2:$E$34,2,0),"")</f>
        <v>#NAME?</v>
      </c>
      <c r="M3390" s="32" t="e">
        <f ca="1">_xludf.ifna(VLOOKUP(G3390,Proyectos!$A$2:$T$674,20,0),"")</f>
        <v>#NAME?</v>
      </c>
      <c r="N3390" s="32" t="e">
        <f ca="1">_xludf.ifna(VLOOKUP(G3390,Proyectos!$A$2:$S$674,19,0))</f>
        <v>#NAME?</v>
      </c>
      <c r="O3390" s="32"/>
      <c r="P3390" s="32"/>
      <c r="Q3390" s="33"/>
      <c r="R3390" s="33"/>
      <c r="S3390" s="33"/>
      <c r="T3390" s="63"/>
      <c r="U3390" s="33"/>
      <c r="V3390" s="33"/>
      <c r="W3390" s="33"/>
    </row>
    <row r="3391" spans="1:23" ht="16.5" customHeight="1" x14ac:dyDescent="0.2">
      <c r="A3391" s="26"/>
      <c r="B3391" s="26"/>
      <c r="C3391" s="26"/>
      <c r="D3391" s="26"/>
      <c r="E3391" s="26"/>
      <c r="F3391" s="28"/>
      <c r="G3391" s="26"/>
      <c r="H3391" s="32"/>
      <c r="I3391" s="32"/>
      <c r="J3391" s="32"/>
      <c r="K3391" s="32"/>
      <c r="L3391" s="32" t="e">
        <f ca="1">_xludf.ifna(VLOOKUP(E3391,Parámetros!$D$2:$E$34,2,0),"")</f>
        <v>#NAME?</v>
      </c>
      <c r="M3391" s="32" t="e">
        <f ca="1">_xludf.ifna(VLOOKUP(G3391,Proyectos!$A$2:$T$674,20,0),"")</f>
        <v>#NAME?</v>
      </c>
      <c r="N3391" s="32" t="e">
        <f ca="1">_xludf.ifna(VLOOKUP(G3391,Proyectos!$A$2:$S$674,19,0))</f>
        <v>#NAME?</v>
      </c>
      <c r="O3391" s="32"/>
      <c r="P3391" s="32"/>
      <c r="Q3391" s="33"/>
      <c r="R3391" s="33"/>
      <c r="S3391" s="33"/>
      <c r="T3391" s="63"/>
      <c r="U3391" s="33"/>
      <c r="V3391" s="33"/>
      <c r="W3391" s="33"/>
    </row>
    <row r="3392" spans="1:23" ht="16.5" customHeight="1" x14ac:dyDescent="0.2">
      <c r="A3392" s="26"/>
      <c r="B3392" s="26"/>
      <c r="C3392" s="26"/>
      <c r="D3392" s="26"/>
      <c r="E3392" s="26"/>
      <c r="F3392" s="28"/>
      <c r="G3392" s="26"/>
      <c r="H3392" s="32"/>
      <c r="I3392" s="32"/>
      <c r="J3392" s="32"/>
      <c r="K3392" s="32"/>
      <c r="L3392" s="32" t="e">
        <f ca="1">_xludf.ifna(VLOOKUP(E3392,Parámetros!$D$2:$E$34,2,0),"")</f>
        <v>#NAME?</v>
      </c>
      <c r="M3392" s="32" t="e">
        <f ca="1">_xludf.ifna(VLOOKUP(G3392,Proyectos!$A$2:$T$674,20,0),"")</f>
        <v>#NAME?</v>
      </c>
      <c r="N3392" s="32" t="e">
        <f ca="1">_xludf.ifna(VLOOKUP(G3392,Proyectos!$A$2:$S$674,19,0))</f>
        <v>#NAME?</v>
      </c>
      <c r="O3392" s="32"/>
      <c r="P3392" s="32"/>
      <c r="Q3392" s="33"/>
      <c r="R3392" s="33"/>
      <c r="S3392" s="33"/>
      <c r="T3392" s="63"/>
      <c r="U3392" s="33"/>
      <c r="V3392" s="33"/>
      <c r="W3392" s="33"/>
    </row>
    <row r="3393" spans="1:23" ht="16.5" customHeight="1" x14ac:dyDescent="0.2">
      <c r="A3393" s="26"/>
      <c r="B3393" s="26"/>
      <c r="C3393" s="26"/>
      <c r="D3393" s="26"/>
      <c r="E3393" s="26"/>
      <c r="F3393" s="28"/>
      <c r="G3393" s="26"/>
      <c r="H3393" s="32"/>
      <c r="I3393" s="32"/>
      <c r="J3393" s="32"/>
      <c r="K3393" s="32"/>
      <c r="L3393" s="32" t="e">
        <f ca="1">_xludf.ifna(VLOOKUP(E3393,Parámetros!$D$2:$E$34,2,0),"")</f>
        <v>#NAME?</v>
      </c>
      <c r="M3393" s="32" t="e">
        <f ca="1">_xludf.ifna(VLOOKUP(G3393,Proyectos!$A$2:$T$674,20,0),"")</f>
        <v>#NAME?</v>
      </c>
      <c r="N3393" s="32" t="e">
        <f ca="1">_xludf.ifna(VLOOKUP(G3393,Proyectos!$A$2:$S$674,19,0))</f>
        <v>#NAME?</v>
      </c>
      <c r="O3393" s="32"/>
      <c r="P3393" s="32"/>
      <c r="Q3393" s="33"/>
      <c r="R3393" s="33"/>
      <c r="S3393" s="33"/>
      <c r="T3393" s="63"/>
      <c r="U3393" s="33"/>
      <c r="V3393" s="33"/>
      <c r="W3393" s="33"/>
    </row>
    <row r="3394" spans="1:23" ht="16.5" customHeight="1" x14ac:dyDescent="0.2">
      <c r="A3394" s="26"/>
      <c r="B3394" s="26"/>
      <c r="C3394" s="26"/>
      <c r="D3394" s="26"/>
      <c r="E3394" s="26"/>
      <c r="F3394" s="28"/>
      <c r="G3394" s="26"/>
      <c r="H3394" s="32"/>
      <c r="I3394" s="32"/>
      <c r="J3394" s="32"/>
      <c r="K3394" s="32"/>
      <c r="L3394" s="32" t="e">
        <f ca="1">_xludf.ifna(VLOOKUP(E3394,Parámetros!$D$2:$E$34,2,0),"")</f>
        <v>#NAME?</v>
      </c>
      <c r="M3394" s="32" t="e">
        <f ca="1">_xludf.ifna(VLOOKUP(G3394,Proyectos!$A$2:$T$674,20,0),"")</f>
        <v>#NAME?</v>
      </c>
      <c r="N3394" s="32" t="e">
        <f ca="1">_xludf.ifna(VLOOKUP(G3394,Proyectos!$A$2:$S$674,19,0))</f>
        <v>#NAME?</v>
      </c>
      <c r="O3394" s="32"/>
      <c r="P3394" s="32"/>
      <c r="Q3394" s="33"/>
      <c r="R3394" s="33"/>
      <c r="S3394" s="33"/>
      <c r="T3394" s="63"/>
      <c r="U3394" s="33"/>
      <c r="V3394" s="33"/>
      <c r="W3394" s="33"/>
    </row>
    <row r="3395" spans="1:23" ht="16.5" customHeight="1" x14ac:dyDescent="0.2">
      <c r="A3395" s="26"/>
      <c r="B3395" s="26"/>
      <c r="C3395" s="26"/>
      <c r="D3395" s="26"/>
      <c r="E3395" s="26"/>
      <c r="F3395" s="28"/>
      <c r="G3395" s="26"/>
      <c r="H3395" s="32"/>
      <c r="I3395" s="32"/>
      <c r="J3395" s="32"/>
      <c r="K3395" s="32"/>
      <c r="L3395" s="32" t="e">
        <f ca="1">_xludf.ifna(VLOOKUP(E3395,Parámetros!$D$2:$E$34,2,0),"")</f>
        <v>#NAME?</v>
      </c>
      <c r="M3395" s="32" t="e">
        <f ca="1">_xludf.ifna(VLOOKUP(G3395,Proyectos!$A$2:$T$674,20,0),"")</f>
        <v>#NAME?</v>
      </c>
      <c r="N3395" s="32" t="e">
        <f ca="1">_xludf.ifna(VLOOKUP(G3395,Proyectos!$A$2:$S$674,19,0))</f>
        <v>#NAME?</v>
      </c>
      <c r="O3395" s="32"/>
      <c r="P3395" s="32"/>
      <c r="Q3395" s="33"/>
      <c r="R3395" s="33"/>
      <c r="S3395" s="33"/>
      <c r="T3395" s="63"/>
      <c r="U3395" s="33"/>
      <c r="V3395" s="33"/>
      <c r="W3395" s="33"/>
    </row>
    <row r="3396" spans="1:23" ht="16.5" customHeight="1" x14ac:dyDescent="0.2">
      <c r="A3396" s="26"/>
      <c r="B3396" s="26"/>
      <c r="C3396" s="26"/>
      <c r="D3396" s="26"/>
      <c r="E3396" s="26"/>
      <c r="F3396" s="28"/>
      <c r="G3396" s="26"/>
      <c r="H3396" s="32"/>
      <c r="I3396" s="32"/>
      <c r="J3396" s="32"/>
      <c r="K3396" s="32"/>
      <c r="L3396" s="32" t="e">
        <f ca="1">_xludf.ifna(VLOOKUP(E3396,Parámetros!$D$2:$E$34,2,0),"")</f>
        <v>#NAME?</v>
      </c>
      <c r="M3396" s="32" t="e">
        <f ca="1">_xludf.ifna(VLOOKUP(G3396,Proyectos!$A$2:$T$674,20,0),"")</f>
        <v>#NAME?</v>
      </c>
      <c r="N3396" s="32" t="e">
        <f ca="1">_xludf.ifna(VLOOKUP(G3396,Proyectos!$A$2:$S$674,19,0))</f>
        <v>#NAME?</v>
      </c>
      <c r="O3396" s="32"/>
      <c r="P3396" s="32"/>
      <c r="Q3396" s="33"/>
      <c r="R3396" s="33"/>
      <c r="S3396" s="33"/>
      <c r="T3396" s="63"/>
      <c r="U3396" s="33"/>
      <c r="V3396" s="33"/>
      <c r="W3396" s="33"/>
    </row>
    <row r="3397" spans="1:23" ht="16.5" customHeight="1" x14ac:dyDescent="0.2">
      <c r="A3397" s="26"/>
      <c r="B3397" s="26"/>
      <c r="C3397" s="26"/>
      <c r="D3397" s="26"/>
      <c r="E3397" s="26"/>
      <c r="F3397" s="28"/>
      <c r="G3397" s="26"/>
      <c r="H3397" s="32"/>
      <c r="I3397" s="32"/>
      <c r="J3397" s="32"/>
      <c r="K3397" s="32"/>
      <c r="L3397" s="32" t="e">
        <f ca="1">_xludf.ifna(VLOOKUP(E3397,Parámetros!$D$2:$E$34,2,0),"")</f>
        <v>#NAME?</v>
      </c>
      <c r="M3397" s="32" t="e">
        <f ca="1">_xludf.ifna(VLOOKUP(G3397,Proyectos!$A$2:$T$674,20,0),"")</f>
        <v>#NAME?</v>
      </c>
      <c r="N3397" s="32" t="e">
        <f ca="1">_xludf.ifna(VLOOKUP(G3397,Proyectos!$A$2:$S$674,19,0))</f>
        <v>#NAME?</v>
      </c>
      <c r="O3397" s="32"/>
      <c r="P3397" s="32"/>
      <c r="Q3397" s="33"/>
      <c r="R3397" s="33"/>
      <c r="S3397" s="33"/>
      <c r="T3397" s="63"/>
      <c r="U3397" s="33"/>
      <c r="V3397" s="33"/>
      <c r="W3397" s="33"/>
    </row>
    <row r="3398" spans="1:23" ht="16.5" customHeight="1" x14ac:dyDescent="0.2">
      <c r="A3398" s="26"/>
      <c r="B3398" s="26"/>
      <c r="C3398" s="26"/>
      <c r="D3398" s="26"/>
      <c r="E3398" s="26"/>
      <c r="F3398" s="28"/>
      <c r="G3398" s="26"/>
      <c r="H3398" s="32"/>
      <c r="I3398" s="32"/>
      <c r="J3398" s="32"/>
      <c r="K3398" s="32"/>
      <c r="L3398" s="32" t="e">
        <f ca="1">_xludf.ifna(VLOOKUP(E3398,Parámetros!$D$2:$E$34,2,0),"")</f>
        <v>#NAME?</v>
      </c>
      <c r="M3398" s="32" t="e">
        <f ca="1">_xludf.ifna(VLOOKUP(G3398,Proyectos!$A$2:$T$674,20,0),"")</f>
        <v>#NAME?</v>
      </c>
      <c r="N3398" s="32" t="e">
        <f ca="1">_xludf.ifna(VLOOKUP(G3398,Proyectos!$A$2:$S$674,19,0))</f>
        <v>#NAME?</v>
      </c>
      <c r="O3398" s="32"/>
      <c r="P3398" s="32"/>
      <c r="Q3398" s="33"/>
      <c r="R3398" s="33"/>
      <c r="S3398" s="33"/>
      <c r="T3398" s="63"/>
      <c r="U3398" s="33"/>
      <c r="V3398" s="33"/>
      <c r="W3398" s="33"/>
    </row>
    <row r="3399" spans="1:23" ht="16.5" customHeight="1" x14ac:dyDescent="0.2">
      <c r="A3399" s="26"/>
      <c r="B3399" s="26"/>
      <c r="C3399" s="26"/>
      <c r="D3399" s="26"/>
      <c r="E3399" s="26"/>
      <c r="F3399" s="28"/>
      <c r="G3399" s="26"/>
      <c r="H3399" s="32"/>
      <c r="I3399" s="32"/>
      <c r="J3399" s="32"/>
      <c r="K3399" s="32"/>
      <c r="L3399" s="32" t="e">
        <f ca="1">_xludf.ifna(VLOOKUP(E3399,Parámetros!$D$2:$E$34,2,0),"")</f>
        <v>#NAME?</v>
      </c>
      <c r="M3399" s="32" t="e">
        <f ca="1">_xludf.ifna(VLOOKUP(G3399,Proyectos!$A$2:$T$674,20,0),"")</f>
        <v>#NAME?</v>
      </c>
      <c r="N3399" s="32" t="e">
        <f ca="1">_xludf.ifna(VLOOKUP(G3399,Proyectos!$A$2:$S$674,19,0))</f>
        <v>#NAME?</v>
      </c>
      <c r="O3399" s="32"/>
      <c r="P3399" s="32"/>
      <c r="Q3399" s="33"/>
      <c r="R3399" s="33"/>
      <c r="S3399" s="33"/>
      <c r="T3399" s="63"/>
      <c r="U3399" s="33"/>
      <c r="V3399" s="33"/>
      <c r="W3399" s="33"/>
    </row>
    <row r="3400" spans="1:23" ht="16.5" customHeight="1" x14ac:dyDescent="0.2">
      <c r="A3400" s="26"/>
      <c r="B3400" s="26"/>
      <c r="C3400" s="26"/>
      <c r="D3400" s="26"/>
      <c r="E3400" s="26"/>
      <c r="F3400" s="28"/>
      <c r="G3400" s="26"/>
      <c r="H3400" s="32"/>
      <c r="I3400" s="32"/>
      <c r="J3400" s="32"/>
      <c r="K3400" s="32"/>
      <c r="L3400" s="32" t="e">
        <f ca="1">_xludf.ifna(VLOOKUP(E3400,Parámetros!$D$2:$E$34,2,0),"")</f>
        <v>#NAME?</v>
      </c>
      <c r="M3400" s="32" t="e">
        <f ca="1">_xludf.ifna(VLOOKUP(G3400,Proyectos!$A$2:$T$674,20,0),"")</f>
        <v>#NAME?</v>
      </c>
      <c r="N3400" s="32" t="e">
        <f ca="1">_xludf.ifna(VLOOKUP(G3400,Proyectos!$A$2:$S$674,19,0))</f>
        <v>#NAME?</v>
      </c>
      <c r="O3400" s="32"/>
      <c r="P3400" s="32"/>
      <c r="Q3400" s="33"/>
      <c r="R3400" s="33"/>
      <c r="S3400" s="33"/>
      <c r="T3400" s="63"/>
      <c r="U3400" s="33"/>
      <c r="V3400" s="33"/>
      <c r="W3400" s="33"/>
    </row>
    <row r="3401" spans="1:23" ht="16.5" customHeight="1" x14ac:dyDescent="0.2">
      <c r="A3401" s="26"/>
      <c r="B3401" s="26"/>
      <c r="C3401" s="26"/>
      <c r="D3401" s="26"/>
      <c r="E3401" s="26"/>
      <c r="F3401" s="28"/>
      <c r="G3401" s="26"/>
      <c r="H3401" s="32"/>
      <c r="I3401" s="32"/>
      <c r="J3401" s="32"/>
      <c r="K3401" s="32"/>
      <c r="L3401" s="32" t="e">
        <f ca="1">_xludf.ifna(VLOOKUP(E3401,Parámetros!$D$2:$E$34,2,0),"")</f>
        <v>#NAME?</v>
      </c>
      <c r="M3401" s="32" t="e">
        <f ca="1">_xludf.ifna(VLOOKUP(G3401,Proyectos!$A$2:$T$674,20,0),"")</f>
        <v>#NAME?</v>
      </c>
      <c r="N3401" s="32" t="e">
        <f ca="1">_xludf.ifna(VLOOKUP(G3401,Proyectos!$A$2:$S$674,19,0))</f>
        <v>#NAME?</v>
      </c>
      <c r="O3401" s="32"/>
      <c r="P3401" s="32"/>
      <c r="Q3401" s="33"/>
      <c r="R3401" s="33"/>
      <c r="S3401" s="33"/>
      <c r="T3401" s="63"/>
      <c r="U3401" s="33"/>
      <c r="V3401" s="33"/>
      <c r="W3401" s="33"/>
    </row>
    <row r="3402" spans="1:23" ht="16.5" customHeight="1" x14ac:dyDescent="0.2">
      <c r="A3402" s="26"/>
      <c r="B3402" s="26"/>
      <c r="C3402" s="26"/>
      <c r="D3402" s="26"/>
      <c r="E3402" s="26"/>
      <c r="F3402" s="28"/>
      <c r="G3402" s="26"/>
      <c r="H3402" s="32"/>
      <c r="I3402" s="32"/>
      <c r="J3402" s="32"/>
      <c r="K3402" s="32"/>
      <c r="L3402" s="32" t="e">
        <f ca="1">_xludf.ifna(VLOOKUP(E3402,Parámetros!$D$2:$E$34,2,0),"")</f>
        <v>#NAME?</v>
      </c>
      <c r="M3402" s="32" t="e">
        <f ca="1">_xludf.ifna(VLOOKUP(G3402,Proyectos!$A$2:$T$674,20,0),"")</f>
        <v>#NAME?</v>
      </c>
      <c r="N3402" s="32" t="e">
        <f ca="1">_xludf.ifna(VLOOKUP(G3402,Proyectos!$A$2:$S$674,19,0))</f>
        <v>#NAME?</v>
      </c>
      <c r="O3402" s="32"/>
      <c r="P3402" s="32"/>
      <c r="Q3402" s="33"/>
      <c r="R3402" s="33"/>
      <c r="S3402" s="33"/>
      <c r="T3402" s="63"/>
      <c r="U3402" s="33"/>
      <c r="V3402" s="33"/>
      <c r="W3402" s="33"/>
    </row>
    <row r="3403" spans="1:23" ht="16.5" customHeight="1" x14ac:dyDescent="0.2">
      <c r="A3403" s="26"/>
      <c r="B3403" s="26"/>
      <c r="C3403" s="26"/>
      <c r="D3403" s="26"/>
      <c r="E3403" s="26"/>
      <c r="F3403" s="28"/>
      <c r="G3403" s="26"/>
      <c r="H3403" s="32"/>
      <c r="I3403" s="32"/>
      <c r="J3403" s="32"/>
      <c r="K3403" s="32"/>
      <c r="L3403" s="32" t="e">
        <f ca="1">_xludf.ifna(VLOOKUP(E3403,Parámetros!$D$2:$E$34,2,0),"")</f>
        <v>#NAME?</v>
      </c>
      <c r="M3403" s="32" t="e">
        <f ca="1">_xludf.ifna(VLOOKUP(G3403,Proyectos!$A$2:$T$674,20,0),"")</f>
        <v>#NAME?</v>
      </c>
      <c r="N3403" s="32" t="e">
        <f ca="1">_xludf.ifna(VLOOKUP(G3403,Proyectos!$A$2:$S$674,19,0))</f>
        <v>#NAME?</v>
      </c>
      <c r="O3403" s="32"/>
      <c r="P3403" s="32"/>
      <c r="Q3403" s="33"/>
      <c r="R3403" s="33"/>
      <c r="S3403" s="33"/>
      <c r="T3403" s="63"/>
      <c r="U3403" s="33"/>
      <c r="V3403" s="33"/>
      <c r="W3403" s="33"/>
    </row>
    <row r="3404" spans="1:23" ht="16.5" customHeight="1" x14ac:dyDescent="0.2">
      <c r="A3404" s="26"/>
      <c r="B3404" s="26"/>
      <c r="C3404" s="26"/>
      <c r="D3404" s="26"/>
      <c r="E3404" s="26"/>
      <c r="F3404" s="28"/>
      <c r="G3404" s="26"/>
      <c r="H3404" s="32"/>
      <c r="I3404" s="32"/>
      <c r="J3404" s="32"/>
      <c r="K3404" s="32"/>
      <c r="L3404" s="32" t="e">
        <f ca="1">_xludf.ifna(VLOOKUP(E3404,Parámetros!$D$2:$E$34,2,0),"")</f>
        <v>#NAME?</v>
      </c>
      <c r="M3404" s="32" t="e">
        <f ca="1">_xludf.ifna(VLOOKUP(G3404,Proyectos!$A$2:$T$674,20,0),"")</f>
        <v>#NAME?</v>
      </c>
      <c r="N3404" s="32" t="e">
        <f ca="1">_xludf.ifna(VLOOKUP(G3404,Proyectos!$A$2:$S$674,19,0))</f>
        <v>#NAME?</v>
      </c>
      <c r="O3404" s="32"/>
      <c r="P3404" s="32"/>
      <c r="Q3404" s="33"/>
      <c r="R3404" s="33"/>
      <c r="S3404" s="33"/>
      <c r="T3404" s="63"/>
      <c r="U3404" s="33"/>
      <c r="V3404" s="33"/>
      <c r="W3404" s="33"/>
    </row>
    <row r="3405" spans="1:23" ht="16.5" customHeight="1" x14ac:dyDescent="0.2">
      <c r="A3405" s="26"/>
      <c r="B3405" s="26"/>
      <c r="C3405" s="26"/>
      <c r="D3405" s="26"/>
      <c r="E3405" s="26"/>
      <c r="F3405" s="28"/>
      <c r="G3405" s="26"/>
      <c r="H3405" s="32"/>
      <c r="I3405" s="32"/>
      <c r="J3405" s="32"/>
      <c r="K3405" s="32"/>
      <c r="L3405" s="32" t="e">
        <f ca="1">_xludf.ifna(VLOOKUP(E3405,Parámetros!$D$2:$E$34,2,0),"")</f>
        <v>#NAME?</v>
      </c>
      <c r="M3405" s="32" t="e">
        <f ca="1">_xludf.ifna(VLOOKUP(G3405,Proyectos!$A$2:$T$674,20,0),"")</f>
        <v>#NAME?</v>
      </c>
      <c r="N3405" s="32" t="e">
        <f ca="1">_xludf.ifna(VLOOKUP(G3405,Proyectos!$A$2:$S$674,19,0))</f>
        <v>#NAME?</v>
      </c>
      <c r="O3405" s="32"/>
      <c r="P3405" s="32"/>
      <c r="Q3405" s="33"/>
      <c r="R3405" s="33"/>
      <c r="S3405" s="33"/>
      <c r="T3405" s="63"/>
      <c r="U3405" s="33"/>
      <c r="V3405" s="33"/>
      <c r="W3405" s="33"/>
    </row>
    <row r="3406" spans="1:23" ht="16.5" customHeight="1" x14ac:dyDescent="0.2">
      <c r="A3406" s="26"/>
      <c r="B3406" s="26"/>
      <c r="C3406" s="26"/>
      <c r="D3406" s="26"/>
      <c r="E3406" s="26"/>
      <c r="F3406" s="28"/>
      <c r="G3406" s="26"/>
      <c r="H3406" s="32"/>
      <c r="I3406" s="32"/>
      <c r="J3406" s="32"/>
      <c r="K3406" s="32"/>
      <c r="L3406" s="32" t="e">
        <f ca="1">_xludf.ifna(VLOOKUP(E3406,Parámetros!$D$2:$E$34,2,0),"")</f>
        <v>#NAME?</v>
      </c>
      <c r="M3406" s="32" t="e">
        <f ca="1">_xludf.ifna(VLOOKUP(G3406,Proyectos!$A$2:$T$674,20,0),"")</f>
        <v>#NAME?</v>
      </c>
      <c r="N3406" s="32" t="e">
        <f ca="1">_xludf.ifna(VLOOKUP(G3406,Proyectos!$A$2:$S$674,19,0))</f>
        <v>#NAME?</v>
      </c>
      <c r="O3406" s="32"/>
      <c r="P3406" s="32"/>
      <c r="Q3406" s="33"/>
      <c r="R3406" s="33"/>
      <c r="S3406" s="33"/>
      <c r="T3406" s="63"/>
      <c r="U3406" s="33"/>
      <c r="V3406" s="33"/>
      <c r="W3406" s="33"/>
    </row>
    <row r="3407" spans="1:23" ht="16.5" customHeight="1" x14ac:dyDescent="0.2">
      <c r="A3407" s="26"/>
      <c r="B3407" s="26"/>
      <c r="C3407" s="26"/>
      <c r="D3407" s="26"/>
      <c r="E3407" s="26"/>
      <c r="F3407" s="28"/>
      <c r="G3407" s="26"/>
      <c r="H3407" s="32"/>
      <c r="I3407" s="32"/>
      <c r="J3407" s="32"/>
      <c r="K3407" s="32"/>
      <c r="L3407" s="32" t="e">
        <f ca="1">_xludf.ifna(VLOOKUP(E3407,Parámetros!$D$2:$E$34,2,0),"")</f>
        <v>#NAME?</v>
      </c>
      <c r="M3407" s="32" t="e">
        <f ca="1">_xludf.ifna(VLOOKUP(G3407,Proyectos!$A$2:$T$674,20,0),"")</f>
        <v>#NAME?</v>
      </c>
      <c r="N3407" s="32" t="e">
        <f ca="1">_xludf.ifna(VLOOKUP(G3407,Proyectos!$A$2:$S$674,19,0))</f>
        <v>#NAME?</v>
      </c>
      <c r="O3407" s="32"/>
      <c r="P3407" s="32"/>
      <c r="Q3407" s="33"/>
      <c r="R3407" s="33"/>
      <c r="S3407" s="33"/>
      <c r="T3407" s="63"/>
      <c r="U3407" s="33"/>
      <c r="V3407" s="33"/>
      <c r="W3407" s="33"/>
    </row>
    <row r="3408" spans="1:23" ht="16.5" customHeight="1" x14ac:dyDescent="0.2">
      <c r="A3408" s="26"/>
      <c r="B3408" s="26"/>
      <c r="C3408" s="26"/>
      <c r="D3408" s="26"/>
      <c r="E3408" s="26"/>
      <c r="F3408" s="28"/>
      <c r="G3408" s="26"/>
      <c r="H3408" s="32"/>
      <c r="I3408" s="32"/>
      <c r="J3408" s="32"/>
      <c r="K3408" s="32"/>
      <c r="L3408" s="32" t="e">
        <f ca="1">_xludf.ifna(VLOOKUP(E3408,Parámetros!$D$2:$E$34,2,0),"")</f>
        <v>#NAME?</v>
      </c>
      <c r="M3408" s="32" t="e">
        <f ca="1">_xludf.ifna(VLOOKUP(G3408,Proyectos!$A$2:$T$674,20,0),"")</f>
        <v>#NAME?</v>
      </c>
      <c r="N3408" s="32" t="e">
        <f ca="1">_xludf.ifna(VLOOKUP(G3408,Proyectos!$A$2:$S$674,19,0))</f>
        <v>#NAME?</v>
      </c>
      <c r="O3408" s="32"/>
      <c r="P3408" s="32"/>
      <c r="Q3408" s="33"/>
      <c r="R3408" s="33"/>
      <c r="S3408" s="33"/>
      <c r="T3408" s="63"/>
      <c r="U3408" s="33"/>
      <c r="V3408" s="33"/>
      <c r="W3408" s="33"/>
    </row>
    <row r="3409" spans="1:23" ht="16.5" customHeight="1" x14ac:dyDescent="0.2">
      <c r="A3409" s="26"/>
      <c r="B3409" s="26"/>
      <c r="C3409" s="26"/>
      <c r="D3409" s="26"/>
      <c r="E3409" s="26"/>
      <c r="F3409" s="28"/>
      <c r="G3409" s="26"/>
      <c r="H3409" s="32"/>
      <c r="I3409" s="32"/>
      <c r="J3409" s="32"/>
      <c r="K3409" s="32"/>
      <c r="L3409" s="32" t="e">
        <f ca="1">_xludf.ifna(VLOOKUP(E3409,Parámetros!$D$2:$E$34,2,0),"")</f>
        <v>#NAME?</v>
      </c>
      <c r="M3409" s="32" t="e">
        <f ca="1">_xludf.ifna(VLOOKUP(G3409,Proyectos!$A$2:$T$674,20,0),"")</f>
        <v>#NAME?</v>
      </c>
      <c r="N3409" s="32" t="e">
        <f ca="1">_xludf.ifna(VLOOKUP(G3409,Proyectos!$A$2:$S$674,19,0))</f>
        <v>#NAME?</v>
      </c>
      <c r="O3409" s="32"/>
      <c r="P3409" s="32"/>
      <c r="Q3409" s="33"/>
      <c r="R3409" s="33"/>
      <c r="S3409" s="33"/>
      <c r="T3409" s="63"/>
      <c r="U3409" s="33"/>
      <c r="V3409" s="33"/>
      <c r="W3409" s="33"/>
    </row>
    <row r="3410" spans="1:23" ht="16.5" customHeight="1" x14ac:dyDescent="0.2">
      <c r="A3410" s="26"/>
      <c r="B3410" s="26"/>
      <c r="C3410" s="26"/>
      <c r="D3410" s="26"/>
      <c r="E3410" s="26"/>
      <c r="F3410" s="28"/>
      <c r="G3410" s="26"/>
      <c r="H3410" s="32"/>
      <c r="I3410" s="32"/>
      <c r="J3410" s="32"/>
      <c r="K3410" s="32"/>
      <c r="L3410" s="32" t="e">
        <f ca="1">_xludf.ifna(VLOOKUP(E3410,Parámetros!$D$2:$E$34,2,0),"")</f>
        <v>#NAME?</v>
      </c>
      <c r="M3410" s="32" t="e">
        <f ca="1">_xludf.ifna(VLOOKUP(G3410,Proyectos!$A$2:$T$674,20,0),"")</f>
        <v>#NAME?</v>
      </c>
      <c r="N3410" s="32" t="e">
        <f ca="1">_xludf.ifna(VLOOKUP(G3410,Proyectos!$A$2:$S$674,19,0))</f>
        <v>#NAME?</v>
      </c>
      <c r="O3410" s="32"/>
      <c r="P3410" s="32"/>
      <c r="Q3410" s="33"/>
      <c r="R3410" s="33"/>
      <c r="S3410" s="33"/>
      <c r="T3410" s="63"/>
      <c r="U3410" s="33"/>
      <c r="V3410" s="33"/>
      <c r="W3410" s="33"/>
    </row>
    <row r="3411" spans="1:23" ht="16.5" customHeight="1" x14ac:dyDescent="0.2">
      <c r="A3411" s="26"/>
      <c r="B3411" s="26"/>
      <c r="C3411" s="26"/>
      <c r="D3411" s="26"/>
      <c r="E3411" s="26"/>
      <c r="F3411" s="28"/>
      <c r="G3411" s="26"/>
      <c r="H3411" s="32"/>
      <c r="I3411" s="32"/>
      <c r="J3411" s="32"/>
      <c r="K3411" s="32"/>
      <c r="L3411" s="32" t="e">
        <f ca="1">_xludf.ifna(VLOOKUP(E3411,Parámetros!$D$2:$E$34,2,0),"")</f>
        <v>#NAME?</v>
      </c>
      <c r="M3411" s="32" t="e">
        <f ca="1">_xludf.ifna(VLOOKUP(G3411,Proyectos!$A$2:$T$674,20,0),"")</f>
        <v>#NAME?</v>
      </c>
      <c r="N3411" s="32" t="e">
        <f ca="1">_xludf.ifna(VLOOKUP(G3411,Proyectos!$A$2:$S$674,19,0))</f>
        <v>#NAME?</v>
      </c>
      <c r="O3411" s="32"/>
      <c r="P3411" s="32"/>
      <c r="Q3411" s="33"/>
      <c r="R3411" s="33"/>
      <c r="S3411" s="33"/>
      <c r="T3411" s="63"/>
      <c r="U3411" s="33"/>
      <c r="V3411" s="33"/>
      <c r="W3411" s="33"/>
    </row>
    <row r="3412" spans="1:23" ht="16.5" customHeight="1" x14ac:dyDescent="0.2">
      <c r="A3412" s="26"/>
      <c r="B3412" s="26"/>
      <c r="C3412" s="26"/>
      <c r="D3412" s="26"/>
      <c r="E3412" s="26"/>
      <c r="F3412" s="28"/>
      <c r="G3412" s="26"/>
      <c r="H3412" s="32"/>
      <c r="I3412" s="32"/>
      <c r="J3412" s="32"/>
      <c r="K3412" s="32"/>
      <c r="L3412" s="32" t="e">
        <f ca="1">_xludf.ifna(VLOOKUP(E3412,Parámetros!$D$2:$E$34,2,0),"")</f>
        <v>#NAME?</v>
      </c>
      <c r="M3412" s="32" t="e">
        <f ca="1">_xludf.ifna(VLOOKUP(G3412,Proyectos!$A$2:$T$674,20,0),"")</f>
        <v>#NAME?</v>
      </c>
      <c r="N3412" s="32" t="e">
        <f ca="1">_xludf.ifna(VLOOKUP(G3412,Proyectos!$A$2:$S$674,19,0))</f>
        <v>#NAME?</v>
      </c>
      <c r="O3412" s="32"/>
      <c r="P3412" s="32"/>
      <c r="Q3412" s="33"/>
      <c r="R3412" s="33"/>
      <c r="S3412" s="33"/>
      <c r="T3412" s="63"/>
      <c r="U3412" s="33"/>
      <c r="V3412" s="33"/>
      <c r="W3412" s="33"/>
    </row>
    <row r="3413" spans="1:23" ht="16.5" customHeight="1" x14ac:dyDescent="0.2">
      <c r="A3413" s="26"/>
      <c r="B3413" s="26"/>
      <c r="C3413" s="26"/>
      <c r="D3413" s="26"/>
      <c r="E3413" s="26"/>
      <c r="F3413" s="28"/>
      <c r="G3413" s="26"/>
      <c r="H3413" s="32"/>
      <c r="I3413" s="32"/>
      <c r="J3413" s="32"/>
      <c r="K3413" s="32"/>
      <c r="L3413" s="32" t="e">
        <f ca="1">_xludf.ifna(VLOOKUP(E3413,Parámetros!$D$2:$E$34,2,0),"")</f>
        <v>#NAME?</v>
      </c>
      <c r="M3413" s="32" t="e">
        <f ca="1">_xludf.ifna(VLOOKUP(G3413,Proyectos!$A$2:$T$674,20,0),"")</f>
        <v>#NAME?</v>
      </c>
      <c r="N3413" s="32" t="e">
        <f ca="1">_xludf.ifna(VLOOKUP(G3413,Proyectos!$A$2:$S$674,19,0))</f>
        <v>#NAME?</v>
      </c>
      <c r="O3413" s="32"/>
      <c r="P3413" s="32"/>
      <c r="Q3413" s="33"/>
      <c r="R3413" s="33"/>
      <c r="S3413" s="33"/>
      <c r="T3413" s="63"/>
      <c r="U3413" s="33"/>
      <c r="V3413" s="33"/>
      <c r="W3413" s="33"/>
    </row>
    <row r="3414" spans="1:23" ht="16.5" customHeight="1" x14ac:dyDescent="0.2">
      <c r="A3414" s="26"/>
      <c r="B3414" s="26"/>
      <c r="C3414" s="26"/>
      <c r="D3414" s="26"/>
      <c r="E3414" s="26"/>
      <c r="F3414" s="28"/>
      <c r="G3414" s="26"/>
      <c r="H3414" s="32"/>
      <c r="I3414" s="32"/>
      <c r="J3414" s="32"/>
      <c r="K3414" s="32"/>
      <c r="L3414" s="32" t="e">
        <f ca="1">_xludf.ifna(VLOOKUP(E3414,Parámetros!$D$2:$E$34,2,0),"")</f>
        <v>#NAME?</v>
      </c>
      <c r="M3414" s="32" t="e">
        <f ca="1">_xludf.ifna(VLOOKUP(G3414,Proyectos!$A$2:$T$674,20,0),"")</f>
        <v>#NAME?</v>
      </c>
      <c r="N3414" s="32" t="e">
        <f ca="1">_xludf.ifna(VLOOKUP(G3414,Proyectos!$A$2:$S$674,19,0))</f>
        <v>#NAME?</v>
      </c>
      <c r="O3414" s="32"/>
      <c r="P3414" s="32"/>
      <c r="Q3414" s="33"/>
      <c r="R3414" s="33"/>
      <c r="S3414" s="33"/>
      <c r="T3414" s="63"/>
      <c r="U3414" s="33"/>
      <c r="V3414" s="33"/>
      <c r="W3414" s="33"/>
    </row>
    <row r="3415" spans="1:23" ht="16.5" customHeight="1" x14ac:dyDescent="0.2">
      <c r="A3415" s="26"/>
      <c r="B3415" s="26"/>
      <c r="C3415" s="26"/>
      <c r="D3415" s="26"/>
      <c r="E3415" s="26"/>
      <c r="F3415" s="28"/>
      <c r="G3415" s="26"/>
      <c r="H3415" s="32"/>
      <c r="I3415" s="32"/>
      <c r="J3415" s="32"/>
      <c r="K3415" s="32"/>
      <c r="L3415" s="32" t="e">
        <f ca="1">_xludf.ifna(VLOOKUP(E3415,Parámetros!$D$2:$E$34,2,0),"")</f>
        <v>#NAME?</v>
      </c>
      <c r="M3415" s="32" t="e">
        <f ca="1">_xludf.ifna(VLOOKUP(G3415,Proyectos!$A$2:$T$674,20,0),"")</f>
        <v>#NAME?</v>
      </c>
      <c r="N3415" s="32" t="e">
        <f ca="1">_xludf.ifna(VLOOKUP(G3415,Proyectos!$A$2:$S$674,19,0))</f>
        <v>#NAME?</v>
      </c>
      <c r="O3415" s="32"/>
      <c r="P3415" s="32"/>
      <c r="Q3415" s="33"/>
      <c r="R3415" s="33"/>
      <c r="S3415" s="33"/>
      <c r="T3415" s="63"/>
      <c r="U3415" s="33"/>
      <c r="V3415" s="33"/>
      <c r="W3415" s="33"/>
    </row>
    <row r="3416" spans="1:23" ht="16.5" customHeight="1" x14ac:dyDescent="0.2">
      <c r="A3416" s="26"/>
      <c r="B3416" s="26"/>
      <c r="C3416" s="26"/>
      <c r="D3416" s="26"/>
      <c r="E3416" s="26"/>
      <c r="F3416" s="28"/>
      <c r="G3416" s="26"/>
      <c r="H3416" s="32"/>
      <c r="I3416" s="32"/>
      <c r="J3416" s="32"/>
      <c r="K3416" s="32"/>
      <c r="L3416" s="32" t="e">
        <f ca="1">_xludf.ifna(VLOOKUP(E3416,Parámetros!$D$2:$E$34,2,0),"")</f>
        <v>#NAME?</v>
      </c>
      <c r="M3416" s="32" t="e">
        <f ca="1">_xludf.ifna(VLOOKUP(G3416,Proyectos!$A$2:$T$674,20,0),"")</f>
        <v>#NAME?</v>
      </c>
      <c r="N3416" s="32" t="e">
        <f ca="1">_xludf.ifna(VLOOKUP(G3416,Proyectos!$A$2:$S$674,19,0))</f>
        <v>#NAME?</v>
      </c>
      <c r="O3416" s="32"/>
      <c r="P3416" s="32"/>
      <c r="Q3416" s="33"/>
      <c r="R3416" s="33"/>
      <c r="S3416" s="33"/>
      <c r="T3416" s="63"/>
      <c r="U3416" s="33"/>
      <c r="V3416" s="33"/>
      <c r="W3416" s="33"/>
    </row>
    <row r="3417" spans="1:23" ht="16.5" customHeight="1" x14ac:dyDescent="0.2">
      <c r="A3417" s="26"/>
      <c r="B3417" s="26"/>
      <c r="C3417" s="26"/>
      <c r="D3417" s="26"/>
      <c r="E3417" s="26"/>
      <c r="F3417" s="28"/>
      <c r="G3417" s="26"/>
      <c r="H3417" s="32"/>
      <c r="I3417" s="32"/>
      <c r="J3417" s="32"/>
      <c r="K3417" s="32"/>
      <c r="L3417" s="32" t="e">
        <f ca="1">_xludf.ifna(VLOOKUP(E3417,Parámetros!$D$2:$E$34,2,0),"")</f>
        <v>#NAME?</v>
      </c>
      <c r="M3417" s="32" t="e">
        <f ca="1">_xludf.ifna(VLOOKUP(G3417,Proyectos!$A$2:$T$674,20,0),"")</f>
        <v>#NAME?</v>
      </c>
      <c r="N3417" s="32" t="e">
        <f ca="1">_xludf.ifna(VLOOKUP(G3417,Proyectos!$A$2:$S$674,19,0))</f>
        <v>#NAME?</v>
      </c>
      <c r="O3417" s="32"/>
      <c r="P3417" s="32"/>
      <c r="Q3417" s="33"/>
      <c r="R3417" s="33"/>
      <c r="S3417" s="33"/>
      <c r="T3417" s="63"/>
      <c r="U3417" s="33"/>
      <c r="V3417" s="33"/>
      <c r="W3417" s="33"/>
    </row>
    <row r="3418" spans="1:23" ht="16.5" customHeight="1" x14ac:dyDescent="0.2">
      <c r="A3418" s="26"/>
      <c r="B3418" s="26"/>
      <c r="C3418" s="26"/>
      <c r="D3418" s="26"/>
      <c r="E3418" s="26"/>
      <c r="F3418" s="28"/>
      <c r="G3418" s="26"/>
      <c r="H3418" s="32"/>
      <c r="I3418" s="32"/>
      <c r="J3418" s="32"/>
      <c r="K3418" s="32"/>
      <c r="L3418" s="32" t="e">
        <f ca="1">_xludf.ifna(VLOOKUP(E3418,Parámetros!$D$2:$E$34,2,0),"")</f>
        <v>#NAME?</v>
      </c>
      <c r="M3418" s="32" t="e">
        <f ca="1">_xludf.ifna(VLOOKUP(G3418,Proyectos!$A$2:$T$674,20,0),"")</f>
        <v>#NAME?</v>
      </c>
      <c r="N3418" s="32" t="e">
        <f ca="1">_xludf.ifna(VLOOKUP(G3418,Proyectos!$A$2:$S$674,19,0))</f>
        <v>#NAME?</v>
      </c>
      <c r="O3418" s="32"/>
      <c r="P3418" s="32"/>
      <c r="Q3418" s="33"/>
      <c r="R3418" s="33"/>
      <c r="S3418" s="33"/>
      <c r="T3418" s="63"/>
      <c r="U3418" s="33"/>
      <c r="V3418" s="33"/>
      <c r="W3418" s="33"/>
    </row>
    <row r="3419" spans="1:23" ht="16.5" customHeight="1" x14ac:dyDescent="0.2">
      <c r="A3419" s="26"/>
      <c r="B3419" s="26"/>
      <c r="C3419" s="26"/>
      <c r="D3419" s="26"/>
      <c r="E3419" s="26"/>
      <c r="F3419" s="28"/>
      <c r="G3419" s="26"/>
      <c r="H3419" s="32"/>
      <c r="I3419" s="32"/>
      <c r="J3419" s="32"/>
      <c r="K3419" s="32"/>
      <c r="L3419" s="32" t="e">
        <f ca="1">_xludf.ifna(VLOOKUP(E3419,Parámetros!$D$2:$E$34,2,0),"")</f>
        <v>#NAME?</v>
      </c>
      <c r="M3419" s="32" t="e">
        <f ca="1">_xludf.ifna(VLOOKUP(G3419,Proyectos!$A$2:$T$674,20,0),"")</f>
        <v>#NAME?</v>
      </c>
      <c r="N3419" s="32" t="e">
        <f ca="1">_xludf.ifna(VLOOKUP(G3419,Proyectos!$A$2:$S$674,19,0))</f>
        <v>#NAME?</v>
      </c>
      <c r="O3419" s="32"/>
      <c r="P3419" s="32"/>
      <c r="Q3419" s="33"/>
      <c r="R3419" s="33"/>
      <c r="S3419" s="33"/>
      <c r="T3419" s="63"/>
      <c r="U3419" s="33"/>
      <c r="V3419" s="33"/>
      <c r="W3419" s="33"/>
    </row>
    <row r="3420" spans="1:23" ht="16.5" customHeight="1" x14ac:dyDescent="0.2">
      <c r="A3420" s="26"/>
      <c r="B3420" s="26"/>
      <c r="C3420" s="26"/>
      <c r="D3420" s="26"/>
      <c r="E3420" s="26"/>
      <c r="F3420" s="28"/>
      <c r="G3420" s="26"/>
      <c r="H3420" s="32"/>
      <c r="I3420" s="32"/>
      <c r="J3420" s="32"/>
      <c r="K3420" s="32"/>
      <c r="L3420" s="32" t="e">
        <f ca="1">_xludf.ifna(VLOOKUP(E3420,Parámetros!$D$2:$E$34,2,0),"")</f>
        <v>#NAME?</v>
      </c>
      <c r="M3420" s="32" t="e">
        <f ca="1">_xludf.ifna(VLOOKUP(G3420,Proyectos!$A$2:$T$674,20,0),"")</f>
        <v>#NAME?</v>
      </c>
      <c r="N3420" s="32" t="e">
        <f ca="1">_xludf.ifna(VLOOKUP(G3420,Proyectos!$A$2:$S$674,19,0))</f>
        <v>#NAME?</v>
      </c>
      <c r="O3420" s="32"/>
      <c r="P3420" s="32"/>
      <c r="Q3420" s="33"/>
      <c r="R3420" s="33"/>
      <c r="S3420" s="33"/>
      <c r="T3420" s="63"/>
      <c r="U3420" s="33"/>
      <c r="V3420" s="33"/>
      <c r="W3420" s="33"/>
    </row>
    <row r="3421" spans="1:23" ht="16.5" customHeight="1" x14ac:dyDescent="0.2">
      <c r="A3421" s="26"/>
      <c r="B3421" s="26"/>
      <c r="C3421" s="26"/>
      <c r="D3421" s="26"/>
      <c r="E3421" s="26"/>
      <c r="F3421" s="28"/>
      <c r="G3421" s="26"/>
      <c r="H3421" s="32"/>
      <c r="I3421" s="32"/>
      <c r="J3421" s="32"/>
      <c r="K3421" s="32"/>
      <c r="L3421" s="32" t="e">
        <f ca="1">_xludf.ifna(VLOOKUP(E3421,Parámetros!$D$2:$E$34,2,0),"")</f>
        <v>#NAME?</v>
      </c>
      <c r="M3421" s="32" t="e">
        <f ca="1">_xludf.ifna(VLOOKUP(G3421,Proyectos!$A$2:$T$674,20,0),"")</f>
        <v>#NAME?</v>
      </c>
      <c r="N3421" s="32" t="e">
        <f ca="1">_xludf.ifna(VLOOKUP(G3421,Proyectos!$A$2:$S$674,19,0))</f>
        <v>#NAME?</v>
      </c>
      <c r="O3421" s="32"/>
      <c r="P3421" s="32"/>
      <c r="Q3421" s="33"/>
      <c r="R3421" s="33"/>
      <c r="S3421" s="33"/>
      <c r="T3421" s="63"/>
      <c r="U3421" s="33"/>
      <c r="V3421" s="33"/>
      <c r="W3421" s="33"/>
    </row>
    <row r="3422" spans="1:23" ht="16.5" customHeight="1" x14ac:dyDescent="0.2">
      <c r="A3422" s="26"/>
      <c r="B3422" s="26"/>
      <c r="C3422" s="26"/>
      <c r="D3422" s="26"/>
      <c r="E3422" s="26"/>
      <c r="F3422" s="28"/>
      <c r="G3422" s="26"/>
      <c r="H3422" s="32"/>
      <c r="I3422" s="32"/>
      <c r="J3422" s="32"/>
      <c r="K3422" s="32"/>
      <c r="L3422" s="32" t="e">
        <f ca="1">_xludf.ifna(VLOOKUP(E3422,Parámetros!$D$2:$E$34,2,0),"")</f>
        <v>#NAME?</v>
      </c>
      <c r="M3422" s="32" t="e">
        <f ca="1">_xludf.ifna(VLOOKUP(G3422,Proyectos!$A$2:$T$674,20,0),"")</f>
        <v>#NAME?</v>
      </c>
      <c r="N3422" s="32" t="e">
        <f ca="1">_xludf.ifna(VLOOKUP(G3422,Proyectos!$A$2:$S$674,19,0))</f>
        <v>#NAME?</v>
      </c>
      <c r="O3422" s="32"/>
      <c r="P3422" s="32"/>
      <c r="Q3422" s="33"/>
      <c r="R3422" s="33"/>
      <c r="S3422" s="33"/>
      <c r="T3422" s="63"/>
      <c r="U3422" s="33"/>
      <c r="V3422" s="33"/>
      <c r="W3422" s="33"/>
    </row>
    <row r="3423" spans="1:23" ht="16.5" customHeight="1" x14ac:dyDescent="0.2">
      <c r="A3423" s="26"/>
      <c r="B3423" s="26"/>
      <c r="C3423" s="26"/>
      <c r="D3423" s="26"/>
      <c r="E3423" s="26"/>
      <c r="F3423" s="28"/>
      <c r="G3423" s="26"/>
      <c r="H3423" s="32"/>
      <c r="I3423" s="32"/>
      <c r="J3423" s="32"/>
      <c r="K3423" s="32"/>
      <c r="L3423" s="32" t="e">
        <f ca="1">_xludf.ifna(VLOOKUP(E3423,Parámetros!$D$2:$E$34,2,0),"")</f>
        <v>#NAME?</v>
      </c>
      <c r="M3423" s="32" t="e">
        <f ca="1">_xludf.ifna(VLOOKUP(G3423,Proyectos!$A$2:$T$674,20,0),"")</f>
        <v>#NAME?</v>
      </c>
      <c r="N3423" s="32" t="e">
        <f ca="1">_xludf.ifna(VLOOKUP(G3423,Proyectos!$A$2:$S$674,19,0))</f>
        <v>#NAME?</v>
      </c>
      <c r="O3423" s="32"/>
      <c r="P3423" s="32"/>
      <c r="Q3423" s="33"/>
      <c r="R3423" s="33"/>
      <c r="S3423" s="33"/>
      <c r="T3423" s="63"/>
      <c r="U3423" s="33"/>
      <c r="V3423" s="33"/>
      <c r="W3423" s="33"/>
    </row>
    <row r="3424" spans="1:23" ht="16.5" customHeight="1" x14ac:dyDescent="0.2">
      <c r="A3424" s="26"/>
      <c r="B3424" s="26"/>
      <c r="C3424" s="26"/>
      <c r="D3424" s="26"/>
      <c r="E3424" s="26"/>
      <c r="F3424" s="28"/>
      <c r="G3424" s="26"/>
      <c r="H3424" s="32"/>
      <c r="I3424" s="32"/>
      <c r="J3424" s="32"/>
      <c r="K3424" s="32"/>
      <c r="L3424" s="32" t="e">
        <f ca="1">_xludf.ifna(VLOOKUP(E3424,Parámetros!$D$2:$E$34,2,0),"")</f>
        <v>#NAME?</v>
      </c>
      <c r="M3424" s="32" t="e">
        <f ca="1">_xludf.ifna(VLOOKUP(G3424,Proyectos!$A$2:$T$674,20,0),"")</f>
        <v>#NAME?</v>
      </c>
      <c r="N3424" s="32" t="e">
        <f ca="1">_xludf.ifna(VLOOKUP(G3424,Proyectos!$A$2:$S$674,19,0))</f>
        <v>#NAME?</v>
      </c>
      <c r="O3424" s="32"/>
      <c r="P3424" s="32"/>
      <c r="Q3424" s="33"/>
      <c r="R3424" s="33"/>
      <c r="S3424" s="33"/>
      <c r="T3424" s="63"/>
      <c r="U3424" s="33"/>
      <c r="V3424" s="33"/>
      <c r="W3424" s="33"/>
    </row>
    <row r="3425" spans="1:23" ht="16.5" customHeight="1" x14ac:dyDescent="0.2">
      <c r="A3425" s="26"/>
      <c r="B3425" s="26"/>
      <c r="C3425" s="26"/>
      <c r="D3425" s="26"/>
      <c r="E3425" s="26"/>
      <c r="F3425" s="28"/>
      <c r="G3425" s="26"/>
      <c r="H3425" s="32"/>
      <c r="I3425" s="32"/>
      <c r="J3425" s="32"/>
      <c r="K3425" s="32"/>
      <c r="L3425" s="32" t="e">
        <f ca="1">_xludf.ifna(VLOOKUP(E3425,Parámetros!$D$2:$E$34,2,0),"")</f>
        <v>#NAME?</v>
      </c>
      <c r="M3425" s="32" t="e">
        <f ca="1">_xludf.ifna(VLOOKUP(G3425,Proyectos!$A$2:$T$674,20,0),"")</f>
        <v>#NAME?</v>
      </c>
      <c r="N3425" s="32" t="e">
        <f ca="1">_xludf.ifna(VLOOKUP(G3425,Proyectos!$A$2:$S$674,19,0))</f>
        <v>#NAME?</v>
      </c>
      <c r="O3425" s="32"/>
      <c r="P3425" s="32"/>
      <c r="Q3425" s="33"/>
      <c r="R3425" s="33"/>
      <c r="S3425" s="33"/>
      <c r="T3425" s="63"/>
      <c r="U3425" s="33"/>
      <c r="V3425" s="33"/>
      <c r="W3425" s="33"/>
    </row>
    <row r="3426" spans="1:23" ht="16.5" customHeight="1" x14ac:dyDescent="0.2">
      <c r="A3426" s="26"/>
      <c r="B3426" s="26"/>
      <c r="C3426" s="26"/>
      <c r="D3426" s="26"/>
      <c r="E3426" s="26"/>
      <c r="F3426" s="28"/>
      <c r="G3426" s="26"/>
      <c r="H3426" s="32"/>
      <c r="I3426" s="32"/>
      <c r="J3426" s="32"/>
      <c r="K3426" s="32"/>
      <c r="L3426" s="32" t="e">
        <f ca="1">_xludf.ifna(VLOOKUP(E3426,Parámetros!$D$2:$E$34,2,0),"")</f>
        <v>#NAME?</v>
      </c>
      <c r="M3426" s="32" t="e">
        <f ca="1">_xludf.ifna(VLOOKUP(G3426,Proyectos!$A$2:$T$674,20,0),"")</f>
        <v>#NAME?</v>
      </c>
      <c r="N3426" s="32" t="e">
        <f ca="1">_xludf.ifna(VLOOKUP(G3426,Proyectos!$A$2:$S$674,19,0))</f>
        <v>#NAME?</v>
      </c>
      <c r="O3426" s="32"/>
      <c r="P3426" s="32"/>
      <c r="Q3426" s="33"/>
      <c r="R3426" s="33"/>
      <c r="S3426" s="33"/>
      <c r="T3426" s="63"/>
      <c r="U3426" s="33"/>
      <c r="V3426" s="33"/>
      <c r="W3426" s="33"/>
    </row>
    <row r="3427" spans="1:23" ht="16.5" customHeight="1" x14ac:dyDescent="0.2">
      <c r="A3427" s="26"/>
      <c r="B3427" s="26"/>
      <c r="C3427" s="26"/>
      <c r="D3427" s="26"/>
      <c r="E3427" s="26"/>
      <c r="F3427" s="28"/>
      <c r="G3427" s="26"/>
      <c r="H3427" s="32"/>
      <c r="I3427" s="32"/>
      <c r="J3427" s="32"/>
      <c r="K3427" s="32"/>
      <c r="L3427" s="32" t="e">
        <f ca="1">_xludf.ifna(VLOOKUP(E3427,Parámetros!$D$2:$E$34,2,0),"")</f>
        <v>#NAME?</v>
      </c>
      <c r="M3427" s="32" t="e">
        <f ca="1">_xludf.ifna(VLOOKUP(G3427,Proyectos!$A$2:$T$674,20,0),"")</f>
        <v>#NAME?</v>
      </c>
      <c r="N3427" s="32" t="e">
        <f ca="1">_xludf.ifna(VLOOKUP(G3427,Proyectos!$A$2:$S$674,19,0))</f>
        <v>#NAME?</v>
      </c>
      <c r="O3427" s="32"/>
      <c r="P3427" s="32"/>
      <c r="Q3427" s="33"/>
      <c r="R3427" s="33"/>
      <c r="S3427" s="33"/>
      <c r="T3427" s="63"/>
      <c r="U3427" s="33"/>
      <c r="V3427" s="33"/>
      <c r="W3427" s="33"/>
    </row>
    <row r="3428" spans="1:23" ht="16.5" customHeight="1" x14ac:dyDescent="0.2">
      <c r="A3428" s="26"/>
      <c r="B3428" s="26"/>
      <c r="C3428" s="26"/>
      <c r="D3428" s="26"/>
      <c r="E3428" s="26"/>
      <c r="F3428" s="28"/>
      <c r="G3428" s="26"/>
      <c r="H3428" s="32"/>
      <c r="I3428" s="32"/>
      <c r="J3428" s="32"/>
      <c r="K3428" s="32"/>
      <c r="L3428" s="32" t="e">
        <f ca="1">_xludf.ifna(VLOOKUP(E3428,Parámetros!$D$2:$E$34,2,0),"")</f>
        <v>#NAME?</v>
      </c>
      <c r="M3428" s="32" t="e">
        <f ca="1">_xludf.ifna(VLOOKUP(G3428,Proyectos!$A$2:$T$674,20,0),"")</f>
        <v>#NAME?</v>
      </c>
      <c r="N3428" s="32" t="e">
        <f ca="1">_xludf.ifna(VLOOKUP(G3428,Proyectos!$A$2:$S$674,19,0))</f>
        <v>#NAME?</v>
      </c>
      <c r="O3428" s="32"/>
      <c r="P3428" s="32"/>
      <c r="Q3428" s="33"/>
      <c r="R3428" s="33"/>
      <c r="S3428" s="33"/>
      <c r="T3428" s="63"/>
      <c r="U3428" s="33"/>
      <c r="V3428" s="33"/>
      <c r="W3428" s="33"/>
    </row>
    <row r="3429" spans="1:23" ht="16.5" customHeight="1" x14ac:dyDescent="0.2">
      <c r="A3429" s="26"/>
      <c r="B3429" s="26"/>
      <c r="C3429" s="26"/>
      <c r="D3429" s="26"/>
      <c r="E3429" s="26"/>
      <c r="F3429" s="28"/>
      <c r="G3429" s="26"/>
      <c r="H3429" s="32"/>
      <c r="I3429" s="32"/>
      <c r="J3429" s="32"/>
      <c r="K3429" s="32"/>
      <c r="L3429" s="32" t="e">
        <f ca="1">_xludf.ifna(VLOOKUP(E3429,Parámetros!$D$2:$E$34,2,0),"")</f>
        <v>#NAME?</v>
      </c>
      <c r="M3429" s="32" t="e">
        <f ca="1">_xludf.ifna(VLOOKUP(G3429,Proyectos!$A$2:$T$674,20,0),"")</f>
        <v>#NAME?</v>
      </c>
      <c r="N3429" s="32" t="e">
        <f ca="1">_xludf.ifna(VLOOKUP(G3429,Proyectos!$A$2:$S$674,19,0))</f>
        <v>#NAME?</v>
      </c>
      <c r="O3429" s="32"/>
      <c r="P3429" s="32"/>
      <c r="Q3429" s="33"/>
      <c r="R3429" s="33"/>
      <c r="S3429" s="33"/>
      <c r="T3429" s="63"/>
      <c r="U3429" s="33"/>
      <c r="V3429" s="33"/>
      <c r="W3429" s="33"/>
    </row>
    <row r="3430" spans="1:23" ht="16.5" customHeight="1" x14ac:dyDescent="0.2">
      <c r="A3430" s="26"/>
      <c r="B3430" s="26"/>
      <c r="C3430" s="26"/>
      <c r="D3430" s="26"/>
      <c r="E3430" s="26"/>
      <c r="F3430" s="28"/>
      <c r="G3430" s="26"/>
      <c r="H3430" s="32"/>
      <c r="I3430" s="32"/>
      <c r="J3430" s="32"/>
      <c r="K3430" s="32"/>
      <c r="L3430" s="32" t="e">
        <f ca="1">_xludf.ifna(VLOOKUP(E3430,Parámetros!$D$2:$E$34,2,0),"")</f>
        <v>#NAME?</v>
      </c>
      <c r="M3430" s="32" t="e">
        <f ca="1">_xludf.ifna(VLOOKUP(G3430,Proyectos!$A$2:$T$674,20,0),"")</f>
        <v>#NAME?</v>
      </c>
      <c r="N3430" s="32" t="e">
        <f ca="1">_xludf.ifna(VLOOKUP(G3430,Proyectos!$A$2:$S$674,19,0))</f>
        <v>#NAME?</v>
      </c>
      <c r="O3430" s="32"/>
      <c r="P3430" s="32"/>
      <c r="Q3430" s="33"/>
      <c r="R3430" s="33"/>
      <c r="S3430" s="33"/>
      <c r="T3430" s="63"/>
      <c r="U3430" s="33"/>
      <c r="V3430" s="33"/>
      <c r="W3430" s="33"/>
    </row>
    <row r="3431" spans="1:23" ht="16.5" customHeight="1" x14ac:dyDescent="0.2">
      <c r="A3431" s="26"/>
      <c r="B3431" s="26"/>
      <c r="C3431" s="26"/>
      <c r="D3431" s="26"/>
      <c r="E3431" s="26"/>
      <c r="F3431" s="28"/>
      <c r="G3431" s="26"/>
      <c r="H3431" s="32"/>
      <c r="I3431" s="32"/>
      <c r="J3431" s="32"/>
      <c r="K3431" s="32"/>
      <c r="L3431" s="32" t="e">
        <f ca="1">_xludf.ifna(VLOOKUP(E3431,Parámetros!$D$2:$E$34,2,0),"")</f>
        <v>#NAME?</v>
      </c>
      <c r="M3431" s="32" t="e">
        <f ca="1">_xludf.ifna(VLOOKUP(G3431,Proyectos!$A$2:$T$674,20,0),"")</f>
        <v>#NAME?</v>
      </c>
      <c r="N3431" s="32" t="e">
        <f ca="1">_xludf.ifna(VLOOKUP(G3431,Proyectos!$A$2:$S$674,19,0))</f>
        <v>#NAME?</v>
      </c>
      <c r="O3431" s="32"/>
      <c r="P3431" s="32"/>
      <c r="Q3431" s="33"/>
      <c r="R3431" s="33"/>
      <c r="S3431" s="33"/>
      <c r="T3431" s="63"/>
      <c r="U3431" s="33"/>
      <c r="V3431" s="33"/>
      <c r="W3431" s="33"/>
    </row>
    <row r="3432" spans="1:23" ht="16.5" customHeight="1" x14ac:dyDescent="0.2">
      <c r="A3432" s="26"/>
      <c r="B3432" s="26"/>
      <c r="C3432" s="26"/>
      <c r="D3432" s="26"/>
      <c r="E3432" s="26"/>
      <c r="F3432" s="28"/>
      <c r="G3432" s="26"/>
      <c r="H3432" s="32"/>
      <c r="I3432" s="32"/>
      <c r="J3432" s="32"/>
      <c r="K3432" s="32"/>
      <c r="L3432" s="32" t="e">
        <f ca="1">_xludf.ifna(VLOOKUP(E3432,Parámetros!$D$2:$E$34,2,0),"")</f>
        <v>#NAME?</v>
      </c>
      <c r="M3432" s="32" t="e">
        <f ca="1">_xludf.ifna(VLOOKUP(G3432,Proyectos!$A$2:$T$674,20,0),"")</f>
        <v>#NAME?</v>
      </c>
      <c r="N3432" s="32" t="e">
        <f ca="1">_xludf.ifna(VLOOKUP(G3432,Proyectos!$A$2:$S$674,19,0))</f>
        <v>#NAME?</v>
      </c>
      <c r="O3432" s="32"/>
      <c r="P3432" s="32"/>
      <c r="Q3432" s="33"/>
      <c r="R3432" s="33"/>
      <c r="S3432" s="33"/>
      <c r="T3432" s="63"/>
      <c r="U3432" s="33"/>
      <c r="V3432" s="33"/>
      <c r="W3432" s="33"/>
    </row>
    <row r="3433" spans="1:23" ht="16.5" customHeight="1" x14ac:dyDescent="0.2">
      <c r="A3433" s="26"/>
      <c r="B3433" s="26"/>
      <c r="C3433" s="26"/>
      <c r="D3433" s="26"/>
      <c r="E3433" s="26"/>
      <c r="F3433" s="28"/>
      <c r="G3433" s="26"/>
      <c r="H3433" s="32"/>
      <c r="I3433" s="32"/>
      <c r="J3433" s="32"/>
      <c r="K3433" s="32"/>
      <c r="L3433" s="32" t="e">
        <f ca="1">_xludf.ifna(VLOOKUP(E3433,Parámetros!$D$2:$E$34,2,0),"")</f>
        <v>#NAME?</v>
      </c>
      <c r="M3433" s="32" t="e">
        <f ca="1">_xludf.ifna(VLOOKUP(G3433,Proyectos!$A$2:$T$674,20,0),"")</f>
        <v>#NAME?</v>
      </c>
      <c r="N3433" s="32" t="e">
        <f ca="1">_xludf.ifna(VLOOKUP(G3433,Proyectos!$A$2:$S$674,19,0))</f>
        <v>#NAME?</v>
      </c>
      <c r="O3433" s="32"/>
      <c r="P3433" s="32"/>
      <c r="Q3433" s="33"/>
      <c r="R3433" s="33"/>
      <c r="S3433" s="33"/>
      <c r="T3433" s="63"/>
      <c r="U3433" s="33"/>
      <c r="V3433" s="33"/>
      <c r="W3433" s="33"/>
    </row>
    <row r="3434" spans="1:23" ht="16.5" customHeight="1" x14ac:dyDescent="0.2">
      <c r="A3434" s="26"/>
      <c r="B3434" s="26"/>
      <c r="C3434" s="26"/>
      <c r="D3434" s="26"/>
      <c r="E3434" s="26"/>
      <c r="F3434" s="28"/>
      <c r="G3434" s="26"/>
      <c r="H3434" s="32"/>
      <c r="I3434" s="32"/>
      <c r="J3434" s="32"/>
      <c r="K3434" s="32"/>
      <c r="L3434" s="32" t="e">
        <f ca="1">_xludf.ifna(VLOOKUP(E3434,Parámetros!$D$2:$E$34,2,0),"")</f>
        <v>#NAME?</v>
      </c>
      <c r="M3434" s="32" t="e">
        <f ca="1">_xludf.ifna(VLOOKUP(G3434,Proyectos!$A$2:$T$674,20,0),"")</f>
        <v>#NAME?</v>
      </c>
      <c r="N3434" s="32" t="e">
        <f ca="1">_xludf.ifna(VLOOKUP(G3434,Proyectos!$A$2:$S$674,19,0))</f>
        <v>#NAME?</v>
      </c>
      <c r="O3434" s="32"/>
      <c r="P3434" s="32"/>
      <c r="Q3434" s="33"/>
      <c r="R3434" s="33"/>
      <c r="S3434" s="33"/>
      <c r="T3434" s="63"/>
      <c r="U3434" s="33"/>
      <c r="V3434" s="33"/>
      <c r="W3434" s="33"/>
    </row>
    <row r="3435" spans="1:23" ht="16.5" customHeight="1" x14ac:dyDescent="0.2">
      <c r="A3435" s="26"/>
      <c r="B3435" s="26"/>
      <c r="C3435" s="26"/>
      <c r="D3435" s="26"/>
      <c r="E3435" s="26"/>
      <c r="F3435" s="28"/>
      <c r="G3435" s="26"/>
      <c r="H3435" s="32"/>
      <c r="I3435" s="32"/>
      <c r="J3435" s="32"/>
      <c r="K3435" s="32"/>
      <c r="L3435" s="32" t="e">
        <f ca="1">_xludf.ifna(VLOOKUP(E3435,Parámetros!$D$2:$E$34,2,0),"")</f>
        <v>#NAME?</v>
      </c>
      <c r="M3435" s="32" t="e">
        <f ca="1">_xludf.ifna(VLOOKUP(G3435,Proyectos!$A$2:$T$674,20,0),"")</f>
        <v>#NAME?</v>
      </c>
      <c r="N3435" s="32" t="e">
        <f ca="1">_xludf.ifna(VLOOKUP(G3435,Proyectos!$A$2:$S$674,19,0))</f>
        <v>#NAME?</v>
      </c>
      <c r="O3435" s="32"/>
      <c r="P3435" s="32"/>
      <c r="Q3435" s="33"/>
      <c r="R3435" s="33"/>
      <c r="S3435" s="33"/>
      <c r="T3435" s="63"/>
      <c r="U3435" s="33"/>
      <c r="V3435" s="33"/>
      <c r="W3435" s="33"/>
    </row>
    <row r="3436" spans="1:23" ht="16.5" customHeight="1" x14ac:dyDescent="0.2">
      <c r="A3436" s="26"/>
      <c r="B3436" s="26"/>
      <c r="C3436" s="26"/>
      <c r="D3436" s="26"/>
      <c r="E3436" s="26"/>
      <c r="F3436" s="28"/>
      <c r="G3436" s="26"/>
      <c r="H3436" s="32"/>
      <c r="I3436" s="32"/>
      <c r="J3436" s="32"/>
      <c r="K3436" s="32"/>
      <c r="L3436" s="32" t="e">
        <f ca="1">_xludf.ifna(VLOOKUP(E3436,Parámetros!$D$2:$E$34,2,0),"")</f>
        <v>#NAME?</v>
      </c>
      <c r="M3436" s="32" t="e">
        <f ca="1">_xludf.ifna(VLOOKUP(G3436,Proyectos!$A$2:$T$674,20,0),"")</f>
        <v>#NAME?</v>
      </c>
      <c r="N3436" s="32" t="e">
        <f ca="1">_xludf.ifna(VLOOKUP(G3436,Proyectos!$A$2:$S$674,19,0))</f>
        <v>#NAME?</v>
      </c>
      <c r="O3436" s="32"/>
      <c r="P3436" s="32"/>
      <c r="Q3436" s="33"/>
      <c r="R3436" s="33"/>
      <c r="S3436" s="33"/>
      <c r="T3436" s="63"/>
      <c r="U3436" s="33"/>
      <c r="V3436" s="33"/>
      <c r="W3436" s="33"/>
    </row>
    <row r="3437" spans="1:23" ht="16.5" customHeight="1" x14ac:dyDescent="0.2">
      <c r="A3437" s="26"/>
      <c r="B3437" s="26"/>
      <c r="C3437" s="26"/>
      <c r="D3437" s="26"/>
      <c r="E3437" s="26"/>
      <c r="F3437" s="28"/>
      <c r="G3437" s="26"/>
      <c r="H3437" s="32"/>
      <c r="I3437" s="32"/>
      <c r="J3437" s="32"/>
      <c r="K3437" s="32"/>
      <c r="L3437" s="32" t="e">
        <f ca="1">_xludf.ifna(VLOOKUP(E3437,Parámetros!$D$2:$E$34,2,0),"")</f>
        <v>#NAME?</v>
      </c>
      <c r="M3437" s="32" t="e">
        <f ca="1">_xludf.ifna(VLOOKUP(G3437,Proyectos!$A$2:$T$674,20,0),"")</f>
        <v>#NAME?</v>
      </c>
      <c r="N3437" s="32" t="e">
        <f ca="1">_xludf.ifna(VLOOKUP(G3437,Proyectos!$A$2:$S$674,19,0))</f>
        <v>#NAME?</v>
      </c>
      <c r="O3437" s="32"/>
      <c r="P3437" s="32"/>
      <c r="Q3437" s="33"/>
      <c r="R3437" s="33"/>
      <c r="S3437" s="33"/>
      <c r="T3437" s="63"/>
      <c r="U3437" s="33"/>
      <c r="V3437" s="33"/>
      <c r="W3437" s="33"/>
    </row>
    <row r="3438" spans="1:23" ht="16.5" customHeight="1" x14ac:dyDescent="0.2">
      <c r="A3438" s="26"/>
      <c r="B3438" s="26"/>
      <c r="C3438" s="26"/>
      <c r="D3438" s="26"/>
      <c r="E3438" s="26"/>
      <c r="F3438" s="28"/>
      <c r="G3438" s="26"/>
      <c r="H3438" s="32"/>
      <c r="I3438" s="32"/>
      <c r="J3438" s="32"/>
      <c r="K3438" s="32"/>
      <c r="L3438" s="32" t="e">
        <f ca="1">_xludf.ifna(VLOOKUP(E3438,Parámetros!$D$2:$E$34,2,0),"")</f>
        <v>#NAME?</v>
      </c>
      <c r="M3438" s="32" t="e">
        <f ca="1">_xludf.ifna(VLOOKUP(G3438,Proyectos!$A$2:$T$674,20,0),"")</f>
        <v>#NAME?</v>
      </c>
      <c r="N3438" s="32" t="e">
        <f ca="1">_xludf.ifna(VLOOKUP(G3438,Proyectos!$A$2:$S$674,19,0))</f>
        <v>#NAME?</v>
      </c>
      <c r="O3438" s="32"/>
      <c r="P3438" s="32"/>
      <c r="Q3438" s="33"/>
      <c r="R3438" s="33"/>
      <c r="S3438" s="33"/>
      <c r="T3438" s="63"/>
      <c r="U3438" s="33"/>
      <c r="V3438" s="33"/>
      <c r="W3438" s="33"/>
    </row>
    <row r="3439" spans="1:23" ht="16.5" customHeight="1" x14ac:dyDescent="0.2">
      <c r="A3439" s="26"/>
      <c r="B3439" s="26"/>
      <c r="C3439" s="26"/>
      <c r="D3439" s="26"/>
      <c r="E3439" s="26"/>
      <c r="F3439" s="28"/>
      <c r="G3439" s="26"/>
      <c r="H3439" s="32"/>
      <c r="I3439" s="32"/>
      <c r="J3439" s="32"/>
      <c r="K3439" s="32"/>
      <c r="L3439" s="32" t="e">
        <f ca="1">_xludf.ifna(VLOOKUP(E3439,Parámetros!$D$2:$E$34,2,0),"")</f>
        <v>#NAME?</v>
      </c>
      <c r="M3439" s="32" t="e">
        <f ca="1">_xludf.ifna(VLOOKUP(G3439,Proyectos!$A$2:$T$674,20,0),"")</f>
        <v>#NAME?</v>
      </c>
      <c r="N3439" s="32" t="e">
        <f ca="1">_xludf.ifna(VLOOKUP(G3439,Proyectos!$A$2:$S$674,19,0))</f>
        <v>#NAME?</v>
      </c>
      <c r="O3439" s="32"/>
      <c r="P3439" s="32"/>
      <c r="Q3439" s="33"/>
      <c r="R3439" s="33"/>
      <c r="S3439" s="33"/>
      <c r="T3439" s="63"/>
      <c r="U3439" s="33"/>
      <c r="V3439" s="33"/>
      <c r="W3439" s="33"/>
    </row>
    <row r="3440" spans="1:23" ht="16.5" customHeight="1" x14ac:dyDescent="0.2">
      <c r="A3440" s="26"/>
      <c r="B3440" s="26"/>
      <c r="C3440" s="26"/>
      <c r="D3440" s="26"/>
      <c r="E3440" s="26"/>
      <c r="F3440" s="28"/>
      <c r="G3440" s="26"/>
      <c r="H3440" s="32"/>
      <c r="I3440" s="32"/>
      <c r="J3440" s="32"/>
      <c r="K3440" s="32"/>
      <c r="L3440" s="32" t="e">
        <f ca="1">_xludf.ifna(VLOOKUP(E3440,Parámetros!$D$2:$E$34,2,0),"")</f>
        <v>#NAME?</v>
      </c>
      <c r="M3440" s="32" t="e">
        <f ca="1">_xludf.ifna(VLOOKUP(G3440,Proyectos!$A$2:$T$674,20,0),"")</f>
        <v>#NAME?</v>
      </c>
      <c r="N3440" s="32" t="e">
        <f ca="1">_xludf.ifna(VLOOKUP(G3440,Proyectos!$A$2:$S$674,19,0))</f>
        <v>#NAME?</v>
      </c>
      <c r="O3440" s="32"/>
      <c r="P3440" s="32"/>
      <c r="Q3440" s="33"/>
      <c r="R3440" s="33"/>
      <c r="S3440" s="33"/>
      <c r="T3440" s="63"/>
      <c r="U3440" s="33"/>
      <c r="V3440" s="33"/>
      <c r="W3440" s="33"/>
    </row>
    <row r="3441" spans="1:23" ht="16.5" customHeight="1" x14ac:dyDescent="0.2">
      <c r="A3441" s="26"/>
      <c r="B3441" s="26"/>
      <c r="C3441" s="26"/>
      <c r="D3441" s="26"/>
      <c r="E3441" s="26"/>
      <c r="F3441" s="28"/>
      <c r="G3441" s="26"/>
      <c r="H3441" s="32"/>
      <c r="I3441" s="32"/>
      <c r="J3441" s="32"/>
      <c r="K3441" s="32"/>
      <c r="L3441" s="32" t="e">
        <f ca="1">_xludf.ifna(VLOOKUP(E3441,Parámetros!$D$2:$E$34,2,0),"")</f>
        <v>#NAME?</v>
      </c>
      <c r="M3441" s="32" t="e">
        <f ca="1">_xludf.ifna(VLOOKUP(G3441,Proyectos!$A$2:$T$674,20,0),"")</f>
        <v>#NAME?</v>
      </c>
      <c r="N3441" s="32" t="e">
        <f ca="1">_xludf.ifna(VLOOKUP(G3441,Proyectos!$A$2:$S$674,19,0))</f>
        <v>#NAME?</v>
      </c>
      <c r="O3441" s="32"/>
      <c r="P3441" s="32"/>
      <c r="Q3441" s="33"/>
      <c r="R3441" s="33"/>
      <c r="S3441" s="33"/>
      <c r="T3441" s="63"/>
      <c r="U3441" s="33"/>
      <c r="V3441" s="33"/>
      <c r="W3441" s="33"/>
    </row>
    <row r="3442" spans="1:23" ht="16.5" customHeight="1" x14ac:dyDescent="0.2">
      <c r="A3442" s="26"/>
      <c r="B3442" s="26"/>
      <c r="C3442" s="26"/>
      <c r="D3442" s="26"/>
      <c r="E3442" s="26"/>
      <c r="F3442" s="28"/>
      <c r="G3442" s="26"/>
      <c r="H3442" s="32"/>
      <c r="I3442" s="32"/>
      <c r="J3442" s="32"/>
      <c r="K3442" s="32"/>
      <c r="L3442" s="32" t="e">
        <f ca="1">_xludf.ifna(VLOOKUP(E3442,Parámetros!$D$2:$E$34,2,0),"")</f>
        <v>#NAME?</v>
      </c>
      <c r="M3442" s="32" t="e">
        <f ca="1">_xludf.ifna(VLOOKUP(G3442,Proyectos!$A$2:$T$674,20,0),"")</f>
        <v>#NAME?</v>
      </c>
      <c r="N3442" s="32" t="e">
        <f ca="1">_xludf.ifna(VLOOKUP(G3442,Proyectos!$A$2:$S$674,19,0))</f>
        <v>#NAME?</v>
      </c>
      <c r="O3442" s="32"/>
      <c r="P3442" s="32"/>
      <c r="Q3442" s="33"/>
      <c r="R3442" s="33"/>
      <c r="S3442" s="33"/>
      <c r="T3442" s="63"/>
      <c r="U3442" s="33"/>
      <c r="V3442" s="33"/>
      <c r="W3442" s="33"/>
    </row>
    <row r="3443" spans="1:23" ht="16.5" customHeight="1" x14ac:dyDescent="0.2">
      <c r="A3443" s="26"/>
      <c r="B3443" s="26"/>
      <c r="C3443" s="26"/>
      <c r="D3443" s="26"/>
      <c r="E3443" s="26"/>
      <c r="F3443" s="28"/>
      <c r="G3443" s="26"/>
      <c r="H3443" s="32"/>
      <c r="I3443" s="32"/>
      <c r="J3443" s="32"/>
      <c r="K3443" s="32"/>
      <c r="L3443" s="32" t="e">
        <f ca="1">_xludf.ifna(VLOOKUP(E3443,Parámetros!$D$2:$E$34,2,0),"")</f>
        <v>#NAME?</v>
      </c>
      <c r="M3443" s="32" t="e">
        <f ca="1">_xludf.ifna(VLOOKUP(G3443,Proyectos!$A$2:$T$674,20,0),"")</f>
        <v>#NAME?</v>
      </c>
      <c r="N3443" s="32" t="e">
        <f ca="1">_xludf.ifna(VLOOKUP(G3443,Proyectos!$A$2:$S$674,19,0))</f>
        <v>#NAME?</v>
      </c>
      <c r="O3443" s="32"/>
      <c r="P3443" s="32"/>
      <c r="Q3443" s="33"/>
      <c r="R3443" s="33"/>
      <c r="S3443" s="33"/>
      <c r="T3443" s="63"/>
      <c r="U3443" s="33"/>
      <c r="V3443" s="33"/>
      <c r="W3443" s="33"/>
    </row>
    <row r="3444" spans="1:23" ht="16.5" customHeight="1" x14ac:dyDescent="0.2">
      <c r="A3444" s="26"/>
      <c r="B3444" s="26"/>
      <c r="C3444" s="26"/>
      <c r="D3444" s="26"/>
      <c r="E3444" s="26"/>
      <c r="F3444" s="28"/>
      <c r="G3444" s="26"/>
      <c r="H3444" s="32"/>
      <c r="I3444" s="32"/>
      <c r="J3444" s="32"/>
      <c r="K3444" s="32"/>
      <c r="L3444" s="32" t="e">
        <f ca="1">_xludf.ifna(VLOOKUP(E3444,Parámetros!$D$2:$E$34,2,0),"")</f>
        <v>#NAME?</v>
      </c>
      <c r="M3444" s="32" t="e">
        <f ca="1">_xludf.ifna(VLOOKUP(G3444,Proyectos!$A$2:$T$674,20,0),"")</f>
        <v>#NAME?</v>
      </c>
      <c r="N3444" s="32" t="e">
        <f ca="1">_xludf.ifna(VLOOKUP(G3444,Proyectos!$A$2:$S$674,19,0))</f>
        <v>#NAME?</v>
      </c>
      <c r="O3444" s="32"/>
      <c r="P3444" s="32"/>
      <c r="Q3444" s="33"/>
      <c r="R3444" s="33"/>
      <c r="S3444" s="33"/>
      <c r="T3444" s="63"/>
      <c r="U3444" s="33"/>
      <c r="V3444" s="33"/>
      <c r="W3444" s="33"/>
    </row>
    <row r="3445" spans="1:23" ht="16.5" customHeight="1" x14ac:dyDescent="0.2">
      <c r="A3445" s="26"/>
      <c r="B3445" s="26"/>
      <c r="C3445" s="26"/>
      <c r="D3445" s="26"/>
      <c r="E3445" s="26"/>
      <c r="F3445" s="28"/>
      <c r="G3445" s="26"/>
      <c r="H3445" s="32"/>
      <c r="I3445" s="32"/>
      <c r="J3445" s="32"/>
      <c r="K3445" s="32"/>
      <c r="L3445" s="32" t="e">
        <f ca="1">_xludf.ifna(VLOOKUP(E3445,Parámetros!$D$2:$E$34,2,0),"")</f>
        <v>#NAME?</v>
      </c>
      <c r="M3445" s="32" t="e">
        <f ca="1">_xludf.ifna(VLOOKUP(G3445,Proyectos!$A$2:$T$674,20,0),"")</f>
        <v>#NAME?</v>
      </c>
      <c r="N3445" s="32" t="e">
        <f ca="1">_xludf.ifna(VLOOKUP(G3445,Proyectos!$A$2:$S$674,19,0))</f>
        <v>#NAME?</v>
      </c>
      <c r="O3445" s="32"/>
      <c r="P3445" s="32"/>
      <c r="Q3445" s="33"/>
      <c r="R3445" s="33"/>
      <c r="S3445" s="33"/>
      <c r="T3445" s="63"/>
      <c r="U3445" s="33"/>
      <c r="V3445" s="33"/>
      <c r="W3445" s="33"/>
    </row>
    <row r="3446" spans="1:23" ht="16.5" customHeight="1" x14ac:dyDescent="0.2">
      <c r="A3446" s="26"/>
      <c r="B3446" s="26"/>
      <c r="C3446" s="26"/>
      <c r="D3446" s="26"/>
      <c r="E3446" s="26"/>
      <c r="F3446" s="28"/>
      <c r="G3446" s="26"/>
      <c r="H3446" s="32"/>
      <c r="I3446" s="32"/>
      <c r="J3446" s="32"/>
      <c r="K3446" s="32"/>
      <c r="L3446" s="32" t="e">
        <f ca="1">_xludf.ifna(VLOOKUP(E3446,Parámetros!$D$2:$E$34,2,0),"")</f>
        <v>#NAME?</v>
      </c>
      <c r="M3446" s="32" t="e">
        <f ca="1">_xludf.ifna(VLOOKUP(G3446,Proyectos!$A$2:$T$674,20,0),"")</f>
        <v>#NAME?</v>
      </c>
      <c r="N3446" s="32" t="e">
        <f ca="1">_xludf.ifna(VLOOKUP(G3446,Proyectos!$A$2:$S$674,19,0))</f>
        <v>#NAME?</v>
      </c>
      <c r="O3446" s="32"/>
      <c r="P3446" s="32"/>
      <c r="Q3446" s="33"/>
      <c r="R3446" s="33"/>
      <c r="S3446" s="33"/>
      <c r="T3446" s="63"/>
      <c r="U3446" s="33"/>
      <c r="V3446" s="33"/>
      <c r="W3446" s="33"/>
    </row>
    <row r="3447" spans="1:23" ht="16.5" customHeight="1" x14ac:dyDescent="0.2">
      <c r="A3447" s="26"/>
      <c r="B3447" s="26"/>
      <c r="C3447" s="26"/>
      <c r="D3447" s="26"/>
      <c r="E3447" s="26"/>
      <c r="F3447" s="28"/>
      <c r="G3447" s="26"/>
      <c r="H3447" s="32"/>
      <c r="I3447" s="32"/>
      <c r="J3447" s="32"/>
      <c r="K3447" s="32"/>
      <c r="L3447" s="32" t="e">
        <f ca="1">_xludf.ifna(VLOOKUP(E3447,Parámetros!$D$2:$E$34,2,0),"")</f>
        <v>#NAME?</v>
      </c>
      <c r="M3447" s="32" t="e">
        <f ca="1">_xludf.ifna(VLOOKUP(G3447,Proyectos!$A$2:$T$674,20,0),"")</f>
        <v>#NAME?</v>
      </c>
      <c r="N3447" s="32" t="e">
        <f ca="1">_xludf.ifna(VLOOKUP(G3447,Proyectos!$A$2:$S$674,19,0))</f>
        <v>#NAME?</v>
      </c>
      <c r="O3447" s="32"/>
      <c r="P3447" s="32"/>
      <c r="Q3447" s="33"/>
      <c r="R3447" s="33"/>
      <c r="S3447" s="33"/>
      <c r="T3447" s="63"/>
      <c r="U3447" s="33"/>
      <c r="V3447" s="33"/>
      <c r="W3447" s="33"/>
    </row>
    <row r="3448" spans="1:23" ht="16.5" customHeight="1" x14ac:dyDescent="0.2">
      <c r="A3448" s="26"/>
      <c r="B3448" s="26"/>
      <c r="C3448" s="26"/>
      <c r="D3448" s="26"/>
      <c r="E3448" s="26"/>
      <c r="F3448" s="28"/>
      <c r="G3448" s="26"/>
      <c r="H3448" s="32"/>
      <c r="I3448" s="32"/>
      <c r="J3448" s="32"/>
      <c r="K3448" s="32"/>
      <c r="L3448" s="32" t="e">
        <f ca="1">_xludf.ifna(VLOOKUP(E3448,Parámetros!$D$2:$E$34,2,0),"")</f>
        <v>#NAME?</v>
      </c>
      <c r="M3448" s="32" t="e">
        <f ca="1">_xludf.ifna(VLOOKUP(G3448,Proyectos!$A$2:$T$674,20,0),"")</f>
        <v>#NAME?</v>
      </c>
      <c r="N3448" s="32" t="e">
        <f ca="1">_xludf.ifna(VLOOKUP(G3448,Proyectos!$A$2:$S$674,19,0))</f>
        <v>#NAME?</v>
      </c>
      <c r="O3448" s="32"/>
      <c r="P3448" s="32"/>
      <c r="Q3448" s="33"/>
      <c r="R3448" s="33"/>
      <c r="S3448" s="33"/>
      <c r="T3448" s="63"/>
      <c r="U3448" s="33"/>
      <c r="V3448" s="33"/>
      <c r="W3448" s="33"/>
    </row>
    <row r="3449" spans="1:23" ht="16.5" customHeight="1" x14ac:dyDescent="0.2">
      <c r="A3449" s="26"/>
      <c r="B3449" s="26"/>
      <c r="C3449" s="26"/>
      <c r="D3449" s="26"/>
      <c r="E3449" s="26"/>
      <c r="F3449" s="28"/>
      <c r="G3449" s="26"/>
      <c r="H3449" s="32"/>
      <c r="I3449" s="32"/>
      <c r="J3449" s="32"/>
      <c r="K3449" s="32"/>
      <c r="L3449" s="32" t="e">
        <f ca="1">_xludf.ifna(VLOOKUP(E3449,Parámetros!$D$2:$E$34,2,0),"")</f>
        <v>#NAME?</v>
      </c>
      <c r="M3449" s="32" t="e">
        <f ca="1">_xludf.ifna(VLOOKUP(G3449,Proyectos!$A$2:$T$674,20,0),"")</f>
        <v>#NAME?</v>
      </c>
      <c r="N3449" s="32" t="e">
        <f ca="1">_xludf.ifna(VLOOKUP(G3449,Proyectos!$A$2:$S$674,19,0))</f>
        <v>#NAME?</v>
      </c>
      <c r="O3449" s="32"/>
      <c r="P3449" s="32"/>
      <c r="Q3449" s="33"/>
      <c r="R3449" s="33"/>
      <c r="S3449" s="33"/>
      <c r="T3449" s="63"/>
      <c r="U3449" s="33"/>
      <c r="V3449" s="33"/>
      <c r="W3449" s="33"/>
    </row>
    <row r="3450" spans="1:23" ht="16.5" customHeight="1" x14ac:dyDescent="0.2">
      <c r="A3450" s="26"/>
      <c r="B3450" s="26"/>
      <c r="C3450" s="26"/>
      <c r="D3450" s="26"/>
      <c r="E3450" s="26"/>
      <c r="F3450" s="28"/>
      <c r="G3450" s="26"/>
      <c r="H3450" s="32"/>
      <c r="I3450" s="32"/>
      <c r="J3450" s="32"/>
      <c r="K3450" s="32"/>
      <c r="L3450" s="32" t="e">
        <f ca="1">_xludf.ifna(VLOOKUP(E3450,Parámetros!$D$2:$E$34,2,0),"")</f>
        <v>#NAME?</v>
      </c>
      <c r="M3450" s="32" t="e">
        <f ca="1">_xludf.ifna(VLOOKUP(G3450,Proyectos!$A$2:$T$674,20,0),"")</f>
        <v>#NAME?</v>
      </c>
      <c r="N3450" s="32" t="e">
        <f ca="1">_xludf.ifna(VLOOKUP(G3450,Proyectos!$A$2:$S$674,19,0))</f>
        <v>#NAME?</v>
      </c>
      <c r="O3450" s="32"/>
      <c r="P3450" s="32"/>
      <c r="Q3450" s="33"/>
      <c r="R3450" s="33"/>
      <c r="S3450" s="33"/>
      <c r="T3450" s="63"/>
      <c r="U3450" s="33"/>
      <c r="V3450" s="33"/>
      <c r="W3450" s="33"/>
    </row>
    <row r="3451" spans="1:23" ht="16.5" customHeight="1" x14ac:dyDescent="0.2">
      <c r="A3451" s="26"/>
      <c r="B3451" s="26"/>
      <c r="C3451" s="26"/>
      <c r="D3451" s="26"/>
      <c r="E3451" s="26"/>
      <c r="F3451" s="28"/>
      <c r="G3451" s="26"/>
      <c r="H3451" s="32"/>
      <c r="I3451" s="32"/>
      <c r="J3451" s="32"/>
      <c r="K3451" s="32"/>
      <c r="L3451" s="32" t="e">
        <f ca="1">_xludf.ifna(VLOOKUP(E3451,Parámetros!$D$2:$E$34,2,0),"")</f>
        <v>#NAME?</v>
      </c>
      <c r="M3451" s="32" t="e">
        <f ca="1">_xludf.ifna(VLOOKUP(G3451,Proyectos!$A$2:$T$674,20,0),"")</f>
        <v>#NAME?</v>
      </c>
      <c r="N3451" s="32" t="e">
        <f ca="1">_xludf.ifna(VLOOKUP(G3451,Proyectos!$A$2:$S$674,19,0))</f>
        <v>#NAME?</v>
      </c>
      <c r="O3451" s="32"/>
      <c r="P3451" s="32"/>
      <c r="Q3451" s="33"/>
      <c r="R3451" s="33"/>
      <c r="S3451" s="33"/>
      <c r="T3451" s="63"/>
      <c r="U3451" s="33"/>
      <c r="V3451" s="33"/>
      <c r="W3451" s="33"/>
    </row>
    <row r="3452" spans="1:23" ht="16.5" customHeight="1" x14ac:dyDescent="0.2">
      <c r="A3452" s="26"/>
      <c r="B3452" s="26"/>
      <c r="C3452" s="26"/>
      <c r="D3452" s="26"/>
      <c r="E3452" s="26"/>
      <c r="F3452" s="28"/>
      <c r="G3452" s="26"/>
      <c r="H3452" s="32"/>
      <c r="I3452" s="32"/>
      <c r="J3452" s="32"/>
      <c r="K3452" s="32"/>
      <c r="L3452" s="32" t="e">
        <f ca="1">_xludf.ifna(VLOOKUP(E3452,Parámetros!$D$2:$E$34,2,0),"")</f>
        <v>#NAME?</v>
      </c>
      <c r="M3452" s="32" t="e">
        <f ca="1">_xludf.ifna(VLOOKUP(G3452,Proyectos!$A$2:$T$674,20,0),"")</f>
        <v>#NAME?</v>
      </c>
      <c r="N3452" s="32" t="e">
        <f ca="1">_xludf.ifna(VLOOKUP(G3452,Proyectos!$A$2:$S$674,19,0))</f>
        <v>#NAME?</v>
      </c>
      <c r="O3452" s="32"/>
      <c r="P3452" s="32"/>
      <c r="Q3452" s="33"/>
      <c r="R3452" s="33"/>
      <c r="S3452" s="33"/>
      <c r="T3452" s="63"/>
      <c r="U3452" s="33"/>
      <c r="V3452" s="33"/>
      <c r="W3452" s="33"/>
    </row>
    <row r="3453" spans="1:23" ht="16.5" customHeight="1" x14ac:dyDescent="0.2">
      <c r="A3453" s="26"/>
      <c r="B3453" s="26"/>
      <c r="C3453" s="26"/>
      <c r="D3453" s="26"/>
      <c r="E3453" s="26"/>
      <c r="F3453" s="28"/>
      <c r="G3453" s="26"/>
      <c r="H3453" s="32"/>
      <c r="I3453" s="32"/>
      <c r="J3453" s="32"/>
      <c r="K3453" s="32"/>
      <c r="L3453" s="32" t="e">
        <f ca="1">_xludf.ifna(VLOOKUP(E3453,Parámetros!$D$2:$E$34,2,0),"")</f>
        <v>#NAME?</v>
      </c>
      <c r="M3453" s="32" t="e">
        <f ca="1">_xludf.ifna(VLOOKUP(G3453,Proyectos!$A$2:$T$674,20,0),"")</f>
        <v>#NAME?</v>
      </c>
      <c r="N3453" s="32" t="e">
        <f ca="1">_xludf.ifna(VLOOKUP(G3453,Proyectos!$A$2:$S$674,19,0))</f>
        <v>#NAME?</v>
      </c>
      <c r="O3453" s="32"/>
      <c r="P3453" s="32"/>
      <c r="Q3453" s="33"/>
      <c r="R3453" s="33"/>
      <c r="S3453" s="33"/>
      <c r="T3453" s="63"/>
      <c r="U3453" s="33"/>
      <c r="V3453" s="33"/>
      <c r="W3453" s="33"/>
    </row>
    <row r="3454" spans="1:23" ht="16.5" customHeight="1" x14ac:dyDescent="0.2">
      <c r="A3454" s="26"/>
      <c r="B3454" s="26"/>
      <c r="C3454" s="26"/>
      <c r="D3454" s="26"/>
      <c r="E3454" s="26"/>
      <c r="F3454" s="28"/>
      <c r="G3454" s="26"/>
      <c r="H3454" s="32"/>
      <c r="I3454" s="32"/>
      <c r="J3454" s="32"/>
      <c r="K3454" s="32"/>
      <c r="L3454" s="32" t="e">
        <f ca="1">_xludf.ifna(VLOOKUP(E3454,Parámetros!$D$2:$E$34,2,0),"")</f>
        <v>#NAME?</v>
      </c>
      <c r="M3454" s="32" t="e">
        <f ca="1">_xludf.ifna(VLOOKUP(G3454,Proyectos!$A$2:$T$674,20,0),"")</f>
        <v>#NAME?</v>
      </c>
      <c r="N3454" s="32" t="e">
        <f ca="1">_xludf.ifna(VLOOKUP(G3454,Proyectos!$A$2:$S$674,19,0))</f>
        <v>#NAME?</v>
      </c>
      <c r="O3454" s="32"/>
      <c r="P3454" s="32"/>
      <c r="Q3454" s="33"/>
      <c r="R3454" s="33"/>
      <c r="S3454" s="33"/>
      <c r="T3454" s="63"/>
      <c r="U3454" s="33"/>
      <c r="V3454" s="33"/>
      <c r="W3454" s="33"/>
    </row>
    <row r="3455" spans="1:23" ht="16.5" customHeight="1" x14ac:dyDescent="0.2">
      <c r="A3455" s="26"/>
      <c r="B3455" s="26"/>
      <c r="C3455" s="26"/>
      <c r="D3455" s="26"/>
      <c r="E3455" s="26"/>
      <c r="F3455" s="28"/>
      <c r="G3455" s="26"/>
      <c r="H3455" s="32"/>
      <c r="I3455" s="32"/>
      <c r="J3455" s="32"/>
      <c r="K3455" s="32"/>
      <c r="L3455" s="32" t="e">
        <f ca="1">_xludf.ifna(VLOOKUP(E3455,Parámetros!$D$2:$E$34,2,0),"")</f>
        <v>#NAME?</v>
      </c>
      <c r="M3455" s="32" t="e">
        <f ca="1">_xludf.ifna(VLOOKUP(G3455,Proyectos!$A$2:$T$674,20,0),"")</f>
        <v>#NAME?</v>
      </c>
      <c r="N3455" s="32" t="e">
        <f ca="1">_xludf.ifna(VLOOKUP(G3455,Proyectos!$A$2:$S$674,19,0))</f>
        <v>#NAME?</v>
      </c>
      <c r="O3455" s="32"/>
      <c r="P3455" s="32"/>
      <c r="Q3455" s="33"/>
      <c r="R3455" s="33"/>
      <c r="S3455" s="33"/>
      <c r="T3455" s="63"/>
      <c r="U3455" s="33"/>
      <c r="V3455" s="33"/>
      <c r="W3455" s="33"/>
    </row>
    <row r="3456" spans="1:23" ht="16.5" customHeight="1" x14ac:dyDescent="0.2">
      <c r="A3456" s="26"/>
      <c r="B3456" s="26"/>
      <c r="C3456" s="26"/>
      <c r="D3456" s="26"/>
      <c r="E3456" s="26"/>
      <c r="F3456" s="28"/>
      <c r="G3456" s="26"/>
      <c r="H3456" s="32"/>
      <c r="I3456" s="32"/>
      <c r="J3456" s="32"/>
      <c r="K3456" s="32"/>
      <c r="L3456" s="32" t="e">
        <f ca="1">_xludf.ifna(VLOOKUP(E3456,Parámetros!$D$2:$E$34,2,0),"")</f>
        <v>#NAME?</v>
      </c>
      <c r="M3456" s="32" t="e">
        <f ca="1">_xludf.ifna(VLOOKUP(G3456,Proyectos!$A$2:$T$674,20,0),"")</f>
        <v>#NAME?</v>
      </c>
      <c r="N3456" s="32" t="e">
        <f ca="1">_xludf.ifna(VLOOKUP(G3456,Proyectos!$A$2:$S$674,19,0))</f>
        <v>#NAME?</v>
      </c>
      <c r="O3456" s="32"/>
      <c r="P3456" s="32"/>
      <c r="Q3456" s="33"/>
      <c r="R3456" s="33"/>
      <c r="S3456" s="33"/>
      <c r="T3456" s="63"/>
      <c r="U3456" s="33"/>
      <c r="V3456" s="33"/>
      <c r="W3456" s="33"/>
    </row>
    <row r="3457" spans="1:23" ht="16.5" customHeight="1" x14ac:dyDescent="0.2">
      <c r="A3457" s="26"/>
      <c r="B3457" s="26"/>
      <c r="C3457" s="26"/>
      <c r="D3457" s="26"/>
      <c r="E3457" s="26"/>
      <c r="F3457" s="28"/>
      <c r="G3457" s="26"/>
      <c r="H3457" s="32"/>
      <c r="I3457" s="32"/>
      <c r="J3457" s="32"/>
      <c r="K3457" s="32"/>
      <c r="L3457" s="32" t="e">
        <f ca="1">_xludf.ifna(VLOOKUP(E3457,Parámetros!$D$2:$E$34,2,0),"")</f>
        <v>#NAME?</v>
      </c>
      <c r="M3457" s="32" t="e">
        <f ca="1">_xludf.ifna(VLOOKUP(G3457,Proyectos!$A$2:$T$674,20,0),"")</f>
        <v>#NAME?</v>
      </c>
      <c r="N3457" s="32" t="e">
        <f ca="1">_xludf.ifna(VLOOKUP(G3457,Proyectos!$A$2:$S$674,19,0))</f>
        <v>#NAME?</v>
      </c>
      <c r="O3457" s="32"/>
      <c r="P3457" s="32"/>
      <c r="Q3457" s="33"/>
      <c r="R3457" s="33"/>
      <c r="S3457" s="33"/>
      <c r="T3457" s="63"/>
      <c r="U3457" s="33"/>
      <c r="V3457" s="33"/>
      <c r="W3457" s="33"/>
    </row>
    <row r="3458" spans="1:23" ht="16.5" customHeight="1" x14ac:dyDescent="0.2">
      <c r="A3458" s="26"/>
      <c r="B3458" s="26"/>
      <c r="C3458" s="26"/>
      <c r="D3458" s="26"/>
      <c r="E3458" s="26"/>
      <c r="F3458" s="28"/>
      <c r="G3458" s="26"/>
      <c r="H3458" s="32"/>
      <c r="I3458" s="32"/>
      <c r="J3458" s="32"/>
      <c r="K3458" s="32"/>
      <c r="L3458" s="32" t="e">
        <f ca="1">_xludf.ifna(VLOOKUP(E3458,Parámetros!$D$2:$E$34,2,0),"")</f>
        <v>#NAME?</v>
      </c>
      <c r="M3458" s="32" t="e">
        <f ca="1">_xludf.ifna(VLOOKUP(G3458,Proyectos!$A$2:$T$674,20,0),"")</f>
        <v>#NAME?</v>
      </c>
      <c r="N3458" s="32" t="e">
        <f ca="1">_xludf.ifna(VLOOKUP(G3458,Proyectos!$A$2:$S$674,19,0))</f>
        <v>#NAME?</v>
      </c>
      <c r="O3458" s="32"/>
      <c r="P3458" s="32"/>
      <c r="Q3458" s="33"/>
      <c r="R3458" s="33"/>
      <c r="S3458" s="33"/>
      <c r="T3458" s="63"/>
      <c r="U3458" s="33"/>
      <c r="V3458" s="33"/>
      <c r="W3458" s="33"/>
    </row>
    <row r="3459" spans="1:23" ht="16.5" customHeight="1" x14ac:dyDescent="0.2">
      <c r="A3459" s="26"/>
      <c r="B3459" s="26"/>
      <c r="C3459" s="26"/>
      <c r="D3459" s="26"/>
      <c r="E3459" s="26"/>
      <c r="F3459" s="28"/>
      <c r="G3459" s="26"/>
      <c r="H3459" s="32"/>
      <c r="I3459" s="32"/>
      <c r="J3459" s="32"/>
      <c r="K3459" s="32"/>
      <c r="L3459" s="32" t="e">
        <f ca="1">_xludf.ifna(VLOOKUP(E3459,Parámetros!$D$2:$E$34,2,0),"")</f>
        <v>#NAME?</v>
      </c>
      <c r="M3459" s="32" t="e">
        <f ca="1">_xludf.ifna(VLOOKUP(G3459,Proyectos!$A$2:$T$674,20,0),"")</f>
        <v>#NAME?</v>
      </c>
      <c r="N3459" s="32" t="e">
        <f ca="1">_xludf.ifna(VLOOKUP(G3459,Proyectos!$A$2:$S$674,19,0))</f>
        <v>#NAME?</v>
      </c>
      <c r="O3459" s="32"/>
      <c r="P3459" s="32"/>
      <c r="Q3459" s="33"/>
      <c r="R3459" s="33"/>
      <c r="S3459" s="33"/>
      <c r="T3459" s="63"/>
      <c r="U3459" s="33"/>
      <c r="V3459" s="33"/>
      <c r="W3459" s="33"/>
    </row>
    <row r="3460" spans="1:23" ht="16.5" customHeight="1" x14ac:dyDescent="0.2">
      <c r="A3460" s="26"/>
      <c r="B3460" s="26"/>
      <c r="C3460" s="26"/>
      <c r="D3460" s="26"/>
      <c r="E3460" s="26"/>
      <c r="F3460" s="28"/>
      <c r="G3460" s="26"/>
      <c r="H3460" s="32"/>
      <c r="I3460" s="32"/>
      <c r="J3460" s="32"/>
      <c r="K3460" s="32"/>
      <c r="L3460" s="32" t="e">
        <f ca="1">_xludf.ifna(VLOOKUP(E3460,Parámetros!$D$2:$E$34,2,0),"")</f>
        <v>#NAME?</v>
      </c>
      <c r="M3460" s="32" t="e">
        <f ca="1">_xludf.ifna(VLOOKUP(G3460,Proyectos!$A$2:$T$674,20,0),"")</f>
        <v>#NAME?</v>
      </c>
      <c r="N3460" s="32" t="e">
        <f ca="1">_xludf.ifna(VLOOKUP(G3460,Proyectos!$A$2:$S$674,19,0))</f>
        <v>#NAME?</v>
      </c>
      <c r="O3460" s="32"/>
      <c r="P3460" s="32"/>
      <c r="Q3460" s="33"/>
      <c r="R3460" s="33"/>
      <c r="S3460" s="33"/>
      <c r="T3460" s="63"/>
      <c r="U3460" s="33"/>
      <c r="V3460" s="33"/>
      <c r="W3460" s="33"/>
    </row>
    <row r="3461" spans="1:23" ht="16.5" customHeight="1" x14ac:dyDescent="0.2">
      <c r="A3461" s="26"/>
      <c r="B3461" s="26"/>
      <c r="C3461" s="26"/>
      <c r="D3461" s="26"/>
      <c r="E3461" s="26"/>
      <c r="F3461" s="28"/>
      <c r="G3461" s="26"/>
      <c r="H3461" s="32"/>
      <c r="I3461" s="32"/>
      <c r="J3461" s="32"/>
      <c r="K3461" s="32"/>
      <c r="L3461" s="32" t="e">
        <f ca="1">_xludf.ifna(VLOOKUP(E3461,Parámetros!$D$2:$E$34,2,0),"")</f>
        <v>#NAME?</v>
      </c>
      <c r="M3461" s="32" t="e">
        <f ca="1">_xludf.ifna(VLOOKUP(G3461,Proyectos!$A$2:$T$674,20,0),"")</f>
        <v>#NAME?</v>
      </c>
      <c r="N3461" s="32" t="e">
        <f ca="1">_xludf.ifna(VLOOKUP(G3461,Proyectos!$A$2:$S$674,19,0))</f>
        <v>#NAME?</v>
      </c>
      <c r="O3461" s="32"/>
      <c r="P3461" s="32"/>
      <c r="Q3461" s="33"/>
      <c r="R3461" s="33"/>
      <c r="S3461" s="33"/>
      <c r="T3461" s="63"/>
      <c r="U3461" s="33"/>
      <c r="V3461" s="33"/>
      <c r="W3461" s="33"/>
    </row>
    <row r="3462" spans="1:23" ht="16.5" customHeight="1" x14ac:dyDescent="0.2">
      <c r="A3462" s="26"/>
      <c r="B3462" s="26"/>
      <c r="C3462" s="26"/>
      <c r="D3462" s="26"/>
      <c r="E3462" s="26"/>
      <c r="F3462" s="28"/>
      <c r="G3462" s="26"/>
      <c r="H3462" s="32"/>
      <c r="I3462" s="32"/>
      <c r="J3462" s="32"/>
      <c r="K3462" s="32"/>
      <c r="L3462" s="32" t="e">
        <f ca="1">_xludf.ifna(VLOOKUP(E3462,Parámetros!$D$2:$E$34,2,0),"")</f>
        <v>#NAME?</v>
      </c>
      <c r="M3462" s="32" t="e">
        <f ca="1">_xludf.ifna(VLOOKUP(G3462,Proyectos!$A$2:$T$674,20,0),"")</f>
        <v>#NAME?</v>
      </c>
      <c r="N3462" s="32" t="e">
        <f ca="1">_xludf.ifna(VLOOKUP(G3462,Proyectos!$A$2:$S$674,19,0))</f>
        <v>#NAME?</v>
      </c>
      <c r="O3462" s="32"/>
      <c r="P3462" s="32"/>
      <c r="Q3462" s="33"/>
      <c r="R3462" s="33"/>
      <c r="S3462" s="33"/>
      <c r="T3462" s="63"/>
      <c r="U3462" s="33"/>
      <c r="V3462" s="33"/>
      <c r="W3462" s="33"/>
    </row>
    <row r="3463" spans="1:23" ht="16.5" customHeight="1" x14ac:dyDescent="0.2">
      <c r="A3463" s="26"/>
      <c r="B3463" s="26"/>
      <c r="C3463" s="26"/>
      <c r="D3463" s="26"/>
      <c r="E3463" s="26"/>
      <c r="F3463" s="28"/>
      <c r="G3463" s="26"/>
      <c r="H3463" s="32"/>
      <c r="I3463" s="32"/>
      <c r="J3463" s="32"/>
      <c r="K3463" s="32"/>
      <c r="L3463" s="32" t="e">
        <f ca="1">_xludf.ifna(VLOOKUP(E3463,Parámetros!$D$2:$E$34,2,0),"")</f>
        <v>#NAME?</v>
      </c>
      <c r="M3463" s="32" t="e">
        <f ca="1">_xludf.ifna(VLOOKUP(G3463,Proyectos!$A$2:$T$674,20,0),"")</f>
        <v>#NAME?</v>
      </c>
      <c r="N3463" s="32" t="e">
        <f ca="1">_xludf.ifna(VLOOKUP(G3463,Proyectos!$A$2:$S$674,19,0))</f>
        <v>#NAME?</v>
      </c>
      <c r="O3463" s="32"/>
      <c r="P3463" s="32"/>
      <c r="Q3463" s="33"/>
      <c r="R3463" s="33"/>
      <c r="S3463" s="33"/>
      <c r="T3463" s="63"/>
      <c r="U3463" s="33"/>
      <c r="V3463" s="33"/>
      <c r="W3463" s="33"/>
    </row>
    <row r="3464" spans="1:23" ht="16.5" customHeight="1" x14ac:dyDescent="0.2">
      <c r="A3464" s="26"/>
      <c r="B3464" s="26"/>
      <c r="C3464" s="26"/>
      <c r="D3464" s="26"/>
      <c r="E3464" s="26"/>
      <c r="F3464" s="28"/>
      <c r="G3464" s="26"/>
      <c r="H3464" s="32"/>
      <c r="I3464" s="32"/>
      <c r="J3464" s="32"/>
      <c r="K3464" s="32"/>
      <c r="L3464" s="32" t="e">
        <f ca="1">_xludf.ifna(VLOOKUP(E3464,Parámetros!$D$2:$E$34,2,0),"")</f>
        <v>#NAME?</v>
      </c>
      <c r="M3464" s="32" t="e">
        <f ca="1">_xludf.ifna(VLOOKUP(G3464,Proyectos!$A$2:$T$674,20,0),"")</f>
        <v>#NAME?</v>
      </c>
      <c r="N3464" s="32" t="e">
        <f ca="1">_xludf.ifna(VLOOKUP(G3464,Proyectos!$A$2:$S$674,19,0))</f>
        <v>#NAME?</v>
      </c>
      <c r="O3464" s="32"/>
      <c r="P3464" s="32"/>
      <c r="Q3464" s="33"/>
      <c r="R3464" s="33"/>
      <c r="S3464" s="33"/>
      <c r="T3464" s="63"/>
      <c r="U3464" s="33"/>
      <c r="V3464" s="33"/>
      <c r="W3464" s="33"/>
    </row>
    <row r="3465" spans="1:23" ht="16.5" customHeight="1" x14ac:dyDescent="0.2">
      <c r="A3465" s="26"/>
      <c r="B3465" s="26"/>
      <c r="C3465" s="26"/>
      <c r="D3465" s="26"/>
      <c r="E3465" s="26"/>
      <c r="F3465" s="28"/>
      <c r="G3465" s="26"/>
      <c r="H3465" s="32"/>
      <c r="I3465" s="32"/>
      <c r="J3465" s="32"/>
      <c r="K3465" s="32"/>
      <c r="L3465" s="32" t="e">
        <f ca="1">_xludf.ifna(VLOOKUP(E3465,Parámetros!$D$2:$E$34,2,0),"")</f>
        <v>#NAME?</v>
      </c>
      <c r="M3465" s="32" t="e">
        <f ca="1">_xludf.ifna(VLOOKUP(G3465,Proyectos!$A$2:$T$674,20,0),"")</f>
        <v>#NAME?</v>
      </c>
      <c r="N3465" s="32" t="e">
        <f ca="1">_xludf.ifna(VLOOKUP(G3465,Proyectos!$A$2:$S$674,19,0))</f>
        <v>#NAME?</v>
      </c>
      <c r="O3465" s="32"/>
      <c r="P3465" s="32"/>
      <c r="Q3465" s="33"/>
      <c r="R3465" s="33"/>
      <c r="S3465" s="33"/>
      <c r="T3465" s="63"/>
      <c r="U3465" s="33"/>
      <c r="V3465" s="33"/>
      <c r="W3465" s="33"/>
    </row>
    <row r="3466" spans="1:23" ht="16.5" customHeight="1" x14ac:dyDescent="0.2">
      <c r="A3466" s="26"/>
      <c r="B3466" s="26"/>
      <c r="C3466" s="26"/>
      <c r="D3466" s="26"/>
      <c r="E3466" s="26"/>
      <c r="F3466" s="28"/>
      <c r="G3466" s="26"/>
      <c r="H3466" s="32"/>
      <c r="I3466" s="32"/>
      <c r="J3466" s="32"/>
      <c r="K3466" s="32"/>
      <c r="L3466" s="32" t="e">
        <f ca="1">_xludf.ifna(VLOOKUP(E3466,Parámetros!$D$2:$E$34,2,0),"")</f>
        <v>#NAME?</v>
      </c>
      <c r="M3466" s="32" t="e">
        <f ca="1">_xludf.ifna(VLOOKUP(G3466,Proyectos!$A$2:$T$674,20,0),"")</f>
        <v>#NAME?</v>
      </c>
      <c r="N3466" s="32" t="e">
        <f ca="1">_xludf.ifna(VLOOKUP(G3466,Proyectos!$A$2:$S$674,19,0))</f>
        <v>#NAME?</v>
      </c>
      <c r="O3466" s="32"/>
      <c r="P3466" s="32"/>
      <c r="Q3466" s="33"/>
      <c r="R3466" s="33"/>
      <c r="S3466" s="33"/>
      <c r="T3466" s="63"/>
      <c r="U3466" s="33"/>
      <c r="V3466" s="33"/>
      <c r="W3466" s="33"/>
    </row>
    <row r="3467" spans="1:23" ht="16.5" customHeight="1" x14ac:dyDescent="0.2">
      <c r="A3467" s="26"/>
      <c r="B3467" s="26"/>
      <c r="C3467" s="26"/>
      <c r="D3467" s="26"/>
      <c r="E3467" s="26"/>
      <c r="F3467" s="28"/>
      <c r="G3467" s="26"/>
      <c r="H3467" s="32"/>
      <c r="I3467" s="32"/>
      <c r="J3467" s="32"/>
      <c r="K3467" s="32"/>
      <c r="L3467" s="32" t="e">
        <f ca="1">_xludf.ifna(VLOOKUP(E3467,Parámetros!$D$2:$E$34,2,0),"")</f>
        <v>#NAME?</v>
      </c>
      <c r="M3467" s="32" t="e">
        <f ca="1">_xludf.ifna(VLOOKUP(G3467,Proyectos!$A$2:$T$674,20,0),"")</f>
        <v>#NAME?</v>
      </c>
      <c r="N3467" s="32" t="e">
        <f ca="1">_xludf.ifna(VLOOKUP(G3467,Proyectos!$A$2:$S$674,19,0))</f>
        <v>#NAME?</v>
      </c>
      <c r="O3467" s="32"/>
      <c r="P3467" s="32"/>
      <c r="Q3467" s="33"/>
      <c r="R3467" s="33"/>
      <c r="S3467" s="33"/>
      <c r="T3467" s="63"/>
      <c r="U3467" s="33"/>
      <c r="V3467" s="33"/>
      <c r="W3467" s="33"/>
    </row>
    <row r="3468" spans="1:23" ht="16.5" customHeight="1" x14ac:dyDescent="0.2">
      <c r="A3468" s="26"/>
      <c r="B3468" s="26"/>
      <c r="C3468" s="26"/>
      <c r="D3468" s="26"/>
      <c r="E3468" s="26"/>
      <c r="F3468" s="28"/>
      <c r="G3468" s="26"/>
      <c r="H3468" s="32"/>
      <c r="I3468" s="32"/>
      <c r="J3468" s="32"/>
      <c r="K3468" s="32"/>
      <c r="L3468" s="32" t="e">
        <f ca="1">_xludf.ifna(VLOOKUP(E3468,Parámetros!$D$2:$E$34,2,0),"")</f>
        <v>#NAME?</v>
      </c>
      <c r="M3468" s="32" t="e">
        <f ca="1">_xludf.ifna(VLOOKUP(G3468,Proyectos!$A$2:$T$674,20,0),"")</f>
        <v>#NAME?</v>
      </c>
      <c r="N3468" s="32" t="e">
        <f ca="1">_xludf.ifna(VLOOKUP(G3468,Proyectos!$A$2:$S$674,19,0))</f>
        <v>#NAME?</v>
      </c>
      <c r="O3468" s="32"/>
      <c r="P3468" s="32"/>
      <c r="Q3468" s="33"/>
      <c r="R3468" s="33"/>
      <c r="S3468" s="33"/>
      <c r="T3468" s="63"/>
      <c r="U3468" s="33"/>
      <c r="V3468" s="33"/>
      <c r="W3468" s="33"/>
    </row>
    <row r="3469" spans="1:23" ht="16.5" customHeight="1" x14ac:dyDescent="0.2">
      <c r="A3469" s="26"/>
      <c r="B3469" s="26"/>
      <c r="C3469" s="26"/>
      <c r="D3469" s="26"/>
      <c r="E3469" s="26"/>
      <c r="F3469" s="28"/>
      <c r="G3469" s="26"/>
      <c r="H3469" s="32"/>
      <c r="I3469" s="32"/>
      <c r="J3469" s="32"/>
      <c r="K3469" s="32"/>
      <c r="L3469" s="32" t="e">
        <f ca="1">_xludf.ifna(VLOOKUP(E3469,Parámetros!$D$2:$E$34,2,0),"")</f>
        <v>#NAME?</v>
      </c>
      <c r="M3469" s="32" t="e">
        <f ca="1">_xludf.ifna(VLOOKUP(G3469,Proyectos!$A$2:$T$674,20,0),"")</f>
        <v>#NAME?</v>
      </c>
      <c r="N3469" s="32" t="e">
        <f ca="1">_xludf.ifna(VLOOKUP(G3469,Proyectos!$A$2:$S$674,19,0))</f>
        <v>#NAME?</v>
      </c>
      <c r="O3469" s="32"/>
      <c r="P3469" s="32"/>
      <c r="Q3469" s="33"/>
      <c r="R3469" s="33"/>
      <c r="S3469" s="33"/>
      <c r="T3469" s="63"/>
      <c r="U3469" s="33"/>
      <c r="V3469" s="33"/>
      <c r="W3469" s="33"/>
    </row>
    <row r="3470" spans="1:23" ht="16.5" customHeight="1" x14ac:dyDescent="0.2">
      <c r="A3470" s="26"/>
      <c r="B3470" s="26"/>
      <c r="C3470" s="26"/>
      <c r="D3470" s="26"/>
      <c r="E3470" s="26"/>
      <c r="F3470" s="28"/>
      <c r="G3470" s="26"/>
      <c r="H3470" s="32"/>
      <c r="I3470" s="32"/>
      <c r="J3470" s="32"/>
      <c r="K3470" s="32"/>
      <c r="L3470" s="32" t="e">
        <f ca="1">_xludf.ifna(VLOOKUP(E3470,Parámetros!$D$2:$E$34,2,0),"")</f>
        <v>#NAME?</v>
      </c>
      <c r="M3470" s="32" t="e">
        <f ca="1">_xludf.ifna(VLOOKUP(G3470,Proyectos!$A$2:$T$674,20,0),"")</f>
        <v>#NAME?</v>
      </c>
      <c r="N3470" s="32" t="e">
        <f ca="1">_xludf.ifna(VLOOKUP(G3470,Proyectos!$A$2:$S$674,19,0))</f>
        <v>#NAME?</v>
      </c>
      <c r="O3470" s="32"/>
      <c r="P3470" s="32"/>
      <c r="Q3470" s="33"/>
      <c r="R3470" s="33"/>
      <c r="S3470" s="33"/>
      <c r="T3470" s="63"/>
      <c r="U3470" s="33"/>
      <c r="V3470" s="33"/>
      <c r="W3470" s="33"/>
    </row>
    <row r="3471" spans="1:23" ht="16.5" customHeight="1" x14ac:dyDescent="0.2">
      <c r="A3471" s="26"/>
      <c r="B3471" s="26"/>
      <c r="C3471" s="26"/>
      <c r="D3471" s="26"/>
      <c r="E3471" s="26"/>
      <c r="F3471" s="28"/>
      <c r="G3471" s="26"/>
      <c r="H3471" s="32"/>
      <c r="I3471" s="32"/>
      <c r="J3471" s="32"/>
      <c r="K3471" s="32"/>
      <c r="L3471" s="32" t="e">
        <f ca="1">_xludf.ifna(VLOOKUP(E3471,Parámetros!$D$2:$E$34,2,0),"")</f>
        <v>#NAME?</v>
      </c>
      <c r="M3471" s="32" t="e">
        <f ca="1">_xludf.ifna(VLOOKUP(G3471,Proyectos!$A$2:$T$674,20,0),"")</f>
        <v>#NAME?</v>
      </c>
      <c r="N3471" s="32" t="e">
        <f ca="1">_xludf.ifna(VLOOKUP(G3471,Proyectos!$A$2:$S$674,19,0))</f>
        <v>#NAME?</v>
      </c>
      <c r="O3471" s="32"/>
      <c r="P3471" s="32"/>
      <c r="Q3471" s="33"/>
      <c r="R3471" s="33"/>
      <c r="S3471" s="33"/>
      <c r="T3471" s="63"/>
      <c r="U3471" s="33"/>
      <c r="V3471" s="33"/>
      <c r="W3471" s="33"/>
    </row>
    <row r="3472" spans="1:23" ht="16.5" customHeight="1" x14ac:dyDescent="0.2">
      <c r="A3472" s="26"/>
      <c r="B3472" s="26"/>
      <c r="C3472" s="26"/>
      <c r="D3472" s="26"/>
      <c r="E3472" s="26"/>
      <c r="F3472" s="28"/>
      <c r="G3472" s="26"/>
      <c r="H3472" s="32"/>
      <c r="I3472" s="32"/>
      <c r="J3472" s="32"/>
      <c r="K3472" s="32"/>
      <c r="L3472" s="32" t="e">
        <f ca="1">_xludf.ifna(VLOOKUP(E3472,Parámetros!$D$2:$E$34,2,0),"")</f>
        <v>#NAME?</v>
      </c>
      <c r="M3472" s="32" t="e">
        <f ca="1">_xludf.ifna(VLOOKUP(G3472,Proyectos!$A$2:$T$674,20,0),"")</f>
        <v>#NAME?</v>
      </c>
      <c r="N3472" s="32" t="e">
        <f ca="1">_xludf.ifna(VLOOKUP(G3472,Proyectos!$A$2:$S$674,19,0))</f>
        <v>#NAME?</v>
      </c>
      <c r="O3472" s="32"/>
      <c r="P3472" s="32"/>
      <c r="Q3472" s="33"/>
      <c r="R3472" s="33"/>
      <c r="S3472" s="33"/>
      <c r="T3472" s="63"/>
      <c r="U3472" s="33"/>
      <c r="V3472" s="33"/>
      <c r="W3472" s="33"/>
    </row>
    <row r="3473" spans="1:23" ht="16.5" customHeight="1" x14ac:dyDescent="0.2">
      <c r="A3473" s="26"/>
      <c r="B3473" s="26"/>
      <c r="C3473" s="26"/>
      <c r="D3473" s="26"/>
      <c r="E3473" s="26"/>
      <c r="F3473" s="28"/>
      <c r="G3473" s="26"/>
      <c r="H3473" s="32"/>
      <c r="I3473" s="32"/>
      <c r="J3473" s="32"/>
      <c r="K3473" s="32"/>
      <c r="L3473" s="32" t="e">
        <f ca="1">_xludf.ifna(VLOOKUP(E3473,Parámetros!$D$2:$E$34,2,0),"")</f>
        <v>#NAME?</v>
      </c>
      <c r="M3473" s="32" t="e">
        <f ca="1">_xludf.ifna(VLOOKUP(G3473,Proyectos!$A$2:$T$674,20,0),"")</f>
        <v>#NAME?</v>
      </c>
      <c r="N3473" s="32" t="e">
        <f ca="1">_xludf.ifna(VLOOKUP(G3473,Proyectos!$A$2:$S$674,19,0))</f>
        <v>#NAME?</v>
      </c>
      <c r="O3473" s="32"/>
      <c r="P3473" s="32"/>
      <c r="Q3473" s="33"/>
      <c r="R3473" s="33"/>
      <c r="S3473" s="33"/>
      <c r="T3473" s="63"/>
      <c r="U3473" s="33"/>
      <c r="V3473" s="33"/>
      <c r="W3473" s="33"/>
    </row>
    <row r="3474" spans="1:23" ht="16.5" customHeight="1" x14ac:dyDescent="0.2">
      <c r="A3474" s="26"/>
      <c r="B3474" s="26"/>
      <c r="C3474" s="26"/>
      <c r="D3474" s="26"/>
      <c r="E3474" s="26"/>
      <c r="F3474" s="28"/>
      <c r="G3474" s="26"/>
      <c r="H3474" s="32"/>
      <c r="I3474" s="32"/>
      <c r="J3474" s="32"/>
      <c r="K3474" s="32"/>
      <c r="L3474" s="32" t="e">
        <f ca="1">_xludf.ifna(VLOOKUP(E3474,Parámetros!$D$2:$E$34,2,0),"")</f>
        <v>#NAME?</v>
      </c>
      <c r="M3474" s="32" t="e">
        <f ca="1">_xludf.ifna(VLOOKUP(G3474,Proyectos!$A$2:$T$674,20,0),"")</f>
        <v>#NAME?</v>
      </c>
      <c r="N3474" s="32" t="e">
        <f ca="1">_xludf.ifna(VLOOKUP(G3474,Proyectos!$A$2:$S$674,19,0))</f>
        <v>#NAME?</v>
      </c>
      <c r="O3474" s="32"/>
      <c r="P3474" s="32"/>
      <c r="Q3474" s="33"/>
      <c r="R3474" s="33"/>
      <c r="S3474" s="33"/>
      <c r="T3474" s="63"/>
      <c r="U3474" s="33"/>
      <c r="V3474" s="33"/>
      <c r="W3474" s="33"/>
    </row>
    <row r="3475" spans="1:23" ht="16.5" customHeight="1" x14ac:dyDescent="0.2">
      <c r="A3475" s="26"/>
      <c r="B3475" s="26"/>
      <c r="C3475" s="26"/>
      <c r="D3475" s="26"/>
      <c r="E3475" s="26"/>
      <c r="F3475" s="28"/>
      <c r="G3475" s="26"/>
      <c r="H3475" s="32"/>
      <c r="I3475" s="32"/>
      <c r="J3475" s="32"/>
      <c r="K3475" s="32"/>
      <c r="L3475" s="32" t="e">
        <f ca="1">_xludf.ifna(VLOOKUP(E3475,Parámetros!$D$2:$E$34,2,0),"")</f>
        <v>#NAME?</v>
      </c>
      <c r="M3475" s="32" t="e">
        <f ca="1">_xludf.ifna(VLOOKUP(G3475,Proyectos!$A$2:$T$674,20,0),"")</f>
        <v>#NAME?</v>
      </c>
      <c r="N3475" s="32" t="e">
        <f ca="1">_xludf.ifna(VLOOKUP(G3475,Proyectos!$A$2:$S$674,19,0))</f>
        <v>#NAME?</v>
      </c>
      <c r="O3475" s="32"/>
      <c r="P3475" s="32"/>
      <c r="Q3475" s="33"/>
      <c r="R3475" s="33"/>
      <c r="S3475" s="33"/>
      <c r="T3475" s="63"/>
      <c r="U3475" s="33"/>
      <c r="V3475" s="33"/>
      <c r="W3475" s="33"/>
    </row>
    <row r="3476" spans="1:23" ht="16.5" customHeight="1" x14ac:dyDescent="0.2">
      <c r="A3476" s="26"/>
      <c r="B3476" s="26"/>
      <c r="C3476" s="26"/>
      <c r="D3476" s="26"/>
      <c r="E3476" s="26"/>
      <c r="F3476" s="28"/>
      <c r="G3476" s="26"/>
      <c r="H3476" s="32"/>
      <c r="I3476" s="32"/>
      <c r="J3476" s="32"/>
      <c r="K3476" s="32"/>
      <c r="L3476" s="32" t="e">
        <f ca="1">_xludf.ifna(VLOOKUP(E3476,Parámetros!$D$2:$E$34,2,0),"")</f>
        <v>#NAME?</v>
      </c>
      <c r="M3476" s="32" t="e">
        <f ca="1">_xludf.ifna(VLOOKUP(G3476,Proyectos!$A$2:$T$674,20,0),"")</f>
        <v>#NAME?</v>
      </c>
      <c r="N3476" s="32" t="e">
        <f ca="1">_xludf.ifna(VLOOKUP(G3476,Proyectos!$A$2:$S$674,19,0))</f>
        <v>#NAME?</v>
      </c>
      <c r="O3476" s="32"/>
      <c r="P3476" s="32"/>
      <c r="Q3476" s="33"/>
      <c r="R3476" s="33"/>
      <c r="S3476" s="33"/>
      <c r="T3476" s="63"/>
      <c r="U3476" s="33"/>
      <c r="V3476" s="33"/>
      <c r="W3476" s="33"/>
    </row>
    <row r="3477" spans="1:23" ht="16.5" customHeight="1" x14ac:dyDescent="0.2">
      <c r="A3477" s="26"/>
      <c r="B3477" s="26"/>
      <c r="C3477" s="26"/>
      <c r="D3477" s="26"/>
      <c r="E3477" s="26"/>
      <c r="F3477" s="28"/>
      <c r="G3477" s="26"/>
      <c r="H3477" s="32"/>
      <c r="I3477" s="32"/>
      <c r="J3477" s="32"/>
      <c r="K3477" s="32"/>
      <c r="L3477" s="32" t="e">
        <f ca="1">_xludf.ifna(VLOOKUP(E3477,Parámetros!$D$2:$E$34,2,0),"")</f>
        <v>#NAME?</v>
      </c>
      <c r="M3477" s="32" t="e">
        <f ca="1">_xludf.ifna(VLOOKUP(G3477,Proyectos!$A$2:$T$674,20,0),"")</f>
        <v>#NAME?</v>
      </c>
      <c r="N3477" s="32" t="e">
        <f ca="1">_xludf.ifna(VLOOKUP(G3477,Proyectos!$A$2:$S$674,19,0))</f>
        <v>#NAME?</v>
      </c>
      <c r="O3477" s="32"/>
      <c r="P3477" s="32"/>
      <c r="Q3477" s="33"/>
      <c r="R3477" s="33"/>
      <c r="S3477" s="33"/>
      <c r="T3477" s="63"/>
      <c r="U3477" s="33"/>
      <c r="V3477" s="33"/>
      <c r="W3477" s="33"/>
    </row>
    <row r="3478" spans="1:23" ht="16.5" customHeight="1" x14ac:dyDescent="0.2">
      <c r="A3478" s="26"/>
      <c r="B3478" s="26"/>
      <c r="C3478" s="26"/>
      <c r="D3478" s="26"/>
      <c r="E3478" s="26"/>
      <c r="F3478" s="28"/>
      <c r="G3478" s="26"/>
      <c r="H3478" s="32"/>
      <c r="I3478" s="32"/>
      <c r="J3478" s="32"/>
      <c r="K3478" s="32"/>
      <c r="L3478" s="32" t="e">
        <f ca="1">_xludf.ifna(VLOOKUP(E3478,Parámetros!$D$2:$E$34,2,0),"")</f>
        <v>#NAME?</v>
      </c>
      <c r="M3478" s="32" t="e">
        <f ca="1">_xludf.ifna(VLOOKUP(G3478,Proyectos!$A$2:$T$674,20,0),"")</f>
        <v>#NAME?</v>
      </c>
      <c r="N3478" s="32" t="e">
        <f ca="1">_xludf.ifna(VLOOKUP(G3478,Proyectos!$A$2:$S$674,19,0))</f>
        <v>#NAME?</v>
      </c>
      <c r="O3478" s="32"/>
      <c r="P3478" s="32"/>
      <c r="Q3478" s="33"/>
      <c r="R3478" s="33"/>
      <c r="S3478" s="33"/>
      <c r="T3478" s="63"/>
      <c r="U3478" s="33"/>
      <c r="V3478" s="33"/>
      <c r="W3478" s="33"/>
    </row>
    <row r="3479" spans="1:23" ht="16.5" customHeight="1" x14ac:dyDescent="0.2">
      <c r="A3479" s="26"/>
      <c r="B3479" s="26"/>
      <c r="C3479" s="26"/>
      <c r="D3479" s="26"/>
      <c r="E3479" s="26"/>
      <c r="F3479" s="28"/>
      <c r="G3479" s="26"/>
      <c r="H3479" s="32"/>
      <c r="I3479" s="32"/>
      <c r="J3479" s="32"/>
      <c r="K3479" s="32"/>
      <c r="L3479" s="32" t="e">
        <f ca="1">_xludf.ifna(VLOOKUP(E3479,Parámetros!$D$2:$E$34,2,0),"")</f>
        <v>#NAME?</v>
      </c>
      <c r="M3479" s="32" t="e">
        <f ca="1">_xludf.ifna(VLOOKUP(G3479,Proyectos!$A$2:$T$674,20,0),"")</f>
        <v>#NAME?</v>
      </c>
      <c r="N3479" s="32" t="e">
        <f ca="1">_xludf.ifna(VLOOKUP(G3479,Proyectos!$A$2:$S$674,19,0))</f>
        <v>#NAME?</v>
      </c>
      <c r="O3479" s="32"/>
      <c r="P3479" s="32"/>
      <c r="Q3479" s="33"/>
      <c r="R3479" s="33"/>
      <c r="S3479" s="33"/>
      <c r="T3479" s="63"/>
      <c r="U3479" s="33"/>
      <c r="V3479" s="33"/>
      <c r="W3479" s="33"/>
    </row>
    <row r="3480" spans="1:23" ht="16.5" customHeight="1" x14ac:dyDescent="0.2">
      <c r="A3480" s="26"/>
      <c r="B3480" s="26"/>
      <c r="C3480" s="26"/>
      <c r="D3480" s="26"/>
      <c r="E3480" s="26"/>
      <c r="F3480" s="28"/>
      <c r="G3480" s="26"/>
      <c r="H3480" s="32"/>
      <c r="I3480" s="32"/>
      <c r="J3480" s="32"/>
      <c r="K3480" s="32"/>
      <c r="L3480" s="32" t="e">
        <f ca="1">_xludf.ifna(VLOOKUP(E3480,Parámetros!$D$2:$E$34,2,0),"")</f>
        <v>#NAME?</v>
      </c>
      <c r="M3480" s="32" t="e">
        <f ca="1">_xludf.ifna(VLOOKUP(G3480,Proyectos!$A$2:$T$674,20,0),"")</f>
        <v>#NAME?</v>
      </c>
      <c r="N3480" s="32" t="e">
        <f ca="1">_xludf.ifna(VLOOKUP(G3480,Proyectos!$A$2:$S$674,19,0))</f>
        <v>#NAME?</v>
      </c>
      <c r="O3480" s="32"/>
      <c r="P3480" s="32"/>
      <c r="Q3480" s="33"/>
      <c r="R3480" s="33"/>
      <c r="S3480" s="33"/>
      <c r="T3480" s="63"/>
      <c r="U3480" s="33"/>
      <c r="V3480" s="33"/>
      <c r="W3480" s="33"/>
    </row>
    <row r="3481" spans="1:23" ht="16.5" customHeight="1" x14ac:dyDescent="0.2">
      <c r="A3481" s="26"/>
      <c r="B3481" s="26"/>
      <c r="C3481" s="26"/>
      <c r="D3481" s="26"/>
      <c r="E3481" s="26"/>
      <c r="F3481" s="28"/>
      <c r="G3481" s="26"/>
      <c r="H3481" s="32"/>
      <c r="I3481" s="32"/>
      <c r="J3481" s="32"/>
      <c r="K3481" s="32"/>
      <c r="L3481" s="32" t="e">
        <f ca="1">_xludf.ifna(VLOOKUP(E3481,Parámetros!$D$2:$E$34,2,0),"")</f>
        <v>#NAME?</v>
      </c>
      <c r="M3481" s="32" t="e">
        <f ca="1">_xludf.ifna(VLOOKUP(G3481,Proyectos!$A$2:$T$674,20,0),"")</f>
        <v>#NAME?</v>
      </c>
      <c r="N3481" s="32" t="e">
        <f ca="1">_xludf.ifna(VLOOKUP(G3481,Proyectos!$A$2:$S$674,19,0))</f>
        <v>#NAME?</v>
      </c>
      <c r="O3481" s="32"/>
      <c r="P3481" s="32"/>
      <c r="Q3481" s="33"/>
      <c r="R3481" s="33"/>
      <c r="S3481" s="33"/>
      <c r="T3481" s="63"/>
      <c r="U3481" s="33"/>
      <c r="V3481" s="33"/>
      <c r="W3481" s="33"/>
    </row>
    <row r="3482" spans="1:23" ht="16.5" customHeight="1" x14ac:dyDescent="0.2">
      <c r="A3482" s="26"/>
      <c r="B3482" s="26"/>
      <c r="C3482" s="26"/>
      <c r="D3482" s="26"/>
      <c r="E3482" s="26"/>
      <c r="F3482" s="28"/>
      <c r="G3482" s="26"/>
      <c r="H3482" s="32"/>
      <c r="I3482" s="32"/>
      <c r="J3482" s="32"/>
      <c r="K3482" s="32"/>
      <c r="L3482" s="32" t="e">
        <f ca="1">_xludf.ifna(VLOOKUP(E3482,Parámetros!$D$2:$E$34,2,0),"")</f>
        <v>#NAME?</v>
      </c>
      <c r="M3482" s="32" t="e">
        <f ca="1">_xludf.ifna(VLOOKUP(G3482,Proyectos!$A$2:$T$674,20,0),"")</f>
        <v>#NAME?</v>
      </c>
      <c r="N3482" s="32" t="e">
        <f ca="1">_xludf.ifna(VLOOKUP(G3482,Proyectos!$A$2:$S$674,19,0))</f>
        <v>#NAME?</v>
      </c>
      <c r="O3482" s="32"/>
      <c r="P3482" s="32"/>
      <c r="Q3482" s="33"/>
      <c r="R3482" s="33"/>
      <c r="S3482" s="33"/>
      <c r="T3482" s="63"/>
      <c r="U3482" s="33"/>
      <c r="V3482" s="33"/>
      <c r="W3482" s="33"/>
    </row>
    <row r="3483" spans="1:23" ht="16.5" customHeight="1" x14ac:dyDescent="0.2">
      <c r="A3483" s="26"/>
      <c r="B3483" s="26"/>
      <c r="C3483" s="26"/>
      <c r="D3483" s="26"/>
      <c r="E3483" s="26"/>
      <c r="F3483" s="28"/>
      <c r="G3483" s="26"/>
      <c r="H3483" s="32"/>
      <c r="I3483" s="32"/>
      <c r="J3483" s="32"/>
      <c r="K3483" s="32"/>
      <c r="L3483" s="32" t="e">
        <f ca="1">_xludf.ifna(VLOOKUP(E3483,Parámetros!$D$2:$E$34,2,0),"")</f>
        <v>#NAME?</v>
      </c>
      <c r="M3483" s="32" t="e">
        <f ca="1">_xludf.ifna(VLOOKUP(G3483,Proyectos!$A$2:$T$674,20,0),"")</f>
        <v>#NAME?</v>
      </c>
      <c r="N3483" s="32" t="e">
        <f ca="1">_xludf.ifna(VLOOKUP(G3483,Proyectos!$A$2:$S$674,19,0))</f>
        <v>#NAME?</v>
      </c>
      <c r="O3483" s="32"/>
      <c r="P3483" s="32"/>
      <c r="Q3483" s="33"/>
      <c r="R3483" s="33"/>
      <c r="S3483" s="33"/>
      <c r="T3483" s="63"/>
      <c r="U3483" s="33"/>
      <c r="V3483" s="33"/>
      <c r="W3483" s="33"/>
    </row>
    <row r="3484" spans="1:23" ht="16.5" customHeight="1" x14ac:dyDescent="0.2">
      <c r="A3484" s="26"/>
      <c r="B3484" s="26"/>
      <c r="C3484" s="26"/>
      <c r="D3484" s="26"/>
      <c r="E3484" s="26"/>
      <c r="F3484" s="28"/>
      <c r="G3484" s="26"/>
      <c r="H3484" s="32"/>
      <c r="I3484" s="32"/>
      <c r="J3484" s="32"/>
      <c r="K3484" s="32"/>
      <c r="L3484" s="32" t="e">
        <f ca="1">_xludf.ifna(VLOOKUP(E3484,Parámetros!$D$2:$E$34,2,0),"")</f>
        <v>#NAME?</v>
      </c>
      <c r="M3484" s="32" t="e">
        <f ca="1">_xludf.ifna(VLOOKUP(G3484,Proyectos!$A$2:$T$674,20,0),"")</f>
        <v>#NAME?</v>
      </c>
      <c r="N3484" s="32" t="e">
        <f ca="1">_xludf.ifna(VLOOKUP(G3484,Proyectos!$A$2:$S$674,19,0))</f>
        <v>#NAME?</v>
      </c>
      <c r="O3484" s="32"/>
      <c r="P3484" s="32"/>
      <c r="Q3484" s="33"/>
      <c r="R3484" s="33"/>
      <c r="S3484" s="33"/>
      <c r="T3484" s="63"/>
      <c r="U3484" s="33"/>
      <c r="V3484" s="33"/>
      <c r="W3484" s="33"/>
    </row>
    <row r="3485" spans="1:23" ht="16.5" customHeight="1" x14ac:dyDescent="0.2">
      <c r="A3485" s="26"/>
      <c r="B3485" s="26"/>
      <c r="C3485" s="26"/>
      <c r="D3485" s="26"/>
      <c r="E3485" s="26"/>
      <c r="F3485" s="28"/>
      <c r="G3485" s="26"/>
      <c r="H3485" s="32"/>
      <c r="I3485" s="32"/>
      <c r="J3485" s="32"/>
      <c r="K3485" s="32"/>
      <c r="L3485" s="32" t="e">
        <f ca="1">_xludf.ifna(VLOOKUP(E3485,Parámetros!$D$2:$E$34,2,0),"")</f>
        <v>#NAME?</v>
      </c>
      <c r="M3485" s="32" t="e">
        <f ca="1">_xludf.ifna(VLOOKUP(G3485,Proyectos!$A$2:$T$674,20,0),"")</f>
        <v>#NAME?</v>
      </c>
      <c r="N3485" s="32" t="e">
        <f ca="1">_xludf.ifna(VLOOKUP(G3485,Proyectos!$A$2:$S$674,19,0))</f>
        <v>#NAME?</v>
      </c>
      <c r="O3485" s="32"/>
      <c r="P3485" s="32"/>
      <c r="Q3485" s="33"/>
      <c r="R3485" s="33"/>
      <c r="S3485" s="33"/>
      <c r="T3485" s="63"/>
      <c r="U3485" s="33"/>
      <c r="V3485" s="33"/>
      <c r="W3485" s="33"/>
    </row>
    <row r="3486" spans="1:23" ht="16.5" customHeight="1" x14ac:dyDescent="0.2">
      <c r="A3486" s="26"/>
      <c r="B3486" s="26"/>
      <c r="C3486" s="26"/>
      <c r="D3486" s="26"/>
      <c r="E3486" s="26"/>
      <c r="F3486" s="28"/>
      <c r="G3486" s="26"/>
      <c r="H3486" s="32"/>
      <c r="I3486" s="32"/>
      <c r="J3486" s="32"/>
      <c r="K3486" s="32"/>
      <c r="L3486" s="32" t="e">
        <f ca="1">_xludf.ifna(VLOOKUP(E3486,Parámetros!$D$2:$E$34,2,0),"")</f>
        <v>#NAME?</v>
      </c>
      <c r="M3486" s="32" t="e">
        <f ca="1">_xludf.ifna(VLOOKUP(G3486,Proyectos!$A$2:$T$674,20,0),"")</f>
        <v>#NAME?</v>
      </c>
      <c r="N3486" s="32" t="e">
        <f ca="1">_xludf.ifna(VLOOKUP(G3486,Proyectos!$A$2:$S$674,19,0))</f>
        <v>#NAME?</v>
      </c>
      <c r="O3486" s="32"/>
      <c r="P3486" s="32"/>
      <c r="Q3486" s="33"/>
      <c r="R3486" s="33"/>
      <c r="S3486" s="33"/>
      <c r="T3486" s="63"/>
      <c r="U3486" s="33"/>
      <c r="V3486" s="33"/>
      <c r="W3486" s="33"/>
    </row>
    <row r="3487" spans="1:23" ht="16.5" customHeight="1" x14ac:dyDescent="0.2">
      <c r="A3487" s="26"/>
      <c r="B3487" s="26"/>
      <c r="C3487" s="26"/>
      <c r="D3487" s="26"/>
      <c r="E3487" s="26"/>
      <c r="F3487" s="28"/>
      <c r="G3487" s="26"/>
      <c r="H3487" s="32"/>
      <c r="I3487" s="32"/>
      <c r="J3487" s="32"/>
      <c r="K3487" s="32"/>
      <c r="L3487" s="32" t="e">
        <f ca="1">_xludf.ifna(VLOOKUP(E3487,Parámetros!$D$2:$E$34,2,0),"")</f>
        <v>#NAME?</v>
      </c>
      <c r="M3487" s="32" t="e">
        <f ca="1">_xludf.ifna(VLOOKUP(G3487,Proyectos!$A$2:$T$674,20,0),"")</f>
        <v>#NAME?</v>
      </c>
      <c r="N3487" s="32" t="e">
        <f ca="1">_xludf.ifna(VLOOKUP(G3487,Proyectos!$A$2:$S$674,19,0))</f>
        <v>#NAME?</v>
      </c>
      <c r="O3487" s="32"/>
      <c r="P3487" s="32"/>
      <c r="Q3487" s="33"/>
      <c r="R3487" s="33"/>
      <c r="S3487" s="33"/>
      <c r="T3487" s="63"/>
      <c r="U3487" s="33"/>
      <c r="V3487" s="33"/>
      <c r="W3487" s="33"/>
    </row>
    <row r="3488" spans="1:23" ht="16.5" customHeight="1" x14ac:dyDescent="0.2">
      <c r="A3488" s="26"/>
      <c r="B3488" s="26"/>
      <c r="C3488" s="26"/>
      <c r="D3488" s="26"/>
      <c r="E3488" s="26"/>
      <c r="F3488" s="28"/>
      <c r="G3488" s="26"/>
      <c r="H3488" s="32"/>
      <c r="I3488" s="32"/>
      <c r="J3488" s="32"/>
      <c r="K3488" s="32"/>
      <c r="L3488" s="32" t="e">
        <f ca="1">_xludf.ifna(VLOOKUP(E3488,Parámetros!$D$2:$E$34,2,0),"")</f>
        <v>#NAME?</v>
      </c>
      <c r="M3488" s="32" t="e">
        <f ca="1">_xludf.ifna(VLOOKUP(G3488,Proyectos!$A$2:$T$674,20,0),"")</f>
        <v>#NAME?</v>
      </c>
      <c r="N3488" s="32" t="e">
        <f ca="1">_xludf.ifna(VLOOKUP(G3488,Proyectos!$A$2:$S$674,19,0))</f>
        <v>#NAME?</v>
      </c>
      <c r="O3488" s="32"/>
      <c r="P3488" s="32"/>
      <c r="Q3488" s="33"/>
      <c r="R3488" s="33"/>
      <c r="S3488" s="33"/>
      <c r="T3488" s="63"/>
      <c r="U3488" s="33"/>
      <c r="V3488" s="33"/>
      <c r="W3488" s="33"/>
    </row>
    <row r="3489" spans="1:23" ht="16.5" customHeight="1" x14ac:dyDescent="0.2">
      <c r="A3489" s="26"/>
      <c r="B3489" s="26"/>
      <c r="C3489" s="26"/>
      <c r="D3489" s="26"/>
      <c r="E3489" s="26"/>
      <c r="F3489" s="28"/>
      <c r="G3489" s="26"/>
      <c r="H3489" s="32"/>
      <c r="I3489" s="32"/>
      <c r="J3489" s="32"/>
      <c r="K3489" s="32"/>
      <c r="L3489" s="32" t="e">
        <f ca="1">_xludf.ifna(VLOOKUP(E3489,Parámetros!$D$2:$E$34,2,0),"")</f>
        <v>#NAME?</v>
      </c>
      <c r="M3489" s="32" t="e">
        <f ca="1">_xludf.ifna(VLOOKUP(G3489,Proyectos!$A$2:$T$674,20,0),"")</f>
        <v>#NAME?</v>
      </c>
      <c r="N3489" s="32" t="e">
        <f ca="1">_xludf.ifna(VLOOKUP(G3489,Proyectos!$A$2:$S$674,19,0))</f>
        <v>#NAME?</v>
      </c>
      <c r="O3489" s="32"/>
      <c r="P3489" s="32"/>
      <c r="Q3489" s="33"/>
      <c r="R3489" s="33"/>
      <c r="S3489" s="33"/>
      <c r="T3489" s="63"/>
      <c r="U3489" s="33"/>
      <c r="V3489" s="33"/>
      <c r="W3489" s="33"/>
    </row>
    <row r="3490" spans="1:23" ht="16.5" customHeight="1" x14ac:dyDescent="0.2">
      <c r="A3490" s="26"/>
      <c r="B3490" s="26"/>
      <c r="C3490" s="26"/>
      <c r="D3490" s="26"/>
      <c r="E3490" s="26"/>
      <c r="F3490" s="28"/>
      <c r="G3490" s="26"/>
      <c r="H3490" s="32"/>
      <c r="I3490" s="32"/>
      <c r="J3490" s="32"/>
      <c r="K3490" s="32"/>
      <c r="L3490" s="32" t="e">
        <f ca="1">_xludf.ifna(VLOOKUP(E3490,Parámetros!$D$2:$E$34,2,0),"")</f>
        <v>#NAME?</v>
      </c>
      <c r="M3490" s="32" t="e">
        <f ca="1">_xludf.ifna(VLOOKUP(G3490,Proyectos!$A$2:$T$674,20,0),"")</f>
        <v>#NAME?</v>
      </c>
      <c r="N3490" s="32" t="e">
        <f ca="1">_xludf.ifna(VLOOKUP(G3490,Proyectos!$A$2:$S$674,19,0))</f>
        <v>#NAME?</v>
      </c>
      <c r="O3490" s="32"/>
      <c r="P3490" s="32"/>
      <c r="Q3490" s="33"/>
      <c r="R3490" s="33"/>
      <c r="S3490" s="33"/>
      <c r="T3490" s="63"/>
      <c r="U3490" s="33"/>
      <c r="V3490" s="33"/>
      <c r="W3490" s="33"/>
    </row>
    <row r="3491" spans="1:23" ht="16.5" customHeight="1" x14ac:dyDescent="0.2">
      <c r="A3491" s="26"/>
      <c r="B3491" s="26"/>
      <c r="C3491" s="26"/>
      <c r="D3491" s="26"/>
      <c r="E3491" s="26"/>
      <c r="F3491" s="28"/>
      <c r="G3491" s="26"/>
      <c r="H3491" s="32"/>
      <c r="I3491" s="32"/>
      <c r="J3491" s="32"/>
      <c r="K3491" s="32"/>
      <c r="L3491" s="32" t="e">
        <f ca="1">_xludf.ifna(VLOOKUP(E3491,Parámetros!$D$2:$E$34,2,0),"")</f>
        <v>#NAME?</v>
      </c>
      <c r="M3491" s="32" t="e">
        <f ca="1">_xludf.ifna(VLOOKUP(G3491,Proyectos!$A$2:$T$674,20,0),"")</f>
        <v>#NAME?</v>
      </c>
      <c r="N3491" s="32" t="e">
        <f ca="1">_xludf.ifna(VLOOKUP(G3491,Proyectos!$A$2:$S$674,19,0))</f>
        <v>#NAME?</v>
      </c>
      <c r="O3491" s="32"/>
      <c r="P3491" s="32"/>
      <c r="Q3491" s="33"/>
      <c r="R3491" s="33"/>
      <c r="S3491" s="33"/>
      <c r="T3491" s="63"/>
      <c r="U3491" s="33"/>
      <c r="V3491" s="33"/>
      <c r="W3491" s="33"/>
    </row>
    <row r="3492" spans="1:23" ht="16.5" customHeight="1" x14ac:dyDescent="0.2">
      <c r="A3492" s="26"/>
      <c r="B3492" s="26"/>
      <c r="C3492" s="26"/>
      <c r="D3492" s="26"/>
      <c r="E3492" s="26"/>
      <c r="F3492" s="28"/>
      <c r="G3492" s="26"/>
      <c r="H3492" s="32"/>
      <c r="I3492" s="32"/>
      <c r="J3492" s="32"/>
      <c r="K3492" s="32"/>
      <c r="L3492" s="32" t="e">
        <f ca="1">_xludf.ifna(VLOOKUP(E3492,Parámetros!$D$2:$E$34,2,0),"")</f>
        <v>#NAME?</v>
      </c>
      <c r="M3492" s="32" t="e">
        <f ca="1">_xludf.ifna(VLOOKUP(G3492,Proyectos!$A$2:$T$674,20,0),"")</f>
        <v>#NAME?</v>
      </c>
      <c r="N3492" s="32" t="e">
        <f ca="1">_xludf.ifna(VLOOKUP(G3492,Proyectos!$A$2:$S$674,19,0))</f>
        <v>#NAME?</v>
      </c>
      <c r="O3492" s="32"/>
      <c r="P3492" s="32"/>
      <c r="Q3492" s="33"/>
      <c r="R3492" s="33"/>
      <c r="S3492" s="33"/>
      <c r="T3492" s="63"/>
      <c r="U3492" s="33"/>
      <c r="V3492" s="33"/>
      <c r="W3492" s="33"/>
    </row>
    <row r="3493" spans="1:23" ht="16.5" customHeight="1" x14ac:dyDescent="0.2">
      <c r="A3493" s="26"/>
      <c r="B3493" s="26"/>
      <c r="C3493" s="26"/>
      <c r="D3493" s="26"/>
      <c r="E3493" s="26"/>
      <c r="F3493" s="28"/>
      <c r="G3493" s="26"/>
      <c r="H3493" s="32"/>
      <c r="I3493" s="32"/>
      <c r="J3493" s="32"/>
      <c r="K3493" s="32"/>
      <c r="L3493" s="32" t="e">
        <f ca="1">_xludf.ifna(VLOOKUP(E3493,Parámetros!$D$2:$E$34,2,0),"")</f>
        <v>#NAME?</v>
      </c>
      <c r="M3493" s="32" t="e">
        <f ca="1">_xludf.ifna(VLOOKUP(G3493,Proyectos!$A$2:$T$674,20,0),"")</f>
        <v>#NAME?</v>
      </c>
      <c r="N3493" s="32" t="e">
        <f ca="1">_xludf.ifna(VLOOKUP(G3493,Proyectos!$A$2:$S$674,19,0))</f>
        <v>#NAME?</v>
      </c>
      <c r="O3493" s="32"/>
      <c r="P3493" s="32"/>
      <c r="Q3493" s="33"/>
      <c r="R3493" s="33"/>
      <c r="S3493" s="33"/>
      <c r="T3493" s="63"/>
      <c r="U3493" s="33"/>
      <c r="V3493" s="33"/>
      <c r="W3493" s="33"/>
    </row>
    <row r="3494" spans="1:23" ht="16.5" customHeight="1" x14ac:dyDescent="0.2">
      <c r="A3494" s="26"/>
      <c r="B3494" s="26"/>
      <c r="C3494" s="26"/>
      <c r="D3494" s="26"/>
      <c r="E3494" s="26"/>
      <c r="F3494" s="28"/>
      <c r="G3494" s="26"/>
      <c r="H3494" s="32"/>
      <c r="I3494" s="32"/>
      <c r="J3494" s="32"/>
      <c r="K3494" s="32"/>
      <c r="L3494" s="32" t="e">
        <f ca="1">_xludf.ifna(VLOOKUP(E3494,Parámetros!$D$2:$E$34,2,0),"")</f>
        <v>#NAME?</v>
      </c>
      <c r="M3494" s="32" t="e">
        <f ca="1">_xludf.ifna(VLOOKUP(G3494,Proyectos!$A$2:$T$674,20,0),"")</f>
        <v>#NAME?</v>
      </c>
      <c r="N3494" s="32" t="e">
        <f ca="1">_xludf.ifna(VLOOKUP(G3494,Proyectos!$A$2:$S$674,19,0))</f>
        <v>#NAME?</v>
      </c>
      <c r="O3494" s="32"/>
      <c r="P3494" s="32"/>
      <c r="Q3494" s="33"/>
      <c r="R3494" s="33"/>
      <c r="S3494" s="33"/>
      <c r="T3494" s="63"/>
      <c r="U3494" s="33"/>
      <c r="V3494" s="33"/>
      <c r="W3494" s="33"/>
    </row>
    <row r="3495" spans="1:23" ht="16.5" customHeight="1" x14ac:dyDescent="0.2">
      <c r="A3495" s="26"/>
      <c r="B3495" s="26"/>
      <c r="C3495" s="26"/>
      <c r="D3495" s="26"/>
      <c r="E3495" s="26"/>
      <c r="F3495" s="28"/>
      <c r="G3495" s="26"/>
      <c r="H3495" s="32"/>
      <c r="I3495" s="32"/>
      <c r="J3495" s="32"/>
      <c r="K3495" s="32"/>
      <c r="L3495" s="32" t="e">
        <f ca="1">_xludf.ifna(VLOOKUP(E3495,Parámetros!$D$2:$E$34,2,0),"")</f>
        <v>#NAME?</v>
      </c>
      <c r="M3495" s="32" t="e">
        <f ca="1">_xludf.ifna(VLOOKUP(G3495,Proyectos!$A$2:$T$674,20,0),"")</f>
        <v>#NAME?</v>
      </c>
      <c r="N3495" s="32" t="e">
        <f ca="1">_xludf.ifna(VLOOKUP(G3495,Proyectos!$A$2:$S$674,19,0))</f>
        <v>#NAME?</v>
      </c>
      <c r="O3495" s="32"/>
      <c r="P3495" s="32"/>
      <c r="Q3495" s="33"/>
      <c r="R3495" s="33"/>
      <c r="S3495" s="33"/>
      <c r="T3495" s="63"/>
      <c r="U3495" s="33"/>
      <c r="V3495" s="33"/>
      <c r="W3495" s="33"/>
    </row>
    <row r="3496" spans="1:23" ht="16.5" customHeight="1" x14ac:dyDescent="0.2">
      <c r="A3496" s="26"/>
      <c r="B3496" s="26"/>
      <c r="C3496" s="26"/>
      <c r="D3496" s="26"/>
      <c r="E3496" s="26"/>
      <c r="F3496" s="28"/>
      <c r="G3496" s="26"/>
      <c r="H3496" s="32"/>
      <c r="I3496" s="32"/>
      <c r="J3496" s="32"/>
      <c r="K3496" s="32"/>
      <c r="L3496" s="32" t="e">
        <f ca="1">_xludf.ifna(VLOOKUP(E3496,Parámetros!$D$2:$E$34,2,0),"")</f>
        <v>#NAME?</v>
      </c>
      <c r="M3496" s="32" t="e">
        <f ca="1">_xludf.ifna(VLOOKUP(G3496,Proyectos!$A$2:$T$674,20,0),"")</f>
        <v>#NAME?</v>
      </c>
      <c r="N3496" s="32" t="e">
        <f ca="1">_xludf.ifna(VLOOKUP(G3496,Proyectos!$A$2:$S$674,19,0))</f>
        <v>#NAME?</v>
      </c>
      <c r="O3496" s="32"/>
      <c r="P3496" s="32"/>
      <c r="Q3496" s="33"/>
      <c r="R3496" s="33"/>
      <c r="S3496" s="33"/>
      <c r="T3496" s="63"/>
      <c r="U3496" s="33"/>
      <c r="V3496" s="33"/>
      <c r="W3496" s="33"/>
    </row>
    <row r="3497" spans="1:23" ht="16.5" customHeight="1" x14ac:dyDescent="0.2">
      <c r="A3497" s="26"/>
      <c r="B3497" s="26"/>
      <c r="C3497" s="26"/>
      <c r="D3497" s="26"/>
      <c r="E3497" s="26"/>
      <c r="F3497" s="28"/>
      <c r="G3497" s="26"/>
      <c r="H3497" s="32"/>
      <c r="I3497" s="32"/>
      <c r="J3497" s="32"/>
      <c r="K3497" s="32"/>
      <c r="L3497" s="32" t="e">
        <f ca="1">_xludf.ifna(VLOOKUP(E3497,Parámetros!$D$2:$E$34,2,0),"")</f>
        <v>#NAME?</v>
      </c>
      <c r="M3497" s="32" t="e">
        <f ca="1">_xludf.ifna(VLOOKUP(G3497,Proyectos!$A$2:$T$674,20,0),"")</f>
        <v>#NAME?</v>
      </c>
      <c r="N3497" s="32" t="e">
        <f ca="1">_xludf.ifna(VLOOKUP(G3497,Proyectos!$A$2:$S$674,19,0))</f>
        <v>#NAME?</v>
      </c>
      <c r="O3497" s="32"/>
      <c r="P3497" s="32"/>
      <c r="Q3497" s="33"/>
      <c r="R3497" s="33"/>
      <c r="S3497" s="33"/>
      <c r="T3497" s="63"/>
      <c r="U3497" s="33"/>
      <c r="V3497" s="33"/>
      <c r="W3497" s="33"/>
    </row>
    <row r="3498" spans="1:23" ht="16.5" customHeight="1" x14ac:dyDescent="0.2">
      <c r="A3498" s="26"/>
      <c r="B3498" s="26"/>
      <c r="C3498" s="26"/>
      <c r="D3498" s="26"/>
      <c r="E3498" s="26"/>
      <c r="F3498" s="28"/>
      <c r="G3498" s="26"/>
      <c r="H3498" s="32"/>
      <c r="I3498" s="32"/>
      <c r="J3498" s="32"/>
      <c r="K3498" s="32"/>
      <c r="L3498" s="32" t="e">
        <f ca="1">_xludf.ifna(VLOOKUP(E3498,Parámetros!$D$2:$E$34,2,0),"")</f>
        <v>#NAME?</v>
      </c>
      <c r="M3498" s="32" t="e">
        <f ca="1">_xludf.ifna(VLOOKUP(G3498,Proyectos!$A$2:$T$674,20,0),"")</f>
        <v>#NAME?</v>
      </c>
      <c r="N3498" s="32" t="e">
        <f ca="1">_xludf.ifna(VLOOKUP(G3498,Proyectos!$A$2:$S$674,19,0))</f>
        <v>#NAME?</v>
      </c>
      <c r="O3498" s="32"/>
      <c r="P3498" s="32"/>
      <c r="Q3498" s="33"/>
      <c r="R3498" s="33"/>
      <c r="S3498" s="33"/>
      <c r="T3498" s="63"/>
      <c r="U3498" s="33"/>
      <c r="V3498" s="33"/>
      <c r="W3498" s="33"/>
    </row>
    <row r="3499" spans="1:23" ht="16.5" customHeight="1" x14ac:dyDescent="0.2">
      <c r="A3499" s="26"/>
      <c r="B3499" s="26"/>
      <c r="C3499" s="26"/>
      <c r="D3499" s="26"/>
      <c r="E3499" s="26"/>
      <c r="F3499" s="28"/>
      <c r="G3499" s="26"/>
      <c r="H3499" s="32"/>
      <c r="I3499" s="32"/>
      <c r="J3499" s="32"/>
      <c r="K3499" s="32"/>
      <c r="L3499" s="32" t="e">
        <f ca="1">_xludf.ifna(VLOOKUP(E3499,Parámetros!$D$2:$E$34,2,0),"")</f>
        <v>#NAME?</v>
      </c>
      <c r="M3499" s="32" t="e">
        <f ca="1">_xludf.ifna(VLOOKUP(G3499,Proyectos!$A$2:$T$674,20,0),"")</f>
        <v>#NAME?</v>
      </c>
      <c r="N3499" s="32" t="e">
        <f ca="1">_xludf.ifna(VLOOKUP(G3499,Proyectos!$A$2:$S$674,19,0))</f>
        <v>#NAME?</v>
      </c>
      <c r="O3499" s="32"/>
      <c r="P3499" s="32"/>
      <c r="Q3499" s="33"/>
      <c r="R3499" s="33"/>
      <c r="S3499" s="33"/>
      <c r="T3499" s="63"/>
      <c r="U3499" s="33"/>
      <c r="V3499" s="33"/>
      <c r="W3499" s="33"/>
    </row>
    <row r="3500" spans="1:23" ht="16.5" customHeight="1" x14ac:dyDescent="0.2">
      <c r="A3500" s="26"/>
      <c r="B3500" s="26"/>
      <c r="C3500" s="26"/>
      <c r="D3500" s="26"/>
      <c r="E3500" s="26"/>
      <c r="F3500" s="28"/>
      <c r="G3500" s="26"/>
      <c r="H3500" s="32"/>
      <c r="I3500" s="32"/>
      <c r="J3500" s="32"/>
      <c r="K3500" s="32"/>
      <c r="L3500" s="32" t="e">
        <f ca="1">_xludf.ifna(VLOOKUP(E3500,Parámetros!$D$2:$E$34,2,0),"")</f>
        <v>#NAME?</v>
      </c>
      <c r="M3500" s="32" t="e">
        <f ca="1">_xludf.ifna(VLOOKUP(G3500,Proyectos!$A$2:$T$674,20,0),"")</f>
        <v>#NAME?</v>
      </c>
      <c r="N3500" s="32" t="e">
        <f ca="1">_xludf.ifna(VLOOKUP(G3500,Proyectos!$A$2:$S$674,19,0))</f>
        <v>#NAME?</v>
      </c>
      <c r="O3500" s="32"/>
      <c r="P3500" s="32"/>
      <c r="Q3500" s="33"/>
      <c r="R3500" s="33"/>
      <c r="S3500" s="33"/>
      <c r="T3500" s="63"/>
      <c r="U3500" s="33"/>
      <c r="V3500" s="33"/>
      <c r="W3500" s="33"/>
    </row>
    <row r="3501" spans="1:23" ht="16.5" customHeight="1" x14ac:dyDescent="0.2">
      <c r="A3501" s="26"/>
      <c r="B3501" s="26"/>
      <c r="C3501" s="26"/>
      <c r="D3501" s="26"/>
      <c r="E3501" s="26"/>
      <c r="F3501" s="28"/>
      <c r="G3501" s="26"/>
      <c r="H3501" s="32"/>
      <c r="I3501" s="32"/>
      <c r="J3501" s="32"/>
      <c r="K3501" s="32"/>
      <c r="L3501" s="32" t="e">
        <f ca="1">_xludf.ifna(VLOOKUP(E3501,Parámetros!$D$2:$E$34,2,0),"")</f>
        <v>#NAME?</v>
      </c>
      <c r="M3501" s="32" t="e">
        <f ca="1">_xludf.ifna(VLOOKUP(G3501,Proyectos!$A$2:$T$674,20,0),"")</f>
        <v>#NAME?</v>
      </c>
      <c r="N3501" s="32" t="e">
        <f ca="1">_xludf.ifna(VLOOKUP(G3501,Proyectos!$A$2:$S$674,19,0))</f>
        <v>#NAME?</v>
      </c>
      <c r="O3501" s="32"/>
      <c r="P3501" s="32"/>
      <c r="Q3501" s="33"/>
      <c r="R3501" s="33"/>
      <c r="S3501" s="33"/>
      <c r="T3501" s="63"/>
      <c r="U3501" s="33"/>
      <c r="V3501" s="33"/>
      <c r="W3501" s="33"/>
    </row>
    <row r="3502" spans="1:23" ht="16.5" customHeight="1" x14ac:dyDescent="0.2">
      <c r="A3502" s="26"/>
      <c r="B3502" s="26"/>
      <c r="C3502" s="26"/>
      <c r="D3502" s="26"/>
      <c r="E3502" s="26"/>
      <c r="F3502" s="28"/>
      <c r="G3502" s="26"/>
      <c r="H3502" s="32"/>
      <c r="I3502" s="32"/>
      <c r="J3502" s="32"/>
      <c r="K3502" s="32"/>
      <c r="L3502" s="32" t="e">
        <f ca="1">_xludf.ifna(VLOOKUP(E3502,Parámetros!$D$2:$E$34,2,0),"")</f>
        <v>#NAME?</v>
      </c>
      <c r="M3502" s="32" t="e">
        <f ca="1">_xludf.ifna(VLOOKUP(G3502,Proyectos!$A$2:$T$674,20,0),"")</f>
        <v>#NAME?</v>
      </c>
      <c r="N3502" s="32" t="e">
        <f ca="1">_xludf.ifna(VLOOKUP(G3502,Proyectos!$A$2:$S$674,19,0))</f>
        <v>#NAME?</v>
      </c>
      <c r="O3502" s="32"/>
      <c r="P3502" s="32"/>
      <c r="Q3502" s="33"/>
      <c r="R3502" s="33"/>
      <c r="S3502" s="33"/>
      <c r="T3502" s="63"/>
      <c r="U3502" s="33"/>
      <c r="V3502" s="33"/>
      <c r="W3502" s="33"/>
    </row>
    <row r="3503" spans="1:23" ht="16.5" customHeight="1" x14ac:dyDescent="0.2">
      <c r="A3503" s="26"/>
      <c r="B3503" s="26"/>
      <c r="C3503" s="26"/>
      <c r="D3503" s="26"/>
      <c r="E3503" s="26"/>
      <c r="F3503" s="28"/>
      <c r="G3503" s="26"/>
      <c r="H3503" s="32"/>
      <c r="I3503" s="32"/>
      <c r="J3503" s="32"/>
      <c r="K3503" s="32"/>
      <c r="L3503" s="32" t="e">
        <f ca="1">_xludf.ifna(VLOOKUP(E3503,Parámetros!$D$2:$E$34,2,0),"")</f>
        <v>#NAME?</v>
      </c>
      <c r="M3503" s="32" t="e">
        <f ca="1">_xludf.ifna(VLOOKUP(G3503,Proyectos!$A$2:$T$674,20,0),"")</f>
        <v>#NAME?</v>
      </c>
      <c r="N3503" s="32" t="e">
        <f ca="1">_xludf.ifna(VLOOKUP(G3503,Proyectos!$A$2:$S$674,19,0))</f>
        <v>#NAME?</v>
      </c>
      <c r="O3503" s="32"/>
      <c r="P3503" s="32"/>
      <c r="Q3503" s="33"/>
      <c r="R3503" s="33"/>
      <c r="S3503" s="33"/>
      <c r="T3503" s="63"/>
      <c r="U3503" s="33"/>
      <c r="V3503" s="33"/>
      <c r="W3503" s="33"/>
    </row>
    <row r="3504" spans="1:23" ht="16.5" customHeight="1" x14ac:dyDescent="0.2">
      <c r="A3504" s="26"/>
      <c r="B3504" s="26"/>
      <c r="C3504" s="26"/>
      <c r="D3504" s="26"/>
      <c r="E3504" s="26"/>
      <c r="F3504" s="28"/>
      <c r="G3504" s="26"/>
      <c r="H3504" s="32"/>
      <c r="I3504" s="32"/>
      <c r="J3504" s="32"/>
      <c r="K3504" s="32"/>
      <c r="L3504" s="32" t="e">
        <f ca="1">_xludf.ifna(VLOOKUP(E3504,Parámetros!$D$2:$E$34,2,0),"")</f>
        <v>#NAME?</v>
      </c>
      <c r="M3504" s="32" t="e">
        <f ca="1">_xludf.ifna(VLOOKUP(G3504,Proyectos!$A$2:$T$674,20,0),"")</f>
        <v>#NAME?</v>
      </c>
      <c r="N3504" s="32" t="e">
        <f ca="1">_xludf.ifna(VLOOKUP(G3504,Proyectos!$A$2:$S$674,19,0))</f>
        <v>#NAME?</v>
      </c>
      <c r="O3504" s="32"/>
      <c r="P3504" s="32"/>
      <c r="Q3504" s="33"/>
      <c r="R3504" s="33"/>
      <c r="S3504" s="33"/>
      <c r="T3504" s="63"/>
      <c r="U3504" s="33"/>
      <c r="V3504" s="33"/>
      <c r="W3504" s="33"/>
    </row>
    <row r="3505" spans="1:23" ht="16.5" customHeight="1" x14ac:dyDescent="0.2">
      <c r="A3505" s="26"/>
      <c r="B3505" s="26"/>
      <c r="C3505" s="26"/>
      <c r="D3505" s="26"/>
      <c r="E3505" s="26"/>
      <c r="F3505" s="28"/>
      <c r="G3505" s="26"/>
      <c r="H3505" s="32"/>
      <c r="I3505" s="32"/>
      <c r="J3505" s="32"/>
      <c r="K3505" s="32"/>
      <c r="L3505" s="32" t="e">
        <f ca="1">_xludf.ifna(VLOOKUP(E3505,Parámetros!$D$2:$E$34,2,0),"")</f>
        <v>#NAME?</v>
      </c>
      <c r="M3505" s="32" t="e">
        <f ca="1">_xludf.ifna(VLOOKUP(G3505,Proyectos!$A$2:$T$674,20,0),"")</f>
        <v>#NAME?</v>
      </c>
      <c r="N3505" s="32" t="e">
        <f ca="1">_xludf.ifna(VLOOKUP(G3505,Proyectos!$A$2:$S$674,19,0))</f>
        <v>#NAME?</v>
      </c>
      <c r="O3505" s="32"/>
      <c r="P3505" s="32"/>
      <c r="Q3505" s="33"/>
      <c r="R3505" s="33"/>
      <c r="S3505" s="33"/>
      <c r="T3505" s="63"/>
      <c r="U3505" s="33"/>
      <c r="V3505" s="33"/>
      <c r="W3505" s="33"/>
    </row>
    <row r="3506" spans="1:23" ht="16.5" customHeight="1" x14ac:dyDescent="0.2">
      <c r="A3506" s="26"/>
      <c r="B3506" s="26"/>
      <c r="C3506" s="26"/>
      <c r="D3506" s="26"/>
      <c r="E3506" s="26"/>
      <c r="F3506" s="28"/>
      <c r="G3506" s="26"/>
      <c r="H3506" s="32"/>
      <c r="I3506" s="32"/>
      <c r="J3506" s="32"/>
      <c r="K3506" s="32"/>
      <c r="L3506" s="32" t="e">
        <f ca="1">_xludf.ifna(VLOOKUP(E3506,Parámetros!$D$2:$E$34,2,0),"")</f>
        <v>#NAME?</v>
      </c>
      <c r="M3506" s="32" t="e">
        <f ca="1">_xludf.ifna(VLOOKUP(G3506,Proyectos!$A$2:$T$674,20,0),"")</f>
        <v>#NAME?</v>
      </c>
      <c r="N3506" s="32" t="e">
        <f ca="1">_xludf.ifna(VLOOKUP(G3506,Proyectos!$A$2:$S$674,19,0))</f>
        <v>#NAME?</v>
      </c>
      <c r="O3506" s="32"/>
      <c r="P3506" s="32"/>
      <c r="Q3506" s="33"/>
      <c r="R3506" s="33"/>
      <c r="S3506" s="33"/>
      <c r="T3506" s="63"/>
      <c r="U3506" s="33"/>
      <c r="V3506" s="33"/>
      <c r="W3506" s="33"/>
    </row>
    <row r="3507" spans="1:23" ht="16.5" customHeight="1" x14ac:dyDescent="0.2">
      <c r="A3507" s="26"/>
      <c r="B3507" s="26"/>
      <c r="C3507" s="26"/>
      <c r="D3507" s="26"/>
      <c r="E3507" s="26"/>
      <c r="F3507" s="28"/>
      <c r="G3507" s="26"/>
      <c r="H3507" s="32"/>
      <c r="I3507" s="32"/>
      <c r="J3507" s="32"/>
      <c r="K3507" s="32"/>
      <c r="L3507" s="32" t="e">
        <f ca="1">_xludf.ifna(VLOOKUP(E3507,Parámetros!$D$2:$E$34,2,0),"")</f>
        <v>#NAME?</v>
      </c>
      <c r="M3507" s="32" t="e">
        <f ca="1">_xludf.ifna(VLOOKUP(G3507,Proyectos!$A$2:$T$674,20,0),"")</f>
        <v>#NAME?</v>
      </c>
      <c r="N3507" s="32" t="e">
        <f ca="1">_xludf.ifna(VLOOKUP(G3507,Proyectos!$A$2:$S$674,19,0))</f>
        <v>#NAME?</v>
      </c>
      <c r="O3507" s="32"/>
      <c r="P3507" s="32"/>
      <c r="Q3507" s="33"/>
      <c r="R3507" s="33"/>
      <c r="S3507" s="33"/>
      <c r="T3507" s="63"/>
      <c r="U3507" s="33"/>
      <c r="V3507" s="33"/>
      <c r="W3507" s="33"/>
    </row>
    <row r="3508" spans="1:23" ht="16.5" customHeight="1" x14ac:dyDescent="0.2">
      <c r="A3508" s="26"/>
      <c r="B3508" s="26"/>
      <c r="C3508" s="26"/>
      <c r="D3508" s="26"/>
      <c r="E3508" s="26"/>
      <c r="F3508" s="28"/>
      <c r="G3508" s="26"/>
      <c r="H3508" s="32"/>
      <c r="I3508" s="32"/>
      <c r="J3508" s="32"/>
      <c r="K3508" s="32"/>
      <c r="L3508" s="32" t="e">
        <f ca="1">_xludf.ifna(VLOOKUP(E3508,Parámetros!$D$2:$E$34,2,0),"")</f>
        <v>#NAME?</v>
      </c>
      <c r="M3508" s="32" t="e">
        <f ca="1">_xludf.ifna(VLOOKUP(G3508,Proyectos!$A$2:$T$674,20,0),"")</f>
        <v>#NAME?</v>
      </c>
      <c r="N3508" s="32" t="e">
        <f ca="1">_xludf.ifna(VLOOKUP(G3508,Proyectos!$A$2:$S$674,19,0))</f>
        <v>#NAME?</v>
      </c>
      <c r="O3508" s="32"/>
      <c r="P3508" s="32"/>
      <c r="Q3508" s="33"/>
      <c r="R3508" s="33"/>
      <c r="S3508" s="33"/>
      <c r="T3508" s="63"/>
      <c r="U3508" s="33"/>
      <c r="V3508" s="33"/>
      <c r="W3508" s="33"/>
    </row>
    <row r="3509" spans="1:23" ht="16.5" customHeight="1" x14ac:dyDescent="0.2">
      <c r="A3509" s="26"/>
      <c r="B3509" s="26"/>
      <c r="C3509" s="26"/>
      <c r="D3509" s="26"/>
      <c r="E3509" s="26"/>
      <c r="F3509" s="28"/>
      <c r="G3509" s="26"/>
      <c r="H3509" s="32"/>
      <c r="I3509" s="32"/>
      <c r="J3509" s="32"/>
      <c r="K3509" s="32"/>
      <c r="L3509" s="32" t="e">
        <f ca="1">_xludf.ifna(VLOOKUP(E3509,Parámetros!$D$2:$E$34,2,0),"")</f>
        <v>#NAME?</v>
      </c>
      <c r="M3509" s="32" t="e">
        <f ca="1">_xludf.ifna(VLOOKUP(G3509,Proyectos!$A$2:$T$674,20,0),"")</f>
        <v>#NAME?</v>
      </c>
      <c r="N3509" s="32" t="e">
        <f ca="1">_xludf.ifna(VLOOKUP(G3509,Proyectos!$A$2:$S$674,19,0))</f>
        <v>#NAME?</v>
      </c>
      <c r="O3509" s="32"/>
      <c r="P3509" s="32"/>
      <c r="Q3509" s="33"/>
      <c r="R3509" s="33"/>
      <c r="S3509" s="33"/>
      <c r="T3509" s="63"/>
      <c r="U3509" s="33"/>
      <c r="V3509" s="33"/>
      <c r="W3509" s="33"/>
    </row>
    <row r="3510" spans="1:23" ht="16.5" customHeight="1" x14ac:dyDescent="0.2">
      <c r="A3510" s="26"/>
      <c r="B3510" s="26"/>
      <c r="C3510" s="26"/>
      <c r="D3510" s="26"/>
      <c r="E3510" s="26"/>
      <c r="F3510" s="28"/>
      <c r="G3510" s="26"/>
      <c r="H3510" s="32"/>
      <c r="I3510" s="32"/>
      <c r="J3510" s="32"/>
      <c r="K3510" s="32"/>
      <c r="L3510" s="32" t="e">
        <f ca="1">_xludf.ifna(VLOOKUP(E3510,Parámetros!$D$2:$E$34,2,0),"")</f>
        <v>#NAME?</v>
      </c>
      <c r="M3510" s="32" t="e">
        <f ca="1">_xludf.ifna(VLOOKUP(G3510,Proyectos!$A$2:$T$674,20,0),"")</f>
        <v>#NAME?</v>
      </c>
      <c r="N3510" s="32" t="e">
        <f ca="1">_xludf.ifna(VLOOKUP(G3510,Proyectos!$A$2:$S$674,19,0))</f>
        <v>#NAME?</v>
      </c>
      <c r="O3510" s="32"/>
      <c r="P3510" s="32"/>
      <c r="Q3510" s="33"/>
      <c r="R3510" s="33"/>
      <c r="S3510" s="33"/>
      <c r="T3510" s="63"/>
      <c r="U3510" s="33"/>
      <c r="V3510" s="33"/>
      <c r="W3510" s="33"/>
    </row>
    <row r="3511" spans="1:23" ht="16.5" customHeight="1" x14ac:dyDescent="0.2">
      <c r="A3511" s="26"/>
      <c r="B3511" s="26"/>
      <c r="C3511" s="26"/>
      <c r="D3511" s="26"/>
      <c r="E3511" s="26"/>
      <c r="F3511" s="28"/>
      <c r="G3511" s="26"/>
      <c r="H3511" s="32"/>
      <c r="I3511" s="32"/>
      <c r="J3511" s="32"/>
      <c r="K3511" s="32"/>
      <c r="L3511" s="32" t="e">
        <f ca="1">_xludf.ifna(VLOOKUP(E3511,Parámetros!$D$2:$E$34,2,0),"")</f>
        <v>#NAME?</v>
      </c>
      <c r="M3511" s="32" t="e">
        <f ca="1">_xludf.ifna(VLOOKUP(G3511,Proyectos!$A$2:$T$674,20,0),"")</f>
        <v>#NAME?</v>
      </c>
      <c r="N3511" s="32" t="e">
        <f ca="1">_xludf.ifna(VLOOKUP(G3511,Proyectos!$A$2:$S$674,19,0))</f>
        <v>#NAME?</v>
      </c>
      <c r="O3511" s="32"/>
      <c r="P3511" s="32"/>
      <c r="Q3511" s="33"/>
      <c r="R3511" s="33"/>
      <c r="S3511" s="33"/>
      <c r="T3511" s="63"/>
      <c r="U3511" s="33"/>
      <c r="V3511" s="33"/>
      <c r="W3511" s="33"/>
    </row>
    <row r="3512" spans="1:23" ht="16.5" customHeight="1" x14ac:dyDescent="0.2">
      <c r="A3512" s="26"/>
      <c r="B3512" s="26"/>
      <c r="C3512" s="26"/>
      <c r="D3512" s="26"/>
      <c r="E3512" s="26"/>
      <c r="F3512" s="28"/>
      <c r="G3512" s="26"/>
      <c r="H3512" s="32"/>
      <c r="I3512" s="32"/>
      <c r="J3512" s="32"/>
      <c r="K3512" s="32"/>
      <c r="L3512" s="32" t="e">
        <f ca="1">_xludf.ifna(VLOOKUP(E3512,Parámetros!$D$2:$E$34,2,0),"")</f>
        <v>#NAME?</v>
      </c>
      <c r="M3512" s="32" t="e">
        <f ca="1">_xludf.ifna(VLOOKUP(G3512,Proyectos!$A$2:$T$674,20,0),"")</f>
        <v>#NAME?</v>
      </c>
      <c r="N3512" s="32" t="e">
        <f ca="1">_xludf.ifna(VLOOKUP(G3512,Proyectos!$A$2:$S$674,19,0))</f>
        <v>#NAME?</v>
      </c>
      <c r="O3512" s="32"/>
      <c r="P3512" s="32"/>
      <c r="Q3512" s="33"/>
      <c r="R3512" s="33"/>
      <c r="S3512" s="33"/>
      <c r="T3512" s="63"/>
      <c r="U3512" s="33"/>
      <c r="V3512" s="33"/>
      <c r="W3512" s="33"/>
    </row>
    <row r="3513" spans="1:23" ht="16.5" customHeight="1" x14ac:dyDescent="0.2">
      <c r="A3513" s="26"/>
      <c r="B3513" s="26"/>
      <c r="C3513" s="26"/>
      <c r="D3513" s="26"/>
      <c r="E3513" s="26"/>
      <c r="F3513" s="28"/>
      <c r="G3513" s="26"/>
      <c r="H3513" s="32"/>
      <c r="I3513" s="32"/>
      <c r="J3513" s="32"/>
      <c r="K3513" s="32"/>
      <c r="L3513" s="32" t="e">
        <f ca="1">_xludf.ifna(VLOOKUP(E3513,Parámetros!$D$2:$E$34,2,0),"")</f>
        <v>#NAME?</v>
      </c>
      <c r="M3513" s="32" t="e">
        <f ca="1">_xludf.ifna(VLOOKUP(G3513,Proyectos!$A$2:$T$674,20,0),"")</f>
        <v>#NAME?</v>
      </c>
      <c r="N3513" s="32" t="e">
        <f ca="1">_xludf.ifna(VLOOKUP(G3513,Proyectos!$A$2:$S$674,19,0))</f>
        <v>#NAME?</v>
      </c>
      <c r="O3513" s="32"/>
      <c r="P3513" s="32"/>
      <c r="Q3513" s="33"/>
      <c r="R3513" s="33"/>
      <c r="S3513" s="33"/>
      <c r="T3513" s="63"/>
      <c r="U3513" s="33"/>
      <c r="V3513" s="33"/>
      <c r="W3513" s="33"/>
    </row>
    <row r="3514" spans="1:23" ht="16.5" customHeight="1" x14ac:dyDescent="0.2">
      <c r="A3514" s="26"/>
      <c r="B3514" s="26"/>
      <c r="C3514" s="26"/>
      <c r="D3514" s="26"/>
      <c r="E3514" s="26"/>
      <c r="F3514" s="28"/>
      <c r="G3514" s="26"/>
      <c r="H3514" s="32"/>
      <c r="I3514" s="32"/>
      <c r="J3514" s="32"/>
      <c r="K3514" s="32"/>
      <c r="L3514" s="32" t="e">
        <f ca="1">_xludf.ifna(VLOOKUP(E3514,Parámetros!$D$2:$E$34,2,0),"")</f>
        <v>#NAME?</v>
      </c>
      <c r="M3514" s="32" t="e">
        <f ca="1">_xludf.ifna(VLOOKUP(G3514,Proyectos!$A$2:$T$674,20,0),"")</f>
        <v>#NAME?</v>
      </c>
      <c r="N3514" s="32" t="e">
        <f ca="1">_xludf.ifna(VLOOKUP(G3514,Proyectos!$A$2:$S$674,19,0))</f>
        <v>#NAME?</v>
      </c>
      <c r="O3514" s="32"/>
      <c r="P3514" s="32"/>
      <c r="Q3514" s="33"/>
      <c r="R3514" s="33"/>
      <c r="S3514" s="33"/>
      <c r="T3514" s="63"/>
      <c r="U3514" s="33"/>
      <c r="V3514" s="33"/>
      <c r="W3514" s="33"/>
    </row>
    <row r="3515" spans="1:23" ht="16.5" customHeight="1" x14ac:dyDescent="0.2">
      <c r="A3515" s="26"/>
      <c r="B3515" s="26"/>
      <c r="C3515" s="26"/>
      <c r="D3515" s="26"/>
      <c r="E3515" s="26"/>
      <c r="F3515" s="28"/>
      <c r="G3515" s="26"/>
      <c r="H3515" s="32"/>
      <c r="I3515" s="32"/>
      <c r="J3515" s="32"/>
      <c r="K3515" s="32"/>
      <c r="L3515" s="32" t="e">
        <f ca="1">_xludf.ifna(VLOOKUP(E3515,Parámetros!$D$2:$E$34,2,0),"")</f>
        <v>#NAME?</v>
      </c>
      <c r="M3515" s="32" t="e">
        <f ca="1">_xludf.ifna(VLOOKUP(G3515,Proyectos!$A$2:$T$674,20,0),"")</f>
        <v>#NAME?</v>
      </c>
      <c r="N3515" s="32" t="e">
        <f ca="1">_xludf.ifna(VLOOKUP(G3515,Proyectos!$A$2:$S$674,19,0))</f>
        <v>#NAME?</v>
      </c>
      <c r="O3515" s="32"/>
      <c r="P3515" s="32"/>
      <c r="Q3515" s="33"/>
      <c r="R3515" s="33"/>
      <c r="S3515" s="33"/>
      <c r="T3515" s="63"/>
      <c r="U3515" s="33"/>
      <c r="V3515" s="33"/>
      <c r="W3515" s="33"/>
    </row>
    <row r="3516" spans="1:23" ht="16.5" customHeight="1" x14ac:dyDescent="0.2">
      <c r="A3516" s="26"/>
      <c r="B3516" s="26"/>
      <c r="C3516" s="26"/>
      <c r="D3516" s="26"/>
      <c r="E3516" s="26"/>
      <c r="F3516" s="28"/>
      <c r="G3516" s="26"/>
      <c r="H3516" s="32"/>
      <c r="I3516" s="32"/>
      <c r="J3516" s="32"/>
      <c r="K3516" s="32"/>
      <c r="L3516" s="32" t="e">
        <f ca="1">_xludf.ifna(VLOOKUP(E3516,Parámetros!$D$2:$E$34,2,0),"")</f>
        <v>#NAME?</v>
      </c>
      <c r="M3516" s="32" t="e">
        <f ca="1">_xludf.ifna(VLOOKUP(G3516,Proyectos!$A$2:$T$674,20,0),"")</f>
        <v>#NAME?</v>
      </c>
      <c r="N3516" s="32" t="e">
        <f ca="1">_xludf.ifna(VLOOKUP(G3516,Proyectos!$A$2:$S$674,19,0))</f>
        <v>#NAME?</v>
      </c>
      <c r="O3516" s="32"/>
      <c r="P3516" s="32"/>
      <c r="Q3516" s="33"/>
      <c r="R3516" s="33"/>
      <c r="S3516" s="33"/>
      <c r="T3516" s="63"/>
      <c r="U3516" s="33"/>
      <c r="V3516" s="33"/>
      <c r="W3516" s="33"/>
    </row>
    <row r="3517" spans="1:23" ht="16.5" customHeight="1" x14ac:dyDescent="0.2">
      <c r="A3517" s="26"/>
      <c r="B3517" s="26"/>
      <c r="C3517" s="26"/>
      <c r="D3517" s="26"/>
      <c r="E3517" s="26"/>
      <c r="F3517" s="28"/>
      <c r="G3517" s="26"/>
      <c r="H3517" s="32"/>
      <c r="I3517" s="32"/>
      <c r="J3517" s="32"/>
      <c r="K3517" s="32"/>
      <c r="L3517" s="32" t="e">
        <f ca="1">_xludf.ifna(VLOOKUP(E3517,Parámetros!$D$2:$E$34,2,0),"")</f>
        <v>#NAME?</v>
      </c>
      <c r="M3517" s="32" t="e">
        <f ca="1">_xludf.ifna(VLOOKUP(G3517,Proyectos!$A$2:$T$674,20,0),"")</f>
        <v>#NAME?</v>
      </c>
      <c r="N3517" s="32" t="e">
        <f ca="1">_xludf.ifna(VLOOKUP(G3517,Proyectos!$A$2:$S$674,19,0))</f>
        <v>#NAME?</v>
      </c>
      <c r="O3517" s="32"/>
      <c r="P3517" s="32"/>
      <c r="Q3517" s="33"/>
      <c r="R3517" s="33"/>
      <c r="S3517" s="33"/>
      <c r="T3517" s="63"/>
      <c r="U3517" s="33"/>
      <c r="V3517" s="33"/>
      <c r="W3517" s="33"/>
    </row>
    <row r="3518" spans="1:23" ht="16.5" customHeight="1" x14ac:dyDescent="0.2">
      <c r="A3518" s="26"/>
      <c r="B3518" s="26"/>
      <c r="C3518" s="26"/>
      <c r="D3518" s="26"/>
      <c r="E3518" s="26"/>
      <c r="F3518" s="28"/>
      <c r="G3518" s="26"/>
      <c r="H3518" s="32"/>
      <c r="I3518" s="32"/>
      <c r="J3518" s="32"/>
      <c r="K3518" s="32"/>
      <c r="L3518" s="32" t="e">
        <f ca="1">_xludf.ifna(VLOOKUP(E3518,Parámetros!$D$2:$E$34,2,0),"")</f>
        <v>#NAME?</v>
      </c>
      <c r="M3518" s="32" t="e">
        <f ca="1">_xludf.ifna(VLOOKUP(G3518,Proyectos!$A$2:$T$674,20,0),"")</f>
        <v>#NAME?</v>
      </c>
      <c r="N3518" s="32" t="e">
        <f ca="1">_xludf.ifna(VLOOKUP(G3518,Proyectos!$A$2:$S$674,19,0))</f>
        <v>#NAME?</v>
      </c>
      <c r="O3518" s="32"/>
      <c r="P3518" s="32"/>
      <c r="Q3518" s="33"/>
      <c r="R3518" s="33"/>
      <c r="S3518" s="33"/>
      <c r="T3518" s="63"/>
      <c r="U3518" s="33"/>
      <c r="V3518" s="33"/>
      <c r="W3518" s="33"/>
    </row>
    <row r="3519" spans="1:23" ht="16.5" customHeight="1" x14ac:dyDescent="0.2">
      <c r="A3519" s="26"/>
      <c r="B3519" s="26"/>
      <c r="C3519" s="26"/>
      <c r="D3519" s="26"/>
      <c r="E3519" s="26"/>
      <c r="F3519" s="28"/>
      <c r="G3519" s="26"/>
      <c r="H3519" s="32"/>
      <c r="I3519" s="32"/>
      <c r="J3519" s="32"/>
      <c r="K3519" s="32"/>
      <c r="L3519" s="32" t="e">
        <f ca="1">_xludf.ifna(VLOOKUP(E3519,Parámetros!$D$2:$E$34,2,0),"")</f>
        <v>#NAME?</v>
      </c>
      <c r="M3519" s="32" t="e">
        <f ca="1">_xludf.ifna(VLOOKUP(G3519,Proyectos!$A$2:$T$674,20,0),"")</f>
        <v>#NAME?</v>
      </c>
      <c r="N3519" s="32" t="e">
        <f ca="1">_xludf.ifna(VLOOKUP(G3519,Proyectos!$A$2:$S$674,19,0))</f>
        <v>#NAME?</v>
      </c>
      <c r="O3519" s="32"/>
      <c r="P3519" s="32"/>
      <c r="Q3519" s="33"/>
      <c r="R3519" s="33"/>
      <c r="S3519" s="33"/>
      <c r="T3519" s="63"/>
      <c r="U3519" s="33"/>
      <c r="V3519" s="33"/>
      <c r="W3519" s="33"/>
    </row>
    <row r="3520" spans="1:23" ht="16.5" customHeight="1" x14ac:dyDescent="0.2">
      <c r="A3520" s="26"/>
      <c r="B3520" s="26"/>
      <c r="C3520" s="26"/>
      <c r="D3520" s="26"/>
      <c r="E3520" s="26"/>
      <c r="F3520" s="28"/>
      <c r="G3520" s="26"/>
      <c r="H3520" s="32"/>
      <c r="I3520" s="32"/>
      <c r="J3520" s="32"/>
      <c r="K3520" s="32"/>
      <c r="L3520" s="32" t="e">
        <f ca="1">_xludf.ifna(VLOOKUP(E3520,Parámetros!$D$2:$E$34,2,0),"")</f>
        <v>#NAME?</v>
      </c>
      <c r="M3520" s="32" t="e">
        <f ca="1">_xludf.ifna(VLOOKUP(G3520,Proyectos!$A$2:$T$674,20,0),"")</f>
        <v>#NAME?</v>
      </c>
      <c r="N3520" s="32" t="e">
        <f ca="1">_xludf.ifna(VLOOKUP(G3520,Proyectos!$A$2:$S$674,19,0))</f>
        <v>#NAME?</v>
      </c>
      <c r="O3520" s="32"/>
      <c r="P3520" s="32"/>
      <c r="Q3520" s="33"/>
      <c r="R3520" s="33"/>
      <c r="S3520" s="33"/>
      <c r="T3520" s="63"/>
      <c r="U3520" s="33"/>
      <c r="V3520" s="33"/>
      <c r="W3520" s="33"/>
    </row>
    <row r="3521" spans="1:23" ht="16.5" customHeight="1" x14ac:dyDescent="0.2">
      <c r="A3521" s="26"/>
      <c r="B3521" s="26"/>
      <c r="C3521" s="26"/>
      <c r="D3521" s="26"/>
      <c r="E3521" s="26"/>
      <c r="F3521" s="28"/>
      <c r="G3521" s="26"/>
      <c r="H3521" s="32"/>
      <c r="I3521" s="32"/>
      <c r="J3521" s="32"/>
      <c r="K3521" s="32"/>
      <c r="L3521" s="32" t="e">
        <f ca="1">_xludf.ifna(VLOOKUP(E3521,Parámetros!$D$2:$E$34,2,0),"")</f>
        <v>#NAME?</v>
      </c>
      <c r="M3521" s="32" t="e">
        <f ca="1">_xludf.ifna(VLOOKUP(G3521,Proyectos!$A$2:$T$674,20,0),"")</f>
        <v>#NAME?</v>
      </c>
      <c r="N3521" s="32" t="e">
        <f ca="1">_xludf.ifna(VLOOKUP(G3521,Proyectos!$A$2:$S$674,19,0))</f>
        <v>#NAME?</v>
      </c>
      <c r="O3521" s="32"/>
      <c r="P3521" s="32"/>
      <c r="Q3521" s="33"/>
      <c r="R3521" s="33"/>
      <c r="S3521" s="33"/>
      <c r="T3521" s="63"/>
      <c r="U3521" s="33"/>
      <c r="V3521" s="33"/>
      <c r="W3521" s="33"/>
    </row>
    <row r="3522" spans="1:23" ht="16.5" customHeight="1" x14ac:dyDescent="0.2">
      <c r="A3522" s="26"/>
      <c r="B3522" s="26"/>
      <c r="C3522" s="26"/>
      <c r="D3522" s="26"/>
      <c r="E3522" s="26"/>
      <c r="F3522" s="28"/>
      <c r="G3522" s="26"/>
      <c r="H3522" s="32"/>
      <c r="I3522" s="32"/>
      <c r="J3522" s="32"/>
      <c r="K3522" s="32"/>
      <c r="L3522" s="32" t="e">
        <f ca="1">_xludf.ifna(VLOOKUP(E3522,Parámetros!$D$2:$E$34,2,0),"")</f>
        <v>#NAME?</v>
      </c>
      <c r="M3522" s="32" t="e">
        <f ca="1">_xludf.ifna(VLOOKUP(G3522,Proyectos!$A$2:$T$674,20,0),"")</f>
        <v>#NAME?</v>
      </c>
      <c r="N3522" s="32" t="e">
        <f ca="1">_xludf.ifna(VLOOKUP(G3522,Proyectos!$A$2:$S$674,19,0))</f>
        <v>#NAME?</v>
      </c>
      <c r="O3522" s="32"/>
      <c r="P3522" s="32"/>
      <c r="Q3522" s="33"/>
      <c r="R3522" s="33"/>
      <c r="S3522" s="33"/>
      <c r="T3522" s="63"/>
      <c r="U3522" s="33"/>
      <c r="V3522" s="33"/>
      <c r="W3522" s="33"/>
    </row>
    <row r="3523" spans="1:23" ht="16.5" customHeight="1" x14ac:dyDescent="0.2">
      <c r="A3523" s="26"/>
      <c r="B3523" s="26"/>
      <c r="C3523" s="26"/>
      <c r="D3523" s="26"/>
      <c r="E3523" s="26"/>
      <c r="F3523" s="28"/>
      <c r="G3523" s="26"/>
      <c r="H3523" s="32"/>
      <c r="I3523" s="32"/>
      <c r="J3523" s="32"/>
      <c r="K3523" s="32"/>
      <c r="L3523" s="32" t="e">
        <f ca="1">_xludf.ifna(VLOOKUP(E3523,Parámetros!$D$2:$E$34,2,0),"")</f>
        <v>#NAME?</v>
      </c>
      <c r="M3523" s="32" t="e">
        <f ca="1">_xludf.ifna(VLOOKUP(G3523,Proyectos!$A$2:$T$674,20,0),"")</f>
        <v>#NAME?</v>
      </c>
      <c r="N3523" s="32" t="e">
        <f ca="1">_xludf.ifna(VLOOKUP(G3523,Proyectos!$A$2:$S$674,19,0))</f>
        <v>#NAME?</v>
      </c>
      <c r="O3523" s="32"/>
      <c r="P3523" s="32"/>
      <c r="Q3523" s="33"/>
      <c r="R3523" s="33"/>
      <c r="S3523" s="33"/>
      <c r="T3523" s="63"/>
      <c r="U3523" s="33"/>
      <c r="V3523" s="33"/>
      <c r="W3523" s="33"/>
    </row>
    <row r="3524" spans="1:23" ht="16.5" customHeight="1" x14ac:dyDescent="0.2">
      <c r="A3524" s="26"/>
      <c r="B3524" s="26"/>
      <c r="C3524" s="26"/>
      <c r="D3524" s="26"/>
      <c r="E3524" s="26"/>
      <c r="F3524" s="28"/>
      <c r="G3524" s="26"/>
      <c r="H3524" s="32"/>
      <c r="I3524" s="32"/>
      <c r="J3524" s="32"/>
      <c r="K3524" s="32"/>
      <c r="L3524" s="32" t="e">
        <f ca="1">_xludf.ifna(VLOOKUP(E3524,Parámetros!$D$2:$E$34,2,0),"")</f>
        <v>#NAME?</v>
      </c>
      <c r="M3524" s="32" t="e">
        <f ca="1">_xludf.ifna(VLOOKUP(G3524,Proyectos!$A$2:$T$674,20,0),"")</f>
        <v>#NAME?</v>
      </c>
      <c r="N3524" s="32" t="e">
        <f ca="1">_xludf.ifna(VLOOKUP(G3524,Proyectos!$A$2:$S$674,19,0))</f>
        <v>#NAME?</v>
      </c>
      <c r="O3524" s="32"/>
      <c r="P3524" s="32"/>
      <c r="Q3524" s="33"/>
      <c r="R3524" s="33"/>
      <c r="S3524" s="33"/>
      <c r="T3524" s="63"/>
      <c r="U3524" s="33"/>
      <c r="V3524" s="33"/>
      <c r="W3524" s="33"/>
    </row>
    <row r="3525" spans="1:23" ht="16.5" customHeight="1" x14ac:dyDescent="0.2">
      <c r="A3525" s="26"/>
      <c r="B3525" s="26"/>
      <c r="C3525" s="26"/>
      <c r="D3525" s="26"/>
      <c r="E3525" s="26"/>
      <c r="F3525" s="28"/>
      <c r="G3525" s="26"/>
      <c r="H3525" s="32"/>
      <c r="I3525" s="32"/>
      <c r="J3525" s="32"/>
      <c r="K3525" s="32"/>
      <c r="L3525" s="32" t="e">
        <f ca="1">_xludf.ifna(VLOOKUP(E3525,Parámetros!$D$2:$E$34,2,0),"")</f>
        <v>#NAME?</v>
      </c>
      <c r="M3525" s="32" t="e">
        <f ca="1">_xludf.ifna(VLOOKUP(G3525,Proyectos!$A$2:$T$674,20,0),"")</f>
        <v>#NAME?</v>
      </c>
      <c r="N3525" s="32" t="e">
        <f ca="1">_xludf.ifna(VLOOKUP(G3525,Proyectos!$A$2:$S$674,19,0))</f>
        <v>#NAME?</v>
      </c>
      <c r="O3525" s="32"/>
      <c r="P3525" s="32"/>
      <c r="Q3525" s="33"/>
      <c r="R3525" s="33"/>
      <c r="S3525" s="33"/>
      <c r="T3525" s="63"/>
      <c r="U3525" s="33"/>
      <c r="V3525" s="33"/>
      <c r="W3525" s="33"/>
    </row>
    <row r="3526" spans="1:23" ht="16.5" customHeight="1" x14ac:dyDescent="0.2">
      <c r="A3526" s="26"/>
      <c r="B3526" s="26"/>
      <c r="C3526" s="26"/>
      <c r="D3526" s="26"/>
      <c r="E3526" s="26"/>
      <c r="F3526" s="28"/>
      <c r="G3526" s="26"/>
      <c r="H3526" s="32"/>
      <c r="I3526" s="32"/>
      <c r="J3526" s="32"/>
      <c r="K3526" s="32"/>
      <c r="L3526" s="32" t="e">
        <f ca="1">_xludf.ifna(VLOOKUP(E3526,Parámetros!$D$2:$E$34,2,0),"")</f>
        <v>#NAME?</v>
      </c>
      <c r="M3526" s="32" t="e">
        <f ca="1">_xludf.ifna(VLOOKUP(G3526,Proyectos!$A$2:$T$674,20,0),"")</f>
        <v>#NAME?</v>
      </c>
      <c r="N3526" s="32" t="e">
        <f ca="1">_xludf.ifna(VLOOKUP(G3526,Proyectos!$A$2:$S$674,19,0))</f>
        <v>#NAME?</v>
      </c>
      <c r="O3526" s="32"/>
      <c r="P3526" s="32"/>
      <c r="Q3526" s="33"/>
      <c r="R3526" s="33"/>
      <c r="S3526" s="33"/>
      <c r="T3526" s="63"/>
      <c r="U3526" s="33"/>
      <c r="V3526" s="33"/>
      <c r="W3526" s="33"/>
    </row>
    <row r="3527" spans="1:23" ht="16.5" customHeight="1" x14ac:dyDescent="0.2">
      <c r="A3527" s="26"/>
      <c r="B3527" s="26"/>
      <c r="C3527" s="26"/>
      <c r="D3527" s="26"/>
      <c r="E3527" s="26"/>
      <c r="F3527" s="28"/>
      <c r="G3527" s="26"/>
      <c r="H3527" s="32"/>
      <c r="I3527" s="32"/>
      <c r="J3527" s="32"/>
      <c r="K3527" s="32"/>
      <c r="L3527" s="32" t="e">
        <f ca="1">_xludf.ifna(VLOOKUP(E3527,Parámetros!$D$2:$E$34,2,0),"")</f>
        <v>#NAME?</v>
      </c>
      <c r="M3527" s="32" t="e">
        <f ca="1">_xludf.ifna(VLOOKUP(G3527,Proyectos!$A$2:$T$674,20,0),"")</f>
        <v>#NAME?</v>
      </c>
      <c r="N3527" s="32" t="e">
        <f ca="1">_xludf.ifna(VLOOKUP(G3527,Proyectos!$A$2:$S$674,19,0))</f>
        <v>#NAME?</v>
      </c>
      <c r="O3527" s="32"/>
      <c r="P3527" s="32"/>
      <c r="Q3527" s="33"/>
      <c r="R3527" s="33"/>
      <c r="S3527" s="33"/>
      <c r="T3527" s="63"/>
      <c r="U3527" s="33"/>
      <c r="V3527" s="33"/>
      <c r="W3527" s="33"/>
    </row>
    <row r="3528" spans="1:23" ht="16.5" customHeight="1" x14ac:dyDescent="0.2">
      <c r="A3528" s="26"/>
      <c r="B3528" s="26"/>
      <c r="C3528" s="26"/>
      <c r="D3528" s="26"/>
      <c r="E3528" s="26"/>
      <c r="F3528" s="28"/>
      <c r="G3528" s="26"/>
      <c r="H3528" s="32"/>
      <c r="I3528" s="32"/>
      <c r="J3528" s="32"/>
      <c r="K3528" s="32"/>
      <c r="L3528" s="32" t="e">
        <f ca="1">_xludf.ifna(VLOOKUP(E3528,Parámetros!$D$2:$E$34,2,0),"")</f>
        <v>#NAME?</v>
      </c>
      <c r="M3528" s="32" t="e">
        <f ca="1">_xludf.ifna(VLOOKUP(G3528,Proyectos!$A$2:$T$674,20,0),"")</f>
        <v>#NAME?</v>
      </c>
      <c r="N3528" s="32" t="e">
        <f ca="1">_xludf.ifna(VLOOKUP(G3528,Proyectos!$A$2:$S$674,19,0))</f>
        <v>#NAME?</v>
      </c>
      <c r="O3528" s="32"/>
      <c r="P3528" s="32"/>
      <c r="Q3528" s="33"/>
      <c r="R3528" s="33"/>
      <c r="S3528" s="33"/>
      <c r="T3528" s="63"/>
      <c r="U3528" s="33"/>
      <c r="V3528" s="33"/>
      <c r="W3528" s="33"/>
    </row>
    <row r="3529" spans="1:23" ht="16.5" customHeight="1" x14ac:dyDescent="0.2">
      <c r="A3529" s="26"/>
      <c r="B3529" s="26"/>
      <c r="C3529" s="26"/>
      <c r="D3529" s="26"/>
      <c r="E3529" s="26"/>
      <c r="F3529" s="28"/>
      <c r="G3529" s="26"/>
      <c r="H3529" s="32"/>
      <c r="I3529" s="32"/>
      <c r="J3529" s="32"/>
      <c r="K3529" s="32"/>
      <c r="L3529" s="32" t="e">
        <f ca="1">_xludf.ifna(VLOOKUP(E3529,Parámetros!$D$2:$E$34,2,0),"")</f>
        <v>#NAME?</v>
      </c>
      <c r="M3529" s="32" t="e">
        <f ca="1">_xludf.ifna(VLOOKUP(G3529,Proyectos!$A$2:$T$674,20,0),"")</f>
        <v>#NAME?</v>
      </c>
      <c r="N3529" s="32" t="e">
        <f ca="1">_xludf.ifna(VLOOKUP(G3529,Proyectos!$A$2:$S$674,19,0))</f>
        <v>#NAME?</v>
      </c>
      <c r="O3529" s="32"/>
      <c r="P3529" s="32"/>
      <c r="Q3529" s="33"/>
      <c r="R3529" s="33"/>
      <c r="S3529" s="33"/>
      <c r="T3529" s="63"/>
      <c r="U3529" s="33"/>
      <c r="V3529" s="33"/>
      <c r="W3529" s="33"/>
    </row>
    <row r="3530" spans="1:23" ht="16.5" customHeight="1" x14ac:dyDescent="0.2">
      <c r="A3530" s="26"/>
      <c r="B3530" s="26"/>
      <c r="C3530" s="26"/>
      <c r="D3530" s="26"/>
      <c r="E3530" s="26"/>
      <c r="F3530" s="28"/>
      <c r="G3530" s="26"/>
      <c r="H3530" s="32"/>
      <c r="I3530" s="32"/>
      <c r="J3530" s="32"/>
      <c r="K3530" s="32"/>
      <c r="L3530" s="32" t="e">
        <f ca="1">_xludf.ifna(VLOOKUP(E3530,Parámetros!$D$2:$E$34,2,0),"")</f>
        <v>#NAME?</v>
      </c>
      <c r="M3530" s="32" t="e">
        <f ca="1">_xludf.ifna(VLOOKUP(G3530,Proyectos!$A$2:$T$674,20,0),"")</f>
        <v>#NAME?</v>
      </c>
      <c r="N3530" s="32" t="e">
        <f ca="1">_xludf.ifna(VLOOKUP(G3530,Proyectos!$A$2:$S$674,19,0))</f>
        <v>#NAME?</v>
      </c>
      <c r="O3530" s="32"/>
      <c r="P3530" s="32"/>
      <c r="Q3530" s="33"/>
      <c r="R3530" s="33"/>
      <c r="S3530" s="33"/>
      <c r="T3530" s="63"/>
      <c r="U3530" s="33"/>
      <c r="V3530" s="33"/>
      <c r="W3530" s="33"/>
    </row>
    <row r="3531" spans="1:23" ht="16.5" customHeight="1" x14ac:dyDescent="0.2">
      <c r="A3531" s="26"/>
      <c r="B3531" s="26"/>
      <c r="C3531" s="26"/>
      <c r="D3531" s="26"/>
      <c r="E3531" s="26"/>
      <c r="F3531" s="28"/>
      <c r="G3531" s="26"/>
      <c r="H3531" s="32"/>
      <c r="I3531" s="32"/>
      <c r="J3531" s="32"/>
      <c r="K3531" s="32"/>
      <c r="L3531" s="32" t="e">
        <f ca="1">_xludf.ifna(VLOOKUP(E3531,Parámetros!$D$2:$E$34,2,0),"")</f>
        <v>#NAME?</v>
      </c>
      <c r="M3531" s="32" t="e">
        <f ca="1">_xludf.ifna(VLOOKUP(G3531,Proyectos!$A$2:$T$674,20,0),"")</f>
        <v>#NAME?</v>
      </c>
      <c r="N3531" s="32" t="e">
        <f ca="1">_xludf.ifna(VLOOKUP(G3531,Proyectos!$A$2:$S$674,19,0))</f>
        <v>#NAME?</v>
      </c>
      <c r="O3531" s="32"/>
      <c r="P3531" s="32"/>
      <c r="Q3531" s="33"/>
      <c r="R3531" s="33"/>
      <c r="S3531" s="33"/>
      <c r="T3531" s="63"/>
      <c r="U3531" s="33"/>
      <c r="V3531" s="33"/>
      <c r="W3531" s="33"/>
    </row>
    <row r="3532" spans="1:23" ht="16.5" customHeight="1" x14ac:dyDescent="0.2">
      <c r="A3532" s="26"/>
      <c r="B3532" s="26"/>
      <c r="C3532" s="26"/>
      <c r="D3532" s="26"/>
      <c r="E3532" s="26"/>
      <c r="F3532" s="28"/>
      <c r="G3532" s="26"/>
      <c r="H3532" s="32"/>
      <c r="I3532" s="32"/>
      <c r="J3532" s="32"/>
      <c r="K3532" s="32"/>
      <c r="L3532" s="32" t="e">
        <f ca="1">_xludf.ifna(VLOOKUP(E3532,Parámetros!$D$2:$E$34,2,0),"")</f>
        <v>#NAME?</v>
      </c>
      <c r="M3532" s="32" t="e">
        <f ca="1">_xludf.ifna(VLOOKUP(G3532,Proyectos!$A$2:$T$674,20,0),"")</f>
        <v>#NAME?</v>
      </c>
      <c r="N3532" s="32" t="e">
        <f ca="1">_xludf.ifna(VLOOKUP(G3532,Proyectos!$A$2:$S$674,19,0))</f>
        <v>#NAME?</v>
      </c>
      <c r="O3532" s="32"/>
      <c r="P3532" s="32"/>
      <c r="Q3532" s="33"/>
      <c r="R3532" s="33"/>
      <c r="S3532" s="33"/>
      <c r="T3532" s="63"/>
      <c r="U3532" s="33"/>
      <c r="V3532" s="33"/>
      <c r="W3532" s="33"/>
    </row>
    <row r="3533" spans="1:23" ht="16.5" customHeight="1" x14ac:dyDescent="0.2">
      <c r="A3533" s="26"/>
      <c r="B3533" s="26"/>
      <c r="C3533" s="26"/>
      <c r="D3533" s="26"/>
      <c r="E3533" s="26"/>
      <c r="F3533" s="28"/>
      <c r="G3533" s="26"/>
      <c r="H3533" s="32"/>
      <c r="I3533" s="32"/>
      <c r="J3533" s="32"/>
      <c r="K3533" s="32"/>
      <c r="L3533" s="32" t="e">
        <f ca="1">_xludf.ifna(VLOOKUP(E3533,Parámetros!$D$2:$E$34,2,0),"")</f>
        <v>#NAME?</v>
      </c>
      <c r="M3533" s="32" t="e">
        <f ca="1">_xludf.ifna(VLOOKUP(G3533,Proyectos!$A$2:$T$674,20,0),"")</f>
        <v>#NAME?</v>
      </c>
      <c r="N3533" s="32" t="e">
        <f ca="1">_xludf.ifna(VLOOKUP(G3533,Proyectos!$A$2:$S$674,19,0))</f>
        <v>#NAME?</v>
      </c>
      <c r="O3533" s="32"/>
      <c r="P3533" s="32"/>
      <c r="Q3533" s="33"/>
      <c r="R3533" s="33"/>
      <c r="S3533" s="33"/>
      <c r="T3533" s="63"/>
      <c r="U3533" s="33"/>
      <c r="V3533" s="33"/>
      <c r="W3533" s="33"/>
    </row>
    <row r="3534" spans="1:23" ht="16.5" customHeight="1" x14ac:dyDescent="0.2">
      <c r="A3534" s="26"/>
      <c r="B3534" s="26"/>
      <c r="C3534" s="26"/>
      <c r="D3534" s="26"/>
      <c r="E3534" s="26"/>
      <c r="F3534" s="28"/>
      <c r="G3534" s="26"/>
      <c r="H3534" s="32"/>
      <c r="I3534" s="32"/>
      <c r="J3534" s="32"/>
      <c r="K3534" s="32"/>
      <c r="L3534" s="32" t="e">
        <f ca="1">_xludf.ifna(VLOOKUP(E3534,Parámetros!$D$2:$E$34,2,0),"")</f>
        <v>#NAME?</v>
      </c>
      <c r="M3534" s="32" t="e">
        <f ca="1">_xludf.ifna(VLOOKUP(G3534,Proyectos!$A$2:$T$674,20,0),"")</f>
        <v>#NAME?</v>
      </c>
      <c r="N3534" s="32" t="e">
        <f ca="1">_xludf.ifna(VLOOKUP(G3534,Proyectos!$A$2:$S$674,19,0))</f>
        <v>#NAME?</v>
      </c>
      <c r="O3534" s="32"/>
      <c r="P3534" s="32"/>
      <c r="Q3534" s="33"/>
      <c r="R3534" s="33"/>
      <c r="S3534" s="33"/>
      <c r="T3534" s="63"/>
      <c r="U3534" s="33"/>
      <c r="V3534" s="33"/>
      <c r="W3534" s="33"/>
    </row>
    <row r="3535" spans="1:23" ht="16.5" customHeight="1" x14ac:dyDescent="0.2">
      <c r="A3535" s="26"/>
      <c r="B3535" s="26"/>
      <c r="C3535" s="26"/>
      <c r="D3535" s="26"/>
      <c r="E3535" s="26"/>
      <c r="F3535" s="28"/>
      <c r="G3535" s="26"/>
      <c r="H3535" s="32"/>
      <c r="I3535" s="32"/>
      <c r="J3535" s="32"/>
      <c r="K3535" s="32"/>
      <c r="L3535" s="32" t="e">
        <f ca="1">_xludf.ifna(VLOOKUP(E3535,Parámetros!$D$2:$E$34,2,0),"")</f>
        <v>#NAME?</v>
      </c>
      <c r="M3535" s="32" t="e">
        <f ca="1">_xludf.ifna(VLOOKUP(G3535,Proyectos!$A$2:$T$674,20,0),"")</f>
        <v>#NAME?</v>
      </c>
      <c r="N3535" s="32" t="e">
        <f ca="1">_xludf.ifna(VLOOKUP(G3535,Proyectos!$A$2:$S$674,19,0))</f>
        <v>#NAME?</v>
      </c>
      <c r="O3535" s="32"/>
      <c r="P3535" s="32"/>
      <c r="Q3535" s="33"/>
      <c r="R3535" s="33"/>
      <c r="S3535" s="33"/>
      <c r="T3535" s="63"/>
      <c r="U3535" s="33"/>
      <c r="V3535" s="33"/>
      <c r="W3535" s="33"/>
    </row>
    <row r="3536" spans="1:23" ht="16.5" customHeight="1" x14ac:dyDescent="0.2">
      <c r="A3536" s="26"/>
      <c r="B3536" s="26"/>
      <c r="C3536" s="26"/>
      <c r="D3536" s="26"/>
      <c r="E3536" s="26"/>
      <c r="F3536" s="28"/>
      <c r="G3536" s="26"/>
      <c r="H3536" s="32"/>
      <c r="I3536" s="32"/>
      <c r="J3536" s="32"/>
      <c r="K3536" s="32"/>
      <c r="L3536" s="32" t="e">
        <f ca="1">_xludf.ifna(VLOOKUP(E3536,Parámetros!$D$2:$E$34,2,0),"")</f>
        <v>#NAME?</v>
      </c>
      <c r="M3536" s="32" t="e">
        <f ca="1">_xludf.ifna(VLOOKUP(G3536,Proyectos!$A$2:$T$674,20,0),"")</f>
        <v>#NAME?</v>
      </c>
      <c r="N3536" s="32" t="e">
        <f ca="1">_xludf.ifna(VLOOKUP(G3536,Proyectos!$A$2:$S$674,19,0))</f>
        <v>#NAME?</v>
      </c>
      <c r="O3536" s="32"/>
      <c r="P3536" s="32"/>
      <c r="Q3536" s="33"/>
      <c r="R3536" s="33"/>
      <c r="S3536" s="33"/>
      <c r="T3536" s="63"/>
      <c r="U3536" s="33"/>
      <c r="V3536" s="33"/>
      <c r="W3536" s="33"/>
    </row>
    <row r="3537" spans="1:23" ht="16.5" customHeight="1" x14ac:dyDescent="0.2">
      <c r="A3537" s="26"/>
      <c r="B3537" s="26"/>
      <c r="C3537" s="26"/>
      <c r="D3537" s="26"/>
      <c r="E3537" s="26"/>
      <c r="F3537" s="28"/>
      <c r="G3537" s="26"/>
      <c r="H3537" s="32"/>
      <c r="I3537" s="32"/>
      <c r="J3537" s="32"/>
      <c r="K3537" s="32"/>
      <c r="L3537" s="32" t="e">
        <f ca="1">_xludf.ifna(VLOOKUP(E3537,Parámetros!$D$2:$E$34,2,0),"")</f>
        <v>#NAME?</v>
      </c>
      <c r="M3537" s="32" t="e">
        <f ca="1">_xludf.ifna(VLOOKUP(G3537,Proyectos!$A$2:$T$674,20,0),"")</f>
        <v>#NAME?</v>
      </c>
      <c r="N3537" s="32" t="e">
        <f ca="1">_xludf.ifna(VLOOKUP(G3537,Proyectos!$A$2:$S$674,19,0))</f>
        <v>#NAME?</v>
      </c>
      <c r="O3537" s="32"/>
      <c r="P3537" s="32"/>
      <c r="Q3537" s="33"/>
      <c r="R3537" s="33"/>
      <c r="S3537" s="33"/>
      <c r="T3537" s="63"/>
      <c r="U3537" s="33"/>
      <c r="V3537" s="33"/>
      <c r="W3537" s="33"/>
    </row>
    <row r="3538" spans="1:23" ht="16.5" customHeight="1" x14ac:dyDescent="0.2">
      <c r="A3538" s="26"/>
      <c r="B3538" s="26"/>
      <c r="C3538" s="26"/>
      <c r="D3538" s="26"/>
      <c r="E3538" s="26"/>
      <c r="F3538" s="28"/>
      <c r="G3538" s="26"/>
      <c r="H3538" s="32"/>
      <c r="I3538" s="32"/>
      <c r="J3538" s="32"/>
      <c r="K3538" s="32"/>
      <c r="L3538" s="32" t="e">
        <f ca="1">_xludf.ifna(VLOOKUP(E3538,Parámetros!$D$2:$E$34,2,0),"")</f>
        <v>#NAME?</v>
      </c>
      <c r="M3538" s="32" t="e">
        <f ca="1">_xludf.ifna(VLOOKUP(G3538,Proyectos!$A$2:$T$674,20,0),"")</f>
        <v>#NAME?</v>
      </c>
      <c r="N3538" s="32" t="e">
        <f ca="1">_xludf.ifna(VLOOKUP(G3538,Proyectos!$A$2:$S$674,19,0))</f>
        <v>#NAME?</v>
      </c>
      <c r="O3538" s="32"/>
      <c r="P3538" s="32"/>
      <c r="Q3538" s="33"/>
      <c r="R3538" s="33"/>
      <c r="S3538" s="33"/>
      <c r="T3538" s="63"/>
      <c r="U3538" s="33"/>
      <c r="V3538" s="33"/>
      <c r="W3538" s="33"/>
    </row>
    <row r="3539" spans="1:23" ht="16.5" customHeight="1" x14ac:dyDescent="0.2">
      <c r="A3539" s="26"/>
      <c r="B3539" s="26"/>
      <c r="C3539" s="26"/>
      <c r="D3539" s="26"/>
      <c r="E3539" s="26"/>
      <c r="F3539" s="28"/>
      <c r="G3539" s="26"/>
      <c r="H3539" s="32"/>
      <c r="I3539" s="32"/>
      <c r="J3539" s="32"/>
      <c r="K3539" s="32"/>
      <c r="L3539" s="32" t="e">
        <f ca="1">_xludf.ifna(VLOOKUP(E3539,Parámetros!$D$2:$E$34,2,0),"")</f>
        <v>#NAME?</v>
      </c>
      <c r="M3539" s="32" t="e">
        <f ca="1">_xludf.ifna(VLOOKUP(G3539,Proyectos!$A$2:$T$674,20,0),"")</f>
        <v>#NAME?</v>
      </c>
      <c r="N3539" s="32" t="e">
        <f ca="1">_xludf.ifna(VLOOKUP(G3539,Proyectos!$A$2:$S$674,19,0))</f>
        <v>#NAME?</v>
      </c>
      <c r="O3539" s="32"/>
      <c r="P3539" s="32"/>
      <c r="Q3539" s="33"/>
      <c r="R3539" s="33"/>
      <c r="S3539" s="33"/>
      <c r="T3539" s="63"/>
      <c r="U3539" s="33"/>
      <c r="V3539" s="33"/>
      <c r="W3539" s="33"/>
    </row>
    <row r="3540" spans="1:23" ht="16.5" customHeight="1" x14ac:dyDescent="0.2">
      <c r="A3540" s="26"/>
      <c r="B3540" s="26"/>
      <c r="C3540" s="26"/>
      <c r="D3540" s="26"/>
      <c r="E3540" s="26"/>
      <c r="F3540" s="28"/>
      <c r="G3540" s="26"/>
      <c r="H3540" s="32"/>
      <c r="I3540" s="32"/>
      <c r="J3540" s="32"/>
      <c r="K3540" s="32"/>
      <c r="L3540" s="32" t="e">
        <f ca="1">_xludf.ifna(VLOOKUP(E3540,Parámetros!$D$2:$E$34,2,0),"")</f>
        <v>#NAME?</v>
      </c>
      <c r="M3540" s="32" t="e">
        <f ca="1">_xludf.ifna(VLOOKUP(G3540,Proyectos!$A$2:$T$674,20,0),"")</f>
        <v>#NAME?</v>
      </c>
      <c r="N3540" s="32" t="e">
        <f ca="1">_xludf.ifna(VLOOKUP(G3540,Proyectos!$A$2:$S$674,19,0))</f>
        <v>#NAME?</v>
      </c>
      <c r="O3540" s="32"/>
      <c r="P3540" s="32"/>
      <c r="Q3540" s="33"/>
      <c r="R3540" s="33"/>
      <c r="S3540" s="33"/>
      <c r="T3540" s="63"/>
      <c r="U3540" s="33"/>
      <c r="V3540" s="33"/>
      <c r="W3540" s="33"/>
    </row>
    <row r="3541" spans="1:23" ht="16.5" customHeight="1" x14ac:dyDescent="0.2">
      <c r="A3541" s="26"/>
      <c r="B3541" s="26"/>
      <c r="C3541" s="26"/>
      <c r="D3541" s="26"/>
      <c r="E3541" s="26"/>
      <c r="F3541" s="28"/>
      <c r="G3541" s="26"/>
      <c r="H3541" s="32"/>
      <c r="I3541" s="32"/>
      <c r="J3541" s="32"/>
      <c r="K3541" s="32"/>
      <c r="L3541" s="32" t="e">
        <f ca="1">_xludf.ifna(VLOOKUP(E3541,Parámetros!$D$2:$E$34,2,0),"")</f>
        <v>#NAME?</v>
      </c>
      <c r="M3541" s="32" t="e">
        <f ca="1">_xludf.ifna(VLOOKUP(G3541,Proyectos!$A$2:$T$674,20,0),"")</f>
        <v>#NAME?</v>
      </c>
      <c r="N3541" s="32" t="e">
        <f ca="1">_xludf.ifna(VLOOKUP(G3541,Proyectos!$A$2:$S$674,19,0))</f>
        <v>#NAME?</v>
      </c>
      <c r="O3541" s="32"/>
      <c r="P3541" s="32"/>
      <c r="Q3541" s="33"/>
      <c r="R3541" s="33"/>
      <c r="S3541" s="33"/>
      <c r="T3541" s="63"/>
      <c r="U3541" s="33"/>
      <c r="V3541" s="33"/>
      <c r="W3541" s="33"/>
    </row>
    <row r="3542" spans="1:23" ht="16.5" customHeight="1" x14ac:dyDescent="0.2">
      <c r="A3542" s="26"/>
      <c r="B3542" s="26"/>
      <c r="C3542" s="26"/>
      <c r="D3542" s="26"/>
      <c r="E3542" s="26"/>
      <c r="F3542" s="28"/>
      <c r="G3542" s="26"/>
      <c r="H3542" s="32"/>
      <c r="I3542" s="32"/>
      <c r="J3542" s="32"/>
      <c r="K3542" s="32"/>
      <c r="L3542" s="32" t="e">
        <f ca="1">_xludf.ifna(VLOOKUP(E3542,Parámetros!$D$2:$E$34,2,0),"")</f>
        <v>#NAME?</v>
      </c>
      <c r="M3542" s="32" t="e">
        <f ca="1">_xludf.ifna(VLOOKUP(G3542,Proyectos!$A$2:$T$674,20,0),"")</f>
        <v>#NAME?</v>
      </c>
      <c r="N3542" s="32" t="e">
        <f ca="1">_xludf.ifna(VLOOKUP(G3542,Proyectos!$A$2:$S$674,19,0))</f>
        <v>#NAME?</v>
      </c>
      <c r="O3542" s="32"/>
      <c r="P3542" s="32"/>
      <c r="Q3542" s="33"/>
      <c r="R3542" s="33"/>
      <c r="S3542" s="33"/>
      <c r="T3542" s="63"/>
      <c r="U3542" s="33"/>
      <c r="V3542" s="33"/>
      <c r="W3542" s="33"/>
    </row>
    <row r="3543" spans="1:23" ht="16.5" customHeight="1" x14ac:dyDescent="0.2">
      <c r="A3543" s="26"/>
      <c r="B3543" s="26"/>
      <c r="C3543" s="26"/>
      <c r="D3543" s="26"/>
      <c r="E3543" s="26"/>
      <c r="F3543" s="28"/>
      <c r="G3543" s="26"/>
      <c r="H3543" s="32"/>
      <c r="I3543" s="32"/>
      <c r="J3543" s="32"/>
      <c r="K3543" s="32"/>
      <c r="L3543" s="32" t="e">
        <f ca="1">_xludf.ifna(VLOOKUP(E3543,Parámetros!$D$2:$E$34,2,0),"")</f>
        <v>#NAME?</v>
      </c>
      <c r="M3543" s="32" t="e">
        <f ca="1">_xludf.ifna(VLOOKUP(G3543,Proyectos!$A$2:$T$674,20,0),"")</f>
        <v>#NAME?</v>
      </c>
      <c r="N3543" s="32" t="e">
        <f ca="1">_xludf.ifna(VLOOKUP(G3543,Proyectos!$A$2:$S$674,19,0))</f>
        <v>#NAME?</v>
      </c>
      <c r="O3543" s="32"/>
      <c r="P3543" s="32"/>
      <c r="Q3543" s="33"/>
      <c r="R3543" s="33"/>
      <c r="S3543" s="33"/>
      <c r="T3543" s="63"/>
      <c r="U3543" s="33"/>
      <c r="V3543" s="33"/>
      <c r="W3543" s="33"/>
    </row>
    <row r="3544" spans="1:23" ht="16.5" customHeight="1" x14ac:dyDescent="0.2">
      <c r="A3544" s="26"/>
      <c r="B3544" s="26"/>
      <c r="C3544" s="26"/>
      <c r="D3544" s="26"/>
      <c r="E3544" s="26"/>
      <c r="F3544" s="28"/>
      <c r="G3544" s="26"/>
      <c r="H3544" s="32"/>
      <c r="I3544" s="32"/>
      <c r="J3544" s="32"/>
      <c r="K3544" s="32"/>
      <c r="L3544" s="32" t="e">
        <f ca="1">_xludf.ifna(VLOOKUP(E3544,Parámetros!$D$2:$E$34,2,0),"")</f>
        <v>#NAME?</v>
      </c>
      <c r="M3544" s="32" t="e">
        <f ca="1">_xludf.ifna(VLOOKUP(G3544,Proyectos!$A$2:$T$674,20,0),"")</f>
        <v>#NAME?</v>
      </c>
      <c r="N3544" s="32" t="e">
        <f ca="1">_xludf.ifna(VLOOKUP(G3544,Proyectos!$A$2:$S$674,19,0))</f>
        <v>#NAME?</v>
      </c>
      <c r="O3544" s="32"/>
      <c r="P3544" s="32"/>
      <c r="Q3544" s="33"/>
      <c r="R3544" s="33"/>
      <c r="S3544" s="33"/>
      <c r="T3544" s="63"/>
      <c r="U3544" s="33"/>
      <c r="V3544" s="33"/>
      <c r="W3544" s="33"/>
    </row>
    <row r="3545" spans="1:23" ht="16.5" customHeight="1" x14ac:dyDescent="0.2">
      <c r="A3545" s="26"/>
      <c r="B3545" s="26"/>
      <c r="C3545" s="26"/>
      <c r="D3545" s="26"/>
      <c r="E3545" s="26"/>
      <c r="F3545" s="28"/>
      <c r="G3545" s="26"/>
      <c r="H3545" s="32"/>
      <c r="I3545" s="32"/>
      <c r="J3545" s="32"/>
      <c r="K3545" s="32"/>
      <c r="L3545" s="32" t="e">
        <f ca="1">_xludf.ifna(VLOOKUP(E3545,Parámetros!$D$2:$E$34,2,0),"")</f>
        <v>#NAME?</v>
      </c>
      <c r="M3545" s="32" t="e">
        <f ca="1">_xludf.ifna(VLOOKUP(G3545,Proyectos!$A$2:$T$674,20,0),"")</f>
        <v>#NAME?</v>
      </c>
      <c r="N3545" s="32" t="e">
        <f ca="1">_xludf.ifna(VLOOKUP(G3545,Proyectos!$A$2:$S$674,19,0))</f>
        <v>#NAME?</v>
      </c>
      <c r="O3545" s="32"/>
      <c r="P3545" s="32"/>
      <c r="Q3545" s="33"/>
      <c r="R3545" s="33"/>
      <c r="S3545" s="33"/>
      <c r="T3545" s="63"/>
      <c r="U3545" s="33"/>
      <c r="V3545" s="33"/>
      <c r="W3545" s="33"/>
    </row>
    <row r="3546" spans="1:23" ht="16.5" customHeight="1" x14ac:dyDescent="0.2">
      <c r="A3546" s="26"/>
      <c r="B3546" s="26"/>
      <c r="C3546" s="26"/>
      <c r="D3546" s="26"/>
      <c r="E3546" s="26"/>
      <c r="F3546" s="28"/>
      <c r="G3546" s="26"/>
      <c r="H3546" s="32"/>
      <c r="I3546" s="32"/>
      <c r="J3546" s="32"/>
      <c r="K3546" s="32"/>
      <c r="L3546" s="32" t="e">
        <f ca="1">_xludf.ifna(VLOOKUP(E3546,Parámetros!$D$2:$E$34,2,0),"")</f>
        <v>#NAME?</v>
      </c>
      <c r="M3546" s="32" t="e">
        <f ca="1">_xludf.ifna(VLOOKUP(G3546,Proyectos!$A$2:$T$674,20,0),"")</f>
        <v>#NAME?</v>
      </c>
      <c r="N3546" s="32" t="e">
        <f ca="1">_xludf.ifna(VLOOKUP(G3546,Proyectos!$A$2:$S$674,19,0))</f>
        <v>#NAME?</v>
      </c>
      <c r="O3546" s="32"/>
      <c r="P3546" s="32"/>
      <c r="Q3546" s="33"/>
      <c r="R3546" s="33"/>
      <c r="S3546" s="33"/>
      <c r="T3546" s="63"/>
      <c r="U3546" s="33"/>
      <c r="V3546" s="33"/>
      <c r="W3546" s="33"/>
    </row>
    <row r="3547" spans="1:23" ht="16.5" customHeight="1" x14ac:dyDescent="0.2">
      <c r="A3547" s="26"/>
      <c r="B3547" s="26"/>
      <c r="C3547" s="26"/>
      <c r="D3547" s="26"/>
      <c r="E3547" s="26"/>
      <c r="F3547" s="28"/>
      <c r="G3547" s="26"/>
      <c r="H3547" s="32"/>
      <c r="I3547" s="32"/>
      <c r="J3547" s="32"/>
      <c r="K3547" s="32"/>
      <c r="L3547" s="32" t="e">
        <f ca="1">_xludf.ifna(VLOOKUP(E3547,Parámetros!$D$2:$E$34,2,0),"")</f>
        <v>#NAME?</v>
      </c>
      <c r="M3547" s="32" t="e">
        <f ca="1">_xludf.ifna(VLOOKUP(G3547,Proyectos!$A$2:$T$674,20,0),"")</f>
        <v>#NAME?</v>
      </c>
      <c r="N3547" s="32" t="e">
        <f ca="1">_xludf.ifna(VLOOKUP(G3547,Proyectos!$A$2:$S$674,19,0))</f>
        <v>#NAME?</v>
      </c>
      <c r="O3547" s="32"/>
      <c r="P3547" s="32"/>
      <c r="Q3547" s="33"/>
      <c r="R3547" s="33"/>
      <c r="S3547" s="33"/>
      <c r="T3547" s="63"/>
      <c r="U3547" s="33"/>
      <c r="V3547" s="33"/>
      <c r="W3547" s="33"/>
    </row>
    <row r="3548" spans="1:23" ht="16.5" customHeight="1" x14ac:dyDescent="0.2">
      <c r="A3548" s="26"/>
      <c r="B3548" s="26"/>
      <c r="C3548" s="26"/>
      <c r="D3548" s="26"/>
      <c r="E3548" s="26"/>
      <c r="F3548" s="28"/>
      <c r="G3548" s="26"/>
      <c r="H3548" s="32"/>
      <c r="I3548" s="32"/>
      <c r="J3548" s="32"/>
      <c r="K3548" s="32"/>
      <c r="L3548" s="32" t="e">
        <f ca="1">_xludf.ifna(VLOOKUP(E3548,Parámetros!$D$2:$E$34,2,0),"")</f>
        <v>#NAME?</v>
      </c>
      <c r="M3548" s="32" t="e">
        <f ca="1">_xludf.ifna(VLOOKUP(G3548,Proyectos!$A$2:$T$674,20,0),"")</f>
        <v>#NAME?</v>
      </c>
      <c r="N3548" s="32" t="e">
        <f ca="1">_xludf.ifna(VLOOKUP(G3548,Proyectos!$A$2:$S$674,19,0))</f>
        <v>#NAME?</v>
      </c>
      <c r="O3548" s="32"/>
      <c r="P3548" s="32"/>
      <c r="Q3548" s="33"/>
      <c r="R3548" s="33"/>
      <c r="S3548" s="33"/>
      <c r="T3548" s="63"/>
      <c r="U3548" s="33"/>
      <c r="V3548" s="33"/>
      <c r="W3548" s="33"/>
    </row>
    <row r="3549" spans="1:23" ht="16.5" customHeight="1" x14ac:dyDescent="0.2">
      <c r="A3549" s="26"/>
      <c r="B3549" s="26"/>
      <c r="C3549" s="26"/>
      <c r="D3549" s="26"/>
      <c r="E3549" s="26"/>
      <c r="F3549" s="28"/>
      <c r="G3549" s="26"/>
      <c r="H3549" s="32"/>
      <c r="I3549" s="32"/>
      <c r="J3549" s="32"/>
      <c r="K3549" s="32"/>
      <c r="L3549" s="32" t="e">
        <f ca="1">_xludf.ifna(VLOOKUP(E3549,Parámetros!$D$2:$E$34,2,0),"")</f>
        <v>#NAME?</v>
      </c>
      <c r="M3549" s="32" t="e">
        <f ca="1">_xludf.ifna(VLOOKUP(G3549,Proyectos!$A$2:$T$674,20,0),"")</f>
        <v>#NAME?</v>
      </c>
      <c r="N3549" s="32" t="e">
        <f ca="1">_xludf.ifna(VLOOKUP(G3549,Proyectos!$A$2:$S$674,19,0))</f>
        <v>#NAME?</v>
      </c>
      <c r="O3549" s="32"/>
      <c r="P3549" s="32"/>
      <c r="Q3549" s="33"/>
      <c r="R3549" s="33"/>
      <c r="S3549" s="33"/>
      <c r="T3549" s="63"/>
      <c r="U3549" s="33"/>
      <c r="V3549" s="33"/>
      <c r="W3549" s="33"/>
    </row>
    <row r="3550" spans="1:23" ht="16.5" customHeight="1" x14ac:dyDescent="0.2">
      <c r="A3550" s="26"/>
      <c r="B3550" s="26"/>
      <c r="C3550" s="26"/>
      <c r="D3550" s="26"/>
      <c r="E3550" s="26"/>
      <c r="F3550" s="28"/>
      <c r="G3550" s="26"/>
      <c r="H3550" s="32"/>
      <c r="I3550" s="32"/>
      <c r="J3550" s="32"/>
      <c r="K3550" s="32"/>
      <c r="L3550" s="32" t="e">
        <f ca="1">_xludf.ifna(VLOOKUP(E3550,Parámetros!$D$2:$E$34,2,0),"")</f>
        <v>#NAME?</v>
      </c>
      <c r="M3550" s="32" t="e">
        <f ca="1">_xludf.ifna(VLOOKUP(G3550,Proyectos!$A$2:$T$674,20,0),"")</f>
        <v>#NAME?</v>
      </c>
      <c r="N3550" s="32" t="e">
        <f ca="1">_xludf.ifna(VLOOKUP(G3550,Proyectos!$A$2:$S$674,19,0))</f>
        <v>#NAME?</v>
      </c>
      <c r="O3550" s="32"/>
      <c r="P3550" s="32"/>
      <c r="Q3550" s="33"/>
      <c r="R3550" s="33"/>
      <c r="S3550" s="33"/>
      <c r="T3550" s="63"/>
      <c r="U3550" s="33"/>
      <c r="V3550" s="33"/>
      <c r="W3550" s="33"/>
    </row>
    <row r="3551" spans="1:23" ht="16.5" customHeight="1" x14ac:dyDescent="0.2">
      <c r="A3551" s="26"/>
      <c r="B3551" s="26"/>
      <c r="C3551" s="26"/>
      <c r="D3551" s="26"/>
      <c r="E3551" s="26"/>
      <c r="F3551" s="28"/>
      <c r="G3551" s="26"/>
      <c r="H3551" s="32"/>
      <c r="I3551" s="32"/>
      <c r="J3551" s="32"/>
      <c r="K3551" s="32"/>
      <c r="L3551" s="32" t="e">
        <f ca="1">_xludf.ifna(VLOOKUP(E3551,Parámetros!$D$2:$E$34,2,0),"")</f>
        <v>#NAME?</v>
      </c>
      <c r="M3551" s="32" t="e">
        <f ca="1">_xludf.ifna(VLOOKUP(G3551,Proyectos!$A$2:$T$674,20,0),"")</f>
        <v>#NAME?</v>
      </c>
      <c r="N3551" s="32" t="e">
        <f ca="1">_xludf.ifna(VLOOKUP(G3551,Proyectos!$A$2:$S$674,19,0))</f>
        <v>#NAME?</v>
      </c>
      <c r="O3551" s="32"/>
      <c r="P3551" s="32"/>
      <c r="Q3551" s="33"/>
      <c r="R3551" s="33"/>
      <c r="S3551" s="33"/>
      <c r="T3551" s="63"/>
      <c r="U3551" s="33"/>
      <c r="V3551" s="33"/>
      <c r="W3551" s="33"/>
    </row>
    <row r="3552" spans="1:23" ht="16.5" customHeight="1" x14ac:dyDescent="0.2">
      <c r="A3552" s="26"/>
      <c r="B3552" s="26"/>
      <c r="C3552" s="26"/>
      <c r="D3552" s="26"/>
      <c r="E3552" s="26"/>
      <c r="F3552" s="28"/>
      <c r="G3552" s="26"/>
      <c r="H3552" s="32"/>
      <c r="I3552" s="32"/>
      <c r="J3552" s="32"/>
      <c r="K3552" s="32"/>
      <c r="L3552" s="32" t="e">
        <f ca="1">_xludf.ifna(VLOOKUP(E3552,Parámetros!$D$2:$E$34,2,0),"")</f>
        <v>#NAME?</v>
      </c>
      <c r="M3552" s="32" t="e">
        <f ca="1">_xludf.ifna(VLOOKUP(G3552,Proyectos!$A$2:$T$674,20,0),"")</f>
        <v>#NAME?</v>
      </c>
      <c r="N3552" s="32" t="e">
        <f ca="1">_xludf.ifna(VLOOKUP(G3552,Proyectos!$A$2:$S$674,19,0))</f>
        <v>#NAME?</v>
      </c>
      <c r="O3552" s="32"/>
      <c r="P3552" s="32"/>
      <c r="Q3552" s="33"/>
      <c r="R3552" s="33"/>
      <c r="S3552" s="33"/>
      <c r="T3552" s="63"/>
      <c r="U3552" s="33"/>
      <c r="V3552" s="33"/>
      <c r="W3552" s="33"/>
    </row>
    <row r="3553" spans="1:23" ht="16.5" customHeight="1" x14ac:dyDescent="0.2">
      <c r="A3553" s="26"/>
      <c r="B3553" s="26"/>
      <c r="C3553" s="26"/>
      <c r="D3553" s="26"/>
      <c r="E3553" s="26"/>
      <c r="F3553" s="28"/>
      <c r="G3553" s="26"/>
      <c r="H3553" s="32"/>
      <c r="I3553" s="32"/>
      <c r="J3553" s="32"/>
      <c r="K3553" s="32"/>
      <c r="L3553" s="32" t="e">
        <f ca="1">_xludf.ifna(VLOOKUP(E3553,Parámetros!$D$2:$E$34,2,0),"")</f>
        <v>#NAME?</v>
      </c>
      <c r="M3553" s="32" t="e">
        <f ca="1">_xludf.ifna(VLOOKUP(G3553,Proyectos!$A$2:$T$674,20,0),"")</f>
        <v>#NAME?</v>
      </c>
      <c r="N3553" s="32" t="e">
        <f ca="1">_xludf.ifna(VLOOKUP(G3553,Proyectos!$A$2:$S$674,19,0))</f>
        <v>#NAME?</v>
      </c>
      <c r="O3553" s="32"/>
      <c r="P3553" s="32"/>
      <c r="Q3553" s="33"/>
      <c r="R3553" s="33"/>
      <c r="S3553" s="33"/>
      <c r="T3553" s="63"/>
      <c r="U3553" s="33"/>
      <c r="V3553" s="33"/>
      <c r="W3553" s="33"/>
    </row>
    <row r="3554" spans="1:23" ht="16.5" customHeight="1" x14ac:dyDescent="0.2">
      <c r="A3554" s="26"/>
      <c r="B3554" s="26"/>
      <c r="C3554" s="26"/>
      <c r="D3554" s="26"/>
      <c r="E3554" s="26"/>
      <c r="F3554" s="28"/>
      <c r="G3554" s="26"/>
      <c r="H3554" s="32"/>
      <c r="I3554" s="32"/>
      <c r="J3554" s="32"/>
      <c r="K3554" s="32"/>
      <c r="L3554" s="32" t="e">
        <f ca="1">_xludf.ifna(VLOOKUP(E3554,Parámetros!$D$2:$E$34,2,0),"")</f>
        <v>#NAME?</v>
      </c>
      <c r="M3554" s="32" t="e">
        <f ca="1">_xludf.ifna(VLOOKUP(G3554,Proyectos!$A$2:$T$674,20,0),"")</f>
        <v>#NAME?</v>
      </c>
      <c r="N3554" s="32" t="e">
        <f ca="1">_xludf.ifna(VLOOKUP(G3554,Proyectos!$A$2:$S$674,19,0))</f>
        <v>#NAME?</v>
      </c>
      <c r="O3554" s="32"/>
      <c r="P3554" s="32"/>
      <c r="Q3554" s="33"/>
      <c r="R3554" s="33"/>
      <c r="S3554" s="33"/>
      <c r="T3554" s="63"/>
      <c r="U3554" s="33"/>
      <c r="V3554" s="33"/>
      <c r="W3554" s="33"/>
    </row>
    <row r="3555" spans="1:23" ht="16.5" customHeight="1" x14ac:dyDescent="0.2">
      <c r="A3555" s="26"/>
      <c r="B3555" s="26"/>
      <c r="C3555" s="26"/>
      <c r="D3555" s="26"/>
      <c r="E3555" s="26"/>
      <c r="F3555" s="28"/>
      <c r="G3555" s="26"/>
      <c r="H3555" s="32"/>
      <c r="I3555" s="32"/>
      <c r="J3555" s="32"/>
      <c r="K3555" s="32"/>
      <c r="L3555" s="32" t="e">
        <f ca="1">_xludf.ifna(VLOOKUP(E3555,Parámetros!$D$2:$E$34,2,0),"")</f>
        <v>#NAME?</v>
      </c>
      <c r="M3555" s="32" t="e">
        <f ca="1">_xludf.ifna(VLOOKUP(G3555,Proyectos!$A$2:$T$674,20,0),"")</f>
        <v>#NAME?</v>
      </c>
      <c r="N3555" s="32" t="e">
        <f ca="1">_xludf.ifna(VLOOKUP(G3555,Proyectos!$A$2:$S$674,19,0))</f>
        <v>#NAME?</v>
      </c>
      <c r="O3555" s="32"/>
      <c r="P3555" s="32"/>
      <c r="Q3555" s="33"/>
      <c r="R3555" s="33"/>
      <c r="S3555" s="33"/>
      <c r="T3555" s="63"/>
      <c r="U3555" s="33"/>
      <c r="V3555" s="33"/>
      <c r="W3555" s="33"/>
    </row>
    <row r="3556" spans="1:23" ht="16.5" customHeight="1" x14ac:dyDescent="0.2">
      <c r="A3556" s="26"/>
      <c r="B3556" s="26"/>
      <c r="C3556" s="26"/>
      <c r="D3556" s="26"/>
      <c r="E3556" s="26"/>
      <c r="F3556" s="28"/>
      <c r="G3556" s="26"/>
      <c r="H3556" s="32"/>
      <c r="I3556" s="32"/>
      <c r="J3556" s="32"/>
      <c r="K3556" s="32"/>
      <c r="L3556" s="32" t="e">
        <f ca="1">_xludf.ifna(VLOOKUP(E3556,Parámetros!$D$2:$E$34,2,0),"")</f>
        <v>#NAME?</v>
      </c>
      <c r="M3556" s="32" t="e">
        <f ca="1">_xludf.ifna(VLOOKUP(G3556,Proyectos!$A$2:$T$674,20,0),"")</f>
        <v>#NAME?</v>
      </c>
      <c r="N3556" s="32" t="e">
        <f ca="1">_xludf.ifna(VLOOKUP(G3556,Proyectos!$A$2:$S$674,19,0))</f>
        <v>#NAME?</v>
      </c>
      <c r="O3556" s="32"/>
      <c r="P3556" s="32"/>
      <c r="Q3556" s="33"/>
      <c r="R3556" s="33"/>
      <c r="S3556" s="33"/>
      <c r="T3556" s="63"/>
      <c r="U3556" s="33"/>
      <c r="V3556" s="33"/>
      <c r="W3556" s="33"/>
    </row>
    <row r="3557" spans="1:23" ht="16.5" customHeight="1" x14ac:dyDescent="0.2">
      <c r="A3557" s="26"/>
      <c r="B3557" s="26"/>
      <c r="C3557" s="26"/>
      <c r="D3557" s="26"/>
      <c r="E3557" s="26"/>
      <c r="F3557" s="28"/>
      <c r="G3557" s="26"/>
      <c r="H3557" s="32"/>
      <c r="I3557" s="32"/>
      <c r="J3557" s="32"/>
      <c r="K3557" s="32"/>
      <c r="L3557" s="32" t="e">
        <f ca="1">_xludf.ifna(VLOOKUP(E3557,Parámetros!$D$2:$E$34,2,0),"")</f>
        <v>#NAME?</v>
      </c>
      <c r="M3557" s="32" t="e">
        <f ca="1">_xludf.ifna(VLOOKUP(G3557,Proyectos!$A$2:$T$674,20,0),"")</f>
        <v>#NAME?</v>
      </c>
      <c r="N3557" s="32" t="e">
        <f ca="1">_xludf.ifna(VLOOKUP(G3557,Proyectos!$A$2:$S$674,19,0))</f>
        <v>#NAME?</v>
      </c>
      <c r="O3557" s="32"/>
      <c r="P3557" s="32"/>
      <c r="Q3557" s="33"/>
      <c r="R3557" s="33"/>
      <c r="S3557" s="33"/>
      <c r="T3557" s="63"/>
      <c r="U3557" s="33"/>
      <c r="V3557" s="33"/>
      <c r="W3557" s="33"/>
    </row>
    <row r="3558" spans="1:23" ht="16.5" customHeight="1" x14ac:dyDescent="0.2">
      <c r="A3558" s="26"/>
      <c r="B3558" s="26"/>
      <c r="C3558" s="26"/>
      <c r="D3558" s="26"/>
      <c r="E3558" s="26"/>
      <c r="F3558" s="28"/>
      <c r="G3558" s="26"/>
      <c r="H3558" s="32"/>
      <c r="I3558" s="32"/>
      <c r="J3558" s="32"/>
      <c r="K3558" s="32"/>
      <c r="L3558" s="32" t="e">
        <f ca="1">_xludf.ifna(VLOOKUP(E3558,Parámetros!$D$2:$E$34,2,0),"")</f>
        <v>#NAME?</v>
      </c>
      <c r="M3558" s="32" t="e">
        <f ca="1">_xludf.ifna(VLOOKUP(G3558,Proyectos!$A$2:$T$674,20,0),"")</f>
        <v>#NAME?</v>
      </c>
      <c r="N3558" s="32" t="e">
        <f ca="1">_xludf.ifna(VLOOKUP(G3558,Proyectos!$A$2:$S$674,19,0))</f>
        <v>#NAME?</v>
      </c>
      <c r="O3558" s="32"/>
      <c r="P3558" s="32"/>
      <c r="Q3558" s="33"/>
      <c r="R3558" s="33"/>
      <c r="S3558" s="33"/>
      <c r="T3558" s="63"/>
      <c r="U3558" s="33"/>
      <c r="V3558" s="33"/>
      <c r="W3558" s="33"/>
    </row>
    <row r="3559" spans="1:23" ht="16.5" customHeight="1" x14ac:dyDescent="0.2">
      <c r="A3559" s="26"/>
      <c r="B3559" s="26"/>
      <c r="C3559" s="26"/>
      <c r="D3559" s="26"/>
      <c r="E3559" s="26"/>
      <c r="F3559" s="28"/>
      <c r="G3559" s="26"/>
      <c r="H3559" s="32"/>
      <c r="I3559" s="32"/>
      <c r="J3559" s="32"/>
      <c r="K3559" s="32"/>
      <c r="L3559" s="32" t="e">
        <f ca="1">_xludf.ifna(VLOOKUP(E3559,Parámetros!$D$2:$E$34,2,0),"")</f>
        <v>#NAME?</v>
      </c>
      <c r="M3559" s="32" t="e">
        <f ca="1">_xludf.ifna(VLOOKUP(G3559,Proyectos!$A$2:$T$674,20,0),"")</f>
        <v>#NAME?</v>
      </c>
      <c r="N3559" s="32" t="e">
        <f ca="1">_xludf.ifna(VLOOKUP(G3559,Proyectos!$A$2:$S$674,19,0))</f>
        <v>#NAME?</v>
      </c>
      <c r="O3559" s="32"/>
      <c r="P3559" s="32"/>
      <c r="Q3559" s="33"/>
      <c r="R3559" s="33"/>
      <c r="S3559" s="33"/>
      <c r="T3559" s="63"/>
      <c r="U3559" s="33"/>
      <c r="V3559" s="33"/>
      <c r="W3559" s="33"/>
    </row>
    <row r="3560" spans="1:23" ht="16.5" customHeight="1" x14ac:dyDescent="0.2">
      <c r="A3560" s="26"/>
      <c r="B3560" s="26"/>
      <c r="C3560" s="26"/>
      <c r="D3560" s="26"/>
      <c r="E3560" s="26"/>
      <c r="F3560" s="28"/>
      <c r="G3560" s="26"/>
      <c r="H3560" s="32"/>
      <c r="I3560" s="32"/>
      <c r="J3560" s="32"/>
      <c r="K3560" s="32"/>
      <c r="L3560" s="32" t="e">
        <f ca="1">_xludf.ifna(VLOOKUP(E3560,Parámetros!$D$2:$E$34,2,0),"")</f>
        <v>#NAME?</v>
      </c>
      <c r="M3560" s="32" t="e">
        <f ca="1">_xludf.ifna(VLOOKUP(G3560,Proyectos!$A$2:$T$674,20,0),"")</f>
        <v>#NAME?</v>
      </c>
      <c r="N3560" s="32" t="e">
        <f ca="1">_xludf.ifna(VLOOKUP(G3560,Proyectos!$A$2:$S$674,19,0))</f>
        <v>#NAME?</v>
      </c>
      <c r="O3560" s="32"/>
      <c r="P3560" s="32"/>
      <c r="Q3560" s="33"/>
      <c r="R3560" s="33"/>
      <c r="S3560" s="33"/>
      <c r="T3560" s="63"/>
      <c r="U3560" s="33"/>
      <c r="V3560" s="33"/>
      <c r="W3560" s="33"/>
    </row>
    <row r="3561" spans="1:23" ht="16.5" customHeight="1" x14ac:dyDescent="0.2">
      <c r="A3561" s="26"/>
      <c r="B3561" s="26"/>
      <c r="C3561" s="26"/>
      <c r="D3561" s="26"/>
      <c r="E3561" s="26"/>
      <c r="F3561" s="28"/>
      <c r="G3561" s="26"/>
      <c r="H3561" s="32"/>
      <c r="I3561" s="32"/>
      <c r="J3561" s="32"/>
      <c r="K3561" s="32"/>
      <c r="L3561" s="32" t="e">
        <f ca="1">_xludf.ifna(VLOOKUP(E3561,Parámetros!$D$2:$E$34,2,0),"")</f>
        <v>#NAME?</v>
      </c>
      <c r="M3561" s="32" t="e">
        <f ca="1">_xludf.ifna(VLOOKUP(G3561,Proyectos!$A$2:$T$674,20,0),"")</f>
        <v>#NAME?</v>
      </c>
      <c r="N3561" s="32" t="e">
        <f ca="1">_xludf.ifna(VLOOKUP(G3561,Proyectos!$A$2:$S$674,19,0))</f>
        <v>#NAME?</v>
      </c>
      <c r="O3561" s="32"/>
      <c r="P3561" s="32"/>
      <c r="Q3561" s="33"/>
      <c r="R3561" s="33"/>
      <c r="S3561" s="33"/>
      <c r="T3561" s="63"/>
      <c r="U3561" s="33"/>
      <c r="V3561" s="33"/>
      <c r="W3561" s="33"/>
    </row>
    <row r="3562" spans="1:23" ht="16.5" customHeight="1" x14ac:dyDescent="0.2">
      <c r="A3562" s="26"/>
      <c r="B3562" s="26"/>
      <c r="C3562" s="26"/>
      <c r="D3562" s="26"/>
      <c r="E3562" s="26"/>
      <c r="F3562" s="28"/>
      <c r="G3562" s="26"/>
      <c r="H3562" s="32"/>
      <c r="I3562" s="32"/>
      <c r="J3562" s="32"/>
      <c r="K3562" s="32"/>
      <c r="L3562" s="32" t="e">
        <f ca="1">_xludf.ifna(VLOOKUP(E3562,Parámetros!$D$2:$E$34,2,0),"")</f>
        <v>#NAME?</v>
      </c>
      <c r="M3562" s="32" t="e">
        <f ca="1">_xludf.ifna(VLOOKUP(G3562,Proyectos!$A$2:$T$674,20,0),"")</f>
        <v>#NAME?</v>
      </c>
      <c r="N3562" s="32" t="e">
        <f ca="1">_xludf.ifna(VLOOKUP(G3562,Proyectos!$A$2:$S$674,19,0))</f>
        <v>#NAME?</v>
      </c>
      <c r="O3562" s="32"/>
      <c r="P3562" s="32"/>
      <c r="Q3562" s="33"/>
      <c r="R3562" s="33"/>
      <c r="S3562" s="33"/>
      <c r="T3562" s="63"/>
      <c r="U3562" s="33"/>
      <c r="V3562" s="33"/>
      <c r="W3562" s="33"/>
    </row>
    <row r="3563" spans="1:23" ht="16.5" customHeight="1" x14ac:dyDescent="0.2">
      <c r="A3563" s="26"/>
      <c r="B3563" s="26"/>
      <c r="C3563" s="26"/>
      <c r="D3563" s="26"/>
      <c r="E3563" s="26"/>
      <c r="F3563" s="28"/>
      <c r="G3563" s="26"/>
      <c r="H3563" s="32"/>
      <c r="I3563" s="32"/>
      <c r="J3563" s="32"/>
      <c r="K3563" s="32"/>
      <c r="L3563" s="32" t="e">
        <f ca="1">_xludf.ifna(VLOOKUP(E3563,Parámetros!$D$2:$E$34,2,0),"")</f>
        <v>#NAME?</v>
      </c>
      <c r="M3563" s="32" t="e">
        <f ca="1">_xludf.ifna(VLOOKUP(G3563,Proyectos!$A$2:$T$674,20,0),"")</f>
        <v>#NAME?</v>
      </c>
      <c r="N3563" s="32" t="e">
        <f ca="1">_xludf.ifna(VLOOKUP(G3563,Proyectos!$A$2:$S$674,19,0))</f>
        <v>#NAME?</v>
      </c>
      <c r="O3563" s="32"/>
      <c r="P3563" s="32"/>
      <c r="Q3563" s="33"/>
      <c r="R3563" s="33"/>
      <c r="S3563" s="33"/>
      <c r="T3563" s="63"/>
      <c r="U3563" s="33"/>
      <c r="V3563" s="33"/>
      <c r="W3563" s="33"/>
    </row>
    <row r="3564" spans="1:23" ht="16.5" customHeight="1" x14ac:dyDescent="0.2">
      <c r="A3564" s="26"/>
      <c r="B3564" s="26"/>
      <c r="C3564" s="26"/>
      <c r="D3564" s="26"/>
      <c r="E3564" s="26"/>
      <c r="F3564" s="28"/>
      <c r="G3564" s="26"/>
      <c r="H3564" s="32"/>
      <c r="I3564" s="32"/>
      <c r="J3564" s="32"/>
      <c r="K3564" s="32"/>
      <c r="L3564" s="32" t="e">
        <f ca="1">_xludf.ifna(VLOOKUP(E3564,Parámetros!$D$2:$E$34,2,0),"")</f>
        <v>#NAME?</v>
      </c>
      <c r="M3564" s="32" t="e">
        <f ca="1">_xludf.ifna(VLOOKUP(G3564,Proyectos!$A$2:$T$674,20,0),"")</f>
        <v>#NAME?</v>
      </c>
      <c r="N3564" s="32" t="e">
        <f ca="1">_xludf.ifna(VLOOKUP(G3564,Proyectos!$A$2:$S$674,19,0))</f>
        <v>#NAME?</v>
      </c>
      <c r="O3564" s="32"/>
      <c r="P3564" s="32"/>
      <c r="Q3564" s="33"/>
      <c r="R3564" s="33"/>
      <c r="S3564" s="33"/>
      <c r="T3564" s="63"/>
      <c r="U3564" s="33"/>
      <c r="V3564" s="33"/>
      <c r="W3564" s="33"/>
    </row>
    <row r="3565" spans="1:23" ht="16.5" customHeight="1" x14ac:dyDescent="0.2">
      <c r="A3565" s="26"/>
      <c r="B3565" s="26"/>
      <c r="C3565" s="26"/>
      <c r="D3565" s="26"/>
      <c r="E3565" s="26"/>
      <c r="F3565" s="28"/>
      <c r="G3565" s="26"/>
      <c r="H3565" s="32"/>
      <c r="I3565" s="32"/>
      <c r="J3565" s="32"/>
      <c r="K3565" s="32"/>
      <c r="L3565" s="32" t="e">
        <f ca="1">_xludf.ifna(VLOOKUP(E3565,Parámetros!$D$2:$E$34,2,0),"")</f>
        <v>#NAME?</v>
      </c>
      <c r="M3565" s="32" t="e">
        <f ca="1">_xludf.ifna(VLOOKUP(G3565,Proyectos!$A$2:$T$674,20,0),"")</f>
        <v>#NAME?</v>
      </c>
      <c r="N3565" s="32" t="e">
        <f ca="1">_xludf.ifna(VLOOKUP(G3565,Proyectos!$A$2:$S$674,19,0))</f>
        <v>#NAME?</v>
      </c>
      <c r="O3565" s="32"/>
      <c r="P3565" s="32"/>
      <c r="Q3565" s="33"/>
      <c r="R3565" s="33"/>
      <c r="S3565" s="33"/>
      <c r="T3565" s="63"/>
      <c r="U3565" s="33"/>
      <c r="V3565" s="33"/>
      <c r="W3565" s="33"/>
    </row>
    <row r="3566" spans="1:23" ht="16.5" customHeight="1" x14ac:dyDescent="0.2">
      <c r="A3566" s="26"/>
      <c r="B3566" s="26"/>
      <c r="C3566" s="26"/>
      <c r="D3566" s="26"/>
      <c r="E3566" s="26"/>
      <c r="F3566" s="28"/>
      <c r="G3566" s="26"/>
      <c r="H3566" s="32"/>
      <c r="I3566" s="32"/>
      <c r="J3566" s="32"/>
      <c r="K3566" s="32"/>
      <c r="L3566" s="32" t="e">
        <f ca="1">_xludf.ifna(VLOOKUP(E3566,Parámetros!$D$2:$E$34,2,0),"")</f>
        <v>#NAME?</v>
      </c>
      <c r="M3566" s="32" t="e">
        <f ca="1">_xludf.ifna(VLOOKUP(G3566,Proyectos!$A$2:$T$674,20,0),"")</f>
        <v>#NAME?</v>
      </c>
      <c r="N3566" s="32" t="e">
        <f ca="1">_xludf.ifna(VLOOKUP(G3566,Proyectos!$A$2:$S$674,19,0))</f>
        <v>#NAME?</v>
      </c>
      <c r="O3566" s="32"/>
      <c r="P3566" s="32"/>
      <c r="Q3566" s="33"/>
      <c r="R3566" s="33"/>
      <c r="S3566" s="33"/>
      <c r="T3566" s="63"/>
      <c r="U3566" s="33"/>
      <c r="V3566" s="33"/>
      <c r="W3566" s="33"/>
    </row>
    <row r="3567" spans="1:23" ht="16.5" customHeight="1" x14ac:dyDescent="0.2">
      <c r="A3567" s="26"/>
      <c r="B3567" s="26"/>
      <c r="C3567" s="26"/>
      <c r="D3567" s="26"/>
      <c r="E3567" s="26"/>
      <c r="F3567" s="28"/>
      <c r="G3567" s="26"/>
      <c r="H3567" s="32"/>
      <c r="I3567" s="32"/>
      <c r="J3567" s="32"/>
      <c r="K3567" s="32"/>
      <c r="L3567" s="32" t="e">
        <f ca="1">_xludf.ifna(VLOOKUP(E3567,Parámetros!$D$2:$E$34,2,0),"")</f>
        <v>#NAME?</v>
      </c>
      <c r="M3567" s="32" t="e">
        <f ca="1">_xludf.ifna(VLOOKUP(G3567,Proyectos!$A$2:$T$674,20,0),"")</f>
        <v>#NAME?</v>
      </c>
      <c r="N3567" s="32" t="e">
        <f ca="1">_xludf.ifna(VLOOKUP(G3567,Proyectos!$A$2:$S$674,19,0))</f>
        <v>#NAME?</v>
      </c>
      <c r="O3567" s="32"/>
      <c r="P3567" s="32"/>
      <c r="Q3567" s="33"/>
      <c r="R3567" s="33"/>
      <c r="S3567" s="33"/>
      <c r="T3567" s="63"/>
      <c r="U3567" s="33"/>
      <c r="V3567" s="33"/>
      <c r="W3567" s="33"/>
    </row>
    <row r="3568" spans="1:23" ht="16.5" customHeight="1" x14ac:dyDescent="0.2">
      <c r="A3568" s="26"/>
      <c r="B3568" s="26"/>
      <c r="C3568" s="26"/>
      <c r="D3568" s="26"/>
      <c r="E3568" s="26"/>
      <c r="F3568" s="28"/>
      <c r="G3568" s="26"/>
      <c r="H3568" s="32"/>
      <c r="I3568" s="32"/>
      <c r="J3568" s="32"/>
      <c r="K3568" s="32"/>
      <c r="L3568" s="32" t="e">
        <f ca="1">_xludf.ifna(VLOOKUP(E3568,Parámetros!$D$2:$E$34,2,0),"")</f>
        <v>#NAME?</v>
      </c>
      <c r="M3568" s="32" t="e">
        <f ca="1">_xludf.ifna(VLOOKUP(G3568,Proyectos!$A$2:$T$674,20,0),"")</f>
        <v>#NAME?</v>
      </c>
      <c r="N3568" s="32" t="e">
        <f ca="1">_xludf.ifna(VLOOKUP(G3568,Proyectos!$A$2:$S$674,19,0))</f>
        <v>#NAME?</v>
      </c>
      <c r="O3568" s="32"/>
      <c r="P3568" s="32"/>
      <c r="Q3568" s="33"/>
      <c r="R3568" s="33"/>
      <c r="S3568" s="33"/>
      <c r="T3568" s="63"/>
      <c r="U3568" s="33"/>
      <c r="V3568" s="33"/>
      <c r="W3568" s="33"/>
    </row>
    <row r="3569" spans="1:23" ht="16.5" customHeight="1" x14ac:dyDescent="0.2">
      <c r="A3569" s="26"/>
      <c r="B3569" s="26"/>
      <c r="C3569" s="26"/>
      <c r="D3569" s="26"/>
      <c r="E3569" s="26"/>
      <c r="F3569" s="28"/>
      <c r="G3569" s="26"/>
      <c r="H3569" s="32"/>
      <c r="I3569" s="32"/>
      <c r="J3569" s="32"/>
      <c r="K3569" s="32"/>
      <c r="L3569" s="32" t="e">
        <f ca="1">_xludf.ifna(VLOOKUP(E3569,Parámetros!$D$2:$E$34,2,0),"")</f>
        <v>#NAME?</v>
      </c>
      <c r="M3569" s="32" t="e">
        <f ca="1">_xludf.ifna(VLOOKUP(G3569,Proyectos!$A$2:$T$674,20,0),"")</f>
        <v>#NAME?</v>
      </c>
      <c r="N3569" s="32" t="e">
        <f ca="1">_xludf.ifna(VLOOKUP(G3569,Proyectos!$A$2:$S$674,19,0))</f>
        <v>#NAME?</v>
      </c>
      <c r="O3569" s="32"/>
      <c r="P3569" s="32"/>
      <c r="Q3569" s="33"/>
      <c r="R3569" s="33"/>
      <c r="S3569" s="33"/>
      <c r="T3569" s="63"/>
      <c r="U3569" s="33"/>
      <c r="V3569" s="33"/>
      <c r="W3569" s="33"/>
    </row>
    <row r="3570" spans="1:23" ht="16.5" customHeight="1" x14ac:dyDescent="0.2">
      <c r="A3570" s="26"/>
      <c r="B3570" s="26"/>
      <c r="C3570" s="26"/>
      <c r="D3570" s="26"/>
      <c r="E3570" s="26"/>
      <c r="F3570" s="28"/>
      <c r="G3570" s="26"/>
      <c r="H3570" s="32"/>
      <c r="I3570" s="32"/>
      <c r="J3570" s="32"/>
      <c r="K3570" s="32"/>
      <c r="L3570" s="32" t="e">
        <f ca="1">_xludf.ifna(VLOOKUP(E3570,Parámetros!$D$2:$E$34,2,0),"")</f>
        <v>#NAME?</v>
      </c>
      <c r="M3570" s="32" t="e">
        <f ca="1">_xludf.ifna(VLOOKUP(G3570,Proyectos!$A$2:$T$674,20,0),"")</f>
        <v>#NAME?</v>
      </c>
      <c r="N3570" s="32" t="e">
        <f ca="1">_xludf.ifna(VLOOKUP(G3570,Proyectos!$A$2:$S$674,19,0))</f>
        <v>#NAME?</v>
      </c>
      <c r="O3570" s="32"/>
      <c r="P3570" s="32"/>
      <c r="Q3570" s="33"/>
      <c r="R3570" s="33"/>
      <c r="S3570" s="33"/>
      <c r="T3570" s="63"/>
      <c r="U3570" s="33"/>
      <c r="V3570" s="33"/>
      <c r="W3570" s="33"/>
    </row>
    <row r="3571" spans="1:23" ht="16.5" customHeight="1" x14ac:dyDescent="0.2">
      <c r="A3571" s="26"/>
      <c r="B3571" s="26"/>
      <c r="C3571" s="26"/>
      <c r="D3571" s="26"/>
      <c r="E3571" s="26"/>
      <c r="F3571" s="28"/>
      <c r="G3571" s="26"/>
      <c r="H3571" s="32"/>
      <c r="I3571" s="32"/>
      <c r="J3571" s="32"/>
      <c r="K3571" s="32"/>
      <c r="L3571" s="32" t="e">
        <f ca="1">_xludf.ifna(VLOOKUP(E3571,Parámetros!$D$2:$E$34,2,0),"")</f>
        <v>#NAME?</v>
      </c>
      <c r="M3571" s="32" t="e">
        <f ca="1">_xludf.ifna(VLOOKUP(G3571,Proyectos!$A$2:$T$674,20,0),"")</f>
        <v>#NAME?</v>
      </c>
      <c r="N3571" s="32" t="e">
        <f ca="1">_xludf.ifna(VLOOKUP(G3571,Proyectos!$A$2:$S$674,19,0))</f>
        <v>#NAME?</v>
      </c>
      <c r="O3571" s="32"/>
      <c r="P3571" s="32"/>
      <c r="Q3571" s="33"/>
      <c r="R3571" s="33"/>
      <c r="S3571" s="33"/>
      <c r="T3571" s="63"/>
      <c r="U3571" s="33"/>
      <c r="V3571" s="33"/>
      <c r="W3571" s="33"/>
    </row>
    <row r="3572" spans="1:23" ht="16.5" customHeight="1" x14ac:dyDescent="0.2">
      <c r="A3572" s="26"/>
      <c r="B3572" s="26"/>
      <c r="C3572" s="26"/>
      <c r="D3572" s="26"/>
      <c r="E3572" s="26"/>
      <c r="F3572" s="28"/>
      <c r="G3572" s="26"/>
      <c r="H3572" s="32"/>
      <c r="I3572" s="32"/>
      <c r="J3572" s="32"/>
      <c r="K3572" s="32"/>
      <c r="L3572" s="32" t="e">
        <f ca="1">_xludf.ifna(VLOOKUP(E3572,Parámetros!$D$2:$E$34,2,0),"")</f>
        <v>#NAME?</v>
      </c>
      <c r="M3572" s="32" t="e">
        <f ca="1">_xludf.ifna(VLOOKUP(G3572,Proyectos!$A$2:$T$674,20,0),"")</f>
        <v>#NAME?</v>
      </c>
      <c r="N3572" s="32" t="e">
        <f ca="1">_xludf.ifna(VLOOKUP(G3572,Proyectos!$A$2:$S$674,19,0))</f>
        <v>#NAME?</v>
      </c>
      <c r="O3572" s="32"/>
      <c r="P3572" s="32"/>
      <c r="Q3572" s="33"/>
      <c r="R3572" s="33"/>
      <c r="S3572" s="33"/>
      <c r="T3572" s="63"/>
      <c r="U3572" s="33"/>
      <c r="V3572" s="33"/>
      <c r="W3572" s="33"/>
    </row>
    <row r="3573" spans="1:23" ht="16.5" customHeight="1" x14ac:dyDescent="0.2">
      <c r="A3573" s="26"/>
      <c r="B3573" s="26"/>
      <c r="C3573" s="26"/>
      <c r="D3573" s="26"/>
      <c r="E3573" s="26"/>
      <c r="F3573" s="28"/>
      <c r="G3573" s="26"/>
      <c r="H3573" s="32"/>
      <c r="I3573" s="32"/>
      <c r="J3573" s="32"/>
      <c r="K3573" s="32"/>
      <c r="L3573" s="32" t="e">
        <f ca="1">_xludf.ifna(VLOOKUP(E3573,Parámetros!$D$2:$E$34,2,0),"")</f>
        <v>#NAME?</v>
      </c>
      <c r="M3573" s="32" t="e">
        <f ca="1">_xludf.ifna(VLOOKUP(G3573,Proyectos!$A$2:$T$674,20,0),"")</f>
        <v>#NAME?</v>
      </c>
      <c r="N3573" s="32" t="e">
        <f ca="1">_xludf.ifna(VLOOKUP(G3573,Proyectos!$A$2:$S$674,19,0))</f>
        <v>#NAME?</v>
      </c>
      <c r="O3573" s="32"/>
      <c r="P3573" s="32"/>
      <c r="Q3573" s="33"/>
      <c r="R3573" s="33"/>
      <c r="S3573" s="33"/>
      <c r="T3573" s="63"/>
      <c r="U3573" s="33"/>
      <c r="V3573" s="33"/>
      <c r="W3573" s="33"/>
    </row>
    <row r="3574" spans="1:23" ht="16.5" customHeight="1" x14ac:dyDescent="0.2">
      <c r="A3574" s="26"/>
      <c r="B3574" s="26"/>
      <c r="C3574" s="26"/>
      <c r="D3574" s="26"/>
      <c r="E3574" s="26"/>
      <c r="F3574" s="28"/>
      <c r="G3574" s="26"/>
      <c r="H3574" s="32"/>
      <c r="I3574" s="32"/>
      <c r="J3574" s="32"/>
      <c r="K3574" s="32"/>
      <c r="L3574" s="32" t="e">
        <f ca="1">_xludf.ifna(VLOOKUP(E3574,Parámetros!$D$2:$E$34,2,0),"")</f>
        <v>#NAME?</v>
      </c>
      <c r="M3574" s="32" t="e">
        <f ca="1">_xludf.ifna(VLOOKUP(G3574,Proyectos!$A$2:$T$674,20,0),"")</f>
        <v>#NAME?</v>
      </c>
      <c r="N3574" s="32" t="e">
        <f ca="1">_xludf.ifna(VLOOKUP(G3574,Proyectos!$A$2:$S$674,19,0))</f>
        <v>#NAME?</v>
      </c>
      <c r="O3574" s="32"/>
      <c r="P3574" s="32"/>
      <c r="Q3574" s="33"/>
      <c r="R3574" s="33"/>
      <c r="S3574" s="33"/>
      <c r="T3574" s="63"/>
      <c r="U3574" s="33"/>
      <c r="V3574" s="33"/>
      <c r="W3574" s="33"/>
    </row>
    <row r="3575" spans="1:23" ht="16.5" customHeight="1" x14ac:dyDescent="0.2">
      <c r="A3575" s="26"/>
      <c r="B3575" s="26"/>
      <c r="C3575" s="26"/>
      <c r="D3575" s="26"/>
      <c r="E3575" s="26"/>
      <c r="F3575" s="28"/>
      <c r="G3575" s="26"/>
      <c r="H3575" s="32"/>
      <c r="I3575" s="32"/>
      <c r="J3575" s="32"/>
      <c r="K3575" s="32"/>
      <c r="L3575" s="32" t="e">
        <f ca="1">_xludf.ifna(VLOOKUP(E3575,Parámetros!$D$2:$E$34,2,0),"")</f>
        <v>#NAME?</v>
      </c>
      <c r="M3575" s="32" t="e">
        <f ca="1">_xludf.ifna(VLOOKUP(G3575,Proyectos!$A$2:$T$674,20,0),"")</f>
        <v>#NAME?</v>
      </c>
      <c r="N3575" s="32" t="e">
        <f ca="1">_xludf.ifna(VLOOKUP(G3575,Proyectos!$A$2:$S$674,19,0))</f>
        <v>#NAME?</v>
      </c>
      <c r="O3575" s="32"/>
      <c r="P3575" s="32"/>
      <c r="Q3575" s="33"/>
      <c r="R3575" s="33"/>
      <c r="S3575" s="33"/>
      <c r="T3575" s="63"/>
      <c r="U3575" s="33"/>
      <c r="V3575" s="33"/>
      <c r="W3575" s="33"/>
    </row>
    <row r="3576" spans="1:23" ht="16.5" customHeight="1" x14ac:dyDescent="0.2">
      <c r="A3576" s="26"/>
      <c r="B3576" s="26"/>
      <c r="C3576" s="26"/>
      <c r="D3576" s="26"/>
      <c r="E3576" s="26"/>
      <c r="F3576" s="28"/>
      <c r="G3576" s="26"/>
      <c r="H3576" s="32"/>
      <c r="I3576" s="32"/>
      <c r="J3576" s="32"/>
      <c r="K3576" s="32"/>
      <c r="L3576" s="32" t="e">
        <f ca="1">_xludf.ifna(VLOOKUP(E3576,Parámetros!$D$2:$E$34,2,0),"")</f>
        <v>#NAME?</v>
      </c>
      <c r="M3576" s="32" t="e">
        <f ca="1">_xludf.ifna(VLOOKUP(G3576,Proyectos!$A$2:$T$674,20,0),"")</f>
        <v>#NAME?</v>
      </c>
      <c r="N3576" s="32" t="e">
        <f ca="1">_xludf.ifna(VLOOKUP(G3576,Proyectos!$A$2:$S$674,19,0))</f>
        <v>#NAME?</v>
      </c>
      <c r="O3576" s="32"/>
      <c r="P3576" s="32"/>
      <c r="Q3576" s="33"/>
      <c r="R3576" s="33"/>
      <c r="S3576" s="33"/>
      <c r="T3576" s="63"/>
      <c r="U3576" s="33"/>
      <c r="V3576" s="33"/>
      <c r="W3576" s="33"/>
    </row>
    <row r="3577" spans="1:23" ht="16.5" customHeight="1" x14ac:dyDescent="0.2">
      <c r="A3577" s="26"/>
      <c r="B3577" s="26"/>
      <c r="C3577" s="26"/>
      <c r="D3577" s="26"/>
      <c r="E3577" s="26"/>
      <c r="F3577" s="28"/>
      <c r="G3577" s="26"/>
      <c r="H3577" s="32"/>
      <c r="I3577" s="32"/>
      <c r="J3577" s="32"/>
      <c r="K3577" s="32"/>
      <c r="L3577" s="32" t="e">
        <f ca="1">_xludf.ifna(VLOOKUP(E3577,Parámetros!$D$2:$E$34,2,0),"")</f>
        <v>#NAME?</v>
      </c>
      <c r="M3577" s="32" t="e">
        <f ca="1">_xludf.ifna(VLOOKUP(G3577,Proyectos!$A$2:$T$674,20,0),"")</f>
        <v>#NAME?</v>
      </c>
      <c r="N3577" s="32" t="e">
        <f ca="1">_xludf.ifna(VLOOKUP(G3577,Proyectos!$A$2:$S$674,19,0))</f>
        <v>#NAME?</v>
      </c>
      <c r="O3577" s="32"/>
      <c r="P3577" s="32"/>
      <c r="Q3577" s="33"/>
      <c r="R3577" s="33"/>
      <c r="S3577" s="33"/>
      <c r="T3577" s="63"/>
      <c r="U3577" s="33"/>
      <c r="V3577" s="33"/>
      <c r="W3577" s="33"/>
    </row>
    <row r="3578" spans="1:23" ht="16.5" customHeight="1" x14ac:dyDescent="0.2">
      <c r="A3578" s="26"/>
      <c r="B3578" s="26"/>
      <c r="C3578" s="26"/>
      <c r="D3578" s="26"/>
      <c r="E3578" s="26"/>
      <c r="F3578" s="28"/>
      <c r="G3578" s="26"/>
      <c r="H3578" s="32"/>
      <c r="I3578" s="32"/>
      <c r="J3578" s="32"/>
      <c r="K3578" s="32"/>
      <c r="L3578" s="32" t="e">
        <f ca="1">_xludf.ifna(VLOOKUP(E3578,Parámetros!$D$2:$E$34,2,0),"")</f>
        <v>#NAME?</v>
      </c>
      <c r="M3578" s="32" t="e">
        <f ca="1">_xludf.ifna(VLOOKUP(G3578,Proyectos!$A$2:$T$674,20,0),"")</f>
        <v>#NAME?</v>
      </c>
      <c r="N3578" s="32" t="e">
        <f ca="1">_xludf.ifna(VLOOKUP(G3578,Proyectos!$A$2:$S$674,19,0))</f>
        <v>#NAME?</v>
      </c>
      <c r="O3578" s="32"/>
      <c r="P3578" s="32"/>
      <c r="Q3578" s="33"/>
      <c r="R3578" s="33"/>
      <c r="S3578" s="33"/>
      <c r="T3578" s="63"/>
      <c r="U3578" s="33"/>
      <c r="V3578" s="33"/>
      <c r="W3578" s="33"/>
    </row>
    <row r="3579" spans="1:23" ht="16.5" customHeight="1" x14ac:dyDescent="0.2">
      <c r="A3579" s="26"/>
      <c r="B3579" s="26"/>
      <c r="C3579" s="26"/>
      <c r="D3579" s="26"/>
      <c r="E3579" s="26"/>
      <c r="F3579" s="28"/>
      <c r="G3579" s="26"/>
      <c r="H3579" s="32"/>
      <c r="I3579" s="32"/>
      <c r="J3579" s="32"/>
      <c r="K3579" s="32"/>
      <c r="L3579" s="32" t="e">
        <f ca="1">_xludf.ifna(VLOOKUP(E3579,Parámetros!$D$2:$E$34,2,0),"")</f>
        <v>#NAME?</v>
      </c>
      <c r="M3579" s="32" t="e">
        <f ca="1">_xludf.ifna(VLOOKUP(G3579,Proyectos!$A$2:$T$674,20,0),"")</f>
        <v>#NAME?</v>
      </c>
      <c r="N3579" s="32" t="e">
        <f ca="1">_xludf.ifna(VLOOKUP(G3579,Proyectos!$A$2:$S$674,19,0))</f>
        <v>#NAME?</v>
      </c>
      <c r="O3579" s="32"/>
      <c r="P3579" s="32"/>
      <c r="Q3579" s="33"/>
      <c r="R3579" s="33"/>
      <c r="S3579" s="33"/>
      <c r="T3579" s="63"/>
      <c r="U3579" s="33"/>
      <c r="V3579" s="33"/>
      <c r="W3579" s="33"/>
    </row>
    <row r="3580" spans="1:23" ht="16.5" customHeight="1" x14ac:dyDescent="0.2">
      <c r="A3580" s="26"/>
      <c r="B3580" s="26"/>
      <c r="C3580" s="26"/>
      <c r="D3580" s="26"/>
      <c r="E3580" s="26"/>
      <c r="F3580" s="28"/>
      <c r="G3580" s="26"/>
      <c r="H3580" s="32"/>
      <c r="I3580" s="32"/>
      <c r="J3580" s="32"/>
      <c r="K3580" s="32"/>
      <c r="L3580" s="32" t="e">
        <f ca="1">_xludf.ifna(VLOOKUP(E3580,Parámetros!$D$2:$E$34,2,0),"")</f>
        <v>#NAME?</v>
      </c>
      <c r="M3580" s="32" t="e">
        <f ca="1">_xludf.ifna(VLOOKUP(G3580,Proyectos!$A$2:$T$674,20,0),"")</f>
        <v>#NAME?</v>
      </c>
      <c r="N3580" s="32" t="e">
        <f ca="1">_xludf.ifna(VLOOKUP(G3580,Proyectos!$A$2:$S$674,19,0))</f>
        <v>#NAME?</v>
      </c>
      <c r="O3580" s="32"/>
      <c r="P3580" s="32"/>
      <c r="Q3580" s="33"/>
      <c r="R3580" s="33"/>
      <c r="S3580" s="33"/>
      <c r="T3580" s="63"/>
      <c r="U3580" s="33"/>
      <c r="V3580" s="33"/>
      <c r="W3580" s="33"/>
    </row>
    <row r="3581" spans="1:23" ht="16.5" customHeight="1" x14ac:dyDescent="0.2">
      <c r="A3581" s="26"/>
      <c r="B3581" s="26"/>
      <c r="C3581" s="26"/>
      <c r="D3581" s="26"/>
      <c r="E3581" s="26"/>
      <c r="F3581" s="28"/>
      <c r="G3581" s="26"/>
      <c r="H3581" s="32"/>
      <c r="I3581" s="32"/>
      <c r="J3581" s="32"/>
      <c r="K3581" s="32"/>
      <c r="L3581" s="32" t="e">
        <f ca="1">_xludf.ifna(VLOOKUP(E3581,Parámetros!$D$2:$E$34,2,0),"")</f>
        <v>#NAME?</v>
      </c>
      <c r="M3581" s="32" t="e">
        <f ca="1">_xludf.ifna(VLOOKUP(G3581,Proyectos!$A$2:$T$674,20,0),"")</f>
        <v>#NAME?</v>
      </c>
      <c r="N3581" s="32" t="e">
        <f ca="1">_xludf.ifna(VLOOKUP(G3581,Proyectos!$A$2:$S$674,19,0))</f>
        <v>#NAME?</v>
      </c>
      <c r="O3581" s="32"/>
      <c r="P3581" s="32"/>
      <c r="Q3581" s="33"/>
      <c r="R3581" s="33"/>
      <c r="S3581" s="33"/>
      <c r="T3581" s="63"/>
      <c r="U3581" s="33"/>
      <c r="V3581" s="33"/>
      <c r="W3581" s="33"/>
    </row>
    <row r="3582" spans="1:23" ht="16.5" customHeight="1" x14ac:dyDescent="0.2">
      <c r="A3582" s="26"/>
      <c r="B3582" s="26"/>
      <c r="C3582" s="26"/>
      <c r="D3582" s="26"/>
      <c r="E3582" s="26"/>
      <c r="F3582" s="28"/>
      <c r="G3582" s="26"/>
      <c r="H3582" s="32"/>
      <c r="I3582" s="32"/>
      <c r="J3582" s="32"/>
      <c r="K3582" s="32"/>
      <c r="L3582" s="32" t="e">
        <f ca="1">_xludf.ifna(VLOOKUP(E3582,Parámetros!$D$2:$E$34,2,0),"")</f>
        <v>#NAME?</v>
      </c>
      <c r="M3582" s="32" t="e">
        <f ca="1">_xludf.ifna(VLOOKUP(G3582,Proyectos!$A$2:$T$674,20,0),"")</f>
        <v>#NAME?</v>
      </c>
      <c r="N3582" s="32" t="e">
        <f ca="1">_xludf.ifna(VLOOKUP(G3582,Proyectos!$A$2:$S$674,19,0))</f>
        <v>#NAME?</v>
      </c>
      <c r="O3582" s="32"/>
      <c r="P3582" s="32"/>
      <c r="Q3582" s="33"/>
      <c r="R3582" s="33"/>
      <c r="S3582" s="33"/>
      <c r="T3582" s="63"/>
      <c r="U3582" s="33"/>
      <c r="V3582" s="33"/>
      <c r="W3582" s="33"/>
    </row>
    <row r="3583" spans="1:23" ht="16.5" customHeight="1" x14ac:dyDescent="0.2">
      <c r="A3583" s="26"/>
      <c r="B3583" s="26"/>
      <c r="C3583" s="26"/>
      <c r="D3583" s="26"/>
      <c r="E3583" s="26"/>
      <c r="F3583" s="28"/>
      <c r="G3583" s="26"/>
      <c r="H3583" s="32"/>
      <c r="I3583" s="32"/>
      <c r="J3583" s="32"/>
      <c r="K3583" s="32"/>
      <c r="L3583" s="32" t="e">
        <f ca="1">_xludf.ifna(VLOOKUP(E3583,Parámetros!$D$2:$E$34,2,0),"")</f>
        <v>#NAME?</v>
      </c>
      <c r="M3583" s="32" t="e">
        <f ca="1">_xludf.ifna(VLOOKUP(G3583,Proyectos!$A$2:$T$674,20,0),"")</f>
        <v>#NAME?</v>
      </c>
      <c r="N3583" s="32" t="e">
        <f ca="1">_xludf.ifna(VLOOKUP(G3583,Proyectos!$A$2:$S$674,19,0))</f>
        <v>#NAME?</v>
      </c>
      <c r="O3583" s="32"/>
      <c r="P3583" s="32"/>
      <c r="Q3583" s="33"/>
      <c r="R3583" s="33"/>
      <c r="S3583" s="33"/>
      <c r="T3583" s="63"/>
      <c r="U3583" s="33"/>
      <c r="V3583" s="33"/>
      <c r="W3583" s="33"/>
    </row>
    <row r="3584" spans="1:23" ht="16.5" customHeight="1" x14ac:dyDescent="0.2">
      <c r="A3584" s="26"/>
      <c r="B3584" s="26"/>
      <c r="C3584" s="26"/>
      <c r="D3584" s="26"/>
      <c r="E3584" s="26"/>
      <c r="F3584" s="28"/>
      <c r="G3584" s="26"/>
      <c r="H3584" s="32"/>
      <c r="I3584" s="32"/>
      <c r="J3584" s="32"/>
      <c r="K3584" s="32"/>
      <c r="L3584" s="32" t="e">
        <f ca="1">_xludf.ifna(VLOOKUP(E3584,Parámetros!$D$2:$E$34,2,0),"")</f>
        <v>#NAME?</v>
      </c>
      <c r="M3584" s="32" t="e">
        <f ca="1">_xludf.ifna(VLOOKUP(G3584,Proyectos!$A$2:$T$674,20,0),"")</f>
        <v>#NAME?</v>
      </c>
      <c r="N3584" s="32" t="e">
        <f ca="1">_xludf.ifna(VLOOKUP(G3584,Proyectos!$A$2:$S$674,19,0))</f>
        <v>#NAME?</v>
      </c>
      <c r="O3584" s="32"/>
      <c r="P3584" s="32"/>
      <c r="Q3584" s="33"/>
      <c r="R3584" s="33"/>
      <c r="S3584" s="33"/>
      <c r="T3584" s="63"/>
      <c r="U3584" s="33"/>
      <c r="V3584" s="33"/>
      <c r="W3584" s="33"/>
    </row>
    <row r="3585" spans="1:23" ht="16.5" customHeight="1" x14ac:dyDescent="0.2">
      <c r="A3585" s="26"/>
      <c r="B3585" s="26"/>
      <c r="C3585" s="26"/>
      <c r="D3585" s="26"/>
      <c r="E3585" s="26"/>
      <c r="F3585" s="28"/>
      <c r="G3585" s="26"/>
      <c r="H3585" s="32"/>
      <c r="I3585" s="32"/>
      <c r="J3585" s="32"/>
      <c r="K3585" s="32"/>
      <c r="L3585" s="32" t="e">
        <f ca="1">_xludf.ifna(VLOOKUP(E3585,Parámetros!$D$2:$E$34,2,0),"")</f>
        <v>#NAME?</v>
      </c>
      <c r="M3585" s="32" t="e">
        <f ca="1">_xludf.ifna(VLOOKUP(G3585,Proyectos!$A$2:$T$674,20,0),"")</f>
        <v>#NAME?</v>
      </c>
      <c r="N3585" s="32" t="e">
        <f ca="1">_xludf.ifna(VLOOKUP(G3585,Proyectos!$A$2:$S$674,19,0))</f>
        <v>#NAME?</v>
      </c>
      <c r="O3585" s="32"/>
      <c r="P3585" s="32"/>
      <c r="Q3585" s="33"/>
      <c r="R3585" s="33"/>
      <c r="S3585" s="33"/>
      <c r="T3585" s="63"/>
      <c r="U3585" s="33"/>
      <c r="V3585" s="33"/>
      <c r="W3585" s="33"/>
    </row>
    <row r="3586" spans="1:23" ht="16.5" customHeight="1" x14ac:dyDescent="0.2">
      <c r="A3586" s="26"/>
      <c r="B3586" s="26"/>
      <c r="C3586" s="26"/>
      <c r="D3586" s="26"/>
      <c r="E3586" s="26"/>
      <c r="F3586" s="28"/>
      <c r="G3586" s="26"/>
      <c r="H3586" s="32"/>
      <c r="I3586" s="32"/>
      <c r="J3586" s="32"/>
      <c r="K3586" s="32"/>
      <c r="L3586" s="32" t="e">
        <f ca="1">_xludf.ifna(VLOOKUP(E3586,Parámetros!$D$2:$E$34,2,0),"")</f>
        <v>#NAME?</v>
      </c>
      <c r="M3586" s="32" t="e">
        <f ca="1">_xludf.ifna(VLOOKUP(G3586,Proyectos!$A$2:$T$674,20,0),"")</f>
        <v>#NAME?</v>
      </c>
      <c r="N3586" s="32" t="e">
        <f ca="1">_xludf.ifna(VLOOKUP(G3586,Proyectos!$A$2:$S$674,19,0))</f>
        <v>#NAME?</v>
      </c>
      <c r="O3586" s="32"/>
      <c r="P3586" s="32"/>
      <c r="Q3586" s="33"/>
      <c r="R3586" s="33"/>
      <c r="S3586" s="33"/>
      <c r="T3586" s="63"/>
      <c r="U3586" s="33"/>
      <c r="V3586" s="33"/>
      <c r="W3586" s="33"/>
    </row>
    <row r="3587" spans="1:23" ht="16.5" customHeight="1" x14ac:dyDescent="0.2">
      <c r="A3587" s="26"/>
      <c r="B3587" s="26"/>
      <c r="C3587" s="26"/>
      <c r="D3587" s="26"/>
      <c r="E3587" s="26"/>
      <c r="F3587" s="28"/>
      <c r="G3587" s="26"/>
      <c r="H3587" s="32"/>
      <c r="I3587" s="32"/>
      <c r="J3587" s="32"/>
      <c r="K3587" s="32"/>
      <c r="L3587" s="32" t="e">
        <f ca="1">_xludf.ifna(VLOOKUP(E3587,Parámetros!$D$2:$E$34,2,0),"")</f>
        <v>#NAME?</v>
      </c>
      <c r="M3587" s="32" t="e">
        <f ca="1">_xludf.ifna(VLOOKUP(G3587,Proyectos!$A$2:$T$674,20,0),"")</f>
        <v>#NAME?</v>
      </c>
      <c r="N3587" s="32" t="e">
        <f ca="1">_xludf.ifna(VLOOKUP(G3587,Proyectos!$A$2:$S$674,19,0))</f>
        <v>#NAME?</v>
      </c>
      <c r="O3587" s="32"/>
      <c r="P3587" s="32"/>
      <c r="Q3587" s="33"/>
      <c r="R3587" s="33"/>
      <c r="S3587" s="33"/>
      <c r="T3587" s="63"/>
      <c r="U3587" s="33"/>
      <c r="V3587" s="33"/>
      <c r="W3587" s="33"/>
    </row>
    <row r="3588" spans="1:23" ht="16.5" customHeight="1" x14ac:dyDescent="0.2">
      <c r="A3588" s="26"/>
      <c r="B3588" s="26"/>
      <c r="C3588" s="26"/>
      <c r="D3588" s="26"/>
      <c r="E3588" s="26"/>
      <c r="F3588" s="28"/>
      <c r="G3588" s="26"/>
      <c r="H3588" s="32"/>
      <c r="I3588" s="32"/>
      <c r="J3588" s="32"/>
      <c r="K3588" s="32"/>
      <c r="L3588" s="32" t="e">
        <f ca="1">_xludf.ifna(VLOOKUP(E3588,Parámetros!$D$2:$E$34,2,0),"")</f>
        <v>#NAME?</v>
      </c>
      <c r="M3588" s="32" t="e">
        <f ca="1">_xludf.ifna(VLOOKUP(G3588,Proyectos!$A$2:$T$674,20,0),"")</f>
        <v>#NAME?</v>
      </c>
      <c r="N3588" s="32" t="e">
        <f ca="1">_xludf.ifna(VLOOKUP(G3588,Proyectos!$A$2:$S$674,19,0))</f>
        <v>#NAME?</v>
      </c>
      <c r="O3588" s="32"/>
      <c r="P3588" s="32"/>
      <c r="Q3588" s="33"/>
      <c r="R3588" s="33"/>
      <c r="S3588" s="33"/>
      <c r="T3588" s="63"/>
      <c r="U3588" s="33"/>
      <c r="V3588" s="33"/>
      <c r="W3588" s="33"/>
    </row>
    <row r="3589" spans="1:23" ht="16.5" customHeight="1" x14ac:dyDescent="0.2">
      <c r="A3589" s="26"/>
      <c r="B3589" s="26"/>
      <c r="C3589" s="26"/>
      <c r="D3589" s="26"/>
      <c r="E3589" s="26"/>
      <c r="F3589" s="28"/>
      <c r="G3589" s="26"/>
      <c r="H3589" s="32"/>
      <c r="I3589" s="32"/>
      <c r="J3589" s="32"/>
      <c r="K3589" s="32"/>
      <c r="L3589" s="32" t="e">
        <f ca="1">_xludf.ifna(VLOOKUP(E3589,Parámetros!$D$2:$E$34,2,0),"")</f>
        <v>#NAME?</v>
      </c>
      <c r="M3589" s="32" t="e">
        <f ca="1">_xludf.ifna(VLOOKUP(G3589,Proyectos!$A$2:$T$674,20,0),"")</f>
        <v>#NAME?</v>
      </c>
      <c r="N3589" s="32" t="e">
        <f ca="1">_xludf.ifna(VLOOKUP(G3589,Proyectos!$A$2:$S$674,19,0))</f>
        <v>#NAME?</v>
      </c>
      <c r="O3589" s="32"/>
      <c r="P3589" s="32"/>
      <c r="Q3589" s="33"/>
      <c r="R3589" s="33"/>
      <c r="S3589" s="33"/>
      <c r="T3589" s="63"/>
      <c r="U3589" s="33"/>
      <c r="V3589" s="33"/>
      <c r="W3589" s="33"/>
    </row>
    <row r="3590" spans="1:23" ht="16.5" customHeight="1" x14ac:dyDescent="0.2">
      <c r="A3590" s="26"/>
      <c r="B3590" s="26"/>
      <c r="C3590" s="26"/>
      <c r="D3590" s="26"/>
      <c r="E3590" s="26"/>
      <c r="F3590" s="28"/>
      <c r="G3590" s="26"/>
      <c r="H3590" s="32"/>
      <c r="I3590" s="32"/>
      <c r="J3590" s="32"/>
      <c r="K3590" s="32"/>
      <c r="L3590" s="32" t="e">
        <f ca="1">_xludf.ifna(VLOOKUP(E3590,Parámetros!$D$2:$E$34,2,0),"")</f>
        <v>#NAME?</v>
      </c>
      <c r="M3590" s="32" t="e">
        <f ca="1">_xludf.ifna(VLOOKUP(G3590,Proyectos!$A$2:$T$674,20,0),"")</f>
        <v>#NAME?</v>
      </c>
      <c r="N3590" s="32" t="e">
        <f ca="1">_xludf.ifna(VLOOKUP(G3590,Proyectos!$A$2:$S$674,19,0))</f>
        <v>#NAME?</v>
      </c>
      <c r="O3590" s="32"/>
      <c r="P3590" s="32"/>
      <c r="Q3590" s="33"/>
      <c r="R3590" s="33"/>
      <c r="S3590" s="33"/>
      <c r="T3590" s="63"/>
      <c r="U3590" s="33"/>
      <c r="V3590" s="33"/>
      <c r="W3590" s="33"/>
    </row>
    <row r="3591" spans="1:23" ht="16.5" customHeight="1" x14ac:dyDescent="0.2">
      <c r="A3591" s="26"/>
      <c r="B3591" s="26"/>
      <c r="C3591" s="26"/>
      <c r="D3591" s="26"/>
      <c r="E3591" s="26"/>
      <c r="F3591" s="28"/>
      <c r="G3591" s="26"/>
      <c r="H3591" s="32"/>
      <c r="I3591" s="32"/>
      <c r="J3591" s="32"/>
      <c r="K3591" s="32"/>
      <c r="L3591" s="32" t="e">
        <f ca="1">_xludf.ifna(VLOOKUP(E3591,Parámetros!$D$2:$E$34,2,0),"")</f>
        <v>#NAME?</v>
      </c>
      <c r="M3591" s="32" t="e">
        <f ca="1">_xludf.ifna(VLOOKUP(G3591,Proyectos!$A$2:$T$674,20,0),"")</f>
        <v>#NAME?</v>
      </c>
      <c r="N3591" s="32" t="e">
        <f ca="1">_xludf.ifna(VLOOKUP(G3591,Proyectos!$A$2:$S$674,19,0))</f>
        <v>#NAME?</v>
      </c>
      <c r="O3591" s="32"/>
      <c r="P3591" s="32"/>
      <c r="Q3591" s="33"/>
      <c r="R3591" s="33"/>
      <c r="S3591" s="33"/>
      <c r="T3591" s="63"/>
      <c r="U3591" s="33"/>
      <c r="V3591" s="33"/>
      <c r="W3591" s="33"/>
    </row>
    <row r="3592" spans="1:23" ht="16.5" customHeight="1" x14ac:dyDescent="0.2">
      <c r="A3592" s="26"/>
      <c r="B3592" s="26"/>
      <c r="C3592" s="26"/>
      <c r="D3592" s="26"/>
      <c r="E3592" s="26"/>
      <c r="F3592" s="28"/>
      <c r="G3592" s="26"/>
      <c r="H3592" s="32"/>
      <c r="I3592" s="32"/>
      <c r="J3592" s="32"/>
      <c r="K3592" s="32"/>
      <c r="L3592" s="32" t="e">
        <f ca="1">_xludf.ifna(VLOOKUP(E3592,Parámetros!$D$2:$E$34,2,0),"")</f>
        <v>#NAME?</v>
      </c>
      <c r="M3592" s="32" t="e">
        <f ca="1">_xludf.ifna(VLOOKUP(G3592,Proyectos!$A$2:$T$674,20,0),"")</f>
        <v>#NAME?</v>
      </c>
      <c r="N3592" s="32" t="e">
        <f ca="1">_xludf.ifna(VLOOKUP(G3592,Proyectos!$A$2:$S$674,19,0))</f>
        <v>#NAME?</v>
      </c>
      <c r="O3592" s="32"/>
      <c r="P3592" s="32"/>
      <c r="Q3592" s="33"/>
      <c r="R3592" s="33"/>
      <c r="S3592" s="33"/>
      <c r="T3592" s="63"/>
      <c r="U3592" s="33"/>
      <c r="V3592" s="33"/>
      <c r="W3592" s="33"/>
    </row>
    <row r="3593" spans="1:23" ht="16.5" customHeight="1" x14ac:dyDescent="0.2">
      <c r="A3593" s="26"/>
      <c r="B3593" s="26"/>
      <c r="C3593" s="26"/>
      <c r="D3593" s="26"/>
      <c r="E3593" s="26"/>
      <c r="F3593" s="28"/>
      <c r="G3593" s="26"/>
      <c r="H3593" s="32"/>
      <c r="I3593" s="32"/>
      <c r="J3593" s="32"/>
      <c r="K3593" s="32"/>
      <c r="L3593" s="32" t="e">
        <f ca="1">_xludf.ifna(VLOOKUP(E3593,Parámetros!$D$2:$E$34,2,0),"")</f>
        <v>#NAME?</v>
      </c>
      <c r="M3593" s="32" t="e">
        <f ca="1">_xludf.ifna(VLOOKUP(G3593,Proyectos!$A$2:$T$674,20,0),"")</f>
        <v>#NAME?</v>
      </c>
      <c r="N3593" s="32" t="e">
        <f ca="1">_xludf.ifna(VLOOKUP(G3593,Proyectos!$A$2:$S$674,19,0))</f>
        <v>#NAME?</v>
      </c>
      <c r="O3593" s="32"/>
      <c r="P3593" s="32"/>
      <c r="Q3593" s="33"/>
      <c r="R3593" s="33"/>
      <c r="S3593" s="33"/>
      <c r="T3593" s="63"/>
      <c r="U3593" s="33"/>
      <c r="V3593" s="33"/>
      <c r="W3593" s="33"/>
    </row>
    <row r="3594" spans="1:23" ht="16.5" customHeight="1" x14ac:dyDescent="0.2">
      <c r="A3594" s="26"/>
      <c r="B3594" s="26"/>
      <c r="C3594" s="26"/>
      <c r="D3594" s="26"/>
      <c r="E3594" s="26"/>
      <c r="F3594" s="28"/>
      <c r="G3594" s="26"/>
      <c r="H3594" s="32"/>
      <c r="I3594" s="32"/>
      <c r="J3594" s="32"/>
      <c r="K3594" s="32"/>
      <c r="L3594" s="32" t="e">
        <f ca="1">_xludf.ifna(VLOOKUP(E3594,Parámetros!$D$2:$E$34,2,0),"")</f>
        <v>#NAME?</v>
      </c>
      <c r="M3594" s="32" t="e">
        <f ca="1">_xludf.ifna(VLOOKUP(G3594,Proyectos!$A$2:$T$674,20,0),"")</f>
        <v>#NAME?</v>
      </c>
      <c r="N3594" s="32" t="e">
        <f ca="1">_xludf.ifna(VLOOKUP(G3594,Proyectos!$A$2:$S$674,19,0))</f>
        <v>#NAME?</v>
      </c>
      <c r="O3594" s="32"/>
      <c r="P3594" s="32"/>
      <c r="Q3594" s="33"/>
      <c r="R3594" s="33"/>
      <c r="S3594" s="33"/>
      <c r="T3594" s="63"/>
      <c r="U3594" s="33"/>
      <c r="V3594" s="33"/>
      <c r="W3594" s="33"/>
    </row>
    <row r="3595" spans="1:23" ht="16.5" customHeight="1" x14ac:dyDescent="0.2">
      <c r="A3595" s="26"/>
      <c r="B3595" s="26"/>
      <c r="C3595" s="26"/>
      <c r="D3595" s="26"/>
      <c r="E3595" s="26"/>
      <c r="F3595" s="28"/>
      <c r="G3595" s="26"/>
      <c r="H3595" s="32"/>
      <c r="I3595" s="32"/>
      <c r="J3595" s="32"/>
      <c r="K3595" s="32"/>
      <c r="L3595" s="32" t="e">
        <f ca="1">_xludf.ifna(VLOOKUP(E3595,Parámetros!$D$2:$E$34,2,0),"")</f>
        <v>#NAME?</v>
      </c>
      <c r="M3595" s="32" t="e">
        <f ca="1">_xludf.ifna(VLOOKUP(G3595,Proyectos!$A$2:$T$674,20,0),"")</f>
        <v>#NAME?</v>
      </c>
      <c r="N3595" s="32" t="e">
        <f ca="1">_xludf.ifna(VLOOKUP(G3595,Proyectos!$A$2:$S$674,19,0))</f>
        <v>#NAME?</v>
      </c>
      <c r="O3595" s="32"/>
      <c r="P3595" s="32"/>
      <c r="Q3595" s="33"/>
      <c r="R3595" s="33"/>
      <c r="S3595" s="33"/>
      <c r="T3595" s="63"/>
      <c r="U3595" s="33"/>
      <c r="V3595" s="33"/>
      <c r="W3595" s="33"/>
    </row>
    <row r="3596" spans="1:23" ht="16.5" customHeight="1" x14ac:dyDescent="0.2">
      <c r="A3596" s="26"/>
      <c r="B3596" s="26"/>
      <c r="C3596" s="26"/>
      <c r="D3596" s="26"/>
      <c r="E3596" s="26"/>
      <c r="F3596" s="28"/>
      <c r="G3596" s="26"/>
      <c r="H3596" s="32"/>
      <c r="I3596" s="32"/>
      <c r="J3596" s="32"/>
      <c r="K3596" s="32"/>
      <c r="L3596" s="32" t="e">
        <f ca="1">_xludf.ifna(VLOOKUP(E3596,Parámetros!$D$2:$E$34,2,0),"")</f>
        <v>#NAME?</v>
      </c>
      <c r="M3596" s="32" t="e">
        <f ca="1">_xludf.ifna(VLOOKUP(G3596,Proyectos!$A$2:$T$674,20,0),"")</f>
        <v>#NAME?</v>
      </c>
      <c r="N3596" s="32" t="e">
        <f ca="1">_xludf.ifna(VLOOKUP(G3596,Proyectos!$A$2:$S$674,19,0))</f>
        <v>#NAME?</v>
      </c>
      <c r="O3596" s="32"/>
      <c r="P3596" s="32"/>
      <c r="Q3596" s="33"/>
      <c r="R3596" s="33"/>
      <c r="S3596" s="33"/>
      <c r="T3596" s="63"/>
      <c r="U3596" s="33"/>
      <c r="V3596" s="33"/>
      <c r="W3596" s="33"/>
    </row>
    <row r="3597" spans="1:23" ht="16.5" customHeight="1" x14ac:dyDescent="0.2">
      <c r="A3597" s="26"/>
      <c r="B3597" s="26"/>
      <c r="C3597" s="26"/>
      <c r="D3597" s="26"/>
      <c r="E3597" s="26"/>
      <c r="F3597" s="28"/>
      <c r="G3597" s="26"/>
      <c r="H3597" s="32"/>
      <c r="I3597" s="32"/>
      <c r="J3597" s="32"/>
      <c r="K3597" s="32"/>
      <c r="L3597" s="32" t="e">
        <f ca="1">_xludf.ifna(VLOOKUP(E3597,Parámetros!$D$2:$E$34,2,0),"")</f>
        <v>#NAME?</v>
      </c>
      <c r="M3597" s="32" t="e">
        <f ca="1">_xludf.ifna(VLOOKUP(G3597,Proyectos!$A$2:$T$674,20,0),"")</f>
        <v>#NAME?</v>
      </c>
      <c r="N3597" s="32" t="e">
        <f ca="1">_xludf.ifna(VLOOKUP(G3597,Proyectos!$A$2:$S$674,19,0))</f>
        <v>#NAME?</v>
      </c>
      <c r="O3597" s="32"/>
      <c r="P3597" s="32"/>
      <c r="Q3597" s="33"/>
      <c r="R3597" s="33"/>
      <c r="S3597" s="33"/>
      <c r="T3597" s="63"/>
      <c r="U3597" s="33"/>
      <c r="V3597" s="33"/>
      <c r="W3597" s="33"/>
    </row>
    <row r="3598" spans="1:23" ht="16.5" customHeight="1" x14ac:dyDescent="0.2">
      <c r="A3598" s="26"/>
      <c r="B3598" s="26"/>
      <c r="C3598" s="26"/>
      <c r="D3598" s="26"/>
      <c r="E3598" s="26"/>
      <c r="F3598" s="28"/>
      <c r="G3598" s="26"/>
      <c r="H3598" s="32"/>
      <c r="I3598" s="32"/>
      <c r="J3598" s="32"/>
      <c r="K3598" s="32"/>
      <c r="L3598" s="32" t="e">
        <f ca="1">_xludf.ifna(VLOOKUP(E3598,Parámetros!$D$2:$E$34,2,0),"")</f>
        <v>#NAME?</v>
      </c>
      <c r="M3598" s="32" t="e">
        <f ca="1">_xludf.ifna(VLOOKUP(G3598,Proyectos!$A$2:$T$674,20,0),"")</f>
        <v>#NAME?</v>
      </c>
      <c r="N3598" s="32" t="e">
        <f ca="1">_xludf.ifna(VLOOKUP(G3598,Proyectos!$A$2:$S$674,19,0))</f>
        <v>#NAME?</v>
      </c>
      <c r="O3598" s="32"/>
      <c r="P3598" s="32"/>
      <c r="Q3598" s="33"/>
      <c r="R3598" s="33"/>
      <c r="S3598" s="33"/>
      <c r="T3598" s="63"/>
      <c r="U3598" s="33"/>
      <c r="V3598" s="33"/>
      <c r="W3598" s="33"/>
    </row>
    <row r="3599" spans="1:23" ht="16.5" customHeight="1" x14ac:dyDescent="0.2">
      <c r="A3599" s="26"/>
      <c r="B3599" s="26"/>
      <c r="C3599" s="26"/>
      <c r="D3599" s="26"/>
      <c r="E3599" s="26"/>
      <c r="F3599" s="28"/>
      <c r="G3599" s="26"/>
      <c r="H3599" s="32"/>
      <c r="I3599" s="32"/>
      <c r="J3599" s="32"/>
      <c r="K3599" s="32"/>
      <c r="L3599" s="32" t="e">
        <f ca="1">_xludf.ifna(VLOOKUP(E3599,Parámetros!$D$2:$E$34,2,0),"")</f>
        <v>#NAME?</v>
      </c>
      <c r="M3599" s="32" t="e">
        <f ca="1">_xludf.ifna(VLOOKUP(G3599,Proyectos!$A$2:$T$674,20,0),"")</f>
        <v>#NAME?</v>
      </c>
      <c r="N3599" s="32" t="e">
        <f ca="1">_xludf.ifna(VLOOKUP(G3599,Proyectos!$A$2:$S$674,19,0))</f>
        <v>#NAME?</v>
      </c>
      <c r="O3599" s="32"/>
      <c r="P3599" s="32"/>
      <c r="Q3599" s="33"/>
      <c r="R3599" s="33"/>
      <c r="S3599" s="33"/>
      <c r="T3599" s="63"/>
      <c r="U3599" s="33"/>
      <c r="V3599" s="33"/>
      <c r="W3599" s="33"/>
    </row>
    <row r="3600" spans="1:23" ht="16.5" customHeight="1" x14ac:dyDescent="0.2">
      <c r="A3600" s="26"/>
      <c r="B3600" s="26"/>
      <c r="C3600" s="26"/>
      <c r="D3600" s="26"/>
      <c r="E3600" s="26"/>
      <c r="F3600" s="28"/>
      <c r="G3600" s="26"/>
      <c r="H3600" s="32"/>
      <c r="I3600" s="32"/>
      <c r="J3600" s="32"/>
      <c r="K3600" s="32"/>
      <c r="L3600" s="32" t="e">
        <f ca="1">_xludf.ifna(VLOOKUP(E3600,Parámetros!$D$2:$E$34,2,0),"")</f>
        <v>#NAME?</v>
      </c>
      <c r="M3600" s="32" t="e">
        <f ca="1">_xludf.ifna(VLOOKUP(G3600,Proyectos!$A$2:$T$674,20,0),"")</f>
        <v>#NAME?</v>
      </c>
      <c r="N3600" s="32" t="e">
        <f ca="1">_xludf.ifna(VLOOKUP(G3600,Proyectos!$A$2:$S$674,19,0))</f>
        <v>#NAME?</v>
      </c>
      <c r="O3600" s="32"/>
      <c r="P3600" s="32"/>
      <c r="Q3600" s="33"/>
      <c r="R3600" s="33"/>
      <c r="S3600" s="33"/>
      <c r="T3600" s="63"/>
      <c r="U3600" s="33"/>
      <c r="V3600" s="33"/>
      <c r="W3600" s="33"/>
    </row>
    <row r="3601" spans="1:23" ht="16.5" customHeight="1" x14ac:dyDescent="0.2">
      <c r="A3601" s="26"/>
      <c r="B3601" s="26"/>
      <c r="C3601" s="26"/>
      <c r="D3601" s="26"/>
      <c r="E3601" s="26"/>
      <c r="F3601" s="28"/>
      <c r="G3601" s="26"/>
      <c r="H3601" s="32"/>
      <c r="I3601" s="32"/>
      <c r="J3601" s="32"/>
      <c r="K3601" s="32"/>
      <c r="L3601" s="32" t="e">
        <f ca="1">_xludf.ifna(VLOOKUP(E3601,Parámetros!$D$2:$E$34,2,0),"")</f>
        <v>#NAME?</v>
      </c>
      <c r="M3601" s="32" t="e">
        <f ca="1">_xludf.ifna(VLOOKUP(G3601,Proyectos!$A$2:$T$674,20,0),"")</f>
        <v>#NAME?</v>
      </c>
      <c r="N3601" s="32" t="e">
        <f ca="1">_xludf.ifna(VLOOKUP(G3601,Proyectos!$A$2:$S$674,19,0))</f>
        <v>#NAME?</v>
      </c>
      <c r="O3601" s="32"/>
      <c r="P3601" s="32"/>
      <c r="Q3601" s="33"/>
      <c r="R3601" s="33"/>
      <c r="S3601" s="33"/>
      <c r="T3601" s="63"/>
      <c r="U3601" s="33"/>
      <c r="V3601" s="33"/>
      <c r="W3601" s="33"/>
    </row>
    <row r="3602" spans="1:23" ht="16.5" customHeight="1" x14ac:dyDescent="0.2">
      <c r="A3602" s="26"/>
      <c r="B3602" s="26"/>
      <c r="C3602" s="26"/>
      <c r="D3602" s="26"/>
      <c r="E3602" s="26"/>
      <c r="F3602" s="28"/>
      <c r="G3602" s="26"/>
      <c r="H3602" s="32"/>
      <c r="I3602" s="32"/>
      <c r="J3602" s="32"/>
      <c r="K3602" s="32"/>
      <c r="L3602" s="32" t="e">
        <f ca="1">_xludf.ifna(VLOOKUP(E3602,Parámetros!$D$2:$E$34,2,0),"")</f>
        <v>#NAME?</v>
      </c>
      <c r="M3602" s="32" t="e">
        <f ca="1">_xludf.ifna(VLOOKUP(G3602,Proyectos!$A$2:$T$674,20,0),"")</f>
        <v>#NAME?</v>
      </c>
      <c r="N3602" s="32" t="e">
        <f ca="1">_xludf.ifna(VLOOKUP(G3602,Proyectos!$A$2:$S$674,19,0))</f>
        <v>#NAME?</v>
      </c>
      <c r="O3602" s="32"/>
      <c r="P3602" s="32"/>
      <c r="Q3602" s="33"/>
      <c r="R3602" s="33"/>
      <c r="S3602" s="33"/>
      <c r="T3602" s="63"/>
      <c r="U3602" s="33"/>
      <c r="V3602" s="33"/>
      <c r="W3602" s="33"/>
    </row>
    <row r="3603" spans="1:23" ht="16.5" customHeight="1" x14ac:dyDescent="0.2">
      <c r="A3603" s="26"/>
      <c r="B3603" s="26"/>
      <c r="C3603" s="26"/>
      <c r="D3603" s="26"/>
      <c r="E3603" s="26"/>
      <c r="F3603" s="28"/>
      <c r="G3603" s="26"/>
      <c r="H3603" s="32"/>
      <c r="I3603" s="32"/>
      <c r="J3603" s="32"/>
      <c r="K3603" s="32"/>
      <c r="L3603" s="32" t="e">
        <f ca="1">_xludf.ifna(VLOOKUP(E3603,Parámetros!$D$2:$E$34,2,0),"")</f>
        <v>#NAME?</v>
      </c>
      <c r="M3603" s="32" t="e">
        <f ca="1">_xludf.ifna(VLOOKUP(G3603,Proyectos!$A$2:$T$674,20,0),"")</f>
        <v>#NAME?</v>
      </c>
      <c r="N3603" s="32" t="e">
        <f ca="1">_xludf.ifna(VLOOKUP(G3603,Proyectos!$A$2:$S$674,19,0))</f>
        <v>#NAME?</v>
      </c>
      <c r="O3603" s="32"/>
      <c r="P3603" s="32"/>
      <c r="Q3603" s="33"/>
      <c r="R3603" s="33"/>
      <c r="S3603" s="33"/>
      <c r="T3603" s="63"/>
      <c r="U3603" s="33"/>
      <c r="V3603" s="33"/>
      <c r="W3603" s="33"/>
    </row>
    <row r="3604" spans="1:23" ht="16.5" customHeight="1" x14ac:dyDescent="0.2">
      <c r="A3604" s="26"/>
      <c r="B3604" s="26"/>
      <c r="C3604" s="26"/>
      <c r="D3604" s="26"/>
      <c r="E3604" s="26"/>
      <c r="F3604" s="28"/>
      <c r="G3604" s="26"/>
      <c r="H3604" s="32"/>
      <c r="I3604" s="32"/>
      <c r="J3604" s="32"/>
      <c r="K3604" s="32"/>
      <c r="L3604" s="32" t="e">
        <f ca="1">_xludf.ifna(VLOOKUP(E3604,Parámetros!$D$2:$E$34,2,0),"")</f>
        <v>#NAME?</v>
      </c>
      <c r="M3604" s="32" t="e">
        <f ca="1">_xludf.ifna(VLOOKUP(G3604,Proyectos!$A$2:$T$674,20,0),"")</f>
        <v>#NAME?</v>
      </c>
      <c r="N3604" s="32" t="e">
        <f ca="1">_xludf.ifna(VLOOKUP(G3604,Proyectos!$A$2:$S$674,19,0))</f>
        <v>#NAME?</v>
      </c>
      <c r="O3604" s="32"/>
      <c r="P3604" s="32"/>
      <c r="Q3604" s="33"/>
      <c r="R3604" s="33"/>
      <c r="S3604" s="33"/>
      <c r="T3604" s="63"/>
      <c r="U3604" s="33"/>
      <c r="V3604" s="33"/>
      <c r="W3604" s="33"/>
    </row>
    <row r="3605" spans="1:23" ht="16.5" customHeight="1" x14ac:dyDescent="0.2">
      <c r="A3605" s="26"/>
      <c r="B3605" s="26"/>
      <c r="C3605" s="26"/>
      <c r="D3605" s="26"/>
      <c r="E3605" s="26"/>
      <c r="F3605" s="28"/>
      <c r="G3605" s="26"/>
      <c r="H3605" s="32"/>
      <c r="I3605" s="32"/>
      <c r="J3605" s="32"/>
      <c r="K3605" s="32"/>
      <c r="L3605" s="32" t="e">
        <f ca="1">_xludf.ifna(VLOOKUP(E3605,Parámetros!$D$2:$E$34,2,0),"")</f>
        <v>#NAME?</v>
      </c>
      <c r="M3605" s="32" t="e">
        <f ca="1">_xludf.ifna(VLOOKUP(G3605,Proyectos!$A$2:$T$674,20,0),"")</f>
        <v>#NAME?</v>
      </c>
      <c r="N3605" s="32" t="e">
        <f ca="1">_xludf.ifna(VLOOKUP(G3605,Proyectos!$A$2:$S$674,19,0))</f>
        <v>#NAME?</v>
      </c>
      <c r="O3605" s="32"/>
      <c r="P3605" s="32"/>
      <c r="Q3605" s="33"/>
      <c r="R3605" s="33"/>
      <c r="S3605" s="33"/>
      <c r="T3605" s="63"/>
      <c r="U3605" s="33"/>
      <c r="V3605" s="33"/>
      <c r="W3605" s="33"/>
    </row>
    <row r="3606" spans="1:23" ht="16.5" customHeight="1" x14ac:dyDescent="0.2">
      <c r="A3606" s="26"/>
      <c r="B3606" s="26"/>
      <c r="C3606" s="26"/>
      <c r="D3606" s="26"/>
      <c r="E3606" s="26"/>
      <c r="F3606" s="28"/>
      <c r="G3606" s="26"/>
      <c r="H3606" s="32"/>
      <c r="I3606" s="32"/>
      <c r="J3606" s="32"/>
      <c r="K3606" s="32"/>
      <c r="L3606" s="32" t="e">
        <f ca="1">_xludf.ifna(VLOOKUP(E3606,Parámetros!$D$2:$E$34,2,0),"")</f>
        <v>#NAME?</v>
      </c>
      <c r="M3606" s="32" t="e">
        <f ca="1">_xludf.ifna(VLOOKUP(G3606,Proyectos!$A$2:$T$674,20,0),"")</f>
        <v>#NAME?</v>
      </c>
      <c r="N3606" s="32" t="e">
        <f ca="1">_xludf.ifna(VLOOKUP(G3606,Proyectos!$A$2:$S$674,19,0))</f>
        <v>#NAME?</v>
      </c>
      <c r="O3606" s="32"/>
      <c r="P3606" s="32"/>
      <c r="Q3606" s="33"/>
      <c r="R3606" s="33"/>
      <c r="S3606" s="33"/>
      <c r="T3606" s="63"/>
      <c r="U3606" s="33"/>
      <c r="V3606" s="33"/>
      <c r="W3606" s="33"/>
    </row>
    <row r="3607" spans="1:23" ht="16.5" customHeight="1" x14ac:dyDescent="0.2">
      <c r="A3607" s="26"/>
      <c r="B3607" s="26"/>
      <c r="C3607" s="26"/>
      <c r="D3607" s="26"/>
      <c r="E3607" s="26"/>
      <c r="F3607" s="28"/>
      <c r="G3607" s="26"/>
      <c r="H3607" s="32"/>
      <c r="I3607" s="32"/>
      <c r="J3607" s="32"/>
      <c r="K3607" s="32"/>
      <c r="L3607" s="32" t="e">
        <f ca="1">_xludf.ifna(VLOOKUP(E3607,Parámetros!$D$2:$E$34,2,0),"")</f>
        <v>#NAME?</v>
      </c>
      <c r="M3607" s="32" t="e">
        <f ca="1">_xludf.ifna(VLOOKUP(G3607,Proyectos!$A$2:$T$674,20,0),"")</f>
        <v>#NAME?</v>
      </c>
      <c r="N3607" s="32" t="e">
        <f ca="1">_xludf.ifna(VLOOKUP(G3607,Proyectos!$A$2:$S$674,19,0))</f>
        <v>#NAME?</v>
      </c>
      <c r="O3607" s="32"/>
      <c r="P3607" s="32"/>
      <c r="Q3607" s="33"/>
      <c r="R3607" s="33"/>
      <c r="S3607" s="33"/>
      <c r="T3607" s="63"/>
      <c r="U3607" s="33"/>
      <c r="V3607" s="33"/>
      <c r="W3607" s="33"/>
    </row>
    <row r="3608" spans="1:23" ht="16.5" customHeight="1" x14ac:dyDescent="0.2">
      <c r="A3608" s="26"/>
      <c r="B3608" s="26"/>
      <c r="C3608" s="26"/>
      <c r="D3608" s="26"/>
      <c r="E3608" s="26"/>
      <c r="F3608" s="28"/>
      <c r="G3608" s="26"/>
      <c r="H3608" s="32"/>
      <c r="I3608" s="32"/>
      <c r="J3608" s="32"/>
      <c r="K3608" s="32"/>
      <c r="L3608" s="32" t="e">
        <f ca="1">_xludf.ifna(VLOOKUP(E3608,Parámetros!$D$2:$E$34,2,0),"")</f>
        <v>#NAME?</v>
      </c>
      <c r="M3608" s="32" t="e">
        <f ca="1">_xludf.ifna(VLOOKUP(G3608,Proyectos!$A$2:$T$674,20,0),"")</f>
        <v>#NAME?</v>
      </c>
      <c r="N3608" s="32" t="e">
        <f ca="1">_xludf.ifna(VLOOKUP(G3608,Proyectos!$A$2:$S$674,19,0))</f>
        <v>#NAME?</v>
      </c>
      <c r="O3608" s="32"/>
      <c r="P3608" s="32"/>
      <c r="Q3608" s="33"/>
      <c r="R3608" s="33"/>
      <c r="S3608" s="33"/>
      <c r="T3608" s="63"/>
      <c r="U3608" s="33"/>
      <c r="V3608" s="33"/>
      <c r="W3608" s="33"/>
    </row>
    <row r="3609" spans="1:23" ht="16.5" customHeight="1" x14ac:dyDescent="0.2">
      <c r="A3609" s="26"/>
      <c r="B3609" s="26"/>
      <c r="C3609" s="26"/>
      <c r="D3609" s="26"/>
      <c r="E3609" s="26"/>
      <c r="F3609" s="28"/>
      <c r="G3609" s="26"/>
      <c r="H3609" s="32"/>
      <c r="I3609" s="32"/>
      <c r="J3609" s="32"/>
      <c r="K3609" s="32"/>
      <c r="L3609" s="32" t="e">
        <f ca="1">_xludf.ifna(VLOOKUP(E3609,Parámetros!$D$2:$E$34,2,0),"")</f>
        <v>#NAME?</v>
      </c>
      <c r="M3609" s="32" t="e">
        <f ca="1">_xludf.ifna(VLOOKUP(G3609,Proyectos!$A$2:$T$674,20,0),"")</f>
        <v>#NAME?</v>
      </c>
      <c r="N3609" s="32" t="e">
        <f ca="1">_xludf.ifna(VLOOKUP(G3609,Proyectos!$A$2:$S$674,19,0))</f>
        <v>#NAME?</v>
      </c>
      <c r="O3609" s="32"/>
      <c r="P3609" s="32"/>
      <c r="Q3609" s="33"/>
      <c r="R3609" s="33"/>
      <c r="S3609" s="33"/>
      <c r="T3609" s="63"/>
      <c r="U3609" s="33"/>
      <c r="V3609" s="33"/>
      <c r="W3609" s="33"/>
    </row>
    <row r="3610" spans="1:23" ht="16.5" customHeight="1" x14ac:dyDescent="0.2">
      <c r="A3610" s="26"/>
      <c r="B3610" s="26"/>
      <c r="C3610" s="26"/>
      <c r="D3610" s="26"/>
      <c r="E3610" s="26"/>
      <c r="F3610" s="28"/>
      <c r="G3610" s="26"/>
      <c r="H3610" s="32"/>
      <c r="I3610" s="32"/>
      <c r="J3610" s="32"/>
      <c r="K3610" s="32"/>
      <c r="L3610" s="32" t="e">
        <f ca="1">_xludf.ifna(VLOOKUP(E3610,Parámetros!$D$2:$E$34,2,0),"")</f>
        <v>#NAME?</v>
      </c>
      <c r="M3610" s="32" t="e">
        <f ca="1">_xludf.ifna(VLOOKUP(G3610,Proyectos!$A$2:$T$674,20,0),"")</f>
        <v>#NAME?</v>
      </c>
      <c r="N3610" s="32" t="e">
        <f ca="1">_xludf.ifna(VLOOKUP(G3610,Proyectos!$A$2:$S$674,19,0))</f>
        <v>#NAME?</v>
      </c>
      <c r="O3610" s="32"/>
      <c r="P3610" s="32"/>
      <c r="Q3610" s="33"/>
      <c r="R3610" s="33"/>
      <c r="S3610" s="33"/>
      <c r="T3610" s="63"/>
      <c r="U3610" s="33"/>
      <c r="V3610" s="33"/>
      <c r="W3610" s="33"/>
    </row>
    <row r="3611" spans="1:23" ht="16.5" customHeight="1" x14ac:dyDescent="0.2">
      <c r="A3611" s="26"/>
      <c r="B3611" s="26"/>
      <c r="C3611" s="26"/>
      <c r="D3611" s="26"/>
      <c r="E3611" s="26"/>
      <c r="F3611" s="28"/>
      <c r="G3611" s="26"/>
      <c r="H3611" s="32"/>
      <c r="I3611" s="32"/>
      <c r="J3611" s="32"/>
      <c r="K3611" s="32"/>
      <c r="L3611" s="32" t="e">
        <f ca="1">_xludf.ifna(VLOOKUP(E3611,Parámetros!$D$2:$E$34,2,0),"")</f>
        <v>#NAME?</v>
      </c>
      <c r="M3611" s="32" t="e">
        <f ca="1">_xludf.ifna(VLOOKUP(G3611,Proyectos!$A$2:$T$674,20,0),"")</f>
        <v>#NAME?</v>
      </c>
      <c r="N3611" s="32" t="e">
        <f ca="1">_xludf.ifna(VLOOKUP(G3611,Proyectos!$A$2:$S$674,19,0))</f>
        <v>#NAME?</v>
      </c>
      <c r="O3611" s="32"/>
      <c r="P3611" s="32"/>
      <c r="Q3611" s="33"/>
      <c r="R3611" s="33"/>
      <c r="S3611" s="33"/>
      <c r="T3611" s="63"/>
      <c r="U3611" s="33"/>
      <c r="V3611" s="33"/>
      <c r="W3611" s="33"/>
    </row>
    <row r="3612" spans="1:23" ht="16.5" customHeight="1" x14ac:dyDescent="0.2">
      <c r="A3612" s="26"/>
      <c r="B3612" s="26"/>
      <c r="C3612" s="26"/>
      <c r="D3612" s="26"/>
      <c r="E3612" s="26"/>
      <c r="F3612" s="28"/>
      <c r="G3612" s="26"/>
      <c r="H3612" s="32"/>
      <c r="I3612" s="32"/>
      <c r="J3612" s="32"/>
      <c r="K3612" s="32"/>
      <c r="L3612" s="32" t="e">
        <f ca="1">_xludf.ifna(VLOOKUP(E3612,Parámetros!$D$2:$E$34,2,0),"")</f>
        <v>#NAME?</v>
      </c>
      <c r="M3612" s="32" t="e">
        <f ca="1">_xludf.ifna(VLOOKUP(G3612,Proyectos!$A$2:$T$674,20,0),"")</f>
        <v>#NAME?</v>
      </c>
      <c r="N3612" s="32" t="e">
        <f ca="1">_xludf.ifna(VLOOKUP(G3612,Proyectos!$A$2:$S$674,19,0))</f>
        <v>#NAME?</v>
      </c>
      <c r="O3612" s="32"/>
      <c r="P3612" s="32"/>
      <c r="Q3612" s="33"/>
      <c r="R3612" s="33"/>
      <c r="S3612" s="33"/>
      <c r="T3612" s="63"/>
      <c r="U3612" s="33"/>
      <c r="V3612" s="33"/>
      <c r="W3612" s="33"/>
    </row>
    <row r="3613" spans="1:23" ht="16.5" customHeight="1" x14ac:dyDescent="0.2">
      <c r="A3613" s="26"/>
      <c r="B3613" s="26"/>
      <c r="C3613" s="26"/>
      <c r="D3613" s="26"/>
      <c r="E3613" s="26"/>
      <c r="F3613" s="28"/>
      <c r="G3613" s="26"/>
      <c r="H3613" s="32"/>
      <c r="I3613" s="32"/>
      <c r="J3613" s="32"/>
      <c r="K3613" s="32"/>
      <c r="L3613" s="32" t="e">
        <f ca="1">_xludf.ifna(VLOOKUP(E3613,Parámetros!$D$2:$E$34,2,0),"")</f>
        <v>#NAME?</v>
      </c>
      <c r="M3613" s="32" t="e">
        <f ca="1">_xludf.ifna(VLOOKUP(G3613,Proyectos!$A$2:$T$674,20,0),"")</f>
        <v>#NAME?</v>
      </c>
      <c r="N3613" s="32" t="e">
        <f ca="1">_xludf.ifna(VLOOKUP(G3613,Proyectos!$A$2:$S$674,19,0))</f>
        <v>#NAME?</v>
      </c>
      <c r="O3613" s="32"/>
      <c r="P3613" s="32"/>
      <c r="Q3613" s="33"/>
      <c r="R3613" s="33"/>
      <c r="S3613" s="33"/>
      <c r="T3613" s="63"/>
      <c r="U3613" s="33"/>
      <c r="V3613" s="33"/>
      <c r="W3613" s="33"/>
    </row>
    <row r="3614" spans="1:23" ht="16.5" customHeight="1" x14ac:dyDescent="0.2">
      <c r="A3614" s="26"/>
      <c r="B3614" s="26"/>
      <c r="C3614" s="26"/>
      <c r="D3614" s="26"/>
      <c r="E3614" s="26"/>
      <c r="F3614" s="28"/>
      <c r="G3614" s="26"/>
      <c r="H3614" s="32"/>
      <c r="I3614" s="32"/>
      <c r="J3614" s="32"/>
      <c r="K3614" s="32"/>
      <c r="L3614" s="32" t="e">
        <f ca="1">_xludf.ifna(VLOOKUP(E3614,Parámetros!$D$2:$E$34,2,0),"")</f>
        <v>#NAME?</v>
      </c>
      <c r="M3614" s="32" t="e">
        <f ca="1">_xludf.ifna(VLOOKUP(G3614,Proyectos!$A$2:$T$674,20,0),"")</f>
        <v>#NAME?</v>
      </c>
      <c r="N3614" s="32" t="e">
        <f ca="1">_xludf.ifna(VLOOKUP(G3614,Proyectos!$A$2:$S$674,19,0))</f>
        <v>#NAME?</v>
      </c>
      <c r="O3614" s="32"/>
      <c r="P3614" s="32"/>
      <c r="Q3614" s="33"/>
      <c r="R3614" s="33"/>
      <c r="S3614" s="33"/>
      <c r="T3614" s="63"/>
      <c r="U3614" s="33"/>
      <c r="V3614" s="33"/>
      <c r="W3614" s="33"/>
    </row>
    <row r="3615" spans="1:23" ht="16.5" customHeight="1" x14ac:dyDescent="0.2">
      <c r="A3615" s="26"/>
      <c r="B3615" s="26"/>
      <c r="C3615" s="26"/>
      <c r="D3615" s="26"/>
      <c r="E3615" s="26"/>
      <c r="F3615" s="28"/>
      <c r="G3615" s="26"/>
      <c r="H3615" s="32"/>
      <c r="I3615" s="32"/>
      <c r="J3615" s="32"/>
      <c r="K3615" s="32"/>
      <c r="L3615" s="32" t="e">
        <f ca="1">_xludf.ifna(VLOOKUP(E3615,Parámetros!$D$2:$E$34,2,0),"")</f>
        <v>#NAME?</v>
      </c>
      <c r="M3615" s="32" t="e">
        <f ca="1">_xludf.ifna(VLOOKUP(G3615,Proyectos!$A$2:$T$674,20,0),"")</f>
        <v>#NAME?</v>
      </c>
      <c r="N3615" s="32" t="e">
        <f ca="1">_xludf.ifna(VLOOKUP(G3615,Proyectos!$A$2:$S$674,19,0))</f>
        <v>#NAME?</v>
      </c>
      <c r="O3615" s="32"/>
      <c r="P3615" s="32"/>
      <c r="Q3615" s="33"/>
      <c r="R3615" s="33"/>
      <c r="S3615" s="33"/>
      <c r="T3615" s="63"/>
      <c r="U3615" s="33"/>
      <c r="V3615" s="33"/>
      <c r="W3615" s="33"/>
    </row>
    <row r="3616" spans="1:23" ht="16.5" customHeight="1" x14ac:dyDescent="0.2">
      <c r="A3616" s="26"/>
      <c r="B3616" s="26"/>
      <c r="C3616" s="26"/>
      <c r="D3616" s="26"/>
      <c r="E3616" s="26"/>
      <c r="F3616" s="28"/>
      <c r="G3616" s="26"/>
      <c r="H3616" s="32"/>
      <c r="I3616" s="32"/>
      <c r="J3616" s="32"/>
      <c r="K3616" s="32"/>
      <c r="L3616" s="32" t="e">
        <f ca="1">_xludf.ifna(VLOOKUP(E3616,Parámetros!$D$2:$E$34,2,0),"")</f>
        <v>#NAME?</v>
      </c>
      <c r="M3616" s="32" t="e">
        <f ca="1">_xludf.ifna(VLOOKUP(G3616,Proyectos!$A$2:$T$674,20,0),"")</f>
        <v>#NAME?</v>
      </c>
      <c r="N3616" s="32" t="e">
        <f ca="1">_xludf.ifna(VLOOKUP(G3616,Proyectos!$A$2:$S$674,19,0))</f>
        <v>#NAME?</v>
      </c>
      <c r="O3616" s="32"/>
      <c r="P3616" s="32"/>
      <c r="Q3616" s="33"/>
      <c r="R3616" s="33"/>
      <c r="S3616" s="33"/>
      <c r="T3616" s="63"/>
      <c r="U3616" s="33"/>
      <c r="V3616" s="33"/>
      <c r="W3616" s="33"/>
    </row>
    <row r="3617" spans="1:23" ht="16.5" customHeight="1" x14ac:dyDescent="0.2">
      <c r="A3617" s="26"/>
      <c r="B3617" s="26"/>
      <c r="C3617" s="26"/>
      <c r="D3617" s="26"/>
      <c r="E3617" s="26"/>
      <c r="F3617" s="28"/>
      <c r="G3617" s="26"/>
      <c r="H3617" s="32"/>
      <c r="I3617" s="32"/>
      <c r="J3617" s="32"/>
      <c r="K3617" s="32"/>
      <c r="L3617" s="32" t="e">
        <f ca="1">_xludf.ifna(VLOOKUP(E3617,Parámetros!$D$2:$E$34,2,0),"")</f>
        <v>#NAME?</v>
      </c>
      <c r="M3617" s="32" t="e">
        <f ca="1">_xludf.ifna(VLOOKUP(G3617,Proyectos!$A$2:$T$674,20,0),"")</f>
        <v>#NAME?</v>
      </c>
      <c r="N3617" s="32" t="e">
        <f ca="1">_xludf.ifna(VLOOKUP(G3617,Proyectos!$A$2:$S$674,19,0))</f>
        <v>#NAME?</v>
      </c>
      <c r="O3617" s="32"/>
      <c r="P3617" s="32"/>
      <c r="Q3617" s="33"/>
      <c r="R3617" s="33"/>
      <c r="S3617" s="33"/>
      <c r="T3617" s="63"/>
      <c r="U3617" s="33"/>
      <c r="V3617" s="33"/>
      <c r="W3617" s="33"/>
    </row>
    <row r="3618" spans="1:23" ht="16.5" customHeight="1" x14ac:dyDescent="0.2">
      <c r="A3618" s="26"/>
      <c r="B3618" s="26"/>
      <c r="C3618" s="26"/>
      <c r="D3618" s="26"/>
      <c r="E3618" s="26"/>
      <c r="F3618" s="28"/>
      <c r="G3618" s="26"/>
      <c r="H3618" s="32"/>
      <c r="I3618" s="32"/>
      <c r="J3618" s="32"/>
      <c r="K3618" s="32"/>
      <c r="L3618" s="32" t="e">
        <f ca="1">_xludf.ifna(VLOOKUP(E3618,Parámetros!$D$2:$E$34,2,0),"")</f>
        <v>#NAME?</v>
      </c>
      <c r="M3618" s="32" t="e">
        <f ca="1">_xludf.ifna(VLOOKUP(G3618,Proyectos!$A$2:$T$674,20,0),"")</f>
        <v>#NAME?</v>
      </c>
      <c r="N3618" s="32" t="e">
        <f ca="1">_xludf.ifna(VLOOKUP(G3618,Proyectos!$A$2:$S$674,19,0))</f>
        <v>#NAME?</v>
      </c>
      <c r="O3618" s="32"/>
      <c r="P3618" s="32"/>
      <c r="Q3618" s="33"/>
      <c r="R3618" s="33"/>
      <c r="S3618" s="33"/>
      <c r="T3618" s="63"/>
      <c r="U3618" s="33"/>
      <c r="V3618" s="33"/>
      <c r="W3618" s="33"/>
    </row>
    <row r="3619" spans="1:23" ht="16.5" customHeight="1" x14ac:dyDescent="0.2">
      <c r="A3619" s="26"/>
      <c r="B3619" s="26"/>
      <c r="C3619" s="26"/>
      <c r="D3619" s="26"/>
      <c r="E3619" s="26"/>
      <c r="F3619" s="28"/>
      <c r="G3619" s="26"/>
      <c r="H3619" s="32"/>
      <c r="I3619" s="32"/>
      <c r="J3619" s="32"/>
      <c r="K3619" s="32"/>
      <c r="L3619" s="32" t="e">
        <f ca="1">_xludf.ifna(VLOOKUP(E3619,Parámetros!$D$2:$E$34,2,0),"")</f>
        <v>#NAME?</v>
      </c>
      <c r="M3619" s="32" t="e">
        <f ca="1">_xludf.ifna(VLOOKUP(G3619,Proyectos!$A$2:$T$674,20,0),"")</f>
        <v>#NAME?</v>
      </c>
      <c r="N3619" s="32" t="e">
        <f ca="1">_xludf.ifna(VLOOKUP(G3619,Proyectos!$A$2:$S$674,19,0))</f>
        <v>#NAME?</v>
      </c>
      <c r="O3619" s="32"/>
      <c r="P3619" s="32"/>
      <c r="Q3619" s="33"/>
      <c r="R3619" s="33"/>
      <c r="S3619" s="33"/>
      <c r="T3619" s="63"/>
      <c r="U3619" s="33"/>
      <c r="V3619" s="33"/>
      <c r="W3619" s="33"/>
    </row>
    <row r="3620" spans="1:23" ht="16.5" customHeight="1" x14ac:dyDescent="0.2">
      <c r="A3620" s="26"/>
      <c r="B3620" s="26"/>
      <c r="C3620" s="26"/>
      <c r="D3620" s="26"/>
      <c r="E3620" s="26"/>
      <c r="F3620" s="28"/>
      <c r="G3620" s="26"/>
      <c r="H3620" s="32"/>
      <c r="I3620" s="32"/>
      <c r="J3620" s="32"/>
      <c r="K3620" s="32"/>
      <c r="L3620" s="32" t="e">
        <f ca="1">_xludf.ifna(VLOOKUP(E3620,Parámetros!$D$2:$E$34,2,0),"")</f>
        <v>#NAME?</v>
      </c>
      <c r="M3620" s="32" t="e">
        <f ca="1">_xludf.ifna(VLOOKUP(G3620,Proyectos!$A$2:$T$674,20,0),"")</f>
        <v>#NAME?</v>
      </c>
      <c r="N3620" s="32" t="e">
        <f ca="1">_xludf.ifna(VLOOKUP(G3620,Proyectos!$A$2:$S$674,19,0))</f>
        <v>#NAME?</v>
      </c>
      <c r="O3620" s="32"/>
      <c r="P3620" s="32"/>
      <c r="Q3620" s="33"/>
      <c r="R3620" s="33"/>
      <c r="S3620" s="33"/>
      <c r="T3620" s="63"/>
      <c r="U3620" s="33"/>
      <c r="V3620" s="33"/>
      <c r="W3620" s="33"/>
    </row>
    <row r="3621" spans="1:23" ht="16.5" customHeight="1" x14ac:dyDescent="0.2">
      <c r="A3621" s="26"/>
      <c r="B3621" s="26"/>
      <c r="C3621" s="26"/>
      <c r="D3621" s="26"/>
      <c r="E3621" s="26"/>
      <c r="F3621" s="28"/>
      <c r="G3621" s="26"/>
      <c r="H3621" s="32"/>
      <c r="I3621" s="32"/>
      <c r="J3621" s="32"/>
      <c r="K3621" s="32"/>
      <c r="L3621" s="32" t="e">
        <f ca="1">_xludf.ifna(VLOOKUP(E3621,Parámetros!$D$2:$E$34,2,0),"")</f>
        <v>#NAME?</v>
      </c>
      <c r="M3621" s="32" t="e">
        <f ca="1">_xludf.ifna(VLOOKUP(G3621,Proyectos!$A$2:$T$674,20,0),"")</f>
        <v>#NAME?</v>
      </c>
      <c r="N3621" s="32" t="e">
        <f ca="1">_xludf.ifna(VLOOKUP(G3621,Proyectos!$A$2:$S$674,19,0))</f>
        <v>#NAME?</v>
      </c>
      <c r="O3621" s="32"/>
      <c r="P3621" s="32"/>
      <c r="Q3621" s="33"/>
      <c r="R3621" s="33"/>
      <c r="S3621" s="33"/>
      <c r="T3621" s="63"/>
      <c r="U3621" s="33"/>
      <c r="V3621" s="33"/>
      <c r="W3621" s="33"/>
    </row>
    <row r="3622" spans="1:23" ht="16.5" customHeight="1" x14ac:dyDescent="0.2">
      <c r="A3622" s="26"/>
      <c r="B3622" s="26"/>
      <c r="C3622" s="26"/>
      <c r="D3622" s="26"/>
      <c r="E3622" s="26"/>
      <c r="F3622" s="28"/>
      <c r="G3622" s="26"/>
      <c r="H3622" s="32"/>
      <c r="I3622" s="32"/>
      <c r="J3622" s="32"/>
      <c r="K3622" s="32"/>
      <c r="L3622" s="32" t="e">
        <f ca="1">_xludf.ifna(VLOOKUP(E3622,Parámetros!$D$2:$E$34,2,0),"")</f>
        <v>#NAME?</v>
      </c>
      <c r="M3622" s="32" t="e">
        <f ca="1">_xludf.ifna(VLOOKUP(G3622,Proyectos!$A$2:$T$674,20,0),"")</f>
        <v>#NAME?</v>
      </c>
      <c r="N3622" s="32" t="e">
        <f ca="1">_xludf.ifna(VLOOKUP(G3622,Proyectos!$A$2:$S$674,19,0))</f>
        <v>#NAME?</v>
      </c>
      <c r="O3622" s="32"/>
      <c r="P3622" s="32"/>
      <c r="Q3622" s="33"/>
      <c r="R3622" s="33"/>
      <c r="S3622" s="33"/>
      <c r="T3622" s="63"/>
      <c r="U3622" s="33"/>
      <c r="V3622" s="33"/>
      <c r="W3622" s="33"/>
    </row>
    <row r="3623" spans="1:23" ht="16.5" customHeight="1" x14ac:dyDescent="0.2">
      <c r="A3623" s="26"/>
      <c r="B3623" s="26"/>
      <c r="C3623" s="26"/>
      <c r="D3623" s="26"/>
      <c r="E3623" s="26"/>
      <c r="F3623" s="28"/>
      <c r="G3623" s="26"/>
      <c r="H3623" s="32"/>
      <c r="I3623" s="32"/>
      <c r="J3623" s="32"/>
      <c r="K3623" s="32"/>
      <c r="L3623" s="32" t="e">
        <f ca="1">_xludf.ifna(VLOOKUP(E3623,Parámetros!$D$2:$E$34,2,0),"")</f>
        <v>#NAME?</v>
      </c>
      <c r="M3623" s="32" t="e">
        <f ca="1">_xludf.ifna(VLOOKUP(G3623,Proyectos!$A$2:$T$674,20,0),"")</f>
        <v>#NAME?</v>
      </c>
      <c r="N3623" s="32" t="e">
        <f ca="1">_xludf.ifna(VLOOKUP(G3623,Proyectos!$A$2:$S$674,19,0))</f>
        <v>#NAME?</v>
      </c>
      <c r="O3623" s="32"/>
      <c r="P3623" s="32"/>
      <c r="Q3623" s="33"/>
      <c r="R3623" s="33"/>
      <c r="S3623" s="33"/>
      <c r="T3623" s="63"/>
      <c r="U3623" s="33"/>
      <c r="V3623" s="33"/>
      <c r="W3623" s="33"/>
    </row>
    <row r="3624" spans="1:23" ht="16.5" customHeight="1" x14ac:dyDescent="0.2">
      <c r="A3624" s="26"/>
      <c r="B3624" s="26"/>
      <c r="C3624" s="26"/>
      <c r="D3624" s="26"/>
      <c r="E3624" s="26"/>
      <c r="F3624" s="28"/>
      <c r="G3624" s="26"/>
      <c r="H3624" s="32"/>
      <c r="I3624" s="32"/>
      <c r="J3624" s="32"/>
      <c r="K3624" s="32"/>
      <c r="L3624" s="32" t="e">
        <f ca="1">_xludf.ifna(VLOOKUP(E3624,Parámetros!$D$2:$E$34,2,0),"")</f>
        <v>#NAME?</v>
      </c>
      <c r="M3624" s="32" t="e">
        <f ca="1">_xludf.ifna(VLOOKUP(G3624,Proyectos!$A$2:$T$674,20,0),"")</f>
        <v>#NAME?</v>
      </c>
      <c r="N3624" s="32" t="e">
        <f ca="1">_xludf.ifna(VLOOKUP(G3624,Proyectos!$A$2:$S$674,19,0))</f>
        <v>#NAME?</v>
      </c>
      <c r="O3624" s="32"/>
      <c r="P3624" s="32"/>
      <c r="Q3624" s="33"/>
      <c r="R3624" s="33"/>
      <c r="S3624" s="33"/>
      <c r="T3624" s="63"/>
      <c r="U3624" s="33"/>
      <c r="V3624" s="33"/>
      <c r="W3624" s="33"/>
    </row>
    <row r="3625" spans="1:23" ht="16.5" customHeight="1" x14ac:dyDescent="0.2">
      <c r="A3625" s="26"/>
      <c r="B3625" s="26"/>
      <c r="C3625" s="26"/>
      <c r="D3625" s="26"/>
      <c r="E3625" s="26"/>
      <c r="F3625" s="28"/>
      <c r="G3625" s="26"/>
      <c r="H3625" s="32"/>
      <c r="I3625" s="32"/>
      <c r="J3625" s="32"/>
      <c r="K3625" s="32"/>
      <c r="L3625" s="32" t="e">
        <f ca="1">_xludf.ifna(VLOOKUP(E3625,Parámetros!$D$2:$E$34,2,0),"")</f>
        <v>#NAME?</v>
      </c>
      <c r="M3625" s="32" t="e">
        <f ca="1">_xludf.ifna(VLOOKUP(G3625,Proyectos!$A$2:$T$674,20,0),"")</f>
        <v>#NAME?</v>
      </c>
      <c r="N3625" s="32" t="e">
        <f ca="1">_xludf.ifna(VLOOKUP(G3625,Proyectos!$A$2:$S$674,19,0))</f>
        <v>#NAME?</v>
      </c>
      <c r="O3625" s="32"/>
      <c r="P3625" s="32"/>
      <c r="Q3625" s="33"/>
      <c r="R3625" s="33"/>
      <c r="S3625" s="33"/>
      <c r="T3625" s="63"/>
      <c r="U3625" s="33"/>
      <c r="V3625" s="33"/>
      <c r="W3625" s="33"/>
    </row>
    <row r="3626" spans="1:23" ht="16.5" customHeight="1" x14ac:dyDescent="0.2">
      <c r="A3626" s="26"/>
      <c r="B3626" s="26"/>
      <c r="C3626" s="26"/>
      <c r="D3626" s="26"/>
      <c r="E3626" s="26"/>
      <c r="F3626" s="28"/>
      <c r="G3626" s="26"/>
      <c r="H3626" s="32"/>
      <c r="I3626" s="32"/>
      <c r="J3626" s="32"/>
      <c r="K3626" s="32"/>
      <c r="L3626" s="32" t="e">
        <f ca="1">_xludf.ifna(VLOOKUP(E3626,Parámetros!$D$2:$E$34,2,0),"")</f>
        <v>#NAME?</v>
      </c>
      <c r="M3626" s="32" t="e">
        <f ca="1">_xludf.ifna(VLOOKUP(G3626,Proyectos!$A$2:$T$674,20,0),"")</f>
        <v>#NAME?</v>
      </c>
      <c r="N3626" s="32" t="e">
        <f ca="1">_xludf.ifna(VLOOKUP(G3626,Proyectos!$A$2:$S$674,19,0))</f>
        <v>#NAME?</v>
      </c>
      <c r="O3626" s="32"/>
      <c r="P3626" s="32"/>
      <c r="Q3626" s="33"/>
      <c r="R3626" s="33"/>
      <c r="S3626" s="33"/>
      <c r="T3626" s="63"/>
      <c r="U3626" s="33"/>
      <c r="V3626" s="33"/>
      <c r="W3626" s="33"/>
    </row>
    <row r="3627" spans="1:23" ht="16.5" customHeight="1" x14ac:dyDescent="0.2">
      <c r="A3627" s="26"/>
      <c r="B3627" s="26"/>
      <c r="C3627" s="26"/>
      <c r="D3627" s="26"/>
      <c r="E3627" s="26"/>
      <c r="F3627" s="28"/>
      <c r="G3627" s="26"/>
      <c r="H3627" s="32"/>
      <c r="I3627" s="32"/>
      <c r="J3627" s="32"/>
      <c r="K3627" s="32"/>
      <c r="L3627" s="32" t="e">
        <f ca="1">_xludf.ifna(VLOOKUP(E3627,Parámetros!$D$2:$E$34,2,0),"")</f>
        <v>#NAME?</v>
      </c>
      <c r="M3627" s="32" t="e">
        <f ca="1">_xludf.ifna(VLOOKUP(G3627,Proyectos!$A$2:$T$674,20,0),"")</f>
        <v>#NAME?</v>
      </c>
      <c r="N3627" s="32" t="e">
        <f ca="1">_xludf.ifna(VLOOKUP(G3627,Proyectos!$A$2:$S$674,19,0))</f>
        <v>#NAME?</v>
      </c>
      <c r="O3627" s="32"/>
      <c r="P3627" s="32"/>
      <c r="Q3627" s="33"/>
      <c r="R3627" s="33"/>
      <c r="S3627" s="33"/>
      <c r="T3627" s="63"/>
      <c r="U3627" s="33"/>
      <c r="V3627" s="33"/>
      <c r="W3627" s="33"/>
    </row>
    <row r="3628" spans="1:23" ht="16.5" customHeight="1" x14ac:dyDescent="0.2">
      <c r="A3628" s="26"/>
      <c r="B3628" s="26"/>
      <c r="C3628" s="26"/>
      <c r="D3628" s="26"/>
      <c r="E3628" s="26"/>
      <c r="F3628" s="28"/>
      <c r="G3628" s="26"/>
      <c r="H3628" s="32"/>
      <c r="I3628" s="32"/>
      <c r="J3628" s="32"/>
      <c r="K3628" s="32"/>
      <c r="L3628" s="32" t="e">
        <f ca="1">_xludf.ifna(VLOOKUP(E3628,Parámetros!$D$2:$E$34,2,0),"")</f>
        <v>#NAME?</v>
      </c>
      <c r="M3628" s="32" t="e">
        <f ca="1">_xludf.ifna(VLOOKUP(G3628,Proyectos!$A$2:$T$674,20,0),"")</f>
        <v>#NAME?</v>
      </c>
      <c r="N3628" s="32" t="e">
        <f ca="1">_xludf.ifna(VLOOKUP(G3628,Proyectos!$A$2:$S$674,19,0))</f>
        <v>#NAME?</v>
      </c>
      <c r="O3628" s="32"/>
      <c r="P3628" s="32"/>
      <c r="Q3628" s="33"/>
      <c r="R3628" s="33"/>
      <c r="S3628" s="33"/>
      <c r="T3628" s="63"/>
      <c r="U3628" s="33"/>
      <c r="V3628" s="33"/>
      <c r="W3628" s="33"/>
    </row>
    <row r="3629" spans="1:23" ht="16.5" customHeight="1" x14ac:dyDescent="0.2">
      <c r="A3629" s="26"/>
      <c r="B3629" s="26"/>
      <c r="C3629" s="26"/>
      <c r="D3629" s="26"/>
      <c r="E3629" s="26"/>
      <c r="F3629" s="28"/>
      <c r="G3629" s="26"/>
      <c r="H3629" s="32"/>
      <c r="I3629" s="32"/>
      <c r="J3629" s="32"/>
      <c r="K3629" s="32"/>
      <c r="L3629" s="32" t="e">
        <f ca="1">_xludf.ifna(VLOOKUP(E3629,Parámetros!$D$2:$E$34,2,0),"")</f>
        <v>#NAME?</v>
      </c>
      <c r="M3629" s="32" t="e">
        <f ca="1">_xludf.ifna(VLOOKUP(G3629,Proyectos!$A$2:$T$674,20,0),"")</f>
        <v>#NAME?</v>
      </c>
      <c r="N3629" s="32" t="e">
        <f ca="1">_xludf.ifna(VLOOKUP(G3629,Proyectos!$A$2:$S$674,19,0))</f>
        <v>#NAME?</v>
      </c>
      <c r="O3629" s="32"/>
      <c r="P3629" s="32"/>
      <c r="Q3629" s="33"/>
      <c r="R3629" s="33"/>
      <c r="S3629" s="33"/>
      <c r="T3629" s="63"/>
      <c r="U3629" s="33"/>
      <c r="V3629" s="33"/>
      <c r="W3629" s="33"/>
    </row>
    <row r="3630" spans="1:23" ht="16.5" customHeight="1" x14ac:dyDescent="0.2">
      <c r="A3630" s="26"/>
      <c r="B3630" s="26"/>
      <c r="C3630" s="26"/>
      <c r="D3630" s="26"/>
      <c r="E3630" s="26"/>
      <c r="F3630" s="28"/>
      <c r="G3630" s="26"/>
      <c r="H3630" s="32"/>
      <c r="I3630" s="32"/>
      <c r="J3630" s="32"/>
      <c r="K3630" s="32"/>
      <c r="L3630" s="32" t="e">
        <f ca="1">_xludf.ifna(VLOOKUP(E3630,Parámetros!$D$2:$E$34,2,0),"")</f>
        <v>#NAME?</v>
      </c>
      <c r="M3630" s="32" t="e">
        <f ca="1">_xludf.ifna(VLOOKUP(G3630,Proyectos!$A$2:$T$674,20,0),"")</f>
        <v>#NAME?</v>
      </c>
      <c r="N3630" s="32" t="e">
        <f ca="1">_xludf.ifna(VLOOKUP(G3630,Proyectos!$A$2:$S$674,19,0))</f>
        <v>#NAME?</v>
      </c>
      <c r="O3630" s="32"/>
      <c r="P3630" s="32"/>
      <c r="Q3630" s="33"/>
      <c r="R3630" s="33"/>
      <c r="S3630" s="33"/>
      <c r="T3630" s="63"/>
      <c r="U3630" s="33"/>
      <c r="V3630" s="33"/>
      <c r="W3630" s="33"/>
    </row>
    <row r="3631" spans="1:23" ht="16.5" customHeight="1" x14ac:dyDescent="0.2">
      <c r="A3631" s="26"/>
      <c r="B3631" s="26"/>
      <c r="C3631" s="26"/>
      <c r="D3631" s="26"/>
      <c r="E3631" s="26"/>
      <c r="F3631" s="28"/>
      <c r="G3631" s="26"/>
      <c r="H3631" s="32"/>
      <c r="I3631" s="32"/>
      <c r="J3631" s="32"/>
      <c r="K3631" s="32"/>
      <c r="L3631" s="32" t="e">
        <f ca="1">_xludf.ifna(VLOOKUP(E3631,Parámetros!$D$2:$E$34,2,0),"")</f>
        <v>#NAME?</v>
      </c>
      <c r="M3631" s="32" t="e">
        <f ca="1">_xludf.ifna(VLOOKUP(G3631,Proyectos!$A$2:$T$674,20,0),"")</f>
        <v>#NAME?</v>
      </c>
      <c r="N3631" s="32" t="e">
        <f ca="1">_xludf.ifna(VLOOKUP(G3631,Proyectos!$A$2:$S$674,19,0))</f>
        <v>#NAME?</v>
      </c>
      <c r="O3631" s="32"/>
      <c r="P3631" s="32"/>
      <c r="Q3631" s="33"/>
      <c r="R3631" s="33"/>
      <c r="S3631" s="33"/>
      <c r="T3631" s="63"/>
      <c r="U3631" s="33"/>
      <c r="V3631" s="33"/>
      <c r="W3631" s="33"/>
    </row>
    <row r="3632" spans="1:23" ht="16.5" customHeight="1" x14ac:dyDescent="0.2">
      <c r="A3632" s="26"/>
      <c r="B3632" s="26"/>
      <c r="C3632" s="26"/>
      <c r="D3632" s="26"/>
      <c r="E3632" s="26"/>
      <c r="F3632" s="28"/>
      <c r="G3632" s="26"/>
      <c r="H3632" s="32"/>
      <c r="I3632" s="32"/>
      <c r="J3632" s="32"/>
      <c r="K3632" s="32"/>
      <c r="L3632" s="32" t="e">
        <f ca="1">_xludf.ifna(VLOOKUP(E3632,Parámetros!$D$2:$E$34,2,0),"")</f>
        <v>#NAME?</v>
      </c>
      <c r="M3632" s="32" t="e">
        <f ca="1">_xludf.ifna(VLOOKUP(G3632,Proyectos!$A$2:$T$674,20,0),"")</f>
        <v>#NAME?</v>
      </c>
      <c r="N3632" s="32" t="e">
        <f ca="1">_xludf.ifna(VLOOKUP(G3632,Proyectos!$A$2:$S$674,19,0))</f>
        <v>#NAME?</v>
      </c>
      <c r="O3632" s="32"/>
      <c r="P3632" s="32"/>
      <c r="Q3632" s="33"/>
      <c r="R3632" s="33"/>
      <c r="S3632" s="33"/>
      <c r="T3632" s="63"/>
      <c r="U3632" s="33"/>
      <c r="V3632" s="33"/>
      <c r="W3632" s="33"/>
    </row>
    <row r="3633" spans="1:23" ht="16.5" customHeight="1" x14ac:dyDescent="0.2">
      <c r="A3633" s="26"/>
      <c r="B3633" s="26"/>
      <c r="C3633" s="26"/>
      <c r="D3633" s="26"/>
      <c r="E3633" s="26"/>
      <c r="F3633" s="28"/>
      <c r="G3633" s="26"/>
      <c r="H3633" s="32"/>
      <c r="I3633" s="32"/>
      <c r="J3633" s="32"/>
      <c r="K3633" s="32"/>
      <c r="L3633" s="32" t="e">
        <f ca="1">_xludf.ifna(VLOOKUP(E3633,Parámetros!$D$2:$E$34,2,0),"")</f>
        <v>#NAME?</v>
      </c>
      <c r="M3633" s="32" t="e">
        <f ca="1">_xludf.ifna(VLOOKUP(G3633,Proyectos!$A$2:$T$674,20,0),"")</f>
        <v>#NAME?</v>
      </c>
      <c r="N3633" s="32" t="e">
        <f ca="1">_xludf.ifna(VLOOKUP(G3633,Proyectos!$A$2:$S$674,19,0))</f>
        <v>#NAME?</v>
      </c>
      <c r="O3633" s="32"/>
      <c r="P3633" s="32"/>
      <c r="Q3633" s="33"/>
      <c r="R3633" s="33"/>
      <c r="S3633" s="33"/>
      <c r="T3633" s="63"/>
      <c r="U3633" s="33"/>
      <c r="V3633" s="33"/>
      <c r="W3633" s="33"/>
    </row>
    <row r="3634" spans="1:23" ht="16.5" customHeight="1" x14ac:dyDescent="0.2">
      <c r="A3634" s="26"/>
      <c r="B3634" s="26"/>
      <c r="C3634" s="26"/>
      <c r="D3634" s="26"/>
      <c r="E3634" s="26"/>
      <c r="F3634" s="28"/>
      <c r="G3634" s="26"/>
      <c r="H3634" s="32"/>
      <c r="I3634" s="32"/>
      <c r="J3634" s="32"/>
      <c r="K3634" s="32"/>
      <c r="L3634" s="32" t="e">
        <f ca="1">_xludf.ifna(VLOOKUP(E3634,Parámetros!$D$2:$E$34,2,0),"")</f>
        <v>#NAME?</v>
      </c>
      <c r="M3634" s="32" t="e">
        <f ca="1">_xludf.ifna(VLOOKUP(G3634,Proyectos!$A$2:$T$674,20,0),"")</f>
        <v>#NAME?</v>
      </c>
      <c r="N3634" s="32" t="e">
        <f ca="1">_xludf.ifna(VLOOKUP(G3634,Proyectos!$A$2:$S$674,19,0))</f>
        <v>#NAME?</v>
      </c>
      <c r="O3634" s="32"/>
      <c r="P3634" s="32"/>
      <c r="Q3634" s="33"/>
      <c r="R3634" s="33"/>
      <c r="S3634" s="33"/>
      <c r="T3634" s="63"/>
      <c r="U3634" s="33"/>
      <c r="V3634" s="33"/>
      <c r="W3634" s="33"/>
    </row>
    <row r="3635" spans="1:23" ht="16.5" customHeight="1" x14ac:dyDescent="0.2">
      <c r="A3635" s="26"/>
      <c r="B3635" s="26"/>
      <c r="C3635" s="26"/>
      <c r="D3635" s="26"/>
      <c r="E3635" s="26"/>
      <c r="F3635" s="28"/>
      <c r="G3635" s="26"/>
      <c r="H3635" s="32"/>
      <c r="I3635" s="32"/>
      <c r="J3635" s="32"/>
      <c r="K3635" s="32"/>
      <c r="L3635" s="32" t="e">
        <f ca="1">_xludf.ifna(VLOOKUP(E3635,Parámetros!$D$2:$E$34,2,0),"")</f>
        <v>#NAME?</v>
      </c>
      <c r="M3635" s="32" t="e">
        <f ca="1">_xludf.ifna(VLOOKUP(G3635,Proyectos!$A$2:$T$674,20,0),"")</f>
        <v>#NAME?</v>
      </c>
      <c r="N3635" s="32" t="e">
        <f ca="1">_xludf.ifna(VLOOKUP(G3635,Proyectos!$A$2:$S$674,19,0))</f>
        <v>#NAME?</v>
      </c>
      <c r="O3635" s="32"/>
      <c r="P3635" s="32"/>
      <c r="Q3635" s="33"/>
      <c r="R3635" s="33"/>
      <c r="S3635" s="33"/>
      <c r="T3635" s="63"/>
      <c r="U3635" s="33"/>
      <c r="V3635" s="33"/>
      <c r="W3635" s="33"/>
    </row>
    <row r="3636" spans="1:23" ht="16.5" customHeight="1" x14ac:dyDescent="0.2">
      <c r="A3636" s="26"/>
      <c r="B3636" s="26"/>
      <c r="C3636" s="26"/>
      <c r="D3636" s="26"/>
      <c r="E3636" s="26"/>
      <c r="F3636" s="28"/>
      <c r="G3636" s="26"/>
      <c r="H3636" s="32"/>
      <c r="I3636" s="32"/>
      <c r="J3636" s="32"/>
      <c r="K3636" s="32"/>
      <c r="L3636" s="32" t="e">
        <f ca="1">_xludf.ifna(VLOOKUP(E3636,Parámetros!$D$2:$E$34,2,0),"")</f>
        <v>#NAME?</v>
      </c>
      <c r="M3636" s="32" t="e">
        <f ca="1">_xludf.ifna(VLOOKUP(G3636,Proyectos!$A$2:$T$674,20,0),"")</f>
        <v>#NAME?</v>
      </c>
      <c r="N3636" s="32" t="e">
        <f ca="1">_xludf.ifna(VLOOKUP(G3636,Proyectos!$A$2:$S$674,19,0))</f>
        <v>#NAME?</v>
      </c>
      <c r="O3636" s="32"/>
      <c r="P3636" s="32"/>
      <c r="Q3636" s="33"/>
      <c r="R3636" s="33"/>
      <c r="S3636" s="33"/>
      <c r="T3636" s="63"/>
      <c r="U3636" s="33"/>
      <c r="V3636" s="33"/>
      <c r="W3636" s="33"/>
    </row>
    <row r="3637" spans="1:23" ht="16.5" customHeight="1" x14ac:dyDescent="0.2">
      <c r="A3637" s="26"/>
      <c r="B3637" s="26"/>
      <c r="C3637" s="26"/>
      <c r="D3637" s="26"/>
      <c r="E3637" s="26"/>
      <c r="F3637" s="28"/>
      <c r="G3637" s="26"/>
      <c r="H3637" s="32"/>
      <c r="I3637" s="32"/>
      <c r="J3637" s="32"/>
      <c r="K3637" s="32"/>
      <c r="L3637" s="32" t="e">
        <f ca="1">_xludf.ifna(VLOOKUP(E3637,Parámetros!$D$2:$E$34,2,0),"")</f>
        <v>#NAME?</v>
      </c>
      <c r="M3637" s="32" t="e">
        <f ca="1">_xludf.ifna(VLOOKUP(G3637,Proyectos!$A$2:$T$674,20,0),"")</f>
        <v>#NAME?</v>
      </c>
      <c r="N3637" s="32" t="e">
        <f ca="1">_xludf.ifna(VLOOKUP(G3637,Proyectos!$A$2:$S$674,19,0))</f>
        <v>#NAME?</v>
      </c>
      <c r="O3637" s="32"/>
      <c r="P3637" s="32"/>
      <c r="Q3637" s="33"/>
      <c r="R3637" s="33"/>
      <c r="S3637" s="33"/>
      <c r="T3637" s="63"/>
      <c r="U3637" s="33"/>
      <c r="V3637" s="33"/>
      <c r="W3637" s="33"/>
    </row>
    <row r="3638" spans="1:23" ht="16.5" customHeight="1" x14ac:dyDescent="0.2">
      <c r="A3638" s="26"/>
      <c r="B3638" s="26"/>
      <c r="C3638" s="26"/>
      <c r="D3638" s="26"/>
      <c r="E3638" s="26"/>
      <c r="F3638" s="28"/>
      <c r="G3638" s="26"/>
      <c r="H3638" s="32"/>
      <c r="I3638" s="32"/>
      <c r="J3638" s="32"/>
      <c r="K3638" s="32"/>
      <c r="L3638" s="32" t="e">
        <f ca="1">_xludf.ifna(VLOOKUP(E3638,Parámetros!$D$2:$E$34,2,0),"")</f>
        <v>#NAME?</v>
      </c>
      <c r="M3638" s="32" t="e">
        <f ca="1">_xludf.ifna(VLOOKUP(G3638,Proyectos!$A$2:$T$674,20,0),"")</f>
        <v>#NAME?</v>
      </c>
      <c r="N3638" s="32" t="e">
        <f ca="1">_xludf.ifna(VLOOKUP(G3638,Proyectos!$A$2:$S$674,19,0))</f>
        <v>#NAME?</v>
      </c>
      <c r="O3638" s="32"/>
      <c r="P3638" s="32"/>
      <c r="Q3638" s="33"/>
      <c r="R3638" s="33"/>
      <c r="S3638" s="33"/>
      <c r="T3638" s="63"/>
      <c r="U3638" s="33"/>
      <c r="V3638" s="33"/>
      <c r="W3638" s="33"/>
    </row>
    <row r="3639" spans="1:23" ht="16.5" customHeight="1" x14ac:dyDescent="0.2">
      <c r="A3639" s="26"/>
      <c r="B3639" s="26"/>
      <c r="C3639" s="26"/>
      <c r="D3639" s="26"/>
      <c r="E3639" s="26"/>
      <c r="F3639" s="28"/>
      <c r="G3639" s="26"/>
      <c r="H3639" s="32"/>
      <c r="I3639" s="32"/>
      <c r="J3639" s="32"/>
      <c r="K3639" s="32"/>
      <c r="L3639" s="32" t="e">
        <f ca="1">_xludf.ifna(VLOOKUP(E3639,Parámetros!$D$2:$E$34,2,0),"")</f>
        <v>#NAME?</v>
      </c>
      <c r="M3639" s="32" t="e">
        <f ca="1">_xludf.ifna(VLOOKUP(G3639,Proyectos!$A$2:$T$674,20,0),"")</f>
        <v>#NAME?</v>
      </c>
      <c r="N3639" s="32" t="e">
        <f ca="1">_xludf.ifna(VLOOKUP(G3639,Proyectos!$A$2:$S$674,19,0))</f>
        <v>#NAME?</v>
      </c>
      <c r="O3639" s="32"/>
      <c r="P3639" s="32"/>
      <c r="Q3639" s="33"/>
      <c r="R3639" s="33"/>
      <c r="S3639" s="33"/>
      <c r="T3639" s="63"/>
      <c r="U3639" s="33"/>
      <c r="V3639" s="33"/>
      <c r="W3639" s="33"/>
    </row>
    <row r="3640" spans="1:23" ht="16.5" customHeight="1" x14ac:dyDescent="0.2">
      <c r="A3640" s="26"/>
      <c r="B3640" s="26"/>
      <c r="C3640" s="26"/>
      <c r="D3640" s="26"/>
      <c r="E3640" s="26"/>
      <c r="F3640" s="28"/>
      <c r="G3640" s="26"/>
      <c r="H3640" s="32"/>
      <c r="I3640" s="32"/>
      <c r="J3640" s="32"/>
      <c r="K3640" s="32"/>
      <c r="L3640" s="32" t="e">
        <f ca="1">_xludf.ifna(VLOOKUP(E3640,Parámetros!$D$2:$E$34,2,0),"")</f>
        <v>#NAME?</v>
      </c>
      <c r="M3640" s="32" t="e">
        <f ca="1">_xludf.ifna(VLOOKUP(G3640,Proyectos!$A$2:$T$674,20,0),"")</f>
        <v>#NAME?</v>
      </c>
      <c r="N3640" s="32" t="e">
        <f ca="1">_xludf.ifna(VLOOKUP(G3640,Proyectos!$A$2:$S$674,19,0))</f>
        <v>#NAME?</v>
      </c>
      <c r="O3640" s="32"/>
      <c r="P3640" s="32"/>
      <c r="Q3640" s="33"/>
      <c r="R3640" s="33"/>
      <c r="S3640" s="33"/>
      <c r="T3640" s="63"/>
      <c r="U3640" s="33"/>
      <c r="V3640" s="33"/>
      <c r="W3640" s="33"/>
    </row>
    <row r="3641" spans="1:23" ht="16.5" customHeight="1" x14ac:dyDescent="0.2">
      <c r="A3641" s="26"/>
      <c r="B3641" s="26"/>
      <c r="C3641" s="26"/>
      <c r="D3641" s="26"/>
      <c r="E3641" s="26"/>
      <c r="F3641" s="28"/>
      <c r="G3641" s="26"/>
      <c r="H3641" s="32"/>
      <c r="I3641" s="32"/>
      <c r="J3641" s="32"/>
      <c r="K3641" s="32"/>
      <c r="L3641" s="32" t="e">
        <f ca="1">_xludf.ifna(VLOOKUP(E3641,Parámetros!$D$2:$E$34,2,0),"")</f>
        <v>#NAME?</v>
      </c>
      <c r="M3641" s="32" t="e">
        <f ca="1">_xludf.ifna(VLOOKUP(G3641,Proyectos!$A$2:$T$674,20,0),"")</f>
        <v>#NAME?</v>
      </c>
      <c r="N3641" s="32" t="e">
        <f ca="1">_xludf.ifna(VLOOKUP(G3641,Proyectos!$A$2:$S$674,19,0))</f>
        <v>#NAME?</v>
      </c>
      <c r="O3641" s="32"/>
      <c r="P3641" s="32"/>
      <c r="Q3641" s="33"/>
      <c r="R3641" s="33"/>
      <c r="S3641" s="33"/>
      <c r="T3641" s="63"/>
      <c r="U3641" s="33"/>
      <c r="V3641" s="33"/>
      <c r="W3641" s="33"/>
    </row>
    <row r="3642" spans="1:23" ht="16.5" customHeight="1" x14ac:dyDescent="0.2">
      <c r="A3642" s="26"/>
      <c r="B3642" s="26"/>
      <c r="C3642" s="26"/>
      <c r="D3642" s="26"/>
      <c r="E3642" s="26"/>
      <c r="F3642" s="28"/>
      <c r="G3642" s="26"/>
      <c r="H3642" s="32"/>
      <c r="I3642" s="32"/>
      <c r="J3642" s="32"/>
      <c r="K3642" s="32"/>
      <c r="L3642" s="32" t="e">
        <f ca="1">_xludf.ifna(VLOOKUP(E3642,Parámetros!$D$2:$E$34,2,0),"")</f>
        <v>#NAME?</v>
      </c>
      <c r="M3642" s="32" t="e">
        <f ca="1">_xludf.ifna(VLOOKUP(G3642,Proyectos!$A$2:$T$674,20,0),"")</f>
        <v>#NAME?</v>
      </c>
      <c r="N3642" s="32" t="e">
        <f ca="1">_xludf.ifna(VLOOKUP(G3642,Proyectos!$A$2:$S$674,19,0))</f>
        <v>#NAME?</v>
      </c>
      <c r="O3642" s="32"/>
      <c r="P3642" s="32"/>
      <c r="Q3642" s="33"/>
      <c r="R3642" s="33"/>
      <c r="S3642" s="33"/>
      <c r="T3642" s="63"/>
      <c r="U3642" s="33"/>
      <c r="V3642" s="33"/>
      <c r="W3642" s="33"/>
    </row>
    <row r="3643" spans="1:23" ht="16.5" customHeight="1" x14ac:dyDescent="0.2">
      <c r="A3643" s="26"/>
      <c r="B3643" s="26"/>
      <c r="C3643" s="26"/>
      <c r="D3643" s="26"/>
      <c r="E3643" s="26"/>
      <c r="F3643" s="28"/>
      <c r="G3643" s="26"/>
      <c r="H3643" s="32"/>
      <c r="I3643" s="32"/>
      <c r="J3643" s="32"/>
      <c r="K3643" s="32"/>
      <c r="L3643" s="32" t="e">
        <f ca="1">_xludf.ifna(VLOOKUP(E3643,Parámetros!$D$2:$E$34,2,0),"")</f>
        <v>#NAME?</v>
      </c>
      <c r="M3643" s="32" t="e">
        <f ca="1">_xludf.ifna(VLOOKUP(G3643,Proyectos!$A$2:$T$674,20,0),"")</f>
        <v>#NAME?</v>
      </c>
      <c r="N3643" s="32" t="e">
        <f ca="1">_xludf.ifna(VLOOKUP(G3643,Proyectos!$A$2:$S$674,19,0))</f>
        <v>#NAME?</v>
      </c>
      <c r="O3643" s="32"/>
      <c r="P3643" s="32"/>
      <c r="Q3643" s="33"/>
      <c r="R3643" s="33"/>
      <c r="S3643" s="33"/>
      <c r="T3643" s="63"/>
      <c r="U3643" s="33"/>
      <c r="V3643" s="33"/>
      <c r="W3643" s="33"/>
    </row>
    <row r="3644" spans="1:23" ht="16.5" customHeight="1" x14ac:dyDescent="0.2">
      <c r="A3644" s="26"/>
      <c r="B3644" s="26"/>
      <c r="C3644" s="26"/>
      <c r="D3644" s="26"/>
      <c r="E3644" s="26"/>
      <c r="F3644" s="28"/>
      <c r="G3644" s="26"/>
      <c r="H3644" s="32"/>
      <c r="I3644" s="32"/>
      <c r="J3644" s="32"/>
      <c r="K3644" s="32"/>
      <c r="L3644" s="32" t="e">
        <f ca="1">_xludf.ifna(VLOOKUP(E3644,Parámetros!$D$2:$E$34,2,0),"")</f>
        <v>#NAME?</v>
      </c>
      <c r="M3644" s="32" t="e">
        <f ca="1">_xludf.ifna(VLOOKUP(G3644,Proyectos!$A$2:$T$674,20,0),"")</f>
        <v>#NAME?</v>
      </c>
      <c r="N3644" s="32" t="e">
        <f ca="1">_xludf.ifna(VLOOKUP(G3644,Proyectos!$A$2:$S$674,19,0))</f>
        <v>#NAME?</v>
      </c>
      <c r="O3644" s="32"/>
      <c r="P3644" s="32"/>
      <c r="Q3644" s="33"/>
      <c r="R3644" s="33"/>
      <c r="S3644" s="33"/>
      <c r="T3644" s="63"/>
      <c r="U3644" s="33"/>
      <c r="V3644" s="33"/>
      <c r="W3644" s="33"/>
    </row>
    <row r="3645" spans="1:23" ht="16.5" customHeight="1" x14ac:dyDescent="0.2">
      <c r="A3645" s="26"/>
      <c r="B3645" s="26"/>
      <c r="C3645" s="26"/>
      <c r="D3645" s="26"/>
      <c r="E3645" s="26"/>
      <c r="F3645" s="28"/>
      <c r="G3645" s="26"/>
      <c r="H3645" s="32"/>
      <c r="I3645" s="32"/>
      <c r="J3645" s="32"/>
      <c r="K3645" s="32"/>
      <c r="L3645" s="32" t="e">
        <f ca="1">_xludf.ifna(VLOOKUP(E3645,Parámetros!$D$2:$E$34,2,0),"")</f>
        <v>#NAME?</v>
      </c>
      <c r="M3645" s="32" t="e">
        <f ca="1">_xludf.ifna(VLOOKUP(G3645,Proyectos!$A$2:$T$674,20,0),"")</f>
        <v>#NAME?</v>
      </c>
      <c r="N3645" s="32" t="e">
        <f ca="1">_xludf.ifna(VLOOKUP(G3645,Proyectos!$A$2:$S$674,19,0))</f>
        <v>#NAME?</v>
      </c>
      <c r="O3645" s="32"/>
      <c r="P3645" s="32"/>
      <c r="Q3645" s="33"/>
      <c r="R3645" s="33"/>
      <c r="S3645" s="33"/>
      <c r="T3645" s="63"/>
      <c r="U3645" s="33"/>
      <c r="V3645" s="33"/>
      <c r="W3645" s="33"/>
    </row>
    <row r="3646" spans="1:23" ht="16.5" customHeight="1" x14ac:dyDescent="0.2">
      <c r="A3646" s="26"/>
      <c r="B3646" s="26"/>
      <c r="C3646" s="26"/>
      <c r="D3646" s="26"/>
      <c r="E3646" s="26"/>
      <c r="F3646" s="28"/>
      <c r="G3646" s="26"/>
      <c r="H3646" s="32"/>
      <c r="I3646" s="32"/>
      <c r="J3646" s="32"/>
      <c r="K3646" s="32"/>
      <c r="L3646" s="32" t="e">
        <f ca="1">_xludf.ifna(VLOOKUP(E3646,Parámetros!$D$2:$E$34,2,0),"")</f>
        <v>#NAME?</v>
      </c>
      <c r="M3646" s="32" t="e">
        <f ca="1">_xludf.ifna(VLOOKUP(G3646,Proyectos!$A$2:$T$674,20,0),"")</f>
        <v>#NAME?</v>
      </c>
      <c r="N3646" s="32" t="e">
        <f ca="1">_xludf.ifna(VLOOKUP(G3646,Proyectos!$A$2:$S$674,19,0))</f>
        <v>#NAME?</v>
      </c>
      <c r="O3646" s="32"/>
      <c r="P3646" s="32"/>
      <c r="Q3646" s="33"/>
      <c r="R3646" s="33"/>
      <c r="S3646" s="33"/>
      <c r="T3646" s="63"/>
      <c r="U3646" s="33"/>
      <c r="V3646" s="33"/>
      <c r="W3646" s="33"/>
    </row>
    <row r="3647" spans="1:23" ht="16.5" customHeight="1" x14ac:dyDescent="0.2">
      <c r="A3647" s="26"/>
      <c r="B3647" s="26"/>
      <c r="C3647" s="26"/>
      <c r="D3647" s="26"/>
      <c r="E3647" s="26"/>
      <c r="F3647" s="28"/>
      <c r="G3647" s="26"/>
      <c r="H3647" s="32"/>
      <c r="I3647" s="32"/>
      <c r="J3647" s="32"/>
      <c r="K3647" s="32"/>
      <c r="L3647" s="32" t="e">
        <f ca="1">_xludf.ifna(VLOOKUP(E3647,Parámetros!$D$2:$E$34,2,0),"")</f>
        <v>#NAME?</v>
      </c>
      <c r="M3647" s="32" t="e">
        <f ca="1">_xludf.ifna(VLOOKUP(G3647,Proyectos!$A$2:$T$674,20,0),"")</f>
        <v>#NAME?</v>
      </c>
      <c r="N3647" s="32" t="e">
        <f ca="1">_xludf.ifna(VLOOKUP(G3647,Proyectos!$A$2:$S$674,19,0))</f>
        <v>#NAME?</v>
      </c>
      <c r="O3647" s="32"/>
      <c r="P3647" s="32"/>
      <c r="Q3647" s="33"/>
      <c r="R3647" s="33"/>
      <c r="S3647" s="33"/>
      <c r="T3647" s="63"/>
      <c r="U3647" s="33"/>
      <c r="V3647" s="33"/>
      <c r="W3647" s="33"/>
    </row>
    <row r="3648" spans="1:23" ht="16.5" customHeight="1" x14ac:dyDescent="0.2">
      <c r="A3648" s="26"/>
      <c r="B3648" s="26"/>
      <c r="C3648" s="26"/>
      <c r="D3648" s="26"/>
      <c r="E3648" s="26"/>
      <c r="F3648" s="28"/>
      <c r="G3648" s="26"/>
      <c r="H3648" s="32"/>
      <c r="I3648" s="32"/>
      <c r="J3648" s="32"/>
      <c r="K3648" s="32"/>
      <c r="L3648" s="32" t="e">
        <f ca="1">_xludf.ifna(VLOOKUP(E3648,Parámetros!$D$2:$E$34,2,0),"")</f>
        <v>#NAME?</v>
      </c>
      <c r="M3648" s="32" t="e">
        <f ca="1">_xludf.ifna(VLOOKUP(G3648,Proyectos!$A$2:$T$674,20,0),"")</f>
        <v>#NAME?</v>
      </c>
      <c r="N3648" s="32" t="e">
        <f ca="1">_xludf.ifna(VLOOKUP(G3648,Proyectos!$A$2:$S$674,19,0))</f>
        <v>#NAME?</v>
      </c>
      <c r="O3648" s="32"/>
      <c r="P3648" s="32"/>
      <c r="Q3648" s="33"/>
      <c r="R3648" s="33"/>
      <c r="S3648" s="33"/>
      <c r="T3648" s="63"/>
      <c r="U3648" s="33"/>
      <c r="V3648" s="33"/>
      <c r="W3648" s="33"/>
    </row>
    <row r="3649" spans="1:23" ht="16.5" customHeight="1" x14ac:dyDescent="0.2">
      <c r="A3649" s="26"/>
      <c r="B3649" s="26"/>
      <c r="C3649" s="26"/>
      <c r="D3649" s="26"/>
      <c r="E3649" s="26"/>
      <c r="F3649" s="28"/>
      <c r="G3649" s="26"/>
      <c r="H3649" s="32"/>
      <c r="I3649" s="32"/>
      <c r="J3649" s="32"/>
      <c r="K3649" s="32"/>
      <c r="L3649" s="32" t="e">
        <f ca="1">_xludf.ifna(VLOOKUP(E3649,Parámetros!$D$2:$E$34,2,0),"")</f>
        <v>#NAME?</v>
      </c>
      <c r="M3649" s="32" t="e">
        <f ca="1">_xludf.ifna(VLOOKUP(G3649,Proyectos!$A$2:$T$674,20,0),"")</f>
        <v>#NAME?</v>
      </c>
      <c r="N3649" s="32" t="e">
        <f ca="1">_xludf.ifna(VLOOKUP(G3649,Proyectos!$A$2:$S$674,19,0))</f>
        <v>#NAME?</v>
      </c>
      <c r="O3649" s="32"/>
      <c r="P3649" s="32"/>
      <c r="Q3649" s="33"/>
      <c r="R3649" s="33"/>
      <c r="S3649" s="33"/>
      <c r="T3649" s="63"/>
      <c r="U3649" s="33"/>
      <c r="V3649" s="33"/>
      <c r="W3649" s="33"/>
    </row>
    <row r="3650" spans="1:23" ht="16.5" customHeight="1" x14ac:dyDescent="0.2">
      <c r="A3650" s="26"/>
      <c r="B3650" s="26"/>
      <c r="C3650" s="26"/>
      <c r="D3650" s="26"/>
      <c r="E3650" s="26"/>
      <c r="F3650" s="28"/>
      <c r="G3650" s="26"/>
      <c r="H3650" s="32"/>
      <c r="I3650" s="32"/>
      <c r="J3650" s="32"/>
      <c r="K3650" s="32"/>
      <c r="L3650" s="32" t="e">
        <f ca="1">_xludf.ifna(VLOOKUP(E3650,Parámetros!$D$2:$E$34,2,0),"")</f>
        <v>#NAME?</v>
      </c>
      <c r="M3650" s="32" t="e">
        <f ca="1">_xludf.ifna(VLOOKUP(G3650,Proyectos!$A$2:$T$674,20,0),"")</f>
        <v>#NAME?</v>
      </c>
      <c r="N3650" s="32" t="e">
        <f ca="1">_xludf.ifna(VLOOKUP(G3650,Proyectos!$A$2:$S$674,19,0))</f>
        <v>#NAME?</v>
      </c>
      <c r="O3650" s="32"/>
      <c r="P3650" s="32"/>
      <c r="Q3650" s="33"/>
      <c r="R3650" s="33"/>
      <c r="S3650" s="33"/>
      <c r="T3650" s="63"/>
      <c r="U3650" s="33"/>
      <c r="V3650" s="33"/>
      <c r="W3650" s="33"/>
    </row>
    <row r="3651" spans="1:23" ht="16.5" customHeight="1" x14ac:dyDescent="0.2">
      <c r="A3651" s="26"/>
      <c r="B3651" s="26"/>
      <c r="C3651" s="26"/>
      <c r="D3651" s="26"/>
      <c r="E3651" s="26"/>
      <c r="F3651" s="28"/>
      <c r="G3651" s="26"/>
      <c r="H3651" s="32"/>
      <c r="I3651" s="32"/>
      <c r="J3651" s="32"/>
      <c r="K3651" s="32"/>
      <c r="L3651" s="32" t="e">
        <f ca="1">_xludf.ifna(VLOOKUP(E3651,Parámetros!$D$2:$E$34,2,0),"")</f>
        <v>#NAME?</v>
      </c>
      <c r="M3651" s="32" t="e">
        <f ca="1">_xludf.ifna(VLOOKUP(G3651,Proyectos!$A$2:$T$674,20,0),"")</f>
        <v>#NAME?</v>
      </c>
      <c r="N3651" s="32" t="e">
        <f ca="1">_xludf.ifna(VLOOKUP(G3651,Proyectos!$A$2:$S$674,19,0))</f>
        <v>#NAME?</v>
      </c>
      <c r="O3651" s="32"/>
      <c r="P3651" s="32"/>
      <c r="Q3651" s="33"/>
      <c r="R3651" s="33"/>
      <c r="S3651" s="33"/>
      <c r="T3651" s="63"/>
      <c r="U3651" s="33"/>
      <c r="V3651" s="33"/>
      <c r="W3651" s="33"/>
    </row>
    <row r="3652" spans="1:23" ht="16.5" customHeight="1" x14ac:dyDescent="0.2">
      <c r="A3652" s="26"/>
      <c r="B3652" s="26"/>
      <c r="C3652" s="26"/>
      <c r="D3652" s="26"/>
      <c r="E3652" s="26"/>
      <c r="F3652" s="28"/>
      <c r="G3652" s="26"/>
      <c r="H3652" s="32"/>
      <c r="I3652" s="32"/>
      <c r="J3652" s="32"/>
      <c r="K3652" s="32"/>
      <c r="L3652" s="32" t="e">
        <f ca="1">_xludf.ifna(VLOOKUP(E3652,Parámetros!$D$2:$E$34,2,0),"")</f>
        <v>#NAME?</v>
      </c>
      <c r="M3652" s="32" t="e">
        <f ca="1">_xludf.ifna(VLOOKUP(G3652,Proyectos!$A$2:$T$674,20,0),"")</f>
        <v>#NAME?</v>
      </c>
      <c r="N3652" s="32" t="e">
        <f ca="1">_xludf.ifna(VLOOKUP(G3652,Proyectos!$A$2:$S$674,19,0))</f>
        <v>#NAME?</v>
      </c>
      <c r="O3652" s="32"/>
      <c r="P3652" s="32"/>
      <c r="Q3652" s="33"/>
      <c r="R3652" s="33"/>
      <c r="S3652" s="33"/>
      <c r="T3652" s="63"/>
      <c r="U3652" s="33"/>
      <c r="V3652" s="33"/>
      <c r="W3652" s="33"/>
    </row>
    <row r="3653" spans="1:23" ht="16.5" customHeight="1" x14ac:dyDescent="0.2">
      <c r="A3653" s="26"/>
      <c r="B3653" s="26"/>
      <c r="C3653" s="26"/>
      <c r="D3653" s="26"/>
      <c r="E3653" s="26"/>
      <c r="F3653" s="28"/>
      <c r="G3653" s="26"/>
      <c r="H3653" s="32"/>
      <c r="I3653" s="32"/>
      <c r="J3653" s="32"/>
      <c r="K3653" s="32"/>
      <c r="L3653" s="32" t="e">
        <f ca="1">_xludf.ifna(VLOOKUP(E3653,Parámetros!$D$2:$E$34,2,0),"")</f>
        <v>#NAME?</v>
      </c>
      <c r="M3653" s="32" t="e">
        <f ca="1">_xludf.ifna(VLOOKUP(G3653,Proyectos!$A$2:$T$674,20,0),"")</f>
        <v>#NAME?</v>
      </c>
      <c r="N3653" s="32" t="e">
        <f ca="1">_xludf.ifna(VLOOKUP(G3653,Proyectos!$A$2:$S$674,19,0))</f>
        <v>#NAME?</v>
      </c>
      <c r="O3653" s="32"/>
      <c r="P3653" s="32"/>
      <c r="Q3653" s="33"/>
      <c r="R3653" s="33"/>
      <c r="S3653" s="33"/>
      <c r="T3653" s="63"/>
      <c r="U3653" s="33"/>
      <c r="V3653" s="33"/>
      <c r="W3653" s="33"/>
    </row>
    <row r="3654" spans="1:23" ht="16.5" customHeight="1" x14ac:dyDescent="0.2">
      <c r="A3654" s="26"/>
      <c r="B3654" s="26"/>
      <c r="C3654" s="26"/>
      <c r="D3654" s="26"/>
      <c r="E3654" s="26"/>
      <c r="F3654" s="28"/>
      <c r="G3654" s="26"/>
      <c r="H3654" s="32"/>
      <c r="I3654" s="32"/>
      <c r="J3654" s="32"/>
      <c r="K3654" s="32"/>
      <c r="L3654" s="32" t="e">
        <f ca="1">_xludf.ifna(VLOOKUP(E3654,Parámetros!$D$2:$E$34,2,0),"")</f>
        <v>#NAME?</v>
      </c>
      <c r="M3654" s="32" t="e">
        <f ca="1">_xludf.ifna(VLOOKUP(G3654,Proyectos!$A$2:$T$674,20,0),"")</f>
        <v>#NAME?</v>
      </c>
      <c r="N3654" s="32" t="e">
        <f ca="1">_xludf.ifna(VLOOKUP(G3654,Proyectos!$A$2:$S$674,19,0))</f>
        <v>#NAME?</v>
      </c>
      <c r="O3654" s="32"/>
      <c r="P3654" s="32"/>
      <c r="Q3654" s="33"/>
      <c r="R3654" s="33"/>
      <c r="S3654" s="33"/>
      <c r="T3654" s="63"/>
      <c r="U3654" s="33"/>
      <c r="V3654" s="33"/>
      <c r="W3654" s="33"/>
    </row>
    <row r="3655" spans="1:23" ht="16.5" customHeight="1" x14ac:dyDescent="0.2">
      <c r="A3655" s="26"/>
      <c r="B3655" s="26"/>
      <c r="C3655" s="26"/>
      <c r="D3655" s="26"/>
      <c r="E3655" s="26"/>
      <c r="F3655" s="28"/>
      <c r="G3655" s="26"/>
      <c r="H3655" s="32"/>
      <c r="I3655" s="32"/>
      <c r="J3655" s="32"/>
      <c r="K3655" s="32"/>
      <c r="L3655" s="32" t="e">
        <f ca="1">_xludf.ifna(VLOOKUP(E3655,Parámetros!$D$2:$E$34,2,0),"")</f>
        <v>#NAME?</v>
      </c>
      <c r="M3655" s="32" t="e">
        <f ca="1">_xludf.ifna(VLOOKUP(G3655,Proyectos!$A$2:$T$674,20,0),"")</f>
        <v>#NAME?</v>
      </c>
      <c r="N3655" s="32" t="e">
        <f ca="1">_xludf.ifna(VLOOKUP(G3655,Proyectos!$A$2:$S$674,19,0))</f>
        <v>#NAME?</v>
      </c>
      <c r="O3655" s="32"/>
      <c r="P3655" s="32"/>
      <c r="Q3655" s="33"/>
      <c r="R3655" s="33"/>
      <c r="S3655" s="33"/>
      <c r="T3655" s="63"/>
      <c r="U3655" s="33"/>
      <c r="V3655" s="33"/>
      <c r="W3655" s="33"/>
    </row>
    <row r="3656" spans="1:23" ht="16.5" customHeight="1" x14ac:dyDescent="0.2">
      <c r="A3656" s="26"/>
      <c r="B3656" s="26"/>
      <c r="C3656" s="26"/>
      <c r="D3656" s="26"/>
      <c r="E3656" s="26"/>
      <c r="F3656" s="28"/>
      <c r="G3656" s="26"/>
      <c r="H3656" s="32"/>
      <c r="I3656" s="32"/>
      <c r="J3656" s="32"/>
      <c r="K3656" s="32"/>
      <c r="L3656" s="32" t="e">
        <f ca="1">_xludf.ifna(VLOOKUP(E3656,Parámetros!$D$2:$E$34,2,0),"")</f>
        <v>#NAME?</v>
      </c>
      <c r="M3656" s="32" t="e">
        <f ca="1">_xludf.ifna(VLOOKUP(G3656,Proyectos!$A$2:$T$674,20,0),"")</f>
        <v>#NAME?</v>
      </c>
      <c r="N3656" s="32" t="e">
        <f ca="1">_xludf.ifna(VLOOKUP(G3656,Proyectos!$A$2:$S$674,19,0))</f>
        <v>#NAME?</v>
      </c>
      <c r="O3656" s="32"/>
      <c r="P3656" s="32"/>
      <c r="Q3656" s="33"/>
      <c r="R3656" s="33"/>
      <c r="S3656" s="33"/>
      <c r="T3656" s="63"/>
      <c r="U3656" s="33"/>
      <c r="V3656" s="33"/>
      <c r="W3656" s="33"/>
    </row>
    <row r="3657" spans="1:23" ht="16.5" customHeight="1" x14ac:dyDescent="0.2">
      <c r="A3657" s="26"/>
      <c r="B3657" s="26"/>
      <c r="C3657" s="26"/>
      <c r="D3657" s="26"/>
      <c r="E3657" s="26"/>
      <c r="F3657" s="28"/>
      <c r="G3657" s="26"/>
      <c r="H3657" s="32"/>
      <c r="I3657" s="32"/>
      <c r="J3657" s="32"/>
      <c r="K3657" s="32"/>
      <c r="L3657" s="32" t="e">
        <f ca="1">_xludf.ifna(VLOOKUP(E3657,Parámetros!$D$2:$E$34,2,0),"")</f>
        <v>#NAME?</v>
      </c>
      <c r="M3657" s="32" t="e">
        <f ca="1">_xludf.ifna(VLOOKUP(G3657,Proyectos!$A$2:$T$674,20,0),"")</f>
        <v>#NAME?</v>
      </c>
      <c r="N3657" s="32" t="e">
        <f ca="1">_xludf.ifna(VLOOKUP(G3657,Proyectos!$A$2:$S$674,19,0))</f>
        <v>#NAME?</v>
      </c>
      <c r="O3657" s="32"/>
      <c r="P3657" s="32"/>
      <c r="Q3657" s="33"/>
      <c r="R3657" s="33"/>
      <c r="S3657" s="33"/>
      <c r="T3657" s="63"/>
      <c r="U3657" s="33"/>
      <c r="V3657" s="33"/>
      <c r="W3657" s="33"/>
    </row>
    <row r="3658" spans="1:23" ht="16.5" customHeight="1" x14ac:dyDescent="0.2">
      <c r="A3658" s="26"/>
      <c r="B3658" s="26"/>
      <c r="C3658" s="26"/>
      <c r="D3658" s="26"/>
      <c r="E3658" s="26"/>
      <c r="F3658" s="28"/>
      <c r="G3658" s="26"/>
      <c r="H3658" s="32"/>
      <c r="I3658" s="32"/>
      <c r="J3658" s="32"/>
      <c r="K3658" s="32"/>
      <c r="L3658" s="32" t="e">
        <f ca="1">_xludf.ifna(VLOOKUP(E3658,Parámetros!$D$2:$E$34,2,0),"")</f>
        <v>#NAME?</v>
      </c>
      <c r="M3658" s="32" t="e">
        <f ca="1">_xludf.ifna(VLOOKUP(G3658,Proyectos!$A$2:$T$674,20,0),"")</f>
        <v>#NAME?</v>
      </c>
      <c r="N3658" s="32" t="e">
        <f ca="1">_xludf.ifna(VLOOKUP(G3658,Proyectos!$A$2:$S$674,19,0))</f>
        <v>#NAME?</v>
      </c>
      <c r="O3658" s="32"/>
      <c r="P3658" s="32"/>
      <c r="Q3658" s="33"/>
      <c r="R3658" s="33"/>
      <c r="S3658" s="33"/>
      <c r="T3658" s="63"/>
      <c r="U3658" s="33"/>
      <c r="V3658" s="33"/>
      <c r="W3658" s="33"/>
    </row>
    <row r="3659" spans="1:23" ht="16.5" customHeight="1" x14ac:dyDescent="0.2">
      <c r="A3659" s="26"/>
      <c r="B3659" s="26"/>
      <c r="C3659" s="26"/>
      <c r="D3659" s="26"/>
      <c r="E3659" s="26"/>
      <c r="F3659" s="28"/>
      <c r="G3659" s="26"/>
      <c r="H3659" s="32"/>
      <c r="I3659" s="32"/>
      <c r="J3659" s="32"/>
      <c r="K3659" s="32"/>
      <c r="L3659" s="32" t="e">
        <f ca="1">_xludf.ifna(VLOOKUP(E3659,Parámetros!$D$2:$E$34,2,0),"")</f>
        <v>#NAME?</v>
      </c>
      <c r="M3659" s="32" t="e">
        <f ca="1">_xludf.ifna(VLOOKUP(G3659,Proyectos!$A$2:$T$674,20,0),"")</f>
        <v>#NAME?</v>
      </c>
      <c r="N3659" s="32" t="e">
        <f ca="1">_xludf.ifna(VLOOKUP(G3659,Proyectos!$A$2:$S$674,19,0))</f>
        <v>#NAME?</v>
      </c>
      <c r="O3659" s="32"/>
      <c r="P3659" s="32"/>
      <c r="Q3659" s="33"/>
      <c r="R3659" s="33"/>
      <c r="S3659" s="33"/>
      <c r="T3659" s="63"/>
      <c r="U3659" s="33"/>
      <c r="V3659" s="33"/>
      <c r="W3659" s="33"/>
    </row>
    <row r="3660" spans="1:23" ht="16.5" customHeight="1" x14ac:dyDescent="0.2">
      <c r="A3660" s="26"/>
      <c r="B3660" s="26"/>
      <c r="C3660" s="26"/>
      <c r="D3660" s="26"/>
      <c r="E3660" s="26"/>
      <c r="F3660" s="28"/>
      <c r="G3660" s="26"/>
      <c r="H3660" s="32"/>
      <c r="I3660" s="32"/>
      <c r="J3660" s="32"/>
      <c r="K3660" s="32"/>
      <c r="L3660" s="32" t="e">
        <f ca="1">_xludf.ifna(VLOOKUP(E3660,Parámetros!$D$2:$E$34,2,0),"")</f>
        <v>#NAME?</v>
      </c>
      <c r="M3660" s="32" t="e">
        <f ca="1">_xludf.ifna(VLOOKUP(G3660,Proyectos!$A$2:$T$674,20,0),"")</f>
        <v>#NAME?</v>
      </c>
      <c r="N3660" s="32" t="e">
        <f ca="1">_xludf.ifna(VLOOKUP(G3660,Proyectos!$A$2:$S$674,19,0))</f>
        <v>#NAME?</v>
      </c>
      <c r="O3660" s="32"/>
      <c r="P3660" s="32"/>
      <c r="Q3660" s="33"/>
      <c r="R3660" s="33"/>
      <c r="S3660" s="33"/>
      <c r="T3660" s="63"/>
      <c r="U3660" s="33"/>
      <c r="V3660" s="33"/>
      <c r="W3660" s="33"/>
    </row>
    <row r="3661" spans="1:23" ht="16.5" customHeight="1" x14ac:dyDescent="0.2">
      <c r="A3661" s="26"/>
      <c r="B3661" s="26"/>
      <c r="C3661" s="26"/>
      <c r="D3661" s="26"/>
      <c r="E3661" s="26"/>
      <c r="F3661" s="28"/>
      <c r="G3661" s="26"/>
      <c r="H3661" s="32"/>
      <c r="I3661" s="32"/>
      <c r="J3661" s="32"/>
      <c r="K3661" s="32"/>
      <c r="L3661" s="32" t="e">
        <f ca="1">_xludf.ifna(VLOOKUP(E3661,Parámetros!$D$2:$E$34,2,0),"")</f>
        <v>#NAME?</v>
      </c>
      <c r="M3661" s="32" t="e">
        <f ca="1">_xludf.ifna(VLOOKUP(G3661,Proyectos!$A$2:$T$674,20,0),"")</f>
        <v>#NAME?</v>
      </c>
      <c r="N3661" s="32" t="e">
        <f ca="1">_xludf.ifna(VLOOKUP(G3661,Proyectos!$A$2:$S$674,19,0))</f>
        <v>#NAME?</v>
      </c>
      <c r="O3661" s="32"/>
      <c r="P3661" s="32"/>
      <c r="Q3661" s="33"/>
      <c r="R3661" s="33"/>
      <c r="S3661" s="33"/>
      <c r="T3661" s="63"/>
      <c r="U3661" s="33"/>
      <c r="V3661" s="33"/>
      <c r="W3661" s="33"/>
    </row>
    <row r="3662" spans="1:23" ht="16.5" customHeight="1" x14ac:dyDescent="0.2">
      <c r="A3662" s="26"/>
      <c r="B3662" s="26"/>
      <c r="C3662" s="26"/>
      <c r="D3662" s="26"/>
      <c r="E3662" s="26"/>
      <c r="F3662" s="28"/>
      <c r="G3662" s="26"/>
      <c r="H3662" s="32"/>
      <c r="I3662" s="32"/>
      <c r="J3662" s="32"/>
      <c r="K3662" s="32"/>
      <c r="L3662" s="32" t="e">
        <f ca="1">_xludf.ifna(VLOOKUP(E3662,Parámetros!$D$2:$E$34,2,0),"")</f>
        <v>#NAME?</v>
      </c>
      <c r="M3662" s="32" t="e">
        <f ca="1">_xludf.ifna(VLOOKUP(G3662,Proyectos!$A$2:$T$674,20,0),"")</f>
        <v>#NAME?</v>
      </c>
      <c r="N3662" s="32" t="e">
        <f ca="1">_xludf.ifna(VLOOKUP(G3662,Proyectos!$A$2:$S$674,19,0))</f>
        <v>#NAME?</v>
      </c>
      <c r="O3662" s="32"/>
      <c r="P3662" s="32"/>
      <c r="Q3662" s="33"/>
      <c r="R3662" s="33"/>
      <c r="S3662" s="33"/>
      <c r="T3662" s="63"/>
      <c r="U3662" s="33"/>
      <c r="V3662" s="33"/>
      <c r="W3662" s="33"/>
    </row>
    <row r="3663" spans="1:23" ht="16.5" customHeight="1" x14ac:dyDescent="0.2">
      <c r="A3663" s="26"/>
      <c r="B3663" s="26"/>
      <c r="C3663" s="26"/>
      <c r="D3663" s="26"/>
      <c r="E3663" s="26"/>
      <c r="F3663" s="28"/>
      <c r="G3663" s="26"/>
      <c r="H3663" s="32"/>
      <c r="I3663" s="32"/>
      <c r="J3663" s="32"/>
      <c r="K3663" s="32"/>
      <c r="L3663" s="32" t="e">
        <f ca="1">_xludf.ifna(VLOOKUP(E3663,Parámetros!$D$2:$E$34,2,0),"")</f>
        <v>#NAME?</v>
      </c>
      <c r="M3663" s="32" t="e">
        <f ca="1">_xludf.ifna(VLOOKUP(G3663,Proyectos!$A$2:$T$674,20,0),"")</f>
        <v>#NAME?</v>
      </c>
      <c r="N3663" s="32" t="e">
        <f ca="1">_xludf.ifna(VLOOKUP(G3663,Proyectos!$A$2:$S$674,19,0))</f>
        <v>#NAME?</v>
      </c>
      <c r="O3663" s="32"/>
      <c r="P3663" s="32"/>
      <c r="Q3663" s="33"/>
      <c r="R3663" s="33"/>
      <c r="S3663" s="33"/>
      <c r="T3663" s="63"/>
      <c r="U3663" s="33"/>
      <c r="V3663" s="33"/>
      <c r="W3663" s="33"/>
    </row>
    <row r="3664" spans="1:23" ht="16.5" customHeight="1" x14ac:dyDescent="0.2">
      <c r="A3664" s="26"/>
      <c r="B3664" s="26"/>
      <c r="C3664" s="26"/>
      <c r="D3664" s="26"/>
      <c r="E3664" s="26"/>
      <c r="F3664" s="28"/>
      <c r="G3664" s="26"/>
      <c r="H3664" s="32"/>
      <c r="I3664" s="32"/>
      <c r="J3664" s="32"/>
      <c r="K3664" s="32"/>
      <c r="L3664" s="32" t="e">
        <f ca="1">_xludf.ifna(VLOOKUP(E3664,Parámetros!$D$2:$E$34,2,0),"")</f>
        <v>#NAME?</v>
      </c>
      <c r="M3664" s="32" t="e">
        <f ca="1">_xludf.ifna(VLOOKUP(G3664,Proyectos!$A$2:$T$674,20,0),"")</f>
        <v>#NAME?</v>
      </c>
      <c r="N3664" s="32" t="e">
        <f ca="1">_xludf.ifna(VLOOKUP(G3664,Proyectos!$A$2:$S$674,19,0))</f>
        <v>#NAME?</v>
      </c>
      <c r="O3664" s="32"/>
      <c r="P3664" s="32"/>
      <c r="Q3664" s="33"/>
      <c r="R3664" s="33"/>
      <c r="S3664" s="33"/>
      <c r="T3664" s="63"/>
      <c r="U3664" s="33"/>
      <c r="V3664" s="33"/>
      <c r="W3664" s="33"/>
    </row>
    <row r="3665" spans="1:23" ht="16.5" customHeight="1" x14ac:dyDescent="0.2">
      <c r="A3665" s="26"/>
      <c r="B3665" s="26"/>
      <c r="C3665" s="26"/>
      <c r="D3665" s="26"/>
      <c r="E3665" s="26"/>
      <c r="F3665" s="28"/>
      <c r="G3665" s="26"/>
      <c r="H3665" s="32"/>
      <c r="I3665" s="32"/>
      <c r="J3665" s="32"/>
      <c r="K3665" s="32"/>
      <c r="L3665" s="32" t="e">
        <f ca="1">_xludf.ifna(VLOOKUP(E3665,Parámetros!$D$2:$E$34,2,0),"")</f>
        <v>#NAME?</v>
      </c>
      <c r="M3665" s="32" t="e">
        <f ca="1">_xludf.ifna(VLOOKUP(G3665,Proyectos!$A$2:$T$674,20,0),"")</f>
        <v>#NAME?</v>
      </c>
      <c r="N3665" s="32" t="e">
        <f ca="1">_xludf.ifna(VLOOKUP(G3665,Proyectos!$A$2:$S$674,19,0))</f>
        <v>#NAME?</v>
      </c>
      <c r="O3665" s="32"/>
      <c r="P3665" s="32"/>
      <c r="Q3665" s="33"/>
      <c r="R3665" s="33"/>
      <c r="S3665" s="33"/>
      <c r="T3665" s="63"/>
      <c r="U3665" s="33"/>
      <c r="V3665" s="33"/>
      <c r="W3665" s="33"/>
    </row>
    <row r="3666" spans="1:23" ht="16.5" customHeight="1" x14ac:dyDescent="0.2">
      <c r="A3666" s="26"/>
      <c r="B3666" s="26"/>
      <c r="C3666" s="26"/>
      <c r="D3666" s="26"/>
      <c r="E3666" s="26"/>
      <c r="F3666" s="28"/>
      <c r="G3666" s="26"/>
      <c r="H3666" s="32"/>
      <c r="I3666" s="32"/>
      <c r="J3666" s="32"/>
      <c r="K3666" s="32"/>
      <c r="L3666" s="32" t="e">
        <f ca="1">_xludf.ifna(VLOOKUP(E3666,Parámetros!$D$2:$E$34,2,0),"")</f>
        <v>#NAME?</v>
      </c>
      <c r="M3666" s="32" t="e">
        <f ca="1">_xludf.ifna(VLOOKUP(G3666,Proyectos!$A$2:$T$674,20,0),"")</f>
        <v>#NAME?</v>
      </c>
      <c r="N3666" s="32" t="e">
        <f ca="1">_xludf.ifna(VLOOKUP(G3666,Proyectos!$A$2:$S$674,19,0))</f>
        <v>#NAME?</v>
      </c>
      <c r="O3666" s="32"/>
      <c r="P3666" s="32"/>
      <c r="Q3666" s="33"/>
      <c r="R3666" s="33"/>
      <c r="S3666" s="33"/>
      <c r="T3666" s="63"/>
      <c r="U3666" s="33"/>
      <c r="V3666" s="33"/>
      <c r="W3666" s="33"/>
    </row>
    <row r="3667" spans="1:23" ht="16.5" customHeight="1" x14ac:dyDescent="0.2">
      <c r="A3667" s="26"/>
      <c r="B3667" s="26"/>
      <c r="C3667" s="26"/>
      <c r="D3667" s="26"/>
      <c r="E3667" s="26"/>
      <c r="F3667" s="28"/>
      <c r="G3667" s="26"/>
      <c r="H3667" s="32"/>
      <c r="I3667" s="32"/>
      <c r="J3667" s="32"/>
      <c r="K3667" s="32"/>
      <c r="L3667" s="32" t="e">
        <f ca="1">_xludf.ifna(VLOOKUP(E3667,Parámetros!$D$2:$E$34,2,0),"")</f>
        <v>#NAME?</v>
      </c>
      <c r="M3667" s="32" t="e">
        <f ca="1">_xludf.ifna(VLOOKUP(G3667,Proyectos!$A$2:$T$674,20,0),"")</f>
        <v>#NAME?</v>
      </c>
      <c r="N3667" s="32" t="e">
        <f ca="1">_xludf.ifna(VLOOKUP(G3667,Proyectos!$A$2:$S$674,19,0))</f>
        <v>#NAME?</v>
      </c>
      <c r="O3667" s="32"/>
      <c r="P3667" s="32"/>
      <c r="Q3667" s="33"/>
      <c r="R3667" s="33"/>
      <c r="S3667" s="33"/>
      <c r="T3667" s="63"/>
      <c r="U3667" s="33"/>
      <c r="V3667" s="33"/>
      <c r="W3667" s="33"/>
    </row>
    <row r="3668" spans="1:23" ht="16.5" customHeight="1" x14ac:dyDescent="0.2">
      <c r="A3668" s="26"/>
      <c r="B3668" s="26"/>
      <c r="C3668" s="26"/>
      <c r="D3668" s="26"/>
      <c r="E3668" s="26"/>
      <c r="F3668" s="28"/>
      <c r="G3668" s="26"/>
      <c r="H3668" s="32"/>
      <c r="I3668" s="32"/>
      <c r="J3668" s="32"/>
      <c r="K3668" s="32"/>
      <c r="L3668" s="32" t="e">
        <f ca="1">_xludf.ifna(VLOOKUP(E3668,Parámetros!$D$2:$E$34,2,0),"")</f>
        <v>#NAME?</v>
      </c>
      <c r="M3668" s="32" t="e">
        <f ca="1">_xludf.ifna(VLOOKUP(G3668,Proyectos!$A$2:$T$674,20,0),"")</f>
        <v>#NAME?</v>
      </c>
      <c r="N3668" s="32" t="e">
        <f ca="1">_xludf.ifna(VLOOKUP(G3668,Proyectos!$A$2:$S$674,19,0))</f>
        <v>#NAME?</v>
      </c>
      <c r="O3668" s="32"/>
      <c r="P3668" s="32"/>
      <c r="Q3668" s="33"/>
      <c r="R3668" s="33"/>
      <c r="S3668" s="33"/>
      <c r="T3668" s="63"/>
      <c r="U3668" s="33"/>
      <c r="V3668" s="33"/>
      <c r="W3668" s="33"/>
    </row>
    <row r="3669" spans="1:23" ht="16.5" customHeight="1" x14ac:dyDescent="0.2">
      <c r="A3669" s="26"/>
      <c r="B3669" s="26"/>
      <c r="C3669" s="26"/>
      <c r="D3669" s="26"/>
      <c r="E3669" s="26"/>
      <c r="F3669" s="28"/>
      <c r="G3669" s="26"/>
      <c r="H3669" s="32"/>
      <c r="I3669" s="32"/>
      <c r="J3669" s="32"/>
      <c r="K3669" s="32"/>
      <c r="L3669" s="32" t="e">
        <f ca="1">_xludf.ifna(VLOOKUP(E3669,Parámetros!$D$2:$E$34,2,0),"")</f>
        <v>#NAME?</v>
      </c>
      <c r="M3669" s="32" t="e">
        <f ca="1">_xludf.ifna(VLOOKUP(G3669,Proyectos!$A$2:$T$674,20,0),"")</f>
        <v>#NAME?</v>
      </c>
      <c r="N3669" s="32" t="e">
        <f ca="1">_xludf.ifna(VLOOKUP(G3669,Proyectos!$A$2:$S$674,19,0))</f>
        <v>#NAME?</v>
      </c>
      <c r="O3669" s="32"/>
      <c r="P3669" s="32"/>
      <c r="Q3669" s="33"/>
      <c r="R3669" s="33"/>
      <c r="S3669" s="33"/>
      <c r="T3669" s="63"/>
      <c r="U3669" s="33"/>
      <c r="V3669" s="33"/>
      <c r="W3669" s="33"/>
    </row>
    <row r="3670" spans="1:23" ht="16.5" customHeight="1" x14ac:dyDescent="0.2">
      <c r="A3670" s="26"/>
      <c r="B3670" s="26"/>
      <c r="C3670" s="26"/>
      <c r="D3670" s="26"/>
      <c r="E3670" s="26"/>
      <c r="F3670" s="28"/>
      <c r="G3670" s="26"/>
      <c r="H3670" s="32"/>
      <c r="I3670" s="32"/>
      <c r="J3670" s="32"/>
      <c r="K3670" s="32"/>
      <c r="L3670" s="32" t="e">
        <f ca="1">_xludf.ifna(VLOOKUP(E3670,Parámetros!$D$2:$E$34,2,0),"")</f>
        <v>#NAME?</v>
      </c>
      <c r="M3670" s="32" t="e">
        <f ca="1">_xludf.ifna(VLOOKUP(G3670,Proyectos!$A$2:$T$674,20,0),"")</f>
        <v>#NAME?</v>
      </c>
      <c r="N3670" s="32" t="e">
        <f ca="1">_xludf.ifna(VLOOKUP(G3670,Proyectos!$A$2:$S$674,19,0))</f>
        <v>#NAME?</v>
      </c>
      <c r="O3670" s="32"/>
      <c r="P3670" s="32"/>
      <c r="Q3670" s="33"/>
      <c r="R3670" s="33"/>
      <c r="S3670" s="33"/>
      <c r="T3670" s="63"/>
      <c r="U3670" s="33"/>
      <c r="V3670" s="33"/>
      <c r="W3670" s="33"/>
    </row>
    <row r="3671" spans="1:23" ht="16.5" customHeight="1" x14ac:dyDescent="0.2">
      <c r="A3671" s="26"/>
      <c r="B3671" s="26"/>
      <c r="C3671" s="26"/>
      <c r="D3671" s="26"/>
      <c r="E3671" s="26"/>
      <c r="F3671" s="28"/>
      <c r="G3671" s="26"/>
      <c r="H3671" s="32"/>
      <c r="I3671" s="32"/>
      <c r="J3671" s="32"/>
      <c r="K3671" s="32"/>
      <c r="L3671" s="32" t="e">
        <f ca="1">_xludf.ifna(VLOOKUP(E3671,Parámetros!$D$2:$E$34,2,0),"")</f>
        <v>#NAME?</v>
      </c>
      <c r="M3671" s="32" t="e">
        <f ca="1">_xludf.ifna(VLOOKUP(G3671,Proyectos!$A$2:$T$674,20,0),"")</f>
        <v>#NAME?</v>
      </c>
      <c r="N3671" s="32" t="e">
        <f ca="1">_xludf.ifna(VLOOKUP(G3671,Proyectos!$A$2:$S$674,19,0))</f>
        <v>#NAME?</v>
      </c>
      <c r="O3671" s="32"/>
      <c r="P3671" s="32"/>
      <c r="Q3671" s="33"/>
      <c r="R3671" s="33"/>
      <c r="S3671" s="33"/>
      <c r="T3671" s="63"/>
      <c r="U3671" s="33"/>
      <c r="V3671" s="33"/>
      <c r="W3671" s="33"/>
    </row>
    <row r="3672" spans="1:23" ht="16.5" customHeight="1" x14ac:dyDescent="0.2">
      <c r="A3672" s="26"/>
      <c r="B3672" s="26"/>
      <c r="C3672" s="26"/>
      <c r="D3672" s="26"/>
      <c r="E3672" s="26"/>
      <c r="F3672" s="28"/>
      <c r="G3672" s="26"/>
      <c r="H3672" s="32"/>
      <c r="I3672" s="32"/>
      <c r="J3672" s="32"/>
      <c r="K3672" s="32"/>
      <c r="L3672" s="32" t="e">
        <f ca="1">_xludf.ifna(VLOOKUP(E3672,Parámetros!$D$2:$E$34,2,0),"")</f>
        <v>#NAME?</v>
      </c>
      <c r="M3672" s="32" t="e">
        <f ca="1">_xludf.ifna(VLOOKUP(G3672,Proyectos!$A$2:$T$674,20,0),"")</f>
        <v>#NAME?</v>
      </c>
      <c r="N3672" s="32" t="e">
        <f ca="1">_xludf.ifna(VLOOKUP(G3672,Proyectos!$A$2:$S$674,19,0))</f>
        <v>#NAME?</v>
      </c>
      <c r="O3672" s="32"/>
      <c r="P3672" s="32"/>
      <c r="Q3672" s="33"/>
      <c r="R3672" s="33"/>
      <c r="S3672" s="33"/>
      <c r="T3672" s="63"/>
      <c r="U3672" s="33"/>
      <c r="V3672" s="33"/>
      <c r="W3672" s="33"/>
    </row>
    <row r="3673" spans="1:23" ht="16.5" customHeight="1" x14ac:dyDescent="0.2">
      <c r="A3673" s="26"/>
      <c r="B3673" s="26"/>
      <c r="C3673" s="26"/>
      <c r="D3673" s="26"/>
      <c r="E3673" s="26"/>
      <c r="F3673" s="28"/>
      <c r="G3673" s="26"/>
      <c r="H3673" s="32"/>
      <c r="I3673" s="32"/>
      <c r="J3673" s="32"/>
      <c r="K3673" s="32"/>
      <c r="L3673" s="32" t="e">
        <f ca="1">_xludf.ifna(VLOOKUP(E3673,Parámetros!$D$2:$E$34,2,0),"")</f>
        <v>#NAME?</v>
      </c>
      <c r="M3673" s="32" t="e">
        <f ca="1">_xludf.ifna(VLOOKUP(G3673,Proyectos!$A$2:$T$674,20,0),"")</f>
        <v>#NAME?</v>
      </c>
      <c r="N3673" s="32" t="e">
        <f ca="1">_xludf.ifna(VLOOKUP(G3673,Proyectos!$A$2:$S$674,19,0))</f>
        <v>#NAME?</v>
      </c>
      <c r="O3673" s="32"/>
      <c r="P3673" s="32"/>
      <c r="Q3673" s="33"/>
      <c r="R3673" s="33"/>
      <c r="S3673" s="33"/>
      <c r="T3673" s="63"/>
      <c r="U3673" s="33"/>
      <c r="V3673" s="33"/>
      <c r="W3673" s="33"/>
    </row>
    <row r="3674" spans="1:23" ht="16.5" customHeight="1" x14ac:dyDescent="0.2">
      <c r="A3674" s="26"/>
      <c r="B3674" s="26"/>
      <c r="C3674" s="26"/>
      <c r="D3674" s="26"/>
      <c r="E3674" s="26"/>
      <c r="F3674" s="28"/>
      <c r="G3674" s="26"/>
      <c r="H3674" s="32"/>
      <c r="I3674" s="32"/>
      <c r="J3674" s="32"/>
      <c r="K3674" s="32"/>
      <c r="L3674" s="32" t="e">
        <f ca="1">_xludf.ifna(VLOOKUP(E3674,Parámetros!$D$2:$E$34,2,0),"")</f>
        <v>#NAME?</v>
      </c>
      <c r="M3674" s="32" t="e">
        <f ca="1">_xludf.ifna(VLOOKUP(G3674,Proyectos!$A$2:$T$674,20,0),"")</f>
        <v>#NAME?</v>
      </c>
      <c r="N3674" s="32" t="e">
        <f ca="1">_xludf.ifna(VLOOKUP(G3674,Proyectos!$A$2:$S$674,19,0))</f>
        <v>#NAME?</v>
      </c>
      <c r="O3674" s="32"/>
      <c r="P3674" s="32"/>
      <c r="Q3674" s="33"/>
      <c r="R3674" s="33"/>
      <c r="S3674" s="33"/>
      <c r="T3674" s="63"/>
      <c r="U3674" s="33"/>
      <c r="V3674" s="33"/>
      <c r="W3674" s="33"/>
    </row>
    <row r="3675" spans="1:23" ht="16.5" customHeight="1" x14ac:dyDescent="0.2">
      <c r="A3675" s="26"/>
      <c r="B3675" s="26"/>
      <c r="C3675" s="26"/>
      <c r="D3675" s="26"/>
      <c r="E3675" s="26"/>
      <c r="F3675" s="28"/>
      <c r="G3675" s="26"/>
      <c r="H3675" s="32"/>
      <c r="I3675" s="32"/>
      <c r="J3675" s="32"/>
      <c r="K3675" s="32"/>
      <c r="L3675" s="32" t="e">
        <f ca="1">_xludf.ifna(VLOOKUP(E3675,Parámetros!$D$2:$E$34,2,0),"")</f>
        <v>#NAME?</v>
      </c>
      <c r="M3675" s="32" t="e">
        <f ca="1">_xludf.ifna(VLOOKUP(G3675,Proyectos!$A$2:$T$674,20,0),"")</f>
        <v>#NAME?</v>
      </c>
      <c r="N3675" s="32" t="e">
        <f ca="1">_xludf.ifna(VLOOKUP(G3675,Proyectos!$A$2:$S$674,19,0))</f>
        <v>#NAME?</v>
      </c>
      <c r="O3675" s="32"/>
      <c r="P3675" s="32"/>
      <c r="Q3675" s="33"/>
      <c r="R3675" s="33"/>
      <c r="S3675" s="33"/>
      <c r="T3675" s="63"/>
      <c r="U3675" s="33"/>
      <c r="V3675" s="33"/>
      <c r="W3675" s="33"/>
    </row>
    <row r="3676" spans="1:23" ht="16.5" customHeight="1" x14ac:dyDescent="0.2">
      <c r="A3676" s="26"/>
      <c r="B3676" s="26"/>
      <c r="C3676" s="26"/>
      <c r="D3676" s="26"/>
      <c r="E3676" s="26"/>
      <c r="F3676" s="28"/>
      <c r="G3676" s="26"/>
      <c r="H3676" s="32"/>
      <c r="I3676" s="32"/>
      <c r="J3676" s="32"/>
      <c r="K3676" s="32"/>
      <c r="L3676" s="32" t="e">
        <f ca="1">_xludf.ifna(VLOOKUP(E3676,Parámetros!$D$2:$E$34,2,0),"")</f>
        <v>#NAME?</v>
      </c>
      <c r="M3676" s="32" t="e">
        <f ca="1">_xludf.ifna(VLOOKUP(G3676,Proyectos!$A$2:$T$674,20,0),"")</f>
        <v>#NAME?</v>
      </c>
      <c r="N3676" s="32" t="e">
        <f ca="1">_xludf.ifna(VLOOKUP(G3676,Proyectos!$A$2:$S$674,19,0))</f>
        <v>#NAME?</v>
      </c>
      <c r="O3676" s="32"/>
      <c r="P3676" s="32"/>
      <c r="Q3676" s="33"/>
      <c r="R3676" s="33"/>
      <c r="S3676" s="33"/>
      <c r="T3676" s="63"/>
      <c r="U3676" s="33"/>
      <c r="V3676" s="33"/>
      <c r="W3676" s="33"/>
    </row>
    <row r="3677" spans="1:23" ht="16.5" customHeight="1" x14ac:dyDescent="0.2">
      <c r="A3677" s="26"/>
      <c r="B3677" s="26"/>
      <c r="C3677" s="26"/>
      <c r="D3677" s="26"/>
      <c r="E3677" s="26"/>
      <c r="F3677" s="28"/>
      <c r="G3677" s="26"/>
      <c r="H3677" s="32"/>
      <c r="I3677" s="32"/>
      <c r="J3677" s="32"/>
      <c r="K3677" s="32"/>
      <c r="L3677" s="32" t="e">
        <f ca="1">_xludf.ifna(VLOOKUP(E3677,Parámetros!$D$2:$E$34,2,0),"")</f>
        <v>#NAME?</v>
      </c>
      <c r="M3677" s="32" t="e">
        <f ca="1">_xludf.ifna(VLOOKUP(G3677,Proyectos!$A$2:$T$674,20,0),"")</f>
        <v>#NAME?</v>
      </c>
      <c r="N3677" s="32" t="e">
        <f ca="1">_xludf.ifna(VLOOKUP(G3677,Proyectos!$A$2:$S$674,19,0))</f>
        <v>#NAME?</v>
      </c>
      <c r="O3677" s="32"/>
      <c r="P3677" s="32"/>
      <c r="Q3677" s="33"/>
      <c r="R3677" s="33"/>
      <c r="S3677" s="33"/>
      <c r="T3677" s="63"/>
      <c r="U3677" s="33"/>
      <c r="V3677" s="33"/>
      <c r="W3677" s="33"/>
    </row>
    <row r="3678" spans="1:23" ht="16.5" customHeight="1" x14ac:dyDescent="0.2">
      <c r="A3678" s="26"/>
      <c r="B3678" s="26"/>
      <c r="C3678" s="26"/>
      <c r="D3678" s="26"/>
      <c r="E3678" s="26"/>
      <c r="F3678" s="28"/>
      <c r="G3678" s="26"/>
      <c r="H3678" s="32"/>
      <c r="I3678" s="32"/>
      <c r="J3678" s="32"/>
      <c r="K3678" s="32"/>
      <c r="L3678" s="32" t="e">
        <f ca="1">_xludf.ifna(VLOOKUP(E3678,Parámetros!$D$2:$E$34,2,0),"")</f>
        <v>#NAME?</v>
      </c>
      <c r="M3678" s="32" t="e">
        <f ca="1">_xludf.ifna(VLOOKUP(G3678,Proyectos!$A$2:$T$674,20,0),"")</f>
        <v>#NAME?</v>
      </c>
      <c r="N3678" s="32" t="e">
        <f ca="1">_xludf.ifna(VLOOKUP(G3678,Proyectos!$A$2:$S$674,19,0))</f>
        <v>#NAME?</v>
      </c>
      <c r="O3678" s="32"/>
      <c r="P3678" s="32"/>
      <c r="Q3678" s="33"/>
      <c r="R3678" s="33"/>
      <c r="S3678" s="33"/>
      <c r="T3678" s="63"/>
      <c r="U3678" s="33"/>
      <c r="V3678" s="33"/>
      <c r="W3678" s="33"/>
    </row>
    <row r="3679" spans="1:23" ht="16.5" customHeight="1" x14ac:dyDescent="0.2">
      <c r="A3679" s="26"/>
      <c r="B3679" s="26"/>
      <c r="C3679" s="26"/>
      <c r="D3679" s="26"/>
      <c r="E3679" s="26"/>
      <c r="F3679" s="28"/>
      <c r="G3679" s="26"/>
      <c r="H3679" s="32"/>
      <c r="I3679" s="32"/>
      <c r="J3679" s="32"/>
      <c r="K3679" s="32"/>
      <c r="L3679" s="32" t="e">
        <f ca="1">_xludf.ifna(VLOOKUP(E3679,Parámetros!$D$2:$E$34,2,0),"")</f>
        <v>#NAME?</v>
      </c>
      <c r="M3679" s="32" t="e">
        <f ca="1">_xludf.ifna(VLOOKUP(G3679,Proyectos!$A$2:$T$674,20,0),"")</f>
        <v>#NAME?</v>
      </c>
      <c r="N3679" s="32" t="e">
        <f ca="1">_xludf.ifna(VLOOKUP(G3679,Proyectos!$A$2:$S$674,19,0))</f>
        <v>#NAME?</v>
      </c>
      <c r="O3679" s="32"/>
      <c r="P3679" s="32"/>
      <c r="Q3679" s="33"/>
      <c r="R3679" s="33"/>
      <c r="S3679" s="33"/>
      <c r="T3679" s="63"/>
      <c r="U3679" s="33"/>
      <c r="V3679" s="33"/>
      <c r="W3679" s="33"/>
    </row>
    <row r="3680" spans="1:23" ht="16.5" customHeight="1" x14ac:dyDescent="0.2">
      <c r="A3680" s="26"/>
      <c r="B3680" s="26"/>
      <c r="C3680" s="26"/>
      <c r="D3680" s="26"/>
      <c r="E3680" s="26"/>
      <c r="F3680" s="28"/>
      <c r="G3680" s="26"/>
      <c r="H3680" s="32"/>
      <c r="I3680" s="32"/>
      <c r="J3680" s="32"/>
      <c r="K3680" s="32"/>
      <c r="L3680" s="32" t="e">
        <f ca="1">_xludf.ifna(VLOOKUP(E3680,Parámetros!$D$2:$E$34,2,0),"")</f>
        <v>#NAME?</v>
      </c>
      <c r="M3680" s="32" t="e">
        <f ca="1">_xludf.ifna(VLOOKUP(G3680,Proyectos!$A$2:$T$674,20,0),"")</f>
        <v>#NAME?</v>
      </c>
      <c r="N3680" s="32" t="e">
        <f ca="1">_xludf.ifna(VLOOKUP(G3680,Proyectos!$A$2:$S$674,19,0))</f>
        <v>#NAME?</v>
      </c>
      <c r="O3680" s="32"/>
      <c r="P3680" s="32"/>
      <c r="Q3680" s="33"/>
      <c r="R3680" s="33"/>
      <c r="S3680" s="33"/>
      <c r="T3680" s="63"/>
      <c r="U3680" s="33"/>
      <c r="V3680" s="33"/>
      <c r="W3680" s="33"/>
    </row>
    <row r="3681" spans="1:23" ht="16.5" customHeight="1" x14ac:dyDescent="0.2">
      <c r="A3681" s="26"/>
      <c r="B3681" s="26"/>
      <c r="C3681" s="26"/>
      <c r="D3681" s="26"/>
      <c r="E3681" s="26"/>
      <c r="F3681" s="28"/>
      <c r="G3681" s="26"/>
      <c r="H3681" s="32"/>
      <c r="I3681" s="32"/>
      <c r="J3681" s="32"/>
      <c r="K3681" s="32"/>
      <c r="L3681" s="32" t="e">
        <f ca="1">_xludf.ifna(VLOOKUP(E3681,Parámetros!$D$2:$E$34,2,0),"")</f>
        <v>#NAME?</v>
      </c>
      <c r="M3681" s="32" t="e">
        <f ca="1">_xludf.ifna(VLOOKUP(G3681,Proyectos!$A$2:$T$674,20,0),"")</f>
        <v>#NAME?</v>
      </c>
      <c r="N3681" s="32" t="e">
        <f ca="1">_xludf.ifna(VLOOKUP(G3681,Proyectos!$A$2:$S$674,19,0))</f>
        <v>#NAME?</v>
      </c>
      <c r="O3681" s="32"/>
      <c r="P3681" s="32"/>
      <c r="Q3681" s="33"/>
      <c r="R3681" s="33"/>
      <c r="S3681" s="33"/>
      <c r="T3681" s="63"/>
      <c r="U3681" s="33"/>
      <c r="V3681" s="33"/>
      <c r="W3681" s="33"/>
    </row>
    <row r="3682" spans="1:23" ht="16.5" customHeight="1" x14ac:dyDescent="0.2">
      <c r="A3682" s="26"/>
      <c r="B3682" s="26"/>
      <c r="C3682" s="26"/>
      <c r="D3682" s="26"/>
      <c r="E3682" s="26"/>
      <c r="F3682" s="28"/>
      <c r="G3682" s="26"/>
      <c r="H3682" s="32"/>
      <c r="I3682" s="32"/>
      <c r="J3682" s="32"/>
      <c r="K3682" s="32"/>
      <c r="L3682" s="32" t="e">
        <f ca="1">_xludf.ifna(VLOOKUP(E3682,Parámetros!$D$2:$E$34,2,0),"")</f>
        <v>#NAME?</v>
      </c>
      <c r="M3682" s="32" t="e">
        <f ca="1">_xludf.ifna(VLOOKUP(G3682,Proyectos!$A$2:$T$674,20,0),"")</f>
        <v>#NAME?</v>
      </c>
      <c r="N3682" s="32" t="e">
        <f ca="1">_xludf.ifna(VLOOKUP(G3682,Proyectos!$A$2:$S$674,19,0))</f>
        <v>#NAME?</v>
      </c>
      <c r="O3682" s="32"/>
      <c r="P3682" s="32"/>
      <c r="Q3682" s="33"/>
      <c r="R3682" s="33"/>
      <c r="S3682" s="33"/>
      <c r="T3682" s="63"/>
      <c r="U3682" s="33"/>
      <c r="V3682" s="33"/>
      <c r="W3682" s="33"/>
    </row>
    <row r="3683" spans="1:23" ht="16.5" customHeight="1" x14ac:dyDescent="0.2">
      <c r="A3683" s="26"/>
      <c r="B3683" s="26"/>
      <c r="C3683" s="26"/>
      <c r="D3683" s="26"/>
      <c r="E3683" s="26"/>
      <c r="F3683" s="28"/>
      <c r="G3683" s="26"/>
      <c r="H3683" s="32"/>
      <c r="I3683" s="32"/>
      <c r="J3683" s="32"/>
      <c r="K3683" s="32"/>
      <c r="L3683" s="32" t="e">
        <f ca="1">_xludf.ifna(VLOOKUP(E3683,Parámetros!$D$2:$E$34,2,0),"")</f>
        <v>#NAME?</v>
      </c>
      <c r="M3683" s="32" t="e">
        <f ca="1">_xludf.ifna(VLOOKUP(G3683,Proyectos!$A$2:$T$674,20,0),"")</f>
        <v>#NAME?</v>
      </c>
      <c r="N3683" s="32" t="e">
        <f ca="1">_xludf.ifna(VLOOKUP(G3683,Proyectos!$A$2:$S$674,19,0))</f>
        <v>#NAME?</v>
      </c>
      <c r="O3683" s="32"/>
      <c r="P3683" s="32"/>
      <c r="Q3683" s="33"/>
      <c r="R3683" s="33"/>
      <c r="S3683" s="33"/>
      <c r="T3683" s="63"/>
      <c r="U3683" s="33"/>
      <c r="V3683" s="33"/>
      <c r="W3683" s="33"/>
    </row>
    <row r="3684" spans="1:23" ht="16.5" customHeight="1" x14ac:dyDescent="0.2">
      <c r="A3684" s="26"/>
      <c r="B3684" s="26"/>
      <c r="C3684" s="26"/>
      <c r="D3684" s="26"/>
      <c r="E3684" s="26"/>
      <c r="F3684" s="28"/>
      <c r="G3684" s="26"/>
      <c r="H3684" s="32"/>
      <c r="I3684" s="32"/>
      <c r="J3684" s="32"/>
      <c r="K3684" s="32"/>
      <c r="L3684" s="32" t="e">
        <f ca="1">_xludf.ifna(VLOOKUP(E3684,Parámetros!$D$2:$E$34,2,0),"")</f>
        <v>#NAME?</v>
      </c>
      <c r="M3684" s="32" t="e">
        <f ca="1">_xludf.ifna(VLOOKUP(G3684,Proyectos!$A$2:$T$674,20,0),"")</f>
        <v>#NAME?</v>
      </c>
      <c r="N3684" s="32" t="e">
        <f ca="1">_xludf.ifna(VLOOKUP(G3684,Proyectos!$A$2:$S$674,19,0))</f>
        <v>#NAME?</v>
      </c>
      <c r="O3684" s="32"/>
      <c r="P3684" s="32"/>
      <c r="Q3684" s="33"/>
      <c r="R3684" s="33"/>
      <c r="S3684" s="33"/>
      <c r="T3684" s="63"/>
      <c r="U3684" s="33"/>
      <c r="V3684" s="33"/>
      <c r="W3684" s="33"/>
    </row>
    <row r="3685" spans="1:23" ht="16.5" customHeight="1" x14ac:dyDescent="0.2">
      <c r="A3685" s="26"/>
      <c r="B3685" s="26"/>
      <c r="C3685" s="26"/>
      <c r="D3685" s="26"/>
      <c r="E3685" s="26"/>
      <c r="F3685" s="28"/>
      <c r="G3685" s="26"/>
      <c r="H3685" s="32"/>
      <c r="I3685" s="32"/>
      <c r="J3685" s="32"/>
      <c r="K3685" s="32"/>
      <c r="L3685" s="32" t="e">
        <f ca="1">_xludf.ifna(VLOOKUP(E3685,Parámetros!$D$2:$E$34,2,0),"")</f>
        <v>#NAME?</v>
      </c>
      <c r="M3685" s="32" t="e">
        <f ca="1">_xludf.ifna(VLOOKUP(G3685,Proyectos!$A$2:$T$674,20,0),"")</f>
        <v>#NAME?</v>
      </c>
      <c r="N3685" s="32" t="e">
        <f ca="1">_xludf.ifna(VLOOKUP(G3685,Proyectos!$A$2:$S$674,19,0))</f>
        <v>#NAME?</v>
      </c>
      <c r="O3685" s="32"/>
      <c r="P3685" s="32"/>
      <c r="Q3685" s="33"/>
      <c r="R3685" s="33"/>
      <c r="S3685" s="33"/>
      <c r="T3685" s="63"/>
      <c r="U3685" s="33"/>
      <c r="V3685" s="33"/>
      <c r="W3685" s="33"/>
    </row>
    <row r="3686" spans="1:23" ht="16.5" customHeight="1" x14ac:dyDescent="0.2">
      <c r="A3686" s="26"/>
      <c r="B3686" s="26"/>
      <c r="C3686" s="26"/>
      <c r="D3686" s="26"/>
      <c r="E3686" s="26"/>
      <c r="F3686" s="28"/>
      <c r="G3686" s="26"/>
      <c r="H3686" s="32"/>
      <c r="I3686" s="32"/>
      <c r="J3686" s="32"/>
      <c r="K3686" s="32"/>
      <c r="L3686" s="32" t="e">
        <f ca="1">_xludf.ifna(VLOOKUP(E3686,Parámetros!$D$2:$E$34,2,0),"")</f>
        <v>#NAME?</v>
      </c>
      <c r="M3686" s="32" t="e">
        <f ca="1">_xludf.ifna(VLOOKUP(G3686,Proyectos!$A$2:$T$674,20,0),"")</f>
        <v>#NAME?</v>
      </c>
      <c r="N3686" s="32" t="e">
        <f ca="1">_xludf.ifna(VLOOKUP(G3686,Proyectos!$A$2:$S$674,19,0))</f>
        <v>#NAME?</v>
      </c>
      <c r="O3686" s="32"/>
      <c r="P3686" s="32"/>
      <c r="Q3686" s="33"/>
      <c r="R3686" s="33"/>
      <c r="S3686" s="33"/>
      <c r="T3686" s="63"/>
      <c r="U3686" s="33"/>
      <c r="V3686" s="33"/>
      <c r="W3686" s="33"/>
    </row>
    <row r="3687" spans="1:23" ht="16.5" customHeight="1" x14ac:dyDescent="0.2">
      <c r="A3687" s="26"/>
      <c r="B3687" s="26"/>
      <c r="C3687" s="26"/>
      <c r="D3687" s="26"/>
      <c r="E3687" s="26"/>
      <c r="F3687" s="28"/>
      <c r="G3687" s="26"/>
      <c r="H3687" s="32"/>
      <c r="I3687" s="32"/>
      <c r="J3687" s="32"/>
      <c r="K3687" s="32"/>
      <c r="L3687" s="32" t="e">
        <f ca="1">_xludf.ifna(VLOOKUP(E3687,Parámetros!$D$2:$E$34,2,0),"")</f>
        <v>#NAME?</v>
      </c>
      <c r="M3687" s="32" t="e">
        <f ca="1">_xludf.ifna(VLOOKUP(G3687,Proyectos!$A$2:$T$674,20,0),"")</f>
        <v>#NAME?</v>
      </c>
      <c r="N3687" s="32" t="e">
        <f ca="1">_xludf.ifna(VLOOKUP(G3687,Proyectos!$A$2:$S$674,19,0))</f>
        <v>#NAME?</v>
      </c>
      <c r="O3687" s="32"/>
      <c r="P3687" s="32"/>
      <c r="Q3687" s="33"/>
      <c r="R3687" s="33"/>
      <c r="S3687" s="33"/>
      <c r="T3687" s="63"/>
      <c r="U3687" s="33"/>
      <c r="V3687" s="33"/>
      <c r="W3687" s="33"/>
    </row>
    <row r="3688" spans="1:23" ht="16.5" customHeight="1" x14ac:dyDescent="0.2">
      <c r="A3688" s="26"/>
      <c r="B3688" s="26"/>
      <c r="C3688" s="26"/>
      <c r="D3688" s="26"/>
      <c r="E3688" s="26"/>
      <c r="F3688" s="28"/>
      <c r="G3688" s="26"/>
      <c r="H3688" s="32"/>
      <c r="I3688" s="32"/>
      <c r="J3688" s="32"/>
      <c r="K3688" s="32"/>
      <c r="L3688" s="32" t="e">
        <f ca="1">_xludf.ifna(VLOOKUP(E3688,Parámetros!$D$2:$E$34,2,0),"")</f>
        <v>#NAME?</v>
      </c>
      <c r="M3688" s="32" t="e">
        <f ca="1">_xludf.ifna(VLOOKUP(G3688,Proyectos!$A$2:$T$674,20,0),"")</f>
        <v>#NAME?</v>
      </c>
      <c r="N3688" s="32" t="e">
        <f ca="1">_xludf.ifna(VLOOKUP(G3688,Proyectos!$A$2:$S$674,19,0))</f>
        <v>#NAME?</v>
      </c>
      <c r="O3688" s="32"/>
      <c r="P3688" s="32"/>
      <c r="Q3688" s="33"/>
      <c r="R3688" s="33"/>
      <c r="S3688" s="33"/>
      <c r="T3688" s="63"/>
      <c r="U3688" s="33"/>
      <c r="V3688" s="33"/>
      <c r="W3688" s="33"/>
    </row>
    <row r="3689" spans="1:23" ht="16.5" customHeight="1" x14ac:dyDescent="0.2">
      <c r="A3689" s="26"/>
      <c r="B3689" s="26"/>
      <c r="C3689" s="26"/>
      <c r="D3689" s="26"/>
      <c r="E3689" s="26"/>
      <c r="F3689" s="28"/>
      <c r="G3689" s="26"/>
      <c r="H3689" s="32"/>
      <c r="I3689" s="32"/>
      <c r="J3689" s="32"/>
      <c r="K3689" s="32"/>
      <c r="L3689" s="32" t="e">
        <f ca="1">_xludf.ifna(VLOOKUP(E3689,Parámetros!$D$2:$E$34,2,0),"")</f>
        <v>#NAME?</v>
      </c>
      <c r="M3689" s="32" t="e">
        <f ca="1">_xludf.ifna(VLOOKUP(G3689,Proyectos!$A$2:$T$674,20,0),"")</f>
        <v>#NAME?</v>
      </c>
      <c r="N3689" s="32" t="e">
        <f ca="1">_xludf.ifna(VLOOKUP(G3689,Proyectos!$A$2:$S$674,19,0))</f>
        <v>#NAME?</v>
      </c>
      <c r="O3689" s="32"/>
      <c r="P3689" s="32"/>
      <c r="Q3689" s="33"/>
      <c r="R3689" s="33"/>
      <c r="S3689" s="33"/>
      <c r="T3689" s="63"/>
      <c r="U3689" s="33"/>
      <c r="V3689" s="33"/>
      <c r="W3689" s="33"/>
    </row>
    <row r="3690" spans="1:23" ht="16.5" customHeight="1" x14ac:dyDescent="0.2">
      <c r="A3690" s="26"/>
      <c r="B3690" s="26"/>
      <c r="C3690" s="26"/>
      <c r="D3690" s="26"/>
      <c r="E3690" s="26"/>
      <c r="F3690" s="28"/>
      <c r="G3690" s="26"/>
      <c r="H3690" s="32"/>
      <c r="I3690" s="32"/>
      <c r="J3690" s="32"/>
      <c r="K3690" s="32"/>
      <c r="L3690" s="32" t="e">
        <f ca="1">_xludf.ifna(VLOOKUP(E3690,Parámetros!$D$2:$E$34,2,0),"")</f>
        <v>#NAME?</v>
      </c>
      <c r="M3690" s="32" t="e">
        <f ca="1">_xludf.ifna(VLOOKUP(G3690,Proyectos!$A$2:$T$674,20,0),"")</f>
        <v>#NAME?</v>
      </c>
      <c r="N3690" s="32" t="e">
        <f ca="1">_xludf.ifna(VLOOKUP(G3690,Proyectos!$A$2:$S$674,19,0))</f>
        <v>#NAME?</v>
      </c>
      <c r="O3690" s="32"/>
      <c r="P3690" s="32"/>
      <c r="Q3690" s="33"/>
      <c r="R3690" s="33"/>
      <c r="S3690" s="33"/>
      <c r="T3690" s="63"/>
      <c r="U3690" s="33"/>
      <c r="V3690" s="33"/>
      <c r="W3690" s="33"/>
    </row>
    <row r="3691" spans="1:23" ht="16.5" customHeight="1" x14ac:dyDescent="0.2">
      <c r="A3691" s="26"/>
      <c r="B3691" s="26"/>
      <c r="C3691" s="26"/>
      <c r="D3691" s="26"/>
      <c r="E3691" s="26"/>
      <c r="F3691" s="28"/>
      <c r="G3691" s="26"/>
      <c r="H3691" s="32"/>
      <c r="I3691" s="32"/>
      <c r="J3691" s="32"/>
      <c r="K3691" s="32"/>
      <c r="L3691" s="32" t="e">
        <f ca="1">_xludf.ifna(VLOOKUP(E3691,Parámetros!$D$2:$E$34,2,0),"")</f>
        <v>#NAME?</v>
      </c>
      <c r="M3691" s="32" t="e">
        <f ca="1">_xludf.ifna(VLOOKUP(G3691,Proyectos!$A$2:$T$674,20,0),"")</f>
        <v>#NAME?</v>
      </c>
      <c r="N3691" s="32" t="e">
        <f ca="1">_xludf.ifna(VLOOKUP(G3691,Proyectos!$A$2:$S$674,19,0))</f>
        <v>#NAME?</v>
      </c>
      <c r="O3691" s="32"/>
      <c r="P3691" s="32"/>
      <c r="Q3691" s="33"/>
      <c r="R3691" s="33"/>
      <c r="S3691" s="33"/>
      <c r="T3691" s="63"/>
      <c r="U3691" s="33"/>
      <c r="V3691" s="33"/>
      <c r="W3691" s="33"/>
    </row>
    <row r="3692" spans="1:23" ht="16.5" customHeight="1" x14ac:dyDescent="0.2">
      <c r="A3692" s="26"/>
      <c r="B3692" s="26"/>
      <c r="C3692" s="26"/>
      <c r="D3692" s="26"/>
      <c r="E3692" s="26"/>
      <c r="F3692" s="28"/>
      <c r="G3692" s="26"/>
      <c r="H3692" s="32"/>
      <c r="I3692" s="32"/>
      <c r="J3692" s="32"/>
      <c r="K3692" s="32"/>
      <c r="L3692" s="32" t="e">
        <f ca="1">_xludf.ifna(VLOOKUP(E3692,Parámetros!$D$2:$E$34,2,0),"")</f>
        <v>#NAME?</v>
      </c>
      <c r="M3692" s="32" t="e">
        <f ca="1">_xludf.ifna(VLOOKUP(G3692,Proyectos!$A$2:$T$674,20,0),"")</f>
        <v>#NAME?</v>
      </c>
      <c r="N3692" s="32" t="e">
        <f ca="1">_xludf.ifna(VLOOKUP(G3692,Proyectos!$A$2:$S$674,19,0))</f>
        <v>#NAME?</v>
      </c>
      <c r="O3692" s="32"/>
      <c r="P3692" s="32"/>
      <c r="Q3692" s="33"/>
      <c r="R3692" s="33"/>
      <c r="S3692" s="33"/>
      <c r="T3692" s="63"/>
      <c r="U3692" s="33"/>
      <c r="V3692" s="33"/>
      <c r="W3692" s="33"/>
    </row>
    <row r="3693" spans="1:23" ht="16.5" customHeight="1" x14ac:dyDescent="0.2">
      <c r="A3693" s="26"/>
      <c r="B3693" s="26"/>
      <c r="C3693" s="26"/>
      <c r="D3693" s="26"/>
      <c r="E3693" s="26"/>
      <c r="F3693" s="28"/>
      <c r="G3693" s="26"/>
      <c r="H3693" s="32"/>
      <c r="I3693" s="32"/>
      <c r="J3693" s="32"/>
      <c r="K3693" s="32"/>
      <c r="L3693" s="32" t="e">
        <f ca="1">_xludf.ifna(VLOOKUP(E3693,Parámetros!$D$2:$E$34,2,0),"")</f>
        <v>#NAME?</v>
      </c>
      <c r="M3693" s="32" t="e">
        <f ca="1">_xludf.ifna(VLOOKUP(G3693,Proyectos!$A$2:$T$674,20,0),"")</f>
        <v>#NAME?</v>
      </c>
      <c r="N3693" s="32" t="e">
        <f ca="1">_xludf.ifna(VLOOKUP(G3693,Proyectos!$A$2:$S$674,19,0))</f>
        <v>#NAME?</v>
      </c>
      <c r="O3693" s="32"/>
      <c r="P3693" s="32"/>
      <c r="Q3693" s="33"/>
      <c r="R3693" s="33"/>
      <c r="S3693" s="33"/>
      <c r="T3693" s="63"/>
      <c r="U3693" s="33"/>
      <c r="V3693" s="33"/>
      <c r="W3693" s="33"/>
    </row>
    <row r="3694" spans="1:23" ht="16.5" customHeight="1" x14ac:dyDescent="0.2">
      <c r="A3694" s="26"/>
      <c r="B3694" s="26"/>
      <c r="C3694" s="26"/>
      <c r="D3694" s="26"/>
      <c r="E3694" s="26"/>
      <c r="F3694" s="28"/>
      <c r="G3694" s="26"/>
      <c r="H3694" s="32"/>
      <c r="I3694" s="32"/>
      <c r="J3694" s="32"/>
      <c r="K3694" s="32"/>
      <c r="L3694" s="32" t="e">
        <f ca="1">_xludf.ifna(VLOOKUP(E3694,Parámetros!$D$2:$E$34,2,0),"")</f>
        <v>#NAME?</v>
      </c>
      <c r="M3694" s="32" t="e">
        <f ca="1">_xludf.ifna(VLOOKUP(G3694,Proyectos!$A$2:$T$674,20,0),"")</f>
        <v>#NAME?</v>
      </c>
      <c r="N3694" s="32" t="e">
        <f ca="1">_xludf.ifna(VLOOKUP(G3694,Proyectos!$A$2:$S$674,19,0))</f>
        <v>#NAME?</v>
      </c>
      <c r="O3694" s="32"/>
      <c r="P3694" s="32"/>
      <c r="Q3694" s="33"/>
      <c r="R3694" s="33"/>
      <c r="S3694" s="33"/>
      <c r="T3694" s="63"/>
      <c r="U3694" s="33"/>
      <c r="V3694" s="33"/>
      <c r="W3694" s="33"/>
    </row>
    <row r="3695" spans="1:23" ht="16.5" customHeight="1" x14ac:dyDescent="0.2">
      <c r="A3695" s="26"/>
      <c r="B3695" s="26"/>
      <c r="C3695" s="26"/>
      <c r="D3695" s="26"/>
      <c r="E3695" s="26"/>
      <c r="F3695" s="28"/>
      <c r="G3695" s="26"/>
      <c r="H3695" s="32"/>
      <c r="I3695" s="32"/>
      <c r="J3695" s="32"/>
      <c r="K3695" s="32"/>
      <c r="L3695" s="32" t="e">
        <f ca="1">_xludf.ifna(VLOOKUP(E3695,Parámetros!$D$2:$E$34,2,0),"")</f>
        <v>#NAME?</v>
      </c>
      <c r="M3695" s="32" t="e">
        <f ca="1">_xludf.ifna(VLOOKUP(G3695,Proyectos!$A$2:$T$674,20,0),"")</f>
        <v>#NAME?</v>
      </c>
      <c r="N3695" s="32" t="e">
        <f ca="1">_xludf.ifna(VLOOKUP(G3695,Proyectos!$A$2:$S$674,19,0))</f>
        <v>#NAME?</v>
      </c>
      <c r="O3695" s="32"/>
      <c r="P3695" s="32"/>
      <c r="Q3695" s="33"/>
      <c r="R3695" s="33"/>
      <c r="S3695" s="33"/>
      <c r="T3695" s="63"/>
      <c r="U3695" s="33"/>
      <c r="V3695" s="33"/>
      <c r="W3695" s="33"/>
    </row>
    <row r="3696" spans="1:23" ht="16.5" customHeight="1" x14ac:dyDescent="0.2">
      <c r="A3696" s="26"/>
      <c r="B3696" s="26"/>
      <c r="C3696" s="26"/>
      <c r="D3696" s="26"/>
      <c r="E3696" s="26"/>
      <c r="F3696" s="28"/>
      <c r="G3696" s="26"/>
      <c r="H3696" s="32"/>
      <c r="I3696" s="32"/>
      <c r="J3696" s="32"/>
      <c r="K3696" s="32"/>
      <c r="L3696" s="32" t="e">
        <f ca="1">_xludf.ifna(VLOOKUP(E3696,Parámetros!$D$2:$E$34,2,0),"")</f>
        <v>#NAME?</v>
      </c>
      <c r="M3696" s="32" t="e">
        <f ca="1">_xludf.ifna(VLOOKUP(G3696,Proyectos!$A$2:$T$674,20,0),"")</f>
        <v>#NAME?</v>
      </c>
      <c r="N3696" s="32" t="e">
        <f ca="1">_xludf.ifna(VLOOKUP(G3696,Proyectos!$A$2:$S$674,19,0))</f>
        <v>#NAME?</v>
      </c>
      <c r="O3696" s="32"/>
      <c r="P3696" s="32"/>
      <c r="Q3696" s="33"/>
      <c r="R3696" s="33"/>
      <c r="S3696" s="33"/>
      <c r="T3696" s="63"/>
      <c r="U3696" s="33"/>
      <c r="V3696" s="33"/>
      <c r="W3696" s="33"/>
    </row>
    <row r="3697" spans="1:23" ht="16.5" customHeight="1" x14ac:dyDescent="0.2">
      <c r="A3697" s="26"/>
      <c r="B3697" s="26"/>
      <c r="C3697" s="26"/>
      <c r="D3697" s="26"/>
      <c r="E3697" s="26"/>
      <c r="F3697" s="28"/>
      <c r="G3697" s="26"/>
      <c r="H3697" s="32"/>
      <c r="I3697" s="32"/>
      <c r="J3697" s="32"/>
      <c r="K3697" s="32"/>
      <c r="L3697" s="32" t="e">
        <f ca="1">_xludf.ifna(VLOOKUP(E3697,Parámetros!$D$2:$E$34,2,0),"")</f>
        <v>#NAME?</v>
      </c>
      <c r="M3697" s="32" t="e">
        <f ca="1">_xludf.ifna(VLOOKUP(G3697,Proyectos!$A$2:$T$674,20,0),"")</f>
        <v>#NAME?</v>
      </c>
      <c r="N3697" s="32" t="e">
        <f ca="1">_xludf.ifna(VLOOKUP(G3697,Proyectos!$A$2:$S$674,19,0))</f>
        <v>#NAME?</v>
      </c>
      <c r="O3697" s="32"/>
      <c r="P3697" s="32"/>
      <c r="Q3697" s="33"/>
      <c r="R3697" s="33"/>
      <c r="S3697" s="33"/>
      <c r="T3697" s="63"/>
      <c r="U3697" s="33"/>
      <c r="V3697" s="33"/>
      <c r="W3697" s="33"/>
    </row>
    <row r="3698" spans="1:23" ht="16.5" customHeight="1" x14ac:dyDescent="0.2">
      <c r="A3698" s="26"/>
      <c r="B3698" s="26"/>
      <c r="C3698" s="26"/>
      <c r="D3698" s="26"/>
      <c r="E3698" s="26"/>
      <c r="F3698" s="28"/>
      <c r="G3698" s="26"/>
      <c r="H3698" s="32"/>
      <c r="I3698" s="32"/>
      <c r="J3698" s="32"/>
      <c r="K3698" s="32"/>
      <c r="L3698" s="32" t="e">
        <f ca="1">_xludf.ifna(VLOOKUP(E3698,Parámetros!$D$2:$E$34,2,0),"")</f>
        <v>#NAME?</v>
      </c>
      <c r="M3698" s="32" t="e">
        <f ca="1">_xludf.ifna(VLOOKUP(G3698,Proyectos!$A$2:$T$674,20,0),"")</f>
        <v>#NAME?</v>
      </c>
      <c r="N3698" s="32" t="e">
        <f ca="1">_xludf.ifna(VLOOKUP(G3698,Proyectos!$A$2:$S$674,19,0))</f>
        <v>#NAME?</v>
      </c>
      <c r="O3698" s="32"/>
      <c r="P3698" s="32"/>
      <c r="Q3698" s="33"/>
      <c r="R3698" s="33"/>
      <c r="S3698" s="33"/>
      <c r="T3698" s="63"/>
      <c r="U3698" s="33"/>
      <c r="V3698" s="33"/>
      <c r="W3698" s="33"/>
    </row>
    <row r="3699" spans="1:23" ht="16.5" customHeight="1" x14ac:dyDescent="0.2">
      <c r="A3699" s="26"/>
      <c r="B3699" s="26"/>
      <c r="C3699" s="26"/>
      <c r="D3699" s="26"/>
      <c r="E3699" s="26"/>
      <c r="F3699" s="28"/>
      <c r="G3699" s="26"/>
      <c r="H3699" s="32"/>
      <c r="I3699" s="32"/>
      <c r="J3699" s="32"/>
      <c r="K3699" s="32"/>
      <c r="L3699" s="32" t="e">
        <f ca="1">_xludf.ifna(VLOOKUP(E3699,Parámetros!$D$2:$E$34,2,0),"")</f>
        <v>#NAME?</v>
      </c>
      <c r="M3699" s="32" t="e">
        <f ca="1">_xludf.ifna(VLOOKUP(G3699,Proyectos!$A$2:$T$674,20,0),"")</f>
        <v>#NAME?</v>
      </c>
      <c r="N3699" s="32" t="e">
        <f ca="1">_xludf.ifna(VLOOKUP(G3699,Proyectos!$A$2:$S$674,19,0))</f>
        <v>#NAME?</v>
      </c>
      <c r="O3699" s="32"/>
      <c r="P3699" s="32"/>
      <c r="Q3699" s="33"/>
      <c r="R3699" s="33"/>
      <c r="S3699" s="33"/>
      <c r="T3699" s="63"/>
      <c r="U3699" s="33"/>
      <c r="V3699" s="33"/>
      <c r="W3699" s="33"/>
    </row>
    <row r="3700" spans="1:23" ht="16.5" customHeight="1" x14ac:dyDescent="0.2">
      <c r="A3700" s="26"/>
      <c r="B3700" s="26"/>
      <c r="C3700" s="26"/>
      <c r="D3700" s="26"/>
      <c r="E3700" s="26"/>
      <c r="F3700" s="28"/>
      <c r="G3700" s="26"/>
      <c r="H3700" s="32"/>
      <c r="I3700" s="32"/>
      <c r="J3700" s="32"/>
      <c r="K3700" s="32"/>
      <c r="L3700" s="32" t="e">
        <f ca="1">_xludf.ifna(VLOOKUP(E3700,Parámetros!$D$2:$E$34,2,0),"")</f>
        <v>#NAME?</v>
      </c>
      <c r="M3700" s="32" t="e">
        <f ca="1">_xludf.ifna(VLOOKUP(G3700,Proyectos!$A$2:$T$674,20,0),"")</f>
        <v>#NAME?</v>
      </c>
      <c r="N3700" s="32" t="e">
        <f ca="1">_xludf.ifna(VLOOKUP(G3700,Proyectos!$A$2:$S$674,19,0))</f>
        <v>#NAME?</v>
      </c>
      <c r="O3700" s="32"/>
      <c r="P3700" s="32"/>
      <c r="Q3700" s="33"/>
      <c r="R3700" s="33"/>
      <c r="S3700" s="33"/>
      <c r="T3700" s="63"/>
      <c r="U3700" s="33"/>
      <c r="V3700" s="33"/>
      <c r="W3700" s="33"/>
    </row>
    <row r="3701" spans="1:23" ht="16.5" customHeight="1" x14ac:dyDescent="0.2">
      <c r="A3701" s="26"/>
      <c r="B3701" s="26"/>
      <c r="C3701" s="26"/>
      <c r="D3701" s="26"/>
      <c r="E3701" s="26"/>
      <c r="F3701" s="28"/>
      <c r="G3701" s="26"/>
      <c r="H3701" s="32"/>
      <c r="I3701" s="32"/>
      <c r="J3701" s="32"/>
      <c r="K3701" s="32"/>
      <c r="L3701" s="32" t="e">
        <f ca="1">_xludf.ifna(VLOOKUP(E3701,Parámetros!$D$2:$E$34,2,0),"")</f>
        <v>#NAME?</v>
      </c>
      <c r="M3701" s="32" t="e">
        <f ca="1">_xludf.ifna(VLOOKUP(G3701,Proyectos!$A$2:$T$674,20,0),"")</f>
        <v>#NAME?</v>
      </c>
      <c r="N3701" s="32" t="e">
        <f ca="1">_xludf.ifna(VLOOKUP(G3701,Proyectos!$A$2:$S$674,19,0))</f>
        <v>#NAME?</v>
      </c>
      <c r="O3701" s="32"/>
      <c r="P3701" s="32"/>
      <c r="Q3701" s="33"/>
      <c r="R3701" s="33"/>
      <c r="S3701" s="33"/>
      <c r="T3701" s="63"/>
      <c r="U3701" s="33"/>
      <c r="V3701" s="33"/>
      <c r="W3701" s="33"/>
    </row>
    <row r="3702" spans="1:23" ht="16.5" customHeight="1" x14ac:dyDescent="0.2">
      <c r="A3702" s="26"/>
      <c r="B3702" s="26"/>
      <c r="C3702" s="26"/>
      <c r="D3702" s="26"/>
      <c r="E3702" s="26"/>
      <c r="F3702" s="28"/>
      <c r="G3702" s="26"/>
      <c r="H3702" s="32"/>
      <c r="I3702" s="32"/>
      <c r="J3702" s="32"/>
      <c r="K3702" s="32"/>
      <c r="L3702" s="32" t="e">
        <f ca="1">_xludf.ifna(VLOOKUP(E3702,Parámetros!$D$2:$E$34,2,0),"")</f>
        <v>#NAME?</v>
      </c>
      <c r="M3702" s="32" t="e">
        <f ca="1">_xludf.ifna(VLOOKUP(G3702,Proyectos!$A$2:$T$674,20,0),"")</f>
        <v>#NAME?</v>
      </c>
      <c r="N3702" s="32" t="e">
        <f ca="1">_xludf.ifna(VLOOKUP(G3702,Proyectos!$A$2:$S$674,19,0))</f>
        <v>#NAME?</v>
      </c>
      <c r="O3702" s="32"/>
      <c r="P3702" s="32"/>
      <c r="Q3702" s="33"/>
      <c r="R3702" s="33"/>
      <c r="S3702" s="33"/>
      <c r="T3702" s="63"/>
      <c r="U3702" s="33"/>
      <c r="V3702" s="33"/>
      <c r="W3702" s="33"/>
    </row>
    <row r="3703" spans="1:23" ht="16.5" customHeight="1" x14ac:dyDescent="0.2">
      <c r="A3703" s="26"/>
      <c r="B3703" s="26"/>
      <c r="C3703" s="26"/>
      <c r="D3703" s="26"/>
      <c r="E3703" s="26"/>
      <c r="F3703" s="28"/>
      <c r="G3703" s="26"/>
      <c r="H3703" s="32"/>
      <c r="I3703" s="32"/>
      <c r="J3703" s="32"/>
      <c r="K3703" s="32"/>
      <c r="L3703" s="32" t="e">
        <f ca="1">_xludf.ifna(VLOOKUP(E3703,Parámetros!$D$2:$E$34,2,0),"")</f>
        <v>#NAME?</v>
      </c>
      <c r="M3703" s="32" t="e">
        <f ca="1">_xludf.ifna(VLOOKUP(G3703,Proyectos!$A$2:$T$674,20,0),"")</f>
        <v>#NAME?</v>
      </c>
      <c r="N3703" s="32" t="e">
        <f ca="1">_xludf.ifna(VLOOKUP(G3703,Proyectos!$A$2:$S$674,19,0))</f>
        <v>#NAME?</v>
      </c>
      <c r="O3703" s="32"/>
      <c r="P3703" s="32"/>
      <c r="Q3703" s="33"/>
      <c r="R3703" s="33"/>
      <c r="S3703" s="33"/>
      <c r="T3703" s="63"/>
      <c r="U3703" s="33"/>
      <c r="V3703" s="33"/>
      <c r="W3703" s="33"/>
    </row>
    <row r="3704" spans="1:23" ht="16.5" customHeight="1" x14ac:dyDescent="0.2">
      <c r="A3704" s="26"/>
      <c r="B3704" s="26"/>
      <c r="C3704" s="26"/>
      <c r="D3704" s="26"/>
      <c r="E3704" s="26"/>
      <c r="F3704" s="28"/>
      <c r="G3704" s="26"/>
      <c r="H3704" s="32"/>
      <c r="I3704" s="32"/>
      <c r="J3704" s="32"/>
      <c r="K3704" s="32"/>
      <c r="L3704" s="32" t="e">
        <f ca="1">_xludf.ifna(VLOOKUP(E3704,Parámetros!$D$2:$E$34,2,0),"")</f>
        <v>#NAME?</v>
      </c>
      <c r="M3704" s="32" t="e">
        <f ca="1">_xludf.ifna(VLOOKUP(G3704,Proyectos!$A$2:$T$674,20,0),"")</f>
        <v>#NAME?</v>
      </c>
      <c r="N3704" s="32" t="e">
        <f ca="1">_xludf.ifna(VLOOKUP(G3704,Proyectos!$A$2:$S$674,19,0))</f>
        <v>#NAME?</v>
      </c>
      <c r="O3704" s="32"/>
      <c r="P3704" s="32"/>
      <c r="Q3704" s="33"/>
      <c r="R3704" s="33"/>
      <c r="S3704" s="33"/>
      <c r="T3704" s="63"/>
      <c r="U3704" s="33"/>
      <c r="V3704" s="33"/>
      <c r="W3704" s="33"/>
    </row>
    <row r="3705" spans="1:23" ht="16.5" customHeight="1" x14ac:dyDescent="0.2">
      <c r="A3705" s="26"/>
      <c r="B3705" s="26"/>
      <c r="C3705" s="26"/>
      <c r="D3705" s="26"/>
      <c r="E3705" s="26"/>
      <c r="F3705" s="28"/>
      <c r="G3705" s="26"/>
      <c r="H3705" s="32"/>
      <c r="I3705" s="32"/>
      <c r="J3705" s="32"/>
      <c r="K3705" s="32"/>
      <c r="L3705" s="32" t="e">
        <f ca="1">_xludf.ifna(VLOOKUP(E3705,Parámetros!$D$2:$E$34,2,0),"")</f>
        <v>#NAME?</v>
      </c>
      <c r="M3705" s="32" t="e">
        <f ca="1">_xludf.ifna(VLOOKUP(G3705,Proyectos!$A$2:$T$674,20,0),"")</f>
        <v>#NAME?</v>
      </c>
      <c r="N3705" s="32" t="e">
        <f ca="1">_xludf.ifna(VLOOKUP(G3705,Proyectos!$A$2:$S$674,19,0))</f>
        <v>#NAME?</v>
      </c>
      <c r="O3705" s="32"/>
      <c r="P3705" s="32"/>
      <c r="Q3705" s="33"/>
      <c r="R3705" s="33"/>
      <c r="S3705" s="33"/>
      <c r="T3705" s="63"/>
      <c r="U3705" s="33"/>
      <c r="V3705" s="33"/>
      <c r="W3705" s="33"/>
    </row>
    <row r="3706" spans="1:23" ht="16.5" customHeight="1" x14ac:dyDescent="0.2">
      <c r="A3706" s="26"/>
      <c r="B3706" s="26"/>
      <c r="C3706" s="26"/>
      <c r="D3706" s="26"/>
      <c r="E3706" s="26"/>
      <c r="F3706" s="28"/>
      <c r="G3706" s="26"/>
      <c r="H3706" s="32"/>
      <c r="I3706" s="32"/>
      <c r="J3706" s="32"/>
      <c r="K3706" s="32"/>
      <c r="L3706" s="32" t="e">
        <f ca="1">_xludf.ifna(VLOOKUP(E3706,Parámetros!$D$2:$E$34,2,0),"")</f>
        <v>#NAME?</v>
      </c>
      <c r="M3706" s="32" t="e">
        <f ca="1">_xludf.ifna(VLOOKUP(G3706,Proyectos!$A$2:$T$674,20,0),"")</f>
        <v>#NAME?</v>
      </c>
      <c r="N3706" s="32" t="e">
        <f ca="1">_xludf.ifna(VLOOKUP(G3706,Proyectos!$A$2:$S$674,19,0))</f>
        <v>#NAME?</v>
      </c>
      <c r="O3706" s="32"/>
      <c r="P3706" s="32"/>
      <c r="Q3706" s="33"/>
      <c r="R3706" s="33"/>
      <c r="S3706" s="33"/>
      <c r="T3706" s="63"/>
      <c r="U3706" s="33"/>
      <c r="V3706" s="33"/>
      <c r="W3706" s="33"/>
    </row>
    <row r="3707" spans="1:23" ht="16.5" customHeight="1" x14ac:dyDescent="0.2">
      <c r="A3707" s="26"/>
      <c r="B3707" s="26"/>
      <c r="C3707" s="26"/>
      <c r="D3707" s="26"/>
      <c r="E3707" s="26"/>
      <c r="F3707" s="28"/>
      <c r="G3707" s="26"/>
      <c r="H3707" s="32"/>
      <c r="I3707" s="32"/>
      <c r="J3707" s="32"/>
      <c r="K3707" s="32"/>
      <c r="L3707" s="32" t="e">
        <f ca="1">_xludf.ifna(VLOOKUP(E3707,Parámetros!$D$2:$E$34,2,0),"")</f>
        <v>#NAME?</v>
      </c>
      <c r="M3707" s="32" t="e">
        <f ca="1">_xludf.ifna(VLOOKUP(G3707,Proyectos!$A$2:$T$674,20,0),"")</f>
        <v>#NAME?</v>
      </c>
      <c r="N3707" s="32" t="e">
        <f ca="1">_xludf.ifna(VLOOKUP(G3707,Proyectos!$A$2:$S$674,19,0))</f>
        <v>#NAME?</v>
      </c>
      <c r="O3707" s="32"/>
      <c r="P3707" s="32"/>
      <c r="Q3707" s="33"/>
      <c r="R3707" s="33"/>
      <c r="S3707" s="33"/>
      <c r="T3707" s="63"/>
      <c r="U3707" s="33"/>
      <c r="V3707" s="33"/>
      <c r="W3707" s="33"/>
    </row>
    <row r="3708" spans="1:23" ht="16.5" customHeight="1" x14ac:dyDescent="0.2">
      <c r="A3708" s="26"/>
      <c r="B3708" s="26"/>
      <c r="C3708" s="26"/>
      <c r="D3708" s="26"/>
      <c r="E3708" s="26"/>
      <c r="F3708" s="28"/>
      <c r="G3708" s="26"/>
      <c r="H3708" s="32"/>
      <c r="I3708" s="32"/>
      <c r="J3708" s="32"/>
      <c r="K3708" s="32"/>
      <c r="L3708" s="32" t="e">
        <f ca="1">_xludf.ifna(VLOOKUP(E3708,Parámetros!$D$2:$E$34,2,0),"")</f>
        <v>#NAME?</v>
      </c>
      <c r="M3708" s="32" t="e">
        <f ca="1">_xludf.ifna(VLOOKUP(G3708,Proyectos!$A$2:$T$674,20,0),"")</f>
        <v>#NAME?</v>
      </c>
      <c r="N3708" s="32" t="e">
        <f ca="1">_xludf.ifna(VLOOKUP(G3708,Proyectos!$A$2:$S$674,19,0))</f>
        <v>#NAME?</v>
      </c>
      <c r="O3708" s="32"/>
      <c r="P3708" s="32"/>
      <c r="Q3708" s="33"/>
      <c r="R3708" s="33"/>
      <c r="S3708" s="33"/>
      <c r="T3708" s="63"/>
      <c r="U3708" s="33"/>
      <c r="V3708" s="33"/>
      <c r="W3708" s="33"/>
    </row>
    <row r="3709" spans="1:23" ht="16.5" customHeight="1" x14ac:dyDescent="0.2">
      <c r="A3709" s="26"/>
      <c r="B3709" s="26"/>
      <c r="C3709" s="26"/>
      <c r="D3709" s="26"/>
      <c r="E3709" s="26"/>
      <c r="F3709" s="28"/>
      <c r="G3709" s="26"/>
      <c r="H3709" s="32"/>
      <c r="I3709" s="32"/>
      <c r="J3709" s="32"/>
      <c r="K3709" s="32"/>
      <c r="L3709" s="32" t="e">
        <f ca="1">_xludf.ifna(VLOOKUP(E3709,Parámetros!$D$2:$E$34,2,0),"")</f>
        <v>#NAME?</v>
      </c>
      <c r="M3709" s="32" t="e">
        <f ca="1">_xludf.ifna(VLOOKUP(G3709,Proyectos!$A$2:$T$674,20,0),"")</f>
        <v>#NAME?</v>
      </c>
      <c r="N3709" s="32" t="e">
        <f ca="1">_xludf.ifna(VLOOKUP(G3709,Proyectos!$A$2:$S$674,19,0))</f>
        <v>#NAME?</v>
      </c>
      <c r="O3709" s="32"/>
      <c r="P3709" s="32"/>
      <c r="Q3709" s="33"/>
      <c r="R3709" s="33"/>
      <c r="S3709" s="33"/>
      <c r="T3709" s="63"/>
      <c r="U3709" s="33"/>
      <c r="V3709" s="33"/>
      <c r="W3709" s="33"/>
    </row>
    <row r="3710" spans="1:23" ht="16.5" customHeight="1" x14ac:dyDescent="0.2">
      <c r="A3710" s="26"/>
      <c r="B3710" s="26"/>
      <c r="C3710" s="26"/>
      <c r="D3710" s="26"/>
      <c r="E3710" s="26"/>
      <c r="F3710" s="28"/>
      <c r="G3710" s="26"/>
      <c r="H3710" s="32"/>
      <c r="I3710" s="32"/>
      <c r="J3710" s="32"/>
      <c r="K3710" s="32"/>
      <c r="L3710" s="32" t="e">
        <f ca="1">_xludf.ifna(VLOOKUP(E3710,Parámetros!$D$2:$E$34,2,0),"")</f>
        <v>#NAME?</v>
      </c>
      <c r="M3710" s="32" t="e">
        <f ca="1">_xludf.ifna(VLOOKUP(G3710,Proyectos!$A$2:$T$674,20,0),"")</f>
        <v>#NAME?</v>
      </c>
      <c r="N3710" s="32" t="e">
        <f ca="1">_xludf.ifna(VLOOKUP(G3710,Proyectos!$A$2:$S$674,19,0))</f>
        <v>#NAME?</v>
      </c>
      <c r="O3710" s="32"/>
      <c r="P3710" s="32"/>
      <c r="Q3710" s="33"/>
      <c r="R3710" s="33"/>
      <c r="S3710" s="33"/>
      <c r="T3710" s="63"/>
      <c r="U3710" s="33"/>
      <c r="V3710" s="33"/>
      <c r="W3710" s="33"/>
    </row>
    <row r="3711" spans="1:23" ht="16.5" customHeight="1" x14ac:dyDescent="0.2">
      <c r="A3711" s="26"/>
      <c r="B3711" s="26"/>
      <c r="C3711" s="26"/>
      <c r="D3711" s="26"/>
      <c r="E3711" s="26"/>
      <c r="F3711" s="28"/>
      <c r="G3711" s="26"/>
      <c r="H3711" s="32"/>
      <c r="I3711" s="32"/>
      <c r="J3711" s="32"/>
      <c r="K3711" s="32"/>
      <c r="L3711" s="32" t="e">
        <f ca="1">_xludf.ifna(VLOOKUP(E3711,Parámetros!$D$2:$E$34,2,0),"")</f>
        <v>#NAME?</v>
      </c>
      <c r="M3711" s="32" t="e">
        <f ca="1">_xludf.ifna(VLOOKUP(G3711,Proyectos!$A$2:$T$674,20,0),"")</f>
        <v>#NAME?</v>
      </c>
      <c r="N3711" s="32" t="e">
        <f ca="1">_xludf.ifna(VLOOKUP(G3711,Proyectos!$A$2:$S$674,19,0))</f>
        <v>#NAME?</v>
      </c>
      <c r="O3711" s="32"/>
      <c r="P3711" s="32"/>
      <c r="Q3711" s="33"/>
      <c r="R3711" s="33"/>
      <c r="S3711" s="33"/>
      <c r="T3711" s="63"/>
      <c r="U3711" s="33"/>
      <c r="V3711" s="33"/>
      <c r="W3711" s="33"/>
    </row>
    <row r="3712" spans="1:23" ht="16.5" customHeight="1" x14ac:dyDescent="0.2">
      <c r="A3712" s="26"/>
      <c r="B3712" s="26"/>
      <c r="C3712" s="26"/>
      <c r="D3712" s="26"/>
      <c r="E3712" s="26"/>
      <c r="F3712" s="28"/>
      <c r="G3712" s="26"/>
      <c r="H3712" s="32"/>
      <c r="I3712" s="32"/>
      <c r="J3712" s="32"/>
      <c r="K3712" s="32"/>
      <c r="L3712" s="32" t="e">
        <f ca="1">_xludf.ifna(VLOOKUP(E3712,Parámetros!$D$2:$E$34,2,0),"")</f>
        <v>#NAME?</v>
      </c>
      <c r="M3712" s="32" t="e">
        <f ca="1">_xludf.ifna(VLOOKUP(G3712,Proyectos!$A$2:$T$674,20,0),"")</f>
        <v>#NAME?</v>
      </c>
      <c r="N3712" s="32" t="e">
        <f ca="1">_xludf.ifna(VLOOKUP(G3712,Proyectos!$A$2:$S$674,19,0))</f>
        <v>#NAME?</v>
      </c>
      <c r="O3712" s="32"/>
      <c r="P3712" s="32"/>
      <c r="Q3712" s="33"/>
      <c r="R3712" s="33"/>
      <c r="S3712" s="33"/>
      <c r="T3712" s="63"/>
      <c r="U3712" s="33"/>
      <c r="V3712" s="33"/>
      <c r="W3712" s="33"/>
    </row>
    <row r="3713" spans="1:23" ht="16.5" customHeight="1" x14ac:dyDescent="0.2">
      <c r="A3713" s="26"/>
      <c r="B3713" s="26"/>
      <c r="C3713" s="26"/>
      <c r="D3713" s="26"/>
      <c r="E3713" s="26"/>
      <c r="F3713" s="28"/>
      <c r="G3713" s="26"/>
      <c r="H3713" s="32"/>
      <c r="I3713" s="32"/>
      <c r="J3713" s="32"/>
      <c r="K3713" s="32"/>
      <c r="L3713" s="32" t="e">
        <f ca="1">_xludf.ifna(VLOOKUP(E3713,Parámetros!$D$2:$E$34,2,0),"")</f>
        <v>#NAME?</v>
      </c>
      <c r="M3713" s="32" t="e">
        <f ca="1">_xludf.ifna(VLOOKUP(G3713,Proyectos!$A$2:$T$674,20,0),"")</f>
        <v>#NAME?</v>
      </c>
      <c r="N3713" s="32" t="e">
        <f ca="1">_xludf.ifna(VLOOKUP(G3713,Proyectos!$A$2:$S$674,19,0))</f>
        <v>#NAME?</v>
      </c>
      <c r="O3713" s="32"/>
      <c r="P3713" s="32"/>
      <c r="Q3713" s="33"/>
      <c r="R3713" s="33"/>
      <c r="S3713" s="33"/>
      <c r="T3713" s="63"/>
      <c r="U3713" s="33"/>
      <c r="V3713" s="33"/>
      <c r="W3713" s="33"/>
    </row>
    <row r="3714" spans="1:23" ht="16.5" customHeight="1" x14ac:dyDescent="0.2">
      <c r="A3714" s="26"/>
      <c r="B3714" s="26"/>
      <c r="C3714" s="26"/>
      <c r="D3714" s="26"/>
      <c r="E3714" s="26"/>
      <c r="F3714" s="28"/>
      <c r="G3714" s="26"/>
      <c r="H3714" s="32"/>
      <c r="I3714" s="32"/>
      <c r="J3714" s="32"/>
      <c r="K3714" s="32"/>
      <c r="L3714" s="32" t="e">
        <f ca="1">_xludf.ifna(VLOOKUP(E3714,Parámetros!$D$2:$E$34,2,0),"")</f>
        <v>#NAME?</v>
      </c>
      <c r="M3714" s="32" t="e">
        <f ca="1">_xludf.ifna(VLOOKUP(G3714,Proyectos!$A$2:$T$674,20,0),"")</f>
        <v>#NAME?</v>
      </c>
      <c r="N3714" s="32" t="e">
        <f ca="1">_xludf.ifna(VLOOKUP(G3714,Proyectos!$A$2:$S$674,19,0))</f>
        <v>#NAME?</v>
      </c>
      <c r="O3714" s="32"/>
      <c r="P3714" s="32"/>
      <c r="Q3714" s="33"/>
      <c r="R3714" s="33"/>
      <c r="S3714" s="33"/>
      <c r="T3714" s="63"/>
      <c r="U3714" s="33"/>
      <c r="V3714" s="33"/>
      <c r="W3714" s="33"/>
    </row>
    <row r="3715" spans="1:23" ht="16.5" customHeight="1" x14ac:dyDescent="0.2">
      <c r="A3715" s="26"/>
      <c r="B3715" s="26"/>
      <c r="C3715" s="26"/>
      <c r="D3715" s="26"/>
      <c r="E3715" s="26"/>
      <c r="F3715" s="28"/>
      <c r="G3715" s="26"/>
      <c r="H3715" s="32"/>
      <c r="I3715" s="32"/>
      <c r="J3715" s="32"/>
      <c r="K3715" s="32"/>
      <c r="L3715" s="32" t="e">
        <f ca="1">_xludf.ifna(VLOOKUP(E3715,Parámetros!$D$2:$E$34,2,0),"")</f>
        <v>#NAME?</v>
      </c>
      <c r="M3715" s="32" t="e">
        <f ca="1">_xludf.ifna(VLOOKUP(G3715,Proyectos!$A$2:$T$674,20,0),"")</f>
        <v>#NAME?</v>
      </c>
      <c r="N3715" s="32" t="e">
        <f ca="1">_xludf.ifna(VLOOKUP(G3715,Proyectos!$A$2:$S$674,19,0))</f>
        <v>#NAME?</v>
      </c>
      <c r="O3715" s="32"/>
      <c r="P3715" s="32"/>
      <c r="Q3715" s="33"/>
      <c r="R3715" s="33"/>
      <c r="S3715" s="33"/>
      <c r="T3715" s="63"/>
      <c r="U3715" s="33"/>
      <c r="V3715" s="33"/>
      <c r="W3715" s="33"/>
    </row>
    <row r="3716" spans="1:23" ht="16.5" customHeight="1" x14ac:dyDescent="0.2">
      <c r="A3716" s="26"/>
      <c r="B3716" s="26"/>
      <c r="C3716" s="26"/>
      <c r="D3716" s="26"/>
      <c r="E3716" s="26"/>
      <c r="F3716" s="28"/>
      <c r="G3716" s="26"/>
      <c r="H3716" s="32"/>
      <c r="I3716" s="32"/>
      <c r="J3716" s="32"/>
      <c r="K3716" s="32"/>
      <c r="L3716" s="32" t="e">
        <f ca="1">_xludf.ifna(VLOOKUP(E3716,Parámetros!$D$2:$E$34,2,0),"")</f>
        <v>#NAME?</v>
      </c>
      <c r="M3716" s="32" t="e">
        <f ca="1">_xludf.ifna(VLOOKUP(G3716,Proyectos!$A$2:$T$674,20,0),"")</f>
        <v>#NAME?</v>
      </c>
      <c r="N3716" s="32" t="e">
        <f ca="1">_xludf.ifna(VLOOKUP(G3716,Proyectos!$A$2:$S$674,19,0))</f>
        <v>#NAME?</v>
      </c>
      <c r="O3716" s="32"/>
      <c r="P3716" s="32"/>
      <c r="Q3716" s="33"/>
      <c r="R3716" s="33"/>
      <c r="S3716" s="33"/>
      <c r="T3716" s="63"/>
      <c r="U3716" s="33"/>
      <c r="V3716" s="33"/>
      <c r="W3716" s="33"/>
    </row>
    <row r="3717" spans="1:23" ht="16.5" customHeight="1" x14ac:dyDescent="0.2">
      <c r="A3717" s="26"/>
      <c r="B3717" s="26"/>
      <c r="C3717" s="26"/>
      <c r="D3717" s="26"/>
      <c r="E3717" s="26"/>
      <c r="F3717" s="28"/>
      <c r="G3717" s="26"/>
      <c r="H3717" s="32"/>
      <c r="I3717" s="32"/>
      <c r="J3717" s="32"/>
      <c r="K3717" s="32"/>
      <c r="L3717" s="32" t="e">
        <f ca="1">_xludf.ifna(VLOOKUP(E3717,Parámetros!$D$2:$E$34,2,0),"")</f>
        <v>#NAME?</v>
      </c>
      <c r="M3717" s="32" t="e">
        <f ca="1">_xludf.ifna(VLOOKUP(G3717,Proyectos!$A$2:$T$674,20,0),"")</f>
        <v>#NAME?</v>
      </c>
      <c r="N3717" s="32" t="e">
        <f ca="1">_xludf.ifna(VLOOKUP(G3717,Proyectos!$A$2:$S$674,19,0))</f>
        <v>#NAME?</v>
      </c>
      <c r="O3717" s="32"/>
      <c r="P3717" s="32"/>
      <c r="Q3717" s="33"/>
      <c r="R3717" s="33"/>
      <c r="S3717" s="33"/>
      <c r="T3717" s="63"/>
      <c r="U3717" s="33"/>
      <c r="V3717" s="33"/>
      <c r="W3717" s="33"/>
    </row>
    <row r="3718" spans="1:23" ht="16.5" customHeight="1" x14ac:dyDescent="0.2">
      <c r="A3718" s="26"/>
      <c r="B3718" s="26"/>
      <c r="C3718" s="26"/>
      <c r="D3718" s="26"/>
      <c r="E3718" s="26"/>
      <c r="F3718" s="28"/>
      <c r="G3718" s="26"/>
      <c r="H3718" s="32"/>
      <c r="I3718" s="32"/>
      <c r="J3718" s="32"/>
      <c r="K3718" s="32"/>
      <c r="L3718" s="32" t="e">
        <f ca="1">_xludf.ifna(VLOOKUP(E3718,Parámetros!$D$2:$E$34,2,0),"")</f>
        <v>#NAME?</v>
      </c>
      <c r="M3718" s="32" t="e">
        <f ca="1">_xludf.ifna(VLOOKUP(G3718,Proyectos!$A$2:$T$674,20,0),"")</f>
        <v>#NAME?</v>
      </c>
      <c r="N3718" s="32" t="e">
        <f ca="1">_xludf.ifna(VLOOKUP(G3718,Proyectos!$A$2:$S$674,19,0))</f>
        <v>#NAME?</v>
      </c>
      <c r="O3718" s="32"/>
      <c r="P3718" s="32"/>
      <c r="Q3718" s="33"/>
      <c r="R3718" s="33"/>
      <c r="S3718" s="33"/>
      <c r="T3718" s="63"/>
      <c r="U3718" s="33"/>
      <c r="V3718" s="33"/>
      <c r="W3718" s="33"/>
    </row>
    <row r="3719" spans="1:23" ht="16.5" customHeight="1" x14ac:dyDescent="0.2">
      <c r="A3719" s="26"/>
      <c r="B3719" s="26"/>
      <c r="C3719" s="26"/>
      <c r="D3719" s="26"/>
      <c r="E3719" s="26"/>
      <c r="F3719" s="28"/>
      <c r="G3719" s="26"/>
      <c r="H3719" s="32"/>
      <c r="I3719" s="32"/>
      <c r="J3719" s="32"/>
      <c r="K3719" s="32"/>
      <c r="L3719" s="32" t="e">
        <f ca="1">_xludf.ifna(VLOOKUP(E3719,Parámetros!$D$2:$E$34,2,0),"")</f>
        <v>#NAME?</v>
      </c>
      <c r="M3719" s="32" t="e">
        <f ca="1">_xludf.ifna(VLOOKUP(G3719,Proyectos!$A$2:$T$674,20,0),"")</f>
        <v>#NAME?</v>
      </c>
      <c r="N3719" s="32" t="e">
        <f ca="1">_xludf.ifna(VLOOKUP(G3719,Proyectos!$A$2:$S$674,19,0))</f>
        <v>#NAME?</v>
      </c>
      <c r="O3719" s="32"/>
      <c r="P3719" s="32"/>
      <c r="Q3719" s="33"/>
      <c r="R3719" s="33"/>
      <c r="S3719" s="33"/>
      <c r="T3719" s="63"/>
      <c r="U3719" s="33"/>
      <c r="V3719" s="33"/>
      <c r="W3719" s="33"/>
    </row>
    <row r="3720" spans="1:23" ht="16.5" customHeight="1" x14ac:dyDescent="0.2">
      <c r="A3720" s="26"/>
      <c r="B3720" s="26"/>
      <c r="C3720" s="26"/>
      <c r="D3720" s="26"/>
      <c r="E3720" s="26"/>
      <c r="F3720" s="28"/>
      <c r="G3720" s="26"/>
      <c r="H3720" s="32"/>
      <c r="I3720" s="32"/>
      <c r="J3720" s="32"/>
      <c r="K3720" s="32"/>
      <c r="L3720" s="32" t="e">
        <f ca="1">_xludf.ifna(VLOOKUP(E3720,Parámetros!$D$2:$E$34,2,0),"")</f>
        <v>#NAME?</v>
      </c>
      <c r="M3720" s="32" t="e">
        <f ca="1">_xludf.ifna(VLOOKUP(G3720,Proyectos!$A$2:$T$674,20,0),"")</f>
        <v>#NAME?</v>
      </c>
      <c r="N3720" s="32" t="e">
        <f ca="1">_xludf.ifna(VLOOKUP(G3720,Proyectos!$A$2:$S$674,19,0))</f>
        <v>#NAME?</v>
      </c>
      <c r="O3720" s="32"/>
      <c r="P3720" s="32"/>
      <c r="Q3720" s="33"/>
      <c r="R3720" s="33"/>
      <c r="S3720" s="33"/>
      <c r="T3720" s="63"/>
      <c r="U3720" s="33"/>
      <c r="V3720" s="33"/>
      <c r="W3720" s="33"/>
    </row>
    <row r="3721" spans="1:23" ht="16.5" customHeight="1" x14ac:dyDescent="0.2">
      <c r="A3721" s="26"/>
      <c r="B3721" s="26"/>
      <c r="C3721" s="26"/>
      <c r="D3721" s="26"/>
      <c r="E3721" s="26"/>
      <c r="F3721" s="28"/>
      <c r="G3721" s="26"/>
      <c r="H3721" s="32"/>
      <c r="I3721" s="32"/>
      <c r="J3721" s="32"/>
      <c r="K3721" s="32"/>
      <c r="L3721" s="32" t="e">
        <f ca="1">_xludf.ifna(VLOOKUP(E3721,Parámetros!$D$2:$E$34,2,0),"")</f>
        <v>#NAME?</v>
      </c>
      <c r="M3721" s="32" t="e">
        <f ca="1">_xludf.ifna(VLOOKUP(G3721,Proyectos!$A$2:$T$674,20,0),"")</f>
        <v>#NAME?</v>
      </c>
      <c r="N3721" s="32" t="e">
        <f ca="1">_xludf.ifna(VLOOKUP(G3721,Proyectos!$A$2:$S$674,19,0))</f>
        <v>#NAME?</v>
      </c>
      <c r="O3721" s="32"/>
      <c r="P3721" s="32"/>
      <c r="Q3721" s="33"/>
      <c r="R3721" s="33"/>
      <c r="S3721" s="33"/>
      <c r="T3721" s="63"/>
      <c r="U3721" s="33"/>
      <c r="V3721" s="33"/>
      <c r="W3721" s="33"/>
    </row>
    <row r="3722" spans="1:23" ht="16.5" customHeight="1" x14ac:dyDescent="0.2">
      <c r="A3722" s="26"/>
      <c r="B3722" s="26"/>
      <c r="C3722" s="26"/>
      <c r="D3722" s="26"/>
      <c r="E3722" s="26"/>
      <c r="F3722" s="28"/>
      <c r="G3722" s="26"/>
      <c r="H3722" s="32"/>
      <c r="I3722" s="32"/>
      <c r="J3722" s="32"/>
      <c r="K3722" s="32"/>
      <c r="L3722" s="32" t="e">
        <f ca="1">_xludf.ifna(VLOOKUP(E3722,Parámetros!$D$2:$E$34,2,0),"")</f>
        <v>#NAME?</v>
      </c>
      <c r="M3722" s="32" t="e">
        <f ca="1">_xludf.ifna(VLOOKUP(G3722,Proyectos!$A$2:$T$674,20,0),"")</f>
        <v>#NAME?</v>
      </c>
      <c r="N3722" s="32" t="e">
        <f ca="1">_xludf.ifna(VLOOKUP(G3722,Proyectos!$A$2:$S$674,19,0))</f>
        <v>#NAME?</v>
      </c>
      <c r="O3722" s="32"/>
      <c r="P3722" s="32"/>
      <c r="Q3722" s="33"/>
      <c r="R3722" s="33"/>
      <c r="S3722" s="33"/>
      <c r="T3722" s="63"/>
      <c r="U3722" s="33"/>
      <c r="V3722" s="33"/>
      <c r="W3722" s="33"/>
    </row>
    <row r="3723" spans="1:23" ht="16.5" customHeight="1" x14ac:dyDescent="0.2">
      <c r="A3723" s="26"/>
      <c r="B3723" s="26"/>
      <c r="C3723" s="26"/>
      <c r="D3723" s="26"/>
      <c r="E3723" s="26"/>
      <c r="F3723" s="28"/>
      <c r="G3723" s="26"/>
      <c r="H3723" s="32"/>
      <c r="I3723" s="32"/>
      <c r="J3723" s="32"/>
      <c r="K3723" s="32"/>
      <c r="L3723" s="32" t="e">
        <f ca="1">_xludf.ifna(VLOOKUP(E3723,Parámetros!$D$2:$E$34,2,0),"")</f>
        <v>#NAME?</v>
      </c>
      <c r="M3723" s="32" t="e">
        <f ca="1">_xludf.ifna(VLOOKUP(G3723,Proyectos!$A$2:$T$674,20,0),"")</f>
        <v>#NAME?</v>
      </c>
      <c r="N3723" s="32" t="e">
        <f ca="1">_xludf.ifna(VLOOKUP(G3723,Proyectos!$A$2:$S$674,19,0))</f>
        <v>#NAME?</v>
      </c>
      <c r="O3723" s="32"/>
      <c r="P3723" s="32"/>
      <c r="Q3723" s="33"/>
      <c r="R3723" s="33"/>
      <c r="S3723" s="33"/>
      <c r="T3723" s="63"/>
      <c r="U3723" s="33"/>
      <c r="V3723" s="33"/>
      <c r="W3723" s="33"/>
    </row>
    <row r="3724" spans="1:23" ht="16.5" customHeight="1" x14ac:dyDescent="0.2">
      <c r="A3724" s="26"/>
      <c r="B3724" s="26"/>
      <c r="C3724" s="26"/>
      <c r="D3724" s="26"/>
      <c r="E3724" s="26"/>
      <c r="F3724" s="28"/>
      <c r="G3724" s="26"/>
      <c r="H3724" s="32"/>
      <c r="I3724" s="32"/>
      <c r="J3724" s="32"/>
      <c r="K3724" s="32"/>
      <c r="L3724" s="32" t="e">
        <f ca="1">_xludf.ifna(VLOOKUP(E3724,Parámetros!$D$2:$E$34,2,0),"")</f>
        <v>#NAME?</v>
      </c>
      <c r="M3724" s="32" t="e">
        <f ca="1">_xludf.ifna(VLOOKUP(G3724,Proyectos!$A$2:$T$674,20,0),"")</f>
        <v>#NAME?</v>
      </c>
      <c r="N3724" s="32" t="e">
        <f ca="1">_xludf.ifna(VLOOKUP(G3724,Proyectos!$A$2:$S$674,19,0))</f>
        <v>#NAME?</v>
      </c>
      <c r="O3724" s="32"/>
      <c r="P3724" s="32"/>
      <c r="Q3724" s="33"/>
      <c r="R3724" s="33"/>
      <c r="S3724" s="33"/>
      <c r="T3724" s="63"/>
      <c r="U3724" s="33"/>
      <c r="V3724" s="33"/>
      <c r="W3724" s="33"/>
    </row>
    <row r="3725" spans="1:23" ht="16.5" customHeight="1" x14ac:dyDescent="0.2">
      <c r="A3725" s="26"/>
      <c r="B3725" s="26"/>
      <c r="C3725" s="26"/>
      <c r="D3725" s="26"/>
      <c r="E3725" s="26"/>
      <c r="F3725" s="28"/>
      <c r="G3725" s="26"/>
      <c r="H3725" s="32"/>
      <c r="I3725" s="32"/>
      <c r="J3725" s="32"/>
      <c r="K3725" s="32"/>
      <c r="L3725" s="32" t="e">
        <f ca="1">_xludf.ifna(VLOOKUP(E3725,Parámetros!$D$2:$E$34,2,0),"")</f>
        <v>#NAME?</v>
      </c>
      <c r="M3725" s="32" t="e">
        <f ca="1">_xludf.ifna(VLOOKUP(G3725,Proyectos!$A$2:$T$674,20,0),"")</f>
        <v>#NAME?</v>
      </c>
      <c r="N3725" s="32" t="e">
        <f ca="1">_xludf.ifna(VLOOKUP(G3725,Proyectos!$A$2:$S$674,19,0))</f>
        <v>#NAME?</v>
      </c>
      <c r="O3725" s="32"/>
      <c r="P3725" s="32"/>
      <c r="Q3725" s="33"/>
      <c r="R3725" s="33"/>
      <c r="S3725" s="33"/>
      <c r="T3725" s="63"/>
      <c r="U3725" s="33"/>
      <c r="V3725" s="33"/>
      <c r="W3725" s="33"/>
    </row>
    <row r="3726" spans="1:23" ht="16.5" customHeight="1" x14ac:dyDescent="0.2">
      <c r="A3726" s="26"/>
      <c r="B3726" s="26"/>
      <c r="C3726" s="26"/>
      <c r="D3726" s="26"/>
      <c r="E3726" s="26"/>
      <c r="F3726" s="28"/>
      <c r="G3726" s="26"/>
      <c r="H3726" s="32"/>
      <c r="I3726" s="32"/>
      <c r="J3726" s="32"/>
      <c r="K3726" s="32"/>
      <c r="L3726" s="32" t="e">
        <f ca="1">_xludf.ifna(VLOOKUP(E3726,Parámetros!$D$2:$E$34,2,0),"")</f>
        <v>#NAME?</v>
      </c>
      <c r="M3726" s="32" t="e">
        <f ca="1">_xludf.ifna(VLOOKUP(G3726,Proyectos!$A$2:$T$674,20,0),"")</f>
        <v>#NAME?</v>
      </c>
      <c r="N3726" s="32" t="e">
        <f ca="1">_xludf.ifna(VLOOKUP(G3726,Proyectos!$A$2:$S$674,19,0))</f>
        <v>#NAME?</v>
      </c>
      <c r="O3726" s="32"/>
      <c r="P3726" s="32"/>
      <c r="Q3726" s="33"/>
      <c r="R3726" s="33"/>
      <c r="S3726" s="33"/>
      <c r="T3726" s="63"/>
      <c r="U3726" s="33"/>
      <c r="V3726" s="33"/>
      <c r="W3726" s="33"/>
    </row>
    <row r="3727" spans="1:23" ht="16.5" customHeight="1" x14ac:dyDescent="0.2">
      <c r="A3727" s="26"/>
      <c r="B3727" s="26"/>
      <c r="C3727" s="26"/>
      <c r="D3727" s="26"/>
      <c r="E3727" s="26"/>
      <c r="F3727" s="28"/>
      <c r="G3727" s="26"/>
      <c r="H3727" s="32"/>
      <c r="I3727" s="32"/>
      <c r="J3727" s="32"/>
      <c r="K3727" s="32"/>
      <c r="L3727" s="32" t="e">
        <f ca="1">_xludf.ifna(VLOOKUP(E3727,Parámetros!$D$2:$E$34,2,0),"")</f>
        <v>#NAME?</v>
      </c>
      <c r="M3727" s="32" t="e">
        <f ca="1">_xludf.ifna(VLOOKUP(G3727,Proyectos!$A$2:$T$674,20,0),"")</f>
        <v>#NAME?</v>
      </c>
      <c r="N3727" s="32" t="e">
        <f ca="1">_xludf.ifna(VLOOKUP(G3727,Proyectos!$A$2:$S$674,19,0))</f>
        <v>#NAME?</v>
      </c>
      <c r="O3727" s="32"/>
      <c r="P3727" s="32"/>
      <c r="Q3727" s="33"/>
      <c r="R3727" s="33"/>
      <c r="S3727" s="33"/>
      <c r="T3727" s="63"/>
      <c r="U3727" s="33"/>
      <c r="V3727" s="33"/>
      <c r="W3727" s="33"/>
    </row>
    <row r="3728" spans="1:23" ht="16.5" customHeight="1" x14ac:dyDescent="0.2">
      <c r="A3728" s="26"/>
      <c r="B3728" s="26"/>
      <c r="C3728" s="26"/>
      <c r="D3728" s="26"/>
      <c r="E3728" s="26"/>
      <c r="F3728" s="28"/>
      <c r="G3728" s="26"/>
      <c r="H3728" s="32"/>
      <c r="I3728" s="32"/>
      <c r="J3728" s="32"/>
      <c r="K3728" s="32"/>
      <c r="L3728" s="32" t="e">
        <f ca="1">_xludf.ifna(VLOOKUP(E3728,Parámetros!$D$2:$E$34,2,0),"")</f>
        <v>#NAME?</v>
      </c>
      <c r="M3728" s="32" t="e">
        <f ca="1">_xludf.ifna(VLOOKUP(G3728,Proyectos!$A$2:$T$674,20,0),"")</f>
        <v>#NAME?</v>
      </c>
      <c r="N3728" s="32" t="e">
        <f ca="1">_xludf.ifna(VLOOKUP(G3728,Proyectos!$A$2:$S$674,19,0))</f>
        <v>#NAME?</v>
      </c>
      <c r="O3728" s="32"/>
      <c r="P3728" s="32"/>
      <c r="Q3728" s="33"/>
      <c r="R3728" s="33"/>
      <c r="S3728" s="33"/>
      <c r="T3728" s="63"/>
      <c r="U3728" s="33"/>
      <c r="V3728" s="33"/>
      <c r="W3728" s="33"/>
    </row>
    <row r="3729" spans="1:23" ht="16.5" customHeight="1" x14ac:dyDescent="0.2">
      <c r="A3729" s="26"/>
      <c r="B3729" s="26"/>
      <c r="C3729" s="26"/>
      <c r="D3729" s="26"/>
      <c r="E3729" s="26"/>
      <c r="F3729" s="28"/>
      <c r="G3729" s="26"/>
      <c r="H3729" s="32"/>
      <c r="I3729" s="32"/>
      <c r="J3729" s="32"/>
      <c r="K3729" s="32"/>
      <c r="L3729" s="32" t="e">
        <f ca="1">_xludf.ifna(VLOOKUP(E3729,Parámetros!$D$2:$E$34,2,0),"")</f>
        <v>#NAME?</v>
      </c>
      <c r="M3729" s="32" t="e">
        <f ca="1">_xludf.ifna(VLOOKUP(G3729,Proyectos!$A$2:$T$674,20,0),"")</f>
        <v>#NAME?</v>
      </c>
      <c r="N3729" s="32" t="e">
        <f ca="1">_xludf.ifna(VLOOKUP(G3729,Proyectos!$A$2:$S$674,19,0))</f>
        <v>#NAME?</v>
      </c>
      <c r="O3729" s="32"/>
      <c r="P3729" s="32"/>
      <c r="Q3729" s="33"/>
      <c r="R3729" s="33"/>
      <c r="S3729" s="33"/>
      <c r="T3729" s="63"/>
      <c r="U3729" s="33"/>
      <c r="V3729" s="33"/>
      <c r="W3729" s="33"/>
    </row>
    <row r="3730" spans="1:23" ht="16.5" customHeight="1" x14ac:dyDescent="0.2">
      <c r="A3730" s="26"/>
      <c r="B3730" s="26"/>
      <c r="C3730" s="26"/>
      <c r="D3730" s="26"/>
      <c r="E3730" s="26"/>
      <c r="F3730" s="28"/>
      <c r="G3730" s="26"/>
      <c r="H3730" s="32"/>
      <c r="I3730" s="32"/>
      <c r="J3730" s="32"/>
      <c r="K3730" s="32"/>
      <c r="L3730" s="32" t="e">
        <f ca="1">_xludf.ifna(VLOOKUP(E3730,Parámetros!$D$2:$E$34,2,0),"")</f>
        <v>#NAME?</v>
      </c>
      <c r="M3730" s="32" t="e">
        <f ca="1">_xludf.ifna(VLOOKUP(G3730,Proyectos!$A$2:$T$674,20,0),"")</f>
        <v>#NAME?</v>
      </c>
      <c r="N3730" s="32" t="e">
        <f ca="1">_xludf.ifna(VLOOKUP(G3730,Proyectos!$A$2:$S$674,19,0))</f>
        <v>#NAME?</v>
      </c>
      <c r="O3730" s="32"/>
      <c r="P3730" s="32"/>
      <c r="Q3730" s="33"/>
      <c r="R3730" s="33"/>
      <c r="S3730" s="33"/>
      <c r="T3730" s="63"/>
      <c r="U3730" s="33"/>
      <c r="V3730" s="33"/>
      <c r="W3730" s="33"/>
    </row>
    <row r="3731" spans="1:23" ht="16.5" customHeight="1" x14ac:dyDescent="0.2">
      <c r="A3731" s="26"/>
      <c r="B3731" s="26"/>
      <c r="C3731" s="26"/>
      <c r="D3731" s="26"/>
      <c r="E3731" s="26"/>
      <c r="F3731" s="28"/>
      <c r="G3731" s="26"/>
      <c r="H3731" s="32"/>
      <c r="I3731" s="32"/>
      <c r="J3731" s="32"/>
      <c r="K3731" s="32"/>
      <c r="L3731" s="32" t="e">
        <f ca="1">_xludf.ifna(VLOOKUP(E3731,Parámetros!$D$2:$E$34,2,0),"")</f>
        <v>#NAME?</v>
      </c>
      <c r="M3731" s="32" t="e">
        <f ca="1">_xludf.ifna(VLOOKUP(G3731,Proyectos!$A$2:$T$674,20,0),"")</f>
        <v>#NAME?</v>
      </c>
      <c r="N3731" s="32" t="e">
        <f ca="1">_xludf.ifna(VLOOKUP(G3731,Proyectos!$A$2:$S$674,19,0))</f>
        <v>#NAME?</v>
      </c>
      <c r="O3731" s="32"/>
      <c r="P3731" s="32"/>
      <c r="Q3731" s="33"/>
      <c r="R3731" s="33"/>
      <c r="S3731" s="33"/>
      <c r="T3731" s="63"/>
      <c r="U3731" s="33"/>
      <c r="V3731" s="33"/>
      <c r="W3731" s="33"/>
    </row>
    <row r="3732" spans="1:23" ht="16.5" customHeight="1" x14ac:dyDescent="0.2">
      <c r="A3732" s="26"/>
      <c r="B3732" s="26"/>
      <c r="C3732" s="26"/>
      <c r="D3732" s="26"/>
      <c r="E3732" s="26"/>
      <c r="F3732" s="28"/>
      <c r="G3732" s="26"/>
      <c r="H3732" s="32"/>
      <c r="I3732" s="32"/>
      <c r="J3732" s="32"/>
      <c r="K3732" s="32"/>
      <c r="L3732" s="32" t="e">
        <f ca="1">_xludf.ifna(VLOOKUP(E3732,Parámetros!$D$2:$E$34,2,0),"")</f>
        <v>#NAME?</v>
      </c>
      <c r="M3732" s="32" t="e">
        <f ca="1">_xludf.ifna(VLOOKUP(G3732,Proyectos!$A$2:$T$674,20,0),"")</f>
        <v>#NAME?</v>
      </c>
      <c r="N3732" s="32" t="e">
        <f ca="1">_xludf.ifna(VLOOKUP(G3732,Proyectos!$A$2:$S$674,19,0))</f>
        <v>#NAME?</v>
      </c>
      <c r="O3732" s="32"/>
      <c r="P3732" s="32"/>
      <c r="Q3732" s="33"/>
      <c r="R3732" s="33"/>
      <c r="S3732" s="33"/>
      <c r="T3732" s="63"/>
      <c r="U3732" s="33"/>
      <c r="V3732" s="33"/>
      <c r="W3732" s="33"/>
    </row>
    <row r="3733" spans="1:23" ht="16.5" customHeight="1" x14ac:dyDescent="0.2">
      <c r="A3733" s="26"/>
      <c r="B3733" s="26"/>
      <c r="C3733" s="26"/>
      <c r="D3733" s="26"/>
      <c r="E3733" s="26"/>
      <c r="F3733" s="28"/>
      <c r="G3733" s="26"/>
      <c r="H3733" s="32"/>
      <c r="I3733" s="32"/>
      <c r="J3733" s="32"/>
      <c r="K3733" s="32"/>
      <c r="L3733" s="32" t="e">
        <f ca="1">_xludf.ifna(VLOOKUP(E3733,Parámetros!$D$2:$E$34,2,0),"")</f>
        <v>#NAME?</v>
      </c>
      <c r="M3733" s="32" t="e">
        <f ca="1">_xludf.ifna(VLOOKUP(G3733,Proyectos!$A$2:$T$674,20,0),"")</f>
        <v>#NAME?</v>
      </c>
      <c r="N3733" s="32" t="e">
        <f ca="1">_xludf.ifna(VLOOKUP(G3733,Proyectos!$A$2:$S$674,19,0))</f>
        <v>#NAME?</v>
      </c>
      <c r="O3733" s="32"/>
      <c r="P3733" s="32"/>
      <c r="Q3733" s="33"/>
      <c r="R3733" s="33"/>
      <c r="S3733" s="33"/>
      <c r="T3733" s="63"/>
      <c r="U3733" s="33"/>
      <c r="V3733" s="33"/>
      <c r="W3733" s="33"/>
    </row>
    <row r="3734" spans="1:23" ht="16.5" customHeight="1" x14ac:dyDescent="0.2">
      <c r="A3734" s="26"/>
      <c r="B3734" s="26"/>
      <c r="C3734" s="26"/>
      <c r="D3734" s="26"/>
      <c r="E3734" s="26"/>
      <c r="F3734" s="28"/>
      <c r="G3734" s="26"/>
      <c r="H3734" s="32"/>
      <c r="I3734" s="32"/>
      <c r="J3734" s="32"/>
      <c r="K3734" s="32"/>
      <c r="L3734" s="32" t="e">
        <f ca="1">_xludf.ifna(VLOOKUP(E3734,Parámetros!$D$2:$E$34,2,0),"")</f>
        <v>#NAME?</v>
      </c>
      <c r="M3734" s="32" t="e">
        <f ca="1">_xludf.ifna(VLOOKUP(G3734,Proyectos!$A$2:$T$674,20,0),"")</f>
        <v>#NAME?</v>
      </c>
      <c r="N3734" s="32" t="e">
        <f ca="1">_xludf.ifna(VLOOKUP(G3734,Proyectos!$A$2:$S$674,19,0))</f>
        <v>#NAME?</v>
      </c>
      <c r="O3734" s="32"/>
      <c r="P3734" s="32"/>
      <c r="Q3734" s="33"/>
      <c r="R3734" s="33"/>
      <c r="S3734" s="33"/>
      <c r="T3734" s="63"/>
      <c r="U3734" s="33"/>
      <c r="V3734" s="33"/>
      <c r="W3734" s="33"/>
    </row>
    <row r="3735" spans="1:23" ht="16.5" customHeight="1" x14ac:dyDescent="0.2">
      <c r="A3735" s="26"/>
      <c r="B3735" s="26"/>
      <c r="C3735" s="26"/>
      <c r="D3735" s="26"/>
      <c r="E3735" s="26"/>
      <c r="F3735" s="28"/>
      <c r="G3735" s="26"/>
      <c r="H3735" s="32"/>
      <c r="I3735" s="32"/>
      <c r="J3735" s="32"/>
      <c r="K3735" s="32"/>
      <c r="L3735" s="32" t="e">
        <f ca="1">_xludf.ifna(VLOOKUP(E3735,Parámetros!$D$2:$E$34,2,0),"")</f>
        <v>#NAME?</v>
      </c>
      <c r="M3735" s="32" t="e">
        <f ca="1">_xludf.ifna(VLOOKUP(G3735,Proyectos!$A$2:$T$674,20,0),"")</f>
        <v>#NAME?</v>
      </c>
      <c r="N3735" s="32" t="e">
        <f ca="1">_xludf.ifna(VLOOKUP(G3735,Proyectos!$A$2:$S$674,19,0))</f>
        <v>#NAME?</v>
      </c>
      <c r="O3735" s="32"/>
      <c r="P3735" s="32"/>
      <c r="Q3735" s="33"/>
      <c r="R3735" s="33"/>
      <c r="S3735" s="33"/>
      <c r="T3735" s="63"/>
      <c r="U3735" s="33"/>
      <c r="V3735" s="33"/>
      <c r="W3735" s="33"/>
    </row>
    <row r="3736" spans="1:23" ht="16.5" customHeight="1" x14ac:dyDescent="0.2">
      <c r="A3736" s="26"/>
      <c r="B3736" s="26"/>
      <c r="C3736" s="26"/>
      <c r="D3736" s="26"/>
      <c r="E3736" s="26"/>
      <c r="F3736" s="28"/>
      <c r="G3736" s="26"/>
      <c r="H3736" s="32"/>
      <c r="I3736" s="32"/>
      <c r="J3736" s="32"/>
      <c r="K3736" s="32"/>
      <c r="L3736" s="32" t="e">
        <f ca="1">_xludf.ifna(VLOOKUP(E3736,Parámetros!$D$2:$E$34,2,0),"")</f>
        <v>#NAME?</v>
      </c>
      <c r="M3736" s="32" t="e">
        <f ca="1">_xludf.ifna(VLOOKUP(G3736,Proyectos!$A$2:$T$674,20,0),"")</f>
        <v>#NAME?</v>
      </c>
      <c r="N3736" s="32" t="e">
        <f ca="1">_xludf.ifna(VLOOKUP(G3736,Proyectos!$A$2:$S$674,19,0))</f>
        <v>#NAME?</v>
      </c>
      <c r="O3736" s="32"/>
      <c r="P3736" s="32"/>
      <c r="Q3736" s="33"/>
      <c r="R3736" s="33"/>
      <c r="S3736" s="33"/>
      <c r="T3736" s="63"/>
      <c r="U3736" s="33"/>
      <c r="V3736" s="33"/>
      <c r="W3736" s="33"/>
    </row>
    <row r="3737" spans="1:23" ht="16.5" customHeight="1" x14ac:dyDescent="0.2">
      <c r="A3737" s="26"/>
      <c r="B3737" s="26"/>
      <c r="C3737" s="26"/>
      <c r="D3737" s="26"/>
      <c r="E3737" s="26"/>
      <c r="F3737" s="28"/>
      <c r="G3737" s="26"/>
      <c r="H3737" s="32"/>
      <c r="I3737" s="32"/>
      <c r="J3737" s="32"/>
      <c r="K3737" s="32"/>
      <c r="L3737" s="32" t="e">
        <f ca="1">_xludf.ifna(VLOOKUP(E3737,Parámetros!$D$2:$E$34,2,0),"")</f>
        <v>#NAME?</v>
      </c>
      <c r="M3737" s="32" t="e">
        <f ca="1">_xludf.ifna(VLOOKUP(G3737,Proyectos!$A$2:$T$674,20,0),"")</f>
        <v>#NAME?</v>
      </c>
      <c r="N3737" s="32" t="e">
        <f ca="1">_xludf.ifna(VLOOKUP(G3737,Proyectos!$A$2:$S$674,19,0))</f>
        <v>#NAME?</v>
      </c>
      <c r="O3737" s="32"/>
      <c r="P3737" s="32"/>
      <c r="Q3737" s="33"/>
      <c r="R3737" s="33"/>
      <c r="S3737" s="33"/>
      <c r="T3737" s="63"/>
      <c r="U3737" s="33"/>
      <c r="V3737" s="33"/>
      <c r="W3737" s="33"/>
    </row>
    <row r="3738" spans="1:23" ht="16.5" customHeight="1" x14ac:dyDescent="0.2">
      <c r="A3738" s="26"/>
      <c r="B3738" s="26"/>
      <c r="C3738" s="26"/>
      <c r="D3738" s="26"/>
      <c r="E3738" s="26"/>
      <c r="F3738" s="28"/>
      <c r="G3738" s="26"/>
      <c r="H3738" s="32"/>
      <c r="I3738" s="32"/>
      <c r="J3738" s="32"/>
      <c r="K3738" s="32"/>
      <c r="L3738" s="32" t="e">
        <f ca="1">_xludf.ifna(VLOOKUP(E3738,Parámetros!$D$2:$E$34,2,0),"")</f>
        <v>#NAME?</v>
      </c>
      <c r="M3738" s="32" t="e">
        <f ca="1">_xludf.ifna(VLOOKUP(G3738,Proyectos!$A$2:$T$674,20,0),"")</f>
        <v>#NAME?</v>
      </c>
      <c r="N3738" s="32" t="e">
        <f ca="1">_xludf.ifna(VLOOKUP(G3738,Proyectos!$A$2:$S$674,19,0))</f>
        <v>#NAME?</v>
      </c>
      <c r="O3738" s="32"/>
      <c r="P3738" s="32"/>
      <c r="Q3738" s="33"/>
      <c r="R3738" s="33"/>
      <c r="S3738" s="33"/>
      <c r="T3738" s="63"/>
      <c r="U3738" s="33"/>
      <c r="V3738" s="33"/>
      <c r="W3738" s="33"/>
    </row>
    <row r="3739" spans="1:23" ht="16.5" customHeight="1" x14ac:dyDescent="0.2">
      <c r="A3739" s="26"/>
      <c r="B3739" s="26"/>
      <c r="C3739" s="26"/>
      <c r="D3739" s="26"/>
      <c r="E3739" s="26"/>
      <c r="F3739" s="28"/>
      <c r="G3739" s="26"/>
      <c r="H3739" s="32"/>
      <c r="I3739" s="32"/>
      <c r="J3739" s="32"/>
      <c r="K3739" s="32"/>
      <c r="L3739" s="32" t="e">
        <f ca="1">_xludf.ifna(VLOOKUP(E3739,Parámetros!$D$2:$E$34,2,0),"")</f>
        <v>#NAME?</v>
      </c>
      <c r="M3739" s="32" t="e">
        <f ca="1">_xludf.ifna(VLOOKUP(G3739,Proyectos!$A$2:$T$674,20,0),"")</f>
        <v>#NAME?</v>
      </c>
      <c r="N3739" s="32" t="e">
        <f ca="1">_xludf.ifna(VLOOKUP(G3739,Proyectos!$A$2:$S$674,19,0))</f>
        <v>#NAME?</v>
      </c>
      <c r="O3739" s="32"/>
      <c r="P3739" s="32"/>
      <c r="Q3739" s="33"/>
      <c r="R3739" s="33"/>
      <c r="S3739" s="33"/>
      <c r="T3739" s="63"/>
      <c r="U3739" s="33"/>
      <c r="V3739" s="33"/>
      <c r="W3739" s="33"/>
    </row>
    <row r="3740" spans="1:23" ht="16.5" customHeight="1" x14ac:dyDescent="0.2">
      <c r="A3740" s="26"/>
      <c r="B3740" s="26"/>
      <c r="C3740" s="26"/>
      <c r="D3740" s="26"/>
      <c r="E3740" s="26"/>
      <c r="F3740" s="28"/>
      <c r="G3740" s="26"/>
      <c r="H3740" s="32"/>
      <c r="I3740" s="32"/>
      <c r="J3740" s="32"/>
      <c r="K3740" s="32"/>
      <c r="L3740" s="32" t="e">
        <f ca="1">_xludf.ifna(VLOOKUP(E3740,Parámetros!$D$2:$E$34,2,0),"")</f>
        <v>#NAME?</v>
      </c>
      <c r="M3740" s="32" t="e">
        <f ca="1">_xludf.ifna(VLOOKUP(G3740,Proyectos!$A$2:$T$674,20,0),"")</f>
        <v>#NAME?</v>
      </c>
      <c r="N3740" s="32" t="e">
        <f ca="1">_xludf.ifna(VLOOKUP(G3740,Proyectos!$A$2:$S$674,19,0))</f>
        <v>#NAME?</v>
      </c>
      <c r="O3740" s="32"/>
      <c r="P3740" s="32"/>
      <c r="Q3740" s="33"/>
      <c r="R3740" s="33"/>
      <c r="S3740" s="33"/>
      <c r="T3740" s="63"/>
      <c r="U3740" s="33"/>
      <c r="V3740" s="33"/>
      <c r="W3740" s="33"/>
    </row>
    <row r="3741" spans="1:23" ht="16.5" customHeight="1" x14ac:dyDescent="0.2">
      <c r="A3741" s="26"/>
      <c r="B3741" s="26"/>
      <c r="C3741" s="26"/>
      <c r="D3741" s="26"/>
      <c r="E3741" s="26"/>
      <c r="F3741" s="28"/>
      <c r="G3741" s="26"/>
      <c r="H3741" s="32"/>
      <c r="I3741" s="32"/>
      <c r="J3741" s="32"/>
      <c r="K3741" s="32"/>
      <c r="L3741" s="32" t="e">
        <f ca="1">_xludf.ifna(VLOOKUP(E3741,Parámetros!$D$2:$E$34,2,0),"")</f>
        <v>#NAME?</v>
      </c>
      <c r="M3741" s="32" t="e">
        <f ca="1">_xludf.ifna(VLOOKUP(G3741,Proyectos!$A$2:$T$674,20,0),"")</f>
        <v>#NAME?</v>
      </c>
      <c r="N3741" s="32" t="e">
        <f ca="1">_xludf.ifna(VLOOKUP(G3741,Proyectos!$A$2:$S$674,19,0))</f>
        <v>#NAME?</v>
      </c>
      <c r="O3741" s="32"/>
      <c r="P3741" s="32"/>
      <c r="Q3741" s="33"/>
      <c r="R3741" s="33"/>
      <c r="S3741" s="33"/>
      <c r="T3741" s="63"/>
      <c r="U3741" s="33"/>
      <c r="V3741" s="33"/>
      <c r="W3741" s="33"/>
    </row>
    <row r="3742" spans="1:23" ht="16.5" customHeight="1" x14ac:dyDescent="0.2">
      <c r="A3742" s="26"/>
      <c r="B3742" s="26"/>
      <c r="C3742" s="26"/>
      <c r="D3742" s="26"/>
      <c r="E3742" s="26"/>
      <c r="F3742" s="28"/>
      <c r="G3742" s="26"/>
      <c r="H3742" s="32"/>
      <c r="I3742" s="32"/>
      <c r="J3742" s="32"/>
      <c r="K3742" s="32"/>
      <c r="L3742" s="32" t="e">
        <f ca="1">_xludf.ifna(VLOOKUP(E3742,Parámetros!$D$2:$E$34,2,0),"")</f>
        <v>#NAME?</v>
      </c>
      <c r="M3742" s="32" t="e">
        <f ca="1">_xludf.ifna(VLOOKUP(G3742,Proyectos!$A$2:$T$674,20,0),"")</f>
        <v>#NAME?</v>
      </c>
      <c r="N3742" s="32" t="e">
        <f ca="1">_xludf.ifna(VLOOKUP(G3742,Proyectos!$A$2:$S$674,19,0))</f>
        <v>#NAME?</v>
      </c>
      <c r="O3742" s="32"/>
      <c r="P3742" s="32"/>
      <c r="Q3742" s="33"/>
      <c r="R3742" s="33"/>
      <c r="S3742" s="33"/>
      <c r="T3742" s="63"/>
      <c r="U3742" s="33"/>
      <c r="V3742" s="33"/>
      <c r="W3742" s="33"/>
    </row>
    <row r="3743" spans="1:23" ht="16.5" customHeight="1" x14ac:dyDescent="0.2">
      <c r="A3743" s="26"/>
      <c r="B3743" s="26"/>
      <c r="C3743" s="26"/>
      <c r="D3743" s="26"/>
      <c r="E3743" s="26"/>
      <c r="F3743" s="28"/>
      <c r="G3743" s="26"/>
      <c r="H3743" s="32"/>
      <c r="I3743" s="32"/>
      <c r="J3743" s="32"/>
      <c r="K3743" s="32"/>
      <c r="L3743" s="32" t="e">
        <f ca="1">_xludf.ifna(VLOOKUP(E3743,Parámetros!$D$2:$E$34,2,0),"")</f>
        <v>#NAME?</v>
      </c>
      <c r="M3743" s="32" t="e">
        <f ca="1">_xludf.ifna(VLOOKUP(G3743,Proyectos!$A$2:$T$674,20,0),"")</f>
        <v>#NAME?</v>
      </c>
      <c r="N3743" s="32" t="e">
        <f ca="1">_xludf.ifna(VLOOKUP(G3743,Proyectos!$A$2:$S$674,19,0))</f>
        <v>#NAME?</v>
      </c>
      <c r="O3743" s="32"/>
      <c r="P3743" s="32"/>
      <c r="Q3743" s="33"/>
      <c r="R3743" s="33"/>
      <c r="S3743" s="33"/>
      <c r="T3743" s="63"/>
      <c r="U3743" s="33"/>
      <c r="V3743" s="33"/>
      <c r="W3743" s="33"/>
    </row>
    <row r="3744" spans="1:23" ht="16.5" customHeight="1" x14ac:dyDescent="0.2">
      <c r="A3744" s="26"/>
      <c r="B3744" s="26"/>
      <c r="C3744" s="26"/>
      <c r="D3744" s="26"/>
      <c r="E3744" s="26"/>
      <c r="F3744" s="28"/>
      <c r="G3744" s="26"/>
      <c r="H3744" s="32"/>
      <c r="I3744" s="32"/>
      <c r="J3744" s="32"/>
      <c r="K3744" s="32"/>
      <c r="L3744" s="32" t="e">
        <f ca="1">_xludf.ifna(VLOOKUP(E3744,Parámetros!$D$2:$E$34,2,0),"")</f>
        <v>#NAME?</v>
      </c>
      <c r="M3744" s="32" t="e">
        <f ca="1">_xludf.ifna(VLOOKUP(G3744,Proyectos!$A$2:$T$674,20,0),"")</f>
        <v>#NAME?</v>
      </c>
      <c r="N3744" s="32" t="e">
        <f ca="1">_xludf.ifna(VLOOKUP(G3744,Proyectos!$A$2:$S$674,19,0))</f>
        <v>#NAME?</v>
      </c>
      <c r="O3744" s="32"/>
      <c r="P3744" s="32"/>
      <c r="Q3744" s="33"/>
      <c r="R3744" s="33"/>
      <c r="S3744" s="33"/>
      <c r="T3744" s="63"/>
      <c r="U3744" s="33"/>
      <c r="V3744" s="33"/>
      <c r="W3744" s="33"/>
    </row>
    <row r="3745" spans="1:23" ht="16.5" customHeight="1" x14ac:dyDescent="0.2">
      <c r="A3745" s="26"/>
      <c r="B3745" s="26"/>
      <c r="C3745" s="26"/>
      <c r="D3745" s="26"/>
      <c r="E3745" s="26"/>
      <c r="F3745" s="28"/>
      <c r="G3745" s="26"/>
      <c r="H3745" s="32"/>
      <c r="I3745" s="32"/>
      <c r="J3745" s="32"/>
      <c r="K3745" s="32"/>
      <c r="L3745" s="32" t="e">
        <f ca="1">_xludf.ifna(VLOOKUP(E3745,Parámetros!$D$2:$E$34,2,0),"")</f>
        <v>#NAME?</v>
      </c>
      <c r="M3745" s="32" t="e">
        <f ca="1">_xludf.ifna(VLOOKUP(G3745,Proyectos!$A$2:$T$674,20,0),"")</f>
        <v>#NAME?</v>
      </c>
      <c r="N3745" s="32" t="e">
        <f ca="1">_xludf.ifna(VLOOKUP(G3745,Proyectos!$A$2:$S$674,19,0))</f>
        <v>#NAME?</v>
      </c>
      <c r="O3745" s="32"/>
      <c r="P3745" s="32"/>
      <c r="Q3745" s="33"/>
      <c r="R3745" s="33"/>
      <c r="S3745" s="33"/>
      <c r="T3745" s="63"/>
      <c r="U3745" s="33"/>
      <c r="V3745" s="33"/>
      <c r="W3745" s="33"/>
    </row>
    <row r="3746" spans="1:23" ht="16.5" customHeight="1" x14ac:dyDescent="0.2">
      <c r="A3746" s="26"/>
      <c r="B3746" s="26"/>
      <c r="C3746" s="26"/>
      <c r="D3746" s="26"/>
      <c r="E3746" s="26"/>
      <c r="F3746" s="28"/>
      <c r="G3746" s="26"/>
      <c r="H3746" s="32"/>
      <c r="I3746" s="32"/>
      <c r="J3746" s="32"/>
      <c r="K3746" s="32"/>
      <c r="L3746" s="32" t="e">
        <f ca="1">_xludf.ifna(VLOOKUP(E3746,Parámetros!$D$2:$E$34,2,0),"")</f>
        <v>#NAME?</v>
      </c>
      <c r="M3746" s="32" t="e">
        <f ca="1">_xludf.ifna(VLOOKUP(G3746,Proyectos!$A$2:$T$674,20,0),"")</f>
        <v>#NAME?</v>
      </c>
      <c r="N3746" s="32" t="e">
        <f ca="1">_xludf.ifna(VLOOKUP(G3746,Proyectos!$A$2:$S$674,19,0))</f>
        <v>#NAME?</v>
      </c>
      <c r="O3746" s="32"/>
      <c r="P3746" s="32"/>
      <c r="Q3746" s="33"/>
      <c r="R3746" s="33"/>
      <c r="S3746" s="33"/>
      <c r="T3746" s="63"/>
      <c r="U3746" s="33"/>
      <c r="V3746" s="33"/>
      <c r="W3746" s="33"/>
    </row>
    <row r="3747" spans="1:23" ht="16.5" customHeight="1" x14ac:dyDescent="0.2">
      <c r="A3747" s="26"/>
      <c r="B3747" s="26"/>
      <c r="C3747" s="26"/>
      <c r="D3747" s="26"/>
      <c r="E3747" s="26"/>
      <c r="F3747" s="28"/>
      <c r="G3747" s="26"/>
      <c r="H3747" s="32"/>
      <c r="I3747" s="32"/>
      <c r="J3747" s="32"/>
      <c r="K3747" s="32"/>
      <c r="L3747" s="32" t="e">
        <f ca="1">_xludf.ifna(VLOOKUP(E3747,Parámetros!$D$2:$E$34,2,0),"")</f>
        <v>#NAME?</v>
      </c>
      <c r="M3747" s="32" t="e">
        <f ca="1">_xludf.ifna(VLOOKUP(G3747,Proyectos!$A$2:$T$674,20,0),"")</f>
        <v>#NAME?</v>
      </c>
      <c r="N3747" s="32" t="e">
        <f ca="1">_xludf.ifna(VLOOKUP(G3747,Proyectos!$A$2:$S$674,19,0))</f>
        <v>#NAME?</v>
      </c>
      <c r="O3747" s="32"/>
      <c r="P3747" s="32"/>
      <c r="Q3747" s="33"/>
      <c r="R3747" s="33"/>
      <c r="S3747" s="33"/>
      <c r="T3747" s="63"/>
      <c r="U3747" s="33"/>
      <c r="V3747" s="33"/>
      <c r="W3747" s="33"/>
    </row>
    <row r="3748" spans="1:23" ht="16.5" customHeight="1" x14ac:dyDescent="0.2">
      <c r="A3748" s="26"/>
      <c r="B3748" s="26"/>
      <c r="C3748" s="26"/>
      <c r="D3748" s="26"/>
      <c r="E3748" s="26"/>
      <c r="F3748" s="28"/>
      <c r="G3748" s="26"/>
      <c r="H3748" s="32"/>
      <c r="I3748" s="32"/>
      <c r="J3748" s="32"/>
      <c r="K3748" s="32"/>
      <c r="L3748" s="32" t="e">
        <f ca="1">_xludf.ifna(VLOOKUP(E3748,Parámetros!$D$2:$E$34,2,0),"")</f>
        <v>#NAME?</v>
      </c>
      <c r="M3748" s="32" t="e">
        <f ca="1">_xludf.ifna(VLOOKUP(G3748,Proyectos!$A$2:$T$674,20,0),"")</f>
        <v>#NAME?</v>
      </c>
      <c r="N3748" s="32" t="e">
        <f ca="1">_xludf.ifna(VLOOKUP(G3748,Proyectos!$A$2:$S$674,19,0))</f>
        <v>#NAME?</v>
      </c>
      <c r="O3748" s="32"/>
      <c r="P3748" s="32"/>
      <c r="Q3748" s="33"/>
      <c r="R3748" s="33"/>
      <c r="S3748" s="33"/>
      <c r="T3748" s="63"/>
      <c r="U3748" s="33"/>
      <c r="V3748" s="33"/>
      <c r="W3748" s="33"/>
    </row>
    <row r="3749" spans="1:23" ht="16.5" customHeight="1" x14ac:dyDescent="0.2">
      <c r="A3749" s="26"/>
      <c r="B3749" s="26"/>
      <c r="C3749" s="26"/>
      <c r="D3749" s="26"/>
      <c r="E3749" s="26"/>
      <c r="F3749" s="28"/>
      <c r="G3749" s="26"/>
      <c r="H3749" s="32"/>
      <c r="I3749" s="32"/>
      <c r="J3749" s="32"/>
      <c r="K3749" s="32"/>
      <c r="L3749" s="32" t="e">
        <f ca="1">_xludf.ifna(VLOOKUP(E3749,Parámetros!$D$2:$E$34,2,0),"")</f>
        <v>#NAME?</v>
      </c>
      <c r="M3749" s="32" t="e">
        <f ca="1">_xludf.ifna(VLOOKUP(G3749,Proyectos!$A$2:$T$674,20,0),"")</f>
        <v>#NAME?</v>
      </c>
      <c r="N3749" s="32" t="e">
        <f ca="1">_xludf.ifna(VLOOKUP(G3749,Proyectos!$A$2:$S$674,19,0))</f>
        <v>#NAME?</v>
      </c>
      <c r="O3749" s="32"/>
      <c r="P3749" s="32"/>
      <c r="Q3749" s="33"/>
      <c r="R3749" s="33"/>
      <c r="S3749" s="33"/>
      <c r="T3749" s="63"/>
      <c r="U3749" s="33"/>
      <c r="V3749" s="33"/>
      <c r="W3749" s="33"/>
    </row>
    <row r="3750" spans="1:23" ht="16.5" customHeight="1" x14ac:dyDescent="0.2">
      <c r="A3750" s="26"/>
      <c r="B3750" s="26"/>
      <c r="C3750" s="26"/>
      <c r="D3750" s="26"/>
      <c r="E3750" s="26"/>
      <c r="F3750" s="28"/>
      <c r="G3750" s="26"/>
      <c r="H3750" s="32"/>
      <c r="I3750" s="32"/>
      <c r="J3750" s="32"/>
      <c r="K3750" s="32"/>
      <c r="L3750" s="32" t="e">
        <f ca="1">_xludf.ifna(VLOOKUP(E3750,Parámetros!$D$2:$E$34,2,0),"")</f>
        <v>#NAME?</v>
      </c>
      <c r="M3750" s="32" t="e">
        <f ca="1">_xludf.ifna(VLOOKUP(G3750,Proyectos!$A$2:$T$674,20,0),"")</f>
        <v>#NAME?</v>
      </c>
      <c r="N3750" s="32" t="e">
        <f ca="1">_xludf.ifna(VLOOKUP(G3750,Proyectos!$A$2:$S$674,19,0))</f>
        <v>#NAME?</v>
      </c>
      <c r="O3750" s="32"/>
      <c r="P3750" s="32"/>
      <c r="Q3750" s="33"/>
      <c r="R3750" s="33"/>
      <c r="S3750" s="33"/>
      <c r="T3750" s="63"/>
      <c r="U3750" s="33"/>
      <c r="V3750" s="33"/>
      <c r="W3750" s="33"/>
    </row>
    <row r="3751" spans="1:23" ht="16.5" customHeight="1" x14ac:dyDescent="0.2">
      <c r="A3751" s="26"/>
      <c r="B3751" s="26"/>
      <c r="C3751" s="26"/>
      <c r="D3751" s="26"/>
      <c r="E3751" s="26"/>
      <c r="F3751" s="28"/>
      <c r="G3751" s="26"/>
      <c r="H3751" s="32"/>
      <c r="I3751" s="32"/>
      <c r="J3751" s="32"/>
      <c r="K3751" s="32"/>
      <c r="L3751" s="32" t="e">
        <f ca="1">_xludf.ifna(VLOOKUP(E3751,Parámetros!$D$2:$E$34,2,0),"")</f>
        <v>#NAME?</v>
      </c>
      <c r="M3751" s="32" t="e">
        <f ca="1">_xludf.ifna(VLOOKUP(G3751,Proyectos!$A$2:$T$674,20,0),"")</f>
        <v>#NAME?</v>
      </c>
      <c r="N3751" s="32" t="e">
        <f ca="1">_xludf.ifna(VLOOKUP(G3751,Proyectos!$A$2:$S$674,19,0))</f>
        <v>#NAME?</v>
      </c>
      <c r="O3751" s="32"/>
      <c r="P3751" s="32"/>
      <c r="Q3751" s="33"/>
      <c r="R3751" s="33"/>
      <c r="S3751" s="33"/>
      <c r="T3751" s="63"/>
      <c r="U3751" s="33"/>
      <c r="V3751" s="33"/>
      <c r="W3751" s="33"/>
    </row>
    <row r="3752" spans="1:23" ht="16.5" customHeight="1" x14ac:dyDescent="0.2">
      <c r="A3752" s="26"/>
      <c r="B3752" s="26"/>
      <c r="C3752" s="26"/>
      <c r="D3752" s="26"/>
      <c r="E3752" s="26"/>
      <c r="F3752" s="28"/>
      <c r="G3752" s="26"/>
      <c r="H3752" s="32"/>
      <c r="I3752" s="32"/>
      <c r="J3752" s="32"/>
      <c r="K3752" s="32"/>
      <c r="L3752" s="32" t="e">
        <f ca="1">_xludf.ifna(VLOOKUP(E3752,Parámetros!$D$2:$E$34,2,0),"")</f>
        <v>#NAME?</v>
      </c>
      <c r="M3752" s="32" t="e">
        <f ca="1">_xludf.ifna(VLOOKUP(G3752,Proyectos!$A$2:$T$674,20,0),"")</f>
        <v>#NAME?</v>
      </c>
      <c r="N3752" s="32" t="e">
        <f ca="1">_xludf.ifna(VLOOKUP(G3752,Proyectos!$A$2:$S$674,19,0))</f>
        <v>#NAME?</v>
      </c>
      <c r="O3752" s="32"/>
      <c r="P3752" s="32"/>
      <c r="Q3752" s="33"/>
      <c r="R3752" s="33"/>
      <c r="S3752" s="33"/>
      <c r="T3752" s="63"/>
      <c r="U3752" s="33"/>
      <c r="V3752" s="33"/>
      <c r="W3752" s="33"/>
    </row>
    <row r="3753" spans="1:23" ht="16.5" customHeight="1" x14ac:dyDescent="0.2">
      <c r="A3753" s="26"/>
      <c r="B3753" s="26"/>
      <c r="C3753" s="26"/>
      <c r="D3753" s="26"/>
      <c r="E3753" s="26"/>
      <c r="F3753" s="28"/>
      <c r="G3753" s="26"/>
      <c r="H3753" s="32"/>
      <c r="I3753" s="32"/>
      <c r="J3753" s="32"/>
      <c r="K3753" s="32"/>
      <c r="L3753" s="32" t="e">
        <f ca="1">_xludf.ifna(VLOOKUP(E3753,Parámetros!$D$2:$E$34,2,0),"")</f>
        <v>#NAME?</v>
      </c>
      <c r="M3753" s="32" t="e">
        <f ca="1">_xludf.ifna(VLOOKUP(G3753,Proyectos!$A$2:$T$674,20,0),"")</f>
        <v>#NAME?</v>
      </c>
      <c r="N3753" s="32" t="e">
        <f ca="1">_xludf.ifna(VLOOKUP(G3753,Proyectos!$A$2:$S$674,19,0))</f>
        <v>#NAME?</v>
      </c>
      <c r="O3753" s="32"/>
      <c r="P3753" s="32"/>
      <c r="Q3753" s="33"/>
      <c r="R3753" s="33"/>
      <c r="S3753" s="33"/>
      <c r="T3753" s="63"/>
      <c r="U3753" s="33"/>
      <c r="V3753" s="33"/>
      <c r="W3753" s="33"/>
    </row>
    <row r="3754" spans="1:23" ht="16.5" customHeight="1" x14ac:dyDescent="0.2">
      <c r="A3754" s="26"/>
      <c r="B3754" s="26"/>
      <c r="C3754" s="26"/>
      <c r="D3754" s="26"/>
      <c r="E3754" s="26"/>
      <c r="F3754" s="28"/>
      <c r="G3754" s="26"/>
      <c r="H3754" s="32"/>
      <c r="I3754" s="32"/>
      <c r="J3754" s="32"/>
      <c r="K3754" s="32"/>
      <c r="L3754" s="32" t="e">
        <f ca="1">_xludf.ifna(VLOOKUP(E3754,Parámetros!$D$2:$E$34,2,0),"")</f>
        <v>#NAME?</v>
      </c>
      <c r="M3754" s="32" t="e">
        <f ca="1">_xludf.ifna(VLOOKUP(G3754,Proyectos!$A$2:$T$674,20,0),"")</f>
        <v>#NAME?</v>
      </c>
      <c r="N3754" s="32" t="e">
        <f ca="1">_xludf.ifna(VLOOKUP(G3754,Proyectos!$A$2:$S$674,19,0))</f>
        <v>#NAME?</v>
      </c>
      <c r="O3754" s="32"/>
      <c r="P3754" s="32"/>
      <c r="Q3754" s="33"/>
      <c r="R3754" s="33"/>
      <c r="S3754" s="33"/>
      <c r="T3754" s="63"/>
      <c r="U3754" s="33"/>
      <c r="V3754" s="33"/>
      <c r="W3754" s="33"/>
    </row>
    <row r="3755" spans="1:23" ht="16.5" customHeight="1" x14ac:dyDescent="0.2">
      <c r="A3755" s="26"/>
      <c r="B3755" s="26"/>
      <c r="C3755" s="26"/>
      <c r="D3755" s="26"/>
      <c r="E3755" s="26"/>
      <c r="F3755" s="28"/>
      <c r="G3755" s="26"/>
      <c r="H3755" s="32"/>
      <c r="I3755" s="32"/>
      <c r="J3755" s="32"/>
      <c r="K3755" s="32"/>
      <c r="L3755" s="32" t="e">
        <f ca="1">_xludf.ifna(VLOOKUP(E3755,Parámetros!$D$2:$E$34,2,0),"")</f>
        <v>#NAME?</v>
      </c>
      <c r="M3755" s="32" t="e">
        <f ca="1">_xludf.ifna(VLOOKUP(G3755,Proyectos!$A$2:$T$674,20,0),"")</f>
        <v>#NAME?</v>
      </c>
      <c r="N3755" s="32" t="e">
        <f ca="1">_xludf.ifna(VLOOKUP(G3755,Proyectos!$A$2:$S$674,19,0))</f>
        <v>#NAME?</v>
      </c>
      <c r="O3755" s="32"/>
      <c r="P3755" s="32"/>
      <c r="Q3755" s="33"/>
      <c r="R3755" s="33"/>
      <c r="S3755" s="33"/>
      <c r="T3755" s="63"/>
      <c r="U3755" s="33"/>
      <c r="V3755" s="33"/>
      <c r="W3755" s="33"/>
    </row>
    <row r="3756" spans="1:23" ht="16.5" customHeight="1" x14ac:dyDescent="0.2">
      <c r="A3756" s="26"/>
      <c r="B3756" s="26"/>
      <c r="C3756" s="26"/>
      <c r="D3756" s="26"/>
      <c r="E3756" s="26"/>
      <c r="F3756" s="28"/>
      <c r="G3756" s="26"/>
      <c r="H3756" s="32"/>
      <c r="I3756" s="32"/>
      <c r="J3756" s="32"/>
      <c r="K3756" s="32"/>
      <c r="L3756" s="32" t="e">
        <f ca="1">_xludf.ifna(VLOOKUP(E3756,Parámetros!$D$2:$E$34,2,0),"")</f>
        <v>#NAME?</v>
      </c>
      <c r="M3756" s="32" t="e">
        <f ca="1">_xludf.ifna(VLOOKUP(G3756,Proyectos!$A$2:$T$674,20,0),"")</f>
        <v>#NAME?</v>
      </c>
      <c r="N3756" s="32" t="e">
        <f ca="1">_xludf.ifna(VLOOKUP(G3756,Proyectos!$A$2:$S$674,19,0))</f>
        <v>#NAME?</v>
      </c>
      <c r="O3756" s="32"/>
      <c r="P3756" s="32"/>
      <c r="Q3756" s="33"/>
      <c r="R3756" s="33"/>
      <c r="S3756" s="33"/>
      <c r="T3756" s="63"/>
      <c r="U3756" s="33"/>
      <c r="V3756" s="33"/>
      <c r="W3756" s="33"/>
    </row>
    <row r="3757" spans="1:23" ht="16.5" customHeight="1" x14ac:dyDescent="0.2">
      <c r="A3757" s="26"/>
      <c r="B3757" s="26"/>
      <c r="C3757" s="26"/>
      <c r="D3757" s="26"/>
      <c r="E3757" s="26"/>
      <c r="F3757" s="28"/>
      <c r="G3757" s="26"/>
      <c r="H3757" s="32"/>
      <c r="I3757" s="32"/>
      <c r="J3757" s="32"/>
      <c r="K3757" s="32"/>
      <c r="L3757" s="32" t="e">
        <f ca="1">_xludf.ifna(VLOOKUP(E3757,Parámetros!$D$2:$E$34,2,0),"")</f>
        <v>#NAME?</v>
      </c>
      <c r="M3757" s="32" t="e">
        <f ca="1">_xludf.ifna(VLOOKUP(G3757,Proyectos!$A$2:$T$674,20,0),"")</f>
        <v>#NAME?</v>
      </c>
      <c r="N3757" s="32" t="e">
        <f ca="1">_xludf.ifna(VLOOKUP(G3757,Proyectos!$A$2:$S$674,19,0))</f>
        <v>#NAME?</v>
      </c>
      <c r="O3757" s="32"/>
      <c r="P3757" s="32"/>
      <c r="Q3757" s="33"/>
      <c r="R3757" s="33"/>
      <c r="S3757" s="33"/>
      <c r="T3757" s="63"/>
      <c r="U3757" s="33"/>
      <c r="V3757" s="33"/>
      <c r="W3757" s="33"/>
    </row>
    <row r="3758" spans="1:23" ht="16.5" customHeight="1" x14ac:dyDescent="0.2">
      <c r="A3758" s="26"/>
      <c r="B3758" s="26"/>
      <c r="C3758" s="26"/>
      <c r="D3758" s="26"/>
      <c r="E3758" s="26"/>
      <c r="F3758" s="28"/>
      <c r="G3758" s="26"/>
      <c r="H3758" s="32"/>
      <c r="I3758" s="32"/>
      <c r="J3758" s="32"/>
      <c r="K3758" s="32"/>
      <c r="L3758" s="32" t="e">
        <f ca="1">_xludf.ifna(VLOOKUP(E3758,Parámetros!$D$2:$E$34,2,0),"")</f>
        <v>#NAME?</v>
      </c>
      <c r="M3758" s="32" t="e">
        <f ca="1">_xludf.ifna(VLOOKUP(G3758,Proyectos!$A$2:$T$674,20,0),"")</f>
        <v>#NAME?</v>
      </c>
      <c r="N3758" s="32" t="e">
        <f ca="1">_xludf.ifna(VLOOKUP(G3758,Proyectos!$A$2:$S$674,19,0))</f>
        <v>#NAME?</v>
      </c>
      <c r="O3758" s="32"/>
      <c r="P3758" s="32"/>
      <c r="Q3758" s="33"/>
      <c r="R3758" s="33"/>
      <c r="S3758" s="33"/>
      <c r="T3758" s="63"/>
      <c r="U3758" s="33"/>
      <c r="V3758" s="33"/>
      <c r="W3758" s="33"/>
    </row>
    <row r="3759" spans="1:23" ht="16.5" customHeight="1" x14ac:dyDescent="0.2">
      <c r="A3759" s="26"/>
      <c r="B3759" s="26"/>
      <c r="C3759" s="26"/>
      <c r="D3759" s="26"/>
      <c r="E3759" s="26"/>
      <c r="F3759" s="28"/>
      <c r="G3759" s="26"/>
      <c r="H3759" s="32"/>
      <c r="I3759" s="32"/>
      <c r="J3759" s="32"/>
      <c r="K3759" s="32"/>
      <c r="L3759" s="32" t="e">
        <f ca="1">_xludf.ifna(VLOOKUP(E3759,Parámetros!$D$2:$E$34,2,0),"")</f>
        <v>#NAME?</v>
      </c>
      <c r="M3759" s="32" t="e">
        <f ca="1">_xludf.ifna(VLOOKUP(G3759,Proyectos!$A$2:$T$674,20,0),"")</f>
        <v>#NAME?</v>
      </c>
      <c r="N3759" s="32" t="e">
        <f ca="1">_xludf.ifna(VLOOKUP(G3759,Proyectos!$A$2:$S$674,19,0))</f>
        <v>#NAME?</v>
      </c>
      <c r="O3759" s="32"/>
      <c r="P3759" s="32"/>
      <c r="Q3759" s="33"/>
      <c r="R3759" s="33"/>
      <c r="S3759" s="33"/>
      <c r="T3759" s="63"/>
      <c r="U3759" s="33"/>
      <c r="V3759" s="33"/>
      <c r="W3759" s="33"/>
    </row>
    <row r="3760" spans="1:23" ht="16.5" customHeight="1" x14ac:dyDescent="0.2">
      <c r="A3760" s="26"/>
      <c r="B3760" s="26"/>
      <c r="C3760" s="26"/>
      <c r="D3760" s="26"/>
      <c r="E3760" s="26"/>
      <c r="F3760" s="28"/>
      <c r="G3760" s="26"/>
      <c r="H3760" s="32"/>
      <c r="I3760" s="32"/>
      <c r="J3760" s="32"/>
      <c r="K3760" s="32"/>
      <c r="L3760" s="32" t="e">
        <f ca="1">_xludf.ifna(VLOOKUP(E3760,Parámetros!$D$2:$E$34,2,0),"")</f>
        <v>#NAME?</v>
      </c>
      <c r="M3760" s="32" t="e">
        <f ca="1">_xludf.ifna(VLOOKUP(G3760,Proyectos!$A$2:$T$674,20,0),"")</f>
        <v>#NAME?</v>
      </c>
      <c r="N3760" s="32" t="e">
        <f ca="1">_xludf.ifna(VLOOKUP(G3760,Proyectos!$A$2:$S$674,19,0))</f>
        <v>#NAME?</v>
      </c>
      <c r="O3760" s="32"/>
      <c r="P3760" s="32"/>
      <c r="Q3760" s="33"/>
      <c r="R3760" s="33"/>
      <c r="S3760" s="33"/>
      <c r="T3760" s="63"/>
      <c r="U3760" s="33"/>
      <c r="V3760" s="33"/>
      <c r="W3760" s="33"/>
    </row>
    <row r="3761" spans="1:23" ht="16.5" customHeight="1" x14ac:dyDescent="0.2">
      <c r="A3761" s="26"/>
      <c r="B3761" s="26"/>
      <c r="C3761" s="26"/>
      <c r="D3761" s="26"/>
      <c r="E3761" s="26"/>
      <c r="F3761" s="28"/>
      <c r="G3761" s="26"/>
      <c r="H3761" s="32"/>
      <c r="I3761" s="32"/>
      <c r="J3761" s="32"/>
      <c r="K3761" s="32"/>
      <c r="L3761" s="32" t="e">
        <f ca="1">_xludf.ifna(VLOOKUP(E3761,Parámetros!$D$2:$E$34,2,0),"")</f>
        <v>#NAME?</v>
      </c>
      <c r="M3761" s="32" t="e">
        <f ca="1">_xludf.ifna(VLOOKUP(G3761,Proyectos!$A$2:$T$674,20,0),"")</f>
        <v>#NAME?</v>
      </c>
      <c r="N3761" s="32" t="e">
        <f ca="1">_xludf.ifna(VLOOKUP(G3761,Proyectos!$A$2:$S$674,19,0))</f>
        <v>#NAME?</v>
      </c>
      <c r="O3761" s="32"/>
      <c r="P3761" s="32"/>
      <c r="Q3761" s="33"/>
      <c r="R3761" s="33"/>
      <c r="S3761" s="33"/>
      <c r="T3761" s="63"/>
      <c r="U3761" s="33"/>
      <c r="V3761" s="33"/>
      <c r="W3761" s="33"/>
    </row>
    <row r="3762" spans="1:23" ht="16.5" customHeight="1" x14ac:dyDescent="0.2">
      <c r="A3762" s="26"/>
      <c r="B3762" s="26"/>
      <c r="C3762" s="26"/>
      <c r="D3762" s="26"/>
      <c r="E3762" s="26"/>
      <c r="F3762" s="28"/>
      <c r="G3762" s="26"/>
      <c r="H3762" s="32"/>
      <c r="I3762" s="32"/>
      <c r="J3762" s="32"/>
      <c r="K3762" s="32"/>
      <c r="L3762" s="32" t="e">
        <f ca="1">_xludf.ifna(VLOOKUP(E3762,Parámetros!$D$2:$E$34,2,0),"")</f>
        <v>#NAME?</v>
      </c>
      <c r="M3762" s="32" t="e">
        <f ca="1">_xludf.ifna(VLOOKUP(G3762,Proyectos!$A$2:$T$674,20,0),"")</f>
        <v>#NAME?</v>
      </c>
      <c r="N3762" s="32" t="e">
        <f ca="1">_xludf.ifna(VLOOKUP(G3762,Proyectos!$A$2:$S$674,19,0))</f>
        <v>#NAME?</v>
      </c>
      <c r="O3762" s="32"/>
      <c r="P3762" s="32"/>
      <c r="Q3762" s="33"/>
      <c r="R3762" s="33"/>
      <c r="S3762" s="33"/>
      <c r="T3762" s="63"/>
      <c r="U3762" s="33"/>
      <c r="V3762" s="33"/>
      <c r="W3762" s="33"/>
    </row>
    <row r="3763" spans="1:23" ht="16.5" customHeight="1" x14ac:dyDescent="0.2">
      <c r="A3763" s="26"/>
      <c r="B3763" s="26"/>
      <c r="C3763" s="26"/>
      <c r="D3763" s="26"/>
      <c r="E3763" s="26"/>
      <c r="F3763" s="28"/>
      <c r="G3763" s="26"/>
      <c r="H3763" s="32"/>
      <c r="I3763" s="32"/>
      <c r="J3763" s="32"/>
      <c r="K3763" s="32"/>
      <c r="L3763" s="32" t="e">
        <f ca="1">_xludf.ifna(VLOOKUP(E3763,Parámetros!$D$2:$E$34,2,0),"")</f>
        <v>#NAME?</v>
      </c>
      <c r="M3763" s="32" t="e">
        <f ca="1">_xludf.ifna(VLOOKUP(G3763,Proyectos!$A$2:$T$674,20,0),"")</f>
        <v>#NAME?</v>
      </c>
      <c r="N3763" s="32" t="e">
        <f ca="1">_xludf.ifna(VLOOKUP(G3763,Proyectos!$A$2:$S$674,19,0))</f>
        <v>#NAME?</v>
      </c>
      <c r="O3763" s="32"/>
      <c r="P3763" s="32"/>
      <c r="Q3763" s="33"/>
      <c r="R3763" s="33"/>
      <c r="S3763" s="33"/>
      <c r="T3763" s="63"/>
      <c r="U3763" s="33"/>
      <c r="V3763" s="33"/>
      <c r="W3763" s="33"/>
    </row>
    <row r="3764" spans="1:23" ht="16.5" customHeight="1" x14ac:dyDescent="0.2">
      <c r="A3764" s="26"/>
      <c r="B3764" s="26"/>
      <c r="C3764" s="26"/>
      <c r="D3764" s="26"/>
      <c r="E3764" s="26"/>
      <c r="F3764" s="28"/>
      <c r="G3764" s="26"/>
      <c r="H3764" s="32"/>
      <c r="I3764" s="32"/>
      <c r="J3764" s="32"/>
      <c r="K3764" s="32"/>
      <c r="L3764" s="32" t="e">
        <f ca="1">_xludf.ifna(VLOOKUP(E3764,Parámetros!$D$2:$E$34,2,0),"")</f>
        <v>#NAME?</v>
      </c>
      <c r="M3764" s="32" t="e">
        <f ca="1">_xludf.ifna(VLOOKUP(G3764,Proyectos!$A$2:$T$674,20,0),"")</f>
        <v>#NAME?</v>
      </c>
      <c r="N3764" s="32" t="e">
        <f ca="1">_xludf.ifna(VLOOKUP(G3764,Proyectos!$A$2:$S$674,19,0))</f>
        <v>#NAME?</v>
      </c>
      <c r="O3764" s="32"/>
      <c r="P3764" s="32"/>
      <c r="Q3764" s="33"/>
      <c r="R3764" s="33"/>
      <c r="S3764" s="33"/>
      <c r="T3764" s="63"/>
      <c r="U3764" s="33"/>
      <c r="V3764" s="33"/>
      <c r="W3764" s="33"/>
    </row>
    <row r="3765" spans="1:23" ht="16.5" customHeight="1" x14ac:dyDescent="0.2">
      <c r="A3765" s="26"/>
      <c r="B3765" s="26"/>
      <c r="C3765" s="26"/>
      <c r="D3765" s="26"/>
      <c r="E3765" s="26"/>
      <c r="F3765" s="28"/>
      <c r="G3765" s="26"/>
      <c r="H3765" s="32"/>
      <c r="I3765" s="32"/>
      <c r="J3765" s="32"/>
      <c r="K3765" s="32"/>
      <c r="L3765" s="32" t="e">
        <f ca="1">_xludf.ifna(VLOOKUP(E3765,Parámetros!$D$2:$E$34,2,0),"")</f>
        <v>#NAME?</v>
      </c>
      <c r="M3765" s="32" t="e">
        <f ca="1">_xludf.ifna(VLOOKUP(G3765,Proyectos!$A$2:$T$674,20,0),"")</f>
        <v>#NAME?</v>
      </c>
      <c r="N3765" s="32" t="e">
        <f ca="1">_xludf.ifna(VLOOKUP(G3765,Proyectos!$A$2:$S$674,19,0))</f>
        <v>#NAME?</v>
      </c>
      <c r="O3765" s="32"/>
      <c r="P3765" s="32"/>
      <c r="Q3765" s="33"/>
      <c r="R3765" s="33"/>
      <c r="S3765" s="33"/>
      <c r="T3765" s="63"/>
      <c r="U3765" s="33"/>
      <c r="V3765" s="33"/>
      <c r="W3765" s="33"/>
    </row>
    <row r="3766" spans="1:23" ht="16.5" customHeight="1" x14ac:dyDescent="0.2">
      <c r="A3766" s="26"/>
      <c r="B3766" s="26"/>
      <c r="C3766" s="26"/>
      <c r="D3766" s="26"/>
      <c r="E3766" s="26"/>
      <c r="F3766" s="28"/>
      <c r="G3766" s="26"/>
      <c r="H3766" s="32"/>
      <c r="I3766" s="32"/>
      <c r="J3766" s="32"/>
      <c r="K3766" s="32"/>
      <c r="L3766" s="32" t="e">
        <f ca="1">_xludf.ifna(VLOOKUP(E3766,Parámetros!$D$2:$E$34,2,0),"")</f>
        <v>#NAME?</v>
      </c>
      <c r="M3766" s="32" t="e">
        <f ca="1">_xludf.ifna(VLOOKUP(G3766,Proyectos!$A$2:$T$674,20,0),"")</f>
        <v>#NAME?</v>
      </c>
      <c r="N3766" s="32" t="e">
        <f ca="1">_xludf.ifna(VLOOKUP(G3766,Proyectos!$A$2:$S$674,19,0))</f>
        <v>#NAME?</v>
      </c>
      <c r="O3766" s="32"/>
      <c r="P3766" s="32"/>
      <c r="Q3766" s="33"/>
      <c r="R3766" s="33"/>
      <c r="S3766" s="33"/>
      <c r="T3766" s="63"/>
      <c r="U3766" s="33"/>
      <c r="V3766" s="33"/>
      <c r="W3766" s="33"/>
    </row>
    <row r="3767" spans="1:23" ht="16.5" customHeight="1" x14ac:dyDescent="0.2">
      <c r="A3767" s="26"/>
      <c r="B3767" s="26"/>
      <c r="C3767" s="26"/>
      <c r="D3767" s="26"/>
      <c r="E3767" s="26"/>
      <c r="F3767" s="28"/>
      <c r="G3767" s="26"/>
      <c r="H3767" s="32"/>
      <c r="I3767" s="32"/>
      <c r="J3767" s="32"/>
      <c r="K3767" s="32"/>
      <c r="L3767" s="32" t="e">
        <f ca="1">_xludf.ifna(VLOOKUP(E3767,Parámetros!$D$2:$E$34,2,0),"")</f>
        <v>#NAME?</v>
      </c>
      <c r="M3767" s="32" t="e">
        <f ca="1">_xludf.ifna(VLOOKUP(G3767,Proyectos!$A$2:$T$674,20,0),"")</f>
        <v>#NAME?</v>
      </c>
      <c r="N3767" s="32" t="e">
        <f ca="1">_xludf.ifna(VLOOKUP(G3767,Proyectos!$A$2:$S$674,19,0))</f>
        <v>#NAME?</v>
      </c>
      <c r="O3767" s="32"/>
      <c r="P3767" s="32"/>
      <c r="Q3767" s="33"/>
      <c r="R3767" s="33"/>
      <c r="S3767" s="33"/>
      <c r="T3767" s="63"/>
      <c r="U3767" s="33"/>
      <c r="V3767" s="33"/>
      <c r="W3767" s="33"/>
    </row>
    <row r="3768" spans="1:23" ht="16.5" customHeight="1" x14ac:dyDescent="0.2">
      <c r="A3768" s="26"/>
      <c r="B3768" s="26"/>
      <c r="C3768" s="26"/>
      <c r="D3768" s="26"/>
      <c r="E3768" s="26"/>
      <c r="F3768" s="28"/>
      <c r="G3768" s="26"/>
      <c r="H3768" s="32"/>
      <c r="I3768" s="32"/>
      <c r="J3768" s="32"/>
      <c r="K3768" s="32"/>
      <c r="L3768" s="32" t="e">
        <f ca="1">_xludf.ifna(VLOOKUP(E3768,Parámetros!$D$2:$E$34,2,0),"")</f>
        <v>#NAME?</v>
      </c>
      <c r="M3768" s="32" t="e">
        <f ca="1">_xludf.ifna(VLOOKUP(G3768,Proyectos!$A$2:$T$674,20,0),"")</f>
        <v>#NAME?</v>
      </c>
      <c r="N3768" s="32" t="e">
        <f ca="1">_xludf.ifna(VLOOKUP(G3768,Proyectos!$A$2:$S$674,19,0))</f>
        <v>#NAME?</v>
      </c>
      <c r="O3768" s="32"/>
      <c r="P3768" s="32"/>
      <c r="Q3768" s="33"/>
      <c r="R3768" s="33"/>
      <c r="S3768" s="33"/>
      <c r="T3768" s="63"/>
      <c r="U3768" s="33"/>
      <c r="V3768" s="33"/>
      <c r="W3768" s="33"/>
    </row>
    <row r="3769" spans="1:23" ht="16.5" customHeight="1" x14ac:dyDescent="0.2">
      <c r="A3769" s="26"/>
      <c r="B3769" s="26"/>
      <c r="C3769" s="26"/>
      <c r="D3769" s="26"/>
      <c r="E3769" s="26"/>
      <c r="F3769" s="28"/>
      <c r="G3769" s="26"/>
      <c r="H3769" s="32"/>
      <c r="I3769" s="32"/>
      <c r="J3769" s="32"/>
      <c r="K3769" s="32"/>
      <c r="L3769" s="32" t="e">
        <f ca="1">_xludf.ifna(VLOOKUP(E3769,Parámetros!$D$2:$E$34,2,0),"")</f>
        <v>#NAME?</v>
      </c>
      <c r="M3769" s="32" t="e">
        <f ca="1">_xludf.ifna(VLOOKUP(G3769,Proyectos!$A$2:$T$674,20,0),"")</f>
        <v>#NAME?</v>
      </c>
      <c r="N3769" s="32" t="e">
        <f ca="1">_xludf.ifna(VLOOKUP(G3769,Proyectos!$A$2:$S$674,19,0))</f>
        <v>#NAME?</v>
      </c>
      <c r="O3769" s="32"/>
      <c r="P3769" s="32"/>
      <c r="Q3769" s="33"/>
      <c r="R3769" s="33"/>
      <c r="S3769" s="33"/>
      <c r="T3769" s="63"/>
      <c r="U3769" s="33"/>
      <c r="V3769" s="33"/>
      <c r="W3769" s="33"/>
    </row>
    <row r="3770" spans="1:23" ht="16.5" customHeight="1" x14ac:dyDescent="0.2">
      <c r="A3770" s="26"/>
      <c r="B3770" s="26"/>
      <c r="C3770" s="26"/>
      <c r="D3770" s="26"/>
      <c r="E3770" s="26"/>
      <c r="F3770" s="28"/>
      <c r="G3770" s="26"/>
      <c r="H3770" s="32"/>
      <c r="I3770" s="32"/>
      <c r="J3770" s="32"/>
      <c r="K3770" s="32"/>
      <c r="L3770" s="32" t="e">
        <f ca="1">_xludf.ifna(VLOOKUP(E3770,Parámetros!$D$2:$E$34,2,0),"")</f>
        <v>#NAME?</v>
      </c>
      <c r="M3770" s="32" t="e">
        <f ca="1">_xludf.ifna(VLOOKUP(G3770,Proyectos!$A$2:$T$674,20,0),"")</f>
        <v>#NAME?</v>
      </c>
      <c r="N3770" s="32" t="e">
        <f ca="1">_xludf.ifna(VLOOKUP(G3770,Proyectos!$A$2:$S$674,19,0))</f>
        <v>#NAME?</v>
      </c>
      <c r="O3770" s="32"/>
      <c r="P3770" s="32"/>
      <c r="Q3770" s="33"/>
      <c r="R3770" s="33"/>
      <c r="S3770" s="33"/>
      <c r="T3770" s="63"/>
      <c r="U3770" s="33"/>
      <c r="V3770" s="33"/>
      <c r="W3770" s="33"/>
    </row>
    <row r="3771" spans="1:23" ht="16.5" customHeight="1" x14ac:dyDescent="0.2">
      <c r="A3771" s="26"/>
      <c r="B3771" s="26"/>
      <c r="C3771" s="26"/>
      <c r="D3771" s="26"/>
      <c r="E3771" s="26"/>
      <c r="F3771" s="28"/>
      <c r="G3771" s="26"/>
      <c r="H3771" s="32"/>
      <c r="I3771" s="32"/>
      <c r="J3771" s="32"/>
      <c r="K3771" s="32"/>
      <c r="L3771" s="32" t="e">
        <f ca="1">_xludf.ifna(VLOOKUP(E3771,Parámetros!$D$2:$E$34,2,0),"")</f>
        <v>#NAME?</v>
      </c>
      <c r="M3771" s="32" t="e">
        <f ca="1">_xludf.ifna(VLOOKUP(G3771,Proyectos!$A$2:$T$674,20,0),"")</f>
        <v>#NAME?</v>
      </c>
      <c r="N3771" s="32" t="e">
        <f ca="1">_xludf.ifna(VLOOKUP(G3771,Proyectos!$A$2:$S$674,19,0))</f>
        <v>#NAME?</v>
      </c>
      <c r="O3771" s="32"/>
      <c r="P3771" s="32"/>
      <c r="Q3771" s="33"/>
      <c r="R3771" s="33"/>
      <c r="S3771" s="33"/>
      <c r="T3771" s="63"/>
      <c r="U3771" s="33"/>
      <c r="V3771" s="33"/>
      <c r="W3771" s="33"/>
    </row>
    <row r="3772" spans="1:23" ht="16.5" customHeight="1" x14ac:dyDescent="0.2">
      <c r="A3772" s="26"/>
      <c r="B3772" s="26"/>
      <c r="C3772" s="26"/>
      <c r="D3772" s="26"/>
      <c r="E3772" s="26"/>
      <c r="F3772" s="28"/>
      <c r="G3772" s="26"/>
      <c r="H3772" s="32"/>
      <c r="I3772" s="32"/>
      <c r="J3772" s="32"/>
      <c r="K3772" s="32"/>
      <c r="L3772" s="32" t="e">
        <f ca="1">_xludf.ifna(VLOOKUP(E3772,Parámetros!$D$2:$E$34,2,0),"")</f>
        <v>#NAME?</v>
      </c>
      <c r="M3772" s="32" t="e">
        <f ca="1">_xludf.ifna(VLOOKUP(G3772,Proyectos!$A$2:$T$674,20,0),"")</f>
        <v>#NAME?</v>
      </c>
      <c r="N3772" s="32" t="e">
        <f ca="1">_xludf.ifna(VLOOKUP(G3772,Proyectos!$A$2:$S$674,19,0))</f>
        <v>#NAME?</v>
      </c>
      <c r="O3772" s="32"/>
      <c r="P3772" s="32"/>
      <c r="Q3772" s="33"/>
      <c r="R3772" s="33"/>
      <c r="S3772" s="33"/>
      <c r="T3772" s="63"/>
      <c r="U3772" s="33"/>
      <c r="V3772" s="33"/>
      <c r="W3772" s="33"/>
    </row>
    <row r="3773" spans="1:23" ht="16.5" customHeight="1" x14ac:dyDescent="0.2">
      <c r="A3773" s="26"/>
      <c r="B3773" s="26"/>
      <c r="C3773" s="26"/>
      <c r="D3773" s="26"/>
      <c r="E3773" s="26"/>
      <c r="F3773" s="28"/>
      <c r="G3773" s="26"/>
      <c r="H3773" s="32"/>
      <c r="I3773" s="32"/>
      <c r="J3773" s="32"/>
      <c r="K3773" s="32"/>
      <c r="L3773" s="32" t="e">
        <f ca="1">_xludf.ifna(VLOOKUP(E3773,Parámetros!$D$2:$E$34,2,0),"")</f>
        <v>#NAME?</v>
      </c>
      <c r="M3773" s="32" t="e">
        <f ca="1">_xludf.ifna(VLOOKUP(G3773,Proyectos!$A$2:$T$674,20,0),"")</f>
        <v>#NAME?</v>
      </c>
      <c r="N3773" s="32" t="e">
        <f ca="1">_xludf.ifna(VLOOKUP(G3773,Proyectos!$A$2:$S$674,19,0))</f>
        <v>#NAME?</v>
      </c>
      <c r="O3773" s="32"/>
      <c r="P3773" s="32"/>
      <c r="Q3773" s="33"/>
      <c r="R3773" s="33"/>
      <c r="S3773" s="33"/>
      <c r="T3773" s="63"/>
      <c r="U3773" s="33"/>
      <c r="V3773" s="33"/>
      <c r="W3773" s="33"/>
    </row>
    <row r="3774" spans="1:23" ht="16.5" customHeight="1" x14ac:dyDescent="0.2">
      <c r="A3774" s="26"/>
      <c r="B3774" s="26"/>
      <c r="C3774" s="26"/>
      <c r="D3774" s="26"/>
      <c r="E3774" s="26"/>
      <c r="F3774" s="28"/>
      <c r="G3774" s="26"/>
      <c r="H3774" s="32"/>
      <c r="I3774" s="32"/>
      <c r="J3774" s="32"/>
      <c r="K3774" s="32"/>
      <c r="L3774" s="32" t="e">
        <f ca="1">_xludf.ifna(VLOOKUP(E3774,Parámetros!$D$2:$E$34,2,0),"")</f>
        <v>#NAME?</v>
      </c>
      <c r="M3774" s="32" t="e">
        <f ca="1">_xludf.ifna(VLOOKUP(G3774,Proyectos!$A$2:$T$674,20,0),"")</f>
        <v>#NAME?</v>
      </c>
      <c r="N3774" s="32" t="e">
        <f ca="1">_xludf.ifna(VLOOKUP(G3774,Proyectos!$A$2:$S$674,19,0))</f>
        <v>#NAME?</v>
      </c>
      <c r="O3774" s="32"/>
      <c r="P3774" s="32"/>
      <c r="Q3774" s="33"/>
      <c r="R3774" s="33"/>
      <c r="S3774" s="33"/>
      <c r="T3774" s="63"/>
      <c r="U3774" s="33"/>
      <c r="V3774" s="33"/>
      <c r="W3774" s="33"/>
    </row>
    <row r="3775" spans="1:23" ht="16.5" customHeight="1" x14ac:dyDescent="0.2">
      <c r="A3775" s="26"/>
      <c r="B3775" s="26"/>
      <c r="C3775" s="26"/>
      <c r="D3775" s="26"/>
      <c r="E3775" s="26"/>
      <c r="F3775" s="28"/>
      <c r="G3775" s="26"/>
      <c r="H3775" s="32"/>
      <c r="I3775" s="32"/>
      <c r="J3775" s="32"/>
      <c r="K3775" s="32"/>
      <c r="L3775" s="32" t="e">
        <f ca="1">_xludf.ifna(VLOOKUP(E3775,Parámetros!$D$2:$E$34,2,0),"")</f>
        <v>#NAME?</v>
      </c>
      <c r="M3775" s="32" t="e">
        <f ca="1">_xludf.ifna(VLOOKUP(G3775,Proyectos!$A$2:$T$674,20,0),"")</f>
        <v>#NAME?</v>
      </c>
      <c r="N3775" s="32" t="e">
        <f ca="1">_xludf.ifna(VLOOKUP(G3775,Proyectos!$A$2:$S$674,19,0))</f>
        <v>#NAME?</v>
      </c>
      <c r="O3775" s="32"/>
      <c r="P3775" s="32"/>
      <c r="Q3775" s="33"/>
      <c r="R3775" s="33"/>
      <c r="S3775" s="33"/>
      <c r="T3775" s="63"/>
      <c r="U3775" s="33"/>
      <c r="V3775" s="33"/>
      <c r="W3775" s="33"/>
    </row>
    <row r="3776" spans="1:23" ht="16.5" customHeight="1" x14ac:dyDescent="0.2">
      <c r="A3776" s="26"/>
      <c r="B3776" s="26"/>
      <c r="C3776" s="26"/>
      <c r="D3776" s="26"/>
      <c r="E3776" s="26"/>
      <c r="F3776" s="28"/>
      <c r="G3776" s="26"/>
      <c r="H3776" s="32"/>
      <c r="I3776" s="32"/>
      <c r="J3776" s="32"/>
      <c r="K3776" s="32"/>
      <c r="L3776" s="32" t="e">
        <f ca="1">_xludf.ifna(VLOOKUP(E3776,Parámetros!$D$2:$E$34,2,0),"")</f>
        <v>#NAME?</v>
      </c>
      <c r="M3776" s="32" t="e">
        <f ca="1">_xludf.ifna(VLOOKUP(G3776,Proyectos!$A$2:$T$674,20,0),"")</f>
        <v>#NAME?</v>
      </c>
      <c r="N3776" s="32" t="e">
        <f ca="1">_xludf.ifna(VLOOKUP(G3776,Proyectos!$A$2:$S$674,19,0))</f>
        <v>#NAME?</v>
      </c>
      <c r="O3776" s="32"/>
      <c r="P3776" s="32"/>
      <c r="Q3776" s="33"/>
      <c r="R3776" s="33"/>
      <c r="S3776" s="33"/>
      <c r="T3776" s="63"/>
      <c r="U3776" s="33"/>
      <c r="V3776" s="33"/>
      <c r="W3776" s="33"/>
    </row>
    <row r="3777" spans="1:23" ht="16.5" customHeight="1" x14ac:dyDescent="0.2">
      <c r="A3777" s="26"/>
      <c r="B3777" s="26"/>
      <c r="C3777" s="26"/>
      <c r="D3777" s="26"/>
      <c r="E3777" s="26"/>
      <c r="F3777" s="28"/>
      <c r="G3777" s="26"/>
      <c r="H3777" s="32"/>
      <c r="I3777" s="32"/>
      <c r="J3777" s="32"/>
      <c r="K3777" s="32"/>
      <c r="L3777" s="32" t="e">
        <f ca="1">_xludf.ifna(VLOOKUP(E3777,Parámetros!$D$2:$E$34,2,0),"")</f>
        <v>#NAME?</v>
      </c>
      <c r="M3777" s="32" t="e">
        <f ca="1">_xludf.ifna(VLOOKUP(G3777,Proyectos!$A$2:$T$674,20,0),"")</f>
        <v>#NAME?</v>
      </c>
      <c r="N3777" s="32" t="e">
        <f ca="1">_xludf.ifna(VLOOKUP(G3777,Proyectos!$A$2:$S$674,19,0))</f>
        <v>#NAME?</v>
      </c>
      <c r="O3777" s="32"/>
      <c r="P3777" s="32"/>
      <c r="Q3777" s="33"/>
      <c r="R3777" s="33"/>
      <c r="S3777" s="33"/>
      <c r="T3777" s="63"/>
      <c r="U3777" s="33"/>
      <c r="V3777" s="33"/>
      <c r="W3777" s="33"/>
    </row>
    <row r="3778" spans="1:23" ht="16.5" customHeight="1" x14ac:dyDescent="0.2">
      <c r="A3778" s="26"/>
      <c r="B3778" s="26"/>
      <c r="C3778" s="26"/>
      <c r="D3778" s="26"/>
      <c r="E3778" s="26"/>
      <c r="F3778" s="28"/>
      <c r="G3778" s="26"/>
      <c r="H3778" s="32"/>
      <c r="I3778" s="32"/>
      <c r="J3778" s="32"/>
      <c r="K3778" s="32"/>
      <c r="L3778" s="32" t="e">
        <f ca="1">_xludf.ifna(VLOOKUP(E3778,Parámetros!$D$2:$E$34,2,0),"")</f>
        <v>#NAME?</v>
      </c>
      <c r="M3778" s="32" t="e">
        <f ca="1">_xludf.ifna(VLOOKUP(G3778,Proyectos!$A$2:$T$674,20,0),"")</f>
        <v>#NAME?</v>
      </c>
      <c r="N3778" s="32" t="e">
        <f ca="1">_xludf.ifna(VLOOKUP(G3778,Proyectos!$A$2:$S$674,19,0))</f>
        <v>#NAME?</v>
      </c>
      <c r="O3778" s="32"/>
      <c r="P3778" s="32"/>
      <c r="Q3778" s="33"/>
      <c r="R3778" s="33"/>
      <c r="S3778" s="33"/>
      <c r="T3778" s="63"/>
      <c r="U3778" s="33"/>
      <c r="V3778" s="33"/>
      <c r="W3778" s="33"/>
    </row>
    <row r="3779" spans="1:23" ht="16.5" customHeight="1" x14ac:dyDescent="0.2">
      <c r="A3779" s="26"/>
      <c r="B3779" s="26"/>
      <c r="C3779" s="26"/>
      <c r="D3779" s="26"/>
      <c r="E3779" s="26"/>
      <c r="F3779" s="28"/>
      <c r="G3779" s="26"/>
      <c r="H3779" s="32"/>
      <c r="I3779" s="32"/>
      <c r="J3779" s="32"/>
      <c r="K3779" s="32"/>
      <c r="L3779" s="32" t="e">
        <f ca="1">_xludf.ifna(VLOOKUP(E3779,Parámetros!$D$2:$E$34,2,0),"")</f>
        <v>#NAME?</v>
      </c>
      <c r="M3779" s="32" t="e">
        <f ca="1">_xludf.ifna(VLOOKUP(G3779,Proyectos!$A$2:$T$674,20,0),"")</f>
        <v>#NAME?</v>
      </c>
      <c r="N3779" s="32" t="e">
        <f ca="1">_xludf.ifna(VLOOKUP(G3779,Proyectos!$A$2:$S$674,19,0))</f>
        <v>#NAME?</v>
      </c>
      <c r="O3779" s="32"/>
      <c r="P3779" s="32"/>
      <c r="Q3779" s="33"/>
      <c r="R3779" s="33"/>
      <c r="S3779" s="33"/>
      <c r="T3779" s="63"/>
      <c r="U3779" s="33"/>
      <c r="V3779" s="33"/>
      <c r="W3779" s="33"/>
    </row>
    <row r="3780" spans="1:23" ht="16.5" customHeight="1" x14ac:dyDescent="0.2">
      <c r="A3780" s="26"/>
      <c r="B3780" s="26"/>
      <c r="C3780" s="26"/>
      <c r="D3780" s="26"/>
      <c r="E3780" s="26"/>
      <c r="F3780" s="28"/>
      <c r="G3780" s="26"/>
      <c r="H3780" s="32"/>
      <c r="I3780" s="32"/>
      <c r="J3780" s="32"/>
      <c r="K3780" s="32"/>
      <c r="L3780" s="32" t="e">
        <f ca="1">_xludf.ifna(VLOOKUP(E3780,Parámetros!$D$2:$E$34,2,0),"")</f>
        <v>#NAME?</v>
      </c>
      <c r="M3780" s="32" t="e">
        <f ca="1">_xludf.ifna(VLOOKUP(G3780,Proyectos!$A$2:$T$674,20,0),"")</f>
        <v>#NAME?</v>
      </c>
      <c r="N3780" s="32" t="e">
        <f ca="1">_xludf.ifna(VLOOKUP(G3780,Proyectos!$A$2:$S$674,19,0))</f>
        <v>#NAME?</v>
      </c>
      <c r="O3780" s="32"/>
      <c r="P3780" s="32"/>
      <c r="Q3780" s="33"/>
      <c r="R3780" s="33"/>
      <c r="S3780" s="33"/>
      <c r="T3780" s="63"/>
      <c r="U3780" s="33"/>
      <c r="V3780" s="33"/>
      <c r="W3780" s="33"/>
    </row>
    <row r="3781" spans="1:23" ht="16.5" customHeight="1" x14ac:dyDescent="0.2">
      <c r="A3781" s="26"/>
      <c r="B3781" s="26"/>
      <c r="C3781" s="26"/>
      <c r="D3781" s="26"/>
      <c r="E3781" s="26"/>
      <c r="F3781" s="28"/>
      <c r="G3781" s="26"/>
      <c r="H3781" s="32"/>
      <c r="I3781" s="32"/>
      <c r="J3781" s="32"/>
      <c r="K3781" s="32"/>
      <c r="L3781" s="32" t="e">
        <f ca="1">_xludf.ifna(VLOOKUP(E3781,Parámetros!$D$2:$E$34,2,0),"")</f>
        <v>#NAME?</v>
      </c>
      <c r="M3781" s="32" t="e">
        <f ca="1">_xludf.ifna(VLOOKUP(G3781,Proyectos!$A$2:$T$674,20,0),"")</f>
        <v>#NAME?</v>
      </c>
      <c r="N3781" s="32" t="e">
        <f ca="1">_xludf.ifna(VLOOKUP(G3781,Proyectos!$A$2:$S$674,19,0))</f>
        <v>#NAME?</v>
      </c>
      <c r="O3781" s="32"/>
      <c r="P3781" s="32"/>
      <c r="Q3781" s="33"/>
      <c r="R3781" s="33"/>
      <c r="S3781" s="33"/>
      <c r="T3781" s="63"/>
      <c r="U3781" s="33"/>
      <c r="V3781" s="33"/>
      <c r="W3781" s="33"/>
    </row>
    <row r="3782" spans="1:23" ht="16.5" customHeight="1" x14ac:dyDescent="0.2">
      <c r="A3782" s="26"/>
      <c r="B3782" s="26"/>
      <c r="C3782" s="26"/>
      <c r="D3782" s="26"/>
      <c r="E3782" s="26"/>
      <c r="F3782" s="28"/>
      <c r="G3782" s="26"/>
      <c r="H3782" s="32"/>
      <c r="I3782" s="32"/>
      <c r="J3782" s="32"/>
      <c r="K3782" s="32"/>
      <c r="L3782" s="32" t="e">
        <f ca="1">_xludf.ifna(VLOOKUP(E3782,Parámetros!$D$2:$E$34,2,0),"")</f>
        <v>#NAME?</v>
      </c>
      <c r="M3782" s="32" t="e">
        <f ca="1">_xludf.ifna(VLOOKUP(G3782,Proyectos!$A$2:$T$674,20,0),"")</f>
        <v>#NAME?</v>
      </c>
      <c r="N3782" s="32" t="e">
        <f ca="1">_xludf.ifna(VLOOKUP(G3782,Proyectos!$A$2:$S$674,19,0))</f>
        <v>#NAME?</v>
      </c>
      <c r="O3782" s="32"/>
      <c r="P3782" s="32"/>
      <c r="Q3782" s="33"/>
      <c r="R3782" s="33"/>
      <c r="S3782" s="33"/>
      <c r="T3782" s="63"/>
      <c r="U3782" s="33"/>
      <c r="V3782" s="33"/>
      <c r="W3782" s="33"/>
    </row>
    <row r="3783" spans="1:23" ht="16.5" customHeight="1" x14ac:dyDescent="0.2">
      <c r="A3783" s="26"/>
      <c r="B3783" s="26"/>
      <c r="C3783" s="26"/>
      <c r="D3783" s="26"/>
      <c r="E3783" s="26"/>
      <c r="F3783" s="28"/>
      <c r="G3783" s="26"/>
      <c r="H3783" s="32"/>
      <c r="I3783" s="32"/>
      <c r="J3783" s="32"/>
      <c r="K3783" s="32"/>
      <c r="L3783" s="32" t="e">
        <f ca="1">_xludf.ifna(VLOOKUP(E3783,Parámetros!$D$2:$E$34,2,0),"")</f>
        <v>#NAME?</v>
      </c>
      <c r="M3783" s="32" t="e">
        <f ca="1">_xludf.ifna(VLOOKUP(G3783,Proyectos!$A$2:$T$674,20,0),"")</f>
        <v>#NAME?</v>
      </c>
      <c r="N3783" s="32" t="e">
        <f ca="1">_xludf.ifna(VLOOKUP(G3783,Proyectos!$A$2:$S$674,19,0))</f>
        <v>#NAME?</v>
      </c>
      <c r="O3783" s="32"/>
      <c r="P3783" s="32"/>
      <c r="Q3783" s="33"/>
      <c r="R3783" s="33"/>
      <c r="S3783" s="33"/>
      <c r="T3783" s="63"/>
      <c r="U3783" s="33"/>
      <c r="V3783" s="33"/>
      <c r="W3783" s="33"/>
    </row>
    <row r="3784" spans="1:23" ht="16.5" customHeight="1" x14ac:dyDescent="0.2">
      <c r="A3784" s="26"/>
      <c r="B3784" s="26"/>
      <c r="C3784" s="26"/>
      <c r="D3784" s="26"/>
      <c r="E3784" s="26"/>
      <c r="F3784" s="28"/>
      <c r="G3784" s="26"/>
      <c r="H3784" s="32"/>
      <c r="I3784" s="32"/>
      <c r="J3784" s="32"/>
      <c r="K3784" s="32"/>
      <c r="L3784" s="32" t="e">
        <f ca="1">_xludf.ifna(VLOOKUP(E3784,Parámetros!$D$2:$E$34,2,0),"")</f>
        <v>#NAME?</v>
      </c>
      <c r="M3784" s="32" t="e">
        <f ca="1">_xludf.ifna(VLOOKUP(G3784,Proyectos!$A$2:$T$674,20,0),"")</f>
        <v>#NAME?</v>
      </c>
      <c r="N3784" s="32" t="e">
        <f ca="1">_xludf.ifna(VLOOKUP(G3784,Proyectos!$A$2:$S$674,19,0))</f>
        <v>#NAME?</v>
      </c>
      <c r="O3784" s="32"/>
      <c r="P3784" s="32"/>
      <c r="Q3784" s="33"/>
      <c r="R3784" s="33"/>
      <c r="S3784" s="33"/>
      <c r="T3784" s="63"/>
      <c r="U3784" s="33"/>
      <c r="V3784" s="33"/>
      <c r="W3784" s="33"/>
    </row>
    <row r="3785" spans="1:23" ht="16.5" customHeight="1" x14ac:dyDescent="0.2">
      <c r="A3785" s="26"/>
      <c r="B3785" s="26"/>
      <c r="C3785" s="26"/>
      <c r="D3785" s="26"/>
      <c r="E3785" s="26"/>
      <c r="F3785" s="28"/>
      <c r="G3785" s="26"/>
      <c r="H3785" s="32"/>
      <c r="I3785" s="32"/>
      <c r="J3785" s="32"/>
      <c r="K3785" s="32"/>
      <c r="L3785" s="32" t="e">
        <f ca="1">_xludf.ifna(VLOOKUP(E3785,Parámetros!$D$2:$E$34,2,0),"")</f>
        <v>#NAME?</v>
      </c>
      <c r="M3785" s="32" t="e">
        <f ca="1">_xludf.ifna(VLOOKUP(G3785,Proyectos!$A$2:$T$674,20,0),"")</f>
        <v>#NAME?</v>
      </c>
      <c r="N3785" s="32" t="e">
        <f ca="1">_xludf.ifna(VLOOKUP(G3785,Proyectos!$A$2:$S$674,19,0))</f>
        <v>#NAME?</v>
      </c>
      <c r="O3785" s="32"/>
      <c r="P3785" s="32"/>
      <c r="Q3785" s="33"/>
      <c r="R3785" s="33"/>
      <c r="S3785" s="33"/>
      <c r="T3785" s="63"/>
      <c r="U3785" s="33"/>
      <c r="V3785" s="33"/>
      <c r="W3785" s="33"/>
    </row>
    <row r="3786" spans="1:23" ht="16.5" customHeight="1" x14ac:dyDescent="0.2">
      <c r="A3786" s="26"/>
      <c r="B3786" s="26"/>
      <c r="C3786" s="26"/>
      <c r="D3786" s="26"/>
      <c r="E3786" s="26"/>
      <c r="F3786" s="28"/>
      <c r="G3786" s="26"/>
      <c r="H3786" s="32"/>
      <c r="I3786" s="32"/>
      <c r="J3786" s="32"/>
      <c r="K3786" s="32"/>
      <c r="L3786" s="32" t="e">
        <f ca="1">_xludf.ifna(VLOOKUP(E3786,Parámetros!$D$2:$E$34,2,0),"")</f>
        <v>#NAME?</v>
      </c>
      <c r="M3786" s="32" t="e">
        <f ca="1">_xludf.ifna(VLOOKUP(G3786,Proyectos!$A$2:$T$674,20,0),"")</f>
        <v>#NAME?</v>
      </c>
      <c r="N3786" s="32" t="e">
        <f ca="1">_xludf.ifna(VLOOKUP(G3786,Proyectos!$A$2:$S$674,19,0))</f>
        <v>#NAME?</v>
      </c>
      <c r="O3786" s="32"/>
      <c r="P3786" s="32"/>
      <c r="Q3786" s="33"/>
      <c r="R3786" s="33"/>
      <c r="S3786" s="33"/>
      <c r="T3786" s="63"/>
      <c r="U3786" s="33"/>
      <c r="V3786" s="33"/>
      <c r="W3786" s="33"/>
    </row>
    <row r="3787" spans="1:23" ht="16.5" customHeight="1" x14ac:dyDescent="0.2">
      <c r="A3787" s="26"/>
      <c r="B3787" s="26"/>
      <c r="C3787" s="26"/>
      <c r="D3787" s="26"/>
      <c r="E3787" s="26"/>
      <c r="F3787" s="28"/>
      <c r="G3787" s="26"/>
      <c r="H3787" s="32"/>
      <c r="I3787" s="32"/>
      <c r="J3787" s="32"/>
      <c r="K3787" s="32"/>
      <c r="L3787" s="32" t="e">
        <f ca="1">_xludf.ifna(VLOOKUP(E3787,Parámetros!$D$2:$E$34,2,0),"")</f>
        <v>#NAME?</v>
      </c>
      <c r="M3787" s="32" t="e">
        <f ca="1">_xludf.ifna(VLOOKUP(G3787,Proyectos!$A$2:$T$674,20,0),"")</f>
        <v>#NAME?</v>
      </c>
      <c r="N3787" s="32" t="e">
        <f ca="1">_xludf.ifna(VLOOKUP(G3787,Proyectos!$A$2:$S$674,19,0))</f>
        <v>#NAME?</v>
      </c>
      <c r="O3787" s="32"/>
      <c r="P3787" s="32"/>
      <c r="Q3787" s="33"/>
      <c r="R3787" s="33"/>
      <c r="S3787" s="33"/>
      <c r="T3787" s="63"/>
      <c r="U3787" s="33"/>
      <c r="V3787" s="33"/>
      <c r="W3787" s="33"/>
    </row>
    <row r="3788" spans="1:23" ht="16.5" customHeight="1" x14ac:dyDescent="0.2">
      <c r="A3788" s="26"/>
      <c r="B3788" s="26"/>
      <c r="C3788" s="26"/>
      <c r="D3788" s="26"/>
      <c r="E3788" s="26"/>
      <c r="F3788" s="28"/>
      <c r="G3788" s="26"/>
      <c r="H3788" s="32"/>
      <c r="I3788" s="32"/>
      <c r="J3788" s="32"/>
      <c r="K3788" s="32"/>
      <c r="L3788" s="32" t="e">
        <f ca="1">_xludf.ifna(VLOOKUP(E3788,Parámetros!$D$2:$E$34,2,0),"")</f>
        <v>#NAME?</v>
      </c>
      <c r="M3788" s="32" t="e">
        <f ca="1">_xludf.ifna(VLOOKUP(G3788,Proyectos!$A$2:$T$674,20,0),"")</f>
        <v>#NAME?</v>
      </c>
      <c r="N3788" s="32" t="e">
        <f ca="1">_xludf.ifna(VLOOKUP(G3788,Proyectos!$A$2:$S$674,19,0))</f>
        <v>#NAME?</v>
      </c>
      <c r="O3788" s="32"/>
      <c r="P3788" s="32"/>
      <c r="Q3788" s="33"/>
      <c r="R3788" s="33"/>
      <c r="S3788" s="33"/>
      <c r="T3788" s="63"/>
      <c r="U3788" s="33"/>
      <c r="V3788" s="33"/>
      <c r="W3788" s="33"/>
    </row>
    <row r="3789" spans="1:23" ht="16.5" customHeight="1" x14ac:dyDescent="0.2">
      <c r="A3789" s="26"/>
      <c r="B3789" s="26"/>
      <c r="C3789" s="26"/>
      <c r="D3789" s="26"/>
      <c r="E3789" s="26"/>
      <c r="F3789" s="28"/>
      <c r="G3789" s="26"/>
      <c r="H3789" s="32"/>
      <c r="I3789" s="32"/>
      <c r="J3789" s="32"/>
      <c r="K3789" s="32"/>
      <c r="L3789" s="32" t="e">
        <f ca="1">_xludf.ifna(VLOOKUP(E3789,Parámetros!$D$2:$E$34,2,0),"")</f>
        <v>#NAME?</v>
      </c>
      <c r="M3789" s="32" t="e">
        <f ca="1">_xludf.ifna(VLOOKUP(G3789,Proyectos!$A$2:$T$674,20,0),"")</f>
        <v>#NAME?</v>
      </c>
      <c r="N3789" s="32" t="e">
        <f ca="1">_xludf.ifna(VLOOKUP(G3789,Proyectos!$A$2:$S$674,19,0))</f>
        <v>#NAME?</v>
      </c>
      <c r="O3789" s="32"/>
      <c r="P3789" s="32"/>
      <c r="Q3789" s="33"/>
      <c r="R3789" s="33"/>
      <c r="S3789" s="33"/>
      <c r="T3789" s="63"/>
      <c r="U3789" s="33"/>
      <c r="V3789" s="33"/>
      <c r="W3789" s="33"/>
    </row>
    <row r="3790" spans="1:23" ht="16.5" customHeight="1" x14ac:dyDescent="0.2">
      <c r="A3790" s="26"/>
      <c r="B3790" s="26"/>
      <c r="C3790" s="26"/>
      <c r="D3790" s="26"/>
      <c r="E3790" s="26"/>
      <c r="F3790" s="28"/>
      <c r="G3790" s="26"/>
      <c r="H3790" s="32"/>
      <c r="I3790" s="32"/>
      <c r="J3790" s="32"/>
      <c r="K3790" s="32"/>
      <c r="L3790" s="32" t="e">
        <f ca="1">_xludf.ifna(VLOOKUP(E3790,Parámetros!$D$2:$E$34,2,0),"")</f>
        <v>#NAME?</v>
      </c>
      <c r="M3790" s="32" t="e">
        <f ca="1">_xludf.ifna(VLOOKUP(G3790,Proyectos!$A$2:$T$674,20,0),"")</f>
        <v>#NAME?</v>
      </c>
      <c r="N3790" s="32" t="e">
        <f ca="1">_xludf.ifna(VLOOKUP(G3790,Proyectos!$A$2:$S$674,19,0))</f>
        <v>#NAME?</v>
      </c>
      <c r="O3790" s="32"/>
      <c r="P3790" s="32"/>
      <c r="Q3790" s="33"/>
      <c r="R3790" s="33"/>
      <c r="S3790" s="33"/>
      <c r="T3790" s="63"/>
      <c r="U3790" s="33"/>
      <c r="V3790" s="33"/>
      <c r="W3790" s="33"/>
    </row>
    <row r="3791" spans="1:23" ht="16.5" customHeight="1" x14ac:dyDescent="0.2">
      <c r="A3791" s="26"/>
      <c r="B3791" s="26"/>
      <c r="C3791" s="26"/>
      <c r="D3791" s="26"/>
      <c r="E3791" s="26"/>
      <c r="F3791" s="28"/>
      <c r="G3791" s="26"/>
      <c r="H3791" s="32"/>
      <c r="I3791" s="32"/>
      <c r="J3791" s="32"/>
      <c r="K3791" s="32"/>
      <c r="L3791" s="32" t="e">
        <f ca="1">_xludf.ifna(VLOOKUP(E3791,Parámetros!$D$2:$E$34,2,0),"")</f>
        <v>#NAME?</v>
      </c>
      <c r="M3791" s="32" t="e">
        <f ca="1">_xludf.ifna(VLOOKUP(G3791,Proyectos!$A$2:$T$674,20,0),"")</f>
        <v>#NAME?</v>
      </c>
      <c r="N3791" s="32" t="e">
        <f ca="1">_xludf.ifna(VLOOKUP(G3791,Proyectos!$A$2:$S$674,19,0))</f>
        <v>#NAME?</v>
      </c>
      <c r="O3791" s="32"/>
      <c r="P3791" s="32"/>
      <c r="Q3791" s="33"/>
      <c r="R3791" s="33"/>
      <c r="S3791" s="33"/>
      <c r="T3791" s="63"/>
      <c r="U3791" s="33"/>
      <c r="V3791" s="33"/>
      <c r="W3791" s="33"/>
    </row>
    <row r="3792" spans="1:23" ht="16.5" customHeight="1" x14ac:dyDescent="0.2">
      <c r="A3792" s="26"/>
      <c r="B3792" s="26"/>
      <c r="C3792" s="26"/>
      <c r="D3792" s="26"/>
      <c r="E3792" s="26"/>
      <c r="F3792" s="28"/>
      <c r="G3792" s="26"/>
      <c r="H3792" s="32"/>
      <c r="I3792" s="32"/>
      <c r="J3792" s="32"/>
      <c r="K3792" s="32"/>
      <c r="L3792" s="32" t="e">
        <f ca="1">_xludf.ifna(VLOOKUP(E3792,Parámetros!$D$2:$E$34,2,0),"")</f>
        <v>#NAME?</v>
      </c>
      <c r="M3792" s="32" t="e">
        <f ca="1">_xludf.ifna(VLOOKUP(G3792,Proyectos!$A$2:$T$674,20,0),"")</f>
        <v>#NAME?</v>
      </c>
      <c r="N3792" s="32" t="e">
        <f ca="1">_xludf.ifna(VLOOKUP(G3792,Proyectos!$A$2:$S$674,19,0))</f>
        <v>#NAME?</v>
      </c>
      <c r="O3792" s="32"/>
      <c r="P3792" s="32"/>
      <c r="Q3792" s="33"/>
      <c r="R3792" s="33"/>
      <c r="S3792" s="33"/>
      <c r="T3792" s="63"/>
      <c r="U3792" s="33"/>
      <c r="V3792" s="33"/>
      <c r="W3792" s="33"/>
    </row>
    <row r="3793" spans="1:23" ht="16.5" customHeight="1" x14ac:dyDescent="0.2">
      <c r="A3793" s="26"/>
      <c r="B3793" s="26"/>
      <c r="C3793" s="26"/>
      <c r="D3793" s="26"/>
      <c r="E3793" s="26"/>
      <c r="F3793" s="28"/>
      <c r="G3793" s="26"/>
      <c r="H3793" s="32"/>
      <c r="I3793" s="32"/>
      <c r="J3793" s="32"/>
      <c r="K3793" s="32"/>
      <c r="L3793" s="32" t="e">
        <f ca="1">_xludf.ifna(VLOOKUP(E3793,Parámetros!$D$2:$E$34,2,0),"")</f>
        <v>#NAME?</v>
      </c>
      <c r="M3793" s="32" t="e">
        <f ca="1">_xludf.ifna(VLOOKUP(G3793,Proyectos!$A$2:$T$674,20,0),"")</f>
        <v>#NAME?</v>
      </c>
      <c r="N3793" s="32" t="e">
        <f ca="1">_xludf.ifna(VLOOKUP(G3793,Proyectos!$A$2:$S$674,19,0))</f>
        <v>#NAME?</v>
      </c>
      <c r="O3793" s="32"/>
      <c r="P3793" s="32"/>
      <c r="Q3793" s="33"/>
      <c r="R3793" s="33"/>
      <c r="S3793" s="33"/>
      <c r="T3793" s="63"/>
      <c r="U3793" s="33"/>
      <c r="V3793" s="33"/>
      <c r="W3793" s="33"/>
    </row>
    <row r="3794" spans="1:23" ht="16.5" customHeight="1" x14ac:dyDescent="0.2">
      <c r="A3794" s="26"/>
      <c r="B3794" s="26"/>
      <c r="C3794" s="26"/>
      <c r="D3794" s="26"/>
      <c r="E3794" s="26"/>
      <c r="F3794" s="28"/>
      <c r="G3794" s="26"/>
      <c r="H3794" s="32"/>
      <c r="I3794" s="32"/>
      <c r="J3794" s="32"/>
      <c r="K3794" s="32"/>
      <c r="L3794" s="32" t="e">
        <f ca="1">_xludf.ifna(VLOOKUP(E3794,Parámetros!$D$2:$E$34,2,0),"")</f>
        <v>#NAME?</v>
      </c>
      <c r="M3794" s="32" t="e">
        <f ca="1">_xludf.ifna(VLOOKUP(G3794,Proyectos!$A$2:$T$674,20,0),"")</f>
        <v>#NAME?</v>
      </c>
      <c r="N3794" s="32" t="e">
        <f ca="1">_xludf.ifna(VLOOKUP(G3794,Proyectos!$A$2:$S$674,19,0))</f>
        <v>#NAME?</v>
      </c>
      <c r="O3794" s="32"/>
      <c r="P3794" s="32"/>
      <c r="Q3794" s="33"/>
      <c r="R3794" s="33"/>
      <c r="S3794" s="33"/>
      <c r="T3794" s="63"/>
      <c r="U3794" s="33"/>
      <c r="V3794" s="33"/>
      <c r="W3794" s="33"/>
    </row>
    <row r="3795" spans="1:23" ht="16.5" customHeight="1" x14ac:dyDescent="0.2">
      <c r="A3795" s="26"/>
      <c r="B3795" s="26"/>
      <c r="C3795" s="26"/>
      <c r="D3795" s="26"/>
      <c r="E3795" s="26"/>
      <c r="F3795" s="28"/>
      <c r="G3795" s="26"/>
      <c r="H3795" s="32"/>
      <c r="I3795" s="32"/>
      <c r="J3795" s="32"/>
      <c r="K3795" s="32"/>
      <c r="L3795" s="32" t="e">
        <f ca="1">_xludf.ifna(VLOOKUP(E3795,Parámetros!$D$2:$E$34,2,0),"")</f>
        <v>#NAME?</v>
      </c>
      <c r="M3795" s="32" t="e">
        <f ca="1">_xludf.ifna(VLOOKUP(G3795,Proyectos!$A$2:$T$674,20,0),"")</f>
        <v>#NAME?</v>
      </c>
      <c r="N3795" s="32" t="e">
        <f ca="1">_xludf.ifna(VLOOKUP(G3795,Proyectos!$A$2:$S$674,19,0))</f>
        <v>#NAME?</v>
      </c>
      <c r="O3795" s="32"/>
      <c r="P3795" s="32"/>
      <c r="Q3795" s="33"/>
      <c r="R3795" s="33"/>
      <c r="S3795" s="33"/>
      <c r="T3795" s="63"/>
      <c r="U3795" s="33"/>
      <c r="V3795" s="33"/>
      <c r="W3795" s="33"/>
    </row>
    <row r="3796" spans="1:23" ht="16.5" customHeight="1" x14ac:dyDescent="0.2">
      <c r="A3796" s="26"/>
      <c r="B3796" s="26"/>
      <c r="C3796" s="26"/>
      <c r="D3796" s="26"/>
      <c r="E3796" s="26"/>
      <c r="F3796" s="28"/>
      <c r="G3796" s="26"/>
      <c r="H3796" s="32"/>
      <c r="I3796" s="32"/>
      <c r="J3796" s="32"/>
      <c r="K3796" s="32"/>
      <c r="L3796" s="32" t="e">
        <f ca="1">_xludf.ifna(VLOOKUP(E3796,Parámetros!$D$2:$E$34,2,0),"")</f>
        <v>#NAME?</v>
      </c>
      <c r="M3796" s="32" t="e">
        <f ca="1">_xludf.ifna(VLOOKUP(G3796,Proyectos!$A$2:$T$674,20,0),"")</f>
        <v>#NAME?</v>
      </c>
      <c r="N3796" s="32" t="e">
        <f ca="1">_xludf.ifna(VLOOKUP(G3796,Proyectos!$A$2:$S$674,19,0))</f>
        <v>#NAME?</v>
      </c>
      <c r="O3796" s="32"/>
      <c r="P3796" s="32"/>
      <c r="Q3796" s="33"/>
      <c r="R3796" s="33"/>
      <c r="S3796" s="33"/>
      <c r="T3796" s="63"/>
      <c r="U3796" s="33"/>
      <c r="V3796" s="33"/>
      <c r="W3796" s="33"/>
    </row>
    <row r="3797" spans="1:23" ht="16.5" customHeight="1" x14ac:dyDescent="0.2">
      <c r="A3797" s="26"/>
      <c r="B3797" s="26"/>
      <c r="C3797" s="26"/>
      <c r="D3797" s="26"/>
      <c r="E3797" s="26"/>
      <c r="F3797" s="28"/>
      <c r="G3797" s="26"/>
      <c r="H3797" s="32"/>
      <c r="I3797" s="32"/>
      <c r="J3797" s="32"/>
      <c r="K3797" s="32"/>
      <c r="L3797" s="32" t="e">
        <f ca="1">_xludf.ifna(VLOOKUP(E3797,Parámetros!$D$2:$E$34,2,0),"")</f>
        <v>#NAME?</v>
      </c>
      <c r="M3797" s="32" t="e">
        <f ca="1">_xludf.ifna(VLOOKUP(G3797,Proyectos!$A$2:$T$674,20,0),"")</f>
        <v>#NAME?</v>
      </c>
      <c r="N3797" s="32" t="e">
        <f ca="1">_xludf.ifna(VLOOKUP(G3797,Proyectos!$A$2:$S$674,19,0))</f>
        <v>#NAME?</v>
      </c>
      <c r="O3797" s="32"/>
      <c r="P3797" s="32"/>
      <c r="Q3797" s="33"/>
      <c r="R3797" s="33"/>
      <c r="S3797" s="33"/>
      <c r="T3797" s="63"/>
      <c r="U3797" s="33"/>
      <c r="V3797" s="33"/>
      <c r="W3797" s="33"/>
    </row>
    <row r="3798" spans="1:23" ht="16.5" customHeight="1" x14ac:dyDescent="0.2">
      <c r="A3798" s="26"/>
      <c r="B3798" s="26"/>
      <c r="C3798" s="26"/>
      <c r="D3798" s="26"/>
      <c r="E3798" s="26"/>
      <c r="F3798" s="28"/>
      <c r="G3798" s="26"/>
      <c r="H3798" s="32"/>
      <c r="I3798" s="32"/>
      <c r="J3798" s="32"/>
      <c r="K3798" s="32"/>
      <c r="L3798" s="32" t="e">
        <f ca="1">_xludf.ifna(VLOOKUP(E3798,Parámetros!$D$2:$E$34,2,0),"")</f>
        <v>#NAME?</v>
      </c>
      <c r="M3798" s="32" t="e">
        <f ca="1">_xludf.ifna(VLOOKUP(G3798,Proyectos!$A$2:$T$674,20,0),"")</f>
        <v>#NAME?</v>
      </c>
      <c r="N3798" s="32" t="e">
        <f ca="1">_xludf.ifna(VLOOKUP(G3798,Proyectos!$A$2:$S$674,19,0))</f>
        <v>#NAME?</v>
      </c>
      <c r="O3798" s="32"/>
      <c r="P3798" s="32"/>
      <c r="Q3798" s="33"/>
      <c r="R3798" s="33"/>
      <c r="S3798" s="33"/>
      <c r="T3798" s="63"/>
      <c r="U3798" s="33"/>
      <c r="V3798" s="33"/>
      <c r="W3798" s="33"/>
    </row>
    <row r="3799" spans="1:23" ht="16.5" customHeight="1" x14ac:dyDescent="0.2">
      <c r="A3799" s="26"/>
      <c r="B3799" s="26"/>
      <c r="C3799" s="26"/>
      <c r="D3799" s="26"/>
      <c r="E3799" s="26"/>
      <c r="F3799" s="28"/>
      <c r="G3799" s="26"/>
      <c r="H3799" s="32"/>
      <c r="I3799" s="32"/>
      <c r="J3799" s="32"/>
      <c r="K3799" s="32"/>
      <c r="L3799" s="32" t="e">
        <f ca="1">_xludf.ifna(VLOOKUP(E3799,Parámetros!$D$2:$E$34,2,0),"")</f>
        <v>#NAME?</v>
      </c>
      <c r="M3799" s="32" t="e">
        <f ca="1">_xludf.ifna(VLOOKUP(G3799,Proyectos!$A$2:$T$674,20,0),"")</f>
        <v>#NAME?</v>
      </c>
      <c r="N3799" s="32" t="e">
        <f ca="1">_xludf.ifna(VLOOKUP(G3799,Proyectos!$A$2:$S$674,19,0))</f>
        <v>#NAME?</v>
      </c>
      <c r="O3799" s="32"/>
      <c r="P3799" s="32"/>
      <c r="Q3799" s="33"/>
      <c r="R3799" s="33"/>
      <c r="S3799" s="33"/>
      <c r="T3799" s="63"/>
      <c r="U3799" s="33"/>
      <c r="V3799" s="33"/>
      <c r="W3799" s="33"/>
    </row>
    <row r="3800" spans="1:23" ht="16.5" customHeight="1" x14ac:dyDescent="0.2">
      <c r="A3800" s="26"/>
      <c r="B3800" s="26"/>
      <c r="C3800" s="26"/>
      <c r="D3800" s="26"/>
      <c r="E3800" s="26"/>
      <c r="F3800" s="28"/>
      <c r="G3800" s="26"/>
      <c r="H3800" s="32"/>
      <c r="I3800" s="32"/>
      <c r="J3800" s="32"/>
      <c r="K3800" s="32"/>
      <c r="L3800" s="32" t="e">
        <f ca="1">_xludf.ifna(VLOOKUP(E3800,Parámetros!$D$2:$E$34,2,0),"")</f>
        <v>#NAME?</v>
      </c>
      <c r="M3800" s="32" t="e">
        <f ca="1">_xludf.ifna(VLOOKUP(G3800,Proyectos!$A$2:$T$674,20,0),"")</f>
        <v>#NAME?</v>
      </c>
      <c r="N3800" s="32" t="e">
        <f ca="1">_xludf.ifna(VLOOKUP(G3800,Proyectos!$A$2:$S$674,19,0))</f>
        <v>#NAME?</v>
      </c>
      <c r="O3800" s="32"/>
      <c r="P3800" s="32"/>
      <c r="Q3800" s="33"/>
      <c r="R3800" s="33"/>
      <c r="S3800" s="33"/>
      <c r="T3800" s="63"/>
      <c r="U3800" s="33"/>
      <c r="V3800" s="33"/>
      <c r="W3800" s="33"/>
    </row>
    <row r="3801" spans="1:23" ht="16.5" customHeight="1" x14ac:dyDescent="0.2">
      <c r="A3801" s="26"/>
      <c r="B3801" s="26"/>
      <c r="C3801" s="26"/>
      <c r="D3801" s="26"/>
      <c r="E3801" s="26"/>
      <c r="F3801" s="28"/>
      <c r="G3801" s="26"/>
      <c r="H3801" s="32"/>
      <c r="I3801" s="32"/>
      <c r="J3801" s="32"/>
      <c r="K3801" s="32"/>
      <c r="L3801" s="32" t="e">
        <f ca="1">_xludf.ifna(VLOOKUP(E3801,Parámetros!$D$2:$E$34,2,0),"")</f>
        <v>#NAME?</v>
      </c>
      <c r="M3801" s="32" t="e">
        <f ca="1">_xludf.ifna(VLOOKUP(G3801,Proyectos!$A$2:$T$674,20,0),"")</f>
        <v>#NAME?</v>
      </c>
      <c r="N3801" s="32" t="e">
        <f ca="1">_xludf.ifna(VLOOKUP(G3801,Proyectos!$A$2:$S$674,19,0))</f>
        <v>#NAME?</v>
      </c>
      <c r="O3801" s="32"/>
      <c r="P3801" s="32"/>
      <c r="Q3801" s="33"/>
      <c r="R3801" s="33"/>
      <c r="S3801" s="33"/>
      <c r="T3801" s="63"/>
      <c r="U3801" s="33"/>
      <c r="V3801" s="33"/>
      <c r="W3801" s="33"/>
    </row>
    <row r="3802" spans="1:23" ht="16.5" customHeight="1" x14ac:dyDescent="0.2">
      <c r="A3802" s="26"/>
      <c r="B3802" s="26"/>
      <c r="C3802" s="26"/>
      <c r="D3802" s="26"/>
      <c r="E3802" s="26"/>
      <c r="F3802" s="28"/>
      <c r="G3802" s="26"/>
      <c r="H3802" s="32"/>
      <c r="I3802" s="32"/>
      <c r="J3802" s="32"/>
      <c r="K3802" s="32"/>
      <c r="L3802" s="32" t="e">
        <f ca="1">_xludf.ifna(VLOOKUP(E3802,Parámetros!$D$2:$E$34,2,0),"")</f>
        <v>#NAME?</v>
      </c>
      <c r="M3802" s="32" t="e">
        <f ca="1">_xludf.ifna(VLOOKUP(G3802,Proyectos!$A$2:$T$674,20,0),"")</f>
        <v>#NAME?</v>
      </c>
      <c r="N3802" s="32" t="e">
        <f ca="1">_xludf.ifna(VLOOKUP(G3802,Proyectos!$A$2:$S$674,19,0))</f>
        <v>#NAME?</v>
      </c>
      <c r="O3802" s="32"/>
      <c r="P3802" s="32"/>
      <c r="Q3802" s="33"/>
      <c r="R3802" s="33"/>
      <c r="S3802" s="33"/>
      <c r="T3802" s="63"/>
      <c r="U3802" s="33"/>
      <c r="V3802" s="33"/>
      <c r="W3802" s="33"/>
    </row>
    <row r="3803" spans="1:23" ht="16.5" customHeight="1" x14ac:dyDescent="0.2">
      <c r="A3803" s="26"/>
      <c r="B3803" s="26"/>
      <c r="C3803" s="26"/>
      <c r="D3803" s="26"/>
      <c r="E3803" s="26"/>
      <c r="F3803" s="28"/>
      <c r="G3803" s="26"/>
      <c r="H3803" s="32"/>
      <c r="I3803" s="32"/>
      <c r="J3803" s="32"/>
      <c r="K3803" s="32"/>
      <c r="L3803" s="32" t="e">
        <f ca="1">_xludf.ifna(VLOOKUP(E3803,Parámetros!$D$2:$E$34,2,0),"")</f>
        <v>#NAME?</v>
      </c>
      <c r="M3803" s="32" t="e">
        <f ca="1">_xludf.ifna(VLOOKUP(G3803,Proyectos!$A$2:$T$674,20,0),"")</f>
        <v>#NAME?</v>
      </c>
      <c r="N3803" s="32" t="e">
        <f ca="1">_xludf.ifna(VLOOKUP(G3803,Proyectos!$A$2:$S$674,19,0))</f>
        <v>#NAME?</v>
      </c>
      <c r="O3803" s="32"/>
      <c r="P3803" s="32"/>
      <c r="Q3803" s="33"/>
      <c r="R3803" s="33"/>
      <c r="S3803" s="33"/>
      <c r="T3803" s="63"/>
      <c r="U3803" s="33"/>
      <c r="V3803" s="33"/>
      <c r="W3803" s="33"/>
    </row>
    <row r="3804" spans="1:23" ht="16.5" customHeight="1" x14ac:dyDescent="0.2">
      <c r="A3804" s="26"/>
      <c r="B3804" s="26"/>
      <c r="C3804" s="26"/>
      <c r="D3804" s="26"/>
      <c r="E3804" s="26"/>
      <c r="F3804" s="28"/>
      <c r="G3804" s="26"/>
      <c r="H3804" s="32"/>
      <c r="I3804" s="32"/>
      <c r="J3804" s="32"/>
      <c r="K3804" s="32"/>
      <c r="L3804" s="32" t="e">
        <f ca="1">_xludf.ifna(VLOOKUP(E3804,Parámetros!$D$2:$E$34,2,0),"")</f>
        <v>#NAME?</v>
      </c>
      <c r="M3804" s="32" t="e">
        <f ca="1">_xludf.ifna(VLOOKUP(G3804,Proyectos!$A$2:$T$674,20,0),"")</f>
        <v>#NAME?</v>
      </c>
      <c r="N3804" s="32" t="e">
        <f ca="1">_xludf.ifna(VLOOKUP(G3804,Proyectos!$A$2:$S$674,19,0))</f>
        <v>#NAME?</v>
      </c>
      <c r="O3804" s="32"/>
      <c r="P3804" s="32"/>
      <c r="Q3804" s="33"/>
      <c r="R3804" s="33"/>
      <c r="S3804" s="33"/>
      <c r="T3804" s="63"/>
      <c r="U3804" s="33"/>
      <c r="V3804" s="33"/>
      <c r="W3804" s="33"/>
    </row>
    <row r="3805" spans="1:23" ht="16.5" customHeight="1" x14ac:dyDescent="0.2">
      <c r="A3805" s="26"/>
      <c r="B3805" s="26"/>
      <c r="C3805" s="26"/>
      <c r="D3805" s="26"/>
      <c r="E3805" s="26"/>
      <c r="F3805" s="28"/>
      <c r="G3805" s="26"/>
      <c r="H3805" s="32"/>
      <c r="I3805" s="32"/>
      <c r="J3805" s="32"/>
      <c r="K3805" s="32"/>
      <c r="L3805" s="32" t="e">
        <f ca="1">_xludf.ifna(VLOOKUP(E3805,Parámetros!$D$2:$E$34,2,0),"")</f>
        <v>#NAME?</v>
      </c>
      <c r="M3805" s="32" t="e">
        <f ca="1">_xludf.ifna(VLOOKUP(G3805,Proyectos!$A$2:$T$674,20,0),"")</f>
        <v>#NAME?</v>
      </c>
      <c r="N3805" s="32" t="e">
        <f ca="1">_xludf.ifna(VLOOKUP(G3805,Proyectos!$A$2:$S$674,19,0))</f>
        <v>#NAME?</v>
      </c>
      <c r="O3805" s="32"/>
      <c r="P3805" s="32"/>
      <c r="Q3805" s="33"/>
      <c r="R3805" s="33"/>
      <c r="S3805" s="33"/>
      <c r="T3805" s="63"/>
      <c r="U3805" s="33"/>
      <c r="V3805" s="33"/>
      <c r="W3805" s="33"/>
    </row>
    <row r="3806" spans="1:23" ht="16.5" customHeight="1" x14ac:dyDescent="0.2">
      <c r="A3806" s="26"/>
      <c r="B3806" s="26"/>
      <c r="C3806" s="26"/>
      <c r="D3806" s="26"/>
      <c r="E3806" s="26"/>
      <c r="F3806" s="28"/>
      <c r="G3806" s="26"/>
      <c r="H3806" s="32"/>
      <c r="I3806" s="32"/>
      <c r="J3806" s="32"/>
      <c r="K3806" s="32"/>
      <c r="L3806" s="32" t="e">
        <f ca="1">_xludf.ifna(VLOOKUP(E3806,Parámetros!$D$2:$E$34,2,0),"")</f>
        <v>#NAME?</v>
      </c>
      <c r="M3806" s="32" t="e">
        <f ca="1">_xludf.ifna(VLOOKUP(G3806,Proyectos!$A$2:$T$674,20,0),"")</f>
        <v>#NAME?</v>
      </c>
      <c r="N3806" s="32" t="e">
        <f ca="1">_xludf.ifna(VLOOKUP(G3806,Proyectos!$A$2:$S$674,19,0))</f>
        <v>#NAME?</v>
      </c>
      <c r="O3806" s="32"/>
      <c r="P3806" s="32"/>
      <c r="Q3806" s="33"/>
      <c r="R3806" s="33"/>
      <c r="S3806" s="33"/>
      <c r="T3806" s="63"/>
      <c r="U3806" s="33"/>
      <c r="V3806" s="33"/>
      <c r="W3806" s="33"/>
    </row>
    <row r="3807" spans="1:23" ht="16.5" customHeight="1" x14ac:dyDescent="0.2">
      <c r="A3807" s="26"/>
      <c r="B3807" s="26"/>
      <c r="C3807" s="26"/>
      <c r="D3807" s="26"/>
      <c r="E3807" s="26"/>
      <c r="F3807" s="28"/>
      <c r="G3807" s="26"/>
      <c r="H3807" s="32"/>
      <c r="I3807" s="32"/>
      <c r="J3807" s="32"/>
      <c r="K3807" s="32"/>
      <c r="L3807" s="32" t="e">
        <f ca="1">_xludf.ifna(VLOOKUP(E3807,Parámetros!$D$2:$E$34,2,0),"")</f>
        <v>#NAME?</v>
      </c>
      <c r="M3807" s="32" t="e">
        <f ca="1">_xludf.ifna(VLOOKUP(G3807,Proyectos!$A$2:$T$674,20,0),"")</f>
        <v>#NAME?</v>
      </c>
      <c r="N3807" s="32" t="e">
        <f ca="1">_xludf.ifna(VLOOKUP(G3807,Proyectos!$A$2:$S$674,19,0))</f>
        <v>#NAME?</v>
      </c>
      <c r="O3807" s="32"/>
      <c r="P3807" s="32"/>
      <c r="Q3807" s="33"/>
      <c r="R3807" s="33"/>
      <c r="S3807" s="33"/>
      <c r="T3807" s="63"/>
      <c r="U3807" s="33"/>
      <c r="V3807" s="33"/>
      <c r="W3807" s="33"/>
    </row>
    <row r="3808" spans="1:23" ht="16.5" customHeight="1" x14ac:dyDescent="0.2">
      <c r="A3808" s="26"/>
      <c r="B3808" s="26"/>
      <c r="C3808" s="26"/>
      <c r="D3808" s="26"/>
      <c r="E3808" s="26"/>
      <c r="F3808" s="28"/>
      <c r="G3808" s="26"/>
      <c r="H3808" s="32"/>
      <c r="I3808" s="32"/>
      <c r="J3808" s="32"/>
      <c r="K3808" s="32"/>
      <c r="L3808" s="32" t="e">
        <f ca="1">_xludf.ifna(VLOOKUP(E3808,Parámetros!$D$2:$E$34,2,0),"")</f>
        <v>#NAME?</v>
      </c>
      <c r="M3808" s="32" t="e">
        <f ca="1">_xludf.ifna(VLOOKUP(G3808,Proyectos!$A$2:$T$674,20,0),"")</f>
        <v>#NAME?</v>
      </c>
      <c r="N3808" s="32" t="e">
        <f ca="1">_xludf.ifna(VLOOKUP(G3808,Proyectos!$A$2:$S$674,19,0))</f>
        <v>#NAME?</v>
      </c>
      <c r="O3808" s="32"/>
      <c r="P3808" s="32"/>
      <c r="Q3808" s="33"/>
      <c r="R3808" s="33"/>
      <c r="S3808" s="33"/>
      <c r="T3808" s="63"/>
      <c r="U3808" s="33"/>
      <c r="V3808" s="33"/>
      <c r="W3808" s="33"/>
    </row>
    <row r="3809" spans="1:23" ht="16.5" customHeight="1" x14ac:dyDescent="0.2">
      <c r="A3809" s="26"/>
      <c r="B3809" s="26"/>
      <c r="C3809" s="26"/>
      <c r="D3809" s="26"/>
      <c r="E3809" s="26"/>
      <c r="F3809" s="28"/>
      <c r="G3809" s="26"/>
      <c r="H3809" s="32"/>
      <c r="I3809" s="32"/>
      <c r="J3809" s="32"/>
      <c r="K3809" s="32"/>
      <c r="L3809" s="32" t="e">
        <f ca="1">_xludf.ifna(VLOOKUP(E3809,Parámetros!$D$2:$E$34,2,0),"")</f>
        <v>#NAME?</v>
      </c>
      <c r="M3809" s="32" t="e">
        <f ca="1">_xludf.ifna(VLOOKUP(G3809,Proyectos!$A$2:$T$674,20,0),"")</f>
        <v>#NAME?</v>
      </c>
      <c r="N3809" s="32" t="e">
        <f ca="1">_xludf.ifna(VLOOKUP(G3809,Proyectos!$A$2:$S$674,19,0))</f>
        <v>#NAME?</v>
      </c>
      <c r="O3809" s="32"/>
      <c r="P3809" s="32"/>
      <c r="Q3809" s="33"/>
      <c r="R3809" s="33"/>
      <c r="S3809" s="33"/>
      <c r="T3809" s="63"/>
      <c r="U3809" s="33"/>
      <c r="V3809" s="33"/>
      <c r="W3809" s="33"/>
    </row>
    <row r="3810" spans="1:23" ht="16.5" customHeight="1" x14ac:dyDescent="0.2">
      <c r="A3810" s="26"/>
      <c r="B3810" s="26"/>
      <c r="C3810" s="26"/>
      <c r="D3810" s="26"/>
      <c r="E3810" s="26"/>
      <c r="F3810" s="28"/>
      <c r="G3810" s="26"/>
      <c r="H3810" s="32"/>
      <c r="I3810" s="32"/>
      <c r="J3810" s="32"/>
      <c r="K3810" s="32"/>
      <c r="L3810" s="32" t="e">
        <f ca="1">_xludf.ifna(VLOOKUP(E3810,Parámetros!$D$2:$E$34,2,0),"")</f>
        <v>#NAME?</v>
      </c>
      <c r="M3810" s="32" t="e">
        <f ca="1">_xludf.ifna(VLOOKUP(G3810,Proyectos!$A$2:$T$674,20,0),"")</f>
        <v>#NAME?</v>
      </c>
      <c r="N3810" s="32" t="e">
        <f ca="1">_xludf.ifna(VLOOKUP(G3810,Proyectos!$A$2:$S$674,19,0))</f>
        <v>#NAME?</v>
      </c>
      <c r="O3810" s="32"/>
      <c r="P3810" s="32"/>
      <c r="Q3810" s="33"/>
      <c r="R3810" s="33"/>
      <c r="S3810" s="33"/>
      <c r="T3810" s="63"/>
      <c r="U3810" s="33"/>
      <c r="V3810" s="33"/>
      <c r="W3810" s="33"/>
    </row>
    <row r="3811" spans="1:23" ht="16.5" customHeight="1" x14ac:dyDescent="0.2">
      <c r="A3811" s="26"/>
      <c r="B3811" s="26"/>
      <c r="C3811" s="26"/>
      <c r="D3811" s="26"/>
      <c r="E3811" s="26"/>
      <c r="F3811" s="28"/>
      <c r="G3811" s="26"/>
      <c r="H3811" s="32"/>
      <c r="I3811" s="32"/>
      <c r="J3811" s="32"/>
      <c r="K3811" s="32"/>
      <c r="L3811" s="32" t="e">
        <f ca="1">_xludf.ifna(VLOOKUP(E3811,Parámetros!$D$2:$E$34,2,0),"")</f>
        <v>#NAME?</v>
      </c>
      <c r="M3811" s="32" t="e">
        <f ca="1">_xludf.ifna(VLOOKUP(G3811,Proyectos!$A$2:$T$674,20,0),"")</f>
        <v>#NAME?</v>
      </c>
      <c r="N3811" s="32" t="e">
        <f ca="1">_xludf.ifna(VLOOKUP(G3811,Proyectos!$A$2:$S$674,19,0))</f>
        <v>#NAME?</v>
      </c>
      <c r="O3811" s="32"/>
      <c r="P3811" s="32"/>
      <c r="Q3811" s="33"/>
      <c r="R3811" s="33"/>
      <c r="S3811" s="33"/>
      <c r="T3811" s="63"/>
      <c r="U3811" s="33"/>
      <c r="V3811" s="33"/>
      <c r="W3811" s="33"/>
    </row>
    <row r="3812" spans="1:23" ht="16.5" customHeight="1" x14ac:dyDescent="0.2">
      <c r="A3812" s="26"/>
      <c r="B3812" s="26"/>
      <c r="C3812" s="26"/>
      <c r="D3812" s="26"/>
      <c r="E3812" s="26"/>
      <c r="F3812" s="28"/>
      <c r="G3812" s="26"/>
      <c r="H3812" s="32"/>
      <c r="I3812" s="32"/>
      <c r="J3812" s="32"/>
      <c r="K3812" s="32"/>
      <c r="L3812" s="32" t="e">
        <f ca="1">_xludf.ifna(VLOOKUP(E3812,Parámetros!$D$2:$E$34,2,0),"")</f>
        <v>#NAME?</v>
      </c>
      <c r="M3812" s="32" t="e">
        <f ca="1">_xludf.ifna(VLOOKUP(G3812,Proyectos!$A$2:$T$674,20,0),"")</f>
        <v>#NAME?</v>
      </c>
      <c r="N3812" s="32" t="e">
        <f ca="1">_xludf.ifna(VLOOKUP(G3812,Proyectos!$A$2:$S$674,19,0))</f>
        <v>#NAME?</v>
      </c>
      <c r="O3812" s="32"/>
      <c r="P3812" s="32"/>
      <c r="Q3812" s="33"/>
      <c r="R3812" s="33"/>
      <c r="S3812" s="33"/>
      <c r="T3812" s="63"/>
      <c r="U3812" s="33"/>
      <c r="V3812" s="33"/>
      <c r="W3812" s="33"/>
    </row>
    <row r="3813" spans="1:23" ht="16.5" customHeight="1" x14ac:dyDescent="0.2">
      <c r="A3813" s="26"/>
      <c r="B3813" s="26"/>
      <c r="C3813" s="26"/>
      <c r="D3813" s="26"/>
      <c r="E3813" s="26"/>
      <c r="F3813" s="28"/>
      <c r="G3813" s="26"/>
      <c r="H3813" s="32"/>
      <c r="I3813" s="32"/>
      <c r="J3813" s="32"/>
      <c r="K3813" s="32"/>
      <c r="L3813" s="32" t="e">
        <f ca="1">_xludf.ifna(VLOOKUP(E3813,Parámetros!$D$2:$E$34,2,0),"")</f>
        <v>#NAME?</v>
      </c>
      <c r="M3813" s="32" t="e">
        <f ca="1">_xludf.ifna(VLOOKUP(G3813,Proyectos!$A$2:$T$674,20,0),"")</f>
        <v>#NAME?</v>
      </c>
      <c r="N3813" s="32" t="e">
        <f ca="1">_xludf.ifna(VLOOKUP(G3813,Proyectos!$A$2:$S$674,19,0))</f>
        <v>#NAME?</v>
      </c>
      <c r="O3813" s="32"/>
      <c r="P3813" s="32"/>
      <c r="Q3813" s="33"/>
      <c r="R3813" s="33"/>
      <c r="S3813" s="33"/>
      <c r="T3813" s="63"/>
      <c r="U3813" s="33"/>
      <c r="V3813" s="33"/>
      <c r="W3813" s="33"/>
    </row>
    <row r="3814" spans="1:23" ht="16.5" customHeight="1" x14ac:dyDescent="0.2">
      <c r="A3814" s="26"/>
      <c r="B3814" s="26"/>
      <c r="C3814" s="26"/>
      <c r="D3814" s="26"/>
      <c r="E3814" s="26"/>
      <c r="F3814" s="28"/>
      <c r="G3814" s="26"/>
      <c r="H3814" s="32"/>
      <c r="I3814" s="32"/>
      <c r="J3814" s="32"/>
      <c r="K3814" s="32"/>
      <c r="L3814" s="32" t="e">
        <f ca="1">_xludf.ifna(VLOOKUP(E3814,Parámetros!$D$2:$E$34,2,0),"")</f>
        <v>#NAME?</v>
      </c>
      <c r="M3814" s="32" t="e">
        <f ca="1">_xludf.ifna(VLOOKUP(G3814,Proyectos!$A$2:$T$674,20,0),"")</f>
        <v>#NAME?</v>
      </c>
      <c r="N3814" s="32" t="e">
        <f ca="1">_xludf.ifna(VLOOKUP(G3814,Proyectos!$A$2:$S$674,19,0))</f>
        <v>#NAME?</v>
      </c>
      <c r="O3814" s="32"/>
      <c r="P3814" s="32"/>
      <c r="Q3814" s="33"/>
      <c r="R3814" s="33"/>
      <c r="S3814" s="33"/>
      <c r="T3814" s="63"/>
      <c r="U3814" s="33"/>
      <c r="V3814" s="33"/>
      <c r="W3814" s="33"/>
    </row>
    <row r="3815" spans="1:23" ht="16.5" customHeight="1" x14ac:dyDescent="0.2">
      <c r="A3815" s="26"/>
      <c r="B3815" s="26"/>
      <c r="C3815" s="26"/>
      <c r="D3815" s="26"/>
      <c r="E3815" s="26"/>
      <c r="F3815" s="28"/>
      <c r="G3815" s="26"/>
      <c r="H3815" s="32"/>
      <c r="I3815" s="32"/>
      <c r="J3815" s="32"/>
      <c r="K3815" s="32"/>
      <c r="L3815" s="32" t="e">
        <f ca="1">_xludf.ifna(VLOOKUP(E3815,Parámetros!$D$2:$E$34,2,0),"")</f>
        <v>#NAME?</v>
      </c>
      <c r="M3815" s="32" t="e">
        <f ca="1">_xludf.ifna(VLOOKUP(G3815,Proyectos!$A$2:$T$674,20,0),"")</f>
        <v>#NAME?</v>
      </c>
      <c r="N3815" s="32" t="e">
        <f ca="1">_xludf.ifna(VLOOKUP(G3815,Proyectos!$A$2:$S$674,19,0))</f>
        <v>#NAME?</v>
      </c>
      <c r="O3815" s="32"/>
      <c r="P3815" s="32"/>
      <c r="Q3815" s="33"/>
      <c r="R3815" s="33"/>
      <c r="S3815" s="33"/>
      <c r="T3815" s="63"/>
      <c r="U3815" s="33"/>
      <c r="V3815" s="33"/>
      <c r="W3815" s="33"/>
    </row>
    <row r="3816" spans="1:23" ht="16.5" customHeight="1" x14ac:dyDescent="0.2">
      <c r="A3816" s="26"/>
      <c r="B3816" s="26"/>
      <c r="C3816" s="26"/>
      <c r="D3816" s="26"/>
      <c r="E3816" s="26"/>
      <c r="F3816" s="28"/>
      <c r="G3816" s="26"/>
      <c r="H3816" s="32"/>
      <c r="I3816" s="32"/>
      <c r="J3816" s="32"/>
      <c r="K3816" s="32"/>
      <c r="L3816" s="32" t="e">
        <f ca="1">_xludf.ifna(VLOOKUP(E3816,Parámetros!$D$2:$E$34,2,0),"")</f>
        <v>#NAME?</v>
      </c>
      <c r="M3816" s="32" t="e">
        <f ca="1">_xludf.ifna(VLOOKUP(G3816,Proyectos!$A$2:$T$674,20,0),"")</f>
        <v>#NAME?</v>
      </c>
      <c r="N3816" s="32" t="e">
        <f ca="1">_xludf.ifna(VLOOKUP(G3816,Proyectos!$A$2:$S$674,19,0))</f>
        <v>#NAME?</v>
      </c>
      <c r="O3816" s="32"/>
      <c r="P3816" s="32"/>
      <c r="Q3816" s="33"/>
      <c r="R3816" s="33"/>
      <c r="S3816" s="33"/>
      <c r="T3816" s="63"/>
      <c r="U3816" s="33"/>
      <c r="V3816" s="33"/>
      <c r="W3816" s="33"/>
    </row>
    <row r="3817" spans="1:23" ht="16.5" customHeight="1" x14ac:dyDescent="0.2">
      <c r="A3817" s="26"/>
      <c r="B3817" s="26"/>
      <c r="C3817" s="26"/>
      <c r="D3817" s="26"/>
      <c r="E3817" s="26"/>
      <c r="F3817" s="28"/>
      <c r="G3817" s="26"/>
      <c r="H3817" s="32"/>
      <c r="I3817" s="32"/>
      <c r="J3817" s="32"/>
      <c r="K3817" s="32"/>
      <c r="L3817" s="32" t="e">
        <f ca="1">_xludf.ifna(VLOOKUP(E3817,Parámetros!$D$2:$E$34,2,0),"")</f>
        <v>#NAME?</v>
      </c>
      <c r="M3817" s="32" t="e">
        <f ca="1">_xludf.ifna(VLOOKUP(G3817,Proyectos!$A$2:$T$674,20,0),"")</f>
        <v>#NAME?</v>
      </c>
      <c r="N3817" s="32" t="e">
        <f ca="1">_xludf.ifna(VLOOKUP(G3817,Proyectos!$A$2:$S$674,19,0))</f>
        <v>#NAME?</v>
      </c>
      <c r="O3817" s="32"/>
      <c r="P3817" s="32"/>
      <c r="Q3817" s="33"/>
      <c r="R3817" s="33"/>
      <c r="S3817" s="33"/>
      <c r="T3817" s="63"/>
      <c r="U3817" s="33"/>
      <c r="V3817" s="33"/>
      <c r="W3817" s="33"/>
    </row>
    <row r="3818" spans="1:23" ht="16.5" customHeight="1" x14ac:dyDescent="0.2">
      <c r="A3818" s="26"/>
      <c r="B3818" s="26"/>
      <c r="C3818" s="26"/>
      <c r="D3818" s="26"/>
      <c r="E3818" s="26"/>
      <c r="F3818" s="28"/>
      <c r="G3818" s="26"/>
      <c r="H3818" s="32"/>
      <c r="I3818" s="32"/>
      <c r="J3818" s="32"/>
      <c r="K3818" s="32"/>
      <c r="L3818" s="32" t="e">
        <f ca="1">_xludf.ifna(VLOOKUP(E3818,Parámetros!$D$2:$E$34,2,0),"")</f>
        <v>#NAME?</v>
      </c>
      <c r="M3818" s="32" t="e">
        <f ca="1">_xludf.ifna(VLOOKUP(G3818,Proyectos!$A$2:$T$674,20,0),"")</f>
        <v>#NAME?</v>
      </c>
      <c r="N3818" s="32" t="e">
        <f ca="1">_xludf.ifna(VLOOKUP(G3818,Proyectos!$A$2:$S$674,19,0))</f>
        <v>#NAME?</v>
      </c>
      <c r="O3818" s="32"/>
      <c r="P3818" s="32"/>
      <c r="Q3818" s="33"/>
      <c r="R3818" s="33"/>
      <c r="S3818" s="33"/>
      <c r="T3818" s="63"/>
      <c r="U3818" s="33"/>
      <c r="V3818" s="33"/>
      <c r="W3818" s="33"/>
    </row>
    <row r="3819" spans="1:23" ht="16.5" customHeight="1" x14ac:dyDescent="0.2">
      <c r="A3819" s="26"/>
      <c r="B3819" s="26"/>
      <c r="C3819" s="26"/>
      <c r="D3819" s="26"/>
      <c r="E3819" s="26"/>
      <c r="F3819" s="28"/>
      <c r="G3819" s="26"/>
      <c r="H3819" s="32"/>
      <c r="I3819" s="32"/>
      <c r="J3819" s="32"/>
      <c r="K3819" s="32"/>
      <c r="L3819" s="32" t="e">
        <f ca="1">_xludf.ifna(VLOOKUP(E3819,Parámetros!$D$2:$E$34,2,0),"")</f>
        <v>#NAME?</v>
      </c>
      <c r="M3819" s="32" t="e">
        <f ca="1">_xludf.ifna(VLOOKUP(G3819,Proyectos!$A$2:$T$674,20,0),"")</f>
        <v>#NAME?</v>
      </c>
      <c r="N3819" s="32" t="e">
        <f ca="1">_xludf.ifna(VLOOKUP(G3819,Proyectos!$A$2:$S$674,19,0))</f>
        <v>#NAME?</v>
      </c>
      <c r="O3819" s="32"/>
      <c r="P3819" s="32"/>
      <c r="Q3819" s="33"/>
      <c r="R3819" s="33"/>
      <c r="S3819" s="33"/>
      <c r="T3819" s="63"/>
      <c r="U3819" s="33"/>
      <c r="V3819" s="33"/>
      <c r="W3819" s="33"/>
    </row>
    <row r="3820" spans="1:23" ht="16.5" customHeight="1" x14ac:dyDescent="0.2">
      <c r="A3820" s="26"/>
      <c r="B3820" s="26"/>
      <c r="C3820" s="26"/>
      <c r="D3820" s="26"/>
      <c r="E3820" s="26"/>
      <c r="F3820" s="28"/>
      <c r="G3820" s="26"/>
      <c r="H3820" s="32"/>
      <c r="I3820" s="32"/>
      <c r="J3820" s="32"/>
      <c r="K3820" s="32"/>
      <c r="L3820" s="32" t="e">
        <f ca="1">_xludf.ifna(VLOOKUP(E3820,Parámetros!$D$2:$E$34,2,0),"")</f>
        <v>#NAME?</v>
      </c>
      <c r="M3820" s="32" t="e">
        <f ca="1">_xludf.ifna(VLOOKUP(G3820,Proyectos!$A$2:$T$674,20,0),"")</f>
        <v>#NAME?</v>
      </c>
      <c r="N3820" s="32" t="e">
        <f ca="1">_xludf.ifna(VLOOKUP(G3820,Proyectos!$A$2:$S$674,19,0))</f>
        <v>#NAME?</v>
      </c>
      <c r="O3820" s="32"/>
      <c r="P3820" s="32"/>
      <c r="Q3820" s="33"/>
      <c r="R3820" s="33"/>
      <c r="S3820" s="33"/>
      <c r="T3820" s="63"/>
      <c r="U3820" s="33"/>
      <c r="V3820" s="33"/>
      <c r="W3820" s="33"/>
    </row>
    <row r="3821" spans="1:23" ht="16.5" customHeight="1" x14ac:dyDescent="0.2">
      <c r="A3821" s="26"/>
      <c r="B3821" s="26"/>
      <c r="C3821" s="26"/>
      <c r="D3821" s="26"/>
      <c r="E3821" s="26"/>
      <c r="F3821" s="28"/>
      <c r="G3821" s="26"/>
      <c r="H3821" s="32"/>
      <c r="I3821" s="32"/>
      <c r="J3821" s="32"/>
      <c r="K3821" s="32"/>
      <c r="L3821" s="32" t="e">
        <f ca="1">_xludf.ifna(VLOOKUP(E3821,Parámetros!$D$2:$E$34,2,0),"")</f>
        <v>#NAME?</v>
      </c>
      <c r="M3821" s="32" t="e">
        <f ca="1">_xludf.ifna(VLOOKUP(G3821,Proyectos!$A$2:$T$674,20,0),"")</f>
        <v>#NAME?</v>
      </c>
      <c r="N3821" s="32" t="e">
        <f ca="1">_xludf.ifna(VLOOKUP(G3821,Proyectos!$A$2:$S$674,19,0))</f>
        <v>#NAME?</v>
      </c>
      <c r="O3821" s="32"/>
      <c r="P3821" s="32"/>
      <c r="Q3821" s="33"/>
      <c r="R3821" s="33"/>
      <c r="S3821" s="33"/>
      <c r="T3821" s="63"/>
      <c r="U3821" s="33"/>
      <c r="V3821" s="33"/>
      <c r="W3821" s="33"/>
    </row>
    <row r="3822" spans="1:23" ht="16.5" customHeight="1" x14ac:dyDescent="0.2">
      <c r="A3822" s="26"/>
      <c r="B3822" s="26"/>
      <c r="C3822" s="26"/>
      <c r="D3822" s="26"/>
      <c r="E3822" s="26"/>
      <c r="F3822" s="28"/>
      <c r="G3822" s="26"/>
      <c r="H3822" s="32"/>
      <c r="I3822" s="32"/>
      <c r="J3822" s="32"/>
      <c r="K3822" s="32"/>
      <c r="L3822" s="32" t="e">
        <f ca="1">_xludf.ifna(VLOOKUP(E3822,Parámetros!$D$2:$E$34,2,0),"")</f>
        <v>#NAME?</v>
      </c>
      <c r="M3822" s="32" t="e">
        <f ca="1">_xludf.ifna(VLOOKUP(G3822,Proyectos!$A$2:$T$674,20,0),"")</f>
        <v>#NAME?</v>
      </c>
      <c r="N3822" s="32" t="e">
        <f ca="1">_xludf.ifna(VLOOKUP(G3822,Proyectos!$A$2:$S$674,19,0))</f>
        <v>#NAME?</v>
      </c>
      <c r="O3822" s="32"/>
      <c r="P3822" s="32"/>
      <c r="Q3822" s="33"/>
      <c r="R3822" s="33"/>
      <c r="S3822" s="33"/>
      <c r="T3822" s="63"/>
      <c r="U3822" s="33"/>
      <c r="V3822" s="33"/>
      <c r="W3822" s="33"/>
    </row>
    <row r="3823" spans="1:23" ht="16.5" customHeight="1" x14ac:dyDescent="0.2">
      <c r="A3823" s="26"/>
      <c r="B3823" s="26"/>
      <c r="C3823" s="26"/>
      <c r="D3823" s="26"/>
      <c r="E3823" s="26"/>
      <c r="F3823" s="28"/>
      <c r="G3823" s="26"/>
      <c r="H3823" s="32"/>
      <c r="I3823" s="32"/>
      <c r="J3823" s="32"/>
      <c r="K3823" s="32"/>
      <c r="L3823" s="32" t="e">
        <f ca="1">_xludf.ifna(VLOOKUP(E3823,Parámetros!$D$2:$E$34,2,0),"")</f>
        <v>#NAME?</v>
      </c>
      <c r="M3823" s="32" t="e">
        <f ca="1">_xludf.ifna(VLOOKUP(G3823,Proyectos!$A$2:$T$674,20,0),"")</f>
        <v>#NAME?</v>
      </c>
      <c r="N3823" s="32" t="e">
        <f ca="1">_xludf.ifna(VLOOKUP(G3823,Proyectos!$A$2:$S$674,19,0))</f>
        <v>#NAME?</v>
      </c>
      <c r="O3823" s="32"/>
      <c r="P3823" s="32"/>
      <c r="Q3823" s="33"/>
      <c r="R3823" s="33"/>
      <c r="S3823" s="33"/>
      <c r="T3823" s="63"/>
      <c r="U3823" s="33"/>
      <c r="V3823" s="33"/>
      <c r="W3823" s="33"/>
    </row>
    <row r="3824" spans="1:23" ht="16.5" customHeight="1" x14ac:dyDescent="0.2">
      <c r="A3824" s="26"/>
      <c r="B3824" s="26"/>
      <c r="C3824" s="26"/>
      <c r="D3824" s="26"/>
      <c r="E3824" s="26"/>
      <c r="F3824" s="28"/>
      <c r="G3824" s="26"/>
      <c r="H3824" s="32"/>
      <c r="I3824" s="32"/>
      <c r="J3824" s="32"/>
      <c r="K3824" s="32"/>
      <c r="L3824" s="32" t="e">
        <f ca="1">_xludf.ifna(VLOOKUP(E3824,Parámetros!$D$2:$E$34,2,0),"")</f>
        <v>#NAME?</v>
      </c>
      <c r="M3824" s="32" t="e">
        <f ca="1">_xludf.ifna(VLOOKUP(G3824,Proyectos!$A$2:$T$674,20,0),"")</f>
        <v>#NAME?</v>
      </c>
      <c r="N3824" s="32" t="e">
        <f ca="1">_xludf.ifna(VLOOKUP(G3824,Proyectos!$A$2:$S$674,19,0))</f>
        <v>#NAME?</v>
      </c>
      <c r="O3824" s="32"/>
      <c r="P3824" s="32"/>
      <c r="Q3824" s="33"/>
      <c r="R3824" s="33"/>
      <c r="S3824" s="33"/>
      <c r="T3824" s="63"/>
      <c r="U3824" s="33"/>
      <c r="V3824" s="33"/>
      <c r="W3824" s="33"/>
    </row>
    <row r="3825" spans="1:23" ht="16.5" customHeight="1" x14ac:dyDescent="0.2">
      <c r="A3825" s="26"/>
      <c r="B3825" s="26"/>
      <c r="C3825" s="26"/>
      <c r="D3825" s="26"/>
      <c r="E3825" s="26"/>
      <c r="F3825" s="28"/>
      <c r="G3825" s="26"/>
      <c r="H3825" s="32"/>
      <c r="I3825" s="32"/>
      <c r="J3825" s="32"/>
      <c r="K3825" s="32"/>
      <c r="L3825" s="32" t="e">
        <f ca="1">_xludf.ifna(VLOOKUP(E3825,Parámetros!$D$2:$E$34,2,0),"")</f>
        <v>#NAME?</v>
      </c>
      <c r="M3825" s="32" t="e">
        <f ca="1">_xludf.ifna(VLOOKUP(G3825,Proyectos!$A$2:$T$674,20,0),"")</f>
        <v>#NAME?</v>
      </c>
      <c r="N3825" s="32" t="e">
        <f ca="1">_xludf.ifna(VLOOKUP(G3825,Proyectos!$A$2:$S$674,19,0))</f>
        <v>#NAME?</v>
      </c>
      <c r="O3825" s="32"/>
      <c r="P3825" s="32"/>
      <c r="Q3825" s="33"/>
      <c r="R3825" s="33"/>
      <c r="S3825" s="33"/>
      <c r="T3825" s="63"/>
      <c r="U3825" s="33"/>
      <c r="V3825" s="33"/>
      <c r="W3825" s="33"/>
    </row>
    <row r="3826" spans="1:23" ht="16.5" customHeight="1" x14ac:dyDescent="0.2">
      <c r="A3826" s="26"/>
      <c r="B3826" s="26"/>
      <c r="C3826" s="26"/>
      <c r="D3826" s="26"/>
      <c r="E3826" s="26"/>
      <c r="F3826" s="28"/>
      <c r="G3826" s="26"/>
      <c r="H3826" s="32"/>
      <c r="I3826" s="32"/>
      <c r="J3826" s="32"/>
      <c r="K3826" s="32"/>
      <c r="L3826" s="32" t="e">
        <f ca="1">_xludf.ifna(VLOOKUP(E3826,Parámetros!$D$2:$E$34,2,0),"")</f>
        <v>#NAME?</v>
      </c>
      <c r="M3826" s="32" t="e">
        <f ca="1">_xludf.ifna(VLOOKUP(G3826,Proyectos!$A$2:$T$674,20,0),"")</f>
        <v>#NAME?</v>
      </c>
      <c r="N3826" s="32" t="e">
        <f ca="1">_xludf.ifna(VLOOKUP(G3826,Proyectos!$A$2:$S$674,19,0))</f>
        <v>#NAME?</v>
      </c>
      <c r="O3826" s="32"/>
      <c r="P3826" s="32"/>
      <c r="Q3826" s="33"/>
      <c r="R3826" s="33"/>
      <c r="S3826" s="33"/>
      <c r="T3826" s="63"/>
      <c r="U3826" s="33"/>
      <c r="V3826" s="33"/>
      <c r="W3826" s="33"/>
    </row>
    <row r="3827" spans="1:23" ht="16.5" customHeight="1" x14ac:dyDescent="0.2">
      <c r="A3827" s="26"/>
      <c r="B3827" s="26"/>
      <c r="C3827" s="26"/>
      <c r="D3827" s="26"/>
      <c r="E3827" s="26"/>
      <c r="F3827" s="28"/>
      <c r="G3827" s="26"/>
      <c r="H3827" s="32"/>
      <c r="I3827" s="32"/>
      <c r="J3827" s="32"/>
      <c r="K3827" s="32"/>
      <c r="L3827" s="32" t="e">
        <f ca="1">_xludf.ifna(VLOOKUP(E3827,Parámetros!$D$2:$E$34,2,0),"")</f>
        <v>#NAME?</v>
      </c>
      <c r="M3827" s="32" t="e">
        <f ca="1">_xludf.ifna(VLOOKUP(G3827,Proyectos!$A$2:$T$674,20,0),"")</f>
        <v>#NAME?</v>
      </c>
      <c r="N3827" s="32" t="e">
        <f ca="1">_xludf.ifna(VLOOKUP(G3827,Proyectos!$A$2:$S$674,19,0))</f>
        <v>#NAME?</v>
      </c>
      <c r="O3827" s="32"/>
      <c r="P3827" s="32"/>
      <c r="Q3827" s="33"/>
      <c r="R3827" s="33"/>
      <c r="S3827" s="33"/>
      <c r="T3827" s="63"/>
      <c r="U3827" s="33"/>
      <c r="V3827" s="33"/>
      <c r="W3827" s="33"/>
    </row>
    <row r="3828" spans="1:23" ht="16.5" customHeight="1" x14ac:dyDescent="0.2">
      <c r="A3828" s="26"/>
      <c r="B3828" s="26"/>
      <c r="C3828" s="26"/>
      <c r="D3828" s="26"/>
      <c r="E3828" s="26"/>
      <c r="F3828" s="28"/>
      <c r="G3828" s="26"/>
      <c r="H3828" s="32"/>
      <c r="I3828" s="32"/>
      <c r="J3828" s="32"/>
      <c r="K3828" s="32"/>
      <c r="L3828" s="32" t="e">
        <f ca="1">_xludf.ifna(VLOOKUP(E3828,Parámetros!$D$2:$E$34,2,0),"")</f>
        <v>#NAME?</v>
      </c>
      <c r="M3828" s="32" t="e">
        <f ca="1">_xludf.ifna(VLOOKUP(G3828,Proyectos!$A$2:$T$674,20,0),"")</f>
        <v>#NAME?</v>
      </c>
      <c r="N3828" s="32" t="e">
        <f ca="1">_xludf.ifna(VLOOKUP(G3828,Proyectos!$A$2:$S$674,19,0))</f>
        <v>#NAME?</v>
      </c>
      <c r="O3828" s="32"/>
      <c r="P3828" s="32"/>
      <c r="Q3828" s="33"/>
      <c r="R3828" s="33"/>
      <c r="S3828" s="33"/>
      <c r="T3828" s="63"/>
      <c r="U3828" s="33"/>
      <c r="V3828" s="33"/>
      <c r="W3828" s="33"/>
    </row>
    <row r="3829" spans="1:23" ht="16.5" customHeight="1" x14ac:dyDescent="0.2">
      <c r="A3829" s="26"/>
      <c r="B3829" s="26"/>
      <c r="C3829" s="26"/>
      <c r="D3829" s="26"/>
      <c r="E3829" s="26"/>
      <c r="F3829" s="28"/>
      <c r="G3829" s="26"/>
      <c r="H3829" s="32"/>
      <c r="I3829" s="32"/>
      <c r="J3829" s="32"/>
      <c r="K3829" s="32"/>
      <c r="L3829" s="32" t="e">
        <f ca="1">_xludf.ifna(VLOOKUP(E3829,Parámetros!$D$2:$E$34,2,0),"")</f>
        <v>#NAME?</v>
      </c>
      <c r="M3829" s="32" t="e">
        <f ca="1">_xludf.ifna(VLOOKUP(G3829,Proyectos!$A$2:$T$674,20,0),"")</f>
        <v>#NAME?</v>
      </c>
      <c r="N3829" s="32" t="e">
        <f ca="1">_xludf.ifna(VLOOKUP(G3829,Proyectos!$A$2:$S$674,19,0))</f>
        <v>#NAME?</v>
      </c>
      <c r="O3829" s="32"/>
      <c r="P3829" s="32"/>
      <c r="Q3829" s="33"/>
      <c r="R3829" s="33"/>
      <c r="S3829" s="33"/>
      <c r="T3829" s="63"/>
      <c r="U3829" s="33"/>
      <c r="V3829" s="33"/>
      <c r="W3829" s="33"/>
    </row>
    <row r="3830" spans="1:23" ht="16.5" customHeight="1" x14ac:dyDescent="0.2">
      <c r="A3830" s="26"/>
      <c r="B3830" s="26"/>
      <c r="C3830" s="26"/>
      <c r="D3830" s="26"/>
      <c r="E3830" s="26"/>
      <c r="F3830" s="28"/>
      <c r="G3830" s="26"/>
      <c r="H3830" s="32"/>
      <c r="I3830" s="32"/>
      <c r="J3830" s="32"/>
      <c r="K3830" s="32"/>
      <c r="L3830" s="32" t="e">
        <f ca="1">_xludf.ifna(VLOOKUP(E3830,Parámetros!$D$2:$E$34,2,0),"")</f>
        <v>#NAME?</v>
      </c>
      <c r="M3830" s="32" t="e">
        <f ca="1">_xludf.ifna(VLOOKUP(G3830,Proyectos!$A$2:$T$674,20,0),"")</f>
        <v>#NAME?</v>
      </c>
      <c r="N3830" s="32" t="e">
        <f ca="1">_xludf.ifna(VLOOKUP(G3830,Proyectos!$A$2:$S$674,19,0))</f>
        <v>#NAME?</v>
      </c>
      <c r="O3830" s="32"/>
      <c r="P3830" s="32"/>
      <c r="Q3830" s="33"/>
      <c r="R3830" s="33"/>
      <c r="S3830" s="33"/>
      <c r="T3830" s="63"/>
      <c r="U3830" s="33"/>
      <c r="V3830" s="33"/>
      <c r="W3830" s="33"/>
    </row>
    <row r="3831" spans="1:23" ht="16.5" customHeight="1" x14ac:dyDescent="0.2">
      <c r="A3831" s="26"/>
      <c r="B3831" s="26"/>
      <c r="C3831" s="26"/>
      <c r="D3831" s="26"/>
      <c r="E3831" s="26"/>
      <c r="F3831" s="28"/>
      <c r="G3831" s="26"/>
      <c r="H3831" s="32"/>
      <c r="I3831" s="32"/>
      <c r="J3831" s="32"/>
      <c r="K3831" s="32"/>
      <c r="L3831" s="32" t="e">
        <f ca="1">_xludf.ifna(VLOOKUP(E3831,Parámetros!$D$2:$E$34,2,0),"")</f>
        <v>#NAME?</v>
      </c>
      <c r="M3831" s="32" t="e">
        <f ca="1">_xludf.ifna(VLOOKUP(G3831,Proyectos!$A$2:$T$674,20,0),"")</f>
        <v>#NAME?</v>
      </c>
      <c r="N3831" s="32" t="e">
        <f ca="1">_xludf.ifna(VLOOKUP(G3831,Proyectos!$A$2:$S$674,19,0))</f>
        <v>#NAME?</v>
      </c>
      <c r="O3831" s="32"/>
      <c r="P3831" s="32"/>
      <c r="Q3831" s="33"/>
      <c r="R3831" s="33"/>
      <c r="S3831" s="33"/>
      <c r="T3831" s="63"/>
      <c r="U3831" s="33"/>
      <c r="V3831" s="33"/>
      <c r="W3831" s="33"/>
    </row>
    <row r="3832" spans="1:23" ht="16.5" customHeight="1" x14ac:dyDescent="0.2">
      <c r="A3832" s="26"/>
      <c r="B3832" s="26"/>
      <c r="C3832" s="26"/>
      <c r="D3832" s="26"/>
      <c r="E3832" s="26"/>
      <c r="F3832" s="28"/>
      <c r="G3832" s="26"/>
      <c r="H3832" s="32"/>
      <c r="I3832" s="32"/>
      <c r="J3832" s="32"/>
      <c r="K3832" s="32"/>
      <c r="L3832" s="32" t="e">
        <f ca="1">_xludf.ifna(VLOOKUP(E3832,Parámetros!$D$2:$E$34,2,0),"")</f>
        <v>#NAME?</v>
      </c>
      <c r="M3832" s="32" t="e">
        <f ca="1">_xludf.ifna(VLOOKUP(G3832,Proyectos!$A$2:$T$674,20,0),"")</f>
        <v>#NAME?</v>
      </c>
      <c r="N3832" s="32" t="e">
        <f ca="1">_xludf.ifna(VLOOKUP(G3832,Proyectos!$A$2:$S$674,19,0))</f>
        <v>#NAME?</v>
      </c>
      <c r="O3832" s="32"/>
      <c r="P3832" s="32"/>
      <c r="Q3832" s="33"/>
      <c r="R3832" s="33"/>
      <c r="S3832" s="33"/>
      <c r="T3832" s="63"/>
      <c r="U3832" s="33"/>
      <c r="V3832" s="33"/>
      <c r="W3832" s="33"/>
    </row>
    <row r="3833" spans="1:23" ht="16.5" customHeight="1" x14ac:dyDescent="0.2">
      <c r="A3833" s="26"/>
      <c r="B3833" s="26"/>
      <c r="C3833" s="26"/>
      <c r="D3833" s="26"/>
      <c r="E3833" s="26"/>
      <c r="F3833" s="28"/>
      <c r="G3833" s="26"/>
      <c r="H3833" s="32"/>
      <c r="I3833" s="32"/>
      <c r="J3833" s="32"/>
      <c r="K3833" s="32"/>
      <c r="L3833" s="32" t="e">
        <f ca="1">_xludf.ifna(VLOOKUP(E3833,Parámetros!$D$2:$E$34,2,0),"")</f>
        <v>#NAME?</v>
      </c>
      <c r="M3833" s="32" t="e">
        <f ca="1">_xludf.ifna(VLOOKUP(G3833,Proyectos!$A$2:$T$674,20,0),"")</f>
        <v>#NAME?</v>
      </c>
      <c r="N3833" s="32" t="e">
        <f ca="1">_xludf.ifna(VLOOKUP(G3833,Proyectos!$A$2:$S$674,19,0))</f>
        <v>#NAME?</v>
      </c>
      <c r="O3833" s="32"/>
      <c r="P3833" s="32"/>
      <c r="Q3833" s="33"/>
      <c r="R3833" s="33"/>
      <c r="S3833" s="33"/>
      <c r="T3833" s="63"/>
      <c r="U3833" s="33"/>
      <c r="V3833" s="33"/>
      <c r="W3833" s="33"/>
    </row>
    <row r="3834" spans="1:23" ht="16.5" customHeight="1" x14ac:dyDescent="0.2">
      <c r="A3834" s="26"/>
      <c r="B3834" s="26"/>
      <c r="C3834" s="26"/>
      <c r="D3834" s="26"/>
      <c r="E3834" s="26"/>
      <c r="F3834" s="28"/>
      <c r="G3834" s="26"/>
      <c r="H3834" s="32"/>
      <c r="I3834" s="32"/>
      <c r="J3834" s="32"/>
      <c r="K3834" s="32"/>
      <c r="L3834" s="32" t="e">
        <f ca="1">_xludf.ifna(VLOOKUP(E3834,Parámetros!$D$2:$E$34,2,0),"")</f>
        <v>#NAME?</v>
      </c>
      <c r="M3834" s="32" t="e">
        <f ca="1">_xludf.ifna(VLOOKUP(G3834,Proyectos!$A$2:$T$674,20,0),"")</f>
        <v>#NAME?</v>
      </c>
      <c r="N3834" s="32" t="e">
        <f ca="1">_xludf.ifna(VLOOKUP(G3834,Proyectos!$A$2:$S$674,19,0))</f>
        <v>#NAME?</v>
      </c>
      <c r="O3834" s="32"/>
      <c r="P3834" s="32"/>
      <c r="Q3834" s="33"/>
      <c r="R3834" s="33"/>
      <c r="S3834" s="33"/>
      <c r="T3834" s="63"/>
      <c r="U3834" s="33"/>
      <c r="V3834" s="33"/>
      <c r="W3834" s="33"/>
    </row>
    <row r="3835" spans="1:23" ht="16.5" customHeight="1" x14ac:dyDescent="0.2">
      <c r="A3835" s="26"/>
      <c r="B3835" s="26"/>
      <c r="C3835" s="26"/>
      <c r="D3835" s="26"/>
      <c r="E3835" s="26"/>
      <c r="F3835" s="28"/>
      <c r="G3835" s="26"/>
      <c r="H3835" s="32"/>
      <c r="I3835" s="32"/>
      <c r="J3835" s="32"/>
      <c r="K3835" s="32"/>
      <c r="L3835" s="32" t="e">
        <f ca="1">_xludf.ifna(VLOOKUP(E3835,Parámetros!$D$2:$E$34,2,0),"")</f>
        <v>#NAME?</v>
      </c>
      <c r="M3835" s="32" t="e">
        <f ca="1">_xludf.ifna(VLOOKUP(G3835,Proyectos!$A$2:$T$674,20,0),"")</f>
        <v>#NAME?</v>
      </c>
      <c r="N3835" s="32" t="e">
        <f ca="1">_xludf.ifna(VLOOKUP(G3835,Proyectos!$A$2:$S$674,19,0))</f>
        <v>#NAME?</v>
      </c>
      <c r="O3835" s="32"/>
      <c r="P3835" s="32"/>
      <c r="Q3835" s="33"/>
      <c r="R3835" s="33"/>
      <c r="S3835" s="33"/>
      <c r="T3835" s="63"/>
      <c r="U3835" s="33"/>
      <c r="V3835" s="33"/>
      <c r="W3835" s="33"/>
    </row>
    <row r="3836" spans="1:23" ht="16.5" customHeight="1" x14ac:dyDescent="0.2">
      <c r="A3836" s="26"/>
      <c r="B3836" s="26"/>
      <c r="C3836" s="26"/>
      <c r="D3836" s="26"/>
      <c r="E3836" s="26"/>
      <c r="F3836" s="28"/>
      <c r="G3836" s="26"/>
      <c r="H3836" s="32"/>
      <c r="I3836" s="32"/>
      <c r="J3836" s="32"/>
      <c r="K3836" s="32"/>
      <c r="L3836" s="32" t="e">
        <f ca="1">_xludf.ifna(VLOOKUP(E3836,Parámetros!$D$2:$E$34,2,0),"")</f>
        <v>#NAME?</v>
      </c>
      <c r="M3836" s="32" t="e">
        <f ca="1">_xludf.ifna(VLOOKUP(G3836,Proyectos!$A$2:$T$674,20,0),"")</f>
        <v>#NAME?</v>
      </c>
      <c r="N3836" s="32" t="e">
        <f ca="1">_xludf.ifna(VLOOKUP(G3836,Proyectos!$A$2:$S$674,19,0))</f>
        <v>#NAME?</v>
      </c>
      <c r="O3836" s="32"/>
      <c r="P3836" s="32"/>
      <c r="Q3836" s="33"/>
      <c r="R3836" s="33"/>
      <c r="S3836" s="33"/>
      <c r="T3836" s="63"/>
      <c r="U3836" s="33"/>
      <c r="V3836" s="33"/>
      <c r="W3836" s="33"/>
    </row>
    <row r="3837" spans="1:23" ht="16.5" customHeight="1" x14ac:dyDescent="0.2">
      <c r="A3837" s="26"/>
      <c r="B3837" s="26"/>
      <c r="C3837" s="26"/>
      <c r="D3837" s="26"/>
      <c r="E3837" s="26"/>
      <c r="F3837" s="28"/>
      <c r="G3837" s="26"/>
      <c r="H3837" s="32"/>
      <c r="I3837" s="32"/>
      <c r="J3837" s="32"/>
      <c r="K3837" s="32"/>
      <c r="L3837" s="32" t="e">
        <f ca="1">_xludf.ifna(VLOOKUP(E3837,Parámetros!$D$2:$E$34,2,0),"")</f>
        <v>#NAME?</v>
      </c>
      <c r="M3837" s="32" t="e">
        <f ca="1">_xludf.ifna(VLOOKUP(G3837,Proyectos!$A$2:$T$674,20,0),"")</f>
        <v>#NAME?</v>
      </c>
      <c r="N3837" s="32" t="e">
        <f ca="1">_xludf.ifna(VLOOKUP(G3837,Proyectos!$A$2:$S$674,19,0))</f>
        <v>#NAME?</v>
      </c>
      <c r="O3837" s="32"/>
      <c r="P3837" s="32"/>
      <c r="Q3837" s="33"/>
      <c r="R3837" s="33"/>
      <c r="S3837" s="33"/>
      <c r="T3837" s="63"/>
      <c r="U3837" s="33"/>
      <c r="V3837" s="33"/>
      <c r="W3837" s="33"/>
    </row>
    <row r="3838" spans="1:23" ht="16.5" customHeight="1" x14ac:dyDescent="0.2">
      <c r="A3838" s="26"/>
      <c r="B3838" s="26"/>
      <c r="C3838" s="26"/>
      <c r="D3838" s="26"/>
      <c r="E3838" s="26"/>
      <c r="F3838" s="28"/>
      <c r="G3838" s="26"/>
      <c r="H3838" s="32"/>
      <c r="I3838" s="32"/>
      <c r="J3838" s="32"/>
      <c r="K3838" s="32"/>
      <c r="L3838" s="32" t="e">
        <f ca="1">_xludf.ifna(VLOOKUP(E3838,Parámetros!$D$2:$E$34,2,0),"")</f>
        <v>#NAME?</v>
      </c>
      <c r="M3838" s="32" t="e">
        <f ca="1">_xludf.ifna(VLOOKUP(G3838,Proyectos!$A$2:$T$674,20,0),"")</f>
        <v>#NAME?</v>
      </c>
      <c r="N3838" s="32" t="e">
        <f ca="1">_xludf.ifna(VLOOKUP(G3838,Proyectos!$A$2:$S$674,19,0))</f>
        <v>#NAME?</v>
      </c>
      <c r="O3838" s="32"/>
      <c r="P3838" s="32"/>
      <c r="Q3838" s="33"/>
      <c r="R3838" s="33"/>
      <c r="S3838" s="33"/>
      <c r="T3838" s="63"/>
      <c r="U3838" s="33"/>
      <c r="V3838" s="33"/>
      <c r="W3838" s="33"/>
    </row>
    <row r="3839" spans="1:23" ht="16.5" customHeight="1" x14ac:dyDescent="0.2">
      <c r="A3839" s="26"/>
      <c r="B3839" s="26"/>
      <c r="C3839" s="26"/>
      <c r="D3839" s="26"/>
      <c r="E3839" s="26"/>
      <c r="F3839" s="28"/>
      <c r="G3839" s="26"/>
      <c r="H3839" s="32"/>
      <c r="I3839" s="32"/>
      <c r="J3839" s="32"/>
      <c r="K3839" s="32"/>
      <c r="L3839" s="32" t="e">
        <f ca="1">_xludf.ifna(VLOOKUP(E3839,Parámetros!$D$2:$E$34,2,0),"")</f>
        <v>#NAME?</v>
      </c>
      <c r="M3839" s="32" t="e">
        <f ca="1">_xludf.ifna(VLOOKUP(G3839,Proyectos!$A$2:$T$674,20,0),"")</f>
        <v>#NAME?</v>
      </c>
      <c r="N3839" s="32" t="e">
        <f ca="1">_xludf.ifna(VLOOKUP(G3839,Proyectos!$A$2:$S$674,19,0))</f>
        <v>#NAME?</v>
      </c>
      <c r="O3839" s="32"/>
      <c r="P3839" s="32"/>
      <c r="Q3839" s="33"/>
      <c r="R3839" s="33"/>
      <c r="S3839" s="33"/>
      <c r="T3839" s="63"/>
      <c r="U3839" s="33"/>
      <c r="V3839" s="33"/>
      <c r="W3839" s="33"/>
    </row>
    <row r="3840" spans="1:23" ht="16.5" customHeight="1" x14ac:dyDescent="0.2">
      <c r="A3840" s="26"/>
      <c r="B3840" s="26"/>
      <c r="C3840" s="26"/>
      <c r="D3840" s="26"/>
      <c r="E3840" s="26"/>
      <c r="F3840" s="28"/>
      <c r="G3840" s="26"/>
      <c r="H3840" s="32"/>
      <c r="I3840" s="32"/>
      <c r="J3840" s="32"/>
      <c r="K3840" s="32"/>
      <c r="L3840" s="32" t="e">
        <f ca="1">_xludf.ifna(VLOOKUP(E3840,Parámetros!$D$2:$E$34,2,0),"")</f>
        <v>#NAME?</v>
      </c>
      <c r="M3840" s="32" t="e">
        <f ca="1">_xludf.ifna(VLOOKUP(G3840,Proyectos!$A$2:$T$674,20,0),"")</f>
        <v>#NAME?</v>
      </c>
      <c r="N3840" s="32" t="e">
        <f ca="1">_xludf.ifna(VLOOKUP(G3840,Proyectos!$A$2:$S$674,19,0))</f>
        <v>#NAME?</v>
      </c>
      <c r="O3840" s="32"/>
      <c r="P3840" s="32"/>
      <c r="Q3840" s="33"/>
      <c r="R3840" s="33"/>
      <c r="S3840" s="33"/>
      <c r="T3840" s="63"/>
      <c r="U3840" s="33"/>
      <c r="V3840" s="33"/>
      <c r="W3840" s="33"/>
    </row>
    <row r="3841" spans="1:23" ht="16.5" customHeight="1" x14ac:dyDescent="0.2">
      <c r="A3841" s="26"/>
      <c r="B3841" s="26"/>
      <c r="C3841" s="26"/>
      <c r="D3841" s="26"/>
      <c r="E3841" s="26"/>
      <c r="F3841" s="28"/>
      <c r="G3841" s="26"/>
      <c r="H3841" s="32"/>
      <c r="I3841" s="32"/>
      <c r="J3841" s="32"/>
      <c r="K3841" s="32"/>
      <c r="L3841" s="32" t="e">
        <f ca="1">_xludf.ifna(VLOOKUP(E3841,Parámetros!$D$2:$E$34,2,0),"")</f>
        <v>#NAME?</v>
      </c>
      <c r="M3841" s="32" t="e">
        <f ca="1">_xludf.ifna(VLOOKUP(G3841,Proyectos!$A$2:$T$674,20,0),"")</f>
        <v>#NAME?</v>
      </c>
      <c r="N3841" s="32" t="e">
        <f ca="1">_xludf.ifna(VLOOKUP(G3841,Proyectos!$A$2:$S$674,19,0))</f>
        <v>#NAME?</v>
      </c>
      <c r="O3841" s="32"/>
      <c r="P3841" s="32"/>
      <c r="Q3841" s="33"/>
      <c r="R3841" s="33"/>
      <c r="S3841" s="33"/>
      <c r="T3841" s="63"/>
      <c r="U3841" s="33"/>
      <c r="V3841" s="33"/>
      <c r="W3841" s="33"/>
    </row>
    <row r="3842" spans="1:23" ht="16.5" customHeight="1" x14ac:dyDescent="0.2">
      <c r="A3842" s="26"/>
      <c r="B3842" s="26"/>
      <c r="C3842" s="26"/>
      <c r="D3842" s="26"/>
      <c r="E3842" s="26"/>
      <c r="F3842" s="28"/>
      <c r="G3842" s="26"/>
      <c r="H3842" s="32"/>
      <c r="I3842" s="32"/>
      <c r="J3842" s="32"/>
      <c r="K3842" s="32"/>
      <c r="L3842" s="32" t="e">
        <f ca="1">_xludf.ifna(VLOOKUP(E3842,Parámetros!$D$2:$E$34,2,0),"")</f>
        <v>#NAME?</v>
      </c>
      <c r="M3842" s="32" t="e">
        <f ca="1">_xludf.ifna(VLOOKUP(G3842,Proyectos!$A$2:$T$674,20,0),"")</f>
        <v>#NAME?</v>
      </c>
      <c r="N3842" s="32" t="e">
        <f ca="1">_xludf.ifna(VLOOKUP(G3842,Proyectos!$A$2:$S$674,19,0))</f>
        <v>#NAME?</v>
      </c>
      <c r="O3842" s="32"/>
      <c r="P3842" s="32"/>
      <c r="Q3842" s="33"/>
      <c r="R3842" s="33"/>
      <c r="S3842" s="33"/>
      <c r="T3842" s="63"/>
      <c r="U3842" s="33"/>
      <c r="V3842" s="33"/>
      <c r="W3842" s="33"/>
    </row>
    <row r="3843" spans="1:23" ht="16.5" customHeight="1" x14ac:dyDescent="0.2">
      <c r="A3843" s="26"/>
      <c r="B3843" s="26"/>
      <c r="C3843" s="26"/>
      <c r="D3843" s="26"/>
      <c r="E3843" s="26"/>
      <c r="F3843" s="28"/>
      <c r="G3843" s="26"/>
      <c r="H3843" s="32"/>
      <c r="I3843" s="32"/>
      <c r="J3843" s="32"/>
      <c r="K3843" s="32"/>
      <c r="L3843" s="32" t="e">
        <f ca="1">_xludf.ifna(VLOOKUP(E3843,Parámetros!$D$2:$E$34,2,0),"")</f>
        <v>#NAME?</v>
      </c>
      <c r="M3843" s="32" t="e">
        <f ca="1">_xludf.ifna(VLOOKUP(G3843,Proyectos!$A$2:$T$674,20,0),"")</f>
        <v>#NAME?</v>
      </c>
      <c r="N3843" s="32" t="e">
        <f ca="1">_xludf.ifna(VLOOKUP(G3843,Proyectos!$A$2:$S$674,19,0))</f>
        <v>#NAME?</v>
      </c>
      <c r="O3843" s="32"/>
      <c r="P3843" s="32"/>
      <c r="Q3843" s="33"/>
      <c r="R3843" s="33"/>
      <c r="S3843" s="33"/>
      <c r="T3843" s="63"/>
      <c r="U3843" s="33"/>
      <c r="V3843" s="33"/>
      <c r="W3843" s="33"/>
    </row>
    <row r="3844" spans="1:23" ht="16.5" customHeight="1" x14ac:dyDescent="0.2">
      <c r="A3844" s="26"/>
      <c r="B3844" s="26"/>
      <c r="C3844" s="26"/>
      <c r="D3844" s="26"/>
      <c r="E3844" s="26"/>
      <c r="F3844" s="28"/>
      <c r="G3844" s="26"/>
      <c r="H3844" s="32"/>
      <c r="I3844" s="32"/>
      <c r="J3844" s="32"/>
      <c r="K3844" s="32"/>
      <c r="L3844" s="32" t="e">
        <f ca="1">_xludf.ifna(VLOOKUP(E3844,Parámetros!$D$2:$E$34,2,0),"")</f>
        <v>#NAME?</v>
      </c>
      <c r="M3844" s="32" t="e">
        <f ca="1">_xludf.ifna(VLOOKUP(G3844,Proyectos!$A$2:$T$674,20,0),"")</f>
        <v>#NAME?</v>
      </c>
      <c r="N3844" s="32" t="e">
        <f ca="1">_xludf.ifna(VLOOKUP(G3844,Proyectos!$A$2:$S$674,19,0))</f>
        <v>#NAME?</v>
      </c>
      <c r="O3844" s="32"/>
      <c r="P3844" s="32"/>
      <c r="Q3844" s="33"/>
      <c r="R3844" s="33"/>
      <c r="S3844" s="33"/>
      <c r="T3844" s="63"/>
      <c r="U3844" s="33"/>
      <c r="V3844" s="33"/>
      <c r="W3844" s="33"/>
    </row>
    <row r="3845" spans="1:23" ht="16.5" customHeight="1" x14ac:dyDescent="0.2">
      <c r="A3845" s="26"/>
      <c r="B3845" s="26"/>
      <c r="C3845" s="26"/>
      <c r="D3845" s="26"/>
      <c r="E3845" s="26"/>
      <c r="F3845" s="28"/>
      <c r="G3845" s="26"/>
      <c r="H3845" s="32"/>
      <c r="I3845" s="32"/>
      <c r="J3845" s="32"/>
      <c r="K3845" s="32"/>
      <c r="L3845" s="32" t="e">
        <f ca="1">_xludf.ifna(VLOOKUP(E3845,Parámetros!$D$2:$E$34,2,0),"")</f>
        <v>#NAME?</v>
      </c>
      <c r="M3845" s="32" t="e">
        <f ca="1">_xludf.ifna(VLOOKUP(G3845,Proyectos!$A$2:$T$674,20,0),"")</f>
        <v>#NAME?</v>
      </c>
      <c r="N3845" s="32" t="e">
        <f ca="1">_xludf.ifna(VLOOKUP(G3845,Proyectos!$A$2:$S$674,19,0))</f>
        <v>#NAME?</v>
      </c>
      <c r="O3845" s="32"/>
      <c r="P3845" s="32"/>
      <c r="Q3845" s="33"/>
      <c r="R3845" s="33"/>
      <c r="S3845" s="33"/>
      <c r="T3845" s="63"/>
      <c r="U3845" s="33"/>
      <c r="V3845" s="33"/>
      <c r="W3845" s="33"/>
    </row>
    <row r="3846" spans="1:23" ht="16.5" customHeight="1" x14ac:dyDescent="0.2">
      <c r="A3846" s="26"/>
      <c r="B3846" s="26"/>
      <c r="C3846" s="26"/>
      <c r="D3846" s="26"/>
      <c r="E3846" s="26"/>
      <c r="F3846" s="28"/>
      <c r="G3846" s="26"/>
      <c r="H3846" s="32"/>
      <c r="I3846" s="32"/>
      <c r="J3846" s="32"/>
      <c r="K3846" s="32"/>
      <c r="L3846" s="32" t="e">
        <f ca="1">_xludf.ifna(VLOOKUP(E3846,Parámetros!$D$2:$E$34,2,0),"")</f>
        <v>#NAME?</v>
      </c>
      <c r="M3846" s="32" t="e">
        <f ca="1">_xludf.ifna(VLOOKUP(G3846,Proyectos!$A$2:$T$674,20,0),"")</f>
        <v>#NAME?</v>
      </c>
      <c r="N3846" s="32" t="e">
        <f ca="1">_xludf.ifna(VLOOKUP(G3846,Proyectos!$A$2:$S$674,19,0))</f>
        <v>#NAME?</v>
      </c>
      <c r="O3846" s="32"/>
      <c r="P3846" s="32"/>
      <c r="Q3846" s="33"/>
      <c r="R3846" s="33"/>
      <c r="S3846" s="33"/>
      <c r="T3846" s="63"/>
      <c r="U3846" s="33"/>
      <c r="V3846" s="33"/>
      <c r="W3846" s="33"/>
    </row>
    <row r="3847" spans="1:23" ht="16.5" customHeight="1" x14ac:dyDescent="0.2">
      <c r="A3847" s="26"/>
      <c r="B3847" s="26"/>
      <c r="C3847" s="26"/>
      <c r="D3847" s="26"/>
      <c r="E3847" s="26"/>
      <c r="F3847" s="28"/>
      <c r="G3847" s="26"/>
      <c r="H3847" s="32"/>
      <c r="I3847" s="32"/>
      <c r="J3847" s="32"/>
      <c r="K3847" s="32"/>
      <c r="L3847" s="32" t="e">
        <f ca="1">_xludf.ifna(VLOOKUP(E3847,Parámetros!$D$2:$E$34,2,0),"")</f>
        <v>#NAME?</v>
      </c>
      <c r="M3847" s="32" t="e">
        <f ca="1">_xludf.ifna(VLOOKUP(G3847,Proyectos!$A$2:$T$674,20,0),"")</f>
        <v>#NAME?</v>
      </c>
      <c r="N3847" s="32" t="e">
        <f ca="1">_xludf.ifna(VLOOKUP(G3847,Proyectos!$A$2:$S$674,19,0))</f>
        <v>#NAME?</v>
      </c>
      <c r="O3847" s="32"/>
      <c r="P3847" s="32"/>
      <c r="Q3847" s="33"/>
      <c r="R3847" s="33"/>
      <c r="S3847" s="33"/>
      <c r="T3847" s="63"/>
      <c r="U3847" s="33"/>
      <c r="V3847" s="33"/>
      <c r="W3847" s="33"/>
    </row>
    <row r="3848" spans="1:23" ht="16.5" customHeight="1" x14ac:dyDescent="0.2">
      <c r="A3848" s="26"/>
      <c r="B3848" s="26"/>
      <c r="C3848" s="26"/>
      <c r="D3848" s="26"/>
      <c r="E3848" s="26"/>
      <c r="F3848" s="28"/>
      <c r="G3848" s="26"/>
      <c r="H3848" s="32"/>
      <c r="I3848" s="32"/>
      <c r="J3848" s="32"/>
      <c r="K3848" s="32"/>
      <c r="L3848" s="32" t="e">
        <f ca="1">_xludf.ifna(VLOOKUP(E3848,Parámetros!$D$2:$E$34,2,0),"")</f>
        <v>#NAME?</v>
      </c>
      <c r="M3848" s="32" t="e">
        <f ca="1">_xludf.ifna(VLOOKUP(G3848,Proyectos!$A$2:$T$674,20,0),"")</f>
        <v>#NAME?</v>
      </c>
      <c r="N3848" s="32" t="e">
        <f ca="1">_xludf.ifna(VLOOKUP(G3848,Proyectos!$A$2:$S$674,19,0))</f>
        <v>#NAME?</v>
      </c>
      <c r="O3848" s="32"/>
      <c r="P3848" s="32"/>
      <c r="Q3848" s="33"/>
      <c r="R3848" s="33"/>
      <c r="S3848" s="33"/>
      <c r="T3848" s="63"/>
      <c r="U3848" s="33"/>
      <c r="V3848" s="33"/>
      <c r="W3848" s="33"/>
    </row>
    <row r="3849" spans="1:23" ht="16.5" customHeight="1" x14ac:dyDescent="0.2">
      <c r="A3849" s="26"/>
      <c r="B3849" s="26"/>
      <c r="C3849" s="26"/>
      <c r="D3849" s="26"/>
      <c r="E3849" s="26"/>
      <c r="F3849" s="28"/>
      <c r="G3849" s="26"/>
      <c r="H3849" s="32"/>
      <c r="I3849" s="32"/>
      <c r="J3849" s="32"/>
      <c r="K3849" s="32"/>
      <c r="L3849" s="32" t="e">
        <f ca="1">_xludf.ifna(VLOOKUP(E3849,Parámetros!$D$2:$E$34,2,0),"")</f>
        <v>#NAME?</v>
      </c>
      <c r="M3849" s="32" t="e">
        <f ca="1">_xludf.ifna(VLOOKUP(G3849,Proyectos!$A$2:$T$674,20,0),"")</f>
        <v>#NAME?</v>
      </c>
      <c r="N3849" s="32" t="e">
        <f ca="1">_xludf.ifna(VLOOKUP(G3849,Proyectos!$A$2:$S$674,19,0))</f>
        <v>#NAME?</v>
      </c>
      <c r="O3849" s="32"/>
      <c r="P3849" s="32"/>
      <c r="Q3849" s="33"/>
      <c r="R3849" s="33"/>
      <c r="S3849" s="33"/>
      <c r="T3849" s="63"/>
      <c r="U3849" s="33"/>
      <c r="V3849" s="33"/>
      <c r="W3849" s="33"/>
    </row>
    <row r="3850" spans="1:23" ht="16.5" customHeight="1" x14ac:dyDescent="0.2">
      <c r="A3850" s="26"/>
      <c r="B3850" s="26"/>
      <c r="C3850" s="26"/>
      <c r="D3850" s="26"/>
      <c r="E3850" s="26"/>
      <c r="F3850" s="28"/>
      <c r="G3850" s="26"/>
      <c r="H3850" s="32"/>
      <c r="I3850" s="32"/>
      <c r="J3850" s="32"/>
      <c r="K3850" s="32"/>
      <c r="L3850" s="32" t="e">
        <f ca="1">_xludf.ifna(VLOOKUP(E3850,Parámetros!$D$2:$E$34,2,0),"")</f>
        <v>#NAME?</v>
      </c>
      <c r="M3850" s="32" t="e">
        <f ca="1">_xludf.ifna(VLOOKUP(G3850,Proyectos!$A$2:$T$674,20,0),"")</f>
        <v>#NAME?</v>
      </c>
      <c r="N3850" s="32" t="e">
        <f ca="1">_xludf.ifna(VLOOKUP(G3850,Proyectos!$A$2:$S$674,19,0))</f>
        <v>#NAME?</v>
      </c>
      <c r="O3850" s="32"/>
      <c r="P3850" s="32"/>
      <c r="Q3850" s="33"/>
      <c r="R3850" s="33"/>
      <c r="S3850" s="33"/>
      <c r="T3850" s="63"/>
      <c r="U3850" s="33"/>
      <c r="V3850" s="33"/>
      <c r="W3850" s="33"/>
    </row>
    <row r="3851" spans="1:23" ht="16.5" customHeight="1" x14ac:dyDescent="0.2">
      <c r="A3851" s="26"/>
      <c r="B3851" s="26"/>
      <c r="C3851" s="26"/>
      <c r="D3851" s="26"/>
      <c r="E3851" s="26"/>
      <c r="F3851" s="28"/>
      <c r="G3851" s="26"/>
      <c r="H3851" s="32"/>
      <c r="I3851" s="32"/>
      <c r="J3851" s="32"/>
      <c r="K3851" s="32"/>
      <c r="L3851" s="32" t="e">
        <f ca="1">_xludf.ifna(VLOOKUP(E3851,Parámetros!$D$2:$E$34,2,0),"")</f>
        <v>#NAME?</v>
      </c>
      <c r="M3851" s="32" t="e">
        <f ca="1">_xludf.ifna(VLOOKUP(G3851,Proyectos!$A$2:$T$674,20,0),"")</f>
        <v>#NAME?</v>
      </c>
      <c r="N3851" s="32" t="e">
        <f ca="1">_xludf.ifna(VLOOKUP(G3851,Proyectos!$A$2:$S$674,19,0))</f>
        <v>#NAME?</v>
      </c>
      <c r="O3851" s="32"/>
      <c r="P3851" s="32"/>
      <c r="Q3851" s="33"/>
      <c r="R3851" s="33"/>
      <c r="S3851" s="33"/>
      <c r="T3851" s="63"/>
      <c r="U3851" s="33"/>
      <c r="V3851" s="33"/>
      <c r="W3851" s="33"/>
    </row>
    <row r="3852" spans="1:23" ht="16.5" customHeight="1" x14ac:dyDescent="0.2">
      <c r="A3852" s="26"/>
      <c r="B3852" s="26"/>
      <c r="C3852" s="26"/>
      <c r="D3852" s="26"/>
      <c r="E3852" s="26"/>
      <c r="F3852" s="28"/>
      <c r="G3852" s="26"/>
      <c r="H3852" s="32"/>
      <c r="I3852" s="32"/>
      <c r="J3852" s="32"/>
      <c r="K3852" s="32"/>
      <c r="L3852" s="32" t="e">
        <f ca="1">_xludf.ifna(VLOOKUP(E3852,Parámetros!$D$2:$E$34,2,0),"")</f>
        <v>#NAME?</v>
      </c>
      <c r="M3852" s="32" t="e">
        <f ca="1">_xludf.ifna(VLOOKUP(G3852,Proyectos!$A$2:$T$674,20,0),"")</f>
        <v>#NAME?</v>
      </c>
      <c r="N3852" s="32" t="e">
        <f ca="1">_xludf.ifna(VLOOKUP(G3852,Proyectos!$A$2:$S$674,19,0))</f>
        <v>#NAME?</v>
      </c>
      <c r="O3852" s="32"/>
      <c r="P3852" s="32"/>
      <c r="Q3852" s="33"/>
      <c r="R3852" s="33"/>
      <c r="S3852" s="33"/>
      <c r="T3852" s="63"/>
      <c r="U3852" s="33"/>
      <c r="V3852" s="33"/>
      <c r="W3852" s="33"/>
    </row>
    <row r="3853" spans="1:23" ht="16.5" customHeight="1" x14ac:dyDescent="0.2">
      <c r="A3853" s="26"/>
      <c r="B3853" s="26"/>
      <c r="C3853" s="26"/>
      <c r="D3853" s="26"/>
      <c r="E3853" s="26"/>
      <c r="F3853" s="28"/>
      <c r="G3853" s="26"/>
      <c r="H3853" s="32"/>
      <c r="I3853" s="32"/>
      <c r="J3853" s="32"/>
      <c r="K3853" s="32"/>
      <c r="L3853" s="32" t="e">
        <f ca="1">_xludf.ifna(VLOOKUP(E3853,Parámetros!$D$2:$E$34,2,0),"")</f>
        <v>#NAME?</v>
      </c>
      <c r="M3853" s="32" t="e">
        <f ca="1">_xludf.ifna(VLOOKUP(G3853,Proyectos!$A$2:$T$674,20,0),"")</f>
        <v>#NAME?</v>
      </c>
      <c r="N3853" s="32" t="e">
        <f ca="1">_xludf.ifna(VLOOKUP(G3853,Proyectos!$A$2:$S$674,19,0))</f>
        <v>#NAME?</v>
      </c>
      <c r="O3853" s="32"/>
      <c r="P3853" s="32"/>
      <c r="Q3853" s="33"/>
      <c r="R3853" s="33"/>
      <c r="S3853" s="33"/>
      <c r="T3853" s="63"/>
      <c r="U3853" s="33"/>
      <c r="V3853" s="33"/>
      <c r="W3853" s="33"/>
    </row>
    <row r="3854" spans="1:23" ht="16.5" customHeight="1" x14ac:dyDescent="0.2">
      <c r="A3854" s="26"/>
      <c r="B3854" s="26"/>
      <c r="C3854" s="26"/>
      <c r="D3854" s="26"/>
      <c r="E3854" s="26"/>
      <c r="F3854" s="28"/>
      <c r="G3854" s="26"/>
      <c r="H3854" s="32"/>
      <c r="I3854" s="32"/>
      <c r="J3854" s="32"/>
      <c r="K3854" s="32"/>
      <c r="L3854" s="32" t="e">
        <f ca="1">_xludf.ifna(VLOOKUP(E3854,Parámetros!$D$2:$E$34,2,0),"")</f>
        <v>#NAME?</v>
      </c>
      <c r="M3854" s="32" t="e">
        <f ca="1">_xludf.ifna(VLOOKUP(G3854,Proyectos!$A$2:$T$674,20,0),"")</f>
        <v>#NAME?</v>
      </c>
      <c r="N3854" s="32" t="e">
        <f ca="1">_xludf.ifna(VLOOKUP(G3854,Proyectos!$A$2:$S$674,19,0))</f>
        <v>#NAME?</v>
      </c>
      <c r="O3854" s="32"/>
      <c r="P3854" s="32"/>
      <c r="Q3854" s="33"/>
      <c r="R3854" s="33"/>
      <c r="S3854" s="33"/>
      <c r="T3854" s="63"/>
      <c r="U3854" s="33"/>
      <c r="V3854" s="33"/>
      <c r="W3854" s="33"/>
    </row>
    <row r="3855" spans="1:23" ht="16.5" customHeight="1" x14ac:dyDescent="0.2">
      <c r="A3855" s="26"/>
      <c r="B3855" s="26"/>
      <c r="C3855" s="26"/>
      <c r="D3855" s="26"/>
      <c r="E3855" s="26"/>
      <c r="F3855" s="28"/>
      <c r="G3855" s="26"/>
      <c r="H3855" s="32"/>
      <c r="I3855" s="32"/>
      <c r="J3855" s="32"/>
      <c r="K3855" s="32"/>
      <c r="L3855" s="32" t="e">
        <f ca="1">_xludf.ifna(VLOOKUP(E3855,Parámetros!$D$2:$E$34,2,0),"")</f>
        <v>#NAME?</v>
      </c>
      <c r="M3855" s="32" t="e">
        <f ca="1">_xludf.ifna(VLOOKUP(G3855,Proyectos!$A$2:$T$674,20,0),"")</f>
        <v>#NAME?</v>
      </c>
      <c r="N3855" s="32" t="e">
        <f ca="1">_xludf.ifna(VLOOKUP(G3855,Proyectos!$A$2:$S$674,19,0))</f>
        <v>#NAME?</v>
      </c>
      <c r="O3855" s="32"/>
      <c r="P3855" s="32"/>
      <c r="Q3855" s="33"/>
      <c r="R3855" s="33"/>
      <c r="S3855" s="33"/>
      <c r="T3855" s="63"/>
      <c r="U3855" s="33"/>
      <c r="V3855" s="33"/>
      <c r="W3855" s="33"/>
    </row>
    <row r="3856" spans="1:23" ht="16.5" customHeight="1" x14ac:dyDescent="0.2">
      <c r="A3856" s="26"/>
      <c r="B3856" s="26"/>
      <c r="C3856" s="26"/>
      <c r="D3856" s="26"/>
      <c r="E3856" s="26"/>
      <c r="F3856" s="28"/>
      <c r="G3856" s="26"/>
      <c r="H3856" s="32"/>
      <c r="I3856" s="32"/>
      <c r="J3856" s="32"/>
      <c r="K3856" s="32"/>
      <c r="L3856" s="32" t="e">
        <f ca="1">_xludf.ifna(VLOOKUP(E3856,Parámetros!$D$2:$E$34,2,0),"")</f>
        <v>#NAME?</v>
      </c>
      <c r="M3856" s="32" t="e">
        <f ca="1">_xludf.ifna(VLOOKUP(G3856,Proyectos!$A$2:$T$674,20,0),"")</f>
        <v>#NAME?</v>
      </c>
      <c r="N3856" s="32" t="e">
        <f ca="1">_xludf.ifna(VLOOKUP(G3856,Proyectos!$A$2:$S$674,19,0))</f>
        <v>#NAME?</v>
      </c>
      <c r="O3856" s="32"/>
      <c r="P3856" s="32"/>
      <c r="Q3856" s="33"/>
      <c r="R3856" s="33"/>
      <c r="S3856" s="33"/>
      <c r="T3856" s="63"/>
      <c r="U3856" s="33"/>
      <c r="V3856" s="33"/>
      <c r="W3856" s="33"/>
    </row>
    <row r="3857" spans="1:23" ht="16.5" customHeight="1" x14ac:dyDescent="0.2">
      <c r="A3857" s="26"/>
      <c r="B3857" s="26"/>
      <c r="C3857" s="26"/>
      <c r="D3857" s="26"/>
      <c r="E3857" s="26"/>
      <c r="F3857" s="28"/>
      <c r="G3857" s="26"/>
      <c r="H3857" s="32"/>
      <c r="I3857" s="32"/>
      <c r="J3857" s="32"/>
      <c r="K3857" s="32"/>
      <c r="L3857" s="32" t="e">
        <f ca="1">_xludf.ifna(VLOOKUP(E3857,Parámetros!$D$2:$E$34,2,0),"")</f>
        <v>#NAME?</v>
      </c>
      <c r="M3857" s="32" t="e">
        <f ca="1">_xludf.ifna(VLOOKUP(G3857,Proyectos!$A$2:$T$674,20,0),"")</f>
        <v>#NAME?</v>
      </c>
      <c r="N3857" s="32" t="e">
        <f ca="1">_xludf.ifna(VLOOKUP(G3857,Proyectos!$A$2:$S$674,19,0))</f>
        <v>#NAME?</v>
      </c>
      <c r="O3857" s="32"/>
      <c r="P3857" s="32"/>
      <c r="Q3857" s="33"/>
      <c r="R3857" s="33"/>
      <c r="S3857" s="33"/>
      <c r="T3857" s="63"/>
      <c r="U3857" s="33"/>
      <c r="V3857" s="33"/>
      <c r="W3857" s="33"/>
    </row>
    <row r="3858" spans="1:23" ht="16.5" customHeight="1" x14ac:dyDescent="0.2">
      <c r="A3858" s="26"/>
      <c r="B3858" s="26"/>
      <c r="C3858" s="26"/>
      <c r="D3858" s="26"/>
      <c r="E3858" s="26"/>
      <c r="F3858" s="28"/>
      <c r="G3858" s="26"/>
      <c r="H3858" s="32"/>
      <c r="I3858" s="32"/>
      <c r="J3858" s="32"/>
      <c r="K3858" s="32"/>
      <c r="L3858" s="32" t="e">
        <f ca="1">_xludf.ifna(VLOOKUP(E3858,Parámetros!$D$2:$E$34,2,0),"")</f>
        <v>#NAME?</v>
      </c>
      <c r="M3858" s="32" t="e">
        <f ca="1">_xludf.ifna(VLOOKUP(G3858,Proyectos!$A$2:$T$674,20,0),"")</f>
        <v>#NAME?</v>
      </c>
      <c r="N3858" s="32" t="e">
        <f ca="1">_xludf.ifna(VLOOKUP(G3858,Proyectos!$A$2:$S$674,19,0))</f>
        <v>#NAME?</v>
      </c>
      <c r="O3858" s="32"/>
      <c r="P3858" s="32"/>
      <c r="Q3858" s="33"/>
      <c r="R3858" s="33"/>
      <c r="S3858" s="33"/>
      <c r="T3858" s="63"/>
      <c r="U3858" s="33"/>
      <c r="V3858" s="33"/>
      <c r="W3858" s="33"/>
    </row>
    <row r="3859" spans="1:23" ht="16.5" customHeight="1" x14ac:dyDescent="0.2">
      <c r="A3859" s="26"/>
      <c r="B3859" s="26"/>
      <c r="C3859" s="26"/>
      <c r="D3859" s="26"/>
      <c r="E3859" s="26"/>
      <c r="F3859" s="28"/>
      <c r="G3859" s="26"/>
      <c r="H3859" s="32"/>
      <c r="I3859" s="32"/>
      <c r="J3859" s="32"/>
      <c r="K3859" s="32"/>
      <c r="L3859" s="32" t="e">
        <f ca="1">_xludf.ifna(VLOOKUP(E3859,Parámetros!$D$2:$E$34,2,0),"")</f>
        <v>#NAME?</v>
      </c>
      <c r="M3859" s="32" t="e">
        <f ca="1">_xludf.ifna(VLOOKUP(G3859,Proyectos!$A$2:$T$674,20,0),"")</f>
        <v>#NAME?</v>
      </c>
      <c r="N3859" s="32" t="e">
        <f ca="1">_xludf.ifna(VLOOKUP(G3859,Proyectos!$A$2:$S$674,19,0))</f>
        <v>#NAME?</v>
      </c>
      <c r="O3859" s="32"/>
      <c r="P3859" s="32"/>
      <c r="Q3859" s="33"/>
      <c r="R3859" s="33"/>
      <c r="S3859" s="33"/>
      <c r="T3859" s="63"/>
      <c r="U3859" s="33"/>
      <c r="V3859" s="33"/>
      <c r="W3859" s="33"/>
    </row>
    <row r="3860" spans="1:23" ht="16.5" customHeight="1" x14ac:dyDescent="0.2">
      <c r="A3860" s="26"/>
      <c r="B3860" s="26"/>
      <c r="C3860" s="26"/>
      <c r="D3860" s="26"/>
      <c r="E3860" s="26"/>
      <c r="F3860" s="28"/>
      <c r="G3860" s="26"/>
      <c r="H3860" s="32"/>
      <c r="I3860" s="32"/>
      <c r="J3860" s="32"/>
      <c r="K3860" s="32"/>
      <c r="L3860" s="32" t="e">
        <f ca="1">_xludf.ifna(VLOOKUP(E3860,Parámetros!$D$2:$E$34,2,0),"")</f>
        <v>#NAME?</v>
      </c>
      <c r="M3860" s="32" t="e">
        <f ca="1">_xludf.ifna(VLOOKUP(G3860,Proyectos!$A$2:$T$674,20,0),"")</f>
        <v>#NAME?</v>
      </c>
      <c r="N3860" s="32" t="e">
        <f ca="1">_xludf.ifna(VLOOKUP(G3860,Proyectos!$A$2:$S$674,19,0))</f>
        <v>#NAME?</v>
      </c>
      <c r="O3860" s="32"/>
      <c r="P3860" s="32"/>
      <c r="Q3860" s="33"/>
      <c r="R3860" s="33"/>
      <c r="S3860" s="33"/>
      <c r="T3860" s="63"/>
      <c r="U3860" s="33"/>
      <c r="V3860" s="33"/>
      <c r="W3860" s="33"/>
    </row>
    <row r="3861" spans="1:23" ht="16.5" customHeight="1" x14ac:dyDescent="0.2">
      <c r="A3861" s="26"/>
      <c r="B3861" s="26"/>
      <c r="C3861" s="26"/>
      <c r="D3861" s="26"/>
      <c r="E3861" s="26"/>
      <c r="F3861" s="28"/>
      <c r="G3861" s="26"/>
      <c r="H3861" s="32"/>
      <c r="I3861" s="32"/>
      <c r="J3861" s="32"/>
      <c r="K3861" s="32"/>
      <c r="L3861" s="32" t="e">
        <f ca="1">_xludf.ifna(VLOOKUP(E3861,Parámetros!$D$2:$E$34,2,0),"")</f>
        <v>#NAME?</v>
      </c>
      <c r="M3861" s="32" t="e">
        <f ca="1">_xludf.ifna(VLOOKUP(G3861,Proyectos!$A$2:$T$674,20,0),"")</f>
        <v>#NAME?</v>
      </c>
      <c r="N3861" s="32" t="e">
        <f ca="1">_xludf.ifna(VLOOKUP(G3861,Proyectos!$A$2:$S$674,19,0))</f>
        <v>#NAME?</v>
      </c>
      <c r="O3861" s="32"/>
      <c r="P3861" s="32"/>
      <c r="Q3861" s="33"/>
      <c r="R3861" s="33"/>
      <c r="S3861" s="33"/>
      <c r="T3861" s="63"/>
      <c r="U3861" s="33"/>
      <c r="V3861" s="33"/>
      <c r="W3861" s="33"/>
    </row>
    <row r="3862" spans="1:23" ht="16.5" customHeight="1" x14ac:dyDescent="0.2">
      <c r="A3862" s="26"/>
      <c r="B3862" s="26"/>
      <c r="C3862" s="26"/>
      <c r="D3862" s="26"/>
      <c r="E3862" s="26"/>
      <c r="F3862" s="28"/>
      <c r="G3862" s="26"/>
      <c r="H3862" s="32"/>
      <c r="I3862" s="32"/>
      <c r="J3862" s="32"/>
      <c r="K3862" s="32"/>
      <c r="L3862" s="32" t="e">
        <f ca="1">_xludf.ifna(VLOOKUP(E3862,Parámetros!$D$2:$E$34,2,0),"")</f>
        <v>#NAME?</v>
      </c>
      <c r="M3862" s="32" t="e">
        <f ca="1">_xludf.ifna(VLOOKUP(G3862,Proyectos!$A$2:$T$674,20,0),"")</f>
        <v>#NAME?</v>
      </c>
      <c r="N3862" s="32" t="e">
        <f ca="1">_xludf.ifna(VLOOKUP(G3862,Proyectos!$A$2:$S$674,19,0))</f>
        <v>#NAME?</v>
      </c>
      <c r="O3862" s="32"/>
      <c r="P3862" s="32"/>
      <c r="Q3862" s="33"/>
      <c r="R3862" s="33"/>
      <c r="S3862" s="33"/>
      <c r="T3862" s="63"/>
      <c r="U3862" s="33"/>
      <c r="V3862" s="33"/>
      <c r="W3862" s="33"/>
    </row>
    <row r="3863" spans="1:23" ht="16.5" customHeight="1" x14ac:dyDescent="0.2">
      <c r="A3863" s="26"/>
      <c r="B3863" s="26"/>
      <c r="C3863" s="26"/>
      <c r="D3863" s="26"/>
      <c r="E3863" s="26"/>
      <c r="F3863" s="28"/>
      <c r="G3863" s="26"/>
      <c r="H3863" s="32"/>
      <c r="I3863" s="32"/>
      <c r="J3863" s="32"/>
      <c r="K3863" s="32"/>
      <c r="L3863" s="32" t="e">
        <f ca="1">_xludf.ifna(VLOOKUP(E3863,Parámetros!$D$2:$E$34,2,0),"")</f>
        <v>#NAME?</v>
      </c>
      <c r="M3863" s="32" t="e">
        <f ca="1">_xludf.ifna(VLOOKUP(G3863,Proyectos!$A$2:$T$674,20,0),"")</f>
        <v>#NAME?</v>
      </c>
      <c r="N3863" s="32" t="e">
        <f ca="1">_xludf.ifna(VLOOKUP(G3863,Proyectos!$A$2:$S$674,19,0))</f>
        <v>#NAME?</v>
      </c>
      <c r="O3863" s="32"/>
      <c r="P3863" s="32"/>
      <c r="Q3863" s="33"/>
      <c r="R3863" s="33"/>
      <c r="S3863" s="33"/>
      <c r="T3863" s="63"/>
      <c r="U3863" s="33"/>
      <c r="V3863" s="33"/>
      <c r="W3863" s="33"/>
    </row>
    <row r="3864" spans="1:23" ht="16.5" customHeight="1" x14ac:dyDescent="0.2">
      <c r="A3864" s="26"/>
      <c r="B3864" s="26"/>
      <c r="C3864" s="26"/>
      <c r="D3864" s="26"/>
      <c r="E3864" s="26"/>
      <c r="F3864" s="28"/>
      <c r="G3864" s="26"/>
      <c r="H3864" s="32"/>
      <c r="I3864" s="32"/>
      <c r="J3864" s="32"/>
      <c r="K3864" s="32"/>
      <c r="L3864" s="32" t="e">
        <f ca="1">_xludf.ifna(VLOOKUP(E3864,Parámetros!$D$2:$E$34,2,0),"")</f>
        <v>#NAME?</v>
      </c>
      <c r="M3864" s="32" t="e">
        <f ca="1">_xludf.ifna(VLOOKUP(G3864,Proyectos!$A$2:$T$674,20,0),"")</f>
        <v>#NAME?</v>
      </c>
      <c r="N3864" s="32" t="e">
        <f ca="1">_xludf.ifna(VLOOKUP(G3864,Proyectos!$A$2:$S$674,19,0))</f>
        <v>#NAME?</v>
      </c>
      <c r="O3864" s="32"/>
      <c r="P3864" s="32"/>
      <c r="Q3864" s="33"/>
      <c r="R3864" s="33"/>
      <c r="S3864" s="33"/>
      <c r="T3864" s="63"/>
      <c r="U3864" s="33"/>
      <c r="V3864" s="33"/>
      <c r="W3864" s="33"/>
    </row>
    <row r="3865" spans="1:23" ht="16.5" customHeight="1" x14ac:dyDescent="0.2">
      <c r="A3865" s="26"/>
      <c r="B3865" s="26"/>
      <c r="C3865" s="26"/>
      <c r="D3865" s="26"/>
      <c r="E3865" s="26"/>
      <c r="F3865" s="28"/>
      <c r="G3865" s="26"/>
      <c r="H3865" s="32"/>
      <c r="I3865" s="32"/>
      <c r="J3865" s="32"/>
      <c r="K3865" s="32"/>
      <c r="L3865" s="32" t="e">
        <f ca="1">_xludf.ifna(VLOOKUP(E3865,Parámetros!$D$2:$E$34,2,0),"")</f>
        <v>#NAME?</v>
      </c>
      <c r="M3865" s="32" t="e">
        <f ca="1">_xludf.ifna(VLOOKUP(G3865,Proyectos!$A$2:$T$674,20,0),"")</f>
        <v>#NAME?</v>
      </c>
      <c r="N3865" s="32" t="e">
        <f ca="1">_xludf.ifna(VLOOKUP(G3865,Proyectos!$A$2:$S$674,19,0))</f>
        <v>#NAME?</v>
      </c>
      <c r="O3865" s="32"/>
      <c r="P3865" s="32"/>
      <c r="Q3865" s="33"/>
      <c r="R3865" s="33"/>
      <c r="S3865" s="33"/>
      <c r="T3865" s="63"/>
      <c r="U3865" s="33"/>
      <c r="V3865" s="33"/>
      <c r="W3865" s="33"/>
    </row>
    <row r="3866" spans="1:23" ht="16.5" customHeight="1" x14ac:dyDescent="0.2">
      <c r="A3866" s="26"/>
      <c r="B3866" s="26"/>
      <c r="C3866" s="26"/>
      <c r="D3866" s="26"/>
      <c r="E3866" s="26"/>
      <c r="F3866" s="28"/>
      <c r="G3866" s="26"/>
      <c r="H3866" s="32"/>
      <c r="I3866" s="32"/>
      <c r="J3866" s="32"/>
      <c r="K3866" s="32"/>
      <c r="L3866" s="32" t="e">
        <f ca="1">_xludf.ifna(VLOOKUP(E3866,Parámetros!$D$2:$E$34,2,0),"")</f>
        <v>#NAME?</v>
      </c>
      <c r="M3866" s="32" t="e">
        <f ca="1">_xludf.ifna(VLOOKUP(G3866,Proyectos!$A$2:$T$674,20,0),"")</f>
        <v>#NAME?</v>
      </c>
      <c r="N3866" s="32" t="e">
        <f ca="1">_xludf.ifna(VLOOKUP(G3866,Proyectos!$A$2:$S$674,19,0))</f>
        <v>#NAME?</v>
      </c>
      <c r="O3866" s="32"/>
      <c r="P3866" s="32"/>
      <c r="Q3866" s="33"/>
      <c r="R3866" s="33"/>
      <c r="S3866" s="33"/>
      <c r="T3866" s="63"/>
      <c r="U3866" s="33"/>
      <c r="V3866" s="33"/>
      <c r="W3866" s="33"/>
    </row>
    <row r="3867" spans="1:23" ht="16.5" customHeight="1" x14ac:dyDescent="0.2">
      <c r="A3867" s="26"/>
      <c r="B3867" s="26"/>
      <c r="C3867" s="26"/>
      <c r="D3867" s="26"/>
      <c r="E3867" s="26"/>
      <c r="F3867" s="28"/>
      <c r="G3867" s="26"/>
      <c r="H3867" s="32"/>
      <c r="I3867" s="32"/>
      <c r="J3867" s="32"/>
      <c r="K3867" s="32"/>
      <c r="L3867" s="32" t="e">
        <f ca="1">_xludf.ifna(VLOOKUP(E3867,Parámetros!$D$2:$E$34,2,0),"")</f>
        <v>#NAME?</v>
      </c>
      <c r="M3867" s="32" t="e">
        <f ca="1">_xludf.ifna(VLOOKUP(G3867,Proyectos!$A$2:$T$674,20,0),"")</f>
        <v>#NAME?</v>
      </c>
      <c r="N3867" s="32" t="e">
        <f ca="1">_xludf.ifna(VLOOKUP(G3867,Proyectos!$A$2:$S$674,19,0))</f>
        <v>#NAME?</v>
      </c>
      <c r="O3867" s="32"/>
      <c r="P3867" s="32"/>
      <c r="Q3867" s="33"/>
      <c r="R3867" s="33"/>
      <c r="S3867" s="33"/>
      <c r="T3867" s="63"/>
      <c r="U3867" s="33"/>
      <c r="V3867" s="33"/>
      <c r="W3867" s="33"/>
    </row>
    <row r="3868" spans="1:23" ht="16.5" customHeight="1" x14ac:dyDescent="0.2">
      <c r="A3868" s="26"/>
      <c r="B3868" s="26"/>
      <c r="C3868" s="26"/>
      <c r="D3868" s="26"/>
      <c r="E3868" s="26"/>
      <c r="F3868" s="28"/>
      <c r="G3868" s="26"/>
      <c r="H3868" s="32"/>
      <c r="I3868" s="32"/>
      <c r="J3868" s="32"/>
      <c r="K3868" s="32"/>
      <c r="L3868" s="32" t="e">
        <f ca="1">_xludf.ifna(VLOOKUP(E3868,Parámetros!$D$2:$E$34,2,0),"")</f>
        <v>#NAME?</v>
      </c>
      <c r="M3868" s="32" t="e">
        <f ca="1">_xludf.ifna(VLOOKUP(G3868,Proyectos!$A$2:$T$674,20,0),"")</f>
        <v>#NAME?</v>
      </c>
      <c r="N3868" s="32" t="e">
        <f ca="1">_xludf.ifna(VLOOKUP(G3868,Proyectos!$A$2:$S$674,19,0))</f>
        <v>#NAME?</v>
      </c>
      <c r="O3868" s="32"/>
      <c r="P3868" s="32"/>
      <c r="Q3868" s="33"/>
      <c r="R3868" s="33"/>
      <c r="S3868" s="33"/>
      <c r="T3868" s="63"/>
      <c r="U3868" s="33"/>
      <c r="V3868" s="33"/>
      <c r="W3868" s="33"/>
    </row>
    <row r="3869" spans="1:23" ht="16.5" customHeight="1" x14ac:dyDescent="0.2">
      <c r="A3869" s="26"/>
      <c r="B3869" s="26"/>
      <c r="C3869" s="26"/>
      <c r="D3869" s="26"/>
      <c r="E3869" s="26"/>
      <c r="F3869" s="28"/>
      <c r="G3869" s="26"/>
      <c r="H3869" s="32"/>
      <c r="I3869" s="32"/>
      <c r="J3869" s="32"/>
      <c r="K3869" s="32"/>
      <c r="L3869" s="32" t="e">
        <f ca="1">_xludf.ifna(VLOOKUP(E3869,Parámetros!$D$2:$E$34,2,0),"")</f>
        <v>#NAME?</v>
      </c>
      <c r="M3869" s="32" t="e">
        <f ca="1">_xludf.ifna(VLOOKUP(G3869,Proyectos!$A$2:$T$674,20,0),"")</f>
        <v>#NAME?</v>
      </c>
      <c r="N3869" s="32" t="e">
        <f ca="1">_xludf.ifna(VLOOKUP(G3869,Proyectos!$A$2:$S$674,19,0))</f>
        <v>#NAME?</v>
      </c>
      <c r="O3869" s="32"/>
      <c r="P3869" s="32"/>
      <c r="Q3869" s="33"/>
      <c r="R3869" s="33"/>
      <c r="S3869" s="33"/>
      <c r="T3869" s="63"/>
      <c r="U3869" s="33"/>
      <c r="V3869" s="33"/>
      <c r="W3869" s="33"/>
    </row>
    <row r="3870" spans="1:23" ht="16.5" customHeight="1" x14ac:dyDescent="0.2">
      <c r="A3870" s="26"/>
      <c r="B3870" s="26"/>
      <c r="C3870" s="26"/>
      <c r="D3870" s="26"/>
      <c r="E3870" s="26"/>
      <c r="F3870" s="28"/>
      <c r="G3870" s="26"/>
      <c r="H3870" s="32"/>
      <c r="I3870" s="32"/>
      <c r="J3870" s="32"/>
      <c r="K3870" s="32"/>
      <c r="L3870" s="32" t="e">
        <f ca="1">_xludf.ifna(VLOOKUP(E3870,Parámetros!$D$2:$E$34,2,0),"")</f>
        <v>#NAME?</v>
      </c>
      <c r="M3870" s="32" t="e">
        <f ca="1">_xludf.ifna(VLOOKUP(G3870,Proyectos!$A$2:$T$674,20,0),"")</f>
        <v>#NAME?</v>
      </c>
      <c r="N3870" s="32" t="e">
        <f ca="1">_xludf.ifna(VLOOKUP(G3870,Proyectos!$A$2:$S$674,19,0))</f>
        <v>#NAME?</v>
      </c>
      <c r="O3870" s="32"/>
      <c r="P3870" s="32"/>
      <c r="Q3870" s="33"/>
      <c r="R3870" s="33"/>
      <c r="S3870" s="33"/>
      <c r="T3870" s="63"/>
      <c r="U3870" s="33"/>
      <c r="V3870" s="33"/>
      <c r="W3870" s="33"/>
    </row>
    <row r="3871" spans="1:23" ht="16.5" customHeight="1" x14ac:dyDescent="0.2">
      <c r="A3871" s="26"/>
      <c r="B3871" s="26"/>
      <c r="C3871" s="26"/>
      <c r="D3871" s="26"/>
      <c r="E3871" s="26"/>
      <c r="F3871" s="28"/>
      <c r="G3871" s="26"/>
      <c r="H3871" s="32"/>
      <c r="I3871" s="32"/>
      <c r="J3871" s="32"/>
      <c r="K3871" s="32"/>
      <c r="L3871" s="32" t="e">
        <f ca="1">_xludf.ifna(VLOOKUP(E3871,Parámetros!$D$2:$E$34,2,0),"")</f>
        <v>#NAME?</v>
      </c>
      <c r="M3871" s="32" t="e">
        <f ca="1">_xludf.ifna(VLOOKUP(G3871,Proyectos!$A$2:$T$674,20,0),"")</f>
        <v>#NAME?</v>
      </c>
      <c r="N3871" s="32" t="e">
        <f ca="1">_xludf.ifna(VLOOKUP(G3871,Proyectos!$A$2:$S$674,19,0))</f>
        <v>#NAME?</v>
      </c>
      <c r="O3871" s="32"/>
      <c r="P3871" s="32"/>
      <c r="Q3871" s="33"/>
      <c r="R3871" s="33"/>
      <c r="S3871" s="33"/>
      <c r="T3871" s="63"/>
      <c r="U3871" s="33"/>
      <c r="V3871" s="33"/>
      <c r="W3871" s="33"/>
    </row>
    <row r="3872" spans="1:23" ht="16.5" customHeight="1" x14ac:dyDescent="0.2">
      <c r="A3872" s="26"/>
      <c r="B3872" s="26"/>
      <c r="C3872" s="26"/>
      <c r="D3872" s="26"/>
      <c r="E3872" s="26"/>
      <c r="F3872" s="28"/>
      <c r="G3872" s="26"/>
      <c r="H3872" s="32"/>
      <c r="I3872" s="32"/>
      <c r="J3872" s="32"/>
      <c r="K3872" s="32"/>
      <c r="L3872" s="32" t="e">
        <f ca="1">_xludf.ifna(VLOOKUP(E3872,Parámetros!$D$2:$E$34,2,0),"")</f>
        <v>#NAME?</v>
      </c>
      <c r="M3872" s="32" t="e">
        <f ca="1">_xludf.ifna(VLOOKUP(G3872,Proyectos!$A$2:$T$674,20,0),"")</f>
        <v>#NAME?</v>
      </c>
      <c r="N3872" s="32" t="e">
        <f ca="1">_xludf.ifna(VLOOKUP(G3872,Proyectos!$A$2:$S$674,19,0))</f>
        <v>#NAME?</v>
      </c>
      <c r="O3872" s="32"/>
      <c r="P3872" s="32"/>
      <c r="Q3872" s="33"/>
      <c r="R3872" s="33"/>
      <c r="S3872" s="33"/>
      <c r="T3872" s="63"/>
      <c r="U3872" s="33"/>
      <c r="V3872" s="33"/>
      <c r="W3872" s="33"/>
    </row>
    <row r="3873" spans="1:23" ht="16.5" customHeight="1" x14ac:dyDescent="0.2">
      <c r="A3873" s="26"/>
      <c r="B3873" s="26"/>
      <c r="C3873" s="26"/>
      <c r="D3873" s="26"/>
      <c r="E3873" s="26"/>
      <c r="F3873" s="28"/>
      <c r="G3873" s="26"/>
      <c r="H3873" s="32"/>
      <c r="I3873" s="32"/>
      <c r="J3873" s="32"/>
      <c r="K3873" s="32"/>
      <c r="L3873" s="32" t="e">
        <f ca="1">_xludf.ifna(VLOOKUP(E3873,Parámetros!$D$2:$E$34,2,0),"")</f>
        <v>#NAME?</v>
      </c>
      <c r="M3873" s="32" t="e">
        <f ca="1">_xludf.ifna(VLOOKUP(G3873,Proyectos!$A$2:$T$674,20,0),"")</f>
        <v>#NAME?</v>
      </c>
      <c r="N3873" s="32" t="e">
        <f ca="1">_xludf.ifna(VLOOKUP(G3873,Proyectos!$A$2:$S$674,19,0))</f>
        <v>#NAME?</v>
      </c>
      <c r="O3873" s="32"/>
      <c r="P3873" s="32"/>
      <c r="Q3873" s="33"/>
      <c r="R3873" s="33"/>
      <c r="S3873" s="33"/>
      <c r="T3873" s="63"/>
      <c r="U3873" s="33"/>
      <c r="V3873" s="33"/>
      <c r="W3873" s="33"/>
    </row>
    <row r="3874" spans="1:23" ht="16.5" customHeight="1" x14ac:dyDescent="0.2">
      <c r="A3874" s="26"/>
      <c r="B3874" s="26"/>
      <c r="C3874" s="26"/>
      <c r="D3874" s="26"/>
      <c r="E3874" s="26"/>
      <c r="F3874" s="28"/>
      <c r="G3874" s="26"/>
      <c r="H3874" s="32"/>
      <c r="I3874" s="32"/>
      <c r="J3874" s="32"/>
      <c r="K3874" s="32"/>
      <c r="L3874" s="32" t="e">
        <f ca="1">_xludf.ifna(VLOOKUP(E3874,Parámetros!$D$2:$E$34,2,0),"")</f>
        <v>#NAME?</v>
      </c>
      <c r="M3874" s="32" t="e">
        <f ca="1">_xludf.ifna(VLOOKUP(G3874,Proyectos!$A$2:$T$674,20,0),"")</f>
        <v>#NAME?</v>
      </c>
      <c r="N3874" s="32" t="e">
        <f ca="1">_xludf.ifna(VLOOKUP(G3874,Proyectos!$A$2:$S$674,19,0))</f>
        <v>#NAME?</v>
      </c>
      <c r="O3874" s="32"/>
      <c r="P3874" s="32"/>
      <c r="Q3874" s="33"/>
      <c r="R3874" s="33"/>
      <c r="S3874" s="33"/>
      <c r="T3874" s="63"/>
      <c r="U3874" s="33"/>
      <c r="V3874" s="33"/>
      <c r="W3874" s="33"/>
    </row>
    <row r="3875" spans="1:23" ht="16.5" customHeight="1" x14ac:dyDescent="0.2">
      <c r="A3875" s="26"/>
      <c r="B3875" s="26"/>
      <c r="C3875" s="26"/>
      <c r="D3875" s="26"/>
      <c r="E3875" s="26"/>
      <c r="F3875" s="28"/>
      <c r="G3875" s="26"/>
      <c r="H3875" s="32"/>
      <c r="I3875" s="32"/>
      <c r="J3875" s="32"/>
      <c r="K3875" s="32"/>
      <c r="L3875" s="32" t="e">
        <f ca="1">_xludf.ifna(VLOOKUP(E3875,Parámetros!$D$2:$E$34,2,0),"")</f>
        <v>#NAME?</v>
      </c>
      <c r="M3875" s="32" t="e">
        <f ca="1">_xludf.ifna(VLOOKUP(G3875,Proyectos!$A$2:$T$674,20,0),"")</f>
        <v>#NAME?</v>
      </c>
      <c r="N3875" s="32" t="e">
        <f ca="1">_xludf.ifna(VLOOKUP(G3875,Proyectos!$A$2:$S$674,19,0))</f>
        <v>#NAME?</v>
      </c>
      <c r="O3875" s="32"/>
      <c r="P3875" s="32"/>
      <c r="Q3875" s="33"/>
      <c r="R3875" s="33"/>
      <c r="S3875" s="33"/>
      <c r="T3875" s="63"/>
      <c r="U3875" s="33"/>
      <c r="V3875" s="33"/>
      <c r="W3875" s="33"/>
    </row>
    <row r="3876" spans="1:23" ht="16.5" customHeight="1" x14ac:dyDescent="0.2">
      <c r="A3876" s="26"/>
      <c r="B3876" s="26"/>
      <c r="C3876" s="26"/>
      <c r="D3876" s="26"/>
      <c r="E3876" s="26"/>
      <c r="F3876" s="28"/>
      <c r="G3876" s="26"/>
      <c r="H3876" s="32"/>
      <c r="I3876" s="32"/>
      <c r="J3876" s="32"/>
      <c r="K3876" s="32"/>
      <c r="L3876" s="32" t="e">
        <f ca="1">_xludf.ifna(VLOOKUP(E3876,Parámetros!$D$2:$E$34,2,0),"")</f>
        <v>#NAME?</v>
      </c>
      <c r="M3876" s="32" t="e">
        <f ca="1">_xludf.ifna(VLOOKUP(G3876,Proyectos!$A$2:$T$674,20,0),"")</f>
        <v>#NAME?</v>
      </c>
      <c r="N3876" s="32" t="e">
        <f ca="1">_xludf.ifna(VLOOKUP(G3876,Proyectos!$A$2:$S$674,19,0))</f>
        <v>#NAME?</v>
      </c>
      <c r="O3876" s="32"/>
      <c r="P3876" s="32"/>
      <c r="Q3876" s="33"/>
      <c r="R3876" s="33"/>
      <c r="S3876" s="33"/>
      <c r="T3876" s="63"/>
      <c r="U3876" s="33"/>
      <c r="V3876" s="33"/>
      <c r="W3876" s="33"/>
    </row>
    <row r="3877" spans="1:23" ht="16.5" customHeight="1" x14ac:dyDescent="0.2">
      <c r="A3877" s="26"/>
      <c r="B3877" s="26"/>
      <c r="C3877" s="26"/>
      <c r="D3877" s="26"/>
      <c r="E3877" s="26"/>
      <c r="F3877" s="28"/>
      <c r="G3877" s="26"/>
      <c r="H3877" s="32"/>
      <c r="I3877" s="32"/>
      <c r="J3877" s="32"/>
      <c r="K3877" s="32"/>
      <c r="L3877" s="32" t="e">
        <f ca="1">_xludf.ifna(VLOOKUP(E3877,Parámetros!$D$2:$E$34,2,0),"")</f>
        <v>#NAME?</v>
      </c>
      <c r="M3877" s="32" t="e">
        <f ca="1">_xludf.ifna(VLOOKUP(G3877,Proyectos!$A$2:$T$674,20,0),"")</f>
        <v>#NAME?</v>
      </c>
      <c r="N3877" s="32" t="e">
        <f ca="1">_xludf.ifna(VLOOKUP(G3877,Proyectos!$A$2:$S$674,19,0))</f>
        <v>#NAME?</v>
      </c>
      <c r="O3877" s="32"/>
      <c r="P3877" s="32"/>
      <c r="Q3877" s="33"/>
      <c r="R3877" s="33"/>
      <c r="S3877" s="33"/>
      <c r="T3877" s="63"/>
      <c r="U3877" s="33"/>
      <c r="V3877" s="33"/>
      <c r="W3877" s="33"/>
    </row>
    <row r="3878" spans="1:23" ht="16.5" customHeight="1" x14ac:dyDescent="0.2">
      <c r="A3878" s="26"/>
      <c r="B3878" s="26"/>
      <c r="C3878" s="26"/>
      <c r="D3878" s="26"/>
      <c r="E3878" s="26"/>
      <c r="F3878" s="28"/>
      <c r="G3878" s="26"/>
      <c r="H3878" s="32"/>
      <c r="I3878" s="32"/>
      <c r="J3878" s="32"/>
      <c r="K3878" s="32"/>
      <c r="L3878" s="32" t="e">
        <f ca="1">_xludf.ifna(VLOOKUP(E3878,Parámetros!$D$2:$E$34,2,0),"")</f>
        <v>#NAME?</v>
      </c>
      <c r="M3878" s="32" t="e">
        <f ca="1">_xludf.ifna(VLOOKUP(G3878,Proyectos!$A$2:$T$674,20,0),"")</f>
        <v>#NAME?</v>
      </c>
      <c r="N3878" s="32" t="e">
        <f ca="1">_xludf.ifna(VLOOKUP(G3878,Proyectos!$A$2:$S$674,19,0))</f>
        <v>#NAME?</v>
      </c>
      <c r="O3878" s="32"/>
      <c r="P3878" s="32"/>
      <c r="Q3878" s="33"/>
      <c r="R3878" s="33"/>
      <c r="S3878" s="33"/>
      <c r="T3878" s="63"/>
      <c r="U3878" s="33"/>
      <c r="V3878" s="33"/>
      <c r="W3878" s="33"/>
    </row>
    <row r="3879" spans="1:23" ht="16.5" customHeight="1" x14ac:dyDescent="0.2">
      <c r="A3879" s="26"/>
      <c r="B3879" s="26"/>
      <c r="C3879" s="26"/>
      <c r="D3879" s="26"/>
      <c r="E3879" s="26"/>
      <c r="F3879" s="28"/>
      <c r="G3879" s="26"/>
      <c r="H3879" s="32"/>
      <c r="I3879" s="32"/>
      <c r="J3879" s="32"/>
      <c r="K3879" s="32"/>
      <c r="L3879" s="32" t="e">
        <f ca="1">_xludf.ifna(VLOOKUP(E3879,Parámetros!$D$2:$E$34,2,0),"")</f>
        <v>#NAME?</v>
      </c>
      <c r="M3879" s="32" t="e">
        <f ca="1">_xludf.ifna(VLOOKUP(G3879,Proyectos!$A$2:$T$674,20,0),"")</f>
        <v>#NAME?</v>
      </c>
      <c r="N3879" s="32" t="e">
        <f ca="1">_xludf.ifna(VLOOKUP(G3879,Proyectos!$A$2:$S$674,19,0))</f>
        <v>#NAME?</v>
      </c>
      <c r="O3879" s="32"/>
      <c r="P3879" s="32"/>
      <c r="Q3879" s="33"/>
      <c r="R3879" s="33"/>
      <c r="S3879" s="33"/>
      <c r="T3879" s="63"/>
      <c r="U3879" s="33"/>
      <c r="V3879" s="33"/>
      <c r="W3879" s="33"/>
    </row>
    <row r="3880" spans="1:23" ht="16.5" customHeight="1" x14ac:dyDescent="0.2">
      <c r="A3880" s="26"/>
      <c r="B3880" s="26"/>
      <c r="C3880" s="26"/>
      <c r="D3880" s="26"/>
      <c r="E3880" s="26"/>
      <c r="F3880" s="28"/>
      <c r="G3880" s="26"/>
      <c r="H3880" s="32"/>
      <c r="I3880" s="32"/>
      <c r="J3880" s="32"/>
      <c r="K3880" s="32"/>
      <c r="L3880" s="32" t="e">
        <f ca="1">_xludf.ifna(VLOOKUP(E3880,Parámetros!$D$2:$E$34,2,0),"")</f>
        <v>#NAME?</v>
      </c>
      <c r="M3880" s="32" t="e">
        <f ca="1">_xludf.ifna(VLOOKUP(G3880,Proyectos!$A$2:$T$674,20,0),"")</f>
        <v>#NAME?</v>
      </c>
      <c r="N3880" s="32" t="e">
        <f ca="1">_xludf.ifna(VLOOKUP(G3880,Proyectos!$A$2:$S$674,19,0))</f>
        <v>#NAME?</v>
      </c>
      <c r="O3880" s="32"/>
      <c r="P3880" s="32"/>
      <c r="Q3880" s="33"/>
      <c r="R3880" s="33"/>
      <c r="S3880" s="33"/>
      <c r="T3880" s="63"/>
      <c r="U3880" s="33"/>
      <c r="V3880" s="33"/>
      <c r="W3880" s="33"/>
    </row>
    <row r="3881" spans="1:23" ht="16.5" customHeight="1" x14ac:dyDescent="0.2">
      <c r="A3881" s="26"/>
      <c r="B3881" s="26"/>
      <c r="C3881" s="26"/>
      <c r="D3881" s="26"/>
      <c r="E3881" s="26"/>
      <c r="F3881" s="28"/>
      <c r="G3881" s="26"/>
      <c r="H3881" s="32"/>
      <c r="I3881" s="32"/>
      <c r="J3881" s="32"/>
      <c r="K3881" s="32"/>
      <c r="L3881" s="32" t="e">
        <f ca="1">_xludf.ifna(VLOOKUP(E3881,Parámetros!$D$2:$E$34,2,0),"")</f>
        <v>#NAME?</v>
      </c>
      <c r="M3881" s="32" t="e">
        <f ca="1">_xludf.ifna(VLOOKUP(G3881,Proyectos!$A$2:$T$674,20,0),"")</f>
        <v>#NAME?</v>
      </c>
      <c r="N3881" s="32" t="e">
        <f ca="1">_xludf.ifna(VLOOKUP(G3881,Proyectos!$A$2:$S$674,19,0))</f>
        <v>#NAME?</v>
      </c>
      <c r="O3881" s="32"/>
      <c r="P3881" s="32"/>
      <c r="Q3881" s="33"/>
      <c r="R3881" s="33"/>
      <c r="S3881" s="33"/>
      <c r="T3881" s="63"/>
      <c r="U3881" s="33"/>
      <c r="V3881" s="33"/>
      <c r="W3881" s="33"/>
    </row>
    <row r="3882" spans="1:23" ht="16.5" customHeight="1" x14ac:dyDescent="0.2">
      <c r="A3882" s="26"/>
      <c r="B3882" s="26"/>
      <c r="C3882" s="26"/>
      <c r="D3882" s="26"/>
      <c r="E3882" s="26"/>
      <c r="F3882" s="28"/>
      <c r="G3882" s="26"/>
      <c r="H3882" s="32"/>
      <c r="I3882" s="32"/>
      <c r="J3882" s="32"/>
      <c r="K3882" s="32"/>
      <c r="L3882" s="32" t="e">
        <f ca="1">_xludf.ifna(VLOOKUP(E3882,Parámetros!$D$2:$E$34,2,0),"")</f>
        <v>#NAME?</v>
      </c>
      <c r="M3882" s="32" t="e">
        <f ca="1">_xludf.ifna(VLOOKUP(G3882,Proyectos!$A$2:$T$674,20,0),"")</f>
        <v>#NAME?</v>
      </c>
      <c r="N3882" s="32" t="e">
        <f ca="1">_xludf.ifna(VLOOKUP(G3882,Proyectos!$A$2:$S$674,19,0))</f>
        <v>#NAME?</v>
      </c>
      <c r="O3882" s="32"/>
      <c r="P3882" s="32"/>
      <c r="Q3882" s="33"/>
      <c r="R3882" s="33"/>
      <c r="S3882" s="33"/>
      <c r="T3882" s="63"/>
      <c r="U3882" s="33"/>
      <c r="V3882" s="33"/>
      <c r="W3882" s="33"/>
    </row>
    <row r="3883" spans="1:23" ht="16.5" customHeight="1" x14ac:dyDescent="0.2">
      <c r="A3883" s="26"/>
      <c r="B3883" s="26"/>
      <c r="C3883" s="26"/>
      <c r="D3883" s="26"/>
      <c r="E3883" s="26"/>
      <c r="F3883" s="28"/>
      <c r="G3883" s="26"/>
      <c r="H3883" s="32"/>
      <c r="I3883" s="32"/>
      <c r="J3883" s="32"/>
      <c r="K3883" s="32"/>
      <c r="L3883" s="32" t="e">
        <f ca="1">_xludf.ifna(VLOOKUP(E3883,Parámetros!$D$2:$E$34,2,0),"")</f>
        <v>#NAME?</v>
      </c>
      <c r="M3883" s="32" t="e">
        <f ca="1">_xludf.ifna(VLOOKUP(G3883,Proyectos!$A$2:$T$674,20,0),"")</f>
        <v>#NAME?</v>
      </c>
      <c r="N3883" s="32" t="e">
        <f ca="1">_xludf.ifna(VLOOKUP(G3883,Proyectos!$A$2:$S$674,19,0))</f>
        <v>#NAME?</v>
      </c>
      <c r="O3883" s="32"/>
      <c r="P3883" s="32"/>
      <c r="Q3883" s="33"/>
      <c r="R3883" s="33"/>
      <c r="S3883" s="33"/>
      <c r="T3883" s="63"/>
      <c r="U3883" s="33"/>
      <c r="V3883" s="33"/>
      <c r="W3883" s="33"/>
    </row>
    <row r="3884" spans="1:23" ht="16.5" customHeight="1" x14ac:dyDescent="0.2">
      <c r="A3884" s="26"/>
      <c r="B3884" s="26"/>
      <c r="C3884" s="26"/>
      <c r="D3884" s="26"/>
      <c r="E3884" s="26"/>
      <c r="F3884" s="28"/>
      <c r="G3884" s="26"/>
      <c r="H3884" s="32"/>
      <c r="I3884" s="32"/>
      <c r="J3884" s="32"/>
      <c r="K3884" s="32"/>
      <c r="L3884" s="32" t="e">
        <f ca="1">_xludf.ifna(VLOOKUP(E3884,Parámetros!$D$2:$E$34,2,0),"")</f>
        <v>#NAME?</v>
      </c>
      <c r="M3884" s="32" t="e">
        <f ca="1">_xludf.ifna(VLOOKUP(G3884,Proyectos!$A$2:$T$674,20,0),"")</f>
        <v>#NAME?</v>
      </c>
      <c r="N3884" s="32" t="e">
        <f ca="1">_xludf.ifna(VLOOKUP(G3884,Proyectos!$A$2:$S$674,19,0))</f>
        <v>#NAME?</v>
      </c>
      <c r="O3884" s="32"/>
      <c r="P3884" s="32"/>
      <c r="Q3884" s="33"/>
      <c r="R3884" s="33"/>
      <c r="S3884" s="33"/>
      <c r="T3884" s="63"/>
      <c r="U3884" s="33"/>
      <c r="V3884" s="33"/>
      <c r="W3884" s="33"/>
    </row>
    <row r="3885" spans="1:23" ht="16.5" customHeight="1" x14ac:dyDescent="0.2">
      <c r="A3885" s="26"/>
      <c r="B3885" s="26"/>
      <c r="C3885" s="26"/>
      <c r="D3885" s="26"/>
      <c r="E3885" s="26"/>
      <c r="F3885" s="28"/>
      <c r="G3885" s="26"/>
      <c r="H3885" s="32"/>
      <c r="I3885" s="32"/>
      <c r="J3885" s="32"/>
      <c r="K3885" s="32"/>
      <c r="L3885" s="32" t="e">
        <f ca="1">_xludf.ifna(VLOOKUP(E3885,Parámetros!$D$2:$E$34,2,0),"")</f>
        <v>#NAME?</v>
      </c>
      <c r="M3885" s="32" t="e">
        <f ca="1">_xludf.ifna(VLOOKUP(G3885,Proyectos!$A$2:$T$674,20,0),"")</f>
        <v>#NAME?</v>
      </c>
      <c r="N3885" s="32" t="e">
        <f ca="1">_xludf.ifna(VLOOKUP(G3885,Proyectos!$A$2:$S$674,19,0))</f>
        <v>#NAME?</v>
      </c>
      <c r="O3885" s="32"/>
      <c r="P3885" s="32"/>
      <c r="Q3885" s="33"/>
      <c r="R3885" s="33"/>
      <c r="S3885" s="33"/>
      <c r="T3885" s="63"/>
      <c r="U3885" s="33"/>
      <c r="V3885" s="33"/>
      <c r="W3885" s="33"/>
    </row>
    <row r="3886" spans="1:23" ht="16.5" customHeight="1" x14ac:dyDescent="0.2">
      <c r="A3886" s="26"/>
      <c r="B3886" s="26"/>
      <c r="C3886" s="26"/>
      <c r="D3886" s="26"/>
      <c r="E3886" s="26"/>
      <c r="F3886" s="28"/>
      <c r="G3886" s="26"/>
      <c r="H3886" s="32"/>
      <c r="I3886" s="32"/>
      <c r="J3886" s="32"/>
      <c r="K3886" s="32"/>
      <c r="L3886" s="32" t="e">
        <f ca="1">_xludf.ifna(VLOOKUP(E3886,Parámetros!$D$2:$E$34,2,0),"")</f>
        <v>#NAME?</v>
      </c>
      <c r="M3886" s="32" t="e">
        <f ca="1">_xludf.ifna(VLOOKUP(G3886,Proyectos!$A$2:$T$674,20,0),"")</f>
        <v>#NAME?</v>
      </c>
      <c r="N3886" s="32" t="e">
        <f ca="1">_xludf.ifna(VLOOKUP(G3886,Proyectos!$A$2:$S$674,19,0))</f>
        <v>#NAME?</v>
      </c>
      <c r="O3886" s="32"/>
      <c r="P3886" s="32"/>
      <c r="Q3886" s="33"/>
      <c r="R3886" s="33"/>
      <c r="S3886" s="33"/>
      <c r="T3886" s="63"/>
      <c r="U3886" s="33"/>
      <c r="V3886" s="33"/>
      <c r="W3886" s="33"/>
    </row>
    <row r="3887" spans="1:23" ht="16.5" customHeight="1" x14ac:dyDescent="0.2">
      <c r="A3887" s="26"/>
      <c r="B3887" s="26"/>
      <c r="C3887" s="26"/>
      <c r="D3887" s="26"/>
      <c r="E3887" s="26"/>
      <c r="F3887" s="28"/>
      <c r="G3887" s="26"/>
      <c r="H3887" s="32"/>
      <c r="I3887" s="32"/>
      <c r="J3887" s="32"/>
      <c r="K3887" s="32"/>
      <c r="L3887" s="32" t="e">
        <f ca="1">_xludf.ifna(VLOOKUP(E3887,Parámetros!$D$2:$E$34,2,0),"")</f>
        <v>#NAME?</v>
      </c>
      <c r="M3887" s="32" t="e">
        <f ca="1">_xludf.ifna(VLOOKUP(G3887,Proyectos!$A$2:$T$674,20,0),"")</f>
        <v>#NAME?</v>
      </c>
      <c r="N3887" s="32" t="e">
        <f ca="1">_xludf.ifna(VLOOKUP(G3887,Proyectos!$A$2:$S$674,19,0))</f>
        <v>#NAME?</v>
      </c>
      <c r="O3887" s="32"/>
      <c r="P3887" s="32"/>
      <c r="Q3887" s="33"/>
      <c r="R3887" s="33"/>
      <c r="S3887" s="33"/>
      <c r="T3887" s="63"/>
      <c r="U3887" s="33"/>
      <c r="V3887" s="33"/>
      <c r="W3887" s="33"/>
    </row>
    <row r="3888" spans="1:23" ht="16.5" customHeight="1" x14ac:dyDescent="0.2">
      <c r="A3888" s="26"/>
      <c r="B3888" s="26"/>
      <c r="C3888" s="26"/>
      <c r="D3888" s="26"/>
      <c r="E3888" s="26"/>
      <c r="F3888" s="28"/>
      <c r="G3888" s="26"/>
      <c r="H3888" s="32"/>
      <c r="I3888" s="32"/>
      <c r="J3888" s="32"/>
      <c r="K3888" s="32"/>
      <c r="L3888" s="32" t="e">
        <f ca="1">_xludf.ifna(VLOOKUP(E3888,Parámetros!$D$2:$E$34,2,0),"")</f>
        <v>#NAME?</v>
      </c>
      <c r="M3888" s="32" t="e">
        <f ca="1">_xludf.ifna(VLOOKUP(G3888,Proyectos!$A$2:$T$674,20,0),"")</f>
        <v>#NAME?</v>
      </c>
      <c r="N3888" s="32" t="e">
        <f ca="1">_xludf.ifna(VLOOKUP(G3888,Proyectos!$A$2:$S$674,19,0))</f>
        <v>#NAME?</v>
      </c>
      <c r="O3888" s="32"/>
      <c r="P3888" s="32"/>
      <c r="Q3888" s="33"/>
      <c r="R3888" s="33"/>
      <c r="S3888" s="33"/>
      <c r="T3888" s="63"/>
      <c r="U3888" s="33"/>
      <c r="V3888" s="33"/>
      <c r="W3888" s="33"/>
    </row>
    <row r="3889" spans="1:23" ht="16.5" customHeight="1" x14ac:dyDescent="0.2">
      <c r="A3889" s="26"/>
      <c r="B3889" s="26"/>
      <c r="C3889" s="26"/>
      <c r="D3889" s="26"/>
      <c r="E3889" s="26"/>
      <c r="F3889" s="28"/>
      <c r="G3889" s="26"/>
      <c r="H3889" s="32"/>
      <c r="I3889" s="32"/>
      <c r="J3889" s="32"/>
      <c r="K3889" s="32"/>
      <c r="L3889" s="32" t="e">
        <f ca="1">_xludf.ifna(VLOOKUP(E3889,Parámetros!$D$2:$E$34,2,0),"")</f>
        <v>#NAME?</v>
      </c>
      <c r="M3889" s="32" t="e">
        <f ca="1">_xludf.ifna(VLOOKUP(G3889,Proyectos!$A$2:$T$674,20,0),"")</f>
        <v>#NAME?</v>
      </c>
      <c r="N3889" s="32" t="e">
        <f ca="1">_xludf.ifna(VLOOKUP(G3889,Proyectos!$A$2:$S$674,19,0))</f>
        <v>#NAME?</v>
      </c>
      <c r="O3889" s="32"/>
      <c r="P3889" s="32"/>
      <c r="Q3889" s="33"/>
      <c r="R3889" s="33"/>
      <c r="S3889" s="33"/>
      <c r="T3889" s="63"/>
      <c r="U3889" s="33"/>
      <c r="V3889" s="33"/>
      <c r="W3889" s="33"/>
    </row>
    <row r="3890" spans="1:23" ht="16.5" customHeight="1" x14ac:dyDescent="0.2">
      <c r="A3890" s="26"/>
      <c r="B3890" s="26"/>
      <c r="C3890" s="26"/>
      <c r="D3890" s="26"/>
      <c r="E3890" s="26"/>
      <c r="F3890" s="28"/>
      <c r="G3890" s="26"/>
      <c r="H3890" s="32"/>
      <c r="I3890" s="32"/>
      <c r="J3890" s="32"/>
      <c r="K3890" s="32"/>
      <c r="L3890" s="32" t="e">
        <f ca="1">_xludf.ifna(VLOOKUP(E3890,Parámetros!$D$2:$E$34,2,0),"")</f>
        <v>#NAME?</v>
      </c>
      <c r="M3890" s="32" t="e">
        <f ca="1">_xludf.ifna(VLOOKUP(G3890,Proyectos!$A$2:$T$674,20,0),"")</f>
        <v>#NAME?</v>
      </c>
      <c r="N3890" s="32" t="e">
        <f ca="1">_xludf.ifna(VLOOKUP(G3890,Proyectos!$A$2:$S$674,19,0))</f>
        <v>#NAME?</v>
      </c>
      <c r="O3890" s="32"/>
      <c r="P3890" s="32"/>
      <c r="Q3890" s="33"/>
      <c r="R3890" s="33"/>
      <c r="S3890" s="33"/>
      <c r="T3890" s="63"/>
      <c r="U3890" s="33"/>
      <c r="V3890" s="33"/>
      <c r="W3890" s="33"/>
    </row>
    <row r="3891" spans="1:23" ht="16.5" customHeight="1" x14ac:dyDescent="0.2">
      <c r="A3891" s="26"/>
      <c r="B3891" s="26"/>
      <c r="C3891" s="26"/>
      <c r="D3891" s="26"/>
      <c r="E3891" s="26"/>
      <c r="F3891" s="28"/>
      <c r="G3891" s="26"/>
      <c r="H3891" s="32"/>
      <c r="I3891" s="32"/>
      <c r="J3891" s="32"/>
      <c r="K3891" s="32"/>
      <c r="L3891" s="32" t="e">
        <f ca="1">_xludf.ifna(VLOOKUP(E3891,Parámetros!$D$2:$E$34,2,0),"")</f>
        <v>#NAME?</v>
      </c>
      <c r="M3891" s="32" t="e">
        <f ca="1">_xludf.ifna(VLOOKUP(G3891,Proyectos!$A$2:$T$674,20,0),"")</f>
        <v>#NAME?</v>
      </c>
      <c r="N3891" s="32" t="e">
        <f ca="1">_xludf.ifna(VLOOKUP(G3891,Proyectos!$A$2:$S$674,19,0))</f>
        <v>#NAME?</v>
      </c>
      <c r="O3891" s="32"/>
      <c r="P3891" s="32"/>
      <c r="Q3891" s="33"/>
      <c r="R3891" s="33"/>
      <c r="S3891" s="33"/>
      <c r="T3891" s="63"/>
      <c r="U3891" s="33"/>
      <c r="V3891" s="33"/>
      <c r="W3891" s="33"/>
    </row>
    <row r="3892" spans="1:23" ht="16.5" customHeight="1" x14ac:dyDescent="0.2">
      <c r="A3892" s="26"/>
      <c r="B3892" s="26"/>
      <c r="C3892" s="26"/>
      <c r="D3892" s="26"/>
      <c r="E3892" s="26"/>
      <c r="F3892" s="28"/>
      <c r="G3892" s="26"/>
      <c r="H3892" s="32"/>
      <c r="I3892" s="32"/>
      <c r="J3892" s="32"/>
      <c r="K3892" s="32"/>
      <c r="L3892" s="32" t="e">
        <f ca="1">_xludf.ifna(VLOOKUP(E3892,Parámetros!$D$2:$E$34,2,0),"")</f>
        <v>#NAME?</v>
      </c>
      <c r="M3892" s="32" t="e">
        <f ca="1">_xludf.ifna(VLOOKUP(G3892,Proyectos!$A$2:$T$674,20,0),"")</f>
        <v>#NAME?</v>
      </c>
      <c r="N3892" s="32" t="e">
        <f ca="1">_xludf.ifna(VLOOKUP(G3892,Proyectos!$A$2:$S$674,19,0))</f>
        <v>#NAME?</v>
      </c>
      <c r="O3892" s="32"/>
      <c r="P3892" s="32"/>
      <c r="Q3892" s="33"/>
      <c r="R3892" s="33"/>
      <c r="S3892" s="33"/>
      <c r="T3892" s="63"/>
      <c r="U3892" s="33"/>
      <c r="V3892" s="33"/>
      <c r="W3892" s="33"/>
    </row>
    <row r="3893" spans="1:23" ht="16.5" customHeight="1" x14ac:dyDescent="0.2">
      <c r="A3893" s="26"/>
      <c r="B3893" s="26"/>
      <c r="C3893" s="26"/>
      <c r="D3893" s="26"/>
      <c r="E3893" s="26"/>
      <c r="F3893" s="28"/>
      <c r="G3893" s="26"/>
      <c r="H3893" s="32"/>
      <c r="I3893" s="32"/>
      <c r="J3893" s="32"/>
      <c r="K3893" s="32"/>
      <c r="L3893" s="32" t="e">
        <f ca="1">_xludf.ifna(VLOOKUP(E3893,Parámetros!$D$2:$E$34,2,0),"")</f>
        <v>#NAME?</v>
      </c>
      <c r="M3893" s="32" t="e">
        <f ca="1">_xludf.ifna(VLOOKUP(G3893,Proyectos!$A$2:$T$674,20,0),"")</f>
        <v>#NAME?</v>
      </c>
      <c r="N3893" s="32" t="e">
        <f ca="1">_xludf.ifna(VLOOKUP(G3893,Proyectos!$A$2:$S$674,19,0))</f>
        <v>#NAME?</v>
      </c>
      <c r="O3893" s="32"/>
      <c r="P3893" s="32"/>
      <c r="Q3893" s="33"/>
      <c r="R3893" s="33"/>
      <c r="S3893" s="33"/>
      <c r="T3893" s="63"/>
      <c r="U3893" s="33"/>
      <c r="V3893" s="33"/>
      <c r="W3893" s="33"/>
    </row>
    <row r="3894" spans="1:23" ht="16.5" customHeight="1" x14ac:dyDescent="0.2">
      <c r="A3894" s="26"/>
      <c r="B3894" s="26"/>
      <c r="C3894" s="26"/>
      <c r="D3894" s="26"/>
      <c r="E3894" s="26"/>
      <c r="F3894" s="28"/>
      <c r="G3894" s="26"/>
      <c r="H3894" s="32"/>
      <c r="I3894" s="32"/>
      <c r="J3894" s="32"/>
      <c r="K3894" s="32"/>
      <c r="L3894" s="32" t="e">
        <f ca="1">_xludf.ifna(VLOOKUP(E3894,Parámetros!$D$2:$E$34,2,0),"")</f>
        <v>#NAME?</v>
      </c>
      <c r="M3894" s="32" t="e">
        <f ca="1">_xludf.ifna(VLOOKUP(G3894,Proyectos!$A$2:$T$674,20,0),"")</f>
        <v>#NAME?</v>
      </c>
      <c r="N3894" s="32" t="e">
        <f ca="1">_xludf.ifna(VLOOKUP(G3894,Proyectos!$A$2:$S$674,19,0))</f>
        <v>#NAME?</v>
      </c>
      <c r="O3894" s="32"/>
      <c r="P3894" s="32"/>
      <c r="Q3894" s="33"/>
      <c r="R3894" s="33"/>
      <c r="S3894" s="33"/>
      <c r="T3894" s="63"/>
      <c r="U3894" s="33"/>
      <c r="V3894" s="33"/>
      <c r="W3894" s="33"/>
    </row>
    <row r="3895" spans="1:23" ht="16.5" customHeight="1" x14ac:dyDescent="0.2">
      <c r="A3895" s="26"/>
      <c r="B3895" s="26"/>
      <c r="C3895" s="26"/>
      <c r="D3895" s="26"/>
      <c r="E3895" s="26"/>
      <c r="F3895" s="28"/>
      <c r="G3895" s="26"/>
      <c r="H3895" s="32"/>
      <c r="I3895" s="32"/>
      <c r="J3895" s="32"/>
      <c r="K3895" s="32"/>
      <c r="L3895" s="32" t="e">
        <f ca="1">_xludf.ifna(VLOOKUP(E3895,Parámetros!$D$2:$E$34,2,0),"")</f>
        <v>#NAME?</v>
      </c>
      <c r="M3895" s="32" t="e">
        <f ca="1">_xludf.ifna(VLOOKUP(G3895,Proyectos!$A$2:$T$674,20,0),"")</f>
        <v>#NAME?</v>
      </c>
      <c r="N3895" s="32" t="e">
        <f ca="1">_xludf.ifna(VLOOKUP(G3895,Proyectos!$A$2:$S$674,19,0))</f>
        <v>#NAME?</v>
      </c>
      <c r="O3895" s="32"/>
      <c r="P3895" s="32"/>
      <c r="Q3895" s="33"/>
      <c r="R3895" s="33"/>
      <c r="S3895" s="33"/>
      <c r="T3895" s="63"/>
      <c r="U3895" s="33"/>
      <c r="V3895" s="33"/>
      <c r="W3895" s="33"/>
    </row>
    <row r="3896" spans="1:23" ht="16.5" customHeight="1" x14ac:dyDescent="0.2">
      <c r="A3896" s="26"/>
      <c r="B3896" s="26"/>
      <c r="C3896" s="26"/>
      <c r="D3896" s="26"/>
      <c r="E3896" s="26"/>
      <c r="F3896" s="28"/>
      <c r="G3896" s="26"/>
      <c r="H3896" s="32"/>
      <c r="I3896" s="32"/>
      <c r="J3896" s="32"/>
      <c r="K3896" s="32"/>
      <c r="L3896" s="32" t="e">
        <f ca="1">_xludf.ifna(VLOOKUP(E3896,Parámetros!$D$2:$E$34,2,0),"")</f>
        <v>#NAME?</v>
      </c>
      <c r="M3896" s="32" t="e">
        <f ca="1">_xludf.ifna(VLOOKUP(G3896,Proyectos!$A$2:$T$674,20,0),"")</f>
        <v>#NAME?</v>
      </c>
      <c r="N3896" s="32" t="e">
        <f ca="1">_xludf.ifna(VLOOKUP(G3896,Proyectos!$A$2:$S$674,19,0))</f>
        <v>#NAME?</v>
      </c>
      <c r="O3896" s="32"/>
      <c r="P3896" s="32"/>
      <c r="Q3896" s="33"/>
      <c r="R3896" s="33"/>
      <c r="S3896" s="33"/>
      <c r="T3896" s="63"/>
      <c r="U3896" s="33"/>
      <c r="V3896" s="33"/>
      <c r="W3896" s="33"/>
    </row>
    <row r="3897" spans="1:23" ht="16.5" customHeight="1" x14ac:dyDescent="0.2">
      <c r="A3897" s="26"/>
      <c r="B3897" s="26"/>
      <c r="C3897" s="26"/>
      <c r="D3897" s="26"/>
      <c r="E3897" s="26"/>
      <c r="F3897" s="28"/>
      <c r="G3897" s="26"/>
      <c r="H3897" s="32"/>
      <c r="I3897" s="32"/>
      <c r="J3897" s="32"/>
      <c r="K3897" s="32"/>
      <c r="L3897" s="32" t="e">
        <f ca="1">_xludf.ifna(VLOOKUP(E3897,Parámetros!$D$2:$E$34,2,0),"")</f>
        <v>#NAME?</v>
      </c>
      <c r="M3897" s="32" t="e">
        <f ca="1">_xludf.ifna(VLOOKUP(G3897,Proyectos!$A$2:$T$674,20,0),"")</f>
        <v>#NAME?</v>
      </c>
      <c r="N3897" s="32" t="e">
        <f ca="1">_xludf.ifna(VLOOKUP(G3897,Proyectos!$A$2:$S$674,19,0))</f>
        <v>#NAME?</v>
      </c>
      <c r="O3897" s="32"/>
      <c r="P3897" s="32"/>
      <c r="Q3897" s="33"/>
      <c r="R3897" s="33"/>
      <c r="S3897" s="33"/>
      <c r="T3897" s="63"/>
      <c r="U3897" s="33"/>
      <c r="V3897" s="33"/>
      <c r="W3897" s="33"/>
    </row>
    <row r="3898" spans="1:23" ht="16.5" customHeight="1" x14ac:dyDescent="0.2">
      <c r="A3898" s="26"/>
      <c r="B3898" s="26"/>
      <c r="C3898" s="26"/>
      <c r="D3898" s="26"/>
      <c r="E3898" s="26"/>
      <c r="F3898" s="28"/>
      <c r="G3898" s="26"/>
      <c r="H3898" s="32"/>
      <c r="I3898" s="32"/>
      <c r="J3898" s="32"/>
      <c r="K3898" s="32"/>
      <c r="L3898" s="32" t="e">
        <f ca="1">_xludf.ifna(VLOOKUP(E3898,Parámetros!$D$2:$E$34,2,0),"")</f>
        <v>#NAME?</v>
      </c>
      <c r="M3898" s="32" t="e">
        <f ca="1">_xludf.ifna(VLOOKUP(G3898,Proyectos!$A$2:$T$674,20,0),"")</f>
        <v>#NAME?</v>
      </c>
      <c r="N3898" s="32" t="e">
        <f ca="1">_xludf.ifna(VLOOKUP(G3898,Proyectos!$A$2:$S$674,19,0))</f>
        <v>#NAME?</v>
      </c>
      <c r="O3898" s="32"/>
      <c r="P3898" s="32"/>
      <c r="Q3898" s="33"/>
      <c r="R3898" s="33"/>
      <c r="S3898" s="33"/>
      <c r="T3898" s="63"/>
      <c r="U3898" s="33"/>
      <c r="V3898" s="33"/>
      <c r="W3898" s="33"/>
    </row>
    <row r="3899" spans="1:23" ht="16.5" customHeight="1" x14ac:dyDescent="0.2">
      <c r="A3899" s="26"/>
      <c r="B3899" s="26"/>
      <c r="C3899" s="26"/>
      <c r="D3899" s="26"/>
      <c r="E3899" s="26"/>
      <c r="F3899" s="28"/>
      <c r="G3899" s="26"/>
      <c r="H3899" s="32"/>
      <c r="I3899" s="32"/>
      <c r="J3899" s="32"/>
      <c r="K3899" s="32"/>
      <c r="L3899" s="32" t="e">
        <f ca="1">_xludf.ifna(VLOOKUP(E3899,Parámetros!$D$2:$E$34,2,0),"")</f>
        <v>#NAME?</v>
      </c>
      <c r="M3899" s="32" t="e">
        <f ca="1">_xludf.ifna(VLOOKUP(G3899,Proyectos!$A$2:$T$674,20,0),"")</f>
        <v>#NAME?</v>
      </c>
      <c r="N3899" s="32" t="e">
        <f ca="1">_xludf.ifna(VLOOKUP(G3899,Proyectos!$A$2:$S$674,19,0))</f>
        <v>#NAME?</v>
      </c>
      <c r="O3899" s="32"/>
      <c r="P3899" s="32"/>
      <c r="Q3899" s="33"/>
      <c r="R3899" s="33"/>
      <c r="S3899" s="33"/>
      <c r="T3899" s="63"/>
      <c r="U3899" s="33"/>
      <c r="V3899" s="33"/>
      <c r="W3899" s="33"/>
    </row>
    <row r="3900" spans="1:23" ht="16.5" customHeight="1" x14ac:dyDescent="0.2">
      <c r="A3900" s="26"/>
      <c r="B3900" s="26"/>
      <c r="C3900" s="26"/>
      <c r="D3900" s="26"/>
      <c r="E3900" s="26"/>
      <c r="F3900" s="28"/>
      <c r="G3900" s="26"/>
      <c r="H3900" s="32"/>
      <c r="I3900" s="32"/>
      <c r="J3900" s="32"/>
      <c r="K3900" s="32"/>
      <c r="L3900" s="32" t="e">
        <f ca="1">_xludf.ifna(VLOOKUP(E3900,Parámetros!$D$2:$E$34,2,0),"")</f>
        <v>#NAME?</v>
      </c>
      <c r="M3900" s="32" t="e">
        <f ca="1">_xludf.ifna(VLOOKUP(G3900,Proyectos!$A$2:$T$674,20,0),"")</f>
        <v>#NAME?</v>
      </c>
      <c r="N3900" s="32" t="e">
        <f ca="1">_xludf.ifna(VLOOKUP(G3900,Proyectos!$A$2:$S$674,19,0))</f>
        <v>#NAME?</v>
      </c>
      <c r="O3900" s="32"/>
      <c r="P3900" s="32"/>
      <c r="Q3900" s="33"/>
      <c r="R3900" s="33"/>
      <c r="S3900" s="33"/>
      <c r="T3900" s="63"/>
      <c r="U3900" s="33"/>
      <c r="V3900" s="33"/>
      <c r="W3900" s="33"/>
    </row>
    <row r="3901" spans="1:23" ht="16.5" customHeight="1" x14ac:dyDescent="0.2">
      <c r="A3901" s="26"/>
      <c r="B3901" s="26"/>
      <c r="C3901" s="26"/>
      <c r="D3901" s="26"/>
      <c r="E3901" s="26"/>
      <c r="F3901" s="28"/>
      <c r="G3901" s="26"/>
      <c r="H3901" s="32"/>
      <c r="I3901" s="32"/>
      <c r="J3901" s="32"/>
      <c r="K3901" s="32"/>
      <c r="L3901" s="32" t="e">
        <f ca="1">_xludf.ifna(VLOOKUP(E3901,Parámetros!$D$2:$E$34,2,0),"")</f>
        <v>#NAME?</v>
      </c>
      <c r="M3901" s="32" t="e">
        <f ca="1">_xludf.ifna(VLOOKUP(G3901,Proyectos!$A$2:$T$674,20,0),"")</f>
        <v>#NAME?</v>
      </c>
      <c r="N3901" s="32" t="e">
        <f ca="1">_xludf.ifna(VLOOKUP(G3901,Proyectos!$A$2:$S$674,19,0))</f>
        <v>#NAME?</v>
      </c>
      <c r="O3901" s="32"/>
      <c r="P3901" s="32"/>
      <c r="Q3901" s="33"/>
      <c r="R3901" s="33"/>
      <c r="S3901" s="33"/>
      <c r="T3901" s="63"/>
      <c r="U3901" s="33"/>
      <c r="V3901" s="33"/>
      <c r="W3901" s="33"/>
    </row>
    <row r="3902" spans="1:23" ht="16.5" customHeight="1" x14ac:dyDescent="0.2">
      <c r="A3902" s="26"/>
      <c r="B3902" s="26"/>
      <c r="C3902" s="26"/>
      <c r="D3902" s="26"/>
      <c r="E3902" s="26"/>
      <c r="F3902" s="28"/>
      <c r="G3902" s="26"/>
      <c r="H3902" s="32"/>
      <c r="I3902" s="32"/>
      <c r="J3902" s="32"/>
      <c r="K3902" s="32"/>
      <c r="L3902" s="32" t="e">
        <f ca="1">_xludf.ifna(VLOOKUP(E3902,Parámetros!$D$2:$E$34,2,0),"")</f>
        <v>#NAME?</v>
      </c>
      <c r="M3902" s="32" t="e">
        <f ca="1">_xludf.ifna(VLOOKUP(G3902,Proyectos!$A$2:$T$674,20,0),"")</f>
        <v>#NAME?</v>
      </c>
      <c r="N3902" s="32" t="e">
        <f ca="1">_xludf.ifna(VLOOKUP(G3902,Proyectos!$A$2:$S$674,19,0))</f>
        <v>#NAME?</v>
      </c>
      <c r="O3902" s="32"/>
      <c r="P3902" s="32"/>
      <c r="Q3902" s="33"/>
      <c r="R3902" s="33"/>
      <c r="S3902" s="33"/>
      <c r="T3902" s="63"/>
      <c r="U3902" s="33"/>
      <c r="V3902" s="33"/>
      <c r="W3902" s="33"/>
    </row>
    <row r="3903" spans="1:23" ht="16.5" customHeight="1" x14ac:dyDescent="0.2">
      <c r="A3903" s="26"/>
      <c r="B3903" s="26"/>
      <c r="C3903" s="26"/>
      <c r="D3903" s="26"/>
      <c r="E3903" s="26"/>
      <c r="F3903" s="28"/>
      <c r="G3903" s="26"/>
      <c r="H3903" s="32"/>
      <c r="I3903" s="32"/>
      <c r="J3903" s="32"/>
      <c r="K3903" s="32"/>
      <c r="L3903" s="32" t="e">
        <f ca="1">_xludf.ifna(VLOOKUP(E3903,Parámetros!$D$2:$E$34,2,0),"")</f>
        <v>#NAME?</v>
      </c>
      <c r="M3903" s="32" t="e">
        <f ca="1">_xludf.ifna(VLOOKUP(G3903,Proyectos!$A$2:$T$674,20,0),"")</f>
        <v>#NAME?</v>
      </c>
      <c r="N3903" s="32" t="e">
        <f ca="1">_xludf.ifna(VLOOKUP(G3903,Proyectos!$A$2:$S$674,19,0))</f>
        <v>#NAME?</v>
      </c>
      <c r="O3903" s="32"/>
      <c r="P3903" s="32"/>
      <c r="Q3903" s="33"/>
      <c r="R3903" s="33"/>
      <c r="S3903" s="33"/>
      <c r="T3903" s="63"/>
      <c r="U3903" s="33"/>
      <c r="V3903" s="33"/>
      <c r="W3903" s="33"/>
    </row>
    <row r="3904" spans="1:23" ht="16.5" customHeight="1" x14ac:dyDescent="0.2">
      <c r="A3904" s="26"/>
      <c r="B3904" s="26"/>
      <c r="C3904" s="26"/>
      <c r="D3904" s="26"/>
      <c r="E3904" s="26"/>
      <c r="F3904" s="28"/>
      <c r="G3904" s="26"/>
      <c r="H3904" s="32"/>
      <c r="I3904" s="32"/>
      <c r="J3904" s="32"/>
      <c r="K3904" s="32"/>
      <c r="L3904" s="32" t="e">
        <f ca="1">_xludf.ifna(VLOOKUP(E3904,Parámetros!$D$2:$E$34,2,0),"")</f>
        <v>#NAME?</v>
      </c>
      <c r="M3904" s="32" t="e">
        <f ca="1">_xludf.ifna(VLOOKUP(G3904,Proyectos!$A$2:$T$674,20,0),"")</f>
        <v>#NAME?</v>
      </c>
      <c r="N3904" s="32" t="e">
        <f ca="1">_xludf.ifna(VLOOKUP(G3904,Proyectos!$A$2:$S$674,19,0))</f>
        <v>#NAME?</v>
      </c>
      <c r="O3904" s="32"/>
      <c r="P3904" s="32"/>
      <c r="Q3904" s="33"/>
      <c r="R3904" s="33"/>
      <c r="S3904" s="33"/>
      <c r="T3904" s="63"/>
      <c r="U3904" s="33"/>
      <c r="V3904" s="33"/>
      <c r="W3904" s="33"/>
    </row>
    <row r="3905" spans="1:23" ht="16.5" customHeight="1" x14ac:dyDescent="0.2">
      <c r="A3905" s="26"/>
      <c r="B3905" s="26"/>
      <c r="C3905" s="26"/>
      <c r="D3905" s="26"/>
      <c r="E3905" s="26"/>
      <c r="F3905" s="28"/>
      <c r="G3905" s="26"/>
      <c r="H3905" s="32"/>
      <c r="I3905" s="32"/>
      <c r="J3905" s="32"/>
      <c r="K3905" s="32"/>
      <c r="L3905" s="32" t="e">
        <f ca="1">_xludf.ifna(VLOOKUP(E3905,Parámetros!$D$2:$E$34,2,0),"")</f>
        <v>#NAME?</v>
      </c>
      <c r="M3905" s="32" t="e">
        <f ca="1">_xludf.ifna(VLOOKUP(G3905,Proyectos!$A$2:$T$674,20,0),"")</f>
        <v>#NAME?</v>
      </c>
      <c r="N3905" s="32" t="e">
        <f ca="1">_xludf.ifna(VLOOKUP(G3905,Proyectos!$A$2:$S$674,19,0))</f>
        <v>#NAME?</v>
      </c>
      <c r="O3905" s="32"/>
      <c r="P3905" s="32"/>
      <c r="Q3905" s="33"/>
      <c r="R3905" s="33"/>
      <c r="S3905" s="33"/>
      <c r="T3905" s="63"/>
      <c r="U3905" s="33"/>
      <c r="V3905" s="33"/>
      <c r="W3905" s="33"/>
    </row>
    <row r="3906" spans="1:23" ht="16.5" customHeight="1" x14ac:dyDescent="0.2">
      <c r="A3906" s="26"/>
      <c r="B3906" s="26"/>
      <c r="C3906" s="26"/>
      <c r="D3906" s="26"/>
      <c r="E3906" s="26"/>
      <c r="F3906" s="28"/>
      <c r="G3906" s="26"/>
      <c r="H3906" s="32"/>
      <c r="I3906" s="32"/>
      <c r="J3906" s="32"/>
      <c r="K3906" s="32"/>
      <c r="L3906" s="32" t="e">
        <f ca="1">_xludf.ifna(VLOOKUP(E3906,Parámetros!$D$2:$E$34,2,0),"")</f>
        <v>#NAME?</v>
      </c>
      <c r="M3906" s="32" t="e">
        <f ca="1">_xludf.ifna(VLOOKUP(G3906,Proyectos!$A$2:$T$674,20,0),"")</f>
        <v>#NAME?</v>
      </c>
      <c r="N3906" s="32" t="e">
        <f ca="1">_xludf.ifna(VLOOKUP(G3906,Proyectos!$A$2:$S$674,19,0))</f>
        <v>#NAME?</v>
      </c>
      <c r="O3906" s="32"/>
      <c r="P3906" s="32"/>
      <c r="Q3906" s="33"/>
      <c r="R3906" s="33"/>
      <c r="S3906" s="33"/>
      <c r="T3906" s="63"/>
      <c r="U3906" s="33"/>
      <c r="V3906" s="33"/>
      <c r="W3906" s="33"/>
    </row>
    <row r="3907" spans="1:23" ht="16.5" customHeight="1" x14ac:dyDescent="0.2">
      <c r="A3907" s="26"/>
      <c r="B3907" s="26"/>
      <c r="C3907" s="26"/>
      <c r="D3907" s="26"/>
      <c r="E3907" s="26"/>
      <c r="F3907" s="28"/>
      <c r="G3907" s="26"/>
      <c r="H3907" s="32"/>
      <c r="I3907" s="32"/>
      <c r="J3907" s="32"/>
      <c r="K3907" s="32"/>
      <c r="L3907" s="32" t="e">
        <f ca="1">_xludf.ifna(VLOOKUP(E3907,Parámetros!$D$2:$E$34,2,0),"")</f>
        <v>#NAME?</v>
      </c>
      <c r="M3907" s="32" t="e">
        <f ca="1">_xludf.ifna(VLOOKUP(G3907,Proyectos!$A$2:$T$674,20,0),"")</f>
        <v>#NAME?</v>
      </c>
      <c r="N3907" s="32" t="e">
        <f ca="1">_xludf.ifna(VLOOKUP(G3907,Proyectos!$A$2:$S$674,19,0))</f>
        <v>#NAME?</v>
      </c>
      <c r="O3907" s="32"/>
      <c r="P3907" s="32"/>
      <c r="Q3907" s="33"/>
      <c r="R3907" s="33"/>
      <c r="S3907" s="33"/>
      <c r="T3907" s="63"/>
      <c r="U3907" s="33"/>
      <c r="V3907" s="33"/>
      <c r="W3907" s="33"/>
    </row>
    <row r="3908" spans="1:23" ht="16.5" customHeight="1" x14ac:dyDescent="0.2">
      <c r="A3908" s="26"/>
      <c r="B3908" s="26"/>
      <c r="C3908" s="26"/>
      <c r="D3908" s="26"/>
      <c r="E3908" s="26"/>
      <c r="F3908" s="28"/>
      <c r="G3908" s="26"/>
      <c r="H3908" s="32"/>
      <c r="I3908" s="32"/>
      <c r="J3908" s="32"/>
      <c r="K3908" s="32"/>
      <c r="L3908" s="32" t="e">
        <f ca="1">_xludf.ifna(VLOOKUP(E3908,Parámetros!$D$2:$E$34,2,0),"")</f>
        <v>#NAME?</v>
      </c>
      <c r="M3908" s="32" t="e">
        <f ca="1">_xludf.ifna(VLOOKUP(G3908,Proyectos!$A$2:$T$674,20,0),"")</f>
        <v>#NAME?</v>
      </c>
      <c r="N3908" s="32" t="e">
        <f ca="1">_xludf.ifna(VLOOKUP(G3908,Proyectos!$A$2:$S$674,19,0))</f>
        <v>#NAME?</v>
      </c>
      <c r="O3908" s="32"/>
      <c r="P3908" s="32"/>
      <c r="Q3908" s="33"/>
      <c r="R3908" s="33"/>
      <c r="S3908" s="33"/>
      <c r="T3908" s="63"/>
      <c r="U3908" s="33"/>
      <c r="V3908" s="33"/>
      <c r="W3908" s="33"/>
    </row>
    <row r="3909" spans="1:23" ht="16.5" customHeight="1" x14ac:dyDescent="0.2">
      <c r="A3909" s="26"/>
      <c r="B3909" s="26"/>
      <c r="C3909" s="26"/>
      <c r="D3909" s="26"/>
      <c r="E3909" s="26"/>
      <c r="F3909" s="28"/>
      <c r="G3909" s="26"/>
      <c r="H3909" s="32"/>
      <c r="I3909" s="32"/>
      <c r="J3909" s="32"/>
      <c r="K3909" s="32"/>
      <c r="L3909" s="32" t="e">
        <f ca="1">_xludf.ifna(VLOOKUP(E3909,Parámetros!$D$2:$E$34,2,0),"")</f>
        <v>#NAME?</v>
      </c>
      <c r="M3909" s="32" t="e">
        <f ca="1">_xludf.ifna(VLOOKUP(G3909,Proyectos!$A$2:$T$674,20,0),"")</f>
        <v>#NAME?</v>
      </c>
      <c r="N3909" s="32" t="e">
        <f ca="1">_xludf.ifna(VLOOKUP(G3909,Proyectos!$A$2:$S$674,19,0))</f>
        <v>#NAME?</v>
      </c>
      <c r="O3909" s="32"/>
      <c r="P3909" s="32"/>
      <c r="Q3909" s="33"/>
      <c r="R3909" s="33"/>
      <c r="S3909" s="33"/>
      <c r="T3909" s="63"/>
      <c r="U3909" s="33"/>
      <c r="V3909" s="33"/>
      <c r="W3909" s="33"/>
    </row>
    <row r="3910" spans="1:23" ht="16.5" customHeight="1" x14ac:dyDescent="0.2">
      <c r="A3910" s="26"/>
      <c r="B3910" s="26"/>
      <c r="C3910" s="26"/>
      <c r="D3910" s="26"/>
      <c r="E3910" s="26"/>
      <c r="F3910" s="28"/>
      <c r="G3910" s="26"/>
      <c r="H3910" s="32"/>
      <c r="I3910" s="32"/>
      <c r="J3910" s="32"/>
      <c r="K3910" s="32"/>
      <c r="L3910" s="32" t="e">
        <f ca="1">_xludf.ifna(VLOOKUP(E3910,Parámetros!$D$2:$E$34,2,0),"")</f>
        <v>#NAME?</v>
      </c>
      <c r="M3910" s="32" t="e">
        <f ca="1">_xludf.ifna(VLOOKUP(G3910,Proyectos!$A$2:$T$674,20,0),"")</f>
        <v>#NAME?</v>
      </c>
      <c r="N3910" s="32" t="e">
        <f ca="1">_xludf.ifna(VLOOKUP(G3910,Proyectos!$A$2:$S$674,19,0))</f>
        <v>#NAME?</v>
      </c>
      <c r="O3910" s="32"/>
      <c r="P3910" s="32"/>
      <c r="Q3910" s="33"/>
      <c r="R3910" s="33"/>
      <c r="S3910" s="33"/>
      <c r="T3910" s="63"/>
      <c r="U3910" s="33"/>
      <c r="V3910" s="33"/>
      <c r="W3910" s="33"/>
    </row>
    <row r="3911" spans="1:23" ht="16.5" customHeight="1" x14ac:dyDescent="0.2">
      <c r="A3911" s="26"/>
      <c r="B3911" s="26"/>
      <c r="C3911" s="26"/>
      <c r="D3911" s="26"/>
      <c r="E3911" s="26"/>
      <c r="F3911" s="28"/>
      <c r="G3911" s="26"/>
      <c r="H3911" s="32"/>
      <c r="I3911" s="32"/>
      <c r="J3911" s="32"/>
      <c r="K3911" s="32"/>
      <c r="L3911" s="32" t="e">
        <f ca="1">_xludf.ifna(VLOOKUP(E3911,Parámetros!$D$2:$E$34,2,0),"")</f>
        <v>#NAME?</v>
      </c>
      <c r="M3911" s="32" t="e">
        <f ca="1">_xludf.ifna(VLOOKUP(G3911,Proyectos!$A$2:$T$674,20,0),"")</f>
        <v>#NAME?</v>
      </c>
      <c r="N3911" s="32" t="e">
        <f ca="1">_xludf.ifna(VLOOKUP(G3911,Proyectos!$A$2:$S$674,19,0))</f>
        <v>#NAME?</v>
      </c>
      <c r="O3911" s="32"/>
      <c r="P3911" s="32"/>
      <c r="Q3911" s="33"/>
      <c r="R3911" s="33"/>
      <c r="S3911" s="33"/>
      <c r="T3911" s="63"/>
      <c r="U3911" s="33"/>
      <c r="V3911" s="33"/>
      <c r="W3911" s="33"/>
    </row>
    <row r="3912" spans="1:23" ht="16.5" customHeight="1" x14ac:dyDescent="0.2">
      <c r="A3912" s="26"/>
      <c r="B3912" s="26"/>
      <c r="C3912" s="26"/>
      <c r="D3912" s="26"/>
      <c r="E3912" s="26"/>
      <c r="F3912" s="28"/>
      <c r="G3912" s="26"/>
      <c r="H3912" s="32"/>
      <c r="I3912" s="32"/>
      <c r="J3912" s="32"/>
      <c r="K3912" s="32"/>
      <c r="L3912" s="32" t="e">
        <f ca="1">_xludf.ifna(VLOOKUP(E3912,Parámetros!$D$2:$E$34,2,0),"")</f>
        <v>#NAME?</v>
      </c>
      <c r="M3912" s="32" t="e">
        <f ca="1">_xludf.ifna(VLOOKUP(G3912,Proyectos!$A$2:$T$674,20,0),"")</f>
        <v>#NAME?</v>
      </c>
      <c r="N3912" s="32" t="e">
        <f ca="1">_xludf.ifna(VLOOKUP(G3912,Proyectos!$A$2:$S$674,19,0))</f>
        <v>#NAME?</v>
      </c>
      <c r="O3912" s="32"/>
      <c r="P3912" s="32"/>
      <c r="Q3912" s="33"/>
      <c r="R3912" s="33"/>
      <c r="S3912" s="33"/>
      <c r="T3912" s="63"/>
      <c r="U3912" s="33"/>
      <c r="V3912" s="33"/>
      <c r="W3912" s="33"/>
    </row>
    <row r="3913" spans="1:23" ht="16.5" customHeight="1" x14ac:dyDescent="0.2">
      <c r="A3913" s="26"/>
      <c r="B3913" s="26"/>
      <c r="C3913" s="26"/>
      <c r="D3913" s="26"/>
      <c r="E3913" s="26"/>
      <c r="F3913" s="28"/>
      <c r="G3913" s="26"/>
      <c r="H3913" s="32"/>
      <c r="I3913" s="32"/>
      <c r="J3913" s="32"/>
      <c r="K3913" s="32"/>
      <c r="L3913" s="32" t="e">
        <f ca="1">_xludf.ifna(VLOOKUP(E3913,Parámetros!$D$2:$E$34,2,0),"")</f>
        <v>#NAME?</v>
      </c>
      <c r="M3913" s="32" t="e">
        <f ca="1">_xludf.ifna(VLOOKUP(G3913,Proyectos!$A$2:$T$674,20,0),"")</f>
        <v>#NAME?</v>
      </c>
      <c r="N3913" s="32" t="e">
        <f ca="1">_xludf.ifna(VLOOKUP(G3913,Proyectos!$A$2:$S$674,19,0))</f>
        <v>#NAME?</v>
      </c>
      <c r="O3913" s="32"/>
      <c r="P3913" s="32"/>
      <c r="Q3913" s="33"/>
      <c r="R3913" s="33"/>
      <c r="S3913" s="33"/>
      <c r="T3913" s="63"/>
      <c r="U3913" s="33"/>
      <c r="V3913" s="33"/>
      <c r="W3913" s="33"/>
    </row>
    <row r="3914" spans="1:23" ht="16.5" customHeight="1" x14ac:dyDescent="0.2">
      <c r="A3914" s="26"/>
      <c r="B3914" s="26"/>
      <c r="C3914" s="26"/>
      <c r="D3914" s="26"/>
      <c r="E3914" s="26"/>
      <c r="F3914" s="28"/>
      <c r="G3914" s="26"/>
      <c r="H3914" s="32"/>
      <c r="I3914" s="32"/>
      <c r="J3914" s="32"/>
      <c r="K3914" s="32"/>
      <c r="L3914" s="32" t="e">
        <f ca="1">_xludf.ifna(VLOOKUP(E3914,Parámetros!$D$2:$E$34,2,0),"")</f>
        <v>#NAME?</v>
      </c>
      <c r="M3914" s="32" t="e">
        <f ca="1">_xludf.ifna(VLOOKUP(G3914,Proyectos!$A$2:$T$674,20,0),"")</f>
        <v>#NAME?</v>
      </c>
      <c r="N3914" s="32" t="e">
        <f ca="1">_xludf.ifna(VLOOKUP(G3914,Proyectos!$A$2:$S$674,19,0))</f>
        <v>#NAME?</v>
      </c>
      <c r="O3914" s="32"/>
      <c r="P3914" s="32"/>
      <c r="Q3914" s="33"/>
      <c r="R3914" s="33"/>
      <c r="S3914" s="33"/>
      <c r="T3914" s="63"/>
      <c r="U3914" s="33"/>
      <c r="V3914" s="33"/>
      <c r="W3914" s="33"/>
    </row>
    <row r="3915" spans="1:23" ht="16.5" customHeight="1" x14ac:dyDescent="0.2">
      <c r="A3915" s="26"/>
      <c r="B3915" s="26"/>
      <c r="C3915" s="26"/>
      <c r="D3915" s="26"/>
      <c r="E3915" s="26"/>
      <c r="F3915" s="28"/>
      <c r="G3915" s="26"/>
      <c r="H3915" s="32"/>
      <c r="I3915" s="32"/>
      <c r="J3915" s="32"/>
      <c r="K3915" s="32"/>
      <c r="L3915" s="32" t="e">
        <f ca="1">_xludf.ifna(VLOOKUP(E3915,Parámetros!$D$2:$E$34,2,0),"")</f>
        <v>#NAME?</v>
      </c>
      <c r="M3915" s="32" t="e">
        <f ca="1">_xludf.ifna(VLOOKUP(G3915,Proyectos!$A$2:$T$674,20,0),"")</f>
        <v>#NAME?</v>
      </c>
      <c r="N3915" s="32" t="e">
        <f ca="1">_xludf.ifna(VLOOKUP(G3915,Proyectos!$A$2:$S$674,19,0))</f>
        <v>#NAME?</v>
      </c>
      <c r="O3915" s="32"/>
      <c r="P3915" s="32"/>
      <c r="Q3915" s="33"/>
      <c r="R3915" s="33"/>
      <c r="S3915" s="33"/>
      <c r="T3915" s="63"/>
      <c r="U3915" s="33"/>
      <c r="V3915" s="33"/>
      <c r="W3915" s="33"/>
    </row>
    <row r="3916" spans="1:23" ht="16.5" customHeight="1" x14ac:dyDescent="0.2">
      <c r="A3916" s="26"/>
      <c r="B3916" s="26"/>
      <c r="C3916" s="26"/>
      <c r="D3916" s="26"/>
      <c r="E3916" s="26"/>
      <c r="F3916" s="28"/>
      <c r="G3916" s="26"/>
      <c r="H3916" s="32"/>
      <c r="I3916" s="32"/>
      <c r="J3916" s="32"/>
      <c r="K3916" s="32"/>
      <c r="L3916" s="32" t="e">
        <f ca="1">_xludf.ifna(VLOOKUP(E3916,Parámetros!$D$2:$E$34,2,0),"")</f>
        <v>#NAME?</v>
      </c>
      <c r="M3916" s="32" t="e">
        <f ca="1">_xludf.ifna(VLOOKUP(G3916,Proyectos!$A$2:$T$674,20,0),"")</f>
        <v>#NAME?</v>
      </c>
      <c r="N3916" s="32" t="e">
        <f ca="1">_xludf.ifna(VLOOKUP(G3916,Proyectos!$A$2:$S$674,19,0))</f>
        <v>#NAME?</v>
      </c>
      <c r="O3916" s="32"/>
      <c r="P3916" s="32"/>
      <c r="Q3916" s="33"/>
      <c r="R3916" s="33"/>
      <c r="S3916" s="33"/>
      <c r="T3916" s="63"/>
      <c r="U3916" s="33"/>
      <c r="V3916" s="33"/>
      <c r="W3916" s="33"/>
    </row>
    <row r="3917" spans="1:23" ht="16.5" customHeight="1" x14ac:dyDescent="0.2">
      <c r="A3917" s="26"/>
      <c r="B3917" s="26"/>
      <c r="C3917" s="26"/>
      <c r="D3917" s="26"/>
      <c r="E3917" s="26"/>
      <c r="F3917" s="28"/>
      <c r="G3917" s="26"/>
      <c r="H3917" s="32"/>
      <c r="I3917" s="32"/>
      <c r="J3917" s="32"/>
      <c r="K3917" s="32"/>
      <c r="L3917" s="32" t="e">
        <f ca="1">_xludf.ifna(VLOOKUP(E3917,Parámetros!$D$2:$E$34,2,0),"")</f>
        <v>#NAME?</v>
      </c>
      <c r="M3917" s="32" t="e">
        <f ca="1">_xludf.ifna(VLOOKUP(G3917,Proyectos!$A$2:$T$674,20,0),"")</f>
        <v>#NAME?</v>
      </c>
      <c r="N3917" s="32" t="e">
        <f ca="1">_xludf.ifna(VLOOKUP(G3917,Proyectos!$A$2:$S$674,19,0))</f>
        <v>#NAME?</v>
      </c>
      <c r="O3917" s="32"/>
      <c r="P3917" s="32"/>
      <c r="Q3917" s="33"/>
      <c r="R3917" s="33"/>
      <c r="S3917" s="33"/>
      <c r="T3917" s="63"/>
      <c r="U3917" s="33"/>
      <c r="V3917" s="33"/>
      <c r="W3917" s="33"/>
    </row>
    <row r="3918" spans="1:23" ht="16.5" customHeight="1" x14ac:dyDescent="0.2">
      <c r="A3918" s="26"/>
      <c r="B3918" s="26"/>
      <c r="C3918" s="26"/>
      <c r="D3918" s="26"/>
      <c r="E3918" s="26"/>
      <c r="F3918" s="28"/>
      <c r="G3918" s="26"/>
      <c r="H3918" s="32"/>
      <c r="I3918" s="32"/>
      <c r="J3918" s="32"/>
      <c r="K3918" s="32"/>
      <c r="L3918" s="32" t="e">
        <f ca="1">_xludf.ifna(VLOOKUP(E3918,Parámetros!$D$2:$E$34,2,0),"")</f>
        <v>#NAME?</v>
      </c>
      <c r="M3918" s="32" t="e">
        <f ca="1">_xludf.ifna(VLOOKUP(G3918,Proyectos!$A$2:$T$674,20,0),"")</f>
        <v>#NAME?</v>
      </c>
      <c r="N3918" s="32" t="e">
        <f ca="1">_xludf.ifna(VLOOKUP(G3918,Proyectos!$A$2:$S$674,19,0))</f>
        <v>#NAME?</v>
      </c>
      <c r="O3918" s="32"/>
      <c r="P3918" s="32"/>
      <c r="Q3918" s="33"/>
      <c r="R3918" s="33"/>
      <c r="S3918" s="33"/>
      <c r="T3918" s="63"/>
      <c r="U3918" s="33"/>
      <c r="V3918" s="33"/>
      <c r="W3918" s="33"/>
    </row>
    <row r="3919" spans="1:23" ht="16.5" customHeight="1" x14ac:dyDescent="0.2">
      <c r="A3919" s="26"/>
      <c r="B3919" s="26"/>
      <c r="C3919" s="26"/>
      <c r="D3919" s="26"/>
      <c r="E3919" s="26"/>
      <c r="F3919" s="28"/>
      <c r="G3919" s="26"/>
      <c r="H3919" s="32"/>
      <c r="I3919" s="32"/>
      <c r="J3919" s="32"/>
      <c r="K3919" s="32"/>
      <c r="L3919" s="32" t="e">
        <f ca="1">_xludf.ifna(VLOOKUP(E3919,Parámetros!$D$2:$E$34,2,0),"")</f>
        <v>#NAME?</v>
      </c>
      <c r="M3919" s="32" t="e">
        <f ca="1">_xludf.ifna(VLOOKUP(G3919,Proyectos!$A$2:$T$674,20,0),"")</f>
        <v>#NAME?</v>
      </c>
      <c r="N3919" s="32" t="e">
        <f ca="1">_xludf.ifna(VLOOKUP(G3919,Proyectos!$A$2:$S$674,19,0))</f>
        <v>#NAME?</v>
      </c>
      <c r="O3919" s="32"/>
      <c r="P3919" s="32"/>
      <c r="Q3919" s="33"/>
      <c r="R3919" s="33"/>
      <c r="S3919" s="33"/>
      <c r="T3919" s="63"/>
      <c r="U3919" s="33"/>
      <c r="V3919" s="33"/>
      <c r="W3919" s="33"/>
    </row>
    <row r="3920" spans="1:23" ht="16.5" customHeight="1" x14ac:dyDescent="0.2">
      <c r="A3920" s="26"/>
      <c r="B3920" s="26"/>
      <c r="C3920" s="26"/>
      <c r="D3920" s="26"/>
      <c r="E3920" s="26"/>
      <c r="F3920" s="28"/>
      <c r="G3920" s="26"/>
      <c r="H3920" s="32"/>
      <c r="I3920" s="32"/>
      <c r="J3920" s="32"/>
      <c r="K3920" s="32"/>
      <c r="L3920" s="32" t="e">
        <f ca="1">_xludf.ifna(VLOOKUP(E3920,Parámetros!$D$2:$E$34,2,0),"")</f>
        <v>#NAME?</v>
      </c>
      <c r="M3920" s="32" t="e">
        <f ca="1">_xludf.ifna(VLOOKUP(G3920,Proyectos!$A$2:$T$674,20,0),"")</f>
        <v>#NAME?</v>
      </c>
      <c r="N3920" s="32" t="e">
        <f ca="1">_xludf.ifna(VLOOKUP(G3920,Proyectos!$A$2:$S$674,19,0))</f>
        <v>#NAME?</v>
      </c>
      <c r="O3920" s="32"/>
      <c r="P3920" s="32"/>
      <c r="Q3920" s="33"/>
      <c r="R3920" s="33"/>
      <c r="S3920" s="33"/>
      <c r="T3920" s="63"/>
      <c r="U3920" s="33"/>
      <c r="V3920" s="33"/>
      <c r="W3920" s="33"/>
    </row>
    <row r="3921" spans="1:23" ht="16.5" customHeight="1" x14ac:dyDescent="0.2">
      <c r="A3921" s="26"/>
      <c r="B3921" s="26"/>
      <c r="C3921" s="26"/>
      <c r="D3921" s="26"/>
      <c r="E3921" s="26"/>
      <c r="F3921" s="28"/>
      <c r="G3921" s="26"/>
      <c r="H3921" s="32"/>
      <c r="I3921" s="32"/>
      <c r="J3921" s="32"/>
      <c r="K3921" s="32"/>
      <c r="L3921" s="32" t="e">
        <f ca="1">_xludf.ifna(VLOOKUP(E3921,Parámetros!$D$2:$E$34,2,0),"")</f>
        <v>#NAME?</v>
      </c>
      <c r="M3921" s="32" t="e">
        <f ca="1">_xludf.ifna(VLOOKUP(G3921,Proyectos!$A$2:$T$674,20,0),"")</f>
        <v>#NAME?</v>
      </c>
      <c r="N3921" s="32" t="e">
        <f ca="1">_xludf.ifna(VLOOKUP(G3921,Proyectos!$A$2:$S$674,19,0))</f>
        <v>#NAME?</v>
      </c>
      <c r="O3921" s="32"/>
      <c r="P3921" s="32"/>
      <c r="Q3921" s="33"/>
      <c r="R3921" s="33"/>
      <c r="S3921" s="33"/>
      <c r="T3921" s="63"/>
      <c r="U3921" s="33"/>
      <c r="V3921" s="33"/>
      <c r="W3921" s="33"/>
    </row>
    <row r="3922" spans="1:23" ht="16.5" customHeight="1" x14ac:dyDescent="0.2">
      <c r="A3922" s="26"/>
      <c r="B3922" s="26"/>
      <c r="C3922" s="26"/>
      <c r="D3922" s="26"/>
      <c r="E3922" s="26"/>
      <c r="F3922" s="28"/>
      <c r="G3922" s="26"/>
      <c r="H3922" s="32"/>
      <c r="I3922" s="32"/>
      <c r="J3922" s="32"/>
      <c r="K3922" s="32"/>
      <c r="L3922" s="32" t="e">
        <f ca="1">_xludf.ifna(VLOOKUP(E3922,Parámetros!$D$2:$E$34,2,0),"")</f>
        <v>#NAME?</v>
      </c>
      <c r="M3922" s="32" t="e">
        <f ca="1">_xludf.ifna(VLOOKUP(G3922,Proyectos!$A$2:$T$674,20,0),"")</f>
        <v>#NAME?</v>
      </c>
      <c r="N3922" s="32" t="e">
        <f ca="1">_xludf.ifna(VLOOKUP(G3922,Proyectos!$A$2:$S$674,19,0))</f>
        <v>#NAME?</v>
      </c>
      <c r="O3922" s="32"/>
      <c r="P3922" s="32"/>
      <c r="Q3922" s="33"/>
      <c r="R3922" s="33"/>
      <c r="S3922" s="33"/>
      <c r="T3922" s="63"/>
      <c r="U3922" s="33"/>
      <c r="V3922" s="33"/>
      <c r="W3922" s="33"/>
    </row>
    <row r="3923" spans="1:23" ht="16.5" customHeight="1" x14ac:dyDescent="0.2">
      <c r="A3923" s="26"/>
      <c r="B3923" s="26"/>
      <c r="C3923" s="26"/>
      <c r="D3923" s="26"/>
      <c r="E3923" s="26"/>
      <c r="F3923" s="28"/>
      <c r="G3923" s="26"/>
      <c r="H3923" s="32"/>
      <c r="I3923" s="32"/>
      <c r="J3923" s="32"/>
      <c r="K3923" s="32"/>
      <c r="L3923" s="32" t="e">
        <f ca="1">_xludf.ifna(VLOOKUP(E3923,Parámetros!$D$2:$E$34,2,0),"")</f>
        <v>#NAME?</v>
      </c>
      <c r="M3923" s="32" t="e">
        <f ca="1">_xludf.ifna(VLOOKUP(G3923,Proyectos!$A$2:$T$674,20,0),"")</f>
        <v>#NAME?</v>
      </c>
      <c r="N3923" s="32" t="e">
        <f ca="1">_xludf.ifna(VLOOKUP(G3923,Proyectos!$A$2:$S$674,19,0))</f>
        <v>#NAME?</v>
      </c>
      <c r="O3923" s="32"/>
      <c r="P3923" s="32"/>
      <c r="Q3923" s="33"/>
      <c r="R3923" s="33"/>
      <c r="S3923" s="33"/>
      <c r="T3923" s="63"/>
      <c r="U3923" s="33"/>
      <c r="V3923" s="33"/>
      <c r="W3923" s="33"/>
    </row>
    <row r="3924" spans="1:23" ht="16.5" customHeight="1" x14ac:dyDescent="0.2">
      <c r="A3924" s="26"/>
      <c r="B3924" s="26"/>
      <c r="C3924" s="26"/>
      <c r="D3924" s="26"/>
      <c r="E3924" s="26"/>
      <c r="F3924" s="28"/>
      <c r="G3924" s="26"/>
      <c r="H3924" s="32"/>
      <c r="I3924" s="32"/>
      <c r="J3924" s="32"/>
      <c r="K3924" s="32"/>
      <c r="L3924" s="32" t="e">
        <f ca="1">_xludf.ifna(VLOOKUP(E3924,Parámetros!$D$2:$E$34,2,0),"")</f>
        <v>#NAME?</v>
      </c>
      <c r="M3924" s="32" t="e">
        <f ca="1">_xludf.ifna(VLOOKUP(G3924,Proyectos!$A$2:$T$674,20,0),"")</f>
        <v>#NAME?</v>
      </c>
      <c r="N3924" s="32" t="e">
        <f ca="1">_xludf.ifna(VLOOKUP(G3924,Proyectos!$A$2:$S$674,19,0))</f>
        <v>#NAME?</v>
      </c>
      <c r="O3924" s="32"/>
      <c r="P3924" s="32"/>
      <c r="Q3924" s="33"/>
      <c r="R3924" s="33"/>
      <c r="S3924" s="33"/>
      <c r="T3924" s="63"/>
      <c r="U3924" s="33"/>
      <c r="V3924" s="33"/>
      <c r="W3924" s="33"/>
    </row>
    <row r="3925" spans="1:23" ht="16.5" customHeight="1" x14ac:dyDescent="0.2">
      <c r="A3925" s="26"/>
      <c r="B3925" s="26"/>
      <c r="C3925" s="26"/>
      <c r="D3925" s="26"/>
      <c r="E3925" s="26"/>
      <c r="F3925" s="28"/>
      <c r="G3925" s="26"/>
      <c r="H3925" s="32"/>
      <c r="I3925" s="32"/>
      <c r="J3925" s="32"/>
      <c r="K3925" s="32"/>
      <c r="L3925" s="32" t="e">
        <f ca="1">_xludf.ifna(VLOOKUP(E3925,Parámetros!$D$2:$E$34,2,0),"")</f>
        <v>#NAME?</v>
      </c>
      <c r="M3925" s="32" t="e">
        <f ca="1">_xludf.ifna(VLOOKUP(G3925,Proyectos!$A$2:$T$674,20,0),"")</f>
        <v>#NAME?</v>
      </c>
      <c r="N3925" s="32" t="e">
        <f ca="1">_xludf.ifna(VLOOKUP(G3925,Proyectos!$A$2:$S$674,19,0))</f>
        <v>#NAME?</v>
      </c>
      <c r="O3925" s="32"/>
      <c r="P3925" s="32"/>
      <c r="Q3925" s="33"/>
      <c r="R3925" s="33"/>
      <c r="S3925" s="33"/>
      <c r="T3925" s="63"/>
      <c r="U3925" s="33"/>
      <c r="V3925" s="33"/>
      <c r="W3925" s="33"/>
    </row>
    <row r="3926" spans="1:23" ht="16.5" customHeight="1" x14ac:dyDescent="0.2">
      <c r="A3926" s="26"/>
      <c r="B3926" s="26"/>
      <c r="C3926" s="26"/>
      <c r="D3926" s="26"/>
      <c r="E3926" s="26"/>
      <c r="F3926" s="28"/>
      <c r="G3926" s="26"/>
      <c r="H3926" s="32"/>
      <c r="I3926" s="32"/>
      <c r="J3926" s="32"/>
      <c r="K3926" s="32"/>
      <c r="L3926" s="32" t="e">
        <f ca="1">_xludf.ifna(VLOOKUP(E3926,Parámetros!$D$2:$E$34,2,0),"")</f>
        <v>#NAME?</v>
      </c>
      <c r="M3926" s="32" t="e">
        <f ca="1">_xludf.ifna(VLOOKUP(G3926,Proyectos!$A$2:$T$674,20,0),"")</f>
        <v>#NAME?</v>
      </c>
      <c r="N3926" s="32" t="e">
        <f ca="1">_xludf.ifna(VLOOKUP(G3926,Proyectos!$A$2:$S$674,19,0))</f>
        <v>#NAME?</v>
      </c>
      <c r="O3926" s="32"/>
      <c r="P3926" s="32"/>
      <c r="Q3926" s="33"/>
      <c r="R3926" s="33"/>
      <c r="S3926" s="33"/>
      <c r="T3926" s="63"/>
      <c r="U3926" s="33"/>
      <c r="V3926" s="33"/>
      <c r="W3926" s="33"/>
    </row>
    <row r="3927" spans="1:23" ht="16.5" customHeight="1" x14ac:dyDescent="0.2">
      <c r="A3927" s="26"/>
      <c r="B3927" s="26"/>
      <c r="C3927" s="26"/>
      <c r="D3927" s="26"/>
      <c r="E3927" s="26"/>
      <c r="F3927" s="28"/>
      <c r="G3927" s="26"/>
      <c r="H3927" s="32"/>
      <c r="I3927" s="32"/>
      <c r="J3927" s="32"/>
      <c r="K3927" s="32"/>
      <c r="L3927" s="32" t="e">
        <f ca="1">_xludf.ifna(VLOOKUP(E3927,Parámetros!$D$2:$E$34,2,0),"")</f>
        <v>#NAME?</v>
      </c>
      <c r="M3927" s="32" t="e">
        <f ca="1">_xludf.ifna(VLOOKUP(G3927,Proyectos!$A$2:$T$674,20,0),"")</f>
        <v>#NAME?</v>
      </c>
      <c r="N3927" s="32" t="e">
        <f ca="1">_xludf.ifna(VLOOKUP(G3927,Proyectos!$A$2:$S$674,19,0))</f>
        <v>#NAME?</v>
      </c>
      <c r="O3927" s="32"/>
      <c r="P3927" s="32"/>
      <c r="Q3927" s="33"/>
      <c r="R3927" s="33"/>
      <c r="S3927" s="33"/>
      <c r="T3927" s="63"/>
      <c r="U3927" s="33"/>
      <c r="V3927" s="33"/>
      <c r="W3927" s="33"/>
    </row>
    <row r="3928" spans="1:23" ht="16.5" customHeight="1" x14ac:dyDescent="0.2">
      <c r="A3928" s="26"/>
      <c r="B3928" s="26"/>
      <c r="C3928" s="26"/>
      <c r="D3928" s="26"/>
      <c r="E3928" s="26"/>
      <c r="F3928" s="28"/>
      <c r="G3928" s="26"/>
      <c r="H3928" s="32"/>
      <c r="I3928" s="32"/>
      <c r="J3928" s="32"/>
      <c r="K3928" s="32"/>
      <c r="L3928" s="32" t="e">
        <f ca="1">_xludf.ifna(VLOOKUP(E3928,Parámetros!$D$2:$E$34,2,0),"")</f>
        <v>#NAME?</v>
      </c>
      <c r="M3928" s="32" t="e">
        <f ca="1">_xludf.ifna(VLOOKUP(G3928,Proyectos!$A$2:$T$674,20,0),"")</f>
        <v>#NAME?</v>
      </c>
      <c r="N3928" s="32" t="e">
        <f ca="1">_xludf.ifna(VLOOKUP(G3928,Proyectos!$A$2:$S$674,19,0))</f>
        <v>#NAME?</v>
      </c>
      <c r="O3928" s="32"/>
      <c r="P3928" s="32"/>
      <c r="Q3928" s="33"/>
      <c r="R3928" s="33"/>
      <c r="S3928" s="33"/>
      <c r="T3928" s="63"/>
      <c r="U3928" s="33"/>
      <c r="V3928" s="33"/>
      <c r="W3928" s="33"/>
    </row>
    <row r="3929" spans="1:23" ht="16.5" customHeight="1" x14ac:dyDescent="0.2">
      <c r="A3929" s="26"/>
      <c r="B3929" s="26"/>
      <c r="C3929" s="26"/>
      <c r="D3929" s="26"/>
      <c r="E3929" s="26"/>
      <c r="F3929" s="28"/>
      <c r="G3929" s="26"/>
      <c r="H3929" s="32"/>
      <c r="I3929" s="32"/>
      <c r="J3929" s="32"/>
      <c r="K3929" s="32"/>
      <c r="L3929" s="32" t="e">
        <f ca="1">_xludf.ifna(VLOOKUP(E3929,Parámetros!$D$2:$E$34,2,0),"")</f>
        <v>#NAME?</v>
      </c>
      <c r="M3929" s="32" t="e">
        <f ca="1">_xludf.ifna(VLOOKUP(G3929,Proyectos!$A$2:$T$674,20,0),"")</f>
        <v>#NAME?</v>
      </c>
      <c r="N3929" s="32" t="e">
        <f ca="1">_xludf.ifna(VLOOKUP(G3929,Proyectos!$A$2:$S$674,19,0))</f>
        <v>#NAME?</v>
      </c>
      <c r="O3929" s="32"/>
      <c r="P3929" s="32"/>
      <c r="Q3929" s="33"/>
      <c r="R3929" s="33"/>
      <c r="S3929" s="33"/>
      <c r="T3929" s="63"/>
      <c r="U3929" s="33"/>
      <c r="V3929" s="33"/>
      <c r="W3929" s="33"/>
    </row>
    <row r="3930" spans="1:23" ht="16.5" customHeight="1" x14ac:dyDescent="0.2">
      <c r="A3930" s="26"/>
      <c r="B3930" s="26"/>
      <c r="C3930" s="26"/>
      <c r="D3930" s="26"/>
      <c r="E3930" s="26"/>
      <c r="F3930" s="28"/>
      <c r="G3930" s="26"/>
      <c r="H3930" s="32"/>
      <c r="I3930" s="32"/>
      <c r="J3930" s="32"/>
      <c r="K3930" s="32"/>
      <c r="L3930" s="32" t="e">
        <f ca="1">_xludf.ifna(VLOOKUP(E3930,Parámetros!$D$2:$E$34,2,0),"")</f>
        <v>#NAME?</v>
      </c>
      <c r="M3930" s="32" t="e">
        <f ca="1">_xludf.ifna(VLOOKUP(G3930,Proyectos!$A$2:$T$674,20,0),"")</f>
        <v>#NAME?</v>
      </c>
      <c r="N3930" s="32" t="e">
        <f ca="1">_xludf.ifna(VLOOKUP(G3930,Proyectos!$A$2:$S$674,19,0))</f>
        <v>#NAME?</v>
      </c>
      <c r="O3930" s="32"/>
      <c r="P3930" s="32"/>
      <c r="Q3930" s="33"/>
      <c r="R3930" s="33"/>
      <c r="S3930" s="33"/>
      <c r="T3930" s="63"/>
      <c r="U3930" s="33"/>
      <c r="V3930" s="33"/>
      <c r="W3930" s="33"/>
    </row>
    <row r="3931" spans="1:23" ht="16.5" customHeight="1" x14ac:dyDescent="0.2">
      <c r="A3931" s="26"/>
      <c r="B3931" s="26"/>
      <c r="C3931" s="26"/>
      <c r="D3931" s="26"/>
      <c r="E3931" s="26"/>
      <c r="F3931" s="28"/>
      <c r="G3931" s="26"/>
      <c r="H3931" s="32"/>
      <c r="I3931" s="32"/>
      <c r="J3931" s="32"/>
      <c r="K3931" s="32"/>
      <c r="L3931" s="32" t="e">
        <f ca="1">_xludf.ifna(VLOOKUP(E3931,Parámetros!$D$2:$E$34,2,0),"")</f>
        <v>#NAME?</v>
      </c>
      <c r="M3931" s="32" t="e">
        <f ca="1">_xludf.ifna(VLOOKUP(G3931,Proyectos!$A$2:$T$674,20,0),"")</f>
        <v>#NAME?</v>
      </c>
      <c r="N3931" s="32" t="e">
        <f ca="1">_xludf.ifna(VLOOKUP(G3931,Proyectos!$A$2:$S$674,19,0))</f>
        <v>#NAME?</v>
      </c>
      <c r="O3931" s="32"/>
      <c r="P3931" s="32"/>
      <c r="Q3931" s="33"/>
      <c r="R3931" s="33"/>
      <c r="S3931" s="33"/>
      <c r="T3931" s="63"/>
      <c r="U3931" s="33"/>
      <c r="V3931" s="33"/>
      <c r="W3931" s="33"/>
    </row>
    <row r="3932" spans="1:23" ht="16.5" customHeight="1" x14ac:dyDescent="0.2">
      <c r="A3932" s="26"/>
      <c r="B3932" s="26"/>
      <c r="C3932" s="26"/>
      <c r="D3932" s="26"/>
      <c r="E3932" s="26"/>
      <c r="F3932" s="28"/>
      <c r="G3932" s="26"/>
      <c r="H3932" s="32"/>
      <c r="I3932" s="32"/>
      <c r="J3932" s="32"/>
      <c r="K3932" s="32"/>
      <c r="L3932" s="32" t="e">
        <f ca="1">_xludf.ifna(VLOOKUP(E3932,Parámetros!$D$2:$E$34,2,0),"")</f>
        <v>#NAME?</v>
      </c>
      <c r="M3932" s="32" t="e">
        <f ca="1">_xludf.ifna(VLOOKUP(G3932,Proyectos!$A$2:$T$674,20,0),"")</f>
        <v>#NAME?</v>
      </c>
      <c r="N3932" s="32" t="e">
        <f ca="1">_xludf.ifna(VLOOKUP(G3932,Proyectos!$A$2:$S$674,19,0))</f>
        <v>#NAME?</v>
      </c>
      <c r="O3932" s="32"/>
      <c r="P3932" s="32"/>
      <c r="Q3932" s="33"/>
      <c r="R3932" s="33"/>
      <c r="S3932" s="33"/>
      <c r="T3932" s="63"/>
      <c r="U3932" s="33"/>
      <c r="V3932" s="33"/>
      <c r="W3932" s="33"/>
    </row>
    <row r="3933" spans="1:23" ht="16.5" customHeight="1" x14ac:dyDescent="0.2">
      <c r="A3933" s="26"/>
      <c r="B3933" s="26"/>
      <c r="C3933" s="26"/>
      <c r="D3933" s="26"/>
      <c r="E3933" s="26"/>
      <c r="F3933" s="28"/>
      <c r="G3933" s="26"/>
      <c r="H3933" s="32"/>
      <c r="I3933" s="32"/>
      <c r="J3933" s="32"/>
      <c r="K3933" s="32"/>
      <c r="L3933" s="32" t="e">
        <f ca="1">_xludf.ifna(VLOOKUP(E3933,Parámetros!$D$2:$E$34,2,0),"")</f>
        <v>#NAME?</v>
      </c>
      <c r="M3933" s="32" t="e">
        <f ca="1">_xludf.ifna(VLOOKUP(G3933,Proyectos!$A$2:$T$674,20,0),"")</f>
        <v>#NAME?</v>
      </c>
      <c r="N3933" s="32" t="e">
        <f ca="1">_xludf.ifna(VLOOKUP(G3933,Proyectos!$A$2:$S$674,19,0))</f>
        <v>#NAME?</v>
      </c>
      <c r="O3933" s="32"/>
      <c r="P3933" s="32"/>
      <c r="Q3933" s="33"/>
      <c r="R3933" s="33"/>
      <c r="S3933" s="33"/>
      <c r="T3933" s="63"/>
      <c r="U3933" s="33"/>
      <c r="V3933" s="33"/>
      <c r="W3933" s="33"/>
    </row>
    <row r="3934" spans="1:23" ht="16.5" customHeight="1" x14ac:dyDescent="0.2">
      <c r="A3934" s="26"/>
      <c r="B3934" s="26"/>
      <c r="C3934" s="26"/>
      <c r="D3934" s="26"/>
      <c r="E3934" s="26"/>
      <c r="F3934" s="28"/>
      <c r="G3934" s="26"/>
      <c r="H3934" s="32"/>
      <c r="I3934" s="32"/>
      <c r="J3934" s="32"/>
      <c r="K3934" s="32"/>
      <c r="L3934" s="32" t="e">
        <f ca="1">_xludf.ifna(VLOOKUP(E3934,Parámetros!$D$2:$E$34,2,0),"")</f>
        <v>#NAME?</v>
      </c>
      <c r="M3934" s="32" t="e">
        <f ca="1">_xludf.ifna(VLOOKUP(G3934,Proyectos!$A$2:$T$674,20,0),"")</f>
        <v>#NAME?</v>
      </c>
      <c r="N3934" s="32" t="e">
        <f ca="1">_xludf.ifna(VLOOKUP(G3934,Proyectos!$A$2:$S$674,19,0))</f>
        <v>#NAME?</v>
      </c>
      <c r="O3934" s="32"/>
      <c r="P3934" s="32"/>
      <c r="Q3934" s="33"/>
      <c r="R3934" s="33"/>
      <c r="S3934" s="33"/>
      <c r="T3934" s="63"/>
      <c r="U3934" s="33"/>
      <c r="V3934" s="33"/>
      <c r="W3934" s="33"/>
    </row>
    <row r="3935" spans="1:23" ht="16.5" customHeight="1" x14ac:dyDescent="0.2">
      <c r="A3935" s="26"/>
      <c r="B3935" s="26"/>
      <c r="C3935" s="26"/>
      <c r="D3935" s="26"/>
      <c r="E3935" s="26"/>
      <c r="F3935" s="28"/>
      <c r="G3935" s="26"/>
      <c r="H3935" s="32"/>
      <c r="I3935" s="32"/>
      <c r="J3935" s="32"/>
      <c r="K3935" s="32"/>
      <c r="L3935" s="32" t="e">
        <f ca="1">_xludf.ifna(VLOOKUP(E3935,Parámetros!$D$2:$E$34,2,0),"")</f>
        <v>#NAME?</v>
      </c>
      <c r="M3935" s="32" t="e">
        <f ca="1">_xludf.ifna(VLOOKUP(G3935,Proyectos!$A$2:$T$674,20,0),"")</f>
        <v>#NAME?</v>
      </c>
      <c r="N3935" s="32" t="e">
        <f ca="1">_xludf.ifna(VLOOKUP(G3935,Proyectos!$A$2:$S$674,19,0))</f>
        <v>#NAME?</v>
      </c>
      <c r="O3935" s="32"/>
      <c r="P3935" s="32"/>
      <c r="Q3935" s="33"/>
      <c r="R3935" s="33"/>
      <c r="S3935" s="33"/>
      <c r="T3935" s="63"/>
      <c r="U3935" s="33"/>
      <c r="V3935" s="33"/>
      <c r="W3935" s="33"/>
    </row>
    <row r="3936" spans="1:23" ht="16.5" customHeight="1" x14ac:dyDescent="0.2">
      <c r="A3936" s="26"/>
      <c r="B3936" s="26"/>
      <c r="C3936" s="26"/>
      <c r="D3936" s="26"/>
      <c r="E3936" s="26"/>
      <c r="F3936" s="28"/>
      <c r="G3936" s="26"/>
      <c r="H3936" s="32"/>
      <c r="I3936" s="32"/>
      <c r="J3936" s="32"/>
      <c r="K3936" s="32"/>
      <c r="L3936" s="32" t="e">
        <f ca="1">_xludf.ifna(VLOOKUP(E3936,Parámetros!$D$2:$E$34,2,0),"")</f>
        <v>#NAME?</v>
      </c>
      <c r="M3936" s="32" t="e">
        <f ca="1">_xludf.ifna(VLOOKUP(G3936,Proyectos!$A$2:$T$674,20,0),"")</f>
        <v>#NAME?</v>
      </c>
      <c r="N3936" s="32" t="e">
        <f ca="1">_xludf.ifna(VLOOKUP(G3936,Proyectos!$A$2:$S$674,19,0))</f>
        <v>#NAME?</v>
      </c>
      <c r="O3936" s="32"/>
      <c r="P3936" s="32"/>
      <c r="Q3936" s="33"/>
      <c r="R3936" s="33"/>
      <c r="S3936" s="33"/>
      <c r="T3936" s="63"/>
      <c r="U3936" s="33"/>
      <c r="V3936" s="33"/>
      <c r="W3936" s="33"/>
    </row>
    <row r="3937" spans="1:23" ht="16.5" customHeight="1" x14ac:dyDescent="0.2">
      <c r="A3937" s="26"/>
      <c r="B3937" s="26"/>
      <c r="C3937" s="26"/>
      <c r="D3937" s="26"/>
      <c r="E3937" s="26"/>
      <c r="F3937" s="28"/>
      <c r="G3937" s="26"/>
      <c r="H3937" s="32"/>
      <c r="I3937" s="32"/>
      <c r="J3937" s="32"/>
      <c r="K3937" s="32"/>
      <c r="L3937" s="32" t="e">
        <f ca="1">_xludf.ifna(VLOOKUP(E3937,Parámetros!$D$2:$E$34,2,0),"")</f>
        <v>#NAME?</v>
      </c>
      <c r="M3937" s="32" t="e">
        <f ca="1">_xludf.ifna(VLOOKUP(G3937,Proyectos!$A$2:$T$674,20,0),"")</f>
        <v>#NAME?</v>
      </c>
      <c r="N3937" s="32" t="e">
        <f ca="1">_xludf.ifna(VLOOKUP(G3937,Proyectos!$A$2:$S$674,19,0))</f>
        <v>#NAME?</v>
      </c>
      <c r="O3937" s="32"/>
      <c r="P3937" s="32"/>
      <c r="Q3937" s="33"/>
      <c r="R3937" s="33"/>
      <c r="S3937" s="33"/>
      <c r="T3937" s="63"/>
      <c r="U3937" s="33"/>
      <c r="V3937" s="33"/>
      <c r="W3937" s="33"/>
    </row>
    <row r="3938" spans="1:23" ht="16.5" customHeight="1" x14ac:dyDescent="0.2">
      <c r="A3938" s="26"/>
      <c r="B3938" s="26"/>
      <c r="C3938" s="26"/>
      <c r="D3938" s="26"/>
      <c r="E3938" s="26"/>
      <c r="F3938" s="28"/>
      <c r="G3938" s="26"/>
      <c r="H3938" s="32"/>
      <c r="I3938" s="32"/>
      <c r="J3938" s="32"/>
      <c r="K3938" s="32"/>
      <c r="L3938" s="32" t="e">
        <f ca="1">_xludf.ifna(VLOOKUP(E3938,Parámetros!$D$2:$E$34,2,0),"")</f>
        <v>#NAME?</v>
      </c>
      <c r="M3938" s="32" t="e">
        <f ca="1">_xludf.ifna(VLOOKUP(G3938,Proyectos!$A$2:$T$674,20,0),"")</f>
        <v>#NAME?</v>
      </c>
      <c r="N3938" s="32" t="e">
        <f ca="1">_xludf.ifna(VLOOKUP(G3938,Proyectos!$A$2:$S$674,19,0))</f>
        <v>#NAME?</v>
      </c>
      <c r="O3938" s="32"/>
      <c r="P3938" s="32"/>
      <c r="Q3938" s="33"/>
      <c r="R3938" s="33"/>
      <c r="S3938" s="33"/>
      <c r="T3938" s="63"/>
      <c r="U3938" s="33"/>
      <c r="V3938" s="33"/>
      <c r="W3938" s="33"/>
    </row>
    <row r="3939" spans="1:23" ht="16.5" customHeight="1" x14ac:dyDescent="0.2">
      <c r="A3939" s="26"/>
      <c r="B3939" s="26"/>
      <c r="C3939" s="26"/>
      <c r="D3939" s="26"/>
      <c r="E3939" s="26"/>
      <c r="F3939" s="28"/>
      <c r="G3939" s="26"/>
      <c r="H3939" s="32"/>
      <c r="I3939" s="32"/>
      <c r="J3939" s="32"/>
      <c r="K3939" s="32"/>
      <c r="L3939" s="32" t="e">
        <f ca="1">_xludf.ifna(VLOOKUP(E3939,Parámetros!$D$2:$E$34,2,0),"")</f>
        <v>#NAME?</v>
      </c>
      <c r="M3939" s="32" t="e">
        <f ca="1">_xludf.ifna(VLOOKUP(G3939,Proyectos!$A$2:$T$674,20,0),"")</f>
        <v>#NAME?</v>
      </c>
      <c r="N3939" s="32" t="e">
        <f ca="1">_xludf.ifna(VLOOKUP(G3939,Proyectos!$A$2:$S$674,19,0))</f>
        <v>#NAME?</v>
      </c>
      <c r="O3939" s="32"/>
      <c r="P3939" s="32"/>
      <c r="Q3939" s="33"/>
      <c r="R3939" s="33"/>
      <c r="S3939" s="33"/>
      <c r="T3939" s="63"/>
      <c r="U3939" s="33"/>
      <c r="V3939" s="33"/>
      <c r="W3939" s="33"/>
    </row>
    <row r="3940" spans="1:23" ht="16.5" customHeight="1" x14ac:dyDescent="0.2">
      <c r="A3940" s="26"/>
      <c r="B3940" s="26"/>
      <c r="C3940" s="26"/>
      <c r="D3940" s="26"/>
      <c r="E3940" s="26"/>
      <c r="F3940" s="28"/>
      <c r="G3940" s="26"/>
      <c r="H3940" s="32"/>
      <c r="I3940" s="32"/>
      <c r="J3940" s="32"/>
      <c r="K3940" s="32"/>
      <c r="L3940" s="32" t="e">
        <f ca="1">_xludf.ifna(VLOOKUP(E3940,Parámetros!$D$2:$E$34,2,0),"")</f>
        <v>#NAME?</v>
      </c>
      <c r="M3940" s="32" t="e">
        <f ca="1">_xludf.ifna(VLOOKUP(G3940,Proyectos!$A$2:$T$674,20,0),"")</f>
        <v>#NAME?</v>
      </c>
      <c r="N3940" s="32" t="e">
        <f ca="1">_xludf.ifna(VLOOKUP(G3940,Proyectos!$A$2:$S$674,19,0))</f>
        <v>#NAME?</v>
      </c>
      <c r="O3940" s="32"/>
      <c r="P3940" s="32"/>
      <c r="Q3940" s="33"/>
      <c r="R3940" s="33"/>
      <c r="S3940" s="33"/>
      <c r="T3940" s="63"/>
      <c r="U3940" s="33"/>
      <c r="V3940" s="33"/>
      <c r="W3940" s="33"/>
    </row>
    <row r="3941" spans="1:23" ht="16.5" customHeight="1" x14ac:dyDescent="0.2">
      <c r="A3941" s="26"/>
      <c r="B3941" s="26"/>
      <c r="C3941" s="26"/>
      <c r="D3941" s="26"/>
      <c r="E3941" s="26"/>
      <c r="F3941" s="28"/>
      <c r="G3941" s="26"/>
      <c r="H3941" s="32"/>
      <c r="I3941" s="32"/>
      <c r="J3941" s="32"/>
      <c r="K3941" s="32"/>
      <c r="L3941" s="32" t="e">
        <f ca="1">_xludf.ifna(VLOOKUP(E3941,Parámetros!$D$2:$E$34,2,0),"")</f>
        <v>#NAME?</v>
      </c>
      <c r="M3941" s="32" t="e">
        <f ca="1">_xludf.ifna(VLOOKUP(G3941,Proyectos!$A$2:$T$674,20,0),"")</f>
        <v>#NAME?</v>
      </c>
      <c r="N3941" s="32" t="e">
        <f ca="1">_xludf.ifna(VLOOKUP(G3941,Proyectos!$A$2:$S$674,19,0))</f>
        <v>#NAME?</v>
      </c>
      <c r="O3941" s="32"/>
      <c r="P3941" s="32"/>
      <c r="Q3941" s="33"/>
      <c r="R3941" s="33"/>
      <c r="S3941" s="33"/>
      <c r="T3941" s="63"/>
      <c r="U3941" s="33"/>
      <c r="V3941" s="33"/>
      <c r="W3941" s="33"/>
    </row>
    <row r="3942" spans="1:23" ht="16.5" customHeight="1" x14ac:dyDescent="0.2">
      <c r="A3942" s="26"/>
      <c r="B3942" s="26"/>
      <c r="C3942" s="26"/>
      <c r="D3942" s="26"/>
      <c r="E3942" s="26"/>
      <c r="F3942" s="28"/>
      <c r="G3942" s="26"/>
      <c r="H3942" s="32"/>
      <c r="I3942" s="32"/>
      <c r="J3942" s="32"/>
      <c r="K3942" s="32"/>
      <c r="L3942" s="32" t="e">
        <f ca="1">_xludf.ifna(VLOOKUP(E3942,Parámetros!$D$2:$E$34,2,0),"")</f>
        <v>#NAME?</v>
      </c>
      <c r="M3942" s="32" t="e">
        <f ca="1">_xludf.ifna(VLOOKUP(G3942,Proyectos!$A$2:$T$674,20,0),"")</f>
        <v>#NAME?</v>
      </c>
      <c r="N3942" s="32" t="e">
        <f ca="1">_xludf.ifna(VLOOKUP(G3942,Proyectos!$A$2:$S$674,19,0))</f>
        <v>#NAME?</v>
      </c>
      <c r="O3942" s="32"/>
      <c r="P3942" s="32"/>
      <c r="Q3942" s="33"/>
      <c r="R3942" s="33"/>
      <c r="S3942" s="33"/>
      <c r="T3942" s="63"/>
      <c r="U3942" s="33"/>
      <c r="V3942" s="33"/>
      <c r="W3942" s="33"/>
    </row>
    <row r="3943" spans="1:23" ht="16.5" customHeight="1" x14ac:dyDescent="0.2">
      <c r="A3943" s="26"/>
      <c r="B3943" s="26"/>
      <c r="C3943" s="26"/>
      <c r="D3943" s="26"/>
      <c r="E3943" s="26"/>
      <c r="F3943" s="28"/>
      <c r="G3943" s="26"/>
      <c r="H3943" s="32"/>
      <c r="I3943" s="32"/>
      <c r="J3943" s="32"/>
      <c r="K3943" s="32"/>
      <c r="L3943" s="32" t="e">
        <f ca="1">_xludf.ifna(VLOOKUP(E3943,Parámetros!$D$2:$E$34,2,0),"")</f>
        <v>#NAME?</v>
      </c>
      <c r="M3943" s="32" t="e">
        <f ca="1">_xludf.ifna(VLOOKUP(G3943,Proyectos!$A$2:$T$674,20,0),"")</f>
        <v>#NAME?</v>
      </c>
      <c r="N3943" s="32" t="e">
        <f ca="1">_xludf.ifna(VLOOKUP(G3943,Proyectos!$A$2:$S$674,19,0))</f>
        <v>#NAME?</v>
      </c>
      <c r="O3943" s="32"/>
      <c r="P3943" s="32"/>
      <c r="Q3943" s="33"/>
      <c r="R3943" s="33"/>
      <c r="S3943" s="33"/>
      <c r="T3943" s="63"/>
      <c r="U3943" s="33"/>
      <c r="V3943" s="33"/>
      <c r="W3943" s="33"/>
    </row>
    <row r="3944" spans="1:23" ht="16.5" customHeight="1" x14ac:dyDescent="0.2">
      <c r="A3944" s="26"/>
      <c r="B3944" s="26"/>
      <c r="C3944" s="26"/>
      <c r="D3944" s="26"/>
      <c r="E3944" s="26"/>
      <c r="F3944" s="28"/>
      <c r="G3944" s="26"/>
      <c r="H3944" s="32"/>
      <c r="I3944" s="32"/>
      <c r="J3944" s="32"/>
      <c r="K3944" s="32"/>
      <c r="L3944" s="32" t="e">
        <f ca="1">_xludf.ifna(VLOOKUP(E3944,Parámetros!$D$2:$E$34,2,0),"")</f>
        <v>#NAME?</v>
      </c>
      <c r="M3944" s="32" t="e">
        <f ca="1">_xludf.ifna(VLOOKUP(G3944,Proyectos!$A$2:$T$674,20,0),"")</f>
        <v>#NAME?</v>
      </c>
      <c r="N3944" s="32" t="e">
        <f ca="1">_xludf.ifna(VLOOKUP(G3944,Proyectos!$A$2:$S$674,19,0))</f>
        <v>#NAME?</v>
      </c>
      <c r="O3944" s="32"/>
      <c r="P3944" s="32"/>
      <c r="Q3944" s="33"/>
      <c r="R3944" s="33"/>
      <c r="S3944" s="33"/>
      <c r="T3944" s="63"/>
      <c r="U3944" s="33"/>
      <c r="V3944" s="33"/>
      <c r="W3944" s="33"/>
    </row>
    <row r="3945" spans="1:23" ht="16.5" customHeight="1" x14ac:dyDescent="0.2">
      <c r="A3945" s="26"/>
      <c r="B3945" s="26"/>
      <c r="C3945" s="26"/>
      <c r="D3945" s="26"/>
      <c r="E3945" s="26"/>
      <c r="F3945" s="28"/>
      <c r="G3945" s="26"/>
      <c r="H3945" s="32"/>
      <c r="I3945" s="32"/>
      <c r="J3945" s="32"/>
      <c r="K3945" s="32"/>
      <c r="L3945" s="32" t="e">
        <f ca="1">_xludf.ifna(VLOOKUP(E3945,Parámetros!$D$2:$E$34,2,0),"")</f>
        <v>#NAME?</v>
      </c>
      <c r="M3945" s="32" t="e">
        <f ca="1">_xludf.ifna(VLOOKUP(G3945,Proyectos!$A$2:$T$674,20,0),"")</f>
        <v>#NAME?</v>
      </c>
      <c r="N3945" s="32" t="e">
        <f ca="1">_xludf.ifna(VLOOKUP(G3945,Proyectos!$A$2:$S$674,19,0))</f>
        <v>#NAME?</v>
      </c>
      <c r="O3945" s="32"/>
      <c r="P3945" s="32"/>
      <c r="Q3945" s="33"/>
      <c r="R3945" s="33"/>
      <c r="S3945" s="33"/>
      <c r="T3945" s="63"/>
      <c r="U3945" s="33"/>
      <c r="V3945" s="33"/>
      <c r="W3945" s="33"/>
    </row>
    <row r="3946" spans="1:23" ht="16.5" customHeight="1" x14ac:dyDescent="0.2">
      <c r="A3946" s="26"/>
      <c r="B3946" s="26"/>
      <c r="C3946" s="26"/>
      <c r="D3946" s="26"/>
      <c r="E3946" s="26"/>
      <c r="F3946" s="28"/>
      <c r="G3946" s="26"/>
      <c r="H3946" s="32"/>
      <c r="I3946" s="32"/>
      <c r="J3946" s="32"/>
      <c r="K3946" s="32"/>
      <c r="L3946" s="32" t="e">
        <f ca="1">_xludf.ifna(VLOOKUP(E3946,Parámetros!$D$2:$E$34,2,0),"")</f>
        <v>#NAME?</v>
      </c>
      <c r="M3946" s="32" t="e">
        <f ca="1">_xludf.ifna(VLOOKUP(G3946,Proyectos!$A$2:$T$674,20,0),"")</f>
        <v>#NAME?</v>
      </c>
      <c r="N3946" s="32" t="e">
        <f ca="1">_xludf.ifna(VLOOKUP(G3946,Proyectos!$A$2:$S$674,19,0))</f>
        <v>#NAME?</v>
      </c>
      <c r="O3946" s="32"/>
      <c r="P3946" s="32"/>
      <c r="Q3946" s="33"/>
      <c r="R3946" s="33"/>
      <c r="S3946" s="33"/>
      <c r="T3946" s="63"/>
      <c r="U3946" s="33"/>
      <c r="V3946" s="33"/>
      <c r="W3946" s="33"/>
    </row>
    <row r="3947" spans="1:23" ht="16.5" customHeight="1" x14ac:dyDescent="0.2">
      <c r="A3947" s="26"/>
      <c r="B3947" s="26"/>
      <c r="C3947" s="26"/>
      <c r="D3947" s="26"/>
      <c r="E3947" s="26"/>
      <c r="F3947" s="28"/>
      <c r="G3947" s="26"/>
      <c r="H3947" s="32"/>
      <c r="I3947" s="32"/>
      <c r="J3947" s="32"/>
      <c r="K3947" s="32"/>
      <c r="L3947" s="32" t="e">
        <f ca="1">_xludf.ifna(VLOOKUP(E3947,Parámetros!$D$2:$E$34,2,0),"")</f>
        <v>#NAME?</v>
      </c>
      <c r="M3947" s="32" t="e">
        <f ca="1">_xludf.ifna(VLOOKUP(G3947,Proyectos!$A$2:$T$674,20,0),"")</f>
        <v>#NAME?</v>
      </c>
      <c r="N3947" s="32" t="e">
        <f ca="1">_xludf.ifna(VLOOKUP(G3947,Proyectos!$A$2:$S$674,19,0))</f>
        <v>#NAME?</v>
      </c>
      <c r="O3947" s="32"/>
      <c r="P3947" s="32"/>
      <c r="Q3947" s="33"/>
      <c r="R3947" s="33"/>
      <c r="S3947" s="33"/>
      <c r="T3947" s="63"/>
      <c r="U3947" s="33"/>
      <c r="V3947" s="33"/>
      <c r="W3947" s="33"/>
    </row>
    <row r="3948" spans="1:23" ht="16.5" customHeight="1" x14ac:dyDescent="0.2">
      <c r="A3948" s="26"/>
      <c r="B3948" s="26"/>
      <c r="C3948" s="26"/>
      <c r="D3948" s="26"/>
      <c r="E3948" s="26"/>
      <c r="F3948" s="28"/>
      <c r="G3948" s="26"/>
      <c r="H3948" s="32"/>
      <c r="I3948" s="32"/>
      <c r="J3948" s="32"/>
      <c r="K3948" s="32"/>
      <c r="L3948" s="32" t="e">
        <f ca="1">_xludf.ifna(VLOOKUP(E3948,Parámetros!$D$2:$E$34,2,0),"")</f>
        <v>#NAME?</v>
      </c>
      <c r="M3948" s="32" t="e">
        <f ca="1">_xludf.ifna(VLOOKUP(G3948,Proyectos!$A$2:$T$674,20,0),"")</f>
        <v>#NAME?</v>
      </c>
      <c r="N3948" s="32" t="e">
        <f ca="1">_xludf.ifna(VLOOKUP(G3948,Proyectos!$A$2:$S$674,19,0))</f>
        <v>#NAME?</v>
      </c>
      <c r="O3948" s="32"/>
      <c r="P3948" s="32"/>
      <c r="Q3948" s="33"/>
      <c r="R3948" s="33"/>
      <c r="S3948" s="33"/>
      <c r="T3948" s="63"/>
      <c r="U3948" s="33"/>
      <c r="V3948" s="33"/>
      <c r="W3948" s="33"/>
    </row>
    <row r="3949" spans="1:23" ht="16.5" customHeight="1" x14ac:dyDescent="0.2">
      <c r="A3949" s="26"/>
      <c r="B3949" s="26"/>
      <c r="C3949" s="26"/>
      <c r="D3949" s="26"/>
      <c r="E3949" s="26"/>
      <c r="F3949" s="28"/>
      <c r="G3949" s="26"/>
      <c r="H3949" s="32"/>
      <c r="I3949" s="32"/>
      <c r="J3949" s="32"/>
      <c r="K3949" s="32"/>
      <c r="L3949" s="32" t="e">
        <f ca="1">_xludf.ifna(VLOOKUP(E3949,Parámetros!$D$2:$E$34,2,0),"")</f>
        <v>#NAME?</v>
      </c>
      <c r="M3949" s="32" t="e">
        <f ca="1">_xludf.ifna(VLOOKUP(G3949,Proyectos!$A$2:$T$674,20,0),"")</f>
        <v>#NAME?</v>
      </c>
      <c r="N3949" s="32" t="e">
        <f ca="1">_xludf.ifna(VLOOKUP(G3949,Proyectos!$A$2:$S$674,19,0))</f>
        <v>#NAME?</v>
      </c>
      <c r="O3949" s="32"/>
      <c r="P3949" s="32"/>
      <c r="Q3949" s="33"/>
      <c r="R3949" s="33"/>
      <c r="S3949" s="33"/>
      <c r="T3949" s="63"/>
      <c r="U3949" s="33"/>
      <c r="V3949" s="33"/>
      <c r="W3949" s="33"/>
    </row>
    <row r="3950" spans="1:23" ht="16.5" customHeight="1" x14ac:dyDescent="0.2">
      <c r="A3950" s="26"/>
      <c r="B3950" s="26"/>
      <c r="C3950" s="26"/>
      <c r="D3950" s="26"/>
      <c r="E3950" s="26"/>
      <c r="F3950" s="28"/>
      <c r="G3950" s="26"/>
      <c r="H3950" s="32"/>
      <c r="I3950" s="32"/>
      <c r="J3950" s="32"/>
      <c r="K3950" s="32"/>
      <c r="L3950" s="32" t="e">
        <f ca="1">_xludf.ifna(VLOOKUP(E3950,Parámetros!$D$2:$E$34,2,0),"")</f>
        <v>#NAME?</v>
      </c>
      <c r="M3950" s="32" t="e">
        <f ca="1">_xludf.ifna(VLOOKUP(G3950,Proyectos!$A$2:$T$674,20,0),"")</f>
        <v>#NAME?</v>
      </c>
      <c r="N3950" s="32" t="e">
        <f ca="1">_xludf.ifna(VLOOKUP(G3950,Proyectos!$A$2:$S$674,19,0))</f>
        <v>#NAME?</v>
      </c>
      <c r="O3950" s="32"/>
      <c r="P3950" s="32"/>
      <c r="Q3950" s="33"/>
      <c r="R3950" s="33"/>
      <c r="S3950" s="33"/>
      <c r="T3950" s="63"/>
      <c r="U3950" s="33"/>
      <c r="V3950" s="33"/>
      <c r="W3950" s="33"/>
    </row>
    <row r="3951" spans="1:23" ht="16.5" customHeight="1" x14ac:dyDescent="0.2">
      <c r="A3951" s="26"/>
      <c r="B3951" s="26"/>
      <c r="C3951" s="26"/>
      <c r="D3951" s="26"/>
      <c r="E3951" s="26"/>
      <c r="F3951" s="28"/>
      <c r="G3951" s="26"/>
      <c r="H3951" s="32"/>
      <c r="I3951" s="32"/>
      <c r="J3951" s="32"/>
      <c r="K3951" s="32"/>
      <c r="L3951" s="32" t="e">
        <f ca="1">_xludf.ifna(VLOOKUP(E3951,Parámetros!$D$2:$E$34,2,0),"")</f>
        <v>#NAME?</v>
      </c>
      <c r="M3951" s="32" t="e">
        <f ca="1">_xludf.ifna(VLOOKUP(G3951,Proyectos!$A$2:$T$674,20,0),"")</f>
        <v>#NAME?</v>
      </c>
      <c r="N3951" s="32" t="e">
        <f ca="1">_xludf.ifna(VLOOKUP(G3951,Proyectos!$A$2:$S$674,19,0))</f>
        <v>#NAME?</v>
      </c>
      <c r="O3951" s="32"/>
      <c r="P3951" s="32"/>
      <c r="Q3951" s="33"/>
      <c r="R3951" s="33"/>
      <c r="S3951" s="33"/>
      <c r="T3951" s="63"/>
      <c r="U3951" s="33"/>
      <c r="V3951" s="33"/>
      <c r="W3951" s="33"/>
    </row>
    <row r="3952" spans="1:23" ht="16.5" customHeight="1" x14ac:dyDescent="0.2">
      <c r="A3952" s="26"/>
      <c r="B3952" s="26"/>
      <c r="C3952" s="26"/>
      <c r="D3952" s="26"/>
      <c r="E3952" s="26"/>
      <c r="F3952" s="28"/>
      <c r="G3952" s="26"/>
      <c r="H3952" s="32"/>
      <c r="I3952" s="32"/>
      <c r="J3952" s="32"/>
      <c r="K3952" s="32"/>
      <c r="L3952" s="32" t="e">
        <f ca="1">_xludf.ifna(VLOOKUP(E3952,Parámetros!$D$2:$E$34,2,0),"")</f>
        <v>#NAME?</v>
      </c>
      <c r="M3952" s="32" t="e">
        <f ca="1">_xludf.ifna(VLOOKUP(G3952,Proyectos!$A$2:$T$674,20,0),"")</f>
        <v>#NAME?</v>
      </c>
      <c r="N3952" s="32" t="e">
        <f ca="1">_xludf.ifna(VLOOKUP(G3952,Proyectos!$A$2:$S$674,19,0))</f>
        <v>#NAME?</v>
      </c>
      <c r="O3952" s="32"/>
      <c r="P3952" s="32"/>
      <c r="Q3952" s="33"/>
      <c r="R3952" s="33"/>
      <c r="S3952" s="33"/>
      <c r="T3952" s="63"/>
      <c r="U3952" s="33"/>
      <c r="V3952" s="33"/>
      <c r="W3952" s="33"/>
    </row>
    <row r="3953" spans="1:23" ht="16.5" customHeight="1" x14ac:dyDescent="0.2">
      <c r="A3953" s="26"/>
      <c r="B3953" s="26"/>
      <c r="C3953" s="26"/>
      <c r="D3953" s="26"/>
      <c r="E3953" s="26"/>
      <c r="F3953" s="28"/>
      <c r="G3953" s="26"/>
      <c r="H3953" s="32"/>
      <c r="I3953" s="32"/>
      <c r="J3953" s="32"/>
      <c r="K3953" s="32"/>
      <c r="L3953" s="32" t="e">
        <f ca="1">_xludf.ifna(VLOOKUP(E3953,Parámetros!$D$2:$E$34,2,0),"")</f>
        <v>#NAME?</v>
      </c>
      <c r="M3953" s="32" t="e">
        <f ca="1">_xludf.ifna(VLOOKUP(G3953,Proyectos!$A$2:$T$674,20,0),"")</f>
        <v>#NAME?</v>
      </c>
      <c r="N3953" s="32" t="e">
        <f ca="1">_xludf.ifna(VLOOKUP(G3953,Proyectos!$A$2:$S$674,19,0))</f>
        <v>#NAME?</v>
      </c>
      <c r="O3953" s="32"/>
      <c r="P3953" s="32"/>
      <c r="Q3953" s="33"/>
      <c r="R3953" s="33"/>
      <c r="S3953" s="33"/>
      <c r="T3953" s="63"/>
      <c r="U3953" s="33"/>
      <c r="V3953" s="33"/>
      <c r="W3953" s="33"/>
    </row>
    <row r="3954" spans="1:23" ht="16.5" customHeight="1" x14ac:dyDescent="0.2">
      <c r="A3954" s="26"/>
      <c r="B3954" s="26"/>
      <c r="C3954" s="26"/>
      <c r="D3954" s="26"/>
      <c r="E3954" s="26"/>
      <c r="F3954" s="28"/>
      <c r="G3954" s="26"/>
      <c r="H3954" s="32"/>
      <c r="I3954" s="32"/>
      <c r="J3954" s="32"/>
      <c r="K3954" s="32"/>
      <c r="L3954" s="32" t="e">
        <f ca="1">_xludf.ifna(VLOOKUP(E3954,Parámetros!$D$2:$E$34,2,0),"")</f>
        <v>#NAME?</v>
      </c>
      <c r="M3954" s="32" t="e">
        <f ca="1">_xludf.ifna(VLOOKUP(G3954,Proyectos!$A$2:$T$674,20,0),"")</f>
        <v>#NAME?</v>
      </c>
      <c r="N3954" s="32" t="e">
        <f ca="1">_xludf.ifna(VLOOKUP(G3954,Proyectos!$A$2:$S$674,19,0))</f>
        <v>#NAME?</v>
      </c>
      <c r="O3954" s="32"/>
      <c r="P3954" s="32"/>
      <c r="Q3954" s="33"/>
      <c r="R3954" s="33"/>
      <c r="S3954" s="33"/>
      <c r="T3954" s="63"/>
      <c r="U3954" s="33"/>
      <c r="V3954" s="33"/>
      <c r="W3954" s="33"/>
    </row>
    <row r="3955" spans="1:23" ht="16.5" customHeight="1" x14ac:dyDescent="0.2">
      <c r="A3955" s="26"/>
      <c r="B3955" s="26"/>
      <c r="C3955" s="26"/>
      <c r="D3955" s="26"/>
      <c r="E3955" s="26"/>
      <c r="F3955" s="28"/>
      <c r="G3955" s="26"/>
      <c r="H3955" s="32"/>
      <c r="I3955" s="32"/>
      <c r="J3955" s="32"/>
      <c r="K3955" s="32"/>
      <c r="L3955" s="32" t="e">
        <f ca="1">_xludf.ifna(VLOOKUP(E3955,Parámetros!$D$2:$E$34,2,0),"")</f>
        <v>#NAME?</v>
      </c>
      <c r="M3955" s="32" t="e">
        <f ca="1">_xludf.ifna(VLOOKUP(G3955,Proyectos!$A$2:$T$674,20,0),"")</f>
        <v>#NAME?</v>
      </c>
      <c r="N3955" s="32" t="e">
        <f ca="1">_xludf.ifna(VLOOKUP(G3955,Proyectos!$A$2:$S$674,19,0))</f>
        <v>#NAME?</v>
      </c>
      <c r="O3955" s="32"/>
      <c r="P3955" s="32"/>
      <c r="Q3955" s="33"/>
      <c r="R3955" s="33"/>
      <c r="S3955" s="33"/>
      <c r="T3955" s="63"/>
      <c r="U3955" s="33"/>
      <c r="V3955" s="33"/>
      <c r="W3955" s="33"/>
    </row>
    <row r="3956" spans="1:23" ht="16.5" customHeight="1" x14ac:dyDescent="0.2">
      <c r="A3956" s="26"/>
      <c r="B3956" s="26"/>
      <c r="C3956" s="26"/>
      <c r="D3956" s="26"/>
      <c r="E3956" s="26"/>
      <c r="F3956" s="28"/>
      <c r="G3956" s="26"/>
      <c r="H3956" s="32"/>
      <c r="I3956" s="32"/>
      <c r="J3956" s="32"/>
      <c r="K3956" s="32"/>
      <c r="L3956" s="32" t="e">
        <f ca="1">_xludf.ifna(VLOOKUP(E3956,Parámetros!$D$2:$E$34,2,0),"")</f>
        <v>#NAME?</v>
      </c>
      <c r="M3956" s="32" t="e">
        <f ca="1">_xludf.ifna(VLOOKUP(G3956,Proyectos!$A$2:$T$674,20,0),"")</f>
        <v>#NAME?</v>
      </c>
      <c r="N3956" s="32" t="e">
        <f ca="1">_xludf.ifna(VLOOKUP(G3956,Proyectos!$A$2:$S$674,19,0))</f>
        <v>#NAME?</v>
      </c>
      <c r="O3956" s="32"/>
      <c r="P3956" s="32"/>
      <c r="Q3956" s="33"/>
      <c r="R3956" s="33"/>
      <c r="S3956" s="33"/>
      <c r="T3956" s="63"/>
      <c r="U3956" s="33"/>
      <c r="V3956" s="33"/>
      <c r="W3956" s="33"/>
    </row>
    <row r="3957" spans="1:23" ht="16.5" customHeight="1" x14ac:dyDescent="0.2">
      <c r="A3957" s="26"/>
      <c r="B3957" s="26"/>
      <c r="C3957" s="26"/>
      <c r="D3957" s="26"/>
      <c r="E3957" s="26"/>
      <c r="F3957" s="28"/>
      <c r="G3957" s="26"/>
      <c r="H3957" s="32"/>
      <c r="I3957" s="32"/>
      <c r="J3957" s="32"/>
      <c r="K3957" s="32"/>
      <c r="L3957" s="32" t="e">
        <f ca="1">_xludf.ifna(VLOOKUP(E3957,Parámetros!$D$2:$E$34,2,0),"")</f>
        <v>#NAME?</v>
      </c>
      <c r="M3957" s="32" t="e">
        <f ca="1">_xludf.ifna(VLOOKUP(G3957,Proyectos!$A$2:$T$674,20,0),"")</f>
        <v>#NAME?</v>
      </c>
      <c r="N3957" s="32" t="e">
        <f ca="1">_xludf.ifna(VLOOKUP(G3957,Proyectos!$A$2:$S$674,19,0))</f>
        <v>#NAME?</v>
      </c>
      <c r="O3957" s="32"/>
      <c r="P3957" s="32"/>
      <c r="Q3957" s="33"/>
      <c r="R3957" s="33"/>
      <c r="S3957" s="33"/>
      <c r="T3957" s="63"/>
      <c r="U3957" s="33"/>
      <c r="V3957" s="33"/>
      <c r="W3957" s="33"/>
    </row>
    <row r="3958" spans="1:23" ht="16.5" customHeight="1" x14ac:dyDescent="0.2">
      <c r="A3958" s="26"/>
      <c r="B3958" s="26"/>
      <c r="C3958" s="26"/>
      <c r="D3958" s="26"/>
      <c r="E3958" s="26"/>
      <c r="F3958" s="28"/>
      <c r="G3958" s="26"/>
      <c r="H3958" s="32"/>
      <c r="I3958" s="32"/>
      <c r="J3958" s="32"/>
      <c r="K3958" s="32"/>
      <c r="L3958" s="32" t="e">
        <f ca="1">_xludf.ifna(VLOOKUP(E3958,Parámetros!$D$2:$E$34,2,0),"")</f>
        <v>#NAME?</v>
      </c>
      <c r="M3958" s="32" t="e">
        <f ca="1">_xludf.ifna(VLOOKUP(G3958,Proyectos!$A$2:$T$674,20,0),"")</f>
        <v>#NAME?</v>
      </c>
      <c r="N3958" s="32" t="e">
        <f ca="1">_xludf.ifna(VLOOKUP(G3958,Proyectos!$A$2:$S$674,19,0))</f>
        <v>#NAME?</v>
      </c>
      <c r="O3958" s="32"/>
      <c r="P3958" s="32"/>
      <c r="Q3958" s="33"/>
      <c r="R3958" s="33"/>
      <c r="S3958" s="33"/>
      <c r="T3958" s="63"/>
      <c r="U3958" s="33"/>
      <c r="V3958" s="33"/>
      <c r="W3958" s="33"/>
    </row>
    <row r="3959" spans="1:23" ht="16.5" customHeight="1" x14ac:dyDescent="0.2">
      <c r="A3959" s="26"/>
      <c r="B3959" s="26"/>
      <c r="C3959" s="26"/>
      <c r="D3959" s="26"/>
      <c r="E3959" s="26"/>
      <c r="F3959" s="28"/>
      <c r="G3959" s="26"/>
      <c r="H3959" s="32"/>
      <c r="I3959" s="32"/>
      <c r="J3959" s="32"/>
      <c r="K3959" s="32"/>
      <c r="L3959" s="32" t="e">
        <f ca="1">_xludf.ifna(VLOOKUP(E3959,Parámetros!$D$2:$E$34,2,0),"")</f>
        <v>#NAME?</v>
      </c>
      <c r="M3959" s="32" t="e">
        <f ca="1">_xludf.ifna(VLOOKUP(G3959,Proyectos!$A$2:$T$674,20,0),"")</f>
        <v>#NAME?</v>
      </c>
      <c r="N3959" s="32" t="e">
        <f ca="1">_xludf.ifna(VLOOKUP(G3959,Proyectos!$A$2:$S$674,19,0))</f>
        <v>#NAME?</v>
      </c>
      <c r="O3959" s="32"/>
      <c r="P3959" s="32"/>
      <c r="Q3959" s="33"/>
      <c r="R3959" s="33"/>
      <c r="S3959" s="33"/>
      <c r="T3959" s="63"/>
      <c r="U3959" s="33"/>
      <c r="V3959" s="33"/>
      <c r="W3959" s="33"/>
    </row>
    <row r="3960" spans="1:23" ht="16.5" customHeight="1" x14ac:dyDescent="0.2">
      <c r="A3960" s="26"/>
      <c r="B3960" s="26"/>
      <c r="C3960" s="26"/>
      <c r="D3960" s="26"/>
      <c r="E3960" s="26"/>
      <c r="F3960" s="28"/>
      <c r="G3960" s="26"/>
      <c r="H3960" s="32"/>
      <c r="I3960" s="32"/>
      <c r="J3960" s="32"/>
      <c r="K3960" s="32"/>
      <c r="L3960" s="32" t="e">
        <f ca="1">_xludf.ifna(VLOOKUP(E3960,Parámetros!$D$2:$E$34,2,0),"")</f>
        <v>#NAME?</v>
      </c>
      <c r="M3960" s="32" t="e">
        <f ca="1">_xludf.ifna(VLOOKUP(G3960,Proyectos!$A$2:$T$674,20,0),"")</f>
        <v>#NAME?</v>
      </c>
      <c r="N3960" s="32" t="e">
        <f ca="1">_xludf.ifna(VLOOKUP(G3960,Proyectos!$A$2:$S$674,19,0))</f>
        <v>#NAME?</v>
      </c>
      <c r="O3960" s="32"/>
      <c r="P3960" s="32"/>
      <c r="Q3960" s="33"/>
      <c r="R3960" s="33"/>
      <c r="S3960" s="33"/>
      <c r="T3960" s="63"/>
      <c r="U3960" s="33"/>
      <c r="V3960" s="33"/>
      <c r="W3960" s="33"/>
    </row>
    <row r="3961" spans="1:23" ht="16.5" customHeight="1" x14ac:dyDescent="0.2">
      <c r="A3961" s="26"/>
      <c r="B3961" s="26"/>
      <c r="C3961" s="26"/>
      <c r="D3961" s="26"/>
      <c r="E3961" s="26"/>
      <c r="F3961" s="28"/>
      <c r="G3961" s="26"/>
      <c r="H3961" s="32"/>
      <c r="I3961" s="32"/>
      <c r="J3961" s="32"/>
      <c r="K3961" s="32"/>
      <c r="L3961" s="32" t="e">
        <f ca="1">_xludf.ifna(VLOOKUP(E3961,Parámetros!$D$2:$E$34,2,0),"")</f>
        <v>#NAME?</v>
      </c>
      <c r="M3961" s="32" t="e">
        <f ca="1">_xludf.ifna(VLOOKUP(G3961,Proyectos!$A$2:$T$674,20,0),"")</f>
        <v>#NAME?</v>
      </c>
      <c r="N3961" s="32" t="e">
        <f ca="1">_xludf.ifna(VLOOKUP(G3961,Proyectos!$A$2:$S$674,19,0))</f>
        <v>#NAME?</v>
      </c>
      <c r="O3961" s="32"/>
      <c r="P3961" s="32"/>
      <c r="Q3961" s="33"/>
      <c r="R3961" s="33"/>
      <c r="S3961" s="33"/>
      <c r="T3961" s="63"/>
      <c r="U3961" s="33"/>
      <c r="V3961" s="33"/>
      <c r="W3961" s="33"/>
    </row>
    <row r="3962" spans="1:23" ht="16.5" customHeight="1" x14ac:dyDescent="0.2">
      <c r="A3962" s="26"/>
      <c r="B3962" s="26"/>
      <c r="C3962" s="26"/>
      <c r="D3962" s="26"/>
      <c r="E3962" s="26"/>
      <c r="F3962" s="28"/>
      <c r="G3962" s="26"/>
      <c r="H3962" s="32"/>
      <c r="I3962" s="32"/>
      <c r="J3962" s="32"/>
      <c r="K3962" s="32"/>
      <c r="L3962" s="32" t="e">
        <f ca="1">_xludf.ifna(VLOOKUP(E3962,Parámetros!$D$2:$E$34,2,0),"")</f>
        <v>#NAME?</v>
      </c>
      <c r="M3962" s="32" t="e">
        <f ca="1">_xludf.ifna(VLOOKUP(G3962,Proyectos!$A$2:$T$674,20,0),"")</f>
        <v>#NAME?</v>
      </c>
      <c r="N3962" s="32" t="e">
        <f ca="1">_xludf.ifna(VLOOKUP(G3962,Proyectos!$A$2:$S$674,19,0))</f>
        <v>#NAME?</v>
      </c>
      <c r="O3962" s="32"/>
      <c r="P3962" s="32"/>
      <c r="Q3962" s="33"/>
      <c r="R3962" s="33"/>
      <c r="S3962" s="33"/>
      <c r="T3962" s="63"/>
      <c r="U3962" s="33"/>
      <c r="V3962" s="33"/>
      <c r="W3962" s="33"/>
    </row>
    <row r="3963" spans="1:23" ht="16.5" customHeight="1" x14ac:dyDescent="0.2">
      <c r="A3963" s="26"/>
      <c r="B3963" s="26"/>
      <c r="C3963" s="26"/>
      <c r="D3963" s="26"/>
      <c r="E3963" s="26"/>
      <c r="F3963" s="28"/>
      <c r="G3963" s="26"/>
      <c r="H3963" s="32"/>
      <c r="I3963" s="32"/>
      <c r="J3963" s="32"/>
      <c r="K3963" s="32"/>
      <c r="L3963" s="32" t="e">
        <f ca="1">_xludf.ifna(VLOOKUP(E3963,Parámetros!$D$2:$E$34,2,0),"")</f>
        <v>#NAME?</v>
      </c>
      <c r="M3963" s="32" t="e">
        <f ca="1">_xludf.ifna(VLOOKUP(G3963,Proyectos!$A$2:$T$674,20,0),"")</f>
        <v>#NAME?</v>
      </c>
      <c r="N3963" s="32" t="e">
        <f ca="1">_xludf.ifna(VLOOKUP(G3963,Proyectos!$A$2:$S$674,19,0))</f>
        <v>#NAME?</v>
      </c>
      <c r="O3963" s="32"/>
      <c r="P3963" s="32"/>
      <c r="Q3963" s="33"/>
      <c r="R3963" s="33"/>
      <c r="S3963" s="33"/>
      <c r="T3963" s="63"/>
      <c r="U3963" s="33"/>
      <c r="V3963" s="33"/>
      <c r="W3963" s="33"/>
    </row>
    <row r="3964" spans="1:23" ht="16.5" customHeight="1" x14ac:dyDescent="0.2">
      <c r="A3964" s="26"/>
      <c r="B3964" s="26"/>
      <c r="C3964" s="26"/>
      <c r="D3964" s="26"/>
      <c r="E3964" s="26"/>
      <c r="F3964" s="28"/>
      <c r="G3964" s="26"/>
      <c r="H3964" s="32"/>
      <c r="I3964" s="32"/>
      <c r="J3964" s="32"/>
      <c r="K3964" s="32"/>
      <c r="L3964" s="32" t="e">
        <f ca="1">_xludf.ifna(VLOOKUP(E3964,Parámetros!$D$2:$E$34,2,0),"")</f>
        <v>#NAME?</v>
      </c>
      <c r="M3964" s="32" t="e">
        <f ca="1">_xludf.ifna(VLOOKUP(G3964,Proyectos!$A$2:$T$674,20,0),"")</f>
        <v>#NAME?</v>
      </c>
      <c r="N3964" s="32" t="e">
        <f ca="1">_xludf.ifna(VLOOKUP(G3964,Proyectos!$A$2:$S$674,19,0))</f>
        <v>#NAME?</v>
      </c>
      <c r="O3964" s="32"/>
      <c r="P3964" s="32"/>
      <c r="Q3964" s="33"/>
      <c r="R3964" s="33"/>
      <c r="S3964" s="33"/>
      <c r="T3964" s="63"/>
      <c r="U3964" s="33"/>
      <c r="V3964" s="33"/>
      <c r="W3964" s="33"/>
    </row>
    <row r="3965" spans="1:23" ht="16.5" customHeight="1" x14ac:dyDescent="0.2">
      <c r="A3965" s="26"/>
      <c r="B3965" s="26"/>
      <c r="C3965" s="26"/>
      <c r="D3965" s="26"/>
      <c r="E3965" s="26"/>
      <c r="F3965" s="28"/>
      <c r="G3965" s="26"/>
      <c r="H3965" s="32"/>
      <c r="I3965" s="32"/>
      <c r="J3965" s="32"/>
      <c r="K3965" s="32"/>
      <c r="L3965" s="32" t="e">
        <f ca="1">_xludf.ifna(VLOOKUP(E3965,Parámetros!$D$2:$E$34,2,0),"")</f>
        <v>#NAME?</v>
      </c>
      <c r="M3965" s="32" t="e">
        <f ca="1">_xludf.ifna(VLOOKUP(G3965,Proyectos!$A$2:$T$674,20,0),"")</f>
        <v>#NAME?</v>
      </c>
      <c r="N3965" s="32" t="e">
        <f ca="1">_xludf.ifna(VLOOKUP(G3965,Proyectos!$A$2:$S$674,19,0))</f>
        <v>#NAME?</v>
      </c>
      <c r="O3965" s="32"/>
      <c r="P3965" s="32"/>
      <c r="Q3965" s="33"/>
      <c r="R3965" s="33"/>
      <c r="S3965" s="33"/>
      <c r="T3965" s="63"/>
      <c r="U3965" s="33"/>
      <c r="V3965" s="33"/>
      <c r="W3965" s="33"/>
    </row>
    <row r="3966" spans="1:23" ht="16.5" customHeight="1" x14ac:dyDescent="0.2">
      <c r="A3966" s="26"/>
      <c r="B3966" s="26"/>
      <c r="C3966" s="26"/>
      <c r="D3966" s="26"/>
      <c r="E3966" s="26"/>
      <c r="F3966" s="28"/>
      <c r="G3966" s="26"/>
      <c r="H3966" s="32"/>
      <c r="I3966" s="32"/>
      <c r="J3966" s="32"/>
      <c r="K3966" s="32"/>
      <c r="L3966" s="32" t="e">
        <f ca="1">_xludf.ifna(VLOOKUP(E3966,Parámetros!$D$2:$E$34,2,0),"")</f>
        <v>#NAME?</v>
      </c>
      <c r="M3966" s="32" t="e">
        <f ca="1">_xludf.ifna(VLOOKUP(G3966,Proyectos!$A$2:$T$674,20,0),"")</f>
        <v>#NAME?</v>
      </c>
      <c r="N3966" s="32" t="e">
        <f ca="1">_xludf.ifna(VLOOKUP(G3966,Proyectos!$A$2:$S$674,19,0))</f>
        <v>#NAME?</v>
      </c>
      <c r="O3966" s="32"/>
      <c r="P3966" s="32"/>
      <c r="Q3966" s="33"/>
      <c r="R3966" s="33"/>
      <c r="S3966" s="33"/>
      <c r="T3966" s="63"/>
      <c r="U3966" s="33"/>
      <c r="V3966" s="33"/>
      <c r="W3966" s="33"/>
    </row>
    <row r="3967" spans="1:23" ht="16.5" customHeight="1" x14ac:dyDescent="0.2">
      <c r="A3967" s="26"/>
      <c r="B3967" s="26"/>
      <c r="C3967" s="26"/>
      <c r="D3967" s="26"/>
      <c r="E3967" s="26"/>
      <c r="F3967" s="28"/>
      <c r="G3967" s="26"/>
      <c r="H3967" s="32"/>
      <c r="I3967" s="32"/>
      <c r="J3967" s="32"/>
      <c r="K3967" s="32"/>
      <c r="L3967" s="32" t="e">
        <f ca="1">_xludf.ifna(VLOOKUP(E3967,Parámetros!$D$2:$E$34,2,0),"")</f>
        <v>#NAME?</v>
      </c>
      <c r="M3967" s="32" t="e">
        <f ca="1">_xludf.ifna(VLOOKUP(G3967,Proyectos!$A$2:$T$674,20,0),"")</f>
        <v>#NAME?</v>
      </c>
      <c r="N3967" s="32" t="e">
        <f ca="1">_xludf.ifna(VLOOKUP(G3967,Proyectos!$A$2:$S$674,19,0))</f>
        <v>#NAME?</v>
      </c>
      <c r="O3967" s="32"/>
      <c r="P3967" s="32"/>
      <c r="Q3967" s="33"/>
      <c r="R3967" s="33"/>
      <c r="S3967" s="33"/>
      <c r="T3967" s="63"/>
      <c r="U3967" s="33"/>
      <c r="V3967" s="33"/>
      <c r="W3967" s="33"/>
    </row>
  </sheetData>
  <autoFilter ref="A1:W3967" xr:uid="{00000000-0009-0000-0000-000003000000}"/>
  <customSheetViews>
    <customSheetView guid="{92E9E101-8D53-431E-B969-07D1CCFC2C99}" filter="1" showAutoFilter="1">
      <pageMargins left="0.7" right="0.7" top="0.75" bottom="0.75" header="0.3" footer="0.3"/>
      <autoFilter ref="A1722" xr:uid="{746C4217-EE53-48F4-9B62-D600D23456F2}"/>
    </customSheetView>
    <customSheetView guid="{FAF69A0D-BAE6-4878-AEC1-B808A8F8FA5D}" filter="1" showAutoFilter="1">
      <pageMargins left="0.7" right="0.7" top="0.75" bottom="0.75" header="0.3" footer="0.3"/>
      <autoFilter ref="A1:W1694" xr:uid="{657A33E1-E7A3-4C1D-BB9E-F8100DD22F6E}">
        <filterColumn colId="3">
          <filters>
            <filter val="Soluciones financieras (Factoring)"/>
            <filter val="Soluciones financieras (Leasing)"/>
          </filters>
        </filterColumn>
      </autoFilter>
    </customSheetView>
    <customSheetView guid="{710A6608-4F32-4221-9A38-8ECED4F8DEA6}" filter="1" showAutoFilter="1">
      <pageMargins left="0.7" right="0.7" top="0.75" bottom="0.75" header="0.3" footer="0.3"/>
      <autoFilter ref="A1722" xr:uid="{ACD6699C-3924-4DA1-AB22-773FA3C58B94}"/>
    </customSheetView>
    <customSheetView guid="{648D94F2-2741-4756-B129-0144F3ABB902}" filter="1" showAutoFilter="1">
      <pageMargins left="0.7" right="0.7" top="0.75" bottom="0.75" header="0.3" footer="0.3"/>
      <autoFilter ref="A1:W2983" xr:uid="{3B9EA075-283C-4E28-A7E3-EDC2A6B6F716}">
        <filterColumn colId="3">
          <filters>
            <filter val="Móvil"/>
          </filters>
        </filterColumn>
        <filterColumn colId="4">
          <filters blank="1">
            <filter val="Accenture"/>
            <filter val="ADENZA"/>
            <filter val="BBVA Fiduciaria"/>
            <filter val="BBVA Seguros"/>
            <filter val="BLUETAB"/>
            <filter val="CAPGEMINI"/>
            <filter val="Choucair"/>
            <filter val="DIMENSION"/>
            <filter val="GGI / CMC"/>
            <filter val="Globant"/>
            <filter val="Indra"/>
            <filter val="Inetum"/>
            <filter val="JARZSOFT"/>
            <filter val="KRYPTO"/>
            <filter val="Meraki"/>
            <filter val="MS"/>
            <filter val="Neoris"/>
            <filter val="Novatec"/>
            <filter val="SII"/>
            <filter val="Tecnoevolución"/>
            <filter val="TRYCORE"/>
            <filter val="VASS"/>
          </filters>
        </filterColumn>
        <filterColumn colId="6">
          <filters blank="1">
            <filter val="NOSDA $ BAU (Mantenimiento y peq. evolutivos)"/>
            <filter val="SDATOOL-28278 $ GRM Col - TMP Cobranzas - Pago en Canales Alternativos"/>
            <filter val="SDATOOL-28473 $ GRM Col - TMP Cobranzas - Módulo control acuerdos de pago"/>
            <filter val="SDATOOL-28728 $ Contratación electrónica/digital de empleados y Carpeta Virtual 2.0"/>
            <filter val="SDATOOL-29029 $ EBA Guidelines (NDoD/PD/LGD) - Colombia"/>
            <filter val="SDATOOL-29998 $ Despliegue SAS AML en BBVA CO"/>
            <filter val="SDATOOL-31326 $ Legalización Hipotecario"/>
            <filter val="SDATOOL-31340 $ Intercambio Electrónico de Archivos ACH y Cenit"/>
            <filter val="SDATOOL-31461 $ Liquidación Swaps Cross Crurrency Delivery"/>
            <filter val="SDATOOL-32520 $ CDD Based Reporting - Colombia"/>
            <filter val="SDATOOL-32905 $ Global Enterprises Mobile App (GEMA)"/>
            <filter val="SDATOOL-32991 $ Comisión de Acceso a ATM's"/>
            <filter val="SDATOOL-33065 $ Remesas BTS"/>
            <filter val="SDATOOL-33408 $ Biocatch"/>
            <filter val="SDATOOL-33846 $ SREP Data Quality- BCBS239 - Colombia"/>
            <filter val="SDATOOL-33847 $ Resolución 0042 DIAN Documento Soporte"/>
            <filter val="SDATOOL-33862 $ NDoD Accounting"/>
            <filter val="SDATOOL-33907 $ Manejo Fiscal Prima o Descuento Renta Fija"/>
            <filter val="SDATOOL-33947 $ Sinergias Bancamia"/>
            <filter val="SDATOOL-34157 $ Evolutivo Parthnership - Crédito en punto de venta de Aliados"/>
            <filter val="SDATOOL-34750 $ Seguros - Suscripción/Siniestros Seguros Licitación"/>
            <filter val="SDATOOL-34752 $ Seguros - Reportería y Data Quality"/>
            <filter val="SDATOOL-34782 $ Solicitud de cupo DIY"/>
            <filter val="SDATOOL-34887 $ Vivienda Digital Open Market"/>
            <filter val="SDATOOL-34910 $ Libranza Digital"/>
            <filter val="SDATOOL-35327 $ Impuestos 2021"/>
            <filter val="SDATOOL-35329 $ Activo Particular 2021"/>
            <filter val="SDATOOL-35384 $ Gestión Documental Pyme Admisión"/>
            <filter val="SDATOOL-35463 $ Gestión de Ingresos - Períodos de Gracia Libranzas"/>
            <filter val="SDATOOL-35656 $ Cupos y límites"/>
            <filter val="SDATOOL-35663 $ Capacidades FX GM"/>
            <filter val="SDATOOL-35697 $ GRM - Garantías Hipotecarias - Ingesta de Datos"/>
            <filter val="SDATOOL-36047 $ Bloqueo Sobregiro para Pago Capital e Intereses"/>
            <filter val="SDATOOL-36048 $ Repositorio flujos ventas digitales flujos - Plan Ascenso Open Market"/>
            <filter val="SDATOOL-36358 $ Pagos por Terceros (Mandato y/o Administración) - Información exógena DIAN - Resolución 0098 DIAN"/>
            <filter val="SDATOOL-36501 $ Seguros - Cobro de seguros libres en créditos - Desempleo Fase 2"/>
            <filter val="SDATOOL-36509 $ Centralización de la formalización de desembolsos Pymes"/>
            <filter val="SDATOOL-36522 $ Libranza E2E digital Fase III - Plan Ascenso Privado"/>
            <filter val="SDATOOL-36547 $ PLAN MAYOR -PLAN MENOR. Plan ascenso Open Market"/>
            <filter val="SDATOOL-36548 $ Optimización consumo web - Plan ascenso Open Market"/>
            <filter val="SDATOOL-36556 $ Parthnerships - Tarjeta de crédito en punto de venta físico aliados"/>
            <filter val="SDATOOL-36558 $ Transfiya:Transferencias interbancarias inmediatas - Plan Ascenso Privado"/>
            <filter val="SDATOOL-36560 $ Pricing de libranza - Plan Ascenso Open Market"/>
            <filter val="SDATOOL-37055 $ Cash in- PSE - Plan Ascenso Privado"/>
            <filter val="SDATOOL-37057 $ Pagos QR - Entre cuentas Redeban - Plan Ascenso Mercurio"/>
            <filter val="SDATOOL-37061 $ Plan de Lealtad Comecios -Plan Ascenso Autónomos"/>
            <filter val="SDATOOL-37086 $ Factura electrónica (radian)"/>
            <filter val="SDATOOL-37100 $ Soluciones de voz/Internalización del IVR - Plan Ascenso Privado"/>
            <filter val="SDATOOL-37111 $ Cuenta Maestra Adres"/>
            <filter val="SDATOOL-37116 $ COLPENSIONES ESTRUCTURA ONP"/>
            <filter val="SDATOOL-37121 $ Plan CRM: Seguimiento al pipeline"/>
            <filter val="SDATOOL-37125 $ Factoring - IBR"/>
            <filter val="SDATOOL-37129 $ Conciliación Recaudo PSE"/>
            <filter val="SDATOOL-37134 $ Oferta proactiva de segundo producto desde el momento cero - Plan Ascenso Cross Sell"/>
            <filter val="SDATOOL-37136 $ Conexión simulador vía API Vehículo digital"/>
            <filter val="SDATOOL-37169 $ EGS: Salto país y softoken"/>
            <filter val="SDATOOL-37170 $ Seguros - LIS Coaseguro en Seguros Libres"/>
            <filter val="SDATOOL-37184 $ Actualizaciones Aplicativo ADA V2"/>
            <filter val="SDATOOL-37294 $ Gestión de Tráfico en Oficinas"/>
            <filter val="SDATOOL-37342 $ SWIFT ISO20022 Ajuste de mensajes Swift a la nueva estructura"/>
            <filter val="SDATOOL-37344 $ Automatización Operaciones en Efectivo"/>
            <filter val="SDATOOL-37411 $ Infraestructura reportes regulatorios"/>
            <filter val="SDATOOL-37425 $ Recaudo DIAN Tarjetas de Crédito Propio Banco través del Botón de pagos PSE para los canales Banca Personas y Banca de Empresas"/>
            <filter val="SDATOOL-37427 $ Adquirencia Premium"/>
            <filter val="SDATOOL-37483 $ Aplicativos Finanzas - 2022"/>
            <filter val="SDATOOL-37681 $ Ciclo 2 - Resolución 0098 de Octubre 28 de 2020 - Reportes información Exógena Base Impuestos"/>
            <filter val="SDATOOL-37753 $ Plan de transformación de operaciones 2022"/>
            <filter val="SDATOOL-37761 $ Plan transformación de procesos"/>
            <filter val="SDATOOL-37765 $ Optimización operativa S&amp;C"/>
            <filter val="SDATOOL-37899 $ Formularios Subsidios (PAEF, Jóvenes y Afectados por el paro)"/>
            <filter val="SDATOOL-38080 $ Seguros - LIS Coaseguro Aceptado Autos"/>
            <filter val="SDATOOL-38091 $ Higiénicos Plataforma Digital de Oficinas CAP"/>
            <filter val="SDATOOL-38225 $ Seguros - Mandatorios 2022"/>
            <filter val="SDATOOL-38419 $ Contratación cuenta en línea en Glomo"/>
            <filter val="SDATOOL-38443 $ Arce Empresas Colombia"/>
            <filter val="SDATOOL-38447 $ GRM Col - Condonación y bajas automáticas en Medios de Pago"/>
            <filter val="SDATOOL-38481 $ Pricing Pasivos (optimización portafolio) - Plan Ascenso Cross Sell"/>
            <filter val="SDATOOL-38489 $ Horizon BTGR - Colombia"/>
            <filter val="SDATOOL-38527 $ Pagaré Electrónico en flujos de Contratación digital"/>
            <filter val="SDATOOL-38583 $ FUSIONES Y ACTUALIZACION DE IDENTIFICACIONES"/>
            <filter val="SDATOOL-38589 $ Mandatorio tokenización"/>
            <filter val="SDATOOL-38642 $ CUPON INTERMEDIO"/>
            <filter val="SDATOOL-38735 $ Dynamic Pricing"/>
            <filter val="SDATOOL-38736 $ Creación Tercero Miembro No Liquidador CRCC"/>
            <filter val="SDATOOL-38742 $ Gestor Documental Retail"/>
            <filter val="SDATOOL-38757 $ Modelo administrativo de oficina - Omnicanalidad"/>
            <filter val="SDATOOL-38770 $ Marcación y cobro de comisiones PSE"/>
            <filter val="SDATOOL-39197 $ Tealeaf SaaS"/>
            <filter val="SDATOOL-39217 $ Aplicativos Tesorería 2022"/>
            <filter val="SDATOOL-39246 $ Nuevo tipo de identificación para extranjeros"/>
            <filter val="SDATOOL-39265 $ Migración Operaciones Fircosoft"/>
            <filter val="SDATOOL-39272 $ GRM-Col-Cambio servicio APL (Aportes en línea)"/>
            <filter val="SDATOOL-39282 $ Fiduciaria - Alta y domiciliación Fondos de inversión jurídicos en Gema"/>
            <filter val="SDATOOL-39283 $ Fiduciaria - Obsolescencia software Base aplicativo Central"/>
            <filter val="SDATOOL-39334 $ GRM Col Reg - CE016-19 Modificados, reestructurados e incumplidos Leasing"/>
            <filter val="SDATOOL-39347 $ Alertas Personalizadas FX"/>
            <filter val="SDATOOL-39348 $ tarjeta de crédito Open Market Fallback product"/>
            <filter val="SDATOOL-39354 $ My business Open Pay - Plan Ascenso Mercurio"/>
            <filter val="SDATOOL-39358 $ Crédito Virtual"/>
            <filter val="SDATOOL-39383 $ AJUSTES HIGIENICOS DE PORTAFOLIO + REPORTE CENTRALIZADO DE NÓMINA"/>
            <filter val="SDATOOL-39384 $ Abonos a préstamos por canales"/>
            <filter val="SDATOOL-39463 $ GRM Col - Actualización Versión Power Curve."/>
            <filter val="SDATOOL-39473 $ Actualización de Was 8 a was 9. RBA"/>
            <filter val="SDATOOL-39506 $ Cuenta Sostenible"/>
            <filter val="SDATOOL-39555 $ Fiduciaria - Vinculación digital de clientes a través de productos inmobiliarios"/>
            <filter val="SDATOOL-39572 $ Fiduciaria - Autogestión documental en la vinculación productos inmobiliarios"/>
            <filter val="SDATOOL-39783 $ Resolución 0124 de 2021 - Captura del base de Operaciones Anuladas en Leasing - Aplic. Leasing"/>
            <filter val="SDATOOL-39785 $ Segmentación contratos ADN"/>
            <filter val="SDATOOL-39823 $ REPORTERIA PROVISIONES _ S1, S2, S3, SA y CxP en Divisa"/>
            <filter val="SDATOOL-39826 $ GRM Col- Plan Ascenso - Mejoras en CAP Pymes y disponibilización HdC"/>
            <filter val="SDATOOL-39834 $ Recaudo en Línea Secretaría de Hacienda Distrital - Fase II: Solución paramétrica de recaudos para la inclusión de 7 formularios tributarios en Canales electrónicos Web y Corresponsal Bancario."/>
            <filter val="SDATOOL-39836 $ Vivienda digital fase III"/>
            <filter val="SDATOOL-39840 $ BBVA Valores en Canales (Net Cash / Net)"/>
            <filter val="SDATOOL-39870 $ Front - Unificación de pantallas Contac Center"/>
            <filter val="SDATOOL-39871 $ Cbs Gelsa Paga todo"/>
            <filter val="SDATOOL-39888 $ Proyecto - Evolutivo Sarlaft - Mejoras controles aplicativos"/>
            <filter val="SDATOOL-40003 $ Resolución 0124 DIAN 2021 - Créditos Hipotecarios para remodelación de Vivienda"/>
            <filter val="SDATOOL-40012 $ Fiduciaria - Obsolecencia aplicativa para los módulos de rendición de cuentas, Telefónica Factoring y EEFF"/>
            <filter val="SDATOOL-40062 $ Implementación FGA en flujos de contratación digital"/>
            <filter val="SDATOOL-40191 $ Ajuste apuntes manuales CC0112 – GPS"/>
            <filter val="SDATOOL-40225 $ Resolución 0124 Dian - 2021 - Ajustes para Reporte de Información Exógena año gravable 2022 - Ciclo 1"/>
            <filter val="SDATOOL-40242 $ Fiduciaria - Obsolescencia software Base aplicativo MIDAS"/>
            <filter val="SDATOOL-40268 $ CLASIFICACION DE TIPO DE PRODUCTOR -CIRCULAR 48 FINAGRO"/>
            <filter val="SDATOOL-40269 $ Actualización y transmisión Declaraciones de Cambio – Banco de la República Abril 2022."/>
            <filter val="SDATOOL-40274 $ CIRCULAR 033 de 2021-SFC"/>
            <filter val="SDATOOL-40295 $ Tokenización COF"/>
            <filter val="SDATOOL-40300 $ Seguros - Reintegro automático a tarjetas crédito"/>
            <filter val="SDATOOL-40382 $ NUEVA Eliminar el PAN ( Orange 1.0)"/>
            <filter val="SDATOOL-40384 $ Cobrar intereses corrientes entre la transacción y la pre-cancelación"/>
            <filter val="SDATOOL-40406 $ Plan Mejora recobro de incapacidades"/>
            <filter val="SDATOOL-40407 $ Envío de información sensible entes internos y externos"/>
            <filter val="SDATOOL-40414 $ Conciliación adquirencia plus"/>
            <filter val="SDATOOL-40435 $ Cuota Segura créditos de libranza"/>
            <filter val="SDATOOL-40438 $ CIRCULAR 032 del 2021 - REQUERIMIENTO FISCALIA GENERAL DE LA NACION"/>
            <filter val="SDATOOL-40442 $ M4M - Tokenización Mastercard"/>
            <filter val="SDATOOL-40455 $ Comisión porcentaje compras internacionales Mastercard y Visa Fase 2"/>
            <filter val="SDATOOL-40457 $ SENDA (Base)"/>
            <filter val="SDATOOL-40466 $ Garantía FAG"/>
            <filter val="SDATOOL-40468 $ Mapa de comercios adquirencia - Fase 2"/>
            <filter val="SDATOOL-40469 $ Reversión reintegros parciales Adquirencia - Ajustes de comercio LATAM"/>
            <filter val="SDATOOL-40476 $ Conexión Directa con las Franquicias Visa y Mastercard"/>
            <filter val="SDATOOL-40482 $ Incluir tasa ponderada en Adquirencia Onboarding digital - Netcash"/>
            <filter val="SDATOOL-40494 $ Control de cúmulos de seguros para todas las lineas del activo"/>
            <filter val="SDATOOL-40515 $ Acción de auditoria de Cobro de Comisiones"/>
            <filter val="SDATOOL-40528 $ ETPB - SENDA PAGOS"/>
            <filter val="SDATOOL-40529 $ Aplicativos Finanzas - 2023"/>
            <filter val="SDATOOL-40536 $ Google analitycs 4"/>
            <filter val="SDATOOL-40545 $ GRM Col - Mejoras Evolutivas de Aplicativos y Herramientas de Riesgos 2023"/>
            <filter val="SDATOOL-40546 $ Mejoras Experiencia de Usuario TBM"/>
            <filter val="SDATOOL-40548 $ Fiduciaria - Obsolecencia aplicativa, infraestructura e Insider aplicativo FIDUSAP"/>
            <filter val="SDATOOL-40552 $ Fiduciaria - PSE Procesamiento y confirmación de pagos en línea"/>
            <filter val="SDATOOL-40555 $ ADELANTO DE VENTA EN GEMA"/>
            <filter val="SDATOOL-40581 $ Corresponsal Bancario Ya Ganaste"/>
            <filter val="SDATOOL-40599 $ Proyecto - Circular 025"/>
            <filter val="SDATOOL-40613 $ Códigos MAC"/>
            <filter val="SDATOOL-40639 $ Fiduciaria -Obsolecencia Migración Softoken FIDUSAP R2 a NextGen"/>
            <filter val="SDATOOL-40656 $ GRM Col - Recuperación sobre cuentas pensionales"/>
            <filter val="SDATOOL-40658 $ GRM Col - Cronos Collections - Estrategia"/>
            <filter val="SDATOOL-40670 $ Plan CRM: Mejoras DWP Jurídicos (Pymes, Empresas,Gobiernos)"/>
            <filter val="SDATOOL-40672 $ Plan CRM: Mejoras AUG (Banca Comercial y CSF) Equipo A"/>
            <filter val="SDATOOL-40676 $ Contratación y uso de mPOS desde APPs BBVA"/>
            <filter val="SDATOOL-40690 $ Plan CRM: Mejoras AUG (Banca Comercial y CSF) Equipo B"/>
            <filter val="SDATOOL-40706 $ Validaciones en Captura de Terceros Aplicativo TBM"/>
            <filter val="SDATOOL-40710 $ GRM Col - Cronos - Plan Ascenso - Mejoras CAP Pymes Fase II"/>
            <filter val="SDATOOL-40736 $ Curvas de Fondeo por Producto (ALM)"/>
            <filter val="SDATOOL-40762 $ Seguros - IFRS 17 Catch up"/>
            <filter val="SDATOOL-40764 $ Seguros - AXA F2"/>
            <filter val="SDATOOL-40767 $ Seguros - Migración FW / Auditoria (Front)"/>
            <filter val="SDATOOL-40771 $ Resolución Cuentas Maestras y Cuentas Maestras para Pagos Electrónicos (PSE): Anexo Técnico - Nuevo reporte de información"/>
            <filter val="SDATOOL-40812 $ Fiduciaria - Cambio de operador tecnologico para los documentos electronicos en la sociedad"/>
            <filter val="SDATOOL-40813 $ Fiduciaria - Autogestion Usuarios - AI Pagos End to End"/>
            <filter val="SDATOOL-40869 $ Herramientas Regulatorias Regionales (FINREP/AE y Liquidez) 2023"/>
            <filter val="SDATOOL-40877 $ Centralización Garantías Especiales"/>
            <filter val="SDATOOL-40984 $ Proyecto - Identificación e ingesta de las tablas necesarias en datio y la construcción del caso de uso para la identificación de vínculos - Colombia"/>
            <filter val="SDATOOL-41029 $ IATAPAY"/>
            <filter val="SDATOOL-41031 $ Proyecto - Shadow IT - Migración a un nuevo aplicativo de la herramienta SIGLAFT"/>
            <filter val="SDATOOL-41171 $ CBS Core Banking Strategy Convivencia Clients and Contracts"/>
            <filter val="SDATOOL-41202 $ GRM Col - Ajustes Asset Allocation y Riesgo de Concentración"/>
            <filter val="SDATOOL-41203 $ Obsolescencia Aplicativa 2023"/>
            <filter val="SDATOOL-41205 $ Tagging Netcash, Net, e-markets"/>
            <filter val="SDATOOL-41206 $ Ordenes de pago recibidas (OPR)"/>
            <filter val="SDATOOL-41308 $ Aplicativos Tesorería 2023"/>
            <filter val="SDATOOL-41448 $ Compra de divisas mediante APP Empresas GEMA"/>
            <filter val="SDATOOL-41457 $ NGA - Colombia. EWS (ARCE)"/>
            <filter val="SDATOOL-41553 $ Servicios transaccionales 2023"/>
            <filter val="SDATOOL-41706 $ Renovación ATMs 2023"/>
            <filter val="SDATOOL-41709 $ Fraccionamiento de transacciones en CBs"/>
            <filter val="SDATOOL-41726 $ EXTRACUPO TARJETA DE CREDITO"/>
            <filter val="SDATOOL-41729 $ SEGUNDA LIBRANZA - APLICACION PAGOS Y VoBo PAGADOR"/>
            <filter val="SDATOOL-41737 $ Moneda Extranjera - Inclusión en SIGDOC"/>
            <filter val="SDATOOL-41748 $ Cuota Fija - Tasa Variable para créditos de Consumo y Vehículo"/>
            <filter val="SDATOOL-41750 $ Single APP"/>
            <filter val="SDATOOL-41752 $ Consumo Openmk con Biometría Obligatoria por Nácar para desembolsar"/>
            <filter val="SDATOOL-41757 $ AJUSTE AUTOMATIZACION CONCILIACION ARA"/>
            <filter val="SDATOOL-41766 $ DUALIDAD CUENTAS AFC NÁCAR HOST Y CANALES DIGITALES"/>
            <filter val="SDATOOL-41797 $ Optimización Cuenta en línea Web"/>
            <filter val="SDATOOL-41877 $ Evolutivo Bonita 5 Community a JBPM"/>
            <filter val="SDATOOL-41879 $ Apertura de oficina Mitu"/>
            <filter val="SDATOOL-41930 $ FX en GEMA"/>
            <filter val="SDATOOL-41938 $ GRM Col Reg - Ajuste Calificación Escalera"/>
            <filter val="SDATOOL-41941 $ INTEGRACIÓN DE AS400 Y HOST Y ESTABILIZACIÓN Y RESTABLECIMIENTO DE lOS ENTORNOS DE LEASING AS400 DE DESARROLLO Y CALIDAD&quot;"/>
            <filter val="SDATOOL-41950 $ Migracion GMF-MQ Series"/>
            <filter val="SDATOOL-41962 $ Seguros - Sistema de Administración de Pensiones de Rentas Vitalicias"/>
            <filter val="SDATOOL-41980 $ Modelo API´S Recaudo (CB´s)"/>
            <filter val="SDATOOL-42040 $ In House Bavaria"/>
            <filter val="SDATOOL-42059 $ Arrendamiento tecnológico Real State - GPS"/>
            <filter val="SDATOOL-42061 $ Murex Limit Control Intradía EOD"/>
            <filter val="SDATOOL-42081 $ Evolutivos Migración Murex 3"/>
            <filter val="SDATOOL-42098 $ GRM Col CRONOS Batch - Campañas SMeS"/>
            <filter val="SDATOOL-42099 $ Seguros - Cuota Segura/Créditos de libranza (SEGUROS)"/>
            <filter val="SDATOOL-42106 $ Emisión Certificados Tributarios a proveedores en Operaciones Sin Recurso (Proyecto Normativo)"/>
            <filter val="SDATOOL-42155 $ Ajustes en proceso de Titularización y recompra de cartera titularizada"/>
            <filter val="SDATOOL-42201 $ GRM Col - Cronos Collections - Pago Dirigido Préstamos"/>
            <filter val="SDATOOL-42211 $ Onboarding cash management Netcash/Gema"/>
            <filter val="SDATOOL-42213 $ Creación nuevos conceptos recaudo impuestos DIAN - Ley 2277 del 2022 MinHacienda"/>
            <filter val="SDATOOL-42264 $ Seguros - Calculo Extra prima valores superiores a 9.999.999"/>
            <filter val="SDATOOL-42265 $ Seguros - Verificación de Identidad CE27"/>
            <filter val="SDATOOL-42393 $ Ahorro Fijo Digital Clientes"/>
            <filter val="SDATOOL-42449 $ Seguros - LIS Coaseguro Aceptado Autos Fase 2"/>
            <filter val="SDATOOL-7269 $ Core Data &amp; Gobierno de Datos"/>
          </filters>
        </filterColumn>
      </autoFilter>
    </customSheetView>
    <customSheetView guid="{9C322D51-A2D0-4198-A462-FB4FA2DC65E6}" filter="1" showAutoFilter="1">
      <pageMargins left="0.7" right="0.7" top="0.75" bottom="0.75" header="0.3" footer="0.3"/>
      <autoFilter ref="A1722" xr:uid="{BFF0AFE3-E5C6-427B-B7AE-F12D837E9BBC}"/>
    </customSheetView>
    <customSheetView guid="{7339EE9D-CF01-4341-9114-860E97ED93A1}" filter="1" showAutoFilter="1">
      <pageMargins left="0.7" right="0.7" top="0.75" bottom="0.75" header="0.3" footer="0.3"/>
      <autoFilter ref="A1:W1694" xr:uid="{7C303181-4442-424F-8280-FD12F99C5E22}"/>
    </customSheetView>
    <customSheetView guid="{6BB6A7F4-FCBE-4155-BBBA-5BE2FF4775AC}" filter="1" showAutoFilter="1">
      <pageMargins left="0.7" right="0.7" top="0.75" bottom="0.75" header="0.3" footer="0.3"/>
      <autoFilter ref="A1:W1694" xr:uid="{A6B05149-AEAA-4EE9-B125-E1A4FE251FE1}"/>
    </customSheetView>
    <customSheetView guid="{4C9FF4DE-D27F-4717-B68E-A26853E433FC}" filter="1" showAutoFilter="1">
      <pageMargins left="0.7" right="0.7" top="0.75" bottom="0.75" header="0.3" footer="0.3"/>
      <autoFilter ref="A1:W1694" xr:uid="{057B23BC-9DF3-4401-AFA7-B9926942BA23}">
        <filterColumn colId="2">
          <filters>
            <filter val="CORE"/>
          </filters>
        </filterColumn>
      </autoFilter>
    </customSheetView>
    <customSheetView guid="{35F9479B-9C3E-4C26-A817-62B1C9927932}" filter="1" showAutoFilter="1">
      <pageMargins left="0.7" right="0.7" top="0.75" bottom="0.75" header="0.3" footer="0.3"/>
      <autoFilter ref="A1:W1697" xr:uid="{4F60F095-BD66-4541-A223-8D95CB44FD56}"/>
    </customSheetView>
    <customSheetView guid="{3F43578F-A90D-41AC-9E36-71FC501A29A2}" filter="1" showAutoFilter="1">
      <pageMargins left="0.7" right="0.7" top="0.75" bottom="0.75" header="0.3" footer="0.3"/>
      <autoFilter ref="A1:W1697" xr:uid="{31725D2F-4EA4-4617-9A54-F363161F66E7}">
        <filterColumn colId="6">
          <filters>
            <filter val="NOSDA $ BAU (Mantenimiento y peq. evolutivos)"/>
            <filter val="SDATOOL-28473 $ GRM Col - TMP Cobranzas - Módulo control acuerdos de pago"/>
            <filter val="SDATOOL-28728 $ Contratación electrónica/digital de empleados y Carpeta Virtual 2.0"/>
            <filter val="SDATOOL-29029 $ EBA Guidelines (NDoD/PD/LGD) - Colombia"/>
            <filter val="SDATOOL-29998 $ Despliegue SAS AML en BBVA CO"/>
            <filter val="SDATOOL-31326 $ Legalización Hipotecario"/>
            <filter val="SDATOOL-31340 $ Intercambio Electrónico de Archivos ACH y Cenit"/>
            <filter val="SDATOOL-31461 $ Liquidación Swaps Cross Crurrency Delivery"/>
            <filter val="SDATOOL-32520 $ CDD Based Reporting - Colombia"/>
            <filter val="SDATOOL-32905 $ Global Enterprises Mobile App (GEMA)"/>
            <filter val="SDATOOL-32991 $ Comisión de Acceso a ATM's"/>
            <filter val="SDATOOL-33065 $ Remesas BTS"/>
            <filter val="SDATOOL-33408 $ Biocatch"/>
            <filter val="SDATOOL-33862 $ NDoD Accounting"/>
            <filter val="SDATOOL-33907 $ Manejo Fiscal Prima o Descuento Renta Fija"/>
            <filter val="SDATOOL-33947 $ Sinergias Bancamia"/>
            <filter val="SDATOOL-34750 $ Seguros - Suscripción/Siniestros Seguros Licitación"/>
            <filter val="SDATOOL-34752 $ Seguros - Reportería y Data Quality"/>
            <filter val="SDATOOL-34782 $ Solicitud de cupo DIY"/>
            <filter val="SDATOOL-35327 $ Impuestos 2021"/>
            <filter val="SDATOOL-35329 $ Activo Particular 2021"/>
            <filter val="SDATOOL-35384 $ Gestión Documental Pyme Admisión"/>
            <filter val="SDATOOL-35656 $ Cupos y límites"/>
            <filter val="SDATOOL-35663 $ Capacidades FX GM"/>
            <filter val="SDATOOL-36047 $ Bloqueo Sobregiro para Pago Capital e Intereses"/>
            <filter val="SDATOOL-36048 $ Repositorio flujos ventas digitales flujos - Plan Ascenso Open Market"/>
            <filter val="SDATOOL-36358 $ Pagos por Terceros (Mandato y/o Administración) - Información exógena DIAN - Resolución 0098 DIAN"/>
            <filter val="SDATOOL-36501 $ Seguros - Cobro de seguros libres en créditos - Desempleo Fase 2"/>
            <filter val="SDATOOL-36509 $ Centralización de la formalización de desembolsos Pymes"/>
            <filter val="SDATOOL-36547 $ PLAN MAYOR -PLAN MENOR. Plan ascenso Open Market"/>
            <filter val="SDATOOL-36556 $ Parthnerships - Tarjeta de crédito en punto de venta físico aliados"/>
            <filter val="SDATOOL-36558 $ Transfiya:Transferencias interbancarias inmediatas - Plan Ascenso Privado"/>
            <filter val="SDATOOL-37055 $ Cash in- PSE - Plan Ascenso Privado"/>
            <filter val="SDATOOL-37057 $ Pagos QR - Entre cuentas Redeban - Plan Ascenso Mercurio"/>
            <filter val="SDATOOL-37061 $ Plan de Lealtad Comecios -Plan Ascenso Autónomos"/>
            <filter val="SDATOOL-37086 $ Factura electrónica (radian)"/>
            <filter val="SDATOOL-37100 $ Soluciones de voz/Internalización del IVR - Plan Ascenso Privado"/>
            <filter val="SDATOOL-37111 $ Cuenta Maestra Adres"/>
            <filter val="SDATOOL-37116 $ COLPENSIONES ESTRUCTURA ONP"/>
            <filter val="SDATOOL-37121 $ Plan CRM: Seguimiento al pipeline"/>
            <filter val="SDATOOL-37125 $ Factoring - IBR"/>
            <filter val="SDATOOL-37129 $ Conciliación Recaudo PSE"/>
            <filter val="SDATOOL-37134 $ Oferta proactiva de segundo producto desde el momento cero - Plan Ascenso Cross Sell"/>
            <filter val="SDATOOL-37169 $ EGS: Salto país y softoken"/>
            <filter val="SDATOOL-37170 $ Seguros - LIS Coaseguro en Seguros Libres"/>
            <filter val="SDATOOL-37184 $ Actualizaciones Aplicativo ADA V2"/>
            <filter val="SDATOOL-37294 $ Gestión de Tráfico en Oficinas"/>
            <filter val="SDATOOL-37342 $ SWIFT ISO20022 Ajuste de mensajes Swift a la nueva estructura"/>
            <filter val="SDATOOL-37344 $ Automatización Operaciones en Efectivo"/>
            <filter val="SDATOOL-37411 $ Infraestructura reportes regulatorios"/>
            <filter val="SDATOOL-37425 $ Recaudo DIAN Tarjetas de Crédito Propio Banco través del Botón de pagos PSE para los canales Banca Personas y Banca de Empresas"/>
            <filter val="SDATOOL-37427 $ Adquirencia Premium"/>
            <filter val="SDATOOL-37681 $ Ciclo 2 - Resolución 0098 de Octubre 28 de 2020 - Reportes información Exógena Base Impuestos"/>
            <filter val="SDATOOL-37753 $ Plan de transformación de operaciones 2022"/>
            <filter val="SDATOOL-37761 $ Plan transformación de procesos"/>
            <filter val="SDATOOL-37765 $ Optimización operativa S&amp;C"/>
            <filter val="SDATOOL-37899 $ Formularios Subsidios (PAEF, Jóvenes y Afectados por el paro)"/>
            <filter val="SDATOOL-38080 $ Seguros - LIS Coaseguro Aceptado Autos"/>
            <filter val="SDATOOL-38091 $ Higiénicos Plataforma Digital de Oficinas CAP"/>
            <filter val="SDATOOL-38225 $ Seguros - Mandatorios 2022"/>
            <filter val="SDATOOL-38419 $ Contratación cuenta en línea en Glomo"/>
            <filter val="SDATOOL-38443 $ Arce Empresas Colombia"/>
            <filter val="SDATOOL-38447 $ GRM Col - Condonación y bajas automáticas en Medios de Pago"/>
            <filter val="SDATOOL-38481 $ Pricing Pasivos (optimización portafolio) - Plan Ascenso Cross Sell"/>
            <filter val="SDATOOL-38489 $ Horizon BTGR - Colombia"/>
            <filter val="SDATOOL-38527 $ Pagaré Electrónico en flujos de Contratación digital"/>
            <filter val="SDATOOL-38583 $ FUSIONES Y ACTUALIZACION DE IDENTIFICACIONES"/>
            <filter val="SDATOOL-38589 $ Mandatorio tokenización"/>
            <filter val="SDATOOL-38642 $ CUPON INTERMEDIO"/>
            <filter val="SDATOOL-38735 $ Dynamic Pricing"/>
            <filter val="SDATOOL-38736 $ Creación Tercero Miembro No Liquidador CRCC"/>
            <filter val="SDATOOL-38742 $ Gestor Documental Retail"/>
            <filter val="SDATOOL-38757 $ Modelo administrativo de oficina - Omnicanalidad"/>
            <filter val="SDATOOL-38770 $ Marcación y cobro de comisiones PSE"/>
            <filter val="SDATOOL-39197 $ Tealeaf SaaS"/>
            <filter val="SDATOOL-39217 $ Aplicativos Tesorería 2022"/>
            <filter val="SDATOOL-39246 $ Nuevo tipo de identificación para extranjeros"/>
            <filter val="SDATOOL-39265 $ Migración Operaciones Fircosoft"/>
            <filter val="SDATOOL-39282 $ Fiduciaria - Alta y domiciliación Fondos de inversión jurídicos en Gema"/>
            <filter val="SDATOOL-39283 $ Fiduciaria - Obsolescencia software Base aplicativo Central"/>
            <filter val="SDATOOL-39334 $ GRM Col Reg - CE016-19 Modificados, reestructurados e incumplidos Leasing"/>
            <filter val="SDATOOL-39347 $ Alertas Personalizadas FX"/>
            <filter val="SDATOOL-39348 $ tarjeta de crédito Open Market Fallback product"/>
            <filter val="SDATOOL-39354 $ My business Open Pay - Plan Ascenso Mercurio"/>
            <filter val="SDATOOL-39383 $ AJUSTES HIGIENICOS DE PORTAFOLIO + REPORTE CENTRALIZADO DE NÓMINA"/>
            <filter val="SDATOOL-39463 $ GRM Col - Actualización Versión Power Curve."/>
            <filter val="SDATOOL-39473 $ Actualización de Was 8 a was 9. RBA"/>
            <filter val="SDATOOL-39506 $ Cuenta Sostenible"/>
            <filter val="SDATOOL-39555 $ Fiduciaria - Vinculación digital de clientes a través de productos inmobiliarios"/>
            <filter val="SDATOOL-39572 $ Fiduciaria - Autogestión documental en la vinculación productos inmobiliarios"/>
            <filter val="SDATOOL-39783 $ Resolución 0124 de 2021 - Captura del base de Operaciones Anuladas en Leasing - Aplic. Leasing"/>
            <filter val="SDATOOL-39785 $ Segmentación contratos ADN"/>
            <filter val="SDATOOL-39823 $ REPORTERIA PROVISIONES _ S1, S2, S3, SA y CxP en Divisa"/>
            <filter val="SDATOOL-39826 $ GRM Col- Plan Ascenso - Mejoras en CAP Pymes y disponibilización HdC"/>
            <filter val="SDATOOL-39834 $ Recaudo en Línea Secretaría de Hacienda Distrital - Fase II: Solución paramétrica de recaudos para la inclusión de 7 formularios tributarios en Canales electrónicos Web y Corresponsal Bancario."/>
            <filter val="SDATOOL-39840 $ BBVA Valores en Canales (Net Cash / Net)"/>
            <filter val="SDATOOL-39870 $ Front - Unificación de pantallas Contac Center"/>
            <filter val="SDATOOL-39871 $ Cbs Gelsa Paga todo"/>
            <filter val="SDATOOL-39888 $ Proyecto - Evolutivo Sarlaft - Mejoras controles aplicativos"/>
            <filter val="SDATOOL-40003 $ Resolución 0124 DIAN 2021 - Créditos Hipotecarios para remodelación de Vivienda"/>
            <filter val="SDATOOL-40012 $ Fiduciaria - Obsolecencia aplicativa para los módulos de rendición de cuentas, Telefónica Factoring y EEFF"/>
            <filter val="SDATOOL-40191 $ Ajuste apuntes manuales CC0112 – GPS"/>
            <filter val="SDATOOL-40242 $ Fiduciaria - Obsolescencia software Base aplicativo MIDAS"/>
            <filter val="SDATOOL-40269 $ Actualización y transmisión Declaraciones de Cambio – Banco de la República Abril 2022."/>
            <filter val="SDATOOL-40274 $ CIRCULAR 033 de 2021-SFC"/>
            <filter val="SDATOOL-40295 $ Tokenización COF"/>
            <filter val="SDATOOL-40300 $ Seguros - Reintegro automático a tarjetas crédito"/>
            <filter val="SDATOOL-40382 $ NUEVA Eliminar el PAN ( Orange 1.0)"/>
            <filter val="SDATOOL-40384 $ Cobrar intereses corrientes entre la transacción y la pre-cancelación"/>
            <filter val="SDATOOL-40406 $ Plan Mejora recobro de incapacidades"/>
            <filter val="SDATOOL-40407 $ Envío de información sensible entes internos y externos"/>
            <filter val="SDATOOL-40414 $ Conciliación adquirencia plus"/>
            <filter val="SDATOOL-40438 $ CIRCULAR 032 del 2021 - REQUERIMIENTO FISCALIA GENERAL DE LA NACION"/>
            <filter val="SDATOOL-40442 $ M4M - Tokenización Mastercard"/>
            <filter val="SDATOOL-40455 $ Comisión porcentaje compras internacionales Mastercard y Visa Fase 2"/>
            <filter val="SDATOOL-40457 $ SENDA (Base)"/>
            <filter val="SDATOOL-40468 $ Mapa de comercios adquirencia - Fase 2"/>
            <filter val="SDATOOL-40469 $ Reversión reintegros parciales Adquirencia - Ajustes de comercio LATAM"/>
            <filter val="SDATOOL-40476 $ Conexión Directa con las Franquicias Visa y Mastercard"/>
            <filter val="SDATOOL-40482 $ Incluir tasa ponderada en Adquirencia Onboarding digital - Netcash"/>
            <filter val="SDATOOL-40515 $ Acción de auditoria de Cobro de Comisiones"/>
            <filter val="SDATOOL-40528 $ ETPB - SENDA PAGOS"/>
            <filter val="SDATOOL-40529 $ Aplicativos Finanzas - 2023"/>
            <filter val="SDATOOL-40533 $ GloMo Target"/>
            <filter val="SDATOOL-40536 $ Google analitycs 4"/>
            <filter val="SDATOOL-40545 $ GRM Col - Mejoras Evolutivas de Aplicativos y Herramientas de Riesgos 2023"/>
            <filter val="SDATOOL-40546 $ Mejoras Experiencia de Usuario TBM"/>
            <filter val="SDATOOL-40548 $ Fiduciaria - Obsolecencia aplicativa, infraestructura e Insider aplicativo FIDUSAP"/>
            <filter val="SDATOOL-40552 $ Fiduciaria - PSE Procesamiento y confirmación de pagos en línea"/>
            <filter val="SDATOOL-40581 $ Corresponsal Bancario Ya Ganaste"/>
            <filter val="SDATOOL-40599 $ Proyecto - Circular 025"/>
            <filter val="SDATOOL-40613 $ Códigos MAC"/>
            <filter val="SDATOOL-40623 $ Pago productos con PSE desde GloMo"/>
            <filter val="SDATOOL-40639 $ Fiduciaria -Obsolecencia Migración Softoken FIDUSAP R2 a NextGen"/>
            <filter val="SDATOOL-40656 $ GRM Col - Recuperación sobre cuentas pensionales"/>
            <filter val="SDATOOL-40658 $ GRM Col - Cronos Collections - Estrategia"/>
            <filter val="SDATOOL-40672 $ Plan CRM: Mejoras AUG (Banca Comercial y CSF) Equipo A"/>
            <filter val="SDATOOL-40676 $ Contratación y uso de mPOS desde APPs BBVA"/>
            <filter val="SDATOOL-40690 $ Plan CRM: Mejoras AUG (Banca Comercial y CSF) Equipo B"/>
            <filter val="SDATOOL-40706 $ Validaciones en Captura de Terceros Aplicativo TBM"/>
            <filter val="SDATOOL-40710 $ GRM Col - Cronos - Plan Ascenso - Mejoras CAP Pymes Fase II"/>
            <filter val="SDATOOL-40736 $ Curvas de Fondeo por Producto (ALM)"/>
            <filter val="SDATOOL-40762 $ Seguros - IFRS 17 Catch up"/>
            <filter val="SDATOOL-40764 $ Seguros - AXA F2"/>
            <filter val="SDATOOL-40767 $ Seguros - Migración FW / Auditoria (Front)"/>
            <filter val="SDATOOL-40771 $ Resolución Cuentas Maestras y Cuentas Maestras para Pagos Electrónicos (PSE): Anexo Técnico - Nuevo reporte de información"/>
            <filter val="SDATOOL-40812 $ Fiduciaria - Cambio de operador tecnologico para los documentos electronicos en la sociedad"/>
            <filter val="SDATOOL-40813 $ Fiduciaria - Autogestion Usuarios - AI Pagos End to End"/>
            <filter val="SDATOOL-40869 $ Herramientas Regulatorias Regionales (FINREP/AE y Liquidez) 2023"/>
            <filter val="SDATOOL-40984 $ Proyecto - Identificación e ingesta de las tablas necesarias en datio y la construcción del caso de uso para la identificación de vínculos - Colombia"/>
            <filter val="SDATOOL-41029 $ IATAPAY"/>
            <filter val="SDATOOL-41031 $ Proyecto - Shadow IT - Migración a un nuevo aplicativo de la herramienta SIGLAFT"/>
            <filter val="SDATOOL-41171 $ CBS Core Banking Strategy Convivencia Clients and Contracts"/>
            <filter val="SDATOOL-41202 $ GRM Col - Ajustes Asset Allocation y Riesgo de Concentración"/>
            <filter val="SDATOOL-41203 $ Obsolescencia Aplicativa 2023"/>
            <filter val="SDATOOL-41205 $ Tagging Netcash, Net, e-markets"/>
            <filter val="SDATOOL-41206 $ Ordenes de pago recibidas (OPR)"/>
            <filter val="SDATOOL-41308 $ Aplicativos Tesorería 2023"/>
            <filter val="SDATOOL-41448 $ Compra de divisas mediante APP Empresas GEMA"/>
            <filter val="SDATOOL-41457 $ NGA - Colombia. EWS (ARCE)"/>
            <filter val="SDATOOL-41553 $ Servicios transaccionales 2023"/>
            <filter val="SDATOOL-41706 $ Renovación ATMs 2023"/>
            <filter val="SDATOOL-41709 $ Fraccionamiento de transacciones en CBs"/>
            <filter val="SDATOOL-41726 $ EXTRACUPO TARJETA DE CREDITO"/>
            <filter val="SDATOOL-41737 $ Moneda Extranjera - Inclusión en SIGDOC"/>
            <filter val="SDATOOL-41750 $ Single APP"/>
            <filter val="SDATOOL-41757 $ AJUSTE AUTOMATIZACION CONCILIACION ARA"/>
            <filter val="SDATOOL-41759 $ Tips de prevención Ingeniería Social"/>
            <filter val="SDATOOL-41766 $ DUALIDAD CUENTAS AFC NÁCAR HOST Y CANALES DIGITALES"/>
            <filter val="SDATOOL-41797 $ Optimización Cuenta en línea Web"/>
            <filter val="SDATOOL-41877 $ Evolutivo Bonita 5 Community a JBPM"/>
            <filter val="SDATOOL-41879 $ Apertura de oficina Mitu"/>
            <filter val="SDATOOL-41881 $ Bloqueo/Desbloqueo Soft-Hard"/>
            <filter val="SDATOOL-41930 $ FX en GEMA"/>
            <filter val="SDATOOL-41941 $ INTEGRACIÓN DE AS400 Y HOST Y ESTABILIZACIÓN Y RESTABLECIMIENTO DE lOS ENTORNOS DE LEASING AS400 DE DESARROLLO Y CALIDAD&quot;"/>
            <filter val="SDATOOL-41950 $ Migracion GMF-MQ Series"/>
            <filter val="SDATOOL-41962 $ Seguros - Sistema de Administración de Pensiones de Rentas Vitalicias"/>
            <filter val="SDATOOL-41980 $ Modelo API´S Recaudo (CB´s)"/>
            <filter val="SDATOOL-42039 $ Cuenta digital pensional"/>
            <filter val="SDATOOL-42040 $ In House Bavaria"/>
            <filter val="SDATOOL-42059 $ Arrendamiento tecnológico Real State - GPS"/>
            <filter val="SDATOOL-42061 $ Murex Limit Control Intradía EOD"/>
            <filter val="SDATOOL-42081 $ Evolutivos Migración Murex 3"/>
            <filter val="SDATOOL-42098 $ GRM Col CRONOS Batch - Campañas SMeS"/>
            <filter val="SDATOOL-42099 $ Seguros - Cuota Segura/Créditos de libranza (SEGUROS)"/>
            <filter val="SDATOOL-42106 $ Emisión Certificados Tributarios a proveedores en Operaciones Sin Recurso (Proyecto Normativo)"/>
            <filter val="SDATOOL-42192 $ Transfiya en GloMo"/>
            <filter val="SDATOOL-42211 $ Onboarding cash management Netcash/Gema"/>
            <filter val="SDATOOL-42213 $ Creación nuevos conceptos recaudo impuestos DIAN - Ley 2277 del 2022 MinHacienda"/>
            <filter val="SDATOOL-42264 $ Seguros - Calculo Extra prima valores superiores a 9.999.999"/>
            <filter val="SDATOOL-42265 $ Seguros - Verificación de Identidad CE27"/>
            <filter val="SDATOOL-42393 $ Ahorro Fijo Digital Clientes"/>
            <filter val="SDATOOL-42449 $ Seguros - LIS Coaseguro Aceptado Autos Fase 2"/>
            <filter val="SDATOOL-7269 $ Core Data &amp; Gobierno de Datos"/>
            <filter val="SDATOOL-9053 $ GloMo Colombia"/>
          </filters>
        </filterColumn>
      </autoFilter>
    </customSheetView>
    <customSheetView guid="{A5C1FB0B-7988-4DBC-A872-969A026CC805}" filter="1" showAutoFilter="1">
      <pageMargins left="0.7" right="0.7" top="0.75" bottom="0.75" header="0.3" footer="0.3"/>
      <autoFilter ref="B1700" xr:uid="{0F72BDB4-D08A-4C60-9404-6AE87BA46E7D}"/>
    </customSheetView>
    <customSheetView guid="{8B4FAE2E-1B10-4474-B40C-4D49F5717B5D}" filter="1" showAutoFilter="1">
      <pageMargins left="0.7" right="0.7" top="0.75" bottom="0.75" header="0.3" footer="0.3"/>
      <autoFilter ref="A1:W1697" xr:uid="{91CD05C8-ECB6-41FC-8F16-275A52B155EC}">
        <filterColumn colId="2">
          <filters>
            <filter val="RETAIL"/>
          </filters>
        </filterColumn>
        <filterColumn colId="8">
          <filters>
            <filter val="Tech Manager/Líder"/>
          </filters>
        </filterColumn>
      </autoFilter>
    </customSheetView>
    <customSheetView guid="{6C18F087-7AEA-487E-85D4-F721AC565684}" filter="1" showAutoFilter="1">
      <pageMargins left="0.7" right="0.7" top="0.75" bottom="0.75" header="0.3" footer="0.3"/>
      <autoFilter ref="A1:T1694" xr:uid="{61A9A925-0595-4A55-BF1D-D5A13B4EFDEF}"/>
    </customSheetView>
    <customSheetView guid="{5A6E49A5-A4D2-41C3-824E-130AB7480E47}" filter="1" showAutoFilter="1">
      <pageMargins left="0.7" right="0.7" top="0.75" bottom="0.75" header="0.3" footer="0.3"/>
      <autoFilter ref="A1:W1697" xr:uid="{DD779AE1-84C9-43A5-A9D1-23174887FB5B}"/>
    </customSheetView>
  </customSheetViews>
  <mergeCells count="2">
    <mergeCell ref="I1254:J1254"/>
    <mergeCell ref="I1445:J1445"/>
  </mergeCells>
  <conditionalFormatting sqref="G1:G1697 A992:B992 H992:K992 O992:W992 G1699:G3967">
    <cfRule type="notContainsBlanks" dxfId="3" priority="2">
      <formula>LEN(TRIM(G1))&gt;0</formula>
    </cfRule>
  </conditionalFormatting>
  <conditionalFormatting sqref="G1698">
    <cfRule type="notContainsBlanks" dxfId="2" priority="1">
      <formula>LEN(TRIM(G1698))&gt;0</formula>
    </cfRule>
  </conditionalFormatting>
  <dataValidations count="9">
    <dataValidation type="list" allowBlank="1" sqref="H1551:H1570 H2:H16 H19:H21 H76:H79 H98:H101 H953 H959:H965 H972 H974:H975 H977:H987 H989:H991 H993:H1001 H1003:H1007 H1009:H1027 H1032:H1042 H1055:H1100 H1279 H1281:H1301 H1307:H1320 H1322:H1333 H1694 H1572:H1680 H223:H255 H259:H273 H277:H303 H306:H334 H336:H343" xr:uid="{00000000-0002-0000-0300-000000000000}">
      <formula1>#REF!</formula1>
    </dataValidation>
    <dataValidation type="list" allowBlank="1" showErrorMessage="1" sqref="I1551:I1571 I1574:I1617 I1620 I1622:I1646 I1650:I1662 I1666 I1669:I1672 I1674:I1680 I98:I101 I974:I975 I977:I987 I989:I991 I993:I1001 I1003:I1007 I1009:I1027 I1032:I1100 I1279:I1333 I1694 E1510 E1517:E1519 E1524:E1525 C35:E37 C76:E79 C98:E101 C1551:E1680 D1698:E1698" xr:uid="{00000000-0002-0000-0300-000001000000}">
      <formula1>#REF!</formula1>
    </dataValidation>
    <dataValidation type="list" allowBlank="1" showErrorMessage="1" sqref="J551:J632 J1699:J3967 J1446:J1697 I1445 J1255:J1444 I1254 J1009:J1253 J1003:J1007 J993:J1001 J977:J991 J680:J975" xr:uid="{00000000-0002-0000-0300-000002000000}">
      <formula1>$G$2:$G$16</formula1>
    </dataValidation>
    <dataValidation type="list" allowBlank="1" showErrorMessage="1" sqref="E1537 E888:E889 E976 E1002 E1008 E1453:E1494 E1522:E1523" xr:uid="{00000000-0002-0000-0300-00000D000000}">
      <formula1>$D$2:$D$31</formula1>
    </dataValidation>
    <dataValidation type="list" allowBlank="1" showErrorMessage="1" sqref="I1699:I3967 I102:I222 I248:I529 I531 I533 I543:I548 I551:I637 I680:I753 I820:I973 I988 I1028:I1031 I1101:I1253 I1255:I1278 I1334:I1444 I1446:I1448 I1462 I1495:I1550 I1572:I1573 I1618:I1619 I1621 I1647:I1649 I1663:I1665 I1667:I1668 I1673 I1681:I1693 I1695:I1697" xr:uid="{00000000-0002-0000-0300-000014000000}">
      <formula1>$F$2:$F$5</formula1>
    </dataValidation>
    <dataValidation type="list" allowBlank="1" showErrorMessage="1" sqref="E1699:E3967 E38:E75 E80:E97 E102:E222 E256:E806 E820:E887 E890:E975 E977:E1001 E1003:E1007 E1009:E1452 E1495:E1509 E1511:E1516 E1520:E1521 E1526:E1536 E1538:E1550 E1681:E1697" xr:uid="{00000000-0002-0000-0300-00002E000000}">
      <formula1>$D$2:$D$34</formula1>
    </dataValidation>
    <dataValidation type="list" allowBlank="1" showErrorMessage="1" sqref="C38:C75 C1699:C3967 C1681:C1697 C102:C1550 C80:C97" xr:uid="{00000000-0002-0000-0300-00003E000000}">
      <formula1>$B$2:$B$32</formula1>
    </dataValidation>
    <dataValidation type="list" allowBlank="1" showErrorMessage="1" sqref="D38:D75 D1699:D3967 D1681:D1697 D1539:D1550 D1490:D1507 D1009:D1488 D1003:D1007 D977:D1001 D890:D975 D878:D879 D820:D876 D680:D753 D550:D637 D531 D259:D529 D102:D222 D80:D97" xr:uid="{00000000-0002-0000-0300-000043000000}">
      <formula1>$C$2:$C$32</formula1>
    </dataValidation>
    <dataValidation type="list" allowBlank="1" showErrorMessage="1" sqref="D530 D1508:D1538 D1489 D1008 D1002 D976 D880:D889 D877 D754:D819 D638:D679 D532:D549" xr:uid="{00000000-0002-0000-0300-000054000000}">
      <formula1>$C$2:$C$34</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1">
        <x14:dataValidation type="list" allowBlank="1" showErrorMessage="1" xr:uid="{00000000-0002-0000-0300-00005F000000}">
          <x14:formula1>
            <xm:f>Parámetros!$G$2:$G$16</xm:f>
          </x14:formula1>
          <xm:sqref>J2:J548</xm:sqref>
        </x14:dataValidation>
        <x14:dataValidation type="list" allowBlank="1" showErrorMessage="1" xr:uid="{00000000-0002-0000-0300-000060000000}">
          <x14:formula1>
            <xm:f>Parámetros!$D$2:$D$31</xm:f>
          </x14:formula1>
          <xm:sqref>E807:E819</xm:sqref>
        </x14:dataValidation>
        <x14:dataValidation type="list" allowBlank="1" showErrorMessage="1" xr:uid="{00000000-0002-0000-0300-000061000000}">
          <x14:formula1>
            <xm:f>Parámetros!$F$2:$F$5</xm:f>
          </x14:formula1>
          <xm:sqref>I2:I97</xm:sqref>
        </x14:dataValidation>
        <x14:dataValidation type="list" allowBlank="1" showErrorMessage="1" xr:uid="{00000000-0002-0000-0300-000062000000}">
          <x14:formula1>
            <xm:f>Proyectos!$A$2:$A$673</xm:f>
          </x14:formula1>
          <xm:sqref>G2:G1697 G1699:G3967</xm:sqref>
        </x14:dataValidation>
        <x14:dataValidation type="list" allowBlank="1" showErrorMessage="1" xr:uid="{00000000-0002-0000-0300-000063000000}">
          <x14:formula1>
            <xm:f>Parámetros!$D$2:$D$32</xm:f>
          </x14:formula1>
          <xm:sqref>E223:E255</xm:sqref>
        </x14:dataValidation>
        <x14:dataValidation type="list" allowBlank="1" showErrorMessage="1" xr:uid="{00000000-0002-0000-0300-000064000000}">
          <x14:formula1>
            <xm:f>Parámetros!$D$2:$D$34</xm:f>
          </x14:formula1>
          <xm:sqref>E2:E34</xm:sqref>
        </x14:dataValidation>
        <x14:dataValidation type="list" allowBlank="1" showErrorMessage="1" xr:uid="{00000000-0002-0000-0300-000065000000}">
          <x14:formula1>
            <xm:f>Parámetros!$B$2:$B$32</xm:f>
          </x14:formula1>
          <xm:sqref>C2:C34</xm:sqref>
        </x14:dataValidation>
        <x14:dataValidation type="list" allowBlank="1" showErrorMessage="1" xr:uid="{00000000-0002-0000-0300-000066000000}">
          <x14:formula1>
            <xm:f>Parámetros!$C$2:$C$32</xm:f>
          </x14:formula1>
          <xm:sqref>D2:D34</xm:sqref>
        </x14:dataValidation>
        <x14:dataValidation type="list" allowBlank="1" showErrorMessage="1" xr:uid="{00000000-0002-0000-0300-000067000000}">
          <x14:formula1>
            <xm:f>Parámetros!$C$2:$C$34</xm:f>
          </x14:formula1>
          <xm:sqref>D223:D258</xm:sqref>
        </x14:dataValidation>
        <x14:dataValidation type="list" allowBlank="1" xr:uid="{00000000-0002-0000-0300-000068000000}">
          <x14:formula1>
            <xm:f>Parámetros!#REF!</xm:f>
          </x14:formula1>
          <xm:sqref>H17:H18 H1699:H3967 H1695:H1697 H1681:H1693 H1571 H1321 H1302:H1306 H1280 H1101:H1278 H1043:H1054 H1028:H1031 H988 H973 H966:H971 H954:H958 H304:H305 H274:H276 H256:H258 H102:H222 H80:H97 H22:H75 H335 H1334:H1550 H1008 H1002 H992 H976 H344:H952</xm:sqref>
        </x14:dataValidation>
        <x14:dataValidation type="list" allowBlank="1" showErrorMessage="1" xr:uid="{00000000-0002-0000-0300-000069000000}">
          <x14:formula1>
            <xm:f>Parámetros!#REF!</xm:f>
          </x14:formula1>
          <xm:sqref>I223:I247 I1463:I1494 I1449:I1461 I1008 I1002 I992 I976 I754:I819 I638:I679 I549:I550 I534:I542 I532 I530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8"/>
  <sheetViews>
    <sheetView showGridLines="0" workbookViewId="0"/>
  </sheetViews>
  <sheetFormatPr baseColWidth="10" defaultColWidth="12.5703125" defaultRowHeight="15.75" customHeight="1" x14ac:dyDescent="0.2"/>
  <sheetData>
    <row r="1" spans="1:4" x14ac:dyDescent="0.2">
      <c r="A1" s="148" t="s">
        <v>5929</v>
      </c>
      <c r="B1" s="148" t="s">
        <v>3278</v>
      </c>
      <c r="C1" s="162"/>
      <c r="D1" s="154"/>
    </row>
    <row r="2" spans="1:4" x14ac:dyDescent="0.2">
      <c r="A2" s="148" t="s">
        <v>0</v>
      </c>
      <c r="B2" s="167" t="s">
        <v>10</v>
      </c>
      <c r="C2" s="168" t="s">
        <v>40</v>
      </c>
      <c r="D2" s="169" t="s">
        <v>5930</v>
      </c>
    </row>
    <row r="3" spans="1:4" x14ac:dyDescent="0.2">
      <c r="A3" s="150" t="s">
        <v>7</v>
      </c>
      <c r="B3" s="170">
        <v>63.300000000000047</v>
      </c>
      <c r="C3" s="171">
        <v>52.999999999999979</v>
      </c>
      <c r="D3" s="159">
        <v>116.30000000000003</v>
      </c>
    </row>
    <row r="4" spans="1:4" x14ac:dyDescent="0.2">
      <c r="A4" s="160" t="s">
        <v>37</v>
      </c>
      <c r="B4" s="172">
        <v>26.720000000000006</v>
      </c>
      <c r="C4" s="173">
        <v>24</v>
      </c>
      <c r="D4" s="161">
        <v>50.720000000000006</v>
      </c>
    </row>
    <row r="5" spans="1:4" x14ac:dyDescent="0.2">
      <c r="A5" s="160" t="s">
        <v>115</v>
      </c>
      <c r="B5" s="172">
        <v>86.9</v>
      </c>
      <c r="C5" s="173">
        <v>142.99999999999997</v>
      </c>
      <c r="D5" s="161">
        <v>229.89999999999998</v>
      </c>
    </row>
    <row r="6" spans="1:4" x14ac:dyDescent="0.2">
      <c r="A6" s="160" t="s">
        <v>98</v>
      </c>
      <c r="B6" s="172">
        <v>100.2</v>
      </c>
      <c r="C6" s="173">
        <v>76</v>
      </c>
      <c r="D6" s="161">
        <v>176.2</v>
      </c>
    </row>
    <row r="7" spans="1:4" x14ac:dyDescent="0.2">
      <c r="A7" s="160" t="s">
        <v>64</v>
      </c>
      <c r="B7" s="172">
        <v>131.6</v>
      </c>
      <c r="C7" s="173">
        <v>92.19999999999996</v>
      </c>
      <c r="D7" s="161">
        <v>223.79999999999995</v>
      </c>
    </row>
    <row r="8" spans="1:4" x14ac:dyDescent="0.2">
      <c r="A8" s="155" t="s">
        <v>5930</v>
      </c>
      <c r="B8" s="174">
        <v>408.72</v>
      </c>
      <c r="C8" s="175">
        <v>388.19999999999993</v>
      </c>
      <c r="D8" s="164">
        <v>796.92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Q2155"/>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2.5703125" defaultRowHeight="15.75" customHeight="1" x14ac:dyDescent="0.2"/>
  <cols>
    <col min="1" max="1" width="8" customWidth="1"/>
    <col min="2" max="2" width="36.28515625" customWidth="1"/>
    <col min="3" max="3" width="18.5703125" customWidth="1"/>
    <col min="4" max="4" width="38.140625" customWidth="1"/>
    <col min="5" max="6" width="14.42578125" customWidth="1"/>
    <col min="7" max="7" width="68.28515625" customWidth="1"/>
    <col min="9" max="9" width="22.42578125" customWidth="1"/>
    <col min="10" max="10" width="33.42578125" customWidth="1"/>
    <col min="11" max="11" width="13.7109375" customWidth="1"/>
    <col min="12" max="12" width="14" customWidth="1"/>
    <col min="13" max="13" width="29.42578125" customWidth="1"/>
    <col min="14" max="17" width="22.42578125" customWidth="1"/>
  </cols>
  <sheetData>
    <row r="1" spans="1:17" ht="15" customHeight="1" x14ac:dyDescent="0.2">
      <c r="A1" s="18" t="s">
        <v>3273</v>
      </c>
      <c r="B1" s="19" t="s">
        <v>3274</v>
      </c>
      <c r="C1" s="20" t="s">
        <v>0</v>
      </c>
      <c r="D1" s="20" t="s">
        <v>1</v>
      </c>
      <c r="E1" s="19" t="s">
        <v>2</v>
      </c>
      <c r="F1" s="21" t="s">
        <v>5103</v>
      </c>
      <c r="G1" s="21" t="s">
        <v>5104</v>
      </c>
      <c r="H1" s="22" t="s">
        <v>5105</v>
      </c>
      <c r="I1" s="21" t="s">
        <v>3275</v>
      </c>
      <c r="J1" s="21" t="s">
        <v>3277</v>
      </c>
      <c r="K1" s="21" t="s">
        <v>3278</v>
      </c>
      <c r="L1" s="21" t="s">
        <v>282</v>
      </c>
      <c r="M1" s="21" t="s">
        <v>5106</v>
      </c>
      <c r="N1" s="21" t="s">
        <v>5107</v>
      </c>
      <c r="O1" s="21" t="s">
        <v>5108</v>
      </c>
      <c r="P1" s="23" t="s">
        <v>5109</v>
      </c>
      <c r="Q1" s="23" t="s">
        <v>5110</v>
      </c>
    </row>
    <row r="2" spans="1:17" ht="16.5" customHeight="1" x14ac:dyDescent="0.2">
      <c r="A2" s="26" t="s">
        <v>4037</v>
      </c>
      <c r="B2" s="26" t="s">
        <v>5585</v>
      </c>
      <c r="C2" s="26" t="s">
        <v>98</v>
      </c>
      <c r="D2" s="26" t="s">
        <v>105</v>
      </c>
      <c r="E2" s="26" t="s">
        <v>83</v>
      </c>
      <c r="F2" s="28" t="e">
        <f ca="1">_xludf.ifna(VLOOKUP(G3,Proyectos!$E$1:$H$4,4,0),"")</f>
        <v>#NAME?</v>
      </c>
      <c r="G2" s="27" t="s">
        <v>5586</v>
      </c>
      <c r="H2" s="32">
        <v>1</v>
      </c>
      <c r="I2" s="31" t="s">
        <v>25</v>
      </c>
      <c r="J2" s="32"/>
      <c r="K2" s="32" t="str">
        <f t="shared" ref="K2:K256" si="0">IF(E2="BBVA","Interno","Externo")</f>
        <v>Externo</v>
      </c>
      <c r="L2" s="32" t="e">
        <f ca="1">_xludf.ifna(VLOOKUP(G3,Proyectos!$E$1:$N$4,10,0),"")</f>
        <v>#NAME?</v>
      </c>
      <c r="M2" s="32"/>
      <c r="N2" s="32"/>
      <c r="O2" s="31"/>
      <c r="P2" s="33"/>
      <c r="Q2" s="33"/>
    </row>
    <row r="3" spans="1:17" ht="16.5" customHeight="1" x14ac:dyDescent="0.2">
      <c r="A3" s="26" t="s">
        <v>4936</v>
      </c>
      <c r="B3" s="26" t="s">
        <v>4937</v>
      </c>
      <c r="C3" s="26" t="s">
        <v>7</v>
      </c>
      <c r="D3" s="26" t="s">
        <v>16</v>
      </c>
      <c r="E3" s="26" t="s">
        <v>126</v>
      </c>
      <c r="F3" s="28" t="e">
        <f ca="1">_xludf.ifna(VLOOKUP(G4,Proyectos!$E$1:$H$4,4,0),"")</f>
        <v>#NAME?</v>
      </c>
      <c r="G3" s="26" t="s">
        <v>5266</v>
      </c>
      <c r="H3" s="65">
        <v>0.55000000000000004</v>
      </c>
      <c r="I3" s="31" t="s">
        <v>18</v>
      </c>
      <c r="J3" s="32"/>
      <c r="K3" s="32" t="str">
        <f t="shared" si="0"/>
        <v>Externo</v>
      </c>
      <c r="L3" s="32" t="e">
        <f ca="1">_xludf.ifna(VLOOKUP(G4,Proyectos!$E$1:$N$4,10,0),"")</f>
        <v>#NAME?</v>
      </c>
      <c r="M3" s="32"/>
      <c r="N3" s="32"/>
      <c r="O3" s="31"/>
      <c r="P3" s="33"/>
      <c r="Q3" s="33"/>
    </row>
    <row r="4" spans="1:17" ht="16.5" customHeight="1" x14ac:dyDescent="0.2">
      <c r="A4" s="26" t="s">
        <v>4936</v>
      </c>
      <c r="B4" s="26" t="s">
        <v>4937</v>
      </c>
      <c r="C4" s="26" t="s">
        <v>7</v>
      </c>
      <c r="D4" s="26" t="s">
        <v>16</v>
      </c>
      <c r="E4" s="26" t="s">
        <v>126</v>
      </c>
      <c r="F4" s="28" t="e">
        <f ca="1">_xludf.ifna(VLOOKUP(G5,Proyectos!$E$1:$H$4,4,0),"")</f>
        <v>#NAME?</v>
      </c>
      <c r="G4" s="26" t="s">
        <v>5269</v>
      </c>
      <c r="H4" s="65">
        <v>0.45</v>
      </c>
      <c r="I4" s="31" t="s">
        <v>18</v>
      </c>
      <c r="J4" s="32"/>
      <c r="K4" s="32" t="str">
        <f t="shared" si="0"/>
        <v>Externo</v>
      </c>
      <c r="L4" s="32" t="e">
        <f ca="1">_xludf.ifna(VLOOKUP(G5,Proyectos!$E$1:$N$4,10,0),"")</f>
        <v>#NAME?</v>
      </c>
      <c r="M4" s="32"/>
      <c r="N4" s="32"/>
      <c r="O4" s="31"/>
      <c r="P4" s="33"/>
      <c r="Q4" s="33"/>
    </row>
    <row r="5" spans="1:17" ht="16.5" customHeight="1" x14ac:dyDescent="0.2">
      <c r="A5" s="26" t="s">
        <v>3966</v>
      </c>
      <c r="B5" s="26" t="s">
        <v>3967</v>
      </c>
      <c r="C5" s="26" t="s">
        <v>115</v>
      </c>
      <c r="D5" s="26" t="s">
        <v>119</v>
      </c>
      <c r="E5" s="26" t="s">
        <v>135</v>
      </c>
      <c r="F5" s="28" t="e">
        <f ca="1">_xludf.ifna(VLOOKUP(G6,Proyectos!$E$1:$H$4,4,0),"")</f>
        <v>#NAME?</v>
      </c>
      <c r="G5" s="26" t="s">
        <v>5131</v>
      </c>
      <c r="H5" s="32">
        <v>0.4</v>
      </c>
      <c r="I5" s="31" t="s">
        <v>18</v>
      </c>
      <c r="J5" s="32"/>
      <c r="K5" s="32" t="str">
        <f t="shared" si="0"/>
        <v>Externo</v>
      </c>
      <c r="L5" s="32" t="e">
        <f ca="1">_xludf.ifna(VLOOKUP(G6,Proyectos!$E$1:$N$4,10,0),"")</f>
        <v>#NAME?</v>
      </c>
      <c r="M5" s="32"/>
      <c r="N5" s="32"/>
      <c r="O5" s="31"/>
      <c r="P5" s="33"/>
      <c r="Q5" s="33"/>
    </row>
    <row r="6" spans="1:17" ht="16.5" customHeight="1" x14ac:dyDescent="0.2">
      <c r="A6" s="26"/>
      <c r="B6" s="26" t="s">
        <v>3967</v>
      </c>
      <c r="C6" s="26" t="s">
        <v>115</v>
      </c>
      <c r="D6" s="26" t="s">
        <v>119</v>
      </c>
      <c r="E6" s="26" t="s">
        <v>135</v>
      </c>
      <c r="F6" s="28" t="e">
        <f ca="1">_xludf.ifna(VLOOKUP(G7,Proyectos!$E$1:$H$4,4,0),"")</f>
        <v>#NAME?</v>
      </c>
      <c r="G6" s="26" t="s">
        <v>5212</v>
      </c>
      <c r="H6" s="32">
        <v>0.6</v>
      </c>
      <c r="I6" s="31" t="s">
        <v>18</v>
      </c>
      <c r="J6" s="32"/>
      <c r="K6" s="32" t="str">
        <f t="shared" si="0"/>
        <v>Externo</v>
      </c>
      <c r="L6" s="32" t="e">
        <f ca="1">_xludf.ifna(VLOOKUP(G7,Proyectos!$E$1:$N$4,10,0),"")</f>
        <v>#NAME?</v>
      </c>
      <c r="M6" s="32"/>
      <c r="N6" s="31"/>
      <c r="O6" s="31"/>
      <c r="P6" s="33"/>
      <c r="Q6" s="33"/>
    </row>
    <row r="7" spans="1:17" ht="16.5" customHeight="1" x14ac:dyDescent="0.2">
      <c r="A7" s="26" t="s">
        <v>4905</v>
      </c>
      <c r="B7" s="26" t="s">
        <v>4906</v>
      </c>
      <c r="C7" s="26" t="s">
        <v>115</v>
      </c>
      <c r="D7" s="26" t="s">
        <v>116</v>
      </c>
      <c r="E7" s="26" t="s">
        <v>9</v>
      </c>
      <c r="F7" s="28" t="e">
        <f ca="1">_xludf.ifna(VLOOKUP(G8,Proyectos!$E$1:$H$4,4,0),"")</f>
        <v>#NAME?</v>
      </c>
      <c r="G7" s="26" t="s">
        <v>5468</v>
      </c>
      <c r="H7" s="32">
        <v>1</v>
      </c>
      <c r="I7" s="31" t="s">
        <v>18</v>
      </c>
      <c r="J7" s="32"/>
      <c r="K7" s="32" t="str">
        <f t="shared" si="0"/>
        <v>Externo</v>
      </c>
      <c r="L7" s="32" t="e">
        <f ca="1">_xludf.ifna(VLOOKUP(G8,Proyectos!$E$1:$N$4,10,0),"")</f>
        <v>#NAME?</v>
      </c>
      <c r="M7" s="32"/>
      <c r="N7" s="32"/>
      <c r="O7" s="31"/>
      <c r="P7" s="33"/>
      <c r="Q7" s="33"/>
    </row>
    <row r="8" spans="1:17" ht="16.5" customHeight="1" x14ac:dyDescent="0.2">
      <c r="B8" s="26" t="s">
        <v>5587</v>
      </c>
      <c r="C8" s="26" t="s">
        <v>64</v>
      </c>
      <c r="D8" s="26" t="s">
        <v>95</v>
      </c>
      <c r="E8" s="26" t="s">
        <v>120</v>
      </c>
      <c r="F8" s="28" t="e">
        <f ca="1">_xludf.ifna(VLOOKUP(G9,Proyectos!$E$1:$H$4,4,0),"")</f>
        <v>#NAME?</v>
      </c>
      <c r="G8" s="26" t="s">
        <v>5364</v>
      </c>
      <c r="H8" s="32">
        <v>0.5</v>
      </c>
      <c r="I8" s="31" t="s">
        <v>18</v>
      </c>
      <c r="J8" s="32"/>
      <c r="K8" s="32" t="str">
        <f t="shared" si="0"/>
        <v>Externo</v>
      </c>
      <c r="L8" s="32" t="e">
        <f ca="1">_xludf.ifna(VLOOKUP(G9,Proyectos!$E$1:$N$4,10,0),"")</f>
        <v>#NAME?</v>
      </c>
      <c r="M8" s="32"/>
      <c r="N8" s="32"/>
      <c r="O8" s="31"/>
      <c r="P8" s="33"/>
      <c r="Q8" s="33"/>
    </row>
    <row r="9" spans="1:17" ht="16.5" customHeight="1" x14ac:dyDescent="0.2">
      <c r="A9" s="26" t="s">
        <v>4286</v>
      </c>
      <c r="B9" s="26" t="s">
        <v>5412</v>
      </c>
      <c r="C9" s="26" t="s">
        <v>115</v>
      </c>
      <c r="D9" s="26" t="s">
        <v>122</v>
      </c>
      <c r="E9" s="26" t="s">
        <v>120</v>
      </c>
      <c r="F9" s="28" t="e">
        <f ca="1">_xludf.ifna(VLOOKUP(G10,Proyectos!$E$1:$H$4,4,0),"")</f>
        <v>#NAME?</v>
      </c>
      <c r="G9" s="26" t="s">
        <v>5588</v>
      </c>
      <c r="H9" s="32">
        <v>1</v>
      </c>
      <c r="I9" s="31" t="s">
        <v>18</v>
      </c>
      <c r="J9" s="32"/>
      <c r="K9" s="32" t="str">
        <f t="shared" si="0"/>
        <v>Externo</v>
      </c>
      <c r="L9" s="32" t="e">
        <f ca="1">_xludf.ifna(VLOOKUP(G10,Proyectos!$E$1:$N$4,10,0),"")</f>
        <v>#NAME?</v>
      </c>
      <c r="M9" s="32"/>
      <c r="N9" s="32"/>
      <c r="O9" s="31"/>
      <c r="P9" s="33"/>
      <c r="Q9" s="33"/>
    </row>
    <row r="10" spans="1:17" ht="16.5" customHeight="1" x14ac:dyDescent="0.2">
      <c r="A10" s="26" t="s">
        <v>5589</v>
      </c>
      <c r="B10" s="26" t="s">
        <v>5590</v>
      </c>
      <c r="C10" s="26" t="s">
        <v>64</v>
      </c>
      <c r="D10" s="26" t="s">
        <v>82</v>
      </c>
      <c r="E10" s="26" t="s">
        <v>39</v>
      </c>
      <c r="F10" s="28" t="e">
        <f ca="1">_xludf.ifna(VLOOKUP(G11,Proyectos!$E$1:$H$4,4,0),"")</f>
        <v>#NAME?</v>
      </c>
      <c r="G10" s="26" t="s">
        <v>5387</v>
      </c>
      <c r="H10" s="32">
        <v>1</v>
      </c>
      <c r="I10" s="31" t="s">
        <v>25</v>
      </c>
      <c r="J10" s="32"/>
      <c r="K10" s="32" t="str">
        <f t="shared" si="0"/>
        <v>Interno</v>
      </c>
      <c r="L10" s="32" t="e">
        <f ca="1">_xludf.ifna(VLOOKUP(G11,Proyectos!$E$1:$N$4,10,0),"")</f>
        <v>#NAME?</v>
      </c>
      <c r="M10" s="32"/>
      <c r="N10" s="32"/>
      <c r="O10" s="31"/>
      <c r="P10" s="33"/>
      <c r="Q10" s="33"/>
    </row>
    <row r="11" spans="1:17" ht="16.5" customHeight="1" x14ac:dyDescent="0.2">
      <c r="A11" s="26" t="s">
        <v>5031</v>
      </c>
      <c r="B11" s="26" t="s">
        <v>5032</v>
      </c>
      <c r="C11" s="26" t="s">
        <v>64</v>
      </c>
      <c r="D11" s="26" t="s">
        <v>95</v>
      </c>
      <c r="E11" s="26" t="s">
        <v>126</v>
      </c>
      <c r="F11" s="28" t="e">
        <f ca="1">_xludf.ifna(VLOOKUP(G12,Proyectos!$E$1:$H$4,4,0),"")</f>
        <v>#NAME?</v>
      </c>
      <c r="G11" s="26" t="s">
        <v>5363</v>
      </c>
      <c r="H11" s="32">
        <v>1</v>
      </c>
      <c r="I11" s="31" t="s">
        <v>18</v>
      </c>
      <c r="J11" s="32"/>
      <c r="K11" s="32" t="str">
        <f t="shared" si="0"/>
        <v>Externo</v>
      </c>
      <c r="L11" s="32" t="e">
        <f ca="1">_xludf.ifna(VLOOKUP(G12,Proyectos!$E$1:$N$4,10,0),"")</f>
        <v>#NAME?</v>
      </c>
      <c r="M11" s="32"/>
      <c r="N11" s="32"/>
      <c r="O11" s="31"/>
      <c r="P11" s="33"/>
      <c r="Q11" s="33"/>
    </row>
    <row r="12" spans="1:17" ht="16.5" customHeight="1" x14ac:dyDescent="0.2">
      <c r="A12" s="26" t="s">
        <v>4465</v>
      </c>
      <c r="B12" s="26" t="s">
        <v>4466</v>
      </c>
      <c r="C12" s="26" t="s">
        <v>115</v>
      </c>
      <c r="D12" s="26" t="s">
        <v>122</v>
      </c>
      <c r="E12" s="26" t="s">
        <v>83</v>
      </c>
      <c r="F12" s="28" t="e">
        <f ca="1">_xludf.ifna(VLOOKUP(G13,Proyectos!$E$1:$H$4,4,0),"")</f>
        <v>#NAME?</v>
      </c>
      <c r="G12" s="26" t="s">
        <v>5414</v>
      </c>
      <c r="H12" s="32">
        <v>1</v>
      </c>
      <c r="I12" s="31" t="s">
        <v>25</v>
      </c>
      <c r="J12" s="32"/>
      <c r="K12" s="32" t="str">
        <f t="shared" si="0"/>
        <v>Externo</v>
      </c>
      <c r="L12" s="32" t="e">
        <f ca="1">_xludf.ifna(VLOOKUP(G13,Proyectos!$E$1:$N$4,10,0),"")</f>
        <v>#NAME?</v>
      </c>
      <c r="M12" s="32"/>
      <c r="N12" s="32"/>
      <c r="O12" s="31"/>
      <c r="P12" s="33"/>
      <c r="Q12" s="33"/>
    </row>
    <row r="13" spans="1:17" ht="16.5" customHeight="1" x14ac:dyDescent="0.2">
      <c r="A13" s="26" t="s">
        <v>4470</v>
      </c>
      <c r="B13" s="26" t="s">
        <v>5591</v>
      </c>
      <c r="C13" s="26" t="s">
        <v>64</v>
      </c>
      <c r="D13" s="26" t="s">
        <v>86</v>
      </c>
      <c r="E13" s="26" t="s">
        <v>83</v>
      </c>
      <c r="F13" s="28" t="e">
        <f ca="1">_xludf.ifna(VLOOKUP(G14,Proyectos!$E$1:$H$4,4,0),"")</f>
        <v>#NAME?</v>
      </c>
      <c r="G13" s="26" t="s">
        <v>5387</v>
      </c>
      <c r="H13" s="30">
        <v>1</v>
      </c>
      <c r="I13" s="31" t="s">
        <v>25</v>
      </c>
      <c r="J13" s="32"/>
      <c r="K13" s="32" t="str">
        <f t="shared" si="0"/>
        <v>Externo</v>
      </c>
      <c r="L13" s="32" t="e">
        <f ca="1">_xludf.ifna(VLOOKUP(G14,Proyectos!$E$1:$N$4,10,0),"")</f>
        <v>#NAME?</v>
      </c>
      <c r="M13" s="32"/>
      <c r="N13" s="32"/>
      <c r="O13" s="31"/>
      <c r="P13" s="33"/>
      <c r="Q13" s="33"/>
    </row>
    <row r="14" spans="1:17" ht="16.5" customHeight="1" x14ac:dyDescent="0.2">
      <c r="A14" s="26" t="s">
        <v>4470</v>
      </c>
      <c r="B14" s="26" t="s">
        <v>5592</v>
      </c>
      <c r="C14" s="26" t="s">
        <v>64</v>
      </c>
      <c r="D14" s="26" t="s">
        <v>86</v>
      </c>
      <c r="E14" s="26" t="s">
        <v>83</v>
      </c>
      <c r="F14" s="28" t="e">
        <f ca="1">_xludf.ifna(VLOOKUP(G15,Proyectos!$E$1:$H$4,4,0),"")</f>
        <v>#NAME?</v>
      </c>
      <c r="G14" s="26" t="s">
        <v>5463</v>
      </c>
      <c r="H14" s="30">
        <v>1</v>
      </c>
      <c r="I14" s="31" t="s">
        <v>25</v>
      </c>
      <c r="J14" s="32"/>
      <c r="K14" s="32" t="str">
        <f t="shared" si="0"/>
        <v>Externo</v>
      </c>
      <c r="L14" s="32" t="e">
        <f ca="1">_xludf.ifna(VLOOKUP(G15,Proyectos!$E$1:$N$4,10,0),"")</f>
        <v>#NAME?</v>
      </c>
      <c r="M14" s="32"/>
      <c r="N14" s="32"/>
      <c r="O14" s="31"/>
      <c r="P14" s="33"/>
      <c r="Q14" s="33"/>
    </row>
    <row r="15" spans="1:17" ht="16.5" customHeight="1" x14ac:dyDescent="0.2">
      <c r="A15" s="26" t="s">
        <v>4857</v>
      </c>
      <c r="B15" s="26" t="s">
        <v>4858</v>
      </c>
      <c r="C15" s="26" t="s">
        <v>98</v>
      </c>
      <c r="D15" s="26" t="s">
        <v>107</v>
      </c>
      <c r="E15" s="26" t="s">
        <v>126</v>
      </c>
      <c r="F15" s="28" t="e">
        <f ca="1">_xludf.ifna(VLOOKUP(G16,Proyectos!$E$1:$H$4,4,0),"")</f>
        <v>#NAME?</v>
      </c>
      <c r="G15" s="26" t="s">
        <v>5593</v>
      </c>
      <c r="H15" s="32">
        <v>1</v>
      </c>
      <c r="I15" s="31" t="s">
        <v>18</v>
      </c>
      <c r="J15" s="32"/>
      <c r="K15" s="32" t="str">
        <f t="shared" si="0"/>
        <v>Externo</v>
      </c>
      <c r="L15" s="32" t="e">
        <f ca="1">_xludf.ifna(VLOOKUP(G16,Proyectos!$E$1:$N$4,10,0),"")</f>
        <v>#NAME?</v>
      </c>
      <c r="M15" s="32"/>
      <c r="N15" s="32"/>
      <c r="O15" s="31"/>
      <c r="P15" s="33"/>
      <c r="Q15" s="33"/>
    </row>
    <row r="16" spans="1:17" ht="16.5" customHeight="1" x14ac:dyDescent="0.2">
      <c r="A16" s="26" t="s">
        <v>4732</v>
      </c>
      <c r="B16" s="26" t="s">
        <v>4733</v>
      </c>
      <c r="C16" s="26" t="s">
        <v>115</v>
      </c>
      <c r="D16" s="26" t="s">
        <v>119</v>
      </c>
      <c r="E16" s="26" t="s">
        <v>39</v>
      </c>
      <c r="F16" s="28" t="e">
        <f ca="1">_xludf.ifna(VLOOKUP(G17,Proyectos!$E$1:$H$4,4,0),"")</f>
        <v>#NAME?</v>
      </c>
      <c r="G16" s="26" t="s">
        <v>5213</v>
      </c>
      <c r="H16" s="32">
        <v>1</v>
      </c>
      <c r="I16" s="31" t="s">
        <v>18</v>
      </c>
      <c r="J16" s="32"/>
      <c r="K16" s="32" t="str">
        <f t="shared" si="0"/>
        <v>Interno</v>
      </c>
      <c r="L16" s="32" t="e">
        <f ca="1">_xludf.ifna(VLOOKUP(G17,Proyectos!$E$1:$N$4,10,0),"")</f>
        <v>#NAME?</v>
      </c>
      <c r="M16" s="32"/>
      <c r="N16" s="31"/>
      <c r="O16" s="31"/>
      <c r="P16" s="33"/>
      <c r="Q16" s="33"/>
    </row>
    <row r="17" spans="1:17" ht="16.5" customHeight="1" x14ac:dyDescent="0.2">
      <c r="A17" s="26" t="s">
        <v>4459</v>
      </c>
      <c r="B17" s="26" t="s">
        <v>4460</v>
      </c>
      <c r="C17" s="26" t="s">
        <v>98</v>
      </c>
      <c r="D17" s="26" t="s">
        <v>107</v>
      </c>
      <c r="E17" s="26" t="s">
        <v>87</v>
      </c>
      <c r="F17" s="28" t="e">
        <f ca="1">_xludf.ifna(VLOOKUP(G18,Proyectos!$E$1:$H$4,4,0),"")</f>
        <v>#NAME?</v>
      </c>
      <c r="G17" s="26" t="s">
        <v>5329</v>
      </c>
      <c r="H17" s="32">
        <v>0.5</v>
      </c>
      <c r="I17" s="31" t="s">
        <v>18</v>
      </c>
      <c r="J17" s="32"/>
      <c r="K17" s="32" t="str">
        <f t="shared" si="0"/>
        <v>Externo</v>
      </c>
      <c r="L17" s="32" t="e">
        <f ca="1">_xludf.ifna(VLOOKUP(G18,Proyectos!$E$1:$N$4,10,0),"")</f>
        <v>#NAME?</v>
      </c>
      <c r="M17" s="32"/>
      <c r="N17" s="32"/>
      <c r="O17" s="31"/>
      <c r="P17" s="33"/>
      <c r="Q17" s="33"/>
    </row>
    <row r="18" spans="1:17" ht="16.5" customHeight="1" x14ac:dyDescent="0.2">
      <c r="A18" s="26" t="s">
        <v>4459</v>
      </c>
      <c r="B18" s="26" t="s">
        <v>4460</v>
      </c>
      <c r="C18" s="26" t="s">
        <v>98</v>
      </c>
      <c r="D18" s="26" t="s">
        <v>107</v>
      </c>
      <c r="E18" s="26" t="s">
        <v>87</v>
      </c>
      <c r="F18" s="28" t="e">
        <f ca="1">_xludf.ifna(VLOOKUP(G19,Proyectos!$E$1:$H$4,4,0),"")</f>
        <v>#NAME?</v>
      </c>
      <c r="G18" s="26" t="s">
        <v>5126</v>
      </c>
      <c r="H18" s="32">
        <v>0.5</v>
      </c>
      <c r="I18" s="31" t="s">
        <v>18</v>
      </c>
      <c r="J18" s="32"/>
      <c r="K18" s="32" t="str">
        <f t="shared" si="0"/>
        <v>Externo</v>
      </c>
      <c r="L18" s="32" t="e">
        <f ca="1">_xludf.ifna(VLOOKUP(G19,Proyectos!$E$1:$N$4,10,0),"")</f>
        <v>#NAME?</v>
      </c>
      <c r="M18" s="32"/>
      <c r="N18" s="32"/>
      <c r="O18" s="31"/>
      <c r="P18" s="33"/>
      <c r="Q18" s="33"/>
    </row>
    <row r="19" spans="1:17" ht="16.5" customHeight="1" x14ac:dyDescent="0.2">
      <c r="A19" s="35" t="s">
        <v>4330</v>
      </c>
      <c r="B19" s="26" t="s">
        <v>5482</v>
      </c>
      <c r="C19" s="26" t="s">
        <v>64</v>
      </c>
      <c r="D19" s="26" t="s">
        <v>82</v>
      </c>
      <c r="E19" s="35" t="s">
        <v>9</v>
      </c>
      <c r="F19" s="28" t="e">
        <f ca="1">_xludf.ifna(VLOOKUP(G20,Proyectos!$E$1:$H$4,4,0),"")</f>
        <v>#NAME?</v>
      </c>
      <c r="G19" s="26" t="s">
        <v>5387</v>
      </c>
      <c r="H19" s="32">
        <v>1</v>
      </c>
      <c r="I19" s="31" t="s">
        <v>25</v>
      </c>
      <c r="J19" s="32"/>
      <c r="K19" s="32" t="str">
        <f t="shared" si="0"/>
        <v>Externo</v>
      </c>
      <c r="L19" s="32" t="e">
        <f ca="1">_xludf.ifna(VLOOKUP(G20,Proyectos!$E$1:$N$4,10,0),"")</f>
        <v>#NAME?</v>
      </c>
      <c r="M19" s="32"/>
      <c r="N19" s="32"/>
      <c r="O19" s="31"/>
      <c r="P19" s="33"/>
      <c r="Q19" s="33"/>
    </row>
    <row r="20" spans="1:17" ht="16.5" customHeight="1" x14ac:dyDescent="0.2">
      <c r="A20" s="26" t="s">
        <v>3704</v>
      </c>
      <c r="B20" s="26" t="s">
        <v>3705</v>
      </c>
      <c r="C20" s="26" t="s">
        <v>37</v>
      </c>
      <c r="D20" s="26" t="s">
        <v>38</v>
      </c>
      <c r="E20" s="26" t="s">
        <v>39</v>
      </c>
      <c r="F20" s="28" t="e">
        <f ca="1">_xludf.ifna(VLOOKUP(G21,Proyectos!$E$1:$H$4,4,0),"")</f>
        <v>#NAME?</v>
      </c>
      <c r="G20" s="26" t="s">
        <v>5594</v>
      </c>
      <c r="H20" s="32">
        <v>0.75</v>
      </c>
      <c r="I20" s="31" t="s">
        <v>18</v>
      </c>
      <c r="J20" s="32"/>
      <c r="K20" s="32" t="str">
        <f t="shared" si="0"/>
        <v>Interno</v>
      </c>
      <c r="L20" s="32" t="e">
        <f ca="1">_xludf.ifna(VLOOKUP(G21,Proyectos!$E$1:$N$4,10,0),"")</f>
        <v>#NAME?</v>
      </c>
      <c r="M20" s="32"/>
      <c r="N20" s="31"/>
      <c r="O20" s="31"/>
      <c r="P20" s="33"/>
      <c r="Q20" s="33"/>
    </row>
    <row r="21" spans="1:17" ht="16.5" customHeight="1" x14ac:dyDescent="0.2">
      <c r="A21" s="26" t="s">
        <v>3704</v>
      </c>
      <c r="B21" s="26" t="s">
        <v>3705</v>
      </c>
      <c r="C21" s="26" t="s">
        <v>37</v>
      </c>
      <c r="D21" s="26" t="s">
        <v>38</v>
      </c>
      <c r="E21" s="26" t="s">
        <v>39</v>
      </c>
      <c r="F21" s="28" t="e">
        <f ca="1">_xludf.ifna(VLOOKUP(G22,Proyectos!$E$1:$H$4,4,0),"")</f>
        <v>#NAME?</v>
      </c>
      <c r="G21" s="26" t="s">
        <v>5345</v>
      </c>
      <c r="H21" s="32">
        <v>0.25</v>
      </c>
      <c r="I21" s="31" t="s">
        <v>18</v>
      </c>
      <c r="J21" s="32"/>
      <c r="K21" s="32" t="str">
        <f t="shared" si="0"/>
        <v>Interno</v>
      </c>
      <c r="L21" s="32" t="e">
        <f ca="1">_xludf.ifna(VLOOKUP(G22,Proyectos!$E$1:$N$4,10,0),"")</f>
        <v>#NAME?</v>
      </c>
      <c r="M21" s="32"/>
      <c r="N21" s="31"/>
      <c r="O21" s="31"/>
      <c r="P21" s="33"/>
      <c r="Q21" s="33"/>
    </row>
    <row r="22" spans="1:17" ht="16.5" customHeight="1" x14ac:dyDescent="0.2">
      <c r="A22" s="35" t="s">
        <v>4855</v>
      </c>
      <c r="B22" s="26" t="s">
        <v>5397</v>
      </c>
      <c r="C22" s="26" t="s">
        <v>64</v>
      </c>
      <c r="D22" s="26" t="s">
        <v>82</v>
      </c>
      <c r="E22" s="35" t="s">
        <v>106</v>
      </c>
      <c r="F22" s="28" t="e">
        <f ca="1">_xludf.ifna(VLOOKUP(G23,Proyectos!$E$1:$H$4,4,0),"")</f>
        <v>#NAME?</v>
      </c>
      <c r="G22" s="26" t="s">
        <v>5387</v>
      </c>
      <c r="H22" s="32">
        <v>1</v>
      </c>
      <c r="I22" s="31" t="s">
        <v>18</v>
      </c>
      <c r="J22" s="32"/>
      <c r="K22" s="32" t="str">
        <f t="shared" si="0"/>
        <v>Externo</v>
      </c>
      <c r="L22" s="32" t="e">
        <f ca="1">_xludf.ifna(VLOOKUP(G23,Proyectos!$E$1:$N$4,10,0),"")</f>
        <v>#NAME?</v>
      </c>
      <c r="M22" s="32"/>
      <c r="N22" s="32"/>
      <c r="O22" s="31"/>
      <c r="P22" s="33"/>
      <c r="Q22" s="33"/>
    </row>
    <row r="23" spans="1:17" ht="16.5" customHeight="1" x14ac:dyDescent="0.2">
      <c r="A23" s="26" t="s">
        <v>5595</v>
      </c>
      <c r="B23" s="26" t="s">
        <v>5596</v>
      </c>
      <c r="C23" s="54" t="s">
        <v>7</v>
      </c>
      <c r="D23" s="35" t="s">
        <v>8</v>
      </c>
      <c r="E23" s="35" t="s">
        <v>87</v>
      </c>
      <c r="F23" s="28" t="e">
        <f ca="1">_xludf.ifna(VLOOKUP(G24,Proyectos!$E$1:$H$4,4,0),"")</f>
        <v>#NAME?</v>
      </c>
      <c r="G23" s="35" t="s">
        <v>5187</v>
      </c>
      <c r="H23" s="30">
        <v>1</v>
      </c>
      <c r="I23" s="31" t="s">
        <v>18</v>
      </c>
      <c r="J23" s="55"/>
      <c r="K23" s="32" t="str">
        <f t="shared" si="0"/>
        <v>Externo</v>
      </c>
      <c r="L23" s="32" t="e">
        <f ca="1">_xludf.ifna(VLOOKUP(G24,Proyectos!$E$1:$N$4,10,0),"")</f>
        <v>#NAME?</v>
      </c>
      <c r="M23" s="32"/>
      <c r="N23" s="31"/>
      <c r="O23" s="31"/>
      <c r="P23" s="33"/>
      <c r="Q23" s="33"/>
    </row>
    <row r="24" spans="1:17" ht="16.5" customHeight="1" x14ac:dyDescent="0.2">
      <c r="A24" s="26" t="s">
        <v>4685</v>
      </c>
      <c r="B24" s="26" t="s">
        <v>4686</v>
      </c>
      <c r="C24" s="26" t="s">
        <v>115</v>
      </c>
      <c r="D24" s="26" t="s">
        <v>134</v>
      </c>
      <c r="E24" s="26" t="s">
        <v>39</v>
      </c>
      <c r="F24" s="28" t="e">
        <f ca="1">_xludf.ifna(VLOOKUP(G25,Proyectos!$E$1:$H$4,4,0),"")</f>
        <v>#NAME?</v>
      </c>
      <c r="G24" s="26" t="s">
        <v>5597</v>
      </c>
      <c r="H24" s="32">
        <v>0.6</v>
      </c>
      <c r="I24" s="31" t="s">
        <v>18</v>
      </c>
      <c r="J24" s="32"/>
      <c r="K24" s="32" t="str">
        <f t="shared" si="0"/>
        <v>Interno</v>
      </c>
      <c r="L24" s="32" t="e">
        <f ca="1">_xludf.ifna(VLOOKUP(G25,Proyectos!$E$1:$N$4,10,0),"")</f>
        <v>#NAME?</v>
      </c>
      <c r="M24" s="32"/>
      <c r="N24" s="31"/>
      <c r="O24" s="31"/>
      <c r="P24" s="33"/>
      <c r="Q24" s="33"/>
    </row>
    <row r="25" spans="1:17" ht="16.5" customHeight="1" x14ac:dyDescent="0.2">
      <c r="A25" s="26" t="s">
        <v>4685</v>
      </c>
      <c r="B25" s="26" t="s">
        <v>4686</v>
      </c>
      <c r="C25" s="26" t="s">
        <v>115</v>
      </c>
      <c r="D25" s="26" t="s">
        <v>134</v>
      </c>
      <c r="E25" s="26" t="s">
        <v>39</v>
      </c>
      <c r="F25" s="28" t="e">
        <f ca="1">_xludf.ifna(VLOOKUP(G26,Proyectos!$E$1:$H$4,4,0),"")</f>
        <v>#NAME?</v>
      </c>
      <c r="G25" s="26" t="s">
        <v>5539</v>
      </c>
      <c r="H25" s="32">
        <v>0.25</v>
      </c>
      <c r="I25" s="31" t="s">
        <v>18</v>
      </c>
      <c r="J25" s="32"/>
      <c r="K25" s="32" t="str">
        <f t="shared" si="0"/>
        <v>Interno</v>
      </c>
      <c r="L25" s="32" t="e">
        <f ca="1">_xludf.ifna(VLOOKUP(G26,Proyectos!$E$1:$N$4,10,0),"")</f>
        <v>#NAME?</v>
      </c>
      <c r="M25" s="32"/>
      <c r="N25" s="32"/>
      <c r="O25" s="31"/>
      <c r="P25" s="33"/>
      <c r="Q25" s="33"/>
    </row>
    <row r="26" spans="1:17" ht="16.5" customHeight="1" x14ac:dyDescent="0.2">
      <c r="A26" s="26" t="s">
        <v>4685</v>
      </c>
      <c r="B26" s="26" t="s">
        <v>4686</v>
      </c>
      <c r="C26" s="26" t="s">
        <v>115</v>
      </c>
      <c r="D26" s="26" t="s">
        <v>134</v>
      </c>
      <c r="E26" s="26" t="s">
        <v>39</v>
      </c>
      <c r="F26" s="28" t="e">
        <f ca="1">_xludf.ifna(VLOOKUP(G27,Proyectos!$E$1:$H$4,4,0),"")</f>
        <v>#NAME?</v>
      </c>
      <c r="G26" s="26" t="s">
        <v>5598</v>
      </c>
      <c r="H26" s="32">
        <v>0.15</v>
      </c>
      <c r="I26" s="31" t="s">
        <v>18</v>
      </c>
      <c r="J26" s="32"/>
      <c r="K26" s="32" t="str">
        <f t="shared" si="0"/>
        <v>Interno</v>
      </c>
      <c r="L26" s="32" t="e">
        <f ca="1">_xludf.ifna(VLOOKUP(G27,Proyectos!$E$1:$N$4,10,0),"")</f>
        <v>#NAME?</v>
      </c>
      <c r="M26" s="32"/>
      <c r="N26" s="31"/>
      <c r="O26" s="31"/>
      <c r="P26" s="33"/>
      <c r="Q26" s="33"/>
    </row>
    <row r="27" spans="1:17" ht="16.5" customHeight="1" x14ac:dyDescent="0.2">
      <c r="A27" s="26" t="s">
        <v>3781</v>
      </c>
      <c r="B27" s="26" t="s">
        <v>3782</v>
      </c>
      <c r="C27" s="26" t="s">
        <v>115</v>
      </c>
      <c r="D27" s="26" t="s">
        <v>128</v>
      </c>
      <c r="E27" s="26" t="s">
        <v>39</v>
      </c>
      <c r="F27" s="28" t="e">
        <f ca="1">_xludf.ifna(VLOOKUP(G28,Proyectos!$E$1:$H$4,4,0),"")</f>
        <v>#NAME?</v>
      </c>
      <c r="G27" s="26" t="s">
        <v>5597</v>
      </c>
      <c r="H27" s="32">
        <v>0.2</v>
      </c>
      <c r="I27" s="31" t="s">
        <v>18</v>
      </c>
      <c r="J27" s="31" t="s">
        <v>3783</v>
      </c>
      <c r="K27" s="32" t="str">
        <f t="shared" si="0"/>
        <v>Interno</v>
      </c>
      <c r="L27" s="32" t="e">
        <f ca="1">_xludf.ifna(VLOOKUP(G28,Proyectos!$E$1:$N$4,10,0),"")</f>
        <v>#NAME?</v>
      </c>
      <c r="M27" s="32"/>
      <c r="N27" s="31"/>
      <c r="O27" s="31"/>
      <c r="P27" s="33"/>
      <c r="Q27" s="33"/>
    </row>
    <row r="28" spans="1:17" ht="16.5" customHeight="1" x14ac:dyDescent="0.2">
      <c r="A28" s="26" t="s">
        <v>3781</v>
      </c>
      <c r="B28" s="26" t="s">
        <v>3782</v>
      </c>
      <c r="C28" s="26" t="s">
        <v>115</v>
      </c>
      <c r="D28" s="26" t="s">
        <v>128</v>
      </c>
      <c r="E28" s="26" t="s">
        <v>39</v>
      </c>
      <c r="F28" s="28" t="e">
        <f ca="1">_xludf.ifna(VLOOKUP(G29,Proyectos!$E$1:$H$4,4,0),"")</f>
        <v>#NAME?</v>
      </c>
      <c r="G28" s="26" t="s">
        <v>5578</v>
      </c>
      <c r="H28" s="32">
        <v>0.2</v>
      </c>
      <c r="I28" s="31" t="s">
        <v>18</v>
      </c>
      <c r="J28" s="32"/>
      <c r="K28" s="32" t="str">
        <f t="shared" si="0"/>
        <v>Interno</v>
      </c>
      <c r="L28" s="32" t="e">
        <f ca="1">_xludf.ifna(VLOOKUP(G29,Proyectos!$E$1:$N$4,10,0),"")</f>
        <v>#NAME?</v>
      </c>
      <c r="M28" s="32"/>
      <c r="N28" s="31"/>
      <c r="O28" s="31"/>
      <c r="P28" s="33"/>
      <c r="Q28" s="33"/>
    </row>
    <row r="29" spans="1:17" ht="16.5" customHeight="1" x14ac:dyDescent="0.2">
      <c r="A29" s="26" t="s">
        <v>3781</v>
      </c>
      <c r="B29" s="26" t="s">
        <v>3782</v>
      </c>
      <c r="C29" s="26" t="s">
        <v>115</v>
      </c>
      <c r="D29" s="26" t="s">
        <v>128</v>
      </c>
      <c r="E29" s="26" t="s">
        <v>39</v>
      </c>
      <c r="F29" s="28" t="e">
        <f ca="1">_xludf.ifna(VLOOKUP(G30,Proyectos!$E$1:$H$4,4,0),"")</f>
        <v>#NAME?</v>
      </c>
      <c r="G29" s="26" t="s">
        <v>5543</v>
      </c>
      <c r="H29" s="32">
        <v>0.5</v>
      </c>
      <c r="I29" s="31" t="s">
        <v>18</v>
      </c>
      <c r="J29" s="32"/>
      <c r="K29" s="32" t="str">
        <f t="shared" si="0"/>
        <v>Interno</v>
      </c>
      <c r="L29" s="32" t="e">
        <f ca="1">_xludf.ifna(VLOOKUP(G30,Proyectos!$E$1:$N$4,10,0),"")</f>
        <v>#NAME?</v>
      </c>
      <c r="M29" s="32"/>
      <c r="N29" s="32"/>
      <c r="O29" s="31"/>
      <c r="P29" s="33"/>
      <c r="Q29" s="33"/>
    </row>
    <row r="30" spans="1:17" ht="16.5" customHeight="1" x14ac:dyDescent="0.2">
      <c r="A30" s="26" t="s">
        <v>3781</v>
      </c>
      <c r="B30" s="26" t="s">
        <v>3782</v>
      </c>
      <c r="C30" s="26" t="s">
        <v>115</v>
      </c>
      <c r="D30" s="26" t="s">
        <v>128</v>
      </c>
      <c r="E30" s="26" t="s">
        <v>39</v>
      </c>
      <c r="F30" s="28" t="e">
        <f ca="1">_xludf.ifna(VLOOKUP(G31,Proyectos!$E$1:$H$4,4,0),"")</f>
        <v>#NAME?</v>
      </c>
      <c r="G30" s="26" t="s">
        <v>5237</v>
      </c>
      <c r="H30" s="32">
        <v>0.1</v>
      </c>
      <c r="I30" s="31" t="s">
        <v>18</v>
      </c>
      <c r="J30" s="32"/>
      <c r="K30" s="32" t="str">
        <f t="shared" si="0"/>
        <v>Interno</v>
      </c>
      <c r="L30" s="32" t="e">
        <f ca="1">_xludf.ifna(VLOOKUP(G31,Proyectos!$E$1:$N$4,10,0),"")</f>
        <v>#NAME?</v>
      </c>
      <c r="M30" s="32"/>
      <c r="N30" s="32"/>
      <c r="O30" s="31"/>
      <c r="P30" s="33"/>
      <c r="Q30" s="33"/>
    </row>
    <row r="31" spans="1:17" ht="16.5" customHeight="1" x14ac:dyDescent="0.2">
      <c r="A31" s="26" t="s">
        <v>4667</v>
      </c>
      <c r="B31" s="26" t="s">
        <v>4668</v>
      </c>
      <c r="C31" s="26" t="s">
        <v>115</v>
      </c>
      <c r="D31" s="26" t="s">
        <v>119</v>
      </c>
      <c r="E31" s="26" t="s">
        <v>39</v>
      </c>
      <c r="F31" s="28" t="e">
        <f ca="1">_xludf.ifna(VLOOKUP(G32,Proyectos!$E$1:$H$4,4,0),"")</f>
        <v>#NAME?</v>
      </c>
      <c r="G31" s="26" t="s">
        <v>5213</v>
      </c>
      <c r="H31" s="32">
        <v>1</v>
      </c>
      <c r="I31" s="31" t="s">
        <v>18</v>
      </c>
      <c r="J31" s="32"/>
      <c r="K31" s="32" t="str">
        <f t="shared" si="0"/>
        <v>Interno</v>
      </c>
      <c r="L31" s="32" t="e">
        <f ca="1">_xludf.ifna(VLOOKUP(G32,Proyectos!$E$1:$N$4,10,0),"")</f>
        <v>#NAME?</v>
      </c>
      <c r="M31" s="32"/>
      <c r="N31" s="31"/>
      <c r="O31" s="31"/>
      <c r="P31" s="33"/>
      <c r="Q31" s="33"/>
    </row>
    <row r="32" spans="1:17" ht="16.5" customHeight="1" x14ac:dyDescent="0.2">
      <c r="A32" s="26" t="s">
        <v>5045</v>
      </c>
      <c r="B32" s="26" t="s">
        <v>5046</v>
      </c>
      <c r="C32" s="26" t="s">
        <v>64</v>
      </c>
      <c r="D32" s="26" t="s">
        <v>95</v>
      </c>
      <c r="E32" s="26" t="s">
        <v>126</v>
      </c>
      <c r="F32" s="28" t="e">
        <f ca="1">_xludf.ifna(VLOOKUP(G33,Proyectos!$E$1:$H$4,4,0),"")</f>
        <v>#NAME?</v>
      </c>
      <c r="G32" s="26" t="s">
        <v>5363</v>
      </c>
      <c r="H32" s="32">
        <v>1</v>
      </c>
      <c r="I32" s="31" t="s">
        <v>18</v>
      </c>
      <c r="J32" s="32"/>
      <c r="K32" s="32" t="str">
        <f t="shared" si="0"/>
        <v>Externo</v>
      </c>
      <c r="L32" s="32" t="e">
        <f ca="1">_xludf.ifna(VLOOKUP(G33,Proyectos!$E$1:$N$4,10,0),"")</f>
        <v>#NAME?</v>
      </c>
      <c r="M32" s="32"/>
      <c r="N32" s="32"/>
      <c r="O32" s="31"/>
      <c r="P32" s="33"/>
      <c r="Q32" s="33"/>
    </row>
    <row r="33" spans="1:17" ht="16.5" customHeight="1" x14ac:dyDescent="0.2">
      <c r="A33" s="26" t="s">
        <v>5599</v>
      </c>
      <c r="B33" s="26" t="s">
        <v>5600</v>
      </c>
      <c r="C33" s="26" t="s">
        <v>64</v>
      </c>
      <c r="D33" s="26" t="s">
        <v>86</v>
      </c>
      <c r="E33" s="26" t="s">
        <v>87</v>
      </c>
      <c r="F33" s="28" t="e">
        <f ca="1">_xludf.ifna(VLOOKUP(G34,Proyectos!$E$1:$H$4,4,0),"")</f>
        <v>#NAME?</v>
      </c>
      <c r="G33" s="29" t="s">
        <v>5597</v>
      </c>
      <c r="H33" s="30">
        <v>1</v>
      </c>
      <c r="I33" s="31" t="s">
        <v>18</v>
      </c>
      <c r="J33" s="32"/>
      <c r="K33" s="32" t="str">
        <f t="shared" si="0"/>
        <v>Externo</v>
      </c>
      <c r="L33" s="32" t="e">
        <f ca="1">_xludf.ifna(VLOOKUP(G34,Proyectos!$E$1:$N$4,10,0),"")</f>
        <v>#NAME?</v>
      </c>
      <c r="M33" s="32"/>
      <c r="N33" s="31"/>
      <c r="O33" s="31"/>
      <c r="P33" s="33"/>
      <c r="Q33" s="33"/>
    </row>
    <row r="34" spans="1:17" ht="16.5" customHeight="1" x14ac:dyDescent="0.2">
      <c r="A34" s="26" t="s">
        <v>4298</v>
      </c>
      <c r="B34" s="26" t="s">
        <v>5601</v>
      </c>
      <c r="C34" s="26" t="s">
        <v>64</v>
      </c>
      <c r="D34" s="26" t="s">
        <v>70</v>
      </c>
      <c r="E34" s="26" t="s">
        <v>83</v>
      </c>
      <c r="F34" s="28" t="e">
        <f ca="1">_xludf.ifna(VLOOKUP(G35,Proyectos!$E$1:$H$4,4,0),"")</f>
        <v>#NAME?</v>
      </c>
      <c r="G34" s="26" t="s">
        <v>5401</v>
      </c>
      <c r="H34" s="30">
        <v>0.4</v>
      </c>
      <c r="I34" s="31" t="s">
        <v>25</v>
      </c>
      <c r="J34" s="32"/>
      <c r="K34" s="32" t="str">
        <f t="shared" si="0"/>
        <v>Externo</v>
      </c>
      <c r="L34" s="32" t="e">
        <f ca="1">_xludf.ifna(VLOOKUP(G35,Proyectos!$E$1:$N$4,10,0),"")</f>
        <v>#NAME?</v>
      </c>
      <c r="M34" s="32"/>
      <c r="N34" s="32"/>
      <c r="O34" s="31"/>
      <c r="P34" s="33"/>
      <c r="Q34" s="33"/>
    </row>
    <row r="35" spans="1:17" ht="16.5" customHeight="1" x14ac:dyDescent="0.2">
      <c r="A35" s="26" t="s">
        <v>4298</v>
      </c>
      <c r="B35" s="26" t="s">
        <v>5601</v>
      </c>
      <c r="C35" s="26" t="s">
        <v>64</v>
      </c>
      <c r="D35" s="26" t="s">
        <v>70</v>
      </c>
      <c r="E35" s="26" t="s">
        <v>83</v>
      </c>
      <c r="F35" s="28" t="e">
        <f ca="1">_xludf.ifna(VLOOKUP(G36,Proyectos!$E$1:$H$4,4,0),"")</f>
        <v>#NAME?</v>
      </c>
      <c r="G35" s="26" t="s">
        <v>5402</v>
      </c>
      <c r="H35" s="30">
        <v>0.4</v>
      </c>
      <c r="I35" s="31" t="s">
        <v>25</v>
      </c>
      <c r="J35" s="32"/>
      <c r="K35" s="32" t="str">
        <f t="shared" si="0"/>
        <v>Externo</v>
      </c>
      <c r="L35" s="32" t="e">
        <f ca="1">_xludf.ifna(VLOOKUP(G36,Proyectos!$E$1:$N$4,10,0),"")</f>
        <v>#NAME?</v>
      </c>
      <c r="M35" s="32"/>
      <c r="N35" s="32"/>
      <c r="O35" s="31"/>
      <c r="P35" s="33"/>
      <c r="Q35" s="33"/>
    </row>
    <row r="36" spans="1:17" ht="16.5" customHeight="1" x14ac:dyDescent="0.2">
      <c r="A36" s="26" t="s">
        <v>4298</v>
      </c>
      <c r="B36" s="26" t="s">
        <v>5601</v>
      </c>
      <c r="C36" s="26" t="s">
        <v>64</v>
      </c>
      <c r="D36" s="26" t="s">
        <v>70</v>
      </c>
      <c r="E36" s="26" t="s">
        <v>83</v>
      </c>
      <c r="F36" s="28" t="e">
        <f ca="1">_xludf.ifna(VLOOKUP(G37,Proyectos!$E$1:$H$4,4,0),"")</f>
        <v>#NAME?</v>
      </c>
      <c r="G36" s="26" t="s">
        <v>5403</v>
      </c>
      <c r="H36" s="30">
        <v>0.2</v>
      </c>
      <c r="I36" s="31" t="s">
        <v>25</v>
      </c>
      <c r="J36" s="32"/>
      <c r="K36" s="32" t="str">
        <f t="shared" si="0"/>
        <v>Externo</v>
      </c>
      <c r="L36" s="32" t="e">
        <f ca="1">_xludf.ifna(VLOOKUP(G37,Proyectos!$E$1:$N$4,10,0),"")</f>
        <v>#NAME?</v>
      </c>
      <c r="M36" s="32"/>
      <c r="N36" s="32"/>
      <c r="O36" s="31"/>
      <c r="P36" s="33"/>
      <c r="Q36" s="33"/>
    </row>
    <row r="37" spans="1:17" ht="16.5" customHeight="1" x14ac:dyDescent="0.2">
      <c r="A37" s="26" t="s">
        <v>4271</v>
      </c>
      <c r="B37" s="26" t="s">
        <v>4272</v>
      </c>
      <c r="C37" s="26" t="s">
        <v>98</v>
      </c>
      <c r="D37" s="26" t="s">
        <v>107</v>
      </c>
      <c r="E37" s="26" t="s">
        <v>87</v>
      </c>
      <c r="F37" s="28" t="e">
        <f ca="1">_xludf.ifna(VLOOKUP(G38,Proyectos!$E$1:$H$4,4,0),"")</f>
        <v>#NAME?</v>
      </c>
      <c r="G37" s="26" t="s">
        <v>5593</v>
      </c>
      <c r="H37" s="32">
        <v>1</v>
      </c>
      <c r="I37" s="31" t="s">
        <v>18</v>
      </c>
      <c r="J37" s="32"/>
      <c r="K37" s="32" t="str">
        <f t="shared" si="0"/>
        <v>Externo</v>
      </c>
      <c r="L37" s="32" t="e">
        <f ca="1">_xludf.ifna(VLOOKUP(G38,Proyectos!$E$1:$N$4,10,0),"")</f>
        <v>#NAME?</v>
      </c>
      <c r="M37" s="32"/>
      <c r="N37" s="32"/>
      <c r="O37" s="31"/>
      <c r="P37" s="33"/>
      <c r="Q37" s="33"/>
    </row>
    <row r="38" spans="1:17" ht="16.5" customHeight="1" x14ac:dyDescent="0.2">
      <c r="A38" s="26" t="s">
        <v>3414</v>
      </c>
      <c r="B38" s="26" t="s">
        <v>3415</v>
      </c>
      <c r="C38" s="26" t="s">
        <v>98</v>
      </c>
      <c r="D38" s="26" t="s">
        <v>107</v>
      </c>
      <c r="E38" s="26" t="s">
        <v>39</v>
      </c>
      <c r="F38" s="28" t="e">
        <f ca="1">_xludf.ifna(VLOOKUP(G39,Proyectos!$E$1:$H$4,4,0),"")</f>
        <v>#NAME?</v>
      </c>
      <c r="G38" s="26" t="s">
        <v>5593</v>
      </c>
      <c r="H38" s="32">
        <v>0.25</v>
      </c>
      <c r="I38" s="31" t="s">
        <v>18</v>
      </c>
      <c r="J38" s="32"/>
      <c r="K38" s="32" t="str">
        <f t="shared" si="0"/>
        <v>Interno</v>
      </c>
      <c r="L38" s="32" t="e">
        <f ca="1">_xludf.ifna(VLOOKUP(G39,Proyectos!$E$1:$N$4,10,0),"")</f>
        <v>#NAME?</v>
      </c>
      <c r="M38" s="32"/>
      <c r="N38" s="32"/>
      <c r="O38" s="31"/>
      <c r="P38" s="33"/>
      <c r="Q38" s="33"/>
    </row>
    <row r="39" spans="1:17" ht="16.5" customHeight="1" x14ac:dyDescent="0.2">
      <c r="A39" s="26" t="s">
        <v>3414</v>
      </c>
      <c r="B39" s="26" t="s">
        <v>3415</v>
      </c>
      <c r="C39" s="26" t="s">
        <v>98</v>
      </c>
      <c r="D39" s="26" t="s">
        <v>107</v>
      </c>
      <c r="E39" s="26" t="s">
        <v>39</v>
      </c>
      <c r="F39" s="28" t="e">
        <f ca="1">_xludf.ifna(VLOOKUP(G40,Proyectos!$E$1:$H$4,4,0),"")</f>
        <v>#NAME?</v>
      </c>
      <c r="G39" s="26" t="s">
        <v>5597</v>
      </c>
      <c r="H39" s="32">
        <v>0.75</v>
      </c>
      <c r="I39" s="31" t="s">
        <v>18</v>
      </c>
      <c r="J39" s="32"/>
      <c r="K39" s="32" t="str">
        <f t="shared" si="0"/>
        <v>Interno</v>
      </c>
      <c r="L39" s="32" t="e">
        <f ca="1">_xludf.ifna(VLOOKUP(G40,Proyectos!$E$1:$N$4,10,0),"")</f>
        <v>#NAME?</v>
      </c>
      <c r="M39" s="32"/>
      <c r="N39" s="32"/>
      <c r="O39" s="31"/>
      <c r="P39" s="33"/>
      <c r="Q39" s="33"/>
    </row>
    <row r="40" spans="1:17" ht="16.5" customHeight="1" x14ac:dyDescent="0.2">
      <c r="A40" s="35" t="s">
        <v>4519</v>
      </c>
      <c r="B40" s="26" t="s">
        <v>5483</v>
      </c>
      <c r="C40" s="26" t="s">
        <v>64</v>
      </c>
      <c r="D40" s="26" t="s">
        <v>82</v>
      </c>
      <c r="E40" s="35" t="s">
        <v>9</v>
      </c>
      <c r="F40" s="28" t="e">
        <f ca="1">_xludf.ifna(VLOOKUP(G41,Proyectos!$E$1:$H$4,4,0),"")</f>
        <v>#NAME?</v>
      </c>
      <c r="G40" s="26" t="s">
        <v>5387</v>
      </c>
      <c r="H40" s="32">
        <v>1</v>
      </c>
      <c r="I40" s="31" t="s">
        <v>18</v>
      </c>
      <c r="J40" s="32"/>
      <c r="K40" s="32" t="str">
        <f t="shared" si="0"/>
        <v>Externo</v>
      </c>
      <c r="L40" s="32" t="e">
        <f ca="1">_xludf.ifna(VLOOKUP(G41,Proyectos!$E$1:$N$4,10,0),"")</f>
        <v>#NAME?</v>
      </c>
      <c r="M40" s="32"/>
      <c r="N40" s="32"/>
      <c r="O40" s="31"/>
      <c r="P40" s="33"/>
      <c r="Q40" s="33"/>
    </row>
    <row r="41" spans="1:17" ht="16.5" customHeight="1" x14ac:dyDescent="0.2">
      <c r="A41" s="26" t="s">
        <v>4144</v>
      </c>
      <c r="B41" s="26" t="s">
        <v>4145</v>
      </c>
      <c r="C41" s="35" t="s">
        <v>7</v>
      </c>
      <c r="D41" s="35" t="s">
        <v>8</v>
      </c>
      <c r="E41" s="35" t="s">
        <v>106</v>
      </c>
      <c r="F41" s="28" t="e">
        <f ca="1">_xludf.ifna(VLOOKUP(G42,Proyectos!$E$1:$H$4,4,0),"")</f>
        <v>#NAME?</v>
      </c>
      <c r="G41" s="35" t="s">
        <v>5597</v>
      </c>
      <c r="H41" s="32">
        <v>0.5</v>
      </c>
      <c r="I41" s="31" t="s">
        <v>18</v>
      </c>
      <c r="J41" s="30"/>
      <c r="K41" s="32" t="str">
        <f t="shared" si="0"/>
        <v>Externo</v>
      </c>
      <c r="L41" s="32" t="e">
        <f ca="1">_xludf.ifna(VLOOKUP(G42,Proyectos!$E$1:$N$4,10,0),"")</f>
        <v>#NAME?</v>
      </c>
      <c r="M41" s="32"/>
      <c r="N41" s="31"/>
      <c r="O41" s="31"/>
      <c r="P41" s="33"/>
      <c r="Q41" s="33"/>
    </row>
    <row r="42" spans="1:17" ht="16.5" customHeight="1" x14ac:dyDescent="0.2">
      <c r="A42" s="35" t="s">
        <v>4144</v>
      </c>
      <c r="B42" s="35" t="s">
        <v>4145</v>
      </c>
      <c r="C42" s="26" t="s">
        <v>115</v>
      </c>
      <c r="D42" s="26" t="s">
        <v>134</v>
      </c>
      <c r="E42" s="26" t="s">
        <v>106</v>
      </c>
      <c r="F42" s="28" t="e">
        <f ca="1">_xludf.ifna(VLOOKUP(G43,Proyectos!$E$1:$H$4,4,0),"")</f>
        <v>#NAME?</v>
      </c>
      <c r="G42" s="26" t="s">
        <v>5597</v>
      </c>
      <c r="H42" s="32">
        <v>1</v>
      </c>
      <c r="I42" s="31" t="s">
        <v>18</v>
      </c>
      <c r="J42" s="32"/>
      <c r="K42" s="32" t="str">
        <f t="shared" si="0"/>
        <v>Externo</v>
      </c>
      <c r="L42" s="32" t="e">
        <f ca="1">_xludf.ifna(VLOOKUP(G43,Proyectos!$E$1:$N$4,10,0),"")</f>
        <v>#NAME?</v>
      </c>
      <c r="M42" s="32"/>
      <c r="N42" s="31"/>
      <c r="O42" s="31"/>
      <c r="P42" s="33"/>
      <c r="Q42" s="33"/>
    </row>
    <row r="43" spans="1:17" ht="16.5" customHeight="1" x14ac:dyDescent="0.2">
      <c r="A43" s="26" t="s">
        <v>4221</v>
      </c>
      <c r="B43" s="26" t="s">
        <v>4222</v>
      </c>
      <c r="C43" s="26" t="s">
        <v>98</v>
      </c>
      <c r="D43" s="26" t="s">
        <v>107</v>
      </c>
      <c r="E43" s="26" t="s">
        <v>87</v>
      </c>
      <c r="F43" s="28" t="e">
        <f ca="1">_xludf.ifna(VLOOKUP(G44,Proyectos!$E$1:$H$4,4,0),"")</f>
        <v>#NAME?</v>
      </c>
      <c r="G43" s="26" t="s">
        <v>5330</v>
      </c>
      <c r="H43" s="32">
        <v>1</v>
      </c>
      <c r="I43" s="31" t="s">
        <v>18</v>
      </c>
      <c r="J43" s="32"/>
      <c r="K43" s="32" t="str">
        <f t="shared" si="0"/>
        <v>Externo</v>
      </c>
      <c r="L43" s="32" t="e">
        <f ca="1">_xludf.ifna(VLOOKUP(G44,Proyectos!$E$1:$N$4,10,0),"")</f>
        <v>#NAME?</v>
      </c>
      <c r="M43" s="32"/>
      <c r="N43" s="32"/>
      <c r="O43" s="31"/>
      <c r="P43" s="33"/>
      <c r="Q43" s="33"/>
    </row>
    <row r="44" spans="1:17" ht="16.5" customHeight="1" x14ac:dyDescent="0.2">
      <c r="A44" s="26" t="s">
        <v>5602</v>
      </c>
      <c r="B44" s="26" t="s">
        <v>5603</v>
      </c>
      <c r="C44" s="26" t="s">
        <v>7</v>
      </c>
      <c r="D44" s="26" t="s">
        <v>16</v>
      </c>
      <c r="E44" s="26" t="s">
        <v>39</v>
      </c>
      <c r="F44" s="28" t="e">
        <f ca="1">_xludf.ifna(VLOOKUP(G45,Proyectos!$E$1:$H$4,4,0),"")</f>
        <v>#NAME?</v>
      </c>
      <c r="G44" s="26" t="s">
        <v>5239</v>
      </c>
      <c r="H44" s="65">
        <v>0.4</v>
      </c>
      <c r="I44" s="31" t="s">
        <v>18</v>
      </c>
      <c r="J44" s="32"/>
      <c r="K44" s="32" t="str">
        <f t="shared" si="0"/>
        <v>Interno</v>
      </c>
      <c r="L44" s="32" t="e">
        <f ca="1">_xludf.ifna(VLOOKUP(G45,Proyectos!$E$1:$N$4,10,0),"")</f>
        <v>#NAME?</v>
      </c>
      <c r="M44" s="32"/>
      <c r="N44" s="31"/>
      <c r="O44" s="31"/>
      <c r="P44" s="33"/>
      <c r="Q44" s="33"/>
    </row>
    <row r="45" spans="1:17" ht="16.5" customHeight="1" x14ac:dyDescent="0.2">
      <c r="A45" s="26" t="s">
        <v>5602</v>
      </c>
      <c r="B45" s="26" t="s">
        <v>5603</v>
      </c>
      <c r="C45" s="26" t="s">
        <v>7</v>
      </c>
      <c r="D45" s="26" t="s">
        <v>16</v>
      </c>
      <c r="E45" s="26" t="s">
        <v>39</v>
      </c>
      <c r="F45" s="28" t="e">
        <f ca="1">_xludf.ifna(VLOOKUP(G46,Proyectos!$E$1:$H$4,4,0),"")</f>
        <v>#NAME?</v>
      </c>
      <c r="G45" s="26" t="s">
        <v>5221</v>
      </c>
      <c r="H45" s="65">
        <v>0.25</v>
      </c>
      <c r="I45" s="31" t="s">
        <v>18</v>
      </c>
      <c r="J45" s="32"/>
      <c r="K45" s="32" t="str">
        <f t="shared" si="0"/>
        <v>Interno</v>
      </c>
      <c r="L45" s="32" t="e">
        <f ca="1">_xludf.ifna(VLOOKUP(G46,Proyectos!$E$1:$N$4,10,0),"")</f>
        <v>#NAME?</v>
      </c>
      <c r="M45" s="32"/>
      <c r="N45" s="31"/>
      <c r="O45" s="31"/>
      <c r="P45" s="33"/>
      <c r="Q45" s="33"/>
    </row>
    <row r="46" spans="1:17" ht="16.5" customHeight="1" x14ac:dyDescent="0.2">
      <c r="A46" s="26" t="s">
        <v>5602</v>
      </c>
      <c r="B46" s="26" t="s">
        <v>5603</v>
      </c>
      <c r="C46" s="26" t="s">
        <v>7</v>
      </c>
      <c r="D46" s="26" t="s">
        <v>16</v>
      </c>
      <c r="E46" s="26" t="s">
        <v>39</v>
      </c>
      <c r="F46" s="28" t="e">
        <f ca="1">_xludf.ifna(VLOOKUP(G47,Proyectos!$E$1:$H$4,4,0),"")</f>
        <v>#NAME?</v>
      </c>
      <c r="G46" s="26" t="s">
        <v>5269</v>
      </c>
      <c r="H46" s="65">
        <v>0.3</v>
      </c>
      <c r="I46" s="31" t="s">
        <v>18</v>
      </c>
      <c r="J46" s="32"/>
      <c r="K46" s="32" t="str">
        <f t="shared" si="0"/>
        <v>Interno</v>
      </c>
      <c r="L46" s="32" t="e">
        <f ca="1">_xludf.ifna(VLOOKUP(G47,Proyectos!$E$1:$N$4,10,0),"")</f>
        <v>#NAME?</v>
      </c>
      <c r="M46" s="32"/>
      <c r="N46" s="32"/>
      <c r="O46" s="31"/>
      <c r="P46" s="33"/>
      <c r="Q46" s="33"/>
    </row>
    <row r="47" spans="1:17" ht="16.5" customHeight="1" x14ac:dyDescent="0.2">
      <c r="A47" s="26" t="s">
        <v>5602</v>
      </c>
      <c r="B47" s="26" t="s">
        <v>5603</v>
      </c>
      <c r="C47" s="26" t="s">
        <v>7</v>
      </c>
      <c r="D47" s="26" t="s">
        <v>16</v>
      </c>
      <c r="E47" s="26" t="s">
        <v>39</v>
      </c>
      <c r="F47" s="28" t="e">
        <f ca="1">_xludf.ifna(VLOOKUP(G48,Proyectos!$E$1:$H$4,4,0),"")</f>
        <v>#NAME?</v>
      </c>
      <c r="G47" s="26" t="s">
        <v>5604</v>
      </c>
      <c r="H47" s="32">
        <v>0.05</v>
      </c>
      <c r="I47" s="31" t="s">
        <v>18</v>
      </c>
      <c r="J47" s="31"/>
      <c r="K47" s="32" t="str">
        <f t="shared" si="0"/>
        <v>Interno</v>
      </c>
      <c r="L47" s="32" t="e">
        <f ca="1">_xludf.ifna(VLOOKUP(G48,Proyectos!$E$1:$N$4,10,0),"")</f>
        <v>#NAME?</v>
      </c>
      <c r="M47" s="32"/>
      <c r="N47" s="32"/>
      <c r="O47" s="31"/>
      <c r="P47" s="33"/>
      <c r="Q47" s="33"/>
    </row>
    <row r="48" spans="1:17" ht="16.5" customHeight="1" x14ac:dyDescent="0.2">
      <c r="A48" s="26" t="s">
        <v>5605</v>
      </c>
      <c r="B48" s="26" t="s">
        <v>5606</v>
      </c>
      <c r="C48" s="26" t="s">
        <v>64</v>
      </c>
      <c r="D48" s="26" t="s">
        <v>86</v>
      </c>
      <c r="E48" s="26" t="s">
        <v>87</v>
      </c>
      <c r="F48" s="28" t="e">
        <f ca="1">_xludf.ifna(VLOOKUP(G49,Proyectos!$E$1:$H$4,4,0),"")</f>
        <v>#NAME?</v>
      </c>
      <c r="G48" s="29" t="s">
        <v>5597</v>
      </c>
      <c r="H48" s="30">
        <v>1</v>
      </c>
      <c r="I48" s="31" t="s">
        <v>18</v>
      </c>
      <c r="J48" s="32"/>
      <c r="K48" s="32" t="str">
        <f t="shared" si="0"/>
        <v>Externo</v>
      </c>
      <c r="L48" s="32" t="e">
        <f ca="1">_xludf.ifna(VLOOKUP(G49,Proyectos!$E$1:$N$4,10,0),"")</f>
        <v>#NAME?</v>
      </c>
      <c r="M48" s="32"/>
      <c r="N48" s="31"/>
      <c r="O48" s="31"/>
      <c r="P48" s="33"/>
      <c r="Q48" s="33"/>
    </row>
    <row r="49" spans="1:17" ht="16.5" customHeight="1" x14ac:dyDescent="0.2">
      <c r="A49" s="26" t="s">
        <v>3373</v>
      </c>
      <c r="B49" s="26" t="s">
        <v>5607</v>
      </c>
      <c r="C49" s="26" t="s">
        <v>37</v>
      </c>
      <c r="D49" s="26" t="s">
        <v>45</v>
      </c>
      <c r="E49" s="26" t="s">
        <v>39</v>
      </c>
      <c r="F49" s="28" t="e">
        <f ca="1">_xludf.ifna(VLOOKUP(G50,Proyectos!$E$1:$H$4,4,0),"")</f>
        <v>#NAME?</v>
      </c>
      <c r="G49" s="26" t="s">
        <v>5151</v>
      </c>
      <c r="H49" s="32">
        <v>0.2</v>
      </c>
      <c r="I49" s="31" t="s">
        <v>11</v>
      </c>
      <c r="J49" s="43"/>
      <c r="K49" s="32" t="str">
        <f t="shared" si="0"/>
        <v>Interno</v>
      </c>
      <c r="L49" s="32" t="e">
        <f ca="1">_xludf.ifna(VLOOKUP(G50,Proyectos!$E$1:$N$4,10,0),"")</f>
        <v>#NAME?</v>
      </c>
      <c r="M49" s="32"/>
      <c r="N49" s="31"/>
      <c r="O49" s="31"/>
      <c r="P49" s="33"/>
      <c r="Q49" s="33"/>
    </row>
    <row r="50" spans="1:17" ht="16.5" customHeight="1" x14ac:dyDescent="0.2">
      <c r="A50" s="26" t="s">
        <v>3373</v>
      </c>
      <c r="B50" s="26" t="s">
        <v>5607</v>
      </c>
      <c r="C50" s="26" t="s">
        <v>37</v>
      </c>
      <c r="D50" s="26" t="s">
        <v>45</v>
      </c>
      <c r="E50" s="26" t="s">
        <v>39</v>
      </c>
      <c r="F50" s="28" t="e">
        <f ca="1">_xludf.ifna(VLOOKUP(G51,Proyectos!$E$1:$H$4,4,0),"")</f>
        <v>#NAME?</v>
      </c>
      <c r="G50" s="26" t="s">
        <v>5198</v>
      </c>
      <c r="H50" s="32">
        <v>0.25</v>
      </c>
      <c r="I50" s="31" t="s">
        <v>11</v>
      </c>
      <c r="J50" s="43"/>
      <c r="K50" s="32" t="str">
        <f t="shared" si="0"/>
        <v>Interno</v>
      </c>
      <c r="L50" s="32" t="e">
        <f ca="1">_xludf.ifna(VLOOKUP(G51,Proyectos!$E$1:$N$4,10,0),"")</f>
        <v>#NAME?</v>
      </c>
      <c r="M50" s="32"/>
      <c r="N50" s="31"/>
      <c r="O50" s="31"/>
      <c r="P50" s="33"/>
      <c r="Q50" s="33"/>
    </row>
    <row r="51" spans="1:17" ht="16.5" customHeight="1" x14ac:dyDescent="0.2">
      <c r="A51" s="26" t="s">
        <v>3373</v>
      </c>
      <c r="B51" s="26" t="s">
        <v>5607</v>
      </c>
      <c r="C51" s="26" t="s">
        <v>37</v>
      </c>
      <c r="D51" s="26" t="s">
        <v>45</v>
      </c>
      <c r="E51" s="26" t="s">
        <v>39</v>
      </c>
      <c r="F51" s="28" t="e">
        <f ca="1">_xludf.ifna(VLOOKUP(G52,Proyectos!$E$1:$H$4,4,0),"")</f>
        <v>#NAME?</v>
      </c>
      <c r="G51" s="26" t="s">
        <v>5221</v>
      </c>
      <c r="H51" s="32">
        <v>0.1</v>
      </c>
      <c r="I51" s="31" t="s">
        <v>11</v>
      </c>
      <c r="J51" s="43"/>
      <c r="K51" s="32" t="str">
        <f t="shared" si="0"/>
        <v>Interno</v>
      </c>
      <c r="L51" s="32" t="e">
        <f ca="1">_xludf.ifna(VLOOKUP(G52,Proyectos!$E$1:$N$4,10,0),"")</f>
        <v>#NAME?</v>
      </c>
      <c r="M51" s="32"/>
      <c r="N51" s="31"/>
      <c r="O51" s="31"/>
      <c r="P51" s="33"/>
      <c r="Q51" s="33"/>
    </row>
    <row r="52" spans="1:17" ht="16.5" customHeight="1" x14ac:dyDescent="0.2">
      <c r="A52" s="26" t="s">
        <v>3373</v>
      </c>
      <c r="B52" s="26" t="s">
        <v>5607</v>
      </c>
      <c r="C52" s="26" t="s">
        <v>37</v>
      </c>
      <c r="D52" s="26" t="s">
        <v>45</v>
      </c>
      <c r="E52" s="26" t="s">
        <v>39</v>
      </c>
      <c r="F52" s="28" t="e">
        <f ca="1">_xludf.ifna(VLOOKUP(G53,Proyectos!$E$1:$H$4,4,0),"")</f>
        <v>#NAME?</v>
      </c>
      <c r="G52" s="26" t="s">
        <v>5608</v>
      </c>
      <c r="H52" s="32">
        <v>0.2</v>
      </c>
      <c r="I52" s="31" t="s">
        <v>11</v>
      </c>
      <c r="J52" s="43"/>
      <c r="K52" s="32" t="str">
        <f t="shared" si="0"/>
        <v>Interno</v>
      </c>
      <c r="L52" s="32" t="e">
        <f ca="1">_xludf.ifna(VLOOKUP(G53,Proyectos!$E$1:$N$4,10,0),"")</f>
        <v>#NAME?</v>
      </c>
      <c r="M52" s="32"/>
      <c r="N52" s="31"/>
      <c r="O52" s="31"/>
      <c r="P52" s="33"/>
      <c r="Q52" s="33"/>
    </row>
    <row r="53" spans="1:17" ht="16.5" customHeight="1" x14ac:dyDescent="0.2">
      <c r="A53" s="26" t="s">
        <v>3373</v>
      </c>
      <c r="B53" s="26" t="s">
        <v>5607</v>
      </c>
      <c r="C53" s="26" t="s">
        <v>37</v>
      </c>
      <c r="D53" s="26" t="s">
        <v>45</v>
      </c>
      <c r="E53" s="26" t="s">
        <v>39</v>
      </c>
      <c r="F53" s="28" t="e">
        <f ca="1">_xludf.ifna(VLOOKUP(G54,Proyectos!$E$1:$H$4,4,0),"")</f>
        <v>#NAME?</v>
      </c>
      <c r="G53" s="26" t="s">
        <v>5123</v>
      </c>
      <c r="H53" s="32">
        <v>0.2</v>
      </c>
      <c r="I53" s="31" t="s">
        <v>11</v>
      </c>
      <c r="J53" s="43"/>
      <c r="K53" s="32" t="str">
        <f t="shared" si="0"/>
        <v>Interno</v>
      </c>
      <c r="L53" s="32" t="e">
        <f ca="1">_xludf.ifna(VLOOKUP(G54,Proyectos!$E$1:$N$4,10,0),"")</f>
        <v>#NAME?</v>
      </c>
      <c r="M53" s="32"/>
      <c r="N53" s="31"/>
      <c r="O53" s="31"/>
      <c r="P53" s="33"/>
      <c r="Q53" s="33"/>
    </row>
    <row r="54" spans="1:17" ht="16.5" customHeight="1" x14ac:dyDescent="0.2">
      <c r="A54" s="26" t="s">
        <v>3373</v>
      </c>
      <c r="B54" s="26" t="s">
        <v>5607</v>
      </c>
      <c r="C54" s="26" t="s">
        <v>37</v>
      </c>
      <c r="D54" s="26" t="s">
        <v>45</v>
      </c>
      <c r="E54" s="26" t="s">
        <v>39</v>
      </c>
      <c r="F54" s="28" t="e">
        <f ca="1">_xludf.ifna(VLOOKUP(G55,Proyectos!$E$1:$H$4,4,0),"")</f>
        <v>#NAME?</v>
      </c>
      <c r="G54" s="26" t="s">
        <v>5337</v>
      </c>
      <c r="H54" s="32">
        <v>0.05</v>
      </c>
      <c r="I54" s="31" t="s">
        <v>11</v>
      </c>
      <c r="J54" s="43"/>
      <c r="K54" s="32" t="str">
        <f t="shared" si="0"/>
        <v>Interno</v>
      </c>
      <c r="L54" s="32" t="e">
        <f ca="1">_xludf.ifna(VLOOKUP(G55,Proyectos!$E$1:$N$4,10,0),"")</f>
        <v>#NAME?</v>
      </c>
      <c r="M54" s="32"/>
      <c r="N54" s="31"/>
      <c r="O54" s="31"/>
      <c r="P54" s="33"/>
      <c r="Q54" s="33"/>
    </row>
    <row r="55" spans="1:17" ht="16.5" customHeight="1" x14ac:dyDescent="0.2">
      <c r="A55" s="26" t="s">
        <v>4915</v>
      </c>
      <c r="B55" s="26" t="s">
        <v>5609</v>
      </c>
      <c r="C55" s="26" t="s">
        <v>37</v>
      </c>
      <c r="D55" s="26" t="s">
        <v>45</v>
      </c>
      <c r="E55" s="26" t="s">
        <v>135</v>
      </c>
      <c r="F55" s="28" t="e">
        <f ca="1">_xludf.ifna(VLOOKUP(G56,Proyectos!$E$1:$H$4,4,0),"")</f>
        <v>#NAME?</v>
      </c>
      <c r="G55" s="26" t="s">
        <v>5121</v>
      </c>
      <c r="H55" s="32">
        <v>0.5</v>
      </c>
      <c r="I55" s="31" t="s">
        <v>32</v>
      </c>
      <c r="J55" s="32"/>
      <c r="K55" s="32" t="str">
        <f t="shared" si="0"/>
        <v>Externo</v>
      </c>
      <c r="L55" s="32" t="e">
        <f ca="1">_xludf.ifna(VLOOKUP(G56,Proyectos!$E$1:$N$4,10,0),"")</f>
        <v>#NAME?</v>
      </c>
      <c r="M55" s="32"/>
      <c r="N55" s="31"/>
      <c r="O55" s="31"/>
      <c r="P55" s="33"/>
      <c r="Q55" s="33"/>
    </row>
    <row r="56" spans="1:17" ht="16.5" customHeight="1" x14ac:dyDescent="0.2">
      <c r="A56" s="26" t="s">
        <v>4915</v>
      </c>
      <c r="B56" s="26" t="s">
        <v>5609</v>
      </c>
      <c r="C56" s="26" t="s">
        <v>37</v>
      </c>
      <c r="D56" s="26" t="s">
        <v>45</v>
      </c>
      <c r="E56" s="26" t="s">
        <v>135</v>
      </c>
      <c r="F56" s="28" t="e">
        <f ca="1">_xludf.ifna(VLOOKUP(G57,Proyectos!$E$1:$H$4,4,0),"")</f>
        <v>#NAME?</v>
      </c>
      <c r="G56" s="26" t="s">
        <v>5122</v>
      </c>
      <c r="H56" s="32">
        <v>0.5</v>
      </c>
      <c r="I56" s="31" t="s">
        <v>32</v>
      </c>
      <c r="J56" s="32"/>
      <c r="K56" s="32" t="str">
        <f t="shared" si="0"/>
        <v>Externo</v>
      </c>
      <c r="L56" s="32" t="e">
        <f ca="1">_xludf.ifna(VLOOKUP(G57,Proyectos!$E$1:$N$4,10,0),"")</f>
        <v>#NAME?</v>
      </c>
      <c r="M56" s="32"/>
      <c r="N56" s="31"/>
      <c r="O56" s="31"/>
      <c r="P56" s="33"/>
      <c r="Q56" s="33"/>
    </row>
    <row r="57" spans="1:17" ht="16.5" customHeight="1" x14ac:dyDescent="0.2">
      <c r="A57" s="26" t="s">
        <v>4405</v>
      </c>
      <c r="B57" s="26" t="s">
        <v>5610</v>
      </c>
      <c r="C57" s="26" t="s">
        <v>64</v>
      </c>
      <c r="D57" s="26" t="s">
        <v>86</v>
      </c>
      <c r="E57" s="26" t="s">
        <v>126</v>
      </c>
      <c r="F57" s="28" t="e">
        <f ca="1">_xludf.ifna(VLOOKUP(G58,Proyectos!$E$1:$H$4,4,0),"")</f>
        <v>#NAME?</v>
      </c>
      <c r="G57" s="26" t="s">
        <v>5463</v>
      </c>
      <c r="H57" s="30">
        <v>1</v>
      </c>
      <c r="I57" s="31" t="s">
        <v>18</v>
      </c>
      <c r="J57" s="32"/>
      <c r="K57" s="32" t="str">
        <f t="shared" si="0"/>
        <v>Externo</v>
      </c>
      <c r="L57" s="32" t="e">
        <f ca="1">_xludf.ifna(VLOOKUP(G58,Proyectos!$E$1:$N$4,10,0),"")</f>
        <v>#NAME?</v>
      </c>
      <c r="M57" s="32"/>
      <c r="N57" s="32"/>
      <c r="O57" s="31"/>
      <c r="P57" s="33"/>
      <c r="Q57" s="33"/>
    </row>
    <row r="58" spans="1:17" ht="16.5" customHeight="1" x14ac:dyDescent="0.2">
      <c r="A58" s="35" t="s">
        <v>4259</v>
      </c>
      <c r="B58" s="26" t="s">
        <v>5484</v>
      </c>
      <c r="C58" s="26" t="s">
        <v>64</v>
      </c>
      <c r="D58" s="26" t="s">
        <v>82</v>
      </c>
      <c r="E58" s="35" t="s">
        <v>87</v>
      </c>
      <c r="F58" s="28" t="e">
        <f ca="1">_xludf.ifna(VLOOKUP(G59,Proyectos!$E$1:$H$4,4,0),"")</f>
        <v>#NAME?</v>
      </c>
      <c r="G58" s="26" t="s">
        <v>5387</v>
      </c>
      <c r="H58" s="32">
        <v>1</v>
      </c>
      <c r="I58" s="31" t="s">
        <v>25</v>
      </c>
      <c r="J58" s="32"/>
      <c r="K58" s="32" t="str">
        <f t="shared" si="0"/>
        <v>Externo</v>
      </c>
      <c r="L58" s="32" t="e">
        <f ca="1">_xludf.ifna(VLOOKUP(G59,Proyectos!$E$1:$N$4,10,0),"")</f>
        <v>#NAME?</v>
      </c>
      <c r="M58" s="32"/>
      <c r="N58" s="32"/>
      <c r="O58" s="31"/>
      <c r="P58" s="33"/>
      <c r="Q58" s="33"/>
    </row>
    <row r="59" spans="1:17" ht="16.5" customHeight="1" x14ac:dyDescent="0.2">
      <c r="A59" s="26" t="s">
        <v>4693</v>
      </c>
      <c r="B59" s="26" t="s">
        <v>5611</v>
      </c>
      <c r="C59" s="26" t="s">
        <v>64</v>
      </c>
      <c r="D59" s="26" t="s">
        <v>86</v>
      </c>
      <c r="E59" s="26" t="s">
        <v>39</v>
      </c>
      <c r="F59" s="28" t="e">
        <f ca="1">_xludf.ifna(VLOOKUP(G60,Proyectos!$E$1:$H$4,4,0),"")</f>
        <v>#NAME?</v>
      </c>
      <c r="G59" s="26" t="s">
        <v>5612</v>
      </c>
      <c r="H59" s="30">
        <v>0.75</v>
      </c>
      <c r="I59" s="31" t="s">
        <v>18</v>
      </c>
      <c r="J59" s="32"/>
      <c r="K59" s="32" t="str">
        <f t="shared" si="0"/>
        <v>Interno</v>
      </c>
      <c r="L59" s="32" t="e">
        <f ca="1">_xludf.ifna(VLOOKUP(G60,Proyectos!$E$1:$N$4,10,0),"")</f>
        <v>#NAME?</v>
      </c>
      <c r="M59" s="32"/>
      <c r="N59" s="32"/>
      <c r="O59" s="31"/>
      <c r="P59" s="33"/>
      <c r="Q59" s="33"/>
    </row>
    <row r="60" spans="1:17" ht="16.5" customHeight="1" x14ac:dyDescent="0.2">
      <c r="A60" s="26" t="s">
        <v>4693</v>
      </c>
      <c r="B60" s="26" t="s">
        <v>5611</v>
      </c>
      <c r="C60" s="26" t="s">
        <v>64</v>
      </c>
      <c r="D60" s="26" t="s">
        <v>86</v>
      </c>
      <c r="E60" s="26" t="s">
        <v>39</v>
      </c>
      <c r="F60" s="28" t="e">
        <f ca="1">_xludf.ifna(VLOOKUP(G61,Proyectos!$E$1:$H$4,4,0),"")</f>
        <v>#NAME?</v>
      </c>
      <c r="G60" s="29" t="s">
        <v>5597</v>
      </c>
      <c r="H60" s="30">
        <v>0.25</v>
      </c>
      <c r="I60" s="31" t="s">
        <v>18</v>
      </c>
      <c r="J60" s="32"/>
      <c r="K60" s="32" t="str">
        <f t="shared" si="0"/>
        <v>Interno</v>
      </c>
      <c r="L60" s="32" t="e">
        <f ca="1">_xludf.ifna(VLOOKUP(G61,Proyectos!$E$1:$N$4,10,0),"")</f>
        <v>#NAME?</v>
      </c>
      <c r="M60" s="32"/>
      <c r="N60" s="31"/>
      <c r="O60" s="31"/>
      <c r="P60" s="33"/>
      <c r="Q60" s="33"/>
    </row>
    <row r="61" spans="1:17" ht="16.5" customHeight="1" x14ac:dyDescent="0.2">
      <c r="A61" s="26" t="s">
        <v>3906</v>
      </c>
      <c r="B61" s="26" t="s">
        <v>3907</v>
      </c>
      <c r="C61" s="26" t="s">
        <v>115</v>
      </c>
      <c r="D61" s="26" t="s">
        <v>122</v>
      </c>
      <c r="E61" s="26" t="s">
        <v>129</v>
      </c>
      <c r="F61" s="28" t="e">
        <f ca="1">_xludf.ifna(VLOOKUP(G62,Proyectos!$E$1:$H$4,4,0),"")</f>
        <v>#NAME?</v>
      </c>
      <c r="G61" s="26" t="s">
        <v>5597</v>
      </c>
      <c r="H61" s="32">
        <v>1</v>
      </c>
      <c r="I61" s="31" t="s">
        <v>18</v>
      </c>
      <c r="J61" s="32"/>
      <c r="K61" s="32" t="str">
        <f t="shared" si="0"/>
        <v>Externo</v>
      </c>
      <c r="L61" s="32" t="e">
        <f ca="1">_xludf.ifna(VLOOKUP(G62,Proyectos!$E$1:$N$4,10,0),"")</f>
        <v>#NAME?</v>
      </c>
      <c r="M61" s="32"/>
      <c r="N61" s="31"/>
      <c r="O61" s="31"/>
      <c r="P61" s="33"/>
      <c r="Q61" s="33"/>
    </row>
    <row r="62" spans="1:17" ht="16.5" customHeight="1" x14ac:dyDescent="0.2">
      <c r="A62" s="26" t="s">
        <v>4187</v>
      </c>
      <c r="B62" s="26" t="s">
        <v>4188</v>
      </c>
      <c r="C62" s="26" t="s">
        <v>115</v>
      </c>
      <c r="D62" s="26" t="s">
        <v>116</v>
      </c>
      <c r="E62" s="26" t="s">
        <v>114</v>
      </c>
      <c r="F62" s="28" t="e">
        <f ca="1">_xludf.ifna(VLOOKUP(G63,Proyectos!$E$1:$H$4,4,0),"")</f>
        <v>#NAME?</v>
      </c>
      <c r="G62" s="26" t="s">
        <v>5325</v>
      </c>
      <c r="H62" s="32">
        <v>1</v>
      </c>
      <c r="I62" s="31" t="s">
        <v>25</v>
      </c>
      <c r="J62" s="32"/>
      <c r="K62" s="32" t="str">
        <f t="shared" si="0"/>
        <v>Externo</v>
      </c>
      <c r="L62" s="32" t="e">
        <f ca="1">_xludf.ifna(VLOOKUP(G63,Proyectos!$E$1:$N$4,10,0),"")</f>
        <v>#NAME?</v>
      </c>
      <c r="M62" s="32"/>
      <c r="N62" s="32"/>
      <c r="O62" s="31"/>
      <c r="P62" s="33"/>
      <c r="Q62" s="33"/>
    </row>
    <row r="63" spans="1:17" ht="16.5" customHeight="1" x14ac:dyDescent="0.2">
      <c r="A63" s="26" t="s">
        <v>4711</v>
      </c>
      <c r="B63" s="26" t="s">
        <v>5613</v>
      </c>
      <c r="C63" s="26" t="s">
        <v>98</v>
      </c>
      <c r="D63" s="26" t="s">
        <v>110</v>
      </c>
      <c r="E63" s="26" t="s">
        <v>39</v>
      </c>
      <c r="F63" s="28" t="e">
        <f ca="1">_xludf.ifna(VLOOKUP(G64,Proyectos!$E$1:$H$4,4,0),"")</f>
        <v>#NAME?</v>
      </c>
      <c r="G63" s="26" t="s">
        <v>5614</v>
      </c>
      <c r="H63" s="32">
        <v>0.75</v>
      </c>
      <c r="I63" s="31" t="s">
        <v>18</v>
      </c>
      <c r="J63" s="32"/>
      <c r="K63" s="32" t="str">
        <f t="shared" si="0"/>
        <v>Interno</v>
      </c>
      <c r="L63" s="32" t="e">
        <f ca="1">_xludf.ifna(VLOOKUP(G64,Proyectos!$E$1:$N$4,10,0),"")</f>
        <v>#NAME?</v>
      </c>
      <c r="M63" s="32"/>
      <c r="N63" s="32"/>
      <c r="O63" s="31"/>
      <c r="P63" s="33"/>
      <c r="Q63" s="33"/>
    </row>
    <row r="64" spans="1:17" ht="16.5" customHeight="1" x14ac:dyDescent="0.2">
      <c r="A64" s="26" t="s">
        <v>4711</v>
      </c>
      <c r="B64" s="26" t="s">
        <v>5613</v>
      </c>
      <c r="C64" s="26" t="s">
        <v>98</v>
      </c>
      <c r="D64" s="26" t="s">
        <v>110</v>
      </c>
      <c r="E64" s="26" t="s">
        <v>39</v>
      </c>
      <c r="F64" s="28" t="e">
        <f ca="1">_xludf.ifna(VLOOKUP(G65,Proyectos!$E$1:$H$4,4,0),"")</f>
        <v>#NAME?</v>
      </c>
      <c r="G64" s="26" t="s">
        <v>5242</v>
      </c>
      <c r="H64" s="32">
        <v>0.25</v>
      </c>
      <c r="I64" s="31" t="s">
        <v>18</v>
      </c>
      <c r="J64" s="32"/>
      <c r="K64" s="32" t="str">
        <f t="shared" si="0"/>
        <v>Interno</v>
      </c>
      <c r="L64" s="32" t="e">
        <f ca="1">_xludf.ifna(VLOOKUP(G65,Proyectos!$E$1:$N$4,10,0),"")</f>
        <v>#NAME?</v>
      </c>
      <c r="M64" s="32"/>
      <c r="N64" s="32"/>
      <c r="O64" s="31"/>
      <c r="P64" s="33"/>
      <c r="Q64" s="33"/>
    </row>
    <row r="65" spans="1:17" ht="16.5" customHeight="1" x14ac:dyDescent="0.2">
      <c r="A65" s="26" t="s">
        <v>5033</v>
      </c>
      <c r="B65" s="26" t="s">
        <v>5034</v>
      </c>
      <c r="C65" s="26" t="s">
        <v>64</v>
      </c>
      <c r="D65" s="26" t="s">
        <v>95</v>
      </c>
      <c r="E65" s="26" t="s">
        <v>126</v>
      </c>
      <c r="F65" s="28" t="e">
        <f ca="1">_xludf.ifna(VLOOKUP(G66,Proyectos!$E$1:$H$4,4,0),"")</f>
        <v>#NAME?</v>
      </c>
      <c r="G65" s="26" t="s">
        <v>5363</v>
      </c>
      <c r="H65" s="32">
        <v>1</v>
      </c>
      <c r="I65" s="31" t="s">
        <v>18</v>
      </c>
      <c r="J65" s="32"/>
      <c r="K65" s="32" t="str">
        <f t="shared" si="0"/>
        <v>Externo</v>
      </c>
      <c r="L65" s="32" t="e">
        <f ca="1">_xludf.ifna(VLOOKUP(G66,Proyectos!$E$1:$N$4,10,0),"")</f>
        <v>#NAME?</v>
      </c>
      <c r="M65" s="32"/>
      <c r="N65" s="32"/>
      <c r="O65" s="31"/>
      <c r="P65" s="33"/>
      <c r="Q65" s="33"/>
    </row>
    <row r="66" spans="1:17" ht="16.5" customHeight="1" x14ac:dyDescent="0.2">
      <c r="A66" s="26" t="s">
        <v>4841</v>
      </c>
      <c r="B66" s="26" t="s">
        <v>5469</v>
      </c>
      <c r="C66" s="26" t="s">
        <v>115</v>
      </c>
      <c r="D66" s="26" t="s">
        <v>116</v>
      </c>
      <c r="E66" s="26" t="s">
        <v>100</v>
      </c>
      <c r="F66" s="28" t="e">
        <f ca="1">_xludf.ifna(VLOOKUP(G67,Proyectos!$E$1:$H$4,4,0),"")</f>
        <v>#NAME?</v>
      </c>
      <c r="G66" s="26" t="s">
        <v>5314</v>
      </c>
      <c r="H66" s="32">
        <v>0.7</v>
      </c>
      <c r="I66" s="31" t="s">
        <v>18</v>
      </c>
      <c r="J66" s="32"/>
      <c r="K66" s="32" t="str">
        <f t="shared" si="0"/>
        <v>Externo</v>
      </c>
      <c r="L66" s="32" t="e">
        <f ca="1">_xludf.ifna(VLOOKUP(G67,Proyectos!$E$1:$N$4,10,0),"")</f>
        <v>#NAME?</v>
      </c>
      <c r="M66" s="32"/>
      <c r="N66" s="32"/>
      <c r="O66" s="31"/>
      <c r="P66" s="33"/>
      <c r="Q66" s="33"/>
    </row>
    <row r="67" spans="1:17" ht="16.5" customHeight="1" x14ac:dyDescent="0.2">
      <c r="A67" s="26" t="s">
        <v>4841</v>
      </c>
      <c r="B67" s="26" t="s">
        <v>5469</v>
      </c>
      <c r="C67" s="26" t="s">
        <v>115</v>
      </c>
      <c r="D67" s="26" t="s">
        <v>116</v>
      </c>
      <c r="E67" s="26" t="s">
        <v>100</v>
      </c>
      <c r="F67" s="28" t="e">
        <f ca="1">_xludf.ifna(VLOOKUP(G68,Proyectos!$E$1:$H$4,4,0),"")</f>
        <v>#NAME?</v>
      </c>
      <c r="G67" s="26" t="s">
        <v>5237</v>
      </c>
      <c r="H67" s="32">
        <v>0.3</v>
      </c>
      <c r="I67" s="31" t="s">
        <v>18</v>
      </c>
      <c r="J67" s="32"/>
      <c r="K67" s="32" t="str">
        <f t="shared" si="0"/>
        <v>Externo</v>
      </c>
      <c r="L67" s="32" t="e">
        <f ca="1">_xludf.ifna(VLOOKUP(G68,Proyectos!$E$1:$N$4,10,0),"")</f>
        <v>#NAME?</v>
      </c>
      <c r="M67" s="32"/>
      <c r="N67" s="32"/>
      <c r="O67" s="31"/>
      <c r="P67" s="33"/>
      <c r="Q67" s="33"/>
    </row>
    <row r="68" spans="1:17" ht="16.5" customHeight="1" x14ac:dyDescent="0.2">
      <c r="A68" s="26" t="s">
        <v>4841</v>
      </c>
      <c r="B68" s="26" t="s">
        <v>5313</v>
      </c>
      <c r="C68" s="53" t="s">
        <v>64</v>
      </c>
      <c r="D68" s="26" t="s">
        <v>92</v>
      </c>
      <c r="E68" s="26" t="s">
        <v>100</v>
      </c>
      <c r="F68" s="28" t="e">
        <f ca="1">_xludf.ifna(VLOOKUP(G69,Proyectos!$E$1:$H$4,4,0),"")</f>
        <v>#NAME?</v>
      </c>
      <c r="G68" s="26" t="s">
        <v>5314</v>
      </c>
      <c r="H68" s="32">
        <v>1</v>
      </c>
      <c r="I68" s="31" t="s">
        <v>18</v>
      </c>
      <c r="J68" s="32"/>
      <c r="K68" s="32" t="str">
        <f t="shared" si="0"/>
        <v>Externo</v>
      </c>
      <c r="L68" s="32" t="e">
        <f ca="1">_xludf.ifna(VLOOKUP(G69,Proyectos!$E$1:$N$4,10,0),"")</f>
        <v>#NAME?</v>
      </c>
      <c r="M68" s="32"/>
      <c r="N68" s="32"/>
      <c r="O68" s="31"/>
      <c r="P68" s="33"/>
      <c r="Q68" s="33"/>
    </row>
    <row r="69" spans="1:17" ht="16.5" customHeight="1" x14ac:dyDescent="0.2">
      <c r="A69" s="26" t="s">
        <v>4320</v>
      </c>
      <c r="B69" s="26" t="s">
        <v>4321</v>
      </c>
      <c r="C69" s="26" t="s">
        <v>115</v>
      </c>
      <c r="D69" s="26" t="s">
        <v>116</v>
      </c>
      <c r="E69" s="26" t="s">
        <v>9</v>
      </c>
      <c r="F69" s="28" t="e">
        <f ca="1">_xludf.ifna(VLOOKUP(G70,Proyectos!$E$1:$H$4,4,0),"")</f>
        <v>#NAME?</v>
      </c>
      <c r="G69" s="26" t="s">
        <v>5470</v>
      </c>
      <c r="H69" s="32">
        <v>0.1</v>
      </c>
      <c r="I69" s="31" t="s">
        <v>18</v>
      </c>
      <c r="J69" s="32"/>
      <c r="K69" s="32" t="str">
        <f t="shared" si="0"/>
        <v>Externo</v>
      </c>
      <c r="L69" s="32" t="e">
        <f ca="1">_xludf.ifna(VLOOKUP(G70,Proyectos!$E$1:$N$4,10,0),"")</f>
        <v>#NAME?</v>
      </c>
      <c r="M69" s="32"/>
      <c r="N69" s="32"/>
      <c r="O69" s="31"/>
      <c r="P69" s="33"/>
      <c r="Q69" s="33"/>
    </row>
    <row r="70" spans="1:17" ht="16.5" customHeight="1" x14ac:dyDescent="0.2">
      <c r="A70" s="26" t="s">
        <v>4320</v>
      </c>
      <c r="B70" s="26" t="s">
        <v>4321</v>
      </c>
      <c r="C70" s="26" t="s">
        <v>115</v>
      </c>
      <c r="D70" s="26" t="s">
        <v>116</v>
      </c>
      <c r="E70" s="26" t="s">
        <v>9</v>
      </c>
      <c r="F70" s="28" t="e">
        <f ca="1">_xludf.ifna(VLOOKUP(G71,Proyectos!$E$1:$H$4,4,0),"")</f>
        <v>#NAME?</v>
      </c>
      <c r="G70" s="26" t="s">
        <v>5235</v>
      </c>
      <c r="H70" s="32">
        <v>0.7</v>
      </c>
      <c r="I70" s="31" t="s">
        <v>18</v>
      </c>
      <c r="J70" s="32"/>
      <c r="K70" s="32" t="str">
        <f t="shared" si="0"/>
        <v>Externo</v>
      </c>
      <c r="L70" s="32" t="e">
        <f ca="1">_xludf.ifna(VLOOKUP(G71,Proyectos!$E$1:$N$4,10,0),"")</f>
        <v>#NAME?</v>
      </c>
      <c r="M70" s="32"/>
      <c r="N70" s="32"/>
      <c r="O70" s="31"/>
      <c r="P70" s="33"/>
      <c r="Q70" s="33"/>
    </row>
    <row r="71" spans="1:17" ht="16.5" customHeight="1" x14ac:dyDescent="0.2">
      <c r="A71" s="26" t="s">
        <v>4320</v>
      </c>
      <c r="B71" s="26" t="s">
        <v>4321</v>
      </c>
      <c r="C71" s="26" t="s">
        <v>115</v>
      </c>
      <c r="D71" s="26" t="s">
        <v>116</v>
      </c>
      <c r="E71" s="26" t="s">
        <v>9</v>
      </c>
      <c r="F71" s="28" t="e">
        <f ca="1">_xludf.ifna(VLOOKUP(G72,Proyectos!$E$1:$H$4,4,0),"")</f>
        <v>#NAME?</v>
      </c>
      <c r="G71" s="26" t="s">
        <v>5237</v>
      </c>
      <c r="H71" s="32">
        <v>0.2</v>
      </c>
      <c r="I71" s="31" t="s">
        <v>18</v>
      </c>
      <c r="J71" s="32"/>
      <c r="K71" s="32" t="str">
        <f t="shared" si="0"/>
        <v>Externo</v>
      </c>
      <c r="L71" s="32" t="e">
        <f ca="1">_xludf.ifna(VLOOKUP(G72,Proyectos!$E$1:$N$4,10,0),"")</f>
        <v>#NAME?</v>
      </c>
      <c r="M71" s="32"/>
      <c r="N71" s="32"/>
      <c r="O71" s="31"/>
      <c r="P71" s="33"/>
      <c r="Q71" s="33"/>
    </row>
    <row r="72" spans="1:17" ht="16.5" customHeight="1" x14ac:dyDescent="0.2">
      <c r="A72" s="26" t="s">
        <v>3532</v>
      </c>
      <c r="B72" s="26" t="s">
        <v>3533</v>
      </c>
      <c r="C72" s="26" t="s">
        <v>98</v>
      </c>
      <c r="D72" s="26" t="s">
        <v>110</v>
      </c>
      <c r="E72" s="26" t="s">
        <v>39</v>
      </c>
      <c r="F72" s="28" t="e">
        <f ca="1">_xludf.ifna(VLOOKUP(G73,Proyectos!$E$1:$H$4,4,0),"")</f>
        <v>#NAME?</v>
      </c>
      <c r="G72" s="26" t="s">
        <v>5243</v>
      </c>
      <c r="H72" s="32">
        <v>1</v>
      </c>
      <c r="I72" s="31" t="s">
        <v>18</v>
      </c>
      <c r="J72" s="32"/>
      <c r="K72" s="32" t="str">
        <f t="shared" si="0"/>
        <v>Interno</v>
      </c>
      <c r="L72" s="32" t="e">
        <f ca="1">_xludf.ifna(VLOOKUP(G73,Proyectos!$E$1:$N$4,10,0),"")</f>
        <v>#NAME?</v>
      </c>
      <c r="M72" s="32"/>
      <c r="N72" s="32"/>
      <c r="O72" s="31"/>
      <c r="P72" s="33"/>
      <c r="Q72" s="33"/>
    </row>
    <row r="73" spans="1:17" ht="16.5" customHeight="1" x14ac:dyDescent="0.2">
      <c r="A73" s="26" t="s">
        <v>4646</v>
      </c>
      <c r="B73" s="26" t="s">
        <v>4647</v>
      </c>
      <c r="C73" s="26" t="s">
        <v>7</v>
      </c>
      <c r="D73" s="26" t="s">
        <v>16</v>
      </c>
      <c r="E73" s="26" t="s">
        <v>39</v>
      </c>
      <c r="F73" s="28" t="e">
        <f ca="1">_xludf.ifna(VLOOKUP(G74,Proyectos!$E$1:$H$4,4,0),"")</f>
        <v>#NAME?</v>
      </c>
      <c r="G73" s="26" t="s">
        <v>5236</v>
      </c>
      <c r="H73" s="32">
        <v>0.05</v>
      </c>
      <c r="I73" s="31" t="s">
        <v>18</v>
      </c>
      <c r="J73" s="32"/>
      <c r="K73" s="32" t="str">
        <f t="shared" si="0"/>
        <v>Interno</v>
      </c>
      <c r="L73" s="32" t="e">
        <f ca="1">_xludf.ifna(VLOOKUP(G74,Proyectos!$E$1:$N$4,10,0),"")</f>
        <v>#NAME?</v>
      </c>
      <c r="M73" s="32"/>
      <c r="N73" s="31"/>
      <c r="O73" s="31"/>
      <c r="P73" s="33"/>
      <c r="Q73" s="33"/>
    </row>
    <row r="74" spans="1:17" ht="16.5" customHeight="1" x14ac:dyDescent="0.2">
      <c r="A74" s="26" t="s">
        <v>4646</v>
      </c>
      <c r="B74" s="26" t="s">
        <v>4647</v>
      </c>
      <c r="C74" s="26" t="s">
        <v>7</v>
      </c>
      <c r="D74" s="26" t="s">
        <v>16</v>
      </c>
      <c r="E74" s="26" t="s">
        <v>39</v>
      </c>
      <c r="F74" s="28" t="e">
        <f ca="1">_xludf.ifna(VLOOKUP(G75,Proyectos!$E$1:$H$4,4,0),"")</f>
        <v>#NAME?</v>
      </c>
      <c r="G74" s="26" t="s">
        <v>5615</v>
      </c>
      <c r="H74" s="32">
        <v>0.05</v>
      </c>
      <c r="I74" s="31" t="s">
        <v>18</v>
      </c>
      <c r="J74" s="32"/>
      <c r="K74" s="32" t="str">
        <f t="shared" si="0"/>
        <v>Interno</v>
      </c>
      <c r="L74" s="32" t="e">
        <f ca="1">_xludf.ifna(VLOOKUP(G75,Proyectos!$E$1:$N$4,10,0),"")</f>
        <v>#NAME?</v>
      </c>
      <c r="M74" s="32"/>
      <c r="N74" s="31"/>
      <c r="O74" s="31"/>
      <c r="P74" s="33"/>
      <c r="Q74" s="33"/>
    </row>
    <row r="75" spans="1:17" ht="16.5" customHeight="1" x14ac:dyDescent="0.2">
      <c r="A75" s="26" t="s">
        <v>4646</v>
      </c>
      <c r="B75" s="26" t="s">
        <v>4647</v>
      </c>
      <c r="C75" s="26" t="s">
        <v>7</v>
      </c>
      <c r="D75" s="26" t="s">
        <v>16</v>
      </c>
      <c r="E75" s="26" t="s">
        <v>39</v>
      </c>
      <c r="F75" s="28" t="e">
        <f ca="1">_xludf.ifna(VLOOKUP(G76,Proyectos!$E$1:$H$4,4,0),"")</f>
        <v>#NAME?</v>
      </c>
      <c r="G75" s="26" t="s">
        <v>5158</v>
      </c>
      <c r="H75" s="65">
        <v>0.45</v>
      </c>
      <c r="I75" s="31" t="s">
        <v>18</v>
      </c>
      <c r="J75" s="32"/>
      <c r="K75" s="32" t="str">
        <f t="shared" si="0"/>
        <v>Interno</v>
      </c>
      <c r="L75" s="32" t="e">
        <f ca="1">_xludf.ifna(VLOOKUP(G76,Proyectos!$E$1:$N$4,10,0),"")</f>
        <v>#NAME?</v>
      </c>
      <c r="M75" s="32"/>
      <c r="N75" s="31"/>
      <c r="O75" s="31"/>
      <c r="P75" s="33"/>
      <c r="Q75" s="33"/>
    </row>
    <row r="76" spans="1:17" ht="16.5" customHeight="1" x14ac:dyDescent="0.2">
      <c r="A76" s="26" t="s">
        <v>4646</v>
      </c>
      <c r="B76" s="26" t="s">
        <v>4647</v>
      </c>
      <c r="C76" s="26" t="s">
        <v>7</v>
      </c>
      <c r="D76" s="26" t="s">
        <v>16</v>
      </c>
      <c r="E76" s="26" t="s">
        <v>39</v>
      </c>
      <c r="F76" s="28" t="e">
        <f ca="1">_xludf.ifna(VLOOKUP(G77,Proyectos!$E$1:$H$4,4,0),"")</f>
        <v>#NAME?</v>
      </c>
      <c r="G76" s="26" t="s">
        <v>5265</v>
      </c>
      <c r="H76" s="65">
        <v>0.45</v>
      </c>
      <c r="I76" s="31" t="s">
        <v>18</v>
      </c>
      <c r="J76" s="32"/>
      <c r="K76" s="32" t="str">
        <f t="shared" si="0"/>
        <v>Interno</v>
      </c>
      <c r="L76" s="32" t="e">
        <f ca="1">_xludf.ifna(VLOOKUP(G77,Proyectos!$E$1:$N$4,10,0),"")</f>
        <v>#NAME?</v>
      </c>
      <c r="M76" s="32"/>
      <c r="N76" s="32"/>
      <c r="O76" s="31"/>
      <c r="P76" s="33"/>
      <c r="Q76" s="33"/>
    </row>
    <row r="77" spans="1:17" ht="16.5" customHeight="1" x14ac:dyDescent="0.2">
      <c r="A77" s="26" t="s">
        <v>4913</v>
      </c>
      <c r="B77" s="26" t="s">
        <v>5264</v>
      </c>
      <c r="C77" s="26" t="s">
        <v>7</v>
      </c>
      <c r="D77" s="26" t="s">
        <v>16</v>
      </c>
      <c r="E77" s="26" t="s">
        <v>126</v>
      </c>
      <c r="F77" s="28" t="e">
        <f ca="1">_xludf.ifna(VLOOKUP(G78,Proyectos!$E$1:$H$4,4,0),"")</f>
        <v>#NAME?</v>
      </c>
      <c r="G77" s="26" t="s">
        <v>5239</v>
      </c>
      <c r="H77" s="65">
        <v>0.35</v>
      </c>
      <c r="I77" s="31" t="s">
        <v>18</v>
      </c>
      <c r="J77" s="32"/>
      <c r="K77" s="32" t="str">
        <f t="shared" si="0"/>
        <v>Externo</v>
      </c>
      <c r="L77" s="32" t="e">
        <f ca="1">_xludf.ifna(VLOOKUP(G78,Proyectos!$E$1:$N$4,10,0),"")</f>
        <v>#NAME?</v>
      </c>
      <c r="M77" s="32"/>
      <c r="N77" s="31"/>
      <c r="O77" s="31"/>
      <c r="P77" s="33"/>
      <c r="Q77" s="33"/>
    </row>
    <row r="78" spans="1:17" ht="16.5" customHeight="1" x14ac:dyDescent="0.2">
      <c r="A78" s="26" t="s">
        <v>4913</v>
      </c>
      <c r="B78" s="26" t="s">
        <v>5264</v>
      </c>
      <c r="C78" s="26" t="s">
        <v>7</v>
      </c>
      <c r="D78" s="26" t="s">
        <v>16</v>
      </c>
      <c r="E78" s="26" t="s">
        <v>126</v>
      </c>
      <c r="F78" s="28" t="e">
        <f ca="1">_xludf.ifna(VLOOKUP(G79,Proyectos!$E$1:$H$4,4,0),"")</f>
        <v>#NAME?</v>
      </c>
      <c r="G78" s="26" t="s">
        <v>5266</v>
      </c>
      <c r="H78" s="30">
        <v>0.45</v>
      </c>
      <c r="I78" s="31" t="s">
        <v>18</v>
      </c>
      <c r="J78" s="32"/>
      <c r="K78" s="32" t="str">
        <f t="shared" si="0"/>
        <v>Externo</v>
      </c>
      <c r="L78" s="32" t="e">
        <f ca="1">_xludf.ifna(VLOOKUP(G79,Proyectos!$E$1:$N$4,10,0),"")</f>
        <v>#NAME?</v>
      </c>
      <c r="M78" s="32"/>
      <c r="N78" s="32"/>
      <c r="O78" s="31"/>
      <c r="P78" s="33"/>
      <c r="Q78" s="33"/>
    </row>
    <row r="79" spans="1:17" ht="16.5" customHeight="1" x14ac:dyDescent="0.2">
      <c r="A79" s="26" t="s">
        <v>4913</v>
      </c>
      <c r="B79" s="26" t="s">
        <v>5264</v>
      </c>
      <c r="C79" s="26" t="s">
        <v>7</v>
      </c>
      <c r="D79" s="26" t="s">
        <v>16</v>
      </c>
      <c r="E79" s="26" t="s">
        <v>126</v>
      </c>
      <c r="F79" s="28" t="e">
        <f ca="1">_xludf.ifna(VLOOKUP(G80,Proyectos!$E$1:$H$4,4,0),"")</f>
        <v>#NAME?</v>
      </c>
      <c r="G79" s="26" t="s">
        <v>5267</v>
      </c>
      <c r="H79" s="65">
        <v>0.2</v>
      </c>
      <c r="I79" s="31" t="s">
        <v>18</v>
      </c>
      <c r="J79" s="32"/>
      <c r="K79" s="32" t="str">
        <f t="shared" si="0"/>
        <v>Externo</v>
      </c>
      <c r="L79" s="32" t="e">
        <f ca="1">_xludf.ifna(VLOOKUP(G80,Proyectos!$E$1:$N$4,10,0),"")</f>
        <v>#NAME?</v>
      </c>
      <c r="M79" s="32"/>
      <c r="N79" s="32"/>
      <c r="O79" s="31"/>
      <c r="P79" s="33"/>
      <c r="Q79" s="33"/>
    </row>
    <row r="80" spans="1:17" ht="16.5" customHeight="1" x14ac:dyDescent="0.2">
      <c r="A80" s="26" t="s">
        <v>4934</v>
      </c>
      <c r="B80" s="26" t="s">
        <v>4935</v>
      </c>
      <c r="C80" s="26" t="s">
        <v>115</v>
      </c>
      <c r="D80" s="26" t="s">
        <v>122</v>
      </c>
      <c r="E80" s="26" t="s">
        <v>129</v>
      </c>
      <c r="F80" s="28" t="e">
        <f ca="1">_xludf.ifna(VLOOKUP(G81,Proyectos!$E$1:$H$4,4,0),"")</f>
        <v>#NAME?</v>
      </c>
      <c r="G80" s="26" t="s">
        <v>5597</v>
      </c>
      <c r="H80" s="32">
        <v>1</v>
      </c>
      <c r="I80" s="31" t="s">
        <v>18</v>
      </c>
      <c r="J80" s="32"/>
      <c r="K80" s="32" t="str">
        <f t="shared" si="0"/>
        <v>Externo</v>
      </c>
      <c r="L80" s="32" t="e">
        <f ca="1">_xludf.ifna(VLOOKUP(G81,Proyectos!$E$1:$N$4,10,0),"")</f>
        <v>#NAME?</v>
      </c>
      <c r="M80" s="32"/>
      <c r="N80" s="31"/>
      <c r="O80" s="31"/>
      <c r="P80" s="33"/>
      <c r="Q80" s="33"/>
    </row>
    <row r="81" spans="1:17" ht="16.5" customHeight="1" x14ac:dyDescent="0.2">
      <c r="A81" s="106" t="s">
        <v>3634</v>
      </c>
      <c r="B81" s="26" t="s">
        <v>5616</v>
      </c>
      <c r="C81" s="26" t="s">
        <v>7</v>
      </c>
      <c r="D81" s="26" t="s">
        <v>16</v>
      </c>
      <c r="E81" s="26" t="s">
        <v>39</v>
      </c>
      <c r="F81" s="28" t="e">
        <f ca="1">_xludf.ifna(VLOOKUP(G82,Proyectos!$E$1:$H$4,4,0),"")</f>
        <v>#NAME?</v>
      </c>
      <c r="G81" s="26" t="s">
        <v>5235</v>
      </c>
      <c r="H81" s="32">
        <v>1</v>
      </c>
      <c r="I81" s="31" t="s">
        <v>18</v>
      </c>
      <c r="J81" s="32"/>
      <c r="K81" s="32" t="str">
        <f t="shared" si="0"/>
        <v>Interno</v>
      </c>
      <c r="L81" s="32" t="e">
        <f ca="1">_xludf.ifna(VLOOKUP(G82,Proyectos!$E$1:$N$4,10,0),"")</f>
        <v>#NAME?</v>
      </c>
      <c r="M81" s="32"/>
      <c r="N81" s="32"/>
      <c r="O81" s="31"/>
      <c r="P81" s="33"/>
      <c r="Q81" s="33"/>
    </row>
    <row r="82" spans="1:17" ht="16.5" customHeight="1" x14ac:dyDescent="0.2">
      <c r="A82" s="26" t="s">
        <v>3466</v>
      </c>
      <c r="B82" s="26" t="s">
        <v>3467</v>
      </c>
      <c r="C82" s="26" t="s">
        <v>64</v>
      </c>
      <c r="D82" s="26" t="s">
        <v>70</v>
      </c>
      <c r="E82" s="26" t="s">
        <v>39</v>
      </c>
      <c r="F82" s="28" t="e">
        <f ca="1">_xludf.ifna(VLOOKUP(G83,Proyectos!$E$1:$H$4,4,0),"")</f>
        <v>#NAME?</v>
      </c>
      <c r="G82" s="26" t="s">
        <v>5617</v>
      </c>
      <c r="H82" s="30">
        <v>0.5</v>
      </c>
      <c r="I82" s="31" t="s">
        <v>18</v>
      </c>
      <c r="J82" s="32"/>
      <c r="K82" s="32" t="str">
        <f t="shared" si="0"/>
        <v>Interno</v>
      </c>
      <c r="L82" s="32" t="e">
        <f ca="1">_xludf.ifna(VLOOKUP(G83,Proyectos!$E$1:$N$4,10,0),"")</f>
        <v>#NAME?</v>
      </c>
      <c r="M82" s="32"/>
      <c r="N82" s="32"/>
      <c r="O82" s="31"/>
      <c r="P82" s="33"/>
      <c r="Q82" s="33"/>
    </row>
    <row r="83" spans="1:17" ht="16.5" customHeight="1" x14ac:dyDescent="0.2">
      <c r="A83" s="26" t="s">
        <v>3466</v>
      </c>
      <c r="B83" s="26" t="s">
        <v>3467</v>
      </c>
      <c r="C83" s="26" t="s">
        <v>64</v>
      </c>
      <c r="D83" s="26" t="s">
        <v>70</v>
      </c>
      <c r="E83" s="26" t="s">
        <v>39</v>
      </c>
      <c r="F83" s="28" t="e">
        <f ca="1">_xludf.ifna(VLOOKUP(G84,Proyectos!$E$1:$H$4,4,0),"")</f>
        <v>#NAME?</v>
      </c>
      <c r="G83" s="26" t="s">
        <v>5405</v>
      </c>
      <c r="H83" s="30">
        <v>0.5</v>
      </c>
      <c r="I83" s="31" t="s">
        <v>18</v>
      </c>
      <c r="J83" s="32"/>
      <c r="K83" s="32" t="str">
        <f t="shared" si="0"/>
        <v>Interno</v>
      </c>
      <c r="L83" s="32" t="e">
        <f ca="1">_xludf.ifna(VLOOKUP(G84,Proyectos!$E$1:$N$4,10,0),"")</f>
        <v>#NAME?</v>
      </c>
      <c r="M83" s="32"/>
      <c r="N83" s="32"/>
      <c r="O83" s="31"/>
      <c r="P83" s="33"/>
      <c r="Q83" s="33"/>
    </row>
    <row r="84" spans="1:17" ht="16.5" customHeight="1" x14ac:dyDescent="0.2">
      <c r="A84" s="35" t="s">
        <v>3420</v>
      </c>
      <c r="B84" s="26" t="s">
        <v>5618</v>
      </c>
      <c r="C84" s="26" t="s">
        <v>64</v>
      </c>
      <c r="D84" s="26" t="s">
        <v>82</v>
      </c>
      <c r="E84" s="35" t="s">
        <v>39</v>
      </c>
      <c r="F84" s="28" t="e">
        <f ca="1">_xludf.ifna(VLOOKUP(G85,Proyectos!$E$1:$H$4,4,0),"")</f>
        <v>#NAME?</v>
      </c>
      <c r="G84" s="26" t="s">
        <v>5597</v>
      </c>
      <c r="H84" s="32">
        <v>1</v>
      </c>
      <c r="I84" s="31" t="s">
        <v>18</v>
      </c>
      <c r="J84" s="32"/>
      <c r="K84" s="32" t="str">
        <f t="shared" si="0"/>
        <v>Interno</v>
      </c>
      <c r="L84" s="32" t="e">
        <f ca="1">_xludf.ifna(VLOOKUP(G85,Proyectos!$E$1:$N$4,10,0),"")</f>
        <v>#NAME?</v>
      </c>
      <c r="M84" s="32"/>
      <c r="N84" s="31"/>
      <c r="O84" s="31"/>
      <c r="P84" s="33"/>
      <c r="Q84" s="33"/>
    </row>
    <row r="85" spans="1:17" ht="16.5" customHeight="1" x14ac:dyDescent="0.2">
      <c r="A85" s="26" t="s">
        <v>4922</v>
      </c>
      <c r="B85" s="26" t="s">
        <v>4923</v>
      </c>
      <c r="C85" s="26" t="s">
        <v>115</v>
      </c>
      <c r="D85" s="26" t="s">
        <v>116</v>
      </c>
      <c r="E85" s="26" t="s">
        <v>83</v>
      </c>
      <c r="F85" s="28" t="e">
        <f ca="1">_xludf.ifna(VLOOKUP(G86,Proyectos!$E$1:$H$4,4,0),"")</f>
        <v>#NAME?</v>
      </c>
      <c r="G85" s="26" t="s">
        <v>5471</v>
      </c>
      <c r="H85" s="32">
        <v>1</v>
      </c>
      <c r="I85" s="31" t="s">
        <v>25</v>
      </c>
      <c r="J85" s="32"/>
      <c r="K85" s="32" t="str">
        <f t="shared" si="0"/>
        <v>Externo</v>
      </c>
      <c r="L85" s="32" t="e">
        <f ca="1">_xludf.ifna(VLOOKUP(G86,Proyectos!$E$1:$N$4,10,0),"")</f>
        <v>#NAME?</v>
      </c>
      <c r="M85" s="32"/>
      <c r="N85" s="32"/>
      <c r="O85" s="31"/>
      <c r="P85" s="33"/>
      <c r="Q85" s="33"/>
    </row>
    <row r="86" spans="1:17" ht="16.5" customHeight="1" x14ac:dyDescent="0.2">
      <c r="A86" s="26" t="s">
        <v>5047</v>
      </c>
      <c r="B86" s="26" t="s">
        <v>5048</v>
      </c>
      <c r="C86" s="26" t="s">
        <v>115</v>
      </c>
      <c r="D86" s="26" t="s">
        <v>116</v>
      </c>
      <c r="E86" s="26" t="s">
        <v>126</v>
      </c>
      <c r="F86" s="28" t="e">
        <f ca="1">_xludf.ifna(VLOOKUP(G87,Proyectos!$E$1:$H$4,4,0),"")</f>
        <v>#NAME?</v>
      </c>
      <c r="G86" s="26" t="s">
        <v>5597</v>
      </c>
      <c r="H86" s="32">
        <v>1</v>
      </c>
      <c r="I86" s="31" t="s">
        <v>18</v>
      </c>
      <c r="J86" s="32"/>
      <c r="K86" s="32" t="str">
        <f t="shared" si="0"/>
        <v>Externo</v>
      </c>
      <c r="L86" s="32" t="e">
        <f ca="1">_xludf.ifna(VLOOKUP(G87,Proyectos!$E$1:$N$4,10,0),"")</f>
        <v>#NAME?</v>
      </c>
      <c r="M86" s="32"/>
      <c r="N86" s="31"/>
      <c r="O86" s="31"/>
      <c r="P86" s="33"/>
      <c r="Q86" s="33"/>
    </row>
    <row r="87" spans="1:17" ht="16.5" customHeight="1" x14ac:dyDescent="0.2">
      <c r="A87" s="26" t="s">
        <v>4629</v>
      </c>
      <c r="B87" s="26" t="s">
        <v>4630</v>
      </c>
      <c r="C87" s="26" t="s">
        <v>115</v>
      </c>
      <c r="D87" s="26" t="s">
        <v>116</v>
      </c>
      <c r="E87" s="26" t="s">
        <v>39</v>
      </c>
      <c r="F87" s="28" t="e">
        <f ca="1">_xludf.ifna(VLOOKUP(G88,Proyectos!$E$1:$H$4,4,0),"")</f>
        <v>#NAME?</v>
      </c>
      <c r="G87" s="26" t="s">
        <v>5323</v>
      </c>
      <c r="H87" s="32">
        <v>0.25</v>
      </c>
      <c r="I87" s="31" t="s">
        <v>11</v>
      </c>
      <c r="J87" s="32"/>
      <c r="K87" s="32" t="str">
        <f t="shared" si="0"/>
        <v>Interno</v>
      </c>
      <c r="L87" s="32" t="e">
        <f ca="1">_xludf.ifna(VLOOKUP(G88,Proyectos!$E$1:$N$4,10,0),"")</f>
        <v>#NAME?</v>
      </c>
      <c r="M87" s="32"/>
      <c r="N87" s="32"/>
      <c r="O87" s="31"/>
      <c r="P87" s="33"/>
      <c r="Q87" s="33"/>
    </row>
    <row r="88" spans="1:17" ht="16.5" customHeight="1" x14ac:dyDescent="0.2">
      <c r="A88" s="26" t="s">
        <v>4629</v>
      </c>
      <c r="B88" s="26" t="s">
        <v>4630</v>
      </c>
      <c r="C88" s="26" t="s">
        <v>115</v>
      </c>
      <c r="D88" s="26" t="s">
        <v>116</v>
      </c>
      <c r="E88" s="26" t="s">
        <v>39</v>
      </c>
      <c r="F88" s="28" t="e">
        <f ca="1">_xludf.ifna(VLOOKUP(G89,Proyectos!$E$1:$H$4,4,0),"")</f>
        <v>#NAME?</v>
      </c>
      <c r="G88" s="26" t="s">
        <v>5330</v>
      </c>
      <c r="H88" s="32">
        <v>0.25</v>
      </c>
      <c r="I88" s="31" t="s">
        <v>11</v>
      </c>
      <c r="J88" s="32"/>
      <c r="K88" s="32" t="str">
        <f t="shared" si="0"/>
        <v>Interno</v>
      </c>
      <c r="L88" s="32" t="e">
        <f ca="1">_xludf.ifna(VLOOKUP(G89,Proyectos!$E$1:$N$4,10,0),"")</f>
        <v>#NAME?</v>
      </c>
      <c r="M88" s="32"/>
      <c r="N88" s="32"/>
      <c r="O88" s="31"/>
      <c r="P88" s="33"/>
      <c r="Q88" s="33"/>
    </row>
    <row r="89" spans="1:17" ht="16.5" customHeight="1" x14ac:dyDescent="0.2">
      <c r="A89" s="26" t="s">
        <v>4629</v>
      </c>
      <c r="B89" s="26" t="s">
        <v>4630</v>
      </c>
      <c r="C89" s="26" t="s">
        <v>115</v>
      </c>
      <c r="D89" s="26" t="s">
        <v>116</v>
      </c>
      <c r="E89" s="26" t="s">
        <v>39</v>
      </c>
      <c r="F89" s="28" t="e">
        <f ca="1">_xludf.ifna(VLOOKUP(G90,Proyectos!$E$1:$H$4,4,0),"")</f>
        <v>#NAME?</v>
      </c>
      <c r="G89" s="26" t="s">
        <v>5329</v>
      </c>
      <c r="H89" s="32">
        <v>0.2</v>
      </c>
      <c r="I89" s="31" t="s">
        <v>11</v>
      </c>
      <c r="J89" s="32"/>
      <c r="K89" s="32" t="str">
        <f t="shared" si="0"/>
        <v>Interno</v>
      </c>
      <c r="L89" s="32" t="e">
        <f ca="1">_xludf.ifna(VLOOKUP(G90,Proyectos!$E$1:$N$4,10,0),"")</f>
        <v>#NAME?</v>
      </c>
      <c r="M89" s="32"/>
      <c r="N89" s="32"/>
      <c r="O89" s="31"/>
      <c r="P89" s="33"/>
      <c r="Q89" s="33"/>
    </row>
    <row r="90" spans="1:17" ht="16.5" customHeight="1" x14ac:dyDescent="0.2">
      <c r="A90" s="26" t="s">
        <v>4629</v>
      </c>
      <c r="B90" s="26" t="s">
        <v>4630</v>
      </c>
      <c r="C90" s="26" t="s">
        <v>115</v>
      </c>
      <c r="D90" s="26" t="s">
        <v>116</v>
      </c>
      <c r="E90" s="26" t="s">
        <v>39</v>
      </c>
      <c r="F90" s="28" t="e">
        <f ca="1">_xludf.ifna(VLOOKUP(G91,Proyectos!$E$1:$H$4,4,0),"")</f>
        <v>#NAME?</v>
      </c>
      <c r="G90" s="26" t="s">
        <v>5322</v>
      </c>
      <c r="H90" s="32">
        <v>0.1</v>
      </c>
      <c r="I90" s="31" t="s">
        <v>11</v>
      </c>
      <c r="J90" s="32"/>
      <c r="K90" s="32" t="str">
        <f t="shared" si="0"/>
        <v>Interno</v>
      </c>
      <c r="L90" s="32" t="e">
        <f ca="1">_xludf.ifna(VLOOKUP(G91,Proyectos!$E$1:$N$4,10,0),"")</f>
        <v>#NAME?</v>
      </c>
      <c r="M90" s="32"/>
      <c r="N90" s="32"/>
      <c r="O90" s="31"/>
      <c r="P90" s="33"/>
      <c r="Q90" s="33"/>
    </row>
    <row r="91" spans="1:17" ht="16.5" customHeight="1" x14ac:dyDescent="0.2">
      <c r="A91" s="26" t="s">
        <v>4629</v>
      </c>
      <c r="B91" s="26" t="s">
        <v>4630</v>
      </c>
      <c r="C91" s="26" t="s">
        <v>115</v>
      </c>
      <c r="D91" s="26" t="s">
        <v>116</v>
      </c>
      <c r="E91" s="26" t="s">
        <v>39</v>
      </c>
      <c r="F91" s="28" t="e">
        <f ca="1">_xludf.ifna(VLOOKUP(G92,Proyectos!$E$1:$H$4,4,0),"")</f>
        <v>#NAME?</v>
      </c>
      <c r="G91" s="26" t="s">
        <v>5619</v>
      </c>
      <c r="H91" s="32">
        <v>0.1</v>
      </c>
      <c r="I91" s="31" t="s">
        <v>11</v>
      </c>
      <c r="J91" s="32"/>
      <c r="K91" s="32" t="str">
        <f t="shared" si="0"/>
        <v>Interno</v>
      </c>
      <c r="L91" s="32" t="e">
        <f ca="1">_xludf.ifna(VLOOKUP(G92,Proyectos!$E$1:$N$4,10,0),"")</f>
        <v>#NAME?</v>
      </c>
      <c r="M91" s="32"/>
      <c r="N91" s="31"/>
      <c r="O91" s="31"/>
      <c r="P91" s="33"/>
      <c r="Q91" s="33"/>
    </row>
    <row r="92" spans="1:17" ht="16.5" customHeight="1" x14ac:dyDescent="0.2">
      <c r="A92" s="26" t="s">
        <v>4629</v>
      </c>
      <c r="B92" s="26" t="s">
        <v>4630</v>
      </c>
      <c r="C92" s="26" t="s">
        <v>115</v>
      </c>
      <c r="D92" s="26" t="s">
        <v>116</v>
      </c>
      <c r="E92" s="26" t="s">
        <v>39</v>
      </c>
      <c r="F92" s="28" t="e">
        <f ca="1">_xludf.ifna(VLOOKUP(G93,Proyectos!$E$1:$H$4,4,0),"")</f>
        <v>#NAME?</v>
      </c>
      <c r="G92" s="26" t="s">
        <v>5620</v>
      </c>
      <c r="H92" s="32">
        <v>0.1</v>
      </c>
      <c r="I92" s="31" t="s">
        <v>11</v>
      </c>
      <c r="J92" s="32"/>
      <c r="K92" s="32" t="str">
        <f t="shared" si="0"/>
        <v>Interno</v>
      </c>
      <c r="L92" s="32" t="e">
        <f ca="1">_xludf.ifna(VLOOKUP(G93,Proyectos!$E$1:$N$4,10,0),"")</f>
        <v>#NAME?</v>
      </c>
      <c r="M92" s="32"/>
      <c r="N92" s="31"/>
      <c r="O92" s="31"/>
      <c r="P92" s="33"/>
      <c r="Q92" s="33"/>
    </row>
    <row r="93" spans="1:17" ht="16.5" customHeight="1" x14ac:dyDescent="0.2">
      <c r="A93" s="35" t="s">
        <v>3866</v>
      </c>
      <c r="B93" s="35" t="s">
        <v>3867</v>
      </c>
      <c r="C93" s="26" t="s">
        <v>115</v>
      </c>
      <c r="D93" s="26" t="s">
        <v>125</v>
      </c>
      <c r="E93" s="26" t="s">
        <v>39</v>
      </c>
      <c r="F93" s="28" t="e">
        <f ca="1">_xludf.ifna(VLOOKUP(G94,Proyectos!$E$1:$H$4,4,0),"")</f>
        <v>#NAME?</v>
      </c>
      <c r="G93" s="26" t="s">
        <v>5526</v>
      </c>
      <c r="H93" s="32">
        <v>1</v>
      </c>
      <c r="I93" s="31" t="s">
        <v>18</v>
      </c>
      <c r="J93" s="32"/>
      <c r="K93" s="32" t="str">
        <f t="shared" si="0"/>
        <v>Interno</v>
      </c>
      <c r="L93" s="32" t="e">
        <f ca="1">_xludf.ifna(VLOOKUP(G94,Proyectos!$E$1:$N$4,10,0),"")</f>
        <v>#NAME?</v>
      </c>
      <c r="M93" s="32"/>
      <c r="N93" s="32"/>
      <c r="O93" s="31"/>
      <c r="P93" s="33"/>
      <c r="Q93" s="33"/>
    </row>
    <row r="94" spans="1:17" ht="16.5" customHeight="1" x14ac:dyDescent="0.2">
      <c r="A94" s="26" t="s">
        <v>5100</v>
      </c>
      <c r="B94" s="26" t="s">
        <v>5101</v>
      </c>
      <c r="C94" s="26" t="s">
        <v>98</v>
      </c>
      <c r="D94" s="26" t="s">
        <v>113</v>
      </c>
      <c r="E94" s="26" t="s">
        <v>126</v>
      </c>
      <c r="F94" s="28" t="e">
        <f ca="1">_xludf.ifna(VLOOKUP(G95,Proyectos!$E$1:$H$4,4,0),"")</f>
        <v>#NAME?</v>
      </c>
      <c r="G94" s="26" t="s">
        <v>5133</v>
      </c>
      <c r="H94" s="32">
        <v>1</v>
      </c>
      <c r="I94" s="31" t="s">
        <v>18</v>
      </c>
      <c r="J94" s="32"/>
      <c r="K94" s="32" t="str">
        <f t="shared" si="0"/>
        <v>Externo</v>
      </c>
      <c r="L94" s="32" t="e">
        <f ca="1">_xludf.ifna(VLOOKUP(G95,Proyectos!$E$1:$N$4,10,0),"")</f>
        <v>#NAME?</v>
      </c>
      <c r="M94" s="32"/>
      <c r="N94" s="32"/>
      <c r="O94" s="31"/>
      <c r="P94" s="33"/>
      <c r="Q94" s="33"/>
    </row>
    <row r="95" spans="1:17" ht="16.5" customHeight="1" x14ac:dyDescent="0.2">
      <c r="A95" s="26" t="s">
        <v>4134</v>
      </c>
      <c r="B95" s="26" t="s">
        <v>5621</v>
      </c>
      <c r="C95" s="26" t="s">
        <v>64</v>
      </c>
      <c r="D95" s="26" t="s">
        <v>78</v>
      </c>
      <c r="E95" s="26" t="s">
        <v>129</v>
      </c>
      <c r="F95" s="28" t="e">
        <f ca="1">_xludf.ifna(VLOOKUP(G96,Proyectos!$E$1:$H$4,4,0),"")</f>
        <v>#NAME?</v>
      </c>
      <c r="G95" s="26" t="s">
        <v>5406</v>
      </c>
      <c r="H95" s="30">
        <v>1</v>
      </c>
      <c r="I95" s="31" t="s">
        <v>18</v>
      </c>
      <c r="J95" s="32"/>
      <c r="K95" s="32" t="str">
        <f t="shared" si="0"/>
        <v>Externo</v>
      </c>
      <c r="L95" s="32" t="e">
        <f ca="1">_xludf.ifna(VLOOKUP(G96,Proyectos!$E$1:$N$4,10,0),"")</f>
        <v>#NAME?</v>
      </c>
      <c r="M95" s="32"/>
      <c r="N95" s="32"/>
      <c r="O95" s="31"/>
      <c r="P95" s="33"/>
      <c r="Q95" s="33"/>
    </row>
    <row r="96" spans="1:17" ht="16.5" customHeight="1" x14ac:dyDescent="0.2">
      <c r="A96" s="26" t="s">
        <v>3878</v>
      </c>
      <c r="B96" s="26" t="s">
        <v>5622</v>
      </c>
      <c r="C96" s="26" t="s">
        <v>7</v>
      </c>
      <c r="D96" s="26" t="s">
        <v>16</v>
      </c>
      <c r="E96" s="26" t="s">
        <v>39</v>
      </c>
      <c r="F96" s="28" t="e">
        <f ca="1">_xludf.ifna(VLOOKUP(G97,Proyectos!$E$1:$H$4,4,0),"")</f>
        <v>#NAME?</v>
      </c>
      <c r="G96" s="26" t="s">
        <v>5597</v>
      </c>
      <c r="H96" s="65">
        <v>1</v>
      </c>
      <c r="I96" s="31" t="s">
        <v>18</v>
      </c>
      <c r="J96" s="32"/>
      <c r="K96" s="32" t="str">
        <f t="shared" si="0"/>
        <v>Interno</v>
      </c>
      <c r="L96" s="32" t="e">
        <f ca="1">_xludf.ifna(VLOOKUP(G97,Proyectos!$E$1:$N$4,10,0),"")</f>
        <v>#NAME?</v>
      </c>
      <c r="M96" s="32"/>
      <c r="N96" s="31"/>
      <c r="O96" s="31"/>
      <c r="P96" s="33"/>
      <c r="Q96" s="33"/>
    </row>
    <row r="97" spans="1:17" ht="16.5" customHeight="1" x14ac:dyDescent="0.2">
      <c r="A97" s="26" t="s">
        <v>4328</v>
      </c>
      <c r="B97" s="26" t="s">
        <v>5281</v>
      </c>
      <c r="C97" s="53" t="s">
        <v>64</v>
      </c>
      <c r="D97" s="26" t="s">
        <v>92</v>
      </c>
      <c r="E97" s="26" t="s">
        <v>9</v>
      </c>
      <c r="F97" s="28" t="e">
        <f ca="1">_xludf.ifna(VLOOKUP(G98,Proyectos!$E$1:$H$4,4,0),"")</f>
        <v>#NAME?</v>
      </c>
      <c r="G97" s="26" t="s">
        <v>5127</v>
      </c>
      <c r="H97" s="32">
        <v>0.5</v>
      </c>
      <c r="I97" s="31" t="s">
        <v>18</v>
      </c>
      <c r="J97" s="32"/>
      <c r="K97" s="32" t="str">
        <f t="shared" si="0"/>
        <v>Externo</v>
      </c>
      <c r="L97" s="32" t="e">
        <f ca="1">_xludf.ifna(VLOOKUP(G98,Proyectos!$E$1:$N$4,10,0),"")</f>
        <v>#NAME?</v>
      </c>
      <c r="M97" s="32"/>
      <c r="N97" s="32"/>
      <c r="O97" s="31"/>
      <c r="P97" s="33"/>
      <c r="Q97" s="33"/>
    </row>
    <row r="98" spans="1:17" ht="16.5" customHeight="1" x14ac:dyDescent="0.2">
      <c r="A98" s="26" t="s">
        <v>4328</v>
      </c>
      <c r="B98" s="26" t="s">
        <v>5281</v>
      </c>
      <c r="C98" s="53" t="s">
        <v>64</v>
      </c>
      <c r="D98" s="26" t="s">
        <v>92</v>
      </c>
      <c r="E98" s="26" t="s">
        <v>9</v>
      </c>
      <c r="F98" s="28" t="e">
        <f ca="1">_xludf.ifna(VLOOKUP(G99,Proyectos!$E$1:$H$4,4,0),"")</f>
        <v>#NAME?</v>
      </c>
      <c r="G98" s="26" t="s">
        <v>5282</v>
      </c>
      <c r="H98" s="32">
        <v>0.5</v>
      </c>
      <c r="I98" s="31" t="s">
        <v>18</v>
      </c>
      <c r="J98" s="32"/>
      <c r="K98" s="32" t="str">
        <f t="shared" si="0"/>
        <v>Externo</v>
      </c>
      <c r="L98" s="32" t="e">
        <f ca="1">_xludf.ifna(VLOOKUP(G99,Proyectos!$E$1:$N$4,10,0),"")</f>
        <v>#NAME?</v>
      </c>
      <c r="M98" s="32"/>
      <c r="N98" s="32"/>
      <c r="O98" s="31"/>
      <c r="P98" s="33"/>
      <c r="Q98" s="33"/>
    </row>
    <row r="99" spans="1:17" ht="16.5" customHeight="1" x14ac:dyDescent="0.2">
      <c r="A99" s="26" t="s">
        <v>3309</v>
      </c>
      <c r="B99" s="26" t="s">
        <v>3310</v>
      </c>
      <c r="C99" s="26" t="s">
        <v>98</v>
      </c>
      <c r="D99" s="26" t="s">
        <v>113</v>
      </c>
      <c r="E99" s="26" t="s">
        <v>39</v>
      </c>
      <c r="F99" s="28" t="e">
        <f ca="1">_xludf.ifna(VLOOKUP(G100,Proyectos!$E$1:$H$4,4,0),"")</f>
        <v>#NAME?</v>
      </c>
      <c r="G99" s="26" t="s">
        <v>5245</v>
      </c>
      <c r="H99" s="32">
        <v>1</v>
      </c>
      <c r="I99" s="31" t="s">
        <v>11</v>
      </c>
      <c r="J99" s="32"/>
      <c r="K99" s="32" t="str">
        <f t="shared" si="0"/>
        <v>Interno</v>
      </c>
      <c r="L99" s="32" t="e">
        <f ca="1">_xludf.ifna(VLOOKUP(G100,Proyectos!$E$1:$N$4,10,0),"")</f>
        <v>#NAME?</v>
      </c>
      <c r="M99" s="32"/>
      <c r="N99" s="32"/>
      <c r="O99" s="31"/>
      <c r="P99" s="33"/>
      <c r="Q99" s="33"/>
    </row>
    <row r="100" spans="1:17" ht="16.5" customHeight="1" x14ac:dyDescent="0.2">
      <c r="A100" s="26" t="s">
        <v>4239</v>
      </c>
      <c r="B100" s="26" t="s">
        <v>5200</v>
      </c>
      <c r="C100" s="54" t="s">
        <v>7</v>
      </c>
      <c r="D100" s="35" t="s">
        <v>8</v>
      </c>
      <c r="E100" s="35" t="s">
        <v>87</v>
      </c>
      <c r="F100" s="28" t="e">
        <f ca="1">_xludf.ifna(VLOOKUP(G101,Proyectos!$E$1:$H$4,4,0),"")</f>
        <v>#NAME?</v>
      </c>
      <c r="G100" s="35" t="s">
        <v>5189</v>
      </c>
      <c r="H100" s="30">
        <v>1</v>
      </c>
      <c r="I100" s="31" t="s">
        <v>18</v>
      </c>
      <c r="J100" s="55"/>
      <c r="K100" s="32" t="str">
        <f t="shared" si="0"/>
        <v>Externo</v>
      </c>
      <c r="L100" s="32" t="e">
        <f ca="1">_xludf.ifna(VLOOKUP(G101,Proyectos!$E$1:$N$4,10,0),"")</f>
        <v>#NAME?</v>
      </c>
      <c r="M100" s="32"/>
      <c r="N100" s="31"/>
      <c r="O100" s="31"/>
      <c r="P100" s="33"/>
      <c r="Q100" s="33"/>
    </row>
    <row r="101" spans="1:17" ht="16.5" customHeight="1" x14ac:dyDescent="0.2">
      <c r="A101" s="35" t="s">
        <v>4061</v>
      </c>
      <c r="B101" s="54" t="s">
        <v>5541</v>
      </c>
      <c r="C101" s="35" t="s">
        <v>115</v>
      </c>
      <c r="D101" s="35" t="s">
        <v>131</v>
      </c>
      <c r="E101" s="35" t="s">
        <v>9</v>
      </c>
      <c r="F101" s="28" t="e">
        <f ca="1">_xludf.ifna(VLOOKUP(G102,Proyectos!$E$1:$H$4,4,0),"")</f>
        <v>#NAME?</v>
      </c>
      <c r="G101" s="29" t="s">
        <v>5597</v>
      </c>
      <c r="H101" s="48">
        <v>0.5</v>
      </c>
      <c r="I101" s="30" t="s">
        <v>25</v>
      </c>
      <c r="J101" s="30" t="s">
        <v>4063</v>
      </c>
      <c r="K101" s="30" t="str">
        <f t="shared" si="0"/>
        <v>Externo</v>
      </c>
      <c r="L101" s="32" t="e">
        <f ca="1">_xludf.ifna(VLOOKUP(G102,Proyectos!$E$1:$N$4,10,0),"")</f>
        <v>#NAME?</v>
      </c>
      <c r="M101" s="30"/>
      <c r="N101" s="31"/>
      <c r="O101" s="31"/>
      <c r="P101" s="33"/>
      <c r="Q101" s="33"/>
    </row>
    <row r="102" spans="1:17" ht="16.5" customHeight="1" x14ac:dyDescent="0.2">
      <c r="A102" s="35" t="s">
        <v>4061</v>
      </c>
      <c r="B102" s="54" t="s">
        <v>5541</v>
      </c>
      <c r="C102" s="35" t="s">
        <v>115</v>
      </c>
      <c r="D102" s="35" t="s">
        <v>131</v>
      </c>
      <c r="E102" s="35" t="s">
        <v>9</v>
      </c>
      <c r="F102" s="28" t="e">
        <f ca="1">_xludf.ifna(VLOOKUP(G103,Proyectos!$E$1:$H$4,4,0),"")</f>
        <v>#NAME?</v>
      </c>
      <c r="G102" s="29" t="s">
        <v>5318</v>
      </c>
      <c r="H102" s="48">
        <v>0.2</v>
      </c>
      <c r="I102" s="30" t="s">
        <v>25</v>
      </c>
      <c r="J102" s="30" t="s">
        <v>5623</v>
      </c>
      <c r="K102" s="30" t="str">
        <f t="shared" si="0"/>
        <v>Externo</v>
      </c>
      <c r="L102" s="32" t="e">
        <f ca="1">_xludf.ifna(VLOOKUP(G103,Proyectos!$E$1:$N$4,10,0),"")</f>
        <v>#NAME?</v>
      </c>
      <c r="M102" s="30"/>
      <c r="N102" s="31"/>
      <c r="O102" s="31"/>
      <c r="P102" s="33"/>
      <c r="Q102" s="33"/>
    </row>
    <row r="103" spans="1:17" ht="16.5" customHeight="1" x14ac:dyDescent="0.2">
      <c r="A103" s="35" t="s">
        <v>4061</v>
      </c>
      <c r="B103" s="54" t="s">
        <v>5541</v>
      </c>
      <c r="C103" s="35" t="s">
        <v>115</v>
      </c>
      <c r="D103" s="35" t="s">
        <v>131</v>
      </c>
      <c r="E103" s="35" t="s">
        <v>9</v>
      </c>
      <c r="F103" s="28" t="e">
        <f ca="1">_xludf.ifna(VLOOKUP(G104,Proyectos!$E$1:$H$4,4,0),"")</f>
        <v>#NAME?</v>
      </c>
      <c r="G103" s="29" t="s">
        <v>5323</v>
      </c>
      <c r="H103" s="48">
        <v>0.3</v>
      </c>
      <c r="I103" s="30" t="s">
        <v>25</v>
      </c>
      <c r="J103" s="30" t="s">
        <v>5623</v>
      </c>
      <c r="K103" s="30" t="str">
        <f t="shared" si="0"/>
        <v>Externo</v>
      </c>
      <c r="L103" s="32" t="e">
        <f ca="1">_xludf.ifna(VLOOKUP(G104,Proyectos!$E$1:$N$4,10,0),"")</f>
        <v>#NAME?</v>
      </c>
      <c r="M103" s="30"/>
      <c r="N103" s="31"/>
      <c r="O103" s="31"/>
      <c r="P103" s="33"/>
      <c r="Q103" s="33"/>
    </row>
    <row r="104" spans="1:17" ht="16.5" customHeight="1" x14ac:dyDescent="0.2">
      <c r="A104" s="26" t="s">
        <v>4968</v>
      </c>
      <c r="B104" s="26" t="s">
        <v>5201</v>
      </c>
      <c r="C104" s="54" t="s">
        <v>7</v>
      </c>
      <c r="D104" s="35" t="s">
        <v>8</v>
      </c>
      <c r="E104" s="35" t="s">
        <v>87</v>
      </c>
      <c r="F104" s="28" t="e">
        <f ca="1">_xludf.ifna(VLOOKUP(G105,Proyectos!$E$1:$H$4,4,0),"")</f>
        <v>#NAME?</v>
      </c>
      <c r="G104" s="35" t="s">
        <v>5190</v>
      </c>
      <c r="H104" s="30">
        <v>1</v>
      </c>
      <c r="I104" s="31" t="s">
        <v>18</v>
      </c>
      <c r="J104" s="55"/>
      <c r="K104" s="32" t="str">
        <f t="shared" si="0"/>
        <v>Externo</v>
      </c>
      <c r="L104" s="32" t="e">
        <f ca="1">_xludf.ifna(VLOOKUP(G105,Proyectos!$E$1:$N$4,10,0),"")</f>
        <v>#NAME?</v>
      </c>
      <c r="M104" s="32"/>
      <c r="N104" s="31"/>
      <c r="O104" s="31"/>
      <c r="P104" s="33"/>
      <c r="Q104" s="33"/>
    </row>
    <row r="105" spans="1:17" ht="16.5" customHeight="1" x14ac:dyDescent="0.2">
      <c r="A105" s="26" t="s">
        <v>3576</v>
      </c>
      <c r="B105" s="26" t="s">
        <v>3577</v>
      </c>
      <c r="C105" s="26" t="s">
        <v>115</v>
      </c>
      <c r="D105" s="26" t="s">
        <v>116</v>
      </c>
      <c r="E105" s="26" t="s">
        <v>39</v>
      </c>
      <c r="F105" s="28" t="e">
        <f ca="1">_xludf.ifna(VLOOKUP(G106,Proyectos!$E$1:$H$4,4,0),"")</f>
        <v>#NAME?</v>
      </c>
      <c r="G105" s="26" t="s">
        <v>5318</v>
      </c>
      <c r="H105" s="32">
        <v>0.25</v>
      </c>
      <c r="I105" s="31" t="s">
        <v>18</v>
      </c>
      <c r="J105" s="32"/>
      <c r="K105" s="32" t="str">
        <f t="shared" si="0"/>
        <v>Interno</v>
      </c>
      <c r="L105" s="32" t="e">
        <f ca="1">_xludf.ifna(VLOOKUP(G106,Proyectos!$E$1:$N$4,10,0),"")</f>
        <v>#NAME?</v>
      </c>
      <c r="M105" s="32"/>
      <c r="N105" s="32"/>
      <c r="O105" s="31"/>
      <c r="P105" s="33"/>
      <c r="Q105" s="33"/>
    </row>
    <row r="106" spans="1:17" ht="16.5" customHeight="1" x14ac:dyDescent="0.2">
      <c r="A106" s="26" t="s">
        <v>3576</v>
      </c>
      <c r="B106" s="26" t="s">
        <v>3577</v>
      </c>
      <c r="C106" s="26" t="s">
        <v>115</v>
      </c>
      <c r="D106" s="26" t="s">
        <v>116</v>
      </c>
      <c r="E106" s="26" t="s">
        <v>39</v>
      </c>
      <c r="F106" s="28" t="e">
        <f ca="1">_xludf.ifna(VLOOKUP(G107,Proyectos!$E$1:$H$4,4,0),"")</f>
        <v>#NAME?</v>
      </c>
      <c r="G106" s="26" t="s">
        <v>5322</v>
      </c>
      <c r="H106" s="32">
        <v>0.75</v>
      </c>
      <c r="I106" s="31" t="s">
        <v>18</v>
      </c>
      <c r="J106" s="32"/>
      <c r="K106" s="32" t="str">
        <f t="shared" si="0"/>
        <v>Interno</v>
      </c>
      <c r="L106" s="32" t="e">
        <f ca="1">_xludf.ifna(VLOOKUP(G107,Proyectos!$E$1:$N$4,10,0),"")</f>
        <v>#NAME?</v>
      </c>
      <c r="M106" s="32"/>
      <c r="N106" s="32"/>
      <c r="O106" s="31"/>
      <c r="P106" s="33"/>
      <c r="Q106" s="33"/>
    </row>
    <row r="107" spans="1:17" ht="16.5" customHeight="1" x14ac:dyDescent="0.2">
      <c r="A107" s="26" t="s">
        <v>4326</v>
      </c>
      <c r="B107" s="26" t="s">
        <v>4327</v>
      </c>
      <c r="C107" s="26" t="s">
        <v>37</v>
      </c>
      <c r="D107" s="26" t="s">
        <v>38</v>
      </c>
      <c r="E107" s="26" t="s">
        <v>9</v>
      </c>
      <c r="F107" s="28" t="e">
        <f ca="1">_xludf.ifna(VLOOKUP(G108,Proyectos!$E$1:$H$4,4,0),"")</f>
        <v>#NAME?</v>
      </c>
      <c r="G107" s="26" t="s">
        <v>5597</v>
      </c>
      <c r="H107" s="32">
        <v>1</v>
      </c>
      <c r="I107" s="31" t="s">
        <v>18</v>
      </c>
      <c r="J107" s="32"/>
      <c r="K107" s="32" t="str">
        <f t="shared" si="0"/>
        <v>Externo</v>
      </c>
      <c r="L107" s="32" t="e">
        <f ca="1">_xludf.ifna(VLOOKUP(G108,Proyectos!$E$1:$N$4,10,0),"")</f>
        <v>#NAME?</v>
      </c>
      <c r="M107" s="32"/>
      <c r="N107" s="31"/>
      <c r="O107" s="31"/>
      <c r="P107" s="33"/>
      <c r="Q107" s="33"/>
    </row>
    <row r="108" spans="1:17" ht="16.5" customHeight="1" x14ac:dyDescent="0.2">
      <c r="A108" s="26" t="s">
        <v>4643</v>
      </c>
      <c r="B108" s="26" t="s">
        <v>4644</v>
      </c>
      <c r="C108" s="26" t="s">
        <v>115</v>
      </c>
      <c r="D108" s="26" t="s">
        <v>128</v>
      </c>
      <c r="E108" s="26" t="s">
        <v>39</v>
      </c>
      <c r="F108" s="28" t="e">
        <f ca="1">_xludf.ifna(VLOOKUP(G109,Proyectos!$E$1:$H$4,4,0),"")</f>
        <v>#NAME?</v>
      </c>
      <c r="G108" s="26" t="s">
        <v>5543</v>
      </c>
      <c r="H108" s="32">
        <v>0.75</v>
      </c>
      <c r="I108" s="31" t="s">
        <v>18</v>
      </c>
      <c r="J108" s="32"/>
      <c r="K108" s="32" t="str">
        <f t="shared" si="0"/>
        <v>Interno</v>
      </c>
      <c r="L108" s="32" t="e">
        <f ca="1">_xludf.ifna(VLOOKUP(G109,Proyectos!$E$1:$N$4,10,0),"")</f>
        <v>#NAME?</v>
      </c>
      <c r="M108" s="32"/>
      <c r="N108" s="32"/>
      <c r="O108" s="31"/>
      <c r="P108" s="33"/>
      <c r="Q108" s="33"/>
    </row>
    <row r="109" spans="1:17" ht="16.5" customHeight="1" x14ac:dyDescent="0.2">
      <c r="A109" s="26" t="s">
        <v>4643</v>
      </c>
      <c r="B109" s="26" t="s">
        <v>4644</v>
      </c>
      <c r="C109" s="26" t="s">
        <v>115</v>
      </c>
      <c r="D109" s="26" t="s">
        <v>128</v>
      </c>
      <c r="E109" s="26" t="s">
        <v>39</v>
      </c>
      <c r="F109" s="28" t="e">
        <f ca="1">_xludf.ifna(VLOOKUP(G110,Proyectos!$E$1:$H$4,4,0),"")</f>
        <v>#NAME?</v>
      </c>
      <c r="G109" s="26" t="s">
        <v>5597</v>
      </c>
      <c r="H109" s="32">
        <v>0.25</v>
      </c>
      <c r="I109" s="31" t="s">
        <v>18</v>
      </c>
      <c r="J109" s="31" t="s">
        <v>3783</v>
      </c>
      <c r="K109" s="32" t="str">
        <f t="shared" si="0"/>
        <v>Interno</v>
      </c>
      <c r="L109" s="32" t="e">
        <f ca="1">_xludf.ifna(VLOOKUP(G110,Proyectos!$E$1:$N$4,10,0),"")</f>
        <v>#NAME?</v>
      </c>
      <c r="M109" s="32"/>
      <c r="N109" s="31"/>
      <c r="O109" s="31"/>
      <c r="P109" s="33"/>
      <c r="Q109" s="33"/>
    </row>
    <row r="110" spans="1:17" ht="16.5" customHeight="1" x14ac:dyDescent="0.2">
      <c r="A110" s="26" t="s">
        <v>5624</v>
      </c>
      <c r="B110" s="26" t="s">
        <v>5625</v>
      </c>
      <c r="C110" s="26" t="s">
        <v>115</v>
      </c>
      <c r="D110" s="26" t="s">
        <v>119</v>
      </c>
      <c r="E110" s="26" t="s">
        <v>129</v>
      </c>
      <c r="F110" s="28" t="e">
        <f ca="1">_xludf.ifna(VLOOKUP(G111,Proyectos!$E$1:$H$4,4,0),"")</f>
        <v>#NAME?</v>
      </c>
      <c r="G110" s="26" t="s">
        <v>5131</v>
      </c>
      <c r="H110" s="32">
        <v>0.2</v>
      </c>
      <c r="I110" s="31" t="s">
        <v>18</v>
      </c>
      <c r="J110" s="31" t="s">
        <v>5626</v>
      </c>
      <c r="K110" s="32" t="str">
        <f t="shared" si="0"/>
        <v>Externo</v>
      </c>
      <c r="L110" s="32" t="e">
        <f ca="1">_xludf.ifna(VLOOKUP(G111,Proyectos!$E$1:$N$4,10,0),"")</f>
        <v>#NAME?</v>
      </c>
      <c r="M110" s="32"/>
      <c r="N110" s="32"/>
      <c r="O110" s="31"/>
      <c r="P110" s="33"/>
      <c r="Q110" s="33"/>
    </row>
    <row r="111" spans="1:17" ht="16.5" customHeight="1" x14ac:dyDescent="0.2">
      <c r="A111" s="26" t="s">
        <v>3803</v>
      </c>
      <c r="B111" s="26" t="s">
        <v>5627</v>
      </c>
      <c r="C111" s="26" t="s">
        <v>7</v>
      </c>
      <c r="D111" s="26" t="s">
        <v>16</v>
      </c>
      <c r="E111" s="26" t="s">
        <v>39</v>
      </c>
      <c r="F111" s="28" t="e">
        <f ca="1">_xludf.ifna(VLOOKUP(G112,Proyectos!$E$1:$H$4,4,0),"")</f>
        <v>#NAME?</v>
      </c>
      <c r="G111" s="26" t="s">
        <v>5597</v>
      </c>
      <c r="H111" s="32">
        <v>1</v>
      </c>
      <c r="I111" s="31" t="s">
        <v>18</v>
      </c>
      <c r="J111" s="32"/>
      <c r="K111" s="32" t="str">
        <f t="shared" si="0"/>
        <v>Interno</v>
      </c>
      <c r="L111" s="32" t="e">
        <f ca="1">_xludf.ifna(VLOOKUP(G112,Proyectos!$E$1:$N$4,10,0),"")</f>
        <v>#NAME?</v>
      </c>
      <c r="M111" s="32"/>
      <c r="N111" s="31"/>
      <c r="O111" s="31"/>
      <c r="P111" s="33"/>
      <c r="Q111" s="33"/>
    </row>
    <row r="112" spans="1:17" ht="16.5" customHeight="1" x14ac:dyDescent="0.2">
      <c r="A112" s="26" t="s">
        <v>3510</v>
      </c>
      <c r="B112" s="26" t="s">
        <v>3511</v>
      </c>
      <c r="C112" s="26" t="s">
        <v>115</v>
      </c>
      <c r="D112" s="26" t="s">
        <v>122</v>
      </c>
      <c r="E112" s="26" t="s">
        <v>39</v>
      </c>
      <c r="F112" s="28" t="e">
        <f ca="1">_xludf.ifna(VLOOKUP(G113,Proyectos!$E$1:$H$4,4,0),"")</f>
        <v>#NAME?</v>
      </c>
      <c r="G112" s="26" t="s">
        <v>5415</v>
      </c>
      <c r="H112" s="32">
        <v>1</v>
      </c>
      <c r="I112" s="31" t="s">
        <v>18</v>
      </c>
      <c r="J112" s="32"/>
      <c r="K112" s="32" t="str">
        <f t="shared" si="0"/>
        <v>Interno</v>
      </c>
      <c r="L112" s="32" t="e">
        <f ca="1">_xludf.ifna(VLOOKUP(G113,Proyectos!$E$1:$N$4,10,0),"")</f>
        <v>#NAME?</v>
      </c>
      <c r="M112" s="32"/>
      <c r="N112" s="31"/>
      <c r="O112" s="31"/>
      <c r="P112" s="33"/>
      <c r="Q112" s="33"/>
    </row>
    <row r="113" spans="1:17" ht="16.5" customHeight="1" x14ac:dyDescent="0.2">
      <c r="A113" s="26" t="s">
        <v>3721</v>
      </c>
      <c r="B113" s="26" t="s">
        <v>5628</v>
      </c>
      <c r="C113" s="26" t="s">
        <v>7</v>
      </c>
      <c r="D113" s="26" t="s">
        <v>16</v>
      </c>
      <c r="E113" s="26" t="s">
        <v>39</v>
      </c>
      <c r="F113" s="28" t="e">
        <f ca="1">_xludf.ifna(VLOOKUP(G114,Proyectos!$E$1:$H$4,4,0),"")</f>
        <v>#NAME?</v>
      </c>
      <c r="G113" s="26" t="s">
        <v>5597</v>
      </c>
      <c r="H113" s="32">
        <v>0.5</v>
      </c>
      <c r="I113" s="31" t="s">
        <v>25</v>
      </c>
      <c r="J113" s="31" t="s">
        <v>5629</v>
      </c>
      <c r="K113" s="32" t="str">
        <f t="shared" si="0"/>
        <v>Interno</v>
      </c>
      <c r="L113" s="32" t="e">
        <f ca="1">_xludf.ifna(VLOOKUP(G114,Proyectos!$E$1:$N$4,10,0),"")</f>
        <v>#NAME?</v>
      </c>
      <c r="M113" s="32"/>
      <c r="N113" s="31"/>
      <c r="O113" s="31"/>
      <c r="P113" s="33"/>
      <c r="Q113" s="33"/>
    </row>
    <row r="114" spans="1:17" ht="16.5" customHeight="1" x14ac:dyDescent="0.2">
      <c r="A114" s="26" t="s">
        <v>3390</v>
      </c>
      <c r="B114" s="26" t="s">
        <v>3391</v>
      </c>
      <c r="C114" s="26" t="s">
        <v>115</v>
      </c>
      <c r="D114" s="26" t="s">
        <v>116</v>
      </c>
      <c r="E114" s="26" t="s">
        <v>39</v>
      </c>
      <c r="F114" s="28" t="e">
        <f ca="1">_xludf.ifna(VLOOKUP(G115,Proyectos!$E$1:$H$4,4,0),"")</f>
        <v>#NAME?</v>
      </c>
      <c r="G114" s="26" t="s">
        <v>5320</v>
      </c>
      <c r="H114" s="32">
        <v>0.5</v>
      </c>
      <c r="I114" s="31" t="s">
        <v>18</v>
      </c>
      <c r="J114" s="32"/>
      <c r="K114" s="32" t="str">
        <f t="shared" si="0"/>
        <v>Interno</v>
      </c>
      <c r="L114" s="32" t="e">
        <f ca="1">_xludf.ifna(VLOOKUP(G115,Proyectos!$E$1:$N$4,10,0),"")</f>
        <v>#NAME?</v>
      </c>
      <c r="M114" s="32"/>
      <c r="N114" s="31"/>
      <c r="O114" s="31"/>
      <c r="P114" s="33"/>
      <c r="Q114" s="33"/>
    </row>
    <row r="115" spans="1:17" ht="16.5" customHeight="1" x14ac:dyDescent="0.2">
      <c r="A115" s="26" t="s">
        <v>3390</v>
      </c>
      <c r="B115" s="26" t="s">
        <v>3391</v>
      </c>
      <c r="C115" s="26" t="s">
        <v>115</v>
      </c>
      <c r="D115" s="26" t="s">
        <v>116</v>
      </c>
      <c r="E115" s="26" t="s">
        <v>39</v>
      </c>
      <c r="F115" s="28" t="e">
        <f ca="1">_xludf.ifna(VLOOKUP(G116,Proyectos!$E$1:$H$4,4,0),"")</f>
        <v>#NAME?</v>
      </c>
      <c r="G115" s="26" t="s">
        <v>5630</v>
      </c>
      <c r="H115" s="32">
        <v>0.25</v>
      </c>
      <c r="I115" s="31" t="s">
        <v>18</v>
      </c>
      <c r="J115" s="32"/>
      <c r="K115" s="32" t="str">
        <f t="shared" si="0"/>
        <v>Interno</v>
      </c>
      <c r="L115" s="32" t="e">
        <f ca="1">_xludf.ifna(VLOOKUP(G116,Proyectos!$E$1:$N$4,10,0),"")</f>
        <v>#NAME?</v>
      </c>
      <c r="M115" s="32"/>
      <c r="N115" s="31"/>
      <c r="O115" s="31"/>
      <c r="P115" s="33"/>
      <c r="Q115" s="33"/>
    </row>
    <row r="116" spans="1:17" ht="16.5" customHeight="1" x14ac:dyDescent="0.2">
      <c r="A116" s="26" t="s">
        <v>3390</v>
      </c>
      <c r="B116" s="26" t="s">
        <v>3391</v>
      </c>
      <c r="C116" s="26" t="s">
        <v>115</v>
      </c>
      <c r="D116" s="26" t="s">
        <v>116</v>
      </c>
      <c r="E116" s="26" t="s">
        <v>39</v>
      </c>
      <c r="F116" s="28" t="e">
        <f ca="1">_xludf.ifna(VLOOKUP(G117,Proyectos!$E$1:$H$4,4,0),"")</f>
        <v>#NAME?</v>
      </c>
      <c r="G116" s="26" t="s">
        <v>5479</v>
      </c>
      <c r="H116" s="32">
        <v>0.25</v>
      </c>
      <c r="I116" s="31" t="s">
        <v>18</v>
      </c>
      <c r="J116" s="32"/>
      <c r="K116" s="32" t="str">
        <f t="shared" si="0"/>
        <v>Interno</v>
      </c>
      <c r="L116" s="32" t="e">
        <f ca="1">_xludf.ifna(VLOOKUP(G117,Proyectos!$E$1:$N$4,10,0),"")</f>
        <v>#NAME?</v>
      </c>
      <c r="M116" s="32"/>
      <c r="N116" s="32"/>
      <c r="O116" s="31"/>
      <c r="P116" s="33"/>
      <c r="Q116" s="33"/>
    </row>
    <row r="117" spans="1:17" ht="16.5" customHeight="1" x14ac:dyDescent="0.2">
      <c r="A117" s="26" t="s">
        <v>4956</v>
      </c>
      <c r="B117" s="26" t="s">
        <v>4957</v>
      </c>
      <c r="C117" s="26" t="s">
        <v>98</v>
      </c>
      <c r="D117" s="26" t="s">
        <v>105</v>
      </c>
      <c r="E117" s="26" t="s">
        <v>108</v>
      </c>
      <c r="F117" s="28" t="e">
        <f ca="1">_xludf.ifna(VLOOKUP(G118,Proyectos!$E$1:$H$4,4,0),"")</f>
        <v>#NAME?</v>
      </c>
      <c r="G117" s="26" t="s">
        <v>5145</v>
      </c>
      <c r="H117" s="32">
        <v>0.75</v>
      </c>
      <c r="I117" s="31" t="s">
        <v>25</v>
      </c>
      <c r="J117" s="32"/>
      <c r="K117" s="32" t="str">
        <f t="shared" si="0"/>
        <v>Externo</v>
      </c>
      <c r="L117" s="32" t="e">
        <f ca="1">_xludf.ifna(VLOOKUP(G118,Proyectos!$E$1:$N$4,10,0),"")</f>
        <v>#NAME?</v>
      </c>
      <c r="M117" s="32"/>
      <c r="N117" s="32"/>
      <c r="O117" s="31"/>
      <c r="P117" s="33"/>
      <c r="Q117" s="33"/>
    </row>
    <row r="118" spans="1:17" ht="16.5" customHeight="1" x14ac:dyDescent="0.2">
      <c r="A118" s="26" t="s">
        <v>4956</v>
      </c>
      <c r="B118" s="26" t="s">
        <v>4957</v>
      </c>
      <c r="C118" s="26" t="s">
        <v>98</v>
      </c>
      <c r="D118" s="26" t="s">
        <v>105</v>
      </c>
      <c r="E118" s="26" t="s">
        <v>108</v>
      </c>
      <c r="F118" s="28" t="e">
        <f ca="1">_xludf.ifna(VLOOKUP(G119,Proyectos!$E$1:$H$4,4,0),"")</f>
        <v>#NAME?</v>
      </c>
      <c r="G118" s="26" t="s">
        <v>5116</v>
      </c>
      <c r="H118" s="32">
        <v>0.25</v>
      </c>
      <c r="I118" s="31" t="s">
        <v>25</v>
      </c>
      <c r="J118" s="32"/>
      <c r="K118" s="32" t="str">
        <f t="shared" si="0"/>
        <v>Externo</v>
      </c>
      <c r="L118" s="32" t="e">
        <f ca="1">_xludf.ifna(VLOOKUP(G119,Proyectos!$E$1:$N$4,10,0),"")</f>
        <v>#NAME?</v>
      </c>
      <c r="M118" s="32"/>
      <c r="N118" s="32"/>
      <c r="O118" s="31"/>
      <c r="P118" s="33"/>
      <c r="Q118" s="33"/>
    </row>
    <row r="119" spans="1:17" ht="16.5" customHeight="1" x14ac:dyDescent="0.2">
      <c r="A119" s="26" t="s">
        <v>4352</v>
      </c>
      <c r="B119" s="26" t="s">
        <v>4353</v>
      </c>
      <c r="C119" s="26" t="s">
        <v>98</v>
      </c>
      <c r="D119" s="26" t="s">
        <v>105</v>
      </c>
      <c r="E119" s="26" t="s">
        <v>83</v>
      </c>
      <c r="F119" s="28" t="e">
        <f ca="1">_xludf.ifna(VLOOKUP(G120,Proyectos!$E$1:$H$4,4,0),"")</f>
        <v>#NAME?</v>
      </c>
      <c r="G119" s="26" t="s">
        <v>5148</v>
      </c>
      <c r="H119" s="32">
        <v>1</v>
      </c>
      <c r="I119" s="31" t="s">
        <v>25</v>
      </c>
      <c r="J119" s="32"/>
      <c r="K119" s="32" t="str">
        <f t="shared" si="0"/>
        <v>Externo</v>
      </c>
      <c r="L119" s="32" t="e">
        <f ca="1">_xludf.ifna(VLOOKUP(G120,Proyectos!$E$1:$N$4,10,0),"")</f>
        <v>#NAME?</v>
      </c>
      <c r="M119" s="32"/>
      <c r="N119" s="32"/>
      <c r="O119" s="31"/>
      <c r="P119" s="33"/>
      <c r="Q119" s="33"/>
    </row>
    <row r="120" spans="1:17" ht="16.5" customHeight="1" x14ac:dyDescent="0.2">
      <c r="A120" s="26" t="s">
        <v>4282</v>
      </c>
      <c r="B120" s="26" t="s">
        <v>5631</v>
      </c>
      <c r="C120" s="35" t="s">
        <v>7</v>
      </c>
      <c r="D120" s="35" t="s">
        <v>30</v>
      </c>
      <c r="E120" s="35" t="s">
        <v>83</v>
      </c>
      <c r="F120" s="28" t="e">
        <f ca="1">_xludf.ifna(VLOOKUP(G121,Proyectos!$E$1:$H$4,4,0),"")</f>
        <v>#NAME?</v>
      </c>
      <c r="G120" s="35" t="s">
        <v>5112</v>
      </c>
      <c r="H120" s="55">
        <v>1</v>
      </c>
      <c r="I120" s="31" t="s">
        <v>25</v>
      </c>
      <c r="J120" s="55"/>
      <c r="K120" s="32" t="str">
        <f t="shared" si="0"/>
        <v>Externo</v>
      </c>
      <c r="L120" s="32" t="e">
        <f ca="1">_xludf.ifna(VLOOKUP(G121,Proyectos!$E$1:$N$4,10,0),"")</f>
        <v>#NAME?</v>
      </c>
      <c r="M120" s="32"/>
      <c r="N120" s="32"/>
      <c r="O120" s="31"/>
      <c r="P120" s="33"/>
      <c r="Q120" s="33"/>
    </row>
    <row r="121" spans="1:17" ht="16.5" customHeight="1" x14ac:dyDescent="0.2">
      <c r="A121" s="26" t="s">
        <v>4493</v>
      </c>
      <c r="B121" s="26" t="s">
        <v>5285</v>
      </c>
      <c r="C121" s="53" t="s">
        <v>64</v>
      </c>
      <c r="D121" s="26" t="s">
        <v>92</v>
      </c>
      <c r="E121" s="26" t="s">
        <v>83</v>
      </c>
      <c r="F121" s="28" t="e">
        <f ca="1">_xludf.ifna(VLOOKUP(G122,Proyectos!$E$1:$H$4,4,0),"")</f>
        <v>#NAME?</v>
      </c>
      <c r="G121" s="26" t="s">
        <v>5217</v>
      </c>
      <c r="H121" s="32">
        <v>1</v>
      </c>
      <c r="I121" s="31" t="s">
        <v>25</v>
      </c>
      <c r="J121" s="32"/>
      <c r="K121" s="32" t="str">
        <f t="shared" si="0"/>
        <v>Externo</v>
      </c>
      <c r="L121" s="32" t="e">
        <f ca="1">_xludf.ifna(VLOOKUP(G122,Proyectos!$E$1:$N$4,10,0),"")</f>
        <v>#NAME?</v>
      </c>
      <c r="M121" s="32"/>
      <c r="N121" s="32"/>
      <c r="O121" s="31"/>
      <c r="P121" s="33"/>
      <c r="Q121" s="33"/>
    </row>
    <row r="122" spans="1:17" ht="16.5" customHeight="1" x14ac:dyDescent="0.2">
      <c r="A122" s="26" t="s">
        <v>4891</v>
      </c>
      <c r="B122" s="26" t="s">
        <v>4892</v>
      </c>
      <c r="C122" s="26" t="s">
        <v>98</v>
      </c>
      <c r="D122" s="26" t="s">
        <v>99</v>
      </c>
      <c r="E122" s="26" t="s">
        <v>108</v>
      </c>
      <c r="F122" s="28" t="e">
        <f ca="1">_xludf.ifna(VLOOKUP(G123,Proyectos!$E$1:$H$4,4,0),"")</f>
        <v>#NAME?</v>
      </c>
      <c r="G122" s="26" t="s">
        <v>5632</v>
      </c>
      <c r="H122" s="32">
        <v>1</v>
      </c>
      <c r="I122" s="31" t="s">
        <v>25</v>
      </c>
      <c r="J122" s="32"/>
      <c r="K122" s="32" t="str">
        <f t="shared" si="0"/>
        <v>Externo</v>
      </c>
      <c r="L122" s="32" t="e">
        <f ca="1">_xludf.ifna(VLOOKUP(G123,Proyectos!$E$1:$N$4,10,0),"")</f>
        <v>#NAME?</v>
      </c>
      <c r="M122" s="32"/>
      <c r="N122" s="32"/>
      <c r="O122" s="31"/>
      <c r="P122" s="33"/>
      <c r="Q122" s="33"/>
    </row>
    <row r="123" spans="1:17" ht="16.5" customHeight="1" x14ac:dyDescent="0.2">
      <c r="A123" s="26" t="s">
        <v>3485</v>
      </c>
      <c r="B123" s="26" t="s">
        <v>3486</v>
      </c>
      <c r="C123" s="26" t="s">
        <v>64</v>
      </c>
      <c r="D123" s="26" t="s">
        <v>65</v>
      </c>
      <c r="E123" s="26" t="s">
        <v>39</v>
      </c>
      <c r="F123" s="28" t="e">
        <f ca="1">_xludf.ifna(VLOOKUP(G124,Proyectos!$E$1:$H$4,4,0),"")</f>
        <v>#NAME?</v>
      </c>
      <c r="G123" s="26" t="s">
        <v>5387</v>
      </c>
      <c r="H123" s="30">
        <v>0.2</v>
      </c>
      <c r="I123" s="31" t="s">
        <v>18</v>
      </c>
      <c r="J123" s="32"/>
      <c r="K123" s="32" t="str">
        <f t="shared" si="0"/>
        <v>Interno</v>
      </c>
      <c r="L123" s="32" t="e">
        <f ca="1">_xludf.ifna(VLOOKUP(G124,Proyectos!$E$1:$N$4,10,0),"")</f>
        <v>#NAME?</v>
      </c>
      <c r="M123" s="32"/>
      <c r="N123" s="32"/>
      <c r="O123" s="31"/>
      <c r="P123" s="33"/>
      <c r="Q123" s="33"/>
    </row>
    <row r="124" spans="1:17" ht="16.5" customHeight="1" x14ac:dyDescent="0.2">
      <c r="A124" s="26" t="s">
        <v>3485</v>
      </c>
      <c r="B124" s="26" t="s">
        <v>3486</v>
      </c>
      <c r="C124" s="26" t="s">
        <v>64</v>
      </c>
      <c r="D124" s="26" t="s">
        <v>65</v>
      </c>
      <c r="E124" s="26" t="s">
        <v>39</v>
      </c>
      <c r="F124" s="28" t="e">
        <f ca="1">_xludf.ifna(VLOOKUP(G125,Proyectos!$E$1:$H$4,4,0),"")</f>
        <v>#NAME?</v>
      </c>
      <c r="G124" s="26" t="s">
        <v>5387</v>
      </c>
      <c r="H124" s="30">
        <v>0.2</v>
      </c>
      <c r="I124" s="31" t="s">
        <v>18</v>
      </c>
      <c r="J124" s="32"/>
      <c r="K124" s="32" t="str">
        <f t="shared" si="0"/>
        <v>Interno</v>
      </c>
      <c r="L124" s="32" t="e">
        <f ca="1">_xludf.ifna(VLOOKUP(G125,Proyectos!$E$1:$N$4,10,0),"")</f>
        <v>#NAME?</v>
      </c>
      <c r="M124" s="32"/>
      <c r="N124" s="32"/>
      <c r="O124" s="31"/>
      <c r="P124" s="33"/>
      <c r="Q124" s="33"/>
    </row>
    <row r="125" spans="1:17" ht="16.5" customHeight="1" x14ac:dyDescent="0.2">
      <c r="A125" s="26" t="s">
        <v>3485</v>
      </c>
      <c r="B125" s="26" t="s">
        <v>3486</v>
      </c>
      <c r="C125" s="26" t="s">
        <v>64</v>
      </c>
      <c r="D125" s="26" t="s">
        <v>65</v>
      </c>
      <c r="E125" s="26" t="s">
        <v>39</v>
      </c>
      <c r="F125" s="28" t="e">
        <f ca="1">_xludf.ifna(VLOOKUP(G126,Proyectos!$E$1:$H$4,4,0),"")</f>
        <v>#NAME?</v>
      </c>
      <c r="G125" s="26" t="s">
        <v>5633</v>
      </c>
      <c r="H125" s="30">
        <v>0.2</v>
      </c>
      <c r="I125" s="31" t="s">
        <v>18</v>
      </c>
      <c r="J125" s="32"/>
      <c r="K125" s="32" t="str">
        <f t="shared" si="0"/>
        <v>Interno</v>
      </c>
      <c r="L125" s="32" t="e">
        <f ca="1">_xludf.ifna(VLOOKUP(G126,Proyectos!$E$1:$N$4,10,0),"")</f>
        <v>#NAME?</v>
      </c>
      <c r="M125" s="32"/>
      <c r="N125" s="31"/>
      <c r="O125" s="31"/>
      <c r="P125" s="33"/>
      <c r="Q125" s="33"/>
    </row>
    <row r="126" spans="1:17" ht="16.5" customHeight="1" x14ac:dyDescent="0.2">
      <c r="A126" s="26" t="s">
        <v>3485</v>
      </c>
      <c r="B126" s="26" t="s">
        <v>3486</v>
      </c>
      <c r="C126" s="26" t="s">
        <v>64</v>
      </c>
      <c r="D126" s="26" t="s">
        <v>65</v>
      </c>
      <c r="E126" s="26" t="s">
        <v>39</v>
      </c>
      <c r="F126" s="28" t="e">
        <f ca="1">_xludf.ifna(VLOOKUP(G127,Proyectos!$E$1:$H$4,4,0),"")</f>
        <v>#NAME?</v>
      </c>
      <c r="G126" s="26" t="s">
        <v>5597</v>
      </c>
      <c r="H126" s="30">
        <v>0.2</v>
      </c>
      <c r="I126" s="31" t="s">
        <v>18</v>
      </c>
      <c r="J126" s="32"/>
      <c r="K126" s="32" t="str">
        <f t="shared" si="0"/>
        <v>Interno</v>
      </c>
      <c r="L126" s="32" t="e">
        <f ca="1">_xludf.ifna(VLOOKUP(G127,Proyectos!$E$1:$N$4,10,0),"")</f>
        <v>#NAME?</v>
      </c>
      <c r="M126" s="32"/>
      <c r="N126" s="31"/>
      <c r="O126" s="31"/>
      <c r="P126" s="33"/>
      <c r="Q126" s="33"/>
    </row>
    <row r="127" spans="1:17" ht="16.5" customHeight="1" x14ac:dyDescent="0.2">
      <c r="A127" s="26" t="s">
        <v>3485</v>
      </c>
      <c r="B127" s="26" t="s">
        <v>3486</v>
      </c>
      <c r="C127" s="26" t="s">
        <v>64</v>
      </c>
      <c r="D127" s="26" t="s">
        <v>65</v>
      </c>
      <c r="E127" s="26" t="s">
        <v>39</v>
      </c>
      <c r="F127" s="28" t="e">
        <f ca="1">_xludf.ifna(VLOOKUP(G128,Proyectos!$E$1:$H$4,4,0),"")</f>
        <v>#NAME?</v>
      </c>
      <c r="G127" s="26" t="s">
        <v>5597</v>
      </c>
      <c r="H127" s="30">
        <v>0.2</v>
      </c>
      <c r="I127" s="31" t="s">
        <v>18</v>
      </c>
      <c r="J127" s="32"/>
      <c r="K127" s="32" t="str">
        <f t="shared" si="0"/>
        <v>Interno</v>
      </c>
      <c r="L127" s="32" t="e">
        <f ca="1">_xludf.ifna(VLOOKUP(G128,Proyectos!$E$1:$N$4,10,0),"")</f>
        <v>#NAME?</v>
      </c>
      <c r="M127" s="32"/>
      <c r="N127" s="31"/>
      <c r="O127" s="31"/>
      <c r="P127" s="33"/>
      <c r="Q127" s="33"/>
    </row>
    <row r="128" spans="1:17" ht="16.5" customHeight="1" x14ac:dyDescent="0.2">
      <c r="A128" s="26" t="s">
        <v>5634</v>
      </c>
      <c r="B128" s="26" t="s">
        <v>5635</v>
      </c>
      <c r="C128" s="26" t="s">
        <v>115</v>
      </c>
      <c r="D128" s="26" t="s">
        <v>119</v>
      </c>
      <c r="E128" s="26" t="s">
        <v>135</v>
      </c>
      <c r="F128" s="28" t="e">
        <f ca="1">_xludf.ifna(VLOOKUP(G129,Proyectos!$E$1:$H$4,4,0),"")</f>
        <v>#NAME?</v>
      </c>
      <c r="G128" s="26" t="s">
        <v>5597</v>
      </c>
      <c r="H128" s="32">
        <v>1</v>
      </c>
      <c r="I128" s="31" t="s">
        <v>18</v>
      </c>
      <c r="J128" s="31" t="s">
        <v>5636</v>
      </c>
      <c r="K128" s="32" t="str">
        <f t="shared" si="0"/>
        <v>Externo</v>
      </c>
      <c r="L128" s="32" t="e">
        <f ca="1">_xludf.ifna(VLOOKUP(G129,Proyectos!$E$1:$N$4,10,0),"")</f>
        <v>#NAME?</v>
      </c>
      <c r="M128" s="32"/>
      <c r="N128" s="31"/>
      <c r="O128" s="31"/>
      <c r="P128" s="33"/>
      <c r="Q128" s="33"/>
    </row>
    <row r="129" spans="1:17" ht="16.5" customHeight="1" x14ac:dyDescent="0.2">
      <c r="A129" s="26" t="s">
        <v>4233</v>
      </c>
      <c r="B129" s="26" t="s">
        <v>4234</v>
      </c>
      <c r="C129" s="26" t="s">
        <v>98</v>
      </c>
      <c r="D129" s="26" t="s">
        <v>107</v>
      </c>
      <c r="E129" s="26" t="s">
        <v>87</v>
      </c>
      <c r="F129" s="28" t="e">
        <f ca="1">_xludf.ifna(VLOOKUP(G130,Proyectos!$E$1:$H$4,4,0),"")</f>
        <v>#NAME?</v>
      </c>
      <c r="G129" s="26" t="s">
        <v>5524</v>
      </c>
      <c r="H129" s="32">
        <v>1</v>
      </c>
      <c r="I129" s="31" t="s">
        <v>18</v>
      </c>
      <c r="J129" s="32"/>
      <c r="K129" s="32" t="str">
        <f t="shared" si="0"/>
        <v>Externo</v>
      </c>
      <c r="L129" s="32" t="e">
        <f ca="1">_xludf.ifna(VLOOKUP(G130,Proyectos!$E$1:$N$4,10,0),"")</f>
        <v>#NAME?</v>
      </c>
      <c r="M129" s="32"/>
      <c r="N129" s="32"/>
      <c r="O129" s="31"/>
      <c r="P129" s="33"/>
      <c r="Q129" s="33"/>
    </row>
    <row r="130" spans="1:17" ht="16.5" customHeight="1" x14ac:dyDescent="0.2">
      <c r="A130" s="26" t="s">
        <v>3622</v>
      </c>
      <c r="B130" s="26" t="s">
        <v>5637</v>
      </c>
      <c r="C130" s="26" t="s">
        <v>64</v>
      </c>
      <c r="D130" s="26" t="s">
        <v>86</v>
      </c>
      <c r="E130" s="26" t="s">
        <v>39</v>
      </c>
      <c r="F130" s="28" t="e">
        <f ca="1">_xludf.ifna(VLOOKUP(G131,Proyectos!$E$1:$H$4,4,0),"")</f>
        <v>#NAME?</v>
      </c>
      <c r="G130" s="29" t="s">
        <v>5597</v>
      </c>
      <c r="H130" s="30">
        <v>1</v>
      </c>
      <c r="I130" s="31" t="s">
        <v>18</v>
      </c>
      <c r="J130" s="32"/>
      <c r="K130" s="32" t="str">
        <f t="shared" si="0"/>
        <v>Interno</v>
      </c>
      <c r="L130" s="32" t="e">
        <f ca="1">_xludf.ifna(VLOOKUP(G131,Proyectos!$E$1:$N$4,10,0),"")</f>
        <v>#NAME?</v>
      </c>
      <c r="M130" s="32"/>
      <c r="N130" s="31"/>
      <c r="O130" s="31"/>
      <c r="P130" s="33"/>
      <c r="Q130" s="33"/>
    </row>
    <row r="131" spans="1:17" ht="16.5" customHeight="1" x14ac:dyDescent="0.2">
      <c r="A131" s="26" t="s">
        <v>4767</v>
      </c>
      <c r="B131" s="26" t="s">
        <v>4768</v>
      </c>
      <c r="C131" s="35" t="s">
        <v>7</v>
      </c>
      <c r="D131" s="35" t="s">
        <v>30</v>
      </c>
      <c r="E131" s="35" t="s">
        <v>39</v>
      </c>
      <c r="F131" s="28" t="e">
        <f ca="1">_xludf.ifna(VLOOKUP(G132,Proyectos!$E$1:$H$4,4,0),"")</f>
        <v>#NAME?</v>
      </c>
      <c r="G131" s="35" t="s">
        <v>5638</v>
      </c>
      <c r="H131" s="55">
        <v>0.1</v>
      </c>
      <c r="I131" s="31" t="s">
        <v>11</v>
      </c>
      <c r="J131" s="55"/>
      <c r="K131" s="32" t="str">
        <f t="shared" si="0"/>
        <v>Interno</v>
      </c>
      <c r="L131" s="32" t="e">
        <f ca="1">_xludf.ifna(VLOOKUP(G132,Proyectos!$E$1:$N$4,10,0),"")</f>
        <v>#NAME?</v>
      </c>
      <c r="M131" s="32"/>
      <c r="N131" s="31"/>
      <c r="O131" s="31"/>
      <c r="P131" s="33"/>
      <c r="Q131" s="33"/>
    </row>
    <row r="132" spans="1:17" ht="16.5" customHeight="1" x14ac:dyDescent="0.2">
      <c r="A132" s="26" t="s">
        <v>4767</v>
      </c>
      <c r="B132" s="26" t="s">
        <v>4768</v>
      </c>
      <c r="C132" s="35" t="s">
        <v>7</v>
      </c>
      <c r="D132" s="35" t="s">
        <v>30</v>
      </c>
      <c r="E132" s="35" t="s">
        <v>39</v>
      </c>
      <c r="F132" s="28" t="e">
        <f ca="1">_xludf.ifna(VLOOKUP(G133,Proyectos!$E$1:$H$4,4,0),"")</f>
        <v>#NAME?</v>
      </c>
      <c r="G132" s="35" t="s">
        <v>5157</v>
      </c>
      <c r="H132" s="55">
        <v>0.2</v>
      </c>
      <c r="I132" s="31" t="s">
        <v>11</v>
      </c>
      <c r="J132" s="55"/>
      <c r="K132" s="32" t="str">
        <f t="shared" si="0"/>
        <v>Interno</v>
      </c>
      <c r="L132" s="32" t="e">
        <f ca="1">_xludf.ifna(VLOOKUP(G133,Proyectos!$E$1:$N$4,10,0),"")</f>
        <v>#NAME?</v>
      </c>
      <c r="M132" s="32"/>
      <c r="N132" s="31"/>
      <c r="O132" s="31"/>
      <c r="P132" s="33"/>
      <c r="Q132" s="33"/>
    </row>
    <row r="133" spans="1:17" ht="16.5" customHeight="1" x14ac:dyDescent="0.2">
      <c r="A133" s="26" t="s">
        <v>4767</v>
      </c>
      <c r="B133" s="26" t="s">
        <v>4768</v>
      </c>
      <c r="C133" s="35" t="s">
        <v>7</v>
      </c>
      <c r="D133" s="35" t="s">
        <v>30</v>
      </c>
      <c r="E133" s="35" t="s">
        <v>39</v>
      </c>
      <c r="F133" s="28" t="e">
        <f ca="1">_xludf.ifna(VLOOKUP(G134,Proyectos!$E$1:$H$4,4,0),"")</f>
        <v>#NAME?</v>
      </c>
      <c r="G133" s="35" t="s">
        <v>5112</v>
      </c>
      <c r="H133" s="55">
        <v>0.15</v>
      </c>
      <c r="I133" s="31" t="s">
        <v>11</v>
      </c>
      <c r="J133" s="55"/>
      <c r="K133" s="32" t="str">
        <f t="shared" si="0"/>
        <v>Interno</v>
      </c>
      <c r="L133" s="32" t="e">
        <f ca="1">_xludf.ifna(VLOOKUP(G134,Proyectos!$E$1:$N$4,10,0),"")</f>
        <v>#NAME?</v>
      </c>
      <c r="M133" s="32"/>
      <c r="N133" s="32"/>
      <c r="O133" s="31"/>
      <c r="P133" s="33"/>
      <c r="Q133" s="33"/>
    </row>
    <row r="134" spans="1:17" ht="16.5" customHeight="1" x14ac:dyDescent="0.2">
      <c r="A134" s="26" t="s">
        <v>4767</v>
      </c>
      <c r="B134" s="26" t="s">
        <v>4768</v>
      </c>
      <c r="C134" s="35" t="s">
        <v>7</v>
      </c>
      <c r="D134" s="35" t="s">
        <v>30</v>
      </c>
      <c r="E134" s="35" t="s">
        <v>39</v>
      </c>
      <c r="F134" s="28" t="e">
        <f ca="1">_xludf.ifna(VLOOKUP(G135,Proyectos!$E$1:$H$4,4,0),"")</f>
        <v>#NAME?</v>
      </c>
      <c r="G134" s="35" t="s">
        <v>5153</v>
      </c>
      <c r="H134" s="55">
        <v>0.3</v>
      </c>
      <c r="I134" s="31" t="s">
        <v>11</v>
      </c>
      <c r="J134" s="55"/>
      <c r="K134" s="32" t="str">
        <f t="shared" si="0"/>
        <v>Interno</v>
      </c>
      <c r="L134" s="32" t="e">
        <f ca="1">_xludf.ifna(VLOOKUP(G135,Proyectos!$E$1:$N$4,10,0),"")</f>
        <v>#NAME?</v>
      </c>
      <c r="M134" s="32"/>
      <c r="N134" s="31"/>
      <c r="O134" s="31"/>
      <c r="P134" s="33"/>
      <c r="Q134" s="33"/>
    </row>
    <row r="135" spans="1:17" ht="16.5" customHeight="1" x14ac:dyDescent="0.2">
      <c r="A135" s="26" t="s">
        <v>4769</v>
      </c>
      <c r="B135" s="26" t="s">
        <v>4768</v>
      </c>
      <c r="C135" s="35" t="s">
        <v>7</v>
      </c>
      <c r="D135" s="35" t="s">
        <v>30</v>
      </c>
      <c r="E135" s="35" t="s">
        <v>39</v>
      </c>
      <c r="F135" s="28" t="e">
        <f ca="1">_xludf.ifna(VLOOKUP(G136,Proyectos!$E$1:$H$4,4,0),"")</f>
        <v>#NAME?</v>
      </c>
      <c r="G135" s="35" t="s">
        <v>5156</v>
      </c>
      <c r="H135" s="55">
        <v>0.1</v>
      </c>
      <c r="I135" s="31" t="s">
        <v>11</v>
      </c>
      <c r="J135" s="55"/>
      <c r="K135" s="32" t="str">
        <f t="shared" si="0"/>
        <v>Interno</v>
      </c>
      <c r="L135" s="32" t="e">
        <f ca="1">_xludf.ifna(VLOOKUP(G136,Proyectos!$E$1:$N$4,10,0),"")</f>
        <v>#NAME?</v>
      </c>
      <c r="M135" s="32"/>
      <c r="N135" s="31"/>
      <c r="O135" s="31"/>
      <c r="P135" s="33"/>
      <c r="Q135" s="33"/>
    </row>
    <row r="136" spans="1:17" ht="16.5" customHeight="1" x14ac:dyDescent="0.2">
      <c r="A136" s="26" t="s">
        <v>4770</v>
      </c>
      <c r="B136" s="26" t="s">
        <v>4768</v>
      </c>
      <c r="C136" s="35" t="s">
        <v>7</v>
      </c>
      <c r="D136" s="35" t="s">
        <v>30</v>
      </c>
      <c r="E136" s="35" t="s">
        <v>39</v>
      </c>
      <c r="F136" s="28" t="e">
        <f ca="1">_xludf.ifna(VLOOKUP(G137,Proyectos!$E$1:$H$4,4,0),"")</f>
        <v>#NAME?</v>
      </c>
      <c r="G136" s="35" t="s">
        <v>5639</v>
      </c>
      <c r="H136" s="55">
        <v>0.05</v>
      </c>
      <c r="I136" s="31" t="s">
        <v>11</v>
      </c>
      <c r="J136" s="55"/>
      <c r="K136" s="32" t="str">
        <f t="shared" si="0"/>
        <v>Interno</v>
      </c>
      <c r="L136" s="32" t="e">
        <f ca="1">_xludf.ifna(VLOOKUP(G137,Proyectos!$E$1:$N$4,10,0),"")</f>
        <v>#NAME?</v>
      </c>
      <c r="M136" s="32"/>
      <c r="N136" s="31"/>
      <c r="O136" s="31"/>
      <c r="P136" s="33"/>
      <c r="Q136" s="33"/>
    </row>
    <row r="137" spans="1:17" ht="16.5" customHeight="1" x14ac:dyDescent="0.2">
      <c r="A137" s="26" t="s">
        <v>4771</v>
      </c>
      <c r="B137" s="26" t="s">
        <v>4768</v>
      </c>
      <c r="C137" s="35" t="s">
        <v>7</v>
      </c>
      <c r="D137" s="35" t="s">
        <v>30</v>
      </c>
      <c r="E137" s="35" t="s">
        <v>39</v>
      </c>
      <c r="F137" s="28" t="e">
        <f ca="1">_xludf.ifna(VLOOKUP(G138,Proyectos!$E$1:$H$4,4,0),"")</f>
        <v>#NAME?</v>
      </c>
      <c r="G137" s="35" t="s">
        <v>5155</v>
      </c>
      <c r="H137" s="55">
        <v>0.05</v>
      </c>
      <c r="I137" s="31" t="s">
        <v>11</v>
      </c>
      <c r="J137" s="55"/>
      <c r="K137" s="32" t="str">
        <f t="shared" si="0"/>
        <v>Interno</v>
      </c>
      <c r="L137" s="32" t="e">
        <f ca="1">_xludf.ifna(VLOOKUP(G138,Proyectos!$E$1:$N$4,10,0),"")</f>
        <v>#NAME?</v>
      </c>
      <c r="M137" s="32"/>
      <c r="N137" s="31"/>
      <c r="O137" s="31"/>
      <c r="P137" s="33"/>
      <c r="Q137" s="33"/>
    </row>
    <row r="138" spans="1:17" ht="16.5" customHeight="1" x14ac:dyDescent="0.2">
      <c r="A138" s="26" t="s">
        <v>5640</v>
      </c>
      <c r="B138" s="26" t="s">
        <v>4768</v>
      </c>
      <c r="C138" s="35" t="s">
        <v>7</v>
      </c>
      <c r="D138" s="35" t="s">
        <v>30</v>
      </c>
      <c r="E138" s="35" t="s">
        <v>39</v>
      </c>
      <c r="F138" s="28" t="e">
        <f ca="1">_xludf.ifna(VLOOKUP(G139,Proyectos!$E$1:$H$4,4,0),"")</f>
        <v>#NAME?</v>
      </c>
      <c r="G138" s="35" t="s">
        <v>5638</v>
      </c>
      <c r="H138" s="55">
        <v>0.05</v>
      </c>
      <c r="I138" s="31" t="s">
        <v>11</v>
      </c>
      <c r="J138" s="55"/>
      <c r="K138" s="32" t="str">
        <f t="shared" si="0"/>
        <v>Interno</v>
      </c>
      <c r="L138" s="32" t="e">
        <f ca="1">_xludf.ifna(VLOOKUP(G139,Proyectos!$E$1:$N$4,10,0),"")</f>
        <v>#NAME?</v>
      </c>
      <c r="M138" s="32"/>
      <c r="N138" s="31"/>
      <c r="O138" s="31"/>
      <c r="P138" s="33"/>
      <c r="Q138" s="33"/>
    </row>
    <row r="139" spans="1:17" ht="16.5" customHeight="1" x14ac:dyDescent="0.2">
      <c r="A139" s="26" t="s">
        <v>3751</v>
      </c>
      <c r="B139" s="26" t="s">
        <v>3752</v>
      </c>
      <c r="C139" s="26" t="s">
        <v>98</v>
      </c>
      <c r="D139" s="26" t="s">
        <v>110</v>
      </c>
      <c r="E139" s="26" t="s">
        <v>39</v>
      </c>
      <c r="F139" s="28" t="e">
        <f ca="1">_xludf.ifna(VLOOKUP(G140,Proyectos!$E$1:$H$4,4,0),"")</f>
        <v>#NAME?</v>
      </c>
      <c r="G139" s="26" t="s">
        <v>5243</v>
      </c>
      <c r="H139" s="32">
        <v>1</v>
      </c>
      <c r="I139" s="31" t="s">
        <v>18</v>
      </c>
      <c r="J139" s="32"/>
      <c r="K139" s="32" t="str">
        <f t="shared" si="0"/>
        <v>Interno</v>
      </c>
      <c r="L139" s="32" t="e">
        <f ca="1">_xludf.ifna(VLOOKUP(G140,Proyectos!$E$1:$N$4,10,0),"")</f>
        <v>#NAME?</v>
      </c>
      <c r="M139" s="32"/>
      <c r="N139" s="32"/>
      <c r="O139" s="31"/>
      <c r="P139" s="33"/>
      <c r="Q139" s="33"/>
    </row>
    <row r="140" spans="1:17" ht="16.5" customHeight="1" x14ac:dyDescent="0.2">
      <c r="A140" s="26" t="s">
        <v>5641</v>
      </c>
      <c r="B140" s="26" t="s">
        <v>5642</v>
      </c>
      <c r="C140" s="26" t="s">
        <v>98</v>
      </c>
      <c r="D140" s="26" t="s">
        <v>107</v>
      </c>
      <c r="E140" s="26" t="s">
        <v>39</v>
      </c>
      <c r="F140" s="28" t="e">
        <f ca="1">_xludf.ifna(VLOOKUP(G141,Proyectos!$E$1:$H$4,4,0),"")</f>
        <v>#NAME?</v>
      </c>
      <c r="G140" s="26" t="s">
        <v>5347</v>
      </c>
      <c r="H140" s="32">
        <v>1</v>
      </c>
      <c r="I140" s="31" t="s">
        <v>18</v>
      </c>
      <c r="J140" s="32"/>
      <c r="K140" s="32" t="str">
        <f t="shared" si="0"/>
        <v>Interno</v>
      </c>
      <c r="L140" s="32" t="e">
        <f ca="1">_xludf.ifna(VLOOKUP(G141,Proyectos!$E$1:$N$4,10,0),"")</f>
        <v>#NAME?</v>
      </c>
      <c r="M140" s="32"/>
      <c r="N140" s="32"/>
      <c r="O140" s="31"/>
      <c r="P140" s="33"/>
      <c r="Q140" s="33"/>
    </row>
    <row r="141" spans="1:17" ht="16.5" customHeight="1" x14ac:dyDescent="0.2">
      <c r="A141" s="26" t="s">
        <v>4909</v>
      </c>
      <c r="B141" s="26" t="s">
        <v>4910</v>
      </c>
      <c r="C141" s="26" t="s">
        <v>98</v>
      </c>
      <c r="D141" s="26" t="s">
        <v>107</v>
      </c>
      <c r="E141" s="26" t="s">
        <v>87</v>
      </c>
      <c r="F141" s="28" t="e">
        <f ca="1">_xludf.ifna(VLOOKUP(G142,Proyectos!$E$1:$H$4,4,0),"")</f>
        <v>#NAME?</v>
      </c>
      <c r="G141" s="26" t="s">
        <v>5330</v>
      </c>
      <c r="H141" s="32">
        <v>1</v>
      </c>
      <c r="I141" s="31" t="s">
        <v>18</v>
      </c>
      <c r="J141" s="32"/>
      <c r="K141" s="32" t="str">
        <f t="shared" si="0"/>
        <v>Externo</v>
      </c>
      <c r="L141" s="32" t="e">
        <f ca="1">_xludf.ifna(VLOOKUP(G142,Proyectos!$E$1:$N$4,10,0),"")</f>
        <v>#NAME?</v>
      </c>
      <c r="M141" s="32"/>
      <c r="N141" s="32"/>
      <c r="O141" s="31"/>
      <c r="P141" s="33"/>
      <c r="Q141" s="33"/>
    </row>
    <row r="142" spans="1:17" ht="16.5" customHeight="1" x14ac:dyDescent="0.2">
      <c r="A142" s="26" t="s">
        <v>3470</v>
      </c>
      <c r="B142" s="26" t="s">
        <v>5643</v>
      </c>
      <c r="C142" s="26" t="s">
        <v>7</v>
      </c>
      <c r="D142" s="26" t="s">
        <v>16</v>
      </c>
      <c r="E142" s="26" t="s">
        <v>39</v>
      </c>
      <c r="F142" s="28" t="e">
        <f ca="1">_xludf.ifna(VLOOKUP(G143,Proyectos!$E$1:$H$4,4,0),"")</f>
        <v>#NAME?</v>
      </c>
      <c r="G142" s="26" t="s">
        <v>5221</v>
      </c>
      <c r="H142" s="65">
        <v>1</v>
      </c>
      <c r="I142" s="31" t="s">
        <v>18</v>
      </c>
      <c r="J142" s="31" t="s">
        <v>5644</v>
      </c>
      <c r="K142" s="32" t="str">
        <f t="shared" si="0"/>
        <v>Interno</v>
      </c>
      <c r="L142" s="32" t="e">
        <f ca="1">_xludf.ifna(VLOOKUP(G143,Proyectos!$E$1:$N$4,10,0),"")</f>
        <v>#NAME?</v>
      </c>
      <c r="M142" s="32"/>
      <c r="N142" s="31"/>
      <c r="O142" s="31"/>
      <c r="P142" s="33"/>
      <c r="Q142" s="33"/>
    </row>
    <row r="143" spans="1:17" ht="16.5" customHeight="1" x14ac:dyDescent="0.2">
      <c r="A143" s="26" t="s">
        <v>5645</v>
      </c>
      <c r="B143" s="26" t="s">
        <v>5646</v>
      </c>
      <c r="C143" s="26" t="s">
        <v>98</v>
      </c>
      <c r="D143" s="26" t="s">
        <v>105</v>
      </c>
      <c r="E143" s="26" t="s">
        <v>93</v>
      </c>
      <c r="F143" s="28" t="e">
        <f ca="1">_xludf.ifna(VLOOKUP(G144,Proyectos!$E$1:$H$4,4,0),"")</f>
        <v>#NAME?</v>
      </c>
      <c r="G143" s="26" t="s">
        <v>5597</v>
      </c>
      <c r="H143" s="32">
        <v>1</v>
      </c>
      <c r="I143" s="31" t="s">
        <v>18</v>
      </c>
      <c r="J143" s="32"/>
      <c r="K143" s="32" t="str">
        <f t="shared" si="0"/>
        <v>Externo</v>
      </c>
      <c r="L143" s="32" t="e">
        <f ca="1">_xludf.ifna(VLOOKUP(G144,Proyectos!$E$1:$N$4,10,0),"")</f>
        <v>#NAME?</v>
      </c>
      <c r="M143" s="32"/>
      <c r="N143" s="32"/>
      <c r="O143" s="31"/>
      <c r="P143" s="33"/>
      <c r="Q143" s="33"/>
    </row>
    <row r="144" spans="1:17" ht="16.5" customHeight="1" x14ac:dyDescent="0.2">
      <c r="A144" s="26" t="s">
        <v>3890</v>
      </c>
      <c r="B144" s="26" t="s">
        <v>3891</v>
      </c>
      <c r="C144" s="26" t="s">
        <v>98</v>
      </c>
      <c r="D144" s="26" t="s">
        <v>107</v>
      </c>
      <c r="E144" s="26" t="s">
        <v>39</v>
      </c>
      <c r="F144" s="28" t="e">
        <f ca="1">_xludf.ifna(VLOOKUP(G145,Proyectos!$E$1:$H$4,4,0),"")</f>
        <v>#NAME?</v>
      </c>
      <c r="G144" s="26" t="s">
        <v>5329</v>
      </c>
      <c r="H144" s="32">
        <v>0.75</v>
      </c>
      <c r="I144" s="31" t="s">
        <v>18</v>
      </c>
      <c r="J144" s="32"/>
      <c r="K144" s="32" t="str">
        <f t="shared" si="0"/>
        <v>Interno</v>
      </c>
      <c r="L144" s="32" t="e">
        <f ca="1">_xludf.ifna(VLOOKUP(G145,Proyectos!$E$1:$N$4,10,0),"")</f>
        <v>#NAME?</v>
      </c>
      <c r="M144" s="32"/>
      <c r="N144" s="32"/>
      <c r="O144" s="31"/>
      <c r="P144" s="33"/>
      <c r="Q144" s="33"/>
    </row>
    <row r="145" spans="1:17" ht="16.5" customHeight="1" x14ac:dyDescent="0.2">
      <c r="A145" s="26" t="s">
        <v>3890</v>
      </c>
      <c r="B145" s="26" t="s">
        <v>3891</v>
      </c>
      <c r="C145" s="26" t="s">
        <v>98</v>
      </c>
      <c r="D145" s="26" t="s">
        <v>107</v>
      </c>
      <c r="E145" s="26" t="s">
        <v>39</v>
      </c>
      <c r="F145" s="28" t="e">
        <f ca="1">_xludf.ifna(VLOOKUP(G146,Proyectos!$E$1:$H$4,4,0),"")</f>
        <v>#NAME?</v>
      </c>
      <c r="G145" s="26" t="s">
        <v>5632</v>
      </c>
      <c r="H145" s="32">
        <v>0.25</v>
      </c>
      <c r="I145" s="31" t="s">
        <v>18</v>
      </c>
      <c r="J145" s="32"/>
      <c r="K145" s="32" t="str">
        <f t="shared" si="0"/>
        <v>Interno</v>
      </c>
      <c r="L145" s="32" t="e">
        <f ca="1">_xludf.ifna(VLOOKUP(G146,Proyectos!$E$1:$N$4,10,0),"")</f>
        <v>#NAME?</v>
      </c>
      <c r="M145" s="32"/>
      <c r="N145" s="32"/>
      <c r="O145" s="31"/>
      <c r="P145" s="33"/>
      <c r="Q145" s="33"/>
    </row>
    <row r="146" spans="1:17" ht="16.5" customHeight="1" x14ac:dyDescent="0.2">
      <c r="A146" s="26" t="s">
        <v>3828</v>
      </c>
      <c r="B146" s="26" t="s">
        <v>3829</v>
      </c>
      <c r="C146" s="26" t="s">
        <v>98</v>
      </c>
      <c r="D146" s="26" t="s">
        <v>99</v>
      </c>
      <c r="E146" s="26" t="s">
        <v>39</v>
      </c>
      <c r="F146" s="28" t="e">
        <f ca="1">_xludf.ifna(VLOOKUP(G147,Proyectos!$E$1:$H$4,4,0),"")</f>
        <v>#NAME?</v>
      </c>
      <c r="G146" s="26" t="s">
        <v>5125</v>
      </c>
      <c r="H146" s="32">
        <v>0.5</v>
      </c>
      <c r="I146" s="31" t="s">
        <v>11</v>
      </c>
      <c r="J146" s="31"/>
      <c r="K146" s="32" t="str">
        <f t="shared" si="0"/>
        <v>Interno</v>
      </c>
      <c r="L146" s="32" t="e">
        <f ca="1">_xludf.ifna(VLOOKUP(G147,Proyectos!$E$1:$N$4,10,0),"")</f>
        <v>#NAME?</v>
      </c>
      <c r="M146" s="32"/>
      <c r="N146" s="32"/>
      <c r="O146" s="31"/>
      <c r="P146" s="33"/>
      <c r="Q146" s="33"/>
    </row>
    <row r="147" spans="1:17" ht="16.5" customHeight="1" x14ac:dyDescent="0.2">
      <c r="A147" s="26" t="s">
        <v>3828</v>
      </c>
      <c r="B147" s="26" t="s">
        <v>3829</v>
      </c>
      <c r="C147" s="26" t="s">
        <v>98</v>
      </c>
      <c r="D147" s="26" t="s">
        <v>99</v>
      </c>
      <c r="E147" s="26" t="s">
        <v>39</v>
      </c>
      <c r="F147" s="28" t="e">
        <f ca="1">_xludf.ifna(VLOOKUP(G148,Proyectos!$E$1:$H$4,4,0),"")</f>
        <v>#NAME?</v>
      </c>
      <c r="G147" s="26" t="s">
        <v>5126</v>
      </c>
      <c r="H147" s="32">
        <v>0.25</v>
      </c>
      <c r="I147" s="31" t="s">
        <v>11</v>
      </c>
      <c r="J147" s="31"/>
      <c r="K147" s="32" t="str">
        <f t="shared" si="0"/>
        <v>Interno</v>
      </c>
      <c r="L147" s="32" t="e">
        <f ca="1">_xludf.ifna(VLOOKUP(G148,Proyectos!$E$1:$N$4,10,0),"")</f>
        <v>#NAME?</v>
      </c>
      <c r="M147" s="32"/>
      <c r="N147" s="32"/>
      <c r="O147" s="31"/>
      <c r="P147" s="33"/>
      <c r="Q147" s="33"/>
    </row>
    <row r="148" spans="1:17" ht="16.5" customHeight="1" x14ac:dyDescent="0.2">
      <c r="A148" s="26" t="s">
        <v>3828</v>
      </c>
      <c r="B148" s="26" t="s">
        <v>3829</v>
      </c>
      <c r="C148" s="26" t="s">
        <v>98</v>
      </c>
      <c r="D148" s="26" t="s">
        <v>99</v>
      </c>
      <c r="E148" s="26" t="s">
        <v>39</v>
      </c>
      <c r="F148" s="28" t="e">
        <f ca="1">_xludf.ifna(VLOOKUP(G149,Proyectos!$E$1:$H$4,4,0),"")</f>
        <v>#NAME?</v>
      </c>
      <c r="G148" s="26" t="s">
        <v>5128</v>
      </c>
      <c r="H148" s="32">
        <v>0.25</v>
      </c>
      <c r="I148" s="31" t="s">
        <v>11</v>
      </c>
      <c r="J148" s="31"/>
      <c r="K148" s="32" t="str">
        <f t="shared" si="0"/>
        <v>Interno</v>
      </c>
      <c r="L148" s="32" t="e">
        <f ca="1">_xludf.ifna(VLOOKUP(G149,Proyectos!$E$1:$N$4,10,0),"")</f>
        <v>#NAME?</v>
      </c>
      <c r="M148" s="32"/>
      <c r="N148" s="32"/>
      <c r="O148" s="31"/>
      <c r="P148" s="33"/>
      <c r="Q148" s="33"/>
    </row>
    <row r="149" spans="1:17" ht="16.5" customHeight="1" x14ac:dyDescent="0.2">
      <c r="A149" s="26" t="s">
        <v>4499</v>
      </c>
      <c r="B149" s="26" t="s">
        <v>4500</v>
      </c>
      <c r="C149" s="26" t="s">
        <v>115</v>
      </c>
      <c r="D149" s="26" t="s">
        <v>116</v>
      </c>
      <c r="E149" s="26" t="s">
        <v>108</v>
      </c>
      <c r="F149" s="28" t="e">
        <f ca="1">_xludf.ifna(VLOOKUP(G150,Proyectos!$E$1:$H$4,4,0),"")</f>
        <v>#NAME?</v>
      </c>
      <c r="G149" s="26" t="s">
        <v>5597</v>
      </c>
      <c r="H149" s="32">
        <v>1</v>
      </c>
      <c r="I149" s="31" t="s">
        <v>25</v>
      </c>
      <c r="J149" s="32"/>
      <c r="K149" s="32" t="str">
        <f t="shared" si="0"/>
        <v>Externo</v>
      </c>
      <c r="L149" s="32" t="e">
        <f ca="1">_xludf.ifna(VLOOKUP(G150,Proyectos!$E$1:$N$4,10,0),"")</f>
        <v>#NAME?</v>
      </c>
      <c r="M149" s="32"/>
      <c r="N149" s="31"/>
      <c r="O149" s="31"/>
      <c r="P149" s="33"/>
      <c r="Q149" s="33"/>
    </row>
    <row r="150" spans="1:17" ht="16.5" customHeight="1" x14ac:dyDescent="0.2">
      <c r="A150" s="26" t="s">
        <v>4433</v>
      </c>
      <c r="B150" s="26" t="s">
        <v>4434</v>
      </c>
      <c r="C150" s="26" t="s">
        <v>115</v>
      </c>
      <c r="D150" s="26" t="s">
        <v>116</v>
      </c>
      <c r="E150" s="26" t="s">
        <v>83</v>
      </c>
      <c r="F150" s="28" t="e">
        <f ca="1">_xludf.ifna(VLOOKUP(G151,Proyectos!$E$1:$H$4,4,0),"")</f>
        <v>#NAME?</v>
      </c>
      <c r="G150" s="26" t="s">
        <v>5314</v>
      </c>
      <c r="H150" s="32">
        <v>0.5</v>
      </c>
      <c r="I150" s="31" t="s">
        <v>25</v>
      </c>
      <c r="J150" s="32"/>
      <c r="K150" s="32" t="str">
        <f t="shared" si="0"/>
        <v>Externo</v>
      </c>
      <c r="L150" s="32" t="e">
        <f ca="1">_xludf.ifna(VLOOKUP(G151,Proyectos!$E$1:$N$4,10,0),"")</f>
        <v>#NAME?</v>
      </c>
      <c r="M150" s="32"/>
      <c r="N150" s="32"/>
      <c r="O150" s="31"/>
      <c r="P150" s="33"/>
      <c r="Q150" s="33"/>
    </row>
    <row r="151" spans="1:17" ht="16.5" customHeight="1" x14ac:dyDescent="0.2">
      <c r="A151" s="26" t="s">
        <v>4433</v>
      </c>
      <c r="B151" s="26" t="s">
        <v>4434</v>
      </c>
      <c r="C151" s="26" t="s">
        <v>115</v>
      </c>
      <c r="D151" s="26" t="s">
        <v>116</v>
      </c>
      <c r="E151" s="26" t="s">
        <v>83</v>
      </c>
      <c r="F151" s="28" t="e">
        <f ca="1">_xludf.ifna(VLOOKUP(G152,Proyectos!$E$1:$H$4,4,0),"")</f>
        <v>#NAME?</v>
      </c>
      <c r="G151" s="26" t="s">
        <v>5237</v>
      </c>
      <c r="H151" s="32">
        <v>0.5</v>
      </c>
      <c r="I151" s="31" t="s">
        <v>25</v>
      </c>
      <c r="J151" s="32"/>
      <c r="K151" s="32" t="str">
        <f t="shared" si="0"/>
        <v>Externo</v>
      </c>
      <c r="L151" s="32" t="e">
        <f ca="1">_xludf.ifna(VLOOKUP(G152,Proyectos!$E$1:$N$4,10,0),"")</f>
        <v>#NAME?</v>
      </c>
      <c r="M151" s="32"/>
      <c r="N151" s="32"/>
      <c r="O151" s="31"/>
      <c r="P151" s="33"/>
      <c r="Q151" s="33"/>
    </row>
    <row r="152" spans="1:17" ht="16.5" customHeight="1" x14ac:dyDescent="0.2">
      <c r="A152" s="26" t="s">
        <v>3757</v>
      </c>
      <c r="B152" s="26" t="s">
        <v>3758</v>
      </c>
      <c r="C152" s="26" t="s">
        <v>98</v>
      </c>
      <c r="D152" s="26" t="s">
        <v>105</v>
      </c>
      <c r="E152" s="26" t="s">
        <v>39</v>
      </c>
      <c r="F152" s="28" t="e">
        <f ca="1">_xludf.ifna(VLOOKUP(G153,Proyectos!$E$1:$H$4,4,0),"")</f>
        <v>#NAME?</v>
      </c>
      <c r="G152" s="26" t="s">
        <v>5597</v>
      </c>
      <c r="H152" s="32">
        <v>1</v>
      </c>
      <c r="I152" s="31" t="s">
        <v>11</v>
      </c>
      <c r="J152" s="32"/>
      <c r="K152" s="32" t="str">
        <f t="shared" si="0"/>
        <v>Interno</v>
      </c>
      <c r="L152" s="32" t="e">
        <f ca="1">_xludf.ifna(VLOOKUP(G153,Proyectos!$E$1:$N$4,10,0),"")</f>
        <v>#NAME?</v>
      </c>
      <c r="M152" s="32"/>
      <c r="N152" s="32"/>
      <c r="O152" s="31"/>
      <c r="P152" s="33"/>
      <c r="Q152" s="33"/>
    </row>
    <row r="153" spans="1:17" ht="16.5" customHeight="1" x14ac:dyDescent="0.2">
      <c r="A153" s="35" t="s">
        <v>3564</v>
      </c>
      <c r="B153" s="26" t="s">
        <v>5395</v>
      </c>
      <c r="C153" s="26" t="s">
        <v>64</v>
      </c>
      <c r="D153" s="26" t="s">
        <v>82</v>
      </c>
      <c r="E153" s="26" t="s">
        <v>39</v>
      </c>
      <c r="F153" s="28" t="e">
        <f ca="1">_xludf.ifna(VLOOKUP(G154,Proyectos!$E$1:$H$4,4,0),"")</f>
        <v>#NAME?</v>
      </c>
      <c r="G153" s="26" t="s">
        <v>5597</v>
      </c>
      <c r="H153" s="32">
        <v>1</v>
      </c>
      <c r="I153" s="31" t="s">
        <v>18</v>
      </c>
      <c r="J153" s="32"/>
      <c r="K153" s="32" t="str">
        <f t="shared" si="0"/>
        <v>Interno</v>
      </c>
      <c r="L153" s="32" t="e">
        <f ca="1">_xludf.ifna(VLOOKUP(G154,Proyectos!$E$1:$N$4,10,0),"")</f>
        <v>#NAME?</v>
      </c>
      <c r="M153" s="32"/>
      <c r="N153" s="31"/>
      <c r="O153" s="31"/>
      <c r="P153" s="33"/>
      <c r="Q153" s="33"/>
    </row>
    <row r="154" spans="1:17" ht="16.5" customHeight="1" x14ac:dyDescent="0.2">
      <c r="A154" s="26" t="s">
        <v>5013</v>
      </c>
      <c r="B154" s="26" t="s">
        <v>5014</v>
      </c>
      <c r="C154" s="26" t="s">
        <v>37</v>
      </c>
      <c r="D154" s="26" t="s">
        <v>38</v>
      </c>
      <c r="E154" s="26" t="s">
        <v>87</v>
      </c>
      <c r="F154" s="28" t="e">
        <f ca="1">_xludf.ifna(VLOOKUP(G155,Proyectos!$E$1:$H$4,4,0),"")</f>
        <v>#NAME?</v>
      </c>
      <c r="G154" s="26" t="s">
        <v>5597</v>
      </c>
      <c r="H154" s="32">
        <v>1</v>
      </c>
      <c r="I154" s="31" t="s">
        <v>25</v>
      </c>
      <c r="J154" s="32"/>
      <c r="K154" s="32" t="str">
        <f t="shared" si="0"/>
        <v>Externo</v>
      </c>
      <c r="L154" s="32" t="e">
        <f ca="1">_xludf.ifna(VLOOKUP(G155,Proyectos!$E$1:$N$4,10,0),"")</f>
        <v>#NAME?</v>
      </c>
      <c r="M154" s="32"/>
      <c r="N154" s="31"/>
      <c r="O154" s="31"/>
      <c r="P154" s="33"/>
      <c r="Q154" s="33"/>
    </row>
    <row r="155" spans="1:17" ht="16.5" customHeight="1" x14ac:dyDescent="0.2">
      <c r="A155" s="26" t="s">
        <v>4757</v>
      </c>
      <c r="B155" s="26" t="s">
        <v>4758</v>
      </c>
      <c r="C155" s="26" t="s">
        <v>64</v>
      </c>
      <c r="D155" s="26" t="s">
        <v>74</v>
      </c>
      <c r="E155" s="26" t="s">
        <v>39</v>
      </c>
      <c r="F155" s="28" t="e">
        <f ca="1">_xludf.ifna(VLOOKUP(G156,Proyectos!$E$1:$H$4,4,0),"")</f>
        <v>#NAME?</v>
      </c>
      <c r="G155" s="26" t="s">
        <v>5597</v>
      </c>
      <c r="H155" s="30">
        <v>0.4</v>
      </c>
      <c r="I155" s="31" t="s">
        <v>18</v>
      </c>
      <c r="J155" s="32"/>
      <c r="K155" s="32" t="str">
        <f t="shared" si="0"/>
        <v>Interno</v>
      </c>
      <c r="L155" s="32" t="e">
        <f ca="1">_xludf.ifna(VLOOKUP(G156,Proyectos!$E$1:$N$4,10,0),"")</f>
        <v>#NAME?</v>
      </c>
      <c r="M155" s="32"/>
      <c r="N155" s="31"/>
      <c r="O155" s="31"/>
      <c r="P155" s="33"/>
      <c r="Q155" s="33"/>
    </row>
    <row r="156" spans="1:17" ht="16.5" customHeight="1" x14ac:dyDescent="0.2">
      <c r="A156" s="26" t="s">
        <v>4757</v>
      </c>
      <c r="B156" s="26" t="s">
        <v>4758</v>
      </c>
      <c r="C156" s="26" t="s">
        <v>64</v>
      </c>
      <c r="D156" s="26" t="s">
        <v>74</v>
      </c>
      <c r="E156" s="26" t="s">
        <v>39</v>
      </c>
      <c r="F156" s="28" t="e">
        <f ca="1">_xludf.ifna(VLOOKUP(G157,Proyectos!$E$1:$H$4,4,0),"")</f>
        <v>#NAME?</v>
      </c>
      <c r="G156" s="26" t="s">
        <v>5198</v>
      </c>
      <c r="H156" s="30">
        <v>0.4</v>
      </c>
      <c r="I156" s="31" t="s">
        <v>18</v>
      </c>
      <c r="J156" s="32"/>
      <c r="K156" s="32" t="str">
        <f t="shared" si="0"/>
        <v>Interno</v>
      </c>
      <c r="L156" s="32" t="e">
        <f ca="1">_xludf.ifna(VLOOKUP(G157,Proyectos!$E$1:$N$4,10,0),"")</f>
        <v>#NAME?</v>
      </c>
      <c r="M156" s="32"/>
      <c r="N156" s="31"/>
      <c r="O156" s="31"/>
      <c r="P156" s="33"/>
      <c r="Q156" s="33"/>
    </row>
    <row r="157" spans="1:17" ht="16.5" customHeight="1" x14ac:dyDescent="0.2">
      <c r="A157" s="26" t="s">
        <v>4757</v>
      </c>
      <c r="B157" s="26" t="s">
        <v>4758</v>
      </c>
      <c r="C157" s="26" t="s">
        <v>64</v>
      </c>
      <c r="D157" s="26" t="s">
        <v>74</v>
      </c>
      <c r="E157" s="26" t="s">
        <v>39</v>
      </c>
      <c r="F157" s="28" t="e">
        <f ca="1">_xludf.ifna(VLOOKUP(G158,Proyectos!$E$1:$H$4,4,0),"")</f>
        <v>#NAME?</v>
      </c>
      <c r="G157" s="26" t="s">
        <v>5597</v>
      </c>
      <c r="H157" s="30">
        <v>0.2</v>
      </c>
      <c r="I157" s="31" t="s">
        <v>18</v>
      </c>
      <c r="J157" s="32"/>
      <c r="K157" s="32" t="str">
        <f t="shared" si="0"/>
        <v>Interno</v>
      </c>
      <c r="L157" s="32" t="e">
        <f ca="1">_xludf.ifna(VLOOKUP(G158,Proyectos!$E$1:$N$4,10,0),"")</f>
        <v>#NAME?</v>
      </c>
      <c r="M157" s="32"/>
      <c r="N157" s="31"/>
      <c r="O157" s="31"/>
      <c r="P157" s="33"/>
      <c r="Q157" s="33"/>
    </row>
    <row r="158" spans="1:17" ht="16.5" customHeight="1" x14ac:dyDescent="0.2">
      <c r="A158" s="26" t="s">
        <v>4010</v>
      </c>
      <c r="B158" s="26" t="s">
        <v>4011</v>
      </c>
      <c r="C158" s="26" t="s">
        <v>64</v>
      </c>
      <c r="D158" s="26" t="s">
        <v>65</v>
      </c>
      <c r="E158" s="26" t="s">
        <v>114</v>
      </c>
      <c r="F158" s="28" t="e">
        <f ca="1">_xludf.ifna(VLOOKUP(G159,Proyectos!$E$1:$H$4,4,0),"")</f>
        <v>#NAME?</v>
      </c>
      <c r="G158" s="26" t="s">
        <v>5597</v>
      </c>
      <c r="H158" s="32">
        <v>0.02</v>
      </c>
      <c r="I158" s="31" t="s">
        <v>25</v>
      </c>
      <c r="J158" s="32"/>
      <c r="K158" s="32" t="str">
        <f t="shared" si="0"/>
        <v>Externo</v>
      </c>
      <c r="L158" s="32" t="e">
        <f ca="1">_xludf.ifna(VLOOKUP(G159,Proyectos!$E$1:$N$4,10,0),"")</f>
        <v>#NAME?</v>
      </c>
      <c r="M158" s="32"/>
      <c r="N158" s="31"/>
      <c r="O158" s="31"/>
      <c r="P158" s="33"/>
      <c r="Q158" s="33"/>
    </row>
    <row r="159" spans="1:17" ht="16.5" customHeight="1" x14ac:dyDescent="0.2">
      <c r="A159" s="26" t="s">
        <v>4010</v>
      </c>
      <c r="B159" s="26" t="s">
        <v>4011</v>
      </c>
      <c r="C159" s="26" t="s">
        <v>64</v>
      </c>
      <c r="D159" s="26" t="s">
        <v>70</v>
      </c>
      <c r="E159" s="26" t="s">
        <v>114</v>
      </c>
      <c r="F159" s="28" t="e">
        <f ca="1">_xludf.ifna(VLOOKUP(G160,Proyectos!$E$1:$H$4,4,0),"")</f>
        <v>#NAME?</v>
      </c>
      <c r="G159" s="26" t="s">
        <v>5597</v>
      </c>
      <c r="H159" s="32">
        <v>0.02</v>
      </c>
      <c r="I159" s="31" t="s">
        <v>25</v>
      </c>
      <c r="J159" s="32"/>
      <c r="K159" s="32" t="str">
        <f t="shared" si="0"/>
        <v>Externo</v>
      </c>
      <c r="L159" s="32" t="e">
        <f ca="1">_xludf.ifna(VLOOKUP(G160,Proyectos!$E$1:$N$4,10,0),"")</f>
        <v>#NAME?</v>
      </c>
      <c r="M159" s="32"/>
      <c r="N159" s="31"/>
      <c r="O159" s="31"/>
      <c r="P159" s="33"/>
      <c r="Q159" s="33"/>
    </row>
    <row r="160" spans="1:17" ht="16.5" customHeight="1" x14ac:dyDescent="0.2">
      <c r="A160" s="26" t="s">
        <v>4010</v>
      </c>
      <c r="B160" s="26" t="s">
        <v>4011</v>
      </c>
      <c r="C160" s="26" t="s">
        <v>64</v>
      </c>
      <c r="D160" s="26" t="s">
        <v>74</v>
      </c>
      <c r="E160" s="26" t="s">
        <v>114</v>
      </c>
      <c r="F160" s="28" t="e">
        <f ca="1">_xludf.ifna(VLOOKUP(G161,Proyectos!$E$1:$H$4,4,0),"")</f>
        <v>#NAME?</v>
      </c>
      <c r="G160" s="26" t="s">
        <v>5597</v>
      </c>
      <c r="H160" s="32">
        <v>0.02</v>
      </c>
      <c r="I160" s="31" t="s">
        <v>25</v>
      </c>
      <c r="J160" s="32"/>
      <c r="K160" s="32" t="str">
        <f t="shared" si="0"/>
        <v>Externo</v>
      </c>
      <c r="L160" s="32" t="e">
        <f ca="1">_xludf.ifna(VLOOKUP(G161,Proyectos!$E$1:$N$4,10,0),"")</f>
        <v>#NAME?</v>
      </c>
      <c r="M160" s="32"/>
      <c r="N160" s="31"/>
      <c r="O160" s="31"/>
      <c r="P160" s="33"/>
      <c r="Q160" s="33"/>
    </row>
    <row r="161" spans="1:17" ht="16.5" customHeight="1" x14ac:dyDescent="0.2">
      <c r="A161" s="26" t="s">
        <v>4010</v>
      </c>
      <c r="B161" s="26" t="s">
        <v>4011</v>
      </c>
      <c r="C161" s="26" t="s">
        <v>64</v>
      </c>
      <c r="D161" s="26" t="s">
        <v>78</v>
      </c>
      <c r="E161" s="26" t="s">
        <v>114</v>
      </c>
      <c r="F161" s="28" t="e">
        <f ca="1">_xludf.ifna(VLOOKUP(G162,Proyectos!$E$1:$H$4,4,0),"")</f>
        <v>#NAME?</v>
      </c>
      <c r="G161" s="26" t="s">
        <v>5597</v>
      </c>
      <c r="H161" s="32">
        <v>0.02</v>
      </c>
      <c r="I161" s="31" t="s">
        <v>25</v>
      </c>
      <c r="J161" s="32"/>
      <c r="K161" s="32" t="str">
        <f t="shared" si="0"/>
        <v>Externo</v>
      </c>
      <c r="L161" s="32" t="e">
        <f ca="1">_xludf.ifna(VLOOKUP(G162,Proyectos!$E$1:$N$4,10,0),"")</f>
        <v>#NAME?</v>
      </c>
      <c r="M161" s="32"/>
      <c r="N161" s="31"/>
      <c r="O161" s="31"/>
      <c r="P161" s="33"/>
      <c r="Q161" s="33"/>
    </row>
    <row r="162" spans="1:17" ht="16.5" customHeight="1" x14ac:dyDescent="0.2">
      <c r="A162" s="26" t="s">
        <v>4010</v>
      </c>
      <c r="B162" s="26" t="s">
        <v>4011</v>
      </c>
      <c r="C162" s="26" t="s">
        <v>64</v>
      </c>
      <c r="D162" s="26" t="s">
        <v>86</v>
      </c>
      <c r="E162" s="26" t="s">
        <v>114</v>
      </c>
      <c r="F162" s="28" t="e">
        <f ca="1">_xludf.ifna(VLOOKUP(G163,Proyectos!$E$1:$H$4,4,0),"")</f>
        <v>#NAME?</v>
      </c>
      <c r="G162" s="26" t="s">
        <v>5597</v>
      </c>
      <c r="H162" s="32">
        <v>0.02</v>
      </c>
      <c r="I162" s="31" t="s">
        <v>25</v>
      </c>
      <c r="J162" s="32"/>
      <c r="K162" s="32" t="str">
        <f t="shared" si="0"/>
        <v>Externo</v>
      </c>
      <c r="L162" s="32" t="e">
        <f ca="1">_xludf.ifna(VLOOKUP(G163,Proyectos!$E$1:$N$4,10,0),"")</f>
        <v>#NAME?</v>
      </c>
      <c r="M162" s="32"/>
      <c r="N162" s="31"/>
      <c r="O162" s="31"/>
      <c r="P162" s="33"/>
      <c r="Q162" s="33"/>
    </row>
    <row r="163" spans="1:17" ht="16.5" customHeight="1" x14ac:dyDescent="0.2">
      <c r="A163" s="26" t="s">
        <v>4010</v>
      </c>
      <c r="B163" s="26" t="s">
        <v>4011</v>
      </c>
      <c r="C163" s="26" t="s">
        <v>64</v>
      </c>
      <c r="D163" s="26" t="s">
        <v>89</v>
      </c>
      <c r="E163" s="26" t="s">
        <v>114</v>
      </c>
      <c r="F163" s="28" t="e">
        <f ca="1">_xludf.ifna(VLOOKUP(G164,Proyectos!$E$1:$H$4,4,0),"")</f>
        <v>#NAME?</v>
      </c>
      <c r="G163" s="26" t="s">
        <v>5597</v>
      </c>
      <c r="H163" s="32">
        <v>0.02</v>
      </c>
      <c r="I163" s="31" t="s">
        <v>25</v>
      </c>
      <c r="J163" s="32"/>
      <c r="K163" s="32" t="str">
        <f t="shared" si="0"/>
        <v>Externo</v>
      </c>
      <c r="L163" s="32" t="e">
        <f ca="1">_xludf.ifna(VLOOKUP(G164,Proyectos!$E$1:$N$4,10,0),"")</f>
        <v>#NAME?</v>
      </c>
      <c r="M163" s="32"/>
      <c r="N163" s="31"/>
      <c r="O163" s="31"/>
      <c r="P163" s="33"/>
      <c r="Q163" s="33"/>
    </row>
    <row r="164" spans="1:17" ht="16.5" customHeight="1" x14ac:dyDescent="0.2">
      <c r="A164" s="26" t="s">
        <v>4010</v>
      </c>
      <c r="B164" s="26" t="s">
        <v>4011</v>
      </c>
      <c r="C164" s="26" t="s">
        <v>64</v>
      </c>
      <c r="D164" s="26" t="s">
        <v>92</v>
      </c>
      <c r="E164" s="26" t="s">
        <v>114</v>
      </c>
      <c r="F164" s="28" t="e">
        <f ca="1">_xludf.ifna(VLOOKUP(G165,Proyectos!$E$1:$H$4,4,0),"")</f>
        <v>#NAME?</v>
      </c>
      <c r="G164" s="26" t="s">
        <v>5597</v>
      </c>
      <c r="H164" s="32">
        <v>0.02</v>
      </c>
      <c r="I164" s="31" t="s">
        <v>25</v>
      </c>
      <c r="J164" s="32"/>
      <c r="K164" s="32" t="str">
        <f t="shared" si="0"/>
        <v>Externo</v>
      </c>
      <c r="L164" s="32" t="e">
        <f ca="1">_xludf.ifna(VLOOKUP(G165,Proyectos!$E$1:$N$4,10,0),"")</f>
        <v>#NAME?</v>
      </c>
      <c r="M164" s="32"/>
      <c r="N164" s="31"/>
      <c r="O164" s="31"/>
      <c r="P164" s="33"/>
      <c r="Q164" s="33"/>
    </row>
    <row r="165" spans="1:17" ht="16.5" customHeight="1" x14ac:dyDescent="0.2">
      <c r="A165" s="26" t="s">
        <v>4010</v>
      </c>
      <c r="B165" s="26" t="s">
        <v>4011</v>
      </c>
      <c r="C165" s="26" t="s">
        <v>64</v>
      </c>
      <c r="D165" s="26" t="s">
        <v>95</v>
      </c>
      <c r="E165" s="26" t="s">
        <v>114</v>
      </c>
      <c r="F165" s="28" t="e">
        <f ca="1">_xludf.ifna(VLOOKUP(G166,Proyectos!$E$1:$H$4,4,0),"")</f>
        <v>#NAME?</v>
      </c>
      <c r="G165" s="26" t="s">
        <v>5597</v>
      </c>
      <c r="H165" s="32">
        <v>0.02</v>
      </c>
      <c r="I165" s="31" t="s">
        <v>25</v>
      </c>
      <c r="J165" s="32"/>
      <c r="K165" s="32" t="str">
        <f t="shared" si="0"/>
        <v>Externo</v>
      </c>
      <c r="L165" s="32" t="e">
        <f ca="1">_xludf.ifna(VLOOKUP(G166,Proyectos!$E$1:$N$4,10,0),"")</f>
        <v>#NAME?</v>
      </c>
      <c r="M165" s="32"/>
      <c r="N165" s="31"/>
      <c r="O165" s="31"/>
      <c r="P165" s="33"/>
      <c r="Q165" s="33"/>
    </row>
    <row r="166" spans="1:17" ht="16.5" customHeight="1" x14ac:dyDescent="0.2">
      <c r="A166" s="26" t="s">
        <v>4010</v>
      </c>
      <c r="B166" s="26" t="s">
        <v>4011</v>
      </c>
      <c r="C166" s="26" t="s">
        <v>64</v>
      </c>
      <c r="D166" s="26" t="s">
        <v>65</v>
      </c>
      <c r="E166" s="26" t="s">
        <v>114</v>
      </c>
      <c r="F166" s="28" t="e">
        <f ca="1">_xludf.ifna(VLOOKUP(G167,Proyectos!$E$1:$H$4,4,0),"")</f>
        <v>#NAME?</v>
      </c>
      <c r="G166" s="26" t="s">
        <v>5409</v>
      </c>
      <c r="H166" s="32">
        <v>0.02</v>
      </c>
      <c r="I166" s="31" t="s">
        <v>25</v>
      </c>
      <c r="J166" s="32"/>
      <c r="K166" s="32" t="str">
        <f t="shared" si="0"/>
        <v>Externo</v>
      </c>
      <c r="L166" s="32" t="e">
        <f ca="1">_xludf.ifna(VLOOKUP(G167,Proyectos!$E$1:$N$4,10,0),"")</f>
        <v>#NAME?</v>
      </c>
      <c r="M166" s="32"/>
      <c r="N166" s="32"/>
      <c r="O166" s="31"/>
      <c r="P166" s="33"/>
      <c r="Q166" s="33"/>
    </row>
    <row r="167" spans="1:17" ht="16.5" customHeight="1" x14ac:dyDescent="0.2">
      <c r="A167" s="26" t="s">
        <v>4010</v>
      </c>
      <c r="B167" s="26" t="s">
        <v>4011</v>
      </c>
      <c r="C167" s="26" t="s">
        <v>64</v>
      </c>
      <c r="D167" s="26" t="s">
        <v>65</v>
      </c>
      <c r="E167" s="26" t="s">
        <v>114</v>
      </c>
      <c r="F167" s="28" t="e">
        <f ca="1">_xludf.ifna(VLOOKUP(G168,Proyectos!$E$1:$H$4,4,0),"")</f>
        <v>#NAME?</v>
      </c>
      <c r="G167" s="26" t="s">
        <v>5633</v>
      </c>
      <c r="H167" s="32">
        <v>0.02</v>
      </c>
      <c r="I167" s="31" t="s">
        <v>25</v>
      </c>
      <c r="J167" s="32"/>
      <c r="K167" s="32" t="str">
        <f t="shared" si="0"/>
        <v>Externo</v>
      </c>
      <c r="L167" s="32" t="e">
        <f ca="1">_xludf.ifna(VLOOKUP(G168,Proyectos!$E$1:$N$4,10,0),"")</f>
        <v>#NAME?</v>
      </c>
      <c r="M167" s="32"/>
      <c r="N167" s="31"/>
      <c r="O167" s="31"/>
      <c r="P167" s="33"/>
      <c r="Q167" s="33"/>
    </row>
    <row r="168" spans="1:17" ht="16.5" customHeight="1" x14ac:dyDescent="0.2">
      <c r="A168" s="26" t="s">
        <v>4010</v>
      </c>
      <c r="B168" s="26" t="s">
        <v>4011</v>
      </c>
      <c r="C168" s="26" t="s">
        <v>64</v>
      </c>
      <c r="D168" s="26" t="s">
        <v>65</v>
      </c>
      <c r="E168" s="26" t="s">
        <v>114</v>
      </c>
      <c r="F168" s="28" t="e">
        <f ca="1">_xludf.ifna(VLOOKUP(G169,Proyectos!$E$1:$H$4,4,0),"")</f>
        <v>#NAME?</v>
      </c>
      <c r="G168" s="26" t="s">
        <v>5410</v>
      </c>
      <c r="H168" s="32">
        <v>0.02</v>
      </c>
      <c r="I168" s="31" t="s">
        <v>25</v>
      </c>
      <c r="J168" s="32"/>
      <c r="K168" s="32" t="str">
        <f t="shared" si="0"/>
        <v>Externo</v>
      </c>
      <c r="L168" s="32" t="e">
        <f ca="1">_xludf.ifna(VLOOKUP(G169,Proyectos!$E$1:$N$4,10,0),"")</f>
        <v>#NAME?</v>
      </c>
      <c r="M168" s="32"/>
      <c r="N168" s="32"/>
      <c r="O168" s="31"/>
      <c r="P168" s="33"/>
      <c r="Q168" s="33"/>
    </row>
    <row r="169" spans="1:17" ht="16.5" customHeight="1" x14ac:dyDescent="0.2">
      <c r="A169" s="26" t="s">
        <v>4010</v>
      </c>
      <c r="B169" s="26" t="s">
        <v>4011</v>
      </c>
      <c r="C169" s="26" t="s">
        <v>64</v>
      </c>
      <c r="D169" s="26" t="s">
        <v>92</v>
      </c>
      <c r="E169" s="26" t="s">
        <v>114</v>
      </c>
      <c r="F169" s="28" t="e">
        <f ca="1">_xludf.ifna(VLOOKUP(G170,Proyectos!$E$1:$H$4,4,0),"")</f>
        <v>#NAME?</v>
      </c>
      <c r="G169" s="26" t="s">
        <v>5310</v>
      </c>
      <c r="H169" s="32">
        <v>0.02</v>
      </c>
      <c r="I169" s="31" t="s">
        <v>25</v>
      </c>
      <c r="J169" s="32"/>
      <c r="K169" s="32" t="str">
        <f t="shared" si="0"/>
        <v>Externo</v>
      </c>
      <c r="L169" s="32" t="e">
        <f ca="1">_xludf.ifna(VLOOKUP(G170,Proyectos!$E$1:$N$4,10,0),"")</f>
        <v>#NAME?</v>
      </c>
      <c r="M169" s="32"/>
      <c r="N169" s="32"/>
      <c r="O169" s="31"/>
      <c r="P169" s="33"/>
      <c r="Q169" s="33"/>
    </row>
    <row r="170" spans="1:17" ht="16.5" customHeight="1" x14ac:dyDescent="0.2">
      <c r="A170" s="26" t="s">
        <v>4010</v>
      </c>
      <c r="B170" s="26" t="s">
        <v>4011</v>
      </c>
      <c r="C170" s="26" t="s">
        <v>64</v>
      </c>
      <c r="D170" s="26" t="s">
        <v>78</v>
      </c>
      <c r="E170" s="26" t="s">
        <v>114</v>
      </c>
      <c r="F170" s="28" t="e">
        <f ca="1">_xludf.ifna(VLOOKUP(G171,Proyectos!$E$1:$H$4,4,0),"")</f>
        <v>#NAME?</v>
      </c>
      <c r="G170" s="26" t="s">
        <v>5411</v>
      </c>
      <c r="H170" s="32">
        <v>0.02</v>
      </c>
      <c r="I170" s="31" t="s">
        <v>25</v>
      </c>
      <c r="J170" s="32"/>
      <c r="K170" s="32" t="str">
        <f t="shared" si="0"/>
        <v>Externo</v>
      </c>
      <c r="L170" s="32" t="e">
        <f ca="1">_xludf.ifna(VLOOKUP(G171,Proyectos!$E$1:$N$4,10,0),"")</f>
        <v>#NAME?</v>
      </c>
      <c r="M170" s="32"/>
      <c r="N170" s="32"/>
      <c r="O170" s="31"/>
      <c r="P170" s="33"/>
      <c r="Q170" s="33"/>
    </row>
    <row r="171" spans="1:17" ht="16.5" customHeight="1" x14ac:dyDescent="0.2">
      <c r="A171" s="26" t="s">
        <v>4010</v>
      </c>
      <c r="B171" s="26" t="s">
        <v>4011</v>
      </c>
      <c r="C171" s="26" t="s">
        <v>64</v>
      </c>
      <c r="D171" s="26" t="s">
        <v>78</v>
      </c>
      <c r="E171" s="26" t="s">
        <v>114</v>
      </c>
      <c r="F171" s="28" t="e">
        <f ca="1">_xludf.ifna(VLOOKUP(G172,Proyectos!$E$1:$H$4,4,0),"")</f>
        <v>#NAME?</v>
      </c>
      <c r="G171" s="26" t="s">
        <v>5406</v>
      </c>
      <c r="H171" s="32">
        <v>0.02</v>
      </c>
      <c r="I171" s="31" t="s">
        <v>25</v>
      </c>
      <c r="J171" s="32"/>
      <c r="K171" s="32" t="str">
        <f t="shared" si="0"/>
        <v>Externo</v>
      </c>
      <c r="L171" s="32" t="e">
        <f ca="1">_xludf.ifna(VLOOKUP(G172,Proyectos!$E$1:$N$4,10,0),"")</f>
        <v>#NAME?</v>
      </c>
      <c r="M171" s="32"/>
      <c r="N171" s="32"/>
      <c r="O171" s="31"/>
      <c r="P171" s="33"/>
      <c r="Q171" s="33"/>
    </row>
    <row r="172" spans="1:17" ht="16.5" customHeight="1" x14ac:dyDescent="0.2">
      <c r="A172" s="26" t="s">
        <v>4010</v>
      </c>
      <c r="B172" s="26" t="s">
        <v>4011</v>
      </c>
      <c r="C172" s="26" t="s">
        <v>64</v>
      </c>
      <c r="D172" s="26" t="s">
        <v>70</v>
      </c>
      <c r="E172" s="26" t="s">
        <v>114</v>
      </c>
      <c r="F172" s="28" t="e">
        <f ca="1">_xludf.ifna(VLOOKUP(G173,Proyectos!$E$1:$H$4,4,0),"")</f>
        <v>#NAME?</v>
      </c>
      <c r="G172" s="26" t="s">
        <v>5405</v>
      </c>
      <c r="H172" s="32">
        <v>0.02</v>
      </c>
      <c r="I172" s="31" t="s">
        <v>25</v>
      </c>
      <c r="J172" s="32"/>
      <c r="K172" s="32" t="str">
        <f t="shared" si="0"/>
        <v>Externo</v>
      </c>
      <c r="L172" s="32" t="e">
        <f ca="1">_xludf.ifna(VLOOKUP(G173,Proyectos!$E$1:$N$4,10,0),"")</f>
        <v>#NAME?</v>
      </c>
      <c r="M172" s="32"/>
      <c r="N172" s="32"/>
      <c r="O172" s="31"/>
      <c r="P172" s="33"/>
      <c r="Q172" s="33"/>
    </row>
    <row r="173" spans="1:17" ht="16.5" customHeight="1" x14ac:dyDescent="0.2">
      <c r="A173" s="26" t="s">
        <v>4010</v>
      </c>
      <c r="B173" s="26" t="s">
        <v>4011</v>
      </c>
      <c r="C173" s="26" t="s">
        <v>64</v>
      </c>
      <c r="D173" s="26" t="s">
        <v>70</v>
      </c>
      <c r="E173" s="26" t="s">
        <v>114</v>
      </c>
      <c r="F173" s="28" t="e">
        <f ca="1">_xludf.ifna(VLOOKUP(G174,Proyectos!$E$1:$H$4,4,0),"")</f>
        <v>#NAME?</v>
      </c>
      <c r="G173" s="26" t="s">
        <v>5647</v>
      </c>
      <c r="H173" s="32">
        <v>0.02</v>
      </c>
      <c r="I173" s="31" t="s">
        <v>25</v>
      </c>
      <c r="J173" s="32"/>
      <c r="K173" s="32" t="str">
        <f t="shared" si="0"/>
        <v>Externo</v>
      </c>
      <c r="L173" s="32" t="e">
        <f ca="1">_xludf.ifna(VLOOKUP(G174,Proyectos!$E$1:$N$4,10,0),"")</f>
        <v>#NAME?</v>
      </c>
      <c r="M173" s="32"/>
      <c r="N173" s="31"/>
      <c r="O173" s="31"/>
      <c r="P173" s="33"/>
      <c r="Q173" s="33"/>
    </row>
    <row r="174" spans="1:17" ht="16.5" customHeight="1" x14ac:dyDescent="0.2">
      <c r="A174" s="26" t="s">
        <v>4010</v>
      </c>
      <c r="B174" s="26" t="s">
        <v>4011</v>
      </c>
      <c r="C174" s="26" t="s">
        <v>64</v>
      </c>
      <c r="D174" s="26" t="s">
        <v>70</v>
      </c>
      <c r="E174" s="26" t="s">
        <v>114</v>
      </c>
      <c r="F174" s="28" t="e">
        <f ca="1">_xludf.ifna(VLOOKUP(G175,Proyectos!$E$1:$H$4,4,0),"")</f>
        <v>#NAME?</v>
      </c>
      <c r="G174" s="26" t="s">
        <v>5402</v>
      </c>
      <c r="H174" s="32">
        <v>0.02</v>
      </c>
      <c r="I174" s="31" t="s">
        <v>25</v>
      </c>
      <c r="J174" s="32"/>
      <c r="K174" s="32" t="str">
        <f t="shared" si="0"/>
        <v>Externo</v>
      </c>
      <c r="L174" s="32" t="e">
        <f ca="1">_xludf.ifna(VLOOKUP(G175,Proyectos!$E$1:$N$4,10,0),"")</f>
        <v>#NAME?</v>
      </c>
      <c r="M174" s="32"/>
      <c r="N174" s="32"/>
      <c r="O174" s="31"/>
      <c r="P174" s="33"/>
      <c r="Q174" s="33"/>
    </row>
    <row r="175" spans="1:17" ht="16.5" customHeight="1" x14ac:dyDescent="0.2">
      <c r="A175" s="26" t="s">
        <v>4010</v>
      </c>
      <c r="B175" s="26" t="s">
        <v>4011</v>
      </c>
      <c r="C175" s="26" t="s">
        <v>64</v>
      </c>
      <c r="D175" s="26" t="s">
        <v>65</v>
      </c>
      <c r="E175" s="26" t="s">
        <v>114</v>
      </c>
      <c r="F175" s="28" t="e">
        <f ca="1">_xludf.ifna(VLOOKUP(G176,Proyectos!$E$1:$H$4,4,0),"")</f>
        <v>#NAME?</v>
      </c>
      <c r="G175" s="26" t="s">
        <v>5617</v>
      </c>
      <c r="H175" s="32">
        <v>0.02</v>
      </c>
      <c r="I175" s="31" t="s">
        <v>25</v>
      </c>
      <c r="J175" s="32"/>
      <c r="K175" s="32" t="str">
        <f t="shared" si="0"/>
        <v>Externo</v>
      </c>
      <c r="L175" s="32" t="e">
        <f ca="1">_xludf.ifna(VLOOKUP(G176,Proyectos!$E$1:$N$4,10,0),"")</f>
        <v>#NAME?</v>
      </c>
      <c r="M175" s="32"/>
      <c r="N175" s="32"/>
      <c r="O175" s="31"/>
      <c r="P175" s="33"/>
      <c r="Q175" s="33"/>
    </row>
    <row r="176" spans="1:17" ht="16.5" customHeight="1" x14ac:dyDescent="0.2">
      <c r="A176" s="26" t="s">
        <v>4010</v>
      </c>
      <c r="B176" s="26" t="s">
        <v>4011</v>
      </c>
      <c r="C176" s="26" t="s">
        <v>64</v>
      </c>
      <c r="D176" s="26" t="s">
        <v>70</v>
      </c>
      <c r="E176" s="26" t="s">
        <v>114</v>
      </c>
      <c r="F176" s="28" t="e">
        <f ca="1">_xludf.ifna(VLOOKUP(G177,Proyectos!$E$1:$H$4,4,0),"")</f>
        <v>#NAME?</v>
      </c>
      <c r="G176" s="26" t="s">
        <v>5403</v>
      </c>
      <c r="H176" s="32">
        <v>0.02</v>
      </c>
      <c r="I176" s="31" t="s">
        <v>25</v>
      </c>
      <c r="J176" s="32"/>
      <c r="K176" s="32" t="str">
        <f t="shared" si="0"/>
        <v>Externo</v>
      </c>
      <c r="L176" s="32" t="e">
        <f ca="1">_xludf.ifna(VLOOKUP(G177,Proyectos!$E$1:$N$4,10,0),"")</f>
        <v>#NAME?</v>
      </c>
      <c r="M176" s="32"/>
      <c r="N176" s="32"/>
      <c r="O176" s="31"/>
      <c r="P176" s="33"/>
      <c r="Q176" s="33"/>
    </row>
    <row r="177" spans="1:17" ht="16.5" customHeight="1" x14ac:dyDescent="0.2">
      <c r="A177" s="26" t="s">
        <v>4010</v>
      </c>
      <c r="B177" s="26" t="s">
        <v>4011</v>
      </c>
      <c r="C177" s="26" t="s">
        <v>64</v>
      </c>
      <c r="D177" s="26" t="s">
        <v>70</v>
      </c>
      <c r="E177" s="26" t="s">
        <v>114</v>
      </c>
      <c r="F177" s="28" t="e">
        <f ca="1">_xludf.ifna(VLOOKUP(G178,Proyectos!$E$1:$H$4,4,0),"")</f>
        <v>#NAME?</v>
      </c>
      <c r="G177" s="26" t="s">
        <v>5401</v>
      </c>
      <c r="H177" s="32">
        <v>0.02</v>
      </c>
      <c r="I177" s="31" t="s">
        <v>25</v>
      </c>
      <c r="J177" s="32"/>
      <c r="K177" s="32" t="str">
        <f t="shared" si="0"/>
        <v>Externo</v>
      </c>
      <c r="L177" s="32" t="e">
        <f ca="1">_xludf.ifna(VLOOKUP(G178,Proyectos!$E$1:$N$4,10,0),"")</f>
        <v>#NAME?</v>
      </c>
      <c r="M177" s="32"/>
      <c r="N177" s="32"/>
      <c r="O177" s="31"/>
      <c r="P177" s="33"/>
      <c r="Q177" s="33"/>
    </row>
    <row r="178" spans="1:17" ht="16.5" customHeight="1" x14ac:dyDescent="0.2">
      <c r="A178" s="26" t="s">
        <v>4010</v>
      </c>
      <c r="B178" s="26" t="s">
        <v>4011</v>
      </c>
      <c r="C178" s="26" t="s">
        <v>64</v>
      </c>
      <c r="D178" s="26" t="s">
        <v>74</v>
      </c>
      <c r="E178" s="26" t="s">
        <v>114</v>
      </c>
      <c r="F178" s="28" t="e">
        <f ca="1">_xludf.ifna(VLOOKUP(G179,Proyectos!$E$1:$H$4,4,0),"")</f>
        <v>#NAME?</v>
      </c>
      <c r="G178" s="26" t="s">
        <v>5648</v>
      </c>
      <c r="H178" s="32">
        <v>0.02</v>
      </c>
      <c r="I178" s="31" t="s">
        <v>25</v>
      </c>
      <c r="J178" s="32"/>
      <c r="K178" s="32" t="str">
        <f t="shared" si="0"/>
        <v>Externo</v>
      </c>
      <c r="L178" s="32" t="e">
        <f ca="1">_xludf.ifna(VLOOKUP(G179,Proyectos!$E$1:$N$4,10,0),"")</f>
        <v>#NAME?</v>
      </c>
      <c r="M178" s="32"/>
      <c r="N178" s="32"/>
      <c r="O178" s="31"/>
      <c r="P178" s="33"/>
      <c r="Q178" s="33"/>
    </row>
    <row r="179" spans="1:17" ht="16.5" customHeight="1" x14ac:dyDescent="0.2">
      <c r="A179" s="26" t="s">
        <v>4010</v>
      </c>
      <c r="B179" s="26" t="s">
        <v>4011</v>
      </c>
      <c r="C179" s="26" t="s">
        <v>64</v>
      </c>
      <c r="D179" s="26" t="s">
        <v>65</v>
      </c>
      <c r="E179" s="26" t="s">
        <v>114</v>
      </c>
      <c r="F179" s="28" t="e">
        <f ca="1">_xludf.ifna(VLOOKUP(G180,Proyectos!$E$1:$H$4,4,0),"")</f>
        <v>#NAME?</v>
      </c>
      <c r="G179" s="26" t="s">
        <v>5198</v>
      </c>
      <c r="H179" s="32">
        <v>0.02</v>
      </c>
      <c r="I179" s="31" t="s">
        <v>25</v>
      </c>
      <c r="J179" s="32"/>
      <c r="K179" s="32" t="str">
        <f t="shared" si="0"/>
        <v>Externo</v>
      </c>
      <c r="L179" s="32" t="e">
        <f ca="1">_xludf.ifna(VLOOKUP(G180,Proyectos!$E$1:$N$4,10,0),"")</f>
        <v>#NAME?</v>
      </c>
      <c r="M179" s="32"/>
      <c r="N179" s="31"/>
      <c r="O179" s="31"/>
      <c r="P179" s="33"/>
      <c r="Q179" s="33"/>
    </row>
    <row r="180" spans="1:17" ht="16.5" customHeight="1" x14ac:dyDescent="0.2">
      <c r="A180" s="26" t="s">
        <v>4010</v>
      </c>
      <c r="B180" s="26" t="s">
        <v>4011</v>
      </c>
      <c r="C180" s="26" t="s">
        <v>64</v>
      </c>
      <c r="D180" s="26" t="s">
        <v>95</v>
      </c>
      <c r="E180" s="26" t="s">
        <v>114</v>
      </c>
      <c r="F180" s="28" t="e">
        <f ca="1">_xludf.ifna(VLOOKUP(G181,Proyectos!$E$1:$H$4,4,0),"")</f>
        <v>#NAME?</v>
      </c>
      <c r="G180" s="26" t="s">
        <v>5366</v>
      </c>
      <c r="H180" s="32">
        <v>0.02</v>
      </c>
      <c r="I180" s="31" t="s">
        <v>25</v>
      </c>
      <c r="J180" s="32"/>
      <c r="K180" s="32" t="str">
        <f t="shared" si="0"/>
        <v>Externo</v>
      </c>
      <c r="L180" s="32" t="e">
        <f ca="1">_xludf.ifna(VLOOKUP(G181,Proyectos!$E$1:$N$4,10,0),"")</f>
        <v>#NAME?</v>
      </c>
      <c r="M180" s="32"/>
      <c r="N180" s="32"/>
      <c r="O180" s="31"/>
      <c r="P180" s="33"/>
      <c r="Q180" s="33"/>
    </row>
    <row r="181" spans="1:17" ht="16.5" customHeight="1" x14ac:dyDescent="0.2">
      <c r="A181" s="26" t="s">
        <v>4010</v>
      </c>
      <c r="B181" s="26" t="s">
        <v>4011</v>
      </c>
      <c r="C181" s="26" t="s">
        <v>64</v>
      </c>
      <c r="D181" s="26" t="s">
        <v>95</v>
      </c>
      <c r="E181" s="26" t="s">
        <v>114</v>
      </c>
      <c r="F181" s="28" t="e">
        <f ca="1">_xludf.ifna(VLOOKUP(G182,Proyectos!$E$1:$H$4,4,0),"")</f>
        <v>#NAME?</v>
      </c>
      <c r="G181" s="26" t="s">
        <v>5649</v>
      </c>
      <c r="H181" s="32">
        <v>0.02</v>
      </c>
      <c r="I181" s="31" t="s">
        <v>25</v>
      </c>
      <c r="J181" s="32"/>
      <c r="K181" s="32" t="str">
        <f t="shared" si="0"/>
        <v>Externo</v>
      </c>
      <c r="L181" s="32" t="e">
        <f ca="1">_xludf.ifna(VLOOKUP(G182,Proyectos!$E$1:$N$4,10,0),"")</f>
        <v>#NAME?</v>
      </c>
      <c r="M181" s="32"/>
      <c r="N181" s="32"/>
      <c r="O181" s="31"/>
      <c r="P181" s="33"/>
      <c r="Q181" s="33"/>
    </row>
    <row r="182" spans="1:17" ht="16.5" customHeight="1" x14ac:dyDescent="0.2">
      <c r="A182" s="26" t="s">
        <v>4010</v>
      </c>
      <c r="B182" s="26" t="s">
        <v>4011</v>
      </c>
      <c r="C182" s="26" t="s">
        <v>64</v>
      </c>
      <c r="D182" s="26" t="s">
        <v>95</v>
      </c>
      <c r="E182" s="26" t="s">
        <v>114</v>
      </c>
      <c r="F182" s="28" t="e">
        <f ca="1">_xludf.ifna(VLOOKUP(G183,Proyectos!$E$1:$H$4,4,0),"")</f>
        <v>#NAME?</v>
      </c>
      <c r="G182" s="26" t="s">
        <v>5364</v>
      </c>
      <c r="H182" s="32">
        <v>0.02</v>
      </c>
      <c r="I182" s="31" t="s">
        <v>25</v>
      </c>
      <c r="J182" s="32"/>
      <c r="K182" s="32" t="str">
        <f t="shared" si="0"/>
        <v>Externo</v>
      </c>
      <c r="L182" s="32" t="e">
        <f ca="1">_xludf.ifna(VLOOKUP(G183,Proyectos!$E$1:$N$4,10,0),"")</f>
        <v>#NAME?</v>
      </c>
      <c r="M182" s="32"/>
      <c r="N182" s="32"/>
      <c r="O182" s="31"/>
      <c r="P182" s="33"/>
      <c r="Q182" s="33"/>
    </row>
    <row r="183" spans="1:17" ht="16.5" customHeight="1" x14ac:dyDescent="0.2">
      <c r="A183" s="26" t="s">
        <v>4010</v>
      </c>
      <c r="B183" s="26" t="s">
        <v>4011</v>
      </c>
      <c r="C183" s="26" t="s">
        <v>64</v>
      </c>
      <c r="D183" s="26" t="s">
        <v>95</v>
      </c>
      <c r="E183" s="26" t="s">
        <v>114</v>
      </c>
      <c r="F183" s="28" t="e">
        <f ca="1">_xludf.ifna(VLOOKUP(G184,Proyectos!$E$1:$H$4,4,0),"")</f>
        <v>#NAME?</v>
      </c>
      <c r="G183" s="26" t="s">
        <v>5363</v>
      </c>
      <c r="H183" s="32">
        <v>0.02</v>
      </c>
      <c r="I183" s="31" t="s">
        <v>25</v>
      </c>
      <c r="J183" s="32"/>
      <c r="K183" s="32" t="str">
        <f t="shared" si="0"/>
        <v>Externo</v>
      </c>
      <c r="L183" s="32" t="e">
        <f ca="1">_xludf.ifna(VLOOKUP(G184,Proyectos!$E$1:$N$4,10,0),"")</f>
        <v>#NAME?</v>
      </c>
      <c r="M183" s="32"/>
      <c r="N183" s="32"/>
      <c r="O183" s="31"/>
      <c r="P183" s="33"/>
      <c r="Q183" s="33"/>
    </row>
    <row r="184" spans="1:17" ht="16.5" customHeight="1" x14ac:dyDescent="0.2">
      <c r="A184" s="26" t="s">
        <v>4010</v>
      </c>
      <c r="B184" s="26" t="s">
        <v>4011</v>
      </c>
      <c r="C184" s="26" t="s">
        <v>64</v>
      </c>
      <c r="D184" s="26" t="s">
        <v>86</v>
      </c>
      <c r="E184" s="26" t="s">
        <v>114</v>
      </c>
      <c r="F184" s="28" t="e">
        <f ca="1">_xludf.ifna(VLOOKUP(G185,Proyectos!$E$1:$H$4,4,0),"")</f>
        <v>#NAME?</v>
      </c>
      <c r="G184" s="26" t="s">
        <v>5463</v>
      </c>
      <c r="H184" s="32">
        <v>0.03</v>
      </c>
      <c r="I184" s="31" t="s">
        <v>25</v>
      </c>
      <c r="J184" s="32"/>
      <c r="K184" s="32" t="str">
        <f t="shared" si="0"/>
        <v>Externo</v>
      </c>
      <c r="L184" s="32" t="e">
        <f ca="1">_xludf.ifna(VLOOKUP(G185,Proyectos!$E$1:$N$4,10,0),"")</f>
        <v>#NAME?</v>
      </c>
      <c r="M184" s="32"/>
      <c r="N184" s="32"/>
      <c r="O184" s="31"/>
      <c r="P184" s="33"/>
      <c r="Q184" s="33"/>
    </row>
    <row r="185" spans="1:17" ht="16.5" customHeight="1" x14ac:dyDescent="0.2">
      <c r="A185" s="26" t="s">
        <v>4010</v>
      </c>
      <c r="B185" s="26" t="s">
        <v>4011</v>
      </c>
      <c r="C185" s="26" t="s">
        <v>64</v>
      </c>
      <c r="D185" s="26" t="s">
        <v>86</v>
      </c>
      <c r="E185" s="26" t="s">
        <v>114</v>
      </c>
      <c r="F185" s="28" t="e">
        <f ca="1">_xludf.ifna(VLOOKUP(G186,Proyectos!$E$1:$H$4,4,0),"")</f>
        <v>#NAME?</v>
      </c>
      <c r="G185" s="26" t="s">
        <v>5464</v>
      </c>
      <c r="H185" s="32">
        <v>0.03</v>
      </c>
      <c r="I185" s="31" t="s">
        <v>25</v>
      </c>
      <c r="J185" s="32"/>
      <c r="K185" s="32" t="str">
        <f t="shared" si="0"/>
        <v>Externo</v>
      </c>
      <c r="L185" s="32" t="e">
        <f ca="1">_xludf.ifna(VLOOKUP(G186,Proyectos!$E$1:$N$4,10,0),"")</f>
        <v>#NAME?</v>
      </c>
      <c r="M185" s="32"/>
      <c r="N185" s="32"/>
      <c r="O185" s="31"/>
      <c r="P185" s="33"/>
      <c r="Q185" s="33"/>
    </row>
    <row r="186" spans="1:17" ht="16.5" customHeight="1" x14ac:dyDescent="0.2">
      <c r="A186" s="26" t="s">
        <v>4010</v>
      </c>
      <c r="B186" s="26" t="s">
        <v>4011</v>
      </c>
      <c r="C186" s="26" t="s">
        <v>64</v>
      </c>
      <c r="D186" s="26" t="s">
        <v>86</v>
      </c>
      <c r="E186" s="26" t="s">
        <v>114</v>
      </c>
      <c r="F186" s="28" t="e">
        <f ca="1">_xludf.ifna(VLOOKUP(G187,Proyectos!$E$1:$H$4,4,0),"")</f>
        <v>#NAME?</v>
      </c>
      <c r="G186" s="26" t="s">
        <v>5131</v>
      </c>
      <c r="H186" s="32">
        <v>0.03</v>
      </c>
      <c r="I186" s="31" t="s">
        <v>25</v>
      </c>
      <c r="J186" s="32"/>
      <c r="K186" s="32" t="str">
        <f t="shared" si="0"/>
        <v>Externo</v>
      </c>
      <c r="L186" s="32" t="e">
        <f ca="1">_xludf.ifna(VLOOKUP(G187,Proyectos!$E$1:$N$4,10,0),"")</f>
        <v>#NAME?</v>
      </c>
      <c r="M186" s="32"/>
      <c r="N186" s="32"/>
      <c r="O186" s="31"/>
      <c r="P186" s="33"/>
      <c r="Q186" s="33"/>
    </row>
    <row r="187" spans="1:17" ht="16.5" customHeight="1" x14ac:dyDescent="0.2">
      <c r="A187" s="26" t="s">
        <v>4010</v>
      </c>
      <c r="B187" s="26" t="s">
        <v>4011</v>
      </c>
      <c r="C187" s="26" t="s">
        <v>64</v>
      </c>
      <c r="D187" s="26" t="s">
        <v>86</v>
      </c>
      <c r="E187" s="26" t="s">
        <v>114</v>
      </c>
      <c r="F187" s="28" t="e">
        <f ca="1">_xludf.ifna(VLOOKUP(G188,Proyectos!$E$1:$H$4,4,0),"")</f>
        <v>#NAME?</v>
      </c>
      <c r="G187" s="26" t="s">
        <v>5612</v>
      </c>
      <c r="H187" s="32">
        <v>0.03</v>
      </c>
      <c r="I187" s="31" t="s">
        <v>25</v>
      </c>
      <c r="J187" s="32"/>
      <c r="K187" s="32" t="str">
        <f t="shared" si="0"/>
        <v>Externo</v>
      </c>
      <c r="L187" s="32" t="e">
        <f ca="1">_xludf.ifna(VLOOKUP(G188,Proyectos!$E$1:$N$4,10,0),"")</f>
        <v>#NAME?</v>
      </c>
      <c r="M187" s="32"/>
      <c r="N187" s="32"/>
      <c r="O187" s="31"/>
      <c r="P187" s="33"/>
      <c r="Q187" s="33"/>
    </row>
    <row r="188" spans="1:17" ht="16.5" customHeight="1" x14ac:dyDescent="0.2">
      <c r="A188" s="26" t="s">
        <v>4010</v>
      </c>
      <c r="B188" s="26" t="s">
        <v>4011</v>
      </c>
      <c r="C188" s="26" t="s">
        <v>64</v>
      </c>
      <c r="D188" s="26" t="s">
        <v>86</v>
      </c>
      <c r="E188" s="26" t="s">
        <v>114</v>
      </c>
      <c r="F188" s="28" t="e">
        <f ca="1">_xludf.ifna(VLOOKUP(G189,Proyectos!$E$1:$H$4,4,0),"")</f>
        <v>#NAME?</v>
      </c>
      <c r="G188" s="26" t="s">
        <v>5248</v>
      </c>
      <c r="H188" s="32">
        <v>0.03</v>
      </c>
      <c r="I188" s="31" t="s">
        <v>25</v>
      </c>
      <c r="J188" s="32"/>
      <c r="K188" s="32" t="str">
        <f t="shared" si="0"/>
        <v>Externo</v>
      </c>
      <c r="L188" s="32" t="e">
        <f ca="1">_xludf.ifna(VLOOKUP(G189,Proyectos!$E$1:$N$4,10,0),"")</f>
        <v>#NAME?</v>
      </c>
      <c r="M188" s="32"/>
      <c r="N188" s="31"/>
      <c r="O188" s="31"/>
      <c r="P188" s="33"/>
      <c r="Q188" s="33"/>
    </row>
    <row r="189" spans="1:17" ht="16.5" customHeight="1" x14ac:dyDescent="0.2">
      <c r="A189" s="26" t="s">
        <v>4010</v>
      </c>
      <c r="B189" s="26" t="s">
        <v>4011</v>
      </c>
      <c r="C189" s="26" t="s">
        <v>64</v>
      </c>
      <c r="D189" s="26" t="s">
        <v>89</v>
      </c>
      <c r="E189" s="26" t="s">
        <v>114</v>
      </c>
      <c r="F189" s="28" t="e">
        <f ca="1">_xludf.ifna(VLOOKUP(G190,Proyectos!$E$1:$H$4,4,0),"")</f>
        <v>#NAME?</v>
      </c>
      <c r="G189" s="26" t="s">
        <v>5650</v>
      </c>
      <c r="H189" s="32">
        <v>0.03</v>
      </c>
      <c r="I189" s="31" t="s">
        <v>25</v>
      </c>
      <c r="J189" s="32"/>
      <c r="K189" s="32" t="str">
        <f t="shared" si="0"/>
        <v>Externo</v>
      </c>
      <c r="L189" s="32" t="e">
        <f ca="1">_xludf.ifna(VLOOKUP(G190,Proyectos!$E$1:$N$4,10,0),"")</f>
        <v>#NAME?</v>
      </c>
      <c r="M189" s="32"/>
      <c r="N189" s="31"/>
      <c r="O189" s="31"/>
      <c r="P189" s="33"/>
      <c r="Q189" s="33"/>
    </row>
    <row r="190" spans="1:17" ht="16.5" customHeight="1" x14ac:dyDescent="0.2">
      <c r="A190" s="26" t="s">
        <v>4010</v>
      </c>
      <c r="B190" s="26" t="s">
        <v>4011</v>
      </c>
      <c r="C190" s="26" t="s">
        <v>64</v>
      </c>
      <c r="D190" s="26" t="s">
        <v>89</v>
      </c>
      <c r="E190" s="26" t="s">
        <v>114</v>
      </c>
      <c r="F190" s="28" t="e">
        <f ca="1">_xludf.ifna(VLOOKUP(G191,Proyectos!$E$1:$H$4,4,0),"")</f>
        <v>#NAME?</v>
      </c>
      <c r="G190" s="26" t="s">
        <v>5651</v>
      </c>
      <c r="H190" s="32">
        <v>0.03</v>
      </c>
      <c r="I190" s="31" t="s">
        <v>25</v>
      </c>
      <c r="J190" s="32"/>
      <c r="K190" s="32" t="str">
        <f t="shared" si="0"/>
        <v>Externo</v>
      </c>
      <c r="L190" s="32" t="e">
        <f ca="1">_xludf.ifna(VLOOKUP(G191,Proyectos!$E$1:$N$4,10,0),"")</f>
        <v>#NAME?</v>
      </c>
      <c r="M190" s="32"/>
      <c r="N190" s="32"/>
      <c r="O190" s="31"/>
      <c r="P190" s="33"/>
      <c r="Q190" s="33"/>
    </row>
    <row r="191" spans="1:17" ht="16.5" customHeight="1" x14ac:dyDescent="0.2">
      <c r="A191" s="26" t="s">
        <v>4010</v>
      </c>
      <c r="B191" s="26" t="s">
        <v>4011</v>
      </c>
      <c r="C191" s="26" t="s">
        <v>64</v>
      </c>
      <c r="D191" s="26" t="s">
        <v>89</v>
      </c>
      <c r="E191" s="26" t="s">
        <v>114</v>
      </c>
      <c r="F191" s="28" t="e">
        <f ca="1">_xludf.ifna(VLOOKUP(G192,Proyectos!$E$1:$H$4,4,0),"")</f>
        <v>#NAME?</v>
      </c>
      <c r="G191" s="26" t="s">
        <v>5369</v>
      </c>
      <c r="H191" s="32">
        <v>0.03</v>
      </c>
      <c r="I191" s="31" t="s">
        <v>25</v>
      </c>
      <c r="J191" s="32"/>
      <c r="K191" s="32" t="str">
        <f t="shared" si="0"/>
        <v>Externo</v>
      </c>
      <c r="L191" s="32" t="e">
        <f ca="1">_xludf.ifna(VLOOKUP(G192,Proyectos!$E$1:$N$4,10,0),"")</f>
        <v>#NAME?</v>
      </c>
      <c r="M191" s="32"/>
      <c r="N191" s="32"/>
      <c r="O191" s="31"/>
      <c r="P191" s="33"/>
      <c r="Q191" s="33"/>
    </row>
    <row r="192" spans="1:17" ht="16.5" customHeight="1" x14ac:dyDescent="0.2">
      <c r="A192" s="26" t="s">
        <v>4010</v>
      </c>
      <c r="B192" s="26" t="s">
        <v>4011</v>
      </c>
      <c r="C192" s="26" t="s">
        <v>64</v>
      </c>
      <c r="D192" s="26" t="s">
        <v>89</v>
      </c>
      <c r="E192" s="26" t="s">
        <v>114</v>
      </c>
      <c r="F192" s="28" t="e">
        <f ca="1">_xludf.ifna(VLOOKUP(G193,Proyectos!$E$1:$H$4,4,0),"")</f>
        <v>#NAME?</v>
      </c>
      <c r="G192" s="26" t="s">
        <v>5130</v>
      </c>
      <c r="H192" s="32">
        <v>0.03</v>
      </c>
      <c r="I192" s="31" t="s">
        <v>25</v>
      </c>
      <c r="J192" s="32"/>
      <c r="K192" s="32" t="str">
        <f t="shared" si="0"/>
        <v>Externo</v>
      </c>
      <c r="L192" s="32" t="e">
        <f ca="1">_xludf.ifna(VLOOKUP(G193,Proyectos!$E$1:$N$4,10,0),"")</f>
        <v>#NAME?</v>
      </c>
      <c r="M192" s="32"/>
      <c r="N192" s="32"/>
      <c r="O192" s="31"/>
      <c r="P192" s="33"/>
      <c r="Q192" s="33"/>
    </row>
    <row r="193" spans="1:17" ht="16.5" customHeight="1" x14ac:dyDescent="0.2">
      <c r="A193" s="26" t="s">
        <v>4010</v>
      </c>
      <c r="B193" s="26" t="s">
        <v>4011</v>
      </c>
      <c r="C193" s="26" t="s">
        <v>64</v>
      </c>
      <c r="D193" s="26" t="s">
        <v>89</v>
      </c>
      <c r="E193" s="26" t="s">
        <v>114</v>
      </c>
      <c r="F193" s="28" t="e">
        <f ca="1">_xludf.ifna(VLOOKUP(G194,Proyectos!$E$1:$H$4,4,0),"")</f>
        <v>#NAME?</v>
      </c>
      <c r="G193" s="26" t="s">
        <v>5652</v>
      </c>
      <c r="H193" s="32">
        <v>0.03</v>
      </c>
      <c r="I193" s="31" t="s">
        <v>25</v>
      </c>
      <c r="J193" s="32"/>
      <c r="K193" s="32" t="str">
        <f t="shared" si="0"/>
        <v>Externo</v>
      </c>
      <c r="L193" s="32" t="e">
        <f ca="1">_xludf.ifna(VLOOKUP(G194,Proyectos!$E$1:$N$4,10,0),"")</f>
        <v>#NAME?</v>
      </c>
      <c r="M193" s="32"/>
      <c r="N193" s="32"/>
      <c r="O193" s="31"/>
      <c r="P193" s="33"/>
      <c r="Q193" s="33"/>
    </row>
    <row r="194" spans="1:17" ht="16.5" customHeight="1" x14ac:dyDescent="0.2">
      <c r="A194" s="26" t="s">
        <v>4010</v>
      </c>
      <c r="B194" s="26" t="s">
        <v>4011</v>
      </c>
      <c r="C194" s="26" t="s">
        <v>64</v>
      </c>
      <c r="D194" s="26" t="s">
        <v>92</v>
      </c>
      <c r="E194" s="26" t="s">
        <v>114</v>
      </c>
      <c r="F194" s="28" t="e">
        <f ca="1">_xludf.ifna(VLOOKUP(G195,Proyectos!$E$1:$H$4,4,0),"")</f>
        <v>#NAME?</v>
      </c>
      <c r="G194" s="26" t="s">
        <v>5314</v>
      </c>
      <c r="H194" s="32">
        <v>0.03</v>
      </c>
      <c r="I194" s="31" t="s">
        <v>25</v>
      </c>
      <c r="J194" s="32"/>
      <c r="K194" s="32" t="str">
        <f t="shared" si="0"/>
        <v>Externo</v>
      </c>
      <c r="L194" s="32" t="e">
        <f ca="1">_xludf.ifna(VLOOKUP(G195,Proyectos!$E$1:$N$4,10,0),"")</f>
        <v>#NAME?</v>
      </c>
      <c r="M194" s="32"/>
      <c r="N194" s="32"/>
      <c r="O194" s="31"/>
      <c r="P194" s="33"/>
      <c r="Q194" s="33"/>
    </row>
    <row r="195" spans="1:17" ht="16.5" customHeight="1" x14ac:dyDescent="0.2">
      <c r="A195" s="26" t="s">
        <v>4010</v>
      </c>
      <c r="B195" s="26" t="s">
        <v>4011</v>
      </c>
      <c r="C195" s="26" t="s">
        <v>64</v>
      </c>
      <c r="D195" s="26" t="s">
        <v>92</v>
      </c>
      <c r="E195" s="26" t="s">
        <v>114</v>
      </c>
      <c r="F195" s="28" t="e">
        <f ca="1">_xludf.ifna(VLOOKUP(G196,Proyectos!$E$1:$H$4,4,0),"")</f>
        <v>#NAME?</v>
      </c>
      <c r="G195" s="26" t="s">
        <v>5653</v>
      </c>
      <c r="H195" s="32">
        <v>0.03</v>
      </c>
      <c r="I195" s="31" t="s">
        <v>25</v>
      </c>
      <c r="J195" s="32"/>
      <c r="K195" s="32" t="str">
        <f t="shared" si="0"/>
        <v>Externo</v>
      </c>
      <c r="L195" s="32" t="e">
        <f ca="1">_xludf.ifna(VLOOKUP(G196,Proyectos!$E$1:$N$4,10,0),"")</f>
        <v>#NAME?</v>
      </c>
      <c r="M195" s="32"/>
      <c r="N195" s="32"/>
      <c r="O195" s="31"/>
      <c r="P195" s="33"/>
      <c r="Q195" s="33"/>
    </row>
    <row r="196" spans="1:17" ht="16.5" customHeight="1" x14ac:dyDescent="0.2">
      <c r="A196" s="26" t="s">
        <v>4010</v>
      </c>
      <c r="B196" s="26" t="s">
        <v>4011</v>
      </c>
      <c r="C196" s="26" t="s">
        <v>64</v>
      </c>
      <c r="D196" s="26" t="s">
        <v>92</v>
      </c>
      <c r="E196" s="26" t="s">
        <v>114</v>
      </c>
      <c r="F196" s="28" t="e">
        <f ca="1">_xludf.ifna(VLOOKUP(G197,Proyectos!$E$1:$H$4,4,0),"")</f>
        <v>#NAME?</v>
      </c>
      <c r="G196" s="26" t="s">
        <v>5479</v>
      </c>
      <c r="H196" s="32">
        <v>0.03</v>
      </c>
      <c r="I196" s="31" t="s">
        <v>25</v>
      </c>
      <c r="J196" s="32"/>
      <c r="K196" s="32" t="str">
        <f t="shared" si="0"/>
        <v>Externo</v>
      </c>
      <c r="L196" s="32" t="e">
        <f ca="1">_xludf.ifna(VLOOKUP(G197,Proyectos!$E$1:$N$4,10,0),"")</f>
        <v>#NAME?</v>
      </c>
      <c r="M196" s="32"/>
      <c r="N196" s="32"/>
      <c r="O196" s="31"/>
      <c r="P196" s="33"/>
      <c r="Q196" s="33"/>
    </row>
    <row r="197" spans="1:17" ht="16.5" customHeight="1" x14ac:dyDescent="0.2">
      <c r="A197" s="26" t="s">
        <v>4010</v>
      </c>
      <c r="B197" s="26" t="s">
        <v>4011</v>
      </c>
      <c r="C197" s="26" t="s">
        <v>64</v>
      </c>
      <c r="D197" s="26" t="s">
        <v>92</v>
      </c>
      <c r="E197" s="26" t="s">
        <v>114</v>
      </c>
      <c r="F197" s="28" t="e">
        <f ca="1">_xludf.ifna(VLOOKUP(G198,Proyectos!$E$1:$H$4,4,0),"")</f>
        <v>#NAME?</v>
      </c>
      <c r="G197" s="26" t="s">
        <v>5217</v>
      </c>
      <c r="H197" s="32">
        <v>0.03</v>
      </c>
      <c r="I197" s="31" t="s">
        <v>25</v>
      </c>
      <c r="J197" s="32"/>
      <c r="K197" s="32" t="str">
        <f t="shared" si="0"/>
        <v>Externo</v>
      </c>
      <c r="L197" s="32" t="e">
        <f ca="1">_xludf.ifna(VLOOKUP(G198,Proyectos!$E$1:$N$4,10,0),"")</f>
        <v>#NAME?</v>
      </c>
      <c r="M197" s="32"/>
      <c r="N197" s="32"/>
      <c r="O197" s="31"/>
      <c r="P197" s="33"/>
      <c r="Q197" s="33"/>
    </row>
    <row r="198" spans="1:17" ht="16.5" customHeight="1" x14ac:dyDescent="0.2">
      <c r="A198" s="26" t="s">
        <v>4010</v>
      </c>
      <c r="B198" s="26" t="s">
        <v>4011</v>
      </c>
      <c r="C198" s="26" t="s">
        <v>64</v>
      </c>
      <c r="D198" s="26" t="s">
        <v>92</v>
      </c>
      <c r="E198" s="26" t="s">
        <v>114</v>
      </c>
      <c r="F198" s="28" t="e">
        <f ca="1">_xludf.ifna(VLOOKUP(G199,Proyectos!$E$1:$H$4,4,0),"")</f>
        <v>#NAME?</v>
      </c>
      <c r="G198" s="26" t="s">
        <v>5282</v>
      </c>
      <c r="H198" s="32">
        <v>0.03</v>
      </c>
      <c r="I198" s="31" t="s">
        <v>25</v>
      </c>
      <c r="J198" s="32"/>
      <c r="K198" s="32" t="str">
        <f t="shared" si="0"/>
        <v>Externo</v>
      </c>
      <c r="L198" s="32" t="e">
        <f ca="1">_xludf.ifna(VLOOKUP(G199,Proyectos!$E$1:$N$4,10,0),"")</f>
        <v>#NAME?</v>
      </c>
      <c r="M198" s="32"/>
      <c r="N198" s="32"/>
      <c r="O198" s="31"/>
      <c r="P198" s="33"/>
      <c r="Q198" s="33"/>
    </row>
    <row r="199" spans="1:17" ht="16.5" customHeight="1" x14ac:dyDescent="0.2">
      <c r="A199" s="26" t="s">
        <v>4010</v>
      </c>
      <c r="B199" s="26" t="s">
        <v>4011</v>
      </c>
      <c r="C199" s="26" t="s">
        <v>64</v>
      </c>
      <c r="D199" s="26" t="s">
        <v>92</v>
      </c>
      <c r="E199" s="26" t="s">
        <v>114</v>
      </c>
      <c r="F199" s="28" t="e">
        <f ca="1">_xludf.ifna(VLOOKUP(G200,Proyectos!$E$1:$H$4,4,0),"")</f>
        <v>#NAME?</v>
      </c>
      <c r="G199" s="26" t="s">
        <v>5235</v>
      </c>
      <c r="H199" s="32">
        <v>0.03</v>
      </c>
      <c r="I199" s="31" t="s">
        <v>25</v>
      </c>
      <c r="J199" s="32"/>
      <c r="K199" s="32" t="str">
        <f t="shared" si="0"/>
        <v>Externo</v>
      </c>
      <c r="L199" s="32" t="e">
        <f ca="1">_xludf.ifna(VLOOKUP(G200,Proyectos!$E$1:$N$4,10,0),"")</f>
        <v>#NAME?</v>
      </c>
      <c r="M199" s="32"/>
      <c r="N199" s="32"/>
      <c r="O199" s="31"/>
      <c r="P199" s="33"/>
      <c r="Q199" s="33"/>
    </row>
    <row r="200" spans="1:17" ht="16.5" customHeight="1" x14ac:dyDescent="0.2">
      <c r="A200" s="26" t="s">
        <v>5041</v>
      </c>
      <c r="B200" s="26" t="s">
        <v>5042</v>
      </c>
      <c r="C200" s="26" t="s">
        <v>64</v>
      </c>
      <c r="D200" s="26" t="s">
        <v>95</v>
      </c>
      <c r="E200" s="26" t="s">
        <v>126</v>
      </c>
      <c r="F200" s="28" t="e">
        <f ca="1">_xludf.ifna(VLOOKUP(G201,Proyectos!$E$1:$H$4,4,0),"")</f>
        <v>#NAME?</v>
      </c>
      <c r="G200" s="26" t="s">
        <v>5363</v>
      </c>
      <c r="H200" s="32">
        <v>1</v>
      </c>
      <c r="I200" s="31" t="s">
        <v>18</v>
      </c>
      <c r="J200" s="32"/>
      <c r="K200" s="32" t="str">
        <f t="shared" si="0"/>
        <v>Externo</v>
      </c>
      <c r="L200" s="32" t="e">
        <f ca="1">_xludf.ifna(VLOOKUP(G201,Proyectos!$E$1:$N$4,10,0),"")</f>
        <v>#NAME?</v>
      </c>
      <c r="M200" s="32"/>
      <c r="N200" s="32"/>
      <c r="O200" s="31"/>
      <c r="P200" s="33"/>
      <c r="Q200" s="33"/>
    </row>
    <row r="201" spans="1:17" ht="16.5" customHeight="1" x14ac:dyDescent="0.2">
      <c r="A201" s="26" t="s">
        <v>4829</v>
      </c>
      <c r="B201" s="26" t="s">
        <v>4830</v>
      </c>
      <c r="C201" s="26" t="s">
        <v>115</v>
      </c>
      <c r="D201" s="26" t="s">
        <v>116</v>
      </c>
      <c r="E201" s="26" t="s">
        <v>83</v>
      </c>
      <c r="F201" s="28" t="e">
        <f ca="1">_xludf.ifna(VLOOKUP(G202,Proyectos!$E$1:$H$4,4,0),"")</f>
        <v>#NAME?</v>
      </c>
      <c r="G201" s="26" t="s">
        <v>5472</v>
      </c>
      <c r="H201" s="32">
        <v>0.5</v>
      </c>
      <c r="I201" s="31" t="s">
        <v>25</v>
      </c>
      <c r="J201" s="32"/>
      <c r="K201" s="32" t="str">
        <f t="shared" si="0"/>
        <v>Externo</v>
      </c>
      <c r="L201" s="32" t="e">
        <f ca="1">_xludf.ifna(VLOOKUP(G202,Proyectos!$E$1:$N$4,10,0),"")</f>
        <v>#NAME?</v>
      </c>
      <c r="M201" s="32"/>
      <c r="N201" s="31"/>
      <c r="O201" s="31"/>
      <c r="P201" s="33"/>
      <c r="Q201" s="33"/>
    </row>
    <row r="202" spans="1:17" ht="16.5" customHeight="1" x14ac:dyDescent="0.2">
      <c r="A202" s="26" t="s">
        <v>3708</v>
      </c>
      <c r="B202" s="26" t="s">
        <v>3709</v>
      </c>
      <c r="C202" s="26" t="s">
        <v>98</v>
      </c>
      <c r="D202" s="26" t="s">
        <v>107</v>
      </c>
      <c r="E202" s="26" t="s">
        <v>39</v>
      </c>
      <c r="F202" s="28" t="e">
        <f ca="1">_xludf.ifna(VLOOKUP(G203,Proyectos!$E$1:$H$4,4,0),"")</f>
        <v>#NAME?</v>
      </c>
      <c r="G202" s="26" t="s">
        <v>5329</v>
      </c>
      <c r="H202" s="32">
        <v>1</v>
      </c>
      <c r="I202" s="31" t="s">
        <v>18</v>
      </c>
      <c r="J202" s="32"/>
      <c r="K202" s="32" t="str">
        <f t="shared" si="0"/>
        <v>Interno</v>
      </c>
      <c r="L202" s="32" t="e">
        <f ca="1">_xludf.ifna(VLOOKUP(G203,Proyectos!$E$1:$N$4,10,0),"")</f>
        <v>#NAME?</v>
      </c>
      <c r="M202" s="32"/>
      <c r="N202" s="32"/>
      <c r="O202" s="31"/>
      <c r="P202" s="33"/>
      <c r="Q202" s="33"/>
    </row>
    <row r="203" spans="1:17" ht="16.5" customHeight="1" x14ac:dyDescent="0.2">
      <c r="A203" s="26" t="s">
        <v>3924</v>
      </c>
      <c r="B203" s="26" t="s">
        <v>3925</v>
      </c>
      <c r="C203" s="26" t="s">
        <v>98</v>
      </c>
      <c r="D203" s="26" t="s">
        <v>107</v>
      </c>
      <c r="E203" s="26" t="s">
        <v>87</v>
      </c>
      <c r="F203" s="28" t="e">
        <f ca="1">_xludf.ifna(VLOOKUP(G204,Proyectos!$E$1:$H$4,4,0),"")</f>
        <v>#NAME?</v>
      </c>
      <c r="G203" s="26" t="s">
        <v>5597</v>
      </c>
      <c r="H203" s="32">
        <v>1</v>
      </c>
      <c r="I203" s="31" t="s">
        <v>18</v>
      </c>
      <c r="J203" s="32"/>
      <c r="K203" s="32" t="str">
        <f t="shared" si="0"/>
        <v>Externo</v>
      </c>
      <c r="L203" s="32" t="e">
        <f ca="1">_xludf.ifna(VLOOKUP(G204,Proyectos!$E$1:$N$4,10,0),"")</f>
        <v>#NAME?</v>
      </c>
      <c r="M203" s="32"/>
      <c r="N203" s="32"/>
      <c r="O203" s="31"/>
      <c r="P203" s="33"/>
      <c r="Q203" s="33"/>
    </row>
    <row r="204" spans="1:17" ht="16.5" customHeight="1" x14ac:dyDescent="0.2">
      <c r="A204" s="26" t="s">
        <v>3406</v>
      </c>
      <c r="B204" s="26" t="s">
        <v>3407</v>
      </c>
      <c r="C204" s="26" t="s">
        <v>37</v>
      </c>
      <c r="D204" s="26" t="s">
        <v>45</v>
      </c>
      <c r="E204" s="26" t="s">
        <v>39</v>
      </c>
      <c r="F204" s="28" t="e">
        <f ca="1">_xludf.ifna(VLOOKUP(G205,Proyectos!$E$1:$H$4,4,0),"")</f>
        <v>#NAME?</v>
      </c>
      <c r="G204" s="26" t="s">
        <v>5151</v>
      </c>
      <c r="H204" s="32">
        <v>0.25</v>
      </c>
      <c r="I204" s="31" t="s">
        <v>18</v>
      </c>
      <c r="J204" s="32"/>
      <c r="K204" s="32" t="str">
        <f t="shared" si="0"/>
        <v>Interno</v>
      </c>
      <c r="L204" s="32" t="e">
        <f ca="1">_xludf.ifna(VLOOKUP(G205,Proyectos!$E$1:$N$4,10,0),"")</f>
        <v>#NAME?</v>
      </c>
      <c r="M204" s="32"/>
      <c r="N204" s="31"/>
      <c r="O204" s="31"/>
      <c r="P204" s="33"/>
      <c r="Q204" s="33"/>
    </row>
    <row r="205" spans="1:17" ht="16.5" customHeight="1" x14ac:dyDescent="0.2">
      <c r="A205" s="26" t="s">
        <v>3406</v>
      </c>
      <c r="B205" s="26" t="s">
        <v>3407</v>
      </c>
      <c r="C205" s="26" t="s">
        <v>37</v>
      </c>
      <c r="D205" s="26" t="s">
        <v>45</v>
      </c>
      <c r="E205" s="26" t="s">
        <v>39</v>
      </c>
      <c r="F205" s="28" t="e">
        <f ca="1">_xludf.ifna(VLOOKUP(G206,Proyectos!$E$1:$H$4,4,0),"")</f>
        <v>#NAME?</v>
      </c>
      <c r="G205" s="26" t="s">
        <v>5198</v>
      </c>
      <c r="H205" s="32">
        <v>0.5</v>
      </c>
      <c r="I205" s="31" t="s">
        <v>18</v>
      </c>
      <c r="J205" s="32"/>
      <c r="K205" s="32" t="str">
        <f t="shared" si="0"/>
        <v>Interno</v>
      </c>
      <c r="L205" s="32" t="e">
        <f ca="1">_xludf.ifna(VLOOKUP(G206,Proyectos!$E$1:$N$4,10,0),"")</f>
        <v>#NAME?</v>
      </c>
      <c r="M205" s="32"/>
      <c r="N205" s="31"/>
      <c r="O205" s="31"/>
      <c r="P205" s="33"/>
      <c r="Q205" s="33"/>
    </row>
    <row r="206" spans="1:17" ht="16.5" customHeight="1" x14ac:dyDescent="0.2">
      <c r="A206" s="26" t="s">
        <v>3406</v>
      </c>
      <c r="B206" s="26" t="s">
        <v>3407</v>
      </c>
      <c r="C206" s="26" t="s">
        <v>37</v>
      </c>
      <c r="D206" s="26" t="s">
        <v>45</v>
      </c>
      <c r="E206" s="26" t="s">
        <v>39</v>
      </c>
      <c r="F206" s="28" t="e">
        <f ca="1">_xludf.ifna(VLOOKUP(G207,Proyectos!$E$1:$H$4,4,0),"")</f>
        <v>#NAME?</v>
      </c>
      <c r="G206" s="26" t="s">
        <v>5221</v>
      </c>
      <c r="H206" s="32">
        <v>0.25</v>
      </c>
      <c r="I206" s="31" t="s">
        <v>18</v>
      </c>
      <c r="J206" s="32"/>
      <c r="K206" s="32" t="str">
        <f t="shared" si="0"/>
        <v>Interno</v>
      </c>
      <c r="L206" s="32" t="e">
        <f ca="1">_xludf.ifna(VLOOKUP(G207,Proyectos!$E$1:$N$4,10,0),"")</f>
        <v>#NAME?</v>
      </c>
      <c r="M206" s="32"/>
      <c r="N206" s="31"/>
      <c r="O206" s="31"/>
      <c r="P206" s="33"/>
      <c r="Q206" s="33"/>
    </row>
    <row r="207" spans="1:17" ht="16.5" customHeight="1" x14ac:dyDescent="0.2">
      <c r="A207" s="26" t="s">
        <v>3337</v>
      </c>
      <c r="B207" s="26" t="s">
        <v>3338</v>
      </c>
      <c r="C207" s="53" t="s">
        <v>64</v>
      </c>
      <c r="D207" s="26" t="s">
        <v>92</v>
      </c>
      <c r="E207" s="26" t="s">
        <v>39</v>
      </c>
      <c r="F207" s="28" t="e">
        <f ca="1">_xludf.ifna(VLOOKUP(G208,Proyectos!$E$1:$H$4,4,0),"")</f>
        <v>#NAME?</v>
      </c>
      <c r="G207" s="26" t="s">
        <v>5597</v>
      </c>
      <c r="H207" s="32">
        <v>0.25</v>
      </c>
      <c r="I207" s="31" t="s">
        <v>11</v>
      </c>
      <c r="J207" s="32"/>
      <c r="K207" s="32" t="str">
        <f t="shared" si="0"/>
        <v>Interno</v>
      </c>
      <c r="L207" s="32" t="e">
        <f ca="1">_xludf.ifna(VLOOKUP(G208,Proyectos!$E$1:$N$4,10,0),"")</f>
        <v>#NAME?</v>
      </c>
      <c r="M207" s="32"/>
      <c r="N207" s="31"/>
      <c r="O207" s="31"/>
      <c r="P207" s="33"/>
      <c r="Q207" s="33"/>
    </row>
    <row r="208" spans="1:17" ht="16.5" customHeight="1" x14ac:dyDescent="0.2">
      <c r="A208" s="26" t="s">
        <v>3337</v>
      </c>
      <c r="B208" s="26" t="s">
        <v>3338</v>
      </c>
      <c r="C208" s="53" t="s">
        <v>64</v>
      </c>
      <c r="D208" s="26" t="s">
        <v>92</v>
      </c>
      <c r="E208" s="26" t="s">
        <v>39</v>
      </c>
      <c r="F208" s="28" t="e">
        <f ca="1">_xludf.ifna(VLOOKUP(G209,Proyectos!$E$1:$H$4,4,0),"")</f>
        <v>#NAME?</v>
      </c>
      <c r="G208" s="26" t="s">
        <v>5652</v>
      </c>
      <c r="H208" s="32">
        <v>0.25</v>
      </c>
      <c r="I208" s="31" t="s">
        <v>11</v>
      </c>
      <c r="J208" s="32"/>
      <c r="K208" s="32" t="str">
        <f t="shared" si="0"/>
        <v>Interno</v>
      </c>
      <c r="L208" s="32" t="e">
        <f ca="1">_xludf.ifna(VLOOKUP(G209,Proyectos!$E$1:$N$4,10,0),"")</f>
        <v>#NAME?</v>
      </c>
      <c r="M208" s="32"/>
      <c r="N208" s="32"/>
      <c r="O208" s="31"/>
      <c r="P208" s="33"/>
      <c r="Q208" s="33"/>
    </row>
    <row r="209" spans="1:17" ht="16.5" customHeight="1" x14ac:dyDescent="0.2">
      <c r="A209" s="26" t="s">
        <v>3337</v>
      </c>
      <c r="B209" s="26" t="s">
        <v>3338</v>
      </c>
      <c r="C209" s="53" t="s">
        <v>64</v>
      </c>
      <c r="D209" s="26" t="s">
        <v>92</v>
      </c>
      <c r="E209" s="26" t="s">
        <v>39</v>
      </c>
      <c r="F209" s="28" t="e">
        <f ca="1">_xludf.ifna(VLOOKUP(G210,Proyectos!$E$1:$H$4,4,0),"")</f>
        <v>#NAME?</v>
      </c>
      <c r="G209" s="26" t="s">
        <v>5479</v>
      </c>
      <c r="H209" s="32">
        <v>0.25</v>
      </c>
      <c r="I209" s="31" t="s">
        <v>11</v>
      </c>
      <c r="J209" s="32"/>
      <c r="K209" s="32" t="str">
        <f t="shared" si="0"/>
        <v>Interno</v>
      </c>
      <c r="L209" s="32" t="e">
        <f ca="1">_xludf.ifna(VLOOKUP(G210,Proyectos!$E$1:$N$4,10,0),"")</f>
        <v>#NAME?</v>
      </c>
      <c r="M209" s="32"/>
      <c r="N209" s="32"/>
      <c r="O209" s="31"/>
      <c r="P209" s="33"/>
      <c r="Q209" s="33"/>
    </row>
    <row r="210" spans="1:17" ht="16.5" customHeight="1" x14ac:dyDescent="0.2">
      <c r="A210" s="26" t="s">
        <v>3337</v>
      </c>
      <c r="B210" s="26" t="s">
        <v>3338</v>
      </c>
      <c r="C210" s="53" t="s">
        <v>64</v>
      </c>
      <c r="D210" s="26" t="s">
        <v>92</v>
      </c>
      <c r="E210" s="26" t="s">
        <v>39</v>
      </c>
      <c r="F210" s="28" t="e">
        <f ca="1">_xludf.ifna(VLOOKUP(G211,Proyectos!$E$1:$H$4,4,0),"")</f>
        <v>#NAME?</v>
      </c>
      <c r="G210" s="26" t="s">
        <v>5282</v>
      </c>
      <c r="H210" s="32">
        <v>0.25</v>
      </c>
      <c r="I210" s="31" t="s">
        <v>11</v>
      </c>
      <c r="J210" s="32"/>
      <c r="K210" s="32" t="str">
        <f t="shared" si="0"/>
        <v>Interno</v>
      </c>
      <c r="L210" s="32" t="e">
        <f ca="1">_xludf.ifna(VLOOKUP(G211,Proyectos!$E$1:$N$4,10,0),"")</f>
        <v>#NAME?</v>
      </c>
      <c r="M210" s="32"/>
      <c r="N210" s="32"/>
      <c r="O210" s="31"/>
      <c r="P210" s="33"/>
      <c r="Q210" s="33"/>
    </row>
    <row r="211" spans="1:17" ht="16.5" customHeight="1" x14ac:dyDescent="0.2">
      <c r="A211" s="26" t="s">
        <v>3431</v>
      </c>
      <c r="B211" s="26" t="s">
        <v>3432</v>
      </c>
      <c r="C211" s="26" t="s">
        <v>37</v>
      </c>
      <c r="D211" s="26" t="s">
        <v>38</v>
      </c>
      <c r="E211" s="26" t="s">
        <v>39</v>
      </c>
      <c r="F211" s="28" t="e">
        <f ca="1">_xludf.ifna(VLOOKUP(G212,Proyectos!$E$1:$H$4,4,0),"")</f>
        <v>#NAME?</v>
      </c>
      <c r="G211" s="26" t="s">
        <v>5336</v>
      </c>
      <c r="H211" s="32">
        <v>0.75</v>
      </c>
      <c r="I211" s="31" t="s">
        <v>18</v>
      </c>
      <c r="J211" s="32"/>
      <c r="K211" s="32" t="str">
        <f t="shared" si="0"/>
        <v>Interno</v>
      </c>
      <c r="L211" s="32" t="e">
        <f ca="1">_xludf.ifna(VLOOKUP(G212,Proyectos!$E$1:$N$4,10,0),"")</f>
        <v>#NAME?</v>
      </c>
      <c r="M211" s="32"/>
      <c r="N211" s="31"/>
      <c r="O211" s="31"/>
      <c r="P211" s="33"/>
      <c r="Q211" s="33"/>
    </row>
    <row r="212" spans="1:17" ht="16.5" customHeight="1" x14ac:dyDescent="0.2">
      <c r="A212" s="26" t="s">
        <v>3431</v>
      </c>
      <c r="B212" s="26" t="s">
        <v>3432</v>
      </c>
      <c r="C212" s="26" t="s">
        <v>37</v>
      </c>
      <c r="D212" s="26" t="s">
        <v>38</v>
      </c>
      <c r="E212" s="26" t="s">
        <v>39</v>
      </c>
      <c r="F212" s="28" t="e">
        <f ca="1">_xludf.ifna(VLOOKUP(G213,Proyectos!$E$1:$H$4,4,0),"")</f>
        <v>#NAME?</v>
      </c>
      <c r="G212" s="26" t="s">
        <v>5337</v>
      </c>
      <c r="H212" s="32">
        <v>0.25</v>
      </c>
      <c r="I212" s="31" t="s">
        <v>18</v>
      </c>
      <c r="J212" s="32"/>
      <c r="K212" s="32" t="str">
        <f t="shared" si="0"/>
        <v>Interno</v>
      </c>
      <c r="L212" s="32" t="e">
        <f ca="1">_xludf.ifna(VLOOKUP(G213,Proyectos!$E$1:$N$4,10,0),"")</f>
        <v>#NAME?</v>
      </c>
      <c r="M212" s="32"/>
      <c r="N212" s="31"/>
      <c r="O212" s="31"/>
      <c r="P212" s="33"/>
      <c r="Q212" s="33"/>
    </row>
    <row r="213" spans="1:17" ht="16.5" customHeight="1" x14ac:dyDescent="0.2">
      <c r="A213" s="26" t="s">
        <v>3386</v>
      </c>
      <c r="B213" s="26" t="s">
        <v>3387</v>
      </c>
      <c r="C213" s="26" t="s">
        <v>37</v>
      </c>
      <c r="D213" s="26" t="s">
        <v>38</v>
      </c>
      <c r="E213" s="26" t="s">
        <v>39</v>
      </c>
      <c r="F213" s="28" t="e">
        <f ca="1">_xludf.ifna(VLOOKUP(G214,Proyectos!$E$1:$H$4,4,0),"")</f>
        <v>#NAME?</v>
      </c>
      <c r="G213" s="26" t="s">
        <v>5597</v>
      </c>
      <c r="H213" s="32">
        <v>1</v>
      </c>
      <c r="I213" s="31" t="s">
        <v>11</v>
      </c>
      <c r="J213" s="43" t="s">
        <v>5654</v>
      </c>
      <c r="K213" s="32" t="str">
        <f t="shared" si="0"/>
        <v>Interno</v>
      </c>
      <c r="L213" s="32" t="e">
        <f ca="1">_xludf.ifna(VLOOKUP(G214,Proyectos!$E$1:$N$4,10,0),"")</f>
        <v>#NAME?</v>
      </c>
      <c r="M213" s="32"/>
      <c r="N213" s="31"/>
      <c r="O213" s="31"/>
      <c r="P213" s="33"/>
      <c r="Q213" s="33"/>
    </row>
    <row r="214" spans="1:17" ht="16.5" customHeight="1" x14ac:dyDescent="0.2">
      <c r="A214" s="26" t="s">
        <v>4695</v>
      </c>
      <c r="B214" s="26" t="s">
        <v>4696</v>
      </c>
      <c r="C214" s="26" t="s">
        <v>115</v>
      </c>
      <c r="D214" s="26" t="s">
        <v>116</v>
      </c>
      <c r="E214" s="26" t="s">
        <v>39</v>
      </c>
      <c r="F214" s="28" t="e">
        <f ca="1">_xludf.ifna(VLOOKUP(G215,Proyectos!$E$1:$H$4,4,0),"")</f>
        <v>#NAME?</v>
      </c>
      <c r="G214" s="26" t="s">
        <v>5472</v>
      </c>
      <c r="H214" s="32">
        <v>0.1</v>
      </c>
      <c r="I214" s="31" t="s">
        <v>11</v>
      </c>
      <c r="J214" s="32"/>
      <c r="K214" s="32" t="str">
        <f t="shared" si="0"/>
        <v>Interno</v>
      </c>
      <c r="L214" s="32" t="e">
        <f ca="1">_xludf.ifna(VLOOKUP(G215,Proyectos!$E$1:$N$4,10,0),"")</f>
        <v>#NAME?</v>
      </c>
      <c r="M214" s="32"/>
      <c r="N214" s="31"/>
      <c r="O214" s="31"/>
      <c r="P214" s="33"/>
      <c r="Q214" s="33"/>
    </row>
    <row r="215" spans="1:17" ht="16.5" customHeight="1" x14ac:dyDescent="0.2">
      <c r="A215" s="26" t="s">
        <v>4695</v>
      </c>
      <c r="B215" s="26" t="s">
        <v>4696</v>
      </c>
      <c r="C215" s="26" t="s">
        <v>115</v>
      </c>
      <c r="D215" s="26" t="s">
        <v>116</v>
      </c>
      <c r="E215" s="26" t="s">
        <v>39</v>
      </c>
      <c r="F215" s="28" t="e">
        <f ca="1">_xludf.ifna(VLOOKUP(G216,Proyectos!$E$1:$H$4,4,0),"")</f>
        <v>#NAME?</v>
      </c>
      <c r="G215" s="26" t="s">
        <v>5112</v>
      </c>
      <c r="H215" s="32">
        <v>0.05</v>
      </c>
      <c r="I215" s="31" t="s">
        <v>11</v>
      </c>
      <c r="J215" s="32"/>
      <c r="K215" s="32" t="str">
        <f t="shared" si="0"/>
        <v>Interno</v>
      </c>
      <c r="L215" s="32" t="e">
        <f ca="1">_xludf.ifna(VLOOKUP(G216,Proyectos!$E$1:$N$4,10,0),"")</f>
        <v>#NAME?</v>
      </c>
      <c r="M215" s="32"/>
      <c r="N215" s="32"/>
      <c r="O215" s="31"/>
      <c r="P215" s="33"/>
      <c r="Q215" s="33"/>
    </row>
    <row r="216" spans="1:17" ht="16.5" customHeight="1" x14ac:dyDescent="0.2">
      <c r="A216" s="26" t="s">
        <v>4695</v>
      </c>
      <c r="B216" s="26" t="s">
        <v>4696</v>
      </c>
      <c r="C216" s="26" t="s">
        <v>115</v>
      </c>
      <c r="D216" s="26" t="s">
        <v>116</v>
      </c>
      <c r="E216" s="26" t="s">
        <v>39</v>
      </c>
      <c r="F216" s="28" t="e">
        <f ca="1">_xludf.ifna(VLOOKUP(G217,Proyectos!$E$1:$H$4,4,0),"")</f>
        <v>#NAME?</v>
      </c>
      <c r="G216" s="26" t="s">
        <v>5597</v>
      </c>
      <c r="H216" s="32">
        <v>0.1</v>
      </c>
      <c r="I216" s="31" t="s">
        <v>11</v>
      </c>
      <c r="J216" s="32"/>
      <c r="K216" s="32" t="str">
        <f t="shared" si="0"/>
        <v>Interno</v>
      </c>
      <c r="L216" s="32" t="e">
        <f ca="1">_xludf.ifna(VLOOKUP(G217,Proyectos!$E$1:$N$4,10,0),"")</f>
        <v>#NAME?</v>
      </c>
      <c r="M216" s="32"/>
      <c r="N216" s="31"/>
      <c r="O216" s="31"/>
      <c r="P216" s="33"/>
      <c r="Q216" s="33"/>
    </row>
    <row r="217" spans="1:17" ht="16.5" customHeight="1" x14ac:dyDescent="0.2">
      <c r="A217" s="26" t="s">
        <v>4695</v>
      </c>
      <c r="B217" s="26" t="s">
        <v>4696</v>
      </c>
      <c r="C217" s="26" t="s">
        <v>115</v>
      </c>
      <c r="D217" s="26" t="s">
        <v>116</v>
      </c>
      <c r="E217" s="26" t="s">
        <v>39</v>
      </c>
      <c r="F217" s="28" t="e">
        <f ca="1">_xludf.ifna(VLOOKUP(G218,Proyectos!$E$1:$H$4,4,0),"")</f>
        <v>#NAME?</v>
      </c>
      <c r="G217" s="26" t="s">
        <v>5117</v>
      </c>
      <c r="H217" s="32">
        <v>0.05</v>
      </c>
      <c r="I217" s="31" t="s">
        <v>11</v>
      </c>
      <c r="J217" s="32"/>
      <c r="K217" s="32" t="str">
        <f t="shared" si="0"/>
        <v>Interno</v>
      </c>
      <c r="L217" s="32" t="e">
        <f ca="1">_xludf.ifna(VLOOKUP(G218,Proyectos!$E$1:$N$4,10,0),"")</f>
        <v>#NAME?</v>
      </c>
      <c r="M217" s="32"/>
      <c r="N217" s="32"/>
      <c r="O217" s="31"/>
      <c r="P217" s="33"/>
      <c r="Q217" s="33"/>
    </row>
    <row r="218" spans="1:17" ht="16.5" customHeight="1" x14ac:dyDescent="0.2">
      <c r="A218" s="26" t="s">
        <v>4695</v>
      </c>
      <c r="B218" s="26" t="s">
        <v>4696</v>
      </c>
      <c r="C218" s="26" t="s">
        <v>115</v>
      </c>
      <c r="D218" s="26" t="s">
        <v>116</v>
      </c>
      <c r="E218" s="26" t="s">
        <v>39</v>
      </c>
      <c r="F218" s="28" t="e">
        <f ca="1">_xludf.ifna(VLOOKUP(G219,Proyectos!$E$1:$H$4,4,0),"")</f>
        <v>#NAME?</v>
      </c>
      <c r="G218" s="26" t="s">
        <v>5468</v>
      </c>
      <c r="H218" s="32">
        <v>0.15</v>
      </c>
      <c r="I218" s="31" t="s">
        <v>11</v>
      </c>
      <c r="J218" s="32"/>
      <c r="K218" s="32" t="str">
        <f t="shared" si="0"/>
        <v>Interno</v>
      </c>
      <c r="L218" s="32" t="e">
        <f ca="1">_xludf.ifna(VLOOKUP(G219,Proyectos!$E$1:$N$4,10,0),"")</f>
        <v>#NAME?</v>
      </c>
      <c r="M218" s="32"/>
      <c r="N218" s="32"/>
      <c r="O218" s="31"/>
      <c r="P218" s="33"/>
      <c r="Q218" s="33"/>
    </row>
    <row r="219" spans="1:17" ht="16.5" customHeight="1" x14ac:dyDescent="0.2">
      <c r="A219" s="26" t="s">
        <v>4695</v>
      </c>
      <c r="B219" s="26" t="s">
        <v>4696</v>
      </c>
      <c r="C219" s="26" t="s">
        <v>115</v>
      </c>
      <c r="D219" s="26" t="s">
        <v>116</v>
      </c>
      <c r="E219" s="26" t="s">
        <v>39</v>
      </c>
      <c r="F219" s="28" t="e">
        <f ca="1">_xludf.ifna(VLOOKUP(G220,Proyectos!$E$1:$H$4,4,0),"")</f>
        <v>#NAME?</v>
      </c>
      <c r="G219" s="26" t="s">
        <v>5473</v>
      </c>
      <c r="H219" s="32">
        <v>0.05</v>
      </c>
      <c r="I219" s="31" t="s">
        <v>11</v>
      </c>
      <c r="J219" s="32"/>
      <c r="K219" s="32" t="str">
        <f t="shared" si="0"/>
        <v>Interno</v>
      </c>
      <c r="L219" s="32" t="e">
        <f ca="1">_xludf.ifna(VLOOKUP(G220,Proyectos!$E$1:$N$4,10,0),"")</f>
        <v>#NAME?</v>
      </c>
      <c r="M219" s="32"/>
      <c r="N219" s="31"/>
      <c r="O219" s="31"/>
      <c r="P219" s="33"/>
      <c r="Q219" s="33"/>
    </row>
    <row r="220" spans="1:17" ht="16.5" customHeight="1" x14ac:dyDescent="0.2">
      <c r="A220" s="26" t="s">
        <v>4695</v>
      </c>
      <c r="B220" s="26" t="s">
        <v>4696</v>
      </c>
      <c r="C220" s="26" t="s">
        <v>115</v>
      </c>
      <c r="D220" s="26" t="s">
        <v>116</v>
      </c>
      <c r="E220" s="26" t="s">
        <v>39</v>
      </c>
      <c r="F220" s="28" t="e">
        <f ca="1">_xludf.ifna(VLOOKUP(G221,Proyectos!$E$1:$H$4,4,0),"")</f>
        <v>#NAME?</v>
      </c>
      <c r="G220" s="26" t="s">
        <v>5474</v>
      </c>
      <c r="H220" s="32">
        <v>0.2</v>
      </c>
      <c r="I220" s="31" t="s">
        <v>11</v>
      </c>
      <c r="J220" s="32"/>
      <c r="K220" s="32" t="str">
        <f t="shared" si="0"/>
        <v>Interno</v>
      </c>
      <c r="L220" s="32" t="e">
        <f ca="1">_xludf.ifna(VLOOKUP(G221,Proyectos!$E$1:$N$4,10,0),"")</f>
        <v>#NAME?</v>
      </c>
      <c r="M220" s="32"/>
      <c r="N220" s="32"/>
      <c r="O220" s="31"/>
      <c r="P220" s="33"/>
      <c r="Q220" s="33"/>
    </row>
    <row r="221" spans="1:17" ht="16.5" customHeight="1" x14ac:dyDescent="0.2">
      <c r="A221" s="26" t="s">
        <v>4695</v>
      </c>
      <c r="B221" s="26" t="s">
        <v>4696</v>
      </c>
      <c r="C221" s="26" t="s">
        <v>115</v>
      </c>
      <c r="D221" s="26" t="s">
        <v>116</v>
      </c>
      <c r="E221" s="26" t="s">
        <v>39</v>
      </c>
      <c r="F221" s="28" t="e">
        <f ca="1">_xludf.ifna(VLOOKUP(G222,Proyectos!$E$1:$H$4,4,0),"")</f>
        <v>#NAME?</v>
      </c>
      <c r="G221" s="26" t="s">
        <v>5475</v>
      </c>
      <c r="H221" s="32">
        <v>0.15</v>
      </c>
      <c r="I221" s="31" t="s">
        <v>11</v>
      </c>
      <c r="J221" s="32"/>
      <c r="K221" s="32" t="str">
        <f t="shared" si="0"/>
        <v>Interno</v>
      </c>
      <c r="L221" s="32" t="e">
        <f ca="1">_xludf.ifna(VLOOKUP(G222,Proyectos!$E$1:$N$4,10,0),"")</f>
        <v>#NAME?</v>
      </c>
      <c r="M221" s="32"/>
      <c r="N221" s="32"/>
      <c r="O221" s="31"/>
      <c r="P221" s="33"/>
      <c r="Q221" s="33"/>
    </row>
    <row r="222" spans="1:17" ht="16.5" customHeight="1" x14ac:dyDescent="0.2">
      <c r="A222" s="26" t="s">
        <v>4695</v>
      </c>
      <c r="B222" s="26" t="s">
        <v>4696</v>
      </c>
      <c r="C222" s="26" t="s">
        <v>115</v>
      </c>
      <c r="D222" s="26" t="s">
        <v>116</v>
      </c>
      <c r="E222" s="26" t="s">
        <v>39</v>
      </c>
      <c r="F222" s="28" t="e">
        <f ca="1">_xludf.ifna(VLOOKUP(G223,Proyectos!$E$1:$H$4,4,0),"")</f>
        <v>#NAME?</v>
      </c>
      <c r="G222" s="26" t="s">
        <v>5476</v>
      </c>
      <c r="H222" s="32">
        <v>0.1</v>
      </c>
      <c r="I222" s="31" t="s">
        <v>11</v>
      </c>
      <c r="J222" s="32"/>
      <c r="K222" s="32" t="str">
        <f t="shared" si="0"/>
        <v>Interno</v>
      </c>
      <c r="L222" s="32" t="e">
        <f ca="1">_xludf.ifna(VLOOKUP(G223,Proyectos!$E$1:$N$4,10,0),"")</f>
        <v>#NAME?</v>
      </c>
      <c r="M222" s="32"/>
      <c r="N222" s="32"/>
      <c r="O222" s="31"/>
      <c r="P222" s="33"/>
      <c r="Q222" s="33"/>
    </row>
    <row r="223" spans="1:17" ht="16.5" customHeight="1" x14ac:dyDescent="0.2">
      <c r="A223" s="26" t="s">
        <v>4695</v>
      </c>
      <c r="B223" s="26" t="s">
        <v>4696</v>
      </c>
      <c r="C223" s="26" t="s">
        <v>115</v>
      </c>
      <c r="D223" s="26" t="s">
        <v>116</v>
      </c>
      <c r="E223" s="26" t="s">
        <v>39</v>
      </c>
      <c r="F223" s="28" t="e">
        <f ca="1">_xludf.ifna(VLOOKUP(G224,Proyectos!$E$1:$H$4,4,0),"")</f>
        <v>#NAME?</v>
      </c>
      <c r="G223" s="26" t="s">
        <v>5190</v>
      </c>
      <c r="H223" s="32">
        <v>0.05</v>
      </c>
      <c r="I223" s="31" t="s">
        <v>11</v>
      </c>
      <c r="J223" s="32"/>
      <c r="K223" s="32" t="str">
        <f t="shared" si="0"/>
        <v>Interno</v>
      </c>
      <c r="L223" s="32" t="e">
        <f ca="1">_xludf.ifna(VLOOKUP(G224,Proyectos!$E$1:$N$4,10,0),"")</f>
        <v>#NAME?</v>
      </c>
      <c r="M223" s="32"/>
      <c r="N223" s="31"/>
      <c r="O223" s="31"/>
      <c r="P223" s="33"/>
      <c r="Q223" s="33"/>
    </row>
    <row r="224" spans="1:17" ht="16.5" customHeight="1" x14ac:dyDescent="0.2">
      <c r="A224" s="26" t="s">
        <v>3733</v>
      </c>
      <c r="B224" s="26" t="s">
        <v>3734</v>
      </c>
      <c r="C224" s="26" t="s">
        <v>115</v>
      </c>
      <c r="D224" s="26" t="s">
        <v>122</v>
      </c>
      <c r="E224" s="26" t="s">
        <v>39</v>
      </c>
      <c r="F224" s="28" t="e">
        <f ca="1">_xludf.ifna(VLOOKUP(G225,Proyectos!$E$1:$H$4,4,0),"")</f>
        <v>#NAME?</v>
      </c>
      <c r="G224" s="26" t="s">
        <v>5415</v>
      </c>
      <c r="H224" s="32">
        <v>1</v>
      </c>
      <c r="I224" s="31" t="s">
        <v>18</v>
      </c>
      <c r="J224" s="32"/>
      <c r="K224" s="32" t="str">
        <f t="shared" si="0"/>
        <v>Interno</v>
      </c>
      <c r="L224" s="32" t="e">
        <f ca="1">_xludf.ifna(VLOOKUP(G225,Proyectos!$E$1:$N$4,10,0),"")</f>
        <v>#NAME?</v>
      </c>
      <c r="M224" s="32"/>
      <c r="N224" s="31"/>
      <c r="O224" s="31"/>
      <c r="P224" s="33"/>
      <c r="Q224" s="33"/>
    </row>
    <row r="225" spans="1:17" ht="16.5" customHeight="1" x14ac:dyDescent="0.2">
      <c r="A225" s="26" t="s">
        <v>3427</v>
      </c>
      <c r="B225" s="26" t="s">
        <v>3428</v>
      </c>
      <c r="C225" s="26" t="s">
        <v>115</v>
      </c>
      <c r="D225" s="26" t="s">
        <v>119</v>
      </c>
      <c r="E225" s="26" t="s">
        <v>39</v>
      </c>
      <c r="F225" s="28" t="e">
        <f ca="1">_xludf.ifna(VLOOKUP(G226,Proyectos!$E$1:$H$4,4,0),"")</f>
        <v>#NAME?</v>
      </c>
      <c r="G225" s="26" t="s">
        <v>5212</v>
      </c>
      <c r="H225" s="32">
        <v>0.5</v>
      </c>
      <c r="I225" s="31" t="s">
        <v>18</v>
      </c>
      <c r="J225" s="32"/>
      <c r="K225" s="32" t="str">
        <f t="shared" si="0"/>
        <v>Interno</v>
      </c>
      <c r="L225" s="32" t="e">
        <f ca="1">_xludf.ifna(VLOOKUP(G226,Proyectos!$E$1:$N$4,10,0),"")</f>
        <v>#NAME?</v>
      </c>
      <c r="M225" s="32"/>
      <c r="N225" s="31"/>
      <c r="O225" s="31"/>
      <c r="P225" s="33"/>
      <c r="Q225" s="33"/>
    </row>
    <row r="226" spans="1:17" ht="16.5" customHeight="1" x14ac:dyDescent="0.2">
      <c r="A226" s="26" t="s">
        <v>3427</v>
      </c>
      <c r="B226" s="26" t="s">
        <v>3428</v>
      </c>
      <c r="C226" s="26" t="s">
        <v>115</v>
      </c>
      <c r="D226" s="26" t="s">
        <v>119</v>
      </c>
      <c r="E226" s="26" t="s">
        <v>39</v>
      </c>
      <c r="F226" s="28" t="e">
        <f ca="1">_xludf.ifna(VLOOKUP(G227,Proyectos!$E$1:$H$4,4,0),"")</f>
        <v>#NAME?</v>
      </c>
      <c r="G226" s="26" t="s">
        <v>5214</v>
      </c>
      <c r="H226" s="32">
        <v>0.5</v>
      </c>
      <c r="I226" s="31" t="s">
        <v>18</v>
      </c>
      <c r="J226" s="32"/>
      <c r="K226" s="32" t="str">
        <f t="shared" si="0"/>
        <v>Interno</v>
      </c>
      <c r="L226" s="32" t="e">
        <f ca="1">_xludf.ifna(VLOOKUP(G227,Proyectos!$E$1:$N$4,10,0),"")</f>
        <v>#NAME?</v>
      </c>
      <c r="M226" s="32"/>
      <c r="N226" s="31"/>
      <c r="O226" s="31"/>
      <c r="P226" s="33"/>
      <c r="Q226" s="33"/>
    </row>
    <row r="227" spans="1:17" ht="16.5" customHeight="1" x14ac:dyDescent="0.2">
      <c r="A227" s="35" t="s">
        <v>3868</v>
      </c>
      <c r="B227" s="26" t="s">
        <v>5655</v>
      </c>
      <c r="C227" s="26" t="s">
        <v>64</v>
      </c>
      <c r="D227" s="26" t="s">
        <v>82</v>
      </c>
      <c r="E227" s="26" t="s">
        <v>39</v>
      </c>
      <c r="F227" s="28" t="e">
        <f ca="1">_xludf.ifna(VLOOKUP(G228,Proyectos!$E$1:$H$4,4,0),"")</f>
        <v>#NAME?</v>
      </c>
      <c r="G227" s="26" t="s">
        <v>5597</v>
      </c>
      <c r="H227" s="32">
        <v>1</v>
      </c>
      <c r="I227" s="31" t="s">
        <v>18</v>
      </c>
      <c r="J227" s="32"/>
      <c r="K227" s="32" t="str">
        <f t="shared" si="0"/>
        <v>Interno</v>
      </c>
      <c r="L227" s="32" t="e">
        <f ca="1">_xludf.ifna(VLOOKUP(G228,Proyectos!$E$1:$N$4,10,0),"")</f>
        <v>#NAME?</v>
      </c>
      <c r="M227" s="32"/>
      <c r="N227" s="31"/>
      <c r="O227" s="31"/>
      <c r="P227" s="33"/>
      <c r="Q227" s="33"/>
    </row>
    <row r="228" spans="1:17" ht="16.5" customHeight="1" x14ac:dyDescent="0.2">
      <c r="A228" s="26" t="s">
        <v>3805</v>
      </c>
      <c r="B228" s="26" t="s">
        <v>5160</v>
      </c>
      <c r="C228" s="54" t="s">
        <v>7</v>
      </c>
      <c r="D228" s="35" t="s">
        <v>30</v>
      </c>
      <c r="E228" s="35" t="s">
        <v>39</v>
      </c>
      <c r="F228" s="28" t="e">
        <f ca="1">_xludf.ifna(VLOOKUP(G229,Proyectos!$E$1:$H$4,4,0),"")</f>
        <v>#NAME?</v>
      </c>
      <c r="G228" s="35" t="s">
        <v>5112</v>
      </c>
      <c r="H228" s="30">
        <v>0.3</v>
      </c>
      <c r="I228" s="31" t="s">
        <v>18</v>
      </c>
      <c r="J228" s="55"/>
      <c r="K228" s="32" t="str">
        <f t="shared" si="0"/>
        <v>Interno</v>
      </c>
      <c r="L228" s="32" t="e">
        <f ca="1">_xludf.ifna(VLOOKUP(G229,Proyectos!$E$1:$N$4,10,0),"")</f>
        <v>#NAME?</v>
      </c>
      <c r="M228" s="32"/>
      <c r="N228" s="32"/>
      <c r="O228" s="31"/>
      <c r="P228" s="33"/>
      <c r="Q228" s="33"/>
    </row>
    <row r="229" spans="1:17" ht="16.5" customHeight="1" x14ac:dyDescent="0.2">
      <c r="A229" s="26" t="s">
        <v>3805</v>
      </c>
      <c r="B229" s="26" t="s">
        <v>5160</v>
      </c>
      <c r="C229" s="54" t="s">
        <v>7</v>
      </c>
      <c r="D229" s="35" t="s">
        <v>30</v>
      </c>
      <c r="E229" s="35" t="s">
        <v>39</v>
      </c>
      <c r="F229" s="28" t="e">
        <f ca="1">_xludf.ifna(VLOOKUP(G230,Proyectos!$E$1:$H$4,4,0),"")</f>
        <v>#NAME?</v>
      </c>
      <c r="G229" s="35" t="s">
        <v>5156</v>
      </c>
      <c r="H229" s="30">
        <v>0.35</v>
      </c>
      <c r="I229" s="31" t="s">
        <v>18</v>
      </c>
      <c r="J229" s="55"/>
      <c r="K229" s="32" t="str">
        <f t="shared" si="0"/>
        <v>Interno</v>
      </c>
      <c r="L229" s="32" t="e">
        <f ca="1">_xludf.ifna(VLOOKUP(G230,Proyectos!$E$1:$N$4,10,0),"")</f>
        <v>#NAME?</v>
      </c>
      <c r="M229" s="32"/>
      <c r="N229" s="31"/>
      <c r="O229" s="31"/>
      <c r="P229" s="33"/>
      <c r="Q229" s="33"/>
    </row>
    <row r="230" spans="1:17" ht="16.5" customHeight="1" x14ac:dyDescent="0.2">
      <c r="A230" s="26" t="s">
        <v>3805</v>
      </c>
      <c r="B230" s="26" t="s">
        <v>5160</v>
      </c>
      <c r="C230" s="54" t="s">
        <v>7</v>
      </c>
      <c r="D230" s="35" t="s">
        <v>30</v>
      </c>
      <c r="E230" s="35" t="s">
        <v>39</v>
      </c>
      <c r="F230" s="28" t="e">
        <f ca="1">_xludf.ifna(VLOOKUP(G231,Proyectos!$E$1:$H$4,4,0),"")</f>
        <v>#NAME?</v>
      </c>
      <c r="G230" s="35" t="s">
        <v>5157</v>
      </c>
      <c r="H230" s="30">
        <v>0.35</v>
      </c>
      <c r="I230" s="31" t="s">
        <v>18</v>
      </c>
      <c r="J230" s="55"/>
      <c r="K230" s="32" t="str">
        <f t="shared" si="0"/>
        <v>Interno</v>
      </c>
      <c r="L230" s="32" t="e">
        <f ca="1">_xludf.ifna(VLOOKUP(G231,Proyectos!$E$1:$N$4,10,0),"")</f>
        <v>#NAME?</v>
      </c>
      <c r="M230" s="32"/>
      <c r="N230" s="31"/>
      <c r="O230" s="31"/>
      <c r="P230" s="33"/>
      <c r="Q230" s="33"/>
    </row>
    <row r="231" spans="1:17" ht="16.5" customHeight="1" x14ac:dyDescent="0.2">
      <c r="A231" s="26" t="s">
        <v>3809</v>
      </c>
      <c r="B231" s="26" t="s">
        <v>3810</v>
      </c>
      <c r="C231" s="26" t="s">
        <v>115</v>
      </c>
      <c r="D231" s="26" t="s">
        <v>119</v>
      </c>
      <c r="E231" s="26" t="s">
        <v>39</v>
      </c>
      <c r="F231" s="28" t="e">
        <f ca="1">_xludf.ifna(VLOOKUP(G232,Proyectos!$E$1:$H$4,4,0),"")</f>
        <v>#NAME?</v>
      </c>
      <c r="G231" s="26" t="s">
        <v>5217</v>
      </c>
      <c r="H231" s="32">
        <v>1</v>
      </c>
      <c r="I231" s="31" t="s">
        <v>18</v>
      </c>
      <c r="J231" s="32"/>
      <c r="K231" s="32" t="str">
        <f t="shared" si="0"/>
        <v>Interno</v>
      </c>
      <c r="L231" s="32" t="e">
        <f ca="1">_xludf.ifna(VLOOKUP(G232,Proyectos!$E$1:$N$4,10,0),"")</f>
        <v>#NAME?</v>
      </c>
      <c r="M231" s="32"/>
      <c r="N231" s="32"/>
      <c r="O231" s="31"/>
      <c r="P231" s="33"/>
      <c r="Q231" s="33"/>
    </row>
    <row r="232" spans="1:17" ht="16.5" customHeight="1" x14ac:dyDescent="0.2">
      <c r="A232" s="26" t="s">
        <v>4833</v>
      </c>
      <c r="B232" s="26" t="s">
        <v>5296</v>
      </c>
      <c r="C232" s="53" t="s">
        <v>64</v>
      </c>
      <c r="D232" s="26" t="s">
        <v>92</v>
      </c>
      <c r="E232" s="26" t="s">
        <v>106</v>
      </c>
      <c r="F232" s="28" t="e">
        <f ca="1">_xludf.ifna(VLOOKUP(G233,Proyectos!$E$1:$H$4,4,0),"")</f>
        <v>#NAME?</v>
      </c>
      <c r="G232" s="26" t="s">
        <v>5652</v>
      </c>
      <c r="H232" s="32">
        <v>1</v>
      </c>
      <c r="I232" s="31" t="s">
        <v>18</v>
      </c>
      <c r="J232" s="32"/>
      <c r="K232" s="32" t="str">
        <f t="shared" si="0"/>
        <v>Externo</v>
      </c>
      <c r="L232" s="32" t="e">
        <f ca="1">_xludf.ifna(VLOOKUP(G233,Proyectos!$E$1:$N$4,10,0),"")</f>
        <v>#NAME?</v>
      </c>
      <c r="M232" s="32"/>
      <c r="N232" s="32"/>
      <c r="O232" s="31"/>
      <c r="P232" s="33"/>
      <c r="Q232" s="33"/>
    </row>
    <row r="233" spans="1:17" ht="16.5" customHeight="1" x14ac:dyDescent="0.2">
      <c r="A233" s="26" t="s">
        <v>3648</v>
      </c>
      <c r="B233" s="26" t="s">
        <v>3649</v>
      </c>
      <c r="C233" s="26" t="s">
        <v>98</v>
      </c>
      <c r="D233" s="26" t="s">
        <v>99</v>
      </c>
      <c r="E233" s="26" t="s">
        <v>39</v>
      </c>
      <c r="F233" s="28" t="e">
        <f ca="1">_xludf.ifna(VLOOKUP(G234,Proyectos!$E$1:$H$4,4,0),"")</f>
        <v>#NAME?</v>
      </c>
      <c r="G233" s="26" t="s">
        <v>5656</v>
      </c>
      <c r="H233" s="32">
        <v>0.5</v>
      </c>
      <c r="I233" s="31" t="s">
        <v>18</v>
      </c>
      <c r="J233" s="32"/>
      <c r="K233" s="32" t="str">
        <f t="shared" si="0"/>
        <v>Interno</v>
      </c>
      <c r="L233" s="32" t="e">
        <f ca="1">_xludf.ifna(VLOOKUP(G234,Proyectos!$E$1:$N$4,10,0),"")</f>
        <v>#NAME?</v>
      </c>
      <c r="M233" s="32"/>
      <c r="N233" s="32"/>
      <c r="O233" s="31"/>
      <c r="P233" s="33"/>
      <c r="Q233" s="33"/>
    </row>
    <row r="234" spans="1:17" ht="16.5" customHeight="1" x14ac:dyDescent="0.2">
      <c r="A234" s="26" t="s">
        <v>3648</v>
      </c>
      <c r="B234" s="26" t="s">
        <v>3649</v>
      </c>
      <c r="C234" s="26" t="s">
        <v>98</v>
      </c>
      <c r="D234" s="26" t="s">
        <v>99</v>
      </c>
      <c r="E234" s="26" t="s">
        <v>39</v>
      </c>
      <c r="F234" s="28" t="e">
        <f ca="1">_xludf.ifna(VLOOKUP(G235,Proyectos!$E$1:$H$4,4,0),"")</f>
        <v>#NAME?</v>
      </c>
      <c r="G234" s="29" t="s">
        <v>5597</v>
      </c>
      <c r="H234" s="32">
        <v>0.25</v>
      </c>
      <c r="I234" s="31" t="s">
        <v>18</v>
      </c>
      <c r="J234" s="32"/>
      <c r="K234" s="32" t="str">
        <f t="shared" si="0"/>
        <v>Interno</v>
      </c>
      <c r="L234" s="32" t="e">
        <f ca="1">_xludf.ifna(VLOOKUP(G235,Proyectos!$E$1:$N$4,10,0),"")</f>
        <v>#NAME?</v>
      </c>
      <c r="M234" s="32"/>
      <c r="N234" s="32"/>
      <c r="O234" s="31"/>
      <c r="P234" s="33"/>
      <c r="Q234" s="33"/>
    </row>
    <row r="235" spans="1:17" ht="16.5" customHeight="1" x14ac:dyDescent="0.2">
      <c r="A235" s="26" t="s">
        <v>3648</v>
      </c>
      <c r="B235" s="26" t="s">
        <v>3649</v>
      </c>
      <c r="C235" s="26" t="s">
        <v>98</v>
      </c>
      <c r="D235" s="26" t="s">
        <v>99</v>
      </c>
      <c r="E235" s="26" t="s">
        <v>39</v>
      </c>
      <c r="F235" s="28" t="e">
        <f ca="1">_xludf.ifna(VLOOKUP(G236,Proyectos!$E$1:$H$4,4,0),"")</f>
        <v>#NAME?</v>
      </c>
      <c r="G235" s="26" t="s">
        <v>5597</v>
      </c>
      <c r="H235" s="32">
        <v>0.25</v>
      </c>
      <c r="I235" s="31" t="s">
        <v>18</v>
      </c>
      <c r="J235" s="32"/>
      <c r="K235" s="32" t="str">
        <f t="shared" si="0"/>
        <v>Interno</v>
      </c>
      <c r="L235" s="32" t="e">
        <f ca="1">_xludf.ifna(VLOOKUP(G236,Proyectos!$E$1:$N$4,10,0),"")</f>
        <v>#NAME?</v>
      </c>
      <c r="M235" s="32"/>
      <c r="N235" s="32"/>
      <c r="O235" s="31"/>
      <c r="P235" s="33"/>
      <c r="Q235" s="33"/>
    </row>
    <row r="236" spans="1:17" ht="16.5" customHeight="1" x14ac:dyDescent="0.2">
      <c r="A236" s="26" t="s">
        <v>4179</v>
      </c>
      <c r="B236" s="26" t="s">
        <v>5179</v>
      </c>
      <c r="C236" s="54" t="s">
        <v>7</v>
      </c>
      <c r="D236" s="54" t="s">
        <v>23</v>
      </c>
      <c r="E236" s="54" t="s">
        <v>123</v>
      </c>
      <c r="F236" s="28" t="e">
        <f ca="1">_xludf.ifna(VLOOKUP(G237,Proyectos!$E$1:$H$4,4,0),"")</f>
        <v>#NAME?</v>
      </c>
      <c r="G236" s="54" t="s">
        <v>5170</v>
      </c>
      <c r="H236" s="60">
        <v>1</v>
      </c>
      <c r="I236" s="31" t="s">
        <v>18</v>
      </c>
      <c r="J236" s="60"/>
      <c r="K236" s="32" t="str">
        <f t="shared" si="0"/>
        <v>Externo</v>
      </c>
      <c r="L236" s="32" t="e">
        <f ca="1">_xludf.ifna(VLOOKUP(G237,Proyectos!$E$1:$N$4,10,0),"")</f>
        <v>#NAME?</v>
      </c>
      <c r="M236" s="32"/>
      <c r="N236" s="31"/>
      <c r="O236" s="31"/>
      <c r="P236" s="33"/>
      <c r="Q236" s="33"/>
    </row>
    <row r="237" spans="1:17" ht="16.5" customHeight="1" x14ac:dyDescent="0.2">
      <c r="A237" s="26" t="s">
        <v>5075</v>
      </c>
      <c r="B237" s="26" t="s">
        <v>5161</v>
      </c>
      <c r="C237" s="35" t="s">
        <v>7</v>
      </c>
      <c r="D237" s="35" t="s">
        <v>30</v>
      </c>
      <c r="E237" s="35" t="s">
        <v>129</v>
      </c>
      <c r="F237" s="28" t="e">
        <f ca="1">_xludf.ifna(VLOOKUP(G238,Proyectos!$E$1:$H$4,4,0),"")</f>
        <v>#NAME?</v>
      </c>
      <c r="G237" s="35" t="s">
        <v>5153</v>
      </c>
      <c r="H237" s="55">
        <v>1</v>
      </c>
      <c r="I237" s="31" t="s">
        <v>18</v>
      </c>
      <c r="J237" s="55"/>
      <c r="K237" s="32" t="str">
        <f t="shared" si="0"/>
        <v>Externo</v>
      </c>
      <c r="L237" s="32" t="e">
        <f ca="1">_xludf.ifna(VLOOKUP(G238,Proyectos!$E$1:$N$4,10,0),"")</f>
        <v>#NAME?</v>
      </c>
      <c r="M237" s="32"/>
      <c r="N237" s="31"/>
      <c r="O237" s="31"/>
      <c r="P237" s="33"/>
      <c r="Q237" s="33"/>
    </row>
    <row r="238" spans="1:17" ht="16.5" customHeight="1" x14ac:dyDescent="0.2">
      <c r="A238" s="26" t="s">
        <v>5657</v>
      </c>
      <c r="B238" s="26" t="s">
        <v>5658</v>
      </c>
      <c r="C238" s="26" t="s">
        <v>64</v>
      </c>
      <c r="D238" s="26" t="s">
        <v>95</v>
      </c>
      <c r="E238" s="26" t="s">
        <v>126</v>
      </c>
      <c r="F238" s="28" t="e">
        <f ca="1">_xludf.ifna(VLOOKUP(G239,Proyectos!$E$1:$H$4,4,0),"")</f>
        <v>#NAME?</v>
      </c>
      <c r="G238" s="26" t="s">
        <v>5363</v>
      </c>
      <c r="H238" s="32">
        <v>0.25</v>
      </c>
      <c r="I238" s="31" t="s">
        <v>18</v>
      </c>
      <c r="J238" s="32"/>
      <c r="K238" s="32" t="str">
        <f t="shared" si="0"/>
        <v>Externo</v>
      </c>
      <c r="L238" s="32" t="e">
        <f ca="1">_xludf.ifna(VLOOKUP(G239,Proyectos!$E$1:$N$4,10,0),"")</f>
        <v>#NAME?</v>
      </c>
      <c r="M238" s="32"/>
      <c r="N238" s="32"/>
      <c r="O238" s="31"/>
      <c r="P238" s="33"/>
      <c r="Q238" s="33"/>
    </row>
    <row r="239" spans="1:17" ht="16.5" customHeight="1" x14ac:dyDescent="0.2">
      <c r="A239" s="26" t="s">
        <v>3333</v>
      </c>
      <c r="B239" s="26" t="s">
        <v>3334</v>
      </c>
      <c r="C239" s="26" t="s">
        <v>37</v>
      </c>
      <c r="D239" s="26" t="s">
        <v>38</v>
      </c>
      <c r="E239" s="26" t="s">
        <v>39</v>
      </c>
      <c r="F239" s="28" t="e">
        <f ca="1">_xludf.ifna(VLOOKUP(G240,Proyectos!$E$1:$H$4,4,0),"")</f>
        <v>#NAME?</v>
      </c>
      <c r="G239" s="26" t="s">
        <v>5597</v>
      </c>
      <c r="H239" s="32">
        <v>1</v>
      </c>
      <c r="I239" s="31" t="s">
        <v>18</v>
      </c>
      <c r="J239" s="32"/>
      <c r="K239" s="32" t="str">
        <f t="shared" si="0"/>
        <v>Interno</v>
      </c>
      <c r="L239" s="32" t="e">
        <f ca="1">_xludf.ifna(VLOOKUP(G240,Proyectos!$E$1:$N$4,10,0),"")</f>
        <v>#NAME?</v>
      </c>
      <c r="M239" s="32"/>
      <c r="N239" s="31"/>
      <c r="O239" s="31"/>
      <c r="P239" s="33"/>
      <c r="Q239" s="33"/>
    </row>
    <row r="240" spans="1:17" ht="16.5" customHeight="1" x14ac:dyDescent="0.2">
      <c r="A240" s="26" t="s">
        <v>3799</v>
      </c>
      <c r="B240" s="26" t="s">
        <v>5659</v>
      </c>
      <c r="C240" s="26" t="s">
        <v>98</v>
      </c>
      <c r="D240" s="26" t="s">
        <v>110</v>
      </c>
      <c r="E240" s="26" t="s">
        <v>39</v>
      </c>
      <c r="F240" s="28" t="e">
        <f ca="1">_xludf.ifna(VLOOKUP(G241,Proyectos!$E$1:$H$4,4,0),"")</f>
        <v>#NAME?</v>
      </c>
      <c r="G240" s="26" t="s">
        <v>5614</v>
      </c>
      <c r="H240" s="32">
        <v>0.75</v>
      </c>
      <c r="I240" s="31" t="s">
        <v>18</v>
      </c>
      <c r="J240" s="32"/>
      <c r="K240" s="32" t="str">
        <f t="shared" si="0"/>
        <v>Interno</v>
      </c>
      <c r="L240" s="32" t="e">
        <f ca="1">_xludf.ifna(VLOOKUP(G241,Proyectos!$E$1:$N$4,10,0),"")</f>
        <v>#NAME?</v>
      </c>
      <c r="M240" s="32"/>
      <c r="N240" s="32"/>
      <c r="O240" s="31"/>
      <c r="P240" s="33"/>
      <c r="Q240" s="33"/>
    </row>
    <row r="241" spans="1:17" ht="16.5" customHeight="1" x14ac:dyDescent="0.2">
      <c r="A241" s="26" t="s">
        <v>3799</v>
      </c>
      <c r="B241" s="26" t="s">
        <v>5659</v>
      </c>
      <c r="C241" s="26" t="s">
        <v>98</v>
      </c>
      <c r="D241" s="26" t="s">
        <v>110</v>
      </c>
      <c r="E241" s="26" t="s">
        <v>39</v>
      </c>
      <c r="F241" s="28" t="e">
        <f ca="1">_xludf.ifna(VLOOKUP(G242,Proyectos!$E$1:$H$4,4,0),"")</f>
        <v>#NAME?</v>
      </c>
      <c r="G241" s="26" t="s">
        <v>5242</v>
      </c>
      <c r="H241" s="32">
        <v>0.25</v>
      </c>
      <c r="I241" s="31" t="s">
        <v>18</v>
      </c>
      <c r="J241" s="32"/>
      <c r="K241" s="32" t="str">
        <f t="shared" si="0"/>
        <v>Interno</v>
      </c>
      <c r="L241" s="32" t="e">
        <f ca="1">_xludf.ifna(VLOOKUP(G242,Proyectos!$E$1:$N$4,10,0),"")</f>
        <v>#NAME?</v>
      </c>
      <c r="M241" s="32"/>
      <c r="N241" s="32"/>
      <c r="O241" s="31"/>
      <c r="P241" s="33"/>
      <c r="Q241" s="33"/>
    </row>
    <row r="242" spans="1:17" ht="16.5" customHeight="1" x14ac:dyDescent="0.2">
      <c r="A242" s="26" t="s">
        <v>4677</v>
      </c>
      <c r="B242" s="26" t="s">
        <v>4678</v>
      </c>
      <c r="C242" s="53" t="s">
        <v>64</v>
      </c>
      <c r="D242" s="26" t="s">
        <v>92</v>
      </c>
      <c r="E242" s="53" t="s">
        <v>39</v>
      </c>
      <c r="F242" s="28" t="e">
        <f ca="1">_xludf.ifna(VLOOKUP(G243,Proyectos!$E$1:$H$4,4,0),"")</f>
        <v>#NAME?</v>
      </c>
      <c r="G242" s="26" t="s">
        <v>5282</v>
      </c>
      <c r="H242" s="32">
        <v>1</v>
      </c>
      <c r="I242" s="31" t="s">
        <v>18</v>
      </c>
      <c r="J242" s="32"/>
      <c r="K242" s="32" t="str">
        <f t="shared" si="0"/>
        <v>Interno</v>
      </c>
      <c r="L242" s="32" t="e">
        <f ca="1">_xludf.ifna(VLOOKUP(G243,Proyectos!$E$1:$N$4,10,0),"")</f>
        <v>#NAME?</v>
      </c>
      <c r="M242" s="32"/>
      <c r="N242" s="32"/>
      <c r="O242" s="31"/>
      <c r="P242" s="33"/>
      <c r="Q242" s="33"/>
    </row>
    <row r="243" spans="1:17" ht="16.5" customHeight="1" x14ac:dyDescent="0.2">
      <c r="A243" s="35" t="s">
        <v>4300</v>
      </c>
      <c r="B243" s="26" t="s">
        <v>5485</v>
      </c>
      <c r="C243" s="26" t="s">
        <v>64</v>
      </c>
      <c r="D243" s="26" t="s">
        <v>82</v>
      </c>
      <c r="E243" s="35" t="s">
        <v>126</v>
      </c>
      <c r="F243" s="28" t="e">
        <f ca="1">_xludf.ifna(VLOOKUP(G244,Proyectos!$E$1:$H$4,4,0),"")</f>
        <v>#NAME?</v>
      </c>
      <c r="G243" s="26" t="s">
        <v>5434</v>
      </c>
      <c r="H243" s="32">
        <v>1</v>
      </c>
      <c r="I243" s="31" t="s">
        <v>18</v>
      </c>
      <c r="J243" s="32"/>
      <c r="K243" s="32" t="str">
        <f t="shared" si="0"/>
        <v>Externo</v>
      </c>
      <c r="L243" s="32" t="e">
        <f ca="1">_xludf.ifna(VLOOKUP(G244,Proyectos!$E$1:$N$4,10,0),"")</f>
        <v>#NAME?</v>
      </c>
      <c r="M243" s="32"/>
      <c r="N243" s="31"/>
      <c r="O243" s="31"/>
      <c r="P243" s="33"/>
      <c r="Q243" s="33"/>
    </row>
    <row r="244" spans="1:17" ht="16.5" customHeight="1" x14ac:dyDescent="0.2">
      <c r="A244" s="26" t="s">
        <v>3580</v>
      </c>
      <c r="B244" s="26" t="s">
        <v>3581</v>
      </c>
      <c r="C244" s="26" t="s">
        <v>98</v>
      </c>
      <c r="D244" s="26" t="s">
        <v>105</v>
      </c>
      <c r="E244" s="26" t="s">
        <v>39</v>
      </c>
      <c r="F244" s="28" t="e">
        <f ca="1">_xludf.ifna(VLOOKUP(G245,Proyectos!$E$1:$H$4,4,0),"")</f>
        <v>#NAME?</v>
      </c>
      <c r="G244" s="26" t="s">
        <v>5597</v>
      </c>
      <c r="H244" s="32">
        <v>1</v>
      </c>
      <c r="I244" s="31" t="s">
        <v>18</v>
      </c>
      <c r="J244" s="32"/>
      <c r="K244" s="32" t="str">
        <f t="shared" si="0"/>
        <v>Interno</v>
      </c>
      <c r="L244" s="32" t="e">
        <f ca="1">_xludf.ifna(VLOOKUP(G245,Proyectos!$E$1:$N$4,10,0),"")</f>
        <v>#NAME?</v>
      </c>
      <c r="M244" s="32"/>
      <c r="N244" s="32"/>
      <c r="O244" s="31"/>
      <c r="P244" s="33"/>
      <c r="Q244" s="33"/>
    </row>
    <row r="245" spans="1:17" ht="16.5" customHeight="1" x14ac:dyDescent="0.2">
      <c r="A245" s="26" t="s">
        <v>3834</v>
      </c>
      <c r="B245" s="26" t="s">
        <v>3835</v>
      </c>
      <c r="C245" s="26" t="s">
        <v>115</v>
      </c>
      <c r="D245" s="26" t="s">
        <v>119</v>
      </c>
      <c r="E245" s="26" t="s">
        <v>39</v>
      </c>
      <c r="F245" s="28" t="e">
        <f ca="1">_xludf.ifna(VLOOKUP(G246,Proyectos!$E$1:$H$4,4,0),"")</f>
        <v>#NAME?</v>
      </c>
      <c r="G245" s="26" t="s">
        <v>5218</v>
      </c>
      <c r="H245" s="32">
        <v>1</v>
      </c>
      <c r="I245" s="31" t="s">
        <v>18</v>
      </c>
      <c r="J245" s="32"/>
      <c r="K245" s="32" t="str">
        <f t="shared" si="0"/>
        <v>Interno</v>
      </c>
      <c r="L245" s="32" t="e">
        <f ca="1">_xludf.ifna(VLOOKUP(G246,Proyectos!$E$1:$N$4,10,0),"")</f>
        <v>#NAME?</v>
      </c>
      <c r="M245" s="32"/>
      <c r="N245" s="31"/>
      <c r="O245" s="31"/>
      <c r="P245" s="33"/>
      <c r="Q245" s="33"/>
    </row>
    <row r="246" spans="1:17" ht="16.5" customHeight="1" x14ac:dyDescent="0.2">
      <c r="A246" s="26" t="s">
        <v>3555</v>
      </c>
      <c r="B246" s="26" t="s">
        <v>3556</v>
      </c>
      <c r="C246" s="26" t="s">
        <v>115</v>
      </c>
      <c r="D246" s="26" t="s">
        <v>128</v>
      </c>
      <c r="E246" s="26" t="s">
        <v>39</v>
      </c>
      <c r="F246" s="28" t="e">
        <f ca="1">_xludf.ifna(VLOOKUP(G247,Proyectos!$E$1:$H$4,4,0),"")</f>
        <v>#NAME?</v>
      </c>
      <c r="G246" s="26" t="s">
        <v>5576</v>
      </c>
      <c r="H246" s="32">
        <v>0.9</v>
      </c>
      <c r="I246" s="31" t="s">
        <v>11</v>
      </c>
      <c r="J246" s="32"/>
      <c r="K246" s="32" t="str">
        <f t="shared" si="0"/>
        <v>Interno</v>
      </c>
      <c r="L246" s="32" t="e">
        <f ca="1">_xludf.ifna(VLOOKUP(G247,Proyectos!$E$1:$N$4,10,0),"")</f>
        <v>#NAME?</v>
      </c>
      <c r="M246" s="32"/>
      <c r="N246" s="32"/>
      <c r="O246" s="31"/>
      <c r="P246" s="33"/>
      <c r="Q246" s="33"/>
    </row>
    <row r="247" spans="1:17" ht="16.5" customHeight="1" x14ac:dyDescent="0.2">
      <c r="A247" s="26" t="s">
        <v>3555</v>
      </c>
      <c r="B247" s="26" t="s">
        <v>3556</v>
      </c>
      <c r="C247" s="26" t="s">
        <v>115</v>
      </c>
      <c r="D247" s="26" t="s">
        <v>128</v>
      </c>
      <c r="E247" s="26" t="s">
        <v>39</v>
      </c>
      <c r="F247" s="28" t="e">
        <f ca="1">_xludf.ifna(VLOOKUP(G248,Proyectos!$E$1:$H$4,4,0),"")</f>
        <v>#NAME?</v>
      </c>
      <c r="G247" s="26" t="s">
        <v>5597</v>
      </c>
      <c r="H247" s="32">
        <v>0.1</v>
      </c>
      <c r="I247" s="31" t="s">
        <v>11</v>
      </c>
      <c r="J247" s="31" t="s">
        <v>5577</v>
      </c>
      <c r="K247" s="32" t="str">
        <f t="shared" si="0"/>
        <v>Interno</v>
      </c>
      <c r="L247" s="32" t="e">
        <f ca="1">_xludf.ifna(VLOOKUP(G248,Proyectos!$E$1:$N$4,10,0),"")</f>
        <v>#NAME?</v>
      </c>
      <c r="M247" s="32"/>
      <c r="N247" s="31"/>
      <c r="O247" s="31"/>
      <c r="P247" s="33"/>
      <c r="Q247" s="33"/>
    </row>
    <row r="248" spans="1:17" ht="16.5" customHeight="1" x14ac:dyDescent="0.2">
      <c r="A248" s="26" t="s">
        <v>3319</v>
      </c>
      <c r="B248" s="26" t="s">
        <v>3320</v>
      </c>
      <c r="C248" s="26" t="s">
        <v>115</v>
      </c>
      <c r="D248" s="26" t="s">
        <v>116</v>
      </c>
      <c r="E248" s="26" t="s">
        <v>39</v>
      </c>
      <c r="F248" s="28" t="e">
        <f ca="1">_xludf.ifna(VLOOKUP(G249,Proyectos!$E$1:$H$4,4,0),"")</f>
        <v>#NAME?</v>
      </c>
      <c r="G248" s="26" t="s">
        <v>5324</v>
      </c>
      <c r="H248" s="32">
        <v>0.5</v>
      </c>
      <c r="I248" s="31" t="s">
        <v>18</v>
      </c>
      <c r="J248" s="32"/>
      <c r="K248" s="32" t="str">
        <f t="shared" si="0"/>
        <v>Interno</v>
      </c>
      <c r="L248" s="32" t="e">
        <f ca="1">_xludf.ifna(VLOOKUP(G249,Proyectos!$E$1:$N$4,10,0),"")</f>
        <v>#NAME?</v>
      </c>
      <c r="M248" s="32"/>
      <c r="N248" s="32"/>
      <c r="O248" s="31"/>
      <c r="P248" s="33"/>
      <c r="Q248" s="33"/>
    </row>
    <row r="249" spans="1:17" ht="16.5" customHeight="1" x14ac:dyDescent="0.2">
      <c r="A249" s="26" t="s">
        <v>3319</v>
      </c>
      <c r="B249" s="26" t="s">
        <v>3320</v>
      </c>
      <c r="C249" s="26" t="s">
        <v>115</v>
      </c>
      <c r="D249" s="26" t="s">
        <v>116</v>
      </c>
      <c r="E249" s="26" t="s">
        <v>39</v>
      </c>
      <c r="F249" s="28" t="e">
        <f ca="1">_xludf.ifna(VLOOKUP(G250,Proyectos!$E$1:$H$4,4,0),"")</f>
        <v>#NAME?</v>
      </c>
      <c r="G249" s="26" t="s">
        <v>5318</v>
      </c>
      <c r="H249" s="32">
        <v>0.2</v>
      </c>
      <c r="I249" s="31" t="s">
        <v>18</v>
      </c>
      <c r="J249" s="32"/>
      <c r="K249" s="32" t="str">
        <f t="shared" si="0"/>
        <v>Interno</v>
      </c>
      <c r="L249" s="32" t="e">
        <f ca="1">_xludf.ifna(VLOOKUP(G250,Proyectos!$E$1:$N$4,10,0),"")</f>
        <v>#NAME?</v>
      </c>
      <c r="M249" s="32"/>
      <c r="N249" s="32"/>
      <c r="O249" s="31"/>
      <c r="P249" s="33"/>
      <c r="Q249" s="33"/>
    </row>
    <row r="250" spans="1:17" ht="16.5" customHeight="1" x14ac:dyDescent="0.2">
      <c r="A250" s="26" t="s">
        <v>3319</v>
      </c>
      <c r="B250" s="26" t="s">
        <v>3320</v>
      </c>
      <c r="C250" s="26" t="s">
        <v>115</v>
      </c>
      <c r="D250" s="26" t="s">
        <v>116</v>
      </c>
      <c r="E250" s="26" t="s">
        <v>39</v>
      </c>
      <c r="F250" s="28" t="e">
        <f ca="1">_xludf.ifna(VLOOKUP(G251,Proyectos!$E$1:$H$4,4,0),"")</f>
        <v>#NAME?</v>
      </c>
      <c r="G250" s="26" t="s">
        <v>5325</v>
      </c>
      <c r="H250" s="32">
        <v>0.1</v>
      </c>
      <c r="I250" s="31" t="s">
        <v>18</v>
      </c>
      <c r="J250" s="32"/>
      <c r="K250" s="32" t="str">
        <f t="shared" si="0"/>
        <v>Interno</v>
      </c>
      <c r="L250" s="32" t="e">
        <f ca="1">_xludf.ifna(VLOOKUP(G251,Proyectos!$E$1:$N$4,10,0),"")</f>
        <v>#NAME?</v>
      </c>
      <c r="M250" s="32"/>
      <c r="N250" s="32"/>
      <c r="O250" s="31"/>
      <c r="P250" s="33"/>
      <c r="Q250" s="33"/>
    </row>
    <row r="251" spans="1:17" ht="16.5" customHeight="1" x14ac:dyDescent="0.2">
      <c r="A251" s="26" t="s">
        <v>3319</v>
      </c>
      <c r="B251" s="26" t="s">
        <v>3320</v>
      </c>
      <c r="C251" s="26" t="s">
        <v>115</v>
      </c>
      <c r="D251" s="26" t="s">
        <v>116</v>
      </c>
      <c r="E251" s="26" t="s">
        <v>39</v>
      </c>
      <c r="F251" s="28" t="e">
        <f ca="1">_xludf.ifna(VLOOKUP(G252,Proyectos!$E$1:$H$4,4,0),"")</f>
        <v>#NAME?</v>
      </c>
      <c r="G251" s="26" t="s">
        <v>5322</v>
      </c>
      <c r="H251" s="32">
        <v>0.2</v>
      </c>
      <c r="I251" s="31" t="s">
        <v>18</v>
      </c>
      <c r="J251" s="32"/>
      <c r="K251" s="32" t="str">
        <f t="shared" si="0"/>
        <v>Interno</v>
      </c>
      <c r="L251" s="32" t="e">
        <f ca="1">_xludf.ifna(VLOOKUP(G252,Proyectos!$E$1:$N$4,10,0),"")</f>
        <v>#NAME?</v>
      </c>
      <c r="M251" s="32"/>
      <c r="N251" s="32"/>
      <c r="O251" s="31"/>
      <c r="P251" s="33"/>
      <c r="Q251" s="33"/>
    </row>
    <row r="252" spans="1:17" ht="16.5" customHeight="1" x14ac:dyDescent="0.2">
      <c r="A252" s="26" t="s">
        <v>3896</v>
      </c>
      <c r="B252" s="26" t="s">
        <v>3897</v>
      </c>
      <c r="C252" s="26" t="s">
        <v>64</v>
      </c>
      <c r="D252" s="26" t="s">
        <v>86</v>
      </c>
      <c r="E252" s="26" t="s">
        <v>39</v>
      </c>
      <c r="F252" s="28" t="e">
        <f ca="1">_xludf.ifna(VLOOKUP(G253,Proyectos!$E$1:$H$4,4,0),"")</f>
        <v>#NAME?</v>
      </c>
      <c r="G252" s="29" t="s">
        <v>5597</v>
      </c>
      <c r="H252" s="30">
        <v>1</v>
      </c>
      <c r="I252" s="31" t="s">
        <v>18</v>
      </c>
      <c r="J252" s="32"/>
      <c r="K252" s="32" t="str">
        <f t="shared" si="0"/>
        <v>Interno</v>
      </c>
      <c r="L252" s="32" t="e">
        <f ca="1">_xludf.ifna(VLOOKUP(G253,Proyectos!$E$1:$N$4,10,0),"")</f>
        <v>#NAME?</v>
      </c>
      <c r="M252" s="32"/>
      <c r="N252" s="31"/>
      <c r="O252" s="31"/>
      <c r="P252" s="33"/>
      <c r="Q252" s="33"/>
    </row>
    <row r="253" spans="1:17" ht="16.5" customHeight="1" x14ac:dyDescent="0.2">
      <c r="A253" s="26" t="s">
        <v>3382</v>
      </c>
      <c r="B253" s="26" t="s">
        <v>3383</v>
      </c>
      <c r="C253" s="26" t="s">
        <v>98</v>
      </c>
      <c r="D253" s="26" t="s">
        <v>99</v>
      </c>
      <c r="E253" s="26" t="s">
        <v>39</v>
      </c>
      <c r="F253" s="28" t="e">
        <f ca="1">_xludf.ifna(VLOOKUP(G254,Proyectos!$E$1:$H$4,4,0),"")</f>
        <v>#NAME?</v>
      </c>
      <c r="G253" s="26" t="s">
        <v>5130</v>
      </c>
      <c r="H253" s="32">
        <v>0.75</v>
      </c>
      <c r="I253" s="31" t="s">
        <v>18</v>
      </c>
      <c r="J253" s="32"/>
      <c r="K253" s="32" t="str">
        <f t="shared" si="0"/>
        <v>Interno</v>
      </c>
      <c r="L253" s="32" t="e">
        <f ca="1">_xludf.ifna(VLOOKUP(G254,Proyectos!$E$1:$N$4,10,0),"")</f>
        <v>#NAME?</v>
      </c>
      <c r="M253" s="32"/>
      <c r="N253" s="32"/>
      <c r="O253" s="31"/>
      <c r="P253" s="33"/>
      <c r="Q253" s="33"/>
    </row>
    <row r="254" spans="1:17" ht="16.5" customHeight="1" x14ac:dyDescent="0.2">
      <c r="A254" s="26" t="s">
        <v>3382</v>
      </c>
      <c r="B254" s="26" t="s">
        <v>3383</v>
      </c>
      <c r="C254" s="26" t="s">
        <v>98</v>
      </c>
      <c r="D254" s="26" t="s">
        <v>99</v>
      </c>
      <c r="E254" s="26" t="s">
        <v>39</v>
      </c>
      <c r="F254" s="28" t="e">
        <f ca="1">_xludf.ifna(VLOOKUP(G255,Proyectos!$E$1:$H$4,4,0),"")</f>
        <v>#NAME?</v>
      </c>
      <c r="G254" s="26" t="s">
        <v>5597</v>
      </c>
      <c r="H254" s="32">
        <v>0.25</v>
      </c>
      <c r="I254" s="31" t="s">
        <v>18</v>
      </c>
      <c r="J254" s="32"/>
      <c r="K254" s="32" t="str">
        <f t="shared" si="0"/>
        <v>Interno</v>
      </c>
      <c r="L254" s="32" t="e">
        <f ca="1">_xludf.ifna(VLOOKUP(G255,Proyectos!$E$1:$N$4,10,0),"")</f>
        <v>#NAME?</v>
      </c>
      <c r="M254" s="32"/>
      <c r="N254" s="32"/>
      <c r="O254" s="31"/>
      <c r="P254" s="33"/>
      <c r="Q254" s="33"/>
    </row>
    <row r="255" spans="1:17" ht="16.5" customHeight="1" x14ac:dyDescent="0.2">
      <c r="A255" s="26" t="s">
        <v>3832</v>
      </c>
      <c r="B255" s="26" t="s">
        <v>5660</v>
      </c>
      <c r="C255" s="26" t="s">
        <v>98</v>
      </c>
      <c r="D255" s="26" t="s">
        <v>102</v>
      </c>
      <c r="E255" s="26" t="s">
        <v>39</v>
      </c>
      <c r="F255" s="28" t="e">
        <f ca="1">_xludf.ifna(VLOOKUP(G256,Proyectos!$E$1:$H$4,4,0),"")</f>
        <v>#NAME?</v>
      </c>
      <c r="G255" s="27" t="s">
        <v>5113</v>
      </c>
      <c r="H255" s="32">
        <v>1</v>
      </c>
      <c r="I255" s="31" t="s">
        <v>18</v>
      </c>
      <c r="J255" s="32"/>
      <c r="K255" s="32" t="str">
        <f t="shared" si="0"/>
        <v>Interno</v>
      </c>
      <c r="L255" s="32" t="e">
        <f ca="1">_xludf.ifna(VLOOKUP(G256,Proyectos!$E$1:$N$4,10,0),"")</f>
        <v>#NAME?</v>
      </c>
      <c r="M255" s="32"/>
      <c r="N255" s="32"/>
      <c r="O255" s="31"/>
      <c r="P255" s="33"/>
      <c r="Q255" s="33"/>
    </row>
    <row r="256" spans="1:17" ht="16.5" customHeight="1" x14ac:dyDescent="0.2">
      <c r="A256" s="26" t="s">
        <v>3459</v>
      </c>
      <c r="B256" s="26" t="s">
        <v>5661</v>
      </c>
      <c r="C256" s="26" t="s">
        <v>64</v>
      </c>
      <c r="D256" s="26" t="s">
        <v>82</v>
      </c>
      <c r="E256" s="26" t="s">
        <v>39</v>
      </c>
      <c r="F256" s="28" t="e">
        <f ca="1">_xludf.ifna(VLOOKUP(G257,Proyectos!$E$1:$H$4,4,0),"")</f>
        <v>#NAME?</v>
      </c>
      <c r="G256" s="26" t="s">
        <v>5597</v>
      </c>
      <c r="H256" s="32">
        <v>0.25</v>
      </c>
      <c r="I256" s="31" t="s">
        <v>11</v>
      </c>
      <c r="J256" s="32"/>
      <c r="K256" s="32" t="str">
        <f t="shared" si="0"/>
        <v>Interno</v>
      </c>
      <c r="L256" s="32" t="e">
        <f ca="1">_xludf.ifna(VLOOKUP(G257,Proyectos!$E$1:$N$4,10,0),"")</f>
        <v>#NAME?</v>
      </c>
      <c r="M256" s="32"/>
      <c r="N256" s="31"/>
      <c r="O256" s="31"/>
      <c r="P256" s="33"/>
      <c r="Q256" s="33"/>
    </row>
    <row r="257" spans="1:17" ht="16.5" customHeight="1" x14ac:dyDescent="0.2">
      <c r="A257" s="26" t="s">
        <v>3459</v>
      </c>
      <c r="B257" s="26" t="s">
        <v>5661</v>
      </c>
      <c r="C257" s="26" t="s">
        <v>64</v>
      </c>
      <c r="D257" s="26" t="s">
        <v>82</v>
      </c>
      <c r="E257" s="26" t="s">
        <v>39</v>
      </c>
      <c r="F257" s="28" t="e">
        <f ca="1">_xludf.ifna(VLOOKUP(G258,Proyectos!$E$1:$H$4,4,0),"")</f>
        <v>#NAME?</v>
      </c>
      <c r="G257" s="26" t="s">
        <v>5387</v>
      </c>
      <c r="H257" s="32">
        <v>0.75</v>
      </c>
      <c r="I257" s="31" t="s">
        <v>11</v>
      </c>
      <c r="J257" s="32"/>
      <c r="K257" s="32" t="str">
        <f t="shared" ref="K257:K511" si="1">IF(E257="BBVA","Interno","Externo")</f>
        <v>Interno</v>
      </c>
      <c r="L257" s="32" t="e">
        <f ca="1">_xludf.ifna(VLOOKUP(G258,Proyectos!$E$1:$N$4,10,0),"")</f>
        <v>#NAME?</v>
      </c>
      <c r="M257" s="32"/>
      <c r="N257" s="32"/>
      <c r="O257" s="31"/>
      <c r="P257" s="33"/>
      <c r="Q257" s="33"/>
    </row>
    <row r="258" spans="1:17" ht="16.5" customHeight="1" x14ac:dyDescent="0.2">
      <c r="A258" s="26" t="s">
        <v>3951</v>
      </c>
      <c r="B258" s="26" t="s">
        <v>3952</v>
      </c>
      <c r="C258" s="26" t="s">
        <v>98</v>
      </c>
      <c r="D258" s="26" t="s">
        <v>99</v>
      </c>
      <c r="E258" s="26" t="s">
        <v>108</v>
      </c>
      <c r="F258" s="28" t="e">
        <f ca="1">_xludf.ifna(VLOOKUP(G259,Proyectos!$E$1:$H$4,4,0),"")</f>
        <v>#NAME?</v>
      </c>
      <c r="G258" s="26" t="s">
        <v>5129</v>
      </c>
      <c r="H258" s="32">
        <v>1</v>
      </c>
      <c r="I258" s="31" t="s">
        <v>18</v>
      </c>
      <c r="J258" s="32"/>
      <c r="K258" s="32" t="str">
        <f t="shared" si="1"/>
        <v>Externo</v>
      </c>
      <c r="L258" s="32" t="e">
        <f ca="1">_xludf.ifna(VLOOKUP(G259,Proyectos!$E$1:$N$4,10,0),"")</f>
        <v>#NAME?</v>
      </c>
      <c r="M258" s="32"/>
      <c r="N258" s="32"/>
      <c r="O258" s="31"/>
      <c r="P258" s="33"/>
      <c r="Q258" s="33"/>
    </row>
    <row r="259" spans="1:17" ht="16.5" customHeight="1" x14ac:dyDescent="0.2">
      <c r="A259" s="26" t="s">
        <v>4786</v>
      </c>
      <c r="B259" s="26" t="s">
        <v>4787</v>
      </c>
      <c r="C259" s="26" t="s">
        <v>115</v>
      </c>
      <c r="D259" s="26" t="s">
        <v>116</v>
      </c>
      <c r="E259" s="26" t="s">
        <v>39</v>
      </c>
      <c r="F259" s="28" t="e">
        <f ca="1">_xludf.ifna(VLOOKUP(G260,Proyectos!$E$1:$H$4,4,0),"")</f>
        <v>#NAME?</v>
      </c>
      <c r="G259" s="26" t="s">
        <v>5323</v>
      </c>
      <c r="H259" s="32">
        <v>1</v>
      </c>
      <c r="I259" s="31" t="s">
        <v>18</v>
      </c>
      <c r="J259" s="32"/>
      <c r="K259" s="32" t="str">
        <f t="shared" si="1"/>
        <v>Interno</v>
      </c>
      <c r="L259" s="32" t="e">
        <f ca="1">_xludf.ifna(VLOOKUP(G260,Proyectos!$E$1:$N$4,10,0),"")</f>
        <v>#NAME?</v>
      </c>
      <c r="M259" s="32"/>
      <c r="N259" s="32"/>
      <c r="O259" s="31"/>
      <c r="P259" s="33"/>
      <c r="Q259" s="33"/>
    </row>
    <row r="260" spans="1:17" ht="16.5" customHeight="1" x14ac:dyDescent="0.2">
      <c r="A260" s="4" t="s">
        <v>4039</v>
      </c>
      <c r="B260" s="4" t="s">
        <v>4040</v>
      </c>
      <c r="C260" s="26" t="s">
        <v>64</v>
      </c>
      <c r="D260" s="26" t="s">
        <v>89</v>
      </c>
      <c r="E260" s="26" t="s">
        <v>108</v>
      </c>
      <c r="F260" s="28" t="e">
        <f ca="1">_xludf.ifna(VLOOKUP(G261,Proyectos!$E$1:$H$4,4,0),"")</f>
        <v>#NAME?</v>
      </c>
      <c r="G260" s="26" t="s">
        <v>5597</v>
      </c>
      <c r="H260" s="32">
        <v>1</v>
      </c>
      <c r="I260" s="31" t="s">
        <v>18</v>
      </c>
      <c r="J260" s="31" t="s">
        <v>5662</v>
      </c>
      <c r="K260" s="32" t="str">
        <f t="shared" si="1"/>
        <v>Externo</v>
      </c>
      <c r="L260" s="32" t="e">
        <f ca="1">_xludf.ifna(VLOOKUP(G261,Proyectos!$E$1:$N$4,10,0),"")</f>
        <v>#NAME?</v>
      </c>
      <c r="M260" s="32"/>
      <c r="N260" s="31"/>
      <c r="O260" s="31"/>
      <c r="P260" s="33"/>
      <c r="Q260" s="33"/>
    </row>
    <row r="261" spans="1:17" ht="16.5" customHeight="1" x14ac:dyDescent="0.2">
      <c r="A261" s="26" t="s">
        <v>4613</v>
      </c>
      <c r="B261" s="26" t="s">
        <v>4614</v>
      </c>
      <c r="C261" s="26" t="s">
        <v>98</v>
      </c>
      <c r="D261" s="26" t="s">
        <v>105</v>
      </c>
      <c r="E261" s="26" t="s">
        <v>39</v>
      </c>
      <c r="F261" s="28" t="e">
        <f ca="1">_xludf.ifna(VLOOKUP(G262,Proyectos!$E$1:$H$4,4,0),"")</f>
        <v>#NAME?</v>
      </c>
      <c r="G261" s="26" t="s">
        <v>5148</v>
      </c>
      <c r="H261" s="32">
        <v>0.35</v>
      </c>
      <c r="I261" s="31" t="s">
        <v>11</v>
      </c>
      <c r="J261" s="32"/>
      <c r="K261" s="32" t="str">
        <f t="shared" si="1"/>
        <v>Interno</v>
      </c>
      <c r="L261" s="32" t="e">
        <f ca="1">_xludf.ifna(VLOOKUP(G262,Proyectos!$E$1:$N$4,10,0),"")</f>
        <v>#NAME?</v>
      </c>
      <c r="M261" s="32"/>
      <c r="N261" s="32"/>
      <c r="O261" s="31"/>
      <c r="P261" s="33"/>
      <c r="Q261" s="33"/>
    </row>
    <row r="262" spans="1:17" ht="16.5" customHeight="1" x14ac:dyDescent="0.2">
      <c r="A262" s="26" t="s">
        <v>4613</v>
      </c>
      <c r="B262" s="26" t="s">
        <v>4614</v>
      </c>
      <c r="C262" s="26" t="s">
        <v>98</v>
      </c>
      <c r="D262" s="26" t="s">
        <v>105</v>
      </c>
      <c r="E262" s="26" t="s">
        <v>39</v>
      </c>
      <c r="F262" s="28" t="e">
        <f ca="1">_xludf.ifna(VLOOKUP(G263,Proyectos!$E$1:$H$4,4,0),"")</f>
        <v>#NAME?</v>
      </c>
      <c r="G262" s="26" t="s">
        <v>5147</v>
      </c>
      <c r="H262" s="32">
        <v>0.1</v>
      </c>
      <c r="I262" s="31" t="s">
        <v>11</v>
      </c>
      <c r="J262" s="32"/>
      <c r="K262" s="32" t="str">
        <f t="shared" si="1"/>
        <v>Interno</v>
      </c>
      <c r="L262" s="32" t="e">
        <f ca="1">_xludf.ifna(VLOOKUP(G263,Proyectos!$E$1:$N$4,10,0),"")</f>
        <v>#NAME?</v>
      </c>
      <c r="M262" s="32"/>
      <c r="N262" s="32"/>
      <c r="O262" s="31"/>
      <c r="P262" s="33"/>
      <c r="Q262" s="33"/>
    </row>
    <row r="263" spans="1:17" ht="16.5" customHeight="1" x14ac:dyDescent="0.2">
      <c r="A263" s="26" t="s">
        <v>4613</v>
      </c>
      <c r="B263" s="26" t="s">
        <v>4614</v>
      </c>
      <c r="C263" s="26" t="s">
        <v>98</v>
      </c>
      <c r="D263" s="26" t="s">
        <v>105</v>
      </c>
      <c r="E263" s="26" t="s">
        <v>39</v>
      </c>
      <c r="F263" s="28" t="e">
        <f ca="1">_xludf.ifna(VLOOKUP(G264,Proyectos!$E$1:$H$4,4,0),"")</f>
        <v>#NAME?</v>
      </c>
      <c r="G263" s="26" t="s">
        <v>5116</v>
      </c>
      <c r="H263" s="32">
        <v>0.1</v>
      </c>
      <c r="I263" s="31" t="s">
        <v>11</v>
      </c>
      <c r="J263" s="32"/>
      <c r="K263" s="32" t="str">
        <f t="shared" si="1"/>
        <v>Interno</v>
      </c>
      <c r="L263" s="32" t="e">
        <f ca="1">_xludf.ifna(VLOOKUP(G264,Proyectos!$E$1:$N$4,10,0),"")</f>
        <v>#NAME?</v>
      </c>
      <c r="M263" s="32"/>
      <c r="N263" s="32"/>
      <c r="O263" s="31"/>
      <c r="P263" s="33"/>
      <c r="Q263" s="33"/>
    </row>
    <row r="264" spans="1:17" ht="16.5" customHeight="1" x14ac:dyDescent="0.2">
      <c r="A264" s="26" t="s">
        <v>4613</v>
      </c>
      <c r="B264" s="26" t="s">
        <v>4614</v>
      </c>
      <c r="C264" s="26" t="s">
        <v>98</v>
      </c>
      <c r="D264" s="26" t="s">
        <v>105</v>
      </c>
      <c r="E264" s="26" t="s">
        <v>39</v>
      </c>
      <c r="F264" s="28" t="e">
        <f ca="1">_xludf.ifna(VLOOKUP(G265,Proyectos!$E$1:$H$4,4,0),"")</f>
        <v>#NAME?</v>
      </c>
      <c r="G264" s="26" t="s">
        <v>5663</v>
      </c>
      <c r="H264" s="32">
        <v>0.1</v>
      </c>
      <c r="I264" s="31" t="s">
        <v>11</v>
      </c>
      <c r="J264" s="32"/>
      <c r="K264" s="32" t="str">
        <f t="shared" si="1"/>
        <v>Interno</v>
      </c>
      <c r="L264" s="32" t="e">
        <f ca="1">_xludf.ifna(VLOOKUP(G265,Proyectos!$E$1:$N$4,10,0),"")</f>
        <v>#NAME?</v>
      </c>
      <c r="M264" s="32"/>
      <c r="N264" s="32"/>
      <c r="O264" s="31"/>
      <c r="P264" s="33"/>
      <c r="Q264" s="33"/>
    </row>
    <row r="265" spans="1:17" ht="16.5" customHeight="1" x14ac:dyDescent="0.2">
      <c r="A265" s="26" t="s">
        <v>4613</v>
      </c>
      <c r="B265" s="26" t="s">
        <v>4614</v>
      </c>
      <c r="C265" s="26" t="s">
        <v>98</v>
      </c>
      <c r="D265" s="26" t="s">
        <v>105</v>
      </c>
      <c r="E265" s="26" t="s">
        <v>39</v>
      </c>
      <c r="F265" s="28" t="e">
        <f ca="1">_xludf.ifna(VLOOKUP(G266,Proyectos!$E$1:$H$4,4,0),"")</f>
        <v>#NAME?</v>
      </c>
      <c r="G265" s="26" t="s">
        <v>5145</v>
      </c>
      <c r="H265" s="32">
        <v>0.35</v>
      </c>
      <c r="I265" s="31" t="s">
        <v>11</v>
      </c>
      <c r="J265" s="32"/>
      <c r="K265" s="32" t="str">
        <f t="shared" si="1"/>
        <v>Interno</v>
      </c>
      <c r="L265" s="32" t="e">
        <f ca="1">_xludf.ifna(VLOOKUP(G266,Proyectos!$E$1:$N$4,10,0),"")</f>
        <v>#NAME?</v>
      </c>
      <c r="M265" s="32"/>
      <c r="N265" s="32"/>
      <c r="O265" s="31"/>
      <c r="P265" s="33"/>
      <c r="Q265" s="33"/>
    </row>
    <row r="266" spans="1:17" ht="16.5" customHeight="1" x14ac:dyDescent="0.2">
      <c r="A266" s="26" t="s">
        <v>3323</v>
      </c>
      <c r="B266" s="26" t="s">
        <v>3324</v>
      </c>
      <c r="C266" s="26" t="s">
        <v>98</v>
      </c>
      <c r="D266" s="26" t="s">
        <v>99</v>
      </c>
      <c r="E266" s="26" t="s">
        <v>39</v>
      </c>
      <c r="F266" s="28" t="e">
        <f ca="1">_xludf.ifna(VLOOKUP(G267,Proyectos!$E$1:$H$4,4,0),"")</f>
        <v>#NAME?</v>
      </c>
      <c r="G266" s="26" t="s">
        <v>5664</v>
      </c>
      <c r="H266" s="32">
        <v>0.25</v>
      </c>
      <c r="I266" s="31" t="s">
        <v>18</v>
      </c>
      <c r="J266" s="32"/>
      <c r="K266" s="32" t="str">
        <f t="shared" si="1"/>
        <v>Interno</v>
      </c>
      <c r="L266" s="32" t="e">
        <f ca="1">_xludf.ifna(VLOOKUP(G267,Proyectos!$E$1:$N$4,10,0),"")</f>
        <v>#NAME?</v>
      </c>
      <c r="M266" s="32"/>
      <c r="N266" s="32"/>
      <c r="O266" s="31"/>
      <c r="P266" s="33"/>
      <c r="Q266" s="33"/>
    </row>
    <row r="267" spans="1:17" ht="16.5" customHeight="1" x14ac:dyDescent="0.2">
      <c r="A267" s="26" t="s">
        <v>3323</v>
      </c>
      <c r="B267" s="26" t="s">
        <v>3324</v>
      </c>
      <c r="C267" s="26" t="s">
        <v>98</v>
      </c>
      <c r="D267" s="26" t="s">
        <v>99</v>
      </c>
      <c r="E267" s="26" t="s">
        <v>39</v>
      </c>
      <c r="F267" s="28" t="e">
        <f ca="1">_xludf.ifna(VLOOKUP(G268,Proyectos!$E$1:$H$4,4,0),"")</f>
        <v>#NAME?</v>
      </c>
      <c r="G267" s="26" t="s">
        <v>5130</v>
      </c>
      <c r="H267" s="32">
        <v>0.25</v>
      </c>
      <c r="I267" s="31" t="s">
        <v>18</v>
      </c>
      <c r="J267" s="32"/>
      <c r="K267" s="32" t="str">
        <f t="shared" si="1"/>
        <v>Interno</v>
      </c>
      <c r="L267" s="32" t="e">
        <f ca="1">_xludf.ifna(VLOOKUP(G268,Proyectos!$E$1:$N$4,10,0),"")</f>
        <v>#NAME?</v>
      </c>
      <c r="M267" s="32"/>
      <c r="N267" s="32"/>
      <c r="O267" s="31"/>
      <c r="P267" s="33"/>
      <c r="Q267" s="33"/>
    </row>
    <row r="268" spans="1:17" ht="16.5" customHeight="1" x14ac:dyDescent="0.2">
      <c r="A268" s="26" t="s">
        <v>3323</v>
      </c>
      <c r="B268" s="26" t="s">
        <v>3324</v>
      </c>
      <c r="C268" s="26" t="s">
        <v>98</v>
      </c>
      <c r="D268" s="26" t="s">
        <v>99</v>
      </c>
      <c r="E268" s="26" t="s">
        <v>39</v>
      </c>
      <c r="F268" s="28" t="e">
        <f ca="1">_xludf.ifna(VLOOKUP(G269,Proyectos!$E$1:$H$4,4,0),"")</f>
        <v>#NAME?</v>
      </c>
      <c r="G268" s="26" t="s">
        <v>5132</v>
      </c>
      <c r="H268" s="32">
        <v>0.25</v>
      </c>
      <c r="I268" s="31" t="s">
        <v>18</v>
      </c>
      <c r="J268" s="32"/>
      <c r="K268" s="32" t="str">
        <f t="shared" si="1"/>
        <v>Interno</v>
      </c>
      <c r="L268" s="32" t="e">
        <f ca="1">_xludf.ifna(VLOOKUP(G269,Proyectos!$E$1:$N$4,10,0),"")</f>
        <v>#NAME?</v>
      </c>
      <c r="M268" s="32"/>
      <c r="N268" s="32"/>
      <c r="O268" s="31"/>
      <c r="P268" s="33"/>
      <c r="Q268" s="33"/>
    </row>
    <row r="269" spans="1:17" ht="16.5" customHeight="1" x14ac:dyDescent="0.2">
      <c r="A269" s="26" t="s">
        <v>3323</v>
      </c>
      <c r="B269" s="26" t="s">
        <v>3324</v>
      </c>
      <c r="C269" s="26" t="s">
        <v>98</v>
      </c>
      <c r="D269" s="26" t="s">
        <v>99</v>
      </c>
      <c r="E269" s="26" t="s">
        <v>39</v>
      </c>
      <c r="F269" s="28" t="e">
        <f ca="1">_xludf.ifna(VLOOKUP(G270,Proyectos!$E$1:$H$4,4,0),"")</f>
        <v>#NAME?</v>
      </c>
      <c r="G269" s="26" t="s">
        <v>5656</v>
      </c>
      <c r="H269" s="32">
        <v>0.25</v>
      </c>
      <c r="I269" s="31" t="s">
        <v>18</v>
      </c>
      <c r="J269" s="32"/>
      <c r="K269" s="32" t="str">
        <f t="shared" si="1"/>
        <v>Interno</v>
      </c>
      <c r="L269" s="32" t="e">
        <f ca="1">_xludf.ifna(VLOOKUP(G270,Proyectos!$E$1:$N$4,10,0),"")</f>
        <v>#NAME?</v>
      </c>
      <c r="M269" s="32"/>
      <c r="N269" s="32"/>
      <c r="O269" s="31"/>
      <c r="P269" s="33"/>
      <c r="Q269" s="33"/>
    </row>
    <row r="270" spans="1:17" ht="16.5" customHeight="1" x14ac:dyDescent="0.2">
      <c r="A270" s="26" t="s">
        <v>5053</v>
      </c>
      <c r="B270" s="26" t="s">
        <v>5665</v>
      </c>
      <c r="C270" s="26" t="s">
        <v>64</v>
      </c>
      <c r="D270" s="26" t="s">
        <v>86</v>
      </c>
      <c r="E270" s="26" t="s">
        <v>87</v>
      </c>
      <c r="F270" s="28" t="e">
        <f ca="1">_xludf.ifna(VLOOKUP(G271,Proyectos!$E$1:$H$4,4,0),"")</f>
        <v>#NAME?</v>
      </c>
      <c r="G270" s="29" t="s">
        <v>5597</v>
      </c>
      <c r="H270" s="30">
        <v>1</v>
      </c>
      <c r="I270" s="31" t="s">
        <v>18</v>
      </c>
      <c r="J270" s="32"/>
      <c r="K270" s="32" t="str">
        <f t="shared" si="1"/>
        <v>Externo</v>
      </c>
      <c r="L270" s="32" t="e">
        <f ca="1">_xludf.ifna(VLOOKUP(G271,Proyectos!$E$1:$N$4,10,0),"")</f>
        <v>#NAME?</v>
      </c>
      <c r="M270" s="32"/>
      <c r="N270" s="31"/>
      <c r="O270" s="31"/>
      <c r="P270" s="33"/>
      <c r="Q270" s="33"/>
    </row>
    <row r="271" spans="1:17" ht="16.5" customHeight="1" x14ac:dyDescent="0.2">
      <c r="A271" s="26" t="s">
        <v>3451</v>
      </c>
      <c r="B271" s="26" t="s">
        <v>3452</v>
      </c>
      <c r="C271" s="26" t="s">
        <v>98</v>
      </c>
      <c r="D271" s="26" t="s">
        <v>107</v>
      </c>
      <c r="E271" s="26" t="s">
        <v>39</v>
      </c>
      <c r="F271" s="28" t="e">
        <f ca="1">_xludf.ifna(VLOOKUP(G272,Proyectos!$E$1:$H$4,4,0),"")</f>
        <v>#NAME?</v>
      </c>
      <c r="G271" s="26" t="s">
        <v>5593</v>
      </c>
      <c r="H271" s="32">
        <v>0.75</v>
      </c>
      <c r="I271" s="31" t="s">
        <v>18</v>
      </c>
      <c r="J271" s="32"/>
      <c r="K271" s="32" t="str">
        <f t="shared" si="1"/>
        <v>Interno</v>
      </c>
      <c r="L271" s="32" t="e">
        <f ca="1">_xludf.ifna(VLOOKUP(G272,Proyectos!$E$1:$N$4,10,0),"")</f>
        <v>#NAME?</v>
      </c>
      <c r="M271" s="32"/>
      <c r="N271" s="32"/>
      <c r="O271" s="31"/>
      <c r="P271" s="33"/>
      <c r="Q271" s="33"/>
    </row>
    <row r="272" spans="1:17" ht="16.5" customHeight="1" x14ac:dyDescent="0.2">
      <c r="A272" s="26" t="s">
        <v>3451</v>
      </c>
      <c r="B272" s="26" t="s">
        <v>3452</v>
      </c>
      <c r="C272" s="26" t="s">
        <v>98</v>
      </c>
      <c r="D272" s="26" t="s">
        <v>107</v>
      </c>
      <c r="E272" s="26" t="s">
        <v>39</v>
      </c>
      <c r="F272" s="28" t="e">
        <f ca="1">_xludf.ifna(VLOOKUP(G273,Proyectos!$E$1:$H$4,4,0),"")</f>
        <v>#NAME?</v>
      </c>
      <c r="G272" s="26" t="s">
        <v>5597</v>
      </c>
      <c r="H272" s="32">
        <v>0.25</v>
      </c>
      <c r="I272" s="31" t="s">
        <v>18</v>
      </c>
      <c r="J272" s="32"/>
      <c r="K272" s="32" t="str">
        <f t="shared" si="1"/>
        <v>Interno</v>
      </c>
      <c r="L272" s="32" t="e">
        <f ca="1">_xludf.ifna(VLOOKUP(G273,Proyectos!$E$1:$N$4,10,0),"")</f>
        <v>#NAME?</v>
      </c>
      <c r="M272" s="32"/>
      <c r="N272" s="32"/>
      <c r="O272" s="31"/>
      <c r="P272" s="33"/>
      <c r="Q272" s="33"/>
    </row>
    <row r="273" spans="1:17" ht="16.5" customHeight="1" x14ac:dyDescent="0.2">
      <c r="A273" s="26" t="s">
        <v>5666</v>
      </c>
      <c r="B273" s="26" t="s">
        <v>5667</v>
      </c>
      <c r="C273" s="26" t="s">
        <v>98</v>
      </c>
      <c r="D273" s="26" t="s">
        <v>107</v>
      </c>
      <c r="E273" s="26" t="s">
        <v>87</v>
      </c>
      <c r="F273" s="28" t="e">
        <f ca="1">_xludf.ifna(VLOOKUP(G274,Proyectos!$E$1:$H$4,4,0),"")</f>
        <v>#NAME?</v>
      </c>
      <c r="G273" s="26" t="s">
        <v>5524</v>
      </c>
      <c r="H273" s="32">
        <v>1</v>
      </c>
      <c r="I273" s="31" t="s">
        <v>18</v>
      </c>
      <c r="J273" s="32"/>
      <c r="K273" s="32" t="str">
        <f t="shared" si="1"/>
        <v>Externo</v>
      </c>
      <c r="L273" s="32" t="e">
        <f ca="1">_xludf.ifna(VLOOKUP(G274,Proyectos!$E$1:$N$4,10,0),"")</f>
        <v>#NAME?</v>
      </c>
      <c r="M273" s="32"/>
      <c r="N273" s="32"/>
      <c r="O273" s="31"/>
      <c r="P273" s="33"/>
      <c r="Q273" s="33"/>
    </row>
    <row r="274" spans="1:17" ht="16.5" customHeight="1" x14ac:dyDescent="0.2">
      <c r="A274" s="26" t="s">
        <v>4463</v>
      </c>
      <c r="B274" s="26" t="s">
        <v>4464</v>
      </c>
      <c r="C274" s="26" t="s">
        <v>98</v>
      </c>
      <c r="D274" s="26" t="s">
        <v>107</v>
      </c>
      <c r="E274" s="26" t="s">
        <v>87</v>
      </c>
      <c r="F274" s="28" t="e">
        <f ca="1">_xludf.ifna(VLOOKUP(G275,Proyectos!$E$1:$H$4,4,0),"")</f>
        <v>#NAME?</v>
      </c>
      <c r="G274" s="26" t="s">
        <v>5597</v>
      </c>
      <c r="H274" s="32">
        <v>1</v>
      </c>
      <c r="I274" s="31" t="s">
        <v>18</v>
      </c>
      <c r="J274" s="32"/>
      <c r="K274" s="32" t="str">
        <f t="shared" si="1"/>
        <v>Externo</v>
      </c>
      <c r="L274" s="32" t="e">
        <f ca="1">_xludf.ifna(VLOOKUP(G275,Proyectos!$E$1:$N$4,10,0),"")</f>
        <v>#NAME?</v>
      </c>
      <c r="M274" s="32"/>
      <c r="N274" s="32"/>
      <c r="O274" s="31"/>
      <c r="P274" s="33"/>
      <c r="Q274" s="33"/>
    </row>
    <row r="275" spans="1:17" ht="16.5" customHeight="1" x14ac:dyDescent="0.2">
      <c r="A275" s="26" t="s">
        <v>3773</v>
      </c>
      <c r="B275" s="26" t="s">
        <v>5668</v>
      </c>
      <c r="C275" s="26" t="s">
        <v>7</v>
      </c>
      <c r="D275" s="26" t="s">
        <v>16</v>
      </c>
      <c r="E275" s="26" t="s">
        <v>39</v>
      </c>
      <c r="F275" s="28" t="e">
        <f ca="1">_xludf.ifna(VLOOKUP(G276,Proyectos!$E$1:$H$4,4,0),"")</f>
        <v>#NAME?</v>
      </c>
      <c r="G275" s="26" t="s">
        <v>5669</v>
      </c>
      <c r="H275" s="32">
        <v>0.35</v>
      </c>
      <c r="I275" s="31" t="s">
        <v>18</v>
      </c>
      <c r="J275" s="32"/>
      <c r="K275" s="32" t="str">
        <f t="shared" si="1"/>
        <v>Interno</v>
      </c>
      <c r="L275" s="32" t="e">
        <f ca="1">_xludf.ifna(VLOOKUP(G276,Proyectos!$E$1:$N$4,10,0),"")</f>
        <v>#NAME?</v>
      </c>
      <c r="M275" s="32"/>
      <c r="N275" s="31"/>
      <c r="O275" s="31"/>
      <c r="P275" s="33"/>
      <c r="Q275" s="33"/>
    </row>
    <row r="276" spans="1:17" ht="16.5" customHeight="1" x14ac:dyDescent="0.2">
      <c r="A276" s="26" t="s">
        <v>3773</v>
      </c>
      <c r="B276" s="26" t="s">
        <v>5668</v>
      </c>
      <c r="C276" s="26" t="s">
        <v>7</v>
      </c>
      <c r="D276" s="26" t="s">
        <v>16</v>
      </c>
      <c r="E276" s="26" t="s">
        <v>39</v>
      </c>
      <c r="F276" s="28" t="e">
        <f ca="1">_xludf.ifna(VLOOKUP(G277,Proyectos!$E$1:$H$4,4,0),"")</f>
        <v>#NAME?</v>
      </c>
      <c r="G276" s="26" t="s">
        <v>5234</v>
      </c>
      <c r="H276" s="65">
        <v>0.25</v>
      </c>
      <c r="I276" s="31" t="s">
        <v>18</v>
      </c>
      <c r="J276" s="31"/>
      <c r="K276" s="32" t="str">
        <f t="shared" si="1"/>
        <v>Interno</v>
      </c>
      <c r="L276" s="32" t="e">
        <f ca="1">_xludf.ifna(VLOOKUP(G277,Proyectos!$E$1:$N$4,10,0),"")</f>
        <v>#NAME?</v>
      </c>
      <c r="M276" s="32"/>
      <c r="N276" s="31"/>
      <c r="O276" s="31"/>
      <c r="P276" s="33"/>
      <c r="Q276" s="33"/>
    </row>
    <row r="277" spans="1:17" ht="16.5" customHeight="1" x14ac:dyDescent="0.2">
      <c r="A277" s="26" t="s">
        <v>3773</v>
      </c>
      <c r="B277" s="26" t="s">
        <v>5668</v>
      </c>
      <c r="C277" s="26" t="s">
        <v>7</v>
      </c>
      <c r="D277" s="26" t="s">
        <v>16</v>
      </c>
      <c r="E277" s="26" t="s">
        <v>39</v>
      </c>
      <c r="F277" s="28" t="e">
        <f ca="1">_xludf.ifna(VLOOKUP(G278,Proyectos!$E$1:$H$4,4,0),"")</f>
        <v>#NAME?</v>
      </c>
      <c r="G277" s="26" t="s">
        <v>5234</v>
      </c>
      <c r="H277" s="32">
        <v>0.05</v>
      </c>
      <c r="I277" s="31" t="s">
        <v>18</v>
      </c>
      <c r="J277" s="31"/>
      <c r="K277" s="32" t="str">
        <f t="shared" si="1"/>
        <v>Interno</v>
      </c>
      <c r="L277" s="32" t="e">
        <f ca="1">_xludf.ifna(VLOOKUP(G278,Proyectos!$E$1:$N$4,10,0),"")</f>
        <v>#NAME?</v>
      </c>
      <c r="M277" s="32"/>
      <c r="N277" s="31"/>
      <c r="O277" s="31"/>
      <c r="P277" s="33"/>
      <c r="Q277" s="33"/>
    </row>
    <row r="278" spans="1:17" ht="16.5" customHeight="1" x14ac:dyDescent="0.2">
      <c r="A278" s="26" t="s">
        <v>3773</v>
      </c>
      <c r="B278" s="26" t="s">
        <v>5668</v>
      </c>
      <c r="C278" s="26" t="s">
        <v>7</v>
      </c>
      <c r="D278" s="26" t="s">
        <v>16</v>
      </c>
      <c r="E278" s="26" t="s">
        <v>39</v>
      </c>
      <c r="F278" s="28" t="e">
        <f ca="1">_xludf.ifna(VLOOKUP(G279,Proyectos!$E$1:$H$4,4,0),"")</f>
        <v>#NAME?</v>
      </c>
      <c r="G278" s="26" t="s">
        <v>5117</v>
      </c>
      <c r="H278" s="65">
        <v>0.35</v>
      </c>
      <c r="I278" s="31" t="s">
        <v>18</v>
      </c>
      <c r="J278" s="32"/>
      <c r="K278" s="32" t="str">
        <f t="shared" si="1"/>
        <v>Interno</v>
      </c>
      <c r="L278" s="32" t="e">
        <f ca="1">_xludf.ifna(VLOOKUP(G279,Proyectos!$E$1:$N$4,10,0),"")</f>
        <v>#NAME?</v>
      </c>
      <c r="M278" s="32"/>
      <c r="N278" s="32"/>
      <c r="O278" s="31"/>
      <c r="P278" s="33"/>
      <c r="Q278" s="33"/>
    </row>
    <row r="279" spans="1:17" ht="16.5" customHeight="1" x14ac:dyDescent="0.2">
      <c r="A279" s="26" t="s">
        <v>4883</v>
      </c>
      <c r="B279" s="26" t="s">
        <v>4884</v>
      </c>
      <c r="C279" s="54" t="s">
        <v>7</v>
      </c>
      <c r="D279" s="54" t="s">
        <v>23</v>
      </c>
      <c r="E279" s="54" t="s">
        <v>123</v>
      </c>
      <c r="F279" s="28" t="e">
        <f ca="1">_xludf.ifna(VLOOKUP(G280,Proyectos!$E$1:$H$4,4,0),"")</f>
        <v>#NAME?</v>
      </c>
      <c r="G279" s="54" t="s">
        <v>5170</v>
      </c>
      <c r="H279" s="60">
        <v>1</v>
      </c>
      <c r="I279" s="31" t="s">
        <v>18</v>
      </c>
      <c r="J279" s="60"/>
      <c r="K279" s="32" t="str">
        <f t="shared" si="1"/>
        <v>Externo</v>
      </c>
      <c r="L279" s="32" t="e">
        <f ca="1">_xludf.ifna(VLOOKUP(G280,Proyectos!$E$1:$N$4,10,0),"")</f>
        <v>#NAME?</v>
      </c>
      <c r="M279" s="32"/>
      <c r="N279" s="31"/>
      <c r="O279" s="31"/>
      <c r="P279" s="33"/>
      <c r="Q279" s="33"/>
    </row>
    <row r="280" spans="1:17" ht="16.5" customHeight="1" x14ac:dyDescent="0.2">
      <c r="A280" s="26" t="s">
        <v>4149</v>
      </c>
      <c r="B280" s="26" t="s">
        <v>4150</v>
      </c>
      <c r="C280" s="26" t="s">
        <v>98</v>
      </c>
      <c r="D280" s="26" t="s">
        <v>107</v>
      </c>
      <c r="E280" s="26" t="s">
        <v>87</v>
      </c>
      <c r="F280" s="28" t="e">
        <f ca="1">_xludf.ifna(VLOOKUP(G281,Proyectos!$E$1:$H$4,4,0),"")</f>
        <v>#NAME?</v>
      </c>
      <c r="G280" s="26" t="s">
        <v>5329</v>
      </c>
      <c r="H280" s="32">
        <v>1</v>
      </c>
      <c r="I280" s="31" t="s">
        <v>18</v>
      </c>
      <c r="J280" s="32"/>
      <c r="K280" s="32" t="str">
        <f t="shared" si="1"/>
        <v>Externo</v>
      </c>
      <c r="L280" s="32" t="e">
        <f ca="1">_xludf.ifna(VLOOKUP(G281,Proyectos!$E$1:$N$4,10,0),"")</f>
        <v>#NAME?</v>
      </c>
      <c r="M280" s="32"/>
      <c r="N280" s="32"/>
      <c r="O280" s="31"/>
      <c r="P280" s="33"/>
      <c r="Q280" s="33"/>
    </row>
    <row r="281" spans="1:17" ht="16.5" customHeight="1" x14ac:dyDescent="0.2">
      <c r="A281" s="26" t="s">
        <v>3789</v>
      </c>
      <c r="B281" s="26" t="s">
        <v>3790</v>
      </c>
      <c r="C281" s="26" t="s">
        <v>98</v>
      </c>
      <c r="D281" s="26" t="s">
        <v>107</v>
      </c>
      <c r="E281" s="26" t="s">
        <v>39</v>
      </c>
      <c r="F281" s="28" t="e">
        <f ca="1">_xludf.ifna(VLOOKUP(G282,Proyectos!$E$1:$H$4,4,0),"")</f>
        <v>#NAME?</v>
      </c>
      <c r="G281" s="26" t="s">
        <v>5597</v>
      </c>
      <c r="H281" s="32">
        <v>1</v>
      </c>
      <c r="I281" s="31" t="s">
        <v>32</v>
      </c>
      <c r="J281" s="32"/>
      <c r="K281" s="32" t="str">
        <f t="shared" si="1"/>
        <v>Interno</v>
      </c>
      <c r="L281" s="32" t="e">
        <f ca="1">_xludf.ifna(VLOOKUP(G282,Proyectos!$E$1:$N$4,10,0),"")</f>
        <v>#NAME?</v>
      </c>
      <c r="M281" s="32"/>
      <c r="N281" s="32"/>
      <c r="O281" s="31"/>
      <c r="P281" s="33"/>
      <c r="Q281" s="33"/>
    </row>
    <row r="282" spans="1:17" ht="16.5" customHeight="1" x14ac:dyDescent="0.2">
      <c r="A282" s="4" t="s">
        <v>4017</v>
      </c>
      <c r="B282" s="4" t="s">
        <v>5370</v>
      </c>
      <c r="C282" s="26" t="s">
        <v>64</v>
      </c>
      <c r="D282" s="26" t="s">
        <v>89</v>
      </c>
      <c r="E282" s="26" t="s">
        <v>108</v>
      </c>
      <c r="F282" s="28" t="e">
        <f ca="1">_xludf.ifna(VLOOKUP(G283,Proyectos!$E$1:$H$4,4,0),"")</f>
        <v>#NAME?</v>
      </c>
      <c r="G282" s="26" t="s">
        <v>5597</v>
      </c>
      <c r="H282" s="32">
        <v>1</v>
      </c>
      <c r="I282" s="31" t="s">
        <v>18</v>
      </c>
      <c r="J282" s="32"/>
      <c r="K282" s="32" t="str">
        <f t="shared" si="1"/>
        <v>Externo</v>
      </c>
      <c r="L282" s="32" t="e">
        <f ca="1">_xludf.ifna(VLOOKUP(G283,Proyectos!$E$1:$N$4,10,0),"")</f>
        <v>#NAME?</v>
      </c>
      <c r="M282" s="32"/>
      <c r="N282" s="31"/>
      <c r="O282" s="31"/>
      <c r="P282" s="33"/>
      <c r="Q282" s="33"/>
    </row>
    <row r="283" spans="1:17" ht="16.5" customHeight="1" x14ac:dyDescent="0.2">
      <c r="A283" s="26" t="s">
        <v>4980</v>
      </c>
      <c r="B283" s="26" t="s">
        <v>5180</v>
      </c>
      <c r="C283" s="54" t="s">
        <v>7</v>
      </c>
      <c r="D283" s="54" t="s">
        <v>23</v>
      </c>
      <c r="E283" s="54" t="s">
        <v>79</v>
      </c>
      <c r="F283" s="28" t="e">
        <f ca="1">_xludf.ifna(VLOOKUP(G284,Proyectos!$E$1:$H$4,4,0),"")</f>
        <v>#NAME?</v>
      </c>
      <c r="G283" s="54" t="s">
        <v>5170</v>
      </c>
      <c r="H283" s="60">
        <v>1</v>
      </c>
      <c r="I283" s="31" t="s">
        <v>18</v>
      </c>
      <c r="J283" s="60"/>
      <c r="K283" s="32" t="str">
        <f t="shared" si="1"/>
        <v>Externo</v>
      </c>
      <c r="L283" s="32" t="e">
        <f ca="1">_xludf.ifna(VLOOKUP(G284,Proyectos!$E$1:$N$4,10,0),"")</f>
        <v>#NAME?</v>
      </c>
      <c r="M283" s="32"/>
      <c r="N283" s="31"/>
      <c r="O283" s="31"/>
      <c r="P283" s="33"/>
      <c r="Q283" s="33"/>
    </row>
    <row r="284" spans="1:17" ht="16.5" customHeight="1" x14ac:dyDescent="0.2">
      <c r="A284" s="26" t="s">
        <v>3920</v>
      </c>
      <c r="B284" s="26" t="s">
        <v>3921</v>
      </c>
      <c r="C284" s="26" t="s">
        <v>115</v>
      </c>
      <c r="D284" s="26" t="s">
        <v>116</v>
      </c>
      <c r="E284" s="26" t="s">
        <v>108</v>
      </c>
      <c r="F284" s="28" t="e">
        <f ca="1">_xludf.ifna(VLOOKUP(G285,Proyectos!$E$1:$H$4,4,0),"")</f>
        <v>#NAME?</v>
      </c>
      <c r="G284" s="26" t="s">
        <v>5314</v>
      </c>
      <c r="H284" s="32">
        <v>1</v>
      </c>
      <c r="I284" s="31" t="s">
        <v>18</v>
      </c>
      <c r="J284" s="32"/>
      <c r="K284" s="32" t="str">
        <f t="shared" si="1"/>
        <v>Externo</v>
      </c>
      <c r="L284" s="32" t="e">
        <f ca="1">_xludf.ifna(VLOOKUP(G285,Proyectos!$E$1:$N$4,10,0),"")</f>
        <v>#NAME?</v>
      </c>
      <c r="M284" s="32"/>
      <c r="N284" s="32"/>
      <c r="O284" s="31"/>
      <c r="P284" s="33"/>
      <c r="Q284" s="33"/>
    </row>
    <row r="285" spans="1:17" ht="16.5" customHeight="1" x14ac:dyDescent="0.2">
      <c r="A285" s="35" t="s">
        <v>4476</v>
      </c>
      <c r="B285" s="26" t="s">
        <v>5486</v>
      </c>
      <c r="C285" s="26" t="s">
        <v>64</v>
      </c>
      <c r="D285" s="26" t="s">
        <v>82</v>
      </c>
      <c r="E285" s="35" t="s">
        <v>126</v>
      </c>
      <c r="F285" s="28" t="e">
        <f ca="1">_xludf.ifna(VLOOKUP(G286,Proyectos!$E$1:$H$4,4,0),"")</f>
        <v>#NAME?</v>
      </c>
      <c r="G285" s="26" t="s">
        <v>5387</v>
      </c>
      <c r="H285" s="32">
        <v>1</v>
      </c>
      <c r="I285" s="31" t="s">
        <v>25</v>
      </c>
      <c r="J285" s="32"/>
      <c r="K285" s="32" t="str">
        <f t="shared" si="1"/>
        <v>Externo</v>
      </c>
      <c r="L285" s="32" t="e">
        <f ca="1">_xludf.ifna(VLOOKUP(G286,Proyectos!$E$1:$N$4,10,0),"")</f>
        <v>#NAME?</v>
      </c>
      <c r="M285" s="32"/>
      <c r="N285" s="32"/>
      <c r="O285" s="31"/>
      <c r="P285" s="33"/>
      <c r="Q285" s="33"/>
    </row>
    <row r="286" spans="1:17" ht="16.5" customHeight="1" x14ac:dyDescent="0.2">
      <c r="A286" s="26" t="s">
        <v>5055</v>
      </c>
      <c r="B286" s="26" t="s">
        <v>5056</v>
      </c>
      <c r="C286" s="26" t="s">
        <v>98</v>
      </c>
      <c r="D286" s="26" t="s">
        <v>113</v>
      </c>
      <c r="E286" s="26" t="s">
        <v>129</v>
      </c>
      <c r="F286" s="28" t="e">
        <f ca="1">_xludf.ifna(VLOOKUP(G287,Proyectos!$E$1:$H$4,4,0),"")</f>
        <v>#NAME?</v>
      </c>
      <c r="G286" s="26" t="s">
        <v>5133</v>
      </c>
      <c r="H286" s="32">
        <v>1</v>
      </c>
      <c r="I286" s="31" t="s">
        <v>18</v>
      </c>
      <c r="J286" s="32"/>
      <c r="K286" s="32" t="str">
        <f t="shared" si="1"/>
        <v>Externo</v>
      </c>
      <c r="L286" s="32" t="e">
        <f ca="1">_xludf.ifna(VLOOKUP(G287,Proyectos!$E$1:$N$4,10,0),"")</f>
        <v>#NAME?</v>
      </c>
      <c r="M286" s="32"/>
      <c r="N286" s="32"/>
      <c r="O286" s="31"/>
      <c r="P286" s="33"/>
      <c r="Q286" s="33"/>
    </row>
    <row r="287" spans="1:17" ht="16.5" customHeight="1" x14ac:dyDescent="0.25">
      <c r="A287" s="26" t="s">
        <v>4173</v>
      </c>
      <c r="B287" s="107" t="s">
        <v>4174</v>
      </c>
      <c r="C287" s="26" t="s">
        <v>98</v>
      </c>
      <c r="D287" s="26" t="s">
        <v>99</v>
      </c>
      <c r="E287" s="26" t="s">
        <v>108</v>
      </c>
      <c r="F287" s="28" t="e">
        <f ca="1">_xludf.ifna(VLOOKUP(G288,Proyectos!$E$1:$H$4,4,0),"")</f>
        <v>#NAME?</v>
      </c>
      <c r="G287" s="26" t="s">
        <v>5670</v>
      </c>
      <c r="H287" s="32">
        <v>0.5</v>
      </c>
      <c r="I287" s="31" t="s">
        <v>25</v>
      </c>
      <c r="J287" s="32"/>
      <c r="K287" s="32" t="str">
        <f t="shared" si="1"/>
        <v>Externo</v>
      </c>
      <c r="L287" s="32" t="e">
        <f ca="1">_xludf.ifna(VLOOKUP(G288,Proyectos!$E$1:$N$4,10,0),"")</f>
        <v>#NAME?</v>
      </c>
      <c r="M287" s="32"/>
      <c r="N287" s="32"/>
      <c r="O287" s="31"/>
      <c r="P287" s="33"/>
      <c r="Q287" s="33"/>
    </row>
    <row r="288" spans="1:17" ht="16.5" customHeight="1" x14ac:dyDescent="0.25">
      <c r="A288" s="26" t="s">
        <v>4173</v>
      </c>
      <c r="B288" s="107" t="s">
        <v>4174</v>
      </c>
      <c r="C288" s="26" t="s">
        <v>98</v>
      </c>
      <c r="D288" s="26" t="s">
        <v>99</v>
      </c>
      <c r="E288" s="26" t="s">
        <v>108</v>
      </c>
      <c r="F288" s="28" t="e">
        <f ca="1">_xludf.ifna(VLOOKUP(G289,Proyectos!$E$1:$H$4,4,0),"")</f>
        <v>#NAME?</v>
      </c>
      <c r="G288" s="26" t="s">
        <v>5664</v>
      </c>
      <c r="H288" s="32">
        <v>0.5</v>
      </c>
      <c r="I288" s="31" t="s">
        <v>25</v>
      </c>
      <c r="J288" s="32"/>
      <c r="K288" s="32" t="str">
        <f t="shared" si="1"/>
        <v>Externo</v>
      </c>
      <c r="L288" s="32" t="e">
        <f ca="1">_xludf.ifna(VLOOKUP(G289,Proyectos!$E$1:$N$4,10,0),"")</f>
        <v>#NAME?</v>
      </c>
      <c r="M288" s="32"/>
      <c r="N288" s="32"/>
      <c r="O288" s="31"/>
      <c r="P288" s="33"/>
      <c r="Q288" s="33"/>
    </row>
    <row r="289" spans="1:17" ht="16.5" customHeight="1" x14ac:dyDescent="0.2">
      <c r="A289" s="26" t="s">
        <v>3840</v>
      </c>
      <c r="B289" s="26" t="s">
        <v>5671</v>
      </c>
      <c r="C289" s="26" t="s">
        <v>98</v>
      </c>
      <c r="D289" s="26" t="s">
        <v>107</v>
      </c>
      <c r="E289" s="26" t="s">
        <v>39</v>
      </c>
      <c r="F289" s="28" t="e">
        <f ca="1">_xludf.ifna(VLOOKUP(G290,Proyectos!$E$1:$H$4,4,0),"")</f>
        <v>#NAME?</v>
      </c>
      <c r="G289" s="26" t="s">
        <v>5128</v>
      </c>
      <c r="H289" s="32">
        <v>0.2</v>
      </c>
      <c r="I289" s="31" t="s">
        <v>11</v>
      </c>
      <c r="J289" s="32"/>
      <c r="K289" s="32" t="str">
        <f t="shared" si="1"/>
        <v>Interno</v>
      </c>
      <c r="L289" s="32" t="e">
        <f ca="1">_xludf.ifna(VLOOKUP(G290,Proyectos!$E$1:$N$4,10,0),"")</f>
        <v>#NAME?</v>
      </c>
      <c r="M289" s="32"/>
      <c r="N289" s="32"/>
      <c r="O289" s="31"/>
      <c r="P289" s="33"/>
      <c r="Q289" s="33"/>
    </row>
    <row r="290" spans="1:17" ht="16.5" customHeight="1" x14ac:dyDescent="0.2">
      <c r="A290" s="26" t="s">
        <v>3840</v>
      </c>
      <c r="B290" s="26" t="s">
        <v>5671</v>
      </c>
      <c r="C290" s="26" t="s">
        <v>98</v>
      </c>
      <c r="D290" s="26" t="s">
        <v>107</v>
      </c>
      <c r="E290" s="26" t="s">
        <v>39</v>
      </c>
      <c r="F290" s="28" t="e">
        <f ca="1">_xludf.ifna(VLOOKUP(G291,Proyectos!$E$1:$H$4,4,0),"")</f>
        <v>#NAME?</v>
      </c>
      <c r="G290" s="26" t="s">
        <v>5593</v>
      </c>
      <c r="H290" s="32">
        <v>0.2</v>
      </c>
      <c r="I290" s="31" t="s">
        <v>11</v>
      </c>
      <c r="J290" s="32"/>
      <c r="K290" s="32" t="str">
        <f t="shared" si="1"/>
        <v>Interno</v>
      </c>
      <c r="L290" s="32" t="e">
        <f ca="1">_xludf.ifna(VLOOKUP(G291,Proyectos!$E$1:$N$4,10,0),"")</f>
        <v>#NAME?</v>
      </c>
      <c r="M290" s="32"/>
      <c r="N290" s="32"/>
      <c r="O290" s="31"/>
      <c r="P290" s="33"/>
      <c r="Q290" s="33"/>
    </row>
    <row r="291" spans="1:17" ht="16.5" customHeight="1" x14ac:dyDescent="0.2">
      <c r="A291" s="26" t="s">
        <v>3840</v>
      </c>
      <c r="B291" s="26" t="s">
        <v>5671</v>
      </c>
      <c r="C291" s="26" t="s">
        <v>98</v>
      </c>
      <c r="D291" s="26" t="s">
        <v>107</v>
      </c>
      <c r="E291" s="26" t="s">
        <v>39</v>
      </c>
      <c r="F291" s="28" t="e">
        <f ca="1">_xludf.ifna(VLOOKUP(G292,Proyectos!$E$1:$H$4,4,0),"")</f>
        <v>#NAME?</v>
      </c>
      <c r="G291" s="26" t="s">
        <v>5248</v>
      </c>
      <c r="H291" s="32">
        <v>0.2</v>
      </c>
      <c r="I291" s="31" t="s">
        <v>11</v>
      </c>
      <c r="J291" s="32"/>
      <c r="K291" s="32" t="str">
        <f t="shared" si="1"/>
        <v>Interno</v>
      </c>
      <c r="L291" s="32" t="e">
        <f ca="1">_xludf.ifna(VLOOKUP(G292,Proyectos!$E$1:$N$4,10,0),"")</f>
        <v>#NAME?</v>
      </c>
      <c r="M291" s="32"/>
      <c r="N291" s="32"/>
      <c r="O291" s="31"/>
      <c r="P291" s="33"/>
      <c r="Q291" s="33"/>
    </row>
    <row r="292" spans="1:17" ht="16.5" customHeight="1" x14ac:dyDescent="0.2">
      <c r="A292" s="26" t="s">
        <v>3840</v>
      </c>
      <c r="B292" s="26" t="s">
        <v>5671</v>
      </c>
      <c r="C292" s="26" t="s">
        <v>98</v>
      </c>
      <c r="D292" s="26" t="s">
        <v>107</v>
      </c>
      <c r="E292" s="26" t="s">
        <v>39</v>
      </c>
      <c r="F292" s="28" t="e">
        <f ca="1">_xludf.ifna(VLOOKUP(G293,Proyectos!$E$1:$H$4,4,0),"")</f>
        <v>#NAME?</v>
      </c>
      <c r="G292" s="26" t="s">
        <v>5672</v>
      </c>
      <c r="H292" s="32">
        <v>0.1</v>
      </c>
      <c r="I292" s="31" t="s">
        <v>11</v>
      </c>
      <c r="J292" s="32"/>
      <c r="K292" s="32" t="str">
        <f t="shared" si="1"/>
        <v>Interno</v>
      </c>
      <c r="L292" s="32" t="e">
        <f ca="1">_xludf.ifna(VLOOKUP(G293,Proyectos!$E$1:$N$4,10,0),"")</f>
        <v>#NAME?</v>
      </c>
      <c r="M292" s="32"/>
      <c r="N292" s="32"/>
      <c r="O292" s="31"/>
      <c r="P292" s="33"/>
      <c r="Q292" s="33"/>
    </row>
    <row r="293" spans="1:17" ht="16.5" customHeight="1" x14ac:dyDescent="0.2">
      <c r="A293" s="26" t="s">
        <v>3840</v>
      </c>
      <c r="B293" s="26" t="s">
        <v>5671</v>
      </c>
      <c r="C293" s="35" t="s">
        <v>98</v>
      </c>
      <c r="D293" s="35" t="s">
        <v>107</v>
      </c>
      <c r="E293" s="35" t="s">
        <v>39</v>
      </c>
      <c r="F293" s="28" t="e">
        <f ca="1">_xludf.ifna(VLOOKUP(G294,Proyectos!$E$1:$H$4,4,0),"")</f>
        <v>#NAME?</v>
      </c>
      <c r="G293" s="26" t="s">
        <v>5597</v>
      </c>
      <c r="H293" s="32">
        <v>0.2</v>
      </c>
      <c r="I293" s="31" t="s">
        <v>11</v>
      </c>
      <c r="J293" s="30"/>
      <c r="K293" s="32" t="str">
        <f t="shared" si="1"/>
        <v>Interno</v>
      </c>
      <c r="L293" s="32" t="e">
        <f ca="1">_xludf.ifna(VLOOKUP(G294,Proyectos!$E$1:$N$4,10,0),"")</f>
        <v>#NAME?</v>
      </c>
      <c r="M293" s="32"/>
      <c r="N293" s="32"/>
      <c r="O293" s="31"/>
      <c r="P293" s="33"/>
      <c r="Q293" s="33"/>
    </row>
    <row r="294" spans="1:17" ht="16.5" customHeight="1" x14ac:dyDescent="0.2">
      <c r="A294" s="26" t="s">
        <v>3840</v>
      </c>
      <c r="B294" s="26" t="s">
        <v>5671</v>
      </c>
      <c r="C294" s="26" t="s">
        <v>98</v>
      </c>
      <c r="D294" s="26" t="s">
        <v>107</v>
      </c>
      <c r="E294" s="26" t="s">
        <v>39</v>
      </c>
      <c r="F294" s="28" t="e">
        <f ca="1">_xludf.ifna(VLOOKUP(G295,Proyectos!$E$1:$H$4,4,0),"")</f>
        <v>#NAME?</v>
      </c>
      <c r="G294" s="26" t="s">
        <v>5673</v>
      </c>
      <c r="H294" s="32">
        <v>0.1</v>
      </c>
      <c r="I294" s="31" t="s">
        <v>11</v>
      </c>
      <c r="J294" s="32"/>
      <c r="K294" s="32" t="str">
        <f t="shared" si="1"/>
        <v>Interno</v>
      </c>
      <c r="L294" s="32" t="e">
        <f ca="1">_xludf.ifna(VLOOKUP(G295,Proyectos!$E$1:$N$4,10,0),"")</f>
        <v>#NAME?</v>
      </c>
      <c r="M294" s="32"/>
      <c r="N294" s="32"/>
      <c r="O294" s="31"/>
      <c r="P294" s="33"/>
      <c r="Q294" s="33"/>
    </row>
    <row r="295" spans="1:17" ht="16.5" customHeight="1" x14ac:dyDescent="0.2">
      <c r="A295" s="26" t="s">
        <v>4082</v>
      </c>
      <c r="B295" s="26" t="s">
        <v>4083</v>
      </c>
      <c r="C295" s="108" t="s">
        <v>98</v>
      </c>
      <c r="D295" s="26" t="s">
        <v>107</v>
      </c>
      <c r="E295" s="26" t="s">
        <v>87</v>
      </c>
      <c r="F295" s="28" t="e">
        <f ca="1">_xludf.ifna(VLOOKUP(G296,Proyectos!$E$1:$H$4,4,0),"")</f>
        <v>#NAME?</v>
      </c>
      <c r="G295" s="26" t="s">
        <v>5597</v>
      </c>
      <c r="H295" s="32">
        <v>1</v>
      </c>
      <c r="I295" s="31" t="s">
        <v>18</v>
      </c>
      <c r="J295" s="32"/>
      <c r="K295" s="32" t="str">
        <f t="shared" si="1"/>
        <v>Externo</v>
      </c>
      <c r="L295" s="32" t="e">
        <f ca="1">_xludf.ifna(VLOOKUP(G296,Proyectos!$E$1:$N$4,10,0),"")</f>
        <v>#NAME?</v>
      </c>
      <c r="M295" s="32"/>
      <c r="N295" s="32"/>
      <c r="O295" s="31"/>
      <c r="P295" s="33"/>
      <c r="Q295" s="33"/>
    </row>
    <row r="296" spans="1:17" ht="16.5" customHeight="1" x14ac:dyDescent="0.2">
      <c r="A296" s="26" t="s">
        <v>4181</v>
      </c>
      <c r="B296" s="26" t="s">
        <v>4182</v>
      </c>
      <c r="C296" s="26" t="s">
        <v>115</v>
      </c>
      <c r="D296" s="26" t="s">
        <v>119</v>
      </c>
      <c r="E296" s="26" t="s">
        <v>135</v>
      </c>
      <c r="F296" s="28" t="e">
        <f ca="1">_xludf.ifna(VLOOKUP(G297,Proyectos!$E$1:$H$4,4,0),"")</f>
        <v>#NAME?</v>
      </c>
      <c r="G296" s="26" t="s">
        <v>5597</v>
      </c>
      <c r="H296" s="32">
        <v>1</v>
      </c>
      <c r="I296" s="31" t="s">
        <v>18</v>
      </c>
      <c r="J296" s="32"/>
      <c r="K296" s="32" t="str">
        <f t="shared" si="1"/>
        <v>Externo</v>
      </c>
      <c r="L296" s="32" t="e">
        <f ca="1">_xludf.ifna(VLOOKUP(G297,Proyectos!$E$1:$N$4,10,0),"")</f>
        <v>#NAME?</v>
      </c>
      <c r="M296" s="32"/>
      <c r="N296" s="31"/>
      <c r="O296" s="31"/>
      <c r="P296" s="33"/>
      <c r="Q296" s="33"/>
    </row>
    <row r="297" spans="1:17" ht="16.5" customHeight="1" x14ac:dyDescent="0.2">
      <c r="A297" s="26" t="s">
        <v>3301</v>
      </c>
      <c r="B297" s="26" t="s">
        <v>3302</v>
      </c>
      <c r="C297" s="35" t="s">
        <v>7</v>
      </c>
      <c r="D297" s="35" t="s">
        <v>8</v>
      </c>
      <c r="E297" s="35" t="s">
        <v>39</v>
      </c>
      <c r="F297" s="28" t="e">
        <f ca="1">_xludf.ifna(VLOOKUP(G298,Proyectos!$E$1:$H$4,4,0),"")</f>
        <v>#NAME?</v>
      </c>
      <c r="G297" s="35" t="s">
        <v>5674</v>
      </c>
      <c r="H297" s="30">
        <v>0.05</v>
      </c>
      <c r="I297" s="31" t="s">
        <v>11</v>
      </c>
      <c r="J297" s="30"/>
      <c r="K297" s="32" t="str">
        <f t="shared" si="1"/>
        <v>Interno</v>
      </c>
      <c r="L297" s="32" t="e">
        <f ca="1">_xludf.ifna(VLOOKUP(G298,Proyectos!$E$1:$N$4,10,0),"")</f>
        <v>#NAME?</v>
      </c>
      <c r="M297" s="32"/>
      <c r="N297" s="31"/>
      <c r="O297" s="31"/>
      <c r="P297" s="33"/>
      <c r="Q297" s="33"/>
    </row>
    <row r="298" spans="1:17" ht="16.5" customHeight="1" x14ac:dyDescent="0.2">
      <c r="A298" s="26" t="s">
        <v>3301</v>
      </c>
      <c r="B298" s="26" t="s">
        <v>3302</v>
      </c>
      <c r="C298" s="35" t="s">
        <v>7</v>
      </c>
      <c r="D298" s="35" t="s">
        <v>8</v>
      </c>
      <c r="E298" s="35" t="s">
        <v>39</v>
      </c>
      <c r="F298" s="28" t="e">
        <f ca="1">_xludf.ifna(VLOOKUP(G299,Proyectos!$E$1:$H$4,4,0),"")</f>
        <v>#NAME?</v>
      </c>
      <c r="G298" s="35" t="s">
        <v>5150</v>
      </c>
      <c r="H298" s="30">
        <v>0.08</v>
      </c>
      <c r="I298" s="31" t="s">
        <v>11</v>
      </c>
      <c r="J298" s="30"/>
      <c r="K298" s="32" t="str">
        <f t="shared" si="1"/>
        <v>Interno</v>
      </c>
      <c r="L298" s="32" t="e">
        <f ca="1">_xludf.ifna(VLOOKUP(G299,Proyectos!$E$1:$N$4,10,0),"")</f>
        <v>#NAME?</v>
      </c>
      <c r="M298" s="32"/>
      <c r="N298" s="31"/>
      <c r="O298" s="31"/>
      <c r="P298" s="33"/>
      <c r="Q298" s="33"/>
    </row>
    <row r="299" spans="1:17" ht="16.5" customHeight="1" x14ac:dyDescent="0.2">
      <c r="A299" s="26" t="s">
        <v>3301</v>
      </c>
      <c r="B299" s="26" t="s">
        <v>3302</v>
      </c>
      <c r="C299" s="35" t="s">
        <v>7</v>
      </c>
      <c r="D299" s="35" t="s">
        <v>8</v>
      </c>
      <c r="E299" s="35" t="s">
        <v>39</v>
      </c>
      <c r="F299" s="28" t="e">
        <f ca="1">_xludf.ifna(VLOOKUP(G300,Proyectos!$E$1:$H$4,4,0),"")</f>
        <v>#NAME?</v>
      </c>
      <c r="G299" s="35" t="s">
        <v>5675</v>
      </c>
      <c r="H299" s="30">
        <v>0.05</v>
      </c>
      <c r="I299" s="31" t="s">
        <v>11</v>
      </c>
      <c r="J299" s="30"/>
      <c r="K299" s="32" t="str">
        <f t="shared" si="1"/>
        <v>Interno</v>
      </c>
      <c r="L299" s="32" t="e">
        <f ca="1">_xludf.ifna(VLOOKUP(G300,Proyectos!$E$1:$N$4,10,0),"")</f>
        <v>#NAME?</v>
      </c>
      <c r="M299" s="32"/>
      <c r="N299" s="31"/>
      <c r="O299" s="31"/>
      <c r="P299" s="33"/>
      <c r="Q299" s="33"/>
    </row>
    <row r="300" spans="1:17" ht="16.5" customHeight="1" x14ac:dyDescent="0.2">
      <c r="A300" s="26" t="s">
        <v>3301</v>
      </c>
      <c r="B300" s="26" t="s">
        <v>3302</v>
      </c>
      <c r="C300" s="35" t="s">
        <v>7</v>
      </c>
      <c r="D300" s="35" t="s">
        <v>8</v>
      </c>
      <c r="E300" s="35" t="s">
        <v>39</v>
      </c>
      <c r="F300" s="28" t="e">
        <f ca="1">_xludf.ifna(VLOOKUP(G301,Proyectos!$E$1:$H$4,4,0),"")</f>
        <v>#NAME?</v>
      </c>
      <c r="G300" s="35" t="s">
        <v>5117</v>
      </c>
      <c r="H300" s="30">
        <v>0.02</v>
      </c>
      <c r="I300" s="31" t="s">
        <v>11</v>
      </c>
      <c r="J300" s="30"/>
      <c r="K300" s="32" t="str">
        <f t="shared" si="1"/>
        <v>Interno</v>
      </c>
      <c r="L300" s="32" t="e">
        <f ca="1">_xludf.ifna(VLOOKUP(G301,Proyectos!$E$1:$N$4,10,0),"")</f>
        <v>#NAME?</v>
      </c>
      <c r="M300" s="32"/>
      <c r="N300" s="32"/>
      <c r="O300" s="31"/>
      <c r="P300" s="33"/>
      <c r="Q300" s="33"/>
    </row>
    <row r="301" spans="1:17" ht="16.5" customHeight="1" x14ac:dyDescent="0.2">
      <c r="A301" s="26" t="s">
        <v>3301</v>
      </c>
      <c r="B301" s="26" t="s">
        <v>3302</v>
      </c>
      <c r="C301" s="35" t="s">
        <v>7</v>
      </c>
      <c r="D301" s="35" t="s">
        <v>8</v>
      </c>
      <c r="E301" s="35" t="s">
        <v>39</v>
      </c>
      <c r="F301" s="28" t="e">
        <f ca="1">_xludf.ifna(VLOOKUP(G302,Proyectos!$E$1:$H$4,4,0),"")</f>
        <v>#NAME?</v>
      </c>
      <c r="G301" s="35" t="s">
        <v>5676</v>
      </c>
      <c r="H301" s="30">
        <v>0.1</v>
      </c>
      <c r="I301" s="31" t="s">
        <v>11</v>
      </c>
      <c r="J301" s="30"/>
      <c r="K301" s="32" t="str">
        <f t="shared" si="1"/>
        <v>Interno</v>
      </c>
      <c r="L301" s="32" t="e">
        <f ca="1">_xludf.ifna(VLOOKUP(G302,Proyectos!$E$1:$N$4,10,0),"")</f>
        <v>#NAME?</v>
      </c>
      <c r="M301" s="32"/>
      <c r="N301" s="31"/>
      <c r="O301" s="31"/>
      <c r="P301" s="33"/>
      <c r="Q301" s="33"/>
    </row>
    <row r="302" spans="1:17" ht="16.5" customHeight="1" x14ac:dyDescent="0.2">
      <c r="A302" s="26" t="s">
        <v>3301</v>
      </c>
      <c r="B302" s="26" t="s">
        <v>3302</v>
      </c>
      <c r="C302" s="35" t="s">
        <v>7</v>
      </c>
      <c r="D302" s="35" t="s">
        <v>8</v>
      </c>
      <c r="E302" s="35" t="s">
        <v>39</v>
      </c>
      <c r="F302" s="28" t="e">
        <f ca="1">_xludf.ifna(VLOOKUP(G303,Proyectos!$E$1:$H$4,4,0),"")</f>
        <v>#NAME?</v>
      </c>
      <c r="G302" s="35" t="s">
        <v>5331</v>
      </c>
      <c r="H302" s="30">
        <v>0.1</v>
      </c>
      <c r="I302" s="31" t="s">
        <v>11</v>
      </c>
      <c r="J302" s="30"/>
      <c r="K302" s="32" t="str">
        <f t="shared" si="1"/>
        <v>Interno</v>
      </c>
      <c r="L302" s="32" t="e">
        <f ca="1">_xludf.ifna(VLOOKUP(G303,Proyectos!$E$1:$N$4,10,0),"")</f>
        <v>#NAME?</v>
      </c>
      <c r="M302" s="32"/>
      <c r="N302" s="31"/>
      <c r="O302" s="31"/>
      <c r="P302" s="33"/>
      <c r="Q302" s="33"/>
    </row>
    <row r="303" spans="1:17" ht="16.5" customHeight="1" x14ac:dyDescent="0.2">
      <c r="A303" s="26" t="s">
        <v>3301</v>
      </c>
      <c r="B303" s="26" t="s">
        <v>3302</v>
      </c>
      <c r="C303" s="35" t="s">
        <v>7</v>
      </c>
      <c r="D303" s="35" t="s">
        <v>8</v>
      </c>
      <c r="E303" s="35" t="s">
        <v>39</v>
      </c>
      <c r="F303" s="28" t="e">
        <f ca="1">_xludf.ifna(VLOOKUP(G304,Proyectos!$E$1:$H$4,4,0),"")</f>
        <v>#NAME?</v>
      </c>
      <c r="G303" s="35" t="s">
        <v>5187</v>
      </c>
      <c r="H303" s="30">
        <v>0.1</v>
      </c>
      <c r="I303" s="31" t="s">
        <v>11</v>
      </c>
      <c r="J303" s="30"/>
      <c r="K303" s="32" t="str">
        <f t="shared" si="1"/>
        <v>Interno</v>
      </c>
      <c r="L303" s="32" t="e">
        <f ca="1">_xludf.ifna(VLOOKUP(G304,Proyectos!$E$1:$N$4,10,0),"")</f>
        <v>#NAME?</v>
      </c>
      <c r="M303" s="32"/>
      <c r="N303" s="31"/>
      <c r="O303" s="31"/>
      <c r="P303" s="33"/>
      <c r="Q303" s="33"/>
    </row>
    <row r="304" spans="1:17" ht="16.5" customHeight="1" x14ac:dyDescent="0.2">
      <c r="A304" s="26" t="s">
        <v>3301</v>
      </c>
      <c r="B304" s="26" t="s">
        <v>3302</v>
      </c>
      <c r="C304" s="35" t="s">
        <v>7</v>
      </c>
      <c r="D304" s="35" t="s">
        <v>8</v>
      </c>
      <c r="E304" s="35" t="s">
        <v>39</v>
      </c>
      <c r="F304" s="28" t="e">
        <f ca="1">_xludf.ifna(VLOOKUP(G305,Proyectos!$E$1:$H$4,4,0),"")</f>
        <v>#NAME?</v>
      </c>
      <c r="G304" s="35" t="s">
        <v>5188</v>
      </c>
      <c r="H304" s="30">
        <v>0.1</v>
      </c>
      <c r="I304" s="31" t="s">
        <v>11</v>
      </c>
      <c r="J304" s="30"/>
      <c r="K304" s="32" t="str">
        <f t="shared" si="1"/>
        <v>Interno</v>
      </c>
      <c r="L304" s="32" t="e">
        <f ca="1">_xludf.ifna(VLOOKUP(G305,Proyectos!$E$1:$N$4,10,0),"")</f>
        <v>#NAME?</v>
      </c>
      <c r="M304" s="32"/>
      <c r="N304" s="31"/>
      <c r="O304" s="31"/>
      <c r="P304" s="33"/>
      <c r="Q304" s="33"/>
    </row>
    <row r="305" spans="1:17" ht="16.5" customHeight="1" x14ac:dyDescent="0.2">
      <c r="A305" s="26" t="s">
        <v>3301</v>
      </c>
      <c r="B305" s="26" t="s">
        <v>3302</v>
      </c>
      <c r="C305" s="35" t="s">
        <v>7</v>
      </c>
      <c r="D305" s="35" t="s">
        <v>8</v>
      </c>
      <c r="E305" s="35" t="s">
        <v>39</v>
      </c>
      <c r="F305" s="28" t="e">
        <f ca="1">_xludf.ifna(VLOOKUP(G306,Proyectos!$E$1:$H$4,4,0),"")</f>
        <v>#NAME?</v>
      </c>
      <c r="G305" s="35" t="s">
        <v>5189</v>
      </c>
      <c r="H305" s="30">
        <v>0.05</v>
      </c>
      <c r="I305" s="31" t="s">
        <v>11</v>
      </c>
      <c r="J305" s="30"/>
      <c r="K305" s="32" t="str">
        <f t="shared" si="1"/>
        <v>Interno</v>
      </c>
      <c r="L305" s="32" t="e">
        <f ca="1">_xludf.ifna(VLOOKUP(G306,Proyectos!$E$1:$N$4,10,0),"")</f>
        <v>#NAME?</v>
      </c>
      <c r="M305" s="32"/>
      <c r="N305" s="31"/>
      <c r="O305" s="31"/>
      <c r="P305" s="33"/>
      <c r="Q305" s="33"/>
    </row>
    <row r="306" spans="1:17" ht="16.5" customHeight="1" x14ac:dyDescent="0.2">
      <c r="A306" s="26" t="s">
        <v>3301</v>
      </c>
      <c r="B306" s="26" t="s">
        <v>3302</v>
      </c>
      <c r="C306" s="35" t="s">
        <v>7</v>
      </c>
      <c r="D306" s="35" t="s">
        <v>8</v>
      </c>
      <c r="E306" s="35" t="s">
        <v>39</v>
      </c>
      <c r="F306" s="28" t="e">
        <f ca="1">_xludf.ifna(VLOOKUP(G307,Proyectos!$E$1:$H$4,4,0),"")</f>
        <v>#NAME?</v>
      </c>
      <c r="G306" s="35" t="s">
        <v>5190</v>
      </c>
      <c r="H306" s="30">
        <v>0.1</v>
      </c>
      <c r="I306" s="31" t="s">
        <v>11</v>
      </c>
      <c r="J306" s="30"/>
      <c r="K306" s="32" t="str">
        <f t="shared" si="1"/>
        <v>Interno</v>
      </c>
      <c r="L306" s="32" t="e">
        <f ca="1">_xludf.ifna(VLOOKUP(G307,Proyectos!$E$1:$N$4,10,0),"")</f>
        <v>#NAME?</v>
      </c>
      <c r="M306" s="32"/>
      <c r="N306" s="31"/>
      <c r="O306" s="31"/>
      <c r="P306" s="33"/>
      <c r="Q306" s="33"/>
    </row>
    <row r="307" spans="1:17" ht="16.5" customHeight="1" x14ac:dyDescent="0.2">
      <c r="A307" s="26" t="s">
        <v>3301</v>
      </c>
      <c r="B307" s="26" t="s">
        <v>3302</v>
      </c>
      <c r="C307" s="35" t="s">
        <v>7</v>
      </c>
      <c r="D307" s="35" t="s">
        <v>8</v>
      </c>
      <c r="E307" s="35" t="s">
        <v>39</v>
      </c>
      <c r="F307" s="28" t="e">
        <f ca="1">_xludf.ifna(VLOOKUP(G308,Proyectos!$E$1:$H$4,4,0),"")</f>
        <v>#NAME?</v>
      </c>
      <c r="G307" s="35" t="s">
        <v>5198</v>
      </c>
      <c r="H307" s="30">
        <v>0.1</v>
      </c>
      <c r="I307" s="31" t="s">
        <v>11</v>
      </c>
      <c r="J307" s="30"/>
      <c r="K307" s="32" t="str">
        <f t="shared" si="1"/>
        <v>Interno</v>
      </c>
      <c r="L307" s="32" t="e">
        <f ca="1">_xludf.ifna(VLOOKUP(G308,Proyectos!$E$1:$N$4,10,0),"")</f>
        <v>#NAME?</v>
      </c>
      <c r="M307" s="32"/>
      <c r="N307" s="31"/>
      <c r="O307" s="31"/>
      <c r="P307" s="33"/>
      <c r="Q307" s="33"/>
    </row>
    <row r="308" spans="1:17" ht="16.5" customHeight="1" x14ac:dyDescent="0.2">
      <c r="A308" s="26" t="s">
        <v>3301</v>
      </c>
      <c r="B308" s="26" t="s">
        <v>3302</v>
      </c>
      <c r="C308" s="35" t="s">
        <v>7</v>
      </c>
      <c r="D308" s="35" t="s">
        <v>8</v>
      </c>
      <c r="E308" s="35" t="s">
        <v>39</v>
      </c>
      <c r="F308" s="28" t="e">
        <f ca="1">_xludf.ifna(VLOOKUP(G309,Proyectos!$E$1:$H$4,4,0),"")</f>
        <v>#NAME?</v>
      </c>
      <c r="G308" s="35" t="s">
        <v>5194</v>
      </c>
      <c r="H308" s="30">
        <v>0.05</v>
      </c>
      <c r="I308" s="31" t="s">
        <v>11</v>
      </c>
      <c r="J308" s="30"/>
      <c r="K308" s="32" t="str">
        <f t="shared" si="1"/>
        <v>Interno</v>
      </c>
      <c r="L308" s="32" t="e">
        <f ca="1">_xludf.ifna(VLOOKUP(G309,Proyectos!$E$1:$N$4,10,0),"")</f>
        <v>#NAME?</v>
      </c>
      <c r="M308" s="32"/>
      <c r="N308" s="31"/>
      <c r="O308" s="31"/>
      <c r="P308" s="33"/>
      <c r="Q308" s="33"/>
    </row>
    <row r="309" spans="1:17" ht="16.5" customHeight="1" x14ac:dyDescent="0.2">
      <c r="A309" s="26" t="s">
        <v>3301</v>
      </c>
      <c r="B309" s="26" t="s">
        <v>3302</v>
      </c>
      <c r="C309" s="35" t="s">
        <v>7</v>
      </c>
      <c r="D309" s="35" t="s">
        <v>8</v>
      </c>
      <c r="E309" s="35" t="s">
        <v>39</v>
      </c>
      <c r="F309" s="28" t="e">
        <f ca="1">_xludf.ifna(VLOOKUP(G310,Proyectos!$E$1:$H$4,4,0),"")</f>
        <v>#NAME?</v>
      </c>
      <c r="G309" s="35" t="s">
        <v>5112</v>
      </c>
      <c r="H309" s="30">
        <v>7.0000000000000007E-2</v>
      </c>
      <c r="I309" s="31" t="s">
        <v>11</v>
      </c>
      <c r="J309" s="30"/>
      <c r="K309" s="32" t="str">
        <f t="shared" si="1"/>
        <v>Interno</v>
      </c>
      <c r="L309" s="32" t="e">
        <f ca="1">_xludf.ifna(VLOOKUP(G310,Proyectos!$E$1:$N$4,10,0),"")</f>
        <v>#NAME?</v>
      </c>
      <c r="M309" s="32"/>
      <c r="N309" s="32"/>
      <c r="O309" s="31"/>
      <c r="P309" s="33"/>
      <c r="Q309" s="33"/>
    </row>
    <row r="310" spans="1:17" ht="16.5" customHeight="1" x14ac:dyDescent="0.2">
      <c r="A310" s="26" t="s">
        <v>3301</v>
      </c>
      <c r="B310" s="26" t="s">
        <v>3302</v>
      </c>
      <c r="C310" s="35" t="s">
        <v>7</v>
      </c>
      <c r="D310" s="35" t="s">
        <v>8</v>
      </c>
      <c r="E310" s="35" t="s">
        <v>39</v>
      </c>
      <c r="F310" s="28" t="e">
        <f ca="1">_xludf.ifna(VLOOKUP(G311,Proyectos!$E$1:$H$4,4,0),"")</f>
        <v>#NAME?</v>
      </c>
      <c r="G310" s="35" t="s">
        <v>5196</v>
      </c>
      <c r="H310" s="30">
        <v>0.03</v>
      </c>
      <c r="I310" s="31" t="s">
        <v>11</v>
      </c>
      <c r="J310" s="30"/>
      <c r="K310" s="32" t="str">
        <f t="shared" si="1"/>
        <v>Interno</v>
      </c>
      <c r="L310" s="32" t="e">
        <f ca="1">_xludf.ifna(VLOOKUP(G311,Proyectos!$E$1:$N$4,10,0),"")</f>
        <v>#NAME?</v>
      </c>
      <c r="M310" s="32"/>
      <c r="N310" s="31"/>
      <c r="O310" s="31"/>
      <c r="P310" s="33"/>
      <c r="Q310" s="33"/>
    </row>
    <row r="311" spans="1:17" ht="16.5" customHeight="1" x14ac:dyDescent="0.2">
      <c r="A311" s="26" t="s">
        <v>3303</v>
      </c>
      <c r="B311" s="26" t="s">
        <v>5162</v>
      </c>
      <c r="C311" s="54" t="s">
        <v>7</v>
      </c>
      <c r="D311" s="35" t="s">
        <v>30</v>
      </c>
      <c r="E311" s="35" t="s">
        <v>39</v>
      </c>
      <c r="F311" s="28" t="e">
        <f ca="1">_xludf.ifna(VLOOKUP(G312,Proyectos!$E$1:$H$4,4,0),"")</f>
        <v>#NAME?</v>
      </c>
      <c r="G311" s="35" t="s">
        <v>5639</v>
      </c>
      <c r="H311" s="30">
        <v>0.3</v>
      </c>
      <c r="I311" s="31" t="s">
        <v>18</v>
      </c>
      <c r="J311" s="55"/>
      <c r="K311" s="32" t="str">
        <f t="shared" si="1"/>
        <v>Interno</v>
      </c>
      <c r="L311" s="32" t="e">
        <f ca="1">_xludf.ifna(VLOOKUP(G312,Proyectos!$E$1:$N$4,10,0),"")</f>
        <v>#NAME?</v>
      </c>
      <c r="M311" s="32"/>
      <c r="N311" s="31"/>
      <c r="O311" s="31"/>
      <c r="P311" s="33"/>
      <c r="Q311" s="33"/>
    </row>
    <row r="312" spans="1:17" ht="16.5" customHeight="1" x14ac:dyDescent="0.2">
      <c r="A312" s="26" t="s">
        <v>3303</v>
      </c>
      <c r="B312" s="26" t="s">
        <v>5162</v>
      </c>
      <c r="C312" s="54" t="s">
        <v>7</v>
      </c>
      <c r="D312" s="35" t="s">
        <v>30</v>
      </c>
      <c r="E312" s="35" t="s">
        <v>39</v>
      </c>
      <c r="F312" s="28" t="e">
        <f ca="1">_xludf.ifna(VLOOKUP(G313,Proyectos!$E$1:$H$4,4,0),"")</f>
        <v>#NAME?</v>
      </c>
      <c r="G312" s="35" t="s">
        <v>5155</v>
      </c>
      <c r="H312" s="30">
        <v>0.35</v>
      </c>
      <c r="I312" s="31" t="s">
        <v>18</v>
      </c>
      <c r="J312" s="55"/>
      <c r="K312" s="32" t="str">
        <f t="shared" si="1"/>
        <v>Interno</v>
      </c>
      <c r="L312" s="32" t="e">
        <f ca="1">_xludf.ifna(VLOOKUP(G313,Proyectos!$E$1:$N$4,10,0),"")</f>
        <v>#NAME?</v>
      </c>
      <c r="M312" s="32"/>
      <c r="N312" s="31"/>
      <c r="O312" s="31"/>
      <c r="P312" s="33"/>
      <c r="Q312" s="33"/>
    </row>
    <row r="313" spans="1:17" ht="16.5" customHeight="1" x14ac:dyDescent="0.2">
      <c r="A313" s="26" t="s">
        <v>3303</v>
      </c>
      <c r="B313" s="26" t="s">
        <v>5162</v>
      </c>
      <c r="C313" s="54" t="s">
        <v>7</v>
      </c>
      <c r="D313" s="35" t="s">
        <v>30</v>
      </c>
      <c r="E313" s="35" t="s">
        <v>39</v>
      </c>
      <c r="F313" s="28" t="e">
        <f ca="1">_xludf.ifna(VLOOKUP(G314,Proyectos!$E$1:$H$4,4,0),"")</f>
        <v>#NAME?</v>
      </c>
      <c r="G313" s="35" t="s">
        <v>5159</v>
      </c>
      <c r="H313" s="30">
        <v>0.35</v>
      </c>
      <c r="I313" s="31" t="s">
        <v>18</v>
      </c>
      <c r="J313" s="55"/>
      <c r="K313" s="32" t="str">
        <f t="shared" si="1"/>
        <v>Interno</v>
      </c>
      <c r="L313" s="32" t="e">
        <f ca="1">_xludf.ifna(VLOOKUP(G314,Proyectos!$E$1:$N$4,10,0),"")</f>
        <v>#NAME?</v>
      </c>
      <c r="M313" s="32"/>
      <c r="N313" s="31"/>
      <c r="O313" s="31"/>
      <c r="P313" s="33"/>
      <c r="Q313" s="33"/>
    </row>
    <row r="314" spans="1:17" ht="16.5" customHeight="1" x14ac:dyDescent="0.2">
      <c r="A314" s="26" t="s">
        <v>3787</v>
      </c>
      <c r="B314" s="26" t="s">
        <v>3788</v>
      </c>
      <c r="C314" s="26" t="s">
        <v>115</v>
      </c>
      <c r="D314" s="26" t="s">
        <v>122</v>
      </c>
      <c r="E314" s="26" t="s">
        <v>39</v>
      </c>
      <c r="F314" s="28" t="e">
        <f ca="1">_xludf.ifna(VLOOKUP(G315,Proyectos!$E$1:$H$4,4,0),"")</f>
        <v>#NAME?</v>
      </c>
      <c r="G314" s="26" t="s">
        <v>5416</v>
      </c>
      <c r="H314" s="32">
        <v>0.2</v>
      </c>
      <c r="I314" s="31" t="s">
        <v>18</v>
      </c>
      <c r="J314" s="32"/>
      <c r="K314" s="32" t="str">
        <f t="shared" si="1"/>
        <v>Interno</v>
      </c>
      <c r="L314" s="32" t="e">
        <f ca="1">_xludf.ifna(VLOOKUP(G315,Proyectos!$E$1:$N$4,10,0),"")</f>
        <v>#NAME?</v>
      </c>
      <c r="M314" s="32"/>
      <c r="N314" s="31"/>
      <c r="O314" s="31"/>
      <c r="P314" s="33"/>
      <c r="Q314" s="33"/>
    </row>
    <row r="315" spans="1:17" ht="16.5" customHeight="1" x14ac:dyDescent="0.2">
      <c r="A315" s="26" t="s">
        <v>3787</v>
      </c>
      <c r="B315" s="26" t="s">
        <v>3788</v>
      </c>
      <c r="C315" s="26" t="s">
        <v>115</v>
      </c>
      <c r="D315" s="26" t="s">
        <v>122</v>
      </c>
      <c r="E315" s="26" t="s">
        <v>39</v>
      </c>
      <c r="F315" s="28" t="e">
        <f ca="1">_xludf.ifna(VLOOKUP(G316,Proyectos!$E$1:$H$4,4,0),"")</f>
        <v>#NAME?</v>
      </c>
      <c r="G315" s="26" t="s">
        <v>5116</v>
      </c>
      <c r="H315" s="32">
        <v>0.8</v>
      </c>
      <c r="I315" s="31" t="s">
        <v>18</v>
      </c>
      <c r="J315" s="32"/>
      <c r="K315" s="32" t="str">
        <f t="shared" si="1"/>
        <v>Interno</v>
      </c>
      <c r="L315" s="32" t="e">
        <f ca="1">_xludf.ifna(VLOOKUP(G316,Proyectos!$E$1:$N$4,10,0),"")</f>
        <v>#NAME?</v>
      </c>
      <c r="M315" s="32"/>
      <c r="N315" s="32"/>
      <c r="O315" s="31"/>
      <c r="P315" s="33"/>
      <c r="Q315" s="33"/>
    </row>
    <row r="316" spans="1:17" ht="16.5" customHeight="1" x14ac:dyDescent="0.2">
      <c r="A316" s="26" t="s">
        <v>3962</v>
      </c>
      <c r="B316" s="26" t="s">
        <v>3963</v>
      </c>
      <c r="C316" s="26" t="s">
        <v>115</v>
      </c>
      <c r="D316" s="26" t="s">
        <v>122</v>
      </c>
      <c r="E316" s="26" t="s">
        <v>114</v>
      </c>
      <c r="F316" s="28" t="e">
        <f ca="1">_xludf.ifna(VLOOKUP(G317,Proyectos!$E$1:$H$4,4,0),"")</f>
        <v>#NAME?</v>
      </c>
      <c r="G316" s="26" t="s">
        <v>5588</v>
      </c>
      <c r="H316" s="32">
        <v>0.2</v>
      </c>
      <c r="I316" s="31" t="s">
        <v>25</v>
      </c>
      <c r="J316" s="32"/>
      <c r="K316" s="32" t="str">
        <f t="shared" si="1"/>
        <v>Externo</v>
      </c>
      <c r="L316" s="32" t="e">
        <f ca="1">_xludf.ifna(VLOOKUP(G317,Proyectos!$E$1:$N$4,10,0),"")</f>
        <v>#NAME?</v>
      </c>
      <c r="M316" s="32"/>
      <c r="N316" s="32"/>
      <c r="O316" s="31"/>
      <c r="P316" s="33"/>
      <c r="Q316" s="33"/>
    </row>
    <row r="317" spans="1:17" ht="16.5" customHeight="1" x14ac:dyDescent="0.2">
      <c r="A317" s="26" t="s">
        <v>3962</v>
      </c>
      <c r="B317" s="26" t="s">
        <v>3963</v>
      </c>
      <c r="C317" s="26" t="s">
        <v>115</v>
      </c>
      <c r="D317" s="26" t="s">
        <v>122</v>
      </c>
      <c r="E317" s="26" t="s">
        <v>114</v>
      </c>
      <c r="F317" s="28" t="e">
        <f ca="1">_xludf.ifna(VLOOKUP(G318,Proyectos!$E$1:$H$4,4,0),"")</f>
        <v>#NAME?</v>
      </c>
      <c r="G317" s="26" t="s">
        <v>5414</v>
      </c>
      <c r="H317" s="32">
        <v>0.5</v>
      </c>
      <c r="I317" s="31" t="s">
        <v>25</v>
      </c>
      <c r="J317" s="32"/>
      <c r="K317" s="32" t="str">
        <f t="shared" si="1"/>
        <v>Externo</v>
      </c>
      <c r="L317" s="32" t="e">
        <f ca="1">_xludf.ifna(VLOOKUP(G318,Proyectos!$E$1:$N$4,10,0),"")</f>
        <v>#NAME?</v>
      </c>
      <c r="M317" s="32"/>
      <c r="N317" s="32"/>
      <c r="O317" s="31"/>
      <c r="P317" s="33"/>
      <c r="Q317" s="33"/>
    </row>
    <row r="318" spans="1:17" ht="16.5" customHeight="1" x14ac:dyDescent="0.2">
      <c r="A318" s="26" t="s">
        <v>3962</v>
      </c>
      <c r="B318" s="26" t="s">
        <v>3963</v>
      </c>
      <c r="C318" s="26" t="s">
        <v>115</v>
      </c>
      <c r="D318" s="26" t="s">
        <v>122</v>
      </c>
      <c r="E318" s="26" t="s">
        <v>114</v>
      </c>
      <c r="F318" s="28" t="e">
        <f ca="1">_xludf.ifna(VLOOKUP(G319,Proyectos!$E$1:$H$4,4,0),"")</f>
        <v>#NAME?</v>
      </c>
      <c r="G318" s="26" t="s">
        <v>5597</v>
      </c>
      <c r="H318" s="32">
        <v>0.3</v>
      </c>
      <c r="I318" s="31" t="s">
        <v>25</v>
      </c>
      <c r="J318" s="32"/>
      <c r="K318" s="32" t="str">
        <f t="shared" si="1"/>
        <v>Externo</v>
      </c>
      <c r="L318" s="32" t="e">
        <f ca="1">_xludf.ifna(VLOOKUP(G319,Proyectos!$E$1:$N$4,10,0),"")</f>
        <v>#NAME?</v>
      </c>
      <c r="M318" s="32"/>
      <c r="N318" s="31"/>
      <c r="O318" s="31"/>
      <c r="P318" s="33"/>
      <c r="Q318" s="33"/>
    </row>
    <row r="319" spans="1:17" ht="16.5" customHeight="1" x14ac:dyDescent="0.2">
      <c r="A319" s="26" t="s">
        <v>4415</v>
      </c>
      <c r="B319" s="26" t="s">
        <v>4416</v>
      </c>
      <c r="C319" s="26" t="s">
        <v>115</v>
      </c>
      <c r="D319" s="26" t="s">
        <v>122</v>
      </c>
      <c r="E319" s="26" t="s">
        <v>114</v>
      </c>
      <c r="F319" s="28" t="e">
        <f ca="1">_xludf.ifna(VLOOKUP(G320,Proyectos!$E$1:$H$4,4,0),"")</f>
        <v>#NAME?</v>
      </c>
      <c r="G319" s="26" t="s">
        <v>5588</v>
      </c>
      <c r="H319" s="32">
        <v>0.2</v>
      </c>
      <c r="I319" s="31" t="s">
        <v>25</v>
      </c>
      <c r="J319" s="32"/>
      <c r="K319" s="32" t="str">
        <f t="shared" si="1"/>
        <v>Externo</v>
      </c>
      <c r="L319" s="32" t="e">
        <f ca="1">_xludf.ifna(VLOOKUP(G320,Proyectos!$E$1:$N$4,10,0),"")</f>
        <v>#NAME?</v>
      </c>
      <c r="M319" s="32"/>
      <c r="N319" s="32"/>
      <c r="O319" s="31"/>
      <c r="P319" s="33"/>
      <c r="Q319" s="33"/>
    </row>
    <row r="320" spans="1:17" ht="16.5" customHeight="1" x14ac:dyDescent="0.2">
      <c r="A320" s="26" t="s">
        <v>4415</v>
      </c>
      <c r="B320" s="26" t="s">
        <v>4416</v>
      </c>
      <c r="C320" s="26" t="s">
        <v>115</v>
      </c>
      <c r="D320" s="26" t="s">
        <v>122</v>
      </c>
      <c r="E320" s="26" t="s">
        <v>114</v>
      </c>
      <c r="F320" s="28" t="e">
        <f ca="1">_xludf.ifna(VLOOKUP(G321,Proyectos!$E$1:$H$4,4,0),"")</f>
        <v>#NAME?</v>
      </c>
      <c r="G320" s="26" t="s">
        <v>5597</v>
      </c>
      <c r="H320" s="32">
        <v>0.3</v>
      </c>
      <c r="I320" s="31" t="s">
        <v>25</v>
      </c>
      <c r="J320" s="32"/>
      <c r="K320" s="32" t="str">
        <f t="shared" si="1"/>
        <v>Externo</v>
      </c>
      <c r="L320" s="32" t="e">
        <f ca="1">_xludf.ifna(VLOOKUP(G321,Proyectos!$E$1:$N$4,10,0),"")</f>
        <v>#NAME?</v>
      </c>
      <c r="M320" s="32"/>
      <c r="N320" s="31"/>
      <c r="O320" s="31"/>
      <c r="P320" s="33"/>
      <c r="Q320" s="33"/>
    </row>
    <row r="321" spans="1:17" ht="16.5" customHeight="1" x14ac:dyDescent="0.2">
      <c r="A321" s="26" t="s">
        <v>4415</v>
      </c>
      <c r="B321" s="26" t="s">
        <v>4416</v>
      </c>
      <c r="C321" s="26" t="s">
        <v>115</v>
      </c>
      <c r="D321" s="26" t="s">
        <v>122</v>
      </c>
      <c r="E321" s="26" t="s">
        <v>114</v>
      </c>
      <c r="F321" s="28" t="e">
        <f ca="1">_xludf.ifna(VLOOKUP(G322,Proyectos!$E$1:$H$4,4,0),"")</f>
        <v>#NAME?</v>
      </c>
      <c r="G321" s="26" t="s">
        <v>5414</v>
      </c>
      <c r="H321" s="32">
        <v>0.5</v>
      </c>
      <c r="I321" s="31" t="s">
        <v>25</v>
      </c>
      <c r="J321" s="32"/>
      <c r="K321" s="32" t="str">
        <f t="shared" si="1"/>
        <v>Externo</v>
      </c>
      <c r="L321" s="32" t="e">
        <f ca="1">_xludf.ifna(VLOOKUP(G322,Proyectos!$E$1:$N$4,10,0),"")</f>
        <v>#NAME?</v>
      </c>
      <c r="M321" s="32"/>
      <c r="N321" s="32"/>
      <c r="O321" s="31"/>
      <c r="P321" s="33"/>
      <c r="Q321" s="33"/>
    </row>
    <row r="322" spans="1:17" ht="16.5" customHeight="1" x14ac:dyDescent="0.2">
      <c r="A322" s="26" t="s">
        <v>3991</v>
      </c>
      <c r="B322" s="26" t="s">
        <v>5677</v>
      </c>
      <c r="C322" s="26" t="s">
        <v>98</v>
      </c>
      <c r="D322" s="26" t="s">
        <v>102</v>
      </c>
      <c r="E322" s="26" t="s">
        <v>108</v>
      </c>
      <c r="F322" s="28" t="e">
        <f ca="1">_xludf.ifna(VLOOKUP(G323,Proyectos!$E$1:$H$4,4,0),"")</f>
        <v>#NAME?</v>
      </c>
      <c r="G322" s="26" t="s">
        <v>5597</v>
      </c>
      <c r="H322" s="32">
        <v>1</v>
      </c>
      <c r="I322" s="31" t="s">
        <v>18</v>
      </c>
      <c r="J322" s="32"/>
      <c r="K322" s="32" t="str">
        <f t="shared" si="1"/>
        <v>Externo</v>
      </c>
      <c r="L322" s="32" t="e">
        <f ca="1">_xludf.ifna(VLOOKUP(G323,Proyectos!$E$1:$N$4,10,0),"")</f>
        <v>#NAME?</v>
      </c>
      <c r="M322" s="32"/>
      <c r="N322" s="32"/>
      <c r="O322" s="31"/>
      <c r="P322" s="33"/>
      <c r="Q322" s="33"/>
    </row>
    <row r="323" spans="1:17" ht="16.5" customHeight="1" x14ac:dyDescent="0.2">
      <c r="A323" s="26" t="s">
        <v>4507</v>
      </c>
      <c r="B323" s="26" t="s">
        <v>4508</v>
      </c>
      <c r="C323" s="26" t="s">
        <v>98</v>
      </c>
      <c r="D323" s="26" t="s">
        <v>107</v>
      </c>
      <c r="E323" s="26" t="s">
        <v>39</v>
      </c>
      <c r="F323" s="28" t="e">
        <f ca="1">_xludf.ifna(VLOOKUP(G324,Proyectos!$E$1:$H$4,4,0),"")</f>
        <v>#NAME?</v>
      </c>
      <c r="G323" s="26" t="s">
        <v>5347</v>
      </c>
      <c r="H323" s="32">
        <v>1</v>
      </c>
      <c r="I323" s="31" t="s">
        <v>18</v>
      </c>
      <c r="J323" s="32"/>
      <c r="K323" s="32" t="str">
        <f t="shared" si="1"/>
        <v>Interno</v>
      </c>
      <c r="L323" s="32" t="e">
        <f ca="1">_xludf.ifna(VLOOKUP(G324,Proyectos!$E$1:$N$4,10,0),"")</f>
        <v>#NAME?</v>
      </c>
      <c r="M323" s="32"/>
      <c r="N323" s="32"/>
      <c r="O323" s="31"/>
      <c r="P323" s="33"/>
      <c r="Q323" s="33"/>
    </row>
    <row r="324" spans="1:17" ht="16.5" customHeight="1" x14ac:dyDescent="0.2">
      <c r="A324" s="26" t="s">
        <v>4911</v>
      </c>
      <c r="B324" s="26" t="s">
        <v>4912</v>
      </c>
      <c r="C324" s="26" t="s">
        <v>98</v>
      </c>
      <c r="D324" s="26" t="s">
        <v>107</v>
      </c>
      <c r="E324" s="26" t="s">
        <v>87</v>
      </c>
      <c r="F324" s="28" t="e">
        <f ca="1">_xludf.ifna(VLOOKUP(G325,Proyectos!$E$1:$H$4,4,0),"")</f>
        <v>#NAME?</v>
      </c>
      <c r="G324" s="26" t="s">
        <v>5597</v>
      </c>
      <c r="H324" s="32">
        <v>1</v>
      </c>
      <c r="I324" s="31" t="s">
        <v>18</v>
      </c>
      <c r="J324" s="32"/>
      <c r="K324" s="32" t="str">
        <f t="shared" si="1"/>
        <v>Externo</v>
      </c>
      <c r="L324" s="32" t="e">
        <f ca="1">_xludf.ifna(VLOOKUP(G325,Proyectos!$E$1:$N$4,10,0),"")</f>
        <v>#NAME?</v>
      </c>
      <c r="M324" s="32"/>
      <c r="N324" s="32"/>
      <c r="O324" s="31"/>
      <c r="P324" s="33"/>
      <c r="Q324" s="33"/>
    </row>
    <row r="325" spans="1:17" ht="16.5" customHeight="1" x14ac:dyDescent="0.2">
      <c r="A325" s="26" t="s">
        <v>3882</v>
      </c>
      <c r="B325" s="26" t="s">
        <v>3883</v>
      </c>
      <c r="C325" s="26" t="s">
        <v>98</v>
      </c>
      <c r="D325" s="26" t="s">
        <v>110</v>
      </c>
      <c r="E325" s="26" t="s">
        <v>39</v>
      </c>
      <c r="F325" s="28" t="e">
        <f ca="1">_xludf.ifna(VLOOKUP(G326,Proyectos!$E$1:$H$4,4,0),"")</f>
        <v>#NAME?</v>
      </c>
      <c r="G325" s="26" t="s">
        <v>5597</v>
      </c>
      <c r="H325" s="32">
        <v>1</v>
      </c>
      <c r="I325" s="31" t="s">
        <v>18</v>
      </c>
      <c r="J325" s="32"/>
      <c r="K325" s="32" t="str">
        <f t="shared" si="1"/>
        <v>Interno</v>
      </c>
      <c r="L325" s="32" t="e">
        <f ca="1">_xludf.ifna(VLOOKUP(G326,Proyectos!$E$1:$N$4,10,0),"")</f>
        <v>#NAME?</v>
      </c>
      <c r="M325" s="32"/>
      <c r="N325" s="32"/>
      <c r="O325" s="31"/>
      <c r="P325" s="33"/>
      <c r="Q325" s="33"/>
    </row>
    <row r="326" spans="1:17" ht="16.5" customHeight="1" x14ac:dyDescent="0.2">
      <c r="A326" s="26" t="s">
        <v>3712</v>
      </c>
      <c r="B326" s="26" t="s">
        <v>3713</v>
      </c>
      <c r="C326" s="26" t="s">
        <v>64</v>
      </c>
      <c r="D326" s="26" t="s">
        <v>86</v>
      </c>
      <c r="E326" s="26" t="s">
        <v>39</v>
      </c>
      <c r="F326" s="28" t="e">
        <f ca="1">_xludf.ifna(VLOOKUP(G327,Proyectos!$E$1:$H$4,4,0),"")</f>
        <v>#NAME?</v>
      </c>
      <c r="G326" s="26" t="s">
        <v>5463</v>
      </c>
      <c r="H326" s="30">
        <v>1</v>
      </c>
      <c r="I326" s="31" t="s">
        <v>18</v>
      </c>
      <c r="J326" s="32"/>
      <c r="K326" s="32" t="str">
        <f t="shared" si="1"/>
        <v>Interno</v>
      </c>
      <c r="L326" s="32" t="e">
        <f ca="1">_xludf.ifna(VLOOKUP(G327,Proyectos!$E$1:$N$4,10,0),"")</f>
        <v>#NAME?</v>
      </c>
      <c r="M326" s="32"/>
      <c r="N326" s="32"/>
      <c r="O326" s="31"/>
      <c r="P326" s="33"/>
      <c r="Q326" s="33"/>
    </row>
    <row r="327" spans="1:17" ht="16.5" customHeight="1" x14ac:dyDescent="0.2">
      <c r="A327" s="26" t="s">
        <v>3784</v>
      </c>
      <c r="B327" s="26" t="s">
        <v>3785</v>
      </c>
      <c r="C327" s="26" t="s">
        <v>64</v>
      </c>
      <c r="D327" s="26" t="s">
        <v>78</v>
      </c>
      <c r="E327" s="26" t="s">
        <v>39</v>
      </c>
      <c r="F327" s="28" t="e">
        <f ca="1">_xludf.ifna(VLOOKUP(G328,Proyectos!$E$1:$H$4,4,0),"")</f>
        <v>#NAME?</v>
      </c>
      <c r="G327" s="26" t="s">
        <v>5411</v>
      </c>
      <c r="H327" s="30">
        <v>1</v>
      </c>
      <c r="I327" s="31" t="s">
        <v>18</v>
      </c>
      <c r="J327" s="32"/>
      <c r="K327" s="32" t="str">
        <f t="shared" si="1"/>
        <v>Interno</v>
      </c>
      <c r="L327" s="32" t="e">
        <f ca="1">_xludf.ifna(VLOOKUP(G328,Proyectos!$E$1:$N$4,10,0),"")</f>
        <v>#NAME?</v>
      </c>
      <c r="M327" s="32"/>
      <c r="N327" s="32"/>
      <c r="O327" s="31"/>
      <c r="P327" s="33"/>
      <c r="Q327" s="33"/>
    </row>
    <row r="328" spans="1:17" ht="16.5" customHeight="1" x14ac:dyDescent="0.2">
      <c r="A328" s="26" t="s">
        <v>3819</v>
      </c>
      <c r="B328" s="26" t="s">
        <v>3820</v>
      </c>
      <c r="C328" s="26" t="s">
        <v>37</v>
      </c>
      <c r="D328" s="26" t="s">
        <v>38</v>
      </c>
      <c r="E328" s="26" t="s">
        <v>39</v>
      </c>
      <c r="F328" s="28" t="e">
        <f ca="1">_xludf.ifna(VLOOKUP(G329,Proyectos!$E$1:$H$4,4,0),"")</f>
        <v>#NAME?</v>
      </c>
      <c r="G328" s="26" t="s">
        <v>5152</v>
      </c>
      <c r="H328" s="32">
        <v>0.5</v>
      </c>
      <c r="I328" s="31" t="s">
        <v>18</v>
      </c>
      <c r="J328" s="32"/>
      <c r="K328" s="32" t="str">
        <f t="shared" si="1"/>
        <v>Interno</v>
      </c>
      <c r="L328" s="32" t="e">
        <f ca="1">_xludf.ifna(VLOOKUP(G329,Proyectos!$E$1:$N$4,10,0),"")</f>
        <v>#NAME?</v>
      </c>
      <c r="M328" s="32"/>
      <c r="N328" s="31"/>
      <c r="O328" s="31"/>
      <c r="P328" s="33"/>
      <c r="Q328" s="33"/>
    </row>
    <row r="329" spans="1:17" ht="16.5" customHeight="1" x14ac:dyDescent="0.2">
      <c r="A329" s="26" t="s">
        <v>3819</v>
      </c>
      <c r="B329" s="26" t="s">
        <v>3820</v>
      </c>
      <c r="C329" s="26" t="s">
        <v>37</v>
      </c>
      <c r="D329" s="26" t="s">
        <v>38</v>
      </c>
      <c r="E329" s="26" t="s">
        <v>39</v>
      </c>
      <c r="F329" s="28" t="e">
        <f ca="1">_xludf.ifna(VLOOKUP(G330,Proyectos!$E$1:$H$4,4,0),"")</f>
        <v>#NAME?</v>
      </c>
      <c r="G329" s="26" t="s">
        <v>5678</v>
      </c>
      <c r="H329" s="32">
        <v>0.25</v>
      </c>
      <c r="I329" s="31" t="s">
        <v>18</v>
      </c>
      <c r="J329" s="32"/>
      <c r="K329" s="32" t="str">
        <f t="shared" si="1"/>
        <v>Interno</v>
      </c>
      <c r="L329" s="32" t="e">
        <f ca="1">_xludf.ifna(VLOOKUP(G330,Proyectos!$E$1:$N$4,10,0),"")</f>
        <v>#NAME?</v>
      </c>
      <c r="M329" s="32"/>
      <c r="N329" s="31"/>
      <c r="O329" s="31"/>
      <c r="P329" s="33"/>
      <c r="Q329" s="33"/>
    </row>
    <row r="330" spans="1:17" ht="16.5" customHeight="1" x14ac:dyDescent="0.2">
      <c r="A330" s="26" t="s">
        <v>3819</v>
      </c>
      <c r="B330" s="26" t="s">
        <v>3820</v>
      </c>
      <c r="C330" s="26" t="s">
        <v>37</v>
      </c>
      <c r="D330" s="26" t="s">
        <v>38</v>
      </c>
      <c r="E330" s="26" t="s">
        <v>39</v>
      </c>
      <c r="F330" s="28" t="e">
        <f ca="1">_xludf.ifna(VLOOKUP(G331,Proyectos!$E$1:$H$4,4,0),"")</f>
        <v>#NAME?</v>
      </c>
      <c r="G330" s="26" t="s">
        <v>5679</v>
      </c>
      <c r="H330" s="32">
        <v>0.25</v>
      </c>
      <c r="I330" s="31" t="s">
        <v>18</v>
      </c>
      <c r="J330" s="32"/>
      <c r="K330" s="32" t="str">
        <f t="shared" si="1"/>
        <v>Interno</v>
      </c>
      <c r="L330" s="32" t="e">
        <f ca="1">_xludf.ifna(VLOOKUP(G331,Proyectos!$E$1:$N$4,10,0),"")</f>
        <v>#NAME?</v>
      </c>
      <c r="M330" s="32"/>
      <c r="N330" s="31"/>
      <c r="O330" s="31"/>
      <c r="P330" s="33"/>
      <c r="Q330" s="33"/>
    </row>
    <row r="331" spans="1:17" ht="16.5" customHeight="1" x14ac:dyDescent="0.2">
      <c r="A331" s="35" t="s">
        <v>3615</v>
      </c>
      <c r="B331" s="54" t="s">
        <v>3616</v>
      </c>
      <c r="C331" s="35" t="s">
        <v>115</v>
      </c>
      <c r="D331" s="35" t="s">
        <v>131</v>
      </c>
      <c r="E331" s="35" t="s">
        <v>39</v>
      </c>
      <c r="F331" s="28" t="e">
        <f ca="1">_xludf.ifna(VLOOKUP(G332,Proyectos!$E$1:$H$4,4,0),"")</f>
        <v>#NAME?</v>
      </c>
      <c r="G331" s="29" t="s">
        <v>5543</v>
      </c>
      <c r="H331" s="48">
        <v>0.4</v>
      </c>
      <c r="I331" s="30" t="s">
        <v>18</v>
      </c>
      <c r="J331" s="30" t="s">
        <v>3550</v>
      </c>
      <c r="K331" s="30" t="str">
        <f t="shared" si="1"/>
        <v>Interno</v>
      </c>
      <c r="L331" s="32" t="e">
        <f ca="1">_xludf.ifna(VLOOKUP(G332,Proyectos!$E$1:$N$4,10,0),"")</f>
        <v>#NAME?</v>
      </c>
      <c r="M331" s="30"/>
      <c r="N331" s="55"/>
      <c r="O331" s="31"/>
      <c r="P331" s="33"/>
      <c r="Q331" s="33"/>
    </row>
    <row r="332" spans="1:17" ht="16.5" customHeight="1" x14ac:dyDescent="0.2">
      <c r="A332" s="35" t="s">
        <v>3615</v>
      </c>
      <c r="B332" s="54" t="s">
        <v>3616</v>
      </c>
      <c r="C332" s="35" t="s">
        <v>115</v>
      </c>
      <c r="D332" s="35" t="s">
        <v>131</v>
      </c>
      <c r="E332" s="35" t="s">
        <v>39</v>
      </c>
      <c r="F332" s="28" t="e">
        <f ca="1">_xludf.ifna(VLOOKUP(G333,Proyectos!$E$1:$H$4,4,0),"")</f>
        <v>#NAME?</v>
      </c>
      <c r="G332" s="29" t="s">
        <v>5559</v>
      </c>
      <c r="H332" s="48">
        <v>0.4</v>
      </c>
      <c r="I332" s="30" t="s">
        <v>18</v>
      </c>
      <c r="J332" s="30" t="s">
        <v>5680</v>
      </c>
      <c r="K332" s="30" t="str">
        <f t="shared" si="1"/>
        <v>Interno</v>
      </c>
      <c r="L332" s="32" t="e">
        <f ca="1">_xludf.ifna(VLOOKUP(G333,Proyectos!$E$1:$N$4,10,0),"")</f>
        <v>#NAME?</v>
      </c>
      <c r="M332" s="30"/>
      <c r="N332" s="31"/>
      <c r="O332" s="31"/>
      <c r="P332" s="33"/>
      <c r="Q332" s="33"/>
    </row>
    <row r="333" spans="1:17" ht="16.5" customHeight="1" x14ac:dyDescent="0.2">
      <c r="A333" s="35" t="s">
        <v>3615</v>
      </c>
      <c r="B333" s="54" t="s">
        <v>3616</v>
      </c>
      <c r="C333" s="35" t="s">
        <v>115</v>
      </c>
      <c r="D333" s="35" t="s">
        <v>131</v>
      </c>
      <c r="E333" s="35" t="s">
        <v>39</v>
      </c>
      <c r="F333" s="28" t="e">
        <f ca="1">_xludf.ifna(VLOOKUP(G334,Proyectos!$E$1:$H$4,4,0),"")</f>
        <v>#NAME?</v>
      </c>
      <c r="G333" s="29" t="s">
        <v>5597</v>
      </c>
      <c r="H333" s="48">
        <v>0.2</v>
      </c>
      <c r="I333" s="30" t="s">
        <v>18</v>
      </c>
      <c r="J333" s="30" t="s">
        <v>5681</v>
      </c>
      <c r="K333" s="30" t="str">
        <f t="shared" si="1"/>
        <v>Interno</v>
      </c>
      <c r="L333" s="32" t="e">
        <f ca="1">_xludf.ifna(VLOOKUP(G334,Proyectos!$E$1:$N$4,10,0),"")</f>
        <v>#NAME?</v>
      </c>
      <c r="M333" s="30"/>
      <c r="N333" s="31"/>
      <c r="O333" s="31"/>
      <c r="P333" s="33"/>
      <c r="Q333" s="33"/>
    </row>
    <row r="334" spans="1:17" ht="16.5" customHeight="1" x14ac:dyDescent="0.2">
      <c r="A334" s="35" t="s">
        <v>4304</v>
      </c>
      <c r="B334" s="26" t="s">
        <v>5487</v>
      </c>
      <c r="C334" s="26" t="s">
        <v>64</v>
      </c>
      <c r="D334" s="26" t="s">
        <v>82</v>
      </c>
      <c r="E334" s="35" t="s">
        <v>87</v>
      </c>
      <c r="F334" s="28" t="e">
        <f ca="1">_xludf.ifna(VLOOKUP(G335,Proyectos!$E$1:$H$4,4,0),"")</f>
        <v>#NAME?</v>
      </c>
      <c r="G334" s="26" t="s">
        <v>5387</v>
      </c>
      <c r="H334" s="32">
        <v>1</v>
      </c>
      <c r="I334" s="31" t="s">
        <v>25</v>
      </c>
      <c r="J334" s="32"/>
      <c r="K334" s="32" t="str">
        <f t="shared" si="1"/>
        <v>Externo</v>
      </c>
      <c r="L334" s="32" t="e">
        <f ca="1">_xludf.ifna(VLOOKUP(G335,Proyectos!$E$1:$N$4,10,0),"")</f>
        <v>#NAME?</v>
      </c>
      <c r="M334" s="32"/>
      <c r="N334" s="32"/>
      <c r="O334" s="31"/>
      <c r="P334" s="33"/>
      <c r="Q334" s="33"/>
    </row>
    <row r="335" spans="1:17" ht="16.5" customHeight="1" x14ac:dyDescent="0.2">
      <c r="A335" s="84" t="s">
        <v>4641</v>
      </c>
      <c r="B335" s="26" t="s">
        <v>4642</v>
      </c>
      <c r="C335" s="26" t="s">
        <v>115</v>
      </c>
      <c r="D335" s="26" t="s">
        <v>122</v>
      </c>
      <c r="E335" s="26" t="s">
        <v>39</v>
      </c>
      <c r="F335" s="28" t="e">
        <f ca="1">_xludf.ifna(VLOOKUP(G336,Proyectos!$E$1:$H$4,4,0),"")</f>
        <v>#NAME?</v>
      </c>
      <c r="G335" s="26" t="s">
        <v>5417</v>
      </c>
      <c r="H335" s="32">
        <v>0.4</v>
      </c>
      <c r="I335" s="31" t="s">
        <v>18</v>
      </c>
      <c r="J335" s="32"/>
      <c r="K335" s="32" t="str">
        <f t="shared" si="1"/>
        <v>Interno</v>
      </c>
      <c r="L335" s="32" t="e">
        <f ca="1">_xludf.ifna(VLOOKUP(G336,Proyectos!$E$1:$N$4,10,0),"")</f>
        <v>#NAME?</v>
      </c>
      <c r="M335" s="32"/>
      <c r="N335" s="31"/>
      <c r="O335" s="31"/>
      <c r="P335" s="33"/>
      <c r="Q335" s="33"/>
    </row>
    <row r="336" spans="1:17" ht="16.5" customHeight="1" x14ac:dyDescent="0.2">
      <c r="A336" s="84" t="s">
        <v>4641</v>
      </c>
      <c r="B336" s="26" t="s">
        <v>4642</v>
      </c>
      <c r="C336" s="26" t="s">
        <v>115</v>
      </c>
      <c r="D336" s="26" t="s">
        <v>122</v>
      </c>
      <c r="E336" s="26" t="s">
        <v>39</v>
      </c>
      <c r="F336" s="28" t="e">
        <f ca="1">_xludf.ifna(VLOOKUP(G337,Proyectos!$E$1:$H$4,4,0),"")</f>
        <v>#NAME?</v>
      </c>
      <c r="G336" s="26" t="s">
        <v>5401</v>
      </c>
      <c r="H336" s="32">
        <v>0.4</v>
      </c>
      <c r="I336" s="31" t="s">
        <v>18</v>
      </c>
      <c r="J336" s="32"/>
      <c r="K336" s="32" t="str">
        <f t="shared" si="1"/>
        <v>Interno</v>
      </c>
      <c r="L336" s="32" t="e">
        <f ca="1">_xludf.ifna(VLOOKUP(G337,Proyectos!$E$1:$N$4,10,0),"")</f>
        <v>#NAME?</v>
      </c>
      <c r="M336" s="32"/>
      <c r="N336" s="32"/>
      <c r="O336" s="31"/>
      <c r="P336" s="33"/>
      <c r="Q336" s="33"/>
    </row>
    <row r="337" spans="1:17" ht="16.5" customHeight="1" x14ac:dyDescent="0.2">
      <c r="A337" s="84" t="s">
        <v>4641</v>
      </c>
      <c r="B337" s="26" t="s">
        <v>4642</v>
      </c>
      <c r="C337" s="26" t="s">
        <v>115</v>
      </c>
      <c r="D337" s="26" t="s">
        <v>122</v>
      </c>
      <c r="E337" s="26" t="s">
        <v>39</v>
      </c>
      <c r="F337" s="28" t="e">
        <f ca="1">_xludf.ifna(VLOOKUP(G338,Proyectos!$E$1:$H$4,4,0),"")</f>
        <v>#NAME?</v>
      </c>
      <c r="G337" s="26" t="s">
        <v>5597</v>
      </c>
      <c r="H337" s="32">
        <v>0.2</v>
      </c>
      <c r="I337" s="31" t="s">
        <v>18</v>
      </c>
      <c r="J337" s="32"/>
      <c r="K337" s="32" t="str">
        <f t="shared" si="1"/>
        <v>Interno</v>
      </c>
      <c r="L337" s="32" t="e">
        <f ca="1">_xludf.ifna(VLOOKUP(G338,Proyectos!$E$1:$N$4,10,0),"")</f>
        <v>#NAME?</v>
      </c>
      <c r="M337" s="32"/>
      <c r="N337" s="31"/>
      <c r="O337" s="31"/>
      <c r="P337" s="33"/>
      <c r="Q337" s="33"/>
    </row>
    <row r="338" spans="1:17" ht="16.5" customHeight="1" x14ac:dyDescent="0.2">
      <c r="A338" s="35" t="s">
        <v>4726</v>
      </c>
      <c r="B338" s="54" t="s">
        <v>4727</v>
      </c>
      <c r="C338" s="35" t="s">
        <v>115</v>
      </c>
      <c r="D338" s="35" t="s">
        <v>131</v>
      </c>
      <c r="E338" s="35" t="s">
        <v>39</v>
      </c>
      <c r="F338" s="28" t="e">
        <f ca="1">_xludf.ifna(VLOOKUP(G339,Proyectos!$E$1:$H$4,4,0),"")</f>
        <v>#NAME?</v>
      </c>
      <c r="G338" s="29" t="s">
        <v>5597</v>
      </c>
      <c r="H338" s="32">
        <v>1</v>
      </c>
      <c r="I338" s="30" t="s">
        <v>18</v>
      </c>
      <c r="J338" s="30" t="s">
        <v>3398</v>
      </c>
      <c r="K338" s="30" t="str">
        <f t="shared" si="1"/>
        <v>Interno</v>
      </c>
      <c r="L338" s="32" t="e">
        <f ca="1">_xludf.ifna(VLOOKUP(G339,Proyectos!$E$1:$N$4,10,0),"")</f>
        <v>#NAME?</v>
      </c>
      <c r="M338" s="30"/>
      <c r="N338" s="31"/>
      <c r="O338" s="31"/>
      <c r="P338" s="33"/>
      <c r="Q338" s="33"/>
    </row>
    <row r="339" spans="1:17" ht="16.5" customHeight="1" x14ac:dyDescent="0.2">
      <c r="A339" s="26" t="s">
        <v>4745</v>
      </c>
      <c r="B339" s="26" t="s">
        <v>4746</v>
      </c>
      <c r="C339" s="54" t="s">
        <v>7</v>
      </c>
      <c r="D339" s="54" t="s">
        <v>23</v>
      </c>
      <c r="E339" s="54" t="s">
        <v>39</v>
      </c>
      <c r="F339" s="28" t="e">
        <f ca="1">_xludf.ifna(VLOOKUP(G340,Proyectos!$E$1:$H$4,4,0),"")</f>
        <v>#NAME?</v>
      </c>
      <c r="G339" s="54" t="s">
        <v>5171</v>
      </c>
      <c r="H339" s="60">
        <v>0.1</v>
      </c>
      <c r="I339" s="31" t="s">
        <v>18</v>
      </c>
      <c r="J339" s="60"/>
      <c r="K339" s="32" t="str">
        <f t="shared" si="1"/>
        <v>Interno</v>
      </c>
      <c r="L339" s="32" t="e">
        <f ca="1">_xludf.ifna(VLOOKUP(G340,Proyectos!$E$1:$N$4,10,0),"")</f>
        <v>#NAME?</v>
      </c>
      <c r="M339" s="32"/>
      <c r="N339" s="31"/>
      <c r="O339" s="31"/>
      <c r="P339" s="33"/>
      <c r="Q339" s="33"/>
    </row>
    <row r="340" spans="1:17" ht="16.5" customHeight="1" x14ac:dyDescent="0.2">
      <c r="A340" s="26" t="s">
        <v>4745</v>
      </c>
      <c r="B340" s="26" t="s">
        <v>4746</v>
      </c>
      <c r="C340" s="54" t="s">
        <v>7</v>
      </c>
      <c r="D340" s="54" t="s">
        <v>23</v>
      </c>
      <c r="E340" s="54" t="s">
        <v>39</v>
      </c>
      <c r="F340" s="28" t="e">
        <f ca="1">_xludf.ifna(VLOOKUP(G341,Proyectos!$E$1:$H$4,4,0),"")</f>
        <v>#NAME?</v>
      </c>
      <c r="G340" s="54" t="s">
        <v>5173</v>
      </c>
      <c r="H340" s="60">
        <v>0.1</v>
      </c>
      <c r="I340" s="31" t="s">
        <v>18</v>
      </c>
      <c r="J340" s="60"/>
      <c r="K340" s="32" t="str">
        <f t="shared" si="1"/>
        <v>Interno</v>
      </c>
      <c r="L340" s="32" t="e">
        <f ca="1">_xludf.ifna(VLOOKUP(G341,Proyectos!$E$1:$N$4,10,0),"")</f>
        <v>#NAME?</v>
      </c>
      <c r="M340" s="32"/>
      <c r="N340" s="31"/>
      <c r="O340" s="31"/>
      <c r="P340" s="33"/>
      <c r="Q340" s="33"/>
    </row>
    <row r="341" spans="1:17" ht="16.5" customHeight="1" x14ac:dyDescent="0.2">
      <c r="A341" s="26" t="s">
        <v>4745</v>
      </c>
      <c r="B341" s="26" t="s">
        <v>4746</v>
      </c>
      <c r="C341" s="54" t="s">
        <v>7</v>
      </c>
      <c r="D341" s="54" t="s">
        <v>23</v>
      </c>
      <c r="E341" s="54" t="s">
        <v>39</v>
      </c>
      <c r="F341" s="28" t="e">
        <f ca="1">_xludf.ifna(VLOOKUP(G342,Proyectos!$E$1:$H$4,4,0),"")</f>
        <v>#NAME?</v>
      </c>
      <c r="G341" s="54" t="s">
        <v>5175</v>
      </c>
      <c r="H341" s="60">
        <v>0.2</v>
      </c>
      <c r="I341" s="31" t="s">
        <v>18</v>
      </c>
      <c r="J341" s="60"/>
      <c r="K341" s="32" t="str">
        <f t="shared" si="1"/>
        <v>Interno</v>
      </c>
      <c r="L341" s="32" t="e">
        <f ca="1">_xludf.ifna(VLOOKUP(G342,Proyectos!$E$1:$N$4,10,0),"")</f>
        <v>#NAME?</v>
      </c>
      <c r="M341" s="32"/>
      <c r="N341" s="31"/>
      <c r="O341" s="31"/>
      <c r="P341" s="33"/>
      <c r="Q341" s="33"/>
    </row>
    <row r="342" spans="1:17" ht="16.5" customHeight="1" x14ac:dyDescent="0.2">
      <c r="A342" s="26" t="s">
        <v>4745</v>
      </c>
      <c r="B342" s="26" t="s">
        <v>4746</v>
      </c>
      <c r="C342" s="54" t="s">
        <v>7</v>
      </c>
      <c r="D342" s="54" t="s">
        <v>23</v>
      </c>
      <c r="E342" s="54" t="s">
        <v>39</v>
      </c>
      <c r="F342" s="28" t="e">
        <f ca="1">_xludf.ifna(VLOOKUP(G343,Proyectos!$E$1:$H$4,4,0),"")</f>
        <v>#NAME?</v>
      </c>
      <c r="G342" s="54" t="s">
        <v>5176</v>
      </c>
      <c r="H342" s="34">
        <v>0.6</v>
      </c>
      <c r="I342" s="31" t="s">
        <v>18</v>
      </c>
      <c r="J342" s="60"/>
      <c r="K342" s="32" t="str">
        <f t="shared" si="1"/>
        <v>Interno</v>
      </c>
      <c r="L342" s="32" t="e">
        <f ca="1">_xludf.ifna(VLOOKUP(G343,Proyectos!$E$1:$N$4,10,0),"")</f>
        <v>#NAME?</v>
      </c>
      <c r="M342" s="32"/>
      <c r="N342" s="31"/>
      <c r="O342" s="31"/>
      <c r="P342" s="33"/>
      <c r="Q342" s="33"/>
    </row>
    <row r="343" spans="1:17" ht="16.5" customHeight="1" x14ac:dyDescent="0.2">
      <c r="A343" s="35" t="s">
        <v>4994</v>
      </c>
      <c r="B343" s="26" t="s">
        <v>5682</v>
      </c>
      <c r="C343" s="26" t="s">
        <v>64</v>
      </c>
      <c r="D343" s="26" t="s">
        <v>82</v>
      </c>
      <c r="E343" s="35" t="s">
        <v>126</v>
      </c>
      <c r="F343" s="28" t="e">
        <f ca="1">_xludf.ifna(VLOOKUP(G344,Proyectos!$E$1:$H$4,4,0),"")</f>
        <v>#NAME?</v>
      </c>
      <c r="G343" s="26" t="s">
        <v>5387</v>
      </c>
      <c r="H343" s="32">
        <v>1</v>
      </c>
      <c r="I343" s="31" t="s">
        <v>18</v>
      </c>
      <c r="J343" s="32"/>
      <c r="K343" s="32" t="str">
        <f t="shared" si="1"/>
        <v>Externo</v>
      </c>
      <c r="L343" s="32" t="e">
        <f ca="1">_xludf.ifna(VLOOKUP(G344,Proyectos!$E$1:$N$4,10,0),"")</f>
        <v>#NAME?</v>
      </c>
      <c r="M343" s="32"/>
      <c r="N343" s="32"/>
      <c r="O343" s="31"/>
      <c r="P343" s="33"/>
      <c r="Q343" s="33"/>
    </row>
    <row r="344" spans="1:17" ht="16.5" customHeight="1" x14ac:dyDescent="0.2">
      <c r="A344" s="26" t="s">
        <v>3578</v>
      </c>
      <c r="B344" s="26" t="s">
        <v>3579</v>
      </c>
      <c r="C344" s="26" t="s">
        <v>115</v>
      </c>
      <c r="D344" s="26" t="s">
        <v>116</v>
      </c>
      <c r="E344" s="26" t="s">
        <v>39</v>
      </c>
      <c r="F344" s="28" t="e">
        <f ca="1">_xludf.ifna(VLOOKUP(G345,Proyectos!$E$1:$H$4,4,0),"")</f>
        <v>#NAME?</v>
      </c>
      <c r="G344" s="26" t="s">
        <v>5468</v>
      </c>
      <c r="H344" s="32">
        <v>0.1</v>
      </c>
      <c r="I344" s="31" t="s">
        <v>18</v>
      </c>
      <c r="J344" s="32"/>
      <c r="K344" s="32" t="str">
        <f t="shared" si="1"/>
        <v>Interno</v>
      </c>
      <c r="L344" s="32" t="e">
        <f ca="1">_xludf.ifna(VLOOKUP(G345,Proyectos!$E$1:$N$4,10,0),"")</f>
        <v>#NAME?</v>
      </c>
      <c r="M344" s="32"/>
      <c r="N344" s="32"/>
      <c r="O344" s="31"/>
      <c r="P344" s="33"/>
      <c r="Q344" s="33"/>
    </row>
    <row r="345" spans="1:17" ht="16.5" customHeight="1" x14ac:dyDescent="0.2">
      <c r="A345" s="26" t="s">
        <v>3578</v>
      </c>
      <c r="B345" s="26" t="s">
        <v>3579</v>
      </c>
      <c r="C345" s="26" t="s">
        <v>115</v>
      </c>
      <c r="D345" s="26" t="s">
        <v>116</v>
      </c>
      <c r="E345" s="26" t="s">
        <v>39</v>
      </c>
      <c r="F345" s="28" t="e">
        <f ca="1">_xludf.ifna(VLOOKUP(G346,Proyectos!$E$1:$H$4,4,0),"")</f>
        <v>#NAME?</v>
      </c>
      <c r="G345" s="26" t="s">
        <v>5468</v>
      </c>
      <c r="H345" s="32">
        <v>0.1</v>
      </c>
      <c r="I345" s="31" t="s">
        <v>18</v>
      </c>
      <c r="J345" s="32"/>
      <c r="K345" s="32" t="str">
        <f t="shared" si="1"/>
        <v>Interno</v>
      </c>
      <c r="L345" s="32" t="e">
        <f ca="1">_xludf.ifna(VLOOKUP(G346,Proyectos!$E$1:$N$4,10,0),"")</f>
        <v>#NAME?</v>
      </c>
      <c r="M345" s="32"/>
      <c r="N345" s="32"/>
      <c r="O345" s="31"/>
      <c r="P345" s="33"/>
      <c r="Q345" s="33"/>
    </row>
    <row r="346" spans="1:17" ht="16.5" customHeight="1" x14ac:dyDescent="0.2">
      <c r="A346" s="26" t="s">
        <v>3578</v>
      </c>
      <c r="B346" s="26" t="s">
        <v>3579</v>
      </c>
      <c r="C346" s="26" t="s">
        <v>115</v>
      </c>
      <c r="D346" s="26" t="s">
        <v>116</v>
      </c>
      <c r="E346" s="26" t="s">
        <v>39</v>
      </c>
      <c r="F346" s="28" t="e">
        <f ca="1">_xludf.ifna(VLOOKUP(G347,Proyectos!$E$1:$H$4,4,0),"")</f>
        <v>#NAME?</v>
      </c>
      <c r="G346" s="26" t="s">
        <v>5474</v>
      </c>
      <c r="H346" s="32">
        <v>0.8</v>
      </c>
      <c r="I346" s="31" t="s">
        <v>18</v>
      </c>
      <c r="J346" s="32"/>
      <c r="K346" s="32" t="str">
        <f t="shared" si="1"/>
        <v>Interno</v>
      </c>
      <c r="L346" s="32" t="e">
        <f ca="1">_xludf.ifna(VLOOKUP(G347,Proyectos!$E$1:$N$4,10,0),"")</f>
        <v>#NAME?</v>
      </c>
      <c r="M346" s="32"/>
      <c r="N346" s="32"/>
      <c r="O346" s="31"/>
      <c r="P346" s="33"/>
      <c r="Q346" s="33"/>
    </row>
    <row r="347" spans="1:17" ht="16.5" customHeight="1" x14ac:dyDescent="0.2">
      <c r="A347" s="35" t="s">
        <v>4413</v>
      </c>
      <c r="B347" s="26" t="s">
        <v>5488</v>
      </c>
      <c r="C347" s="26" t="s">
        <v>64</v>
      </c>
      <c r="D347" s="26" t="s">
        <v>82</v>
      </c>
      <c r="E347" s="35" t="s">
        <v>126</v>
      </c>
      <c r="F347" s="28" t="e">
        <f ca="1">_xludf.ifna(VLOOKUP(G348,Proyectos!$E$1:$H$4,4,0),"")</f>
        <v>#NAME?</v>
      </c>
      <c r="G347" s="26" t="s">
        <v>5387</v>
      </c>
      <c r="H347" s="32">
        <v>1</v>
      </c>
      <c r="I347" s="31" t="s">
        <v>18</v>
      </c>
      <c r="J347" s="32"/>
      <c r="K347" s="32" t="str">
        <f t="shared" si="1"/>
        <v>Externo</v>
      </c>
      <c r="L347" s="32" t="e">
        <f ca="1">_xludf.ifna(VLOOKUP(G348,Proyectos!$E$1:$N$4,10,0),"")</f>
        <v>#NAME?</v>
      </c>
      <c r="M347" s="32"/>
      <c r="N347" s="32"/>
      <c r="O347" s="31"/>
      <c r="P347" s="33"/>
      <c r="Q347" s="33"/>
    </row>
    <row r="348" spans="1:17" ht="16.5" customHeight="1" x14ac:dyDescent="0.2">
      <c r="A348" s="26" t="s">
        <v>3331</v>
      </c>
      <c r="B348" s="26" t="s">
        <v>3332</v>
      </c>
      <c r="C348" s="26" t="s">
        <v>115</v>
      </c>
      <c r="D348" s="26" t="s">
        <v>116</v>
      </c>
      <c r="E348" s="26" t="s">
        <v>39</v>
      </c>
      <c r="F348" s="28" t="e">
        <f ca="1">_xludf.ifna(VLOOKUP(G349,Proyectos!$E$1:$H$4,4,0),"")</f>
        <v>#NAME?</v>
      </c>
      <c r="G348" s="26" t="s">
        <v>5112</v>
      </c>
      <c r="H348" s="32">
        <v>0.1</v>
      </c>
      <c r="I348" s="31" t="s">
        <v>18</v>
      </c>
      <c r="J348" s="32"/>
      <c r="K348" s="32" t="str">
        <f t="shared" si="1"/>
        <v>Interno</v>
      </c>
      <c r="L348" s="32" t="e">
        <f ca="1">_xludf.ifna(VLOOKUP(G349,Proyectos!$E$1:$N$4,10,0),"")</f>
        <v>#NAME?</v>
      </c>
      <c r="M348" s="32"/>
      <c r="N348" s="32"/>
      <c r="O348" s="31"/>
      <c r="P348" s="33"/>
      <c r="Q348" s="33"/>
    </row>
    <row r="349" spans="1:17" ht="16.5" customHeight="1" x14ac:dyDescent="0.2">
      <c r="A349" s="26" t="s">
        <v>3331</v>
      </c>
      <c r="B349" s="26" t="s">
        <v>3332</v>
      </c>
      <c r="C349" s="26" t="s">
        <v>115</v>
      </c>
      <c r="D349" s="26" t="s">
        <v>116</v>
      </c>
      <c r="E349" s="26" t="s">
        <v>39</v>
      </c>
      <c r="F349" s="28" t="e">
        <f ca="1">_xludf.ifna(VLOOKUP(G350,Proyectos!$E$1:$H$4,4,0),"")</f>
        <v>#NAME?</v>
      </c>
      <c r="G349" s="26" t="s">
        <v>5597</v>
      </c>
      <c r="H349" s="32">
        <v>0.4</v>
      </c>
      <c r="I349" s="31" t="s">
        <v>18</v>
      </c>
      <c r="J349" s="32"/>
      <c r="K349" s="32" t="str">
        <f t="shared" si="1"/>
        <v>Interno</v>
      </c>
      <c r="L349" s="32" t="e">
        <f ca="1">_xludf.ifna(VLOOKUP(G350,Proyectos!$E$1:$N$4,10,0),"")</f>
        <v>#NAME?</v>
      </c>
      <c r="M349" s="32"/>
      <c r="N349" s="31"/>
      <c r="O349" s="31"/>
      <c r="P349" s="33"/>
      <c r="Q349" s="33"/>
    </row>
    <row r="350" spans="1:17" ht="16.5" customHeight="1" x14ac:dyDescent="0.2">
      <c r="A350" s="26" t="s">
        <v>3331</v>
      </c>
      <c r="B350" s="26" t="s">
        <v>3332</v>
      </c>
      <c r="C350" s="26" t="s">
        <v>115</v>
      </c>
      <c r="D350" s="26" t="s">
        <v>116</v>
      </c>
      <c r="E350" s="26" t="s">
        <v>39</v>
      </c>
      <c r="F350" s="28" t="e">
        <f ca="1">_xludf.ifna(VLOOKUP(G351,Proyectos!$E$1:$H$4,4,0),"")</f>
        <v>#NAME?</v>
      </c>
      <c r="G350" s="26" t="s">
        <v>5117</v>
      </c>
      <c r="H350" s="32">
        <v>0.1</v>
      </c>
      <c r="I350" s="31" t="s">
        <v>18</v>
      </c>
      <c r="J350" s="32"/>
      <c r="K350" s="32" t="str">
        <f t="shared" si="1"/>
        <v>Interno</v>
      </c>
      <c r="L350" s="32" t="e">
        <f ca="1">_xludf.ifna(VLOOKUP(G351,Proyectos!$E$1:$N$4,10,0),"")</f>
        <v>#NAME?</v>
      </c>
      <c r="M350" s="32"/>
      <c r="N350" s="32"/>
      <c r="O350" s="31"/>
      <c r="P350" s="33"/>
      <c r="Q350" s="33"/>
    </row>
    <row r="351" spans="1:17" ht="16.5" customHeight="1" x14ac:dyDescent="0.2">
      <c r="A351" s="26" t="s">
        <v>3331</v>
      </c>
      <c r="B351" s="26" t="s">
        <v>3332</v>
      </c>
      <c r="C351" s="26" t="s">
        <v>115</v>
      </c>
      <c r="D351" s="26" t="s">
        <v>116</v>
      </c>
      <c r="E351" s="26" t="s">
        <v>39</v>
      </c>
      <c r="F351" s="28" t="e">
        <f ca="1">_xludf.ifna(VLOOKUP(G352,Proyectos!$E$1:$H$4,4,0),"")</f>
        <v>#NAME?</v>
      </c>
      <c r="G351" s="26" t="s">
        <v>5474</v>
      </c>
      <c r="H351" s="32">
        <v>0.1</v>
      </c>
      <c r="I351" s="31" t="s">
        <v>18</v>
      </c>
      <c r="J351" s="32"/>
      <c r="K351" s="32" t="str">
        <f t="shared" si="1"/>
        <v>Interno</v>
      </c>
      <c r="L351" s="32" t="e">
        <f ca="1">_xludf.ifna(VLOOKUP(G352,Proyectos!$E$1:$N$4,10,0),"")</f>
        <v>#NAME?</v>
      </c>
      <c r="M351" s="32"/>
      <c r="N351" s="32"/>
      <c r="O351" s="31"/>
      <c r="P351" s="33"/>
      <c r="Q351" s="33"/>
    </row>
    <row r="352" spans="1:17" ht="16.5" customHeight="1" x14ac:dyDescent="0.2">
      <c r="A352" s="26" t="s">
        <v>3331</v>
      </c>
      <c r="B352" s="26" t="s">
        <v>3332</v>
      </c>
      <c r="C352" s="26" t="s">
        <v>115</v>
      </c>
      <c r="D352" s="26" t="s">
        <v>116</v>
      </c>
      <c r="E352" s="26" t="s">
        <v>39</v>
      </c>
      <c r="F352" s="28" t="e">
        <f ca="1">_xludf.ifna(VLOOKUP(G353,Proyectos!$E$1:$H$4,4,0),"")</f>
        <v>#NAME?</v>
      </c>
      <c r="G352" s="26" t="s">
        <v>5314</v>
      </c>
      <c r="H352" s="32">
        <v>0.1</v>
      </c>
      <c r="I352" s="31" t="s">
        <v>18</v>
      </c>
      <c r="J352" s="32"/>
      <c r="K352" s="32" t="str">
        <f t="shared" si="1"/>
        <v>Interno</v>
      </c>
      <c r="L352" s="32" t="e">
        <f ca="1">_xludf.ifna(VLOOKUP(G353,Proyectos!$E$1:$N$4,10,0),"")</f>
        <v>#NAME?</v>
      </c>
      <c r="M352" s="32"/>
      <c r="N352" s="32"/>
      <c r="O352" s="31"/>
      <c r="P352" s="33"/>
      <c r="Q352" s="33"/>
    </row>
    <row r="353" spans="1:17" ht="16.5" customHeight="1" x14ac:dyDescent="0.2">
      <c r="A353" s="26" t="s">
        <v>3331</v>
      </c>
      <c r="B353" s="26" t="s">
        <v>3332</v>
      </c>
      <c r="C353" s="26" t="s">
        <v>115</v>
      </c>
      <c r="D353" s="26" t="s">
        <v>116</v>
      </c>
      <c r="E353" s="26" t="s">
        <v>39</v>
      </c>
      <c r="F353" s="28" t="e">
        <f ca="1">_xludf.ifna(VLOOKUP(G354,Proyectos!$E$1:$H$4,4,0),"")</f>
        <v>#NAME?</v>
      </c>
      <c r="G353" s="26" t="s">
        <v>5476</v>
      </c>
      <c r="H353" s="32">
        <v>0.1</v>
      </c>
      <c r="I353" s="31" t="s">
        <v>18</v>
      </c>
      <c r="J353" s="32"/>
      <c r="K353" s="32" t="str">
        <f t="shared" si="1"/>
        <v>Interno</v>
      </c>
      <c r="L353" s="32" t="e">
        <f ca="1">_xludf.ifna(VLOOKUP(G354,Proyectos!$E$1:$N$4,10,0),"")</f>
        <v>#NAME?</v>
      </c>
      <c r="M353" s="32"/>
      <c r="N353" s="32"/>
      <c r="O353" s="31"/>
      <c r="P353" s="33"/>
      <c r="Q353" s="33"/>
    </row>
    <row r="354" spans="1:17" ht="16.5" customHeight="1" x14ac:dyDescent="0.2">
      <c r="A354" s="26" t="s">
        <v>3331</v>
      </c>
      <c r="B354" s="26" t="s">
        <v>3332</v>
      </c>
      <c r="C354" s="26" t="s">
        <v>115</v>
      </c>
      <c r="D354" s="26" t="s">
        <v>116</v>
      </c>
      <c r="E354" s="26" t="s">
        <v>39</v>
      </c>
      <c r="F354" s="28" t="e">
        <f ca="1">_xludf.ifna(VLOOKUP(G355,Proyectos!$E$1:$H$4,4,0),"")</f>
        <v>#NAME?</v>
      </c>
      <c r="G354" s="26" t="s">
        <v>5472</v>
      </c>
      <c r="H354" s="32">
        <v>0.1</v>
      </c>
      <c r="I354" s="31" t="s">
        <v>18</v>
      </c>
      <c r="J354" s="32"/>
      <c r="K354" s="32" t="str">
        <f t="shared" si="1"/>
        <v>Interno</v>
      </c>
      <c r="L354" s="32" t="e">
        <f ca="1">_xludf.ifna(VLOOKUP(G355,Proyectos!$E$1:$N$4,10,0),"")</f>
        <v>#NAME?</v>
      </c>
      <c r="M354" s="32"/>
      <c r="N354" s="31"/>
      <c r="O354" s="31"/>
      <c r="P354" s="33"/>
      <c r="Q354" s="33"/>
    </row>
    <row r="355" spans="1:17" ht="16.5" customHeight="1" x14ac:dyDescent="0.2">
      <c r="A355" s="26" t="s">
        <v>4772</v>
      </c>
      <c r="B355" s="26" t="s">
        <v>4773</v>
      </c>
      <c r="C355" s="26" t="s">
        <v>64</v>
      </c>
      <c r="D355" s="26" t="s">
        <v>65</v>
      </c>
      <c r="E355" s="26" t="s">
        <v>39</v>
      </c>
      <c r="F355" s="28" t="e">
        <f ca="1">_xludf.ifna(VLOOKUP(G356,Proyectos!$E$1:$H$4,4,0),"")</f>
        <v>#NAME?</v>
      </c>
      <c r="G355" s="26" t="s">
        <v>5597</v>
      </c>
      <c r="H355" s="32">
        <v>0.1</v>
      </c>
      <c r="I355" s="31" t="s">
        <v>11</v>
      </c>
      <c r="J355" s="31"/>
      <c r="K355" s="32" t="str">
        <f t="shared" si="1"/>
        <v>Interno</v>
      </c>
      <c r="L355" s="32" t="e">
        <f ca="1">_xludf.ifna(VLOOKUP(G356,Proyectos!$E$1:$N$4,10,0),"")</f>
        <v>#NAME?</v>
      </c>
      <c r="M355" s="32"/>
      <c r="N355" s="31"/>
      <c r="O355" s="31"/>
      <c r="P355" s="33"/>
      <c r="Q355" s="33"/>
    </row>
    <row r="356" spans="1:17" ht="16.5" customHeight="1" x14ac:dyDescent="0.2">
      <c r="A356" s="26" t="s">
        <v>4772</v>
      </c>
      <c r="B356" s="26" t="s">
        <v>4773</v>
      </c>
      <c r="C356" s="26" t="s">
        <v>64</v>
      </c>
      <c r="D356" s="26" t="s">
        <v>65</v>
      </c>
      <c r="E356" s="26" t="s">
        <v>39</v>
      </c>
      <c r="F356" s="28" t="e">
        <f ca="1">_xludf.ifna(VLOOKUP(G357,Proyectos!$E$1:$H$4,4,0),"")</f>
        <v>#NAME?</v>
      </c>
      <c r="G356" s="26" t="s">
        <v>5409</v>
      </c>
      <c r="H356" s="32">
        <v>0.2</v>
      </c>
      <c r="I356" s="31" t="s">
        <v>11</v>
      </c>
      <c r="J356" s="31"/>
      <c r="K356" s="32" t="str">
        <f t="shared" si="1"/>
        <v>Interno</v>
      </c>
      <c r="L356" s="32" t="e">
        <f ca="1">_xludf.ifna(VLOOKUP(G357,Proyectos!$E$1:$N$4,10,0),"")</f>
        <v>#NAME?</v>
      </c>
      <c r="M356" s="32"/>
      <c r="N356" s="32"/>
      <c r="O356" s="31"/>
      <c r="P356" s="33"/>
      <c r="Q356" s="33"/>
    </row>
    <row r="357" spans="1:17" ht="16.5" customHeight="1" x14ac:dyDescent="0.2">
      <c r="A357" s="26" t="s">
        <v>4772</v>
      </c>
      <c r="B357" s="26" t="s">
        <v>4773</v>
      </c>
      <c r="C357" s="26" t="s">
        <v>64</v>
      </c>
      <c r="D357" s="26" t="s">
        <v>65</v>
      </c>
      <c r="E357" s="26" t="s">
        <v>39</v>
      </c>
      <c r="F357" s="28" t="e">
        <f ca="1">_xludf.ifna(VLOOKUP(G358,Proyectos!$E$1:$H$4,4,0),"")</f>
        <v>#NAME?</v>
      </c>
      <c r="G357" s="26" t="s">
        <v>5633</v>
      </c>
      <c r="H357" s="32">
        <v>0.2</v>
      </c>
      <c r="I357" s="31" t="s">
        <v>11</v>
      </c>
      <c r="J357" s="31"/>
      <c r="K357" s="32" t="str">
        <f t="shared" si="1"/>
        <v>Interno</v>
      </c>
      <c r="L357" s="32" t="e">
        <f ca="1">_xludf.ifna(VLOOKUP(G358,Proyectos!$E$1:$N$4,10,0),"")</f>
        <v>#NAME?</v>
      </c>
      <c r="M357" s="32"/>
      <c r="N357" s="31"/>
      <c r="O357" s="31"/>
      <c r="P357" s="33"/>
      <c r="Q357" s="33"/>
    </row>
    <row r="358" spans="1:17" ht="16.5" customHeight="1" x14ac:dyDescent="0.2">
      <c r="A358" s="26" t="s">
        <v>4772</v>
      </c>
      <c r="B358" s="26" t="s">
        <v>4773</v>
      </c>
      <c r="C358" s="26" t="s">
        <v>64</v>
      </c>
      <c r="D358" s="26" t="s">
        <v>65</v>
      </c>
      <c r="E358" s="26" t="s">
        <v>39</v>
      </c>
      <c r="F358" s="28" t="e">
        <f ca="1">_xludf.ifna(VLOOKUP(G359,Proyectos!$E$1:$H$4,4,0),"")</f>
        <v>#NAME?</v>
      </c>
      <c r="G358" s="26" t="s">
        <v>5410</v>
      </c>
      <c r="H358" s="32">
        <v>0.1</v>
      </c>
      <c r="I358" s="31" t="s">
        <v>11</v>
      </c>
      <c r="J358" s="31"/>
      <c r="K358" s="32" t="str">
        <f t="shared" si="1"/>
        <v>Interno</v>
      </c>
      <c r="L358" s="32" t="e">
        <f ca="1">_xludf.ifna(VLOOKUP(G359,Proyectos!$E$1:$N$4,10,0),"")</f>
        <v>#NAME?</v>
      </c>
      <c r="M358" s="32"/>
      <c r="N358" s="32"/>
      <c r="O358" s="31"/>
      <c r="P358" s="33"/>
      <c r="Q358" s="33"/>
    </row>
    <row r="359" spans="1:17" ht="16.5" customHeight="1" x14ac:dyDescent="0.2">
      <c r="A359" s="26" t="s">
        <v>4772</v>
      </c>
      <c r="B359" s="26" t="s">
        <v>4773</v>
      </c>
      <c r="C359" s="26" t="s">
        <v>64</v>
      </c>
      <c r="D359" s="26" t="s">
        <v>65</v>
      </c>
      <c r="E359" s="26" t="s">
        <v>39</v>
      </c>
      <c r="F359" s="28" t="e">
        <f ca="1">_xludf.ifna(VLOOKUP(G360,Proyectos!$E$1:$H$4,4,0),"")</f>
        <v>#NAME?</v>
      </c>
      <c r="G359" s="26" t="s">
        <v>5387</v>
      </c>
      <c r="H359" s="32">
        <v>0.1</v>
      </c>
      <c r="I359" s="31" t="s">
        <v>11</v>
      </c>
      <c r="J359" s="31"/>
      <c r="K359" s="32" t="str">
        <f t="shared" si="1"/>
        <v>Interno</v>
      </c>
      <c r="L359" s="32" t="e">
        <f ca="1">_xludf.ifna(VLOOKUP(G360,Proyectos!$E$1:$N$4,10,0),"")</f>
        <v>#NAME?</v>
      </c>
      <c r="M359" s="32"/>
      <c r="N359" s="32"/>
      <c r="O359" s="31"/>
      <c r="P359" s="33"/>
      <c r="Q359" s="33"/>
    </row>
    <row r="360" spans="1:17" ht="16.5" customHeight="1" x14ac:dyDescent="0.2">
      <c r="A360" s="26" t="s">
        <v>4772</v>
      </c>
      <c r="B360" s="26" t="s">
        <v>4773</v>
      </c>
      <c r="C360" s="26" t="s">
        <v>64</v>
      </c>
      <c r="D360" s="26" t="s">
        <v>78</v>
      </c>
      <c r="E360" s="26" t="s">
        <v>39</v>
      </c>
      <c r="F360" s="28" t="e">
        <f ca="1">_xludf.ifna(VLOOKUP(G361,Proyectos!$E$1:$H$4,4,0),"")</f>
        <v>#NAME?</v>
      </c>
      <c r="G360" s="26" t="s">
        <v>5597</v>
      </c>
      <c r="H360" s="32">
        <v>0.1</v>
      </c>
      <c r="I360" s="31" t="s">
        <v>11</v>
      </c>
      <c r="J360" s="31"/>
      <c r="K360" s="32" t="str">
        <f t="shared" si="1"/>
        <v>Interno</v>
      </c>
      <c r="L360" s="32" t="e">
        <f ca="1">_xludf.ifna(VLOOKUP(G361,Proyectos!$E$1:$N$4,10,0),"")</f>
        <v>#NAME?</v>
      </c>
      <c r="M360" s="32"/>
      <c r="N360" s="31"/>
      <c r="O360" s="31"/>
      <c r="P360" s="33"/>
      <c r="Q360" s="33"/>
    </row>
    <row r="361" spans="1:17" ht="16.5" customHeight="1" x14ac:dyDescent="0.2">
      <c r="A361" s="26" t="s">
        <v>4772</v>
      </c>
      <c r="B361" s="26" t="s">
        <v>4773</v>
      </c>
      <c r="C361" s="26" t="s">
        <v>64</v>
      </c>
      <c r="D361" s="26" t="s">
        <v>78</v>
      </c>
      <c r="E361" s="26" t="s">
        <v>39</v>
      </c>
      <c r="F361" s="28" t="e">
        <f ca="1">_xludf.ifna(VLOOKUP(G362,Proyectos!$E$1:$H$4,4,0),"")</f>
        <v>#NAME?</v>
      </c>
      <c r="G361" s="26" t="s">
        <v>5411</v>
      </c>
      <c r="H361" s="32">
        <v>0.1</v>
      </c>
      <c r="I361" s="31" t="s">
        <v>11</v>
      </c>
      <c r="J361" s="31"/>
      <c r="K361" s="32" t="str">
        <f t="shared" si="1"/>
        <v>Interno</v>
      </c>
      <c r="L361" s="32" t="e">
        <f ca="1">_xludf.ifna(VLOOKUP(G362,Proyectos!$E$1:$N$4,10,0),"")</f>
        <v>#NAME?</v>
      </c>
      <c r="M361" s="32"/>
      <c r="N361" s="32"/>
      <c r="O361" s="31"/>
      <c r="P361" s="33"/>
      <c r="Q361" s="33"/>
    </row>
    <row r="362" spans="1:17" ht="16.5" customHeight="1" x14ac:dyDescent="0.2">
      <c r="A362" s="26" t="s">
        <v>4772</v>
      </c>
      <c r="B362" s="26" t="s">
        <v>4773</v>
      </c>
      <c r="C362" s="26" t="s">
        <v>64</v>
      </c>
      <c r="D362" s="26" t="s">
        <v>78</v>
      </c>
      <c r="E362" s="26" t="s">
        <v>39</v>
      </c>
      <c r="F362" s="28" t="e">
        <f ca="1">_xludf.ifna(VLOOKUP(G363,Proyectos!$E$1:$H$4,4,0),"")</f>
        <v>#NAME?</v>
      </c>
      <c r="G362" s="26" t="s">
        <v>5406</v>
      </c>
      <c r="H362" s="32">
        <v>0.1</v>
      </c>
      <c r="I362" s="31" t="s">
        <v>11</v>
      </c>
      <c r="J362" s="31"/>
      <c r="K362" s="32" t="str">
        <f t="shared" si="1"/>
        <v>Interno</v>
      </c>
      <c r="L362" s="32" t="e">
        <f ca="1">_xludf.ifna(VLOOKUP(G363,Proyectos!$E$1:$N$4,10,0),"")</f>
        <v>#NAME?</v>
      </c>
      <c r="M362" s="32"/>
      <c r="N362" s="32"/>
      <c r="O362" s="31"/>
      <c r="P362" s="33"/>
      <c r="Q362" s="33"/>
    </row>
    <row r="363" spans="1:17" ht="16.5" customHeight="1" x14ac:dyDescent="0.2">
      <c r="A363" s="26" t="s">
        <v>4273</v>
      </c>
      <c r="B363" s="26" t="s">
        <v>5317</v>
      </c>
      <c r="C363" s="53" t="s">
        <v>64</v>
      </c>
      <c r="D363" s="26" t="s">
        <v>92</v>
      </c>
      <c r="E363" s="26" t="s">
        <v>129</v>
      </c>
      <c r="F363" s="28" t="e">
        <f ca="1">_xludf.ifna(VLOOKUP(G364,Proyectos!$E$1:$H$4,4,0),"")</f>
        <v>#NAME?</v>
      </c>
      <c r="G363" s="26" t="s">
        <v>5235</v>
      </c>
      <c r="H363" s="32">
        <v>1</v>
      </c>
      <c r="I363" s="31" t="s">
        <v>18</v>
      </c>
      <c r="J363" s="32"/>
      <c r="K363" s="32" t="str">
        <f t="shared" si="1"/>
        <v>Externo</v>
      </c>
      <c r="L363" s="32" t="e">
        <f ca="1">_xludf.ifna(VLOOKUP(G364,Proyectos!$E$1:$N$4,10,0),"")</f>
        <v>#NAME?</v>
      </c>
      <c r="M363" s="32"/>
      <c r="N363" s="32"/>
      <c r="O363" s="31"/>
      <c r="P363" s="33"/>
      <c r="Q363" s="33"/>
    </row>
    <row r="364" spans="1:17" ht="16.5" customHeight="1" x14ac:dyDescent="0.2">
      <c r="A364" s="26" t="s">
        <v>4273</v>
      </c>
      <c r="B364" s="26" t="s">
        <v>5478</v>
      </c>
      <c r="C364" s="26" t="s">
        <v>115</v>
      </c>
      <c r="D364" s="26" t="s">
        <v>116</v>
      </c>
      <c r="E364" s="26" t="s">
        <v>129</v>
      </c>
      <c r="F364" s="28" t="e">
        <f ca="1">_xludf.ifna(VLOOKUP(G365,Proyectos!$E$1:$H$4,4,0),"")</f>
        <v>#NAME?</v>
      </c>
      <c r="G364" s="26" t="s">
        <v>5470</v>
      </c>
      <c r="H364" s="32">
        <v>0.35</v>
      </c>
      <c r="I364" s="31" t="s">
        <v>18</v>
      </c>
      <c r="J364" s="32"/>
      <c r="K364" s="32" t="str">
        <f t="shared" si="1"/>
        <v>Externo</v>
      </c>
      <c r="L364" s="32" t="e">
        <f ca="1">_xludf.ifna(VLOOKUP(G365,Proyectos!$E$1:$N$4,10,0),"")</f>
        <v>#NAME?</v>
      </c>
      <c r="M364" s="32"/>
      <c r="N364" s="32"/>
      <c r="O364" s="31"/>
      <c r="P364" s="33"/>
      <c r="Q364" s="33"/>
    </row>
    <row r="365" spans="1:17" ht="16.5" customHeight="1" x14ac:dyDescent="0.2">
      <c r="A365" s="26" t="s">
        <v>4273</v>
      </c>
      <c r="B365" s="26" t="s">
        <v>5478</v>
      </c>
      <c r="C365" s="26" t="s">
        <v>115</v>
      </c>
      <c r="D365" s="26" t="s">
        <v>116</v>
      </c>
      <c r="E365" s="26" t="s">
        <v>129</v>
      </c>
      <c r="F365" s="28" t="e">
        <f ca="1">_xludf.ifna(VLOOKUP(G366,Proyectos!$E$1:$H$4,4,0),"")</f>
        <v>#NAME?</v>
      </c>
      <c r="G365" s="26" t="s">
        <v>5235</v>
      </c>
      <c r="H365" s="32">
        <v>0.3</v>
      </c>
      <c r="I365" s="31" t="s">
        <v>18</v>
      </c>
      <c r="J365" s="32"/>
      <c r="K365" s="32" t="str">
        <f t="shared" si="1"/>
        <v>Externo</v>
      </c>
      <c r="L365" s="32" t="e">
        <f ca="1">_xludf.ifna(VLOOKUP(G366,Proyectos!$E$1:$N$4,10,0),"")</f>
        <v>#NAME?</v>
      </c>
      <c r="M365" s="32"/>
      <c r="N365" s="32"/>
      <c r="O365" s="31"/>
      <c r="P365" s="33"/>
      <c r="Q365" s="33"/>
    </row>
    <row r="366" spans="1:17" ht="16.5" customHeight="1" x14ac:dyDescent="0.2">
      <c r="A366" s="26" t="s">
        <v>4273</v>
      </c>
      <c r="B366" s="26" t="s">
        <v>5478</v>
      </c>
      <c r="C366" s="26" t="s">
        <v>115</v>
      </c>
      <c r="D366" s="26" t="s">
        <v>116</v>
      </c>
      <c r="E366" s="26" t="s">
        <v>129</v>
      </c>
      <c r="F366" s="28" t="e">
        <f ca="1">_xludf.ifna(VLOOKUP(G367,Proyectos!$E$1:$H$4,4,0),"")</f>
        <v>#NAME?</v>
      </c>
      <c r="G366" s="26" t="s">
        <v>5237</v>
      </c>
      <c r="H366" s="32">
        <v>0.35</v>
      </c>
      <c r="I366" s="31" t="s">
        <v>18</v>
      </c>
      <c r="J366" s="32"/>
      <c r="K366" s="32" t="str">
        <f t="shared" si="1"/>
        <v>Externo</v>
      </c>
      <c r="L366" s="32" t="e">
        <f ca="1">_xludf.ifna(VLOOKUP(G367,Proyectos!$E$1:$N$4,10,0),"")</f>
        <v>#NAME?</v>
      </c>
      <c r="M366" s="32"/>
      <c r="N366" s="32"/>
      <c r="O366" s="31"/>
      <c r="P366" s="33"/>
      <c r="Q366" s="33"/>
    </row>
    <row r="367" spans="1:17" ht="16.5" customHeight="1" x14ac:dyDescent="0.2">
      <c r="A367" s="26" t="s">
        <v>4318</v>
      </c>
      <c r="B367" s="26" t="s">
        <v>4319</v>
      </c>
      <c r="C367" s="26" t="s">
        <v>115</v>
      </c>
      <c r="D367" s="26" t="s">
        <v>116</v>
      </c>
      <c r="E367" s="26" t="s">
        <v>108</v>
      </c>
      <c r="F367" s="28" t="e">
        <f ca="1">_xludf.ifna(VLOOKUP(G368,Proyectos!$E$1:$H$4,4,0),"")</f>
        <v>#NAME?</v>
      </c>
      <c r="G367" s="26" t="s">
        <v>5235</v>
      </c>
      <c r="H367" s="32">
        <v>1</v>
      </c>
      <c r="I367" s="31" t="s">
        <v>18</v>
      </c>
      <c r="J367" s="32"/>
      <c r="K367" s="32" t="str">
        <f t="shared" si="1"/>
        <v>Externo</v>
      </c>
      <c r="L367" s="32" t="e">
        <f ca="1">_xludf.ifna(VLOOKUP(G368,Proyectos!$E$1:$N$4,10,0),"")</f>
        <v>#NAME?</v>
      </c>
      <c r="M367" s="32"/>
      <c r="N367" s="32"/>
      <c r="O367" s="31"/>
      <c r="P367" s="33"/>
      <c r="Q367" s="33"/>
    </row>
    <row r="368" spans="1:17" ht="16.5" customHeight="1" x14ac:dyDescent="0.2">
      <c r="A368" s="4" t="s">
        <v>3520</v>
      </c>
      <c r="B368" s="4" t="s">
        <v>5371</v>
      </c>
      <c r="C368" s="26" t="s">
        <v>64</v>
      </c>
      <c r="D368" s="26" t="s">
        <v>89</v>
      </c>
      <c r="E368" s="26" t="s">
        <v>39</v>
      </c>
      <c r="F368" s="28" t="e">
        <f ca="1">_xludf.ifna(VLOOKUP(G369,Proyectos!$E$1:$H$4,4,0),"")</f>
        <v>#NAME?</v>
      </c>
      <c r="G368" s="26" t="s">
        <v>5130</v>
      </c>
      <c r="H368" s="32">
        <v>1</v>
      </c>
      <c r="I368" s="31" t="s">
        <v>18</v>
      </c>
      <c r="J368" s="32"/>
      <c r="K368" s="32" t="str">
        <f t="shared" si="1"/>
        <v>Interno</v>
      </c>
      <c r="L368" s="32" t="e">
        <f ca="1">_xludf.ifna(VLOOKUP(G369,Proyectos!$E$1:$N$4,10,0),"")</f>
        <v>#NAME?</v>
      </c>
      <c r="M368" s="32"/>
      <c r="N368" s="32"/>
      <c r="O368" s="31"/>
      <c r="P368" s="33"/>
      <c r="Q368" s="33"/>
    </row>
    <row r="369" spans="1:17" ht="16.5" customHeight="1" x14ac:dyDescent="0.2">
      <c r="A369" s="26" t="s">
        <v>5683</v>
      </c>
      <c r="B369" s="26" t="s">
        <v>5684</v>
      </c>
      <c r="C369" s="53" t="s">
        <v>64</v>
      </c>
      <c r="D369" s="26" t="s">
        <v>92</v>
      </c>
      <c r="E369" s="26" t="s">
        <v>126</v>
      </c>
      <c r="F369" s="28" t="e">
        <f ca="1">_xludf.ifna(VLOOKUP(G370,Proyectos!$E$1:$H$4,4,0),"")</f>
        <v>#NAME?</v>
      </c>
      <c r="G369" s="26" t="s">
        <v>5310</v>
      </c>
      <c r="H369" s="32">
        <v>1</v>
      </c>
      <c r="I369" s="31" t="s">
        <v>25</v>
      </c>
      <c r="J369" s="32"/>
      <c r="K369" s="32" t="str">
        <f t="shared" si="1"/>
        <v>Externo</v>
      </c>
      <c r="L369" s="32" t="e">
        <f ca="1">_xludf.ifna(VLOOKUP(G370,Proyectos!$E$1:$N$4,10,0),"")</f>
        <v>#NAME?</v>
      </c>
      <c r="M369" s="32"/>
      <c r="N369" s="32"/>
      <c r="O369" s="31"/>
      <c r="P369" s="33"/>
      <c r="Q369" s="33"/>
    </row>
    <row r="370" spans="1:17" ht="16.5" customHeight="1" x14ac:dyDescent="0.2">
      <c r="A370" s="26" t="s">
        <v>5685</v>
      </c>
      <c r="B370" s="26" t="s">
        <v>5686</v>
      </c>
      <c r="C370" s="26" t="s">
        <v>64</v>
      </c>
      <c r="D370" s="26" t="s">
        <v>95</v>
      </c>
      <c r="E370" s="26" t="s">
        <v>126</v>
      </c>
      <c r="F370" s="28" t="e">
        <f ca="1">_xludf.ifna(VLOOKUP(G371,Proyectos!$E$1:$H$4,4,0),"")</f>
        <v>#NAME?</v>
      </c>
      <c r="G370" s="26" t="s">
        <v>5363</v>
      </c>
      <c r="H370" s="32">
        <v>0.25</v>
      </c>
      <c r="I370" s="31" t="s">
        <v>18</v>
      </c>
      <c r="J370" s="32"/>
      <c r="K370" s="32" t="str">
        <f t="shared" si="1"/>
        <v>Externo</v>
      </c>
      <c r="L370" s="32" t="e">
        <f ca="1">_xludf.ifna(VLOOKUP(G371,Proyectos!$E$1:$N$4,10,0),"")</f>
        <v>#NAME?</v>
      </c>
      <c r="M370" s="32"/>
      <c r="N370" s="32"/>
      <c r="O370" s="31"/>
      <c r="P370" s="33"/>
      <c r="Q370" s="33"/>
    </row>
    <row r="371" spans="1:17" ht="16.5" customHeight="1" x14ac:dyDescent="0.2">
      <c r="A371" s="26" t="s">
        <v>4948</v>
      </c>
      <c r="B371" s="26" t="s">
        <v>4949</v>
      </c>
      <c r="C371" s="26" t="s">
        <v>98</v>
      </c>
      <c r="D371" s="26" t="s">
        <v>102</v>
      </c>
      <c r="E371" s="26" t="s">
        <v>108</v>
      </c>
      <c r="F371" s="28" t="e">
        <f ca="1">_xludf.ifna(VLOOKUP(G372,Proyectos!$E$1:$H$4,4,0),"")</f>
        <v>#NAME?</v>
      </c>
      <c r="G371" s="27" t="s">
        <v>5112</v>
      </c>
      <c r="H371" s="32">
        <v>1</v>
      </c>
      <c r="I371" s="31" t="s">
        <v>25</v>
      </c>
      <c r="J371" s="32"/>
      <c r="K371" s="32" t="str">
        <f t="shared" si="1"/>
        <v>Externo</v>
      </c>
      <c r="L371" s="32" t="e">
        <f ca="1">_xludf.ifna(VLOOKUP(G372,Proyectos!$E$1:$N$4,10,0),"")</f>
        <v>#NAME?</v>
      </c>
      <c r="M371" s="32"/>
      <c r="N371" s="32"/>
      <c r="O371" s="31"/>
      <c r="P371" s="33"/>
      <c r="Q371" s="33"/>
    </row>
    <row r="372" spans="1:17" ht="16.5" customHeight="1" x14ac:dyDescent="0.2">
      <c r="A372" s="26" t="s">
        <v>4705</v>
      </c>
      <c r="B372" s="26" t="s">
        <v>4706</v>
      </c>
      <c r="C372" s="26" t="s">
        <v>115</v>
      </c>
      <c r="D372" s="26" t="s">
        <v>116</v>
      </c>
      <c r="E372" s="26" t="s">
        <v>39</v>
      </c>
      <c r="F372" s="28" t="e">
        <f ca="1">_xludf.ifna(VLOOKUP(G373,Proyectos!$E$1:$H$4,4,0),"")</f>
        <v>#NAME?</v>
      </c>
      <c r="G372" s="26" t="s">
        <v>5320</v>
      </c>
      <c r="H372" s="32">
        <v>0.25</v>
      </c>
      <c r="I372" s="31" t="s">
        <v>18</v>
      </c>
      <c r="J372" s="32"/>
      <c r="K372" s="32" t="str">
        <f t="shared" si="1"/>
        <v>Interno</v>
      </c>
      <c r="L372" s="32" t="e">
        <f ca="1">_xludf.ifna(VLOOKUP(G373,Proyectos!$E$1:$N$4,10,0),"")</f>
        <v>#NAME?</v>
      </c>
      <c r="M372" s="32"/>
      <c r="N372" s="31"/>
      <c r="O372" s="31"/>
      <c r="P372" s="33"/>
      <c r="Q372" s="33"/>
    </row>
    <row r="373" spans="1:17" ht="16.5" customHeight="1" x14ac:dyDescent="0.2">
      <c r="A373" s="26" t="s">
        <v>4705</v>
      </c>
      <c r="B373" s="26" t="s">
        <v>4706</v>
      </c>
      <c r="C373" s="26" t="s">
        <v>115</v>
      </c>
      <c r="D373" s="26" t="s">
        <v>116</v>
      </c>
      <c r="E373" s="26" t="s">
        <v>39</v>
      </c>
      <c r="F373" s="28" t="e">
        <f ca="1">_xludf.ifna(VLOOKUP(G374,Proyectos!$E$1:$H$4,4,0),"")</f>
        <v>#NAME?</v>
      </c>
      <c r="G373" s="26" t="s">
        <v>5323</v>
      </c>
      <c r="H373" s="32">
        <v>0.75</v>
      </c>
      <c r="I373" s="31" t="s">
        <v>18</v>
      </c>
      <c r="J373" s="32"/>
      <c r="K373" s="32" t="str">
        <f t="shared" si="1"/>
        <v>Interno</v>
      </c>
      <c r="L373" s="32" t="e">
        <f ca="1">_xludf.ifna(VLOOKUP(G374,Proyectos!$E$1:$N$4,10,0),"")</f>
        <v>#NAME?</v>
      </c>
      <c r="M373" s="32"/>
      <c r="N373" s="32"/>
      <c r="O373" s="31"/>
      <c r="P373" s="33"/>
      <c r="Q373" s="33"/>
    </row>
    <row r="374" spans="1:17" ht="16.5" customHeight="1" x14ac:dyDescent="0.2">
      <c r="A374" s="26" t="s">
        <v>5687</v>
      </c>
      <c r="B374" s="26" t="s">
        <v>5688</v>
      </c>
      <c r="C374" s="26" t="s">
        <v>64</v>
      </c>
      <c r="D374" s="26" t="s">
        <v>86</v>
      </c>
      <c r="E374" s="26" t="s">
        <v>87</v>
      </c>
      <c r="F374" s="28" t="e">
        <f ca="1">_xludf.ifna(VLOOKUP(G375,Proyectos!$E$1:$H$4,4,0),"")</f>
        <v>#NAME?</v>
      </c>
      <c r="G374" s="26" t="s">
        <v>5463</v>
      </c>
      <c r="H374" s="30">
        <v>1</v>
      </c>
      <c r="I374" s="31" t="s">
        <v>18</v>
      </c>
      <c r="J374" s="32"/>
      <c r="K374" s="32" t="str">
        <f t="shared" si="1"/>
        <v>Externo</v>
      </c>
      <c r="L374" s="32" t="e">
        <f ca="1">_xludf.ifna(VLOOKUP(G375,Proyectos!$E$1:$N$4,10,0),"")</f>
        <v>#NAME?</v>
      </c>
      <c r="M374" s="32"/>
      <c r="N374" s="32"/>
      <c r="O374" s="31"/>
      <c r="P374" s="33"/>
      <c r="Q374" s="33"/>
    </row>
    <row r="375" spans="1:17" ht="16.5" customHeight="1" x14ac:dyDescent="0.2">
      <c r="A375" s="35" t="s">
        <v>3408</v>
      </c>
      <c r="B375" s="26" t="s">
        <v>5380</v>
      </c>
      <c r="C375" s="26" t="s">
        <v>64</v>
      </c>
      <c r="D375" s="26" t="s">
        <v>82</v>
      </c>
      <c r="E375" s="35" t="s">
        <v>39</v>
      </c>
      <c r="F375" s="28" t="e">
        <f ca="1">_xludf.ifna(VLOOKUP(G376,Proyectos!$E$1:$H$4,4,0),"")</f>
        <v>#NAME?</v>
      </c>
      <c r="G375" s="26" t="s">
        <v>5387</v>
      </c>
      <c r="H375" s="32">
        <v>1</v>
      </c>
      <c r="I375" s="31" t="s">
        <v>18</v>
      </c>
      <c r="J375" s="32"/>
      <c r="K375" s="32" t="str">
        <f t="shared" si="1"/>
        <v>Interno</v>
      </c>
      <c r="L375" s="32" t="e">
        <f ca="1">_xludf.ifna(VLOOKUP(G376,Proyectos!$E$1:$N$4,10,0),"")</f>
        <v>#NAME?</v>
      </c>
      <c r="M375" s="32"/>
      <c r="N375" s="32"/>
      <c r="O375" s="31"/>
      <c r="P375" s="33"/>
      <c r="Q375" s="33"/>
    </row>
    <row r="376" spans="1:17" ht="16.5" customHeight="1" x14ac:dyDescent="0.2">
      <c r="A376" s="35" t="s">
        <v>3960</v>
      </c>
      <c r="B376" s="26" t="s">
        <v>5689</v>
      </c>
      <c r="C376" s="26" t="s">
        <v>64</v>
      </c>
      <c r="D376" s="26" t="s">
        <v>82</v>
      </c>
      <c r="E376" s="35" t="s">
        <v>126</v>
      </c>
      <c r="F376" s="28" t="e">
        <f ca="1">_xludf.ifna(VLOOKUP(G377,Proyectos!$E$1:$H$4,4,0),"")</f>
        <v>#NAME?</v>
      </c>
      <c r="G376" s="26" t="s">
        <v>5387</v>
      </c>
      <c r="H376" s="32">
        <v>1</v>
      </c>
      <c r="I376" s="31" t="s">
        <v>18</v>
      </c>
      <c r="J376" s="32"/>
      <c r="K376" s="32" t="str">
        <f t="shared" si="1"/>
        <v>Externo</v>
      </c>
      <c r="L376" s="32" t="e">
        <f ca="1">_xludf.ifna(VLOOKUP(G377,Proyectos!$E$1:$N$4,10,0),"")</f>
        <v>#NAME?</v>
      </c>
      <c r="M376" s="32"/>
      <c r="N376" s="32"/>
      <c r="O376" s="31"/>
      <c r="P376" s="33"/>
      <c r="Q376" s="33"/>
    </row>
    <row r="377" spans="1:17" ht="16.5" customHeight="1" x14ac:dyDescent="0.2">
      <c r="A377" s="26" t="s">
        <v>4621</v>
      </c>
      <c r="B377" s="26" t="s">
        <v>4622</v>
      </c>
      <c r="C377" s="26" t="s">
        <v>98</v>
      </c>
      <c r="D377" s="26" t="s">
        <v>99</v>
      </c>
      <c r="E377" s="26" t="s">
        <v>39</v>
      </c>
      <c r="F377" s="28" t="e">
        <f ca="1">_xludf.ifna(VLOOKUP(G378,Proyectos!$E$1:$H$4,4,0),"")</f>
        <v>#NAME?</v>
      </c>
      <c r="G377" s="26" t="s">
        <v>5128</v>
      </c>
      <c r="H377" s="32">
        <v>0.25</v>
      </c>
      <c r="I377" s="31" t="s">
        <v>18</v>
      </c>
      <c r="J377" s="32"/>
      <c r="K377" s="32" t="str">
        <f t="shared" si="1"/>
        <v>Interno</v>
      </c>
      <c r="L377" s="32" t="e">
        <f ca="1">_xludf.ifna(VLOOKUP(G378,Proyectos!$E$1:$N$4,10,0),"")</f>
        <v>#NAME?</v>
      </c>
      <c r="M377" s="32"/>
      <c r="N377" s="32"/>
      <c r="O377" s="31"/>
      <c r="P377" s="33"/>
      <c r="Q377" s="33"/>
    </row>
    <row r="378" spans="1:17" ht="16.5" customHeight="1" x14ac:dyDescent="0.2">
      <c r="A378" s="26" t="s">
        <v>4621</v>
      </c>
      <c r="B378" s="26" t="s">
        <v>4622</v>
      </c>
      <c r="C378" s="26" t="s">
        <v>98</v>
      </c>
      <c r="D378" s="26" t="s">
        <v>99</v>
      </c>
      <c r="E378" s="26" t="s">
        <v>39</v>
      </c>
      <c r="F378" s="28" t="e">
        <f ca="1">_xludf.ifna(VLOOKUP(G379,Proyectos!$E$1:$H$4,4,0),"")</f>
        <v>#NAME?</v>
      </c>
      <c r="G378" s="26" t="s">
        <v>5664</v>
      </c>
      <c r="H378" s="32">
        <v>0.5</v>
      </c>
      <c r="I378" s="31" t="s">
        <v>18</v>
      </c>
      <c r="J378" s="32"/>
      <c r="K378" s="32" t="str">
        <f t="shared" si="1"/>
        <v>Interno</v>
      </c>
      <c r="L378" s="32" t="e">
        <f ca="1">_xludf.ifna(VLOOKUP(G379,Proyectos!$E$1:$N$4,10,0),"")</f>
        <v>#NAME?</v>
      </c>
      <c r="M378" s="32"/>
      <c r="N378" s="32"/>
      <c r="O378" s="31"/>
      <c r="P378" s="33"/>
      <c r="Q378" s="33"/>
    </row>
    <row r="379" spans="1:17" ht="16.5" customHeight="1" x14ac:dyDescent="0.2">
      <c r="A379" s="26" t="s">
        <v>4621</v>
      </c>
      <c r="B379" s="26" t="s">
        <v>4622</v>
      </c>
      <c r="C379" s="26" t="s">
        <v>98</v>
      </c>
      <c r="D379" s="26" t="s">
        <v>99</v>
      </c>
      <c r="E379" s="26" t="s">
        <v>39</v>
      </c>
      <c r="F379" s="28" t="e">
        <f ca="1">_xludf.ifna(VLOOKUP(G380,Proyectos!$E$1:$H$4,4,0),"")</f>
        <v>#NAME?</v>
      </c>
      <c r="G379" s="26" t="s">
        <v>5143</v>
      </c>
      <c r="H379" s="32">
        <v>0.25</v>
      </c>
      <c r="I379" s="31" t="s">
        <v>18</v>
      </c>
      <c r="J379" s="32"/>
      <c r="K379" s="32" t="str">
        <f t="shared" si="1"/>
        <v>Interno</v>
      </c>
      <c r="L379" s="32" t="e">
        <f ca="1">_xludf.ifna(VLOOKUP(G380,Proyectos!$E$1:$N$4,10,0),"")</f>
        <v>#NAME?</v>
      </c>
      <c r="M379" s="32"/>
      <c r="N379" s="32"/>
      <c r="O379" s="31"/>
      <c r="P379" s="33"/>
      <c r="Q379" s="33"/>
    </row>
    <row r="380" spans="1:17" ht="16.5" customHeight="1" x14ac:dyDescent="0.2">
      <c r="A380" s="26" t="s">
        <v>4346</v>
      </c>
      <c r="B380" s="26" t="s">
        <v>4347</v>
      </c>
      <c r="C380" s="26" t="s">
        <v>98</v>
      </c>
      <c r="D380" s="26" t="s">
        <v>110</v>
      </c>
      <c r="E380" s="26" t="s">
        <v>87</v>
      </c>
      <c r="F380" s="28" t="e">
        <f ca="1">_xludf.ifna(VLOOKUP(G381,Proyectos!$E$1:$H$4,4,0),"")</f>
        <v>#NAME?</v>
      </c>
      <c r="G380" s="26" t="s">
        <v>5243</v>
      </c>
      <c r="H380" s="32">
        <v>1</v>
      </c>
      <c r="I380" s="31" t="s">
        <v>25</v>
      </c>
      <c r="J380" s="32"/>
      <c r="K380" s="32" t="str">
        <f t="shared" si="1"/>
        <v>Externo</v>
      </c>
      <c r="L380" s="32" t="e">
        <f ca="1">_xludf.ifna(VLOOKUP(G381,Proyectos!$E$1:$N$4,10,0),"")</f>
        <v>#NAME?</v>
      </c>
      <c r="M380" s="32"/>
      <c r="N380" s="32"/>
      <c r="O380" s="31"/>
      <c r="P380" s="33"/>
      <c r="Q380" s="33"/>
    </row>
    <row r="381" spans="1:17" ht="16.5" customHeight="1" x14ac:dyDescent="0.2">
      <c r="A381" s="26" t="s">
        <v>5690</v>
      </c>
      <c r="B381" s="26" t="s">
        <v>5691</v>
      </c>
      <c r="C381" s="26" t="s">
        <v>37</v>
      </c>
      <c r="D381" s="26" t="s">
        <v>38</v>
      </c>
      <c r="E381" s="26" t="s">
        <v>87</v>
      </c>
      <c r="F381" s="28" t="e">
        <f ca="1">_xludf.ifna(VLOOKUP(G382,Proyectos!$E$1:$H$4,4,0),"")</f>
        <v>#NAME?</v>
      </c>
      <c r="G381" s="26" t="s">
        <v>5345</v>
      </c>
      <c r="H381" s="32">
        <v>0.75</v>
      </c>
      <c r="I381" s="31" t="s">
        <v>25</v>
      </c>
      <c r="J381" s="32"/>
      <c r="K381" s="32" t="str">
        <f t="shared" si="1"/>
        <v>Externo</v>
      </c>
      <c r="L381" s="32" t="e">
        <f ca="1">_xludf.ifna(VLOOKUP(G382,Proyectos!$E$1:$N$4,10,0),"")</f>
        <v>#NAME?</v>
      </c>
      <c r="M381" s="32"/>
      <c r="N381" s="31"/>
      <c r="O381" s="31"/>
      <c r="P381" s="33"/>
      <c r="Q381" s="33"/>
    </row>
    <row r="382" spans="1:17" ht="16.5" customHeight="1" x14ac:dyDescent="0.2">
      <c r="A382" s="26" t="s">
        <v>5690</v>
      </c>
      <c r="B382" s="26" t="s">
        <v>5691</v>
      </c>
      <c r="C382" s="26" t="s">
        <v>37</v>
      </c>
      <c r="D382" s="26" t="s">
        <v>38</v>
      </c>
      <c r="E382" s="26" t="s">
        <v>87</v>
      </c>
      <c r="F382" s="28" t="e">
        <f ca="1">_xludf.ifna(VLOOKUP(G383,Proyectos!$E$1:$H$4,4,0),"")</f>
        <v>#NAME?</v>
      </c>
      <c r="G382" s="26" t="s">
        <v>5597</v>
      </c>
      <c r="H382" s="32">
        <v>0.25</v>
      </c>
      <c r="I382" s="31" t="s">
        <v>25</v>
      </c>
      <c r="J382" s="32"/>
      <c r="K382" s="32" t="str">
        <f t="shared" si="1"/>
        <v>Externo</v>
      </c>
      <c r="L382" s="32" t="e">
        <f ca="1">_xludf.ifna(VLOOKUP(G383,Proyectos!$E$1:$N$4,10,0),"")</f>
        <v>#NAME?</v>
      </c>
      <c r="M382" s="32"/>
      <c r="N382" s="31"/>
      <c r="O382" s="31"/>
      <c r="P382" s="33"/>
      <c r="Q382" s="33"/>
    </row>
    <row r="383" spans="1:17" ht="16.5" customHeight="1" x14ac:dyDescent="0.2">
      <c r="A383" s="26" t="s">
        <v>3596</v>
      </c>
      <c r="B383" s="26" t="s">
        <v>5692</v>
      </c>
      <c r="C383" s="26" t="s">
        <v>64</v>
      </c>
      <c r="D383" s="26" t="s">
        <v>95</v>
      </c>
      <c r="E383" s="26" t="s">
        <v>39</v>
      </c>
      <c r="F383" s="28" t="e">
        <f ca="1">_xludf.ifna(VLOOKUP(G384,Proyectos!$E$1:$H$4,4,0),"")</f>
        <v>#NAME?</v>
      </c>
      <c r="G383" s="26" t="s">
        <v>5363</v>
      </c>
      <c r="H383" s="32">
        <v>1</v>
      </c>
      <c r="I383" s="31" t="s">
        <v>18</v>
      </c>
      <c r="J383" s="32"/>
      <c r="K383" s="32" t="str">
        <f t="shared" si="1"/>
        <v>Interno</v>
      </c>
      <c r="L383" s="32" t="e">
        <f ca="1">_xludf.ifna(VLOOKUP(G384,Proyectos!$E$1:$N$4,10,0),"")</f>
        <v>#NAME?</v>
      </c>
      <c r="M383" s="32"/>
      <c r="N383" s="32"/>
      <c r="O383" s="31"/>
      <c r="P383" s="33"/>
      <c r="Q383" s="33"/>
    </row>
    <row r="384" spans="1:17" ht="16.5" customHeight="1" x14ac:dyDescent="0.2">
      <c r="A384" s="26" t="s">
        <v>3551</v>
      </c>
      <c r="B384" s="26" t="s">
        <v>3552</v>
      </c>
      <c r="C384" s="26" t="s">
        <v>115</v>
      </c>
      <c r="D384" s="26" t="s">
        <v>122</v>
      </c>
      <c r="E384" s="26" t="s">
        <v>39</v>
      </c>
      <c r="F384" s="28" t="e">
        <f ca="1">_xludf.ifna(VLOOKUP(G385,Proyectos!$E$1:$H$4,4,0),"")</f>
        <v>#NAME?</v>
      </c>
      <c r="G384" s="26" t="s">
        <v>5414</v>
      </c>
      <c r="H384" s="32">
        <v>1</v>
      </c>
      <c r="I384" s="31" t="s">
        <v>18</v>
      </c>
      <c r="J384" s="32"/>
      <c r="K384" s="32" t="str">
        <f t="shared" si="1"/>
        <v>Interno</v>
      </c>
      <c r="L384" s="32" t="e">
        <f ca="1">_xludf.ifna(VLOOKUP(G385,Proyectos!$E$1:$N$4,10,0),"")</f>
        <v>#NAME?</v>
      </c>
      <c r="M384" s="32"/>
      <c r="N384" s="32"/>
      <c r="O384" s="31"/>
      <c r="P384" s="33"/>
      <c r="Q384" s="33"/>
    </row>
    <row r="385" spans="1:17" ht="16.5" customHeight="1" x14ac:dyDescent="0.2">
      <c r="A385" s="26" t="s">
        <v>4903</v>
      </c>
      <c r="B385" s="26" t="s">
        <v>5693</v>
      </c>
      <c r="C385" s="26" t="s">
        <v>7</v>
      </c>
      <c r="D385" s="26" t="s">
        <v>16</v>
      </c>
      <c r="E385" s="26" t="s">
        <v>126</v>
      </c>
      <c r="F385" s="28" t="e">
        <f ca="1">_xludf.ifna(VLOOKUP(G386,Proyectos!$E$1:$H$4,4,0),"")</f>
        <v>#NAME?</v>
      </c>
      <c r="G385" s="26" t="s">
        <v>5231</v>
      </c>
      <c r="H385" s="65">
        <v>1</v>
      </c>
      <c r="I385" s="31" t="s">
        <v>25</v>
      </c>
      <c r="J385" s="32"/>
      <c r="K385" s="32" t="str">
        <f t="shared" si="1"/>
        <v>Externo</v>
      </c>
      <c r="L385" s="32" t="e">
        <f ca="1">_xludf.ifna(VLOOKUP(G386,Proyectos!$E$1:$N$4,10,0),"")</f>
        <v>#NAME?</v>
      </c>
      <c r="M385" s="32"/>
      <c r="N385" s="32"/>
      <c r="O385" s="31"/>
      <c r="P385" s="33"/>
      <c r="Q385" s="33"/>
    </row>
    <row r="386" spans="1:17" ht="16.5" customHeight="1" x14ac:dyDescent="0.2">
      <c r="A386" s="35" t="s">
        <v>3538</v>
      </c>
      <c r="B386" s="26" t="s">
        <v>5694</v>
      </c>
      <c r="C386" s="26" t="s">
        <v>64</v>
      </c>
      <c r="D386" s="26" t="s">
        <v>82</v>
      </c>
      <c r="E386" s="26" t="s">
        <v>39</v>
      </c>
      <c r="F386" s="28" t="e">
        <f ca="1">_xludf.ifna(VLOOKUP(G387,Proyectos!$E$1:$H$4,4,0),"")</f>
        <v>#NAME?</v>
      </c>
      <c r="G386" s="26" t="s">
        <v>5597</v>
      </c>
      <c r="H386" s="32">
        <v>1</v>
      </c>
      <c r="I386" s="31" t="s">
        <v>18</v>
      </c>
      <c r="J386" s="32"/>
      <c r="K386" s="32" t="str">
        <f t="shared" si="1"/>
        <v>Interno</v>
      </c>
      <c r="L386" s="32" t="e">
        <f ca="1">_xludf.ifna(VLOOKUP(G387,Proyectos!$E$1:$N$4,10,0),"")</f>
        <v>#NAME?</v>
      </c>
      <c r="M386" s="32"/>
      <c r="N386" s="31"/>
      <c r="O386" s="31"/>
      <c r="P386" s="33"/>
      <c r="Q386" s="33"/>
    </row>
    <row r="387" spans="1:17" ht="16.5" customHeight="1" x14ac:dyDescent="0.2">
      <c r="A387" s="26" t="s">
        <v>4035</v>
      </c>
      <c r="B387" s="26" t="s">
        <v>5268</v>
      </c>
      <c r="C387" s="26" t="s">
        <v>7</v>
      </c>
      <c r="D387" s="26" t="s">
        <v>16</v>
      </c>
      <c r="E387" s="26" t="s">
        <v>83</v>
      </c>
      <c r="F387" s="28" t="e">
        <f ca="1">_xludf.ifna(VLOOKUP(G388,Proyectos!$E$1:$H$4,4,0),"")</f>
        <v>#NAME?</v>
      </c>
      <c r="G387" s="26" t="s">
        <v>5239</v>
      </c>
      <c r="H387" s="65">
        <v>0.45</v>
      </c>
      <c r="I387" s="31" t="s">
        <v>25</v>
      </c>
      <c r="J387" s="32"/>
      <c r="K387" s="32" t="str">
        <f t="shared" si="1"/>
        <v>Externo</v>
      </c>
      <c r="L387" s="32" t="e">
        <f ca="1">_xludf.ifna(VLOOKUP(G388,Proyectos!$E$1:$N$4,10,0),"")</f>
        <v>#NAME?</v>
      </c>
      <c r="M387" s="32"/>
      <c r="N387" s="31"/>
      <c r="O387" s="31"/>
      <c r="P387" s="33"/>
      <c r="Q387" s="33"/>
    </row>
    <row r="388" spans="1:17" ht="16.5" customHeight="1" x14ac:dyDescent="0.2">
      <c r="A388" s="26" t="s">
        <v>4035</v>
      </c>
      <c r="B388" s="26" t="s">
        <v>5268</v>
      </c>
      <c r="C388" s="26" t="s">
        <v>7</v>
      </c>
      <c r="D388" s="26" t="s">
        <v>16</v>
      </c>
      <c r="E388" s="26" t="s">
        <v>83</v>
      </c>
      <c r="F388" s="28" t="e">
        <f ca="1">_xludf.ifna(VLOOKUP(G389,Proyectos!$E$1:$H$4,4,0),"")</f>
        <v>#NAME?</v>
      </c>
      <c r="G388" s="26" t="s">
        <v>5266</v>
      </c>
      <c r="H388" s="65">
        <v>0.3</v>
      </c>
      <c r="I388" s="31" t="s">
        <v>25</v>
      </c>
      <c r="J388" s="32"/>
      <c r="K388" s="32" t="str">
        <f t="shared" si="1"/>
        <v>Externo</v>
      </c>
      <c r="L388" s="32" t="e">
        <f ca="1">_xludf.ifna(VLOOKUP(G389,Proyectos!$E$1:$N$4,10,0),"")</f>
        <v>#NAME?</v>
      </c>
      <c r="M388" s="32"/>
      <c r="N388" s="32"/>
      <c r="O388" s="31"/>
      <c r="P388" s="33"/>
      <c r="Q388" s="33"/>
    </row>
    <row r="389" spans="1:17" ht="16.5" customHeight="1" x14ac:dyDescent="0.2">
      <c r="A389" s="26" t="s">
        <v>4035</v>
      </c>
      <c r="B389" s="26" t="s">
        <v>5268</v>
      </c>
      <c r="C389" s="26" t="s">
        <v>7</v>
      </c>
      <c r="D389" s="26" t="s">
        <v>16</v>
      </c>
      <c r="E389" s="26" t="s">
        <v>83</v>
      </c>
      <c r="F389" s="28" t="e">
        <f ca="1">_xludf.ifna(VLOOKUP(G390,Proyectos!$E$1:$H$4,4,0),"")</f>
        <v>#NAME?</v>
      </c>
      <c r="G389" s="26" t="s">
        <v>5269</v>
      </c>
      <c r="H389" s="65">
        <v>0.15</v>
      </c>
      <c r="I389" s="31" t="s">
        <v>25</v>
      </c>
      <c r="J389" s="32"/>
      <c r="K389" s="32" t="str">
        <f t="shared" si="1"/>
        <v>Externo</v>
      </c>
      <c r="L389" s="32" t="e">
        <f ca="1">_xludf.ifna(VLOOKUP(G390,Proyectos!$E$1:$N$4,10,0),"")</f>
        <v>#NAME?</v>
      </c>
      <c r="M389" s="32"/>
      <c r="N389" s="32"/>
      <c r="O389" s="31"/>
      <c r="P389" s="33"/>
      <c r="Q389" s="33"/>
    </row>
    <row r="390" spans="1:17" ht="16.5" customHeight="1" x14ac:dyDescent="0.2">
      <c r="A390" s="26" t="s">
        <v>4035</v>
      </c>
      <c r="B390" s="26" t="s">
        <v>5268</v>
      </c>
      <c r="C390" s="26" t="s">
        <v>7</v>
      </c>
      <c r="D390" s="26" t="s">
        <v>16</v>
      </c>
      <c r="E390" s="26" t="s">
        <v>83</v>
      </c>
      <c r="F390" s="28" t="e">
        <f ca="1">_xludf.ifna(VLOOKUP(G391,Proyectos!$E$1:$H$4,4,0),"")</f>
        <v>#NAME?</v>
      </c>
      <c r="G390" s="26" t="s">
        <v>5267</v>
      </c>
      <c r="H390" s="65">
        <v>0.1</v>
      </c>
      <c r="I390" s="31" t="s">
        <v>25</v>
      </c>
      <c r="J390" s="32"/>
      <c r="K390" s="32" t="str">
        <f t="shared" si="1"/>
        <v>Externo</v>
      </c>
      <c r="L390" s="32" t="e">
        <f ca="1">_xludf.ifna(VLOOKUP(G391,Proyectos!$E$1:$N$4,10,0),"")</f>
        <v>#NAME?</v>
      </c>
      <c r="M390" s="32"/>
      <c r="N390" s="32"/>
      <c r="O390" s="31"/>
      <c r="P390" s="33"/>
      <c r="Q390" s="33"/>
    </row>
    <row r="391" spans="1:17" ht="16.5" customHeight="1" x14ac:dyDescent="0.2">
      <c r="A391" s="26" t="s">
        <v>4177</v>
      </c>
      <c r="B391" s="26" t="s">
        <v>5695</v>
      </c>
      <c r="C391" s="26" t="s">
        <v>98</v>
      </c>
      <c r="D391" s="26" t="s">
        <v>102</v>
      </c>
      <c r="E391" s="26" t="s">
        <v>108</v>
      </c>
      <c r="F391" s="28" t="e">
        <f ca="1">_xludf.ifna(VLOOKUP(G392,Proyectos!$E$1:$H$4,4,0),"")</f>
        <v>#NAME?</v>
      </c>
      <c r="G391" s="26" t="s">
        <v>5597</v>
      </c>
      <c r="H391" s="32">
        <v>1</v>
      </c>
      <c r="I391" s="31" t="s">
        <v>25</v>
      </c>
      <c r="J391" s="32"/>
      <c r="K391" s="32" t="str">
        <f t="shared" si="1"/>
        <v>Externo</v>
      </c>
      <c r="L391" s="32" t="e">
        <f ca="1">_xludf.ifna(VLOOKUP(G392,Proyectos!$E$1:$N$4,10,0),"")</f>
        <v>#NAME?</v>
      </c>
      <c r="M391" s="32"/>
      <c r="N391" s="32"/>
      <c r="O391" s="31"/>
      <c r="P391" s="33"/>
      <c r="Q391" s="33"/>
    </row>
    <row r="392" spans="1:17" ht="16.5" customHeight="1" x14ac:dyDescent="0.2">
      <c r="A392" s="35" t="s">
        <v>5028</v>
      </c>
      <c r="B392" s="54" t="s">
        <v>5029</v>
      </c>
      <c r="C392" s="35" t="s">
        <v>115</v>
      </c>
      <c r="D392" s="35" t="s">
        <v>131</v>
      </c>
      <c r="E392" s="35" t="s">
        <v>139</v>
      </c>
      <c r="F392" s="28" t="e">
        <f ca="1">_xludf.ifna(VLOOKUP(G393,Proyectos!$E$1:$H$4,4,0),"")</f>
        <v>#NAME?</v>
      </c>
      <c r="G392" s="29" t="s">
        <v>5323</v>
      </c>
      <c r="H392" s="32">
        <v>1</v>
      </c>
      <c r="I392" s="30" t="s">
        <v>18</v>
      </c>
      <c r="J392" s="30" t="s">
        <v>5030</v>
      </c>
      <c r="K392" s="30" t="str">
        <f t="shared" si="1"/>
        <v>Externo</v>
      </c>
      <c r="L392" s="32" t="e">
        <f ca="1">_xludf.ifna(VLOOKUP(G393,Proyectos!$E$1:$N$4,10,0),"")</f>
        <v>#NAME?</v>
      </c>
      <c r="M392" s="30"/>
      <c r="N392" s="31"/>
      <c r="O392" s="31"/>
      <c r="P392" s="33"/>
      <c r="Q392" s="33"/>
    </row>
    <row r="393" spans="1:17" ht="16.5" customHeight="1" x14ac:dyDescent="0.2">
      <c r="A393" s="26" t="s">
        <v>4669</v>
      </c>
      <c r="B393" s="26" t="s">
        <v>4670</v>
      </c>
      <c r="C393" s="54" t="s">
        <v>7</v>
      </c>
      <c r="D393" s="35" t="s">
        <v>8</v>
      </c>
      <c r="E393" s="35" t="s">
        <v>39</v>
      </c>
      <c r="F393" s="28" t="e">
        <f ca="1">_xludf.ifna(VLOOKUP(G394,Proyectos!$E$1:$H$4,4,0),"")</f>
        <v>#NAME?</v>
      </c>
      <c r="G393" s="35" t="s">
        <v>5182</v>
      </c>
      <c r="H393" s="30">
        <v>0.2</v>
      </c>
      <c r="I393" s="31" t="s">
        <v>18</v>
      </c>
      <c r="J393" s="55"/>
      <c r="K393" s="32" t="str">
        <f t="shared" si="1"/>
        <v>Interno</v>
      </c>
      <c r="L393" s="32" t="e">
        <f ca="1">_xludf.ifna(VLOOKUP(G394,Proyectos!$E$1:$N$4,10,0),"")</f>
        <v>#NAME?</v>
      </c>
      <c r="M393" s="32"/>
      <c r="N393" s="31"/>
      <c r="O393" s="31"/>
      <c r="P393" s="33"/>
      <c r="Q393" s="33"/>
    </row>
    <row r="394" spans="1:17" ht="16.5" customHeight="1" x14ac:dyDescent="0.2">
      <c r="A394" s="26" t="s">
        <v>4669</v>
      </c>
      <c r="B394" s="26" t="s">
        <v>4670</v>
      </c>
      <c r="C394" s="54" t="s">
        <v>7</v>
      </c>
      <c r="D394" s="35" t="s">
        <v>8</v>
      </c>
      <c r="E394" s="35" t="s">
        <v>39</v>
      </c>
      <c r="F394" s="28" t="e">
        <f ca="1">_xludf.ifna(VLOOKUP(G395,Proyectos!$E$1:$H$4,4,0),"")</f>
        <v>#NAME?</v>
      </c>
      <c r="G394" s="35" t="s">
        <v>5112</v>
      </c>
      <c r="H394" s="30">
        <v>0.3</v>
      </c>
      <c r="I394" s="31" t="s">
        <v>18</v>
      </c>
      <c r="J394" s="55"/>
      <c r="K394" s="32" t="str">
        <f t="shared" si="1"/>
        <v>Interno</v>
      </c>
      <c r="L394" s="32" t="e">
        <f ca="1">_xludf.ifna(VLOOKUP(G395,Proyectos!$E$1:$N$4,10,0),"")</f>
        <v>#NAME?</v>
      </c>
      <c r="M394" s="32"/>
      <c r="N394" s="32"/>
      <c r="O394" s="31"/>
      <c r="P394" s="33"/>
      <c r="Q394" s="33"/>
    </row>
    <row r="395" spans="1:17" ht="16.5" customHeight="1" x14ac:dyDescent="0.2">
      <c r="A395" s="26" t="s">
        <v>4669</v>
      </c>
      <c r="B395" s="26" t="s">
        <v>4670</v>
      </c>
      <c r="C395" s="54" t="s">
        <v>7</v>
      </c>
      <c r="D395" s="35" t="s">
        <v>8</v>
      </c>
      <c r="E395" s="35" t="s">
        <v>39</v>
      </c>
      <c r="F395" s="28" t="e">
        <f ca="1">_xludf.ifna(VLOOKUP(G396,Proyectos!$E$1:$H$4,4,0),"")</f>
        <v>#NAME?</v>
      </c>
      <c r="G395" s="35" t="s">
        <v>5675</v>
      </c>
      <c r="H395" s="30">
        <v>0.1</v>
      </c>
      <c r="I395" s="31" t="s">
        <v>18</v>
      </c>
      <c r="J395" s="55"/>
      <c r="K395" s="32" t="str">
        <f t="shared" si="1"/>
        <v>Interno</v>
      </c>
      <c r="L395" s="32" t="e">
        <f ca="1">_xludf.ifna(VLOOKUP(G396,Proyectos!$E$1:$N$4,10,0),"")</f>
        <v>#NAME?</v>
      </c>
      <c r="M395" s="32"/>
      <c r="N395" s="31"/>
      <c r="O395" s="31"/>
      <c r="P395" s="33"/>
      <c r="Q395" s="33"/>
    </row>
    <row r="396" spans="1:17" ht="16.5" customHeight="1" x14ac:dyDescent="0.2">
      <c r="A396" s="26" t="s">
        <v>4669</v>
      </c>
      <c r="B396" s="26" t="s">
        <v>4670</v>
      </c>
      <c r="C396" s="54" t="s">
        <v>7</v>
      </c>
      <c r="D396" s="35" t="s">
        <v>8</v>
      </c>
      <c r="E396" s="35" t="s">
        <v>39</v>
      </c>
      <c r="F396" s="28" t="e">
        <f ca="1">_xludf.ifna(VLOOKUP(G397,Proyectos!$E$1:$H$4,4,0),"")</f>
        <v>#NAME?</v>
      </c>
      <c r="G396" s="35" t="s">
        <v>5193</v>
      </c>
      <c r="H396" s="30">
        <v>0.2</v>
      </c>
      <c r="I396" s="31" t="s">
        <v>18</v>
      </c>
      <c r="J396" s="55"/>
      <c r="K396" s="32" t="str">
        <f t="shared" si="1"/>
        <v>Interno</v>
      </c>
      <c r="L396" s="32" t="e">
        <f ca="1">_xludf.ifna(VLOOKUP(G397,Proyectos!$E$1:$N$4,10,0),"")</f>
        <v>#NAME?</v>
      </c>
      <c r="M396" s="32"/>
      <c r="N396" s="31"/>
      <c r="O396" s="31"/>
      <c r="P396" s="33"/>
      <c r="Q396" s="33"/>
    </row>
    <row r="397" spans="1:17" ht="16.5" customHeight="1" x14ac:dyDescent="0.2">
      <c r="A397" s="26" t="s">
        <v>4669</v>
      </c>
      <c r="B397" s="26" t="s">
        <v>4670</v>
      </c>
      <c r="C397" s="54" t="s">
        <v>7</v>
      </c>
      <c r="D397" s="35" t="s">
        <v>8</v>
      </c>
      <c r="E397" s="35" t="s">
        <v>39</v>
      </c>
      <c r="F397" s="28" t="e">
        <f ca="1">_xludf.ifna(VLOOKUP(G398,Proyectos!$E$1:$H$4,4,0),"")</f>
        <v>#NAME?</v>
      </c>
      <c r="G397" s="35" t="s">
        <v>5696</v>
      </c>
      <c r="H397" s="30">
        <v>0.2</v>
      </c>
      <c r="I397" s="31" t="s">
        <v>18</v>
      </c>
      <c r="J397" s="55"/>
      <c r="K397" s="32" t="str">
        <f t="shared" si="1"/>
        <v>Interno</v>
      </c>
      <c r="L397" s="32" t="e">
        <f ca="1">_xludf.ifna(VLOOKUP(G398,Proyectos!$E$1:$N$4,10,0),"")</f>
        <v>#NAME?</v>
      </c>
      <c r="M397" s="32"/>
      <c r="N397" s="31"/>
      <c r="O397" s="31"/>
      <c r="P397" s="33"/>
      <c r="Q397" s="33"/>
    </row>
    <row r="398" spans="1:17" ht="16.5" customHeight="1" x14ac:dyDescent="0.2">
      <c r="A398" s="26" t="s">
        <v>3628</v>
      </c>
      <c r="B398" s="26" t="s">
        <v>3629</v>
      </c>
      <c r="C398" s="26" t="s">
        <v>98</v>
      </c>
      <c r="D398" s="26" t="s">
        <v>105</v>
      </c>
      <c r="E398" s="26" t="s">
        <v>39</v>
      </c>
      <c r="F398" s="28" t="e">
        <f ca="1">_xludf.ifna(VLOOKUP(G399,Proyectos!$E$1:$H$4,4,0),"")</f>
        <v>#NAME?</v>
      </c>
      <c r="G398" s="26" t="s">
        <v>5597</v>
      </c>
      <c r="H398" s="32">
        <v>0.5</v>
      </c>
      <c r="I398" s="31" t="s">
        <v>18</v>
      </c>
      <c r="J398" s="32"/>
      <c r="K398" s="32" t="str">
        <f t="shared" si="1"/>
        <v>Interno</v>
      </c>
      <c r="L398" s="32" t="e">
        <f ca="1">_xludf.ifna(VLOOKUP(G399,Proyectos!$E$1:$N$4,10,0),"")</f>
        <v>#NAME?</v>
      </c>
      <c r="M398" s="32"/>
      <c r="N398" s="32"/>
      <c r="O398" s="31"/>
      <c r="P398" s="33"/>
      <c r="Q398" s="33"/>
    </row>
    <row r="399" spans="1:17" ht="16.5" customHeight="1" x14ac:dyDescent="0.2">
      <c r="A399" s="26" t="s">
        <v>3628</v>
      </c>
      <c r="B399" s="26" t="s">
        <v>3629</v>
      </c>
      <c r="C399" s="26" t="s">
        <v>98</v>
      </c>
      <c r="D399" s="26" t="s">
        <v>105</v>
      </c>
      <c r="E399" s="26" t="s">
        <v>39</v>
      </c>
      <c r="F399" s="28" t="e">
        <f ca="1">_xludf.ifna(VLOOKUP(G400,Proyectos!$E$1:$H$4,4,0),"")</f>
        <v>#NAME?</v>
      </c>
      <c r="G399" s="26" t="s">
        <v>5145</v>
      </c>
      <c r="H399" s="32">
        <v>0.5</v>
      </c>
      <c r="I399" s="31" t="s">
        <v>18</v>
      </c>
      <c r="J399" s="32"/>
      <c r="K399" s="32" t="str">
        <f t="shared" si="1"/>
        <v>Interno</v>
      </c>
      <c r="L399" s="32" t="e">
        <f ca="1">_xludf.ifna(VLOOKUP(G400,Proyectos!$E$1:$N$4,10,0),"")</f>
        <v>#NAME?</v>
      </c>
      <c r="M399" s="32"/>
      <c r="N399" s="32"/>
      <c r="O399" s="31"/>
      <c r="P399" s="33"/>
      <c r="Q399" s="33"/>
    </row>
    <row r="400" spans="1:17" ht="16.5" customHeight="1" x14ac:dyDescent="0.2">
      <c r="A400" s="35" t="s">
        <v>4751</v>
      </c>
      <c r="B400" s="26" t="s">
        <v>5697</v>
      </c>
      <c r="C400" s="26" t="s">
        <v>64</v>
      </c>
      <c r="D400" s="26" t="s">
        <v>82</v>
      </c>
      <c r="E400" s="35" t="s">
        <v>39</v>
      </c>
      <c r="F400" s="28" t="e">
        <f ca="1">_xludf.ifna(VLOOKUP(G401,Proyectos!$E$1:$H$4,4,0),"")</f>
        <v>#NAME?</v>
      </c>
      <c r="G400" s="26" t="s">
        <v>5434</v>
      </c>
      <c r="H400" s="32">
        <v>1</v>
      </c>
      <c r="I400" s="31" t="s">
        <v>18</v>
      </c>
      <c r="J400" s="32"/>
      <c r="K400" s="32" t="str">
        <f t="shared" si="1"/>
        <v>Interno</v>
      </c>
      <c r="L400" s="32" t="e">
        <f ca="1">_xludf.ifna(VLOOKUP(G401,Proyectos!$E$1:$N$4,10,0),"")</f>
        <v>#NAME?</v>
      </c>
      <c r="M400" s="32"/>
      <c r="N400" s="31"/>
      <c r="O400" s="31"/>
      <c r="P400" s="33"/>
      <c r="Q400" s="33"/>
    </row>
    <row r="401" spans="1:17" ht="16.5" customHeight="1" x14ac:dyDescent="0.2">
      <c r="A401" s="26" t="s">
        <v>3638</v>
      </c>
      <c r="B401" s="26" t="s">
        <v>3639</v>
      </c>
      <c r="C401" s="26" t="s">
        <v>98</v>
      </c>
      <c r="D401" s="26" t="s">
        <v>99</v>
      </c>
      <c r="E401" s="26" t="s">
        <v>39</v>
      </c>
      <c r="F401" s="28" t="e">
        <f ca="1">_xludf.ifna(VLOOKUP(G402,Proyectos!$E$1:$H$4,4,0),"")</f>
        <v>#NAME?</v>
      </c>
      <c r="G401" s="26" t="s">
        <v>5125</v>
      </c>
      <c r="H401" s="32">
        <v>0.5</v>
      </c>
      <c r="I401" s="31" t="s">
        <v>18</v>
      </c>
      <c r="J401" s="32"/>
      <c r="K401" s="32" t="str">
        <f t="shared" si="1"/>
        <v>Interno</v>
      </c>
      <c r="L401" s="32" t="e">
        <f ca="1">_xludf.ifna(VLOOKUP(G402,Proyectos!$E$1:$N$4,10,0),"")</f>
        <v>#NAME?</v>
      </c>
      <c r="M401" s="32"/>
      <c r="N401" s="32"/>
      <c r="O401" s="31"/>
      <c r="P401" s="33"/>
      <c r="Q401" s="33"/>
    </row>
    <row r="402" spans="1:17" ht="16.5" customHeight="1" x14ac:dyDescent="0.2">
      <c r="A402" s="26" t="s">
        <v>3638</v>
      </c>
      <c r="B402" s="26" t="s">
        <v>3639</v>
      </c>
      <c r="C402" s="26" t="s">
        <v>98</v>
      </c>
      <c r="D402" s="26" t="s">
        <v>99</v>
      </c>
      <c r="E402" s="26" t="s">
        <v>39</v>
      </c>
      <c r="F402" s="28" t="e">
        <f ca="1">_xludf.ifna(VLOOKUP(G403,Proyectos!$E$1:$H$4,4,0),"")</f>
        <v>#NAME?</v>
      </c>
      <c r="G402" s="26" t="s">
        <v>5126</v>
      </c>
      <c r="H402" s="32">
        <v>0.25</v>
      </c>
      <c r="I402" s="31" t="s">
        <v>18</v>
      </c>
      <c r="J402" s="32"/>
      <c r="K402" s="32" t="str">
        <f t="shared" si="1"/>
        <v>Interno</v>
      </c>
      <c r="L402" s="32" t="e">
        <f ca="1">_xludf.ifna(VLOOKUP(G403,Proyectos!$E$1:$N$4,10,0),"")</f>
        <v>#NAME?</v>
      </c>
      <c r="M402" s="32"/>
      <c r="N402" s="32"/>
      <c r="O402" s="31"/>
      <c r="P402" s="33"/>
      <c r="Q402" s="33"/>
    </row>
    <row r="403" spans="1:17" ht="16.5" customHeight="1" x14ac:dyDescent="0.2">
      <c r="A403" s="26" t="s">
        <v>3638</v>
      </c>
      <c r="B403" s="26" t="s">
        <v>3639</v>
      </c>
      <c r="C403" s="26" t="s">
        <v>98</v>
      </c>
      <c r="D403" s="26" t="s">
        <v>99</v>
      </c>
      <c r="E403" s="26" t="s">
        <v>39</v>
      </c>
      <c r="F403" s="28" t="e">
        <f ca="1">_xludf.ifna(VLOOKUP(G404,Proyectos!$E$1:$H$4,4,0),"")</f>
        <v>#NAME?</v>
      </c>
      <c r="G403" s="26" t="s">
        <v>5597</v>
      </c>
      <c r="H403" s="32">
        <v>0.25</v>
      </c>
      <c r="I403" s="31" t="s">
        <v>18</v>
      </c>
      <c r="J403" s="32"/>
      <c r="K403" s="32" t="str">
        <f t="shared" si="1"/>
        <v>Interno</v>
      </c>
      <c r="L403" s="32" t="e">
        <f ca="1">_xludf.ifna(VLOOKUP(G404,Proyectos!$E$1:$N$4,10,0),"")</f>
        <v>#NAME?</v>
      </c>
      <c r="M403" s="32"/>
      <c r="N403" s="32"/>
      <c r="O403" s="31"/>
      <c r="P403" s="33"/>
      <c r="Q403" s="33"/>
    </row>
    <row r="404" spans="1:17" ht="16.5" customHeight="1" x14ac:dyDescent="0.2">
      <c r="A404" s="26" t="s">
        <v>4837</v>
      </c>
      <c r="B404" s="26" t="s">
        <v>5698</v>
      </c>
      <c r="C404" s="26" t="s">
        <v>64</v>
      </c>
      <c r="D404" s="26" t="s">
        <v>86</v>
      </c>
      <c r="E404" s="26" t="s">
        <v>87</v>
      </c>
      <c r="F404" s="28" t="e">
        <f ca="1">_xludf.ifna(VLOOKUP(G405,Proyectos!$E$1:$H$4,4,0),"")</f>
        <v>#NAME?</v>
      </c>
      <c r="G404" s="29" t="s">
        <v>5597</v>
      </c>
      <c r="H404" s="30">
        <v>1</v>
      </c>
      <c r="I404" s="31" t="s">
        <v>18</v>
      </c>
      <c r="J404" s="32"/>
      <c r="K404" s="32" t="str">
        <f t="shared" si="1"/>
        <v>Externo</v>
      </c>
      <c r="L404" s="32" t="e">
        <f ca="1">_xludf.ifna(VLOOKUP(G405,Proyectos!$E$1:$N$4,10,0),"")</f>
        <v>#NAME?</v>
      </c>
      <c r="M404" s="32"/>
      <c r="N404" s="31"/>
      <c r="O404" s="31"/>
      <c r="P404" s="33"/>
      <c r="Q404" s="33"/>
    </row>
    <row r="405" spans="1:17" ht="16.5" customHeight="1" x14ac:dyDescent="0.2">
      <c r="A405" s="35" t="s">
        <v>4441</v>
      </c>
      <c r="B405" s="26" t="s">
        <v>5489</v>
      </c>
      <c r="C405" s="26" t="s">
        <v>64</v>
      </c>
      <c r="D405" s="26" t="s">
        <v>82</v>
      </c>
      <c r="E405" s="35" t="s">
        <v>100</v>
      </c>
      <c r="F405" s="28" t="e">
        <f ca="1">_xludf.ifna(VLOOKUP(G406,Proyectos!$E$1:$H$4,4,0),"")</f>
        <v>#NAME?</v>
      </c>
      <c r="G405" s="26" t="s">
        <v>5387</v>
      </c>
      <c r="H405" s="32">
        <v>1</v>
      </c>
      <c r="I405" s="31" t="s">
        <v>18</v>
      </c>
      <c r="J405" s="32"/>
      <c r="K405" s="32" t="str">
        <f t="shared" si="1"/>
        <v>Externo</v>
      </c>
      <c r="L405" s="32" t="e">
        <f ca="1">_xludf.ifna(VLOOKUP(G406,Proyectos!$E$1:$N$4,10,0),"")</f>
        <v>#NAME?</v>
      </c>
      <c r="M405" s="32"/>
      <c r="N405" s="32"/>
      <c r="O405" s="31"/>
      <c r="P405" s="33"/>
      <c r="Q405" s="33"/>
    </row>
    <row r="406" spans="1:17" ht="16.5" customHeight="1" x14ac:dyDescent="0.2">
      <c r="A406" s="26" t="s">
        <v>4231</v>
      </c>
      <c r="B406" s="26" t="s">
        <v>4232</v>
      </c>
      <c r="C406" s="26" t="s">
        <v>115</v>
      </c>
      <c r="D406" s="26" t="s">
        <v>116</v>
      </c>
      <c r="E406" s="26" t="s">
        <v>114</v>
      </c>
      <c r="F406" s="28" t="e">
        <f ca="1">_xludf.ifna(VLOOKUP(G407,Proyectos!$E$1:$H$4,4,0),"")</f>
        <v>#NAME?</v>
      </c>
      <c r="G406" s="26" t="s">
        <v>5470</v>
      </c>
      <c r="H406" s="32">
        <v>0.3</v>
      </c>
      <c r="I406" s="31" t="s">
        <v>25</v>
      </c>
      <c r="J406" s="32"/>
      <c r="K406" s="32" t="str">
        <f t="shared" si="1"/>
        <v>Externo</v>
      </c>
      <c r="L406" s="32" t="e">
        <f ca="1">_xludf.ifna(VLOOKUP(G407,Proyectos!$E$1:$N$4,10,0),"")</f>
        <v>#NAME?</v>
      </c>
      <c r="M406" s="32"/>
      <c r="N406" s="32"/>
      <c r="O406" s="31"/>
      <c r="P406" s="33"/>
      <c r="Q406" s="33"/>
    </row>
    <row r="407" spans="1:17" ht="16.5" customHeight="1" x14ac:dyDescent="0.2">
      <c r="A407" s="26" t="s">
        <v>4231</v>
      </c>
      <c r="B407" s="26" t="s">
        <v>4232</v>
      </c>
      <c r="C407" s="26" t="s">
        <v>115</v>
      </c>
      <c r="D407" s="26" t="s">
        <v>116</v>
      </c>
      <c r="E407" s="26" t="s">
        <v>114</v>
      </c>
      <c r="F407" s="28" t="e">
        <f ca="1">_xludf.ifna(VLOOKUP(G408,Proyectos!$E$1:$H$4,4,0),"")</f>
        <v>#NAME?</v>
      </c>
      <c r="G407" s="26" t="s">
        <v>5235</v>
      </c>
      <c r="H407" s="32">
        <v>0.3</v>
      </c>
      <c r="I407" s="31" t="s">
        <v>25</v>
      </c>
      <c r="J407" s="32"/>
      <c r="K407" s="32" t="str">
        <f t="shared" si="1"/>
        <v>Externo</v>
      </c>
      <c r="L407" s="32" t="e">
        <f ca="1">_xludf.ifna(VLOOKUP(G408,Proyectos!$E$1:$N$4,10,0),"")</f>
        <v>#NAME?</v>
      </c>
      <c r="M407" s="32"/>
      <c r="N407" s="32"/>
      <c r="O407" s="31"/>
      <c r="P407" s="33"/>
      <c r="Q407" s="33"/>
    </row>
    <row r="408" spans="1:17" ht="16.5" customHeight="1" x14ac:dyDescent="0.2">
      <c r="A408" s="26" t="s">
        <v>4231</v>
      </c>
      <c r="B408" s="26" t="s">
        <v>4232</v>
      </c>
      <c r="C408" s="26" t="s">
        <v>115</v>
      </c>
      <c r="D408" s="26" t="s">
        <v>116</v>
      </c>
      <c r="E408" s="26" t="s">
        <v>114</v>
      </c>
      <c r="F408" s="28" t="e">
        <f ca="1">_xludf.ifna(VLOOKUP(G409,Proyectos!$E$1:$H$4,4,0),"")</f>
        <v>#NAME?</v>
      </c>
      <c r="G408" s="26" t="s">
        <v>5237</v>
      </c>
      <c r="H408" s="32">
        <v>0.4</v>
      </c>
      <c r="I408" s="31" t="s">
        <v>25</v>
      </c>
      <c r="J408" s="32"/>
      <c r="K408" s="32" t="str">
        <f t="shared" si="1"/>
        <v>Externo</v>
      </c>
      <c r="L408" s="32" t="e">
        <f ca="1">_xludf.ifna(VLOOKUP(G409,Proyectos!$E$1:$N$4,10,0),"")</f>
        <v>#NAME?</v>
      </c>
      <c r="M408" s="32"/>
      <c r="N408" s="32"/>
      <c r="O408" s="31"/>
      <c r="P408" s="33"/>
      <c r="Q408" s="33"/>
    </row>
    <row r="409" spans="1:17" ht="16.5" customHeight="1" x14ac:dyDescent="0.2">
      <c r="A409" s="26" t="s">
        <v>4887</v>
      </c>
      <c r="B409" s="26" t="s">
        <v>4888</v>
      </c>
      <c r="C409" s="26" t="s">
        <v>64</v>
      </c>
      <c r="D409" s="26" t="s">
        <v>95</v>
      </c>
      <c r="E409" s="26" t="s">
        <v>126</v>
      </c>
      <c r="F409" s="28" t="e">
        <f ca="1">_xludf.ifna(VLOOKUP(G410,Proyectos!$E$1:$H$4,4,0),"")</f>
        <v>#NAME?</v>
      </c>
      <c r="G409" s="26" t="s">
        <v>5363</v>
      </c>
      <c r="H409" s="32">
        <v>1</v>
      </c>
      <c r="I409" s="31" t="s">
        <v>18</v>
      </c>
      <c r="J409" s="32"/>
      <c r="K409" s="32" t="str">
        <f t="shared" si="1"/>
        <v>Externo</v>
      </c>
      <c r="L409" s="32" t="e">
        <f ca="1">_xludf.ifna(VLOOKUP(G410,Proyectos!$E$1:$N$4,10,0),"")</f>
        <v>#NAME?</v>
      </c>
      <c r="M409" s="32"/>
      <c r="N409" s="32"/>
      <c r="O409" s="31"/>
      <c r="P409" s="33"/>
      <c r="Q409" s="33"/>
    </row>
    <row r="410" spans="1:17" ht="16.5" customHeight="1" x14ac:dyDescent="0.2">
      <c r="A410" s="26" t="s">
        <v>3335</v>
      </c>
      <c r="B410" s="26" t="s">
        <v>3336</v>
      </c>
      <c r="C410" s="26" t="s">
        <v>64</v>
      </c>
      <c r="D410" s="26" t="s">
        <v>65</v>
      </c>
      <c r="E410" s="26" t="s">
        <v>39</v>
      </c>
      <c r="F410" s="28" t="e">
        <f ca="1">_xludf.ifna(VLOOKUP(G411,Proyectos!$E$1:$H$4,4,0),"")</f>
        <v>#NAME?</v>
      </c>
      <c r="G410" s="26" t="s">
        <v>5409</v>
      </c>
      <c r="H410" s="30">
        <v>0.75</v>
      </c>
      <c r="I410" s="31" t="s">
        <v>18</v>
      </c>
      <c r="J410" s="32"/>
      <c r="K410" s="32" t="str">
        <f t="shared" si="1"/>
        <v>Interno</v>
      </c>
      <c r="L410" s="32" t="e">
        <f ca="1">_xludf.ifna(VLOOKUP(G411,Proyectos!$E$1:$N$4,10,0),"")</f>
        <v>#NAME?</v>
      </c>
      <c r="M410" s="32"/>
      <c r="N410" s="32"/>
      <c r="O410" s="31"/>
      <c r="P410" s="33"/>
      <c r="Q410" s="33"/>
    </row>
    <row r="411" spans="1:17" ht="16.5" customHeight="1" x14ac:dyDescent="0.2">
      <c r="A411" s="26" t="s">
        <v>3335</v>
      </c>
      <c r="B411" s="26" t="s">
        <v>3336</v>
      </c>
      <c r="C411" s="26" t="s">
        <v>64</v>
      </c>
      <c r="D411" s="26" t="s">
        <v>65</v>
      </c>
      <c r="E411" s="26" t="s">
        <v>39</v>
      </c>
      <c r="F411" s="28" t="e">
        <f ca="1">_xludf.ifna(VLOOKUP(G412,Proyectos!$E$1:$H$4,4,0),"")</f>
        <v>#NAME?</v>
      </c>
      <c r="G411" s="26" t="s">
        <v>5410</v>
      </c>
      <c r="H411" s="30">
        <v>0.25</v>
      </c>
      <c r="I411" s="31" t="s">
        <v>18</v>
      </c>
      <c r="J411" s="32"/>
      <c r="K411" s="32" t="str">
        <f t="shared" si="1"/>
        <v>Interno</v>
      </c>
      <c r="L411" s="32" t="e">
        <f ca="1">_xludf.ifna(VLOOKUP(G412,Proyectos!$E$1:$N$4,10,0),"")</f>
        <v>#NAME?</v>
      </c>
      <c r="M411" s="32"/>
      <c r="N411" s="32"/>
      <c r="O411" s="31"/>
      <c r="P411" s="33"/>
      <c r="Q411" s="33"/>
    </row>
    <row r="412" spans="1:17" ht="16.5" customHeight="1" x14ac:dyDescent="0.2">
      <c r="A412" s="26" t="s">
        <v>4118</v>
      </c>
      <c r="B412" s="26" t="s">
        <v>5699</v>
      </c>
      <c r="C412" s="26" t="s">
        <v>64</v>
      </c>
      <c r="D412" s="26" t="s">
        <v>65</v>
      </c>
      <c r="E412" s="26" t="s">
        <v>108</v>
      </c>
      <c r="F412" s="28" t="e">
        <f ca="1">_xludf.ifna(VLOOKUP(G413,Proyectos!$E$1:$H$4,4,0),"")</f>
        <v>#NAME?</v>
      </c>
      <c r="G412" s="26" t="s">
        <v>5409</v>
      </c>
      <c r="H412" s="30">
        <v>0.75</v>
      </c>
      <c r="I412" s="31" t="s">
        <v>18</v>
      </c>
      <c r="J412" s="32"/>
      <c r="K412" s="32" t="str">
        <f t="shared" si="1"/>
        <v>Externo</v>
      </c>
      <c r="L412" s="32" t="e">
        <f ca="1">_xludf.ifna(VLOOKUP(G413,Proyectos!$E$1:$N$4,10,0),"")</f>
        <v>#NAME?</v>
      </c>
      <c r="M412" s="32"/>
      <c r="N412" s="32"/>
      <c r="O412" s="31"/>
      <c r="P412" s="33"/>
      <c r="Q412" s="33"/>
    </row>
    <row r="413" spans="1:17" ht="16.5" customHeight="1" x14ac:dyDescent="0.2">
      <c r="A413" s="26" t="s">
        <v>4118</v>
      </c>
      <c r="B413" s="26" t="s">
        <v>5699</v>
      </c>
      <c r="C413" s="26" t="s">
        <v>64</v>
      </c>
      <c r="D413" s="26" t="s">
        <v>65</v>
      </c>
      <c r="E413" s="26" t="s">
        <v>108</v>
      </c>
      <c r="F413" s="28" t="e">
        <f ca="1">_xludf.ifna(VLOOKUP(G414,Proyectos!$E$1:$H$4,4,0),"")</f>
        <v>#NAME?</v>
      </c>
      <c r="G413" s="26" t="s">
        <v>5410</v>
      </c>
      <c r="H413" s="30">
        <v>0.25</v>
      </c>
      <c r="I413" s="31" t="s">
        <v>18</v>
      </c>
      <c r="J413" s="32"/>
      <c r="K413" s="32" t="str">
        <f t="shared" si="1"/>
        <v>Externo</v>
      </c>
      <c r="L413" s="32" t="e">
        <f ca="1">_xludf.ifna(VLOOKUP(G414,Proyectos!$E$1:$N$4,10,0),"")</f>
        <v>#NAME?</v>
      </c>
      <c r="M413" s="32"/>
      <c r="N413" s="32"/>
      <c r="O413" s="31"/>
      <c r="P413" s="33"/>
      <c r="Q413" s="33"/>
    </row>
    <row r="414" spans="1:17" ht="16.5" customHeight="1" x14ac:dyDescent="0.2">
      <c r="A414" s="26" t="s">
        <v>4942</v>
      </c>
      <c r="B414" s="26" t="s">
        <v>5283</v>
      </c>
      <c r="C414" s="53" t="s">
        <v>64</v>
      </c>
      <c r="D414" s="26" t="s">
        <v>92</v>
      </c>
      <c r="E414" s="26" t="s">
        <v>9</v>
      </c>
      <c r="F414" s="28" t="e">
        <f ca="1">_xludf.ifna(VLOOKUP(G415,Proyectos!$E$1:$H$4,4,0),"")</f>
        <v>#NAME?</v>
      </c>
      <c r="G414" s="26" t="s">
        <v>5282</v>
      </c>
      <c r="H414" s="32">
        <v>1</v>
      </c>
      <c r="I414" s="31" t="s">
        <v>18</v>
      </c>
      <c r="J414" s="32"/>
      <c r="K414" s="32" t="str">
        <f t="shared" si="1"/>
        <v>Externo</v>
      </c>
      <c r="L414" s="32" t="e">
        <f ca="1">_xludf.ifna(VLOOKUP(G415,Proyectos!$E$1:$N$4,10,0),"")</f>
        <v>#NAME?</v>
      </c>
      <c r="M414" s="32"/>
      <c r="N414" s="32"/>
      <c r="O414" s="31"/>
      <c r="P414" s="33"/>
      <c r="Q414" s="33"/>
    </row>
    <row r="415" spans="1:17" ht="16.5" customHeight="1" x14ac:dyDescent="0.2">
      <c r="A415" s="26" t="s">
        <v>4859</v>
      </c>
      <c r="B415" s="26" t="s">
        <v>5287</v>
      </c>
      <c r="C415" s="53" t="s">
        <v>64</v>
      </c>
      <c r="D415" s="26" t="s">
        <v>92</v>
      </c>
      <c r="E415" s="26" t="s">
        <v>83</v>
      </c>
      <c r="F415" s="28" t="e">
        <f ca="1">_xludf.ifna(VLOOKUP(G416,Proyectos!$E$1:$H$4,4,0),"")</f>
        <v>#NAME?</v>
      </c>
      <c r="G415" s="26" t="s">
        <v>5217</v>
      </c>
      <c r="H415" s="32">
        <v>1</v>
      </c>
      <c r="I415" s="31" t="s">
        <v>25</v>
      </c>
      <c r="J415" s="32"/>
      <c r="K415" s="32" t="str">
        <f t="shared" si="1"/>
        <v>Externo</v>
      </c>
      <c r="L415" s="32" t="e">
        <f ca="1">_xludf.ifna(VLOOKUP(G416,Proyectos!$E$1:$N$4,10,0),"")</f>
        <v>#NAME?</v>
      </c>
      <c r="M415" s="32"/>
      <c r="N415" s="32"/>
      <c r="O415" s="31"/>
      <c r="P415" s="33"/>
      <c r="Q415" s="33"/>
    </row>
    <row r="416" spans="1:17" ht="16.5" customHeight="1" x14ac:dyDescent="0.2">
      <c r="A416" s="26" t="s">
        <v>3694</v>
      </c>
      <c r="B416" s="26" t="s">
        <v>3695</v>
      </c>
      <c r="C416" s="26" t="s">
        <v>98</v>
      </c>
      <c r="D416" s="26" t="s">
        <v>99</v>
      </c>
      <c r="E416" s="26" t="s">
        <v>39</v>
      </c>
      <c r="F416" s="28" t="e">
        <f ca="1">_xludf.ifna(VLOOKUP(G417,Proyectos!$E$1:$H$4,4,0),"")</f>
        <v>#NAME?</v>
      </c>
      <c r="G416" s="26" t="s">
        <v>5632</v>
      </c>
      <c r="H416" s="32">
        <v>1</v>
      </c>
      <c r="I416" s="31" t="s">
        <v>18</v>
      </c>
      <c r="J416" s="32"/>
      <c r="K416" s="32" t="str">
        <f t="shared" si="1"/>
        <v>Interno</v>
      </c>
      <c r="L416" s="32" t="e">
        <f ca="1">_xludf.ifna(VLOOKUP(G417,Proyectos!$E$1:$N$4,10,0),"")</f>
        <v>#NAME?</v>
      </c>
      <c r="M416" s="32"/>
      <c r="N416" s="32"/>
      <c r="O416" s="31"/>
      <c r="P416" s="33"/>
      <c r="Q416" s="33"/>
    </row>
    <row r="417" spans="1:17" ht="16.5" customHeight="1" x14ac:dyDescent="0.2">
      <c r="A417" s="26" t="s">
        <v>3341</v>
      </c>
      <c r="B417" s="26" t="s">
        <v>3342</v>
      </c>
      <c r="C417" s="26" t="s">
        <v>115</v>
      </c>
      <c r="D417" s="26" t="s">
        <v>116</v>
      </c>
      <c r="E417" s="26" t="s">
        <v>39</v>
      </c>
      <c r="F417" s="28" t="e">
        <f ca="1">_xludf.ifna(VLOOKUP(G418,Proyectos!$E$1:$H$4,4,0),"")</f>
        <v>#NAME?</v>
      </c>
      <c r="G417" s="26" t="s">
        <v>5470</v>
      </c>
      <c r="H417" s="32">
        <v>0.1</v>
      </c>
      <c r="I417" s="31" t="s">
        <v>18</v>
      </c>
      <c r="J417" s="32"/>
      <c r="K417" s="32" t="str">
        <f t="shared" si="1"/>
        <v>Interno</v>
      </c>
      <c r="L417" s="32" t="e">
        <f ca="1">_xludf.ifna(VLOOKUP(G418,Proyectos!$E$1:$N$4,10,0),"")</f>
        <v>#NAME?</v>
      </c>
      <c r="M417" s="32"/>
      <c r="N417" s="32"/>
      <c r="O417" s="31"/>
      <c r="P417" s="33"/>
      <c r="Q417" s="33"/>
    </row>
    <row r="418" spans="1:17" ht="16.5" customHeight="1" x14ac:dyDescent="0.2">
      <c r="A418" s="26" t="s">
        <v>3341</v>
      </c>
      <c r="B418" s="26" t="s">
        <v>3342</v>
      </c>
      <c r="C418" s="26" t="s">
        <v>115</v>
      </c>
      <c r="D418" s="26" t="s">
        <v>116</v>
      </c>
      <c r="E418" s="26" t="s">
        <v>39</v>
      </c>
      <c r="F418" s="28" t="e">
        <f ca="1">_xludf.ifna(VLOOKUP(G419,Proyectos!$E$1:$H$4,4,0),"")</f>
        <v>#NAME?</v>
      </c>
      <c r="G418" s="26" t="s">
        <v>5235</v>
      </c>
      <c r="H418" s="32">
        <v>0.25</v>
      </c>
      <c r="I418" s="31" t="s">
        <v>18</v>
      </c>
      <c r="J418" s="32"/>
      <c r="K418" s="32" t="str">
        <f t="shared" si="1"/>
        <v>Interno</v>
      </c>
      <c r="L418" s="32" t="e">
        <f ca="1">_xludf.ifna(VLOOKUP(G419,Proyectos!$E$1:$N$4,10,0),"")</f>
        <v>#NAME?</v>
      </c>
      <c r="M418" s="32"/>
      <c r="N418" s="32"/>
      <c r="O418" s="31"/>
      <c r="P418" s="33"/>
      <c r="Q418" s="33"/>
    </row>
    <row r="419" spans="1:17" ht="16.5" customHeight="1" x14ac:dyDescent="0.2">
      <c r="A419" s="26" t="s">
        <v>3341</v>
      </c>
      <c r="B419" s="26" t="s">
        <v>3342</v>
      </c>
      <c r="C419" s="26" t="s">
        <v>115</v>
      </c>
      <c r="D419" s="26" t="s">
        <v>116</v>
      </c>
      <c r="E419" s="26" t="s">
        <v>39</v>
      </c>
      <c r="F419" s="28" t="e">
        <f ca="1">_xludf.ifna(VLOOKUP(G420,Proyectos!$E$1:$H$4,4,0),"")</f>
        <v>#NAME?</v>
      </c>
      <c r="G419" s="26" t="s">
        <v>5237</v>
      </c>
      <c r="H419" s="32">
        <v>0.2</v>
      </c>
      <c r="I419" s="31" t="s">
        <v>18</v>
      </c>
      <c r="J419" s="32"/>
      <c r="K419" s="32" t="str">
        <f t="shared" si="1"/>
        <v>Interno</v>
      </c>
      <c r="L419" s="32" t="e">
        <f ca="1">_xludf.ifna(VLOOKUP(G420,Proyectos!$E$1:$N$4,10,0),"")</f>
        <v>#NAME?</v>
      </c>
      <c r="M419" s="32"/>
      <c r="N419" s="32"/>
      <c r="O419" s="31"/>
      <c r="P419" s="33"/>
      <c r="Q419" s="33"/>
    </row>
    <row r="420" spans="1:17" ht="16.5" customHeight="1" x14ac:dyDescent="0.2">
      <c r="A420" s="26" t="s">
        <v>3341</v>
      </c>
      <c r="B420" s="26" t="s">
        <v>3342</v>
      </c>
      <c r="C420" s="26" t="s">
        <v>115</v>
      </c>
      <c r="D420" s="26" t="s">
        <v>116</v>
      </c>
      <c r="E420" s="26" t="s">
        <v>39</v>
      </c>
      <c r="F420" s="28" t="e">
        <f ca="1">_xludf.ifna(VLOOKUP(G421,Proyectos!$E$1:$H$4,4,0),"")</f>
        <v>#NAME?</v>
      </c>
      <c r="G420" s="26" t="s">
        <v>5479</v>
      </c>
      <c r="H420" s="32">
        <v>0.1</v>
      </c>
      <c r="I420" s="31" t="s">
        <v>18</v>
      </c>
      <c r="J420" s="32"/>
      <c r="K420" s="32" t="str">
        <f t="shared" si="1"/>
        <v>Interno</v>
      </c>
      <c r="L420" s="32" t="e">
        <f ca="1">_xludf.ifna(VLOOKUP(G421,Proyectos!$E$1:$N$4,10,0),"")</f>
        <v>#NAME?</v>
      </c>
      <c r="M420" s="32"/>
      <c r="N420" s="32"/>
      <c r="O420" s="31"/>
      <c r="P420" s="33"/>
      <c r="Q420" s="33"/>
    </row>
    <row r="421" spans="1:17" ht="16.5" customHeight="1" x14ac:dyDescent="0.2">
      <c r="A421" s="26" t="s">
        <v>3341</v>
      </c>
      <c r="B421" s="26" t="s">
        <v>3342</v>
      </c>
      <c r="C421" s="26" t="s">
        <v>115</v>
      </c>
      <c r="D421" s="26" t="s">
        <v>116</v>
      </c>
      <c r="E421" s="26" t="s">
        <v>39</v>
      </c>
      <c r="F421" s="28" t="e">
        <f ca="1">_xludf.ifna(VLOOKUP(G422,Proyectos!$E$1:$H$4,4,0),"")</f>
        <v>#NAME?</v>
      </c>
      <c r="G421" s="26" t="s">
        <v>5471</v>
      </c>
      <c r="H421" s="32">
        <v>0.1</v>
      </c>
      <c r="I421" s="31" t="s">
        <v>18</v>
      </c>
      <c r="J421" s="32"/>
      <c r="K421" s="32" t="str">
        <f t="shared" si="1"/>
        <v>Interno</v>
      </c>
      <c r="L421" s="32" t="e">
        <f ca="1">_xludf.ifna(VLOOKUP(G422,Proyectos!$E$1:$N$4,10,0),"")</f>
        <v>#NAME?</v>
      </c>
      <c r="M421" s="32"/>
      <c r="N421" s="32"/>
      <c r="O421" s="31"/>
      <c r="P421" s="33"/>
      <c r="Q421" s="33"/>
    </row>
    <row r="422" spans="1:17" ht="16.5" customHeight="1" x14ac:dyDescent="0.2">
      <c r="A422" s="26" t="s">
        <v>3341</v>
      </c>
      <c r="B422" s="26" t="s">
        <v>3342</v>
      </c>
      <c r="C422" s="26" t="s">
        <v>115</v>
      </c>
      <c r="D422" s="26" t="s">
        <v>116</v>
      </c>
      <c r="E422" s="26" t="s">
        <v>39</v>
      </c>
      <c r="F422" s="28" t="e">
        <f ca="1">_xludf.ifna(VLOOKUP(G423,Proyectos!$E$1:$H$4,4,0),"")</f>
        <v>#NAME?</v>
      </c>
      <c r="G422" s="26" t="s">
        <v>5314</v>
      </c>
      <c r="H422" s="32">
        <v>0.25</v>
      </c>
      <c r="I422" s="31" t="s">
        <v>18</v>
      </c>
      <c r="J422" s="32"/>
      <c r="K422" s="32" t="str">
        <f t="shared" si="1"/>
        <v>Interno</v>
      </c>
      <c r="L422" s="32" t="e">
        <f ca="1">_xludf.ifna(VLOOKUP(G423,Proyectos!$E$1:$N$4,10,0),"")</f>
        <v>#NAME?</v>
      </c>
      <c r="M422" s="32"/>
      <c r="N422" s="32"/>
      <c r="O422" s="31"/>
      <c r="P422" s="33"/>
      <c r="Q422" s="33"/>
    </row>
    <row r="423" spans="1:17" ht="16.5" customHeight="1" x14ac:dyDescent="0.2">
      <c r="A423" s="26" t="s">
        <v>3613</v>
      </c>
      <c r="B423" s="26" t="s">
        <v>5700</v>
      </c>
      <c r="C423" s="26" t="s">
        <v>98</v>
      </c>
      <c r="D423" s="26" t="s">
        <v>102</v>
      </c>
      <c r="E423" s="26" t="s">
        <v>39</v>
      </c>
      <c r="F423" s="28" t="e">
        <f ca="1">_xludf.ifna(VLOOKUP(G424,Proyectos!$E$1:$H$4,4,0),"")</f>
        <v>#NAME?</v>
      </c>
      <c r="G423" s="26" t="s">
        <v>5475</v>
      </c>
      <c r="H423" s="32">
        <v>0.05</v>
      </c>
      <c r="I423" s="31" t="s">
        <v>18</v>
      </c>
      <c r="J423" s="32"/>
      <c r="K423" s="32" t="str">
        <f t="shared" si="1"/>
        <v>Interno</v>
      </c>
      <c r="L423" s="32" t="e">
        <f ca="1">_xludf.ifna(VLOOKUP(G424,Proyectos!$E$1:$N$4,10,0),"")</f>
        <v>#NAME?</v>
      </c>
      <c r="M423" s="32"/>
      <c r="N423" s="32"/>
      <c r="O423" s="31"/>
      <c r="P423" s="33"/>
      <c r="Q423" s="33"/>
    </row>
    <row r="424" spans="1:17" ht="16.5" customHeight="1" x14ac:dyDescent="0.2">
      <c r="A424" s="26" t="s">
        <v>3613</v>
      </c>
      <c r="B424" s="26" t="s">
        <v>5700</v>
      </c>
      <c r="C424" s="26" t="s">
        <v>98</v>
      </c>
      <c r="D424" s="26" t="s">
        <v>102</v>
      </c>
      <c r="E424" s="26" t="s">
        <v>39</v>
      </c>
      <c r="F424" s="28" t="e">
        <f ca="1">_xludf.ifna(VLOOKUP(G425,Proyectos!$E$1:$H$4,4,0),"")</f>
        <v>#NAME?</v>
      </c>
      <c r="G424" s="26" t="s">
        <v>5597</v>
      </c>
      <c r="H424" s="32">
        <v>0.25</v>
      </c>
      <c r="I424" s="31" t="s">
        <v>18</v>
      </c>
      <c r="J424" s="32"/>
      <c r="K424" s="32" t="str">
        <f t="shared" si="1"/>
        <v>Interno</v>
      </c>
      <c r="L424" s="32" t="e">
        <f ca="1">_xludf.ifna(VLOOKUP(G425,Proyectos!$E$1:$N$4,10,0),"")</f>
        <v>#NAME?</v>
      </c>
      <c r="M424" s="32"/>
      <c r="N424" s="32"/>
      <c r="O424" s="31"/>
      <c r="P424" s="33"/>
      <c r="Q424" s="33"/>
    </row>
    <row r="425" spans="1:17" ht="16.5" customHeight="1" x14ac:dyDescent="0.2">
      <c r="A425" s="26" t="s">
        <v>3613</v>
      </c>
      <c r="B425" s="26" t="s">
        <v>5700</v>
      </c>
      <c r="C425" s="26" t="s">
        <v>98</v>
      </c>
      <c r="D425" s="26" t="s">
        <v>102</v>
      </c>
      <c r="E425" s="26" t="s">
        <v>39</v>
      </c>
      <c r="F425" s="28" t="e">
        <f ca="1">_xludf.ifna(VLOOKUP(G426,Proyectos!$E$1:$H$4,4,0),"")</f>
        <v>#NAME?</v>
      </c>
      <c r="G425" s="26" t="s">
        <v>5701</v>
      </c>
      <c r="H425" s="32">
        <v>0.7</v>
      </c>
      <c r="I425" s="31" t="s">
        <v>18</v>
      </c>
      <c r="J425" s="32"/>
      <c r="K425" s="32" t="str">
        <f t="shared" si="1"/>
        <v>Interno</v>
      </c>
      <c r="L425" s="32" t="e">
        <f ca="1">_xludf.ifna(VLOOKUP(G426,Proyectos!$E$1:$N$4,10,0),"")</f>
        <v>#NAME?</v>
      </c>
      <c r="M425" s="32"/>
      <c r="N425" s="32"/>
      <c r="O425" s="31"/>
      <c r="P425" s="33"/>
      <c r="Q425" s="33"/>
    </row>
    <row r="426" spans="1:17" ht="16.5" customHeight="1" x14ac:dyDescent="0.2">
      <c r="A426" s="26" t="s">
        <v>3716</v>
      </c>
      <c r="B426" s="26" t="s">
        <v>3717</v>
      </c>
      <c r="C426" s="26" t="s">
        <v>115</v>
      </c>
      <c r="D426" s="26" t="s">
        <v>128</v>
      </c>
      <c r="E426" s="26" t="s">
        <v>39</v>
      </c>
      <c r="F426" s="28" t="e">
        <f ca="1">_xludf.ifna(VLOOKUP(G427,Proyectos!$E$1:$H$4,4,0),"")</f>
        <v>#NAME?</v>
      </c>
      <c r="G426" s="26" t="s">
        <v>5576</v>
      </c>
      <c r="H426" s="32">
        <v>1</v>
      </c>
      <c r="I426" s="31" t="s">
        <v>18</v>
      </c>
      <c r="J426" s="32"/>
      <c r="K426" s="32" t="str">
        <f t="shared" si="1"/>
        <v>Interno</v>
      </c>
      <c r="L426" s="32" t="e">
        <f ca="1">_xludf.ifna(VLOOKUP(G427,Proyectos!$E$1:$N$4,10,0),"")</f>
        <v>#NAME?</v>
      </c>
      <c r="M426" s="32"/>
      <c r="N426" s="32"/>
      <c r="O426" s="31"/>
      <c r="P426" s="33"/>
      <c r="Q426" s="33"/>
    </row>
    <row r="427" spans="1:17" ht="16.5" customHeight="1" x14ac:dyDescent="0.2">
      <c r="A427" s="26" t="s">
        <v>3949</v>
      </c>
      <c r="B427" s="26" t="s">
        <v>5702</v>
      </c>
      <c r="C427" s="26" t="s">
        <v>37</v>
      </c>
      <c r="D427" s="26" t="s">
        <v>45</v>
      </c>
      <c r="E427" s="26" t="s">
        <v>138</v>
      </c>
      <c r="F427" s="28" t="e">
        <f ca="1">_xludf.ifna(VLOOKUP(G428,Proyectos!$E$1:$H$4,4,0),"")</f>
        <v>#NAME?</v>
      </c>
      <c r="G427" s="26" t="s">
        <v>5123</v>
      </c>
      <c r="H427" s="32">
        <v>0.5</v>
      </c>
      <c r="I427" s="31" t="s">
        <v>11</v>
      </c>
      <c r="J427" s="32"/>
      <c r="K427" s="32" t="str">
        <f t="shared" si="1"/>
        <v>Externo</v>
      </c>
      <c r="L427" s="32" t="e">
        <f ca="1">_xludf.ifna(VLOOKUP(G428,Proyectos!$E$1:$N$4,10,0),"")</f>
        <v>#NAME?</v>
      </c>
      <c r="M427" s="32"/>
      <c r="N427" s="31"/>
      <c r="O427" s="31"/>
      <c r="P427" s="33"/>
      <c r="Q427" s="33"/>
    </row>
    <row r="428" spans="1:17" ht="16.5" customHeight="1" x14ac:dyDescent="0.2">
      <c r="A428" s="26" t="s">
        <v>3949</v>
      </c>
      <c r="B428" s="26" t="s">
        <v>5702</v>
      </c>
      <c r="C428" s="26" t="s">
        <v>37</v>
      </c>
      <c r="D428" s="26" t="s">
        <v>45</v>
      </c>
      <c r="E428" s="26" t="s">
        <v>138</v>
      </c>
      <c r="F428" s="28" t="e">
        <f ca="1">_xludf.ifna(VLOOKUP(G429,Proyectos!$E$1:$H$4,4,0),"")</f>
        <v>#NAME?</v>
      </c>
      <c r="G428" s="26" t="s">
        <v>5608</v>
      </c>
      <c r="H428" s="32">
        <v>0.5</v>
      </c>
      <c r="I428" s="31" t="s">
        <v>11</v>
      </c>
      <c r="J428" s="32"/>
      <c r="K428" s="32" t="str">
        <f t="shared" si="1"/>
        <v>Externo</v>
      </c>
      <c r="L428" s="32" t="e">
        <f ca="1">_xludf.ifna(VLOOKUP(G429,Proyectos!$E$1:$N$4,10,0),"")</f>
        <v>#NAME?</v>
      </c>
      <c r="M428" s="32"/>
      <c r="N428" s="31"/>
      <c r="O428" s="31"/>
      <c r="P428" s="33"/>
      <c r="Q428" s="33"/>
    </row>
    <row r="429" spans="1:17" ht="16.5" customHeight="1" x14ac:dyDescent="0.2">
      <c r="A429" s="26" t="s">
        <v>3735</v>
      </c>
      <c r="B429" s="26" t="s">
        <v>3736</v>
      </c>
      <c r="C429" s="26" t="s">
        <v>115</v>
      </c>
      <c r="D429" s="26" t="s">
        <v>116</v>
      </c>
      <c r="E429" s="26" t="s">
        <v>39</v>
      </c>
      <c r="F429" s="28" t="e">
        <f ca="1">_xludf.ifna(VLOOKUP(G430,Proyectos!$E$1:$H$4,4,0),"")</f>
        <v>#NAME?</v>
      </c>
      <c r="G429" s="26" t="s">
        <v>5330</v>
      </c>
      <c r="H429" s="32">
        <v>1</v>
      </c>
      <c r="I429" s="31" t="s">
        <v>18</v>
      </c>
      <c r="J429" s="32"/>
      <c r="K429" s="32" t="str">
        <f t="shared" si="1"/>
        <v>Interno</v>
      </c>
      <c r="L429" s="32" t="e">
        <f ca="1">_xludf.ifna(VLOOKUP(G430,Proyectos!$E$1:$N$4,10,0),"")</f>
        <v>#NAME?</v>
      </c>
      <c r="M429" s="32"/>
      <c r="N429" s="32"/>
      <c r="O429" s="31"/>
      <c r="P429" s="33"/>
      <c r="Q429" s="33"/>
    </row>
    <row r="430" spans="1:17" ht="16.5" customHeight="1" x14ac:dyDescent="0.2">
      <c r="A430" s="26" t="s">
        <v>3898</v>
      </c>
      <c r="B430" s="26" t="s">
        <v>5703</v>
      </c>
      <c r="C430" s="26" t="s">
        <v>64</v>
      </c>
      <c r="D430" s="26" t="s">
        <v>86</v>
      </c>
      <c r="E430" s="26" t="s">
        <v>39</v>
      </c>
      <c r="F430" s="28" t="e">
        <f ca="1">_xludf.ifna(VLOOKUP(G431,Proyectos!$E$1:$H$4,4,0),"")</f>
        <v>#NAME?</v>
      </c>
      <c r="G430" s="29" t="s">
        <v>5597</v>
      </c>
      <c r="H430" s="30">
        <v>1</v>
      </c>
      <c r="I430" s="31" t="s">
        <v>18</v>
      </c>
      <c r="J430" s="32"/>
      <c r="K430" s="32" t="str">
        <f t="shared" si="1"/>
        <v>Interno</v>
      </c>
      <c r="L430" s="32" t="e">
        <f ca="1">_xludf.ifna(VLOOKUP(G431,Proyectos!$E$1:$N$4,10,0),"")</f>
        <v>#NAME?</v>
      </c>
      <c r="M430" s="32"/>
      <c r="N430" s="31"/>
      <c r="O430" s="31"/>
      <c r="P430" s="33"/>
      <c r="Q430" s="33"/>
    </row>
    <row r="431" spans="1:17" ht="16.5" customHeight="1" x14ac:dyDescent="0.2">
      <c r="A431" s="26" t="s">
        <v>3759</v>
      </c>
      <c r="B431" s="26" t="s">
        <v>3760</v>
      </c>
      <c r="C431" s="26" t="s">
        <v>115</v>
      </c>
      <c r="D431" s="26" t="s">
        <v>116</v>
      </c>
      <c r="E431" s="26" t="s">
        <v>39</v>
      </c>
      <c r="F431" s="28" t="e">
        <f ca="1">_xludf.ifna(VLOOKUP(G432,Proyectos!$E$1:$H$4,4,0),"")</f>
        <v>#NAME?</v>
      </c>
      <c r="G431" s="26" t="s">
        <v>5620</v>
      </c>
      <c r="H431" s="32">
        <v>0.75</v>
      </c>
      <c r="I431" s="31" t="s">
        <v>18</v>
      </c>
      <c r="J431" s="32"/>
      <c r="K431" s="32" t="str">
        <f t="shared" si="1"/>
        <v>Interno</v>
      </c>
      <c r="L431" s="32" t="e">
        <f ca="1">_xludf.ifna(VLOOKUP(G432,Proyectos!$E$1:$N$4,10,0),"")</f>
        <v>#NAME?</v>
      </c>
      <c r="M431" s="32"/>
      <c r="N431" s="31"/>
      <c r="O431" s="31"/>
      <c r="P431" s="33"/>
      <c r="Q431" s="33"/>
    </row>
    <row r="432" spans="1:17" ht="16.5" customHeight="1" x14ac:dyDescent="0.2">
      <c r="A432" s="26" t="s">
        <v>3759</v>
      </c>
      <c r="B432" s="26" t="s">
        <v>3760</v>
      </c>
      <c r="C432" s="26" t="s">
        <v>115</v>
      </c>
      <c r="D432" s="26" t="s">
        <v>116</v>
      </c>
      <c r="E432" s="26" t="s">
        <v>39</v>
      </c>
      <c r="F432" s="28" t="e">
        <f ca="1">_xludf.ifna(VLOOKUP(G433,Proyectos!$E$1:$H$4,4,0),"")</f>
        <v>#NAME?</v>
      </c>
      <c r="G432" s="26" t="s">
        <v>5322</v>
      </c>
      <c r="H432" s="32">
        <v>0.25</v>
      </c>
      <c r="I432" s="31" t="s">
        <v>18</v>
      </c>
      <c r="J432" s="32"/>
      <c r="K432" s="32" t="str">
        <f t="shared" si="1"/>
        <v>Interno</v>
      </c>
      <c r="L432" s="32" t="e">
        <f ca="1">_xludf.ifna(VLOOKUP(G433,Proyectos!$E$1:$N$4,10,0),"")</f>
        <v>#NAME?</v>
      </c>
      <c r="M432" s="32"/>
      <c r="N432" s="32"/>
      <c r="O432" s="31"/>
      <c r="P432" s="33"/>
      <c r="Q432" s="33"/>
    </row>
    <row r="433" spans="1:17" ht="16.5" customHeight="1" x14ac:dyDescent="0.2">
      <c r="A433" s="35" t="s">
        <v>4480</v>
      </c>
      <c r="B433" s="26" t="s">
        <v>5490</v>
      </c>
      <c r="C433" s="26" t="s">
        <v>64</v>
      </c>
      <c r="D433" s="26" t="s">
        <v>82</v>
      </c>
      <c r="E433" s="35" t="s">
        <v>9</v>
      </c>
      <c r="F433" s="28" t="e">
        <f ca="1">_xludf.ifna(VLOOKUP(G434,Proyectos!$E$1:$H$4,4,0),"")</f>
        <v>#NAME?</v>
      </c>
      <c r="G433" s="26" t="s">
        <v>5387</v>
      </c>
      <c r="H433" s="32">
        <v>1</v>
      </c>
      <c r="I433" s="31" t="s">
        <v>18</v>
      </c>
      <c r="J433" s="32"/>
      <c r="K433" s="32" t="str">
        <f t="shared" si="1"/>
        <v>Externo</v>
      </c>
      <c r="L433" s="32" t="e">
        <f ca="1">_xludf.ifna(VLOOKUP(G434,Proyectos!$E$1:$N$4,10,0),"")</f>
        <v>#NAME?</v>
      </c>
      <c r="M433" s="32"/>
      <c r="N433" s="32"/>
      <c r="O433" s="31"/>
      <c r="P433" s="33"/>
      <c r="Q433" s="33"/>
    </row>
    <row r="434" spans="1:17" ht="16.5" customHeight="1" x14ac:dyDescent="0.2">
      <c r="A434" s="26" t="s">
        <v>3898</v>
      </c>
      <c r="B434" s="26" t="s">
        <v>3899</v>
      </c>
      <c r="C434" s="26" t="s">
        <v>64</v>
      </c>
      <c r="D434" s="26" t="s">
        <v>86</v>
      </c>
      <c r="E434" s="26" t="s">
        <v>39</v>
      </c>
      <c r="F434" s="28" t="e">
        <f ca="1">_xludf.ifna(VLOOKUP(G435,Proyectos!$E$1:$H$4,4,0),"")</f>
        <v>#NAME?</v>
      </c>
      <c r="G434" s="26" t="s">
        <v>5463</v>
      </c>
      <c r="H434" s="30">
        <v>1</v>
      </c>
      <c r="I434" s="31" t="s">
        <v>18</v>
      </c>
      <c r="J434" s="32"/>
      <c r="K434" s="32" t="str">
        <f t="shared" si="1"/>
        <v>Interno</v>
      </c>
      <c r="L434" s="32" t="e">
        <f ca="1">_xludf.ifna(VLOOKUP(G435,Proyectos!$E$1:$N$4,10,0),"")</f>
        <v>#NAME?</v>
      </c>
      <c r="M434" s="32"/>
      <c r="N434" s="32"/>
      <c r="O434" s="31"/>
      <c r="P434" s="33"/>
      <c r="Q434" s="33"/>
    </row>
    <row r="435" spans="1:17" ht="16.5" customHeight="1" x14ac:dyDescent="0.2">
      <c r="A435" s="26" t="s">
        <v>4344</v>
      </c>
      <c r="B435" s="26" t="s">
        <v>4345</v>
      </c>
      <c r="C435" s="26" t="s">
        <v>115</v>
      </c>
      <c r="D435" s="26" t="s">
        <v>116</v>
      </c>
      <c r="E435" s="26" t="s">
        <v>83</v>
      </c>
      <c r="F435" s="28" t="e">
        <f ca="1">_xludf.ifna(VLOOKUP(G436,Proyectos!$E$1:$H$4,4,0),"")</f>
        <v>#NAME?</v>
      </c>
      <c r="G435" s="26" t="s">
        <v>5468</v>
      </c>
      <c r="H435" s="32">
        <v>1</v>
      </c>
      <c r="I435" s="31" t="s">
        <v>25</v>
      </c>
      <c r="J435" s="32"/>
      <c r="K435" s="32" t="str">
        <f t="shared" si="1"/>
        <v>Externo</v>
      </c>
      <c r="L435" s="32" t="e">
        <f ca="1">_xludf.ifna(VLOOKUP(G436,Proyectos!$E$1:$N$4,10,0),"")</f>
        <v>#NAME?</v>
      </c>
      <c r="M435" s="32"/>
      <c r="N435" s="32"/>
      <c r="O435" s="31"/>
      <c r="P435" s="33"/>
      <c r="Q435" s="33"/>
    </row>
    <row r="436" spans="1:17" ht="16.5" customHeight="1" x14ac:dyDescent="0.2">
      <c r="A436" s="26" t="s">
        <v>4525</v>
      </c>
      <c r="B436" s="26" t="s">
        <v>4526</v>
      </c>
      <c r="C436" s="26" t="s">
        <v>64</v>
      </c>
      <c r="D436" s="26" t="s">
        <v>95</v>
      </c>
      <c r="E436" s="26" t="s">
        <v>126</v>
      </c>
      <c r="F436" s="28" t="e">
        <f ca="1">_xludf.ifna(VLOOKUP(G437,Proyectos!$E$1:$H$4,4,0),"")</f>
        <v>#NAME?</v>
      </c>
      <c r="G436" s="26" t="s">
        <v>5363</v>
      </c>
      <c r="H436" s="32">
        <v>1</v>
      </c>
      <c r="I436" s="31" t="s">
        <v>18</v>
      </c>
      <c r="J436" s="32"/>
      <c r="K436" s="32" t="str">
        <f t="shared" si="1"/>
        <v>Externo</v>
      </c>
      <c r="L436" s="32" t="e">
        <f ca="1">_xludf.ifna(VLOOKUP(G437,Proyectos!$E$1:$N$4,10,0),"")</f>
        <v>#NAME?</v>
      </c>
      <c r="M436" s="32"/>
      <c r="N436" s="32"/>
      <c r="O436" s="31"/>
      <c r="P436" s="33"/>
      <c r="Q436" s="33"/>
    </row>
    <row r="437" spans="1:17" ht="16.5" customHeight="1" x14ac:dyDescent="0.2">
      <c r="A437" s="26" t="s">
        <v>3826</v>
      </c>
      <c r="B437" s="26" t="s">
        <v>5704</v>
      </c>
      <c r="C437" s="26" t="s">
        <v>98</v>
      </c>
      <c r="D437" s="26" t="s">
        <v>102</v>
      </c>
      <c r="E437" s="26" t="s">
        <v>39</v>
      </c>
      <c r="F437" s="28" t="e">
        <f ca="1">_xludf.ifna(VLOOKUP(G438,Proyectos!$E$1:$H$4,4,0),"")</f>
        <v>#NAME?</v>
      </c>
      <c r="G437" s="26" t="s">
        <v>5118</v>
      </c>
      <c r="H437" s="32">
        <v>0.75</v>
      </c>
      <c r="I437" s="31" t="s">
        <v>18</v>
      </c>
      <c r="J437" s="32"/>
      <c r="K437" s="32" t="str">
        <f t="shared" si="1"/>
        <v>Interno</v>
      </c>
      <c r="L437" s="32" t="e">
        <f ca="1">_xludf.ifna(VLOOKUP(G438,Proyectos!$E$1:$N$4,10,0),"")</f>
        <v>#NAME?</v>
      </c>
      <c r="M437" s="32"/>
      <c r="N437" s="32"/>
      <c r="O437" s="31"/>
      <c r="P437" s="33"/>
      <c r="Q437" s="33"/>
    </row>
    <row r="438" spans="1:17" ht="16.5" customHeight="1" x14ac:dyDescent="0.2">
      <c r="A438" s="26" t="s">
        <v>3826</v>
      </c>
      <c r="B438" s="26" t="s">
        <v>5704</v>
      </c>
      <c r="C438" s="26" t="s">
        <v>98</v>
      </c>
      <c r="D438" s="26" t="s">
        <v>102</v>
      </c>
      <c r="E438" s="26" t="s">
        <v>39</v>
      </c>
      <c r="F438" s="28" t="e">
        <f ca="1">_xludf.ifna(VLOOKUP(G439,Proyectos!$E$1:$H$4,4,0),"")</f>
        <v>#NAME?</v>
      </c>
      <c r="G438" s="27" t="s">
        <v>5116</v>
      </c>
      <c r="H438" s="32">
        <v>0.25</v>
      </c>
      <c r="I438" s="31" t="s">
        <v>18</v>
      </c>
      <c r="J438" s="32"/>
      <c r="K438" s="32" t="str">
        <f t="shared" si="1"/>
        <v>Interno</v>
      </c>
      <c r="L438" s="32" t="e">
        <f ca="1">_xludf.ifna(VLOOKUP(G439,Proyectos!$E$1:$N$4,10,0),"")</f>
        <v>#NAME?</v>
      </c>
      <c r="M438" s="32"/>
      <c r="N438" s="32"/>
      <c r="O438" s="31"/>
      <c r="P438" s="33"/>
      <c r="Q438" s="33"/>
    </row>
    <row r="439" spans="1:17" ht="16.5" customHeight="1" x14ac:dyDescent="0.2">
      <c r="A439" s="26" t="s">
        <v>3813</v>
      </c>
      <c r="B439" s="26" t="s">
        <v>5705</v>
      </c>
      <c r="C439" s="26" t="s">
        <v>7</v>
      </c>
      <c r="D439" s="26" t="s">
        <v>16</v>
      </c>
      <c r="E439" s="26" t="s">
        <v>39</v>
      </c>
      <c r="F439" s="28" t="e">
        <f ca="1">_xludf.ifna(VLOOKUP(G440,Proyectos!$E$1:$H$4,4,0),"")</f>
        <v>#NAME?</v>
      </c>
      <c r="G439" s="26" t="s">
        <v>5235</v>
      </c>
      <c r="H439" s="32">
        <v>0.2</v>
      </c>
      <c r="I439" s="31" t="s">
        <v>11</v>
      </c>
      <c r="J439" s="32"/>
      <c r="K439" s="32" t="str">
        <f t="shared" si="1"/>
        <v>Interno</v>
      </c>
      <c r="L439" s="32" t="e">
        <f ca="1">_xludf.ifna(VLOOKUP(G440,Proyectos!$E$1:$N$4,10,0),"")</f>
        <v>#NAME?</v>
      </c>
      <c r="M439" s="32"/>
      <c r="N439" s="32"/>
      <c r="O439" s="31"/>
      <c r="P439" s="33"/>
      <c r="Q439" s="33"/>
    </row>
    <row r="440" spans="1:17" ht="16.5" customHeight="1" x14ac:dyDescent="0.2">
      <c r="A440" s="26" t="s">
        <v>3813</v>
      </c>
      <c r="B440" s="26" t="s">
        <v>5705</v>
      </c>
      <c r="C440" s="26" t="s">
        <v>7</v>
      </c>
      <c r="D440" s="26" t="s">
        <v>16</v>
      </c>
      <c r="E440" s="26" t="s">
        <v>39</v>
      </c>
      <c r="F440" s="28" t="e">
        <f ca="1">_xludf.ifna(VLOOKUP(G441,Proyectos!$E$1:$H$4,4,0),"")</f>
        <v>#NAME?</v>
      </c>
      <c r="G440" s="26" t="s">
        <v>5131</v>
      </c>
      <c r="H440" s="32">
        <v>0.15</v>
      </c>
      <c r="I440" s="31" t="s">
        <v>11</v>
      </c>
      <c r="J440" s="32"/>
      <c r="K440" s="32" t="str">
        <f t="shared" si="1"/>
        <v>Interno</v>
      </c>
      <c r="L440" s="32" t="e">
        <f ca="1">_xludf.ifna(VLOOKUP(G441,Proyectos!$E$1:$N$4,10,0),"")</f>
        <v>#NAME?</v>
      </c>
      <c r="M440" s="32"/>
      <c r="N440" s="32"/>
      <c r="O440" s="31"/>
      <c r="P440" s="33"/>
      <c r="Q440" s="33"/>
    </row>
    <row r="441" spans="1:17" ht="16.5" customHeight="1" x14ac:dyDescent="0.2">
      <c r="A441" s="26" t="s">
        <v>3813</v>
      </c>
      <c r="B441" s="26" t="s">
        <v>5705</v>
      </c>
      <c r="C441" s="26" t="s">
        <v>7</v>
      </c>
      <c r="D441" s="26" t="s">
        <v>16</v>
      </c>
      <c r="E441" s="26" t="s">
        <v>39</v>
      </c>
      <c r="F441" s="28" t="e">
        <f ca="1">_xludf.ifna(VLOOKUP(G442,Proyectos!$E$1:$H$4,4,0),"")</f>
        <v>#NAME?</v>
      </c>
      <c r="G441" s="26" t="s">
        <v>5221</v>
      </c>
      <c r="H441" s="32">
        <v>0.3</v>
      </c>
      <c r="I441" s="31" t="s">
        <v>11</v>
      </c>
      <c r="J441" s="31" t="s">
        <v>5644</v>
      </c>
      <c r="K441" s="32" t="str">
        <f t="shared" si="1"/>
        <v>Interno</v>
      </c>
      <c r="L441" s="32" t="e">
        <f ca="1">_xludf.ifna(VLOOKUP(G442,Proyectos!$E$1:$N$4,10,0),"")</f>
        <v>#NAME?</v>
      </c>
      <c r="M441" s="32"/>
      <c r="N441" s="31"/>
      <c r="O441" s="31"/>
      <c r="P441" s="33"/>
      <c r="Q441" s="33"/>
    </row>
    <row r="442" spans="1:17" ht="16.5" customHeight="1" x14ac:dyDescent="0.2">
      <c r="A442" s="26" t="s">
        <v>3813</v>
      </c>
      <c r="B442" s="26" t="s">
        <v>5705</v>
      </c>
      <c r="C442" s="26" t="s">
        <v>7</v>
      </c>
      <c r="D442" s="26" t="s">
        <v>16</v>
      </c>
      <c r="E442" s="26" t="s">
        <v>39</v>
      </c>
      <c r="F442" s="28" t="e">
        <f ca="1">_xludf.ifna(VLOOKUP(G443,Proyectos!$E$1:$H$4,4,0),"")</f>
        <v>#NAME?</v>
      </c>
      <c r="G442" s="26" t="s">
        <v>5234</v>
      </c>
      <c r="H442" s="32">
        <v>0.15</v>
      </c>
      <c r="I442" s="31" t="s">
        <v>11</v>
      </c>
      <c r="J442" s="31"/>
      <c r="K442" s="32" t="str">
        <f t="shared" si="1"/>
        <v>Interno</v>
      </c>
      <c r="L442" s="32" t="e">
        <f ca="1">_xludf.ifna(VLOOKUP(G443,Proyectos!$E$1:$N$4,10,0),"")</f>
        <v>#NAME?</v>
      </c>
      <c r="M442" s="32"/>
      <c r="N442" s="31"/>
      <c r="O442" s="31"/>
      <c r="P442" s="33"/>
      <c r="Q442" s="33"/>
    </row>
    <row r="443" spans="1:17" ht="16.5" customHeight="1" x14ac:dyDescent="0.2">
      <c r="A443" s="26" t="s">
        <v>3813</v>
      </c>
      <c r="B443" s="26" t="s">
        <v>5705</v>
      </c>
      <c r="C443" s="26" t="s">
        <v>7</v>
      </c>
      <c r="D443" s="26" t="s">
        <v>16</v>
      </c>
      <c r="E443" s="26" t="s">
        <v>39</v>
      </c>
      <c r="F443" s="28" t="e">
        <f ca="1">_xludf.ifna(VLOOKUP(G444,Proyectos!$E$1:$H$4,4,0),"")</f>
        <v>#NAME?</v>
      </c>
      <c r="G443" s="26" t="s">
        <v>5221</v>
      </c>
      <c r="H443" s="32">
        <v>0.2</v>
      </c>
      <c r="I443" s="31" t="s">
        <v>11</v>
      </c>
      <c r="J443" s="31" t="s">
        <v>5706</v>
      </c>
      <c r="K443" s="32" t="str">
        <f t="shared" si="1"/>
        <v>Interno</v>
      </c>
      <c r="L443" s="32" t="e">
        <f ca="1">_xludf.ifna(VLOOKUP(G444,Proyectos!$E$1:$N$4,10,0),"")</f>
        <v>#NAME?</v>
      </c>
      <c r="M443" s="32"/>
      <c r="N443" s="31"/>
      <c r="O443" s="31"/>
      <c r="P443" s="33"/>
      <c r="Q443" s="33"/>
    </row>
    <row r="444" spans="1:17" ht="16.5" customHeight="1" x14ac:dyDescent="0.2">
      <c r="A444" s="26" t="s">
        <v>4102</v>
      </c>
      <c r="B444" s="26" t="s">
        <v>4103</v>
      </c>
      <c r="C444" s="26" t="s">
        <v>115</v>
      </c>
      <c r="D444" s="26" t="s">
        <v>122</v>
      </c>
      <c r="E444" s="26" t="s">
        <v>108</v>
      </c>
      <c r="F444" s="28" t="e">
        <f ca="1">_xludf.ifna(VLOOKUP(G445,Proyectos!$E$1:$H$4,4,0),"")</f>
        <v>#NAME?</v>
      </c>
      <c r="G444" s="26" t="s">
        <v>5423</v>
      </c>
      <c r="H444" s="32">
        <v>1</v>
      </c>
      <c r="I444" s="31" t="s">
        <v>25</v>
      </c>
      <c r="J444" s="32"/>
      <c r="K444" s="32" t="str">
        <f t="shared" si="1"/>
        <v>Externo</v>
      </c>
      <c r="L444" s="32" t="e">
        <f ca="1">_xludf.ifna(VLOOKUP(G445,Proyectos!$E$1:$N$4,10,0),"")</f>
        <v>#NAME?</v>
      </c>
      <c r="M444" s="32"/>
      <c r="N444" s="31"/>
      <c r="O444" s="31"/>
      <c r="P444" s="33"/>
      <c r="Q444" s="33"/>
    </row>
    <row r="445" spans="1:17" ht="16.5" customHeight="1" x14ac:dyDescent="0.2">
      <c r="A445" s="26" t="s">
        <v>3401</v>
      </c>
      <c r="B445" s="26" t="s">
        <v>3402</v>
      </c>
      <c r="C445" s="26" t="s">
        <v>115</v>
      </c>
      <c r="D445" s="26" t="s">
        <v>119</v>
      </c>
      <c r="E445" s="26" t="s">
        <v>39</v>
      </c>
      <c r="F445" s="28" t="e">
        <f ca="1">_xludf.ifna(VLOOKUP(G446,Proyectos!$E$1:$H$4,4,0),"")</f>
        <v>#NAME?</v>
      </c>
      <c r="G445" s="26" t="s">
        <v>5219</v>
      </c>
      <c r="H445" s="32">
        <v>0.5</v>
      </c>
      <c r="I445" s="31" t="s">
        <v>18</v>
      </c>
      <c r="J445" s="32"/>
      <c r="K445" s="32" t="str">
        <f t="shared" si="1"/>
        <v>Interno</v>
      </c>
      <c r="L445" s="32" t="e">
        <f ca="1">_xludf.ifna(VLOOKUP(G446,Proyectos!$E$1:$N$4,10,0),"")</f>
        <v>#NAME?</v>
      </c>
      <c r="M445" s="32"/>
      <c r="N445" s="31"/>
      <c r="O445" s="31"/>
      <c r="P445" s="33"/>
      <c r="Q445" s="33"/>
    </row>
    <row r="446" spans="1:17" ht="16.5" customHeight="1" x14ac:dyDescent="0.2">
      <c r="A446" s="26" t="s">
        <v>3401</v>
      </c>
      <c r="B446" s="26" t="s">
        <v>3402</v>
      </c>
      <c r="C446" s="26" t="s">
        <v>115</v>
      </c>
      <c r="D446" s="26" t="s">
        <v>119</v>
      </c>
      <c r="E446" s="26" t="s">
        <v>39</v>
      </c>
      <c r="F446" s="28" t="e">
        <f ca="1">_xludf.ifna(VLOOKUP(G447,Proyectos!$E$1:$H$4,4,0),"")</f>
        <v>#NAME?</v>
      </c>
      <c r="G446" s="26" t="s">
        <v>5116</v>
      </c>
      <c r="H446" s="32">
        <v>0.5</v>
      </c>
      <c r="I446" s="31" t="s">
        <v>18</v>
      </c>
      <c r="J446" s="32"/>
      <c r="K446" s="32" t="str">
        <f t="shared" si="1"/>
        <v>Interno</v>
      </c>
      <c r="L446" s="32" t="e">
        <f ca="1">_xludf.ifna(VLOOKUP(G447,Proyectos!$E$1:$N$4,10,0),"")</f>
        <v>#NAME?</v>
      </c>
      <c r="M446" s="32"/>
      <c r="N446" s="32"/>
      <c r="O446" s="31"/>
      <c r="P446" s="33"/>
      <c r="Q446" s="33"/>
    </row>
    <row r="447" spans="1:17" ht="16.5" customHeight="1" x14ac:dyDescent="0.2">
      <c r="A447" s="26" t="s">
        <v>3343</v>
      </c>
      <c r="B447" s="26" t="s">
        <v>3344</v>
      </c>
      <c r="C447" s="26" t="s">
        <v>98</v>
      </c>
      <c r="D447" s="26" t="s">
        <v>102</v>
      </c>
      <c r="E447" s="26" t="s">
        <v>39</v>
      </c>
      <c r="F447" s="28" t="e">
        <f ca="1">_xludf.ifna(VLOOKUP(G448,Proyectos!$E$1:$H$4,4,0),"")</f>
        <v>#NAME?</v>
      </c>
      <c r="G447" s="26" t="s">
        <v>5475</v>
      </c>
      <c r="H447" s="32">
        <v>0.05</v>
      </c>
      <c r="I447" s="31" t="s">
        <v>11</v>
      </c>
      <c r="J447" s="32"/>
      <c r="K447" s="32" t="str">
        <f t="shared" si="1"/>
        <v>Interno</v>
      </c>
      <c r="L447" s="32" t="e">
        <f ca="1">_xludf.ifna(VLOOKUP(G448,Proyectos!$E$1:$N$4,10,0),"")</f>
        <v>#NAME?</v>
      </c>
      <c r="M447" s="32"/>
      <c r="N447" s="32"/>
      <c r="O447" s="31"/>
      <c r="P447" s="33"/>
      <c r="Q447" s="33"/>
    </row>
    <row r="448" spans="1:17" ht="16.5" customHeight="1" x14ac:dyDescent="0.2">
      <c r="A448" s="26" t="s">
        <v>3343</v>
      </c>
      <c r="B448" s="26" t="s">
        <v>3344</v>
      </c>
      <c r="C448" s="26" t="s">
        <v>98</v>
      </c>
      <c r="D448" s="26" t="s">
        <v>102</v>
      </c>
      <c r="E448" s="26" t="s">
        <v>39</v>
      </c>
      <c r="F448" s="28" t="e">
        <f ca="1">_xludf.ifna(VLOOKUP(G449,Proyectos!$E$1:$H$4,4,0),"")</f>
        <v>#NAME?</v>
      </c>
      <c r="G448" s="26" t="s">
        <v>5111</v>
      </c>
      <c r="H448" s="32">
        <v>0.2</v>
      </c>
      <c r="I448" s="31" t="s">
        <v>11</v>
      </c>
      <c r="J448" s="32"/>
      <c r="K448" s="32" t="str">
        <f t="shared" si="1"/>
        <v>Interno</v>
      </c>
      <c r="L448" s="32" t="e">
        <f ca="1">_xludf.ifna(VLOOKUP(G449,Proyectos!$E$1:$N$4,10,0),"")</f>
        <v>#NAME?</v>
      </c>
      <c r="M448" s="32"/>
      <c r="N448" s="32"/>
      <c r="O448" s="31"/>
      <c r="P448" s="33"/>
      <c r="Q448" s="33"/>
    </row>
    <row r="449" spans="1:17" ht="16.5" customHeight="1" x14ac:dyDescent="0.2">
      <c r="A449" s="26" t="s">
        <v>3343</v>
      </c>
      <c r="B449" s="26" t="s">
        <v>3344</v>
      </c>
      <c r="C449" s="26" t="s">
        <v>98</v>
      </c>
      <c r="D449" s="26" t="s">
        <v>102</v>
      </c>
      <c r="E449" s="26" t="s">
        <v>39</v>
      </c>
      <c r="F449" s="28" t="e">
        <f ca="1">_xludf.ifna(VLOOKUP(G450,Proyectos!$E$1:$H$4,4,0),"")</f>
        <v>#NAME?</v>
      </c>
      <c r="G449" s="27" t="s">
        <v>5112</v>
      </c>
      <c r="H449" s="32">
        <v>0.15</v>
      </c>
      <c r="I449" s="31" t="s">
        <v>11</v>
      </c>
      <c r="J449" s="32"/>
      <c r="K449" s="32" t="str">
        <f t="shared" si="1"/>
        <v>Interno</v>
      </c>
      <c r="L449" s="32" t="e">
        <f ca="1">_xludf.ifna(VLOOKUP(G450,Proyectos!$E$1:$N$4,10,0),"")</f>
        <v>#NAME?</v>
      </c>
      <c r="M449" s="32"/>
      <c r="N449" s="32"/>
      <c r="O449" s="31"/>
      <c r="P449" s="33"/>
      <c r="Q449" s="33"/>
    </row>
    <row r="450" spans="1:17" ht="16.5" customHeight="1" x14ac:dyDescent="0.2">
      <c r="A450" s="26" t="s">
        <v>3343</v>
      </c>
      <c r="B450" s="26" t="s">
        <v>3344</v>
      </c>
      <c r="C450" s="26" t="s">
        <v>98</v>
      </c>
      <c r="D450" s="26" t="s">
        <v>102</v>
      </c>
      <c r="E450" s="26" t="s">
        <v>39</v>
      </c>
      <c r="F450" s="28" t="e">
        <f ca="1">_xludf.ifna(VLOOKUP(G451,Proyectos!$E$1:$H$4,4,0),"")</f>
        <v>#NAME?</v>
      </c>
      <c r="G450" s="27" t="s">
        <v>5113</v>
      </c>
      <c r="H450" s="32">
        <v>0.1</v>
      </c>
      <c r="I450" s="31" t="s">
        <v>11</v>
      </c>
      <c r="J450" s="32"/>
      <c r="K450" s="32" t="str">
        <f t="shared" si="1"/>
        <v>Interno</v>
      </c>
      <c r="L450" s="32" t="e">
        <f ca="1">_xludf.ifna(VLOOKUP(G451,Proyectos!$E$1:$N$4,10,0),"")</f>
        <v>#NAME?</v>
      </c>
      <c r="M450" s="32"/>
      <c r="N450" s="32"/>
      <c r="O450" s="31"/>
      <c r="P450" s="33"/>
      <c r="Q450" s="33"/>
    </row>
    <row r="451" spans="1:17" ht="16.5" customHeight="1" x14ac:dyDescent="0.2">
      <c r="A451" s="26" t="s">
        <v>3343</v>
      </c>
      <c r="B451" s="26" t="s">
        <v>3344</v>
      </c>
      <c r="C451" s="26" t="s">
        <v>98</v>
      </c>
      <c r="D451" s="26" t="s">
        <v>102</v>
      </c>
      <c r="E451" s="26" t="s">
        <v>39</v>
      </c>
      <c r="F451" s="28" t="e">
        <f ca="1">_xludf.ifna(VLOOKUP(G452,Proyectos!$E$1:$H$4,4,0),"")</f>
        <v>#NAME?</v>
      </c>
      <c r="G451" s="26" t="s">
        <v>5597</v>
      </c>
      <c r="H451" s="32">
        <v>0.1</v>
      </c>
      <c r="I451" s="31" t="s">
        <v>11</v>
      </c>
      <c r="J451" s="32"/>
      <c r="K451" s="32" t="str">
        <f t="shared" si="1"/>
        <v>Interno</v>
      </c>
      <c r="L451" s="32" t="e">
        <f ca="1">_xludf.ifna(VLOOKUP(G452,Proyectos!$E$1:$N$4,10,0),"")</f>
        <v>#NAME?</v>
      </c>
      <c r="M451" s="32"/>
      <c r="N451" s="32"/>
      <c r="O451" s="31"/>
      <c r="P451" s="33"/>
      <c r="Q451" s="33"/>
    </row>
    <row r="452" spans="1:17" ht="16.5" customHeight="1" x14ac:dyDescent="0.2">
      <c r="A452" s="26" t="s">
        <v>3343</v>
      </c>
      <c r="B452" s="26" t="s">
        <v>3344</v>
      </c>
      <c r="C452" s="26" t="s">
        <v>98</v>
      </c>
      <c r="D452" s="26" t="s">
        <v>102</v>
      </c>
      <c r="E452" s="26" t="s">
        <v>39</v>
      </c>
      <c r="F452" s="28" t="e">
        <f ca="1">_xludf.ifna(VLOOKUP(G453,Proyectos!$E$1:$H$4,4,0),"")</f>
        <v>#NAME?</v>
      </c>
      <c r="G452" s="27" t="s">
        <v>5701</v>
      </c>
      <c r="H452" s="32">
        <v>0.1</v>
      </c>
      <c r="I452" s="31" t="s">
        <v>11</v>
      </c>
      <c r="J452" s="32"/>
      <c r="K452" s="32" t="str">
        <f t="shared" si="1"/>
        <v>Interno</v>
      </c>
      <c r="L452" s="32" t="e">
        <f ca="1">_xludf.ifna(VLOOKUP(G453,Proyectos!$E$1:$N$4,10,0),"")</f>
        <v>#NAME?</v>
      </c>
      <c r="M452" s="32"/>
      <c r="N452" s="32"/>
      <c r="O452" s="31"/>
      <c r="P452" s="33"/>
      <c r="Q452" s="33"/>
    </row>
    <row r="453" spans="1:17" ht="16.5" customHeight="1" x14ac:dyDescent="0.2">
      <c r="A453" s="26" t="s">
        <v>3343</v>
      </c>
      <c r="B453" s="26" t="s">
        <v>3344</v>
      </c>
      <c r="C453" s="26" t="s">
        <v>98</v>
      </c>
      <c r="D453" s="26" t="s">
        <v>102</v>
      </c>
      <c r="E453" s="26" t="s">
        <v>39</v>
      </c>
      <c r="F453" s="28" t="e">
        <f ca="1">_xludf.ifna(VLOOKUP(G454,Proyectos!$E$1:$H$4,4,0),"")</f>
        <v>#NAME?</v>
      </c>
      <c r="G453" s="27" t="s">
        <v>5116</v>
      </c>
      <c r="H453" s="32">
        <v>0.1</v>
      </c>
      <c r="I453" s="31" t="s">
        <v>11</v>
      </c>
      <c r="J453" s="32"/>
      <c r="K453" s="32" t="str">
        <f t="shared" si="1"/>
        <v>Interno</v>
      </c>
      <c r="L453" s="32" t="e">
        <f ca="1">_xludf.ifna(VLOOKUP(G454,Proyectos!$E$1:$N$4,10,0),"")</f>
        <v>#NAME?</v>
      </c>
      <c r="M453" s="32"/>
      <c r="N453" s="32"/>
      <c r="O453" s="31"/>
      <c r="P453" s="33"/>
      <c r="Q453" s="33"/>
    </row>
    <row r="454" spans="1:17" ht="16.5" customHeight="1" x14ac:dyDescent="0.2">
      <c r="A454" s="26" t="s">
        <v>3343</v>
      </c>
      <c r="B454" s="26" t="s">
        <v>3344</v>
      </c>
      <c r="C454" s="26" t="s">
        <v>98</v>
      </c>
      <c r="D454" s="26" t="s">
        <v>102</v>
      </c>
      <c r="E454" s="26" t="s">
        <v>39</v>
      </c>
      <c r="F454" s="28" t="e">
        <f ca="1">_xludf.ifna(VLOOKUP(G455,Proyectos!$E$1:$H$4,4,0),"")</f>
        <v>#NAME?</v>
      </c>
      <c r="G454" s="27" t="s">
        <v>5117</v>
      </c>
      <c r="H454" s="32">
        <v>0.1</v>
      </c>
      <c r="I454" s="31" t="s">
        <v>11</v>
      </c>
      <c r="J454" s="32"/>
      <c r="K454" s="32" t="str">
        <f t="shared" si="1"/>
        <v>Interno</v>
      </c>
      <c r="L454" s="32" t="e">
        <f ca="1">_xludf.ifna(VLOOKUP(G455,Proyectos!$E$1:$N$4,10,0),"")</f>
        <v>#NAME?</v>
      </c>
      <c r="M454" s="32"/>
      <c r="N454" s="32"/>
      <c r="O454" s="31"/>
      <c r="P454" s="33"/>
      <c r="Q454" s="33"/>
    </row>
    <row r="455" spans="1:17" ht="16.5" customHeight="1" x14ac:dyDescent="0.2">
      <c r="A455" s="26" t="s">
        <v>3343</v>
      </c>
      <c r="B455" s="26" t="s">
        <v>3344</v>
      </c>
      <c r="C455" s="26" t="s">
        <v>98</v>
      </c>
      <c r="D455" s="26" t="s">
        <v>102</v>
      </c>
      <c r="E455" s="26" t="s">
        <v>39</v>
      </c>
      <c r="F455" s="28" t="e">
        <f ca="1">_xludf.ifna(VLOOKUP(G456,Proyectos!$E$1:$H$4,4,0),"")</f>
        <v>#NAME?</v>
      </c>
      <c r="G455" s="27" t="s">
        <v>5118</v>
      </c>
      <c r="H455" s="32">
        <v>0.1</v>
      </c>
      <c r="I455" s="31" t="s">
        <v>11</v>
      </c>
      <c r="J455" s="32"/>
      <c r="K455" s="32" t="str">
        <f t="shared" si="1"/>
        <v>Interno</v>
      </c>
      <c r="L455" s="32" t="e">
        <f ca="1">_xludf.ifna(VLOOKUP(G456,Proyectos!$E$1:$N$4,10,0),"")</f>
        <v>#NAME?</v>
      </c>
      <c r="M455" s="32"/>
      <c r="N455" s="32"/>
      <c r="O455" s="31"/>
      <c r="P455" s="33"/>
      <c r="Q455" s="33"/>
    </row>
    <row r="456" spans="1:17" ht="16.5" customHeight="1" x14ac:dyDescent="0.2">
      <c r="A456" s="26" t="s">
        <v>3392</v>
      </c>
      <c r="B456" s="26" t="s">
        <v>3393</v>
      </c>
      <c r="C456" s="26" t="s">
        <v>115</v>
      </c>
      <c r="D456" s="26" t="s">
        <v>119</v>
      </c>
      <c r="E456" s="26" t="s">
        <v>39</v>
      </c>
      <c r="F456" s="28" t="e">
        <f ca="1">_xludf.ifna(VLOOKUP(G457,Proyectos!$E$1:$H$4,4,0),"")</f>
        <v>#NAME?</v>
      </c>
      <c r="G456" s="26" t="s">
        <v>5597</v>
      </c>
      <c r="H456" s="32">
        <v>0.4</v>
      </c>
      <c r="I456" s="31" t="s">
        <v>11</v>
      </c>
      <c r="J456" s="32"/>
      <c r="K456" s="32" t="str">
        <f t="shared" si="1"/>
        <v>Interno</v>
      </c>
      <c r="L456" s="32" t="e">
        <f ca="1">_xludf.ifna(VLOOKUP(G457,Proyectos!$E$1:$N$4,10,0),"")</f>
        <v>#NAME?</v>
      </c>
      <c r="M456" s="32"/>
      <c r="N456" s="31"/>
      <c r="O456" s="31"/>
      <c r="P456" s="33"/>
      <c r="Q456" s="33"/>
    </row>
    <row r="457" spans="1:17" ht="16.5" customHeight="1" x14ac:dyDescent="0.2">
      <c r="A457" s="26" t="s">
        <v>3392</v>
      </c>
      <c r="B457" s="26" t="s">
        <v>3393</v>
      </c>
      <c r="C457" s="109" t="s">
        <v>115</v>
      </c>
      <c r="D457" s="26" t="s">
        <v>119</v>
      </c>
      <c r="E457" s="26" t="s">
        <v>39</v>
      </c>
      <c r="F457" s="28" t="e">
        <f ca="1">_xludf.ifna(VLOOKUP(G458,Proyectos!$E$1:$H$4,4,0),"")</f>
        <v>#NAME?</v>
      </c>
      <c r="G457" s="26" t="s">
        <v>5212</v>
      </c>
      <c r="H457" s="32">
        <v>0.15</v>
      </c>
      <c r="I457" s="31" t="s">
        <v>11</v>
      </c>
      <c r="J457" s="32"/>
      <c r="K457" s="32" t="str">
        <f t="shared" si="1"/>
        <v>Interno</v>
      </c>
      <c r="L457" s="32" t="e">
        <f ca="1">_xludf.ifna(VLOOKUP(G458,Proyectos!$E$1:$N$4,10,0),"")</f>
        <v>#NAME?</v>
      </c>
      <c r="M457" s="32"/>
      <c r="N457" s="31"/>
      <c r="O457" s="31"/>
      <c r="P457" s="33"/>
      <c r="Q457" s="33"/>
    </row>
    <row r="458" spans="1:17" ht="16.5" customHeight="1" x14ac:dyDescent="0.2">
      <c r="A458" s="26" t="s">
        <v>3392</v>
      </c>
      <c r="B458" s="26" t="s">
        <v>3393</v>
      </c>
      <c r="C458" s="26" t="s">
        <v>115</v>
      </c>
      <c r="D458" s="26" t="s">
        <v>119</v>
      </c>
      <c r="E458" s="26" t="s">
        <v>39</v>
      </c>
      <c r="F458" s="28" t="e">
        <f ca="1">_xludf.ifna(VLOOKUP(G459,Proyectos!$E$1:$H$4,4,0),"")</f>
        <v>#NAME?</v>
      </c>
      <c r="G458" s="26" t="s">
        <v>5214</v>
      </c>
      <c r="H458" s="32">
        <v>0.15</v>
      </c>
      <c r="I458" s="31" t="s">
        <v>11</v>
      </c>
      <c r="J458" s="32"/>
      <c r="K458" s="32" t="str">
        <f t="shared" si="1"/>
        <v>Interno</v>
      </c>
      <c r="L458" s="32" t="e">
        <f ca="1">_xludf.ifna(VLOOKUP(G459,Proyectos!$E$1:$N$4,10,0),"")</f>
        <v>#NAME?</v>
      </c>
      <c r="M458" s="32"/>
      <c r="N458" s="31"/>
      <c r="O458" s="31"/>
      <c r="P458" s="33"/>
      <c r="Q458" s="33"/>
    </row>
    <row r="459" spans="1:17" ht="16.5" customHeight="1" x14ac:dyDescent="0.2">
      <c r="A459" s="26" t="s">
        <v>3392</v>
      </c>
      <c r="B459" s="26" t="s">
        <v>3393</v>
      </c>
      <c r="C459" s="26" t="s">
        <v>115</v>
      </c>
      <c r="D459" s="26" t="s">
        <v>119</v>
      </c>
      <c r="E459" s="26" t="s">
        <v>39</v>
      </c>
      <c r="F459" s="28" t="e">
        <f ca="1">_xludf.ifna(VLOOKUP(G460,Proyectos!$E$1:$H$4,4,0),"")</f>
        <v>#NAME?</v>
      </c>
      <c r="G459" s="26" t="s">
        <v>5213</v>
      </c>
      <c r="H459" s="32">
        <v>0.3</v>
      </c>
      <c r="I459" s="31" t="s">
        <v>11</v>
      </c>
      <c r="J459" s="32"/>
      <c r="K459" s="32" t="str">
        <f t="shared" si="1"/>
        <v>Interno</v>
      </c>
      <c r="L459" s="32" t="e">
        <f ca="1">_xludf.ifna(VLOOKUP(G460,Proyectos!$E$1:$N$4,10,0),"")</f>
        <v>#NAME?</v>
      </c>
      <c r="M459" s="32"/>
      <c r="N459" s="31"/>
      <c r="O459" s="31"/>
      <c r="P459" s="33"/>
      <c r="Q459" s="33"/>
    </row>
    <row r="460" spans="1:17" ht="16.5" customHeight="1" x14ac:dyDescent="0.2">
      <c r="A460" s="26" t="s">
        <v>4183</v>
      </c>
      <c r="B460" s="26" t="s">
        <v>4184</v>
      </c>
      <c r="C460" s="26" t="s">
        <v>98</v>
      </c>
      <c r="D460" s="26" t="s">
        <v>107</v>
      </c>
      <c r="E460" s="26" t="s">
        <v>114</v>
      </c>
      <c r="F460" s="28" t="e">
        <f ca="1">_xludf.ifna(VLOOKUP(G461,Proyectos!$E$1:$H$4,4,0),"")</f>
        <v>#NAME?</v>
      </c>
      <c r="G460" s="26" t="s">
        <v>5597</v>
      </c>
      <c r="H460" s="32">
        <v>1</v>
      </c>
      <c r="I460" s="31" t="s">
        <v>32</v>
      </c>
      <c r="J460" s="32"/>
      <c r="K460" s="32" t="str">
        <f t="shared" si="1"/>
        <v>Externo</v>
      </c>
      <c r="L460" s="32" t="e">
        <f ca="1">_xludf.ifna(VLOOKUP(G461,Proyectos!$E$1:$N$4,10,0),"")</f>
        <v>#NAME?</v>
      </c>
      <c r="M460" s="32"/>
      <c r="N460" s="32"/>
      <c r="O460" s="31"/>
      <c r="P460" s="33"/>
      <c r="Q460" s="33"/>
    </row>
    <row r="461" spans="1:17" ht="16.5" customHeight="1" x14ac:dyDescent="0.2">
      <c r="A461" s="26" t="s">
        <v>4901</v>
      </c>
      <c r="B461" s="26" t="s">
        <v>4902</v>
      </c>
      <c r="C461" s="26" t="s">
        <v>7</v>
      </c>
      <c r="D461" s="26" t="s">
        <v>16</v>
      </c>
      <c r="E461" s="26" t="s">
        <v>126</v>
      </c>
      <c r="F461" s="28" t="e">
        <f ca="1">_xludf.ifna(VLOOKUP(G462,Proyectos!$E$1:$H$4,4,0),"")</f>
        <v>#NAME?</v>
      </c>
      <c r="G461" s="26" t="s">
        <v>5266</v>
      </c>
      <c r="H461" s="110">
        <v>0.4</v>
      </c>
      <c r="I461" s="31" t="s">
        <v>18</v>
      </c>
      <c r="J461" s="32"/>
      <c r="K461" s="32" t="str">
        <f t="shared" si="1"/>
        <v>Externo</v>
      </c>
      <c r="L461" s="32" t="e">
        <f ca="1">_xludf.ifna(VLOOKUP(G462,Proyectos!$E$1:$N$4,10,0),"")</f>
        <v>#NAME?</v>
      </c>
      <c r="M461" s="32"/>
      <c r="N461" s="32"/>
      <c r="O461" s="31"/>
      <c r="P461" s="33"/>
      <c r="Q461" s="33"/>
    </row>
    <row r="462" spans="1:17" ht="16.5" customHeight="1" x14ac:dyDescent="0.2">
      <c r="A462" s="26" t="s">
        <v>4901</v>
      </c>
      <c r="B462" s="26" t="s">
        <v>4902</v>
      </c>
      <c r="C462" s="26" t="s">
        <v>7</v>
      </c>
      <c r="D462" s="26" t="s">
        <v>16</v>
      </c>
      <c r="E462" s="26" t="s">
        <v>126</v>
      </c>
      <c r="F462" s="28" t="e">
        <f ca="1">_xludf.ifna(VLOOKUP(G463,Proyectos!$E$1:$H$4,4,0),"")</f>
        <v>#NAME?</v>
      </c>
      <c r="G462" s="26" t="s">
        <v>5267</v>
      </c>
      <c r="H462" s="111">
        <v>0.3</v>
      </c>
      <c r="I462" s="31" t="s">
        <v>18</v>
      </c>
      <c r="J462" s="32"/>
      <c r="K462" s="32" t="str">
        <f t="shared" si="1"/>
        <v>Externo</v>
      </c>
      <c r="L462" s="32" t="e">
        <f ca="1">_xludf.ifna(VLOOKUP(G463,Proyectos!$E$1:$N$4,10,0),"")</f>
        <v>#NAME?</v>
      </c>
      <c r="M462" s="32"/>
      <c r="N462" s="32"/>
      <c r="O462" s="31"/>
      <c r="P462" s="33"/>
      <c r="Q462" s="33"/>
    </row>
    <row r="463" spans="1:17" ht="16.5" customHeight="1" x14ac:dyDescent="0.2">
      <c r="A463" s="26" t="s">
        <v>4901</v>
      </c>
      <c r="B463" s="26" t="s">
        <v>4902</v>
      </c>
      <c r="C463" s="26" t="s">
        <v>7</v>
      </c>
      <c r="D463" s="26" t="s">
        <v>16</v>
      </c>
      <c r="E463" s="26" t="s">
        <v>126</v>
      </c>
      <c r="F463" s="28" t="e">
        <f ca="1">_xludf.ifna(VLOOKUP(G464,Proyectos!$E$1:$H$4,4,0),"")</f>
        <v>#NAME?</v>
      </c>
      <c r="G463" s="26" t="s">
        <v>5707</v>
      </c>
      <c r="H463" s="111">
        <v>0.3</v>
      </c>
      <c r="I463" s="31" t="s">
        <v>18</v>
      </c>
      <c r="J463" s="32"/>
      <c r="K463" s="32" t="str">
        <f t="shared" si="1"/>
        <v>Externo</v>
      </c>
      <c r="L463" s="32" t="e">
        <f ca="1">_xludf.ifna(VLOOKUP(G464,Proyectos!$E$1:$N$4,10,0),"")</f>
        <v>#NAME?</v>
      </c>
      <c r="M463" s="32"/>
      <c r="N463" s="32"/>
      <c r="O463" s="31"/>
      <c r="P463" s="33"/>
      <c r="Q463" s="33"/>
    </row>
    <row r="464" spans="1:17" ht="16.5" customHeight="1" x14ac:dyDescent="0.2">
      <c r="A464" s="26" t="s">
        <v>5708</v>
      </c>
      <c r="B464" s="26" t="s">
        <v>5709</v>
      </c>
      <c r="C464" s="26" t="s">
        <v>37</v>
      </c>
      <c r="D464" s="26" t="s">
        <v>38</v>
      </c>
      <c r="E464" s="26" t="s">
        <v>9</v>
      </c>
      <c r="F464" s="28" t="e">
        <f ca="1">_xludf.ifna(VLOOKUP(G465,Proyectos!$E$1:$H$4,4,0),"")</f>
        <v>#NAME?</v>
      </c>
      <c r="G464" s="26" t="s">
        <v>5336</v>
      </c>
      <c r="H464" s="48">
        <v>0.5</v>
      </c>
      <c r="I464" s="31" t="s">
        <v>11</v>
      </c>
      <c r="J464" s="32"/>
      <c r="K464" s="32" t="str">
        <f t="shared" si="1"/>
        <v>Externo</v>
      </c>
      <c r="L464" s="32" t="e">
        <f ca="1">_xludf.ifna(VLOOKUP(G465,Proyectos!$E$1:$N$4,10,0),"")</f>
        <v>#NAME?</v>
      </c>
      <c r="M464" s="32"/>
      <c r="N464" s="31"/>
      <c r="O464" s="31"/>
      <c r="P464" s="33"/>
      <c r="Q464" s="33"/>
    </row>
    <row r="465" spans="1:17" ht="16.5" customHeight="1" x14ac:dyDescent="0.2">
      <c r="A465" s="4" t="s">
        <v>4865</v>
      </c>
      <c r="B465" s="4" t="s">
        <v>4866</v>
      </c>
      <c r="C465" s="26" t="s">
        <v>64</v>
      </c>
      <c r="D465" s="26" t="s">
        <v>89</v>
      </c>
      <c r="E465" s="26" t="s">
        <v>83</v>
      </c>
      <c r="F465" s="28" t="e">
        <f ca="1">_xludf.ifna(VLOOKUP(G466,Proyectos!$E$1:$H$4,4,0),"")</f>
        <v>#NAME?</v>
      </c>
      <c r="G465" s="26" t="s">
        <v>5130</v>
      </c>
      <c r="H465" s="48">
        <v>0.5</v>
      </c>
      <c r="I465" s="31" t="s">
        <v>25</v>
      </c>
      <c r="J465" s="31" t="s">
        <v>5662</v>
      </c>
      <c r="K465" s="32" t="str">
        <f t="shared" si="1"/>
        <v>Externo</v>
      </c>
      <c r="L465" s="32" t="e">
        <f ca="1">_xludf.ifna(VLOOKUP(G466,Proyectos!$E$1:$N$4,10,0),"")</f>
        <v>#NAME?</v>
      </c>
      <c r="M465" s="32"/>
      <c r="N465" s="32"/>
      <c r="O465" s="31"/>
      <c r="P465" s="33"/>
      <c r="Q465" s="33"/>
    </row>
    <row r="466" spans="1:17" ht="16.5" customHeight="1" x14ac:dyDescent="0.2">
      <c r="A466" s="4" t="s">
        <v>4865</v>
      </c>
      <c r="B466" s="4" t="s">
        <v>4866</v>
      </c>
      <c r="C466" s="26" t="s">
        <v>64</v>
      </c>
      <c r="D466" s="26" t="s">
        <v>89</v>
      </c>
      <c r="E466" s="26" t="s">
        <v>83</v>
      </c>
      <c r="F466" s="28" t="e">
        <f ca="1">_xludf.ifna(VLOOKUP(G467,Proyectos!$E$1:$H$4,4,0),"")</f>
        <v>#NAME?</v>
      </c>
      <c r="G466" s="26" t="s">
        <v>5597</v>
      </c>
      <c r="H466" s="48">
        <v>0.5</v>
      </c>
      <c r="I466" s="31" t="s">
        <v>25</v>
      </c>
      <c r="J466" s="31" t="s">
        <v>5662</v>
      </c>
      <c r="K466" s="32" t="str">
        <f t="shared" si="1"/>
        <v>Externo</v>
      </c>
      <c r="L466" s="32" t="e">
        <f ca="1">_xludf.ifna(VLOOKUP(G467,Proyectos!$E$1:$N$4,10,0),"")</f>
        <v>#NAME?</v>
      </c>
      <c r="M466" s="32"/>
      <c r="N466" s="31"/>
      <c r="O466" s="31"/>
      <c r="P466" s="33"/>
      <c r="Q466" s="33"/>
    </row>
    <row r="467" spans="1:17" ht="16.5" customHeight="1" x14ac:dyDescent="0.2">
      <c r="A467" s="26" t="s">
        <v>4792</v>
      </c>
      <c r="B467" s="26" t="s">
        <v>5311</v>
      </c>
      <c r="C467" s="26" t="s">
        <v>64</v>
      </c>
      <c r="D467" s="26" t="s">
        <v>92</v>
      </c>
      <c r="E467" s="53" t="s">
        <v>39</v>
      </c>
      <c r="F467" s="28" t="e">
        <f ca="1">_xludf.ifna(VLOOKUP(G468,Proyectos!$E$1:$H$4,4,0),"")</f>
        <v>#NAME?</v>
      </c>
      <c r="G467" s="26" t="s">
        <v>5310</v>
      </c>
      <c r="H467" s="48">
        <v>1</v>
      </c>
      <c r="I467" s="31" t="s">
        <v>18</v>
      </c>
      <c r="J467" s="32"/>
      <c r="K467" s="32" t="str">
        <f t="shared" si="1"/>
        <v>Interno</v>
      </c>
      <c r="L467" s="32" t="e">
        <f ca="1">_xludf.ifna(VLOOKUP(G468,Proyectos!$E$1:$N$4,10,0),"")</f>
        <v>#NAME?</v>
      </c>
      <c r="M467" s="32"/>
      <c r="N467" s="32"/>
      <c r="O467" s="31"/>
      <c r="P467" s="33"/>
      <c r="Q467" s="33"/>
    </row>
    <row r="468" spans="1:17" ht="16.5" customHeight="1" x14ac:dyDescent="0.2">
      <c r="A468" s="35" t="s">
        <v>4863</v>
      </c>
      <c r="B468" s="26" t="s">
        <v>5491</v>
      </c>
      <c r="C468" s="26" t="s">
        <v>64</v>
      </c>
      <c r="D468" s="26" t="s">
        <v>82</v>
      </c>
      <c r="E468" s="35" t="s">
        <v>126</v>
      </c>
      <c r="F468" s="28" t="e">
        <f ca="1">_xludf.ifna(VLOOKUP(G469,Proyectos!$E$1:$H$4,4,0),"")</f>
        <v>#NAME?</v>
      </c>
      <c r="G468" s="26" t="s">
        <v>5387</v>
      </c>
      <c r="H468" s="48">
        <v>1</v>
      </c>
      <c r="I468" s="31" t="s">
        <v>25</v>
      </c>
      <c r="J468" s="32"/>
      <c r="K468" s="32" t="str">
        <f t="shared" si="1"/>
        <v>Externo</v>
      </c>
      <c r="L468" s="32" t="e">
        <f ca="1">_xludf.ifna(VLOOKUP(G469,Proyectos!$E$1:$N$4,10,0),"")</f>
        <v>#NAME?</v>
      </c>
      <c r="M468" s="32"/>
      <c r="N468" s="32"/>
      <c r="O468" s="31"/>
      <c r="P468" s="33"/>
      <c r="Q468" s="33"/>
    </row>
    <row r="469" spans="1:17" ht="16.5" customHeight="1" x14ac:dyDescent="0.2">
      <c r="A469" s="26" t="s">
        <v>4790</v>
      </c>
      <c r="B469" s="26" t="s">
        <v>4791</v>
      </c>
      <c r="C469" s="26" t="s">
        <v>115</v>
      </c>
      <c r="D469" s="26" t="s">
        <v>134</v>
      </c>
      <c r="E469" s="26" t="s">
        <v>39</v>
      </c>
      <c r="F469" s="28" t="e">
        <f ca="1">_xludf.ifna(VLOOKUP(G470,Proyectos!$E$1:$H$4,4,0),"")</f>
        <v>#NAME?</v>
      </c>
      <c r="G469" s="26" t="s">
        <v>5539</v>
      </c>
      <c r="H469" s="48">
        <v>1</v>
      </c>
      <c r="I469" s="31" t="s">
        <v>11</v>
      </c>
      <c r="J469" s="32"/>
      <c r="K469" s="32" t="str">
        <f t="shared" si="1"/>
        <v>Interno</v>
      </c>
      <c r="L469" s="32" t="e">
        <f ca="1">_xludf.ifna(VLOOKUP(G470,Proyectos!$E$1:$N$4,10,0),"")</f>
        <v>#NAME?</v>
      </c>
      <c r="M469" s="32"/>
      <c r="N469" s="32"/>
      <c r="O469" s="31"/>
      <c r="P469" s="33"/>
      <c r="Q469" s="33"/>
    </row>
    <row r="470" spans="1:17" ht="16.5" customHeight="1" x14ac:dyDescent="0.2">
      <c r="A470" s="35" t="s">
        <v>3492</v>
      </c>
      <c r="B470" s="35" t="s">
        <v>3493</v>
      </c>
      <c r="C470" s="26" t="s">
        <v>115</v>
      </c>
      <c r="D470" s="26" t="s">
        <v>125</v>
      </c>
      <c r="E470" s="26" t="s">
        <v>39</v>
      </c>
      <c r="F470" s="28" t="e">
        <f ca="1">_xludf.ifna(VLOOKUP(G471,Proyectos!$E$1:$H$4,4,0),"")</f>
        <v>#NAME?</v>
      </c>
      <c r="G470" s="26" t="s">
        <v>5536</v>
      </c>
      <c r="H470" s="48">
        <v>0.3</v>
      </c>
      <c r="I470" s="31" t="s">
        <v>18</v>
      </c>
      <c r="J470" s="31"/>
      <c r="K470" s="32" t="str">
        <f t="shared" si="1"/>
        <v>Interno</v>
      </c>
      <c r="L470" s="32" t="e">
        <f ca="1">_xludf.ifna(VLOOKUP(G471,Proyectos!$E$1:$N$4,10,0),"")</f>
        <v>#NAME?</v>
      </c>
      <c r="M470" s="32"/>
      <c r="N470" s="31"/>
      <c r="O470" s="31"/>
      <c r="P470" s="33"/>
      <c r="Q470" s="33"/>
    </row>
    <row r="471" spans="1:17" ht="16.5" customHeight="1" x14ac:dyDescent="0.2">
      <c r="A471" s="35" t="s">
        <v>3492</v>
      </c>
      <c r="B471" s="35" t="s">
        <v>3493</v>
      </c>
      <c r="C471" s="26" t="s">
        <v>115</v>
      </c>
      <c r="D471" s="26" t="s">
        <v>125</v>
      </c>
      <c r="E471" s="26" t="s">
        <v>39</v>
      </c>
      <c r="F471" s="28" t="e">
        <f ca="1">_xludf.ifna(VLOOKUP(G472,Proyectos!$E$1:$H$4,4,0),"")</f>
        <v>#NAME?</v>
      </c>
      <c r="G471" s="26" t="s">
        <v>5323</v>
      </c>
      <c r="H471" s="48">
        <v>0.5</v>
      </c>
      <c r="I471" s="31" t="s">
        <v>18</v>
      </c>
      <c r="J471" s="31"/>
      <c r="K471" s="32" t="str">
        <f t="shared" si="1"/>
        <v>Interno</v>
      </c>
      <c r="L471" s="32" t="e">
        <f ca="1">_xludf.ifna(VLOOKUP(G472,Proyectos!$E$1:$N$4,10,0),"")</f>
        <v>#NAME?</v>
      </c>
      <c r="M471" s="32"/>
      <c r="N471" s="32"/>
      <c r="O471" s="31"/>
      <c r="P471" s="33"/>
      <c r="Q471" s="33"/>
    </row>
    <row r="472" spans="1:17" ht="16.5" customHeight="1" x14ac:dyDescent="0.2">
      <c r="A472" s="35" t="s">
        <v>3492</v>
      </c>
      <c r="B472" s="35" t="s">
        <v>3493</v>
      </c>
      <c r="C472" s="26" t="s">
        <v>115</v>
      </c>
      <c r="D472" s="26" t="s">
        <v>125</v>
      </c>
      <c r="E472" s="26" t="s">
        <v>39</v>
      </c>
      <c r="F472" s="28" t="e">
        <f ca="1">_xludf.ifna(VLOOKUP(G473,Proyectos!$E$1:$H$4,4,0),"")</f>
        <v>#NAME?</v>
      </c>
      <c r="G472" s="26" t="s">
        <v>5597</v>
      </c>
      <c r="H472" s="48">
        <v>0.2</v>
      </c>
      <c r="I472" s="31" t="s">
        <v>18</v>
      </c>
      <c r="J472" s="31" t="s">
        <v>5710</v>
      </c>
      <c r="K472" s="32" t="str">
        <f t="shared" si="1"/>
        <v>Interno</v>
      </c>
      <c r="L472" s="32" t="e">
        <f ca="1">_xludf.ifna(VLOOKUP(G473,Proyectos!$E$1:$N$4,10,0),"")</f>
        <v>#NAME?</v>
      </c>
      <c r="M472" s="32"/>
      <c r="N472" s="31"/>
      <c r="O472" s="31"/>
      <c r="P472" s="33"/>
      <c r="Q472" s="33"/>
    </row>
    <row r="473" spans="1:17" ht="16.5" customHeight="1" x14ac:dyDescent="0.2">
      <c r="A473" s="26" t="s">
        <v>4889</v>
      </c>
      <c r="B473" s="26" t="s">
        <v>5163</v>
      </c>
      <c r="C473" s="35" t="s">
        <v>7</v>
      </c>
      <c r="D473" s="35" t="s">
        <v>30</v>
      </c>
      <c r="E473" s="35" t="s">
        <v>129</v>
      </c>
      <c r="F473" s="28" t="e">
        <f ca="1">_xludf.ifna(VLOOKUP(G474,Proyectos!$E$1:$H$4,4,0),"")</f>
        <v>#NAME?</v>
      </c>
      <c r="G473" s="35" t="s">
        <v>5153</v>
      </c>
      <c r="H473" s="112">
        <v>1</v>
      </c>
      <c r="I473" s="31" t="s">
        <v>18</v>
      </c>
      <c r="J473" s="55"/>
      <c r="K473" s="32" t="str">
        <f t="shared" si="1"/>
        <v>Externo</v>
      </c>
      <c r="L473" s="32" t="e">
        <f ca="1">_xludf.ifna(VLOOKUP(G474,Proyectos!$E$1:$N$4,10,0),"")</f>
        <v>#NAME?</v>
      </c>
      <c r="M473" s="32"/>
      <c r="N473" s="31"/>
      <c r="O473" s="31"/>
      <c r="P473" s="33"/>
      <c r="Q473" s="33"/>
    </row>
    <row r="474" spans="1:17" ht="16.5" customHeight="1" x14ac:dyDescent="0.2">
      <c r="A474" s="26" t="s">
        <v>4171</v>
      </c>
      <c r="B474" s="26" t="s">
        <v>4172</v>
      </c>
      <c r="C474" s="26" t="s">
        <v>37</v>
      </c>
      <c r="D474" s="26" t="s">
        <v>45</v>
      </c>
      <c r="E474" s="26" t="s">
        <v>138</v>
      </c>
      <c r="F474" s="28" t="e">
        <f ca="1">_xludf.ifna(VLOOKUP(G475,Proyectos!$E$1:$H$4,4,0),"")</f>
        <v>#NAME?</v>
      </c>
      <c r="G474" s="26" t="s">
        <v>5597</v>
      </c>
      <c r="H474" s="48">
        <v>1</v>
      </c>
      <c r="I474" s="31" t="s">
        <v>18</v>
      </c>
      <c r="J474" s="32"/>
      <c r="K474" s="32" t="str">
        <f t="shared" si="1"/>
        <v>Externo</v>
      </c>
      <c r="L474" s="32" t="e">
        <f ca="1">_xludf.ifna(VLOOKUP(G475,Proyectos!$E$1:$N$4,10,0),"")</f>
        <v>#NAME?</v>
      </c>
      <c r="M474" s="32"/>
      <c r="N474" s="31"/>
      <c r="O474" s="31"/>
      <c r="P474" s="33"/>
      <c r="Q474" s="33"/>
    </row>
    <row r="475" spans="1:17" ht="16.5" customHeight="1" x14ac:dyDescent="0.2">
      <c r="A475" s="26" t="s">
        <v>3779</v>
      </c>
      <c r="B475" s="26" t="s">
        <v>3780</v>
      </c>
      <c r="C475" s="26" t="s">
        <v>115</v>
      </c>
      <c r="D475" s="26" t="s">
        <v>116</v>
      </c>
      <c r="E475" s="26" t="s">
        <v>39</v>
      </c>
      <c r="F475" s="28" t="e">
        <f ca="1">_xludf.ifna(VLOOKUP(G476,Proyectos!$E$1:$H$4,4,0),"")</f>
        <v>#NAME?</v>
      </c>
      <c r="G475" s="26" t="s">
        <v>5597</v>
      </c>
      <c r="H475" s="48">
        <v>1</v>
      </c>
      <c r="I475" s="31" t="s">
        <v>18</v>
      </c>
      <c r="J475" s="32"/>
      <c r="K475" s="32" t="str">
        <f t="shared" si="1"/>
        <v>Interno</v>
      </c>
      <c r="L475" s="32" t="e">
        <f ca="1">_xludf.ifna(VLOOKUP(G476,Proyectos!$E$1:$N$4,10,0),"")</f>
        <v>#NAME?</v>
      </c>
      <c r="M475" s="32"/>
      <c r="N475" s="31"/>
      <c r="O475" s="31"/>
      <c r="P475" s="33"/>
      <c r="Q475" s="33"/>
    </row>
    <row r="476" spans="1:17" ht="16.5" customHeight="1" x14ac:dyDescent="0.2">
      <c r="A476" s="26" t="s">
        <v>4423</v>
      </c>
      <c r="B476" s="26" t="s">
        <v>4424</v>
      </c>
      <c r="C476" s="26" t="s">
        <v>115</v>
      </c>
      <c r="D476" s="26" t="s">
        <v>116</v>
      </c>
      <c r="E476" s="26" t="s">
        <v>9</v>
      </c>
      <c r="F476" s="28" t="e">
        <f ca="1">_xludf.ifna(VLOOKUP(G477,Proyectos!$E$1:$H$4,4,0),"")</f>
        <v>#NAME?</v>
      </c>
      <c r="G476" s="26" t="s">
        <v>5318</v>
      </c>
      <c r="H476" s="48">
        <v>1</v>
      </c>
      <c r="I476" s="31" t="s">
        <v>18</v>
      </c>
      <c r="J476" s="32"/>
      <c r="K476" s="32" t="str">
        <f t="shared" si="1"/>
        <v>Externo</v>
      </c>
      <c r="L476" s="32" t="e">
        <f ca="1">_xludf.ifna(VLOOKUP(G477,Proyectos!$E$1:$N$4,10,0),"")</f>
        <v>#NAME?</v>
      </c>
      <c r="M476" s="32"/>
      <c r="N476" s="32"/>
      <c r="O476" s="31"/>
      <c r="P476" s="33"/>
      <c r="Q476" s="33"/>
    </row>
    <row r="477" spans="1:17" ht="16.5" customHeight="1" x14ac:dyDescent="0.2">
      <c r="A477" s="4" t="s">
        <v>4021</v>
      </c>
      <c r="B477" s="4" t="s">
        <v>5368</v>
      </c>
      <c r="C477" s="26" t="s">
        <v>64</v>
      </c>
      <c r="D477" s="26" t="s">
        <v>89</v>
      </c>
      <c r="E477" s="26" t="s">
        <v>135</v>
      </c>
      <c r="F477" s="28" t="e">
        <f ca="1">_xludf.ifna(VLOOKUP(G478,Proyectos!$E$1:$H$4,4,0),"")</f>
        <v>#NAME?</v>
      </c>
      <c r="G477" s="26" t="s">
        <v>5651</v>
      </c>
      <c r="H477" s="48">
        <v>1</v>
      </c>
      <c r="I477" s="31" t="s">
        <v>18</v>
      </c>
      <c r="J477" s="32"/>
      <c r="K477" s="32" t="str">
        <f t="shared" si="1"/>
        <v>Externo</v>
      </c>
      <c r="L477" s="32" t="e">
        <f ca="1">_xludf.ifna(VLOOKUP(G478,Proyectos!$E$1:$N$4,10,0),"")</f>
        <v>#NAME?</v>
      </c>
      <c r="M477" s="32"/>
      <c r="N477" s="32"/>
      <c r="O477" s="31"/>
      <c r="P477" s="33"/>
      <c r="Q477" s="33"/>
    </row>
    <row r="478" spans="1:17" ht="16.5" customHeight="1" x14ac:dyDescent="0.2">
      <c r="A478" s="26" t="s">
        <v>3684</v>
      </c>
      <c r="B478" s="26" t="s">
        <v>3685</v>
      </c>
      <c r="C478" s="26" t="s">
        <v>64</v>
      </c>
      <c r="D478" s="26" t="s">
        <v>70</v>
      </c>
      <c r="E478" s="26" t="s">
        <v>39</v>
      </c>
      <c r="F478" s="28" t="e">
        <f ca="1">_xludf.ifna(VLOOKUP(G479,Proyectos!$E$1:$H$4,4,0),"")</f>
        <v>#NAME?</v>
      </c>
      <c r="G478" s="26" t="s">
        <v>5597</v>
      </c>
      <c r="H478" s="40">
        <v>0.1</v>
      </c>
      <c r="I478" s="31" t="s">
        <v>18</v>
      </c>
      <c r="J478" s="32"/>
      <c r="K478" s="32" t="str">
        <f t="shared" si="1"/>
        <v>Interno</v>
      </c>
      <c r="L478" s="32" t="e">
        <f ca="1">_xludf.ifna(VLOOKUP(G479,Proyectos!$E$1:$N$4,10,0),"")</f>
        <v>#NAME?</v>
      </c>
      <c r="M478" s="32"/>
      <c r="N478" s="31"/>
      <c r="O478" s="31"/>
      <c r="P478" s="33"/>
      <c r="Q478" s="33"/>
    </row>
    <row r="479" spans="1:17" ht="16.5" customHeight="1" x14ac:dyDescent="0.2">
      <c r="A479" s="26" t="s">
        <v>3684</v>
      </c>
      <c r="B479" s="26" t="s">
        <v>3685</v>
      </c>
      <c r="C479" s="26" t="s">
        <v>64</v>
      </c>
      <c r="D479" s="26" t="s">
        <v>70</v>
      </c>
      <c r="E479" s="26" t="s">
        <v>39</v>
      </c>
      <c r="F479" s="28" t="e">
        <f ca="1">_xludf.ifna(VLOOKUP(G480,Proyectos!$E$1:$H$4,4,0),"")</f>
        <v>#NAME?</v>
      </c>
      <c r="G479" s="26" t="s">
        <v>5403</v>
      </c>
      <c r="H479" s="40">
        <v>0.6</v>
      </c>
      <c r="I479" s="31" t="s">
        <v>18</v>
      </c>
      <c r="J479" s="32"/>
      <c r="K479" s="32" t="str">
        <f t="shared" si="1"/>
        <v>Interno</v>
      </c>
      <c r="L479" s="32" t="e">
        <f ca="1">_xludf.ifna(VLOOKUP(G480,Proyectos!$E$1:$N$4,10,0),"")</f>
        <v>#NAME?</v>
      </c>
      <c r="M479" s="32"/>
      <c r="N479" s="32"/>
      <c r="O479" s="31"/>
      <c r="P479" s="33"/>
      <c r="Q479" s="33"/>
    </row>
    <row r="480" spans="1:17" ht="16.5" customHeight="1" x14ac:dyDescent="0.2">
      <c r="A480" s="26" t="s">
        <v>3684</v>
      </c>
      <c r="B480" s="26" t="s">
        <v>3685</v>
      </c>
      <c r="C480" s="26" t="s">
        <v>64</v>
      </c>
      <c r="D480" s="26" t="s">
        <v>70</v>
      </c>
      <c r="E480" s="26" t="s">
        <v>39</v>
      </c>
      <c r="F480" s="28" t="e">
        <f ca="1">_xludf.ifna(VLOOKUP(G481,Proyectos!$E$1:$H$4,4,0),"")</f>
        <v>#NAME?</v>
      </c>
      <c r="G480" s="26" t="s">
        <v>5405</v>
      </c>
      <c r="H480" s="40">
        <v>0.3</v>
      </c>
      <c r="I480" s="31" t="s">
        <v>18</v>
      </c>
      <c r="J480" s="32"/>
      <c r="K480" s="32" t="str">
        <f t="shared" si="1"/>
        <v>Interno</v>
      </c>
      <c r="L480" s="32" t="e">
        <f ca="1">_xludf.ifna(VLOOKUP(G481,Proyectos!$E$1:$N$4,10,0),"")</f>
        <v>#NAME?</v>
      </c>
      <c r="M480" s="32"/>
      <c r="N480" s="32"/>
      <c r="O480" s="31"/>
      <c r="P480" s="33"/>
      <c r="Q480" s="33"/>
    </row>
    <row r="481" spans="1:17" ht="16.5" customHeight="1" x14ac:dyDescent="0.2">
      <c r="A481" s="26" t="s">
        <v>4169</v>
      </c>
      <c r="B481" s="26" t="s">
        <v>4170</v>
      </c>
      <c r="C481" s="35" t="s">
        <v>7</v>
      </c>
      <c r="D481" s="35" t="s">
        <v>8</v>
      </c>
      <c r="E481" s="35" t="s">
        <v>106</v>
      </c>
      <c r="F481" s="28" t="e">
        <f ca="1">_xludf.ifna(VLOOKUP(G482,Proyectos!$E$1:$H$4,4,0),"")</f>
        <v>#NAME?</v>
      </c>
      <c r="G481" s="35" t="s">
        <v>5597</v>
      </c>
      <c r="H481" s="40">
        <v>0.5</v>
      </c>
      <c r="I481" s="31" t="s">
        <v>18</v>
      </c>
      <c r="J481" s="30"/>
      <c r="K481" s="32" t="str">
        <f t="shared" si="1"/>
        <v>Externo</v>
      </c>
      <c r="L481" s="32" t="e">
        <f ca="1">_xludf.ifna(VLOOKUP(G482,Proyectos!$E$1:$N$4,10,0),"")</f>
        <v>#NAME?</v>
      </c>
      <c r="M481" s="32"/>
      <c r="N481" s="31"/>
      <c r="O481" s="31"/>
      <c r="P481" s="33"/>
      <c r="Q481" s="33"/>
    </row>
    <row r="482" spans="1:17" ht="16.5" customHeight="1" x14ac:dyDescent="0.2">
      <c r="A482" s="26" t="s">
        <v>4169</v>
      </c>
      <c r="B482" s="26" t="s">
        <v>5181</v>
      </c>
      <c r="C482" s="54" t="s">
        <v>7</v>
      </c>
      <c r="D482" s="35" t="s">
        <v>23</v>
      </c>
      <c r="E482" s="35" t="s">
        <v>106</v>
      </c>
      <c r="F482" s="28" t="e">
        <f ca="1">_xludf.ifna(VLOOKUP(G483,Proyectos!$E$1:$H$4,4,0),"")</f>
        <v>#NAME?</v>
      </c>
      <c r="G482" s="35" t="s">
        <v>5182</v>
      </c>
      <c r="H482" s="40">
        <v>0.5</v>
      </c>
      <c r="I482" s="31" t="s">
        <v>18</v>
      </c>
      <c r="J482" s="55"/>
      <c r="K482" s="32" t="str">
        <f t="shared" si="1"/>
        <v>Externo</v>
      </c>
      <c r="L482" s="32" t="e">
        <f ca="1">_xludf.ifna(VLOOKUP(G483,Proyectos!$E$1:$N$4,10,0),"")</f>
        <v>#NAME?</v>
      </c>
      <c r="M482" s="32"/>
      <c r="N482" s="31"/>
      <c r="O482" s="31"/>
      <c r="P482" s="33"/>
      <c r="Q482" s="33"/>
    </row>
    <row r="483" spans="1:17" ht="16.5" customHeight="1" x14ac:dyDescent="0.2">
      <c r="A483" s="35" t="s">
        <v>3476</v>
      </c>
      <c r="B483" s="26" t="s">
        <v>5711</v>
      </c>
      <c r="C483" s="26" t="s">
        <v>64</v>
      </c>
      <c r="D483" s="26" t="s">
        <v>82</v>
      </c>
      <c r="E483" s="26" t="s">
        <v>39</v>
      </c>
      <c r="F483" s="28" t="e">
        <f ca="1">_xludf.ifna(VLOOKUP(G484,Proyectos!$E$1:$H$4,4,0),"")</f>
        <v>#NAME?</v>
      </c>
      <c r="G483" s="26" t="s">
        <v>5597</v>
      </c>
      <c r="H483" s="48">
        <v>0.2</v>
      </c>
      <c r="I483" s="31" t="s">
        <v>11</v>
      </c>
      <c r="J483" s="32"/>
      <c r="K483" s="32" t="str">
        <f t="shared" si="1"/>
        <v>Interno</v>
      </c>
      <c r="L483" s="32" t="e">
        <f ca="1">_xludf.ifna(VLOOKUP(G484,Proyectos!$E$1:$N$4,10,0),"")</f>
        <v>#NAME?</v>
      </c>
      <c r="M483" s="32"/>
      <c r="N483" s="31"/>
      <c r="O483" s="31"/>
      <c r="P483" s="33"/>
      <c r="Q483" s="33"/>
    </row>
    <row r="484" spans="1:17" ht="16.5" customHeight="1" x14ac:dyDescent="0.2">
      <c r="A484" s="35" t="s">
        <v>3476</v>
      </c>
      <c r="B484" s="26" t="s">
        <v>5711</v>
      </c>
      <c r="C484" s="26" t="s">
        <v>64</v>
      </c>
      <c r="D484" s="26" t="s">
        <v>82</v>
      </c>
      <c r="E484" s="26" t="s">
        <v>39</v>
      </c>
      <c r="F484" s="28" t="e">
        <f ca="1">_xludf.ifna(VLOOKUP(G485,Proyectos!$E$1:$H$4,4,0),"")</f>
        <v>#NAME?</v>
      </c>
      <c r="G484" s="26" t="s">
        <v>5387</v>
      </c>
      <c r="H484" s="48">
        <v>0.6</v>
      </c>
      <c r="I484" s="31" t="s">
        <v>11</v>
      </c>
      <c r="J484" s="32"/>
      <c r="K484" s="32" t="str">
        <f t="shared" si="1"/>
        <v>Interno</v>
      </c>
      <c r="L484" s="32" t="e">
        <f ca="1">_xludf.ifna(VLOOKUP(G485,Proyectos!$E$1:$N$4,10,0),"")</f>
        <v>#NAME?</v>
      </c>
      <c r="M484" s="32"/>
      <c r="N484" s="32"/>
      <c r="O484" s="31"/>
      <c r="P484" s="33"/>
      <c r="Q484" s="33"/>
    </row>
    <row r="485" spans="1:17" ht="16.5" customHeight="1" x14ac:dyDescent="0.2">
      <c r="A485" s="35" t="s">
        <v>3476</v>
      </c>
      <c r="B485" s="26" t="s">
        <v>5711</v>
      </c>
      <c r="C485" s="26" t="s">
        <v>64</v>
      </c>
      <c r="D485" s="26" t="s">
        <v>82</v>
      </c>
      <c r="E485" s="26" t="s">
        <v>39</v>
      </c>
      <c r="F485" s="28" t="e">
        <f ca="1">_xludf.ifna(VLOOKUP(G486,Proyectos!$E$1:$H$4,4,0),"")</f>
        <v>#NAME?</v>
      </c>
      <c r="G485" s="26" t="s">
        <v>5434</v>
      </c>
      <c r="H485" s="48">
        <v>0.2</v>
      </c>
      <c r="I485" s="31" t="s">
        <v>11</v>
      </c>
      <c r="J485" s="32"/>
      <c r="K485" s="32" t="str">
        <f t="shared" si="1"/>
        <v>Interno</v>
      </c>
      <c r="L485" s="32" t="e">
        <f ca="1">_xludf.ifna(VLOOKUP(G486,Proyectos!$E$1:$N$4,10,0),"")</f>
        <v>#NAME?</v>
      </c>
      <c r="M485" s="32"/>
      <c r="N485" s="31"/>
      <c r="O485" s="31"/>
      <c r="P485" s="33"/>
      <c r="Q485" s="33"/>
    </row>
    <row r="486" spans="1:17" ht="16.5" customHeight="1" x14ac:dyDescent="0.2">
      <c r="A486" s="35" t="s">
        <v>3404</v>
      </c>
      <c r="B486" s="26" t="s">
        <v>3405</v>
      </c>
      <c r="C486" s="26" t="s">
        <v>64</v>
      </c>
      <c r="D486" s="26" t="s">
        <v>82</v>
      </c>
      <c r="E486" s="35" t="s">
        <v>39</v>
      </c>
      <c r="F486" s="28" t="e">
        <f ca="1">_xludf.ifna(VLOOKUP(G487,Proyectos!$E$1:$H$4,4,0),"")</f>
        <v>#NAME?</v>
      </c>
      <c r="G486" s="26" t="s">
        <v>5387</v>
      </c>
      <c r="H486" s="48">
        <v>1</v>
      </c>
      <c r="I486" s="31" t="s">
        <v>18</v>
      </c>
      <c r="J486" s="32"/>
      <c r="K486" s="32" t="str">
        <f t="shared" si="1"/>
        <v>Interno</v>
      </c>
      <c r="L486" s="32" t="e">
        <f ca="1">_xludf.ifna(VLOOKUP(G487,Proyectos!$E$1:$N$4,10,0),"")</f>
        <v>#NAME?</v>
      </c>
      <c r="M486" s="32"/>
      <c r="N486" s="32"/>
      <c r="O486" s="31"/>
      <c r="P486" s="33"/>
      <c r="Q486" s="33"/>
    </row>
    <row r="487" spans="1:17" ht="16.5" customHeight="1" x14ac:dyDescent="0.2">
      <c r="A487" s="26" t="s">
        <v>3607</v>
      </c>
      <c r="B487" s="26" t="s">
        <v>3608</v>
      </c>
      <c r="C487" s="26" t="s">
        <v>37</v>
      </c>
      <c r="D487" s="26" t="s">
        <v>45</v>
      </c>
      <c r="E487" s="26" t="s">
        <v>39</v>
      </c>
      <c r="F487" s="28" t="e">
        <f ca="1">_xludf.ifna(VLOOKUP(G488,Proyectos!$E$1:$H$4,4,0),"")</f>
        <v>#NAME?</v>
      </c>
      <c r="G487" s="26" t="s">
        <v>5597</v>
      </c>
      <c r="H487" s="48">
        <v>1</v>
      </c>
      <c r="I487" s="31" t="s">
        <v>18</v>
      </c>
      <c r="J487" s="32"/>
      <c r="K487" s="32" t="str">
        <f t="shared" si="1"/>
        <v>Interno</v>
      </c>
      <c r="L487" s="32" t="e">
        <f ca="1">_xludf.ifna(VLOOKUP(G488,Proyectos!$E$1:$N$4,10,0),"")</f>
        <v>#NAME?</v>
      </c>
      <c r="M487" s="32"/>
      <c r="N487" s="31"/>
      <c r="O487" s="31"/>
      <c r="P487" s="33"/>
      <c r="Q487" s="33"/>
    </row>
    <row r="488" spans="1:17" ht="16.5" customHeight="1" x14ac:dyDescent="0.2">
      <c r="A488" s="26" t="s">
        <v>3939</v>
      </c>
      <c r="B488" s="26" t="s">
        <v>3940</v>
      </c>
      <c r="C488" s="26" t="s">
        <v>98</v>
      </c>
      <c r="D488" s="26" t="s">
        <v>102</v>
      </c>
      <c r="E488" s="26" t="s">
        <v>108</v>
      </c>
      <c r="F488" s="28" t="e">
        <f ca="1">_xludf.ifna(VLOOKUP(G489,Proyectos!$E$1:$H$4,4,0),"")</f>
        <v>#NAME?</v>
      </c>
      <c r="G488" s="27" t="s">
        <v>5112</v>
      </c>
      <c r="H488" s="48">
        <v>0.125</v>
      </c>
      <c r="I488" s="31" t="s">
        <v>25</v>
      </c>
      <c r="J488" s="32"/>
      <c r="K488" s="32" t="str">
        <f t="shared" si="1"/>
        <v>Externo</v>
      </c>
      <c r="L488" s="32" t="e">
        <f ca="1">_xludf.ifna(VLOOKUP(G489,Proyectos!$E$1:$N$4,10,0),"")</f>
        <v>#NAME?</v>
      </c>
      <c r="M488" s="32"/>
      <c r="N488" s="32"/>
      <c r="O488" s="31"/>
      <c r="P488" s="33"/>
      <c r="Q488" s="33"/>
    </row>
    <row r="489" spans="1:17" ht="16.5" customHeight="1" x14ac:dyDescent="0.2">
      <c r="A489" s="26" t="s">
        <v>3939</v>
      </c>
      <c r="B489" s="26" t="s">
        <v>3940</v>
      </c>
      <c r="C489" s="26" t="s">
        <v>98</v>
      </c>
      <c r="D489" s="26" t="s">
        <v>102</v>
      </c>
      <c r="E489" s="26" t="s">
        <v>108</v>
      </c>
      <c r="F489" s="28" t="e">
        <f ca="1">_xludf.ifna(VLOOKUP(G490,Proyectos!$E$1:$H$4,4,0),"")</f>
        <v>#NAME?</v>
      </c>
      <c r="G489" s="26" t="s">
        <v>5111</v>
      </c>
      <c r="H489" s="48">
        <v>0.125</v>
      </c>
      <c r="I489" s="31" t="s">
        <v>25</v>
      </c>
      <c r="J489" s="32"/>
      <c r="K489" s="32" t="str">
        <f t="shared" si="1"/>
        <v>Externo</v>
      </c>
      <c r="L489" s="32" t="e">
        <f ca="1">_xludf.ifna(VLOOKUP(G490,Proyectos!$E$1:$N$4,10,0),"")</f>
        <v>#NAME?</v>
      </c>
      <c r="M489" s="32"/>
      <c r="N489" s="32"/>
      <c r="O489" s="31"/>
      <c r="P489" s="33"/>
      <c r="Q489" s="33"/>
    </row>
    <row r="490" spans="1:17" ht="16.5" customHeight="1" x14ac:dyDescent="0.2">
      <c r="A490" s="26" t="s">
        <v>3939</v>
      </c>
      <c r="B490" s="26" t="s">
        <v>3940</v>
      </c>
      <c r="C490" s="26" t="s">
        <v>98</v>
      </c>
      <c r="D490" s="26" t="s">
        <v>105</v>
      </c>
      <c r="E490" s="26" t="s">
        <v>108</v>
      </c>
      <c r="F490" s="28" t="e">
        <f ca="1">_xludf.ifna(VLOOKUP(G491,Proyectos!$E$1:$H$4,4,0),"")</f>
        <v>#NAME?</v>
      </c>
      <c r="G490" s="26" t="s">
        <v>5145</v>
      </c>
      <c r="H490" s="48">
        <v>0.15</v>
      </c>
      <c r="I490" s="31" t="s">
        <v>25</v>
      </c>
      <c r="J490" s="32"/>
      <c r="K490" s="32" t="str">
        <f t="shared" si="1"/>
        <v>Externo</v>
      </c>
      <c r="L490" s="32" t="e">
        <f ca="1">_xludf.ifna(VLOOKUP(G491,Proyectos!$E$1:$N$4,10,0),"")</f>
        <v>#NAME?</v>
      </c>
      <c r="M490" s="32"/>
      <c r="N490" s="32"/>
      <c r="O490" s="31"/>
      <c r="P490" s="33"/>
      <c r="Q490" s="33"/>
    </row>
    <row r="491" spans="1:17" ht="16.5" customHeight="1" x14ac:dyDescent="0.2">
      <c r="A491" s="26" t="s">
        <v>3939</v>
      </c>
      <c r="B491" s="26" t="s">
        <v>3940</v>
      </c>
      <c r="C491" s="26" t="s">
        <v>98</v>
      </c>
      <c r="D491" s="26" t="s">
        <v>105</v>
      </c>
      <c r="E491" s="26" t="s">
        <v>108</v>
      </c>
      <c r="F491" s="28" t="e">
        <f ca="1">_xludf.ifna(VLOOKUP(G492,Proyectos!$E$1:$H$4,4,0),"")</f>
        <v>#NAME?</v>
      </c>
      <c r="G491" s="26" t="s">
        <v>5148</v>
      </c>
      <c r="H491" s="48">
        <v>0.1</v>
      </c>
      <c r="I491" s="31" t="s">
        <v>25</v>
      </c>
      <c r="J491" s="32"/>
      <c r="K491" s="32" t="str">
        <f t="shared" si="1"/>
        <v>Externo</v>
      </c>
      <c r="L491" s="32" t="e">
        <f ca="1">_xludf.ifna(VLOOKUP(G492,Proyectos!$E$1:$N$4,10,0),"")</f>
        <v>#NAME?</v>
      </c>
      <c r="M491" s="32"/>
      <c r="N491" s="32"/>
      <c r="O491" s="31"/>
      <c r="P491" s="33"/>
      <c r="Q491" s="33"/>
    </row>
    <row r="492" spans="1:17" ht="16.5" customHeight="1" x14ac:dyDescent="0.2">
      <c r="A492" s="26" t="s">
        <v>3939</v>
      </c>
      <c r="B492" s="26" t="s">
        <v>3940</v>
      </c>
      <c r="C492" s="26" t="s">
        <v>98</v>
      </c>
      <c r="D492" s="26" t="s">
        <v>102</v>
      </c>
      <c r="E492" s="26" t="s">
        <v>108</v>
      </c>
      <c r="F492" s="28" t="e">
        <f ca="1">_xludf.ifna(VLOOKUP(G493,Proyectos!$E$1:$H$4,4,0),"")</f>
        <v>#NAME?</v>
      </c>
      <c r="G492" s="26" t="s">
        <v>5597</v>
      </c>
      <c r="H492" s="48">
        <v>0.25</v>
      </c>
      <c r="I492" s="31" t="s">
        <v>25</v>
      </c>
      <c r="J492" s="32"/>
      <c r="K492" s="32" t="str">
        <f t="shared" si="1"/>
        <v>Externo</v>
      </c>
      <c r="L492" s="32" t="e">
        <f ca="1">_xludf.ifna(VLOOKUP(G493,Proyectos!$E$1:$N$4,10,0),"")</f>
        <v>#NAME?</v>
      </c>
      <c r="M492" s="32"/>
      <c r="N492" s="32"/>
      <c r="O492" s="31"/>
      <c r="P492" s="33"/>
      <c r="Q492" s="33"/>
    </row>
    <row r="493" spans="1:17" ht="16.5" customHeight="1" x14ac:dyDescent="0.2">
      <c r="A493" s="26" t="s">
        <v>3939</v>
      </c>
      <c r="B493" s="26" t="s">
        <v>3940</v>
      </c>
      <c r="C493" s="26" t="s">
        <v>98</v>
      </c>
      <c r="D493" s="26" t="s">
        <v>105</v>
      </c>
      <c r="E493" s="26" t="s">
        <v>108</v>
      </c>
      <c r="F493" s="28" t="e">
        <f ca="1">_xludf.ifna(VLOOKUP(G494,Proyectos!$E$1:$H$4,4,0),"")</f>
        <v>#NAME?</v>
      </c>
      <c r="G493" s="26" t="s">
        <v>5597</v>
      </c>
      <c r="H493" s="113">
        <v>0.25</v>
      </c>
      <c r="I493" s="31" t="s">
        <v>25</v>
      </c>
      <c r="J493" s="32"/>
      <c r="K493" s="32" t="str">
        <f t="shared" si="1"/>
        <v>Externo</v>
      </c>
      <c r="L493" s="32" t="e">
        <f ca="1">_xludf.ifna(VLOOKUP(G494,Proyectos!$E$1:$N$4,10,0),"")</f>
        <v>#NAME?</v>
      </c>
      <c r="M493" s="32"/>
      <c r="N493" s="32"/>
      <c r="O493" s="31"/>
      <c r="P493" s="33"/>
      <c r="Q493" s="33"/>
    </row>
    <row r="494" spans="1:17" ht="16.5" customHeight="1" x14ac:dyDescent="0.2">
      <c r="A494" s="35" t="s">
        <v>4515</v>
      </c>
      <c r="B494" s="26" t="s">
        <v>5492</v>
      </c>
      <c r="C494" s="26" t="s">
        <v>64</v>
      </c>
      <c r="D494" s="26" t="s">
        <v>82</v>
      </c>
      <c r="E494" s="35" t="s">
        <v>9</v>
      </c>
      <c r="F494" s="28" t="e">
        <f ca="1">_xludf.ifna(VLOOKUP(G495,Proyectos!$E$1:$H$4,4,0),"")</f>
        <v>#NAME?</v>
      </c>
      <c r="G494" s="26" t="s">
        <v>5387</v>
      </c>
      <c r="H494" s="48">
        <v>1</v>
      </c>
      <c r="I494" s="31" t="s">
        <v>25</v>
      </c>
      <c r="J494" s="32"/>
      <c r="K494" s="32" t="str">
        <f t="shared" si="1"/>
        <v>Externo</v>
      </c>
      <c r="L494" s="32" t="e">
        <f ca="1">_xludf.ifna(VLOOKUP(G495,Proyectos!$E$1:$N$4,10,0),"")</f>
        <v>#NAME?</v>
      </c>
      <c r="M494" s="32"/>
      <c r="N494" s="32"/>
      <c r="O494" s="31"/>
      <c r="P494" s="33"/>
      <c r="Q494" s="33"/>
    </row>
    <row r="495" spans="1:17" ht="16.5" customHeight="1" x14ac:dyDescent="0.2">
      <c r="A495" s="26" t="s">
        <v>4411</v>
      </c>
      <c r="B495" s="26" t="s">
        <v>5712</v>
      </c>
      <c r="C495" s="26" t="s">
        <v>37</v>
      </c>
      <c r="D495" s="26" t="s">
        <v>45</v>
      </c>
      <c r="E495" s="26" t="s">
        <v>138</v>
      </c>
      <c r="F495" s="28" t="e">
        <f ca="1">_xludf.ifna(VLOOKUP(G496,Proyectos!$E$1:$H$4,4,0),"")</f>
        <v>#NAME?</v>
      </c>
      <c r="G495" s="26" t="s">
        <v>5151</v>
      </c>
      <c r="H495" s="48">
        <v>1</v>
      </c>
      <c r="I495" s="31" t="s">
        <v>18</v>
      </c>
      <c r="J495" s="32"/>
      <c r="K495" s="32" t="str">
        <f t="shared" si="1"/>
        <v>Externo</v>
      </c>
      <c r="L495" s="32" t="e">
        <f ca="1">_xludf.ifna(VLOOKUP(G496,Proyectos!$E$1:$N$4,10,0),"")</f>
        <v>#NAME?</v>
      </c>
      <c r="M495" s="32"/>
      <c r="N495" s="31"/>
      <c r="O495" s="31"/>
      <c r="P495" s="33"/>
      <c r="Q495" s="33"/>
    </row>
    <row r="496" spans="1:17" ht="16.5" customHeight="1" x14ac:dyDescent="0.25">
      <c r="A496" s="114" t="s">
        <v>4658</v>
      </c>
      <c r="B496" s="4" t="s">
        <v>4659</v>
      </c>
      <c r="C496" s="26" t="s">
        <v>64</v>
      </c>
      <c r="D496" s="26" t="s">
        <v>89</v>
      </c>
      <c r="E496" s="26" t="s">
        <v>39</v>
      </c>
      <c r="F496" s="28" t="e">
        <f ca="1">_xludf.ifna(VLOOKUP(G497,Proyectos!$E$1:$H$4,4,0),"")</f>
        <v>#NAME?</v>
      </c>
      <c r="G496" s="26" t="s">
        <v>5651</v>
      </c>
      <c r="H496" s="48">
        <v>1</v>
      </c>
      <c r="I496" s="31" t="s">
        <v>18</v>
      </c>
      <c r="J496" s="32"/>
      <c r="K496" s="32" t="str">
        <f t="shared" si="1"/>
        <v>Interno</v>
      </c>
      <c r="L496" s="32" t="e">
        <f ca="1">_xludf.ifna(VLOOKUP(G497,Proyectos!$E$1:$N$4,10,0),"")</f>
        <v>#NAME?</v>
      </c>
      <c r="M496" s="32"/>
      <c r="N496" s="32"/>
      <c r="O496" s="31"/>
      <c r="P496" s="33"/>
      <c r="Q496" s="33"/>
    </row>
    <row r="497" spans="1:17" ht="16.5" customHeight="1" x14ac:dyDescent="0.2">
      <c r="A497" s="26" t="s">
        <v>5713</v>
      </c>
      <c r="B497" s="26" t="s">
        <v>5714</v>
      </c>
      <c r="C497" s="26" t="s">
        <v>98</v>
      </c>
      <c r="D497" s="26" t="s">
        <v>105</v>
      </c>
      <c r="E497" s="26" t="s">
        <v>39</v>
      </c>
      <c r="F497" s="28" t="e">
        <f ca="1">_xludf.ifna(VLOOKUP(G498,Proyectos!$E$1:$H$4,4,0),"")</f>
        <v>#NAME?</v>
      </c>
      <c r="G497" s="26" t="s">
        <v>5145</v>
      </c>
      <c r="H497" s="48">
        <v>0.25</v>
      </c>
      <c r="I497" s="31" t="s">
        <v>18</v>
      </c>
      <c r="J497" s="32"/>
      <c r="K497" s="32" t="str">
        <f t="shared" si="1"/>
        <v>Interno</v>
      </c>
      <c r="L497" s="32" t="e">
        <f ca="1">_xludf.ifna(VLOOKUP(G498,Proyectos!$E$1:$N$4,10,0),"")</f>
        <v>#NAME?</v>
      </c>
      <c r="M497" s="32"/>
      <c r="N497" s="32"/>
      <c r="O497" s="31"/>
      <c r="P497" s="33"/>
      <c r="Q497" s="33"/>
    </row>
    <row r="498" spans="1:17" ht="16.5" customHeight="1" x14ac:dyDescent="0.2">
      <c r="A498" s="26" t="s">
        <v>5713</v>
      </c>
      <c r="B498" s="26" t="s">
        <v>5714</v>
      </c>
      <c r="C498" s="26" t="s">
        <v>98</v>
      </c>
      <c r="D498" s="26" t="s">
        <v>105</v>
      </c>
      <c r="E498" s="26" t="s">
        <v>39</v>
      </c>
      <c r="F498" s="28" t="e">
        <f ca="1">_xludf.ifna(VLOOKUP(G499,Proyectos!$E$1:$H$4,4,0),"")</f>
        <v>#NAME?</v>
      </c>
      <c r="G498" s="26" t="s">
        <v>5597</v>
      </c>
      <c r="H498" s="113">
        <v>0.75</v>
      </c>
      <c r="I498" s="31" t="s">
        <v>18</v>
      </c>
      <c r="J498" s="32"/>
      <c r="K498" s="32" t="str">
        <f t="shared" si="1"/>
        <v>Interno</v>
      </c>
      <c r="L498" s="32" t="e">
        <f ca="1">_xludf.ifna(VLOOKUP(G499,Proyectos!$E$1:$N$4,10,0),"")</f>
        <v>#NAME?</v>
      </c>
      <c r="M498" s="32"/>
      <c r="N498" s="32"/>
      <c r="O498" s="31"/>
      <c r="P498" s="33"/>
      <c r="Q498" s="33"/>
    </row>
    <row r="499" spans="1:17" ht="16.5" customHeight="1" x14ac:dyDescent="0.2">
      <c r="A499" s="26" t="s">
        <v>5715</v>
      </c>
      <c r="B499" s="26" t="s">
        <v>5716</v>
      </c>
      <c r="C499" s="26" t="s">
        <v>64</v>
      </c>
      <c r="D499" s="26" t="s">
        <v>86</v>
      </c>
      <c r="E499" s="26" t="s">
        <v>87</v>
      </c>
      <c r="F499" s="28" t="e">
        <f ca="1">_xludf.ifna(VLOOKUP(G500,Proyectos!$E$1:$H$4,4,0),"")</f>
        <v>#NAME?</v>
      </c>
      <c r="G499" s="26" t="s">
        <v>5387</v>
      </c>
      <c r="H499" s="40">
        <v>1</v>
      </c>
      <c r="I499" s="31" t="s">
        <v>18</v>
      </c>
      <c r="J499" s="32"/>
      <c r="K499" s="32" t="str">
        <f t="shared" si="1"/>
        <v>Externo</v>
      </c>
      <c r="L499" s="32" t="e">
        <f ca="1">_xludf.ifna(VLOOKUP(G500,Proyectos!$E$1:$N$4,10,0),"")</f>
        <v>#NAME?</v>
      </c>
      <c r="M499" s="32"/>
      <c r="N499" s="32"/>
      <c r="O499" s="31"/>
      <c r="P499" s="33"/>
      <c r="Q499" s="33"/>
    </row>
    <row r="500" spans="1:17" ht="16.5" customHeight="1" x14ac:dyDescent="0.2">
      <c r="A500" s="26" t="s">
        <v>4380</v>
      </c>
      <c r="B500" s="26" t="s">
        <v>5717</v>
      </c>
      <c r="C500" s="26" t="s">
        <v>115</v>
      </c>
      <c r="D500" s="26" t="s">
        <v>116</v>
      </c>
      <c r="E500" s="26" t="s">
        <v>114</v>
      </c>
      <c r="F500" s="28" t="e">
        <f ca="1">_xludf.ifna(VLOOKUP(G501,Proyectos!$E$1:$H$4,4,0),"")</f>
        <v>#NAME?</v>
      </c>
      <c r="G500" s="26" t="s">
        <v>5470</v>
      </c>
      <c r="H500" s="48">
        <v>0.5</v>
      </c>
      <c r="I500" s="31" t="s">
        <v>25</v>
      </c>
      <c r="J500" s="32"/>
      <c r="K500" s="32" t="str">
        <f t="shared" si="1"/>
        <v>Externo</v>
      </c>
      <c r="L500" s="32" t="e">
        <f ca="1">_xludf.ifna(VLOOKUP(G501,Proyectos!$E$1:$N$4,10,0),"")</f>
        <v>#NAME?</v>
      </c>
      <c r="M500" s="32"/>
      <c r="N500" s="32"/>
      <c r="O500" s="31"/>
      <c r="P500" s="33"/>
      <c r="Q500" s="33"/>
    </row>
    <row r="501" spans="1:17" ht="16.5" customHeight="1" x14ac:dyDescent="0.2">
      <c r="A501" s="26" t="s">
        <v>4380</v>
      </c>
      <c r="B501" s="26" t="s">
        <v>5717</v>
      </c>
      <c r="C501" s="26" t="s">
        <v>115</v>
      </c>
      <c r="D501" s="26" t="s">
        <v>116</v>
      </c>
      <c r="E501" s="26" t="s">
        <v>114</v>
      </c>
      <c r="F501" s="28" t="e">
        <f ca="1">_xludf.ifna(VLOOKUP(G502,Proyectos!$E$1:$H$4,4,0),"")</f>
        <v>#NAME?</v>
      </c>
      <c r="G501" s="26" t="s">
        <v>5235</v>
      </c>
      <c r="H501" s="113">
        <v>0.5</v>
      </c>
      <c r="I501" s="31" t="s">
        <v>25</v>
      </c>
      <c r="J501" s="32"/>
      <c r="K501" s="32" t="str">
        <f t="shared" si="1"/>
        <v>Externo</v>
      </c>
      <c r="L501" s="32" t="e">
        <f ca="1">_xludf.ifna(VLOOKUP(G502,Proyectos!$E$1:$N$4,10,0),"")</f>
        <v>#NAME?</v>
      </c>
      <c r="M501" s="32"/>
      <c r="N501" s="32"/>
      <c r="O501" s="31"/>
      <c r="P501" s="33"/>
      <c r="Q501" s="33"/>
    </row>
    <row r="502" spans="1:17" ht="16.5" customHeight="1" x14ac:dyDescent="0.2">
      <c r="A502" s="26" t="s">
        <v>4675</v>
      </c>
      <c r="B502" s="26" t="s">
        <v>5718</v>
      </c>
      <c r="C502" s="26" t="s">
        <v>64</v>
      </c>
      <c r="D502" s="26" t="s">
        <v>95</v>
      </c>
      <c r="E502" s="26" t="s">
        <v>39</v>
      </c>
      <c r="F502" s="28" t="e">
        <f ca="1">_xludf.ifna(VLOOKUP(G503,Proyectos!$E$1:$H$4,4,0),"")</f>
        <v>#NAME?</v>
      </c>
      <c r="G502" s="26" t="s">
        <v>5366</v>
      </c>
      <c r="H502" s="48">
        <v>1</v>
      </c>
      <c r="I502" s="31" t="s">
        <v>18</v>
      </c>
      <c r="J502" s="32"/>
      <c r="K502" s="32" t="str">
        <f t="shared" si="1"/>
        <v>Interno</v>
      </c>
      <c r="L502" s="32" t="e">
        <f ca="1">_xludf.ifna(VLOOKUP(G503,Proyectos!$E$1:$N$4,10,0),"")</f>
        <v>#NAME?</v>
      </c>
      <c r="M502" s="32"/>
      <c r="N502" s="32"/>
      <c r="O502" s="31"/>
      <c r="P502" s="33"/>
      <c r="Q502" s="33"/>
    </row>
    <row r="503" spans="1:17" ht="16.5" customHeight="1" x14ac:dyDescent="0.2">
      <c r="A503" s="26" t="s">
        <v>3433</v>
      </c>
      <c r="B503" s="26" t="s">
        <v>5270</v>
      </c>
      <c r="C503" s="26" t="s">
        <v>7</v>
      </c>
      <c r="D503" s="26" t="s">
        <v>16</v>
      </c>
      <c r="E503" s="26" t="s">
        <v>39</v>
      </c>
      <c r="F503" s="28" t="e">
        <f ca="1">_xludf.ifna(VLOOKUP(G504,Proyectos!$E$1:$H$4,4,0),"")</f>
        <v>#NAME?</v>
      </c>
      <c r="G503" s="26" t="s">
        <v>5267</v>
      </c>
      <c r="H503" s="48">
        <v>0.15</v>
      </c>
      <c r="I503" s="31" t="s">
        <v>11</v>
      </c>
      <c r="J503" s="32"/>
      <c r="K503" s="32" t="str">
        <f t="shared" si="1"/>
        <v>Interno</v>
      </c>
      <c r="L503" s="32" t="e">
        <f ca="1">_xludf.ifna(VLOOKUP(G504,Proyectos!$E$1:$N$4,10,0),"")</f>
        <v>#NAME?</v>
      </c>
      <c r="M503" s="32"/>
      <c r="N503" s="32"/>
      <c r="O503" s="31"/>
      <c r="P503" s="33"/>
      <c r="Q503" s="33"/>
    </row>
    <row r="504" spans="1:17" ht="16.5" customHeight="1" x14ac:dyDescent="0.2">
      <c r="A504" s="26" t="s">
        <v>3433</v>
      </c>
      <c r="B504" s="26" t="s">
        <v>5270</v>
      </c>
      <c r="C504" s="26" t="s">
        <v>7</v>
      </c>
      <c r="D504" s="26" t="s">
        <v>16</v>
      </c>
      <c r="E504" s="26" t="s">
        <v>39</v>
      </c>
      <c r="F504" s="28" t="e">
        <f ca="1">_xludf.ifna(VLOOKUP(G505,Proyectos!$E$1:$H$4,4,0),"")</f>
        <v>#NAME?</v>
      </c>
      <c r="G504" s="26" t="s">
        <v>5269</v>
      </c>
      <c r="H504" s="48">
        <v>0.15</v>
      </c>
      <c r="I504" s="31" t="s">
        <v>11</v>
      </c>
      <c r="J504" s="32"/>
      <c r="K504" s="32" t="str">
        <f t="shared" si="1"/>
        <v>Interno</v>
      </c>
      <c r="L504" s="32" t="e">
        <f ca="1">_xludf.ifna(VLOOKUP(G505,Proyectos!$E$1:$N$4,10,0),"")</f>
        <v>#NAME?</v>
      </c>
      <c r="M504" s="32"/>
      <c r="N504" s="32"/>
      <c r="O504" s="31"/>
      <c r="P504" s="33"/>
      <c r="Q504" s="33"/>
    </row>
    <row r="505" spans="1:17" ht="16.5" customHeight="1" x14ac:dyDescent="0.2">
      <c r="A505" s="26" t="s">
        <v>3433</v>
      </c>
      <c r="B505" s="26" t="s">
        <v>5270</v>
      </c>
      <c r="C505" s="26" t="s">
        <v>7</v>
      </c>
      <c r="D505" s="26" t="s">
        <v>16</v>
      </c>
      <c r="E505" s="26" t="s">
        <v>39</v>
      </c>
      <c r="F505" s="28" t="e">
        <f ca="1">_xludf.ifna(VLOOKUP(G506,Proyectos!$E$1:$H$4,4,0),"")</f>
        <v>#NAME?</v>
      </c>
      <c r="G505" s="26" t="s">
        <v>5707</v>
      </c>
      <c r="H505" s="48">
        <v>0.15</v>
      </c>
      <c r="I505" s="31" t="s">
        <v>11</v>
      </c>
      <c r="J505" s="32"/>
      <c r="K505" s="32" t="str">
        <f t="shared" si="1"/>
        <v>Interno</v>
      </c>
      <c r="L505" s="32" t="e">
        <f ca="1">_xludf.ifna(VLOOKUP(G506,Proyectos!$E$1:$N$4,10,0),"")</f>
        <v>#NAME?</v>
      </c>
      <c r="M505" s="32"/>
      <c r="N505" s="32"/>
      <c r="O505" s="31"/>
      <c r="P505" s="33"/>
      <c r="Q505" s="33"/>
    </row>
    <row r="506" spans="1:17" ht="16.5" customHeight="1" x14ac:dyDescent="0.2">
      <c r="A506" s="26" t="s">
        <v>3433</v>
      </c>
      <c r="B506" s="26" t="s">
        <v>5270</v>
      </c>
      <c r="C506" s="26" t="s">
        <v>7</v>
      </c>
      <c r="D506" s="26" t="s">
        <v>16</v>
      </c>
      <c r="E506" s="26" t="s">
        <v>39</v>
      </c>
      <c r="F506" s="28" t="e">
        <f ca="1">_xludf.ifna(VLOOKUP(G507,Proyectos!$E$1:$H$4,4,0),"")</f>
        <v>#NAME?</v>
      </c>
      <c r="G506" s="26" t="s">
        <v>5265</v>
      </c>
      <c r="H506" s="48">
        <v>0.15</v>
      </c>
      <c r="I506" s="31" t="s">
        <v>11</v>
      </c>
      <c r="J506" s="32"/>
      <c r="K506" s="32" t="str">
        <f t="shared" si="1"/>
        <v>Interno</v>
      </c>
      <c r="L506" s="32" t="e">
        <f ca="1">_xludf.ifna(VLOOKUP(G507,Proyectos!$E$1:$N$4,10,0),"")</f>
        <v>#NAME?</v>
      </c>
      <c r="M506" s="32"/>
      <c r="N506" s="32"/>
      <c r="O506" s="31"/>
      <c r="P506" s="33"/>
      <c r="Q506" s="33"/>
    </row>
    <row r="507" spans="1:17" ht="16.5" customHeight="1" x14ac:dyDescent="0.2">
      <c r="A507" s="26" t="s">
        <v>3433</v>
      </c>
      <c r="B507" s="26" t="s">
        <v>5270</v>
      </c>
      <c r="C507" s="26" t="s">
        <v>7</v>
      </c>
      <c r="D507" s="26" t="s">
        <v>16</v>
      </c>
      <c r="E507" s="26" t="s">
        <v>39</v>
      </c>
      <c r="F507" s="28" t="e">
        <f ca="1">_xludf.ifna(VLOOKUP(G508,Proyectos!$E$1:$H$4,4,0),"")</f>
        <v>#NAME?</v>
      </c>
      <c r="G507" s="26" t="s">
        <v>5266</v>
      </c>
      <c r="H507" s="48">
        <v>0.15</v>
      </c>
      <c r="I507" s="31" t="s">
        <v>11</v>
      </c>
      <c r="J507" s="32"/>
      <c r="K507" s="32" t="str">
        <f t="shared" si="1"/>
        <v>Interno</v>
      </c>
      <c r="L507" s="32" t="e">
        <f ca="1">_xludf.ifna(VLOOKUP(G508,Proyectos!$E$1:$N$4,10,0),"")</f>
        <v>#NAME?</v>
      </c>
      <c r="M507" s="32"/>
      <c r="N507" s="32"/>
      <c r="O507" s="31"/>
      <c r="P507" s="33"/>
      <c r="Q507" s="33"/>
    </row>
    <row r="508" spans="1:17" ht="16.5" customHeight="1" x14ac:dyDescent="0.2">
      <c r="A508" s="26" t="s">
        <v>3433</v>
      </c>
      <c r="B508" s="26" t="s">
        <v>5270</v>
      </c>
      <c r="C508" s="26" t="s">
        <v>7</v>
      </c>
      <c r="D508" s="26" t="s">
        <v>16</v>
      </c>
      <c r="E508" s="26" t="s">
        <v>39</v>
      </c>
      <c r="F508" s="28" t="e">
        <f ca="1">_xludf.ifna(VLOOKUP(G509,Proyectos!$E$1:$H$4,4,0),"")</f>
        <v>#NAME?</v>
      </c>
      <c r="G508" s="26" t="s">
        <v>5234</v>
      </c>
      <c r="H508" s="48">
        <v>0.15</v>
      </c>
      <c r="I508" s="31" t="s">
        <v>11</v>
      </c>
      <c r="J508" s="31"/>
      <c r="K508" s="32" t="str">
        <f t="shared" si="1"/>
        <v>Interno</v>
      </c>
      <c r="L508" s="32" t="e">
        <f ca="1">_xludf.ifna(VLOOKUP(G509,Proyectos!$E$1:$N$4,10,0),"")</f>
        <v>#NAME?</v>
      </c>
      <c r="M508" s="32"/>
      <c r="N508" s="31"/>
      <c r="O508" s="31"/>
      <c r="P508" s="33"/>
      <c r="Q508" s="33"/>
    </row>
    <row r="509" spans="1:17" ht="16.5" customHeight="1" x14ac:dyDescent="0.2">
      <c r="A509" s="26" t="s">
        <v>3433</v>
      </c>
      <c r="B509" s="26" t="s">
        <v>5270</v>
      </c>
      <c r="C509" s="26" t="s">
        <v>7</v>
      </c>
      <c r="D509" s="26" t="s">
        <v>16</v>
      </c>
      <c r="E509" s="26" t="s">
        <v>39</v>
      </c>
      <c r="F509" s="28" t="e">
        <f ca="1">_xludf.ifna(VLOOKUP(G510,Proyectos!$E$1:$H$4,4,0),"")</f>
        <v>#NAME?</v>
      </c>
      <c r="G509" s="26" t="s">
        <v>5597</v>
      </c>
      <c r="H509" s="48">
        <v>0.1</v>
      </c>
      <c r="I509" s="31" t="s">
        <v>11</v>
      </c>
      <c r="J509" s="32"/>
      <c r="K509" s="32" t="str">
        <f t="shared" si="1"/>
        <v>Interno</v>
      </c>
      <c r="L509" s="32" t="e">
        <f ca="1">_xludf.ifna(VLOOKUP(G510,Proyectos!$E$1:$N$4,10,0),"")</f>
        <v>#NAME?</v>
      </c>
      <c r="M509" s="32"/>
      <c r="N509" s="31"/>
      <c r="O509" s="31"/>
      <c r="P509" s="33"/>
      <c r="Q509" s="33"/>
    </row>
    <row r="510" spans="1:17" ht="16.5" customHeight="1" x14ac:dyDescent="0.2">
      <c r="A510" s="26" t="s">
        <v>4703</v>
      </c>
      <c r="B510" s="26" t="s">
        <v>4704</v>
      </c>
      <c r="C510" s="26" t="s">
        <v>115</v>
      </c>
      <c r="D510" s="26" t="s">
        <v>116</v>
      </c>
      <c r="E510" s="26" t="s">
        <v>39</v>
      </c>
      <c r="F510" s="28" t="e">
        <f ca="1">_xludf.ifna(VLOOKUP(G511,Proyectos!$E$1:$H$4,4,0),"")</f>
        <v>#NAME?</v>
      </c>
      <c r="G510" s="26" t="s">
        <v>5320</v>
      </c>
      <c r="H510" s="48">
        <v>0.25</v>
      </c>
      <c r="I510" s="31" t="s">
        <v>18</v>
      </c>
      <c r="J510" s="32"/>
      <c r="K510" s="32" t="str">
        <f t="shared" si="1"/>
        <v>Interno</v>
      </c>
      <c r="L510" s="32" t="e">
        <f ca="1">_xludf.ifna(VLOOKUP(G511,Proyectos!$E$1:$N$4,10,0),"")</f>
        <v>#NAME?</v>
      </c>
      <c r="M510" s="32"/>
      <c r="N510" s="31"/>
      <c r="O510" s="31"/>
      <c r="P510" s="33"/>
      <c r="Q510" s="33"/>
    </row>
    <row r="511" spans="1:17" ht="16.5" customHeight="1" x14ac:dyDescent="0.2">
      <c r="A511" s="26" t="s">
        <v>4703</v>
      </c>
      <c r="B511" s="26" t="s">
        <v>4704</v>
      </c>
      <c r="C511" s="26" t="s">
        <v>115</v>
      </c>
      <c r="D511" s="26" t="s">
        <v>116</v>
      </c>
      <c r="E511" s="26" t="s">
        <v>39</v>
      </c>
      <c r="F511" s="28" t="e">
        <f ca="1">_xludf.ifna(VLOOKUP(G512,Proyectos!$E$1:$H$4,4,0),"")</f>
        <v>#NAME?</v>
      </c>
      <c r="G511" s="26" t="s">
        <v>5630</v>
      </c>
      <c r="H511" s="48">
        <v>0.75</v>
      </c>
      <c r="I511" s="31" t="s">
        <v>18</v>
      </c>
      <c r="J511" s="32"/>
      <c r="K511" s="32" t="str">
        <f t="shared" si="1"/>
        <v>Interno</v>
      </c>
      <c r="L511" s="32" t="e">
        <f ca="1">_xludf.ifna(VLOOKUP(G512,Proyectos!$E$1:$N$4,10,0),"")</f>
        <v>#NAME?</v>
      </c>
      <c r="M511" s="32"/>
      <c r="N511" s="31"/>
      <c r="O511" s="31"/>
      <c r="P511" s="33"/>
      <c r="Q511" s="33"/>
    </row>
    <row r="512" spans="1:17" ht="16.5" customHeight="1" x14ac:dyDescent="0.2">
      <c r="A512" s="26" t="s">
        <v>4964</v>
      </c>
      <c r="B512" s="26" t="s">
        <v>5202</v>
      </c>
      <c r="C512" s="54" t="s">
        <v>7</v>
      </c>
      <c r="D512" s="35" t="s">
        <v>8</v>
      </c>
      <c r="E512" s="35" t="s">
        <v>87</v>
      </c>
      <c r="F512" s="28" t="e">
        <f ca="1">_xludf.ifna(VLOOKUP(G513,Proyectos!$E$1:$H$4,4,0),"")</f>
        <v>#NAME?</v>
      </c>
      <c r="G512" s="35" t="s">
        <v>5190</v>
      </c>
      <c r="H512" s="40">
        <v>1</v>
      </c>
      <c r="I512" s="31" t="s">
        <v>18</v>
      </c>
      <c r="J512" s="55"/>
      <c r="K512" s="32" t="str">
        <f t="shared" ref="K512:K766" si="2">IF(E512="BBVA","Interno","Externo")</f>
        <v>Externo</v>
      </c>
      <c r="L512" s="32" t="e">
        <f ca="1">_xludf.ifna(VLOOKUP(G513,Proyectos!$E$1:$N$4,10,0),"")</f>
        <v>#NAME?</v>
      </c>
      <c r="M512" s="32"/>
      <c r="N512" s="31"/>
      <c r="O512" s="31"/>
      <c r="P512" s="33"/>
      <c r="Q512" s="33"/>
    </row>
    <row r="513" spans="1:17" ht="16.5" customHeight="1" x14ac:dyDescent="0.2">
      <c r="A513" s="26" t="s">
        <v>3976</v>
      </c>
      <c r="B513" s="26" t="s">
        <v>3977</v>
      </c>
      <c r="C513" s="26" t="s">
        <v>115</v>
      </c>
      <c r="D513" s="26" t="s">
        <v>119</v>
      </c>
      <c r="E513" s="26" t="s">
        <v>129</v>
      </c>
      <c r="F513" s="28" t="e">
        <f ca="1">_xludf.ifna(VLOOKUP(G514,Proyectos!$E$1:$H$4,4,0),"")</f>
        <v>#NAME?</v>
      </c>
      <c r="G513" s="26" t="s">
        <v>5217</v>
      </c>
      <c r="H513" s="48">
        <v>1</v>
      </c>
      <c r="I513" s="31" t="s">
        <v>18</v>
      </c>
      <c r="J513" s="32"/>
      <c r="K513" s="32" t="str">
        <f t="shared" si="2"/>
        <v>Externo</v>
      </c>
      <c r="L513" s="32" t="e">
        <f ca="1">_xludf.ifna(VLOOKUP(G514,Proyectos!$E$1:$N$4,10,0),"")</f>
        <v>#NAME?</v>
      </c>
      <c r="M513" s="32"/>
      <c r="N513" s="32"/>
      <c r="O513" s="31"/>
      <c r="P513" s="33"/>
      <c r="Q513" s="33"/>
    </row>
    <row r="514" spans="1:17" ht="16.5" customHeight="1" x14ac:dyDescent="0.2">
      <c r="A514" s="26" t="s">
        <v>3976</v>
      </c>
      <c r="B514" s="26" t="s">
        <v>5288</v>
      </c>
      <c r="C514" s="53" t="s">
        <v>64</v>
      </c>
      <c r="D514" s="26" t="s">
        <v>92</v>
      </c>
      <c r="E514" s="26" t="s">
        <v>129</v>
      </c>
      <c r="F514" s="28" t="e">
        <f ca="1">_xludf.ifna(VLOOKUP(G515,Proyectos!$E$1:$H$4,4,0),"")</f>
        <v>#NAME?</v>
      </c>
      <c r="G514" s="26" t="s">
        <v>5217</v>
      </c>
      <c r="H514" s="113">
        <v>1</v>
      </c>
      <c r="I514" s="31" t="s">
        <v>18</v>
      </c>
      <c r="J514" s="32"/>
      <c r="K514" s="32" t="str">
        <f t="shared" si="2"/>
        <v>Externo</v>
      </c>
      <c r="L514" s="32" t="e">
        <f ca="1">_xludf.ifna(VLOOKUP(G515,Proyectos!$E$1:$N$4,10,0),"")</f>
        <v>#NAME?</v>
      </c>
      <c r="M514" s="32"/>
      <c r="N514" s="32"/>
      <c r="O514" s="31"/>
      <c r="P514" s="33"/>
      <c r="Q514" s="33"/>
    </row>
    <row r="515" spans="1:17" ht="16.5" customHeight="1" x14ac:dyDescent="0.2">
      <c r="A515" s="26" t="s">
        <v>3339</v>
      </c>
      <c r="B515" s="26" t="s">
        <v>3340</v>
      </c>
      <c r="C515" s="26" t="s">
        <v>64</v>
      </c>
      <c r="D515" s="26" t="s">
        <v>86</v>
      </c>
      <c r="E515" s="26" t="s">
        <v>39</v>
      </c>
      <c r="F515" s="28" t="e">
        <f ca="1">_xludf.ifna(VLOOKUP(G516,Proyectos!$E$1:$H$4,4,0),"")</f>
        <v>#NAME?</v>
      </c>
      <c r="G515" s="26" t="s">
        <v>5463</v>
      </c>
      <c r="H515" s="40">
        <v>1</v>
      </c>
      <c r="I515" s="31" t="s">
        <v>18</v>
      </c>
      <c r="J515" s="32"/>
      <c r="K515" s="32" t="str">
        <f t="shared" si="2"/>
        <v>Interno</v>
      </c>
      <c r="L515" s="32" t="e">
        <f ca="1">_xludf.ifna(VLOOKUP(G516,Proyectos!$E$1:$N$4,10,0),"")</f>
        <v>#NAME?</v>
      </c>
      <c r="M515" s="32"/>
      <c r="N515" s="32"/>
      <c r="O515" s="31"/>
      <c r="P515" s="33"/>
      <c r="Q515" s="33"/>
    </row>
    <row r="516" spans="1:17" ht="16.5" customHeight="1" x14ac:dyDescent="0.2">
      <c r="A516" s="26" t="s">
        <v>3384</v>
      </c>
      <c r="B516" s="26" t="s">
        <v>3385</v>
      </c>
      <c r="C516" s="26" t="s">
        <v>115</v>
      </c>
      <c r="D516" s="26" t="s">
        <v>116</v>
      </c>
      <c r="E516" s="26" t="s">
        <v>39</v>
      </c>
      <c r="F516" s="28" t="e">
        <f ca="1">_xludf.ifna(VLOOKUP(G517,Proyectos!$E$1:$H$4,4,0),"")</f>
        <v>#NAME?</v>
      </c>
      <c r="G516" s="26" t="s">
        <v>5597</v>
      </c>
      <c r="H516" s="48">
        <v>1</v>
      </c>
      <c r="I516" s="31" t="s">
        <v>11</v>
      </c>
      <c r="J516" s="32"/>
      <c r="K516" s="32" t="str">
        <f t="shared" si="2"/>
        <v>Interno</v>
      </c>
      <c r="L516" s="32" t="e">
        <f ca="1">_xludf.ifna(VLOOKUP(G517,Proyectos!$E$1:$N$4,10,0),"")</f>
        <v>#NAME?</v>
      </c>
      <c r="M516" s="32"/>
      <c r="N516" s="31"/>
      <c r="O516" s="31"/>
      <c r="P516" s="33"/>
      <c r="Q516" s="33"/>
    </row>
    <row r="517" spans="1:17" ht="16.5" customHeight="1" x14ac:dyDescent="0.2">
      <c r="A517" s="26" t="s">
        <v>4627</v>
      </c>
      <c r="B517" s="26" t="s">
        <v>4628</v>
      </c>
      <c r="C517" s="26" t="s">
        <v>115</v>
      </c>
      <c r="D517" s="26" t="s">
        <v>116</v>
      </c>
      <c r="E517" s="26" t="s">
        <v>39</v>
      </c>
      <c r="F517" s="28" t="e">
        <f ca="1">_xludf.ifna(VLOOKUP(G518,Proyectos!$E$1:$H$4,4,0),"")</f>
        <v>#NAME?</v>
      </c>
      <c r="G517" s="26" t="s">
        <v>5323</v>
      </c>
      <c r="H517" s="48">
        <v>1</v>
      </c>
      <c r="I517" s="31" t="s">
        <v>18</v>
      </c>
      <c r="J517" s="32"/>
      <c r="K517" s="32" t="str">
        <f t="shared" si="2"/>
        <v>Interno</v>
      </c>
      <c r="L517" s="32" t="e">
        <f ca="1">_xludf.ifna(VLOOKUP(G518,Proyectos!$E$1:$N$4,10,0),"")</f>
        <v>#NAME?</v>
      </c>
      <c r="M517" s="32"/>
      <c r="N517" s="32"/>
      <c r="O517" s="31"/>
      <c r="P517" s="33"/>
      <c r="Q517" s="33"/>
    </row>
    <row r="518" spans="1:17" ht="16.5" customHeight="1" x14ac:dyDescent="0.2">
      <c r="A518" s="26" t="s">
        <v>3351</v>
      </c>
      <c r="B518" s="26" t="s">
        <v>5548</v>
      </c>
      <c r="C518" s="26" t="s">
        <v>115</v>
      </c>
      <c r="D518" s="26" t="s">
        <v>131</v>
      </c>
      <c r="E518" s="26" t="s">
        <v>39</v>
      </c>
      <c r="F518" s="28" t="e">
        <f ca="1">_xludf.ifna(VLOOKUP(G519,Proyectos!$E$1:$H$4,4,0),"")</f>
        <v>#NAME?</v>
      </c>
      <c r="G518" s="26" t="s">
        <v>5597</v>
      </c>
      <c r="H518" s="32">
        <v>0.75</v>
      </c>
      <c r="I518" s="31" t="s">
        <v>18</v>
      </c>
      <c r="J518" s="31" t="s">
        <v>5719</v>
      </c>
      <c r="K518" s="32" t="str">
        <f t="shared" si="2"/>
        <v>Interno</v>
      </c>
      <c r="L518" s="32" t="e">
        <f ca="1">_xludf.ifna(VLOOKUP(G519,Proyectos!$E$1:$N$4,10,0),"")</f>
        <v>#NAME?</v>
      </c>
      <c r="M518" s="32"/>
      <c r="N518" s="31"/>
      <c r="O518" s="31"/>
      <c r="P518" s="33"/>
      <c r="Q518" s="33"/>
    </row>
    <row r="519" spans="1:17" ht="16.5" customHeight="1" x14ac:dyDescent="0.2">
      <c r="A519" s="26" t="s">
        <v>3351</v>
      </c>
      <c r="B519" s="26" t="s">
        <v>5548</v>
      </c>
      <c r="C519" s="26" t="s">
        <v>115</v>
      </c>
      <c r="D519" s="26" t="s">
        <v>131</v>
      </c>
      <c r="E519" s="26" t="s">
        <v>39</v>
      </c>
      <c r="F519" s="28" t="e">
        <f ca="1">_xludf.ifna(VLOOKUP(G520,Proyectos!$E$1:$H$4,4,0),"")</f>
        <v>#NAME?</v>
      </c>
      <c r="G519" s="26" t="s">
        <v>5720</v>
      </c>
      <c r="H519" s="32">
        <v>0.25</v>
      </c>
      <c r="I519" s="31" t="s">
        <v>18</v>
      </c>
      <c r="J519" s="31" t="s">
        <v>5719</v>
      </c>
      <c r="K519" s="32" t="str">
        <f t="shared" si="2"/>
        <v>Interno</v>
      </c>
      <c r="L519" s="32" t="e">
        <f ca="1">_xludf.ifna(VLOOKUP(G520,Proyectos!$E$1:$N$4,10,0),"")</f>
        <v>#NAME?</v>
      </c>
      <c r="M519" s="32"/>
      <c r="N519" s="31"/>
      <c r="O519" s="31"/>
      <c r="P519" s="33"/>
      <c r="Q519" s="33"/>
    </row>
    <row r="520" spans="1:17" ht="16.5" customHeight="1" x14ac:dyDescent="0.2">
      <c r="A520" s="26" t="s">
        <v>4673</v>
      </c>
      <c r="B520" s="26" t="s">
        <v>5721</v>
      </c>
      <c r="C520" s="26" t="s">
        <v>64</v>
      </c>
      <c r="D520" s="26" t="s">
        <v>86</v>
      </c>
      <c r="E520" s="26" t="s">
        <v>39</v>
      </c>
      <c r="F520" s="28" t="e">
        <f ca="1">_xludf.ifna(VLOOKUP(G521,Proyectos!$E$1:$H$4,4,0),"")</f>
        <v>#NAME?</v>
      </c>
      <c r="G520" s="26" t="s">
        <v>5131</v>
      </c>
      <c r="H520" s="40">
        <v>1</v>
      </c>
      <c r="I520" s="31" t="s">
        <v>18</v>
      </c>
      <c r="J520" s="32"/>
      <c r="K520" s="32" t="str">
        <f t="shared" si="2"/>
        <v>Interno</v>
      </c>
      <c r="L520" s="32" t="e">
        <f ca="1">_xludf.ifna(VLOOKUP(G521,Proyectos!$E$1:$N$4,10,0),"")</f>
        <v>#NAME?</v>
      </c>
      <c r="M520" s="32"/>
      <c r="N520" s="32"/>
      <c r="O520" s="31"/>
      <c r="P520" s="33"/>
      <c r="Q520" s="33"/>
    </row>
    <row r="521" spans="1:17" ht="16.5" customHeight="1" x14ac:dyDescent="0.2">
      <c r="A521" s="26" t="s">
        <v>4623</v>
      </c>
      <c r="B521" s="26" t="s">
        <v>4624</v>
      </c>
      <c r="C521" s="26" t="s">
        <v>115</v>
      </c>
      <c r="D521" s="26" t="s">
        <v>134</v>
      </c>
      <c r="E521" s="26" t="s">
        <v>39</v>
      </c>
      <c r="F521" s="28" t="e">
        <f ca="1">_xludf.ifna(VLOOKUP(G522,Proyectos!$E$1:$H$4,4,0),"")</f>
        <v>#NAME?</v>
      </c>
      <c r="G521" s="26" t="s">
        <v>5597</v>
      </c>
      <c r="H521" s="48">
        <v>0.5</v>
      </c>
      <c r="I521" s="31" t="s">
        <v>18</v>
      </c>
      <c r="J521" s="32"/>
      <c r="K521" s="32" t="str">
        <f t="shared" si="2"/>
        <v>Interno</v>
      </c>
      <c r="L521" s="32" t="e">
        <f ca="1">_xludf.ifna(VLOOKUP(G522,Proyectos!$E$1:$N$4,10,0),"")</f>
        <v>#NAME?</v>
      </c>
      <c r="M521" s="32"/>
      <c r="N521" s="31"/>
      <c r="O521" s="31"/>
      <c r="P521" s="33"/>
      <c r="Q521" s="33"/>
    </row>
    <row r="522" spans="1:17" ht="16.5" customHeight="1" x14ac:dyDescent="0.2">
      <c r="A522" s="26" t="s">
        <v>4623</v>
      </c>
      <c r="B522" s="26" t="s">
        <v>4624</v>
      </c>
      <c r="C522" s="26" t="s">
        <v>115</v>
      </c>
      <c r="D522" s="26" t="s">
        <v>134</v>
      </c>
      <c r="E522" s="26" t="s">
        <v>39</v>
      </c>
      <c r="F522" s="28" t="e">
        <f ca="1">_xludf.ifna(VLOOKUP(G523,Proyectos!$E$1:$H$4,4,0),"")</f>
        <v>#NAME?</v>
      </c>
      <c r="G522" s="26" t="s">
        <v>5539</v>
      </c>
      <c r="H522" s="48">
        <v>0.3</v>
      </c>
      <c r="I522" s="31" t="s">
        <v>18</v>
      </c>
      <c r="J522" s="32"/>
      <c r="K522" s="32" t="str">
        <f t="shared" si="2"/>
        <v>Interno</v>
      </c>
      <c r="L522" s="32" t="e">
        <f ca="1">_xludf.ifna(VLOOKUP(G523,Proyectos!$E$1:$N$4,10,0),"")</f>
        <v>#NAME?</v>
      </c>
      <c r="M522" s="32"/>
      <c r="N522" s="32"/>
      <c r="O522" s="31"/>
      <c r="P522" s="33"/>
      <c r="Q522" s="33"/>
    </row>
    <row r="523" spans="1:17" ht="16.5" customHeight="1" x14ac:dyDescent="0.2">
      <c r="A523" s="26" t="s">
        <v>4623</v>
      </c>
      <c r="B523" s="26" t="s">
        <v>4624</v>
      </c>
      <c r="C523" s="26" t="s">
        <v>115</v>
      </c>
      <c r="D523" s="26" t="s">
        <v>134</v>
      </c>
      <c r="E523" s="26" t="s">
        <v>39</v>
      </c>
      <c r="F523" s="28" t="e">
        <f ca="1">_xludf.ifna(VLOOKUP(G524,Proyectos!$E$1:$H$4,4,0),"")</f>
        <v>#NAME?</v>
      </c>
      <c r="G523" s="26" t="s">
        <v>5131</v>
      </c>
      <c r="H523" s="48">
        <v>0.1</v>
      </c>
      <c r="I523" s="31" t="s">
        <v>18</v>
      </c>
      <c r="J523" s="32"/>
      <c r="K523" s="32" t="str">
        <f t="shared" si="2"/>
        <v>Interno</v>
      </c>
      <c r="L523" s="32" t="e">
        <f ca="1">_xludf.ifna(VLOOKUP(G524,Proyectos!$E$1:$N$4,10,0),"")</f>
        <v>#NAME?</v>
      </c>
      <c r="M523" s="32"/>
      <c r="N523" s="32"/>
      <c r="O523" s="31"/>
      <c r="P523" s="33"/>
      <c r="Q523" s="33"/>
    </row>
    <row r="524" spans="1:17" ht="16.5" customHeight="1" x14ac:dyDescent="0.2">
      <c r="A524" s="26" t="s">
        <v>4623</v>
      </c>
      <c r="B524" s="26" t="s">
        <v>4624</v>
      </c>
      <c r="C524" s="26" t="s">
        <v>115</v>
      </c>
      <c r="D524" s="26" t="s">
        <v>134</v>
      </c>
      <c r="E524" s="26" t="s">
        <v>39</v>
      </c>
      <c r="F524" s="28" t="e">
        <f ca="1">_xludf.ifna(VLOOKUP(G525,Proyectos!$E$1:$H$4,4,0),"")</f>
        <v>#NAME?</v>
      </c>
      <c r="G524" s="26" t="s">
        <v>5540</v>
      </c>
      <c r="H524" s="48">
        <v>0.1</v>
      </c>
      <c r="I524" s="31" t="s">
        <v>18</v>
      </c>
      <c r="J524" s="32"/>
      <c r="K524" s="32" t="str">
        <f t="shared" si="2"/>
        <v>Interno</v>
      </c>
      <c r="L524" s="32" t="e">
        <f ca="1">_xludf.ifna(VLOOKUP(G525,Proyectos!$E$1:$N$4,10,0),"")</f>
        <v>#NAME?</v>
      </c>
      <c r="M524" s="32"/>
      <c r="N524" s="31"/>
      <c r="O524" s="31"/>
      <c r="P524" s="33"/>
      <c r="Q524" s="33"/>
    </row>
    <row r="525" spans="1:17" ht="16.5" customHeight="1" x14ac:dyDescent="0.2">
      <c r="A525" s="26" t="s">
        <v>3632</v>
      </c>
      <c r="B525" s="26" t="s">
        <v>3633</v>
      </c>
      <c r="C525" s="26" t="s">
        <v>98</v>
      </c>
      <c r="D525" s="26" t="s">
        <v>102</v>
      </c>
      <c r="E525" s="26" t="s">
        <v>39</v>
      </c>
      <c r="F525" s="28" t="e">
        <f ca="1">_xludf.ifna(VLOOKUP(G526,Proyectos!$E$1:$H$4,4,0),"")</f>
        <v>#NAME?</v>
      </c>
      <c r="G525" s="26" t="s">
        <v>5111</v>
      </c>
      <c r="H525" s="48">
        <v>0.1</v>
      </c>
      <c r="I525" s="31" t="s">
        <v>18</v>
      </c>
      <c r="J525" s="32"/>
      <c r="K525" s="32" t="str">
        <f t="shared" si="2"/>
        <v>Interno</v>
      </c>
      <c r="L525" s="32" t="e">
        <f ca="1">_xludf.ifna(VLOOKUP(G526,Proyectos!$E$1:$N$4,10,0),"")</f>
        <v>#NAME?</v>
      </c>
      <c r="M525" s="32"/>
      <c r="N525" s="32"/>
      <c r="O525" s="31"/>
      <c r="P525" s="33"/>
      <c r="Q525" s="33"/>
    </row>
    <row r="526" spans="1:17" ht="16.5" customHeight="1" x14ac:dyDescent="0.2">
      <c r="A526" s="26" t="s">
        <v>3632</v>
      </c>
      <c r="B526" s="26" t="s">
        <v>3633</v>
      </c>
      <c r="C526" s="26" t="s">
        <v>98</v>
      </c>
      <c r="D526" s="26" t="s">
        <v>102</v>
      </c>
      <c r="E526" s="26" t="s">
        <v>39</v>
      </c>
      <c r="F526" s="28" t="e">
        <f ca="1">_xludf.ifna(VLOOKUP(G527,Proyectos!$E$1:$H$4,4,0),"")</f>
        <v>#NAME?</v>
      </c>
      <c r="G526" s="27" t="s">
        <v>5112</v>
      </c>
      <c r="H526" s="48">
        <v>0.85</v>
      </c>
      <c r="I526" s="31" t="s">
        <v>18</v>
      </c>
      <c r="J526" s="32"/>
      <c r="K526" s="32" t="str">
        <f t="shared" si="2"/>
        <v>Interno</v>
      </c>
      <c r="L526" s="32" t="e">
        <f ca="1">_xludf.ifna(VLOOKUP(G527,Proyectos!$E$1:$N$4,10,0),"")</f>
        <v>#NAME?</v>
      </c>
      <c r="M526" s="32"/>
      <c r="N526" s="32"/>
      <c r="O526" s="31"/>
      <c r="P526" s="33"/>
      <c r="Q526" s="33"/>
    </row>
    <row r="527" spans="1:17" ht="16.5" customHeight="1" x14ac:dyDescent="0.2">
      <c r="A527" s="26" t="s">
        <v>3632</v>
      </c>
      <c r="B527" s="26" t="s">
        <v>3633</v>
      </c>
      <c r="C527" s="26" t="s">
        <v>98</v>
      </c>
      <c r="D527" s="26" t="s">
        <v>102</v>
      </c>
      <c r="E527" s="26" t="s">
        <v>39</v>
      </c>
      <c r="F527" s="28" t="e">
        <f ca="1">_xludf.ifna(VLOOKUP(G528,Proyectos!$E$1:$H$4,4,0),"")</f>
        <v>#NAME?</v>
      </c>
      <c r="G527" s="26" t="s">
        <v>5475</v>
      </c>
      <c r="H527" s="48">
        <v>0.05</v>
      </c>
      <c r="I527" s="31" t="s">
        <v>18</v>
      </c>
      <c r="J527" s="32"/>
      <c r="K527" s="32" t="str">
        <f t="shared" si="2"/>
        <v>Interno</v>
      </c>
      <c r="L527" s="32" t="e">
        <f ca="1">_xludf.ifna(VLOOKUP(G528,Proyectos!$E$1:$N$4,10,0),"")</f>
        <v>#NAME?</v>
      </c>
      <c r="M527" s="32"/>
      <c r="N527" s="32"/>
      <c r="O527" s="31"/>
      <c r="P527" s="33"/>
      <c r="Q527" s="33"/>
    </row>
    <row r="528" spans="1:17" ht="16.5" customHeight="1" x14ac:dyDescent="0.2">
      <c r="A528" s="26" t="s">
        <v>3884</v>
      </c>
      <c r="B528" s="26" t="s">
        <v>3885</v>
      </c>
      <c r="C528" s="26" t="s">
        <v>98</v>
      </c>
      <c r="D528" s="26" t="s">
        <v>110</v>
      </c>
      <c r="E528" s="26" t="s">
        <v>39</v>
      </c>
      <c r="F528" s="28" t="e">
        <f ca="1">_xludf.ifna(VLOOKUP(G529,Proyectos!$E$1:$H$4,4,0),"")</f>
        <v>#NAME?</v>
      </c>
      <c r="G528" s="26" t="s">
        <v>5240</v>
      </c>
      <c r="H528" s="48">
        <v>1</v>
      </c>
      <c r="I528" s="31" t="s">
        <v>18</v>
      </c>
      <c r="J528" s="32"/>
      <c r="K528" s="32" t="str">
        <f t="shared" si="2"/>
        <v>Interno</v>
      </c>
      <c r="L528" s="32" t="e">
        <f ca="1">_xludf.ifna(VLOOKUP(G529,Proyectos!$E$1:$N$4,10,0),"")</f>
        <v>#NAME?</v>
      </c>
      <c r="M528" s="32"/>
      <c r="N528" s="32"/>
      <c r="O528" s="31"/>
      <c r="P528" s="33"/>
      <c r="Q528" s="33"/>
    </row>
    <row r="529" spans="1:17" ht="16.5" customHeight="1" x14ac:dyDescent="0.2">
      <c r="A529" s="35" t="s">
        <v>4761</v>
      </c>
      <c r="B529" s="26" t="s">
        <v>5722</v>
      </c>
      <c r="C529" s="26" t="s">
        <v>64</v>
      </c>
      <c r="D529" s="26" t="s">
        <v>82</v>
      </c>
      <c r="E529" s="35" t="s">
        <v>39</v>
      </c>
      <c r="F529" s="28" t="e">
        <f ca="1">_xludf.ifna(VLOOKUP(G530,Proyectos!$E$1:$H$4,4,0),"")</f>
        <v>#NAME?</v>
      </c>
      <c r="G529" s="26" t="s">
        <v>5434</v>
      </c>
      <c r="H529" s="48">
        <v>1</v>
      </c>
      <c r="I529" s="31" t="s">
        <v>18</v>
      </c>
      <c r="J529" s="32"/>
      <c r="K529" s="32" t="str">
        <f t="shared" si="2"/>
        <v>Interno</v>
      </c>
      <c r="L529" s="32" t="e">
        <f ca="1">_xludf.ifna(VLOOKUP(G530,Proyectos!$E$1:$N$4,10,0),"")</f>
        <v>#NAME?</v>
      </c>
      <c r="M529" s="32"/>
      <c r="N529" s="31"/>
      <c r="O529" s="31"/>
      <c r="P529" s="33"/>
      <c r="Q529" s="33"/>
    </row>
    <row r="530" spans="1:17" ht="16.5" customHeight="1" x14ac:dyDescent="0.2">
      <c r="A530" s="26" t="s">
        <v>4010</v>
      </c>
      <c r="B530" s="26" t="s">
        <v>4011</v>
      </c>
      <c r="C530" s="26" t="s">
        <v>98</v>
      </c>
      <c r="D530" s="26" t="s">
        <v>86</v>
      </c>
      <c r="E530" s="26" t="s">
        <v>114</v>
      </c>
      <c r="F530" s="28" t="e">
        <f ca="1">_xludf.ifna(VLOOKUP(G531,Proyectos!$E$1:$H$4,4,0),"")</f>
        <v>#NAME?</v>
      </c>
      <c r="G530" s="26" t="s">
        <v>5243</v>
      </c>
      <c r="H530" s="40">
        <v>0.5</v>
      </c>
      <c r="I530" s="31" t="s">
        <v>25</v>
      </c>
      <c r="J530" s="32"/>
      <c r="K530" s="32" t="str">
        <f t="shared" si="2"/>
        <v>Externo</v>
      </c>
      <c r="L530" s="32" t="e">
        <f ca="1">_xludf.ifna(VLOOKUP(G531,Proyectos!$E$1:$N$4,10,0),"")</f>
        <v>#NAME?</v>
      </c>
      <c r="M530" s="32"/>
      <c r="N530" s="32"/>
      <c r="O530" s="31"/>
      <c r="P530" s="33"/>
      <c r="Q530" s="33"/>
    </row>
    <row r="531" spans="1:17" ht="16.5" customHeight="1" x14ac:dyDescent="0.2">
      <c r="A531" s="26" t="s">
        <v>4384</v>
      </c>
      <c r="B531" s="26" t="s">
        <v>4385</v>
      </c>
      <c r="C531" s="26" t="s">
        <v>115</v>
      </c>
      <c r="D531" s="26" t="s">
        <v>128</v>
      </c>
      <c r="E531" s="26" t="s">
        <v>83</v>
      </c>
      <c r="F531" s="28" t="e">
        <f ca="1">_xludf.ifna(VLOOKUP(G532,Proyectos!$E$1:$H$4,4,0),"")</f>
        <v>#NAME?</v>
      </c>
      <c r="G531" s="26" t="s">
        <v>5578</v>
      </c>
      <c r="H531" s="48">
        <v>1</v>
      </c>
      <c r="I531" s="31" t="s">
        <v>25</v>
      </c>
      <c r="J531" s="32"/>
      <c r="K531" s="32" t="str">
        <f t="shared" si="2"/>
        <v>Externo</v>
      </c>
      <c r="L531" s="32" t="e">
        <f ca="1">_xludf.ifna(VLOOKUP(G532,Proyectos!$E$1:$N$4,10,0),"")</f>
        <v>#NAME?</v>
      </c>
      <c r="M531" s="32"/>
      <c r="N531" s="31"/>
      <c r="O531" s="31"/>
      <c r="P531" s="33"/>
      <c r="Q531" s="33"/>
    </row>
    <row r="532" spans="1:17" ht="16.5" customHeight="1" x14ac:dyDescent="0.2">
      <c r="A532" s="35" t="s">
        <v>4316</v>
      </c>
      <c r="B532" s="26" t="s">
        <v>5493</v>
      </c>
      <c r="C532" s="26" t="s">
        <v>64</v>
      </c>
      <c r="D532" s="26" t="s">
        <v>82</v>
      </c>
      <c r="E532" s="35" t="s">
        <v>9</v>
      </c>
      <c r="F532" s="28" t="e">
        <f ca="1">_xludf.ifna(VLOOKUP(G533,Proyectos!$E$1:$H$4,4,0),"")</f>
        <v>#NAME?</v>
      </c>
      <c r="G532" s="26" t="s">
        <v>5387</v>
      </c>
      <c r="H532" s="48">
        <v>1</v>
      </c>
      <c r="I532" s="31" t="s">
        <v>25</v>
      </c>
      <c r="J532" s="32"/>
      <c r="K532" s="32" t="str">
        <f t="shared" si="2"/>
        <v>Externo</v>
      </c>
      <c r="L532" s="32" t="e">
        <f ca="1">_xludf.ifna(VLOOKUP(G533,Proyectos!$E$1:$N$4,10,0),"")</f>
        <v>#NAME?</v>
      </c>
      <c r="M532" s="32"/>
      <c r="N532" s="32"/>
      <c r="O532" s="31"/>
      <c r="P532" s="33"/>
      <c r="Q532" s="33"/>
    </row>
    <row r="533" spans="1:17" ht="16.5" customHeight="1" x14ac:dyDescent="0.2">
      <c r="A533" s="26" t="s">
        <v>4631</v>
      </c>
      <c r="B533" s="26" t="s">
        <v>4632</v>
      </c>
      <c r="C533" s="26" t="s">
        <v>115</v>
      </c>
      <c r="D533" s="26" t="s">
        <v>116</v>
      </c>
      <c r="E533" s="26" t="s">
        <v>39</v>
      </c>
      <c r="F533" s="28" t="e">
        <f ca="1">_xludf.ifna(VLOOKUP(G534,Proyectos!$E$1:$H$4,4,0),"")</f>
        <v>#NAME?</v>
      </c>
      <c r="G533" s="26" t="s">
        <v>5235</v>
      </c>
      <c r="H533" s="48">
        <v>0.5</v>
      </c>
      <c r="I533" s="31" t="s">
        <v>18</v>
      </c>
      <c r="J533" s="32"/>
      <c r="K533" s="32" t="str">
        <f t="shared" si="2"/>
        <v>Interno</v>
      </c>
      <c r="L533" s="32" t="e">
        <f ca="1">_xludf.ifna(VLOOKUP(G534,Proyectos!$E$1:$N$4,10,0),"")</f>
        <v>#NAME?</v>
      </c>
      <c r="M533" s="32"/>
      <c r="N533" s="32"/>
      <c r="O533" s="31"/>
      <c r="P533" s="33"/>
      <c r="Q533" s="33"/>
    </row>
    <row r="534" spans="1:17" ht="16.5" customHeight="1" x14ac:dyDescent="0.2">
      <c r="A534" s="26" t="s">
        <v>4631</v>
      </c>
      <c r="B534" s="26" t="s">
        <v>4632</v>
      </c>
      <c r="C534" s="26" t="s">
        <v>115</v>
      </c>
      <c r="D534" s="26" t="s">
        <v>116</v>
      </c>
      <c r="E534" s="26" t="s">
        <v>39</v>
      </c>
      <c r="F534" s="28" t="e">
        <f ca="1">_xludf.ifna(VLOOKUP(G535,Proyectos!$E$1:$H$4,4,0),"")</f>
        <v>#NAME?</v>
      </c>
      <c r="G534" s="26" t="s">
        <v>5470</v>
      </c>
      <c r="H534" s="48">
        <v>0.2</v>
      </c>
      <c r="I534" s="31" t="s">
        <v>18</v>
      </c>
      <c r="J534" s="32"/>
      <c r="K534" s="32" t="str">
        <f t="shared" si="2"/>
        <v>Interno</v>
      </c>
      <c r="L534" s="32" t="e">
        <f ca="1">_xludf.ifna(VLOOKUP(G535,Proyectos!$E$1:$N$4,10,0),"")</f>
        <v>#NAME?</v>
      </c>
      <c r="M534" s="32"/>
      <c r="N534" s="32"/>
      <c r="O534" s="31"/>
      <c r="P534" s="33"/>
      <c r="Q534" s="33"/>
    </row>
    <row r="535" spans="1:17" ht="16.5" customHeight="1" x14ac:dyDescent="0.2">
      <c r="A535" s="26" t="s">
        <v>4631</v>
      </c>
      <c r="B535" s="26" t="s">
        <v>4632</v>
      </c>
      <c r="C535" s="26" t="s">
        <v>115</v>
      </c>
      <c r="D535" s="26" t="s">
        <v>116</v>
      </c>
      <c r="E535" s="26" t="s">
        <v>39</v>
      </c>
      <c r="F535" s="28" t="e">
        <f ca="1">_xludf.ifna(VLOOKUP(G536,Proyectos!$E$1:$H$4,4,0),"")</f>
        <v>#NAME?</v>
      </c>
      <c r="G535" s="26" t="s">
        <v>5237</v>
      </c>
      <c r="H535" s="48">
        <v>0.3</v>
      </c>
      <c r="I535" s="31" t="s">
        <v>18</v>
      </c>
      <c r="J535" s="32"/>
      <c r="K535" s="32" t="str">
        <f t="shared" si="2"/>
        <v>Interno</v>
      </c>
      <c r="L535" s="32" t="e">
        <f ca="1">_xludf.ifna(VLOOKUP(G536,Proyectos!$E$1:$N$4,10,0),"")</f>
        <v>#NAME?</v>
      </c>
      <c r="M535" s="32"/>
      <c r="N535" s="32"/>
      <c r="O535" s="31"/>
      <c r="P535" s="33"/>
      <c r="Q535" s="33"/>
    </row>
    <row r="536" spans="1:17" ht="16.5" customHeight="1" x14ac:dyDescent="0.2">
      <c r="A536" s="26" t="s">
        <v>3487</v>
      </c>
      <c r="B536" s="26" t="s">
        <v>3488</v>
      </c>
      <c r="C536" s="26" t="s">
        <v>37</v>
      </c>
      <c r="D536" s="26" t="s">
        <v>38</v>
      </c>
      <c r="E536" s="26" t="s">
        <v>39</v>
      </c>
      <c r="F536" s="28" t="e">
        <f ca="1">_xludf.ifna(VLOOKUP(G537,Proyectos!$E$1:$H$4,4,0),"")</f>
        <v>#NAME?</v>
      </c>
      <c r="G536" s="26" t="s">
        <v>5723</v>
      </c>
      <c r="H536" s="48">
        <v>0.5</v>
      </c>
      <c r="I536" s="31" t="s">
        <v>18</v>
      </c>
      <c r="J536" s="32"/>
      <c r="K536" s="32" t="str">
        <f t="shared" si="2"/>
        <v>Interno</v>
      </c>
      <c r="L536" s="32" t="e">
        <f ca="1">_xludf.ifna(VLOOKUP(G537,Proyectos!$E$1:$N$4,10,0),"")</f>
        <v>#NAME?</v>
      </c>
      <c r="M536" s="32"/>
      <c r="N536" s="31"/>
      <c r="O536" s="31"/>
      <c r="P536" s="33"/>
      <c r="Q536" s="33"/>
    </row>
    <row r="537" spans="1:17" ht="16.5" customHeight="1" x14ac:dyDescent="0.2">
      <c r="A537" s="26" t="s">
        <v>3487</v>
      </c>
      <c r="B537" s="26" t="s">
        <v>3488</v>
      </c>
      <c r="C537" s="26" t="s">
        <v>37</v>
      </c>
      <c r="D537" s="26" t="s">
        <v>38</v>
      </c>
      <c r="E537" s="26" t="s">
        <v>39</v>
      </c>
      <c r="F537" s="28" t="e">
        <f ca="1">_xludf.ifna(VLOOKUP(G538,Proyectos!$E$1:$H$4,4,0),"")</f>
        <v>#NAME?</v>
      </c>
      <c r="G537" s="26" t="s">
        <v>5346</v>
      </c>
      <c r="H537" s="48">
        <v>0.25</v>
      </c>
      <c r="I537" s="31" t="s">
        <v>18</v>
      </c>
      <c r="J537" s="32"/>
      <c r="K537" s="32" t="str">
        <f t="shared" si="2"/>
        <v>Interno</v>
      </c>
      <c r="L537" s="32" t="e">
        <f ca="1">_xludf.ifna(VLOOKUP(G538,Proyectos!$E$1:$N$4,10,0),"")</f>
        <v>#NAME?</v>
      </c>
      <c r="M537" s="32"/>
      <c r="N537" s="31"/>
      <c r="O537" s="31"/>
      <c r="P537" s="33"/>
      <c r="Q537" s="33"/>
    </row>
    <row r="538" spans="1:17" ht="16.5" customHeight="1" x14ac:dyDescent="0.2">
      <c r="A538" s="26" t="s">
        <v>3487</v>
      </c>
      <c r="B538" s="26" t="s">
        <v>3488</v>
      </c>
      <c r="C538" s="26" t="s">
        <v>37</v>
      </c>
      <c r="D538" s="26" t="s">
        <v>38</v>
      </c>
      <c r="E538" s="26" t="s">
        <v>39</v>
      </c>
      <c r="F538" s="28" t="e">
        <f ca="1">_xludf.ifna(VLOOKUP(G539,Proyectos!$E$1:$H$4,4,0),"")</f>
        <v>#NAME?</v>
      </c>
      <c r="G538" s="26" t="s">
        <v>5597</v>
      </c>
      <c r="H538" s="48">
        <v>0.25</v>
      </c>
      <c r="I538" s="31" t="s">
        <v>18</v>
      </c>
      <c r="J538" s="32"/>
      <c r="K538" s="32" t="str">
        <f t="shared" si="2"/>
        <v>Interno</v>
      </c>
      <c r="L538" s="32" t="e">
        <f ca="1">_xludf.ifna(VLOOKUP(G539,Proyectos!$E$1:$N$4,10,0),"")</f>
        <v>#NAME?</v>
      </c>
      <c r="M538" s="32"/>
      <c r="N538" s="31"/>
      <c r="O538" s="31"/>
      <c r="P538" s="33"/>
      <c r="Q538" s="33"/>
    </row>
    <row r="539" spans="1:17" ht="16.5" customHeight="1" x14ac:dyDescent="0.2">
      <c r="A539" s="26" t="s">
        <v>4681</v>
      </c>
      <c r="B539" s="26" t="s">
        <v>4682</v>
      </c>
      <c r="C539" s="26" t="s">
        <v>115</v>
      </c>
      <c r="D539" s="26" t="s">
        <v>122</v>
      </c>
      <c r="E539" s="26" t="s">
        <v>39</v>
      </c>
      <c r="F539" s="28" t="e">
        <f ca="1">_xludf.ifna(VLOOKUP(G540,Proyectos!$E$1:$H$4,4,0),"")</f>
        <v>#NAME?</v>
      </c>
      <c r="G539" s="26" t="s">
        <v>5597</v>
      </c>
      <c r="H539" s="48">
        <v>1</v>
      </c>
      <c r="I539" s="31" t="s">
        <v>18</v>
      </c>
      <c r="J539" s="32"/>
      <c r="K539" s="32" t="str">
        <f t="shared" si="2"/>
        <v>Interno</v>
      </c>
      <c r="L539" s="32" t="e">
        <f ca="1">_xludf.ifna(VLOOKUP(G540,Proyectos!$E$1:$N$4,10,0),"")</f>
        <v>#NAME?</v>
      </c>
      <c r="M539" s="32"/>
      <c r="N539" s="31"/>
      <c r="O539" s="31"/>
      <c r="P539" s="33"/>
      <c r="Q539" s="33"/>
    </row>
    <row r="540" spans="1:17" ht="16.5" customHeight="1" x14ac:dyDescent="0.2">
      <c r="A540" s="35" t="s">
        <v>3548</v>
      </c>
      <c r="B540" s="54" t="s">
        <v>5544</v>
      </c>
      <c r="C540" s="35" t="s">
        <v>115</v>
      </c>
      <c r="D540" s="35" t="s">
        <v>131</v>
      </c>
      <c r="E540" s="35" t="s">
        <v>39</v>
      </c>
      <c r="F540" s="28" t="e">
        <f ca="1">_xludf.ifna(VLOOKUP(G541,Proyectos!$E$1:$H$4,4,0),"")</f>
        <v>#NAME?</v>
      </c>
      <c r="G540" s="38" t="s">
        <v>5323</v>
      </c>
      <c r="H540" s="48">
        <v>0.5</v>
      </c>
      <c r="I540" s="30" t="s">
        <v>18</v>
      </c>
      <c r="J540" s="30" t="s">
        <v>5724</v>
      </c>
      <c r="K540" s="30" t="str">
        <f t="shared" si="2"/>
        <v>Interno</v>
      </c>
      <c r="L540" s="32" t="e">
        <f ca="1">_xludf.ifna(VLOOKUP(G541,Proyectos!$E$1:$N$4,10,0),"")</f>
        <v>#NAME?</v>
      </c>
      <c r="M540" s="30"/>
      <c r="N540" s="31"/>
      <c r="O540" s="31"/>
      <c r="P540" s="33"/>
      <c r="Q540" s="33"/>
    </row>
    <row r="541" spans="1:17" ht="16.5" customHeight="1" x14ac:dyDescent="0.2">
      <c r="A541" s="35" t="s">
        <v>3548</v>
      </c>
      <c r="B541" s="54" t="s">
        <v>5544</v>
      </c>
      <c r="C541" s="35" t="s">
        <v>115</v>
      </c>
      <c r="D541" s="35" t="s">
        <v>131</v>
      </c>
      <c r="E541" s="35" t="s">
        <v>39</v>
      </c>
      <c r="F541" s="28" t="e">
        <f ca="1">_xludf.ifna(VLOOKUP(G542,Proyectos!$E$1:$H$4,4,0),"")</f>
        <v>#NAME?</v>
      </c>
      <c r="G541" s="38" t="s">
        <v>5597</v>
      </c>
      <c r="H541" s="48">
        <v>0.5</v>
      </c>
      <c r="I541" s="30" t="s">
        <v>18</v>
      </c>
      <c r="J541" s="55" t="s">
        <v>3353</v>
      </c>
      <c r="K541" s="30" t="str">
        <f t="shared" si="2"/>
        <v>Interno</v>
      </c>
      <c r="L541" s="32" t="e">
        <f ca="1">_xludf.ifna(VLOOKUP(G542,Proyectos!$E$1:$N$4,10,0),"")</f>
        <v>#NAME?</v>
      </c>
      <c r="M541" s="30"/>
      <c r="N541" s="31"/>
      <c r="O541" s="31"/>
      <c r="P541" s="33"/>
      <c r="Q541" s="33"/>
    </row>
    <row r="542" spans="1:17" ht="16.5" customHeight="1" x14ac:dyDescent="0.2">
      <c r="A542" s="26" t="s">
        <v>3894</v>
      </c>
      <c r="B542" s="26" t="s">
        <v>5725</v>
      </c>
      <c r="C542" s="26" t="s">
        <v>64</v>
      </c>
      <c r="D542" s="26" t="s">
        <v>86</v>
      </c>
      <c r="E542" s="26" t="s">
        <v>39</v>
      </c>
      <c r="F542" s="28" t="e">
        <f ca="1">_xludf.ifna(VLOOKUP(G543,Proyectos!$E$1:$H$4,4,0),"")</f>
        <v>#NAME?</v>
      </c>
      <c r="G542" s="26" t="s">
        <v>5131</v>
      </c>
      <c r="H542" s="40">
        <v>1</v>
      </c>
      <c r="I542" s="31" t="s">
        <v>18</v>
      </c>
      <c r="J542" s="32"/>
      <c r="K542" s="32" t="str">
        <f t="shared" si="2"/>
        <v>Interno</v>
      </c>
      <c r="L542" s="32" t="e">
        <f ca="1">_xludf.ifna(VLOOKUP(G543,Proyectos!$E$1:$N$4,10,0),"")</f>
        <v>#NAME?</v>
      </c>
      <c r="M542" s="32"/>
      <c r="N542" s="32"/>
      <c r="O542" s="31"/>
      <c r="P542" s="33"/>
      <c r="Q542" s="33"/>
    </row>
    <row r="543" spans="1:17" ht="16.5" customHeight="1" x14ac:dyDescent="0.2">
      <c r="A543" s="26" t="s">
        <v>4372</v>
      </c>
      <c r="B543" s="26" t="s">
        <v>4373</v>
      </c>
      <c r="C543" s="54" t="s">
        <v>7</v>
      </c>
      <c r="D543" s="35" t="s">
        <v>8</v>
      </c>
      <c r="E543" s="35" t="s">
        <v>66</v>
      </c>
      <c r="F543" s="28" t="e">
        <f ca="1">_xludf.ifna(VLOOKUP(G544,Proyectos!$E$1:$H$4,4,0),"")</f>
        <v>#NAME?</v>
      </c>
      <c r="G543" s="35" t="s">
        <v>5196</v>
      </c>
      <c r="H543" s="40">
        <v>0.4</v>
      </c>
      <c r="I543" s="31" t="s">
        <v>18</v>
      </c>
      <c r="J543" s="55"/>
      <c r="K543" s="32" t="str">
        <f t="shared" si="2"/>
        <v>Externo</v>
      </c>
      <c r="L543" s="32" t="e">
        <f ca="1">_xludf.ifna(VLOOKUP(G544,Proyectos!$E$1:$N$4,10,0),"")</f>
        <v>#NAME?</v>
      </c>
      <c r="M543" s="32"/>
      <c r="N543" s="31"/>
      <c r="O543" s="31"/>
      <c r="P543" s="33"/>
      <c r="Q543" s="33"/>
    </row>
    <row r="544" spans="1:17" ht="16.5" customHeight="1" x14ac:dyDescent="0.2">
      <c r="A544" s="26" t="s">
        <v>4372</v>
      </c>
      <c r="B544" s="26" t="s">
        <v>5726</v>
      </c>
      <c r="C544" s="26" t="s">
        <v>7</v>
      </c>
      <c r="D544" s="26" t="s">
        <v>16</v>
      </c>
      <c r="E544" s="26" t="s">
        <v>66</v>
      </c>
      <c r="F544" s="28" t="e">
        <f ca="1">_xludf.ifna(VLOOKUP(G545,Proyectos!$E$1:$H$4,4,0),"")</f>
        <v>#NAME?</v>
      </c>
      <c r="G544" s="26" t="s">
        <v>5233</v>
      </c>
      <c r="H544" s="111">
        <v>0.6</v>
      </c>
      <c r="I544" s="31" t="s">
        <v>18</v>
      </c>
      <c r="J544" s="32"/>
      <c r="K544" s="32" t="str">
        <f t="shared" si="2"/>
        <v>Externo</v>
      </c>
      <c r="L544" s="32" t="e">
        <f ca="1">_xludf.ifna(VLOOKUP(G545,Proyectos!$E$1:$N$4,10,0),"")</f>
        <v>#NAME?</v>
      </c>
      <c r="M544" s="32"/>
      <c r="N544" s="32"/>
      <c r="O544" s="31"/>
      <c r="P544" s="33"/>
      <c r="Q544" s="33"/>
    </row>
    <row r="545" spans="1:17" ht="16.5" customHeight="1" x14ac:dyDescent="0.2">
      <c r="A545" s="26" t="s">
        <v>3706</v>
      </c>
      <c r="B545" s="26" t="s">
        <v>3707</v>
      </c>
      <c r="C545" s="26" t="s">
        <v>64</v>
      </c>
      <c r="D545" s="26" t="s">
        <v>78</v>
      </c>
      <c r="E545" s="26" t="s">
        <v>39</v>
      </c>
      <c r="F545" s="28" t="e">
        <f ca="1">_xludf.ifna(VLOOKUP(G546,Proyectos!$E$1:$H$4,4,0),"")</f>
        <v>#NAME?</v>
      </c>
      <c r="G545" s="26" t="s">
        <v>5406</v>
      </c>
      <c r="H545" s="40">
        <v>1</v>
      </c>
      <c r="I545" s="31" t="s">
        <v>18</v>
      </c>
      <c r="J545" s="32"/>
      <c r="K545" s="32" t="str">
        <f t="shared" si="2"/>
        <v>Interno</v>
      </c>
      <c r="L545" s="32" t="e">
        <f ca="1">_xludf.ifna(VLOOKUP(G546,Proyectos!$E$1:$N$4,10,0),"")</f>
        <v>#NAME?</v>
      </c>
      <c r="M545" s="32"/>
      <c r="N545" s="32"/>
      <c r="O545" s="31"/>
      <c r="P545" s="33"/>
      <c r="Q545" s="33"/>
    </row>
    <row r="546" spans="1:17" ht="16.5" customHeight="1" x14ac:dyDescent="0.2">
      <c r="A546" s="35" t="s">
        <v>3793</v>
      </c>
      <c r="B546" s="26" t="s">
        <v>3794</v>
      </c>
      <c r="C546" s="26" t="s">
        <v>64</v>
      </c>
      <c r="D546" s="26" t="s">
        <v>82</v>
      </c>
      <c r="E546" s="35" t="s">
        <v>39</v>
      </c>
      <c r="F546" s="28" t="e">
        <f ca="1">_xludf.ifna(VLOOKUP(G547,Proyectos!$E$1:$H$4,4,0),"")</f>
        <v>#NAME?</v>
      </c>
      <c r="G546" s="26" t="s">
        <v>5434</v>
      </c>
      <c r="H546" s="48">
        <v>1</v>
      </c>
      <c r="I546" s="31" t="s">
        <v>18</v>
      </c>
      <c r="J546" s="32"/>
      <c r="K546" s="32" t="str">
        <f t="shared" si="2"/>
        <v>Interno</v>
      </c>
      <c r="L546" s="32" t="e">
        <f ca="1">_xludf.ifna(VLOOKUP(G547,Proyectos!$E$1:$N$4,10,0),"")</f>
        <v>#NAME?</v>
      </c>
      <c r="M546" s="32"/>
      <c r="N546" s="31"/>
      <c r="O546" s="31"/>
      <c r="P546" s="33"/>
      <c r="Q546" s="33"/>
    </row>
    <row r="547" spans="1:17" ht="16.5" customHeight="1" x14ac:dyDescent="0.2">
      <c r="A547" s="26" t="s">
        <v>3448</v>
      </c>
      <c r="B547" s="26" t="s">
        <v>5552</v>
      </c>
      <c r="C547" s="26" t="s">
        <v>115</v>
      </c>
      <c r="D547" s="26" t="s">
        <v>131</v>
      </c>
      <c r="E547" s="26" t="s">
        <v>39</v>
      </c>
      <c r="F547" s="28" t="e">
        <f ca="1">_xludf.ifna(VLOOKUP(G548,Proyectos!$E$1:$H$4,4,0),"")</f>
        <v>#NAME?</v>
      </c>
      <c r="G547" s="26" t="s">
        <v>5323</v>
      </c>
      <c r="H547" s="32">
        <v>0.4</v>
      </c>
      <c r="I547" s="31" t="s">
        <v>18</v>
      </c>
      <c r="J547" s="32"/>
      <c r="K547" s="32" t="str">
        <f t="shared" si="2"/>
        <v>Interno</v>
      </c>
      <c r="L547" s="32" t="e">
        <f ca="1">_xludf.ifna(VLOOKUP(G548,Proyectos!$E$1:$N$4,10,0),"")</f>
        <v>#NAME?</v>
      </c>
      <c r="M547" s="32"/>
      <c r="N547" s="32"/>
      <c r="O547" s="31"/>
      <c r="P547" s="33"/>
      <c r="Q547" s="33"/>
    </row>
    <row r="548" spans="1:17" ht="16.5" customHeight="1" x14ac:dyDescent="0.2">
      <c r="A548" s="26" t="s">
        <v>3448</v>
      </c>
      <c r="B548" s="26" t="s">
        <v>5552</v>
      </c>
      <c r="C548" s="26" t="s">
        <v>115</v>
      </c>
      <c r="D548" s="26" t="s">
        <v>131</v>
      </c>
      <c r="E548" s="26" t="s">
        <v>39</v>
      </c>
      <c r="F548" s="28" t="e">
        <f ca="1">_xludf.ifna(VLOOKUP(G549,Proyectos!$E$1:$H$4,4,0),"")</f>
        <v>#NAME?</v>
      </c>
      <c r="G548" s="26" t="s">
        <v>5553</v>
      </c>
      <c r="H548" s="48">
        <v>0.05</v>
      </c>
      <c r="I548" s="31" t="s">
        <v>18</v>
      </c>
      <c r="J548" s="32"/>
      <c r="K548" s="32" t="str">
        <f t="shared" si="2"/>
        <v>Interno</v>
      </c>
      <c r="L548" s="32" t="e">
        <f ca="1">_xludf.ifna(VLOOKUP(G549,Proyectos!$E$1:$N$4,10,0),"")</f>
        <v>#NAME?</v>
      </c>
      <c r="M548" s="32"/>
      <c r="N548" s="32"/>
      <c r="O548" s="31"/>
      <c r="P548" s="33"/>
      <c r="Q548" s="33"/>
    </row>
    <row r="549" spans="1:17" ht="16.5" customHeight="1" x14ac:dyDescent="0.2">
      <c r="A549" s="26" t="s">
        <v>3448</v>
      </c>
      <c r="B549" s="26" t="s">
        <v>5552</v>
      </c>
      <c r="C549" s="26" t="s">
        <v>115</v>
      </c>
      <c r="D549" s="26" t="s">
        <v>131</v>
      </c>
      <c r="E549" s="26" t="s">
        <v>39</v>
      </c>
      <c r="F549" s="28" t="e">
        <f ca="1">_xludf.ifna(VLOOKUP(G550,Proyectos!$E$1:$H$4,4,0),"")</f>
        <v>#NAME?</v>
      </c>
      <c r="G549" s="26" t="s">
        <v>5555</v>
      </c>
      <c r="H549" s="32">
        <v>0.05</v>
      </c>
      <c r="I549" s="31" t="s">
        <v>18</v>
      </c>
      <c r="J549" s="32"/>
      <c r="K549" s="32" t="str">
        <f t="shared" si="2"/>
        <v>Interno</v>
      </c>
      <c r="L549" s="32" t="e">
        <f ca="1">_xludf.ifna(VLOOKUP(G550,Proyectos!$E$1:$N$4,10,0),"")</f>
        <v>#NAME?</v>
      </c>
      <c r="M549" s="32"/>
      <c r="N549" s="31"/>
      <c r="O549" s="31"/>
      <c r="P549" s="33"/>
      <c r="Q549" s="33"/>
    </row>
    <row r="550" spans="1:17" ht="16.5" customHeight="1" x14ac:dyDescent="0.2">
      <c r="A550" s="26" t="s">
        <v>3448</v>
      </c>
      <c r="B550" s="26" t="s">
        <v>5552</v>
      </c>
      <c r="C550" s="26" t="s">
        <v>115</v>
      </c>
      <c r="D550" s="26" t="s">
        <v>131</v>
      </c>
      <c r="E550" s="26" t="s">
        <v>39</v>
      </c>
      <c r="F550" s="28" t="e">
        <f ca="1">_xludf.ifna(VLOOKUP(G551,Proyectos!$E$1:$H$4,4,0),"")</f>
        <v>#NAME?</v>
      </c>
      <c r="G550" s="26" t="s">
        <v>5597</v>
      </c>
      <c r="H550" s="48">
        <v>0.5</v>
      </c>
      <c r="I550" s="31" t="s">
        <v>18</v>
      </c>
      <c r="J550" s="31" t="s">
        <v>5727</v>
      </c>
      <c r="K550" s="32" t="str">
        <f t="shared" si="2"/>
        <v>Interno</v>
      </c>
      <c r="L550" s="32" t="e">
        <f ca="1">_xludf.ifna(VLOOKUP(G551,Proyectos!$E$1:$N$4,10,0),"")</f>
        <v>#NAME?</v>
      </c>
      <c r="M550" s="32"/>
      <c r="N550" s="31"/>
      <c r="O550" s="31"/>
      <c r="P550" s="33"/>
      <c r="Q550" s="33"/>
    </row>
    <row r="551" spans="1:17" ht="16.5" customHeight="1" x14ac:dyDescent="0.2">
      <c r="A551" s="26" t="s">
        <v>3662</v>
      </c>
      <c r="B551" s="26" t="s">
        <v>3663</v>
      </c>
      <c r="C551" s="26" t="s">
        <v>115</v>
      </c>
      <c r="D551" s="26" t="s">
        <v>122</v>
      </c>
      <c r="E551" s="26" t="s">
        <v>39</v>
      </c>
      <c r="F551" s="28" t="e">
        <f ca="1">_xludf.ifna(VLOOKUP(G552,Proyectos!$E$1:$H$4,4,0),"")</f>
        <v>#NAME?</v>
      </c>
      <c r="G551" s="26" t="s">
        <v>5416</v>
      </c>
      <c r="H551" s="48">
        <v>0.2</v>
      </c>
      <c r="I551" s="31" t="s">
        <v>18</v>
      </c>
      <c r="J551" s="32"/>
      <c r="K551" s="32" t="str">
        <f t="shared" si="2"/>
        <v>Interno</v>
      </c>
      <c r="L551" s="32" t="e">
        <f ca="1">_xludf.ifna(VLOOKUP(G552,Proyectos!$E$1:$N$4,10,0),"")</f>
        <v>#NAME?</v>
      </c>
      <c r="M551" s="32"/>
      <c r="N551" s="31"/>
      <c r="O551" s="31"/>
      <c r="P551" s="33"/>
      <c r="Q551" s="33"/>
    </row>
    <row r="552" spans="1:17" ht="16.5" customHeight="1" x14ac:dyDescent="0.2">
      <c r="A552" s="26" t="s">
        <v>3662</v>
      </c>
      <c r="B552" s="26" t="s">
        <v>3663</v>
      </c>
      <c r="C552" s="26" t="s">
        <v>115</v>
      </c>
      <c r="D552" s="26" t="s">
        <v>122</v>
      </c>
      <c r="E552" s="26" t="s">
        <v>39</v>
      </c>
      <c r="F552" s="28" t="e">
        <f ca="1">_xludf.ifna(VLOOKUP(G553,Proyectos!$E$1:$H$4,4,0),"")</f>
        <v>#NAME?</v>
      </c>
      <c r="G552" s="26" t="s">
        <v>5117</v>
      </c>
      <c r="H552" s="48">
        <v>0.6</v>
      </c>
      <c r="I552" s="31" t="s">
        <v>18</v>
      </c>
      <c r="J552" s="32"/>
      <c r="K552" s="32" t="str">
        <f t="shared" si="2"/>
        <v>Interno</v>
      </c>
      <c r="L552" s="32" t="e">
        <f ca="1">_xludf.ifna(VLOOKUP(G553,Proyectos!$E$1:$N$4,10,0),"")</f>
        <v>#NAME?</v>
      </c>
      <c r="M552" s="32"/>
      <c r="N552" s="32"/>
      <c r="O552" s="31"/>
      <c r="P552" s="33"/>
      <c r="Q552" s="33"/>
    </row>
    <row r="553" spans="1:17" ht="16.5" customHeight="1" x14ac:dyDescent="0.2">
      <c r="A553" s="26" t="s">
        <v>3662</v>
      </c>
      <c r="B553" s="26" t="s">
        <v>3663</v>
      </c>
      <c r="C553" s="26" t="s">
        <v>115</v>
      </c>
      <c r="D553" s="26" t="s">
        <v>122</v>
      </c>
      <c r="E553" s="26" t="s">
        <v>39</v>
      </c>
      <c r="F553" s="28" t="e">
        <f ca="1">_xludf.ifna(VLOOKUP(G554,Proyectos!$E$1:$H$4,4,0),"")</f>
        <v>#NAME?</v>
      </c>
      <c r="G553" s="26" t="s">
        <v>5597</v>
      </c>
      <c r="H553" s="48">
        <v>0.2</v>
      </c>
      <c r="I553" s="31" t="s">
        <v>18</v>
      </c>
      <c r="J553" s="32"/>
      <c r="K553" s="32" t="str">
        <f t="shared" si="2"/>
        <v>Interno</v>
      </c>
      <c r="L553" s="32" t="e">
        <f ca="1">_xludf.ifna(VLOOKUP(G554,Proyectos!$E$1:$N$4,10,0),"")</f>
        <v>#NAME?</v>
      </c>
      <c r="M553" s="32"/>
      <c r="N553" s="31"/>
      <c r="O553" s="31"/>
      <c r="P553" s="33"/>
      <c r="Q553" s="33"/>
    </row>
    <row r="554" spans="1:17" ht="16.5" customHeight="1" x14ac:dyDescent="0.2">
      <c r="A554" s="26" t="s">
        <v>4639</v>
      </c>
      <c r="B554" s="26" t="s">
        <v>4640</v>
      </c>
      <c r="C554" s="26" t="s">
        <v>115</v>
      </c>
      <c r="D554" s="26" t="s">
        <v>122</v>
      </c>
      <c r="E554" s="26" t="s">
        <v>39</v>
      </c>
      <c r="F554" s="28" t="e">
        <f ca="1">_xludf.ifna(VLOOKUP(G555,Proyectos!$E$1:$H$4,4,0),"")</f>
        <v>#NAME?</v>
      </c>
      <c r="G554" s="26" t="s">
        <v>5588</v>
      </c>
      <c r="H554" s="48">
        <v>1</v>
      </c>
      <c r="I554" s="31" t="s">
        <v>11</v>
      </c>
      <c r="J554" s="32"/>
      <c r="K554" s="32" t="str">
        <f t="shared" si="2"/>
        <v>Interno</v>
      </c>
      <c r="L554" s="32" t="e">
        <f ca="1">_xludf.ifna(VLOOKUP(G555,Proyectos!$E$1:$N$4,10,0),"")</f>
        <v>#NAME?</v>
      </c>
      <c r="M554" s="32"/>
      <c r="N554" s="32"/>
      <c r="O554" s="31"/>
      <c r="P554" s="33"/>
      <c r="Q554" s="33"/>
    </row>
    <row r="555" spans="1:17" ht="16.5" customHeight="1" x14ac:dyDescent="0.2">
      <c r="A555" s="26" t="s">
        <v>4654</v>
      </c>
      <c r="B555" s="26" t="s">
        <v>4655</v>
      </c>
      <c r="C555" s="26" t="s">
        <v>98</v>
      </c>
      <c r="D555" s="26" t="s">
        <v>105</v>
      </c>
      <c r="E555" s="26" t="s">
        <v>39</v>
      </c>
      <c r="F555" s="28" t="e">
        <f ca="1">_xludf.ifna(VLOOKUP(G556,Proyectos!$E$1:$H$4,4,0),"")</f>
        <v>#NAME?</v>
      </c>
      <c r="G555" s="26" t="s">
        <v>5145</v>
      </c>
      <c r="H555" s="32">
        <v>0.5</v>
      </c>
      <c r="I555" s="31" t="s">
        <v>32</v>
      </c>
      <c r="J555" s="32"/>
      <c r="K555" s="32" t="str">
        <f t="shared" si="2"/>
        <v>Interno</v>
      </c>
      <c r="L555" s="32" t="e">
        <f ca="1">_xludf.ifna(VLOOKUP(G556,Proyectos!$E$1:$N$4,10,0),"")</f>
        <v>#NAME?</v>
      </c>
      <c r="M555" s="32"/>
      <c r="N555" s="32"/>
      <c r="O555" s="31"/>
      <c r="P555" s="33"/>
      <c r="Q555" s="33"/>
    </row>
    <row r="556" spans="1:17" ht="16.5" customHeight="1" x14ac:dyDescent="0.2">
      <c r="A556" s="26" t="s">
        <v>4654</v>
      </c>
      <c r="B556" s="26" t="s">
        <v>4655</v>
      </c>
      <c r="C556" s="26" t="s">
        <v>98</v>
      </c>
      <c r="D556" s="26" t="s">
        <v>105</v>
      </c>
      <c r="E556" s="26" t="s">
        <v>39</v>
      </c>
      <c r="F556" s="28" t="e">
        <f ca="1">_xludf.ifna(VLOOKUP(G557,Proyectos!$E$1:$H$4,4,0),"")</f>
        <v>#NAME?</v>
      </c>
      <c r="G556" s="26" t="s">
        <v>5116</v>
      </c>
      <c r="H556" s="32">
        <v>0.25</v>
      </c>
      <c r="I556" s="31" t="s">
        <v>32</v>
      </c>
      <c r="J556" s="32"/>
      <c r="K556" s="32" t="str">
        <f t="shared" si="2"/>
        <v>Interno</v>
      </c>
      <c r="L556" s="32" t="e">
        <f ca="1">_xludf.ifna(VLOOKUP(G557,Proyectos!$E$1:$N$4,10,0),"")</f>
        <v>#NAME?</v>
      </c>
      <c r="M556" s="32"/>
      <c r="N556" s="32"/>
      <c r="O556" s="31"/>
      <c r="P556" s="33"/>
      <c r="Q556" s="33"/>
    </row>
    <row r="557" spans="1:17" ht="16.5" customHeight="1" x14ac:dyDescent="0.2">
      <c r="A557" s="26" t="s">
        <v>4654</v>
      </c>
      <c r="B557" s="26" t="s">
        <v>4655</v>
      </c>
      <c r="C557" s="26" t="s">
        <v>98</v>
      </c>
      <c r="D557" s="26" t="s">
        <v>105</v>
      </c>
      <c r="E557" s="26" t="s">
        <v>39</v>
      </c>
      <c r="F557" s="28" t="e">
        <f ca="1">_xludf.ifna(VLOOKUP(G558,Proyectos!$E$1:$H$4,4,0),"")</f>
        <v>#NAME?</v>
      </c>
      <c r="G557" s="26" t="s">
        <v>5663</v>
      </c>
      <c r="H557" s="32">
        <v>0.25</v>
      </c>
      <c r="I557" s="31" t="s">
        <v>32</v>
      </c>
      <c r="J557" s="32"/>
      <c r="K557" s="32" t="str">
        <f t="shared" si="2"/>
        <v>Interno</v>
      </c>
      <c r="L557" s="32" t="e">
        <f ca="1">_xludf.ifna(VLOOKUP(G558,Proyectos!$E$1:$N$4,10,0),"")</f>
        <v>#NAME?</v>
      </c>
      <c r="M557" s="32"/>
      <c r="N557" s="32"/>
      <c r="O557" s="31"/>
      <c r="P557" s="33"/>
      <c r="Q557" s="33"/>
    </row>
    <row r="558" spans="1:17" ht="16.5" customHeight="1" x14ac:dyDescent="0.2">
      <c r="A558" s="26" t="s">
        <v>5728</v>
      </c>
      <c r="B558" s="26" t="s">
        <v>5729</v>
      </c>
      <c r="C558" s="26" t="s">
        <v>64</v>
      </c>
      <c r="D558" s="26" t="s">
        <v>82</v>
      </c>
      <c r="E558" s="26" t="s">
        <v>39</v>
      </c>
      <c r="F558" s="28" t="e">
        <f ca="1">_xludf.ifna(VLOOKUP(G559,Proyectos!$E$1:$H$4,4,0),"")</f>
        <v>#NAME?</v>
      </c>
      <c r="G558" s="26" t="s">
        <v>5387</v>
      </c>
      <c r="H558" s="32">
        <v>1</v>
      </c>
      <c r="I558" s="31" t="s">
        <v>25</v>
      </c>
      <c r="J558" s="32"/>
      <c r="K558" s="32" t="str">
        <f t="shared" si="2"/>
        <v>Interno</v>
      </c>
      <c r="L558" s="32" t="e">
        <f ca="1">_xludf.ifna(VLOOKUP(G559,Proyectos!$E$1:$N$4,10,0),"")</f>
        <v>#NAME?</v>
      </c>
      <c r="M558" s="32"/>
      <c r="N558" s="32"/>
      <c r="O558" s="31"/>
      <c r="P558" s="33"/>
      <c r="Q558" s="33"/>
    </row>
    <row r="559" spans="1:17" ht="16.5" customHeight="1" x14ac:dyDescent="0.2">
      <c r="A559" s="35" t="s">
        <v>4517</v>
      </c>
      <c r="B559" s="26" t="s">
        <v>5494</v>
      </c>
      <c r="C559" s="26" t="s">
        <v>64</v>
      </c>
      <c r="D559" s="26" t="s">
        <v>82</v>
      </c>
      <c r="E559" s="35" t="s">
        <v>9</v>
      </c>
      <c r="F559" s="28" t="e">
        <f ca="1">_xludf.ifna(VLOOKUP(G560,Proyectos!$E$1:$H$4,4,0),"")</f>
        <v>#NAME?</v>
      </c>
      <c r="G559" s="26" t="s">
        <v>5387</v>
      </c>
      <c r="H559" s="32">
        <v>1</v>
      </c>
      <c r="I559" s="31" t="s">
        <v>25</v>
      </c>
      <c r="J559" s="32"/>
      <c r="K559" s="32" t="str">
        <f t="shared" si="2"/>
        <v>Externo</v>
      </c>
      <c r="L559" s="32" t="e">
        <f ca="1">_xludf.ifna(VLOOKUP(G560,Proyectos!$E$1:$N$4,10,0),"")</f>
        <v>#NAME?</v>
      </c>
      <c r="M559" s="32"/>
      <c r="N559" s="32"/>
      <c r="O559" s="31"/>
      <c r="P559" s="33"/>
      <c r="Q559" s="33"/>
    </row>
    <row r="560" spans="1:17" ht="16.5" customHeight="1" x14ac:dyDescent="0.2">
      <c r="A560" s="26" t="s">
        <v>5017</v>
      </c>
      <c r="B560" s="26" t="s">
        <v>5018</v>
      </c>
      <c r="C560" s="26" t="s">
        <v>115</v>
      </c>
      <c r="D560" s="26" t="s">
        <v>116</v>
      </c>
      <c r="E560" s="26" t="s">
        <v>83</v>
      </c>
      <c r="F560" s="28" t="e">
        <f ca="1">_xludf.ifna(VLOOKUP(G561,Proyectos!$E$1:$H$4,4,0),"")</f>
        <v>#NAME?</v>
      </c>
      <c r="G560" s="26" t="s">
        <v>5318</v>
      </c>
      <c r="H560" s="32">
        <v>1</v>
      </c>
      <c r="I560" s="31" t="s">
        <v>25</v>
      </c>
      <c r="J560" s="32"/>
      <c r="K560" s="32" t="str">
        <f t="shared" si="2"/>
        <v>Externo</v>
      </c>
      <c r="L560" s="32" t="e">
        <f ca="1">_xludf.ifna(VLOOKUP(G561,Proyectos!$E$1:$N$4,10,0),"")</f>
        <v>#NAME?</v>
      </c>
      <c r="M560" s="32"/>
      <c r="N560" s="32"/>
      <c r="O560" s="31"/>
      <c r="P560" s="33"/>
      <c r="Q560" s="33"/>
    </row>
    <row r="561" spans="1:17" ht="16.5" customHeight="1" x14ac:dyDescent="0.2">
      <c r="A561" s="26" t="s">
        <v>3745</v>
      </c>
      <c r="B561" s="26" t="s">
        <v>3746</v>
      </c>
      <c r="C561" s="26" t="s">
        <v>115</v>
      </c>
      <c r="D561" s="26" t="s">
        <v>116</v>
      </c>
      <c r="E561" s="26" t="s">
        <v>39</v>
      </c>
      <c r="F561" s="28" t="e">
        <f ca="1">_xludf.ifna(VLOOKUP(G562,Proyectos!$E$1:$H$4,4,0),"")</f>
        <v>#NAME?</v>
      </c>
      <c r="G561" s="26" t="s">
        <v>5325</v>
      </c>
      <c r="H561" s="32">
        <v>1</v>
      </c>
      <c r="I561" s="31" t="s">
        <v>18</v>
      </c>
      <c r="J561" s="32"/>
      <c r="K561" s="32" t="str">
        <f t="shared" si="2"/>
        <v>Interno</v>
      </c>
      <c r="L561" s="32" t="e">
        <f ca="1">_xludf.ifna(VLOOKUP(G562,Proyectos!$E$1:$N$4,10,0),"")</f>
        <v>#NAME?</v>
      </c>
      <c r="M561" s="32"/>
      <c r="N561" s="32"/>
      <c r="O561" s="31"/>
      <c r="P561" s="33"/>
      <c r="Q561" s="33"/>
    </row>
    <row r="562" spans="1:17" ht="16.5" customHeight="1" x14ac:dyDescent="0.2">
      <c r="A562" s="26" t="s">
        <v>3349</v>
      </c>
      <c r="B562" s="26" t="s">
        <v>3350</v>
      </c>
      <c r="C562" s="26" t="s">
        <v>115</v>
      </c>
      <c r="D562" s="26" t="s">
        <v>119</v>
      </c>
      <c r="E562" s="26" t="s">
        <v>39</v>
      </c>
      <c r="F562" s="28" t="e">
        <f ca="1">_xludf.ifna(VLOOKUP(G563,Proyectos!$E$1:$H$4,4,0),"")</f>
        <v>#NAME?</v>
      </c>
      <c r="G562" s="26" t="s">
        <v>5597</v>
      </c>
      <c r="H562" s="32">
        <v>1</v>
      </c>
      <c r="I562" s="31" t="s">
        <v>18</v>
      </c>
      <c r="J562" s="32"/>
      <c r="K562" s="32" t="str">
        <f t="shared" si="2"/>
        <v>Interno</v>
      </c>
      <c r="L562" s="32" t="e">
        <f ca="1">_xludf.ifna(VLOOKUP(G563,Proyectos!$E$1:$N$4,10,0),"")</f>
        <v>#NAME?</v>
      </c>
      <c r="M562" s="32"/>
      <c r="N562" s="31"/>
      <c r="O562" s="31"/>
      <c r="P562" s="33"/>
      <c r="Q562" s="33"/>
    </row>
    <row r="563" spans="1:17" ht="16.5" customHeight="1" x14ac:dyDescent="0.2">
      <c r="A563" s="35" t="s">
        <v>5096</v>
      </c>
      <c r="B563" s="26" t="s">
        <v>5495</v>
      </c>
      <c r="C563" s="26" t="s">
        <v>64</v>
      </c>
      <c r="D563" s="26" t="s">
        <v>82</v>
      </c>
      <c r="E563" s="35" t="s">
        <v>9</v>
      </c>
      <c r="F563" s="28" t="e">
        <f ca="1">_xludf.ifna(VLOOKUP(G564,Proyectos!$E$1:$H$4,4,0),"")</f>
        <v>#NAME?</v>
      </c>
      <c r="G563" s="26" t="s">
        <v>5387</v>
      </c>
      <c r="H563" s="32">
        <v>1</v>
      </c>
      <c r="I563" s="31" t="s">
        <v>18</v>
      </c>
      <c r="J563" s="32"/>
      <c r="K563" s="32" t="str">
        <f t="shared" si="2"/>
        <v>Externo</v>
      </c>
      <c r="L563" s="32" t="e">
        <f ca="1">_xludf.ifna(VLOOKUP(G564,Proyectos!$E$1:$N$4,10,0),"")</f>
        <v>#NAME?</v>
      </c>
      <c r="M563" s="32"/>
      <c r="N563" s="32"/>
      <c r="O563" s="31"/>
      <c r="P563" s="33"/>
      <c r="Q563" s="33"/>
    </row>
    <row r="564" spans="1:17" ht="16.5" customHeight="1" x14ac:dyDescent="0.2">
      <c r="A564" s="26" t="s">
        <v>3546</v>
      </c>
      <c r="B564" s="26" t="s">
        <v>5271</v>
      </c>
      <c r="C564" s="26" t="s">
        <v>7</v>
      </c>
      <c r="D564" s="26" t="s">
        <v>16</v>
      </c>
      <c r="E564" s="26" t="s">
        <v>39</v>
      </c>
      <c r="F564" s="28" t="e">
        <f ca="1">_xludf.ifna(VLOOKUP(G565,Proyectos!$E$1:$H$4,4,0),"")</f>
        <v>#NAME?</v>
      </c>
      <c r="G564" s="26" t="s">
        <v>5266</v>
      </c>
      <c r="H564" s="65">
        <v>0.5</v>
      </c>
      <c r="I564" s="31" t="s">
        <v>18</v>
      </c>
      <c r="J564" s="32"/>
      <c r="K564" s="32" t="str">
        <f t="shared" si="2"/>
        <v>Interno</v>
      </c>
      <c r="L564" s="32" t="e">
        <f ca="1">_xludf.ifna(VLOOKUP(G565,Proyectos!$E$1:$N$4,10,0),"")</f>
        <v>#NAME?</v>
      </c>
      <c r="M564" s="32"/>
      <c r="N564" s="32"/>
      <c r="O564" s="31"/>
      <c r="P564" s="33"/>
      <c r="Q564" s="33"/>
    </row>
    <row r="565" spans="1:17" ht="16.5" customHeight="1" x14ac:dyDescent="0.2">
      <c r="A565" s="26" t="s">
        <v>3546</v>
      </c>
      <c r="B565" s="26" t="s">
        <v>5271</v>
      </c>
      <c r="C565" s="26" t="s">
        <v>7</v>
      </c>
      <c r="D565" s="26" t="s">
        <v>16</v>
      </c>
      <c r="E565" s="26" t="s">
        <v>39</v>
      </c>
      <c r="F565" s="28" t="e">
        <f ca="1">_xludf.ifna(VLOOKUP(G566,Proyectos!$E$1:$H$4,4,0),"")</f>
        <v>#NAME?</v>
      </c>
      <c r="G565" s="26" t="s">
        <v>5265</v>
      </c>
      <c r="H565" s="65">
        <v>0.4</v>
      </c>
      <c r="I565" s="31" t="s">
        <v>18</v>
      </c>
      <c r="J565" s="32"/>
      <c r="K565" s="32" t="str">
        <f t="shared" si="2"/>
        <v>Interno</v>
      </c>
      <c r="L565" s="32" t="e">
        <f ca="1">_xludf.ifna(VLOOKUP(G566,Proyectos!$E$1:$N$4,10,0),"")</f>
        <v>#NAME?</v>
      </c>
      <c r="M565" s="32"/>
      <c r="N565" s="32"/>
      <c r="O565" s="31"/>
      <c r="P565" s="33"/>
      <c r="Q565" s="33"/>
    </row>
    <row r="566" spans="1:17" ht="16.5" customHeight="1" x14ac:dyDescent="0.2">
      <c r="A566" s="26" t="s">
        <v>3546</v>
      </c>
      <c r="B566" s="26" t="s">
        <v>5271</v>
      </c>
      <c r="C566" s="26" t="s">
        <v>7</v>
      </c>
      <c r="D566" s="26" t="s">
        <v>16</v>
      </c>
      <c r="E566" s="26" t="s">
        <v>39</v>
      </c>
      <c r="F566" s="28" t="e">
        <f ca="1">_xludf.ifna(VLOOKUP(G567,Proyectos!$E$1:$H$4,4,0),"")</f>
        <v>#NAME?</v>
      </c>
      <c r="G566" s="26" t="s">
        <v>5267</v>
      </c>
      <c r="H566" s="65">
        <v>0.1</v>
      </c>
      <c r="I566" s="31" t="s">
        <v>18</v>
      </c>
      <c r="J566" s="32"/>
      <c r="K566" s="32" t="str">
        <f t="shared" si="2"/>
        <v>Interno</v>
      </c>
      <c r="L566" s="32" t="e">
        <f ca="1">_xludf.ifna(VLOOKUP(G567,Proyectos!$E$1:$N$4,10,0),"")</f>
        <v>#NAME?</v>
      </c>
      <c r="M566" s="32"/>
      <c r="N566" s="32"/>
      <c r="O566" s="31"/>
      <c r="P566" s="33"/>
      <c r="Q566" s="33"/>
    </row>
    <row r="567" spans="1:17" ht="16.5" customHeight="1" x14ac:dyDescent="0.2">
      <c r="A567" s="26" t="s">
        <v>4723</v>
      </c>
      <c r="B567" s="26" t="s">
        <v>4724</v>
      </c>
      <c r="C567" s="26" t="s">
        <v>115</v>
      </c>
      <c r="D567" s="26" t="s">
        <v>128</v>
      </c>
      <c r="E567" s="26" t="s">
        <v>39</v>
      </c>
      <c r="F567" s="28" t="e">
        <f ca="1">_xludf.ifna(VLOOKUP(G568,Proyectos!$E$1:$H$4,4,0),"")</f>
        <v>#NAME?</v>
      </c>
      <c r="G567" s="26" t="s">
        <v>5538</v>
      </c>
      <c r="H567" s="32">
        <v>1</v>
      </c>
      <c r="I567" s="31" t="s">
        <v>18</v>
      </c>
      <c r="J567" s="32"/>
      <c r="K567" s="32" t="str">
        <f t="shared" si="2"/>
        <v>Interno</v>
      </c>
      <c r="L567" s="32" t="e">
        <f ca="1">_xludf.ifna(VLOOKUP(G568,Proyectos!$E$1:$N$4,10,0),"")</f>
        <v>#NAME?</v>
      </c>
      <c r="M567" s="32"/>
      <c r="N567" s="32"/>
      <c r="O567" s="31"/>
      <c r="P567" s="33"/>
      <c r="Q567" s="33"/>
    </row>
    <row r="568" spans="1:17" ht="16.5" customHeight="1" x14ac:dyDescent="0.2">
      <c r="A568" s="35" t="s">
        <v>3429</v>
      </c>
      <c r="B568" s="26" t="s">
        <v>5392</v>
      </c>
      <c r="C568" s="26" t="s">
        <v>64</v>
      </c>
      <c r="D568" s="26" t="s">
        <v>82</v>
      </c>
      <c r="E568" s="35" t="s">
        <v>39</v>
      </c>
      <c r="F568" s="28" t="e">
        <f ca="1">_xludf.ifna(VLOOKUP(G569,Proyectos!$E$1:$H$4,4,0),"")</f>
        <v>#NAME?</v>
      </c>
      <c r="G568" s="26" t="s">
        <v>5387</v>
      </c>
      <c r="H568" s="32">
        <v>1</v>
      </c>
      <c r="I568" s="31" t="s">
        <v>18</v>
      </c>
      <c r="J568" s="32"/>
      <c r="K568" s="32" t="str">
        <f t="shared" si="2"/>
        <v>Interno</v>
      </c>
      <c r="L568" s="32" t="e">
        <f ca="1">_xludf.ifna(VLOOKUP(G569,Proyectos!$E$1:$N$4,10,0),"")</f>
        <v>#NAME?</v>
      </c>
      <c r="M568" s="32"/>
      <c r="N568" s="32"/>
      <c r="O568" s="31"/>
      <c r="P568" s="33"/>
      <c r="Q568" s="33"/>
    </row>
    <row r="569" spans="1:17" ht="16.5" customHeight="1" x14ac:dyDescent="0.2">
      <c r="A569" s="26" t="s">
        <v>3416</v>
      </c>
      <c r="B569" s="26" t="s">
        <v>3417</v>
      </c>
      <c r="C569" s="26" t="s">
        <v>64</v>
      </c>
      <c r="D569" s="26" t="s">
        <v>70</v>
      </c>
      <c r="E569" s="26" t="s">
        <v>39</v>
      </c>
      <c r="F569" s="28" t="e">
        <f ca="1">_xludf.ifna(VLOOKUP(G570,Proyectos!$E$1:$H$4,4,0),"")</f>
        <v>#NAME?</v>
      </c>
      <c r="G569" s="26" t="s">
        <v>5597</v>
      </c>
      <c r="H569" s="30">
        <v>0.3</v>
      </c>
      <c r="I569" s="31" t="s">
        <v>18</v>
      </c>
      <c r="J569" s="32"/>
      <c r="K569" s="32" t="str">
        <f t="shared" si="2"/>
        <v>Interno</v>
      </c>
      <c r="L569" s="32" t="e">
        <f ca="1">_xludf.ifna(VLOOKUP(G570,Proyectos!$E$1:$N$4,10,0),"")</f>
        <v>#NAME?</v>
      </c>
      <c r="M569" s="32"/>
      <c r="N569" s="31"/>
      <c r="O569" s="31"/>
      <c r="P569" s="33"/>
      <c r="Q569" s="33"/>
    </row>
    <row r="570" spans="1:17" ht="16.5" customHeight="1" x14ac:dyDescent="0.2">
      <c r="A570" s="26" t="s">
        <v>3416</v>
      </c>
      <c r="B570" s="26" t="s">
        <v>3417</v>
      </c>
      <c r="C570" s="26" t="s">
        <v>64</v>
      </c>
      <c r="D570" s="26" t="s">
        <v>70</v>
      </c>
      <c r="E570" s="26" t="s">
        <v>39</v>
      </c>
      <c r="F570" s="28" t="e">
        <f ca="1">_xludf.ifna(VLOOKUP(G571,Proyectos!$E$1:$H$4,4,0),"")</f>
        <v>#NAME?</v>
      </c>
      <c r="G570" s="26" t="s">
        <v>5647</v>
      </c>
      <c r="H570" s="30">
        <v>0.4</v>
      </c>
      <c r="I570" s="31" t="s">
        <v>18</v>
      </c>
      <c r="J570" s="32"/>
      <c r="K570" s="32" t="str">
        <f t="shared" si="2"/>
        <v>Interno</v>
      </c>
      <c r="L570" s="32" t="e">
        <f ca="1">_xludf.ifna(VLOOKUP(G571,Proyectos!$E$1:$N$4,10,0),"")</f>
        <v>#NAME?</v>
      </c>
      <c r="M570" s="32"/>
      <c r="N570" s="31"/>
      <c r="O570" s="31"/>
      <c r="P570" s="33"/>
      <c r="Q570" s="33"/>
    </row>
    <row r="571" spans="1:17" ht="16.5" customHeight="1" x14ac:dyDescent="0.2">
      <c r="A571" s="26" t="s">
        <v>3416</v>
      </c>
      <c r="B571" s="26" t="s">
        <v>3417</v>
      </c>
      <c r="C571" s="26" t="s">
        <v>64</v>
      </c>
      <c r="D571" s="26" t="s">
        <v>70</v>
      </c>
      <c r="E571" s="26" t="s">
        <v>39</v>
      </c>
      <c r="F571" s="28" t="e">
        <f ca="1">_xludf.ifna(VLOOKUP(G572,Proyectos!$E$1:$H$4,4,0),"")</f>
        <v>#NAME?</v>
      </c>
      <c r="G571" s="26" t="s">
        <v>5401</v>
      </c>
      <c r="H571" s="30">
        <v>0.3</v>
      </c>
      <c r="I571" s="31" t="s">
        <v>18</v>
      </c>
      <c r="J571" s="32"/>
      <c r="K571" s="32" t="str">
        <f t="shared" si="2"/>
        <v>Interno</v>
      </c>
      <c r="L571" s="32" t="e">
        <f ca="1">_xludf.ifna(VLOOKUP(G572,Proyectos!$E$1:$N$4,10,0),"")</f>
        <v>#NAME?</v>
      </c>
      <c r="M571" s="32"/>
      <c r="N571" s="32"/>
      <c r="O571" s="31"/>
      <c r="P571" s="33"/>
      <c r="Q571" s="33"/>
    </row>
    <row r="572" spans="1:17" ht="16.5" customHeight="1" x14ac:dyDescent="0.2">
      <c r="A572" s="26" t="s">
        <v>5073</v>
      </c>
      <c r="B572" s="26" t="s">
        <v>5164</v>
      </c>
      <c r="C572" s="35" t="s">
        <v>7</v>
      </c>
      <c r="D572" s="35" t="s">
        <v>30</v>
      </c>
      <c r="E572" s="35" t="s">
        <v>129</v>
      </c>
      <c r="F572" s="28" t="e">
        <f ca="1">_xludf.ifna(VLOOKUP(G573,Proyectos!$E$1:$H$4,4,0),"")</f>
        <v>#NAME?</v>
      </c>
      <c r="G572" s="35" t="s">
        <v>5153</v>
      </c>
      <c r="H572" s="55">
        <v>1</v>
      </c>
      <c r="I572" s="31" t="s">
        <v>18</v>
      </c>
      <c r="J572" s="55"/>
      <c r="K572" s="32" t="str">
        <f t="shared" si="2"/>
        <v>Externo</v>
      </c>
      <c r="L572" s="32" t="e">
        <f ca="1">_xludf.ifna(VLOOKUP(G573,Proyectos!$E$1:$N$4,10,0),"")</f>
        <v>#NAME?</v>
      </c>
      <c r="M572" s="32"/>
      <c r="N572" s="31"/>
      <c r="O572" s="31"/>
      <c r="P572" s="33"/>
      <c r="Q572" s="33"/>
    </row>
    <row r="573" spans="1:17" ht="16.5" customHeight="1" x14ac:dyDescent="0.2">
      <c r="A573" s="26" t="s">
        <v>3870</v>
      </c>
      <c r="B573" s="26" t="s">
        <v>3871</v>
      </c>
      <c r="C573" s="26" t="s">
        <v>115</v>
      </c>
      <c r="D573" s="26" t="s">
        <v>119</v>
      </c>
      <c r="E573" s="26" t="s">
        <v>39</v>
      </c>
      <c r="F573" s="28" t="e">
        <f ca="1">_xludf.ifna(VLOOKUP(G574,Proyectos!$E$1:$H$4,4,0),"")</f>
        <v>#NAME?</v>
      </c>
      <c r="G573" s="26" t="s">
        <v>5220</v>
      </c>
      <c r="H573" s="32">
        <v>0.6</v>
      </c>
      <c r="I573" s="31" t="s">
        <v>18</v>
      </c>
      <c r="J573" s="32"/>
      <c r="K573" s="32" t="str">
        <f t="shared" si="2"/>
        <v>Interno</v>
      </c>
      <c r="L573" s="32" t="e">
        <f ca="1">_xludf.ifna(VLOOKUP(G574,Proyectos!$E$1:$N$4,10,0),"")</f>
        <v>#NAME?</v>
      </c>
      <c r="M573" s="32"/>
      <c r="N573" s="31"/>
      <c r="O573" s="31"/>
      <c r="P573" s="33"/>
      <c r="Q573" s="33"/>
    </row>
    <row r="574" spans="1:17" ht="16.5" customHeight="1" x14ac:dyDescent="0.2">
      <c r="A574" s="26" t="s">
        <v>3870</v>
      </c>
      <c r="B574" s="26" t="s">
        <v>3871</v>
      </c>
      <c r="C574" s="26" t="s">
        <v>115</v>
      </c>
      <c r="D574" s="26" t="s">
        <v>119</v>
      </c>
      <c r="E574" s="26" t="s">
        <v>39</v>
      </c>
      <c r="F574" s="28" t="e">
        <f ca="1">_xludf.ifna(VLOOKUP(G575,Proyectos!$E$1:$H$4,4,0),"")</f>
        <v>#NAME?</v>
      </c>
      <c r="G574" s="26" t="s">
        <v>5730</v>
      </c>
      <c r="H574" s="32">
        <v>0.2</v>
      </c>
      <c r="I574" s="31" t="s">
        <v>18</v>
      </c>
      <c r="J574" s="32"/>
      <c r="K574" s="32" t="str">
        <f t="shared" si="2"/>
        <v>Interno</v>
      </c>
      <c r="L574" s="32" t="e">
        <f ca="1">_xludf.ifna(VLOOKUP(G575,Proyectos!$E$1:$N$4,10,0),"")</f>
        <v>#NAME?</v>
      </c>
      <c r="M574" s="32"/>
      <c r="N574" s="31"/>
      <c r="O574" s="31"/>
      <c r="P574" s="33"/>
      <c r="Q574" s="33"/>
    </row>
    <row r="575" spans="1:17" ht="16.5" customHeight="1" x14ac:dyDescent="0.2">
      <c r="A575" s="26" t="s">
        <v>3870</v>
      </c>
      <c r="B575" s="26" t="s">
        <v>3871</v>
      </c>
      <c r="C575" s="26" t="s">
        <v>115</v>
      </c>
      <c r="D575" s="26" t="s">
        <v>119</v>
      </c>
      <c r="E575" s="26" t="s">
        <v>39</v>
      </c>
      <c r="F575" s="28" t="e">
        <f ca="1">_xludf.ifna(VLOOKUP(G576,Proyectos!$E$1:$H$4,4,0),"")</f>
        <v>#NAME?</v>
      </c>
      <c r="G575" s="26" t="s">
        <v>5131</v>
      </c>
      <c r="H575" s="32">
        <v>0.2</v>
      </c>
      <c r="I575" s="31" t="s">
        <v>18</v>
      </c>
      <c r="J575" s="32"/>
      <c r="K575" s="32" t="str">
        <f t="shared" si="2"/>
        <v>Interno</v>
      </c>
      <c r="L575" s="32" t="e">
        <f ca="1">_xludf.ifna(VLOOKUP(G576,Proyectos!$E$1:$N$4,10,0),"")</f>
        <v>#NAME?</v>
      </c>
      <c r="M575" s="32"/>
      <c r="N575" s="32"/>
      <c r="O575" s="31"/>
      <c r="P575" s="33"/>
      <c r="Q575" s="33"/>
    </row>
    <row r="576" spans="1:17" ht="16.5" customHeight="1" x14ac:dyDescent="0.2">
      <c r="A576" s="26" t="s">
        <v>3522</v>
      </c>
      <c r="B576" s="26" t="s">
        <v>3523</v>
      </c>
      <c r="C576" s="53" t="s">
        <v>64</v>
      </c>
      <c r="D576" s="26" t="s">
        <v>92</v>
      </c>
      <c r="E576" s="53" t="s">
        <v>39</v>
      </c>
      <c r="F576" s="28" t="e">
        <f ca="1">_xludf.ifna(VLOOKUP(G577,Proyectos!$E$1:$H$4,4,0),"")</f>
        <v>#NAME?</v>
      </c>
      <c r="G576" s="26" t="s">
        <v>5479</v>
      </c>
      <c r="H576" s="32">
        <v>1</v>
      </c>
      <c r="I576" s="31" t="s">
        <v>18</v>
      </c>
      <c r="J576" s="32"/>
      <c r="K576" s="32" t="str">
        <f t="shared" si="2"/>
        <v>Interno</v>
      </c>
      <c r="L576" s="32" t="e">
        <f ca="1">_xludf.ifna(VLOOKUP(G577,Proyectos!$E$1:$N$4,10,0),"")</f>
        <v>#NAME?</v>
      </c>
      <c r="M576" s="32"/>
      <c r="N576" s="32"/>
      <c r="O576" s="31"/>
      <c r="P576" s="33"/>
      <c r="Q576" s="33"/>
    </row>
    <row r="577" spans="1:17" ht="16.5" customHeight="1" x14ac:dyDescent="0.2">
      <c r="A577" s="26" t="s">
        <v>4988</v>
      </c>
      <c r="B577" s="26" t="s">
        <v>5247</v>
      </c>
      <c r="C577" s="26" t="s">
        <v>7</v>
      </c>
      <c r="D577" s="26" t="s">
        <v>16</v>
      </c>
      <c r="E577" s="26" t="s">
        <v>108</v>
      </c>
      <c r="F577" s="28" t="e">
        <f ca="1">_xludf.ifna(VLOOKUP(G578,Proyectos!$E$1:$H$4,4,0),"")</f>
        <v>#NAME?</v>
      </c>
      <c r="G577" s="26" t="s">
        <v>5597</v>
      </c>
      <c r="H577" s="65">
        <v>1</v>
      </c>
      <c r="I577" s="31" t="s">
        <v>18</v>
      </c>
      <c r="J577" s="32"/>
      <c r="K577" s="32" t="str">
        <f t="shared" si="2"/>
        <v>Externo</v>
      </c>
      <c r="L577" s="32" t="e">
        <f ca="1">_xludf.ifna(VLOOKUP(G578,Proyectos!$E$1:$N$4,10,0),"")</f>
        <v>#NAME?</v>
      </c>
      <c r="M577" s="32"/>
      <c r="N577" s="31"/>
      <c r="O577" s="31"/>
      <c r="P577" s="33"/>
      <c r="Q577" s="33"/>
    </row>
    <row r="578" spans="1:17" ht="16.5" customHeight="1" x14ac:dyDescent="0.2">
      <c r="A578" s="26" t="s">
        <v>4497</v>
      </c>
      <c r="B578" s="26" t="s">
        <v>5731</v>
      </c>
      <c r="C578" s="26" t="s">
        <v>64</v>
      </c>
      <c r="D578" s="26" t="s">
        <v>74</v>
      </c>
      <c r="E578" s="26" t="s">
        <v>108</v>
      </c>
      <c r="F578" s="28" t="e">
        <f ca="1">_xludf.ifna(VLOOKUP(G579,Proyectos!$E$1:$H$4,4,0),"")</f>
        <v>#NAME?</v>
      </c>
      <c r="G578" s="26" t="s">
        <v>5648</v>
      </c>
      <c r="H578" s="30">
        <v>0.5</v>
      </c>
      <c r="I578" s="31" t="s">
        <v>18</v>
      </c>
      <c r="J578" s="32"/>
      <c r="K578" s="32" t="str">
        <f t="shared" si="2"/>
        <v>Externo</v>
      </c>
      <c r="L578" s="32" t="e">
        <f ca="1">_xludf.ifna(VLOOKUP(G579,Proyectos!$E$1:$N$4,10,0),"")</f>
        <v>#NAME?</v>
      </c>
      <c r="M578" s="32"/>
      <c r="N578" s="32"/>
      <c r="O578" s="31"/>
      <c r="P578" s="33"/>
      <c r="Q578" s="33"/>
    </row>
    <row r="579" spans="1:17" ht="16.5" customHeight="1" x14ac:dyDescent="0.2">
      <c r="A579" s="26" t="s">
        <v>4497</v>
      </c>
      <c r="B579" s="26" t="s">
        <v>5731</v>
      </c>
      <c r="C579" s="26" t="s">
        <v>64</v>
      </c>
      <c r="D579" s="26" t="s">
        <v>74</v>
      </c>
      <c r="E579" s="26" t="s">
        <v>108</v>
      </c>
      <c r="F579" s="28" t="e">
        <f ca="1">_xludf.ifna(VLOOKUP(G580,Proyectos!$E$1:$H$4,4,0),"")</f>
        <v>#NAME?</v>
      </c>
      <c r="G579" s="26" t="s">
        <v>5597</v>
      </c>
      <c r="H579" s="30">
        <v>0.5</v>
      </c>
      <c r="I579" s="31" t="s">
        <v>18</v>
      </c>
      <c r="J579" s="32"/>
      <c r="K579" s="32" t="str">
        <f t="shared" si="2"/>
        <v>Externo</v>
      </c>
      <c r="L579" s="32" t="e">
        <f ca="1">_xludf.ifna(VLOOKUP(G580,Proyectos!$E$1:$N$4,10,0),"")</f>
        <v>#NAME?</v>
      </c>
      <c r="M579" s="32"/>
      <c r="N579" s="31"/>
      <c r="O579" s="31"/>
      <c r="P579" s="33"/>
      <c r="Q579" s="33"/>
    </row>
    <row r="580" spans="1:17" ht="16.5" customHeight="1" x14ac:dyDescent="0.2">
      <c r="A580" s="26" t="s">
        <v>3594</v>
      </c>
      <c r="B580" s="26" t="s">
        <v>3595</v>
      </c>
      <c r="C580" s="26" t="s">
        <v>115</v>
      </c>
      <c r="D580" s="26" t="s">
        <v>116</v>
      </c>
      <c r="E580" s="26" t="s">
        <v>39</v>
      </c>
      <c r="F580" s="28" t="e">
        <f ca="1">_xludf.ifna(VLOOKUP(G581,Proyectos!$E$1:$H$4,4,0),"")</f>
        <v>#NAME?</v>
      </c>
      <c r="G580" s="26" t="s">
        <v>5314</v>
      </c>
      <c r="H580" s="32">
        <v>0.2</v>
      </c>
      <c r="I580" s="31" t="s">
        <v>18</v>
      </c>
      <c r="J580" s="32"/>
      <c r="K580" s="32" t="str">
        <f t="shared" si="2"/>
        <v>Interno</v>
      </c>
      <c r="L580" s="32" t="e">
        <f ca="1">_xludf.ifna(VLOOKUP(G581,Proyectos!$E$1:$N$4,10,0),"")</f>
        <v>#NAME?</v>
      </c>
      <c r="M580" s="32"/>
      <c r="N580" s="32"/>
      <c r="O580" s="31"/>
      <c r="P580" s="33"/>
      <c r="Q580" s="33"/>
    </row>
    <row r="581" spans="1:17" ht="16.5" customHeight="1" x14ac:dyDescent="0.2">
      <c r="A581" s="26" t="s">
        <v>3594</v>
      </c>
      <c r="B581" s="26" t="s">
        <v>3595</v>
      </c>
      <c r="C581" s="26" t="s">
        <v>115</v>
      </c>
      <c r="D581" s="26" t="s">
        <v>116</v>
      </c>
      <c r="E581" s="26" t="s">
        <v>39</v>
      </c>
      <c r="F581" s="28" t="e">
        <f ca="1">_xludf.ifna(VLOOKUP(G582,Proyectos!$E$1:$H$4,4,0),"")</f>
        <v>#NAME?</v>
      </c>
      <c r="G581" s="26" t="s">
        <v>5237</v>
      </c>
      <c r="H581" s="32">
        <v>0.3</v>
      </c>
      <c r="I581" s="31" t="s">
        <v>18</v>
      </c>
      <c r="J581" s="32"/>
      <c r="K581" s="32" t="str">
        <f t="shared" si="2"/>
        <v>Interno</v>
      </c>
      <c r="L581" s="32" t="e">
        <f ca="1">_xludf.ifna(VLOOKUP(G582,Proyectos!$E$1:$N$4,10,0),"")</f>
        <v>#NAME?</v>
      </c>
      <c r="M581" s="32"/>
      <c r="N581" s="32"/>
      <c r="O581" s="31"/>
      <c r="P581" s="33"/>
      <c r="Q581" s="33"/>
    </row>
    <row r="582" spans="1:17" ht="16.5" customHeight="1" x14ac:dyDescent="0.2">
      <c r="A582" s="26" t="s">
        <v>3594</v>
      </c>
      <c r="B582" s="26" t="s">
        <v>3595</v>
      </c>
      <c r="C582" s="26" t="s">
        <v>115</v>
      </c>
      <c r="D582" s="26" t="s">
        <v>116</v>
      </c>
      <c r="E582" s="26" t="s">
        <v>39</v>
      </c>
      <c r="F582" s="28" t="e">
        <f ca="1">_xludf.ifna(VLOOKUP(G583,Proyectos!$E$1:$H$4,4,0),"")</f>
        <v>#NAME?</v>
      </c>
      <c r="G582" s="26" t="s">
        <v>5314</v>
      </c>
      <c r="H582" s="32">
        <v>0.3</v>
      </c>
      <c r="I582" s="31" t="s">
        <v>18</v>
      </c>
      <c r="J582" s="32"/>
      <c r="K582" s="32" t="str">
        <f t="shared" si="2"/>
        <v>Interno</v>
      </c>
      <c r="L582" s="32" t="e">
        <f ca="1">_xludf.ifna(VLOOKUP(G583,Proyectos!$E$1:$N$4,10,0),"")</f>
        <v>#NAME?</v>
      </c>
      <c r="M582" s="32"/>
      <c r="N582" s="32"/>
      <c r="O582" s="31"/>
      <c r="P582" s="33"/>
      <c r="Q582" s="33"/>
    </row>
    <row r="583" spans="1:17" ht="16.5" customHeight="1" x14ac:dyDescent="0.2">
      <c r="A583" s="26" t="s">
        <v>3594</v>
      </c>
      <c r="B583" s="26" t="s">
        <v>3595</v>
      </c>
      <c r="C583" s="26" t="s">
        <v>115</v>
      </c>
      <c r="D583" s="26" t="s">
        <v>116</v>
      </c>
      <c r="E583" s="26" t="s">
        <v>39</v>
      </c>
      <c r="F583" s="28" t="e">
        <f ca="1">_xludf.ifna(VLOOKUP(G584,Proyectos!$E$1:$H$4,4,0),"")</f>
        <v>#NAME?</v>
      </c>
      <c r="G583" s="26" t="s">
        <v>5597</v>
      </c>
      <c r="H583" s="32">
        <v>0.2</v>
      </c>
      <c r="I583" s="31" t="s">
        <v>18</v>
      </c>
      <c r="J583" s="31" t="s">
        <v>5480</v>
      </c>
      <c r="K583" s="32" t="str">
        <f t="shared" si="2"/>
        <v>Interno</v>
      </c>
      <c r="L583" s="32" t="e">
        <f ca="1">_xludf.ifna(VLOOKUP(G584,Proyectos!$E$1:$N$4,10,0),"")</f>
        <v>#NAME?</v>
      </c>
      <c r="M583" s="32"/>
      <c r="N583" s="31"/>
      <c r="O583" s="31"/>
      <c r="P583" s="33"/>
      <c r="Q583" s="33"/>
    </row>
    <row r="584" spans="1:17" ht="16.5" customHeight="1" x14ac:dyDescent="0.2">
      <c r="A584" s="26" t="s">
        <v>3692</v>
      </c>
      <c r="B584" s="26" t="s">
        <v>3693</v>
      </c>
      <c r="C584" s="26" t="s">
        <v>115</v>
      </c>
      <c r="D584" s="26" t="s">
        <v>116</v>
      </c>
      <c r="E584" s="26" t="s">
        <v>39</v>
      </c>
      <c r="F584" s="28" t="e">
        <f ca="1">_xludf.ifna(VLOOKUP(G585,Proyectos!$E$1:$H$4,4,0),"")</f>
        <v>#NAME?</v>
      </c>
      <c r="G584" s="26" t="s">
        <v>5334</v>
      </c>
      <c r="H584" s="32">
        <v>1</v>
      </c>
      <c r="I584" s="31" t="s">
        <v>18</v>
      </c>
      <c r="J584" s="32"/>
      <c r="K584" s="32" t="str">
        <f t="shared" si="2"/>
        <v>Interno</v>
      </c>
      <c r="L584" s="32" t="e">
        <f ca="1">_xludf.ifna(VLOOKUP(G585,Proyectos!$E$1:$N$4,10,0),"")</f>
        <v>#NAME?</v>
      </c>
      <c r="M584" s="32"/>
      <c r="N584" s="31"/>
      <c r="O584" s="31"/>
      <c r="P584" s="33"/>
      <c r="Q584" s="33"/>
    </row>
    <row r="585" spans="1:17" ht="16.5" customHeight="1" x14ac:dyDescent="0.2">
      <c r="A585" s="26" t="s">
        <v>4728</v>
      </c>
      <c r="B585" s="26" t="s">
        <v>5558</v>
      </c>
      <c r="C585" s="26" t="s">
        <v>115</v>
      </c>
      <c r="D585" s="26" t="s">
        <v>131</v>
      </c>
      <c r="E585" s="26" t="s">
        <v>39</v>
      </c>
      <c r="F585" s="28" t="e">
        <f ca="1">_xludf.ifna(VLOOKUP(G586,Proyectos!$E$1:$H$4,4,0),"")</f>
        <v>#NAME?</v>
      </c>
      <c r="G585" s="26" t="s">
        <v>5559</v>
      </c>
      <c r="H585" s="32">
        <v>1</v>
      </c>
      <c r="I585" s="31" t="s">
        <v>18</v>
      </c>
      <c r="J585" s="32"/>
      <c r="K585" s="32" t="str">
        <f t="shared" si="2"/>
        <v>Interno</v>
      </c>
      <c r="L585" s="32" t="e">
        <f ca="1">_xludf.ifna(VLOOKUP(G586,Proyectos!$E$1:$N$4,10,0),"")</f>
        <v>#NAME?</v>
      </c>
      <c r="M585" s="32"/>
      <c r="N585" s="31"/>
      <c r="O585" s="31"/>
      <c r="P585" s="33"/>
      <c r="Q585" s="33"/>
    </row>
    <row r="586" spans="1:17" ht="16.5" customHeight="1" x14ac:dyDescent="0.2">
      <c r="A586" s="35" t="s">
        <v>4924</v>
      </c>
      <c r="B586" s="26" t="s">
        <v>5732</v>
      </c>
      <c r="C586" s="26" t="s">
        <v>64</v>
      </c>
      <c r="D586" s="26" t="s">
        <v>82</v>
      </c>
      <c r="E586" s="35" t="s">
        <v>9</v>
      </c>
      <c r="F586" s="28" t="e">
        <f ca="1">_xludf.ifna(VLOOKUP(G587,Proyectos!$E$1:$H$4,4,0),"")</f>
        <v>#NAME?</v>
      </c>
      <c r="G586" s="26" t="s">
        <v>5387</v>
      </c>
      <c r="H586" s="32">
        <v>1</v>
      </c>
      <c r="I586" s="31" t="s">
        <v>18</v>
      </c>
      <c r="J586" s="32"/>
      <c r="K586" s="32" t="str">
        <f t="shared" si="2"/>
        <v>Externo</v>
      </c>
      <c r="L586" s="32" t="e">
        <f ca="1">_xludf.ifna(VLOOKUP(G587,Proyectos!$E$1:$N$4,10,0),"")</f>
        <v>#NAME?</v>
      </c>
      <c r="M586" s="32"/>
      <c r="N586" s="32"/>
      <c r="O586" s="31"/>
      <c r="P586" s="33"/>
      <c r="Q586" s="33"/>
    </row>
    <row r="587" spans="1:17" ht="16.5" customHeight="1" x14ac:dyDescent="0.2">
      <c r="A587" s="26" t="s">
        <v>4599</v>
      </c>
      <c r="B587" s="26" t="s">
        <v>4600</v>
      </c>
      <c r="C587" s="26" t="s">
        <v>115</v>
      </c>
      <c r="D587" s="26" t="s">
        <v>116</v>
      </c>
      <c r="E587" s="26" t="s">
        <v>39</v>
      </c>
      <c r="F587" s="28" t="e">
        <f ca="1">_xludf.ifna(VLOOKUP(G588,Proyectos!$E$1:$H$4,4,0),"")</f>
        <v>#NAME?</v>
      </c>
      <c r="G587" s="26" t="s">
        <v>5329</v>
      </c>
      <c r="H587" s="32">
        <v>0.5</v>
      </c>
      <c r="I587" s="31" t="s">
        <v>18</v>
      </c>
      <c r="J587" s="32"/>
      <c r="K587" s="32" t="str">
        <f t="shared" si="2"/>
        <v>Interno</v>
      </c>
      <c r="L587" s="32" t="e">
        <f ca="1">_xludf.ifna(VLOOKUP(G588,Proyectos!$E$1:$N$4,10,0),"")</f>
        <v>#NAME?</v>
      </c>
      <c r="M587" s="32"/>
      <c r="N587" s="32"/>
      <c r="O587" s="31"/>
      <c r="P587" s="33"/>
      <c r="Q587" s="33"/>
    </row>
    <row r="588" spans="1:17" ht="16.5" customHeight="1" x14ac:dyDescent="0.2">
      <c r="A588" s="26" t="s">
        <v>4599</v>
      </c>
      <c r="B588" s="26" t="s">
        <v>4600</v>
      </c>
      <c r="C588" s="26" t="s">
        <v>115</v>
      </c>
      <c r="D588" s="26" t="s">
        <v>116</v>
      </c>
      <c r="E588" s="26" t="s">
        <v>39</v>
      </c>
      <c r="F588" s="28" t="e">
        <f ca="1">_xludf.ifna(VLOOKUP(G589,Proyectos!$E$1:$H$4,4,0),"")</f>
        <v>#NAME?</v>
      </c>
      <c r="G588" s="26" t="s">
        <v>5619</v>
      </c>
      <c r="H588" s="32">
        <v>0.5</v>
      </c>
      <c r="I588" s="31" t="s">
        <v>18</v>
      </c>
      <c r="J588" s="32"/>
      <c r="K588" s="32" t="str">
        <f t="shared" si="2"/>
        <v>Interno</v>
      </c>
      <c r="L588" s="32" t="e">
        <f ca="1">_xludf.ifna(VLOOKUP(G589,Proyectos!$E$1:$N$4,10,0),"")</f>
        <v>#NAME?</v>
      </c>
      <c r="M588" s="32"/>
      <c r="N588" s="31"/>
      <c r="O588" s="31"/>
      <c r="P588" s="33"/>
      <c r="Q588" s="33"/>
    </row>
    <row r="589" spans="1:17" ht="16.5" customHeight="1" x14ac:dyDescent="0.2">
      <c r="A589" s="26" t="s">
        <v>4601</v>
      </c>
      <c r="B589" s="26" t="s">
        <v>4602</v>
      </c>
      <c r="C589" s="26" t="s">
        <v>37</v>
      </c>
      <c r="D589" s="26" t="s">
        <v>45</v>
      </c>
      <c r="E589" s="26" t="s">
        <v>39</v>
      </c>
      <c r="F589" s="28" t="e">
        <f ca="1">_xludf.ifna(VLOOKUP(G590,Proyectos!$E$1:$H$4,4,0),"")</f>
        <v>#NAME?</v>
      </c>
      <c r="G589" s="26" t="s">
        <v>5608</v>
      </c>
      <c r="H589" s="32">
        <v>0.5</v>
      </c>
      <c r="I589" s="31" t="s">
        <v>18</v>
      </c>
      <c r="J589" s="32"/>
      <c r="K589" s="32" t="str">
        <f t="shared" si="2"/>
        <v>Interno</v>
      </c>
      <c r="L589" s="32" t="e">
        <f ca="1">_xludf.ifna(VLOOKUP(G590,Proyectos!$E$1:$N$4,10,0),"")</f>
        <v>#NAME?</v>
      </c>
      <c r="M589" s="32"/>
      <c r="N589" s="31"/>
      <c r="O589" s="31"/>
      <c r="P589" s="33"/>
      <c r="Q589" s="33"/>
    </row>
    <row r="590" spans="1:17" ht="16.5" customHeight="1" x14ac:dyDescent="0.2">
      <c r="A590" s="26" t="s">
        <v>4601</v>
      </c>
      <c r="B590" s="26" t="s">
        <v>4602</v>
      </c>
      <c r="C590" s="26" t="s">
        <v>37</v>
      </c>
      <c r="D590" s="26" t="s">
        <v>45</v>
      </c>
      <c r="E590" s="26" t="s">
        <v>39</v>
      </c>
      <c r="F590" s="28" t="e">
        <f ca="1">_xludf.ifna(VLOOKUP(G591,Proyectos!$E$1:$H$4,4,0),"")</f>
        <v>#NAME?</v>
      </c>
      <c r="G590" s="26" t="s">
        <v>5123</v>
      </c>
      <c r="H590" s="32">
        <v>0.4</v>
      </c>
      <c r="I590" s="31" t="s">
        <v>18</v>
      </c>
      <c r="J590" s="32"/>
      <c r="K590" s="32" t="str">
        <f t="shared" si="2"/>
        <v>Interno</v>
      </c>
      <c r="L590" s="32" t="e">
        <f ca="1">_xludf.ifna(VLOOKUP(G591,Proyectos!$E$1:$N$4,10,0),"")</f>
        <v>#NAME?</v>
      </c>
      <c r="M590" s="32"/>
      <c r="N590" s="31"/>
      <c r="O590" s="31"/>
      <c r="P590" s="33"/>
      <c r="Q590" s="33"/>
    </row>
    <row r="591" spans="1:17" ht="16.5" customHeight="1" x14ac:dyDescent="0.2">
      <c r="A591" s="94" t="s">
        <v>4601</v>
      </c>
      <c r="B591" s="94" t="s">
        <v>4602</v>
      </c>
      <c r="C591" s="26" t="s">
        <v>37</v>
      </c>
      <c r="D591" s="26" t="s">
        <v>45</v>
      </c>
      <c r="E591" s="26" t="s">
        <v>39</v>
      </c>
      <c r="F591" s="28" t="e">
        <f ca="1">_xludf.ifna(VLOOKUP(G592,Proyectos!$E$1:$H$4,4,0),"")</f>
        <v>#NAME?</v>
      </c>
      <c r="G591" s="26" t="s">
        <v>5150</v>
      </c>
      <c r="H591" s="32">
        <v>0.1</v>
      </c>
      <c r="I591" s="31" t="s">
        <v>18</v>
      </c>
      <c r="J591" s="32"/>
      <c r="K591" s="32" t="str">
        <f t="shared" si="2"/>
        <v>Interno</v>
      </c>
      <c r="L591" s="32" t="e">
        <f ca="1">_xludf.ifna(VLOOKUP(G592,Proyectos!$E$1:$N$4,10,0),"")</f>
        <v>#NAME?</v>
      </c>
      <c r="M591" s="32"/>
      <c r="N591" s="31"/>
      <c r="O591" s="31"/>
      <c r="P591" s="33"/>
      <c r="Q591" s="33"/>
    </row>
    <row r="592" spans="1:17" ht="16.5" customHeight="1" x14ac:dyDescent="0.2">
      <c r="A592" s="49" t="s">
        <v>4699</v>
      </c>
      <c r="B592" s="49" t="s">
        <v>4700</v>
      </c>
      <c r="C592" s="26" t="s">
        <v>115</v>
      </c>
      <c r="D592" s="26" t="s">
        <v>134</v>
      </c>
      <c r="E592" s="26" t="s">
        <v>39</v>
      </c>
      <c r="F592" s="28" t="e">
        <f ca="1">_xludf.ifna(VLOOKUP(G593,Proyectos!$E$1:$H$4,4,0),"")</f>
        <v>#NAME?</v>
      </c>
      <c r="G592" s="26" t="s">
        <v>5539</v>
      </c>
      <c r="H592" s="32">
        <v>0.9</v>
      </c>
      <c r="I592" s="31" t="s">
        <v>18</v>
      </c>
      <c r="J592" s="32"/>
      <c r="K592" s="32" t="str">
        <f t="shared" si="2"/>
        <v>Interno</v>
      </c>
      <c r="L592" s="32" t="e">
        <f ca="1">_xludf.ifna(VLOOKUP(G593,Proyectos!$E$1:$N$4,10,0),"")</f>
        <v>#NAME?</v>
      </c>
      <c r="M592" s="32"/>
      <c r="N592" s="32"/>
      <c r="O592" s="31"/>
      <c r="P592" s="33"/>
      <c r="Q592" s="33"/>
    </row>
    <row r="593" spans="1:17" ht="16.5" customHeight="1" x14ac:dyDescent="0.2">
      <c r="A593" s="49" t="s">
        <v>4699</v>
      </c>
      <c r="B593" s="49" t="s">
        <v>4700</v>
      </c>
      <c r="C593" s="26" t="s">
        <v>115</v>
      </c>
      <c r="D593" s="26" t="s">
        <v>134</v>
      </c>
      <c r="E593" s="26" t="s">
        <v>39</v>
      </c>
      <c r="F593" s="28" t="e">
        <f ca="1">_xludf.ifna(VLOOKUP(G594,Proyectos!$E$1:$H$4,4,0),"")</f>
        <v>#NAME?</v>
      </c>
      <c r="G593" s="26" t="s">
        <v>5597</v>
      </c>
      <c r="H593" s="32">
        <v>0.1</v>
      </c>
      <c r="I593" s="31" t="s">
        <v>18</v>
      </c>
      <c r="J593" s="32"/>
      <c r="K593" s="32" t="str">
        <f t="shared" si="2"/>
        <v>Interno</v>
      </c>
      <c r="L593" s="32" t="e">
        <f ca="1">_xludf.ifna(VLOOKUP(G594,Proyectos!$E$1:$N$4,10,0),"")</f>
        <v>#NAME?</v>
      </c>
      <c r="M593" s="32"/>
      <c r="N593" s="31"/>
      <c r="O593" s="31"/>
      <c r="P593" s="33"/>
      <c r="Q593" s="33"/>
    </row>
    <row r="594" spans="1:17" ht="16.5" customHeight="1" x14ac:dyDescent="0.2">
      <c r="A594" s="35" t="s">
        <v>3534</v>
      </c>
      <c r="B594" s="26" t="s">
        <v>5733</v>
      </c>
      <c r="C594" s="26" t="s">
        <v>64</v>
      </c>
      <c r="D594" s="26" t="s">
        <v>82</v>
      </c>
      <c r="E594" s="26" t="s">
        <v>39</v>
      </c>
      <c r="F594" s="28" t="e">
        <f ca="1">_xludf.ifna(VLOOKUP(G595,Proyectos!$E$1:$H$4,4,0),"")</f>
        <v>#NAME?</v>
      </c>
      <c r="G594" s="26" t="s">
        <v>5597</v>
      </c>
      <c r="H594" s="32">
        <v>1</v>
      </c>
      <c r="I594" s="31" t="s">
        <v>18</v>
      </c>
      <c r="J594" s="32"/>
      <c r="K594" s="32" t="str">
        <f t="shared" si="2"/>
        <v>Interno</v>
      </c>
      <c r="L594" s="32" t="e">
        <f ca="1">_xludf.ifna(VLOOKUP(G595,Proyectos!$E$1:$N$4,10,0),"")</f>
        <v>#NAME?</v>
      </c>
      <c r="M594" s="32"/>
      <c r="N594" s="31"/>
      <c r="O594" s="31"/>
      <c r="P594" s="33"/>
      <c r="Q594" s="33"/>
    </row>
    <row r="595" spans="1:17" ht="16.5" customHeight="1" x14ac:dyDescent="0.2">
      <c r="A595" s="26" t="s">
        <v>4605</v>
      </c>
      <c r="B595" s="26" t="s">
        <v>4606</v>
      </c>
      <c r="C595" s="26" t="s">
        <v>98</v>
      </c>
      <c r="D595" s="26" t="s">
        <v>99</v>
      </c>
      <c r="E595" s="26" t="s">
        <v>39</v>
      </c>
      <c r="F595" s="28" t="e">
        <f ca="1">_xludf.ifna(VLOOKUP(G596,Proyectos!$E$1:$H$4,4,0),"")</f>
        <v>#NAME?</v>
      </c>
      <c r="G595" s="26" t="s">
        <v>5125</v>
      </c>
      <c r="H595" s="32">
        <v>0.75</v>
      </c>
      <c r="I595" s="31" t="s">
        <v>18</v>
      </c>
      <c r="J595" s="32"/>
      <c r="K595" s="32" t="str">
        <f t="shared" si="2"/>
        <v>Interno</v>
      </c>
      <c r="L595" s="32" t="e">
        <f ca="1">_xludf.ifna(VLOOKUP(G596,Proyectos!$E$1:$N$4,10,0),"")</f>
        <v>#NAME?</v>
      </c>
      <c r="M595" s="32"/>
      <c r="N595" s="32"/>
      <c r="O595" s="31"/>
      <c r="P595" s="33"/>
      <c r="Q595" s="33"/>
    </row>
    <row r="596" spans="1:17" ht="16.5" customHeight="1" x14ac:dyDescent="0.2">
      <c r="A596" s="26" t="s">
        <v>4605</v>
      </c>
      <c r="B596" s="26" t="s">
        <v>4606</v>
      </c>
      <c r="C596" s="26" t="s">
        <v>98</v>
      </c>
      <c r="D596" s="26" t="s">
        <v>99</v>
      </c>
      <c r="E596" s="26" t="s">
        <v>39</v>
      </c>
      <c r="F596" s="28" t="e">
        <f ca="1">_xludf.ifna(VLOOKUP(G597,Proyectos!$E$1:$H$4,4,0),"")</f>
        <v>#NAME?</v>
      </c>
      <c r="G596" s="26" t="s">
        <v>5597</v>
      </c>
      <c r="H596" s="32">
        <v>0.25</v>
      </c>
      <c r="I596" s="31" t="s">
        <v>18</v>
      </c>
      <c r="J596" s="32"/>
      <c r="K596" s="32" t="str">
        <f t="shared" si="2"/>
        <v>Interno</v>
      </c>
      <c r="L596" s="32" t="e">
        <f ca="1">_xludf.ifna(VLOOKUP(G597,Proyectos!$E$1:$N$4,10,0),"")</f>
        <v>#NAME?</v>
      </c>
      <c r="M596" s="32"/>
      <c r="N596" s="32"/>
      <c r="O596" s="31"/>
      <c r="P596" s="33"/>
      <c r="Q596" s="33"/>
    </row>
    <row r="597" spans="1:17" ht="16.5" customHeight="1" x14ac:dyDescent="0.2">
      <c r="A597" s="26" t="s">
        <v>4648</v>
      </c>
      <c r="B597" s="26" t="s">
        <v>4649</v>
      </c>
      <c r="C597" s="26" t="s">
        <v>115</v>
      </c>
      <c r="D597" s="26" t="s">
        <v>116</v>
      </c>
      <c r="E597" s="26" t="s">
        <v>39</v>
      </c>
      <c r="F597" s="28" t="e">
        <f ca="1">_xludf.ifna(VLOOKUP(G598,Proyectos!$E$1:$H$4,4,0),"")</f>
        <v>#NAME?</v>
      </c>
      <c r="G597" s="26" t="s">
        <v>5597</v>
      </c>
      <c r="H597" s="32">
        <v>1</v>
      </c>
      <c r="I597" s="31" t="s">
        <v>18</v>
      </c>
      <c r="J597" s="32"/>
      <c r="K597" s="32" t="str">
        <f t="shared" si="2"/>
        <v>Interno</v>
      </c>
      <c r="L597" s="32" t="e">
        <f ca="1">_xludf.ifna(VLOOKUP(G598,Proyectos!$E$1:$N$4,10,0),"")</f>
        <v>#NAME?</v>
      </c>
      <c r="M597" s="32"/>
      <c r="N597" s="31"/>
      <c r="O597" s="31"/>
      <c r="P597" s="33"/>
      <c r="Q597" s="33"/>
    </row>
    <row r="598" spans="1:17" ht="16.5" customHeight="1" x14ac:dyDescent="0.2">
      <c r="A598" s="26" t="s">
        <v>3364</v>
      </c>
      <c r="B598" s="26" t="s">
        <v>3365</v>
      </c>
      <c r="C598" s="26" t="s">
        <v>115</v>
      </c>
      <c r="D598" s="26" t="s">
        <v>116</v>
      </c>
      <c r="E598" s="26" t="s">
        <v>39</v>
      </c>
      <c r="F598" s="28" t="e">
        <f ca="1">_xludf.ifna(VLOOKUP(G599,Proyectos!$E$1:$H$4,4,0),"")</f>
        <v>#NAME?</v>
      </c>
      <c r="G598" s="26" t="s">
        <v>5117</v>
      </c>
      <c r="H598" s="32">
        <v>0.3</v>
      </c>
      <c r="I598" s="31" t="s">
        <v>11</v>
      </c>
      <c r="J598" s="32"/>
      <c r="K598" s="32" t="str">
        <f t="shared" si="2"/>
        <v>Interno</v>
      </c>
      <c r="L598" s="32" t="e">
        <f ca="1">_xludf.ifna(VLOOKUP(G599,Proyectos!$E$1:$N$4,10,0),"")</f>
        <v>#NAME?</v>
      </c>
      <c r="M598" s="32"/>
      <c r="N598" s="32"/>
      <c r="O598" s="31"/>
      <c r="P598" s="33"/>
      <c r="Q598" s="33"/>
    </row>
    <row r="599" spans="1:17" ht="16.5" customHeight="1" x14ac:dyDescent="0.2">
      <c r="A599" s="26" t="s">
        <v>3364</v>
      </c>
      <c r="B599" s="26" t="s">
        <v>3365</v>
      </c>
      <c r="C599" s="26" t="s">
        <v>115</v>
      </c>
      <c r="D599" s="26" t="s">
        <v>116</v>
      </c>
      <c r="E599" s="26" t="s">
        <v>39</v>
      </c>
      <c r="F599" s="28" t="e">
        <f ca="1">_xludf.ifna(VLOOKUP(G600,Proyectos!$E$1:$H$4,4,0),"")</f>
        <v>#NAME?</v>
      </c>
      <c r="G599" s="26" t="s">
        <v>5331</v>
      </c>
      <c r="H599" s="32">
        <v>0.3</v>
      </c>
      <c r="I599" s="31" t="s">
        <v>11</v>
      </c>
      <c r="J599" s="32"/>
      <c r="K599" s="32" t="str">
        <f t="shared" si="2"/>
        <v>Interno</v>
      </c>
      <c r="L599" s="32" t="e">
        <f ca="1">_xludf.ifna(VLOOKUP(G600,Proyectos!$E$1:$N$4,10,0),"")</f>
        <v>#NAME?</v>
      </c>
      <c r="M599" s="32"/>
      <c r="N599" s="31"/>
      <c r="O599" s="31"/>
      <c r="P599" s="33"/>
      <c r="Q599" s="33"/>
    </row>
    <row r="600" spans="1:17" ht="16.5" customHeight="1" x14ac:dyDescent="0.2">
      <c r="A600" s="26" t="s">
        <v>3364</v>
      </c>
      <c r="B600" s="26" t="s">
        <v>3365</v>
      </c>
      <c r="C600" s="26" t="s">
        <v>115</v>
      </c>
      <c r="D600" s="26" t="s">
        <v>116</v>
      </c>
      <c r="E600" s="26" t="s">
        <v>39</v>
      </c>
      <c r="F600" s="28" t="e">
        <f ca="1">_xludf.ifna(VLOOKUP(G601,Proyectos!$E$1:$H$4,4,0),"")</f>
        <v>#NAME?</v>
      </c>
      <c r="G600" s="26" t="s">
        <v>5334</v>
      </c>
      <c r="H600" s="32">
        <v>0.4</v>
      </c>
      <c r="I600" s="31" t="s">
        <v>11</v>
      </c>
      <c r="J600" s="32"/>
      <c r="K600" s="32" t="str">
        <f t="shared" si="2"/>
        <v>Interno</v>
      </c>
      <c r="L600" s="32" t="e">
        <f ca="1">_xludf.ifna(VLOOKUP(G601,Proyectos!$E$1:$N$4,10,0),"")</f>
        <v>#NAME?</v>
      </c>
      <c r="M600" s="32"/>
      <c r="N600" s="31"/>
      <c r="O600" s="31"/>
      <c r="P600" s="33"/>
      <c r="Q600" s="33"/>
    </row>
    <row r="601" spans="1:17" ht="16.5" customHeight="1" x14ac:dyDescent="0.2">
      <c r="A601" s="26" t="s">
        <v>3508</v>
      </c>
      <c r="B601" s="26" t="s">
        <v>5734</v>
      </c>
      <c r="C601" s="26" t="s">
        <v>7</v>
      </c>
      <c r="D601" s="26" t="s">
        <v>16</v>
      </c>
      <c r="E601" s="26" t="s">
        <v>39</v>
      </c>
      <c r="F601" s="28" t="e">
        <f ca="1">_xludf.ifna(VLOOKUP(G602,Proyectos!$E$1:$H$4,4,0),"")</f>
        <v>#NAME?</v>
      </c>
      <c r="G601" s="26" t="s">
        <v>5233</v>
      </c>
      <c r="H601" s="65">
        <v>0.7</v>
      </c>
      <c r="I601" s="31" t="s">
        <v>18</v>
      </c>
      <c r="J601" s="32"/>
      <c r="K601" s="32" t="str">
        <f t="shared" si="2"/>
        <v>Interno</v>
      </c>
      <c r="L601" s="32" t="e">
        <f ca="1">_xludf.ifna(VLOOKUP(G602,Proyectos!$E$1:$N$4,10,0),"")</f>
        <v>#NAME?</v>
      </c>
      <c r="M601" s="32"/>
      <c r="N601" s="32"/>
      <c r="O601" s="31"/>
      <c r="P601" s="33"/>
      <c r="Q601" s="33"/>
    </row>
    <row r="602" spans="1:17" ht="16.5" customHeight="1" x14ac:dyDescent="0.2">
      <c r="A602" s="26" t="s">
        <v>3508</v>
      </c>
      <c r="B602" s="26" t="s">
        <v>5734</v>
      </c>
      <c r="C602" s="26" t="s">
        <v>7</v>
      </c>
      <c r="D602" s="26" t="s">
        <v>16</v>
      </c>
      <c r="E602" s="26" t="s">
        <v>39</v>
      </c>
      <c r="F602" s="28" t="e">
        <f ca="1">_xludf.ifna(VLOOKUP(G603,Proyectos!$E$1:$H$4,4,0),"")</f>
        <v>#NAME?</v>
      </c>
      <c r="G602" s="26" t="s">
        <v>5196</v>
      </c>
      <c r="H602" s="65">
        <v>0.3</v>
      </c>
      <c r="I602" s="31" t="s">
        <v>18</v>
      </c>
      <c r="J602" s="32"/>
      <c r="K602" s="32" t="str">
        <f t="shared" si="2"/>
        <v>Interno</v>
      </c>
      <c r="L602" s="32" t="e">
        <f ca="1">_xludf.ifna(VLOOKUP(G603,Proyectos!$E$1:$N$4,10,0),"")</f>
        <v>#NAME?</v>
      </c>
      <c r="M602" s="32"/>
      <c r="N602" s="31"/>
      <c r="O602" s="31"/>
      <c r="P602" s="33"/>
      <c r="Q602" s="33"/>
    </row>
    <row r="603" spans="1:17" ht="16.5" customHeight="1" x14ac:dyDescent="0.2">
      <c r="A603" s="26" t="s">
        <v>4277</v>
      </c>
      <c r="B603" s="26" t="s">
        <v>4278</v>
      </c>
      <c r="C603" s="26" t="s">
        <v>98</v>
      </c>
      <c r="D603" s="26" t="s">
        <v>107</v>
      </c>
      <c r="E603" s="26" t="s">
        <v>87</v>
      </c>
      <c r="F603" s="28" t="e">
        <f ca="1">_xludf.ifna(VLOOKUP(G604,Proyectos!$E$1:$H$4,4,0),"")</f>
        <v>#NAME?</v>
      </c>
      <c r="G603" s="26" t="s">
        <v>5329</v>
      </c>
      <c r="H603" s="32">
        <v>1</v>
      </c>
      <c r="I603" s="31" t="s">
        <v>18</v>
      </c>
      <c r="J603" s="32"/>
      <c r="K603" s="32" t="str">
        <f t="shared" si="2"/>
        <v>Externo</v>
      </c>
      <c r="L603" s="32" t="e">
        <f ca="1">_xludf.ifna(VLOOKUP(G604,Proyectos!$E$1:$N$4,10,0),"")</f>
        <v>#NAME?</v>
      </c>
      <c r="M603" s="32"/>
      <c r="N603" s="32"/>
      <c r="O603" s="31"/>
      <c r="P603" s="33"/>
      <c r="Q603" s="33"/>
    </row>
    <row r="604" spans="1:17" ht="16.5" customHeight="1" x14ac:dyDescent="0.2">
      <c r="A604" s="26" t="s">
        <v>4284</v>
      </c>
      <c r="B604" s="26" t="s">
        <v>5418</v>
      </c>
      <c r="C604" s="26" t="s">
        <v>115</v>
      </c>
      <c r="D604" s="26" t="s">
        <v>122</v>
      </c>
      <c r="E604" s="26" t="s">
        <v>120</v>
      </c>
      <c r="F604" s="28" t="e">
        <f ca="1">_xludf.ifna(VLOOKUP(G605,Proyectos!$E$1:$H$4,4,0),"")</f>
        <v>#NAME?</v>
      </c>
      <c r="G604" s="26" t="s">
        <v>5588</v>
      </c>
      <c r="H604" s="32">
        <v>1</v>
      </c>
      <c r="I604" s="31" t="s">
        <v>18</v>
      </c>
      <c r="J604" s="32"/>
      <c r="K604" s="32" t="str">
        <f t="shared" si="2"/>
        <v>Externo</v>
      </c>
      <c r="L604" s="32" t="e">
        <f ca="1">_xludf.ifna(VLOOKUP(G605,Proyectos!$E$1:$N$4,10,0),"")</f>
        <v>#NAME?</v>
      </c>
      <c r="M604" s="32"/>
      <c r="N604" s="32"/>
      <c r="O604" s="31"/>
      <c r="P604" s="33"/>
      <c r="Q604" s="33"/>
    </row>
    <row r="605" spans="1:17" ht="16.5" customHeight="1" x14ac:dyDescent="0.2">
      <c r="A605" s="26" t="s">
        <v>4284</v>
      </c>
      <c r="B605" s="26" t="s">
        <v>5735</v>
      </c>
      <c r="C605" s="26" t="s">
        <v>64</v>
      </c>
      <c r="D605" s="26" t="s">
        <v>95</v>
      </c>
      <c r="E605" s="26" t="s">
        <v>120</v>
      </c>
      <c r="F605" s="28" t="e">
        <f ca="1">_xludf.ifna(VLOOKUP(G606,Proyectos!$E$1:$H$4,4,0),"")</f>
        <v>#NAME?</v>
      </c>
      <c r="G605" s="26" t="s">
        <v>5364</v>
      </c>
      <c r="H605" s="32">
        <v>0.5</v>
      </c>
      <c r="I605" s="31" t="s">
        <v>18</v>
      </c>
      <c r="J605" s="32"/>
      <c r="K605" s="32" t="str">
        <f t="shared" si="2"/>
        <v>Externo</v>
      </c>
      <c r="L605" s="32" t="e">
        <f ca="1">_xludf.ifna(VLOOKUP(G606,Proyectos!$E$1:$N$4,10,0),"")</f>
        <v>#NAME?</v>
      </c>
      <c r="M605" s="32"/>
      <c r="N605" s="32"/>
      <c r="O605" s="31"/>
      <c r="P605" s="33"/>
      <c r="Q605" s="33"/>
    </row>
    <row r="606" spans="1:17" ht="16.5" customHeight="1" x14ac:dyDescent="0.2">
      <c r="A606" s="26" t="s">
        <v>3989</v>
      </c>
      <c r="B606" s="26" t="s">
        <v>3990</v>
      </c>
      <c r="C606" s="26" t="s">
        <v>115</v>
      </c>
      <c r="D606" s="26" t="s">
        <v>116</v>
      </c>
      <c r="E606" s="26" t="s">
        <v>108</v>
      </c>
      <c r="F606" s="28" t="e">
        <f ca="1">_xludf.ifna(VLOOKUP(G607,Proyectos!$E$1:$H$4,4,0),"")</f>
        <v>#NAME?</v>
      </c>
      <c r="G606" s="26" t="s">
        <v>5597</v>
      </c>
      <c r="H606" s="32">
        <v>1</v>
      </c>
      <c r="I606" s="31" t="s">
        <v>25</v>
      </c>
      <c r="J606" s="32"/>
      <c r="K606" s="32" t="str">
        <f t="shared" si="2"/>
        <v>Externo</v>
      </c>
      <c r="L606" s="32" t="e">
        <f ca="1">_xludf.ifna(VLOOKUP(G607,Proyectos!$E$1:$N$4,10,0),"")</f>
        <v>#NAME?</v>
      </c>
      <c r="M606" s="32"/>
      <c r="N606" s="31"/>
      <c r="O606" s="31"/>
      <c r="P606" s="33"/>
      <c r="Q606" s="33"/>
    </row>
    <row r="607" spans="1:17" ht="16.5" customHeight="1" x14ac:dyDescent="0.2">
      <c r="A607" s="26" t="s">
        <v>3811</v>
      </c>
      <c r="B607" s="26" t="s">
        <v>5736</v>
      </c>
      <c r="C607" s="26" t="s">
        <v>7</v>
      </c>
      <c r="D607" s="26" t="s">
        <v>16</v>
      </c>
      <c r="E607" s="26" t="s">
        <v>39</v>
      </c>
      <c r="F607" s="28" t="e">
        <f ca="1">_xludf.ifna(VLOOKUP(G608,Proyectos!$E$1:$H$4,4,0),"")</f>
        <v>#NAME?</v>
      </c>
      <c r="G607" s="26" t="s">
        <v>5237</v>
      </c>
      <c r="H607" s="32">
        <v>0.3</v>
      </c>
      <c r="I607" s="31" t="s">
        <v>11</v>
      </c>
      <c r="J607" s="32"/>
      <c r="K607" s="32" t="str">
        <f t="shared" si="2"/>
        <v>Interno</v>
      </c>
      <c r="L607" s="32" t="e">
        <f ca="1">_xludf.ifna(VLOOKUP(G608,Proyectos!$E$1:$N$4,10,0),"")</f>
        <v>#NAME?</v>
      </c>
      <c r="M607" s="32"/>
      <c r="N607" s="32"/>
      <c r="O607" s="31"/>
      <c r="P607" s="33"/>
      <c r="Q607" s="33"/>
    </row>
    <row r="608" spans="1:17" ht="16.5" customHeight="1" x14ac:dyDescent="0.2">
      <c r="A608" s="26" t="s">
        <v>3811</v>
      </c>
      <c r="B608" s="26" t="s">
        <v>5736</v>
      </c>
      <c r="C608" s="26" t="s">
        <v>7</v>
      </c>
      <c r="D608" s="26" t="s">
        <v>16</v>
      </c>
      <c r="E608" s="26" t="s">
        <v>39</v>
      </c>
      <c r="F608" s="28" t="e">
        <f ca="1">_xludf.ifna(VLOOKUP(G609,Proyectos!$E$1:$H$4,4,0),"")</f>
        <v>#NAME?</v>
      </c>
      <c r="G608" s="26" t="s">
        <v>5196</v>
      </c>
      <c r="H608" s="32">
        <v>0.15</v>
      </c>
      <c r="I608" s="31" t="s">
        <v>11</v>
      </c>
      <c r="J608" s="32"/>
      <c r="K608" s="32" t="str">
        <f t="shared" si="2"/>
        <v>Interno</v>
      </c>
      <c r="L608" s="32" t="e">
        <f ca="1">_xludf.ifna(VLOOKUP(G609,Proyectos!$E$1:$N$4,10,0),"")</f>
        <v>#NAME?</v>
      </c>
      <c r="M608" s="32"/>
      <c r="N608" s="31"/>
      <c r="O608" s="31"/>
      <c r="P608" s="33"/>
      <c r="Q608" s="33"/>
    </row>
    <row r="609" spans="1:17" ht="16.5" customHeight="1" x14ac:dyDescent="0.2">
      <c r="A609" s="26" t="s">
        <v>3811</v>
      </c>
      <c r="B609" s="26" t="s">
        <v>5736</v>
      </c>
      <c r="C609" s="26" t="s">
        <v>7</v>
      </c>
      <c r="D609" s="26" t="s">
        <v>16</v>
      </c>
      <c r="E609" s="26" t="s">
        <v>39</v>
      </c>
      <c r="F609" s="28" t="e">
        <f ca="1">_xludf.ifna(VLOOKUP(G610,Proyectos!$E$1:$H$4,4,0),"")</f>
        <v>#NAME?</v>
      </c>
      <c r="G609" s="26" t="s">
        <v>5196</v>
      </c>
      <c r="H609" s="32">
        <v>0.15</v>
      </c>
      <c r="I609" s="31" t="s">
        <v>11</v>
      </c>
      <c r="J609" s="32"/>
      <c r="K609" s="32" t="str">
        <f t="shared" si="2"/>
        <v>Interno</v>
      </c>
      <c r="L609" s="32" t="e">
        <f ca="1">_xludf.ifna(VLOOKUP(G610,Proyectos!$E$1:$N$4,10,0),"")</f>
        <v>#NAME?</v>
      </c>
      <c r="M609" s="32"/>
      <c r="N609" s="31"/>
      <c r="O609" s="31"/>
      <c r="P609" s="33"/>
      <c r="Q609" s="33"/>
    </row>
    <row r="610" spans="1:17" ht="16.5" customHeight="1" x14ac:dyDescent="0.2">
      <c r="A610" s="26" t="s">
        <v>3811</v>
      </c>
      <c r="B610" s="26" t="s">
        <v>5736</v>
      </c>
      <c r="C610" s="26" t="s">
        <v>7</v>
      </c>
      <c r="D610" s="26" t="s">
        <v>16</v>
      </c>
      <c r="E610" s="26" t="s">
        <v>39</v>
      </c>
      <c r="F610" s="28" t="e">
        <f ca="1">_xludf.ifna(VLOOKUP(G611,Proyectos!$E$1:$H$4,4,0),"")</f>
        <v>#NAME?</v>
      </c>
      <c r="G610" s="26" t="s">
        <v>5236</v>
      </c>
      <c r="H610" s="32">
        <v>0.2</v>
      </c>
      <c r="I610" s="31" t="s">
        <v>11</v>
      </c>
      <c r="J610" s="32"/>
      <c r="K610" s="32" t="str">
        <f t="shared" si="2"/>
        <v>Interno</v>
      </c>
      <c r="L610" s="32" t="e">
        <f ca="1">_xludf.ifna(VLOOKUP(G611,Proyectos!$E$1:$N$4,10,0),"")</f>
        <v>#NAME?</v>
      </c>
      <c r="M610" s="32"/>
      <c r="N610" s="31"/>
      <c r="O610" s="31"/>
      <c r="P610" s="33"/>
      <c r="Q610" s="33"/>
    </row>
    <row r="611" spans="1:17" ht="16.5" customHeight="1" x14ac:dyDescent="0.2">
      <c r="A611" s="26" t="s">
        <v>3811</v>
      </c>
      <c r="B611" s="26" t="s">
        <v>5736</v>
      </c>
      <c r="C611" s="26" t="s">
        <v>7</v>
      </c>
      <c r="D611" s="26" t="s">
        <v>16</v>
      </c>
      <c r="E611" s="26" t="s">
        <v>39</v>
      </c>
      <c r="F611" s="28" t="e">
        <f ca="1">_xludf.ifna(VLOOKUP(G612,Proyectos!$E$1:$H$4,4,0),"")</f>
        <v>#NAME?</v>
      </c>
      <c r="G611" s="26" t="s">
        <v>5615</v>
      </c>
      <c r="H611" s="32">
        <v>0.2</v>
      </c>
      <c r="I611" s="31" t="s">
        <v>11</v>
      </c>
      <c r="J611" s="32"/>
      <c r="K611" s="32" t="str">
        <f t="shared" si="2"/>
        <v>Interno</v>
      </c>
      <c r="L611" s="32" t="e">
        <f ca="1">_xludf.ifna(VLOOKUP(G612,Proyectos!$E$1:$N$4,10,0),"")</f>
        <v>#NAME?</v>
      </c>
      <c r="M611" s="32"/>
      <c r="N611" s="31"/>
      <c r="O611" s="31"/>
      <c r="P611" s="33"/>
      <c r="Q611" s="33"/>
    </row>
    <row r="612" spans="1:17" ht="16.5" customHeight="1" x14ac:dyDescent="0.2">
      <c r="A612" s="26" t="s">
        <v>3664</v>
      </c>
      <c r="B612" s="26" t="s">
        <v>5272</v>
      </c>
      <c r="C612" s="26" t="s">
        <v>7</v>
      </c>
      <c r="D612" s="26" t="s">
        <v>16</v>
      </c>
      <c r="E612" s="26" t="s">
        <v>39</v>
      </c>
      <c r="F612" s="28" t="e">
        <f ca="1">_xludf.ifna(VLOOKUP(G613,Proyectos!$E$1:$H$4,4,0),"")</f>
        <v>#NAME?</v>
      </c>
      <c r="G612" s="26" t="s">
        <v>5266</v>
      </c>
      <c r="H612" s="65">
        <v>0.3</v>
      </c>
      <c r="I612" s="31" t="s">
        <v>18</v>
      </c>
      <c r="J612" s="32"/>
      <c r="K612" s="32" t="str">
        <f t="shared" si="2"/>
        <v>Interno</v>
      </c>
      <c r="L612" s="32" t="e">
        <f ca="1">_xludf.ifna(VLOOKUP(G613,Proyectos!$E$1:$N$4,10,0),"")</f>
        <v>#NAME?</v>
      </c>
      <c r="M612" s="32"/>
      <c r="N612" s="32"/>
      <c r="O612" s="31"/>
      <c r="P612" s="33"/>
      <c r="Q612" s="33"/>
    </row>
    <row r="613" spans="1:17" ht="16.5" customHeight="1" x14ac:dyDescent="0.2">
      <c r="A613" s="26" t="s">
        <v>3664</v>
      </c>
      <c r="B613" s="26" t="s">
        <v>5272</v>
      </c>
      <c r="C613" s="26" t="s">
        <v>7</v>
      </c>
      <c r="D613" s="26" t="s">
        <v>16</v>
      </c>
      <c r="E613" s="26" t="s">
        <v>39</v>
      </c>
      <c r="F613" s="28" t="e">
        <f ca="1">_xludf.ifna(VLOOKUP(G614,Proyectos!$E$1:$H$4,4,0),"")</f>
        <v>#NAME?</v>
      </c>
      <c r="G613" s="26" t="s">
        <v>5267</v>
      </c>
      <c r="H613" s="65">
        <v>0.3</v>
      </c>
      <c r="I613" s="31" t="s">
        <v>18</v>
      </c>
      <c r="J613" s="32"/>
      <c r="K613" s="32" t="str">
        <f t="shared" si="2"/>
        <v>Interno</v>
      </c>
      <c r="L613" s="32" t="e">
        <f ca="1">_xludf.ifna(VLOOKUP(G614,Proyectos!$E$1:$N$4,10,0),"")</f>
        <v>#NAME?</v>
      </c>
      <c r="M613" s="32"/>
      <c r="N613" s="32"/>
      <c r="O613" s="31"/>
      <c r="P613" s="33"/>
      <c r="Q613" s="33"/>
    </row>
    <row r="614" spans="1:17" ht="16.5" customHeight="1" x14ac:dyDescent="0.2">
      <c r="A614" s="26" t="s">
        <v>3664</v>
      </c>
      <c r="B614" s="26" t="s">
        <v>5272</v>
      </c>
      <c r="C614" s="26" t="s">
        <v>7</v>
      </c>
      <c r="D614" s="26" t="s">
        <v>16</v>
      </c>
      <c r="E614" s="26" t="s">
        <v>39</v>
      </c>
      <c r="F614" s="28" t="e">
        <f ca="1">_xludf.ifna(VLOOKUP(G615,Proyectos!$E$1:$H$4,4,0),"")</f>
        <v>#NAME?</v>
      </c>
      <c r="G614" s="26" t="s">
        <v>5604</v>
      </c>
      <c r="H614" s="32">
        <v>0.05</v>
      </c>
      <c r="I614" s="31" t="s">
        <v>18</v>
      </c>
      <c r="J614" s="31"/>
      <c r="K614" s="32" t="str">
        <f t="shared" si="2"/>
        <v>Interno</v>
      </c>
      <c r="L614" s="32" t="e">
        <f ca="1">_xludf.ifna(VLOOKUP(G615,Proyectos!$E$1:$N$4,10,0),"")</f>
        <v>#NAME?</v>
      </c>
      <c r="M614" s="32"/>
      <c r="N614" s="32"/>
      <c r="O614" s="31"/>
      <c r="P614" s="33"/>
      <c r="Q614" s="33"/>
    </row>
    <row r="615" spans="1:17" ht="16.5" customHeight="1" x14ac:dyDescent="0.2">
      <c r="A615" s="26" t="s">
        <v>3664</v>
      </c>
      <c r="B615" s="26" t="s">
        <v>5272</v>
      </c>
      <c r="C615" s="26" t="s">
        <v>7</v>
      </c>
      <c r="D615" s="26" t="s">
        <v>16</v>
      </c>
      <c r="E615" s="26" t="s">
        <v>39</v>
      </c>
      <c r="F615" s="28" t="e">
        <f ca="1">_xludf.ifna(VLOOKUP(G616,Proyectos!$E$1:$H$4,4,0),"")</f>
        <v>#NAME?</v>
      </c>
      <c r="G615" s="26" t="s">
        <v>5707</v>
      </c>
      <c r="H615" s="32">
        <v>0.35</v>
      </c>
      <c r="I615" s="31" t="s">
        <v>18</v>
      </c>
      <c r="J615" s="31"/>
      <c r="K615" s="32" t="str">
        <f t="shared" si="2"/>
        <v>Interno</v>
      </c>
      <c r="L615" s="32" t="e">
        <f ca="1">_xludf.ifna(VLOOKUP(G616,Proyectos!$E$1:$N$4,10,0),"")</f>
        <v>#NAME?</v>
      </c>
      <c r="M615" s="32"/>
      <c r="N615" s="32"/>
      <c r="O615" s="31"/>
      <c r="P615" s="33"/>
      <c r="Q615" s="33"/>
    </row>
    <row r="616" spans="1:17" ht="16.5" customHeight="1" x14ac:dyDescent="0.2">
      <c r="A616" s="26" t="s">
        <v>3439</v>
      </c>
      <c r="B616" s="26" t="s">
        <v>3440</v>
      </c>
      <c r="C616" s="26" t="s">
        <v>98</v>
      </c>
      <c r="D616" s="26" t="s">
        <v>107</v>
      </c>
      <c r="E616" s="26" t="s">
        <v>39</v>
      </c>
      <c r="F616" s="28" t="e">
        <f ca="1">_xludf.ifna(VLOOKUP(G617,Proyectos!$E$1:$H$4,4,0),"")</f>
        <v>#NAME?</v>
      </c>
      <c r="G616" s="26" t="s">
        <v>5330</v>
      </c>
      <c r="H616" s="32">
        <v>0.2</v>
      </c>
      <c r="I616" s="31" t="s">
        <v>11</v>
      </c>
      <c r="J616" s="32"/>
      <c r="K616" s="32" t="str">
        <f t="shared" si="2"/>
        <v>Interno</v>
      </c>
      <c r="L616" s="32" t="e">
        <f ca="1">_xludf.ifna(VLOOKUP(G617,Proyectos!$E$1:$N$4,10,0),"")</f>
        <v>#NAME?</v>
      </c>
      <c r="M616" s="32"/>
      <c r="N616" s="32"/>
      <c r="O616" s="31"/>
      <c r="P616" s="33"/>
      <c r="Q616" s="33"/>
    </row>
    <row r="617" spans="1:17" ht="16.5" customHeight="1" x14ac:dyDescent="0.2">
      <c r="A617" s="26" t="s">
        <v>3439</v>
      </c>
      <c r="B617" s="26" t="s">
        <v>3440</v>
      </c>
      <c r="C617" s="26" t="s">
        <v>98</v>
      </c>
      <c r="D617" s="26" t="s">
        <v>107</v>
      </c>
      <c r="E617" s="26" t="s">
        <v>39</v>
      </c>
      <c r="F617" s="28" t="e">
        <f ca="1">_xludf.ifna(VLOOKUP(G618,Proyectos!$E$1:$H$4,4,0),"")</f>
        <v>#NAME?</v>
      </c>
      <c r="G617" s="26" t="s">
        <v>5347</v>
      </c>
      <c r="H617" s="32">
        <v>0.1</v>
      </c>
      <c r="I617" s="31" t="s">
        <v>11</v>
      </c>
      <c r="J617" s="32"/>
      <c r="K617" s="32" t="str">
        <f t="shared" si="2"/>
        <v>Interno</v>
      </c>
      <c r="L617" s="32" t="e">
        <f ca="1">_xludf.ifna(VLOOKUP(G618,Proyectos!$E$1:$N$4,10,0),"")</f>
        <v>#NAME?</v>
      </c>
      <c r="M617" s="32"/>
      <c r="N617" s="32"/>
      <c r="O617" s="31"/>
      <c r="P617" s="33"/>
      <c r="Q617" s="33"/>
    </row>
    <row r="618" spans="1:17" ht="16.5" customHeight="1" x14ac:dyDescent="0.2">
      <c r="A618" s="26" t="s">
        <v>3439</v>
      </c>
      <c r="B618" s="26" t="s">
        <v>3440</v>
      </c>
      <c r="C618" s="26" t="s">
        <v>98</v>
      </c>
      <c r="D618" s="26" t="s">
        <v>107</v>
      </c>
      <c r="E618" s="26" t="s">
        <v>39</v>
      </c>
      <c r="F618" s="28" t="e">
        <f ca="1">_xludf.ifna(VLOOKUP(G619,Proyectos!$E$1:$H$4,4,0),"")</f>
        <v>#NAME?</v>
      </c>
      <c r="G618" s="26" t="s">
        <v>5524</v>
      </c>
      <c r="H618" s="32">
        <v>0.2</v>
      </c>
      <c r="I618" s="31" t="s">
        <v>11</v>
      </c>
      <c r="J618" s="32"/>
      <c r="K618" s="32" t="str">
        <f t="shared" si="2"/>
        <v>Interno</v>
      </c>
      <c r="L618" s="32" t="e">
        <f ca="1">_xludf.ifna(VLOOKUP(G619,Proyectos!$E$1:$N$4,10,0),"")</f>
        <v>#NAME?</v>
      </c>
      <c r="M618" s="32"/>
      <c r="N618" s="32"/>
      <c r="O618" s="31"/>
      <c r="P618" s="33"/>
      <c r="Q618" s="33"/>
    </row>
    <row r="619" spans="1:17" ht="16.5" customHeight="1" x14ac:dyDescent="0.2">
      <c r="A619" s="26" t="s">
        <v>3439</v>
      </c>
      <c r="B619" s="26" t="s">
        <v>3440</v>
      </c>
      <c r="C619" s="26" t="s">
        <v>98</v>
      </c>
      <c r="D619" s="26" t="s">
        <v>107</v>
      </c>
      <c r="E619" s="26" t="s">
        <v>39</v>
      </c>
      <c r="F619" s="28" t="e">
        <f ca="1">_xludf.ifna(VLOOKUP(G620,Proyectos!$E$1:$H$4,4,0),"")</f>
        <v>#NAME?</v>
      </c>
      <c r="G619" s="26" t="s">
        <v>5329</v>
      </c>
      <c r="H619" s="32">
        <v>0.5</v>
      </c>
      <c r="I619" s="31" t="s">
        <v>11</v>
      </c>
      <c r="J619" s="32"/>
      <c r="K619" s="32" t="str">
        <f t="shared" si="2"/>
        <v>Interno</v>
      </c>
      <c r="L619" s="32" t="e">
        <f ca="1">_xludf.ifna(VLOOKUP(G620,Proyectos!$E$1:$N$4,10,0),"")</f>
        <v>#NAME?</v>
      </c>
      <c r="M619" s="32"/>
      <c r="N619" s="32"/>
      <c r="O619" s="31"/>
      <c r="P619" s="33"/>
      <c r="Q619" s="33"/>
    </row>
    <row r="620" spans="1:17" ht="16.5" customHeight="1" x14ac:dyDescent="0.2">
      <c r="A620" s="26" t="s">
        <v>3325</v>
      </c>
      <c r="B620" s="26" t="s">
        <v>5737</v>
      </c>
      <c r="C620" s="26" t="s">
        <v>7</v>
      </c>
      <c r="D620" s="26" t="s">
        <v>16</v>
      </c>
      <c r="E620" s="26" t="s">
        <v>39</v>
      </c>
      <c r="F620" s="28" t="e">
        <f ca="1">_xludf.ifna(VLOOKUP(G621,Proyectos!$E$1:$H$4,4,0),"")</f>
        <v>#NAME?</v>
      </c>
      <c r="G620" s="26" t="s">
        <v>5239</v>
      </c>
      <c r="H620" s="65">
        <v>0.7</v>
      </c>
      <c r="I620" s="31" t="s">
        <v>18</v>
      </c>
      <c r="J620" s="32"/>
      <c r="K620" s="32" t="str">
        <f t="shared" si="2"/>
        <v>Interno</v>
      </c>
      <c r="L620" s="32" t="e">
        <f ca="1">_xludf.ifna(VLOOKUP(G621,Proyectos!$E$1:$N$4,10,0),"")</f>
        <v>#NAME?</v>
      </c>
      <c r="M620" s="32"/>
      <c r="N620" s="31"/>
      <c r="O620" s="31"/>
      <c r="P620" s="33"/>
      <c r="Q620" s="33"/>
    </row>
    <row r="621" spans="1:17" ht="16.5" customHeight="1" x14ac:dyDescent="0.2">
      <c r="A621" s="26" t="s">
        <v>3325</v>
      </c>
      <c r="B621" s="26" t="s">
        <v>5738</v>
      </c>
      <c r="C621" s="26" t="s">
        <v>7</v>
      </c>
      <c r="D621" s="26" t="s">
        <v>16</v>
      </c>
      <c r="E621" s="26" t="s">
        <v>39</v>
      </c>
      <c r="F621" s="28" t="e">
        <f ca="1">_xludf.ifna(VLOOKUP(G622,Proyectos!$E$1:$H$4,4,0),"")</f>
        <v>#NAME?</v>
      </c>
      <c r="G621" s="26" t="s">
        <v>5221</v>
      </c>
      <c r="H621" s="65">
        <v>0.3</v>
      </c>
      <c r="I621" s="31" t="s">
        <v>18</v>
      </c>
      <c r="J621" s="32"/>
      <c r="K621" s="32" t="str">
        <f t="shared" si="2"/>
        <v>Interno</v>
      </c>
      <c r="L621" s="32" t="e">
        <f ca="1">_xludf.ifna(VLOOKUP(G622,Proyectos!$E$1:$N$4,10,0),"")</f>
        <v>#NAME?</v>
      </c>
      <c r="M621" s="32"/>
      <c r="N621" s="31"/>
      <c r="O621" s="31"/>
      <c r="P621" s="33"/>
      <c r="Q621" s="33"/>
    </row>
    <row r="622" spans="1:17" ht="16.5" customHeight="1" x14ac:dyDescent="0.2">
      <c r="A622" s="26" t="s">
        <v>3755</v>
      </c>
      <c r="B622" s="26" t="s">
        <v>3756</v>
      </c>
      <c r="C622" s="26" t="s">
        <v>98</v>
      </c>
      <c r="D622" s="26" t="s">
        <v>107</v>
      </c>
      <c r="E622" s="26" t="s">
        <v>39</v>
      </c>
      <c r="F622" s="28" t="e">
        <f ca="1">_xludf.ifna(VLOOKUP(G623,Proyectos!$E$1:$H$4,4,0),"")</f>
        <v>#NAME?</v>
      </c>
      <c r="G622" s="26" t="s">
        <v>5126</v>
      </c>
      <c r="H622" s="32">
        <v>0.2</v>
      </c>
      <c r="I622" s="31" t="s">
        <v>11</v>
      </c>
      <c r="J622" s="32"/>
      <c r="K622" s="32" t="str">
        <f t="shared" si="2"/>
        <v>Interno</v>
      </c>
      <c r="L622" s="32" t="e">
        <f ca="1">_xludf.ifna(VLOOKUP(G623,Proyectos!$E$1:$N$4,10,0),"")</f>
        <v>#NAME?</v>
      </c>
      <c r="M622" s="32"/>
      <c r="N622" s="32"/>
      <c r="O622" s="31"/>
      <c r="P622" s="33"/>
      <c r="Q622" s="33"/>
    </row>
    <row r="623" spans="1:17" ht="16.5" customHeight="1" x14ac:dyDescent="0.2">
      <c r="A623" s="26" t="s">
        <v>3755</v>
      </c>
      <c r="B623" s="26" t="s">
        <v>3756</v>
      </c>
      <c r="C623" s="26" t="s">
        <v>98</v>
      </c>
      <c r="D623" s="26" t="s">
        <v>107</v>
      </c>
      <c r="E623" s="26" t="s">
        <v>39</v>
      </c>
      <c r="F623" s="28" t="e">
        <f ca="1">_xludf.ifna(VLOOKUP(G624,Proyectos!$E$1:$H$4,4,0),"")</f>
        <v>#NAME?</v>
      </c>
      <c r="G623" s="26" t="s">
        <v>5632</v>
      </c>
      <c r="H623" s="32">
        <v>0.2</v>
      </c>
      <c r="I623" s="31" t="s">
        <v>11</v>
      </c>
      <c r="J623" s="32"/>
      <c r="K623" s="32" t="str">
        <f t="shared" si="2"/>
        <v>Interno</v>
      </c>
      <c r="L623" s="32" t="e">
        <f ca="1">_xludf.ifna(VLOOKUP(G624,Proyectos!$E$1:$N$4,10,0),"")</f>
        <v>#NAME?</v>
      </c>
      <c r="M623" s="32"/>
      <c r="N623" s="32"/>
      <c r="O623" s="31"/>
      <c r="P623" s="33"/>
      <c r="Q623" s="33"/>
    </row>
    <row r="624" spans="1:17" ht="16.5" customHeight="1" x14ac:dyDescent="0.2">
      <c r="A624" s="26" t="s">
        <v>3755</v>
      </c>
      <c r="B624" s="26" t="s">
        <v>3756</v>
      </c>
      <c r="C624" s="26" t="s">
        <v>98</v>
      </c>
      <c r="D624" s="26" t="s">
        <v>107</v>
      </c>
      <c r="E624" s="26" t="s">
        <v>39</v>
      </c>
      <c r="F624" s="28" t="e">
        <f ca="1">_xludf.ifna(VLOOKUP(G625,Proyectos!$E$1:$H$4,4,0),"")</f>
        <v>#NAME?</v>
      </c>
      <c r="G624" s="26" t="s">
        <v>5329</v>
      </c>
      <c r="H624" s="32">
        <v>0.2</v>
      </c>
      <c r="I624" s="31" t="s">
        <v>11</v>
      </c>
      <c r="J624" s="32"/>
      <c r="K624" s="32" t="str">
        <f t="shared" si="2"/>
        <v>Interno</v>
      </c>
      <c r="L624" s="32" t="e">
        <f ca="1">_xludf.ifna(VLOOKUP(G625,Proyectos!$E$1:$N$4,10,0),"")</f>
        <v>#NAME?</v>
      </c>
      <c r="M624" s="32"/>
      <c r="N624" s="32"/>
      <c r="O624" s="31"/>
      <c r="P624" s="33"/>
      <c r="Q624" s="33"/>
    </row>
    <row r="625" spans="1:17" ht="16.5" customHeight="1" x14ac:dyDescent="0.2">
      <c r="A625" s="26" t="s">
        <v>3755</v>
      </c>
      <c r="B625" s="26" t="s">
        <v>3756</v>
      </c>
      <c r="C625" s="26" t="s">
        <v>98</v>
      </c>
      <c r="D625" s="26" t="s">
        <v>107</v>
      </c>
      <c r="E625" s="26" t="s">
        <v>39</v>
      </c>
      <c r="F625" s="28" t="e">
        <f ca="1">_xludf.ifna(VLOOKUP(G626,Proyectos!$E$1:$H$4,4,0),"")</f>
        <v>#NAME?</v>
      </c>
      <c r="G625" s="26" t="s">
        <v>5347</v>
      </c>
      <c r="H625" s="32">
        <v>0.2</v>
      </c>
      <c r="I625" s="31" t="s">
        <v>11</v>
      </c>
      <c r="J625" s="32"/>
      <c r="K625" s="32" t="str">
        <f t="shared" si="2"/>
        <v>Interno</v>
      </c>
      <c r="L625" s="32" t="e">
        <f ca="1">_xludf.ifna(VLOOKUP(G626,Proyectos!$E$1:$N$4,10,0),"")</f>
        <v>#NAME?</v>
      </c>
      <c r="M625" s="32"/>
      <c r="N625" s="32"/>
      <c r="O625" s="31"/>
      <c r="P625" s="33"/>
      <c r="Q625" s="33"/>
    </row>
    <row r="626" spans="1:17" ht="16.5" customHeight="1" x14ac:dyDescent="0.2">
      <c r="A626" s="26" t="s">
        <v>3755</v>
      </c>
      <c r="B626" s="26" t="s">
        <v>3756</v>
      </c>
      <c r="C626" s="26" t="s">
        <v>98</v>
      </c>
      <c r="D626" s="26" t="s">
        <v>107</v>
      </c>
      <c r="E626" s="26" t="s">
        <v>39</v>
      </c>
      <c r="F626" s="28" t="e">
        <f ca="1">_xludf.ifna(VLOOKUP(G627,Proyectos!$E$1:$H$4,4,0),"")</f>
        <v>#NAME?</v>
      </c>
      <c r="G626" s="26" t="s">
        <v>5555</v>
      </c>
      <c r="H626" s="32">
        <v>0.2</v>
      </c>
      <c r="I626" s="31" t="s">
        <v>11</v>
      </c>
      <c r="J626" s="32"/>
      <c r="K626" s="32" t="str">
        <f t="shared" si="2"/>
        <v>Interno</v>
      </c>
      <c r="L626" s="32" t="e">
        <f ca="1">_xludf.ifna(VLOOKUP(G627,Proyectos!$E$1:$N$4,10,0),"")</f>
        <v>#NAME?</v>
      </c>
      <c r="M626" s="32"/>
      <c r="N626" s="32"/>
      <c r="O626" s="31"/>
      <c r="P626" s="33"/>
      <c r="Q626" s="33"/>
    </row>
    <row r="627" spans="1:17" ht="16.5" customHeight="1" x14ac:dyDescent="0.2">
      <c r="A627" s="26" t="s">
        <v>4027</v>
      </c>
      <c r="B627" s="26" t="s">
        <v>5739</v>
      </c>
      <c r="C627" s="26" t="s">
        <v>98</v>
      </c>
      <c r="D627" s="26" t="s">
        <v>102</v>
      </c>
      <c r="E627" s="26" t="s">
        <v>108</v>
      </c>
      <c r="F627" s="28" t="e">
        <f ca="1">_xludf.ifna(VLOOKUP(G628,Proyectos!$E$1:$H$4,4,0),"")</f>
        <v>#NAME?</v>
      </c>
      <c r="G627" s="26" t="s">
        <v>5597</v>
      </c>
      <c r="H627" s="32">
        <v>1</v>
      </c>
      <c r="I627" s="31" t="s">
        <v>18</v>
      </c>
      <c r="J627" s="32"/>
      <c r="K627" s="32" t="str">
        <f t="shared" si="2"/>
        <v>Externo</v>
      </c>
      <c r="L627" s="32" t="e">
        <f ca="1">_xludf.ifna(VLOOKUP(G628,Proyectos!$E$1:$N$4,10,0),"")</f>
        <v>#NAME?</v>
      </c>
      <c r="M627" s="32"/>
      <c r="N627" s="32"/>
      <c r="O627" s="31"/>
      <c r="P627" s="33"/>
      <c r="Q627" s="33"/>
    </row>
    <row r="628" spans="1:17" ht="16.5" customHeight="1" x14ac:dyDescent="0.2">
      <c r="A628" s="26" t="s">
        <v>3605</v>
      </c>
      <c r="B628" s="26" t="s">
        <v>3606</v>
      </c>
      <c r="C628" s="26" t="s">
        <v>37</v>
      </c>
      <c r="D628" s="26" t="s">
        <v>38</v>
      </c>
      <c r="E628" s="26" t="s">
        <v>39</v>
      </c>
      <c r="F628" s="28" t="e">
        <f ca="1">_xludf.ifna(VLOOKUP(G629,Proyectos!$E$1:$H$4,4,0),"")</f>
        <v>#NAME?</v>
      </c>
      <c r="G628" s="26" t="s">
        <v>5116</v>
      </c>
      <c r="H628" s="32">
        <v>0.75</v>
      </c>
      <c r="I628" s="31" t="s">
        <v>18</v>
      </c>
      <c r="J628" s="32"/>
      <c r="K628" s="32" t="str">
        <f t="shared" si="2"/>
        <v>Interno</v>
      </c>
      <c r="L628" s="32" t="e">
        <f ca="1">_xludf.ifna(VLOOKUP(G629,Proyectos!$E$1:$N$4,10,0),"")</f>
        <v>#NAME?</v>
      </c>
      <c r="M628" s="32"/>
      <c r="N628" s="32"/>
      <c r="O628" s="31"/>
      <c r="P628" s="33"/>
      <c r="Q628" s="33"/>
    </row>
    <row r="629" spans="1:17" ht="16.5" customHeight="1" x14ac:dyDescent="0.2">
      <c r="A629" s="26" t="s">
        <v>3605</v>
      </c>
      <c r="B629" s="26" t="s">
        <v>3606</v>
      </c>
      <c r="C629" s="26" t="s">
        <v>37</v>
      </c>
      <c r="D629" s="26" t="s">
        <v>38</v>
      </c>
      <c r="E629" s="26" t="s">
        <v>39</v>
      </c>
      <c r="F629" s="28" t="e">
        <f ca="1">_xludf.ifna(VLOOKUP(G630,Proyectos!$E$1:$H$4,4,0),"")</f>
        <v>#NAME?</v>
      </c>
      <c r="G629" s="26" t="s">
        <v>5678</v>
      </c>
      <c r="H629" s="32">
        <v>0.25</v>
      </c>
      <c r="I629" s="31" t="s">
        <v>18</v>
      </c>
      <c r="J629" s="32"/>
      <c r="K629" s="32" t="str">
        <f t="shared" si="2"/>
        <v>Interno</v>
      </c>
      <c r="L629" s="32" t="e">
        <f ca="1">_xludf.ifna(VLOOKUP(G630,Proyectos!$E$1:$N$4,10,0),"")</f>
        <v>#NAME?</v>
      </c>
      <c r="M629" s="32"/>
      <c r="N629" s="31"/>
      <c r="O629" s="31"/>
      <c r="P629" s="33"/>
      <c r="Q629" s="33"/>
    </row>
    <row r="630" spans="1:17" ht="16.5" customHeight="1" x14ac:dyDescent="0.2">
      <c r="A630" s="26" t="s">
        <v>4691</v>
      </c>
      <c r="B630" s="26" t="s">
        <v>4692</v>
      </c>
      <c r="C630" s="26" t="s">
        <v>7</v>
      </c>
      <c r="D630" s="26" t="s">
        <v>16</v>
      </c>
      <c r="E630" s="26" t="s">
        <v>39</v>
      </c>
      <c r="F630" s="28" t="e">
        <f ca="1">_xludf.ifna(VLOOKUP(G631,Proyectos!$E$1:$H$4,4,0),"")</f>
        <v>#NAME?</v>
      </c>
      <c r="G630" s="26" t="s">
        <v>5597</v>
      </c>
      <c r="H630" s="65">
        <v>1</v>
      </c>
      <c r="I630" s="31" t="s">
        <v>18</v>
      </c>
      <c r="J630" s="32"/>
      <c r="K630" s="32" t="str">
        <f t="shared" si="2"/>
        <v>Interno</v>
      </c>
      <c r="L630" s="32" t="e">
        <f ca="1">_xludf.ifna(VLOOKUP(G631,Proyectos!$E$1:$N$4,10,0),"")</f>
        <v>#NAME?</v>
      </c>
      <c r="M630" s="32"/>
      <c r="N630" s="31"/>
      <c r="O630" s="31"/>
      <c r="P630" s="33"/>
      <c r="Q630" s="33"/>
    </row>
    <row r="631" spans="1:17" ht="16.5" customHeight="1" x14ac:dyDescent="0.2">
      <c r="A631" s="26" t="s">
        <v>4094</v>
      </c>
      <c r="B631" s="26" t="s">
        <v>5740</v>
      </c>
      <c r="C631" s="26" t="s">
        <v>98</v>
      </c>
      <c r="D631" s="26" t="s">
        <v>102</v>
      </c>
      <c r="E631" s="26" t="s">
        <v>108</v>
      </c>
      <c r="F631" s="28" t="e">
        <f ca="1">_xludf.ifna(VLOOKUP(G632,Proyectos!$E$1:$H$4,4,0),"")</f>
        <v>#NAME?</v>
      </c>
      <c r="G631" s="26" t="s">
        <v>5597</v>
      </c>
      <c r="H631" s="32">
        <v>1</v>
      </c>
      <c r="I631" s="31" t="s">
        <v>18</v>
      </c>
      <c r="J631" s="32"/>
      <c r="K631" s="32" t="str">
        <f t="shared" si="2"/>
        <v>Externo</v>
      </c>
      <c r="L631" s="32" t="e">
        <f ca="1">_xludf.ifna(VLOOKUP(G632,Proyectos!$E$1:$N$4,10,0),"")</f>
        <v>#NAME?</v>
      </c>
      <c r="M631" s="32"/>
      <c r="N631" s="32"/>
      <c r="O631" s="31"/>
      <c r="P631" s="33"/>
      <c r="Q631" s="33"/>
    </row>
    <row r="632" spans="1:17" ht="16.5" customHeight="1" x14ac:dyDescent="0.2">
      <c r="A632" s="26" t="s">
        <v>5741</v>
      </c>
      <c r="B632" s="26" t="s">
        <v>5742</v>
      </c>
      <c r="C632" s="26" t="s">
        <v>37</v>
      </c>
      <c r="D632" s="26" t="s">
        <v>45</v>
      </c>
      <c r="E632" s="26" t="s">
        <v>138</v>
      </c>
      <c r="F632" s="28" t="e">
        <f ca="1">_xludf.ifna(VLOOKUP(G633,Proyectos!$E$1:$H$4,4,0),"")</f>
        <v>#NAME?</v>
      </c>
      <c r="G632" s="26" t="s">
        <v>5123</v>
      </c>
      <c r="H632" s="32">
        <v>0.1</v>
      </c>
      <c r="I632" s="31" t="s">
        <v>18</v>
      </c>
      <c r="J632" s="32"/>
      <c r="K632" s="32" t="str">
        <f t="shared" si="2"/>
        <v>Externo</v>
      </c>
      <c r="L632" s="32" t="e">
        <f ca="1">_xludf.ifna(VLOOKUP(G633,Proyectos!$E$1:$N$4,10,0),"")</f>
        <v>#NAME?</v>
      </c>
      <c r="M632" s="32"/>
      <c r="N632" s="31"/>
      <c r="O632" s="31"/>
      <c r="P632" s="33"/>
      <c r="Q632" s="33"/>
    </row>
    <row r="633" spans="1:17" ht="16.5" customHeight="1" x14ac:dyDescent="0.2">
      <c r="A633" s="26"/>
      <c r="B633" s="26" t="s">
        <v>3975</v>
      </c>
      <c r="C633" s="26" t="s">
        <v>98</v>
      </c>
      <c r="D633" s="26" t="s">
        <v>110</v>
      </c>
      <c r="E633" s="26" t="s">
        <v>129</v>
      </c>
      <c r="F633" s="28" t="e">
        <f ca="1">_xludf.ifna(VLOOKUP(G634,Proyectos!$E$1:$H$4,4,0),"")</f>
        <v>#NAME?</v>
      </c>
      <c r="G633" s="26" t="s">
        <v>5240</v>
      </c>
      <c r="H633" s="32">
        <v>1</v>
      </c>
      <c r="I633" s="31" t="s">
        <v>18</v>
      </c>
      <c r="J633" s="32"/>
      <c r="K633" s="32" t="str">
        <f t="shared" si="2"/>
        <v>Externo</v>
      </c>
      <c r="L633" s="32" t="e">
        <f ca="1">_xludf.ifna(VLOOKUP(G634,Proyectos!$E$1:$N$4,10,0),"")</f>
        <v>#NAME?</v>
      </c>
      <c r="M633" s="32"/>
      <c r="N633" s="32"/>
      <c r="O633" s="31"/>
      <c r="P633" s="33"/>
      <c r="Q633" s="33"/>
    </row>
    <row r="634" spans="1:17" ht="16.5" customHeight="1" x14ac:dyDescent="0.2">
      <c r="A634" s="26" t="s">
        <v>5743</v>
      </c>
      <c r="B634" s="26" t="s">
        <v>5744</v>
      </c>
      <c r="C634" s="26" t="s">
        <v>115</v>
      </c>
      <c r="D634" s="26" t="s">
        <v>119</v>
      </c>
      <c r="E634" s="26" t="s">
        <v>135</v>
      </c>
      <c r="F634" s="28" t="e">
        <f ca="1">_xludf.ifna(VLOOKUP(G635,Proyectos!$E$1:$H$4,4,0),"")</f>
        <v>#NAME?</v>
      </c>
      <c r="G634" s="26" t="s">
        <v>5214</v>
      </c>
      <c r="H634" s="32">
        <v>0.4</v>
      </c>
      <c r="I634" s="31" t="s">
        <v>18</v>
      </c>
      <c r="J634" s="31" t="s">
        <v>5626</v>
      </c>
      <c r="K634" s="32" t="str">
        <f t="shared" si="2"/>
        <v>Externo</v>
      </c>
      <c r="L634" s="32" t="e">
        <f ca="1">_xludf.ifna(VLOOKUP(G635,Proyectos!$E$1:$N$4,10,0),"")</f>
        <v>#NAME?</v>
      </c>
      <c r="M634" s="32"/>
      <c r="N634" s="31"/>
      <c r="O634" s="31"/>
      <c r="P634" s="33"/>
      <c r="Q634" s="33"/>
    </row>
    <row r="635" spans="1:17" ht="16.5" customHeight="1" x14ac:dyDescent="0.2">
      <c r="A635" s="26" t="s">
        <v>3677</v>
      </c>
      <c r="B635" s="26" t="s">
        <v>3678</v>
      </c>
      <c r="C635" s="54" t="s">
        <v>7</v>
      </c>
      <c r="D635" s="35" t="s">
        <v>8</v>
      </c>
      <c r="E635" s="35" t="s">
        <v>39</v>
      </c>
      <c r="F635" s="28" t="e">
        <f ca="1">_xludf.ifna(VLOOKUP(G636,Proyectos!$E$1:$H$4,4,0),"")</f>
        <v>#NAME?</v>
      </c>
      <c r="G635" s="35" t="s">
        <v>5182</v>
      </c>
      <c r="H635" s="30">
        <v>0.15</v>
      </c>
      <c r="I635" s="31" t="s">
        <v>18</v>
      </c>
      <c r="J635" s="55"/>
      <c r="K635" s="32" t="str">
        <f t="shared" si="2"/>
        <v>Interno</v>
      </c>
      <c r="L635" s="32" t="e">
        <f ca="1">_xludf.ifna(VLOOKUP(G636,Proyectos!$E$1:$N$4,10,0),"")</f>
        <v>#NAME?</v>
      </c>
      <c r="M635" s="32"/>
      <c r="N635" s="31"/>
      <c r="O635" s="31"/>
      <c r="P635" s="33"/>
      <c r="Q635" s="33"/>
    </row>
    <row r="636" spans="1:17" ht="16.5" customHeight="1" x14ac:dyDescent="0.2">
      <c r="A636" s="26" t="s">
        <v>3677</v>
      </c>
      <c r="B636" s="26" t="s">
        <v>3678</v>
      </c>
      <c r="C636" s="54" t="s">
        <v>7</v>
      </c>
      <c r="D636" s="35" t="s">
        <v>8</v>
      </c>
      <c r="E636" s="35" t="s">
        <v>39</v>
      </c>
      <c r="F636" s="28" t="e">
        <f ca="1">_xludf.ifna(VLOOKUP(G637,Proyectos!$E$1:$H$4,4,0),"")</f>
        <v>#NAME?</v>
      </c>
      <c r="G636" s="35" t="s">
        <v>5675</v>
      </c>
      <c r="H636" s="30">
        <v>0.1</v>
      </c>
      <c r="I636" s="31" t="s">
        <v>18</v>
      </c>
      <c r="J636" s="55"/>
      <c r="K636" s="32" t="str">
        <f t="shared" si="2"/>
        <v>Interno</v>
      </c>
      <c r="L636" s="32" t="e">
        <f ca="1">_xludf.ifna(VLOOKUP(G637,Proyectos!$E$1:$N$4,10,0),"")</f>
        <v>#NAME?</v>
      </c>
      <c r="M636" s="32"/>
      <c r="N636" s="31"/>
      <c r="O636" s="31"/>
      <c r="P636" s="33"/>
      <c r="Q636" s="33"/>
    </row>
    <row r="637" spans="1:17" ht="16.5" customHeight="1" x14ac:dyDescent="0.2">
      <c r="A637" s="26" t="s">
        <v>3677</v>
      </c>
      <c r="B637" s="26" t="s">
        <v>3678</v>
      </c>
      <c r="C637" s="54" t="s">
        <v>7</v>
      </c>
      <c r="D637" s="35" t="s">
        <v>8</v>
      </c>
      <c r="E637" s="35" t="s">
        <v>39</v>
      </c>
      <c r="F637" s="28" t="e">
        <f ca="1">_xludf.ifna(VLOOKUP(G638,Proyectos!$E$1:$H$4,4,0),"")</f>
        <v>#NAME?</v>
      </c>
      <c r="G637" s="35" t="s">
        <v>5676</v>
      </c>
      <c r="H637" s="30">
        <v>0.1</v>
      </c>
      <c r="I637" s="31" t="s">
        <v>18</v>
      </c>
      <c r="J637" s="55"/>
      <c r="K637" s="32" t="str">
        <f t="shared" si="2"/>
        <v>Interno</v>
      </c>
      <c r="L637" s="32" t="e">
        <f ca="1">_xludf.ifna(VLOOKUP(G638,Proyectos!$E$1:$N$4,10,0),"")</f>
        <v>#NAME?</v>
      </c>
      <c r="M637" s="32"/>
      <c r="N637" s="31"/>
      <c r="O637" s="31"/>
      <c r="P637" s="33"/>
      <c r="Q637" s="33"/>
    </row>
    <row r="638" spans="1:17" ht="16.5" customHeight="1" x14ac:dyDescent="0.2">
      <c r="A638" s="26" t="s">
        <v>3677</v>
      </c>
      <c r="B638" s="26" t="s">
        <v>3678</v>
      </c>
      <c r="C638" s="54" t="s">
        <v>7</v>
      </c>
      <c r="D638" s="35" t="s">
        <v>8</v>
      </c>
      <c r="E638" s="35" t="s">
        <v>39</v>
      </c>
      <c r="F638" s="28" t="e">
        <f ca="1">_xludf.ifna(VLOOKUP(G639,Proyectos!$E$1:$H$4,4,0),"")</f>
        <v>#NAME?</v>
      </c>
      <c r="G638" s="35" t="s">
        <v>5191</v>
      </c>
      <c r="H638" s="30">
        <v>0.05</v>
      </c>
      <c r="I638" s="31" t="s">
        <v>18</v>
      </c>
      <c r="J638" s="55"/>
      <c r="K638" s="32" t="str">
        <f t="shared" si="2"/>
        <v>Interno</v>
      </c>
      <c r="L638" s="32" t="e">
        <f ca="1">_xludf.ifna(VLOOKUP(G639,Proyectos!$E$1:$N$4,10,0),"")</f>
        <v>#NAME?</v>
      </c>
      <c r="M638" s="32"/>
      <c r="N638" s="31"/>
      <c r="O638" s="31"/>
      <c r="P638" s="33"/>
      <c r="Q638" s="33"/>
    </row>
    <row r="639" spans="1:17" ht="16.5" customHeight="1" x14ac:dyDescent="0.2">
      <c r="A639" s="26" t="s">
        <v>3677</v>
      </c>
      <c r="B639" s="26" t="s">
        <v>3678</v>
      </c>
      <c r="C639" s="54" t="s">
        <v>7</v>
      </c>
      <c r="D639" s="35" t="s">
        <v>8</v>
      </c>
      <c r="E639" s="35" t="s">
        <v>39</v>
      </c>
      <c r="F639" s="28" t="e">
        <f ca="1">_xludf.ifna(VLOOKUP(G640,Proyectos!$E$1:$H$4,4,0),"")</f>
        <v>#NAME?</v>
      </c>
      <c r="G639" s="35" t="s">
        <v>5192</v>
      </c>
      <c r="H639" s="30">
        <v>0.05</v>
      </c>
      <c r="I639" s="31" t="s">
        <v>18</v>
      </c>
      <c r="J639" s="55"/>
      <c r="K639" s="32" t="str">
        <f t="shared" si="2"/>
        <v>Interno</v>
      </c>
      <c r="L639" s="32" t="e">
        <f ca="1">_xludf.ifna(VLOOKUP(G640,Proyectos!$E$1:$N$4,10,0),"")</f>
        <v>#NAME?</v>
      </c>
      <c r="M639" s="32"/>
      <c r="N639" s="31"/>
      <c r="O639" s="31"/>
      <c r="P639" s="33"/>
      <c r="Q639" s="33"/>
    </row>
    <row r="640" spans="1:17" ht="16.5" customHeight="1" x14ac:dyDescent="0.2">
      <c r="A640" s="26" t="s">
        <v>3677</v>
      </c>
      <c r="B640" s="26" t="s">
        <v>3678</v>
      </c>
      <c r="C640" s="54" t="s">
        <v>7</v>
      </c>
      <c r="D640" s="35" t="s">
        <v>8</v>
      </c>
      <c r="E640" s="35" t="s">
        <v>39</v>
      </c>
      <c r="F640" s="28" t="e">
        <f ca="1">_xludf.ifna(VLOOKUP(G641,Proyectos!$E$1:$H$4,4,0),"")</f>
        <v>#NAME?</v>
      </c>
      <c r="G640" s="35" t="s">
        <v>5190</v>
      </c>
      <c r="H640" s="30">
        <v>0.25</v>
      </c>
      <c r="I640" s="31" t="s">
        <v>18</v>
      </c>
      <c r="J640" s="55"/>
      <c r="K640" s="32" t="str">
        <f t="shared" si="2"/>
        <v>Interno</v>
      </c>
      <c r="L640" s="32" t="e">
        <f ca="1">_xludf.ifna(VLOOKUP(G641,Proyectos!$E$1:$N$4,10,0),"")</f>
        <v>#NAME?</v>
      </c>
      <c r="M640" s="32"/>
      <c r="N640" s="31"/>
      <c r="O640" s="31"/>
      <c r="P640" s="33"/>
      <c r="Q640" s="33"/>
    </row>
    <row r="641" spans="1:17" ht="16.5" customHeight="1" x14ac:dyDescent="0.2">
      <c r="A641" s="26" t="s">
        <v>3677</v>
      </c>
      <c r="B641" s="26" t="s">
        <v>3678</v>
      </c>
      <c r="C641" s="54" t="s">
        <v>7</v>
      </c>
      <c r="D641" s="35" t="s">
        <v>8</v>
      </c>
      <c r="E641" s="35" t="s">
        <v>39</v>
      </c>
      <c r="F641" s="28" t="e">
        <f ca="1">_xludf.ifna(VLOOKUP(G642,Proyectos!$E$1:$H$4,4,0),"")</f>
        <v>#NAME?</v>
      </c>
      <c r="G641" s="35" t="s">
        <v>5199</v>
      </c>
      <c r="H641" s="30">
        <v>0.05</v>
      </c>
      <c r="I641" s="31" t="s">
        <v>18</v>
      </c>
      <c r="J641" s="55"/>
      <c r="K641" s="32" t="str">
        <f t="shared" si="2"/>
        <v>Interno</v>
      </c>
      <c r="L641" s="32" t="e">
        <f ca="1">_xludf.ifna(VLOOKUP(G642,Proyectos!$E$1:$N$4,10,0),"")</f>
        <v>#NAME?</v>
      </c>
      <c r="M641" s="32"/>
      <c r="N641" s="31"/>
      <c r="O641" s="31"/>
      <c r="P641" s="33"/>
      <c r="Q641" s="33"/>
    </row>
    <row r="642" spans="1:17" ht="16.5" customHeight="1" x14ac:dyDescent="0.2">
      <c r="A642" s="26" t="s">
        <v>3677</v>
      </c>
      <c r="B642" s="26" t="s">
        <v>3678</v>
      </c>
      <c r="C642" s="54" t="s">
        <v>7</v>
      </c>
      <c r="D642" s="35" t="s">
        <v>8</v>
      </c>
      <c r="E642" s="35" t="s">
        <v>39</v>
      </c>
      <c r="F642" s="28" t="e">
        <f ca="1">_xludf.ifna(VLOOKUP(G643,Proyectos!$E$1:$H$4,4,0),"")</f>
        <v>#NAME?</v>
      </c>
      <c r="G642" s="35" t="s">
        <v>5187</v>
      </c>
      <c r="H642" s="30">
        <v>0.1</v>
      </c>
      <c r="I642" s="31" t="s">
        <v>18</v>
      </c>
      <c r="J642" s="55"/>
      <c r="K642" s="32" t="str">
        <f t="shared" si="2"/>
        <v>Interno</v>
      </c>
      <c r="L642" s="32" t="e">
        <f ca="1">_xludf.ifna(VLOOKUP(G643,Proyectos!$E$1:$N$4,10,0),"")</f>
        <v>#NAME?</v>
      </c>
      <c r="M642" s="32"/>
      <c r="N642" s="31"/>
      <c r="O642" s="31"/>
      <c r="P642" s="33"/>
      <c r="Q642" s="33"/>
    </row>
    <row r="643" spans="1:17" ht="16.5" customHeight="1" x14ac:dyDescent="0.2">
      <c r="A643" s="26" t="s">
        <v>3677</v>
      </c>
      <c r="B643" s="26" t="s">
        <v>3678</v>
      </c>
      <c r="C643" s="54" t="s">
        <v>7</v>
      </c>
      <c r="D643" s="35" t="s">
        <v>8</v>
      </c>
      <c r="E643" s="35" t="s">
        <v>39</v>
      </c>
      <c r="F643" s="28" t="e">
        <f ca="1">_xludf.ifna(VLOOKUP(G644,Proyectos!$E$1:$H$4,4,0),"")</f>
        <v>#NAME?</v>
      </c>
      <c r="G643" s="35" t="s">
        <v>5194</v>
      </c>
      <c r="H643" s="30">
        <v>0.15</v>
      </c>
      <c r="I643" s="31" t="s">
        <v>18</v>
      </c>
      <c r="J643" s="55"/>
      <c r="K643" s="32" t="str">
        <f t="shared" si="2"/>
        <v>Interno</v>
      </c>
      <c r="L643" s="32" t="e">
        <f ca="1">_xludf.ifna(VLOOKUP(G644,Proyectos!$E$1:$N$4,10,0),"")</f>
        <v>#NAME?</v>
      </c>
      <c r="M643" s="32"/>
      <c r="N643" s="31"/>
      <c r="O643" s="31"/>
      <c r="P643" s="33"/>
      <c r="Q643" s="33"/>
    </row>
    <row r="644" spans="1:17" ht="16.5" customHeight="1" x14ac:dyDescent="0.2">
      <c r="A644" s="26" t="s">
        <v>3844</v>
      </c>
      <c r="B644" s="26" t="s">
        <v>5372</v>
      </c>
      <c r="C644" s="26" t="s">
        <v>64</v>
      </c>
      <c r="D644" s="26" t="s">
        <v>89</v>
      </c>
      <c r="E644" s="26" t="s">
        <v>39</v>
      </c>
      <c r="F644" s="28" t="e">
        <f ca="1">_xludf.ifna(VLOOKUP(G645,Proyectos!$E$1:$H$4,4,0),"")</f>
        <v>#NAME?</v>
      </c>
      <c r="G644" s="26" t="s">
        <v>5651</v>
      </c>
      <c r="H644" s="32">
        <v>1</v>
      </c>
      <c r="I644" s="31" t="s">
        <v>18</v>
      </c>
      <c r="J644" s="32"/>
      <c r="K644" s="32" t="str">
        <f t="shared" si="2"/>
        <v>Interno</v>
      </c>
      <c r="L644" s="32" t="e">
        <f ca="1">_xludf.ifna(VLOOKUP(G645,Proyectos!$E$1:$N$4,10,0),"")</f>
        <v>#NAME?</v>
      </c>
      <c r="M644" s="32"/>
      <c r="N644" s="32"/>
      <c r="O644" s="31"/>
      <c r="P644" s="33"/>
      <c r="Q644" s="33"/>
    </row>
    <row r="645" spans="1:17" ht="16.5" customHeight="1" x14ac:dyDescent="0.2">
      <c r="A645" s="26" t="s">
        <v>4008</v>
      </c>
      <c r="B645" s="26" t="s">
        <v>4009</v>
      </c>
      <c r="C645" s="26" t="s">
        <v>98</v>
      </c>
      <c r="D645" s="26" t="s">
        <v>107</v>
      </c>
      <c r="E645" s="26" t="s">
        <v>108</v>
      </c>
      <c r="F645" s="28" t="e">
        <f ca="1">_xludf.ifna(VLOOKUP(G646,Proyectos!$E$1:$H$4,4,0),"")</f>
        <v>#NAME?</v>
      </c>
      <c r="G645" s="26" t="s">
        <v>5597</v>
      </c>
      <c r="H645" s="32">
        <v>0.5</v>
      </c>
      <c r="I645" s="31" t="s">
        <v>25</v>
      </c>
      <c r="J645" s="32"/>
      <c r="K645" s="32" t="str">
        <f t="shared" si="2"/>
        <v>Externo</v>
      </c>
      <c r="L645" s="32" t="e">
        <f ca="1">_xludf.ifna(VLOOKUP(G646,Proyectos!$E$1:$N$4,10,0),"")</f>
        <v>#NAME?</v>
      </c>
      <c r="M645" s="32"/>
      <c r="N645" s="32"/>
      <c r="O645" s="31"/>
      <c r="P645" s="33"/>
      <c r="Q645" s="33"/>
    </row>
    <row r="646" spans="1:17" ht="16.5" customHeight="1" x14ac:dyDescent="0.2">
      <c r="A646" s="26" t="s">
        <v>3574</v>
      </c>
      <c r="B646" s="26" t="s">
        <v>5745</v>
      </c>
      <c r="C646" s="26" t="s">
        <v>64</v>
      </c>
      <c r="D646" s="26" t="s">
        <v>95</v>
      </c>
      <c r="E646" s="26" t="s">
        <v>39</v>
      </c>
      <c r="F646" s="28" t="e">
        <f ca="1">_xludf.ifna(VLOOKUP(G647,Proyectos!$E$1:$H$4,4,0),"")</f>
        <v>#NAME?</v>
      </c>
      <c r="G646" s="26" t="s">
        <v>5363</v>
      </c>
      <c r="H646" s="32">
        <v>1</v>
      </c>
      <c r="I646" s="31" t="s">
        <v>18</v>
      </c>
      <c r="J646" s="32"/>
      <c r="K646" s="32" t="str">
        <f t="shared" si="2"/>
        <v>Interno</v>
      </c>
      <c r="L646" s="32" t="e">
        <f ca="1">_xludf.ifna(VLOOKUP(G647,Proyectos!$E$1:$N$4,10,0),"")</f>
        <v>#NAME?</v>
      </c>
      <c r="M646" s="32"/>
      <c r="N646" s="32"/>
      <c r="O646" s="31"/>
      <c r="P646" s="33"/>
      <c r="Q646" s="33"/>
    </row>
    <row r="647" spans="1:17" ht="16.5" customHeight="1" x14ac:dyDescent="0.2">
      <c r="A647" s="26" t="s">
        <v>3296</v>
      </c>
      <c r="B647" s="26" t="s">
        <v>5746</v>
      </c>
      <c r="C647" s="26" t="s">
        <v>64</v>
      </c>
      <c r="D647" s="26" t="s">
        <v>95</v>
      </c>
      <c r="E647" s="26" t="s">
        <v>39</v>
      </c>
      <c r="F647" s="28" t="e">
        <f ca="1">_xludf.ifna(VLOOKUP(G648,Proyectos!$E$1:$H$4,4,0),"")</f>
        <v>#NAME?</v>
      </c>
      <c r="G647" s="26" t="s">
        <v>5597</v>
      </c>
      <c r="H647" s="32">
        <v>0.1</v>
      </c>
      <c r="I647" s="31" t="s">
        <v>18</v>
      </c>
      <c r="J647" s="32"/>
      <c r="K647" s="32" t="str">
        <f t="shared" si="2"/>
        <v>Interno</v>
      </c>
      <c r="L647" s="32" t="e">
        <f ca="1">_xludf.ifna(VLOOKUP(G648,Proyectos!$E$1:$N$4,10,0),"")</f>
        <v>#NAME?</v>
      </c>
      <c r="M647" s="32"/>
      <c r="N647" s="31"/>
      <c r="O647" s="31"/>
      <c r="P647" s="33"/>
      <c r="Q647" s="33"/>
    </row>
    <row r="648" spans="1:17" ht="16.5" customHeight="1" x14ac:dyDescent="0.2">
      <c r="A648" s="26" t="s">
        <v>3761</v>
      </c>
      <c r="B648" s="26" t="s">
        <v>3762</v>
      </c>
      <c r="C648" s="26" t="s">
        <v>115</v>
      </c>
      <c r="D648" s="26" t="s">
        <v>122</v>
      </c>
      <c r="E648" s="26" t="s">
        <v>39</v>
      </c>
      <c r="F648" s="28" t="e">
        <f ca="1">_xludf.ifna(VLOOKUP(G649,Proyectos!$E$1:$H$4,4,0),"")</f>
        <v>#NAME?</v>
      </c>
      <c r="G648" s="26" t="s">
        <v>5414</v>
      </c>
      <c r="H648" s="32">
        <v>1</v>
      </c>
      <c r="I648" s="31" t="s">
        <v>18</v>
      </c>
      <c r="J648" s="32"/>
      <c r="K648" s="32" t="str">
        <f t="shared" si="2"/>
        <v>Interno</v>
      </c>
      <c r="L648" s="32" t="e">
        <f ca="1">_xludf.ifna(VLOOKUP(G649,Proyectos!$E$1:$N$4,10,0),"")</f>
        <v>#NAME?</v>
      </c>
      <c r="M648" s="32"/>
      <c r="N648" s="32"/>
      <c r="O648" s="31"/>
      <c r="P648" s="33"/>
      <c r="Q648" s="33"/>
    </row>
    <row r="649" spans="1:17" ht="16.5" customHeight="1" x14ac:dyDescent="0.2">
      <c r="A649" s="54" t="s">
        <v>4446</v>
      </c>
      <c r="B649" s="54" t="s">
        <v>5747</v>
      </c>
      <c r="C649" s="26" t="s">
        <v>64</v>
      </c>
      <c r="D649" s="26" t="s">
        <v>95</v>
      </c>
      <c r="E649" s="26" t="s">
        <v>83</v>
      </c>
      <c r="F649" s="28" t="e">
        <f ca="1">_xludf.ifna(VLOOKUP(G650,Proyectos!$E$1:$H$4,4,0),"")</f>
        <v>#NAME?</v>
      </c>
      <c r="G649" s="26" t="s">
        <v>5364</v>
      </c>
      <c r="H649" s="32">
        <v>1</v>
      </c>
      <c r="I649" s="31" t="s">
        <v>25</v>
      </c>
      <c r="J649" s="32"/>
      <c r="K649" s="32" t="str">
        <f t="shared" si="2"/>
        <v>Externo</v>
      </c>
      <c r="L649" s="32" t="e">
        <f ca="1">_xludf.ifna(VLOOKUP(G650,Proyectos!$E$1:$N$4,10,0),"")</f>
        <v>#NAME?</v>
      </c>
      <c r="M649" s="32"/>
      <c r="N649" s="32"/>
      <c r="O649" s="31"/>
      <c r="P649" s="33"/>
      <c r="Q649" s="33"/>
    </row>
    <row r="650" spans="1:17" ht="16.5" customHeight="1" x14ac:dyDescent="0.2">
      <c r="A650" s="26" t="s">
        <v>4025</v>
      </c>
      <c r="B650" s="26" t="s">
        <v>4026</v>
      </c>
      <c r="C650" s="26" t="s">
        <v>37</v>
      </c>
      <c r="D650" s="26" t="s">
        <v>38</v>
      </c>
      <c r="E650" s="26" t="s">
        <v>135</v>
      </c>
      <c r="F650" s="28" t="e">
        <f ca="1">_xludf.ifna(VLOOKUP(G651,Proyectos!$E$1:$H$4,4,0),"")</f>
        <v>#NAME?</v>
      </c>
      <c r="G650" s="26" t="s">
        <v>5116</v>
      </c>
      <c r="H650" s="32">
        <v>0.5</v>
      </c>
      <c r="I650" s="31" t="s">
        <v>32</v>
      </c>
      <c r="J650" s="32"/>
      <c r="K650" s="32" t="str">
        <f t="shared" si="2"/>
        <v>Externo</v>
      </c>
      <c r="L650" s="32" t="e">
        <f ca="1">_xludf.ifna(VLOOKUP(G651,Proyectos!$E$1:$N$4,10,0),"")</f>
        <v>#NAME?</v>
      </c>
      <c r="M650" s="32"/>
      <c r="N650" s="32"/>
      <c r="O650" s="31"/>
      <c r="P650" s="33"/>
      <c r="Q650" s="33"/>
    </row>
    <row r="651" spans="1:17" ht="16.5" customHeight="1" x14ac:dyDescent="0.2">
      <c r="A651" s="26" t="s">
        <v>4025</v>
      </c>
      <c r="B651" s="26" t="s">
        <v>4026</v>
      </c>
      <c r="C651" s="26" t="s">
        <v>37</v>
      </c>
      <c r="D651" s="26" t="s">
        <v>38</v>
      </c>
      <c r="E651" s="26" t="s">
        <v>135</v>
      </c>
      <c r="F651" s="28" t="e">
        <f ca="1">_xludf.ifna(VLOOKUP(G652,Proyectos!$E$1:$H$4,4,0),"")</f>
        <v>#NAME?</v>
      </c>
      <c r="G651" s="26" t="s">
        <v>5678</v>
      </c>
      <c r="H651" s="32">
        <v>0.25</v>
      </c>
      <c r="I651" s="31" t="s">
        <v>32</v>
      </c>
      <c r="J651" s="32"/>
      <c r="K651" s="32" t="str">
        <f t="shared" si="2"/>
        <v>Externo</v>
      </c>
      <c r="L651" s="32" t="e">
        <f ca="1">_xludf.ifna(VLOOKUP(G652,Proyectos!$E$1:$N$4,10,0),"")</f>
        <v>#NAME?</v>
      </c>
      <c r="M651" s="32"/>
      <c r="N651" s="31"/>
      <c r="O651" s="31"/>
      <c r="P651" s="33"/>
      <c r="Q651" s="33"/>
    </row>
    <row r="652" spans="1:17" ht="16.5" customHeight="1" x14ac:dyDescent="0.2">
      <c r="A652" s="26" t="s">
        <v>4025</v>
      </c>
      <c r="B652" s="26" t="s">
        <v>4026</v>
      </c>
      <c r="C652" s="26" t="s">
        <v>37</v>
      </c>
      <c r="D652" s="26" t="s">
        <v>38</v>
      </c>
      <c r="E652" s="26" t="s">
        <v>135</v>
      </c>
      <c r="F652" s="28" t="e">
        <f ca="1">_xludf.ifna(VLOOKUP(G653,Proyectos!$E$1:$H$4,4,0),"")</f>
        <v>#NAME?</v>
      </c>
      <c r="G652" s="26" t="s">
        <v>5342</v>
      </c>
      <c r="H652" s="32">
        <v>0.25</v>
      </c>
      <c r="I652" s="31" t="s">
        <v>32</v>
      </c>
      <c r="J652" s="32"/>
      <c r="K652" s="32" t="str">
        <f t="shared" si="2"/>
        <v>Externo</v>
      </c>
      <c r="L652" s="32" t="e">
        <f ca="1">_xludf.ifna(VLOOKUP(G653,Proyectos!$E$1:$N$4,10,0),"")</f>
        <v>#NAME?</v>
      </c>
      <c r="M652" s="32"/>
      <c r="N652" s="31"/>
      <c r="O652" s="31"/>
      <c r="P652" s="33"/>
      <c r="Q652" s="33"/>
    </row>
    <row r="653" spans="1:17" ht="16.5" customHeight="1" x14ac:dyDescent="0.2">
      <c r="A653" s="26" t="s">
        <v>3560</v>
      </c>
      <c r="B653" s="26" t="s">
        <v>3561</v>
      </c>
      <c r="C653" s="26" t="s">
        <v>98</v>
      </c>
      <c r="D653" s="26" t="s">
        <v>105</v>
      </c>
      <c r="E653" s="26" t="s">
        <v>39</v>
      </c>
      <c r="F653" s="28" t="e">
        <f ca="1">_xludf.ifna(VLOOKUP(G654,Proyectos!$E$1:$H$4,4,0),"")</f>
        <v>#NAME?</v>
      </c>
      <c r="G653" s="26" t="s">
        <v>5145</v>
      </c>
      <c r="H653" s="32">
        <v>0.25</v>
      </c>
      <c r="I653" s="31" t="s">
        <v>18</v>
      </c>
      <c r="J653" s="32"/>
      <c r="K653" s="32" t="str">
        <f t="shared" si="2"/>
        <v>Interno</v>
      </c>
      <c r="L653" s="32" t="e">
        <f ca="1">_xludf.ifna(VLOOKUP(G654,Proyectos!$E$1:$N$4,10,0),"")</f>
        <v>#NAME?</v>
      </c>
      <c r="M653" s="32"/>
      <c r="N653" s="32"/>
      <c r="O653" s="31"/>
      <c r="P653" s="33"/>
      <c r="Q653" s="33"/>
    </row>
    <row r="654" spans="1:17" ht="16.5" customHeight="1" x14ac:dyDescent="0.2">
      <c r="A654" s="26" t="s">
        <v>3560</v>
      </c>
      <c r="B654" s="26" t="s">
        <v>3561</v>
      </c>
      <c r="C654" s="26" t="s">
        <v>98</v>
      </c>
      <c r="D654" s="26" t="s">
        <v>105</v>
      </c>
      <c r="E654" s="26" t="s">
        <v>39</v>
      </c>
      <c r="F654" s="28" t="e">
        <f ca="1">_xludf.ifna(VLOOKUP(G655,Proyectos!$E$1:$H$4,4,0),"")</f>
        <v>#NAME?</v>
      </c>
      <c r="G654" s="26" t="s">
        <v>5597</v>
      </c>
      <c r="H654" s="32">
        <v>0.75</v>
      </c>
      <c r="I654" s="31" t="s">
        <v>18</v>
      </c>
      <c r="J654" s="32"/>
      <c r="K654" s="32" t="str">
        <f t="shared" si="2"/>
        <v>Interno</v>
      </c>
      <c r="L654" s="32" t="e">
        <f ca="1">_xludf.ifna(VLOOKUP(G655,Proyectos!$E$1:$N$4,10,0),"")</f>
        <v>#NAME?</v>
      </c>
      <c r="M654" s="32"/>
      <c r="N654" s="32"/>
      <c r="O654" s="31"/>
      <c r="P654" s="33"/>
      <c r="Q654" s="33"/>
    </row>
    <row r="655" spans="1:17" ht="16.5" customHeight="1" x14ac:dyDescent="0.2">
      <c r="A655" s="26" t="s">
        <v>3658</v>
      </c>
      <c r="B655" s="26" t="s">
        <v>5178</v>
      </c>
      <c r="C655" s="54" t="s">
        <v>7</v>
      </c>
      <c r="D655" s="54" t="s">
        <v>23</v>
      </c>
      <c r="E655" s="54" t="s">
        <v>39</v>
      </c>
      <c r="F655" s="28" t="e">
        <f ca="1">_xludf.ifna(VLOOKUP(G656,Proyectos!$E$1:$H$4,4,0),"")</f>
        <v>#NAME?</v>
      </c>
      <c r="G655" s="54" t="s">
        <v>5170</v>
      </c>
      <c r="H655" s="60">
        <v>0.4</v>
      </c>
      <c r="I655" s="31" t="s">
        <v>18</v>
      </c>
      <c r="J655" s="60"/>
      <c r="K655" s="32" t="str">
        <f t="shared" si="2"/>
        <v>Interno</v>
      </c>
      <c r="L655" s="32" t="e">
        <f ca="1">_xludf.ifna(VLOOKUP(G656,Proyectos!$E$1:$N$4,10,0),"")</f>
        <v>#NAME?</v>
      </c>
      <c r="M655" s="32"/>
      <c r="N655" s="31"/>
      <c r="O655" s="31"/>
      <c r="P655" s="33"/>
      <c r="Q655" s="33"/>
    </row>
    <row r="656" spans="1:17" ht="16.5" customHeight="1" x14ac:dyDescent="0.2">
      <c r="A656" s="26" t="s">
        <v>3658</v>
      </c>
      <c r="B656" s="26" t="s">
        <v>5178</v>
      </c>
      <c r="C656" s="54" t="s">
        <v>7</v>
      </c>
      <c r="D656" s="54" t="s">
        <v>23</v>
      </c>
      <c r="E656" s="54" t="s">
        <v>39</v>
      </c>
      <c r="F656" s="28" t="e">
        <f ca="1">_xludf.ifna(VLOOKUP(G657,Proyectos!$E$1:$H$4,4,0),"")</f>
        <v>#NAME?</v>
      </c>
      <c r="G656" s="54" t="s">
        <v>5171</v>
      </c>
      <c r="H656" s="60">
        <v>0.1</v>
      </c>
      <c r="I656" s="31" t="s">
        <v>18</v>
      </c>
      <c r="J656" s="60"/>
      <c r="K656" s="32" t="str">
        <f t="shared" si="2"/>
        <v>Interno</v>
      </c>
      <c r="L656" s="32" t="e">
        <f ca="1">_xludf.ifna(VLOOKUP(G657,Proyectos!$E$1:$N$4,10,0),"")</f>
        <v>#NAME?</v>
      </c>
      <c r="M656" s="32"/>
      <c r="N656" s="31"/>
      <c r="O656" s="31"/>
      <c r="P656" s="33"/>
      <c r="Q656" s="33"/>
    </row>
    <row r="657" spans="1:17" ht="16.5" customHeight="1" x14ac:dyDescent="0.2">
      <c r="A657" s="26" t="s">
        <v>3658</v>
      </c>
      <c r="B657" s="26" t="s">
        <v>5178</v>
      </c>
      <c r="C657" s="54" t="s">
        <v>7</v>
      </c>
      <c r="D657" s="54" t="s">
        <v>23</v>
      </c>
      <c r="E657" s="54" t="s">
        <v>39</v>
      </c>
      <c r="F657" s="28" t="e">
        <f ca="1">_xludf.ifna(VLOOKUP(G658,Proyectos!$E$1:$H$4,4,0),"")</f>
        <v>#NAME?</v>
      </c>
      <c r="G657" s="54" t="s">
        <v>5173</v>
      </c>
      <c r="H657" s="60">
        <v>0.1</v>
      </c>
      <c r="I657" s="31" t="s">
        <v>18</v>
      </c>
      <c r="J657" s="60"/>
      <c r="K657" s="32" t="str">
        <f t="shared" si="2"/>
        <v>Interno</v>
      </c>
      <c r="L657" s="32" t="e">
        <f ca="1">_xludf.ifna(VLOOKUP(G658,Proyectos!$E$1:$N$4,10,0),"")</f>
        <v>#NAME?</v>
      </c>
      <c r="M657" s="32"/>
      <c r="N657" s="31"/>
      <c r="O657" s="31"/>
      <c r="P657" s="33"/>
      <c r="Q657" s="33"/>
    </row>
    <row r="658" spans="1:17" ht="16.5" customHeight="1" x14ac:dyDescent="0.2">
      <c r="A658" s="26" t="s">
        <v>3658</v>
      </c>
      <c r="B658" s="26" t="s">
        <v>5178</v>
      </c>
      <c r="C658" s="54" t="s">
        <v>7</v>
      </c>
      <c r="D658" s="54" t="s">
        <v>23</v>
      </c>
      <c r="E658" s="54" t="s">
        <v>39</v>
      </c>
      <c r="F658" s="28" t="e">
        <f ca="1">_xludf.ifna(VLOOKUP(G659,Proyectos!$E$1:$H$4,4,0),"")</f>
        <v>#NAME?</v>
      </c>
      <c r="G658" s="54" t="s">
        <v>5174</v>
      </c>
      <c r="H658" s="60">
        <v>0.1</v>
      </c>
      <c r="I658" s="31" t="s">
        <v>18</v>
      </c>
      <c r="J658" s="60"/>
      <c r="K658" s="32" t="str">
        <f t="shared" si="2"/>
        <v>Interno</v>
      </c>
      <c r="L658" s="32" t="e">
        <f ca="1">_xludf.ifna(VLOOKUP(G659,Proyectos!$E$1:$N$4,10,0),"")</f>
        <v>#NAME?</v>
      </c>
      <c r="M658" s="32"/>
      <c r="N658" s="31"/>
      <c r="O658" s="31"/>
      <c r="P658" s="33"/>
      <c r="Q658" s="33"/>
    </row>
    <row r="659" spans="1:17" ht="16.5" customHeight="1" x14ac:dyDescent="0.2">
      <c r="A659" s="26" t="s">
        <v>3658</v>
      </c>
      <c r="B659" s="26" t="s">
        <v>5178</v>
      </c>
      <c r="C659" s="54" t="s">
        <v>7</v>
      </c>
      <c r="D659" s="54" t="s">
        <v>23</v>
      </c>
      <c r="E659" s="54" t="s">
        <v>39</v>
      </c>
      <c r="F659" s="28" t="e">
        <f ca="1">_xludf.ifna(VLOOKUP(G660,Proyectos!$E$1:$H$4,4,0),"")</f>
        <v>#NAME?</v>
      </c>
      <c r="G659" s="54" t="s">
        <v>5175</v>
      </c>
      <c r="H659" s="34">
        <v>0.3</v>
      </c>
      <c r="I659" s="31" t="s">
        <v>18</v>
      </c>
      <c r="J659" s="60"/>
      <c r="K659" s="32" t="str">
        <f t="shared" si="2"/>
        <v>Interno</v>
      </c>
      <c r="L659" s="32" t="e">
        <f ca="1">_xludf.ifna(VLOOKUP(G660,Proyectos!$E$1:$N$4,10,0),"")</f>
        <v>#NAME?</v>
      </c>
      <c r="M659" s="32"/>
      <c r="N659" s="31"/>
      <c r="O659" s="31"/>
      <c r="P659" s="33"/>
      <c r="Q659" s="33"/>
    </row>
    <row r="660" spans="1:17" ht="16.5" customHeight="1" x14ac:dyDescent="0.2">
      <c r="A660" s="26" t="s">
        <v>3710</v>
      </c>
      <c r="B660" s="26" t="s">
        <v>3711</v>
      </c>
      <c r="C660" s="26" t="s">
        <v>64</v>
      </c>
      <c r="D660" s="26" t="s">
        <v>86</v>
      </c>
      <c r="E660" s="26" t="s">
        <v>39</v>
      </c>
      <c r="F660" s="28" t="e">
        <f ca="1">_xludf.ifna(VLOOKUP(G661,Proyectos!$E$1:$H$4,4,0),"")</f>
        <v>#NAME?</v>
      </c>
      <c r="G660" s="26" t="s">
        <v>5463</v>
      </c>
      <c r="H660" s="30">
        <v>1</v>
      </c>
      <c r="I660" s="31" t="s">
        <v>18</v>
      </c>
      <c r="J660" s="32"/>
      <c r="K660" s="32" t="str">
        <f t="shared" si="2"/>
        <v>Interno</v>
      </c>
      <c r="L660" s="32" t="e">
        <f ca="1">_xludf.ifna(VLOOKUP(G661,Proyectos!$E$1:$N$4,10,0),"")</f>
        <v>#NAME?</v>
      </c>
      <c r="M660" s="32"/>
      <c r="N660" s="32"/>
      <c r="O660" s="31"/>
      <c r="P660" s="33"/>
      <c r="Q660" s="33"/>
    </row>
    <row r="661" spans="1:17" ht="16.5" customHeight="1" x14ac:dyDescent="0.2">
      <c r="A661" s="26" t="s">
        <v>4429</v>
      </c>
      <c r="B661" s="26" t="s">
        <v>4430</v>
      </c>
      <c r="C661" s="26" t="s">
        <v>37</v>
      </c>
      <c r="D661" s="26" t="s">
        <v>38</v>
      </c>
      <c r="E661" s="26" t="s">
        <v>87</v>
      </c>
      <c r="F661" s="28" t="e">
        <f ca="1">_xludf.ifna(VLOOKUP(G662,Proyectos!$E$1:$H$4,4,0),"")</f>
        <v>#NAME?</v>
      </c>
      <c r="G661" s="26" t="s">
        <v>5594</v>
      </c>
      <c r="H661" s="32">
        <v>0.75</v>
      </c>
      <c r="I661" s="31" t="s">
        <v>32</v>
      </c>
      <c r="J661" s="32"/>
      <c r="K661" s="32" t="str">
        <f t="shared" si="2"/>
        <v>Externo</v>
      </c>
      <c r="L661" s="32" t="e">
        <f ca="1">_xludf.ifna(VLOOKUP(G662,Proyectos!$E$1:$N$4,10,0),"")</f>
        <v>#NAME?</v>
      </c>
      <c r="M661" s="32"/>
      <c r="N661" s="31"/>
      <c r="O661" s="31"/>
      <c r="P661" s="33"/>
      <c r="Q661" s="33"/>
    </row>
    <row r="662" spans="1:17" ht="16.5" customHeight="1" x14ac:dyDescent="0.2">
      <c r="A662" s="26" t="s">
        <v>4429</v>
      </c>
      <c r="B662" s="26" t="s">
        <v>4430</v>
      </c>
      <c r="C662" s="26" t="s">
        <v>37</v>
      </c>
      <c r="D662" s="26" t="s">
        <v>38</v>
      </c>
      <c r="E662" s="26" t="s">
        <v>87</v>
      </c>
      <c r="F662" s="28" t="e">
        <f ca="1">_xludf.ifna(VLOOKUP(G663,Proyectos!$E$1:$H$4,4,0),"")</f>
        <v>#NAME?</v>
      </c>
      <c r="G662" s="26" t="s">
        <v>5597</v>
      </c>
      <c r="H662" s="32">
        <v>0.25</v>
      </c>
      <c r="I662" s="31" t="s">
        <v>32</v>
      </c>
      <c r="J662" s="32"/>
      <c r="K662" s="32" t="str">
        <f t="shared" si="2"/>
        <v>Externo</v>
      </c>
      <c r="L662" s="32" t="e">
        <f ca="1">_xludf.ifna(VLOOKUP(G663,Proyectos!$E$1:$N$4,10,0),"")</f>
        <v>#NAME?</v>
      </c>
      <c r="M662" s="32"/>
      <c r="N662" s="31"/>
      <c r="O662" s="31"/>
      <c r="P662" s="33"/>
      <c r="Q662" s="33"/>
    </row>
    <row r="663" spans="1:17" ht="16.5" customHeight="1" x14ac:dyDescent="0.2">
      <c r="A663" s="26" t="s">
        <v>4926</v>
      </c>
      <c r="B663" s="26" t="s">
        <v>5306</v>
      </c>
      <c r="C663" s="53" t="s">
        <v>64</v>
      </c>
      <c r="D663" s="26" t="s">
        <v>92</v>
      </c>
      <c r="E663" s="26" t="s">
        <v>9</v>
      </c>
      <c r="F663" s="28" t="e">
        <f ca="1">_xludf.ifna(VLOOKUP(G664,Proyectos!$E$1:$H$4,4,0),"")</f>
        <v>#NAME?</v>
      </c>
      <c r="G663" s="26" t="s">
        <v>5127</v>
      </c>
      <c r="H663" s="32">
        <v>1</v>
      </c>
      <c r="I663" s="31" t="s">
        <v>18</v>
      </c>
      <c r="J663" s="32"/>
      <c r="K663" s="32" t="str">
        <f t="shared" si="2"/>
        <v>Externo</v>
      </c>
      <c r="L663" s="32" t="e">
        <f ca="1">_xludf.ifna(VLOOKUP(G664,Proyectos!$E$1:$N$4,10,0),"")</f>
        <v>#NAME?</v>
      </c>
      <c r="M663" s="32"/>
      <c r="N663" s="32"/>
      <c r="O663" s="31"/>
      <c r="P663" s="33"/>
      <c r="Q663" s="33"/>
    </row>
    <row r="664" spans="1:17" ht="16.5" customHeight="1" x14ac:dyDescent="0.2">
      <c r="A664" s="26" t="s">
        <v>4142</v>
      </c>
      <c r="B664" s="26" t="s">
        <v>4143</v>
      </c>
      <c r="C664" s="26" t="s">
        <v>115</v>
      </c>
      <c r="D664" s="26" t="s">
        <v>116</v>
      </c>
      <c r="E664" s="26" t="s">
        <v>108</v>
      </c>
      <c r="F664" s="28" t="e">
        <f ca="1">_xludf.ifna(VLOOKUP(G665,Proyectos!$E$1:$H$4,4,0),"")</f>
        <v>#NAME?</v>
      </c>
      <c r="G664" s="26" t="s">
        <v>5235</v>
      </c>
      <c r="H664" s="32">
        <v>1</v>
      </c>
      <c r="I664" s="31" t="s">
        <v>18</v>
      </c>
      <c r="J664" s="32"/>
      <c r="K664" s="32" t="str">
        <f t="shared" si="2"/>
        <v>Externo</v>
      </c>
      <c r="L664" s="32" t="e">
        <f ca="1">_xludf.ifna(VLOOKUP(G665,Proyectos!$E$1:$N$4,10,0),"")</f>
        <v>#NAME?</v>
      </c>
      <c r="M664" s="32"/>
      <c r="N664" s="32"/>
      <c r="O664" s="31"/>
      <c r="P664" s="33"/>
      <c r="Q664" s="33"/>
    </row>
    <row r="665" spans="1:17" ht="16.5" customHeight="1" x14ac:dyDescent="0.2">
      <c r="A665" s="26" t="s">
        <v>4225</v>
      </c>
      <c r="B665" s="26" t="s">
        <v>4226</v>
      </c>
      <c r="C665" s="26" t="s">
        <v>37</v>
      </c>
      <c r="D665" s="26" t="s">
        <v>38</v>
      </c>
      <c r="E665" s="26" t="s">
        <v>9</v>
      </c>
      <c r="F665" s="28" t="e">
        <f ca="1">_xludf.ifna(VLOOKUP(G666,Proyectos!$E$1:$H$4,4,0),"")</f>
        <v>#NAME?</v>
      </c>
      <c r="G665" s="26" t="s">
        <v>5597</v>
      </c>
      <c r="H665" s="32">
        <v>1</v>
      </c>
      <c r="I665" s="31" t="s">
        <v>18</v>
      </c>
      <c r="J665" s="32"/>
      <c r="K665" s="32" t="str">
        <f t="shared" si="2"/>
        <v>Externo</v>
      </c>
      <c r="L665" s="32" t="e">
        <f ca="1">_xludf.ifna(VLOOKUP(G666,Proyectos!$E$1:$N$4,10,0),"")</f>
        <v>#NAME?</v>
      </c>
      <c r="M665" s="32"/>
      <c r="N665" s="31"/>
      <c r="O665" s="31"/>
      <c r="P665" s="33"/>
      <c r="Q665" s="33"/>
    </row>
    <row r="666" spans="1:17" ht="16.5" customHeight="1" x14ac:dyDescent="0.2">
      <c r="A666" s="26" t="s">
        <v>3443</v>
      </c>
      <c r="B666" s="26" t="s">
        <v>3444</v>
      </c>
      <c r="C666" s="26" t="s">
        <v>98</v>
      </c>
      <c r="D666" s="26" t="s">
        <v>110</v>
      </c>
      <c r="E666" s="26" t="s">
        <v>39</v>
      </c>
      <c r="F666" s="28" t="e">
        <f ca="1">_xludf.ifna(VLOOKUP(G667,Proyectos!$E$1:$H$4,4,0),"")</f>
        <v>#NAME?</v>
      </c>
      <c r="G666" s="26" t="s">
        <v>5597</v>
      </c>
      <c r="H666" s="32">
        <v>1</v>
      </c>
      <c r="I666" s="31" t="s">
        <v>11</v>
      </c>
      <c r="J666" s="32"/>
      <c r="K666" s="32" t="str">
        <f t="shared" si="2"/>
        <v>Interno</v>
      </c>
      <c r="L666" s="32" t="e">
        <f ca="1">_xludf.ifna(VLOOKUP(G667,Proyectos!$E$1:$N$4,10,0),"")</f>
        <v>#NAME?</v>
      </c>
      <c r="M666" s="32"/>
      <c r="N666" s="32"/>
      <c r="O666" s="31"/>
      <c r="P666" s="33"/>
      <c r="Q666" s="33"/>
    </row>
    <row r="667" spans="1:17" ht="16.5" customHeight="1" x14ac:dyDescent="0.2">
      <c r="A667" s="35" t="s">
        <v>4322</v>
      </c>
      <c r="B667" s="26" t="s">
        <v>5496</v>
      </c>
      <c r="C667" s="26" t="s">
        <v>64</v>
      </c>
      <c r="D667" s="26" t="s">
        <v>82</v>
      </c>
      <c r="E667" s="35" t="s">
        <v>9</v>
      </c>
      <c r="F667" s="28" t="e">
        <f ca="1">_xludf.ifna(VLOOKUP(G668,Proyectos!$E$1:$H$4,4,0),"")</f>
        <v>#NAME?</v>
      </c>
      <c r="G667" s="26" t="s">
        <v>5387</v>
      </c>
      <c r="H667" s="32">
        <v>1</v>
      </c>
      <c r="I667" s="31" t="s">
        <v>18</v>
      </c>
      <c r="J667" s="32"/>
      <c r="K667" s="32" t="str">
        <f t="shared" si="2"/>
        <v>Externo</v>
      </c>
      <c r="L667" s="32" t="e">
        <f ca="1">_xludf.ifna(VLOOKUP(G668,Proyectos!$E$1:$N$4,10,0),"")</f>
        <v>#NAME?</v>
      </c>
      <c r="M667" s="32"/>
      <c r="N667" s="32"/>
      <c r="O667" s="31"/>
      <c r="P667" s="33"/>
      <c r="Q667" s="33"/>
    </row>
    <row r="668" spans="1:17" ht="16.5" customHeight="1" x14ac:dyDescent="0.2">
      <c r="A668" s="26" t="s">
        <v>4873</v>
      </c>
      <c r="B668" s="26" t="s">
        <v>4874</v>
      </c>
      <c r="C668" s="26" t="s">
        <v>115</v>
      </c>
      <c r="D668" s="26" t="s">
        <v>122</v>
      </c>
      <c r="E668" s="26" t="s">
        <v>114</v>
      </c>
      <c r="F668" s="28" t="e">
        <f ca="1">_xludf.ifna(VLOOKUP(G669,Proyectos!$E$1:$H$4,4,0),"")</f>
        <v>#NAME?</v>
      </c>
      <c r="G668" s="26" t="s">
        <v>5597</v>
      </c>
      <c r="H668" s="32">
        <v>1</v>
      </c>
      <c r="I668" s="31" t="s">
        <v>25</v>
      </c>
      <c r="J668" s="32"/>
      <c r="K668" s="32" t="str">
        <f t="shared" si="2"/>
        <v>Externo</v>
      </c>
      <c r="L668" s="32" t="e">
        <f ca="1">_xludf.ifna(VLOOKUP(G669,Proyectos!$E$1:$N$4,10,0),"")</f>
        <v>#NAME?</v>
      </c>
      <c r="M668" s="32"/>
      <c r="N668" s="31"/>
      <c r="O668" s="31"/>
      <c r="P668" s="33"/>
      <c r="Q668" s="33"/>
    </row>
    <row r="669" spans="1:17" ht="16.5" customHeight="1" x14ac:dyDescent="0.2">
      <c r="A669" s="26" t="s">
        <v>4167</v>
      </c>
      <c r="B669" s="26" t="s">
        <v>4168</v>
      </c>
      <c r="C669" s="26" t="s">
        <v>98</v>
      </c>
      <c r="D669" s="26" t="s">
        <v>110</v>
      </c>
      <c r="E669" s="26" t="s">
        <v>129</v>
      </c>
      <c r="F669" s="28" t="e">
        <f ca="1">_xludf.ifna(VLOOKUP(G670,Proyectos!$E$1:$H$4,4,0),"")</f>
        <v>#NAME?</v>
      </c>
      <c r="G669" s="26" t="s">
        <v>5243</v>
      </c>
      <c r="H669" s="32">
        <v>1</v>
      </c>
      <c r="I669" s="31" t="s">
        <v>18</v>
      </c>
      <c r="J669" s="32"/>
      <c r="K669" s="32" t="str">
        <f t="shared" si="2"/>
        <v>Externo</v>
      </c>
      <c r="L669" s="32" t="e">
        <f ca="1">_xludf.ifna(VLOOKUP(G670,Proyectos!$E$1:$N$4,10,0),"")</f>
        <v>#NAME?</v>
      </c>
      <c r="M669" s="32"/>
      <c r="N669" s="32"/>
      <c r="O669" s="31"/>
      <c r="P669" s="33"/>
      <c r="Q669" s="33"/>
    </row>
    <row r="670" spans="1:17" ht="16.5" customHeight="1" x14ac:dyDescent="0.2">
      <c r="A670" s="35" t="s">
        <v>4394</v>
      </c>
      <c r="B670" s="26" t="s">
        <v>5497</v>
      </c>
      <c r="C670" s="26" t="s">
        <v>64</v>
      </c>
      <c r="D670" s="26" t="s">
        <v>82</v>
      </c>
      <c r="E670" s="35" t="s">
        <v>126</v>
      </c>
      <c r="F670" s="28" t="e">
        <f ca="1">_xludf.ifna(VLOOKUP(G671,Proyectos!$E$1:$H$4,4,0),"")</f>
        <v>#NAME?</v>
      </c>
      <c r="G670" s="26" t="s">
        <v>5387</v>
      </c>
      <c r="H670" s="32">
        <v>1</v>
      </c>
      <c r="I670" s="31" t="s">
        <v>18</v>
      </c>
      <c r="J670" s="32"/>
      <c r="K670" s="32" t="str">
        <f t="shared" si="2"/>
        <v>Externo</v>
      </c>
      <c r="L670" s="32" t="e">
        <f ca="1">_xludf.ifna(VLOOKUP(G671,Proyectos!$E$1:$N$4,10,0),"")</f>
        <v>#NAME?</v>
      </c>
      <c r="M670" s="32"/>
      <c r="N670" s="32"/>
      <c r="O670" s="31"/>
      <c r="P670" s="33"/>
      <c r="Q670" s="33"/>
    </row>
    <row r="671" spans="1:17" ht="16.5" customHeight="1" x14ac:dyDescent="0.2">
      <c r="A671" s="26" t="s">
        <v>4110</v>
      </c>
      <c r="B671" s="26" t="s">
        <v>4111</v>
      </c>
      <c r="C671" s="26" t="s">
        <v>7</v>
      </c>
      <c r="D671" s="26" t="s">
        <v>16</v>
      </c>
      <c r="E671" s="26" t="s">
        <v>126</v>
      </c>
      <c r="F671" s="28" t="e">
        <f ca="1">_xludf.ifna(VLOOKUP(G672,Proyectos!$E$1:$H$4,4,0),"")</f>
        <v>#NAME?</v>
      </c>
      <c r="G671" s="26" t="s">
        <v>5267</v>
      </c>
      <c r="H671" s="65">
        <v>1</v>
      </c>
      <c r="I671" s="31" t="s">
        <v>18</v>
      </c>
      <c r="J671" s="32"/>
      <c r="K671" s="32" t="str">
        <f t="shared" si="2"/>
        <v>Externo</v>
      </c>
      <c r="L671" s="32" t="e">
        <f ca="1">_xludf.ifna(VLOOKUP(G672,Proyectos!$E$1:$N$4,10,0),"")</f>
        <v>#NAME?</v>
      </c>
      <c r="M671" s="32"/>
      <c r="N671" s="32"/>
      <c r="O671" s="31"/>
      <c r="P671" s="33"/>
      <c r="Q671" s="33"/>
    </row>
    <row r="672" spans="1:17" ht="16.5" customHeight="1" x14ac:dyDescent="0.2">
      <c r="A672" s="26" t="s">
        <v>4068</v>
      </c>
      <c r="B672" s="26" t="s">
        <v>5419</v>
      </c>
      <c r="C672" s="26" t="s">
        <v>115</v>
      </c>
      <c r="D672" s="26" t="s">
        <v>122</v>
      </c>
      <c r="E672" s="26" t="s">
        <v>129</v>
      </c>
      <c r="F672" s="28" t="e">
        <f ca="1">_xludf.ifna(VLOOKUP(G673,Proyectos!$E$1:$H$4,4,0),"")</f>
        <v>#NAME?</v>
      </c>
      <c r="G672" s="26" t="s">
        <v>5597</v>
      </c>
      <c r="H672" s="32">
        <v>0.8</v>
      </c>
      <c r="I672" s="31" t="s">
        <v>18</v>
      </c>
      <c r="J672" s="32"/>
      <c r="K672" s="32" t="str">
        <f t="shared" si="2"/>
        <v>Externo</v>
      </c>
      <c r="L672" s="32" t="e">
        <f ca="1">_xludf.ifna(VLOOKUP(G673,Proyectos!$E$1:$N$4,10,0),"")</f>
        <v>#NAME?</v>
      </c>
      <c r="M672" s="32"/>
      <c r="N672" s="31"/>
      <c r="O672" s="31"/>
      <c r="P672" s="33"/>
      <c r="Q672" s="33"/>
    </row>
    <row r="673" spans="1:17" ht="16.5" customHeight="1" x14ac:dyDescent="0.2">
      <c r="A673" s="26" t="s">
        <v>4068</v>
      </c>
      <c r="B673" s="26" t="s">
        <v>5135</v>
      </c>
      <c r="C673" s="26" t="s">
        <v>98</v>
      </c>
      <c r="D673" s="26" t="s">
        <v>99</v>
      </c>
      <c r="E673" s="26" t="s">
        <v>129</v>
      </c>
      <c r="F673" s="28" t="e">
        <f ca="1">_xludf.ifna(VLOOKUP(G674,Proyectos!$E$1:$H$4,4,0),"")</f>
        <v>#NAME?</v>
      </c>
      <c r="G673" s="26" t="s">
        <v>5597</v>
      </c>
      <c r="H673" s="32">
        <v>0.2</v>
      </c>
      <c r="I673" s="31" t="s">
        <v>32</v>
      </c>
      <c r="J673" s="31" t="s">
        <v>5748</v>
      </c>
      <c r="K673" s="32" t="str">
        <f t="shared" si="2"/>
        <v>Externo</v>
      </c>
      <c r="L673" s="32" t="e">
        <f ca="1">_xludf.ifna(VLOOKUP(G674,Proyectos!$E$1:$N$4,10,0),"")</f>
        <v>#NAME?</v>
      </c>
      <c r="M673" s="32"/>
      <c r="N673" s="32"/>
      <c r="O673" s="31"/>
      <c r="P673" s="33"/>
      <c r="Q673" s="33"/>
    </row>
    <row r="674" spans="1:17" ht="16.5" customHeight="1" x14ac:dyDescent="0.2">
      <c r="A674" s="26" t="s">
        <v>5749</v>
      </c>
      <c r="B674" s="26" t="s">
        <v>5750</v>
      </c>
      <c r="C674" s="26" t="s">
        <v>115</v>
      </c>
      <c r="D674" s="26" t="s">
        <v>122</v>
      </c>
      <c r="E674" s="26" t="s">
        <v>39</v>
      </c>
      <c r="F674" s="28" t="e">
        <f ca="1">_xludf.ifna(VLOOKUP(G675,Proyectos!$E$1:$H$4,4,0),"")</f>
        <v>#NAME?</v>
      </c>
      <c r="G674" s="26" t="s">
        <v>5424</v>
      </c>
      <c r="H674" s="32">
        <v>0.8</v>
      </c>
      <c r="I674" s="31" t="s">
        <v>18</v>
      </c>
      <c r="J674" s="32"/>
      <c r="K674" s="32" t="str">
        <f t="shared" si="2"/>
        <v>Interno</v>
      </c>
      <c r="L674" s="32" t="e">
        <f ca="1">_xludf.ifna(VLOOKUP(G675,Proyectos!$E$1:$N$4,10,0),"")</f>
        <v>#NAME?</v>
      </c>
      <c r="M674" s="32"/>
      <c r="N674" s="31"/>
      <c r="O674" s="31"/>
      <c r="P674" s="33"/>
      <c r="Q674" s="33"/>
    </row>
    <row r="675" spans="1:17" ht="16.5" customHeight="1" x14ac:dyDescent="0.2">
      <c r="A675" s="26" t="s">
        <v>5749</v>
      </c>
      <c r="B675" s="26" t="s">
        <v>5750</v>
      </c>
      <c r="C675" s="26" t="s">
        <v>115</v>
      </c>
      <c r="D675" s="26" t="s">
        <v>122</v>
      </c>
      <c r="E675" s="26" t="s">
        <v>39</v>
      </c>
      <c r="F675" s="28" t="e">
        <f ca="1">_xludf.ifna(VLOOKUP(G676,Proyectos!$E$1:$H$4,4,0),"")</f>
        <v>#NAME?</v>
      </c>
      <c r="G675" s="26" t="s">
        <v>5225</v>
      </c>
      <c r="H675" s="32">
        <v>0.2</v>
      </c>
      <c r="I675" s="31" t="s">
        <v>18</v>
      </c>
      <c r="J675" s="32"/>
      <c r="K675" s="32" t="str">
        <f t="shared" si="2"/>
        <v>Interno</v>
      </c>
      <c r="L675" s="32" t="e">
        <f ca="1">_xludf.ifna(VLOOKUP(G676,Proyectos!$E$1:$N$4,10,0),"")</f>
        <v>#NAME?</v>
      </c>
      <c r="M675" s="32"/>
      <c r="N675" s="31"/>
      <c r="O675" s="31"/>
      <c r="P675" s="33"/>
      <c r="Q675" s="33"/>
    </row>
    <row r="676" spans="1:17" ht="16.5" customHeight="1" x14ac:dyDescent="0.2">
      <c r="A676" s="26" t="s">
        <v>5751</v>
      </c>
      <c r="B676" s="26" t="s">
        <v>5752</v>
      </c>
      <c r="C676" s="26" t="s">
        <v>98</v>
      </c>
      <c r="D676" s="26" t="s">
        <v>105</v>
      </c>
      <c r="E676" s="26" t="s">
        <v>83</v>
      </c>
      <c r="F676" s="28" t="e">
        <f ca="1">_xludf.ifna(VLOOKUP(G677,Proyectos!$E$1:$H$4,4,0),"")</f>
        <v>#NAME?</v>
      </c>
      <c r="G676" s="26" t="s">
        <v>5597</v>
      </c>
      <c r="H676" s="32">
        <v>0.75</v>
      </c>
      <c r="I676" s="31" t="s">
        <v>25</v>
      </c>
      <c r="J676" s="32"/>
      <c r="K676" s="32" t="str">
        <f t="shared" si="2"/>
        <v>Externo</v>
      </c>
      <c r="L676" s="32" t="e">
        <f ca="1">_xludf.ifna(VLOOKUP(G677,Proyectos!$E$1:$N$4,10,0),"")</f>
        <v>#NAME?</v>
      </c>
      <c r="M676" s="32"/>
      <c r="N676" s="32"/>
      <c r="O676" s="31"/>
      <c r="P676" s="33"/>
      <c r="Q676" s="33"/>
    </row>
    <row r="677" spans="1:17" ht="16.5" customHeight="1" x14ac:dyDescent="0.2">
      <c r="A677" s="26" t="s">
        <v>4352</v>
      </c>
      <c r="B677" s="26" t="s">
        <v>5752</v>
      </c>
      <c r="C677" s="26" t="s">
        <v>98</v>
      </c>
      <c r="D677" s="26" t="s">
        <v>105</v>
      </c>
      <c r="E677" s="26" t="s">
        <v>83</v>
      </c>
      <c r="F677" s="28" t="e">
        <f ca="1">_xludf.ifna(VLOOKUP(G678,Proyectos!$E$1:$H$4,4,0),"")</f>
        <v>#NAME?</v>
      </c>
      <c r="G677" s="26" t="s">
        <v>5145</v>
      </c>
      <c r="H677" s="32">
        <v>0.25</v>
      </c>
      <c r="I677" s="31" t="s">
        <v>25</v>
      </c>
      <c r="J677" s="32"/>
      <c r="K677" s="32" t="str">
        <f t="shared" si="2"/>
        <v>Externo</v>
      </c>
      <c r="L677" s="32" t="e">
        <f ca="1">_xludf.ifna(VLOOKUP(G678,Proyectos!$E$1:$N$4,10,0),"")</f>
        <v>#NAME?</v>
      </c>
      <c r="M677" s="32"/>
      <c r="N677" s="32"/>
      <c r="O677" s="31"/>
      <c r="P677" s="33"/>
      <c r="Q677" s="33"/>
    </row>
    <row r="678" spans="1:17" ht="16.5" customHeight="1" x14ac:dyDescent="0.2">
      <c r="A678" s="26" t="s">
        <v>5043</v>
      </c>
      <c r="B678" s="26" t="s">
        <v>5044</v>
      </c>
      <c r="C678" s="26" t="s">
        <v>64</v>
      </c>
      <c r="D678" s="26" t="s">
        <v>95</v>
      </c>
      <c r="E678" s="26" t="s">
        <v>126</v>
      </c>
      <c r="F678" s="28" t="e">
        <f ca="1">_xludf.ifna(VLOOKUP(G679,Proyectos!$E$1:$H$4,4,0),"")</f>
        <v>#NAME?</v>
      </c>
      <c r="G678" s="26" t="s">
        <v>5363</v>
      </c>
      <c r="H678" s="32">
        <v>1</v>
      </c>
      <c r="I678" s="31" t="s">
        <v>18</v>
      </c>
      <c r="J678" s="32"/>
      <c r="K678" s="32" t="str">
        <f t="shared" si="2"/>
        <v>Externo</v>
      </c>
      <c r="L678" s="32" t="e">
        <f ca="1">_xludf.ifna(VLOOKUP(G679,Proyectos!$E$1:$N$4,10,0),"")</f>
        <v>#NAME?</v>
      </c>
      <c r="M678" s="32"/>
      <c r="N678" s="32"/>
      <c r="O678" s="31"/>
      <c r="P678" s="33"/>
      <c r="Q678" s="33"/>
    </row>
    <row r="679" spans="1:17" ht="16.5" customHeight="1" x14ac:dyDescent="0.2">
      <c r="A679" s="26" t="s">
        <v>4015</v>
      </c>
      <c r="B679" s="26" t="s">
        <v>4016</v>
      </c>
      <c r="C679" s="26" t="s">
        <v>115</v>
      </c>
      <c r="D679" s="26" t="s">
        <v>116</v>
      </c>
      <c r="E679" s="26" t="s">
        <v>126</v>
      </c>
      <c r="F679" s="28" t="e">
        <f ca="1">_xludf.ifna(VLOOKUP(G680,Proyectos!$E$1:$H$4,4,0),"")</f>
        <v>#NAME?</v>
      </c>
      <c r="G679" s="26" t="s">
        <v>5597</v>
      </c>
      <c r="H679" s="32">
        <v>1</v>
      </c>
      <c r="I679" s="31" t="s">
        <v>18</v>
      </c>
      <c r="J679" s="32"/>
      <c r="K679" s="32" t="str">
        <f t="shared" si="2"/>
        <v>Externo</v>
      </c>
      <c r="L679" s="32" t="e">
        <f ca="1">_xludf.ifna(VLOOKUP(G680,Proyectos!$E$1:$N$4,10,0),"")</f>
        <v>#NAME?</v>
      </c>
      <c r="M679" s="32"/>
      <c r="N679" s="31"/>
      <c r="O679" s="31"/>
      <c r="P679" s="33"/>
      <c r="Q679" s="33"/>
    </row>
    <row r="680" spans="1:17" ht="16.5" customHeight="1" x14ac:dyDescent="0.2">
      <c r="A680" s="26" t="s">
        <v>4978</v>
      </c>
      <c r="B680" s="26" t="s">
        <v>5183</v>
      </c>
      <c r="C680" s="54" t="s">
        <v>7</v>
      </c>
      <c r="D680" s="54" t="s">
        <v>23</v>
      </c>
      <c r="E680" s="26" t="s">
        <v>79</v>
      </c>
      <c r="F680" s="28" t="e">
        <f ca="1">_xludf.ifna(VLOOKUP(G681,Proyectos!$E$1:$H$4,4,0),"")</f>
        <v>#NAME?</v>
      </c>
      <c r="G680" s="54" t="s">
        <v>5170</v>
      </c>
      <c r="H680" s="60">
        <v>1</v>
      </c>
      <c r="I680" s="31" t="s">
        <v>18</v>
      </c>
      <c r="J680" s="60"/>
      <c r="K680" s="32" t="str">
        <f t="shared" si="2"/>
        <v>Externo</v>
      </c>
      <c r="L680" s="32" t="e">
        <f ca="1">_xludf.ifna(VLOOKUP(G681,Proyectos!$E$1:$N$4,10,0),"")</f>
        <v>#NAME?</v>
      </c>
      <c r="M680" s="32"/>
      <c r="N680" s="31"/>
      <c r="O680" s="31"/>
      <c r="P680" s="33"/>
      <c r="Q680" s="33"/>
    </row>
    <row r="681" spans="1:17" ht="16.5" customHeight="1" x14ac:dyDescent="0.2">
      <c r="A681" s="26" t="s">
        <v>4527</v>
      </c>
      <c r="B681" s="26" t="s">
        <v>4528</v>
      </c>
      <c r="C681" s="26" t="s">
        <v>115</v>
      </c>
      <c r="D681" s="26" t="s">
        <v>134</v>
      </c>
      <c r="E681" s="26" t="s">
        <v>114</v>
      </c>
      <c r="F681" s="28" t="e">
        <f ca="1">_xludf.ifna(VLOOKUP(G682,Proyectos!$E$1:$H$4,4,0),"")</f>
        <v>#NAME?</v>
      </c>
      <c r="G681" s="26" t="s">
        <v>5539</v>
      </c>
      <c r="H681" s="32">
        <v>0.5</v>
      </c>
      <c r="I681" s="31" t="s">
        <v>25</v>
      </c>
      <c r="J681" s="32"/>
      <c r="K681" s="32" t="str">
        <f t="shared" si="2"/>
        <v>Externo</v>
      </c>
      <c r="L681" s="32" t="e">
        <f ca="1">_xludf.ifna(VLOOKUP(G682,Proyectos!$E$1:$N$4,10,0),"")</f>
        <v>#NAME?</v>
      </c>
      <c r="M681" s="32"/>
      <c r="N681" s="32"/>
      <c r="O681" s="31"/>
      <c r="P681" s="33"/>
      <c r="Q681" s="33"/>
    </row>
    <row r="682" spans="1:17" ht="16.5" customHeight="1" x14ac:dyDescent="0.2">
      <c r="A682" s="26" t="s">
        <v>5057</v>
      </c>
      <c r="B682" s="26" t="s">
        <v>5753</v>
      </c>
      <c r="C682" s="26" t="s">
        <v>64</v>
      </c>
      <c r="D682" s="26" t="s">
        <v>86</v>
      </c>
      <c r="E682" s="26" t="s">
        <v>87</v>
      </c>
      <c r="F682" s="28" t="e">
        <f ca="1">_xludf.ifna(VLOOKUP(G683,Proyectos!$E$1:$H$4,4,0),"")</f>
        <v>#NAME?</v>
      </c>
      <c r="G682" s="26" t="s">
        <v>5597</v>
      </c>
      <c r="H682" s="30">
        <v>1</v>
      </c>
      <c r="I682" s="31" t="s">
        <v>18</v>
      </c>
      <c r="J682" s="32"/>
      <c r="K682" s="32" t="str">
        <f t="shared" si="2"/>
        <v>Externo</v>
      </c>
      <c r="L682" s="32" t="e">
        <f ca="1">_xludf.ifna(VLOOKUP(G683,Proyectos!$E$1:$N$4,10,0),"")</f>
        <v>#NAME?</v>
      </c>
      <c r="M682" s="32"/>
      <c r="N682" s="31"/>
      <c r="O682" s="31"/>
      <c r="P682" s="33"/>
      <c r="Q682" s="33"/>
    </row>
    <row r="683" spans="1:17" ht="16.5" customHeight="1" x14ac:dyDescent="0.2">
      <c r="A683" s="26" t="s">
        <v>5754</v>
      </c>
      <c r="B683" s="26" t="s">
        <v>5755</v>
      </c>
      <c r="C683" s="26" t="s">
        <v>37</v>
      </c>
      <c r="D683" s="26" t="s">
        <v>38</v>
      </c>
      <c r="E683" s="26" t="s">
        <v>9</v>
      </c>
      <c r="F683" s="28" t="e">
        <f ca="1">_xludf.ifna(VLOOKUP(G684,Proyectos!$E$1:$H$4,4,0),"")</f>
        <v>#NAME?</v>
      </c>
      <c r="G683" s="26" t="s">
        <v>5337</v>
      </c>
      <c r="H683" s="32">
        <v>0.9</v>
      </c>
      <c r="I683" s="31" t="s">
        <v>18</v>
      </c>
      <c r="J683" s="32"/>
      <c r="K683" s="32" t="str">
        <f t="shared" si="2"/>
        <v>Externo</v>
      </c>
      <c r="L683" s="32" t="e">
        <f ca="1">_xludf.ifna(VLOOKUP(G684,Proyectos!$E$1:$N$4,10,0),"")</f>
        <v>#NAME?</v>
      </c>
      <c r="M683" s="32"/>
      <c r="N683" s="31"/>
      <c r="O683" s="31"/>
      <c r="P683" s="33"/>
      <c r="Q683" s="33"/>
    </row>
    <row r="684" spans="1:17" ht="16.5" customHeight="1" x14ac:dyDescent="0.2">
      <c r="A684" s="26" t="s">
        <v>5756</v>
      </c>
      <c r="B684" s="26" t="s">
        <v>5757</v>
      </c>
      <c r="C684" s="26" t="s">
        <v>37</v>
      </c>
      <c r="D684" s="26" t="s">
        <v>45</v>
      </c>
      <c r="E684" s="26" t="s">
        <v>138</v>
      </c>
      <c r="F684" s="28" t="e">
        <f ca="1">_xludf.ifna(VLOOKUP(G685,Proyectos!$E$1:$H$4,4,0),"")</f>
        <v>#NAME?</v>
      </c>
      <c r="G684" s="26" t="s">
        <v>5608</v>
      </c>
      <c r="H684" s="32">
        <v>1</v>
      </c>
      <c r="I684" s="31" t="s">
        <v>18</v>
      </c>
      <c r="J684" s="32"/>
      <c r="K684" s="32" t="str">
        <f t="shared" si="2"/>
        <v>Externo</v>
      </c>
      <c r="L684" s="32" t="e">
        <f ca="1">_xludf.ifna(VLOOKUP(G685,Proyectos!$E$1:$N$4,10,0),"")</f>
        <v>#NAME?</v>
      </c>
      <c r="M684" s="32"/>
      <c r="N684" s="31"/>
      <c r="O684" s="31"/>
      <c r="P684" s="33"/>
      <c r="Q684" s="33"/>
    </row>
    <row r="685" spans="1:17" ht="16.5" customHeight="1" x14ac:dyDescent="0.2">
      <c r="A685" s="26" t="s">
        <v>5756</v>
      </c>
      <c r="B685" s="26" t="s">
        <v>5758</v>
      </c>
      <c r="C685" s="26" t="s">
        <v>37</v>
      </c>
      <c r="D685" s="26" t="s">
        <v>45</v>
      </c>
      <c r="E685" s="26" t="s">
        <v>138</v>
      </c>
      <c r="F685" s="28" t="e">
        <f ca="1">_xludf.ifna(VLOOKUP(G686,Proyectos!$E$1:$H$4,4,0),"")</f>
        <v>#NAME?</v>
      </c>
      <c r="G685" s="26" t="s">
        <v>5759</v>
      </c>
      <c r="H685" s="32">
        <v>1</v>
      </c>
      <c r="I685" s="31" t="s">
        <v>18</v>
      </c>
      <c r="J685" s="32"/>
      <c r="K685" s="32" t="str">
        <f t="shared" si="2"/>
        <v>Externo</v>
      </c>
      <c r="L685" s="32" t="e">
        <f ca="1">_xludf.ifna(VLOOKUP(G686,Proyectos!$E$1:$N$4,10,0),"")</f>
        <v>#NAME?</v>
      </c>
      <c r="M685" s="32"/>
      <c r="N685" s="31"/>
      <c r="O685" s="31"/>
      <c r="P685" s="33"/>
      <c r="Q685" s="33"/>
    </row>
    <row r="686" spans="1:17" ht="16.5" customHeight="1" x14ac:dyDescent="0.2">
      <c r="A686" s="26" t="s">
        <v>4589</v>
      </c>
      <c r="B686" s="26" t="s">
        <v>5760</v>
      </c>
      <c r="C686" s="26" t="s">
        <v>64</v>
      </c>
      <c r="D686" s="26" t="s">
        <v>95</v>
      </c>
      <c r="E686" s="26" t="s">
        <v>126</v>
      </c>
      <c r="F686" s="28" t="e">
        <f ca="1">_xludf.ifna(VLOOKUP(G687,Proyectos!$E$1:$H$4,4,0),"")</f>
        <v>#NAME?</v>
      </c>
      <c r="G686" s="26" t="s">
        <v>5363</v>
      </c>
      <c r="H686" s="32">
        <v>1</v>
      </c>
      <c r="I686" s="31" t="s">
        <v>18</v>
      </c>
      <c r="J686" s="32"/>
      <c r="K686" s="32" t="str">
        <f t="shared" si="2"/>
        <v>Externo</v>
      </c>
      <c r="L686" s="32" t="e">
        <f ca="1">_xludf.ifna(VLOOKUP(G687,Proyectos!$E$1:$N$4,10,0),"")</f>
        <v>#NAME?</v>
      </c>
      <c r="M686" s="32"/>
      <c r="N686" s="32"/>
      <c r="O686" s="31"/>
      <c r="P686" s="33"/>
      <c r="Q686" s="33"/>
    </row>
    <row r="687" spans="1:17" ht="16.5" customHeight="1" x14ac:dyDescent="0.2">
      <c r="A687" s="26" t="s">
        <v>4986</v>
      </c>
      <c r="B687" s="26" t="s">
        <v>5293</v>
      </c>
      <c r="C687" s="53" t="s">
        <v>64</v>
      </c>
      <c r="D687" s="26" t="s">
        <v>92</v>
      </c>
      <c r="E687" s="26" t="s">
        <v>83</v>
      </c>
      <c r="F687" s="28" t="e">
        <f ca="1">_xludf.ifna(VLOOKUP(G688,Proyectos!$E$1:$H$4,4,0),"")</f>
        <v>#NAME?</v>
      </c>
      <c r="G687" s="26" t="s">
        <v>5479</v>
      </c>
      <c r="H687" s="32">
        <v>1</v>
      </c>
      <c r="I687" s="31" t="s">
        <v>25</v>
      </c>
      <c r="J687" s="32"/>
      <c r="K687" s="32" t="str">
        <f t="shared" si="2"/>
        <v>Externo</v>
      </c>
      <c r="L687" s="32" t="e">
        <f ca="1">_xludf.ifna(VLOOKUP(G688,Proyectos!$E$1:$N$4,10,0),"")</f>
        <v>#NAME?</v>
      </c>
      <c r="M687" s="32"/>
      <c r="N687" s="32"/>
      <c r="O687" s="31"/>
      <c r="P687" s="33"/>
      <c r="Q687" s="33"/>
    </row>
    <row r="688" spans="1:17" ht="16.5" customHeight="1" x14ac:dyDescent="0.2">
      <c r="A688" s="26" t="s">
        <v>3986</v>
      </c>
      <c r="B688" s="26" t="s">
        <v>3987</v>
      </c>
      <c r="C688" s="26" t="s">
        <v>115</v>
      </c>
      <c r="D688" s="26" t="s">
        <v>119</v>
      </c>
      <c r="E688" s="26" t="s">
        <v>135</v>
      </c>
      <c r="F688" s="28" t="e">
        <f ca="1">_xludf.ifna(VLOOKUP(G689,Proyectos!$E$1:$H$4,4,0),"")</f>
        <v>#NAME?</v>
      </c>
      <c r="G688" s="26" t="s">
        <v>5213</v>
      </c>
      <c r="H688" s="32">
        <v>1</v>
      </c>
      <c r="I688" s="31" t="s">
        <v>18</v>
      </c>
      <c r="J688" s="32"/>
      <c r="K688" s="32" t="str">
        <f t="shared" si="2"/>
        <v>Externo</v>
      </c>
      <c r="L688" s="32" t="e">
        <f ca="1">_xludf.ifna(VLOOKUP(G689,Proyectos!$E$1:$N$4,10,0),"")</f>
        <v>#NAME?</v>
      </c>
      <c r="M688" s="32"/>
      <c r="N688" s="31"/>
      <c r="O688" s="31"/>
      <c r="P688" s="33"/>
      <c r="Q688" s="33"/>
    </row>
    <row r="689" spans="1:17" ht="16.5" customHeight="1" x14ac:dyDescent="0.2">
      <c r="A689" s="26" t="s">
        <v>4098</v>
      </c>
      <c r="B689" s="26" t="s">
        <v>5136</v>
      </c>
      <c r="C689" s="26" t="s">
        <v>98</v>
      </c>
      <c r="D689" s="26" t="s">
        <v>99</v>
      </c>
      <c r="E689" s="26" t="s">
        <v>129</v>
      </c>
      <c r="F689" s="28" t="e">
        <f ca="1">_xludf.ifna(VLOOKUP(G690,Proyectos!$E$1:$H$4,4,0),"")</f>
        <v>#NAME?</v>
      </c>
      <c r="G689" s="26" t="s">
        <v>5597</v>
      </c>
      <c r="H689" s="32">
        <v>1</v>
      </c>
      <c r="I689" s="31" t="s">
        <v>18</v>
      </c>
      <c r="J689" s="31" t="s">
        <v>5748</v>
      </c>
      <c r="K689" s="32" t="str">
        <f t="shared" si="2"/>
        <v>Externo</v>
      </c>
      <c r="L689" s="32" t="e">
        <f ca="1">_xludf.ifna(VLOOKUP(G690,Proyectos!$E$1:$N$4,10,0),"")</f>
        <v>#NAME?</v>
      </c>
      <c r="M689" s="32"/>
      <c r="N689" s="32"/>
      <c r="O689" s="31"/>
      <c r="P689" s="33"/>
      <c r="Q689" s="33"/>
    </row>
    <row r="690" spans="1:17" ht="16.5" customHeight="1" x14ac:dyDescent="0.2">
      <c r="A690" s="26" t="s">
        <v>3376</v>
      </c>
      <c r="B690" s="26" t="s">
        <v>5761</v>
      </c>
      <c r="C690" s="26" t="s">
        <v>7</v>
      </c>
      <c r="D690" s="26" t="s">
        <v>16</v>
      </c>
      <c r="E690" s="26" t="s">
        <v>39</v>
      </c>
      <c r="F690" s="28" t="e">
        <f ca="1">_xludf.ifna(VLOOKUP(G691,Proyectos!$E$1:$H$4,4,0),"")</f>
        <v>#NAME?</v>
      </c>
      <c r="G690" s="26" t="s">
        <v>5117</v>
      </c>
      <c r="H690" s="32">
        <v>0.2</v>
      </c>
      <c r="I690" s="31" t="s">
        <v>11</v>
      </c>
      <c r="J690" s="32"/>
      <c r="K690" s="32" t="str">
        <f t="shared" si="2"/>
        <v>Interno</v>
      </c>
      <c r="L690" s="32" t="e">
        <f ca="1">_xludf.ifna(VLOOKUP(G691,Proyectos!$E$1:$N$4,10,0),"")</f>
        <v>#NAME?</v>
      </c>
      <c r="M690" s="32"/>
      <c r="N690" s="32"/>
      <c r="O690" s="31"/>
      <c r="P690" s="33"/>
      <c r="Q690" s="33"/>
    </row>
    <row r="691" spans="1:17" ht="16.5" customHeight="1" x14ac:dyDescent="0.2">
      <c r="A691" s="26" t="s">
        <v>3376</v>
      </c>
      <c r="B691" s="26" t="s">
        <v>5761</v>
      </c>
      <c r="C691" s="26" t="s">
        <v>7</v>
      </c>
      <c r="D691" s="26" t="s">
        <v>16</v>
      </c>
      <c r="E691" s="26" t="s">
        <v>39</v>
      </c>
      <c r="F691" s="28" t="e">
        <f ca="1">_xludf.ifna(VLOOKUP(G692,Proyectos!$E$1:$H$4,4,0),"")</f>
        <v>#NAME?</v>
      </c>
      <c r="G691" s="26" t="s">
        <v>5669</v>
      </c>
      <c r="H691" s="32">
        <v>0.2</v>
      </c>
      <c r="I691" s="31" t="s">
        <v>11</v>
      </c>
      <c r="J691" s="32"/>
      <c r="K691" s="32" t="str">
        <f t="shared" si="2"/>
        <v>Interno</v>
      </c>
      <c r="L691" s="32" t="e">
        <f ca="1">_xludf.ifna(VLOOKUP(G692,Proyectos!$E$1:$N$4,10,0),"")</f>
        <v>#NAME?</v>
      </c>
      <c r="M691" s="32"/>
      <c r="N691" s="31"/>
      <c r="O691" s="31"/>
      <c r="P691" s="33"/>
      <c r="Q691" s="33"/>
    </row>
    <row r="692" spans="1:17" ht="16.5" customHeight="1" x14ac:dyDescent="0.2">
      <c r="A692" s="26" t="s">
        <v>3376</v>
      </c>
      <c r="B692" s="26" t="s">
        <v>5761</v>
      </c>
      <c r="C692" s="26" t="s">
        <v>7</v>
      </c>
      <c r="D692" s="26" t="s">
        <v>16</v>
      </c>
      <c r="E692" s="26" t="s">
        <v>39</v>
      </c>
      <c r="F692" s="28" t="e">
        <f ca="1">_xludf.ifna(VLOOKUP(G693,Proyectos!$E$1:$H$4,4,0),"")</f>
        <v>#NAME?</v>
      </c>
      <c r="G692" s="26" t="s">
        <v>5239</v>
      </c>
      <c r="H692" s="32">
        <v>0.3</v>
      </c>
      <c r="I692" s="31" t="s">
        <v>11</v>
      </c>
      <c r="J692" s="32"/>
      <c r="K692" s="32" t="str">
        <f t="shared" si="2"/>
        <v>Interno</v>
      </c>
      <c r="L692" s="32" t="e">
        <f ca="1">_xludf.ifna(VLOOKUP(G693,Proyectos!$E$1:$N$4,10,0),"")</f>
        <v>#NAME?</v>
      </c>
      <c r="M692" s="32"/>
      <c r="N692" s="31"/>
      <c r="O692" s="31"/>
      <c r="P692" s="33"/>
      <c r="Q692" s="33"/>
    </row>
    <row r="693" spans="1:17" ht="16.5" customHeight="1" x14ac:dyDescent="0.2">
      <c r="A693" s="26" t="s">
        <v>3376</v>
      </c>
      <c r="B693" s="26" t="s">
        <v>5761</v>
      </c>
      <c r="C693" s="26" t="s">
        <v>7</v>
      </c>
      <c r="D693" s="26" t="s">
        <v>16</v>
      </c>
      <c r="E693" s="26" t="s">
        <v>39</v>
      </c>
      <c r="F693" s="28" t="e">
        <f ca="1">_xludf.ifna(VLOOKUP(G694,Proyectos!$E$1:$H$4,4,0),"")</f>
        <v>#NAME?</v>
      </c>
      <c r="G693" s="26" t="s">
        <v>5597</v>
      </c>
      <c r="H693" s="32">
        <v>0.2</v>
      </c>
      <c r="I693" s="31" t="s">
        <v>11</v>
      </c>
      <c r="J693" s="32"/>
      <c r="K693" s="32" t="str">
        <f t="shared" si="2"/>
        <v>Interno</v>
      </c>
      <c r="L693" s="32" t="e">
        <f ca="1">_xludf.ifna(VLOOKUP(G694,Proyectos!$E$1:$N$4,10,0),"")</f>
        <v>#NAME?</v>
      </c>
      <c r="M693" s="32"/>
      <c r="N693" s="31"/>
      <c r="O693" s="31"/>
      <c r="P693" s="33"/>
      <c r="Q693" s="33"/>
    </row>
    <row r="694" spans="1:17" ht="16.5" customHeight="1" x14ac:dyDescent="0.2">
      <c r="A694" s="26" t="s">
        <v>3376</v>
      </c>
      <c r="B694" s="26" t="s">
        <v>5761</v>
      </c>
      <c r="C694" s="26" t="s">
        <v>7</v>
      </c>
      <c r="D694" s="26" t="s">
        <v>16</v>
      </c>
      <c r="E694" s="26" t="s">
        <v>39</v>
      </c>
      <c r="F694" s="28" t="e">
        <f ca="1">_xludf.ifna(VLOOKUP(G695,Proyectos!$E$1:$H$4,4,0),"")</f>
        <v>#NAME?</v>
      </c>
      <c r="G694" s="26" t="s">
        <v>5762</v>
      </c>
      <c r="H694" s="32">
        <v>0.1</v>
      </c>
      <c r="I694" s="31" t="s">
        <v>18</v>
      </c>
      <c r="J694" s="32"/>
      <c r="K694" s="32" t="str">
        <f t="shared" si="2"/>
        <v>Interno</v>
      </c>
      <c r="L694" s="32" t="e">
        <f ca="1">_xludf.ifna(VLOOKUP(G695,Proyectos!$E$1:$N$4,10,0),"")</f>
        <v>#NAME?</v>
      </c>
      <c r="M694" s="32"/>
      <c r="N694" s="31"/>
      <c r="O694" s="31"/>
      <c r="P694" s="33"/>
      <c r="Q694" s="33"/>
    </row>
    <row r="695" spans="1:17" ht="16.5" customHeight="1" x14ac:dyDescent="0.2">
      <c r="A695" s="26" t="s">
        <v>4275</v>
      </c>
      <c r="B695" s="26" t="s">
        <v>5763</v>
      </c>
      <c r="C695" s="26" t="s">
        <v>7</v>
      </c>
      <c r="D695" s="26" t="s">
        <v>16</v>
      </c>
      <c r="E695" s="26" t="s">
        <v>108</v>
      </c>
      <c r="F695" s="28" t="e">
        <f ca="1">_xludf.ifna(VLOOKUP(G696,Proyectos!$E$1:$H$4,4,0),"")</f>
        <v>#NAME?</v>
      </c>
      <c r="G695" s="26" t="s">
        <v>5597</v>
      </c>
      <c r="H695" s="65">
        <v>1</v>
      </c>
      <c r="I695" s="31" t="s">
        <v>18</v>
      </c>
      <c r="J695" s="32"/>
      <c r="K695" s="32" t="str">
        <f t="shared" si="2"/>
        <v>Externo</v>
      </c>
      <c r="L695" s="32" t="e">
        <f ca="1">_xludf.ifna(VLOOKUP(G696,Proyectos!$E$1:$N$4,10,0),"")</f>
        <v>#NAME?</v>
      </c>
      <c r="M695" s="32"/>
      <c r="N695" s="31"/>
      <c r="O695" s="31"/>
      <c r="P695" s="33"/>
      <c r="Q695" s="33"/>
    </row>
    <row r="696" spans="1:17" ht="16.5" customHeight="1" x14ac:dyDescent="0.2">
      <c r="A696" s="26" t="s">
        <v>3321</v>
      </c>
      <c r="B696" s="26" t="s">
        <v>3322</v>
      </c>
      <c r="C696" s="26" t="s">
        <v>98</v>
      </c>
      <c r="D696" s="26" t="s">
        <v>99</v>
      </c>
      <c r="E696" s="26" t="s">
        <v>39</v>
      </c>
      <c r="F696" s="28" t="e">
        <f ca="1">_xludf.ifna(VLOOKUP(G697,Proyectos!$E$1:$H$4,4,0),"")</f>
        <v>#NAME?</v>
      </c>
      <c r="G696" s="26" t="s">
        <v>5670</v>
      </c>
      <c r="H696" s="32">
        <v>0.5</v>
      </c>
      <c r="I696" s="31" t="s">
        <v>18</v>
      </c>
      <c r="J696" s="32"/>
      <c r="K696" s="32" t="str">
        <f t="shared" si="2"/>
        <v>Interno</v>
      </c>
      <c r="L696" s="32" t="e">
        <f ca="1">_xludf.ifna(VLOOKUP(G697,Proyectos!$E$1:$N$4,10,0),"")</f>
        <v>#NAME?</v>
      </c>
      <c r="M696" s="32"/>
      <c r="N696" s="32"/>
      <c r="O696" s="31"/>
      <c r="P696" s="33"/>
      <c r="Q696" s="33"/>
    </row>
    <row r="697" spans="1:17" ht="16.5" customHeight="1" x14ac:dyDescent="0.2">
      <c r="A697" s="26" t="s">
        <v>3321</v>
      </c>
      <c r="B697" s="26" t="s">
        <v>3322</v>
      </c>
      <c r="C697" s="26" t="s">
        <v>98</v>
      </c>
      <c r="D697" s="26" t="s">
        <v>99</v>
      </c>
      <c r="E697" s="26" t="s">
        <v>39</v>
      </c>
      <c r="F697" s="28" t="e">
        <f ca="1">_xludf.ifna(VLOOKUP(G698,Proyectos!$E$1:$H$4,4,0),"")</f>
        <v>#NAME?</v>
      </c>
      <c r="G697" s="26" t="s">
        <v>5127</v>
      </c>
      <c r="H697" s="32">
        <v>0.25</v>
      </c>
      <c r="I697" s="31" t="s">
        <v>18</v>
      </c>
      <c r="J697" s="32"/>
      <c r="K697" s="32" t="str">
        <f t="shared" si="2"/>
        <v>Interno</v>
      </c>
      <c r="L697" s="32" t="e">
        <f ca="1">_xludf.ifna(VLOOKUP(G698,Proyectos!$E$1:$N$4,10,0),"")</f>
        <v>#NAME?</v>
      </c>
      <c r="M697" s="32"/>
      <c r="N697" s="32"/>
      <c r="O697" s="31"/>
      <c r="P697" s="33"/>
      <c r="Q697" s="33"/>
    </row>
    <row r="698" spans="1:17" ht="16.5" customHeight="1" x14ac:dyDescent="0.2">
      <c r="A698" s="26" t="s">
        <v>3321</v>
      </c>
      <c r="B698" s="26" t="s">
        <v>3322</v>
      </c>
      <c r="C698" s="26" t="s">
        <v>98</v>
      </c>
      <c r="D698" s="26" t="s">
        <v>99</v>
      </c>
      <c r="E698" s="26" t="s">
        <v>39</v>
      </c>
      <c r="F698" s="28" t="e">
        <f ca="1">_xludf.ifna(VLOOKUP(G699,Proyectos!$E$1:$H$4,4,0),"")</f>
        <v>#NAME?</v>
      </c>
      <c r="G698" s="26" t="s">
        <v>5597</v>
      </c>
      <c r="H698" s="32">
        <v>0.25</v>
      </c>
      <c r="I698" s="31" t="s">
        <v>18</v>
      </c>
      <c r="J698" s="32"/>
      <c r="K698" s="32" t="str">
        <f t="shared" si="2"/>
        <v>Interno</v>
      </c>
      <c r="L698" s="32" t="e">
        <f ca="1">_xludf.ifna(VLOOKUP(G699,Proyectos!$E$1:$N$4,10,0),"")</f>
        <v>#NAME?</v>
      </c>
      <c r="M698" s="32"/>
      <c r="N698" s="32"/>
      <c r="O698" s="31"/>
      <c r="P698" s="33"/>
      <c r="Q698" s="33"/>
    </row>
    <row r="699" spans="1:17" ht="16.5" customHeight="1" x14ac:dyDescent="0.2">
      <c r="A699" s="26" t="s">
        <v>4155</v>
      </c>
      <c r="B699" s="26" t="s">
        <v>4156</v>
      </c>
      <c r="C699" s="26" t="s">
        <v>115</v>
      </c>
      <c r="D699" s="26" t="s">
        <v>116</v>
      </c>
      <c r="E699" s="26" t="s">
        <v>114</v>
      </c>
      <c r="F699" s="28" t="e">
        <f ca="1">_xludf.ifna(VLOOKUP(G700,Proyectos!$E$1:$H$4,4,0),"")</f>
        <v>#NAME?</v>
      </c>
      <c r="G699" s="26" t="s">
        <v>5472</v>
      </c>
      <c r="H699" s="32">
        <v>1</v>
      </c>
      <c r="I699" s="31" t="s">
        <v>25</v>
      </c>
      <c r="J699" s="32"/>
      <c r="K699" s="32" t="str">
        <f t="shared" si="2"/>
        <v>Externo</v>
      </c>
      <c r="L699" s="32" t="e">
        <f ca="1">_xludf.ifna(VLOOKUP(G700,Proyectos!$E$1:$N$4,10,0),"")</f>
        <v>#NAME?</v>
      </c>
      <c r="M699" s="32"/>
      <c r="N699" s="31"/>
      <c r="O699" s="31"/>
      <c r="P699" s="33"/>
      <c r="Q699" s="33"/>
    </row>
    <row r="700" spans="1:17" ht="16.5" customHeight="1" x14ac:dyDescent="0.2">
      <c r="A700" s="26" t="s">
        <v>3366</v>
      </c>
      <c r="B700" s="26" t="s">
        <v>3367</v>
      </c>
      <c r="C700" s="26" t="s">
        <v>115</v>
      </c>
      <c r="D700" s="26" t="s">
        <v>128</v>
      </c>
      <c r="E700" s="26" t="s">
        <v>39</v>
      </c>
      <c r="F700" s="28" t="e">
        <f ca="1">_xludf.ifna(VLOOKUP(G701,Proyectos!$E$1:$H$4,4,0),"")</f>
        <v>#NAME?</v>
      </c>
      <c r="G700" s="26" t="s">
        <v>5578</v>
      </c>
      <c r="H700" s="32">
        <v>1</v>
      </c>
      <c r="I700" s="31" t="s">
        <v>25</v>
      </c>
      <c r="J700" s="32"/>
      <c r="K700" s="32" t="str">
        <f t="shared" si="2"/>
        <v>Interno</v>
      </c>
      <c r="L700" s="32" t="e">
        <f ca="1">_xludf.ifna(VLOOKUP(G701,Proyectos!$E$1:$N$4,10,0),"")</f>
        <v>#NAME?</v>
      </c>
      <c r="M700" s="32"/>
      <c r="N700" s="31"/>
      <c r="O700" s="31"/>
      <c r="P700" s="33"/>
      <c r="Q700" s="33"/>
    </row>
    <row r="701" spans="1:17" ht="16.5" customHeight="1" x14ac:dyDescent="0.2">
      <c r="A701" s="26" t="s">
        <v>4879</v>
      </c>
      <c r="B701" s="26" t="s">
        <v>4880</v>
      </c>
      <c r="C701" s="26" t="s">
        <v>98</v>
      </c>
      <c r="D701" s="26" t="s">
        <v>113</v>
      </c>
      <c r="E701" s="26" t="s">
        <v>9</v>
      </c>
      <c r="F701" s="28" t="e">
        <f ca="1">_xludf.ifna(VLOOKUP(G702,Proyectos!$E$1:$H$4,4,0),"")</f>
        <v>#NAME?</v>
      </c>
      <c r="G701" s="26" t="s">
        <v>5245</v>
      </c>
      <c r="H701" s="32">
        <v>1</v>
      </c>
      <c r="I701" s="31" t="s">
        <v>18</v>
      </c>
      <c r="J701" s="32"/>
      <c r="K701" s="32" t="str">
        <f t="shared" si="2"/>
        <v>Externo</v>
      </c>
      <c r="L701" s="32" t="e">
        <f ca="1">_xludf.ifna(VLOOKUP(G702,Proyectos!$E$1:$N$4,10,0),"")</f>
        <v>#NAME?</v>
      </c>
      <c r="M701" s="32"/>
      <c r="N701" s="32"/>
      <c r="O701" s="31"/>
      <c r="P701" s="33"/>
      <c r="Q701" s="33"/>
    </row>
    <row r="702" spans="1:17" ht="16.5" customHeight="1" x14ac:dyDescent="0.2">
      <c r="A702" s="26" t="s">
        <v>3858</v>
      </c>
      <c r="B702" s="26" t="s">
        <v>3859</v>
      </c>
      <c r="C702" s="26" t="s">
        <v>98</v>
      </c>
      <c r="D702" s="26" t="s">
        <v>110</v>
      </c>
      <c r="E702" s="26" t="s">
        <v>39</v>
      </c>
      <c r="F702" s="28" t="e">
        <f ca="1">_xludf.ifna(VLOOKUP(G703,Proyectos!$E$1:$H$4,4,0),"")</f>
        <v>#NAME?</v>
      </c>
      <c r="G702" s="26" t="s">
        <v>5597</v>
      </c>
      <c r="H702" s="32">
        <v>0.5</v>
      </c>
      <c r="I702" s="31" t="s">
        <v>11</v>
      </c>
      <c r="J702" s="32"/>
      <c r="K702" s="32" t="str">
        <f t="shared" si="2"/>
        <v>Interno</v>
      </c>
      <c r="L702" s="32" t="e">
        <f ca="1">_xludf.ifna(VLOOKUP(G703,Proyectos!$E$1:$N$4,10,0),"")</f>
        <v>#NAME?</v>
      </c>
      <c r="M702" s="32"/>
      <c r="N702" s="32"/>
      <c r="O702" s="31"/>
      <c r="P702" s="33"/>
      <c r="Q702" s="33"/>
    </row>
    <row r="703" spans="1:17" ht="16.5" customHeight="1" x14ac:dyDescent="0.2">
      <c r="A703" s="26" t="s">
        <v>3858</v>
      </c>
      <c r="B703" s="26" t="s">
        <v>3859</v>
      </c>
      <c r="C703" s="26" t="s">
        <v>98</v>
      </c>
      <c r="D703" s="26" t="s">
        <v>110</v>
      </c>
      <c r="E703" s="26" t="s">
        <v>39</v>
      </c>
      <c r="F703" s="28" t="e">
        <f ca="1">_xludf.ifna(VLOOKUP(G704,Proyectos!$E$1:$H$4,4,0),"")</f>
        <v>#NAME?</v>
      </c>
      <c r="G703" s="26" t="s">
        <v>5614</v>
      </c>
      <c r="H703" s="32">
        <v>0.25</v>
      </c>
      <c r="I703" s="31" t="s">
        <v>11</v>
      </c>
      <c r="J703" s="32"/>
      <c r="K703" s="32" t="str">
        <f t="shared" si="2"/>
        <v>Interno</v>
      </c>
      <c r="L703" s="32" t="e">
        <f ca="1">_xludf.ifna(VLOOKUP(G704,Proyectos!$E$1:$N$4,10,0),"")</f>
        <v>#NAME?</v>
      </c>
      <c r="M703" s="32"/>
      <c r="N703" s="32"/>
      <c r="O703" s="31"/>
      <c r="P703" s="33"/>
      <c r="Q703" s="33"/>
    </row>
    <row r="704" spans="1:17" ht="16.5" customHeight="1" x14ac:dyDescent="0.2">
      <c r="A704" s="26" t="s">
        <v>3858</v>
      </c>
      <c r="B704" s="26" t="s">
        <v>3859</v>
      </c>
      <c r="C704" s="26" t="s">
        <v>98</v>
      </c>
      <c r="D704" s="26" t="s">
        <v>110</v>
      </c>
      <c r="E704" s="26" t="s">
        <v>39</v>
      </c>
      <c r="F704" s="28" t="e">
        <f ca="1">_xludf.ifna(VLOOKUP(G705,Proyectos!$E$1:$H$4,4,0),"")</f>
        <v>#NAME?</v>
      </c>
      <c r="G704" s="26" t="s">
        <v>5242</v>
      </c>
      <c r="H704" s="32">
        <v>0.25</v>
      </c>
      <c r="I704" s="31" t="s">
        <v>11</v>
      </c>
      <c r="J704" s="32"/>
      <c r="K704" s="32" t="str">
        <f t="shared" si="2"/>
        <v>Interno</v>
      </c>
      <c r="L704" s="32" t="e">
        <f ca="1">_xludf.ifna(VLOOKUP(G705,Proyectos!$E$1:$N$4,10,0),"")</f>
        <v>#NAME?</v>
      </c>
      <c r="M704" s="32"/>
      <c r="N704" s="32"/>
      <c r="O704" s="31"/>
      <c r="P704" s="33"/>
      <c r="Q704" s="33"/>
    </row>
    <row r="705" spans="1:17" ht="16.5" customHeight="1" x14ac:dyDescent="0.2">
      <c r="A705" s="26" t="s">
        <v>3696</v>
      </c>
      <c r="B705" s="26" t="s">
        <v>3697</v>
      </c>
      <c r="C705" s="53" t="s">
        <v>64</v>
      </c>
      <c r="D705" s="26" t="s">
        <v>92</v>
      </c>
      <c r="E705" s="53" t="s">
        <v>39</v>
      </c>
      <c r="F705" s="28" t="e">
        <f ca="1">_xludf.ifna(VLOOKUP(G706,Proyectos!$E$1:$H$4,4,0),"")</f>
        <v>#NAME?</v>
      </c>
      <c r="G705" s="26" t="s">
        <v>5597</v>
      </c>
      <c r="H705" s="32">
        <v>1</v>
      </c>
      <c r="I705" s="31" t="s">
        <v>18</v>
      </c>
      <c r="J705" s="32"/>
      <c r="K705" s="32" t="str">
        <f t="shared" si="2"/>
        <v>Interno</v>
      </c>
      <c r="L705" s="32" t="e">
        <f ca="1">_xludf.ifna(VLOOKUP(G706,Proyectos!$E$1:$N$4,10,0),"")</f>
        <v>#NAME?</v>
      </c>
      <c r="M705" s="32"/>
      <c r="N705" s="31"/>
      <c r="O705" s="31"/>
      <c r="P705" s="33"/>
      <c r="Q705" s="33"/>
    </row>
    <row r="706" spans="1:17" ht="16.5" customHeight="1" x14ac:dyDescent="0.2">
      <c r="A706" s="26" t="s">
        <v>4140</v>
      </c>
      <c r="B706" s="26" t="s">
        <v>4141</v>
      </c>
      <c r="C706" s="26" t="s">
        <v>98</v>
      </c>
      <c r="D706" s="26" t="s">
        <v>105</v>
      </c>
      <c r="E706" s="26" t="s">
        <v>83</v>
      </c>
      <c r="F706" s="28" t="e">
        <f ca="1">_xludf.ifna(VLOOKUP(G707,Proyectos!$E$1:$H$4,4,0),"")</f>
        <v>#NAME?</v>
      </c>
      <c r="G706" s="26" t="s">
        <v>5148</v>
      </c>
      <c r="H706" s="32">
        <v>1</v>
      </c>
      <c r="I706" s="31" t="s">
        <v>25</v>
      </c>
      <c r="J706" s="32"/>
      <c r="K706" s="32" t="str">
        <f t="shared" si="2"/>
        <v>Externo</v>
      </c>
      <c r="L706" s="32" t="e">
        <f ca="1">_xludf.ifna(VLOOKUP(G707,Proyectos!$E$1:$N$4,10,0),"")</f>
        <v>#NAME?</v>
      </c>
      <c r="M706" s="32"/>
      <c r="N706" s="32"/>
      <c r="O706" s="31"/>
      <c r="P706" s="33"/>
      <c r="Q706" s="33"/>
    </row>
    <row r="707" spans="1:17" ht="16.5" customHeight="1" x14ac:dyDescent="0.2">
      <c r="A707" s="26" t="s">
        <v>3499</v>
      </c>
      <c r="B707" s="26" t="s">
        <v>5764</v>
      </c>
      <c r="C707" s="26" t="s">
        <v>37</v>
      </c>
      <c r="D707" s="26" t="s">
        <v>45</v>
      </c>
      <c r="E707" s="26" t="s">
        <v>39</v>
      </c>
      <c r="F707" s="28" t="e">
        <f ca="1">_xludf.ifna(VLOOKUP(G708,Proyectos!$E$1:$H$4,4,0),"")</f>
        <v>#NAME?</v>
      </c>
      <c r="G707" s="26" t="s">
        <v>5121</v>
      </c>
      <c r="H707" s="32">
        <v>0.5</v>
      </c>
      <c r="I707" s="31" t="s">
        <v>18</v>
      </c>
      <c r="J707" s="32"/>
      <c r="K707" s="32" t="str">
        <f t="shared" si="2"/>
        <v>Interno</v>
      </c>
      <c r="L707" s="32" t="e">
        <f ca="1">_xludf.ifna(VLOOKUP(G708,Proyectos!$E$1:$N$4,10,0),"")</f>
        <v>#NAME?</v>
      </c>
      <c r="M707" s="32"/>
      <c r="N707" s="31"/>
      <c r="O707" s="31"/>
      <c r="P707" s="33"/>
      <c r="Q707" s="33"/>
    </row>
    <row r="708" spans="1:17" ht="16.5" customHeight="1" x14ac:dyDescent="0.2">
      <c r="A708" s="26" t="s">
        <v>3499</v>
      </c>
      <c r="B708" s="26" t="s">
        <v>5764</v>
      </c>
      <c r="C708" s="26" t="s">
        <v>37</v>
      </c>
      <c r="D708" s="26" t="s">
        <v>45</v>
      </c>
      <c r="E708" s="26" t="s">
        <v>39</v>
      </c>
      <c r="F708" s="28" t="e">
        <f ca="1">_xludf.ifna(VLOOKUP(G709,Proyectos!$E$1:$H$4,4,0),"")</f>
        <v>#NAME?</v>
      </c>
      <c r="G708" s="26" t="s">
        <v>5122</v>
      </c>
      <c r="H708" s="32">
        <v>0.5</v>
      </c>
      <c r="I708" s="31" t="s">
        <v>18</v>
      </c>
      <c r="J708" s="32"/>
      <c r="K708" s="32" t="str">
        <f t="shared" si="2"/>
        <v>Interno</v>
      </c>
      <c r="L708" s="32" t="e">
        <f ca="1">_xludf.ifna(VLOOKUP(G709,Proyectos!$E$1:$N$4,10,0),"")</f>
        <v>#NAME?</v>
      </c>
      <c r="M708" s="32"/>
      <c r="N708" s="31"/>
      <c r="O708" s="31"/>
      <c r="P708" s="33"/>
      <c r="Q708" s="33"/>
    </row>
    <row r="709" spans="1:17" ht="16.5" customHeight="1" x14ac:dyDescent="0.2">
      <c r="A709" s="35" t="s">
        <v>4713</v>
      </c>
      <c r="B709" s="35" t="s">
        <v>4714</v>
      </c>
      <c r="C709" s="26" t="s">
        <v>115</v>
      </c>
      <c r="D709" s="26" t="s">
        <v>125</v>
      </c>
      <c r="E709" s="26" t="s">
        <v>39</v>
      </c>
      <c r="F709" s="28" t="e">
        <f ca="1">_xludf.ifna(VLOOKUP(G710,Proyectos!$E$1:$H$4,4,0),"")</f>
        <v>#NAME?</v>
      </c>
      <c r="G709" s="26" t="s">
        <v>5526</v>
      </c>
      <c r="H709" s="32">
        <v>1</v>
      </c>
      <c r="I709" s="31" t="s">
        <v>18</v>
      </c>
      <c r="K709" s="32" t="str">
        <f t="shared" si="2"/>
        <v>Interno</v>
      </c>
      <c r="L709" s="32" t="e">
        <f ca="1">_xludf.ifna(VLOOKUP(G710,Proyectos!$E$1:$N$4,10,0),"")</f>
        <v>#NAME?</v>
      </c>
      <c r="M709" s="32"/>
      <c r="N709" s="32"/>
      <c r="O709" s="31"/>
      <c r="P709" s="33"/>
      <c r="Q709" s="33"/>
    </row>
    <row r="710" spans="1:17" ht="16.5" customHeight="1" x14ac:dyDescent="0.2">
      <c r="A710" s="26" t="s">
        <v>4055</v>
      </c>
      <c r="B710" s="26" t="s">
        <v>5184</v>
      </c>
      <c r="C710" s="54" t="s">
        <v>7</v>
      </c>
      <c r="D710" s="54" t="s">
        <v>23</v>
      </c>
      <c r="E710" s="54" t="s">
        <v>123</v>
      </c>
      <c r="F710" s="28" t="e">
        <f ca="1">_xludf.ifna(VLOOKUP(G711,Proyectos!$E$1:$H$4,4,0),"")</f>
        <v>#NAME?</v>
      </c>
      <c r="G710" s="54" t="s">
        <v>5170</v>
      </c>
      <c r="H710" s="60">
        <v>1</v>
      </c>
      <c r="I710" s="31" t="s">
        <v>18</v>
      </c>
      <c r="J710" s="60"/>
      <c r="K710" s="32" t="str">
        <f t="shared" si="2"/>
        <v>Externo</v>
      </c>
      <c r="L710" s="32" t="e">
        <f ca="1">_xludf.ifna(VLOOKUP(G711,Proyectos!$E$1:$N$4,10,0),"")</f>
        <v>#NAME?</v>
      </c>
      <c r="M710" s="32"/>
      <c r="N710" s="31"/>
      <c r="O710" s="31"/>
      <c r="P710" s="33"/>
      <c r="Q710" s="33"/>
    </row>
    <row r="711" spans="1:17" ht="16.5" customHeight="1" x14ac:dyDescent="0.2">
      <c r="A711" s="26" t="s">
        <v>3497</v>
      </c>
      <c r="B711" s="26" t="s">
        <v>3498</v>
      </c>
      <c r="C711" s="26" t="s">
        <v>37</v>
      </c>
      <c r="D711" s="26" t="s">
        <v>38</v>
      </c>
      <c r="E711" s="26" t="s">
        <v>39</v>
      </c>
      <c r="F711" s="28" t="e">
        <f ca="1">_xludf.ifna(VLOOKUP(G712,Proyectos!$E$1:$H$4,4,0),"")</f>
        <v>#NAME?</v>
      </c>
      <c r="G711" s="26" t="s">
        <v>5345</v>
      </c>
      <c r="H711" s="32">
        <v>1</v>
      </c>
      <c r="I711" s="31" t="s">
        <v>18</v>
      </c>
      <c r="J711" s="32"/>
      <c r="K711" s="32" t="str">
        <f t="shared" si="2"/>
        <v>Interno</v>
      </c>
      <c r="L711" s="32" t="e">
        <f ca="1">_xludf.ifna(VLOOKUP(G712,Proyectos!$E$1:$N$4,10,0),"")</f>
        <v>#NAME?</v>
      </c>
      <c r="M711" s="32"/>
      <c r="N711" s="31"/>
      <c r="O711" s="31"/>
      <c r="P711" s="33"/>
      <c r="Q711" s="33"/>
    </row>
    <row r="712" spans="1:17" ht="16.5" customHeight="1" x14ac:dyDescent="0.2">
      <c r="A712" s="26" t="s">
        <v>4392</v>
      </c>
      <c r="B712" s="26" t="s">
        <v>5203</v>
      </c>
      <c r="C712" s="54" t="s">
        <v>7</v>
      </c>
      <c r="D712" s="35" t="s">
        <v>8</v>
      </c>
      <c r="E712" s="35" t="s">
        <v>87</v>
      </c>
      <c r="F712" s="28" t="e">
        <f ca="1">_xludf.ifna(VLOOKUP(G713,Proyectos!$E$1:$H$4,4,0),"")</f>
        <v>#NAME?</v>
      </c>
      <c r="G712" s="35" t="s">
        <v>5187</v>
      </c>
      <c r="H712" s="30">
        <v>1</v>
      </c>
      <c r="I712" s="31" t="s">
        <v>18</v>
      </c>
      <c r="J712" s="55"/>
      <c r="K712" s="32" t="str">
        <f t="shared" si="2"/>
        <v>Externo</v>
      </c>
      <c r="L712" s="32" t="e">
        <f ca="1">_xludf.ifna(VLOOKUP(G713,Proyectos!$E$1:$N$4,10,0),"")</f>
        <v>#NAME?</v>
      </c>
      <c r="M712" s="32"/>
      <c r="N712" s="31"/>
      <c r="O712" s="31"/>
      <c r="P712" s="33"/>
      <c r="Q712" s="33"/>
    </row>
    <row r="713" spans="1:17" ht="16.5" customHeight="1" x14ac:dyDescent="0.2">
      <c r="A713" s="26" t="s">
        <v>4364</v>
      </c>
      <c r="B713" s="26" t="s">
        <v>4365</v>
      </c>
      <c r="C713" s="26" t="s">
        <v>98</v>
      </c>
      <c r="D713" s="26" t="s">
        <v>105</v>
      </c>
      <c r="E713" s="26" t="s">
        <v>83</v>
      </c>
      <c r="F713" s="28" t="e">
        <f ca="1">_xludf.ifna(VLOOKUP(G714,Proyectos!$E$1:$H$4,4,0),"")</f>
        <v>#NAME?</v>
      </c>
      <c r="G713" s="26" t="s">
        <v>5145</v>
      </c>
      <c r="H713" s="32">
        <v>1</v>
      </c>
      <c r="I713" s="31" t="s">
        <v>25</v>
      </c>
      <c r="J713" s="32"/>
      <c r="K713" s="32" t="str">
        <f t="shared" si="2"/>
        <v>Externo</v>
      </c>
      <c r="L713" s="32" t="e">
        <f ca="1">_xludf.ifna(VLOOKUP(G714,Proyectos!$E$1:$N$4,10,0),"")</f>
        <v>#NAME?</v>
      </c>
      <c r="M713" s="32"/>
      <c r="N713" s="32"/>
      <c r="O713" s="31"/>
      <c r="P713" s="33"/>
      <c r="Q713" s="33"/>
    </row>
    <row r="714" spans="1:17" ht="16.5" customHeight="1" x14ac:dyDescent="0.2">
      <c r="A714" s="26" t="s">
        <v>3947</v>
      </c>
      <c r="B714" s="26" t="s">
        <v>3948</v>
      </c>
      <c r="C714" s="26" t="s">
        <v>115</v>
      </c>
      <c r="D714" s="26" t="s">
        <v>119</v>
      </c>
      <c r="E714" s="26" t="s">
        <v>135</v>
      </c>
      <c r="F714" s="28" t="e">
        <f ca="1">_xludf.ifna(VLOOKUP(G715,Proyectos!$E$1:$H$4,4,0),"")</f>
        <v>#NAME?</v>
      </c>
      <c r="G714" s="26" t="s">
        <v>5597</v>
      </c>
      <c r="H714" s="32">
        <v>1</v>
      </c>
      <c r="I714" s="31" t="s">
        <v>18</v>
      </c>
      <c r="J714" s="32"/>
      <c r="K714" s="32" t="str">
        <f t="shared" si="2"/>
        <v>Externo</v>
      </c>
      <c r="L714" s="32" t="e">
        <f ca="1">_xludf.ifna(VLOOKUP(G715,Proyectos!$E$1:$N$4,10,0),"")</f>
        <v>#NAME?</v>
      </c>
      <c r="M714" s="32"/>
      <c r="N714" s="31"/>
      <c r="O714" s="31"/>
      <c r="P714" s="33"/>
      <c r="Q714" s="33"/>
    </row>
    <row r="715" spans="1:17" ht="16.5" customHeight="1" x14ac:dyDescent="0.2">
      <c r="A715" s="26" t="s">
        <v>3307</v>
      </c>
      <c r="B715" s="26" t="s">
        <v>3308</v>
      </c>
      <c r="C715" s="26" t="s">
        <v>115</v>
      </c>
      <c r="D715" s="26" t="s">
        <v>122</v>
      </c>
      <c r="E715" s="26" t="s">
        <v>39</v>
      </c>
      <c r="F715" s="28" t="e">
        <f ca="1">_xludf.ifna(VLOOKUP(G716,Proyectos!$E$1:$H$4,4,0),"")</f>
        <v>#NAME?</v>
      </c>
      <c r="G715" s="26" t="s">
        <v>5588</v>
      </c>
      <c r="H715" s="32">
        <v>1</v>
      </c>
      <c r="I715" s="31" t="s">
        <v>18</v>
      </c>
      <c r="J715" s="32"/>
      <c r="K715" s="32" t="str">
        <f t="shared" si="2"/>
        <v>Interno</v>
      </c>
      <c r="L715" s="32" t="e">
        <f ca="1">_xludf.ifna(VLOOKUP(G716,Proyectos!$E$1:$N$4,10,0),"")</f>
        <v>#NAME?</v>
      </c>
      <c r="M715" s="32"/>
      <c r="N715" s="32"/>
      <c r="O715" s="31"/>
      <c r="P715" s="33"/>
      <c r="Q715" s="33"/>
    </row>
    <row r="716" spans="1:17" ht="16.5" customHeight="1" x14ac:dyDescent="0.2">
      <c r="A716" s="26" t="s">
        <v>4650</v>
      </c>
      <c r="B716" s="26" t="s">
        <v>4651</v>
      </c>
      <c r="C716" s="26" t="s">
        <v>115</v>
      </c>
      <c r="D716" s="26" t="s">
        <v>116</v>
      </c>
      <c r="E716" s="26" t="s">
        <v>39</v>
      </c>
      <c r="F716" s="28" t="e">
        <f ca="1">_xludf.ifna(VLOOKUP(G717,Proyectos!$E$1:$H$4,4,0),"")</f>
        <v>#NAME?</v>
      </c>
      <c r="G716" s="26" t="s">
        <v>5314</v>
      </c>
      <c r="H716" s="32">
        <v>1</v>
      </c>
      <c r="I716" s="31" t="s">
        <v>18</v>
      </c>
      <c r="J716" s="32"/>
      <c r="K716" s="32" t="str">
        <f t="shared" si="2"/>
        <v>Interno</v>
      </c>
      <c r="L716" s="32" t="e">
        <f ca="1">_xludf.ifna(VLOOKUP(G717,Proyectos!$E$1:$N$4,10,0),"")</f>
        <v>#NAME?</v>
      </c>
      <c r="M716" s="32"/>
      <c r="N716" s="32"/>
      <c r="O716" s="31"/>
      <c r="P716" s="33"/>
      <c r="Q716" s="33"/>
    </row>
    <row r="717" spans="1:17" ht="16.5" customHeight="1" x14ac:dyDescent="0.2">
      <c r="A717" s="26" t="s">
        <v>4086</v>
      </c>
      <c r="B717" s="26" t="s">
        <v>5765</v>
      </c>
      <c r="C717" s="26" t="s">
        <v>64</v>
      </c>
      <c r="D717" s="26" t="s">
        <v>86</v>
      </c>
      <c r="E717" s="26" t="s">
        <v>87</v>
      </c>
      <c r="F717" s="28" t="e">
        <f ca="1">_xludf.ifna(VLOOKUP(G718,Proyectos!$E$1:$H$4,4,0),"")</f>
        <v>#NAME?</v>
      </c>
      <c r="G717" s="26" t="s">
        <v>5464</v>
      </c>
      <c r="H717" s="30">
        <v>1</v>
      </c>
      <c r="I717" s="31" t="s">
        <v>18</v>
      </c>
      <c r="J717" s="32"/>
      <c r="K717" s="32" t="str">
        <f t="shared" si="2"/>
        <v>Externo</v>
      </c>
      <c r="L717" s="32" t="e">
        <f ca="1">_xludf.ifna(VLOOKUP(G718,Proyectos!$E$1:$N$4,10,0),"")</f>
        <v>#NAME?</v>
      </c>
      <c r="M717" s="32"/>
      <c r="N717" s="32"/>
      <c r="O717" s="31"/>
      <c r="P717" s="33"/>
      <c r="Q717" s="33"/>
    </row>
    <row r="718" spans="1:17" ht="16.5" customHeight="1" x14ac:dyDescent="0.2">
      <c r="A718" s="26" t="s">
        <v>4151</v>
      </c>
      <c r="B718" s="26" t="s">
        <v>5766</v>
      </c>
      <c r="C718" s="26" t="s">
        <v>64</v>
      </c>
      <c r="D718" s="26" t="s">
        <v>86</v>
      </c>
      <c r="E718" s="26" t="s">
        <v>87</v>
      </c>
      <c r="F718" s="28" t="e">
        <f ca="1">_xludf.ifna(VLOOKUP(G719,Proyectos!$E$1:$H$4,4,0),"")</f>
        <v>#NAME?</v>
      </c>
      <c r="G718" s="26" t="s">
        <v>5387</v>
      </c>
      <c r="H718" s="30">
        <v>1</v>
      </c>
      <c r="I718" s="31" t="s">
        <v>18</v>
      </c>
      <c r="J718" s="32"/>
      <c r="K718" s="32" t="str">
        <f t="shared" si="2"/>
        <v>Externo</v>
      </c>
      <c r="L718" s="32" t="e">
        <f ca="1">_xludf.ifna(VLOOKUP(G719,Proyectos!$E$1:$N$4,10,0),"")</f>
        <v>#NAME?</v>
      </c>
      <c r="M718" s="32"/>
      <c r="N718" s="32"/>
      <c r="O718" s="31"/>
      <c r="P718" s="33"/>
      <c r="Q718" s="33"/>
    </row>
    <row r="719" spans="1:17" ht="16.5" customHeight="1" x14ac:dyDescent="0.2">
      <c r="A719" s="26" t="s">
        <v>3584</v>
      </c>
      <c r="B719" s="26" t="s">
        <v>3585</v>
      </c>
      <c r="C719" s="26" t="s">
        <v>98</v>
      </c>
      <c r="D719" s="26" t="s">
        <v>105</v>
      </c>
      <c r="E719" s="26" t="s">
        <v>39</v>
      </c>
      <c r="F719" s="28" t="e">
        <f ca="1">_xludf.ifna(VLOOKUP(G720,Proyectos!$E$1:$H$4,4,0),"")</f>
        <v>#NAME?</v>
      </c>
      <c r="G719" s="26" t="s">
        <v>5147</v>
      </c>
      <c r="H719" s="32">
        <v>0.25</v>
      </c>
      <c r="I719" s="31" t="s">
        <v>18</v>
      </c>
      <c r="J719" s="32"/>
      <c r="K719" s="32" t="str">
        <f t="shared" si="2"/>
        <v>Interno</v>
      </c>
      <c r="L719" s="32" t="e">
        <f ca="1">_xludf.ifna(VLOOKUP(G720,Proyectos!$E$1:$N$4,10,0),"")</f>
        <v>#NAME?</v>
      </c>
      <c r="M719" s="32"/>
      <c r="N719" s="32"/>
      <c r="O719" s="31"/>
      <c r="P719" s="33"/>
      <c r="Q719" s="33"/>
    </row>
    <row r="720" spans="1:17" ht="16.5" customHeight="1" x14ac:dyDescent="0.2">
      <c r="A720" s="26" t="s">
        <v>3584</v>
      </c>
      <c r="B720" s="26" t="s">
        <v>3585</v>
      </c>
      <c r="C720" s="26" t="s">
        <v>98</v>
      </c>
      <c r="D720" s="26" t="s">
        <v>105</v>
      </c>
      <c r="E720" s="26" t="s">
        <v>39</v>
      </c>
      <c r="F720" s="28" t="e">
        <f ca="1">_xludf.ifna(VLOOKUP(G721,Proyectos!$E$1:$H$4,4,0),"")</f>
        <v>#NAME?</v>
      </c>
      <c r="G720" s="26" t="s">
        <v>5597</v>
      </c>
      <c r="H720" s="32">
        <v>0.75</v>
      </c>
      <c r="I720" s="31" t="s">
        <v>18</v>
      </c>
      <c r="J720" s="32"/>
      <c r="K720" s="32" t="str">
        <f t="shared" si="2"/>
        <v>Interno</v>
      </c>
      <c r="L720" s="32" t="e">
        <f ca="1">_xludf.ifna(VLOOKUP(G721,Proyectos!$E$1:$N$4,10,0),"")</f>
        <v>#NAME?</v>
      </c>
      <c r="M720" s="32"/>
      <c r="N720" s="32"/>
      <c r="O720" s="31"/>
      <c r="P720" s="33"/>
      <c r="Q720" s="33"/>
    </row>
    <row r="721" spans="1:17" ht="16.5" customHeight="1" x14ac:dyDescent="0.2">
      <c r="A721" s="26" t="s">
        <v>4741</v>
      </c>
      <c r="B721" s="26" t="s">
        <v>5767</v>
      </c>
      <c r="C721" s="26" t="s">
        <v>64</v>
      </c>
      <c r="D721" s="26" t="s">
        <v>95</v>
      </c>
      <c r="E721" s="26" t="s">
        <v>39</v>
      </c>
      <c r="F721" s="28" t="e">
        <f ca="1">_xludf.ifna(VLOOKUP(G722,Proyectos!$E$1:$H$4,4,0),"")</f>
        <v>#NAME?</v>
      </c>
      <c r="G721" s="26" t="s">
        <v>5364</v>
      </c>
      <c r="H721" s="32">
        <v>1</v>
      </c>
      <c r="I721" s="31" t="s">
        <v>18</v>
      </c>
      <c r="J721" s="32"/>
      <c r="K721" s="32" t="str">
        <f t="shared" si="2"/>
        <v>Interno</v>
      </c>
      <c r="L721" s="32" t="e">
        <f ca="1">_xludf.ifna(VLOOKUP(G722,Proyectos!$E$1:$N$4,10,0),"")</f>
        <v>#NAME?</v>
      </c>
      <c r="M721" s="32"/>
      <c r="N721" s="32"/>
      <c r="O721" s="31"/>
      <c r="P721" s="33"/>
      <c r="Q721" s="33"/>
    </row>
    <row r="722" spans="1:17" ht="16.5" customHeight="1" x14ac:dyDescent="0.2">
      <c r="A722" s="26" t="s">
        <v>4421</v>
      </c>
      <c r="B722" s="26" t="s">
        <v>4422</v>
      </c>
      <c r="C722" s="26" t="s">
        <v>115</v>
      </c>
      <c r="D722" s="26" t="s">
        <v>116</v>
      </c>
      <c r="E722" s="26" t="s">
        <v>9</v>
      </c>
      <c r="F722" s="28" t="e">
        <f ca="1">_xludf.ifna(VLOOKUP(G723,Proyectos!$E$1:$H$4,4,0),"")</f>
        <v>#NAME?</v>
      </c>
      <c r="G722" s="26" t="s">
        <v>5237</v>
      </c>
      <c r="H722" s="32">
        <v>1</v>
      </c>
      <c r="I722" s="31" t="s">
        <v>18</v>
      </c>
      <c r="J722" s="32"/>
      <c r="K722" s="32" t="str">
        <f t="shared" si="2"/>
        <v>Externo</v>
      </c>
      <c r="L722" s="32" t="e">
        <f ca="1">_xludf.ifna(VLOOKUP(G723,Proyectos!$E$1:$N$4,10,0),"")</f>
        <v>#NAME?</v>
      </c>
      <c r="M722" s="32"/>
      <c r="N722" s="32"/>
      <c r="O722" s="31"/>
      <c r="P722" s="33"/>
      <c r="Q722" s="33"/>
    </row>
    <row r="723" spans="1:17" ht="16.5" customHeight="1" x14ac:dyDescent="0.2">
      <c r="A723" s="35" t="s">
        <v>4070</v>
      </c>
      <c r="B723" s="26" t="s">
        <v>5498</v>
      </c>
      <c r="C723" s="26" t="s">
        <v>64</v>
      </c>
      <c r="D723" s="26" t="s">
        <v>82</v>
      </c>
      <c r="E723" s="35" t="s">
        <v>129</v>
      </c>
      <c r="F723" s="28" t="e">
        <f ca="1">_xludf.ifna(VLOOKUP(G724,Proyectos!$E$1:$H$4,4,0),"")</f>
        <v>#NAME?</v>
      </c>
      <c r="G723" s="26" t="s">
        <v>5434</v>
      </c>
      <c r="H723" s="32">
        <v>1</v>
      </c>
      <c r="I723" s="31" t="s">
        <v>18</v>
      </c>
      <c r="J723" s="32"/>
      <c r="K723" s="32" t="str">
        <f t="shared" si="2"/>
        <v>Externo</v>
      </c>
      <c r="L723" s="32" t="e">
        <f ca="1">_xludf.ifna(VLOOKUP(G724,Proyectos!$E$1:$N$4,10,0),"")</f>
        <v>#NAME?</v>
      </c>
      <c r="M723" s="32"/>
      <c r="N723" s="31"/>
      <c r="O723" s="31"/>
      <c r="P723" s="33"/>
      <c r="Q723" s="33"/>
    </row>
    <row r="724" spans="1:17" ht="16.5" customHeight="1" x14ac:dyDescent="0.2">
      <c r="A724" s="26" t="s">
        <v>3478</v>
      </c>
      <c r="B724" s="26" t="s">
        <v>3479</v>
      </c>
      <c r="C724" s="26" t="s">
        <v>37</v>
      </c>
      <c r="D724" s="26" t="s">
        <v>38</v>
      </c>
      <c r="E724" s="26" t="s">
        <v>39</v>
      </c>
      <c r="F724" s="28" t="e">
        <f ca="1">_xludf.ifna(VLOOKUP(G725,Proyectos!$E$1:$H$4,4,0),"")</f>
        <v>#NAME?</v>
      </c>
      <c r="G724" s="26" t="s">
        <v>5594</v>
      </c>
      <c r="H724" s="32">
        <v>0.5</v>
      </c>
      <c r="I724" s="31" t="s">
        <v>18</v>
      </c>
      <c r="J724" s="32"/>
      <c r="K724" s="32" t="str">
        <f t="shared" si="2"/>
        <v>Interno</v>
      </c>
      <c r="L724" s="32" t="e">
        <f ca="1">_xludf.ifna(VLOOKUP(G725,Proyectos!$E$1:$N$4,10,0),"")</f>
        <v>#NAME?</v>
      </c>
      <c r="M724" s="32"/>
      <c r="N724" s="31"/>
      <c r="O724" s="31"/>
      <c r="P724" s="33"/>
      <c r="Q724" s="33"/>
    </row>
    <row r="725" spans="1:17" ht="16.5" customHeight="1" x14ac:dyDescent="0.2">
      <c r="A725" s="26" t="s">
        <v>3478</v>
      </c>
      <c r="B725" s="26" t="s">
        <v>3479</v>
      </c>
      <c r="C725" s="26" t="s">
        <v>37</v>
      </c>
      <c r="D725" s="26" t="s">
        <v>38</v>
      </c>
      <c r="E725" s="26" t="s">
        <v>39</v>
      </c>
      <c r="F725" s="28" t="e">
        <f ca="1">_xludf.ifna(VLOOKUP(G726,Proyectos!$E$1:$H$4,4,0),"")</f>
        <v>#NAME?</v>
      </c>
      <c r="G725" s="26" t="s">
        <v>5344</v>
      </c>
      <c r="H725" s="32">
        <v>0.25</v>
      </c>
      <c r="I725" s="31" t="s">
        <v>18</v>
      </c>
      <c r="J725" s="32"/>
      <c r="K725" s="32" t="str">
        <f t="shared" si="2"/>
        <v>Interno</v>
      </c>
      <c r="L725" s="32" t="e">
        <f ca="1">_xludf.ifna(VLOOKUP(G726,Proyectos!$E$1:$N$4,10,0),"")</f>
        <v>#NAME?</v>
      </c>
      <c r="M725" s="32"/>
      <c r="N725" s="31"/>
      <c r="O725" s="31"/>
      <c r="P725" s="33"/>
      <c r="Q725" s="33"/>
    </row>
    <row r="726" spans="1:17" ht="16.5" customHeight="1" x14ac:dyDescent="0.2">
      <c r="A726" s="26" t="s">
        <v>3478</v>
      </c>
      <c r="B726" s="26" t="s">
        <v>3479</v>
      </c>
      <c r="C726" s="26" t="s">
        <v>37</v>
      </c>
      <c r="D726" s="26" t="s">
        <v>38</v>
      </c>
      <c r="E726" s="26" t="s">
        <v>39</v>
      </c>
      <c r="F726" s="28" t="e">
        <f ca="1">_xludf.ifna(VLOOKUP(G727,Proyectos!$E$1:$H$4,4,0),"")</f>
        <v>#NAME?</v>
      </c>
      <c r="G726" s="26" t="s">
        <v>5116</v>
      </c>
      <c r="H726" s="32">
        <v>0.25</v>
      </c>
      <c r="I726" s="31" t="s">
        <v>18</v>
      </c>
      <c r="J726" s="32"/>
      <c r="K726" s="32" t="str">
        <f t="shared" si="2"/>
        <v>Interno</v>
      </c>
      <c r="L726" s="32" t="e">
        <f ca="1">_xludf.ifna(VLOOKUP(G727,Proyectos!$E$1:$N$4,10,0),"")</f>
        <v>#NAME?</v>
      </c>
      <c r="M726" s="32"/>
      <c r="N726" s="32"/>
      <c r="O726" s="31"/>
      <c r="P726" s="33"/>
      <c r="Q726" s="33"/>
    </row>
    <row r="727" spans="1:17" ht="16.5" customHeight="1" x14ac:dyDescent="0.2">
      <c r="A727" s="26" t="s">
        <v>4334</v>
      </c>
      <c r="B727" s="26" t="s">
        <v>5315</v>
      </c>
      <c r="C727" s="53" t="s">
        <v>64</v>
      </c>
      <c r="D727" s="26" t="s">
        <v>92</v>
      </c>
      <c r="E727" s="26" t="s">
        <v>9</v>
      </c>
      <c r="F727" s="28" t="e">
        <f ca="1">_xludf.ifna(VLOOKUP(G728,Proyectos!$E$1:$H$4,4,0),"")</f>
        <v>#NAME?</v>
      </c>
      <c r="G727" s="26" t="s">
        <v>5597</v>
      </c>
      <c r="H727" s="32">
        <v>1</v>
      </c>
      <c r="I727" s="31" t="s">
        <v>18</v>
      </c>
      <c r="J727" s="32"/>
      <c r="K727" s="32" t="str">
        <f t="shared" si="2"/>
        <v>Externo</v>
      </c>
      <c r="L727" s="32" t="e">
        <f ca="1">_xludf.ifna(VLOOKUP(G728,Proyectos!$E$1:$N$4,10,0),"")</f>
        <v>#NAME?</v>
      </c>
      <c r="M727" s="32"/>
      <c r="N727" s="31"/>
      <c r="O727" s="31"/>
      <c r="P727" s="33"/>
      <c r="Q727" s="33"/>
    </row>
    <row r="728" spans="1:17" ht="16.5" customHeight="1" x14ac:dyDescent="0.2">
      <c r="A728" s="26" t="s">
        <v>4243</v>
      </c>
      <c r="B728" s="26" t="s">
        <v>4244</v>
      </c>
      <c r="C728" s="26" t="s">
        <v>115</v>
      </c>
      <c r="D728" s="26" t="s">
        <v>116</v>
      </c>
      <c r="E728" s="26" t="s">
        <v>129</v>
      </c>
      <c r="F728" s="28" t="e">
        <f ca="1">_xludf.ifna(VLOOKUP(G729,Proyectos!$E$1:$H$4,4,0),"")</f>
        <v>#NAME?</v>
      </c>
      <c r="G728" s="26" t="s">
        <v>5235</v>
      </c>
      <c r="H728" s="32">
        <v>0.7</v>
      </c>
      <c r="I728" s="31" t="s">
        <v>18</v>
      </c>
      <c r="J728" s="32"/>
      <c r="K728" s="32" t="str">
        <f t="shared" si="2"/>
        <v>Externo</v>
      </c>
      <c r="L728" s="32" t="e">
        <f ca="1">_xludf.ifna(VLOOKUP(G729,Proyectos!$E$1:$N$4,10,0),"")</f>
        <v>#NAME?</v>
      </c>
      <c r="M728" s="32"/>
      <c r="N728" s="32"/>
      <c r="O728" s="31"/>
      <c r="P728" s="33"/>
      <c r="Q728" s="33"/>
    </row>
    <row r="729" spans="1:17" ht="16.5" customHeight="1" x14ac:dyDescent="0.2">
      <c r="A729" s="26" t="s">
        <v>4243</v>
      </c>
      <c r="B729" s="26" t="s">
        <v>4244</v>
      </c>
      <c r="C729" s="26" t="s">
        <v>115</v>
      </c>
      <c r="D729" s="26" t="s">
        <v>116</v>
      </c>
      <c r="E729" s="26" t="s">
        <v>129</v>
      </c>
      <c r="F729" s="28" t="e">
        <f ca="1">_xludf.ifna(VLOOKUP(G730,Proyectos!$E$1:$H$4,4,0),"")</f>
        <v>#NAME?</v>
      </c>
      <c r="G729" s="26" t="s">
        <v>5237</v>
      </c>
      <c r="H729" s="32">
        <v>0.3</v>
      </c>
      <c r="I729" s="31" t="s">
        <v>18</v>
      </c>
      <c r="J729" s="32"/>
      <c r="K729" s="32" t="str">
        <f t="shared" si="2"/>
        <v>Externo</v>
      </c>
      <c r="L729" s="32" t="e">
        <f ca="1">_xludf.ifna(VLOOKUP(G730,Proyectos!$E$1:$N$4,10,0),"")</f>
        <v>#NAME?</v>
      </c>
      <c r="M729" s="32"/>
      <c r="N729" s="32"/>
      <c r="O729" s="31"/>
      <c r="P729" s="33"/>
      <c r="Q729" s="33"/>
    </row>
    <row r="730" spans="1:17" ht="16.5" customHeight="1" x14ac:dyDescent="0.2">
      <c r="A730" s="26" t="s">
        <v>3624</v>
      </c>
      <c r="B730" s="26" t="s">
        <v>3625</v>
      </c>
      <c r="C730" s="26" t="s">
        <v>98</v>
      </c>
      <c r="D730" s="26" t="s">
        <v>99</v>
      </c>
      <c r="E730" s="26" t="s">
        <v>39</v>
      </c>
      <c r="F730" s="28" t="e">
        <f ca="1">_xludf.ifna(VLOOKUP(G731,Proyectos!$E$1:$H$4,4,0),"")</f>
        <v>#NAME?</v>
      </c>
      <c r="G730" s="26" t="s">
        <v>5670</v>
      </c>
      <c r="H730" s="32">
        <v>1</v>
      </c>
      <c r="I730" s="31" t="s">
        <v>18</v>
      </c>
      <c r="J730" s="32"/>
      <c r="K730" s="32" t="str">
        <f t="shared" si="2"/>
        <v>Interno</v>
      </c>
      <c r="L730" s="32" t="e">
        <f ca="1">_xludf.ifna(VLOOKUP(G731,Proyectos!$E$1:$N$4,10,0),"")</f>
        <v>#NAME?</v>
      </c>
      <c r="M730" s="32"/>
      <c r="N730" s="32"/>
      <c r="O730" s="31"/>
      <c r="P730" s="33"/>
      <c r="Q730" s="33"/>
    </row>
    <row r="731" spans="1:17" ht="16.5" customHeight="1" x14ac:dyDescent="0.2">
      <c r="A731" s="26" t="s">
        <v>3526</v>
      </c>
      <c r="B731" s="26" t="s">
        <v>3527</v>
      </c>
      <c r="C731" s="26" t="s">
        <v>115</v>
      </c>
      <c r="D731" s="26" t="s">
        <v>119</v>
      </c>
      <c r="E731" s="26" t="s">
        <v>39</v>
      </c>
      <c r="F731" s="28" t="e">
        <f ca="1">_xludf.ifna(VLOOKUP(G732,Proyectos!$E$1:$H$4,4,0),"")</f>
        <v>#NAME?</v>
      </c>
      <c r="G731" s="26" t="s">
        <v>5768</v>
      </c>
      <c r="H731" s="32">
        <v>0.8</v>
      </c>
      <c r="I731" s="31" t="s">
        <v>18</v>
      </c>
      <c r="J731" s="32"/>
      <c r="K731" s="32" t="str">
        <f t="shared" si="2"/>
        <v>Interno</v>
      </c>
      <c r="L731" s="32" t="e">
        <f ca="1">_xludf.ifna(VLOOKUP(G732,Proyectos!$E$1:$N$4,10,0),"")</f>
        <v>#NAME?</v>
      </c>
      <c r="M731" s="32"/>
      <c r="N731" s="31"/>
      <c r="O731" s="31"/>
      <c r="P731" s="33"/>
      <c r="Q731" s="33"/>
    </row>
    <row r="732" spans="1:17" ht="16.5" customHeight="1" x14ac:dyDescent="0.2">
      <c r="A732" s="26" t="s">
        <v>3526</v>
      </c>
      <c r="B732" s="26" t="s">
        <v>3527</v>
      </c>
      <c r="C732" s="26" t="s">
        <v>115</v>
      </c>
      <c r="D732" s="26" t="s">
        <v>119</v>
      </c>
      <c r="E732" s="26" t="s">
        <v>39</v>
      </c>
      <c r="F732" s="28" t="e">
        <f ca="1">_xludf.ifna(VLOOKUP(G733,Proyectos!$E$1:$H$4,4,0),"")</f>
        <v>#NAME?</v>
      </c>
      <c r="G732" s="26" t="s">
        <v>5131</v>
      </c>
      <c r="H732" s="32">
        <v>0.2</v>
      </c>
      <c r="I732" s="31" t="s">
        <v>18</v>
      </c>
      <c r="J732" s="32"/>
      <c r="K732" s="32" t="str">
        <f t="shared" si="2"/>
        <v>Interno</v>
      </c>
      <c r="L732" s="32" t="e">
        <f ca="1">_xludf.ifna(VLOOKUP(G733,Proyectos!$E$1:$N$4,10,0),"")</f>
        <v>#NAME?</v>
      </c>
      <c r="M732" s="32"/>
      <c r="N732" s="32"/>
      <c r="O732" s="31"/>
      <c r="P732" s="33"/>
      <c r="Q732" s="33"/>
    </row>
    <row r="733" spans="1:17" ht="16.5" customHeight="1" x14ac:dyDescent="0.2">
      <c r="A733" s="26" t="s">
        <v>3666</v>
      </c>
      <c r="B733" s="26" t="s">
        <v>3667</v>
      </c>
      <c r="C733" s="26" t="s">
        <v>115</v>
      </c>
      <c r="D733" s="26" t="s">
        <v>119</v>
      </c>
      <c r="E733" s="26" t="s">
        <v>39</v>
      </c>
      <c r="F733" s="28" t="e">
        <f ca="1">_xludf.ifna(VLOOKUP(G734,Proyectos!$E$1:$H$4,4,0),"")</f>
        <v>#NAME?</v>
      </c>
      <c r="G733" s="26" t="s">
        <v>5597</v>
      </c>
      <c r="H733" s="32">
        <v>1</v>
      </c>
      <c r="I733" s="31" t="s">
        <v>18</v>
      </c>
      <c r="J733" s="32"/>
      <c r="K733" s="32" t="str">
        <f t="shared" si="2"/>
        <v>Interno</v>
      </c>
      <c r="L733" s="32" t="e">
        <f ca="1">_xludf.ifna(VLOOKUP(G734,Proyectos!$E$1:$N$4,10,0),"")</f>
        <v>#NAME?</v>
      </c>
      <c r="M733" s="32"/>
      <c r="N733" s="31"/>
      <c r="O733" s="31"/>
      <c r="P733" s="33"/>
      <c r="Q733" s="33"/>
    </row>
    <row r="734" spans="1:17" ht="16.5" customHeight="1" x14ac:dyDescent="0.2">
      <c r="A734" s="26" t="s">
        <v>3850</v>
      </c>
      <c r="B734" s="26" t="s">
        <v>3851</v>
      </c>
      <c r="C734" s="26" t="s">
        <v>115</v>
      </c>
      <c r="D734" s="26" t="s">
        <v>116</v>
      </c>
      <c r="E734" s="26" t="s">
        <v>39</v>
      </c>
      <c r="F734" s="28" t="e">
        <f ca="1">_xludf.ifna(VLOOKUP(G735,Proyectos!$E$1:$H$4,4,0),"")</f>
        <v>#NAME?</v>
      </c>
      <c r="G734" s="26" t="s">
        <v>5597</v>
      </c>
      <c r="H734" s="32">
        <v>1</v>
      </c>
      <c r="I734" s="31" t="s">
        <v>18</v>
      </c>
      <c r="J734" s="32"/>
      <c r="K734" s="32" t="str">
        <f t="shared" si="2"/>
        <v>Interno</v>
      </c>
      <c r="L734" s="32" t="e">
        <f ca="1">_xludf.ifna(VLOOKUP(G735,Proyectos!$E$1:$N$4,10,0),"")</f>
        <v>#NAME?</v>
      </c>
      <c r="M734" s="32"/>
      <c r="N734" s="31"/>
      <c r="O734" s="31"/>
      <c r="P734" s="33"/>
      <c r="Q734" s="33"/>
    </row>
    <row r="735" spans="1:17" ht="16.5" customHeight="1" x14ac:dyDescent="0.2">
      <c r="A735" s="26" t="s">
        <v>4159</v>
      </c>
      <c r="B735" s="26" t="s">
        <v>4160</v>
      </c>
      <c r="C735" s="26" t="s">
        <v>115</v>
      </c>
      <c r="D735" s="26" t="s">
        <v>116</v>
      </c>
      <c r="E735" s="26" t="s">
        <v>9</v>
      </c>
      <c r="F735" s="28" t="e">
        <f ca="1">_xludf.ifna(VLOOKUP(G736,Proyectos!$E$1:$H$4,4,0),"")</f>
        <v>#NAME?</v>
      </c>
      <c r="G735" s="26" t="s">
        <v>5314</v>
      </c>
      <c r="H735" s="32">
        <v>0.7</v>
      </c>
      <c r="I735" s="31" t="s">
        <v>18</v>
      </c>
      <c r="J735" s="32"/>
      <c r="K735" s="32" t="str">
        <f t="shared" si="2"/>
        <v>Externo</v>
      </c>
      <c r="L735" s="32" t="e">
        <f ca="1">_xludf.ifna(VLOOKUP(G736,Proyectos!$E$1:$N$4,10,0),"")</f>
        <v>#NAME?</v>
      </c>
      <c r="M735" s="32"/>
      <c r="N735" s="32"/>
      <c r="O735" s="31"/>
      <c r="P735" s="33"/>
      <c r="Q735" s="33"/>
    </row>
    <row r="736" spans="1:17" ht="16.5" customHeight="1" x14ac:dyDescent="0.2">
      <c r="A736" s="26" t="s">
        <v>4159</v>
      </c>
      <c r="B736" s="26" t="s">
        <v>4160</v>
      </c>
      <c r="C736" s="26" t="s">
        <v>115</v>
      </c>
      <c r="D736" s="26" t="s">
        <v>116</v>
      </c>
      <c r="E736" s="26" t="s">
        <v>9</v>
      </c>
      <c r="F736" s="28" t="e">
        <f ca="1">_xludf.ifna(VLOOKUP(G737,Proyectos!$E$1:$H$4,4,0),"")</f>
        <v>#NAME?</v>
      </c>
      <c r="G736" s="26" t="s">
        <v>5237</v>
      </c>
      <c r="H736" s="32">
        <v>0.3</v>
      </c>
      <c r="I736" s="31" t="s">
        <v>18</v>
      </c>
      <c r="J736" s="32"/>
      <c r="K736" s="32" t="str">
        <f t="shared" si="2"/>
        <v>Externo</v>
      </c>
      <c r="L736" s="32" t="e">
        <f ca="1">_xludf.ifna(VLOOKUP(G737,Proyectos!$E$1:$N$4,10,0),"")</f>
        <v>#NAME?</v>
      </c>
      <c r="M736" s="32"/>
      <c r="N736" s="32"/>
      <c r="O736" s="31"/>
      <c r="P736" s="33"/>
      <c r="Q736" s="33"/>
    </row>
    <row r="737" spans="1:17" ht="16.5" customHeight="1" x14ac:dyDescent="0.2">
      <c r="A737" s="35" t="s">
        <v>4992</v>
      </c>
      <c r="B737" s="26" t="s">
        <v>5399</v>
      </c>
      <c r="C737" s="26" t="s">
        <v>64</v>
      </c>
      <c r="D737" s="26" t="s">
        <v>82</v>
      </c>
      <c r="E737" s="35" t="s">
        <v>126</v>
      </c>
      <c r="F737" s="28" t="e">
        <f ca="1">_xludf.ifna(VLOOKUP(G738,Proyectos!$E$1:$H$4,4,0),"")</f>
        <v>#NAME?</v>
      </c>
      <c r="G737" s="26" t="s">
        <v>5387</v>
      </c>
      <c r="H737" s="32">
        <v>1</v>
      </c>
      <c r="I737" s="31" t="s">
        <v>18</v>
      </c>
      <c r="J737" s="32"/>
      <c r="K737" s="32" t="str">
        <f t="shared" si="2"/>
        <v>Externo</v>
      </c>
      <c r="L737" s="32" t="e">
        <f ca="1">_xludf.ifna(VLOOKUP(G738,Proyectos!$E$1:$N$4,10,0),"")</f>
        <v>#NAME?</v>
      </c>
      <c r="M737" s="32"/>
      <c r="N737" s="32"/>
      <c r="O737" s="31"/>
      <c r="P737" s="33"/>
      <c r="Q737" s="33"/>
    </row>
    <row r="738" spans="1:17" ht="16.5" customHeight="1" x14ac:dyDescent="0.2">
      <c r="A738" s="26" t="s">
        <v>5769</v>
      </c>
      <c r="B738" s="26" t="s">
        <v>5770</v>
      </c>
      <c r="C738" s="26" t="s">
        <v>37</v>
      </c>
      <c r="D738" s="26" t="s">
        <v>38</v>
      </c>
      <c r="E738" s="26" t="s">
        <v>87</v>
      </c>
      <c r="F738" s="28" t="e">
        <f ca="1">_xludf.ifna(VLOOKUP(G739,Proyectos!$E$1:$H$4,4,0),"")</f>
        <v>#NAME?</v>
      </c>
      <c r="G738" s="26" t="s">
        <v>5152</v>
      </c>
      <c r="H738" s="32">
        <v>1</v>
      </c>
      <c r="I738" s="31" t="s">
        <v>18</v>
      </c>
      <c r="J738" s="32"/>
      <c r="K738" s="32" t="str">
        <f t="shared" si="2"/>
        <v>Externo</v>
      </c>
      <c r="L738" s="32" t="e">
        <f ca="1">_xludf.ifna(VLOOKUP(G739,Proyectos!$E$1:$N$4,10,0),"")</f>
        <v>#NAME?</v>
      </c>
      <c r="M738" s="32"/>
      <c r="N738" s="31"/>
      <c r="O738" s="31"/>
      <c r="P738" s="33"/>
      <c r="Q738" s="33"/>
    </row>
    <row r="739" spans="1:17" ht="16.5" customHeight="1" x14ac:dyDescent="0.2">
      <c r="A739" s="4" t="s">
        <v>3586</v>
      </c>
      <c r="B739" s="4" t="s">
        <v>5374</v>
      </c>
      <c r="C739" s="26" t="s">
        <v>64</v>
      </c>
      <c r="D739" s="26" t="s">
        <v>89</v>
      </c>
      <c r="E739" s="26" t="s">
        <v>39</v>
      </c>
      <c r="F739" s="28" t="e">
        <f ca="1">_xludf.ifna(VLOOKUP(G740,Proyectos!$E$1:$H$4,4,0),"")</f>
        <v>#NAME?</v>
      </c>
      <c r="G739" s="26" t="s">
        <v>5651</v>
      </c>
      <c r="H739" s="32">
        <v>0.5</v>
      </c>
      <c r="I739" s="31" t="s">
        <v>18</v>
      </c>
      <c r="J739" s="32"/>
      <c r="K739" s="32" t="str">
        <f t="shared" si="2"/>
        <v>Interno</v>
      </c>
      <c r="L739" s="32" t="e">
        <f ca="1">_xludf.ifna(VLOOKUP(G740,Proyectos!$E$1:$N$4,10,0),"")</f>
        <v>#NAME?</v>
      </c>
      <c r="M739" s="32"/>
      <c r="N739" s="32"/>
      <c r="O739" s="31"/>
      <c r="P739" s="33"/>
      <c r="Q739" s="33"/>
    </row>
    <row r="740" spans="1:17" ht="16.5" customHeight="1" x14ac:dyDescent="0.2">
      <c r="A740" s="4" t="s">
        <v>3586</v>
      </c>
      <c r="B740" s="4" t="s">
        <v>5374</v>
      </c>
      <c r="C740" s="26" t="s">
        <v>64</v>
      </c>
      <c r="D740" s="26" t="s">
        <v>89</v>
      </c>
      <c r="E740" s="26" t="s">
        <v>39</v>
      </c>
      <c r="F740" s="28" t="e">
        <f ca="1">_xludf.ifna(VLOOKUP(G741,Proyectos!$E$1:$H$4,4,0),"")</f>
        <v>#NAME?</v>
      </c>
      <c r="G740" s="26" t="s">
        <v>5369</v>
      </c>
      <c r="H740" s="32">
        <v>0.5</v>
      </c>
      <c r="I740" s="31" t="s">
        <v>18</v>
      </c>
      <c r="J740" s="32"/>
      <c r="K740" s="32" t="str">
        <f t="shared" si="2"/>
        <v>Interno</v>
      </c>
      <c r="L740" s="32" t="e">
        <f ca="1">_xludf.ifna(VLOOKUP(G741,Proyectos!$E$1:$N$4,10,0),"")</f>
        <v>#NAME?</v>
      </c>
      <c r="M740" s="32"/>
      <c r="N740" s="32"/>
      <c r="O740" s="31"/>
      <c r="P740" s="33"/>
      <c r="Q740" s="33"/>
    </row>
    <row r="741" spans="1:17" ht="16.5" customHeight="1" x14ac:dyDescent="0.2">
      <c r="A741" s="26" t="s">
        <v>4312</v>
      </c>
      <c r="B741" s="26" t="s">
        <v>4313</v>
      </c>
      <c r="C741" s="26" t="s">
        <v>98</v>
      </c>
      <c r="D741" s="26" t="s">
        <v>107</v>
      </c>
      <c r="E741" s="26" t="s">
        <v>87</v>
      </c>
      <c r="F741" s="28" t="e">
        <f ca="1">_xludf.ifna(VLOOKUP(G742,Proyectos!$E$1:$H$4,4,0),"")</f>
        <v>#NAME?</v>
      </c>
      <c r="G741" s="26" t="s">
        <v>5632</v>
      </c>
      <c r="H741" s="32">
        <v>1</v>
      </c>
      <c r="I741" s="31" t="s">
        <v>18</v>
      </c>
      <c r="J741" s="32"/>
      <c r="K741" s="32" t="str">
        <f t="shared" si="2"/>
        <v>Externo</v>
      </c>
      <c r="L741" s="32" t="e">
        <f ca="1">_xludf.ifna(VLOOKUP(G742,Proyectos!$E$1:$N$4,10,0),"")</f>
        <v>#NAME?</v>
      </c>
      <c r="M741" s="32"/>
      <c r="N741" s="32"/>
      <c r="O741" s="31"/>
      <c r="P741" s="33"/>
      <c r="Q741" s="33"/>
    </row>
    <row r="742" spans="1:17" ht="16.5" customHeight="1" x14ac:dyDescent="0.2">
      <c r="A742" s="26" t="s">
        <v>4652</v>
      </c>
      <c r="B742" s="26" t="s">
        <v>4653</v>
      </c>
      <c r="C742" s="26" t="s">
        <v>115</v>
      </c>
      <c r="D742" s="26" t="s">
        <v>119</v>
      </c>
      <c r="E742" s="26" t="s">
        <v>39</v>
      </c>
      <c r="F742" s="28" t="e">
        <f ca="1">_xludf.ifna(VLOOKUP(G743,Proyectos!$E$1:$H$4,4,0),"")</f>
        <v>#NAME?</v>
      </c>
      <c r="G742" s="26" t="s">
        <v>5219</v>
      </c>
      <c r="H742" s="32">
        <v>0.2</v>
      </c>
      <c r="I742" s="31" t="s">
        <v>11</v>
      </c>
      <c r="J742" s="32"/>
      <c r="K742" s="32" t="str">
        <f t="shared" si="2"/>
        <v>Interno</v>
      </c>
      <c r="L742" s="32" t="e">
        <f ca="1">_xludf.ifna(VLOOKUP(G743,Proyectos!$E$1:$N$4,10,0),"")</f>
        <v>#NAME?</v>
      </c>
      <c r="M742" s="32"/>
      <c r="N742" s="31"/>
      <c r="O742" s="31"/>
      <c r="P742" s="33"/>
      <c r="Q742" s="33"/>
    </row>
    <row r="743" spans="1:17" ht="16.5" customHeight="1" x14ac:dyDescent="0.2">
      <c r="A743" s="26" t="s">
        <v>4652</v>
      </c>
      <c r="B743" s="26" t="s">
        <v>4653</v>
      </c>
      <c r="C743" s="26" t="s">
        <v>115</v>
      </c>
      <c r="D743" s="26" t="s">
        <v>119</v>
      </c>
      <c r="E743" s="26" t="s">
        <v>39</v>
      </c>
      <c r="F743" s="28" t="e">
        <f ca="1">_xludf.ifna(VLOOKUP(G744,Proyectos!$E$1:$H$4,4,0),"")</f>
        <v>#NAME?</v>
      </c>
      <c r="G743" s="26" t="s">
        <v>5225</v>
      </c>
      <c r="H743" s="32">
        <v>0.2</v>
      </c>
      <c r="I743" s="31" t="s">
        <v>11</v>
      </c>
      <c r="J743" s="32"/>
      <c r="K743" s="32" t="str">
        <f t="shared" si="2"/>
        <v>Interno</v>
      </c>
      <c r="L743" s="32" t="e">
        <f ca="1">_xludf.ifna(VLOOKUP(G744,Proyectos!$E$1:$N$4,10,0),"")</f>
        <v>#NAME?</v>
      </c>
      <c r="M743" s="32"/>
      <c r="N743" s="31"/>
      <c r="O743" s="31"/>
      <c r="P743" s="33"/>
      <c r="Q743" s="33"/>
    </row>
    <row r="744" spans="1:17" ht="16.5" customHeight="1" x14ac:dyDescent="0.2">
      <c r="A744" s="26" t="s">
        <v>4652</v>
      </c>
      <c r="B744" s="26" t="s">
        <v>4653</v>
      </c>
      <c r="C744" s="26" t="s">
        <v>115</v>
      </c>
      <c r="D744" s="26" t="s">
        <v>119</v>
      </c>
      <c r="E744" s="26" t="s">
        <v>39</v>
      </c>
      <c r="F744" s="28" t="e">
        <f ca="1">_xludf.ifna(VLOOKUP(G745,Proyectos!$E$1:$H$4,4,0),"")</f>
        <v>#NAME?</v>
      </c>
      <c r="G744" s="26" t="s">
        <v>5217</v>
      </c>
      <c r="H744" s="32">
        <v>0.2</v>
      </c>
      <c r="I744" s="31" t="s">
        <v>11</v>
      </c>
      <c r="J744" s="32"/>
      <c r="K744" s="32" t="str">
        <f t="shared" si="2"/>
        <v>Interno</v>
      </c>
      <c r="L744" s="32" t="e">
        <f ca="1">_xludf.ifna(VLOOKUP(G745,Proyectos!$E$1:$N$4,10,0),"")</f>
        <v>#NAME?</v>
      </c>
      <c r="M744" s="32"/>
      <c r="N744" s="32"/>
      <c r="O744" s="31"/>
      <c r="P744" s="33"/>
      <c r="Q744" s="33"/>
    </row>
    <row r="745" spans="1:17" ht="16.5" customHeight="1" x14ac:dyDescent="0.2">
      <c r="A745" s="26" t="s">
        <v>4652</v>
      </c>
      <c r="B745" s="26" t="s">
        <v>4653</v>
      </c>
      <c r="C745" s="26" t="s">
        <v>115</v>
      </c>
      <c r="D745" s="26" t="s">
        <v>119</v>
      </c>
      <c r="E745" s="26" t="s">
        <v>39</v>
      </c>
      <c r="F745" s="28" t="e">
        <f ca="1">_xludf.ifna(VLOOKUP(G746,Proyectos!$E$1:$H$4,4,0),"")</f>
        <v>#NAME?</v>
      </c>
      <c r="G745" s="26" t="s">
        <v>5224</v>
      </c>
      <c r="H745" s="32">
        <v>0.2</v>
      </c>
      <c r="I745" s="31" t="s">
        <v>11</v>
      </c>
      <c r="J745" s="32"/>
      <c r="K745" s="32" t="str">
        <f t="shared" si="2"/>
        <v>Interno</v>
      </c>
      <c r="L745" s="32" t="e">
        <f ca="1">_xludf.ifna(VLOOKUP(G746,Proyectos!$E$1:$N$4,10,0),"")</f>
        <v>#NAME?</v>
      </c>
      <c r="M745" s="32"/>
      <c r="N745" s="31"/>
      <c r="O745" s="31"/>
      <c r="P745" s="33"/>
      <c r="Q745" s="33"/>
    </row>
    <row r="746" spans="1:17" ht="16.5" customHeight="1" x14ac:dyDescent="0.2">
      <c r="A746" s="26" t="s">
        <v>4652</v>
      </c>
      <c r="B746" s="26" t="s">
        <v>4653</v>
      </c>
      <c r="C746" s="26" t="s">
        <v>115</v>
      </c>
      <c r="D746" s="26" t="s">
        <v>119</v>
      </c>
      <c r="E746" s="26" t="s">
        <v>39</v>
      </c>
      <c r="F746" s="28" t="e">
        <f ca="1">_xludf.ifna(VLOOKUP(G747,Proyectos!$E$1:$H$4,4,0),"")</f>
        <v>#NAME?</v>
      </c>
      <c r="G746" s="26" t="s">
        <v>5218</v>
      </c>
      <c r="H746" s="32">
        <v>0.2</v>
      </c>
      <c r="I746" s="31" t="s">
        <v>11</v>
      </c>
      <c r="J746" s="32"/>
      <c r="K746" s="32" t="str">
        <f t="shared" si="2"/>
        <v>Interno</v>
      </c>
      <c r="L746" s="32" t="e">
        <f ca="1">_xludf.ifna(VLOOKUP(G747,Proyectos!$E$1:$N$4,10,0),"")</f>
        <v>#NAME?</v>
      </c>
      <c r="M746" s="32"/>
      <c r="N746" s="31"/>
      <c r="O746" s="31"/>
      <c r="P746" s="33"/>
      <c r="Q746" s="33"/>
    </row>
    <row r="747" spans="1:17" ht="16.5" customHeight="1" x14ac:dyDescent="0.2">
      <c r="A747" s="35" t="s">
        <v>3680</v>
      </c>
      <c r="B747" s="26" t="s">
        <v>5771</v>
      </c>
      <c r="C747" s="26" t="s">
        <v>64</v>
      </c>
      <c r="D747" s="26" t="s">
        <v>82</v>
      </c>
      <c r="E747" s="26" t="s">
        <v>39</v>
      </c>
      <c r="F747" s="28" t="e">
        <f ca="1">_xludf.ifna(VLOOKUP(G748,Proyectos!$E$1:$H$4,4,0),"")</f>
        <v>#NAME?</v>
      </c>
      <c r="G747" s="26" t="s">
        <v>5597</v>
      </c>
      <c r="H747" s="32">
        <v>1</v>
      </c>
      <c r="I747" s="31" t="s">
        <v>18</v>
      </c>
      <c r="J747" s="32"/>
      <c r="K747" s="32" t="str">
        <f t="shared" si="2"/>
        <v>Interno</v>
      </c>
      <c r="L747" s="32" t="e">
        <f ca="1">_xludf.ifna(VLOOKUP(G748,Proyectos!$E$1:$N$4,10,0),"")</f>
        <v>#NAME?</v>
      </c>
      <c r="M747" s="32"/>
      <c r="N747" s="31"/>
      <c r="O747" s="31"/>
      <c r="P747" s="33"/>
      <c r="Q747" s="33"/>
    </row>
    <row r="748" spans="1:17" ht="16.5" customHeight="1" x14ac:dyDescent="0.2">
      <c r="A748" s="26" t="s">
        <v>3463</v>
      </c>
      <c r="B748" s="26" t="s">
        <v>3464</v>
      </c>
      <c r="C748" s="26" t="s">
        <v>64</v>
      </c>
      <c r="D748" s="26" t="s">
        <v>74</v>
      </c>
      <c r="E748" s="26" t="s">
        <v>39</v>
      </c>
      <c r="F748" s="28" t="e">
        <f ca="1">_xludf.ifna(VLOOKUP(G749,Proyectos!$E$1:$H$4,4,0),"")</f>
        <v>#NAME?</v>
      </c>
      <c r="G748" s="26" t="s">
        <v>5597</v>
      </c>
      <c r="H748" s="30">
        <v>0.3</v>
      </c>
      <c r="I748" s="31" t="s">
        <v>18</v>
      </c>
      <c r="J748" s="32"/>
      <c r="K748" s="32" t="str">
        <f t="shared" si="2"/>
        <v>Interno</v>
      </c>
      <c r="L748" s="32" t="e">
        <f ca="1">_xludf.ifna(VLOOKUP(G749,Proyectos!$E$1:$N$4,10,0),"")</f>
        <v>#NAME?</v>
      </c>
      <c r="M748" s="32"/>
      <c r="N748" s="31"/>
      <c r="O748" s="31"/>
      <c r="P748" s="33"/>
      <c r="Q748" s="33"/>
    </row>
    <row r="749" spans="1:17" ht="16.5" customHeight="1" x14ac:dyDescent="0.2">
      <c r="A749" s="26" t="s">
        <v>3463</v>
      </c>
      <c r="B749" s="26" t="s">
        <v>3464</v>
      </c>
      <c r="C749" s="26" t="s">
        <v>64</v>
      </c>
      <c r="D749" s="26" t="s">
        <v>74</v>
      </c>
      <c r="E749" s="26" t="s">
        <v>39</v>
      </c>
      <c r="F749" s="28" t="e">
        <f ca="1">_xludf.ifna(VLOOKUP(G750,Proyectos!$E$1:$H$4,4,0),"")</f>
        <v>#NAME?</v>
      </c>
      <c r="G749" s="26" t="s">
        <v>5597</v>
      </c>
      <c r="H749" s="30">
        <v>0.5</v>
      </c>
      <c r="I749" s="31" t="s">
        <v>18</v>
      </c>
      <c r="J749" s="32"/>
      <c r="K749" s="32" t="str">
        <f t="shared" si="2"/>
        <v>Interno</v>
      </c>
      <c r="L749" s="32" t="e">
        <f ca="1">_xludf.ifna(VLOOKUP(G750,Proyectos!$E$1:$N$4,10,0),"")</f>
        <v>#NAME?</v>
      </c>
      <c r="M749" s="32"/>
      <c r="N749" s="31"/>
      <c r="O749" s="31"/>
      <c r="P749" s="33"/>
      <c r="Q749" s="33"/>
    </row>
    <row r="750" spans="1:17" ht="16.5" customHeight="1" x14ac:dyDescent="0.2">
      <c r="A750" s="26" t="s">
        <v>3463</v>
      </c>
      <c r="B750" s="26" t="s">
        <v>3464</v>
      </c>
      <c r="C750" s="26" t="s">
        <v>64</v>
      </c>
      <c r="D750" s="26" t="s">
        <v>74</v>
      </c>
      <c r="E750" s="26" t="s">
        <v>39</v>
      </c>
      <c r="F750" s="28" t="e">
        <f ca="1">_xludf.ifna(VLOOKUP(G751,Proyectos!$E$1:$H$4,4,0),"")</f>
        <v>#NAME?</v>
      </c>
      <c r="G750" s="26" t="s">
        <v>5648</v>
      </c>
      <c r="H750" s="30">
        <v>0.2</v>
      </c>
      <c r="I750" s="31" t="s">
        <v>18</v>
      </c>
      <c r="J750" s="32"/>
      <c r="K750" s="32" t="str">
        <f t="shared" si="2"/>
        <v>Interno</v>
      </c>
      <c r="L750" s="32" t="e">
        <f ca="1">_xludf.ifna(VLOOKUP(G751,Proyectos!$E$1:$N$4,10,0),"")</f>
        <v>#NAME?</v>
      </c>
      <c r="M750" s="32"/>
      <c r="N750" s="32"/>
      <c r="O750" s="31"/>
      <c r="P750" s="33"/>
      <c r="Q750" s="33"/>
    </row>
    <row r="751" spans="1:17" ht="16.5" customHeight="1" x14ac:dyDescent="0.2">
      <c r="A751" s="26" t="s">
        <v>4342</v>
      </c>
      <c r="B751" s="26" t="s">
        <v>4343</v>
      </c>
      <c r="C751" s="26" t="s">
        <v>98</v>
      </c>
      <c r="D751" s="26" t="s">
        <v>110</v>
      </c>
      <c r="E751" s="26" t="s">
        <v>83</v>
      </c>
      <c r="F751" s="28" t="e">
        <f ca="1">_xludf.ifna(VLOOKUP(G752,Proyectos!$E$1:$H$4,4,0),"")</f>
        <v>#NAME?</v>
      </c>
      <c r="G751" s="26" t="s">
        <v>5243</v>
      </c>
      <c r="H751" s="32">
        <v>1</v>
      </c>
      <c r="I751" s="31" t="s">
        <v>25</v>
      </c>
      <c r="J751" s="32"/>
      <c r="K751" s="32" t="str">
        <f t="shared" si="2"/>
        <v>Externo</v>
      </c>
      <c r="L751" s="32" t="e">
        <f ca="1">_xludf.ifna(VLOOKUP(G752,Proyectos!$E$1:$N$4,10,0),"")</f>
        <v>#NAME?</v>
      </c>
      <c r="M751" s="32"/>
      <c r="N751" s="32"/>
      <c r="O751" s="31"/>
      <c r="P751" s="33"/>
      <c r="Q751" s="33"/>
    </row>
    <row r="752" spans="1:17" ht="16.5" customHeight="1" x14ac:dyDescent="0.2">
      <c r="A752" s="26" t="s">
        <v>3327</v>
      </c>
      <c r="B752" s="26" t="s">
        <v>3328</v>
      </c>
      <c r="C752" s="26" t="s">
        <v>64</v>
      </c>
      <c r="D752" s="26" t="s">
        <v>86</v>
      </c>
      <c r="E752" s="26" t="s">
        <v>39</v>
      </c>
      <c r="F752" s="28" t="e">
        <f ca="1">_xludf.ifna(VLOOKUP(G753,Proyectos!$E$1:$H$4,4,0),"")</f>
        <v>#NAME?</v>
      </c>
      <c r="G752" s="26" t="s">
        <v>5463</v>
      </c>
      <c r="H752" s="30">
        <v>1</v>
      </c>
      <c r="I752" s="31" t="s">
        <v>18</v>
      </c>
      <c r="J752" s="32"/>
      <c r="K752" s="32" t="str">
        <f t="shared" si="2"/>
        <v>Interno</v>
      </c>
      <c r="L752" s="32" t="e">
        <f ca="1">_xludf.ifna(VLOOKUP(G753,Proyectos!$E$1:$N$4,10,0),"")</f>
        <v>#NAME?</v>
      </c>
      <c r="M752" s="32"/>
      <c r="N752" s="32"/>
      <c r="O752" s="31"/>
      <c r="P752" s="33"/>
      <c r="Q752" s="33"/>
    </row>
    <row r="753" spans="1:17" ht="16.5" customHeight="1" x14ac:dyDescent="0.2">
      <c r="A753" s="26" t="s">
        <v>4474</v>
      </c>
      <c r="B753" s="26" t="s">
        <v>5772</v>
      </c>
      <c r="C753" s="26" t="s">
        <v>64</v>
      </c>
      <c r="D753" s="26" t="s">
        <v>78</v>
      </c>
      <c r="E753" s="26" t="s">
        <v>87</v>
      </c>
      <c r="F753" s="28" t="e">
        <f ca="1">_xludf.ifna(VLOOKUP(G754,Proyectos!$E$1:$H$4,4,0),"")</f>
        <v>#NAME?</v>
      </c>
      <c r="G753" s="26" t="s">
        <v>5411</v>
      </c>
      <c r="H753" s="30">
        <v>1</v>
      </c>
      <c r="I753" s="31" t="s">
        <v>18</v>
      </c>
      <c r="J753" s="32"/>
      <c r="K753" s="32" t="str">
        <f t="shared" si="2"/>
        <v>Externo</v>
      </c>
      <c r="L753" s="32" t="e">
        <f ca="1">_xludf.ifna(VLOOKUP(G754,Proyectos!$E$1:$N$4,10,0),"")</f>
        <v>#NAME?</v>
      </c>
      <c r="M753" s="32"/>
      <c r="N753" s="32"/>
      <c r="O753" s="31"/>
      <c r="P753" s="33"/>
      <c r="Q753" s="33"/>
    </row>
    <row r="754" spans="1:17" ht="16.5" customHeight="1" x14ac:dyDescent="0.2">
      <c r="A754" s="26" t="s">
        <v>3656</v>
      </c>
      <c r="B754" s="26" t="s">
        <v>3657</v>
      </c>
      <c r="C754" s="26" t="s">
        <v>37</v>
      </c>
      <c r="D754" s="26" t="s">
        <v>38</v>
      </c>
      <c r="E754" s="26" t="s">
        <v>39</v>
      </c>
      <c r="F754" s="28" t="e">
        <f ca="1">_xludf.ifna(VLOOKUP(G755,Proyectos!$E$1:$H$4,4,0),"")</f>
        <v>#NAME?</v>
      </c>
      <c r="G754" s="26" t="s">
        <v>5597</v>
      </c>
      <c r="H754" s="32">
        <v>1</v>
      </c>
      <c r="I754" s="31" t="s">
        <v>18</v>
      </c>
      <c r="J754" s="32"/>
      <c r="K754" s="32" t="str">
        <f t="shared" si="2"/>
        <v>Interno</v>
      </c>
      <c r="L754" s="32" t="e">
        <f ca="1">_xludf.ifna(VLOOKUP(G755,Proyectos!$E$1:$N$4,10,0),"")</f>
        <v>#NAME?</v>
      </c>
      <c r="M754" s="32"/>
      <c r="N754" s="31"/>
      <c r="O754" s="31"/>
      <c r="P754" s="33"/>
      <c r="Q754" s="33"/>
    </row>
    <row r="755" spans="1:17" ht="16.5" customHeight="1" x14ac:dyDescent="0.2">
      <c r="A755" s="35" t="s">
        <v>4057</v>
      </c>
      <c r="B755" s="26" t="s">
        <v>5499</v>
      </c>
      <c r="C755" s="26" t="s">
        <v>64</v>
      </c>
      <c r="D755" s="26" t="s">
        <v>82</v>
      </c>
      <c r="E755" s="35" t="s">
        <v>87</v>
      </c>
      <c r="F755" s="28" t="e">
        <f ca="1">_xludf.ifna(VLOOKUP(G756,Proyectos!$E$1:$H$4,4,0),"")</f>
        <v>#NAME?</v>
      </c>
      <c r="G755" s="26" t="s">
        <v>5387</v>
      </c>
      <c r="H755" s="32">
        <v>1</v>
      </c>
      <c r="I755" s="31" t="s">
        <v>25</v>
      </c>
      <c r="J755" s="32"/>
      <c r="K755" s="32" t="str">
        <f t="shared" si="2"/>
        <v>Externo</v>
      </c>
      <c r="L755" s="32" t="e">
        <f ca="1">_xludf.ifna(VLOOKUP(G756,Proyectos!$E$1:$N$4,10,0),"")</f>
        <v>#NAME?</v>
      </c>
      <c r="M755" s="32"/>
      <c r="N755" s="32"/>
      <c r="O755" s="31"/>
      <c r="P755" s="33"/>
      <c r="Q755" s="33"/>
    </row>
    <row r="756" spans="1:17" ht="16.5" customHeight="1" x14ac:dyDescent="0.2">
      <c r="A756" s="26" t="s">
        <v>4223</v>
      </c>
      <c r="B756" s="26" t="s">
        <v>4224</v>
      </c>
      <c r="C756" s="26" t="s">
        <v>98</v>
      </c>
      <c r="D756" s="26" t="s">
        <v>105</v>
      </c>
      <c r="E756" s="26" t="s">
        <v>83</v>
      </c>
      <c r="F756" s="28" t="e">
        <f ca="1">_xludf.ifna(VLOOKUP(G757,Proyectos!$E$1:$H$4,4,0),"")</f>
        <v>#NAME?</v>
      </c>
      <c r="G756" s="26" t="s">
        <v>5148</v>
      </c>
      <c r="H756" s="32">
        <v>1</v>
      </c>
      <c r="I756" s="31" t="s">
        <v>25</v>
      </c>
      <c r="J756" s="32"/>
      <c r="K756" s="32" t="str">
        <f t="shared" si="2"/>
        <v>Externo</v>
      </c>
      <c r="L756" s="32" t="e">
        <f ca="1">_xludf.ifna(VLOOKUP(G757,Proyectos!$E$1:$N$4,10,0),"")</f>
        <v>#NAME?</v>
      </c>
      <c r="M756" s="32"/>
      <c r="N756" s="32"/>
      <c r="O756" s="31"/>
      <c r="P756" s="33"/>
      <c r="Q756" s="33"/>
    </row>
    <row r="757" spans="1:17" ht="16.5" customHeight="1" x14ac:dyDescent="0.2">
      <c r="A757" s="26"/>
      <c r="B757" s="26" t="s">
        <v>5093</v>
      </c>
      <c r="C757" s="26" t="s">
        <v>98</v>
      </c>
      <c r="D757" s="26" t="s">
        <v>113</v>
      </c>
      <c r="E757" s="26" t="s">
        <v>87</v>
      </c>
      <c r="F757" s="28" t="e">
        <f ca="1">_xludf.ifna(VLOOKUP(G758,Proyectos!$E$1:$H$4,4,0),"")</f>
        <v>#NAME?</v>
      </c>
      <c r="G757" s="26" t="s">
        <v>5245</v>
      </c>
      <c r="H757" s="32">
        <v>1</v>
      </c>
      <c r="I757" s="31" t="s">
        <v>18</v>
      </c>
      <c r="J757" s="32"/>
      <c r="K757" s="32" t="str">
        <f t="shared" si="2"/>
        <v>Externo</v>
      </c>
      <c r="L757" s="32" t="e">
        <f ca="1">_xludf.ifna(VLOOKUP(G758,Proyectos!$E$1:$N$4,10,0),"")</f>
        <v>#NAME?</v>
      </c>
      <c r="M757" s="32"/>
      <c r="N757" s="32"/>
      <c r="O757" s="31"/>
      <c r="P757" s="33"/>
      <c r="Q757" s="33"/>
    </row>
    <row r="758" spans="1:17" ht="16.5" customHeight="1" x14ac:dyDescent="0.2">
      <c r="A758" s="26" t="s">
        <v>4269</v>
      </c>
      <c r="B758" s="26" t="s">
        <v>5137</v>
      </c>
      <c r="C758" s="26" t="s">
        <v>98</v>
      </c>
      <c r="D758" s="26" t="s">
        <v>99</v>
      </c>
      <c r="E758" s="26" t="s">
        <v>129</v>
      </c>
      <c r="F758" s="28" t="e">
        <f ca="1">_xludf.ifna(VLOOKUP(G759,Proyectos!$E$1:$H$4,4,0),"")</f>
        <v>#NAME?</v>
      </c>
      <c r="G758" s="26" t="s">
        <v>5597</v>
      </c>
      <c r="H758" s="32">
        <v>1</v>
      </c>
      <c r="I758" s="31" t="s">
        <v>18</v>
      </c>
      <c r="J758" s="31" t="s">
        <v>5748</v>
      </c>
      <c r="K758" s="32" t="str">
        <f t="shared" si="2"/>
        <v>Externo</v>
      </c>
      <c r="L758" s="32" t="e">
        <f ca="1">_xludf.ifna(VLOOKUP(G759,Proyectos!$E$1:$N$4,10,0),"")</f>
        <v>#NAME?</v>
      </c>
      <c r="M758" s="32"/>
      <c r="N758" s="32"/>
      <c r="O758" s="31"/>
      <c r="P758" s="33"/>
      <c r="Q758" s="33"/>
    </row>
    <row r="759" spans="1:17" ht="16.5" customHeight="1" x14ac:dyDescent="0.2">
      <c r="A759" s="26" t="s">
        <v>3928</v>
      </c>
      <c r="B759" s="26" t="s">
        <v>3929</v>
      </c>
      <c r="C759" s="26" t="s">
        <v>37</v>
      </c>
      <c r="D759" s="26" t="s">
        <v>38</v>
      </c>
      <c r="E759" s="26" t="s">
        <v>87</v>
      </c>
      <c r="F759" s="28" t="e">
        <f ca="1">_xludf.ifna(VLOOKUP(G760,Proyectos!$E$1:$H$4,4,0),"")</f>
        <v>#NAME?</v>
      </c>
      <c r="G759" s="26" t="s">
        <v>5594</v>
      </c>
      <c r="H759" s="32">
        <v>0.5</v>
      </c>
      <c r="I759" s="31" t="s">
        <v>25</v>
      </c>
      <c r="J759" s="32"/>
      <c r="K759" s="32" t="str">
        <f t="shared" si="2"/>
        <v>Externo</v>
      </c>
      <c r="L759" s="32" t="e">
        <f ca="1">_xludf.ifna(VLOOKUP(G760,Proyectos!$E$1:$N$4,10,0),"")</f>
        <v>#NAME?</v>
      </c>
      <c r="M759" s="32"/>
      <c r="N759" s="31"/>
      <c r="O759" s="31"/>
      <c r="P759" s="33"/>
      <c r="Q759" s="33"/>
    </row>
    <row r="760" spans="1:17" ht="16.5" customHeight="1" x14ac:dyDescent="0.2">
      <c r="A760" s="26" t="s">
        <v>3928</v>
      </c>
      <c r="B760" s="26" t="s">
        <v>3929</v>
      </c>
      <c r="C760" s="26" t="s">
        <v>37</v>
      </c>
      <c r="D760" s="26" t="s">
        <v>38</v>
      </c>
      <c r="E760" s="26" t="s">
        <v>87</v>
      </c>
      <c r="F760" s="28" t="e">
        <f ca="1">_xludf.ifna(VLOOKUP(G761,Proyectos!$E$1:$H$4,4,0),"")</f>
        <v>#NAME?</v>
      </c>
      <c r="G760" s="26" t="s">
        <v>5346</v>
      </c>
      <c r="H760" s="32">
        <v>0.25</v>
      </c>
      <c r="I760" s="31" t="s">
        <v>25</v>
      </c>
      <c r="J760" s="32"/>
      <c r="K760" s="32" t="str">
        <f t="shared" si="2"/>
        <v>Externo</v>
      </c>
      <c r="L760" s="32" t="e">
        <f ca="1">_xludf.ifna(VLOOKUP(G761,Proyectos!$E$1:$N$4,10,0),"")</f>
        <v>#NAME?</v>
      </c>
      <c r="M760" s="32"/>
      <c r="N760" s="31"/>
      <c r="O760" s="31"/>
      <c r="P760" s="33"/>
      <c r="Q760" s="33"/>
    </row>
    <row r="761" spans="1:17" ht="16.5" customHeight="1" x14ac:dyDescent="0.2">
      <c r="A761" s="26" t="s">
        <v>3928</v>
      </c>
      <c r="B761" s="26" t="s">
        <v>3929</v>
      </c>
      <c r="C761" s="26" t="s">
        <v>37</v>
      </c>
      <c r="D761" s="26" t="s">
        <v>38</v>
      </c>
      <c r="E761" s="26" t="s">
        <v>87</v>
      </c>
      <c r="F761" s="28" t="e">
        <f ca="1">_xludf.ifna(VLOOKUP(G762,Proyectos!$E$1:$H$4,4,0),"")</f>
        <v>#NAME?</v>
      </c>
      <c r="G761" s="26" t="s">
        <v>5597</v>
      </c>
      <c r="H761" s="32">
        <v>0.25</v>
      </c>
      <c r="I761" s="31" t="s">
        <v>25</v>
      </c>
      <c r="J761" s="32"/>
      <c r="K761" s="32" t="str">
        <f t="shared" si="2"/>
        <v>Externo</v>
      </c>
      <c r="L761" s="32" t="e">
        <f ca="1">_xludf.ifna(VLOOKUP(G762,Proyectos!$E$1:$N$4,10,0),"")</f>
        <v>#NAME?</v>
      </c>
      <c r="M761" s="32"/>
      <c r="N761" s="31"/>
      <c r="O761" s="31"/>
      <c r="P761" s="33"/>
      <c r="Q761" s="33"/>
    </row>
    <row r="762" spans="1:17" ht="16.5" customHeight="1" x14ac:dyDescent="0.2">
      <c r="A762" s="26" t="s">
        <v>5025</v>
      </c>
      <c r="B762" s="26" t="s">
        <v>5561</v>
      </c>
      <c r="C762" s="26" t="s">
        <v>115</v>
      </c>
      <c r="D762" s="26" t="s">
        <v>131</v>
      </c>
      <c r="E762" s="26" t="s">
        <v>139</v>
      </c>
      <c r="F762" s="28" t="e">
        <f ca="1">_xludf.ifna(VLOOKUP(G763,Proyectos!$E$1:$H$4,4,0),"")</f>
        <v>#NAME?</v>
      </c>
      <c r="G762" s="26" t="s">
        <v>5559</v>
      </c>
      <c r="H762" s="32">
        <v>1</v>
      </c>
      <c r="I762" s="31" t="s">
        <v>18</v>
      </c>
      <c r="J762" s="32"/>
      <c r="K762" s="32" t="str">
        <f t="shared" si="2"/>
        <v>Externo</v>
      </c>
      <c r="L762" s="32" t="e">
        <f ca="1">_xludf.ifna(VLOOKUP(G763,Proyectos!$E$1:$N$4,10,0),"")</f>
        <v>#NAME?</v>
      </c>
      <c r="M762" s="32"/>
      <c r="N762" s="31"/>
      <c r="O762" s="31"/>
      <c r="P762" s="33"/>
      <c r="Q762" s="33"/>
    </row>
    <row r="763" spans="1:17" ht="16.5" customHeight="1" x14ac:dyDescent="0.2">
      <c r="A763" s="26" t="s">
        <v>4679</v>
      </c>
      <c r="B763" s="26" t="s">
        <v>5773</v>
      </c>
      <c r="C763" s="26" t="s">
        <v>7</v>
      </c>
      <c r="D763" s="26" t="s">
        <v>16</v>
      </c>
      <c r="E763" s="26" t="s">
        <v>39</v>
      </c>
      <c r="F763" s="28" t="e">
        <f ca="1">_xludf.ifna(VLOOKUP(G764,Proyectos!$E$1:$H$4,4,0),"")</f>
        <v>#NAME?</v>
      </c>
      <c r="G763" s="26" t="s">
        <v>5232</v>
      </c>
      <c r="H763" s="65">
        <v>0.5</v>
      </c>
      <c r="I763" s="31" t="s">
        <v>18</v>
      </c>
      <c r="J763" s="32"/>
      <c r="K763" s="32" t="str">
        <f t="shared" si="2"/>
        <v>Interno</v>
      </c>
      <c r="L763" s="32" t="e">
        <f ca="1">_xludf.ifna(VLOOKUP(G764,Proyectos!$E$1:$N$4,10,0),"")</f>
        <v>#NAME?</v>
      </c>
      <c r="M763" s="32"/>
      <c r="N763" s="32"/>
      <c r="O763" s="31"/>
      <c r="P763" s="33"/>
      <c r="Q763" s="33"/>
    </row>
    <row r="764" spans="1:17" ht="16.5" customHeight="1" x14ac:dyDescent="0.2">
      <c r="A764" s="26" t="s">
        <v>4679</v>
      </c>
      <c r="B764" s="26" t="s">
        <v>5773</v>
      </c>
      <c r="C764" s="26" t="s">
        <v>7</v>
      </c>
      <c r="D764" s="26" t="s">
        <v>16</v>
      </c>
      <c r="E764" s="26" t="s">
        <v>39</v>
      </c>
      <c r="F764" s="28" t="e">
        <f ca="1">_xludf.ifna(VLOOKUP(G765,Proyectos!$E$1:$H$4,4,0),"")</f>
        <v>#NAME?</v>
      </c>
      <c r="G764" s="26" t="s">
        <v>5597</v>
      </c>
      <c r="H764" s="65">
        <v>0.2</v>
      </c>
      <c r="I764" s="31" t="s">
        <v>18</v>
      </c>
      <c r="J764" s="32"/>
      <c r="K764" s="32" t="str">
        <f t="shared" si="2"/>
        <v>Interno</v>
      </c>
      <c r="L764" s="32" t="e">
        <f ca="1">_xludf.ifna(VLOOKUP(G765,Proyectos!$E$1:$N$4,10,0),"")</f>
        <v>#NAME?</v>
      </c>
      <c r="M764" s="32"/>
      <c r="N764" s="31"/>
      <c r="O764" s="31"/>
      <c r="P764" s="33"/>
      <c r="Q764" s="33"/>
    </row>
    <row r="765" spans="1:17" ht="16.5" customHeight="1" x14ac:dyDescent="0.2">
      <c r="A765" s="26" t="s">
        <v>4679</v>
      </c>
      <c r="B765" s="26" t="s">
        <v>5773</v>
      </c>
      <c r="C765" s="26" t="s">
        <v>7</v>
      </c>
      <c r="D765" s="26" t="s">
        <v>16</v>
      </c>
      <c r="E765" s="26" t="s">
        <v>39</v>
      </c>
      <c r="F765" s="28" t="e">
        <f ca="1">_xludf.ifna(VLOOKUP(G766,Proyectos!$E$1:$H$4,4,0),"")</f>
        <v>#NAME?</v>
      </c>
      <c r="G765" s="26" t="s">
        <v>5234</v>
      </c>
      <c r="H765" s="65">
        <v>0.3</v>
      </c>
      <c r="I765" s="31" t="s">
        <v>18</v>
      </c>
      <c r="J765" s="31"/>
      <c r="K765" s="32" t="str">
        <f t="shared" si="2"/>
        <v>Interno</v>
      </c>
      <c r="L765" s="32" t="e">
        <f ca="1">_xludf.ifna(VLOOKUP(G766,Proyectos!$E$1:$N$4,10,0),"")</f>
        <v>#NAME?</v>
      </c>
      <c r="M765" s="32"/>
      <c r="N765" s="31"/>
      <c r="O765" s="31"/>
      <c r="P765" s="33"/>
      <c r="Q765" s="33"/>
    </row>
    <row r="766" spans="1:17" ht="16.5" customHeight="1" x14ac:dyDescent="0.2">
      <c r="A766" s="4" t="s">
        <v>5774</v>
      </c>
      <c r="B766" s="26" t="s">
        <v>4662</v>
      </c>
      <c r="C766" s="53" t="s">
        <v>64</v>
      </c>
      <c r="D766" s="26" t="s">
        <v>95</v>
      </c>
      <c r="E766" s="26" t="s">
        <v>39</v>
      </c>
      <c r="F766" s="28" t="e">
        <f ca="1">_xludf.ifna(VLOOKUP(G767,Proyectos!$E$1:$H$4,4,0),"")</f>
        <v>#NAME?</v>
      </c>
      <c r="G766" s="26" t="s">
        <v>5597</v>
      </c>
      <c r="H766" s="32">
        <v>0.2</v>
      </c>
      <c r="I766" s="31" t="s">
        <v>11</v>
      </c>
      <c r="J766" s="32"/>
      <c r="K766" s="32" t="str">
        <f t="shared" si="2"/>
        <v>Interno</v>
      </c>
      <c r="L766" s="32" t="e">
        <f ca="1">_xludf.ifna(VLOOKUP(G767,Proyectos!$E$1:$N$4,10,0),"")</f>
        <v>#NAME?</v>
      </c>
      <c r="M766" s="32"/>
      <c r="N766" s="31"/>
      <c r="O766" s="31"/>
      <c r="P766" s="33"/>
      <c r="Q766" s="33"/>
    </row>
    <row r="767" spans="1:17" ht="16.5" customHeight="1" x14ac:dyDescent="0.2">
      <c r="A767" s="26" t="s">
        <v>5774</v>
      </c>
      <c r="B767" s="26" t="s">
        <v>4662</v>
      </c>
      <c r="C767" s="53" t="s">
        <v>64</v>
      </c>
      <c r="D767" s="26" t="s">
        <v>95</v>
      </c>
      <c r="E767" s="26" t="s">
        <v>39</v>
      </c>
      <c r="F767" s="28" t="e">
        <f ca="1">_xludf.ifna(VLOOKUP(G768,Proyectos!$E$1:$H$4,4,0),"")</f>
        <v>#NAME?</v>
      </c>
      <c r="G767" s="26" t="s">
        <v>5366</v>
      </c>
      <c r="H767" s="32">
        <v>0.2</v>
      </c>
      <c r="I767" s="31" t="s">
        <v>11</v>
      </c>
      <c r="J767" s="32"/>
      <c r="K767" s="32" t="str">
        <f t="shared" ref="K767:K1021" si="3">IF(E767="BBVA","Interno","Externo")</f>
        <v>Interno</v>
      </c>
      <c r="L767" s="32" t="e">
        <f ca="1">_xludf.ifna(VLOOKUP(G768,Proyectos!$E$1:$N$4,10,0),"")</f>
        <v>#NAME?</v>
      </c>
      <c r="M767" s="32"/>
      <c r="N767" s="32"/>
      <c r="O767" s="31"/>
      <c r="P767" s="33"/>
      <c r="Q767" s="33"/>
    </row>
    <row r="768" spans="1:17" ht="16.5" customHeight="1" x14ac:dyDescent="0.2">
      <c r="A768" s="26" t="s">
        <v>5774</v>
      </c>
      <c r="B768" s="26" t="s">
        <v>4662</v>
      </c>
      <c r="C768" s="53" t="s">
        <v>64</v>
      </c>
      <c r="D768" s="26" t="s">
        <v>95</v>
      </c>
      <c r="E768" s="26" t="s">
        <v>39</v>
      </c>
      <c r="F768" s="28" t="e">
        <f ca="1">_xludf.ifna(VLOOKUP(G769,Proyectos!$E$1:$H$4,4,0),"")</f>
        <v>#NAME?</v>
      </c>
      <c r="G768" s="26" t="s">
        <v>5649</v>
      </c>
      <c r="H768" s="32">
        <v>0.2</v>
      </c>
      <c r="I768" s="31" t="s">
        <v>11</v>
      </c>
      <c r="J768" s="32"/>
      <c r="K768" s="32" t="str">
        <f t="shared" si="3"/>
        <v>Interno</v>
      </c>
      <c r="L768" s="32" t="e">
        <f ca="1">_xludf.ifna(VLOOKUP(G769,Proyectos!$E$1:$N$4,10,0),"")</f>
        <v>#NAME?</v>
      </c>
      <c r="M768" s="32"/>
      <c r="N768" s="32"/>
      <c r="O768" s="31"/>
      <c r="P768" s="33"/>
      <c r="Q768" s="33"/>
    </row>
    <row r="769" spans="1:17" ht="16.5" customHeight="1" x14ac:dyDescent="0.2">
      <c r="A769" s="26" t="s">
        <v>5774</v>
      </c>
      <c r="B769" s="26" t="s">
        <v>4662</v>
      </c>
      <c r="C769" s="53" t="s">
        <v>64</v>
      </c>
      <c r="D769" s="26" t="s">
        <v>95</v>
      </c>
      <c r="E769" s="26" t="s">
        <v>39</v>
      </c>
      <c r="F769" s="28" t="e">
        <f ca="1">_xludf.ifna(VLOOKUP(G770,Proyectos!$E$1:$H$4,4,0),"")</f>
        <v>#NAME?</v>
      </c>
      <c r="G769" s="26" t="s">
        <v>5363</v>
      </c>
      <c r="H769" s="32">
        <v>0.2</v>
      </c>
      <c r="I769" s="31" t="s">
        <v>11</v>
      </c>
      <c r="J769" s="32"/>
      <c r="K769" s="32" t="str">
        <f t="shared" si="3"/>
        <v>Interno</v>
      </c>
      <c r="L769" s="32" t="e">
        <f ca="1">_xludf.ifna(VLOOKUP(G770,Proyectos!$E$1:$N$4,10,0),"")</f>
        <v>#NAME?</v>
      </c>
      <c r="M769" s="32"/>
      <c r="N769" s="32"/>
      <c r="O769" s="31"/>
      <c r="P769" s="33"/>
      <c r="Q769" s="33"/>
    </row>
    <row r="770" spans="1:17" ht="16.5" customHeight="1" x14ac:dyDescent="0.2">
      <c r="A770" s="26" t="s">
        <v>5774</v>
      </c>
      <c r="B770" s="26" t="s">
        <v>4662</v>
      </c>
      <c r="C770" s="53" t="s">
        <v>64</v>
      </c>
      <c r="D770" s="26" t="s">
        <v>95</v>
      </c>
      <c r="E770" s="26" t="s">
        <v>39</v>
      </c>
      <c r="F770" s="28" t="e">
        <f ca="1">_xludf.ifna(VLOOKUP(G771,Proyectos!$E$1:$H$4,4,0),"")</f>
        <v>#NAME?</v>
      </c>
      <c r="G770" s="26" t="s">
        <v>5364</v>
      </c>
      <c r="H770" s="32">
        <v>0.2</v>
      </c>
      <c r="I770" s="31" t="s">
        <v>11</v>
      </c>
      <c r="J770" s="32"/>
      <c r="K770" s="32" t="str">
        <f t="shared" si="3"/>
        <v>Interno</v>
      </c>
      <c r="L770" s="32" t="e">
        <f ca="1">_xludf.ifna(VLOOKUP(G771,Proyectos!$E$1:$N$4,10,0),"")</f>
        <v>#NAME?</v>
      </c>
      <c r="M770" s="32"/>
      <c r="N770" s="32"/>
      <c r="O770" s="31"/>
      <c r="P770" s="33"/>
      <c r="Q770" s="33"/>
    </row>
    <row r="771" spans="1:17" ht="16.5" customHeight="1" x14ac:dyDescent="0.2">
      <c r="A771" s="26" t="s">
        <v>5775</v>
      </c>
      <c r="B771" s="26" t="s">
        <v>5776</v>
      </c>
      <c r="C771" s="26" t="s">
        <v>115</v>
      </c>
      <c r="D771" s="26" t="s">
        <v>119</v>
      </c>
      <c r="E771" s="26" t="s">
        <v>135</v>
      </c>
      <c r="F771" s="28" t="e">
        <f ca="1">_xludf.ifna(VLOOKUP(G772,Proyectos!$E$1:$H$4,4,0),"")</f>
        <v>#NAME?</v>
      </c>
      <c r="G771" s="26" t="s">
        <v>5219</v>
      </c>
      <c r="H771" s="32">
        <v>0.3</v>
      </c>
      <c r="I771" s="31" t="s">
        <v>18</v>
      </c>
      <c r="J771" s="31" t="s">
        <v>5626</v>
      </c>
      <c r="K771" s="32" t="str">
        <f t="shared" si="3"/>
        <v>Externo</v>
      </c>
      <c r="L771" s="32" t="e">
        <f ca="1">_xludf.ifna(VLOOKUP(G772,Proyectos!$E$1:$N$4,10,0),"")</f>
        <v>#NAME?</v>
      </c>
      <c r="M771" s="32"/>
      <c r="N771" s="31"/>
      <c r="O771" s="31"/>
      <c r="P771" s="33"/>
      <c r="Q771" s="33"/>
    </row>
    <row r="772" spans="1:17" ht="16.5" customHeight="1" x14ac:dyDescent="0.2">
      <c r="A772" s="115" t="s">
        <v>3524</v>
      </c>
      <c r="B772" s="26" t="s">
        <v>3525</v>
      </c>
      <c r="C772" s="26" t="s">
        <v>64</v>
      </c>
      <c r="D772" s="26" t="s">
        <v>70</v>
      </c>
      <c r="E772" s="26" t="s">
        <v>39</v>
      </c>
      <c r="F772" s="28" t="e">
        <f ca="1">_xludf.ifna(VLOOKUP(G773,Proyectos!$E$1:$H$4,4,0),"")</f>
        <v>#NAME?</v>
      </c>
      <c r="G772" s="26" t="s">
        <v>5402</v>
      </c>
      <c r="H772" s="30">
        <v>0.6</v>
      </c>
      <c r="I772" s="31" t="s">
        <v>18</v>
      </c>
      <c r="J772" s="32"/>
      <c r="K772" s="32" t="str">
        <f t="shared" si="3"/>
        <v>Interno</v>
      </c>
      <c r="L772" s="32" t="e">
        <f ca="1">_xludf.ifna(VLOOKUP(G773,Proyectos!$E$1:$N$4,10,0),"")</f>
        <v>#NAME?</v>
      </c>
      <c r="M772" s="32"/>
      <c r="N772" s="32"/>
      <c r="O772" s="31"/>
      <c r="P772" s="33"/>
      <c r="Q772" s="33"/>
    </row>
    <row r="773" spans="1:17" ht="16.5" customHeight="1" x14ac:dyDescent="0.2">
      <c r="A773" s="115" t="s">
        <v>3524</v>
      </c>
      <c r="B773" s="26" t="s">
        <v>3525</v>
      </c>
      <c r="C773" s="26" t="s">
        <v>64</v>
      </c>
      <c r="D773" s="26" t="s">
        <v>70</v>
      </c>
      <c r="E773" s="26" t="s">
        <v>39</v>
      </c>
      <c r="F773" s="28" t="e">
        <f ca="1">_xludf.ifna(VLOOKUP(G774,Proyectos!$E$1:$H$4,4,0),"")</f>
        <v>#NAME?</v>
      </c>
      <c r="G773" s="26" t="s">
        <v>5597</v>
      </c>
      <c r="H773" s="30">
        <v>0.1</v>
      </c>
      <c r="I773" s="31" t="s">
        <v>18</v>
      </c>
      <c r="J773" s="32"/>
      <c r="K773" s="32" t="str">
        <f t="shared" si="3"/>
        <v>Interno</v>
      </c>
      <c r="L773" s="32" t="e">
        <f ca="1">_xludf.ifna(VLOOKUP(G774,Proyectos!$E$1:$N$4,10,0),"")</f>
        <v>#NAME?</v>
      </c>
      <c r="M773" s="32"/>
      <c r="N773" s="31"/>
      <c r="O773" s="31"/>
      <c r="P773" s="33"/>
      <c r="Q773" s="33"/>
    </row>
    <row r="774" spans="1:17" ht="16.5" customHeight="1" x14ac:dyDescent="0.2">
      <c r="A774" s="115" t="s">
        <v>3524</v>
      </c>
      <c r="B774" s="26" t="s">
        <v>3525</v>
      </c>
      <c r="C774" s="26" t="s">
        <v>64</v>
      </c>
      <c r="D774" s="26" t="s">
        <v>70</v>
      </c>
      <c r="E774" s="26" t="s">
        <v>39</v>
      </c>
      <c r="F774" s="28" t="e">
        <f ca="1">_xludf.ifna(VLOOKUP(G775,Proyectos!$E$1:$H$4,4,0),"")</f>
        <v>#NAME?</v>
      </c>
      <c r="G774" s="26" t="s">
        <v>5403</v>
      </c>
      <c r="H774" s="30">
        <v>0.3</v>
      </c>
      <c r="I774" s="31" t="s">
        <v>18</v>
      </c>
      <c r="J774" s="32"/>
      <c r="K774" s="32" t="str">
        <f t="shared" si="3"/>
        <v>Interno</v>
      </c>
      <c r="L774" s="32" t="e">
        <f ca="1">_xludf.ifna(VLOOKUP(G775,Proyectos!$E$1:$N$4,10,0),"")</f>
        <v>#NAME?</v>
      </c>
      <c r="M774" s="32"/>
      <c r="N774" s="32"/>
      <c r="O774" s="31"/>
      <c r="P774" s="33"/>
      <c r="Q774" s="33"/>
    </row>
    <row r="775" spans="1:17" ht="16.5" customHeight="1" x14ac:dyDescent="0.2">
      <c r="A775" s="26" t="s">
        <v>4489</v>
      </c>
      <c r="B775" s="26" t="s">
        <v>4490</v>
      </c>
      <c r="C775" s="26" t="s">
        <v>98</v>
      </c>
      <c r="D775" s="26" t="s">
        <v>102</v>
      </c>
      <c r="E775" s="26" t="s">
        <v>83</v>
      </c>
      <c r="F775" s="28" t="e">
        <f ca="1">_xludf.ifna(VLOOKUP(G776,Proyectos!$E$1:$H$4,4,0),"")</f>
        <v>#NAME?</v>
      </c>
      <c r="G775" s="27" t="s">
        <v>5112</v>
      </c>
      <c r="H775" s="32">
        <v>1</v>
      </c>
      <c r="I775" s="31" t="s">
        <v>25</v>
      </c>
      <c r="J775" s="32"/>
      <c r="K775" s="32" t="str">
        <f t="shared" si="3"/>
        <v>Externo</v>
      </c>
      <c r="L775" s="32" t="e">
        <f ca="1">_xludf.ifna(VLOOKUP(G776,Proyectos!$E$1:$N$4,10,0),"")</f>
        <v>#NAME?</v>
      </c>
      <c r="M775" s="32"/>
      <c r="N775" s="32"/>
      <c r="O775" s="31"/>
      <c r="P775" s="33"/>
      <c r="Q775" s="33"/>
    </row>
    <row r="776" spans="1:17" ht="16.5" customHeight="1" x14ac:dyDescent="0.2">
      <c r="A776" s="26" t="s">
        <v>3753</v>
      </c>
      <c r="B776" s="26" t="s">
        <v>3754</v>
      </c>
      <c r="C776" s="26" t="s">
        <v>98</v>
      </c>
      <c r="D776" s="26" t="s">
        <v>105</v>
      </c>
      <c r="E776" s="26" t="s">
        <v>39</v>
      </c>
      <c r="F776" s="28" t="e">
        <f ca="1">_xludf.ifna(VLOOKUP(G777,Proyectos!$E$1:$H$4,4,0),"")</f>
        <v>#NAME?</v>
      </c>
      <c r="G776" s="26" t="s">
        <v>5147</v>
      </c>
      <c r="H776" s="32">
        <v>0.25</v>
      </c>
      <c r="I776" s="31" t="s">
        <v>18</v>
      </c>
      <c r="J776" s="32"/>
      <c r="K776" s="32" t="str">
        <f t="shared" si="3"/>
        <v>Interno</v>
      </c>
      <c r="L776" s="32" t="e">
        <f ca="1">_xludf.ifna(VLOOKUP(G777,Proyectos!$E$1:$N$4,10,0),"")</f>
        <v>#NAME?</v>
      </c>
      <c r="M776" s="32"/>
      <c r="N776" s="32"/>
      <c r="O776" s="31"/>
      <c r="P776" s="33"/>
      <c r="Q776" s="33"/>
    </row>
    <row r="777" spans="1:17" ht="16.5" customHeight="1" x14ac:dyDescent="0.2">
      <c r="A777" s="26" t="s">
        <v>3753</v>
      </c>
      <c r="B777" s="26" t="s">
        <v>3754</v>
      </c>
      <c r="C777" s="26" t="s">
        <v>98</v>
      </c>
      <c r="D777" s="26" t="s">
        <v>105</v>
      </c>
      <c r="E777" s="26" t="s">
        <v>39</v>
      </c>
      <c r="F777" s="28" t="e">
        <f ca="1">_xludf.ifna(VLOOKUP(G778,Proyectos!$E$1:$H$4,4,0),"")</f>
        <v>#NAME?</v>
      </c>
      <c r="G777" s="26" t="s">
        <v>5116</v>
      </c>
      <c r="H777" s="32">
        <v>0.75</v>
      </c>
      <c r="I777" s="31" t="s">
        <v>18</v>
      </c>
      <c r="J777" s="32"/>
      <c r="K777" s="32" t="str">
        <f t="shared" si="3"/>
        <v>Interno</v>
      </c>
      <c r="L777" s="32" t="e">
        <f ca="1">_xludf.ifna(VLOOKUP(G778,Proyectos!$E$1:$N$4,10,0),"")</f>
        <v>#NAME?</v>
      </c>
      <c r="M777" s="32"/>
      <c r="N777" s="32"/>
      <c r="O777" s="31"/>
      <c r="P777" s="33"/>
      <c r="Q777" s="33"/>
    </row>
    <row r="778" spans="1:17" ht="16.5" customHeight="1" x14ac:dyDescent="0.2">
      <c r="A778" s="26" t="s">
        <v>4229</v>
      </c>
      <c r="B778" s="26" t="s">
        <v>4230</v>
      </c>
      <c r="C778" s="26" t="s">
        <v>98</v>
      </c>
      <c r="D778" s="26" t="s">
        <v>110</v>
      </c>
      <c r="E778" s="26" t="s">
        <v>126</v>
      </c>
      <c r="F778" s="28" t="e">
        <f ca="1">_xludf.ifna(VLOOKUP(G779,Proyectos!$E$1:$H$4,4,0),"")</f>
        <v>#NAME?</v>
      </c>
      <c r="G778" s="26" t="s">
        <v>5243</v>
      </c>
      <c r="H778" s="32">
        <v>1</v>
      </c>
      <c r="I778" s="31" t="s">
        <v>18</v>
      </c>
      <c r="J778" s="32"/>
      <c r="K778" s="32" t="str">
        <f t="shared" si="3"/>
        <v>Externo</v>
      </c>
      <c r="L778" s="32" t="e">
        <f ca="1">_xludf.ifna(VLOOKUP(G779,Proyectos!$E$1:$N$4,10,0),"")</f>
        <v>#NAME?</v>
      </c>
      <c r="M778" s="32"/>
      <c r="N778" s="32"/>
      <c r="O778" s="31"/>
      <c r="P778" s="33"/>
      <c r="Q778" s="33"/>
    </row>
    <row r="779" spans="1:17" ht="16.5" customHeight="1" x14ac:dyDescent="0.2">
      <c r="A779" s="35" t="s">
        <v>4853</v>
      </c>
      <c r="B779" s="26" t="s">
        <v>5400</v>
      </c>
      <c r="C779" s="26" t="s">
        <v>64</v>
      </c>
      <c r="D779" s="26" t="s">
        <v>82</v>
      </c>
      <c r="E779" s="35" t="s">
        <v>106</v>
      </c>
      <c r="F779" s="28" t="e">
        <f ca="1">_xludf.ifna(VLOOKUP(G780,Proyectos!$E$1:$H$4,4,0),"")</f>
        <v>#NAME?</v>
      </c>
      <c r="G779" s="26" t="s">
        <v>5387</v>
      </c>
      <c r="H779" s="32">
        <v>1</v>
      </c>
      <c r="I779" s="31" t="s">
        <v>18</v>
      </c>
      <c r="J779" s="32"/>
      <c r="K779" s="32" t="str">
        <f t="shared" si="3"/>
        <v>Externo</v>
      </c>
      <c r="L779" s="32" t="e">
        <f ca="1">_xludf.ifna(VLOOKUP(G780,Proyectos!$E$1:$N$4,10,0),"")</f>
        <v>#NAME?</v>
      </c>
      <c r="M779" s="32"/>
      <c r="N779" s="32"/>
      <c r="O779" s="31"/>
      <c r="P779" s="33"/>
      <c r="Q779" s="33"/>
    </row>
    <row r="780" spans="1:17" ht="16.5" customHeight="1" x14ac:dyDescent="0.2">
      <c r="A780" s="26" t="s">
        <v>5777</v>
      </c>
      <c r="B780" s="26" t="s">
        <v>5778</v>
      </c>
      <c r="C780" s="26" t="s">
        <v>115</v>
      </c>
      <c r="D780" s="26" t="s">
        <v>116</v>
      </c>
      <c r="E780" s="26" t="s">
        <v>9</v>
      </c>
      <c r="F780" s="28" t="e">
        <f ca="1">_xludf.ifna(VLOOKUP(G781,Proyectos!$E$1:$H$4,4,0),"")</f>
        <v>#NAME?</v>
      </c>
      <c r="G780" s="26" t="s">
        <v>5318</v>
      </c>
      <c r="H780" s="32">
        <v>1</v>
      </c>
      <c r="I780" s="31" t="s">
        <v>18</v>
      </c>
      <c r="J780" s="32"/>
      <c r="K780" s="32" t="str">
        <f t="shared" si="3"/>
        <v>Externo</v>
      </c>
      <c r="L780" s="32" t="e">
        <f ca="1">_xludf.ifna(VLOOKUP(G781,Proyectos!$E$1:$N$4,10,0),"")</f>
        <v>#NAME?</v>
      </c>
      <c r="M780" s="32"/>
      <c r="N780" s="32"/>
      <c r="O780" s="31"/>
      <c r="P780" s="33"/>
      <c r="Q780" s="33"/>
    </row>
    <row r="781" spans="1:17" ht="16.5" customHeight="1" x14ac:dyDescent="0.2">
      <c r="A781" s="26" t="s">
        <v>4607</v>
      </c>
      <c r="B781" s="26" t="s">
        <v>5779</v>
      </c>
      <c r="C781" s="35" t="s">
        <v>7</v>
      </c>
      <c r="D781" s="35" t="s">
        <v>8</v>
      </c>
      <c r="E781" s="35" t="s">
        <v>39</v>
      </c>
      <c r="F781" s="28" t="e">
        <f ca="1">_xludf.ifna(VLOOKUP(G782,Proyectos!$E$1:$H$4,4,0),"")</f>
        <v>#NAME?</v>
      </c>
      <c r="G781" s="26" t="s">
        <v>5597</v>
      </c>
      <c r="H781" s="30">
        <v>1</v>
      </c>
      <c r="I781" s="31" t="s">
        <v>18</v>
      </c>
      <c r="J781" s="30"/>
      <c r="K781" s="32" t="str">
        <f t="shared" si="3"/>
        <v>Interno</v>
      </c>
      <c r="L781" s="32" t="e">
        <f ca="1">_xludf.ifna(VLOOKUP(G782,Proyectos!$E$1:$N$4,10,0),"")</f>
        <v>#NAME?</v>
      </c>
      <c r="M781" s="32"/>
      <c r="N781" s="31"/>
      <c r="O781" s="31"/>
      <c r="P781" s="33"/>
      <c r="Q781" s="33"/>
    </row>
    <row r="782" spans="1:17" ht="16.5" customHeight="1" x14ac:dyDescent="0.2">
      <c r="A782" s="26" t="s">
        <v>4687</v>
      </c>
      <c r="B782" s="26" t="s">
        <v>4688</v>
      </c>
      <c r="C782" s="26" t="s">
        <v>37</v>
      </c>
      <c r="D782" s="26" t="s">
        <v>38</v>
      </c>
      <c r="E782" s="26" t="s">
        <v>39</v>
      </c>
      <c r="F782" s="28" t="e">
        <f ca="1">_xludf.ifna(VLOOKUP(G783,Proyectos!$E$1:$H$4,4,0),"")</f>
        <v>#NAME?</v>
      </c>
      <c r="G782" s="26" t="s">
        <v>5336</v>
      </c>
      <c r="H782" s="32">
        <v>0.5</v>
      </c>
      <c r="I782" s="31" t="s">
        <v>18</v>
      </c>
      <c r="J782" s="32"/>
      <c r="K782" s="32" t="str">
        <f t="shared" si="3"/>
        <v>Interno</v>
      </c>
      <c r="L782" s="32" t="e">
        <f ca="1">_xludf.ifna(VLOOKUP(G783,Proyectos!$E$1:$N$4,10,0),"")</f>
        <v>#NAME?</v>
      </c>
      <c r="M782" s="32"/>
      <c r="N782" s="31"/>
      <c r="O782" s="31"/>
      <c r="P782" s="33"/>
      <c r="Q782" s="33"/>
    </row>
    <row r="783" spans="1:17" ht="16.5" customHeight="1" x14ac:dyDescent="0.2">
      <c r="A783" s="26" t="s">
        <v>4687</v>
      </c>
      <c r="B783" s="26" t="s">
        <v>4688</v>
      </c>
      <c r="C783" s="26" t="s">
        <v>37</v>
      </c>
      <c r="D783" s="26" t="s">
        <v>38</v>
      </c>
      <c r="E783" s="26" t="s">
        <v>39</v>
      </c>
      <c r="F783" s="28" t="e">
        <f ca="1">_xludf.ifna(VLOOKUP(G784,Proyectos!$E$1:$H$4,4,0),"")</f>
        <v>#NAME?</v>
      </c>
      <c r="G783" s="26" t="s">
        <v>5341</v>
      </c>
      <c r="H783" s="32">
        <v>0.25</v>
      </c>
      <c r="I783" s="31" t="s">
        <v>18</v>
      </c>
      <c r="J783" s="32"/>
      <c r="K783" s="32" t="str">
        <f t="shared" si="3"/>
        <v>Interno</v>
      </c>
      <c r="L783" s="32" t="e">
        <f ca="1">_xludf.ifna(VLOOKUP(G784,Proyectos!$E$1:$N$4,10,0),"")</f>
        <v>#NAME?</v>
      </c>
      <c r="M783" s="32"/>
      <c r="N783" s="31"/>
      <c r="O783" s="31"/>
      <c r="P783" s="33"/>
      <c r="Q783" s="33"/>
    </row>
    <row r="784" spans="1:17" ht="16.5" customHeight="1" x14ac:dyDescent="0.2">
      <c r="A784" s="26" t="s">
        <v>4687</v>
      </c>
      <c r="B784" s="26" t="s">
        <v>4688</v>
      </c>
      <c r="C784" s="26" t="s">
        <v>37</v>
      </c>
      <c r="D784" s="26" t="s">
        <v>38</v>
      </c>
      <c r="E784" s="26" t="s">
        <v>39</v>
      </c>
      <c r="F784" s="28" t="e">
        <f ca="1">_xludf.ifna(VLOOKUP(G785,Proyectos!$E$1:$H$4,4,0),"")</f>
        <v>#NAME?</v>
      </c>
      <c r="G784" s="26" t="s">
        <v>5337</v>
      </c>
      <c r="H784" s="32">
        <v>0.25</v>
      </c>
      <c r="I784" s="31" t="s">
        <v>18</v>
      </c>
      <c r="J784" s="32"/>
      <c r="K784" s="32" t="str">
        <f t="shared" si="3"/>
        <v>Interno</v>
      </c>
      <c r="L784" s="32" t="e">
        <f ca="1">_xludf.ifna(VLOOKUP(G785,Proyectos!$E$1:$N$4,10,0),"")</f>
        <v>#NAME?</v>
      </c>
      <c r="M784" s="32"/>
      <c r="N784" s="31"/>
      <c r="O784" s="31"/>
      <c r="P784" s="33"/>
      <c r="Q784" s="33"/>
    </row>
    <row r="785" spans="1:17" ht="16.5" customHeight="1" x14ac:dyDescent="0.2">
      <c r="A785" s="26" t="s">
        <v>4730</v>
      </c>
      <c r="B785" s="26" t="s">
        <v>5780</v>
      </c>
      <c r="C785" s="26" t="s">
        <v>64</v>
      </c>
      <c r="D785" s="26" t="s">
        <v>95</v>
      </c>
      <c r="E785" s="26" t="s">
        <v>39</v>
      </c>
      <c r="F785" s="28" t="e">
        <f ca="1">_xludf.ifna(VLOOKUP(G786,Proyectos!$E$1:$H$4,4,0),"")</f>
        <v>#NAME?</v>
      </c>
      <c r="G785" s="26" t="s">
        <v>5366</v>
      </c>
      <c r="H785" s="32">
        <v>1</v>
      </c>
      <c r="I785" s="31" t="s">
        <v>18</v>
      </c>
      <c r="J785" s="32"/>
      <c r="K785" s="32" t="str">
        <f t="shared" si="3"/>
        <v>Interno</v>
      </c>
      <c r="L785" s="32" t="e">
        <f ca="1">_xludf.ifna(VLOOKUP(G786,Proyectos!$E$1:$N$4,10,0),"")</f>
        <v>#NAME?</v>
      </c>
      <c r="M785" s="32"/>
      <c r="N785" s="32"/>
      <c r="O785" s="31"/>
      <c r="P785" s="33"/>
      <c r="Q785" s="33"/>
    </row>
    <row r="786" spans="1:17" ht="16.5" customHeight="1" x14ac:dyDescent="0.2">
      <c r="A786" s="35" t="s">
        <v>3698</v>
      </c>
      <c r="B786" s="26" t="s">
        <v>5781</v>
      </c>
      <c r="C786" s="26" t="s">
        <v>64</v>
      </c>
      <c r="D786" s="26" t="s">
        <v>82</v>
      </c>
      <c r="E786" s="35" t="s">
        <v>39</v>
      </c>
      <c r="F786" s="28" t="e">
        <f ca="1">_xludf.ifna(VLOOKUP(G787,Proyectos!$E$1:$H$4,4,0),"")</f>
        <v>#NAME?</v>
      </c>
      <c r="G786" s="26" t="s">
        <v>5597</v>
      </c>
      <c r="H786" s="32">
        <v>1</v>
      </c>
      <c r="I786" s="31" t="s">
        <v>18</v>
      </c>
      <c r="J786" s="32"/>
      <c r="K786" s="32" t="str">
        <f t="shared" si="3"/>
        <v>Interno</v>
      </c>
      <c r="L786" s="32" t="e">
        <f ca="1">_xludf.ifna(VLOOKUP(G787,Proyectos!$E$1:$N$4,10,0),"")</f>
        <v>#NAME?</v>
      </c>
      <c r="M786" s="32"/>
      <c r="N786" s="31"/>
      <c r="O786" s="31"/>
      <c r="P786" s="33"/>
      <c r="Q786" s="33"/>
    </row>
    <row r="787" spans="1:17" ht="16.5" customHeight="1" x14ac:dyDescent="0.2">
      <c r="A787" s="26" t="s">
        <v>3598</v>
      </c>
      <c r="B787" s="26" t="s">
        <v>3599</v>
      </c>
      <c r="C787" s="26" t="s">
        <v>37</v>
      </c>
      <c r="D787" s="26" t="s">
        <v>45</v>
      </c>
      <c r="E787" s="26" t="s">
        <v>39</v>
      </c>
      <c r="F787" s="28" t="e">
        <f ca="1">_xludf.ifna(VLOOKUP(G788,Proyectos!$E$1:$H$4,4,0),"")</f>
        <v>#NAME?</v>
      </c>
      <c r="G787" s="26" t="s">
        <v>5597</v>
      </c>
      <c r="H787" s="32">
        <v>1</v>
      </c>
      <c r="I787" s="31" t="s">
        <v>18</v>
      </c>
      <c r="J787" s="32"/>
      <c r="K787" s="32" t="str">
        <f t="shared" si="3"/>
        <v>Interno</v>
      </c>
      <c r="L787" s="32" t="e">
        <f ca="1">_xludf.ifna(VLOOKUP(G788,Proyectos!$E$1:$N$4,10,0),"")</f>
        <v>#NAME?</v>
      </c>
      <c r="M787" s="32"/>
      <c r="N787" s="31"/>
      <c r="O787" s="31"/>
      <c r="P787" s="33"/>
      <c r="Q787" s="33"/>
    </row>
    <row r="788" spans="1:17" ht="16.5" customHeight="1" x14ac:dyDescent="0.2">
      <c r="A788" s="26" t="s">
        <v>3702</v>
      </c>
      <c r="B788" s="26" t="s">
        <v>3703</v>
      </c>
      <c r="C788" s="26" t="s">
        <v>64</v>
      </c>
      <c r="D788" s="26" t="s">
        <v>78</v>
      </c>
      <c r="E788" s="26" t="s">
        <v>39</v>
      </c>
      <c r="F788" s="28" t="e">
        <f ca="1">_xludf.ifna(VLOOKUP(G789,Proyectos!$E$1:$H$4,4,0),"")</f>
        <v>#NAME?</v>
      </c>
      <c r="G788" s="26" t="s">
        <v>5411</v>
      </c>
      <c r="H788" s="30">
        <v>1</v>
      </c>
      <c r="I788" s="31" t="s">
        <v>18</v>
      </c>
      <c r="J788" s="32"/>
      <c r="K788" s="32" t="str">
        <f t="shared" si="3"/>
        <v>Interno</v>
      </c>
      <c r="L788" s="32" t="e">
        <f ca="1">_xludf.ifna(VLOOKUP(G789,Proyectos!$E$1:$N$4,10,0),"")</f>
        <v>#NAME?</v>
      </c>
      <c r="M788" s="32"/>
      <c r="N788" s="32"/>
      <c r="O788" s="31"/>
      <c r="P788" s="33"/>
      <c r="Q788" s="33"/>
    </row>
    <row r="789" spans="1:17" ht="16.5" customHeight="1" x14ac:dyDescent="0.2">
      <c r="A789" s="26" t="s">
        <v>3856</v>
      </c>
      <c r="B789" s="26" t="s">
        <v>3857</v>
      </c>
      <c r="C789" s="26" t="s">
        <v>98</v>
      </c>
      <c r="D789" s="26" t="s">
        <v>110</v>
      </c>
      <c r="E789" s="26" t="s">
        <v>39</v>
      </c>
      <c r="F789" s="28" t="e">
        <f ca="1">_xludf.ifna(VLOOKUP(G790,Proyectos!$E$1:$H$4,4,0),"")</f>
        <v>#NAME?</v>
      </c>
      <c r="G789" s="26" t="s">
        <v>5240</v>
      </c>
      <c r="H789" s="32">
        <v>1</v>
      </c>
      <c r="I789" s="31" t="s">
        <v>18</v>
      </c>
      <c r="J789" s="32"/>
      <c r="K789" s="32" t="str">
        <f t="shared" si="3"/>
        <v>Interno</v>
      </c>
      <c r="L789" s="32" t="e">
        <f ca="1">_xludf.ifna(VLOOKUP(G790,Proyectos!$E$1:$N$4,10,0),"")</f>
        <v>#NAME?</v>
      </c>
      <c r="M789" s="32"/>
      <c r="N789" s="32"/>
      <c r="O789" s="31"/>
      <c r="P789" s="33"/>
      <c r="Q789" s="33"/>
    </row>
    <row r="790" spans="1:17" ht="16.5" customHeight="1" x14ac:dyDescent="0.2">
      <c r="A790" s="26" t="s">
        <v>3582</v>
      </c>
      <c r="B790" s="26" t="s">
        <v>3583</v>
      </c>
      <c r="C790" s="26" t="s">
        <v>98</v>
      </c>
      <c r="D790" s="26" t="s">
        <v>105</v>
      </c>
      <c r="E790" s="26" t="s">
        <v>39</v>
      </c>
      <c r="F790" s="28" t="e">
        <f ca="1">_xludf.ifna(VLOOKUP(G791,Proyectos!$E$1:$H$4,4,0),"")</f>
        <v>#NAME?</v>
      </c>
      <c r="G790" s="26" t="s">
        <v>5145</v>
      </c>
      <c r="H790" s="32">
        <v>1</v>
      </c>
      <c r="I790" s="31" t="s">
        <v>18</v>
      </c>
      <c r="J790" s="32"/>
      <c r="K790" s="32" t="str">
        <f t="shared" si="3"/>
        <v>Interno</v>
      </c>
      <c r="L790" s="32" t="e">
        <f ca="1">_xludf.ifna(VLOOKUP(G791,Proyectos!$E$1:$N$4,10,0),"")</f>
        <v>#NAME?</v>
      </c>
      <c r="M790" s="32"/>
      <c r="N790" s="32"/>
      <c r="O790" s="31"/>
      <c r="P790" s="33"/>
      <c r="Q790" s="33"/>
    </row>
    <row r="791" spans="1:17" ht="16.5" customHeight="1" x14ac:dyDescent="0.2">
      <c r="A791" s="26" t="s">
        <v>4350</v>
      </c>
      <c r="B791" s="26" t="s">
        <v>5782</v>
      </c>
      <c r="C791" s="26" t="s">
        <v>115</v>
      </c>
      <c r="D791" s="26" t="s">
        <v>116</v>
      </c>
      <c r="E791" s="26" t="s">
        <v>83</v>
      </c>
      <c r="F791" s="28" t="e">
        <f ca="1">_xludf.ifna(VLOOKUP(G792,Proyectos!$E$1:$H$4,4,0),"")</f>
        <v>#NAME?</v>
      </c>
      <c r="G791" s="26" t="s">
        <v>5324</v>
      </c>
      <c r="H791" s="32">
        <v>1</v>
      </c>
      <c r="I791" s="31" t="s">
        <v>25</v>
      </c>
      <c r="J791" s="32"/>
      <c r="K791" s="32" t="str">
        <f t="shared" si="3"/>
        <v>Externo</v>
      </c>
      <c r="L791" s="32" t="e">
        <f ca="1">_xludf.ifna(VLOOKUP(G792,Proyectos!$E$1:$N$4,10,0),"")</f>
        <v>#NAME?</v>
      </c>
      <c r="M791" s="32"/>
      <c r="N791" s="32"/>
      <c r="O791" s="31"/>
      <c r="P791" s="33"/>
      <c r="Q791" s="33"/>
    </row>
    <row r="792" spans="1:17" ht="16.5" customHeight="1" x14ac:dyDescent="0.2">
      <c r="A792" s="26" t="s">
        <v>4120</v>
      </c>
      <c r="B792" s="26" t="s">
        <v>4121</v>
      </c>
      <c r="C792" s="26" t="s">
        <v>115</v>
      </c>
      <c r="D792" s="26" t="s">
        <v>116</v>
      </c>
      <c r="E792" s="26" t="s">
        <v>108</v>
      </c>
      <c r="F792" s="28" t="e">
        <f ca="1">_xludf.ifna(VLOOKUP(G793,Proyectos!$E$1:$H$4,4,0),"")</f>
        <v>#NAME?</v>
      </c>
      <c r="G792" s="26" t="s">
        <v>5325</v>
      </c>
      <c r="H792" s="32">
        <v>1</v>
      </c>
      <c r="I792" s="31" t="s">
        <v>18</v>
      </c>
      <c r="J792" s="32"/>
      <c r="K792" s="32" t="str">
        <f t="shared" si="3"/>
        <v>Externo</v>
      </c>
      <c r="L792" s="32" t="e">
        <f ca="1">_xludf.ifna(VLOOKUP(G793,Proyectos!$E$1:$N$4,10,0),"")</f>
        <v>#NAME?</v>
      </c>
      <c r="M792" s="32"/>
      <c r="N792" s="32"/>
      <c r="O792" s="31"/>
      <c r="P792" s="33"/>
      <c r="Q792" s="33"/>
    </row>
    <row r="793" spans="1:17" ht="16.5" customHeight="1" x14ac:dyDescent="0.2">
      <c r="A793" s="26" t="s">
        <v>4249</v>
      </c>
      <c r="B793" s="26" t="s">
        <v>5783</v>
      </c>
      <c r="C793" s="26" t="s">
        <v>7</v>
      </c>
      <c r="D793" s="26" t="s">
        <v>16</v>
      </c>
      <c r="E793" s="26" t="s">
        <v>87</v>
      </c>
      <c r="F793" s="28" t="e">
        <f ca="1">_xludf.ifna(VLOOKUP(G794,Proyectos!$E$1:$H$4,4,0),"")</f>
        <v>#NAME?</v>
      </c>
      <c r="G793" s="26" t="s">
        <v>5239</v>
      </c>
      <c r="H793" s="65">
        <v>0.7</v>
      </c>
      <c r="I793" s="31" t="s">
        <v>25</v>
      </c>
      <c r="J793" s="32"/>
      <c r="K793" s="32" t="str">
        <f t="shared" si="3"/>
        <v>Externo</v>
      </c>
      <c r="L793" s="32" t="e">
        <f ca="1">_xludf.ifna(VLOOKUP(G794,Proyectos!$E$1:$N$4,10,0),"")</f>
        <v>#NAME?</v>
      </c>
      <c r="M793" s="32"/>
      <c r="N793" s="31"/>
      <c r="O793" s="31"/>
      <c r="P793" s="33"/>
      <c r="Q793" s="33"/>
    </row>
    <row r="794" spans="1:17" ht="16.5" customHeight="1" x14ac:dyDescent="0.2">
      <c r="A794" s="26" t="s">
        <v>4249</v>
      </c>
      <c r="B794" s="26" t="s">
        <v>5783</v>
      </c>
      <c r="C794" s="26" t="s">
        <v>7</v>
      </c>
      <c r="D794" s="26" t="s">
        <v>16</v>
      </c>
      <c r="E794" s="26" t="s">
        <v>87</v>
      </c>
      <c r="F794" s="28" t="e">
        <f ca="1">_xludf.ifna(VLOOKUP(G795,Proyectos!$E$1:$H$4,4,0),"")</f>
        <v>#NAME?</v>
      </c>
      <c r="G794" s="26" t="s">
        <v>5221</v>
      </c>
      <c r="H794" s="65">
        <v>0.3</v>
      </c>
      <c r="I794" s="31" t="s">
        <v>25</v>
      </c>
      <c r="J794" s="32"/>
      <c r="K794" s="32" t="str">
        <f t="shared" si="3"/>
        <v>Externo</v>
      </c>
      <c r="L794" s="32" t="e">
        <f ca="1">_xludf.ifna(VLOOKUP(G795,Proyectos!$E$1:$N$4,10,0),"")</f>
        <v>#NAME?</v>
      </c>
      <c r="M794" s="32"/>
      <c r="N794" s="31"/>
      <c r="O794" s="31"/>
      <c r="P794" s="33"/>
      <c r="Q794" s="33"/>
    </row>
    <row r="795" spans="1:17" ht="16.5" customHeight="1" x14ac:dyDescent="0.2">
      <c r="A795" s="26" t="s">
        <v>4637</v>
      </c>
      <c r="B795" s="26" t="s">
        <v>4638</v>
      </c>
      <c r="C795" s="53" t="s">
        <v>64</v>
      </c>
      <c r="D795" s="26" t="s">
        <v>92</v>
      </c>
      <c r="E795" s="53" t="s">
        <v>39</v>
      </c>
      <c r="F795" s="28" t="e">
        <f ca="1">_xludf.ifna(VLOOKUP(G796,Proyectos!$E$1:$H$4,4,0),"")</f>
        <v>#NAME?</v>
      </c>
      <c r="G795" s="26" t="s">
        <v>5282</v>
      </c>
      <c r="H795" s="32">
        <v>1</v>
      </c>
      <c r="I795" s="31" t="s">
        <v>18</v>
      </c>
      <c r="J795" s="32"/>
      <c r="K795" s="32" t="str">
        <f t="shared" si="3"/>
        <v>Interno</v>
      </c>
      <c r="L795" s="32" t="e">
        <f ca="1">_xludf.ifna(VLOOKUP(G796,Proyectos!$E$1:$N$4,10,0),"")</f>
        <v>#NAME?</v>
      </c>
      <c r="M795" s="32"/>
      <c r="N795" s="32"/>
      <c r="O795" s="31"/>
      <c r="P795" s="33"/>
      <c r="Q795" s="33"/>
    </row>
    <row r="796" spans="1:17" ht="16.5" customHeight="1" x14ac:dyDescent="0.2">
      <c r="A796" s="26" t="s">
        <v>3937</v>
      </c>
      <c r="B796" s="26" t="s">
        <v>3938</v>
      </c>
      <c r="C796" s="26" t="s">
        <v>37</v>
      </c>
      <c r="D796" s="26" t="s">
        <v>38</v>
      </c>
      <c r="E796" s="26" t="s">
        <v>129</v>
      </c>
      <c r="F796" s="28" t="e">
        <f ca="1">_xludf.ifna(VLOOKUP(G797,Proyectos!$E$1:$H$4,4,0),"")</f>
        <v>#NAME?</v>
      </c>
      <c r="G796" s="26" t="s">
        <v>5346</v>
      </c>
      <c r="H796" s="32">
        <v>1</v>
      </c>
      <c r="I796" s="31" t="s">
        <v>18</v>
      </c>
      <c r="J796" s="32"/>
      <c r="K796" s="32" t="str">
        <f t="shared" si="3"/>
        <v>Externo</v>
      </c>
      <c r="L796" s="32" t="e">
        <f ca="1">_xludf.ifna(VLOOKUP(G797,Proyectos!$E$1:$N$4,10,0),"")</f>
        <v>#NAME?</v>
      </c>
      <c r="M796" s="32"/>
      <c r="N796" s="31"/>
      <c r="O796" s="31"/>
      <c r="P796" s="33"/>
      <c r="Q796" s="33"/>
    </row>
    <row r="797" spans="1:17" ht="16.5" customHeight="1" x14ac:dyDescent="0.2">
      <c r="A797" s="26" t="s">
        <v>5067</v>
      </c>
      <c r="B797" s="26" t="s">
        <v>5140</v>
      </c>
      <c r="C797" s="26" t="s">
        <v>98</v>
      </c>
      <c r="D797" s="26" t="s">
        <v>99</v>
      </c>
      <c r="E797" s="26" t="s">
        <v>129</v>
      </c>
      <c r="F797" s="28" t="e">
        <f ca="1">_xludf.ifna(VLOOKUP(G798,Proyectos!$E$1:$H$4,4,0),"")</f>
        <v>#NAME?</v>
      </c>
      <c r="G797" s="26" t="s">
        <v>5597</v>
      </c>
      <c r="H797" s="32">
        <v>0.5</v>
      </c>
      <c r="I797" s="31" t="s">
        <v>18</v>
      </c>
      <c r="J797" s="31" t="s">
        <v>5784</v>
      </c>
      <c r="K797" s="32" t="str">
        <f t="shared" si="3"/>
        <v>Externo</v>
      </c>
      <c r="L797" s="32" t="e">
        <f ca="1">_xludf.ifna(VLOOKUP(G798,Proyectos!$E$1:$N$4,10,0),"")</f>
        <v>#NAME?</v>
      </c>
      <c r="M797" s="32"/>
      <c r="N797" s="32"/>
      <c r="O797" s="31"/>
      <c r="P797" s="33"/>
      <c r="Q797" s="33"/>
    </row>
    <row r="798" spans="1:17" ht="16.5" customHeight="1" x14ac:dyDescent="0.2">
      <c r="A798" s="26" t="s">
        <v>3852</v>
      </c>
      <c r="B798" s="26" t="s">
        <v>3853</v>
      </c>
      <c r="C798" s="26" t="s">
        <v>115</v>
      </c>
      <c r="D798" s="26" t="s">
        <v>119</v>
      </c>
      <c r="E798" s="26" t="s">
        <v>39</v>
      </c>
      <c r="F798" s="28" t="e">
        <f ca="1">_xludf.ifna(VLOOKUP(G799,Proyectos!$E$1:$H$4,4,0),"")</f>
        <v>#NAME?</v>
      </c>
      <c r="G798" s="26" t="s">
        <v>5225</v>
      </c>
      <c r="H798" s="32">
        <v>0.5</v>
      </c>
      <c r="I798" s="31" t="s">
        <v>18</v>
      </c>
      <c r="J798" s="32"/>
      <c r="K798" s="32" t="str">
        <f t="shared" si="3"/>
        <v>Interno</v>
      </c>
      <c r="L798" s="32" t="e">
        <f ca="1">_xludf.ifna(VLOOKUP(G799,Proyectos!$E$1:$N$4,10,0),"")</f>
        <v>#NAME?</v>
      </c>
      <c r="M798" s="32"/>
      <c r="N798" s="31"/>
      <c r="O798" s="31"/>
      <c r="P798" s="33"/>
      <c r="Q798" s="33"/>
    </row>
    <row r="799" spans="1:17" ht="16.5" customHeight="1" x14ac:dyDescent="0.2">
      <c r="A799" s="26" t="s">
        <v>3852</v>
      </c>
      <c r="B799" s="26" t="s">
        <v>3853</v>
      </c>
      <c r="C799" s="26" t="s">
        <v>115</v>
      </c>
      <c r="D799" s="26" t="s">
        <v>119</v>
      </c>
      <c r="E799" s="26" t="s">
        <v>39</v>
      </c>
      <c r="F799" s="28" t="e">
        <f ca="1">_xludf.ifna(VLOOKUP(G800,Proyectos!$E$1:$H$4,4,0),"")</f>
        <v>#NAME?</v>
      </c>
      <c r="G799" s="26" t="s">
        <v>5116</v>
      </c>
      <c r="H799" s="32">
        <v>0.5</v>
      </c>
      <c r="I799" s="31" t="s">
        <v>18</v>
      </c>
      <c r="J799" s="32"/>
      <c r="K799" s="32" t="str">
        <f t="shared" si="3"/>
        <v>Interno</v>
      </c>
      <c r="L799" s="32" t="e">
        <f ca="1">_xludf.ifna(VLOOKUP(G800,Proyectos!$E$1:$N$4,10,0),"")</f>
        <v>#NAME?</v>
      </c>
      <c r="M799" s="32"/>
      <c r="N799" s="32"/>
      <c r="O799" s="31"/>
      <c r="P799" s="33"/>
      <c r="Q799" s="33"/>
    </row>
    <row r="800" spans="1:17" ht="16.5" customHeight="1" x14ac:dyDescent="0.2">
      <c r="A800" s="84" t="s">
        <v>3807</v>
      </c>
      <c r="B800" s="26" t="s">
        <v>3808</v>
      </c>
      <c r="C800" s="26" t="s">
        <v>115</v>
      </c>
      <c r="D800" s="26" t="s">
        <v>122</v>
      </c>
      <c r="E800" s="26" t="s">
        <v>39</v>
      </c>
      <c r="F800" s="28" t="e">
        <f ca="1">_xludf.ifna(VLOOKUP(G801,Proyectos!$E$1:$H$4,4,0),"")</f>
        <v>#NAME?</v>
      </c>
      <c r="G800" s="26" t="s">
        <v>5588</v>
      </c>
      <c r="H800" s="32">
        <v>0.2</v>
      </c>
      <c r="I800" s="31" t="s">
        <v>18</v>
      </c>
      <c r="J800" s="32"/>
      <c r="K800" s="32" t="str">
        <f t="shared" si="3"/>
        <v>Interno</v>
      </c>
      <c r="L800" s="32" t="e">
        <f ca="1">_xludf.ifna(VLOOKUP(G801,Proyectos!$E$1:$N$4,10,0),"")</f>
        <v>#NAME?</v>
      </c>
      <c r="M800" s="32"/>
      <c r="N800" s="32"/>
      <c r="O800" s="31"/>
      <c r="P800" s="33"/>
      <c r="Q800" s="33"/>
    </row>
    <row r="801" spans="1:17" ht="16.5" customHeight="1" x14ac:dyDescent="0.2">
      <c r="A801" s="84" t="s">
        <v>3807</v>
      </c>
      <c r="B801" s="26" t="s">
        <v>3808</v>
      </c>
      <c r="C801" s="26" t="s">
        <v>115</v>
      </c>
      <c r="D801" s="26" t="s">
        <v>122</v>
      </c>
      <c r="E801" s="26" t="s">
        <v>39</v>
      </c>
      <c r="F801" s="28" t="e">
        <f ca="1">_xludf.ifna(VLOOKUP(G802,Proyectos!$E$1:$H$4,4,0),"")</f>
        <v>#NAME?</v>
      </c>
      <c r="G801" s="26" t="s">
        <v>5597</v>
      </c>
      <c r="H801" s="32">
        <v>0.3</v>
      </c>
      <c r="I801" s="31" t="s">
        <v>18</v>
      </c>
      <c r="J801" s="32"/>
      <c r="K801" s="32" t="str">
        <f t="shared" si="3"/>
        <v>Interno</v>
      </c>
      <c r="L801" s="32" t="e">
        <f ca="1">_xludf.ifna(VLOOKUP(G802,Proyectos!$E$1:$N$4,10,0),"")</f>
        <v>#NAME?</v>
      </c>
      <c r="M801" s="32"/>
      <c r="N801" s="31"/>
      <c r="O801" s="31"/>
      <c r="P801" s="33"/>
      <c r="Q801" s="33"/>
    </row>
    <row r="802" spans="1:17" ht="16.5" customHeight="1" x14ac:dyDescent="0.2">
      <c r="A802" s="84" t="s">
        <v>3807</v>
      </c>
      <c r="B802" s="26" t="s">
        <v>3808</v>
      </c>
      <c r="C802" s="26" t="s">
        <v>115</v>
      </c>
      <c r="D802" s="26" t="s">
        <v>122</v>
      </c>
      <c r="E802" s="26" t="s">
        <v>39</v>
      </c>
      <c r="F802" s="28" t="e">
        <f ca="1">_xludf.ifna(VLOOKUP(G803,Proyectos!$E$1:$H$4,4,0),"")</f>
        <v>#NAME?</v>
      </c>
      <c r="G802" s="26" t="s">
        <v>5420</v>
      </c>
      <c r="H802" s="32">
        <v>0.5</v>
      </c>
      <c r="I802" s="31" t="s">
        <v>18</v>
      </c>
      <c r="J802" s="32"/>
      <c r="K802" s="32" t="str">
        <f t="shared" si="3"/>
        <v>Interno</v>
      </c>
      <c r="L802" s="32" t="e">
        <f ca="1">_xludf.ifna(VLOOKUP(G803,Proyectos!$E$1:$N$4,10,0),"")</f>
        <v>#NAME?</v>
      </c>
      <c r="M802" s="32"/>
      <c r="N802" s="31"/>
      <c r="O802" s="31"/>
      <c r="P802" s="33"/>
      <c r="Q802" s="33"/>
    </row>
    <row r="803" spans="1:17" ht="16.5" customHeight="1" x14ac:dyDescent="0.2">
      <c r="A803" s="26" t="s">
        <v>4366</v>
      </c>
      <c r="B803" s="26" t="s">
        <v>5785</v>
      </c>
      <c r="C803" s="35" t="s">
        <v>7</v>
      </c>
      <c r="D803" s="35" t="s">
        <v>8</v>
      </c>
      <c r="E803" s="35" t="s">
        <v>106</v>
      </c>
      <c r="F803" s="28" t="e">
        <f ca="1">_xludf.ifna(VLOOKUP(G804,Proyectos!$E$1:$H$4,4,0),"")</f>
        <v>#NAME?</v>
      </c>
      <c r="G803" s="26" t="s">
        <v>5597</v>
      </c>
      <c r="H803" s="30">
        <v>1</v>
      </c>
      <c r="I803" s="31" t="s">
        <v>18</v>
      </c>
      <c r="J803" s="30"/>
      <c r="K803" s="32" t="str">
        <f t="shared" si="3"/>
        <v>Externo</v>
      </c>
      <c r="L803" s="32" t="e">
        <f ca="1">_xludf.ifna(VLOOKUP(G804,Proyectos!$E$1:$N$4,10,0),"")</f>
        <v>#NAME?</v>
      </c>
      <c r="M803" s="32"/>
      <c r="N803" s="31"/>
      <c r="O803" s="31"/>
      <c r="P803" s="33"/>
      <c r="Q803" s="33"/>
    </row>
    <row r="804" spans="1:17" ht="16.5" customHeight="1" x14ac:dyDescent="0.2">
      <c r="A804" s="26" t="s">
        <v>3876</v>
      </c>
      <c r="B804" s="26" t="s">
        <v>3877</v>
      </c>
      <c r="C804" s="26" t="s">
        <v>115</v>
      </c>
      <c r="D804" s="26" t="s">
        <v>122</v>
      </c>
      <c r="E804" s="26" t="s">
        <v>39</v>
      </c>
      <c r="F804" s="28" t="e">
        <f ca="1">_xludf.ifna(VLOOKUP(G805,Proyectos!$E$1:$H$4,4,0),"")</f>
        <v>#NAME?</v>
      </c>
      <c r="G804" s="26" t="s">
        <v>5421</v>
      </c>
      <c r="H804" s="32">
        <v>0.3</v>
      </c>
      <c r="I804" s="31" t="s">
        <v>18</v>
      </c>
      <c r="J804" s="32"/>
      <c r="K804" s="32" t="str">
        <f t="shared" si="3"/>
        <v>Interno</v>
      </c>
      <c r="L804" s="32" t="e">
        <f ca="1">_xludf.ifna(VLOOKUP(G805,Proyectos!$E$1:$N$4,10,0),"")</f>
        <v>#NAME?</v>
      </c>
      <c r="M804" s="32"/>
      <c r="N804" s="31"/>
      <c r="O804" s="31"/>
      <c r="P804" s="33"/>
      <c r="Q804" s="33"/>
    </row>
    <row r="805" spans="1:17" ht="16.5" customHeight="1" x14ac:dyDescent="0.2">
      <c r="A805" s="26" t="s">
        <v>3876</v>
      </c>
      <c r="B805" s="26" t="s">
        <v>3877</v>
      </c>
      <c r="C805" s="26" t="s">
        <v>115</v>
      </c>
      <c r="D805" s="26" t="s">
        <v>122</v>
      </c>
      <c r="E805" s="26" t="s">
        <v>39</v>
      </c>
      <c r="F805" s="28" t="e">
        <f ca="1">_xludf.ifna(VLOOKUP(G806,Proyectos!$E$1:$H$4,4,0),"")</f>
        <v>#NAME?</v>
      </c>
      <c r="G805" s="26" t="s">
        <v>5426</v>
      </c>
      <c r="H805" s="32">
        <v>0.25</v>
      </c>
      <c r="I805" s="31" t="s">
        <v>18</v>
      </c>
      <c r="J805" s="32"/>
      <c r="K805" s="32" t="str">
        <f t="shared" si="3"/>
        <v>Interno</v>
      </c>
      <c r="L805" s="32" t="e">
        <f ca="1">_xludf.ifna(VLOOKUP(G806,Proyectos!$E$1:$N$4,10,0),"")</f>
        <v>#NAME?</v>
      </c>
      <c r="M805" s="32"/>
      <c r="N805" s="31"/>
      <c r="O805" s="31"/>
      <c r="P805" s="33"/>
      <c r="Q805" s="33"/>
    </row>
    <row r="806" spans="1:17" ht="16.5" customHeight="1" x14ac:dyDescent="0.2">
      <c r="A806" s="26" t="s">
        <v>3876</v>
      </c>
      <c r="B806" s="26" t="s">
        <v>3877</v>
      </c>
      <c r="C806" s="26" t="s">
        <v>115</v>
      </c>
      <c r="D806" s="26" t="s">
        <v>122</v>
      </c>
      <c r="E806" s="26" t="s">
        <v>39</v>
      </c>
      <c r="F806" s="28" t="e">
        <f ca="1">_xludf.ifna(VLOOKUP(G807,Proyectos!$E$1:$H$4,4,0),"")</f>
        <v>#NAME?</v>
      </c>
      <c r="G806" s="26" t="s">
        <v>5422</v>
      </c>
      <c r="H806" s="32">
        <v>0.3</v>
      </c>
      <c r="I806" s="31" t="s">
        <v>18</v>
      </c>
      <c r="J806" s="32"/>
      <c r="K806" s="32" t="str">
        <f t="shared" si="3"/>
        <v>Interno</v>
      </c>
      <c r="L806" s="32" t="e">
        <f ca="1">_xludf.ifna(VLOOKUP(G807,Proyectos!$E$1:$N$4,10,0),"")</f>
        <v>#NAME?</v>
      </c>
      <c r="M806" s="32"/>
      <c r="N806" s="31"/>
      <c r="O806" s="31"/>
      <c r="P806" s="33"/>
      <c r="Q806" s="33"/>
    </row>
    <row r="807" spans="1:17" ht="16.5" customHeight="1" x14ac:dyDescent="0.2">
      <c r="A807" s="26" t="s">
        <v>3876</v>
      </c>
      <c r="B807" s="26" t="s">
        <v>3877</v>
      </c>
      <c r="C807" s="26" t="s">
        <v>115</v>
      </c>
      <c r="D807" s="26" t="s">
        <v>122</v>
      </c>
      <c r="E807" s="26" t="s">
        <v>39</v>
      </c>
      <c r="F807" s="28" t="e">
        <f ca="1">_xludf.ifna(VLOOKUP(G808,Proyectos!$E$1:$H$4,4,0),"")</f>
        <v>#NAME?</v>
      </c>
      <c r="G807" s="26" t="s">
        <v>5597</v>
      </c>
      <c r="H807" s="32">
        <v>0.15</v>
      </c>
      <c r="I807" s="31" t="s">
        <v>18</v>
      </c>
      <c r="J807" s="32"/>
      <c r="K807" s="32" t="str">
        <f t="shared" si="3"/>
        <v>Interno</v>
      </c>
      <c r="L807" s="32" t="e">
        <f ca="1">_xludf.ifna(VLOOKUP(G808,Proyectos!$E$1:$N$4,10,0),"")</f>
        <v>#NAME?</v>
      </c>
      <c r="M807" s="32"/>
      <c r="N807" s="31"/>
      <c r="O807" s="31"/>
      <c r="P807" s="33"/>
      <c r="Q807" s="33"/>
    </row>
    <row r="808" spans="1:17" ht="16.5" customHeight="1" x14ac:dyDescent="0.2">
      <c r="A808" s="26" t="s">
        <v>3603</v>
      </c>
      <c r="B808" s="26" t="s">
        <v>3604</v>
      </c>
      <c r="C808" s="26" t="s">
        <v>98</v>
      </c>
      <c r="D808" s="26" t="s">
        <v>99</v>
      </c>
      <c r="E808" s="26" t="s">
        <v>39</v>
      </c>
      <c r="F808" s="28" t="e">
        <f ca="1">_xludf.ifna(VLOOKUP(G809,Proyectos!$E$1:$H$4,4,0),"")</f>
        <v>#NAME?</v>
      </c>
      <c r="G808" s="26" t="s">
        <v>5129</v>
      </c>
      <c r="H808" s="32">
        <v>1</v>
      </c>
      <c r="I808" s="31" t="s">
        <v>18</v>
      </c>
      <c r="J808" s="32"/>
      <c r="K808" s="32" t="str">
        <f t="shared" si="3"/>
        <v>Interno</v>
      </c>
      <c r="L808" s="32" t="e">
        <f ca="1">_xludf.ifna(VLOOKUP(G809,Proyectos!$E$1:$N$4,10,0),"")</f>
        <v>#NAME?</v>
      </c>
      <c r="M808" s="32"/>
      <c r="N808" s="32"/>
      <c r="O808" s="31"/>
      <c r="P808" s="33"/>
      <c r="Q808" s="33"/>
    </row>
    <row r="809" spans="1:17" ht="16.5" customHeight="1" x14ac:dyDescent="0.2">
      <c r="A809" s="84" t="s">
        <v>3984</v>
      </c>
      <c r="B809" s="26" t="s">
        <v>3985</v>
      </c>
      <c r="C809" s="26" t="s">
        <v>115</v>
      </c>
      <c r="D809" s="26" t="s">
        <v>122</v>
      </c>
      <c r="E809" s="26" t="s">
        <v>129</v>
      </c>
      <c r="F809" s="28" t="e">
        <f ca="1">_xludf.ifna(VLOOKUP(G810,Proyectos!$E$1:$H$4,4,0),"")</f>
        <v>#NAME?</v>
      </c>
      <c r="G809" s="26" t="s">
        <v>5414</v>
      </c>
      <c r="H809" s="32">
        <v>0.5</v>
      </c>
      <c r="I809" s="31" t="s">
        <v>18</v>
      </c>
      <c r="J809" s="32"/>
      <c r="K809" s="32" t="str">
        <f t="shared" si="3"/>
        <v>Externo</v>
      </c>
      <c r="L809" s="32" t="e">
        <f ca="1">_xludf.ifna(VLOOKUP(G810,Proyectos!$E$1:$N$4,10,0),"")</f>
        <v>#NAME?</v>
      </c>
      <c r="M809" s="32"/>
      <c r="N809" s="32"/>
      <c r="O809" s="31"/>
      <c r="P809" s="33"/>
      <c r="Q809" s="33"/>
    </row>
    <row r="810" spans="1:17" ht="16.5" customHeight="1" x14ac:dyDescent="0.2">
      <c r="A810" s="84" t="s">
        <v>3984</v>
      </c>
      <c r="B810" s="26" t="s">
        <v>3985</v>
      </c>
      <c r="C810" s="26" t="s">
        <v>115</v>
      </c>
      <c r="D810" s="26" t="s">
        <v>122</v>
      </c>
      <c r="E810" s="26" t="s">
        <v>129</v>
      </c>
      <c r="F810" s="28" t="e">
        <f ca="1">_xludf.ifna(VLOOKUP(G811,Proyectos!$E$1:$H$4,4,0),"")</f>
        <v>#NAME?</v>
      </c>
      <c r="G810" s="26" t="s">
        <v>5415</v>
      </c>
      <c r="H810" s="32">
        <v>0.5</v>
      </c>
      <c r="I810" s="31" t="s">
        <v>18</v>
      </c>
      <c r="J810" s="32"/>
      <c r="K810" s="32" t="str">
        <f t="shared" si="3"/>
        <v>Externo</v>
      </c>
      <c r="L810" s="32" t="e">
        <f ca="1">_xludf.ifna(VLOOKUP(G811,Proyectos!$E$1:$N$4,10,0),"")</f>
        <v>#NAME?</v>
      </c>
      <c r="M810" s="32"/>
      <c r="N810" s="31"/>
      <c r="O810" s="31"/>
      <c r="P810" s="33"/>
      <c r="Q810" s="33"/>
    </row>
    <row r="811" spans="1:17" ht="16.5" customHeight="1" x14ac:dyDescent="0.2">
      <c r="A811" s="26" t="s">
        <v>5786</v>
      </c>
      <c r="B811" s="26" t="s">
        <v>5787</v>
      </c>
      <c r="C811" s="26" t="s">
        <v>37</v>
      </c>
      <c r="D811" s="26" t="s">
        <v>38</v>
      </c>
      <c r="E811" s="26" t="s">
        <v>9</v>
      </c>
      <c r="F811" s="28" t="e">
        <f ca="1">_xludf.ifna(VLOOKUP(G812,Proyectos!$E$1:$H$4,4,0),"")</f>
        <v>#NAME?</v>
      </c>
      <c r="G811" s="26" t="s">
        <v>5336</v>
      </c>
      <c r="H811" s="32">
        <v>1</v>
      </c>
      <c r="I811" s="31" t="s">
        <v>18</v>
      </c>
      <c r="J811" s="32"/>
      <c r="K811" s="32" t="str">
        <f t="shared" si="3"/>
        <v>Externo</v>
      </c>
      <c r="L811" s="32" t="e">
        <f ca="1">_xludf.ifna(VLOOKUP(G812,Proyectos!$E$1:$N$4,10,0),"")</f>
        <v>#NAME?</v>
      </c>
      <c r="M811" s="32"/>
      <c r="N811" s="31"/>
      <c r="O811" s="31"/>
      <c r="P811" s="33"/>
      <c r="Q811" s="33"/>
    </row>
    <row r="812" spans="1:17" ht="16.5" customHeight="1" x14ac:dyDescent="0.2">
      <c r="A812" s="26" t="s">
        <v>3900</v>
      </c>
      <c r="B812" s="26" t="s">
        <v>3901</v>
      </c>
      <c r="C812" s="26" t="s">
        <v>115</v>
      </c>
      <c r="D812" s="26" t="s">
        <v>119</v>
      </c>
      <c r="E812" s="26" t="s">
        <v>114</v>
      </c>
      <c r="F812" s="28" t="e">
        <f ca="1">_xludf.ifna(VLOOKUP(G813,Proyectos!$E$1:$H$4,4,0),"")</f>
        <v>#NAME?</v>
      </c>
      <c r="G812" s="26" t="s">
        <v>5768</v>
      </c>
      <c r="H812" s="32">
        <v>0.2</v>
      </c>
      <c r="I812" s="31" t="s">
        <v>18</v>
      </c>
      <c r="J812" s="32"/>
      <c r="K812" s="32" t="str">
        <f t="shared" si="3"/>
        <v>Externo</v>
      </c>
      <c r="L812" s="32" t="e">
        <f ca="1">_xludf.ifna(VLOOKUP(G813,Proyectos!$E$1:$N$4,10,0),"")</f>
        <v>#NAME?</v>
      </c>
      <c r="M812" s="32"/>
      <c r="N812" s="31"/>
      <c r="O812" s="31"/>
      <c r="P812" s="33"/>
      <c r="Q812" s="33"/>
    </row>
    <row r="813" spans="1:17" ht="16.5" customHeight="1" x14ac:dyDescent="0.2">
      <c r="A813" s="26" t="s">
        <v>3900</v>
      </c>
      <c r="B813" s="26" t="s">
        <v>3901</v>
      </c>
      <c r="C813" s="26" t="s">
        <v>115</v>
      </c>
      <c r="D813" s="26" t="s">
        <v>119</v>
      </c>
      <c r="E813" s="26" t="s">
        <v>114</v>
      </c>
      <c r="F813" s="28" t="e">
        <f ca="1">_xludf.ifna(VLOOKUP(G814,Proyectos!$E$1:$H$4,4,0),"")</f>
        <v>#NAME?</v>
      </c>
      <c r="G813" s="26" t="s">
        <v>5212</v>
      </c>
      <c r="H813" s="32">
        <v>0.4</v>
      </c>
      <c r="I813" s="31" t="s">
        <v>18</v>
      </c>
      <c r="J813" s="32"/>
      <c r="K813" s="32" t="str">
        <f t="shared" si="3"/>
        <v>Externo</v>
      </c>
      <c r="L813" s="32" t="e">
        <f ca="1">_xludf.ifna(VLOOKUP(G814,Proyectos!$E$1:$N$4,10,0),"")</f>
        <v>#NAME?</v>
      </c>
      <c r="M813" s="32"/>
      <c r="N813" s="31"/>
      <c r="O813" s="31"/>
      <c r="P813" s="33"/>
      <c r="Q813" s="33"/>
    </row>
    <row r="814" spans="1:17" ht="16.5" customHeight="1" x14ac:dyDescent="0.2">
      <c r="A814" s="26" t="s">
        <v>3900</v>
      </c>
      <c r="B814" s="26" t="s">
        <v>3901</v>
      </c>
      <c r="C814" s="26" t="s">
        <v>115</v>
      </c>
      <c r="D814" s="26" t="s">
        <v>119</v>
      </c>
      <c r="E814" s="26" t="s">
        <v>114</v>
      </c>
      <c r="F814" s="28" t="e">
        <f ca="1">_xludf.ifna(VLOOKUP(G815,Proyectos!$E$1:$H$4,4,0),"")</f>
        <v>#NAME?</v>
      </c>
      <c r="G814" s="26" t="s">
        <v>5214</v>
      </c>
      <c r="H814" s="32">
        <v>0.4</v>
      </c>
      <c r="I814" s="31" t="s">
        <v>18</v>
      </c>
      <c r="J814" s="32"/>
      <c r="K814" s="32" t="str">
        <f t="shared" si="3"/>
        <v>Externo</v>
      </c>
      <c r="L814" s="32" t="e">
        <f ca="1">_xludf.ifna(VLOOKUP(G815,Proyectos!$E$1:$N$4,10,0),"")</f>
        <v>#NAME?</v>
      </c>
      <c r="M814" s="32"/>
      <c r="N814" s="31"/>
      <c r="O814" s="31"/>
      <c r="P814" s="33"/>
      <c r="Q814" s="33"/>
    </row>
    <row r="815" spans="1:17" ht="16.5" customHeight="1" x14ac:dyDescent="0.2">
      <c r="A815" s="26" t="s">
        <v>4734</v>
      </c>
      <c r="B815" s="26" t="s">
        <v>4735</v>
      </c>
      <c r="C815" s="26" t="s">
        <v>64</v>
      </c>
      <c r="D815" s="26" t="s">
        <v>70</v>
      </c>
      <c r="E815" s="26" t="s">
        <v>39</v>
      </c>
      <c r="F815" s="28" t="e">
        <f ca="1">_xludf.ifna(VLOOKUP(G816,Proyectos!$E$1:$H$4,4,0),"")</f>
        <v>#NAME?</v>
      </c>
      <c r="G815" s="26" t="s">
        <v>5597</v>
      </c>
      <c r="H815" s="30">
        <v>0.75</v>
      </c>
      <c r="I815" s="31" t="s">
        <v>18</v>
      </c>
      <c r="J815" s="32"/>
      <c r="K815" s="32" t="str">
        <f t="shared" si="3"/>
        <v>Interno</v>
      </c>
      <c r="L815" s="32" t="e">
        <f ca="1">_xludf.ifna(VLOOKUP(G816,Proyectos!$E$1:$N$4,10,0),"")</f>
        <v>#NAME?</v>
      </c>
      <c r="M815" s="32"/>
      <c r="N815" s="31"/>
      <c r="O815" s="31"/>
      <c r="P815" s="33"/>
      <c r="Q815" s="33"/>
    </row>
    <row r="816" spans="1:17" ht="16.5" customHeight="1" x14ac:dyDescent="0.2">
      <c r="A816" s="26" t="s">
        <v>4734</v>
      </c>
      <c r="B816" s="26" t="s">
        <v>4735</v>
      </c>
      <c r="C816" s="26" t="s">
        <v>64</v>
      </c>
      <c r="D816" s="26" t="s">
        <v>70</v>
      </c>
      <c r="E816" s="26" t="s">
        <v>39</v>
      </c>
      <c r="F816" s="28" t="e">
        <f ca="1">_xludf.ifna(VLOOKUP(G817,Proyectos!$E$1:$H$4,4,0),"")</f>
        <v>#NAME?</v>
      </c>
      <c r="G816" s="26" t="s">
        <v>5403</v>
      </c>
      <c r="H816" s="30">
        <v>0.25</v>
      </c>
      <c r="I816" s="31" t="s">
        <v>18</v>
      </c>
      <c r="J816" s="32"/>
      <c r="K816" s="32" t="str">
        <f t="shared" si="3"/>
        <v>Interno</v>
      </c>
      <c r="L816" s="32" t="e">
        <f ca="1">_xludf.ifna(VLOOKUP(G817,Proyectos!$E$1:$N$4,10,0),"")</f>
        <v>#NAME?</v>
      </c>
      <c r="M816" s="32"/>
      <c r="N816" s="32"/>
      <c r="O816" s="31"/>
      <c r="P816" s="33"/>
      <c r="Q816" s="33"/>
    </row>
    <row r="817" spans="1:17" ht="16.5" customHeight="1" x14ac:dyDescent="0.2">
      <c r="A817" s="26" t="s">
        <v>5788</v>
      </c>
      <c r="B817" s="26" t="s">
        <v>5789</v>
      </c>
      <c r="C817" s="35" t="s">
        <v>7</v>
      </c>
      <c r="D817" s="35" t="s">
        <v>8</v>
      </c>
      <c r="E817" s="35" t="s">
        <v>106</v>
      </c>
      <c r="F817" s="28" t="e">
        <f ca="1">_xludf.ifna(VLOOKUP(G818,Proyectos!$E$1:$H$4,4,0),"")</f>
        <v>#NAME?</v>
      </c>
      <c r="G817" s="26" t="s">
        <v>5597</v>
      </c>
      <c r="H817" s="30">
        <v>1</v>
      </c>
      <c r="I817" s="31" t="s">
        <v>18</v>
      </c>
      <c r="J817" s="30"/>
      <c r="K817" s="32" t="str">
        <f t="shared" si="3"/>
        <v>Externo</v>
      </c>
      <c r="L817" s="32" t="e">
        <f ca="1">_xludf.ifna(VLOOKUP(G818,Proyectos!$E$1:$N$4,10,0),"")</f>
        <v>#NAME?</v>
      </c>
      <c r="M817" s="32"/>
      <c r="N817" s="31"/>
      <c r="O817" s="31"/>
      <c r="P817" s="33"/>
      <c r="Q817" s="33"/>
    </row>
    <row r="818" spans="1:17" ht="16.5" customHeight="1" x14ac:dyDescent="0.2">
      <c r="A818" s="26" t="s">
        <v>3472</v>
      </c>
      <c r="B818" s="26" t="s">
        <v>3473</v>
      </c>
      <c r="C818" s="26" t="s">
        <v>115</v>
      </c>
      <c r="D818" s="26" t="s">
        <v>122</v>
      </c>
      <c r="E818" s="26" t="s">
        <v>39</v>
      </c>
      <c r="F818" s="28" t="e">
        <f ca="1">_xludf.ifna(VLOOKUP(G819,Proyectos!$E$1:$H$4,4,0),"")</f>
        <v>#NAME?</v>
      </c>
      <c r="G818" s="26" t="s">
        <v>5423</v>
      </c>
      <c r="H818" s="32">
        <v>0.3</v>
      </c>
      <c r="I818" s="31" t="s">
        <v>18</v>
      </c>
      <c r="J818" s="32"/>
      <c r="K818" s="32" t="str">
        <f t="shared" si="3"/>
        <v>Interno</v>
      </c>
      <c r="L818" s="32" t="e">
        <f ca="1">_xludf.ifna(VLOOKUP(G819,Proyectos!$E$1:$N$4,10,0),"")</f>
        <v>#NAME?</v>
      </c>
      <c r="M818" s="32"/>
      <c r="N818" s="31"/>
      <c r="O818" s="31"/>
      <c r="P818" s="33"/>
      <c r="Q818" s="33"/>
    </row>
    <row r="819" spans="1:17" ht="16.5" customHeight="1" x14ac:dyDescent="0.2">
      <c r="A819" s="26" t="s">
        <v>3472</v>
      </c>
      <c r="B819" s="26" t="s">
        <v>3473</v>
      </c>
      <c r="C819" s="26" t="s">
        <v>115</v>
      </c>
      <c r="D819" s="26" t="s">
        <v>122</v>
      </c>
      <c r="E819" s="26" t="s">
        <v>39</v>
      </c>
      <c r="F819" s="28" t="e">
        <f ca="1">_xludf.ifna(VLOOKUP(G820,Proyectos!$E$1:$H$4,4,0),"")</f>
        <v>#NAME?</v>
      </c>
      <c r="G819" s="26" t="s">
        <v>5597</v>
      </c>
      <c r="H819" s="32">
        <v>0.7</v>
      </c>
      <c r="I819" s="31" t="s">
        <v>18</v>
      </c>
      <c r="J819" s="32"/>
      <c r="K819" s="32" t="str">
        <f t="shared" si="3"/>
        <v>Interno</v>
      </c>
      <c r="L819" s="32" t="e">
        <f ca="1">_xludf.ifna(VLOOKUP(G820,Proyectos!$E$1:$N$4,10,0),"")</f>
        <v>#NAME?</v>
      </c>
      <c r="M819" s="32"/>
      <c r="N819" s="31"/>
      <c r="O819" s="31"/>
      <c r="P819" s="33"/>
      <c r="Q819" s="33"/>
    </row>
    <row r="820" spans="1:17" ht="16.5" customHeight="1" x14ac:dyDescent="0.2">
      <c r="A820" s="26" t="s">
        <v>5790</v>
      </c>
      <c r="B820" s="26" t="s">
        <v>5791</v>
      </c>
      <c r="C820" s="26" t="s">
        <v>115</v>
      </c>
      <c r="D820" s="26" t="s">
        <v>119</v>
      </c>
      <c r="E820" s="26" t="s">
        <v>135</v>
      </c>
      <c r="F820" s="28" t="e">
        <f ca="1">_xludf.ifna(VLOOKUP(G821,Proyectos!$E$1:$H$4,4,0),"")</f>
        <v>#NAME?</v>
      </c>
      <c r="G820" s="26" t="s">
        <v>5213</v>
      </c>
      <c r="H820" s="32">
        <v>0.3</v>
      </c>
      <c r="I820" s="31" t="s">
        <v>18</v>
      </c>
      <c r="J820" s="32"/>
      <c r="K820" s="32" t="str">
        <f t="shared" si="3"/>
        <v>Externo</v>
      </c>
      <c r="L820" s="32" t="e">
        <f ca="1">_xludf.ifna(VLOOKUP(G821,Proyectos!$E$1:$N$4,10,0),"")</f>
        <v>#NAME?</v>
      </c>
      <c r="M820" s="32"/>
      <c r="N820" s="31"/>
      <c r="O820" s="31"/>
      <c r="P820" s="33"/>
      <c r="Q820" s="33"/>
    </row>
    <row r="821" spans="1:17" ht="16.5" customHeight="1" x14ac:dyDescent="0.2">
      <c r="A821" s="26" t="s">
        <v>5792</v>
      </c>
      <c r="B821" s="26" t="s">
        <v>5793</v>
      </c>
      <c r="C821" s="26" t="s">
        <v>115</v>
      </c>
      <c r="D821" s="26" t="s">
        <v>119</v>
      </c>
      <c r="E821" s="26" t="s">
        <v>135</v>
      </c>
      <c r="F821" s="28" t="e">
        <f ca="1">_xludf.ifna(VLOOKUP(G822,Proyectos!$E$1:$H$4,4,0),"")</f>
        <v>#NAME?</v>
      </c>
      <c r="G821" s="26" t="s">
        <v>5213</v>
      </c>
      <c r="H821" s="32">
        <v>1</v>
      </c>
      <c r="I821" s="31" t="s">
        <v>18</v>
      </c>
      <c r="J821" s="32"/>
      <c r="K821" s="32" t="str">
        <f t="shared" si="3"/>
        <v>Externo</v>
      </c>
      <c r="L821" s="32" t="e">
        <f ca="1">_xludf.ifna(VLOOKUP(G822,Proyectos!$E$1:$N$4,10,0),"")</f>
        <v>#NAME?</v>
      </c>
      <c r="M821" s="32"/>
      <c r="N821" s="31"/>
      <c r="O821" s="31"/>
      <c r="P821" s="33"/>
      <c r="Q821" s="33"/>
    </row>
    <row r="822" spans="1:17" ht="16.5" customHeight="1" x14ac:dyDescent="0.2">
      <c r="A822" s="26" t="s">
        <v>4671</v>
      </c>
      <c r="B822" s="26" t="s">
        <v>4672</v>
      </c>
      <c r="C822" s="26" t="s">
        <v>98</v>
      </c>
      <c r="D822" s="26" t="s">
        <v>110</v>
      </c>
      <c r="E822" s="26" t="s">
        <v>39</v>
      </c>
      <c r="F822" s="28" t="e">
        <f ca="1">_xludf.ifna(VLOOKUP(G823,Proyectos!$E$1:$H$4,4,0),"")</f>
        <v>#NAME?</v>
      </c>
      <c r="G822" s="26" t="s">
        <v>5597</v>
      </c>
      <c r="H822" s="32">
        <v>1</v>
      </c>
      <c r="I822" s="31" t="s">
        <v>18</v>
      </c>
      <c r="J822" s="32"/>
      <c r="K822" s="32" t="str">
        <f t="shared" si="3"/>
        <v>Interno</v>
      </c>
      <c r="L822" s="32" t="e">
        <f ca="1">_xludf.ifna(VLOOKUP(G823,Proyectos!$E$1:$N$4,10,0),"")</f>
        <v>#NAME?</v>
      </c>
      <c r="M822" s="32"/>
      <c r="N822" s="32"/>
      <c r="O822" s="31"/>
      <c r="P822" s="33"/>
      <c r="Q822" s="33"/>
    </row>
    <row r="823" spans="1:17" ht="16.5" customHeight="1" x14ac:dyDescent="0.2">
      <c r="A823" s="26" t="s">
        <v>3512</v>
      </c>
      <c r="B823" s="26" t="s">
        <v>3513</v>
      </c>
      <c r="C823" s="26" t="s">
        <v>98</v>
      </c>
      <c r="D823" s="26" t="s">
        <v>105</v>
      </c>
      <c r="E823" s="26" t="s">
        <v>39</v>
      </c>
      <c r="F823" s="28" t="e">
        <f ca="1">_xludf.ifna(VLOOKUP(G824,Proyectos!$E$1:$H$4,4,0),"")</f>
        <v>#NAME?</v>
      </c>
      <c r="G823" s="26" t="s">
        <v>5148</v>
      </c>
      <c r="H823" s="32">
        <v>1</v>
      </c>
      <c r="I823" s="31" t="s">
        <v>18</v>
      </c>
      <c r="J823" s="32"/>
      <c r="K823" s="32" t="str">
        <f t="shared" si="3"/>
        <v>Interno</v>
      </c>
      <c r="L823" s="32" t="e">
        <f ca="1">_xludf.ifna(VLOOKUP(G824,Proyectos!$E$1:$N$4,10,0),"")</f>
        <v>#NAME?</v>
      </c>
      <c r="M823" s="32"/>
      <c r="N823" s="32"/>
      <c r="O823" s="31"/>
      <c r="P823" s="33"/>
      <c r="Q823" s="33"/>
    </row>
    <row r="824" spans="1:17" ht="16.5" customHeight="1" x14ac:dyDescent="0.2">
      <c r="A824" s="26" t="s">
        <v>3305</v>
      </c>
      <c r="B824" s="26" t="s">
        <v>3306</v>
      </c>
      <c r="C824" s="26" t="s">
        <v>115</v>
      </c>
      <c r="D824" s="26" t="s">
        <v>122</v>
      </c>
      <c r="E824" s="26" t="s">
        <v>39</v>
      </c>
      <c r="F824" s="28" t="e">
        <f ca="1">_xludf.ifna(VLOOKUP(G825,Proyectos!$E$1:$H$4,4,0),"")</f>
        <v>#NAME?</v>
      </c>
      <c r="G824" s="26" t="s">
        <v>5415</v>
      </c>
      <c r="H824" s="32">
        <v>0.5</v>
      </c>
      <c r="I824" s="31" t="s">
        <v>11</v>
      </c>
      <c r="J824" s="32"/>
      <c r="K824" s="32" t="str">
        <f t="shared" si="3"/>
        <v>Interno</v>
      </c>
      <c r="L824" s="32" t="e">
        <f ca="1">_xludf.ifna(VLOOKUP(G825,Proyectos!$E$1:$N$4,10,0),"")</f>
        <v>#NAME?</v>
      </c>
      <c r="M824" s="32"/>
      <c r="N824" s="31"/>
      <c r="O824" s="31"/>
      <c r="P824" s="33"/>
      <c r="Q824" s="33"/>
    </row>
    <row r="825" spans="1:17" ht="16.5" customHeight="1" x14ac:dyDescent="0.2">
      <c r="A825" s="26" t="s">
        <v>3305</v>
      </c>
      <c r="B825" s="26" t="s">
        <v>3306</v>
      </c>
      <c r="C825" s="26" t="s">
        <v>115</v>
      </c>
      <c r="D825" s="26" t="s">
        <v>122</v>
      </c>
      <c r="E825" s="26" t="s">
        <v>39</v>
      </c>
      <c r="F825" s="28" t="e">
        <f ca="1">_xludf.ifna(VLOOKUP(G826,Proyectos!$E$1:$H$4,4,0),"")</f>
        <v>#NAME?</v>
      </c>
      <c r="G825" s="26" t="s">
        <v>5414</v>
      </c>
      <c r="H825" s="32">
        <v>0.5</v>
      </c>
      <c r="I825" s="31" t="s">
        <v>11</v>
      </c>
      <c r="J825" s="32"/>
      <c r="K825" s="32" t="str">
        <f t="shared" si="3"/>
        <v>Interno</v>
      </c>
      <c r="L825" s="32" t="e">
        <f ca="1">_xludf.ifna(VLOOKUP(G826,Proyectos!$E$1:$N$4,10,0),"")</f>
        <v>#NAME?</v>
      </c>
      <c r="M825" s="32"/>
      <c r="N825" s="32"/>
      <c r="O825" s="31"/>
      <c r="P825" s="33"/>
      <c r="Q825" s="33"/>
    </row>
    <row r="826" spans="1:17" ht="16.5" customHeight="1" x14ac:dyDescent="0.2">
      <c r="A826" s="26" t="s">
        <v>4147</v>
      </c>
      <c r="B826" s="26" t="s">
        <v>5467</v>
      </c>
      <c r="C826" s="26" t="s">
        <v>37</v>
      </c>
      <c r="D826" s="26" t="s">
        <v>38</v>
      </c>
      <c r="E826" s="26" t="s">
        <v>9</v>
      </c>
      <c r="F826" s="28" t="e">
        <f ca="1">_xludf.ifna(VLOOKUP(G827,Proyectos!$E$1:$H$4,4,0),"")</f>
        <v>#NAME?</v>
      </c>
      <c r="G826" s="26" t="s">
        <v>5339</v>
      </c>
      <c r="H826" s="32">
        <v>0.4</v>
      </c>
      <c r="I826" s="31" t="s">
        <v>11</v>
      </c>
      <c r="J826" s="32"/>
      <c r="K826" s="32" t="str">
        <f t="shared" si="3"/>
        <v>Externo</v>
      </c>
      <c r="L826" s="32" t="e">
        <f ca="1">_xludf.ifna(VLOOKUP(G827,Proyectos!$E$1:$N$4,10,0),"")</f>
        <v>#NAME?</v>
      </c>
      <c r="M826" s="32"/>
      <c r="N826" s="32"/>
      <c r="O826" s="31"/>
      <c r="P826" s="33"/>
      <c r="Q826" s="33"/>
    </row>
    <row r="827" spans="1:17" ht="16.5" customHeight="1" x14ac:dyDescent="0.2">
      <c r="A827" s="26" t="s">
        <v>4147</v>
      </c>
      <c r="B827" s="26" t="s">
        <v>5467</v>
      </c>
      <c r="C827" s="26" t="s">
        <v>37</v>
      </c>
      <c r="D827" s="26" t="s">
        <v>38</v>
      </c>
      <c r="E827" s="26" t="s">
        <v>9</v>
      </c>
      <c r="F827" s="28" t="e">
        <f ca="1">_xludf.ifna(VLOOKUP(G828,Proyectos!$E$1:$H$4,4,0),"")</f>
        <v>#NAME?</v>
      </c>
      <c r="G827" s="26" t="s">
        <v>5341</v>
      </c>
      <c r="H827" s="32">
        <v>0.6</v>
      </c>
      <c r="I827" s="31" t="s">
        <v>11</v>
      </c>
      <c r="J827" s="32"/>
      <c r="K827" s="32" t="str">
        <f t="shared" si="3"/>
        <v>Externo</v>
      </c>
      <c r="L827" s="32" t="e">
        <f ca="1">_xludf.ifna(VLOOKUP(G828,Proyectos!$E$1:$N$4,10,0),"")</f>
        <v>#NAME?</v>
      </c>
      <c r="M827" s="32"/>
      <c r="N827" s="31"/>
      <c r="O827" s="31"/>
      <c r="P827" s="33"/>
      <c r="Q827" s="33"/>
    </row>
    <row r="828" spans="1:17" ht="16.5" customHeight="1" x14ac:dyDescent="0.2">
      <c r="A828" s="26" t="s">
        <v>5794</v>
      </c>
      <c r="B828" s="26" t="s">
        <v>5795</v>
      </c>
      <c r="C828" s="26" t="s">
        <v>115</v>
      </c>
      <c r="D828" s="26" t="s">
        <v>119</v>
      </c>
      <c r="E828" s="26" t="s">
        <v>129</v>
      </c>
      <c r="F828" s="28" t="e">
        <f ca="1">_xludf.ifna(VLOOKUP(G829,Proyectos!$E$1:$H$4,4,0),"")</f>
        <v>#NAME?</v>
      </c>
      <c r="G828" s="26" t="s">
        <v>5131</v>
      </c>
      <c r="H828" s="32">
        <v>1</v>
      </c>
      <c r="I828" s="31" t="s">
        <v>18</v>
      </c>
      <c r="J828" s="32"/>
      <c r="K828" s="32" t="str">
        <f t="shared" si="3"/>
        <v>Externo</v>
      </c>
      <c r="L828" s="32" t="e">
        <f ca="1">_xludf.ifna(VLOOKUP(G829,Proyectos!$E$1:$N$4,10,0),"")</f>
        <v>#NAME?</v>
      </c>
      <c r="M828" s="32"/>
      <c r="N828" s="32"/>
      <c r="O828" s="31"/>
      <c r="P828" s="33"/>
      <c r="Q828" s="33"/>
    </row>
    <row r="829" spans="1:17" ht="16.5" customHeight="1" x14ac:dyDescent="0.2">
      <c r="A829" s="26" t="s">
        <v>3646</v>
      </c>
      <c r="B829" s="26" t="s">
        <v>3647</v>
      </c>
      <c r="C829" s="26" t="s">
        <v>115</v>
      </c>
      <c r="D829" s="26" t="s">
        <v>116</v>
      </c>
      <c r="E829" s="26" t="s">
        <v>39</v>
      </c>
      <c r="F829" s="28" t="e">
        <f ca="1">_xludf.ifna(VLOOKUP(G830,Proyectos!$E$1:$H$4,4,0),"")</f>
        <v>#NAME?</v>
      </c>
      <c r="G829" s="26" t="s">
        <v>5470</v>
      </c>
      <c r="H829" s="32">
        <v>0.4</v>
      </c>
      <c r="I829" s="31" t="s">
        <v>18</v>
      </c>
      <c r="J829" s="32"/>
      <c r="K829" s="32" t="str">
        <f t="shared" si="3"/>
        <v>Interno</v>
      </c>
      <c r="L829" s="32" t="e">
        <f ca="1">_xludf.ifna(VLOOKUP(G830,Proyectos!$E$1:$N$4,10,0),"")</f>
        <v>#NAME?</v>
      </c>
      <c r="M829" s="32"/>
      <c r="N829" s="32"/>
      <c r="O829" s="31"/>
      <c r="P829" s="33"/>
      <c r="Q829" s="33"/>
    </row>
    <row r="830" spans="1:17" ht="16.5" customHeight="1" x14ac:dyDescent="0.2">
      <c r="A830" s="26" t="s">
        <v>3646</v>
      </c>
      <c r="B830" s="26" t="s">
        <v>3647</v>
      </c>
      <c r="C830" s="26" t="s">
        <v>115</v>
      </c>
      <c r="D830" s="26" t="s">
        <v>116</v>
      </c>
      <c r="E830" s="26" t="s">
        <v>39</v>
      </c>
      <c r="F830" s="28" t="e">
        <f ca="1">_xludf.ifna(VLOOKUP(G831,Proyectos!$E$1:$H$4,4,0),"")</f>
        <v>#NAME?</v>
      </c>
      <c r="G830" s="26" t="s">
        <v>5235</v>
      </c>
      <c r="H830" s="32">
        <v>0.6</v>
      </c>
      <c r="I830" s="31" t="s">
        <v>18</v>
      </c>
      <c r="J830" s="32"/>
      <c r="K830" s="32" t="str">
        <f t="shared" si="3"/>
        <v>Interno</v>
      </c>
      <c r="L830" s="32" t="e">
        <f ca="1">_xludf.ifna(VLOOKUP(G831,Proyectos!$E$1:$N$4,10,0),"")</f>
        <v>#NAME?</v>
      </c>
      <c r="M830" s="32"/>
      <c r="N830" s="32"/>
      <c r="O830" s="31"/>
      <c r="P830" s="33"/>
      <c r="Q830" s="33"/>
    </row>
    <row r="831" spans="1:17" ht="16.5" customHeight="1" x14ac:dyDescent="0.2">
      <c r="A831" s="26" t="s">
        <v>3838</v>
      </c>
      <c r="B831" s="26" t="s">
        <v>3839</v>
      </c>
      <c r="C831" s="26" t="s">
        <v>98</v>
      </c>
      <c r="D831" s="26" t="s">
        <v>110</v>
      </c>
      <c r="E831" s="26" t="s">
        <v>39</v>
      </c>
      <c r="F831" s="28" t="e">
        <f ca="1">_xludf.ifna(VLOOKUP(G832,Proyectos!$E$1:$H$4,4,0),"")</f>
        <v>#NAME?</v>
      </c>
      <c r="G831" s="26" t="s">
        <v>5243</v>
      </c>
      <c r="H831" s="32">
        <v>0.25</v>
      </c>
      <c r="I831" s="31" t="s">
        <v>11</v>
      </c>
      <c r="J831" s="32"/>
      <c r="K831" s="32" t="str">
        <f t="shared" si="3"/>
        <v>Interno</v>
      </c>
      <c r="L831" s="32" t="e">
        <f ca="1">_xludf.ifna(VLOOKUP(G832,Proyectos!$E$1:$N$4,10,0),"")</f>
        <v>#NAME?</v>
      </c>
      <c r="M831" s="32"/>
      <c r="N831" s="32"/>
      <c r="O831" s="31"/>
      <c r="P831" s="33"/>
      <c r="Q831" s="33"/>
    </row>
    <row r="832" spans="1:17" ht="16.5" customHeight="1" x14ac:dyDescent="0.2">
      <c r="A832" s="26" t="s">
        <v>3838</v>
      </c>
      <c r="B832" s="26" t="s">
        <v>3839</v>
      </c>
      <c r="C832" s="26" t="s">
        <v>98</v>
      </c>
      <c r="D832" s="26" t="s">
        <v>110</v>
      </c>
      <c r="E832" s="26" t="s">
        <v>39</v>
      </c>
      <c r="F832" s="28" t="e">
        <f ca="1">_xludf.ifna(VLOOKUP(G833,Proyectos!$E$1:$H$4,4,0),"")</f>
        <v>#NAME?</v>
      </c>
      <c r="G832" s="26" t="s">
        <v>5246</v>
      </c>
      <c r="H832" s="32">
        <v>0.25</v>
      </c>
      <c r="I832" s="31" t="s">
        <v>11</v>
      </c>
      <c r="J832" s="32"/>
      <c r="K832" s="32" t="str">
        <f t="shared" si="3"/>
        <v>Interno</v>
      </c>
      <c r="L832" s="32" t="e">
        <f ca="1">_xludf.ifna(VLOOKUP(G833,Proyectos!$E$1:$N$4,10,0),"")</f>
        <v>#NAME?</v>
      </c>
      <c r="M832" s="32"/>
      <c r="N832" s="32"/>
      <c r="O832" s="31"/>
      <c r="P832" s="33"/>
      <c r="Q832" s="33"/>
    </row>
    <row r="833" spans="1:17" ht="16.5" customHeight="1" x14ac:dyDescent="0.2">
      <c r="A833" s="26" t="s">
        <v>3838</v>
      </c>
      <c r="B833" s="26" t="s">
        <v>3839</v>
      </c>
      <c r="C833" s="26" t="s">
        <v>98</v>
      </c>
      <c r="D833" s="26" t="s">
        <v>110</v>
      </c>
      <c r="E833" s="26" t="s">
        <v>39</v>
      </c>
      <c r="F833" s="28" t="e">
        <f ca="1">_xludf.ifna(VLOOKUP(G834,Proyectos!$E$1:$H$4,4,0),"")</f>
        <v>#NAME?</v>
      </c>
      <c r="G833" s="26" t="s">
        <v>5240</v>
      </c>
      <c r="H833" s="32">
        <v>0.25</v>
      </c>
      <c r="I833" s="31" t="s">
        <v>11</v>
      </c>
      <c r="J833" s="32"/>
      <c r="K833" s="32" t="str">
        <f t="shared" si="3"/>
        <v>Interno</v>
      </c>
      <c r="L833" s="32" t="e">
        <f ca="1">_xludf.ifna(VLOOKUP(G834,Proyectos!$E$1:$N$4,10,0),"")</f>
        <v>#NAME?</v>
      </c>
      <c r="M833" s="32"/>
      <c r="N833" s="32"/>
      <c r="O833" s="31"/>
      <c r="P833" s="33"/>
      <c r="Q833" s="33"/>
    </row>
    <row r="834" spans="1:17" ht="16.5" customHeight="1" x14ac:dyDescent="0.2">
      <c r="A834" s="26" t="s">
        <v>3838</v>
      </c>
      <c r="B834" s="26" t="s">
        <v>3839</v>
      </c>
      <c r="C834" s="26" t="s">
        <v>98</v>
      </c>
      <c r="D834" s="26" t="s">
        <v>110</v>
      </c>
      <c r="E834" s="26" t="s">
        <v>39</v>
      </c>
      <c r="F834" s="28" t="e">
        <f ca="1">_xludf.ifna(VLOOKUP(G835,Proyectos!$E$1:$H$4,4,0),"")</f>
        <v>#NAME?</v>
      </c>
      <c r="G834" s="26" t="s">
        <v>5583</v>
      </c>
      <c r="H834" s="32">
        <v>0.25</v>
      </c>
      <c r="I834" s="31" t="s">
        <v>11</v>
      </c>
      <c r="J834" s="32"/>
      <c r="K834" s="32" t="str">
        <f t="shared" si="3"/>
        <v>Interno</v>
      </c>
      <c r="L834" s="32" t="e">
        <f ca="1">_xludf.ifna(VLOOKUP(G835,Proyectos!$E$1:$N$4,10,0),"")</f>
        <v>#NAME?</v>
      </c>
      <c r="M834" s="32"/>
      <c r="N834" s="32"/>
      <c r="O834" s="31"/>
      <c r="P834" s="33"/>
      <c r="Q834" s="33"/>
    </row>
    <row r="835" spans="1:17" ht="16.5" customHeight="1" x14ac:dyDescent="0.2">
      <c r="A835" s="35" t="s">
        <v>4029</v>
      </c>
      <c r="B835" s="26" t="s">
        <v>5500</v>
      </c>
      <c r="C835" s="26" t="s">
        <v>64</v>
      </c>
      <c r="D835" s="26" t="s">
        <v>82</v>
      </c>
      <c r="E835" s="35" t="s">
        <v>126</v>
      </c>
      <c r="F835" s="28" t="e">
        <f ca="1">_xludf.ifna(VLOOKUP(G836,Proyectos!$E$1:$H$4,4,0),"")</f>
        <v>#NAME?</v>
      </c>
      <c r="G835" s="26" t="s">
        <v>5387</v>
      </c>
      <c r="H835" s="32">
        <v>1</v>
      </c>
      <c r="I835" s="31" t="s">
        <v>18</v>
      </c>
      <c r="J835" s="32"/>
      <c r="K835" s="32" t="str">
        <f t="shared" si="3"/>
        <v>Externo</v>
      </c>
      <c r="L835" s="32" t="e">
        <f ca="1">_xludf.ifna(VLOOKUP(G836,Proyectos!$E$1:$N$4,10,0),"")</f>
        <v>#NAME?</v>
      </c>
      <c r="M835" s="32"/>
      <c r="N835" s="32"/>
      <c r="O835" s="31"/>
      <c r="P835" s="33"/>
      <c r="Q835" s="33"/>
    </row>
    <row r="836" spans="1:17" ht="16.5" customHeight="1" x14ac:dyDescent="0.2">
      <c r="A836" s="26" t="s">
        <v>4877</v>
      </c>
      <c r="B836" s="26" t="s">
        <v>4878</v>
      </c>
      <c r="C836" s="26" t="s">
        <v>7</v>
      </c>
      <c r="D836" s="26" t="s">
        <v>16</v>
      </c>
      <c r="E836" s="26" t="s">
        <v>83</v>
      </c>
      <c r="F836" s="28" t="e">
        <f ca="1">_xludf.ifna(VLOOKUP(G837,Proyectos!$E$1:$H$4,4,0),"")</f>
        <v>#NAME?</v>
      </c>
      <c r="G836" s="26" t="s">
        <v>5266</v>
      </c>
      <c r="H836" s="65">
        <v>0.3</v>
      </c>
      <c r="I836" s="31" t="s">
        <v>25</v>
      </c>
      <c r="J836" s="32"/>
      <c r="K836" s="32" t="str">
        <f t="shared" si="3"/>
        <v>Externo</v>
      </c>
      <c r="L836" s="32" t="e">
        <f ca="1">_xludf.ifna(VLOOKUP(G837,Proyectos!$E$1:$N$4,10,0),"")</f>
        <v>#NAME?</v>
      </c>
      <c r="M836" s="32"/>
      <c r="N836" s="32"/>
      <c r="O836" s="31"/>
      <c r="P836" s="33"/>
      <c r="Q836" s="33"/>
    </row>
    <row r="837" spans="1:17" ht="16.5" customHeight="1" x14ac:dyDescent="0.2">
      <c r="A837" s="26" t="s">
        <v>4877</v>
      </c>
      <c r="B837" s="26" t="s">
        <v>4878</v>
      </c>
      <c r="C837" s="26" t="s">
        <v>7</v>
      </c>
      <c r="D837" s="26" t="s">
        <v>16</v>
      </c>
      <c r="E837" s="26" t="s">
        <v>83</v>
      </c>
      <c r="F837" s="28" t="e">
        <f ca="1">_xludf.ifna(VLOOKUP(G838,Proyectos!$E$1:$H$4,4,0),"")</f>
        <v>#NAME?</v>
      </c>
      <c r="G837" s="26" t="s">
        <v>5269</v>
      </c>
      <c r="H837" s="65">
        <v>0.3</v>
      </c>
      <c r="I837" s="31" t="s">
        <v>25</v>
      </c>
      <c r="J837" s="32"/>
      <c r="K837" s="32" t="str">
        <f t="shared" si="3"/>
        <v>Externo</v>
      </c>
      <c r="L837" s="32" t="e">
        <f ca="1">_xludf.ifna(VLOOKUP(G838,Proyectos!$E$1:$N$4,10,0),"")</f>
        <v>#NAME?</v>
      </c>
      <c r="M837" s="32"/>
      <c r="N837" s="32"/>
      <c r="O837" s="31"/>
      <c r="P837" s="33"/>
      <c r="Q837" s="33"/>
    </row>
    <row r="838" spans="1:17" ht="16.5" customHeight="1" x14ac:dyDescent="0.2">
      <c r="A838" s="26" t="s">
        <v>4877</v>
      </c>
      <c r="B838" s="26" t="s">
        <v>4878</v>
      </c>
      <c r="C838" s="26" t="s">
        <v>7</v>
      </c>
      <c r="D838" s="26" t="s">
        <v>16</v>
      </c>
      <c r="E838" s="26" t="s">
        <v>83</v>
      </c>
      <c r="F838" s="28" t="e">
        <f ca="1">_xludf.ifna(VLOOKUP(G839,Proyectos!$E$1:$H$4,4,0),"")</f>
        <v>#NAME?</v>
      </c>
      <c r="G838" s="26" t="s">
        <v>5267</v>
      </c>
      <c r="H838" s="65">
        <v>0.4</v>
      </c>
      <c r="I838" s="31" t="s">
        <v>25</v>
      </c>
      <c r="J838" s="32"/>
      <c r="K838" s="32" t="str">
        <f t="shared" si="3"/>
        <v>Externo</v>
      </c>
      <c r="L838" s="32" t="e">
        <f ca="1">_xludf.ifna(VLOOKUP(G839,Proyectos!$E$1:$N$4,10,0),"")</f>
        <v>#NAME?</v>
      </c>
      <c r="M838" s="32"/>
      <c r="N838" s="32"/>
      <c r="O838" s="31"/>
      <c r="P838" s="33"/>
      <c r="Q838" s="33"/>
    </row>
    <row r="839" spans="1:17" ht="16.5" customHeight="1" x14ac:dyDescent="0.2">
      <c r="A839" s="26" t="s">
        <v>3296</v>
      </c>
      <c r="B839" s="26" t="s">
        <v>5746</v>
      </c>
      <c r="C839" s="26" t="s">
        <v>64</v>
      </c>
      <c r="D839" s="26" t="s">
        <v>95</v>
      </c>
      <c r="E839" s="26" t="s">
        <v>39</v>
      </c>
      <c r="F839" s="28" t="e">
        <f ca="1">_xludf.ifna(VLOOKUP(G840,Proyectos!$E$1:$H$4,4,0),"")</f>
        <v>#NAME?</v>
      </c>
      <c r="G839" s="26" t="s">
        <v>5364</v>
      </c>
      <c r="H839" s="32">
        <v>0.9</v>
      </c>
      <c r="I839" s="31" t="s">
        <v>18</v>
      </c>
      <c r="J839" s="32"/>
      <c r="K839" s="32" t="str">
        <f t="shared" si="3"/>
        <v>Interno</v>
      </c>
      <c r="L839" s="32" t="e">
        <f ca="1">_xludf.ifna(VLOOKUP(G840,Proyectos!$E$1:$N$4,10,0),"")</f>
        <v>#NAME?</v>
      </c>
      <c r="M839" s="32"/>
      <c r="N839" s="32"/>
      <c r="O839" s="31"/>
      <c r="P839" s="33"/>
      <c r="Q839" s="33"/>
    </row>
    <row r="840" spans="1:17" ht="16.5" customHeight="1" x14ac:dyDescent="0.2">
      <c r="A840" s="26" t="s">
        <v>4374</v>
      </c>
      <c r="B840" s="26" t="s">
        <v>4375</v>
      </c>
      <c r="C840" s="26" t="s">
        <v>98</v>
      </c>
      <c r="D840" s="26" t="s">
        <v>110</v>
      </c>
      <c r="E840" s="26" t="s">
        <v>87</v>
      </c>
      <c r="F840" s="28" t="e">
        <f ca="1">_xludf.ifna(VLOOKUP(G841,Proyectos!$E$1:$H$4,4,0),"")</f>
        <v>#NAME?</v>
      </c>
      <c r="G840" s="26" t="s">
        <v>5614</v>
      </c>
      <c r="H840" s="32">
        <v>1</v>
      </c>
      <c r="I840" s="31" t="s">
        <v>25</v>
      </c>
      <c r="J840" s="32"/>
      <c r="K840" s="32" t="str">
        <f t="shared" si="3"/>
        <v>Externo</v>
      </c>
      <c r="L840" s="32" t="e">
        <f ca="1">_xludf.ifna(VLOOKUP(G841,Proyectos!$E$1:$N$4,10,0),"")</f>
        <v>#NAME?</v>
      </c>
      <c r="M840" s="32"/>
      <c r="N840" s="32"/>
      <c r="O840" s="31"/>
      <c r="P840" s="33"/>
      <c r="Q840" s="33"/>
    </row>
    <row r="841" spans="1:17" ht="16.5" customHeight="1" x14ac:dyDescent="0.2">
      <c r="A841" s="35" t="s">
        <v>3536</v>
      </c>
      <c r="B841" s="26" t="s">
        <v>5796</v>
      </c>
      <c r="C841" s="26" t="s">
        <v>64</v>
      </c>
      <c r="D841" s="26" t="s">
        <v>82</v>
      </c>
      <c r="E841" s="35" t="s">
        <v>39</v>
      </c>
      <c r="F841" s="28" t="e">
        <f ca="1">_xludf.ifna(VLOOKUP(G842,Proyectos!$E$1:$H$4,4,0),"")</f>
        <v>#NAME?</v>
      </c>
      <c r="G841" s="26" t="s">
        <v>5597</v>
      </c>
      <c r="H841" s="32">
        <v>1</v>
      </c>
      <c r="I841" s="31" t="s">
        <v>18</v>
      </c>
      <c r="J841" s="32"/>
      <c r="K841" s="32" t="str">
        <f t="shared" si="3"/>
        <v>Interno</v>
      </c>
      <c r="L841" s="32" t="e">
        <f ca="1">_xludf.ifna(VLOOKUP(G842,Proyectos!$E$1:$N$4,10,0),"")</f>
        <v>#NAME?</v>
      </c>
      <c r="M841" s="32"/>
      <c r="N841" s="31"/>
      <c r="O841" s="31"/>
      <c r="P841" s="33"/>
      <c r="Q841" s="33"/>
    </row>
    <row r="842" spans="1:17" ht="16.5" customHeight="1" x14ac:dyDescent="0.2">
      <c r="A842" s="26" t="s">
        <v>5019</v>
      </c>
      <c r="B842" s="26" t="s">
        <v>5238</v>
      </c>
      <c r="C842" s="26" t="s">
        <v>7</v>
      </c>
      <c r="D842" s="26" t="s">
        <v>16</v>
      </c>
      <c r="E842" s="26" t="s">
        <v>108</v>
      </c>
      <c r="F842" s="28" t="e">
        <f ca="1">_xludf.ifna(VLOOKUP(G843,Proyectos!$E$1:$H$4,4,0),"")</f>
        <v>#NAME?</v>
      </c>
      <c r="G842" s="26" t="s">
        <v>5597</v>
      </c>
      <c r="H842" s="65">
        <v>1</v>
      </c>
      <c r="I842" s="31" t="s">
        <v>18</v>
      </c>
      <c r="J842" s="32"/>
      <c r="K842" s="32" t="str">
        <f t="shared" si="3"/>
        <v>Externo</v>
      </c>
      <c r="L842" s="32" t="e">
        <f ca="1">_xludf.ifna(VLOOKUP(G843,Proyectos!$E$1:$N$4,10,0),"")</f>
        <v>#NAME?</v>
      </c>
      <c r="M842" s="32"/>
      <c r="N842" s="31"/>
      <c r="O842" s="31"/>
      <c r="P842" s="33"/>
      <c r="Q842" s="33"/>
    </row>
    <row r="843" spans="1:17" ht="16.5" customHeight="1" x14ac:dyDescent="0.2">
      <c r="A843" s="26" t="s">
        <v>4200</v>
      </c>
      <c r="B843" s="26" t="s">
        <v>4201</v>
      </c>
      <c r="C843" s="26" t="s">
        <v>115</v>
      </c>
      <c r="D843" s="26" t="s">
        <v>116</v>
      </c>
      <c r="E843" s="26" t="s">
        <v>114</v>
      </c>
      <c r="F843" s="28" t="e">
        <f ca="1">_xludf.ifna(VLOOKUP(G844,Proyectos!$E$1:$H$4,4,0),"")</f>
        <v>#NAME?</v>
      </c>
      <c r="G843" s="26" t="s">
        <v>5597</v>
      </c>
      <c r="H843" s="32">
        <v>1</v>
      </c>
      <c r="I843" s="31" t="s">
        <v>25</v>
      </c>
      <c r="J843" s="32"/>
      <c r="K843" s="32" t="str">
        <f t="shared" si="3"/>
        <v>Externo</v>
      </c>
      <c r="L843" s="32" t="e">
        <f ca="1">_xludf.ifna(VLOOKUP(G844,Proyectos!$E$1:$N$4,10,0),"")</f>
        <v>#NAME?</v>
      </c>
      <c r="M843" s="32"/>
      <c r="N843" s="31"/>
      <c r="O843" s="31"/>
      <c r="P843" s="33"/>
      <c r="Q843" s="33"/>
    </row>
    <row r="844" spans="1:17" ht="16.5" customHeight="1" x14ac:dyDescent="0.2">
      <c r="A844" s="26" t="s">
        <v>4314</v>
      </c>
      <c r="B844" s="26" t="s">
        <v>4315</v>
      </c>
      <c r="C844" s="26" t="s">
        <v>37</v>
      </c>
      <c r="D844" s="26" t="s">
        <v>38</v>
      </c>
      <c r="E844" s="26" t="s">
        <v>9</v>
      </c>
      <c r="F844" s="28" t="e">
        <f ca="1">_xludf.ifna(VLOOKUP(G845,Proyectos!$E$1:$H$4,4,0),"")</f>
        <v>#NAME?</v>
      </c>
      <c r="G844" s="26" t="s">
        <v>5336</v>
      </c>
      <c r="H844" s="32">
        <v>0.1</v>
      </c>
      <c r="I844" s="31" t="s">
        <v>11</v>
      </c>
      <c r="J844" s="32"/>
      <c r="K844" s="32" t="str">
        <f t="shared" si="3"/>
        <v>Externo</v>
      </c>
      <c r="L844" s="32" t="e">
        <f ca="1">_xludf.ifna(VLOOKUP(G845,Proyectos!$E$1:$N$4,10,0),"")</f>
        <v>#NAME?</v>
      </c>
      <c r="M844" s="32"/>
      <c r="N844" s="31"/>
      <c r="O844" s="31"/>
      <c r="P844" s="33"/>
      <c r="Q844" s="33"/>
    </row>
    <row r="845" spans="1:17" ht="16.5" customHeight="1" x14ac:dyDescent="0.2">
      <c r="A845" s="26" t="s">
        <v>4314</v>
      </c>
      <c r="B845" s="26" t="s">
        <v>4315</v>
      </c>
      <c r="C845" s="26" t="s">
        <v>37</v>
      </c>
      <c r="D845" s="26" t="s">
        <v>38</v>
      </c>
      <c r="E845" s="26" t="s">
        <v>9</v>
      </c>
      <c r="F845" s="28" t="e">
        <f ca="1">_xludf.ifna(VLOOKUP(G846,Proyectos!$E$1:$H$4,4,0),"")</f>
        <v>#NAME?</v>
      </c>
      <c r="G845" s="26" t="s">
        <v>5339</v>
      </c>
      <c r="H845" s="32">
        <v>0.15</v>
      </c>
      <c r="I845" s="31" t="s">
        <v>11</v>
      </c>
      <c r="J845" s="32"/>
      <c r="K845" s="32" t="str">
        <f t="shared" si="3"/>
        <v>Externo</v>
      </c>
      <c r="L845" s="32" t="e">
        <f ca="1">_xludf.ifna(VLOOKUP(G846,Proyectos!$E$1:$N$4,10,0),"")</f>
        <v>#NAME?</v>
      </c>
      <c r="M845" s="32"/>
      <c r="N845" s="32"/>
      <c r="O845" s="31"/>
      <c r="P845" s="33"/>
      <c r="Q845" s="33"/>
    </row>
    <row r="846" spans="1:17" ht="16.5" customHeight="1" x14ac:dyDescent="0.2">
      <c r="A846" s="26" t="s">
        <v>4314</v>
      </c>
      <c r="B846" s="26" t="s">
        <v>4315</v>
      </c>
      <c r="C846" s="26" t="s">
        <v>37</v>
      </c>
      <c r="D846" s="26" t="s">
        <v>38</v>
      </c>
      <c r="E846" s="26" t="s">
        <v>9</v>
      </c>
      <c r="F846" s="28" t="e">
        <f ca="1">_xludf.ifna(VLOOKUP(G847,Proyectos!$E$1:$H$4,4,0),"")</f>
        <v>#NAME?</v>
      </c>
      <c r="G846" s="26" t="s">
        <v>5341</v>
      </c>
      <c r="H846" s="32">
        <v>0.15</v>
      </c>
      <c r="I846" s="31" t="s">
        <v>11</v>
      </c>
      <c r="J846" s="32"/>
      <c r="K846" s="32" t="str">
        <f t="shared" si="3"/>
        <v>Externo</v>
      </c>
      <c r="L846" s="32" t="e">
        <f ca="1">_xludf.ifna(VLOOKUP(G847,Proyectos!$E$1:$N$4,10,0),"")</f>
        <v>#NAME?</v>
      </c>
      <c r="M846" s="32"/>
      <c r="N846" s="31"/>
      <c r="O846" s="31"/>
      <c r="P846" s="33"/>
      <c r="Q846" s="33"/>
    </row>
    <row r="847" spans="1:17" ht="16.5" customHeight="1" x14ac:dyDescent="0.2">
      <c r="A847" s="26" t="s">
        <v>4314</v>
      </c>
      <c r="B847" s="26" t="s">
        <v>4315</v>
      </c>
      <c r="C847" s="26" t="s">
        <v>37</v>
      </c>
      <c r="D847" s="26" t="s">
        <v>38</v>
      </c>
      <c r="E847" s="26" t="s">
        <v>9</v>
      </c>
      <c r="F847" s="28" t="e">
        <f ca="1">_xludf.ifna(VLOOKUP(G848,Proyectos!$E$1:$H$4,4,0),"")</f>
        <v>#NAME?</v>
      </c>
      <c r="G847" s="26" t="s">
        <v>5337</v>
      </c>
      <c r="H847" s="32">
        <v>0.15</v>
      </c>
      <c r="I847" s="31" t="s">
        <v>11</v>
      </c>
      <c r="J847" s="32"/>
      <c r="K847" s="32" t="str">
        <f t="shared" si="3"/>
        <v>Externo</v>
      </c>
      <c r="L847" s="32" t="e">
        <f ca="1">_xludf.ifna(VLOOKUP(G848,Proyectos!$E$1:$N$4,10,0),"")</f>
        <v>#NAME?</v>
      </c>
      <c r="M847" s="32"/>
      <c r="N847" s="31"/>
      <c r="O847" s="31"/>
      <c r="P847" s="33"/>
      <c r="Q847" s="33"/>
    </row>
    <row r="848" spans="1:17" ht="16.5" customHeight="1" x14ac:dyDescent="0.2">
      <c r="A848" s="26" t="s">
        <v>4738</v>
      </c>
      <c r="B848" s="26" t="s">
        <v>5562</v>
      </c>
      <c r="C848" s="26" t="s">
        <v>115</v>
      </c>
      <c r="D848" s="26" t="s">
        <v>131</v>
      </c>
      <c r="E848" s="26" t="s">
        <v>39</v>
      </c>
      <c r="F848" s="28" t="e">
        <f ca="1">_xludf.ifna(VLOOKUP(G849,Proyectos!$E$1:$H$4,4,0),"")</f>
        <v>#NAME?</v>
      </c>
      <c r="G848" s="26" t="s">
        <v>5597</v>
      </c>
      <c r="H848" s="32">
        <v>1</v>
      </c>
      <c r="I848" s="31" t="s">
        <v>18</v>
      </c>
      <c r="J848" s="31" t="s">
        <v>5797</v>
      </c>
      <c r="K848" s="32" t="str">
        <f t="shared" si="3"/>
        <v>Interno</v>
      </c>
      <c r="L848" s="32" t="e">
        <f ca="1">_xludf.ifna(VLOOKUP(G849,Proyectos!$E$1:$N$4,10,0),"")</f>
        <v>#NAME?</v>
      </c>
      <c r="M848" s="32"/>
      <c r="N848" s="31"/>
      <c r="O848" s="31"/>
      <c r="P848" s="33"/>
      <c r="Q848" s="33"/>
    </row>
    <row r="849" spans="1:17" ht="16.5" customHeight="1" x14ac:dyDescent="0.2">
      <c r="A849" s="26" t="s">
        <v>4348</v>
      </c>
      <c r="B849" s="26" t="s">
        <v>4349</v>
      </c>
      <c r="C849" s="26" t="s">
        <v>98</v>
      </c>
      <c r="D849" s="26" t="s">
        <v>99</v>
      </c>
      <c r="E849" s="26" t="s">
        <v>108</v>
      </c>
      <c r="F849" s="28" t="e">
        <f ca="1">_xludf.ifna(VLOOKUP(G850,Proyectos!$E$1:$H$4,4,0),"")</f>
        <v>#NAME?</v>
      </c>
      <c r="G849" s="26" t="s">
        <v>5129</v>
      </c>
      <c r="H849" s="32">
        <v>1</v>
      </c>
      <c r="I849" s="31" t="s">
        <v>25</v>
      </c>
      <c r="J849" s="32"/>
      <c r="K849" s="32" t="str">
        <f t="shared" si="3"/>
        <v>Externo</v>
      </c>
      <c r="L849" s="32" t="e">
        <f ca="1">_xludf.ifna(VLOOKUP(G850,Proyectos!$E$1:$N$4,10,0),"")</f>
        <v>#NAME?</v>
      </c>
      <c r="M849" s="32"/>
      <c r="N849" s="32"/>
      <c r="O849" s="31"/>
      <c r="P849" s="33"/>
      <c r="Q849" s="33"/>
    </row>
    <row r="850" spans="1:17" ht="16.5" customHeight="1" x14ac:dyDescent="0.2">
      <c r="A850" s="26" t="s">
        <v>3714</v>
      </c>
      <c r="B850" s="26" t="s">
        <v>3715</v>
      </c>
      <c r="C850" s="26" t="s">
        <v>64</v>
      </c>
      <c r="D850" s="26" t="s">
        <v>86</v>
      </c>
      <c r="E850" s="26" t="s">
        <v>39</v>
      </c>
      <c r="F850" s="28" t="e">
        <f ca="1">_xludf.ifna(VLOOKUP(G851,Proyectos!$E$1:$H$4,4,0),"")</f>
        <v>#NAME?</v>
      </c>
      <c r="G850" s="26" t="s">
        <v>5463</v>
      </c>
      <c r="H850" s="30">
        <v>1</v>
      </c>
      <c r="I850" s="31" t="s">
        <v>18</v>
      </c>
      <c r="J850" s="32"/>
      <c r="K850" s="32" t="str">
        <f t="shared" si="3"/>
        <v>Interno</v>
      </c>
      <c r="L850" s="32" t="e">
        <f ca="1">_xludf.ifna(VLOOKUP(G851,Proyectos!$E$1:$N$4,10,0),"")</f>
        <v>#NAME?</v>
      </c>
      <c r="M850" s="32"/>
      <c r="N850" s="32"/>
      <c r="O850" s="31"/>
      <c r="P850" s="33"/>
      <c r="Q850" s="33"/>
    </row>
    <row r="851" spans="1:17" ht="16.5" customHeight="1" x14ac:dyDescent="0.2">
      <c r="A851" s="26" t="s">
        <v>3530</v>
      </c>
      <c r="B851" s="26" t="s">
        <v>3531</v>
      </c>
      <c r="C851" s="26" t="s">
        <v>115</v>
      </c>
      <c r="D851" s="26" t="s">
        <v>119</v>
      </c>
      <c r="E851" s="26" t="s">
        <v>39</v>
      </c>
      <c r="F851" s="28" t="e">
        <f ca="1">_xludf.ifna(VLOOKUP(G852,Proyectos!$E$1:$H$4,4,0),"")</f>
        <v>#NAME?</v>
      </c>
      <c r="G851" s="26" t="s">
        <v>5227</v>
      </c>
      <c r="H851" s="32">
        <v>0.8</v>
      </c>
      <c r="I851" s="31" t="s">
        <v>18</v>
      </c>
      <c r="J851" s="32"/>
      <c r="K851" s="32" t="str">
        <f t="shared" si="3"/>
        <v>Interno</v>
      </c>
      <c r="L851" s="32" t="e">
        <f ca="1">_xludf.ifna(VLOOKUP(G852,Proyectos!$E$1:$N$4,10,0),"")</f>
        <v>#NAME?</v>
      </c>
      <c r="M851" s="32"/>
      <c r="N851" s="31"/>
      <c r="O851" s="31"/>
      <c r="P851" s="33"/>
      <c r="Q851" s="33"/>
    </row>
    <row r="852" spans="1:17" ht="16.5" customHeight="1" x14ac:dyDescent="0.2">
      <c r="A852" s="26" t="s">
        <v>3530</v>
      </c>
      <c r="B852" s="26" t="s">
        <v>3531</v>
      </c>
      <c r="C852" s="26" t="s">
        <v>115</v>
      </c>
      <c r="D852" s="26" t="s">
        <v>119</v>
      </c>
      <c r="E852" s="26" t="s">
        <v>39</v>
      </c>
      <c r="F852" s="28" t="e">
        <f ca="1">_xludf.ifna(VLOOKUP(G853,Proyectos!$E$1:$H$4,4,0),"")</f>
        <v>#NAME?</v>
      </c>
      <c r="G852" s="26" t="s">
        <v>5225</v>
      </c>
      <c r="H852" s="32">
        <v>0.2</v>
      </c>
      <c r="I852" s="31" t="s">
        <v>18</v>
      </c>
      <c r="J852" s="32"/>
      <c r="K852" s="32" t="str">
        <f t="shared" si="3"/>
        <v>Interno</v>
      </c>
      <c r="L852" s="32" t="e">
        <f ca="1">_xludf.ifna(VLOOKUP(G853,Proyectos!$E$1:$N$4,10,0),"")</f>
        <v>#NAME?</v>
      </c>
      <c r="M852" s="32"/>
      <c r="N852" s="31"/>
      <c r="O852" s="31"/>
      <c r="P852" s="33"/>
      <c r="Q852" s="33"/>
    </row>
    <row r="853" spans="1:17" ht="16.5" customHeight="1" x14ac:dyDescent="0.2">
      <c r="A853" s="26" t="s">
        <v>4663</v>
      </c>
      <c r="B853" s="26" t="s">
        <v>5798</v>
      </c>
      <c r="C853" s="35" t="s">
        <v>7</v>
      </c>
      <c r="D853" s="35" t="s">
        <v>8</v>
      </c>
      <c r="E853" s="35" t="s">
        <v>39</v>
      </c>
      <c r="F853" s="28" t="e">
        <f ca="1">_xludf.ifna(VLOOKUP(G854,Proyectos!$E$1:$H$4,4,0),"")</f>
        <v>#NAME?</v>
      </c>
      <c r="G853" s="26" t="s">
        <v>5597</v>
      </c>
      <c r="H853" s="30">
        <v>1</v>
      </c>
      <c r="I853" s="31" t="s">
        <v>18</v>
      </c>
      <c r="J853" s="30"/>
      <c r="K853" s="32" t="str">
        <f t="shared" si="3"/>
        <v>Interno</v>
      </c>
      <c r="L853" s="32" t="e">
        <f ca="1">_xludf.ifna(VLOOKUP(G854,Proyectos!$E$1:$N$4,10,0),"")</f>
        <v>#NAME?</v>
      </c>
      <c r="M853" s="32"/>
      <c r="N853" s="31"/>
      <c r="O853" s="31"/>
      <c r="P853" s="33"/>
      <c r="Q853" s="33"/>
    </row>
    <row r="854" spans="1:17" ht="16.5" customHeight="1" x14ac:dyDescent="0.2">
      <c r="A854" s="26" t="s">
        <v>3888</v>
      </c>
      <c r="B854" s="26" t="s">
        <v>3889</v>
      </c>
      <c r="C854" s="54" t="s">
        <v>7</v>
      </c>
      <c r="D854" s="35" t="s">
        <v>8</v>
      </c>
      <c r="E854" s="35" t="s">
        <v>39</v>
      </c>
      <c r="F854" s="28" t="e">
        <f ca="1">_xludf.ifna(VLOOKUP(G855,Proyectos!$E$1:$H$4,4,0),"")</f>
        <v>#NAME?</v>
      </c>
      <c r="G854" s="35" t="s">
        <v>5674</v>
      </c>
      <c r="H854" s="30">
        <v>0.3</v>
      </c>
      <c r="I854" s="31" t="s">
        <v>18</v>
      </c>
      <c r="J854" s="55"/>
      <c r="K854" s="32" t="str">
        <f t="shared" si="3"/>
        <v>Interno</v>
      </c>
      <c r="L854" s="32" t="e">
        <f ca="1">_xludf.ifna(VLOOKUP(G855,Proyectos!$E$1:$N$4,10,0),"")</f>
        <v>#NAME?</v>
      </c>
      <c r="M854" s="32"/>
      <c r="N854" s="31"/>
      <c r="O854" s="31"/>
      <c r="P854" s="33"/>
      <c r="Q854" s="33"/>
    </row>
    <row r="855" spans="1:17" ht="16.5" customHeight="1" x14ac:dyDescent="0.2">
      <c r="A855" s="26" t="s">
        <v>3888</v>
      </c>
      <c r="B855" s="26" t="s">
        <v>3889</v>
      </c>
      <c r="C855" s="54" t="s">
        <v>7</v>
      </c>
      <c r="D855" s="35" t="s">
        <v>8</v>
      </c>
      <c r="E855" s="35" t="s">
        <v>39</v>
      </c>
      <c r="F855" s="28" t="e">
        <f ca="1">_xludf.ifna(VLOOKUP(G856,Proyectos!$E$1:$H$4,4,0),"")</f>
        <v>#NAME?</v>
      </c>
      <c r="G855" s="35" t="s">
        <v>5186</v>
      </c>
      <c r="H855" s="30">
        <v>0.7</v>
      </c>
      <c r="I855" s="31" t="s">
        <v>18</v>
      </c>
      <c r="J855" s="55"/>
      <c r="K855" s="32" t="str">
        <f t="shared" si="3"/>
        <v>Interno</v>
      </c>
      <c r="L855" s="32" t="e">
        <f ca="1">_xludf.ifna(VLOOKUP(G856,Proyectos!$E$1:$N$4,10,0),"")</f>
        <v>#NAME?</v>
      </c>
      <c r="M855" s="32"/>
      <c r="N855" s="31"/>
      <c r="O855" s="31"/>
      <c r="P855" s="33"/>
      <c r="Q855" s="33"/>
    </row>
    <row r="856" spans="1:17" ht="16.5" customHeight="1" x14ac:dyDescent="0.2">
      <c r="A856" s="35" t="s">
        <v>4208</v>
      </c>
      <c r="B856" s="26" t="s">
        <v>5501</v>
      </c>
      <c r="C856" s="26" t="s">
        <v>64</v>
      </c>
      <c r="D856" s="26" t="s">
        <v>82</v>
      </c>
      <c r="E856" s="35" t="s">
        <v>100</v>
      </c>
      <c r="F856" s="28" t="e">
        <f ca="1">_xludf.ifna(VLOOKUP(G857,Proyectos!$E$1:$H$4,4,0),"")</f>
        <v>#NAME?</v>
      </c>
      <c r="G856" s="26" t="s">
        <v>5387</v>
      </c>
      <c r="H856" s="32">
        <v>1</v>
      </c>
      <c r="I856" s="31" t="s">
        <v>18</v>
      </c>
      <c r="J856" s="32"/>
      <c r="K856" s="32" t="str">
        <f t="shared" si="3"/>
        <v>Externo</v>
      </c>
      <c r="L856" s="32" t="e">
        <f ca="1">_xludf.ifna(VLOOKUP(G857,Proyectos!$E$1:$N$4,10,0),"")</f>
        <v>#NAME?</v>
      </c>
      <c r="M856" s="32"/>
      <c r="N856" s="32"/>
      <c r="O856" s="31"/>
      <c r="P856" s="33"/>
      <c r="Q856" s="33"/>
    </row>
    <row r="857" spans="1:17" ht="16.5" customHeight="1" x14ac:dyDescent="0.2">
      <c r="A857" s="35" t="s">
        <v>4132</v>
      </c>
      <c r="B857" s="26" t="s">
        <v>5502</v>
      </c>
      <c r="C857" s="26" t="s">
        <v>64</v>
      </c>
      <c r="D857" s="26" t="s">
        <v>82</v>
      </c>
      <c r="E857" s="35" t="s">
        <v>108</v>
      </c>
      <c r="F857" s="28" t="e">
        <f ca="1">_xludf.ifna(VLOOKUP(G858,Proyectos!$E$1:$H$4,4,0),"")</f>
        <v>#NAME?</v>
      </c>
      <c r="G857" s="26" t="s">
        <v>5387</v>
      </c>
      <c r="H857" s="32">
        <v>1</v>
      </c>
      <c r="I857" s="31" t="s">
        <v>18</v>
      </c>
      <c r="J857" s="32"/>
      <c r="K857" s="32" t="str">
        <f t="shared" si="3"/>
        <v>Externo</v>
      </c>
      <c r="L857" s="32" t="e">
        <f ca="1">_xludf.ifna(VLOOKUP(G858,Proyectos!$E$1:$N$4,10,0),"")</f>
        <v>#NAME?</v>
      </c>
      <c r="M857" s="32"/>
      <c r="N857" s="32"/>
      <c r="O857" s="31"/>
      <c r="P857" s="33"/>
      <c r="Q857" s="33"/>
    </row>
    <row r="858" spans="1:17" ht="16.5" customHeight="1" x14ac:dyDescent="0.2">
      <c r="A858" s="35" t="s">
        <v>5799</v>
      </c>
      <c r="B858" s="26" t="s">
        <v>5800</v>
      </c>
      <c r="C858" s="26" t="s">
        <v>64</v>
      </c>
      <c r="D858" s="26" t="s">
        <v>82</v>
      </c>
      <c r="E858" s="35" t="s">
        <v>39</v>
      </c>
      <c r="F858" s="28" t="e">
        <f ca="1">_xludf.ifna(VLOOKUP(G859,Proyectos!$E$1:$H$4,4,0),"")</f>
        <v>#NAME?</v>
      </c>
      <c r="G858" s="26" t="s">
        <v>5434</v>
      </c>
      <c r="H858" s="32">
        <v>1</v>
      </c>
      <c r="I858" s="31" t="s">
        <v>18</v>
      </c>
      <c r="J858" s="32"/>
      <c r="K858" s="32" t="str">
        <f t="shared" si="3"/>
        <v>Interno</v>
      </c>
      <c r="L858" s="32" t="e">
        <f ca="1">_xludf.ifna(VLOOKUP(G859,Proyectos!$E$1:$N$4,10,0),"")</f>
        <v>#NAME?</v>
      </c>
      <c r="M858" s="32"/>
      <c r="N858" s="31"/>
      <c r="O858" s="31"/>
      <c r="P858" s="33"/>
      <c r="Q858" s="33"/>
    </row>
    <row r="859" spans="1:17" ht="16.5" customHeight="1" x14ac:dyDescent="0.2">
      <c r="A859" s="35" t="s">
        <v>4998</v>
      </c>
      <c r="B859" s="26" t="s">
        <v>5801</v>
      </c>
      <c r="C859" s="26" t="s">
        <v>64</v>
      </c>
      <c r="D859" s="26" t="s">
        <v>82</v>
      </c>
      <c r="E859" s="35" t="s">
        <v>126</v>
      </c>
      <c r="F859" s="28" t="e">
        <f ca="1">_xludf.ifna(VLOOKUP(G860,Proyectos!$E$1:$H$4,4,0),"")</f>
        <v>#NAME?</v>
      </c>
      <c r="G859" s="26" t="s">
        <v>5387</v>
      </c>
      <c r="H859" s="32">
        <v>1</v>
      </c>
      <c r="I859" s="31" t="s">
        <v>18</v>
      </c>
      <c r="J859" s="32"/>
      <c r="K859" s="32" t="str">
        <f t="shared" si="3"/>
        <v>Externo</v>
      </c>
      <c r="L859" s="32" t="e">
        <f ca="1">_xludf.ifna(VLOOKUP(G860,Proyectos!$E$1:$N$4,10,0),"")</f>
        <v>#NAME?</v>
      </c>
      <c r="M859" s="32"/>
      <c r="N859" s="32"/>
      <c r="O859" s="31"/>
      <c r="P859" s="33"/>
      <c r="Q859" s="33"/>
    </row>
    <row r="860" spans="1:17" ht="16.5" customHeight="1" x14ac:dyDescent="0.2">
      <c r="A860" s="26" t="s">
        <v>5011</v>
      </c>
      <c r="B860" s="26" t="s">
        <v>5012</v>
      </c>
      <c r="C860" s="26" t="s">
        <v>98</v>
      </c>
      <c r="D860" s="26" t="s">
        <v>110</v>
      </c>
      <c r="E860" s="26" t="s">
        <v>106</v>
      </c>
      <c r="F860" s="28" t="e">
        <f ca="1">_xludf.ifna(VLOOKUP(G861,Proyectos!$E$1:$H$4,4,0),"")</f>
        <v>#NAME?</v>
      </c>
      <c r="G860" s="26" t="s">
        <v>5243</v>
      </c>
      <c r="H860" s="32">
        <v>1</v>
      </c>
      <c r="I860" s="31" t="s">
        <v>18</v>
      </c>
      <c r="J860" s="32"/>
      <c r="K860" s="32" t="str">
        <f t="shared" si="3"/>
        <v>Externo</v>
      </c>
      <c r="L860" s="32" t="e">
        <f ca="1">_xludf.ifna(VLOOKUP(G861,Proyectos!$E$1:$N$4,10,0),"")</f>
        <v>#NAME?</v>
      </c>
      <c r="M860" s="32"/>
      <c r="N860" s="32"/>
      <c r="O860" s="31"/>
      <c r="P860" s="33"/>
      <c r="Q860" s="33"/>
    </row>
    <row r="861" spans="1:17" ht="16.5" customHeight="1" x14ac:dyDescent="0.2">
      <c r="A861" s="26" t="s">
        <v>3886</v>
      </c>
      <c r="B861" s="26" t="s">
        <v>3887</v>
      </c>
      <c r="C861" s="26" t="s">
        <v>115</v>
      </c>
      <c r="D861" s="26" t="s">
        <v>122</v>
      </c>
      <c r="E861" s="26" t="s">
        <v>39</v>
      </c>
      <c r="F861" s="28" t="e">
        <f ca="1">_xludf.ifna(VLOOKUP(G862,Proyectos!$E$1:$H$4,4,0),"")</f>
        <v>#NAME?</v>
      </c>
      <c r="G861" s="26" t="s">
        <v>5424</v>
      </c>
      <c r="H861" s="32">
        <v>0.15</v>
      </c>
      <c r="I861" s="31" t="s">
        <v>11</v>
      </c>
      <c r="J861" s="32"/>
      <c r="K861" s="32" t="str">
        <f t="shared" si="3"/>
        <v>Interno</v>
      </c>
      <c r="L861" s="32" t="e">
        <f ca="1">_xludf.ifna(VLOOKUP(G862,Proyectos!$E$1:$N$4,10,0),"")</f>
        <v>#NAME?</v>
      </c>
      <c r="M861" s="32"/>
      <c r="N861" s="31"/>
      <c r="O861" s="31"/>
      <c r="P861" s="33"/>
      <c r="Q861" s="33"/>
    </row>
    <row r="862" spans="1:17" ht="16.5" customHeight="1" x14ac:dyDescent="0.2">
      <c r="A862" s="26" t="s">
        <v>3886</v>
      </c>
      <c r="B862" s="26" t="s">
        <v>3887</v>
      </c>
      <c r="C862" s="26" t="s">
        <v>115</v>
      </c>
      <c r="D862" s="26" t="s">
        <v>122</v>
      </c>
      <c r="E862" s="26" t="s">
        <v>39</v>
      </c>
      <c r="F862" s="28" t="e">
        <f ca="1">_xludf.ifna(VLOOKUP(G863,Proyectos!$E$1:$H$4,4,0),"")</f>
        <v>#NAME?</v>
      </c>
      <c r="G862" s="26" t="s">
        <v>5423</v>
      </c>
      <c r="H862" s="32">
        <v>0.1</v>
      </c>
      <c r="I862" s="31" t="s">
        <v>11</v>
      </c>
      <c r="J862" s="32"/>
      <c r="K862" s="32" t="str">
        <f t="shared" si="3"/>
        <v>Interno</v>
      </c>
      <c r="L862" s="32" t="e">
        <f ca="1">_xludf.ifna(VLOOKUP(G863,Proyectos!$E$1:$N$4,10,0),"")</f>
        <v>#NAME?</v>
      </c>
      <c r="M862" s="32"/>
      <c r="N862" s="31"/>
      <c r="O862" s="31"/>
      <c r="P862" s="33"/>
      <c r="Q862" s="33"/>
    </row>
    <row r="863" spans="1:17" ht="16.5" customHeight="1" x14ac:dyDescent="0.2">
      <c r="A863" s="26" t="s">
        <v>3886</v>
      </c>
      <c r="B863" s="26" t="s">
        <v>3887</v>
      </c>
      <c r="C863" s="26" t="s">
        <v>115</v>
      </c>
      <c r="D863" s="26" t="s">
        <v>122</v>
      </c>
      <c r="E863" s="26" t="s">
        <v>39</v>
      </c>
      <c r="F863" s="28" t="e">
        <f ca="1">_xludf.ifna(VLOOKUP(G864,Proyectos!$E$1:$H$4,4,0),"")</f>
        <v>#NAME?</v>
      </c>
      <c r="G863" s="26" t="s">
        <v>5416</v>
      </c>
      <c r="H863" s="32">
        <v>0.05</v>
      </c>
      <c r="I863" s="31" t="s">
        <v>11</v>
      </c>
      <c r="J863" s="32"/>
      <c r="K863" s="32" t="str">
        <f t="shared" si="3"/>
        <v>Interno</v>
      </c>
      <c r="L863" s="32" t="e">
        <f ca="1">_xludf.ifna(VLOOKUP(G864,Proyectos!$E$1:$N$4,10,0),"")</f>
        <v>#NAME?</v>
      </c>
      <c r="M863" s="32"/>
      <c r="N863" s="31"/>
      <c r="O863" s="31"/>
      <c r="P863" s="33"/>
      <c r="Q863" s="33"/>
    </row>
    <row r="864" spans="1:17" ht="16.5" customHeight="1" x14ac:dyDescent="0.2">
      <c r="A864" s="26" t="s">
        <v>3886</v>
      </c>
      <c r="B864" s="26" t="s">
        <v>3887</v>
      </c>
      <c r="C864" s="26" t="s">
        <v>115</v>
      </c>
      <c r="D864" s="26" t="s">
        <v>122</v>
      </c>
      <c r="E864" s="26" t="s">
        <v>39</v>
      </c>
      <c r="F864" s="28" t="e">
        <f ca="1">_xludf.ifna(VLOOKUP(G865,Proyectos!$E$1:$H$4,4,0),"")</f>
        <v>#NAME?</v>
      </c>
      <c r="G864" s="26" t="s">
        <v>5225</v>
      </c>
      <c r="H864" s="32">
        <v>0.05</v>
      </c>
      <c r="I864" s="31" t="s">
        <v>11</v>
      </c>
      <c r="J864" s="32"/>
      <c r="K864" s="32" t="str">
        <f t="shared" si="3"/>
        <v>Interno</v>
      </c>
      <c r="L864" s="32" t="e">
        <f ca="1">_xludf.ifna(VLOOKUP(G865,Proyectos!$E$1:$N$4,10,0),"")</f>
        <v>#NAME?</v>
      </c>
      <c r="M864" s="32"/>
      <c r="N864" s="31"/>
      <c r="O864" s="31"/>
      <c r="P864" s="33"/>
      <c r="Q864" s="33"/>
    </row>
    <row r="865" spans="1:17" ht="16.5" customHeight="1" x14ac:dyDescent="0.2">
      <c r="A865" s="26" t="s">
        <v>3886</v>
      </c>
      <c r="B865" s="26" t="s">
        <v>3887</v>
      </c>
      <c r="C865" s="26" t="s">
        <v>115</v>
      </c>
      <c r="D865" s="26" t="s">
        <v>122</v>
      </c>
      <c r="E865" s="26" t="s">
        <v>39</v>
      </c>
      <c r="F865" s="28" t="e">
        <f ca="1">_xludf.ifna(VLOOKUP(G866,Proyectos!$E$1:$H$4,4,0),"")</f>
        <v>#NAME?</v>
      </c>
      <c r="G865" s="26" t="s">
        <v>5117</v>
      </c>
      <c r="H865" s="32">
        <v>0.15</v>
      </c>
      <c r="I865" s="31" t="s">
        <v>11</v>
      </c>
      <c r="J865" s="32"/>
      <c r="K865" s="32" t="str">
        <f t="shared" si="3"/>
        <v>Interno</v>
      </c>
      <c r="L865" s="32" t="e">
        <f ca="1">_xludf.ifna(VLOOKUP(G866,Proyectos!$E$1:$N$4,10,0),"")</f>
        <v>#NAME?</v>
      </c>
      <c r="M865" s="32"/>
      <c r="N865" s="32"/>
      <c r="O865" s="31"/>
      <c r="P865" s="33"/>
      <c r="Q865" s="33"/>
    </row>
    <row r="866" spans="1:17" ht="16.5" customHeight="1" x14ac:dyDescent="0.2">
      <c r="A866" s="26" t="s">
        <v>3886</v>
      </c>
      <c r="B866" s="26" t="s">
        <v>3887</v>
      </c>
      <c r="C866" s="26" t="s">
        <v>115</v>
      </c>
      <c r="D866" s="26" t="s">
        <v>122</v>
      </c>
      <c r="E866" s="26" t="s">
        <v>39</v>
      </c>
      <c r="F866" s="28" t="e">
        <f ca="1">_xludf.ifna(VLOOKUP(G867,Proyectos!$E$1:$H$4,4,0),"")</f>
        <v>#NAME?</v>
      </c>
      <c r="G866" s="26" t="s">
        <v>5425</v>
      </c>
      <c r="H866" s="32">
        <v>0.1</v>
      </c>
      <c r="I866" s="31" t="s">
        <v>11</v>
      </c>
      <c r="J866" s="32"/>
      <c r="K866" s="32" t="str">
        <f t="shared" si="3"/>
        <v>Interno</v>
      </c>
      <c r="L866" s="32" t="e">
        <f ca="1">_xludf.ifna(VLOOKUP(G867,Proyectos!$E$1:$N$4,10,0),"")</f>
        <v>#NAME?</v>
      </c>
      <c r="M866" s="32"/>
      <c r="N866" s="31"/>
      <c r="O866" s="31"/>
      <c r="P866" s="33"/>
      <c r="Q866" s="33"/>
    </row>
    <row r="867" spans="1:17" ht="16.5" customHeight="1" x14ac:dyDescent="0.2">
      <c r="A867" s="26" t="s">
        <v>3886</v>
      </c>
      <c r="B867" s="26" t="s">
        <v>3887</v>
      </c>
      <c r="C867" s="26" t="s">
        <v>115</v>
      </c>
      <c r="D867" s="26" t="s">
        <v>122</v>
      </c>
      <c r="E867" s="26" t="s">
        <v>39</v>
      </c>
      <c r="F867" s="28" t="e">
        <f ca="1">_xludf.ifna(VLOOKUP(G868,Proyectos!$E$1:$H$4,4,0),"")</f>
        <v>#NAME?</v>
      </c>
      <c r="G867" s="26" t="s">
        <v>5116</v>
      </c>
      <c r="H867" s="32">
        <v>0.1</v>
      </c>
      <c r="I867" s="31" t="s">
        <v>11</v>
      </c>
      <c r="J867" s="32"/>
      <c r="K867" s="32" t="str">
        <f t="shared" si="3"/>
        <v>Interno</v>
      </c>
      <c r="L867" s="32" t="e">
        <f ca="1">_xludf.ifna(VLOOKUP(G868,Proyectos!$E$1:$N$4,10,0),"")</f>
        <v>#NAME?</v>
      </c>
      <c r="M867" s="32"/>
      <c r="N867" s="32"/>
      <c r="O867" s="31"/>
      <c r="P867" s="33"/>
      <c r="Q867" s="33"/>
    </row>
    <row r="868" spans="1:17" ht="16.5" customHeight="1" x14ac:dyDescent="0.2">
      <c r="A868" s="26" t="s">
        <v>3886</v>
      </c>
      <c r="B868" s="26" t="s">
        <v>3887</v>
      </c>
      <c r="C868" s="26" t="s">
        <v>115</v>
      </c>
      <c r="D868" s="26" t="s">
        <v>122</v>
      </c>
      <c r="E868" s="26" t="s">
        <v>39</v>
      </c>
      <c r="F868" s="28" t="e">
        <f ca="1">_xludf.ifna(VLOOKUP(G869,Proyectos!$E$1:$H$4,4,0),"")</f>
        <v>#NAME?</v>
      </c>
      <c r="G868" s="26" t="s">
        <v>5597</v>
      </c>
      <c r="H868" s="32">
        <v>0.3</v>
      </c>
      <c r="I868" s="31" t="s">
        <v>11</v>
      </c>
      <c r="J868" s="32"/>
      <c r="K868" s="32" t="str">
        <f t="shared" si="3"/>
        <v>Interno</v>
      </c>
      <c r="L868" s="32" t="e">
        <f ca="1">_xludf.ifna(VLOOKUP(G869,Proyectos!$E$1:$N$4,10,0),"")</f>
        <v>#NAME?</v>
      </c>
      <c r="M868" s="32"/>
      <c r="N868" s="31"/>
      <c r="O868" s="31"/>
      <c r="P868" s="33"/>
      <c r="Q868" s="33"/>
    </row>
    <row r="869" spans="1:17" ht="16.5" customHeight="1" x14ac:dyDescent="0.2">
      <c r="A869" s="26" t="s">
        <v>4715</v>
      </c>
      <c r="B869" s="26" t="s">
        <v>4716</v>
      </c>
      <c r="C869" s="53" t="s">
        <v>64</v>
      </c>
      <c r="D869" s="26" t="s">
        <v>92</v>
      </c>
      <c r="E869" s="53" t="s">
        <v>39</v>
      </c>
      <c r="F869" s="28" t="e">
        <f ca="1">_xludf.ifna(VLOOKUP(G870,Proyectos!$E$1:$H$4,4,0),"")</f>
        <v>#NAME?</v>
      </c>
      <c r="G869" s="26" t="s">
        <v>5652</v>
      </c>
      <c r="H869" s="32">
        <v>1</v>
      </c>
      <c r="I869" s="31" t="s">
        <v>18</v>
      </c>
      <c r="J869" s="32"/>
      <c r="K869" s="32" t="str">
        <f t="shared" si="3"/>
        <v>Interno</v>
      </c>
      <c r="L869" s="32" t="e">
        <f ca="1">_xludf.ifna(VLOOKUP(G870,Proyectos!$E$1:$N$4,10,0),"")</f>
        <v>#NAME?</v>
      </c>
      <c r="M869" s="32"/>
      <c r="N869" s="32"/>
      <c r="O869" s="31"/>
      <c r="P869" s="33"/>
      <c r="Q869" s="33"/>
    </row>
    <row r="870" spans="1:17" ht="16.5" customHeight="1" x14ac:dyDescent="0.2">
      <c r="A870" s="26" t="s">
        <v>4683</v>
      </c>
      <c r="B870" s="26" t="s">
        <v>5802</v>
      </c>
      <c r="C870" s="26" t="s">
        <v>64</v>
      </c>
      <c r="D870" s="26" t="s">
        <v>95</v>
      </c>
      <c r="E870" s="26" t="s">
        <v>39</v>
      </c>
      <c r="F870" s="28" t="e">
        <f ca="1">_xludf.ifna(VLOOKUP(G871,Proyectos!$E$1:$H$4,4,0),"")</f>
        <v>#NAME?</v>
      </c>
      <c r="G870" s="26" t="s">
        <v>5366</v>
      </c>
      <c r="H870" s="32">
        <v>1</v>
      </c>
      <c r="I870" s="31" t="s">
        <v>18</v>
      </c>
      <c r="J870" s="32"/>
      <c r="K870" s="32" t="str">
        <f t="shared" si="3"/>
        <v>Interno</v>
      </c>
      <c r="L870" s="32" t="e">
        <f ca="1">_xludf.ifna(VLOOKUP(G871,Proyectos!$E$1:$N$4,10,0),"")</f>
        <v>#NAME?</v>
      </c>
      <c r="M870" s="32"/>
      <c r="N870" s="32"/>
      <c r="O870" s="31"/>
      <c r="P870" s="33"/>
      <c r="Q870" s="33"/>
    </row>
    <row r="871" spans="1:17" ht="16.5" customHeight="1" x14ac:dyDescent="0.2">
      <c r="A871" s="26" t="s">
        <v>4962</v>
      </c>
      <c r="B871" s="26" t="s">
        <v>5204</v>
      </c>
      <c r="C871" s="54" t="s">
        <v>7</v>
      </c>
      <c r="D871" s="35" t="s">
        <v>8</v>
      </c>
      <c r="E871" s="35" t="s">
        <v>87</v>
      </c>
      <c r="F871" s="28" t="e">
        <f ca="1">_xludf.ifna(VLOOKUP(G872,Proyectos!$E$1:$H$4,4,0),"")</f>
        <v>#NAME?</v>
      </c>
      <c r="G871" s="35" t="s">
        <v>5188</v>
      </c>
      <c r="H871" s="30">
        <v>1</v>
      </c>
      <c r="I871" s="31" t="s">
        <v>18</v>
      </c>
      <c r="J871" s="55"/>
      <c r="K871" s="32" t="str">
        <f t="shared" si="3"/>
        <v>Externo</v>
      </c>
      <c r="L871" s="32" t="e">
        <f ca="1">_xludf.ifna(VLOOKUP(G872,Proyectos!$E$1:$N$4,10,0),"")</f>
        <v>#NAME?</v>
      </c>
      <c r="M871" s="32"/>
      <c r="N871" s="31"/>
      <c r="O871" s="31"/>
      <c r="P871" s="33"/>
      <c r="Q871" s="33"/>
    </row>
    <row r="872" spans="1:17" ht="16.5" customHeight="1" x14ac:dyDescent="0.2">
      <c r="A872" s="26" t="s">
        <v>4090</v>
      </c>
      <c r="B872" s="26" t="s">
        <v>4091</v>
      </c>
      <c r="C872" s="54" t="s">
        <v>7</v>
      </c>
      <c r="D872" s="35" t="s">
        <v>8</v>
      </c>
      <c r="E872" s="35" t="s">
        <v>66</v>
      </c>
      <c r="F872" s="28" t="e">
        <f ca="1">_xludf.ifna(VLOOKUP(G873,Proyectos!$E$1:$H$4,4,0),"")</f>
        <v>#NAME?</v>
      </c>
      <c r="G872" s="35" t="s">
        <v>5150</v>
      </c>
      <c r="H872" s="34">
        <v>0.25</v>
      </c>
      <c r="I872" s="31" t="s">
        <v>18</v>
      </c>
      <c r="J872" s="55"/>
      <c r="K872" s="32" t="str">
        <f t="shared" si="3"/>
        <v>Externo</v>
      </c>
      <c r="L872" s="32" t="e">
        <f ca="1">_xludf.ifna(VLOOKUP(G873,Proyectos!$E$1:$N$4,10,0),"")</f>
        <v>#NAME?</v>
      </c>
      <c r="M872" s="32"/>
      <c r="N872" s="31"/>
      <c r="O872" s="31"/>
      <c r="P872" s="33"/>
      <c r="Q872" s="33"/>
    </row>
    <row r="873" spans="1:17" ht="16.5" customHeight="1" x14ac:dyDescent="0.2">
      <c r="A873" s="26" t="s">
        <v>4090</v>
      </c>
      <c r="B873" s="26" t="s">
        <v>4091</v>
      </c>
      <c r="C873" s="54" t="s">
        <v>7</v>
      </c>
      <c r="D873" s="35" t="s">
        <v>8</v>
      </c>
      <c r="E873" s="35" t="s">
        <v>66</v>
      </c>
      <c r="F873" s="28" t="e">
        <f ca="1">_xludf.ifna(VLOOKUP(G874,Proyectos!$E$1:$H$4,4,0),"")</f>
        <v>#NAME?</v>
      </c>
      <c r="G873" s="35" t="s">
        <v>5198</v>
      </c>
      <c r="H873" s="30">
        <v>0.25</v>
      </c>
      <c r="I873" s="31" t="s">
        <v>18</v>
      </c>
      <c r="J873" s="55"/>
      <c r="K873" s="32" t="str">
        <f t="shared" si="3"/>
        <v>Externo</v>
      </c>
      <c r="L873" s="32" t="e">
        <f ca="1">_xludf.ifna(VLOOKUP(G874,Proyectos!$E$1:$N$4,10,0),"")</f>
        <v>#NAME?</v>
      </c>
      <c r="M873" s="32"/>
      <c r="N873" s="31"/>
      <c r="O873" s="31"/>
      <c r="P873" s="33"/>
      <c r="Q873" s="33"/>
    </row>
    <row r="874" spans="1:17" ht="16.5" customHeight="1" x14ac:dyDescent="0.2">
      <c r="A874" s="26" t="s">
        <v>4090</v>
      </c>
      <c r="B874" s="26" t="s">
        <v>5803</v>
      </c>
      <c r="C874" s="26" t="s">
        <v>7</v>
      </c>
      <c r="D874" s="26" t="s">
        <v>16</v>
      </c>
      <c r="E874" s="26" t="s">
        <v>66</v>
      </c>
      <c r="F874" s="28" t="e">
        <f ca="1">_xludf.ifna(VLOOKUP(G875,Proyectos!$E$1:$H$4,4,0),"")</f>
        <v>#NAME?</v>
      </c>
      <c r="G874" s="26" t="s">
        <v>5233</v>
      </c>
      <c r="H874" s="65">
        <v>0.5</v>
      </c>
      <c r="I874" s="31" t="s">
        <v>18</v>
      </c>
      <c r="J874" s="32"/>
      <c r="K874" s="32" t="str">
        <f t="shared" si="3"/>
        <v>Externo</v>
      </c>
      <c r="L874" s="32" t="e">
        <f ca="1">_xludf.ifna(VLOOKUP(G875,Proyectos!$E$1:$N$4,10,0),"")</f>
        <v>#NAME?</v>
      </c>
      <c r="M874" s="32"/>
      <c r="N874" s="32"/>
      <c r="O874" s="31"/>
      <c r="P874" s="33"/>
      <c r="Q874" s="33"/>
    </row>
    <row r="875" spans="1:17" ht="16.5" customHeight="1" x14ac:dyDescent="0.2">
      <c r="A875" s="35" t="s">
        <v>3791</v>
      </c>
      <c r="B875" s="26" t="s">
        <v>5804</v>
      </c>
      <c r="C875" s="26" t="s">
        <v>64</v>
      </c>
      <c r="D875" s="26" t="s">
        <v>82</v>
      </c>
      <c r="E875" s="26" t="s">
        <v>39</v>
      </c>
      <c r="F875" s="28" t="e">
        <f ca="1">_xludf.ifna(VLOOKUP(G876,Proyectos!$E$1:$H$4,4,0),"")</f>
        <v>#NAME?</v>
      </c>
      <c r="G875" s="26" t="s">
        <v>5597</v>
      </c>
      <c r="H875" s="32">
        <v>1</v>
      </c>
      <c r="I875" s="31" t="s">
        <v>18</v>
      </c>
      <c r="J875" s="32"/>
      <c r="K875" s="32" t="str">
        <f t="shared" si="3"/>
        <v>Interno</v>
      </c>
      <c r="L875" s="32" t="e">
        <f ca="1">_xludf.ifna(VLOOKUP(G876,Proyectos!$E$1:$N$4,10,0),"")</f>
        <v>#NAME?</v>
      </c>
      <c r="M875" s="32"/>
      <c r="N875" s="31"/>
      <c r="O875" s="31"/>
      <c r="P875" s="33"/>
      <c r="Q875" s="33"/>
    </row>
    <row r="876" spans="1:17" ht="16.5" customHeight="1" x14ac:dyDescent="0.2">
      <c r="A876" s="26" t="s">
        <v>4897</v>
      </c>
      <c r="B876" s="26" t="s">
        <v>4898</v>
      </c>
      <c r="C876" s="26" t="s">
        <v>115</v>
      </c>
      <c r="D876" s="26" t="s">
        <v>128</v>
      </c>
      <c r="E876" s="26" t="s">
        <v>83</v>
      </c>
      <c r="F876" s="28" t="e">
        <f ca="1">_xludf.ifna(VLOOKUP(G877,Proyectos!$E$1:$H$4,4,0),"")</f>
        <v>#NAME?</v>
      </c>
      <c r="G876" s="26" t="s">
        <v>5543</v>
      </c>
      <c r="H876" s="32">
        <v>1</v>
      </c>
      <c r="I876" s="31" t="s">
        <v>25</v>
      </c>
      <c r="J876" s="32"/>
      <c r="K876" s="32" t="str">
        <f t="shared" si="3"/>
        <v>Externo</v>
      </c>
      <c r="L876" s="32" t="e">
        <f ca="1">_xludf.ifna(VLOOKUP(G877,Proyectos!$E$1:$N$4,10,0),"")</f>
        <v>#NAME?</v>
      </c>
      <c r="M876" s="32"/>
      <c r="N876" s="32"/>
      <c r="O876" s="31"/>
      <c r="P876" s="33"/>
      <c r="Q876" s="33"/>
    </row>
    <row r="877" spans="1:17" ht="16.5" customHeight="1" x14ac:dyDescent="0.2">
      <c r="A877" s="26" t="s">
        <v>3815</v>
      </c>
      <c r="B877" s="26" t="s">
        <v>3816</v>
      </c>
      <c r="C877" s="53" t="s">
        <v>64</v>
      </c>
      <c r="D877" s="26" t="s">
        <v>92</v>
      </c>
      <c r="E877" s="53" t="s">
        <v>39</v>
      </c>
      <c r="F877" s="28" t="e">
        <f ca="1">_xludf.ifna(VLOOKUP(G878,Proyectos!$E$1:$H$4,4,0),"")</f>
        <v>#NAME?</v>
      </c>
      <c r="G877" s="26" t="s">
        <v>5127</v>
      </c>
      <c r="H877" s="32">
        <v>1</v>
      </c>
      <c r="I877" s="31" t="s">
        <v>18</v>
      </c>
      <c r="J877" s="32"/>
      <c r="K877" s="32" t="str">
        <f t="shared" si="3"/>
        <v>Interno</v>
      </c>
      <c r="L877" s="32" t="e">
        <f ca="1">_xludf.ifna(VLOOKUP(G878,Proyectos!$E$1:$N$4,10,0),"")</f>
        <v>#NAME?</v>
      </c>
      <c r="M877" s="32"/>
      <c r="N877" s="32"/>
      <c r="O877" s="31"/>
      <c r="P877" s="33"/>
      <c r="Q877" s="33"/>
    </row>
    <row r="878" spans="1:17" ht="16.5" customHeight="1" x14ac:dyDescent="0.2">
      <c r="A878" s="35" t="s">
        <v>4930</v>
      </c>
      <c r="B878" s="26" t="s">
        <v>5805</v>
      </c>
      <c r="C878" s="26" t="s">
        <v>64</v>
      </c>
      <c r="D878" s="26" t="s">
        <v>82</v>
      </c>
      <c r="E878" s="35" t="s">
        <v>9</v>
      </c>
      <c r="F878" s="28" t="e">
        <f ca="1">_xludf.ifna(VLOOKUP(G879,Proyectos!$E$1:$H$4,4,0),"")</f>
        <v>#NAME?</v>
      </c>
      <c r="G878" s="26" t="s">
        <v>5387</v>
      </c>
      <c r="H878" s="32">
        <v>1</v>
      </c>
      <c r="I878" s="31" t="s">
        <v>18</v>
      </c>
      <c r="J878" s="32"/>
      <c r="K878" s="32" t="str">
        <f t="shared" si="3"/>
        <v>Externo</v>
      </c>
      <c r="L878" s="32" t="e">
        <f ca="1">_xludf.ifna(VLOOKUP(G879,Proyectos!$E$1:$N$4,10,0),"")</f>
        <v>#NAME?</v>
      </c>
      <c r="M878" s="32"/>
      <c r="N878" s="32"/>
      <c r="O878" s="31"/>
      <c r="P878" s="33"/>
      <c r="Q878" s="33"/>
    </row>
    <row r="879" spans="1:17" ht="16.5" customHeight="1" x14ac:dyDescent="0.2">
      <c r="A879" s="26" t="s">
        <v>3455</v>
      </c>
      <c r="B879" s="26" t="s">
        <v>3456</v>
      </c>
      <c r="C879" s="26" t="s">
        <v>115</v>
      </c>
      <c r="D879" s="26" t="s">
        <v>116</v>
      </c>
      <c r="E879" s="26" t="s">
        <v>39</v>
      </c>
      <c r="F879" s="28" t="e">
        <f ca="1">_xludf.ifna(VLOOKUP(G880,Proyectos!$E$1:$H$4,4,0),"")</f>
        <v>#NAME?</v>
      </c>
      <c r="G879" s="26" t="s">
        <v>5476</v>
      </c>
      <c r="H879" s="32">
        <v>0.8</v>
      </c>
      <c r="I879" s="31" t="s">
        <v>18</v>
      </c>
      <c r="J879" s="32"/>
      <c r="K879" s="32" t="str">
        <f t="shared" si="3"/>
        <v>Interno</v>
      </c>
      <c r="L879" s="32" t="e">
        <f ca="1">_xludf.ifna(VLOOKUP(G880,Proyectos!$E$1:$N$4,10,0),"")</f>
        <v>#NAME?</v>
      </c>
      <c r="M879" s="32"/>
      <c r="N879" s="32"/>
      <c r="O879" s="31"/>
      <c r="P879" s="33"/>
      <c r="Q879" s="33"/>
    </row>
    <row r="880" spans="1:17" ht="16.5" customHeight="1" x14ac:dyDescent="0.2">
      <c r="A880" s="26" t="s">
        <v>3455</v>
      </c>
      <c r="B880" s="26" t="s">
        <v>3456</v>
      </c>
      <c r="C880" s="26" t="s">
        <v>115</v>
      </c>
      <c r="D880" s="26" t="s">
        <v>116</v>
      </c>
      <c r="E880" s="26" t="s">
        <v>39</v>
      </c>
      <c r="F880" s="28" t="e">
        <f ca="1">_xludf.ifna(VLOOKUP(G881,Proyectos!$E$1:$H$4,4,0),"")</f>
        <v>#NAME?</v>
      </c>
      <c r="G880" s="26" t="s">
        <v>5597</v>
      </c>
      <c r="H880" s="32">
        <v>0.2</v>
      </c>
      <c r="I880" s="31" t="s">
        <v>18</v>
      </c>
      <c r="J880" s="32"/>
      <c r="K880" s="32" t="str">
        <f t="shared" si="3"/>
        <v>Interno</v>
      </c>
      <c r="L880" s="32" t="e">
        <f ca="1">_xludf.ifna(VLOOKUP(G881,Proyectos!$E$1:$N$4,10,0),"")</f>
        <v>#NAME?</v>
      </c>
      <c r="M880" s="32"/>
      <c r="N880" s="31"/>
      <c r="O880" s="31"/>
      <c r="P880" s="33"/>
      <c r="Q880" s="33"/>
    </row>
    <row r="881" spans="1:17" ht="16.5" customHeight="1" x14ac:dyDescent="0.2">
      <c r="A881" s="35" t="s">
        <v>3769</v>
      </c>
      <c r="B881" s="26" t="s">
        <v>5806</v>
      </c>
      <c r="C881" s="26" t="s">
        <v>64</v>
      </c>
      <c r="D881" s="26" t="s">
        <v>82</v>
      </c>
      <c r="E881" s="26" t="s">
        <v>39</v>
      </c>
      <c r="F881" s="28" t="e">
        <f ca="1">_xludf.ifna(VLOOKUP(G882,Proyectos!$E$1:$H$4,4,0),"")</f>
        <v>#NAME?</v>
      </c>
      <c r="G881" s="26" t="s">
        <v>5597</v>
      </c>
      <c r="H881" s="32">
        <v>1</v>
      </c>
      <c r="I881" s="31" t="s">
        <v>18</v>
      </c>
      <c r="J881" s="32"/>
      <c r="K881" s="32" t="str">
        <f t="shared" si="3"/>
        <v>Interno</v>
      </c>
      <c r="L881" s="32" t="e">
        <f ca="1">_xludf.ifna(VLOOKUP(G882,Proyectos!$E$1:$N$4,10,0),"")</f>
        <v>#NAME?</v>
      </c>
      <c r="M881" s="32"/>
      <c r="N881" s="31"/>
      <c r="O881" s="31"/>
      <c r="P881" s="33"/>
      <c r="Q881" s="33"/>
    </row>
    <row r="882" spans="1:17" ht="16.5" customHeight="1" x14ac:dyDescent="0.2">
      <c r="A882" s="26" t="s">
        <v>5006</v>
      </c>
      <c r="B882" s="26" t="s">
        <v>5007</v>
      </c>
      <c r="C882" s="26" t="s">
        <v>115</v>
      </c>
      <c r="D882" s="26" t="s">
        <v>128</v>
      </c>
      <c r="E882" s="26" t="s">
        <v>83</v>
      </c>
      <c r="F882" s="28" t="e">
        <f ca="1">_xludf.ifna(VLOOKUP(G883,Proyectos!$E$1:$H$4,4,0),"")</f>
        <v>#NAME?</v>
      </c>
      <c r="G882" s="26" t="s">
        <v>5576</v>
      </c>
      <c r="H882" s="32">
        <v>1</v>
      </c>
      <c r="I882" s="31" t="s">
        <v>25</v>
      </c>
      <c r="J882" s="32"/>
      <c r="K882" s="32" t="str">
        <f t="shared" si="3"/>
        <v>Externo</v>
      </c>
      <c r="L882" s="32" t="e">
        <f ca="1">_xludf.ifna(VLOOKUP(G883,Proyectos!$E$1:$N$4,10,0),"")</f>
        <v>#NAME?</v>
      </c>
      <c r="M882" s="32"/>
      <c r="N882" s="32"/>
      <c r="O882" s="31"/>
      <c r="P882" s="33"/>
      <c r="Q882" s="33"/>
    </row>
    <row r="883" spans="1:17" ht="16.5" customHeight="1" x14ac:dyDescent="0.2">
      <c r="A883" s="26" t="s">
        <v>4781</v>
      </c>
      <c r="B883" s="26" t="s">
        <v>4782</v>
      </c>
      <c r="C883" s="26" t="s">
        <v>115</v>
      </c>
      <c r="D883" s="26" t="s">
        <v>116</v>
      </c>
      <c r="E883" s="26" t="s">
        <v>39</v>
      </c>
      <c r="F883" s="28" t="e">
        <f ca="1">_xludf.ifna(VLOOKUP(G884,Proyectos!$E$1:$H$4,4,0),"")</f>
        <v>#NAME?</v>
      </c>
      <c r="G883" s="26" t="s">
        <v>5330</v>
      </c>
      <c r="H883" s="32">
        <v>1</v>
      </c>
      <c r="I883" s="31" t="s">
        <v>18</v>
      </c>
      <c r="J883" s="32"/>
      <c r="K883" s="32" t="str">
        <f t="shared" si="3"/>
        <v>Interno</v>
      </c>
      <c r="L883" s="32" t="e">
        <f ca="1">_xludf.ifna(VLOOKUP(G884,Proyectos!$E$1:$N$4,10,0),"")</f>
        <v>#NAME?</v>
      </c>
      <c r="M883" s="32"/>
      <c r="N883" s="32"/>
      <c r="O883" s="31"/>
      <c r="P883" s="33"/>
      <c r="Q883" s="33"/>
    </row>
    <row r="884" spans="1:17" ht="16.5" customHeight="1" x14ac:dyDescent="0.2">
      <c r="A884" s="26" t="s">
        <v>4932</v>
      </c>
      <c r="B884" s="26" t="s">
        <v>4933</v>
      </c>
      <c r="C884" s="26" t="s">
        <v>115</v>
      </c>
      <c r="D884" s="26" t="s">
        <v>122</v>
      </c>
      <c r="E884" s="26" t="s">
        <v>114</v>
      </c>
      <c r="F884" s="28" t="e">
        <f ca="1">_xludf.ifna(VLOOKUP(G885,Proyectos!$E$1:$H$4,4,0),"")</f>
        <v>#NAME?</v>
      </c>
      <c r="G884" s="26" t="s">
        <v>5426</v>
      </c>
      <c r="H884" s="32">
        <v>0.8</v>
      </c>
      <c r="I884" s="31" t="s">
        <v>25</v>
      </c>
      <c r="J884" s="32"/>
      <c r="K884" s="32" t="str">
        <f t="shared" si="3"/>
        <v>Externo</v>
      </c>
      <c r="L884" s="32" t="e">
        <f ca="1">_xludf.ifna(VLOOKUP(G885,Proyectos!$E$1:$N$4,10,0),"")</f>
        <v>#NAME?</v>
      </c>
      <c r="M884" s="32"/>
      <c r="N884" s="31"/>
      <c r="O884" s="31"/>
      <c r="P884" s="33"/>
      <c r="Q884" s="33"/>
    </row>
    <row r="885" spans="1:17" ht="16.5" customHeight="1" x14ac:dyDescent="0.2">
      <c r="A885" s="26" t="s">
        <v>4932</v>
      </c>
      <c r="B885" s="26" t="s">
        <v>4933</v>
      </c>
      <c r="C885" s="26" t="s">
        <v>115</v>
      </c>
      <c r="D885" s="26" t="s">
        <v>122</v>
      </c>
      <c r="E885" s="26" t="s">
        <v>114</v>
      </c>
      <c r="F885" s="28" t="e">
        <f ca="1">_xludf.ifna(VLOOKUP(G886,Proyectos!$E$1:$H$4,4,0),"")</f>
        <v>#NAME?</v>
      </c>
      <c r="G885" s="26" t="s">
        <v>5597</v>
      </c>
      <c r="H885" s="32">
        <v>0.2</v>
      </c>
      <c r="I885" s="31" t="s">
        <v>25</v>
      </c>
      <c r="J885" s="32"/>
      <c r="K885" s="32" t="str">
        <f t="shared" si="3"/>
        <v>Externo</v>
      </c>
      <c r="L885" s="32" t="e">
        <f ca="1">_xludf.ifna(VLOOKUP(G886,Proyectos!$E$1:$N$4,10,0),"")</f>
        <v>#NAME?</v>
      </c>
      <c r="M885" s="32"/>
      <c r="N885" s="31"/>
      <c r="O885" s="31"/>
      <c r="P885" s="33"/>
      <c r="Q885" s="33"/>
    </row>
    <row r="886" spans="1:17" ht="16.5" customHeight="1" x14ac:dyDescent="0.2">
      <c r="A886" s="26" t="s">
        <v>3726</v>
      </c>
      <c r="B886" s="26" t="s">
        <v>3727</v>
      </c>
      <c r="C886" s="26" t="s">
        <v>115</v>
      </c>
      <c r="D886" s="26" t="s">
        <v>128</v>
      </c>
      <c r="E886" s="26" t="s">
        <v>39</v>
      </c>
      <c r="F886" s="28" t="e">
        <f ca="1">_xludf.ifna(VLOOKUP(G887,Proyectos!$E$1:$H$4,4,0),"")</f>
        <v>#NAME?</v>
      </c>
      <c r="G886" s="26" t="s">
        <v>5578</v>
      </c>
      <c r="H886" s="32">
        <v>0.6</v>
      </c>
      <c r="I886" s="31" t="s">
        <v>18</v>
      </c>
      <c r="J886" s="32"/>
      <c r="K886" s="32" t="str">
        <f t="shared" si="3"/>
        <v>Interno</v>
      </c>
      <c r="L886" s="32" t="e">
        <f ca="1">_xludf.ifna(VLOOKUP(G887,Proyectos!$E$1:$N$4,10,0),"")</f>
        <v>#NAME?</v>
      </c>
      <c r="M886" s="32"/>
      <c r="N886" s="31"/>
      <c r="O886" s="31"/>
      <c r="P886" s="33"/>
      <c r="Q886" s="33"/>
    </row>
    <row r="887" spans="1:17" ht="16.5" customHeight="1" x14ac:dyDescent="0.2">
      <c r="A887" s="26" t="s">
        <v>3726</v>
      </c>
      <c r="B887" s="26" t="s">
        <v>3727</v>
      </c>
      <c r="C887" s="26" t="s">
        <v>115</v>
      </c>
      <c r="D887" s="26" t="s">
        <v>128</v>
      </c>
      <c r="E887" s="26" t="s">
        <v>39</v>
      </c>
      <c r="F887" s="28" t="e">
        <f ca="1">_xludf.ifna(VLOOKUP(G888,Proyectos!$E$1:$H$4,4,0),"")</f>
        <v>#NAME?</v>
      </c>
      <c r="G887" s="26" t="s">
        <v>5323</v>
      </c>
      <c r="H887" s="32">
        <v>0.2</v>
      </c>
      <c r="I887" s="31" t="s">
        <v>18</v>
      </c>
      <c r="J887" s="31"/>
      <c r="K887" s="32" t="str">
        <f t="shared" si="3"/>
        <v>Interno</v>
      </c>
      <c r="L887" s="32" t="e">
        <f ca="1">_xludf.ifna(VLOOKUP(G888,Proyectos!$E$1:$N$4,10,0),"")</f>
        <v>#NAME?</v>
      </c>
      <c r="M887" s="32"/>
      <c r="N887" s="32"/>
      <c r="O887" s="31"/>
      <c r="P887" s="33"/>
      <c r="Q887" s="33"/>
    </row>
    <row r="888" spans="1:17" ht="16.5" customHeight="1" x14ac:dyDescent="0.2">
      <c r="A888" s="26" t="s">
        <v>3726</v>
      </c>
      <c r="B888" s="26" t="s">
        <v>3727</v>
      </c>
      <c r="C888" s="26" t="s">
        <v>115</v>
      </c>
      <c r="D888" s="26" t="s">
        <v>128</v>
      </c>
      <c r="E888" s="26" t="s">
        <v>39</v>
      </c>
      <c r="F888" s="28" t="e">
        <f ca="1">_xludf.ifna(VLOOKUP(G889,Proyectos!$E$1:$H$4,4,0),"")</f>
        <v>#NAME?</v>
      </c>
      <c r="G888" s="26" t="s">
        <v>5597</v>
      </c>
      <c r="H888" s="32">
        <v>0.2</v>
      </c>
      <c r="I888" s="31" t="s">
        <v>18</v>
      </c>
      <c r="J888" s="31" t="s">
        <v>3783</v>
      </c>
      <c r="K888" s="32" t="str">
        <f t="shared" si="3"/>
        <v>Interno</v>
      </c>
      <c r="L888" s="32" t="e">
        <f ca="1">_xludf.ifna(VLOOKUP(G889,Proyectos!$E$1:$N$4,10,0),"")</f>
        <v>#NAME?</v>
      </c>
      <c r="M888" s="32"/>
      <c r="N888" s="31"/>
      <c r="O888" s="31"/>
      <c r="P888" s="33"/>
      <c r="Q888" s="33"/>
    </row>
    <row r="889" spans="1:17" ht="16.5" customHeight="1" x14ac:dyDescent="0.2">
      <c r="A889" s="54" t="s">
        <v>4509</v>
      </c>
      <c r="B889" s="54" t="s">
        <v>4510</v>
      </c>
      <c r="C889" s="54" t="s">
        <v>7</v>
      </c>
      <c r="D889" s="54" t="s">
        <v>30</v>
      </c>
      <c r="E889" s="54" t="s">
        <v>129</v>
      </c>
      <c r="F889" s="28" t="e">
        <f ca="1">_xludf.ifna(VLOOKUP(G890,Proyectos!$E$1:$H$4,4,0),"")</f>
        <v>#NAME?</v>
      </c>
      <c r="G889" s="29" t="s">
        <v>5153</v>
      </c>
      <c r="H889" s="34">
        <v>1</v>
      </c>
      <c r="I889" s="58" t="s">
        <v>18</v>
      </c>
      <c r="J889" s="34"/>
      <c r="K889" s="32" t="str">
        <f t="shared" si="3"/>
        <v>Externo</v>
      </c>
      <c r="L889" s="32" t="e">
        <f ca="1">_xludf.ifna(VLOOKUP(G890,Proyectos!$E$1:$N$4,10,0),"")</f>
        <v>#NAME?</v>
      </c>
      <c r="M889" s="32"/>
      <c r="N889" s="31"/>
      <c r="O889" s="31"/>
      <c r="P889" s="33"/>
      <c r="Q889" s="33"/>
    </row>
    <row r="890" spans="1:17" ht="16.5" customHeight="1" x14ac:dyDescent="0.2">
      <c r="A890" s="4" t="s">
        <v>5807</v>
      </c>
      <c r="B890" s="4" t="s">
        <v>5808</v>
      </c>
      <c r="C890" s="26" t="s">
        <v>64</v>
      </c>
      <c r="D890" s="26" t="s">
        <v>89</v>
      </c>
      <c r="E890" s="26" t="s">
        <v>87</v>
      </c>
      <c r="F890" s="28" t="e">
        <f ca="1">_xludf.ifna(VLOOKUP(G891,Proyectos!$E$1:$H$4,4,0),"")</f>
        <v>#NAME?</v>
      </c>
      <c r="G890" s="26" t="s">
        <v>5651</v>
      </c>
      <c r="H890" s="32">
        <v>1</v>
      </c>
      <c r="I890" s="31" t="s">
        <v>18</v>
      </c>
      <c r="J890" s="31" t="s">
        <v>5662</v>
      </c>
      <c r="K890" s="32" t="str">
        <f t="shared" si="3"/>
        <v>Externo</v>
      </c>
      <c r="L890" s="32" t="e">
        <f ca="1">_xludf.ifna(VLOOKUP(G891,Proyectos!$E$1:$N$4,10,0),"")</f>
        <v>#NAME?</v>
      </c>
      <c r="M890" s="32"/>
      <c r="N890" s="32"/>
      <c r="O890" s="31"/>
      <c r="P890" s="33"/>
      <c r="Q890" s="33"/>
    </row>
    <row r="891" spans="1:17" ht="16.5" customHeight="1" x14ac:dyDescent="0.2">
      <c r="A891" s="26" t="s">
        <v>4665</v>
      </c>
      <c r="B891" s="26" t="s">
        <v>4666</v>
      </c>
      <c r="C891" s="26" t="s">
        <v>7</v>
      </c>
      <c r="D891" s="26" t="s">
        <v>16</v>
      </c>
      <c r="E891" s="26" t="s">
        <v>39</v>
      </c>
      <c r="F891" s="28" t="e">
        <f ca="1">_xludf.ifna(VLOOKUP(G892,Proyectos!$E$1:$H$4,4,0),"")</f>
        <v>#NAME?</v>
      </c>
      <c r="G891" s="26" t="s">
        <v>5231</v>
      </c>
      <c r="H891" s="65">
        <v>0.5</v>
      </c>
      <c r="I891" s="31" t="s">
        <v>18</v>
      </c>
      <c r="J891" s="32"/>
      <c r="K891" s="32" t="str">
        <f t="shared" si="3"/>
        <v>Interno</v>
      </c>
      <c r="L891" s="32" t="e">
        <f ca="1">_xludf.ifna(VLOOKUP(G892,Proyectos!$E$1:$N$4,10,0),"")</f>
        <v>#NAME?</v>
      </c>
      <c r="M891" s="32"/>
      <c r="N891" s="32"/>
      <c r="O891" s="31"/>
      <c r="P891" s="33"/>
      <c r="Q891" s="33"/>
    </row>
    <row r="892" spans="1:17" ht="16.5" customHeight="1" x14ac:dyDescent="0.2">
      <c r="A892" s="26" t="s">
        <v>4665</v>
      </c>
      <c r="B892" s="26" t="s">
        <v>4666</v>
      </c>
      <c r="C892" s="26" t="s">
        <v>7</v>
      </c>
      <c r="D892" s="26" t="s">
        <v>16</v>
      </c>
      <c r="E892" s="26" t="s">
        <v>39</v>
      </c>
      <c r="F892" s="28" t="e">
        <f ca="1">_xludf.ifna(VLOOKUP(G893,Proyectos!$E$1:$H$4,4,0),"")</f>
        <v>#NAME?</v>
      </c>
      <c r="G892" s="26" t="s">
        <v>5232</v>
      </c>
      <c r="H892" s="65">
        <v>0.4</v>
      </c>
      <c r="I892" s="31" t="s">
        <v>18</v>
      </c>
      <c r="J892" s="32"/>
      <c r="K892" s="32" t="str">
        <f t="shared" si="3"/>
        <v>Interno</v>
      </c>
      <c r="L892" s="32" t="e">
        <f ca="1">_xludf.ifna(VLOOKUP(G893,Proyectos!$E$1:$N$4,10,0),"")</f>
        <v>#NAME?</v>
      </c>
      <c r="M892" s="32"/>
      <c r="N892" s="32"/>
      <c r="O892" s="31"/>
      <c r="P892" s="33"/>
      <c r="Q892" s="33"/>
    </row>
    <row r="893" spans="1:17" ht="16.5" customHeight="1" x14ac:dyDescent="0.2">
      <c r="A893" s="26" t="s">
        <v>4665</v>
      </c>
      <c r="B893" s="26" t="s">
        <v>4666</v>
      </c>
      <c r="C893" s="26" t="s">
        <v>7</v>
      </c>
      <c r="D893" s="26" t="s">
        <v>16</v>
      </c>
      <c r="E893" s="26" t="s">
        <v>39</v>
      </c>
      <c r="F893" s="28" t="e">
        <f ca="1">_xludf.ifna(VLOOKUP(G894,Proyectos!$E$1:$H$4,4,0),"")</f>
        <v>#NAME?</v>
      </c>
      <c r="G893" s="26" t="s">
        <v>5597</v>
      </c>
      <c r="H893" s="65">
        <v>0.1</v>
      </c>
      <c r="I893" s="31" t="s">
        <v>18</v>
      </c>
      <c r="J893" s="32"/>
      <c r="K893" s="32" t="str">
        <f t="shared" si="3"/>
        <v>Interno</v>
      </c>
      <c r="L893" s="32" t="e">
        <f ca="1">_xludf.ifna(VLOOKUP(G894,Proyectos!$E$1:$N$4,10,0),"")</f>
        <v>#NAME?</v>
      </c>
      <c r="M893" s="32"/>
      <c r="N893" s="31"/>
      <c r="O893" s="31"/>
      <c r="P893" s="33"/>
      <c r="Q893" s="33"/>
    </row>
    <row r="894" spans="1:17" ht="16.5" customHeight="1" x14ac:dyDescent="0.2">
      <c r="A894" s="26" t="s">
        <v>3396</v>
      </c>
      <c r="B894" s="26" t="s">
        <v>5809</v>
      </c>
      <c r="C894" s="26" t="s">
        <v>115</v>
      </c>
      <c r="D894" s="26" t="s">
        <v>131</v>
      </c>
      <c r="E894" s="26" t="s">
        <v>39</v>
      </c>
      <c r="F894" s="28" t="e">
        <f ca="1">_xludf.ifna(VLOOKUP(G895,Proyectos!$E$1:$H$4,4,0),"")</f>
        <v>#NAME?</v>
      </c>
      <c r="G894" s="26" t="s">
        <v>5597</v>
      </c>
      <c r="H894" s="32">
        <v>1</v>
      </c>
      <c r="I894" s="31" t="s">
        <v>11</v>
      </c>
      <c r="J894" s="31" t="s">
        <v>5810</v>
      </c>
      <c r="K894" s="32" t="str">
        <f t="shared" si="3"/>
        <v>Interno</v>
      </c>
      <c r="L894" s="32" t="e">
        <f ca="1">_xludf.ifna(VLOOKUP(G895,Proyectos!$E$1:$N$4,10,0),"")</f>
        <v>#NAME?</v>
      </c>
      <c r="M894" s="32"/>
      <c r="N894" s="31"/>
      <c r="O894" s="31"/>
      <c r="P894" s="33"/>
      <c r="Q894" s="33"/>
    </row>
    <row r="895" spans="1:17" ht="16.5" customHeight="1" x14ac:dyDescent="0.2">
      <c r="A895" s="26" t="s">
        <v>4954</v>
      </c>
      <c r="B895" s="26" t="s">
        <v>4955</v>
      </c>
      <c r="C895" s="26" t="s">
        <v>115</v>
      </c>
      <c r="D895" s="26" t="s">
        <v>122</v>
      </c>
      <c r="E895" s="26" t="s">
        <v>83</v>
      </c>
      <c r="F895" s="28" t="e">
        <f ca="1">_xludf.ifna(VLOOKUP(G896,Proyectos!$E$1:$H$4,4,0),"")</f>
        <v>#NAME?</v>
      </c>
      <c r="G895" s="26" t="s">
        <v>5415</v>
      </c>
      <c r="H895" s="32">
        <v>1</v>
      </c>
      <c r="I895" s="31" t="s">
        <v>25</v>
      </c>
      <c r="J895" s="32"/>
      <c r="K895" s="32" t="str">
        <f t="shared" si="3"/>
        <v>Externo</v>
      </c>
      <c r="L895" s="32" t="e">
        <f ca="1">_xludf.ifna(VLOOKUP(G896,Proyectos!$E$1:$N$4,10,0),"")</f>
        <v>#NAME?</v>
      </c>
      <c r="M895" s="32"/>
      <c r="N895" s="31"/>
      <c r="O895" s="31"/>
      <c r="P895" s="33"/>
      <c r="Q895" s="33"/>
    </row>
    <row r="896" spans="1:17" ht="16.5" customHeight="1" x14ac:dyDescent="0.2">
      <c r="A896" s="26" t="s">
        <v>4210</v>
      </c>
      <c r="B896" s="26" t="s">
        <v>4211</v>
      </c>
      <c r="C896" s="26" t="s">
        <v>115</v>
      </c>
      <c r="D896" s="26" t="s">
        <v>119</v>
      </c>
      <c r="E896" s="26" t="s">
        <v>135</v>
      </c>
      <c r="F896" s="28" t="e">
        <f ca="1">_xludf.ifna(VLOOKUP(G897,Proyectos!$E$1:$H$4,4,0),"")</f>
        <v>#NAME?</v>
      </c>
      <c r="G896" s="26" t="s">
        <v>5597</v>
      </c>
      <c r="H896" s="32">
        <v>1</v>
      </c>
      <c r="I896" s="31" t="s">
        <v>18</v>
      </c>
      <c r="J896" s="32"/>
      <c r="K896" s="32" t="str">
        <f t="shared" si="3"/>
        <v>Externo</v>
      </c>
      <c r="L896" s="32" t="e">
        <f ca="1">_xludf.ifna(VLOOKUP(G897,Proyectos!$E$1:$N$4,10,0),"")</f>
        <v>#NAME?</v>
      </c>
      <c r="M896" s="32"/>
      <c r="N896" s="31"/>
      <c r="O896" s="31"/>
      <c r="P896" s="33"/>
      <c r="Q896" s="33"/>
    </row>
    <row r="897" spans="1:17" ht="16.5" customHeight="1" x14ac:dyDescent="0.2">
      <c r="A897" s="26" t="s">
        <v>4443</v>
      </c>
      <c r="B897" s="26" t="s">
        <v>5811</v>
      </c>
      <c r="C897" s="26" t="s">
        <v>64</v>
      </c>
      <c r="D897" s="26" t="s">
        <v>95</v>
      </c>
      <c r="E897" s="26" t="s">
        <v>120</v>
      </c>
      <c r="F897" s="28" t="e">
        <f ca="1">_xludf.ifna(VLOOKUP(G898,Proyectos!$E$1:$H$4,4,0),"")</f>
        <v>#NAME?</v>
      </c>
      <c r="G897" s="26" t="s">
        <v>5649</v>
      </c>
      <c r="H897" s="32">
        <v>1</v>
      </c>
      <c r="I897" s="31" t="s">
        <v>18</v>
      </c>
      <c r="J897" s="32"/>
      <c r="K897" s="32" t="str">
        <f t="shared" si="3"/>
        <v>Externo</v>
      </c>
      <c r="L897" s="32" t="e">
        <f ca="1">_xludf.ifna(VLOOKUP(G898,Proyectos!$E$1:$N$4,10,0),"")</f>
        <v>#NAME?</v>
      </c>
      <c r="M897" s="32"/>
      <c r="N897" s="32"/>
      <c r="O897" s="31"/>
      <c r="P897" s="33"/>
      <c r="Q897" s="33"/>
    </row>
    <row r="898" spans="1:17" ht="16.5" customHeight="1" x14ac:dyDescent="0.2">
      <c r="A898" s="26" t="s">
        <v>3777</v>
      </c>
      <c r="B898" s="26" t="s">
        <v>3778</v>
      </c>
      <c r="C898" s="53" t="s">
        <v>64</v>
      </c>
      <c r="D898" s="26" t="s">
        <v>92</v>
      </c>
      <c r="E898" s="53" t="s">
        <v>39</v>
      </c>
      <c r="F898" s="28" t="e">
        <f ca="1">_xludf.ifna(VLOOKUP(G899,Proyectos!$E$1:$H$4,4,0),"")</f>
        <v>#NAME?</v>
      </c>
      <c r="G898" s="26" t="s">
        <v>5282</v>
      </c>
      <c r="H898" s="32">
        <v>1</v>
      </c>
      <c r="I898" s="31" t="s">
        <v>18</v>
      </c>
      <c r="J898" s="32"/>
      <c r="K898" s="32" t="str">
        <f t="shared" si="3"/>
        <v>Interno</v>
      </c>
      <c r="L898" s="32" t="e">
        <f ca="1">_xludf.ifna(VLOOKUP(G899,Proyectos!$E$1:$N$4,10,0),"")</f>
        <v>#NAME?</v>
      </c>
      <c r="M898" s="32"/>
      <c r="N898" s="32"/>
      <c r="O898" s="31"/>
      <c r="P898" s="33"/>
      <c r="Q898" s="33"/>
    </row>
    <row r="899" spans="1:17" ht="16.5" customHeight="1" x14ac:dyDescent="0.2">
      <c r="A899" s="26" t="s">
        <v>4478</v>
      </c>
      <c r="B899" s="26" t="s">
        <v>4479</v>
      </c>
      <c r="C899" s="26" t="s">
        <v>98</v>
      </c>
      <c r="D899" s="26" t="s">
        <v>113</v>
      </c>
      <c r="E899" s="26" t="s">
        <v>9</v>
      </c>
      <c r="F899" s="28" t="e">
        <f ca="1">_xludf.ifna(VLOOKUP(G900,Proyectos!$E$1:$H$4,4,0),"")</f>
        <v>#NAME?</v>
      </c>
      <c r="G899" s="26" t="s">
        <v>5245</v>
      </c>
      <c r="H899" s="32">
        <v>1</v>
      </c>
      <c r="I899" s="31" t="s">
        <v>18</v>
      </c>
      <c r="J899" s="32"/>
      <c r="K899" s="32" t="str">
        <f t="shared" si="3"/>
        <v>Externo</v>
      </c>
      <c r="L899" s="32" t="e">
        <f ca="1">_xludf.ifna(VLOOKUP(G900,Proyectos!$E$1:$N$4,10,0),"")</f>
        <v>#NAME?</v>
      </c>
      <c r="M899" s="32"/>
      <c r="N899" s="32"/>
      <c r="O899" s="31"/>
      <c r="P899" s="33"/>
      <c r="Q899" s="33"/>
    </row>
    <row r="900" spans="1:17" ht="16.5" customHeight="1" x14ac:dyDescent="0.2">
      <c r="A900" s="26" t="s">
        <v>4092</v>
      </c>
      <c r="B900" s="26" t="s">
        <v>4093</v>
      </c>
      <c r="C900" s="26" t="s">
        <v>98</v>
      </c>
      <c r="D900" s="26" t="s">
        <v>110</v>
      </c>
      <c r="E900" s="26" t="s">
        <v>129</v>
      </c>
      <c r="F900" s="28" t="e">
        <f ca="1">_xludf.ifna(VLOOKUP(G901,Proyectos!$E$1:$H$4,4,0),"")</f>
        <v>#NAME?</v>
      </c>
      <c r="G900" s="26" t="s">
        <v>5243</v>
      </c>
      <c r="H900" s="32">
        <v>1</v>
      </c>
      <c r="I900" s="31" t="s">
        <v>18</v>
      </c>
      <c r="J900" s="32"/>
      <c r="K900" s="32" t="str">
        <f t="shared" si="3"/>
        <v>Externo</v>
      </c>
      <c r="L900" s="32" t="e">
        <f ca="1">_xludf.ifna(VLOOKUP(G901,Proyectos!$E$1:$N$4,10,0),"")</f>
        <v>#NAME?</v>
      </c>
      <c r="M900" s="32"/>
      <c r="N900" s="32"/>
      <c r="O900" s="31"/>
      <c r="P900" s="33"/>
      <c r="Q900" s="33"/>
    </row>
    <row r="901" spans="1:17" ht="16.5" customHeight="1" x14ac:dyDescent="0.2">
      <c r="A901" s="26" t="s">
        <v>4467</v>
      </c>
      <c r="B901" s="26" t="s">
        <v>4468</v>
      </c>
      <c r="C901" s="26" t="s">
        <v>115</v>
      </c>
      <c r="D901" s="26" t="s">
        <v>128</v>
      </c>
      <c r="E901" s="26" t="s">
        <v>83</v>
      </c>
      <c r="F901" s="28" t="e">
        <f ca="1">_xludf.ifna(VLOOKUP(G902,Proyectos!$E$1:$H$4,4,0),"")</f>
        <v>#NAME?</v>
      </c>
      <c r="G901" s="26" t="s">
        <v>5576</v>
      </c>
      <c r="H901" s="32">
        <v>1</v>
      </c>
      <c r="I901" s="31" t="s">
        <v>25</v>
      </c>
      <c r="J901" s="32"/>
      <c r="K901" s="32" t="str">
        <f t="shared" si="3"/>
        <v>Externo</v>
      </c>
      <c r="L901" s="32" t="e">
        <f ca="1">_xludf.ifna(VLOOKUP(G902,Proyectos!$E$1:$N$4,10,0),"")</f>
        <v>#NAME?</v>
      </c>
      <c r="M901" s="32"/>
      <c r="N901" s="32"/>
      <c r="O901" s="31"/>
      <c r="P901" s="33"/>
      <c r="Q901" s="33"/>
    </row>
    <row r="902" spans="1:17" ht="16.5" customHeight="1" x14ac:dyDescent="0.2">
      <c r="A902" s="26" t="s">
        <v>4308</v>
      </c>
      <c r="B902" s="26" t="s">
        <v>5316</v>
      </c>
      <c r="C902" s="53" t="s">
        <v>64</v>
      </c>
      <c r="D902" s="26" t="s">
        <v>92</v>
      </c>
      <c r="E902" s="26" t="s">
        <v>9</v>
      </c>
      <c r="F902" s="28" t="e">
        <f ca="1">_xludf.ifna(VLOOKUP(G903,Proyectos!$E$1:$H$4,4,0),"")</f>
        <v>#NAME?</v>
      </c>
      <c r="G902" s="26" t="s">
        <v>5597</v>
      </c>
      <c r="H902" s="32">
        <v>1</v>
      </c>
      <c r="I902" s="31" t="s">
        <v>18</v>
      </c>
      <c r="J902" s="32"/>
      <c r="K902" s="32" t="str">
        <f t="shared" si="3"/>
        <v>Externo</v>
      </c>
      <c r="L902" s="32" t="e">
        <f ca="1">_xludf.ifna(VLOOKUP(G903,Proyectos!$E$1:$N$4,10,0),"")</f>
        <v>#NAME?</v>
      </c>
      <c r="M902" s="32"/>
      <c r="N902" s="31"/>
      <c r="O902" s="31"/>
      <c r="P902" s="33"/>
      <c r="Q902" s="33"/>
    </row>
    <row r="903" spans="1:17" ht="16.5" customHeight="1" x14ac:dyDescent="0.2">
      <c r="A903" s="26" t="s">
        <v>3542</v>
      </c>
      <c r="B903" s="26" t="s">
        <v>3543</v>
      </c>
      <c r="C903" s="26" t="s">
        <v>115</v>
      </c>
      <c r="D903" s="26" t="s">
        <v>119</v>
      </c>
      <c r="E903" s="26" t="s">
        <v>39</v>
      </c>
      <c r="F903" s="28" t="e">
        <f ca="1">_xludf.ifna(VLOOKUP(G904,Proyectos!$E$1:$H$4,4,0),"")</f>
        <v>#NAME?</v>
      </c>
      <c r="G903" s="26" t="s">
        <v>5597</v>
      </c>
      <c r="H903" s="32">
        <v>1</v>
      </c>
      <c r="I903" s="31" t="s">
        <v>18</v>
      </c>
      <c r="J903" s="32"/>
      <c r="K903" s="32" t="str">
        <f t="shared" si="3"/>
        <v>Interno</v>
      </c>
      <c r="L903" s="32" t="e">
        <f ca="1">_xludf.ifna(VLOOKUP(G904,Proyectos!$E$1:$N$4,10,0),"")</f>
        <v>#NAME?</v>
      </c>
      <c r="M903" s="32"/>
      <c r="N903" s="31"/>
      <c r="O903" s="31"/>
      <c r="P903" s="33"/>
      <c r="Q903" s="33"/>
    </row>
    <row r="904" spans="1:17" ht="16.5" customHeight="1" x14ac:dyDescent="0.2">
      <c r="A904" s="26" t="s">
        <v>3668</v>
      </c>
      <c r="B904" s="26" t="s">
        <v>3669</v>
      </c>
      <c r="C904" s="26" t="s">
        <v>115</v>
      </c>
      <c r="D904" s="26" t="s">
        <v>116</v>
      </c>
      <c r="E904" s="26" t="s">
        <v>39</v>
      </c>
      <c r="F904" s="28" t="e">
        <f ca="1">_xludf.ifna(VLOOKUP(G905,Proyectos!$E$1:$H$4,4,0),"")</f>
        <v>#NAME?</v>
      </c>
      <c r="G904" s="26" t="s">
        <v>5472</v>
      </c>
      <c r="H904" s="32">
        <v>1</v>
      </c>
      <c r="I904" s="31" t="s">
        <v>18</v>
      </c>
      <c r="J904" s="32"/>
      <c r="K904" s="32" t="str">
        <f t="shared" si="3"/>
        <v>Interno</v>
      </c>
      <c r="L904" s="32" t="e">
        <f ca="1">_xludf.ifna(VLOOKUP(G905,Proyectos!$E$1:$N$4,10,0),"")</f>
        <v>#NAME?</v>
      </c>
      <c r="M904" s="32"/>
      <c r="N904" s="31"/>
      <c r="O904" s="31"/>
      <c r="P904" s="33"/>
      <c r="Q904" s="33"/>
    </row>
    <row r="905" spans="1:17" ht="16.5" customHeight="1" x14ac:dyDescent="0.2">
      <c r="A905" s="54" t="s">
        <v>4419</v>
      </c>
      <c r="B905" s="54" t="s">
        <v>5812</v>
      </c>
      <c r="C905" s="26" t="s">
        <v>64</v>
      </c>
      <c r="D905" s="26" t="s">
        <v>95</v>
      </c>
      <c r="E905" s="26" t="s">
        <v>83</v>
      </c>
      <c r="F905" s="28" t="e">
        <f ca="1">_xludf.ifna(VLOOKUP(G906,Proyectos!$E$1:$H$4,4,0),"")</f>
        <v>#NAME?</v>
      </c>
      <c r="G905" s="26" t="s">
        <v>5363</v>
      </c>
      <c r="H905" s="32">
        <v>1</v>
      </c>
      <c r="I905" s="31" t="s">
        <v>25</v>
      </c>
      <c r="J905" s="32"/>
      <c r="K905" s="32" t="str">
        <f t="shared" si="3"/>
        <v>Externo</v>
      </c>
      <c r="L905" s="32" t="e">
        <f ca="1">_xludf.ifna(VLOOKUP(G906,Proyectos!$E$1:$N$4,10,0),"")</f>
        <v>#NAME?</v>
      </c>
      <c r="M905" s="32"/>
      <c r="N905" s="32"/>
      <c r="O905" s="31"/>
      <c r="P905" s="33"/>
      <c r="Q905" s="33"/>
    </row>
    <row r="906" spans="1:17" ht="16.5" customHeight="1" x14ac:dyDescent="0.2">
      <c r="A906" s="26" t="s">
        <v>4290</v>
      </c>
      <c r="B906" s="26" t="s">
        <v>4291</v>
      </c>
      <c r="C906" s="26" t="s">
        <v>115</v>
      </c>
      <c r="D906" s="26" t="s">
        <v>119</v>
      </c>
      <c r="E906" s="26" t="s">
        <v>135</v>
      </c>
      <c r="F906" s="28" t="e">
        <f ca="1">_xludf.ifna(VLOOKUP(G907,Proyectos!$E$1:$H$4,4,0),"")</f>
        <v>#NAME?</v>
      </c>
      <c r="G906" s="26" t="s">
        <v>5227</v>
      </c>
      <c r="H906" s="32">
        <v>0.7</v>
      </c>
      <c r="I906" s="31" t="s">
        <v>18</v>
      </c>
      <c r="J906" s="32"/>
      <c r="K906" s="32" t="str">
        <f t="shared" si="3"/>
        <v>Externo</v>
      </c>
      <c r="L906" s="32" t="e">
        <f ca="1">_xludf.ifna(VLOOKUP(G907,Proyectos!$E$1:$N$4,10,0),"")</f>
        <v>#NAME?</v>
      </c>
      <c r="M906" s="32"/>
      <c r="N906" s="31"/>
      <c r="O906" s="31"/>
      <c r="P906" s="33"/>
      <c r="Q906" s="33"/>
    </row>
    <row r="907" spans="1:17" ht="16.5" customHeight="1" x14ac:dyDescent="0.2">
      <c r="A907" s="26" t="s">
        <v>4290</v>
      </c>
      <c r="B907" s="26" t="s">
        <v>4291</v>
      </c>
      <c r="C907" s="26" t="s">
        <v>115</v>
      </c>
      <c r="D907" s="26" t="s">
        <v>119</v>
      </c>
      <c r="E907" s="26" t="s">
        <v>135</v>
      </c>
      <c r="F907" s="28" t="e">
        <f ca="1">_xludf.ifna(VLOOKUP(G908,Proyectos!$E$1:$H$4,4,0),"")</f>
        <v>#NAME?</v>
      </c>
      <c r="G907" s="26" t="s">
        <v>5224</v>
      </c>
      <c r="H907" s="32">
        <v>0.3</v>
      </c>
      <c r="I907" s="31" t="s">
        <v>18</v>
      </c>
      <c r="J907" s="32"/>
      <c r="K907" s="32" t="str">
        <f t="shared" si="3"/>
        <v>Externo</v>
      </c>
      <c r="L907" s="32" t="e">
        <f ca="1">_xludf.ifna(VLOOKUP(G908,Proyectos!$E$1:$N$4,10,0),"")</f>
        <v>#NAME?</v>
      </c>
      <c r="M907" s="32"/>
      <c r="N907" s="31"/>
      <c r="O907" s="31"/>
      <c r="P907" s="33"/>
      <c r="Q907" s="33"/>
    </row>
    <row r="908" spans="1:17" ht="16.5" customHeight="1" x14ac:dyDescent="0.2">
      <c r="A908" s="26" t="s">
        <v>4004</v>
      </c>
      <c r="B908" s="26" t="s">
        <v>4005</v>
      </c>
      <c r="C908" s="26" t="s">
        <v>98</v>
      </c>
      <c r="D908" s="26" t="s">
        <v>105</v>
      </c>
      <c r="E908" s="26" t="s">
        <v>83</v>
      </c>
      <c r="F908" s="28" t="e">
        <f ca="1">_xludf.ifna(VLOOKUP(G909,Proyectos!$E$1:$H$4,4,0),"")</f>
        <v>#NAME?</v>
      </c>
      <c r="G908" s="26" t="s">
        <v>5148</v>
      </c>
      <c r="H908" s="32">
        <v>0.25</v>
      </c>
      <c r="I908" s="31" t="s">
        <v>25</v>
      </c>
      <c r="J908" s="32"/>
      <c r="K908" s="32" t="str">
        <f t="shared" si="3"/>
        <v>Externo</v>
      </c>
      <c r="L908" s="32" t="e">
        <f ca="1">_xludf.ifna(VLOOKUP(G909,Proyectos!$E$1:$N$4,10,0),"")</f>
        <v>#NAME?</v>
      </c>
      <c r="M908" s="32"/>
      <c r="N908" s="32"/>
      <c r="O908" s="31"/>
      <c r="P908" s="33"/>
      <c r="Q908" s="33"/>
    </row>
    <row r="909" spans="1:17" ht="16.5" customHeight="1" x14ac:dyDescent="0.2">
      <c r="A909" s="26" t="s">
        <v>4004</v>
      </c>
      <c r="B909" s="26" t="s">
        <v>4005</v>
      </c>
      <c r="C909" s="26" t="s">
        <v>98</v>
      </c>
      <c r="D909" s="26" t="s">
        <v>105</v>
      </c>
      <c r="E909" s="26" t="s">
        <v>83</v>
      </c>
      <c r="F909" s="28" t="e">
        <f ca="1">_xludf.ifna(VLOOKUP(G910,Proyectos!$E$1:$H$4,4,0),"")</f>
        <v>#NAME?</v>
      </c>
      <c r="G909" s="26" t="s">
        <v>5145</v>
      </c>
      <c r="H909" s="32">
        <v>0.75</v>
      </c>
      <c r="I909" s="31" t="s">
        <v>25</v>
      </c>
      <c r="J909" s="32"/>
      <c r="K909" s="32" t="str">
        <f t="shared" si="3"/>
        <v>Externo</v>
      </c>
      <c r="L909" s="32" t="e">
        <f ca="1">_xludf.ifna(VLOOKUP(G910,Proyectos!$E$1:$N$4,10,0),"")</f>
        <v>#NAME?</v>
      </c>
      <c r="M909" s="32"/>
      <c r="N909" s="32"/>
      <c r="O909" s="31"/>
      <c r="P909" s="33"/>
      <c r="Q909" s="33"/>
    </row>
    <row r="910" spans="1:17" ht="16.5" customHeight="1" x14ac:dyDescent="0.2">
      <c r="A910" s="26" t="s">
        <v>4296</v>
      </c>
      <c r="B910" s="26" t="s">
        <v>4297</v>
      </c>
      <c r="C910" s="26" t="s">
        <v>37</v>
      </c>
      <c r="D910" s="26" t="s">
        <v>38</v>
      </c>
      <c r="E910" s="26" t="s">
        <v>9</v>
      </c>
      <c r="F910" s="28" t="e">
        <f ca="1">_xludf.ifna(VLOOKUP(G911,Proyectos!$E$1:$H$4,4,0),"")</f>
        <v>#NAME?</v>
      </c>
      <c r="G910" s="26" t="s">
        <v>5597</v>
      </c>
      <c r="H910" s="32">
        <v>1</v>
      </c>
      <c r="I910" s="31" t="s">
        <v>18</v>
      </c>
      <c r="J910" s="32"/>
      <c r="K910" s="32" t="str">
        <f t="shared" si="3"/>
        <v>Externo</v>
      </c>
      <c r="L910" s="32" t="e">
        <f ca="1">_xludf.ifna(VLOOKUP(G911,Proyectos!$E$1:$N$4,10,0),"")</f>
        <v>#NAME?</v>
      </c>
      <c r="M910" s="32"/>
      <c r="N910" s="31"/>
      <c r="O910" s="31"/>
      <c r="P910" s="33"/>
      <c r="Q910" s="33"/>
    </row>
    <row r="911" spans="1:17" ht="16.5" customHeight="1" x14ac:dyDescent="0.2">
      <c r="A911" s="26" t="s">
        <v>4076</v>
      </c>
      <c r="B911" s="26" t="s">
        <v>5813</v>
      </c>
      <c r="C911" s="26" t="s">
        <v>7</v>
      </c>
      <c r="D911" s="26" t="s">
        <v>16</v>
      </c>
      <c r="E911" s="26" t="s">
        <v>87</v>
      </c>
      <c r="F911" s="28" t="e">
        <f ca="1">_xludf.ifna(VLOOKUP(G912,Proyectos!$E$1:$H$4,4,0),"")</f>
        <v>#NAME?</v>
      </c>
      <c r="G911" s="26" t="s">
        <v>5221</v>
      </c>
      <c r="H911" s="65">
        <v>1</v>
      </c>
      <c r="I911" s="31" t="s">
        <v>25</v>
      </c>
      <c r="J911" s="32"/>
      <c r="K911" s="32" t="str">
        <f t="shared" si="3"/>
        <v>Externo</v>
      </c>
      <c r="L911" s="32" t="e">
        <f ca="1">_xludf.ifna(VLOOKUP(G912,Proyectos!$E$1:$N$4,10,0),"")</f>
        <v>#NAME?</v>
      </c>
      <c r="M911" s="32"/>
      <c r="N911" s="31"/>
      <c r="O911" s="31"/>
      <c r="P911" s="33"/>
      <c r="Q911" s="33"/>
    </row>
    <row r="912" spans="1:17" ht="16.5" customHeight="1" x14ac:dyDescent="0.2">
      <c r="A912" s="26" t="s">
        <v>5008</v>
      </c>
      <c r="B912" s="26" t="s">
        <v>5009</v>
      </c>
      <c r="C912" s="26" t="s">
        <v>115</v>
      </c>
      <c r="D912" s="26" t="s">
        <v>128</v>
      </c>
      <c r="E912" s="26" t="s">
        <v>108</v>
      </c>
      <c r="F912" s="28" t="e">
        <f ca="1">_xludf.ifna(VLOOKUP(G913,Proyectos!$E$1:$H$4,4,0),"")</f>
        <v>#NAME?</v>
      </c>
      <c r="G912" s="26" t="s">
        <v>5597</v>
      </c>
      <c r="H912" s="32">
        <v>1</v>
      </c>
      <c r="I912" s="31" t="s">
        <v>32</v>
      </c>
      <c r="J912" s="31" t="s">
        <v>5814</v>
      </c>
      <c r="K912" s="32" t="str">
        <f t="shared" si="3"/>
        <v>Externo</v>
      </c>
      <c r="L912" s="32" t="e">
        <f ca="1">_xludf.ifna(VLOOKUP(G913,Proyectos!$E$1:$N$4,10,0),"")</f>
        <v>#NAME?</v>
      </c>
      <c r="M912" s="32"/>
      <c r="N912" s="31"/>
      <c r="O912" s="31"/>
      <c r="P912" s="33"/>
      <c r="Q912" s="33"/>
    </row>
    <row r="913" spans="1:17" ht="16.5" customHeight="1" x14ac:dyDescent="0.2">
      <c r="A913" s="35" t="s">
        <v>3968</v>
      </c>
      <c r="B913" s="26" t="s">
        <v>5503</v>
      </c>
      <c r="C913" s="26" t="s">
        <v>64</v>
      </c>
      <c r="D913" s="26" t="s">
        <v>82</v>
      </c>
      <c r="E913" s="35" t="s">
        <v>126</v>
      </c>
      <c r="F913" s="28" t="e">
        <f ca="1">_xludf.ifna(VLOOKUP(G914,Proyectos!$E$1:$H$4,4,0),"")</f>
        <v>#NAME?</v>
      </c>
      <c r="G913" s="26" t="s">
        <v>5387</v>
      </c>
      <c r="H913" s="32">
        <v>1</v>
      </c>
      <c r="I913" s="31" t="s">
        <v>18</v>
      </c>
      <c r="J913" s="32"/>
      <c r="K913" s="32" t="str">
        <f t="shared" si="3"/>
        <v>Externo</v>
      </c>
      <c r="L913" s="32" t="e">
        <f ca="1">_xludf.ifna(VLOOKUP(G914,Proyectos!$E$1:$N$4,10,0),"")</f>
        <v>#NAME?</v>
      </c>
      <c r="M913" s="32"/>
      <c r="N913" s="32"/>
      <c r="O913" s="31"/>
      <c r="P913" s="33"/>
      <c r="Q913" s="33"/>
    </row>
    <row r="914" spans="1:17" ht="16.5" customHeight="1" x14ac:dyDescent="0.2">
      <c r="A914" s="26" t="s">
        <v>3644</v>
      </c>
      <c r="B914" s="26" t="s">
        <v>3645</v>
      </c>
      <c r="C914" s="26" t="s">
        <v>115</v>
      </c>
      <c r="D914" s="26" t="s">
        <v>116</v>
      </c>
      <c r="E914" s="26" t="s">
        <v>39</v>
      </c>
      <c r="F914" s="28" t="e">
        <f ca="1">_xludf.ifna(VLOOKUP(G915,Proyectos!$E$1:$H$4,4,0),"")</f>
        <v>#NAME?</v>
      </c>
      <c r="G914" s="26" t="s">
        <v>5597</v>
      </c>
      <c r="H914" s="32">
        <v>0.9</v>
      </c>
      <c r="I914" s="31" t="s">
        <v>18</v>
      </c>
      <c r="J914" s="32"/>
      <c r="K914" s="32" t="str">
        <f t="shared" si="3"/>
        <v>Interno</v>
      </c>
      <c r="L914" s="32" t="e">
        <f ca="1">_xludf.ifna(VLOOKUP(G915,Proyectos!$E$1:$N$4,10,0),"")</f>
        <v>#NAME?</v>
      </c>
      <c r="M914" s="32"/>
      <c r="N914" s="31"/>
      <c r="O914" s="31"/>
      <c r="P914" s="33"/>
      <c r="Q914" s="33"/>
    </row>
    <row r="915" spans="1:17" ht="16.5" customHeight="1" x14ac:dyDescent="0.2">
      <c r="A915" s="26" t="s">
        <v>3644</v>
      </c>
      <c r="B915" s="26" t="s">
        <v>3645</v>
      </c>
      <c r="C915" s="26" t="s">
        <v>115</v>
      </c>
      <c r="D915" s="26" t="s">
        <v>116</v>
      </c>
      <c r="E915" s="26" t="s">
        <v>39</v>
      </c>
      <c r="F915" s="28" t="e">
        <f ca="1">_xludf.ifna(VLOOKUP(G916,Proyectos!$E$1:$H$4,4,0),"")</f>
        <v>#NAME?</v>
      </c>
      <c r="G915" s="26" t="s">
        <v>5314</v>
      </c>
      <c r="H915" s="32">
        <v>0.1</v>
      </c>
      <c r="I915" s="31" t="s">
        <v>18</v>
      </c>
      <c r="J915" s="32"/>
      <c r="K915" s="32" t="str">
        <f t="shared" si="3"/>
        <v>Interno</v>
      </c>
      <c r="L915" s="32" t="e">
        <f ca="1">_xludf.ifna(VLOOKUP(G916,Proyectos!$E$1:$N$4,10,0),"")</f>
        <v>#NAME?</v>
      </c>
      <c r="M915" s="32"/>
      <c r="N915" s="32"/>
      <c r="O915" s="31"/>
      <c r="P915" s="33"/>
      <c r="Q915" s="33"/>
    </row>
    <row r="916" spans="1:17" ht="16.5" customHeight="1" x14ac:dyDescent="0.2">
      <c r="A916" s="26" t="s">
        <v>4776</v>
      </c>
      <c r="B916" s="26" t="s">
        <v>4777</v>
      </c>
      <c r="C916" s="26" t="s">
        <v>64</v>
      </c>
      <c r="D916" s="26" t="s">
        <v>70</v>
      </c>
      <c r="E916" s="26" t="s">
        <v>39</v>
      </c>
      <c r="F916" s="28" t="e">
        <f ca="1">_xludf.ifna(VLOOKUP(G917,Proyectos!$E$1:$H$4,4,0),"")</f>
        <v>#NAME?</v>
      </c>
      <c r="G916" s="26" t="s">
        <v>5597</v>
      </c>
      <c r="H916" s="30">
        <v>0.8</v>
      </c>
      <c r="I916" s="31" t="s">
        <v>18</v>
      </c>
      <c r="J916" s="32"/>
      <c r="K916" s="32" t="str">
        <f t="shared" si="3"/>
        <v>Interno</v>
      </c>
      <c r="L916" s="32" t="e">
        <f ca="1">_xludf.ifna(VLOOKUP(G917,Proyectos!$E$1:$N$4,10,0),"")</f>
        <v>#NAME?</v>
      </c>
      <c r="M916" s="32"/>
      <c r="N916" s="31"/>
      <c r="O916" s="31"/>
      <c r="P916" s="33"/>
      <c r="Q916" s="33"/>
    </row>
    <row r="917" spans="1:17" ht="16.5" customHeight="1" x14ac:dyDescent="0.2">
      <c r="A917" s="26" t="s">
        <v>4776</v>
      </c>
      <c r="B917" s="26" t="s">
        <v>4777</v>
      </c>
      <c r="C917" s="26" t="s">
        <v>64</v>
      </c>
      <c r="D917" s="26" t="s">
        <v>70</v>
      </c>
      <c r="E917" s="26" t="s">
        <v>39</v>
      </c>
      <c r="F917" s="28" t="e">
        <f ca="1">_xludf.ifna(VLOOKUP(G918,Proyectos!$E$1:$H$4,4,0),"")</f>
        <v>#NAME?</v>
      </c>
      <c r="G917" s="26" t="s">
        <v>5403</v>
      </c>
      <c r="H917" s="30">
        <v>0.2</v>
      </c>
      <c r="I917" s="31" t="s">
        <v>18</v>
      </c>
      <c r="J917" s="32"/>
      <c r="K917" s="32" t="str">
        <f t="shared" si="3"/>
        <v>Interno</v>
      </c>
      <c r="L917" s="32" t="e">
        <f ca="1">_xludf.ifna(VLOOKUP(G918,Proyectos!$E$1:$N$4,10,0),"")</f>
        <v>#NAME?</v>
      </c>
      <c r="M917" s="32"/>
      <c r="N917" s="32"/>
      <c r="O917" s="31"/>
      <c r="P917" s="33"/>
      <c r="Q917" s="33"/>
    </row>
    <row r="918" spans="1:17" ht="16.5" customHeight="1" x14ac:dyDescent="0.2">
      <c r="A918" s="35" t="s">
        <v>4501</v>
      </c>
      <c r="B918" s="26" t="s">
        <v>5504</v>
      </c>
      <c r="C918" s="26" t="s">
        <v>64</v>
      </c>
      <c r="D918" s="26" t="s">
        <v>82</v>
      </c>
      <c r="E918" s="35" t="s">
        <v>126</v>
      </c>
      <c r="F918" s="28" t="e">
        <f ca="1">_xludf.ifna(VLOOKUP(G919,Proyectos!$E$1:$H$4,4,0),"")</f>
        <v>#NAME?</v>
      </c>
      <c r="G918" s="26" t="s">
        <v>5387</v>
      </c>
      <c r="H918" s="32">
        <v>1</v>
      </c>
      <c r="I918" s="31" t="s">
        <v>25</v>
      </c>
      <c r="J918" s="32"/>
      <c r="K918" s="32" t="str">
        <f t="shared" si="3"/>
        <v>Externo</v>
      </c>
      <c r="L918" s="32" t="e">
        <f ca="1">_xludf.ifna(VLOOKUP(G919,Proyectos!$E$1:$N$4,10,0),"")</f>
        <v>#NAME?</v>
      </c>
      <c r="M918" s="32"/>
      <c r="N918" s="32"/>
      <c r="O918" s="31"/>
      <c r="P918" s="33"/>
      <c r="Q918" s="33"/>
    </row>
    <row r="919" spans="1:17" ht="16.5" customHeight="1" x14ac:dyDescent="0.2">
      <c r="A919" s="26" t="s">
        <v>3418</v>
      </c>
      <c r="B919" s="26" t="s">
        <v>3419</v>
      </c>
      <c r="C919" s="26" t="s">
        <v>115</v>
      </c>
      <c r="D919" s="26" t="s">
        <v>119</v>
      </c>
      <c r="E919" s="26" t="s">
        <v>39</v>
      </c>
      <c r="F919" s="28" t="e">
        <f ca="1">_xludf.ifna(VLOOKUP(G920,Proyectos!$E$1:$H$4,4,0),"")</f>
        <v>#NAME?</v>
      </c>
      <c r="G919" s="26" t="s">
        <v>5597</v>
      </c>
      <c r="H919" s="32">
        <v>1</v>
      </c>
      <c r="I919" s="31" t="s">
        <v>18</v>
      </c>
      <c r="J919" s="32"/>
      <c r="K919" s="32" t="str">
        <f t="shared" si="3"/>
        <v>Interno</v>
      </c>
      <c r="L919" s="32" t="e">
        <f ca="1">_xludf.ifna(VLOOKUP(G920,Proyectos!$E$1:$N$4,10,0),"")</f>
        <v>#NAME?</v>
      </c>
      <c r="M919" s="32"/>
      <c r="N919" s="31"/>
      <c r="O919" s="31"/>
      <c r="P919" s="33"/>
      <c r="Q919" s="33"/>
    </row>
    <row r="920" spans="1:17" ht="16.5" customHeight="1" x14ac:dyDescent="0.2">
      <c r="A920" s="35" t="s">
        <v>4175</v>
      </c>
      <c r="B920" s="26" t="s">
        <v>5505</v>
      </c>
      <c r="C920" s="26" t="s">
        <v>64</v>
      </c>
      <c r="D920" s="26" t="s">
        <v>82</v>
      </c>
      <c r="E920" s="35" t="s">
        <v>135</v>
      </c>
      <c r="F920" s="28" t="e">
        <f ca="1">_xludf.ifna(VLOOKUP(G921,Proyectos!$E$1:$H$4,4,0),"")</f>
        <v>#NAME?</v>
      </c>
      <c r="G920" s="26" t="s">
        <v>5387</v>
      </c>
      <c r="H920" s="32">
        <v>1</v>
      </c>
      <c r="I920" s="31" t="s">
        <v>25</v>
      </c>
      <c r="J920" s="32"/>
      <c r="K920" s="32" t="str">
        <f t="shared" si="3"/>
        <v>Externo</v>
      </c>
      <c r="L920" s="32" t="e">
        <f ca="1">_xludf.ifna(VLOOKUP(G921,Proyectos!$E$1:$N$4,10,0),"")</f>
        <v>#NAME?</v>
      </c>
      <c r="M920" s="32"/>
      <c r="N920" s="32"/>
      <c r="O920" s="31"/>
      <c r="P920" s="33"/>
      <c r="Q920" s="33"/>
    </row>
    <row r="921" spans="1:17" ht="16.5" customHeight="1" x14ac:dyDescent="0.2">
      <c r="A921" s="26" t="s">
        <v>4161</v>
      </c>
      <c r="B921" s="26" t="s">
        <v>5815</v>
      </c>
      <c r="C921" s="26" t="s">
        <v>37</v>
      </c>
      <c r="D921" s="26" t="s">
        <v>45</v>
      </c>
      <c r="E921" s="26" t="s">
        <v>138</v>
      </c>
      <c r="F921" s="28" t="e">
        <f ca="1">_xludf.ifna(VLOOKUP(G922,Proyectos!$E$1:$H$4,4,0),"")</f>
        <v>#NAME?</v>
      </c>
      <c r="G921" s="26" t="s">
        <v>5151</v>
      </c>
      <c r="H921" s="32">
        <v>0.1</v>
      </c>
      <c r="I921" s="31" t="s">
        <v>11</v>
      </c>
      <c r="J921" s="32"/>
      <c r="K921" s="32" t="str">
        <f t="shared" si="3"/>
        <v>Externo</v>
      </c>
      <c r="L921" s="32" t="e">
        <f ca="1">_xludf.ifna(VLOOKUP(G922,Proyectos!$E$1:$N$4,10,0),"")</f>
        <v>#NAME?</v>
      </c>
      <c r="M921" s="32"/>
      <c r="N921" s="31"/>
      <c r="O921" s="31"/>
      <c r="P921" s="33"/>
      <c r="Q921" s="33"/>
    </row>
    <row r="922" spans="1:17" ht="16.5" customHeight="1" x14ac:dyDescent="0.2">
      <c r="A922" s="26" t="s">
        <v>4161</v>
      </c>
      <c r="B922" s="26" t="s">
        <v>5815</v>
      </c>
      <c r="C922" s="26" t="s">
        <v>37</v>
      </c>
      <c r="D922" s="26" t="s">
        <v>45</v>
      </c>
      <c r="E922" s="26" t="s">
        <v>138</v>
      </c>
      <c r="F922" s="28" t="e">
        <f ca="1">_xludf.ifna(VLOOKUP(G923,Proyectos!$E$1:$H$4,4,0),"")</f>
        <v>#NAME?</v>
      </c>
      <c r="G922" s="26" t="s">
        <v>5123</v>
      </c>
      <c r="H922" s="32">
        <v>0.1</v>
      </c>
      <c r="I922" s="31" t="s">
        <v>11</v>
      </c>
      <c r="J922" s="32"/>
      <c r="K922" s="32" t="str">
        <f t="shared" si="3"/>
        <v>Externo</v>
      </c>
      <c r="L922" s="32" t="e">
        <f ca="1">_xludf.ifna(VLOOKUP(G923,Proyectos!$E$1:$N$4,10,0),"")</f>
        <v>#NAME?</v>
      </c>
      <c r="M922" s="32"/>
      <c r="N922" s="31"/>
      <c r="O922" s="31"/>
      <c r="P922" s="33"/>
      <c r="Q922" s="33"/>
    </row>
    <row r="923" spans="1:17" ht="16.5" customHeight="1" x14ac:dyDescent="0.2">
      <c r="A923" s="26" t="s">
        <v>4161</v>
      </c>
      <c r="B923" s="26" t="s">
        <v>5815</v>
      </c>
      <c r="C923" s="26" t="s">
        <v>37</v>
      </c>
      <c r="D923" s="26" t="s">
        <v>45</v>
      </c>
      <c r="E923" s="26" t="s">
        <v>138</v>
      </c>
      <c r="F923" s="28" t="e">
        <f ca="1">_xludf.ifna(VLOOKUP(G924,Proyectos!$E$1:$H$4,4,0),"")</f>
        <v>#NAME?</v>
      </c>
      <c r="G923" s="26" t="s">
        <v>5608</v>
      </c>
      <c r="H923" s="32">
        <v>0.1</v>
      </c>
      <c r="I923" s="31" t="s">
        <v>11</v>
      </c>
      <c r="J923" s="32"/>
      <c r="K923" s="32" t="str">
        <f t="shared" si="3"/>
        <v>Externo</v>
      </c>
      <c r="L923" s="32" t="e">
        <f ca="1">_xludf.ifna(VLOOKUP(G924,Proyectos!$E$1:$N$4,10,0),"")</f>
        <v>#NAME?</v>
      </c>
      <c r="M923" s="32"/>
      <c r="N923" s="31"/>
      <c r="O923" s="31"/>
      <c r="P923" s="33"/>
      <c r="Q923" s="33"/>
    </row>
    <row r="924" spans="1:17" ht="16.5" customHeight="1" x14ac:dyDescent="0.2">
      <c r="A924" s="26" t="s">
        <v>4161</v>
      </c>
      <c r="B924" s="26" t="s">
        <v>5815</v>
      </c>
      <c r="C924" s="26" t="s">
        <v>37</v>
      </c>
      <c r="D924" s="26" t="s">
        <v>45</v>
      </c>
      <c r="E924" s="26" t="s">
        <v>138</v>
      </c>
      <c r="F924" s="28" t="e">
        <f ca="1">_xludf.ifna(VLOOKUP(G925,Proyectos!$E$1:$H$4,4,0),"")</f>
        <v>#NAME?</v>
      </c>
      <c r="G924" s="26" t="s">
        <v>5221</v>
      </c>
      <c r="H924" s="32">
        <v>0.1</v>
      </c>
      <c r="I924" s="31" t="s">
        <v>11</v>
      </c>
      <c r="J924" s="32"/>
      <c r="K924" s="32" t="str">
        <f t="shared" si="3"/>
        <v>Externo</v>
      </c>
      <c r="L924" s="32" t="e">
        <f ca="1">_xludf.ifna(VLOOKUP(G925,Proyectos!$E$1:$N$4,10,0),"")</f>
        <v>#NAME?</v>
      </c>
      <c r="M924" s="32"/>
      <c r="N924" s="31"/>
      <c r="O924" s="31"/>
      <c r="P924" s="33"/>
      <c r="Q924" s="33"/>
    </row>
    <row r="925" spans="1:17" ht="16.5" customHeight="1" x14ac:dyDescent="0.2">
      <c r="A925" s="26" t="s">
        <v>4047</v>
      </c>
      <c r="B925" s="26" t="s">
        <v>5565</v>
      </c>
      <c r="C925" s="26" t="s">
        <v>115</v>
      </c>
      <c r="D925" s="26" t="s">
        <v>131</v>
      </c>
      <c r="E925" s="26" t="s">
        <v>139</v>
      </c>
      <c r="F925" s="28" t="e">
        <f ca="1">_xludf.ifna(VLOOKUP(G926,Proyectos!$E$1:$H$4,4,0),"")</f>
        <v>#NAME?</v>
      </c>
      <c r="G925" s="26" t="s">
        <v>5543</v>
      </c>
      <c r="H925" s="32">
        <v>1</v>
      </c>
      <c r="I925" s="31" t="s">
        <v>18</v>
      </c>
      <c r="J925" s="32"/>
      <c r="K925" s="32" t="str">
        <f t="shared" si="3"/>
        <v>Externo</v>
      </c>
      <c r="L925" s="32" t="e">
        <f ca="1">_xludf.ifna(VLOOKUP(G926,Proyectos!$E$1:$N$4,10,0),"")</f>
        <v>#NAME?</v>
      </c>
      <c r="M925" s="32"/>
      <c r="N925" s="32"/>
      <c r="O925" s="31"/>
      <c r="P925" s="33"/>
      <c r="Q925" s="33"/>
    </row>
    <row r="926" spans="1:17" ht="16.5" customHeight="1" x14ac:dyDescent="0.2">
      <c r="A926" s="35" t="s">
        <v>4427</v>
      </c>
      <c r="B926" s="26" t="s">
        <v>5816</v>
      </c>
      <c r="C926" s="26" t="s">
        <v>64</v>
      </c>
      <c r="D926" s="26" t="s">
        <v>82</v>
      </c>
      <c r="E926" s="35" t="s">
        <v>9</v>
      </c>
      <c r="F926" s="28" t="e">
        <f ca="1">_xludf.ifna(VLOOKUP(G927,Proyectos!$E$1:$H$4,4,0),"")</f>
        <v>#NAME?</v>
      </c>
      <c r="G926" s="26" t="s">
        <v>5387</v>
      </c>
      <c r="H926" s="32">
        <v>1</v>
      </c>
      <c r="I926" s="31" t="s">
        <v>18</v>
      </c>
      <c r="J926" s="32"/>
      <c r="K926" s="32" t="str">
        <f t="shared" si="3"/>
        <v>Externo</v>
      </c>
      <c r="L926" s="32" t="e">
        <f ca="1">_xludf.ifna(VLOOKUP(G927,Proyectos!$E$1:$N$4,10,0),"")</f>
        <v>#NAME?</v>
      </c>
      <c r="M926" s="32"/>
      <c r="N926" s="32"/>
      <c r="O926" s="31"/>
      <c r="P926" s="33"/>
      <c r="Q926" s="33"/>
    </row>
    <row r="927" spans="1:17" ht="16.5" customHeight="1" x14ac:dyDescent="0.2">
      <c r="A927" s="26" t="s">
        <v>4253</v>
      </c>
      <c r="B927" s="26" t="s">
        <v>4254</v>
      </c>
      <c r="C927" s="26" t="s">
        <v>98</v>
      </c>
      <c r="D927" s="26" t="s">
        <v>105</v>
      </c>
      <c r="E927" s="26" t="s">
        <v>83</v>
      </c>
      <c r="F927" s="28" t="e">
        <f ca="1">_xludf.ifna(VLOOKUP(G928,Proyectos!$E$1:$H$4,4,0),"")</f>
        <v>#NAME?</v>
      </c>
      <c r="G927" s="26" t="s">
        <v>5145</v>
      </c>
      <c r="H927" s="32">
        <v>1</v>
      </c>
      <c r="I927" s="31" t="s">
        <v>25</v>
      </c>
      <c r="J927" s="32"/>
      <c r="K927" s="32" t="str">
        <f t="shared" si="3"/>
        <v>Externo</v>
      </c>
      <c r="L927" s="32" t="e">
        <f ca="1">_xludf.ifna(VLOOKUP(G928,Proyectos!$E$1:$N$4,10,0),"")</f>
        <v>#NAME?</v>
      </c>
      <c r="M927" s="32"/>
      <c r="N927" s="32"/>
      <c r="O927" s="31"/>
      <c r="P927" s="33"/>
      <c r="Q927" s="33"/>
    </row>
    <row r="928" spans="1:17" ht="16.5" customHeight="1" x14ac:dyDescent="0.2">
      <c r="A928" s="35" t="s">
        <v>4843</v>
      </c>
      <c r="B928" s="26" t="s">
        <v>5506</v>
      </c>
      <c r="C928" s="26" t="s">
        <v>64</v>
      </c>
      <c r="D928" s="26" t="s">
        <v>82</v>
      </c>
      <c r="E928" s="35" t="s">
        <v>129</v>
      </c>
      <c r="F928" s="28" t="e">
        <f ca="1">_xludf.ifna(VLOOKUP(G929,Proyectos!$E$1:$H$4,4,0),"")</f>
        <v>#NAME?</v>
      </c>
      <c r="G928" s="26" t="s">
        <v>5434</v>
      </c>
      <c r="H928" s="32">
        <v>1</v>
      </c>
      <c r="I928" s="31" t="s">
        <v>18</v>
      </c>
      <c r="J928" s="32"/>
      <c r="K928" s="32" t="str">
        <f t="shared" si="3"/>
        <v>Externo</v>
      </c>
      <c r="L928" s="32" t="e">
        <f ca="1">_xludf.ifna(VLOOKUP(G929,Proyectos!$E$1:$N$4,10,0),"")</f>
        <v>#NAME?</v>
      </c>
      <c r="M928" s="32"/>
      <c r="N928" s="31"/>
      <c r="O928" s="31"/>
      <c r="P928" s="33"/>
      <c r="Q928" s="33"/>
    </row>
    <row r="929" spans="1:17" ht="16.5" customHeight="1" x14ac:dyDescent="0.2">
      <c r="A929" s="26" t="s">
        <v>3544</v>
      </c>
      <c r="B929" s="26" t="s">
        <v>3545</v>
      </c>
      <c r="C929" s="26" t="s">
        <v>98</v>
      </c>
      <c r="D929" s="26" t="s">
        <v>110</v>
      </c>
      <c r="E929" s="26" t="s">
        <v>39</v>
      </c>
      <c r="F929" s="28" t="e">
        <f ca="1">_xludf.ifna(VLOOKUP(G930,Proyectos!$E$1:$H$4,4,0),"")</f>
        <v>#NAME?</v>
      </c>
      <c r="G929" s="26" t="s">
        <v>5597</v>
      </c>
      <c r="H929" s="32">
        <v>1</v>
      </c>
      <c r="I929" s="31" t="s">
        <v>18</v>
      </c>
      <c r="J929" s="32"/>
      <c r="K929" s="32" t="str">
        <f t="shared" si="3"/>
        <v>Interno</v>
      </c>
      <c r="L929" s="32" t="e">
        <f ca="1">_xludf.ifna(VLOOKUP(G930,Proyectos!$E$1:$N$4,10,0),"")</f>
        <v>#NAME?</v>
      </c>
      <c r="M929" s="32"/>
      <c r="N929" s="32"/>
      <c r="O929" s="31"/>
      <c r="P929" s="33"/>
      <c r="Q929" s="33"/>
    </row>
    <row r="930" spans="1:17" ht="16.5" customHeight="1" x14ac:dyDescent="0.2">
      <c r="A930" s="26" t="s">
        <v>3767</v>
      </c>
      <c r="B930" s="26" t="s">
        <v>3768</v>
      </c>
      <c r="C930" s="26" t="s">
        <v>98</v>
      </c>
      <c r="D930" s="26" t="s">
        <v>99</v>
      </c>
      <c r="E930" s="26" t="s">
        <v>39</v>
      </c>
      <c r="F930" s="28" t="e">
        <f ca="1">_xludf.ifna(VLOOKUP(G931,Proyectos!$E$1:$H$4,4,0),"")</f>
        <v>#NAME?</v>
      </c>
      <c r="G930" s="26" t="s">
        <v>5632</v>
      </c>
      <c r="H930" s="32">
        <v>1</v>
      </c>
      <c r="I930" s="31" t="s">
        <v>18</v>
      </c>
      <c r="J930" s="32"/>
      <c r="K930" s="32" t="str">
        <f t="shared" si="3"/>
        <v>Interno</v>
      </c>
      <c r="L930" s="32" t="e">
        <f ca="1">_xludf.ifna(VLOOKUP(G931,Proyectos!$E$1:$N$4,10,0),"")</f>
        <v>#NAME?</v>
      </c>
      <c r="M930" s="32"/>
      <c r="N930" s="32"/>
      <c r="O930" s="31"/>
      <c r="P930" s="33"/>
      <c r="Q930" s="33"/>
    </row>
    <row r="931" spans="1:17" ht="16.5" customHeight="1" x14ac:dyDescent="0.2">
      <c r="A931" s="35" t="s">
        <v>4302</v>
      </c>
      <c r="B931" s="26" t="s">
        <v>4303</v>
      </c>
      <c r="C931" s="26" t="s">
        <v>64</v>
      </c>
      <c r="D931" s="26" t="s">
        <v>82</v>
      </c>
      <c r="E931" s="35" t="s">
        <v>126</v>
      </c>
      <c r="F931" s="28" t="e">
        <f ca="1">_xludf.ifna(VLOOKUP(G932,Proyectos!$E$1:$H$4,4,0),"")</f>
        <v>#NAME?</v>
      </c>
      <c r="G931" s="26" t="s">
        <v>5387</v>
      </c>
      <c r="H931" s="32">
        <v>1</v>
      </c>
      <c r="I931" s="31" t="s">
        <v>18</v>
      </c>
      <c r="J931" s="32"/>
      <c r="K931" s="32" t="str">
        <f t="shared" si="3"/>
        <v>Externo</v>
      </c>
      <c r="L931" s="32" t="e">
        <f ca="1">_xludf.ifna(VLOOKUP(G932,Proyectos!$E$1:$N$4,10,0),"")</f>
        <v>#NAME?</v>
      </c>
      <c r="M931" s="32"/>
      <c r="N931" s="32"/>
      <c r="O931" s="31"/>
      <c r="P931" s="33"/>
      <c r="Q931" s="33"/>
    </row>
    <row r="932" spans="1:17" ht="16.5" customHeight="1" x14ac:dyDescent="0.2">
      <c r="A932" s="26" t="s">
        <v>4747</v>
      </c>
      <c r="B932" s="26" t="s">
        <v>4748</v>
      </c>
      <c r="C932" s="26" t="s">
        <v>64</v>
      </c>
      <c r="D932" s="26" t="s">
        <v>78</v>
      </c>
      <c r="E932" s="26" t="s">
        <v>39</v>
      </c>
      <c r="F932" s="28" t="e">
        <f ca="1">_xludf.ifna(VLOOKUP(G933,Proyectos!$E$1:$H$4,4,0),"")</f>
        <v>#NAME?</v>
      </c>
      <c r="G932" s="26" t="s">
        <v>5411</v>
      </c>
      <c r="H932" s="30">
        <v>1</v>
      </c>
      <c r="I932" s="31" t="s">
        <v>18</v>
      </c>
      <c r="J932" s="32"/>
      <c r="K932" s="32" t="str">
        <f t="shared" si="3"/>
        <v>Interno</v>
      </c>
      <c r="L932" s="32" t="e">
        <f ca="1">_xludf.ifna(VLOOKUP(G933,Proyectos!$E$1:$N$4,10,0),"")</f>
        <v>#NAME?</v>
      </c>
      <c r="M932" s="32"/>
      <c r="N932" s="32"/>
      <c r="O932" s="31"/>
      <c r="P932" s="33"/>
      <c r="Q932" s="33"/>
    </row>
    <row r="933" spans="1:17" ht="16.5" customHeight="1" x14ac:dyDescent="0.2">
      <c r="A933" s="26" t="s">
        <v>4450</v>
      </c>
      <c r="B933" s="26" t="s">
        <v>5289</v>
      </c>
      <c r="C933" s="53" t="s">
        <v>64</v>
      </c>
      <c r="D933" s="26" t="s">
        <v>92</v>
      </c>
      <c r="E933" s="26" t="s">
        <v>100</v>
      </c>
      <c r="F933" s="28" t="e">
        <f ca="1">_xludf.ifna(VLOOKUP(G934,Proyectos!$E$1:$H$4,4,0),"")</f>
        <v>#NAME?</v>
      </c>
      <c r="G933" s="26" t="s">
        <v>5217</v>
      </c>
      <c r="H933" s="32">
        <v>1</v>
      </c>
      <c r="I933" s="31" t="s">
        <v>18</v>
      </c>
      <c r="J933" s="32"/>
      <c r="K933" s="32" t="str">
        <f t="shared" si="3"/>
        <v>Externo</v>
      </c>
      <c r="L933" s="32" t="e">
        <f ca="1">_xludf.ifna(VLOOKUP(G934,Proyectos!$E$1:$N$4,10,0),"")</f>
        <v>#NAME?</v>
      </c>
      <c r="M933" s="32"/>
      <c r="N933" s="32"/>
      <c r="O933" s="31"/>
      <c r="P933" s="33"/>
      <c r="Q933" s="33"/>
    </row>
    <row r="934" spans="1:17" ht="16.5" customHeight="1" x14ac:dyDescent="0.2">
      <c r="A934" s="26" t="s">
        <v>4074</v>
      </c>
      <c r="B934" s="26" t="s">
        <v>5817</v>
      </c>
      <c r="C934" s="26" t="s">
        <v>115</v>
      </c>
      <c r="D934" s="26" t="s">
        <v>131</v>
      </c>
      <c r="E934" s="26" t="s">
        <v>139</v>
      </c>
      <c r="F934" s="28" t="e">
        <f ca="1">_xludf.ifna(VLOOKUP(G935,Proyectos!$E$1:$H$4,4,0),"")</f>
        <v>#NAME?</v>
      </c>
      <c r="G934" s="26" t="s">
        <v>5597</v>
      </c>
      <c r="H934" s="32">
        <v>1</v>
      </c>
      <c r="I934" s="31" t="s">
        <v>18</v>
      </c>
      <c r="J934" s="31" t="s">
        <v>5818</v>
      </c>
      <c r="K934" s="32" t="str">
        <f t="shared" si="3"/>
        <v>Externo</v>
      </c>
      <c r="L934" s="32" t="e">
        <f ca="1">_xludf.ifna(VLOOKUP(G935,Proyectos!$E$1:$N$4,10,0),"")</f>
        <v>#NAME?</v>
      </c>
      <c r="M934" s="32"/>
      <c r="N934" s="31"/>
      <c r="O934" s="31"/>
      <c r="P934" s="33"/>
      <c r="Q934" s="33"/>
    </row>
    <row r="935" spans="1:17" ht="16.5" customHeight="1" x14ac:dyDescent="0.2">
      <c r="A935" s="26" t="s">
        <v>4656</v>
      </c>
      <c r="B935" s="26" t="s">
        <v>4657</v>
      </c>
      <c r="C935" s="26" t="s">
        <v>64</v>
      </c>
      <c r="D935" s="26" t="s">
        <v>86</v>
      </c>
      <c r="E935" s="26" t="s">
        <v>39</v>
      </c>
      <c r="F935" s="28" t="e">
        <f ca="1">_xludf.ifna(VLOOKUP(G936,Proyectos!$E$1:$H$4,4,0),"")</f>
        <v>#NAME?</v>
      </c>
      <c r="G935" s="26" t="s">
        <v>5463</v>
      </c>
      <c r="H935" s="32">
        <v>1</v>
      </c>
      <c r="I935" s="31" t="s">
        <v>11</v>
      </c>
      <c r="J935" s="32"/>
      <c r="K935" s="32" t="str">
        <f t="shared" si="3"/>
        <v>Interno</v>
      </c>
      <c r="L935" s="32" t="e">
        <f ca="1">_xludf.ifna(VLOOKUP(G936,Proyectos!$E$1:$N$4,10,0),"")</f>
        <v>#NAME?</v>
      </c>
      <c r="M935" s="32"/>
      <c r="N935" s="32"/>
      <c r="O935" s="31"/>
      <c r="P935" s="33"/>
      <c r="Q935" s="33"/>
    </row>
    <row r="936" spans="1:17" ht="16.5" customHeight="1" x14ac:dyDescent="0.2">
      <c r="A936" s="26" t="s">
        <v>4774</v>
      </c>
      <c r="B936" s="26" t="s">
        <v>4775</v>
      </c>
      <c r="C936" s="26" t="s">
        <v>37</v>
      </c>
      <c r="D936" s="26" t="s">
        <v>38</v>
      </c>
      <c r="E936" s="26" t="s">
        <v>39</v>
      </c>
      <c r="F936" s="28" t="e">
        <f ca="1">_xludf.ifna(VLOOKUP(G937,Proyectos!$E$1:$H$4,4,0),"")</f>
        <v>#NAME?</v>
      </c>
      <c r="G936" s="26" t="s">
        <v>5341</v>
      </c>
      <c r="H936" s="32">
        <v>0.5</v>
      </c>
      <c r="I936" s="31" t="s">
        <v>18</v>
      </c>
      <c r="J936" s="32"/>
      <c r="K936" s="32" t="str">
        <f t="shared" si="3"/>
        <v>Interno</v>
      </c>
      <c r="L936" s="32" t="e">
        <f ca="1">_xludf.ifna(VLOOKUP(G937,Proyectos!$E$1:$N$4,10,0),"")</f>
        <v>#NAME?</v>
      </c>
      <c r="M936" s="32"/>
      <c r="N936" s="31"/>
      <c r="O936" s="31"/>
      <c r="P936" s="33"/>
      <c r="Q936" s="33"/>
    </row>
    <row r="937" spans="1:17" ht="16.5" customHeight="1" x14ac:dyDescent="0.2">
      <c r="A937" s="26" t="s">
        <v>4774</v>
      </c>
      <c r="B937" s="26" t="s">
        <v>4775</v>
      </c>
      <c r="C937" s="26" t="s">
        <v>37</v>
      </c>
      <c r="D937" s="26" t="s">
        <v>38</v>
      </c>
      <c r="E937" s="26" t="s">
        <v>39</v>
      </c>
      <c r="F937" s="28" t="e">
        <f ca="1">_xludf.ifna(VLOOKUP(G938,Proyectos!$E$1:$H$4,4,0),"")</f>
        <v>#NAME?</v>
      </c>
      <c r="G937" s="26" t="s">
        <v>5336</v>
      </c>
      <c r="H937" s="32">
        <v>0.25</v>
      </c>
      <c r="I937" s="31" t="s">
        <v>18</v>
      </c>
      <c r="J937" s="32"/>
      <c r="K937" s="32" t="str">
        <f t="shared" si="3"/>
        <v>Interno</v>
      </c>
      <c r="L937" s="32" t="e">
        <f ca="1">_xludf.ifna(VLOOKUP(G938,Proyectos!$E$1:$N$4,10,0),"")</f>
        <v>#NAME?</v>
      </c>
      <c r="M937" s="32"/>
      <c r="N937" s="31"/>
      <c r="O937" s="31"/>
      <c r="P937" s="33"/>
      <c r="Q937" s="33"/>
    </row>
    <row r="938" spans="1:17" ht="16.5" customHeight="1" x14ac:dyDescent="0.2">
      <c r="A938" s="26" t="s">
        <v>4774</v>
      </c>
      <c r="B938" s="26" t="s">
        <v>4775</v>
      </c>
      <c r="C938" s="26" t="s">
        <v>37</v>
      </c>
      <c r="D938" s="26" t="s">
        <v>38</v>
      </c>
      <c r="E938" s="26" t="s">
        <v>39</v>
      </c>
      <c r="F938" s="28" t="e">
        <f ca="1">_xludf.ifna(VLOOKUP(G939,Proyectos!$E$1:$H$4,4,0),"")</f>
        <v>#NAME?</v>
      </c>
      <c r="G938" s="26" t="s">
        <v>5337</v>
      </c>
      <c r="H938" s="32">
        <v>0.25</v>
      </c>
      <c r="I938" s="31" t="s">
        <v>18</v>
      </c>
      <c r="J938" s="32"/>
      <c r="K938" s="32" t="str">
        <f t="shared" si="3"/>
        <v>Interno</v>
      </c>
      <c r="L938" s="32" t="e">
        <f ca="1">_xludf.ifna(VLOOKUP(G939,Proyectos!$E$1:$N$4,10,0),"")</f>
        <v>#NAME?</v>
      </c>
      <c r="M938" s="32"/>
      <c r="N938" s="31"/>
      <c r="O938" s="31"/>
      <c r="P938" s="33"/>
      <c r="Q938" s="33"/>
    </row>
    <row r="939" spans="1:17" ht="16.5" customHeight="1" x14ac:dyDescent="0.2">
      <c r="A939" s="26" t="s">
        <v>4966</v>
      </c>
      <c r="B939" s="26" t="s">
        <v>5205</v>
      </c>
      <c r="C939" s="54" t="s">
        <v>7</v>
      </c>
      <c r="D939" s="35" t="s">
        <v>8</v>
      </c>
      <c r="E939" s="35" t="s">
        <v>87</v>
      </c>
      <c r="F939" s="28" t="e">
        <f ca="1">_xludf.ifna(VLOOKUP(G940,Proyectos!$E$1:$H$4,4,0),"")</f>
        <v>#NAME?</v>
      </c>
      <c r="G939" s="35" t="s">
        <v>5189</v>
      </c>
      <c r="H939" s="30">
        <v>1</v>
      </c>
      <c r="I939" s="31" t="s">
        <v>18</v>
      </c>
      <c r="J939" s="55"/>
      <c r="K939" s="32" t="str">
        <f t="shared" si="3"/>
        <v>Externo</v>
      </c>
      <c r="L939" s="32" t="e">
        <f ca="1">_xludf.ifna(VLOOKUP(G940,Proyectos!$E$1:$N$4,10,0),"")</f>
        <v>#NAME?</v>
      </c>
      <c r="M939" s="32"/>
      <c r="N939" s="31"/>
      <c r="O939" s="31"/>
      <c r="P939" s="33"/>
      <c r="Q939" s="33"/>
    </row>
    <row r="940" spans="1:17" ht="16.5" customHeight="1" x14ac:dyDescent="0.2">
      <c r="A940" s="26" t="s">
        <v>3360</v>
      </c>
      <c r="B940" s="26" t="s">
        <v>3361</v>
      </c>
      <c r="C940" s="26" t="s">
        <v>115</v>
      </c>
      <c r="D940" s="26" t="s">
        <v>122</v>
      </c>
      <c r="E940" s="26" t="s">
        <v>39</v>
      </c>
      <c r="F940" s="28" t="e">
        <f ca="1">_xludf.ifna(VLOOKUP(G941,Proyectos!$E$1:$H$4,4,0),"")</f>
        <v>#NAME?</v>
      </c>
      <c r="G940" s="26" t="s">
        <v>5427</v>
      </c>
      <c r="H940" s="32">
        <v>0.4</v>
      </c>
      <c r="I940" s="31" t="s">
        <v>18</v>
      </c>
      <c r="J940" s="32"/>
      <c r="K940" s="32" t="str">
        <f t="shared" si="3"/>
        <v>Interno</v>
      </c>
      <c r="L940" s="32" t="e">
        <f ca="1">_xludf.ifna(VLOOKUP(G941,Proyectos!$E$1:$N$4,10,0),"")</f>
        <v>#NAME?</v>
      </c>
      <c r="M940" s="32"/>
      <c r="N940" s="31"/>
      <c r="O940" s="31"/>
      <c r="P940" s="33"/>
      <c r="Q940" s="33"/>
    </row>
    <row r="941" spans="1:17" ht="16.5" customHeight="1" x14ac:dyDescent="0.2">
      <c r="A941" s="26" t="s">
        <v>3360</v>
      </c>
      <c r="B941" s="26" t="s">
        <v>3361</v>
      </c>
      <c r="C941" s="26" t="s">
        <v>115</v>
      </c>
      <c r="D941" s="26" t="s">
        <v>122</v>
      </c>
      <c r="E941" s="26" t="s">
        <v>39</v>
      </c>
      <c r="F941" s="28" t="e">
        <f ca="1">_xludf.ifna(VLOOKUP(G942,Proyectos!$E$1:$H$4,4,0),"")</f>
        <v>#NAME?</v>
      </c>
      <c r="G941" s="26" t="s">
        <v>5597</v>
      </c>
      <c r="H941" s="32">
        <v>0.6</v>
      </c>
      <c r="I941" s="31" t="s">
        <v>18</v>
      </c>
      <c r="J941" s="32"/>
      <c r="K941" s="32" t="str">
        <f t="shared" si="3"/>
        <v>Interno</v>
      </c>
      <c r="L941" s="32" t="e">
        <f ca="1">_xludf.ifna(VLOOKUP(G942,Proyectos!$E$1:$N$4,10,0),"")</f>
        <v>#NAME?</v>
      </c>
      <c r="M941" s="32"/>
      <c r="N941" s="31"/>
      <c r="O941" s="31"/>
      <c r="P941" s="33"/>
      <c r="Q941" s="33"/>
    </row>
    <row r="942" spans="1:17" ht="16.5" customHeight="1" x14ac:dyDescent="0.2">
      <c r="A942" s="26" t="s">
        <v>3568</v>
      </c>
      <c r="B942" s="26" t="s">
        <v>3569</v>
      </c>
      <c r="C942" s="26" t="s">
        <v>115</v>
      </c>
      <c r="D942" s="26" t="s">
        <v>119</v>
      </c>
      <c r="E942" s="26" t="s">
        <v>39</v>
      </c>
      <c r="F942" s="28" t="e">
        <f ca="1">_xludf.ifna(VLOOKUP(G943,Proyectos!$E$1:$H$4,4,0),"")</f>
        <v>#NAME?</v>
      </c>
      <c r="G942" s="26" t="s">
        <v>5217</v>
      </c>
      <c r="H942" s="32">
        <v>1</v>
      </c>
      <c r="I942" s="31" t="s">
        <v>18</v>
      </c>
      <c r="J942" s="32"/>
      <c r="K942" s="32" t="str">
        <f t="shared" si="3"/>
        <v>Interno</v>
      </c>
      <c r="L942" s="32" t="e">
        <f ca="1">_xludf.ifna(VLOOKUP(G943,Proyectos!$E$1:$N$4,10,0),"")</f>
        <v>#NAME?</v>
      </c>
      <c r="M942" s="32"/>
      <c r="N942" s="32"/>
      <c r="O942" s="31"/>
      <c r="P942" s="33"/>
      <c r="Q942" s="33"/>
    </row>
    <row r="943" spans="1:17" ht="16.5" customHeight="1" x14ac:dyDescent="0.2">
      <c r="A943" s="26" t="s">
        <v>3724</v>
      </c>
      <c r="B943" s="26" t="s">
        <v>3725</v>
      </c>
      <c r="C943" s="26" t="s">
        <v>98</v>
      </c>
      <c r="D943" s="26" t="s">
        <v>99</v>
      </c>
      <c r="E943" s="26" t="s">
        <v>39</v>
      </c>
      <c r="F943" s="28" t="e">
        <f ca="1">_xludf.ifna(VLOOKUP(G944,Proyectos!$E$1:$H$4,4,0),"")</f>
        <v>#NAME?</v>
      </c>
      <c r="G943" s="26" t="s">
        <v>5126</v>
      </c>
      <c r="H943" s="32">
        <v>1</v>
      </c>
      <c r="I943" s="31" t="s">
        <v>18</v>
      </c>
      <c r="J943" s="32"/>
      <c r="K943" s="32" t="str">
        <f t="shared" si="3"/>
        <v>Interno</v>
      </c>
      <c r="L943" s="32" t="e">
        <f ca="1">_xludf.ifna(VLOOKUP(G944,Proyectos!$E$1:$N$4,10,0),"")</f>
        <v>#NAME?</v>
      </c>
      <c r="M943" s="32"/>
      <c r="N943" s="32"/>
      <c r="O943" s="31"/>
      <c r="P943" s="33"/>
      <c r="Q943" s="33"/>
    </row>
    <row r="944" spans="1:17" ht="16.5" customHeight="1" x14ac:dyDescent="0.2">
      <c r="A944" s="26" t="s">
        <v>4043</v>
      </c>
      <c r="B944" s="26" t="s">
        <v>5819</v>
      </c>
      <c r="C944" s="26" t="s">
        <v>64</v>
      </c>
      <c r="D944" s="26" t="s">
        <v>86</v>
      </c>
      <c r="E944" s="26" t="s">
        <v>135</v>
      </c>
      <c r="F944" s="28" t="e">
        <f ca="1">_xludf.ifna(VLOOKUP(G945,Proyectos!$E$1:$H$4,4,0),"")</f>
        <v>#NAME?</v>
      </c>
      <c r="G944" s="26" t="s">
        <v>5463</v>
      </c>
      <c r="H944" s="30">
        <v>1</v>
      </c>
      <c r="I944" s="31" t="s">
        <v>18</v>
      </c>
      <c r="J944" s="32"/>
      <c r="K944" s="32" t="str">
        <f t="shared" si="3"/>
        <v>Externo</v>
      </c>
      <c r="L944" s="32" t="e">
        <f ca="1">_xludf.ifna(VLOOKUP(G945,Proyectos!$E$1:$N$4,10,0),"")</f>
        <v>#NAME?</v>
      </c>
      <c r="M944" s="32"/>
      <c r="N944" s="32"/>
      <c r="O944" s="31"/>
      <c r="P944" s="33"/>
      <c r="Q944" s="33"/>
    </row>
    <row r="945" spans="1:17" ht="16.5" customHeight="1" x14ac:dyDescent="0.2">
      <c r="A945" s="26" t="s">
        <v>4831</v>
      </c>
      <c r="B945" s="26" t="s">
        <v>5820</v>
      </c>
      <c r="C945" s="26" t="s">
        <v>64</v>
      </c>
      <c r="D945" s="26" t="s">
        <v>86</v>
      </c>
      <c r="E945" s="26" t="s">
        <v>83</v>
      </c>
      <c r="F945" s="28" t="e">
        <f ca="1">_xludf.ifna(VLOOKUP(G946,Proyectos!$E$1:$H$4,4,0),"")</f>
        <v>#NAME?</v>
      </c>
      <c r="G945" s="26" t="s">
        <v>5463</v>
      </c>
      <c r="H945" s="30">
        <v>1</v>
      </c>
      <c r="I945" s="31" t="s">
        <v>25</v>
      </c>
      <c r="J945" s="32"/>
      <c r="K945" s="32" t="str">
        <f t="shared" si="3"/>
        <v>Externo</v>
      </c>
      <c r="L945" s="32" t="e">
        <f ca="1">_xludf.ifna(VLOOKUP(G946,Proyectos!$E$1:$N$4,10,0),"")</f>
        <v>#NAME?</v>
      </c>
      <c r="M945" s="32"/>
      <c r="N945" s="32"/>
      <c r="O945" s="31"/>
      <c r="P945" s="33"/>
      <c r="Q945" s="33"/>
    </row>
    <row r="946" spans="1:17" ht="16.5" customHeight="1" x14ac:dyDescent="0.2">
      <c r="A946" s="26" t="s">
        <v>3874</v>
      </c>
      <c r="B946" s="26" t="s">
        <v>3875</v>
      </c>
      <c r="C946" s="26" t="s">
        <v>115</v>
      </c>
      <c r="D946" s="26" t="s">
        <v>122</v>
      </c>
      <c r="E946" s="26" t="s">
        <v>39</v>
      </c>
      <c r="F946" s="28" t="e">
        <f ca="1">_xludf.ifna(VLOOKUP(G947,Proyectos!$E$1:$H$4,4,0),"")</f>
        <v>#NAME?</v>
      </c>
      <c r="G946" s="26" t="s">
        <v>5597</v>
      </c>
      <c r="H946" s="32">
        <v>0.6</v>
      </c>
      <c r="I946" s="31" t="s">
        <v>18</v>
      </c>
      <c r="J946" s="32"/>
      <c r="K946" s="32" t="str">
        <f t="shared" si="3"/>
        <v>Interno</v>
      </c>
      <c r="L946" s="32" t="e">
        <f ca="1">_xludf.ifna(VLOOKUP(G947,Proyectos!$E$1:$N$4,10,0),"")</f>
        <v>#NAME?</v>
      </c>
      <c r="M946" s="32"/>
      <c r="N946" s="31"/>
      <c r="O946" s="31"/>
      <c r="P946" s="33"/>
      <c r="Q946" s="33"/>
    </row>
    <row r="947" spans="1:17" ht="16.5" customHeight="1" x14ac:dyDescent="0.2">
      <c r="A947" s="26" t="s">
        <v>3874</v>
      </c>
      <c r="B947" s="26" t="s">
        <v>3875</v>
      </c>
      <c r="C947" s="26" t="s">
        <v>115</v>
      </c>
      <c r="D947" s="26" t="s">
        <v>122</v>
      </c>
      <c r="E947" s="26" t="s">
        <v>39</v>
      </c>
      <c r="F947" s="28" t="e">
        <f ca="1">_xludf.ifna(VLOOKUP(G948,Proyectos!$E$1:$H$4,4,0),"")</f>
        <v>#NAME?</v>
      </c>
      <c r="G947" s="26" t="s">
        <v>5429</v>
      </c>
      <c r="H947" s="32">
        <v>0.2</v>
      </c>
      <c r="I947" s="31" t="s">
        <v>18</v>
      </c>
      <c r="J947" s="32"/>
      <c r="K947" s="32" t="str">
        <f t="shared" si="3"/>
        <v>Interno</v>
      </c>
      <c r="L947" s="32" t="e">
        <f ca="1">_xludf.ifna(VLOOKUP(G948,Proyectos!$E$1:$N$4,10,0),"")</f>
        <v>#NAME?</v>
      </c>
      <c r="M947" s="32"/>
      <c r="N947" s="31"/>
      <c r="O947" s="31"/>
      <c r="P947" s="33"/>
      <c r="Q947" s="33"/>
    </row>
    <row r="948" spans="1:17" ht="16.5" customHeight="1" x14ac:dyDescent="0.2">
      <c r="A948" s="26" t="s">
        <v>3874</v>
      </c>
      <c r="B948" s="26" t="s">
        <v>3875</v>
      </c>
      <c r="C948" s="26" t="s">
        <v>115</v>
      </c>
      <c r="D948" s="26" t="s">
        <v>122</v>
      </c>
      <c r="E948" s="26" t="s">
        <v>39</v>
      </c>
      <c r="F948" s="28" t="e">
        <f ca="1">_xludf.ifna(VLOOKUP(G949,Proyectos!$E$1:$H$4,4,0),"")</f>
        <v>#NAME?</v>
      </c>
      <c r="G948" s="26" t="s">
        <v>5240</v>
      </c>
      <c r="H948" s="32">
        <v>0.2</v>
      </c>
      <c r="I948" s="31" t="s">
        <v>18</v>
      </c>
      <c r="J948" s="32"/>
      <c r="K948" s="32" t="str">
        <f t="shared" si="3"/>
        <v>Interno</v>
      </c>
      <c r="L948" s="32" t="e">
        <f ca="1">_xludf.ifna(VLOOKUP(G949,Proyectos!$E$1:$N$4,10,0),"")</f>
        <v>#NAME?</v>
      </c>
      <c r="M948" s="32"/>
      <c r="N948" s="32"/>
      <c r="O948" s="31"/>
      <c r="P948" s="33"/>
      <c r="Q948" s="33"/>
    </row>
    <row r="949" spans="1:17" ht="16.5" customHeight="1" x14ac:dyDescent="0.2">
      <c r="A949" s="26" t="s">
        <v>4689</v>
      </c>
      <c r="B949" s="26" t="s">
        <v>4690</v>
      </c>
      <c r="C949" s="26" t="s">
        <v>115</v>
      </c>
      <c r="D949" s="26" t="s">
        <v>116</v>
      </c>
      <c r="E949" s="26" t="s">
        <v>39</v>
      </c>
      <c r="F949" s="28" t="e">
        <f ca="1">_xludf.ifna(VLOOKUP(G950,Proyectos!$E$1:$H$4,4,0),"")</f>
        <v>#NAME?</v>
      </c>
      <c r="G949" s="26" t="s">
        <v>5318</v>
      </c>
      <c r="H949" s="32">
        <v>0.25</v>
      </c>
      <c r="I949" s="31" t="s">
        <v>11</v>
      </c>
      <c r="J949" s="32"/>
      <c r="K949" s="32" t="str">
        <f t="shared" si="3"/>
        <v>Interno</v>
      </c>
      <c r="L949" s="32" t="e">
        <f ca="1">_xludf.ifna(VLOOKUP(G950,Proyectos!$E$1:$N$4,10,0),"")</f>
        <v>#NAME?</v>
      </c>
      <c r="M949" s="32"/>
      <c r="N949" s="32"/>
      <c r="O949" s="31"/>
      <c r="P949" s="33"/>
      <c r="Q949" s="33"/>
    </row>
    <row r="950" spans="1:17" ht="16.5" customHeight="1" x14ac:dyDescent="0.2">
      <c r="A950" s="26" t="s">
        <v>4689</v>
      </c>
      <c r="B950" s="26" t="s">
        <v>4690</v>
      </c>
      <c r="C950" s="26" t="s">
        <v>115</v>
      </c>
      <c r="D950" s="26" t="s">
        <v>116</v>
      </c>
      <c r="E950" s="26" t="s">
        <v>39</v>
      </c>
      <c r="F950" s="28" t="e">
        <f ca="1">_xludf.ifna(VLOOKUP(G951,Proyectos!$E$1:$H$4,4,0),"")</f>
        <v>#NAME?</v>
      </c>
      <c r="G950" s="26" t="s">
        <v>5324</v>
      </c>
      <c r="H950" s="32">
        <v>0.25</v>
      </c>
      <c r="I950" s="31" t="s">
        <v>11</v>
      </c>
      <c r="J950" s="32"/>
      <c r="K950" s="32" t="str">
        <f t="shared" si="3"/>
        <v>Interno</v>
      </c>
      <c r="L950" s="32" t="e">
        <f ca="1">_xludf.ifna(VLOOKUP(G951,Proyectos!$E$1:$N$4,10,0),"")</f>
        <v>#NAME?</v>
      </c>
      <c r="M950" s="32"/>
      <c r="N950" s="32"/>
      <c r="O950" s="31"/>
      <c r="P950" s="33"/>
      <c r="Q950" s="33"/>
    </row>
    <row r="951" spans="1:17" ht="16.5" customHeight="1" x14ac:dyDescent="0.2">
      <c r="A951" s="26" t="s">
        <v>4689</v>
      </c>
      <c r="B951" s="26" t="s">
        <v>4690</v>
      </c>
      <c r="C951" s="26" t="s">
        <v>115</v>
      </c>
      <c r="D951" s="26" t="s">
        <v>116</v>
      </c>
      <c r="E951" s="26" t="s">
        <v>39</v>
      </c>
      <c r="F951" s="28" t="e">
        <f ca="1">_xludf.ifna(VLOOKUP(G952,Proyectos!$E$1:$H$4,4,0),"")</f>
        <v>#NAME?</v>
      </c>
      <c r="G951" s="26" t="s">
        <v>5325</v>
      </c>
      <c r="H951" s="32">
        <v>0.1</v>
      </c>
      <c r="I951" s="31" t="s">
        <v>11</v>
      </c>
      <c r="J951" s="32"/>
      <c r="K951" s="32" t="str">
        <f t="shared" si="3"/>
        <v>Interno</v>
      </c>
      <c r="L951" s="32" t="e">
        <f ca="1">_xludf.ifna(VLOOKUP(G952,Proyectos!$E$1:$N$4,10,0),"")</f>
        <v>#NAME?</v>
      </c>
      <c r="M951" s="32"/>
      <c r="N951" s="32"/>
      <c r="O951" s="31"/>
      <c r="P951" s="33"/>
      <c r="Q951" s="33"/>
    </row>
    <row r="952" spans="1:17" ht="16.5" customHeight="1" x14ac:dyDescent="0.2">
      <c r="A952" s="26" t="s">
        <v>4689</v>
      </c>
      <c r="B952" s="26" t="s">
        <v>4690</v>
      </c>
      <c r="C952" s="26" t="s">
        <v>115</v>
      </c>
      <c r="D952" s="26" t="s">
        <v>116</v>
      </c>
      <c r="E952" s="26" t="s">
        <v>39</v>
      </c>
      <c r="F952" s="28" t="e">
        <f ca="1">_xludf.ifna(VLOOKUP(G953,Proyectos!$E$1:$H$4,4,0),"")</f>
        <v>#NAME?</v>
      </c>
      <c r="G952" s="26" t="s">
        <v>5320</v>
      </c>
      <c r="H952" s="32">
        <v>0.1</v>
      </c>
      <c r="I952" s="31" t="s">
        <v>11</v>
      </c>
      <c r="J952" s="32"/>
      <c r="K952" s="32" t="str">
        <f t="shared" si="3"/>
        <v>Interno</v>
      </c>
      <c r="L952" s="32" t="e">
        <f ca="1">_xludf.ifna(VLOOKUP(G953,Proyectos!$E$1:$N$4,10,0),"")</f>
        <v>#NAME?</v>
      </c>
      <c r="M952" s="32"/>
      <c r="N952" s="31"/>
      <c r="O952" s="31"/>
      <c r="P952" s="33"/>
      <c r="Q952" s="33"/>
    </row>
    <row r="953" spans="1:17" ht="16.5" customHeight="1" x14ac:dyDescent="0.2">
      <c r="A953" s="26" t="s">
        <v>4689</v>
      </c>
      <c r="B953" s="26" t="s">
        <v>4690</v>
      </c>
      <c r="C953" s="26" t="s">
        <v>115</v>
      </c>
      <c r="D953" s="26" t="s">
        <v>116</v>
      </c>
      <c r="E953" s="26" t="s">
        <v>39</v>
      </c>
      <c r="F953" s="28" t="e">
        <f ca="1">_xludf.ifna(VLOOKUP(G954,Proyectos!$E$1:$H$4,4,0),"")</f>
        <v>#NAME?</v>
      </c>
      <c r="G953" s="26" t="s">
        <v>5630</v>
      </c>
      <c r="H953" s="32">
        <v>0.1</v>
      </c>
      <c r="I953" s="31" t="s">
        <v>11</v>
      </c>
      <c r="J953" s="32"/>
      <c r="K953" s="32" t="str">
        <f t="shared" si="3"/>
        <v>Interno</v>
      </c>
      <c r="L953" s="32" t="e">
        <f ca="1">_xludf.ifna(VLOOKUP(G954,Proyectos!$E$1:$N$4,10,0),"")</f>
        <v>#NAME?</v>
      </c>
      <c r="M953" s="32"/>
      <c r="N953" s="31"/>
      <c r="O953" s="31"/>
      <c r="P953" s="33"/>
      <c r="Q953" s="33"/>
    </row>
    <row r="954" spans="1:17" ht="16.5" customHeight="1" x14ac:dyDescent="0.2">
      <c r="A954" s="26" t="s">
        <v>4689</v>
      </c>
      <c r="B954" s="26" t="s">
        <v>4690</v>
      </c>
      <c r="C954" s="26" t="s">
        <v>115</v>
      </c>
      <c r="D954" s="26" t="s">
        <v>116</v>
      </c>
      <c r="E954" s="26" t="s">
        <v>39</v>
      </c>
      <c r="F954" s="28" t="e">
        <f ca="1">_xludf.ifna(VLOOKUP(G955,Proyectos!$E$1:$H$4,4,0),"")</f>
        <v>#NAME?</v>
      </c>
      <c r="G954" s="26" t="s">
        <v>5322</v>
      </c>
      <c r="H954" s="32">
        <v>0.1</v>
      </c>
      <c r="I954" s="31" t="s">
        <v>11</v>
      </c>
      <c r="J954" s="32"/>
      <c r="K954" s="32" t="str">
        <f t="shared" si="3"/>
        <v>Interno</v>
      </c>
      <c r="L954" s="32" t="e">
        <f ca="1">_xludf.ifna(VLOOKUP(G955,Proyectos!$E$1:$N$4,10,0),"")</f>
        <v>#NAME?</v>
      </c>
      <c r="M954" s="32"/>
      <c r="N954" s="32"/>
      <c r="O954" s="31"/>
      <c r="P954" s="33"/>
      <c r="Q954" s="33"/>
    </row>
    <row r="955" spans="1:17" ht="16.5" customHeight="1" x14ac:dyDescent="0.2">
      <c r="A955" s="26" t="s">
        <v>4689</v>
      </c>
      <c r="B955" s="26" t="s">
        <v>4690</v>
      </c>
      <c r="C955" s="26" t="s">
        <v>115</v>
      </c>
      <c r="D955" s="26" t="s">
        <v>116</v>
      </c>
      <c r="E955" s="26" t="s">
        <v>39</v>
      </c>
      <c r="F955" s="28" t="e">
        <f ca="1">_xludf.ifna(VLOOKUP(G956,Proyectos!$E$1:$H$4,4,0),"")</f>
        <v>#NAME?</v>
      </c>
      <c r="G955" s="26" t="s">
        <v>5237</v>
      </c>
      <c r="H955" s="32">
        <v>0.1</v>
      </c>
      <c r="I955" s="31" t="s">
        <v>11</v>
      </c>
      <c r="J955" s="32"/>
      <c r="K955" s="32" t="str">
        <f t="shared" si="3"/>
        <v>Interno</v>
      </c>
      <c r="L955" s="32" t="e">
        <f ca="1">_xludf.ifna(VLOOKUP(G956,Proyectos!$E$1:$N$4,10,0),"")</f>
        <v>#NAME?</v>
      </c>
      <c r="M955" s="32"/>
      <c r="N955" s="32"/>
      <c r="O955" s="31"/>
      <c r="P955" s="33"/>
      <c r="Q955" s="33"/>
    </row>
    <row r="956" spans="1:17" ht="16.5" customHeight="1" x14ac:dyDescent="0.2">
      <c r="A956" s="35" t="s">
        <v>4206</v>
      </c>
      <c r="B956" s="26" t="s">
        <v>5384</v>
      </c>
      <c r="C956" s="26" t="s">
        <v>64</v>
      </c>
      <c r="D956" s="26" t="s">
        <v>82</v>
      </c>
      <c r="E956" s="35" t="s">
        <v>9</v>
      </c>
      <c r="F956" s="28" t="e">
        <f ca="1">_xludf.ifna(VLOOKUP(G957,Proyectos!$E$1:$H$4,4,0),"")</f>
        <v>#NAME?</v>
      </c>
      <c r="G956" s="26" t="s">
        <v>5387</v>
      </c>
      <c r="H956" s="32">
        <v>1</v>
      </c>
      <c r="I956" s="31" t="s">
        <v>18</v>
      </c>
      <c r="J956" s="32"/>
      <c r="K956" s="32" t="str">
        <f t="shared" si="3"/>
        <v>Externo</v>
      </c>
      <c r="L956" s="32" t="e">
        <f ca="1">_xludf.ifna(VLOOKUP(G957,Proyectos!$E$1:$N$4,10,0),"")</f>
        <v>#NAME?</v>
      </c>
      <c r="M956" s="32"/>
      <c r="N956" s="32"/>
      <c r="O956" s="31"/>
      <c r="P956" s="33"/>
      <c r="Q956" s="33"/>
    </row>
    <row r="957" spans="1:17" ht="16.5" customHeight="1" x14ac:dyDescent="0.2">
      <c r="A957" s="26" t="s">
        <v>3668</v>
      </c>
      <c r="B957" s="26" t="s">
        <v>5481</v>
      </c>
      <c r="C957" s="26" t="s">
        <v>115</v>
      </c>
      <c r="D957" s="26" t="s">
        <v>116</v>
      </c>
      <c r="E957" s="26" t="s">
        <v>39</v>
      </c>
      <c r="F957" s="28" t="e">
        <f ca="1">_xludf.ifna(VLOOKUP(G958,Proyectos!$E$1:$H$4,4,0),"")</f>
        <v>#NAME?</v>
      </c>
      <c r="G957" s="26" t="s">
        <v>5597</v>
      </c>
      <c r="H957" s="32">
        <v>0.8</v>
      </c>
      <c r="I957" s="31" t="s">
        <v>18</v>
      </c>
      <c r="J957" s="32"/>
      <c r="K957" s="32" t="str">
        <f t="shared" si="3"/>
        <v>Interno</v>
      </c>
      <c r="L957" s="32" t="e">
        <f ca="1">_xludf.ifna(VLOOKUP(G958,Proyectos!$E$1:$N$4,10,0),"")</f>
        <v>#NAME?</v>
      </c>
      <c r="M957" s="32"/>
      <c r="N957" s="31"/>
      <c r="O957" s="31"/>
      <c r="P957" s="33"/>
      <c r="Q957" s="33"/>
    </row>
    <row r="958" spans="1:17" ht="16.5" customHeight="1" x14ac:dyDescent="0.2">
      <c r="A958" s="26" t="s">
        <v>3668</v>
      </c>
      <c r="B958" s="26" t="s">
        <v>5481</v>
      </c>
      <c r="C958" s="26" t="s">
        <v>115</v>
      </c>
      <c r="D958" s="26" t="s">
        <v>116</v>
      </c>
      <c r="E958" s="26" t="s">
        <v>39</v>
      </c>
      <c r="F958" s="28" t="e">
        <f ca="1">_xludf.ifna(VLOOKUP(G959,Proyectos!$E$1:$H$4,4,0),"")</f>
        <v>#NAME?</v>
      </c>
      <c r="G958" s="26" t="s">
        <v>5468</v>
      </c>
      <c r="H958" s="32">
        <v>0.2</v>
      </c>
      <c r="I958" s="31" t="s">
        <v>18</v>
      </c>
      <c r="J958" s="32"/>
      <c r="K958" s="32" t="str">
        <f t="shared" si="3"/>
        <v>Interno</v>
      </c>
      <c r="L958" s="32" t="e">
        <f ca="1">_xludf.ifna(VLOOKUP(G959,Proyectos!$E$1:$N$4,10,0),"")</f>
        <v>#NAME?</v>
      </c>
      <c r="M958" s="32"/>
      <c r="N958" s="32"/>
      <c r="O958" s="31"/>
      <c r="P958" s="33"/>
      <c r="Q958" s="33"/>
    </row>
    <row r="959" spans="1:17" ht="16.5" customHeight="1" x14ac:dyDescent="0.2">
      <c r="A959" s="26" t="s">
        <v>4595</v>
      </c>
      <c r="B959" s="26" t="s">
        <v>5821</v>
      </c>
      <c r="C959" s="26" t="s">
        <v>7</v>
      </c>
      <c r="D959" s="26" t="s">
        <v>16</v>
      </c>
      <c r="E959" s="26" t="s">
        <v>39</v>
      </c>
      <c r="F959" s="28" t="e">
        <f ca="1">_xludf.ifna(VLOOKUP(G960,Proyectos!$E$1:$H$4,4,0),"")</f>
        <v>#NAME?</v>
      </c>
      <c r="G959" s="26" t="s">
        <v>5231</v>
      </c>
      <c r="H959" s="65">
        <v>0.3</v>
      </c>
      <c r="I959" s="31" t="s">
        <v>18</v>
      </c>
      <c r="J959" s="32"/>
      <c r="K959" s="32" t="str">
        <f t="shared" si="3"/>
        <v>Interno</v>
      </c>
      <c r="L959" s="32" t="e">
        <f ca="1">_xludf.ifna(VLOOKUP(G960,Proyectos!$E$1:$N$4,10,0),"")</f>
        <v>#NAME?</v>
      </c>
      <c r="M959" s="32"/>
      <c r="N959" s="32"/>
      <c r="O959" s="31"/>
      <c r="P959" s="33"/>
      <c r="Q959" s="33"/>
    </row>
    <row r="960" spans="1:17" ht="16.5" customHeight="1" x14ac:dyDescent="0.2">
      <c r="A960" s="26" t="s">
        <v>4595</v>
      </c>
      <c r="B960" s="26" t="s">
        <v>5821</v>
      </c>
      <c r="C960" s="26" t="s">
        <v>7</v>
      </c>
      <c r="D960" s="26" t="s">
        <v>16</v>
      </c>
      <c r="E960" s="26" t="s">
        <v>39</v>
      </c>
      <c r="F960" s="28" t="e">
        <f ca="1">_xludf.ifna(VLOOKUP(G961,Proyectos!$E$1:$H$4,4,0),"")</f>
        <v>#NAME?</v>
      </c>
      <c r="G960" s="26" t="s">
        <v>5232</v>
      </c>
      <c r="H960" s="65">
        <v>0.5</v>
      </c>
      <c r="I960" s="31" t="s">
        <v>18</v>
      </c>
      <c r="J960" s="32"/>
      <c r="K960" s="32" t="str">
        <f t="shared" si="3"/>
        <v>Interno</v>
      </c>
      <c r="L960" s="32" t="e">
        <f ca="1">_xludf.ifna(VLOOKUP(G961,Proyectos!$E$1:$N$4,10,0),"")</f>
        <v>#NAME?</v>
      </c>
      <c r="M960" s="32"/>
      <c r="N960" s="32"/>
      <c r="O960" s="31"/>
      <c r="P960" s="33"/>
      <c r="Q960" s="33"/>
    </row>
    <row r="961" spans="1:17" ht="16.5" customHeight="1" x14ac:dyDescent="0.2">
      <c r="A961" s="26" t="s">
        <v>4595</v>
      </c>
      <c r="B961" s="26" t="s">
        <v>5821</v>
      </c>
      <c r="C961" s="26" t="s">
        <v>7</v>
      </c>
      <c r="D961" s="26" t="s">
        <v>16</v>
      </c>
      <c r="E961" s="26" t="s">
        <v>39</v>
      </c>
      <c r="F961" s="28" t="e">
        <f ca="1">_xludf.ifna(VLOOKUP(G962,Proyectos!$E$1:$H$4,4,0),"")</f>
        <v>#NAME?</v>
      </c>
      <c r="G961" s="26" t="s">
        <v>5597</v>
      </c>
      <c r="H961" s="65">
        <v>0.2</v>
      </c>
      <c r="I961" s="31" t="s">
        <v>18</v>
      </c>
      <c r="J961" s="32"/>
      <c r="K961" s="32" t="str">
        <f t="shared" si="3"/>
        <v>Interno</v>
      </c>
      <c r="L961" s="32" t="e">
        <f ca="1">_xludf.ifna(VLOOKUP(G962,Proyectos!$E$1:$N$4,10,0),"")</f>
        <v>#NAME?</v>
      </c>
      <c r="M961" s="32"/>
      <c r="N961" s="31"/>
      <c r="O961" s="31"/>
      <c r="P961" s="33"/>
      <c r="Q961" s="33"/>
    </row>
    <row r="962" spans="1:17" ht="16.5" customHeight="1" x14ac:dyDescent="0.2">
      <c r="A962" s="26" t="s">
        <v>4861</v>
      </c>
      <c r="B962" s="26" t="s">
        <v>4862</v>
      </c>
      <c r="C962" s="26" t="s">
        <v>115</v>
      </c>
      <c r="D962" s="26" t="s">
        <v>116</v>
      </c>
      <c r="E962" s="26" t="s">
        <v>126</v>
      </c>
      <c r="F962" s="28" t="e">
        <f ca="1">_xludf.ifna(VLOOKUP(G963,Proyectos!$E$1:$H$4,4,0),"")</f>
        <v>#NAME?</v>
      </c>
      <c r="G962" s="26" t="s">
        <v>5597</v>
      </c>
      <c r="H962" s="32">
        <v>1</v>
      </c>
      <c r="I962" s="31" t="s">
        <v>18</v>
      </c>
      <c r="J962" s="32"/>
      <c r="K962" s="32" t="str">
        <f t="shared" si="3"/>
        <v>Externo</v>
      </c>
      <c r="L962" s="32" t="e">
        <f ca="1">_xludf.ifna(VLOOKUP(G963,Proyectos!$E$1:$N$4,10,0),"")</f>
        <v>#NAME?</v>
      </c>
      <c r="M962" s="32"/>
      <c r="N962" s="31"/>
      <c r="O962" s="31"/>
      <c r="P962" s="33"/>
      <c r="Q962" s="33"/>
    </row>
    <row r="963" spans="1:17" ht="16.5" customHeight="1" x14ac:dyDescent="0.2">
      <c r="A963" s="26" t="s">
        <v>4895</v>
      </c>
      <c r="B963" s="26" t="s">
        <v>4896</v>
      </c>
      <c r="C963" s="26" t="s">
        <v>115</v>
      </c>
      <c r="D963" s="26" t="s">
        <v>122</v>
      </c>
      <c r="E963" s="26" t="s">
        <v>129</v>
      </c>
      <c r="F963" s="28" t="e">
        <f ca="1">_xludf.ifna(VLOOKUP(G964,Proyectos!$E$1:$H$4,4,0),"")</f>
        <v>#NAME?</v>
      </c>
      <c r="G963" s="26" t="s">
        <v>5417</v>
      </c>
      <c r="H963" s="32">
        <v>0.1</v>
      </c>
      <c r="I963" s="31" t="s">
        <v>32</v>
      </c>
      <c r="J963" s="32"/>
      <c r="K963" s="32" t="str">
        <f t="shared" si="3"/>
        <v>Externo</v>
      </c>
      <c r="L963" s="32" t="e">
        <f ca="1">_xludf.ifna(VLOOKUP(G964,Proyectos!$E$1:$N$4,10,0),"")</f>
        <v>#NAME?</v>
      </c>
      <c r="M963" s="32"/>
      <c r="N963" s="31"/>
      <c r="O963" s="31"/>
      <c r="P963" s="33"/>
      <c r="Q963" s="33"/>
    </row>
    <row r="964" spans="1:17" ht="16.5" customHeight="1" x14ac:dyDescent="0.2">
      <c r="A964" s="26" t="s">
        <v>4895</v>
      </c>
      <c r="B964" s="26" t="s">
        <v>4896</v>
      </c>
      <c r="C964" s="26" t="s">
        <v>115</v>
      </c>
      <c r="D964" s="26" t="s">
        <v>122</v>
      </c>
      <c r="E964" s="26" t="s">
        <v>129</v>
      </c>
      <c r="F964" s="28" t="e">
        <f ca="1">_xludf.ifna(VLOOKUP(G965,Proyectos!$E$1:$H$4,4,0),"")</f>
        <v>#NAME?</v>
      </c>
      <c r="G964" s="26" t="s">
        <v>5430</v>
      </c>
      <c r="H964" s="32">
        <v>0.3</v>
      </c>
      <c r="I964" s="31" t="s">
        <v>32</v>
      </c>
      <c r="J964" s="32"/>
      <c r="K964" s="32" t="str">
        <f t="shared" si="3"/>
        <v>Externo</v>
      </c>
      <c r="L964" s="32" t="e">
        <f ca="1">_xludf.ifna(VLOOKUP(G965,Proyectos!$E$1:$N$4,10,0),"")</f>
        <v>#NAME?</v>
      </c>
      <c r="M964" s="32"/>
      <c r="N964" s="31"/>
      <c r="O964" s="31"/>
      <c r="P964" s="33"/>
      <c r="Q964" s="33"/>
    </row>
    <row r="965" spans="1:17" ht="16.5" customHeight="1" x14ac:dyDescent="0.2">
      <c r="A965" s="26" t="s">
        <v>4895</v>
      </c>
      <c r="B965" s="26" t="s">
        <v>4896</v>
      </c>
      <c r="C965" s="26" t="s">
        <v>115</v>
      </c>
      <c r="D965" s="26" t="s">
        <v>122</v>
      </c>
      <c r="E965" s="26" t="s">
        <v>129</v>
      </c>
      <c r="F965" s="28" t="e">
        <f ca="1">_xludf.ifna(VLOOKUP(G966,Proyectos!$E$1:$H$4,4,0),"")</f>
        <v>#NAME?</v>
      </c>
      <c r="G965" s="26" t="s">
        <v>5426</v>
      </c>
      <c r="H965" s="32">
        <v>0.3</v>
      </c>
      <c r="I965" s="31" t="s">
        <v>32</v>
      </c>
      <c r="J965" s="32"/>
      <c r="K965" s="32" t="str">
        <f t="shared" si="3"/>
        <v>Externo</v>
      </c>
      <c r="L965" s="32" t="e">
        <f ca="1">_xludf.ifna(VLOOKUP(G966,Proyectos!$E$1:$N$4,10,0),"")</f>
        <v>#NAME?</v>
      </c>
      <c r="M965" s="32"/>
      <c r="N965" s="31"/>
      <c r="O965" s="31"/>
      <c r="P965" s="33"/>
      <c r="Q965" s="33"/>
    </row>
    <row r="966" spans="1:17" ht="16.5" customHeight="1" x14ac:dyDescent="0.2">
      <c r="A966" s="26" t="s">
        <v>4895</v>
      </c>
      <c r="B966" s="26" t="s">
        <v>4896</v>
      </c>
      <c r="C966" s="26" t="s">
        <v>115</v>
      </c>
      <c r="D966" s="26" t="s">
        <v>122</v>
      </c>
      <c r="E966" s="26" t="s">
        <v>129</v>
      </c>
      <c r="F966" s="28" t="e">
        <f ca="1">_xludf.ifna(VLOOKUP(G967,Proyectos!$E$1:$H$4,4,0),"")</f>
        <v>#NAME?</v>
      </c>
      <c r="G966" s="26" t="s">
        <v>5422</v>
      </c>
      <c r="H966" s="32">
        <v>0.15</v>
      </c>
      <c r="I966" s="31" t="s">
        <v>32</v>
      </c>
      <c r="J966" s="32"/>
      <c r="K966" s="32" t="str">
        <f t="shared" si="3"/>
        <v>Externo</v>
      </c>
      <c r="L966" s="32" t="e">
        <f ca="1">_xludf.ifna(VLOOKUP(G967,Proyectos!$E$1:$N$4,10,0),"")</f>
        <v>#NAME?</v>
      </c>
      <c r="M966" s="32"/>
      <c r="N966" s="31"/>
      <c r="O966" s="31"/>
      <c r="P966" s="33"/>
      <c r="Q966" s="33"/>
    </row>
    <row r="967" spans="1:17" ht="16.5" customHeight="1" x14ac:dyDescent="0.2">
      <c r="A967" s="26" t="s">
        <v>4895</v>
      </c>
      <c r="B967" s="26" t="s">
        <v>4896</v>
      </c>
      <c r="C967" s="26" t="s">
        <v>115</v>
      </c>
      <c r="D967" s="26" t="s">
        <v>122</v>
      </c>
      <c r="E967" s="26" t="s">
        <v>129</v>
      </c>
      <c r="F967" s="28" t="e">
        <f ca="1">_xludf.ifna(VLOOKUP(G968,Proyectos!$E$1:$H$4,4,0),"")</f>
        <v>#NAME?</v>
      </c>
      <c r="G967" s="26" t="s">
        <v>5420</v>
      </c>
      <c r="H967" s="32">
        <v>0.15</v>
      </c>
      <c r="I967" s="31" t="s">
        <v>32</v>
      </c>
      <c r="J967" s="32"/>
      <c r="K967" s="32" t="str">
        <f t="shared" si="3"/>
        <v>Externo</v>
      </c>
      <c r="L967" s="32" t="e">
        <f ca="1">_xludf.ifna(VLOOKUP(G968,Proyectos!$E$1:$N$4,10,0),"")</f>
        <v>#NAME?</v>
      </c>
      <c r="M967" s="32"/>
      <c r="N967" s="31"/>
      <c r="O967" s="31"/>
      <c r="P967" s="33"/>
      <c r="Q967" s="33"/>
    </row>
    <row r="968" spans="1:17" ht="16.5" customHeight="1" x14ac:dyDescent="0.2">
      <c r="A968" s="26" t="s">
        <v>4006</v>
      </c>
      <c r="B968" s="26" t="s">
        <v>4007</v>
      </c>
      <c r="C968" s="26" t="s">
        <v>98</v>
      </c>
      <c r="D968" s="26" t="s">
        <v>105</v>
      </c>
      <c r="E968" s="26" t="s">
        <v>83</v>
      </c>
      <c r="F968" s="28" t="e">
        <f ca="1">_xludf.ifna(VLOOKUP(G969,Proyectos!$E$1:$H$4,4,0),"")</f>
        <v>#NAME?</v>
      </c>
      <c r="G968" s="26" t="s">
        <v>5145</v>
      </c>
      <c r="H968" s="32">
        <v>1</v>
      </c>
      <c r="I968" s="31" t="s">
        <v>25</v>
      </c>
      <c r="J968" s="32"/>
      <c r="K968" s="32" t="str">
        <f t="shared" si="3"/>
        <v>Externo</v>
      </c>
      <c r="L968" s="32" t="e">
        <f ca="1">_xludf.ifna(VLOOKUP(G969,Proyectos!$E$1:$N$4,10,0),"")</f>
        <v>#NAME?</v>
      </c>
      <c r="M968" s="32"/>
      <c r="N968" s="32"/>
      <c r="O968" s="31"/>
      <c r="P968" s="33"/>
      <c r="Q968" s="33"/>
    </row>
    <row r="969" spans="1:17" ht="16.5" customHeight="1" x14ac:dyDescent="0.2">
      <c r="A969" s="26" t="s">
        <v>4435</v>
      </c>
      <c r="B969" s="26" t="s">
        <v>5297</v>
      </c>
      <c r="C969" s="53" t="s">
        <v>64</v>
      </c>
      <c r="D969" s="26" t="s">
        <v>92</v>
      </c>
      <c r="E969" s="26" t="s">
        <v>83</v>
      </c>
      <c r="F969" s="28" t="e">
        <f ca="1">_xludf.ifna(VLOOKUP(G970,Proyectos!$E$1:$H$4,4,0),"")</f>
        <v>#NAME?</v>
      </c>
      <c r="G969" s="26" t="s">
        <v>5652</v>
      </c>
      <c r="H969" s="32">
        <v>1</v>
      </c>
      <c r="I969" s="31" t="s">
        <v>25</v>
      </c>
      <c r="J969" s="32"/>
      <c r="K969" s="32" t="str">
        <f t="shared" si="3"/>
        <v>Externo</v>
      </c>
      <c r="L969" s="32" t="e">
        <f ca="1">_xludf.ifna(VLOOKUP(G970,Proyectos!$E$1:$N$4,10,0),"")</f>
        <v>#NAME?</v>
      </c>
      <c r="M969" s="32"/>
      <c r="N969" s="32"/>
      <c r="O969" s="31"/>
      <c r="P969" s="33"/>
      <c r="Q969" s="33"/>
    </row>
    <row r="970" spans="1:17" ht="16.5" customHeight="1" x14ac:dyDescent="0.2">
      <c r="A970" s="26" t="s">
        <v>3854</v>
      </c>
      <c r="B970" s="26" t="s">
        <v>3855</v>
      </c>
      <c r="C970" s="26" t="s">
        <v>115</v>
      </c>
      <c r="D970" s="26" t="s">
        <v>122</v>
      </c>
      <c r="E970" s="26" t="s">
        <v>39</v>
      </c>
      <c r="F970" s="28" t="e">
        <f ca="1">_xludf.ifna(VLOOKUP(G971,Proyectos!$E$1:$H$4,4,0),"")</f>
        <v>#NAME?</v>
      </c>
      <c r="G970" s="26" t="s">
        <v>5416</v>
      </c>
      <c r="H970" s="32">
        <v>0.2</v>
      </c>
      <c r="I970" s="31" t="s">
        <v>18</v>
      </c>
      <c r="J970" s="32"/>
      <c r="K970" s="32" t="str">
        <f t="shared" si="3"/>
        <v>Interno</v>
      </c>
      <c r="L970" s="32" t="e">
        <f ca="1">_xludf.ifna(VLOOKUP(G971,Proyectos!$E$1:$N$4,10,0),"")</f>
        <v>#NAME?</v>
      </c>
      <c r="M970" s="32"/>
      <c r="N970" s="31"/>
      <c r="O970" s="31"/>
      <c r="P970" s="33"/>
      <c r="Q970" s="33"/>
    </row>
    <row r="971" spans="1:17" ht="16.5" customHeight="1" x14ac:dyDescent="0.2">
      <c r="A971" s="26" t="s">
        <v>3854</v>
      </c>
      <c r="B971" s="26" t="s">
        <v>3855</v>
      </c>
      <c r="C971" s="26" t="s">
        <v>115</v>
      </c>
      <c r="D971" s="26" t="s">
        <v>122</v>
      </c>
      <c r="E971" s="26" t="s">
        <v>39</v>
      </c>
      <c r="F971" s="28" t="e">
        <f ca="1">_xludf.ifna(VLOOKUP(G972,Proyectos!$E$1:$H$4,4,0),"")</f>
        <v>#NAME?</v>
      </c>
      <c r="G971" s="26" t="s">
        <v>5225</v>
      </c>
      <c r="H971" s="32">
        <v>0.2</v>
      </c>
      <c r="I971" s="31" t="s">
        <v>18</v>
      </c>
      <c r="J971" s="32"/>
      <c r="K971" s="32" t="str">
        <f t="shared" si="3"/>
        <v>Interno</v>
      </c>
      <c r="L971" s="32" t="e">
        <f ca="1">_xludf.ifna(VLOOKUP(G972,Proyectos!$E$1:$N$4,10,0),"")</f>
        <v>#NAME?</v>
      </c>
      <c r="M971" s="32"/>
      <c r="N971" s="31"/>
      <c r="O971" s="31"/>
      <c r="P971" s="33"/>
      <c r="Q971" s="33"/>
    </row>
    <row r="972" spans="1:17" ht="16.5" customHeight="1" x14ac:dyDescent="0.2">
      <c r="A972" s="26" t="s">
        <v>3854</v>
      </c>
      <c r="B972" s="26" t="s">
        <v>3855</v>
      </c>
      <c r="C972" s="26" t="s">
        <v>115</v>
      </c>
      <c r="D972" s="26" t="s">
        <v>122</v>
      </c>
      <c r="E972" s="26" t="s">
        <v>39</v>
      </c>
      <c r="F972" s="28" t="e">
        <f ca="1">_xludf.ifna(VLOOKUP(G973,Proyectos!$E$1:$H$4,4,0),"")</f>
        <v>#NAME?</v>
      </c>
      <c r="G972" s="26" t="s">
        <v>5117</v>
      </c>
      <c r="H972" s="32">
        <v>0.2</v>
      </c>
      <c r="I972" s="31" t="s">
        <v>18</v>
      </c>
      <c r="J972" s="32"/>
      <c r="K972" s="32" t="str">
        <f t="shared" si="3"/>
        <v>Interno</v>
      </c>
      <c r="L972" s="32" t="e">
        <f ca="1">_xludf.ifna(VLOOKUP(G973,Proyectos!$E$1:$N$4,10,0),"")</f>
        <v>#NAME?</v>
      </c>
      <c r="M972" s="32"/>
      <c r="N972" s="32"/>
      <c r="O972" s="31"/>
      <c r="P972" s="33"/>
      <c r="Q972" s="33"/>
    </row>
    <row r="973" spans="1:17" ht="16.5" customHeight="1" x14ac:dyDescent="0.2">
      <c r="A973" s="94" t="s">
        <v>3854</v>
      </c>
      <c r="B973" s="26" t="s">
        <v>3855</v>
      </c>
      <c r="C973" s="26" t="s">
        <v>115</v>
      </c>
      <c r="D973" s="26" t="s">
        <v>122</v>
      </c>
      <c r="E973" s="26" t="s">
        <v>39</v>
      </c>
      <c r="F973" s="28" t="e">
        <f ca="1">_xludf.ifna(VLOOKUP(G974,Proyectos!$E$1:$H$4,4,0),"")</f>
        <v>#NAME?</v>
      </c>
      <c r="G973" s="26" t="s">
        <v>5116</v>
      </c>
      <c r="H973" s="32">
        <v>0.2</v>
      </c>
      <c r="I973" s="31" t="s">
        <v>18</v>
      </c>
      <c r="J973" s="32"/>
      <c r="K973" s="32" t="str">
        <f t="shared" si="3"/>
        <v>Interno</v>
      </c>
      <c r="L973" s="32" t="e">
        <f ca="1">_xludf.ifna(VLOOKUP(G974,Proyectos!$E$1:$N$4,10,0),"")</f>
        <v>#NAME?</v>
      </c>
      <c r="M973" s="32"/>
      <c r="N973" s="32"/>
      <c r="O973" s="31"/>
      <c r="P973" s="33"/>
      <c r="Q973" s="33"/>
    </row>
    <row r="974" spans="1:17" ht="16.5" customHeight="1" x14ac:dyDescent="0.2">
      <c r="A974" s="26" t="s">
        <v>3854</v>
      </c>
      <c r="B974" s="26" t="s">
        <v>3855</v>
      </c>
      <c r="C974" s="26" t="s">
        <v>115</v>
      </c>
      <c r="D974" s="26" t="s">
        <v>122</v>
      </c>
      <c r="E974" s="26" t="s">
        <v>39</v>
      </c>
      <c r="F974" s="28" t="e">
        <f ca="1">_xludf.ifna(VLOOKUP(G975,Proyectos!$E$1:$H$4,4,0),"")</f>
        <v>#NAME?</v>
      </c>
      <c r="G974" s="26" t="s">
        <v>5597</v>
      </c>
      <c r="H974" s="32">
        <v>0.2</v>
      </c>
      <c r="I974" s="31" t="s">
        <v>18</v>
      </c>
      <c r="J974" s="32"/>
      <c r="K974" s="32" t="str">
        <f t="shared" si="3"/>
        <v>Interno</v>
      </c>
      <c r="L974" s="32" t="e">
        <f ca="1">_xludf.ifna(VLOOKUP(G975,Proyectos!$E$1:$N$4,10,0),"")</f>
        <v>#NAME?</v>
      </c>
      <c r="M974" s="32"/>
      <c r="N974" s="31"/>
      <c r="O974" s="31"/>
      <c r="P974" s="33"/>
      <c r="Q974" s="33"/>
    </row>
    <row r="975" spans="1:17" ht="16.5" customHeight="1" x14ac:dyDescent="0.2">
      <c r="A975" s="26" t="s">
        <v>4505</v>
      </c>
      <c r="B975" s="26" t="s">
        <v>4506</v>
      </c>
      <c r="C975" s="26" t="s">
        <v>115</v>
      </c>
      <c r="D975" s="26" t="s">
        <v>122</v>
      </c>
      <c r="E975" s="26" t="s">
        <v>129</v>
      </c>
      <c r="F975" s="28" t="e">
        <f ca="1">_xludf.ifna(VLOOKUP(G976,Proyectos!$E$1:$H$4,4,0),"")</f>
        <v>#NAME?</v>
      </c>
      <c r="G975" s="26" t="s">
        <v>5597</v>
      </c>
      <c r="H975" s="32">
        <v>1</v>
      </c>
      <c r="I975" s="31" t="s">
        <v>18</v>
      </c>
      <c r="J975" s="32"/>
      <c r="K975" s="32" t="str">
        <f t="shared" si="3"/>
        <v>Externo</v>
      </c>
      <c r="L975" s="32" t="e">
        <f ca="1">_xludf.ifna(VLOOKUP(G976,Proyectos!$E$1:$N$4,10,0),"")</f>
        <v>#NAME?</v>
      </c>
      <c r="M975" s="32"/>
      <c r="N975" s="31"/>
      <c r="O975" s="31"/>
      <c r="P975" s="33"/>
      <c r="Q975" s="33"/>
    </row>
    <row r="976" spans="1:17" ht="16.5" customHeight="1" x14ac:dyDescent="0.2">
      <c r="A976" s="26" t="s">
        <v>4407</v>
      </c>
      <c r="B976" s="26" t="s">
        <v>5822</v>
      </c>
      <c r="C976" s="26" t="s">
        <v>37</v>
      </c>
      <c r="D976" s="26" t="s">
        <v>45</v>
      </c>
      <c r="E976" s="26" t="s">
        <v>138</v>
      </c>
      <c r="F976" s="28" t="e">
        <f ca="1">_xludf.ifna(VLOOKUP(G977,Proyectos!$E$1:$H$4,4,0),"")</f>
        <v>#NAME?</v>
      </c>
      <c r="G976" s="26" t="s">
        <v>5608</v>
      </c>
      <c r="H976" s="32">
        <v>0.5</v>
      </c>
      <c r="I976" s="31" t="s">
        <v>18</v>
      </c>
      <c r="J976" s="32"/>
      <c r="K976" s="32" t="str">
        <f t="shared" si="3"/>
        <v>Externo</v>
      </c>
      <c r="L976" s="32" t="e">
        <f ca="1">_xludf.ifna(VLOOKUP(G977,Proyectos!$E$1:$N$4,10,0),"")</f>
        <v>#NAME?</v>
      </c>
      <c r="M976" s="32"/>
      <c r="N976" s="31"/>
      <c r="O976" s="31"/>
      <c r="P976" s="33"/>
      <c r="Q976" s="33"/>
    </row>
    <row r="977" spans="1:17" ht="16.5" customHeight="1" x14ac:dyDescent="0.2">
      <c r="A977" s="26" t="s">
        <v>4407</v>
      </c>
      <c r="B977" s="26" t="s">
        <v>5822</v>
      </c>
      <c r="C977" s="26" t="s">
        <v>37</v>
      </c>
      <c r="D977" s="26" t="s">
        <v>45</v>
      </c>
      <c r="E977" s="26" t="s">
        <v>138</v>
      </c>
      <c r="F977" s="28" t="e">
        <f ca="1">_xludf.ifna(VLOOKUP(G978,Proyectos!$E$1:$H$4,4,0),"")</f>
        <v>#NAME?</v>
      </c>
      <c r="G977" s="26" t="s">
        <v>5123</v>
      </c>
      <c r="H977" s="32">
        <v>0.5</v>
      </c>
      <c r="I977" s="31" t="s">
        <v>18</v>
      </c>
      <c r="J977" s="32"/>
      <c r="K977" s="32" t="str">
        <f t="shared" si="3"/>
        <v>Externo</v>
      </c>
      <c r="L977" s="32" t="e">
        <f ca="1">_xludf.ifna(VLOOKUP(G978,Proyectos!$E$1:$N$4,10,0),"")</f>
        <v>#NAME?</v>
      </c>
      <c r="M977" s="32"/>
      <c r="N977" s="31"/>
      <c r="O977" s="31"/>
      <c r="P977" s="33"/>
      <c r="Q977" s="33"/>
    </row>
    <row r="978" spans="1:17" ht="16.5" customHeight="1" x14ac:dyDescent="0.2">
      <c r="A978" s="26" t="s">
        <v>4049</v>
      </c>
      <c r="B978" s="26" t="s">
        <v>4050</v>
      </c>
      <c r="C978" s="26" t="s">
        <v>98</v>
      </c>
      <c r="D978" s="26" t="s">
        <v>105</v>
      </c>
      <c r="E978" s="26" t="s">
        <v>83</v>
      </c>
      <c r="F978" s="28" t="e">
        <f ca="1">_xludf.ifna(VLOOKUP(G979,Proyectos!$E$1:$H$4,4,0),"")</f>
        <v>#NAME?</v>
      </c>
      <c r="G978" s="26" t="s">
        <v>5597</v>
      </c>
      <c r="H978" s="32">
        <v>1</v>
      </c>
      <c r="I978" s="31" t="s">
        <v>25</v>
      </c>
      <c r="J978" s="32"/>
      <c r="K978" s="32" t="str">
        <f t="shared" si="3"/>
        <v>Externo</v>
      </c>
      <c r="L978" s="32" t="e">
        <f ca="1">_xludf.ifna(VLOOKUP(G979,Proyectos!$E$1:$N$4,10,0),"")</f>
        <v>#NAME?</v>
      </c>
      <c r="M978" s="32"/>
      <c r="N978" s="32"/>
      <c r="O978" s="31"/>
      <c r="P978" s="33"/>
      <c r="Q978" s="33"/>
    </row>
    <row r="979" spans="1:17" ht="16.5" customHeight="1" x14ac:dyDescent="0.2">
      <c r="A979" s="26" t="s">
        <v>3892</v>
      </c>
      <c r="B979" s="26" t="s">
        <v>5823</v>
      </c>
      <c r="C979" s="26" t="s">
        <v>7</v>
      </c>
      <c r="D979" s="26" t="s">
        <v>16</v>
      </c>
      <c r="E979" s="26" t="s">
        <v>39</v>
      </c>
      <c r="F979" s="28" t="e">
        <f ca="1">_xludf.ifna(VLOOKUP(G980,Proyectos!$E$1:$H$4,4,0),"")</f>
        <v>#NAME?</v>
      </c>
      <c r="G979" s="26" t="s">
        <v>5231</v>
      </c>
      <c r="H979" s="65">
        <v>0.7</v>
      </c>
      <c r="I979" s="31" t="s">
        <v>18</v>
      </c>
      <c r="J979" s="32"/>
      <c r="K979" s="32" t="str">
        <f t="shared" si="3"/>
        <v>Interno</v>
      </c>
      <c r="L979" s="32" t="e">
        <f ca="1">_xludf.ifna(VLOOKUP(G980,Proyectos!$E$1:$N$4,10,0),"")</f>
        <v>#NAME?</v>
      </c>
      <c r="M979" s="32"/>
      <c r="N979" s="32"/>
      <c r="O979" s="31"/>
      <c r="P979" s="33"/>
      <c r="Q979" s="33"/>
    </row>
    <row r="980" spans="1:17" ht="16.5" customHeight="1" x14ac:dyDescent="0.2">
      <c r="A980" s="26" t="s">
        <v>3892</v>
      </c>
      <c r="B980" s="26" t="s">
        <v>5823</v>
      </c>
      <c r="C980" s="26" t="s">
        <v>7</v>
      </c>
      <c r="D980" s="26" t="s">
        <v>16</v>
      </c>
      <c r="E980" s="26" t="s">
        <v>39</v>
      </c>
      <c r="F980" s="28" t="e">
        <f ca="1">_xludf.ifna(VLOOKUP(G981,Proyectos!$E$1:$H$4,4,0),"")</f>
        <v>#NAME?</v>
      </c>
      <c r="G980" s="26" t="s">
        <v>5597</v>
      </c>
      <c r="H980" s="65">
        <v>0.3</v>
      </c>
      <c r="I980" s="31" t="s">
        <v>18</v>
      </c>
      <c r="J980" s="32"/>
      <c r="K980" s="32" t="str">
        <f t="shared" si="3"/>
        <v>Interno</v>
      </c>
      <c r="L980" s="32" t="e">
        <f ca="1">_xludf.ifna(VLOOKUP(G981,Proyectos!$E$1:$N$4,10,0),"")</f>
        <v>#NAME?</v>
      </c>
      <c r="M980" s="32"/>
      <c r="N980" s="31"/>
      <c r="O980" s="31"/>
      <c r="P980" s="33"/>
      <c r="Q980" s="33"/>
    </row>
    <row r="981" spans="1:17" ht="16.5" customHeight="1" x14ac:dyDescent="0.2">
      <c r="A981" s="26" t="s">
        <v>5824</v>
      </c>
      <c r="B981" s="26" t="s">
        <v>5825</v>
      </c>
      <c r="C981" s="26" t="s">
        <v>115</v>
      </c>
      <c r="D981" s="26" t="s">
        <v>122</v>
      </c>
      <c r="E981" s="26" t="s">
        <v>39</v>
      </c>
      <c r="F981" s="28" t="e">
        <f ca="1">_xludf.ifna(VLOOKUP(G982,Proyectos!$E$1:$H$4,4,0),"")</f>
        <v>#NAME?</v>
      </c>
      <c r="G981" s="26" t="s">
        <v>5597</v>
      </c>
      <c r="H981" s="32">
        <v>1</v>
      </c>
      <c r="I981" s="31" t="s">
        <v>32</v>
      </c>
      <c r="J981" s="31" t="s">
        <v>5826</v>
      </c>
      <c r="K981" s="32" t="str">
        <f t="shared" si="3"/>
        <v>Interno</v>
      </c>
      <c r="L981" s="32" t="e">
        <f ca="1">_xludf.ifna(VLOOKUP(G982,Proyectos!$E$1:$N$4,10,0),"")</f>
        <v>#NAME?</v>
      </c>
      <c r="M981" s="32"/>
      <c r="N981" s="31"/>
      <c r="O981" s="31"/>
      <c r="P981" s="33"/>
      <c r="Q981" s="33"/>
    </row>
    <row r="982" spans="1:17" ht="16.5" customHeight="1" x14ac:dyDescent="0.2">
      <c r="A982" s="35" t="s">
        <v>3588</v>
      </c>
      <c r="B982" s="26" t="s">
        <v>5827</v>
      </c>
      <c r="C982" s="26" t="s">
        <v>64</v>
      </c>
      <c r="D982" s="26" t="s">
        <v>82</v>
      </c>
      <c r="E982" s="35" t="s">
        <v>39</v>
      </c>
      <c r="F982" s="28" t="e">
        <f ca="1">_xludf.ifna(VLOOKUP(G983,Proyectos!$E$1:$H$4,4,0),"")</f>
        <v>#NAME?</v>
      </c>
      <c r="G982" s="26" t="s">
        <v>5597</v>
      </c>
      <c r="H982" s="32">
        <v>1</v>
      </c>
      <c r="I982" s="31" t="s">
        <v>18</v>
      </c>
      <c r="J982" s="32"/>
      <c r="K982" s="32" t="str">
        <f t="shared" si="3"/>
        <v>Interno</v>
      </c>
      <c r="L982" s="32" t="e">
        <f ca="1">_xludf.ifna(VLOOKUP(G983,Proyectos!$E$1:$N$4,10,0),"")</f>
        <v>#NAME?</v>
      </c>
      <c r="M982" s="32"/>
      <c r="N982" s="31"/>
      <c r="O982" s="31"/>
      <c r="P982" s="33"/>
      <c r="Q982" s="33"/>
    </row>
    <row r="983" spans="1:17" ht="16.5" customHeight="1" x14ac:dyDescent="0.2">
      <c r="A983" s="26" t="s">
        <v>4084</v>
      </c>
      <c r="B983" s="26" t="s">
        <v>4085</v>
      </c>
      <c r="C983" s="26" t="s">
        <v>37</v>
      </c>
      <c r="D983" s="26" t="s">
        <v>38</v>
      </c>
      <c r="E983" s="26" t="s">
        <v>129</v>
      </c>
      <c r="F983" s="28" t="e">
        <f ca="1">_xludf.ifna(VLOOKUP(G984,Proyectos!$E$1:$H$4,4,0),"")</f>
        <v>#NAME?</v>
      </c>
      <c r="G983" s="26" t="s">
        <v>5346</v>
      </c>
      <c r="H983" s="32">
        <v>1</v>
      </c>
      <c r="I983" s="31" t="s">
        <v>18</v>
      </c>
      <c r="J983" s="32"/>
      <c r="K983" s="32" t="str">
        <f t="shared" si="3"/>
        <v>Externo</v>
      </c>
      <c r="L983" s="32" t="e">
        <f ca="1">_xludf.ifna(VLOOKUP(G984,Proyectos!$E$1:$N$4,10,0),"")</f>
        <v>#NAME?</v>
      </c>
      <c r="M983" s="32"/>
      <c r="N983" s="31"/>
      <c r="O983" s="31"/>
      <c r="P983" s="33"/>
      <c r="Q983" s="33"/>
    </row>
    <row r="984" spans="1:17" ht="16.5" customHeight="1" x14ac:dyDescent="0.2">
      <c r="A984" s="26" t="s">
        <v>4165</v>
      </c>
      <c r="B984" s="26" t="s">
        <v>4166</v>
      </c>
      <c r="C984" s="54" t="s">
        <v>7</v>
      </c>
      <c r="D984" s="35" t="s">
        <v>8</v>
      </c>
      <c r="E984" s="35" t="s">
        <v>17</v>
      </c>
      <c r="F984" s="28" t="e">
        <f ca="1">_xludf.ifna(VLOOKUP(G985,Proyectos!$E$1:$H$4,4,0),"")</f>
        <v>#NAME?</v>
      </c>
      <c r="G984" s="35" t="s">
        <v>5186</v>
      </c>
      <c r="H984" s="30">
        <v>1</v>
      </c>
      <c r="I984" s="31" t="s">
        <v>18</v>
      </c>
      <c r="J984" s="55"/>
      <c r="K984" s="32" t="str">
        <f t="shared" si="3"/>
        <v>Externo</v>
      </c>
      <c r="L984" s="32" t="e">
        <f ca="1">_xludf.ifna(VLOOKUP(G985,Proyectos!$E$1:$N$4,10,0),"")</f>
        <v>#NAME?</v>
      </c>
      <c r="M984" s="32"/>
      <c r="N984" s="31"/>
      <c r="O984" s="31"/>
      <c r="P984" s="33"/>
      <c r="Q984" s="33"/>
    </row>
    <row r="985" spans="1:17" ht="16.5" customHeight="1" x14ac:dyDescent="0.2">
      <c r="A985" s="26" t="s">
        <v>4461</v>
      </c>
      <c r="B985" s="26" t="s">
        <v>5206</v>
      </c>
      <c r="C985" s="54" t="s">
        <v>7</v>
      </c>
      <c r="D985" s="35" t="s">
        <v>8</v>
      </c>
      <c r="E985" s="35" t="s">
        <v>87</v>
      </c>
      <c r="F985" s="28" t="e">
        <f ca="1">_xludf.ifna(VLOOKUP(G986,Proyectos!$E$1:$H$4,4,0),"")</f>
        <v>#NAME?</v>
      </c>
      <c r="G985" s="35" t="s">
        <v>5676</v>
      </c>
      <c r="H985" s="30">
        <v>1</v>
      </c>
      <c r="I985" s="31" t="s">
        <v>18</v>
      </c>
      <c r="J985" s="55"/>
      <c r="K985" s="32" t="str">
        <f t="shared" si="3"/>
        <v>Externo</v>
      </c>
      <c r="L985" s="32" t="e">
        <f ca="1">_xludf.ifna(VLOOKUP(G986,Proyectos!$E$1:$N$4,10,0),"")</f>
        <v>#NAME?</v>
      </c>
      <c r="M985" s="32"/>
      <c r="N985" s="31"/>
      <c r="O985" s="31"/>
      <c r="P985" s="33"/>
      <c r="Q985" s="33"/>
    </row>
    <row r="986" spans="1:17" ht="16.5" customHeight="1" x14ac:dyDescent="0.2">
      <c r="A986" s="26"/>
      <c r="B986" s="26" t="s">
        <v>5081</v>
      </c>
      <c r="C986" s="26" t="s">
        <v>98</v>
      </c>
      <c r="D986" s="26" t="s">
        <v>110</v>
      </c>
      <c r="E986" s="26" t="s">
        <v>106</v>
      </c>
      <c r="F986" s="28" t="e">
        <f ca="1">_xludf.ifna(VLOOKUP(G987,Proyectos!$E$1:$H$4,4,0),"")</f>
        <v>#NAME?</v>
      </c>
      <c r="G986" s="26" t="s">
        <v>5243</v>
      </c>
      <c r="H986" s="32">
        <v>1</v>
      </c>
      <c r="I986" s="31" t="s">
        <v>18</v>
      </c>
      <c r="J986" s="32"/>
      <c r="K986" s="32" t="str">
        <f t="shared" si="3"/>
        <v>Externo</v>
      </c>
      <c r="L986" s="32" t="e">
        <f ca="1">_xludf.ifna(VLOOKUP(G987,Proyectos!$E$1:$N$4,10,0),"")</f>
        <v>#NAME?</v>
      </c>
      <c r="M986" s="32"/>
      <c r="N986" s="32"/>
      <c r="O986" s="31"/>
      <c r="P986" s="33"/>
      <c r="Q986" s="33"/>
    </row>
    <row r="987" spans="1:17" ht="16.5" customHeight="1" x14ac:dyDescent="0.2">
      <c r="A987" s="26" t="s">
        <v>4078</v>
      </c>
      <c r="B987" s="26" t="s">
        <v>4079</v>
      </c>
      <c r="C987" s="26" t="s">
        <v>64</v>
      </c>
      <c r="D987" s="26" t="s">
        <v>95</v>
      </c>
      <c r="E987" s="26" t="s">
        <v>126</v>
      </c>
      <c r="F987" s="28" t="e">
        <f ca="1">_xludf.ifna(VLOOKUP(G988,Proyectos!$E$1:$H$4,4,0),"")</f>
        <v>#NAME?</v>
      </c>
      <c r="G987" s="26" t="s">
        <v>5363</v>
      </c>
      <c r="H987" s="32">
        <v>1</v>
      </c>
      <c r="I987" s="31" t="s">
        <v>18</v>
      </c>
      <c r="J987" s="32"/>
      <c r="K987" s="32" t="str">
        <f t="shared" si="3"/>
        <v>Externo</v>
      </c>
      <c r="L987" s="32" t="e">
        <f ca="1">_xludf.ifna(VLOOKUP(G988,Proyectos!$E$1:$N$4,10,0),"")</f>
        <v>#NAME?</v>
      </c>
      <c r="M987" s="32"/>
      <c r="N987" s="32"/>
      <c r="O987" s="31"/>
      <c r="P987" s="33"/>
      <c r="Q987" s="33"/>
    </row>
    <row r="988" spans="1:17" ht="16.5" customHeight="1" x14ac:dyDescent="0.2">
      <c r="A988" s="26" t="s">
        <v>4950</v>
      </c>
      <c r="B988" s="26" t="s">
        <v>5284</v>
      </c>
      <c r="C988" s="53" t="s">
        <v>64</v>
      </c>
      <c r="D988" s="26" t="s">
        <v>92</v>
      </c>
      <c r="E988" s="26" t="s">
        <v>83</v>
      </c>
      <c r="F988" s="28" t="e">
        <f ca="1">_xludf.ifna(VLOOKUP(G989,Proyectos!$E$1:$H$4,4,0),"")</f>
        <v>#NAME?</v>
      </c>
      <c r="G988" s="26" t="s">
        <v>5282</v>
      </c>
      <c r="H988" s="32">
        <v>1</v>
      </c>
      <c r="I988" s="31" t="s">
        <v>25</v>
      </c>
      <c r="J988" s="32"/>
      <c r="K988" s="32" t="str">
        <f t="shared" si="3"/>
        <v>Externo</v>
      </c>
      <c r="L988" s="32" t="e">
        <f ca="1">_xludf.ifna(VLOOKUP(G989,Proyectos!$E$1:$N$4,10,0),"")</f>
        <v>#NAME?</v>
      </c>
      <c r="M988" s="32"/>
      <c r="N988" s="32"/>
      <c r="O988" s="31"/>
      <c r="P988" s="33"/>
      <c r="Q988" s="33"/>
    </row>
    <row r="989" spans="1:17" ht="16.5" customHeight="1" x14ac:dyDescent="0.2">
      <c r="A989" s="26" t="s">
        <v>4382</v>
      </c>
      <c r="B989" s="26" t="s">
        <v>5828</v>
      </c>
      <c r="C989" s="26" t="s">
        <v>64</v>
      </c>
      <c r="D989" s="26" t="s">
        <v>86</v>
      </c>
      <c r="E989" s="26" t="s">
        <v>87</v>
      </c>
      <c r="F989" s="28" t="e">
        <f ca="1">_xludf.ifna(VLOOKUP(G990,Proyectos!$E$1:$H$4,4,0),"")</f>
        <v>#NAME?</v>
      </c>
      <c r="G989" s="26" t="s">
        <v>5597</v>
      </c>
      <c r="H989" s="30">
        <v>1</v>
      </c>
      <c r="I989" s="31" t="s">
        <v>18</v>
      </c>
      <c r="J989" s="32"/>
      <c r="K989" s="32" t="str">
        <f t="shared" si="3"/>
        <v>Externo</v>
      </c>
      <c r="L989" s="32" t="e">
        <f ca="1">_xludf.ifna(VLOOKUP(G990,Proyectos!$E$1:$N$4,10,0),"")</f>
        <v>#NAME?</v>
      </c>
      <c r="M989" s="32"/>
      <c r="N989" s="31"/>
      <c r="O989" s="31"/>
      <c r="P989" s="33"/>
      <c r="Q989" s="33"/>
    </row>
    <row r="990" spans="1:17" ht="16.5" customHeight="1" x14ac:dyDescent="0.2">
      <c r="A990" s="26" t="s">
        <v>3797</v>
      </c>
      <c r="B990" s="26" t="s">
        <v>3798</v>
      </c>
      <c r="C990" s="26" t="s">
        <v>98</v>
      </c>
      <c r="D990" s="26" t="s">
        <v>99</v>
      </c>
      <c r="E990" s="26" t="s">
        <v>39</v>
      </c>
      <c r="F990" s="28" t="e">
        <f ca="1">_xludf.ifna(VLOOKUP(G991,Proyectos!$E$1:$H$4,4,0),"")</f>
        <v>#NAME?</v>
      </c>
      <c r="G990" s="26" t="s">
        <v>5139</v>
      </c>
      <c r="H990" s="32">
        <v>1</v>
      </c>
      <c r="I990" s="31" t="s">
        <v>18</v>
      </c>
      <c r="J990" s="32"/>
      <c r="K990" s="32" t="str">
        <f t="shared" si="3"/>
        <v>Interno</v>
      </c>
      <c r="L990" s="32" t="e">
        <f ca="1">_xludf.ifna(VLOOKUP(G991,Proyectos!$E$1:$N$4,10,0),"")</f>
        <v>#NAME?</v>
      </c>
      <c r="M990" s="32"/>
      <c r="N990" s="32"/>
      <c r="O990" s="31"/>
      <c r="P990" s="33"/>
      <c r="Q990" s="33"/>
    </row>
    <row r="991" spans="1:17" ht="16.5" customHeight="1" x14ac:dyDescent="0.2">
      <c r="A991" s="26" t="s">
        <v>3916</v>
      </c>
      <c r="B991" s="26" t="s">
        <v>3917</v>
      </c>
      <c r="C991" s="26" t="s">
        <v>98</v>
      </c>
      <c r="D991" s="26" t="s">
        <v>110</v>
      </c>
      <c r="E991" s="26" t="s">
        <v>108</v>
      </c>
      <c r="F991" s="28" t="e">
        <f ca="1">_xludf.ifna(VLOOKUP(G992,Proyectos!$E$1:$H$4,4,0),"")</f>
        <v>#NAME?</v>
      </c>
      <c r="G991" s="26" t="s">
        <v>5240</v>
      </c>
      <c r="H991" s="32">
        <v>1</v>
      </c>
      <c r="I991" s="31" t="s">
        <v>18</v>
      </c>
      <c r="J991" s="32"/>
      <c r="K991" s="32" t="str">
        <f t="shared" si="3"/>
        <v>Externo</v>
      </c>
      <c r="L991" s="32" t="e">
        <f ca="1">_xludf.ifna(VLOOKUP(G992,Proyectos!$E$1:$N$4,10,0),"")</f>
        <v>#NAME?</v>
      </c>
      <c r="M991" s="32"/>
      <c r="N991" s="32"/>
      <c r="O991" s="31"/>
      <c r="P991" s="33"/>
      <c r="Q991" s="33"/>
    </row>
    <row r="992" spans="1:17" ht="16.5" customHeight="1" x14ac:dyDescent="0.2">
      <c r="A992" s="26" t="s">
        <v>3908</v>
      </c>
      <c r="B992" s="26" t="s">
        <v>3909</v>
      </c>
      <c r="C992" s="26" t="s">
        <v>115</v>
      </c>
      <c r="D992" s="26" t="s">
        <v>119</v>
      </c>
      <c r="E992" s="26" t="s">
        <v>114</v>
      </c>
      <c r="F992" s="28" t="e">
        <f ca="1">_xludf.ifna(VLOOKUP(G993,Proyectos!$E$1:$H$4,4,0),"")</f>
        <v>#NAME?</v>
      </c>
      <c r="G992" s="26" t="s">
        <v>5597</v>
      </c>
      <c r="H992" s="32">
        <v>0.5</v>
      </c>
      <c r="I992" s="31" t="s">
        <v>25</v>
      </c>
      <c r="J992" s="31" t="s">
        <v>5829</v>
      </c>
      <c r="K992" s="32" t="str">
        <f t="shared" si="3"/>
        <v>Externo</v>
      </c>
      <c r="L992" s="32" t="e">
        <f ca="1">_xludf.ifna(VLOOKUP(G993,Proyectos!$E$1:$N$4,10,0),"")</f>
        <v>#NAME?</v>
      </c>
      <c r="M992" s="32"/>
      <c r="N992" s="31"/>
      <c r="O992" s="31"/>
      <c r="P992" s="33"/>
      <c r="Q992" s="33"/>
    </row>
    <row r="993" spans="1:17" ht="16.5" customHeight="1" x14ac:dyDescent="0.2">
      <c r="A993" s="26" t="s">
        <v>3908</v>
      </c>
      <c r="B993" s="26" t="s">
        <v>3909</v>
      </c>
      <c r="C993" s="26" t="s">
        <v>115</v>
      </c>
      <c r="D993" s="26" t="s">
        <v>119</v>
      </c>
      <c r="E993" s="26" t="s">
        <v>114</v>
      </c>
      <c r="F993" s="28" t="e">
        <f ca="1">_xludf.ifna(VLOOKUP(G994,Proyectos!$E$1:$H$4,4,0),"")</f>
        <v>#NAME?</v>
      </c>
      <c r="G993" s="26" t="s">
        <v>5730</v>
      </c>
      <c r="H993" s="32">
        <v>0.5</v>
      </c>
      <c r="I993" s="31" t="s">
        <v>25</v>
      </c>
      <c r="J993" s="31" t="s">
        <v>5829</v>
      </c>
      <c r="K993" s="32" t="str">
        <f t="shared" si="3"/>
        <v>Externo</v>
      </c>
      <c r="L993" s="32" t="e">
        <f ca="1">_xludf.ifna(VLOOKUP(G994,Proyectos!$E$1:$N$4,10,0),"")</f>
        <v>#NAME?</v>
      </c>
      <c r="M993" s="32"/>
      <c r="N993" s="31"/>
      <c r="O993" s="31"/>
      <c r="P993" s="33"/>
      <c r="Q993" s="33"/>
    </row>
    <row r="994" spans="1:17" ht="16.5" customHeight="1" x14ac:dyDescent="0.2">
      <c r="A994" s="26" t="s">
        <v>3848</v>
      </c>
      <c r="B994" s="26" t="s">
        <v>3849</v>
      </c>
      <c r="C994" s="26" t="s">
        <v>115</v>
      </c>
      <c r="D994" s="26" t="s">
        <v>122</v>
      </c>
      <c r="E994" s="26" t="s">
        <v>39</v>
      </c>
      <c r="F994" s="28" t="e">
        <f ca="1">_xludf.ifna(VLOOKUP(G995,Proyectos!$E$1:$H$4,4,0),"")</f>
        <v>#NAME?</v>
      </c>
      <c r="G994" s="26" t="s">
        <v>5588</v>
      </c>
      <c r="H994" s="32">
        <v>1</v>
      </c>
      <c r="I994" s="31" t="s">
        <v>18</v>
      </c>
      <c r="J994" s="32"/>
      <c r="K994" s="32" t="str">
        <f t="shared" si="3"/>
        <v>Interno</v>
      </c>
      <c r="L994" s="32" t="e">
        <f ca="1">_xludf.ifna(VLOOKUP(G995,Proyectos!$E$1:$N$4,10,0),"")</f>
        <v>#NAME?</v>
      </c>
      <c r="M994" s="32"/>
      <c r="N994" s="32"/>
      <c r="O994" s="31"/>
      <c r="P994" s="33"/>
      <c r="Q994" s="33"/>
    </row>
    <row r="995" spans="1:17" ht="16.5" customHeight="1" x14ac:dyDescent="0.2">
      <c r="A995" s="84" t="s">
        <v>4241</v>
      </c>
      <c r="B995" s="26" t="s">
        <v>4242</v>
      </c>
      <c r="C995" s="26" t="s">
        <v>115</v>
      </c>
      <c r="D995" s="26" t="s">
        <v>122</v>
      </c>
      <c r="E995" s="26" t="s">
        <v>108</v>
      </c>
      <c r="F995" s="28" t="e">
        <f ca="1">_xludf.ifna(VLOOKUP(G996,Proyectos!$E$1:$H$4,4,0),"")</f>
        <v>#NAME?</v>
      </c>
      <c r="G995" s="26" t="s">
        <v>5588</v>
      </c>
      <c r="H995" s="32">
        <v>1</v>
      </c>
      <c r="I995" s="31" t="s">
        <v>18</v>
      </c>
      <c r="J995" s="32"/>
      <c r="K995" s="32" t="str">
        <f t="shared" si="3"/>
        <v>Externo</v>
      </c>
      <c r="L995" s="32" t="e">
        <f ca="1">_xludf.ifna(VLOOKUP(G996,Proyectos!$E$1:$N$4,10,0),"")</f>
        <v>#NAME?</v>
      </c>
      <c r="M995" s="32"/>
      <c r="N995" s="32"/>
      <c r="O995" s="31"/>
      <c r="P995" s="33"/>
      <c r="Q995" s="33"/>
    </row>
    <row r="996" spans="1:17" ht="16.5" customHeight="1" x14ac:dyDescent="0.2">
      <c r="A996" s="26" t="s">
        <v>4202</v>
      </c>
      <c r="B996" s="26" t="s">
        <v>5830</v>
      </c>
      <c r="C996" s="26" t="s">
        <v>37</v>
      </c>
      <c r="D996" s="26" t="s">
        <v>45</v>
      </c>
      <c r="E996" s="26" t="s">
        <v>138</v>
      </c>
      <c r="F996" s="28" t="e">
        <f ca="1">_xludf.ifna(VLOOKUP(G997,Proyectos!$E$1:$H$4,4,0),"")</f>
        <v>#NAME?</v>
      </c>
      <c r="G996" s="26" t="s">
        <v>5123</v>
      </c>
      <c r="H996" s="32">
        <v>0.1</v>
      </c>
      <c r="I996" s="31" t="s">
        <v>18</v>
      </c>
      <c r="J996" s="32"/>
      <c r="K996" s="32" t="str">
        <f t="shared" si="3"/>
        <v>Externo</v>
      </c>
      <c r="L996" s="32" t="e">
        <f ca="1">_xludf.ifna(VLOOKUP(G997,Proyectos!$E$1:$N$4,10,0),"")</f>
        <v>#NAME?</v>
      </c>
      <c r="M996" s="32"/>
      <c r="N996" s="31"/>
      <c r="O996" s="31"/>
      <c r="P996" s="33"/>
      <c r="Q996" s="33"/>
    </row>
    <row r="997" spans="1:17" ht="16.5" customHeight="1" x14ac:dyDescent="0.2">
      <c r="A997" s="26" t="s">
        <v>3317</v>
      </c>
      <c r="B997" s="26" t="s">
        <v>3318</v>
      </c>
      <c r="C997" s="26" t="s">
        <v>115</v>
      </c>
      <c r="D997" s="26" t="s">
        <v>116</v>
      </c>
      <c r="E997" s="26" t="s">
        <v>39</v>
      </c>
      <c r="F997" s="28" t="e">
        <f ca="1">_xludf.ifna(VLOOKUP(G998,Proyectos!$E$1:$H$4,4,0),"")</f>
        <v>#NAME?</v>
      </c>
      <c r="G997" s="26" t="s">
        <v>5323</v>
      </c>
      <c r="H997" s="32">
        <v>0.75</v>
      </c>
      <c r="I997" s="31" t="s">
        <v>18</v>
      </c>
      <c r="J997" s="32"/>
      <c r="K997" s="32" t="str">
        <f t="shared" si="3"/>
        <v>Interno</v>
      </c>
      <c r="L997" s="32" t="e">
        <f ca="1">_xludf.ifna(VLOOKUP(G998,Proyectos!$E$1:$N$4,10,0),"")</f>
        <v>#NAME?</v>
      </c>
      <c r="M997" s="32"/>
      <c r="N997" s="32"/>
      <c r="O997" s="31"/>
      <c r="P997" s="33"/>
      <c r="Q997" s="33"/>
    </row>
    <row r="998" spans="1:17" ht="16.5" customHeight="1" x14ac:dyDescent="0.2">
      <c r="A998" s="26" t="s">
        <v>3317</v>
      </c>
      <c r="B998" s="26" t="s">
        <v>3318</v>
      </c>
      <c r="C998" s="26" t="s">
        <v>115</v>
      </c>
      <c r="D998" s="26" t="s">
        <v>116</v>
      </c>
      <c r="E998" s="26" t="s">
        <v>39</v>
      </c>
      <c r="F998" s="28" t="e">
        <f ca="1">_xludf.ifna(VLOOKUP(G999,Proyectos!$E$1:$H$4,4,0),"")</f>
        <v>#NAME?</v>
      </c>
      <c r="G998" s="26" t="s">
        <v>5330</v>
      </c>
      <c r="H998" s="32">
        <v>0.25</v>
      </c>
      <c r="I998" s="31" t="s">
        <v>18</v>
      </c>
      <c r="J998" s="32"/>
      <c r="K998" s="32" t="str">
        <f t="shared" si="3"/>
        <v>Interno</v>
      </c>
      <c r="L998" s="32" t="e">
        <f ca="1">_xludf.ifna(VLOOKUP(G999,Proyectos!$E$1:$N$4,10,0),"")</f>
        <v>#NAME?</v>
      </c>
      <c r="M998" s="32"/>
      <c r="N998" s="32"/>
      <c r="O998" s="31"/>
      <c r="P998" s="33"/>
      <c r="Q998" s="33"/>
    </row>
    <row r="999" spans="1:17" ht="16.5" customHeight="1" x14ac:dyDescent="0.2">
      <c r="A999" s="26" t="s">
        <v>3630</v>
      </c>
      <c r="B999" s="26" t="s">
        <v>3631</v>
      </c>
      <c r="C999" s="26" t="s">
        <v>115</v>
      </c>
      <c r="D999" s="26" t="s">
        <v>116</v>
      </c>
      <c r="E999" s="26" t="s">
        <v>39</v>
      </c>
      <c r="F999" s="28" t="e">
        <f ca="1">_xludf.ifna(VLOOKUP(G1000,Proyectos!$E$1:$H$4,4,0),"")</f>
        <v>#NAME?</v>
      </c>
      <c r="G999" s="26" t="s">
        <v>5475</v>
      </c>
      <c r="H999" s="32">
        <v>0.7</v>
      </c>
      <c r="I999" s="31" t="s">
        <v>18</v>
      </c>
      <c r="J999" s="32"/>
      <c r="K999" s="32" t="str">
        <f t="shared" si="3"/>
        <v>Interno</v>
      </c>
      <c r="L999" s="32" t="e">
        <f ca="1">_xludf.ifna(VLOOKUP(G1000,Proyectos!$E$1:$N$4,10,0),"")</f>
        <v>#NAME?</v>
      </c>
      <c r="M999" s="32"/>
      <c r="N999" s="32"/>
      <c r="O999" s="31"/>
      <c r="P999" s="33"/>
      <c r="Q999" s="33"/>
    </row>
    <row r="1000" spans="1:17" ht="16.5" customHeight="1" x14ac:dyDescent="0.2">
      <c r="A1000" s="26" t="s">
        <v>3630</v>
      </c>
      <c r="B1000" s="26" t="s">
        <v>3631</v>
      </c>
      <c r="C1000" s="26" t="s">
        <v>115</v>
      </c>
      <c r="D1000" s="26" t="s">
        <v>116</v>
      </c>
      <c r="E1000" s="26" t="s">
        <v>39</v>
      </c>
      <c r="F1000" s="28" t="e">
        <f ca="1">_xludf.ifna(VLOOKUP(G1001,Proyectos!$E$1:$H$4,4,0),"")</f>
        <v>#NAME?</v>
      </c>
      <c r="G1000" s="26" t="s">
        <v>5597</v>
      </c>
      <c r="H1000" s="32">
        <v>0.3</v>
      </c>
      <c r="I1000" s="31" t="s">
        <v>18</v>
      </c>
      <c r="J1000" s="32"/>
      <c r="K1000" s="32" t="str">
        <f t="shared" si="3"/>
        <v>Interno</v>
      </c>
      <c r="L1000" s="32" t="e">
        <f ca="1">_xludf.ifna(VLOOKUP(G1001,Proyectos!$E$1:$N$4,10,0),"")</f>
        <v>#NAME?</v>
      </c>
      <c r="M1000" s="32"/>
      <c r="N1000" s="31"/>
      <c r="O1000" s="31"/>
      <c r="P1000" s="33"/>
      <c r="Q1000" s="33"/>
    </row>
    <row r="1001" spans="1:17" ht="16.5" customHeight="1" x14ac:dyDescent="0.2">
      <c r="A1001" s="26" t="s">
        <v>4907</v>
      </c>
      <c r="B1001" s="26" t="s">
        <v>4908</v>
      </c>
      <c r="C1001" s="26" t="s">
        <v>37</v>
      </c>
      <c r="D1001" s="26" t="s">
        <v>38</v>
      </c>
      <c r="E1001" s="26" t="s">
        <v>9</v>
      </c>
      <c r="F1001" s="28" t="e">
        <f ca="1">_xludf.ifna(VLOOKUP(G1002,Proyectos!$E$1:$H$4,4,0),"")</f>
        <v>#NAME?</v>
      </c>
      <c r="G1001" s="26" t="s">
        <v>5339</v>
      </c>
      <c r="H1001" s="32">
        <v>7.0000000000000007E-2</v>
      </c>
      <c r="I1001" s="31" t="s">
        <v>18</v>
      </c>
      <c r="J1001" s="32"/>
      <c r="K1001" s="32" t="str">
        <f t="shared" si="3"/>
        <v>Externo</v>
      </c>
      <c r="L1001" s="32" t="e">
        <f ca="1">_xludf.ifna(VLOOKUP(G1002,Proyectos!$E$1:$N$4,10,0),"")</f>
        <v>#NAME?</v>
      </c>
      <c r="M1001" s="32"/>
      <c r="N1001" s="32"/>
      <c r="O1001" s="31"/>
      <c r="P1001" s="33"/>
      <c r="Q1001" s="33"/>
    </row>
    <row r="1002" spans="1:17" ht="16.5" customHeight="1" x14ac:dyDescent="0.2">
      <c r="A1002" s="26" t="s">
        <v>3399</v>
      </c>
      <c r="B1002" s="26" t="s">
        <v>3400</v>
      </c>
      <c r="C1002" s="26" t="s">
        <v>98</v>
      </c>
      <c r="D1002" s="26" t="s">
        <v>99</v>
      </c>
      <c r="E1002" s="26" t="s">
        <v>39</v>
      </c>
      <c r="F1002" s="28" t="e">
        <f ca="1">_xludf.ifna(VLOOKUP(G1003,Proyectos!$E$1:$H$4,4,0),"")</f>
        <v>#NAME?</v>
      </c>
      <c r="G1002" s="26" t="s">
        <v>5664</v>
      </c>
      <c r="H1002" s="32">
        <v>0.25</v>
      </c>
      <c r="I1002" s="31" t="s">
        <v>11</v>
      </c>
      <c r="J1002" s="32"/>
      <c r="K1002" s="32" t="str">
        <f t="shared" si="3"/>
        <v>Interno</v>
      </c>
      <c r="L1002" s="32" t="e">
        <f ca="1">_xludf.ifna(VLOOKUP(G1003,Proyectos!$E$1:$N$4,10,0),"")</f>
        <v>#NAME?</v>
      </c>
      <c r="M1002" s="32"/>
      <c r="N1002" s="32"/>
      <c r="O1002" s="31"/>
      <c r="P1002" s="33"/>
      <c r="Q1002" s="33"/>
    </row>
    <row r="1003" spans="1:17" ht="16.5" customHeight="1" x14ac:dyDescent="0.2">
      <c r="A1003" s="26" t="s">
        <v>3399</v>
      </c>
      <c r="B1003" s="26" t="s">
        <v>3400</v>
      </c>
      <c r="C1003" s="26" t="s">
        <v>98</v>
      </c>
      <c r="D1003" s="26" t="s">
        <v>99</v>
      </c>
      <c r="E1003" s="26" t="s">
        <v>39</v>
      </c>
      <c r="F1003" s="28" t="e">
        <f ca="1">_xludf.ifna(VLOOKUP(G1004,Proyectos!$E$1:$H$4,4,0),"")</f>
        <v>#NAME?</v>
      </c>
      <c r="G1003" s="26" t="s">
        <v>5143</v>
      </c>
      <c r="H1003" s="32">
        <v>0.25</v>
      </c>
      <c r="I1003" s="31" t="s">
        <v>18</v>
      </c>
      <c r="J1003" s="32"/>
      <c r="K1003" s="32" t="str">
        <f t="shared" si="3"/>
        <v>Interno</v>
      </c>
      <c r="L1003" s="32" t="e">
        <f ca="1">_xludf.ifna(VLOOKUP(G1004,Proyectos!$E$1:$N$4,10,0),"")</f>
        <v>#NAME?</v>
      </c>
      <c r="M1003" s="32"/>
      <c r="N1003" s="32"/>
      <c r="O1003" s="31"/>
      <c r="P1003" s="33"/>
      <c r="Q1003" s="33"/>
    </row>
    <row r="1004" spans="1:17" ht="16.5" customHeight="1" x14ac:dyDescent="0.2">
      <c r="A1004" s="26" t="s">
        <v>3399</v>
      </c>
      <c r="B1004" s="26" t="s">
        <v>3400</v>
      </c>
      <c r="C1004" s="26" t="s">
        <v>98</v>
      </c>
      <c r="D1004" s="26" t="s">
        <v>99</v>
      </c>
      <c r="E1004" s="26" t="s">
        <v>39</v>
      </c>
      <c r="F1004" s="28" t="e">
        <f ca="1">_xludf.ifna(VLOOKUP(G1005,Proyectos!$E$1:$H$4,4,0),"")</f>
        <v>#NAME?</v>
      </c>
      <c r="G1004" s="26" t="s">
        <v>5144</v>
      </c>
      <c r="H1004" s="32">
        <v>0.25</v>
      </c>
      <c r="I1004" s="31" t="s">
        <v>18</v>
      </c>
      <c r="J1004" s="32"/>
      <c r="K1004" s="32" t="str">
        <f t="shared" si="3"/>
        <v>Interno</v>
      </c>
      <c r="L1004" s="32" t="e">
        <f ca="1">_xludf.ifna(VLOOKUP(G1005,Proyectos!$E$1:$N$4,10,0),"")</f>
        <v>#NAME?</v>
      </c>
      <c r="M1004" s="32"/>
      <c r="N1004" s="32"/>
      <c r="O1004" s="31"/>
      <c r="P1004" s="33"/>
      <c r="Q1004" s="33"/>
    </row>
    <row r="1005" spans="1:17" ht="16.5" customHeight="1" x14ac:dyDescent="0.2">
      <c r="A1005" s="26" t="s">
        <v>3399</v>
      </c>
      <c r="B1005" s="26" t="s">
        <v>3400</v>
      </c>
      <c r="C1005" s="26" t="s">
        <v>98</v>
      </c>
      <c r="D1005" s="26" t="s">
        <v>99</v>
      </c>
      <c r="E1005" s="26" t="s">
        <v>39</v>
      </c>
      <c r="F1005" s="28" t="e">
        <f ca="1">_xludf.ifna(VLOOKUP(G1006,Proyectos!$E$1:$H$4,4,0),"")</f>
        <v>#NAME?</v>
      </c>
      <c r="G1005" s="26" t="s">
        <v>5831</v>
      </c>
      <c r="H1005" s="32">
        <v>0.25</v>
      </c>
      <c r="I1005" s="31" t="s">
        <v>18</v>
      </c>
      <c r="J1005" s="32"/>
      <c r="K1005" s="32" t="str">
        <f t="shared" si="3"/>
        <v>Interno</v>
      </c>
      <c r="L1005" s="32" t="e">
        <f ca="1">_xludf.ifna(VLOOKUP(G1006,Proyectos!$E$1:$N$4,10,0),"")</f>
        <v>#NAME?</v>
      </c>
      <c r="M1005" s="32"/>
      <c r="N1005" s="32"/>
      <c r="O1005" s="31"/>
      <c r="P1005" s="33"/>
      <c r="Q1005" s="33"/>
    </row>
    <row r="1006" spans="1:17" ht="16.5" customHeight="1" x14ac:dyDescent="0.2">
      <c r="A1006" s="26" t="s">
        <v>3904</v>
      </c>
      <c r="B1006" s="26" t="s">
        <v>3905</v>
      </c>
      <c r="C1006" s="26" t="s">
        <v>64</v>
      </c>
      <c r="D1006" s="26" t="s">
        <v>86</v>
      </c>
      <c r="E1006" s="26" t="s">
        <v>114</v>
      </c>
      <c r="F1006" s="28" t="e">
        <f ca="1">_xludf.ifna(VLOOKUP(G1007,Proyectos!$E$1:$H$4,4,0),"")</f>
        <v>#NAME?</v>
      </c>
      <c r="G1006" s="26" t="s">
        <v>5464</v>
      </c>
      <c r="H1006" s="30">
        <v>1</v>
      </c>
      <c r="I1006" s="31" t="s">
        <v>25</v>
      </c>
      <c r="J1006" s="32"/>
      <c r="K1006" s="32" t="str">
        <f t="shared" si="3"/>
        <v>Externo</v>
      </c>
      <c r="L1006" s="32" t="e">
        <f ca="1">_xludf.ifna(VLOOKUP(G1007,Proyectos!$E$1:$N$4,10,0),"")</f>
        <v>#NAME?</v>
      </c>
      <c r="M1006" s="32"/>
      <c r="N1006" s="32"/>
      <c r="O1006" s="31"/>
      <c r="P1006" s="33"/>
      <c r="Q1006" s="33"/>
    </row>
    <row r="1007" spans="1:17" ht="16.5" customHeight="1" x14ac:dyDescent="0.2">
      <c r="A1007" s="26" t="s">
        <v>5832</v>
      </c>
      <c r="B1007" s="26" t="s">
        <v>5833</v>
      </c>
      <c r="C1007" s="26" t="s">
        <v>115</v>
      </c>
      <c r="D1007" s="26" t="s">
        <v>119</v>
      </c>
      <c r="E1007" s="26" t="s">
        <v>114</v>
      </c>
      <c r="F1007" s="28" t="e">
        <f ca="1">_xludf.ifna(VLOOKUP(G1008,Proyectos!$E$1:$H$4,4,0),"")</f>
        <v>#NAME?</v>
      </c>
      <c r="G1007" s="26" t="s">
        <v>5597</v>
      </c>
      <c r="H1007" s="32">
        <v>0.5</v>
      </c>
      <c r="I1007" s="31" t="s">
        <v>25</v>
      </c>
      <c r="J1007" s="31" t="s">
        <v>5662</v>
      </c>
      <c r="K1007" s="32" t="str">
        <f t="shared" si="3"/>
        <v>Externo</v>
      </c>
      <c r="L1007" s="32" t="e">
        <f ca="1">_xludf.ifna(VLOOKUP(G1008,Proyectos!$E$1:$N$4,10,0),"")</f>
        <v>#NAME?</v>
      </c>
      <c r="M1007" s="32"/>
      <c r="N1007" s="31"/>
      <c r="O1007" s="31"/>
      <c r="P1007" s="33"/>
      <c r="Q1007" s="33"/>
    </row>
    <row r="1008" spans="1:17" ht="16.5" customHeight="1" x14ac:dyDescent="0.2">
      <c r="A1008" s="26" t="s">
        <v>5832</v>
      </c>
      <c r="B1008" s="26" t="s">
        <v>5833</v>
      </c>
      <c r="C1008" s="26" t="s">
        <v>115</v>
      </c>
      <c r="D1008" s="26" t="s">
        <v>119</v>
      </c>
      <c r="E1008" s="26" t="s">
        <v>114</v>
      </c>
      <c r="F1008" s="28" t="e">
        <f ca="1">_xludf.ifna(VLOOKUP(G1009,Proyectos!$E$1:$H$4,4,0),"")</f>
        <v>#NAME?</v>
      </c>
      <c r="G1008" s="26" t="s">
        <v>5225</v>
      </c>
      <c r="H1008" s="32">
        <v>0.5</v>
      </c>
      <c r="I1008" s="31" t="s">
        <v>25</v>
      </c>
      <c r="J1008" s="31" t="s">
        <v>5662</v>
      </c>
      <c r="K1008" s="32" t="str">
        <f t="shared" si="3"/>
        <v>Externo</v>
      </c>
      <c r="L1008" s="32" t="e">
        <f ca="1">_xludf.ifna(VLOOKUP(G1009,Proyectos!$E$1:$N$4,10,0),"")</f>
        <v>#NAME?</v>
      </c>
      <c r="M1008" s="32"/>
      <c r="N1008" s="31"/>
      <c r="O1008" s="31"/>
      <c r="P1008" s="33"/>
      <c r="Q1008" s="33"/>
    </row>
    <row r="1009" spans="1:17" ht="16.5" customHeight="1" x14ac:dyDescent="0.2">
      <c r="A1009" s="26" t="s">
        <v>4454</v>
      </c>
      <c r="B1009" s="26" t="s">
        <v>5312</v>
      </c>
      <c r="C1009" s="53" t="s">
        <v>64</v>
      </c>
      <c r="D1009" s="26" t="s">
        <v>92</v>
      </c>
      <c r="E1009" s="26" t="s">
        <v>87</v>
      </c>
      <c r="F1009" s="28" t="e">
        <f ca="1">_xludf.ifna(VLOOKUP(G1010,Proyectos!$E$1:$H$4,4,0),"")</f>
        <v>#NAME?</v>
      </c>
      <c r="G1009" s="26" t="s">
        <v>5310</v>
      </c>
      <c r="H1009" s="32">
        <v>1</v>
      </c>
      <c r="I1009" s="31" t="s">
        <v>25</v>
      </c>
      <c r="J1009" s="32"/>
      <c r="K1009" s="32" t="str">
        <f t="shared" si="3"/>
        <v>Externo</v>
      </c>
      <c r="L1009" s="32" t="e">
        <f ca="1">_xludf.ifna(VLOOKUP(G1010,Proyectos!$E$1:$N$4,10,0),"")</f>
        <v>#NAME?</v>
      </c>
      <c r="M1009" s="32"/>
      <c r="N1009" s="32"/>
      <c r="O1009" s="31"/>
      <c r="P1009" s="33"/>
      <c r="Q1009" s="33"/>
    </row>
    <row r="1010" spans="1:17" ht="16.5" customHeight="1" x14ac:dyDescent="0.2">
      <c r="A1010" s="26" t="s">
        <v>4387</v>
      </c>
      <c r="B1010" s="26" t="s">
        <v>4388</v>
      </c>
      <c r="C1010" s="26" t="s">
        <v>98</v>
      </c>
      <c r="D1010" s="26" t="s">
        <v>102</v>
      </c>
      <c r="E1010" s="26" t="s">
        <v>83</v>
      </c>
      <c r="F1010" s="28" t="e">
        <f ca="1">_xludf.ifna(VLOOKUP(G1011,Proyectos!$E$1:$H$4,4,0),"")</f>
        <v>#NAME?</v>
      </c>
      <c r="G1010" s="26" t="s">
        <v>5111</v>
      </c>
      <c r="H1010" s="32">
        <v>1</v>
      </c>
      <c r="I1010" s="31" t="s">
        <v>25</v>
      </c>
      <c r="J1010" s="32"/>
      <c r="K1010" s="32" t="str">
        <f t="shared" si="3"/>
        <v>Externo</v>
      </c>
      <c r="L1010" s="32" t="e">
        <f ca="1">_xludf.ifna(VLOOKUP(G1011,Proyectos!$E$1:$N$4,10,0),"")</f>
        <v>#NAME?</v>
      </c>
      <c r="M1010" s="32"/>
      <c r="N1010" s="32"/>
      <c r="O1010" s="31"/>
      <c r="P1010" s="33"/>
      <c r="Q1010" s="33"/>
    </row>
    <row r="1011" spans="1:17" ht="16.5" customHeight="1" x14ac:dyDescent="0.2">
      <c r="A1011" s="26" t="s">
        <v>3953</v>
      </c>
      <c r="B1011" s="26" t="s">
        <v>3954</v>
      </c>
      <c r="C1011" s="26" t="s">
        <v>115</v>
      </c>
      <c r="D1011" s="26" t="s">
        <v>122</v>
      </c>
      <c r="E1011" s="26" t="s">
        <v>129</v>
      </c>
      <c r="F1011" s="28" t="e">
        <f ca="1">_xludf.ifna(VLOOKUP(G1012,Proyectos!$E$1:$H$4,4,0),"")</f>
        <v>#NAME?</v>
      </c>
      <c r="G1011" s="26" t="s">
        <v>5597</v>
      </c>
      <c r="H1011" s="32">
        <v>1</v>
      </c>
      <c r="I1011" s="31" t="s">
        <v>18</v>
      </c>
      <c r="J1011" s="32"/>
      <c r="K1011" s="32" t="str">
        <f t="shared" si="3"/>
        <v>Externo</v>
      </c>
      <c r="L1011" s="32" t="e">
        <f ca="1">_xludf.ifna(VLOOKUP(G1012,Proyectos!$E$1:$N$4,10,0),"")</f>
        <v>#NAME?</v>
      </c>
      <c r="M1011" s="32"/>
      <c r="N1011" s="31"/>
      <c r="O1011" s="31"/>
      <c r="P1011" s="33"/>
      <c r="Q1011" s="33"/>
    </row>
    <row r="1012" spans="1:17" ht="16.5" customHeight="1" x14ac:dyDescent="0.2">
      <c r="A1012" s="26" t="s">
        <v>3356</v>
      </c>
      <c r="B1012" s="26" t="s">
        <v>3357</v>
      </c>
      <c r="C1012" s="26" t="s">
        <v>115</v>
      </c>
      <c r="D1012" s="26" t="s">
        <v>116</v>
      </c>
      <c r="E1012" s="26" t="s">
        <v>39</v>
      </c>
      <c r="F1012" s="28" t="e">
        <f ca="1">_xludf.ifna(VLOOKUP(G1013,Proyectos!$E$1:$H$4,4,0),"")</f>
        <v>#NAME?</v>
      </c>
      <c r="G1012" s="26" t="s">
        <v>5468</v>
      </c>
      <c r="H1012" s="32">
        <v>0.1</v>
      </c>
      <c r="I1012" s="31" t="s">
        <v>18</v>
      </c>
      <c r="J1012" s="32"/>
      <c r="K1012" s="32" t="str">
        <f t="shared" si="3"/>
        <v>Interno</v>
      </c>
      <c r="L1012" s="32" t="e">
        <f ca="1">_xludf.ifna(VLOOKUP(G1013,Proyectos!$E$1:$N$4,10,0),"")</f>
        <v>#NAME?</v>
      </c>
      <c r="M1012" s="32"/>
      <c r="N1012" s="32"/>
      <c r="O1012" s="31"/>
      <c r="P1012" s="33"/>
      <c r="Q1012" s="33"/>
    </row>
    <row r="1013" spans="1:17" ht="16.5" customHeight="1" x14ac:dyDescent="0.2">
      <c r="A1013" s="26" t="s">
        <v>3356</v>
      </c>
      <c r="B1013" s="26" t="s">
        <v>3357</v>
      </c>
      <c r="C1013" s="26" t="s">
        <v>115</v>
      </c>
      <c r="D1013" s="26" t="s">
        <v>116</v>
      </c>
      <c r="E1013" s="26" t="s">
        <v>39</v>
      </c>
      <c r="F1013" s="28" t="e">
        <f ca="1">_xludf.ifna(VLOOKUP(G1014,Proyectos!$E$1:$H$4,4,0),"")</f>
        <v>#NAME?</v>
      </c>
      <c r="G1013" s="26" t="s">
        <v>5468</v>
      </c>
      <c r="H1013" s="32">
        <v>0.1</v>
      </c>
      <c r="I1013" s="31" t="s">
        <v>18</v>
      </c>
      <c r="J1013" s="32"/>
      <c r="K1013" s="32" t="str">
        <f t="shared" si="3"/>
        <v>Interno</v>
      </c>
      <c r="L1013" s="32" t="e">
        <f ca="1">_xludf.ifna(VLOOKUP(G1014,Proyectos!$E$1:$N$4,10,0),"")</f>
        <v>#NAME?</v>
      </c>
      <c r="M1013" s="32"/>
      <c r="N1013" s="32"/>
      <c r="O1013" s="31"/>
      <c r="P1013" s="33"/>
      <c r="Q1013" s="33"/>
    </row>
    <row r="1014" spans="1:17" ht="16.5" customHeight="1" x14ac:dyDescent="0.2">
      <c r="A1014" s="26" t="s">
        <v>3356</v>
      </c>
      <c r="B1014" s="26" t="s">
        <v>3357</v>
      </c>
      <c r="C1014" s="26" t="s">
        <v>115</v>
      </c>
      <c r="D1014" s="26" t="s">
        <v>116</v>
      </c>
      <c r="E1014" s="26" t="s">
        <v>39</v>
      </c>
      <c r="F1014" s="28" t="e">
        <f ca="1">_xludf.ifna(VLOOKUP(G1015,Proyectos!$E$1:$H$4,4,0),"")</f>
        <v>#NAME?</v>
      </c>
      <c r="G1014" s="26" t="s">
        <v>5474</v>
      </c>
      <c r="H1014" s="32">
        <v>0.8</v>
      </c>
      <c r="I1014" s="31" t="s">
        <v>18</v>
      </c>
      <c r="J1014" s="32"/>
      <c r="K1014" s="32" t="str">
        <f t="shared" si="3"/>
        <v>Interno</v>
      </c>
      <c r="L1014" s="32" t="e">
        <f ca="1">_xludf.ifna(VLOOKUP(G1015,Proyectos!$E$1:$N$4,10,0),"")</f>
        <v>#NAME?</v>
      </c>
      <c r="M1014" s="32"/>
      <c r="N1014" s="32"/>
      <c r="O1014" s="31"/>
      <c r="P1014" s="33"/>
      <c r="Q1014" s="33"/>
    </row>
    <row r="1015" spans="1:17" ht="16.5" customHeight="1" x14ac:dyDescent="0.2">
      <c r="A1015" s="26" t="s">
        <v>3562</v>
      </c>
      <c r="B1015" s="26" t="s">
        <v>3563</v>
      </c>
      <c r="C1015" s="26" t="s">
        <v>115</v>
      </c>
      <c r="D1015" s="26" t="s">
        <v>116</v>
      </c>
      <c r="E1015" s="26" t="s">
        <v>39</v>
      </c>
      <c r="F1015" s="28" t="e">
        <f ca="1">_xludf.ifna(VLOOKUP(G1016,Proyectos!$E$1:$H$4,4,0),"")</f>
        <v>#NAME?</v>
      </c>
      <c r="G1015" s="26" t="s">
        <v>5235</v>
      </c>
      <c r="H1015" s="32">
        <v>1</v>
      </c>
      <c r="I1015" s="31" t="s">
        <v>18</v>
      </c>
      <c r="J1015" s="32"/>
      <c r="K1015" s="32" t="str">
        <f t="shared" si="3"/>
        <v>Interno</v>
      </c>
      <c r="L1015" s="32" t="e">
        <f ca="1">_xludf.ifna(VLOOKUP(G1016,Proyectos!$E$1:$N$4,10,0),"")</f>
        <v>#NAME?</v>
      </c>
      <c r="M1015" s="32"/>
      <c r="N1015" s="32"/>
      <c r="O1015" s="31"/>
      <c r="P1015" s="33"/>
      <c r="Q1015" s="33"/>
    </row>
    <row r="1016" spans="1:17" ht="16.5" customHeight="1" x14ac:dyDescent="0.2">
      <c r="A1016" s="26" t="s">
        <v>3483</v>
      </c>
      <c r="B1016" s="26" t="s">
        <v>3484</v>
      </c>
      <c r="C1016" s="26" t="s">
        <v>115</v>
      </c>
      <c r="D1016" s="26" t="s">
        <v>116</v>
      </c>
      <c r="E1016" s="26" t="s">
        <v>39</v>
      </c>
      <c r="F1016" s="28" t="e">
        <f ca="1">_xludf.ifna(VLOOKUP(G1017,Proyectos!$E$1:$H$4,4,0),"")</f>
        <v>#NAME?</v>
      </c>
      <c r="G1016" s="26" t="s">
        <v>5331</v>
      </c>
      <c r="H1016" s="32">
        <v>0.5</v>
      </c>
      <c r="I1016" s="31" t="s">
        <v>18</v>
      </c>
      <c r="J1016" s="32"/>
      <c r="K1016" s="32" t="str">
        <f t="shared" si="3"/>
        <v>Interno</v>
      </c>
      <c r="L1016" s="32" t="e">
        <f ca="1">_xludf.ifna(VLOOKUP(G1017,Proyectos!$E$1:$N$4,10,0),"")</f>
        <v>#NAME?</v>
      </c>
      <c r="M1016" s="32"/>
      <c r="N1016" s="31"/>
      <c r="O1016" s="31"/>
      <c r="P1016" s="33"/>
      <c r="Q1016" s="33"/>
    </row>
    <row r="1017" spans="1:17" ht="16.5" customHeight="1" x14ac:dyDescent="0.2">
      <c r="A1017" s="26" t="s">
        <v>3483</v>
      </c>
      <c r="B1017" s="26" t="s">
        <v>3484</v>
      </c>
      <c r="C1017" s="26" t="s">
        <v>115</v>
      </c>
      <c r="D1017" s="26" t="s">
        <v>116</v>
      </c>
      <c r="E1017" s="26" t="s">
        <v>39</v>
      </c>
      <c r="F1017" s="28" t="e">
        <f ca="1">_xludf.ifna(VLOOKUP(G1018,Proyectos!$E$1:$H$4,4,0),"")</f>
        <v>#NAME?</v>
      </c>
      <c r="G1017" s="26" t="s">
        <v>5117</v>
      </c>
      <c r="H1017" s="32">
        <v>0.5</v>
      </c>
      <c r="I1017" s="31" t="s">
        <v>18</v>
      </c>
      <c r="J1017" s="32"/>
      <c r="K1017" s="32" t="str">
        <f t="shared" si="3"/>
        <v>Interno</v>
      </c>
      <c r="L1017" s="32" t="e">
        <f ca="1">_xludf.ifna(VLOOKUP(G1018,Proyectos!$E$1:$N$4,10,0),"")</f>
        <v>#NAME?</v>
      </c>
      <c r="M1017" s="32"/>
      <c r="N1017" s="32"/>
      <c r="O1017" s="31"/>
      <c r="P1017" s="33"/>
      <c r="Q1017" s="33"/>
    </row>
    <row r="1018" spans="1:17" ht="16.5" customHeight="1" x14ac:dyDescent="0.2">
      <c r="A1018" s="26" t="s">
        <v>3441</v>
      </c>
      <c r="B1018" s="26" t="s">
        <v>3442</v>
      </c>
      <c r="C1018" s="26" t="s">
        <v>98</v>
      </c>
      <c r="D1018" s="26" t="s">
        <v>105</v>
      </c>
      <c r="E1018" s="26" t="s">
        <v>39</v>
      </c>
      <c r="F1018" s="28" t="e">
        <f ca="1">_xludf.ifna(VLOOKUP(G1019,Proyectos!$E$1:$H$4,4,0),"")</f>
        <v>#NAME?</v>
      </c>
      <c r="G1018" s="26" t="s">
        <v>5148</v>
      </c>
      <c r="H1018" s="32">
        <v>0.75</v>
      </c>
      <c r="I1018" s="31" t="s">
        <v>18</v>
      </c>
      <c r="J1018" s="32"/>
      <c r="K1018" s="32" t="str">
        <f t="shared" si="3"/>
        <v>Interno</v>
      </c>
      <c r="L1018" s="32" t="e">
        <f ca="1">_xludf.ifna(VLOOKUP(G1019,Proyectos!$E$1:$N$4,10,0),"")</f>
        <v>#NAME?</v>
      </c>
      <c r="M1018" s="32"/>
      <c r="N1018" s="32"/>
      <c r="O1018" s="31"/>
      <c r="P1018" s="33"/>
      <c r="Q1018" s="33"/>
    </row>
    <row r="1019" spans="1:17" ht="16.5" customHeight="1" x14ac:dyDescent="0.2">
      <c r="A1019" s="26" t="s">
        <v>3441</v>
      </c>
      <c r="B1019" s="26" t="s">
        <v>3442</v>
      </c>
      <c r="C1019" s="26" t="s">
        <v>98</v>
      </c>
      <c r="D1019" s="26" t="s">
        <v>105</v>
      </c>
      <c r="E1019" s="26" t="s">
        <v>39</v>
      </c>
      <c r="F1019" s="28" t="e">
        <f ca="1">_xludf.ifna(VLOOKUP(G1020,Proyectos!$E$1:$H$4,4,0),"")</f>
        <v>#NAME?</v>
      </c>
      <c r="G1019" s="26" t="s">
        <v>5663</v>
      </c>
      <c r="H1019" s="32">
        <v>0.25</v>
      </c>
      <c r="I1019" s="31" t="s">
        <v>18</v>
      </c>
      <c r="J1019" s="32"/>
      <c r="K1019" s="32" t="str">
        <f t="shared" si="3"/>
        <v>Interno</v>
      </c>
      <c r="L1019" s="32" t="e">
        <f ca="1">_xludf.ifna(VLOOKUP(G1020,Proyectos!$E$1:$N$4,10,0),"")</f>
        <v>#NAME?</v>
      </c>
      <c r="M1019" s="32"/>
      <c r="N1019" s="32"/>
      <c r="O1019" s="31"/>
      <c r="P1019" s="33"/>
      <c r="Q1019" s="33"/>
    </row>
    <row r="1020" spans="1:17" ht="16.5" customHeight="1" x14ac:dyDescent="0.2">
      <c r="A1020" s="26" t="s">
        <v>4928</v>
      </c>
      <c r="B1020" s="26" t="s">
        <v>4929</v>
      </c>
      <c r="C1020" s="26" t="s">
        <v>98</v>
      </c>
      <c r="D1020" s="26" t="s">
        <v>107</v>
      </c>
      <c r="E1020" s="26" t="s">
        <v>87</v>
      </c>
      <c r="F1020" s="28" t="e">
        <f ca="1">_xludf.ifna(VLOOKUP(G1021,Proyectos!$E$1:$H$4,4,0),"")</f>
        <v>#NAME?</v>
      </c>
      <c r="G1020" s="26" t="s">
        <v>5329</v>
      </c>
      <c r="H1020" s="32">
        <v>1</v>
      </c>
      <c r="I1020" s="31" t="s">
        <v>18</v>
      </c>
      <c r="J1020" s="32"/>
      <c r="K1020" s="32" t="str">
        <f t="shared" si="3"/>
        <v>Externo</v>
      </c>
      <c r="L1020" s="32" t="e">
        <f ca="1">_xludf.ifna(VLOOKUP(G1021,Proyectos!$E$1:$N$4,10,0),"")</f>
        <v>#NAME?</v>
      </c>
      <c r="M1020" s="32"/>
      <c r="N1020" s="32"/>
      <c r="O1020" s="31"/>
      <c r="P1020" s="33"/>
      <c r="Q1020" s="33"/>
    </row>
    <row r="1021" spans="1:17" ht="16.5" customHeight="1" x14ac:dyDescent="0.2">
      <c r="A1021" s="35" t="s">
        <v>5834</v>
      </c>
      <c r="B1021" s="26" t="s">
        <v>5835</v>
      </c>
      <c r="C1021" s="26" t="s">
        <v>64</v>
      </c>
      <c r="D1021" s="26" t="s">
        <v>82</v>
      </c>
      <c r="E1021" s="35" t="s">
        <v>126</v>
      </c>
      <c r="F1021" s="28" t="e">
        <f ca="1">_xludf.ifna(VLOOKUP(G1022,Proyectos!$E$1:$H$4,4,0),"")</f>
        <v>#NAME?</v>
      </c>
      <c r="G1021" s="26" t="s">
        <v>5387</v>
      </c>
      <c r="H1021" s="32">
        <v>1</v>
      </c>
      <c r="I1021" s="31" t="s">
        <v>18</v>
      </c>
      <c r="J1021" s="32"/>
      <c r="K1021" s="32" t="str">
        <f t="shared" si="3"/>
        <v>Externo</v>
      </c>
      <c r="L1021" s="32" t="e">
        <f ca="1">_xludf.ifna(VLOOKUP(G1022,Proyectos!$E$1:$N$4,10,0),"")</f>
        <v>#NAME?</v>
      </c>
      <c r="M1021" s="32"/>
      <c r="N1021" s="32"/>
      <c r="O1021" s="31"/>
      <c r="P1021" s="33"/>
      <c r="Q1021" s="33"/>
    </row>
    <row r="1022" spans="1:17" ht="16.5" customHeight="1" x14ac:dyDescent="0.2">
      <c r="A1022" s="26" t="s">
        <v>4368</v>
      </c>
      <c r="B1022" s="26" t="s">
        <v>5141</v>
      </c>
      <c r="C1022" s="26" t="s">
        <v>98</v>
      </c>
      <c r="D1022" s="26" t="s">
        <v>99</v>
      </c>
      <c r="E1022" s="26" t="s">
        <v>129</v>
      </c>
      <c r="F1022" s="28" t="e">
        <f ca="1">_xludf.ifna(VLOOKUP(G1023,Proyectos!$E$1:$H$4,4,0),"")</f>
        <v>#NAME?</v>
      </c>
      <c r="G1022" s="26" t="s">
        <v>5597</v>
      </c>
      <c r="H1022" s="32">
        <v>1</v>
      </c>
      <c r="I1022" s="31" t="s">
        <v>18</v>
      </c>
      <c r="J1022" s="31" t="s">
        <v>5784</v>
      </c>
      <c r="K1022" s="32" t="str">
        <f t="shared" ref="K1022:K1276" si="4">IF(E1022="BBVA","Interno","Externo")</f>
        <v>Externo</v>
      </c>
      <c r="L1022" s="32" t="e">
        <f ca="1">_xludf.ifna(VLOOKUP(G1023,Proyectos!$E$1:$N$4,10,0),"")</f>
        <v>#NAME?</v>
      </c>
      <c r="M1022" s="32"/>
      <c r="N1022" s="32"/>
      <c r="O1022" s="31"/>
      <c r="P1022" s="33"/>
      <c r="Q1022" s="33"/>
    </row>
    <row r="1023" spans="1:17" ht="16.5" customHeight="1" x14ac:dyDescent="0.2">
      <c r="A1023" s="26" t="s">
        <v>4452</v>
      </c>
      <c r="B1023" s="26" t="s">
        <v>5290</v>
      </c>
      <c r="C1023" s="53" t="s">
        <v>64</v>
      </c>
      <c r="D1023" s="26" t="s">
        <v>92</v>
      </c>
      <c r="E1023" s="26" t="s">
        <v>100</v>
      </c>
      <c r="F1023" s="28" t="e">
        <f ca="1">_xludf.ifna(VLOOKUP(G1024,Proyectos!$E$1:$H$4,4,0),"")</f>
        <v>#NAME?</v>
      </c>
      <c r="G1023" s="26" t="s">
        <v>5217</v>
      </c>
      <c r="H1023" s="32">
        <v>1</v>
      </c>
      <c r="I1023" s="31" t="s">
        <v>18</v>
      </c>
      <c r="J1023" s="32"/>
      <c r="K1023" s="32" t="str">
        <f t="shared" si="4"/>
        <v>Externo</v>
      </c>
      <c r="L1023" s="32" t="e">
        <f ca="1">_xludf.ifna(VLOOKUP(G1024,Proyectos!$E$1:$N$4,10,0),"")</f>
        <v>#NAME?</v>
      </c>
      <c r="M1023" s="32"/>
      <c r="N1023" s="32"/>
      <c r="O1023" s="31"/>
      <c r="P1023" s="33"/>
      <c r="Q1023" s="33"/>
    </row>
    <row r="1024" spans="1:17" ht="16.5" customHeight="1" x14ac:dyDescent="0.2">
      <c r="A1024" s="26" t="s">
        <v>4875</v>
      </c>
      <c r="B1024" s="26" t="s">
        <v>5165</v>
      </c>
      <c r="C1024" s="35" t="s">
        <v>7</v>
      </c>
      <c r="D1024" s="35" t="s">
        <v>30</v>
      </c>
      <c r="E1024" s="35" t="s">
        <v>129</v>
      </c>
      <c r="F1024" s="28" t="e">
        <f ca="1">_xludf.ifna(VLOOKUP(G1025,Proyectos!$E$1:$H$4,4,0),"")</f>
        <v>#NAME?</v>
      </c>
      <c r="G1024" s="35" t="s">
        <v>5153</v>
      </c>
      <c r="H1024" s="55">
        <v>1</v>
      </c>
      <c r="I1024" s="31" t="s">
        <v>18</v>
      </c>
      <c r="J1024" s="55"/>
      <c r="K1024" s="32" t="str">
        <f t="shared" si="4"/>
        <v>Externo</v>
      </c>
      <c r="L1024" s="32" t="e">
        <f ca="1">_xludf.ifna(VLOOKUP(G1025,Proyectos!$E$1:$N$4,10,0),"")</f>
        <v>#NAME?</v>
      </c>
      <c r="M1024" s="32"/>
      <c r="N1024" s="31"/>
      <c r="O1024" s="31"/>
      <c r="P1024" s="33"/>
      <c r="Q1024" s="33"/>
    </row>
    <row r="1025" spans="1:17" ht="16.5" customHeight="1" x14ac:dyDescent="0.2">
      <c r="A1025" s="26" t="s">
        <v>4697</v>
      </c>
      <c r="B1025" s="26" t="s">
        <v>4698</v>
      </c>
      <c r="C1025" s="26" t="s">
        <v>98</v>
      </c>
      <c r="D1025" s="26" t="s">
        <v>105</v>
      </c>
      <c r="E1025" s="26" t="s">
        <v>39</v>
      </c>
      <c r="F1025" s="28" t="e">
        <f ca="1">_xludf.ifna(VLOOKUP(G1026,Proyectos!$E$1:$H$4,4,0),"")</f>
        <v>#NAME?</v>
      </c>
      <c r="G1025" s="26" t="s">
        <v>5597</v>
      </c>
      <c r="H1025" s="32">
        <v>1</v>
      </c>
      <c r="I1025" s="31" t="s">
        <v>18</v>
      </c>
      <c r="J1025" s="32"/>
      <c r="K1025" s="32" t="str">
        <f t="shared" si="4"/>
        <v>Interno</v>
      </c>
      <c r="L1025" s="32" t="e">
        <f ca="1">_xludf.ifna(VLOOKUP(G1026,Proyectos!$E$1:$N$4,10,0),"")</f>
        <v>#NAME?</v>
      </c>
      <c r="M1025" s="32"/>
      <c r="N1025" s="32"/>
      <c r="O1025" s="31"/>
      <c r="P1025" s="33"/>
      <c r="Q1025" s="33"/>
    </row>
    <row r="1026" spans="1:17" ht="16.5" customHeight="1" x14ac:dyDescent="0.2">
      <c r="A1026" s="26" t="s">
        <v>5836</v>
      </c>
      <c r="B1026" s="26" t="s">
        <v>5837</v>
      </c>
      <c r="C1026" s="26" t="s">
        <v>64</v>
      </c>
      <c r="D1026" s="26" t="s">
        <v>82</v>
      </c>
      <c r="E1026" s="26" t="s">
        <v>39</v>
      </c>
      <c r="F1026" s="28" t="e">
        <f ca="1">_xludf.ifna(VLOOKUP(G1027,Proyectos!$E$1:$H$4,4,0),"")</f>
        <v>#NAME?</v>
      </c>
      <c r="G1026" s="26" t="s">
        <v>5387</v>
      </c>
      <c r="H1026" s="32">
        <v>1</v>
      </c>
      <c r="I1026" s="31" t="s">
        <v>25</v>
      </c>
      <c r="J1026" s="32"/>
      <c r="K1026" s="32" t="str">
        <f t="shared" si="4"/>
        <v>Interno</v>
      </c>
      <c r="L1026" s="32" t="e">
        <f ca="1">_xludf.ifna(VLOOKUP(G1027,Proyectos!$E$1:$N$4,10,0),"")</f>
        <v>#NAME?</v>
      </c>
      <c r="M1026" s="32"/>
      <c r="N1026" s="32"/>
      <c r="O1026" s="31"/>
      <c r="P1026" s="33"/>
      <c r="Q1026" s="33"/>
    </row>
    <row r="1027" spans="1:17" ht="16.5" customHeight="1" x14ac:dyDescent="0.2">
      <c r="A1027" s="26" t="s">
        <v>4759</v>
      </c>
      <c r="B1027" s="26" t="s">
        <v>5838</v>
      </c>
      <c r="C1027" s="26" t="s">
        <v>7</v>
      </c>
      <c r="D1027" s="26" t="s">
        <v>16</v>
      </c>
      <c r="E1027" s="26" t="s">
        <v>39</v>
      </c>
      <c r="F1027" s="28" t="e">
        <f ca="1">_xludf.ifna(VLOOKUP(G1028,Proyectos!$E$1:$H$4,4,0),"")</f>
        <v>#NAME?</v>
      </c>
      <c r="G1027" s="26" t="s">
        <v>5597</v>
      </c>
      <c r="H1027" s="65">
        <v>1</v>
      </c>
      <c r="I1027" s="31" t="s">
        <v>18</v>
      </c>
      <c r="J1027" s="32"/>
      <c r="K1027" s="32" t="str">
        <f t="shared" si="4"/>
        <v>Interno</v>
      </c>
      <c r="L1027" s="32" t="e">
        <f ca="1">_xludf.ifna(VLOOKUP(G1028,Proyectos!$E$1:$N$4,10,0),"")</f>
        <v>#NAME?</v>
      </c>
      <c r="M1027" s="32"/>
      <c r="N1027" s="31"/>
      <c r="O1027" s="31"/>
      <c r="P1027" s="33"/>
      <c r="Q1027" s="33"/>
    </row>
    <row r="1028" spans="1:17" ht="16.5" customHeight="1" x14ac:dyDescent="0.2">
      <c r="A1028" s="26" t="s">
        <v>3380</v>
      </c>
      <c r="B1028" s="26" t="s">
        <v>3381</v>
      </c>
      <c r="C1028" s="26" t="s">
        <v>98</v>
      </c>
      <c r="D1028" s="26" t="s">
        <v>110</v>
      </c>
      <c r="E1028" s="26" t="s">
        <v>39</v>
      </c>
      <c r="F1028" s="28" t="e">
        <f ca="1">_xludf.ifna(VLOOKUP(G1029,Proyectos!$E$1:$H$4,4,0),"")</f>
        <v>#NAME?</v>
      </c>
      <c r="G1028" s="26" t="s">
        <v>5243</v>
      </c>
      <c r="H1028" s="32">
        <v>0.75</v>
      </c>
      <c r="I1028" s="31" t="s">
        <v>11</v>
      </c>
      <c r="J1028" s="32"/>
      <c r="K1028" s="32" t="str">
        <f t="shared" si="4"/>
        <v>Interno</v>
      </c>
      <c r="L1028" s="32" t="e">
        <f ca="1">_xludf.ifna(VLOOKUP(G1029,Proyectos!$E$1:$N$4,10,0),"")</f>
        <v>#NAME?</v>
      </c>
      <c r="M1028" s="32"/>
      <c r="N1028" s="32"/>
      <c r="O1028" s="31"/>
      <c r="P1028" s="33"/>
      <c r="Q1028" s="33"/>
    </row>
    <row r="1029" spans="1:17" ht="16.5" customHeight="1" x14ac:dyDescent="0.2">
      <c r="A1029" s="26" t="s">
        <v>3380</v>
      </c>
      <c r="B1029" s="26" t="s">
        <v>3381</v>
      </c>
      <c r="C1029" s="26" t="s">
        <v>98</v>
      </c>
      <c r="D1029" s="26" t="s">
        <v>110</v>
      </c>
      <c r="E1029" s="26" t="s">
        <v>39</v>
      </c>
      <c r="F1029" s="28" t="e">
        <f ca="1">_xludf.ifna(VLOOKUP(G1030,Proyectos!$E$1:$H$4,4,0),"")</f>
        <v>#NAME?</v>
      </c>
      <c r="G1029" s="26" t="s">
        <v>5246</v>
      </c>
      <c r="H1029" s="32">
        <v>0.25</v>
      </c>
      <c r="I1029" s="31" t="s">
        <v>11</v>
      </c>
      <c r="J1029" s="32"/>
      <c r="K1029" s="32" t="str">
        <f t="shared" si="4"/>
        <v>Interno</v>
      </c>
      <c r="L1029" s="32" t="e">
        <f ca="1">_xludf.ifna(VLOOKUP(G1030,Proyectos!$E$1:$N$4,10,0),"")</f>
        <v>#NAME?</v>
      </c>
      <c r="M1029" s="32"/>
      <c r="N1029" s="32"/>
      <c r="O1029" s="31"/>
      <c r="P1029" s="33"/>
      <c r="Q1029" s="33"/>
    </row>
    <row r="1030" spans="1:17" ht="16.5" customHeight="1" x14ac:dyDescent="0.2">
      <c r="A1030" s="26" t="s">
        <v>3719</v>
      </c>
      <c r="B1030" s="26" t="s">
        <v>5839</v>
      </c>
      <c r="C1030" s="26" t="s">
        <v>64</v>
      </c>
      <c r="D1030" s="26" t="s">
        <v>86</v>
      </c>
      <c r="E1030" s="26" t="s">
        <v>39</v>
      </c>
      <c r="F1030" s="28" t="e">
        <f ca="1">_xludf.ifna(VLOOKUP(G1031,Proyectos!$E$1:$H$4,4,0),"")</f>
        <v>#NAME?</v>
      </c>
      <c r="G1030" s="26" t="s">
        <v>5131</v>
      </c>
      <c r="H1030" s="30">
        <v>1</v>
      </c>
      <c r="I1030" s="31" t="s">
        <v>18</v>
      </c>
      <c r="J1030" s="32"/>
      <c r="K1030" s="32" t="str">
        <f t="shared" si="4"/>
        <v>Interno</v>
      </c>
      <c r="L1030" s="32" t="e">
        <f ca="1">_xludf.ifna(VLOOKUP(G1031,Proyectos!$E$1:$N$4,10,0),"")</f>
        <v>#NAME?</v>
      </c>
      <c r="M1030" s="32"/>
      <c r="N1030" s="32"/>
      <c r="O1030" s="31"/>
      <c r="P1030" s="33"/>
      <c r="Q1030" s="33"/>
    </row>
    <row r="1031" spans="1:17" ht="16.5" customHeight="1" x14ac:dyDescent="0.2">
      <c r="A1031" s="26" t="s">
        <v>3620</v>
      </c>
      <c r="B1031" s="26" t="s">
        <v>3621</v>
      </c>
      <c r="C1031" s="26" t="s">
        <v>64</v>
      </c>
      <c r="D1031" s="26" t="s">
        <v>70</v>
      </c>
      <c r="E1031" s="26" t="s">
        <v>39</v>
      </c>
      <c r="F1031" s="28" t="e">
        <f ca="1">_xludf.ifna(VLOOKUP(G1032,Proyectos!$E$1:$H$4,4,0),"")</f>
        <v>#NAME?</v>
      </c>
      <c r="G1031" s="26" t="s">
        <v>5597</v>
      </c>
      <c r="H1031" s="32">
        <v>0.1</v>
      </c>
      <c r="I1031" s="31" t="s">
        <v>11</v>
      </c>
      <c r="J1031" s="31"/>
      <c r="K1031" s="32" t="str">
        <f t="shared" si="4"/>
        <v>Interno</v>
      </c>
      <c r="L1031" s="32" t="e">
        <f ca="1">_xludf.ifna(VLOOKUP(G1032,Proyectos!$E$1:$N$4,10,0),"")</f>
        <v>#NAME?</v>
      </c>
      <c r="M1031" s="32"/>
      <c r="N1031" s="31"/>
      <c r="O1031" s="31"/>
      <c r="P1031" s="33"/>
      <c r="Q1031" s="33"/>
    </row>
    <row r="1032" spans="1:17" ht="16.5" customHeight="1" x14ac:dyDescent="0.2">
      <c r="A1032" s="26" t="s">
        <v>3620</v>
      </c>
      <c r="B1032" s="26" t="s">
        <v>3621</v>
      </c>
      <c r="C1032" s="26" t="s">
        <v>64</v>
      </c>
      <c r="D1032" s="26" t="s">
        <v>70</v>
      </c>
      <c r="E1032" s="26" t="s">
        <v>39</v>
      </c>
      <c r="F1032" s="28" t="e">
        <f ca="1">_xludf.ifna(VLOOKUP(G1033,Proyectos!$E$1:$H$4,4,0),"")</f>
        <v>#NAME?</v>
      </c>
      <c r="G1032" s="26" t="s">
        <v>5405</v>
      </c>
      <c r="H1032" s="32">
        <v>0.1</v>
      </c>
      <c r="I1032" s="31" t="s">
        <v>11</v>
      </c>
      <c r="J1032" s="31"/>
      <c r="K1032" s="32" t="str">
        <f t="shared" si="4"/>
        <v>Interno</v>
      </c>
      <c r="L1032" s="32" t="e">
        <f ca="1">_xludf.ifna(VLOOKUP(G1033,Proyectos!$E$1:$N$4,10,0),"")</f>
        <v>#NAME?</v>
      </c>
      <c r="M1032" s="32"/>
      <c r="N1032" s="32"/>
      <c r="O1032" s="31"/>
      <c r="P1032" s="33"/>
      <c r="Q1032" s="33"/>
    </row>
    <row r="1033" spans="1:17" ht="16.5" customHeight="1" x14ac:dyDescent="0.2">
      <c r="A1033" s="26" t="s">
        <v>3620</v>
      </c>
      <c r="B1033" s="26" t="s">
        <v>3621</v>
      </c>
      <c r="C1033" s="26" t="s">
        <v>64</v>
      </c>
      <c r="D1033" s="26" t="s">
        <v>70</v>
      </c>
      <c r="E1033" s="26" t="s">
        <v>39</v>
      </c>
      <c r="F1033" s="28" t="e">
        <f ca="1">_xludf.ifna(VLOOKUP(G1034,Proyectos!$E$1:$H$4,4,0),"")</f>
        <v>#NAME?</v>
      </c>
      <c r="G1033" s="26" t="s">
        <v>5647</v>
      </c>
      <c r="H1033" s="32">
        <v>0.1</v>
      </c>
      <c r="I1033" s="31" t="s">
        <v>11</v>
      </c>
      <c r="J1033" s="31"/>
      <c r="K1033" s="32" t="str">
        <f t="shared" si="4"/>
        <v>Interno</v>
      </c>
      <c r="L1033" s="32" t="e">
        <f ca="1">_xludf.ifna(VLOOKUP(G1034,Proyectos!$E$1:$N$4,10,0),"")</f>
        <v>#NAME?</v>
      </c>
      <c r="M1033" s="32"/>
      <c r="N1033" s="31"/>
      <c r="O1033" s="31"/>
      <c r="P1033" s="33"/>
      <c r="Q1033" s="33"/>
    </row>
    <row r="1034" spans="1:17" ht="16.5" customHeight="1" x14ac:dyDescent="0.2">
      <c r="A1034" s="26" t="s">
        <v>3620</v>
      </c>
      <c r="B1034" s="26" t="s">
        <v>3621</v>
      </c>
      <c r="C1034" s="26" t="s">
        <v>64</v>
      </c>
      <c r="D1034" s="26" t="s">
        <v>70</v>
      </c>
      <c r="E1034" s="26" t="s">
        <v>39</v>
      </c>
      <c r="F1034" s="28" t="e">
        <f ca="1">_xludf.ifna(VLOOKUP(G1035,Proyectos!$E$1:$H$4,4,0),"")</f>
        <v>#NAME?</v>
      </c>
      <c r="G1034" s="26" t="s">
        <v>5402</v>
      </c>
      <c r="H1034" s="32">
        <v>0.1</v>
      </c>
      <c r="I1034" s="31" t="s">
        <v>11</v>
      </c>
      <c r="J1034" s="31"/>
      <c r="K1034" s="32" t="str">
        <f t="shared" si="4"/>
        <v>Interno</v>
      </c>
      <c r="L1034" s="32" t="e">
        <f ca="1">_xludf.ifna(VLOOKUP(G1035,Proyectos!$E$1:$N$4,10,0),"")</f>
        <v>#NAME?</v>
      </c>
      <c r="M1034" s="32"/>
      <c r="N1034" s="32"/>
      <c r="O1034" s="31"/>
      <c r="P1034" s="33"/>
      <c r="Q1034" s="33"/>
    </row>
    <row r="1035" spans="1:17" ht="16.5" customHeight="1" x14ac:dyDescent="0.2">
      <c r="A1035" s="26" t="s">
        <v>3620</v>
      </c>
      <c r="B1035" s="26" t="s">
        <v>3621</v>
      </c>
      <c r="C1035" s="26" t="s">
        <v>64</v>
      </c>
      <c r="D1035" s="26" t="s">
        <v>70</v>
      </c>
      <c r="E1035" s="26" t="s">
        <v>39</v>
      </c>
      <c r="F1035" s="28" t="e">
        <f ca="1">_xludf.ifna(VLOOKUP(G1036,Proyectos!$E$1:$H$4,4,0),"")</f>
        <v>#NAME?</v>
      </c>
      <c r="G1035" s="26" t="s">
        <v>5617</v>
      </c>
      <c r="H1035" s="32">
        <v>0.1</v>
      </c>
      <c r="I1035" s="31" t="s">
        <v>11</v>
      </c>
      <c r="J1035" s="31"/>
      <c r="K1035" s="32" t="str">
        <f t="shared" si="4"/>
        <v>Interno</v>
      </c>
      <c r="L1035" s="32" t="e">
        <f ca="1">_xludf.ifna(VLOOKUP(G1036,Proyectos!$E$1:$N$4,10,0),"")</f>
        <v>#NAME?</v>
      </c>
      <c r="M1035" s="32"/>
      <c r="N1035" s="32"/>
      <c r="O1035" s="31"/>
      <c r="P1035" s="33"/>
      <c r="Q1035" s="33"/>
    </row>
    <row r="1036" spans="1:17" ht="16.5" customHeight="1" x14ac:dyDescent="0.2">
      <c r="A1036" s="26" t="s">
        <v>3620</v>
      </c>
      <c r="B1036" s="26" t="s">
        <v>3621</v>
      </c>
      <c r="C1036" s="26" t="s">
        <v>64</v>
      </c>
      <c r="D1036" s="26" t="s">
        <v>70</v>
      </c>
      <c r="E1036" s="26" t="s">
        <v>39</v>
      </c>
      <c r="F1036" s="28" t="e">
        <f ca="1">_xludf.ifna(VLOOKUP(G1037,Proyectos!$E$1:$H$4,4,0),"")</f>
        <v>#NAME?</v>
      </c>
      <c r="G1036" s="26" t="s">
        <v>5403</v>
      </c>
      <c r="H1036" s="32">
        <v>0.1</v>
      </c>
      <c r="I1036" s="31" t="s">
        <v>11</v>
      </c>
      <c r="J1036" s="31"/>
      <c r="K1036" s="32" t="str">
        <f t="shared" si="4"/>
        <v>Interno</v>
      </c>
      <c r="L1036" s="32" t="e">
        <f ca="1">_xludf.ifna(VLOOKUP(G1037,Proyectos!$E$1:$N$4,10,0),"")</f>
        <v>#NAME?</v>
      </c>
      <c r="M1036" s="32"/>
      <c r="N1036" s="32"/>
      <c r="O1036" s="31"/>
      <c r="P1036" s="33"/>
      <c r="Q1036" s="33"/>
    </row>
    <row r="1037" spans="1:17" ht="16.5" customHeight="1" x14ac:dyDescent="0.2">
      <c r="A1037" s="26" t="s">
        <v>3620</v>
      </c>
      <c r="B1037" s="26" t="s">
        <v>3621</v>
      </c>
      <c r="C1037" s="26" t="s">
        <v>64</v>
      </c>
      <c r="D1037" s="26" t="s">
        <v>70</v>
      </c>
      <c r="E1037" s="26" t="s">
        <v>39</v>
      </c>
      <c r="F1037" s="28" t="e">
        <f ca="1">_xludf.ifna(VLOOKUP(G1038,Proyectos!$E$1:$H$4,4,0),"")</f>
        <v>#NAME?</v>
      </c>
      <c r="G1037" s="26" t="s">
        <v>5401</v>
      </c>
      <c r="H1037" s="32">
        <v>0.1</v>
      </c>
      <c r="I1037" s="31" t="s">
        <v>11</v>
      </c>
      <c r="J1037" s="31"/>
      <c r="K1037" s="32" t="str">
        <f t="shared" si="4"/>
        <v>Interno</v>
      </c>
      <c r="L1037" s="32" t="e">
        <f ca="1">_xludf.ifna(VLOOKUP(G1038,Proyectos!$E$1:$N$4,10,0),"")</f>
        <v>#NAME?</v>
      </c>
      <c r="M1037" s="32"/>
      <c r="N1037" s="32"/>
      <c r="O1037" s="31"/>
      <c r="P1037" s="33"/>
      <c r="Q1037" s="33"/>
    </row>
    <row r="1038" spans="1:17" ht="16.5" customHeight="1" x14ac:dyDescent="0.2">
      <c r="A1038" s="26" t="s">
        <v>3620</v>
      </c>
      <c r="B1038" s="26" t="s">
        <v>3621</v>
      </c>
      <c r="C1038" s="26" t="s">
        <v>64</v>
      </c>
      <c r="D1038" s="26" t="s">
        <v>74</v>
      </c>
      <c r="E1038" s="26" t="s">
        <v>39</v>
      </c>
      <c r="F1038" s="28" t="e">
        <f ca="1">_xludf.ifna(VLOOKUP(G1039,Proyectos!$E$1:$H$4,4,0),"")</f>
        <v>#NAME?</v>
      </c>
      <c r="G1038" s="26" t="s">
        <v>5597</v>
      </c>
      <c r="H1038" s="32">
        <v>0.1</v>
      </c>
      <c r="I1038" s="31" t="s">
        <v>11</v>
      </c>
      <c r="J1038" s="31"/>
      <c r="K1038" s="32" t="str">
        <f t="shared" si="4"/>
        <v>Interno</v>
      </c>
      <c r="L1038" s="32" t="e">
        <f ca="1">_xludf.ifna(VLOOKUP(G1039,Proyectos!$E$1:$N$4,10,0),"")</f>
        <v>#NAME?</v>
      </c>
      <c r="M1038" s="32"/>
      <c r="N1038" s="31"/>
      <c r="O1038" s="31"/>
      <c r="P1038" s="33"/>
      <c r="Q1038" s="33"/>
    </row>
    <row r="1039" spans="1:17" ht="16.5" customHeight="1" x14ac:dyDescent="0.2">
      <c r="A1039" s="26" t="s">
        <v>3620</v>
      </c>
      <c r="B1039" s="26" t="s">
        <v>3621</v>
      </c>
      <c r="C1039" s="26" t="s">
        <v>64</v>
      </c>
      <c r="D1039" s="26" t="s">
        <v>74</v>
      </c>
      <c r="E1039" s="26" t="s">
        <v>39</v>
      </c>
      <c r="F1039" s="28" t="e">
        <f ca="1">_xludf.ifna(VLOOKUP(G1040,Proyectos!$E$1:$H$4,4,0),"")</f>
        <v>#NAME?</v>
      </c>
      <c r="G1039" s="26" t="s">
        <v>5648</v>
      </c>
      <c r="H1039" s="32">
        <v>0.1</v>
      </c>
      <c r="I1039" s="31" t="s">
        <v>11</v>
      </c>
      <c r="J1039" s="31"/>
      <c r="K1039" s="32" t="str">
        <f t="shared" si="4"/>
        <v>Interno</v>
      </c>
      <c r="L1039" s="32" t="e">
        <f ca="1">_xludf.ifna(VLOOKUP(G1040,Proyectos!$E$1:$N$4,10,0),"")</f>
        <v>#NAME?</v>
      </c>
      <c r="M1039" s="32"/>
      <c r="N1039" s="32"/>
      <c r="O1039" s="31"/>
      <c r="P1039" s="33"/>
      <c r="Q1039" s="33"/>
    </row>
    <row r="1040" spans="1:17" ht="16.5" customHeight="1" x14ac:dyDescent="0.2">
      <c r="A1040" s="26" t="s">
        <v>3620</v>
      </c>
      <c r="B1040" s="26" t="s">
        <v>3621</v>
      </c>
      <c r="C1040" s="26" t="s">
        <v>64</v>
      </c>
      <c r="D1040" s="26" t="s">
        <v>74</v>
      </c>
      <c r="E1040" s="26" t="s">
        <v>39</v>
      </c>
      <c r="F1040" s="28" t="e">
        <f ca="1">_xludf.ifna(VLOOKUP(G1041,Proyectos!$E$1:$H$4,4,0),"")</f>
        <v>#NAME?</v>
      </c>
      <c r="G1040" s="26" t="s">
        <v>5198</v>
      </c>
      <c r="H1040" s="32">
        <v>0.1</v>
      </c>
      <c r="I1040" s="31" t="s">
        <v>11</v>
      </c>
      <c r="J1040" s="31"/>
      <c r="K1040" s="32" t="str">
        <f t="shared" si="4"/>
        <v>Interno</v>
      </c>
      <c r="L1040" s="32" t="e">
        <f ca="1">_xludf.ifna(VLOOKUP(G1041,Proyectos!$E$1:$N$4,10,0),"")</f>
        <v>#NAME?</v>
      </c>
      <c r="M1040" s="32"/>
      <c r="N1040" s="31"/>
      <c r="O1040" s="31"/>
      <c r="P1040" s="33"/>
      <c r="Q1040" s="33"/>
    </row>
    <row r="1041" spans="1:17" ht="16.5" customHeight="1" x14ac:dyDescent="0.2">
      <c r="A1041" s="26" t="s">
        <v>4952</v>
      </c>
      <c r="B1041" s="26" t="s">
        <v>5840</v>
      </c>
      <c r="C1041" s="26" t="s">
        <v>64</v>
      </c>
      <c r="D1041" s="26" t="s">
        <v>86</v>
      </c>
      <c r="E1041" s="26" t="s">
        <v>83</v>
      </c>
      <c r="F1041" s="28" t="e">
        <f ca="1">_xludf.ifna(VLOOKUP(G1042,Proyectos!$E$1:$H$4,4,0),"")</f>
        <v>#NAME?</v>
      </c>
      <c r="G1041" s="26" t="s">
        <v>5463</v>
      </c>
      <c r="H1041" s="30">
        <v>1</v>
      </c>
      <c r="I1041" s="31" t="s">
        <v>25</v>
      </c>
      <c r="J1041" s="32"/>
      <c r="K1041" s="32" t="str">
        <f t="shared" si="4"/>
        <v>Externo</v>
      </c>
      <c r="L1041" s="32" t="e">
        <f ca="1">_xludf.ifna(VLOOKUP(G1042,Proyectos!$E$1:$N$4,10,0),"")</f>
        <v>#NAME?</v>
      </c>
      <c r="M1041" s="32"/>
      <c r="N1041" s="32"/>
      <c r="O1041" s="31"/>
      <c r="P1041" s="33"/>
      <c r="Q1041" s="33"/>
    </row>
    <row r="1042" spans="1:17" ht="16.5" customHeight="1" x14ac:dyDescent="0.2">
      <c r="A1042" s="4" t="s">
        <v>4157</v>
      </c>
      <c r="B1042" s="26" t="s">
        <v>4158</v>
      </c>
      <c r="C1042" s="26" t="s">
        <v>115</v>
      </c>
      <c r="D1042" s="26" t="s">
        <v>119</v>
      </c>
      <c r="E1042" s="26" t="s">
        <v>114</v>
      </c>
      <c r="F1042" s="28" t="e">
        <f ca="1">_xludf.ifna(VLOOKUP(G1043,Proyectos!$E$1:$H$4,4,0),"")</f>
        <v>#NAME?</v>
      </c>
      <c r="G1042" s="26" t="s">
        <v>5597</v>
      </c>
      <c r="H1042" s="32">
        <v>1</v>
      </c>
      <c r="I1042" s="31" t="s">
        <v>25</v>
      </c>
      <c r="J1042" s="31" t="s">
        <v>5841</v>
      </c>
      <c r="K1042" s="32" t="str">
        <f t="shared" si="4"/>
        <v>Externo</v>
      </c>
      <c r="L1042" s="32" t="e">
        <f ca="1">_xludf.ifna(VLOOKUP(G1043,Proyectos!$E$1:$N$4,10,0),"")</f>
        <v>#NAME?</v>
      </c>
      <c r="M1042" s="32"/>
      <c r="N1042" s="31"/>
      <c r="O1042" s="31"/>
      <c r="P1042" s="33"/>
      <c r="Q1042" s="33"/>
    </row>
    <row r="1043" spans="1:17" ht="16.5" customHeight="1" x14ac:dyDescent="0.2">
      <c r="A1043" s="26" t="s">
        <v>4619</v>
      </c>
      <c r="B1043" s="26" t="s">
        <v>4620</v>
      </c>
      <c r="C1043" s="26" t="s">
        <v>115</v>
      </c>
      <c r="D1043" s="26" t="s">
        <v>116</v>
      </c>
      <c r="E1043" s="26" t="s">
        <v>39</v>
      </c>
      <c r="F1043" s="28" t="e">
        <f ca="1">_xludf.ifna(VLOOKUP(G1044,Proyectos!$E$1:$H$4,4,0),"")</f>
        <v>#NAME?</v>
      </c>
      <c r="G1043" s="26" t="s">
        <v>5470</v>
      </c>
      <c r="H1043" s="32">
        <v>0.1</v>
      </c>
      <c r="I1043" s="31" t="s">
        <v>25</v>
      </c>
      <c r="J1043" s="32"/>
      <c r="K1043" s="32" t="str">
        <f t="shared" si="4"/>
        <v>Interno</v>
      </c>
      <c r="L1043" s="32" t="e">
        <f ca="1">_xludf.ifna(VLOOKUP(G1044,Proyectos!$E$1:$N$4,10,0),"")</f>
        <v>#NAME?</v>
      </c>
      <c r="M1043" s="32"/>
      <c r="N1043" s="32"/>
      <c r="O1043" s="31"/>
      <c r="P1043" s="33"/>
      <c r="Q1043" s="33"/>
    </row>
    <row r="1044" spans="1:17" ht="16.5" customHeight="1" x14ac:dyDescent="0.2">
      <c r="A1044" s="26" t="s">
        <v>4619</v>
      </c>
      <c r="B1044" s="26" t="s">
        <v>4620</v>
      </c>
      <c r="C1044" s="26" t="s">
        <v>115</v>
      </c>
      <c r="D1044" s="26" t="s">
        <v>116</v>
      </c>
      <c r="E1044" s="26" t="s">
        <v>39</v>
      </c>
      <c r="F1044" s="28" t="e">
        <f ca="1">_xludf.ifna(VLOOKUP(G1045,Proyectos!$E$1:$H$4,4,0),"")</f>
        <v>#NAME?</v>
      </c>
      <c r="G1044" s="26" t="s">
        <v>5235</v>
      </c>
      <c r="H1044" s="32">
        <v>0.3</v>
      </c>
      <c r="I1044" s="31" t="s">
        <v>11</v>
      </c>
      <c r="J1044" s="32"/>
      <c r="K1044" s="32" t="str">
        <f t="shared" si="4"/>
        <v>Interno</v>
      </c>
      <c r="L1044" s="32" t="e">
        <f ca="1">_xludf.ifna(VLOOKUP(G1045,Proyectos!$E$1:$N$4,10,0),"")</f>
        <v>#NAME?</v>
      </c>
      <c r="M1044" s="32"/>
      <c r="N1044" s="32"/>
      <c r="O1044" s="31"/>
      <c r="P1044" s="33"/>
      <c r="Q1044" s="33"/>
    </row>
    <row r="1045" spans="1:17" ht="12.75" x14ac:dyDescent="0.2">
      <c r="A1045" s="26" t="s">
        <v>4619</v>
      </c>
      <c r="B1045" s="26" t="s">
        <v>4620</v>
      </c>
      <c r="C1045" s="26" t="s">
        <v>115</v>
      </c>
      <c r="D1045" s="26" t="s">
        <v>116</v>
      </c>
      <c r="E1045" s="26" t="s">
        <v>39</v>
      </c>
      <c r="F1045" s="28" t="e">
        <f ca="1">_xludf.ifna(VLOOKUP(G1046,Proyectos!$E$1:$H$4,4,0),"")</f>
        <v>#NAME?</v>
      </c>
      <c r="G1045" s="26" t="s">
        <v>5237</v>
      </c>
      <c r="H1045" s="32">
        <v>0.1</v>
      </c>
      <c r="I1045" s="31" t="s">
        <v>11</v>
      </c>
      <c r="J1045" s="32"/>
      <c r="K1045" s="32" t="str">
        <f t="shared" si="4"/>
        <v>Interno</v>
      </c>
      <c r="L1045" s="32" t="e">
        <f ca="1">_xludf.ifna(VLOOKUP(G1046,Proyectos!$E$1:$N$4,10,0),"")</f>
        <v>#NAME?</v>
      </c>
      <c r="M1045" s="32"/>
      <c r="N1045" s="32"/>
      <c r="O1045" s="31"/>
      <c r="P1045" s="33"/>
      <c r="Q1045" s="33"/>
    </row>
    <row r="1046" spans="1:17" ht="16.5" customHeight="1" x14ac:dyDescent="0.2">
      <c r="A1046" s="26" t="s">
        <v>4619</v>
      </c>
      <c r="B1046" s="26" t="s">
        <v>4620</v>
      </c>
      <c r="C1046" s="26" t="s">
        <v>115</v>
      </c>
      <c r="D1046" s="26" t="s">
        <v>116</v>
      </c>
      <c r="E1046" s="26" t="s">
        <v>39</v>
      </c>
      <c r="F1046" s="28" t="e">
        <f ca="1">_xludf.ifna(VLOOKUP(G1047,Proyectos!$E$1:$H$4,4,0),"")</f>
        <v>#NAME?</v>
      </c>
      <c r="G1046" s="26" t="s">
        <v>5479</v>
      </c>
      <c r="H1046" s="32">
        <v>0.05</v>
      </c>
      <c r="I1046" s="31" t="s">
        <v>11</v>
      </c>
      <c r="J1046" s="32"/>
      <c r="K1046" s="32" t="str">
        <f t="shared" si="4"/>
        <v>Interno</v>
      </c>
      <c r="L1046" s="32" t="e">
        <f ca="1">_xludf.ifna(VLOOKUP(G1047,Proyectos!$E$1:$N$4,10,0),"")</f>
        <v>#NAME?</v>
      </c>
      <c r="M1046" s="32"/>
      <c r="N1046" s="32"/>
      <c r="O1046" s="31"/>
      <c r="P1046" s="33"/>
      <c r="Q1046" s="33"/>
    </row>
    <row r="1047" spans="1:17" ht="16.5" customHeight="1" x14ac:dyDescent="0.2">
      <c r="A1047" s="26" t="s">
        <v>4619</v>
      </c>
      <c r="B1047" s="26" t="s">
        <v>4620</v>
      </c>
      <c r="C1047" s="26" t="s">
        <v>115</v>
      </c>
      <c r="D1047" s="26" t="s">
        <v>116</v>
      </c>
      <c r="E1047" s="26" t="s">
        <v>39</v>
      </c>
      <c r="F1047" s="28" t="e">
        <f ca="1">_xludf.ifna(VLOOKUP(G1048,Proyectos!$E$1:$H$4,4,0),"")</f>
        <v>#NAME?</v>
      </c>
      <c r="G1047" s="26" t="s">
        <v>5471</v>
      </c>
      <c r="H1047" s="32">
        <v>0.05</v>
      </c>
      <c r="I1047" s="31" t="s">
        <v>11</v>
      </c>
      <c r="J1047" s="32"/>
      <c r="K1047" s="32" t="str">
        <f t="shared" si="4"/>
        <v>Interno</v>
      </c>
      <c r="L1047" s="32" t="e">
        <f ca="1">_xludf.ifna(VLOOKUP(G1048,Proyectos!$E$1:$N$4,10,0),"")</f>
        <v>#NAME?</v>
      </c>
      <c r="M1047" s="32"/>
      <c r="N1047" s="32"/>
      <c r="O1047" s="31"/>
      <c r="P1047" s="33"/>
      <c r="Q1047" s="33"/>
    </row>
    <row r="1048" spans="1:17" ht="16.5" customHeight="1" x14ac:dyDescent="0.2">
      <c r="A1048" s="26" t="s">
        <v>4619</v>
      </c>
      <c r="B1048" s="26" t="s">
        <v>4620</v>
      </c>
      <c r="C1048" s="26" t="s">
        <v>115</v>
      </c>
      <c r="D1048" s="26" t="s">
        <v>116</v>
      </c>
      <c r="E1048" s="26" t="s">
        <v>39</v>
      </c>
      <c r="F1048" s="28" t="e">
        <f ca="1">_xludf.ifna(VLOOKUP(G1049,Proyectos!$E$1:$H$4,4,0),"")</f>
        <v>#NAME?</v>
      </c>
      <c r="G1048" s="26" t="s">
        <v>5314</v>
      </c>
      <c r="H1048" s="32">
        <v>0.3</v>
      </c>
      <c r="I1048" s="31" t="s">
        <v>11</v>
      </c>
      <c r="J1048" s="32"/>
      <c r="K1048" s="32" t="str">
        <f t="shared" si="4"/>
        <v>Interno</v>
      </c>
      <c r="L1048" s="32" t="e">
        <f ca="1">_xludf.ifna(VLOOKUP(G1049,Proyectos!$E$1:$N$4,10,0),"")</f>
        <v>#NAME?</v>
      </c>
      <c r="M1048" s="32"/>
      <c r="N1048" s="32"/>
      <c r="O1048" s="31"/>
      <c r="P1048" s="33"/>
      <c r="Q1048" s="33"/>
    </row>
    <row r="1049" spans="1:17" ht="16.5" customHeight="1" x14ac:dyDescent="0.2">
      <c r="A1049" s="26" t="s">
        <v>4619</v>
      </c>
      <c r="B1049" s="26" t="s">
        <v>4620</v>
      </c>
      <c r="C1049" s="26" t="s">
        <v>115</v>
      </c>
      <c r="D1049" s="26" t="s">
        <v>116</v>
      </c>
      <c r="E1049" s="26" t="s">
        <v>39</v>
      </c>
      <c r="F1049" s="28" t="e">
        <f ca="1">_xludf.ifna(VLOOKUP(G1050,Proyectos!$E$1:$H$4,4,0),"")</f>
        <v>#NAME?</v>
      </c>
      <c r="G1049" s="26" t="s">
        <v>5597</v>
      </c>
      <c r="H1049" s="32">
        <v>0.1</v>
      </c>
      <c r="I1049" s="31" t="s">
        <v>11</v>
      </c>
      <c r="J1049" s="32"/>
      <c r="K1049" s="32" t="str">
        <f t="shared" si="4"/>
        <v>Interno</v>
      </c>
      <c r="L1049" s="32" t="e">
        <f ca="1">_xludf.ifna(VLOOKUP(G1050,Proyectos!$E$1:$N$4,10,0),"")</f>
        <v>#NAME?</v>
      </c>
      <c r="M1049" s="32"/>
      <c r="N1049" s="31"/>
      <c r="O1049" s="31"/>
      <c r="P1049" s="33"/>
      <c r="Q1049" s="33"/>
    </row>
    <row r="1050" spans="1:17" ht="16.5" customHeight="1" x14ac:dyDescent="0.2">
      <c r="A1050" s="84" t="s">
        <v>3611</v>
      </c>
      <c r="B1050" s="26" t="s">
        <v>3612</v>
      </c>
      <c r="C1050" s="26" t="s">
        <v>115</v>
      </c>
      <c r="D1050" s="26" t="s">
        <v>122</v>
      </c>
      <c r="E1050" s="26" t="s">
        <v>39</v>
      </c>
      <c r="F1050" s="28" t="e">
        <f ca="1">_xludf.ifna(VLOOKUP(G1051,Proyectos!$E$1:$H$4,4,0),"")</f>
        <v>#NAME?</v>
      </c>
      <c r="G1050" s="26" t="s">
        <v>5597</v>
      </c>
      <c r="H1050" s="32">
        <v>0.3</v>
      </c>
      <c r="I1050" s="31" t="s">
        <v>18</v>
      </c>
      <c r="J1050" s="32"/>
      <c r="K1050" s="32" t="str">
        <f t="shared" si="4"/>
        <v>Interno</v>
      </c>
      <c r="L1050" s="32" t="e">
        <f ca="1">_xludf.ifna(VLOOKUP(G1051,Proyectos!$E$1:$N$4,10,0),"")</f>
        <v>#NAME?</v>
      </c>
      <c r="M1050" s="32"/>
      <c r="N1050" s="31"/>
      <c r="O1050" s="31"/>
      <c r="P1050" s="33"/>
      <c r="Q1050" s="33"/>
    </row>
    <row r="1051" spans="1:17" ht="16.5" customHeight="1" x14ac:dyDescent="0.2">
      <c r="A1051" s="84" t="s">
        <v>3611</v>
      </c>
      <c r="B1051" s="26" t="s">
        <v>3612</v>
      </c>
      <c r="C1051" s="26" t="s">
        <v>115</v>
      </c>
      <c r="D1051" s="26" t="s">
        <v>122</v>
      </c>
      <c r="E1051" s="26" t="s">
        <v>39</v>
      </c>
      <c r="F1051" s="28" t="e">
        <f ca="1">_xludf.ifna(VLOOKUP(G1052,Proyectos!$E$1:$H$4,4,0),"")</f>
        <v>#NAME?</v>
      </c>
      <c r="G1051" s="26" t="s">
        <v>5430</v>
      </c>
      <c r="H1051" s="32">
        <v>0.7</v>
      </c>
      <c r="I1051" s="31" t="s">
        <v>18</v>
      </c>
      <c r="J1051" s="32"/>
      <c r="K1051" s="32" t="str">
        <f t="shared" si="4"/>
        <v>Interno</v>
      </c>
      <c r="L1051" s="32" t="e">
        <f ca="1">_xludf.ifna(VLOOKUP(G1052,Proyectos!$E$1:$N$4,10,0),"")</f>
        <v>#NAME?</v>
      </c>
      <c r="M1051" s="32"/>
      <c r="N1051" s="31"/>
      <c r="O1051" s="31"/>
      <c r="P1051" s="33"/>
      <c r="Q1051" s="33"/>
    </row>
    <row r="1052" spans="1:17" ht="16.5" customHeight="1" x14ac:dyDescent="0.2">
      <c r="A1052" s="26" t="s">
        <v>3609</v>
      </c>
      <c r="B1052" s="26" t="s">
        <v>3610</v>
      </c>
      <c r="C1052" s="26" t="s">
        <v>37</v>
      </c>
      <c r="D1052" s="26" t="s">
        <v>38</v>
      </c>
      <c r="E1052" s="26" t="s">
        <v>39</v>
      </c>
      <c r="F1052" s="28" t="e">
        <f ca="1">_xludf.ifna(VLOOKUP(G1053,Proyectos!$E$1:$H$4,4,0),"")</f>
        <v>#NAME?</v>
      </c>
      <c r="G1052" s="26" t="s">
        <v>5335</v>
      </c>
      <c r="H1052" s="32">
        <v>1</v>
      </c>
      <c r="I1052" s="31" t="s">
        <v>18</v>
      </c>
      <c r="J1052" s="32"/>
      <c r="K1052" s="32" t="str">
        <f t="shared" si="4"/>
        <v>Interno</v>
      </c>
      <c r="L1052" s="32" t="e">
        <f ca="1">_xludf.ifna(VLOOKUP(G1053,Proyectos!$E$1:$N$4,10,0),"")</f>
        <v>#NAME?</v>
      </c>
      <c r="M1052" s="32"/>
      <c r="N1052" s="31"/>
      <c r="O1052" s="31"/>
      <c r="P1052" s="33"/>
      <c r="Q1052" s="33"/>
    </row>
    <row r="1053" spans="1:17" ht="16.5" customHeight="1" x14ac:dyDescent="0.2">
      <c r="A1053" s="26" t="s">
        <v>4658</v>
      </c>
      <c r="B1053" s="26" t="s">
        <v>5375</v>
      </c>
      <c r="C1053" s="26" t="s">
        <v>64</v>
      </c>
      <c r="D1053" s="26" t="s">
        <v>89</v>
      </c>
      <c r="E1053" s="26" t="s">
        <v>39</v>
      </c>
      <c r="F1053" s="28" t="e">
        <f ca="1">_xludf.ifna(VLOOKUP(G1054,Proyectos!$E$1:$H$4,4,0),"")</f>
        <v>#NAME?</v>
      </c>
      <c r="G1053" s="26" t="s">
        <v>5597</v>
      </c>
      <c r="H1053" s="32">
        <v>0.2</v>
      </c>
      <c r="I1053" s="31" t="s">
        <v>11</v>
      </c>
      <c r="J1053" s="32"/>
      <c r="K1053" s="32" t="str">
        <f t="shared" si="4"/>
        <v>Interno</v>
      </c>
      <c r="L1053" s="32" t="e">
        <f ca="1">_xludf.ifna(VLOOKUP(G1054,Proyectos!$E$1:$N$4,10,0),"")</f>
        <v>#NAME?</v>
      </c>
      <c r="M1053" s="32"/>
      <c r="N1053" s="31"/>
      <c r="O1053" s="31"/>
      <c r="P1053" s="33"/>
      <c r="Q1053" s="33"/>
    </row>
    <row r="1054" spans="1:17" ht="16.5" customHeight="1" x14ac:dyDescent="0.2">
      <c r="A1054" s="26" t="s">
        <v>4658</v>
      </c>
      <c r="B1054" s="26" t="s">
        <v>5375</v>
      </c>
      <c r="C1054" s="26" t="s">
        <v>64</v>
      </c>
      <c r="D1054" s="26" t="s">
        <v>89</v>
      </c>
      <c r="E1054" s="26" t="s">
        <v>39</v>
      </c>
      <c r="F1054" s="28" t="e">
        <f ca="1">_xludf.ifna(VLOOKUP(G1055,Proyectos!$E$1:$H$4,4,0),"")</f>
        <v>#NAME?</v>
      </c>
      <c r="G1054" s="26" t="s">
        <v>5650</v>
      </c>
      <c r="H1054" s="32">
        <v>0.2</v>
      </c>
      <c r="I1054" s="31" t="s">
        <v>11</v>
      </c>
      <c r="J1054" s="32"/>
      <c r="K1054" s="32" t="str">
        <f t="shared" si="4"/>
        <v>Interno</v>
      </c>
      <c r="L1054" s="32" t="e">
        <f ca="1">_xludf.ifna(VLOOKUP(G1055,Proyectos!$E$1:$N$4,10,0),"")</f>
        <v>#NAME?</v>
      </c>
      <c r="M1054" s="32"/>
      <c r="N1054" s="31"/>
      <c r="O1054" s="31"/>
      <c r="P1054" s="33"/>
      <c r="Q1054" s="33"/>
    </row>
    <row r="1055" spans="1:17" ht="16.5" customHeight="1" x14ac:dyDescent="0.2">
      <c r="A1055" s="26" t="s">
        <v>4658</v>
      </c>
      <c r="B1055" s="26" t="s">
        <v>5375</v>
      </c>
      <c r="C1055" s="26" t="s">
        <v>64</v>
      </c>
      <c r="D1055" s="26" t="s">
        <v>89</v>
      </c>
      <c r="E1055" s="26" t="s">
        <v>39</v>
      </c>
      <c r="F1055" s="28" t="e">
        <f ca="1">_xludf.ifna(VLOOKUP(G1056,Proyectos!$E$1:$H$4,4,0),"")</f>
        <v>#NAME?</v>
      </c>
      <c r="G1055" s="26" t="s">
        <v>5651</v>
      </c>
      <c r="H1055" s="32">
        <v>0.2</v>
      </c>
      <c r="I1055" s="31" t="s">
        <v>11</v>
      </c>
      <c r="J1055" s="32"/>
      <c r="K1055" s="32" t="str">
        <f t="shared" si="4"/>
        <v>Interno</v>
      </c>
      <c r="L1055" s="32" t="e">
        <f ca="1">_xludf.ifna(VLOOKUP(G1056,Proyectos!$E$1:$N$4,10,0),"")</f>
        <v>#NAME?</v>
      </c>
      <c r="M1055" s="32"/>
      <c r="N1055" s="32"/>
      <c r="O1055" s="31"/>
      <c r="P1055" s="33"/>
      <c r="Q1055" s="33"/>
    </row>
    <row r="1056" spans="1:17" ht="16.5" customHeight="1" x14ac:dyDescent="0.2">
      <c r="A1056" s="26" t="s">
        <v>4658</v>
      </c>
      <c r="B1056" s="26" t="s">
        <v>5375</v>
      </c>
      <c r="C1056" s="26" t="s">
        <v>64</v>
      </c>
      <c r="D1056" s="26" t="s">
        <v>89</v>
      </c>
      <c r="E1056" s="26" t="s">
        <v>39</v>
      </c>
      <c r="F1056" s="28" t="e">
        <f ca="1">_xludf.ifna(VLOOKUP(G1057,Proyectos!$E$1:$H$4,4,0),"")</f>
        <v>#NAME?</v>
      </c>
      <c r="G1056" s="26" t="s">
        <v>5369</v>
      </c>
      <c r="H1056" s="32">
        <v>0.2</v>
      </c>
      <c r="I1056" s="31" t="s">
        <v>11</v>
      </c>
      <c r="J1056" s="32"/>
      <c r="K1056" s="32" t="str">
        <f t="shared" si="4"/>
        <v>Interno</v>
      </c>
      <c r="L1056" s="32" t="e">
        <f ca="1">_xludf.ifna(VLOOKUP(G1057,Proyectos!$E$1:$N$4,10,0),"")</f>
        <v>#NAME?</v>
      </c>
      <c r="M1056" s="32"/>
      <c r="N1056" s="32"/>
      <c r="O1056" s="31"/>
      <c r="P1056" s="33"/>
      <c r="Q1056" s="33"/>
    </row>
    <row r="1057" spans="1:17" ht="16.5" customHeight="1" x14ac:dyDescent="0.2">
      <c r="A1057" s="26" t="s">
        <v>4658</v>
      </c>
      <c r="B1057" s="26" t="s">
        <v>5375</v>
      </c>
      <c r="C1057" s="26" t="s">
        <v>64</v>
      </c>
      <c r="D1057" s="26" t="s">
        <v>89</v>
      </c>
      <c r="E1057" s="26" t="s">
        <v>39</v>
      </c>
      <c r="F1057" s="28" t="e">
        <f ca="1">_xludf.ifna(VLOOKUP(G1058,Proyectos!$E$1:$H$4,4,0),"")</f>
        <v>#NAME?</v>
      </c>
      <c r="G1057" s="26" t="s">
        <v>5130</v>
      </c>
      <c r="H1057" s="32">
        <v>0.2</v>
      </c>
      <c r="I1057" s="31" t="s">
        <v>11</v>
      </c>
      <c r="J1057" s="32"/>
      <c r="K1057" s="32" t="str">
        <f t="shared" si="4"/>
        <v>Interno</v>
      </c>
      <c r="L1057" s="32" t="e">
        <f ca="1">_xludf.ifna(VLOOKUP(G1058,Proyectos!$E$1:$N$4,10,0),"")</f>
        <v>#NAME?</v>
      </c>
      <c r="M1057" s="32"/>
      <c r="N1057" s="32"/>
      <c r="O1057" s="31"/>
      <c r="P1057" s="33"/>
      <c r="Q1057" s="33"/>
    </row>
    <row r="1058" spans="1:17" ht="16.5" customHeight="1" x14ac:dyDescent="0.2">
      <c r="A1058" s="26" t="s">
        <v>3830</v>
      </c>
      <c r="B1058" s="26" t="s">
        <v>5842</v>
      </c>
      <c r="C1058" s="26" t="s">
        <v>7</v>
      </c>
      <c r="D1058" s="26" t="s">
        <v>16</v>
      </c>
      <c r="E1058" s="26" t="s">
        <v>39</v>
      </c>
      <c r="F1058" s="28" t="e">
        <f ca="1">_xludf.ifna(VLOOKUP(G1059,Proyectos!$E$1:$H$4,4,0),"")</f>
        <v>#NAME?</v>
      </c>
      <c r="G1058" s="26" t="s">
        <v>5630</v>
      </c>
      <c r="H1058" s="32">
        <v>0.1</v>
      </c>
      <c r="I1058" s="31" t="s">
        <v>11</v>
      </c>
      <c r="J1058" s="32"/>
      <c r="K1058" s="32" t="str">
        <f t="shared" si="4"/>
        <v>Interno</v>
      </c>
      <c r="L1058" s="32" t="e">
        <f ca="1">_xludf.ifna(VLOOKUP(G1059,Proyectos!$E$1:$N$4,10,0),"")</f>
        <v>#NAME?</v>
      </c>
      <c r="M1058" s="32"/>
      <c r="N1058" s="31"/>
      <c r="O1058" s="31"/>
      <c r="P1058" s="33"/>
      <c r="Q1058" s="33"/>
    </row>
    <row r="1059" spans="1:17" ht="16.5" customHeight="1" x14ac:dyDescent="0.2">
      <c r="A1059" s="26" t="s">
        <v>3830</v>
      </c>
      <c r="B1059" s="26" t="s">
        <v>5842</v>
      </c>
      <c r="C1059" s="26" t="s">
        <v>7</v>
      </c>
      <c r="D1059" s="26" t="s">
        <v>16</v>
      </c>
      <c r="E1059" s="26" t="s">
        <v>39</v>
      </c>
      <c r="F1059" s="28" t="e">
        <f ca="1">_xludf.ifna(VLOOKUP(G1060,Proyectos!$E$1:$H$4,4,0),"")</f>
        <v>#NAME?</v>
      </c>
      <c r="G1059" s="26" t="s">
        <v>5231</v>
      </c>
      <c r="H1059" s="32">
        <v>0.15</v>
      </c>
      <c r="I1059" s="31" t="s">
        <v>11</v>
      </c>
      <c r="J1059" s="32"/>
      <c r="K1059" s="32" t="str">
        <f t="shared" si="4"/>
        <v>Interno</v>
      </c>
      <c r="L1059" s="32" t="e">
        <f ca="1">_xludf.ifna(VLOOKUP(G1060,Proyectos!$E$1:$N$4,10,0),"")</f>
        <v>#NAME?</v>
      </c>
      <c r="M1059" s="32"/>
      <c r="N1059" s="32"/>
      <c r="O1059" s="31"/>
      <c r="P1059" s="33"/>
      <c r="Q1059" s="33"/>
    </row>
    <row r="1060" spans="1:17" ht="16.5" customHeight="1" x14ac:dyDescent="0.2">
      <c r="A1060" s="26" t="s">
        <v>3830</v>
      </c>
      <c r="B1060" s="26" t="s">
        <v>5842</v>
      </c>
      <c r="C1060" s="26" t="s">
        <v>7</v>
      </c>
      <c r="D1060" s="26" t="s">
        <v>16</v>
      </c>
      <c r="E1060" s="26" t="s">
        <v>39</v>
      </c>
      <c r="F1060" s="28" t="e">
        <f ca="1">_xludf.ifna(VLOOKUP(G1061,Proyectos!$E$1:$H$4,4,0),"")</f>
        <v>#NAME?</v>
      </c>
      <c r="G1060" s="26" t="s">
        <v>5233</v>
      </c>
      <c r="H1060" s="32">
        <v>0.15</v>
      </c>
      <c r="I1060" s="31" t="s">
        <v>11</v>
      </c>
      <c r="J1060" s="32"/>
      <c r="K1060" s="32" t="str">
        <f t="shared" si="4"/>
        <v>Interno</v>
      </c>
      <c r="L1060" s="32" t="e">
        <f ca="1">_xludf.ifna(VLOOKUP(G1061,Proyectos!$E$1:$N$4,10,0),"")</f>
        <v>#NAME?</v>
      </c>
      <c r="M1060" s="32"/>
      <c r="N1060" s="32"/>
      <c r="O1060" s="31"/>
      <c r="P1060" s="33"/>
      <c r="Q1060" s="33"/>
    </row>
    <row r="1061" spans="1:17" ht="16.5" customHeight="1" x14ac:dyDescent="0.2">
      <c r="A1061" s="26" t="s">
        <v>3830</v>
      </c>
      <c r="B1061" s="26" t="s">
        <v>5842</v>
      </c>
      <c r="C1061" s="26" t="s">
        <v>7</v>
      </c>
      <c r="D1061" s="26" t="s">
        <v>16</v>
      </c>
      <c r="E1061" s="26" t="s">
        <v>39</v>
      </c>
      <c r="F1061" s="28" t="e">
        <f ca="1">_xludf.ifna(VLOOKUP(G1062,Proyectos!$E$1:$H$4,4,0),"")</f>
        <v>#NAME?</v>
      </c>
      <c r="G1061" s="26" t="s">
        <v>5232</v>
      </c>
      <c r="H1061" s="32">
        <v>0.3</v>
      </c>
      <c r="I1061" s="31" t="s">
        <v>11</v>
      </c>
      <c r="J1061" s="32"/>
      <c r="K1061" s="32" t="str">
        <f t="shared" si="4"/>
        <v>Interno</v>
      </c>
      <c r="L1061" s="32" t="e">
        <f ca="1">_xludf.ifna(VLOOKUP(G1062,Proyectos!$E$1:$N$4,10,0),"")</f>
        <v>#NAME?</v>
      </c>
      <c r="M1061" s="32"/>
      <c r="N1061" s="32"/>
      <c r="O1061" s="31"/>
      <c r="P1061" s="33"/>
      <c r="Q1061" s="33"/>
    </row>
    <row r="1062" spans="1:17" ht="16.5" customHeight="1" x14ac:dyDescent="0.2">
      <c r="A1062" s="26" t="s">
        <v>3830</v>
      </c>
      <c r="B1062" s="26" t="s">
        <v>5842</v>
      </c>
      <c r="C1062" s="26" t="s">
        <v>7</v>
      </c>
      <c r="D1062" s="26" t="s">
        <v>16</v>
      </c>
      <c r="E1062" s="26" t="s">
        <v>39</v>
      </c>
      <c r="F1062" s="28" t="e">
        <f ca="1">_xludf.ifna(VLOOKUP(G1063,Proyectos!$E$1:$H$4,4,0),"")</f>
        <v>#NAME?</v>
      </c>
      <c r="G1062" s="26" t="s">
        <v>5843</v>
      </c>
      <c r="H1062" s="32">
        <v>0.15</v>
      </c>
      <c r="I1062" s="31" t="s">
        <v>11</v>
      </c>
      <c r="J1062" s="32"/>
      <c r="K1062" s="32" t="str">
        <f t="shared" si="4"/>
        <v>Interno</v>
      </c>
      <c r="L1062" s="32" t="e">
        <f ca="1">_xludf.ifna(VLOOKUP(G1063,Proyectos!$E$1:$N$4,10,0),"")</f>
        <v>#NAME?</v>
      </c>
      <c r="M1062" s="32"/>
      <c r="N1062" s="32"/>
      <c r="O1062" s="31"/>
      <c r="P1062" s="33"/>
      <c r="Q1062" s="33"/>
    </row>
    <row r="1063" spans="1:17" ht="16.5" customHeight="1" x14ac:dyDescent="0.2">
      <c r="A1063" s="26" t="s">
        <v>3830</v>
      </c>
      <c r="B1063" s="26" t="s">
        <v>5842</v>
      </c>
      <c r="C1063" s="26" t="s">
        <v>7</v>
      </c>
      <c r="D1063" s="26" t="s">
        <v>16</v>
      </c>
      <c r="E1063" s="26" t="s">
        <v>39</v>
      </c>
      <c r="F1063" s="28" t="e">
        <f ca="1">_xludf.ifna(VLOOKUP(G1064,Proyectos!$E$1:$H$4,4,0),"")</f>
        <v>#NAME?</v>
      </c>
      <c r="G1063" s="26" t="s">
        <v>5597</v>
      </c>
      <c r="H1063" s="32">
        <v>0.15</v>
      </c>
      <c r="I1063" s="31" t="s">
        <v>11</v>
      </c>
      <c r="J1063" s="31" t="s">
        <v>5844</v>
      </c>
      <c r="K1063" s="32" t="str">
        <f t="shared" si="4"/>
        <v>Interno</v>
      </c>
      <c r="L1063" s="32" t="e">
        <f ca="1">_xludf.ifna(VLOOKUP(G1064,Proyectos!$E$1:$N$4,10,0),"")</f>
        <v>#NAME?</v>
      </c>
      <c r="M1063" s="32"/>
      <c r="N1063" s="31"/>
      <c r="O1063" s="31"/>
      <c r="P1063" s="33"/>
      <c r="Q1063" s="33"/>
    </row>
    <row r="1064" spans="1:17" ht="16.5" customHeight="1" x14ac:dyDescent="0.2">
      <c r="A1064" s="26" t="s">
        <v>5065</v>
      </c>
      <c r="B1064" s="26" t="s">
        <v>5142</v>
      </c>
      <c r="C1064" s="26" t="s">
        <v>98</v>
      </c>
      <c r="D1064" s="26" t="s">
        <v>99</v>
      </c>
      <c r="E1064" s="26" t="s">
        <v>129</v>
      </c>
      <c r="F1064" s="28" t="e">
        <f ca="1">_xludf.ifna(VLOOKUP(G1065,Proyectos!$E$1:$H$4,4,0),"")</f>
        <v>#NAME?</v>
      </c>
      <c r="G1064" s="26" t="s">
        <v>5597</v>
      </c>
      <c r="H1064" s="32">
        <v>1</v>
      </c>
      <c r="I1064" s="31" t="s">
        <v>18</v>
      </c>
      <c r="J1064" s="31" t="s">
        <v>5845</v>
      </c>
      <c r="K1064" s="32" t="str">
        <f t="shared" si="4"/>
        <v>Externo</v>
      </c>
      <c r="L1064" s="32" t="e">
        <f ca="1">_xludf.ifna(VLOOKUP(G1065,Proyectos!$E$1:$N$4,10,0),"")</f>
        <v>#NAME?</v>
      </c>
      <c r="M1064" s="32"/>
      <c r="N1064" s="32"/>
      <c r="O1064" s="31"/>
      <c r="P1064" s="33"/>
      <c r="Q1064" s="33"/>
    </row>
    <row r="1065" spans="1:17" ht="16.5" customHeight="1" x14ac:dyDescent="0.2">
      <c r="A1065" s="26" t="s">
        <v>4163</v>
      </c>
      <c r="B1065" s="26" t="s">
        <v>4164</v>
      </c>
      <c r="C1065" s="54" t="s">
        <v>7</v>
      </c>
      <c r="D1065" s="35" t="s">
        <v>8</v>
      </c>
      <c r="E1065" s="35" t="s">
        <v>17</v>
      </c>
      <c r="F1065" s="28" t="e">
        <f ca="1">_xludf.ifna(VLOOKUP(G1066,Proyectos!$E$1:$H$4,4,0),"")</f>
        <v>#NAME?</v>
      </c>
      <c r="G1065" s="35" t="s">
        <v>5674</v>
      </c>
      <c r="H1065" s="30">
        <v>1</v>
      </c>
      <c r="I1065" s="31" t="s">
        <v>11</v>
      </c>
      <c r="J1065" s="55"/>
      <c r="K1065" s="32" t="str">
        <f t="shared" si="4"/>
        <v>Externo</v>
      </c>
      <c r="L1065" s="32" t="e">
        <f ca="1">_xludf.ifna(VLOOKUP(G1066,Proyectos!$E$1:$N$4,10,0),"")</f>
        <v>#NAME?</v>
      </c>
      <c r="M1065" s="32"/>
      <c r="N1065" s="31"/>
      <c r="O1065" s="31"/>
      <c r="P1065" s="33"/>
      <c r="Q1065" s="33"/>
    </row>
    <row r="1066" spans="1:17" ht="16.5" customHeight="1" x14ac:dyDescent="0.2">
      <c r="A1066" s="26" t="s">
        <v>3457</v>
      </c>
      <c r="B1066" s="26" t="s">
        <v>3458</v>
      </c>
      <c r="C1066" s="26" t="s">
        <v>115</v>
      </c>
      <c r="D1066" s="26" t="s">
        <v>119</v>
      </c>
      <c r="E1066" s="26" t="s">
        <v>39</v>
      </c>
      <c r="F1066" s="28" t="e">
        <f ca="1">_xludf.ifna(VLOOKUP(G1067,Proyectos!$E$1:$H$4,4,0),"")</f>
        <v>#NAME?</v>
      </c>
      <c r="G1066" s="26" t="s">
        <v>5224</v>
      </c>
      <c r="H1066" s="32">
        <v>1</v>
      </c>
      <c r="I1066" s="31" t="s">
        <v>18</v>
      </c>
      <c r="J1066" s="32"/>
      <c r="K1066" s="32" t="str">
        <f t="shared" si="4"/>
        <v>Interno</v>
      </c>
      <c r="L1066" s="32" t="e">
        <f ca="1">_xludf.ifna(VLOOKUP(G1067,Proyectos!$E$1:$N$4,10,0),"")</f>
        <v>#NAME?</v>
      </c>
      <c r="M1066" s="32"/>
      <c r="N1066" s="31"/>
      <c r="O1066" s="31"/>
      <c r="P1066" s="33"/>
      <c r="Q1066" s="33"/>
    </row>
    <row r="1067" spans="1:17" ht="16.5" customHeight="1" x14ac:dyDescent="0.2">
      <c r="A1067" s="26" t="s">
        <v>3922</v>
      </c>
      <c r="B1067" s="26" t="s">
        <v>3923</v>
      </c>
      <c r="C1067" s="26" t="s">
        <v>98</v>
      </c>
      <c r="D1067" s="26" t="s">
        <v>110</v>
      </c>
      <c r="E1067" s="26" t="s">
        <v>87</v>
      </c>
      <c r="F1067" s="28" t="e">
        <f ca="1">_xludf.ifna(VLOOKUP(G1068,Proyectos!$E$1:$H$4,4,0),"")</f>
        <v>#NAME?</v>
      </c>
      <c r="G1067" s="26" t="s">
        <v>5243</v>
      </c>
      <c r="H1067" s="32">
        <v>1</v>
      </c>
      <c r="I1067" s="31" t="s">
        <v>25</v>
      </c>
      <c r="J1067" s="32"/>
      <c r="K1067" s="32" t="str">
        <f t="shared" si="4"/>
        <v>Externo</v>
      </c>
      <c r="L1067" s="32" t="e">
        <f ca="1">_xludf.ifna(VLOOKUP(G1068,Proyectos!$E$1:$N$4,10,0),"")</f>
        <v>#NAME?</v>
      </c>
      <c r="M1067" s="32"/>
      <c r="N1067" s="32"/>
      <c r="O1067" s="31"/>
      <c r="P1067" s="33"/>
      <c r="Q1067" s="33"/>
    </row>
    <row r="1068" spans="1:17" ht="16.5" customHeight="1" x14ac:dyDescent="0.2">
      <c r="A1068" s="35" t="s">
        <v>5002</v>
      </c>
      <c r="B1068" s="26" t="s">
        <v>5507</v>
      </c>
      <c r="C1068" s="26" t="s">
        <v>64</v>
      </c>
      <c r="D1068" s="26" t="s">
        <v>82</v>
      </c>
      <c r="E1068" s="35" t="s">
        <v>9</v>
      </c>
      <c r="F1068" s="28" t="e">
        <f ca="1">_xludf.ifna(VLOOKUP(G1069,Proyectos!$E$1:$H$4,4,0),"")</f>
        <v>#NAME?</v>
      </c>
      <c r="G1068" s="26" t="s">
        <v>5387</v>
      </c>
      <c r="H1068" s="32">
        <v>1</v>
      </c>
      <c r="I1068" s="31" t="s">
        <v>25</v>
      </c>
      <c r="J1068" s="32"/>
      <c r="K1068" s="32" t="str">
        <f t="shared" si="4"/>
        <v>Externo</v>
      </c>
      <c r="L1068" s="32" t="e">
        <f ca="1">_xludf.ifna(VLOOKUP(G1069,Proyectos!$E$1:$N$4,10,0),"")</f>
        <v>#NAME?</v>
      </c>
      <c r="M1068" s="32"/>
      <c r="N1068" s="32"/>
      <c r="O1068" s="31"/>
      <c r="P1068" s="33"/>
      <c r="Q1068" s="33"/>
    </row>
    <row r="1069" spans="1:17" ht="16.5" customHeight="1" x14ac:dyDescent="0.25">
      <c r="A1069" s="26"/>
      <c r="B1069" s="107" t="s">
        <v>5102</v>
      </c>
      <c r="C1069" s="26" t="s">
        <v>98</v>
      </c>
      <c r="D1069" s="26" t="s">
        <v>99</v>
      </c>
      <c r="E1069" s="26" t="s">
        <v>87</v>
      </c>
      <c r="F1069" s="28" t="e">
        <f ca="1">_xludf.ifna(VLOOKUP(G1070,Proyectos!$E$1:$H$4,4,0),"")</f>
        <v>#NAME?</v>
      </c>
      <c r="G1069" s="26" t="s">
        <v>5125</v>
      </c>
      <c r="H1069" s="32">
        <v>0.25</v>
      </c>
      <c r="I1069" s="31" t="s">
        <v>25</v>
      </c>
      <c r="J1069" s="32"/>
      <c r="K1069" s="32" t="str">
        <f t="shared" si="4"/>
        <v>Externo</v>
      </c>
      <c r="L1069" s="32" t="e">
        <f ca="1">_xludf.ifna(VLOOKUP(G1070,Proyectos!$E$1:$N$4,10,0),"")</f>
        <v>#NAME?</v>
      </c>
      <c r="M1069" s="32"/>
      <c r="N1069" s="32"/>
      <c r="O1069" s="31"/>
      <c r="P1069" s="33"/>
      <c r="Q1069" s="33"/>
    </row>
    <row r="1070" spans="1:17" ht="16.5" customHeight="1" x14ac:dyDescent="0.25">
      <c r="A1070" s="26"/>
      <c r="B1070" s="107" t="s">
        <v>5102</v>
      </c>
      <c r="C1070" s="26" t="s">
        <v>98</v>
      </c>
      <c r="D1070" s="26" t="s">
        <v>99</v>
      </c>
      <c r="E1070" s="26" t="s">
        <v>87</v>
      </c>
      <c r="F1070" s="28" t="e">
        <f ca="1">_xludf.ifna(VLOOKUP(G1071,Proyectos!$E$1:$H$4,4,0),"")</f>
        <v>#NAME?</v>
      </c>
      <c r="G1070" s="26" t="s">
        <v>5126</v>
      </c>
      <c r="H1070" s="32">
        <v>0.25</v>
      </c>
      <c r="I1070" s="31" t="s">
        <v>25</v>
      </c>
      <c r="J1070" s="32"/>
      <c r="K1070" s="32" t="str">
        <f t="shared" si="4"/>
        <v>Externo</v>
      </c>
      <c r="L1070" s="32" t="e">
        <f ca="1">_xludf.ifna(VLOOKUP(G1071,Proyectos!$E$1:$N$4,10,0),"")</f>
        <v>#NAME?</v>
      </c>
      <c r="M1070" s="32"/>
      <c r="N1070" s="32"/>
      <c r="O1070" s="31"/>
      <c r="P1070" s="33"/>
      <c r="Q1070" s="33"/>
    </row>
    <row r="1071" spans="1:17" ht="16.5" customHeight="1" x14ac:dyDescent="0.25">
      <c r="A1071" s="26"/>
      <c r="B1071" s="107" t="s">
        <v>5102</v>
      </c>
      <c r="C1071" s="26" t="s">
        <v>98</v>
      </c>
      <c r="D1071" s="26" t="s">
        <v>99</v>
      </c>
      <c r="E1071" s="26" t="s">
        <v>87</v>
      </c>
      <c r="F1071" s="28" t="e">
        <f ca="1">_xludf.ifna(VLOOKUP(G1072,Proyectos!$E$1:$H$4,4,0),"")</f>
        <v>#NAME?</v>
      </c>
      <c r="G1071" s="26" t="s">
        <v>5597</v>
      </c>
      <c r="H1071" s="32">
        <v>0.25</v>
      </c>
      <c r="I1071" s="31" t="s">
        <v>25</v>
      </c>
      <c r="J1071" s="31"/>
      <c r="K1071" s="32" t="str">
        <f t="shared" si="4"/>
        <v>Externo</v>
      </c>
      <c r="L1071" s="32" t="e">
        <f ca="1">_xludf.ifna(VLOOKUP(G1072,Proyectos!$E$1:$N$4,10,0),"")</f>
        <v>#NAME?</v>
      </c>
      <c r="M1071" s="32"/>
      <c r="N1071" s="32"/>
      <c r="O1071" s="31"/>
      <c r="P1071" s="33"/>
      <c r="Q1071" s="33"/>
    </row>
    <row r="1072" spans="1:17" ht="16.5" customHeight="1" x14ac:dyDescent="0.25">
      <c r="A1072" s="26"/>
      <c r="B1072" s="107" t="s">
        <v>5102</v>
      </c>
      <c r="C1072" s="26" t="s">
        <v>98</v>
      </c>
      <c r="D1072" s="26" t="s">
        <v>99</v>
      </c>
      <c r="E1072" s="26" t="s">
        <v>87</v>
      </c>
      <c r="F1072" s="28" t="e">
        <f ca="1">_xludf.ifna(VLOOKUP(G1073,Proyectos!$E$1:$H$4,4,0),"")</f>
        <v>#NAME?</v>
      </c>
      <c r="G1072" s="26" t="s">
        <v>5656</v>
      </c>
      <c r="H1072" s="32">
        <v>0.25</v>
      </c>
      <c r="I1072" s="31" t="s">
        <v>25</v>
      </c>
      <c r="J1072" s="31"/>
      <c r="K1072" s="32" t="str">
        <f t="shared" si="4"/>
        <v>Externo</v>
      </c>
      <c r="L1072" s="32" t="e">
        <f ca="1">_xludf.ifna(VLOOKUP(G1073,Proyectos!$E$1:$N$4,10,0),"")</f>
        <v>#NAME?</v>
      </c>
      <c r="M1072" s="32"/>
      <c r="N1072" s="32"/>
      <c r="O1072" s="31"/>
      <c r="P1072" s="33"/>
      <c r="Q1072" s="33"/>
    </row>
    <row r="1073" spans="1:17" ht="16.5" customHeight="1" x14ac:dyDescent="0.2">
      <c r="A1073" s="26" t="s">
        <v>5049</v>
      </c>
      <c r="B1073" s="26" t="s">
        <v>5050</v>
      </c>
      <c r="C1073" s="26" t="s">
        <v>115</v>
      </c>
      <c r="D1073" s="26" t="s">
        <v>122</v>
      </c>
      <c r="E1073" s="26" t="s">
        <v>108</v>
      </c>
      <c r="F1073" s="28" t="e">
        <f ca="1">_xludf.ifna(VLOOKUP(G1074,Proyectos!$E$1:$H$4,4,0),"")</f>
        <v>#NAME?</v>
      </c>
      <c r="G1073" s="26" t="s">
        <v>5430</v>
      </c>
      <c r="H1073" s="32">
        <v>0.4</v>
      </c>
      <c r="I1073" s="31" t="s">
        <v>32</v>
      </c>
      <c r="J1073" s="32"/>
      <c r="K1073" s="32" t="str">
        <f t="shared" si="4"/>
        <v>Externo</v>
      </c>
      <c r="L1073" s="32" t="e">
        <f ca="1">_xludf.ifna(VLOOKUP(G1074,Proyectos!$E$1:$N$4,10,0),"")</f>
        <v>#NAME?</v>
      </c>
      <c r="M1073" s="32"/>
      <c r="N1073" s="31"/>
      <c r="O1073" s="31"/>
      <c r="P1073" s="33"/>
      <c r="Q1073" s="33"/>
    </row>
    <row r="1074" spans="1:17" ht="16.5" customHeight="1" x14ac:dyDescent="0.2">
      <c r="A1074" s="26" t="s">
        <v>5049</v>
      </c>
      <c r="B1074" s="26" t="s">
        <v>5050</v>
      </c>
      <c r="C1074" s="26" t="s">
        <v>115</v>
      </c>
      <c r="D1074" s="26" t="s">
        <v>122</v>
      </c>
      <c r="E1074" s="26" t="s">
        <v>108</v>
      </c>
      <c r="F1074" s="28" t="e">
        <f ca="1">_xludf.ifna(VLOOKUP(G1075,Proyectos!$E$1:$H$4,4,0),"")</f>
        <v>#NAME?</v>
      </c>
      <c r="G1074" s="26" t="s">
        <v>5426</v>
      </c>
      <c r="H1074" s="32">
        <v>0.4</v>
      </c>
      <c r="I1074" s="31" t="s">
        <v>32</v>
      </c>
      <c r="J1074" s="32"/>
      <c r="K1074" s="32" t="str">
        <f t="shared" si="4"/>
        <v>Externo</v>
      </c>
      <c r="L1074" s="32" t="e">
        <f ca="1">_xludf.ifna(VLOOKUP(G1075,Proyectos!$E$1:$N$4,10,0),"")</f>
        <v>#NAME?</v>
      </c>
      <c r="M1074" s="32"/>
      <c r="N1074" s="31"/>
      <c r="O1074" s="31"/>
      <c r="P1074" s="33"/>
      <c r="Q1074" s="33"/>
    </row>
    <row r="1075" spans="1:17" ht="16.5" customHeight="1" x14ac:dyDescent="0.2">
      <c r="A1075" s="26" t="s">
        <v>5049</v>
      </c>
      <c r="B1075" s="26" t="s">
        <v>5050</v>
      </c>
      <c r="C1075" s="26" t="s">
        <v>115</v>
      </c>
      <c r="D1075" s="26" t="s">
        <v>122</v>
      </c>
      <c r="E1075" s="26" t="s">
        <v>108</v>
      </c>
      <c r="F1075" s="28" t="e">
        <f ca="1">_xludf.ifna(VLOOKUP(G1076,Proyectos!$E$1:$H$4,4,0),"")</f>
        <v>#NAME?</v>
      </c>
      <c r="G1075" s="26" t="s">
        <v>5401</v>
      </c>
      <c r="H1075" s="32">
        <v>0.2</v>
      </c>
      <c r="I1075" s="31" t="s">
        <v>32</v>
      </c>
      <c r="J1075" s="32"/>
      <c r="K1075" s="32" t="str">
        <f t="shared" si="4"/>
        <v>Externo</v>
      </c>
      <c r="L1075" s="32" t="e">
        <f ca="1">_xludf.ifna(VLOOKUP(G1076,Proyectos!$E$1:$N$4,10,0),"")</f>
        <v>#NAME?</v>
      </c>
      <c r="M1075" s="32"/>
      <c r="N1075" s="32"/>
      <c r="O1075" s="31"/>
      <c r="P1075" s="33"/>
      <c r="Q1075" s="33"/>
    </row>
    <row r="1076" spans="1:17" ht="16.5" customHeight="1" x14ac:dyDescent="0.2">
      <c r="A1076" s="26" t="s">
        <v>4114</v>
      </c>
      <c r="B1076" s="26" t="s">
        <v>5846</v>
      </c>
      <c r="C1076" s="26" t="s">
        <v>64</v>
      </c>
      <c r="D1076" s="26" t="s">
        <v>78</v>
      </c>
      <c r="E1076" s="26" t="s">
        <v>114</v>
      </c>
      <c r="F1076" s="28" t="e">
        <f ca="1">_xludf.ifna(VLOOKUP(G1077,Proyectos!$E$1:$H$4,4,0),"")</f>
        <v>#NAME?</v>
      </c>
      <c r="G1076" s="26" t="s">
        <v>5406</v>
      </c>
      <c r="H1076" s="30">
        <v>1</v>
      </c>
      <c r="I1076" s="31" t="s">
        <v>25</v>
      </c>
      <c r="J1076" s="32"/>
      <c r="K1076" s="32" t="str">
        <f t="shared" si="4"/>
        <v>Externo</v>
      </c>
      <c r="L1076" s="32" t="e">
        <f ca="1">_xludf.ifna(VLOOKUP(G1077,Proyectos!$E$1:$N$4,10,0),"")</f>
        <v>#NAME?</v>
      </c>
      <c r="M1076" s="32"/>
      <c r="N1076" s="32"/>
      <c r="O1076" s="31"/>
      <c r="P1076" s="33"/>
      <c r="Q1076" s="33"/>
    </row>
    <row r="1077" spans="1:17" ht="16.5" customHeight="1" x14ac:dyDescent="0.2">
      <c r="A1077" s="26" t="s">
        <v>3495</v>
      </c>
      <c r="B1077" s="26" t="s">
        <v>3496</v>
      </c>
      <c r="C1077" s="26" t="s">
        <v>37</v>
      </c>
      <c r="D1077" s="26" t="s">
        <v>38</v>
      </c>
      <c r="E1077" s="26" t="s">
        <v>39</v>
      </c>
      <c r="F1077" s="28" t="e">
        <f ca="1">_xludf.ifna(VLOOKUP(G1078,Proyectos!$E$1:$H$4,4,0),"")</f>
        <v>#NAME?</v>
      </c>
      <c r="G1077" s="26" t="s">
        <v>5336</v>
      </c>
      <c r="H1077" s="32">
        <v>0.5</v>
      </c>
      <c r="I1077" s="31" t="s">
        <v>18</v>
      </c>
      <c r="J1077" s="32"/>
      <c r="K1077" s="32" t="str">
        <f t="shared" si="4"/>
        <v>Interno</v>
      </c>
      <c r="L1077" s="32" t="e">
        <f ca="1">_xludf.ifna(VLOOKUP(G1078,Proyectos!$E$1:$N$4,10,0),"")</f>
        <v>#NAME?</v>
      </c>
      <c r="M1077" s="32"/>
      <c r="N1077" s="31"/>
      <c r="O1077" s="31"/>
      <c r="P1077" s="33"/>
      <c r="Q1077" s="33"/>
    </row>
    <row r="1078" spans="1:17" ht="16.5" customHeight="1" x14ac:dyDescent="0.2">
      <c r="A1078" s="26" t="s">
        <v>3495</v>
      </c>
      <c r="B1078" s="26" t="s">
        <v>3496</v>
      </c>
      <c r="C1078" s="26" t="s">
        <v>37</v>
      </c>
      <c r="D1078" s="26" t="s">
        <v>38</v>
      </c>
      <c r="E1078" s="26" t="s">
        <v>39</v>
      </c>
      <c r="F1078" s="28" t="e">
        <f ca="1">_xludf.ifna(VLOOKUP(G1079,Proyectos!$E$1:$H$4,4,0),"")</f>
        <v>#NAME?</v>
      </c>
      <c r="G1078" s="26" t="s">
        <v>5341</v>
      </c>
      <c r="H1078" s="32">
        <v>0.5</v>
      </c>
      <c r="I1078" s="31" t="s">
        <v>18</v>
      </c>
      <c r="J1078" s="32"/>
      <c r="K1078" s="32" t="str">
        <f t="shared" si="4"/>
        <v>Interno</v>
      </c>
      <c r="L1078" s="32" t="e">
        <f ca="1">_xludf.ifna(VLOOKUP(G1079,Proyectos!$E$1:$N$4,10,0),"")</f>
        <v>#NAME?</v>
      </c>
      <c r="M1078" s="32"/>
      <c r="N1078" s="31"/>
      <c r="O1078" s="31"/>
      <c r="P1078" s="33"/>
      <c r="Q1078" s="33"/>
    </row>
    <row r="1079" spans="1:17" ht="16.5" customHeight="1" x14ac:dyDescent="0.2">
      <c r="A1079" s="26" t="s">
        <v>3553</v>
      </c>
      <c r="B1079" s="26" t="s">
        <v>3554</v>
      </c>
      <c r="C1079" s="26" t="s">
        <v>115</v>
      </c>
      <c r="D1079" s="26" t="s">
        <v>122</v>
      </c>
      <c r="E1079" s="26" t="s">
        <v>39</v>
      </c>
      <c r="F1079" s="28" t="e">
        <f ca="1">_xludf.ifna(VLOOKUP(G1080,Proyectos!$E$1:$H$4,4,0),"")</f>
        <v>#NAME?</v>
      </c>
      <c r="G1079" s="26" t="s">
        <v>5415</v>
      </c>
      <c r="H1079" s="32">
        <v>1</v>
      </c>
      <c r="I1079" s="31" t="s">
        <v>18</v>
      </c>
      <c r="J1079" s="32"/>
      <c r="K1079" s="32" t="str">
        <f t="shared" si="4"/>
        <v>Interno</v>
      </c>
      <c r="L1079" s="32" t="e">
        <f ca="1">_xludf.ifna(VLOOKUP(G1080,Proyectos!$E$1:$N$4,10,0),"")</f>
        <v>#NAME?</v>
      </c>
      <c r="M1079" s="32"/>
      <c r="N1079" s="31"/>
      <c r="O1079" s="31"/>
      <c r="P1079" s="33"/>
      <c r="Q1079" s="33"/>
    </row>
    <row r="1080" spans="1:17" ht="16.5" customHeight="1" x14ac:dyDescent="0.2">
      <c r="A1080" s="104" t="s">
        <v>3670</v>
      </c>
      <c r="B1080" s="26" t="s">
        <v>3671</v>
      </c>
      <c r="C1080" s="26" t="s">
        <v>115</v>
      </c>
      <c r="D1080" s="26" t="s">
        <v>128</v>
      </c>
      <c r="E1080" s="26" t="s">
        <v>39</v>
      </c>
      <c r="F1080" s="28" t="e">
        <f ca="1">_xludf.ifna(VLOOKUP(G1081,Proyectos!$E$1:$H$4,4,0),"")</f>
        <v>#NAME?</v>
      </c>
      <c r="G1080" s="26" t="s">
        <v>5538</v>
      </c>
      <c r="H1080" s="32">
        <v>0.8</v>
      </c>
      <c r="I1080" s="31" t="s">
        <v>11</v>
      </c>
      <c r="J1080" s="32"/>
      <c r="K1080" s="32" t="str">
        <f t="shared" si="4"/>
        <v>Interno</v>
      </c>
      <c r="L1080" s="32" t="e">
        <f ca="1">_xludf.ifna(VLOOKUP(G1081,Proyectos!$E$1:$N$4,10,0),"")</f>
        <v>#NAME?</v>
      </c>
      <c r="M1080" s="32"/>
      <c r="N1080" s="32"/>
      <c r="O1080" s="31"/>
      <c r="P1080" s="33"/>
      <c r="Q1080" s="33"/>
    </row>
    <row r="1081" spans="1:17" ht="16.5" customHeight="1" x14ac:dyDescent="0.2">
      <c r="A1081" s="104" t="s">
        <v>3670</v>
      </c>
      <c r="B1081" s="26" t="s">
        <v>3671</v>
      </c>
      <c r="C1081" s="26" t="s">
        <v>115</v>
      </c>
      <c r="D1081" s="26" t="s">
        <v>128</v>
      </c>
      <c r="E1081" s="26" t="s">
        <v>39</v>
      </c>
      <c r="F1081" s="28" t="e">
        <f ca="1">_xludf.ifna(VLOOKUP(G1082,Proyectos!$E$1:$H$4,4,0),"")</f>
        <v>#NAME?</v>
      </c>
      <c r="G1081" s="26" t="s">
        <v>5847</v>
      </c>
      <c r="H1081" s="32">
        <v>0.2</v>
      </c>
      <c r="I1081" s="31" t="s">
        <v>11</v>
      </c>
      <c r="J1081" s="32"/>
      <c r="K1081" s="32" t="str">
        <f t="shared" si="4"/>
        <v>Interno</v>
      </c>
      <c r="L1081" s="32" t="e">
        <f ca="1">_xludf.ifna(VLOOKUP(G1082,Proyectos!$E$1:$N$4,10,0),"")</f>
        <v>#NAME?</v>
      </c>
      <c r="M1081" s="32"/>
      <c r="N1081" s="31"/>
      <c r="O1081" s="31"/>
      <c r="P1081" s="33"/>
      <c r="Q1081" s="33"/>
    </row>
    <row r="1082" spans="1:17" ht="16.5" customHeight="1" x14ac:dyDescent="0.2">
      <c r="A1082" s="26" t="s">
        <v>4615</v>
      </c>
      <c r="B1082" s="26" t="s">
        <v>4616</v>
      </c>
      <c r="C1082" s="26" t="s">
        <v>115</v>
      </c>
      <c r="D1082" s="26" t="s">
        <v>122</v>
      </c>
      <c r="E1082" s="26" t="s">
        <v>39</v>
      </c>
      <c r="F1082" s="28" t="e">
        <f ca="1">_xludf.ifna(VLOOKUP(G1083,Proyectos!$E$1:$H$4,4,0),"")</f>
        <v>#NAME?</v>
      </c>
      <c r="G1082" s="26" t="s">
        <v>5431</v>
      </c>
      <c r="H1082" s="32">
        <v>0.2</v>
      </c>
      <c r="I1082" s="31" t="s">
        <v>18</v>
      </c>
      <c r="J1082" s="32"/>
      <c r="K1082" s="32" t="str">
        <f t="shared" si="4"/>
        <v>Interno</v>
      </c>
      <c r="L1082" s="32" t="e">
        <f ca="1">_xludf.ifna(VLOOKUP(G1083,Proyectos!$E$1:$N$4,10,0),"")</f>
        <v>#NAME?</v>
      </c>
      <c r="M1082" s="32"/>
      <c r="N1082" s="31"/>
      <c r="O1082" s="31"/>
      <c r="P1082" s="33"/>
      <c r="Q1082" s="33"/>
    </row>
    <row r="1083" spans="1:17" ht="16.5" customHeight="1" x14ac:dyDescent="0.2">
      <c r="A1083" s="26" t="s">
        <v>4615</v>
      </c>
      <c r="B1083" s="26" t="s">
        <v>4616</v>
      </c>
      <c r="C1083" s="26" t="s">
        <v>115</v>
      </c>
      <c r="D1083" s="26" t="s">
        <v>122</v>
      </c>
      <c r="E1083" s="26" t="s">
        <v>39</v>
      </c>
      <c r="F1083" s="28" t="e">
        <f ca="1">_xludf.ifna(VLOOKUP(G1084,Proyectos!$E$1:$H$4,4,0),"")</f>
        <v>#NAME?</v>
      </c>
      <c r="G1083" s="26" t="s">
        <v>5597</v>
      </c>
      <c r="H1083" s="32">
        <v>0.8</v>
      </c>
      <c r="I1083" s="31" t="s">
        <v>18</v>
      </c>
      <c r="J1083" s="32"/>
      <c r="K1083" s="32" t="str">
        <f t="shared" si="4"/>
        <v>Interno</v>
      </c>
      <c r="L1083" s="32" t="e">
        <f ca="1">_xludf.ifna(VLOOKUP(G1084,Proyectos!$E$1:$N$4,10,0),"")</f>
        <v>#NAME?</v>
      </c>
      <c r="M1083" s="32"/>
      <c r="N1083" s="31"/>
      <c r="O1083" s="31"/>
      <c r="P1083" s="33"/>
      <c r="Q1083" s="33"/>
    </row>
    <row r="1084" spans="1:17" ht="16.5" customHeight="1" x14ac:dyDescent="0.2">
      <c r="A1084" s="26" t="s">
        <v>4193</v>
      </c>
      <c r="B1084" s="26" t="s">
        <v>5567</v>
      </c>
      <c r="C1084" s="26" t="s">
        <v>115</v>
      </c>
      <c r="D1084" s="26" t="s">
        <v>131</v>
      </c>
      <c r="E1084" s="26" t="s">
        <v>87</v>
      </c>
      <c r="F1084" s="28" t="e">
        <f ca="1">_xludf.ifna(VLOOKUP(G1085,Proyectos!$E$1:$H$4,4,0),"")</f>
        <v>#NAME?</v>
      </c>
      <c r="G1084" s="26" t="s">
        <v>5597</v>
      </c>
      <c r="H1084" s="32">
        <v>0.75</v>
      </c>
      <c r="I1084" s="31" t="s">
        <v>25</v>
      </c>
      <c r="J1084" s="31" t="s">
        <v>5848</v>
      </c>
      <c r="K1084" s="32" t="str">
        <f t="shared" si="4"/>
        <v>Externo</v>
      </c>
      <c r="L1084" s="32" t="e">
        <f ca="1">_xludf.ifna(VLOOKUP(G1085,Proyectos!$E$1:$N$4,10,0),"")</f>
        <v>#NAME?</v>
      </c>
      <c r="M1084" s="32"/>
      <c r="N1084" s="31"/>
      <c r="O1084" s="31"/>
      <c r="P1084" s="33"/>
      <c r="Q1084" s="33"/>
    </row>
    <row r="1085" spans="1:17" ht="16.5" customHeight="1" x14ac:dyDescent="0.2">
      <c r="A1085" s="26" t="s">
        <v>4193</v>
      </c>
      <c r="B1085" s="26" t="s">
        <v>5567</v>
      </c>
      <c r="C1085" s="26" t="s">
        <v>115</v>
      </c>
      <c r="D1085" s="26" t="s">
        <v>131</v>
      </c>
      <c r="E1085" s="26" t="s">
        <v>87</v>
      </c>
      <c r="F1085" s="28" t="e">
        <f ca="1">_xludf.ifna(VLOOKUP(G1086,Proyectos!$E$1:$H$4,4,0),"")</f>
        <v>#NAME?</v>
      </c>
      <c r="G1085" s="26" t="s">
        <v>5559</v>
      </c>
      <c r="H1085" s="32">
        <v>0.25</v>
      </c>
      <c r="I1085" s="31" t="s">
        <v>25</v>
      </c>
      <c r="J1085" s="31"/>
      <c r="K1085" s="32" t="str">
        <f t="shared" si="4"/>
        <v>Externo</v>
      </c>
      <c r="L1085" s="32" t="e">
        <f ca="1">_xludf.ifna(VLOOKUP(G1086,Proyectos!$E$1:$N$4,10,0),"")</f>
        <v>#NAME?</v>
      </c>
      <c r="M1085" s="32"/>
      <c r="N1085" s="31"/>
      <c r="O1085" s="31"/>
      <c r="P1085" s="33"/>
      <c r="Q1085" s="33"/>
    </row>
    <row r="1086" spans="1:17" ht="16.5" customHeight="1" x14ac:dyDescent="0.2">
      <c r="A1086" s="26" t="s">
        <v>4112</v>
      </c>
      <c r="B1086" s="26" t="s">
        <v>5849</v>
      </c>
      <c r="C1086" s="26" t="s">
        <v>98</v>
      </c>
      <c r="D1086" s="26" t="s">
        <v>102</v>
      </c>
      <c r="E1086" s="26" t="s">
        <v>108</v>
      </c>
      <c r="F1086" s="28" t="e">
        <f ca="1">_xludf.ifna(VLOOKUP(G1087,Proyectos!$E$1:$H$4,4,0),"")</f>
        <v>#NAME?</v>
      </c>
      <c r="G1086" s="26" t="s">
        <v>5597</v>
      </c>
      <c r="H1086" s="32">
        <v>1</v>
      </c>
      <c r="I1086" s="31" t="s">
        <v>32</v>
      </c>
      <c r="J1086" s="32"/>
      <c r="K1086" s="32" t="str">
        <f t="shared" si="4"/>
        <v>Externo</v>
      </c>
      <c r="L1086" s="32" t="e">
        <f ca="1">_xludf.ifna(VLOOKUP(G1087,Proyectos!$E$1:$N$4,10,0),"")</f>
        <v>#NAME?</v>
      </c>
      <c r="M1086" s="32"/>
      <c r="N1086" s="32"/>
      <c r="O1086" s="31"/>
      <c r="P1086" s="33"/>
      <c r="Q1086" s="33"/>
    </row>
    <row r="1087" spans="1:17" ht="16.5" customHeight="1" x14ac:dyDescent="0.2">
      <c r="A1087" s="26" t="s">
        <v>4851</v>
      </c>
      <c r="B1087" s="26" t="s">
        <v>5298</v>
      </c>
      <c r="C1087" s="53" t="s">
        <v>64</v>
      </c>
      <c r="D1087" s="26" t="s">
        <v>92</v>
      </c>
      <c r="E1087" s="26" t="s">
        <v>100</v>
      </c>
      <c r="F1087" s="28" t="e">
        <f ca="1">_xludf.ifna(VLOOKUP(G1088,Proyectos!$E$1:$H$4,4,0),"")</f>
        <v>#NAME?</v>
      </c>
      <c r="G1087" s="26" t="s">
        <v>5652</v>
      </c>
      <c r="H1087" s="32">
        <v>1</v>
      </c>
      <c r="I1087" s="31" t="s">
        <v>18</v>
      </c>
      <c r="J1087" s="32"/>
      <c r="K1087" s="32" t="str">
        <f t="shared" si="4"/>
        <v>Externo</v>
      </c>
      <c r="L1087" s="32" t="e">
        <f ca="1">_xludf.ifna(VLOOKUP(G1088,Proyectos!$E$1:$N$4,10,0),"")</f>
        <v>#NAME?</v>
      </c>
      <c r="M1087" s="32"/>
      <c r="N1087" s="32"/>
      <c r="O1087" s="31"/>
      <c r="P1087" s="33"/>
      <c r="Q1087" s="33"/>
    </row>
    <row r="1088" spans="1:17" ht="16.5" customHeight="1" x14ac:dyDescent="0.2">
      <c r="A1088" s="26" t="s">
        <v>4425</v>
      </c>
      <c r="B1088" s="26" t="s">
        <v>4426</v>
      </c>
      <c r="C1088" s="26" t="s">
        <v>37</v>
      </c>
      <c r="D1088" s="26" t="s">
        <v>38</v>
      </c>
      <c r="E1088" s="26" t="s">
        <v>9</v>
      </c>
      <c r="F1088" s="28" t="e">
        <f ca="1">_xludf.ifna(VLOOKUP(G1089,Proyectos!$E$1:$H$4,4,0),"")</f>
        <v>#NAME?</v>
      </c>
      <c r="G1088" s="26" t="s">
        <v>5341</v>
      </c>
      <c r="H1088" s="32">
        <v>0.1</v>
      </c>
      <c r="I1088" s="31" t="s">
        <v>18</v>
      </c>
      <c r="J1088" s="32"/>
      <c r="K1088" s="32" t="str">
        <f t="shared" si="4"/>
        <v>Externo</v>
      </c>
      <c r="L1088" s="32" t="e">
        <f ca="1">_xludf.ifna(VLOOKUP(G1089,Proyectos!$E$1:$N$4,10,0),"")</f>
        <v>#NAME?</v>
      </c>
      <c r="M1088" s="32"/>
      <c r="N1088" s="31"/>
      <c r="O1088" s="31"/>
      <c r="P1088" s="33"/>
      <c r="Q1088" s="33"/>
    </row>
    <row r="1089" spans="1:17" ht="16.5" customHeight="1" x14ac:dyDescent="0.2">
      <c r="A1089" s="26" t="s">
        <v>3516</v>
      </c>
      <c r="B1089" s="26" t="s">
        <v>3517</v>
      </c>
      <c r="C1089" s="26" t="s">
        <v>115</v>
      </c>
      <c r="D1089" s="26" t="s">
        <v>116</v>
      </c>
      <c r="E1089" s="26" t="s">
        <v>39</v>
      </c>
      <c r="F1089" s="28" t="e">
        <f ca="1">_xludf.ifna(VLOOKUP(G1090,Proyectos!$E$1:$H$4,4,0),"")</f>
        <v>#NAME?</v>
      </c>
      <c r="G1089" s="26" t="s">
        <v>5318</v>
      </c>
      <c r="H1089" s="32">
        <v>0.75</v>
      </c>
      <c r="I1089" s="31" t="s">
        <v>18</v>
      </c>
      <c r="J1089" s="32"/>
      <c r="K1089" s="32" t="str">
        <f t="shared" si="4"/>
        <v>Interno</v>
      </c>
      <c r="L1089" s="32" t="e">
        <f ca="1">_xludf.ifna(VLOOKUP(G1090,Proyectos!$E$1:$N$4,10,0),"")</f>
        <v>#NAME?</v>
      </c>
      <c r="M1089" s="32"/>
      <c r="N1089" s="32"/>
      <c r="O1089" s="31"/>
      <c r="P1089" s="33"/>
      <c r="Q1089" s="33"/>
    </row>
    <row r="1090" spans="1:17" ht="16.5" customHeight="1" x14ac:dyDescent="0.2">
      <c r="A1090" s="26" t="s">
        <v>3516</v>
      </c>
      <c r="B1090" s="26" t="s">
        <v>3517</v>
      </c>
      <c r="C1090" s="26" t="s">
        <v>115</v>
      </c>
      <c r="D1090" s="26" t="s">
        <v>116</v>
      </c>
      <c r="E1090" s="26" t="s">
        <v>39</v>
      </c>
      <c r="F1090" s="28" t="e">
        <f ca="1">_xludf.ifna(VLOOKUP(G1091,Proyectos!$E$1:$H$4,4,0),"")</f>
        <v>#NAME?</v>
      </c>
      <c r="G1090" s="26" t="s">
        <v>5324</v>
      </c>
      <c r="H1090" s="32">
        <v>0.25</v>
      </c>
      <c r="I1090" s="31" t="s">
        <v>18</v>
      </c>
      <c r="J1090" s="32"/>
      <c r="K1090" s="32" t="str">
        <f t="shared" si="4"/>
        <v>Interno</v>
      </c>
      <c r="L1090" s="32" t="e">
        <f ca="1">_xludf.ifna(VLOOKUP(G1091,Proyectos!$E$1:$N$4,10,0),"")</f>
        <v>#NAME?</v>
      </c>
      <c r="M1090" s="32"/>
      <c r="N1090" s="32"/>
      <c r="O1090" s="31"/>
      <c r="P1090" s="33"/>
      <c r="Q1090" s="33"/>
    </row>
    <row r="1091" spans="1:17" ht="16.5" customHeight="1" x14ac:dyDescent="0.2">
      <c r="A1091" s="35" t="s">
        <v>4255</v>
      </c>
      <c r="B1091" s="26" t="s">
        <v>5508</v>
      </c>
      <c r="C1091" s="26" t="s">
        <v>64</v>
      </c>
      <c r="D1091" s="26" t="s">
        <v>82</v>
      </c>
      <c r="E1091" s="35" t="s">
        <v>100</v>
      </c>
      <c r="F1091" s="28" t="e">
        <f ca="1">_xludf.ifna(VLOOKUP(G1092,Proyectos!$E$1:$H$4,4,0),"")</f>
        <v>#NAME?</v>
      </c>
      <c r="G1091" s="26" t="s">
        <v>5387</v>
      </c>
      <c r="H1091" s="32">
        <v>1</v>
      </c>
      <c r="I1091" s="31" t="s">
        <v>18</v>
      </c>
      <c r="J1091" s="32"/>
      <c r="K1091" s="32" t="str">
        <f t="shared" si="4"/>
        <v>Externo</v>
      </c>
      <c r="L1091" s="32" t="e">
        <f ca="1">_xludf.ifna(VLOOKUP(G1092,Proyectos!$E$1:$N$4,10,0),"")</f>
        <v>#NAME?</v>
      </c>
      <c r="M1091" s="32"/>
      <c r="N1091" s="32"/>
      <c r="O1091" s="31"/>
      <c r="P1091" s="33"/>
      <c r="Q1091" s="33"/>
    </row>
    <row r="1092" spans="1:17" ht="16.5" customHeight="1" x14ac:dyDescent="0.2">
      <c r="A1092" s="26" t="s">
        <v>3910</v>
      </c>
      <c r="B1092" s="26" t="s">
        <v>3911</v>
      </c>
      <c r="C1092" s="26" t="s">
        <v>115</v>
      </c>
      <c r="D1092" s="26" t="s">
        <v>122</v>
      </c>
      <c r="E1092" s="26" t="s">
        <v>108</v>
      </c>
      <c r="F1092" s="28" t="e">
        <f ca="1">_xludf.ifna(VLOOKUP(G1093,Proyectos!$E$1:$H$4,4,0),"")</f>
        <v>#NAME?</v>
      </c>
      <c r="G1092" s="26" t="s">
        <v>5588</v>
      </c>
      <c r="H1092" s="32">
        <v>0.1</v>
      </c>
      <c r="I1092" s="31" t="s">
        <v>25</v>
      </c>
      <c r="J1092" s="32"/>
      <c r="K1092" s="32" t="str">
        <f t="shared" si="4"/>
        <v>Externo</v>
      </c>
      <c r="L1092" s="32" t="e">
        <f ca="1">_xludf.ifna(VLOOKUP(G1093,Proyectos!$E$1:$N$4,10,0),"")</f>
        <v>#NAME?</v>
      </c>
      <c r="M1092" s="32"/>
      <c r="N1092" s="32"/>
      <c r="O1092" s="31"/>
      <c r="P1092" s="33"/>
      <c r="Q1092" s="33"/>
    </row>
    <row r="1093" spans="1:17" ht="16.5" customHeight="1" x14ac:dyDescent="0.2">
      <c r="A1093" s="26" t="s">
        <v>3910</v>
      </c>
      <c r="B1093" s="26" t="s">
        <v>3911</v>
      </c>
      <c r="C1093" s="26" t="s">
        <v>115</v>
      </c>
      <c r="D1093" s="26" t="s">
        <v>122</v>
      </c>
      <c r="E1093" s="26" t="s">
        <v>108</v>
      </c>
      <c r="F1093" s="28" t="e">
        <f ca="1">_xludf.ifna(VLOOKUP(G1094,Proyectos!$E$1:$H$4,4,0),"")</f>
        <v>#NAME?</v>
      </c>
      <c r="G1093" s="26" t="s">
        <v>5597</v>
      </c>
      <c r="H1093" s="32">
        <v>0.6</v>
      </c>
      <c r="I1093" s="31" t="s">
        <v>25</v>
      </c>
      <c r="J1093" s="32"/>
      <c r="K1093" s="32" t="str">
        <f t="shared" si="4"/>
        <v>Externo</v>
      </c>
      <c r="L1093" s="32" t="e">
        <f ca="1">_xludf.ifna(VLOOKUP(G1094,Proyectos!$E$1:$N$4,10,0),"")</f>
        <v>#NAME?</v>
      </c>
      <c r="M1093" s="32"/>
      <c r="N1093" s="31"/>
      <c r="O1093" s="31"/>
      <c r="P1093" s="33"/>
      <c r="Q1093" s="33"/>
    </row>
    <row r="1094" spans="1:17" ht="16.5" customHeight="1" x14ac:dyDescent="0.2">
      <c r="A1094" s="26" t="s">
        <v>3910</v>
      </c>
      <c r="B1094" s="26" t="s">
        <v>3911</v>
      </c>
      <c r="C1094" s="26" t="s">
        <v>115</v>
      </c>
      <c r="D1094" s="26" t="s">
        <v>122</v>
      </c>
      <c r="E1094" s="26" t="s">
        <v>108</v>
      </c>
      <c r="F1094" s="28" t="e">
        <f ca="1">_xludf.ifna(VLOOKUP(G1095,Proyectos!$E$1:$H$4,4,0),"")</f>
        <v>#NAME?</v>
      </c>
      <c r="G1094" s="26" t="s">
        <v>5423</v>
      </c>
      <c r="H1094" s="32">
        <v>0.2</v>
      </c>
      <c r="I1094" s="31" t="s">
        <v>25</v>
      </c>
      <c r="J1094" s="32"/>
      <c r="K1094" s="32" t="str">
        <f t="shared" si="4"/>
        <v>Externo</v>
      </c>
      <c r="L1094" s="32" t="e">
        <f ca="1">_xludf.ifna(VLOOKUP(G1095,Proyectos!$E$1:$N$4,10,0),"")</f>
        <v>#NAME?</v>
      </c>
      <c r="M1094" s="32"/>
      <c r="N1094" s="31"/>
      <c r="O1094" s="31"/>
      <c r="P1094" s="33"/>
      <c r="Q1094" s="33"/>
    </row>
    <row r="1095" spans="1:17" ht="16.5" customHeight="1" x14ac:dyDescent="0.2">
      <c r="A1095" s="26" t="s">
        <v>3910</v>
      </c>
      <c r="B1095" s="26" t="s">
        <v>3911</v>
      </c>
      <c r="C1095" s="26" t="s">
        <v>115</v>
      </c>
      <c r="D1095" s="26" t="s">
        <v>122</v>
      </c>
      <c r="E1095" s="26" t="s">
        <v>108</v>
      </c>
      <c r="F1095" s="28" t="e">
        <f ca="1">_xludf.ifna(VLOOKUP(G1096,Proyectos!$E$1:$H$4,4,0),"")</f>
        <v>#NAME?</v>
      </c>
      <c r="G1095" s="26" t="s">
        <v>5414</v>
      </c>
      <c r="H1095" s="32">
        <v>0.1</v>
      </c>
      <c r="I1095" s="31" t="s">
        <v>25</v>
      </c>
      <c r="J1095" s="32"/>
      <c r="K1095" s="32" t="str">
        <f t="shared" si="4"/>
        <v>Externo</v>
      </c>
      <c r="L1095" s="32" t="e">
        <f ca="1">_xludf.ifna(VLOOKUP(G1096,Proyectos!$E$1:$N$4,10,0),"")</f>
        <v>#NAME?</v>
      </c>
      <c r="M1095" s="32"/>
      <c r="N1095" s="32"/>
      <c r="O1095" s="31"/>
      <c r="P1095" s="33"/>
      <c r="Q1095" s="33"/>
    </row>
    <row r="1096" spans="1:17" ht="16.5" customHeight="1" x14ac:dyDescent="0.2">
      <c r="A1096" s="26" t="s">
        <v>5850</v>
      </c>
      <c r="B1096" s="26" t="s">
        <v>5851</v>
      </c>
      <c r="C1096" s="26" t="s">
        <v>115</v>
      </c>
      <c r="D1096" s="26" t="s">
        <v>122</v>
      </c>
      <c r="E1096" s="26" t="s">
        <v>39</v>
      </c>
      <c r="F1096" s="28" t="e">
        <f ca="1">_xludf.ifna(VLOOKUP(G1097,Proyectos!$E$1:$H$4,4,0),"")</f>
        <v>#NAME?</v>
      </c>
      <c r="G1096" s="26" t="s">
        <v>5427</v>
      </c>
      <c r="H1096" s="32">
        <v>0.3</v>
      </c>
      <c r="I1096" s="31" t="s">
        <v>18</v>
      </c>
      <c r="J1096" s="32"/>
      <c r="K1096" s="32" t="str">
        <f t="shared" si="4"/>
        <v>Interno</v>
      </c>
      <c r="L1096" s="32" t="e">
        <f ca="1">_xludf.ifna(VLOOKUP(G1097,Proyectos!$E$1:$N$4,10,0),"")</f>
        <v>#NAME?</v>
      </c>
      <c r="M1096" s="32"/>
      <c r="N1096" s="31"/>
      <c r="O1096" s="31"/>
      <c r="P1096" s="33"/>
      <c r="Q1096" s="33"/>
    </row>
    <row r="1097" spans="1:17" ht="16.5" customHeight="1" x14ac:dyDescent="0.2">
      <c r="A1097" s="26" t="s">
        <v>5850</v>
      </c>
      <c r="B1097" s="26" t="s">
        <v>5851</v>
      </c>
      <c r="C1097" s="26" t="s">
        <v>115</v>
      </c>
      <c r="D1097" s="26" t="s">
        <v>122</v>
      </c>
      <c r="E1097" s="26" t="s">
        <v>39</v>
      </c>
      <c r="F1097" s="28" t="e">
        <f ca="1">_xludf.ifna(VLOOKUP(G1098,Proyectos!$E$1:$H$4,4,0),"")</f>
        <v>#NAME?</v>
      </c>
      <c r="G1097" s="26" t="s">
        <v>5597</v>
      </c>
      <c r="H1097" s="32">
        <v>0.7</v>
      </c>
      <c r="I1097" s="31" t="s">
        <v>18</v>
      </c>
      <c r="J1097" s="32"/>
      <c r="K1097" s="32" t="str">
        <f t="shared" si="4"/>
        <v>Interno</v>
      </c>
      <c r="L1097" s="32" t="e">
        <f ca="1">_xludf.ifna(VLOOKUP(G1098,Proyectos!$E$1:$N$4,10,0),"")</f>
        <v>#NAME?</v>
      </c>
      <c r="M1097" s="32"/>
      <c r="N1097" s="31"/>
      <c r="O1097" s="31"/>
      <c r="P1097" s="33"/>
      <c r="Q1097" s="33"/>
    </row>
    <row r="1098" spans="1:17" ht="16.5" customHeight="1" x14ac:dyDescent="0.2">
      <c r="A1098" s="26" t="s">
        <v>3771</v>
      </c>
      <c r="B1098" s="26" t="s">
        <v>3772</v>
      </c>
      <c r="C1098" s="26" t="s">
        <v>115</v>
      </c>
      <c r="D1098" s="26" t="s">
        <v>128</v>
      </c>
      <c r="E1098" s="26" t="s">
        <v>39</v>
      </c>
      <c r="F1098" s="28" t="e">
        <f ca="1">_xludf.ifna(VLOOKUP(G1099,Proyectos!$E$1:$H$4,4,0),"")</f>
        <v>#NAME?</v>
      </c>
      <c r="G1098" s="26" t="s">
        <v>5576</v>
      </c>
      <c r="H1098" s="32">
        <v>1</v>
      </c>
      <c r="I1098" s="31" t="s">
        <v>18</v>
      </c>
      <c r="J1098" s="32"/>
      <c r="K1098" s="32" t="str">
        <f t="shared" si="4"/>
        <v>Interno</v>
      </c>
      <c r="L1098" s="32" t="e">
        <f ca="1">_xludf.ifna(VLOOKUP(G1099,Proyectos!$E$1:$N$4,10,0),"")</f>
        <v>#NAME?</v>
      </c>
      <c r="M1098" s="32"/>
      <c r="N1098" s="32"/>
      <c r="O1098" s="31"/>
      <c r="P1098" s="33"/>
      <c r="Q1098" s="33"/>
    </row>
    <row r="1099" spans="1:17" ht="16.5" customHeight="1" x14ac:dyDescent="0.2">
      <c r="A1099" s="26" t="s">
        <v>3489</v>
      </c>
      <c r="B1099" s="26" t="s">
        <v>3490</v>
      </c>
      <c r="C1099" s="26" t="s">
        <v>37</v>
      </c>
      <c r="D1099" s="26" t="s">
        <v>45</v>
      </c>
      <c r="E1099" s="26" t="s">
        <v>39</v>
      </c>
      <c r="F1099" s="28" t="e">
        <f ca="1">_xludf.ifna(VLOOKUP(G1100,Proyectos!$E$1:$H$4,4,0),"")</f>
        <v>#NAME?</v>
      </c>
      <c r="G1099" s="26" t="s">
        <v>5121</v>
      </c>
      <c r="H1099" s="32">
        <v>0.5</v>
      </c>
      <c r="I1099" s="31" t="s">
        <v>18</v>
      </c>
      <c r="J1099" s="32"/>
      <c r="K1099" s="32" t="str">
        <f t="shared" si="4"/>
        <v>Interno</v>
      </c>
      <c r="L1099" s="32" t="e">
        <f ca="1">_xludf.ifna(VLOOKUP(G1100,Proyectos!$E$1:$N$4,10,0),"")</f>
        <v>#NAME?</v>
      </c>
      <c r="M1099" s="32"/>
      <c r="N1099" s="31"/>
      <c r="O1099" s="31"/>
      <c r="P1099" s="33"/>
      <c r="Q1099" s="33"/>
    </row>
    <row r="1100" spans="1:17" ht="16.5" customHeight="1" x14ac:dyDescent="0.2">
      <c r="A1100" s="26" t="s">
        <v>3489</v>
      </c>
      <c r="B1100" s="26" t="s">
        <v>3490</v>
      </c>
      <c r="C1100" s="26" t="s">
        <v>37</v>
      </c>
      <c r="D1100" s="26" t="s">
        <v>45</v>
      </c>
      <c r="E1100" s="26" t="s">
        <v>39</v>
      </c>
      <c r="F1100" s="28" t="e">
        <f ca="1">_xludf.ifna(VLOOKUP(G1101,Proyectos!$E$1:$H$4,4,0),"")</f>
        <v>#NAME?</v>
      </c>
      <c r="G1100" s="26" t="s">
        <v>5122</v>
      </c>
      <c r="H1100" s="32">
        <v>0.5</v>
      </c>
      <c r="I1100" s="31" t="s">
        <v>18</v>
      </c>
      <c r="J1100" s="32"/>
      <c r="K1100" s="32" t="str">
        <f t="shared" si="4"/>
        <v>Interno</v>
      </c>
      <c r="L1100" s="32" t="e">
        <f ca="1">_xludf.ifna(VLOOKUP(G1101,Proyectos!$E$1:$N$4,10,0),"")</f>
        <v>#NAME?</v>
      </c>
      <c r="M1100" s="32"/>
      <c r="N1100" s="31"/>
      <c r="O1100" s="31"/>
      <c r="P1100" s="33"/>
      <c r="Q1100" s="33"/>
    </row>
    <row r="1101" spans="1:17" ht="16.5" customHeight="1" x14ac:dyDescent="0.2">
      <c r="A1101" s="26" t="s">
        <v>3540</v>
      </c>
      <c r="B1101" s="26" t="s">
        <v>3541</v>
      </c>
      <c r="C1101" s="26" t="s">
        <v>115</v>
      </c>
      <c r="D1101" s="26" t="s">
        <v>122</v>
      </c>
      <c r="E1101" s="26" t="s">
        <v>39</v>
      </c>
      <c r="F1101" s="28" t="e">
        <f ca="1">_xludf.ifna(VLOOKUP(G1102,Proyectos!$E$1:$H$4,4,0),"")</f>
        <v>#NAME?</v>
      </c>
      <c r="G1101" s="26" t="s">
        <v>5416</v>
      </c>
      <c r="H1101" s="32">
        <v>0.6</v>
      </c>
      <c r="I1101" s="31" t="s">
        <v>18</v>
      </c>
      <c r="J1101" s="32"/>
      <c r="K1101" s="32" t="str">
        <f t="shared" si="4"/>
        <v>Interno</v>
      </c>
      <c r="L1101" s="32" t="e">
        <f ca="1">_xludf.ifna(VLOOKUP(G1102,Proyectos!$E$1:$N$4,10,0),"")</f>
        <v>#NAME?</v>
      </c>
      <c r="M1101" s="32"/>
      <c r="N1101" s="31"/>
      <c r="O1101" s="31"/>
      <c r="P1101" s="33"/>
      <c r="Q1101" s="33"/>
    </row>
    <row r="1102" spans="1:17" ht="16.5" customHeight="1" x14ac:dyDescent="0.2">
      <c r="A1102" s="26" t="s">
        <v>3540</v>
      </c>
      <c r="B1102" s="26" t="s">
        <v>3541</v>
      </c>
      <c r="C1102" s="26" t="s">
        <v>115</v>
      </c>
      <c r="D1102" s="26" t="s">
        <v>122</v>
      </c>
      <c r="E1102" s="26" t="s">
        <v>39</v>
      </c>
      <c r="F1102" s="28" t="e">
        <f ca="1">_xludf.ifna(VLOOKUP(G1103,Proyectos!$E$1:$H$4,4,0),"")</f>
        <v>#NAME?</v>
      </c>
      <c r="G1102" s="26" t="s">
        <v>5117</v>
      </c>
      <c r="H1102" s="32">
        <v>0.4</v>
      </c>
      <c r="I1102" s="31" t="s">
        <v>18</v>
      </c>
      <c r="J1102" s="32"/>
      <c r="K1102" s="32" t="str">
        <f t="shared" si="4"/>
        <v>Interno</v>
      </c>
      <c r="L1102" s="32" t="e">
        <f ca="1">_xludf.ifna(VLOOKUP(G1103,Proyectos!$E$1:$N$4,10,0),"")</f>
        <v>#NAME?</v>
      </c>
      <c r="M1102" s="32"/>
      <c r="N1102" s="32"/>
      <c r="O1102" s="31"/>
      <c r="P1102" s="33"/>
      <c r="Q1102" s="33"/>
    </row>
    <row r="1103" spans="1:17" ht="16.5" customHeight="1" x14ac:dyDescent="0.2">
      <c r="A1103" s="26" t="s">
        <v>4633</v>
      </c>
      <c r="B1103" s="26" t="s">
        <v>4634</v>
      </c>
      <c r="C1103" s="26" t="s">
        <v>115</v>
      </c>
      <c r="D1103" s="26" t="s">
        <v>116</v>
      </c>
      <c r="E1103" s="26" t="s">
        <v>39</v>
      </c>
      <c r="F1103" s="28" t="e">
        <f ca="1">_xludf.ifna(VLOOKUP(G1104,Proyectos!$E$1:$H$4,4,0),"")</f>
        <v>#NAME?</v>
      </c>
      <c r="G1103" s="26" t="s">
        <v>5320</v>
      </c>
      <c r="H1103" s="32">
        <v>1</v>
      </c>
      <c r="I1103" s="31" t="s">
        <v>18</v>
      </c>
      <c r="J1103" s="32"/>
      <c r="K1103" s="32" t="str">
        <f t="shared" si="4"/>
        <v>Interno</v>
      </c>
      <c r="L1103" s="32" t="e">
        <f ca="1">_xludf.ifna(VLOOKUP(G1104,Proyectos!$E$1:$N$4,10,0),"")</f>
        <v>#NAME?</v>
      </c>
      <c r="M1103" s="32"/>
      <c r="N1103" s="31"/>
      <c r="O1103" s="31"/>
      <c r="P1103" s="33"/>
      <c r="Q1103" s="33"/>
    </row>
    <row r="1104" spans="1:17" ht="16.5" customHeight="1" x14ac:dyDescent="0.2">
      <c r="A1104" s="26" t="s">
        <v>3298</v>
      </c>
      <c r="B1104" s="26" t="s">
        <v>5852</v>
      </c>
      <c r="C1104" s="26" t="s">
        <v>115</v>
      </c>
      <c r="D1104" s="26" t="s">
        <v>131</v>
      </c>
      <c r="E1104" s="26" t="s">
        <v>39</v>
      </c>
      <c r="F1104" s="28" t="e">
        <f ca="1">_xludf.ifna(VLOOKUP(G1105,Proyectos!$E$1:$H$4,4,0),"")</f>
        <v>#NAME?</v>
      </c>
      <c r="G1104" s="26" t="s">
        <v>5559</v>
      </c>
      <c r="H1104" s="32">
        <v>0.75</v>
      </c>
      <c r="I1104" s="31" t="s">
        <v>18</v>
      </c>
      <c r="J1104" s="32"/>
      <c r="K1104" s="32" t="str">
        <f t="shared" si="4"/>
        <v>Interno</v>
      </c>
      <c r="L1104" s="32" t="e">
        <f ca="1">_xludf.ifna(VLOOKUP(G1105,Proyectos!$E$1:$N$4,10,0),"")</f>
        <v>#NAME?</v>
      </c>
      <c r="M1104" s="32"/>
      <c r="N1104" s="31"/>
      <c r="O1104" s="31"/>
      <c r="P1104" s="33"/>
      <c r="Q1104" s="33"/>
    </row>
    <row r="1105" spans="1:17" ht="16.5" customHeight="1" x14ac:dyDescent="0.2">
      <c r="A1105" s="26" t="s">
        <v>3298</v>
      </c>
      <c r="B1105" s="26" t="s">
        <v>5852</v>
      </c>
      <c r="C1105" s="26" t="s">
        <v>115</v>
      </c>
      <c r="D1105" s="26" t="s">
        <v>131</v>
      </c>
      <c r="E1105" s="26" t="s">
        <v>39</v>
      </c>
      <c r="F1105" s="28" t="e">
        <f ca="1">_xludf.ifna(VLOOKUP(G1106,Proyectos!$E$1:$H$4,4,0),"")</f>
        <v>#NAME?</v>
      </c>
      <c r="G1105" s="26" t="s">
        <v>5597</v>
      </c>
      <c r="H1105" s="32">
        <v>0.1</v>
      </c>
      <c r="I1105" s="31" t="s">
        <v>18</v>
      </c>
      <c r="J1105" s="31" t="s">
        <v>5818</v>
      </c>
      <c r="K1105" s="32" t="str">
        <f t="shared" si="4"/>
        <v>Interno</v>
      </c>
      <c r="L1105" s="32" t="e">
        <f ca="1">_xludf.ifna(VLOOKUP(G1106,Proyectos!$E$1:$N$4,10,0),"")</f>
        <v>#NAME?</v>
      </c>
      <c r="M1105" s="32"/>
      <c r="N1105" s="31"/>
      <c r="O1105" s="31"/>
      <c r="P1105" s="33"/>
      <c r="Q1105" s="33"/>
    </row>
    <row r="1106" spans="1:17" ht="16.5" customHeight="1" x14ac:dyDescent="0.2">
      <c r="A1106" s="26" t="s">
        <v>3298</v>
      </c>
      <c r="B1106" s="26" t="s">
        <v>5852</v>
      </c>
      <c r="C1106" s="26" t="s">
        <v>115</v>
      </c>
      <c r="D1106" s="26" t="s">
        <v>131</v>
      </c>
      <c r="E1106" s="26" t="s">
        <v>39</v>
      </c>
      <c r="F1106" s="28" t="e">
        <f ca="1">_xludf.ifna(VLOOKUP(G1107,Proyectos!$E$1:$H$4,4,0),"")</f>
        <v>#NAME?</v>
      </c>
      <c r="G1106" s="26" t="s">
        <v>5318</v>
      </c>
      <c r="H1106" s="32">
        <v>0.15</v>
      </c>
      <c r="I1106" s="31" t="s">
        <v>18</v>
      </c>
      <c r="J1106" s="32"/>
      <c r="K1106" s="32" t="str">
        <f t="shared" si="4"/>
        <v>Interno</v>
      </c>
      <c r="L1106" s="32" t="e">
        <f ca="1">_xludf.ifna(VLOOKUP(G1107,Proyectos!$E$1:$N$4,10,0),"")</f>
        <v>#NAME?</v>
      </c>
      <c r="M1106" s="32"/>
      <c r="N1106" s="32"/>
      <c r="O1106" s="31"/>
      <c r="P1106" s="33"/>
      <c r="Q1106" s="33"/>
    </row>
    <row r="1107" spans="1:17" ht="16.5" customHeight="1" x14ac:dyDescent="0.2">
      <c r="A1107" s="26" t="s">
        <v>4611</v>
      </c>
      <c r="B1107" s="26" t="s">
        <v>4612</v>
      </c>
      <c r="C1107" s="26" t="s">
        <v>115</v>
      </c>
      <c r="D1107" s="26" t="s">
        <v>116</v>
      </c>
      <c r="E1107" s="26" t="s">
        <v>39</v>
      </c>
      <c r="F1107" s="28" t="e">
        <f ca="1">_xludf.ifna(VLOOKUP(G1108,Proyectos!$E$1:$H$4,4,0),"")</f>
        <v>#NAME?</v>
      </c>
      <c r="G1107" s="26" t="s">
        <v>5597</v>
      </c>
      <c r="H1107" s="32">
        <v>1</v>
      </c>
      <c r="I1107" s="31" t="s">
        <v>18</v>
      </c>
      <c r="J1107" s="32"/>
      <c r="K1107" s="32" t="str">
        <f t="shared" si="4"/>
        <v>Interno</v>
      </c>
      <c r="L1107" s="32" t="e">
        <f ca="1">_xludf.ifna(VLOOKUP(G1108,Proyectos!$E$1:$N$4,10,0),"")</f>
        <v>#NAME?</v>
      </c>
      <c r="M1107" s="32"/>
      <c r="N1107" s="31"/>
      <c r="O1107" s="31"/>
      <c r="P1107" s="33"/>
      <c r="Q1107" s="33"/>
    </row>
    <row r="1108" spans="1:17" ht="16.5" customHeight="1" x14ac:dyDescent="0.2">
      <c r="A1108" s="26" t="s">
        <v>3687</v>
      </c>
      <c r="B1108" s="26" t="s">
        <v>3688</v>
      </c>
      <c r="C1108" s="26" t="s">
        <v>115</v>
      </c>
      <c r="D1108" s="26" t="s">
        <v>119</v>
      </c>
      <c r="E1108" s="26" t="s">
        <v>39</v>
      </c>
      <c r="F1108" s="28" t="e">
        <f ca="1">_xludf.ifna(VLOOKUP(G1109,Proyectos!$E$1:$H$4,4,0),"")</f>
        <v>#NAME?</v>
      </c>
      <c r="G1108" s="26" t="s">
        <v>5217</v>
      </c>
      <c r="H1108" s="32">
        <v>1</v>
      </c>
      <c r="I1108" s="31" t="s">
        <v>18</v>
      </c>
      <c r="J1108" s="32"/>
      <c r="K1108" s="32" t="str">
        <f t="shared" si="4"/>
        <v>Interno</v>
      </c>
      <c r="L1108" s="32" t="e">
        <f ca="1">_xludf.ifna(VLOOKUP(G1109,Proyectos!$E$1:$N$4,10,0),"")</f>
        <v>#NAME?</v>
      </c>
      <c r="M1108" s="32"/>
      <c r="N1108" s="32"/>
      <c r="O1108" s="31"/>
      <c r="P1108" s="33"/>
      <c r="Q1108" s="33"/>
    </row>
    <row r="1109" spans="1:17" ht="16.5" customHeight="1" x14ac:dyDescent="0.2">
      <c r="A1109" s="26" t="s">
        <v>3453</v>
      </c>
      <c r="B1109" s="26" t="s">
        <v>3454</v>
      </c>
      <c r="C1109" s="26" t="s">
        <v>115</v>
      </c>
      <c r="D1109" s="26" t="s">
        <v>122</v>
      </c>
      <c r="E1109" s="26" t="s">
        <v>39</v>
      </c>
      <c r="F1109" s="28" t="e">
        <f ca="1">_xludf.ifna(VLOOKUP(G1110,Proyectos!$E$1:$H$4,4,0),"")</f>
        <v>#NAME?</v>
      </c>
      <c r="G1109" s="26" t="s">
        <v>5428</v>
      </c>
      <c r="H1109" s="32">
        <v>0.4</v>
      </c>
      <c r="I1109" s="31" t="s">
        <v>18</v>
      </c>
      <c r="J1109" s="32"/>
      <c r="K1109" s="32" t="str">
        <f t="shared" si="4"/>
        <v>Interno</v>
      </c>
      <c r="L1109" s="32" t="e">
        <f ca="1">_xludf.ifna(VLOOKUP(G1110,Proyectos!$E$1:$N$4,10,0),"")</f>
        <v>#NAME?</v>
      </c>
      <c r="M1109" s="32"/>
      <c r="N1109" s="31"/>
      <c r="O1109" s="31"/>
      <c r="P1109" s="33"/>
      <c r="Q1109" s="33"/>
    </row>
    <row r="1110" spans="1:17" ht="16.5" customHeight="1" x14ac:dyDescent="0.2">
      <c r="A1110" s="26" t="s">
        <v>3453</v>
      </c>
      <c r="B1110" s="26" t="s">
        <v>3454</v>
      </c>
      <c r="C1110" s="26" t="s">
        <v>115</v>
      </c>
      <c r="D1110" s="26" t="s">
        <v>122</v>
      </c>
      <c r="E1110" s="26" t="s">
        <v>39</v>
      </c>
      <c r="F1110" s="28" t="e">
        <f ca="1">_xludf.ifna(VLOOKUP(G1111,Proyectos!$E$1:$H$4,4,0),"")</f>
        <v>#NAME?</v>
      </c>
      <c r="G1110" s="26" t="s">
        <v>5432</v>
      </c>
      <c r="H1110" s="32">
        <v>0.2</v>
      </c>
      <c r="I1110" s="31" t="s">
        <v>18</v>
      </c>
      <c r="J1110" s="32"/>
      <c r="K1110" s="32" t="str">
        <f t="shared" si="4"/>
        <v>Interno</v>
      </c>
      <c r="L1110" s="32" t="e">
        <f ca="1">_xludf.ifna(VLOOKUP(G1111,Proyectos!$E$1:$N$4,10,0),"")</f>
        <v>#NAME?</v>
      </c>
      <c r="M1110" s="32"/>
      <c r="N1110" s="31"/>
      <c r="O1110" s="31"/>
      <c r="P1110" s="33"/>
      <c r="Q1110" s="33"/>
    </row>
    <row r="1111" spans="1:17" ht="16.5" customHeight="1" x14ac:dyDescent="0.2">
      <c r="A1111" s="26" t="s">
        <v>3453</v>
      </c>
      <c r="B1111" s="26" t="s">
        <v>3454</v>
      </c>
      <c r="C1111" s="26" t="s">
        <v>115</v>
      </c>
      <c r="D1111" s="26" t="s">
        <v>122</v>
      </c>
      <c r="E1111" s="26" t="s">
        <v>39</v>
      </c>
      <c r="F1111" s="28" t="e">
        <f ca="1">_xludf.ifna(VLOOKUP(G1112,Proyectos!$E$1:$H$4,4,0),"")</f>
        <v>#NAME?</v>
      </c>
      <c r="G1111" s="26" t="s">
        <v>5429</v>
      </c>
      <c r="H1111" s="32">
        <v>0.1</v>
      </c>
      <c r="I1111" s="31" t="s">
        <v>18</v>
      </c>
      <c r="J1111" s="32"/>
      <c r="K1111" s="32" t="str">
        <f t="shared" si="4"/>
        <v>Interno</v>
      </c>
      <c r="L1111" s="32" t="e">
        <f ca="1">_xludf.ifna(VLOOKUP(G1112,Proyectos!$E$1:$N$4,10,0),"")</f>
        <v>#NAME?</v>
      </c>
      <c r="M1111" s="32"/>
      <c r="N1111" s="31"/>
      <c r="O1111" s="31"/>
      <c r="P1111" s="33"/>
      <c r="Q1111" s="33"/>
    </row>
    <row r="1112" spans="1:17" ht="16.5" customHeight="1" x14ac:dyDescent="0.2">
      <c r="A1112" s="26" t="s">
        <v>3453</v>
      </c>
      <c r="B1112" s="26" t="s">
        <v>3454</v>
      </c>
      <c r="C1112" s="26" t="s">
        <v>115</v>
      </c>
      <c r="D1112" s="26" t="s">
        <v>122</v>
      </c>
      <c r="E1112" s="26" t="s">
        <v>39</v>
      </c>
      <c r="F1112" s="28" t="e">
        <f ca="1">_xludf.ifna(VLOOKUP(G1113,Proyectos!$E$1:$H$4,4,0),"")</f>
        <v>#NAME?</v>
      </c>
      <c r="G1112" s="26" t="s">
        <v>5597</v>
      </c>
      <c r="H1112" s="32">
        <v>0.3</v>
      </c>
      <c r="I1112" s="31" t="s">
        <v>18</v>
      </c>
      <c r="J1112" s="32"/>
      <c r="K1112" s="32" t="str">
        <f t="shared" si="4"/>
        <v>Interno</v>
      </c>
      <c r="L1112" s="32" t="e">
        <f ca="1">_xludf.ifna(VLOOKUP(G1113,Proyectos!$E$1:$N$4,10,0),"")</f>
        <v>#NAME?</v>
      </c>
      <c r="M1112" s="32"/>
      <c r="N1112" s="31"/>
      <c r="O1112" s="31"/>
      <c r="P1112" s="33"/>
      <c r="Q1112" s="33"/>
    </row>
    <row r="1113" spans="1:17" ht="16.5" customHeight="1" x14ac:dyDescent="0.2">
      <c r="A1113" s="26" t="s">
        <v>5061</v>
      </c>
      <c r="B1113" s="26" t="s">
        <v>5062</v>
      </c>
      <c r="C1113" s="26" t="s">
        <v>98</v>
      </c>
      <c r="D1113" s="26" t="s">
        <v>107</v>
      </c>
      <c r="E1113" s="26" t="s">
        <v>87</v>
      </c>
      <c r="F1113" s="28" t="e">
        <f ca="1">_xludf.ifna(VLOOKUP(G1114,Proyectos!$E$1:$H$4,4,0),"")</f>
        <v>#NAME?</v>
      </c>
      <c r="G1113" s="26" t="s">
        <v>5330</v>
      </c>
      <c r="H1113" s="32">
        <v>1</v>
      </c>
      <c r="I1113" s="31" t="s">
        <v>18</v>
      </c>
      <c r="J1113" s="32"/>
      <c r="K1113" s="32" t="str">
        <f t="shared" si="4"/>
        <v>Externo</v>
      </c>
      <c r="L1113" s="32" t="e">
        <f ca="1">_xludf.ifna(VLOOKUP(G1114,Proyectos!$E$1:$N$4,10,0),"")</f>
        <v>#NAME?</v>
      </c>
      <c r="M1113" s="32"/>
      <c r="N1113" s="32"/>
      <c r="O1113" s="31"/>
      <c r="P1113" s="33"/>
      <c r="Q1113" s="33"/>
    </row>
    <row r="1114" spans="1:17" ht="16.5" customHeight="1" x14ac:dyDescent="0.2">
      <c r="A1114" s="26" t="s">
        <v>3970</v>
      </c>
      <c r="B1114" s="26" t="s">
        <v>3971</v>
      </c>
      <c r="C1114" s="26" t="s">
        <v>115</v>
      </c>
      <c r="D1114" s="26" t="s">
        <v>116</v>
      </c>
      <c r="E1114" s="26" t="s">
        <v>126</v>
      </c>
      <c r="F1114" s="28" t="e">
        <f ca="1">_xludf.ifna(VLOOKUP(G1115,Proyectos!$E$1:$H$4,4,0),"")</f>
        <v>#NAME?</v>
      </c>
      <c r="G1114" s="26" t="s">
        <v>5597</v>
      </c>
      <c r="H1114" s="32">
        <v>1</v>
      </c>
      <c r="I1114" s="31" t="s">
        <v>18</v>
      </c>
      <c r="J1114" s="32"/>
      <c r="K1114" s="32" t="str">
        <f t="shared" si="4"/>
        <v>Externo</v>
      </c>
      <c r="L1114" s="32" t="e">
        <f ca="1">_xludf.ifna(VLOOKUP(G1115,Proyectos!$E$1:$N$4,10,0),"")</f>
        <v>#NAME?</v>
      </c>
      <c r="M1114" s="32"/>
      <c r="N1114" s="31"/>
      <c r="O1114" s="31"/>
      <c r="P1114" s="33"/>
      <c r="Q1114" s="33"/>
    </row>
    <row r="1115" spans="1:17" ht="16.5" customHeight="1" x14ac:dyDescent="0.2">
      <c r="A1115" s="26" t="s">
        <v>4002</v>
      </c>
      <c r="B1115" s="26" t="s">
        <v>4003</v>
      </c>
      <c r="C1115" s="26" t="s">
        <v>115</v>
      </c>
      <c r="D1115" s="26" t="s">
        <v>116</v>
      </c>
      <c r="E1115" s="26" t="s">
        <v>108</v>
      </c>
      <c r="F1115" s="28" t="e">
        <f ca="1">_xludf.ifna(VLOOKUP(G1116,Proyectos!$E$1:$H$4,4,0),"")</f>
        <v>#NAME?</v>
      </c>
      <c r="G1115" s="26" t="s">
        <v>5334</v>
      </c>
      <c r="H1115" s="32">
        <v>0.75</v>
      </c>
      <c r="I1115" s="31" t="s">
        <v>25</v>
      </c>
      <c r="J1115" s="32"/>
      <c r="K1115" s="32" t="str">
        <f t="shared" si="4"/>
        <v>Externo</v>
      </c>
      <c r="L1115" s="32" t="e">
        <f ca="1">_xludf.ifna(VLOOKUP(G1116,Proyectos!$E$1:$N$4,10,0),"")</f>
        <v>#NAME?</v>
      </c>
      <c r="M1115" s="32"/>
      <c r="N1115" s="31"/>
      <c r="O1115" s="31"/>
      <c r="P1115" s="33"/>
      <c r="Q1115" s="33"/>
    </row>
    <row r="1116" spans="1:17" ht="16.5" customHeight="1" x14ac:dyDescent="0.2">
      <c r="A1116" s="26" t="s">
        <v>4002</v>
      </c>
      <c r="B1116" s="26" t="s">
        <v>4003</v>
      </c>
      <c r="C1116" s="26" t="s">
        <v>115</v>
      </c>
      <c r="D1116" s="26" t="s">
        <v>116</v>
      </c>
      <c r="E1116" s="26" t="s">
        <v>108</v>
      </c>
      <c r="F1116" s="28" t="e">
        <f ca="1">_xludf.ifna(VLOOKUP(G1117,Proyectos!$E$1:$H$4,4,0),"")</f>
        <v>#NAME?</v>
      </c>
      <c r="G1116" s="26" t="s">
        <v>5331</v>
      </c>
      <c r="H1116" s="32">
        <v>0.25</v>
      </c>
      <c r="I1116" s="31" t="s">
        <v>25</v>
      </c>
      <c r="J1116" s="32"/>
      <c r="K1116" s="32" t="str">
        <f t="shared" si="4"/>
        <v>Externo</v>
      </c>
      <c r="L1116" s="32" t="e">
        <f ca="1">_xludf.ifna(VLOOKUP(G1117,Proyectos!$E$1:$N$4,10,0),"")</f>
        <v>#NAME?</v>
      </c>
      <c r="M1116" s="32"/>
      <c r="N1116" s="31"/>
      <c r="O1116" s="31"/>
      <c r="P1116" s="33"/>
      <c r="Q1116" s="33"/>
    </row>
    <row r="1117" spans="1:17" ht="16.5" customHeight="1" x14ac:dyDescent="0.2">
      <c r="A1117" s="26" t="s">
        <v>3729</v>
      </c>
      <c r="B1117" s="26" t="s">
        <v>3730</v>
      </c>
      <c r="C1117" s="26" t="s">
        <v>115</v>
      </c>
      <c r="D1117" s="26" t="s">
        <v>122</v>
      </c>
      <c r="E1117" s="26" t="s">
        <v>39</v>
      </c>
      <c r="F1117" s="28" t="e">
        <f ca="1">_xludf.ifna(VLOOKUP(G1118,Proyectos!$E$1:$H$4,4,0),"")</f>
        <v>#NAME?</v>
      </c>
      <c r="G1117" s="26" t="s">
        <v>5588</v>
      </c>
      <c r="H1117" s="32">
        <v>0.8</v>
      </c>
      <c r="I1117" s="31" t="s">
        <v>18</v>
      </c>
      <c r="J1117" s="32"/>
      <c r="K1117" s="32" t="str">
        <f t="shared" si="4"/>
        <v>Interno</v>
      </c>
      <c r="L1117" s="32" t="e">
        <f ca="1">_xludf.ifna(VLOOKUP(G1118,Proyectos!$E$1:$N$4,10,0),"")</f>
        <v>#NAME?</v>
      </c>
      <c r="M1117" s="32"/>
      <c r="N1117" s="32"/>
      <c r="O1117" s="31"/>
      <c r="P1117" s="33"/>
      <c r="Q1117" s="33"/>
    </row>
    <row r="1118" spans="1:17" ht="16.5" customHeight="1" x14ac:dyDescent="0.2">
      <c r="A1118" s="26" t="s">
        <v>3729</v>
      </c>
      <c r="B1118" s="26" t="s">
        <v>3730</v>
      </c>
      <c r="C1118" s="26" t="s">
        <v>115</v>
      </c>
      <c r="D1118" s="26" t="s">
        <v>122</v>
      </c>
      <c r="E1118" s="26" t="s">
        <v>39</v>
      </c>
      <c r="F1118" s="28" t="e">
        <f ca="1">_xludf.ifna(VLOOKUP(G1119,Proyectos!$E$1:$H$4,4,0),"")</f>
        <v>#NAME?</v>
      </c>
      <c r="G1118" s="26" t="s">
        <v>5282</v>
      </c>
      <c r="H1118" s="32">
        <v>0.2</v>
      </c>
      <c r="I1118" s="31" t="s">
        <v>18</v>
      </c>
      <c r="J1118" s="32"/>
      <c r="K1118" s="32" t="str">
        <f t="shared" si="4"/>
        <v>Interno</v>
      </c>
      <c r="L1118" s="32" t="e">
        <f ca="1">_xludf.ifna(VLOOKUP(G1119,Proyectos!$E$1:$N$4,10,0),"")</f>
        <v>#NAME?</v>
      </c>
      <c r="M1118" s="32"/>
      <c r="N1118" s="32"/>
      <c r="O1118" s="31"/>
      <c r="P1118" s="33"/>
      <c r="Q1118" s="33"/>
    </row>
    <row r="1119" spans="1:17" ht="16.5" customHeight="1" x14ac:dyDescent="0.2">
      <c r="A1119" s="35" t="s">
        <v>3689</v>
      </c>
      <c r="B1119" s="35" t="s">
        <v>3690</v>
      </c>
      <c r="C1119" s="26" t="s">
        <v>115</v>
      </c>
      <c r="D1119" s="26" t="s">
        <v>125</v>
      </c>
      <c r="E1119" s="26" t="s">
        <v>39</v>
      </c>
      <c r="F1119" s="28" t="e">
        <f ca="1">_xludf.ifna(VLOOKUP(G1120,Proyectos!$E$1:$H$4,4,0),"")</f>
        <v>#NAME?</v>
      </c>
      <c r="G1119" s="26" t="s">
        <v>5597</v>
      </c>
      <c r="H1119" s="32">
        <v>1</v>
      </c>
      <c r="I1119" s="31" t="s">
        <v>18</v>
      </c>
      <c r="J1119" s="31" t="s">
        <v>5853</v>
      </c>
      <c r="K1119" s="32" t="str">
        <f t="shared" si="4"/>
        <v>Interno</v>
      </c>
      <c r="L1119" s="32" t="e">
        <f ca="1">_xludf.ifna(VLOOKUP(G1120,Proyectos!$E$1:$N$4,10,0),"")</f>
        <v>#NAME?</v>
      </c>
      <c r="M1119" s="32"/>
      <c r="N1119" s="31"/>
      <c r="O1119" s="31"/>
      <c r="P1119" s="33"/>
      <c r="Q1119" s="33"/>
    </row>
    <row r="1120" spans="1:17" ht="16.5" customHeight="1" x14ac:dyDescent="0.2">
      <c r="A1120" s="26" t="s">
        <v>4417</v>
      </c>
      <c r="B1120" s="26" t="s">
        <v>5854</v>
      </c>
      <c r="C1120" s="26" t="s">
        <v>64</v>
      </c>
      <c r="D1120" s="26" t="s">
        <v>65</v>
      </c>
      <c r="E1120" s="26" t="s">
        <v>83</v>
      </c>
      <c r="F1120" s="28" t="e">
        <f ca="1">_xludf.ifna(VLOOKUP(G1121,Proyectos!$E$1:$H$4,4,0),"")</f>
        <v>#NAME?</v>
      </c>
      <c r="G1120" s="26" t="s">
        <v>5409</v>
      </c>
      <c r="H1120" s="30">
        <v>0.75</v>
      </c>
      <c r="I1120" s="31" t="s">
        <v>25</v>
      </c>
      <c r="J1120" s="32"/>
      <c r="K1120" s="32" t="str">
        <f t="shared" si="4"/>
        <v>Externo</v>
      </c>
      <c r="L1120" s="32" t="e">
        <f ca="1">_xludf.ifna(VLOOKUP(G1121,Proyectos!$E$1:$N$4,10,0),"")</f>
        <v>#NAME?</v>
      </c>
      <c r="M1120" s="32"/>
      <c r="N1120" s="32"/>
      <c r="O1120" s="31"/>
      <c r="P1120" s="33"/>
      <c r="Q1120" s="33"/>
    </row>
    <row r="1121" spans="1:17" ht="16.5" customHeight="1" x14ac:dyDescent="0.2">
      <c r="A1121" s="26" t="s">
        <v>4417</v>
      </c>
      <c r="B1121" s="26" t="s">
        <v>5854</v>
      </c>
      <c r="C1121" s="26" t="s">
        <v>64</v>
      </c>
      <c r="D1121" s="26" t="s">
        <v>65</v>
      </c>
      <c r="E1121" s="26" t="s">
        <v>83</v>
      </c>
      <c r="F1121" s="28" t="e">
        <f ca="1">_xludf.ifna(VLOOKUP(G1122,Proyectos!$E$1:$H$4,4,0),"")</f>
        <v>#NAME?</v>
      </c>
      <c r="G1121" s="26" t="s">
        <v>5410</v>
      </c>
      <c r="H1121" s="30">
        <v>0.25</v>
      </c>
      <c r="I1121" s="31" t="s">
        <v>25</v>
      </c>
      <c r="J1121" s="32"/>
      <c r="K1121" s="32" t="str">
        <f t="shared" si="4"/>
        <v>Externo</v>
      </c>
      <c r="L1121" s="32" t="e">
        <f ca="1">_xludf.ifna(VLOOKUP(G1122,Proyectos!$E$1:$N$4,10,0),"")</f>
        <v>#NAME?</v>
      </c>
      <c r="M1121" s="32"/>
      <c r="N1121" s="32"/>
      <c r="O1121" s="31"/>
      <c r="P1121" s="33"/>
      <c r="Q1121" s="33"/>
    </row>
    <row r="1122" spans="1:17" ht="16.5" customHeight="1" x14ac:dyDescent="0.2">
      <c r="A1122" s="26" t="s">
        <v>3369</v>
      </c>
      <c r="B1122" s="26" t="s">
        <v>3370</v>
      </c>
      <c r="C1122" s="26" t="s">
        <v>115</v>
      </c>
      <c r="D1122" s="26" t="s">
        <v>122</v>
      </c>
      <c r="E1122" s="26" t="s">
        <v>39</v>
      </c>
      <c r="F1122" s="28" t="e">
        <f ca="1">_xludf.ifna(VLOOKUP(G1123,Proyectos!$E$1:$H$4,4,0),"")</f>
        <v>#NAME?</v>
      </c>
      <c r="G1122" s="26" t="s">
        <v>5427</v>
      </c>
      <c r="H1122" s="32">
        <v>0.1</v>
      </c>
      <c r="I1122" s="31" t="s">
        <v>11</v>
      </c>
      <c r="J1122" s="32"/>
      <c r="K1122" s="32" t="str">
        <f t="shared" si="4"/>
        <v>Interno</v>
      </c>
      <c r="L1122" s="32" t="e">
        <f ca="1">_xludf.ifna(VLOOKUP(G1123,Proyectos!$E$1:$N$4,10,0),"")</f>
        <v>#NAME?</v>
      </c>
      <c r="M1122" s="32"/>
      <c r="N1122" s="31"/>
      <c r="O1122" s="31"/>
      <c r="P1122" s="33"/>
      <c r="Q1122" s="33"/>
    </row>
    <row r="1123" spans="1:17" ht="16.5" customHeight="1" x14ac:dyDescent="0.2">
      <c r="A1123" s="26" t="s">
        <v>3369</v>
      </c>
      <c r="B1123" s="26" t="s">
        <v>3370</v>
      </c>
      <c r="C1123" s="26" t="s">
        <v>115</v>
      </c>
      <c r="D1123" s="26" t="s">
        <v>122</v>
      </c>
      <c r="E1123" s="26" t="s">
        <v>39</v>
      </c>
      <c r="F1123" s="28" t="e">
        <f ca="1">_xludf.ifna(VLOOKUP(G1124,Proyectos!$E$1:$H$4,4,0),"")</f>
        <v>#NAME?</v>
      </c>
      <c r="G1123" s="26" t="s">
        <v>5597</v>
      </c>
      <c r="H1123" s="32">
        <v>0.4</v>
      </c>
      <c r="I1123" s="31" t="s">
        <v>11</v>
      </c>
      <c r="J1123" s="32"/>
      <c r="K1123" s="32" t="str">
        <f t="shared" si="4"/>
        <v>Interno</v>
      </c>
      <c r="L1123" s="32" t="e">
        <f ca="1">_xludf.ifna(VLOOKUP(G1124,Proyectos!$E$1:$N$4,10,0),"")</f>
        <v>#NAME?</v>
      </c>
      <c r="M1123" s="32"/>
      <c r="N1123" s="31"/>
      <c r="O1123" s="31"/>
      <c r="P1123" s="33"/>
      <c r="Q1123" s="33"/>
    </row>
    <row r="1124" spans="1:17" ht="16.5" customHeight="1" x14ac:dyDescent="0.2">
      <c r="A1124" s="26" t="s">
        <v>3369</v>
      </c>
      <c r="B1124" s="26" t="s">
        <v>3370</v>
      </c>
      <c r="C1124" s="26" t="s">
        <v>115</v>
      </c>
      <c r="D1124" s="26" t="s">
        <v>122</v>
      </c>
      <c r="E1124" s="26" t="s">
        <v>39</v>
      </c>
      <c r="F1124" s="28" t="e">
        <f ca="1">_xludf.ifna(VLOOKUP(G1125,Proyectos!$E$1:$H$4,4,0),"")</f>
        <v>#NAME?</v>
      </c>
      <c r="G1124" s="26" t="s">
        <v>5428</v>
      </c>
      <c r="H1124" s="32">
        <v>0.1</v>
      </c>
      <c r="I1124" s="31" t="s">
        <v>11</v>
      </c>
      <c r="J1124" s="32"/>
      <c r="K1124" s="32" t="str">
        <f t="shared" si="4"/>
        <v>Interno</v>
      </c>
      <c r="L1124" s="32" t="e">
        <f ca="1">_xludf.ifna(VLOOKUP(G1125,Proyectos!$E$1:$N$4,10,0),"")</f>
        <v>#NAME?</v>
      </c>
      <c r="M1124" s="32"/>
      <c r="N1124" s="31"/>
      <c r="O1124" s="31"/>
      <c r="P1124" s="33"/>
      <c r="Q1124" s="33"/>
    </row>
    <row r="1125" spans="1:17" ht="16.5" customHeight="1" x14ac:dyDescent="0.2">
      <c r="A1125" s="26" t="s">
        <v>3369</v>
      </c>
      <c r="B1125" s="26" t="s">
        <v>3370</v>
      </c>
      <c r="C1125" s="26" t="s">
        <v>115</v>
      </c>
      <c r="D1125" s="26" t="s">
        <v>122</v>
      </c>
      <c r="E1125" s="26" t="s">
        <v>39</v>
      </c>
      <c r="F1125" s="28" t="e">
        <f ca="1">_xludf.ifna(VLOOKUP(G1126,Proyectos!$E$1:$H$4,4,0),"")</f>
        <v>#NAME?</v>
      </c>
      <c r="G1125" s="26" t="s">
        <v>5432</v>
      </c>
      <c r="H1125" s="32">
        <v>0.1</v>
      </c>
      <c r="I1125" s="31" t="s">
        <v>11</v>
      </c>
      <c r="J1125" s="32"/>
      <c r="K1125" s="32" t="str">
        <f t="shared" si="4"/>
        <v>Interno</v>
      </c>
      <c r="L1125" s="32" t="e">
        <f ca="1">_xludf.ifna(VLOOKUP(G1126,Proyectos!$E$1:$N$4,10,0),"")</f>
        <v>#NAME?</v>
      </c>
      <c r="M1125" s="32"/>
      <c r="N1125" s="31"/>
      <c r="O1125" s="31"/>
      <c r="P1125" s="33"/>
      <c r="Q1125" s="33"/>
    </row>
    <row r="1126" spans="1:17" ht="16.5" customHeight="1" x14ac:dyDescent="0.2">
      <c r="A1126" s="26" t="s">
        <v>3369</v>
      </c>
      <c r="B1126" s="26" t="s">
        <v>3370</v>
      </c>
      <c r="C1126" s="26" t="s">
        <v>115</v>
      </c>
      <c r="D1126" s="26" t="s">
        <v>122</v>
      </c>
      <c r="E1126" s="26" t="s">
        <v>39</v>
      </c>
      <c r="F1126" s="28" t="e">
        <f ca="1">_xludf.ifna(VLOOKUP(G1127,Proyectos!$E$1:$H$4,4,0),"")</f>
        <v>#NAME?</v>
      </c>
      <c r="G1126" s="26" t="s">
        <v>5429</v>
      </c>
      <c r="H1126" s="32">
        <v>0.1</v>
      </c>
      <c r="I1126" s="31" t="s">
        <v>11</v>
      </c>
      <c r="J1126" s="32"/>
      <c r="K1126" s="32" t="str">
        <f t="shared" si="4"/>
        <v>Interno</v>
      </c>
      <c r="L1126" s="32" t="e">
        <f ca="1">_xludf.ifna(VLOOKUP(G1127,Proyectos!$E$1:$N$4,10,0),"")</f>
        <v>#NAME?</v>
      </c>
      <c r="M1126" s="32"/>
      <c r="N1126" s="31"/>
      <c r="O1126" s="31"/>
      <c r="P1126" s="33"/>
      <c r="Q1126" s="33"/>
    </row>
    <row r="1127" spans="1:17" ht="16.5" customHeight="1" x14ac:dyDescent="0.2">
      <c r="A1127" s="26" t="s">
        <v>3369</v>
      </c>
      <c r="B1127" s="26" t="s">
        <v>3370</v>
      </c>
      <c r="C1127" s="26" t="s">
        <v>115</v>
      </c>
      <c r="D1127" s="26" t="s">
        <v>122</v>
      </c>
      <c r="E1127" s="26" t="s">
        <v>39</v>
      </c>
      <c r="F1127" s="28" t="e">
        <f ca="1">_xludf.ifna(VLOOKUP(G1128,Proyectos!$E$1:$H$4,4,0),"")</f>
        <v>#NAME?</v>
      </c>
      <c r="G1127" s="26" t="s">
        <v>5431</v>
      </c>
      <c r="H1127" s="32">
        <v>0.1</v>
      </c>
      <c r="I1127" s="31" t="s">
        <v>11</v>
      </c>
      <c r="J1127" s="32"/>
      <c r="K1127" s="32" t="str">
        <f t="shared" si="4"/>
        <v>Interno</v>
      </c>
      <c r="L1127" s="32" t="e">
        <f ca="1">_xludf.ifna(VLOOKUP(G1128,Proyectos!$E$1:$N$4,10,0),"")</f>
        <v>#NAME?</v>
      </c>
      <c r="M1127" s="32"/>
      <c r="N1127" s="31"/>
      <c r="O1127" s="31"/>
      <c r="P1127" s="33"/>
      <c r="Q1127" s="33"/>
    </row>
    <row r="1128" spans="1:17" ht="16.5" customHeight="1" x14ac:dyDescent="0.2">
      <c r="A1128" s="26" t="s">
        <v>3369</v>
      </c>
      <c r="B1128" s="26" t="s">
        <v>3370</v>
      </c>
      <c r="C1128" s="26" t="s">
        <v>115</v>
      </c>
      <c r="D1128" s="26" t="s">
        <v>122</v>
      </c>
      <c r="E1128" s="26" t="s">
        <v>39</v>
      </c>
      <c r="F1128" s="28" t="e">
        <f ca="1">_xludf.ifna(VLOOKUP(G1129,Proyectos!$E$1:$H$4,4,0),"")</f>
        <v>#NAME?</v>
      </c>
      <c r="G1128" s="26" t="s">
        <v>5240</v>
      </c>
      <c r="H1128" s="32">
        <v>0.1</v>
      </c>
      <c r="I1128" s="31" t="s">
        <v>11</v>
      </c>
      <c r="J1128" s="32"/>
      <c r="K1128" s="32" t="str">
        <f t="shared" si="4"/>
        <v>Interno</v>
      </c>
      <c r="L1128" s="32" t="e">
        <f ca="1">_xludf.ifna(VLOOKUP(G1129,Proyectos!$E$1:$N$4,10,0),"")</f>
        <v>#NAME?</v>
      </c>
      <c r="M1128" s="32"/>
      <c r="N1128" s="32"/>
      <c r="O1128" s="31"/>
      <c r="P1128" s="33"/>
      <c r="Q1128" s="33"/>
    </row>
    <row r="1129" spans="1:17" ht="16.5" customHeight="1" x14ac:dyDescent="0.2">
      <c r="A1129" s="26" t="s">
        <v>3378</v>
      </c>
      <c r="B1129" s="26" t="s">
        <v>3379</v>
      </c>
      <c r="C1129" s="54" t="s">
        <v>7</v>
      </c>
      <c r="D1129" s="54" t="s">
        <v>23</v>
      </c>
      <c r="E1129" s="54" t="s">
        <v>39</v>
      </c>
      <c r="F1129" s="28" t="e">
        <f ca="1">_xludf.ifna(VLOOKUP(G1130,Proyectos!$E$1:$H$4,4,0),"")</f>
        <v>#NAME?</v>
      </c>
      <c r="G1129" s="54" t="s">
        <v>5170</v>
      </c>
      <c r="H1129" s="34">
        <v>0.4</v>
      </c>
      <c r="I1129" s="31" t="s">
        <v>11</v>
      </c>
      <c r="J1129" s="60"/>
      <c r="K1129" s="32" t="str">
        <f t="shared" si="4"/>
        <v>Interno</v>
      </c>
      <c r="L1129" s="32" t="e">
        <f ca="1">_xludf.ifna(VLOOKUP(G1130,Proyectos!$E$1:$N$4,10,0),"")</f>
        <v>#NAME?</v>
      </c>
      <c r="M1129" s="32"/>
      <c r="N1129" s="31"/>
      <c r="O1129" s="31"/>
      <c r="P1129" s="33"/>
      <c r="Q1129" s="33"/>
    </row>
    <row r="1130" spans="1:17" ht="16.5" customHeight="1" x14ac:dyDescent="0.2">
      <c r="A1130" s="26" t="s">
        <v>3378</v>
      </c>
      <c r="B1130" s="26" t="s">
        <v>3379</v>
      </c>
      <c r="C1130" s="54" t="s">
        <v>7</v>
      </c>
      <c r="D1130" s="54" t="s">
        <v>23</v>
      </c>
      <c r="E1130" s="54" t="s">
        <v>39</v>
      </c>
      <c r="F1130" s="28" t="e">
        <f ca="1">_xludf.ifna(VLOOKUP(G1131,Proyectos!$E$1:$H$4,4,0),"")</f>
        <v>#NAME?</v>
      </c>
      <c r="G1130" s="54" t="s">
        <v>5171</v>
      </c>
      <c r="H1130" s="34">
        <v>0.1</v>
      </c>
      <c r="I1130" s="31" t="s">
        <v>11</v>
      </c>
      <c r="J1130" s="60"/>
      <c r="K1130" s="32" t="str">
        <f t="shared" si="4"/>
        <v>Interno</v>
      </c>
      <c r="L1130" s="32" t="e">
        <f ca="1">_xludf.ifna(VLOOKUP(G1131,Proyectos!$E$1:$N$4,10,0),"")</f>
        <v>#NAME?</v>
      </c>
      <c r="M1130" s="32"/>
      <c r="N1130" s="31"/>
      <c r="O1130" s="31"/>
      <c r="P1130" s="33"/>
      <c r="Q1130" s="33"/>
    </row>
    <row r="1131" spans="1:17" ht="16.5" customHeight="1" x14ac:dyDescent="0.2">
      <c r="A1131" s="26" t="s">
        <v>3378</v>
      </c>
      <c r="B1131" s="26" t="s">
        <v>3379</v>
      </c>
      <c r="C1131" s="54" t="s">
        <v>7</v>
      </c>
      <c r="D1131" s="54" t="s">
        <v>23</v>
      </c>
      <c r="E1131" s="54" t="s">
        <v>39</v>
      </c>
      <c r="F1131" s="28" t="e">
        <f ca="1">_xludf.ifna(VLOOKUP(G1132,Proyectos!$E$1:$H$4,4,0),"")</f>
        <v>#NAME?</v>
      </c>
      <c r="G1131" s="54" t="s">
        <v>5173</v>
      </c>
      <c r="H1131" s="34">
        <v>0.1</v>
      </c>
      <c r="I1131" s="31" t="s">
        <v>11</v>
      </c>
      <c r="J1131" s="60"/>
      <c r="K1131" s="32" t="str">
        <f t="shared" si="4"/>
        <v>Interno</v>
      </c>
      <c r="L1131" s="32" t="e">
        <f ca="1">_xludf.ifna(VLOOKUP(G1132,Proyectos!$E$1:$N$4,10,0),"")</f>
        <v>#NAME?</v>
      </c>
      <c r="M1131" s="32"/>
      <c r="N1131" s="31"/>
      <c r="O1131" s="31"/>
      <c r="P1131" s="33"/>
      <c r="Q1131" s="33"/>
    </row>
    <row r="1132" spans="1:17" ht="16.5" customHeight="1" x14ac:dyDescent="0.2">
      <c r="A1132" s="26" t="s">
        <v>3378</v>
      </c>
      <c r="B1132" s="26" t="s">
        <v>3379</v>
      </c>
      <c r="C1132" s="54" t="s">
        <v>7</v>
      </c>
      <c r="D1132" s="54" t="s">
        <v>23</v>
      </c>
      <c r="E1132" s="54" t="s">
        <v>39</v>
      </c>
      <c r="F1132" s="28" t="e">
        <f ca="1">_xludf.ifna(VLOOKUP(G1133,Proyectos!$E$1:$H$4,4,0),"")</f>
        <v>#NAME?</v>
      </c>
      <c r="G1132" s="54" t="s">
        <v>5174</v>
      </c>
      <c r="H1132" s="34">
        <v>0.2</v>
      </c>
      <c r="I1132" s="31" t="s">
        <v>11</v>
      </c>
      <c r="J1132" s="60"/>
      <c r="K1132" s="32" t="str">
        <f t="shared" si="4"/>
        <v>Interno</v>
      </c>
      <c r="L1132" s="32" t="e">
        <f ca="1">_xludf.ifna(VLOOKUP(G1133,Proyectos!$E$1:$N$4,10,0),"")</f>
        <v>#NAME?</v>
      </c>
      <c r="M1132" s="32"/>
      <c r="N1132" s="31"/>
      <c r="O1132" s="31"/>
      <c r="P1132" s="33"/>
      <c r="Q1132" s="33"/>
    </row>
    <row r="1133" spans="1:17" ht="16.5" customHeight="1" x14ac:dyDescent="0.2">
      <c r="A1133" s="26" t="s">
        <v>3378</v>
      </c>
      <c r="B1133" s="26" t="s">
        <v>3379</v>
      </c>
      <c r="C1133" s="54" t="s">
        <v>7</v>
      </c>
      <c r="D1133" s="54" t="s">
        <v>23</v>
      </c>
      <c r="E1133" s="54" t="s">
        <v>39</v>
      </c>
      <c r="F1133" s="28" t="e">
        <f ca="1">_xludf.ifna(VLOOKUP(G1134,Proyectos!$E$1:$H$4,4,0),"")</f>
        <v>#NAME?</v>
      </c>
      <c r="G1133" s="54" t="s">
        <v>5175</v>
      </c>
      <c r="H1133" s="34">
        <v>0.1</v>
      </c>
      <c r="I1133" s="31" t="s">
        <v>11</v>
      </c>
      <c r="J1133" s="60"/>
      <c r="K1133" s="32" t="str">
        <f t="shared" si="4"/>
        <v>Interno</v>
      </c>
      <c r="L1133" s="32" t="e">
        <f ca="1">_xludf.ifna(VLOOKUP(G1134,Proyectos!$E$1:$N$4,10,0),"")</f>
        <v>#NAME?</v>
      </c>
      <c r="M1133" s="32"/>
      <c r="N1133" s="31"/>
      <c r="O1133" s="31"/>
      <c r="P1133" s="33"/>
      <c r="Q1133" s="33"/>
    </row>
    <row r="1134" spans="1:17" ht="16.5" customHeight="1" x14ac:dyDescent="0.2">
      <c r="A1134" s="26" t="s">
        <v>3378</v>
      </c>
      <c r="B1134" s="26" t="s">
        <v>3379</v>
      </c>
      <c r="C1134" s="54" t="s">
        <v>7</v>
      </c>
      <c r="D1134" s="54" t="s">
        <v>23</v>
      </c>
      <c r="E1134" s="54" t="s">
        <v>39</v>
      </c>
      <c r="F1134" s="28" t="e">
        <f ca="1">_xludf.ifna(VLOOKUP(G1135,Proyectos!$E$1:$H$4,4,0),"")</f>
        <v>#NAME?</v>
      </c>
      <c r="G1134" s="54" t="s">
        <v>5176</v>
      </c>
      <c r="H1134" s="34">
        <v>0.1</v>
      </c>
      <c r="I1134" s="31" t="s">
        <v>11</v>
      </c>
      <c r="J1134" s="60"/>
      <c r="K1134" s="32" t="str">
        <f t="shared" si="4"/>
        <v>Interno</v>
      </c>
      <c r="L1134" s="32" t="e">
        <f ca="1">_xludf.ifna(VLOOKUP(G1135,Proyectos!$E$1:$N$4,10,0),"")</f>
        <v>#NAME?</v>
      </c>
      <c r="M1134" s="32"/>
      <c r="N1134" s="31"/>
      <c r="O1134" s="31"/>
      <c r="P1134" s="33"/>
      <c r="Q1134" s="33"/>
    </row>
    <row r="1135" spans="1:17" ht="16.5" customHeight="1" x14ac:dyDescent="0.2">
      <c r="A1135" s="26" t="s">
        <v>5855</v>
      </c>
      <c r="B1135" s="26" t="s">
        <v>5856</v>
      </c>
      <c r="C1135" s="26" t="s">
        <v>115</v>
      </c>
      <c r="D1135" s="26" t="s">
        <v>116</v>
      </c>
      <c r="E1135" s="26" t="s">
        <v>9</v>
      </c>
      <c r="F1135" s="28" t="e">
        <f ca="1">_xludf.ifna(VLOOKUP(G1136,Proyectos!$E$1:$H$4,4,0),"")</f>
        <v>#NAME?</v>
      </c>
      <c r="G1135" s="26" t="s">
        <v>5318</v>
      </c>
      <c r="H1135" s="32">
        <v>1</v>
      </c>
      <c r="I1135" s="31" t="s">
        <v>18</v>
      </c>
      <c r="J1135" s="32"/>
      <c r="K1135" s="32" t="str">
        <f t="shared" si="4"/>
        <v>Externo</v>
      </c>
      <c r="L1135" s="32" t="e">
        <f ca="1">_xludf.ifna(VLOOKUP(G1136,Proyectos!$E$1:$N$4,10,0),"")</f>
        <v>#NAME?</v>
      </c>
      <c r="M1135" s="32"/>
      <c r="N1135" s="32"/>
      <c r="O1135" s="31"/>
      <c r="P1135" s="33"/>
      <c r="Q1135" s="33"/>
    </row>
    <row r="1136" spans="1:17" ht="16.5" customHeight="1" x14ac:dyDescent="0.2">
      <c r="A1136" s="26" t="s">
        <v>3474</v>
      </c>
      <c r="B1136" s="26" t="s">
        <v>3475</v>
      </c>
      <c r="C1136" s="54" t="s">
        <v>7</v>
      </c>
      <c r="D1136" s="35" t="s">
        <v>8</v>
      </c>
      <c r="E1136" s="35" t="s">
        <v>39</v>
      </c>
      <c r="F1136" s="28" t="e">
        <f ca="1">_xludf.ifna(VLOOKUP(G1137,Proyectos!$E$1:$H$4,4,0),"")</f>
        <v>#NAME?</v>
      </c>
      <c r="G1136" s="35" t="s">
        <v>5674</v>
      </c>
      <c r="H1136" s="30">
        <v>0.3</v>
      </c>
      <c r="I1136" s="31" t="s">
        <v>18</v>
      </c>
      <c r="J1136" s="55"/>
      <c r="K1136" s="32" t="str">
        <f t="shared" si="4"/>
        <v>Interno</v>
      </c>
      <c r="L1136" s="32" t="e">
        <f ca="1">_xludf.ifna(VLOOKUP(G1137,Proyectos!$E$1:$N$4,10,0),"")</f>
        <v>#NAME?</v>
      </c>
      <c r="M1136" s="32"/>
      <c r="N1136" s="31"/>
      <c r="O1136" s="31"/>
      <c r="P1136" s="33"/>
      <c r="Q1136" s="33"/>
    </row>
    <row r="1137" spans="1:17" ht="16.5" customHeight="1" x14ac:dyDescent="0.2">
      <c r="A1137" s="26" t="s">
        <v>3474</v>
      </c>
      <c r="B1137" s="26" t="s">
        <v>3475</v>
      </c>
      <c r="C1137" s="54" t="s">
        <v>7</v>
      </c>
      <c r="D1137" s="35" t="s">
        <v>8</v>
      </c>
      <c r="E1137" s="35" t="s">
        <v>39</v>
      </c>
      <c r="F1137" s="28" t="e">
        <f ca="1">_xludf.ifna(VLOOKUP(G1138,Proyectos!$E$1:$H$4,4,0),"")</f>
        <v>#NAME?</v>
      </c>
      <c r="G1137" s="35" t="s">
        <v>5186</v>
      </c>
      <c r="H1137" s="30">
        <v>0.7</v>
      </c>
      <c r="I1137" s="31" t="s">
        <v>18</v>
      </c>
      <c r="J1137" s="55"/>
      <c r="K1137" s="32" t="str">
        <f t="shared" si="4"/>
        <v>Interno</v>
      </c>
      <c r="L1137" s="32" t="e">
        <f ca="1">_xludf.ifna(VLOOKUP(G1138,Proyectos!$E$1:$N$4,10,0),"")</f>
        <v>#NAME?</v>
      </c>
      <c r="M1137" s="32"/>
      <c r="N1137" s="31"/>
      <c r="O1137" s="31"/>
      <c r="P1137" s="33"/>
      <c r="Q1137" s="33"/>
    </row>
    <row r="1138" spans="1:17" ht="16.5" customHeight="1" x14ac:dyDescent="0.2">
      <c r="A1138" s="26" t="s">
        <v>4196</v>
      </c>
      <c r="B1138" s="26" t="s">
        <v>4197</v>
      </c>
      <c r="C1138" s="26" t="s">
        <v>115</v>
      </c>
      <c r="D1138" s="26" t="s">
        <v>119</v>
      </c>
      <c r="E1138" s="26" t="s">
        <v>135</v>
      </c>
      <c r="F1138" s="28" t="e">
        <f ca="1">_xludf.ifna(VLOOKUP(G1139,Proyectos!$E$1:$H$4,4,0),"")</f>
        <v>#NAME?</v>
      </c>
      <c r="G1138" s="26" t="s">
        <v>5597</v>
      </c>
      <c r="H1138" s="32">
        <v>1</v>
      </c>
      <c r="I1138" s="31" t="s">
        <v>18</v>
      </c>
      <c r="J1138" s="32"/>
      <c r="K1138" s="32" t="str">
        <f t="shared" si="4"/>
        <v>Externo</v>
      </c>
      <c r="L1138" s="32" t="e">
        <f ca="1">_xludf.ifna(VLOOKUP(G1139,Proyectos!$E$1:$N$4,10,0),"")</f>
        <v>#NAME?</v>
      </c>
      <c r="M1138" s="32"/>
      <c r="N1138" s="31"/>
      <c r="O1138" s="31"/>
      <c r="P1138" s="33"/>
      <c r="Q1138" s="33"/>
    </row>
    <row r="1139" spans="1:17" ht="16.5" customHeight="1" x14ac:dyDescent="0.2">
      <c r="A1139" s="35" t="s">
        <v>4045</v>
      </c>
      <c r="B1139" s="26" t="s">
        <v>5509</v>
      </c>
      <c r="C1139" s="26" t="s">
        <v>64</v>
      </c>
      <c r="D1139" s="26" t="s">
        <v>82</v>
      </c>
      <c r="E1139" s="35" t="s">
        <v>135</v>
      </c>
      <c r="F1139" s="28" t="e">
        <f ca="1">_xludf.ifna(VLOOKUP(G1140,Proyectos!$E$1:$H$4,4,0),"")</f>
        <v>#NAME?</v>
      </c>
      <c r="G1139" s="26" t="s">
        <v>5387</v>
      </c>
      <c r="H1139" s="32">
        <v>1</v>
      </c>
      <c r="I1139" s="31" t="s">
        <v>18</v>
      </c>
      <c r="J1139" s="32"/>
      <c r="K1139" s="32" t="str">
        <f t="shared" si="4"/>
        <v>Externo</v>
      </c>
      <c r="L1139" s="32" t="e">
        <f ca="1">_xludf.ifna(VLOOKUP(G1140,Proyectos!$E$1:$N$4,10,0),"")</f>
        <v>#NAME?</v>
      </c>
      <c r="M1139" s="32"/>
      <c r="N1139" s="32"/>
      <c r="O1139" s="31"/>
      <c r="P1139" s="33"/>
      <c r="Q1139" s="33"/>
    </row>
    <row r="1140" spans="1:17" ht="16.5" customHeight="1" x14ac:dyDescent="0.2">
      <c r="A1140" s="26" t="s">
        <v>3795</v>
      </c>
      <c r="B1140" s="26" t="s">
        <v>3796</v>
      </c>
      <c r="C1140" s="26" t="s">
        <v>115</v>
      </c>
      <c r="D1140" s="26" t="s">
        <v>116</v>
      </c>
      <c r="E1140" s="26" t="s">
        <v>39</v>
      </c>
      <c r="F1140" s="28" t="e">
        <f ca="1">_xludf.ifna(VLOOKUP(G1141,Proyectos!$E$1:$H$4,4,0),"")</f>
        <v>#NAME?</v>
      </c>
      <c r="G1140" s="26" t="s">
        <v>5597</v>
      </c>
      <c r="H1140" s="32">
        <v>1</v>
      </c>
      <c r="I1140" s="31" t="s">
        <v>18</v>
      </c>
      <c r="J1140" s="32"/>
      <c r="K1140" s="32" t="str">
        <f t="shared" si="4"/>
        <v>Interno</v>
      </c>
      <c r="L1140" s="32" t="e">
        <f ca="1">_xludf.ifna(VLOOKUP(G1141,Proyectos!$E$1:$N$4,10,0),"")</f>
        <v>#NAME?</v>
      </c>
      <c r="M1140" s="32"/>
      <c r="N1140" s="31"/>
      <c r="O1140" s="31"/>
      <c r="P1140" s="33"/>
      <c r="Q1140" s="33"/>
    </row>
    <row r="1141" spans="1:17" ht="16.5" customHeight="1" x14ac:dyDescent="0.2">
      <c r="A1141" s="26" t="s">
        <v>4487</v>
      </c>
      <c r="B1141" s="26" t="s">
        <v>5857</v>
      </c>
      <c r="C1141" s="26" t="s">
        <v>98</v>
      </c>
      <c r="D1141" s="26" t="s">
        <v>102</v>
      </c>
      <c r="E1141" s="26" t="s">
        <v>83</v>
      </c>
      <c r="F1141" s="28" t="e">
        <f ca="1">_xludf.ifna(VLOOKUP(G1142,Proyectos!$E$1:$H$4,4,0),"")</f>
        <v>#NAME?</v>
      </c>
      <c r="G1141" s="26" t="s">
        <v>5111</v>
      </c>
      <c r="H1141" s="32">
        <v>1</v>
      </c>
      <c r="I1141" s="31" t="s">
        <v>25</v>
      </c>
      <c r="J1141" s="32"/>
      <c r="K1141" s="32" t="str">
        <f t="shared" si="4"/>
        <v>Externo</v>
      </c>
      <c r="L1141" s="32" t="e">
        <f ca="1">_xludf.ifna(VLOOKUP(G1142,Proyectos!$E$1:$N$4,10,0),"")</f>
        <v>#NAME?</v>
      </c>
      <c r="M1141" s="32"/>
      <c r="N1141" s="32"/>
      <c r="O1141" s="31"/>
      <c r="P1141" s="33"/>
      <c r="Q1141" s="33"/>
    </row>
    <row r="1142" spans="1:17" ht="16.5" customHeight="1" x14ac:dyDescent="0.2">
      <c r="A1142" s="26" t="s">
        <v>4783</v>
      </c>
      <c r="B1142" s="26" t="s">
        <v>4784</v>
      </c>
      <c r="C1142" s="26" t="s">
        <v>115</v>
      </c>
      <c r="D1142" s="26" t="s">
        <v>128</v>
      </c>
      <c r="E1142" s="26" t="s">
        <v>39</v>
      </c>
      <c r="F1142" s="28" t="e">
        <f ca="1">_xludf.ifna(VLOOKUP(G1143,Proyectos!$E$1:$H$4,4,0),"")</f>
        <v>#NAME?</v>
      </c>
      <c r="G1142" s="26" t="s">
        <v>5538</v>
      </c>
      <c r="H1142" s="32">
        <v>1</v>
      </c>
      <c r="I1142" s="31" t="s">
        <v>18</v>
      </c>
      <c r="J1142" s="32"/>
      <c r="K1142" s="32" t="str">
        <f t="shared" si="4"/>
        <v>Interno</v>
      </c>
      <c r="L1142" s="32" t="e">
        <f ca="1">_xludf.ifna(VLOOKUP(G1143,Proyectos!$E$1:$N$4,10,0),"")</f>
        <v>#NAME?</v>
      </c>
      <c r="M1142" s="32"/>
      <c r="N1142" s="32"/>
      <c r="O1142" s="31"/>
      <c r="P1142" s="33"/>
      <c r="Q1142" s="33"/>
    </row>
    <row r="1143" spans="1:17" ht="16.5" customHeight="1" x14ac:dyDescent="0.2">
      <c r="A1143" s="26" t="s">
        <v>3821</v>
      </c>
      <c r="B1143" s="26" t="s">
        <v>5166</v>
      </c>
      <c r="C1143" s="54" t="s">
        <v>7</v>
      </c>
      <c r="D1143" s="35" t="s">
        <v>30</v>
      </c>
      <c r="E1143" s="35" t="s">
        <v>39</v>
      </c>
      <c r="F1143" s="28" t="e">
        <f ca="1">_xludf.ifna(VLOOKUP(G1144,Proyectos!$E$1:$H$4,4,0),"")</f>
        <v>#NAME?</v>
      </c>
      <c r="G1143" s="35" t="s">
        <v>5153</v>
      </c>
      <c r="H1143" s="30">
        <v>0.7</v>
      </c>
      <c r="I1143" s="31" t="s">
        <v>18</v>
      </c>
      <c r="J1143" s="55"/>
      <c r="K1143" s="32" t="str">
        <f t="shared" si="4"/>
        <v>Interno</v>
      </c>
      <c r="L1143" s="32" t="e">
        <f ca="1">_xludf.ifna(VLOOKUP(G1144,Proyectos!$E$1:$N$4,10,0),"")</f>
        <v>#NAME?</v>
      </c>
      <c r="M1143" s="32"/>
      <c r="N1143" s="31"/>
      <c r="O1143" s="31"/>
      <c r="P1143" s="33"/>
      <c r="Q1143" s="33"/>
    </row>
    <row r="1144" spans="1:17" ht="16.5" customHeight="1" x14ac:dyDescent="0.2">
      <c r="A1144" s="26" t="s">
        <v>3821</v>
      </c>
      <c r="B1144" s="26" t="s">
        <v>5166</v>
      </c>
      <c r="C1144" s="54" t="s">
        <v>7</v>
      </c>
      <c r="D1144" s="35" t="s">
        <v>30</v>
      </c>
      <c r="E1144" s="35" t="s">
        <v>39</v>
      </c>
      <c r="F1144" s="28" t="e">
        <f ca="1">_xludf.ifna(VLOOKUP(G1145,Proyectos!$E$1:$H$4,4,0),"")</f>
        <v>#NAME?</v>
      </c>
      <c r="G1144" s="35" t="s">
        <v>5638</v>
      </c>
      <c r="H1144" s="55">
        <v>0.3</v>
      </c>
      <c r="I1144" s="31" t="s">
        <v>18</v>
      </c>
      <c r="J1144" s="55"/>
      <c r="K1144" s="32" t="str">
        <f t="shared" si="4"/>
        <v>Interno</v>
      </c>
      <c r="L1144" s="32" t="e">
        <f ca="1">_xludf.ifna(VLOOKUP(G1145,Proyectos!$E$1:$N$4,10,0),"")</f>
        <v>#NAME?</v>
      </c>
      <c r="M1144" s="32"/>
      <c r="N1144" s="31"/>
      <c r="O1144" s="31"/>
      <c r="P1144" s="33"/>
      <c r="Q1144" s="33"/>
    </row>
    <row r="1145" spans="1:17" ht="16.5" customHeight="1" x14ac:dyDescent="0.2">
      <c r="A1145" s="26" t="s">
        <v>4709</v>
      </c>
      <c r="B1145" s="26" t="s">
        <v>4710</v>
      </c>
      <c r="C1145" s="26" t="s">
        <v>98</v>
      </c>
      <c r="D1145" s="26" t="s">
        <v>107</v>
      </c>
      <c r="E1145" s="26" t="s">
        <v>39</v>
      </c>
      <c r="F1145" s="28" t="e">
        <f ca="1">_xludf.ifna(VLOOKUP(G1146,Proyectos!$E$1:$H$4,4,0),"")</f>
        <v>#NAME?</v>
      </c>
      <c r="G1145" s="26" t="s">
        <v>5330</v>
      </c>
      <c r="H1145" s="32">
        <v>0.75</v>
      </c>
      <c r="I1145" s="31" t="s">
        <v>18</v>
      </c>
      <c r="J1145" s="32"/>
      <c r="K1145" s="32" t="str">
        <f t="shared" si="4"/>
        <v>Interno</v>
      </c>
      <c r="L1145" s="32" t="e">
        <f ca="1">_xludf.ifna(VLOOKUP(G1146,Proyectos!$E$1:$N$4,10,0),"")</f>
        <v>#NAME?</v>
      </c>
      <c r="M1145" s="32"/>
      <c r="N1145" s="32"/>
      <c r="O1145" s="31"/>
      <c r="P1145" s="33"/>
      <c r="Q1145" s="33"/>
    </row>
    <row r="1146" spans="1:17" ht="16.5" customHeight="1" x14ac:dyDescent="0.2">
      <c r="A1146" s="26" t="s">
        <v>4709</v>
      </c>
      <c r="B1146" s="26" t="s">
        <v>4710</v>
      </c>
      <c r="C1146" s="26" t="s">
        <v>98</v>
      </c>
      <c r="D1146" s="26" t="s">
        <v>107</v>
      </c>
      <c r="E1146" s="26" t="s">
        <v>39</v>
      </c>
      <c r="F1146" s="28" t="e">
        <f ca="1">_xludf.ifna(VLOOKUP(G1147,Proyectos!$E$1:$H$4,4,0),"")</f>
        <v>#NAME?</v>
      </c>
      <c r="G1146" s="26" t="s">
        <v>5329</v>
      </c>
      <c r="H1146" s="32">
        <v>0.25</v>
      </c>
      <c r="I1146" s="31" t="s">
        <v>18</v>
      </c>
      <c r="J1146" s="32"/>
      <c r="K1146" s="32" t="str">
        <f t="shared" si="4"/>
        <v>Interno</v>
      </c>
      <c r="L1146" s="32" t="e">
        <f ca="1">_xludf.ifna(VLOOKUP(G1147,Proyectos!$E$1:$N$4,10,0),"")</f>
        <v>#NAME?</v>
      </c>
      <c r="M1146" s="32"/>
      <c r="N1146" s="32"/>
      <c r="O1146" s="31"/>
      <c r="P1146" s="33"/>
      <c r="Q1146" s="33"/>
    </row>
    <row r="1147" spans="1:17" ht="16.5" customHeight="1" x14ac:dyDescent="0.2">
      <c r="A1147" s="26" t="s">
        <v>3626</v>
      </c>
      <c r="B1147" s="26" t="s">
        <v>5376</v>
      </c>
      <c r="C1147" s="26" t="s">
        <v>64</v>
      </c>
      <c r="D1147" s="26" t="s">
        <v>89</v>
      </c>
      <c r="E1147" s="26" t="s">
        <v>39</v>
      </c>
      <c r="F1147" s="28" t="e">
        <f ca="1">_xludf.ifna(VLOOKUP(G1148,Proyectos!$E$1:$H$4,4,0),"")</f>
        <v>#NAME?</v>
      </c>
      <c r="G1147" s="26" t="s">
        <v>5651</v>
      </c>
      <c r="H1147" s="32">
        <v>0.5</v>
      </c>
      <c r="I1147" s="31" t="s">
        <v>18</v>
      </c>
      <c r="J1147" s="32"/>
      <c r="K1147" s="32" t="str">
        <f t="shared" si="4"/>
        <v>Interno</v>
      </c>
      <c r="L1147" s="32" t="e">
        <f ca="1">_xludf.ifna(VLOOKUP(G1148,Proyectos!$E$1:$N$4,10,0),"")</f>
        <v>#NAME?</v>
      </c>
      <c r="M1147" s="32"/>
      <c r="N1147" s="32"/>
      <c r="O1147" s="31"/>
      <c r="P1147" s="33"/>
      <c r="Q1147" s="33"/>
    </row>
    <row r="1148" spans="1:17" ht="16.5" customHeight="1" x14ac:dyDescent="0.2">
      <c r="A1148" s="26" t="s">
        <v>3626</v>
      </c>
      <c r="B1148" s="26" t="s">
        <v>5376</v>
      </c>
      <c r="C1148" s="26" t="s">
        <v>64</v>
      </c>
      <c r="D1148" s="26" t="s">
        <v>89</v>
      </c>
      <c r="E1148" s="26" t="s">
        <v>39</v>
      </c>
      <c r="F1148" s="28" t="e">
        <f ca="1">_xludf.ifna(VLOOKUP(G1149,Proyectos!$E$1:$H$4,4,0),"")</f>
        <v>#NAME?</v>
      </c>
      <c r="G1148" s="26" t="s">
        <v>5597</v>
      </c>
      <c r="H1148" s="32">
        <v>0.25</v>
      </c>
      <c r="I1148" s="31" t="s">
        <v>18</v>
      </c>
      <c r="J1148" s="32"/>
      <c r="K1148" s="32" t="str">
        <f t="shared" si="4"/>
        <v>Interno</v>
      </c>
      <c r="L1148" s="32" t="e">
        <f ca="1">_xludf.ifna(VLOOKUP(G1149,Proyectos!$E$1:$N$4,10,0),"")</f>
        <v>#NAME?</v>
      </c>
      <c r="M1148" s="32"/>
      <c r="N1148" s="31"/>
      <c r="O1148" s="31"/>
      <c r="P1148" s="33"/>
      <c r="Q1148" s="33"/>
    </row>
    <row r="1149" spans="1:17" ht="16.5" customHeight="1" x14ac:dyDescent="0.2">
      <c r="A1149" s="26" t="s">
        <v>3626</v>
      </c>
      <c r="B1149" s="26" t="s">
        <v>5376</v>
      </c>
      <c r="C1149" s="26" t="s">
        <v>64</v>
      </c>
      <c r="D1149" s="26" t="s">
        <v>89</v>
      </c>
      <c r="E1149" s="26" t="s">
        <v>39</v>
      </c>
      <c r="F1149" s="28" t="e">
        <f ca="1">_xludf.ifna(VLOOKUP(G1150,Proyectos!$E$1:$H$4,4,0),"")</f>
        <v>#NAME?</v>
      </c>
      <c r="G1149" s="26" t="s">
        <v>5650</v>
      </c>
      <c r="H1149" s="32">
        <v>0.25</v>
      </c>
      <c r="I1149" s="31" t="s">
        <v>18</v>
      </c>
      <c r="J1149" s="32"/>
      <c r="K1149" s="32" t="str">
        <f t="shared" si="4"/>
        <v>Interno</v>
      </c>
      <c r="L1149" s="32" t="e">
        <f ca="1">_xludf.ifna(VLOOKUP(G1150,Proyectos!$E$1:$N$4,10,0),"")</f>
        <v>#NAME?</v>
      </c>
      <c r="M1149" s="32"/>
      <c r="N1149" s="31"/>
      <c r="O1149" s="31"/>
      <c r="P1149" s="33"/>
      <c r="Q1149" s="33"/>
    </row>
    <row r="1150" spans="1:17" ht="16.5" customHeight="1" x14ac:dyDescent="0.2">
      <c r="A1150" s="26" t="s">
        <v>4881</v>
      </c>
      <c r="B1150" s="26" t="s">
        <v>4882</v>
      </c>
      <c r="C1150" s="54" t="s">
        <v>7</v>
      </c>
      <c r="D1150" s="54" t="s">
        <v>23</v>
      </c>
      <c r="E1150" s="54" t="s">
        <v>79</v>
      </c>
      <c r="F1150" s="28" t="e">
        <f ca="1">_xludf.ifna(VLOOKUP(G1151,Proyectos!$E$1:$H$4,4,0),"")</f>
        <v>#NAME?</v>
      </c>
      <c r="G1150" s="54" t="s">
        <v>5170</v>
      </c>
      <c r="H1150" s="60">
        <v>1</v>
      </c>
      <c r="I1150" s="31" t="s">
        <v>18</v>
      </c>
      <c r="J1150" s="60"/>
      <c r="K1150" s="32" t="str">
        <f t="shared" si="4"/>
        <v>Externo</v>
      </c>
      <c r="L1150" s="32" t="e">
        <f ca="1">_xludf.ifna(VLOOKUP(G1151,Proyectos!$E$1:$N$4,10,0),"")</f>
        <v>#NAME?</v>
      </c>
      <c r="M1150" s="32"/>
      <c r="N1150" s="31"/>
      <c r="O1150" s="31"/>
      <c r="P1150" s="33"/>
      <c r="Q1150" s="33"/>
    </row>
    <row r="1151" spans="1:17" ht="16.5" customHeight="1" x14ac:dyDescent="0.2">
      <c r="A1151" s="26" t="s">
        <v>3673</v>
      </c>
      <c r="B1151" s="26" t="s">
        <v>3674</v>
      </c>
      <c r="C1151" s="26" t="s">
        <v>98</v>
      </c>
      <c r="D1151" s="26" t="s">
        <v>107</v>
      </c>
      <c r="E1151" s="26" t="s">
        <v>39</v>
      </c>
      <c r="F1151" s="28" t="e">
        <f ca="1">_xludf.ifna(VLOOKUP(G1152,Proyectos!$E$1:$H$4,4,0),"")</f>
        <v>#NAME?</v>
      </c>
      <c r="G1151" s="26" t="s">
        <v>5632</v>
      </c>
      <c r="H1151" s="32">
        <v>0.75</v>
      </c>
      <c r="I1151" s="31" t="s">
        <v>18</v>
      </c>
      <c r="J1151" s="32"/>
      <c r="K1151" s="32" t="str">
        <f t="shared" si="4"/>
        <v>Interno</v>
      </c>
      <c r="L1151" s="32" t="e">
        <f ca="1">_xludf.ifna(VLOOKUP(G1152,Proyectos!$E$1:$N$4,10,0),"")</f>
        <v>#NAME?</v>
      </c>
      <c r="M1151" s="32"/>
      <c r="N1151" s="32"/>
      <c r="O1151" s="31"/>
      <c r="P1151" s="33"/>
      <c r="Q1151" s="33"/>
    </row>
    <row r="1152" spans="1:17" ht="16.5" customHeight="1" x14ac:dyDescent="0.2">
      <c r="A1152" s="26" t="s">
        <v>3673</v>
      </c>
      <c r="B1152" s="26" t="s">
        <v>3674</v>
      </c>
      <c r="C1152" s="26" t="s">
        <v>98</v>
      </c>
      <c r="D1152" s="26" t="s">
        <v>107</v>
      </c>
      <c r="E1152" s="26" t="s">
        <v>39</v>
      </c>
      <c r="F1152" s="28" t="e">
        <f ca="1">_xludf.ifna(VLOOKUP(G1153,Proyectos!$E$1:$H$4,4,0),"")</f>
        <v>#NAME?</v>
      </c>
      <c r="G1152" s="26" t="s">
        <v>5129</v>
      </c>
      <c r="H1152" s="32">
        <v>0.25</v>
      </c>
      <c r="I1152" s="31" t="s">
        <v>18</v>
      </c>
      <c r="J1152" s="32"/>
      <c r="K1152" s="32" t="str">
        <f t="shared" si="4"/>
        <v>Interno</v>
      </c>
      <c r="L1152" s="32" t="e">
        <f ca="1">_xludf.ifna(VLOOKUP(G1153,Proyectos!$E$1:$N$4,10,0),"")</f>
        <v>#NAME?</v>
      </c>
      <c r="M1152" s="32"/>
      <c r="N1152" s="32"/>
      <c r="O1152" s="31"/>
      <c r="P1152" s="33"/>
      <c r="Q1152" s="33"/>
    </row>
    <row r="1153" spans="1:17" ht="16.5" customHeight="1" x14ac:dyDescent="0.2">
      <c r="A1153" s="26" t="s">
        <v>4204</v>
      </c>
      <c r="B1153" s="26" t="s">
        <v>4205</v>
      </c>
      <c r="C1153" s="35" t="s">
        <v>7</v>
      </c>
      <c r="D1153" s="35" t="s">
        <v>8</v>
      </c>
      <c r="E1153" s="35" t="s">
        <v>106</v>
      </c>
      <c r="F1153" s="28" t="e">
        <f ca="1">_xludf.ifna(VLOOKUP(G1154,Proyectos!$E$1:$H$4,4,0),"")</f>
        <v>#NAME?</v>
      </c>
      <c r="G1153" s="26" t="s">
        <v>5597</v>
      </c>
      <c r="H1153" s="30">
        <v>1</v>
      </c>
      <c r="I1153" s="31" t="s">
        <v>18</v>
      </c>
      <c r="J1153" s="30"/>
      <c r="K1153" s="32" t="str">
        <f t="shared" si="4"/>
        <v>Externo</v>
      </c>
      <c r="L1153" s="32" t="e">
        <f ca="1">_xludf.ifna(VLOOKUP(G1154,Proyectos!$E$1:$N$4,10,0),"")</f>
        <v>#NAME?</v>
      </c>
      <c r="M1153" s="32"/>
      <c r="N1153" s="31"/>
      <c r="O1153" s="31"/>
      <c r="P1153" s="33"/>
      <c r="Q1153" s="33"/>
    </row>
    <row r="1154" spans="1:17" ht="16.5" customHeight="1" x14ac:dyDescent="0.2">
      <c r="A1154" s="26" t="s">
        <v>4749</v>
      </c>
      <c r="B1154" s="26" t="s">
        <v>4750</v>
      </c>
      <c r="C1154" s="26" t="s">
        <v>115</v>
      </c>
      <c r="D1154" s="26" t="s">
        <v>116</v>
      </c>
      <c r="E1154" s="26" t="s">
        <v>39</v>
      </c>
      <c r="F1154" s="28" t="e">
        <f ca="1">_xludf.ifna(VLOOKUP(G1155,Proyectos!$E$1:$H$4,4,0),"")</f>
        <v>#NAME?</v>
      </c>
      <c r="G1154" s="26" t="s">
        <v>5468</v>
      </c>
      <c r="H1154" s="32">
        <v>0.25</v>
      </c>
      <c r="I1154" s="31" t="s">
        <v>25</v>
      </c>
      <c r="J1154" s="32"/>
      <c r="K1154" s="32" t="str">
        <f t="shared" si="4"/>
        <v>Interno</v>
      </c>
      <c r="L1154" s="32" t="e">
        <f ca="1">_xludf.ifna(VLOOKUP(G1155,Proyectos!$E$1:$N$4,10,0),"")</f>
        <v>#NAME?</v>
      </c>
      <c r="M1154" s="32"/>
      <c r="N1154" s="32"/>
      <c r="O1154" s="31"/>
      <c r="P1154" s="33"/>
      <c r="Q1154" s="33"/>
    </row>
    <row r="1155" spans="1:17" ht="16.5" customHeight="1" x14ac:dyDescent="0.2">
      <c r="A1155" s="26" t="s">
        <v>4749</v>
      </c>
      <c r="B1155" s="26" t="s">
        <v>4750</v>
      </c>
      <c r="C1155" s="26" t="s">
        <v>115</v>
      </c>
      <c r="D1155" s="26" t="s">
        <v>116</v>
      </c>
      <c r="E1155" s="26" t="s">
        <v>39</v>
      </c>
      <c r="F1155" s="28" t="e">
        <f ca="1">_xludf.ifna(VLOOKUP(G1156,Proyectos!$E$1:$H$4,4,0),"")</f>
        <v>#NAME?</v>
      </c>
      <c r="G1155" s="26" t="s">
        <v>5314</v>
      </c>
      <c r="H1155" s="32">
        <v>0.25</v>
      </c>
      <c r="I1155" s="31" t="s">
        <v>25</v>
      </c>
      <c r="J1155" s="32"/>
      <c r="K1155" s="32" t="str">
        <f t="shared" si="4"/>
        <v>Interno</v>
      </c>
      <c r="L1155" s="32" t="e">
        <f ca="1">_xludf.ifna(VLOOKUP(G1156,Proyectos!$E$1:$N$4,10,0),"")</f>
        <v>#NAME?</v>
      </c>
      <c r="M1155" s="32"/>
      <c r="N1155" s="32"/>
      <c r="O1155" s="31"/>
      <c r="P1155" s="33"/>
      <c r="Q1155" s="33"/>
    </row>
    <row r="1156" spans="1:17" ht="16.5" customHeight="1" x14ac:dyDescent="0.2">
      <c r="A1156" s="26" t="s">
        <v>4749</v>
      </c>
      <c r="B1156" s="26" t="s">
        <v>4750</v>
      </c>
      <c r="C1156" s="26" t="s">
        <v>115</v>
      </c>
      <c r="D1156" s="26" t="s">
        <v>116</v>
      </c>
      <c r="E1156" s="26" t="s">
        <v>39</v>
      </c>
      <c r="F1156" s="28" t="e">
        <f ca="1">_xludf.ifna(VLOOKUP(G1157,Proyectos!$E$1:$H$4,4,0),"")</f>
        <v>#NAME?</v>
      </c>
      <c r="G1156" s="26" t="s">
        <v>5235</v>
      </c>
      <c r="H1156" s="32">
        <v>0.25</v>
      </c>
      <c r="I1156" s="31" t="s">
        <v>25</v>
      </c>
      <c r="J1156" s="32"/>
      <c r="K1156" s="32" t="str">
        <f t="shared" si="4"/>
        <v>Interno</v>
      </c>
      <c r="L1156" s="32" t="e">
        <f ca="1">_xludf.ifna(VLOOKUP(G1157,Proyectos!$E$1:$N$4,10,0),"")</f>
        <v>#NAME?</v>
      </c>
      <c r="M1156" s="32"/>
      <c r="N1156" s="32"/>
      <c r="O1156" s="31"/>
      <c r="P1156" s="33"/>
      <c r="Q1156" s="33"/>
    </row>
    <row r="1157" spans="1:17" ht="16.5" customHeight="1" x14ac:dyDescent="0.2">
      <c r="A1157" s="26" t="s">
        <v>4749</v>
      </c>
      <c r="B1157" s="26" t="s">
        <v>4750</v>
      </c>
      <c r="C1157" s="26" t="s">
        <v>115</v>
      </c>
      <c r="D1157" s="26" t="s">
        <v>116</v>
      </c>
      <c r="E1157" s="26" t="s">
        <v>39</v>
      </c>
      <c r="F1157" s="28" t="e">
        <f ca="1">_xludf.ifna(VLOOKUP(G1158,Proyectos!$E$1:$H$4,4,0),"")</f>
        <v>#NAME?</v>
      </c>
      <c r="G1157" s="26" t="s">
        <v>5318</v>
      </c>
      <c r="H1157" s="32">
        <v>0.25</v>
      </c>
      <c r="I1157" s="31" t="s">
        <v>25</v>
      </c>
      <c r="J1157" s="32"/>
      <c r="K1157" s="32" t="str">
        <f t="shared" si="4"/>
        <v>Interno</v>
      </c>
      <c r="L1157" s="32" t="e">
        <f ca="1">_xludf.ifna(VLOOKUP(G1158,Proyectos!$E$1:$N$4,10,0),"")</f>
        <v>#NAME?</v>
      </c>
      <c r="M1157" s="32"/>
      <c r="N1157" s="32"/>
      <c r="O1157" s="31"/>
      <c r="P1157" s="33"/>
      <c r="Q1157" s="33"/>
    </row>
    <row r="1158" spans="1:17" ht="16.5" customHeight="1" x14ac:dyDescent="0.2">
      <c r="A1158" s="26" t="s">
        <v>4920</v>
      </c>
      <c r="B1158" s="26" t="s">
        <v>5858</v>
      </c>
      <c r="C1158" s="26" t="s">
        <v>7</v>
      </c>
      <c r="D1158" s="26" t="s">
        <v>16</v>
      </c>
      <c r="E1158" s="26" t="s">
        <v>108</v>
      </c>
      <c r="F1158" s="28" t="e">
        <f ca="1">_xludf.ifna(VLOOKUP(G1159,Proyectos!$E$1:$H$4,4,0),"")</f>
        <v>#NAME?</v>
      </c>
      <c r="G1158" s="26" t="s">
        <v>5597</v>
      </c>
      <c r="H1158" s="65">
        <v>1</v>
      </c>
      <c r="I1158" s="31" t="s">
        <v>18</v>
      </c>
      <c r="J1158" s="32"/>
      <c r="K1158" s="32" t="str">
        <f t="shared" si="4"/>
        <v>Externo</v>
      </c>
      <c r="L1158" s="32" t="e">
        <f ca="1">_xludf.ifna(VLOOKUP(G1159,Proyectos!$E$1:$N$4,10,0),"")</f>
        <v>#NAME?</v>
      </c>
      <c r="M1158" s="32"/>
      <c r="N1158" s="31"/>
      <c r="O1158" s="31"/>
      <c r="P1158" s="33"/>
      <c r="Q1158" s="33"/>
    </row>
    <row r="1159" spans="1:17" ht="16.5" customHeight="1" x14ac:dyDescent="0.2">
      <c r="A1159" s="26" t="s">
        <v>4972</v>
      </c>
      <c r="B1159" s="26" t="s">
        <v>4973</v>
      </c>
      <c r="C1159" s="26" t="s">
        <v>98</v>
      </c>
      <c r="D1159" s="26" t="s">
        <v>107</v>
      </c>
      <c r="E1159" s="26" t="s">
        <v>87</v>
      </c>
      <c r="F1159" s="28" t="e">
        <f ca="1">_xludf.ifna(VLOOKUP(G1160,Proyectos!$E$1:$H$4,4,0),"")</f>
        <v>#NAME?</v>
      </c>
      <c r="G1159" s="26" t="s">
        <v>5347</v>
      </c>
      <c r="H1159" s="32">
        <v>0.5</v>
      </c>
      <c r="I1159" s="31" t="s">
        <v>18</v>
      </c>
      <c r="J1159" s="32"/>
      <c r="K1159" s="32" t="str">
        <f t="shared" si="4"/>
        <v>Externo</v>
      </c>
      <c r="L1159" s="32" t="e">
        <f ca="1">_xludf.ifna(VLOOKUP(G1160,Proyectos!$E$1:$N$4,10,0),"")</f>
        <v>#NAME?</v>
      </c>
      <c r="M1159" s="32"/>
      <c r="N1159" s="32"/>
      <c r="O1159" s="31"/>
      <c r="P1159" s="33"/>
      <c r="Q1159" s="33"/>
    </row>
    <row r="1160" spans="1:17" ht="16.5" customHeight="1" x14ac:dyDescent="0.2">
      <c r="A1160" s="26" t="s">
        <v>4972</v>
      </c>
      <c r="B1160" s="26" t="s">
        <v>4973</v>
      </c>
      <c r="C1160" s="26" t="s">
        <v>98</v>
      </c>
      <c r="D1160" s="26" t="s">
        <v>107</v>
      </c>
      <c r="E1160" s="26" t="s">
        <v>87</v>
      </c>
      <c r="F1160" s="28" t="e">
        <f ca="1">_xludf.ifna(VLOOKUP(G1161,Proyectos!$E$1:$H$4,4,0),"")</f>
        <v>#NAME?</v>
      </c>
      <c r="G1160" s="26" t="s">
        <v>5329</v>
      </c>
      <c r="H1160" s="32">
        <v>0.5</v>
      </c>
      <c r="I1160" s="31" t="s">
        <v>18</v>
      </c>
      <c r="J1160" s="32"/>
      <c r="K1160" s="32" t="str">
        <f t="shared" si="4"/>
        <v>Externo</v>
      </c>
      <c r="L1160" s="32" t="e">
        <f ca="1">_xludf.ifna(VLOOKUP(G1161,Proyectos!$E$1:$N$4,10,0),"")</f>
        <v>#NAME?</v>
      </c>
      <c r="M1160" s="32"/>
      <c r="N1160" s="32"/>
      <c r="O1160" s="31"/>
      <c r="P1160" s="33"/>
      <c r="Q1160" s="33"/>
    </row>
    <row r="1161" spans="1:17" ht="16.5" customHeight="1" x14ac:dyDescent="0.2">
      <c r="A1161" s="26" t="s">
        <v>3592</v>
      </c>
      <c r="B1161" s="26" t="s">
        <v>3593</v>
      </c>
      <c r="C1161" s="26" t="s">
        <v>115</v>
      </c>
      <c r="D1161" s="26" t="s">
        <v>122</v>
      </c>
      <c r="E1161" s="26" t="s">
        <v>39</v>
      </c>
      <c r="F1161" s="28" t="e">
        <f ca="1">_xludf.ifna(VLOOKUP(G1162,Proyectos!$E$1:$H$4,4,0),"")</f>
        <v>#NAME?</v>
      </c>
      <c r="G1161" s="26" t="s">
        <v>5423</v>
      </c>
      <c r="H1161" s="32">
        <v>0.6</v>
      </c>
      <c r="I1161" s="31" t="s">
        <v>32</v>
      </c>
      <c r="J1161" s="32"/>
      <c r="K1161" s="32" t="str">
        <f t="shared" si="4"/>
        <v>Interno</v>
      </c>
      <c r="L1161" s="32" t="e">
        <f ca="1">_xludf.ifna(VLOOKUP(G1162,Proyectos!$E$1:$N$4,10,0),"")</f>
        <v>#NAME?</v>
      </c>
      <c r="M1161" s="32"/>
      <c r="N1161" s="31"/>
      <c r="O1161" s="31"/>
      <c r="P1161" s="33"/>
      <c r="Q1161" s="33"/>
    </row>
    <row r="1162" spans="1:17" ht="16.5" customHeight="1" x14ac:dyDescent="0.2">
      <c r="A1162" s="26" t="s">
        <v>3592</v>
      </c>
      <c r="B1162" s="26" t="s">
        <v>3593</v>
      </c>
      <c r="C1162" s="26" t="s">
        <v>115</v>
      </c>
      <c r="D1162" s="26" t="s">
        <v>122</v>
      </c>
      <c r="E1162" s="26" t="s">
        <v>39</v>
      </c>
      <c r="F1162" s="28" t="e">
        <f ca="1">_xludf.ifna(VLOOKUP(G1163,Proyectos!$E$1:$H$4,4,0),"")</f>
        <v>#NAME?</v>
      </c>
      <c r="G1162" s="26" t="s">
        <v>5424</v>
      </c>
      <c r="H1162" s="32">
        <v>0.3</v>
      </c>
      <c r="I1162" s="31" t="s">
        <v>32</v>
      </c>
      <c r="J1162" s="32"/>
      <c r="K1162" s="32" t="str">
        <f t="shared" si="4"/>
        <v>Interno</v>
      </c>
      <c r="L1162" s="32" t="e">
        <f ca="1">_xludf.ifna(VLOOKUP(G1163,Proyectos!$E$1:$N$4,10,0),"")</f>
        <v>#NAME?</v>
      </c>
      <c r="M1162" s="32"/>
      <c r="N1162" s="31"/>
      <c r="O1162" s="31"/>
      <c r="P1162" s="33"/>
      <c r="Q1162" s="33"/>
    </row>
    <row r="1163" spans="1:17" ht="16.5" customHeight="1" x14ac:dyDescent="0.2">
      <c r="A1163" s="26" t="s">
        <v>3592</v>
      </c>
      <c r="B1163" s="26" t="s">
        <v>3593</v>
      </c>
      <c r="C1163" s="26" t="s">
        <v>115</v>
      </c>
      <c r="D1163" s="26" t="s">
        <v>122</v>
      </c>
      <c r="E1163" s="26" t="s">
        <v>39</v>
      </c>
      <c r="F1163" s="28" t="e">
        <f ca="1">_xludf.ifna(VLOOKUP(G1164,Proyectos!$E$1:$H$4,4,0),"")</f>
        <v>#NAME?</v>
      </c>
      <c r="G1163" s="26" t="s">
        <v>5597</v>
      </c>
      <c r="H1163" s="32">
        <v>0.1</v>
      </c>
      <c r="I1163" s="31" t="s">
        <v>32</v>
      </c>
      <c r="J1163" s="32"/>
      <c r="K1163" s="32" t="str">
        <f t="shared" si="4"/>
        <v>Interno</v>
      </c>
      <c r="L1163" s="32" t="e">
        <f ca="1">_xludf.ifna(VLOOKUP(G1164,Proyectos!$E$1:$N$4,10,0),"")</f>
        <v>#NAME?</v>
      </c>
      <c r="M1163" s="32"/>
      <c r="N1163" s="31"/>
      <c r="O1163" s="31"/>
      <c r="P1163" s="33"/>
      <c r="Q1163" s="33"/>
    </row>
    <row r="1164" spans="1:17" ht="16.5" customHeight="1" x14ac:dyDescent="0.2">
      <c r="A1164" s="26" t="s">
        <v>4080</v>
      </c>
      <c r="B1164" s="26" t="s">
        <v>5859</v>
      </c>
      <c r="C1164" s="26" t="s">
        <v>98</v>
      </c>
      <c r="D1164" s="26" t="s">
        <v>102</v>
      </c>
      <c r="E1164" s="26" t="s">
        <v>83</v>
      </c>
      <c r="F1164" s="28" t="e">
        <f ca="1">_xludf.ifna(VLOOKUP(G1165,Proyectos!$E$1:$H$4,4,0),"")</f>
        <v>#NAME?</v>
      </c>
      <c r="G1164" s="26" t="s">
        <v>5111</v>
      </c>
      <c r="H1164" s="32">
        <v>0.5</v>
      </c>
      <c r="I1164" s="31" t="s">
        <v>25</v>
      </c>
      <c r="J1164" s="32"/>
      <c r="K1164" s="32" t="str">
        <f t="shared" si="4"/>
        <v>Externo</v>
      </c>
      <c r="L1164" s="32" t="e">
        <f ca="1">_xludf.ifna(VLOOKUP(G1165,Proyectos!$E$1:$N$4,10,0),"")</f>
        <v>#NAME?</v>
      </c>
      <c r="M1164" s="32"/>
      <c r="N1164" s="32"/>
      <c r="O1164" s="31"/>
      <c r="P1164" s="33"/>
      <c r="Q1164" s="33"/>
    </row>
    <row r="1165" spans="1:17" ht="16.5" customHeight="1" x14ac:dyDescent="0.2">
      <c r="A1165" s="26" t="s">
        <v>4080</v>
      </c>
      <c r="B1165" s="26" t="s">
        <v>5859</v>
      </c>
      <c r="C1165" s="26" t="s">
        <v>98</v>
      </c>
      <c r="D1165" s="26" t="s">
        <v>102</v>
      </c>
      <c r="E1165" s="26" t="s">
        <v>83</v>
      </c>
      <c r="F1165" s="28" t="e">
        <f ca="1">_xludf.ifna(VLOOKUP(G1166,Proyectos!$E$1:$H$4,4,0),"")</f>
        <v>#NAME?</v>
      </c>
      <c r="G1165" s="27" t="s">
        <v>5112</v>
      </c>
      <c r="H1165" s="32">
        <v>0.5</v>
      </c>
      <c r="I1165" s="31" t="s">
        <v>25</v>
      </c>
      <c r="J1165" s="32"/>
      <c r="K1165" s="32" t="str">
        <f t="shared" si="4"/>
        <v>Externo</v>
      </c>
      <c r="L1165" s="32" t="e">
        <f ca="1">_xludf.ifna(VLOOKUP(G1166,Proyectos!$E$1:$N$4,10,0),"")</f>
        <v>#NAME?</v>
      </c>
      <c r="M1165" s="32"/>
      <c r="N1165" s="32"/>
      <c r="O1165" s="31"/>
      <c r="P1165" s="33"/>
      <c r="Q1165" s="33"/>
    </row>
    <row r="1166" spans="1:17" ht="16.5" customHeight="1" x14ac:dyDescent="0.2">
      <c r="A1166" s="26" t="s">
        <v>4332</v>
      </c>
      <c r="B1166" s="26" t="s">
        <v>4333</v>
      </c>
      <c r="C1166" s="26" t="s">
        <v>98</v>
      </c>
      <c r="D1166" s="26" t="s">
        <v>113</v>
      </c>
      <c r="E1166" s="26" t="s">
        <v>9</v>
      </c>
      <c r="F1166" s="28" t="e">
        <f ca="1">_xludf.ifna(VLOOKUP(G1167,Proyectos!$E$1:$H$4,4,0),"")</f>
        <v>#NAME?</v>
      </c>
      <c r="G1166" s="26" t="s">
        <v>5245</v>
      </c>
      <c r="H1166" s="32">
        <v>1</v>
      </c>
      <c r="I1166" s="31" t="s">
        <v>18</v>
      </c>
      <c r="J1166" s="32"/>
      <c r="K1166" s="32" t="str">
        <f t="shared" si="4"/>
        <v>Externo</v>
      </c>
      <c r="L1166" s="32" t="e">
        <f ca="1">_xludf.ifna(VLOOKUP(G1167,Proyectos!$E$1:$N$4,10,0),"")</f>
        <v>#NAME?</v>
      </c>
      <c r="M1166" s="32"/>
      <c r="N1166" s="32"/>
      <c r="O1166" s="31"/>
      <c r="P1166" s="33"/>
      <c r="Q1166" s="33"/>
    </row>
    <row r="1167" spans="1:17" ht="16.5" customHeight="1" x14ac:dyDescent="0.2">
      <c r="A1167" s="26" t="s">
        <v>3801</v>
      </c>
      <c r="B1167" s="26" t="s">
        <v>3802</v>
      </c>
      <c r="C1167" s="26" t="s">
        <v>115</v>
      </c>
      <c r="D1167" s="26" t="s">
        <v>119</v>
      </c>
      <c r="E1167" s="26" t="s">
        <v>39</v>
      </c>
      <c r="F1167" s="28" t="e">
        <f ca="1">_xludf.ifna(VLOOKUP(G1168,Proyectos!$E$1:$H$4,4,0),"")</f>
        <v>#NAME?</v>
      </c>
      <c r="G1167" s="26" t="s">
        <v>5597</v>
      </c>
      <c r="H1167" s="32">
        <v>0.5</v>
      </c>
      <c r="I1167" s="31" t="s">
        <v>25</v>
      </c>
      <c r="J1167" s="31" t="s">
        <v>5662</v>
      </c>
      <c r="K1167" s="32" t="str">
        <f t="shared" si="4"/>
        <v>Interno</v>
      </c>
      <c r="L1167" s="32" t="e">
        <f ca="1">_xludf.ifna(VLOOKUP(G1168,Proyectos!$E$1:$N$4,10,0),"")</f>
        <v>#NAME?</v>
      </c>
      <c r="M1167" s="32"/>
      <c r="N1167" s="31"/>
      <c r="O1167" s="31"/>
      <c r="P1167" s="33"/>
      <c r="Q1167" s="33"/>
    </row>
    <row r="1168" spans="1:17" ht="16.5" customHeight="1" x14ac:dyDescent="0.2">
      <c r="A1168" s="26" t="s">
        <v>3801</v>
      </c>
      <c r="B1168" s="26" t="s">
        <v>3802</v>
      </c>
      <c r="C1168" s="26" t="s">
        <v>115</v>
      </c>
      <c r="D1168" s="26" t="s">
        <v>119</v>
      </c>
      <c r="E1168" s="26" t="s">
        <v>39</v>
      </c>
      <c r="F1168" s="28" t="e">
        <f ca="1">_xludf.ifna(VLOOKUP(G1169,Proyectos!$E$1:$H$4,4,0),"")</f>
        <v>#NAME?</v>
      </c>
      <c r="G1168" s="26" t="s">
        <v>5230</v>
      </c>
      <c r="H1168" s="32">
        <v>0.5</v>
      </c>
      <c r="I1168" s="31" t="s">
        <v>25</v>
      </c>
      <c r="J1168" s="31" t="s">
        <v>5662</v>
      </c>
      <c r="K1168" s="32" t="str">
        <f t="shared" si="4"/>
        <v>Interno</v>
      </c>
      <c r="L1168" s="32" t="e">
        <f ca="1">_xludf.ifna(VLOOKUP(G1169,Proyectos!$E$1:$N$4,10,0),"")</f>
        <v>#NAME?</v>
      </c>
      <c r="M1168" s="32"/>
      <c r="N1168" s="31"/>
      <c r="O1168" s="31"/>
      <c r="P1168" s="33"/>
      <c r="Q1168" s="33"/>
    </row>
    <row r="1169" spans="1:17" ht="16.5" customHeight="1" x14ac:dyDescent="0.2">
      <c r="A1169" s="26" t="s">
        <v>3329</v>
      </c>
      <c r="B1169" s="26" t="s">
        <v>5377</v>
      </c>
      <c r="C1169" s="26" t="s">
        <v>64</v>
      </c>
      <c r="D1169" s="26" t="s">
        <v>89</v>
      </c>
      <c r="E1169" s="26" t="s">
        <v>39</v>
      </c>
      <c r="F1169" s="28" t="e">
        <f ca="1">_xludf.ifna(VLOOKUP(G1170,Proyectos!$E$1:$H$4,4,0),"")</f>
        <v>#NAME?</v>
      </c>
      <c r="G1169" s="26" t="s">
        <v>5130</v>
      </c>
      <c r="H1169" s="32">
        <v>0.5</v>
      </c>
      <c r="I1169" s="31" t="s">
        <v>18</v>
      </c>
      <c r="J1169" s="32"/>
      <c r="K1169" s="32" t="str">
        <f t="shared" si="4"/>
        <v>Interno</v>
      </c>
      <c r="L1169" s="32" t="e">
        <f ca="1">_xludf.ifna(VLOOKUP(G1170,Proyectos!$E$1:$N$4,10,0),"")</f>
        <v>#NAME?</v>
      </c>
      <c r="M1169" s="32"/>
      <c r="N1169" s="32"/>
      <c r="O1169" s="31"/>
      <c r="P1169" s="33"/>
      <c r="Q1169" s="33"/>
    </row>
    <row r="1170" spans="1:17" ht="16.5" customHeight="1" x14ac:dyDescent="0.2">
      <c r="A1170" s="26" t="s">
        <v>3329</v>
      </c>
      <c r="B1170" s="26" t="s">
        <v>5377</v>
      </c>
      <c r="C1170" s="26" t="s">
        <v>64</v>
      </c>
      <c r="D1170" s="26" t="s">
        <v>89</v>
      </c>
      <c r="E1170" s="26" t="s">
        <v>39</v>
      </c>
      <c r="F1170" s="28" t="e">
        <f ca="1">_xludf.ifna(VLOOKUP(G1171,Proyectos!$E$1:$H$4,4,0),"")</f>
        <v>#NAME?</v>
      </c>
      <c r="G1170" s="26" t="s">
        <v>5651</v>
      </c>
      <c r="H1170" s="32">
        <v>0.5</v>
      </c>
      <c r="I1170" s="31" t="s">
        <v>18</v>
      </c>
      <c r="J1170" s="32"/>
      <c r="K1170" s="32" t="str">
        <f t="shared" si="4"/>
        <v>Interno</v>
      </c>
      <c r="L1170" s="32" t="e">
        <f ca="1">_xludf.ifna(VLOOKUP(G1171,Proyectos!$E$1:$N$4,10,0),"")</f>
        <v>#NAME?</v>
      </c>
      <c r="M1170" s="32"/>
      <c r="N1170" s="32"/>
      <c r="O1170" s="31"/>
      <c r="P1170" s="33"/>
      <c r="Q1170" s="33"/>
    </row>
    <row r="1171" spans="1:17" ht="16.5" customHeight="1" x14ac:dyDescent="0.2">
      <c r="A1171" s="26" t="s">
        <v>3935</v>
      </c>
      <c r="B1171" s="26" t="s">
        <v>5860</v>
      </c>
      <c r="C1171" s="26" t="s">
        <v>64</v>
      </c>
      <c r="D1171" s="26" t="s">
        <v>86</v>
      </c>
      <c r="E1171" s="26" t="s">
        <v>135</v>
      </c>
      <c r="F1171" s="28" t="e">
        <f ca="1">_xludf.ifna(VLOOKUP(G1172,Proyectos!$E$1:$H$4,4,0),"")</f>
        <v>#NAME?</v>
      </c>
      <c r="G1171" s="26" t="s">
        <v>5464</v>
      </c>
      <c r="H1171" s="30">
        <v>1</v>
      </c>
      <c r="I1171" s="31" t="s">
        <v>18</v>
      </c>
      <c r="J1171" s="32"/>
      <c r="K1171" s="32" t="str">
        <f t="shared" si="4"/>
        <v>Externo</v>
      </c>
      <c r="L1171" s="32" t="e">
        <f ca="1">_xludf.ifna(VLOOKUP(G1172,Proyectos!$E$1:$N$4,10,0),"")</f>
        <v>#NAME?</v>
      </c>
      <c r="M1171" s="32"/>
      <c r="N1171" s="32"/>
      <c r="O1171" s="31"/>
      <c r="P1171" s="33"/>
      <c r="Q1171" s="33"/>
    </row>
    <row r="1172" spans="1:17" ht="16.5" customHeight="1" x14ac:dyDescent="0.2">
      <c r="A1172" s="35" t="s">
        <v>3315</v>
      </c>
      <c r="B1172" s="26" t="s">
        <v>3316</v>
      </c>
      <c r="C1172" s="26" t="s">
        <v>64</v>
      </c>
      <c r="D1172" s="26" t="s">
        <v>82</v>
      </c>
      <c r="E1172" s="35" t="s">
        <v>39</v>
      </c>
      <c r="F1172" s="28" t="e">
        <f ca="1">_xludf.ifna(VLOOKUP(G1173,Proyectos!$E$1:$H$4,4,0),"")</f>
        <v>#NAME?</v>
      </c>
      <c r="G1172" s="26" t="s">
        <v>5387</v>
      </c>
      <c r="H1172" s="32">
        <v>1</v>
      </c>
      <c r="I1172" s="31" t="s">
        <v>18</v>
      </c>
      <c r="J1172" s="32"/>
      <c r="K1172" s="32" t="str">
        <f t="shared" si="4"/>
        <v>Interno</v>
      </c>
      <c r="L1172" s="32" t="e">
        <f ca="1">_xludf.ifna(VLOOKUP(G1173,Proyectos!$E$1:$N$4,10,0),"")</f>
        <v>#NAME?</v>
      </c>
      <c r="M1172" s="32"/>
      <c r="N1172" s="32"/>
      <c r="O1172" s="31"/>
      <c r="P1172" s="33"/>
      <c r="Q1172" s="33"/>
    </row>
    <row r="1173" spans="1:17" ht="16.5" customHeight="1" x14ac:dyDescent="0.2">
      <c r="A1173" s="26" t="s">
        <v>3410</v>
      </c>
      <c r="B1173" s="26" t="s">
        <v>3411</v>
      </c>
      <c r="C1173" s="35" t="s">
        <v>7</v>
      </c>
      <c r="D1173" s="35" t="s">
        <v>8</v>
      </c>
      <c r="E1173" s="35" t="s">
        <v>39</v>
      </c>
      <c r="F1173" s="28" t="e">
        <f ca="1">_xludf.ifna(VLOOKUP(G1174,Proyectos!$E$1:$H$4,4,0),"")</f>
        <v>#NAME?</v>
      </c>
      <c r="G1173" s="26" t="s">
        <v>5597</v>
      </c>
      <c r="H1173" s="30">
        <v>1</v>
      </c>
      <c r="I1173" s="31" t="s">
        <v>11</v>
      </c>
      <c r="J1173" s="30"/>
      <c r="K1173" s="32" t="str">
        <f t="shared" si="4"/>
        <v>Interno</v>
      </c>
      <c r="L1173" s="32" t="e">
        <f ca="1">_xludf.ifna(VLOOKUP(G1174,Proyectos!$E$1:$N$4,10,0),"")</f>
        <v>#NAME?</v>
      </c>
      <c r="M1173" s="32"/>
      <c r="N1173" s="31"/>
      <c r="O1173" s="31"/>
      <c r="P1173" s="33"/>
      <c r="Q1173" s="33"/>
    </row>
    <row r="1174" spans="1:17" ht="16.5" customHeight="1" x14ac:dyDescent="0.2">
      <c r="A1174" s="26" t="s">
        <v>3572</v>
      </c>
      <c r="B1174" s="26" t="s">
        <v>3573</v>
      </c>
      <c r="C1174" s="26" t="s">
        <v>115</v>
      </c>
      <c r="D1174" s="26" t="s">
        <v>122</v>
      </c>
      <c r="E1174" s="26" t="s">
        <v>39</v>
      </c>
      <c r="F1174" s="28" t="e">
        <f ca="1">_xludf.ifna(VLOOKUP(G1175,Proyectos!$E$1:$H$4,4,0),"")</f>
        <v>#NAME?</v>
      </c>
      <c r="G1174" s="26" t="s">
        <v>5414</v>
      </c>
      <c r="H1174" s="32">
        <v>1</v>
      </c>
      <c r="I1174" s="31" t="s">
        <v>18</v>
      </c>
      <c r="J1174" s="32"/>
      <c r="K1174" s="32" t="str">
        <f t="shared" si="4"/>
        <v>Interno</v>
      </c>
      <c r="L1174" s="32" t="e">
        <f ca="1">_xludf.ifna(VLOOKUP(G1175,Proyectos!$E$1:$N$4,10,0),"")</f>
        <v>#NAME?</v>
      </c>
      <c r="M1174" s="32"/>
      <c r="N1174" s="32"/>
      <c r="O1174" s="31"/>
      <c r="P1174" s="33"/>
      <c r="Q1174" s="33"/>
    </row>
    <row r="1175" spans="1:17" ht="16.5" customHeight="1" x14ac:dyDescent="0.2">
      <c r="A1175" s="26" t="s">
        <v>4439</v>
      </c>
      <c r="B1175" s="26" t="s">
        <v>4440</v>
      </c>
      <c r="C1175" s="26" t="s">
        <v>98</v>
      </c>
      <c r="D1175" s="26" t="s">
        <v>113</v>
      </c>
      <c r="E1175" s="26" t="s">
        <v>87</v>
      </c>
      <c r="F1175" s="28" t="e">
        <f ca="1">_xludf.ifna(VLOOKUP(G1176,Proyectos!$E$1:$H$4,4,0),"")</f>
        <v>#NAME?</v>
      </c>
      <c r="G1175" s="26" t="s">
        <v>5133</v>
      </c>
      <c r="H1175" s="32">
        <v>1</v>
      </c>
      <c r="I1175" s="31" t="s">
        <v>18</v>
      </c>
      <c r="J1175" s="32"/>
      <c r="K1175" s="32" t="str">
        <f t="shared" si="4"/>
        <v>Externo</v>
      </c>
      <c r="L1175" s="32" t="e">
        <f ca="1">_xludf.ifna(VLOOKUP(G1176,Proyectos!$E$1:$N$4,10,0),"")</f>
        <v>#NAME?</v>
      </c>
      <c r="M1175" s="32"/>
      <c r="N1175" s="32"/>
      <c r="O1175" s="31"/>
      <c r="P1175" s="33"/>
      <c r="Q1175" s="33"/>
    </row>
    <row r="1176" spans="1:17" ht="16.5" customHeight="1" x14ac:dyDescent="0.2">
      <c r="A1176" s="26" t="s">
        <v>4130</v>
      </c>
      <c r="B1176" s="26" t="s">
        <v>4131</v>
      </c>
      <c r="C1176" s="26" t="s">
        <v>115</v>
      </c>
      <c r="D1176" s="26" t="s">
        <v>119</v>
      </c>
      <c r="E1176" s="26" t="s">
        <v>135</v>
      </c>
      <c r="F1176" s="28" t="e">
        <f ca="1">_xludf.ifna(VLOOKUP(G1177,Proyectos!$E$1:$H$4,4,0),"")</f>
        <v>#NAME?</v>
      </c>
      <c r="G1176" s="26" t="s">
        <v>5597</v>
      </c>
      <c r="H1176" s="32">
        <v>1</v>
      </c>
      <c r="I1176" s="31" t="s">
        <v>18</v>
      </c>
      <c r="J1176" s="32"/>
      <c r="K1176" s="32" t="str">
        <f t="shared" si="4"/>
        <v>Externo</v>
      </c>
      <c r="L1176" s="32" t="e">
        <f ca="1">_xludf.ifna(VLOOKUP(G1177,Proyectos!$E$1:$N$4,10,0),"")</f>
        <v>#NAME?</v>
      </c>
      <c r="M1176" s="32"/>
      <c r="N1176" s="31"/>
      <c r="O1176" s="31"/>
      <c r="P1176" s="33"/>
      <c r="Q1176" s="33"/>
    </row>
    <row r="1177" spans="1:17" ht="16.5" customHeight="1" x14ac:dyDescent="0.2">
      <c r="A1177" s="35" t="s">
        <v>4511</v>
      </c>
      <c r="B1177" s="26" t="s">
        <v>5510</v>
      </c>
      <c r="C1177" s="26" t="s">
        <v>64</v>
      </c>
      <c r="D1177" s="26" t="s">
        <v>82</v>
      </c>
      <c r="E1177" s="35" t="s">
        <v>126</v>
      </c>
      <c r="F1177" s="28" t="e">
        <f ca="1">_xludf.ifna(VLOOKUP(G1178,Proyectos!$E$1:$H$4,4,0),"")</f>
        <v>#NAME?</v>
      </c>
      <c r="G1177" s="26" t="s">
        <v>5434</v>
      </c>
      <c r="H1177" s="32">
        <v>1</v>
      </c>
      <c r="I1177" s="31" t="s">
        <v>18</v>
      </c>
      <c r="J1177" s="32"/>
      <c r="K1177" s="32" t="str">
        <f t="shared" si="4"/>
        <v>Externo</v>
      </c>
      <c r="L1177" s="32" t="e">
        <f ca="1">_xludf.ifna(VLOOKUP(G1178,Proyectos!$E$1:$N$4,10,0),"")</f>
        <v>#NAME?</v>
      </c>
      <c r="M1177" s="32"/>
      <c r="N1177" s="31"/>
      <c r="O1177" s="31"/>
      <c r="P1177" s="33"/>
      <c r="Q1177" s="33"/>
    </row>
    <row r="1178" spans="1:17" ht="16.5" customHeight="1" x14ac:dyDescent="0.2">
      <c r="A1178" s="26" t="s">
        <v>4835</v>
      </c>
      <c r="B1178" s="26" t="s">
        <v>5861</v>
      </c>
      <c r="C1178" s="26" t="s">
        <v>64</v>
      </c>
      <c r="D1178" s="26" t="s">
        <v>86</v>
      </c>
      <c r="E1178" s="26" t="s">
        <v>87</v>
      </c>
      <c r="F1178" s="28" t="e">
        <f ca="1">_xludf.ifna(VLOOKUP(G1179,Proyectos!$E$1:$H$4,4,0),"")</f>
        <v>#NAME?</v>
      </c>
      <c r="G1178" s="26" t="s">
        <v>5463</v>
      </c>
      <c r="H1178" s="30">
        <v>1</v>
      </c>
      <c r="I1178" s="31" t="s">
        <v>18</v>
      </c>
      <c r="J1178" s="32"/>
      <c r="K1178" s="32" t="str">
        <f t="shared" si="4"/>
        <v>Externo</v>
      </c>
      <c r="L1178" s="32" t="e">
        <f ca="1">_xludf.ifna(VLOOKUP(G1179,Proyectos!$E$1:$N$4,10,0),"")</f>
        <v>#NAME?</v>
      </c>
      <c r="M1178" s="32"/>
      <c r="N1178" s="32"/>
      <c r="O1178" s="31"/>
      <c r="P1178" s="33"/>
      <c r="Q1178" s="33"/>
    </row>
    <row r="1179" spans="1:17" ht="16.5" customHeight="1" x14ac:dyDescent="0.2">
      <c r="A1179" s="26" t="s">
        <v>4288</v>
      </c>
      <c r="B1179" s="26" t="s">
        <v>5862</v>
      </c>
      <c r="C1179" s="26" t="s">
        <v>64</v>
      </c>
      <c r="D1179" s="26" t="s">
        <v>86</v>
      </c>
      <c r="E1179" s="26" t="s">
        <v>114</v>
      </c>
      <c r="F1179" s="28" t="e">
        <f ca="1">_xludf.ifna(VLOOKUP(G1180,Proyectos!$E$1:$H$4,4,0),"")</f>
        <v>#NAME?</v>
      </c>
      <c r="G1179" s="26" t="s">
        <v>5464</v>
      </c>
      <c r="H1179" s="30">
        <v>1</v>
      </c>
      <c r="I1179" s="31" t="s">
        <v>25</v>
      </c>
      <c r="J1179" s="32"/>
      <c r="K1179" s="32" t="str">
        <f t="shared" si="4"/>
        <v>Externo</v>
      </c>
      <c r="L1179" s="32" t="e">
        <f ca="1">_xludf.ifna(VLOOKUP(G1180,Proyectos!$E$1:$N$4,10,0),"")</f>
        <v>#NAME?</v>
      </c>
      <c r="M1179" s="32"/>
      <c r="N1179" s="32"/>
      <c r="O1179" s="31"/>
      <c r="P1179" s="33"/>
      <c r="Q1179" s="33"/>
    </row>
    <row r="1180" spans="1:17" ht="16.5" customHeight="1" x14ac:dyDescent="0.2">
      <c r="A1180" s="35" t="s">
        <v>4153</v>
      </c>
      <c r="B1180" s="26" t="s">
        <v>5511</v>
      </c>
      <c r="C1180" s="26" t="s">
        <v>64</v>
      </c>
      <c r="D1180" s="26" t="s">
        <v>82</v>
      </c>
      <c r="E1180" s="35" t="s">
        <v>87</v>
      </c>
      <c r="F1180" s="28" t="e">
        <f ca="1">_xludf.ifna(VLOOKUP(G1181,Proyectos!$E$1:$H$4,4,0),"")</f>
        <v>#NAME?</v>
      </c>
      <c r="G1180" s="26" t="s">
        <v>5387</v>
      </c>
      <c r="H1180" s="32">
        <v>1</v>
      </c>
      <c r="I1180" s="31" t="s">
        <v>25</v>
      </c>
      <c r="J1180" s="32"/>
      <c r="K1180" s="32" t="str">
        <f t="shared" si="4"/>
        <v>Externo</v>
      </c>
      <c r="L1180" s="32" t="e">
        <f ca="1">_xludf.ifna(VLOOKUP(G1181,Proyectos!$E$1:$N$4,10,0),"")</f>
        <v>#NAME?</v>
      </c>
      <c r="M1180" s="32"/>
      <c r="N1180" s="32"/>
      <c r="O1180" s="31"/>
      <c r="P1180" s="33"/>
      <c r="Q1180" s="33"/>
    </row>
    <row r="1181" spans="1:17" ht="16.5" customHeight="1" x14ac:dyDescent="0.2">
      <c r="A1181" s="26" t="s">
        <v>4940</v>
      </c>
      <c r="B1181" s="26" t="s">
        <v>5863</v>
      </c>
      <c r="C1181" s="26" t="s">
        <v>64</v>
      </c>
      <c r="D1181" s="26" t="s">
        <v>78</v>
      </c>
      <c r="E1181" s="26" t="s">
        <v>87</v>
      </c>
      <c r="F1181" s="28" t="e">
        <f ca="1">_xludf.ifna(VLOOKUP(G1182,Proyectos!$E$1:$H$4,4,0),"")</f>
        <v>#NAME?</v>
      </c>
      <c r="G1181" s="26" t="s">
        <v>5406</v>
      </c>
      <c r="H1181" s="30">
        <v>1</v>
      </c>
      <c r="I1181" s="31" t="s">
        <v>18</v>
      </c>
      <c r="J1181" s="32"/>
      <c r="K1181" s="32" t="str">
        <f t="shared" si="4"/>
        <v>Externo</v>
      </c>
      <c r="L1181" s="32" t="e">
        <f ca="1">_xludf.ifna(VLOOKUP(G1182,Proyectos!$E$1:$N$4,10,0),"")</f>
        <v>#NAME?</v>
      </c>
      <c r="M1181" s="32"/>
      <c r="N1181" s="32"/>
      <c r="O1181" s="31"/>
      <c r="P1181" s="33"/>
      <c r="Q1181" s="33"/>
    </row>
    <row r="1182" spans="1:17" ht="16.5" customHeight="1" x14ac:dyDescent="0.2">
      <c r="A1182" s="26" t="s">
        <v>3590</v>
      </c>
      <c r="B1182" s="26" t="s">
        <v>3591</v>
      </c>
      <c r="C1182" s="26" t="s">
        <v>115</v>
      </c>
      <c r="D1182" s="26" t="s">
        <v>116</v>
      </c>
      <c r="E1182" s="26" t="s">
        <v>39</v>
      </c>
      <c r="F1182" s="28" t="e">
        <f ca="1">_xludf.ifna(VLOOKUP(G1183,Proyectos!$E$1:$H$4,4,0),"")</f>
        <v>#NAME?</v>
      </c>
      <c r="G1182" s="26" t="s">
        <v>5324</v>
      </c>
      <c r="H1182" s="32">
        <v>0.75</v>
      </c>
      <c r="I1182" s="31" t="s">
        <v>18</v>
      </c>
      <c r="J1182" s="32"/>
      <c r="K1182" s="32" t="str">
        <f t="shared" si="4"/>
        <v>Interno</v>
      </c>
      <c r="L1182" s="32" t="e">
        <f ca="1">_xludf.ifna(VLOOKUP(G1183,Proyectos!$E$1:$N$4,10,0),"")</f>
        <v>#NAME?</v>
      </c>
      <c r="M1182" s="32"/>
      <c r="N1182" s="32"/>
      <c r="O1182" s="31"/>
      <c r="P1182" s="33"/>
      <c r="Q1182" s="33"/>
    </row>
    <row r="1183" spans="1:17" ht="16.5" customHeight="1" x14ac:dyDescent="0.2">
      <c r="A1183" s="26" t="s">
        <v>3590</v>
      </c>
      <c r="B1183" s="26" t="s">
        <v>3591</v>
      </c>
      <c r="C1183" s="26" t="s">
        <v>115</v>
      </c>
      <c r="D1183" s="26" t="s">
        <v>116</v>
      </c>
      <c r="E1183" s="26" t="s">
        <v>39</v>
      </c>
      <c r="F1183" s="28" t="e">
        <f ca="1">_xludf.ifna(VLOOKUP(G1184,Proyectos!$E$1:$H$4,4,0),"")</f>
        <v>#NAME?</v>
      </c>
      <c r="G1183" s="26" t="s">
        <v>5237</v>
      </c>
      <c r="H1183" s="32">
        <v>0.25</v>
      </c>
      <c r="I1183" s="31" t="s">
        <v>18</v>
      </c>
      <c r="J1183" s="32"/>
      <c r="K1183" s="32" t="str">
        <f t="shared" si="4"/>
        <v>Interno</v>
      </c>
      <c r="L1183" s="32" t="e">
        <f ca="1">_xludf.ifna(VLOOKUP(G1184,Proyectos!$E$1:$N$4,10,0),"")</f>
        <v>#NAME?</v>
      </c>
      <c r="M1183" s="32"/>
      <c r="N1183" s="32"/>
      <c r="O1183" s="31"/>
      <c r="P1183" s="33"/>
      <c r="Q1183" s="33"/>
    </row>
    <row r="1184" spans="1:17" ht="16.5" customHeight="1" x14ac:dyDescent="0.2">
      <c r="A1184" s="26" t="s">
        <v>4198</v>
      </c>
      <c r="B1184" s="26" t="s">
        <v>4199</v>
      </c>
      <c r="C1184" s="26" t="s">
        <v>115</v>
      </c>
      <c r="D1184" s="26" t="s">
        <v>134</v>
      </c>
      <c r="E1184" s="26" t="s">
        <v>114</v>
      </c>
      <c r="F1184" s="28" t="e">
        <f ca="1">_xludf.ifna(VLOOKUP(G1185,Proyectos!$E$1:$H$4,4,0),"")</f>
        <v>#NAME?</v>
      </c>
      <c r="G1184" s="26" t="s">
        <v>5597</v>
      </c>
      <c r="H1184" s="32">
        <v>0.5</v>
      </c>
      <c r="I1184" s="31" t="s">
        <v>25</v>
      </c>
      <c r="J1184" s="32"/>
      <c r="K1184" s="32" t="str">
        <f t="shared" si="4"/>
        <v>Externo</v>
      </c>
      <c r="L1184" s="32" t="e">
        <f ca="1">_xludf.ifna(VLOOKUP(G1185,Proyectos!$E$1:$N$4,10,0),"")</f>
        <v>#NAME?</v>
      </c>
      <c r="M1184" s="32"/>
      <c r="N1184" s="31"/>
      <c r="O1184" s="31"/>
      <c r="P1184" s="33"/>
      <c r="Q1184" s="33"/>
    </row>
    <row r="1185" spans="1:17" ht="16.5" customHeight="1" x14ac:dyDescent="0.2">
      <c r="A1185" s="26" t="s">
        <v>4976</v>
      </c>
      <c r="B1185" s="26" t="s">
        <v>5185</v>
      </c>
      <c r="C1185" s="54" t="s">
        <v>7</v>
      </c>
      <c r="D1185" s="54" t="s">
        <v>23</v>
      </c>
      <c r="E1185" s="54" t="s">
        <v>79</v>
      </c>
      <c r="F1185" s="28" t="e">
        <f ca="1">_xludf.ifna(VLOOKUP(G1186,Proyectos!$E$1:$H$4,4,0),"")</f>
        <v>#NAME?</v>
      </c>
      <c r="G1185" s="54" t="s">
        <v>5170</v>
      </c>
      <c r="H1185" s="60">
        <v>1</v>
      </c>
      <c r="I1185" s="31" t="s">
        <v>18</v>
      </c>
      <c r="J1185" s="60"/>
      <c r="K1185" s="32" t="str">
        <f t="shared" si="4"/>
        <v>Externo</v>
      </c>
      <c r="L1185" s="32" t="e">
        <f ca="1">_xludf.ifna(VLOOKUP(G1186,Proyectos!$E$1:$N$4,10,0),"")</f>
        <v>#NAME?</v>
      </c>
      <c r="M1185" s="32"/>
      <c r="N1185" s="31"/>
      <c r="O1185" s="31"/>
      <c r="P1185" s="33"/>
      <c r="Q1185" s="33"/>
    </row>
    <row r="1186" spans="1:17" ht="16.5" customHeight="1" x14ac:dyDescent="0.2">
      <c r="A1186" s="26" t="s">
        <v>5021</v>
      </c>
      <c r="B1186" s="26" t="s">
        <v>5307</v>
      </c>
      <c r="C1186" s="53" t="s">
        <v>64</v>
      </c>
      <c r="D1186" s="26" t="s">
        <v>92</v>
      </c>
      <c r="E1186" s="26" t="s">
        <v>126</v>
      </c>
      <c r="F1186" s="28" t="e">
        <f ca="1">_xludf.ifna(VLOOKUP(G1187,Proyectos!$E$1:$H$4,4,0),"")</f>
        <v>#NAME?</v>
      </c>
      <c r="G1186" s="26" t="s">
        <v>5127</v>
      </c>
      <c r="H1186" s="32">
        <v>1</v>
      </c>
      <c r="I1186" s="31" t="s">
        <v>18</v>
      </c>
      <c r="J1186" s="32"/>
      <c r="K1186" s="32" t="str">
        <f t="shared" si="4"/>
        <v>Externo</v>
      </c>
      <c r="L1186" s="32" t="e">
        <f ca="1">_xludf.ifna(VLOOKUP(G1187,Proyectos!$E$1:$N$4,10,0),"")</f>
        <v>#NAME?</v>
      </c>
      <c r="M1186" s="32"/>
      <c r="N1186" s="32"/>
      <c r="O1186" s="31"/>
      <c r="P1186" s="33"/>
      <c r="Q1186" s="33"/>
    </row>
    <row r="1187" spans="1:17" ht="16.5" customHeight="1" x14ac:dyDescent="0.2">
      <c r="A1187" s="35" t="s">
        <v>4360</v>
      </c>
      <c r="B1187" s="26" t="s">
        <v>5512</v>
      </c>
      <c r="C1187" s="26" t="s">
        <v>64</v>
      </c>
      <c r="D1187" s="26" t="s">
        <v>82</v>
      </c>
      <c r="E1187" s="35" t="s">
        <v>135</v>
      </c>
      <c r="F1187" s="28" t="e">
        <f ca="1">_xludf.ifna(VLOOKUP(G1188,Proyectos!$E$1:$H$4,4,0),"")</f>
        <v>#NAME?</v>
      </c>
      <c r="G1187" s="26" t="s">
        <v>5387</v>
      </c>
      <c r="H1187" s="32">
        <v>1</v>
      </c>
      <c r="I1187" s="31" t="s">
        <v>25</v>
      </c>
      <c r="J1187" s="32"/>
      <c r="K1187" s="32" t="str">
        <f t="shared" si="4"/>
        <v>Externo</v>
      </c>
      <c r="L1187" s="32" t="e">
        <f ca="1">_xludf.ifna(VLOOKUP(G1188,Proyectos!$E$1:$N$4,10,0),"")</f>
        <v>#NAME?</v>
      </c>
      <c r="M1187" s="32"/>
      <c r="N1187" s="32"/>
      <c r="O1187" s="31"/>
      <c r="P1187" s="33"/>
      <c r="Q1187" s="33"/>
    </row>
    <row r="1188" spans="1:17" ht="16.5" customHeight="1" x14ac:dyDescent="0.2">
      <c r="A1188" s="26" t="s">
        <v>4235</v>
      </c>
      <c r="B1188" s="26" t="s">
        <v>4236</v>
      </c>
      <c r="C1188" s="26" t="s">
        <v>98</v>
      </c>
      <c r="D1188" s="26" t="s">
        <v>107</v>
      </c>
      <c r="E1188" s="26" t="s">
        <v>87</v>
      </c>
      <c r="F1188" s="28" t="e">
        <f ca="1">_xludf.ifna(VLOOKUP(G1189,Proyectos!$E$1:$H$4,4,0),"")</f>
        <v>#NAME?</v>
      </c>
      <c r="G1188" s="26" t="s">
        <v>5524</v>
      </c>
      <c r="H1188" s="32">
        <v>1</v>
      </c>
      <c r="I1188" s="31" t="s">
        <v>18</v>
      </c>
      <c r="J1188" s="32"/>
      <c r="K1188" s="32" t="str">
        <f t="shared" si="4"/>
        <v>Externo</v>
      </c>
      <c r="L1188" s="32" t="e">
        <f ca="1">_xludf.ifna(VLOOKUP(G1189,Proyectos!$E$1:$N$4,10,0),"")</f>
        <v>#NAME?</v>
      </c>
      <c r="M1188" s="32"/>
      <c r="N1188" s="32"/>
      <c r="O1188" s="31"/>
      <c r="P1188" s="33"/>
      <c r="Q1188" s="33"/>
    </row>
    <row r="1189" spans="1:17" ht="16.5" customHeight="1" x14ac:dyDescent="0.2">
      <c r="A1189" s="26" t="s">
        <v>3682</v>
      </c>
      <c r="B1189" s="26" t="s">
        <v>5864</v>
      </c>
      <c r="C1189" s="26" t="s">
        <v>7</v>
      </c>
      <c r="D1189" s="26" t="s">
        <v>16</v>
      </c>
      <c r="E1189" s="26" t="s">
        <v>39</v>
      </c>
      <c r="F1189" s="28" t="e">
        <f ca="1">_xludf.ifna(VLOOKUP(G1190,Proyectos!$E$1:$H$4,4,0),"")</f>
        <v>#NAME?</v>
      </c>
      <c r="G1189" s="26" t="s">
        <v>5239</v>
      </c>
      <c r="H1189" s="65">
        <v>0.5</v>
      </c>
      <c r="I1189" s="31" t="s">
        <v>18</v>
      </c>
      <c r="J1189" s="32"/>
      <c r="K1189" s="32" t="str">
        <f t="shared" si="4"/>
        <v>Interno</v>
      </c>
      <c r="L1189" s="32" t="e">
        <f ca="1">_xludf.ifna(VLOOKUP(G1190,Proyectos!$E$1:$N$4,10,0),"")</f>
        <v>#NAME?</v>
      </c>
      <c r="M1189" s="32"/>
      <c r="N1189" s="31"/>
      <c r="O1189" s="31"/>
      <c r="P1189" s="33"/>
      <c r="Q1189" s="33"/>
    </row>
    <row r="1190" spans="1:17" ht="16.5" customHeight="1" x14ac:dyDescent="0.2">
      <c r="A1190" s="26" t="s">
        <v>3682</v>
      </c>
      <c r="B1190" s="26" t="s">
        <v>5864</v>
      </c>
      <c r="C1190" s="26" t="s">
        <v>7</v>
      </c>
      <c r="D1190" s="26" t="s">
        <v>16</v>
      </c>
      <c r="E1190" s="26" t="s">
        <v>39</v>
      </c>
      <c r="F1190" s="28" t="e">
        <f ca="1">_xludf.ifna(VLOOKUP(G1191,Proyectos!$E$1:$H$4,4,0),"")</f>
        <v>#NAME?</v>
      </c>
      <c r="G1190" s="26" t="s">
        <v>5158</v>
      </c>
      <c r="H1190" s="65">
        <v>0.15</v>
      </c>
      <c r="I1190" s="31" t="s">
        <v>18</v>
      </c>
      <c r="J1190" s="32"/>
      <c r="K1190" s="32" t="str">
        <f t="shared" si="4"/>
        <v>Interno</v>
      </c>
      <c r="L1190" s="32" t="e">
        <f ca="1">_xludf.ifna(VLOOKUP(G1191,Proyectos!$E$1:$N$4,10,0),"")</f>
        <v>#NAME?</v>
      </c>
      <c r="M1190" s="32"/>
      <c r="N1190" s="31"/>
      <c r="O1190" s="31"/>
      <c r="P1190" s="33"/>
      <c r="Q1190" s="33"/>
    </row>
    <row r="1191" spans="1:17" ht="16.5" customHeight="1" x14ac:dyDescent="0.2">
      <c r="A1191" s="26" t="s">
        <v>3682</v>
      </c>
      <c r="B1191" s="26" t="s">
        <v>5864</v>
      </c>
      <c r="C1191" s="26" t="s">
        <v>7</v>
      </c>
      <c r="D1191" s="26" t="s">
        <v>16</v>
      </c>
      <c r="E1191" s="26" t="s">
        <v>39</v>
      </c>
      <c r="F1191" s="28" t="e">
        <f ca="1">_xludf.ifna(VLOOKUP(G1192,Proyectos!$E$1:$H$4,4,0),"")</f>
        <v>#NAME?</v>
      </c>
      <c r="G1191" s="26" t="s">
        <v>5117</v>
      </c>
      <c r="H1191" s="65">
        <v>0.35</v>
      </c>
      <c r="I1191" s="31" t="s">
        <v>18</v>
      </c>
      <c r="J1191" s="32"/>
      <c r="K1191" s="32" t="str">
        <f t="shared" si="4"/>
        <v>Interno</v>
      </c>
      <c r="L1191" s="32" t="e">
        <f ca="1">_xludf.ifna(VLOOKUP(G1192,Proyectos!$E$1:$N$4,10,0),"")</f>
        <v>#NAME?</v>
      </c>
      <c r="M1191" s="32"/>
      <c r="N1191" s="32"/>
      <c r="O1191" s="31"/>
      <c r="P1191" s="33"/>
      <c r="Q1191" s="33"/>
    </row>
    <row r="1192" spans="1:17" ht="16.5" customHeight="1" x14ac:dyDescent="0.2">
      <c r="A1192" s="26" t="s">
        <v>3763</v>
      </c>
      <c r="B1192" s="26" t="s">
        <v>3764</v>
      </c>
      <c r="C1192" s="26" t="s">
        <v>98</v>
      </c>
      <c r="D1192" s="26" t="s">
        <v>107</v>
      </c>
      <c r="E1192" s="26" t="s">
        <v>39</v>
      </c>
      <c r="F1192" s="28" t="e">
        <f ca="1">_xludf.ifna(VLOOKUP(G1193,Proyectos!$E$1:$H$4,4,0),"")</f>
        <v>#NAME?</v>
      </c>
      <c r="G1192" s="26" t="s">
        <v>5672</v>
      </c>
      <c r="H1192" s="32">
        <v>0.25</v>
      </c>
      <c r="I1192" s="31" t="s">
        <v>18</v>
      </c>
      <c r="J1192" s="32"/>
      <c r="K1192" s="32" t="str">
        <f t="shared" si="4"/>
        <v>Interno</v>
      </c>
      <c r="L1192" s="32" t="e">
        <f ca="1">_xludf.ifna(VLOOKUP(G1193,Proyectos!$E$1:$N$4,10,0),"")</f>
        <v>#NAME?</v>
      </c>
      <c r="M1192" s="32"/>
      <c r="N1192" s="32"/>
      <c r="O1192" s="31"/>
      <c r="P1192" s="33"/>
      <c r="Q1192" s="33"/>
    </row>
    <row r="1193" spans="1:17" ht="16.5" customHeight="1" x14ac:dyDescent="0.2">
      <c r="A1193" s="26" t="s">
        <v>3763</v>
      </c>
      <c r="B1193" s="26" t="s">
        <v>3764</v>
      </c>
      <c r="C1193" s="26" t="s">
        <v>98</v>
      </c>
      <c r="D1193" s="26" t="s">
        <v>107</v>
      </c>
      <c r="E1193" s="26" t="s">
        <v>39</v>
      </c>
      <c r="F1193" s="28" t="e">
        <f ca="1">_xludf.ifna(VLOOKUP(G1194,Proyectos!$E$1:$H$4,4,0),"")</f>
        <v>#NAME?</v>
      </c>
      <c r="G1193" s="26" t="s">
        <v>5597</v>
      </c>
      <c r="H1193" s="32">
        <v>0.75</v>
      </c>
      <c r="I1193" s="31" t="s">
        <v>18</v>
      </c>
      <c r="J1193" s="32"/>
      <c r="K1193" s="32" t="str">
        <f t="shared" si="4"/>
        <v>Interno</v>
      </c>
      <c r="L1193" s="32" t="e">
        <f ca="1">_xludf.ifna(VLOOKUP(G1194,Proyectos!$E$1:$N$4,10,0),"")</f>
        <v>#NAME?</v>
      </c>
      <c r="M1193" s="32"/>
      <c r="N1193" s="32"/>
      <c r="O1193" s="31"/>
      <c r="P1193" s="33"/>
      <c r="Q1193" s="33"/>
    </row>
    <row r="1194" spans="1:17" ht="16.5" customHeight="1" x14ac:dyDescent="0.2">
      <c r="A1194" s="26" t="s">
        <v>4096</v>
      </c>
      <c r="B1194" s="26" t="s">
        <v>5865</v>
      </c>
      <c r="C1194" s="26" t="s">
        <v>64</v>
      </c>
      <c r="D1194" s="26" t="s">
        <v>70</v>
      </c>
      <c r="E1194" s="26" t="s">
        <v>87</v>
      </c>
      <c r="F1194" s="28" t="e">
        <f ca="1">_xludf.ifna(VLOOKUP(G1195,Proyectos!$E$1:$H$4,4,0),"")</f>
        <v>#NAME?</v>
      </c>
      <c r="G1194" s="26" t="s">
        <v>5403</v>
      </c>
      <c r="H1194" s="30">
        <v>0.5</v>
      </c>
      <c r="I1194" s="31" t="s">
        <v>18</v>
      </c>
      <c r="J1194" s="32"/>
      <c r="K1194" s="32" t="str">
        <f t="shared" si="4"/>
        <v>Externo</v>
      </c>
      <c r="L1194" s="32" t="e">
        <f ca="1">_xludf.ifna(VLOOKUP(G1195,Proyectos!$E$1:$N$4,10,0),"")</f>
        <v>#NAME?</v>
      </c>
      <c r="M1194" s="32"/>
      <c r="N1194" s="32"/>
      <c r="O1194" s="31"/>
      <c r="P1194" s="33"/>
      <c r="Q1194" s="33"/>
    </row>
    <row r="1195" spans="1:17" ht="16.5" customHeight="1" x14ac:dyDescent="0.2">
      <c r="A1195" s="26" t="s">
        <v>4096</v>
      </c>
      <c r="B1195" s="26" t="s">
        <v>5865</v>
      </c>
      <c r="C1195" s="26" t="s">
        <v>64</v>
      </c>
      <c r="D1195" s="26" t="s">
        <v>70</v>
      </c>
      <c r="E1195" s="26" t="s">
        <v>87</v>
      </c>
      <c r="F1195" s="28" t="e">
        <f ca="1">_xludf.ifna(VLOOKUP(G1196,Proyectos!$E$1:$H$4,4,0),"")</f>
        <v>#NAME?</v>
      </c>
      <c r="G1195" s="26" t="s">
        <v>5402</v>
      </c>
      <c r="H1195" s="30">
        <v>0.25</v>
      </c>
      <c r="I1195" s="31" t="s">
        <v>18</v>
      </c>
      <c r="J1195" s="32"/>
      <c r="K1195" s="32" t="str">
        <f t="shared" si="4"/>
        <v>Externo</v>
      </c>
      <c r="L1195" s="32" t="e">
        <f ca="1">_xludf.ifna(VLOOKUP(G1196,Proyectos!$E$1:$N$4,10,0),"")</f>
        <v>#NAME?</v>
      </c>
      <c r="M1195" s="32"/>
      <c r="N1195" s="32"/>
      <c r="O1195" s="31"/>
      <c r="P1195" s="33"/>
      <c r="Q1195" s="33"/>
    </row>
    <row r="1196" spans="1:17" ht="16.5" customHeight="1" x14ac:dyDescent="0.2">
      <c r="A1196" s="26" t="s">
        <v>4096</v>
      </c>
      <c r="B1196" s="26" t="s">
        <v>5865</v>
      </c>
      <c r="C1196" s="26" t="s">
        <v>64</v>
      </c>
      <c r="D1196" s="26" t="s">
        <v>70</v>
      </c>
      <c r="E1196" s="26" t="s">
        <v>87</v>
      </c>
      <c r="F1196" s="28" t="e">
        <f ca="1">_xludf.ifna(VLOOKUP(G1197,Proyectos!$E$1:$H$4,4,0),"")</f>
        <v>#NAME?</v>
      </c>
      <c r="G1196" s="26" t="s">
        <v>5401</v>
      </c>
      <c r="H1196" s="30">
        <v>0.25</v>
      </c>
      <c r="I1196" s="31" t="s">
        <v>18</v>
      </c>
      <c r="J1196" s="32"/>
      <c r="K1196" s="32" t="str">
        <f t="shared" si="4"/>
        <v>Externo</v>
      </c>
      <c r="L1196" s="32" t="e">
        <f ca="1">_xludf.ifna(VLOOKUP(G1197,Proyectos!$E$1:$N$4,10,0),"")</f>
        <v>#NAME?</v>
      </c>
      <c r="M1196" s="32"/>
      <c r="N1196" s="32"/>
      <c r="O1196" s="31"/>
      <c r="P1196" s="33"/>
      <c r="Q1196" s="33"/>
    </row>
    <row r="1197" spans="1:17" ht="16.5" customHeight="1" x14ac:dyDescent="0.2">
      <c r="A1197" s="26" t="s">
        <v>4059</v>
      </c>
      <c r="B1197" s="26" t="s">
        <v>4060</v>
      </c>
      <c r="C1197" s="26" t="s">
        <v>115</v>
      </c>
      <c r="D1197" s="26" t="s">
        <v>116</v>
      </c>
      <c r="E1197" s="26" t="s">
        <v>126</v>
      </c>
      <c r="F1197" s="28" t="e">
        <f ca="1">_xludf.ifna(VLOOKUP(G1198,Proyectos!$E$1:$H$4,4,0),"")</f>
        <v>#NAME?</v>
      </c>
      <c r="G1197" s="26" t="s">
        <v>5597</v>
      </c>
      <c r="H1197" s="32">
        <v>1</v>
      </c>
      <c r="I1197" s="31" t="s">
        <v>18</v>
      </c>
      <c r="J1197" s="32"/>
      <c r="K1197" s="32" t="str">
        <f t="shared" si="4"/>
        <v>Externo</v>
      </c>
      <c r="L1197" s="32" t="e">
        <f ca="1">_xludf.ifna(VLOOKUP(G1198,Proyectos!$E$1:$N$4,10,0),"")</f>
        <v>#NAME?</v>
      </c>
      <c r="M1197" s="32"/>
      <c r="N1197" s="31"/>
      <c r="O1197" s="31"/>
      <c r="P1197" s="33"/>
      <c r="Q1197" s="33"/>
    </row>
    <row r="1198" spans="1:17" ht="16.5" customHeight="1" x14ac:dyDescent="0.2">
      <c r="A1198" s="26" t="s">
        <v>4013</v>
      </c>
      <c r="B1198" s="26" t="s">
        <v>5207</v>
      </c>
      <c r="C1198" s="54" t="s">
        <v>7</v>
      </c>
      <c r="D1198" s="35" t="s">
        <v>8</v>
      </c>
      <c r="E1198" s="35" t="s">
        <v>87</v>
      </c>
      <c r="F1198" s="28" t="e">
        <f ca="1">_xludf.ifna(VLOOKUP(G1199,Proyectos!$E$1:$H$4,4,0),"")</f>
        <v>#NAME?</v>
      </c>
      <c r="G1198" s="35" t="s">
        <v>5676</v>
      </c>
      <c r="H1198" s="30">
        <v>0.2</v>
      </c>
      <c r="I1198" s="31" t="s">
        <v>11</v>
      </c>
      <c r="J1198" s="55"/>
      <c r="K1198" s="32" t="str">
        <f t="shared" si="4"/>
        <v>Externo</v>
      </c>
      <c r="L1198" s="32" t="e">
        <f ca="1">_xludf.ifna(VLOOKUP(G1199,Proyectos!$E$1:$N$4,10,0),"")</f>
        <v>#NAME?</v>
      </c>
      <c r="M1198" s="32"/>
      <c r="N1198" s="31"/>
      <c r="O1198" s="31"/>
      <c r="P1198" s="33"/>
      <c r="Q1198" s="33"/>
    </row>
    <row r="1199" spans="1:17" ht="16.5" customHeight="1" x14ac:dyDescent="0.2">
      <c r="A1199" s="26" t="s">
        <v>4013</v>
      </c>
      <c r="B1199" s="26" t="s">
        <v>5207</v>
      </c>
      <c r="C1199" s="54" t="s">
        <v>7</v>
      </c>
      <c r="D1199" s="35" t="s">
        <v>8</v>
      </c>
      <c r="E1199" s="35" t="s">
        <v>87</v>
      </c>
      <c r="F1199" s="28" t="e">
        <f ca="1">_xludf.ifna(VLOOKUP(G1200,Proyectos!$E$1:$H$4,4,0),"")</f>
        <v>#NAME?</v>
      </c>
      <c r="G1199" s="35" t="s">
        <v>5187</v>
      </c>
      <c r="H1199" s="30">
        <v>0.2</v>
      </c>
      <c r="I1199" s="31" t="s">
        <v>11</v>
      </c>
      <c r="J1199" s="55"/>
      <c r="K1199" s="32" t="str">
        <f t="shared" si="4"/>
        <v>Externo</v>
      </c>
      <c r="L1199" s="32" t="e">
        <f ca="1">_xludf.ifna(VLOOKUP(G1200,Proyectos!$E$1:$N$4,10,0),"")</f>
        <v>#NAME?</v>
      </c>
      <c r="M1199" s="32"/>
      <c r="N1199" s="31"/>
      <c r="O1199" s="31"/>
      <c r="P1199" s="33"/>
      <c r="Q1199" s="33"/>
    </row>
    <row r="1200" spans="1:17" ht="16.5" customHeight="1" x14ac:dyDescent="0.2">
      <c r="A1200" s="26" t="s">
        <v>4013</v>
      </c>
      <c r="B1200" s="26" t="s">
        <v>5207</v>
      </c>
      <c r="C1200" s="54" t="s">
        <v>7</v>
      </c>
      <c r="D1200" s="35" t="s">
        <v>8</v>
      </c>
      <c r="E1200" s="35" t="s">
        <v>87</v>
      </c>
      <c r="F1200" s="28" t="e">
        <f ca="1">_xludf.ifna(VLOOKUP(G1201,Proyectos!$E$1:$H$4,4,0),"")</f>
        <v>#NAME?</v>
      </c>
      <c r="G1200" s="35" t="s">
        <v>5189</v>
      </c>
      <c r="H1200" s="30">
        <v>0.2</v>
      </c>
      <c r="I1200" s="31" t="s">
        <v>11</v>
      </c>
      <c r="J1200" s="55"/>
      <c r="K1200" s="32" t="str">
        <f t="shared" si="4"/>
        <v>Externo</v>
      </c>
      <c r="L1200" s="32" t="e">
        <f ca="1">_xludf.ifna(VLOOKUP(G1201,Proyectos!$E$1:$N$4,10,0),"")</f>
        <v>#NAME?</v>
      </c>
      <c r="M1200" s="32"/>
      <c r="N1200" s="31"/>
      <c r="O1200" s="31"/>
      <c r="P1200" s="33"/>
      <c r="Q1200" s="33"/>
    </row>
    <row r="1201" spans="1:17" ht="16.5" customHeight="1" x14ac:dyDescent="0.2">
      <c r="A1201" s="26" t="s">
        <v>4013</v>
      </c>
      <c r="B1201" s="26" t="s">
        <v>5207</v>
      </c>
      <c r="C1201" s="54" t="s">
        <v>7</v>
      </c>
      <c r="D1201" s="35" t="s">
        <v>8</v>
      </c>
      <c r="E1201" s="35" t="s">
        <v>87</v>
      </c>
      <c r="F1201" s="28" t="e">
        <f ca="1">_xludf.ifna(VLOOKUP(G1202,Proyectos!$E$1:$H$4,4,0),"")</f>
        <v>#NAME?</v>
      </c>
      <c r="G1201" s="35" t="s">
        <v>5190</v>
      </c>
      <c r="H1201" s="30">
        <v>0.2</v>
      </c>
      <c r="I1201" s="31" t="s">
        <v>11</v>
      </c>
      <c r="J1201" s="55"/>
      <c r="K1201" s="32" t="str">
        <f t="shared" si="4"/>
        <v>Externo</v>
      </c>
      <c r="L1201" s="32" t="e">
        <f ca="1">_xludf.ifna(VLOOKUP(G1202,Proyectos!$E$1:$N$4,10,0),"")</f>
        <v>#NAME?</v>
      </c>
      <c r="M1201" s="32"/>
      <c r="N1201" s="31"/>
      <c r="O1201" s="31"/>
      <c r="P1201" s="33"/>
      <c r="Q1201" s="33"/>
    </row>
    <row r="1202" spans="1:17" ht="16.5" customHeight="1" x14ac:dyDescent="0.2">
      <c r="A1202" s="26" t="s">
        <v>4013</v>
      </c>
      <c r="B1202" s="26" t="s">
        <v>5207</v>
      </c>
      <c r="C1202" s="54" t="s">
        <v>7</v>
      </c>
      <c r="D1202" s="35" t="s">
        <v>8</v>
      </c>
      <c r="E1202" s="35" t="s">
        <v>87</v>
      </c>
      <c r="F1202" s="28" t="e">
        <f ca="1">_xludf.ifna(VLOOKUP(G1203,Proyectos!$E$1:$H$4,4,0),"")</f>
        <v>#NAME?</v>
      </c>
      <c r="G1202" s="35" t="s">
        <v>5188</v>
      </c>
      <c r="H1202" s="30">
        <v>0.2</v>
      </c>
      <c r="I1202" s="31" t="s">
        <v>11</v>
      </c>
      <c r="J1202" s="55"/>
      <c r="K1202" s="32" t="str">
        <f t="shared" si="4"/>
        <v>Externo</v>
      </c>
      <c r="L1202" s="32" t="e">
        <f ca="1">_xludf.ifna(VLOOKUP(G1203,Proyectos!$E$1:$N$4,10,0),"")</f>
        <v>#NAME?</v>
      </c>
      <c r="M1202" s="32"/>
      <c r="N1202" s="31"/>
      <c r="O1202" s="31"/>
      <c r="P1202" s="33"/>
      <c r="Q1202" s="33"/>
    </row>
    <row r="1203" spans="1:17" ht="16.5" customHeight="1" x14ac:dyDescent="0.2">
      <c r="A1203" s="26" t="s">
        <v>5866</v>
      </c>
      <c r="B1203" s="26" t="s">
        <v>5867</v>
      </c>
      <c r="C1203" s="26" t="s">
        <v>115</v>
      </c>
      <c r="D1203" s="26" t="s">
        <v>116</v>
      </c>
      <c r="E1203" s="26" t="s">
        <v>100</v>
      </c>
      <c r="F1203" s="28" t="e">
        <f ca="1">_xludf.ifna(VLOOKUP(G1204,Proyectos!$E$1:$H$4,4,0),"")</f>
        <v>#NAME?</v>
      </c>
      <c r="G1203" s="26" t="s">
        <v>5318</v>
      </c>
      <c r="H1203" s="32">
        <v>1</v>
      </c>
      <c r="I1203" s="31" t="s">
        <v>18</v>
      </c>
      <c r="J1203" s="32"/>
      <c r="K1203" s="32" t="str">
        <f t="shared" si="4"/>
        <v>Externo</v>
      </c>
      <c r="L1203" s="32" t="e">
        <f ca="1">_xludf.ifna(VLOOKUP(G1204,Proyectos!$E$1:$N$4,10,0),"")</f>
        <v>#NAME?</v>
      </c>
      <c r="M1203" s="32"/>
      <c r="N1203" s="32"/>
      <c r="O1203" s="31"/>
      <c r="P1203" s="33"/>
      <c r="Q1203" s="33"/>
    </row>
    <row r="1204" spans="1:17" ht="16.5" customHeight="1" x14ac:dyDescent="0.2">
      <c r="A1204" s="35" t="s">
        <v>4847</v>
      </c>
      <c r="B1204" s="26" t="s">
        <v>5513</v>
      </c>
      <c r="C1204" s="26" t="s">
        <v>64</v>
      </c>
      <c r="D1204" s="26" t="s">
        <v>82</v>
      </c>
      <c r="E1204" s="35" t="s">
        <v>126</v>
      </c>
      <c r="F1204" s="28" t="e">
        <f ca="1">_xludf.ifna(VLOOKUP(G1205,Proyectos!$E$1:$H$4,4,0),"")</f>
        <v>#NAME?</v>
      </c>
      <c r="G1204" s="26" t="s">
        <v>5434</v>
      </c>
      <c r="H1204" s="32">
        <v>1</v>
      </c>
      <c r="I1204" s="31" t="s">
        <v>18</v>
      </c>
      <c r="J1204" s="32"/>
      <c r="K1204" s="32" t="str">
        <f t="shared" si="4"/>
        <v>Externo</v>
      </c>
      <c r="L1204" s="32" t="e">
        <f ca="1">_xludf.ifna(VLOOKUP(G1205,Proyectos!$E$1:$N$4,10,0),"")</f>
        <v>#NAME?</v>
      </c>
      <c r="M1204" s="32"/>
      <c r="N1204" s="31"/>
      <c r="O1204" s="31"/>
      <c r="P1204" s="33"/>
      <c r="Q1204" s="33"/>
    </row>
    <row r="1205" spans="1:17" ht="16.5" customHeight="1" x14ac:dyDescent="0.2">
      <c r="A1205" s="26" t="s">
        <v>4701</v>
      </c>
      <c r="B1205" s="26" t="s">
        <v>4702</v>
      </c>
      <c r="C1205" s="26" t="s">
        <v>115</v>
      </c>
      <c r="D1205" s="26" t="s">
        <v>134</v>
      </c>
      <c r="E1205" s="26" t="s">
        <v>39</v>
      </c>
      <c r="F1205" s="28" t="e">
        <f ca="1">_xludf.ifna(VLOOKUP(G1206,Proyectos!$E$1:$H$4,4,0),"")</f>
        <v>#NAME?</v>
      </c>
      <c r="G1205" s="26" t="s">
        <v>5539</v>
      </c>
      <c r="H1205" s="32">
        <v>0.9</v>
      </c>
      <c r="I1205" s="31" t="s">
        <v>18</v>
      </c>
      <c r="J1205" s="32"/>
      <c r="K1205" s="32" t="str">
        <f t="shared" si="4"/>
        <v>Interno</v>
      </c>
      <c r="L1205" s="32" t="e">
        <f ca="1">_xludf.ifna(VLOOKUP(G1206,Proyectos!$E$1:$N$4,10,0),"")</f>
        <v>#NAME?</v>
      </c>
      <c r="M1205" s="32"/>
      <c r="N1205" s="32"/>
      <c r="O1205" s="31"/>
      <c r="P1205" s="33"/>
      <c r="Q1205" s="33"/>
    </row>
    <row r="1206" spans="1:17" ht="16.5" customHeight="1" x14ac:dyDescent="0.2">
      <c r="A1206" s="26" t="s">
        <v>4701</v>
      </c>
      <c r="B1206" s="26" t="s">
        <v>4702</v>
      </c>
      <c r="C1206" s="26" t="s">
        <v>115</v>
      </c>
      <c r="D1206" s="26" t="s">
        <v>134</v>
      </c>
      <c r="E1206" s="26" t="s">
        <v>39</v>
      </c>
      <c r="F1206" s="28" t="e">
        <f ca="1">_xludf.ifna(VLOOKUP(G1207,Proyectos!$E$1:$H$4,4,0),"")</f>
        <v>#NAME?</v>
      </c>
      <c r="G1206" s="26" t="s">
        <v>5597</v>
      </c>
      <c r="H1206" s="32">
        <v>0.1</v>
      </c>
      <c r="I1206" s="31" t="s">
        <v>18</v>
      </c>
      <c r="J1206" s="32"/>
      <c r="K1206" s="32" t="str">
        <f t="shared" si="4"/>
        <v>Interno</v>
      </c>
      <c r="L1206" s="32" t="e">
        <f ca="1">_xludf.ifna(VLOOKUP(G1207,Proyectos!$E$1:$N$4,10,0),"")</f>
        <v>#NAME?</v>
      </c>
      <c r="M1206" s="32"/>
      <c r="N1206" s="31"/>
      <c r="O1206" s="31"/>
      <c r="P1206" s="33"/>
      <c r="Q1206" s="33"/>
    </row>
    <row r="1207" spans="1:17" ht="16.5" customHeight="1" x14ac:dyDescent="0.2">
      <c r="A1207" s="26" t="s">
        <v>4625</v>
      </c>
      <c r="B1207" s="26" t="s">
        <v>4626</v>
      </c>
      <c r="C1207" s="26" t="s">
        <v>115</v>
      </c>
      <c r="D1207" s="26" t="s">
        <v>134</v>
      </c>
      <c r="E1207" s="26" t="s">
        <v>39</v>
      </c>
      <c r="F1207" s="28" t="e">
        <f ca="1">_xludf.ifna(VLOOKUP(G1208,Proyectos!$E$1:$H$4,4,0),"")</f>
        <v>#NAME?</v>
      </c>
      <c r="G1207" s="26" t="s">
        <v>5153</v>
      </c>
      <c r="H1207" s="32">
        <v>1</v>
      </c>
      <c r="I1207" s="31" t="s">
        <v>11</v>
      </c>
      <c r="J1207" s="32"/>
      <c r="K1207" s="32" t="str">
        <f t="shared" si="4"/>
        <v>Interno</v>
      </c>
      <c r="L1207" s="32" t="e">
        <f ca="1">_xludf.ifna(VLOOKUP(G1208,Proyectos!$E$1:$N$4,10,0),"")</f>
        <v>#NAME?</v>
      </c>
      <c r="M1207" s="32"/>
      <c r="N1207" s="31"/>
      <c r="O1207" s="31"/>
      <c r="P1207" s="33"/>
      <c r="Q1207" s="33"/>
    </row>
    <row r="1208" spans="1:17" ht="16.5" customHeight="1" x14ac:dyDescent="0.2">
      <c r="A1208" s="4" t="s">
        <v>3765</v>
      </c>
      <c r="B1208" s="26" t="s">
        <v>3766</v>
      </c>
      <c r="C1208" s="26" t="s">
        <v>115</v>
      </c>
      <c r="D1208" s="26" t="s">
        <v>116</v>
      </c>
      <c r="E1208" s="26" t="s">
        <v>39</v>
      </c>
      <c r="F1208" s="28" t="e">
        <f ca="1">_xludf.ifna(VLOOKUP(G1209,Proyectos!$E$1:$H$4,4,0),"")</f>
        <v>#NAME?</v>
      </c>
      <c r="G1208" s="26" t="s">
        <v>5324</v>
      </c>
      <c r="H1208" s="32">
        <v>1</v>
      </c>
      <c r="I1208" s="31" t="s">
        <v>18</v>
      </c>
      <c r="J1208" s="32"/>
      <c r="K1208" s="32" t="str">
        <f t="shared" si="4"/>
        <v>Interno</v>
      </c>
      <c r="L1208" s="32" t="e">
        <f ca="1">_xludf.ifna(VLOOKUP(G1209,Proyectos!$E$1:$N$4,10,0),"")</f>
        <v>#NAME?</v>
      </c>
      <c r="M1208" s="32"/>
      <c r="N1208" s="32"/>
      <c r="O1208" s="31"/>
      <c r="P1208" s="33"/>
      <c r="Q1208" s="33"/>
    </row>
    <row r="1209" spans="1:17" ht="16.5" customHeight="1" x14ac:dyDescent="0.2">
      <c r="A1209" s="26" t="s">
        <v>3558</v>
      </c>
      <c r="B1209" s="26" t="s">
        <v>5868</v>
      </c>
      <c r="C1209" s="26" t="s">
        <v>64</v>
      </c>
      <c r="D1209" s="26" t="s">
        <v>86</v>
      </c>
      <c r="E1209" s="26" t="s">
        <v>39</v>
      </c>
      <c r="F1209" s="28" t="e">
        <f ca="1">_xludf.ifna(VLOOKUP(G1210,Proyectos!$E$1:$H$4,4,0),"")</f>
        <v>#NAME?</v>
      </c>
      <c r="G1209" s="26" t="s">
        <v>5131</v>
      </c>
      <c r="H1209" s="30">
        <v>0.25</v>
      </c>
      <c r="I1209" s="31" t="s">
        <v>18</v>
      </c>
      <c r="J1209" s="32"/>
      <c r="K1209" s="32" t="str">
        <f t="shared" si="4"/>
        <v>Interno</v>
      </c>
      <c r="L1209" s="32" t="e">
        <f ca="1">_xludf.ifna(VLOOKUP(G1210,Proyectos!$E$1:$N$4,10,0),"")</f>
        <v>#NAME?</v>
      </c>
      <c r="M1209" s="32"/>
      <c r="N1209" s="32"/>
      <c r="O1209" s="31"/>
      <c r="P1209" s="33"/>
      <c r="Q1209" s="33"/>
    </row>
    <row r="1210" spans="1:17" ht="16.5" customHeight="1" x14ac:dyDescent="0.2">
      <c r="A1210" s="26" t="s">
        <v>3558</v>
      </c>
      <c r="B1210" s="26" t="s">
        <v>5868</v>
      </c>
      <c r="C1210" s="26" t="s">
        <v>64</v>
      </c>
      <c r="D1210" s="26" t="s">
        <v>86</v>
      </c>
      <c r="E1210" s="26" t="s">
        <v>39</v>
      </c>
      <c r="F1210" s="28" t="e">
        <f ca="1">_xludf.ifna(VLOOKUP(G1211,Proyectos!$E$1:$H$4,4,0),"")</f>
        <v>#NAME?</v>
      </c>
      <c r="G1210" s="26" t="s">
        <v>5387</v>
      </c>
      <c r="H1210" s="30">
        <v>0.75</v>
      </c>
      <c r="I1210" s="31" t="s">
        <v>18</v>
      </c>
      <c r="J1210" s="32"/>
      <c r="K1210" s="32" t="str">
        <f t="shared" si="4"/>
        <v>Interno</v>
      </c>
      <c r="L1210" s="32" t="e">
        <f ca="1">_xludf.ifna(VLOOKUP(G1211,Proyectos!$E$1:$N$4,10,0),"")</f>
        <v>#NAME?</v>
      </c>
      <c r="M1210" s="32"/>
      <c r="N1210" s="32"/>
      <c r="O1210" s="31"/>
      <c r="P1210" s="33"/>
      <c r="Q1210" s="33"/>
    </row>
    <row r="1211" spans="1:17" ht="16.5" customHeight="1" x14ac:dyDescent="0.2">
      <c r="A1211" s="26" t="s">
        <v>3435</v>
      </c>
      <c r="B1211" s="26" t="s">
        <v>3436</v>
      </c>
      <c r="C1211" s="26" t="s">
        <v>98</v>
      </c>
      <c r="D1211" s="26" t="s">
        <v>113</v>
      </c>
      <c r="E1211" s="26" t="s">
        <v>39</v>
      </c>
      <c r="F1211" s="28" t="e">
        <f ca="1">_xludf.ifna(VLOOKUP(G1212,Proyectos!$E$1:$H$4,4,0),"")</f>
        <v>#NAME?</v>
      </c>
      <c r="G1211" s="26" t="s">
        <v>5133</v>
      </c>
      <c r="H1211" s="32">
        <v>1</v>
      </c>
      <c r="I1211" s="31" t="s">
        <v>11</v>
      </c>
      <c r="J1211" s="32"/>
      <c r="K1211" s="32" t="str">
        <f t="shared" si="4"/>
        <v>Interno</v>
      </c>
      <c r="L1211" s="32" t="e">
        <f ca="1">_xludf.ifna(VLOOKUP(G1212,Proyectos!$E$1:$N$4,10,0),"")</f>
        <v>#NAME?</v>
      </c>
      <c r="M1211" s="32"/>
      <c r="N1211" s="32"/>
      <c r="O1211" s="31"/>
      <c r="P1211" s="33"/>
      <c r="Q1211" s="33"/>
    </row>
    <row r="1212" spans="1:17" ht="16.5" customHeight="1" x14ac:dyDescent="0.2">
      <c r="A1212" s="35" t="s">
        <v>4503</v>
      </c>
      <c r="B1212" s="26" t="s">
        <v>5514</v>
      </c>
      <c r="C1212" s="26" t="s">
        <v>64</v>
      </c>
      <c r="D1212" s="26" t="s">
        <v>82</v>
      </c>
      <c r="E1212" s="35" t="s">
        <v>126</v>
      </c>
      <c r="F1212" s="28" t="e">
        <f ca="1">_xludf.ifna(VLOOKUP(G1213,Proyectos!$E$1:$H$4,4,0),"")</f>
        <v>#NAME?</v>
      </c>
      <c r="G1212" s="26" t="s">
        <v>5387</v>
      </c>
      <c r="H1212" s="32">
        <v>1</v>
      </c>
      <c r="I1212" s="31" t="s">
        <v>25</v>
      </c>
      <c r="J1212" s="32"/>
      <c r="K1212" s="32" t="str">
        <f t="shared" si="4"/>
        <v>Externo</v>
      </c>
      <c r="L1212" s="32" t="e">
        <f ca="1">_xludf.ifna(VLOOKUP(G1213,Proyectos!$E$1:$N$4,10,0),"")</f>
        <v>#NAME?</v>
      </c>
      <c r="M1212" s="32"/>
      <c r="N1212" s="32"/>
      <c r="O1212" s="31"/>
      <c r="P1212" s="33"/>
      <c r="Q1212" s="33"/>
    </row>
    <row r="1213" spans="1:17" ht="16.5" customHeight="1" x14ac:dyDescent="0.2">
      <c r="A1213" s="26" t="s">
        <v>4216</v>
      </c>
      <c r="B1213" s="26" t="s">
        <v>4217</v>
      </c>
      <c r="C1213" s="26" t="s">
        <v>98</v>
      </c>
      <c r="D1213" s="26" t="s">
        <v>110</v>
      </c>
      <c r="E1213" s="26" t="s">
        <v>87</v>
      </c>
      <c r="F1213" s="28" t="e">
        <f ca="1">_xludf.ifna(VLOOKUP(G1214,Proyectos!$E$1:$H$4,4,0),"")</f>
        <v>#NAME?</v>
      </c>
      <c r="G1213" s="26" t="s">
        <v>5243</v>
      </c>
      <c r="H1213" s="32">
        <v>1</v>
      </c>
      <c r="I1213" s="31" t="s">
        <v>32</v>
      </c>
      <c r="J1213" s="32"/>
      <c r="K1213" s="32" t="str">
        <f t="shared" si="4"/>
        <v>Externo</v>
      </c>
      <c r="L1213" s="32" t="e">
        <f ca="1">_xludf.ifna(VLOOKUP(G1214,Proyectos!$E$1:$N$4,10,0),"")</f>
        <v>#NAME?</v>
      </c>
      <c r="M1213" s="32"/>
      <c r="N1213" s="32"/>
      <c r="O1213" s="31"/>
      <c r="P1213" s="33"/>
      <c r="Q1213" s="33"/>
    </row>
    <row r="1214" spans="1:17" ht="16.5" customHeight="1" x14ac:dyDescent="0.2">
      <c r="A1214" s="26" t="s">
        <v>3914</v>
      </c>
      <c r="B1214" s="26" t="s">
        <v>5208</v>
      </c>
      <c r="C1214" s="54" t="s">
        <v>7</v>
      </c>
      <c r="D1214" s="35" t="s">
        <v>8</v>
      </c>
      <c r="E1214" s="35" t="s">
        <v>87</v>
      </c>
      <c r="F1214" s="28" t="e">
        <f ca="1">_xludf.ifna(VLOOKUP(G1215,Proyectos!$E$1:$H$4,4,0),"")</f>
        <v>#NAME?</v>
      </c>
      <c r="G1214" s="35" t="s">
        <v>5190</v>
      </c>
      <c r="H1214" s="30">
        <v>1</v>
      </c>
      <c r="I1214" s="31" t="s">
        <v>18</v>
      </c>
      <c r="J1214" s="55"/>
      <c r="K1214" s="32" t="str">
        <f t="shared" si="4"/>
        <v>Externo</v>
      </c>
      <c r="L1214" s="32" t="e">
        <f ca="1">_xludf.ifna(VLOOKUP(G1215,Proyectos!$E$1:$N$4,10,0),"")</f>
        <v>#NAME?</v>
      </c>
      <c r="M1214" s="32"/>
      <c r="N1214" s="31"/>
      <c r="O1214" s="31"/>
      <c r="P1214" s="33"/>
      <c r="Q1214" s="33"/>
    </row>
    <row r="1215" spans="1:17" ht="16.5" customHeight="1" x14ac:dyDescent="0.2">
      <c r="A1215" s="35" t="s">
        <v>4306</v>
      </c>
      <c r="B1215" s="26" t="s">
        <v>5515</v>
      </c>
      <c r="C1215" s="26" t="s">
        <v>64</v>
      </c>
      <c r="D1215" s="26" t="s">
        <v>82</v>
      </c>
      <c r="E1215" s="35" t="s">
        <v>87</v>
      </c>
      <c r="F1215" s="28" t="e">
        <f ca="1">_xludf.ifna(VLOOKUP(G1216,Proyectos!$E$1:$H$4,4,0),"")</f>
        <v>#NAME?</v>
      </c>
      <c r="G1215" s="26" t="s">
        <v>5387</v>
      </c>
      <c r="H1215" s="32">
        <v>1</v>
      </c>
      <c r="I1215" s="31" t="s">
        <v>25</v>
      </c>
      <c r="J1215" s="32"/>
      <c r="K1215" s="32" t="str">
        <f t="shared" si="4"/>
        <v>Externo</v>
      </c>
      <c r="L1215" s="32" t="e">
        <f ca="1">_xludf.ifna(VLOOKUP(G1216,Proyectos!$E$1:$N$4,10,0),"")</f>
        <v>#NAME?</v>
      </c>
      <c r="M1215" s="32"/>
      <c r="N1215" s="32"/>
      <c r="O1215" s="31"/>
      <c r="P1215" s="33"/>
      <c r="Q1215" s="33"/>
    </row>
    <row r="1216" spans="1:17" ht="16.5" customHeight="1" x14ac:dyDescent="0.2">
      <c r="A1216" s="26" t="s">
        <v>3461</v>
      </c>
      <c r="B1216" s="26" t="s">
        <v>3462</v>
      </c>
      <c r="C1216" s="26" t="s">
        <v>115</v>
      </c>
      <c r="D1216" s="26" t="s">
        <v>119</v>
      </c>
      <c r="E1216" s="26" t="s">
        <v>39</v>
      </c>
      <c r="F1216" s="28" t="e">
        <f ca="1">_xludf.ifna(VLOOKUP(G1217,Proyectos!$E$1:$H$4,4,0),"")</f>
        <v>#NAME?</v>
      </c>
      <c r="G1216" s="26" t="s">
        <v>5227</v>
      </c>
      <c r="H1216" s="32">
        <v>0.15</v>
      </c>
      <c r="I1216" s="31" t="s">
        <v>18</v>
      </c>
      <c r="J1216" s="32"/>
      <c r="K1216" s="32" t="str">
        <f t="shared" si="4"/>
        <v>Interno</v>
      </c>
      <c r="L1216" s="32" t="e">
        <f ca="1">_xludf.ifna(VLOOKUP(G1217,Proyectos!$E$1:$N$4,10,0),"")</f>
        <v>#NAME?</v>
      </c>
      <c r="M1216" s="32"/>
      <c r="N1216" s="31"/>
      <c r="O1216" s="31"/>
      <c r="P1216" s="33"/>
      <c r="Q1216" s="33"/>
    </row>
    <row r="1217" spans="1:17" ht="16.5" customHeight="1" x14ac:dyDescent="0.2">
      <c r="A1217" s="26" t="s">
        <v>3461</v>
      </c>
      <c r="B1217" s="26" t="s">
        <v>3462</v>
      </c>
      <c r="C1217" s="26" t="s">
        <v>115</v>
      </c>
      <c r="D1217" s="26" t="s">
        <v>119</v>
      </c>
      <c r="E1217" s="26" t="s">
        <v>39</v>
      </c>
      <c r="F1217" s="28" t="e">
        <f ca="1">_xludf.ifna(VLOOKUP(G1218,Proyectos!$E$1:$H$4,4,0),"")</f>
        <v>#NAME?</v>
      </c>
      <c r="G1217" s="26" t="s">
        <v>5730</v>
      </c>
      <c r="H1217" s="32">
        <v>0.15</v>
      </c>
      <c r="I1217" s="31" t="s">
        <v>18</v>
      </c>
      <c r="J1217" s="32"/>
      <c r="K1217" s="32" t="str">
        <f t="shared" si="4"/>
        <v>Interno</v>
      </c>
      <c r="L1217" s="32" t="e">
        <f ca="1">_xludf.ifna(VLOOKUP(G1218,Proyectos!$E$1:$N$4,10,0),"")</f>
        <v>#NAME?</v>
      </c>
      <c r="M1217" s="32"/>
      <c r="N1217" s="31"/>
      <c r="O1217" s="31"/>
      <c r="P1217" s="33"/>
      <c r="Q1217" s="33"/>
    </row>
    <row r="1218" spans="1:17" ht="16.5" customHeight="1" x14ac:dyDescent="0.2">
      <c r="A1218" s="26" t="s">
        <v>3461</v>
      </c>
      <c r="B1218" s="26" t="s">
        <v>3462</v>
      </c>
      <c r="C1218" s="26" t="s">
        <v>115</v>
      </c>
      <c r="D1218" s="26" t="s">
        <v>119</v>
      </c>
      <c r="E1218" s="26" t="s">
        <v>39</v>
      </c>
      <c r="F1218" s="28" t="e">
        <f ca="1">_xludf.ifna(VLOOKUP(G1219,Proyectos!$E$1:$H$4,4,0),"")</f>
        <v>#NAME?</v>
      </c>
      <c r="G1218" s="26" t="s">
        <v>5869</v>
      </c>
      <c r="H1218" s="32">
        <v>0.5</v>
      </c>
      <c r="I1218" s="31" t="s">
        <v>18</v>
      </c>
      <c r="J1218" s="32"/>
      <c r="K1218" s="32" t="str">
        <f t="shared" si="4"/>
        <v>Interno</v>
      </c>
      <c r="L1218" s="32" t="e">
        <f ca="1">_xludf.ifna(VLOOKUP(G1219,Proyectos!$E$1:$N$4,10,0),"")</f>
        <v>#NAME?</v>
      </c>
      <c r="M1218" s="32"/>
      <c r="N1218" s="31"/>
      <c r="O1218" s="31"/>
      <c r="P1218" s="33"/>
      <c r="Q1218" s="33"/>
    </row>
    <row r="1219" spans="1:17" ht="16.5" customHeight="1" x14ac:dyDescent="0.2">
      <c r="A1219" s="35" t="s">
        <v>3461</v>
      </c>
      <c r="B1219" s="35" t="s">
        <v>3462</v>
      </c>
      <c r="C1219" s="35" t="s">
        <v>115</v>
      </c>
      <c r="D1219" s="35" t="s">
        <v>119</v>
      </c>
      <c r="E1219" s="35" t="s">
        <v>39</v>
      </c>
      <c r="F1219" s="28" t="e">
        <f ca="1">_xludf.ifna(VLOOKUP(G1220,Proyectos!$E$1:$H$4,4,0),"")</f>
        <v>#NAME?</v>
      </c>
      <c r="G1219" s="26" t="s">
        <v>5597</v>
      </c>
      <c r="H1219" s="30">
        <v>0.2</v>
      </c>
      <c r="I1219" s="31" t="s">
        <v>18</v>
      </c>
      <c r="J1219" s="30"/>
      <c r="K1219" s="32" t="str">
        <f t="shared" si="4"/>
        <v>Interno</v>
      </c>
      <c r="L1219" s="32" t="e">
        <f ca="1">_xludf.ifna(VLOOKUP(G1220,Proyectos!$E$1:$N$4,10,0),"")</f>
        <v>#NAME?</v>
      </c>
      <c r="M1219" s="32"/>
      <c r="N1219" s="31"/>
      <c r="O1219" s="31"/>
      <c r="P1219" s="33"/>
      <c r="Q1219" s="33"/>
    </row>
    <row r="1220" spans="1:17" ht="16.5" customHeight="1" x14ac:dyDescent="0.2">
      <c r="A1220" s="26" t="s">
        <v>4126</v>
      </c>
      <c r="B1220" s="26" t="s">
        <v>4127</v>
      </c>
      <c r="C1220" s="26" t="s">
        <v>98</v>
      </c>
      <c r="D1220" s="26" t="s">
        <v>113</v>
      </c>
      <c r="E1220" s="26" t="s">
        <v>126</v>
      </c>
      <c r="F1220" s="28" t="e">
        <f ca="1">_xludf.ifna(VLOOKUP(G1221,Proyectos!$E$1:$H$4,4,0),"")</f>
        <v>#NAME?</v>
      </c>
      <c r="G1220" s="26" t="s">
        <v>5133</v>
      </c>
      <c r="H1220" s="32">
        <v>1</v>
      </c>
      <c r="I1220" s="31" t="s">
        <v>18</v>
      </c>
      <c r="J1220" s="32"/>
      <c r="K1220" s="32" t="str">
        <f t="shared" si="4"/>
        <v>Externo</v>
      </c>
      <c r="L1220" s="32" t="e">
        <f ca="1">_xludf.ifna(VLOOKUP(G1221,Proyectos!$E$1:$N$4,10,0),"")</f>
        <v>#NAME?</v>
      </c>
      <c r="M1220" s="32"/>
      <c r="N1220" s="32"/>
      <c r="O1220" s="31"/>
      <c r="P1220" s="33"/>
      <c r="Q1220" s="33"/>
    </row>
    <row r="1221" spans="1:17" ht="16.5" customHeight="1" x14ac:dyDescent="0.2">
      <c r="A1221" s="26" t="s">
        <v>4885</v>
      </c>
      <c r="B1221" s="26" t="s">
        <v>4886</v>
      </c>
      <c r="C1221" s="26" t="s">
        <v>98</v>
      </c>
      <c r="D1221" s="26" t="s">
        <v>105</v>
      </c>
      <c r="E1221" s="26" t="s">
        <v>93</v>
      </c>
      <c r="F1221" s="28" t="e">
        <f ca="1">_xludf.ifna(VLOOKUP(G1222,Proyectos!$E$1:$H$4,4,0),"")</f>
        <v>#NAME?</v>
      </c>
      <c r="G1221" s="26" t="s">
        <v>5597</v>
      </c>
      <c r="H1221" s="32">
        <v>1</v>
      </c>
      <c r="I1221" s="31" t="s">
        <v>18</v>
      </c>
      <c r="J1221" s="32"/>
      <c r="K1221" s="32" t="str">
        <f t="shared" si="4"/>
        <v>Externo</v>
      </c>
      <c r="L1221" s="32" t="e">
        <f ca="1">_xludf.ifna(VLOOKUP(G1222,Proyectos!$E$1:$N$4,10,0),"")</f>
        <v>#NAME?</v>
      </c>
      <c r="M1221" s="32"/>
      <c r="N1221" s="32"/>
      <c r="O1221" s="31"/>
      <c r="P1221" s="33"/>
      <c r="Q1221" s="33"/>
    </row>
    <row r="1222" spans="1:17" ht="16.5" customHeight="1" x14ac:dyDescent="0.2">
      <c r="A1222" s="26" t="s">
        <v>3775</v>
      </c>
      <c r="B1222" s="26" t="s">
        <v>3776</v>
      </c>
      <c r="C1222" s="26" t="s">
        <v>98</v>
      </c>
      <c r="D1222" s="26" t="s">
        <v>107</v>
      </c>
      <c r="E1222" s="26" t="s">
        <v>39</v>
      </c>
      <c r="F1222" s="28" t="e">
        <f ca="1">_xludf.ifna(VLOOKUP(G1223,Proyectos!$E$1:$H$4,4,0),"")</f>
        <v>#NAME?</v>
      </c>
      <c r="G1222" s="26" t="s">
        <v>5330</v>
      </c>
      <c r="H1222" s="32">
        <v>0.75</v>
      </c>
      <c r="I1222" s="31" t="s">
        <v>18</v>
      </c>
      <c r="J1222" s="32"/>
      <c r="K1222" s="32" t="str">
        <f t="shared" si="4"/>
        <v>Interno</v>
      </c>
      <c r="L1222" s="32" t="e">
        <f ca="1">_xludf.ifna(VLOOKUP(G1223,Proyectos!$E$1:$N$4,10,0),"")</f>
        <v>#NAME?</v>
      </c>
      <c r="M1222" s="32"/>
      <c r="N1222" s="32"/>
      <c r="O1222" s="31"/>
      <c r="P1222" s="33"/>
      <c r="Q1222" s="33"/>
    </row>
    <row r="1223" spans="1:17" ht="16.5" customHeight="1" x14ac:dyDescent="0.2">
      <c r="A1223" s="26" t="s">
        <v>3775</v>
      </c>
      <c r="B1223" s="26" t="s">
        <v>3776</v>
      </c>
      <c r="C1223" s="26" t="s">
        <v>98</v>
      </c>
      <c r="D1223" s="26" t="s">
        <v>107</v>
      </c>
      <c r="E1223" s="26" t="s">
        <v>39</v>
      </c>
      <c r="F1223" s="28" t="e">
        <f ca="1">_xludf.ifna(VLOOKUP(G1224,Proyectos!$E$1:$H$4,4,0),"")</f>
        <v>#NAME?</v>
      </c>
      <c r="G1223" s="26" t="s">
        <v>5329</v>
      </c>
      <c r="H1223" s="32">
        <v>0.25</v>
      </c>
      <c r="I1223" s="31" t="s">
        <v>18</v>
      </c>
      <c r="J1223" s="32"/>
      <c r="K1223" s="32" t="str">
        <f t="shared" si="4"/>
        <v>Interno</v>
      </c>
      <c r="L1223" s="32" t="e">
        <f ca="1">_xludf.ifna(VLOOKUP(G1224,Proyectos!$E$1:$N$4,10,0),"")</f>
        <v>#NAME?</v>
      </c>
      <c r="M1223" s="32"/>
      <c r="N1223" s="32"/>
      <c r="O1223" s="31"/>
      <c r="P1223" s="33"/>
      <c r="Q1223" s="33"/>
    </row>
    <row r="1224" spans="1:17" ht="16.5" customHeight="1" x14ac:dyDescent="0.2">
      <c r="A1224" s="26" t="s">
        <v>3846</v>
      </c>
      <c r="B1224" s="26" t="s">
        <v>3847</v>
      </c>
      <c r="C1224" s="26" t="s">
        <v>98</v>
      </c>
      <c r="D1224" s="26" t="s">
        <v>102</v>
      </c>
      <c r="E1224" s="26" t="s">
        <v>39</v>
      </c>
      <c r="F1224" s="28" t="e">
        <f ca="1">_xludf.ifna(VLOOKUP(G1225,Proyectos!$E$1:$H$4,4,0),"")</f>
        <v>#NAME?</v>
      </c>
      <c r="G1224" s="26" t="s">
        <v>5113</v>
      </c>
      <c r="H1224" s="32">
        <v>1</v>
      </c>
      <c r="I1224" s="31" t="s">
        <v>18</v>
      </c>
      <c r="J1224" s="32"/>
      <c r="K1224" s="32" t="str">
        <f t="shared" si="4"/>
        <v>Interno</v>
      </c>
      <c r="L1224" s="32" t="e">
        <f ca="1">_xludf.ifna(VLOOKUP(G1225,Proyectos!$E$1:$N$4,10,0),"")</f>
        <v>#NAME?</v>
      </c>
      <c r="M1224" s="32"/>
      <c r="N1224" s="32"/>
      <c r="O1224" s="31"/>
      <c r="P1224" s="33"/>
      <c r="Q1224" s="33"/>
    </row>
    <row r="1225" spans="1:17" ht="16.5" customHeight="1" x14ac:dyDescent="0.2">
      <c r="A1225" s="26" t="s">
        <v>4128</v>
      </c>
      <c r="B1225" s="26" t="s">
        <v>5870</v>
      </c>
      <c r="C1225" s="26" t="s">
        <v>64</v>
      </c>
      <c r="D1225" s="26" t="s">
        <v>78</v>
      </c>
      <c r="E1225" s="26" t="s">
        <v>129</v>
      </c>
      <c r="F1225" s="28" t="e">
        <f ca="1">_xludf.ifna(VLOOKUP(G1226,Proyectos!$E$1:$H$4,4,0),"")</f>
        <v>#NAME?</v>
      </c>
      <c r="G1225" s="26" t="s">
        <v>5406</v>
      </c>
      <c r="H1225" s="30">
        <v>1</v>
      </c>
      <c r="I1225" s="31" t="s">
        <v>18</v>
      </c>
      <c r="J1225" s="32"/>
      <c r="K1225" s="32" t="str">
        <f t="shared" si="4"/>
        <v>Externo</v>
      </c>
      <c r="L1225" s="32" t="e">
        <f ca="1">_xludf.ifna(VLOOKUP(G1226,Proyectos!$E$1:$N$4,10,0),"")</f>
        <v>#NAME?</v>
      </c>
      <c r="M1225" s="32"/>
      <c r="N1225" s="32"/>
      <c r="O1225" s="31"/>
      <c r="P1225" s="33"/>
      <c r="Q1225" s="33"/>
    </row>
    <row r="1226" spans="1:17" ht="16.5" customHeight="1" x14ac:dyDescent="0.2">
      <c r="A1226" s="26" t="s">
        <v>3749</v>
      </c>
      <c r="B1226" s="26" t="s">
        <v>3750</v>
      </c>
      <c r="C1226" s="26" t="s">
        <v>98</v>
      </c>
      <c r="D1226" s="26" t="s">
        <v>107</v>
      </c>
      <c r="E1226" s="26" t="s">
        <v>39</v>
      </c>
      <c r="F1226" s="28" t="e">
        <f ca="1">_xludf.ifna(VLOOKUP(G1227,Proyectos!$E$1:$H$4,4,0),"")</f>
        <v>#NAME?</v>
      </c>
      <c r="G1226" s="26" t="s">
        <v>5329</v>
      </c>
      <c r="H1226" s="32">
        <v>0.25</v>
      </c>
      <c r="I1226" s="31" t="s">
        <v>18</v>
      </c>
      <c r="J1226" s="32"/>
      <c r="K1226" s="32" t="str">
        <f t="shared" si="4"/>
        <v>Interno</v>
      </c>
      <c r="L1226" s="32" t="e">
        <f ca="1">_xludf.ifna(VLOOKUP(G1227,Proyectos!$E$1:$N$4,10,0),"")</f>
        <v>#NAME?</v>
      </c>
      <c r="M1226" s="32"/>
      <c r="N1226" s="32"/>
      <c r="O1226" s="31"/>
      <c r="P1226" s="33"/>
      <c r="Q1226" s="33"/>
    </row>
    <row r="1227" spans="1:17" ht="16.5" customHeight="1" x14ac:dyDescent="0.2">
      <c r="A1227" s="26" t="s">
        <v>3749</v>
      </c>
      <c r="B1227" s="26" t="s">
        <v>3750</v>
      </c>
      <c r="C1227" s="26" t="s">
        <v>98</v>
      </c>
      <c r="D1227" s="26" t="s">
        <v>107</v>
      </c>
      <c r="E1227" s="26" t="s">
        <v>39</v>
      </c>
      <c r="F1227" s="28" t="e">
        <f ca="1">_xludf.ifna(VLOOKUP(G1228,Proyectos!$E$1:$H$4,4,0),"")</f>
        <v>#NAME?</v>
      </c>
      <c r="G1227" s="26" t="s">
        <v>5347</v>
      </c>
      <c r="H1227" s="32">
        <v>0.5</v>
      </c>
      <c r="I1227" s="31" t="s">
        <v>18</v>
      </c>
      <c r="J1227" s="32"/>
      <c r="K1227" s="32" t="str">
        <f t="shared" si="4"/>
        <v>Interno</v>
      </c>
      <c r="L1227" s="32" t="e">
        <f ca="1">_xludf.ifna(VLOOKUP(G1228,Proyectos!$E$1:$N$4,10,0),"")</f>
        <v>#NAME?</v>
      </c>
      <c r="M1227" s="32"/>
      <c r="N1227" s="32"/>
      <c r="O1227" s="31"/>
      <c r="P1227" s="33"/>
      <c r="Q1227" s="33"/>
    </row>
    <row r="1228" spans="1:17" ht="16.5" customHeight="1" x14ac:dyDescent="0.2">
      <c r="A1228" s="26" t="s">
        <v>3749</v>
      </c>
      <c r="B1228" s="26" t="s">
        <v>3750</v>
      </c>
      <c r="C1228" s="26" t="s">
        <v>98</v>
      </c>
      <c r="D1228" s="26" t="s">
        <v>107</v>
      </c>
      <c r="E1228" s="26" t="s">
        <v>39</v>
      </c>
      <c r="F1228" s="28" t="e">
        <f ca="1">_xludf.ifna(VLOOKUP(G1229,Proyectos!$E$1:$H$4,4,0),"")</f>
        <v>#NAME?</v>
      </c>
      <c r="G1228" s="26" t="s">
        <v>5632</v>
      </c>
      <c r="H1228" s="32">
        <v>0.25</v>
      </c>
      <c r="I1228" s="31" t="s">
        <v>18</v>
      </c>
      <c r="J1228" s="32"/>
      <c r="K1228" s="32" t="str">
        <f t="shared" si="4"/>
        <v>Interno</v>
      </c>
      <c r="L1228" s="32" t="e">
        <f ca="1">_xludf.ifna(VLOOKUP(G1229,Proyectos!$E$1:$N$4,10,0),"")</f>
        <v>#NAME?</v>
      </c>
      <c r="M1228" s="32"/>
      <c r="N1228" s="32"/>
      <c r="O1228" s="31"/>
      <c r="P1228" s="33"/>
      <c r="Q1228" s="33"/>
    </row>
    <row r="1229" spans="1:17" ht="16.5" customHeight="1" x14ac:dyDescent="0.2">
      <c r="A1229" s="94" t="s">
        <v>3505</v>
      </c>
      <c r="B1229" s="26" t="s">
        <v>5571</v>
      </c>
      <c r="C1229" s="26" t="s">
        <v>115</v>
      </c>
      <c r="D1229" s="26" t="s">
        <v>131</v>
      </c>
      <c r="E1229" s="94" t="s">
        <v>39</v>
      </c>
      <c r="F1229" s="28" t="e">
        <f ca="1">_xludf.ifna(VLOOKUP(G1230,Proyectos!$E$1:$H$4,4,0),"")</f>
        <v>#NAME?</v>
      </c>
      <c r="G1229" s="26" t="s">
        <v>5597</v>
      </c>
      <c r="H1229" s="32">
        <v>0.95</v>
      </c>
      <c r="I1229" s="31" t="s">
        <v>18</v>
      </c>
      <c r="J1229" s="31" t="s">
        <v>5871</v>
      </c>
      <c r="K1229" s="32" t="str">
        <f t="shared" si="4"/>
        <v>Interno</v>
      </c>
      <c r="L1229" s="32" t="e">
        <f ca="1">_xludf.ifna(VLOOKUP(G1230,Proyectos!$E$1:$N$4,10,0),"")</f>
        <v>#NAME?</v>
      </c>
      <c r="M1229" s="32"/>
      <c r="N1229" s="31"/>
      <c r="O1229" s="31"/>
      <c r="P1229" s="33"/>
      <c r="Q1229" s="33"/>
    </row>
    <row r="1230" spans="1:17" ht="16.5" customHeight="1" x14ac:dyDescent="0.2">
      <c r="A1230" s="49" t="s">
        <v>3505</v>
      </c>
      <c r="B1230" s="26" t="s">
        <v>5571</v>
      </c>
      <c r="C1230" s="26" t="s">
        <v>115</v>
      </c>
      <c r="D1230" s="26" t="s">
        <v>131</v>
      </c>
      <c r="E1230" s="49" t="s">
        <v>39</v>
      </c>
      <c r="F1230" s="28" t="e">
        <f ca="1">_xludf.ifna(VLOOKUP(G1231,Proyectos!$E$1:$H$4,4,0),"")</f>
        <v>#NAME?</v>
      </c>
      <c r="G1230" s="26" t="s">
        <v>5225</v>
      </c>
      <c r="H1230" s="32">
        <v>0.05</v>
      </c>
      <c r="I1230" s="31" t="s">
        <v>18</v>
      </c>
      <c r="J1230" s="31" t="s">
        <v>5872</v>
      </c>
      <c r="K1230" s="32" t="str">
        <f t="shared" si="4"/>
        <v>Interno</v>
      </c>
      <c r="L1230" s="32" t="e">
        <f ca="1">_xludf.ifna(VLOOKUP(G1231,Proyectos!$E$1:$N$4,10,0),"")</f>
        <v>#NAME?</v>
      </c>
      <c r="M1230" s="32"/>
      <c r="N1230" s="31"/>
      <c r="O1230" s="31"/>
      <c r="P1230" s="33"/>
      <c r="Q1230" s="33"/>
    </row>
    <row r="1231" spans="1:17" ht="16.5" customHeight="1" x14ac:dyDescent="0.2">
      <c r="A1231" s="49" t="s">
        <v>4352</v>
      </c>
      <c r="B1231" s="26" t="s">
        <v>5149</v>
      </c>
      <c r="C1231" s="26" t="s">
        <v>98</v>
      </c>
      <c r="D1231" s="26" t="s">
        <v>105</v>
      </c>
      <c r="E1231" s="49" t="s">
        <v>83</v>
      </c>
      <c r="F1231" s="28" t="e">
        <f ca="1">_xludf.ifna(VLOOKUP(G1232,Proyectos!$E$1:$H$4,4,0),"")</f>
        <v>#NAME?</v>
      </c>
      <c r="G1231" s="26" t="s">
        <v>5145</v>
      </c>
      <c r="H1231" s="32">
        <v>1</v>
      </c>
      <c r="I1231" s="31" t="s">
        <v>25</v>
      </c>
      <c r="J1231" s="32"/>
      <c r="K1231" s="32" t="str">
        <f t="shared" si="4"/>
        <v>Externo</v>
      </c>
      <c r="L1231" s="32" t="e">
        <f ca="1">_xludf.ifna(VLOOKUP(G1232,Proyectos!$E$1:$N$4,10,0),"")</f>
        <v>#NAME?</v>
      </c>
      <c r="M1231" s="32"/>
      <c r="N1231" s="32"/>
      <c r="O1231" s="31"/>
      <c r="P1231" s="33"/>
      <c r="Q1231" s="33"/>
    </row>
    <row r="1232" spans="1:17" ht="16.5" customHeight="1" x14ac:dyDescent="0.2">
      <c r="A1232" s="49" t="s">
        <v>4899</v>
      </c>
      <c r="B1232" s="26" t="s">
        <v>5273</v>
      </c>
      <c r="C1232" s="26" t="s">
        <v>7</v>
      </c>
      <c r="D1232" s="26" t="s">
        <v>16</v>
      </c>
      <c r="E1232" s="49" t="s">
        <v>126</v>
      </c>
      <c r="F1232" s="28" t="e">
        <f ca="1">_xludf.ifna(VLOOKUP(G1233,Proyectos!$E$1:$H$4,4,0),"")</f>
        <v>#NAME?</v>
      </c>
      <c r="G1232" s="26" t="s">
        <v>5266</v>
      </c>
      <c r="H1232" s="65">
        <v>0.5</v>
      </c>
      <c r="I1232" s="31" t="s">
        <v>18</v>
      </c>
      <c r="J1232" s="32"/>
      <c r="K1232" s="32" t="str">
        <f t="shared" si="4"/>
        <v>Externo</v>
      </c>
      <c r="L1232" s="32" t="e">
        <f ca="1">_xludf.ifna(VLOOKUP(G1233,Proyectos!$E$1:$N$4,10,0),"")</f>
        <v>#NAME?</v>
      </c>
      <c r="M1232" s="32"/>
      <c r="N1232" s="32"/>
      <c r="O1232" s="31"/>
      <c r="P1232" s="33"/>
      <c r="Q1232" s="33"/>
    </row>
    <row r="1233" spans="1:17" ht="16.5" customHeight="1" x14ac:dyDescent="0.2">
      <c r="A1233" s="49" t="s">
        <v>4899</v>
      </c>
      <c r="B1233" s="26" t="s">
        <v>5273</v>
      </c>
      <c r="C1233" s="26" t="s">
        <v>7</v>
      </c>
      <c r="D1233" s="26" t="s">
        <v>16</v>
      </c>
      <c r="E1233" s="49" t="s">
        <v>126</v>
      </c>
      <c r="F1233" s="28" t="e">
        <f ca="1">_xludf.ifna(VLOOKUP(G1234,Proyectos!$E$1:$H$4,4,0),"")</f>
        <v>#NAME?</v>
      </c>
      <c r="G1233" s="26" t="s">
        <v>5707</v>
      </c>
      <c r="H1233" s="65">
        <v>0.1</v>
      </c>
      <c r="I1233" s="31" t="s">
        <v>18</v>
      </c>
      <c r="J1233" s="32"/>
      <c r="K1233" s="32" t="str">
        <f t="shared" si="4"/>
        <v>Externo</v>
      </c>
      <c r="L1233" s="32" t="e">
        <f ca="1">_xludf.ifna(VLOOKUP(G1234,Proyectos!$E$1:$N$4,10,0),"")</f>
        <v>#NAME?</v>
      </c>
      <c r="M1233" s="32"/>
      <c r="N1233" s="32"/>
      <c r="O1233" s="31"/>
      <c r="P1233" s="33"/>
      <c r="Q1233" s="33"/>
    </row>
    <row r="1234" spans="1:17" ht="16.5" customHeight="1" x14ac:dyDescent="0.2">
      <c r="A1234" s="49" t="s">
        <v>4899</v>
      </c>
      <c r="B1234" s="26" t="s">
        <v>5273</v>
      </c>
      <c r="C1234" s="26" t="s">
        <v>7</v>
      </c>
      <c r="D1234" s="26" t="s">
        <v>16</v>
      </c>
      <c r="E1234" s="49" t="s">
        <v>126</v>
      </c>
      <c r="F1234" s="28" t="e">
        <f ca="1">_xludf.ifna(VLOOKUP(G1235,Proyectos!$E$1:$H$4,4,0),"")</f>
        <v>#NAME?</v>
      </c>
      <c r="G1234" s="26" t="s">
        <v>5267</v>
      </c>
      <c r="H1234" s="65">
        <v>0.4</v>
      </c>
      <c r="I1234" s="31" t="s">
        <v>18</v>
      </c>
      <c r="J1234" s="32"/>
      <c r="K1234" s="32" t="str">
        <f t="shared" si="4"/>
        <v>Externo</v>
      </c>
      <c r="L1234" s="32" t="e">
        <f ca="1">_xludf.ifna(VLOOKUP(G1235,Proyectos!$E$1:$N$4,10,0),"")</f>
        <v>#NAME?</v>
      </c>
      <c r="M1234" s="32"/>
      <c r="N1234" s="32"/>
      <c r="O1234" s="31"/>
      <c r="P1234" s="33"/>
      <c r="Q1234" s="33"/>
    </row>
    <row r="1235" spans="1:17" ht="16.5" customHeight="1" x14ac:dyDescent="0.2">
      <c r="A1235" s="49" t="s">
        <v>4402</v>
      </c>
      <c r="B1235" s="26" t="s">
        <v>5873</v>
      </c>
      <c r="C1235" s="26" t="s">
        <v>98</v>
      </c>
      <c r="D1235" s="26" t="s">
        <v>102</v>
      </c>
      <c r="E1235" s="49" t="s">
        <v>83</v>
      </c>
      <c r="F1235" s="28" t="e">
        <f ca="1">_xludf.ifna(VLOOKUP(G1236,Proyectos!$E$1:$H$4,4,0),"")</f>
        <v>#NAME?</v>
      </c>
      <c r="G1235" s="26" t="s">
        <v>5111</v>
      </c>
      <c r="H1235" s="32">
        <v>1</v>
      </c>
      <c r="I1235" s="31" t="s">
        <v>25</v>
      </c>
      <c r="J1235" s="32"/>
      <c r="K1235" s="32" t="str">
        <f t="shared" si="4"/>
        <v>Externo</v>
      </c>
      <c r="L1235" s="32" t="e">
        <f ca="1">_xludf.ifna(VLOOKUP(G1236,Proyectos!$E$1:$N$4,10,0),"")</f>
        <v>#NAME?</v>
      </c>
      <c r="M1235" s="32"/>
      <c r="N1235" s="32"/>
      <c r="O1235" s="31"/>
      <c r="P1235" s="33"/>
      <c r="Q1235" s="33"/>
    </row>
    <row r="1236" spans="1:17" ht="16.5" customHeight="1" x14ac:dyDescent="0.2">
      <c r="A1236" s="49" t="s">
        <v>3570</v>
      </c>
      <c r="B1236" s="26" t="s">
        <v>3571</v>
      </c>
      <c r="C1236" s="26" t="s">
        <v>115</v>
      </c>
      <c r="D1236" s="26" t="s">
        <v>134</v>
      </c>
      <c r="E1236" s="49" t="s">
        <v>39</v>
      </c>
      <c r="F1236" s="28" t="e">
        <f ca="1">_xludf.ifna(VLOOKUP(G1237,Proyectos!$E$1:$H$4,4,0),"")</f>
        <v>#NAME?</v>
      </c>
      <c r="G1236" s="26" t="s">
        <v>5539</v>
      </c>
      <c r="H1236" s="32">
        <v>1</v>
      </c>
      <c r="I1236" s="31" t="s">
        <v>18</v>
      </c>
      <c r="J1236" s="32"/>
      <c r="K1236" s="32" t="str">
        <f t="shared" si="4"/>
        <v>Interno</v>
      </c>
      <c r="L1236" s="32" t="e">
        <f ca="1">_xludf.ifna(VLOOKUP(G1237,Proyectos!$E$1:$N$4,10,0),"")</f>
        <v>#NAME?</v>
      </c>
      <c r="M1236" s="32"/>
      <c r="N1236" s="32"/>
      <c r="O1236" s="31"/>
      <c r="P1236" s="33"/>
      <c r="Q1236" s="33"/>
    </row>
    <row r="1237" spans="1:17" ht="16.5" customHeight="1" x14ac:dyDescent="0.2">
      <c r="A1237" s="56" t="s">
        <v>4523</v>
      </c>
      <c r="B1237" s="26" t="s">
        <v>5518</v>
      </c>
      <c r="C1237" s="26" t="s">
        <v>64</v>
      </c>
      <c r="D1237" s="26" t="s">
        <v>82</v>
      </c>
      <c r="E1237" s="56" t="s">
        <v>129</v>
      </c>
      <c r="F1237" s="28" t="e">
        <f ca="1">_xludf.ifna(VLOOKUP(G1238,Proyectos!$E$1:$H$4,4,0),"")</f>
        <v>#NAME?</v>
      </c>
      <c r="G1237" s="26" t="s">
        <v>5434</v>
      </c>
      <c r="H1237" s="32">
        <v>1</v>
      </c>
      <c r="I1237" s="31" t="s">
        <v>18</v>
      </c>
      <c r="J1237" s="32"/>
      <c r="K1237" s="32" t="str">
        <f t="shared" si="4"/>
        <v>Externo</v>
      </c>
      <c r="L1237" s="32" t="e">
        <f ca="1">_xludf.ifna(VLOOKUP(G1238,Proyectos!$E$1:$N$4,10,0),"")</f>
        <v>#NAME?</v>
      </c>
      <c r="M1237" s="32"/>
      <c r="N1237" s="31"/>
      <c r="O1237" s="31"/>
      <c r="P1237" s="33"/>
      <c r="Q1237" s="33"/>
    </row>
    <row r="1238" spans="1:17" ht="16.5" customHeight="1" x14ac:dyDescent="0.2">
      <c r="A1238" s="49" t="s">
        <v>5098</v>
      </c>
      <c r="B1238" s="26" t="s">
        <v>5099</v>
      </c>
      <c r="C1238" s="26" t="s">
        <v>98</v>
      </c>
      <c r="D1238" s="26" t="s">
        <v>110</v>
      </c>
      <c r="E1238" s="49" t="s">
        <v>106</v>
      </c>
      <c r="F1238" s="28" t="e">
        <f ca="1">_xludf.ifna(VLOOKUP(G1239,Proyectos!$E$1:$H$4,4,0),"")</f>
        <v>#NAME?</v>
      </c>
      <c r="G1238" s="26" t="s">
        <v>5243</v>
      </c>
      <c r="H1238" s="32">
        <v>1</v>
      </c>
      <c r="I1238" s="31" t="s">
        <v>18</v>
      </c>
      <c r="J1238" s="32"/>
      <c r="K1238" s="32" t="str">
        <f t="shared" si="4"/>
        <v>Externo</v>
      </c>
      <c r="L1238" s="32" t="e">
        <f ca="1">_xludf.ifna(VLOOKUP(G1239,Proyectos!$E$1:$N$4,10,0),"")</f>
        <v>#NAME?</v>
      </c>
      <c r="M1238" s="32"/>
      <c r="N1238" s="32"/>
      <c r="O1238" s="31"/>
      <c r="P1238" s="33"/>
      <c r="Q1238" s="33"/>
    </row>
    <row r="1239" spans="1:17" ht="16.5" customHeight="1" x14ac:dyDescent="0.2">
      <c r="A1239" s="49" t="s">
        <v>3640</v>
      </c>
      <c r="B1239" s="26" t="s">
        <v>5177</v>
      </c>
      <c r="C1239" s="54" t="s">
        <v>7</v>
      </c>
      <c r="D1239" s="54" t="s">
        <v>23</v>
      </c>
      <c r="E1239" s="116" t="s">
        <v>39</v>
      </c>
      <c r="F1239" s="28" t="e">
        <f ca="1">_xludf.ifna(VLOOKUP(G1240,Proyectos!$E$1:$H$4,4,0),"")</f>
        <v>#NAME?</v>
      </c>
      <c r="G1239" s="54" t="s">
        <v>5170</v>
      </c>
      <c r="H1239" s="60">
        <v>0.4</v>
      </c>
      <c r="I1239" s="31" t="s">
        <v>18</v>
      </c>
      <c r="J1239" s="60"/>
      <c r="K1239" s="32" t="str">
        <f t="shared" si="4"/>
        <v>Interno</v>
      </c>
      <c r="L1239" s="32" t="e">
        <f ca="1">_xludf.ifna(VLOOKUP(G1240,Proyectos!$E$1:$N$4,10,0),"")</f>
        <v>#NAME?</v>
      </c>
      <c r="M1239" s="32"/>
      <c r="N1239" s="31"/>
      <c r="O1239" s="31"/>
      <c r="P1239" s="33"/>
      <c r="Q1239" s="33"/>
    </row>
    <row r="1240" spans="1:17" ht="16.5" customHeight="1" x14ac:dyDescent="0.2">
      <c r="A1240" s="49" t="s">
        <v>3640</v>
      </c>
      <c r="B1240" s="26" t="s">
        <v>5177</v>
      </c>
      <c r="C1240" s="54" t="s">
        <v>7</v>
      </c>
      <c r="D1240" s="54" t="s">
        <v>23</v>
      </c>
      <c r="E1240" s="116" t="s">
        <v>39</v>
      </c>
      <c r="F1240" s="28" t="e">
        <f ca="1">_xludf.ifna(VLOOKUP(G1241,Proyectos!$E$1:$H$4,4,0),"")</f>
        <v>#NAME?</v>
      </c>
      <c r="G1240" s="54" t="s">
        <v>5171</v>
      </c>
      <c r="H1240" s="60">
        <v>0.25</v>
      </c>
      <c r="I1240" s="31" t="s">
        <v>18</v>
      </c>
      <c r="J1240" s="60"/>
      <c r="K1240" s="32" t="str">
        <f t="shared" si="4"/>
        <v>Interno</v>
      </c>
      <c r="L1240" s="32" t="e">
        <f ca="1">_xludf.ifna(VLOOKUP(G1241,Proyectos!$E$1:$N$4,10,0),"")</f>
        <v>#NAME?</v>
      </c>
      <c r="M1240" s="32"/>
      <c r="N1240" s="31"/>
      <c r="O1240" s="31"/>
      <c r="P1240" s="33"/>
      <c r="Q1240" s="33"/>
    </row>
    <row r="1241" spans="1:17" ht="16.5" customHeight="1" x14ac:dyDescent="0.2">
      <c r="A1241" s="49" t="s">
        <v>3640</v>
      </c>
      <c r="B1241" s="26" t="s">
        <v>5177</v>
      </c>
      <c r="C1241" s="54" t="s">
        <v>7</v>
      </c>
      <c r="D1241" s="54" t="s">
        <v>23</v>
      </c>
      <c r="E1241" s="116" t="s">
        <v>39</v>
      </c>
      <c r="F1241" s="28" t="e">
        <f ca="1">_xludf.ifna(VLOOKUP(G1242,Proyectos!$E$1:$H$4,4,0),"")</f>
        <v>#NAME?</v>
      </c>
      <c r="G1241" s="54" t="s">
        <v>5173</v>
      </c>
      <c r="H1241" s="60">
        <v>0.1</v>
      </c>
      <c r="I1241" s="31" t="s">
        <v>18</v>
      </c>
      <c r="J1241" s="60"/>
      <c r="K1241" s="32" t="str">
        <f t="shared" si="4"/>
        <v>Interno</v>
      </c>
      <c r="L1241" s="32" t="e">
        <f ca="1">_xludf.ifna(VLOOKUP(G1242,Proyectos!$E$1:$N$4,10,0),"")</f>
        <v>#NAME?</v>
      </c>
      <c r="M1241" s="32"/>
      <c r="N1241" s="31"/>
      <c r="O1241" s="31"/>
      <c r="P1241" s="33"/>
      <c r="Q1241" s="33"/>
    </row>
    <row r="1242" spans="1:17" ht="16.5" customHeight="1" x14ac:dyDescent="0.2">
      <c r="A1242" s="49" t="s">
        <v>3640</v>
      </c>
      <c r="B1242" s="26" t="s">
        <v>5177</v>
      </c>
      <c r="C1242" s="54" t="s">
        <v>7</v>
      </c>
      <c r="D1242" s="54" t="s">
        <v>23</v>
      </c>
      <c r="E1242" s="116" t="s">
        <v>39</v>
      </c>
      <c r="F1242" s="28" t="e">
        <f ca="1">_xludf.ifna(VLOOKUP(G1243,Proyectos!$E$1:$H$4,4,0),"")</f>
        <v>#NAME?</v>
      </c>
      <c r="G1242" s="54" t="s">
        <v>5174</v>
      </c>
      <c r="H1242" s="60">
        <v>0.25</v>
      </c>
      <c r="I1242" s="31" t="s">
        <v>18</v>
      </c>
      <c r="J1242" s="60"/>
      <c r="K1242" s="32" t="str">
        <f t="shared" si="4"/>
        <v>Interno</v>
      </c>
      <c r="L1242" s="32" t="e">
        <f ca="1">_xludf.ifna(VLOOKUP(G1243,Proyectos!$E$1:$N$4,10,0),"")</f>
        <v>#NAME?</v>
      </c>
      <c r="M1242" s="32"/>
      <c r="N1242" s="31"/>
      <c r="O1242" s="31"/>
      <c r="P1242" s="33"/>
      <c r="Q1242" s="33"/>
    </row>
    <row r="1243" spans="1:17" ht="16.5" customHeight="1" x14ac:dyDescent="0.2">
      <c r="A1243" s="49" t="s">
        <v>4513</v>
      </c>
      <c r="B1243" s="26" t="s">
        <v>4514</v>
      </c>
      <c r="C1243" s="26" t="s">
        <v>98</v>
      </c>
      <c r="D1243" s="26" t="s">
        <v>107</v>
      </c>
      <c r="E1243" s="49" t="s">
        <v>87</v>
      </c>
      <c r="F1243" s="28" t="e">
        <f ca="1">_xludf.ifna(VLOOKUP(G1244,Proyectos!$E$1:$H$4,4,0),"")</f>
        <v>#NAME?</v>
      </c>
      <c r="G1243" s="26" t="s">
        <v>5347</v>
      </c>
      <c r="H1243" s="32">
        <v>1</v>
      </c>
      <c r="I1243" s="31" t="s">
        <v>18</v>
      </c>
      <c r="J1243" s="32"/>
      <c r="K1243" s="32" t="str">
        <f t="shared" si="4"/>
        <v>Externo</v>
      </c>
      <c r="L1243" s="32" t="e">
        <f ca="1">_xludf.ifna(VLOOKUP(G1244,Proyectos!$E$1:$N$4,10,0),"")</f>
        <v>#NAME?</v>
      </c>
      <c r="M1243" s="32"/>
      <c r="N1243" s="32"/>
      <c r="O1243" s="31"/>
      <c r="P1243" s="33"/>
      <c r="Q1243" s="33"/>
    </row>
    <row r="1244" spans="1:17" ht="16.5" customHeight="1" x14ac:dyDescent="0.2">
      <c r="A1244" s="49" t="s">
        <v>4290</v>
      </c>
      <c r="B1244" s="26" t="s">
        <v>5525</v>
      </c>
      <c r="C1244" s="26" t="s">
        <v>98</v>
      </c>
      <c r="D1244" s="26" t="s">
        <v>107</v>
      </c>
      <c r="E1244" s="49" t="s">
        <v>87</v>
      </c>
      <c r="F1244" s="28" t="e">
        <f ca="1">_xludf.ifna(VLOOKUP(G1245,Proyectos!$E$1:$H$4,4,0),"")</f>
        <v>#NAME?</v>
      </c>
      <c r="G1244" s="26" t="s">
        <v>5329</v>
      </c>
      <c r="H1244" s="32">
        <v>1</v>
      </c>
      <c r="I1244" s="31" t="s">
        <v>18</v>
      </c>
      <c r="J1244" s="32"/>
      <c r="K1244" s="32" t="str">
        <f t="shared" si="4"/>
        <v>Externo</v>
      </c>
      <c r="L1244" s="32" t="e">
        <f ca="1">_xludf.ifna(VLOOKUP(G1245,Proyectos!$E$1:$N$4,10,0),"")</f>
        <v>#NAME?</v>
      </c>
      <c r="M1244" s="32"/>
      <c r="N1244" s="32"/>
      <c r="O1244" s="31"/>
      <c r="P1244" s="33"/>
      <c r="Q1244" s="33"/>
    </row>
    <row r="1245" spans="1:17" ht="16.5" customHeight="1" x14ac:dyDescent="0.2">
      <c r="A1245" s="49" t="s">
        <v>3654</v>
      </c>
      <c r="B1245" s="26" t="s">
        <v>5874</v>
      </c>
      <c r="C1245" s="26" t="s">
        <v>7</v>
      </c>
      <c r="D1245" s="26" t="s">
        <v>16</v>
      </c>
      <c r="E1245" s="49" t="s">
        <v>39</v>
      </c>
      <c r="F1245" s="28" t="e">
        <f ca="1">_xludf.ifna(VLOOKUP(G1246,Proyectos!$E$1:$H$4,4,0),"")</f>
        <v>#NAME?</v>
      </c>
      <c r="G1245" s="26" t="s">
        <v>5239</v>
      </c>
      <c r="H1245" s="65">
        <v>1</v>
      </c>
      <c r="I1245" s="31" t="s">
        <v>18</v>
      </c>
      <c r="J1245" s="32"/>
      <c r="K1245" s="32" t="str">
        <f t="shared" si="4"/>
        <v>Interno</v>
      </c>
      <c r="L1245" s="32" t="e">
        <f ca="1">_xludf.ifna(VLOOKUP(G1246,Proyectos!$E$1:$N$4,10,0),"")</f>
        <v>#NAME?</v>
      </c>
      <c r="M1245" s="32"/>
      <c r="N1245" s="31"/>
      <c r="O1245" s="31"/>
      <c r="P1245" s="33"/>
      <c r="Q1245" s="33"/>
    </row>
    <row r="1246" spans="1:17" ht="16.5" customHeight="1" x14ac:dyDescent="0.2">
      <c r="A1246" s="49" t="s">
        <v>5015</v>
      </c>
      <c r="B1246" s="26" t="s">
        <v>5016</v>
      </c>
      <c r="C1246" s="26" t="s">
        <v>98</v>
      </c>
      <c r="D1246" s="26" t="s">
        <v>107</v>
      </c>
      <c r="E1246" s="49" t="s">
        <v>87</v>
      </c>
      <c r="F1246" s="28" t="e">
        <f ca="1">_xludf.ifna(VLOOKUP(G1247,Proyectos!$E$1:$H$4,4,0),"")</f>
        <v>#NAME?</v>
      </c>
      <c r="G1246" s="26" t="s">
        <v>5329</v>
      </c>
      <c r="H1246" s="32">
        <v>0.5</v>
      </c>
      <c r="I1246" s="31" t="s">
        <v>18</v>
      </c>
      <c r="J1246" s="32"/>
      <c r="K1246" s="32" t="str">
        <f t="shared" si="4"/>
        <v>Externo</v>
      </c>
      <c r="L1246" s="32" t="e">
        <f ca="1">_xludf.ifna(VLOOKUP(G1247,Proyectos!$E$1:$N$4,10,0),"")</f>
        <v>#NAME?</v>
      </c>
      <c r="M1246" s="32"/>
      <c r="N1246" s="32"/>
      <c r="O1246" s="31"/>
      <c r="P1246" s="33"/>
      <c r="Q1246" s="33"/>
    </row>
    <row r="1247" spans="1:17" ht="16.5" customHeight="1" x14ac:dyDescent="0.2">
      <c r="A1247" s="49" t="s">
        <v>5015</v>
      </c>
      <c r="B1247" s="26" t="s">
        <v>5016</v>
      </c>
      <c r="C1247" s="26" t="s">
        <v>98</v>
      </c>
      <c r="D1247" s="26" t="s">
        <v>107</v>
      </c>
      <c r="E1247" s="49" t="s">
        <v>87</v>
      </c>
      <c r="F1247" s="28" t="e">
        <f ca="1">_xludf.ifna(VLOOKUP(G1248,Proyectos!$E$1:$H$4,4,0),"")</f>
        <v>#NAME?</v>
      </c>
      <c r="G1247" s="26" t="s">
        <v>5330</v>
      </c>
      <c r="H1247" s="32">
        <v>0.5</v>
      </c>
      <c r="I1247" s="31" t="s">
        <v>18</v>
      </c>
      <c r="J1247" s="32"/>
      <c r="K1247" s="32" t="str">
        <f t="shared" si="4"/>
        <v>Externo</v>
      </c>
      <c r="L1247" s="32" t="e">
        <f ca="1">_xludf.ifna(VLOOKUP(G1248,Proyectos!$E$1:$N$4,10,0),"")</f>
        <v>#NAME?</v>
      </c>
      <c r="M1247" s="32"/>
      <c r="N1247" s="32"/>
      <c r="O1247" s="31"/>
      <c r="P1247" s="33"/>
      <c r="Q1247" s="33"/>
    </row>
    <row r="1248" spans="1:17" ht="16.5" customHeight="1" x14ac:dyDescent="0.2">
      <c r="A1248" s="49" t="s">
        <v>4944</v>
      </c>
      <c r="B1248" s="26" t="s">
        <v>4945</v>
      </c>
      <c r="C1248" s="26" t="s">
        <v>98</v>
      </c>
      <c r="D1248" s="26" t="s">
        <v>107</v>
      </c>
      <c r="E1248" s="49" t="s">
        <v>87</v>
      </c>
      <c r="F1248" s="28" t="e">
        <f ca="1">_xludf.ifna(VLOOKUP(G1249,Proyectos!$E$1:$H$4,4,0),"")</f>
        <v>#NAME?</v>
      </c>
      <c r="G1248" s="26" t="s">
        <v>5597</v>
      </c>
      <c r="H1248" s="32">
        <v>1</v>
      </c>
      <c r="I1248" s="31" t="s">
        <v>18</v>
      </c>
      <c r="J1248" s="32"/>
      <c r="K1248" s="32" t="str">
        <f t="shared" si="4"/>
        <v>Externo</v>
      </c>
      <c r="L1248" s="32" t="e">
        <f ca="1">_xludf.ifna(VLOOKUP(G1249,Proyectos!$E$1:$N$4,10,0),"")</f>
        <v>#NAME?</v>
      </c>
      <c r="M1248" s="32"/>
      <c r="N1248" s="32"/>
      <c r="O1248" s="31"/>
      <c r="P1248" s="33"/>
      <c r="Q1248" s="33"/>
    </row>
    <row r="1249" spans="1:17" ht="16.5" customHeight="1" x14ac:dyDescent="0.2">
      <c r="A1249" s="49" t="s">
        <v>4108</v>
      </c>
      <c r="B1249" s="26" t="s">
        <v>4109</v>
      </c>
      <c r="C1249" s="26" t="s">
        <v>98</v>
      </c>
      <c r="D1249" s="26" t="s">
        <v>107</v>
      </c>
      <c r="E1249" s="49" t="s">
        <v>108</v>
      </c>
      <c r="F1249" s="28" t="e">
        <f ca="1">_xludf.ifna(VLOOKUP(G1250,Proyectos!$E$1:$H$4,4,0),"")</f>
        <v>#NAME?</v>
      </c>
      <c r="G1249" s="26" t="s">
        <v>5524</v>
      </c>
      <c r="H1249" s="32">
        <v>0.25</v>
      </c>
      <c r="I1249" s="31" t="s">
        <v>18</v>
      </c>
      <c r="J1249" s="32"/>
      <c r="K1249" s="32" t="str">
        <f t="shared" si="4"/>
        <v>Externo</v>
      </c>
      <c r="L1249" s="32" t="e">
        <f ca="1">_xludf.ifna(VLOOKUP(G1250,Proyectos!$E$1:$N$4,10,0),"")</f>
        <v>#NAME?</v>
      </c>
      <c r="M1249" s="32"/>
      <c r="N1249" s="32"/>
      <c r="O1249" s="31"/>
      <c r="P1249" s="33"/>
      <c r="Q1249" s="33"/>
    </row>
    <row r="1250" spans="1:17" ht="16.5" customHeight="1" x14ac:dyDescent="0.2">
      <c r="A1250" s="49" t="s">
        <v>4108</v>
      </c>
      <c r="B1250" s="26" t="s">
        <v>4109</v>
      </c>
      <c r="C1250" s="26" t="s">
        <v>98</v>
      </c>
      <c r="D1250" s="26" t="s">
        <v>107</v>
      </c>
      <c r="E1250" s="49" t="s">
        <v>108</v>
      </c>
      <c r="F1250" s="28" t="e">
        <f ca="1">_xludf.ifna(VLOOKUP(G1251,Proyectos!$E$1:$H$4,4,0),"")</f>
        <v>#NAME?</v>
      </c>
      <c r="G1250" s="26" t="s">
        <v>5329</v>
      </c>
      <c r="H1250" s="32">
        <v>0.5</v>
      </c>
      <c r="I1250" s="31" t="s">
        <v>18</v>
      </c>
      <c r="J1250" s="32"/>
      <c r="K1250" s="32" t="str">
        <f t="shared" si="4"/>
        <v>Externo</v>
      </c>
      <c r="L1250" s="32" t="e">
        <f ca="1">_xludf.ifna(VLOOKUP(G1251,Proyectos!$E$1:$N$4,10,0),"")</f>
        <v>#NAME?</v>
      </c>
      <c r="M1250" s="32"/>
      <c r="N1250" s="32"/>
      <c r="O1250" s="31"/>
      <c r="P1250" s="33"/>
      <c r="Q1250" s="33"/>
    </row>
    <row r="1251" spans="1:17" ht="16.5" customHeight="1" x14ac:dyDescent="0.2">
      <c r="A1251" s="49" t="s">
        <v>4108</v>
      </c>
      <c r="B1251" s="26" t="s">
        <v>4109</v>
      </c>
      <c r="C1251" s="26" t="s">
        <v>98</v>
      </c>
      <c r="D1251" s="26" t="s">
        <v>107</v>
      </c>
      <c r="E1251" s="49" t="s">
        <v>108</v>
      </c>
      <c r="F1251" s="28" t="e">
        <f ca="1">_xludf.ifna(VLOOKUP(G1252,Proyectos!$E$1:$H$4,4,0),"")</f>
        <v>#NAME?</v>
      </c>
      <c r="G1251" s="26" t="s">
        <v>5330</v>
      </c>
      <c r="H1251" s="32">
        <v>0.25</v>
      </c>
      <c r="I1251" s="31" t="s">
        <v>18</v>
      </c>
      <c r="J1251" s="32"/>
      <c r="K1251" s="32" t="str">
        <f t="shared" si="4"/>
        <v>Externo</v>
      </c>
      <c r="L1251" s="32" t="e">
        <f ca="1">_xludf.ifna(VLOOKUP(G1252,Proyectos!$E$1:$N$4,10,0),"")</f>
        <v>#NAME?</v>
      </c>
      <c r="M1251" s="32"/>
      <c r="N1251" s="32"/>
      <c r="O1251" s="31"/>
      <c r="P1251" s="33"/>
      <c r="Q1251" s="33"/>
    </row>
    <row r="1252" spans="1:17" ht="16.5" customHeight="1" x14ac:dyDescent="0.2">
      <c r="A1252" s="49" t="s">
        <v>3955</v>
      </c>
      <c r="B1252" s="26" t="s">
        <v>5875</v>
      </c>
      <c r="C1252" s="26" t="s">
        <v>64</v>
      </c>
      <c r="D1252" s="26" t="s">
        <v>65</v>
      </c>
      <c r="E1252" s="49" t="s">
        <v>87</v>
      </c>
      <c r="F1252" s="28" t="e">
        <f ca="1">_xludf.ifna(VLOOKUP(G1253,Proyectos!$E$1:$H$4,4,0),"")</f>
        <v>#NAME?</v>
      </c>
      <c r="G1252" s="26" t="s">
        <v>5387</v>
      </c>
      <c r="H1252" s="30">
        <v>0.5</v>
      </c>
      <c r="I1252" s="31" t="s">
        <v>25</v>
      </c>
      <c r="J1252" s="32"/>
      <c r="K1252" s="32" t="str">
        <f t="shared" si="4"/>
        <v>Externo</v>
      </c>
      <c r="L1252" s="32" t="e">
        <f ca="1">_xludf.ifna(VLOOKUP(G1253,Proyectos!$E$1:$N$4,10,0),"")</f>
        <v>#NAME?</v>
      </c>
      <c r="M1252" s="32"/>
      <c r="N1252" s="32"/>
      <c r="O1252" s="31"/>
      <c r="P1252" s="33"/>
      <c r="Q1252" s="33"/>
    </row>
    <row r="1253" spans="1:17" ht="16.5" customHeight="1" x14ac:dyDescent="0.2">
      <c r="A1253" s="49" t="s">
        <v>3955</v>
      </c>
      <c r="B1253" s="26" t="s">
        <v>5875</v>
      </c>
      <c r="C1253" s="26" t="s">
        <v>64</v>
      </c>
      <c r="D1253" s="26" t="s">
        <v>65</v>
      </c>
      <c r="E1253" s="49" t="s">
        <v>87</v>
      </c>
      <c r="F1253" s="28" t="e">
        <f ca="1">_xludf.ifna(VLOOKUP(G1254,Proyectos!$E$1:$H$4,4,0),"")</f>
        <v>#NAME?</v>
      </c>
      <c r="G1253" s="26" t="s">
        <v>5597</v>
      </c>
      <c r="H1253" s="30">
        <v>0.5</v>
      </c>
      <c r="I1253" s="31" t="s">
        <v>25</v>
      </c>
      <c r="J1253" s="32"/>
      <c r="K1253" s="32" t="str">
        <f t="shared" si="4"/>
        <v>Externo</v>
      </c>
      <c r="L1253" s="32" t="e">
        <f ca="1">_xludf.ifna(VLOOKUP(G1254,Proyectos!$E$1:$N$4,10,0),"")</f>
        <v>#NAME?</v>
      </c>
      <c r="M1253" s="32"/>
      <c r="N1253" s="31"/>
      <c r="O1253" s="31"/>
      <c r="P1253" s="33"/>
      <c r="Q1253" s="33"/>
    </row>
    <row r="1254" spans="1:17" ht="16.5" customHeight="1" x14ac:dyDescent="0.2">
      <c r="A1254" s="49" t="s">
        <v>4263</v>
      </c>
      <c r="B1254" s="26" t="s">
        <v>4264</v>
      </c>
      <c r="C1254" s="26" t="s">
        <v>98</v>
      </c>
      <c r="D1254" s="26" t="s">
        <v>107</v>
      </c>
      <c r="E1254" s="49" t="s">
        <v>87</v>
      </c>
      <c r="F1254" s="28" t="e">
        <f ca="1">_xludf.ifna(VLOOKUP(G1255,Proyectos!$E$1:$H$4,4,0),"")</f>
        <v>#NAME?</v>
      </c>
      <c r="G1254" s="26" t="s">
        <v>5329</v>
      </c>
      <c r="H1254" s="32">
        <v>1</v>
      </c>
      <c r="I1254" s="31" t="s">
        <v>18</v>
      </c>
      <c r="J1254" s="32"/>
      <c r="K1254" s="32" t="str">
        <f t="shared" si="4"/>
        <v>Externo</v>
      </c>
      <c r="L1254" s="32" t="e">
        <f ca="1">_xludf.ifna(VLOOKUP(G1255,Proyectos!$E$1:$N$4,10,0),"")</f>
        <v>#NAME?</v>
      </c>
      <c r="M1254" s="32"/>
      <c r="N1254" s="32"/>
      <c r="O1254" s="31"/>
      <c r="P1254" s="33"/>
      <c r="Q1254" s="33"/>
    </row>
    <row r="1255" spans="1:17" ht="16.5" customHeight="1" x14ac:dyDescent="0.2">
      <c r="A1255" s="49" t="s">
        <v>4237</v>
      </c>
      <c r="B1255" s="26" t="s">
        <v>4238</v>
      </c>
      <c r="C1255" s="26" t="s">
        <v>98</v>
      </c>
      <c r="D1255" s="26" t="s">
        <v>107</v>
      </c>
      <c r="E1255" s="49" t="s">
        <v>87</v>
      </c>
      <c r="F1255" s="28" t="e">
        <f ca="1">_xludf.ifna(VLOOKUP(G1256,Proyectos!$E$1:$H$4,4,0),"")</f>
        <v>#NAME?</v>
      </c>
      <c r="G1255" s="26" t="s">
        <v>5330</v>
      </c>
      <c r="H1255" s="32">
        <v>0.5</v>
      </c>
      <c r="I1255" s="31" t="s">
        <v>18</v>
      </c>
      <c r="J1255" s="32"/>
      <c r="K1255" s="32" t="str">
        <f t="shared" si="4"/>
        <v>Externo</v>
      </c>
      <c r="L1255" s="32" t="e">
        <f ca="1">_xludf.ifna(VLOOKUP(G1256,Proyectos!$E$1:$N$4,10,0),"")</f>
        <v>#NAME?</v>
      </c>
      <c r="M1255" s="32"/>
      <c r="N1255" s="32"/>
      <c r="O1255" s="31"/>
      <c r="P1255" s="33"/>
      <c r="Q1255" s="33"/>
    </row>
    <row r="1256" spans="1:17" ht="16.5" customHeight="1" x14ac:dyDescent="0.2">
      <c r="A1256" s="49" t="s">
        <v>4237</v>
      </c>
      <c r="B1256" s="26" t="s">
        <v>4238</v>
      </c>
      <c r="C1256" s="26" t="s">
        <v>98</v>
      </c>
      <c r="D1256" s="26" t="s">
        <v>107</v>
      </c>
      <c r="E1256" s="49" t="s">
        <v>87</v>
      </c>
      <c r="F1256" s="28" t="e">
        <f ca="1">_xludf.ifna(VLOOKUP(G1257,Proyectos!$E$1:$H$4,4,0),"")</f>
        <v>#NAME?</v>
      </c>
      <c r="G1256" s="26" t="s">
        <v>5347</v>
      </c>
      <c r="H1256" s="32">
        <v>0.5</v>
      </c>
      <c r="I1256" s="31" t="s">
        <v>18</v>
      </c>
      <c r="J1256" s="32"/>
      <c r="K1256" s="32" t="str">
        <f t="shared" si="4"/>
        <v>Externo</v>
      </c>
      <c r="L1256" s="32" t="e">
        <f ca="1">_xludf.ifna(VLOOKUP(G1257,Proyectos!$E$1:$N$4,10,0),"")</f>
        <v>#NAME?</v>
      </c>
      <c r="M1256" s="32"/>
      <c r="N1256" s="32"/>
      <c r="O1256" s="31"/>
      <c r="P1256" s="33"/>
      <c r="Q1256" s="33"/>
    </row>
    <row r="1257" spans="1:17" ht="16.5" customHeight="1" x14ac:dyDescent="0.2">
      <c r="A1257" s="49" t="s">
        <v>3445</v>
      </c>
      <c r="B1257" s="26" t="s">
        <v>5167</v>
      </c>
      <c r="C1257" s="54" t="s">
        <v>7</v>
      </c>
      <c r="D1257" s="35" t="s">
        <v>30</v>
      </c>
      <c r="E1257" s="56" t="s">
        <v>39</v>
      </c>
      <c r="F1257" s="28" t="e">
        <f ca="1">_xludf.ifna(VLOOKUP(G1258,Proyectos!$E$1:$H$4,4,0),"")</f>
        <v>#NAME?</v>
      </c>
      <c r="G1257" s="35" t="s">
        <v>5153</v>
      </c>
      <c r="H1257" s="30">
        <v>0.6</v>
      </c>
      <c r="I1257" s="31" t="s">
        <v>18</v>
      </c>
      <c r="J1257" s="55"/>
      <c r="K1257" s="32" t="str">
        <f t="shared" si="4"/>
        <v>Interno</v>
      </c>
      <c r="L1257" s="32" t="e">
        <f ca="1">_xludf.ifna(VLOOKUP(G1258,Proyectos!$E$1:$N$4,10,0),"")</f>
        <v>#NAME?</v>
      </c>
      <c r="M1257" s="32"/>
      <c r="N1257" s="31"/>
      <c r="O1257" s="31"/>
      <c r="P1257" s="33"/>
      <c r="Q1257" s="33"/>
    </row>
    <row r="1258" spans="1:17" ht="16.5" customHeight="1" x14ac:dyDescent="0.2">
      <c r="A1258" s="49" t="s">
        <v>3445</v>
      </c>
      <c r="B1258" s="26" t="s">
        <v>5167</v>
      </c>
      <c r="C1258" s="54" t="s">
        <v>7</v>
      </c>
      <c r="D1258" s="35" t="s">
        <v>30</v>
      </c>
      <c r="E1258" s="56" t="s">
        <v>39</v>
      </c>
      <c r="F1258" s="28" t="e">
        <f ca="1">_xludf.ifna(VLOOKUP(G1259,Proyectos!$E$1:$H$4,4,0),"")</f>
        <v>#NAME?</v>
      </c>
      <c r="G1258" s="35" t="s">
        <v>5638</v>
      </c>
      <c r="H1258" s="30">
        <v>0.4</v>
      </c>
      <c r="I1258" s="31" t="s">
        <v>18</v>
      </c>
      <c r="J1258" s="55"/>
      <c r="K1258" s="32" t="str">
        <f t="shared" si="4"/>
        <v>Interno</v>
      </c>
      <c r="L1258" s="32" t="e">
        <f ca="1">_xludf.ifna(VLOOKUP(G1259,Proyectos!$E$1:$N$4,10,0),"")</f>
        <v>#NAME?</v>
      </c>
      <c r="M1258" s="32"/>
      <c r="N1258" s="31"/>
      <c r="O1258" s="31"/>
      <c r="P1258" s="33"/>
      <c r="Q1258" s="33"/>
    </row>
    <row r="1259" spans="1:17" ht="16.5" customHeight="1" x14ac:dyDescent="0.2">
      <c r="A1259" s="56" t="s">
        <v>4996</v>
      </c>
      <c r="B1259" s="26" t="s">
        <v>5398</v>
      </c>
      <c r="C1259" s="26" t="s">
        <v>64</v>
      </c>
      <c r="D1259" s="26" t="s">
        <v>82</v>
      </c>
      <c r="E1259" s="56" t="s">
        <v>126</v>
      </c>
      <c r="F1259" s="28" t="e">
        <f ca="1">_xludf.ifna(VLOOKUP(G1260,Proyectos!$E$1:$H$4,4,0),"")</f>
        <v>#NAME?</v>
      </c>
      <c r="G1259" s="26" t="s">
        <v>5387</v>
      </c>
      <c r="H1259" s="32">
        <v>1</v>
      </c>
      <c r="I1259" s="31" t="s">
        <v>25</v>
      </c>
      <c r="J1259" s="32"/>
      <c r="K1259" s="32" t="str">
        <f t="shared" si="4"/>
        <v>Externo</v>
      </c>
      <c r="L1259" s="32" t="e">
        <f ca="1">_xludf.ifna(VLOOKUP(G1260,Proyectos!$E$1:$N$4,10,0),"")</f>
        <v>#NAME?</v>
      </c>
      <c r="M1259" s="32"/>
      <c r="N1259" s="32"/>
      <c r="O1259" s="31"/>
      <c r="P1259" s="33"/>
      <c r="Q1259" s="33"/>
    </row>
    <row r="1260" spans="1:17" ht="16.5" customHeight="1" x14ac:dyDescent="0.2">
      <c r="A1260" s="56" t="s">
        <v>3972</v>
      </c>
      <c r="B1260" s="26" t="s">
        <v>5516</v>
      </c>
      <c r="C1260" s="26" t="s">
        <v>64</v>
      </c>
      <c r="D1260" s="26" t="s">
        <v>82</v>
      </c>
      <c r="E1260" s="56" t="s">
        <v>126</v>
      </c>
      <c r="F1260" s="28" t="e">
        <f ca="1">_xludf.ifna(VLOOKUP(G1261,Proyectos!$E$1:$H$4,4,0),"")</f>
        <v>#NAME?</v>
      </c>
      <c r="G1260" s="26" t="s">
        <v>5387</v>
      </c>
      <c r="H1260" s="32">
        <v>1</v>
      </c>
      <c r="I1260" s="31" t="s">
        <v>18</v>
      </c>
      <c r="J1260" s="32"/>
      <c r="K1260" s="32" t="str">
        <f t="shared" si="4"/>
        <v>Externo</v>
      </c>
      <c r="L1260" s="32" t="e">
        <f ca="1">_xludf.ifna(VLOOKUP(G1261,Proyectos!$E$1:$N$4,10,0),"")</f>
        <v>#NAME?</v>
      </c>
      <c r="M1260" s="32"/>
      <c r="N1260" s="32"/>
      <c r="O1260" s="31"/>
      <c r="P1260" s="33"/>
      <c r="Q1260" s="33"/>
    </row>
    <row r="1261" spans="1:17" ht="16.5" customHeight="1" x14ac:dyDescent="0.2">
      <c r="A1261" s="49" t="s">
        <v>4292</v>
      </c>
      <c r="B1261" s="26" t="s">
        <v>5876</v>
      </c>
      <c r="C1261" s="26" t="s">
        <v>64</v>
      </c>
      <c r="D1261" s="26" t="s">
        <v>86</v>
      </c>
      <c r="E1261" s="49" t="s">
        <v>87</v>
      </c>
      <c r="F1261" s="28" t="e">
        <f ca="1">_xludf.ifna(VLOOKUP(G1262,Proyectos!$E$1:$H$4,4,0),"")</f>
        <v>#NAME?</v>
      </c>
      <c r="G1261" s="26" t="s">
        <v>5248</v>
      </c>
      <c r="H1261" s="30">
        <v>1</v>
      </c>
      <c r="I1261" s="31" t="s">
        <v>18</v>
      </c>
      <c r="J1261" s="32"/>
      <c r="K1261" s="32" t="str">
        <f t="shared" si="4"/>
        <v>Externo</v>
      </c>
      <c r="L1261" s="32" t="e">
        <f ca="1">_xludf.ifna(VLOOKUP(G1262,Proyectos!$E$1:$N$4,10,0),"")</f>
        <v>#NAME?</v>
      </c>
      <c r="M1261" s="32"/>
      <c r="N1261" s="31"/>
      <c r="O1261" s="31"/>
      <c r="P1261" s="33"/>
      <c r="Q1261" s="33"/>
    </row>
    <row r="1262" spans="1:17" ht="16.5" customHeight="1" x14ac:dyDescent="0.2">
      <c r="A1262" s="94" t="s">
        <v>3601</v>
      </c>
      <c r="B1262" s="26" t="s">
        <v>3602</v>
      </c>
      <c r="C1262" s="26" t="s">
        <v>115</v>
      </c>
      <c r="D1262" s="26" t="s">
        <v>116</v>
      </c>
      <c r="E1262" s="94" t="s">
        <v>39</v>
      </c>
      <c r="F1262" s="28" t="e">
        <f ca="1">_xludf.ifna(VLOOKUP(G1263,Proyectos!$E$1:$H$4,4,0),"")</f>
        <v>#NAME?</v>
      </c>
      <c r="G1262" s="26" t="s">
        <v>5329</v>
      </c>
      <c r="H1262" s="32">
        <v>1</v>
      </c>
      <c r="I1262" s="31" t="s">
        <v>18</v>
      </c>
      <c r="J1262" s="32"/>
      <c r="K1262" s="32" t="str">
        <f t="shared" si="4"/>
        <v>Interno</v>
      </c>
      <c r="L1262" s="32" t="e">
        <f ca="1">_xludf.ifna(VLOOKUP(G1263,Proyectos!$E$1:$N$4,10,0),"")</f>
        <v>#NAME?</v>
      </c>
      <c r="M1262" s="32"/>
      <c r="N1262" s="32"/>
      <c r="O1262" s="31"/>
      <c r="P1262" s="33"/>
      <c r="Q1262" s="33"/>
    </row>
    <row r="1263" spans="1:17" ht="16.5" customHeight="1" x14ac:dyDescent="0.2">
      <c r="A1263" s="94" t="s">
        <v>3362</v>
      </c>
      <c r="B1263" s="26" t="s">
        <v>3363</v>
      </c>
      <c r="C1263" s="54" t="s">
        <v>7</v>
      </c>
      <c r="D1263" s="35" t="s">
        <v>8</v>
      </c>
      <c r="E1263" s="79" t="s">
        <v>39</v>
      </c>
      <c r="F1263" s="28" t="e">
        <f ca="1">_xludf.ifna(VLOOKUP(G1264,Proyectos!$E$1:$H$4,4,0),"")</f>
        <v>#NAME?</v>
      </c>
      <c r="G1263" s="35" t="s">
        <v>5676</v>
      </c>
      <c r="H1263" s="30">
        <v>0.1</v>
      </c>
      <c r="I1263" s="31" t="s">
        <v>18</v>
      </c>
      <c r="J1263" s="55"/>
      <c r="K1263" s="32" t="str">
        <f t="shared" si="4"/>
        <v>Interno</v>
      </c>
      <c r="L1263" s="32" t="e">
        <f ca="1">_xludf.ifna(VLOOKUP(G1264,Proyectos!$E$1:$N$4,10,0),"")</f>
        <v>#NAME?</v>
      </c>
      <c r="M1263" s="32"/>
      <c r="N1263" s="31"/>
      <c r="O1263" s="31"/>
      <c r="P1263" s="33"/>
      <c r="Q1263" s="33"/>
    </row>
    <row r="1264" spans="1:17" ht="16.5" customHeight="1" x14ac:dyDescent="0.2">
      <c r="A1264" s="94" t="s">
        <v>3362</v>
      </c>
      <c r="B1264" s="26" t="s">
        <v>3363</v>
      </c>
      <c r="C1264" s="54" t="s">
        <v>7</v>
      </c>
      <c r="D1264" s="35" t="s">
        <v>8</v>
      </c>
      <c r="E1264" s="79" t="s">
        <v>39</v>
      </c>
      <c r="F1264" s="28" t="e">
        <f ca="1">_xludf.ifna(VLOOKUP(G1265,Proyectos!$E$1:$H$4,4,0),"")</f>
        <v>#NAME?</v>
      </c>
      <c r="G1264" s="35" t="s">
        <v>5187</v>
      </c>
      <c r="H1264" s="30">
        <v>0.3</v>
      </c>
      <c r="I1264" s="31" t="s">
        <v>18</v>
      </c>
      <c r="J1264" s="55"/>
      <c r="K1264" s="32" t="str">
        <f t="shared" si="4"/>
        <v>Interno</v>
      </c>
      <c r="L1264" s="32" t="e">
        <f ca="1">_xludf.ifna(VLOOKUP(G1265,Proyectos!$E$1:$N$4,10,0),"")</f>
        <v>#NAME?</v>
      </c>
      <c r="M1264" s="32"/>
      <c r="N1264" s="31"/>
      <c r="O1264" s="31"/>
      <c r="P1264" s="33"/>
      <c r="Q1264" s="33"/>
    </row>
    <row r="1265" spans="1:17" ht="16.5" customHeight="1" x14ac:dyDescent="0.2">
      <c r="A1265" s="94" t="s">
        <v>3362</v>
      </c>
      <c r="B1265" s="26" t="s">
        <v>3363</v>
      </c>
      <c r="C1265" s="54" t="s">
        <v>7</v>
      </c>
      <c r="D1265" s="35" t="s">
        <v>8</v>
      </c>
      <c r="E1265" s="79" t="s">
        <v>39</v>
      </c>
      <c r="F1265" s="28" t="e">
        <f ca="1">_xludf.ifna(VLOOKUP(G1266,Proyectos!$E$1:$H$4,4,0),"")</f>
        <v>#NAME?</v>
      </c>
      <c r="G1265" s="35" t="s">
        <v>5189</v>
      </c>
      <c r="H1265" s="30">
        <v>0.3</v>
      </c>
      <c r="I1265" s="31" t="s">
        <v>18</v>
      </c>
      <c r="J1265" s="55"/>
      <c r="K1265" s="32" t="str">
        <f t="shared" si="4"/>
        <v>Interno</v>
      </c>
      <c r="L1265" s="32" t="e">
        <f ca="1">_xludf.ifna(VLOOKUP(G1266,Proyectos!$E$1:$N$4,10,0),"")</f>
        <v>#NAME?</v>
      </c>
      <c r="M1265" s="32"/>
      <c r="N1265" s="31"/>
      <c r="O1265" s="31"/>
      <c r="P1265" s="33"/>
      <c r="Q1265" s="33"/>
    </row>
    <row r="1266" spans="1:17" ht="16.5" customHeight="1" x14ac:dyDescent="0.2">
      <c r="A1266" s="49" t="s">
        <v>3362</v>
      </c>
      <c r="B1266" s="26" t="s">
        <v>3363</v>
      </c>
      <c r="C1266" s="54" t="s">
        <v>7</v>
      </c>
      <c r="D1266" s="35" t="s">
        <v>8</v>
      </c>
      <c r="E1266" s="56" t="s">
        <v>39</v>
      </c>
      <c r="F1266" s="28" t="e">
        <f ca="1">_xludf.ifna(VLOOKUP(G1267,Proyectos!$E$1:$H$4,4,0),"")</f>
        <v>#NAME?</v>
      </c>
      <c r="G1266" s="35" t="s">
        <v>5190</v>
      </c>
      <c r="H1266" s="30">
        <v>0.3</v>
      </c>
      <c r="I1266" s="31" t="s">
        <v>18</v>
      </c>
      <c r="J1266" s="55"/>
      <c r="K1266" s="32" t="str">
        <f t="shared" si="4"/>
        <v>Interno</v>
      </c>
      <c r="L1266" s="32" t="e">
        <f ca="1">_xludf.ifna(VLOOKUP(G1267,Proyectos!$E$1:$N$4,10,0),"")</f>
        <v>#NAME?</v>
      </c>
      <c r="M1266" s="32"/>
      <c r="N1266" s="31"/>
      <c r="O1266" s="31"/>
      <c r="P1266" s="33"/>
      <c r="Q1266" s="33"/>
    </row>
    <row r="1267" spans="1:17" ht="16.5" customHeight="1" x14ac:dyDescent="0.2">
      <c r="A1267" s="49" t="s">
        <v>3642</v>
      </c>
      <c r="B1267" s="26" t="s">
        <v>5274</v>
      </c>
      <c r="C1267" s="26" t="s">
        <v>7</v>
      </c>
      <c r="D1267" s="26" t="s">
        <v>16</v>
      </c>
      <c r="E1267" s="49" t="s">
        <v>39</v>
      </c>
      <c r="F1267" s="28" t="e">
        <f ca="1">_xludf.ifna(VLOOKUP(G1268,Proyectos!$E$1:$H$4,4,0),"")</f>
        <v>#NAME?</v>
      </c>
      <c r="G1267" s="26" t="s">
        <v>5266</v>
      </c>
      <c r="H1267" s="65">
        <v>0.8</v>
      </c>
      <c r="I1267" s="31" t="s">
        <v>18</v>
      </c>
      <c r="J1267" s="32"/>
      <c r="K1267" s="32" t="str">
        <f t="shared" si="4"/>
        <v>Interno</v>
      </c>
      <c r="L1267" s="32" t="e">
        <f ca="1">_xludf.ifna(VLOOKUP(G1268,Proyectos!$E$1:$N$4,10,0),"")</f>
        <v>#NAME?</v>
      </c>
      <c r="M1267" s="32"/>
      <c r="N1267" s="32"/>
      <c r="O1267" s="31"/>
      <c r="P1267" s="33"/>
      <c r="Q1267" s="33"/>
    </row>
    <row r="1268" spans="1:17" ht="16.5" customHeight="1" x14ac:dyDescent="0.2">
      <c r="A1268" s="49" t="s">
        <v>3642</v>
      </c>
      <c r="B1268" s="26" t="s">
        <v>5274</v>
      </c>
      <c r="C1268" s="26" t="s">
        <v>7</v>
      </c>
      <c r="D1268" s="26" t="s">
        <v>16</v>
      </c>
      <c r="E1268" s="49" t="s">
        <v>39</v>
      </c>
      <c r="F1268" s="28" t="e">
        <f ca="1">_xludf.ifna(VLOOKUP(G1269,Proyectos!$E$1:$H$4,4,0),"")</f>
        <v>#NAME?</v>
      </c>
      <c r="G1268" s="26" t="s">
        <v>5269</v>
      </c>
      <c r="H1268" s="65">
        <v>0.2</v>
      </c>
      <c r="I1268" s="31" t="s">
        <v>18</v>
      </c>
      <c r="J1268" s="32"/>
      <c r="K1268" s="32" t="str">
        <f t="shared" si="4"/>
        <v>Interno</v>
      </c>
      <c r="L1268" s="32" t="e">
        <f ca="1">_xludf.ifna(VLOOKUP(G1269,Proyectos!$E$1:$N$4,10,0),"")</f>
        <v>#NAME?</v>
      </c>
      <c r="M1268" s="32"/>
      <c r="N1268" s="32"/>
      <c r="O1268" s="31"/>
      <c r="P1268" s="33"/>
      <c r="Q1268" s="33"/>
    </row>
    <row r="1269" spans="1:17" ht="16.5" customHeight="1" x14ac:dyDescent="0.2">
      <c r="A1269" s="49" t="s">
        <v>3294</v>
      </c>
      <c r="B1269" s="26" t="s">
        <v>3295</v>
      </c>
      <c r="C1269" s="26" t="s">
        <v>7</v>
      </c>
      <c r="D1269" s="26" t="s">
        <v>16</v>
      </c>
      <c r="E1269" s="49" t="s">
        <v>39</v>
      </c>
      <c r="F1269" s="28" t="e">
        <f ca="1">_xludf.ifna(VLOOKUP(G1270,Proyectos!$E$1:$H$4,4,0),"")</f>
        <v>#NAME?</v>
      </c>
      <c r="G1269" s="26" t="s">
        <v>5117</v>
      </c>
      <c r="H1269" s="65">
        <v>1</v>
      </c>
      <c r="I1269" s="31" t="s">
        <v>18</v>
      </c>
      <c r="J1269" s="32"/>
      <c r="K1269" s="32" t="str">
        <f t="shared" si="4"/>
        <v>Interno</v>
      </c>
      <c r="L1269" s="32" t="e">
        <f ca="1">_xludf.ifna(VLOOKUP(G1270,Proyectos!$E$1:$N$4,10,0),"")</f>
        <v>#NAME?</v>
      </c>
      <c r="M1269" s="32"/>
      <c r="N1269" s="32"/>
      <c r="O1269" s="31"/>
      <c r="P1269" s="33"/>
      <c r="Q1269" s="33"/>
    </row>
    <row r="1270" spans="1:17" ht="16.5" customHeight="1" x14ac:dyDescent="0.25">
      <c r="A1270" s="49" t="s">
        <v>4495</v>
      </c>
      <c r="B1270" s="107" t="s">
        <v>4496</v>
      </c>
      <c r="C1270" s="26" t="s">
        <v>98</v>
      </c>
      <c r="D1270" s="26" t="s">
        <v>99</v>
      </c>
      <c r="E1270" s="49" t="s">
        <v>87</v>
      </c>
      <c r="F1270" s="28" t="e">
        <f ca="1">_xludf.ifna(VLOOKUP(G1271,Proyectos!$E$1:$H$4,4,0),"")</f>
        <v>#NAME?</v>
      </c>
      <c r="G1270" s="26" t="s">
        <v>5125</v>
      </c>
      <c r="H1270" s="32">
        <v>0.5</v>
      </c>
      <c r="I1270" s="31" t="s">
        <v>25</v>
      </c>
      <c r="J1270" s="32"/>
      <c r="K1270" s="32" t="str">
        <f t="shared" si="4"/>
        <v>Externo</v>
      </c>
      <c r="L1270" s="32" t="e">
        <f ca="1">_xludf.ifna(VLOOKUP(G1271,Proyectos!$E$1:$N$4,10,0),"")</f>
        <v>#NAME?</v>
      </c>
      <c r="M1270" s="32"/>
      <c r="N1270" s="32"/>
      <c r="O1270" s="31"/>
      <c r="P1270" s="33"/>
      <c r="Q1270" s="33"/>
    </row>
    <row r="1271" spans="1:17" ht="16.5" customHeight="1" x14ac:dyDescent="0.25">
      <c r="A1271" s="49" t="s">
        <v>4495</v>
      </c>
      <c r="B1271" s="107" t="s">
        <v>4496</v>
      </c>
      <c r="C1271" s="26" t="s">
        <v>98</v>
      </c>
      <c r="D1271" s="26" t="s">
        <v>99</v>
      </c>
      <c r="E1271" s="49" t="s">
        <v>87</v>
      </c>
      <c r="F1271" s="28" t="e">
        <f ca="1">_xludf.ifna(VLOOKUP(G1272,Proyectos!$E$1:$H$4,4,0),"")</f>
        <v>#NAME?</v>
      </c>
      <c r="G1271" s="26" t="s">
        <v>5126</v>
      </c>
      <c r="H1271" s="32">
        <v>0.5</v>
      </c>
      <c r="I1271" s="31" t="s">
        <v>25</v>
      </c>
      <c r="J1271" s="32"/>
      <c r="K1271" s="32" t="str">
        <f t="shared" si="4"/>
        <v>Externo</v>
      </c>
      <c r="L1271" s="32" t="e">
        <f ca="1">_xludf.ifna(VLOOKUP(G1272,Proyectos!$E$1:$N$4,10,0),"")</f>
        <v>#NAME?</v>
      </c>
      <c r="M1271" s="32"/>
      <c r="N1271" s="32"/>
      <c r="O1271" s="31"/>
      <c r="P1271" s="33"/>
      <c r="Q1271" s="33"/>
    </row>
    <row r="1272" spans="1:17" ht="16.5" customHeight="1" x14ac:dyDescent="0.2">
      <c r="A1272" s="49" t="s">
        <v>3313</v>
      </c>
      <c r="B1272" s="26" t="s">
        <v>3314</v>
      </c>
      <c r="C1272" s="26" t="s">
        <v>115</v>
      </c>
      <c r="D1272" s="26" t="s">
        <v>122</v>
      </c>
      <c r="E1272" s="49" t="s">
        <v>39</v>
      </c>
      <c r="F1272" s="28" t="e">
        <f ca="1">_xludf.ifna(VLOOKUP(G1273,Proyectos!$E$1:$H$4,4,0),"")</f>
        <v>#NAME?</v>
      </c>
      <c r="G1272" s="26" t="s">
        <v>5417</v>
      </c>
      <c r="H1272" s="32">
        <v>0.05</v>
      </c>
      <c r="I1272" s="31" t="s">
        <v>11</v>
      </c>
      <c r="J1272" s="32"/>
      <c r="K1272" s="32" t="str">
        <f t="shared" si="4"/>
        <v>Interno</v>
      </c>
      <c r="L1272" s="32" t="e">
        <f ca="1">_xludf.ifna(VLOOKUP(G1273,Proyectos!$E$1:$N$4,10,0),"")</f>
        <v>#NAME?</v>
      </c>
      <c r="M1272" s="32"/>
      <c r="N1272" s="31"/>
      <c r="O1272" s="31"/>
      <c r="P1272" s="33"/>
      <c r="Q1272" s="33"/>
    </row>
    <row r="1273" spans="1:17" ht="16.5" customHeight="1" x14ac:dyDescent="0.2">
      <c r="A1273" s="49" t="s">
        <v>3313</v>
      </c>
      <c r="B1273" s="26" t="s">
        <v>3314</v>
      </c>
      <c r="C1273" s="26" t="s">
        <v>115</v>
      </c>
      <c r="D1273" s="26" t="s">
        <v>122</v>
      </c>
      <c r="E1273" s="49" t="s">
        <v>39</v>
      </c>
      <c r="F1273" s="28" t="e">
        <f ca="1">_xludf.ifna(VLOOKUP(G1274,Proyectos!$E$1:$H$4,4,0),"")</f>
        <v>#NAME?</v>
      </c>
      <c r="G1273" s="26" t="s">
        <v>5430</v>
      </c>
      <c r="H1273" s="32">
        <v>0.3</v>
      </c>
      <c r="I1273" s="31" t="s">
        <v>11</v>
      </c>
      <c r="J1273" s="32"/>
      <c r="K1273" s="32" t="str">
        <f t="shared" si="4"/>
        <v>Interno</v>
      </c>
      <c r="L1273" s="32" t="e">
        <f ca="1">_xludf.ifna(VLOOKUP(G1274,Proyectos!$E$1:$N$4,10,0),"")</f>
        <v>#NAME?</v>
      </c>
      <c r="M1273" s="32"/>
      <c r="N1273" s="31"/>
      <c r="O1273" s="31"/>
      <c r="P1273" s="33"/>
      <c r="Q1273" s="33"/>
    </row>
    <row r="1274" spans="1:17" ht="16.5" customHeight="1" x14ac:dyDescent="0.2">
      <c r="A1274" s="49" t="s">
        <v>3313</v>
      </c>
      <c r="B1274" s="26" t="s">
        <v>3314</v>
      </c>
      <c r="C1274" s="26" t="s">
        <v>115</v>
      </c>
      <c r="D1274" s="26" t="s">
        <v>122</v>
      </c>
      <c r="E1274" s="49" t="s">
        <v>39</v>
      </c>
      <c r="F1274" s="28" t="e">
        <f ca="1">_xludf.ifna(VLOOKUP(G1275,Proyectos!$E$1:$H$4,4,0),"")</f>
        <v>#NAME?</v>
      </c>
      <c r="G1274" s="26" t="s">
        <v>5426</v>
      </c>
      <c r="H1274" s="32">
        <v>0.35</v>
      </c>
      <c r="I1274" s="31" t="s">
        <v>11</v>
      </c>
      <c r="J1274" s="32"/>
      <c r="K1274" s="32" t="str">
        <f t="shared" si="4"/>
        <v>Interno</v>
      </c>
      <c r="L1274" s="32" t="e">
        <f ca="1">_xludf.ifna(VLOOKUP(G1275,Proyectos!$E$1:$N$4,10,0),"")</f>
        <v>#NAME?</v>
      </c>
      <c r="M1274" s="32"/>
      <c r="N1274" s="31"/>
      <c r="O1274" s="31"/>
      <c r="P1274" s="33"/>
      <c r="Q1274" s="33"/>
    </row>
    <row r="1275" spans="1:17" ht="16.5" customHeight="1" x14ac:dyDescent="0.2">
      <c r="A1275" s="49" t="s">
        <v>3313</v>
      </c>
      <c r="B1275" s="26" t="s">
        <v>3314</v>
      </c>
      <c r="C1275" s="26" t="s">
        <v>115</v>
      </c>
      <c r="D1275" s="26" t="s">
        <v>122</v>
      </c>
      <c r="E1275" s="49" t="s">
        <v>39</v>
      </c>
      <c r="F1275" s="28" t="e">
        <f ca="1">_xludf.ifna(VLOOKUP(G1276,Proyectos!$E$1:$H$4,4,0),"")</f>
        <v>#NAME?</v>
      </c>
      <c r="G1275" s="26" t="s">
        <v>5422</v>
      </c>
      <c r="H1275" s="32">
        <v>0.05</v>
      </c>
      <c r="I1275" s="31" t="s">
        <v>11</v>
      </c>
      <c r="J1275" s="32"/>
      <c r="K1275" s="32" t="str">
        <f t="shared" si="4"/>
        <v>Interno</v>
      </c>
      <c r="L1275" s="32" t="e">
        <f ca="1">_xludf.ifna(VLOOKUP(G1276,Proyectos!$E$1:$N$4,10,0),"")</f>
        <v>#NAME?</v>
      </c>
      <c r="M1275" s="32"/>
      <c r="N1275" s="31"/>
      <c r="O1275" s="31"/>
      <c r="P1275" s="33"/>
      <c r="Q1275" s="33"/>
    </row>
    <row r="1276" spans="1:17" ht="16.5" customHeight="1" x14ac:dyDescent="0.2">
      <c r="A1276" s="49" t="s">
        <v>3313</v>
      </c>
      <c r="B1276" s="26" t="s">
        <v>3314</v>
      </c>
      <c r="C1276" s="26" t="s">
        <v>115</v>
      </c>
      <c r="D1276" s="26" t="s">
        <v>122</v>
      </c>
      <c r="E1276" s="49" t="s">
        <v>39</v>
      </c>
      <c r="F1276" s="28" t="e">
        <f ca="1">_xludf.ifna(VLOOKUP(G1277,Proyectos!$E$1:$H$4,4,0),"")</f>
        <v>#NAME?</v>
      </c>
      <c r="G1276" s="26" t="s">
        <v>5401</v>
      </c>
      <c r="H1276" s="32">
        <v>0.05</v>
      </c>
      <c r="I1276" s="31" t="s">
        <v>11</v>
      </c>
      <c r="J1276" s="32"/>
      <c r="K1276" s="32" t="str">
        <f t="shared" si="4"/>
        <v>Interno</v>
      </c>
      <c r="L1276" s="32" t="e">
        <f ca="1">_xludf.ifna(VLOOKUP(G1277,Proyectos!$E$1:$N$4,10,0),"")</f>
        <v>#NAME?</v>
      </c>
      <c r="M1276" s="32"/>
      <c r="N1276" s="32"/>
      <c r="O1276" s="31"/>
      <c r="P1276" s="33"/>
      <c r="Q1276" s="33"/>
    </row>
    <row r="1277" spans="1:17" ht="16.5" customHeight="1" x14ac:dyDescent="0.2">
      <c r="A1277" s="49" t="s">
        <v>3313</v>
      </c>
      <c r="B1277" s="26" t="s">
        <v>3314</v>
      </c>
      <c r="C1277" s="26" t="s">
        <v>115</v>
      </c>
      <c r="D1277" s="26" t="s">
        <v>122</v>
      </c>
      <c r="E1277" s="49" t="s">
        <v>39</v>
      </c>
      <c r="F1277" s="28" t="e">
        <f ca="1">_xludf.ifna(VLOOKUP(G1278,Proyectos!$E$1:$H$4,4,0),"")</f>
        <v>#NAME?</v>
      </c>
      <c r="G1277" s="26" t="s">
        <v>5420</v>
      </c>
      <c r="H1277" s="32">
        <v>0.1</v>
      </c>
      <c r="I1277" s="31" t="s">
        <v>11</v>
      </c>
      <c r="J1277" s="32"/>
      <c r="K1277" s="32" t="str">
        <f t="shared" ref="K1277:K1478" si="5">IF(E1277="BBVA","Interno","Externo")</f>
        <v>Interno</v>
      </c>
      <c r="L1277" s="32" t="e">
        <f ca="1">_xludf.ifna(VLOOKUP(G1278,Proyectos!$E$1:$N$4,10,0),"")</f>
        <v>#NAME?</v>
      </c>
      <c r="M1277" s="32"/>
      <c r="N1277" s="31"/>
      <c r="O1277" s="31"/>
      <c r="P1277" s="33"/>
      <c r="Q1277" s="33"/>
    </row>
    <row r="1278" spans="1:17" ht="16.5" customHeight="1" x14ac:dyDescent="0.2">
      <c r="A1278" s="49" t="s">
        <v>3313</v>
      </c>
      <c r="B1278" s="26" t="s">
        <v>3314</v>
      </c>
      <c r="C1278" s="26" t="s">
        <v>115</v>
      </c>
      <c r="D1278" s="26" t="s">
        <v>122</v>
      </c>
      <c r="E1278" s="49" t="s">
        <v>39</v>
      </c>
      <c r="F1278" s="28" t="e">
        <f ca="1">_xludf.ifna(VLOOKUP(G1279,Proyectos!$E$1:$H$4,4,0),"")</f>
        <v>#NAME?</v>
      </c>
      <c r="G1278" s="26" t="s">
        <v>5597</v>
      </c>
      <c r="H1278" s="32">
        <v>0.1</v>
      </c>
      <c r="I1278" s="31" t="s">
        <v>11</v>
      </c>
      <c r="J1278" s="32"/>
      <c r="K1278" s="32" t="str">
        <f t="shared" si="5"/>
        <v>Interno</v>
      </c>
      <c r="L1278" s="32" t="e">
        <f ca="1">_xludf.ifna(VLOOKUP(G1279,Proyectos!$E$1:$N$4,10,0),"")</f>
        <v>#NAME?</v>
      </c>
      <c r="M1278" s="32"/>
      <c r="N1278" s="31"/>
      <c r="O1278" s="31"/>
      <c r="P1278" s="33"/>
      <c r="Q1278" s="33"/>
    </row>
    <row r="1279" spans="1:17" ht="16.5" customHeight="1" x14ac:dyDescent="0.2">
      <c r="A1279" s="49" t="s">
        <v>3836</v>
      </c>
      <c r="B1279" s="26" t="s">
        <v>5275</v>
      </c>
      <c r="C1279" s="26" t="s">
        <v>7</v>
      </c>
      <c r="D1279" s="26" t="s">
        <v>16</v>
      </c>
      <c r="E1279" s="49" t="s">
        <v>39</v>
      </c>
      <c r="F1279" s="28" t="e">
        <f ca="1">_xludf.ifna(VLOOKUP(G1280,Proyectos!$E$1:$H$4,4,0),"")</f>
        <v>#NAME?</v>
      </c>
      <c r="G1279" s="26" t="s">
        <v>5239</v>
      </c>
      <c r="H1279" s="65">
        <v>0.4</v>
      </c>
      <c r="I1279" s="31" t="s">
        <v>18</v>
      </c>
      <c r="J1279" s="32"/>
      <c r="K1279" s="32" t="str">
        <f t="shared" si="5"/>
        <v>Interno</v>
      </c>
      <c r="L1279" s="32" t="e">
        <f ca="1">_xludf.ifna(VLOOKUP(G1280,Proyectos!$E$1:$N$4,10,0),"")</f>
        <v>#NAME?</v>
      </c>
      <c r="M1279" s="32"/>
      <c r="N1279" s="31"/>
      <c r="O1279" s="31"/>
      <c r="P1279" s="33"/>
      <c r="Q1279" s="33"/>
    </row>
    <row r="1280" spans="1:17" ht="16.5" customHeight="1" x14ac:dyDescent="0.2">
      <c r="A1280" s="49" t="s">
        <v>3836</v>
      </c>
      <c r="B1280" s="26" t="s">
        <v>5275</v>
      </c>
      <c r="C1280" s="26" t="s">
        <v>7</v>
      </c>
      <c r="D1280" s="26" t="s">
        <v>16</v>
      </c>
      <c r="E1280" s="49" t="s">
        <v>39</v>
      </c>
      <c r="F1280" s="28" t="e">
        <f ca="1">_xludf.ifna(VLOOKUP(G1281,Proyectos!$E$1:$H$4,4,0),"")</f>
        <v>#NAME?</v>
      </c>
      <c r="G1280" s="26" t="s">
        <v>5269</v>
      </c>
      <c r="H1280" s="65">
        <v>0.6</v>
      </c>
      <c r="I1280" s="31" t="s">
        <v>18</v>
      </c>
      <c r="J1280" s="32"/>
      <c r="K1280" s="32" t="str">
        <f t="shared" si="5"/>
        <v>Interno</v>
      </c>
      <c r="L1280" s="32" t="e">
        <f ca="1">_xludf.ifna(VLOOKUP(G1281,Proyectos!$E$1:$N$4,10,0),"")</f>
        <v>#NAME?</v>
      </c>
      <c r="M1280" s="32"/>
      <c r="N1280" s="32"/>
      <c r="O1280" s="31"/>
      <c r="P1280" s="33"/>
      <c r="Q1280" s="33"/>
    </row>
    <row r="1281" spans="1:17" ht="16.5" customHeight="1" x14ac:dyDescent="0.2">
      <c r="A1281" s="49" t="s">
        <v>3731</v>
      </c>
      <c r="B1281" s="26" t="s">
        <v>3732</v>
      </c>
      <c r="C1281" s="26" t="s">
        <v>115</v>
      </c>
      <c r="D1281" s="26" t="s">
        <v>122</v>
      </c>
      <c r="E1281" s="49" t="s">
        <v>39</v>
      </c>
      <c r="F1281" s="28" t="e">
        <f ca="1">_xludf.ifna(VLOOKUP(G1282,Proyectos!$E$1:$H$4,4,0),"")</f>
        <v>#NAME?</v>
      </c>
      <c r="G1281" s="26" t="s">
        <v>5597</v>
      </c>
      <c r="H1281" s="32">
        <v>0.6</v>
      </c>
      <c r="I1281" s="31" t="s">
        <v>18</v>
      </c>
      <c r="J1281" s="32"/>
      <c r="K1281" s="32" t="str">
        <f t="shared" si="5"/>
        <v>Interno</v>
      </c>
      <c r="L1281" s="32" t="e">
        <f ca="1">_xludf.ifna(VLOOKUP(G1282,Proyectos!$E$1:$N$4,10,0),"")</f>
        <v>#NAME?</v>
      </c>
      <c r="M1281" s="32"/>
      <c r="N1281" s="31"/>
      <c r="O1281" s="31"/>
      <c r="P1281" s="33"/>
      <c r="Q1281" s="33"/>
    </row>
    <row r="1282" spans="1:17" ht="16.5" customHeight="1" x14ac:dyDescent="0.2">
      <c r="A1282" s="49" t="s">
        <v>3731</v>
      </c>
      <c r="B1282" s="26" t="s">
        <v>3732</v>
      </c>
      <c r="C1282" s="26" t="s">
        <v>115</v>
      </c>
      <c r="D1282" s="26" t="s">
        <v>122</v>
      </c>
      <c r="E1282" s="49" t="s">
        <v>39</v>
      </c>
      <c r="F1282" s="28" t="e">
        <f ca="1">_xludf.ifna(VLOOKUP(G1283,Proyectos!$E$1:$H$4,4,0),"")</f>
        <v>#NAME?</v>
      </c>
      <c r="G1282" s="26" t="s">
        <v>5431</v>
      </c>
      <c r="H1282" s="32">
        <v>0.4</v>
      </c>
      <c r="I1282" s="31" t="s">
        <v>18</v>
      </c>
      <c r="J1282" s="32"/>
      <c r="K1282" s="32" t="str">
        <f t="shared" si="5"/>
        <v>Interno</v>
      </c>
      <c r="L1282" s="32" t="e">
        <f ca="1">_xludf.ifna(VLOOKUP(G1283,Proyectos!$E$1:$N$4,10,0),"")</f>
        <v>#NAME?</v>
      </c>
      <c r="M1282" s="32"/>
      <c r="N1282" s="31"/>
      <c r="O1282" s="31"/>
      <c r="P1282" s="33"/>
      <c r="Q1282" s="33"/>
    </row>
    <row r="1283" spans="1:17" ht="16.5" customHeight="1" x14ac:dyDescent="0.2">
      <c r="A1283" s="49" t="s">
        <v>3918</v>
      </c>
      <c r="B1283" s="26" t="s">
        <v>3919</v>
      </c>
      <c r="C1283" s="26" t="s">
        <v>98</v>
      </c>
      <c r="D1283" s="26" t="s">
        <v>102</v>
      </c>
      <c r="E1283" s="49" t="s">
        <v>114</v>
      </c>
      <c r="F1283" s="28" t="e">
        <f ca="1">_xludf.ifna(VLOOKUP(G1284,Proyectos!$E$1:$H$4,4,0),"")</f>
        <v>#NAME?</v>
      </c>
      <c r="G1283" s="26" t="s">
        <v>5111</v>
      </c>
      <c r="H1283" s="32">
        <v>0.25</v>
      </c>
      <c r="I1283" s="31" t="s">
        <v>25</v>
      </c>
      <c r="J1283" s="32"/>
      <c r="K1283" s="32" t="str">
        <f t="shared" si="5"/>
        <v>Externo</v>
      </c>
      <c r="L1283" s="32" t="e">
        <f ca="1">_xludf.ifna(VLOOKUP(G1284,Proyectos!$E$1:$N$4,10,0),"")</f>
        <v>#NAME?</v>
      </c>
      <c r="M1283" s="32"/>
      <c r="N1283" s="32"/>
      <c r="O1283" s="31"/>
      <c r="P1283" s="33"/>
      <c r="Q1283" s="33"/>
    </row>
    <row r="1284" spans="1:17" ht="16.5" customHeight="1" x14ac:dyDescent="0.2">
      <c r="A1284" s="49" t="s">
        <v>3918</v>
      </c>
      <c r="B1284" s="26" t="s">
        <v>3919</v>
      </c>
      <c r="C1284" s="26" t="s">
        <v>98</v>
      </c>
      <c r="D1284" s="26" t="s">
        <v>102</v>
      </c>
      <c r="E1284" s="49" t="s">
        <v>114</v>
      </c>
      <c r="F1284" s="28" t="e">
        <f ca="1">_xludf.ifna(VLOOKUP(G1285,Proyectos!$E$1:$H$4,4,0),"")</f>
        <v>#NAME?</v>
      </c>
      <c r="G1284" s="27" t="s">
        <v>5112</v>
      </c>
      <c r="H1284" s="32">
        <v>0.25</v>
      </c>
      <c r="I1284" s="31" t="s">
        <v>25</v>
      </c>
      <c r="J1284" s="32"/>
      <c r="K1284" s="32" t="str">
        <f t="shared" si="5"/>
        <v>Externo</v>
      </c>
      <c r="L1284" s="32" t="e">
        <f ca="1">_xludf.ifna(VLOOKUP(G1285,Proyectos!$E$1:$N$4,10,0),"")</f>
        <v>#NAME?</v>
      </c>
      <c r="M1284" s="32"/>
      <c r="N1284" s="32"/>
      <c r="O1284" s="31"/>
      <c r="P1284" s="33"/>
      <c r="Q1284" s="33"/>
    </row>
    <row r="1285" spans="1:17" ht="16.5" customHeight="1" x14ac:dyDescent="0.2">
      <c r="A1285" s="49" t="s">
        <v>3918</v>
      </c>
      <c r="B1285" s="26" t="s">
        <v>3919</v>
      </c>
      <c r="C1285" s="26" t="s">
        <v>98</v>
      </c>
      <c r="D1285" s="26" t="s">
        <v>105</v>
      </c>
      <c r="E1285" s="49" t="s">
        <v>114</v>
      </c>
      <c r="F1285" s="28" t="e">
        <f ca="1">_xludf.ifna(VLOOKUP(G1286,Proyectos!$E$1:$H$4,4,0),"")</f>
        <v>#NAME?</v>
      </c>
      <c r="G1285" s="26" t="s">
        <v>5148</v>
      </c>
      <c r="H1285" s="32">
        <v>0.1</v>
      </c>
      <c r="I1285" s="31" t="s">
        <v>25</v>
      </c>
      <c r="J1285" s="32"/>
      <c r="K1285" s="32" t="str">
        <f t="shared" si="5"/>
        <v>Externo</v>
      </c>
      <c r="L1285" s="32" t="e">
        <f ca="1">_xludf.ifna(VLOOKUP(G1286,Proyectos!$E$1:$N$4,10,0),"")</f>
        <v>#NAME?</v>
      </c>
      <c r="M1285" s="32"/>
      <c r="N1285" s="32"/>
      <c r="O1285" s="31"/>
      <c r="P1285" s="33"/>
      <c r="Q1285" s="33"/>
    </row>
    <row r="1286" spans="1:17" ht="16.5" customHeight="1" x14ac:dyDescent="0.2">
      <c r="A1286" s="49" t="s">
        <v>3918</v>
      </c>
      <c r="B1286" s="26" t="s">
        <v>3919</v>
      </c>
      <c r="C1286" s="26" t="s">
        <v>98</v>
      </c>
      <c r="D1286" s="26" t="s">
        <v>105</v>
      </c>
      <c r="E1286" s="49" t="s">
        <v>114</v>
      </c>
      <c r="F1286" s="28" t="e">
        <f ca="1">_xludf.ifna(VLOOKUP(G1287,Proyectos!$E$1:$H$4,4,0),"")</f>
        <v>#NAME?</v>
      </c>
      <c r="G1286" s="26" t="s">
        <v>5145</v>
      </c>
      <c r="H1286" s="32">
        <v>0.15</v>
      </c>
      <c r="I1286" s="31" t="s">
        <v>25</v>
      </c>
      <c r="J1286" s="32"/>
      <c r="K1286" s="32" t="str">
        <f t="shared" si="5"/>
        <v>Externo</v>
      </c>
      <c r="L1286" s="32" t="e">
        <f ca="1">_xludf.ifna(VLOOKUP(G1287,Proyectos!$E$1:$N$4,10,0),"")</f>
        <v>#NAME?</v>
      </c>
      <c r="M1286" s="32"/>
      <c r="N1286" s="32"/>
      <c r="O1286" s="31"/>
      <c r="P1286" s="33"/>
      <c r="Q1286" s="33"/>
    </row>
    <row r="1287" spans="1:17" ht="16.5" customHeight="1" x14ac:dyDescent="0.2">
      <c r="A1287" s="49" t="s">
        <v>3918</v>
      </c>
      <c r="B1287" s="26" t="s">
        <v>3919</v>
      </c>
      <c r="C1287" s="26" t="s">
        <v>98</v>
      </c>
      <c r="D1287" s="26" t="s">
        <v>105</v>
      </c>
      <c r="E1287" s="49" t="s">
        <v>114</v>
      </c>
      <c r="F1287" s="28" t="e">
        <f ca="1">_xludf.ifna(VLOOKUP(G1288,Proyectos!$E$1:$H$4,4,0),"")</f>
        <v>#NAME?</v>
      </c>
      <c r="G1287" s="26" t="s">
        <v>5597</v>
      </c>
      <c r="H1287" s="32">
        <v>0.25</v>
      </c>
      <c r="I1287" s="31" t="s">
        <v>25</v>
      </c>
      <c r="J1287" s="32"/>
      <c r="K1287" s="32" t="str">
        <f t="shared" si="5"/>
        <v>Externo</v>
      </c>
      <c r="L1287" s="32" t="e">
        <f ca="1">_xludf.ifna(VLOOKUP(G1288,Proyectos!$E$1:$N$4,10,0),"")</f>
        <v>#NAME?</v>
      </c>
      <c r="M1287" s="32"/>
      <c r="N1287" s="32"/>
      <c r="O1287" s="31"/>
      <c r="P1287" s="33"/>
      <c r="Q1287" s="33"/>
    </row>
    <row r="1288" spans="1:17" ht="16.5" customHeight="1" x14ac:dyDescent="0.2">
      <c r="A1288" s="49" t="s">
        <v>4839</v>
      </c>
      <c r="B1288" s="26" t="s">
        <v>4840</v>
      </c>
      <c r="C1288" s="26" t="s">
        <v>115</v>
      </c>
      <c r="D1288" s="26" t="s">
        <v>116</v>
      </c>
      <c r="E1288" s="49" t="s">
        <v>100</v>
      </c>
      <c r="F1288" s="28" t="e">
        <f ca="1">_xludf.ifna(VLOOKUP(G1289,Proyectos!$E$1:$H$4,4,0),"")</f>
        <v>#NAME?</v>
      </c>
      <c r="G1288" s="26" t="s">
        <v>5314</v>
      </c>
      <c r="H1288" s="32">
        <v>0.7</v>
      </c>
      <c r="I1288" s="31" t="s">
        <v>18</v>
      </c>
      <c r="J1288" s="32"/>
      <c r="K1288" s="32" t="str">
        <f t="shared" si="5"/>
        <v>Externo</v>
      </c>
      <c r="L1288" s="32" t="e">
        <f ca="1">_xludf.ifna(VLOOKUP(G1289,Proyectos!$E$1:$N$4,10,0),"")</f>
        <v>#NAME?</v>
      </c>
      <c r="M1288" s="32"/>
      <c r="N1288" s="32"/>
      <c r="O1288" s="31"/>
      <c r="P1288" s="33"/>
      <c r="Q1288" s="33"/>
    </row>
    <row r="1289" spans="1:17" ht="16.5" customHeight="1" x14ac:dyDescent="0.2">
      <c r="A1289" s="49" t="s">
        <v>4839</v>
      </c>
      <c r="B1289" s="26" t="s">
        <v>4840</v>
      </c>
      <c r="C1289" s="26" t="s">
        <v>115</v>
      </c>
      <c r="D1289" s="26" t="s">
        <v>116</v>
      </c>
      <c r="E1289" s="49" t="s">
        <v>100</v>
      </c>
      <c r="F1289" s="28" t="e">
        <f ca="1">_xludf.ifna(VLOOKUP(G1290,Proyectos!$E$1:$H$4,4,0),"")</f>
        <v>#NAME?</v>
      </c>
      <c r="G1289" s="26" t="s">
        <v>5237</v>
      </c>
      <c r="H1289" s="32">
        <v>0.3</v>
      </c>
      <c r="I1289" s="31" t="s">
        <v>18</v>
      </c>
      <c r="J1289" s="32"/>
      <c r="K1289" s="32" t="str">
        <f t="shared" si="5"/>
        <v>Externo</v>
      </c>
      <c r="L1289" s="32" t="e">
        <f ca="1">_xludf.ifna(VLOOKUP(G1290,Proyectos!$E$1:$N$4,10,0),"")</f>
        <v>#NAME?</v>
      </c>
      <c r="M1289" s="32"/>
      <c r="N1289" s="32"/>
      <c r="O1289" s="31"/>
      <c r="P1289" s="33"/>
      <c r="Q1289" s="33"/>
    </row>
    <row r="1290" spans="1:17" ht="16.5" customHeight="1" x14ac:dyDescent="0.2">
      <c r="A1290" s="49" t="s">
        <v>4136</v>
      </c>
      <c r="B1290" s="26" t="s">
        <v>4137</v>
      </c>
      <c r="C1290" s="26" t="s">
        <v>98</v>
      </c>
      <c r="D1290" s="26" t="s">
        <v>107</v>
      </c>
      <c r="E1290" s="49" t="s">
        <v>87</v>
      </c>
      <c r="F1290" s="28" t="e">
        <f ca="1">_xludf.ifna(VLOOKUP(G1291,Proyectos!$E$1:$H$4,4,0),"")</f>
        <v>#NAME?</v>
      </c>
      <c r="G1290" s="26" t="s">
        <v>5877</v>
      </c>
      <c r="H1290" s="32">
        <v>1</v>
      </c>
      <c r="I1290" s="31" t="s">
        <v>18</v>
      </c>
      <c r="J1290" s="32"/>
      <c r="K1290" s="32" t="str">
        <f t="shared" si="5"/>
        <v>Externo</v>
      </c>
      <c r="L1290" s="32" t="e">
        <f ca="1">_xludf.ifna(VLOOKUP(G1291,Proyectos!$E$1:$N$4,10,0),"")</f>
        <v>#NAME?</v>
      </c>
      <c r="M1290" s="32"/>
      <c r="N1290" s="32"/>
      <c r="O1290" s="31"/>
      <c r="P1290" s="33"/>
      <c r="Q1290" s="33"/>
    </row>
    <row r="1291" spans="1:17" ht="16.5" customHeight="1" x14ac:dyDescent="0.2">
      <c r="A1291" s="56" t="s">
        <v>4219</v>
      </c>
      <c r="B1291" s="26" t="s">
        <v>5519</v>
      </c>
      <c r="C1291" s="26" t="s">
        <v>64</v>
      </c>
      <c r="D1291" s="26" t="s">
        <v>82</v>
      </c>
      <c r="E1291" s="56" t="s">
        <v>135</v>
      </c>
      <c r="F1291" s="28" t="e">
        <f ca="1">_xludf.ifna(VLOOKUP(G1292,Proyectos!$E$1:$H$4,4,0),"")</f>
        <v>#NAME?</v>
      </c>
      <c r="G1291" s="26" t="s">
        <v>5387</v>
      </c>
      <c r="H1291" s="32">
        <v>1</v>
      </c>
      <c r="I1291" s="31" t="s">
        <v>18</v>
      </c>
      <c r="J1291" s="32"/>
      <c r="K1291" s="32" t="str">
        <f t="shared" si="5"/>
        <v>Externo</v>
      </c>
      <c r="L1291" s="32" t="e">
        <f ca="1">_xludf.ifna(VLOOKUP(G1292,Proyectos!$E$1:$N$4,10,0),"")</f>
        <v>#NAME?</v>
      </c>
      <c r="M1291" s="32"/>
      <c r="N1291" s="32"/>
      <c r="O1291" s="31"/>
      <c r="P1291" s="33"/>
      <c r="Q1291" s="33"/>
    </row>
    <row r="1292" spans="1:17" ht="16.5" customHeight="1" x14ac:dyDescent="0.2">
      <c r="A1292" s="49" t="s">
        <v>4635</v>
      </c>
      <c r="B1292" s="26" t="s">
        <v>5582</v>
      </c>
      <c r="C1292" s="26" t="s">
        <v>115</v>
      </c>
      <c r="D1292" s="26" t="s">
        <v>128</v>
      </c>
      <c r="E1292" s="49" t="s">
        <v>39</v>
      </c>
      <c r="F1292" s="28" t="e">
        <f ca="1">_xludf.ifna(VLOOKUP(G1293,Proyectos!$E$1:$H$4,4,0),"")</f>
        <v>#NAME?</v>
      </c>
      <c r="G1292" s="26" t="s">
        <v>5538</v>
      </c>
      <c r="H1292" s="32">
        <v>1</v>
      </c>
      <c r="I1292" s="31" t="s">
        <v>18</v>
      </c>
      <c r="J1292" s="32"/>
      <c r="K1292" s="32" t="str">
        <f t="shared" si="5"/>
        <v>Interno</v>
      </c>
      <c r="L1292" s="32" t="e">
        <f ca="1">_xludf.ifna(VLOOKUP(G1293,Proyectos!$E$1:$N$4,10,0),"")</f>
        <v>#NAME?</v>
      </c>
      <c r="M1292" s="32"/>
      <c r="N1292" s="32"/>
      <c r="O1292" s="31"/>
      <c r="P1292" s="33"/>
      <c r="Q1292" s="33"/>
    </row>
    <row r="1293" spans="1:17" ht="16.5" customHeight="1" x14ac:dyDescent="0.2">
      <c r="A1293" s="49" t="s">
        <v>3660</v>
      </c>
      <c r="B1293" s="26" t="s">
        <v>3661</v>
      </c>
      <c r="C1293" s="26" t="s">
        <v>98</v>
      </c>
      <c r="D1293" s="26" t="s">
        <v>113</v>
      </c>
      <c r="E1293" s="49" t="s">
        <v>39</v>
      </c>
      <c r="F1293" s="28" t="e">
        <f ca="1">_xludf.ifna(VLOOKUP(G1294,Proyectos!$E$1:$H$4,4,0),"")</f>
        <v>#NAME?</v>
      </c>
      <c r="G1293" s="26" t="s">
        <v>5133</v>
      </c>
      <c r="H1293" s="32">
        <v>1</v>
      </c>
      <c r="I1293" s="31" t="s">
        <v>18</v>
      </c>
      <c r="J1293" s="32"/>
      <c r="K1293" s="32" t="str">
        <f t="shared" si="5"/>
        <v>Interno</v>
      </c>
      <c r="L1293" s="32" t="e">
        <f ca="1">_xludf.ifna(VLOOKUP(G1294,Proyectos!$E$1:$N$4,10,0),"")</f>
        <v>#NAME?</v>
      </c>
      <c r="M1293" s="32"/>
      <c r="N1293" s="32"/>
      <c r="O1293" s="31"/>
      <c r="P1293" s="33"/>
      <c r="Q1293" s="33"/>
    </row>
    <row r="1294" spans="1:17" ht="16.5" customHeight="1" x14ac:dyDescent="0.2">
      <c r="A1294" s="49" t="s">
        <v>4106</v>
      </c>
      <c r="B1294" s="26" t="s">
        <v>5209</v>
      </c>
      <c r="C1294" s="54" t="s">
        <v>7</v>
      </c>
      <c r="D1294" s="35" t="s">
        <v>8</v>
      </c>
      <c r="E1294" s="35" t="s">
        <v>87</v>
      </c>
      <c r="F1294" s="28" t="e">
        <f ca="1">_xludf.ifna(VLOOKUP(G1295,Proyectos!$E$1:$H$4,4,0),"")</f>
        <v>#NAME?</v>
      </c>
      <c r="G1294" s="35" t="s">
        <v>5190</v>
      </c>
      <c r="H1294" s="30">
        <v>1</v>
      </c>
      <c r="I1294" s="31" t="s">
        <v>18</v>
      </c>
      <c r="J1294" s="55"/>
      <c r="K1294" s="32" t="str">
        <f t="shared" si="5"/>
        <v>Externo</v>
      </c>
      <c r="L1294" s="32" t="e">
        <f ca="1">_xludf.ifna(VLOOKUP(G1295,Proyectos!$E$1:$N$4,10,0),"")</f>
        <v>#NAME?</v>
      </c>
      <c r="M1294" s="32"/>
      <c r="N1294" s="31"/>
      <c r="O1294" s="31"/>
      <c r="P1294" s="33"/>
      <c r="Q1294" s="33"/>
    </row>
    <row r="1295" spans="1:17" ht="16.5" customHeight="1" x14ac:dyDescent="0.2">
      <c r="A1295" s="49" t="s">
        <v>3964</v>
      </c>
      <c r="B1295" s="26" t="s">
        <v>3965</v>
      </c>
      <c r="C1295" s="26" t="s">
        <v>64</v>
      </c>
      <c r="D1295" s="26" t="s">
        <v>95</v>
      </c>
      <c r="E1295" s="26" t="s">
        <v>126</v>
      </c>
      <c r="F1295" s="28" t="e">
        <f ca="1">_xludf.ifna(VLOOKUP(G1296,Proyectos!$E$1:$H$4,4,0),"")</f>
        <v>#NAME?</v>
      </c>
      <c r="G1295" s="26" t="s">
        <v>5364</v>
      </c>
      <c r="H1295" s="32">
        <v>1</v>
      </c>
      <c r="I1295" s="31" t="s">
        <v>18</v>
      </c>
      <c r="J1295" s="32"/>
      <c r="K1295" s="32" t="str">
        <f t="shared" si="5"/>
        <v>Externo</v>
      </c>
      <c r="L1295" s="32" t="e">
        <f ca="1">_xludf.ifna(VLOOKUP(G1296,Proyectos!$E$1:$N$4,10,0),"")</f>
        <v>#NAME?</v>
      </c>
      <c r="M1295" s="32"/>
      <c r="N1295" s="32"/>
      <c r="O1295" s="31"/>
      <c r="P1295" s="33"/>
      <c r="Q1295" s="33"/>
    </row>
    <row r="1296" spans="1:17" ht="16.5" customHeight="1" x14ac:dyDescent="0.2">
      <c r="A1296" s="49" t="s">
        <v>3964</v>
      </c>
      <c r="B1296" s="26" t="s">
        <v>3965</v>
      </c>
      <c r="C1296" s="26" t="s">
        <v>64</v>
      </c>
      <c r="D1296" s="26" t="s">
        <v>95</v>
      </c>
      <c r="E1296" s="26" t="s">
        <v>126</v>
      </c>
      <c r="F1296" s="28" t="e">
        <f ca="1">_xludf.ifna(VLOOKUP(G1297,Proyectos!$E$1:$H$4,4,0),"")</f>
        <v>#NAME?</v>
      </c>
      <c r="G1296" s="26" t="s">
        <v>5597</v>
      </c>
      <c r="H1296" s="32">
        <v>0.1</v>
      </c>
      <c r="I1296" s="31" t="s">
        <v>18</v>
      </c>
      <c r="J1296" s="32"/>
      <c r="K1296" s="32" t="str">
        <f t="shared" si="5"/>
        <v>Externo</v>
      </c>
      <c r="L1296" s="32" t="e">
        <f ca="1">_xludf.ifna(VLOOKUP(G1297,Proyectos!$E$1:$N$4,10,0),"")</f>
        <v>#NAME?</v>
      </c>
      <c r="M1296" s="32"/>
      <c r="N1296" s="31"/>
      <c r="O1296" s="31"/>
      <c r="P1296" s="33"/>
      <c r="Q1296" s="33"/>
    </row>
    <row r="1297" spans="1:17" ht="16.5" customHeight="1" x14ac:dyDescent="0.2">
      <c r="A1297" s="49" t="s">
        <v>3347</v>
      </c>
      <c r="B1297" s="26" t="s">
        <v>3348</v>
      </c>
      <c r="C1297" s="26" t="s">
        <v>115</v>
      </c>
      <c r="D1297" s="26" t="s">
        <v>116</v>
      </c>
      <c r="E1297" s="26" t="s">
        <v>39</v>
      </c>
      <c r="F1297" s="28" t="e">
        <f ca="1">_xludf.ifna(VLOOKUP(G1298,Proyectos!$E$1:$H$4,4,0),"")</f>
        <v>#NAME?</v>
      </c>
      <c r="G1297" s="26" t="s">
        <v>5117</v>
      </c>
      <c r="H1297" s="32">
        <v>1</v>
      </c>
      <c r="I1297" s="31" t="s">
        <v>18</v>
      </c>
      <c r="J1297" s="32"/>
      <c r="K1297" s="32" t="str">
        <f t="shared" si="5"/>
        <v>Interno</v>
      </c>
      <c r="L1297" s="32" t="e">
        <f ca="1">_xludf.ifna(VLOOKUP(G1298,Proyectos!$E$1:$N$4,10,0),"")</f>
        <v>#NAME?</v>
      </c>
      <c r="M1297" s="32"/>
      <c r="N1297" s="32"/>
      <c r="O1297" s="31"/>
      <c r="P1297" s="33"/>
      <c r="Q1297" s="33"/>
    </row>
    <row r="1298" spans="1:17" ht="16.5" customHeight="1" x14ac:dyDescent="0.2">
      <c r="A1298" s="49" t="s">
        <v>3737</v>
      </c>
      <c r="B1298" s="26" t="s">
        <v>5878</v>
      </c>
      <c r="C1298" s="26" t="s">
        <v>64</v>
      </c>
      <c r="D1298" s="26" t="s">
        <v>95</v>
      </c>
      <c r="E1298" s="26" t="s">
        <v>39</v>
      </c>
      <c r="F1298" s="28" t="e">
        <f ca="1">_xludf.ifna(VLOOKUP(G1299,Proyectos!$E$1:$H$4,4,0),"")</f>
        <v>#NAME?</v>
      </c>
      <c r="G1298" s="26" t="s">
        <v>5363</v>
      </c>
      <c r="H1298" s="32">
        <v>0.7</v>
      </c>
      <c r="I1298" s="31" t="s">
        <v>18</v>
      </c>
      <c r="J1298" s="32"/>
      <c r="K1298" s="32" t="str">
        <f t="shared" si="5"/>
        <v>Interno</v>
      </c>
      <c r="L1298" s="32" t="e">
        <f ca="1">_xludf.ifna(VLOOKUP(G1299,Proyectos!$E$1:$N$4,10,0),"")</f>
        <v>#NAME?</v>
      </c>
      <c r="M1298" s="32"/>
      <c r="N1298" s="32"/>
      <c r="O1298" s="31"/>
      <c r="P1298" s="33"/>
      <c r="Q1298" s="33"/>
    </row>
    <row r="1299" spans="1:17" ht="16.5" customHeight="1" x14ac:dyDescent="0.2">
      <c r="A1299" s="49" t="s">
        <v>3737</v>
      </c>
      <c r="B1299" s="26" t="s">
        <v>5878</v>
      </c>
      <c r="C1299" s="26" t="s">
        <v>64</v>
      </c>
      <c r="D1299" s="26" t="s">
        <v>95</v>
      </c>
      <c r="E1299" s="26" t="s">
        <v>39</v>
      </c>
      <c r="F1299" s="28" t="e">
        <f ca="1">_xludf.ifna(VLOOKUP(G1300,Proyectos!$E$1:$H$4,4,0),"")</f>
        <v>#NAME?</v>
      </c>
      <c r="G1299" s="26" t="s">
        <v>5597</v>
      </c>
      <c r="H1299" s="32">
        <v>0.2</v>
      </c>
      <c r="I1299" s="31" t="s">
        <v>18</v>
      </c>
      <c r="J1299" s="32"/>
      <c r="K1299" s="32" t="str">
        <f t="shared" si="5"/>
        <v>Interno</v>
      </c>
      <c r="L1299" s="32" t="e">
        <f ca="1">_xludf.ifna(VLOOKUP(G1300,Proyectos!$E$1:$N$4,10,0),"")</f>
        <v>#NAME?</v>
      </c>
      <c r="M1299" s="32"/>
      <c r="N1299" s="31"/>
      <c r="O1299" s="31"/>
      <c r="P1299" s="33"/>
      <c r="Q1299" s="33"/>
    </row>
    <row r="1300" spans="1:17" ht="16.5" customHeight="1" x14ac:dyDescent="0.2">
      <c r="A1300" s="49" t="s">
        <v>3737</v>
      </c>
      <c r="B1300" s="26" t="s">
        <v>5878</v>
      </c>
      <c r="C1300" s="26" t="s">
        <v>64</v>
      </c>
      <c r="D1300" s="26" t="s">
        <v>95</v>
      </c>
      <c r="E1300" s="26" t="s">
        <v>39</v>
      </c>
      <c r="F1300" s="28" t="e">
        <f ca="1">_xludf.ifna(VLOOKUP(G1301,Proyectos!$E$1:$H$4,4,0),"")</f>
        <v>#NAME?</v>
      </c>
      <c r="G1300" s="26" t="s">
        <v>5649</v>
      </c>
      <c r="H1300" s="32">
        <v>0.1</v>
      </c>
      <c r="I1300" s="31" t="s">
        <v>18</v>
      </c>
      <c r="J1300" s="32"/>
      <c r="K1300" s="32" t="str">
        <f t="shared" si="5"/>
        <v>Interno</v>
      </c>
      <c r="L1300" s="32" t="e">
        <f ca="1">_xludf.ifna(VLOOKUP(G1301,Proyectos!$E$1:$N$4,10,0),"")</f>
        <v>#NAME?</v>
      </c>
      <c r="M1300" s="32"/>
      <c r="N1300" s="32"/>
      <c r="O1300" s="31"/>
      <c r="P1300" s="33"/>
      <c r="Q1300" s="33"/>
    </row>
    <row r="1301" spans="1:17" ht="16.5" customHeight="1" x14ac:dyDescent="0.2">
      <c r="A1301" s="26" t="s">
        <v>4867</v>
      </c>
      <c r="B1301" s="26" t="s">
        <v>4868</v>
      </c>
      <c r="C1301" s="26" t="s">
        <v>64</v>
      </c>
      <c r="D1301" s="26" t="s">
        <v>95</v>
      </c>
      <c r="E1301" s="26" t="s">
        <v>126</v>
      </c>
      <c r="F1301" s="28" t="e">
        <f ca="1">_xludf.ifna(VLOOKUP(G1302,Proyectos!$E$1:$H$4,4,0),"")</f>
        <v>#NAME?</v>
      </c>
      <c r="G1301" s="26" t="s">
        <v>5363</v>
      </c>
      <c r="H1301" s="32">
        <v>1</v>
      </c>
      <c r="I1301" s="31" t="s">
        <v>18</v>
      </c>
      <c r="J1301" s="32"/>
      <c r="K1301" s="32" t="str">
        <f t="shared" si="5"/>
        <v>Externo</v>
      </c>
      <c r="L1301" s="32" t="e">
        <f ca="1">_xludf.ifna(VLOOKUP(G1302,Proyectos!$E$1:$N$4,10,0),"")</f>
        <v>#NAME?</v>
      </c>
      <c r="M1301" s="32"/>
      <c r="N1301" s="32"/>
      <c r="O1301" s="31"/>
      <c r="P1301" s="33"/>
      <c r="Q1301" s="33"/>
    </row>
    <row r="1302" spans="1:17" ht="16.5" customHeight="1" x14ac:dyDescent="0.2">
      <c r="A1302" s="4" t="s">
        <v>4717</v>
      </c>
      <c r="B1302" s="4" t="s">
        <v>4718</v>
      </c>
      <c r="C1302" s="26" t="s">
        <v>64</v>
      </c>
      <c r="D1302" s="26" t="s">
        <v>89</v>
      </c>
      <c r="E1302" s="26" t="s">
        <v>39</v>
      </c>
      <c r="F1302" s="28" t="e">
        <f ca="1">_xludf.ifna(VLOOKUP(G1303,Proyectos!$E$1:$H$4,4,0),"")</f>
        <v>#NAME?</v>
      </c>
      <c r="G1302" s="26" t="s">
        <v>5597</v>
      </c>
      <c r="H1302" s="32">
        <v>1</v>
      </c>
      <c r="I1302" s="31" t="s">
        <v>18</v>
      </c>
      <c r="J1302" s="32"/>
      <c r="K1302" s="32" t="str">
        <f t="shared" si="5"/>
        <v>Interno</v>
      </c>
      <c r="L1302" s="32" t="e">
        <f ca="1">_xludf.ifna(VLOOKUP(G1303,Proyectos!$E$1:$N$4,10,0),"")</f>
        <v>#NAME?</v>
      </c>
      <c r="M1302" s="32"/>
      <c r="N1302" s="31"/>
      <c r="O1302" s="31"/>
      <c r="P1302" s="33"/>
      <c r="Q1302" s="33"/>
    </row>
    <row r="1303" spans="1:17" ht="16.5" customHeight="1" x14ac:dyDescent="0.2">
      <c r="A1303" s="26" t="s">
        <v>5879</v>
      </c>
      <c r="B1303" s="26" t="s">
        <v>5880</v>
      </c>
      <c r="C1303" s="26" t="s">
        <v>98</v>
      </c>
      <c r="D1303" s="26" t="s">
        <v>107</v>
      </c>
      <c r="E1303" s="26" t="s">
        <v>87</v>
      </c>
      <c r="F1303" s="28" t="e">
        <f ca="1">_xludf.ifna(VLOOKUP(G1304,Proyectos!$E$1:$H$4,4,0),"")</f>
        <v>#NAME?</v>
      </c>
      <c r="G1303" s="26" t="s">
        <v>5329</v>
      </c>
      <c r="H1303" s="32">
        <v>1</v>
      </c>
      <c r="I1303" s="31" t="s">
        <v>18</v>
      </c>
      <c r="J1303" s="32"/>
      <c r="K1303" s="32" t="str">
        <f t="shared" si="5"/>
        <v>Externo</v>
      </c>
      <c r="L1303" s="32" t="e">
        <f ca="1">_xludf.ifna(VLOOKUP(G1304,Proyectos!$E$1:$N$4,10,0),"")</f>
        <v>#NAME?</v>
      </c>
      <c r="M1303" s="32"/>
      <c r="N1303" s="32"/>
      <c r="O1303" s="31"/>
      <c r="P1303" s="33"/>
      <c r="Q1303" s="33"/>
    </row>
    <row r="1304" spans="1:17" ht="16.5" customHeight="1" x14ac:dyDescent="0.2">
      <c r="A1304" s="26" t="s">
        <v>3394</v>
      </c>
      <c r="B1304" s="26" t="s">
        <v>5881</v>
      </c>
      <c r="C1304" s="26" t="s">
        <v>98</v>
      </c>
      <c r="D1304" s="26" t="s">
        <v>102</v>
      </c>
      <c r="E1304" s="26" t="s">
        <v>39</v>
      </c>
      <c r="F1304" s="28" t="e">
        <f ca="1">_xludf.ifna(VLOOKUP(G1305,Proyectos!$E$1:$H$4,4,0),"")</f>
        <v>#NAME?</v>
      </c>
      <c r="G1304" s="26" t="s">
        <v>5597</v>
      </c>
      <c r="H1304" s="32">
        <v>1</v>
      </c>
      <c r="I1304" s="31" t="s">
        <v>11</v>
      </c>
      <c r="J1304" s="32"/>
      <c r="K1304" s="32" t="str">
        <f t="shared" si="5"/>
        <v>Interno</v>
      </c>
      <c r="L1304" s="32" t="e">
        <f ca="1">_xludf.ifna(VLOOKUP(G1305,Proyectos!$E$1:$N$4,10,0),"")</f>
        <v>#NAME?</v>
      </c>
      <c r="M1304" s="32"/>
      <c r="N1304" s="32"/>
      <c r="O1304" s="31"/>
      <c r="P1304" s="33"/>
      <c r="Q1304" s="33"/>
    </row>
    <row r="1305" spans="1:17" ht="16.5" customHeight="1" x14ac:dyDescent="0.2">
      <c r="A1305" s="35" t="s">
        <v>3534</v>
      </c>
      <c r="B1305" s="26" t="s">
        <v>5882</v>
      </c>
      <c r="C1305" s="26" t="s">
        <v>64</v>
      </c>
      <c r="D1305" s="26" t="s">
        <v>82</v>
      </c>
      <c r="E1305" s="35" t="s">
        <v>39</v>
      </c>
      <c r="F1305" s="28" t="e">
        <f ca="1">_xludf.ifna(VLOOKUP(G1306,Proyectos!$E$1:$H$4,4,0),"")</f>
        <v>#NAME?</v>
      </c>
      <c r="G1305" s="26" t="s">
        <v>5597</v>
      </c>
      <c r="H1305" s="32">
        <v>1</v>
      </c>
      <c r="I1305" s="31" t="s">
        <v>18</v>
      </c>
      <c r="J1305" s="32"/>
      <c r="K1305" s="32" t="str">
        <f t="shared" si="5"/>
        <v>Interno</v>
      </c>
      <c r="L1305" s="32" t="e">
        <f ca="1">_xludf.ifna(VLOOKUP(G1306,Proyectos!$E$1:$N$4,10,0),"")</f>
        <v>#NAME?</v>
      </c>
      <c r="M1305" s="32"/>
      <c r="N1305" s="31"/>
      <c r="O1305" s="31"/>
      <c r="P1305" s="33"/>
      <c r="Q1305" s="33"/>
    </row>
    <row r="1306" spans="1:17" ht="16.5" customHeight="1" x14ac:dyDescent="0.2">
      <c r="A1306" s="26" t="s">
        <v>4247</v>
      </c>
      <c r="B1306" s="26" t="s">
        <v>4248</v>
      </c>
      <c r="C1306" s="26" t="s">
        <v>37</v>
      </c>
      <c r="D1306" s="26" t="s">
        <v>38</v>
      </c>
      <c r="E1306" s="26" t="s">
        <v>87</v>
      </c>
      <c r="F1306" s="28" t="e">
        <f ca="1">_xludf.ifna(VLOOKUP(G1307,Proyectos!$E$1:$H$4,4,0),"")</f>
        <v>#NAME?</v>
      </c>
      <c r="G1306" s="26" t="s">
        <v>5339</v>
      </c>
      <c r="H1306" s="32">
        <v>0.5</v>
      </c>
      <c r="I1306" s="31" t="s">
        <v>25</v>
      </c>
      <c r="J1306" s="32"/>
      <c r="K1306" s="32" t="str">
        <f t="shared" si="5"/>
        <v>Externo</v>
      </c>
      <c r="L1306" s="32" t="e">
        <f ca="1">_xludf.ifna(VLOOKUP(G1307,Proyectos!$E$1:$N$4,10,0),"")</f>
        <v>#NAME?</v>
      </c>
      <c r="M1306" s="32"/>
      <c r="N1306" s="32"/>
      <c r="O1306" s="31"/>
      <c r="P1306" s="33"/>
      <c r="Q1306" s="33"/>
    </row>
    <row r="1307" spans="1:17" ht="16.5" customHeight="1" x14ac:dyDescent="0.2">
      <c r="A1307" s="26" t="s">
        <v>4247</v>
      </c>
      <c r="B1307" s="26" t="s">
        <v>4248</v>
      </c>
      <c r="C1307" s="26" t="s">
        <v>37</v>
      </c>
      <c r="D1307" s="26" t="s">
        <v>38</v>
      </c>
      <c r="E1307" s="26" t="s">
        <v>87</v>
      </c>
      <c r="F1307" s="28" t="e">
        <f ca="1">_xludf.ifna(VLOOKUP(G1308,Proyectos!$E$1:$H$4,4,0),"")</f>
        <v>#NAME?</v>
      </c>
      <c r="G1307" s="26" t="s">
        <v>5597</v>
      </c>
      <c r="H1307" s="32">
        <v>0.5</v>
      </c>
      <c r="I1307" s="31" t="s">
        <v>25</v>
      </c>
      <c r="J1307" s="32"/>
      <c r="K1307" s="32" t="str">
        <f t="shared" si="5"/>
        <v>Externo</v>
      </c>
      <c r="L1307" s="32" t="e">
        <f ca="1">_xludf.ifna(VLOOKUP(G1308,Proyectos!$E$1:$N$4,10,0),"")</f>
        <v>#NAME?</v>
      </c>
      <c r="M1307" s="32"/>
      <c r="N1307" s="31"/>
      <c r="O1307" s="31"/>
      <c r="P1307" s="33"/>
      <c r="Q1307" s="33"/>
    </row>
    <row r="1308" spans="1:17" ht="16.5" customHeight="1" x14ac:dyDescent="0.2">
      <c r="A1308" s="26" t="s">
        <v>4185</v>
      </c>
      <c r="B1308" s="26" t="s">
        <v>5883</v>
      </c>
      <c r="C1308" s="26" t="s">
        <v>37</v>
      </c>
      <c r="D1308" s="26" t="s">
        <v>45</v>
      </c>
      <c r="E1308" s="26" t="s">
        <v>138</v>
      </c>
      <c r="F1308" s="28" t="e">
        <f ca="1">_xludf.ifna(VLOOKUP(G1309,Proyectos!$E$1:$H$4,4,0),"")</f>
        <v>#NAME?</v>
      </c>
      <c r="G1308" s="26" t="s">
        <v>5151</v>
      </c>
      <c r="H1308" s="32">
        <v>0.9</v>
      </c>
      <c r="I1308" s="31" t="s">
        <v>18</v>
      </c>
      <c r="J1308" s="32"/>
      <c r="K1308" s="32" t="str">
        <f t="shared" si="5"/>
        <v>Externo</v>
      </c>
      <c r="L1308" s="32" t="e">
        <f ca="1">_xludf.ifna(VLOOKUP(G1309,Proyectos!$E$1:$N$4,10,0),"")</f>
        <v>#NAME?</v>
      </c>
      <c r="M1308" s="32"/>
      <c r="N1308" s="31"/>
      <c r="O1308" s="31"/>
      <c r="P1308" s="33"/>
      <c r="Q1308" s="33"/>
    </row>
    <row r="1309" spans="1:17" ht="16.5" customHeight="1" x14ac:dyDescent="0.2">
      <c r="A1309" s="26" t="s">
        <v>4185</v>
      </c>
      <c r="B1309" s="26" t="s">
        <v>5883</v>
      </c>
      <c r="C1309" s="26" t="s">
        <v>37</v>
      </c>
      <c r="D1309" s="26" t="s">
        <v>45</v>
      </c>
      <c r="E1309" s="26" t="s">
        <v>138</v>
      </c>
      <c r="F1309" s="28" t="e">
        <f ca="1">_xludf.ifna(VLOOKUP(G1310,Proyectos!$E$1:$H$4,4,0),"")</f>
        <v>#NAME?</v>
      </c>
      <c r="G1309" s="26" t="s">
        <v>5221</v>
      </c>
      <c r="H1309" s="32">
        <v>0.1</v>
      </c>
      <c r="I1309" s="31" t="s">
        <v>18</v>
      </c>
      <c r="J1309" s="32"/>
      <c r="K1309" s="32" t="str">
        <f t="shared" si="5"/>
        <v>Externo</v>
      </c>
      <c r="L1309" s="32" t="e">
        <f ca="1">_xludf.ifna(VLOOKUP(G1310,Proyectos!$E$1:$N$4,10,0),"")</f>
        <v>#NAME?</v>
      </c>
      <c r="M1309" s="32"/>
      <c r="N1309" s="31"/>
      <c r="O1309" s="31"/>
      <c r="P1309" s="33"/>
      <c r="Q1309" s="33"/>
    </row>
    <row r="1310" spans="1:17" ht="16.5" customHeight="1" x14ac:dyDescent="0.2">
      <c r="A1310" s="26" t="s">
        <v>3817</v>
      </c>
      <c r="B1310" s="26" t="s">
        <v>5291</v>
      </c>
      <c r="C1310" s="53" t="s">
        <v>64</v>
      </c>
      <c r="D1310" s="26" t="s">
        <v>92</v>
      </c>
      <c r="E1310" s="53" t="s">
        <v>39</v>
      </c>
      <c r="F1310" s="28" t="e">
        <f ca="1">_xludf.ifna(VLOOKUP(G1311,Proyectos!$E$1:$H$4,4,0),"")</f>
        <v>#NAME?</v>
      </c>
      <c r="G1310" s="26" t="s">
        <v>5217</v>
      </c>
      <c r="H1310" s="32">
        <v>1</v>
      </c>
      <c r="I1310" s="31" t="s">
        <v>18</v>
      </c>
      <c r="J1310" s="32"/>
      <c r="K1310" s="32" t="str">
        <f t="shared" si="5"/>
        <v>Interno</v>
      </c>
      <c r="L1310" s="32" t="e">
        <f ca="1">_xludf.ifna(VLOOKUP(G1311,Proyectos!$E$1:$N$4,10,0),"")</f>
        <v>#NAME?</v>
      </c>
      <c r="M1310" s="32"/>
      <c r="N1310" s="32"/>
      <c r="O1310" s="31"/>
      <c r="P1310" s="33"/>
      <c r="Q1310" s="33"/>
    </row>
    <row r="1311" spans="1:17" ht="16.5" customHeight="1" x14ac:dyDescent="0.2">
      <c r="A1311" s="26" t="s">
        <v>4396</v>
      </c>
      <c r="B1311" s="26" t="s">
        <v>5884</v>
      </c>
      <c r="C1311" s="26" t="s">
        <v>64</v>
      </c>
      <c r="D1311" s="26" t="s">
        <v>86</v>
      </c>
      <c r="E1311" s="26" t="s">
        <v>83</v>
      </c>
      <c r="F1311" s="28" t="e">
        <f ca="1">_xludf.ifna(VLOOKUP(G1312,Proyectos!$E$1:$H$4,4,0),"")</f>
        <v>#NAME?</v>
      </c>
      <c r="G1311" s="26" t="s">
        <v>5387</v>
      </c>
      <c r="H1311" s="30">
        <v>1</v>
      </c>
      <c r="I1311" s="31" t="s">
        <v>25</v>
      </c>
      <c r="J1311" s="32"/>
      <c r="K1311" s="32" t="str">
        <f t="shared" si="5"/>
        <v>Externo</v>
      </c>
      <c r="L1311" s="32" t="e">
        <f ca="1">_xludf.ifna(VLOOKUP(G1312,Proyectos!$E$1:$N$4,10,0),"")</f>
        <v>#NAME?</v>
      </c>
      <c r="M1311" s="32"/>
      <c r="N1311" s="32"/>
      <c r="O1311" s="31"/>
      <c r="P1311" s="33"/>
      <c r="Q1311" s="33"/>
    </row>
    <row r="1312" spans="1:17" ht="16.5" customHeight="1" x14ac:dyDescent="0.2">
      <c r="A1312" s="35" t="s">
        <v>4261</v>
      </c>
      <c r="B1312" s="26" t="s">
        <v>5520</v>
      </c>
      <c r="C1312" s="26" t="s">
        <v>64</v>
      </c>
      <c r="D1312" s="26" t="s">
        <v>82</v>
      </c>
      <c r="E1312" s="35" t="s">
        <v>87</v>
      </c>
      <c r="F1312" s="28" t="e">
        <f ca="1">_xludf.ifna(VLOOKUP(G1313,Proyectos!$E$1:$H$4,4,0),"")</f>
        <v>#NAME?</v>
      </c>
      <c r="G1312" s="26" t="s">
        <v>5387</v>
      </c>
      <c r="H1312" s="32">
        <v>1</v>
      </c>
      <c r="I1312" s="31" t="s">
        <v>25</v>
      </c>
      <c r="J1312" s="32"/>
      <c r="K1312" s="32" t="str">
        <f t="shared" si="5"/>
        <v>Externo</v>
      </c>
      <c r="L1312" s="32" t="e">
        <f ca="1">_xludf.ifna(VLOOKUP(G1313,Proyectos!$E$1:$N$4,10,0),"")</f>
        <v>#NAME?</v>
      </c>
      <c r="M1312" s="32"/>
      <c r="N1312" s="32"/>
      <c r="O1312" s="31"/>
      <c r="P1312" s="33"/>
      <c r="Q1312" s="33"/>
    </row>
    <row r="1313" spans="1:17" ht="16.5" customHeight="1" x14ac:dyDescent="0.2">
      <c r="A1313" s="35" t="s">
        <v>4521</v>
      </c>
      <c r="B1313" s="26" t="s">
        <v>5521</v>
      </c>
      <c r="C1313" s="26" t="s">
        <v>64</v>
      </c>
      <c r="D1313" s="26" t="s">
        <v>82</v>
      </c>
      <c r="E1313" s="35" t="s">
        <v>9</v>
      </c>
      <c r="F1313" s="28" t="e">
        <f ca="1">_xludf.ifna(VLOOKUP(G1314,Proyectos!$E$1:$H$4,4,0),"")</f>
        <v>#NAME?</v>
      </c>
      <c r="G1313" s="26" t="s">
        <v>5387</v>
      </c>
      <c r="H1313" s="32">
        <v>1</v>
      </c>
      <c r="I1313" s="31" t="s">
        <v>18</v>
      </c>
      <c r="J1313" s="32"/>
      <c r="K1313" s="32" t="str">
        <f t="shared" si="5"/>
        <v>Externo</v>
      </c>
      <c r="L1313" s="32" t="e">
        <f ca="1">_xludf.ifna(VLOOKUP(G1314,Proyectos!$E$1:$N$4,10,0),"")</f>
        <v>#NAME?</v>
      </c>
      <c r="M1313" s="32"/>
      <c r="N1313" s="32"/>
      <c r="O1313" s="31"/>
      <c r="P1313" s="33"/>
      <c r="Q1313" s="33"/>
    </row>
    <row r="1314" spans="1:17" ht="16.5" customHeight="1" x14ac:dyDescent="0.2">
      <c r="A1314" s="26" t="s">
        <v>4051</v>
      </c>
      <c r="B1314" s="26" t="s">
        <v>5299</v>
      </c>
      <c r="C1314" s="53" t="s">
        <v>64</v>
      </c>
      <c r="D1314" s="26" t="s">
        <v>92</v>
      </c>
      <c r="E1314" s="26" t="s">
        <v>87</v>
      </c>
      <c r="F1314" s="28" t="e">
        <f ca="1">_xludf.ifna(VLOOKUP(G1315,Proyectos!$E$1:$H$4,4,0),"")</f>
        <v>#NAME?</v>
      </c>
      <c r="G1314" s="26" t="s">
        <v>5652</v>
      </c>
      <c r="H1314" s="32">
        <v>1</v>
      </c>
      <c r="I1314" s="31" t="s">
        <v>18</v>
      </c>
      <c r="J1314" s="32"/>
      <c r="K1314" s="32" t="str">
        <f t="shared" si="5"/>
        <v>Externo</v>
      </c>
      <c r="L1314" s="32" t="e">
        <f ca="1">_xludf.ifna(VLOOKUP(G1315,Proyectos!$E$1:$N$4,10,0),"")</f>
        <v>#NAME?</v>
      </c>
      <c r="M1314" s="32"/>
      <c r="N1314" s="32"/>
      <c r="O1314" s="31"/>
      <c r="P1314" s="33"/>
      <c r="Q1314" s="33"/>
    </row>
    <row r="1315" spans="1:17" ht="16.5" customHeight="1" x14ac:dyDescent="0.2">
      <c r="A1315" s="54" t="s">
        <v>4279</v>
      </c>
      <c r="B1315" s="54" t="s">
        <v>4280</v>
      </c>
      <c r="C1315" s="54" t="s">
        <v>7</v>
      </c>
      <c r="D1315" s="54" t="s">
        <v>30</v>
      </c>
      <c r="E1315" s="54" t="s">
        <v>129</v>
      </c>
      <c r="F1315" s="28" t="e">
        <f ca="1">_xludf.ifna(VLOOKUP(G1316,Proyectos!$E$1:$H$4,4,0),"")</f>
        <v>#NAME?</v>
      </c>
      <c r="G1315" s="29" t="s">
        <v>5153</v>
      </c>
      <c r="H1315" s="34">
        <v>0.8</v>
      </c>
      <c r="I1315" s="58" t="s">
        <v>18</v>
      </c>
      <c r="J1315" s="34"/>
      <c r="K1315" s="32" t="str">
        <f t="shared" si="5"/>
        <v>Externo</v>
      </c>
      <c r="L1315" s="32" t="e">
        <f ca="1">_xludf.ifna(VLOOKUP(G1316,Proyectos!$E$1:$N$4,10,0),"")</f>
        <v>#NAME?</v>
      </c>
      <c r="M1315" s="32"/>
      <c r="N1315" s="31"/>
      <c r="O1315" s="31"/>
      <c r="P1315" s="33"/>
      <c r="Q1315" s="33"/>
    </row>
    <row r="1316" spans="1:17" ht="16.5" customHeight="1" x14ac:dyDescent="0.2">
      <c r="A1316" s="26" t="s">
        <v>4279</v>
      </c>
      <c r="B1316" s="26" t="s">
        <v>4280</v>
      </c>
      <c r="C1316" s="26" t="s">
        <v>115</v>
      </c>
      <c r="D1316" s="26" t="s">
        <v>119</v>
      </c>
      <c r="E1316" s="26" t="s">
        <v>135</v>
      </c>
      <c r="F1316" s="28" t="e">
        <f ca="1">_xludf.ifna(VLOOKUP(G1317,Proyectos!$E$1:$H$4,4,0),"")</f>
        <v>#NAME?</v>
      </c>
      <c r="G1316" s="26" t="s">
        <v>5227</v>
      </c>
      <c r="H1316" s="32">
        <v>0.2</v>
      </c>
      <c r="I1316" s="31" t="s">
        <v>18</v>
      </c>
      <c r="J1316" s="32"/>
      <c r="K1316" s="32" t="str">
        <f t="shared" si="5"/>
        <v>Externo</v>
      </c>
      <c r="L1316" s="32" t="e">
        <f ca="1">_xludf.ifna(VLOOKUP(G1317,Proyectos!$E$1:$N$4,10,0),"")</f>
        <v>#NAME?</v>
      </c>
      <c r="M1316" s="32"/>
      <c r="N1316" s="31"/>
      <c r="O1316" s="31"/>
      <c r="P1316" s="33"/>
      <c r="Q1316" s="33"/>
    </row>
    <row r="1317" spans="1:17" ht="16.5" customHeight="1" x14ac:dyDescent="0.2">
      <c r="A1317" s="26" t="s">
        <v>4338</v>
      </c>
      <c r="B1317" s="26" t="s">
        <v>5885</v>
      </c>
      <c r="C1317" s="26" t="s">
        <v>98</v>
      </c>
      <c r="D1317" s="26" t="s">
        <v>113</v>
      </c>
      <c r="E1317" s="26" t="s">
        <v>87</v>
      </c>
      <c r="F1317" s="28" t="e">
        <f ca="1">_xludf.ifna(VLOOKUP(G1318,Proyectos!$E$1:$H$4,4,0),"")</f>
        <v>#NAME?</v>
      </c>
      <c r="G1317" s="26" t="s">
        <v>5245</v>
      </c>
      <c r="H1317" s="32">
        <v>1</v>
      </c>
      <c r="I1317" s="31" t="s">
        <v>18</v>
      </c>
      <c r="J1317" s="32"/>
      <c r="K1317" s="32" t="str">
        <f t="shared" si="5"/>
        <v>Externo</v>
      </c>
      <c r="L1317" s="32" t="e">
        <f ca="1">_xludf.ifna(VLOOKUP(G1318,Proyectos!$E$1:$N$4,10,0),"")</f>
        <v>#NAME?</v>
      </c>
      <c r="M1317" s="32"/>
      <c r="N1317" s="32"/>
      <c r="O1317" s="31"/>
      <c r="P1317" s="33"/>
      <c r="Q1317" s="33"/>
    </row>
    <row r="1318" spans="1:17" ht="16.5" customHeight="1" x14ac:dyDescent="0.2">
      <c r="A1318" s="26" t="s">
        <v>3739</v>
      </c>
      <c r="B1318" s="26" t="s">
        <v>3740</v>
      </c>
      <c r="C1318" s="26" t="s">
        <v>37</v>
      </c>
      <c r="D1318" s="26" t="s">
        <v>38</v>
      </c>
      <c r="E1318" s="26" t="s">
        <v>39</v>
      </c>
      <c r="F1318" s="28" t="e">
        <f ca="1">_xludf.ifna(VLOOKUP(G1319,Proyectos!$E$1:$H$4,4,0),"")</f>
        <v>#NAME?</v>
      </c>
      <c r="G1318" s="26" t="s">
        <v>5346</v>
      </c>
      <c r="H1318" s="32">
        <v>1</v>
      </c>
      <c r="I1318" s="31" t="s">
        <v>18</v>
      </c>
      <c r="J1318" s="32"/>
      <c r="K1318" s="32" t="str">
        <f t="shared" si="5"/>
        <v>Interno</v>
      </c>
      <c r="L1318" s="32" t="e">
        <f ca="1">_xludf.ifna(VLOOKUP(G1319,Proyectos!$E$1:$N$4,10,0),"")</f>
        <v>#NAME?</v>
      </c>
      <c r="M1318" s="32"/>
      <c r="N1318" s="31"/>
      <c r="O1318" s="31"/>
      <c r="P1318" s="33"/>
      <c r="Q1318" s="33"/>
    </row>
    <row r="1319" spans="1:17" ht="16.5" customHeight="1" x14ac:dyDescent="0.2">
      <c r="A1319" s="26" t="s">
        <v>4472</v>
      </c>
      <c r="B1319" s="26" t="s">
        <v>4473</v>
      </c>
      <c r="C1319" s="26" t="s">
        <v>98</v>
      </c>
      <c r="D1319" s="26" t="s">
        <v>110</v>
      </c>
      <c r="E1319" s="26" t="s">
        <v>126</v>
      </c>
      <c r="F1319" s="28" t="e">
        <f ca="1">_xludf.ifna(VLOOKUP(G1320,Proyectos!$E$1:$H$4,4,0),"")</f>
        <v>#NAME?</v>
      </c>
      <c r="G1319" s="26" t="s">
        <v>5240</v>
      </c>
      <c r="H1319" s="32">
        <v>1</v>
      </c>
      <c r="I1319" s="31" t="s">
        <v>18</v>
      </c>
      <c r="J1319" s="32"/>
      <c r="K1319" s="32" t="str">
        <f t="shared" si="5"/>
        <v>Externo</v>
      </c>
      <c r="L1319" s="32" t="e">
        <f ca="1">_xludf.ifna(VLOOKUP(G1320,Proyectos!$E$1:$N$4,10,0),"")</f>
        <v>#NAME?</v>
      </c>
      <c r="M1319" s="32"/>
      <c r="N1319" s="32"/>
      <c r="O1319" s="31"/>
      <c r="P1319" s="33"/>
      <c r="Q1319" s="33"/>
    </row>
    <row r="1320" spans="1:17" ht="16.5" customHeight="1" x14ac:dyDescent="0.2">
      <c r="A1320" s="26" t="s">
        <v>4736</v>
      </c>
      <c r="B1320" s="26" t="s">
        <v>4737</v>
      </c>
      <c r="C1320" s="26" t="s">
        <v>7</v>
      </c>
      <c r="D1320" s="26" t="s">
        <v>16</v>
      </c>
      <c r="E1320" s="26" t="s">
        <v>39</v>
      </c>
      <c r="F1320" s="28" t="e">
        <f ca="1">_xludf.ifna(VLOOKUP(G1321,Proyectos!$E$1:$H$4,4,0),"")</f>
        <v>#NAME?</v>
      </c>
      <c r="G1320" s="26" t="s">
        <v>5237</v>
      </c>
      <c r="H1320" s="32">
        <v>0.3</v>
      </c>
      <c r="I1320" s="31" t="s">
        <v>18</v>
      </c>
      <c r="J1320" s="32"/>
      <c r="K1320" s="32" t="str">
        <f t="shared" si="5"/>
        <v>Interno</v>
      </c>
      <c r="L1320" s="32" t="e">
        <f ca="1">_xludf.ifna(VLOOKUP(G1321,Proyectos!$E$1:$N$4,10,0),"")</f>
        <v>#NAME?</v>
      </c>
      <c r="M1320" s="32"/>
      <c r="N1320" s="32"/>
      <c r="O1320" s="31"/>
      <c r="P1320" s="33"/>
      <c r="Q1320" s="33"/>
    </row>
    <row r="1321" spans="1:17" ht="16.5" customHeight="1" x14ac:dyDescent="0.2">
      <c r="A1321" s="26" t="s">
        <v>4736</v>
      </c>
      <c r="B1321" s="26" t="s">
        <v>4737</v>
      </c>
      <c r="C1321" s="26" t="s">
        <v>7</v>
      </c>
      <c r="D1321" s="26" t="s">
        <v>16</v>
      </c>
      <c r="E1321" s="26" t="s">
        <v>39</v>
      </c>
      <c r="F1321" s="28" t="e">
        <f ca="1">_xludf.ifna(VLOOKUP(G1322,Proyectos!$E$1:$H$4,4,0),"")</f>
        <v>#NAME?</v>
      </c>
      <c r="G1321" s="26" t="s">
        <v>5196</v>
      </c>
      <c r="H1321" s="32">
        <v>0.4</v>
      </c>
      <c r="I1321" s="31" t="s">
        <v>18</v>
      </c>
      <c r="J1321" s="32"/>
      <c r="K1321" s="32" t="str">
        <f t="shared" si="5"/>
        <v>Interno</v>
      </c>
      <c r="L1321" s="32" t="e">
        <f ca="1">_xludf.ifna(VLOOKUP(G1322,Proyectos!$E$1:$N$4,10,0),"")</f>
        <v>#NAME?</v>
      </c>
      <c r="M1321" s="32"/>
      <c r="N1321" s="31"/>
      <c r="O1321" s="31"/>
      <c r="P1321" s="33"/>
      <c r="Q1321" s="33"/>
    </row>
    <row r="1322" spans="1:17" ht="16.5" customHeight="1" x14ac:dyDescent="0.2">
      <c r="A1322" s="26" t="s">
        <v>4736</v>
      </c>
      <c r="B1322" s="26" t="s">
        <v>4737</v>
      </c>
      <c r="C1322" s="26" t="s">
        <v>7</v>
      </c>
      <c r="D1322" s="26" t="s">
        <v>16</v>
      </c>
      <c r="E1322" s="26" t="s">
        <v>39</v>
      </c>
      <c r="F1322" s="28" t="e">
        <f ca="1">_xludf.ifna(VLOOKUP(G1323,Proyectos!$E$1:$H$4,4,0),"")</f>
        <v>#NAME?</v>
      </c>
      <c r="G1322" s="26" t="s">
        <v>5158</v>
      </c>
      <c r="H1322" s="32">
        <v>0.3</v>
      </c>
      <c r="I1322" s="31" t="s">
        <v>18</v>
      </c>
      <c r="J1322" s="32"/>
      <c r="K1322" s="32" t="str">
        <f t="shared" si="5"/>
        <v>Interno</v>
      </c>
      <c r="L1322" s="32" t="e">
        <f ca="1">_xludf.ifna(VLOOKUP(G1323,Proyectos!$E$1:$N$4,10,0),"")</f>
        <v>#NAME?</v>
      </c>
      <c r="M1322" s="32"/>
      <c r="N1322" s="31"/>
      <c r="O1322" s="31"/>
      <c r="P1322" s="33"/>
      <c r="Q1322" s="33"/>
    </row>
    <row r="1323" spans="1:17" ht="16.5" customHeight="1" x14ac:dyDescent="0.2">
      <c r="A1323" s="26" t="s">
        <v>3425</v>
      </c>
      <c r="B1323" s="26" t="s">
        <v>5886</v>
      </c>
      <c r="C1323" s="26" t="s">
        <v>64</v>
      </c>
      <c r="D1323" s="26" t="s">
        <v>82</v>
      </c>
      <c r="E1323" s="26" t="s">
        <v>39</v>
      </c>
      <c r="F1323" s="28" t="e">
        <f ca="1">_xludf.ifna(VLOOKUP(G1324,Proyectos!$E$1:$H$4,4,0),"")</f>
        <v>#NAME?</v>
      </c>
      <c r="G1323" s="26" t="s">
        <v>5597</v>
      </c>
      <c r="H1323" s="32">
        <v>0.25</v>
      </c>
      <c r="I1323" s="31" t="s">
        <v>11</v>
      </c>
      <c r="J1323" s="32"/>
      <c r="K1323" s="32" t="str">
        <f t="shared" si="5"/>
        <v>Interno</v>
      </c>
      <c r="L1323" s="32" t="e">
        <f ca="1">_xludf.ifna(VLOOKUP(G1324,Proyectos!$E$1:$N$4,10,0),"")</f>
        <v>#NAME?</v>
      </c>
      <c r="M1323" s="32"/>
      <c r="N1323" s="31"/>
      <c r="O1323" s="31"/>
      <c r="P1323" s="33"/>
      <c r="Q1323" s="33"/>
    </row>
    <row r="1324" spans="1:17" ht="16.5" customHeight="1" x14ac:dyDescent="0.2">
      <c r="A1324" s="26" t="s">
        <v>3425</v>
      </c>
      <c r="B1324" s="26" t="s">
        <v>5886</v>
      </c>
      <c r="C1324" s="26" t="s">
        <v>64</v>
      </c>
      <c r="D1324" s="26" t="s">
        <v>82</v>
      </c>
      <c r="E1324" s="26" t="s">
        <v>39</v>
      </c>
      <c r="F1324" s="28" t="e">
        <f ca="1">_xludf.ifna(VLOOKUP(G1325,Proyectos!$E$1:$H$4,4,0),"")</f>
        <v>#NAME?</v>
      </c>
      <c r="G1324" s="26" t="s">
        <v>5387</v>
      </c>
      <c r="H1324" s="32">
        <v>0.75</v>
      </c>
      <c r="I1324" s="31" t="s">
        <v>11</v>
      </c>
      <c r="J1324" s="32"/>
      <c r="K1324" s="32" t="str">
        <f t="shared" si="5"/>
        <v>Interno</v>
      </c>
      <c r="L1324" s="32" t="e">
        <f ca="1">_xludf.ifna(VLOOKUP(G1325,Proyectos!$E$1:$N$4,10,0),"")</f>
        <v>#NAME?</v>
      </c>
      <c r="M1324" s="32"/>
      <c r="N1324" s="32"/>
      <c r="O1324" s="31"/>
      <c r="P1324" s="33"/>
      <c r="Q1324" s="33"/>
    </row>
    <row r="1325" spans="1:17" ht="16.5" customHeight="1" x14ac:dyDescent="0.2">
      <c r="A1325" s="26" t="s">
        <v>3566</v>
      </c>
      <c r="B1325" s="26" t="s">
        <v>3567</v>
      </c>
      <c r="C1325" s="53" t="s">
        <v>64</v>
      </c>
      <c r="D1325" s="26" t="s">
        <v>92</v>
      </c>
      <c r="E1325" s="53" t="s">
        <v>39</v>
      </c>
      <c r="F1325" s="28" t="e">
        <f ca="1">_xludf.ifna(VLOOKUP(G1326,Proyectos!$E$1:$H$4,4,0),"")</f>
        <v>#NAME?</v>
      </c>
      <c r="G1325" s="26" t="s">
        <v>5652</v>
      </c>
      <c r="H1325" s="32">
        <v>1</v>
      </c>
      <c r="I1325" s="31" t="s">
        <v>18</v>
      </c>
      <c r="J1325" s="32"/>
      <c r="K1325" s="32" t="str">
        <f t="shared" si="5"/>
        <v>Interno</v>
      </c>
      <c r="L1325" s="32" t="e">
        <f ca="1">_xludf.ifna(VLOOKUP(G1326,Proyectos!$E$1:$N$4,10,0),"")</f>
        <v>#NAME?</v>
      </c>
      <c r="M1325" s="32"/>
      <c r="N1325" s="32"/>
      <c r="O1325" s="31"/>
      <c r="P1325" s="33"/>
      <c r="Q1325" s="33"/>
    </row>
    <row r="1326" spans="1:17" ht="16.5" customHeight="1" x14ac:dyDescent="0.2">
      <c r="A1326" s="26" t="s">
        <v>3528</v>
      </c>
      <c r="B1326" s="26" t="s">
        <v>3529</v>
      </c>
      <c r="C1326" s="26" t="s">
        <v>37</v>
      </c>
      <c r="D1326" s="26" t="s">
        <v>38</v>
      </c>
      <c r="E1326" s="26" t="s">
        <v>39</v>
      </c>
      <c r="F1326" s="28" t="e">
        <f ca="1">_xludf.ifna(VLOOKUP(G1327,Proyectos!$E$1:$H$4,4,0),"")</f>
        <v>#NAME?</v>
      </c>
      <c r="G1326" s="26" t="s">
        <v>5339</v>
      </c>
      <c r="H1326" s="32">
        <v>1</v>
      </c>
      <c r="I1326" s="31" t="s">
        <v>18</v>
      </c>
      <c r="J1326" s="32"/>
      <c r="K1326" s="32" t="str">
        <f t="shared" si="5"/>
        <v>Interno</v>
      </c>
      <c r="L1326" s="32" t="e">
        <f ca="1">_xludf.ifna(VLOOKUP(G1327,Proyectos!$E$1:$N$4,10,0),"")</f>
        <v>#NAME?</v>
      </c>
      <c r="M1326" s="32"/>
      <c r="N1326" s="32"/>
      <c r="O1326" s="31"/>
      <c r="P1326" s="33"/>
      <c r="Q1326" s="33"/>
    </row>
    <row r="1327" spans="1:17" ht="16.5" customHeight="1" x14ac:dyDescent="0.2">
      <c r="A1327" s="26" t="s">
        <v>4390</v>
      </c>
      <c r="B1327" s="26" t="s">
        <v>4391</v>
      </c>
      <c r="C1327" s="26" t="s">
        <v>98</v>
      </c>
      <c r="D1327" s="26" t="s">
        <v>105</v>
      </c>
      <c r="E1327" s="26" t="s">
        <v>93</v>
      </c>
      <c r="F1327" s="28" t="e">
        <f ca="1">_xludf.ifna(VLOOKUP(G1328,Proyectos!$E$1:$H$4,4,0),"")</f>
        <v>#NAME?</v>
      </c>
      <c r="G1327" s="26" t="s">
        <v>5597</v>
      </c>
      <c r="H1327" s="32">
        <v>1</v>
      </c>
      <c r="I1327" s="31" t="s">
        <v>18</v>
      </c>
      <c r="J1327" s="32"/>
      <c r="K1327" s="32" t="str">
        <f t="shared" si="5"/>
        <v>Externo</v>
      </c>
      <c r="L1327" s="32" t="e">
        <f ca="1">_xludf.ifna(VLOOKUP(G1328,Proyectos!$E$1:$N$4,10,0),"")</f>
        <v>#NAME?</v>
      </c>
      <c r="M1327" s="32"/>
      <c r="N1327" s="32"/>
      <c r="O1327" s="31"/>
      <c r="P1327" s="33"/>
      <c r="Q1327" s="33"/>
    </row>
    <row r="1328" spans="1:17" ht="16.5" customHeight="1" x14ac:dyDescent="0.2">
      <c r="A1328" s="35" t="s">
        <v>4324</v>
      </c>
      <c r="B1328" s="26" t="s">
        <v>5522</v>
      </c>
      <c r="C1328" s="26" t="s">
        <v>64</v>
      </c>
      <c r="D1328" s="26" t="s">
        <v>82</v>
      </c>
      <c r="E1328" s="35" t="s">
        <v>9</v>
      </c>
      <c r="F1328" s="28" t="e">
        <f ca="1">_xludf.ifna(VLOOKUP(G1329,Proyectos!$E$1:$H$4,4,0),"")</f>
        <v>#NAME?</v>
      </c>
      <c r="G1328" s="26" t="s">
        <v>5387</v>
      </c>
      <c r="H1328" s="32">
        <v>1</v>
      </c>
      <c r="I1328" s="31" t="s">
        <v>25</v>
      </c>
      <c r="J1328" s="32"/>
      <c r="K1328" s="32" t="str">
        <f t="shared" si="5"/>
        <v>Externo</v>
      </c>
      <c r="L1328" s="32" t="e">
        <f ca="1">_xludf.ifna(VLOOKUP(G1329,Proyectos!$E$1:$N$4,10,0),"")</f>
        <v>#NAME?</v>
      </c>
      <c r="M1328" s="32"/>
      <c r="N1328" s="32"/>
      <c r="O1328" s="31"/>
      <c r="P1328" s="33"/>
      <c r="Q1328" s="33"/>
    </row>
    <row r="1329" spans="1:17" ht="16.5" customHeight="1" x14ac:dyDescent="0.2">
      <c r="A1329" s="26" t="s">
        <v>4000</v>
      </c>
      <c r="B1329" s="26" t="s">
        <v>4001</v>
      </c>
      <c r="C1329" s="26" t="s">
        <v>115</v>
      </c>
      <c r="D1329" s="26" t="s">
        <v>128</v>
      </c>
      <c r="E1329" s="26" t="s">
        <v>83</v>
      </c>
      <c r="F1329" s="28" t="e">
        <f ca="1">_xludf.ifna(VLOOKUP(G1330,Proyectos!$E$1:$H$4,4,0),"")</f>
        <v>#NAME?</v>
      </c>
      <c r="G1329" s="26" t="s">
        <v>5576</v>
      </c>
      <c r="H1329" s="32">
        <v>1</v>
      </c>
      <c r="I1329" s="31" t="s">
        <v>18</v>
      </c>
      <c r="J1329" s="32"/>
      <c r="K1329" s="32" t="str">
        <f t="shared" si="5"/>
        <v>Externo</v>
      </c>
      <c r="L1329" s="32" t="e">
        <f ca="1">_xludf.ifna(VLOOKUP(G1330,Proyectos!$E$1:$N$4,10,0),"")</f>
        <v>#NAME?</v>
      </c>
      <c r="M1329" s="32"/>
      <c r="N1329" s="32"/>
      <c r="O1329" s="31"/>
      <c r="P1329" s="33"/>
      <c r="Q1329" s="33"/>
    </row>
    <row r="1330" spans="1:17" ht="16.5" customHeight="1" x14ac:dyDescent="0.2">
      <c r="A1330" s="26" t="s">
        <v>5039</v>
      </c>
      <c r="B1330" s="26" t="s">
        <v>5040</v>
      </c>
      <c r="C1330" s="26" t="s">
        <v>98</v>
      </c>
      <c r="D1330" s="26" t="s">
        <v>107</v>
      </c>
      <c r="E1330" s="26" t="s">
        <v>87</v>
      </c>
      <c r="F1330" s="28" t="e">
        <f ca="1">_xludf.ifna(VLOOKUP(G1331,Proyectos!$E$1:$H$4,4,0),"")</f>
        <v>#NAME?</v>
      </c>
      <c r="G1330" s="26" t="s">
        <v>5329</v>
      </c>
      <c r="H1330" s="32">
        <v>1</v>
      </c>
      <c r="I1330" s="31" t="s">
        <v>18</v>
      </c>
      <c r="J1330" s="32"/>
      <c r="K1330" s="32" t="str">
        <f t="shared" si="5"/>
        <v>Externo</v>
      </c>
      <c r="L1330" s="32" t="e">
        <f ca="1">_xludf.ifna(VLOOKUP(G1331,Proyectos!$E$1:$N$4,10,0),"")</f>
        <v>#NAME?</v>
      </c>
      <c r="M1330" s="32"/>
      <c r="N1330" s="32"/>
      <c r="O1330" s="31"/>
      <c r="P1330" s="33"/>
      <c r="Q1330" s="33"/>
    </row>
    <row r="1331" spans="1:17" ht="16.5" customHeight="1" x14ac:dyDescent="0.2">
      <c r="A1331" s="26" t="s">
        <v>4918</v>
      </c>
      <c r="B1331" s="26" t="s">
        <v>5276</v>
      </c>
      <c r="C1331" s="26" t="s">
        <v>7</v>
      </c>
      <c r="D1331" s="26" t="s">
        <v>16</v>
      </c>
      <c r="E1331" s="26" t="s">
        <v>87</v>
      </c>
      <c r="F1331" s="28" t="e">
        <f ca="1">_xludf.ifna(VLOOKUP(G1332,Proyectos!$E$1:$H$4,4,0),"")</f>
        <v>#NAME?</v>
      </c>
      <c r="G1331" s="26" t="s">
        <v>5266</v>
      </c>
      <c r="H1331" s="30">
        <v>0.6</v>
      </c>
      <c r="I1331" s="31" t="s">
        <v>18</v>
      </c>
      <c r="J1331" s="32"/>
      <c r="K1331" s="32" t="str">
        <f t="shared" si="5"/>
        <v>Externo</v>
      </c>
      <c r="L1331" s="32" t="e">
        <f ca="1">_xludf.ifna(VLOOKUP(G1332,Proyectos!$E$1:$N$4,10,0),"")</f>
        <v>#NAME?</v>
      </c>
      <c r="M1331" s="32"/>
      <c r="N1331" s="32"/>
      <c r="O1331" s="31"/>
      <c r="P1331" s="33"/>
      <c r="Q1331" s="33"/>
    </row>
    <row r="1332" spans="1:17" ht="16.5" customHeight="1" x14ac:dyDescent="0.2">
      <c r="A1332" s="26" t="s">
        <v>4918</v>
      </c>
      <c r="B1332" s="26" t="s">
        <v>5276</v>
      </c>
      <c r="C1332" s="26" t="s">
        <v>7</v>
      </c>
      <c r="D1332" s="26" t="s">
        <v>16</v>
      </c>
      <c r="E1332" s="26" t="s">
        <v>87</v>
      </c>
      <c r="F1332" s="28" t="e">
        <f ca="1">_xludf.ifna(VLOOKUP(G1333,Proyectos!$E$1:$H$4,4,0),"")</f>
        <v>#NAME?</v>
      </c>
      <c r="G1332" s="26" t="s">
        <v>5707</v>
      </c>
      <c r="H1332" s="30">
        <v>0.4</v>
      </c>
      <c r="I1332" s="31" t="s">
        <v>18</v>
      </c>
      <c r="J1332" s="32"/>
      <c r="K1332" s="32" t="str">
        <f t="shared" si="5"/>
        <v>Externo</v>
      </c>
      <c r="L1332" s="32" t="e">
        <f ca="1">_xludf.ifna(VLOOKUP(G1333,Proyectos!$E$1:$N$4,10,0),"")</f>
        <v>#NAME?</v>
      </c>
      <c r="M1332" s="32"/>
      <c r="N1332" s="32"/>
      <c r="O1332" s="31"/>
      <c r="P1332" s="33"/>
      <c r="Q1332" s="33"/>
    </row>
    <row r="1333" spans="1:17" ht="16.5" customHeight="1" x14ac:dyDescent="0.2">
      <c r="A1333" s="35" t="s">
        <v>3480</v>
      </c>
      <c r="B1333" s="35" t="s">
        <v>3481</v>
      </c>
      <c r="C1333" s="26" t="s">
        <v>115</v>
      </c>
      <c r="D1333" s="26" t="s">
        <v>125</v>
      </c>
      <c r="E1333" s="26" t="s">
        <v>39</v>
      </c>
      <c r="F1333" s="28" t="e">
        <f ca="1">_xludf.ifna(VLOOKUP(G1334,Proyectos!$E$1:$H$4,4,0),"")</f>
        <v>#NAME?</v>
      </c>
      <c r="G1333" s="26" t="s">
        <v>5526</v>
      </c>
      <c r="H1333" s="32">
        <v>1</v>
      </c>
      <c r="I1333" s="31" t="s">
        <v>18</v>
      </c>
      <c r="J1333" s="31"/>
      <c r="K1333" s="32" t="str">
        <f t="shared" si="5"/>
        <v>Interno</v>
      </c>
      <c r="L1333" s="32" t="e">
        <f ca="1">_xludf.ifna(VLOOKUP(G1334,Proyectos!$E$1:$N$4,10,0),"")</f>
        <v>#NAME?</v>
      </c>
      <c r="M1333" s="32"/>
      <c r="N1333" s="32"/>
      <c r="O1333" s="31"/>
      <c r="P1333" s="33"/>
      <c r="Q1333" s="33"/>
    </row>
    <row r="1334" spans="1:17" ht="16.5" customHeight="1" x14ac:dyDescent="0.2">
      <c r="A1334" s="26" t="s">
        <v>4448</v>
      </c>
      <c r="B1334" s="26" t="s">
        <v>5292</v>
      </c>
      <c r="C1334" s="53" t="s">
        <v>64</v>
      </c>
      <c r="D1334" s="26" t="s">
        <v>92</v>
      </c>
      <c r="E1334" s="26" t="s">
        <v>100</v>
      </c>
      <c r="F1334" s="28" t="e">
        <f ca="1">_xludf.ifna(VLOOKUP(G1335,Proyectos!$E$1:$H$4,4,0),"")</f>
        <v>#NAME?</v>
      </c>
      <c r="G1334" s="26" t="s">
        <v>5217</v>
      </c>
      <c r="H1334" s="32">
        <v>1</v>
      </c>
      <c r="I1334" s="31" t="s">
        <v>18</v>
      </c>
      <c r="J1334" s="32"/>
      <c r="K1334" s="32" t="str">
        <f t="shared" si="5"/>
        <v>Externo</v>
      </c>
      <c r="L1334" s="32" t="e">
        <f ca="1">_xludf.ifna(VLOOKUP(G1335,Proyectos!$E$1:$N$4,10,0),"")</f>
        <v>#NAME?</v>
      </c>
      <c r="M1334" s="32"/>
      <c r="N1334" s="32"/>
      <c r="O1334" s="31"/>
      <c r="P1334" s="33"/>
      <c r="Q1334" s="33"/>
    </row>
    <row r="1335" spans="1:17" ht="16.5" customHeight="1" x14ac:dyDescent="0.2">
      <c r="A1335" s="35" t="s">
        <v>4827</v>
      </c>
      <c r="B1335" s="26" t="s">
        <v>5523</v>
      </c>
      <c r="C1335" s="26" t="s">
        <v>64</v>
      </c>
      <c r="D1335" s="26" t="s">
        <v>82</v>
      </c>
      <c r="E1335" s="35" t="s">
        <v>135</v>
      </c>
      <c r="F1335" s="28" t="e">
        <f ca="1">_xludf.ifna(VLOOKUP(G1336,Proyectos!$E$1:$H$4,4,0),"")</f>
        <v>#NAME?</v>
      </c>
      <c r="G1335" s="26" t="s">
        <v>5387</v>
      </c>
      <c r="H1335" s="32">
        <v>1</v>
      </c>
      <c r="I1335" s="31" t="s">
        <v>18</v>
      </c>
      <c r="J1335" s="32"/>
      <c r="K1335" s="32" t="str">
        <f t="shared" si="5"/>
        <v>Externo</v>
      </c>
      <c r="L1335" s="32" t="e">
        <f ca="1">_xludf.ifna(VLOOKUP(G1336,Proyectos!$E$1:$N$4,10,0),"")</f>
        <v>#NAME?</v>
      </c>
      <c r="M1335" s="32"/>
      <c r="N1335" s="32"/>
      <c r="O1335" s="31"/>
      <c r="P1335" s="33"/>
      <c r="Q1335" s="33"/>
    </row>
    <row r="1336" spans="1:17" ht="16.5" customHeight="1" x14ac:dyDescent="0.2">
      <c r="A1336" s="26" t="s">
        <v>4755</v>
      </c>
      <c r="B1336" s="26" t="s">
        <v>4756</v>
      </c>
      <c r="C1336" s="26" t="s">
        <v>115</v>
      </c>
      <c r="D1336" s="26" t="s">
        <v>119</v>
      </c>
      <c r="E1336" s="26" t="s">
        <v>39</v>
      </c>
      <c r="F1336" s="28" t="e">
        <f ca="1">_xludf.ifna(VLOOKUP(G1337,Proyectos!$E$1:$H$4,4,0),"")</f>
        <v>#NAME?</v>
      </c>
      <c r="G1336" s="26" t="s">
        <v>5227</v>
      </c>
      <c r="H1336" s="32">
        <v>0.5</v>
      </c>
      <c r="I1336" s="31" t="s">
        <v>18</v>
      </c>
      <c r="J1336" s="32"/>
      <c r="K1336" s="32" t="str">
        <f t="shared" si="5"/>
        <v>Interno</v>
      </c>
      <c r="L1336" s="32" t="e">
        <f ca="1">_xludf.ifna(VLOOKUP(G1337,Proyectos!$E$1:$N$4,10,0),"")</f>
        <v>#NAME?</v>
      </c>
      <c r="M1336" s="32"/>
      <c r="N1336" s="31"/>
      <c r="O1336" s="31"/>
      <c r="P1336" s="33"/>
      <c r="Q1336" s="33"/>
    </row>
    <row r="1337" spans="1:17" ht="16.5" customHeight="1" x14ac:dyDescent="0.2">
      <c r="A1337" s="26" t="s">
        <v>4755</v>
      </c>
      <c r="B1337" s="26" t="s">
        <v>4756</v>
      </c>
      <c r="C1337" s="26" t="s">
        <v>115</v>
      </c>
      <c r="D1337" s="26" t="s">
        <v>119</v>
      </c>
      <c r="E1337" s="26" t="s">
        <v>39</v>
      </c>
      <c r="F1337" s="28" t="e">
        <f ca="1">_xludf.ifna(VLOOKUP(G1338,Proyectos!$E$1:$H$4,4,0),"")</f>
        <v>#NAME?</v>
      </c>
      <c r="G1337" s="26" t="s">
        <v>5224</v>
      </c>
      <c r="H1337" s="32">
        <v>0.5</v>
      </c>
      <c r="I1337" s="31" t="s">
        <v>18</v>
      </c>
      <c r="J1337" s="32"/>
      <c r="K1337" s="32" t="str">
        <f t="shared" si="5"/>
        <v>Interno</v>
      </c>
      <c r="L1337" s="32" t="e">
        <f ca="1">_xludf.ifna(VLOOKUP(G1338,Proyectos!$E$1:$N$4,10,0),"")</f>
        <v>#NAME?</v>
      </c>
      <c r="M1337" s="32"/>
      <c r="N1337" s="31"/>
      <c r="O1337" s="31"/>
      <c r="P1337" s="33"/>
      <c r="Q1337" s="33"/>
    </row>
    <row r="1338" spans="1:17" ht="16.5" customHeight="1" x14ac:dyDescent="0.2">
      <c r="A1338" s="26" t="s">
        <v>4597</v>
      </c>
      <c r="B1338" s="26" t="s">
        <v>4598</v>
      </c>
      <c r="C1338" s="26" t="s">
        <v>115</v>
      </c>
      <c r="D1338" s="26" t="s">
        <v>122</v>
      </c>
      <c r="E1338" s="26" t="s">
        <v>39</v>
      </c>
      <c r="F1338" s="28" t="e">
        <f ca="1">_xludf.ifna(VLOOKUP(G1339,Proyectos!$E$1:$H$4,4,0),"")</f>
        <v>#NAME?</v>
      </c>
      <c r="G1338" s="26" t="s">
        <v>5423</v>
      </c>
      <c r="H1338" s="32">
        <v>0.5</v>
      </c>
      <c r="I1338" s="31" t="s">
        <v>18</v>
      </c>
      <c r="J1338" s="32"/>
      <c r="K1338" s="32" t="str">
        <f t="shared" si="5"/>
        <v>Interno</v>
      </c>
      <c r="L1338" s="32" t="e">
        <f ca="1">_xludf.ifna(VLOOKUP(G1339,Proyectos!$E$1:$N$4,10,0),"")</f>
        <v>#NAME?</v>
      </c>
      <c r="M1338" s="32"/>
      <c r="N1338" s="31"/>
      <c r="O1338" s="31"/>
      <c r="P1338" s="33"/>
      <c r="Q1338" s="33"/>
    </row>
    <row r="1339" spans="1:17" ht="16.5" customHeight="1" x14ac:dyDescent="0.2">
      <c r="A1339" s="26" t="s">
        <v>4597</v>
      </c>
      <c r="B1339" s="26" t="s">
        <v>4598</v>
      </c>
      <c r="C1339" s="26" t="s">
        <v>115</v>
      </c>
      <c r="D1339" s="26" t="s">
        <v>122</v>
      </c>
      <c r="E1339" s="26" t="s">
        <v>39</v>
      </c>
      <c r="F1339" s="28" t="e">
        <f ca="1">_xludf.ifna(VLOOKUP(G1340,Proyectos!$E$1:$H$4,4,0),"")</f>
        <v>#NAME?</v>
      </c>
      <c r="G1339" s="26" t="s">
        <v>5597</v>
      </c>
      <c r="H1339" s="32">
        <v>0.5</v>
      </c>
      <c r="I1339" s="31" t="s">
        <v>18</v>
      </c>
      <c r="J1339" s="32"/>
      <c r="K1339" s="32" t="str">
        <f t="shared" si="5"/>
        <v>Interno</v>
      </c>
      <c r="L1339" s="32" t="e">
        <f ca="1">_xludf.ifna(VLOOKUP(G1340,Proyectos!$E$1:$N$4,10,0),"")</f>
        <v>#NAME?</v>
      </c>
      <c r="M1339" s="32"/>
      <c r="N1339" s="31"/>
      <c r="O1339" s="31"/>
      <c r="P1339" s="33"/>
      <c r="Q1339" s="33"/>
    </row>
    <row r="1340" spans="1:17" ht="16.5" customHeight="1" x14ac:dyDescent="0.2">
      <c r="A1340" s="26" t="s">
        <v>4743</v>
      </c>
      <c r="B1340" s="26" t="s">
        <v>4744</v>
      </c>
      <c r="C1340" s="53" t="s">
        <v>64</v>
      </c>
      <c r="D1340" s="26" t="s">
        <v>92</v>
      </c>
      <c r="E1340" s="26" t="s">
        <v>39</v>
      </c>
      <c r="F1340" s="28" t="e">
        <f ca="1">_xludf.ifna(VLOOKUP(G1341,Proyectos!$E$1:$H$4,4,0),"")</f>
        <v>#NAME?</v>
      </c>
      <c r="G1340" s="26" t="s">
        <v>5653</v>
      </c>
      <c r="H1340" s="32">
        <v>0.6</v>
      </c>
      <c r="I1340" s="31" t="s">
        <v>11</v>
      </c>
      <c r="J1340" s="32"/>
      <c r="K1340" s="32" t="str">
        <f t="shared" si="5"/>
        <v>Interno</v>
      </c>
      <c r="L1340" s="32" t="e">
        <f ca="1">_xludf.ifna(VLOOKUP(G1341,Proyectos!$E$1:$N$4,10,0),"")</f>
        <v>#NAME?</v>
      </c>
      <c r="M1340" s="32"/>
      <c r="N1340" s="32"/>
      <c r="O1340" s="31"/>
      <c r="P1340" s="33"/>
      <c r="Q1340" s="33"/>
    </row>
    <row r="1341" spans="1:17" ht="16.5" customHeight="1" x14ac:dyDescent="0.2">
      <c r="A1341" s="26" t="s">
        <v>4743</v>
      </c>
      <c r="B1341" s="26" t="s">
        <v>4744</v>
      </c>
      <c r="C1341" s="53" t="s">
        <v>64</v>
      </c>
      <c r="D1341" s="26" t="s">
        <v>92</v>
      </c>
      <c r="E1341" s="26" t="s">
        <v>39</v>
      </c>
      <c r="F1341" s="28" t="e">
        <f ca="1">_xludf.ifna(VLOOKUP(G1342,Proyectos!$E$1:$H$4,4,0),"")</f>
        <v>#NAME?</v>
      </c>
      <c r="G1341" s="26" t="s">
        <v>5310</v>
      </c>
      <c r="H1341" s="32">
        <v>0.3</v>
      </c>
      <c r="I1341" s="31" t="s">
        <v>11</v>
      </c>
      <c r="J1341" s="32"/>
      <c r="K1341" s="32" t="str">
        <f t="shared" si="5"/>
        <v>Interno</v>
      </c>
      <c r="L1341" s="32" t="e">
        <f ca="1">_xludf.ifna(VLOOKUP(G1342,Proyectos!$E$1:$N$4,10,0),"")</f>
        <v>#NAME?</v>
      </c>
      <c r="M1341" s="32"/>
      <c r="N1341" s="32"/>
      <c r="O1341" s="31"/>
      <c r="P1341" s="33"/>
      <c r="Q1341" s="33"/>
    </row>
    <row r="1342" spans="1:17" ht="16.5" customHeight="1" x14ac:dyDescent="0.2">
      <c r="A1342" s="26" t="s">
        <v>4743</v>
      </c>
      <c r="B1342" s="26" t="s">
        <v>4744</v>
      </c>
      <c r="C1342" s="53" t="s">
        <v>64</v>
      </c>
      <c r="D1342" s="26" t="s">
        <v>92</v>
      </c>
      <c r="E1342" s="26" t="s">
        <v>39</v>
      </c>
      <c r="F1342" s="28" t="e">
        <f ca="1">_xludf.ifna(VLOOKUP(G1343,Proyectos!$E$1:$H$4,4,0),"")</f>
        <v>#NAME?</v>
      </c>
      <c r="G1342" s="26" t="s">
        <v>5597</v>
      </c>
      <c r="H1342" s="32">
        <v>0.1</v>
      </c>
      <c r="I1342" s="31" t="s">
        <v>11</v>
      </c>
      <c r="J1342" s="32"/>
      <c r="K1342" s="32" t="str">
        <f t="shared" si="5"/>
        <v>Interno</v>
      </c>
      <c r="L1342" s="32" t="e">
        <f ca="1">_xludf.ifna(VLOOKUP(G1343,Proyectos!$E$1:$N$4,10,0),"")</f>
        <v>#NAME?</v>
      </c>
      <c r="M1342" s="32"/>
      <c r="N1342" s="31"/>
      <c r="O1342" s="31"/>
      <c r="P1342" s="33"/>
      <c r="Q1342" s="33"/>
    </row>
    <row r="1343" spans="1:17" ht="16.5" customHeight="1" x14ac:dyDescent="0.2">
      <c r="A1343" s="26" t="s">
        <v>3518</v>
      </c>
      <c r="B1343" s="26" t="s">
        <v>3519</v>
      </c>
      <c r="C1343" s="26" t="s">
        <v>115</v>
      </c>
      <c r="D1343" s="26" t="s">
        <v>116</v>
      </c>
      <c r="E1343" s="26" t="s">
        <v>39</v>
      </c>
      <c r="F1343" s="28" t="e">
        <f ca="1">_xludf.ifna(VLOOKUP(G1344,Proyectos!$E$1:$H$4,4,0),"")</f>
        <v>#NAME?</v>
      </c>
      <c r="G1343" s="26" t="s">
        <v>5318</v>
      </c>
      <c r="H1343" s="32">
        <v>1</v>
      </c>
      <c r="I1343" s="31" t="s">
        <v>18</v>
      </c>
      <c r="J1343" s="32"/>
      <c r="K1343" s="32" t="str">
        <f t="shared" si="5"/>
        <v>Interno</v>
      </c>
      <c r="L1343" s="32" t="e">
        <f ca="1">_xludf.ifna(VLOOKUP(G1344,Proyectos!$E$1:$N$4,10,0),"")</f>
        <v>#NAME?</v>
      </c>
      <c r="M1343" s="32"/>
      <c r="N1343" s="32"/>
      <c r="O1343" s="31"/>
      <c r="P1343" s="33"/>
      <c r="Q1343" s="33"/>
    </row>
    <row r="1344" spans="1:17" ht="16.5" customHeight="1" x14ac:dyDescent="0.2">
      <c r="A1344" s="26" t="s">
        <v>5035</v>
      </c>
      <c r="B1344" s="26" t="s">
        <v>5036</v>
      </c>
      <c r="C1344" s="26" t="s">
        <v>98</v>
      </c>
      <c r="D1344" s="26" t="s">
        <v>110</v>
      </c>
      <c r="E1344" s="26" t="s">
        <v>87</v>
      </c>
      <c r="F1344" s="28" t="e">
        <f ca="1">_xludf.ifna(VLOOKUP(G1345,Proyectos!$E$1:$H$4,4,0),"")</f>
        <v>#NAME?</v>
      </c>
      <c r="G1344" s="26" t="s">
        <v>5243</v>
      </c>
      <c r="H1344" s="32">
        <v>1</v>
      </c>
      <c r="I1344" s="31" t="s">
        <v>18</v>
      </c>
      <c r="J1344" s="32"/>
      <c r="K1344" s="32" t="str">
        <f t="shared" si="5"/>
        <v>Externo</v>
      </c>
      <c r="L1344" s="32" t="e">
        <f ca="1">_xludf.ifna(VLOOKUP(G1345,Proyectos!$E$1:$N$4,10,0),"")</f>
        <v>#NAME?</v>
      </c>
      <c r="M1344" s="32"/>
      <c r="N1344" s="32"/>
      <c r="O1344" s="31"/>
      <c r="P1344" s="33"/>
      <c r="Q1344" s="33"/>
    </row>
    <row r="1345" spans="1:17" ht="16.5" customHeight="1" x14ac:dyDescent="0.2">
      <c r="A1345" s="26" t="s">
        <v>5069</v>
      </c>
      <c r="B1345" s="26" t="s">
        <v>5070</v>
      </c>
      <c r="C1345" s="26" t="s">
        <v>98</v>
      </c>
      <c r="D1345" s="26" t="s">
        <v>113</v>
      </c>
      <c r="E1345" s="26" t="s">
        <v>126</v>
      </c>
      <c r="F1345" s="28" t="e">
        <f ca="1">_xludf.ifna(VLOOKUP(G1346,Proyectos!$E$1:$H$4,4,0),"")</f>
        <v>#NAME?</v>
      </c>
      <c r="G1345" s="26" t="s">
        <v>5133</v>
      </c>
      <c r="H1345" s="32">
        <v>1</v>
      </c>
      <c r="I1345" s="31" t="s">
        <v>18</v>
      </c>
      <c r="J1345" s="32"/>
      <c r="K1345" s="32" t="str">
        <f t="shared" si="5"/>
        <v>Externo</v>
      </c>
      <c r="L1345" s="32" t="e">
        <f ca="1">_xludf.ifna(VLOOKUP(G1346,Proyectos!$E$1:$N$4,10,0),"")</f>
        <v>#NAME?</v>
      </c>
      <c r="M1345" s="32"/>
      <c r="N1345" s="32"/>
      <c r="O1345" s="31"/>
      <c r="P1345" s="33"/>
      <c r="Q1345" s="33"/>
    </row>
    <row r="1346" spans="1:17" ht="16.5" customHeight="1" x14ac:dyDescent="0.2">
      <c r="A1346" s="26" t="s">
        <v>3864</v>
      </c>
      <c r="B1346" s="26" t="s">
        <v>3865</v>
      </c>
      <c r="C1346" s="26" t="s">
        <v>98</v>
      </c>
      <c r="D1346" s="26" t="s">
        <v>107</v>
      </c>
      <c r="E1346" s="26" t="s">
        <v>39</v>
      </c>
      <c r="F1346" s="28" t="e">
        <f ca="1">_xludf.ifna(VLOOKUP(G1347,Proyectos!$E$1:$H$4,4,0),"")</f>
        <v>#NAME?</v>
      </c>
      <c r="G1346" s="26" t="s">
        <v>5329</v>
      </c>
      <c r="H1346" s="32">
        <v>0.25</v>
      </c>
      <c r="I1346" s="31" t="s">
        <v>18</v>
      </c>
      <c r="J1346" s="32"/>
      <c r="K1346" s="32" t="str">
        <f t="shared" si="5"/>
        <v>Interno</v>
      </c>
      <c r="L1346" s="32" t="e">
        <f ca="1">_xludf.ifna(VLOOKUP(G1347,Proyectos!$E$1:$N$4,10,0),"")</f>
        <v>#NAME?</v>
      </c>
      <c r="M1346" s="32"/>
      <c r="N1346" s="32"/>
      <c r="O1346" s="31"/>
      <c r="P1346" s="33"/>
      <c r="Q1346" s="33"/>
    </row>
    <row r="1347" spans="1:17" ht="16.5" customHeight="1" x14ac:dyDescent="0.2">
      <c r="A1347" s="26" t="s">
        <v>3864</v>
      </c>
      <c r="B1347" s="26" t="s">
        <v>3865</v>
      </c>
      <c r="C1347" s="26" t="s">
        <v>98</v>
      </c>
      <c r="D1347" s="26" t="s">
        <v>107</v>
      </c>
      <c r="E1347" s="26" t="s">
        <v>39</v>
      </c>
      <c r="F1347" s="28" t="e">
        <f ca="1">_xludf.ifna(VLOOKUP(G1348,Proyectos!$E$1:$H$4,4,0),"")</f>
        <v>#NAME?</v>
      </c>
      <c r="G1347" s="26" t="s">
        <v>5524</v>
      </c>
      <c r="H1347" s="32">
        <v>0.5</v>
      </c>
      <c r="I1347" s="31" t="s">
        <v>18</v>
      </c>
      <c r="J1347" s="32"/>
      <c r="K1347" s="32" t="str">
        <f t="shared" si="5"/>
        <v>Interno</v>
      </c>
      <c r="L1347" s="32" t="e">
        <f ca="1">_xludf.ifna(VLOOKUP(G1348,Proyectos!$E$1:$N$4,10,0),"")</f>
        <v>#NAME?</v>
      </c>
      <c r="M1347" s="32"/>
      <c r="N1347" s="32"/>
      <c r="O1347" s="31"/>
      <c r="P1347" s="33"/>
      <c r="Q1347" s="33"/>
    </row>
    <row r="1348" spans="1:17" ht="16.5" customHeight="1" x14ac:dyDescent="0.2">
      <c r="A1348" s="26" t="s">
        <v>3864</v>
      </c>
      <c r="B1348" s="26" t="s">
        <v>3865</v>
      </c>
      <c r="C1348" s="26" t="s">
        <v>98</v>
      </c>
      <c r="D1348" s="26" t="s">
        <v>107</v>
      </c>
      <c r="E1348" s="26" t="s">
        <v>39</v>
      </c>
      <c r="F1348" s="28" t="e">
        <f ca="1">_xludf.ifna(VLOOKUP(G1349,Proyectos!$E$1:$H$4,4,0),"")</f>
        <v>#NAME?</v>
      </c>
      <c r="G1348" s="26" t="s">
        <v>5347</v>
      </c>
      <c r="H1348" s="32">
        <v>0.25</v>
      </c>
      <c r="I1348" s="31" t="s">
        <v>18</v>
      </c>
      <c r="J1348" s="32"/>
      <c r="K1348" s="32" t="str">
        <f t="shared" si="5"/>
        <v>Interno</v>
      </c>
      <c r="L1348" s="32" t="e">
        <f ca="1">_xludf.ifna(VLOOKUP(G1349,Proyectos!$E$1:$N$4,10,0),"")</f>
        <v>#NAME?</v>
      </c>
      <c r="M1348" s="32"/>
      <c r="N1348" s="32"/>
      <c r="O1348" s="31"/>
      <c r="P1348" s="33"/>
      <c r="Q1348" s="33"/>
    </row>
    <row r="1349" spans="1:17" ht="16.5" customHeight="1" x14ac:dyDescent="0.2">
      <c r="A1349" s="26" t="s">
        <v>3514</v>
      </c>
      <c r="B1349" s="26" t="s">
        <v>5168</v>
      </c>
      <c r="C1349" s="54" t="s">
        <v>7</v>
      </c>
      <c r="D1349" s="35" t="s">
        <v>30</v>
      </c>
      <c r="E1349" s="35" t="s">
        <v>39</v>
      </c>
      <c r="F1349" s="28" t="e">
        <f ca="1">_xludf.ifna(VLOOKUP(G1350,Proyectos!$E$1:$H$4,4,0),"")</f>
        <v>#NAME?</v>
      </c>
      <c r="G1349" s="35" t="s">
        <v>5153</v>
      </c>
      <c r="H1349" s="30">
        <v>0.8</v>
      </c>
      <c r="I1349" s="31" t="s">
        <v>18</v>
      </c>
      <c r="J1349" s="55"/>
      <c r="K1349" s="32" t="str">
        <f t="shared" si="5"/>
        <v>Interno</v>
      </c>
      <c r="L1349" s="32" t="e">
        <f ca="1">_xludf.ifna(VLOOKUP(G1350,Proyectos!$E$1:$N$4,10,0),"")</f>
        <v>#NAME?</v>
      </c>
      <c r="M1349" s="32"/>
      <c r="N1349" s="31"/>
      <c r="O1349" s="31"/>
      <c r="P1349" s="33"/>
      <c r="Q1349" s="33"/>
    </row>
    <row r="1350" spans="1:17" ht="16.5" customHeight="1" x14ac:dyDescent="0.2">
      <c r="A1350" s="26" t="s">
        <v>3514</v>
      </c>
      <c r="B1350" s="26" t="s">
        <v>5168</v>
      </c>
      <c r="C1350" s="54" t="s">
        <v>7</v>
      </c>
      <c r="D1350" s="35" t="s">
        <v>30</v>
      </c>
      <c r="E1350" s="35" t="s">
        <v>39</v>
      </c>
      <c r="F1350" s="28" t="e">
        <f ca="1">_xludf.ifna(VLOOKUP(G1351,Proyectos!$E$1:$H$4,4,0),"")</f>
        <v>#NAME?</v>
      </c>
      <c r="G1350" s="35" t="s">
        <v>5159</v>
      </c>
      <c r="H1350" s="30">
        <v>0.2</v>
      </c>
      <c r="I1350" s="31" t="s">
        <v>18</v>
      </c>
      <c r="J1350" s="55"/>
      <c r="K1350" s="32" t="str">
        <f t="shared" si="5"/>
        <v>Interno</v>
      </c>
      <c r="L1350" s="32" t="e">
        <f ca="1">_xludf.ifna(VLOOKUP(G1351,Proyectos!$E$1:$N$4,10,0),"")</f>
        <v>#NAME?</v>
      </c>
      <c r="M1350" s="32"/>
      <c r="N1350" s="31"/>
      <c r="O1350" s="31"/>
      <c r="P1350" s="33"/>
      <c r="Q1350" s="33"/>
    </row>
    <row r="1351" spans="1:17" ht="16.5" customHeight="1" x14ac:dyDescent="0.2">
      <c r="A1351" s="26" t="s">
        <v>4958</v>
      </c>
      <c r="B1351" s="26" t="s">
        <v>4959</v>
      </c>
      <c r="C1351" s="26" t="s">
        <v>7</v>
      </c>
      <c r="D1351" s="26" t="s">
        <v>16</v>
      </c>
      <c r="E1351" s="26" t="s">
        <v>126</v>
      </c>
      <c r="F1351" s="28" t="e">
        <f ca="1">_xludf.ifna(VLOOKUP(G1352,Proyectos!$E$1:$H$4,4,0),"")</f>
        <v>#NAME?</v>
      </c>
      <c r="G1351" s="26" t="s">
        <v>5266</v>
      </c>
      <c r="H1351" s="65">
        <v>0.45</v>
      </c>
      <c r="I1351" s="31" t="s">
        <v>18</v>
      </c>
      <c r="J1351" s="32"/>
      <c r="K1351" s="32" t="str">
        <f t="shared" si="5"/>
        <v>Externo</v>
      </c>
      <c r="L1351" s="32" t="e">
        <f ca="1">_xludf.ifna(VLOOKUP(G1352,Proyectos!$E$1:$N$4,10,0),"")</f>
        <v>#NAME?</v>
      </c>
      <c r="M1351" s="32"/>
      <c r="N1351" s="32"/>
      <c r="O1351" s="31"/>
      <c r="P1351" s="33"/>
      <c r="Q1351" s="33"/>
    </row>
    <row r="1352" spans="1:17" ht="16.5" customHeight="1" x14ac:dyDescent="0.2">
      <c r="A1352" s="26" t="s">
        <v>4958</v>
      </c>
      <c r="B1352" s="26" t="s">
        <v>4959</v>
      </c>
      <c r="C1352" s="26" t="s">
        <v>7</v>
      </c>
      <c r="D1352" s="26" t="s">
        <v>16</v>
      </c>
      <c r="E1352" s="26" t="s">
        <v>126</v>
      </c>
      <c r="F1352" s="28" t="e">
        <f ca="1">_xludf.ifna(VLOOKUP(G1353,Proyectos!$E$1:$H$4,4,0),"")</f>
        <v>#NAME?</v>
      </c>
      <c r="G1352" s="26" t="s">
        <v>5707</v>
      </c>
      <c r="H1352" s="65">
        <v>0.15</v>
      </c>
      <c r="I1352" s="31" t="s">
        <v>18</v>
      </c>
      <c r="J1352" s="32"/>
      <c r="K1352" s="32" t="str">
        <f t="shared" si="5"/>
        <v>Externo</v>
      </c>
      <c r="L1352" s="32" t="e">
        <f ca="1">_xludf.ifna(VLOOKUP(G1353,Proyectos!$E$1:$N$4,10,0),"")</f>
        <v>#NAME?</v>
      </c>
      <c r="M1352" s="32"/>
      <c r="N1352" s="32"/>
      <c r="O1352" s="31"/>
      <c r="P1352" s="33"/>
      <c r="Q1352" s="33"/>
    </row>
    <row r="1353" spans="1:17" ht="16.5" customHeight="1" x14ac:dyDescent="0.2">
      <c r="A1353" s="26" t="s">
        <v>4958</v>
      </c>
      <c r="B1353" s="26" t="s">
        <v>4959</v>
      </c>
      <c r="C1353" s="26" t="s">
        <v>7</v>
      </c>
      <c r="D1353" s="26" t="s">
        <v>16</v>
      </c>
      <c r="E1353" s="26" t="s">
        <v>126</v>
      </c>
      <c r="F1353" s="28" t="e">
        <f ca="1">_xludf.ifna(VLOOKUP(G1354,Proyectos!$E$1:$H$4,4,0),"")</f>
        <v>#NAME?</v>
      </c>
      <c r="G1353" s="26" t="s">
        <v>5269</v>
      </c>
      <c r="H1353" s="65">
        <v>0.2</v>
      </c>
      <c r="I1353" s="31" t="s">
        <v>18</v>
      </c>
      <c r="J1353" s="32"/>
      <c r="K1353" s="32" t="str">
        <f t="shared" si="5"/>
        <v>Externo</v>
      </c>
      <c r="L1353" s="32" t="e">
        <f ca="1">_xludf.ifna(VLOOKUP(G1354,Proyectos!$E$1:$N$4,10,0),"")</f>
        <v>#NAME?</v>
      </c>
      <c r="M1353" s="32"/>
      <c r="N1353" s="32"/>
      <c r="O1353" s="31"/>
      <c r="P1353" s="33"/>
      <c r="Q1353" s="33"/>
    </row>
    <row r="1354" spans="1:17" ht="16.5" customHeight="1" x14ac:dyDescent="0.2">
      <c r="A1354" s="26" t="s">
        <v>4958</v>
      </c>
      <c r="B1354" s="26" t="s">
        <v>4959</v>
      </c>
      <c r="C1354" s="26" t="s">
        <v>7</v>
      </c>
      <c r="D1354" s="26" t="s">
        <v>16</v>
      </c>
      <c r="E1354" s="26" t="s">
        <v>126</v>
      </c>
      <c r="F1354" s="28" t="e">
        <f ca="1">_xludf.ifna(VLOOKUP(G1355,Proyectos!$E$1:$H$4,4,0),"")</f>
        <v>#NAME?</v>
      </c>
      <c r="G1354" s="26" t="s">
        <v>5267</v>
      </c>
      <c r="H1354" s="65">
        <v>0.2</v>
      </c>
      <c r="I1354" s="31" t="s">
        <v>18</v>
      </c>
      <c r="J1354" s="32"/>
      <c r="K1354" s="32" t="str">
        <f t="shared" si="5"/>
        <v>Externo</v>
      </c>
      <c r="L1354" s="32" t="e">
        <f ca="1">_xludf.ifna(VLOOKUP(G1355,Proyectos!$E$1:$N$4,10,0),"")</f>
        <v>#NAME?</v>
      </c>
      <c r="M1354" s="32"/>
      <c r="N1354" s="32"/>
      <c r="O1354" s="31"/>
      <c r="P1354" s="33"/>
      <c r="Q1354" s="33"/>
    </row>
    <row r="1355" spans="1:17" ht="16.5" customHeight="1" x14ac:dyDescent="0.2">
      <c r="A1355" s="26" t="s">
        <v>4245</v>
      </c>
      <c r="B1355" s="26" t="s">
        <v>5887</v>
      </c>
      <c r="C1355" s="26" t="s">
        <v>98</v>
      </c>
      <c r="D1355" s="26" t="s">
        <v>102</v>
      </c>
      <c r="E1355" s="26" t="s">
        <v>108</v>
      </c>
      <c r="F1355" s="28" t="e">
        <f ca="1">_xludf.ifna(VLOOKUP(G1356,Proyectos!$E$1:$H$4,4,0),"")</f>
        <v>#NAME?</v>
      </c>
      <c r="G1355" s="26" t="s">
        <v>5597</v>
      </c>
      <c r="H1355" s="32">
        <v>1</v>
      </c>
      <c r="I1355" s="31" t="s">
        <v>18</v>
      </c>
      <c r="J1355" s="32"/>
      <c r="K1355" s="32" t="str">
        <f t="shared" si="5"/>
        <v>Externo</v>
      </c>
      <c r="L1355" s="32" t="e">
        <f ca="1">_xludf.ifna(VLOOKUP(G1356,Proyectos!$E$1:$N$4,10,0),"")</f>
        <v>#NAME?</v>
      </c>
      <c r="M1355" s="32"/>
      <c r="N1355" s="32"/>
      <c r="O1355" s="31"/>
      <c r="P1355" s="33"/>
      <c r="Q1355" s="33"/>
    </row>
    <row r="1356" spans="1:17" ht="16.5" customHeight="1" x14ac:dyDescent="0.2">
      <c r="A1356" s="26" t="s">
        <v>4779</v>
      </c>
      <c r="B1356" s="26" t="s">
        <v>4780</v>
      </c>
      <c r="C1356" s="54" t="s">
        <v>7</v>
      </c>
      <c r="D1356" s="35" t="s">
        <v>8</v>
      </c>
      <c r="E1356" s="35" t="s">
        <v>39</v>
      </c>
      <c r="F1356" s="28" t="e">
        <f ca="1">_xludf.ifna(VLOOKUP(G1357,Proyectos!$E$1:$H$4,4,0),"")</f>
        <v>#NAME?</v>
      </c>
      <c r="G1356" s="35" t="s">
        <v>5150</v>
      </c>
      <c r="H1356" s="30">
        <v>0.65</v>
      </c>
      <c r="I1356" s="31" t="s">
        <v>18</v>
      </c>
      <c r="J1356" s="55"/>
      <c r="K1356" s="32" t="str">
        <f t="shared" si="5"/>
        <v>Interno</v>
      </c>
      <c r="L1356" s="32" t="e">
        <f ca="1">_xludf.ifna(VLOOKUP(G1357,Proyectos!$E$1:$N$4,10,0),"")</f>
        <v>#NAME?</v>
      </c>
      <c r="M1356" s="32"/>
      <c r="N1356" s="31"/>
      <c r="O1356" s="31"/>
      <c r="P1356" s="33"/>
      <c r="Q1356" s="33"/>
    </row>
    <row r="1357" spans="1:17" ht="16.5" customHeight="1" x14ac:dyDescent="0.2">
      <c r="A1357" s="26" t="s">
        <v>4779</v>
      </c>
      <c r="B1357" s="26" t="s">
        <v>4780</v>
      </c>
      <c r="C1357" s="54" t="s">
        <v>7</v>
      </c>
      <c r="D1357" s="35" t="s">
        <v>8</v>
      </c>
      <c r="E1357" s="35" t="s">
        <v>39</v>
      </c>
      <c r="F1357" s="28" t="e">
        <f ca="1">_xludf.ifna(VLOOKUP(G1358,Proyectos!$E$1:$H$4,4,0),"")</f>
        <v>#NAME?</v>
      </c>
      <c r="G1357" s="35" t="s">
        <v>5197</v>
      </c>
      <c r="H1357" s="30">
        <v>0.05</v>
      </c>
      <c r="I1357" s="31" t="s">
        <v>18</v>
      </c>
      <c r="J1357" s="55"/>
      <c r="K1357" s="32" t="str">
        <f t="shared" si="5"/>
        <v>Interno</v>
      </c>
      <c r="L1357" s="32" t="e">
        <f ca="1">_xludf.ifna(VLOOKUP(G1358,Proyectos!$E$1:$N$4,10,0),"")</f>
        <v>#NAME?</v>
      </c>
      <c r="M1357" s="32"/>
      <c r="N1357" s="31"/>
      <c r="O1357" s="31"/>
      <c r="P1357" s="33"/>
      <c r="Q1357" s="33"/>
    </row>
    <row r="1358" spans="1:17" ht="16.5" customHeight="1" x14ac:dyDescent="0.2">
      <c r="A1358" s="26" t="s">
        <v>4779</v>
      </c>
      <c r="B1358" s="26" t="s">
        <v>4780</v>
      </c>
      <c r="C1358" s="54" t="s">
        <v>7</v>
      </c>
      <c r="D1358" s="35" t="s">
        <v>8</v>
      </c>
      <c r="E1358" s="35" t="s">
        <v>39</v>
      </c>
      <c r="F1358" s="28" t="e">
        <f ca="1">_xludf.ifna(VLOOKUP(G1359,Proyectos!$E$1:$H$4,4,0),"")</f>
        <v>#NAME?</v>
      </c>
      <c r="G1358" s="35" t="s">
        <v>5198</v>
      </c>
      <c r="H1358" s="30">
        <v>0.25</v>
      </c>
      <c r="I1358" s="31" t="s">
        <v>18</v>
      </c>
      <c r="J1358" s="55"/>
      <c r="K1358" s="32" t="str">
        <f t="shared" si="5"/>
        <v>Interno</v>
      </c>
      <c r="L1358" s="32" t="e">
        <f ca="1">_xludf.ifna(VLOOKUP(G1359,Proyectos!$E$1:$N$4,10,0),"")</f>
        <v>#NAME?</v>
      </c>
      <c r="M1358" s="32"/>
      <c r="N1358" s="31"/>
      <c r="O1358" s="31"/>
      <c r="P1358" s="33"/>
      <c r="Q1358" s="33"/>
    </row>
    <row r="1359" spans="1:17" ht="16.5" customHeight="1" x14ac:dyDescent="0.2">
      <c r="A1359" s="26" t="s">
        <v>4779</v>
      </c>
      <c r="B1359" s="26" t="s">
        <v>4780</v>
      </c>
      <c r="C1359" s="54" t="s">
        <v>7</v>
      </c>
      <c r="D1359" s="35" t="s">
        <v>8</v>
      </c>
      <c r="E1359" s="35" t="s">
        <v>39</v>
      </c>
      <c r="F1359" s="28" t="e">
        <f ca="1">_xludf.ifna(VLOOKUP(G1360,Proyectos!$E$1:$H$4,4,0),"")</f>
        <v>#NAME?</v>
      </c>
      <c r="G1359" s="35" t="s">
        <v>5888</v>
      </c>
      <c r="H1359" s="30">
        <v>0.05</v>
      </c>
      <c r="I1359" s="31" t="s">
        <v>18</v>
      </c>
      <c r="J1359" s="55"/>
      <c r="K1359" s="32" t="str">
        <f t="shared" si="5"/>
        <v>Interno</v>
      </c>
      <c r="L1359" s="32" t="e">
        <f ca="1">_xludf.ifna(VLOOKUP(G1360,Proyectos!$E$1:$N$4,10,0),"")</f>
        <v>#NAME?</v>
      </c>
      <c r="M1359" s="32"/>
      <c r="N1359" s="31"/>
      <c r="O1359" s="31"/>
      <c r="P1359" s="33"/>
      <c r="Q1359" s="33"/>
    </row>
    <row r="1360" spans="1:17" ht="16.5" customHeight="1" x14ac:dyDescent="0.2">
      <c r="A1360" s="26" t="s">
        <v>3675</v>
      </c>
      <c r="B1360" s="26" t="s">
        <v>5889</v>
      </c>
      <c r="C1360" s="26" t="s">
        <v>7</v>
      </c>
      <c r="D1360" s="26" t="s">
        <v>16</v>
      </c>
      <c r="E1360" s="26" t="s">
        <v>39</v>
      </c>
      <c r="F1360" s="28" t="e">
        <f ca="1">_xludf.ifna(VLOOKUP(G1361,Proyectos!$E$1:$H$4,4,0),"")</f>
        <v>#NAME?</v>
      </c>
      <c r="G1360" s="26" t="s">
        <v>5221</v>
      </c>
      <c r="H1360" s="65">
        <v>0.5</v>
      </c>
      <c r="I1360" s="31" t="s">
        <v>18</v>
      </c>
      <c r="J1360" s="31" t="s">
        <v>5644</v>
      </c>
      <c r="K1360" s="32" t="str">
        <f t="shared" si="5"/>
        <v>Interno</v>
      </c>
      <c r="L1360" s="32" t="e">
        <f ca="1">_xludf.ifna(VLOOKUP(G1361,Proyectos!$E$1:$N$4,10,0),"")</f>
        <v>#NAME?</v>
      </c>
      <c r="M1360" s="32"/>
      <c r="N1360" s="31"/>
      <c r="O1360" s="31"/>
      <c r="P1360" s="33"/>
      <c r="Q1360" s="33"/>
    </row>
    <row r="1361" spans="1:17" ht="16.5" customHeight="1" x14ac:dyDescent="0.2">
      <c r="A1361" s="26" t="s">
        <v>3675</v>
      </c>
      <c r="B1361" s="26" t="s">
        <v>5889</v>
      </c>
      <c r="C1361" s="26" t="s">
        <v>7</v>
      </c>
      <c r="D1361" s="26" t="s">
        <v>16</v>
      </c>
      <c r="E1361" s="26" t="s">
        <v>39</v>
      </c>
      <c r="F1361" s="28" t="e">
        <f ca="1">_xludf.ifna(VLOOKUP(G1362,Proyectos!$E$1:$H$4,4,0),"")</f>
        <v>#NAME?</v>
      </c>
      <c r="G1361" s="26" t="s">
        <v>5235</v>
      </c>
      <c r="H1361" s="65">
        <v>0.5</v>
      </c>
      <c r="I1361" s="31" t="s">
        <v>18</v>
      </c>
      <c r="J1361" s="32"/>
      <c r="K1361" s="32" t="str">
        <f t="shared" si="5"/>
        <v>Interno</v>
      </c>
      <c r="L1361" s="32" t="e">
        <f ca="1">_xludf.ifna(VLOOKUP(G1362,Proyectos!$E$1:$N$4,10,0),"")</f>
        <v>#NAME?</v>
      </c>
      <c r="M1361" s="32"/>
      <c r="N1361" s="32"/>
      <c r="O1361" s="31"/>
      <c r="P1361" s="33"/>
      <c r="Q1361" s="33"/>
    </row>
    <row r="1362" spans="1:17" ht="16.5" customHeight="1" x14ac:dyDescent="0.2">
      <c r="A1362" s="26" t="s">
        <v>4072</v>
      </c>
      <c r="B1362" s="26" t="s">
        <v>5211</v>
      </c>
      <c r="C1362" s="54" t="s">
        <v>7</v>
      </c>
      <c r="D1362" s="35" t="s">
        <v>8</v>
      </c>
      <c r="E1362" s="35" t="s">
        <v>66</v>
      </c>
      <c r="F1362" s="28" t="e">
        <f ca="1">_xludf.ifna(VLOOKUP(G1363,Proyectos!$E$1:$H$4,4,0),"")</f>
        <v>#NAME?</v>
      </c>
      <c r="G1362" s="35" t="s">
        <v>5117</v>
      </c>
      <c r="H1362" s="30">
        <v>1</v>
      </c>
      <c r="I1362" s="31" t="s">
        <v>18</v>
      </c>
      <c r="J1362" s="55"/>
      <c r="K1362" s="32" t="str">
        <f t="shared" si="5"/>
        <v>Externo</v>
      </c>
      <c r="L1362" s="32" t="e">
        <f ca="1">_xludf.ifna(VLOOKUP(G1363,Proyectos!$E$1:$N$4,10,0),"")</f>
        <v>#NAME?</v>
      </c>
      <c r="M1362" s="32"/>
      <c r="N1362" s="32"/>
      <c r="O1362" s="31"/>
      <c r="P1362" s="33"/>
      <c r="Q1362" s="33"/>
    </row>
    <row r="1363" spans="1:17" ht="16.5" customHeight="1" x14ac:dyDescent="0.2">
      <c r="A1363" s="35" t="s">
        <v>3345</v>
      </c>
      <c r="B1363" s="26" t="s">
        <v>3346</v>
      </c>
      <c r="C1363" s="26" t="s">
        <v>64</v>
      </c>
      <c r="D1363" s="26" t="s">
        <v>82</v>
      </c>
      <c r="E1363" s="35" t="s">
        <v>39</v>
      </c>
      <c r="F1363" s="28" t="e">
        <f ca="1">_xludf.ifna(VLOOKUP(G1364,Proyectos!$E$1:$H$4,4,0),"")</f>
        <v>#NAME?</v>
      </c>
      <c r="G1363" s="26" t="s">
        <v>5387</v>
      </c>
      <c r="H1363" s="32">
        <v>1</v>
      </c>
      <c r="I1363" s="31" t="s">
        <v>18</v>
      </c>
      <c r="J1363" s="32"/>
      <c r="K1363" s="32" t="str">
        <f t="shared" si="5"/>
        <v>Interno</v>
      </c>
      <c r="L1363" s="32" t="e">
        <f ca="1">_xludf.ifna(VLOOKUP(G1364,Proyectos!$E$1:$N$4,10,0),"")</f>
        <v>#NAME?</v>
      </c>
      <c r="M1363" s="32"/>
      <c r="N1363" s="32"/>
      <c r="O1363" s="31"/>
      <c r="P1363" s="33"/>
      <c r="Q1363" s="33"/>
    </row>
    <row r="1364" spans="1:17" ht="16.5" customHeight="1" x14ac:dyDescent="0.2">
      <c r="A1364" s="26" t="s">
        <v>3880</v>
      </c>
      <c r="B1364" s="26" t="s">
        <v>3881</v>
      </c>
      <c r="C1364" s="26" t="s">
        <v>98</v>
      </c>
      <c r="D1364" s="26" t="s">
        <v>110</v>
      </c>
      <c r="E1364" s="26" t="s">
        <v>39</v>
      </c>
      <c r="F1364" s="28" t="e">
        <f ca="1">_xludf.ifna(VLOOKUP(G1365,Proyectos!$E$1:$H$4,4,0),"")</f>
        <v>#NAME?</v>
      </c>
      <c r="G1364" s="26" t="s">
        <v>5243</v>
      </c>
      <c r="H1364" s="32">
        <v>1</v>
      </c>
      <c r="I1364" s="31" t="s">
        <v>18</v>
      </c>
      <c r="J1364" s="32"/>
      <c r="K1364" s="32" t="str">
        <f t="shared" si="5"/>
        <v>Interno</v>
      </c>
      <c r="L1364" s="32" t="e">
        <f ca="1">_xludf.ifna(VLOOKUP(G1365,Proyectos!$E$1:$N$4,10,0),"")</f>
        <v>#NAME?</v>
      </c>
      <c r="M1364" s="32"/>
      <c r="N1364" s="32"/>
      <c r="O1364" s="31"/>
      <c r="P1364" s="33"/>
      <c r="Q1364" s="33"/>
    </row>
    <row r="1365" spans="1:17" ht="16.5" customHeight="1" x14ac:dyDescent="0.2">
      <c r="A1365" s="26" t="s">
        <v>3371</v>
      </c>
      <c r="B1365" s="26" t="s">
        <v>3372</v>
      </c>
      <c r="C1365" s="26" t="s">
        <v>37</v>
      </c>
      <c r="D1365" s="26" t="s">
        <v>38</v>
      </c>
      <c r="E1365" s="26" t="s">
        <v>39</v>
      </c>
      <c r="F1365" s="28" t="e">
        <f ca="1">_xludf.ifna(VLOOKUP(G1366,Proyectos!$E$1:$H$4,4,0),"")</f>
        <v>#NAME?</v>
      </c>
      <c r="G1365" s="26" t="s">
        <v>5338</v>
      </c>
      <c r="H1365" s="32">
        <v>0.5</v>
      </c>
      <c r="I1365" s="31" t="s">
        <v>18</v>
      </c>
      <c r="J1365" s="32"/>
      <c r="K1365" s="32" t="str">
        <f t="shared" si="5"/>
        <v>Interno</v>
      </c>
      <c r="L1365" s="32" t="e">
        <f ca="1">_xludf.ifna(VLOOKUP(G1366,Proyectos!$E$1:$N$4,10,0),"")</f>
        <v>#NAME?</v>
      </c>
      <c r="M1365" s="32"/>
      <c r="N1365" s="32"/>
      <c r="O1365" s="31"/>
      <c r="P1365" s="33"/>
      <c r="Q1365" s="33"/>
    </row>
    <row r="1366" spans="1:17" ht="16.5" customHeight="1" x14ac:dyDescent="0.2">
      <c r="A1366" s="26" t="s">
        <v>3371</v>
      </c>
      <c r="B1366" s="26" t="s">
        <v>3372</v>
      </c>
      <c r="C1366" s="26" t="s">
        <v>37</v>
      </c>
      <c r="D1366" s="26" t="s">
        <v>38</v>
      </c>
      <c r="E1366" s="26" t="s">
        <v>39</v>
      </c>
      <c r="F1366" s="28" t="e">
        <f ca="1">_xludf.ifna(VLOOKUP(G1367,Proyectos!$E$1:$H$4,4,0),"")</f>
        <v>#NAME?</v>
      </c>
      <c r="G1366" s="26" t="s">
        <v>5678</v>
      </c>
      <c r="H1366" s="32">
        <v>0.5</v>
      </c>
      <c r="I1366" s="31" t="s">
        <v>18</v>
      </c>
      <c r="J1366" s="32"/>
      <c r="K1366" s="32" t="str">
        <f t="shared" si="5"/>
        <v>Interno</v>
      </c>
      <c r="L1366" s="32" t="e">
        <f ca="1">_xludf.ifna(VLOOKUP(G1367,Proyectos!$E$1:$N$4,10,0),"")</f>
        <v>#NAME?</v>
      </c>
      <c r="M1366" s="32"/>
      <c r="N1366" s="31"/>
      <c r="O1366" s="31"/>
      <c r="P1366" s="33"/>
      <c r="Q1366" s="33"/>
    </row>
    <row r="1367" spans="1:17" ht="16.5" customHeight="1" x14ac:dyDescent="0.2">
      <c r="A1367" s="26" t="s">
        <v>3912</v>
      </c>
      <c r="B1367" s="26" t="s">
        <v>3913</v>
      </c>
      <c r="C1367" s="26" t="s">
        <v>115</v>
      </c>
      <c r="D1367" s="26" t="s">
        <v>119</v>
      </c>
      <c r="E1367" s="26" t="s">
        <v>114</v>
      </c>
      <c r="F1367" s="28" t="e">
        <f ca="1">_xludf.ifna(VLOOKUP(G1368,Proyectos!$E$1:$H$4,4,0),"")</f>
        <v>#NAME?</v>
      </c>
      <c r="G1367" s="26" t="s">
        <v>5219</v>
      </c>
      <c r="H1367" s="32">
        <v>0.5</v>
      </c>
      <c r="I1367" s="31" t="s">
        <v>25</v>
      </c>
      <c r="J1367" s="31" t="s">
        <v>5662</v>
      </c>
      <c r="K1367" s="32" t="str">
        <f t="shared" si="5"/>
        <v>Externo</v>
      </c>
      <c r="L1367" s="32" t="e">
        <f ca="1">_xludf.ifna(VLOOKUP(G1368,Proyectos!$E$1:$N$4,10,0),"")</f>
        <v>#NAME?</v>
      </c>
      <c r="M1367" s="32"/>
      <c r="N1367" s="31"/>
      <c r="O1367" s="31"/>
      <c r="P1367" s="33"/>
      <c r="Q1367" s="33"/>
    </row>
    <row r="1368" spans="1:17" ht="16.5" customHeight="1" x14ac:dyDescent="0.2">
      <c r="A1368" s="26" t="s">
        <v>3912</v>
      </c>
      <c r="B1368" s="26" t="s">
        <v>3913</v>
      </c>
      <c r="C1368" s="26" t="s">
        <v>115</v>
      </c>
      <c r="D1368" s="26" t="s">
        <v>119</v>
      </c>
      <c r="E1368" s="26" t="s">
        <v>114</v>
      </c>
      <c r="F1368" s="28" t="e">
        <f ca="1">_xludf.ifna(VLOOKUP(G1369,Proyectos!$E$1:$H$4,4,0),"")</f>
        <v>#NAME?</v>
      </c>
      <c r="G1368" s="26" t="s">
        <v>5597</v>
      </c>
      <c r="H1368" s="32">
        <v>0.5</v>
      </c>
      <c r="I1368" s="31" t="s">
        <v>25</v>
      </c>
      <c r="J1368" s="31" t="s">
        <v>5662</v>
      </c>
      <c r="K1368" s="32" t="str">
        <f t="shared" si="5"/>
        <v>Externo</v>
      </c>
      <c r="L1368" s="32" t="e">
        <f ca="1">_xludf.ifna(VLOOKUP(G1369,Proyectos!$E$1:$N$4,10,0),"")</f>
        <v>#NAME?</v>
      </c>
      <c r="M1368" s="32"/>
      <c r="N1368" s="31"/>
      <c r="O1368" s="31"/>
      <c r="P1368" s="33"/>
      <c r="Q1368" s="33"/>
    </row>
    <row r="1369" spans="1:17" ht="16.5" customHeight="1" x14ac:dyDescent="0.2">
      <c r="A1369" s="26" t="s">
        <v>3422</v>
      </c>
      <c r="B1369" s="26" t="s">
        <v>3423</v>
      </c>
      <c r="C1369" s="54" t="s">
        <v>7</v>
      </c>
      <c r="D1369" s="35" t="s">
        <v>8</v>
      </c>
      <c r="E1369" s="35" t="s">
        <v>39</v>
      </c>
      <c r="F1369" s="28" t="e">
        <f ca="1">_xludf.ifna(VLOOKUP(G1370,Proyectos!$E$1:$H$4,4,0),"")</f>
        <v>#NAME?</v>
      </c>
      <c r="G1369" s="35" t="s">
        <v>5196</v>
      </c>
      <c r="H1369" s="30">
        <v>0.4</v>
      </c>
      <c r="I1369" s="31" t="s">
        <v>18</v>
      </c>
      <c r="J1369" s="55"/>
      <c r="K1369" s="32" t="str">
        <f t="shared" si="5"/>
        <v>Interno</v>
      </c>
      <c r="L1369" s="32" t="e">
        <f ca="1">_xludf.ifna(VLOOKUP(G1370,Proyectos!$E$1:$N$4,10,0),"")</f>
        <v>#NAME?</v>
      </c>
      <c r="M1369" s="32"/>
      <c r="N1369" s="31"/>
      <c r="O1369" s="31"/>
      <c r="P1369" s="33"/>
      <c r="Q1369" s="33"/>
    </row>
    <row r="1370" spans="1:17" ht="16.5" customHeight="1" x14ac:dyDescent="0.2">
      <c r="A1370" s="26" t="s">
        <v>3422</v>
      </c>
      <c r="B1370" s="26" t="s">
        <v>3423</v>
      </c>
      <c r="C1370" s="54" t="s">
        <v>7</v>
      </c>
      <c r="D1370" s="35" t="s">
        <v>8</v>
      </c>
      <c r="E1370" s="35" t="s">
        <v>39</v>
      </c>
      <c r="F1370" s="28" t="e">
        <f ca="1">_xludf.ifna(VLOOKUP(G1371,Proyectos!$E$1:$H$4,4,0),"")</f>
        <v>#NAME?</v>
      </c>
      <c r="G1370" s="35" t="s">
        <v>5331</v>
      </c>
      <c r="H1370" s="30">
        <v>0.2</v>
      </c>
      <c r="I1370" s="31" t="s">
        <v>18</v>
      </c>
      <c r="J1370" s="30" t="s">
        <v>5890</v>
      </c>
      <c r="K1370" s="32" t="str">
        <f t="shared" si="5"/>
        <v>Interno</v>
      </c>
      <c r="L1370" s="32" t="e">
        <f ca="1">_xludf.ifna(VLOOKUP(G1371,Proyectos!$E$1:$N$4,10,0),"")</f>
        <v>#NAME?</v>
      </c>
      <c r="M1370" s="32"/>
      <c r="N1370" s="31"/>
      <c r="O1370" s="31"/>
      <c r="P1370" s="33"/>
      <c r="Q1370" s="33"/>
    </row>
    <row r="1371" spans="1:17" ht="16.5" customHeight="1" x14ac:dyDescent="0.2">
      <c r="A1371" s="26" t="s">
        <v>3422</v>
      </c>
      <c r="B1371" s="26" t="s">
        <v>3423</v>
      </c>
      <c r="C1371" s="54" t="s">
        <v>7</v>
      </c>
      <c r="D1371" s="35" t="s">
        <v>8</v>
      </c>
      <c r="E1371" s="35" t="s">
        <v>39</v>
      </c>
      <c r="F1371" s="28" t="e">
        <f ca="1">_xludf.ifna(VLOOKUP(G1372,Proyectos!$E$1:$H$4,4,0),"")</f>
        <v>#NAME?</v>
      </c>
      <c r="G1371" s="35" t="s">
        <v>5150</v>
      </c>
      <c r="H1371" s="34">
        <v>0.2</v>
      </c>
      <c r="I1371" s="31" t="s">
        <v>18</v>
      </c>
      <c r="J1371" s="30" t="s">
        <v>5891</v>
      </c>
      <c r="K1371" s="32" t="str">
        <f t="shared" si="5"/>
        <v>Interno</v>
      </c>
      <c r="L1371" s="32" t="e">
        <f ca="1">_xludf.ifna(VLOOKUP(G1372,Proyectos!$E$1:$N$4,10,0),"")</f>
        <v>#NAME?</v>
      </c>
      <c r="M1371" s="32"/>
      <c r="N1371" s="31"/>
      <c r="O1371" s="31"/>
      <c r="P1371" s="33"/>
      <c r="Q1371" s="33"/>
    </row>
    <row r="1372" spans="1:17" ht="16.5" customHeight="1" x14ac:dyDescent="0.2">
      <c r="A1372" s="26" t="s">
        <v>3422</v>
      </c>
      <c r="B1372" s="26" t="s">
        <v>3423</v>
      </c>
      <c r="C1372" s="54" t="s">
        <v>7</v>
      </c>
      <c r="D1372" s="35" t="s">
        <v>8</v>
      </c>
      <c r="E1372" s="35" t="s">
        <v>39</v>
      </c>
      <c r="F1372" s="28" t="e">
        <f ca="1">_xludf.ifna(VLOOKUP(G1373,Proyectos!$E$1:$H$4,4,0),"")</f>
        <v>#NAME?</v>
      </c>
      <c r="G1372" s="35" t="s">
        <v>5198</v>
      </c>
      <c r="H1372" s="30">
        <v>0.2</v>
      </c>
      <c r="I1372" s="31" t="s">
        <v>18</v>
      </c>
      <c r="J1372" s="30" t="s">
        <v>5892</v>
      </c>
      <c r="K1372" s="32" t="str">
        <f t="shared" si="5"/>
        <v>Interno</v>
      </c>
      <c r="L1372" s="32" t="e">
        <f ca="1">_xludf.ifna(VLOOKUP(G1373,Proyectos!$E$1:$N$4,10,0),"")</f>
        <v>#NAME?</v>
      </c>
      <c r="M1372" s="32"/>
      <c r="N1372" s="31"/>
      <c r="O1372" s="31"/>
      <c r="P1372" s="33"/>
      <c r="Q1372" s="33"/>
    </row>
    <row r="1373" spans="1:17" ht="16.5" customHeight="1" x14ac:dyDescent="0.2">
      <c r="A1373" s="26" t="s">
        <v>4938</v>
      </c>
      <c r="B1373" s="26" t="s">
        <v>5210</v>
      </c>
      <c r="C1373" s="54" t="s">
        <v>7</v>
      </c>
      <c r="D1373" s="35" t="s">
        <v>8</v>
      </c>
      <c r="E1373" s="35" t="s">
        <v>87</v>
      </c>
      <c r="F1373" s="28" t="e">
        <f ca="1">_xludf.ifna(VLOOKUP(G1374,Proyectos!$E$1:$H$4,4,0),"")</f>
        <v>#NAME?</v>
      </c>
      <c r="G1373" s="35" t="s">
        <v>5188</v>
      </c>
      <c r="H1373" s="30">
        <v>1</v>
      </c>
      <c r="I1373" s="31" t="s">
        <v>18</v>
      </c>
      <c r="J1373" s="55"/>
      <c r="K1373" s="32" t="str">
        <f t="shared" si="5"/>
        <v>Externo</v>
      </c>
      <c r="L1373" s="32" t="e">
        <f ca="1">_xludf.ifna(VLOOKUP(G1374,Proyectos!$E$1:$N$4,10,0),"")</f>
        <v>#NAME?</v>
      </c>
      <c r="M1373" s="32"/>
      <c r="N1373" s="31"/>
      <c r="O1373" s="31"/>
      <c r="P1373" s="33"/>
      <c r="Q1373" s="33"/>
    </row>
    <row r="1374" spans="1:17" ht="16.5" customHeight="1" x14ac:dyDescent="0.2">
      <c r="A1374" s="26" t="s">
        <v>3468</v>
      </c>
      <c r="B1374" s="26" t="s">
        <v>3469</v>
      </c>
      <c r="C1374" s="26" t="s">
        <v>64</v>
      </c>
      <c r="D1374" s="26" t="s">
        <v>65</v>
      </c>
      <c r="E1374" s="26" t="s">
        <v>39</v>
      </c>
      <c r="F1374" s="28" t="e">
        <f ca="1">_xludf.ifna(VLOOKUP(G1375,Proyectos!$E$1:$H$4,4,0),"")</f>
        <v>#NAME?</v>
      </c>
      <c r="G1374" s="26" t="s">
        <v>5597</v>
      </c>
      <c r="H1374" s="30">
        <v>1</v>
      </c>
      <c r="I1374" s="31" t="s">
        <v>18</v>
      </c>
      <c r="J1374" s="32"/>
      <c r="K1374" s="32" t="str">
        <f t="shared" si="5"/>
        <v>Interno</v>
      </c>
      <c r="L1374" s="32" t="e">
        <f ca="1">_xludf.ifna(VLOOKUP(G1375,Proyectos!$E$1:$N$4,10,0),"")</f>
        <v>#NAME?</v>
      </c>
      <c r="M1374" s="32"/>
      <c r="N1374" s="31"/>
      <c r="O1374" s="31"/>
      <c r="P1374" s="33"/>
      <c r="Q1374" s="33"/>
    </row>
    <row r="1375" spans="1:17" ht="16.5" customHeight="1" x14ac:dyDescent="0.2">
      <c r="A1375" s="84" t="s">
        <v>3618</v>
      </c>
      <c r="B1375" s="26" t="s">
        <v>3619</v>
      </c>
      <c r="C1375" s="26" t="s">
        <v>115</v>
      </c>
      <c r="D1375" s="26" t="s">
        <v>122</v>
      </c>
      <c r="E1375" s="26" t="s">
        <v>39</v>
      </c>
      <c r="F1375" s="28" t="e">
        <f ca="1">_xludf.ifna(VLOOKUP(G1376,Proyectos!$E$1:$H$4,4,0),"")</f>
        <v>#NAME?</v>
      </c>
      <c r="G1375" s="26" t="s">
        <v>5597</v>
      </c>
      <c r="H1375" s="32">
        <v>0.2</v>
      </c>
      <c r="I1375" s="31" t="s">
        <v>18</v>
      </c>
      <c r="J1375" s="32"/>
      <c r="K1375" s="32" t="str">
        <f t="shared" si="5"/>
        <v>Interno</v>
      </c>
      <c r="L1375" s="32" t="e">
        <f ca="1">_xludf.ifna(VLOOKUP(G1376,Proyectos!$E$1:$N$4,10,0),"")</f>
        <v>#NAME?</v>
      </c>
      <c r="M1375" s="32"/>
      <c r="N1375" s="31"/>
      <c r="O1375" s="31"/>
      <c r="P1375" s="33"/>
      <c r="Q1375" s="33"/>
    </row>
    <row r="1376" spans="1:17" ht="16.5" customHeight="1" x14ac:dyDescent="0.2">
      <c r="A1376" s="84" t="s">
        <v>3618</v>
      </c>
      <c r="B1376" s="26" t="s">
        <v>3619</v>
      </c>
      <c r="C1376" s="26" t="s">
        <v>115</v>
      </c>
      <c r="D1376" s="26" t="s">
        <v>122</v>
      </c>
      <c r="E1376" s="26" t="s">
        <v>39</v>
      </c>
      <c r="F1376" s="28" t="e">
        <f ca="1">_xludf.ifna(VLOOKUP(G1377,Proyectos!$E$1:$H$4,4,0),"")</f>
        <v>#NAME?</v>
      </c>
      <c r="G1376" s="26" t="s">
        <v>5426</v>
      </c>
      <c r="H1376" s="32">
        <v>0.8</v>
      </c>
      <c r="I1376" s="31" t="s">
        <v>18</v>
      </c>
      <c r="J1376" s="32"/>
      <c r="K1376" s="32" t="str">
        <f t="shared" si="5"/>
        <v>Interno</v>
      </c>
      <c r="L1376" s="32" t="e">
        <f ca="1">_xludf.ifna(VLOOKUP(G1377,Proyectos!$E$1:$N$4,10,0),"")</f>
        <v>#NAME?</v>
      </c>
      <c r="M1376" s="32"/>
      <c r="N1376" s="31"/>
      <c r="O1376" s="31"/>
      <c r="P1376" s="33"/>
      <c r="Q1376" s="33"/>
    </row>
    <row r="1377" spans="1:17" ht="16.5" customHeight="1" x14ac:dyDescent="0.2">
      <c r="A1377" s="26" t="s">
        <v>3842</v>
      </c>
      <c r="B1377" s="26" t="s">
        <v>5893</v>
      </c>
      <c r="C1377" s="26" t="s">
        <v>7</v>
      </c>
      <c r="D1377" s="26" t="s">
        <v>16</v>
      </c>
      <c r="E1377" s="26" t="s">
        <v>39</v>
      </c>
      <c r="F1377" s="28" t="e">
        <f ca="1">_xludf.ifna(VLOOKUP(G1378,Proyectos!$E$1:$H$4,4,0),"")</f>
        <v>#NAME?</v>
      </c>
      <c r="G1377" s="26" t="s">
        <v>5237</v>
      </c>
      <c r="H1377" s="32">
        <v>0.3</v>
      </c>
      <c r="I1377" s="31" t="s">
        <v>18</v>
      </c>
      <c r="J1377" s="31"/>
      <c r="K1377" s="32" t="str">
        <f t="shared" si="5"/>
        <v>Interno</v>
      </c>
      <c r="L1377" s="32" t="e">
        <f ca="1">_xludf.ifna(VLOOKUP(G1378,Proyectos!$E$1:$N$4,10,0),"")</f>
        <v>#NAME?</v>
      </c>
      <c r="M1377" s="32"/>
      <c r="N1377" s="32"/>
      <c r="O1377" s="31"/>
      <c r="P1377" s="33"/>
      <c r="Q1377" s="33"/>
    </row>
    <row r="1378" spans="1:17" ht="16.5" customHeight="1" x14ac:dyDescent="0.2">
      <c r="A1378" s="26" t="s">
        <v>3842</v>
      </c>
      <c r="B1378" s="26" t="s">
        <v>5893</v>
      </c>
      <c r="C1378" s="26" t="s">
        <v>7</v>
      </c>
      <c r="D1378" s="26" t="s">
        <v>16</v>
      </c>
      <c r="E1378" s="26" t="s">
        <v>39</v>
      </c>
      <c r="F1378" s="28" t="e">
        <f ca="1">_xludf.ifna(VLOOKUP(G1379,Proyectos!$E$1:$H$4,4,0),"")</f>
        <v>#NAME?</v>
      </c>
      <c r="G1378" s="26" t="s">
        <v>5235</v>
      </c>
      <c r="H1378" s="32">
        <v>0.25</v>
      </c>
      <c r="I1378" s="31" t="s">
        <v>18</v>
      </c>
      <c r="J1378" s="31"/>
      <c r="K1378" s="32" t="str">
        <f t="shared" si="5"/>
        <v>Interno</v>
      </c>
      <c r="L1378" s="32" t="e">
        <f ca="1">_xludf.ifna(VLOOKUP(G1379,Proyectos!$E$1:$N$4,10,0),"")</f>
        <v>#NAME?</v>
      </c>
      <c r="M1378" s="32"/>
      <c r="N1378" s="32"/>
      <c r="O1378" s="31"/>
      <c r="P1378" s="33"/>
      <c r="Q1378" s="33"/>
    </row>
    <row r="1379" spans="1:17" ht="16.5" customHeight="1" x14ac:dyDescent="0.2">
      <c r="A1379" s="26" t="s">
        <v>3842</v>
      </c>
      <c r="B1379" s="26" t="s">
        <v>5893</v>
      </c>
      <c r="C1379" s="26" t="s">
        <v>7</v>
      </c>
      <c r="D1379" s="26" t="s">
        <v>16</v>
      </c>
      <c r="E1379" s="26" t="s">
        <v>39</v>
      </c>
      <c r="F1379" s="28" t="e">
        <f ca="1">_xludf.ifna(VLOOKUP(G1380,Proyectos!$E$1:$H$4,4,0),"")</f>
        <v>#NAME?</v>
      </c>
      <c r="G1379" s="26" t="s">
        <v>5234</v>
      </c>
      <c r="H1379" s="32">
        <v>0.05</v>
      </c>
      <c r="I1379" s="31" t="s">
        <v>18</v>
      </c>
      <c r="J1379" s="31"/>
      <c r="K1379" s="32" t="str">
        <f t="shared" si="5"/>
        <v>Interno</v>
      </c>
      <c r="L1379" s="32" t="e">
        <f ca="1">_xludf.ifna(VLOOKUP(G1380,Proyectos!$E$1:$N$4,10,0),"")</f>
        <v>#NAME?</v>
      </c>
      <c r="M1379" s="32"/>
      <c r="N1379" s="31"/>
      <c r="O1379" s="31"/>
      <c r="P1379" s="33"/>
      <c r="Q1379" s="33"/>
    </row>
    <row r="1380" spans="1:17" ht="16.5" customHeight="1" x14ac:dyDescent="0.2">
      <c r="A1380" s="26" t="s">
        <v>3842</v>
      </c>
      <c r="B1380" s="26" t="s">
        <v>5893</v>
      </c>
      <c r="C1380" s="26" t="s">
        <v>7</v>
      </c>
      <c r="D1380" s="26" t="s">
        <v>16</v>
      </c>
      <c r="E1380" s="26" t="s">
        <v>39</v>
      </c>
      <c r="F1380" s="28" t="e">
        <f ca="1">_xludf.ifna(VLOOKUP(G1381,Proyectos!$E$1:$H$4,4,0),"")</f>
        <v>#NAME?</v>
      </c>
      <c r="G1380" s="26" t="s">
        <v>5158</v>
      </c>
      <c r="H1380" s="32">
        <v>0.4</v>
      </c>
      <c r="I1380" s="31" t="s">
        <v>18</v>
      </c>
      <c r="J1380" s="32"/>
      <c r="K1380" s="32" t="str">
        <f t="shared" si="5"/>
        <v>Interno</v>
      </c>
      <c r="L1380" s="32" t="e">
        <f ca="1">_xludf.ifna(VLOOKUP(G1381,Proyectos!$E$1:$N$4,10,0),"")</f>
        <v>#NAME?</v>
      </c>
      <c r="M1380" s="32"/>
      <c r="N1380" s="31"/>
      <c r="O1380" s="31"/>
      <c r="P1380" s="33"/>
      <c r="Q1380" s="33"/>
    </row>
    <row r="1381" spans="1:17" ht="16.5" customHeight="1" x14ac:dyDescent="0.25">
      <c r="A1381" s="117" t="s">
        <v>4100</v>
      </c>
      <c r="B1381" s="26" t="s">
        <v>4101</v>
      </c>
      <c r="C1381" s="26" t="s">
        <v>115</v>
      </c>
      <c r="D1381" s="26" t="s">
        <v>116</v>
      </c>
      <c r="E1381" s="26" t="s">
        <v>108</v>
      </c>
      <c r="F1381" s="28" t="e">
        <f ca="1">_xludf.ifna(VLOOKUP(G1382,Proyectos!$E$1:$H$4,4,0),"")</f>
        <v>#NAME?</v>
      </c>
      <c r="G1381" s="26" t="s">
        <v>5619</v>
      </c>
      <c r="H1381" s="32">
        <v>1</v>
      </c>
      <c r="I1381" s="31" t="s">
        <v>25</v>
      </c>
      <c r="J1381" s="32"/>
      <c r="K1381" s="32" t="str">
        <f t="shared" si="5"/>
        <v>Externo</v>
      </c>
      <c r="L1381" s="32" t="e">
        <f ca="1">_xludf.ifna(VLOOKUP(G1382,Proyectos!$E$1:$N$4,10,0),"")</f>
        <v>#NAME?</v>
      </c>
      <c r="M1381" s="32"/>
      <c r="N1381" s="31"/>
      <c r="O1381" s="31"/>
      <c r="P1381" s="33"/>
      <c r="Q1381" s="33"/>
    </row>
    <row r="1382" spans="1:17" ht="16.5" customHeight="1" x14ac:dyDescent="0.2">
      <c r="A1382" s="26" t="s">
        <v>3741</v>
      </c>
      <c r="B1382" s="26" t="s">
        <v>3742</v>
      </c>
      <c r="C1382" s="26" t="s">
        <v>98</v>
      </c>
      <c r="D1382" s="26" t="s">
        <v>110</v>
      </c>
      <c r="E1382" s="26" t="s">
        <v>39</v>
      </c>
      <c r="F1382" s="28" t="e">
        <f ca="1">_xludf.ifna(VLOOKUP(G1383,Proyectos!$E$1:$H$4,4,0),"")</f>
        <v>#NAME?</v>
      </c>
      <c r="G1382" s="26" t="s">
        <v>5243</v>
      </c>
      <c r="H1382" s="32">
        <v>0.5</v>
      </c>
      <c r="I1382" s="31" t="s">
        <v>11</v>
      </c>
      <c r="J1382" s="32"/>
      <c r="K1382" s="32" t="str">
        <f t="shared" si="5"/>
        <v>Interno</v>
      </c>
      <c r="L1382" s="32" t="e">
        <f ca="1">_xludf.ifna(VLOOKUP(G1383,Proyectos!$E$1:$N$4,10,0),"")</f>
        <v>#NAME?</v>
      </c>
      <c r="M1382" s="32"/>
      <c r="N1382" s="32"/>
      <c r="O1382" s="31"/>
      <c r="P1382" s="33"/>
      <c r="Q1382" s="33"/>
    </row>
    <row r="1383" spans="1:17" ht="16.5" customHeight="1" x14ac:dyDescent="0.2">
      <c r="A1383" s="26" t="s">
        <v>3741</v>
      </c>
      <c r="B1383" s="26" t="s">
        <v>3742</v>
      </c>
      <c r="C1383" s="26" t="s">
        <v>98</v>
      </c>
      <c r="D1383" s="26" t="s">
        <v>110</v>
      </c>
      <c r="E1383" s="26" t="s">
        <v>39</v>
      </c>
      <c r="F1383" s="28" t="e">
        <f ca="1">_xludf.ifna(VLOOKUP(G1384,Proyectos!$E$1:$H$4,4,0),"")</f>
        <v>#NAME?</v>
      </c>
      <c r="G1383" s="26" t="s">
        <v>5583</v>
      </c>
      <c r="H1383" s="32">
        <v>0.5</v>
      </c>
      <c r="I1383" s="31" t="s">
        <v>11</v>
      </c>
      <c r="J1383" s="32"/>
      <c r="K1383" s="32" t="str">
        <f t="shared" si="5"/>
        <v>Interno</v>
      </c>
      <c r="L1383" s="32" t="e">
        <f ca="1">_xludf.ifna(VLOOKUP(G1384,Proyectos!$E$1:$N$4,10,0),"")</f>
        <v>#NAME?</v>
      </c>
      <c r="M1383" s="32"/>
      <c r="N1383" s="32"/>
      <c r="O1383" s="31"/>
      <c r="P1383" s="33"/>
      <c r="Q1383" s="33"/>
    </row>
    <row r="1384" spans="1:17" ht="16.5" customHeight="1" x14ac:dyDescent="0.2">
      <c r="A1384" s="26" t="s">
        <v>3636</v>
      </c>
      <c r="B1384" s="26" t="s">
        <v>3637</v>
      </c>
      <c r="C1384" s="26" t="s">
        <v>98</v>
      </c>
      <c r="D1384" s="26" t="s">
        <v>99</v>
      </c>
      <c r="E1384" s="26" t="s">
        <v>39</v>
      </c>
      <c r="F1384" s="28" t="e">
        <f ca="1">_xludf.ifna(VLOOKUP(G1385,Proyectos!$E$1:$H$4,4,0),"")</f>
        <v>#NAME?</v>
      </c>
      <c r="G1384" s="26" t="s">
        <v>5139</v>
      </c>
      <c r="H1384" s="32">
        <v>1</v>
      </c>
      <c r="I1384" s="31" t="s">
        <v>18</v>
      </c>
      <c r="J1384" s="32"/>
      <c r="K1384" s="32" t="str">
        <f t="shared" si="5"/>
        <v>Interno</v>
      </c>
      <c r="L1384" s="32" t="e">
        <f ca="1">_xludf.ifna(VLOOKUP(G1385,Proyectos!$E$1:$N$4,10,0),"")</f>
        <v>#NAME?</v>
      </c>
      <c r="M1384" s="32"/>
      <c r="N1384" s="32"/>
      <c r="O1384" s="31"/>
      <c r="P1384" s="33"/>
      <c r="Q1384" s="33"/>
    </row>
    <row r="1385" spans="1:17" ht="16.5" customHeight="1" x14ac:dyDescent="0.2">
      <c r="A1385" s="26" t="s">
        <v>3358</v>
      </c>
      <c r="B1385" s="26" t="s">
        <v>3359</v>
      </c>
      <c r="C1385" s="26" t="s">
        <v>98</v>
      </c>
      <c r="D1385" s="26" t="s">
        <v>99</v>
      </c>
      <c r="E1385" s="26" t="s">
        <v>39</v>
      </c>
      <c r="F1385" s="28" t="e">
        <f ca="1">_xludf.ifna(VLOOKUP(G1386,Proyectos!$E$1:$H$4,4,0),"")</f>
        <v>#NAME?</v>
      </c>
      <c r="G1385" s="26" t="s">
        <v>5632</v>
      </c>
      <c r="H1385" s="32">
        <v>0.75</v>
      </c>
      <c r="I1385" s="31" t="s">
        <v>18</v>
      </c>
      <c r="J1385" s="32"/>
      <c r="K1385" s="32" t="str">
        <f t="shared" si="5"/>
        <v>Interno</v>
      </c>
      <c r="L1385" s="32" t="e">
        <f ca="1">_xludf.ifna(VLOOKUP(G1386,Proyectos!$E$1:$N$4,10,0),"")</f>
        <v>#NAME?</v>
      </c>
      <c r="M1385" s="32"/>
      <c r="N1385" s="32"/>
      <c r="O1385" s="31"/>
      <c r="P1385" s="33"/>
      <c r="Q1385" s="33"/>
    </row>
    <row r="1386" spans="1:17" ht="16.5" customHeight="1" x14ac:dyDescent="0.2">
      <c r="A1386" s="26" t="s">
        <v>3358</v>
      </c>
      <c r="B1386" s="26" t="s">
        <v>3359</v>
      </c>
      <c r="C1386" s="26" t="s">
        <v>98</v>
      </c>
      <c r="D1386" s="26" t="s">
        <v>99</v>
      </c>
      <c r="E1386" s="26" t="s">
        <v>39</v>
      </c>
      <c r="F1386" s="28" t="e">
        <f ca="1">_xludf.ifna(VLOOKUP(G1387,Proyectos!$E$1:$H$4,4,0),"")</f>
        <v>#NAME?</v>
      </c>
      <c r="G1386" s="26" t="s">
        <v>5597</v>
      </c>
      <c r="H1386" s="32">
        <v>0.25</v>
      </c>
      <c r="I1386" s="31" t="s">
        <v>18</v>
      </c>
      <c r="J1386" s="32"/>
      <c r="K1386" s="32" t="str">
        <f t="shared" si="5"/>
        <v>Interno</v>
      </c>
      <c r="L1386" s="32" t="e">
        <f ca="1">_xludf.ifna(VLOOKUP(G1387,Proyectos!$E$1:$N$4,10,0),"")</f>
        <v>#NAME?</v>
      </c>
      <c r="M1386" s="32"/>
      <c r="N1386" s="32"/>
      <c r="O1386" s="31"/>
      <c r="P1386" s="33"/>
      <c r="Q1386" s="33"/>
    </row>
    <row r="1387" spans="1:17" ht="16.5" customHeight="1" x14ac:dyDescent="0.2">
      <c r="A1387" s="26" t="s">
        <v>3354</v>
      </c>
      <c r="B1387" s="26" t="s">
        <v>3355</v>
      </c>
      <c r="C1387" s="26" t="s">
        <v>115</v>
      </c>
      <c r="D1387" s="26" t="s">
        <v>122</v>
      </c>
      <c r="E1387" s="26" t="s">
        <v>39</v>
      </c>
      <c r="F1387" s="28" t="e">
        <f ca="1">_xludf.ifna(VLOOKUP(G1388,Proyectos!$E$1:$H$4,4,0),"")</f>
        <v>#NAME?</v>
      </c>
      <c r="G1387" s="26" t="s">
        <v>5424</v>
      </c>
      <c r="H1387" s="32">
        <v>1</v>
      </c>
      <c r="I1387" s="31" t="s">
        <v>18</v>
      </c>
      <c r="J1387" s="32"/>
      <c r="K1387" s="32" t="str">
        <f t="shared" si="5"/>
        <v>Interno</v>
      </c>
      <c r="L1387" s="32" t="e">
        <f ca="1">_xludf.ifna(VLOOKUP(G1388,Proyectos!$E$1:$N$4,10,0),"")</f>
        <v>#NAME?</v>
      </c>
      <c r="M1387" s="32"/>
      <c r="N1387" s="31"/>
      <c r="O1387" s="31"/>
      <c r="P1387" s="33"/>
      <c r="Q1387" s="33"/>
    </row>
    <row r="1388" spans="1:17" ht="16.5" customHeight="1" x14ac:dyDescent="0.2">
      <c r="A1388" s="26" t="s">
        <v>4378</v>
      </c>
      <c r="B1388" s="26" t="s">
        <v>4379</v>
      </c>
      <c r="C1388" s="26" t="s">
        <v>98</v>
      </c>
      <c r="D1388" s="26" t="s">
        <v>102</v>
      </c>
      <c r="E1388" s="26" t="s">
        <v>114</v>
      </c>
      <c r="F1388" s="28" t="e">
        <f ca="1">_xludf.ifna(VLOOKUP(G1389,Proyectos!$E$1:$H$4,4,0),"")</f>
        <v>#NAME?</v>
      </c>
      <c r="G1388" s="26" t="s">
        <v>5111</v>
      </c>
      <c r="H1388" s="118">
        <v>0.125</v>
      </c>
      <c r="I1388" s="31" t="s">
        <v>25</v>
      </c>
      <c r="J1388" s="32"/>
      <c r="K1388" s="32" t="str">
        <f t="shared" si="5"/>
        <v>Externo</v>
      </c>
      <c r="L1388" s="32" t="e">
        <f ca="1">_xludf.ifna(VLOOKUP(G1389,Proyectos!$E$1:$N$4,10,0),"")</f>
        <v>#NAME?</v>
      </c>
      <c r="M1388" s="32"/>
      <c r="N1388" s="32"/>
      <c r="O1388" s="31"/>
      <c r="P1388" s="33"/>
      <c r="Q1388" s="33"/>
    </row>
    <row r="1389" spans="1:17" ht="16.5" customHeight="1" x14ac:dyDescent="0.2">
      <c r="A1389" s="26" t="s">
        <v>4378</v>
      </c>
      <c r="B1389" s="26" t="s">
        <v>4379</v>
      </c>
      <c r="C1389" s="26" t="s">
        <v>98</v>
      </c>
      <c r="D1389" s="26" t="s">
        <v>102</v>
      </c>
      <c r="E1389" s="26" t="s">
        <v>114</v>
      </c>
      <c r="F1389" s="28" t="e">
        <f ca="1">_xludf.ifna(VLOOKUP(G1390,Proyectos!$E$1:$H$4,4,0),"")</f>
        <v>#NAME?</v>
      </c>
      <c r="G1389" s="27" t="s">
        <v>5112</v>
      </c>
      <c r="H1389" s="118">
        <v>0.125</v>
      </c>
      <c r="I1389" s="31" t="s">
        <v>25</v>
      </c>
      <c r="J1389" s="32"/>
      <c r="K1389" s="32" t="str">
        <f t="shared" si="5"/>
        <v>Externo</v>
      </c>
      <c r="L1389" s="32" t="e">
        <f ca="1">_xludf.ifna(VLOOKUP(G1390,Proyectos!$E$1:$N$4,10,0),"")</f>
        <v>#NAME?</v>
      </c>
      <c r="M1389" s="32"/>
      <c r="N1389" s="32"/>
      <c r="O1389" s="31"/>
      <c r="P1389" s="33"/>
      <c r="Q1389" s="33"/>
    </row>
    <row r="1390" spans="1:17" ht="16.5" customHeight="1" x14ac:dyDescent="0.2">
      <c r="A1390" s="26" t="s">
        <v>4378</v>
      </c>
      <c r="B1390" s="26" t="s">
        <v>4379</v>
      </c>
      <c r="C1390" s="26" t="s">
        <v>98</v>
      </c>
      <c r="D1390" s="26" t="s">
        <v>105</v>
      </c>
      <c r="E1390" s="26" t="s">
        <v>114</v>
      </c>
      <c r="F1390" s="28" t="e">
        <f ca="1">_xludf.ifna(VLOOKUP(G1391,Proyectos!$E$1:$H$4,4,0),"")</f>
        <v>#NAME?</v>
      </c>
      <c r="G1390" s="26" t="s">
        <v>5145</v>
      </c>
      <c r="H1390" s="32">
        <v>0.25</v>
      </c>
      <c r="I1390" s="31" t="s">
        <v>25</v>
      </c>
      <c r="J1390" s="32"/>
      <c r="K1390" s="32" t="str">
        <f t="shared" si="5"/>
        <v>Externo</v>
      </c>
      <c r="L1390" s="32" t="e">
        <f ca="1">_xludf.ifna(VLOOKUP(G1391,Proyectos!$E$1:$N$4,10,0),"")</f>
        <v>#NAME?</v>
      </c>
      <c r="M1390" s="32"/>
      <c r="N1390" s="32"/>
      <c r="O1390" s="31"/>
      <c r="P1390" s="33"/>
      <c r="Q1390" s="33"/>
    </row>
    <row r="1391" spans="1:17" ht="16.5" customHeight="1" x14ac:dyDescent="0.2">
      <c r="A1391" s="26" t="s">
        <v>4378</v>
      </c>
      <c r="B1391" s="26" t="s">
        <v>4379</v>
      </c>
      <c r="C1391" s="26" t="s">
        <v>98</v>
      </c>
      <c r="D1391" s="26" t="s">
        <v>102</v>
      </c>
      <c r="E1391" s="26" t="s">
        <v>114</v>
      </c>
      <c r="F1391" s="28" t="e">
        <f ca="1">_xludf.ifna(VLOOKUP(G1392,Proyectos!$E$1:$H$4,4,0),"")</f>
        <v>#NAME?</v>
      </c>
      <c r="G1391" s="26" t="s">
        <v>5597</v>
      </c>
      <c r="H1391" s="118">
        <v>0.25</v>
      </c>
      <c r="I1391" s="31" t="s">
        <v>25</v>
      </c>
      <c r="J1391" s="32"/>
      <c r="K1391" s="32" t="str">
        <f t="shared" si="5"/>
        <v>Externo</v>
      </c>
      <c r="L1391" s="32" t="e">
        <f ca="1">_xludf.ifna(VLOOKUP(G1392,Proyectos!$E$1:$N$4,10,0),"")</f>
        <v>#NAME?</v>
      </c>
      <c r="M1391" s="32"/>
      <c r="N1391" s="32"/>
      <c r="O1391" s="31"/>
      <c r="P1391" s="33"/>
      <c r="Q1391" s="33"/>
    </row>
    <row r="1392" spans="1:17" ht="16.5" customHeight="1" x14ac:dyDescent="0.2">
      <c r="A1392" s="26" t="s">
        <v>4378</v>
      </c>
      <c r="B1392" s="26" t="s">
        <v>4379</v>
      </c>
      <c r="C1392" s="26" t="s">
        <v>98</v>
      </c>
      <c r="D1392" s="26" t="s">
        <v>105</v>
      </c>
      <c r="E1392" s="26" t="s">
        <v>114</v>
      </c>
      <c r="F1392" s="28" t="e">
        <f ca="1">_xludf.ifna(VLOOKUP(G1393,Proyectos!$E$1:$H$4,4,0),"")</f>
        <v>#NAME?</v>
      </c>
      <c r="G1392" s="26" t="s">
        <v>5597</v>
      </c>
      <c r="H1392" s="32">
        <v>0.25</v>
      </c>
      <c r="I1392" s="31" t="s">
        <v>25</v>
      </c>
      <c r="J1392" s="32"/>
      <c r="K1392" s="32" t="str">
        <f t="shared" si="5"/>
        <v>Externo</v>
      </c>
      <c r="L1392" s="32" t="e">
        <f ca="1">_xludf.ifna(VLOOKUP(G1393,Proyectos!$E$1:$N$4,10,0),"")</f>
        <v>#NAME?</v>
      </c>
      <c r="M1392" s="32"/>
      <c r="N1392" s="32"/>
      <c r="O1392" s="31"/>
      <c r="P1392" s="33"/>
      <c r="Q1392" s="33"/>
    </row>
    <row r="1393" spans="1:17" ht="16.5" customHeight="1" x14ac:dyDescent="0.2">
      <c r="A1393" s="26" t="s">
        <v>4763</v>
      </c>
      <c r="B1393" s="26" t="s">
        <v>4764</v>
      </c>
      <c r="C1393" s="26" t="s">
        <v>115</v>
      </c>
      <c r="D1393" s="26" t="s">
        <v>119</v>
      </c>
      <c r="E1393" s="26" t="s">
        <v>39</v>
      </c>
      <c r="F1393" s="28" t="e">
        <f ca="1">_xludf.ifna(VLOOKUP(G1394,Proyectos!$E$1:$H$4,4,0),"")</f>
        <v>#NAME?</v>
      </c>
      <c r="G1393" s="26" t="s">
        <v>5217</v>
      </c>
      <c r="H1393" s="32">
        <v>1</v>
      </c>
      <c r="I1393" s="31" t="s">
        <v>18</v>
      </c>
      <c r="J1393" s="32"/>
      <c r="K1393" s="32" t="str">
        <f t="shared" si="5"/>
        <v>Interno</v>
      </c>
      <c r="L1393" s="32" t="e">
        <f ca="1">_xludf.ifna(VLOOKUP(G1394,Proyectos!$E$1:$N$4,10,0),"")</f>
        <v>#NAME?</v>
      </c>
      <c r="M1393" s="32"/>
      <c r="N1393" s="32"/>
      <c r="O1393" s="31"/>
      <c r="P1393" s="33"/>
      <c r="Q1393" s="33"/>
    </row>
    <row r="1394" spans="1:17" ht="16.5" customHeight="1" x14ac:dyDescent="0.2">
      <c r="A1394" s="26" t="s">
        <v>3872</v>
      </c>
      <c r="B1394" s="26" t="s">
        <v>3873</v>
      </c>
      <c r="C1394" s="26" t="s">
        <v>98</v>
      </c>
      <c r="D1394" s="26" t="s">
        <v>110</v>
      </c>
      <c r="E1394" s="26" t="s">
        <v>39</v>
      </c>
      <c r="F1394" s="28" t="e">
        <f ca="1">_xludf.ifna(VLOOKUP(G1395,Proyectos!$E$1:$H$4,4,0),"")</f>
        <v>#NAME?</v>
      </c>
      <c r="G1394" s="26" t="s">
        <v>5597</v>
      </c>
      <c r="H1394" s="32">
        <v>1</v>
      </c>
      <c r="I1394" s="31" t="s">
        <v>18</v>
      </c>
      <c r="J1394" s="32"/>
      <c r="K1394" s="32" t="str">
        <f t="shared" si="5"/>
        <v>Interno</v>
      </c>
      <c r="L1394" s="32" t="e">
        <f ca="1">_xludf.ifna(VLOOKUP(G1395,Proyectos!$E$1:$N$4,10,0),"")</f>
        <v>#NAME?</v>
      </c>
      <c r="M1394" s="32"/>
      <c r="N1394" s="32"/>
      <c r="O1394" s="31"/>
      <c r="P1394" s="33"/>
      <c r="Q1394" s="33"/>
    </row>
    <row r="1395" spans="1:17" ht="16.5" customHeight="1" x14ac:dyDescent="0.2">
      <c r="A1395" s="26" t="s">
        <v>3902</v>
      </c>
      <c r="B1395" s="26" t="s">
        <v>3903</v>
      </c>
      <c r="C1395" s="26" t="s">
        <v>37</v>
      </c>
      <c r="D1395" s="26" t="s">
        <v>45</v>
      </c>
      <c r="E1395" s="26" t="s">
        <v>138</v>
      </c>
      <c r="F1395" s="28" t="e">
        <f ca="1">_xludf.ifna(VLOOKUP(G1396,Proyectos!$E$1:$H$4,4,0),"")</f>
        <v>#NAME?</v>
      </c>
      <c r="G1395" s="26" t="s">
        <v>5597</v>
      </c>
      <c r="H1395" s="32">
        <v>1</v>
      </c>
      <c r="I1395" s="31" t="s">
        <v>18</v>
      </c>
      <c r="J1395" s="32"/>
      <c r="K1395" s="32" t="str">
        <f t="shared" si="5"/>
        <v>Externo</v>
      </c>
      <c r="L1395" s="32" t="e">
        <f ca="1">_xludf.ifna(VLOOKUP(G1396,Proyectos!$E$1:$N$4,10,0),"")</f>
        <v>#NAME?</v>
      </c>
      <c r="M1395" s="32"/>
      <c r="N1395" s="31"/>
      <c r="O1395" s="31"/>
      <c r="P1395" s="33"/>
      <c r="Q1395" s="33"/>
    </row>
    <row r="1396" spans="1:17" ht="16.5" customHeight="1" x14ac:dyDescent="0.2">
      <c r="A1396" s="26" t="s">
        <v>3862</v>
      </c>
      <c r="B1396" s="26" t="s">
        <v>5573</v>
      </c>
      <c r="C1396" s="26" t="s">
        <v>115</v>
      </c>
      <c r="D1396" s="26" t="s">
        <v>131</v>
      </c>
      <c r="E1396" s="26" t="s">
        <v>39</v>
      </c>
      <c r="F1396" s="28" t="e">
        <f ca="1">_xludf.ifna(VLOOKUP(G1397,Proyectos!$E$1:$H$4,4,0),"")</f>
        <v>#NAME?</v>
      </c>
      <c r="G1396" s="26" t="s">
        <v>5597</v>
      </c>
      <c r="H1396" s="32">
        <v>1</v>
      </c>
      <c r="I1396" s="31" t="s">
        <v>18</v>
      </c>
      <c r="J1396" s="31" t="s">
        <v>5810</v>
      </c>
      <c r="K1396" s="32" t="str">
        <f t="shared" si="5"/>
        <v>Interno</v>
      </c>
      <c r="L1396" s="32" t="e">
        <f ca="1">_xludf.ifna(VLOOKUP(G1397,Proyectos!$E$1:$N$4,10,0),"")</f>
        <v>#NAME?</v>
      </c>
      <c r="M1396" s="32"/>
      <c r="N1396" s="31"/>
      <c r="O1396" s="31"/>
      <c r="P1396" s="33"/>
      <c r="Q1396" s="33"/>
    </row>
    <row r="1397" spans="1:17" ht="16.5" customHeight="1" x14ac:dyDescent="0.2">
      <c r="A1397" s="26" t="s">
        <v>5894</v>
      </c>
      <c r="B1397" s="26" t="s">
        <v>5895</v>
      </c>
      <c r="C1397" s="26" t="s">
        <v>115</v>
      </c>
      <c r="D1397" s="26" t="s">
        <v>119</v>
      </c>
      <c r="E1397" s="26" t="s">
        <v>135</v>
      </c>
      <c r="F1397" s="28" t="e">
        <f ca="1">_xludf.ifna(VLOOKUP(G1398,Proyectos!$E$1:$H$4,4,0),"")</f>
        <v>#NAME?</v>
      </c>
      <c r="G1397" s="26" t="s">
        <v>5597</v>
      </c>
      <c r="H1397" s="32">
        <v>0.2</v>
      </c>
      <c r="I1397" s="31" t="s">
        <v>18</v>
      </c>
      <c r="J1397" s="31" t="s">
        <v>5626</v>
      </c>
      <c r="K1397" s="32" t="str">
        <f t="shared" si="5"/>
        <v>Externo</v>
      </c>
      <c r="L1397" s="32" t="e">
        <f ca="1">_xludf.ifna(VLOOKUP(G1398,Proyectos!$E$1:$N$4,10,0),"")</f>
        <v>#NAME?</v>
      </c>
      <c r="M1397" s="32"/>
      <c r="N1397" s="31"/>
      <c r="O1397" s="31"/>
      <c r="P1397" s="33"/>
      <c r="Q1397" s="33"/>
    </row>
    <row r="1398" spans="1:17" ht="16.5" customHeight="1" x14ac:dyDescent="0.2">
      <c r="A1398" s="26" t="s">
        <v>4719</v>
      </c>
      <c r="B1398" s="26" t="s">
        <v>4720</v>
      </c>
      <c r="C1398" s="26" t="s">
        <v>98</v>
      </c>
      <c r="D1398" s="26" t="s">
        <v>99</v>
      </c>
      <c r="E1398" s="26" t="s">
        <v>39</v>
      </c>
      <c r="F1398" s="28" t="e">
        <f ca="1">_xludf.ifna(VLOOKUP(G1399,Proyectos!$E$1:$H$4,4,0),"")</f>
        <v>#NAME?</v>
      </c>
      <c r="G1398" s="26" t="s">
        <v>5129</v>
      </c>
      <c r="H1398" s="32">
        <v>1</v>
      </c>
      <c r="I1398" s="31" t="s">
        <v>18</v>
      </c>
      <c r="J1398" s="32"/>
      <c r="K1398" s="32" t="str">
        <f t="shared" si="5"/>
        <v>Interno</v>
      </c>
      <c r="L1398" s="32" t="e">
        <f ca="1">_xludf.ifna(VLOOKUP(G1399,Proyectos!$E$1:$N$4,10,0),"")</f>
        <v>#NAME?</v>
      </c>
      <c r="M1398" s="32"/>
      <c r="N1398" s="32"/>
      <c r="O1398" s="31"/>
      <c r="P1398" s="33"/>
      <c r="Q1398" s="33"/>
    </row>
    <row r="1399" spans="1:17" ht="16.5" customHeight="1" x14ac:dyDescent="0.2">
      <c r="A1399" s="26" t="s">
        <v>3388</v>
      </c>
      <c r="B1399" s="26" t="s">
        <v>3389</v>
      </c>
      <c r="C1399" s="26" t="s">
        <v>64</v>
      </c>
      <c r="D1399" s="26" t="s">
        <v>86</v>
      </c>
      <c r="E1399" s="26" t="s">
        <v>39</v>
      </c>
      <c r="F1399" s="28" t="e">
        <f ca="1">_xludf.ifna(VLOOKUP(G1400,Proyectos!$E$1:$H$4,4,0),"")</f>
        <v>#NAME?</v>
      </c>
      <c r="G1399" s="26" t="s">
        <v>5597</v>
      </c>
      <c r="H1399" s="32">
        <v>0.2</v>
      </c>
      <c r="I1399" s="31" t="s">
        <v>11</v>
      </c>
      <c r="J1399" s="32"/>
      <c r="K1399" s="32" t="str">
        <f t="shared" si="5"/>
        <v>Interno</v>
      </c>
      <c r="L1399" s="32" t="e">
        <f ca="1">_xludf.ifna(VLOOKUP(G1400,Proyectos!$E$1:$N$4,10,0),"")</f>
        <v>#NAME?</v>
      </c>
      <c r="M1399" s="32"/>
      <c r="N1399" s="31"/>
      <c r="O1399" s="31"/>
      <c r="P1399" s="33"/>
      <c r="Q1399" s="33"/>
    </row>
    <row r="1400" spans="1:17" ht="16.5" customHeight="1" x14ac:dyDescent="0.2">
      <c r="A1400" s="26" t="s">
        <v>3388</v>
      </c>
      <c r="B1400" s="26" t="s">
        <v>3389</v>
      </c>
      <c r="C1400" s="26" t="s">
        <v>64</v>
      </c>
      <c r="D1400" s="26" t="s">
        <v>86</v>
      </c>
      <c r="E1400" s="26" t="s">
        <v>39</v>
      </c>
      <c r="F1400" s="28" t="e">
        <f ca="1">_xludf.ifna(VLOOKUP(G1401,Proyectos!$E$1:$H$4,4,0),"")</f>
        <v>#NAME?</v>
      </c>
      <c r="G1400" s="26" t="s">
        <v>5464</v>
      </c>
      <c r="H1400" s="32">
        <v>0.2</v>
      </c>
      <c r="I1400" s="31" t="s">
        <v>11</v>
      </c>
      <c r="J1400" s="32"/>
      <c r="K1400" s="32" t="str">
        <f t="shared" si="5"/>
        <v>Interno</v>
      </c>
      <c r="L1400" s="32" t="e">
        <f ca="1">_xludf.ifna(VLOOKUP(G1401,Proyectos!$E$1:$N$4,10,0),"")</f>
        <v>#NAME?</v>
      </c>
      <c r="M1400" s="32"/>
      <c r="N1400" s="32"/>
      <c r="O1400" s="31"/>
      <c r="P1400" s="33"/>
      <c r="Q1400" s="33"/>
    </row>
    <row r="1401" spans="1:17" ht="16.5" customHeight="1" x14ac:dyDescent="0.2">
      <c r="A1401" s="26" t="s">
        <v>3388</v>
      </c>
      <c r="B1401" s="26" t="s">
        <v>3389</v>
      </c>
      <c r="C1401" s="26" t="s">
        <v>64</v>
      </c>
      <c r="D1401" s="26" t="s">
        <v>86</v>
      </c>
      <c r="E1401" s="26" t="s">
        <v>39</v>
      </c>
      <c r="F1401" s="28" t="e">
        <f ca="1">_xludf.ifna(VLOOKUP(G1402,Proyectos!$E$1:$H$4,4,0),"")</f>
        <v>#NAME?</v>
      </c>
      <c r="G1401" s="26" t="s">
        <v>5131</v>
      </c>
      <c r="H1401" s="32">
        <v>0.2</v>
      </c>
      <c r="I1401" s="31" t="s">
        <v>11</v>
      </c>
      <c r="J1401" s="32"/>
      <c r="K1401" s="32" t="str">
        <f t="shared" si="5"/>
        <v>Interno</v>
      </c>
      <c r="L1401" s="32" t="e">
        <f ca="1">_xludf.ifna(VLOOKUP(G1402,Proyectos!$E$1:$N$4,10,0),"")</f>
        <v>#NAME?</v>
      </c>
      <c r="M1401" s="32"/>
      <c r="N1401" s="32"/>
      <c r="O1401" s="31"/>
      <c r="P1401" s="33"/>
      <c r="Q1401" s="33"/>
    </row>
    <row r="1402" spans="1:17" ht="16.5" customHeight="1" x14ac:dyDescent="0.2">
      <c r="A1402" s="26" t="s">
        <v>3388</v>
      </c>
      <c r="B1402" s="26" t="s">
        <v>3389</v>
      </c>
      <c r="C1402" s="26" t="s">
        <v>64</v>
      </c>
      <c r="D1402" s="26" t="s">
        <v>86</v>
      </c>
      <c r="E1402" s="26" t="s">
        <v>39</v>
      </c>
      <c r="F1402" s="28" t="e">
        <f ca="1">_xludf.ifna(VLOOKUP(G1403,Proyectos!$E$1:$H$4,4,0),"")</f>
        <v>#NAME?</v>
      </c>
      <c r="G1402" s="26" t="s">
        <v>5612</v>
      </c>
      <c r="H1402" s="32">
        <v>0.2</v>
      </c>
      <c r="I1402" s="31" t="s">
        <v>11</v>
      </c>
      <c r="J1402" s="32"/>
      <c r="K1402" s="32" t="str">
        <f t="shared" si="5"/>
        <v>Interno</v>
      </c>
      <c r="L1402" s="32" t="e">
        <f ca="1">_xludf.ifna(VLOOKUP(G1403,Proyectos!$E$1:$N$4,10,0),"")</f>
        <v>#NAME?</v>
      </c>
      <c r="M1402" s="32"/>
      <c r="N1402" s="32"/>
      <c r="O1402" s="31"/>
      <c r="P1402" s="33"/>
      <c r="Q1402" s="33"/>
    </row>
    <row r="1403" spans="1:17" ht="16.5" customHeight="1" x14ac:dyDescent="0.2">
      <c r="A1403" s="26" t="s">
        <v>3388</v>
      </c>
      <c r="B1403" s="26" t="s">
        <v>3389</v>
      </c>
      <c r="C1403" s="26" t="s">
        <v>64</v>
      </c>
      <c r="D1403" s="26" t="s">
        <v>86</v>
      </c>
      <c r="E1403" s="26" t="s">
        <v>39</v>
      </c>
      <c r="F1403" s="28" t="e">
        <f ca="1">_xludf.ifna(VLOOKUP(G1404,Proyectos!$E$1:$H$4,4,0),"")</f>
        <v>#NAME?</v>
      </c>
      <c r="G1403" s="26" t="s">
        <v>5248</v>
      </c>
      <c r="H1403" s="32">
        <v>0.2</v>
      </c>
      <c r="I1403" s="31" t="s">
        <v>11</v>
      </c>
      <c r="J1403" s="32"/>
      <c r="K1403" s="32" t="str">
        <f t="shared" si="5"/>
        <v>Interno</v>
      </c>
      <c r="L1403" s="32" t="e">
        <f ca="1">_xludf.ifna(VLOOKUP(G1404,Proyectos!$E$1:$N$4,10,0),"")</f>
        <v>#NAME?</v>
      </c>
      <c r="M1403" s="32"/>
      <c r="N1403" s="31"/>
      <c r="O1403" s="31"/>
      <c r="P1403" s="33"/>
      <c r="Q1403" s="33"/>
    </row>
    <row r="1404" spans="1:17" ht="16.5" customHeight="1" x14ac:dyDescent="0.2">
      <c r="A1404" s="26" t="s">
        <v>3388</v>
      </c>
      <c r="B1404" s="26" t="s">
        <v>3389</v>
      </c>
      <c r="C1404" s="26" t="s">
        <v>64</v>
      </c>
      <c r="D1404" s="26" t="s">
        <v>86</v>
      </c>
      <c r="E1404" s="26" t="s">
        <v>39</v>
      </c>
      <c r="F1404" s="28" t="e">
        <f ca="1">_xludf.ifna(VLOOKUP(G1405,Proyectos!$E$1:$H$4,4,0),"")</f>
        <v>#NAME?</v>
      </c>
      <c r="G1404" s="26" t="s">
        <v>5387</v>
      </c>
      <c r="H1404" s="32">
        <v>0.2</v>
      </c>
      <c r="I1404" s="31" t="s">
        <v>11</v>
      </c>
      <c r="J1404" s="32"/>
      <c r="K1404" s="32" t="str">
        <f t="shared" si="5"/>
        <v>Interno</v>
      </c>
      <c r="L1404" s="32" t="e">
        <f ca="1">_xludf.ifna(VLOOKUP(G1405,Proyectos!$E$1:$N$4,10,0),"")</f>
        <v>#NAME?</v>
      </c>
      <c r="M1404" s="32"/>
      <c r="N1404" s="32"/>
      <c r="O1404" s="31"/>
      <c r="P1404" s="33"/>
      <c r="Q1404" s="33"/>
    </row>
    <row r="1405" spans="1:17" ht="16.5" customHeight="1" x14ac:dyDescent="0.2">
      <c r="A1405" s="26" t="s">
        <v>4310</v>
      </c>
      <c r="B1405" s="26" t="s">
        <v>4311</v>
      </c>
      <c r="C1405" s="26" t="s">
        <v>37</v>
      </c>
      <c r="D1405" s="26" t="s">
        <v>38</v>
      </c>
      <c r="E1405" s="26" t="s">
        <v>9</v>
      </c>
      <c r="F1405" s="28" t="e">
        <f ca="1">_xludf.ifna(VLOOKUP(G1406,Proyectos!$E$1:$H$4,4,0),"")</f>
        <v>#NAME?</v>
      </c>
      <c r="G1405" s="26" t="s">
        <v>5336</v>
      </c>
      <c r="H1405" s="32">
        <v>1</v>
      </c>
      <c r="I1405" s="31" t="s">
        <v>18</v>
      </c>
      <c r="J1405" s="32"/>
      <c r="K1405" s="32" t="str">
        <f t="shared" si="5"/>
        <v>Externo</v>
      </c>
      <c r="L1405" s="32" t="e">
        <f ca="1">_xludf.ifna(VLOOKUP(G1406,Proyectos!$E$1:$N$4,10,0),"")</f>
        <v>#NAME?</v>
      </c>
      <c r="M1405" s="32"/>
      <c r="N1405" s="31"/>
      <c r="O1405" s="31"/>
      <c r="P1405" s="33"/>
      <c r="Q1405" s="33"/>
    </row>
    <row r="1406" spans="1:17" ht="16.5" customHeight="1" x14ac:dyDescent="0.2">
      <c r="A1406" s="26" t="s">
        <v>3650</v>
      </c>
      <c r="B1406" s="26" t="s">
        <v>3651</v>
      </c>
      <c r="C1406" s="26" t="s">
        <v>98</v>
      </c>
      <c r="D1406" s="26" t="s">
        <v>99</v>
      </c>
      <c r="E1406" s="26" t="s">
        <v>39</v>
      </c>
      <c r="F1406" s="28" t="e">
        <f ca="1">_xludf.ifna(VLOOKUP(G1407,Proyectos!$E$1:$H$4,4,0),"")</f>
        <v>#NAME?</v>
      </c>
      <c r="G1406" s="26" t="s">
        <v>5132</v>
      </c>
      <c r="H1406" s="32">
        <v>0.5</v>
      </c>
      <c r="I1406" s="31" t="s">
        <v>18</v>
      </c>
      <c r="J1406" s="32"/>
      <c r="K1406" s="32" t="str">
        <f t="shared" si="5"/>
        <v>Interno</v>
      </c>
      <c r="L1406" s="32" t="e">
        <f ca="1">_xludf.ifna(VLOOKUP(G1407,Proyectos!$E$1:$N$4,10,0),"")</f>
        <v>#NAME?</v>
      </c>
      <c r="M1406" s="32"/>
      <c r="N1406" s="32"/>
      <c r="O1406" s="31"/>
      <c r="P1406" s="33"/>
      <c r="Q1406" s="33"/>
    </row>
    <row r="1407" spans="1:17" ht="16.5" customHeight="1" x14ac:dyDescent="0.2">
      <c r="A1407" s="26" t="s">
        <v>3650</v>
      </c>
      <c r="B1407" s="26" t="s">
        <v>3651</v>
      </c>
      <c r="C1407" s="26" t="s">
        <v>98</v>
      </c>
      <c r="D1407" s="26" t="s">
        <v>99</v>
      </c>
      <c r="E1407" s="26" t="s">
        <v>39</v>
      </c>
      <c r="F1407" s="28" t="e">
        <f ca="1">_xludf.ifna(VLOOKUP(G1408,Proyectos!$E$1:$H$4,4,0),"")</f>
        <v>#NAME?</v>
      </c>
      <c r="G1407" s="26" t="s">
        <v>5133</v>
      </c>
      <c r="H1407" s="32">
        <v>0.5</v>
      </c>
      <c r="I1407" s="31" t="s">
        <v>18</v>
      </c>
      <c r="J1407" s="32"/>
      <c r="K1407" s="32" t="str">
        <f t="shared" si="5"/>
        <v>Interno</v>
      </c>
      <c r="L1407" s="32" t="e">
        <f ca="1">_xludf.ifna(VLOOKUP(G1408,Proyectos!$E$1:$N$4,10,0),"")</f>
        <v>#NAME?</v>
      </c>
      <c r="M1407" s="32"/>
      <c r="N1407" s="32"/>
      <c r="O1407" s="31"/>
      <c r="P1407" s="33"/>
      <c r="Q1407" s="33"/>
    </row>
    <row r="1408" spans="1:17" ht="16.5" customHeight="1" x14ac:dyDescent="0.2">
      <c r="A1408" s="26" t="s">
        <v>4336</v>
      </c>
      <c r="B1408" s="26" t="s">
        <v>4337</v>
      </c>
      <c r="C1408" s="26" t="s">
        <v>98</v>
      </c>
      <c r="D1408" s="26" t="s">
        <v>105</v>
      </c>
      <c r="E1408" s="26" t="s">
        <v>83</v>
      </c>
      <c r="F1408" s="28" t="e">
        <f ca="1">_xludf.ifna(VLOOKUP(G1409,Proyectos!$E$1:$H$4,4,0),"")</f>
        <v>#NAME?</v>
      </c>
      <c r="G1408" s="26" t="s">
        <v>5145</v>
      </c>
      <c r="H1408" s="32">
        <v>0.75</v>
      </c>
      <c r="I1408" s="31" t="s">
        <v>25</v>
      </c>
      <c r="J1408" s="32"/>
      <c r="K1408" s="32" t="str">
        <f t="shared" si="5"/>
        <v>Externo</v>
      </c>
      <c r="L1408" s="32" t="e">
        <f ca="1">_xludf.ifna(VLOOKUP(G1409,Proyectos!$E$1:$N$4,10,0),"")</f>
        <v>#NAME?</v>
      </c>
      <c r="M1408" s="32"/>
      <c r="N1408" s="32"/>
      <c r="O1408" s="31"/>
      <c r="P1408" s="33"/>
      <c r="Q1408" s="33"/>
    </row>
    <row r="1409" spans="1:17" ht="16.5" customHeight="1" x14ac:dyDescent="0.2">
      <c r="A1409" s="26" t="s">
        <v>4336</v>
      </c>
      <c r="B1409" s="26" t="s">
        <v>4337</v>
      </c>
      <c r="C1409" s="26" t="s">
        <v>98</v>
      </c>
      <c r="D1409" s="26" t="s">
        <v>105</v>
      </c>
      <c r="E1409" s="26" t="s">
        <v>83</v>
      </c>
      <c r="F1409" s="28" t="e">
        <f ca="1">_xludf.ifna(VLOOKUP(G1410,Proyectos!$E$1:$H$4,4,0),"")</f>
        <v>#NAME?</v>
      </c>
      <c r="G1409" s="26" t="s">
        <v>5148</v>
      </c>
      <c r="H1409" s="32">
        <v>0.25</v>
      </c>
      <c r="I1409" s="31" t="s">
        <v>25</v>
      </c>
      <c r="J1409" s="32"/>
      <c r="K1409" s="32" t="str">
        <f t="shared" si="5"/>
        <v>Externo</v>
      </c>
      <c r="L1409" s="32" t="e">
        <f ca="1">_xludf.ifna(VLOOKUP(G1410,Proyectos!$E$1:$N$4,10,0),"")</f>
        <v>#NAME?</v>
      </c>
      <c r="M1409" s="32"/>
      <c r="N1409" s="32"/>
      <c r="O1409" s="31"/>
      <c r="P1409" s="33"/>
      <c r="Q1409" s="33"/>
    </row>
    <row r="1410" spans="1:17" ht="16.5" customHeight="1" x14ac:dyDescent="0.2">
      <c r="A1410" s="26" t="s">
        <v>4869</v>
      </c>
      <c r="B1410" s="26" t="s">
        <v>4870</v>
      </c>
      <c r="C1410" s="26" t="s">
        <v>98</v>
      </c>
      <c r="D1410" s="26" t="s">
        <v>105</v>
      </c>
      <c r="E1410" s="26" t="s">
        <v>83</v>
      </c>
      <c r="F1410" s="28" t="e">
        <f ca="1">_xludf.ifna(VLOOKUP(G1411,Proyectos!$E$1:$H$4,4,0),"")</f>
        <v>#NAME?</v>
      </c>
      <c r="G1410" s="26" t="s">
        <v>5148</v>
      </c>
      <c r="H1410" s="32">
        <v>1</v>
      </c>
      <c r="I1410" s="31" t="s">
        <v>25</v>
      </c>
      <c r="J1410" s="32"/>
      <c r="K1410" s="32" t="str">
        <f t="shared" si="5"/>
        <v>Externo</v>
      </c>
      <c r="L1410" s="32" t="e">
        <f ca="1">_xludf.ifna(VLOOKUP(G1411,Proyectos!$E$1:$N$4,10,0),"")</f>
        <v>#NAME?</v>
      </c>
      <c r="M1410" s="32"/>
      <c r="N1410" s="32"/>
      <c r="O1410" s="31"/>
      <c r="P1410" s="33"/>
      <c r="Q1410" s="33"/>
    </row>
    <row r="1411" spans="1:17" ht="16.5" customHeight="1" x14ac:dyDescent="0.2">
      <c r="A1411" s="26" t="s">
        <v>5071</v>
      </c>
      <c r="B1411" s="26" t="s">
        <v>5169</v>
      </c>
      <c r="C1411" s="35" t="s">
        <v>7</v>
      </c>
      <c r="D1411" s="35" t="s">
        <v>30</v>
      </c>
      <c r="E1411" s="35" t="s">
        <v>129</v>
      </c>
      <c r="F1411" s="28" t="e">
        <f ca="1">_xludf.ifna(VLOOKUP(G1412,Proyectos!$E$1:$H$4,4,0),"")</f>
        <v>#NAME?</v>
      </c>
      <c r="G1411" s="35" t="s">
        <v>5153</v>
      </c>
      <c r="H1411" s="55">
        <v>1</v>
      </c>
      <c r="I1411" s="31" t="s">
        <v>18</v>
      </c>
      <c r="J1411" s="55"/>
      <c r="K1411" s="32" t="str">
        <f t="shared" si="5"/>
        <v>Externo</v>
      </c>
      <c r="L1411" s="32" t="e">
        <f ca="1">_xludf.ifna(VLOOKUP(G1412,Proyectos!$E$1:$N$4,10,0),"")</f>
        <v>#NAME?</v>
      </c>
      <c r="M1411" s="32"/>
      <c r="N1411" s="31"/>
      <c r="O1411" s="31"/>
      <c r="P1411" s="33"/>
      <c r="Q1411" s="33"/>
    </row>
    <row r="1412" spans="1:17" ht="16.5" customHeight="1" x14ac:dyDescent="0.2">
      <c r="A1412" s="26" t="s">
        <v>3700</v>
      </c>
      <c r="B1412" s="26" t="s">
        <v>3701</v>
      </c>
      <c r="C1412" s="53" t="s">
        <v>64</v>
      </c>
      <c r="D1412" s="26" t="s">
        <v>92</v>
      </c>
      <c r="E1412" s="53" t="s">
        <v>39</v>
      </c>
      <c r="F1412" s="28" t="e">
        <f ca="1">_xludf.ifna(VLOOKUP(G1413,Proyectos!$E$1:$H$4,4,0),"")</f>
        <v>#NAME?</v>
      </c>
      <c r="G1412" s="26" t="s">
        <v>5314</v>
      </c>
      <c r="H1412" s="32">
        <v>1</v>
      </c>
      <c r="I1412" s="31" t="s">
        <v>18</v>
      </c>
      <c r="J1412" s="32"/>
      <c r="K1412" s="32" t="str">
        <f t="shared" si="5"/>
        <v>Interno</v>
      </c>
      <c r="L1412" s="32" t="e">
        <f ca="1">_xludf.ifna(VLOOKUP(G1413,Proyectos!$E$1:$N$4,10,0),"")</f>
        <v>#NAME?</v>
      </c>
      <c r="M1412" s="32"/>
      <c r="N1412" s="32"/>
      <c r="O1412" s="31"/>
      <c r="P1412" s="33"/>
      <c r="Q1412" s="33"/>
    </row>
    <row r="1413" spans="1:17" ht="16.5" customHeight="1" x14ac:dyDescent="0.2">
      <c r="A1413" s="26" t="s">
        <v>4617</v>
      </c>
      <c r="B1413" s="26" t="s">
        <v>5896</v>
      </c>
      <c r="C1413" s="26" t="s">
        <v>64</v>
      </c>
      <c r="D1413" s="26" t="s">
        <v>95</v>
      </c>
      <c r="E1413" s="26" t="s">
        <v>39</v>
      </c>
      <c r="F1413" s="28" t="e">
        <f ca="1">_xludf.ifna(VLOOKUP(G1414,Proyectos!$E$1:$H$4,4,0),"")</f>
        <v>#NAME?</v>
      </c>
      <c r="G1413" s="26" t="s">
        <v>5364</v>
      </c>
      <c r="H1413" s="32">
        <v>1</v>
      </c>
      <c r="I1413" s="31" t="s">
        <v>18</v>
      </c>
      <c r="J1413" s="32"/>
      <c r="K1413" s="32" t="str">
        <f t="shared" si="5"/>
        <v>Interno</v>
      </c>
      <c r="L1413" s="32" t="e">
        <f ca="1">_xludf.ifna(VLOOKUP(G1414,Proyectos!$E$1:$N$4,10,0),"")</f>
        <v>#NAME?</v>
      </c>
      <c r="M1413" s="32"/>
      <c r="N1413" s="32"/>
      <c r="O1413" s="31"/>
      <c r="P1413" s="33"/>
      <c r="Q1413" s="33"/>
    </row>
    <row r="1414" spans="1:17" ht="16.5" customHeight="1" x14ac:dyDescent="0.2">
      <c r="A1414" s="26" t="s">
        <v>4376</v>
      </c>
      <c r="B1414" s="26" t="s">
        <v>5897</v>
      </c>
      <c r="C1414" s="26" t="s">
        <v>64</v>
      </c>
      <c r="D1414" s="26" t="s">
        <v>78</v>
      </c>
      <c r="E1414" s="26" t="s">
        <v>83</v>
      </c>
      <c r="F1414" s="28" t="e">
        <f ca="1">_xludf.ifna(VLOOKUP(G1415,Proyectos!$E$1:$H$4,4,0),"")</f>
        <v>#NAME?</v>
      </c>
      <c r="G1414" s="26" t="s">
        <v>5411</v>
      </c>
      <c r="H1414" s="30">
        <v>1</v>
      </c>
      <c r="I1414" s="31" t="s">
        <v>25</v>
      </c>
      <c r="J1414" s="32"/>
      <c r="K1414" s="32" t="str">
        <f t="shared" si="5"/>
        <v>Externo</v>
      </c>
      <c r="L1414" s="32" t="e">
        <f ca="1">_xludf.ifna(VLOOKUP(G1415,Proyectos!$E$1:$N$4,10,0),"")</f>
        <v>#NAME?</v>
      </c>
      <c r="M1414" s="32"/>
      <c r="N1414" s="32"/>
      <c r="O1414" s="31"/>
      <c r="P1414" s="33"/>
      <c r="Q1414" s="33"/>
    </row>
    <row r="1415" spans="1:17" ht="16.5" customHeight="1" x14ac:dyDescent="0.2">
      <c r="A1415" s="26" t="s">
        <v>4974</v>
      </c>
      <c r="B1415" s="26" t="s">
        <v>4975</v>
      </c>
      <c r="C1415" s="54" t="s">
        <v>7</v>
      </c>
      <c r="D1415" s="35" t="s">
        <v>8</v>
      </c>
      <c r="E1415" s="35" t="s">
        <v>66</v>
      </c>
      <c r="F1415" s="28" t="e">
        <f ca="1">_xludf.ifna(VLOOKUP(G1416,Proyectos!$E$1:$H$4,4,0),"")</f>
        <v>#NAME?</v>
      </c>
      <c r="G1415" s="35" t="s">
        <v>5331</v>
      </c>
      <c r="H1415" s="30">
        <v>1</v>
      </c>
      <c r="I1415" s="31" t="s">
        <v>18</v>
      </c>
      <c r="J1415" s="55"/>
      <c r="K1415" s="32" t="str">
        <f t="shared" si="5"/>
        <v>Externo</v>
      </c>
      <c r="L1415" s="32" t="e">
        <f ca="1">_xludf.ifna(VLOOKUP(G1416,Proyectos!$E$1:$N$4,10,0),"")</f>
        <v>#NAME?</v>
      </c>
      <c r="M1415" s="32"/>
      <c r="N1415" s="31"/>
      <c r="O1415" s="31"/>
      <c r="P1415" s="33"/>
      <c r="Q1415" s="33"/>
    </row>
    <row r="1416" spans="1:17" ht="16.5" customHeight="1" x14ac:dyDescent="0.2">
      <c r="A1416" s="26" t="s">
        <v>4707</v>
      </c>
      <c r="B1416" s="26" t="s">
        <v>4708</v>
      </c>
      <c r="C1416" s="26" t="s">
        <v>64</v>
      </c>
      <c r="D1416" s="26" t="s">
        <v>86</v>
      </c>
      <c r="E1416" s="26" t="s">
        <v>39</v>
      </c>
      <c r="F1416" s="28" t="e">
        <f ca="1">_xludf.ifna(VLOOKUP(G1417,Proyectos!$E$1:$H$4,4,0),"")</f>
        <v>#NAME?</v>
      </c>
      <c r="G1416" s="26" t="s">
        <v>5597</v>
      </c>
      <c r="H1416" s="30">
        <v>1</v>
      </c>
      <c r="I1416" s="31" t="s">
        <v>18</v>
      </c>
      <c r="J1416" s="32"/>
      <c r="K1416" s="32" t="str">
        <f t="shared" si="5"/>
        <v>Interno</v>
      </c>
      <c r="L1416" s="32" t="e">
        <f ca="1">_xludf.ifna(VLOOKUP(G1417,Proyectos!$E$1:$N$4,10,0),"")</f>
        <v>#NAME?</v>
      </c>
      <c r="M1416" s="32"/>
      <c r="N1416" s="31"/>
      <c r="O1416" s="31"/>
      <c r="P1416" s="33"/>
      <c r="Q1416" s="33"/>
    </row>
    <row r="1417" spans="1:17" ht="16.5" customHeight="1" x14ac:dyDescent="0.2">
      <c r="A1417" s="26" t="s">
        <v>3860</v>
      </c>
      <c r="B1417" s="26" t="s">
        <v>3861</v>
      </c>
      <c r="C1417" s="26" t="s">
        <v>115</v>
      </c>
      <c r="D1417" s="26" t="s">
        <v>119</v>
      </c>
      <c r="E1417" s="26" t="s">
        <v>39</v>
      </c>
      <c r="F1417" s="28" t="e">
        <f ca="1">_xludf.ifna(VLOOKUP(G1418,Proyectos!$E$1:$H$4,4,0),"")</f>
        <v>#NAME?</v>
      </c>
      <c r="G1417" s="26" t="s">
        <v>5230</v>
      </c>
      <c r="H1417" s="32">
        <v>0.3</v>
      </c>
      <c r="I1417" s="31" t="s">
        <v>18</v>
      </c>
      <c r="J1417" s="32"/>
      <c r="K1417" s="32" t="str">
        <f t="shared" si="5"/>
        <v>Interno</v>
      </c>
      <c r="L1417" s="32" t="e">
        <f ca="1">_xludf.ifna(VLOOKUP(G1418,Proyectos!$E$1:$N$4,10,0),"")</f>
        <v>#NAME?</v>
      </c>
      <c r="M1417" s="32"/>
      <c r="N1417" s="31"/>
      <c r="O1417" s="31"/>
      <c r="P1417" s="33"/>
      <c r="Q1417" s="33"/>
    </row>
    <row r="1418" spans="1:17" ht="16.5" customHeight="1" x14ac:dyDescent="0.2">
      <c r="A1418" s="26" t="s">
        <v>3860</v>
      </c>
      <c r="B1418" s="26" t="s">
        <v>3861</v>
      </c>
      <c r="C1418" s="26" t="s">
        <v>115</v>
      </c>
      <c r="D1418" s="26" t="s">
        <v>119</v>
      </c>
      <c r="E1418" s="26" t="s">
        <v>39</v>
      </c>
      <c r="F1418" s="28" t="e">
        <f ca="1">_xludf.ifna(VLOOKUP(G1419,Proyectos!$E$1:$H$4,4,0),"")</f>
        <v>#NAME?</v>
      </c>
      <c r="G1418" s="26" t="s">
        <v>5898</v>
      </c>
      <c r="H1418" s="32">
        <v>0.35</v>
      </c>
      <c r="I1418" s="31" t="s">
        <v>18</v>
      </c>
      <c r="J1418" s="32"/>
      <c r="K1418" s="32" t="str">
        <f t="shared" si="5"/>
        <v>Interno</v>
      </c>
      <c r="L1418" s="32" t="e">
        <f ca="1">_xludf.ifna(VLOOKUP(G1419,Proyectos!$E$1:$N$4,10,0),"")</f>
        <v>#NAME?</v>
      </c>
      <c r="M1418" s="32"/>
      <c r="N1418" s="31"/>
      <c r="O1418" s="31"/>
      <c r="P1418" s="33"/>
      <c r="Q1418" s="33"/>
    </row>
    <row r="1419" spans="1:17" ht="16.5" customHeight="1" x14ac:dyDescent="0.2">
      <c r="A1419" s="26" t="s">
        <v>3860</v>
      </c>
      <c r="B1419" s="26" t="s">
        <v>3861</v>
      </c>
      <c r="C1419" s="26" t="s">
        <v>115</v>
      </c>
      <c r="D1419" s="26" t="s">
        <v>119</v>
      </c>
      <c r="E1419" s="26" t="s">
        <v>39</v>
      </c>
      <c r="F1419" s="28" t="e">
        <f ca="1">_xludf.ifna(VLOOKUP(G1420,Proyectos!$E$1:$H$4,4,0),"")</f>
        <v>#NAME?</v>
      </c>
      <c r="G1419" s="26" t="s">
        <v>5899</v>
      </c>
      <c r="H1419" s="32">
        <v>0.35</v>
      </c>
      <c r="I1419" s="31" t="s">
        <v>18</v>
      </c>
      <c r="J1419" s="32"/>
      <c r="K1419" s="32" t="str">
        <f t="shared" si="5"/>
        <v>Interno</v>
      </c>
      <c r="L1419" s="32" t="e">
        <f ca="1">_xludf.ifna(VLOOKUP(G1420,Proyectos!$E$1:$N$4,10,0),"")</f>
        <v>#NAME?</v>
      </c>
      <c r="M1419" s="32"/>
      <c r="N1419" s="31"/>
      <c r="O1419" s="31"/>
      <c r="P1419" s="33"/>
      <c r="Q1419" s="33"/>
    </row>
    <row r="1420" spans="1:17" ht="16.5" customHeight="1" x14ac:dyDescent="0.25">
      <c r="A1420" s="26" t="s">
        <v>4960</v>
      </c>
      <c r="B1420" s="107" t="s">
        <v>4961</v>
      </c>
      <c r="C1420" s="26" t="s">
        <v>98</v>
      </c>
      <c r="D1420" s="26" t="s">
        <v>99</v>
      </c>
      <c r="E1420" s="26" t="s">
        <v>108</v>
      </c>
      <c r="F1420" s="28" t="e">
        <f ca="1">_xludf.ifna(VLOOKUP(G1421,Proyectos!$E$1:$H$4,4,0),"")</f>
        <v>#NAME?</v>
      </c>
      <c r="G1420" s="26" t="s">
        <v>5632</v>
      </c>
      <c r="H1420" s="32">
        <v>0.5</v>
      </c>
      <c r="I1420" s="31" t="s">
        <v>25</v>
      </c>
      <c r="J1420" s="32"/>
      <c r="K1420" s="32" t="str">
        <f t="shared" si="5"/>
        <v>Externo</v>
      </c>
      <c r="L1420" s="32" t="e">
        <f ca="1">_xludf.ifna(VLOOKUP(G1421,Proyectos!$E$1:$N$4,10,0),"")</f>
        <v>#NAME?</v>
      </c>
      <c r="M1420" s="32"/>
      <c r="N1420" s="32"/>
      <c r="O1420" s="31"/>
      <c r="P1420" s="33"/>
      <c r="Q1420" s="33"/>
    </row>
    <row r="1421" spans="1:17" ht="16.5" customHeight="1" x14ac:dyDescent="0.25">
      <c r="A1421" s="26" t="s">
        <v>4960</v>
      </c>
      <c r="B1421" s="107" t="s">
        <v>4961</v>
      </c>
      <c r="C1421" s="26" t="s">
        <v>98</v>
      </c>
      <c r="D1421" s="26" t="s">
        <v>99</v>
      </c>
      <c r="E1421" s="26" t="s">
        <v>108</v>
      </c>
      <c r="F1421" s="28" t="e">
        <f ca="1">_xludf.ifna(VLOOKUP(G1422,Proyectos!$E$1:$H$4,4,0),"")</f>
        <v>#NAME?</v>
      </c>
      <c r="G1421" s="26" t="s">
        <v>5597</v>
      </c>
      <c r="H1421" s="32">
        <v>0.5</v>
      </c>
      <c r="I1421" s="31" t="s">
        <v>25</v>
      </c>
      <c r="J1421" s="31"/>
      <c r="K1421" s="32" t="str">
        <f t="shared" si="5"/>
        <v>Externo</v>
      </c>
      <c r="L1421" s="32" t="e">
        <f ca="1">_xludf.ifna(VLOOKUP(G1422,Proyectos!$E$1:$N$4,10,0),"")</f>
        <v>#NAME?</v>
      </c>
      <c r="M1421" s="32"/>
      <c r="N1421" s="32"/>
      <c r="O1421" s="31"/>
      <c r="P1421" s="33"/>
      <c r="Q1421" s="33"/>
    </row>
    <row r="1422" spans="1:17" ht="16.5" customHeight="1" x14ac:dyDescent="0.2">
      <c r="A1422" s="26" t="s">
        <v>4603</v>
      </c>
      <c r="B1422" s="26" t="s">
        <v>4604</v>
      </c>
      <c r="C1422" s="26" t="s">
        <v>98</v>
      </c>
      <c r="D1422" s="26" t="s">
        <v>113</v>
      </c>
      <c r="E1422" s="26" t="s">
        <v>39</v>
      </c>
      <c r="F1422" s="28" t="e">
        <f ca="1">_xludf.ifna(VLOOKUP(G1423,Proyectos!$E$1:$H$4,4,0),"")</f>
        <v>#NAME?</v>
      </c>
      <c r="G1422" s="26" t="s">
        <v>5245</v>
      </c>
      <c r="H1422" s="32">
        <v>1</v>
      </c>
      <c r="I1422" s="31" t="s">
        <v>18</v>
      </c>
      <c r="J1422" s="32"/>
      <c r="K1422" s="32" t="str">
        <f t="shared" si="5"/>
        <v>Interno</v>
      </c>
      <c r="L1422" s="32" t="e">
        <f ca="1">_xludf.ifna(VLOOKUP(G1423,Proyectos!$E$1:$N$4,10,0),"")</f>
        <v>#NAME?</v>
      </c>
      <c r="M1422" s="32"/>
      <c r="N1422" s="32"/>
      <c r="O1422" s="31"/>
      <c r="P1422" s="33"/>
      <c r="Q1422" s="33"/>
    </row>
    <row r="1423" spans="1:17" ht="16.5" customHeight="1" x14ac:dyDescent="0.2">
      <c r="A1423" s="26" t="s">
        <v>3437</v>
      </c>
      <c r="B1423" s="26" t="s">
        <v>5900</v>
      </c>
      <c r="C1423" s="26" t="s">
        <v>98</v>
      </c>
      <c r="D1423" s="26" t="s">
        <v>102</v>
      </c>
      <c r="E1423" s="26" t="s">
        <v>39</v>
      </c>
      <c r="F1423" s="28" t="e">
        <f ca="1">_xludf.ifna(VLOOKUP(G1424,Proyectos!$E$1:$H$4,4,0),"")</f>
        <v>#NAME?</v>
      </c>
      <c r="G1423" s="26" t="s">
        <v>5475</v>
      </c>
      <c r="H1423" s="32">
        <v>0.05</v>
      </c>
      <c r="I1423" s="31" t="s">
        <v>18</v>
      </c>
      <c r="J1423" s="32"/>
      <c r="K1423" s="32" t="str">
        <f t="shared" si="5"/>
        <v>Interno</v>
      </c>
      <c r="L1423" s="32" t="e">
        <f ca="1">_xludf.ifna(VLOOKUP(G1424,Proyectos!$E$1:$N$4,10,0),"")</f>
        <v>#NAME?</v>
      </c>
      <c r="M1423" s="32"/>
      <c r="N1423" s="32"/>
      <c r="O1423" s="31"/>
      <c r="P1423" s="33"/>
      <c r="Q1423" s="33"/>
    </row>
    <row r="1424" spans="1:17" ht="16.5" customHeight="1" x14ac:dyDescent="0.2">
      <c r="A1424" s="26" t="s">
        <v>3437</v>
      </c>
      <c r="B1424" s="26" t="s">
        <v>5900</v>
      </c>
      <c r="C1424" s="26" t="s">
        <v>98</v>
      </c>
      <c r="D1424" s="26" t="s">
        <v>102</v>
      </c>
      <c r="E1424" s="26" t="s">
        <v>39</v>
      </c>
      <c r="F1424" s="28" t="e">
        <f ca="1">_xludf.ifna(VLOOKUP(G1425,Proyectos!$E$1:$H$4,4,0),"")</f>
        <v>#NAME?</v>
      </c>
      <c r="G1424" s="26" t="s">
        <v>5111</v>
      </c>
      <c r="H1424" s="32">
        <v>0.05</v>
      </c>
      <c r="I1424" s="31" t="s">
        <v>18</v>
      </c>
      <c r="J1424" s="32"/>
      <c r="K1424" s="32" t="str">
        <f t="shared" si="5"/>
        <v>Interno</v>
      </c>
      <c r="L1424" s="32" t="e">
        <f ca="1">_xludf.ifna(VLOOKUP(G1425,Proyectos!$E$1:$N$4,10,0),"")</f>
        <v>#NAME?</v>
      </c>
      <c r="M1424" s="32"/>
      <c r="N1424" s="32"/>
      <c r="O1424" s="31"/>
      <c r="P1424" s="33"/>
      <c r="Q1424" s="33"/>
    </row>
    <row r="1425" spans="1:17" ht="16.5" customHeight="1" x14ac:dyDescent="0.2">
      <c r="A1425" s="26" t="s">
        <v>3437</v>
      </c>
      <c r="B1425" s="26" t="s">
        <v>5900</v>
      </c>
      <c r="C1425" s="26" t="s">
        <v>98</v>
      </c>
      <c r="D1425" s="26" t="s">
        <v>102</v>
      </c>
      <c r="E1425" s="26" t="s">
        <v>39</v>
      </c>
      <c r="F1425" s="28" t="e">
        <f ca="1">_xludf.ifna(VLOOKUP(G1426,Proyectos!$E$1:$H$4,4,0),"")</f>
        <v>#NAME?</v>
      </c>
      <c r="G1425" s="27" t="s">
        <v>5112</v>
      </c>
      <c r="H1425" s="32">
        <v>0.5</v>
      </c>
      <c r="I1425" s="31" t="s">
        <v>18</v>
      </c>
      <c r="J1425" s="32"/>
      <c r="K1425" s="32" t="str">
        <f t="shared" si="5"/>
        <v>Interno</v>
      </c>
      <c r="L1425" s="32" t="e">
        <f ca="1">_xludf.ifna(VLOOKUP(G1426,Proyectos!$E$1:$N$4,10,0),"")</f>
        <v>#NAME?</v>
      </c>
      <c r="M1425" s="32"/>
      <c r="N1425" s="32"/>
      <c r="O1425" s="31"/>
      <c r="P1425" s="33"/>
      <c r="Q1425" s="33"/>
    </row>
    <row r="1426" spans="1:17" ht="16.5" customHeight="1" x14ac:dyDescent="0.2">
      <c r="A1426" s="26" t="s">
        <v>3437</v>
      </c>
      <c r="B1426" s="26" t="s">
        <v>5900</v>
      </c>
      <c r="C1426" s="26" t="s">
        <v>98</v>
      </c>
      <c r="D1426" s="26" t="s">
        <v>102</v>
      </c>
      <c r="E1426" s="26" t="s">
        <v>39</v>
      </c>
      <c r="F1426" s="28" t="e">
        <f ca="1">_xludf.ifna(VLOOKUP(G1427,Proyectos!$E$1:$H$4,4,0),"")</f>
        <v>#NAME?</v>
      </c>
      <c r="G1426" s="27" t="s">
        <v>5113</v>
      </c>
      <c r="H1426" s="32">
        <v>0.05</v>
      </c>
      <c r="I1426" s="31" t="s">
        <v>18</v>
      </c>
      <c r="J1426" s="32"/>
      <c r="K1426" s="32" t="str">
        <f t="shared" si="5"/>
        <v>Interno</v>
      </c>
      <c r="L1426" s="32" t="e">
        <f ca="1">_xludf.ifna(VLOOKUP(G1427,Proyectos!$E$1:$N$4,10,0),"")</f>
        <v>#NAME?</v>
      </c>
      <c r="M1426" s="32"/>
      <c r="N1426" s="32"/>
      <c r="O1426" s="31"/>
      <c r="P1426" s="33"/>
      <c r="Q1426" s="33"/>
    </row>
    <row r="1427" spans="1:17" ht="16.5" customHeight="1" x14ac:dyDescent="0.2">
      <c r="A1427" s="26" t="s">
        <v>3437</v>
      </c>
      <c r="B1427" s="26" t="s">
        <v>5900</v>
      </c>
      <c r="C1427" s="26" t="s">
        <v>98</v>
      </c>
      <c r="D1427" s="26" t="s">
        <v>102</v>
      </c>
      <c r="E1427" s="26" t="s">
        <v>39</v>
      </c>
      <c r="F1427" s="28" t="e">
        <f ca="1">_xludf.ifna(VLOOKUP(G1428,Proyectos!$E$1:$H$4,4,0),"")</f>
        <v>#NAME?</v>
      </c>
      <c r="G1427" s="26" t="s">
        <v>5597</v>
      </c>
      <c r="H1427" s="32">
        <v>0.05</v>
      </c>
      <c r="I1427" s="31" t="s">
        <v>18</v>
      </c>
      <c r="J1427" s="32"/>
      <c r="K1427" s="32" t="str">
        <f t="shared" si="5"/>
        <v>Interno</v>
      </c>
      <c r="L1427" s="32" t="e">
        <f ca="1">_xludf.ifna(VLOOKUP(G1428,Proyectos!$E$1:$N$4,10,0),"")</f>
        <v>#NAME?</v>
      </c>
      <c r="M1427" s="32"/>
      <c r="N1427" s="32"/>
      <c r="O1427" s="31"/>
      <c r="P1427" s="33"/>
      <c r="Q1427" s="33"/>
    </row>
    <row r="1428" spans="1:17" ht="16.5" customHeight="1" x14ac:dyDescent="0.2">
      <c r="A1428" s="26" t="s">
        <v>3437</v>
      </c>
      <c r="B1428" s="26" t="s">
        <v>5900</v>
      </c>
      <c r="C1428" s="26" t="s">
        <v>98</v>
      </c>
      <c r="D1428" s="26" t="s">
        <v>102</v>
      </c>
      <c r="E1428" s="26" t="s">
        <v>39</v>
      </c>
      <c r="F1428" s="28" t="e">
        <f ca="1">_xludf.ifna(VLOOKUP(G1429,Proyectos!$E$1:$H$4,4,0),"")</f>
        <v>#NAME?</v>
      </c>
      <c r="G1428" s="27" t="s">
        <v>5701</v>
      </c>
      <c r="H1428" s="32">
        <v>0.05</v>
      </c>
      <c r="I1428" s="31" t="s">
        <v>18</v>
      </c>
      <c r="J1428" s="32"/>
      <c r="K1428" s="32" t="str">
        <f t="shared" si="5"/>
        <v>Interno</v>
      </c>
      <c r="L1428" s="32" t="e">
        <f ca="1">_xludf.ifna(VLOOKUP(G1429,Proyectos!$E$1:$N$4,10,0),"")</f>
        <v>#NAME?</v>
      </c>
      <c r="M1428" s="32"/>
      <c r="N1428" s="32"/>
      <c r="O1428" s="31"/>
      <c r="P1428" s="33"/>
      <c r="Q1428" s="33"/>
    </row>
    <row r="1429" spans="1:17" ht="16.5" customHeight="1" x14ac:dyDescent="0.2">
      <c r="A1429" s="26" t="s">
        <v>3437</v>
      </c>
      <c r="B1429" s="26" t="s">
        <v>5900</v>
      </c>
      <c r="C1429" s="26" t="s">
        <v>98</v>
      </c>
      <c r="D1429" s="26" t="s">
        <v>102</v>
      </c>
      <c r="E1429" s="26" t="s">
        <v>39</v>
      </c>
      <c r="F1429" s="28" t="e">
        <f ca="1">_xludf.ifna(VLOOKUP(G1430,Proyectos!$E$1:$H$4,4,0),"")</f>
        <v>#NAME?</v>
      </c>
      <c r="G1429" s="27" t="s">
        <v>5116</v>
      </c>
      <c r="H1429" s="32">
        <v>0.1</v>
      </c>
      <c r="I1429" s="31" t="s">
        <v>18</v>
      </c>
      <c r="J1429" s="32"/>
      <c r="K1429" s="32" t="str">
        <f t="shared" si="5"/>
        <v>Interno</v>
      </c>
      <c r="L1429" s="32" t="e">
        <f ca="1">_xludf.ifna(VLOOKUP(G1430,Proyectos!$E$1:$N$4,10,0),"")</f>
        <v>#NAME?</v>
      </c>
      <c r="M1429" s="32"/>
      <c r="N1429" s="32"/>
      <c r="O1429" s="31"/>
      <c r="P1429" s="33"/>
      <c r="Q1429" s="33"/>
    </row>
    <row r="1430" spans="1:17" ht="16.5" customHeight="1" x14ac:dyDescent="0.2">
      <c r="A1430" s="26" t="s">
        <v>3437</v>
      </c>
      <c r="B1430" s="26" t="s">
        <v>5900</v>
      </c>
      <c r="C1430" s="26" t="s">
        <v>98</v>
      </c>
      <c r="D1430" s="26" t="s">
        <v>102</v>
      </c>
      <c r="E1430" s="26" t="s">
        <v>39</v>
      </c>
      <c r="F1430" s="28" t="e">
        <f ca="1">_xludf.ifna(VLOOKUP(G1431,Proyectos!$E$1:$H$4,4,0),"")</f>
        <v>#NAME?</v>
      </c>
      <c r="G1430" s="27" t="s">
        <v>5117</v>
      </c>
      <c r="H1430" s="32">
        <v>0.1</v>
      </c>
      <c r="I1430" s="31" t="s">
        <v>18</v>
      </c>
      <c r="J1430" s="32"/>
      <c r="K1430" s="32" t="str">
        <f t="shared" si="5"/>
        <v>Interno</v>
      </c>
      <c r="L1430" s="32" t="e">
        <f ca="1">_xludf.ifna(VLOOKUP(G1431,Proyectos!$E$1:$N$4,10,0),"")</f>
        <v>#NAME?</v>
      </c>
      <c r="M1430" s="32"/>
      <c r="N1430" s="32"/>
      <c r="O1430" s="31"/>
      <c r="P1430" s="33"/>
      <c r="Q1430" s="33"/>
    </row>
    <row r="1431" spans="1:17" ht="16.5" customHeight="1" x14ac:dyDescent="0.2">
      <c r="A1431" s="26" t="s">
        <v>3437</v>
      </c>
      <c r="B1431" s="26" t="s">
        <v>5900</v>
      </c>
      <c r="C1431" s="26" t="s">
        <v>98</v>
      </c>
      <c r="D1431" s="26" t="s">
        <v>102</v>
      </c>
      <c r="E1431" s="26" t="s">
        <v>39</v>
      </c>
      <c r="F1431" s="28" t="e">
        <f ca="1">_xludf.ifna(VLOOKUP(G1432,Proyectos!$E$1:$H$4,4,0),"")</f>
        <v>#NAME?</v>
      </c>
      <c r="G1431" s="27" t="s">
        <v>5118</v>
      </c>
      <c r="H1431" s="32">
        <v>0.05</v>
      </c>
      <c r="I1431" s="31" t="s">
        <v>18</v>
      </c>
      <c r="J1431" s="32"/>
      <c r="K1431" s="32" t="str">
        <f t="shared" si="5"/>
        <v>Interno</v>
      </c>
      <c r="L1431" s="32" t="e">
        <f ca="1">_xludf.ifna(VLOOKUP(G1432,Proyectos!$E$1:$N$4,10,0),"")</f>
        <v>#NAME?</v>
      </c>
      <c r="M1431" s="32"/>
      <c r="N1431" s="32"/>
      <c r="O1431" s="31"/>
      <c r="P1431" s="33"/>
      <c r="Q1431" s="33"/>
    </row>
    <row r="1432" spans="1:17" ht="16.5" customHeight="1" x14ac:dyDescent="0.2">
      <c r="A1432" s="26" t="s">
        <v>3412</v>
      </c>
      <c r="B1432" s="26" t="s">
        <v>3413</v>
      </c>
      <c r="C1432" s="26" t="s">
        <v>115</v>
      </c>
      <c r="D1432" s="26" t="s">
        <v>119</v>
      </c>
      <c r="E1432" s="26" t="s">
        <v>39</v>
      </c>
      <c r="F1432" s="28" t="e">
        <f ca="1">_xludf.ifna(VLOOKUP(G1433,Proyectos!$E$1:$H$4,4,0),"")</f>
        <v>#NAME?</v>
      </c>
      <c r="G1432" s="26" t="s">
        <v>5131</v>
      </c>
      <c r="H1432" s="32">
        <v>0.05</v>
      </c>
      <c r="I1432" s="31" t="s">
        <v>11</v>
      </c>
      <c r="J1432" s="32"/>
      <c r="K1432" s="32" t="str">
        <f t="shared" si="5"/>
        <v>Interno</v>
      </c>
      <c r="L1432" s="32" t="e">
        <f ca="1">_xludf.ifna(VLOOKUP(G1433,Proyectos!$E$1:$N$4,10,0),"")</f>
        <v>#NAME?</v>
      </c>
      <c r="M1432" s="32"/>
      <c r="N1432" s="32"/>
      <c r="O1432" s="31"/>
      <c r="P1432" s="33"/>
      <c r="Q1432" s="33"/>
    </row>
    <row r="1433" spans="1:17" ht="16.5" customHeight="1" x14ac:dyDescent="0.2">
      <c r="A1433" s="26" t="s">
        <v>3412</v>
      </c>
      <c r="B1433" s="26" t="s">
        <v>3413</v>
      </c>
      <c r="C1433" s="26" t="s">
        <v>115</v>
      </c>
      <c r="D1433" s="26" t="s">
        <v>119</v>
      </c>
      <c r="E1433" s="26" t="s">
        <v>39</v>
      </c>
      <c r="F1433" s="28" t="e">
        <f ca="1">_xludf.ifna(VLOOKUP(G1434,Proyectos!$E$1:$H$4,4,0),"")</f>
        <v>#NAME?</v>
      </c>
      <c r="G1433" s="26" t="s">
        <v>5901</v>
      </c>
      <c r="H1433" s="32">
        <v>0.05</v>
      </c>
      <c r="I1433" s="31" t="s">
        <v>11</v>
      </c>
      <c r="J1433" s="32"/>
      <c r="K1433" s="32" t="str">
        <f t="shared" si="5"/>
        <v>Interno</v>
      </c>
      <c r="L1433" s="32" t="e">
        <f ca="1">_xludf.ifna(VLOOKUP(G1434,Proyectos!$E$1:$N$4,10,0),"")</f>
        <v>#NAME?</v>
      </c>
      <c r="M1433" s="32"/>
      <c r="N1433" s="31"/>
      <c r="O1433" s="31"/>
      <c r="P1433" s="33"/>
      <c r="Q1433" s="33"/>
    </row>
    <row r="1434" spans="1:17" ht="16.5" customHeight="1" x14ac:dyDescent="0.2">
      <c r="A1434" s="26" t="s">
        <v>3412</v>
      </c>
      <c r="B1434" s="26" t="s">
        <v>3413</v>
      </c>
      <c r="C1434" s="26" t="s">
        <v>115</v>
      </c>
      <c r="D1434" s="26" t="s">
        <v>119</v>
      </c>
      <c r="E1434" s="26" t="s">
        <v>39</v>
      </c>
      <c r="F1434" s="28" t="e">
        <f ca="1">_xludf.ifna(VLOOKUP(G1435,Proyectos!$E$1:$H$4,4,0),"")</f>
        <v>#NAME?</v>
      </c>
      <c r="G1434" s="26" t="s">
        <v>5220</v>
      </c>
      <c r="H1434" s="32">
        <v>0.1</v>
      </c>
      <c r="I1434" s="31" t="s">
        <v>11</v>
      </c>
      <c r="J1434" s="32"/>
      <c r="K1434" s="32" t="str">
        <f t="shared" si="5"/>
        <v>Interno</v>
      </c>
      <c r="L1434" s="32" t="e">
        <f ca="1">_xludf.ifna(VLOOKUP(G1435,Proyectos!$E$1:$N$4,10,0),"")</f>
        <v>#NAME?</v>
      </c>
      <c r="M1434" s="32"/>
      <c r="N1434" s="31"/>
      <c r="O1434" s="31"/>
      <c r="P1434" s="33"/>
      <c r="Q1434" s="33"/>
    </row>
    <row r="1435" spans="1:17" ht="16.5" customHeight="1" x14ac:dyDescent="0.2">
      <c r="A1435" s="26" t="s">
        <v>3412</v>
      </c>
      <c r="B1435" s="26" t="s">
        <v>3413</v>
      </c>
      <c r="C1435" s="26" t="s">
        <v>115</v>
      </c>
      <c r="D1435" s="26" t="s">
        <v>119</v>
      </c>
      <c r="E1435" s="26" t="s">
        <v>39</v>
      </c>
      <c r="F1435" s="28" t="e">
        <f ca="1">_xludf.ifna(VLOOKUP(G1436,Proyectos!$E$1:$H$4,4,0),"")</f>
        <v>#NAME?</v>
      </c>
      <c r="G1435" s="26" t="s">
        <v>5730</v>
      </c>
      <c r="H1435" s="32">
        <v>0.1</v>
      </c>
      <c r="I1435" s="31" t="s">
        <v>11</v>
      </c>
      <c r="J1435" s="32"/>
      <c r="K1435" s="32" t="str">
        <f t="shared" si="5"/>
        <v>Interno</v>
      </c>
      <c r="L1435" s="32" t="e">
        <f ca="1">_xludf.ifna(VLOOKUP(G1436,Proyectos!$E$1:$N$4,10,0),"")</f>
        <v>#NAME?</v>
      </c>
      <c r="M1435" s="32"/>
      <c r="N1435" s="31"/>
      <c r="O1435" s="31"/>
      <c r="P1435" s="33"/>
      <c r="Q1435" s="33"/>
    </row>
    <row r="1436" spans="1:17" ht="16.5" customHeight="1" x14ac:dyDescent="0.2">
      <c r="A1436" s="26" t="s">
        <v>3412</v>
      </c>
      <c r="B1436" s="26" t="s">
        <v>3413</v>
      </c>
      <c r="C1436" s="26" t="s">
        <v>115</v>
      </c>
      <c r="D1436" s="26" t="s">
        <v>119</v>
      </c>
      <c r="E1436" s="26" t="s">
        <v>39</v>
      </c>
      <c r="F1436" s="28" t="e">
        <f ca="1">_xludf.ifna(VLOOKUP(G1437,Proyectos!$E$1:$H$4,4,0),"")</f>
        <v>#NAME?</v>
      </c>
      <c r="G1436" s="26" t="s">
        <v>5227</v>
      </c>
      <c r="H1436" s="32">
        <v>0.15</v>
      </c>
      <c r="I1436" s="31" t="s">
        <v>11</v>
      </c>
      <c r="J1436" s="32"/>
      <c r="K1436" s="32" t="str">
        <f t="shared" si="5"/>
        <v>Interno</v>
      </c>
      <c r="L1436" s="32" t="e">
        <f ca="1">_xludf.ifna(VLOOKUP(G1437,Proyectos!$E$1:$N$4,10,0),"")</f>
        <v>#NAME?</v>
      </c>
      <c r="M1436" s="32"/>
      <c r="N1436" s="31"/>
      <c r="O1436" s="31"/>
      <c r="P1436" s="33"/>
      <c r="Q1436" s="33"/>
    </row>
    <row r="1437" spans="1:17" ht="16.5" customHeight="1" x14ac:dyDescent="0.2">
      <c r="A1437" s="26" t="s">
        <v>3412</v>
      </c>
      <c r="B1437" s="26" t="s">
        <v>3413</v>
      </c>
      <c r="C1437" s="26" t="s">
        <v>115</v>
      </c>
      <c r="D1437" s="26" t="s">
        <v>119</v>
      </c>
      <c r="E1437" s="26" t="s">
        <v>39</v>
      </c>
      <c r="F1437" s="28" t="e">
        <f ca="1">_xludf.ifna(VLOOKUP(G1438,Proyectos!$E$1:$H$4,4,0),"")</f>
        <v>#NAME?</v>
      </c>
      <c r="G1437" s="26" t="s">
        <v>5869</v>
      </c>
      <c r="H1437" s="32">
        <v>0.05</v>
      </c>
      <c r="I1437" s="31" t="s">
        <v>11</v>
      </c>
      <c r="J1437" s="32"/>
      <c r="K1437" s="32" t="str">
        <f t="shared" si="5"/>
        <v>Interno</v>
      </c>
      <c r="L1437" s="32" t="e">
        <f ca="1">_xludf.ifna(VLOOKUP(G1438,Proyectos!$E$1:$N$4,10,0),"")</f>
        <v>#NAME?</v>
      </c>
      <c r="M1437" s="32"/>
      <c r="N1437" s="31"/>
      <c r="O1437" s="31"/>
      <c r="P1437" s="33"/>
      <c r="Q1437" s="33"/>
    </row>
    <row r="1438" spans="1:17" ht="16.5" customHeight="1" x14ac:dyDescent="0.2">
      <c r="A1438" s="26" t="s">
        <v>3412</v>
      </c>
      <c r="B1438" s="26" t="s">
        <v>3413</v>
      </c>
      <c r="C1438" s="26" t="s">
        <v>115</v>
      </c>
      <c r="D1438" s="26" t="s">
        <v>119</v>
      </c>
      <c r="E1438" s="26" t="s">
        <v>39</v>
      </c>
      <c r="F1438" s="28" t="e">
        <f ca="1">_xludf.ifna(VLOOKUP(G1439,Proyectos!$E$1:$H$4,4,0),"")</f>
        <v>#NAME?</v>
      </c>
      <c r="G1438" s="26" t="s">
        <v>5230</v>
      </c>
      <c r="H1438" s="32">
        <v>0.05</v>
      </c>
      <c r="I1438" s="31" t="s">
        <v>11</v>
      </c>
      <c r="J1438" s="32"/>
      <c r="K1438" s="32" t="str">
        <f t="shared" si="5"/>
        <v>Interno</v>
      </c>
      <c r="L1438" s="32" t="e">
        <f ca="1">_xludf.ifna(VLOOKUP(G1439,Proyectos!$E$1:$N$4,10,0),"")</f>
        <v>#NAME?</v>
      </c>
      <c r="M1438" s="32"/>
      <c r="N1438" s="31"/>
      <c r="O1438" s="31"/>
      <c r="P1438" s="33"/>
      <c r="Q1438" s="33"/>
    </row>
    <row r="1439" spans="1:17" ht="16.5" customHeight="1" x14ac:dyDescent="0.2">
      <c r="A1439" s="26" t="s">
        <v>3412</v>
      </c>
      <c r="B1439" s="26" t="s">
        <v>3413</v>
      </c>
      <c r="C1439" s="26" t="s">
        <v>115</v>
      </c>
      <c r="D1439" s="26" t="s">
        <v>119</v>
      </c>
      <c r="E1439" s="26" t="s">
        <v>39</v>
      </c>
      <c r="F1439" s="28" t="e">
        <f ca="1">_xludf.ifna(VLOOKUP(G1440,Proyectos!$E$1:$H$4,4,0),"")</f>
        <v>#NAME?</v>
      </c>
      <c r="G1439" s="26" t="s">
        <v>5898</v>
      </c>
      <c r="H1439" s="32">
        <v>0.1</v>
      </c>
      <c r="I1439" s="31" t="s">
        <v>11</v>
      </c>
      <c r="J1439" s="32"/>
      <c r="K1439" s="32" t="str">
        <f t="shared" si="5"/>
        <v>Interno</v>
      </c>
      <c r="L1439" s="32" t="e">
        <f ca="1">_xludf.ifna(VLOOKUP(G1440,Proyectos!$E$1:$N$4,10,0),"")</f>
        <v>#NAME?</v>
      </c>
      <c r="M1439" s="32"/>
      <c r="N1439" s="31"/>
      <c r="O1439" s="31"/>
      <c r="P1439" s="33"/>
      <c r="Q1439" s="33"/>
    </row>
    <row r="1440" spans="1:17" ht="16.5" customHeight="1" x14ac:dyDescent="0.2">
      <c r="A1440" s="26" t="s">
        <v>3412</v>
      </c>
      <c r="B1440" s="26" t="s">
        <v>3413</v>
      </c>
      <c r="C1440" s="26" t="s">
        <v>115</v>
      </c>
      <c r="D1440" s="26" t="s">
        <v>119</v>
      </c>
      <c r="E1440" s="26" t="s">
        <v>39</v>
      </c>
      <c r="F1440" s="28" t="e">
        <f ca="1">_xludf.ifna(VLOOKUP(G1441,Proyectos!$E$1:$H$4,4,0),"")</f>
        <v>#NAME?</v>
      </c>
      <c r="G1440" s="26" t="s">
        <v>5899</v>
      </c>
      <c r="H1440" s="32">
        <v>0.1</v>
      </c>
      <c r="I1440" s="31" t="s">
        <v>11</v>
      </c>
      <c r="J1440" s="32"/>
      <c r="K1440" s="32" t="str">
        <f t="shared" si="5"/>
        <v>Interno</v>
      </c>
      <c r="L1440" s="32" t="e">
        <f ca="1">_xludf.ifna(VLOOKUP(G1441,Proyectos!$E$1:$N$4,10,0),"")</f>
        <v>#NAME?</v>
      </c>
      <c r="M1440" s="32"/>
      <c r="N1440" s="31"/>
      <c r="O1440" s="31"/>
      <c r="P1440" s="33"/>
      <c r="Q1440" s="33"/>
    </row>
    <row r="1441" spans="1:17" ht="16.5" customHeight="1" x14ac:dyDescent="0.2">
      <c r="A1441" s="26" t="s">
        <v>3412</v>
      </c>
      <c r="B1441" s="26" t="s">
        <v>3413</v>
      </c>
      <c r="C1441" s="26" t="s">
        <v>115</v>
      </c>
      <c r="D1441" s="26" t="s">
        <v>119</v>
      </c>
      <c r="E1441" s="26" t="s">
        <v>39</v>
      </c>
      <c r="F1441" s="28" t="e">
        <f ca="1">_xludf.ifna(VLOOKUP(G1442,Proyectos!$E$1:$H$4,4,0),"")</f>
        <v>#NAME?</v>
      </c>
      <c r="G1441" s="26" t="s">
        <v>5116</v>
      </c>
      <c r="H1441" s="32">
        <v>0.1</v>
      </c>
      <c r="I1441" s="31" t="s">
        <v>11</v>
      </c>
      <c r="J1441" s="32"/>
      <c r="K1441" s="32" t="str">
        <f t="shared" si="5"/>
        <v>Interno</v>
      </c>
      <c r="L1441" s="32" t="e">
        <f ca="1">_xludf.ifna(VLOOKUP(G1442,Proyectos!$E$1:$N$4,10,0),"")</f>
        <v>#NAME?</v>
      </c>
      <c r="M1441" s="32"/>
      <c r="N1441" s="32"/>
      <c r="O1441" s="31"/>
      <c r="P1441" s="33"/>
      <c r="Q1441" s="33"/>
    </row>
    <row r="1442" spans="1:17" ht="16.5" customHeight="1" x14ac:dyDescent="0.2">
      <c r="A1442" s="26" t="s">
        <v>3412</v>
      </c>
      <c r="B1442" s="26" t="s">
        <v>3413</v>
      </c>
      <c r="C1442" s="26" t="s">
        <v>115</v>
      </c>
      <c r="D1442" s="26" t="s">
        <v>119</v>
      </c>
      <c r="E1442" s="26" t="s">
        <v>39</v>
      </c>
      <c r="F1442" s="28" t="e">
        <f ca="1">_xludf.ifna(VLOOKUP(G1443,Proyectos!$E$1:$H$4,4,0),"")</f>
        <v>#NAME?</v>
      </c>
      <c r="G1442" s="26" t="s">
        <v>5768</v>
      </c>
      <c r="H1442" s="32">
        <v>0.15</v>
      </c>
      <c r="I1442" s="31" t="s">
        <v>11</v>
      </c>
      <c r="J1442" s="32"/>
      <c r="K1442" s="32" t="str">
        <f t="shared" si="5"/>
        <v>Interno</v>
      </c>
      <c r="L1442" s="32" t="e">
        <f ca="1">_xludf.ifna(VLOOKUP(G1443,Proyectos!$E$1:$N$4,10,0),"")</f>
        <v>#NAME?</v>
      </c>
      <c r="M1442" s="32"/>
      <c r="N1442" s="31"/>
      <c r="O1442" s="31"/>
      <c r="P1442" s="33"/>
      <c r="Q1442" s="33"/>
    </row>
    <row r="1443" spans="1:17" ht="16.5" customHeight="1" x14ac:dyDescent="0.2">
      <c r="A1443" s="54" t="s">
        <v>4893</v>
      </c>
      <c r="B1443" s="54" t="s">
        <v>4894</v>
      </c>
      <c r="C1443" s="54" t="s">
        <v>7</v>
      </c>
      <c r="D1443" s="54" t="s">
        <v>30</v>
      </c>
      <c r="E1443" s="54" t="s">
        <v>129</v>
      </c>
      <c r="F1443" s="28" t="e">
        <f ca="1">_xludf.ifna(VLOOKUP(G1444,Proyectos!$E$1:$H$4,4,0),"")</f>
        <v>#NAME?</v>
      </c>
      <c r="G1443" s="29" t="s">
        <v>5153</v>
      </c>
      <c r="H1443" s="34">
        <v>1</v>
      </c>
      <c r="I1443" s="58" t="s">
        <v>18</v>
      </c>
      <c r="J1443" s="34"/>
      <c r="K1443" s="32" t="str">
        <f t="shared" si="5"/>
        <v>Externo</v>
      </c>
      <c r="L1443" s="32" t="e">
        <f ca="1">_xludf.ifna(VLOOKUP(G1444,Proyectos!$E$1:$N$4,10,0),"")</f>
        <v>#NAME?</v>
      </c>
      <c r="M1443" s="32"/>
      <c r="N1443" s="31"/>
      <c r="O1443" s="31"/>
      <c r="P1443" s="33"/>
      <c r="Q1443" s="33"/>
    </row>
    <row r="1444" spans="1:17" ht="16.5" customHeight="1" x14ac:dyDescent="0.2">
      <c r="A1444" s="26" t="s">
        <v>3652</v>
      </c>
      <c r="B1444" s="26" t="s">
        <v>3653</v>
      </c>
      <c r="C1444" s="54" t="s">
        <v>7</v>
      </c>
      <c r="D1444" s="35" t="s">
        <v>8</v>
      </c>
      <c r="E1444" s="35" t="s">
        <v>39</v>
      </c>
      <c r="F1444" s="28" t="e">
        <f ca="1">_xludf.ifna(VLOOKUP(G1445,Proyectos!$E$1:$H$4,4,0),"")</f>
        <v>#NAME?</v>
      </c>
      <c r="G1444" s="35" t="s">
        <v>5190</v>
      </c>
      <c r="H1444" s="30">
        <v>0.15</v>
      </c>
      <c r="I1444" s="31" t="s">
        <v>18</v>
      </c>
      <c r="J1444" s="55"/>
      <c r="K1444" s="32" t="str">
        <f t="shared" si="5"/>
        <v>Interno</v>
      </c>
      <c r="L1444" s="32" t="e">
        <f ca="1">_xludf.ifna(VLOOKUP(G1445,Proyectos!$E$1:$N$4,10,0),"")</f>
        <v>#NAME?</v>
      </c>
      <c r="M1444" s="32"/>
      <c r="N1444" s="31"/>
      <c r="O1444" s="31"/>
      <c r="P1444" s="33"/>
      <c r="Q1444" s="33"/>
    </row>
    <row r="1445" spans="1:17" ht="16.5" customHeight="1" x14ac:dyDescent="0.2">
      <c r="A1445" s="26" t="s">
        <v>3652</v>
      </c>
      <c r="B1445" s="26" t="s">
        <v>3653</v>
      </c>
      <c r="C1445" s="54" t="s">
        <v>7</v>
      </c>
      <c r="D1445" s="35" t="s">
        <v>8</v>
      </c>
      <c r="E1445" s="35" t="s">
        <v>39</v>
      </c>
      <c r="F1445" s="28" t="e">
        <f ca="1">_xludf.ifna(VLOOKUP(G1446,Proyectos!$E$1:$H$4,4,0),"")</f>
        <v>#NAME?</v>
      </c>
      <c r="G1445" s="35" t="s">
        <v>5187</v>
      </c>
      <c r="H1445" s="30">
        <v>0.25</v>
      </c>
      <c r="I1445" s="31" t="s">
        <v>18</v>
      </c>
      <c r="J1445" s="55"/>
      <c r="K1445" s="32" t="str">
        <f t="shared" si="5"/>
        <v>Interno</v>
      </c>
      <c r="L1445" s="32" t="e">
        <f ca="1">_xludf.ifna(VLOOKUP(G1446,Proyectos!$E$1:$N$4,10,0),"")</f>
        <v>#NAME?</v>
      </c>
      <c r="M1445" s="32"/>
      <c r="N1445" s="31"/>
      <c r="O1445" s="31"/>
      <c r="P1445" s="33"/>
      <c r="Q1445" s="33"/>
    </row>
    <row r="1446" spans="1:17" ht="16.5" customHeight="1" x14ac:dyDescent="0.2">
      <c r="A1446" s="26" t="s">
        <v>3652</v>
      </c>
      <c r="B1446" s="26" t="s">
        <v>3653</v>
      </c>
      <c r="C1446" s="54" t="s">
        <v>7</v>
      </c>
      <c r="D1446" s="35" t="s">
        <v>8</v>
      </c>
      <c r="E1446" s="35" t="s">
        <v>39</v>
      </c>
      <c r="F1446" s="28" t="e">
        <f ca="1">_xludf.ifna(VLOOKUP(G1447,Proyectos!$E$1:$H$4,4,0),"")</f>
        <v>#NAME?</v>
      </c>
      <c r="G1446" s="35" t="s">
        <v>5188</v>
      </c>
      <c r="H1446" s="30">
        <v>0.25</v>
      </c>
      <c r="I1446" s="31" t="s">
        <v>18</v>
      </c>
      <c r="J1446" s="55"/>
      <c r="K1446" s="32" t="str">
        <f t="shared" si="5"/>
        <v>Interno</v>
      </c>
      <c r="L1446" s="32" t="e">
        <f ca="1">_xludf.ifna(VLOOKUP(G1447,Proyectos!$E$1:$N$4,10,0),"")</f>
        <v>#NAME?</v>
      </c>
      <c r="M1446" s="32"/>
      <c r="N1446" s="31"/>
      <c r="O1446" s="31"/>
      <c r="P1446" s="33"/>
      <c r="Q1446" s="33"/>
    </row>
    <row r="1447" spans="1:17" ht="16.5" customHeight="1" x14ac:dyDescent="0.2">
      <c r="A1447" s="26" t="s">
        <v>3652</v>
      </c>
      <c r="B1447" s="26" t="s">
        <v>3653</v>
      </c>
      <c r="C1447" s="54" t="s">
        <v>7</v>
      </c>
      <c r="D1447" s="35" t="s">
        <v>8</v>
      </c>
      <c r="E1447" s="35" t="s">
        <v>39</v>
      </c>
      <c r="F1447" s="28" t="e">
        <f ca="1">_xludf.ifna(VLOOKUP(G1448,Proyectos!$E$1:$H$4,4,0),"")</f>
        <v>#NAME?</v>
      </c>
      <c r="G1447" s="35" t="s">
        <v>5608</v>
      </c>
      <c r="H1447" s="30">
        <v>0.25</v>
      </c>
      <c r="I1447" s="31" t="s">
        <v>18</v>
      </c>
      <c r="J1447" s="55"/>
      <c r="K1447" s="32" t="str">
        <f t="shared" si="5"/>
        <v>Interno</v>
      </c>
      <c r="L1447" s="32" t="e">
        <f ca="1">_xludf.ifna(VLOOKUP(G1448,Proyectos!$E$1:$N$4,10,0),"")</f>
        <v>#NAME?</v>
      </c>
      <c r="M1447" s="32"/>
      <c r="N1447" s="31"/>
      <c r="O1447" s="31"/>
      <c r="P1447" s="33"/>
      <c r="Q1447" s="33"/>
    </row>
    <row r="1448" spans="1:17" ht="16.5" customHeight="1" x14ac:dyDescent="0.2">
      <c r="A1448" s="26" t="s">
        <v>3652</v>
      </c>
      <c r="B1448" s="26" t="s">
        <v>3653</v>
      </c>
      <c r="C1448" s="54" t="s">
        <v>7</v>
      </c>
      <c r="D1448" s="35" t="s">
        <v>8</v>
      </c>
      <c r="E1448" s="35" t="s">
        <v>39</v>
      </c>
      <c r="F1448" s="28" t="e">
        <f ca="1">_xludf.ifna(VLOOKUP(G1449,Proyectos!$E$1:$H$4,4,0),"")</f>
        <v>#NAME?</v>
      </c>
      <c r="G1448" s="35" t="s">
        <v>5112</v>
      </c>
      <c r="H1448" s="30">
        <v>0.1</v>
      </c>
      <c r="I1448" s="31" t="s">
        <v>18</v>
      </c>
      <c r="J1448" s="55"/>
      <c r="K1448" s="32" t="str">
        <f t="shared" si="5"/>
        <v>Interno</v>
      </c>
      <c r="L1448" s="32" t="e">
        <f ca="1">_xludf.ifna(VLOOKUP(G1449,Proyectos!$E$1:$N$4,10,0),"")</f>
        <v>#NAME?</v>
      </c>
      <c r="M1448" s="32"/>
      <c r="N1448" s="32"/>
      <c r="O1448" s="31"/>
      <c r="P1448" s="33"/>
      <c r="Q1448" s="33"/>
    </row>
    <row r="1449" spans="1:17" ht="16.5" customHeight="1" x14ac:dyDescent="0.2">
      <c r="A1449" s="26" t="s">
        <v>5059</v>
      </c>
      <c r="B1449" s="26" t="s">
        <v>5060</v>
      </c>
      <c r="C1449" s="26" t="s">
        <v>98</v>
      </c>
      <c r="D1449" s="26" t="s">
        <v>113</v>
      </c>
      <c r="E1449" s="26" t="s">
        <v>129</v>
      </c>
      <c r="F1449" s="28" t="e">
        <f ca="1">_xludf.ifna(VLOOKUP(G1450,Proyectos!$E$1:$H$4,4,0),"")</f>
        <v>#NAME?</v>
      </c>
      <c r="G1449" s="26" t="s">
        <v>5133</v>
      </c>
      <c r="H1449" s="32">
        <v>1</v>
      </c>
      <c r="I1449" s="31" t="s">
        <v>18</v>
      </c>
      <c r="J1449" s="32"/>
      <c r="K1449" s="32" t="str">
        <f t="shared" si="5"/>
        <v>Externo</v>
      </c>
      <c r="L1449" s="32" t="e">
        <f ca="1">_xludf.ifna(VLOOKUP(G1450,Proyectos!$E$1:$N$4,10,0),"")</f>
        <v>#NAME?</v>
      </c>
      <c r="M1449" s="32"/>
      <c r="N1449" s="32"/>
      <c r="O1449" s="31"/>
      <c r="P1449" s="33"/>
      <c r="Q1449" s="33"/>
    </row>
    <row r="1450" spans="1:17" ht="16.5" customHeight="1" x14ac:dyDescent="0.2">
      <c r="A1450" s="35" t="s">
        <v>4257</v>
      </c>
      <c r="B1450" s="35" t="s">
        <v>4258</v>
      </c>
      <c r="C1450" s="35" t="s">
        <v>7</v>
      </c>
      <c r="D1450" s="35" t="s">
        <v>8</v>
      </c>
      <c r="E1450" s="35" t="s">
        <v>108</v>
      </c>
      <c r="F1450" s="28" t="e">
        <f ca="1">_xludf.ifna(VLOOKUP(G1451,Proyectos!$E$1:$H$4,4,0),"")</f>
        <v>#NAME?</v>
      </c>
      <c r="G1450" s="29" t="s">
        <v>5676</v>
      </c>
      <c r="H1450" s="30">
        <v>1</v>
      </c>
      <c r="I1450" s="30" t="s">
        <v>25</v>
      </c>
      <c r="J1450" s="55"/>
      <c r="K1450" s="32" t="str">
        <f t="shared" si="5"/>
        <v>Externo</v>
      </c>
      <c r="L1450" s="32" t="e">
        <f ca="1">_xludf.ifna(VLOOKUP(G1451,Proyectos!$E$1:$N$4,10,0),"")</f>
        <v>#NAME?</v>
      </c>
      <c r="M1450" s="32"/>
      <c r="N1450" s="31"/>
      <c r="O1450" s="31"/>
      <c r="P1450" s="33"/>
      <c r="Q1450" s="33"/>
    </row>
    <row r="1451" spans="1:17" ht="16.5" customHeight="1" x14ac:dyDescent="0.2">
      <c r="A1451" s="35" t="s">
        <v>4294</v>
      </c>
      <c r="B1451" s="35" t="s">
        <v>4295</v>
      </c>
      <c r="C1451" s="35" t="s">
        <v>7</v>
      </c>
      <c r="D1451" s="35" t="s">
        <v>8</v>
      </c>
      <c r="E1451" s="35" t="s">
        <v>108</v>
      </c>
      <c r="F1451" s="28" t="e">
        <f ca="1">_xludf.ifna(VLOOKUP(G1452,Proyectos!$E$1:$H$4,4,0),"")</f>
        <v>#NAME?</v>
      </c>
      <c r="G1451" s="29" t="s">
        <v>5187</v>
      </c>
      <c r="H1451" s="30">
        <v>1</v>
      </c>
      <c r="I1451" s="30" t="s">
        <v>25</v>
      </c>
      <c r="J1451" s="55"/>
      <c r="K1451" s="32" t="str">
        <f t="shared" si="5"/>
        <v>Externo</v>
      </c>
      <c r="L1451" s="32" t="e">
        <f ca="1">_xludf.ifna(VLOOKUP(G1452,Proyectos!$E$1:$N$4,10,0),"")</f>
        <v>#NAME?</v>
      </c>
      <c r="M1451" s="32"/>
      <c r="N1451" s="31"/>
      <c r="O1451" s="31"/>
      <c r="P1451" s="33"/>
      <c r="Q1451" s="33"/>
    </row>
    <row r="1452" spans="1:17" ht="16.5" customHeight="1" x14ac:dyDescent="0.2">
      <c r="A1452" s="35" t="s">
        <v>4189</v>
      </c>
      <c r="B1452" s="35" t="s">
        <v>4190</v>
      </c>
      <c r="C1452" s="35" t="s">
        <v>7</v>
      </c>
      <c r="D1452" s="35" t="s">
        <v>8</v>
      </c>
      <c r="E1452" s="35" t="s">
        <v>108</v>
      </c>
      <c r="F1452" s="28" t="e">
        <f ca="1">_xludf.ifna(VLOOKUP(G1453,Proyectos!$E$1:$H$4,4,0),"")</f>
        <v>#NAME?</v>
      </c>
      <c r="G1452" s="29" t="s">
        <v>5189</v>
      </c>
      <c r="H1452" s="30">
        <v>1</v>
      </c>
      <c r="I1452" s="30" t="s">
        <v>25</v>
      </c>
      <c r="J1452" s="55"/>
      <c r="K1452" s="32" t="str">
        <f t="shared" si="5"/>
        <v>Externo</v>
      </c>
      <c r="L1452" s="32" t="e">
        <f ca="1">_xludf.ifna(VLOOKUP(G1453,Proyectos!$E$1:$N$4,10,0),"")</f>
        <v>#NAME?</v>
      </c>
      <c r="M1452" s="32"/>
      <c r="N1452" s="31"/>
      <c r="O1452" s="31"/>
      <c r="P1452" s="33"/>
      <c r="Q1452" s="33"/>
    </row>
    <row r="1453" spans="1:17" ht="16.5" customHeight="1" x14ac:dyDescent="0.2">
      <c r="A1453" s="35" t="s">
        <v>4116</v>
      </c>
      <c r="B1453" s="35" t="s">
        <v>4117</v>
      </c>
      <c r="C1453" s="35" t="s">
        <v>7</v>
      </c>
      <c r="D1453" s="35" t="s">
        <v>8</v>
      </c>
      <c r="E1453" s="35" t="s">
        <v>108</v>
      </c>
      <c r="F1453" s="28" t="e">
        <f ca="1">_xludf.ifna(VLOOKUP(G1454,Proyectos!$E$1:$H$4,4,0),"")</f>
        <v>#NAME?</v>
      </c>
      <c r="G1453" s="29" t="s">
        <v>5190</v>
      </c>
      <c r="H1453" s="30">
        <v>1</v>
      </c>
      <c r="I1453" s="30" t="s">
        <v>25</v>
      </c>
      <c r="J1453" s="55"/>
      <c r="K1453" s="32" t="str">
        <f t="shared" si="5"/>
        <v>Externo</v>
      </c>
      <c r="L1453" s="32" t="e">
        <f ca="1">_xludf.ifna(VLOOKUP(G1454,Proyectos!$E$1:$N$4,10,0),"")</f>
        <v>#NAME?</v>
      </c>
      <c r="M1453" s="32"/>
      <c r="N1453" s="31"/>
      <c r="O1453" s="31"/>
      <c r="P1453" s="33"/>
      <c r="Q1453" s="33"/>
    </row>
    <row r="1454" spans="1:17" ht="16.5" customHeight="1" x14ac:dyDescent="0.2">
      <c r="A1454" s="35" t="s">
        <v>5902</v>
      </c>
      <c r="B1454" s="35" t="s">
        <v>5903</v>
      </c>
      <c r="C1454" s="35" t="s">
        <v>7</v>
      </c>
      <c r="D1454" s="35" t="s">
        <v>8</v>
      </c>
      <c r="E1454" s="35" t="s">
        <v>83</v>
      </c>
      <c r="F1454" s="28" t="e">
        <f ca="1">_xludf.ifna(VLOOKUP(G1455,Proyectos!$E$1:$H$4,4,0),"")</f>
        <v>#NAME?</v>
      </c>
      <c r="G1454" s="29" t="s">
        <v>5597</v>
      </c>
      <c r="H1454" s="30">
        <v>1</v>
      </c>
      <c r="I1454" s="30" t="s">
        <v>25</v>
      </c>
      <c r="J1454" s="55"/>
      <c r="K1454" s="32" t="str">
        <f t="shared" si="5"/>
        <v>Externo</v>
      </c>
      <c r="L1454" s="32" t="e">
        <f ca="1">_xludf.ifna(VLOOKUP(G1455,Proyectos!$E$1:$N$4,10,0),"")</f>
        <v>#NAME?</v>
      </c>
      <c r="M1454" s="32"/>
      <c r="N1454" s="31"/>
      <c r="O1454" s="31"/>
      <c r="P1454" s="33"/>
      <c r="Q1454" s="33"/>
    </row>
    <row r="1455" spans="1:17" ht="16.5" customHeight="1" x14ac:dyDescent="0.2">
      <c r="A1455" s="35" t="s">
        <v>5037</v>
      </c>
      <c r="B1455" s="35" t="s">
        <v>5038</v>
      </c>
      <c r="C1455" s="35" t="s">
        <v>7</v>
      </c>
      <c r="D1455" s="35" t="s">
        <v>8</v>
      </c>
      <c r="E1455" s="35" t="s">
        <v>126</v>
      </c>
      <c r="F1455" s="28" t="e">
        <f ca="1">_xludf.ifna(VLOOKUP(G1456,Proyectos!$E$1:$H$4,4,0),"")</f>
        <v>#NAME?</v>
      </c>
      <c r="G1455" s="29" t="s">
        <v>5194</v>
      </c>
      <c r="H1455" s="30">
        <v>1</v>
      </c>
      <c r="I1455" s="30" t="s">
        <v>25</v>
      </c>
      <c r="J1455" s="55"/>
      <c r="K1455" s="32" t="str">
        <f t="shared" si="5"/>
        <v>Externo</v>
      </c>
      <c r="L1455" s="32" t="e">
        <f ca="1">_xludf.ifna(VLOOKUP(G1456,Proyectos!$E$1:$N$4,10,0),"")</f>
        <v>#NAME?</v>
      </c>
      <c r="M1455" s="32"/>
      <c r="N1455" s="31"/>
      <c r="O1455" s="31"/>
      <c r="P1455" s="33"/>
      <c r="Q1455" s="33"/>
    </row>
    <row r="1456" spans="1:17" ht="16.5" customHeight="1" x14ac:dyDescent="0.2">
      <c r="A1456" s="35" t="s">
        <v>4984</v>
      </c>
      <c r="B1456" s="35" t="s">
        <v>4985</v>
      </c>
      <c r="C1456" s="35" t="s">
        <v>7</v>
      </c>
      <c r="D1456" s="35" t="s">
        <v>8</v>
      </c>
      <c r="E1456" s="35" t="s">
        <v>87</v>
      </c>
      <c r="F1456" s="28" t="e">
        <f ca="1">_xludf.ifna(VLOOKUP(G1457,Proyectos!$E$1:$H$4,4,0),"")</f>
        <v>#NAME?</v>
      </c>
      <c r="G1456" s="29" t="s">
        <v>5150</v>
      </c>
      <c r="H1456" s="30">
        <v>0.1</v>
      </c>
      <c r="I1456" s="30" t="s">
        <v>25</v>
      </c>
      <c r="J1456" s="55"/>
      <c r="K1456" s="32" t="str">
        <f t="shared" si="5"/>
        <v>Externo</v>
      </c>
      <c r="L1456" s="32" t="e">
        <f ca="1">_xludf.ifna(VLOOKUP(G1457,Proyectos!$E$1:$N$4,10,0),"")</f>
        <v>#NAME?</v>
      </c>
      <c r="M1456" s="32"/>
      <c r="N1456" s="31"/>
      <c r="O1456" s="31"/>
      <c r="P1456" s="33"/>
      <c r="Q1456" s="33"/>
    </row>
    <row r="1457" spans="1:17" ht="16.5" customHeight="1" x14ac:dyDescent="0.2">
      <c r="A1457" s="35" t="s">
        <v>4984</v>
      </c>
      <c r="B1457" s="35" t="s">
        <v>4985</v>
      </c>
      <c r="C1457" s="35" t="s">
        <v>7</v>
      </c>
      <c r="D1457" s="35" t="s">
        <v>8</v>
      </c>
      <c r="E1457" s="35" t="s">
        <v>87</v>
      </c>
      <c r="F1457" s="28" t="e">
        <f ca="1">_xludf.ifna(VLOOKUP(G1458,Proyectos!$E$1:$H$4,4,0),"")</f>
        <v>#NAME?</v>
      </c>
      <c r="G1457" s="29" t="s">
        <v>5331</v>
      </c>
      <c r="H1457" s="30">
        <v>0.1</v>
      </c>
      <c r="I1457" s="30" t="s">
        <v>25</v>
      </c>
      <c r="J1457" s="55"/>
      <c r="K1457" s="32" t="str">
        <f t="shared" si="5"/>
        <v>Externo</v>
      </c>
      <c r="L1457" s="32" t="e">
        <f ca="1">_xludf.ifna(VLOOKUP(G1458,Proyectos!$E$1:$N$4,10,0),"")</f>
        <v>#NAME?</v>
      </c>
      <c r="M1457" s="32"/>
      <c r="N1457" s="31"/>
      <c r="O1457" s="31"/>
      <c r="P1457" s="33"/>
      <c r="Q1457" s="33"/>
    </row>
    <row r="1458" spans="1:17" ht="16.5" customHeight="1" x14ac:dyDescent="0.2">
      <c r="A1458" s="35" t="s">
        <v>4984</v>
      </c>
      <c r="B1458" s="35" t="s">
        <v>4985</v>
      </c>
      <c r="C1458" s="35" t="s">
        <v>7</v>
      </c>
      <c r="D1458" s="35" t="s">
        <v>8</v>
      </c>
      <c r="E1458" s="35" t="s">
        <v>87</v>
      </c>
      <c r="F1458" s="28" t="e">
        <f ca="1">_xludf.ifna(VLOOKUP(G1459,Proyectos!$E$1:$H$4,4,0),"")</f>
        <v>#NAME?</v>
      </c>
      <c r="G1458" s="29" t="s">
        <v>5198</v>
      </c>
      <c r="H1458" s="30">
        <v>0.1</v>
      </c>
      <c r="I1458" s="30" t="s">
        <v>25</v>
      </c>
      <c r="J1458" s="55"/>
      <c r="K1458" s="32" t="str">
        <f t="shared" si="5"/>
        <v>Externo</v>
      </c>
      <c r="L1458" s="32" t="e">
        <f ca="1">_xludf.ifna(VLOOKUP(G1459,Proyectos!$E$1:$N$4,10,0),"")</f>
        <v>#NAME?</v>
      </c>
      <c r="M1458" s="32"/>
      <c r="N1458" s="31"/>
      <c r="O1458" s="31"/>
      <c r="P1458" s="33"/>
      <c r="Q1458" s="33"/>
    </row>
    <row r="1459" spans="1:17" ht="16.5" customHeight="1" x14ac:dyDescent="0.2">
      <c r="A1459" s="35" t="s">
        <v>4984</v>
      </c>
      <c r="B1459" s="35" t="s">
        <v>4985</v>
      </c>
      <c r="C1459" s="35" t="s">
        <v>7</v>
      </c>
      <c r="D1459" s="35" t="s">
        <v>8</v>
      </c>
      <c r="E1459" s="35" t="s">
        <v>87</v>
      </c>
      <c r="F1459" s="28" t="e">
        <f ca="1">_xludf.ifna(VLOOKUP(G1460,Proyectos!$E$1:$H$4,4,0),"")</f>
        <v>#NAME?</v>
      </c>
      <c r="G1459" s="29" t="s">
        <v>5194</v>
      </c>
      <c r="H1459" s="30">
        <v>0.1</v>
      </c>
      <c r="I1459" s="30" t="s">
        <v>25</v>
      </c>
      <c r="J1459" s="55"/>
      <c r="K1459" s="32" t="str">
        <f t="shared" si="5"/>
        <v>Externo</v>
      </c>
      <c r="L1459" s="32" t="e">
        <f ca="1">_xludf.ifna(VLOOKUP(G1460,Proyectos!$E$1:$N$4,10,0),"")</f>
        <v>#NAME?</v>
      </c>
      <c r="M1459" s="32"/>
      <c r="N1459" s="31"/>
      <c r="O1459" s="31"/>
      <c r="P1459" s="33"/>
      <c r="Q1459" s="33"/>
    </row>
    <row r="1460" spans="1:17" ht="16.5" customHeight="1" x14ac:dyDescent="0.2">
      <c r="A1460" s="35" t="s">
        <v>4984</v>
      </c>
      <c r="B1460" s="35" t="s">
        <v>4985</v>
      </c>
      <c r="C1460" s="35" t="s">
        <v>7</v>
      </c>
      <c r="D1460" s="35" t="s">
        <v>8</v>
      </c>
      <c r="E1460" s="35" t="s">
        <v>87</v>
      </c>
      <c r="F1460" s="28" t="e">
        <f ca="1">_xludf.ifna(VLOOKUP(G1461,Proyectos!$E$1:$H$4,4,0),"")</f>
        <v>#NAME?</v>
      </c>
      <c r="G1460" s="29" t="s">
        <v>5112</v>
      </c>
      <c r="H1460" s="30">
        <v>0.1</v>
      </c>
      <c r="I1460" s="30" t="s">
        <v>25</v>
      </c>
      <c r="J1460" s="55"/>
      <c r="K1460" s="32" t="str">
        <f t="shared" si="5"/>
        <v>Externo</v>
      </c>
      <c r="L1460" s="32" t="e">
        <f ca="1">_xludf.ifna(VLOOKUP(G1461,Proyectos!$E$1:$N$4,10,0),"")</f>
        <v>#NAME?</v>
      </c>
      <c r="M1460" s="32"/>
      <c r="N1460" s="32"/>
      <c r="O1460" s="31"/>
      <c r="P1460" s="33"/>
      <c r="Q1460" s="33"/>
    </row>
    <row r="1461" spans="1:17" ht="16.5" customHeight="1" x14ac:dyDescent="0.2">
      <c r="A1461" s="35" t="s">
        <v>4984</v>
      </c>
      <c r="B1461" s="35" t="s">
        <v>4985</v>
      </c>
      <c r="C1461" s="35" t="s">
        <v>7</v>
      </c>
      <c r="D1461" s="35" t="s">
        <v>8</v>
      </c>
      <c r="E1461" s="35" t="s">
        <v>87</v>
      </c>
      <c r="F1461" s="28" t="e">
        <f ca="1">_xludf.ifna(VLOOKUP(G1462,Proyectos!$E$1:$H$4,4,0),"")</f>
        <v>#NAME?</v>
      </c>
      <c r="G1461" s="29" t="s">
        <v>5196</v>
      </c>
      <c r="H1461" s="30">
        <v>0.1</v>
      </c>
      <c r="I1461" s="30" t="s">
        <v>25</v>
      </c>
      <c r="J1461" s="55"/>
      <c r="K1461" s="32" t="str">
        <f t="shared" si="5"/>
        <v>Externo</v>
      </c>
      <c r="L1461" s="32" t="e">
        <f ca="1">_xludf.ifna(VLOOKUP(G1462,Proyectos!$E$1:$N$4,10,0),"")</f>
        <v>#NAME?</v>
      </c>
      <c r="M1461" s="32"/>
      <c r="N1461" s="31"/>
      <c r="O1461" s="31"/>
      <c r="P1461" s="33"/>
      <c r="Q1461" s="33"/>
    </row>
    <row r="1462" spans="1:17" ht="16.5" customHeight="1" x14ac:dyDescent="0.2">
      <c r="A1462" s="35" t="s">
        <v>4984</v>
      </c>
      <c r="B1462" s="35" t="s">
        <v>4985</v>
      </c>
      <c r="C1462" s="35" t="s">
        <v>7</v>
      </c>
      <c r="D1462" s="35" t="s">
        <v>23</v>
      </c>
      <c r="E1462" s="35" t="s">
        <v>87</v>
      </c>
      <c r="F1462" s="28" t="e">
        <f ca="1">_xludf.ifna(VLOOKUP(G1463,Proyectos!$E$1:$H$4,4,0),"")</f>
        <v>#NAME?</v>
      </c>
      <c r="G1462" s="29" t="s">
        <v>5170</v>
      </c>
      <c r="H1462" s="30">
        <v>0.1</v>
      </c>
      <c r="I1462" s="30" t="s">
        <v>25</v>
      </c>
      <c r="J1462" s="55"/>
      <c r="K1462" s="32" t="str">
        <f t="shared" si="5"/>
        <v>Externo</v>
      </c>
      <c r="L1462" s="32" t="e">
        <f ca="1">_xludf.ifna(VLOOKUP(G1463,Proyectos!$E$1:$N$4,10,0),"")</f>
        <v>#NAME?</v>
      </c>
      <c r="M1462" s="32"/>
      <c r="N1462" s="31"/>
      <c r="O1462" s="31"/>
      <c r="P1462" s="33"/>
      <c r="Q1462" s="33"/>
    </row>
    <row r="1463" spans="1:17" ht="16.5" customHeight="1" x14ac:dyDescent="0.2">
      <c r="A1463" s="35" t="s">
        <v>4984</v>
      </c>
      <c r="B1463" s="35" t="s">
        <v>4985</v>
      </c>
      <c r="C1463" s="35" t="s">
        <v>7</v>
      </c>
      <c r="D1463" s="35" t="s">
        <v>23</v>
      </c>
      <c r="E1463" s="35" t="s">
        <v>87</v>
      </c>
      <c r="F1463" s="28" t="e">
        <f ca="1">_xludf.ifna(VLOOKUP(G1464,Proyectos!$E$1:$H$4,4,0),"")</f>
        <v>#NAME?</v>
      </c>
      <c r="G1463" s="29" t="s">
        <v>5171</v>
      </c>
      <c r="H1463" s="30">
        <v>0.1</v>
      </c>
      <c r="I1463" s="30" t="s">
        <v>25</v>
      </c>
      <c r="J1463" s="55"/>
      <c r="K1463" s="32" t="str">
        <f t="shared" si="5"/>
        <v>Externo</v>
      </c>
      <c r="L1463" s="32" t="e">
        <f ca="1">_xludf.ifna(VLOOKUP(G1464,Proyectos!$E$1:$N$4,10,0),"")</f>
        <v>#NAME?</v>
      </c>
      <c r="M1463" s="32"/>
      <c r="N1463" s="31"/>
      <c r="O1463" s="31"/>
      <c r="P1463" s="33"/>
      <c r="Q1463" s="33"/>
    </row>
    <row r="1464" spans="1:17" ht="16.5" customHeight="1" x14ac:dyDescent="0.2">
      <c r="A1464" s="35" t="s">
        <v>4984</v>
      </c>
      <c r="B1464" s="35" t="s">
        <v>4985</v>
      </c>
      <c r="C1464" s="35" t="s">
        <v>7</v>
      </c>
      <c r="D1464" s="35" t="s">
        <v>23</v>
      </c>
      <c r="E1464" s="35" t="s">
        <v>87</v>
      </c>
      <c r="F1464" s="28" t="e">
        <f ca="1">_xludf.ifna(VLOOKUP(G1465,Proyectos!$E$1:$H$4,4,0),"")</f>
        <v>#NAME?</v>
      </c>
      <c r="G1464" s="29" t="s">
        <v>5174</v>
      </c>
      <c r="H1464" s="30">
        <v>0.1</v>
      </c>
      <c r="I1464" s="30" t="s">
        <v>25</v>
      </c>
      <c r="J1464" s="55"/>
      <c r="K1464" s="32" t="str">
        <f t="shared" si="5"/>
        <v>Externo</v>
      </c>
      <c r="L1464" s="32" t="e">
        <f ca="1">_xludf.ifna(VLOOKUP(G1465,Proyectos!$E$1:$N$4,10,0),"")</f>
        <v>#NAME?</v>
      </c>
      <c r="M1464" s="32"/>
      <c r="N1464" s="31"/>
      <c r="O1464" s="31"/>
      <c r="P1464" s="33"/>
      <c r="Q1464" s="33"/>
    </row>
    <row r="1465" spans="1:17" ht="16.5" customHeight="1" x14ac:dyDescent="0.2">
      <c r="A1465" s="35" t="s">
        <v>4984</v>
      </c>
      <c r="B1465" s="35" t="s">
        <v>4985</v>
      </c>
      <c r="C1465" s="35" t="s">
        <v>7</v>
      </c>
      <c r="D1465" s="35" t="s">
        <v>23</v>
      </c>
      <c r="E1465" s="35" t="s">
        <v>87</v>
      </c>
      <c r="F1465" s="28" t="e">
        <f ca="1">_xludf.ifna(VLOOKUP(G1466,Proyectos!$E$1:$H$4,4,0),"")</f>
        <v>#NAME?</v>
      </c>
      <c r="G1465" s="29" t="s">
        <v>5175</v>
      </c>
      <c r="H1465" s="30">
        <v>0.1</v>
      </c>
      <c r="I1465" s="30" t="s">
        <v>25</v>
      </c>
      <c r="J1465" s="55"/>
      <c r="K1465" s="32" t="str">
        <f t="shared" si="5"/>
        <v>Externo</v>
      </c>
      <c r="L1465" s="32" t="e">
        <f ca="1">_xludf.ifna(VLOOKUP(G1466,Proyectos!$E$1:$N$4,10,0),"")</f>
        <v>#NAME?</v>
      </c>
      <c r="M1465" s="32"/>
      <c r="N1465" s="31"/>
      <c r="O1465" s="31"/>
      <c r="P1465" s="33"/>
      <c r="Q1465" s="33"/>
    </row>
    <row r="1466" spans="1:17" ht="16.5" customHeight="1" x14ac:dyDescent="0.2">
      <c r="A1466" s="35" t="s">
        <v>4362</v>
      </c>
      <c r="B1466" s="35" t="s">
        <v>4363</v>
      </c>
      <c r="C1466" s="35" t="s">
        <v>7</v>
      </c>
      <c r="D1466" s="35" t="s">
        <v>8</v>
      </c>
      <c r="E1466" s="35" t="s">
        <v>114</v>
      </c>
      <c r="F1466" s="28" t="e">
        <f ca="1">_xludf.ifna(VLOOKUP(G1467,Proyectos!$E$1:$H$4,4,0),"")</f>
        <v>#NAME?</v>
      </c>
      <c r="G1466" s="29" t="s">
        <v>5150</v>
      </c>
      <c r="H1466" s="30">
        <v>0.1</v>
      </c>
      <c r="I1466" s="30" t="s">
        <v>25</v>
      </c>
      <c r="J1466" s="55"/>
      <c r="K1466" s="32" t="str">
        <f t="shared" si="5"/>
        <v>Externo</v>
      </c>
      <c r="L1466" s="32" t="e">
        <f ca="1">_xludf.ifna(VLOOKUP(G1467,Proyectos!$E$1:$N$4,10,0),"")</f>
        <v>#NAME?</v>
      </c>
      <c r="M1466" s="32"/>
      <c r="N1466" s="31"/>
      <c r="O1466" s="31"/>
      <c r="P1466" s="33"/>
      <c r="Q1466" s="33"/>
    </row>
    <row r="1467" spans="1:17" ht="16.5" customHeight="1" x14ac:dyDescent="0.2">
      <c r="A1467" s="35" t="s">
        <v>4362</v>
      </c>
      <c r="B1467" s="35" t="s">
        <v>4363</v>
      </c>
      <c r="C1467" s="35" t="s">
        <v>7</v>
      </c>
      <c r="D1467" s="35" t="s">
        <v>8</v>
      </c>
      <c r="E1467" s="35" t="s">
        <v>114</v>
      </c>
      <c r="F1467" s="28" t="e">
        <f ca="1">_xludf.ifna(VLOOKUP(G1468,Proyectos!$E$1:$H$4,4,0),"")</f>
        <v>#NAME?</v>
      </c>
      <c r="G1467" s="29" t="s">
        <v>5331</v>
      </c>
      <c r="H1467" s="30">
        <v>0.1</v>
      </c>
      <c r="I1467" s="30" t="s">
        <v>25</v>
      </c>
      <c r="J1467" s="55"/>
      <c r="K1467" s="32" t="str">
        <f t="shared" si="5"/>
        <v>Externo</v>
      </c>
      <c r="L1467" s="32" t="e">
        <f ca="1">_xludf.ifna(VLOOKUP(G1468,Proyectos!$E$1:$N$4,10,0),"")</f>
        <v>#NAME?</v>
      </c>
      <c r="M1467" s="32"/>
      <c r="N1467" s="31"/>
      <c r="O1467" s="31"/>
      <c r="P1467" s="33"/>
      <c r="Q1467" s="33"/>
    </row>
    <row r="1468" spans="1:17" ht="16.5" customHeight="1" x14ac:dyDescent="0.2">
      <c r="A1468" s="35" t="s">
        <v>4362</v>
      </c>
      <c r="B1468" s="35" t="s">
        <v>4363</v>
      </c>
      <c r="C1468" s="35" t="s">
        <v>7</v>
      </c>
      <c r="D1468" s="35" t="s">
        <v>8</v>
      </c>
      <c r="E1468" s="35" t="s">
        <v>114</v>
      </c>
      <c r="F1468" s="28" t="e">
        <f ca="1">_xludf.ifna(VLOOKUP(G1469,Proyectos!$E$1:$H$4,4,0),"")</f>
        <v>#NAME?</v>
      </c>
      <c r="G1468" s="29" t="s">
        <v>5198</v>
      </c>
      <c r="H1468" s="30">
        <v>0.1</v>
      </c>
      <c r="I1468" s="30" t="s">
        <v>25</v>
      </c>
      <c r="J1468" s="55"/>
      <c r="K1468" s="32" t="str">
        <f t="shared" si="5"/>
        <v>Externo</v>
      </c>
      <c r="L1468" s="32" t="e">
        <f ca="1">_xludf.ifna(VLOOKUP(G1469,Proyectos!$E$1:$N$4,10,0),"")</f>
        <v>#NAME?</v>
      </c>
      <c r="M1468" s="32"/>
      <c r="N1468" s="31"/>
      <c r="O1468" s="31"/>
      <c r="P1468" s="33"/>
      <c r="Q1468" s="33"/>
    </row>
    <row r="1469" spans="1:17" ht="16.5" customHeight="1" x14ac:dyDescent="0.2">
      <c r="A1469" s="35" t="s">
        <v>4362</v>
      </c>
      <c r="B1469" s="35" t="s">
        <v>4363</v>
      </c>
      <c r="C1469" s="35" t="s">
        <v>7</v>
      </c>
      <c r="D1469" s="35" t="s">
        <v>8</v>
      </c>
      <c r="E1469" s="35" t="s">
        <v>114</v>
      </c>
      <c r="F1469" s="28" t="e">
        <f ca="1">_xludf.ifna(VLOOKUP(G1470,Proyectos!$E$1:$H$4,4,0),"")</f>
        <v>#NAME?</v>
      </c>
      <c r="G1469" s="29" t="s">
        <v>5194</v>
      </c>
      <c r="H1469" s="30">
        <v>0.1</v>
      </c>
      <c r="I1469" s="30" t="s">
        <v>25</v>
      </c>
      <c r="J1469" s="55"/>
      <c r="K1469" s="32" t="str">
        <f t="shared" si="5"/>
        <v>Externo</v>
      </c>
      <c r="L1469" s="32" t="e">
        <f ca="1">_xludf.ifna(VLOOKUP(G1470,Proyectos!$E$1:$N$4,10,0),"")</f>
        <v>#NAME?</v>
      </c>
      <c r="M1469" s="32"/>
      <c r="N1469" s="31"/>
      <c r="O1469" s="31"/>
      <c r="P1469" s="33"/>
      <c r="Q1469" s="33"/>
    </row>
    <row r="1470" spans="1:17" ht="16.5" customHeight="1" x14ac:dyDescent="0.2">
      <c r="A1470" s="35" t="s">
        <v>4362</v>
      </c>
      <c r="B1470" s="35" t="s">
        <v>4363</v>
      </c>
      <c r="C1470" s="35" t="s">
        <v>7</v>
      </c>
      <c r="D1470" s="35" t="s">
        <v>8</v>
      </c>
      <c r="E1470" s="35" t="s">
        <v>114</v>
      </c>
      <c r="F1470" s="28" t="e">
        <f ca="1">_xludf.ifna(VLOOKUP(G1471,Proyectos!$E$1:$H$4,4,0),"")</f>
        <v>#NAME?</v>
      </c>
      <c r="G1470" s="29" t="s">
        <v>5112</v>
      </c>
      <c r="H1470" s="30">
        <v>0.1</v>
      </c>
      <c r="I1470" s="30" t="s">
        <v>25</v>
      </c>
      <c r="J1470" s="55"/>
      <c r="K1470" s="32" t="str">
        <f t="shared" si="5"/>
        <v>Externo</v>
      </c>
      <c r="L1470" s="32" t="e">
        <f ca="1">_xludf.ifna(VLOOKUP(G1471,Proyectos!$E$1:$N$4,10,0),"")</f>
        <v>#NAME?</v>
      </c>
      <c r="M1470" s="32"/>
      <c r="N1470" s="32"/>
      <c r="O1470" s="31"/>
      <c r="P1470" s="33"/>
      <c r="Q1470" s="33"/>
    </row>
    <row r="1471" spans="1:17" ht="16.5" customHeight="1" x14ac:dyDescent="0.2">
      <c r="A1471" s="35" t="s">
        <v>4362</v>
      </c>
      <c r="B1471" s="35" t="s">
        <v>4363</v>
      </c>
      <c r="C1471" s="35" t="s">
        <v>7</v>
      </c>
      <c r="D1471" s="35" t="s">
        <v>8</v>
      </c>
      <c r="E1471" s="35" t="s">
        <v>114</v>
      </c>
      <c r="F1471" s="28" t="e">
        <f ca="1">_xludf.ifna(VLOOKUP(G1472,Proyectos!$E$1:$H$4,4,0),"")</f>
        <v>#NAME?</v>
      </c>
      <c r="G1471" s="29" t="s">
        <v>5196</v>
      </c>
      <c r="H1471" s="30">
        <v>0.1</v>
      </c>
      <c r="I1471" s="30" t="s">
        <v>25</v>
      </c>
      <c r="J1471" s="55"/>
      <c r="K1471" s="32" t="str">
        <f t="shared" si="5"/>
        <v>Externo</v>
      </c>
      <c r="L1471" s="32" t="e">
        <f ca="1">_xludf.ifna(VLOOKUP(G1472,Proyectos!$E$1:$N$4,10,0),"")</f>
        <v>#NAME?</v>
      </c>
      <c r="M1471" s="32"/>
      <c r="N1471" s="31"/>
      <c r="O1471" s="31"/>
      <c r="P1471" s="33"/>
      <c r="Q1471" s="33"/>
    </row>
    <row r="1472" spans="1:17" ht="16.5" customHeight="1" x14ac:dyDescent="0.2">
      <c r="A1472" s="35" t="s">
        <v>4362</v>
      </c>
      <c r="B1472" s="35" t="s">
        <v>4363</v>
      </c>
      <c r="C1472" s="35" t="s">
        <v>7</v>
      </c>
      <c r="D1472" s="35" t="s">
        <v>23</v>
      </c>
      <c r="E1472" s="35" t="s">
        <v>114</v>
      </c>
      <c r="F1472" s="28" t="e">
        <f ca="1">_xludf.ifna(VLOOKUP(G1473,Proyectos!$E$1:$H$4,4,0),"")</f>
        <v>#NAME?</v>
      </c>
      <c r="G1472" s="29" t="s">
        <v>5170</v>
      </c>
      <c r="H1472" s="30">
        <v>0.1</v>
      </c>
      <c r="I1472" s="30" t="s">
        <v>25</v>
      </c>
      <c r="J1472" s="55"/>
      <c r="K1472" s="32" t="str">
        <f t="shared" si="5"/>
        <v>Externo</v>
      </c>
      <c r="L1472" s="32" t="e">
        <f ca="1">_xludf.ifna(VLOOKUP(G1473,Proyectos!$E$1:$N$4,10,0),"")</f>
        <v>#NAME?</v>
      </c>
      <c r="M1472" s="32"/>
      <c r="N1472" s="31"/>
      <c r="O1472" s="31"/>
      <c r="P1472" s="33"/>
      <c r="Q1472" s="33"/>
    </row>
    <row r="1473" spans="1:17" ht="16.5" customHeight="1" x14ac:dyDescent="0.2">
      <c r="A1473" s="35" t="s">
        <v>4362</v>
      </c>
      <c r="B1473" s="35" t="s">
        <v>4363</v>
      </c>
      <c r="C1473" s="35" t="s">
        <v>7</v>
      </c>
      <c r="D1473" s="35" t="s">
        <v>23</v>
      </c>
      <c r="E1473" s="35" t="s">
        <v>114</v>
      </c>
      <c r="F1473" s="28" t="e">
        <f ca="1">_xludf.ifna(VLOOKUP(G1474,Proyectos!$E$1:$H$4,4,0),"")</f>
        <v>#NAME?</v>
      </c>
      <c r="G1473" s="29" t="s">
        <v>5171</v>
      </c>
      <c r="H1473" s="30">
        <v>0.1</v>
      </c>
      <c r="I1473" s="30" t="s">
        <v>25</v>
      </c>
      <c r="J1473" s="55"/>
      <c r="K1473" s="32" t="str">
        <f t="shared" si="5"/>
        <v>Externo</v>
      </c>
      <c r="L1473" s="32" t="e">
        <f ca="1">_xludf.ifna(VLOOKUP(G1474,Proyectos!$E$1:$N$4,10,0),"")</f>
        <v>#NAME?</v>
      </c>
      <c r="M1473" s="32"/>
      <c r="N1473" s="31"/>
      <c r="O1473" s="31"/>
      <c r="P1473" s="33"/>
      <c r="Q1473" s="33"/>
    </row>
    <row r="1474" spans="1:17" ht="16.5" customHeight="1" x14ac:dyDescent="0.2">
      <c r="A1474" s="35" t="s">
        <v>4362</v>
      </c>
      <c r="B1474" s="35" t="s">
        <v>4363</v>
      </c>
      <c r="C1474" s="35" t="s">
        <v>7</v>
      </c>
      <c r="D1474" s="35" t="s">
        <v>23</v>
      </c>
      <c r="E1474" s="35" t="s">
        <v>114</v>
      </c>
      <c r="F1474" s="28" t="e">
        <f ca="1">_xludf.ifna(VLOOKUP(G1475,Proyectos!$E$1:$H$4,4,0),"")</f>
        <v>#NAME?</v>
      </c>
      <c r="G1474" s="29" t="s">
        <v>5174</v>
      </c>
      <c r="H1474" s="30">
        <v>0.1</v>
      </c>
      <c r="I1474" s="30" t="s">
        <v>25</v>
      </c>
      <c r="J1474" s="55"/>
      <c r="K1474" s="32" t="str">
        <f t="shared" si="5"/>
        <v>Externo</v>
      </c>
      <c r="L1474" s="32" t="e">
        <f ca="1">_xludf.ifna(VLOOKUP(G1475,Proyectos!$E$1:$N$4,10,0),"")</f>
        <v>#NAME?</v>
      </c>
      <c r="M1474" s="32"/>
      <c r="N1474" s="31"/>
      <c r="O1474" s="31"/>
      <c r="P1474" s="33"/>
      <c r="Q1474" s="33"/>
    </row>
    <row r="1475" spans="1:17" ht="16.5" customHeight="1" x14ac:dyDescent="0.2">
      <c r="A1475" s="35" t="s">
        <v>4362</v>
      </c>
      <c r="B1475" s="35" t="s">
        <v>4363</v>
      </c>
      <c r="C1475" s="35" t="s">
        <v>7</v>
      </c>
      <c r="D1475" s="35" t="s">
        <v>23</v>
      </c>
      <c r="E1475" s="35" t="s">
        <v>114</v>
      </c>
      <c r="F1475" s="28" t="e">
        <f ca="1">_xludf.ifna(VLOOKUP(G1476,Proyectos!$E$1:$H$4,4,0),"")</f>
        <v>#NAME?</v>
      </c>
      <c r="G1475" s="29" t="s">
        <v>5175</v>
      </c>
      <c r="H1475" s="30">
        <v>0.1</v>
      </c>
      <c r="I1475" s="30" t="s">
        <v>25</v>
      </c>
      <c r="J1475" s="55"/>
      <c r="K1475" s="32" t="str">
        <f t="shared" si="5"/>
        <v>Externo</v>
      </c>
      <c r="L1475" s="32" t="e">
        <f ca="1">_xludf.ifna(VLOOKUP(G1476,Proyectos!$E$1:$N$4,10,0),"")</f>
        <v>#NAME?</v>
      </c>
      <c r="M1475" s="32"/>
      <c r="N1475" s="31"/>
      <c r="O1475" s="31"/>
      <c r="P1475" s="33"/>
      <c r="Q1475" s="33"/>
    </row>
    <row r="1476" spans="1:17" ht="16.5" customHeight="1" x14ac:dyDescent="0.2">
      <c r="A1476" s="35" t="s">
        <v>4019</v>
      </c>
      <c r="B1476" s="35" t="s">
        <v>4020</v>
      </c>
      <c r="C1476" s="35" t="s">
        <v>7</v>
      </c>
      <c r="D1476" s="35" t="s">
        <v>8</v>
      </c>
      <c r="E1476" s="35" t="s">
        <v>108</v>
      </c>
      <c r="F1476" s="28" t="e">
        <f ca="1">_xludf.ifna(VLOOKUP(G1477,Proyectos!$E$1:$H$4,4,0),"")</f>
        <v>#NAME?</v>
      </c>
      <c r="G1476" s="29" t="s">
        <v>5150</v>
      </c>
      <c r="H1476" s="30">
        <v>1</v>
      </c>
      <c r="I1476" s="52" t="s">
        <v>32</v>
      </c>
      <c r="J1476" s="30"/>
      <c r="K1476" s="32" t="str">
        <f t="shared" si="5"/>
        <v>Externo</v>
      </c>
      <c r="L1476" s="32" t="e">
        <f ca="1">_xludf.ifna(VLOOKUP(G1477,Proyectos!$E$1:$N$4,10,0),"")</f>
        <v>#NAME?</v>
      </c>
      <c r="M1476" s="32"/>
      <c r="N1476" s="31"/>
      <c r="O1476" s="31"/>
      <c r="P1476" s="33"/>
      <c r="Q1476" s="33"/>
    </row>
    <row r="1477" spans="1:17" ht="16.5" customHeight="1" x14ac:dyDescent="0.2">
      <c r="A1477" s="26" t="s">
        <v>3721</v>
      </c>
      <c r="B1477" s="26" t="s">
        <v>3722</v>
      </c>
      <c r="C1477" s="26" t="s">
        <v>7</v>
      </c>
      <c r="D1477" s="26" t="s">
        <v>8</v>
      </c>
      <c r="E1477" s="26" t="s">
        <v>39</v>
      </c>
      <c r="F1477" s="28" t="e">
        <f ca="1">_xludf.ifna(VLOOKUP(G1478,Proyectos!$E$1:$H$4,4,0),"")</f>
        <v>#NAME?</v>
      </c>
      <c r="G1477" s="26" t="s">
        <v>5190</v>
      </c>
      <c r="H1477" s="32">
        <v>0.5</v>
      </c>
      <c r="I1477" s="31" t="s">
        <v>25</v>
      </c>
      <c r="J1477" s="31" t="s">
        <v>5904</v>
      </c>
      <c r="K1477" s="32" t="str">
        <f t="shared" si="5"/>
        <v>Interno</v>
      </c>
      <c r="L1477" s="32" t="e">
        <f ca="1">_xludf.ifna(VLOOKUP(G1478,Proyectos!$E$1:$N$4,10,0),"")</f>
        <v>#NAME?</v>
      </c>
      <c r="M1477" s="32"/>
      <c r="N1477" s="31"/>
      <c r="O1477" s="31"/>
      <c r="P1477" s="33"/>
      <c r="Q1477" s="33"/>
    </row>
    <row r="1478" spans="1:17" ht="16.5" customHeight="1" x14ac:dyDescent="0.2">
      <c r="A1478" s="26" t="s">
        <v>4008</v>
      </c>
      <c r="B1478" s="26" t="s">
        <v>4009</v>
      </c>
      <c r="C1478" s="26" t="s">
        <v>98</v>
      </c>
      <c r="D1478" s="26" t="s">
        <v>99</v>
      </c>
      <c r="E1478" s="26" t="s">
        <v>108</v>
      </c>
      <c r="F1478" s="28" t="e">
        <f ca="1">_xludf.ifna(VLOOKUP(G1479,Proyectos!$E$1:$H$4,4,0),"")</f>
        <v>#NAME?</v>
      </c>
      <c r="G1478" s="26" t="s">
        <v>5597</v>
      </c>
      <c r="H1478" s="32">
        <v>0.5</v>
      </c>
      <c r="I1478" s="31" t="s">
        <v>25</v>
      </c>
      <c r="J1478" s="32"/>
      <c r="K1478" s="32" t="str">
        <f t="shared" si="5"/>
        <v>Externo</v>
      </c>
      <c r="L1478" s="32" t="e">
        <f ca="1">_xludf.ifna(VLOOKUP(G1479,Proyectos!$E$1:$N$4,10,0),"")</f>
        <v>#NAME?</v>
      </c>
      <c r="M1478" s="32"/>
      <c r="N1478" s="31"/>
      <c r="O1478" s="31"/>
      <c r="P1478" s="33"/>
      <c r="Q1478" s="33"/>
    </row>
    <row r="1479" spans="1:17" ht="16.5" customHeight="1" x14ac:dyDescent="0.2">
      <c r="A1479" s="26"/>
      <c r="B1479" s="26"/>
      <c r="C1479" s="26"/>
      <c r="D1479" s="26"/>
      <c r="E1479" s="26"/>
      <c r="F1479" s="28" t="e">
        <f ca="1">_xludf.ifna(VLOOKUP(G1480,Proyectos!$E$1:$H$4,4,0),"")</f>
        <v>#NAME?</v>
      </c>
      <c r="G1479" s="26"/>
      <c r="H1479" s="32"/>
      <c r="I1479" s="32"/>
      <c r="J1479" s="32"/>
      <c r="K1479" s="32"/>
      <c r="L1479" s="32" t="e">
        <f ca="1">_xludf.ifna(VLOOKUP(G1480,Proyectos!$E$1:$N$4,10,0),"")</f>
        <v>#NAME?</v>
      </c>
      <c r="M1479" s="32"/>
      <c r="N1479" s="32"/>
      <c r="O1479" s="32"/>
      <c r="P1479" s="33"/>
      <c r="Q1479" s="33"/>
    </row>
    <row r="1480" spans="1:17" ht="16.5" customHeight="1" x14ac:dyDescent="0.2">
      <c r="A1480" s="26"/>
      <c r="B1480" s="26"/>
      <c r="C1480" s="26"/>
      <c r="D1480" s="26"/>
      <c r="E1480" s="26"/>
      <c r="F1480" s="28" t="e">
        <f ca="1">_xludf.ifna(VLOOKUP(G1481,Proyectos!$E$1:$H$4,4,0),"")</f>
        <v>#NAME?</v>
      </c>
      <c r="G1480" s="26"/>
      <c r="H1480" s="32"/>
      <c r="I1480" s="32"/>
      <c r="J1480" s="32"/>
      <c r="K1480" s="32"/>
      <c r="L1480" s="32" t="e">
        <f ca="1">_xludf.ifna(VLOOKUP(G1481,Proyectos!$E$1:$N$4,10,0),"")</f>
        <v>#NAME?</v>
      </c>
      <c r="M1480" s="32"/>
      <c r="N1480" s="32"/>
      <c r="O1480" s="32"/>
      <c r="P1480" s="33"/>
      <c r="Q1480" s="33"/>
    </row>
    <row r="1481" spans="1:17" ht="16.5" customHeight="1" x14ac:dyDescent="0.2">
      <c r="A1481" s="26"/>
      <c r="B1481" s="26"/>
      <c r="C1481" s="26"/>
      <c r="D1481" s="26"/>
      <c r="E1481" s="26"/>
      <c r="F1481" s="28" t="e">
        <f ca="1">_xludf.ifna(VLOOKUP(G1482,Proyectos!$E$1:$H$4,4,0),"")</f>
        <v>#NAME?</v>
      </c>
      <c r="G1481" s="26"/>
      <c r="H1481" s="32"/>
      <c r="I1481" s="32"/>
      <c r="J1481" s="32"/>
      <c r="K1481" s="32"/>
      <c r="L1481" s="32" t="e">
        <f ca="1">_xludf.ifna(VLOOKUP(G1482,Proyectos!$E$1:$N$4,10,0),"")</f>
        <v>#NAME?</v>
      </c>
      <c r="M1481" s="32"/>
      <c r="N1481" s="32"/>
      <c r="O1481" s="32"/>
      <c r="P1481" s="33"/>
      <c r="Q1481" s="33"/>
    </row>
    <row r="1482" spans="1:17" ht="16.5" customHeight="1" x14ac:dyDescent="0.2">
      <c r="A1482" s="26"/>
      <c r="B1482" s="26"/>
      <c r="C1482" s="26"/>
      <c r="D1482" s="26"/>
      <c r="E1482" s="26"/>
      <c r="F1482" s="28" t="e">
        <f ca="1">_xludf.ifna(VLOOKUP(G1483,Proyectos!$E$1:$H$4,4,0),"")</f>
        <v>#NAME?</v>
      </c>
      <c r="G1482" s="26"/>
      <c r="H1482" s="32"/>
      <c r="I1482" s="32"/>
      <c r="J1482" s="32"/>
      <c r="K1482" s="32"/>
      <c r="L1482" s="32" t="e">
        <f ca="1">_xludf.ifna(VLOOKUP(G1483,Proyectos!$E$1:$N$4,10,0),"")</f>
        <v>#NAME?</v>
      </c>
      <c r="M1482" s="32"/>
      <c r="N1482" s="32"/>
      <c r="O1482" s="32"/>
      <c r="P1482" s="33"/>
      <c r="Q1482" s="33"/>
    </row>
    <row r="1483" spans="1:17" ht="16.5" customHeight="1" x14ac:dyDescent="0.2">
      <c r="A1483" s="26"/>
      <c r="B1483" s="26"/>
      <c r="C1483" s="26"/>
      <c r="D1483" s="26"/>
      <c r="E1483" s="26"/>
      <c r="F1483" s="28" t="e">
        <f ca="1">_xludf.ifna(VLOOKUP(G1484,Proyectos!$E$1:$H$4,4,0),"")</f>
        <v>#NAME?</v>
      </c>
      <c r="G1483" s="26"/>
      <c r="H1483" s="32"/>
      <c r="I1483" s="32"/>
      <c r="J1483" s="32"/>
      <c r="K1483" s="32"/>
      <c r="L1483" s="32" t="e">
        <f ca="1">_xludf.ifna(VLOOKUP(G1484,Proyectos!$E$1:$N$4,10,0),"")</f>
        <v>#NAME?</v>
      </c>
      <c r="M1483" s="32"/>
      <c r="N1483" s="32"/>
      <c r="O1483" s="32"/>
      <c r="P1483" s="33"/>
      <c r="Q1483" s="33"/>
    </row>
    <row r="1484" spans="1:17" ht="16.5" customHeight="1" x14ac:dyDescent="0.2">
      <c r="A1484" s="26"/>
      <c r="B1484" s="26"/>
      <c r="C1484" s="26"/>
      <c r="D1484" s="26"/>
      <c r="E1484" s="26"/>
      <c r="F1484" s="28" t="e">
        <f ca="1">_xludf.ifna(VLOOKUP(G1485,Proyectos!$E$1:$H$4,4,0),"")</f>
        <v>#NAME?</v>
      </c>
      <c r="G1484" s="26"/>
      <c r="H1484" s="32"/>
      <c r="I1484" s="32"/>
      <c r="J1484" s="32"/>
      <c r="K1484" s="32"/>
      <c r="L1484" s="32" t="e">
        <f ca="1">_xludf.ifna(VLOOKUP(G1485,Proyectos!$E$1:$N$4,10,0),"")</f>
        <v>#NAME?</v>
      </c>
      <c r="M1484" s="32"/>
      <c r="N1484" s="32"/>
      <c r="O1484" s="32"/>
      <c r="P1484" s="33"/>
      <c r="Q1484" s="33"/>
    </row>
    <row r="1485" spans="1:17" ht="16.5" customHeight="1" x14ac:dyDescent="0.2">
      <c r="A1485" s="26"/>
      <c r="B1485" s="26"/>
      <c r="C1485" s="26"/>
      <c r="D1485" s="26"/>
      <c r="E1485" s="26"/>
      <c r="F1485" s="28" t="e">
        <f ca="1">_xludf.ifna(VLOOKUP(G1486,Proyectos!$E$1:$H$4,4,0),"")</f>
        <v>#NAME?</v>
      </c>
      <c r="G1485" s="26"/>
      <c r="H1485" s="32"/>
      <c r="I1485" s="32"/>
      <c r="J1485" s="32"/>
      <c r="K1485" s="32"/>
      <c r="L1485" s="32" t="e">
        <f ca="1">_xludf.ifna(VLOOKUP(G1486,Proyectos!$E$1:$N$4,10,0),"")</f>
        <v>#NAME?</v>
      </c>
      <c r="M1485" s="32"/>
      <c r="N1485" s="32"/>
      <c r="O1485" s="32"/>
      <c r="P1485" s="33"/>
      <c r="Q1485" s="33"/>
    </row>
    <row r="1486" spans="1:17" ht="16.5" customHeight="1" x14ac:dyDescent="0.2">
      <c r="A1486" s="26"/>
      <c r="B1486" s="26"/>
      <c r="C1486" s="26"/>
      <c r="D1486" s="26"/>
      <c r="E1486" s="26"/>
      <c r="F1486" s="28" t="e">
        <f ca="1">_xludf.ifna(VLOOKUP(G1487,Proyectos!$E$1:$H$4,4,0),"")</f>
        <v>#NAME?</v>
      </c>
      <c r="G1486" s="26"/>
      <c r="H1486" s="32"/>
      <c r="I1486" s="32"/>
      <c r="J1486" s="32"/>
      <c r="K1486" s="32"/>
      <c r="L1486" s="32" t="e">
        <f ca="1">_xludf.ifna(VLOOKUP(G1487,Proyectos!$E$1:$N$4,10,0),"")</f>
        <v>#NAME?</v>
      </c>
      <c r="M1486" s="32"/>
      <c r="N1486" s="32"/>
      <c r="O1486" s="32"/>
      <c r="P1486" s="33"/>
      <c r="Q1486" s="33"/>
    </row>
    <row r="1487" spans="1:17" ht="16.5" customHeight="1" x14ac:dyDescent="0.2">
      <c r="A1487" s="26"/>
      <c r="B1487" s="26"/>
      <c r="C1487" s="26"/>
      <c r="D1487" s="26"/>
      <c r="E1487" s="26"/>
      <c r="F1487" s="28" t="e">
        <f ca="1">_xludf.ifna(VLOOKUP(G1488,Proyectos!$E$1:$H$4,4,0),"")</f>
        <v>#NAME?</v>
      </c>
      <c r="G1487" s="26"/>
      <c r="H1487" s="32"/>
      <c r="I1487" s="32"/>
      <c r="J1487" s="32"/>
      <c r="K1487" s="32"/>
      <c r="L1487" s="32" t="e">
        <f ca="1">_xludf.ifna(VLOOKUP(G1488,Proyectos!$E$1:$N$4,10,0),"")</f>
        <v>#NAME?</v>
      </c>
      <c r="M1487" s="32"/>
      <c r="N1487" s="32"/>
      <c r="O1487" s="32"/>
      <c r="P1487" s="33"/>
      <c r="Q1487" s="33"/>
    </row>
    <row r="1488" spans="1:17" ht="16.5" customHeight="1" x14ac:dyDescent="0.2">
      <c r="A1488" s="26"/>
      <c r="B1488" s="26"/>
      <c r="C1488" s="26"/>
      <c r="D1488" s="26"/>
      <c r="E1488" s="26"/>
      <c r="F1488" s="28" t="e">
        <f ca="1">_xludf.ifna(VLOOKUP(G1489,Proyectos!$E$1:$H$4,4,0),"")</f>
        <v>#NAME?</v>
      </c>
      <c r="G1488" s="26"/>
      <c r="H1488" s="32"/>
      <c r="I1488" s="32"/>
      <c r="J1488" s="32"/>
      <c r="K1488" s="32"/>
      <c r="L1488" s="32" t="e">
        <f ca="1">_xludf.ifna(VLOOKUP(G1489,Proyectos!$E$1:$N$4,10,0),"")</f>
        <v>#NAME?</v>
      </c>
      <c r="M1488" s="32"/>
      <c r="N1488" s="32"/>
      <c r="O1488" s="32"/>
      <c r="P1488" s="33"/>
      <c r="Q1488" s="33"/>
    </row>
    <row r="1489" spans="1:17" ht="16.5" customHeight="1" x14ac:dyDescent="0.2">
      <c r="A1489" s="26"/>
      <c r="B1489" s="26"/>
      <c r="C1489" s="26"/>
      <c r="D1489" s="26"/>
      <c r="E1489" s="26"/>
      <c r="F1489" s="28" t="e">
        <f ca="1">_xludf.ifna(VLOOKUP(G1490,Proyectos!$E$1:$H$4,4,0),"")</f>
        <v>#NAME?</v>
      </c>
      <c r="G1489" s="26"/>
      <c r="H1489" s="32"/>
      <c r="I1489" s="32"/>
      <c r="J1489" s="32"/>
      <c r="K1489" s="32"/>
      <c r="L1489" s="32" t="e">
        <f ca="1">_xludf.ifna(VLOOKUP(G1490,Proyectos!$E$1:$N$4,10,0),"")</f>
        <v>#NAME?</v>
      </c>
      <c r="M1489" s="32"/>
      <c r="N1489" s="32"/>
      <c r="O1489" s="32"/>
      <c r="P1489" s="33"/>
      <c r="Q1489" s="33"/>
    </row>
    <row r="1490" spans="1:17" ht="16.5" customHeight="1" x14ac:dyDescent="0.2">
      <c r="A1490" s="26"/>
      <c r="B1490" s="26"/>
      <c r="C1490" s="26"/>
      <c r="D1490" s="26"/>
      <c r="E1490" s="26"/>
      <c r="F1490" s="28" t="e">
        <f ca="1">_xludf.ifna(VLOOKUP(G1491,Proyectos!$E$1:$H$4,4,0),"")</f>
        <v>#NAME?</v>
      </c>
      <c r="G1490" s="26"/>
      <c r="H1490" s="32"/>
      <c r="I1490" s="32"/>
      <c r="J1490" s="32"/>
      <c r="K1490" s="32"/>
      <c r="L1490" s="32" t="e">
        <f ca="1">_xludf.ifna(VLOOKUP(G1491,Proyectos!$E$1:$N$4,10,0),"")</f>
        <v>#NAME?</v>
      </c>
      <c r="M1490" s="32"/>
      <c r="N1490" s="32"/>
      <c r="O1490" s="32"/>
      <c r="P1490" s="33"/>
      <c r="Q1490" s="33"/>
    </row>
    <row r="1491" spans="1:17" ht="16.5" customHeight="1" x14ac:dyDescent="0.2">
      <c r="A1491" s="26"/>
      <c r="B1491" s="26"/>
      <c r="C1491" s="26"/>
      <c r="D1491" s="26"/>
      <c r="E1491" s="26"/>
      <c r="F1491" s="28" t="e">
        <f ca="1">_xludf.ifna(VLOOKUP(G1492,Proyectos!$E$1:$H$4,4,0),"")</f>
        <v>#NAME?</v>
      </c>
      <c r="G1491" s="26"/>
      <c r="H1491" s="32"/>
      <c r="I1491" s="32"/>
      <c r="J1491" s="32"/>
      <c r="K1491" s="32"/>
      <c r="L1491" s="32" t="e">
        <f ca="1">_xludf.ifna(VLOOKUP(G1492,Proyectos!$E$1:$N$4,10,0),"")</f>
        <v>#NAME?</v>
      </c>
      <c r="M1491" s="32"/>
      <c r="N1491" s="32"/>
      <c r="O1491" s="32"/>
      <c r="P1491" s="33"/>
      <c r="Q1491" s="33"/>
    </row>
    <row r="1492" spans="1:17" ht="16.5" customHeight="1" x14ac:dyDescent="0.2">
      <c r="A1492" s="26"/>
      <c r="B1492" s="26"/>
      <c r="C1492" s="26"/>
      <c r="D1492" s="26"/>
      <c r="E1492" s="26"/>
      <c r="F1492" s="28" t="e">
        <f ca="1">_xludf.ifna(VLOOKUP(G1493,Proyectos!$E$1:$H$4,4,0),"")</f>
        <v>#NAME?</v>
      </c>
      <c r="G1492" s="26"/>
      <c r="H1492" s="32"/>
      <c r="I1492" s="32"/>
      <c r="J1492" s="32"/>
      <c r="K1492" s="32"/>
      <c r="L1492" s="32" t="e">
        <f ca="1">_xludf.ifna(VLOOKUP(G1493,Proyectos!$E$1:$N$4,10,0),"")</f>
        <v>#NAME?</v>
      </c>
      <c r="M1492" s="32"/>
      <c r="N1492" s="32"/>
      <c r="O1492" s="32"/>
      <c r="P1492" s="33"/>
      <c r="Q1492" s="33"/>
    </row>
    <row r="1493" spans="1:17" ht="16.5" customHeight="1" x14ac:dyDescent="0.2">
      <c r="A1493" s="26"/>
      <c r="B1493" s="26"/>
      <c r="C1493" s="26"/>
      <c r="D1493" s="26"/>
      <c r="E1493" s="26"/>
      <c r="F1493" s="28" t="e">
        <f ca="1">_xludf.ifna(VLOOKUP(G1494,Proyectos!$E$1:$H$4,4,0),"")</f>
        <v>#NAME?</v>
      </c>
      <c r="G1493" s="26"/>
      <c r="H1493" s="32"/>
      <c r="I1493" s="32"/>
      <c r="J1493" s="32"/>
      <c r="K1493" s="32"/>
      <c r="L1493" s="32" t="e">
        <f ca="1">_xludf.ifna(VLOOKUP(G1494,Proyectos!$E$1:$N$4,10,0),"")</f>
        <v>#NAME?</v>
      </c>
      <c r="M1493" s="32"/>
      <c r="N1493" s="32"/>
      <c r="O1493" s="32"/>
      <c r="P1493" s="33"/>
      <c r="Q1493" s="33"/>
    </row>
    <row r="1494" spans="1:17" ht="16.5" customHeight="1" x14ac:dyDescent="0.2">
      <c r="A1494" s="26"/>
      <c r="B1494" s="26"/>
      <c r="C1494" s="26"/>
      <c r="D1494" s="26"/>
      <c r="E1494" s="26"/>
      <c r="F1494" s="28" t="e">
        <f ca="1">_xludf.ifna(VLOOKUP(G1495,Proyectos!$E$1:$H$4,4,0),"")</f>
        <v>#NAME?</v>
      </c>
      <c r="G1494" s="26"/>
      <c r="H1494" s="32"/>
      <c r="I1494" s="32"/>
      <c r="J1494" s="32"/>
      <c r="K1494" s="32"/>
      <c r="L1494" s="32" t="e">
        <f ca="1">_xludf.ifna(VLOOKUP(G1495,Proyectos!$E$1:$N$4,10,0),"")</f>
        <v>#NAME?</v>
      </c>
      <c r="M1494" s="32"/>
      <c r="N1494" s="32"/>
      <c r="O1494" s="32"/>
      <c r="P1494" s="33"/>
      <c r="Q1494" s="33"/>
    </row>
    <row r="1495" spans="1:17" ht="16.5" customHeight="1" x14ac:dyDescent="0.2">
      <c r="A1495" s="26"/>
      <c r="B1495" s="26"/>
      <c r="C1495" s="26"/>
      <c r="D1495" s="26"/>
      <c r="E1495" s="26"/>
      <c r="F1495" s="28" t="e">
        <f ca="1">_xludf.ifna(VLOOKUP(G1496,Proyectos!$E$1:$H$4,4,0),"")</f>
        <v>#NAME?</v>
      </c>
      <c r="G1495" s="26"/>
      <c r="H1495" s="32"/>
      <c r="I1495" s="32"/>
      <c r="J1495" s="32"/>
      <c r="K1495" s="32"/>
      <c r="L1495" s="32" t="e">
        <f ca="1">_xludf.ifna(VLOOKUP(G1496,Proyectos!$E$1:$N$4,10,0),"")</f>
        <v>#NAME?</v>
      </c>
      <c r="M1495" s="32"/>
      <c r="N1495" s="32"/>
      <c r="O1495" s="32"/>
      <c r="P1495" s="33"/>
      <c r="Q1495" s="33"/>
    </row>
    <row r="1496" spans="1:17" ht="16.5" customHeight="1" x14ac:dyDescent="0.2">
      <c r="A1496" s="26"/>
      <c r="B1496" s="26"/>
      <c r="C1496" s="26"/>
      <c r="D1496" s="26"/>
      <c r="E1496" s="26"/>
      <c r="F1496" s="28" t="e">
        <f ca="1">_xludf.ifna(VLOOKUP(G1497,Proyectos!$E$1:$H$4,4,0),"")</f>
        <v>#NAME?</v>
      </c>
      <c r="G1496" s="26"/>
      <c r="H1496" s="32"/>
      <c r="I1496" s="32"/>
      <c r="J1496" s="32"/>
      <c r="K1496" s="32"/>
      <c r="L1496" s="32" t="e">
        <f ca="1">_xludf.ifna(VLOOKUP(G1497,Proyectos!$E$1:$N$4,10,0),"")</f>
        <v>#NAME?</v>
      </c>
      <c r="M1496" s="32"/>
      <c r="N1496" s="32"/>
      <c r="O1496" s="32"/>
      <c r="P1496" s="33"/>
      <c r="Q1496" s="33"/>
    </row>
    <row r="1497" spans="1:17" ht="16.5" customHeight="1" x14ac:dyDescent="0.2">
      <c r="A1497" s="26"/>
      <c r="B1497" s="26"/>
      <c r="C1497" s="26"/>
      <c r="D1497" s="26"/>
      <c r="E1497" s="26"/>
      <c r="F1497" s="28" t="e">
        <f ca="1">_xludf.ifna(VLOOKUP(G1498,Proyectos!$E$1:$H$4,4,0),"")</f>
        <v>#NAME?</v>
      </c>
      <c r="G1497" s="26"/>
      <c r="H1497" s="32"/>
      <c r="I1497" s="32"/>
      <c r="J1497" s="32"/>
      <c r="K1497" s="32"/>
      <c r="L1497" s="32" t="e">
        <f ca="1">_xludf.ifna(VLOOKUP(G1498,Proyectos!$E$1:$N$4,10,0),"")</f>
        <v>#NAME?</v>
      </c>
      <c r="M1497" s="32"/>
      <c r="N1497" s="32"/>
      <c r="O1497" s="32"/>
      <c r="P1497" s="33"/>
      <c r="Q1497" s="33"/>
    </row>
    <row r="1498" spans="1:17" ht="16.5" customHeight="1" x14ac:dyDescent="0.2">
      <c r="A1498" s="26"/>
      <c r="B1498" s="26"/>
      <c r="C1498" s="26"/>
      <c r="D1498" s="26"/>
      <c r="E1498" s="26"/>
      <c r="F1498" s="28" t="e">
        <f ca="1">_xludf.ifna(VLOOKUP(G1499,Proyectos!$E$1:$H$4,4,0),"")</f>
        <v>#NAME?</v>
      </c>
      <c r="G1498" s="26"/>
      <c r="H1498" s="32"/>
      <c r="I1498" s="32"/>
      <c r="J1498" s="32"/>
      <c r="K1498" s="32"/>
      <c r="L1498" s="32" t="e">
        <f ca="1">_xludf.ifna(VLOOKUP(G1499,Proyectos!$E$1:$N$4,10,0),"")</f>
        <v>#NAME?</v>
      </c>
      <c r="M1498" s="32"/>
      <c r="N1498" s="32"/>
      <c r="O1498" s="32"/>
      <c r="P1498" s="33"/>
      <c r="Q1498" s="33"/>
    </row>
    <row r="1499" spans="1:17" ht="16.5" customHeight="1" x14ac:dyDescent="0.2">
      <c r="A1499" s="26"/>
      <c r="B1499" s="26"/>
      <c r="C1499" s="26"/>
      <c r="D1499" s="26"/>
      <c r="E1499" s="26"/>
      <c r="F1499" s="28" t="e">
        <f ca="1">_xludf.ifna(VLOOKUP(G1500,Proyectos!$E$1:$H$4,4,0),"")</f>
        <v>#NAME?</v>
      </c>
      <c r="G1499" s="26"/>
      <c r="H1499" s="32"/>
      <c r="I1499" s="32"/>
      <c r="J1499" s="32"/>
      <c r="K1499" s="32"/>
      <c r="L1499" s="32" t="e">
        <f ca="1">_xludf.ifna(VLOOKUP(G1500,Proyectos!$E$1:$N$4,10,0),"")</f>
        <v>#NAME?</v>
      </c>
      <c r="M1499" s="32"/>
      <c r="N1499" s="32"/>
      <c r="O1499" s="32"/>
      <c r="P1499" s="33"/>
      <c r="Q1499" s="33"/>
    </row>
    <row r="1500" spans="1:17" ht="16.5" customHeight="1" x14ac:dyDescent="0.2">
      <c r="A1500" s="26"/>
      <c r="B1500" s="26"/>
      <c r="C1500" s="26"/>
      <c r="D1500" s="26"/>
      <c r="E1500" s="26"/>
      <c r="F1500" s="28" t="e">
        <f ca="1">_xludf.ifna(VLOOKUP(G1501,Proyectos!$E$1:$H$4,4,0),"")</f>
        <v>#NAME?</v>
      </c>
      <c r="G1500" s="26"/>
      <c r="H1500" s="32"/>
      <c r="I1500" s="32"/>
      <c r="J1500" s="32"/>
      <c r="K1500" s="32"/>
      <c r="L1500" s="32" t="e">
        <f ca="1">_xludf.ifna(VLOOKUP(G1501,Proyectos!$E$1:$N$4,10,0),"")</f>
        <v>#NAME?</v>
      </c>
      <c r="M1500" s="32"/>
      <c r="N1500" s="32"/>
      <c r="O1500" s="32"/>
      <c r="P1500" s="33"/>
      <c r="Q1500" s="33"/>
    </row>
    <row r="1501" spans="1:17" ht="16.5" customHeight="1" x14ac:dyDescent="0.2">
      <c r="A1501" s="26"/>
      <c r="B1501" s="26"/>
      <c r="C1501" s="26"/>
      <c r="D1501" s="26"/>
      <c r="E1501" s="26"/>
      <c r="F1501" s="28" t="e">
        <f ca="1">_xludf.ifna(VLOOKUP(G1502,Proyectos!$E$1:$H$4,4,0),"")</f>
        <v>#NAME?</v>
      </c>
      <c r="G1501" s="26"/>
      <c r="H1501" s="32"/>
      <c r="I1501" s="32"/>
      <c r="J1501" s="32"/>
      <c r="K1501" s="32"/>
      <c r="L1501" s="32" t="e">
        <f ca="1">_xludf.ifna(VLOOKUP(G1502,Proyectos!$E$1:$N$4,10,0),"")</f>
        <v>#NAME?</v>
      </c>
      <c r="M1501" s="32"/>
      <c r="N1501" s="32"/>
      <c r="O1501" s="32"/>
      <c r="P1501" s="33"/>
      <c r="Q1501" s="33"/>
    </row>
    <row r="1502" spans="1:17" ht="16.5" customHeight="1" x14ac:dyDescent="0.2">
      <c r="A1502" s="26"/>
      <c r="B1502" s="26"/>
      <c r="C1502" s="26"/>
      <c r="D1502" s="26"/>
      <c r="E1502" s="26"/>
      <c r="F1502" s="28" t="e">
        <f ca="1">_xludf.ifna(VLOOKUP(G1503,Proyectos!$E$1:$H$4,4,0),"")</f>
        <v>#NAME?</v>
      </c>
      <c r="G1502" s="26"/>
      <c r="H1502" s="32"/>
      <c r="I1502" s="32"/>
      <c r="J1502" s="32"/>
      <c r="K1502" s="32"/>
      <c r="L1502" s="32" t="e">
        <f ca="1">_xludf.ifna(VLOOKUP(G1503,Proyectos!$E$1:$N$4,10,0),"")</f>
        <v>#NAME?</v>
      </c>
      <c r="M1502" s="32"/>
      <c r="N1502" s="32"/>
      <c r="O1502" s="32"/>
      <c r="P1502" s="33"/>
      <c r="Q1502" s="33"/>
    </row>
    <row r="1503" spans="1:17" ht="16.5" customHeight="1" x14ac:dyDescent="0.2">
      <c r="A1503" s="26"/>
      <c r="B1503" s="26"/>
      <c r="C1503" s="26"/>
      <c r="D1503" s="26"/>
      <c r="E1503" s="26"/>
      <c r="F1503" s="28" t="e">
        <f ca="1">_xludf.ifna(VLOOKUP(G1504,Proyectos!$E$1:$H$4,4,0),"")</f>
        <v>#NAME?</v>
      </c>
      <c r="G1503" s="26"/>
      <c r="H1503" s="32"/>
      <c r="I1503" s="32"/>
      <c r="J1503" s="32"/>
      <c r="K1503" s="32"/>
      <c r="L1503" s="32" t="e">
        <f ca="1">_xludf.ifna(VLOOKUP(G1504,Proyectos!$E$1:$N$4,10,0),"")</f>
        <v>#NAME?</v>
      </c>
      <c r="M1503" s="32"/>
      <c r="N1503" s="32"/>
      <c r="O1503" s="32"/>
      <c r="P1503" s="33"/>
      <c r="Q1503" s="33"/>
    </row>
    <row r="1504" spans="1:17" ht="16.5" customHeight="1" x14ac:dyDescent="0.2">
      <c r="A1504" s="26"/>
      <c r="B1504" s="26"/>
      <c r="C1504" s="26"/>
      <c r="D1504" s="26"/>
      <c r="E1504" s="26"/>
      <c r="F1504" s="28" t="e">
        <f ca="1">_xludf.ifna(VLOOKUP(G1505,Proyectos!$E$1:$H$4,4,0),"")</f>
        <v>#NAME?</v>
      </c>
      <c r="G1504" s="26"/>
      <c r="H1504" s="32"/>
      <c r="I1504" s="32"/>
      <c r="J1504" s="32"/>
      <c r="K1504" s="32"/>
      <c r="L1504" s="32" t="e">
        <f ca="1">_xludf.ifna(VLOOKUP(G1505,Proyectos!$E$1:$N$4,10,0),"")</f>
        <v>#NAME?</v>
      </c>
      <c r="M1504" s="32"/>
      <c r="N1504" s="32"/>
      <c r="O1504" s="32"/>
      <c r="P1504" s="33"/>
      <c r="Q1504" s="33"/>
    </row>
    <row r="1505" spans="1:17" ht="16.5" customHeight="1" x14ac:dyDescent="0.2">
      <c r="A1505" s="26"/>
      <c r="B1505" s="26"/>
      <c r="C1505" s="26"/>
      <c r="D1505" s="26"/>
      <c r="E1505" s="26"/>
      <c r="F1505" s="28" t="e">
        <f ca="1">_xludf.ifna(VLOOKUP(G1506,Proyectos!$E$1:$H$4,4,0),"")</f>
        <v>#NAME?</v>
      </c>
      <c r="G1505" s="26"/>
      <c r="H1505" s="32"/>
      <c r="I1505" s="32"/>
      <c r="J1505" s="32"/>
      <c r="K1505" s="32"/>
      <c r="L1505" s="32" t="e">
        <f ca="1">_xludf.ifna(VLOOKUP(G1506,Proyectos!$E$1:$N$4,10,0),"")</f>
        <v>#NAME?</v>
      </c>
      <c r="M1505" s="32"/>
      <c r="N1505" s="32"/>
      <c r="O1505" s="32"/>
      <c r="P1505" s="33"/>
      <c r="Q1505" s="33"/>
    </row>
    <row r="1506" spans="1:17" ht="16.5" customHeight="1" x14ac:dyDescent="0.2">
      <c r="A1506" s="26"/>
      <c r="B1506" s="26"/>
      <c r="C1506" s="26"/>
      <c r="D1506" s="26"/>
      <c r="E1506" s="26"/>
      <c r="F1506" s="28" t="e">
        <f ca="1">_xludf.ifna(VLOOKUP(G1507,Proyectos!$E$1:$H$4,4,0),"")</f>
        <v>#NAME?</v>
      </c>
      <c r="G1506" s="26"/>
      <c r="H1506" s="32"/>
      <c r="I1506" s="32"/>
      <c r="J1506" s="32"/>
      <c r="K1506" s="32"/>
      <c r="L1506" s="32" t="e">
        <f ca="1">_xludf.ifna(VLOOKUP(G1507,Proyectos!$E$1:$N$4,10,0),"")</f>
        <v>#NAME?</v>
      </c>
      <c r="M1506" s="32"/>
      <c r="N1506" s="32"/>
      <c r="O1506" s="32"/>
      <c r="P1506" s="33"/>
      <c r="Q1506" s="33"/>
    </row>
    <row r="1507" spans="1:17" ht="16.5" customHeight="1" x14ac:dyDescent="0.2">
      <c r="A1507" s="26"/>
      <c r="B1507" s="26"/>
      <c r="C1507" s="26"/>
      <c r="D1507" s="26"/>
      <c r="E1507" s="26"/>
      <c r="F1507" s="28" t="e">
        <f ca="1">_xludf.ifna(VLOOKUP(G1508,Proyectos!$E$1:$H$4,4,0),"")</f>
        <v>#NAME?</v>
      </c>
      <c r="G1507" s="26"/>
      <c r="H1507" s="32"/>
      <c r="I1507" s="32"/>
      <c r="J1507" s="32"/>
      <c r="K1507" s="32"/>
      <c r="L1507" s="32" t="e">
        <f ca="1">_xludf.ifna(VLOOKUP(G1508,Proyectos!$E$1:$N$4,10,0),"")</f>
        <v>#NAME?</v>
      </c>
      <c r="M1507" s="32"/>
      <c r="N1507" s="32"/>
      <c r="O1507" s="32"/>
      <c r="P1507" s="33"/>
      <c r="Q1507" s="33"/>
    </row>
    <row r="1508" spans="1:17" ht="16.5" customHeight="1" x14ac:dyDescent="0.2">
      <c r="A1508" s="26"/>
      <c r="B1508" s="26"/>
      <c r="C1508" s="26"/>
      <c r="D1508" s="26"/>
      <c r="E1508" s="26"/>
      <c r="F1508" s="28" t="e">
        <f ca="1">_xludf.ifna(VLOOKUP(G1509,Proyectos!$E$1:$H$4,4,0),"")</f>
        <v>#NAME?</v>
      </c>
      <c r="G1508" s="26"/>
      <c r="H1508" s="32"/>
      <c r="I1508" s="32"/>
      <c r="J1508" s="32"/>
      <c r="K1508" s="32"/>
      <c r="L1508" s="32" t="e">
        <f ca="1">_xludf.ifna(VLOOKUP(G1509,Proyectos!$E$1:$N$4,10,0),"")</f>
        <v>#NAME?</v>
      </c>
      <c r="M1508" s="32"/>
      <c r="N1508" s="32" t="s">
        <v>5905</v>
      </c>
      <c r="O1508" s="32"/>
      <c r="P1508" s="33"/>
      <c r="Q1508" s="33"/>
    </row>
    <row r="1509" spans="1:17" ht="16.5" customHeight="1" x14ac:dyDescent="0.2">
      <c r="A1509" s="26"/>
      <c r="B1509" s="26"/>
      <c r="C1509" s="26"/>
      <c r="D1509" s="26"/>
      <c r="E1509" s="26"/>
      <c r="F1509" s="28" t="e">
        <f ca="1">_xludf.ifna(VLOOKUP(G1510,Proyectos!$E$1:$H$4,4,0),"")</f>
        <v>#NAME?</v>
      </c>
      <c r="G1509" s="26"/>
      <c r="H1509" s="32"/>
      <c r="I1509" s="32"/>
      <c r="J1509" s="32"/>
      <c r="K1509" s="32"/>
      <c r="L1509" s="32" t="e">
        <f ca="1">_xludf.ifna(VLOOKUP(G1510,Proyectos!$E$1:$N$4,10,0),"")</f>
        <v>#NAME?</v>
      </c>
      <c r="M1509" s="32"/>
      <c r="N1509" s="32" t="s">
        <v>5905</v>
      </c>
      <c r="O1509" s="32"/>
      <c r="P1509" s="33"/>
      <c r="Q1509" s="33"/>
    </row>
    <row r="1510" spans="1:17" ht="16.5" customHeight="1" x14ac:dyDescent="0.2">
      <c r="A1510" s="26"/>
      <c r="B1510" s="26"/>
      <c r="C1510" s="26"/>
      <c r="D1510" s="26"/>
      <c r="E1510" s="26"/>
      <c r="F1510" s="28" t="e">
        <f ca="1">_xludf.ifna(VLOOKUP(G1511,Proyectos!$E$1:$H$4,4,0),"")</f>
        <v>#NAME?</v>
      </c>
      <c r="G1510" s="26"/>
      <c r="H1510" s="32"/>
      <c r="I1510" s="32"/>
      <c r="J1510" s="32"/>
      <c r="K1510" s="32"/>
      <c r="L1510" s="32" t="e">
        <f ca="1">_xludf.ifna(VLOOKUP(G1511,Proyectos!$E$1:$N$4,10,0),"")</f>
        <v>#NAME?</v>
      </c>
      <c r="M1510" s="32"/>
      <c r="N1510" s="32" t="s">
        <v>5905</v>
      </c>
      <c r="O1510" s="32"/>
      <c r="P1510" s="33"/>
      <c r="Q1510" s="33"/>
    </row>
    <row r="1511" spans="1:17" ht="16.5" customHeight="1" x14ac:dyDescent="0.2">
      <c r="A1511" s="26"/>
      <c r="B1511" s="26"/>
      <c r="C1511" s="26"/>
      <c r="D1511" s="26"/>
      <c r="E1511" s="26"/>
      <c r="F1511" s="28" t="e">
        <f ca="1">_xludf.ifna(VLOOKUP(G1512,Proyectos!$E$1:$H$4,4,0),"")</f>
        <v>#NAME?</v>
      </c>
      <c r="G1511" s="26"/>
      <c r="H1511" s="32"/>
      <c r="I1511" s="32"/>
      <c r="J1511" s="32"/>
      <c r="K1511" s="32"/>
      <c r="L1511" s="32" t="e">
        <f ca="1">_xludf.ifna(VLOOKUP(G1512,Proyectos!$E$1:$N$4,10,0),"")</f>
        <v>#NAME?</v>
      </c>
      <c r="M1511" s="32"/>
      <c r="N1511" s="32" t="s">
        <v>5905</v>
      </c>
      <c r="O1511" s="32"/>
      <c r="P1511" s="33"/>
      <c r="Q1511" s="33"/>
    </row>
    <row r="1512" spans="1:17" ht="16.5" customHeight="1" x14ac:dyDescent="0.2">
      <c r="A1512" s="26"/>
      <c r="B1512" s="26"/>
      <c r="C1512" s="26"/>
      <c r="D1512" s="26"/>
      <c r="E1512" s="26"/>
      <c r="F1512" s="28" t="e">
        <f ca="1">_xludf.ifna(VLOOKUP(G1513,Proyectos!$E$1:$H$4,4,0),"")</f>
        <v>#NAME?</v>
      </c>
      <c r="G1512" s="26"/>
      <c r="H1512" s="32"/>
      <c r="I1512" s="32"/>
      <c r="J1512" s="32"/>
      <c r="K1512" s="32"/>
      <c r="L1512" s="32" t="e">
        <f ca="1">_xludf.ifna(VLOOKUP(G1513,Proyectos!$E$1:$N$4,10,0),"")</f>
        <v>#NAME?</v>
      </c>
      <c r="M1512" s="32"/>
      <c r="N1512" s="32" t="s">
        <v>5905</v>
      </c>
      <c r="O1512" s="32"/>
      <c r="P1512" s="33"/>
      <c r="Q1512" s="33"/>
    </row>
    <row r="1513" spans="1:17" ht="16.5" customHeight="1" x14ac:dyDescent="0.2">
      <c r="A1513" s="26"/>
      <c r="B1513" s="26"/>
      <c r="C1513" s="26"/>
      <c r="D1513" s="26"/>
      <c r="E1513" s="26"/>
      <c r="F1513" s="28" t="e">
        <f ca="1">_xludf.ifna(VLOOKUP(G1514,Proyectos!$E$1:$H$4,4,0),"")</f>
        <v>#NAME?</v>
      </c>
      <c r="G1513" s="26"/>
      <c r="H1513" s="32"/>
      <c r="I1513" s="32"/>
      <c r="J1513" s="32"/>
      <c r="K1513" s="32"/>
      <c r="L1513" s="32" t="e">
        <f ca="1">_xludf.ifna(VLOOKUP(G1514,Proyectos!$E$1:$N$4,10,0),"")</f>
        <v>#NAME?</v>
      </c>
      <c r="M1513" s="32"/>
      <c r="N1513" s="32" t="s">
        <v>5905</v>
      </c>
      <c r="O1513" s="32"/>
      <c r="P1513" s="33"/>
      <c r="Q1513" s="33"/>
    </row>
    <row r="1514" spans="1:17" ht="16.5" customHeight="1" x14ac:dyDescent="0.2">
      <c r="A1514" s="26"/>
      <c r="B1514" s="26"/>
      <c r="C1514" s="26"/>
      <c r="D1514" s="26"/>
      <c r="E1514" s="26"/>
      <c r="F1514" s="28" t="e">
        <f ca="1">_xludf.ifna(VLOOKUP(G1515,Proyectos!$E$1:$H$4,4,0),"")</f>
        <v>#NAME?</v>
      </c>
      <c r="G1514" s="26"/>
      <c r="H1514" s="32"/>
      <c r="I1514" s="32"/>
      <c r="J1514" s="32"/>
      <c r="K1514" s="32"/>
      <c r="L1514" s="32" t="e">
        <f ca="1">_xludf.ifna(VLOOKUP(G1515,Proyectos!$E$1:$N$4,10,0),"")</f>
        <v>#NAME?</v>
      </c>
      <c r="M1514" s="32"/>
      <c r="N1514" s="32" t="s">
        <v>5905</v>
      </c>
      <c r="O1514" s="32"/>
      <c r="P1514" s="33"/>
      <c r="Q1514" s="33"/>
    </row>
    <row r="1515" spans="1:17" ht="16.5" customHeight="1" x14ac:dyDescent="0.2">
      <c r="A1515" s="26"/>
      <c r="B1515" s="26"/>
      <c r="C1515" s="26"/>
      <c r="D1515" s="26"/>
      <c r="E1515" s="26"/>
      <c r="F1515" s="28" t="e">
        <f ca="1">_xludf.ifna(VLOOKUP(G1516,Proyectos!$E$1:$H$4,4,0),"")</f>
        <v>#NAME?</v>
      </c>
      <c r="G1515" s="26"/>
      <c r="H1515" s="32"/>
      <c r="I1515" s="32"/>
      <c r="J1515" s="32"/>
      <c r="K1515" s="32"/>
      <c r="L1515" s="32" t="e">
        <f ca="1">_xludf.ifna(VLOOKUP(G1516,Proyectos!$E$1:$N$4,10,0),"")</f>
        <v>#NAME?</v>
      </c>
      <c r="M1515" s="32"/>
      <c r="N1515" s="32" t="s">
        <v>5905</v>
      </c>
      <c r="O1515" s="32"/>
      <c r="P1515" s="33"/>
      <c r="Q1515" s="33"/>
    </row>
    <row r="1516" spans="1:17" ht="16.5" customHeight="1" x14ac:dyDescent="0.2">
      <c r="A1516" s="26"/>
      <c r="B1516" s="26"/>
      <c r="C1516" s="26"/>
      <c r="D1516" s="26"/>
      <c r="E1516" s="26"/>
      <c r="F1516" s="28" t="e">
        <f ca="1">_xludf.ifna(VLOOKUP(G1517,Proyectos!$E$1:$H$4,4,0),"")</f>
        <v>#NAME?</v>
      </c>
      <c r="G1516" s="26"/>
      <c r="H1516" s="32"/>
      <c r="I1516" s="32"/>
      <c r="J1516" s="32"/>
      <c r="K1516" s="32"/>
      <c r="L1516" s="32" t="e">
        <f ca="1">_xludf.ifna(VLOOKUP(G1517,Proyectos!$E$1:$N$4,10,0),"")</f>
        <v>#NAME?</v>
      </c>
      <c r="M1516" s="32"/>
      <c r="N1516" s="32" t="s">
        <v>5905</v>
      </c>
      <c r="O1516" s="32"/>
      <c r="P1516" s="33"/>
      <c r="Q1516" s="33"/>
    </row>
    <row r="1517" spans="1:17" ht="16.5" customHeight="1" x14ac:dyDescent="0.2">
      <c r="A1517" s="26"/>
      <c r="B1517" s="26"/>
      <c r="C1517" s="26"/>
      <c r="D1517" s="26"/>
      <c r="E1517" s="26"/>
      <c r="F1517" s="28" t="e">
        <f ca="1">_xludf.ifna(VLOOKUP(G1518,Proyectos!$E$1:$H$4,4,0),"")</f>
        <v>#NAME?</v>
      </c>
      <c r="G1517" s="26"/>
      <c r="H1517" s="32"/>
      <c r="I1517" s="32"/>
      <c r="J1517" s="32"/>
      <c r="K1517" s="32"/>
      <c r="L1517" s="32" t="e">
        <f ca="1">_xludf.ifna(VLOOKUP(G1518,Proyectos!$E$1:$N$4,10,0),"")</f>
        <v>#NAME?</v>
      </c>
      <c r="M1517" s="32"/>
      <c r="N1517" s="32" t="s">
        <v>5905</v>
      </c>
      <c r="O1517" s="32"/>
      <c r="P1517" s="33"/>
      <c r="Q1517" s="33"/>
    </row>
    <row r="1518" spans="1:17" ht="16.5" customHeight="1" x14ac:dyDescent="0.2">
      <c r="A1518" s="26"/>
      <c r="B1518" s="26"/>
      <c r="C1518" s="26"/>
      <c r="D1518" s="26"/>
      <c r="E1518" s="26"/>
      <c r="F1518" s="28" t="e">
        <f ca="1">_xludf.ifna(VLOOKUP(G1519,Proyectos!$E$1:$H$4,4,0),"")</f>
        <v>#NAME?</v>
      </c>
      <c r="G1518" s="26"/>
      <c r="H1518" s="32"/>
      <c r="I1518" s="32"/>
      <c r="J1518" s="32"/>
      <c r="K1518" s="32"/>
      <c r="L1518" s="32" t="e">
        <f ca="1">_xludf.ifna(VLOOKUP(G1519,Proyectos!$E$1:$N$4,10,0),"")</f>
        <v>#NAME?</v>
      </c>
      <c r="M1518" s="32"/>
      <c r="N1518" s="32" t="s">
        <v>5905</v>
      </c>
      <c r="O1518" s="32"/>
      <c r="P1518" s="33"/>
      <c r="Q1518" s="33"/>
    </row>
    <row r="1519" spans="1:17" ht="16.5" customHeight="1" x14ac:dyDescent="0.2">
      <c r="A1519" s="26"/>
      <c r="B1519" s="26"/>
      <c r="C1519" s="26"/>
      <c r="D1519" s="26"/>
      <c r="E1519" s="26"/>
      <c r="F1519" s="28" t="e">
        <f ca="1">_xludf.ifna(VLOOKUP(G1520,Proyectos!$E$1:$H$4,4,0),"")</f>
        <v>#NAME?</v>
      </c>
      <c r="G1519" s="26"/>
      <c r="H1519" s="32"/>
      <c r="I1519" s="32"/>
      <c r="J1519" s="32"/>
      <c r="K1519" s="32"/>
      <c r="L1519" s="32" t="e">
        <f ca="1">_xludf.ifna(VLOOKUP(G1520,Proyectos!$E$1:$N$4,10,0),"")</f>
        <v>#NAME?</v>
      </c>
      <c r="M1519" s="32"/>
      <c r="N1519" s="32" t="s">
        <v>5905</v>
      </c>
      <c r="O1519" s="32"/>
      <c r="P1519" s="33"/>
      <c r="Q1519" s="33"/>
    </row>
    <row r="1520" spans="1:17" ht="16.5" customHeight="1" x14ac:dyDescent="0.2">
      <c r="A1520" s="26"/>
      <c r="B1520" s="26"/>
      <c r="C1520" s="26"/>
      <c r="D1520" s="26"/>
      <c r="E1520" s="26"/>
      <c r="F1520" s="28" t="e">
        <f ca="1">_xludf.ifna(VLOOKUP(G1521,Proyectos!$E$1:$H$4,4,0),"")</f>
        <v>#NAME?</v>
      </c>
      <c r="G1520" s="26"/>
      <c r="H1520" s="32"/>
      <c r="I1520" s="32"/>
      <c r="J1520" s="32"/>
      <c r="K1520" s="32"/>
      <c r="L1520" s="32" t="e">
        <f ca="1">_xludf.ifna(VLOOKUP(G1521,Proyectos!$E$1:$N$4,10,0),"")</f>
        <v>#NAME?</v>
      </c>
      <c r="M1520" s="32"/>
      <c r="N1520" s="32" t="s">
        <v>5905</v>
      </c>
      <c r="O1520" s="32"/>
      <c r="P1520" s="33"/>
      <c r="Q1520" s="33"/>
    </row>
    <row r="1521" spans="1:17" ht="16.5" customHeight="1" x14ac:dyDescent="0.2">
      <c r="A1521" s="26"/>
      <c r="B1521" s="26"/>
      <c r="C1521" s="26"/>
      <c r="D1521" s="26"/>
      <c r="E1521" s="26"/>
      <c r="F1521" s="28" t="e">
        <f ca="1">_xludf.ifna(VLOOKUP(G1522,Proyectos!$E$1:$H$4,4,0),"")</f>
        <v>#NAME?</v>
      </c>
      <c r="G1521" s="26"/>
      <c r="H1521" s="32"/>
      <c r="I1521" s="32"/>
      <c r="J1521" s="32"/>
      <c r="K1521" s="32"/>
      <c r="L1521" s="32" t="e">
        <f ca="1">_xludf.ifna(VLOOKUP(G1522,Proyectos!$E$1:$N$4,10,0),"")</f>
        <v>#NAME?</v>
      </c>
      <c r="M1521" s="32"/>
      <c r="N1521" s="32" t="s">
        <v>5905</v>
      </c>
      <c r="O1521" s="32"/>
      <c r="P1521" s="33"/>
      <c r="Q1521" s="33"/>
    </row>
    <row r="1522" spans="1:17" ht="16.5" customHeight="1" x14ac:dyDescent="0.2">
      <c r="A1522" s="26"/>
      <c r="B1522" s="26"/>
      <c r="C1522" s="26"/>
      <c r="D1522" s="26"/>
      <c r="E1522" s="26"/>
      <c r="F1522" s="28" t="e">
        <f ca="1">_xludf.ifna(VLOOKUP(G1523,Proyectos!$E$1:$H$4,4,0),"")</f>
        <v>#NAME?</v>
      </c>
      <c r="G1522" s="26"/>
      <c r="H1522" s="32"/>
      <c r="I1522" s="32"/>
      <c r="J1522" s="32"/>
      <c r="K1522" s="32"/>
      <c r="L1522" s="32" t="e">
        <f ca="1">_xludf.ifna(VLOOKUP(G1523,Proyectos!$E$1:$N$4,10,0),"")</f>
        <v>#NAME?</v>
      </c>
      <c r="M1522" s="32"/>
      <c r="N1522" s="32" t="s">
        <v>5905</v>
      </c>
      <c r="O1522" s="32"/>
      <c r="P1522" s="33"/>
      <c r="Q1522" s="33"/>
    </row>
    <row r="1523" spans="1:17" ht="16.5" customHeight="1" x14ac:dyDescent="0.2">
      <c r="A1523" s="26"/>
      <c r="B1523" s="26"/>
      <c r="C1523" s="26"/>
      <c r="D1523" s="26"/>
      <c r="E1523" s="26"/>
      <c r="F1523" s="28" t="e">
        <f ca="1">_xludf.ifna(VLOOKUP(G1524,Proyectos!$E$1:$H$4,4,0),"")</f>
        <v>#NAME?</v>
      </c>
      <c r="G1523" s="26"/>
      <c r="H1523" s="32"/>
      <c r="I1523" s="32"/>
      <c r="J1523" s="32"/>
      <c r="K1523" s="32"/>
      <c r="L1523" s="32" t="e">
        <f ca="1">_xludf.ifna(VLOOKUP(G1524,Proyectos!$E$1:$N$4,10,0),"")</f>
        <v>#NAME?</v>
      </c>
      <c r="M1523" s="32"/>
      <c r="N1523" s="32" t="s">
        <v>5905</v>
      </c>
      <c r="O1523" s="32"/>
      <c r="P1523" s="33"/>
      <c r="Q1523" s="33"/>
    </row>
    <row r="1524" spans="1:17" ht="16.5" customHeight="1" x14ac:dyDescent="0.2">
      <c r="A1524" s="26"/>
      <c r="B1524" s="26"/>
      <c r="C1524" s="26"/>
      <c r="D1524" s="26"/>
      <c r="E1524" s="26"/>
      <c r="F1524" s="28" t="e">
        <f ca="1">_xludf.ifna(VLOOKUP(G1525,Proyectos!$E$1:$H$4,4,0),"")</f>
        <v>#NAME?</v>
      </c>
      <c r="G1524" s="26"/>
      <c r="H1524" s="32"/>
      <c r="I1524" s="32"/>
      <c r="J1524" s="32"/>
      <c r="K1524" s="32"/>
      <c r="L1524" s="32" t="e">
        <f ca="1">_xludf.ifna(VLOOKUP(G1525,Proyectos!$E$1:$N$4,10,0),"")</f>
        <v>#NAME?</v>
      </c>
      <c r="M1524" s="32"/>
      <c r="N1524" s="32" t="s">
        <v>5905</v>
      </c>
      <c r="O1524" s="32"/>
      <c r="P1524" s="33"/>
      <c r="Q1524" s="33"/>
    </row>
    <row r="1525" spans="1:17" ht="16.5" customHeight="1" x14ac:dyDescent="0.2">
      <c r="A1525" s="26"/>
      <c r="B1525" s="26"/>
      <c r="C1525" s="26"/>
      <c r="D1525" s="26"/>
      <c r="E1525" s="26"/>
      <c r="F1525" s="28" t="e">
        <f ca="1">_xludf.ifna(VLOOKUP(G1526,Proyectos!$E$1:$H$4,4,0),"")</f>
        <v>#NAME?</v>
      </c>
      <c r="G1525" s="26"/>
      <c r="H1525" s="32"/>
      <c r="I1525" s="32"/>
      <c r="J1525" s="32"/>
      <c r="K1525" s="32"/>
      <c r="L1525" s="32" t="e">
        <f ca="1">_xludf.ifna(VLOOKUP(G1526,Proyectos!$E$1:$N$4,10,0),"")</f>
        <v>#NAME?</v>
      </c>
      <c r="M1525" s="32"/>
      <c r="N1525" s="32" t="s">
        <v>5905</v>
      </c>
      <c r="O1525" s="32"/>
      <c r="P1525" s="33"/>
      <c r="Q1525" s="33"/>
    </row>
    <row r="1526" spans="1:17" ht="16.5" customHeight="1" x14ac:dyDescent="0.2">
      <c r="A1526" s="26"/>
      <c r="B1526" s="26"/>
      <c r="C1526" s="26"/>
      <c r="D1526" s="26"/>
      <c r="E1526" s="26"/>
      <c r="F1526" s="28" t="e">
        <f ca="1">_xludf.ifna(VLOOKUP(G1527,Proyectos!$E$1:$H$4,4,0),"")</f>
        <v>#NAME?</v>
      </c>
      <c r="G1526" s="26"/>
      <c r="H1526" s="32"/>
      <c r="I1526" s="32"/>
      <c r="J1526" s="32"/>
      <c r="K1526" s="32"/>
      <c r="L1526" s="32" t="e">
        <f ca="1">_xludf.ifna(VLOOKUP(G1527,Proyectos!$E$1:$N$4,10,0),"")</f>
        <v>#NAME?</v>
      </c>
      <c r="M1526" s="32"/>
      <c r="N1526" s="32" t="s">
        <v>5905</v>
      </c>
      <c r="O1526" s="32"/>
      <c r="P1526" s="33"/>
      <c r="Q1526" s="33"/>
    </row>
    <row r="1527" spans="1:17" ht="16.5" customHeight="1" x14ac:dyDescent="0.2">
      <c r="A1527" s="26"/>
      <c r="B1527" s="26"/>
      <c r="C1527" s="26"/>
      <c r="D1527" s="26"/>
      <c r="E1527" s="26"/>
      <c r="F1527" s="28" t="e">
        <f ca="1">_xludf.ifna(VLOOKUP(G1528,Proyectos!$E$1:$H$4,4,0),"")</f>
        <v>#NAME?</v>
      </c>
      <c r="G1527" s="26"/>
      <c r="H1527" s="32"/>
      <c r="I1527" s="32"/>
      <c r="J1527" s="32"/>
      <c r="K1527" s="32"/>
      <c r="L1527" s="32" t="e">
        <f ca="1">_xludf.ifna(VLOOKUP(G1528,Proyectos!$E$1:$N$4,10,0),"")</f>
        <v>#NAME?</v>
      </c>
      <c r="M1527" s="32"/>
      <c r="N1527" s="32" t="s">
        <v>5905</v>
      </c>
      <c r="O1527" s="32"/>
      <c r="P1527" s="33"/>
      <c r="Q1527" s="33"/>
    </row>
    <row r="1528" spans="1:17" ht="16.5" customHeight="1" x14ac:dyDescent="0.2">
      <c r="A1528" s="26"/>
      <c r="B1528" s="26"/>
      <c r="C1528" s="26"/>
      <c r="D1528" s="26"/>
      <c r="E1528" s="26"/>
      <c r="F1528" s="28" t="e">
        <f ca="1">_xludf.ifna(VLOOKUP(G1529,Proyectos!$E$1:$H$4,4,0),"")</f>
        <v>#NAME?</v>
      </c>
      <c r="G1528" s="26"/>
      <c r="H1528" s="32"/>
      <c r="I1528" s="32"/>
      <c r="J1528" s="32"/>
      <c r="K1528" s="32"/>
      <c r="L1528" s="32" t="e">
        <f ca="1">_xludf.ifna(VLOOKUP(G1529,Proyectos!$E$1:$N$4,10,0),"")</f>
        <v>#NAME?</v>
      </c>
      <c r="M1528" s="32"/>
      <c r="N1528" s="32" t="s">
        <v>5905</v>
      </c>
      <c r="O1528" s="32"/>
      <c r="P1528" s="33"/>
      <c r="Q1528" s="33"/>
    </row>
    <row r="1529" spans="1:17" ht="16.5" customHeight="1" x14ac:dyDescent="0.2">
      <c r="A1529" s="26"/>
      <c r="B1529" s="26"/>
      <c r="C1529" s="26"/>
      <c r="D1529" s="26"/>
      <c r="E1529" s="26"/>
      <c r="F1529" s="28" t="e">
        <f ca="1">_xludf.ifna(VLOOKUP(G1530,Proyectos!$E$1:$H$4,4,0),"")</f>
        <v>#NAME?</v>
      </c>
      <c r="G1529" s="26"/>
      <c r="H1529" s="32"/>
      <c r="I1529" s="32"/>
      <c r="J1529" s="32"/>
      <c r="K1529" s="32"/>
      <c r="L1529" s="32" t="e">
        <f ca="1">_xludf.ifna(VLOOKUP(G1530,Proyectos!$E$1:$N$4,10,0),"")</f>
        <v>#NAME?</v>
      </c>
      <c r="M1529" s="32"/>
      <c r="N1529" s="32" t="s">
        <v>5905</v>
      </c>
      <c r="O1529" s="32"/>
      <c r="P1529" s="33"/>
      <c r="Q1529" s="33"/>
    </row>
    <row r="1530" spans="1:17" ht="16.5" customHeight="1" x14ac:dyDescent="0.2">
      <c r="A1530" s="26"/>
      <c r="B1530" s="26"/>
      <c r="C1530" s="26"/>
      <c r="D1530" s="26"/>
      <c r="E1530" s="26"/>
      <c r="F1530" s="28" t="e">
        <f ca="1">_xludf.ifna(VLOOKUP(G1531,Proyectos!$E$1:$H$4,4,0),"")</f>
        <v>#NAME?</v>
      </c>
      <c r="G1530" s="26"/>
      <c r="H1530" s="32"/>
      <c r="I1530" s="32"/>
      <c r="J1530" s="32"/>
      <c r="K1530" s="32"/>
      <c r="L1530" s="32" t="e">
        <f ca="1">_xludf.ifna(VLOOKUP(G1531,Proyectos!$E$1:$N$4,10,0),"")</f>
        <v>#NAME?</v>
      </c>
      <c r="M1530" s="32"/>
      <c r="N1530" s="32" t="s">
        <v>5905</v>
      </c>
      <c r="O1530" s="32"/>
      <c r="P1530" s="33"/>
      <c r="Q1530" s="33"/>
    </row>
    <row r="1531" spans="1:17" ht="16.5" customHeight="1" x14ac:dyDescent="0.2">
      <c r="A1531" s="26"/>
      <c r="B1531" s="26"/>
      <c r="C1531" s="26"/>
      <c r="D1531" s="26"/>
      <c r="E1531" s="26"/>
      <c r="F1531" s="28" t="e">
        <f ca="1">_xludf.ifna(VLOOKUP(G1532,Proyectos!$E$1:$H$4,4,0),"")</f>
        <v>#NAME?</v>
      </c>
      <c r="G1531" s="26"/>
      <c r="H1531" s="32"/>
      <c r="I1531" s="32"/>
      <c r="J1531" s="32"/>
      <c r="K1531" s="32"/>
      <c r="L1531" s="32" t="e">
        <f ca="1">_xludf.ifna(VLOOKUP(G1532,Proyectos!$E$1:$N$4,10,0),"")</f>
        <v>#NAME?</v>
      </c>
      <c r="M1531" s="32"/>
      <c r="N1531" s="32" t="s">
        <v>5905</v>
      </c>
      <c r="O1531" s="32"/>
      <c r="P1531" s="33"/>
      <c r="Q1531" s="33"/>
    </row>
    <row r="1532" spans="1:17" ht="16.5" customHeight="1" x14ac:dyDescent="0.2">
      <c r="A1532" s="26"/>
      <c r="B1532" s="26"/>
      <c r="C1532" s="26"/>
      <c r="D1532" s="26"/>
      <c r="E1532" s="26"/>
      <c r="F1532" s="28" t="e">
        <f ca="1">_xludf.ifna(VLOOKUP(G1533,Proyectos!$E$1:$H$4,4,0),"")</f>
        <v>#NAME?</v>
      </c>
      <c r="G1532" s="26"/>
      <c r="H1532" s="32"/>
      <c r="I1532" s="32"/>
      <c r="J1532" s="32"/>
      <c r="K1532" s="32"/>
      <c r="L1532" s="32" t="e">
        <f ca="1">_xludf.ifna(VLOOKUP(G1533,Proyectos!$E$1:$N$4,10,0),"")</f>
        <v>#NAME?</v>
      </c>
      <c r="M1532" s="32"/>
      <c r="N1532" s="32" t="s">
        <v>5905</v>
      </c>
      <c r="O1532" s="32"/>
      <c r="P1532" s="33"/>
      <c r="Q1532" s="33"/>
    </row>
    <row r="1533" spans="1:17" ht="16.5" customHeight="1" x14ac:dyDescent="0.2">
      <c r="A1533" s="26"/>
      <c r="B1533" s="26"/>
      <c r="C1533" s="26"/>
      <c r="D1533" s="26"/>
      <c r="E1533" s="26"/>
      <c r="F1533" s="28" t="e">
        <f ca="1">_xludf.ifna(VLOOKUP(G1534,Proyectos!$E$1:$H$4,4,0),"")</f>
        <v>#NAME?</v>
      </c>
      <c r="G1533" s="26"/>
      <c r="H1533" s="32"/>
      <c r="I1533" s="32"/>
      <c r="J1533" s="32"/>
      <c r="K1533" s="32"/>
      <c r="L1533" s="32" t="e">
        <f ca="1">_xludf.ifna(VLOOKUP(G1534,Proyectos!$E$1:$N$4,10,0),"")</f>
        <v>#NAME?</v>
      </c>
      <c r="M1533" s="32"/>
      <c r="N1533" s="32" t="s">
        <v>5905</v>
      </c>
      <c r="O1533" s="32"/>
      <c r="P1533" s="33"/>
      <c r="Q1533" s="33"/>
    </row>
    <row r="1534" spans="1:17" ht="16.5" customHeight="1" x14ac:dyDescent="0.2">
      <c r="A1534" s="26"/>
      <c r="B1534" s="26"/>
      <c r="C1534" s="26"/>
      <c r="D1534" s="26"/>
      <c r="E1534" s="26"/>
      <c r="F1534" s="28" t="e">
        <f ca="1">_xludf.ifna(VLOOKUP(G1535,Proyectos!$E$1:$H$4,4,0),"")</f>
        <v>#NAME?</v>
      </c>
      <c r="G1534" s="26"/>
      <c r="H1534" s="32"/>
      <c r="I1534" s="32"/>
      <c r="J1534" s="32"/>
      <c r="K1534" s="32"/>
      <c r="L1534" s="32" t="e">
        <f ca="1">_xludf.ifna(VLOOKUP(G1535,Proyectos!$E$1:$N$4,10,0),"")</f>
        <v>#NAME?</v>
      </c>
      <c r="M1534" s="32"/>
      <c r="N1534" s="32" t="s">
        <v>5905</v>
      </c>
      <c r="O1534" s="32"/>
      <c r="P1534" s="33"/>
      <c r="Q1534" s="33"/>
    </row>
    <row r="1535" spans="1:17" ht="16.5" customHeight="1" x14ac:dyDescent="0.2">
      <c r="A1535" s="26"/>
      <c r="B1535" s="26"/>
      <c r="C1535" s="26"/>
      <c r="D1535" s="26"/>
      <c r="E1535" s="26"/>
      <c r="F1535" s="28" t="e">
        <f ca="1">_xludf.ifna(VLOOKUP(G1536,Proyectos!$E$1:$H$4,4,0),"")</f>
        <v>#NAME?</v>
      </c>
      <c r="G1535" s="26"/>
      <c r="H1535" s="32"/>
      <c r="I1535" s="32"/>
      <c r="J1535" s="32"/>
      <c r="K1535" s="32"/>
      <c r="L1535" s="32" t="e">
        <f ca="1">_xludf.ifna(VLOOKUP(G1536,Proyectos!$E$1:$N$4,10,0),"")</f>
        <v>#NAME?</v>
      </c>
      <c r="M1535" s="32"/>
      <c r="N1535" s="32" t="s">
        <v>5905</v>
      </c>
      <c r="O1535" s="32"/>
      <c r="P1535" s="33"/>
      <c r="Q1535" s="33"/>
    </row>
    <row r="1536" spans="1:17" ht="16.5" customHeight="1" x14ac:dyDescent="0.2">
      <c r="A1536" s="26"/>
      <c r="B1536" s="26"/>
      <c r="C1536" s="26"/>
      <c r="D1536" s="26"/>
      <c r="E1536" s="26"/>
      <c r="F1536" s="28" t="e">
        <f ca="1">_xludf.ifna(VLOOKUP(G1537,Proyectos!$E$1:$H$4,4,0),"")</f>
        <v>#NAME?</v>
      </c>
      <c r="G1536" s="26"/>
      <c r="H1536" s="32"/>
      <c r="I1536" s="32"/>
      <c r="J1536" s="32"/>
      <c r="K1536" s="32"/>
      <c r="L1536" s="32" t="e">
        <f ca="1">_xludf.ifna(VLOOKUP(G1537,Proyectos!$E$1:$N$4,10,0),"")</f>
        <v>#NAME?</v>
      </c>
      <c r="M1536" s="32"/>
      <c r="N1536" s="32" t="s">
        <v>5905</v>
      </c>
      <c r="O1536" s="32"/>
      <c r="P1536" s="33"/>
      <c r="Q1536" s="33"/>
    </row>
    <row r="1537" spans="1:17" ht="16.5" customHeight="1" x14ac:dyDescent="0.2">
      <c r="A1537" s="26"/>
      <c r="B1537" s="26"/>
      <c r="C1537" s="26"/>
      <c r="D1537" s="26"/>
      <c r="E1537" s="26"/>
      <c r="F1537" s="28" t="e">
        <f ca="1">_xludf.ifna(VLOOKUP(G1538,Proyectos!$E$1:$H$4,4,0),"")</f>
        <v>#NAME?</v>
      </c>
      <c r="G1537" s="26"/>
      <c r="H1537" s="32"/>
      <c r="I1537" s="32"/>
      <c r="J1537" s="32"/>
      <c r="K1537" s="32"/>
      <c r="L1537" s="32" t="e">
        <f ca="1">_xludf.ifna(VLOOKUP(G1538,Proyectos!$E$1:$N$4,10,0),"")</f>
        <v>#NAME?</v>
      </c>
      <c r="M1537" s="32"/>
      <c r="N1537" s="32" t="s">
        <v>5905</v>
      </c>
      <c r="O1537" s="32"/>
      <c r="P1537" s="33"/>
      <c r="Q1537" s="33"/>
    </row>
    <row r="1538" spans="1:17" ht="16.5" customHeight="1" x14ac:dyDescent="0.2">
      <c r="A1538" s="26"/>
      <c r="B1538" s="26"/>
      <c r="C1538" s="26"/>
      <c r="D1538" s="26"/>
      <c r="E1538" s="26"/>
      <c r="F1538" s="28" t="e">
        <f ca="1">_xludf.ifna(VLOOKUP(G1539,Proyectos!$E$1:$H$4,4,0),"")</f>
        <v>#NAME?</v>
      </c>
      <c r="G1538" s="26"/>
      <c r="H1538" s="32"/>
      <c r="I1538" s="32"/>
      <c r="J1538" s="32"/>
      <c r="K1538" s="32"/>
      <c r="L1538" s="32" t="e">
        <f ca="1">_xludf.ifna(VLOOKUP(G1539,Proyectos!$E$1:$N$4,10,0),"")</f>
        <v>#NAME?</v>
      </c>
      <c r="M1538" s="32"/>
      <c r="N1538" s="32" t="s">
        <v>5905</v>
      </c>
      <c r="O1538" s="32"/>
      <c r="P1538" s="33"/>
      <c r="Q1538" s="33"/>
    </row>
    <row r="1539" spans="1:17" ht="16.5" customHeight="1" x14ac:dyDescent="0.2">
      <c r="A1539" s="26"/>
      <c r="B1539" s="26"/>
      <c r="C1539" s="26"/>
      <c r="D1539" s="26"/>
      <c r="E1539" s="26"/>
      <c r="F1539" s="28" t="e">
        <f ca="1">_xludf.ifna(VLOOKUP(G1540,Proyectos!$E$1:$H$4,4,0),"")</f>
        <v>#NAME?</v>
      </c>
      <c r="G1539" s="26"/>
      <c r="H1539" s="32"/>
      <c r="I1539" s="32"/>
      <c r="J1539" s="32"/>
      <c r="K1539" s="32"/>
      <c r="L1539" s="32" t="e">
        <f ca="1">_xludf.ifna(VLOOKUP(G1540,Proyectos!$E$1:$N$4,10,0),"")</f>
        <v>#NAME?</v>
      </c>
      <c r="M1539" s="32"/>
      <c r="N1539" s="32" t="s">
        <v>5905</v>
      </c>
      <c r="O1539" s="32"/>
      <c r="P1539" s="33"/>
      <c r="Q1539" s="33"/>
    </row>
    <row r="1540" spans="1:17" ht="16.5" customHeight="1" x14ac:dyDescent="0.2">
      <c r="A1540" s="26"/>
      <c r="B1540" s="26"/>
      <c r="C1540" s="26"/>
      <c r="D1540" s="26"/>
      <c r="E1540" s="26"/>
      <c r="F1540" s="28" t="e">
        <f ca="1">_xludf.ifna(VLOOKUP(G1541,Proyectos!$E$1:$H$4,4,0),"")</f>
        <v>#NAME?</v>
      </c>
      <c r="G1540" s="26"/>
      <c r="H1540" s="32"/>
      <c r="I1540" s="32"/>
      <c r="J1540" s="32"/>
      <c r="K1540" s="32"/>
      <c r="L1540" s="32" t="e">
        <f ca="1">_xludf.ifna(VLOOKUP(G1541,Proyectos!$E$1:$N$4,10,0),"")</f>
        <v>#NAME?</v>
      </c>
      <c r="M1540" s="32"/>
      <c r="N1540" s="32" t="s">
        <v>5905</v>
      </c>
      <c r="O1540" s="32"/>
      <c r="P1540" s="33"/>
      <c r="Q1540" s="33"/>
    </row>
    <row r="1541" spans="1:17" ht="16.5" customHeight="1" x14ac:dyDescent="0.2">
      <c r="A1541" s="26"/>
      <c r="B1541" s="26"/>
      <c r="C1541" s="26"/>
      <c r="D1541" s="26"/>
      <c r="E1541" s="26"/>
      <c r="F1541" s="28" t="e">
        <f ca="1">_xludf.ifna(VLOOKUP(G1542,Proyectos!$E$1:$H$4,4,0),"")</f>
        <v>#NAME?</v>
      </c>
      <c r="G1541" s="26"/>
      <c r="H1541" s="32"/>
      <c r="I1541" s="32"/>
      <c r="J1541" s="32"/>
      <c r="K1541" s="32"/>
      <c r="L1541" s="32" t="e">
        <f ca="1">_xludf.ifna(VLOOKUP(G1542,Proyectos!$E$1:$N$4,10,0),"")</f>
        <v>#NAME?</v>
      </c>
      <c r="M1541" s="32"/>
      <c r="N1541" s="32" t="s">
        <v>5905</v>
      </c>
      <c r="O1541" s="32"/>
      <c r="P1541" s="33"/>
      <c r="Q1541" s="33"/>
    </row>
    <row r="1542" spans="1:17" ht="16.5" customHeight="1" x14ac:dyDescent="0.2">
      <c r="A1542" s="26"/>
      <c r="B1542" s="26"/>
      <c r="C1542" s="26"/>
      <c r="D1542" s="26"/>
      <c r="E1542" s="26"/>
      <c r="F1542" s="28" t="e">
        <f ca="1">_xludf.ifna(VLOOKUP(G1543,Proyectos!$E$1:$H$4,4,0),"")</f>
        <v>#NAME?</v>
      </c>
      <c r="G1542" s="26"/>
      <c r="H1542" s="32"/>
      <c r="I1542" s="32"/>
      <c r="J1542" s="32"/>
      <c r="K1542" s="32"/>
      <c r="L1542" s="32" t="e">
        <f ca="1">_xludf.ifna(VLOOKUP(G1543,Proyectos!$E$1:$N$4,10,0),"")</f>
        <v>#NAME?</v>
      </c>
      <c r="M1542" s="32"/>
      <c r="N1542" s="32" t="s">
        <v>5905</v>
      </c>
      <c r="O1542" s="32"/>
      <c r="P1542" s="33"/>
      <c r="Q1542" s="33"/>
    </row>
    <row r="1543" spans="1:17" ht="16.5" customHeight="1" x14ac:dyDescent="0.2">
      <c r="A1543" s="26"/>
      <c r="B1543" s="26"/>
      <c r="C1543" s="26"/>
      <c r="D1543" s="26"/>
      <c r="E1543" s="26"/>
      <c r="F1543" s="28" t="e">
        <f ca="1">_xludf.ifna(VLOOKUP(G1544,Proyectos!$E$1:$H$4,4,0),"")</f>
        <v>#NAME?</v>
      </c>
      <c r="G1543" s="26"/>
      <c r="H1543" s="32"/>
      <c r="I1543" s="32"/>
      <c r="J1543" s="32"/>
      <c r="K1543" s="32"/>
      <c r="L1543" s="32" t="e">
        <f ca="1">_xludf.ifna(VLOOKUP(G1544,Proyectos!$E$1:$N$4,10,0),"")</f>
        <v>#NAME?</v>
      </c>
      <c r="M1543" s="32"/>
      <c r="N1543" s="32" t="s">
        <v>5905</v>
      </c>
      <c r="O1543" s="32"/>
      <c r="P1543" s="33"/>
      <c r="Q1543" s="33"/>
    </row>
    <row r="1544" spans="1:17" ht="16.5" customHeight="1" x14ac:dyDescent="0.2">
      <c r="A1544" s="26"/>
      <c r="B1544" s="26"/>
      <c r="C1544" s="26"/>
      <c r="D1544" s="26"/>
      <c r="E1544" s="26"/>
      <c r="F1544" s="28" t="e">
        <f ca="1">_xludf.ifna(VLOOKUP(G1545,Proyectos!$E$1:$H$4,4,0),"")</f>
        <v>#NAME?</v>
      </c>
      <c r="G1544" s="26"/>
      <c r="H1544" s="32"/>
      <c r="I1544" s="32"/>
      <c r="J1544" s="32"/>
      <c r="K1544" s="32"/>
      <c r="L1544" s="32" t="e">
        <f ca="1">_xludf.ifna(VLOOKUP(G1545,Proyectos!$E$1:$N$4,10,0),"")</f>
        <v>#NAME?</v>
      </c>
      <c r="M1544" s="32"/>
      <c r="N1544" s="32" t="s">
        <v>5905</v>
      </c>
      <c r="O1544" s="32"/>
      <c r="P1544" s="33"/>
      <c r="Q1544" s="33"/>
    </row>
    <row r="1545" spans="1:17" ht="16.5" customHeight="1" x14ac:dyDescent="0.2">
      <c r="A1545" s="26"/>
      <c r="B1545" s="26"/>
      <c r="C1545" s="26"/>
      <c r="D1545" s="26"/>
      <c r="E1545" s="26"/>
      <c r="F1545" s="28" t="e">
        <f ca="1">_xludf.ifna(VLOOKUP(G1546,Proyectos!$E$1:$H$4,4,0),"")</f>
        <v>#NAME?</v>
      </c>
      <c r="G1545" s="26"/>
      <c r="H1545" s="32"/>
      <c r="I1545" s="32"/>
      <c r="J1545" s="32"/>
      <c r="K1545" s="32"/>
      <c r="L1545" s="32" t="e">
        <f ca="1">_xludf.ifna(VLOOKUP(G1546,Proyectos!$E$1:$N$4,10,0),"")</f>
        <v>#NAME?</v>
      </c>
      <c r="M1545" s="32"/>
      <c r="N1545" s="32" t="s">
        <v>5905</v>
      </c>
      <c r="O1545" s="32"/>
      <c r="P1545" s="33"/>
      <c r="Q1545" s="33"/>
    </row>
    <row r="1546" spans="1:17" ht="16.5" customHeight="1" x14ac:dyDescent="0.2">
      <c r="A1546" s="26"/>
      <c r="B1546" s="26"/>
      <c r="C1546" s="26"/>
      <c r="D1546" s="26"/>
      <c r="E1546" s="26"/>
      <c r="F1546" s="28" t="e">
        <f ca="1">_xludf.ifna(VLOOKUP(G1547,Proyectos!$E$1:$H$4,4,0),"")</f>
        <v>#NAME?</v>
      </c>
      <c r="G1546" s="26"/>
      <c r="H1546" s="32"/>
      <c r="I1546" s="32"/>
      <c r="J1546" s="32"/>
      <c r="K1546" s="32"/>
      <c r="L1546" s="32" t="e">
        <f ca="1">_xludf.ifna(VLOOKUP(G1547,Proyectos!$E$1:$N$4,10,0),"")</f>
        <v>#NAME?</v>
      </c>
      <c r="M1546" s="32"/>
      <c r="N1546" s="32" t="s">
        <v>5905</v>
      </c>
      <c r="O1546" s="32"/>
      <c r="P1546" s="33"/>
      <c r="Q1546" s="33"/>
    </row>
    <row r="1547" spans="1:17" ht="16.5" customHeight="1" x14ac:dyDescent="0.2">
      <c r="A1547" s="26"/>
      <c r="B1547" s="26"/>
      <c r="C1547" s="26"/>
      <c r="D1547" s="26"/>
      <c r="E1547" s="26"/>
      <c r="F1547" s="28" t="e">
        <f ca="1">_xludf.ifna(VLOOKUP(G1548,Proyectos!$E$1:$H$4,4,0),"")</f>
        <v>#NAME?</v>
      </c>
      <c r="G1547" s="26"/>
      <c r="H1547" s="32"/>
      <c r="I1547" s="32"/>
      <c r="J1547" s="32"/>
      <c r="K1547" s="32"/>
      <c r="L1547" s="32" t="e">
        <f ca="1">_xludf.ifna(VLOOKUP(G1548,Proyectos!$E$1:$N$4,10,0),"")</f>
        <v>#NAME?</v>
      </c>
      <c r="M1547" s="32"/>
      <c r="N1547" s="32" t="s">
        <v>5905</v>
      </c>
      <c r="O1547" s="32"/>
      <c r="P1547" s="33"/>
      <c r="Q1547" s="33"/>
    </row>
    <row r="1548" spans="1:17" ht="16.5" customHeight="1" x14ac:dyDescent="0.2">
      <c r="A1548" s="26"/>
      <c r="B1548" s="26"/>
      <c r="C1548" s="26"/>
      <c r="D1548" s="26"/>
      <c r="E1548" s="26"/>
      <c r="F1548" s="28" t="e">
        <f ca="1">_xludf.ifna(VLOOKUP(G1549,Proyectos!$E$1:$H$4,4,0),"")</f>
        <v>#NAME?</v>
      </c>
      <c r="G1548" s="26"/>
      <c r="H1548" s="32"/>
      <c r="I1548" s="32"/>
      <c r="J1548" s="32"/>
      <c r="K1548" s="32"/>
      <c r="L1548" s="32" t="e">
        <f ca="1">_xludf.ifna(VLOOKUP(G1549,Proyectos!$E$1:$N$4,10,0),"")</f>
        <v>#NAME?</v>
      </c>
      <c r="M1548" s="32"/>
      <c r="N1548" s="32" t="s">
        <v>5905</v>
      </c>
      <c r="O1548" s="32"/>
      <c r="P1548" s="33"/>
      <c r="Q1548" s="33"/>
    </row>
    <row r="1549" spans="1:17" ht="16.5" customHeight="1" x14ac:dyDescent="0.2">
      <c r="A1549" s="26"/>
      <c r="B1549" s="26"/>
      <c r="C1549" s="26"/>
      <c r="D1549" s="26"/>
      <c r="E1549" s="26"/>
      <c r="F1549" s="28" t="e">
        <f ca="1">_xludf.ifna(VLOOKUP(G1550,Proyectos!$E$1:$H$4,4,0),"")</f>
        <v>#NAME?</v>
      </c>
      <c r="G1549" s="26"/>
      <c r="H1549" s="32"/>
      <c r="I1549" s="32"/>
      <c r="J1549" s="32"/>
      <c r="K1549" s="32"/>
      <c r="L1549" s="32" t="e">
        <f ca="1">_xludf.ifna(VLOOKUP(G1550,Proyectos!$E$1:$N$4,10,0),"")</f>
        <v>#NAME?</v>
      </c>
      <c r="M1549" s="32"/>
      <c r="N1549" s="32" t="s">
        <v>5905</v>
      </c>
      <c r="O1549" s="32"/>
      <c r="P1549" s="33"/>
      <c r="Q1549" s="33"/>
    </row>
    <row r="1550" spans="1:17" ht="16.5" customHeight="1" x14ac:dyDescent="0.2">
      <c r="A1550" s="26"/>
      <c r="B1550" s="26"/>
      <c r="C1550" s="26"/>
      <c r="D1550" s="26"/>
      <c r="E1550" s="26"/>
      <c r="F1550" s="28" t="e">
        <f ca="1">_xludf.ifna(VLOOKUP(G1551,Proyectos!$E$1:$H$4,4,0),"")</f>
        <v>#NAME?</v>
      </c>
      <c r="G1550" s="26"/>
      <c r="H1550" s="32"/>
      <c r="I1550" s="32"/>
      <c r="J1550" s="32"/>
      <c r="K1550" s="32"/>
      <c r="L1550" s="32" t="e">
        <f ca="1">_xludf.ifna(VLOOKUP(G1551,Proyectos!$E$1:$N$4,10,0),"")</f>
        <v>#NAME?</v>
      </c>
      <c r="M1550" s="32"/>
      <c r="N1550" s="32" t="s">
        <v>5905</v>
      </c>
      <c r="O1550" s="32"/>
      <c r="P1550" s="33"/>
      <c r="Q1550" s="33"/>
    </row>
    <row r="1551" spans="1:17" ht="16.5" customHeight="1" x14ac:dyDescent="0.2">
      <c r="A1551" s="26"/>
      <c r="B1551" s="26"/>
      <c r="C1551" s="26"/>
      <c r="D1551" s="26"/>
      <c r="E1551" s="26"/>
      <c r="F1551" s="28" t="e">
        <f ca="1">_xludf.ifna(VLOOKUP(G1552,Proyectos!$E$1:$H$4,4,0),"")</f>
        <v>#NAME?</v>
      </c>
      <c r="G1551" s="26"/>
      <c r="H1551" s="32"/>
      <c r="I1551" s="32"/>
      <c r="J1551" s="32"/>
      <c r="K1551" s="32"/>
      <c r="L1551" s="32" t="e">
        <f ca="1">_xludf.ifna(VLOOKUP(G1552,Proyectos!$E$1:$N$4,10,0),"")</f>
        <v>#NAME?</v>
      </c>
      <c r="M1551" s="32"/>
      <c r="N1551" s="32" t="s">
        <v>5905</v>
      </c>
      <c r="O1551" s="32"/>
      <c r="P1551" s="33"/>
      <c r="Q1551" s="33"/>
    </row>
    <row r="1552" spans="1:17" ht="16.5" customHeight="1" x14ac:dyDescent="0.2">
      <c r="A1552" s="26"/>
      <c r="B1552" s="26"/>
      <c r="C1552" s="26"/>
      <c r="D1552" s="26"/>
      <c r="E1552" s="26"/>
      <c r="F1552" s="28" t="e">
        <f ca="1">_xludf.ifna(VLOOKUP(G1553,Proyectos!$E$1:$H$4,4,0),"")</f>
        <v>#NAME?</v>
      </c>
      <c r="G1552" s="26"/>
      <c r="H1552" s="32"/>
      <c r="I1552" s="32"/>
      <c r="J1552" s="32"/>
      <c r="K1552" s="32"/>
      <c r="L1552" s="32" t="e">
        <f ca="1">_xludf.ifna(VLOOKUP(G1553,Proyectos!$E$1:$N$4,10,0),"")</f>
        <v>#NAME?</v>
      </c>
      <c r="M1552" s="32"/>
      <c r="N1552" s="32" t="s">
        <v>5905</v>
      </c>
      <c r="O1552" s="32"/>
      <c r="P1552" s="33"/>
      <c r="Q1552" s="33"/>
    </row>
    <row r="1553" spans="1:17" ht="16.5" customHeight="1" x14ac:dyDescent="0.2">
      <c r="A1553" s="26"/>
      <c r="B1553" s="26"/>
      <c r="C1553" s="26"/>
      <c r="D1553" s="26"/>
      <c r="E1553" s="26"/>
      <c r="F1553" s="28" t="e">
        <f ca="1">_xludf.ifna(VLOOKUP(G1554,Proyectos!$E$1:$H$4,4,0),"")</f>
        <v>#NAME?</v>
      </c>
      <c r="G1553" s="26"/>
      <c r="H1553" s="32"/>
      <c r="I1553" s="32"/>
      <c r="J1553" s="32"/>
      <c r="K1553" s="32"/>
      <c r="L1553" s="32" t="e">
        <f ca="1">_xludf.ifna(VLOOKUP(G1554,Proyectos!$E$1:$N$4,10,0),"")</f>
        <v>#NAME?</v>
      </c>
      <c r="M1553" s="32"/>
      <c r="N1553" s="32" t="s">
        <v>5905</v>
      </c>
      <c r="O1553" s="32"/>
      <c r="P1553" s="33"/>
      <c r="Q1553" s="33"/>
    </row>
    <row r="1554" spans="1:17" ht="16.5" customHeight="1" x14ac:dyDescent="0.2">
      <c r="A1554" s="26"/>
      <c r="B1554" s="26"/>
      <c r="C1554" s="26"/>
      <c r="D1554" s="26"/>
      <c r="E1554" s="26"/>
      <c r="F1554" s="28" t="e">
        <f ca="1">_xludf.ifna(VLOOKUP(G1555,Proyectos!$E$1:$H$4,4,0),"")</f>
        <v>#NAME?</v>
      </c>
      <c r="G1554" s="26"/>
      <c r="H1554" s="32"/>
      <c r="I1554" s="32"/>
      <c r="J1554" s="32"/>
      <c r="K1554" s="32"/>
      <c r="L1554" s="32" t="e">
        <f ca="1">_xludf.ifna(VLOOKUP(G1555,Proyectos!$E$1:$N$4,10,0),"")</f>
        <v>#NAME?</v>
      </c>
      <c r="M1554" s="32"/>
      <c r="N1554" s="32" t="s">
        <v>5905</v>
      </c>
      <c r="O1554" s="32"/>
      <c r="P1554" s="33"/>
      <c r="Q1554" s="33"/>
    </row>
    <row r="1555" spans="1:17" ht="16.5" customHeight="1" x14ac:dyDescent="0.2">
      <c r="A1555" s="26"/>
      <c r="B1555" s="26"/>
      <c r="C1555" s="26"/>
      <c r="D1555" s="26"/>
      <c r="E1555" s="26"/>
      <c r="F1555" s="28" t="e">
        <f ca="1">_xludf.ifna(VLOOKUP(G1556,Proyectos!$E$1:$H$4,4,0),"")</f>
        <v>#NAME?</v>
      </c>
      <c r="G1555" s="26"/>
      <c r="H1555" s="32"/>
      <c r="I1555" s="32"/>
      <c r="J1555" s="32"/>
      <c r="K1555" s="32"/>
      <c r="L1555" s="32" t="e">
        <f ca="1">_xludf.ifna(VLOOKUP(G1556,Proyectos!$E$1:$N$4,10,0),"")</f>
        <v>#NAME?</v>
      </c>
      <c r="M1555" s="32"/>
      <c r="N1555" s="32" t="s">
        <v>5905</v>
      </c>
      <c r="O1555" s="32"/>
      <c r="P1555" s="33"/>
      <c r="Q1555" s="33"/>
    </row>
    <row r="1556" spans="1:17" ht="16.5" customHeight="1" x14ac:dyDescent="0.2">
      <c r="A1556" s="26"/>
      <c r="B1556" s="26"/>
      <c r="C1556" s="26"/>
      <c r="D1556" s="26"/>
      <c r="E1556" s="26"/>
      <c r="F1556" s="28" t="e">
        <f ca="1">_xludf.ifna(VLOOKUP(G1557,Proyectos!$E$1:$H$4,4,0),"")</f>
        <v>#NAME?</v>
      </c>
      <c r="G1556" s="26"/>
      <c r="H1556" s="32"/>
      <c r="I1556" s="32"/>
      <c r="J1556" s="32"/>
      <c r="K1556" s="32"/>
      <c r="L1556" s="32" t="e">
        <f ca="1">_xludf.ifna(VLOOKUP(G1557,Proyectos!$E$1:$N$4,10,0),"")</f>
        <v>#NAME?</v>
      </c>
      <c r="M1556" s="32"/>
      <c r="N1556" s="32" t="s">
        <v>5905</v>
      </c>
      <c r="O1556" s="32"/>
      <c r="P1556" s="33"/>
      <c r="Q1556" s="33"/>
    </row>
    <row r="1557" spans="1:17" ht="16.5" customHeight="1" x14ac:dyDescent="0.2">
      <c r="A1557" s="26"/>
      <c r="B1557" s="26"/>
      <c r="C1557" s="26"/>
      <c r="D1557" s="26"/>
      <c r="E1557" s="26"/>
      <c r="F1557" s="28" t="e">
        <f ca="1">_xludf.ifna(VLOOKUP(G1558,Proyectos!$E$1:$H$4,4,0),"")</f>
        <v>#NAME?</v>
      </c>
      <c r="G1557" s="26"/>
      <c r="H1557" s="32"/>
      <c r="I1557" s="32"/>
      <c r="J1557" s="32"/>
      <c r="K1557" s="32"/>
      <c r="L1557" s="32" t="e">
        <f ca="1">_xludf.ifna(VLOOKUP(G1558,Proyectos!$E$1:$N$4,10,0),"")</f>
        <v>#NAME?</v>
      </c>
      <c r="M1557" s="32"/>
      <c r="N1557" s="32" t="s">
        <v>5905</v>
      </c>
      <c r="O1557" s="32"/>
      <c r="P1557" s="33"/>
      <c r="Q1557" s="33"/>
    </row>
    <row r="1558" spans="1:17" ht="16.5" customHeight="1" x14ac:dyDescent="0.2">
      <c r="A1558" s="26"/>
      <c r="B1558" s="26"/>
      <c r="C1558" s="26"/>
      <c r="D1558" s="26"/>
      <c r="E1558" s="26"/>
      <c r="F1558" s="28" t="e">
        <f ca="1">_xludf.ifna(VLOOKUP(G1559,Proyectos!$E$1:$H$4,4,0),"")</f>
        <v>#NAME?</v>
      </c>
      <c r="G1558" s="26"/>
      <c r="H1558" s="32"/>
      <c r="I1558" s="32"/>
      <c r="J1558" s="32"/>
      <c r="K1558" s="32"/>
      <c r="L1558" s="32" t="e">
        <f ca="1">_xludf.ifna(VLOOKUP(G1559,Proyectos!$E$1:$N$4,10,0),"")</f>
        <v>#NAME?</v>
      </c>
      <c r="M1558" s="32"/>
      <c r="N1558" s="32" t="s">
        <v>5905</v>
      </c>
      <c r="O1558" s="32"/>
      <c r="P1558" s="33"/>
      <c r="Q1558" s="33"/>
    </row>
    <row r="1559" spans="1:17" ht="16.5" customHeight="1" x14ac:dyDescent="0.2">
      <c r="A1559" s="26"/>
      <c r="B1559" s="26"/>
      <c r="C1559" s="26"/>
      <c r="D1559" s="26"/>
      <c r="E1559" s="26"/>
      <c r="F1559" s="28" t="e">
        <f ca="1">_xludf.ifna(VLOOKUP(G1560,Proyectos!$E$1:$H$4,4,0),"")</f>
        <v>#NAME?</v>
      </c>
      <c r="G1559" s="26"/>
      <c r="H1559" s="32"/>
      <c r="I1559" s="32"/>
      <c r="J1559" s="32"/>
      <c r="K1559" s="32"/>
      <c r="L1559" s="32" t="e">
        <f ca="1">_xludf.ifna(VLOOKUP(G1560,Proyectos!$E$1:$N$4,10,0),"")</f>
        <v>#NAME?</v>
      </c>
      <c r="M1559" s="32"/>
      <c r="N1559" s="32" t="s">
        <v>5905</v>
      </c>
      <c r="O1559" s="32"/>
      <c r="P1559" s="33"/>
      <c r="Q1559" s="33"/>
    </row>
    <row r="1560" spans="1:17" ht="16.5" customHeight="1" x14ac:dyDescent="0.2">
      <c r="A1560" s="26"/>
      <c r="B1560" s="26"/>
      <c r="C1560" s="26"/>
      <c r="D1560" s="26"/>
      <c r="E1560" s="26"/>
      <c r="F1560" s="28" t="e">
        <f ca="1">_xludf.ifna(VLOOKUP(G1561,Proyectos!$E$1:$H$4,4,0),"")</f>
        <v>#NAME?</v>
      </c>
      <c r="G1560" s="26"/>
      <c r="H1560" s="32"/>
      <c r="I1560" s="32"/>
      <c r="J1560" s="32"/>
      <c r="K1560" s="32"/>
      <c r="L1560" s="32" t="e">
        <f ca="1">_xludf.ifna(VLOOKUP(G1561,Proyectos!$E$1:$N$4,10,0),"")</f>
        <v>#NAME?</v>
      </c>
      <c r="M1560" s="32"/>
      <c r="N1560" s="32" t="s">
        <v>5905</v>
      </c>
      <c r="O1560" s="32"/>
      <c r="P1560" s="33"/>
      <c r="Q1560" s="33"/>
    </row>
    <row r="1561" spans="1:17" ht="16.5" customHeight="1" x14ac:dyDescent="0.2">
      <c r="A1561" s="26"/>
      <c r="B1561" s="26"/>
      <c r="C1561" s="26"/>
      <c r="D1561" s="26"/>
      <c r="E1561" s="26"/>
      <c r="F1561" s="28" t="e">
        <f ca="1">_xludf.ifna(VLOOKUP(G1562,Proyectos!$E$1:$H$4,4,0),"")</f>
        <v>#NAME?</v>
      </c>
      <c r="G1561" s="26"/>
      <c r="H1561" s="32"/>
      <c r="I1561" s="32"/>
      <c r="J1561" s="32"/>
      <c r="K1561" s="32"/>
      <c r="L1561" s="32" t="e">
        <f ca="1">_xludf.ifna(VLOOKUP(G1562,Proyectos!$E$1:$N$4,10,0),"")</f>
        <v>#NAME?</v>
      </c>
      <c r="M1561" s="32"/>
      <c r="N1561" s="32" t="s">
        <v>5905</v>
      </c>
      <c r="O1561" s="32"/>
      <c r="P1561" s="33"/>
      <c r="Q1561" s="33"/>
    </row>
    <row r="1562" spans="1:17" ht="16.5" customHeight="1" x14ac:dyDescent="0.2">
      <c r="A1562" s="26"/>
      <c r="B1562" s="26"/>
      <c r="C1562" s="26"/>
      <c r="D1562" s="26"/>
      <c r="E1562" s="26"/>
      <c r="F1562" s="28" t="e">
        <f ca="1">_xludf.ifna(VLOOKUP(G1563,Proyectos!$E$1:$H$4,4,0),"")</f>
        <v>#NAME?</v>
      </c>
      <c r="G1562" s="26"/>
      <c r="H1562" s="32"/>
      <c r="I1562" s="32"/>
      <c r="J1562" s="32"/>
      <c r="K1562" s="32"/>
      <c r="L1562" s="32" t="e">
        <f ca="1">_xludf.ifna(VLOOKUP(G1563,Proyectos!$E$1:$N$4,10,0),"")</f>
        <v>#NAME?</v>
      </c>
      <c r="M1562" s="32"/>
      <c r="N1562" s="32" t="s">
        <v>5905</v>
      </c>
      <c r="O1562" s="32"/>
      <c r="P1562" s="33"/>
      <c r="Q1562" s="33"/>
    </row>
    <row r="1563" spans="1:17" ht="16.5" customHeight="1" x14ac:dyDescent="0.2">
      <c r="A1563" s="26"/>
      <c r="B1563" s="26"/>
      <c r="C1563" s="26"/>
      <c r="D1563" s="26"/>
      <c r="E1563" s="26"/>
      <c r="F1563" s="28" t="e">
        <f ca="1">_xludf.ifna(VLOOKUP(G1564,Proyectos!$E$1:$H$4,4,0),"")</f>
        <v>#NAME?</v>
      </c>
      <c r="G1563" s="26"/>
      <c r="H1563" s="32"/>
      <c r="I1563" s="32"/>
      <c r="J1563" s="32"/>
      <c r="K1563" s="32"/>
      <c r="L1563" s="32" t="e">
        <f ca="1">_xludf.ifna(VLOOKUP(G1564,Proyectos!$E$1:$N$4,10,0),"")</f>
        <v>#NAME?</v>
      </c>
      <c r="M1563" s="32"/>
      <c r="N1563" s="32" t="s">
        <v>5905</v>
      </c>
      <c r="O1563" s="32"/>
      <c r="P1563" s="33"/>
      <c r="Q1563" s="33"/>
    </row>
    <row r="1564" spans="1:17" ht="16.5" customHeight="1" x14ac:dyDescent="0.2">
      <c r="A1564" s="26"/>
      <c r="B1564" s="26"/>
      <c r="C1564" s="26"/>
      <c r="D1564" s="26"/>
      <c r="E1564" s="26"/>
      <c r="F1564" s="28" t="e">
        <f ca="1">_xludf.ifna(VLOOKUP(G1565,Proyectos!$E$1:$H$4,4,0),"")</f>
        <v>#NAME?</v>
      </c>
      <c r="G1564" s="26"/>
      <c r="H1564" s="32"/>
      <c r="I1564" s="32"/>
      <c r="J1564" s="32"/>
      <c r="K1564" s="32"/>
      <c r="L1564" s="32" t="e">
        <f ca="1">_xludf.ifna(VLOOKUP(G1565,Proyectos!$E$1:$N$4,10,0),"")</f>
        <v>#NAME?</v>
      </c>
      <c r="M1564" s="32"/>
      <c r="N1564" s="32" t="s">
        <v>5905</v>
      </c>
      <c r="O1564" s="32"/>
      <c r="P1564" s="33"/>
      <c r="Q1564" s="33"/>
    </row>
    <row r="1565" spans="1:17" ht="16.5" customHeight="1" x14ac:dyDescent="0.2">
      <c r="A1565" s="26"/>
      <c r="B1565" s="26"/>
      <c r="C1565" s="26"/>
      <c r="D1565" s="26"/>
      <c r="E1565" s="26"/>
      <c r="F1565" s="28" t="e">
        <f ca="1">_xludf.ifna(VLOOKUP(G1566,Proyectos!$E$1:$H$4,4,0),"")</f>
        <v>#NAME?</v>
      </c>
      <c r="G1565" s="26"/>
      <c r="H1565" s="32"/>
      <c r="I1565" s="32"/>
      <c r="J1565" s="32"/>
      <c r="K1565" s="32"/>
      <c r="L1565" s="32" t="e">
        <f ca="1">_xludf.ifna(VLOOKUP(G1566,Proyectos!$E$1:$N$4,10,0),"")</f>
        <v>#NAME?</v>
      </c>
      <c r="M1565" s="32"/>
      <c r="N1565" s="32" t="s">
        <v>5905</v>
      </c>
      <c r="O1565" s="32"/>
      <c r="P1565" s="33"/>
      <c r="Q1565" s="33"/>
    </row>
    <row r="1566" spans="1:17" ht="16.5" customHeight="1" x14ac:dyDescent="0.2">
      <c r="A1566" s="26"/>
      <c r="B1566" s="26"/>
      <c r="C1566" s="26"/>
      <c r="D1566" s="26"/>
      <c r="E1566" s="26"/>
      <c r="F1566" s="28" t="e">
        <f ca="1">_xludf.ifna(VLOOKUP(G1567,Proyectos!$E$1:$H$4,4,0),"")</f>
        <v>#NAME?</v>
      </c>
      <c r="G1566" s="26"/>
      <c r="H1566" s="32"/>
      <c r="I1566" s="32"/>
      <c r="J1566" s="32"/>
      <c r="K1566" s="32"/>
      <c r="L1566" s="32" t="e">
        <f ca="1">_xludf.ifna(VLOOKUP(G1567,Proyectos!$E$1:$N$4,10,0),"")</f>
        <v>#NAME?</v>
      </c>
      <c r="M1566" s="32"/>
      <c r="N1566" s="32" t="s">
        <v>5905</v>
      </c>
      <c r="O1566" s="32"/>
      <c r="P1566" s="33"/>
      <c r="Q1566" s="33"/>
    </row>
    <row r="1567" spans="1:17" ht="16.5" customHeight="1" x14ac:dyDescent="0.2">
      <c r="A1567" s="26"/>
      <c r="B1567" s="26"/>
      <c r="C1567" s="26"/>
      <c r="D1567" s="26"/>
      <c r="E1567" s="26"/>
      <c r="F1567" s="28" t="e">
        <f ca="1">_xludf.ifna(VLOOKUP(G1568,Proyectos!$E$1:$H$4,4,0),"")</f>
        <v>#NAME?</v>
      </c>
      <c r="G1567" s="26"/>
      <c r="H1567" s="32"/>
      <c r="I1567" s="32"/>
      <c r="J1567" s="32"/>
      <c r="K1567" s="32"/>
      <c r="L1567" s="32" t="e">
        <f ca="1">_xludf.ifna(VLOOKUP(G1568,Proyectos!$E$1:$N$4,10,0),"")</f>
        <v>#NAME?</v>
      </c>
      <c r="M1567" s="32"/>
      <c r="N1567" s="32" t="s">
        <v>5905</v>
      </c>
      <c r="O1567" s="32"/>
      <c r="P1567" s="33"/>
      <c r="Q1567" s="33"/>
    </row>
    <row r="1568" spans="1:17" ht="16.5" customHeight="1" x14ac:dyDescent="0.2">
      <c r="A1568" s="26"/>
      <c r="B1568" s="26"/>
      <c r="C1568" s="26"/>
      <c r="D1568" s="26"/>
      <c r="E1568" s="26"/>
      <c r="F1568" s="28" t="e">
        <f ca="1">_xludf.ifna(VLOOKUP(G1569,Proyectos!$E$1:$H$4,4,0),"")</f>
        <v>#NAME?</v>
      </c>
      <c r="G1568" s="26"/>
      <c r="H1568" s="32"/>
      <c r="I1568" s="32"/>
      <c r="J1568" s="32"/>
      <c r="K1568" s="32"/>
      <c r="L1568" s="32" t="e">
        <f ca="1">_xludf.ifna(VLOOKUP(G1569,Proyectos!$E$1:$N$4,10,0),"")</f>
        <v>#NAME?</v>
      </c>
      <c r="M1568" s="32"/>
      <c r="N1568" s="32" t="s">
        <v>5905</v>
      </c>
      <c r="O1568" s="32"/>
      <c r="P1568" s="33"/>
      <c r="Q1568" s="33"/>
    </row>
    <row r="1569" spans="1:17" ht="16.5" customHeight="1" x14ac:dyDescent="0.2">
      <c r="A1569" s="26"/>
      <c r="B1569" s="26"/>
      <c r="C1569" s="26"/>
      <c r="D1569" s="26"/>
      <c r="E1569" s="26"/>
      <c r="F1569" s="28" t="e">
        <f ca="1">_xludf.ifna(VLOOKUP(G1570,Proyectos!$E$1:$H$4,4,0),"")</f>
        <v>#NAME?</v>
      </c>
      <c r="G1569" s="26"/>
      <c r="H1569" s="32"/>
      <c r="I1569" s="32"/>
      <c r="J1569" s="32"/>
      <c r="K1569" s="32"/>
      <c r="L1569" s="32" t="e">
        <f ca="1">_xludf.ifna(VLOOKUP(G1570,Proyectos!$E$1:$N$4,10,0),"")</f>
        <v>#NAME?</v>
      </c>
      <c r="M1569" s="32"/>
      <c r="N1569" s="32" t="s">
        <v>5905</v>
      </c>
      <c r="O1569" s="32"/>
      <c r="P1569" s="33"/>
      <c r="Q1569" s="33"/>
    </row>
    <row r="1570" spans="1:17" ht="16.5" customHeight="1" x14ac:dyDescent="0.2">
      <c r="A1570" s="26"/>
      <c r="B1570" s="26"/>
      <c r="C1570" s="26"/>
      <c r="D1570" s="26"/>
      <c r="E1570" s="26"/>
      <c r="F1570" s="28" t="e">
        <f ca="1">_xludf.ifna(VLOOKUP(G1571,Proyectos!$E$1:$H$4,4,0),"")</f>
        <v>#NAME?</v>
      </c>
      <c r="G1570" s="26"/>
      <c r="H1570" s="32"/>
      <c r="I1570" s="32"/>
      <c r="J1570" s="32"/>
      <c r="K1570" s="32"/>
      <c r="L1570" s="32" t="e">
        <f ca="1">_xludf.ifna(VLOOKUP(G1571,Proyectos!$E$1:$N$4,10,0),"")</f>
        <v>#NAME?</v>
      </c>
      <c r="M1570" s="32"/>
      <c r="N1570" s="32" t="s">
        <v>5905</v>
      </c>
      <c r="O1570" s="32"/>
      <c r="P1570" s="33"/>
      <c r="Q1570" s="33"/>
    </row>
    <row r="1571" spans="1:17" ht="16.5" customHeight="1" x14ac:dyDescent="0.2">
      <c r="A1571" s="26"/>
      <c r="B1571" s="26"/>
      <c r="C1571" s="26"/>
      <c r="D1571" s="26"/>
      <c r="E1571" s="26"/>
      <c r="F1571" s="28" t="e">
        <f ca="1">_xludf.ifna(VLOOKUP(G1572,Proyectos!$E$1:$H$4,4,0),"")</f>
        <v>#NAME?</v>
      </c>
      <c r="G1571" s="26"/>
      <c r="H1571" s="32"/>
      <c r="I1571" s="32"/>
      <c r="J1571" s="32"/>
      <c r="K1571" s="32"/>
      <c r="L1571" s="32" t="e">
        <f ca="1">_xludf.ifna(VLOOKUP(G1572,Proyectos!$E$1:$N$4,10,0),"")</f>
        <v>#NAME?</v>
      </c>
      <c r="M1571" s="32"/>
      <c r="N1571" s="32" t="s">
        <v>5905</v>
      </c>
      <c r="O1571" s="32"/>
      <c r="P1571" s="33"/>
      <c r="Q1571" s="33"/>
    </row>
    <row r="1572" spans="1:17" ht="16.5" customHeight="1" x14ac:dyDescent="0.2">
      <c r="A1572" s="26"/>
      <c r="B1572" s="26"/>
      <c r="C1572" s="26"/>
      <c r="D1572" s="26"/>
      <c r="E1572" s="26"/>
      <c r="F1572" s="28" t="e">
        <f ca="1">_xludf.ifna(VLOOKUP(G1573,Proyectos!$E$1:$H$4,4,0),"")</f>
        <v>#NAME?</v>
      </c>
      <c r="G1572" s="26"/>
      <c r="H1572" s="32"/>
      <c r="I1572" s="32"/>
      <c r="J1572" s="32"/>
      <c r="K1572" s="32"/>
      <c r="L1572" s="32" t="e">
        <f ca="1">_xludf.ifna(VLOOKUP(G1573,Proyectos!$E$1:$N$4,10,0),"")</f>
        <v>#NAME?</v>
      </c>
      <c r="M1572" s="32"/>
      <c r="N1572" s="32" t="s">
        <v>5905</v>
      </c>
      <c r="O1572" s="32"/>
      <c r="P1572" s="33"/>
      <c r="Q1572" s="33"/>
    </row>
    <row r="1573" spans="1:17" ht="16.5" customHeight="1" x14ac:dyDescent="0.2">
      <c r="A1573" s="26"/>
      <c r="B1573" s="26"/>
      <c r="C1573" s="26"/>
      <c r="D1573" s="26"/>
      <c r="E1573" s="26"/>
      <c r="F1573" s="28" t="e">
        <f ca="1">_xludf.ifna(VLOOKUP(G1574,Proyectos!$E$1:$H$4,4,0),"")</f>
        <v>#NAME?</v>
      </c>
      <c r="G1573" s="26"/>
      <c r="H1573" s="32"/>
      <c r="I1573" s="32"/>
      <c r="J1573" s="32"/>
      <c r="K1573" s="32"/>
      <c r="L1573" s="32" t="e">
        <f ca="1">_xludf.ifna(VLOOKUP(G1574,Proyectos!$E$1:$N$4,10,0),"")</f>
        <v>#NAME?</v>
      </c>
      <c r="M1573" s="32"/>
      <c r="N1573" s="32" t="s">
        <v>5905</v>
      </c>
      <c r="O1573" s="32"/>
      <c r="P1573" s="33"/>
      <c r="Q1573" s="33"/>
    </row>
    <row r="1574" spans="1:17" ht="16.5" customHeight="1" x14ac:dyDescent="0.2">
      <c r="A1574" s="26"/>
      <c r="B1574" s="26"/>
      <c r="C1574" s="26"/>
      <c r="D1574" s="26"/>
      <c r="E1574" s="26"/>
      <c r="F1574" s="28" t="e">
        <f ca="1">_xludf.ifna(VLOOKUP(G1575,Proyectos!$E$1:$H$4,4,0),"")</f>
        <v>#NAME?</v>
      </c>
      <c r="G1574" s="26"/>
      <c r="H1574" s="32"/>
      <c r="I1574" s="32"/>
      <c r="J1574" s="32"/>
      <c r="K1574" s="32"/>
      <c r="L1574" s="32" t="e">
        <f ca="1">_xludf.ifna(VLOOKUP(G1575,Proyectos!$E$1:$N$4,10,0),"")</f>
        <v>#NAME?</v>
      </c>
      <c r="M1574" s="32"/>
      <c r="N1574" s="32" t="s">
        <v>5905</v>
      </c>
      <c r="O1574" s="32"/>
      <c r="P1574" s="33"/>
      <c r="Q1574" s="33"/>
    </row>
    <row r="1575" spans="1:17" ht="16.5" customHeight="1" x14ac:dyDescent="0.2">
      <c r="A1575" s="26"/>
      <c r="B1575" s="26"/>
      <c r="C1575" s="26"/>
      <c r="D1575" s="26"/>
      <c r="E1575" s="26"/>
      <c r="F1575" s="28" t="e">
        <f ca="1">_xludf.ifna(VLOOKUP(G1576,Proyectos!$E$1:$H$4,4,0),"")</f>
        <v>#NAME?</v>
      </c>
      <c r="G1575" s="26"/>
      <c r="H1575" s="32"/>
      <c r="I1575" s="32"/>
      <c r="J1575" s="32"/>
      <c r="K1575" s="32"/>
      <c r="L1575" s="32" t="e">
        <f ca="1">_xludf.ifna(VLOOKUP(G1576,Proyectos!$E$1:$N$4,10,0),"")</f>
        <v>#NAME?</v>
      </c>
      <c r="M1575" s="32"/>
      <c r="N1575" s="32" t="s">
        <v>5905</v>
      </c>
      <c r="O1575" s="32"/>
      <c r="P1575" s="33"/>
      <c r="Q1575" s="33"/>
    </row>
    <row r="1576" spans="1:17" ht="16.5" customHeight="1" x14ac:dyDescent="0.2">
      <c r="A1576" s="26"/>
      <c r="B1576" s="26"/>
      <c r="C1576" s="26"/>
      <c r="D1576" s="26"/>
      <c r="E1576" s="26"/>
      <c r="F1576" s="28" t="e">
        <f ca="1">_xludf.ifna(VLOOKUP(G1577,Proyectos!$E$1:$H$4,4,0),"")</f>
        <v>#NAME?</v>
      </c>
      <c r="G1576" s="26"/>
      <c r="H1576" s="32"/>
      <c r="I1576" s="32"/>
      <c r="J1576" s="32"/>
      <c r="K1576" s="32"/>
      <c r="L1576" s="32" t="e">
        <f ca="1">_xludf.ifna(VLOOKUP(G1577,Proyectos!$E$1:$N$4,10,0),"")</f>
        <v>#NAME?</v>
      </c>
      <c r="M1576" s="32"/>
      <c r="N1576" s="32" t="s">
        <v>5905</v>
      </c>
      <c r="O1576" s="32"/>
      <c r="P1576" s="33"/>
      <c r="Q1576" s="33"/>
    </row>
    <row r="1577" spans="1:17" ht="16.5" customHeight="1" x14ac:dyDescent="0.2">
      <c r="A1577" s="26"/>
      <c r="B1577" s="26"/>
      <c r="C1577" s="26"/>
      <c r="D1577" s="26"/>
      <c r="E1577" s="26"/>
      <c r="F1577" s="28" t="e">
        <f ca="1">_xludf.ifna(VLOOKUP(G1578,Proyectos!$E$1:$H$4,4,0),"")</f>
        <v>#NAME?</v>
      </c>
      <c r="G1577" s="26"/>
      <c r="H1577" s="32"/>
      <c r="I1577" s="32"/>
      <c r="J1577" s="32"/>
      <c r="K1577" s="32"/>
      <c r="L1577" s="32" t="e">
        <f ca="1">_xludf.ifna(VLOOKUP(G1578,Proyectos!$E$1:$N$4,10,0),"")</f>
        <v>#NAME?</v>
      </c>
      <c r="M1577" s="32"/>
      <c r="N1577" s="32" t="s">
        <v>5905</v>
      </c>
      <c r="O1577" s="32"/>
      <c r="P1577" s="33"/>
      <c r="Q1577" s="33"/>
    </row>
    <row r="1578" spans="1:17" ht="16.5" customHeight="1" x14ac:dyDescent="0.2">
      <c r="A1578" s="26"/>
      <c r="B1578" s="26"/>
      <c r="C1578" s="26"/>
      <c r="D1578" s="26"/>
      <c r="E1578" s="26"/>
      <c r="F1578" s="28" t="e">
        <f ca="1">_xludf.ifna(VLOOKUP(G1579,Proyectos!$E$1:$H$4,4,0),"")</f>
        <v>#NAME?</v>
      </c>
      <c r="G1578" s="26"/>
      <c r="H1578" s="32"/>
      <c r="I1578" s="32"/>
      <c r="J1578" s="32"/>
      <c r="K1578" s="32"/>
      <c r="L1578" s="32" t="e">
        <f ca="1">_xludf.ifna(VLOOKUP(G1579,Proyectos!$E$1:$N$4,10,0),"")</f>
        <v>#NAME?</v>
      </c>
      <c r="M1578" s="32"/>
      <c r="N1578" s="32" t="s">
        <v>5905</v>
      </c>
      <c r="O1578" s="32"/>
      <c r="P1578" s="33"/>
      <c r="Q1578" s="33"/>
    </row>
    <row r="1579" spans="1:17" ht="16.5" customHeight="1" x14ac:dyDescent="0.2">
      <c r="A1579" s="26"/>
      <c r="B1579" s="26"/>
      <c r="C1579" s="26"/>
      <c r="D1579" s="26"/>
      <c r="E1579" s="26"/>
      <c r="F1579" s="28" t="e">
        <f ca="1">_xludf.ifna(VLOOKUP(G1580,Proyectos!$E$1:$H$4,4,0),"")</f>
        <v>#NAME?</v>
      </c>
      <c r="G1579" s="26"/>
      <c r="H1579" s="32"/>
      <c r="I1579" s="32"/>
      <c r="J1579" s="32"/>
      <c r="K1579" s="32"/>
      <c r="L1579" s="32" t="e">
        <f ca="1">_xludf.ifna(VLOOKUP(G1580,Proyectos!$E$1:$N$4,10,0),"")</f>
        <v>#NAME?</v>
      </c>
      <c r="M1579" s="32"/>
      <c r="N1579" s="32" t="s">
        <v>5905</v>
      </c>
      <c r="O1579" s="32"/>
      <c r="P1579" s="33"/>
      <c r="Q1579" s="33"/>
    </row>
    <row r="1580" spans="1:17" ht="16.5" customHeight="1" x14ac:dyDescent="0.2">
      <c r="A1580" s="26"/>
      <c r="B1580" s="26"/>
      <c r="C1580" s="26"/>
      <c r="D1580" s="26"/>
      <c r="E1580" s="26"/>
      <c r="F1580" s="28" t="e">
        <f ca="1">_xludf.ifna(VLOOKUP(G1581,Proyectos!$E$1:$H$4,4,0),"")</f>
        <v>#NAME?</v>
      </c>
      <c r="G1580" s="26"/>
      <c r="H1580" s="32"/>
      <c r="I1580" s="32"/>
      <c r="J1580" s="32"/>
      <c r="K1580" s="32"/>
      <c r="L1580" s="32" t="e">
        <f ca="1">_xludf.ifna(VLOOKUP(G1581,Proyectos!$E$1:$N$4,10,0),"")</f>
        <v>#NAME?</v>
      </c>
      <c r="M1580" s="32"/>
      <c r="N1580" s="32" t="s">
        <v>5905</v>
      </c>
      <c r="O1580" s="32"/>
      <c r="P1580" s="33"/>
      <c r="Q1580" s="33"/>
    </row>
    <row r="1581" spans="1:17" ht="16.5" customHeight="1" x14ac:dyDescent="0.2">
      <c r="A1581" s="26"/>
      <c r="B1581" s="26"/>
      <c r="C1581" s="26"/>
      <c r="D1581" s="26"/>
      <c r="E1581" s="26"/>
      <c r="F1581" s="28" t="e">
        <f ca="1">_xludf.ifna(VLOOKUP(G1582,Proyectos!$E$1:$H$4,4,0),"")</f>
        <v>#NAME?</v>
      </c>
      <c r="G1581" s="26"/>
      <c r="H1581" s="32"/>
      <c r="I1581" s="32"/>
      <c r="J1581" s="32"/>
      <c r="K1581" s="32"/>
      <c r="L1581" s="32" t="e">
        <f ca="1">_xludf.ifna(VLOOKUP(G1582,Proyectos!$E$1:$N$4,10,0),"")</f>
        <v>#NAME?</v>
      </c>
      <c r="M1581" s="32"/>
      <c r="N1581" s="32" t="s">
        <v>5905</v>
      </c>
      <c r="O1581" s="32"/>
      <c r="P1581" s="33"/>
      <c r="Q1581" s="33"/>
    </row>
    <row r="1582" spans="1:17" ht="16.5" customHeight="1" x14ac:dyDescent="0.2">
      <c r="A1582" s="26"/>
      <c r="B1582" s="26"/>
      <c r="C1582" s="26"/>
      <c r="D1582" s="26"/>
      <c r="E1582" s="26"/>
      <c r="F1582" s="28" t="e">
        <f ca="1">_xludf.ifna(VLOOKUP(G1583,Proyectos!$E$1:$H$4,4,0),"")</f>
        <v>#NAME?</v>
      </c>
      <c r="G1582" s="26"/>
      <c r="H1582" s="32"/>
      <c r="I1582" s="32"/>
      <c r="J1582" s="32"/>
      <c r="K1582" s="32"/>
      <c r="L1582" s="32" t="e">
        <f ca="1">_xludf.ifna(VLOOKUP(G1583,Proyectos!$E$1:$N$4,10,0),"")</f>
        <v>#NAME?</v>
      </c>
      <c r="M1582" s="32"/>
      <c r="N1582" s="32" t="s">
        <v>5905</v>
      </c>
      <c r="O1582" s="32"/>
      <c r="P1582" s="33"/>
      <c r="Q1582" s="33"/>
    </row>
    <row r="1583" spans="1:17" ht="16.5" customHeight="1" x14ac:dyDescent="0.2">
      <c r="A1583" s="26"/>
      <c r="B1583" s="26"/>
      <c r="C1583" s="26"/>
      <c r="D1583" s="26"/>
      <c r="E1583" s="26"/>
      <c r="F1583" s="28" t="e">
        <f ca="1">_xludf.ifna(VLOOKUP(G1584,Proyectos!$E$1:$H$4,4,0),"")</f>
        <v>#NAME?</v>
      </c>
      <c r="G1583" s="26"/>
      <c r="H1583" s="32"/>
      <c r="I1583" s="32"/>
      <c r="J1583" s="32"/>
      <c r="K1583" s="32"/>
      <c r="L1583" s="32" t="e">
        <f ca="1">_xludf.ifna(VLOOKUP(G1584,Proyectos!$E$1:$N$4,10,0),"")</f>
        <v>#NAME?</v>
      </c>
      <c r="M1583" s="32"/>
      <c r="N1583" s="32" t="s">
        <v>5905</v>
      </c>
      <c r="O1583" s="32"/>
      <c r="P1583" s="33"/>
      <c r="Q1583" s="33"/>
    </row>
    <row r="1584" spans="1:17" ht="16.5" customHeight="1" x14ac:dyDescent="0.2">
      <c r="A1584" s="26"/>
      <c r="B1584" s="26"/>
      <c r="C1584" s="26"/>
      <c r="D1584" s="26"/>
      <c r="E1584" s="26"/>
      <c r="F1584" s="28" t="e">
        <f ca="1">_xludf.ifna(VLOOKUP(G1585,Proyectos!$E$1:$H$4,4,0),"")</f>
        <v>#NAME?</v>
      </c>
      <c r="G1584" s="26"/>
      <c r="H1584" s="32"/>
      <c r="I1584" s="32"/>
      <c r="J1584" s="32"/>
      <c r="K1584" s="32"/>
      <c r="L1584" s="32" t="e">
        <f ca="1">_xludf.ifna(VLOOKUP(G1585,Proyectos!$E$1:$N$4,10,0),"")</f>
        <v>#NAME?</v>
      </c>
      <c r="M1584" s="32"/>
      <c r="N1584" s="32" t="s">
        <v>5905</v>
      </c>
      <c r="O1584" s="32"/>
      <c r="P1584" s="33"/>
      <c r="Q1584" s="33"/>
    </row>
    <row r="1585" spans="1:17" ht="16.5" customHeight="1" x14ac:dyDescent="0.2">
      <c r="A1585" s="26"/>
      <c r="B1585" s="26"/>
      <c r="C1585" s="26"/>
      <c r="D1585" s="26"/>
      <c r="E1585" s="26"/>
      <c r="F1585" s="28" t="e">
        <f ca="1">_xludf.ifna(VLOOKUP(G1586,Proyectos!$E$1:$H$4,4,0),"")</f>
        <v>#NAME?</v>
      </c>
      <c r="G1585" s="26"/>
      <c r="H1585" s="32"/>
      <c r="I1585" s="32"/>
      <c r="J1585" s="32"/>
      <c r="K1585" s="32"/>
      <c r="L1585" s="32" t="e">
        <f ca="1">_xludf.ifna(VLOOKUP(G1586,Proyectos!$E$1:$N$4,10,0),"")</f>
        <v>#NAME?</v>
      </c>
      <c r="M1585" s="32"/>
      <c r="N1585" s="32" t="s">
        <v>5905</v>
      </c>
      <c r="O1585" s="32"/>
      <c r="P1585" s="33"/>
      <c r="Q1585" s="33"/>
    </row>
    <row r="1586" spans="1:17" ht="16.5" customHeight="1" x14ac:dyDescent="0.2">
      <c r="A1586" s="26"/>
      <c r="B1586" s="26"/>
      <c r="C1586" s="26"/>
      <c r="D1586" s="26"/>
      <c r="E1586" s="26"/>
      <c r="F1586" s="28" t="e">
        <f ca="1">_xludf.ifna(VLOOKUP(G1587,Proyectos!$E$1:$H$4,4,0),"")</f>
        <v>#NAME?</v>
      </c>
      <c r="G1586" s="26"/>
      <c r="H1586" s="32"/>
      <c r="I1586" s="32"/>
      <c r="J1586" s="32"/>
      <c r="K1586" s="32"/>
      <c r="L1586" s="32" t="e">
        <f ca="1">_xludf.ifna(VLOOKUP(G1587,Proyectos!$E$1:$N$4,10,0),"")</f>
        <v>#NAME?</v>
      </c>
      <c r="M1586" s="32"/>
      <c r="N1586" s="32" t="s">
        <v>5905</v>
      </c>
      <c r="O1586" s="32"/>
      <c r="P1586" s="33"/>
      <c r="Q1586" s="33"/>
    </row>
    <row r="1587" spans="1:17" ht="16.5" customHeight="1" x14ac:dyDescent="0.2">
      <c r="A1587" s="26"/>
      <c r="B1587" s="26"/>
      <c r="C1587" s="26"/>
      <c r="D1587" s="26"/>
      <c r="E1587" s="26"/>
      <c r="F1587" s="28" t="e">
        <f ca="1">_xludf.ifna(VLOOKUP(G1588,Proyectos!$E$1:$H$4,4,0),"")</f>
        <v>#NAME?</v>
      </c>
      <c r="G1587" s="26"/>
      <c r="H1587" s="32"/>
      <c r="I1587" s="32"/>
      <c r="J1587" s="32"/>
      <c r="K1587" s="32"/>
      <c r="L1587" s="32" t="e">
        <f ca="1">_xludf.ifna(VLOOKUP(G1588,Proyectos!$E$1:$N$4,10,0),"")</f>
        <v>#NAME?</v>
      </c>
      <c r="M1587" s="32"/>
      <c r="N1587" s="32" t="s">
        <v>5905</v>
      </c>
      <c r="O1587" s="32"/>
      <c r="P1587" s="33"/>
      <c r="Q1587" s="33"/>
    </row>
    <row r="1588" spans="1:17" ht="16.5" customHeight="1" x14ac:dyDescent="0.2">
      <c r="A1588" s="26"/>
      <c r="B1588" s="26"/>
      <c r="C1588" s="26"/>
      <c r="D1588" s="26"/>
      <c r="E1588" s="26"/>
      <c r="F1588" s="28" t="e">
        <f ca="1">_xludf.ifna(VLOOKUP(G1589,Proyectos!$E$1:$H$4,4,0),"")</f>
        <v>#NAME?</v>
      </c>
      <c r="G1588" s="26"/>
      <c r="H1588" s="32"/>
      <c r="I1588" s="32"/>
      <c r="J1588" s="32"/>
      <c r="K1588" s="32"/>
      <c r="L1588" s="32" t="e">
        <f ca="1">_xludf.ifna(VLOOKUP(G1589,Proyectos!$E$1:$N$4,10,0),"")</f>
        <v>#NAME?</v>
      </c>
      <c r="M1588" s="32"/>
      <c r="N1588" s="32" t="s">
        <v>5905</v>
      </c>
      <c r="O1588" s="32"/>
      <c r="P1588" s="33"/>
      <c r="Q1588" s="33"/>
    </row>
    <row r="1589" spans="1:17" ht="16.5" customHeight="1" x14ac:dyDescent="0.2">
      <c r="A1589" s="26"/>
      <c r="B1589" s="26"/>
      <c r="C1589" s="26"/>
      <c r="D1589" s="26"/>
      <c r="E1589" s="26"/>
      <c r="F1589" s="28" t="e">
        <f ca="1">_xludf.ifna(VLOOKUP(G1590,Proyectos!$E$1:$H$4,4,0),"")</f>
        <v>#NAME?</v>
      </c>
      <c r="G1589" s="26"/>
      <c r="H1589" s="32"/>
      <c r="I1589" s="32"/>
      <c r="J1589" s="32"/>
      <c r="K1589" s="32"/>
      <c r="L1589" s="32" t="e">
        <f ca="1">_xludf.ifna(VLOOKUP(G1590,Proyectos!$E$1:$N$4,10,0),"")</f>
        <v>#NAME?</v>
      </c>
      <c r="M1589" s="32"/>
      <c r="N1589" s="32" t="s">
        <v>5905</v>
      </c>
      <c r="O1589" s="32"/>
      <c r="P1589" s="33"/>
      <c r="Q1589" s="33"/>
    </row>
    <row r="1590" spans="1:17" ht="16.5" customHeight="1" x14ac:dyDescent="0.2">
      <c r="A1590" s="26"/>
      <c r="B1590" s="26"/>
      <c r="C1590" s="26"/>
      <c r="D1590" s="26"/>
      <c r="E1590" s="26"/>
      <c r="F1590" s="28" t="e">
        <f ca="1">_xludf.ifna(VLOOKUP(G1591,Proyectos!$E$1:$H$4,4,0),"")</f>
        <v>#NAME?</v>
      </c>
      <c r="G1590" s="26"/>
      <c r="H1590" s="32"/>
      <c r="I1590" s="32"/>
      <c r="J1590" s="32"/>
      <c r="K1590" s="32"/>
      <c r="L1590" s="32" t="e">
        <f ca="1">_xludf.ifna(VLOOKUP(G1591,Proyectos!$E$1:$N$4,10,0),"")</f>
        <v>#NAME?</v>
      </c>
      <c r="M1590" s="32"/>
      <c r="N1590" s="32" t="s">
        <v>5905</v>
      </c>
      <c r="O1590" s="32"/>
      <c r="P1590" s="33"/>
      <c r="Q1590" s="33"/>
    </row>
    <row r="1591" spans="1:17" ht="16.5" customHeight="1" x14ac:dyDescent="0.2">
      <c r="A1591" s="26"/>
      <c r="B1591" s="26"/>
      <c r="C1591" s="26"/>
      <c r="D1591" s="26"/>
      <c r="E1591" s="26"/>
      <c r="F1591" s="28" t="e">
        <f ca="1">_xludf.ifna(VLOOKUP(G1592,Proyectos!$E$1:$H$4,4,0),"")</f>
        <v>#NAME?</v>
      </c>
      <c r="G1591" s="26"/>
      <c r="H1591" s="32"/>
      <c r="I1591" s="32"/>
      <c r="J1591" s="32"/>
      <c r="K1591" s="32"/>
      <c r="L1591" s="32" t="e">
        <f ca="1">_xludf.ifna(VLOOKUP(G1592,Proyectos!$E$1:$N$4,10,0),"")</f>
        <v>#NAME?</v>
      </c>
      <c r="M1591" s="32"/>
      <c r="N1591" s="32" t="s">
        <v>5905</v>
      </c>
      <c r="O1591" s="32"/>
      <c r="P1591" s="33"/>
      <c r="Q1591" s="33"/>
    </row>
    <row r="1592" spans="1:17" ht="16.5" customHeight="1" x14ac:dyDescent="0.2">
      <c r="A1592" s="26"/>
      <c r="B1592" s="26"/>
      <c r="C1592" s="26"/>
      <c r="D1592" s="26"/>
      <c r="E1592" s="26"/>
      <c r="F1592" s="28" t="e">
        <f ca="1">_xludf.ifna(VLOOKUP(G1593,Proyectos!$E$1:$H$4,4,0),"")</f>
        <v>#NAME?</v>
      </c>
      <c r="G1592" s="26"/>
      <c r="H1592" s="32"/>
      <c r="I1592" s="32"/>
      <c r="J1592" s="32"/>
      <c r="K1592" s="32"/>
      <c r="L1592" s="32" t="e">
        <f ca="1">_xludf.ifna(VLOOKUP(G1593,Proyectos!$E$1:$N$4,10,0),"")</f>
        <v>#NAME?</v>
      </c>
      <c r="M1592" s="32"/>
      <c r="N1592" s="32" t="s">
        <v>5905</v>
      </c>
      <c r="O1592" s="32"/>
      <c r="P1592" s="33"/>
      <c r="Q1592" s="33"/>
    </row>
    <row r="1593" spans="1:17" ht="16.5" customHeight="1" x14ac:dyDescent="0.2">
      <c r="A1593" s="26"/>
      <c r="B1593" s="26"/>
      <c r="C1593" s="26"/>
      <c r="D1593" s="26"/>
      <c r="E1593" s="26"/>
      <c r="F1593" s="28" t="e">
        <f ca="1">_xludf.ifna(VLOOKUP(G1594,Proyectos!$E$1:$H$4,4,0),"")</f>
        <v>#NAME?</v>
      </c>
      <c r="G1593" s="26"/>
      <c r="H1593" s="32"/>
      <c r="I1593" s="32"/>
      <c r="J1593" s="32"/>
      <c r="K1593" s="32"/>
      <c r="L1593" s="32" t="e">
        <f ca="1">_xludf.ifna(VLOOKUP(G1594,Proyectos!$E$1:$N$4,10,0),"")</f>
        <v>#NAME?</v>
      </c>
      <c r="M1593" s="32"/>
      <c r="N1593" s="32" t="s">
        <v>5905</v>
      </c>
      <c r="O1593" s="32"/>
      <c r="P1593" s="33"/>
      <c r="Q1593" s="33"/>
    </row>
    <row r="1594" spans="1:17" ht="16.5" customHeight="1" x14ac:dyDescent="0.2">
      <c r="A1594" s="26"/>
      <c r="B1594" s="26"/>
      <c r="C1594" s="26"/>
      <c r="D1594" s="26"/>
      <c r="E1594" s="26"/>
      <c r="F1594" s="28" t="e">
        <f ca="1">_xludf.ifna(VLOOKUP(G1595,Proyectos!$E$1:$H$4,4,0),"")</f>
        <v>#NAME?</v>
      </c>
      <c r="G1594" s="26"/>
      <c r="H1594" s="32"/>
      <c r="I1594" s="32"/>
      <c r="J1594" s="32"/>
      <c r="K1594" s="32"/>
      <c r="L1594" s="32" t="e">
        <f ca="1">_xludf.ifna(VLOOKUP(G1595,Proyectos!$E$1:$N$4,10,0),"")</f>
        <v>#NAME?</v>
      </c>
      <c r="M1594" s="32"/>
      <c r="N1594" s="32" t="s">
        <v>5905</v>
      </c>
      <c r="O1594" s="32"/>
      <c r="P1594" s="33"/>
      <c r="Q1594" s="33"/>
    </row>
    <row r="1595" spans="1:17" ht="16.5" customHeight="1" x14ac:dyDescent="0.2">
      <c r="A1595" s="26"/>
      <c r="B1595" s="26"/>
      <c r="C1595" s="26"/>
      <c r="D1595" s="26"/>
      <c r="E1595" s="26"/>
      <c r="F1595" s="28" t="e">
        <f ca="1">_xludf.ifna(VLOOKUP(G1596,Proyectos!$E$1:$H$4,4,0),"")</f>
        <v>#NAME?</v>
      </c>
      <c r="G1595" s="26"/>
      <c r="H1595" s="32"/>
      <c r="I1595" s="32"/>
      <c r="J1595" s="32"/>
      <c r="K1595" s="32"/>
      <c r="L1595" s="32" t="e">
        <f ca="1">_xludf.ifna(VLOOKUP(G1596,Proyectos!$E$1:$N$4,10,0),"")</f>
        <v>#NAME?</v>
      </c>
      <c r="M1595" s="32"/>
      <c r="N1595" s="32" t="s">
        <v>5905</v>
      </c>
      <c r="O1595" s="32"/>
      <c r="P1595" s="33"/>
      <c r="Q1595" s="33"/>
    </row>
    <row r="1596" spans="1:17" ht="16.5" customHeight="1" x14ac:dyDescent="0.2">
      <c r="A1596" s="26"/>
      <c r="B1596" s="26"/>
      <c r="C1596" s="26"/>
      <c r="D1596" s="26"/>
      <c r="E1596" s="26"/>
      <c r="F1596" s="28" t="e">
        <f ca="1">_xludf.ifna(VLOOKUP(G1597,Proyectos!$E$1:$H$4,4,0),"")</f>
        <v>#NAME?</v>
      </c>
      <c r="G1596" s="26"/>
      <c r="H1596" s="32"/>
      <c r="I1596" s="32"/>
      <c r="J1596" s="32"/>
      <c r="K1596" s="32"/>
      <c r="L1596" s="32" t="e">
        <f ca="1">_xludf.ifna(VLOOKUP(G1597,Proyectos!$E$1:$N$4,10,0),"")</f>
        <v>#NAME?</v>
      </c>
      <c r="M1596" s="32"/>
      <c r="N1596" s="32" t="s">
        <v>5905</v>
      </c>
      <c r="O1596" s="32"/>
      <c r="P1596" s="33"/>
      <c r="Q1596" s="33"/>
    </row>
    <row r="1597" spans="1:17" ht="16.5" customHeight="1" x14ac:dyDescent="0.2">
      <c r="A1597" s="26"/>
      <c r="B1597" s="26"/>
      <c r="C1597" s="26"/>
      <c r="D1597" s="26"/>
      <c r="E1597" s="26"/>
      <c r="F1597" s="28" t="e">
        <f ca="1">_xludf.ifna(VLOOKUP(G1598,Proyectos!$E$1:$H$4,4,0),"")</f>
        <v>#NAME?</v>
      </c>
      <c r="G1597" s="26"/>
      <c r="H1597" s="32"/>
      <c r="I1597" s="32"/>
      <c r="J1597" s="32"/>
      <c r="K1597" s="32"/>
      <c r="L1597" s="32" t="e">
        <f ca="1">_xludf.ifna(VLOOKUP(G1598,Proyectos!$E$1:$N$4,10,0),"")</f>
        <v>#NAME?</v>
      </c>
      <c r="M1597" s="32"/>
      <c r="N1597" s="32" t="s">
        <v>5905</v>
      </c>
      <c r="O1597" s="32"/>
      <c r="P1597" s="33"/>
      <c r="Q1597" s="33"/>
    </row>
    <row r="1598" spans="1:17" ht="16.5" customHeight="1" x14ac:dyDescent="0.2">
      <c r="A1598" s="26"/>
      <c r="B1598" s="26"/>
      <c r="C1598" s="26"/>
      <c r="D1598" s="26"/>
      <c r="E1598" s="26"/>
      <c r="F1598" s="28" t="e">
        <f ca="1">_xludf.ifna(VLOOKUP(G1599,Proyectos!$E$1:$H$4,4,0),"")</f>
        <v>#NAME?</v>
      </c>
      <c r="G1598" s="26"/>
      <c r="H1598" s="32"/>
      <c r="I1598" s="32"/>
      <c r="J1598" s="32"/>
      <c r="K1598" s="32"/>
      <c r="L1598" s="32" t="e">
        <f ca="1">_xludf.ifna(VLOOKUP(G1599,Proyectos!$E$1:$N$4,10,0),"")</f>
        <v>#NAME?</v>
      </c>
      <c r="M1598" s="32"/>
      <c r="N1598" s="32" t="s">
        <v>5905</v>
      </c>
      <c r="O1598" s="32"/>
      <c r="P1598" s="33"/>
      <c r="Q1598" s="33"/>
    </row>
    <row r="1599" spans="1:17" ht="16.5" customHeight="1" x14ac:dyDescent="0.2">
      <c r="A1599" s="26"/>
      <c r="B1599" s="26"/>
      <c r="C1599" s="26"/>
      <c r="D1599" s="26"/>
      <c r="E1599" s="26"/>
      <c r="F1599" s="28" t="e">
        <f ca="1">_xludf.ifna(VLOOKUP(G1600,Proyectos!$E$1:$H$4,4,0),"")</f>
        <v>#NAME?</v>
      </c>
      <c r="G1599" s="26"/>
      <c r="H1599" s="32"/>
      <c r="I1599" s="32"/>
      <c r="J1599" s="32"/>
      <c r="K1599" s="32"/>
      <c r="L1599" s="32" t="e">
        <f ca="1">_xludf.ifna(VLOOKUP(G1600,Proyectos!$E$1:$N$4,10,0),"")</f>
        <v>#NAME?</v>
      </c>
      <c r="M1599" s="32"/>
      <c r="N1599" s="32" t="s">
        <v>5905</v>
      </c>
      <c r="O1599" s="32"/>
      <c r="P1599" s="33"/>
      <c r="Q1599" s="33"/>
    </row>
    <row r="1600" spans="1:17" ht="16.5" customHeight="1" x14ac:dyDescent="0.2">
      <c r="A1600" s="26"/>
      <c r="B1600" s="26"/>
      <c r="C1600" s="26"/>
      <c r="D1600" s="26"/>
      <c r="E1600" s="26"/>
      <c r="F1600" s="28" t="e">
        <f ca="1">_xludf.ifna(VLOOKUP(G1601,Proyectos!$E$1:$H$4,4,0),"")</f>
        <v>#NAME?</v>
      </c>
      <c r="G1600" s="26"/>
      <c r="H1600" s="32"/>
      <c r="I1600" s="32"/>
      <c r="J1600" s="32"/>
      <c r="K1600" s="32"/>
      <c r="L1600" s="32" t="e">
        <f ca="1">_xludf.ifna(VLOOKUP(G1601,Proyectos!$E$1:$N$4,10,0),"")</f>
        <v>#NAME?</v>
      </c>
      <c r="M1600" s="32"/>
      <c r="N1600" s="32" t="s">
        <v>5905</v>
      </c>
      <c r="O1600" s="32"/>
      <c r="P1600" s="33"/>
      <c r="Q1600" s="33"/>
    </row>
    <row r="1601" spans="1:17" ht="16.5" customHeight="1" x14ac:dyDescent="0.2">
      <c r="A1601" s="26"/>
      <c r="B1601" s="26"/>
      <c r="C1601" s="26"/>
      <c r="D1601" s="26"/>
      <c r="E1601" s="26"/>
      <c r="F1601" s="28" t="e">
        <f ca="1">_xludf.ifna(VLOOKUP(G1602,Proyectos!$E$1:$H$4,4,0),"")</f>
        <v>#NAME?</v>
      </c>
      <c r="G1601" s="26"/>
      <c r="H1601" s="32"/>
      <c r="I1601" s="32"/>
      <c r="J1601" s="32"/>
      <c r="K1601" s="32"/>
      <c r="L1601" s="32" t="e">
        <f ca="1">_xludf.ifna(VLOOKUP(G1602,Proyectos!$E$1:$N$4,10,0),"")</f>
        <v>#NAME?</v>
      </c>
      <c r="M1601" s="32"/>
      <c r="N1601" s="32" t="s">
        <v>5905</v>
      </c>
      <c r="O1601" s="32"/>
      <c r="P1601" s="33"/>
      <c r="Q1601" s="33"/>
    </row>
    <row r="1602" spans="1:17" ht="16.5" customHeight="1" x14ac:dyDescent="0.2">
      <c r="A1602" s="26"/>
      <c r="B1602" s="26"/>
      <c r="C1602" s="26"/>
      <c r="D1602" s="26"/>
      <c r="E1602" s="26"/>
      <c r="F1602" s="28" t="e">
        <f ca="1">_xludf.ifna(VLOOKUP(G1603,Proyectos!$E$1:$H$4,4,0),"")</f>
        <v>#NAME?</v>
      </c>
      <c r="G1602" s="26"/>
      <c r="H1602" s="32"/>
      <c r="I1602" s="32"/>
      <c r="J1602" s="32"/>
      <c r="K1602" s="32"/>
      <c r="L1602" s="32" t="e">
        <f ca="1">_xludf.ifna(VLOOKUP(G1603,Proyectos!$E$1:$N$4,10,0),"")</f>
        <v>#NAME?</v>
      </c>
      <c r="M1602" s="32"/>
      <c r="N1602" s="32" t="s">
        <v>5905</v>
      </c>
      <c r="O1602" s="32"/>
      <c r="P1602" s="33"/>
      <c r="Q1602" s="33"/>
    </row>
    <row r="1603" spans="1:17" ht="16.5" customHeight="1" x14ac:dyDescent="0.2">
      <c r="A1603" s="26"/>
      <c r="B1603" s="26"/>
      <c r="C1603" s="26"/>
      <c r="D1603" s="26"/>
      <c r="E1603" s="26"/>
      <c r="F1603" s="28" t="e">
        <f ca="1">_xludf.ifna(VLOOKUP(G1604,Proyectos!$E$1:$H$4,4,0),"")</f>
        <v>#NAME?</v>
      </c>
      <c r="G1603" s="26"/>
      <c r="H1603" s="32"/>
      <c r="I1603" s="32"/>
      <c r="J1603" s="32"/>
      <c r="K1603" s="32"/>
      <c r="L1603" s="32" t="e">
        <f ca="1">_xludf.ifna(VLOOKUP(G1604,Proyectos!$E$1:$N$4,10,0),"")</f>
        <v>#NAME?</v>
      </c>
      <c r="M1603" s="32"/>
      <c r="N1603" s="32" t="s">
        <v>5905</v>
      </c>
      <c r="O1603" s="32"/>
      <c r="P1603" s="33"/>
      <c r="Q1603" s="33"/>
    </row>
    <row r="1604" spans="1:17" ht="16.5" customHeight="1" x14ac:dyDescent="0.2">
      <c r="A1604" s="26"/>
      <c r="B1604" s="26"/>
      <c r="C1604" s="26"/>
      <c r="D1604" s="26"/>
      <c r="E1604" s="26"/>
      <c r="F1604" s="28" t="e">
        <f ca="1">_xludf.ifna(VLOOKUP(G1605,Proyectos!$E$1:$H$4,4,0),"")</f>
        <v>#NAME?</v>
      </c>
      <c r="G1604" s="26"/>
      <c r="H1604" s="32"/>
      <c r="I1604" s="32"/>
      <c r="J1604" s="32"/>
      <c r="K1604" s="32"/>
      <c r="L1604" s="32" t="e">
        <f ca="1">_xludf.ifna(VLOOKUP(G1605,Proyectos!$E$1:$N$4,10,0),"")</f>
        <v>#NAME?</v>
      </c>
      <c r="M1604" s="32"/>
      <c r="N1604" s="32" t="s">
        <v>5905</v>
      </c>
      <c r="O1604" s="32"/>
      <c r="P1604" s="33"/>
      <c r="Q1604" s="33"/>
    </row>
    <row r="1605" spans="1:17" ht="16.5" customHeight="1" x14ac:dyDescent="0.2">
      <c r="A1605" s="26"/>
      <c r="B1605" s="26"/>
      <c r="C1605" s="26"/>
      <c r="D1605" s="26"/>
      <c r="E1605" s="26"/>
      <c r="F1605" s="28" t="e">
        <f ca="1">_xludf.ifna(VLOOKUP(G1606,Proyectos!$E$1:$H$4,4,0),"")</f>
        <v>#NAME?</v>
      </c>
      <c r="G1605" s="26"/>
      <c r="H1605" s="32"/>
      <c r="I1605" s="32"/>
      <c r="J1605" s="32"/>
      <c r="K1605" s="32"/>
      <c r="L1605" s="32" t="e">
        <f ca="1">_xludf.ifna(VLOOKUP(G1606,Proyectos!$E$1:$N$4,10,0),"")</f>
        <v>#NAME?</v>
      </c>
      <c r="M1605" s="32"/>
      <c r="N1605" s="32" t="s">
        <v>5905</v>
      </c>
      <c r="O1605" s="32"/>
      <c r="P1605" s="33"/>
      <c r="Q1605" s="33"/>
    </row>
    <row r="1606" spans="1:17" ht="16.5" customHeight="1" x14ac:dyDescent="0.2">
      <c r="A1606" s="26"/>
      <c r="B1606" s="26"/>
      <c r="C1606" s="26"/>
      <c r="D1606" s="26"/>
      <c r="E1606" s="26"/>
      <c r="F1606" s="28" t="e">
        <f ca="1">_xludf.ifna(VLOOKUP(G1607,Proyectos!$E$1:$H$4,4,0),"")</f>
        <v>#NAME?</v>
      </c>
      <c r="G1606" s="26"/>
      <c r="H1606" s="32"/>
      <c r="I1606" s="32"/>
      <c r="J1606" s="32"/>
      <c r="K1606" s="32"/>
      <c r="L1606" s="32" t="e">
        <f ca="1">_xludf.ifna(VLOOKUP(G1607,Proyectos!$E$1:$N$4,10,0),"")</f>
        <v>#NAME?</v>
      </c>
      <c r="M1606" s="32"/>
      <c r="N1606" s="32" t="s">
        <v>5905</v>
      </c>
      <c r="O1606" s="32"/>
      <c r="P1606" s="33"/>
      <c r="Q1606" s="33"/>
    </row>
    <row r="1607" spans="1:17" ht="16.5" customHeight="1" x14ac:dyDescent="0.2">
      <c r="A1607" s="26"/>
      <c r="B1607" s="26"/>
      <c r="C1607" s="26"/>
      <c r="D1607" s="26"/>
      <c r="E1607" s="26"/>
      <c r="F1607" s="28" t="e">
        <f ca="1">_xludf.ifna(VLOOKUP(G1608,Proyectos!$E$1:$H$4,4,0),"")</f>
        <v>#NAME?</v>
      </c>
      <c r="G1607" s="26"/>
      <c r="H1607" s="32"/>
      <c r="I1607" s="32"/>
      <c r="J1607" s="32"/>
      <c r="K1607" s="32"/>
      <c r="L1607" s="32" t="e">
        <f ca="1">_xludf.ifna(VLOOKUP(G1608,Proyectos!$E$1:$N$4,10,0),"")</f>
        <v>#NAME?</v>
      </c>
      <c r="M1607" s="32"/>
      <c r="N1607" s="32" t="s">
        <v>5905</v>
      </c>
      <c r="O1607" s="32"/>
      <c r="P1607" s="33"/>
      <c r="Q1607" s="33"/>
    </row>
    <row r="1608" spans="1:17" ht="16.5" customHeight="1" x14ac:dyDescent="0.2">
      <c r="A1608" s="26"/>
      <c r="B1608" s="26"/>
      <c r="C1608" s="26"/>
      <c r="D1608" s="26"/>
      <c r="E1608" s="26"/>
      <c r="F1608" s="28" t="e">
        <f ca="1">_xludf.ifna(VLOOKUP(G1609,Proyectos!$E$1:$H$4,4,0),"")</f>
        <v>#NAME?</v>
      </c>
      <c r="G1608" s="26"/>
      <c r="H1608" s="32"/>
      <c r="I1608" s="32"/>
      <c r="J1608" s="32"/>
      <c r="K1608" s="32"/>
      <c r="L1608" s="32" t="e">
        <f ca="1">_xludf.ifna(VLOOKUP(G1609,Proyectos!$E$1:$N$4,10,0),"")</f>
        <v>#NAME?</v>
      </c>
      <c r="M1608" s="32"/>
      <c r="N1608" s="32" t="s">
        <v>5905</v>
      </c>
      <c r="O1608" s="32"/>
      <c r="P1608" s="33"/>
      <c r="Q1608" s="33"/>
    </row>
    <row r="1609" spans="1:17" ht="16.5" customHeight="1" x14ac:dyDescent="0.2">
      <c r="A1609" s="26"/>
      <c r="B1609" s="26"/>
      <c r="C1609" s="26"/>
      <c r="D1609" s="26"/>
      <c r="E1609" s="26"/>
      <c r="F1609" s="28" t="e">
        <f ca="1">_xludf.ifna(VLOOKUP(G1610,Proyectos!$E$1:$H$4,4,0),"")</f>
        <v>#NAME?</v>
      </c>
      <c r="G1609" s="26"/>
      <c r="H1609" s="32"/>
      <c r="I1609" s="32"/>
      <c r="J1609" s="32"/>
      <c r="K1609" s="32"/>
      <c r="L1609" s="32" t="e">
        <f ca="1">_xludf.ifna(VLOOKUP(G1610,Proyectos!$E$1:$N$4,10,0),"")</f>
        <v>#NAME?</v>
      </c>
      <c r="M1609" s="32"/>
      <c r="N1609" s="32" t="s">
        <v>5905</v>
      </c>
      <c r="O1609" s="32"/>
      <c r="P1609" s="33"/>
      <c r="Q1609" s="33"/>
    </row>
    <row r="1610" spans="1:17" ht="16.5" customHeight="1" x14ac:dyDescent="0.2">
      <c r="A1610" s="26"/>
      <c r="B1610" s="26"/>
      <c r="C1610" s="26"/>
      <c r="D1610" s="26"/>
      <c r="E1610" s="26"/>
      <c r="F1610" s="28" t="e">
        <f ca="1">_xludf.ifna(VLOOKUP(G1611,Proyectos!$E$1:$H$4,4,0),"")</f>
        <v>#NAME?</v>
      </c>
      <c r="G1610" s="26"/>
      <c r="H1610" s="32"/>
      <c r="I1610" s="32"/>
      <c r="J1610" s="32"/>
      <c r="K1610" s="32"/>
      <c r="L1610" s="32" t="e">
        <f ca="1">_xludf.ifna(VLOOKUP(G1611,Proyectos!$E$1:$N$4,10,0),"")</f>
        <v>#NAME?</v>
      </c>
      <c r="M1610" s="32"/>
      <c r="N1610" s="32" t="s">
        <v>5905</v>
      </c>
      <c r="O1610" s="32"/>
      <c r="P1610" s="33"/>
      <c r="Q1610" s="33"/>
    </row>
    <row r="1611" spans="1:17" ht="16.5" customHeight="1" x14ac:dyDescent="0.2">
      <c r="A1611" s="26"/>
      <c r="B1611" s="26"/>
      <c r="C1611" s="26"/>
      <c r="D1611" s="26"/>
      <c r="E1611" s="26"/>
      <c r="F1611" s="28" t="e">
        <f ca="1">_xludf.ifna(VLOOKUP(G1612,Proyectos!$E$1:$H$4,4,0),"")</f>
        <v>#NAME?</v>
      </c>
      <c r="G1611" s="26"/>
      <c r="H1611" s="32"/>
      <c r="I1611" s="32"/>
      <c r="J1611" s="32"/>
      <c r="K1611" s="32"/>
      <c r="L1611" s="32" t="e">
        <f ca="1">_xludf.ifna(VLOOKUP(G1612,Proyectos!$E$1:$N$4,10,0),"")</f>
        <v>#NAME?</v>
      </c>
      <c r="M1611" s="32"/>
      <c r="N1611" s="32" t="s">
        <v>5905</v>
      </c>
      <c r="O1611" s="32"/>
      <c r="P1611" s="33"/>
      <c r="Q1611" s="33"/>
    </row>
    <row r="1612" spans="1:17" ht="16.5" customHeight="1" x14ac:dyDescent="0.2">
      <c r="A1612" s="26"/>
      <c r="B1612" s="26"/>
      <c r="C1612" s="26"/>
      <c r="D1612" s="26"/>
      <c r="E1612" s="26"/>
      <c r="F1612" s="28" t="e">
        <f ca="1">_xludf.ifna(VLOOKUP(G1613,Proyectos!$E$1:$H$4,4,0),"")</f>
        <v>#NAME?</v>
      </c>
      <c r="G1612" s="26"/>
      <c r="H1612" s="32"/>
      <c r="I1612" s="32"/>
      <c r="J1612" s="32"/>
      <c r="K1612" s="32"/>
      <c r="L1612" s="32" t="e">
        <f ca="1">_xludf.ifna(VLOOKUP(G1613,Proyectos!$E$1:$N$4,10,0),"")</f>
        <v>#NAME?</v>
      </c>
      <c r="M1612" s="32"/>
      <c r="N1612" s="32" t="s">
        <v>5905</v>
      </c>
      <c r="O1612" s="32"/>
      <c r="P1612" s="33"/>
      <c r="Q1612" s="33"/>
    </row>
    <row r="1613" spans="1:17" ht="16.5" customHeight="1" x14ac:dyDescent="0.2">
      <c r="A1613" s="26"/>
      <c r="B1613" s="26"/>
      <c r="C1613" s="26"/>
      <c r="D1613" s="26"/>
      <c r="E1613" s="26"/>
      <c r="F1613" s="28" t="e">
        <f ca="1">_xludf.ifna(VLOOKUP(G1614,Proyectos!$E$1:$H$4,4,0),"")</f>
        <v>#NAME?</v>
      </c>
      <c r="G1613" s="26"/>
      <c r="H1613" s="32"/>
      <c r="I1613" s="32"/>
      <c r="J1613" s="32"/>
      <c r="K1613" s="32"/>
      <c r="L1613" s="32" t="e">
        <f ca="1">_xludf.ifna(VLOOKUP(G1614,Proyectos!$E$1:$N$4,10,0),"")</f>
        <v>#NAME?</v>
      </c>
      <c r="M1613" s="32"/>
      <c r="N1613" s="32" t="s">
        <v>5905</v>
      </c>
      <c r="O1613" s="32"/>
      <c r="P1613" s="33"/>
      <c r="Q1613" s="33"/>
    </row>
    <row r="1614" spans="1:17" ht="16.5" customHeight="1" x14ac:dyDescent="0.2">
      <c r="A1614" s="26"/>
      <c r="B1614" s="26"/>
      <c r="C1614" s="26"/>
      <c r="D1614" s="26"/>
      <c r="E1614" s="26"/>
      <c r="F1614" s="28" t="e">
        <f ca="1">_xludf.ifna(VLOOKUP(G1615,Proyectos!$E$1:$H$4,4,0),"")</f>
        <v>#NAME?</v>
      </c>
      <c r="G1614" s="26"/>
      <c r="H1614" s="32"/>
      <c r="I1614" s="32"/>
      <c r="J1614" s="32"/>
      <c r="K1614" s="32"/>
      <c r="L1614" s="32" t="e">
        <f ca="1">_xludf.ifna(VLOOKUP(G1615,Proyectos!$E$1:$N$4,10,0),"")</f>
        <v>#NAME?</v>
      </c>
      <c r="M1614" s="32"/>
      <c r="N1614" s="32" t="s">
        <v>5905</v>
      </c>
      <c r="O1614" s="32"/>
      <c r="P1614" s="33"/>
      <c r="Q1614" s="33"/>
    </row>
    <row r="1615" spans="1:17" ht="16.5" customHeight="1" x14ac:dyDescent="0.2">
      <c r="A1615" s="26"/>
      <c r="B1615" s="26"/>
      <c r="C1615" s="26"/>
      <c r="D1615" s="26"/>
      <c r="E1615" s="26"/>
      <c r="F1615" s="28" t="e">
        <f ca="1">_xludf.ifna(VLOOKUP(G1616,Proyectos!$E$1:$H$4,4,0),"")</f>
        <v>#NAME?</v>
      </c>
      <c r="G1615" s="26"/>
      <c r="H1615" s="32"/>
      <c r="I1615" s="32"/>
      <c r="J1615" s="32"/>
      <c r="K1615" s="32"/>
      <c r="L1615" s="32" t="e">
        <f ca="1">_xludf.ifna(VLOOKUP(G1616,Proyectos!$E$1:$N$4,10,0),"")</f>
        <v>#NAME?</v>
      </c>
      <c r="M1615" s="32"/>
      <c r="N1615" s="32" t="s">
        <v>5905</v>
      </c>
      <c r="O1615" s="32"/>
      <c r="P1615" s="33"/>
      <c r="Q1615" s="33"/>
    </row>
    <row r="1616" spans="1:17" ht="16.5" customHeight="1" x14ac:dyDescent="0.2">
      <c r="A1616" s="26"/>
      <c r="B1616" s="26"/>
      <c r="C1616" s="26"/>
      <c r="D1616" s="26"/>
      <c r="E1616" s="26"/>
      <c r="F1616" s="28" t="e">
        <f ca="1">_xludf.ifna(VLOOKUP(G1617,Proyectos!$E$1:$H$4,4,0),"")</f>
        <v>#NAME?</v>
      </c>
      <c r="G1616" s="26"/>
      <c r="H1616" s="32"/>
      <c r="I1616" s="32"/>
      <c r="J1616" s="32"/>
      <c r="K1616" s="32"/>
      <c r="L1616" s="32" t="e">
        <f ca="1">_xludf.ifna(VLOOKUP(G1617,Proyectos!$E$1:$N$4,10,0),"")</f>
        <v>#NAME?</v>
      </c>
      <c r="M1616" s="32"/>
      <c r="N1616" s="32" t="s">
        <v>5905</v>
      </c>
      <c r="O1616" s="32"/>
      <c r="P1616" s="33"/>
      <c r="Q1616" s="33"/>
    </row>
    <row r="1617" spans="1:17" ht="16.5" customHeight="1" x14ac:dyDescent="0.2">
      <c r="A1617" s="26"/>
      <c r="B1617" s="26"/>
      <c r="C1617" s="26"/>
      <c r="D1617" s="26"/>
      <c r="E1617" s="26"/>
      <c r="F1617" s="28" t="e">
        <f ca="1">_xludf.ifna(VLOOKUP(G1618,Proyectos!$E$1:$H$4,4,0),"")</f>
        <v>#NAME?</v>
      </c>
      <c r="G1617" s="26"/>
      <c r="H1617" s="32"/>
      <c r="I1617" s="32"/>
      <c r="J1617" s="32"/>
      <c r="K1617" s="32"/>
      <c r="L1617" s="32" t="e">
        <f ca="1">_xludf.ifna(VLOOKUP(G1618,Proyectos!$E$1:$N$4,10,0),"")</f>
        <v>#NAME?</v>
      </c>
      <c r="M1617" s="32"/>
      <c r="N1617" s="32" t="s">
        <v>5905</v>
      </c>
      <c r="O1617" s="32"/>
      <c r="P1617" s="33"/>
      <c r="Q1617" s="33"/>
    </row>
    <row r="1618" spans="1:17" ht="16.5" customHeight="1" x14ac:dyDescent="0.2">
      <c r="A1618" s="26"/>
      <c r="B1618" s="26"/>
      <c r="C1618" s="26"/>
      <c r="D1618" s="26"/>
      <c r="E1618" s="26"/>
      <c r="F1618" s="28" t="e">
        <f ca="1">_xludf.ifna(VLOOKUP(G1619,Proyectos!$E$1:$H$4,4,0),"")</f>
        <v>#NAME?</v>
      </c>
      <c r="G1618" s="26"/>
      <c r="H1618" s="32"/>
      <c r="I1618" s="32"/>
      <c r="J1618" s="32"/>
      <c r="K1618" s="32"/>
      <c r="L1618" s="32" t="e">
        <f ca="1">_xludf.ifna(VLOOKUP(G1619,Proyectos!$E$1:$N$4,10,0),"")</f>
        <v>#NAME?</v>
      </c>
      <c r="M1618" s="32"/>
      <c r="N1618" s="32" t="s">
        <v>5905</v>
      </c>
      <c r="O1618" s="32"/>
      <c r="P1618" s="33"/>
      <c r="Q1618" s="33"/>
    </row>
    <row r="1619" spans="1:17" ht="16.5" customHeight="1" x14ac:dyDescent="0.2">
      <c r="A1619" s="26"/>
      <c r="B1619" s="26"/>
      <c r="C1619" s="26"/>
      <c r="D1619" s="26"/>
      <c r="E1619" s="26"/>
      <c r="F1619" s="28" t="e">
        <f ca="1">_xludf.ifna(VLOOKUP(G1620,Proyectos!$E$1:$H$4,4,0),"")</f>
        <v>#NAME?</v>
      </c>
      <c r="G1619" s="26"/>
      <c r="H1619" s="32"/>
      <c r="I1619" s="32"/>
      <c r="J1619" s="32"/>
      <c r="K1619" s="32"/>
      <c r="L1619" s="32" t="e">
        <f ca="1">_xludf.ifna(VLOOKUP(G1620,Proyectos!$E$1:$N$4,10,0),"")</f>
        <v>#NAME?</v>
      </c>
      <c r="M1619" s="32"/>
      <c r="N1619" s="32" t="s">
        <v>5905</v>
      </c>
      <c r="O1619" s="32"/>
      <c r="P1619" s="33"/>
      <c r="Q1619" s="33"/>
    </row>
    <row r="1620" spans="1:17" ht="16.5" customHeight="1" x14ac:dyDescent="0.2">
      <c r="A1620" s="26"/>
      <c r="B1620" s="26"/>
      <c r="C1620" s="26"/>
      <c r="D1620" s="26"/>
      <c r="E1620" s="26"/>
      <c r="F1620" s="28" t="e">
        <f ca="1">_xludf.ifna(VLOOKUP(G1621,Proyectos!$E$1:$H$4,4,0),"")</f>
        <v>#NAME?</v>
      </c>
      <c r="G1620" s="26"/>
      <c r="H1620" s="32"/>
      <c r="I1620" s="32"/>
      <c r="J1620" s="32"/>
      <c r="K1620" s="32"/>
      <c r="L1620" s="32" t="e">
        <f ca="1">_xludf.ifna(VLOOKUP(G1621,Proyectos!$E$1:$N$4,10,0),"")</f>
        <v>#NAME?</v>
      </c>
      <c r="M1620" s="32"/>
      <c r="N1620" s="32" t="s">
        <v>5905</v>
      </c>
      <c r="O1620" s="32"/>
      <c r="P1620" s="33"/>
      <c r="Q1620" s="33"/>
    </row>
    <row r="1621" spans="1:17" ht="16.5" customHeight="1" x14ac:dyDescent="0.2">
      <c r="A1621" s="26"/>
      <c r="B1621" s="26"/>
      <c r="C1621" s="26"/>
      <c r="D1621" s="26"/>
      <c r="E1621" s="26"/>
      <c r="F1621" s="28" t="e">
        <f ca="1">_xludf.ifna(VLOOKUP(G1622,Proyectos!$E$1:$H$4,4,0),"")</f>
        <v>#NAME?</v>
      </c>
      <c r="G1621" s="26"/>
      <c r="H1621" s="32"/>
      <c r="I1621" s="32"/>
      <c r="J1621" s="32"/>
      <c r="K1621" s="32"/>
      <c r="L1621" s="32" t="e">
        <f ca="1">_xludf.ifna(VLOOKUP(G1622,Proyectos!$E$1:$N$4,10,0),"")</f>
        <v>#NAME?</v>
      </c>
      <c r="M1621" s="32"/>
      <c r="N1621" s="32" t="s">
        <v>5905</v>
      </c>
      <c r="O1621" s="32"/>
      <c r="P1621" s="33"/>
      <c r="Q1621" s="33"/>
    </row>
    <row r="1622" spans="1:17" ht="16.5" customHeight="1" x14ac:dyDescent="0.2">
      <c r="A1622" s="26"/>
      <c r="B1622" s="26"/>
      <c r="C1622" s="26"/>
      <c r="D1622" s="26"/>
      <c r="E1622" s="26"/>
      <c r="F1622" s="28" t="e">
        <f ca="1">_xludf.ifna(VLOOKUP(G1623,Proyectos!$E$1:$H$4,4,0),"")</f>
        <v>#NAME?</v>
      </c>
      <c r="G1622" s="26"/>
      <c r="H1622" s="32"/>
      <c r="I1622" s="32"/>
      <c r="J1622" s="32"/>
      <c r="K1622" s="32"/>
      <c r="L1622" s="32" t="e">
        <f ca="1">_xludf.ifna(VLOOKUP(G1623,Proyectos!$E$1:$N$4,10,0),"")</f>
        <v>#NAME?</v>
      </c>
      <c r="M1622" s="32"/>
      <c r="N1622" s="32" t="s">
        <v>5905</v>
      </c>
      <c r="O1622" s="32"/>
      <c r="P1622" s="33"/>
      <c r="Q1622" s="33"/>
    </row>
    <row r="1623" spans="1:17" ht="16.5" customHeight="1" x14ac:dyDescent="0.2">
      <c r="A1623" s="26"/>
      <c r="B1623" s="26"/>
      <c r="C1623" s="26"/>
      <c r="D1623" s="26"/>
      <c r="E1623" s="26"/>
      <c r="F1623" s="28" t="e">
        <f ca="1">_xludf.ifna(VLOOKUP(G1624,Proyectos!$E$1:$H$4,4,0),"")</f>
        <v>#NAME?</v>
      </c>
      <c r="G1623" s="26"/>
      <c r="H1623" s="32"/>
      <c r="I1623" s="32"/>
      <c r="J1623" s="32"/>
      <c r="K1623" s="32"/>
      <c r="L1623" s="32" t="e">
        <f ca="1">_xludf.ifna(VLOOKUP(G1624,Proyectos!$E$1:$N$4,10,0),"")</f>
        <v>#NAME?</v>
      </c>
      <c r="M1623" s="32"/>
      <c r="N1623" s="32" t="s">
        <v>5905</v>
      </c>
      <c r="O1623" s="32"/>
      <c r="P1623" s="33"/>
      <c r="Q1623" s="33"/>
    </row>
    <row r="1624" spans="1:17" ht="16.5" customHeight="1" x14ac:dyDescent="0.2">
      <c r="A1624" s="26"/>
      <c r="B1624" s="26"/>
      <c r="C1624" s="26"/>
      <c r="D1624" s="26"/>
      <c r="E1624" s="26"/>
      <c r="F1624" s="28" t="e">
        <f ca="1">_xludf.ifna(VLOOKUP(G1625,Proyectos!$E$1:$H$4,4,0),"")</f>
        <v>#NAME?</v>
      </c>
      <c r="G1624" s="26"/>
      <c r="H1624" s="32"/>
      <c r="I1624" s="32"/>
      <c r="J1624" s="32"/>
      <c r="K1624" s="32"/>
      <c r="L1624" s="32" t="e">
        <f ca="1">_xludf.ifna(VLOOKUP(G1625,Proyectos!$E$1:$N$4,10,0),"")</f>
        <v>#NAME?</v>
      </c>
      <c r="M1624" s="32"/>
      <c r="N1624" s="32" t="s">
        <v>5905</v>
      </c>
      <c r="O1624" s="32"/>
      <c r="P1624" s="33"/>
      <c r="Q1624" s="33"/>
    </row>
    <row r="1625" spans="1:17" ht="16.5" customHeight="1" x14ac:dyDescent="0.2">
      <c r="A1625" s="26"/>
      <c r="B1625" s="26"/>
      <c r="C1625" s="26"/>
      <c r="D1625" s="26"/>
      <c r="E1625" s="26"/>
      <c r="F1625" s="28" t="e">
        <f ca="1">_xludf.ifna(VLOOKUP(G1626,Proyectos!$E$1:$H$4,4,0),"")</f>
        <v>#NAME?</v>
      </c>
      <c r="G1625" s="26"/>
      <c r="H1625" s="32"/>
      <c r="I1625" s="32"/>
      <c r="J1625" s="32"/>
      <c r="K1625" s="32"/>
      <c r="L1625" s="32" t="e">
        <f ca="1">_xludf.ifna(VLOOKUP(G1626,Proyectos!$E$1:$N$4,10,0),"")</f>
        <v>#NAME?</v>
      </c>
      <c r="M1625" s="32"/>
      <c r="N1625" s="32" t="s">
        <v>5905</v>
      </c>
      <c r="O1625" s="32"/>
      <c r="P1625" s="33"/>
      <c r="Q1625" s="33"/>
    </row>
    <row r="1626" spans="1:17" ht="16.5" customHeight="1" x14ac:dyDescent="0.2">
      <c r="A1626" s="26"/>
      <c r="B1626" s="26"/>
      <c r="C1626" s="26"/>
      <c r="D1626" s="26"/>
      <c r="E1626" s="26"/>
      <c r="F1626" s="28" t="e">
        <f ca="1">_xludf.ifna(VLOOKUP(G1627,Proyectos!$E$1:$H$4,4,0),"")</f>
        <v>#NAME?</v>
      </c>
      <c r="G1626" s="26"/>
      <c r="H1626" s="32"/>
      <c r="I1626" s="32"/>
      <c r="J1626" s="32"/>
      <c r="K1626" s="32"/>
      <c r="L1626" s="32" t="e">
        <f ca="1">_xludf.ifna(VLOOKUP(G1627,Proyectos!$E$1:$N$4,10,0),"")</f>
        <v>#NAME?</v>
      </c>
      <c r="M1626" s="32"/>
      <c r="N1626" s="32" t="s">
        <v>5905</v>
      </c>
      <c r="O1626" s="32"/>
      <c r="P1626" s="33"/>
      <c r="Q1626" s="33"/>
    </row>
    <row r="1627" spans="1:17" ht="16.5" customHeight="1" x14ac:dyDescent="0.2">
      <c r="A1627" s="26"/>
      <c r="B1627" s="26"/>
      <c r="C1627" s="26"/>
      <c r="D1627" s="26"/>
      <c r="E1627" s="26"/>
      <c r="F1627" s="28" t="e">
        <f ca="1">_xludf.ifna(VLOOKUP(G1628,Proyectos!$E$1:$H$4,4,0),"")</f>
        <v>#NAME?</v>
      </c>
      <c r="G1627" s="26"/>
      <c r="H1627" s="32"/>
      <c r="I1627" s="32"/>
      <c r="J1627" s="32"/>
      <c r="K1627" s="32"/>
      <c r="L1627" s="32" t="e">
        <f ca="1">_xludf.ifna(VLOOKUP(G1628,Proyectos!$E$1:$N$4,10,0),"")</f>
        <v>#NAME?</v>
      </c>
      <c r="M1627" s="32"/>
      <c r="N1627" s="32" t="s">
        <v>5905</v>
      </c>
      <c r="O1627" s="32"/>
      <c r="P1627" s="33"/>
      <c r="Q1627" s="33"/>
    </row>
    <row r="1628" spans="1:17" ht="16.5" customHeight="1" x14ac:dyDescent="0.2">
      <c r="A1628" s="26"/>
      <c r="B1628" s="26"/>
      <c r="C1628" s="26"/>
      <c r="D1628" s="26"/>
      <c r="E1628" s="26"/>
      <c r="F1628" s="28" t="e">
        <f ca="1">_xludf.ifna(VLOOKUP(G1629,Proyectos!$E$1:$H$4,4,0),"")</f>
        <v>#NAME?</v>
      </c>
      <c r="G1628" s="26"/>
      <c r="H1628" s="32"/>
      <c r="I1628" s="32"/>
      <c r="J1628" s="32"/>
      <c r="K1628" s="32"/>
      <c r="L1628" s="32" t="e">
        <f ca="1">_xludf.ifna(VLOOKUP(G1629,Proyectos!$E$1:$N$4,10,0),"")</f>
        <v>#NAME?</v>
      </c>
      <c r="M1628" s="32"/>
      <c r="N1628" s="32" t="s">
        <v>5905</v>
      </c>
      <c r="O1628" s="32"/>
      <c r="P1628" s="33"/>
      <c r="Q1628" s="33"/>
    </row>
    <row r="1629" spans="1:17" ht="16.5" customHeight="1" x14ac:dyDescent="0.2">
      <c r="A1629" s="26"/>
      <c r="B1629" s="26"/>
      <c r="C1629" s="26"/>
      <c r="D1629" s="26"/>
      <c r="E1629" s="26"/>
      <c r="F1629" s="28" t="e">
        <f ca="1">_xludf.ifna(VLOOKUP(G1630,Proyectos!$E$1:$H$4,4,0),"")</f>
        <v>#NAME?</v>
      </c>
      <c r="G1629" s="26"/>
      <c r="H1629" s="32"/>
      <c r="I1629" s="32"/>
      <c r="J1629" s="32"/>
      <c r="K1629" s="32"/>
      <c r="L1629" s="32" t="e">
        <f ca="1">_xludf.ifna(VLOOKUP(G1630,Proyectos!$E$1:$N$4,10,0),"")</f>
        <v>#NAME?</v>
      </c>
      <c r="M1629" s="32"/>
      <c r="N1629" s="32" t="s">
        <v>5905</v>
      </c>
      <c r="O1629" s="32"/>
      <c r="P1629" s="33"/>
      <c r="Q1629" s="33"/>
    </row>
    <row r="1630" spans="1:17" ht="16.5" customHeight="1" x14ac:dyDescent="0.2">
      <c r="A1630" s="26"/>
      <c r="B1630" s="26"/>
      <c r="C1630" s="26"/>
      <c r="D1630" s="26"/>
      <c r="E1630" s="26"/>
      <c r="F1630" s="28" t="e">
        <f ca="1">_xludf.ifna(VLOOKUP(G1631,Proyectos!$E$1:$H$4,4,0),"")</f>
        <v>#NAME?</v>
      </c>
      <c r="G1630" s="26"/>
      <c r="H1630" s="32"/>
      <c r="I1630" s="32"/>
      <c r="J1630" s="32"/>
      <c r="K1630" s="32"/>
      <c r="L1630" s="32" t="e">
        <f ca="1">_xludf.ifna(VLOOKUP(G1631,Proyectos!$E$1:$N$4,10,0),"")</f>
        <v>#NAME?</v>
      </c>
      <c r="M1630" s="32"/>
      <c r="N1630" s="32" t="s">
        <v>5905</v>
      </c>
      <c r="O1630" s="32"/>
      <c r="P1630" s="33"/>
      <c r="Q1630" s="33"/>
    </row>
    <row r="1631" spans="1:17" ht="16.5" customHeight="1" x14ac:dyDescent="0.2">
      <c r="A1631" s="26"/>
      <c r="B1631" s="26"/>
      <c r="C1631" s="26"/>
      <c r="D1631" s="26"/>
      <c r="E1631" s="26"/>
      <c r="F1631" s="28" t="e">
        <f ca="1">_xludf.ifna(VLOOKUP(G1632,Proyectos!$E$1:$H$4,4,0),"")</f>
        <v>#NAME?</v>
      </c>
      <c r="G1631" s="26"/>
      <c r="H1631" s="32"/>
      <c r="I1631" s="32"/>
      <c r="J1631" s="32"/>
      <c r="K1631" s="32"/>
      <c r="L1631" s="32" t="e">
        <f ca="1">_xludf.ifna(VLOOKUP(G1632,Proyectos!$E$1:$N$4,10,0),"")</f>
        <v>#NAME?</v>
      </c>
      <c r="M1631" s="32"/>
      <c r="N1631" s="32" t="s">
        <v>5905</v>
      </c>
      <c r="O1631" s="32"/>
      <c r="P1631" s="33"/>
      <c r="Q1631" s="33"/>
    </row>
    <row r="1632" spans="1:17" ht="16.5" customHeight="1" x14ac:dyDescent="0.2">
      <c r="A1632" s="26"/>
      <c r="B1632" s="26"/>
      <c r="C1632" s="26"/>
      <c r="D1632" s="26"/>
      <c r="E1632" s="26"/>
      <c r="F1632" s="28" t="e">
        <f ca="1">_xludf.ifna(VLOOKUP(G1633,Proyectos!$E$1:$H$4,4,0),"")</f>
        <v>#NAME?</v>
      </c>
      <c r="G1632" s="26"/>
      <c r="H1632" s="32"/>
      <c r="I1632" s="32"/>
      <c r="J1632" s="32"/>
      <c r="K1632" s="32"/>
      <c r="L1632" s="32" t="e">
        <f ca="1">_xludf.ifna(VLOOKUP(G1633,Proyectos!$E$1:$N$4,10,0),"")</f>
        <v>#NAME?</v>
      </c>
      <c r="M1632" s="32"/>
      <c r="N1632" s="32" t="s">
        <v>5905</v>
      </c>
      <c r="O1632" s="32"/>
      <c r="P1632" s="33"/>
      <c r="Q1632" s="33"/>
    </row>
    <row r="1633" spans="1:17" ht="16.5" customHeight="1" x14ac:dyDescent="0.2">
      <c r="A1633" s="26"/>
      <c r="B1633" s="26"/>
      <c r="C1633" s="26"/>
      <c r="D1633" s="26"/>
      <c r="E1633" s="26"/>
      <c r="F1633" s="28" t="e">
        <f ca="1">_xludf.ifna(VLOOKUP(G1634,Proyectos!$E$1:$H$4,4,0),"")</f>
        <v>#NAME?</v>
      </c>
      <c r="G1633" s="26"/>
      <c r="H1633" s="32"/>
      <c r="I1633" s="32"/>
      <c r="J1633" s="32"/>
      <c r="K1633" s="32"/>
      <c r="L1633" s="32" t="e">
        <f ca="1">_xludf.ifna(VLOOKUP(G1634,Proyectos!$E$1:$N$4,10,0),"")</f>
        <v>#NAME?</v>
      </c>
      <c r="M1633" s="32"/>
      <c r="N1633" s="32" t="s">
        <v>5905</v>
      </c>
      <c r="O1633" s="32"/>
      <c r="P1633" s="33"/>
      <c r="Q1633" s="33"/>
    </row>
    <row r="1634" spans="1:17" ht="16.5" customHeight="1" x14ac:dyDescent="0.2">
      <c r="A1634" s="26"/>
      <c r="B1634" s="26"/>
      <c r="C1634" s="26"/>
      <c r="D1634" s="26"/>
      <c r="E1634" s="26"/>
      <c r="F1634" s="28" t="e">
        <f ca="1">_xludf.ifna(VLOOKUP(G1635,Proyectos!$E$1:$H$4,4,0),"")</f>
        <v>#NAME?</v>
      </c>
      <c r="G1634" s="26"/>
      <c r="H1634" s="32"/>
      <c r="I1634" s="32"/>
      <c r="J1634" s="32"/>
      <c r="K1634" s="32"/>
      <c r="L1634" s="32" t="e">
        <f ca="1">_xludf.ifna(VLOOKUP(G1635,Proyectos!$E$1:$N$4,10,0),"")</f>
        <v>#NAME?</v>
      </c>
      <c r="M1634" s="32"/>
      <c r="N1634" s="32" t="s">
        <v>5905</v>
      </c>
      <c r="O1634" s="32"/>
      <c r="P1634" s="33"/>
      <c r="Q1634" s="33"/>
    </row>
    <row r="1635" spans="1:17" ht="16.5" customHeight="1" x14ac:dyDescent="0.2">
      <c r="A1635" s="26"/>
      <c r="B1635" s="26"/>
      <c r="C1635" s="26"/>
      <c r="D1635" s="26"/>
      <c r="E1635" s="26"/>
      <c r="F1635" s="28" t="e">
        <f ca="1">_xludf.ifna(VLOOKUP(G1636,Proyectos!$E$1:$H$4,4,0),"")</f>
        <v>#NAME?</v>
      </c>
      <c r="G1635" s="26"/>
      <c r="H1635" s="32"/>
      <c r="I1635" s="32"/>
      <c r="J1635" s="32"/>
      <c r="K1635" s="32"/>
      <c r="L1635" s="32" t="e">
        <f ca="1">_xludf.ifna(VLOOKUP(G1636,Proyectos!$E$1:$N$4,10,0),"")</f>
        <v>#NAME?</v>
      </c>
      <c r="M1635" s="32"/>
      <c r="N1635" s="32" t="s">
        <v>5905</v>
      </c>
      <c r="O1635" s="32"/>
      <c r="P1635" s="33"/>
      <c r="Q1635" s="33"/>
    </row>
    <row r="1636" spans="1:17" ht="16.5" customHeight="1" x14ac:dyDescent="0.2">
      <c r="A1636" s="26"/>
      <c r="B1636" s="26"/>
      <c r="C1636" s="26"/>
      <c r="D1636" s="26"/>
      <c r="E1636" s="26"/>
      <c r="F1636" s="28" t="e">
        <f ca="1">_xludf.ifna(VLOOKUP(G1637,Proyectos!$E$1:$H$4,4,0),"")</f>
        <v>#NAME?</v>
      </c>
      <c r="G1636" s="26"/>
      <c r="H1636" s="32"/>
      <c r="I1636" s="32"/>
      <c r="J1636" s="32"/>
      <c r="K1636" s="32"/>
      <c r="L1636" s="32" t="e">
        <f ca="1">_xludf.ifna(VLOOKUP(G1637,Proyectos!$E$1:$N$4,10,0),"")</f>
        <v>#NAME?</v>
      </c>
      <c r="M1636" s="32"/>
      <c r="N1636" s="32" t="s">
        <v>5905</v>
      </c>
      <c r="O1636" s="32"/>
      <c r="P1636" s="33"/>
      <c r="Q1636" s="33"/>
    </row>
    <row r="1637" spans="1:17" ht="16.5" customHeight="1" x14ac:dyDescent="0.2">
      <c r="A1637" s="26"/>
      <c r="B1637" s="26"/>
      <c r="C1637" s="26"/>
      <c r="D1637" s="26"/>
      <c r="E1637" s="26"/>
      <c r="F1637" s="28" t="e">
        <f ca="1">_xludf.ifna(VLOOKUP(G1638,Proyectos!$E$1:$H$4,4,0),"")</f>
        <v>#NAME?</v>
      </c>
      <c r="G1637" s="26"/>
      <c r="H1637" s="32"/>
      <c r="I1637" s="32"/>
      <c r="J1637" s="32"/>
      <c r="K1637" s="32"/>
      <c r="L1637" s="32" t="e">
        <f ca="1">_xludf.ifna(VLOOKUP(G1638,Proyectos!$E$1:$N$4,10,0),"")</f>
        <v>#NAME?</v>
      </c>
      <c r="M1637" s="32"/>
      <c r="N1637" s="32" t="s">
        <v>5905</v>
      </c>
      <c r="O1637" s="32"/>
      <c r="P1637" s="33"/>
      <c r="Q1637" s="33"/>
    </row>
    <row r="1638" spans="1:17" ht="16.5" customHeight="1" x14ac:dyDescent="0.2">
      <c r="A1638" s="26"/>
      <c r="B1638" s="26"/>
      <c r="C1638" s="26"/>
      <c r="D1638" s="26"/>
      <c r="E1638" s="26"/>
      <c r="F1638" s="28" t="e">
        <f ca="1">_xludf.ifna(VLOOKUP(G1639,Proyectos!$E$1:$H$4,4,0),"")</f>
        <v>#NAME?</v>
      </c>
      <c r="G1638" s="26"/>
      <c r="H1638" s="32"/>
      <c r="I1638" s="32"/>
      <c r="J1638" s="32"/>
      <c r="K1638" s="32"/>
      <c r="L1638" s="32" t="e">
        <f ca="1">_xludf.ifna(VLOOKUP(G1639,Proyectos!$E$1:$N$4,10,0),"")</f>
        <v>#NAME?</v>
      </c>
      <c r="M1638" s="32"/>
      <c r="N1638" s="32" t="s">
        <v>5905</v>
      </c>
      <c r="O1638" s="32"/>
      <c r="P1638" s="33"/>
      <c r="Q1638" s="33"/>
    </row>
    <row r="1639" spans="1:17" ht="16.5" customHeight="1" x14ac:dyDescent="0.2">
      <c r="A1639" s="26"/>
      <c r="B1639" s="26"/>
      <c r="C1639" s="26"/>
      <c r="D1639" s="26"/>
      <c r="E1639" s="26"/>
      <c r="F1639" s="28" t="e">
        <f ca="1">_xludf.ifna(VLOOKUP(G1640,Proyectos!$E$1:$H$4,4,0),"")</f>
        <v>#NAME?</v>
      </c>
      <c r="G1639" s="26"/>
      <c r="H1639" s="32"/>
      <c r="I1639" s="32"/>
      <c r="J1639" s="32"/>
      <c r="K1639" s="32"/>
      <c r="L1639" s="32" t="e">
        <f ca="1">_xludf.ifna(VLOOKUP(G1640,Proyectos!$E$1:$N$4,10,0),"")</f>
        <v>#NAME?</v>
      </c>
      <c r="M1639" s="32"/>
      <c r="N1639" s="32" t="s">
        <v>5905</v>
      </c>
      <c r="O1639" s="32"/>
      <c r="P1639" s="33"/>
      <c r="Q1639" s="33"/>
    </row>
    <row r="1640" spans="1:17" ht="16.5" customHeight="1" x14ac:dyDescent="0.2">
      <c r="A1640" s="26"/>
      <c r="B1640" s="26"/>
      <c r="C1640" s="26"/>
      <c r="D1640" s="26"/>
      <c r="E1640" s="26"/>
      <c r="F1640" s="28" t="e">
        <f ca="1">_xludf.ifna(VLOOKUP(G1641,Proyectos!$E$1:$H$4,4,0),"")</f>
        <v>#NAME?</v>
      </c>
      <c r="G1640" s="26"/>
      <c r="H1640" s="32"/>
      <c r="I1640" s="32"/>
      <c r="J1640" s="32"/>
      <c r="K1640" s="32"/>
      <c r="L1640" s="32" t="e">
        <f ca="1">_xludf.ifna(VLOOKUP(G1641,Proyectos!$E$1:$N$4,10,0),"")</f>
        <v>#NAME?</v>
      </c>
      <c r="M1640" s="32"/>
      <c r="N1640" s="32" t="s">
        <v>5905</v>
      </c>
      <c r="O1640" s="32"/>
      <c r="P1640" s="33"/>
      <c r="Q1640" s="33"/>
    </row>
    <row r="1641" spans="1:17" ht="16.5" customHeight="1" x14ac:dyDescent="0.2">
      <c r="A1641" s="26"/>
      <c r="B1641" s="26"/>
      <c r="C1641" s="26"/>
      <c r="D1641" s="26"/>
      <c r="E1641" s="26"/>
      <c r="F1641" s="28" t="e">
        <f ca="1">_xludf.ifna(VLOOKUP(G1642,Proyectos!$E$1:$H$4,4,0),"")</f>
        <v>#NAME?</v>
      </c>
      <c r="G1641" s="26"/>
      <c r="H1641" s="32"/>
      <c r="I1641" s="32"/>
      <c r="J1641" s="32"/>
      <c r="K1641" s="32"/>
      <c r="L1641" s="32" t="e">
        <f ca="1">_xludf.ifna(VLOOKUP(G1642,Proyectos!$E$1:$N$4,10,0),"")</f>
        <v>#NAME?</v>
      </c>
      <c r="M1641" s="32"/>
      <c r="N1641" s="32" t="s">
        <v>5905</v>
      </c>
      <c r="O1641" s="32"/>
      <c r="P1641" s="33"/>
      <c r="Q1641" s="33"/>
    </row>
    <row r="1642" spans="1:17" ht="16.5" customHeight="1" x14ac:dyDescent="0.2">
      <c r="A1642" s="26"/>
      <c r="B1642" s="26"/>
      <c r="C1642" s="26"/>
      <c r="D1642" s="26"/>
      <c r="E1642" s="26"/>
      <c r="F1642" s="28" t="e">
        <f ca="1">_xludf.ifna(VLOOKUP(G1643,Proyectos!$E$1:$H$4,4,0),"")</f>
        <v>#NAME?</v>
      </c>
      <c r="G1642" s="26"/>
      <c r="H1642" s="32"/>
      <c r="I1642" s="32"/>
      <c r="J1642" s="32"/>
      <c r="K1642" s="32"/>
      <c r="L1642" s="32" t="e">
        <f ca="1">_xludf.ifna(VLOOKUP(G1643,Proyectos!$E$1:$N$4,10,0),"")</f>
        <v>#NAME?</v>
      </c>
      <c r="M1642" s="32"/>
      <c r="N1642" s="32" t="s">
        <v>5905</v>
      </c>
      <c r="O1642" s="32"/>
      <c r="P1642" s="33"/>
      <c r="Q1642" s="33"/>
    </row>
    <row r="1643" spans="1:17" ht="16.5" customHeight="1" x14ac:dyDescent="0.2">
      <c r="A1643" s="26"/>
      <c r="B1643" s="26"/>
      <c r="C1643" s="26"/>
      <c r="D1643" s="26"/>
      <c r="E1643" s="26"/>
      <c r="F1643" s="28" t="e">
        <f ca="1">_xludf.ifna(VLOOKUP(G1644,Proyectos!$E$1:$H$4,4,0),"")</f>
        <v>#NAME?</v>
      </c>
      <c r="G1643" s="26"/>
      <c r="H1643" s="32"/>
      <c r="I1643" s="32"/>
      <c r="J1643" s="32"/>
      <c r="K1643" s="32"/>
      <c r="L1643" s="32" t="e">
        <f ca="1">_xludf.ifna(VLOOKUP(G1644,Proyectos!$E$1:$N$4,10,0),"")</f>
        <v>#NAME?</v>
      </c>
      <c r="M1643" s="32"/>
      <c r="N1643" s="32" t="s">
        <v>5905</v>
      </c>
      <c r="O1643" s="32"/>
      <c r="P1643" s="33"/>
      <c r="Q1643" s="33"/>
    </row>
    <row r="1644" spans="1:17" ht="16.5" customHeight="1" x14ac:dyDescent="0.2">
      <c r="A1644" s="26"/>
      <c r="B1644" s="26"/>
      <c r="C1644" s="26"/>
      <c r="D1644" s="26"/>
      <c r="E1644" s="26"/>
      <c r="F1644" s="28" t="e">
        <f ca="1">_xludf.ifna(VLOOKUP(G1645,Proyectos!$E$1:$H$4,4,0),"")</f>
        <v>#NAME?</v>
      </c>
      <c r="G1644" s="26"/>
      <c r="H1644" s="32"/>
      <c r="I1644" s="32"/>
      <c r="J1644" s="32"/>
      <c r="K1644" s="32"/>
      <c r="L1644" s="32" t="e">
        <f ca="1">_xludf.ifna(VLOOKUP(G1645,Proyectos!$E$1:$N$4,10,0),"")</f>
        <v>#NAME?</v>
      </c>
      <c r="M1644" s="32"/>
      <c r="N1644" s="32" t="s">
        <v>5905</v>
      </c>
      <c r="O1644" s="32"/>
      <c r="P1644" s="33"/>
      <c r="Q1644" s="33"/>
    </row>
    <row r="1645" spans="1:17" ht="16.5" customHeight="1" x14ac:dyDescent="0.2">
      <c r="A1645" s="26"/>
      <c r="B1645" s="26"/>
      <c r="C1645" s="26"/>
      <c r="D1645" s="26"/>
      <c r="E1645" s="26"/>
      <c r="F1645" s="28" t="e">
        <f ca="1">_xludf.ifna(VLOOKUP(G1646,Proyectos!$E$1:$H$4,4,0),"")</f>
        <v>#NAME?</v>
      </c>
      <c r="G1645" s="26"/>
      <c r="H1645" s="32"/>
      <c r="I1645" s="32"/>
      <c r="J1645" s="32"/>
      <c r="K1645" s="32"/>
      <c r="L1645" s="32" t="e">
        <f ca="1">_xludf.ifna(VLOOKUP(G1646,Proyectos!$E$1:$N$4,10,0),"")</f>
        <v>#NAME?</v>
      </c>
      <c r="M1645" s="32"/>
      <c r="N1645" s="32" t="s">
        <v>5905</v>
      </c>
      <c r="O1645" s="32"/>
      <c r="P1645" s="33"/>
      <c r="Q1645" s="33"/>
    </row>
    <row r="1646" spans="1:17" ht="16.5" customHeight="1" x14ac:dyDescent="0.2">
      <c r="A1646" s="26"/>
      <c r="B1646" s="26"/>
      <c r="C1646" s="26"/>
      <c r="D1646" s="26"/>
      <c r="E1646" s="26"/>
      <c r="F1646" s="28" t="e">
        <f ca="1">_xludf.ifna(VLOOKUP(G1647,Proyectos!$E$1:$H$4,4,0),"")</f>
        <v>#NAME?</v>
      </c>
      <c r="G1646" s="26"/>
      <c r="H1646" s="32"/>
      <c r="I1646" s="32"/>
      <c r="J1646" s="32"/>
      <c r="K1646" s="32"/>
      <c r="L1646" s="32" t="e">
        <f ca="1">_xludf.ifna(VLOOKUP(G1647,Proyectos!$E$1:$N$4,10,0),"")</f>
        <v>#NAME?</v>
      </c>
      <c r="M1646" s="32"/>
      <c r="N1646" s="32" t="s">
        <v>5905</v>
      </c>
      <c r="O1646" s="32"/>
      <c r="P1646" s="33"/>
      <c r="Q1646" s="33"/>
    </row>
    <row r="1647" spans="1:17" ht="16.5" customHeight="1" x14ac:dyDescent="0.2">
      <c r="A1647" s="26"/>
      <c r="B1647" s="26"/>
      <c r="C1647" s="26"/>
      <c r="D1647" s="26"/>
      <c r="E1647" s="26"/>
      <c r="F1647" s="28" t="e">
        <f ca="1">_xludf.ifna(VLOOKUP(G1648,Proyectos!$E$1:$H$4,4,0),"")</f>
        <v>#NAME?</v>
      </c>
      <c r="G1647" s="26"/>
      <c r="H1647" s="32"/>
      <c r="I1647" s="32"/>
      <c r="J1647" s="32"/>
      <c r="K1647" s="32"/>
      <c r="L1647" s="32" t="e">
        <f ca="1">_xludf.ifna(VLOOKUP(G1648,Proyectos!$E$1:$N$4,10,0),"")</f>
        <v>#NAME?</v>
      </c>
      <c r="M1647" s="32"/>
      <c r="N1647" s="32" t="s">
        <v>5905</v>
      </c>
      <c r="O1647" s="32"/>
      <c r="P1647" s="33"/>
      <c r="Q1647" s="33"/>
    </row>
    <row r="1648" spans="1:17" ht="16.5" customHeight="1" x14ac:dyDescent="0.2">
      <c r="A1648" s="26"/>
      <c r="B1648" s="26"/>
      <c r="C1648" s="26"/>
      <c r="D1648" s="26"/>
      <c r="E1648" s="26"/>
      <c r="F1648" s="28" t="e">
        <f ca="1">_xludf.ifna(VLOOKUP(G1649,Proyectos!$E$1:$H$4,4,0),"")</f>
        <v>#NAME?</v>
      </c>
      <c r="G1648" s="26"/>
      <c r="H1648" s="32"/>
      <c r="I1648" s="32"/>
      <c r="J1648" s="32"/>
      <c r="K1648" s="32"/>
      <c r="L1648" s="32" t="e">
        <f ca="1">_xludf.ifna(VLOOKUP(G1649,Proyectos!$E$1:$N$4,10,0),"")</f>
        <v>#NAME?</v>
      </c>
      <c r="M1648" s="32"/>
      <c r="N1648" s="32" t="s">
        <v>5905</v>
      </c>
      <c r="O1648" s="32"/>
      <c r="P1648" s="33"/>
      <c r="Q1648" s="33"/>
    </row>
    <row r="1649" spans="1:17" ht="16.5" customHeight="1" x14ac:dyDescent="0.2">
      <c r="A1649" s="26"/>
      <c r="B1649" s="26"/>
      <c r="C1649" s="26"/>
      <c r="D1649" s="26"/>
      <c r="E1649" s="26"/>
      <c r="F1649" s="28" t="e">
        <f ca="1">_xludf.ifna(VLOOKUP(G1650,Proyectos!$E$1:$H$4,4,0),"")</f>
        <v>#NAME?</v>
      </c>
      <c r="G1649" s="26"/>
      <c r="H1649" s="32"/>
      <c r="I1649" s="32"/>
      <c r="J1649" s="32"/>
      <c r="K1649" s="32"/>
      <c r="L1649" s="32" t="e">
        <f ca="1">_xludf.ifna(VLOOKUP(G1650,Proyectos!$E$1:$N$4,10,0),"")</f>
        <v>#NAME?</v>
      </c>
      <c r="M1649" s="32"/>
      <c r="N1649" s="32" t="s">
        <v>5905</v>
      </c>
      <c r="O1649" s="32"/>
      <c r="P1649" s="33"/>
      <c r="Q1649" s="33"/>
    </row>
    <row r="1650" spans="1:17" ht="16.5" customHeight="1" x14ac:dyDescent="0.2">
      <c r="A1650" s="26"/>
      <c r="B1650" s="26"/>
      <c r="C1650" s="26"/>
      <c r="D1650" s="26"/>
      <c r="E1650" s="26"/>
      <c r="F1650" s="28" t="e">
        <f ca="1">_xludf.ifna(VLOOKUP(G1651,Proyectos!$E$1:$H$4,4,0),"")</f>
        <v>#NAME?</v>
      </c>
      <c r="G1650" s="26"/>
      <c r="H1650" s="32"/>
      <c r="I1650" s="32"/>
      <c r="J1650" s="32"/>
      <c r="K1650" s="32"/>
      <c r="L1650" s="32" t="e">
        <f ca="1">_xludf.ifna(VLOOKUP(G1651,Proyectos!$E$1:$N$4,10,0),"")</f>
        <v>#NAME?</v>
      </c>
      <c r="M1650" s="32"/>
      <c r="N1650" s="32" t="s">
        <v>5905</v>
      </c>
      <c r="O1650" s="32"/>
      <c r="P1650" s="33"/>
      <c r="Q1650" s="33"/>
    </row>
    <row r="1651" spans="1:17" ht="16.5" customHeight="1" x14ac:dyDescent="0.2">
      <c r="A1651" s="26"/>
      <c r="B1651" s="26"/>
      <c r="C1651" s="26"/>
      <c r="D1651" s="26"/>
      <c r="E1651" s="26"/>
      <c r="F1651" s="28" t="e">
        <f ca="1">_xludf.ifna(VLOOKUP(G1652,Proyectos!$E$1:$H$4,4,0),"")</f>
        <v>#NAME?</v>
      </c>
      <c r="G1651" s="26"/>
      <c r="H1651" s="32"/>
      <c r="I1651" s="32"/>
      <c r="J1651" s="32"/>
      <c r="K1651" s="32"/>
      <c r="L1651" s="32" t="e">
        <f ca="1">_xludf.ifna(VLOOKUP(G1652,Proyectos!$E$1:$N$4,10,0),"")</f>
        <v>#NAME?</v>
      </c>
      <c r="M1651" s="32"/>
      <c r="N1651" s="32" t="s">
        <v>5905</v>
      </c>
      <c r="O1651" s="32"/>
      <c r="P1651" s="33"/>
      <c r="Q1651" s="33"/>
    </row>
    <row r="1652" spans="1:17" ht="16.5" customHeight="1" x14ac:dyDescent="0.2">
      <c r="A1652" s="26"/>
      <c r="B1652" s="26"/>
      <c r="C1652" s="26"/>
      <c r="D1652" s="26"/>
      <c r="E1652" s="26"/>
      <c r="F1652" s="28" t="e">
        <f ca="1">_xludf.ifna(VLOOKUP(G1653,Proyectos!$E$1:$H$4,4,0),"")</f>
        <v>#NAME?</v>
      </c>
      <c r="G1652" s="26"/>
      <c r="H1652" s="32"/>
      <c r="I1652" s="32"/>
      <c r="J1652" s="32"/>
      <c r="K1652" s="32"/>
      <c r="L1652" s="32" t="e">
        <f ca="1">_xludf.ifna(VLOOKUP(G1653,Proyectos!$E$1:$N$4,10,0),"")</f>
        <v>#NAME?</v>
      </c>
      <c r="M1652" s="32"/>
      <c r="N1652" s="32" t="s">
        <v>5905</v>
      </c>
      <c r="O1652" s="32"/>
      <c r="P1652" s="33"/>
      <c r="Q1652" s="33"/>
    </row>
    <row r="1653" spans="1:17" ht="16.5" customHeight="1" x14ac:dyDescent="0.2">
      <c r="A1653" s="26"/>
      <c r="B1653" s="26"/>
      <c r="C1653" s="26"/>
      <c r="D1653" s="26"/>
      <c r="E1653" s="26"/>
      <c r="F1653" s="28" t="e">
        <f ca="1">_xludf.ifna(VLOOKUP(G1654,Proyectos!$E$1:$H$4,4,0),"")</f>
        <v>#NAME?</v>
      </c>
      <c r="G1653" s="26"/>
      <c r="H1653" s="32"/>
      <c r="I1653" s="32"/>
      <c r="J1653" s="32"/>
      <c r="K1653" s="32"/>
      <c r="L1653" s="32" t="e">
        <f ca="1">_xludf.ifna(VLOOKUP(G1654,Proyectos!$E$1:$N$4,10,0),"")</f>
        <v>#NAME?</v>
      </c>
      <c r="M1653" s="32"/>
      <c r="N1653" s="32" t="s">
        <v>5905</v>
      </c>
      <c r="O1653" s="32"/>
      <c r="P1653" s="33"/>
      <c r="Q1653" s="33"/>
    </row>
    <row r="1654" spans="1:17" ht="16.5" customHeight="1" x14ac:dyDescent="0.2">
      <c r="A1654" s="26"/>
      <c r="B1654" s="26"/>
      <c r="C1654" s="26"/>
      <c r="D1654" s="26"/>
      <c r="E1654" s="26"/>
      <c r="F1654" s="28" t="e">
        <f ca="1">_xludf.ifna(VLOOKUP(G1655,Proyectos!$E$1:$H$4,4,0),"")</f>
        <v>#NAME?</v>
      </c>
      <c r="G1654" s="26"/>
      <c r="H1654" s="32"/>
      <c r="I1654" s="32"/>
      <c r="J1654" s="32"/>
      <c r="K1654" s="32"/>
      <c r="L1654" s="32" t="e">
        <f ca="1">_xludf.ifna(VLOOKUP(G1655,Proyectos!$E$1:$N$4,10,0),"")</f>
        <v>#NAME?</v>
      </c>
      <c r="M1654" s="32"/>
      <c r="N1654" s="32" t="s">
        <v>5905</v>
      </c>
      <c r="O1654" s="32"/>
      <c r="P1654" s="33"/>
      <c r="Q1654" s="33"/>
    </row>
    <row r="1655" spans="1:17" ht="16.5" customHeight="1" x14ac:dyDescent="0.2">
      <c r="A1655" s="26"/>
      <c r="B1655" s="26"/>
      <c r="C1655" s="26"/>
      <c r="D1655" s="26"/>
      <c r="E1655" s="26"/>
      <c r="F1655" s="28" t="e">
        <f ca="1">_xludf.ifna(VLOOKUP(G1656,Proyectos!$E$1:$H$4,4,0),"")</f>
        <v>#NAME?</v>
      </c>
      <c r="G1655" s="26"/>
      <c r="H1655" s="32"/>
      <c r="I1655" s="32"/>
      <c r="J1655" s="32"/>
      <c r="K1655" s="32"/>
      <c r="L1655" s="32" t="e">
        <f ca="1">_xludf.ifna(VLOOKUP(G1656,Proyectos!$E$1:$N$4,10,0),"")</f>
        <v>#NAME?</v>
      </c>
      <c r="M1655" s="32"/>
      <c r="N1655" s="32" t="s">
        <v>5905</v>
      </c>
      <c r="O1655" s="32"/>
      <c r="P1655" s="33"/>
      <c r="Q1655" s="33"/>
    </row>
    <row r="1656" spans="1:17" ht="16.5" customHeight="1" x14ac:dyDescent="0.2">
      <c r="A1656" s="26"/>
      <c r="B1656" s="26"/>
      <c r="C1656" s="26"/>
      <c r="D1656" s="26"/>
      <c r="E1656" s="26"/>
      <c r="F1656" s="28" t="e">
        <f ca="1">_xludf.ifna(VLOOKUP(G1657,Proyectos!$E$1:$H$4,4,0),"")</f>
        <v>#NAME?</v>
      </c>
      <c r="G1656" s="26"/>
      <c r="H1656" s="32"/>
      <c r="I1656" s="32"/>
      <c r="J1656" s="32"/>
      <c r="K1656" s="32"/>
      <c r="L1656" s="32" t="e">
        <f ca="1">_xludf.ifna(VLOOKUP(G1657,Proyectos!$E$1:$N$4,10,0),"")</f>
        <v>#NAME?</v>
      </c>
      <c r="M1656" s="32"/>
      <c r="N1656" s="32" t="s">
        <v>5905</v>
      </c>
      <c r="O1656" s="32"/>
      <c r="P1656" s="33"/>
      <c r="Q1656" s="33"/>
    </row>
    <row r="1657" spans="1:17" ht="16.5" customHeight="1" x14ac:dyDescent="0.2">
      <c r="A1657" s="26"/>
      <c r="B1657" s="26"/>
      <c r="C1657" s="26"/>
      <c r="D1657" s="26"/>
      <c r="E1657" s="26"/>
      <c r="F1657" s="28" t="e">
        <f ca="1">_xludf.ifna(VLOOKUP(G1658,Proyectos!$E$1:$H$4,4,0),"")</f>
        <v>#NAME?</v>
      </c>
      <c r="G1657" s="26"/>
      <c r="H1657" s="32"/>
      <c r="I1657" s="32"/>
      <c r="J1657" s="32"/>
      <c r="K1657" s="32"/>
      <c r="L1657" s="32" t="e">
        <f ca="1">_xludf.ifna(VLOOKUP(G1658,Proyectos!$E$1:$N$4,10,0),"")</f>
        <v>#NAME?</v>
      </c>
      <c r="M1657" s="32"/>
      <c r="N1657" s="32" t="s">
        <v>5905</v>
      </c>
      <c r="O1657" s="32"/>
      <c r="P1657" s="33"/>
      <c r="Q1657" s="33"/>
    </row>
    <row r="1658" spans="1:17" ht="16.5" customHeight="1" x14ac:dyDescent="0.2">
      <c r="A1658" s="26"/>
      <c r="B1658" s="26"/>
      <c r="C1658" s="26"/>
      <c r="D1658" s="26"/>
      <c r="E1658" s="26"/>
      <c r="F1658" s="28" t="e">
        <f ca="1">_xludf.ifna(VLOOKUP(G1659,Proyectos!$E$1:$H$4,4,0),"")</f>
        <v>#NAME?</v>
      </c>
      <c r="G1658" s="26"/>
      <c r="H1658" s="32"/>
      <c r="I1658" s="32"/>
      <c r="J1658" s="32"/>
      <c r="K1658" s="32"/>
      <c r="L1658" s="32" t="e">
        <f ca="1">_xludf.ifna(VLOOKUP(G1659,Proyectos!$E$1:$N$4,10,0),"")</f>
        <v>#NAME?</v>
      </c>
      <c r="M1658" s="32"/>
      <c r="N1658" s="32" t="s">
        <v>5905</v>
      </c>
      <c r="O1658" s="32"/>
      <c r="P1658" s="33"/>
      <c r="Q1658" s="33"/>
    </row>
    <row r="1659" spans="1:17" ht="16.5" customHeight="1" x14ac:dyDescent="0.2">
      <c r="A1659" s="26"/>
      <c r="B1659" s="26"/>
      <c r="C1659" s="26"/>
      <c r="D1659" s="26"/>
      <c r="E1659" s="26"/>
      <c r="F1659" s="28" t="e">
        <f ca="1">_xludf.ifna(VLOOKUP(G1660,Proyectos!$E$1:$H$4,4,0),"")</f>
        <v>#NAME?</v>
      </c>
      <c r="G1659" s="26"/>
      <c r="H1659" s="32"/>
      <c r="I1659" s="32"/>
      <c r="J1659" s="32"/>
      <c r="K1659" s="32"/>
      <c r="L1659" s="32" t="e">
        <f ca="1">_xludf.ifna(VLOOKUP(G1660,Proyectos!$E$1:$N$4,10,0),"")</f>
        <v>#NAME?</v>
      </c>
      <c r="M1659" s="32"/>
      <c r="N1659" s="32" t="s">
        <v>5905</v>
      </c>
      <c r="O1659" s="32"/>
      <c r="P1659" s="33"/>
      <c r="Q1659" s="33"/>
    </row>
    <row r="1660" spans="1:17" ht="16.5" customHeight="1" x14ac:dyDescent="0.2">
      <c r="A1660" s="26"/>
      <c r="B1660" s="26"/>
      <c r="C1660" s="26"/>
      <c r="D1660" s="26"/>
      <c r="E1660" s="26"/>
      <c r="F1660" s="28" t="e">
        <f ca="1">_xludf.ifna(VLOOKUP(G1661,Proyectos!$E$1:$H$4,4,0),"")</f>
        <v>#NAME?</v>
      </c>
      <c r="G1660" s="26"/>
      <c r="H1660" s="32"/>
      <c r="I1660" s="32"/>
      <c r="J1660" s="32"/>
      <c r="K1660" s="32"/>
      <c r="L1660" s="32" t="e">
        <f ca="1">_xludf.ifna(VLOOKUP(G1661,Proyectos!$E$1:$N$4,10,0),"")</f>
        <v>#NAME?</v>
      </c>
      <c r="M1660" s="32"/>
      <c r="N1660" s="32" t="s">
        <v>5905</v>
      </c>
      <c r="O1660" s="32"/>
      <c r="P1660" s="33"/>
      <c r="Q1660" s="33"/>
    </row>
    <row r="1661" spans="1:17" ht="16.5" customHeight="1" x14ac:dyDescent="0.2">
      <c r="A1661" s="26"/>
      <c r="B1661" s="26"/>
      <c r="C1661" s="26"/>
      <c r="D1661" s="26"/>
      <c r="E1661" s="26"/>
      <c r="F1661" s="28" t="e">
        <f ca="1">_xludf.ifna(VLOOKUP(G1662,Proyectos!$E$1:$H$4,4,0),"")</f>
        <v>#NAME?</v>
      </c>
      <c r="G1661" s="26"/>
      <c r="H1661" s="32"/>
      <c r="I1661" s="32"/>
      <c r="J1661" s="32"/>
      <c r="K1661" s="32"/>
      <c r="L1661" s="32" t="e">
        <f ca="1">_xludf.ifna(VLOOKUP(G1662,Proyectos!$E$1:$N$4,10,0),"")</f>
        <v>#NAME?</v>
      </c>
      <c r="M1661" s="32"/>
      <c r="N1661" s="32" t="s">
        <v>5905</v>
      </c>
      <c r="O1661" s="32"/>
      <c r="P1661" s="33"/>
      <c r="Q1661" s="33"/>
    </row>
    <row r="1662" spans="1:17" ht="16.5" customHeight="1" x14ac:dyDescent="0.2">
      <c r="A1662" s="26"/>
      <c r="B1662" s="26"/>
      <c r="C1662" s="26"/>
      <c r="D1662" s="26"/>
      <c r="E1662" s="26"/>
      <c r="F1662" s="28" t="e">
        <f ca="1">_xludf.ifna(VLOOKUP(G1663,Proyectos!$E$1:$H$4,4,0),"")</f>
        <v>#NAME?</v>
      </c>
      <c r="G1662" s="26"/>
      <c r="H1662" s="32"/>
      <c r="I1662" s="32"/>
      <c r="J1662" s="32"/>
      <c r="K1662" s="32"/>
      <c r="L1662" s="32" t="e">
        <f ca="1">_xludf.ifna(VLOOKUP(G1663,Proyectos!$E$1:$N$4,10,0),"")</f>
        <v>#NAME?</v>
      </c>
      <c r="M1662" s="32"/>
      <c r="N1662" s="32" t="s">
        <v>5905</v>
      </c>
      <c r="O1662" s="32"/>
      <c r="P1662" s="33"/>
      <c r="Q1662" s="33"/>
    </row>
    <row r="1663" spans="1:17" ht="16.5" customHeight="1" x14ac:dyDescent="0.2">
      <c r="A1663" s="26"/>
      <c r="B1663" s="26"/>
      <c r="C1663" s="26"/>
      <c r="D1663" s="26"/>
      <c r="E1663" s="26"/>
      <c r="F1663" s="28" t="e">
        <f ca="1">_xludf.ifna(VLOOKUP(G1664,Proyectos!$E$1:$H$4,4,0),"")</f>
        <v>#NAME?</v>
      </c>
      <c r="G1663" s="26"/>
      <c r="H1663" s="32"/>
      <c r="I1663" s="32"/>
      <c r="J1663" s="32"/>
      <c r="K1663" s="32"/>
      <c r="L1663" s="32" t="e">
        <f ca="1">_xludf.ifna(VLOOKUP(G1664,Proyectos!$E$1:$N$4,10,0),"")</f>
        <v>#NAME?</v>
      </c>
      <c r="M1663" s="32"/>
      <c r="N1663" s="32" t="s">
        <v>5905</v>
      </c>
      <c r="O1663" s="32"/>
      <c r="P1663" s="33"/>
      <c r="Q1663" s="33"/>
    </row>
    <row r="1664" spans="1:17" ht="16.5" customHeight="1" x14ac:dyDescent="0.2">
      <c r="A1664" s="26"/>
      <c r="B1664" s="26"/>
      <c r="C1664" s="26"/>
      <c r="D1664" s="26"/>
      <c r="E1664" s="26"/>
      <c r="F1664" s="28" t="e">
        <f ca="1">_xludf.ifna(VLOOKUP(G1665,Proyectos!$E$1:$H$4,4,0),"")</f>
        <v>#NAME?</v>
      </c>
      <c r="G1664" s="26"/>
      <c r="H1664" s="32"/>
      <c r="I1664" s="32"/>
      <c r="J1664" s="32"/>
      <c r="K1664" s="32"/>
      <c r="L1664" s="32" t="e">
        <f ca="1">_xludf.ifna(VLOOKUP(G1665,Proyectos!$E$1:$N$4,10,0),"")</f>
        <v>#NAME?</v>
      </c>
      <c r="M1664" s="32"/>
      <c r="N1664" s="32" t="s">
        <v>5905</v>
      </c>
      <c r="O1664" s="32"/>
      <c r="P1664" s="33"/>
      <c r="Q1664" s="33"/>
    </row>
    <row r="1665" spans="1:17" ht="16.5" customHeight="1" x14ac:dyDescent="0.2">
      <c r="A1665" s="26"/>
      <c r="B1665" s="26"/>
      <c r="C1665" s="26"/>
      <c r="D1665" s="26"/>
      <c r="E1665" s="26"/>
      <c r="F1665" s="28" t="e">
        <f ca="1">_xludf.ifna(VLOOKUP(G1666,Proyectos!$E$1:$H$4,4,0),"")</f>
        <v>#NAME?</v>
      </c>
      <c r="G1665" s="26"/>
      <c r="H1665" s="32"/>
      <c r="I1665" s="32"/>
      <c r="J1665" s="32"/>
      <c r="K1665" s="32"/>
      <c r="L1665" s="32" t="e">
        <f ca="1">_xludf.ifna(VLOOKUP(G1666,Proyectos!$E$1:$N$4,10,0),"")</f>
        <v>#NAME?</v>
      </c>
      <c r="M1665" s="32"/>
      <c r="N1665" s="32" t="s">
        <v>5905</v>
      </c>
      <c r="O1665" s="32"/>
      <c r="P1665" s="33"/>
      <c r="Q1665" s="33"/>
    </row>
    <row r="1666" spans="1:17" ht="16.5" customHeight="1" x14ac:dyDescent="0.2">
      <c r="A1666" s="26"/>
      <c r="B1666" s="26"/>
      <c r="C1666" s="26"/>
      <c r="D1666" s="26"/>
      <c r="E1666" s="26"/>
      <c r="F1666" s="28" t="e">
        <f ca="1">_xludf.ifna(VLOOKUP(G1667,Proyectos!$E$1:$H$4,4,0),"")</f>
        <v>#NAME?</v>
      </c>
      <c r="G1666" s="26"/>
      <c r="H1666" s="32"/>
      <c r="I1666" s="32"/>
      <c r="J1666" s="32"/>
      <c r="K1666" s="32"/>
      <c r="L1666" s="32" t="e">
        <f ca="1">_xludf.ifna(VLOOKUP(G1667,Proyectos!$E$1:$N$4,10,0),"")</f>
        <v>#NAME?</v>
      </c>
      <c r="M1666" s="32"/>
      <c r="N1666" s="32" t="s">
        <v>5905</v>
      </c>
      <c r="O1666" s="32"/>
      <c r="P1666" s="33"/>
      <c r="Q1666" s="33"/>
    </row>
    <row r="1667" spans="1:17" ht="16.5" customHeight="1" x14ac:dyDescent="0.2">
      <c r="A1667" s="26"/>
      <c r="B1667" s="26"/>
      <c r="C1667" s="26"/>
      <c r="D1667" s="26"/>
      <c r="E1667" s="26"/>
      <c r="F1667" s="28" t="e">
        <f ca="1">_xludf.ifna(VLOOKUP(G1668,Proyectos!$E$1:$H$4,4,0),"")</f>
        <v>#NAME?</v>
      </c>
      <c r="G1667" s="26"/>
      <c r="H1667" s="32"/>
      <c r="I1667" s="32"/>
      <c r="J1667" s="32"/>
      <c r="K1667" s="32"/>
      <c r="L1667" s="32" t="e">
        <f ca="1">_xludf.ifna(VLOOKUP(G1668,Proyectos!$E$1:$N$4,10,0),"")</f>
        <v>#NAME?</v>
      </c>
      <c r="M1667" s="32"/>
      <c r="N1667" s="32" t="s">
        <v>5905</v>
      </c>
      <c r="O1667" s="32"/>
      <c r="P1667" s="33"/>
      <c r="Q1667" s="33"/>
    </row>
    <row r="1668" spans="1:17" ht="16.5" customHeight="1" x14ac:dyDescent="0.2">
      <c r="A1668" s="26"/>
      <c r="B1668" s="26"/>
      <c r="C1668" s="26"/>
      <c r="D1668" s="26"/>
      <c r="E1668" s="26"/>
      <c r="F1668" s="28" t="e">
        <f ca="1">_xludf.ifna(VLOOKUP(G1669,Proyectos!$E$1:$H$4,4,0),"")</f>
        <v>#NAME?</v>
      </c>
      <c r="G1668" s="26"/>
      <c r="H1668" s="32"/>
      <c r="I1668" s="32"/>
      <c r="J1668" s="32"/>
      <c r="K1668" s="32"/>
      <c r="L1668" s="32" t="e">
        <f ca="1">_xludf.ifna(VLOOKUP(G1669,Proyectos!$E$1:$N$4,10,0),"")</f>
        <v>#NAME?</v>
      </c>
      <c r="M1668" s="32"/>
      <c r="N1668" s="32" t="s">
        <v>5905</v>
      </c>
      <c r="O1668" s="32"/>
      <c r="P1668" s="33"/>
      <c r="Q1668" s="33"/>
    </row>
    <row r="1669" spans="1:17" ht="16.5" customHeight="1" x14ac:dyDescent="0.2">
      <c r="A1669" s="26"/>
      <c r="B1669" s="26"/>
      <c r="C1669" s="26"/>
      <c r="D1669" s="26"/>
      <c r="E1669" s="26"/>
      <c r="F1669" s="28" t="e">
        <f ca="1">_xludf.ifna(VLOOKUP(G1670,Proyectos!$E$1:$H$4,4,0),"")</f>
        <v>#NAME?</v>
      </c>
      <c r="G1669" s="26"/>
      <c r="H1669" s="32"/>
      <c r="I1669" s="32"/>
      <c r="J1669" s="32"/>
      <c r="K1669" s="32"/>
      <c r="L1669" s="32" t="e">
        <f ca="1">_xludf.ifna(VLOOKUP(G1670,Proyectos!$E$1:$N$4,10,0),"")</f>
        <v>#NAME?</v>
      </c>
      <c r="M1669" s="32"/>
      <c r="N1669" s="32" t="s">
        <v>5905</v>
      </c>
      <c r="O1669" s="32"/>
      <c r="P1669" s="33"/>
      <c r="Q1669" s="33"/>
    </row>
    <row r="1670" spans="1:17" ht="16.5" customHeight="1" x14ac:dyDescent="0.2">
      <c r="A1670" s="26"/>
      <c r="B1670" s="26"/>
      <c r="C1670" s="26"/>
      <c r="D1670" s="26"/>
      <c r="E1670" s="26"/>
      <c r="F1670" s="28" t="e">
        <f ca="1">_xludf.ifna(VLOOKUP(G1671,Proyectos!$E$1:$H$4,4,0),"")</f>
        <v>#NAME?</v>
      </c>
      <c r="G1670" s="26"/>
      <c r="H1670" s="32"/>
      <c r="I1670" s="32"/>
      <c r="J1670" s="32"/>
      <c r="K1670" s="32"/>
      <c r="L1670" s="32" t="e">
        <f ca="1">_xludf.ifna(VLOOKUP(G1671,Proyectos!$E$1:$N$4,10,0),"")</f>
        <v>#NAME?</v>
      </c>
      <c r="M1670" s="32"/>
      <c r="N1670" s="32" t="s">
        <v>5905</v>
      </c>
      <c r="O1670" s="32"/>
      <c r="P1670" s="33"/>
      <c r="Q1670" s="33"/>
    </row>
    <row r="1671" spans="1:17" ht="16.5" customHeight="1" x14ac:dyDescent="0.2">
      <c r="A1671" s="26"/>
      <c r="B1671" s="26"/>
      <c r="C1671" s="26"/>
      <c r="D1671" s="26"/>
      <c r="E1671" s="26"/>
      <c r="F1671" s="28" t="e">
        <f ca="1">_xludf.ifna(VLOOKUP(G1672,Proyectos!$E$1:$H$4,4,0),"")</f>
        <v>#NAME?</v>
      </c>
      <c r="G1671" s="26"/>
      <c r="H1671" s="32"/>
      <c r="I1671" s="32"/>
      <c r="J1671" s="32"/>
      <c r="K1671" s="32"/>
      <c r="L1671" s="32" t="e">
        <f ca="1">_xludf.ifna(VLOOKUP(G1672,Proyectos!$E$1:$N$4,10,0),"")</f>
        <v>#NAME?</v>
      </c>
      <c r="M1671" s="32"/>
      <c r="N1671" s="32" t="s">
        <v>5905</v>
      </c>
      <c r="O1671" s="32"/>
      <c r="P1671" s="33"/>
      <c r="Q1671" s="33"/>
    </row>
    <row r="1672" spans="1:17" ht="16.5" customHeight="1" x14ac:dyDescent="0.2">
      <c r="A1672" s="26"/>
      <c r="B1672" s="26"/>
      <c r="C1672" s="26"/>
      <c r="D1672" s="26"/>
      <c r="E1672" s="26"/>
      <c r="F1672" s="28" t="e">
        <f ca="1">_xludf.ifna(VLOOKUP(G1673,Proyectos!$E$1:$H$4,4,0),"")</f>
        <v>#NAME?</v>
      </c>
      <c r="G1672" s="26"/>
      <c r="H1672" s="32"/>
      <c r="I1672" s="32"/>
      <c r="J1672" s="32"/>
      <c r="K1672" s="32"/>
      <c r="L1672" s="32" t="e">
        <f ca="1">_xludf.ifna(VLOOKUP(G1673,Proyectos!$E$1:$N$4,10,0),"")</f>
        <v>#NAME?</v>
      </c>
      <c r="M1672" s="32"/>
      <c r="N1672" s="32" t="s">
        <v>5905</v>
      </c>
      <c r="O1672" s="32"/>
      <c r="P1672" s="33"/>
      <c r="Q1672" s="33"/>
    </row>
    <row r="1673" spans="1:17" ht="16.5" customHeight="1" x14ac:dyDescent="0.2">
      <c r="A1673" s="26"/>
      <c r="B1673" s="26"/>
      <c r="C1673" s="26"/>
      <c r="D1673" s="26"/>
      <c r="E1673" s="26"/>
      <c r="F1673" s="28" t="e">
        <f ca="1">_xludf.ifna(VLOOKUP(G1674,Proyectos!$E$1:$H$4,4,0),"")</f>
        <v>#NAME?</v>
      </c>
      <c r="G1673" s="26"/>
      <c r="H1673" s="32"/>
      <c r="I1673" s="32"/>
      <c r="J1673" s="32"/>
      <c r="K1673" s="32"/>
      <c r="L1673" s="32" t="e">
        <f ca="1">_xludf.ifna(VLOOKUP(G1674,Proyectos!$E$1:$N$4,10,0),"")</f>
        <v>#NAME?</v>
      </c>
      <c r="M1673" s="32"/>
      <c r="N1673" s="32" t="s">
        <v>5905</v>
      </c>
      <c r="O1673" s="32"/>
      <c r="P1673" s="33"/>
      <c r="Q1673" s="33"/>
    </row>
    <row r="1674" spans="1:17" ht="16.5" customHeight="1" x14ac:dyDescent="0.2">
      <c r="A1674" s="26"/>
      <c r="B1674" s="26"/>
      <c r="C1674" s="26"/>
      <c r="D1674" s="26"/>
      <c r="E1674" s="26"/>
      <c r="F1674" s="28" t="e">
        <f ca="1">_xludf.ifna(VLOOKUP(G1675,Proyectos!$E$1:$H$4,4,0),"")</f>
        <v>#NAME?</v>
      </c>
      <c r="G1674" s="26"/>
      <c r="H1674" s="32"/>
      <c r="I1674" s="32"/>
      <c r="J1674" s="32"/>
      <c r="K1674" s="32"/>
      <c r="L1674" s="32" t="e">
        <f ca="1">_xludf.ifna(VLOOKUP(G1675,Proyectos!$E$1:$N$4,10,0),"")</f>
        <v>#NAME?</v>
      </c>
      <c r="M1674" s="32"/>
      <c r="N1674" s="32" t="s">
        <v>5905</v>
      </c>
      <c r="O1674" s="32"/>
      <c r="P1674" s="33"/>
      <c r="Q1674" s="33"/>
    </row>
    <row r="1675" spans="1:17" ht="16.5" customHeight="1" x14ac:dyDescent="0.2">
      <c r="A1675" s="26"/>
      <c r="B1675" s="26"/>
      <c r="C1675" s="26"/>
      <c r="D1675" s="26"/>
      <c r="E1675" s="26"/>
      <c r="F1675" s="28" t="e">
        <f ca="1">_xludf.ifna(VLOOKUP(G1676,Proyectos!$E$1:$H$4,4,0),"")</f>
        <v>#NAME?</v>
      </c>
      <c r="G1675" s="26"/>
      <c r="H1675" s="32"/>
      <c r="I1675" s="32"/>
      <c r="J1675" s="32"/>
      <c r="K1675" s="32"/>
      <c r="L1675" s="32" t="e">
        <f ca="1">_xludf.ifna(VLOOKUP(G1676,Proyectos!$E$1:$N$4,10,0),"")</f>
        <v>#NAME?</v>
      </c>
      <c r="M1675" s="32"/>
      <c r="N1675" s="32" t="s">
        <v>5905</v>
      </c>
      <c r="O1675" s="32"/>
      <c r="P1675" s="33"/>
      <c r="Q1675" s="33"/>
    </row>
    <row r="1676" spans="1:17" ht="16.5" customHeight="1" x14ac:dyDescent="0.2">
      <c r="A1676" s="26"/>
      <c r="B1676" s="26"/>
      <c r="C1676" s="26"/>
      <c r="D1676" s="26"/>
      <c r="E1676" s="26"/>
      <c r="F1676" s="28" t="e">
        <f ca="1">_xludf.ifna(VLOOKUP(G1677,Proyectos!$E$1:$H$4,4,0),"")</f>
        <v>#NAME?</v>
      </c>
      <c r="G1676" s="26"/>
      <c r="H1676" s="32"/>
      <c r="I1676" s="32"/>
      <c r="J1676" s="32"/>
      <c r="K1676" s="32"/>
      <c r="L1676" s="32" t="e">
        <f ca="1">_xludf.ifna(VLOOKUP(G1677,Proyectos!$E$1:$N$4,10,0),"")</f>
        <v>#NAME?</v>
      </c>
      <c r="M1676" s="32"/>
      <c r="N1676" s="32" t="s">
        <v>5905</v>
      </c>
      <c r="O1676" s="32"/>
      <c r="P1676" s="33"/>
      <c r="Q1676" s="33"/>
    </row>
    <row r="1677" spans="1:17" ht="16.5" customHeight="1" x14ac:dyDescent="0.2">
      <c r="A1677" s="26"/>
      <c r="B1677" s="26"/>
      <c r="C1677" s="26"/>
      <c r="D1677" s="26"/>
      <c r="E1677" s="26"/>
      <c r="F1677" s="28" t="e">
        <f ca="1">_xludf.ifna(VLOOKUP(G1678,Proyectos!$E$1:$H$4,4,0),"")</f>
        <v>#NAME?</v>
      </c>
      <c r="G1677" s="26"/>
      <c r="H1677" s="32"/>
      <c r="I1677" s="32"/>
      <c r="J1677" s="32"/>
      <c r="K1677" s="32"/>
      <c r="L1677" s="32" t="e">
        <f ca="1">_xludf.ifna(VLOOKUP(G1678,Proyectos!$E$1:$N$4,10,0),"")</f>
        <v>#NAME?</v>
      </c>
      <c r="M1677" s="32"/>
      <c r="N1677" s="32" t="s">
        <v>5905</v>
      </c>
      <c r="O1677" s="32"/>
      <c r="P1677" s="33"/>
      <c r="Q1677" s="33"/>
    </row>
    <row r="1678" spans="1:17" ht="16.5" customHeight="1" x14ac:dyDescent="0.2">
      <c r="A1678" s="26"/>
      <c r="B1678" s="26"/>
      <c r="C1678" s="26"/>
      <c r="D1678" s="26"/>
      <c r="E1678" s="26"/>
      <c r="F1678" s="28" t="e">
        <f ca="1">_xludf.ifna(VLOOKUP(G1679,Proyectos!$E$1:$H$4,4,0),"")</f>
        <v>#NAME?</v>
      </c>
      <c r="G1678" s="26"/>
      <c r="H1678" s="32"/>
      <c r="I1678" s="32"/>
      <c r="J1678" s="32"/>
      <c r="K1678" s="32"/>
      <c r="L1678" s="32" t="e">
        <f ca="1">_xludf.ifna(VLOOKUP(G1679,Proyectos!$E$1:$N$4,10,0),"")</f>
        <v>#NAME?</v>
      </c>
      <c r="M1678" s="32"/>
      <c r="N1678" s="32" t="s">
        <v>5905</v>
      </c>
      <c r="O1678" s="32"/>
      <c r="P1678" s="33"/>
      <c r="Q1678" s="33"/>
    </row>
    <row r="1679" spans="1:17" ht="16.5" customHeight="1" x14ac:dyDescent="0.2">
      <c r="A1679" s="26"/>
      <c r="B1679" s="26"/>
      <c r="C1679" s="26"/>
      <c r="D1679" s="26"/>
      <c r="E1679" s="26"/>
      <c r="F1679" s="28" t="e">
        <f ca="1">_xludf.ifna(VLOOKUP(G1680,Proyectos!$E$1:$H$4,4,0),"")</f>
        <v>#NAME?</v>
      </c>
      <c r="G1679" s="26"/>
      <c r="H1679" s="32"/>
      <c r="I1679" s="32"/>
      <c r="J1679" s="32"/>
      <c r="K1679" s="32"/>
      <c r="L1679" s="32" t="e">
        <f ca="1">_xludf.ifna(VLOOKUP(G1680,Proyectos!$E$1:$N$4,10,0),"")</f>
        <v>#NAME?</v>
      </c>
      <c r="M1679" s="32"/>
      <c r="N1679" s="32" t="s">
        <v>5905</v>
      </c>
      <c r="O1679" s="32"/>
      <c r="P1679" s="33"/>
      <c r="Q1679" s="33"/>
    </row>
    <row r="1680" spans="1:17" ht="16.5" customHeight="1" x14ac:dyDescent="0.2">
      <c r="A1680" s="26"/>
      <c r="B1680" s="26"/>
      <c r="C1680" s="26"/>
      <c r="D1680" s="26"/>
      <c r="E1680" s="26"/>
      <c r="F1680" s="28" t="e">
        <f ca="1">_xludf.ifna(VLOOKUP(G1681,Proyectos!$E$1:$H$4,4,0),"")</f>
        <v>#NAME?</v>
      </c>
      <c r="G1680" s="26"/>
      <c r="H1680" s="32"/>
      <c r="I1680" s="32"/>
      <c r="J1680" s="32"/>
      <c r="K1680" s="32"/>
      <c r="L1680" s="32" t="e">
        <f ca="1">_xludf.ifna(VLOOKUP(G1681,Proyectos!$E$1:$N$4,10,0),"")</f>
        <v>#NAME?</v>
      </c>
      <c r="M1680" s="32"/>
      <c r="N1680" s="32" t="s">
        <v>5905</v>
      </c>
      <c r="O1680" s="32"/>
      <c r="P1680" s="33"/>
      <c r="Q1680" s="33"/>
    </row>
    <row r="1681" spans="1:17" ht="16.5" customHeight="1" x14ac:dyDescent="0.2">
      <c r="A1681" s="26"/>
      <c r="B1681" s="26"/>
      <c r="C1681" s="26"/>
      <c r="D1681" s="26"/>
      <c r="E1681" s="26"/>
      <c r="F1681" s="28" t="e">
        <f ca="1">_xludf.ifna(VLOOKUP(G1682,Proyectos!$E$1:$H$4,4,0),"")</f>
        <v>#NAME?</v>
      </c>
      <c r="G1681" s="26"/>
      <c r="H1681" s="32"/>
      <c r="I1681" s="32"/>
      <c r="J1681" s="32"/>
      <c r="K1681" s="32"/>
      <c r="L1681" s="32" t="e">
        <f ca="1">_xludf.ifna(VLOOKUP(G1682,Proyectos!$E$1:$N$4,10,0),"")</f>
        <v>#NAME?</v>
      </c>
      <c r="M1681" s="32"/>
      <c r="N1681" s="32" t="s">
        <v>5905</v>
      </c>
      <c r="O1681" s="32"/>
      <c r="P1681" s="33"/>
      <c r="Q1681" s="33"/>
    </row>
    <row r="1682" spans="1:17" ht="16.5" customHeight="1" x14ac:dyDescent="0.2">
      <c r="A1682" s="26"/>
      <c r="B1682" s="26"/>
      <c r="C1682" s="26"/>
      <c r="D1682" s="26"/>
      <c r="E1682" s="26"/>
      <c r="F1682" s="28" t="e">
        <f ca="1">_xludf.ifna(VLOOKUP(G1683,Proyectos!$E$1:$H$4,4,0),"")</f>
        <v>#NAME?</v>
      </c>
      <c r="G1682" s="26"/>
      <c r="H1682" s="32"/>
      <c r="I1682" s="32"/>
      <c r="J1682" s="32"/>
      <c r="K1682" s="32"/>
      <c r="L1682" s="32" t="e">
        <f ca="1">_xludf.ifna(VLOOKUP(G1683,Proyectos!$E$1:$N$4,10,0),"")</f>
        <v>#NAME?</v>
      </c>
      <c r="M1682" s="32"/>
      <c r="N1682" s="32" t="s">
        <v>5905</v>
      </c>
      <c r="O1682" s="32"/>
      <c r="P1682" s="33"/>
      <c r="Q1682" s="33"/>
    </row>
    <row r="1683" spans="1:17" ht="16.5" customHeight="1" x14ac:dyDescent="0.2">
      <c r="A1683" s="26"/>
      <c r="B1683" s="26"/>
      <c r="C1683" s="26"/>
      <c r="D1683" s="26"/>
      <c r="E1683" s="26"/>
      <c r="F1683" s="28" t="e">
        <f ca="1">_xludf.ifna(VLOOKUP(G1684,Proyectos!$E$1:$H$4,4,0),"")</f>
        <v>#NAME?</v>
      </c>
      <c r="G1683" s="26"/>
      <c r="H1683" s="32"/>
      <c r="I1683" s="32"/>
      <c r="J1683" s="32"/>
      <c r="K1683" s="32"/>
      <c r="L1683" s="32" t="e">
        <f ca="1">_xludf.ifna(VLOOKUP(G1684,Proyectos!$E$1:$N$4,10,0),"")</f>
        <v>#NAME?</v>
      </c>
      <c r="M1683" s="32"/>
      <c r="N1683" s="32" t="s">
        <v>5905</v>
      </c>
      <c r="O1683" s="32"/>
      <c r="P1683" s="33"/>
      <c r="Q1683" s="33"/>
    </row>
    <row r="1684" spans="1:17" ht="16.5" customHeight="1" x14ac:dyDescent="0.2">
      <c r="A1684" s="26"/>
      <c r="B1684" s="26"/>
      <c r="C1684" s="26"/>
      <c r="D1684" s="26"/>
      <c r="E1684" s="26"/>
      <c r="F1684" s="28" t="e">
        <f ca="1">_xludf.ifna(VLOOKUP(G1685,Proyectos!$E$1:$H$4,4,0),"")</f>
        <v>#NAME?</v>
      </c>
      <c r="G1684" s="26"/>
      <c r="H1684" s="32"/>
      <c r="I1684" s="32"/>
      <c r="J1684" s="32"/>
      <c r="K1684" s="32"/>
      <c r="L1684" s="32" t="e">
        <f ca="1">_xludf.ifna(VLOOKUP(G1685,Proyectos!$E$1:$N$4,10,0),"")</f>
        <v>#NAME?</v>
      </c>
      <c r="M1684" s="32"/>
      <c r="N1684" s="32" t="s">
        <v>5905</v>
      </c>
      <c r="O1684" s="32"/>
      <c r="P1684" s="33"/>
      <c r="Q1684" s="33"/>
    </row>
    <row r="1685" spans="1:17" ht="16.5" customHeight="1" x14ac:dyDescent="0.2">
      <c r="A1685" s="26"/>
      <c r="B1685" s="26"/>
      <c r="C1685" s="26"/>
      <c r="D1685" s="26"/>
      <c r="E1685" s="26"/>
      <c r="F1685" s="28" t="e">
        <f ca="1">_xludf.ifna(VLOOKUP(G1686,Proyectos!$E$1:$H$4,4,0),"")</f>
        <v>#NAME?</v>
      </c>
      <c r="G1685" s="26"/>
      <c r="H1685" s="32"/>
      <c r="I1685" s="32"/>
      <c r="J1685" s="32"/>
      <c r="K1685" s="32"/>
      <c r="L1685" s="32" t="e">
        <f ca="1">_xludf.ifna(VLOOKUP(G1686,Proyectos!$E$1:$N$4,10,0),"")</f>
        <v>#NAME?</v>
      </c>
      <c r="M1685" s="32"/>
      <c r="N1685" s="32" t="s">
        <v>5905</v>
      </c>
      <c r="O1685" s="32"/>
      <c r="P1685" s="33"/>
      <c r="Q1685" s="33"/>
    </row>
    <row r="1686" spans="1:17" ht="16.5" customHeight="1" x14ac:dyDescent="0.2">
      <c r="A1686" s="26"/>
      <c r="B1686" s="26"/>
      <c r="C1686" s="26"/>
      <c r="D1686" s="26"/>
      <c r="E1686" s="26"/>
      <c r="F1686" s="28" t="e">
        <f ca="1">_xludf.ifna(VLOOKUP(G1687,Proyectos!$E$1:$H$4,4,0),"")</f>
        <v>#NAME?</v>
      </c>
      <c r="G1686" s="26"/>
      <c r="H1686" s="32"/>
      <c r="I1686" s="32"/>
      <c r="J1686" s="32"/>
      <c r="K1686" s="32"/>
      <c r="L1686" s="32" t="e">
        <f ca="1">_xludf.ifna(VLOOKUP(G1687,Proyectos!$E$1:$N$4,10,0),"")</f>
        <v>#NAME?</v>
      </c>
      <c r="M1686" s="32"/>
      <c r="N1686" s="32" t="s">
        <v>5905</v>
      </c>
      <c r="O1686" s="32"/>
      <c r="P1686" s="33"/>
      <c r="Q1686" s="33"/>
    </row>
    <row r="1687" spans="1:17" ht="16.5" customHeight="1" x14ac:dyDescent="0.2">
      <c r="A1687" s="26"/>
      <c r="B1687" s="26"/>
      <c r="C1687" s="26"/>
      <c r="D1687" s="26"/>
      <c r="E1687" s="26"/>
      <c r="F1687" s="28" t="e">
        <f ca="1">_xludf.ifna(VLOOKUP(G1688,Proyectos!$E$1:$H$4,4,0),"")</f>
        <v>#NAME?</v>
      </c>
      <c r="G1687" s="26"/>
      <c r="H1687" s="32"/>
      <c r="I1687" s="32"/>
      <c r="J1687" s="32"/>
      <c r="K1687" s="32"/>
      <c r="L1687" s="32" t="e">
        <f ca="1">_xludf.ifna(VLOOKUP(G1688,Proyectos!$E$1:$N$4,10,0),"")</f>
        <v>#NAME?</v>
      </c>
      <c r="M1687" s="32"/>
      <c r="N1687" s="32" t="s">
        <v>5905</v>
      </c>
      <c r="O1687" s="32"/>
      <c r="P1687" s="33"/>
      <c r="Q1687" s="33"/>
    </row>
    <row r="1688" spans="1:17" ht="16.5" customHeight="1" x14ac:dyDescent="0.2">
      <c r="A1688" s="26"/>
      <c r="B1688" s="26"/>
      <c r="C1688" s="26"/>
      <c r="D1688" s="26"/>
      <c r="E1688" s="26"/>
      <c r="F1688" s="28" t="e">
        <f ca="1">_xludf.ifna(VLOOKUP(G1689,Proyectos!$E$1:$H$4,4,0),"")</f>
        <v>#NAME?</v>
      </c>
      <c r="G1688" s="26"/>
      <c r="H1688" s="32"/>
      <c r="I1688" s="32"/>
      <c r="J1688" s="32"/>
      <c r="K1688" s="32"/>
      <c r="L1688" s="32" t="e">
        <f ca="1">_xludf.ifna(VLOOKUP(G1689,Proyectos!$E$1:$N$4,10,0),"")</f>
        <v>#NAME?</v>
      </c>
      <c r="M1688" s="32"/>
      <c r="N1688" s="32" t="s">
        <v>5905</v>
      </c>
      <c r="O1688" s="32"/>
      <c r="P1688" s="33"/>
      <c r="Q1688" s="33"/>
    </row>
    <row r="1689" spans="1:17" ht="16.5" customHeight="1" x14ac:dyDescent="0.2">
      <c r="A1689" s="26"/>
      <c r="B1689" s="26"/>
      <c r="C1689" s="26"/>
      <c r="D1689" s="26"/>
      <c r="E1689" s="26"/>
      <c r="F1689" s="28" t="e">
        <f ca="1">_xludf.ifna(VLOOKUP(G1690,Proyectos!$E$1:$H$4,4,0),"")</f>
        <v>#NAME?</v>
      </c>
      <c r="G1689" s="26"/>
      <c r="H1689" s="32"/>
      <c r="I1689" s="32"/>
      <c r="J1689" s="32"/>
      <c r="K1689" s="32"/>
      <c r="L1689" s="32" t="e">
        <f ca="1">_xludf.ifna(VLOOKUP(G1690,Proyectos!$E$1:$N$4,10,0),"")</f>
        <v>#NAME?</v>
      </c>
      <c r="M1689" s="32"/>
      <c r="N1689" s="32" t="s">
        <v>5905</v>
      </c>
      <c r="O1689" s="32"/>
      <c r="P1689" s="33"/>
      <c r="Q1689" s="33"/>
    </row>
    <row r="1690" spans="1:17" ht="16.5" customHeight="1" x14ac:dyDescent="0.2">
      <c r="A1690" s="26"/>
      <c r="B1690" s="26"/>
      <c r="C1690" s="26"/>
      <c r="D1690" s="26"/>
      <c r="E1690" s="26"/>
      <c r="F1690" s="28" t="e">
        <f ca="1">_xludf.ifna(VLOOKUP(G1691,Proyectos!$E$1:$H$4,4,0),"")</f>
        <v>#NAME?</v>
      </c>
      <c r="G1690" s="26"/>
      <c r="H1690" s="32"/>
      <c r="I1690" s="32"/>
      <c r="J1690" s="32"/>
      <c r="K1690" s="32"/>
      <c r="L1690" s="32" t="e">
        <f ca="1">_xludf.ifna(VLOOKUP(G1691,Proyectos!$E$1:$N$4,10,0),"")</f>
        <v>#NAME?</v>
      </c>
      <c r="M1690" s="32"/>
      <c r="N1690" s="32" t="s">
        <v>5905</v>
      </c>
      <c r="O1690" s="32"/>
      <c r="P1690" s="33"/>
      <c r="Q1690" s="33"/>
    </row>
    <row r="1691" spans="1:17" ht="16.5" customHeight="1" x14ac:dyDescent="0.2">
      <c r="A1691" s="26"/>
      <c r="B1691" s="26"/>
      <c r="C1691" s="26"/>
      <c r="D1691" s="26"/>
      <c r="E1691" s="26"/>
      <c r="F1691" s="28" t="e">
        <f ca="1">_xludf.ifna(VLOOKUP(G1692,Proyectos!$E$1:$H$4,4,0),"")</f>
        <v>#NAME?</v>
      </c>
      <c r="G1691" s="26"/>
      <c r="H1691" s="32"/>
      <c r="I1691" s="32"/>
      <c r="J1691" s="32"/>
      <c r="K1691" s="32"/>
      <c r="L1691" s="32" t="e">
        <f ca="1">_xludf.ifna(VLOOKUP(G1692,Proyectos!$E$1:$N$4,10,0),"")</f>
        <v>#NAME?</v>
      </c>
      <c r="M1691" s="32"/>
      <c r="N1691" s="32" t="s">
        <v>5905</v>
      </c>
      <c r="O1691" s="32"/>
      <c r="P1691" s="33"/>
      <c r="Q1691" s="33"/>
    </row>
    <row r="1692" spans="1:17" ht="16.5" customHeight="1" x14ac:dyDescent="0.2">
      <c r="A1692" s="26"/>
      <c r="B1692" s="26"/>
      <c r="C1692" s="26"/>
      <c r="D1692" s="26"/>
      <c r="E1692" s="26"/>
      <c r="F1692" s="28" t="e">
        <f ca="1">_xludf.ifna(VLOOKUP(G1693,Proyectos!$E$1:$H$4,4,0),"")</f>
        <v>#NAME?</v>
      </c>
      <c r="G1692" s="26"/>
      <c r="H1692" s="32"/>
      <c r="I1692" s="32"/>
      <c r="J1692" s="32"/>
      <c r="K1692" s="32"/>
      <c r="L1692" s="32" t="e">
        <f ca="1">_xludf.ifna(VLOOKUP(G1693,Proyectos!$E$1:$N$4,10,0),"")</f>
        <v>#NAME?</v>
      </c>
      <c r="M1692" s="32"/>
      <c r="N1692" s="32" t="s">
        <v>5905</v>
      </c>
      <c r="O1692" s="32"/>
      <c r="P1692" s="33"/>
      <c r="Q1692" s="33"/>
    </row>
    <row r="1693" spans="1:17" ht="16.5" customHeight="1" x14ac:dyDescent="0.2">
      <c r="A1693" s="26"/>
      <c r="B1693" s="26"/>
      <c r="C1693" s="26"/>
      <c r="D1693" s="26"/>
      <c r="E1693" s="26"/>
      <c r="F1693" s="28" t="e">
        <f ca="1">_xludf.ifna(VLOOKUP(G1694,Proyectos!$E$1:$H$4,4,0),"")</f>
        <v>#NAME?</v>
      </c>
      <c r="G1693" s="26"/>
      <c r="H1693" s="32"/>
      <c r="I1693" s="32"/>
      <c r="J1693" s="32"/>
      <c r="K1693" s="32"/>
      <c r="L1693" s="32" t="e">
        <f ca="1">_xludf.ifna(VLOOKUP(G1694,Proyectos!$E$1:$N$4,10,0),"")</f>
        <v>#NAME?</v>
      </c>
      <c r="M1693" s="32"/>
      <c r="N1693" s="32" t="s">
        <v>5905</v>
      </c>
      <c r="O1693" s="32"/>
      <c r="P1693" s="33"/>
      <c r="Q1693" s="33"/>
    </row>
    <row r="1694" spans="1:17" ht="16.5" customHeight="1" x14ac:dyDescent="0.2">
      <c r="A1694" s="26"/>
      <c r="B1694" s="26"/>
      <c r="C1694" s="26"/>
      <c r="D1694" s="26"/>
      <c r="E1694" s="26"/>
      <c r="F1694" s="28" t="e">
        <f ca="1">_xludf.ifna(VLOOKUP(G1695,Proyectos!$E$1:$H$4,4,0),"")</f>
        <v>#NAME?</v>
      </c>
      <c r="G1694" s="26"/>
      <c r="H1694" s="32"/>
      <c r="I1694" s="32"/>
      <c r="J1694" s="32"/>
      <c r="K1694" s="32"/>
      <c r="L1694" s="32" t="e">
        <f ca="1">_xludf.ifna(VLOOKUP(G1695,Proyectos!$E$1:$N$4,10,0),"")</f>
        <v>#NAME?</v>
      </c>
      <c r="M1694" s="32"/>
      <c r="N1694" s="32" t="s">
        <v>5905</v>
      </c>
      <c r="O1694" s="32"/>
      <c r="P1694" s="33"/>
      <c r="Q1694" s="33"/>
    </row>
    <row r="1695" spans="1:17" ht="16.5" customHeight="1" x14ac:dyDescent="0.2">
      <c r="A1695" s="26"/>
      <c r="B1695" s="26"/>
      <c r="C1695" s="26"/>
      <c r="D1695" s="26"/>
      <c r="E1695" s="26"/>
      <c r="F1695" s="28" t="e">
        <f ca="1">_xludf.ifna(VLOOKUP(G1696,Proyectos!$E$1:$H$4,4,0),"")</f>
        <v>#NAME?</v>
      </c>
      <c r="G1695" s="26"/>
      <c r="H1695" s="32"/>
      <c r="I1695" s="32"/>
      <c r="J1695" s="32"/>
      <c r="K1695" s="32"/>
      <c r="L1695" s="32" t="e">
        <f ca="1">_xludf.ifna(VLOOKUP(G1696,Proyectos!$E$1:$N$4,10,0),"")</f>
        <v>#NAME?</v>
      </c>
      <c r="M1695" s="32"/>
      <c r="N1695" s="32" t="s">
        <v>5905</v>
      </c>
      <c r="O1695" s="32"/>
      <c r="P1695" s="33"/>
      <c r="Q1695" s="33"/>
    </row>
    <row r="1696" spans="1:17" ht="16.5" customHeight="1" x14ac:dyDescent="0.2">
      <c r="A1696" s="26"/>
      <c r="B1696" s="26"/>
      <c r="C1696" s="26"/>
      <c r="D1696" s="26"/>
      <c r="E1696" s="26"/>
      <c r="F1696" s="28" t="e">
        <f ca="1">_xludf.ifna(VLOOKUP(G1697,Proyectos!$E$1:$H$4,4,0),"")</f>
        <v>#NAME?</v>
      </c>
      <c r="G1696" s="26"/>
      <c r="H1696" s="32"/>
      <c r="I1696" s="32"/>
      <c r="J1696" s="32"/>
      <c r="K1696" s="32"/>
      <c r="L1696" s="32" t="e">
        <f ca="1">_xludf.ifna(VLOOKUP(G1697,Proyectos!$E$1:$N$4,10,0),"")</f>
        <v>#NAME?</v>
      </c>
      <c r="M1696" s="32"/>
      <c r="N1696" s="32" t="s">
        <v>5905</v>
      </c>
      <c r="O1696" s="32"/>
      <c r="P1696" s="33"/>
      <c r="Q1696" s="33"/>
    </row>
    <row r="1697" spans="1:17" ht="16.5" customHeight="1" x14ac:dyDescent="0.2">
      <c r="A1697" s="26"/>
      <c r="B1697" s="26"/>
      <c r="C1697" s="26"/>
      <c r="D1697" s="26"/>
      <c r="E1697" s="26"/>
      <c r="F1697" s="28" t="e">
        <f ca="1">_xludf.ifna(VLOOKUP(G1698,Proyectos!$E$1:$H$4,4,0),"")</f>
        <v>#NAME?</v>
      </c>
      <c r="G1697" s="26"/>
      <c r="H1697" s="32"/>
      <c r="I1697" s="32"/>
      <c r="J1697" s="32"/>
      <c r="K1697" s="32"/>
      <c r="L1697" s="32" t="e">
        <f ca="1">_xludf.ifna(VLOOKUP(G1698,Proyectos!$E$1:$N$4,10,0),"")</f>
        <v>#NAME?</v>
      </c>
      <c r="M1697" s="32"/>
      <c r="N1697" s="32" t="s">
        <v>5905</v>
      </c>
      <c r="O1697" s="32"/>
      <c r="P1697" s="33"/>
      <c r="Q1697" s="33"/>
    </row>
    <row r="1698" spans="1:17" ht="16.5" customHeight="1" x14ac:dyDescent="0.2">
      <c r="A1698" s="26"/>
      <c r="B1698" s="26"/>
      <c r="C1698" s="26"/>
      <c r="D1698" s="26"/>
      <c r="E1698" s="26"/>
      <c r="F1698" s="28" t="e">
        <f ca="1">_xludf.ifna(VLOOKUP(G1699,Proyectos!$E$1:$H$4,4,0),"")</f>
        <v>#NAME?</v>
      </c>
      <c r="G1698" s="26"/>
      <c r="H1698" s="32"/>
      <c r="I1698" s="32"/>
      <c r="J1698" s="32"/>
      <c r="K1698" s="32"/>
      <c r="L1698" s="32" t="e">
        <f ca="1">_xludf.ifna(VLOOKUP(G1699,Proyectos!$E$1:$N$4,10,0),"")</f>
        <v>#NAME?</v>
      </c>
      <c r="M1698" s="32"/>
      <c r="N1698" s="32" t="s">
        <v>5905</v>
      </c>
      <c r="O1698" s="32"/>
      <c r="P1698" s="33"/>
      <c r="Q1698" s="33"/>
    </row>
    <row r="1699" spans="1:17" ht="16.5" customHeight="1" x14ac:dyDescent="0.2">
      <c r="A1699" s="26"/>
      <c r="B1699" s="26"/>
      <c r="C1699" s="26"/>
      <c r="D1699" s="26"/>
      <c r="E1699" s="26"/>
      <c r="F1699" s="28" t="e">
        <f ca="1">_xludf.ifna(VLOOKUP(G1700,Proyectos!$E$1:$H$4,4,0),"")</f>
        <v>#NAME?</v>
      </c>
      <c r="G1699" s="26"/>
      <c r="H1699" s="32"/>
      <c r="I1699" s="32"/>
      <c r="J1699" s="32"/>
      <c r="K1699" s="32"/>
      <c r="L1699" s="32" t="e">
        <f ca="1">_xludf.ifna(VLOOKUP(G1700,Proyectos!$E$1:$N$4,10,0),"")</f>
        <v>#NAME?</v>
      </c>
      <c r="M1699" s="32"/>
      <c r="N1699" s="32" t="s">
        <v>5905</v>
      </c>
      <c r="O1699" s="32"/>
      <c r="P1699" s="33"/>
      <c r="Q1699" s="33"/>
    </row>
    <row r="1700" spans="1:17" ht="16.5" customHeight="1" x14ac:dyDescent="0.2">
      <c r="A1700" s="26"/>
      <c r="B1700" s="26"/>
      <c r="C1700" s="26"/>
      <c r="D1700" s="26"/>
      <c r="E1700" s="26"/>
      <c r="F1700" s="28" t="e">
        <f ca="1">_xludf.ifna(VLOOKUP(G1701,Proyectos!$E$1:$H$4,4,0),"")</f>
        <v>#NAME?</v>
      </c>
      <c r="G1700" s="26"/>
      <c r="H1700" s="32"/>
      <c r="I1700" s="32"/>
      <c r="J1700" s="32"/>
      <c r="K1700" s="32"/>
      <c r="L1700" s="32" t="e">
        <f ca="1">_xludf.ifna(VLOOKUP(G1701,Proyectos!$E$1:$N$4,10,0),"")</f>
        <v>#NAME?</v>
      </c>
      <c r="M1700" s="32"/>
      <c r="N1700" s="32" t="s">
        <v>5905</v>
      </c>
      <c r="O1700" s="32"/>
      <c r="P1700" s="33"/>
      <c r="Q1700" s="33"/>
    </row>
    <row r="1701" spans="1:17" ht="16.5" customHeight="1" x14ac:dyDescent="0.2">
      <c r="A1701" s="26"/>
      <c r="B1701" s="26"/>
      <c r="C1701" s="26"/>
      <c r="D1701" s="26"/>
      <c r="E1701" s="26"/>
      <c r="F1701" s="28" t="e">
        <f ca="1">_xludf.ifna(VLOOKUP(G1702,Proyectos!$E$1:$H$4,4,0),"")</f>
        <v>#NAME?</v>
      </c>
      <c r="G1701" s="26"/>
      <c r="H1701" s="32"/>
      <c r="I1701" s="32"/>
      <c r="J1701" s="32"/>
      <c r="K1701" s="32"/>
      <c r="L1701" s="32" t="e">
        <f ca="1">_xludf.ifna(VLOOKUP(G1702,Proyectos!$E$1:$N$4,10,0),"")</f>
        <v>#NAME?</v>
      </c>
      <c r="M1701" s="32"/>
      <c r="N1701" s="32" t="s">
        <v>5905</v>
      </c>
      <c r="O1701" s="32"/>
      <c r="P1701" s="33"/>
      <c r="Q1701" s="33"/>
    </row>
    <row r="1702" spans="1:17" ht="16.5" customHeight="1" x14ac:dyDescent="0.2">
      <c r="A1702" s="26"/>
      <c r="B1702" s="26"/>
      <c r="C1702" s="26"/>
      <c r="D1702" s="26"/>
      <c r="E1702" s="26"/>
      <c r="F1702" s="28" t="e">
        <f ca="1">_xludf.ifna(VLOOKUP(G1703,Proyectos!$E$1:$H$4,4,0),"")</f>
        <v>#NAME?</v>
      </c>
      <c r="G1702" s="26"/>
      <c r="H1702" s="32"/>
      <c r="I1702" s="32"/>
      <c r="J1702" s="32"/>
      <c r="K1702" s="32"/>
      <c r="L1702" s="32" t="e">
        <f ca="1">_xludf.ifna(VLOOKUP(G1703,Proyectos!$E$1:$N$4,10,0),"")</f>
        <v>#NAME?</v>
      </c>
      <c r="M1702" s="32"/>
      <c r="N1702" s="32" t="s">
        <v>5905</v>
      </c>
      <c r="O1702" s="32"/>
      <c r="P1702" s="33"/>
      <c r="Q1702" s="33"/>
    </row>
    <row r="1703" spans="1:17" ht="16.5" customHeight="1" x14ac:dyDescent="0.2">
      <c r="A1703" s="26"/>
      <c r="B1703" s="26"/>
      <c r="C1703" s="26"/>
      <c r="D1703" s="26"/>
      <c r="E1703" s="26"/>
      <c r="F1703" s="28" t="e">
        <f ca="1">_xludf.ifna(VLOOKUP(G1704,Proyectos!$E$1:$H$4,4,0),"")</f>
        <v>#NAME?</v>
      </c>
      <c r="G1703" s="26"/>
      <c r="H1703" s="32"/>
      <c r="I1703" s="32"/>
      <c r="J1703" s="32"/>
      <c r="K1703" s="32"/>
      <c r="L1703" s="32" t="e">
        <f ca="1">_xludf.ifna(VLOOKUP(G1704,Proyectos!$E$1:$N$4,10,0),"")</f>
        <v>#NAME?</v>
      </c>
      <c r="M1703" s="32"/>
      <c r="N1703" s="32" t="s">
        <v>5905</v>
      </c>
      <c r="O1703" s="32"/>
      <c r="P1703" s="33"/>
      <c r="Q1703" s="33"/>
    </row>
    <row r="1704" spans="1:17" ht="16.5" customHeight="1" x14ac:dyDescent="0.2">
      <c r="A1704" s="26"/>
      <c r="B1704" s="26"/>
      <c r="C1704" s="26"/>
      <c r="D1704" s="26"/>
      <c r="E1704" s="26"/>
      <c r="F1704" s="28" t="e">
        <f ca="1">_xludf.ifna(VLOOKUP(G1705,Proyectos!$E$1:$H$4,4,0),"")</f>
        <v>#NAME?</v>
      </c>
      <c r="G1704" s="26"/>
      <c r="H1704" s="32"/>
      <c r="I1704" s="32"/>
      <c r="J1704" s="32"/>
      <c r="K1704" s="32"/>
      <c r="L1704" s="32" t="e">
        <f ca="1">_xludf.ifna(VLOOKUP(G1705,Proyectos!$E$1:$N$4,10,0),"")</f>
        <v>#NAME?</v>
      </c>
      <c r="M1704" s="32"/>
      <c r="N1704" s="32" t="s">
        <v>5905</v>
      </c>
      <c r="O1704" s="32"/>
      <c r="P1704" s="33"/>
      <c r="Q1704" s="33"/>
    </row>
    <row r="1705" spans="1:17" ht="16.5" customHeight="1" x14ac:dyDescent="0.2">
      <c r="A1705" s="26"/>
      <c r="B1705" s="26"/>
      <c r="C1705" s="26"/>
      <c r="D1705" s="26"/>
      <c r="E1705" s="26"/>
      <c r="F1705" s="28" t="e">
        <f ca="1">_xludf.ifna(VLOOKUP(G1706,Proyectos!$E$1:$H$4,4,0),"")</f>
        <v>#NAME?</v>
      </c>
      <c r="G1705" s="26"/>
      <c r="H1705" s="32"/>
      <c r="I1705" s="32"/>
      <c r="J1705" s="32"/>
      <c r="K1705" s="32"/>
      <c r="L1705" s="32" t="e">
        <f ca="1">_xludf.ifna(VLOOKUP(G1706,Proyectos!$E$1:$N$4,10,0),"")</f>
        <v>#NAME?</v>
      </c>
      <c r="M1705" s="32"/>
      <c r="N1705" s="32" t="s">
        <v>5905</v>
      </c>
      <c r="O1705" s="32"/>
      <c r="P1705" s="33"/>
      <c r="Q1705" s="33"/>
    </row>
    <row r="1706" spans="1:17" ht="16.5" customHeight="1" x14ac:dyDescent="0.2">
      <c r="A1706" s="26"/>
      <c r="B1706" s="26"/>
      <c r="C1706" s="26"/>
      <c r="D1706" s="26"/>
      <c r="E1706" s="26"/>
      <c r="F1706" s="28" t="e">
        <f ca="1">_xludf.ifna(VLOOKUP(G1707,Proyectos!$E$1:$H$4,4,0),"")</f>
        <v>#NAME?</v>
      </c>
      <c r="G1706" s="26"/>
      <c r="H1706" s="32"/>
      <c r="I1706" s="32"/>
      <c r="J1706" s="32"/>
      <c r="K1706" s="32"/>
      <c r="L1706" s="32" t="e">
        <f ca="1">_xludf.ifna(VLOOKUP(G1707,Proyectos!$E$1:$N$4,10,0),"")</f>
        <v>#NAME?</v>
      </c>
      <c r="M1706" s="32"/>
      <c r="N1706" s="32" t="s">
        <v>5905</v>
      </c>
      <c r="O1706" s="32"/>
      <c r="P1706" s="33"/>
      <c r="Q1706" s="33"/>
    </row>
    <row r="1707" spans="1:17" ht="16.5" customHeight="1" x14ac:dyDescent="0.2">
      <c r="A1707" s="26"/>
      <c r="B1707" s="26"/>
      <c r="C1707" s="26"/>
      <c r="D1707" s="26"/>
      <c r="E1707" s="26"/>
      <c r="F1707" s="28" t="e">
        <f ca="1">_xludf.ifna(VLOOKUP(G1708,Proyectos!$E$1:$H$4,4,0),"")</f>
        <v>#NAME?</v>
      </c>
      <c r="G1707" s="26"/>
      <c r="H1707" s="32"/>
      <c r="I1707" s="32"/>
      <c r="J1707" s="32"/>
      <c r="K1707" s="32"/>
      <c r="L1707" s="32" t="e">
        <f ca="1">_xludf.ifna(VLOOKUP(G1708,Proyectos!$E$1:$N$4,10,0),"")</f>
        <v>#NAME?</v>
      </c>
      <c r="M1707" s="32"/>
      <c r="N1707" s="32" t="s">
        <v>5905</v>
      </c>
      <c r="O1707" s="32"/>
      <c r="P1707" s="33"/>
      <c r="Q1707" s="33"/>
    </row>
    <row r="1708" spans="1:17" ht="16.5" customHeight="1" x14ac:dyDescent="0.2">
      <c r="A1708" s="26"/>
      <c r="B1708" s="26"/>
      <c r="C1708" s="26"/>
      <c r="D1708" s="26"/>
      <c r="E1708" s="26"/>
      <c r="F1708" s="28" t="e">
        <f ca="1">_xludf.ifna(VLOOKUP(G1709,Proyectos!$E$1:$H$4,4,0),"")</f>
        <v>#NAME?</v>
      </c>
      <c r="G1708" s="26"/>
      <c r="H1708" s="32"/>
      <c r="I1708" s="32"/>
      <c r="J1708" s="32"/>
      <c r="K1708" s="32"/>
      <c r="L1708" s="32" t="e">
        <f ca="1">_xludf.ifna(VLOOKUP(G1709,Proyectos!$E$1:$N$4,10,0),"")</f>
        <v>#NAME?</v>
      </c>
      <c r="M1708" s="32"/>
      <c r="N1708" s="32" t="s">
        <v>5905</v>
      </c>
      <c r="O1708" s="32"/>
      <c r="P1708" s="33"/>
      <c r="Q1708" s="33"/>
    </row>
    <row r="1709" spans="1:17" ht="16.5" customHeight="1" x14ac:dyDescent="0.2">
      <c r="A1709" s="26"/>
      <c r="B1709" s="26"/>
      <c r="C1709" s="26"/>
      <c r="D1709" s="26"/>
      <c r="E1709" s="26"/>
      <c r="F1709" s="28" t="e">
        <f ca="1">_xludf.ifna(VLOOKUP(G1710,Proyectos!$E$1:$H$4,4,0),"")</f>
        <v>#NAME?</v>
      </c>
      <c r="G1709" s="26"/>
      <c r="H1709" s="32"/>
      <c r="I1709" s="32"/>
      <c r="J1709" s="32"/>
      <c r="K1709" s="32"/>
      <c r="L1709" s="32" t="e">
        <f ca="1">_xludf.ifna(VLOOKUP(G1710,Proyectos!$E$1:$N$4,10,0),"")</f>
        <v>#NAME?</v>
      </c>
      <c r="M1709" s="32"/>
      <c r="N1709" s="32" t="s">
        <v>5905</v>
      </c>
      <c r="O1709" s="32"/>
      <c r="P1709" s="33"/>
      <c r="Q1709" s="33"/>
    </row>
    <row r="1710" spans="1:17" ht="16.5" customHeight="1" x14ac:dyDescent="0.2">
      <c r="A1710" s="26"/>
      <c r="B1710" s="26"/>
      <c r="C1710" s="26"/>
      <c r="D1710" s="26"/>
      <c r="E1710" s="26"/>
      <c r="F1710" s="28" t="e">
        <f ca="1">_xludf.ifna(VLOOKUP(G1711,Proyectos!$E$1:$H$4,4,0),"")</f>
        <v>#NAME?</v>
      </c>
      <c r="G1710" s="26"/>
      <c r="H1710" s="32"/>
      <c r="I1710" s="32"/>
      <c r="J1710" s="32"/>
      <c r="K1710" s="32"/>
      <c r="L1710" s="32" t="e">
        <f ca="1">_xludf.ifna(VLOOKUP(G1711,Proyectos!$E$1:$N$4,10,0),"")</f>
        <v>#NAME?</v>
      </c>
      <c r="M1710" s="32"/>
      <c r="N1710" s="32" t="s">
        <v>5905</v>
      </c>
      <c r="O1710" s="32"/>
      <c r="P1710" s="33"/>
      <c r="Q1710" s="33"/>
    </row>
    <row r="1711" spans="1:17" ht="16.5" customHeight="1" x14ac:dyDescent="0.2">
      <c r="A1711" s="26"/>
      <c r="B1711" s="26"/>
      <c r="C1711" s="26"/>
      <c r="D1711" s="26"/>
      <c r="E1711" s="26"/>
      <c r="F1711" s="28" t="e">
        <f ca="1">_xludf.ifna(VLOOKUP(G1712,Proyectos!$E$1:$H$4,4,0),"")</f>
        <v>#NAME?</v>
      </c>
      <c r="G1711" s="26"/>
      <c r="H1711" s="32"/>
      <c r="I1711" s="32"/>
      <c r="J1711" s="32"/>
      <c r="K1711" s="32"/>
      <c r="L1711" s="32" t="e">
        <f ca="1">_xludf.ifna(VLOOKUP(G1712,Proyectos!$E$1:$N$4,10,0),"")</f>
        <v>#NAME?</v>
      </c>
      <c r="M1711" s="32"/>
      <c r="N1711" s="32" t="s">
        <v>5905</v>
      </c>
      <c r="O1711" s="32"/>
      <c r="P1711" s="33"/>
      <c r="Q1711" s="33"/>
    </row>
    <row r="1712" spans="1:17" ht="16.5" customHeight="1" x14ac:dyDescent="0.2">
      <c r="A1712" s="26"/>
      <c r="B1712" s="26"/>
      <c r="C1712" s="26"/>
      <c r="D1712" s="26"/>
      <c r="E1712" s="26"/>
      <c r="F1712" s="28" t="e">
        <f ca="1">_xludf.ifna(VLOOKUP(G1713,Proyectos!$E$1:$H$4,4,0),"")</f>
        <v>#NAME?</v>
      </c>
      <c r="G1712" s="26"/>
      <c r="H1712" s="32"/>
      <c r="I1712" s="32"/>
      <c r="J1712" s="32"/>
      <c r="K1712" s="32"/>
      <c r="L1712" s="32" t="e">
        <f ca="1">_xludf.ifna(VLOOKUP(G1713,Proyectos!$E$1:$N$4,10,0),"")</f>
        <v>#NAME?</v>
      </c>
      <c r="M1712" s="32"/>
      <c r="N1712" s="32" t="s">
        <v>5905</v>
      </c>
      <c r="O1712" s="32"/>
      <c r="P1712" s="33"/>
      <c r="Q1712" s="33"/>
    </row>
    <row r="1713" spans="1:17" ht="16.5" customHeight="1" x14ac:dyDescent="0.2">
      <c r="A1713" s="26"/>
      <c r="B1713" s="26"/>
      <c r="C1713" s="26"/>
      <c r="D1713" s="26"/>
      <c r="E1713" s="26"/>
      <c r="F1713" s="28" t="e">
        <f ca="1">_xludf.ifna(VLOOKUP(G1714,Proyectos!$E$1:$H$4,4,0),"")</f>
        <v>#NAME?</v>
      </c>
      <c r="G1713" s="26"/>
      <c r="H1713" s="32"/>
      <c r="I1713" s="32"/>
      <c r="J1713" s="32"/>
      <c r="K1713" s="32"/>
      <c r="L1713" s="32" t="e">
        <f ca="1">_xludf.ifna(VLOOKUP(G1714,Proyectos!$E$1:$N$4,10,0),"")</f>
        <v>#NAME?</v>
      </c>
      <c r="M1713" s="32"/>
      <c r="N1713" s="32" t="s">
        <v>5905</v>
      </c>
      <c r="O1713" s="32"/>
      <c r="P1713" s="33"/>
      <c r="Q1713" s="33"/>
    </row>
    <row r="1714" spans="1:17" ht="16.5" customHeight="1" x14ac:dyDescent="0.2">
      <c r="A1714" s="26"/>
      <c r="B1714" s="26"/>
      <c r="C1714" s="26"/>
      <c r="D1714" s="26"/>
      <c r="E1714" s="26"/>
      <c r="F1714" s="28" t="e">
        <f ca="1">_xludf.ifna(VLOOKUP(G1715,Proyectos!$E$1:$H$4,4,0),"")</f>
        <v>#NAME?</v>
      </c>
      <c r="G1714" s="26"/>
      <c r="H1714" s="32"/>
      <c r="I1714" s="32"/>
      <c r="J1714" s="32"/>
      <c r="K1714" s="32"/>
      <c r="L1714" s="32" t="e">
        <f ca="1">_xludf.ifna(VLOOKUP(G1715,Proyectos!$E$1:$N$4,10,0),"")</f>
        <v>#NAME?</v>
      </c>
      <c r="M1714" s="32"/>
      <c r="N1714" s="32" t="s">
        <v>5905</v>
      </c>
      <c r="O1714" s="32"/>
      <c r="P1714" s="33"/>
      <c r="Q1714" s="33"/>
    </row>
    <row r="1715" spans="1:17" ht="16.5" customHeight="1" x14ac:dyDescent="0.2">
      <c r="A1715" s="26"/>
      <c r="B1715" s="26"/>
      <c r="C1715" s="26"/>
      <c r="D1715" s="26"/>
      <c r="E1715" s="26"/>
      <c r="F1715" s="28" t="e">
        <f ca="1">_xludf.ifna(VLOOKUP(G1716,Proyectos!$E$1:$H$4,4,0),"")</f>
        <v>#NAME?</v>
      </c>
      <c r="G1715" s="26"/>
      <c r="H1715" s="32"/>
      <c r="I1715" s="32"/>
      <c r="J1715" s="32"/>
      <c r="K1715" s="32"/>
      <c r="L1715" s="32" t="e">
        <f ca="1">_xludf.ifna(VLOOKUP(G1716,Proyectos!$E$1:$N$4,10,0),"")</f>
        <v>#NAME?</v>
      </c>
      <c r="M1715" s="32"/>
      <c r="N1715" s="32" t="s">
        <v>5905</v>
      </c>
      <c r="O1715" s="32"/>
      <c r="P1715" s="33"/>
      <c r="Q1715" s="33"/>
    </row>
    <row r="1716" spans="1:17" ht="16.5" customHeight="1" x14ac:dyDescent="0.2">
      <c r="A1716" s="26"/>
      <c r="B1716" s="26"/>
      <c r="C1716" s="26"/>
      <c r="D1716" s="26"/>
      <c r="E1716" s="26"/>
      <c r="F1716" s="28" t="e">
        <f ca="1">_xludf.ifna(VLOOKUP(G1717,Proyectos!$E$1:$H$4,4,0),"")</f>
        <v>#NAME?</v>
      </c>
      <c r="G1716" s="26"/>
      <c r="H1716" s="32"/>
      <c r="I1716" s="32"/>
      <c r="J1716" s="32"/>
      <c r="K1716" s="32"/>
      <c r="L1716" s="32" t="e">
        <f ca="1">_xludf.ifna(VLOOKUP(G1717,Proyectos!$E$1:$N$4,10,0),"")</f>
        <v>#NAME?</v>
      </c>
      <c r="M1716" s="32"/>
      <c r="N1716" s="32" t="s">
        <v>5905</v>
      </c>
      <c r="O1716" s="32"/>
      <c r="P1716" s="33"/>
      <c r="Q1716" s="33"/>
    </row>
    <row r="1717" spans="1:17" ht="16.5" customHeight="1" x14ac:dyDescent="0.2">
      <c r="A1717" s="26"/>
      <c r="B1717" s="26"/>
      <c r="C1717" s="26"/>
      <c r="D1717" s="26"/>
      <c r="E1717" s="26"/>
      <c r="F1717" s="28" t="e">
        <f ca="1">_xludf.ifna(VLOOKUP(G1718,Proyectos!$E$1:$H$4,4,0),"")</f>
        <v>#NAME?</v>
      </c>
      <c r="G1717" s="26"/>
      <c r="H1717" s="32"/>
      <c r="I1717" s="32"/>
      <c r="J1717" s="32"/>
      <c r="K1717" s="32"/>
      <c r="L1717" s="32" t="e">
        <f ca="1">_xludf.ifna(VLOOKUP(G1718,Proyectos!$E$1:$N$4,10,0),"")</f>
        <v>#NAME?</v>
      </c>
      <c r="M1717" s="32"/>
      <c r="N1717" s="32" t="s">
        <v>5905</v>
      </c>
      <c r="O1717" s="32"/>
      <c r="P1717" s="33"/>
      <c r="Q1717" s="33"/>
    </row>
    <row r="1718" spans="1:17" ht="16.5" customHeight="1" x14ac:dyDescent="0.2">
      <c r="A1718" s="26"/>
      <c r="B1718" s="26"/>
      <c r="C1718" s="26"/>
      <c r="D1718" s="26"/>
      <c r="E1718" s="26"/>
      <c r="F1718" s="28" t="e">
        <f ca="1">_xludf.ifna(VLOOKUP(G1719,Proyectos!$E$1:$H$4,4,0),"")</f>
        <v>#NAME?</v>
      </c>
      <c r="G1718" s="26"/>
      <c r="H1718" s="32"/>
      <c r="I1718" s="32"/>
      <c r="J1718" s="32"/>
      <c r="K1718" s="32"/>
      <c r="L1718" s="32" t="e">
        <f ca="1">_xludf.ifna(VLOOKUP(G1719,Proyectos!$E$1:$N$4,10,0),"")</f>
        <v>#NAME?</v>
      </c>
      <c r="M1718" s="32"/>
      <c r="N1718" s="32" t="s">
        <v>5905</v>
      </c>
      <c r="O1718" s="32"/>
      <c r="P1718" s="33"/>
      <c r="Q1718" s="33"/>
    </row>
    <row r="1719" spans="1:17" ht="16.5" customHeight="1" x14ac:dyDescent="0.2">
      <c r="A1719" s="26"/>
      <c r="B1719" s="26"/>
      <c r="C1719" s="26"/>
      <c r="D1719" s="26"/>
      <c r="E1719" s="26"/>
      <c r="F1719" s="28" t="e">
        <f ca="1">_xludf.ifna(VLOOKUP(G1720,Proyectos!$E$1:$H$4,4,0),"")</f>
        <v>#NAME?</v>
      </c>
      <c r="G1719" s="26"/>
      <c r="H1719" s="32"/>
      <c r="I1719" s="32"/>
      <c r="J1719" s="32"/>
      <c r="K1719" s="32"/>
      <c r="L1719" s="32" t="e">
        <f ca="1">_xludf.ifna(VLOOKUP(G1720,Proyectos!$E$1:$N$4,10,0),"")</f>
        <v>#NAME?</v>
      </c>
      <c r="M1719" s="32"/>
      <c r="N1719" s="32" t="s">
        <v>5905</v>
      </c>
      <c r="O1719" s="32"/>
      <c r="P1719" s="33"/>
      <c r="Q1719" s="33"/>
    </row>
    <row r="1720" spans="1:17" ht="16.5" customHeight="1" x14ac:dyDescent="0.2">
      <c r="A1720" s="26"/>
      <c r="B1720" s="26"/>
      <c r="C1720" s="26"/>
      <c r="D1720" s="26"/>
      <c r="E1720" s="26"/>
      <c r="F1720" s="28" t="e">
        <f ca="1">_xludf.ifna(VLOOKUP(G1721,Proyectos!$E$1:$H$4,4,0),"")</f>
        <v>#NAME?</v>
      </c>
      <c r="G1720" s="26"/>
      <c r="H1720" s="32"/>
      <c r="I1720" s="32"/>
      <c r="J1720" s="32"/>
      <c r="K1720" s="32"/>
      <c r="L1720" s="32" t="e">
        <f ca="1">_xludf.ifna(VLOOKUP(G1721,Proyectos!$E$1:$N$4,10,0),"")</f>
        <v>#NAME?</v>
      </c>
      <c r="M1720" s="32"/>
      <c r="N1720" s="32" t="s">
        <v>5905</v>
      </c>
      <c r="O1720" s="32"/>
      <c r="P1720" s="33"/>
      <c r="Q1720" s="33"/>
    </row>
    <row r="1721" spans="1:17" ht="16.5" customHeight="1" x14ac:dyDescent="0.2">
      <c r="A1721" s="26"/>
      <c r="B1721" s="26"/>
      <c r="C1721" s="26"/>
      <c r="D1721" s="26"/>
      <c r="E1721" s="26"/>
      <c r="F1721" s="28" t="e">
        <f ca="1">_xludf.ifna(VLOOKUP(G1722,Proyectos!$E$1:$H$4,4,0),"")</f>
        <v>#NAME?</v>
      </c>
      <c r="G1721" s="26"/>
      <c r="H1721" s="32"/>
      <c r="I1721" s="32"/>
      <c r="J1721" s="32"/>
      <c r="K1721" s="32"/>
      <c r="L1721" s="32" t="e">
        <f ca="1">_xludf.ifna(VLOOKUP(G1722,Proyectos!$E$1:$N$4,10,0),"")</f>
        <v>#NAME?</v>
      </c>
      <c r="M1721" s="32"/>
      <c r="N1721" s="32" t="s">
        <v>5905</v>
      </c>
      <c r="O1721" s="32"/>
      <c r="P1721" s="33"/>
      <c r="Q1721" s="33"/>
    </row>
    <row r="1722" spans="1:17" ht="16.5" customHeight="1" x14ac:dyDescent="0.2">
      <c r="A1722" s="26"/>
      <c r="B1722" s="26"/>
      <c r="C1722" s="26"/>
      <c r="D1722" s="26"/>
      <c r="E1722" s="26"/>
      <c r="F1722" s="28" t="e">
        <f ca="1">_xludf.ifna(VLOOKUP(G1723,Proyectos!$E$1:$H$4,4,0),"")</f>
        <v>#NAME?</v>
      </c>
      <c r="G1722" s="26"/>
      <c r="H1722" s="32"/>
      <c r="I1722" s="32"/>
      <c r="J1722" s="32"/>
      <c r="K1722" s="32"/>
      <c r="L1722" s="32" t="e">
        <f ca="1">_xludf.ifna(VLOOKUP(G1723,Proyectos!$E$1:$N$4,10,0),"")</f>
        <v>#NAME?</v>
      </c>
      <c r="M1722" s="32"/>
      <c r="N1722" s="32" t="s">
        <v>5905</v>
      </c>
      <c r="O1722" s="32"/>
      <c r="P1722" s="33"/>
      <c r="Q1722" s="33"/>
    </row>
    <row r="1723" spans="1:17" ht="16.5" customHeight="1" x14ac:dyDescent="0.2">
      <c r="A1723" s="26"/>
      <c r="B1723" s="26"/>
      <c r="C1723" s="26"/>
      <c r="D1723" s="26"/>
      <c r="E1723" s="26"/>
      <c r="F1723" s="28" t="e">
        <f ca="1">_xludf.ifna(VLOOKUP(G1724,Proyectos!$E$1:$H$4,4,0),"")</f>
        <v>#NAME?</v>
      </c>
      <c r="G1723" s="26"/>
      <c r="H1723" s="32"/>
      <c r="I1723" s="32"/>
      <c r="J1723" s="32"/>
      <c r="K1723" s="32"/>
      <c r="L1723" s="32" t="e">
        <f ca="1">_xludf.ifna(VLOOKUP(G1724,Proyectos!$E$1:$N$4,10,0),"")</f>
        <v>#NAME?</v>
      </c>
      <c r="M1723" s="32"/>
      <c r="N1723" s="32" t="s">
        <v>5905</v>
      </c>
      <c r="O1723" s="32"/>
      <c r="P1723" s="33"/>
      <c r="Q1723" s="33"/>
    </row>
    <row r="1724" spans="1:17" ht="16.5" customHeight="1" x14ac:dyDescent="0.2">
      <c r="A1724" s="26"/>
      <c r="B1724" s="26"/>
      <c r="C1724" s="26"/>
      <c r="D1724" s="26"/>
      <c r="E1724" s="26"/>
      <c r="F1724" s="28" t="e">
        <f ca="1">_xludf.ifna(VLOOKUP(G1725,Proyectos!$E$1:$H$4,4,0),"")</f>
        <v>#NAME?</v>
      </c>
      <c r="G1724" s="26"/>
      <c r="H1724" s="32"/>
      <c r="I1724" s="32"/>
      <c r="J1724" s="32"/>
      <c r="K1724" s="32"/>
      <c r="L1724" s="32" t="e">
        <f ca="1">_xludf.ifna(VLOOKUP(G1725,Proyectos!$E$1:$N$4,10,0),"")</f>
        <v>#NAME?</v>
      </c>
      <c r="M1724" s="32"/>
      <c r="N1724" s="32" t="s">
        <v>5905</v>
      </c>
      <c r="O1724" s="32"/>
      <c r="P1724" s="33"/>
      <c r="Q1724" s="33"/>
    </row>
    <row r="1725" spans="1:17" ht="16.5" customHeight="1" x14ac:dyDescent="0.2">
      <c r="A1725" s="26"/>
      <c r="B1725" s="26"/>
      <c r="C1725" s="26"/>
      <c r="D1725" s="26"/>
      <c r="E1725" s="26"/>
      <c r="F1725" s="28" t="e">
        <f ca="1">_xludf.ifna(VLOOKUP(G1726,Proyectos!$E$1:$H$4,4,0),"")</f>
        <v>#NAME?</v>
      </c>
      <c r="G1725" s="26"/>
      <c r="H1725" s="32"/>
      <c r="I1725" s="32"/>
      <c r="J1725" s="32"/>
      <c r="K1725" s="32"/>
      <c r="L1725" s="32" t="e">
        <f ca="1">_xludf.ifna(VLOOKUP(G1726,Proyectos!$E$1:$N$4,10,0),"")</f>
        <v>#NAME?</v>
      </c>
      <c r="M1725" s="32"/>
      <c r="N1725" s="32" t="s">
        <v>5905</v>
      </c>
      <c r="O1725" s="32"/>
      <c r="P1725" s="33"/>
      <c r="Q1725" s="33"/>
    </row>
    <row r="1726" spans="1:17" ht="16.5" customHeight="1" x14ac:dyDescent="0.2">
      <c r="A1726" s="26"/>
      <c r="B1726" s="26"/>
      <c r="C1726" s="26"/>
      <c r="D1726" s="26"/>
      <c r="E1726" s="26"/>
      <c r="F1726" s="28" t="e">
        <f ca="1">_xludf.ifna(VLOOKUP(G1727,Proyectos!$E$1:$H$4,4,0),"")</f>
        <v>#NAME?</v>
      </c>
      <c r="G1726" s="26"/>
      <c r="H1726" s="32"/>
      <c r="I1726" s="32"/>
      <c r="J1726" s="32"/>
      <c r="K1726" s="32"/>
      <c r="L1726" s="32" t="e">
        <f ca="1">_xludf.ifna(VLOOKUP(G1727,Proyectos!$E$1:$N$4,10,0),"")</f>
        <v>#NAME?</v>
      </c>
      <c r="M1726" s="32"/>
      <c r="N1726" s="32" t="s">
        <v>5905</v>
      </c>
      <c r="O1726" s="32"/>
      <c r="P1726" s="33"/>
      <c r="Q1726" s="33"/>
    </row>
    <row r="1727" spans="1:17" ht="16.5" customHeight="1" x14ac:dyDescent="0.2">
      <c r="A1727" s="26"/>
      <c r="B1727" s="26"/>
      <c r="C1727" s="26"/>
      <c r="D1727" s="26"/>
      <c r="E1727" s="26"/>
      <c r="F1727" s="28" t="e">
        <f ca="1">_xludf.ifna(VLOOKUP(G1728,Proyectos!$E$1:$H$4,4,0),"")</f>
        <v>#NAME?</v>
      </c>
      <c r="G1727" s="26"/>
      <c r="H1727" s="32"/>
      <c r="I1727" s="32"/>
      <c r="J1727" s="32"/>
      <c r="K1727" s="32"/>
      <c r="L1727" s="32" t="e">
        <f ca="1">_xludf.ifna(VLOOKUP(G1728,Proyectos!$E$1:$N$4,10,0),"")</f>
        <v>#NAME?</v>
      </c>
      <c r="M1727" s="32"/>
      <c r="N1727" s="32" t="s">
        <v>5905</v>
      </c>
      <c r="O1727" s="32"/>
      <c r="P1727" s="33"/>
      <c r="Q1727" s="33"/>
    </row>
    <row r="1728" spans="1:17" ht="16.5" customHeight="1" x14ac:dyDescent="0.2">
      <c r="A1728" s="26"/>
      <c r="B1728" s="26"/>
      <c r="C1728" s="26"/>
      <c r="D1728" s="26"/>
      <c r="E1728" s="26"/>
      <c r="F1728" s="28" t="e">
        <f ca="1">_xludf.ifna(VLOOKUP(G1729,Proyectos!$E$1:$H$4,4,0),"")</f>
        <v>#NAME?</v>
      </c>
      <c r="G1728" s="26"/>
      <c r="H1728" s="32"/>
      <c r="I1728" s="32"/>
      <c r="J1728" s="32"/>
      <c r="K1728" s="32"/>
      <c r="L1728" s="32" t="e">
        <f ca="1">_xludf.ifna(VLOOKUP(G1729,Proyectos!$E$1:$N$4,10,0),"")</f>
        <v>#NAME?</v>
      </c>
      <c r="M1728" s="32"/>
      <c r="N1728" s="32" t="s">
        <v>5905</v>
      </c>
      <c r="O1728" s="32"/>
      <c r="P1728" s="33"/>
      <c r="Q1728" s="33"/>
    </row>
    <row r="1729" spans="1:17" ht="16.5" customHeight="1" x14ac:dyDescent="0.2">
      <c r="A1729" s="26"/>
      <c r="B1729" s="26"/>
      <c r="C1729" s="26"/>
      <c r="D1729" s="26"/>
      <c r="E1729" s="26"/>
      <c r="F1729" s="28" t="e">
        <f ca="1">_xludf.ifna(VLOOKUP(G1730,Proyectos!$E$1:$H$4,4,0),"")</f>
        <v>#NAME?</v>
      </c>
      <c r="G1729" s="26"/>
      <c r="H1729" s="32"/>
      <c r="I1729" s="32"/>
      <c r="J1729" s="32"/>
      <c r="K1729" s="32"/>
      <c r="L1729" s="32" t="e">
        <f ca="1">_xludf.ifna(VLOOKUP(G1730,Proyectos!$E$1:$N$4,10,0),"")</f>
        <v>#NAME?</v>
      </c>
      <c r="M1729" s="32"/>
      <c r="N1729" s="32" t="s">
        <v>5905</v>
      </c>
      <c r="O1729" s="32"/>
      <c r="P1729" s="33"/>
      <c r="Q1729" s="33"/>
    </row>
    <row r="1730" spans="1:17" ht="16.5" customHeight="1" x14ac:dyDescent="0.2">
      <c r="A1730" s="26"/>
      <c r="B1730" s="26"/>
      <c r="C1730" s="26"/>
      <c r="D1730" s="26"/>
      <c r="E1730" s="26"/>
      <c r="F1730" s="28" t="e">
        <f ca="1">_xludf.ifna(VLOOKUP(G1731,Proyectos!$E$1:$H$4,4,0),"")</f>
        <v>#NAME?</v>
      </c>
      <c r="G1730" s="26"/>
      <c r="H1730" s="32"/>
      <c r="I1730" s="32"/>
      <c r="J1730" s="32"/>
      <c r="K1730" s="32"/>
      <c r="L1730" s="32" t="e">
        <f ca="1">_xludf.ifna(VLOOKUP(G1731,Proyectos!$E$1:$N$4,10,0),"")</f>
        <v>#NAME?</v>
      </c>
      <c r="M1730" s="32"/>
      <c r="N1730" s="32" t="s">
        <v>5905</v>
      </c>
      <c r="O1730" s="32"/>
      <c r="P1730" s="33"/>
      <c r="Q1730" s="33"/>
    </row>
    <row r="1731" spans="1:17" ht="16.5" customHeight="1" x14ac:dyDescent="0.2">
      <c r="A1731" s="26"/>
      <c r="B1731" s="26"/>
      <c r="C1731" s="26"/>
      <c r="D1731" s="26"/>
      <c r="E1731" s="26"/>
      <c r="F1731" s="28" t="e">
        <f ca="1">_xludf.ifna(VLOOKUP(G1732,Proyectos!$E$1:$H$4,4,0),"")</f>
        <v>#NAME?</v>
      </c>
      <c r="G1731" s="26"/>
      <c r="H1731" s="32"/>
      <c r="I1731" s="32"/>
      <c r="J1731" s="32"/>
      <c r="K1731" s="32"/>
      <c r="L1731" s="32" t="e">
        <f ca="1">_xludf.ifna(VLOOKUP(G1732,Proyectos!$E$1:$N$4,10,0),"")</f>
        <v>#NAME?</v>
      </c>
      <c r="M1731" s="32"/>
      <c r="N1731" s="32" t="s">
        <v>5905</v>
      </c>
      <c r="O1731" s="32"/>
      <c r="P1731" s="33"/>
      <c r="Q1731" s="33"/>
    </row>
    <row r="1732" spans="1:17" ht="16.5" customHeight="1" x14ac:dyDescent="0.2">
      <c r="A1732" s="26"/>
      <c r="B1732" s="26"/>
      <c r="C1732" s="26"/>
      <c r="D1732" s="26"/>
      <c r="E1732" s="26"/>
      <c r="F1732" s="28" t="e">
        <f ca="1">_xludf.ifna(VLOOKUP(G1733,Proyectos!$E$1:$H$4,4,0),"")</f>
        <v>#NAME?</v>
      </c>
      <c r="G1732" s="26"/>
      <c r="H1732" s="32"/>
      <c r="I1732" s="32"/>
      <c r="J1732" s="32"/>
      <c r="K1732" s="32"/>
      <c r="L1732" s="32" t="e">
        <f ca="1">_xludf.ifna(VLOOKUP(G1733,Proyectos!$E$1:$N$4,10,0),"")</f>
        <v>#NAME?</v>
      </c>
      <c r="M1732" s="32"/>
      <c r="N1732" s="32" t="s">
        <v>5905</v>
      </c>
      <c r="O1732" s="32"/>
      <c r="P1732" s="33"/>
      <c r="Q1732" s="33"/>
    </row>
    <row r="1733" spans="1:17" ht="16.5" customHeight="1" x14ac:dyDescent="0.2">
      <c r="A1733" s="26"/>
      <c r="B1733" s="26"/>
      <c r="C1733" s="26"/>
      <c r="D1733" s="26"/>
      <c r="E1733" s="26"/>
      <c r="F1733" s="28" t="e">
        <f ca="1">_xludf.ifna(VLOOKUP(G1734,Proyectos!$E$1:$H$4,4,0),"")</f>
        <v>#NAME?</v>
      </c>
      <c r="G1733" s="26"/>
      <c r="H1733" s="32"/>
      <c r="I1733" s="32"/>
      <c r="J1733" s="32"/>
      <c r="K1733" s="32"/>
      <c r="L1733" s="32" t="e">
        <f ca="1">_xludf.ifna(VLOOKUP(G1734,Proyectos!$E$1:$N$4,10,0),"")</f>
        <v>#NAME?</v>
      </c>
      <c r="M1733" s="32"/>
      <c r="N1733" s="32" t="s">
        <v>5905</v>
      </c>
      <c r="O1733" s="32"/>
      <c r="P1733" s="33"/>
      <c r="Q1733" s="33"/>
    </row>
    <row r="1734" spans="1:17" ht="16.5" customHeight="1" x14ac:dyDescent="0.2">
      <c r="A1734" s="26"/>
      <c r="B1734" s="26"/>
      <c r="C1734" s="26"/>
      <c r="D1734" s="26"/>
      <c r="E1734" s="26"/>
      <c r="F1734" s="28" t="e">
        <f ca="1">_xludf.ifna(VLOOKUP(G1735,Proyectos!$E$1:$H$4,4,0),"")</f>
        <v>#NAME?</v>
      </c>
      <c r="G1734" s="26"/>
      <c r="H1734" s="32"/>
      <c r="I1734" s="32"/>
      <c r="J1734" s="32"/>
      <c r="K1734" s="32"/>
      <c r="L1734" s="32" t="e">
        <f ca="1">_xludf.ifna(VLOOKUP(G1735,Proyectos!$E$1:$N$4,10,0),"")</f>
        <v>#NAME?</v>
      </c>
      <c r="M1734" s="32"/>
      <c r="N1734" s="32" t="s">
        <v>5905</v>
      </c>
      <c r="O1734" s="32"/>
      <c r="P1734" s="33"/>
      <c r="Q1734" s="33"/>
    </row>
    <row r="1735" spans="1:17" ht="16.5" customHeight="1" x14ac:dyDescent="0.2">
      <c r="A1735" s="26"/>
      <c r="B1735" s="26"/>
      <c r="C1735" s="26"/>
      <c r="D1735" s="26"/>
      <c r="E1735" s="26"/>
      <c r="F1735" s="28" t="e">
        <f ca="1">_xludf.ifna(VLOOKUP(G1736,Proyectos!$E$1:$H$4,4,0),"")</f>
        <v>#NAME?</v>
      </c>
      <c r="G1735" s="26"/>
      <c r="H1735" s="32"/>
      <c r="I1735" s="32"/>
      <c r="J1735" s="32"/>
      <c r="K1735" s="32"/>
      <c r="L1735" s="32" t="e">
        <f ca="1">_xludf.ifna(VLOOKUP(G1736,Proyectos!$E$1:$N$4,10,0),"")</f>
        <v>#NAME?</v>
      </c>
      <c r="M1735" s="32"/>
      <c r="N1735" s="32" t="s">
        <v>5905</v>
      </c>
      <c r="O1735" s="32"/>
      <c r="P1735" s="33"/>
      <c r="Q1735" s="33"/>
    </row>
    <row r="1736" spans="1:17" ht="16.5" customHeight="1" x14ac:dyDescent="0.2">
      <c r="A1736" s="26"/>
      <c r="B1736" s="26"/>
      <c r="C1736" s="26"/>
      <c r="D1736" s="26"/>
      <c r="E1736" s="26"/>
      <c r="F1736" s="28" t="e">
        <f ca="1">_xludf.ifna(VLOOKUP(G1737,Proyectos!$E$1:$H$4,4,0),"")</f>
        <v>#NAME?</v>
      </c>
      <c r="G1736" s="26"/>
      <c r="H1736" s="32"/>
      <c r="I1736" s="32"/>
      <c r="J1736" s="32"/>
      <c r="K1736" s="32"/>
      <c r="L1736" s="32" t="e">
        <f ca="1">_xludf.ifna(VLOOKUP(G1737,Proyectos!$E$1:$N$4,10,0),"")</f>
        <v>#NAME?</v>
      </c>
      <c r="M1736" s="32"/>
      <c r="N1736" s="32" t="s">
        <v>5905</v>
      </c>
      <c r="O1736" s="32"/>
      <c r="P1736" s="33"/>
      <c r="Q1736" s="33"/>
    </row>
    <row r="1737" spans="1:17" ht="16.5" customHeight="1" x14ac:dyDescent="0.2">
      <c r="A1737" s="26"/>
      <c r="B1737" s="26"/>
      <c r="C1737" s="26"/>
      <c r="D1737" s="26"/>
      <c r="E1737" s="26"/>
      <c r="F1737" s="28" t="e">
        <f ca="1">_xludf.ifna(VLOOKUP(G1738,Proyectos!$E$1:$H$4,4,0),"")</f>
        <v>#NAME?</v>
      </c>
      <c r="G1737" s="26"/>
      <c r="H1737" s="32"/>
      <c r="I1737" s="32"/>
      <c r="J1737" s="32"/>
      <c r="K1737" s="32"/>
      <c r="L1737" s="32" t="e">
        <f ca="1">_xludf.ifna(VLOOKUP(G1738,Proyectos!$E$1:$N$4,10,0),"")</f>
        <v>#NAME?</v>
      </c>
      <c r="M1737" s="32"/>
      <c r="N1737" s="32" t="s">
        <v>5905</v>
      </c>
      <c r="O1737" s="32"/>
      <c r="P1737" s="33"/>
      <c r="Q1737" s="33"/>
    </row>
    <row r="1738" spans="1:17" ht="16.5" customHeight="1" x14ac:dyDescent="0.2">
      <c r="A1738" s="26"/>
      <c r="B1738" s="26"/>
      <c r="C1738" s="26"/>
      <c r="D1738" s="26"/>
      <c r="E1738" s="26"/>
      <c r="F1738" s="28" t="e">
        <f ca="1">_xludf.ifna(VLOOKUP(G1739,Proyectos!$E$1:$H$4,4,0),"")</f>
        <v>#NAME?</v>
      </c>
      <c r="G1738" s="26"/>
      <c r="H1738" s="32"/>
      <c r="I1738" s="32"/>
      <c r="J1738" s="32"/>
      <c r="K1738" s="32"/>
      <c r="L1738" s="32" t="e">
        <f ca="1">_xludf.ifna(VLOOKUP(G1739,Proyectos!$E$1:$N$4,10,0),"")</f>
        <v>#NAME?</v>
      </c>
      <c r="M1738" s="32"/>
      <c r="N1738" s="32" t="s">
        <v>5905</v>
      </c>
      <c r="O1738" s="32"/>
      <c r="P1738" s="33"/>
      <c r="Q1738" s="33"/>
    </row>
    <row r="1739" spans="1:17" ht="16.5" customHeight="1" x14ac:dyDescent="0.2">
      <c r="A1739" s="26"/>
      <c r="B1739" s="26"/>
      <c r="C1739" s="26"/>
      <c r="D1739" s="26"/>
      <c r="E1739" s="26"/>
      <c r="F1739" s="28" t="e">
        <f ca="1">_xludf.ifna(VLOOKUP(G1740,Proyectos!$E$1:$H$4,4,0),"")</f>
        <v>#NAME?</v>
      </c>
      <c r="G1739" s="26"/>
      <c r="H1739" s="32"/>
      <c r="I1739" s="32"/>
      <c r="J1739" s="32"/>
      <c r="K1739" s="32"/>
      <c r="L1739" s="32" t="e">
        <f ca="1">_xludf.ifna(VLOOKUP(G1740,Proyectos!$E$1:$N$4,10,0),"")</f>
        <v>#NAME?</v>
      </c>
      <c r="M1739" s="32"/>
      <c r="N1739" s="32" t="s">
        <v>5905</v>
      </c>
      <c r="O1739" s="32"/>
      <c r="P1739" s="33"/>
      <c r="Q1739" s="33"/>
    </row>
    <row r="1740" spans="1:17" ht="16.5" customHeight="1" x14ac:dyDescent="0.2">
      <c r="A1740" s="26"/>
      <c r="B1740" s="26"/>
      <c r="C1740" s="26"/>
      <c r="D1740" s="26"/>
      <c r="E1740" s="26"/>
      <c r="F1740" s="28" t="e">
        <f ca="1">_xludf.ifna(VLOOKUP(G1741,Proyectos!$E$1:$H$4,4,0),"")</f>
        <v>#NAME?</v>
      </c>
      <c r="G1740" s="26"/>
      <c r="H1740" s="32"/>
      <c r="I1740" s="32"/>
      <c r="J1740" s="32"/>
      <c r="K1740" s="32"/>
      <c r="L1740" s="32" t="e">
        <f ca="1">_xludf.ifna(VLOOKUP(G1741,Proyectos!$E$1:$N$4,10,0),"")</f>
        <v>#NAME?</v>
      </c>
      <c r="M1740" s="32"/>
      <c r="N1740" s="32" t="s">
        <v>5905</v>
      </c>
      <c r="O1740" s="32"/>
      <c r="P1740" s="33"/>
      <c r="Q1740" s="33"/>
    </row>
    <row r="1741" spans="1:17" ht="16.5" customHeight="1" x14ac:dyDescent="0.2">
      <c r="A1741" s="26"/>
      <c r="B1741" s="26"/>
      <c r="C1741" s="26"/>
      <c r="D1741" s="26"/>
      <c r="E1741" s="26"/>
      <c r="F1741" s="28" t="e">
        <f ca="1">_xludf.ifna(VLOOKUP(G1742,Proyectos!$E$1:$H$4,4,0),"")</f>
        <v>#NAME?</v>
      </c>
      <c r="G1741" s="26"/>
      <c r="H1741" s="32"/>
      <c r="I1741" s="32"/>
      <c r="J1741" s="32"/>
      <c r="K1741" s="32"/>
      <c r="L1741" s="32" t="e">
        <f ca="1">_xludf.ifna(VLOOKUP(G1742,Proyectos!$E$1:$N$4,10,0),"")</f>
        <v>#NAME?</v>
      </c>
      <c r="M1741" s="32"/>
      <c r="N1741" s="32" t="s">
        <v>5905</v>
      </c>
      <c r="O1741" s="32"/>
      <c r="P1741" s="33"/>
      <c r="Q1741" s="33"/>
    </row>
    <row r="1742" spans="1:17" ht="16.5" customHeight="1" x14ac:dyDescent="0.2">
      <c r="A1742" s="26"/>
      <c r="B1742" s="26"/>
      <c r="C1742" s="26"/>
      <c r="D1742" s="26"/>
      <c r="E1742" s="26"/>
      <c r="F1742" s="28" t="e">
        <f ca="1">_xludf.ifna(VLOOKUP(G1743,Proyectos!$E$1:$H$4,4,0),"")</f>
        <v>#NAME?</v>
      </c>
      <c r="G1742" s="26"/>
      <c r="H1742" s="32"/>
      <c r="I1742" s="32"/>
      <c r="J1742" s="32"/>
      <c r="K1742" s="32"/>
      <c r="L1742" s="32" t="e">
        <f ca="1">_xludf.ifna(VLOOKUP(G1743,Proyectos!$E$1:$N$4,10,0),"")</f>
        <v>#NAME?</v>
      </c>
      <c r="M1742" s="32"/>
      <c r="N1742" s="32" t="s">
        <v>5905</v>
      </c>
      <c r="O1742" s="32"/>
      <c r="P1742" s="33"/>
      <c r="Q1742" s="33"/>
    </row>
    <row r="1743" spans="1:17" ht="16.5" customHeight="1" x14ac:dyDescent="0.2">
      <c r="A1743" s="26"/>
      <c r="B1743" s="26"/>
      <c r="C1743" s="26"/>
      <c r="D1743" s="26"/>
      <c r="E1743" s="26"/>
      <c r="F1743" s="28" t="e">
        <f ca="1">_xludf.ifna(VLOOKUP(G1744,Proyectos!$E$1:$H$4,4,0),"")</f>
        <v>#NAME?</v>
      </c>
      <c r="G1743" s="26"/>
      <c r="H1743" s="32"/>
      <c r="I1743" s="32"/>
      <c r="J1743" s="32"/>
      <c r="K1743" s="32"/>
      <c r="L1743" s="32" t="e">
        <f ca="1">_xludf.ifna(VLOOKUP(G1744,Proyectos!$E$1:$N$4,10,0),"")</f>
        <v>#NAME?</v>
      </c>
      <c r="M1743" s="32"/>
      <c r="N1743" s="32" t="s">
        <v>5905</v>
      </c>
      <c r="O1743" s="32"/>
      <c r="P1743" s="33"/>
      <c r="Q1743" s="33"/>
    </row>
    <row r="1744" spans="1:17" ht="16.5" customHeight="1" x14ac:dyDescent="0.2">
      <c r="A1744" s="26"/>
      <c r="B1744" s="26"/>
      <c r="C1744" s="26"/>
      <c r="D1744" s="26"/>
      <c r="E1744" s="26"/>
      <c r="F1744" s="28" t="e">
        <f ca="1">_xludf.ifna(VLOOKUP(G1745,Proyectos!$E$1:$H$4,4,0),"")</f>
        <v>#NAME?</v>
      </c>
      <c r="G1744" s="26"/>
      <c r="H1744" s="32"/>
      <c r="I1744" s="32"/>
      <c r="J1744" s="32"/>
      <c r="K1744" s="32"/>
      <c r="L1744" s="32" t="e">
        <f ca="1">_xludf.ifna(VLOOKUP(G1745,Proyectos!$E$1:$N$4,10,0),"")</f>
        <v>#NAME?</v>
      </c>
      <c r="M1744" s="32"/>
      <c r="N1744" s="32" t="s">
        <v>5905</v>
      </c>
      <c r="O1744" s="32"/>
      <c r="P1744" s="33"/>
      <c r="Q1744" s="33"/>
    </row>
    <row r="1745" spans="1:17" ht="16.5" customHeight="1" x14ac:dyDescent="0.2">
      <c r="A1745" s="26"/>
      <c r="B1745" s="26"/>
      <c r="C1745" s="26"/>
      <c r="D1745" s="26"/>
      <c r="E1745" s="26"/>
      <c r="F1745" s="28" t="e">
        <f ca="1">_xludf.ifna(VLOOKUP(G1746,Proyectos!$E$1:$H$4,4,0),"")</f>
        <v>#NAME?</v>
      </c>
      <c r="G1745" s="26"/>
      <c r="H1745" s="32"/>
      <c r="I1745" s="32"/>
      <c r="J1745" s="32"/>
      <c r="K1745" s="32"/>
      <c r="L1745" s="32" t="e">
        <f ca="1">_xludf.ifna(VLOOKUP(G1746,Proyectos!$E$1:$N$4,10,0),"")</f>
        <v>#NAME?</v>
      </c>
      <c r="M1745" s="32"/>
      <c r="N1745" s="32" t="s">
        <v>5905</v>
      </c>
      <c r="O1745" s="32"/>
      <c r="P1745" s="33"/>
      <c r="Q1745" s="33"/>
    </row>
    <row r="1746" spans="1:17" ht="16.5" customHeight="1" x14ac:dyDescent="0.2">
      <c r="A1746" s="26"/>
      <c r="B1746" s="26"/>
      <c r="C1746" s="26"/>
      <c r="D1746" s="26"/>
      <c r="E1746" s="26"/>
      <c r="F1746" s="28" t="e">
        <f ca="1">_xludf.ifna(VLOOKUP(G1747,Proyectos!$E$1:$H$4,4,0),"")</f>
        <v>#NAME?</v>
      </c>
      <c r="G1746" s="26"/>
      <c r="H1746" s="32"/>
      <c r="I1746" s="32"/>
      <c r="J1746" s="32"/>
      <c r="K1746" s="32"/>
      <c r="L1746" s="32" t="e">
        <f ca="1">_xludf.ifna(VLOOKUP(G1747,Proyectos!$E$1:$N$4,10,0),"")</f>
        <v>#NAME?</v>
      </c>
      <c r="M1746" s="32"/>
      <c r="N1746" s="32" t="s">
        <v>5905</v>
      </c>
      <c r="O1746" s="32"/>
      <c r="P1746" s="33"/>
      <c r="Q1746" s="33"/>
    </row>
    <row r="1747" spans="1:17" ht="16.5" customHeight="1" x14ac:dyDescent="0.2">
      <c r="A1747" s="26"/>
      <c r="B1747" s="26"/>
      <c r="C1747" s="26"/>
      <c r="D1747" s="26"/>
      <c r="E1747" s="26"/>
      <c r="F1747" s="28" t="e">
        <f ca="1">_xludf.ifna(VLOOKUP(G1748,Proyectos!$E$1:$H$4,4,0),"")</f>
        <v>#NAME?</v>
      </c>
      <c r="G1747" s="26"/>
      <c r="H1747" s="32"/>
      <c r="I1747" s="32"/>
      <c r="J1747" s="32"/>
      <c r="K1747" s="32"/>
      <c r="L1747" s="32" t="e">
        <f ca="1">_xludf.ifna(VLOOKUP(G1748,Proyectos!$E$1:$N$4,10,0),"")</f>
        <v>#NAME?</v>
      </c>
      <c r="M1747" s="32"/>
      <c r="N1747" s="32" t="s">
        <v>5905</v>
      </c>
      <c r="O1747" s="32"/>
      <c r="P1747" s="33"/>
      <c r="Q1747" s="33"/>
    </row>
    <row r="1748" spans="1:17" ht="16.5" customHeight="1" x14ac:dyDescent="0.2">
      <c r="A1748" s="26"/>
      <c r="B1748" s="26"/>
      <c r="C1748" s="26"/>
      <c r="D1748" s="26"/>
      <c r="E1748" s="26"/>
      <c r="F1748" s="28" t="e">
        <f ca="1">_xludf.ifna(VLOOKUP(G1749,Proyectos!$E$1:$H$4,4,0),"")</f>
        <v>#NAME?</v>
      </c>
      <c r="G1748" s="26"/>
      <c r="H1748" s="32"/>
      <c r="I1748" s="32"/>
      <c r="J1748" s="32"/>
      <c r="K1748" s="32"/>
      <c r="L1748" s="32" t="e">
        <f ca="1">_xludf.ifna(VLOOKUP(G1749,Proyectos!$E$1:$N$4,10,0),"")</f>
        <v>#NAME?</v>
      </c>
      <c r="M1748" s="32"/>
      <c r="N1748" s="32" t="s">
        <v>5905</v>
      </c>
      <c r="O1748" s="32"/>
      <c r="P1748" s="33"/>
      <c r="Q1748" s="33"/>
    </row>
    <row r="1749" spans="1:17" ht="16.5" customHeight="1" x14ac:dyDescent="0.2">
      <c r="A1749" s="26"/>
      <c r="B1749" s="26"/>
      <c r="C1749" s="26"/>
      <c r="D1749" s="26"/>
      <c r="E1749" s="26"/>
      <c r="F1749" s="28" t="e">
        <f ca="1">_xludf.ifna(VLOOKUP(G1750,Proyectos!$E$1:$H$4,4,0),"")</f>
        <v>#NAME?</v>
      </c>
      <c r="G1749" s="26"/>
      <c r="H1749" s="32"/>
      <c r="I1749" s="32"/>
      <c r="J1749" s="32"/>
      <c r="K1749" s="32"/>
      <c r="L1749" s="32" t="e">
        <f ca="1">_xludf.ifna(VLOOKUP(G1750,Proyectos!$E$1:$N$4,10,0),"")</f>
        <v>#NAME?</v>
      </c>
      <c r="M1749" s="32"/>
      <c r="N1749" s="32" t="s">
        <v>5905</v>
      </c>
      <c r="O1749" s="32"/>
      <c r="P1749" s="33"/>
      <c r="Q1749" s="33"/>
    </row>
    <row r="1750" spans="1:17" ht="16.5" customHeight="1" x14ac:dyDescent="0.2">
      <c r="A1750" s="26"/>
      <c r="B1750" s="26"/>
      <c r="C1750" s="26"/>
      <c r="D1750" s="26"/>
      <c r="E1750" s="26"/>
      <c r="F1750" s="28" t="e">
        <f ca="1">_xludf.ifna(VLOOKUP(G1751,Proyectos!$E$1:$H$4,4,0),"")</f>
        <v>#NAME?</v>
      </c>
      <c r="G1750" s="26"/>
      <c r="H1750" s="32"/>
      <c r="I1750" s="32"/>
      <c r="J1750" s="32"/>
      <c r="K1750" s="32"/>
      <c r="L1750" s="32" t="e">
        <f ca="1">_xludf.ifna(VLOOKUP(G1751,Proyectos!$E$1:$N$4,10,0),"")</f>
        <v>#NAME?</v>
      </c>
      <c r="M1750" s="32"/>
      <c r="N1750" s="32" t="s">
        <v>5905</v>
      </c>
      <c r="O1750" s="32"/>
      <c r="P1750" s="33"/>
      <c r="Q1750" s="33"/>
    </row>
    <row r="1751" spans="1:17" ht="16.5" customHeight="1" x14ac:dyDescent="0.2">
      <c r="A1751" s="26"/>
      <c r="B1751" s="26"/>
      <c r="C1751" s="26"/>
      <c r="D1751" s="26"/>
      <c r="E1751" s="26"/>
      <c r="F1751" s="28" t="e">
        <f ca="1">_xludf.ifna(VLOOKUP(G1752,Proyectos!$E$1:$H$4,4,0),"")</f>
        <v>#NAME?</v>
      </c>
      <c r="G1751" s="26"/>
      <c r="H1751" s="32"/>
      <c r="I1751" s="32"/>
      <c r="J1751" s="32"/>
      <c r="K1751" s="32"/>
      <c r="L1751" s="32" t="e">
        <f ca="1">_xludf.ifna(VLOOKUP(G1752,Proyectos!$E$1:$N$4,10,0),"")</f>
        <v>#NAME?</v>
      </c>
      <c r="M1751" s="32"/>
      <c r="N1751" s="32" t="s">
        <v>5905</v>
      </c>
      <c r="O1751" s="32"/>
      <c r="P1751" s="33"/>
      <c r="Q1751" s="33"/>
    </row>
    <row r="1752" spans="1:17" ht="16.5" customHeight="1" x14ac:dyDescent="0.2">
      <c r="A1752" s="26"/>
      <c r="B1752" s="26"/>
      <c r="C1752" s="26"/>
      <c r="D1752" s="26"/>
      <c r="E1752" s="26"/>
      <c r="F1752" s="28" t="e">
        <f ca="1">_xludf.ifna(VLOOKUP(G1753,Proyectos!$E$1:$H$4,4,0),"")</f>
        <v>#NAME?</v>
      </c>
      <c r="G1752" s="26"/>
      <c r="H1752" s="32"/>
      <c r="I1752" s="32"/>
      <c r="J1752" s="32"/>
      <c r="K1752" s="32"/>
      <c r="L1752" s="32" t="e">
        <f ca="1">_xludf.ifna(VLOOKUP(G1753,Proyectos!$E$1:$N$4,10,0),"")</f>
        <v>#NAME?</v>
      </c>
      <c r="M1752" s="32"/>
      <c r="N1752" s="32" t="s">
        <v>5905</v>
      </c>
      <c r="O1752" s="32"/>
      <c r="P1752" s="33"/>
      <c r="Q1752" s="33"/>
    </row>
    <row r="1753" spans="1:17" ht="16.5" customHeight="1" x14ac:dyDescent="0.2">
      <c r="A1753" s="26"/>
      <c r="B1753" s="26"/>
      <c r="C1753" s="26"/>
      <c r="D1753" s="26"/>
      <c r="E1753" s="26"/>
      <c r="F1753" s="28" t="e">
        <f ca="1">_xludf.ifna(VLOOKUP(G1754,Proyectos!$E$1:$H$4,4,0),"")</f>
        <v>#NAME?</v>
      </c>
      <c r="G1753" s="26"/>
      <c r="H1753" s="32"/>
      <c r="I1753" s="32"/>
      <c r="J1753" s="32"/>
      <c r="K1753" s="32"/>
      <c r="L1753" s="32" t="e">
        <f ca="1">_xludf.ifna(VLOOKUP(G1754,Proyectos!$E$1:$N$4,10,0),"")</f>
        <v>#NAME?</v>
      </c>
      <c r="M1753" s="32"/>
      <c r="N1753" s="32" t="s">
        <v>5905</v>
      </c>
      <c r="O1753" s="32"/>
      <c r="P1753" s="33"/>
      <c r="Q1753" s="33"/>
    </row>
    <row r="1754" spans="1:17" ht="16.5" customHeight="1" x14ac:dyDescent="0.2">
      <c r="A1754" s="26"/>
      <c r="B1754" s="26"/>
      <c r="C1754" s="26"/>
      <c r="D1754" s="26"/>
      <c r="E1754" s="26"/>
      <c r="F1754" s="28" t="e">
        <f ca="1">_xludf.ifna(VLOOKUP(G1755,Proyectos!$E$1:$H$4,4,0),"")</f>
        <v>#NAME?</v>
      </c>
      <c r="G1754" s="26"/>
      <c r="H1754" s="32"/>
      <c r="I1754" s="32"/>
      <c r="J1754" s="32"/>
      <c r="K1754" s="32"/>
      <c r="L1754" s="32" t="e">
        <f ca="1">_xludf.ifna(VLOOKUP(G1755,Proyectos!$E$1:$N$4,10,0),"")</f>
        <v>#NAME?</v>
      </c>
      <c r="M1754" s="32"/>
      <c r="N1754" s="32" t="s">
        <v>5905</v>
      </c>
      <c r="O1754" s="32"/>
      <c r="P1754" s="33"/>
      <c r="Q1754" s="33"/>
    </row>
    <row r="1755" spans="1:17" ht="16.5" customHeight="1" x14ac:dyDescent="0.2">
      <c r="A1755" s="26"/>
      <c r="B1755" s="26"/>
      <c r="C1755" s="26"/>
      <c r="D1755" s="26"/>
      <c r="E1755" s="26"/>
      <c r="F1755" s="28" t="e">
        <f ca="1">_xludf.ifna(VLOOKUP(G1756,Proyectos!$E$1:$H$4,4,0),"")</f>
        <v>#NAME?</v>
      </c>
      <c r="G1755" s="26"/>
      <c r="H1755" s="32"/>
      <c r="I1755" s="32"/>
      <c r="J1755" s="32"/>
      <c r="K1755" s="32"/>
      <c r="L1755" s="32" t="e">
        <f ca="1">_xludf.ifna(VLOOKUP(G1756,Proyectos!$E$1:$N$4,10,0),"")</f>
        <v>#NAME?</v>
      </c>
      <c r="M1755" s="32"/>
      <c r="N1755" s="32" t="s">
        <v>5905</v>
      </c>
      <c r="O1755" s="32"/>
      <c r="P1755" s="33"/>
      <c r="Q1755" s="33"/>
    </row>
    <row r="1756" spans="1:17" ht="16.5" customHeight="1" x14ac:dyDescent="0.2">
      <c r="A1756" s="26"/>
      <c r="B1756" s="26"/>
      <c r="C1756" s="26"/>
      <c r="D1756" s="26"/>
      <c r="E1756" s="26"/>
      <c r="F1756" s="28" t="e">
        <f ca="1">_xludf.ifna(VLOOKUP(G1757,Proyectos!$E$1:$H$4,4,0),"")</f>
        <v>#NAME?</v>
      </c>
      <c r="G1756" s="26"/>
      <c r="H1756" s="32"/>
      <c r="I1756" s="32"/>
      <c r="J1756" s="32"/>
      <c r="K1756" s="32"/>
      <c r="L1756" s="32" t="e">
        <f ca="1">_xludf.ifna(VLOOKUP(G1757,Proyectos!$E$1:$N$4,10,0),"")</f>
        <v>#NAME?</v>
      </c>
      <c r="M1756" s="32"/>
      <c r="N1756" s="32" t="s">
        <v>5905</v>
      </c>
      <c r="O1756" s="32"/>
      <c r="P1756" s="33"/>
      <c r="Q1756" s="33"/>
    </row>
    <row r="1757" spans="1:17" ht="16.5" customHeight="1" x14ac:dyDescent="0.2">
      <c r="A1757" s="26"/>
      <c r="B1757" s="26"/>
      <c r="C1757" s="26"/>
      <c r="D1757" s="26"/>
      <c r="E1757" s="26"/>
      <c r="F1757" s="28" t="e">
        <f ca="1">_xludf.ifna(VLOOKUP(G1758,Proyectos!$E$1:$H$4,4,0),"")</f>
        <v>#NAME?</v>
      </c>
      <c r="G1757" s="26"/>
      <c r="H1757" s="32"/>
      <c r="I1757" s="32"/>
      <c r="J1757" s="32"/>
      <c r="K1757" s="32"/>
      <c r="L1757" s="32" t="e">
        <f ca="1">_xludf.ifna(VLOOKUP(G1758,Proyectos!$E$1:$N$4,10,0),"")</f>
        <v>#NAME?</v>
      </c>
      <c r="M1757" s="32"/>
      <c r="N1757" s="32" t="s">
        <v>5905</v>
      </c>
      <c r="O1757" s="32"/>
      <c r="P1757" s="33"/>
      <c r="Q1757" s="33"/>
    </row>
    <row r="1758" spans="1:17" ht="16.5" customHeight="1" x14ac:dyDescent="0.2">
      <c r="A1758" s="26"/>
      <c r="B1758" s="26"/>
      <c r="C1758" s="26"/>
      <c r="D1758" s="26"/>
      <c r="E1758" s="26"/>
      <c r="F1758" s="28" t="e">
        <f ca="1">_xludf.ifna(VLOOKUP(G1759,Proyectos!$E$1:$H$4,4,0),"")</f>
        <v>#NAME?</v>
      </c>
      <c r="G1758" s="26"/>
      <c r="H1758" s="32"/>
      <c r="I1758" s="32"/>
      <c r="J1758" s="32"/>
      <c r="K1758" s="32"/>
      <c r="L1758" s="32" t="e">
        <f ca="1">_xludf.ifna(VLOOKUP(G1759,Proyectos!$E$1:$N$4,10,0),"")</f>
        <v>#NAME?</v>
      </c>
      <c r="M1758" s="32"/>
      <c r="N1758" s="32" t="s">
        <v>5905</v>
      </c>
      <c r="O1758" s="32"/>
      <c r="P1758" s="33"/>
      <c r="Q1758" s="33"/>
    </row>
    <row r="1759" spans="1:17" ht="16.5" customHeight="1" x14ac:dyDescent="0.2">
      <c r="A1759" s="26"/>
      <c r="B1759" s="26"/>
      <c r="C1759" s="26"/>
      <c r="D1759" s="26"/>
      <c r="E1759" s="26"/>
      <c r="F1759" s="28" t="e">
        <f ca="1">_xludf.ifna(VLOOKUP(G1760,Proyectos!$E$1:$H$4,4,0),"")</f>
        <v>#NAME?</v>
      </c>
      <c r="G1759" s="26"/>
      <c r="H1759" s="32"/>
      <c r="I1759" s="32"/>
      <c r="J1759" s="32"/>
      <c r="K1759" s="32"/>
      <c r="L1759" s="32" t="e">
        <f ca="1">_xludf.ifna(VLOOKUP(G1760,Proyectos!$E$1:$N$4,10,0),"")</f>
        <v>#NAME?</v>
      </c>
      <c r="M1759" s="32"/>
      <c r="N1759" s="32" t="s">
        <v>5905</v>
      </c>
      <c r="O1759" s="32"/>
      <c r="P1759" s="33"/>
      <c r="Q1759" s="33"/>
    </row>
    <row r="1760" spans="1:17" ht="16.5" customHeight="1" x14ac:dyDescent="0.2">
      <c r="A1760" s="26"/>
      <c r="B1760" s="26"/>
      <c r="C1760" s="26"/>
      <c r="D1760" s="26"/>
      <c r="E1760" s="26"/>
      <c r="F1760" s="28" t="e">
        <f ca="1">_xludf.ifna(VLOOKUP(G1761,Proyectos!$E$1:$H$4,4,0),"")</f>
        <v>#NAME?</v>
      </c>
      <c r="G1760" s="26"/>
      <c r="H1760" s="32"/>
      <c r="I1760" s="32"/>
      <c r="J1760" s="32"/>
      <c r="K1760" s="32"/>
      <c r="L1760" s="32" t="e">
        <f ca="1">_xludf.ifna(VLOOKUP(G1761,Proyectos!$E$1:$N$4,10,0),"")</f>
        <v>#NAME?</v>
      </c>
      <c r="M1760" s="32"/>
      <c r="N1760" s="32" t="s">
        <v>5905</v>
      </c>
      <c r="O1760" s="32"/>
      <c r="P1760" s="33"/>
      <c r="Q1760" s="33"/>
    </row>
    <row r="1761" spans="1:17" ht="16.5" customHeight="1" x14ac:dyDescent="0.2">
      <c r="A1761" s="26"/>
      <c r="B1761" s="26"/>
      <c r="C1761" s="26"/>
      <c r="D1761" s="26"/>
      <c r="E1761" s="26"/>
      <c r="F1761" s="28" t="e">
        <f ca="1">_xludf.ifna(VLOOKUP(G1762,Proyectos!$E$1:$H$4,4,0),"")</f>
        <v>#NAME?</v>
      </c>
      <c r="G1761" s="26"/>
      <c r="H1761" s="32"/>
      <c r="I1761" s="32"/>
      <c r="J1761" s="32"/>
      <c r="K1761" s="32"/>
      <c r="L1761" s="32" t="e">
        <f ca="1">_xludf.ifna(VLOOKUP(G1762,Proyectos!$E$1:$N$4,10,0),"")</f>
        <v>#NAME?</v>
      </c>
      <c r="M1761" s="32"/>
      <c r="N1761" s="32" t="s">
        <v>5905</v>
      </c>
      <c r="O1761" s="32"/>
      <c r="P1761" s="33"/>
      <c r="Q1761" s="33"/>
    </row>
    <row r="1762" spans="1:17" ht="16.5" customHeight="1" x14ac:dyDescent="0.2">
      <c r="A1762" s="26"/>
      <c r="B1762" s="26"/>
      <c r="C1762" s="26"/>
      <c r="D1762" s="26"/>
      <c r="E1762" s="26"/>
      <c r="F1762" s="28" t="e">
        <f ca="1">_xludf.ifna(VLOOKUP(G1763,Proyectos!$E$1:$H$4,4,0),"")</f>
        <v>#NAME?</v>
      </c>
      <c r="G1762" s="26"/>
      <c r="H1762" s="32"/>
      <c r="I1762" s="32"/>
      <c r="J1762" s="32"/>
      <c r="K1762" s="32"/>
      <c r="L1762" s="32" t="e">
        <f ca="1">_xludf.ifna(VLOOKUP(G1763,Proyectos!$E$1:$N$4,10,0),"")</f>
        <v>#NAME?</v>
      </c>
      <c r="M1762" s="32"/>
      <c r="N1762" s="32" t="s">
        <v>5905</v>
      </c>
      <c r="O1762" s="32"/>
      <c r="P1762" s="33"/>
      <c r="Q1762" s="33"/>
    </row>
    <row r="1763" spans="1:17" ht="16.5" customHeight="1" x14ac:dyDescent="0.2">
      <c r="A1763" s="26"/>
      <c r="B1763" s="26"/>
      <c r="C1763" s="26"/>
      <c r="D1763" s="26"/>
      <c r="E1763" s="26"/>
      <c r="F1763" s="28" t="e">
        <f ca="1">_xludf.ifna(VLOOKUP(G1764,Proyectos!$E$1:$H$4,4,0),"")</f>
        <v>#NAME?</v>
      </c>
      <c r="G1763" s="26"/>
      <c r="H1763" s="32"/>
      <c r="I1763" s="32"/>
      <c r="J1763" s="32"/>
      <c r="K1763" s="32"/>
      <c r="L1763" s="32" t="e">
        <f ca="1">_xludf.ifna(VLOOKUP(G1764,Proyectos!$E$1:$N$4,10,0),"")</f>
        <v>#NAME?</v>
      </c>
      <c r="M1763" s="32"/>
      <c r="N1763" s="32" t="s">
        <v>5905</v>
      </c>
      <c r="O1763" s="32"/>
      <c r="P1763" s="33"/>
      <c r="Q1763" s="33"/>
    </row>
    <row r="1764" spans="1:17" ht="16.5" customHeight="1" x14ac:dyDescent="0.2">
      <c r="A1764" s="26"/>
      <c r="B1764" s="26"/>
      <c r="C1764" s="26"/>
      <c r="D1764" s="26"/>
      <c r="E1764" s="26"/>
      <c r="F1764" s="28" t="e">
        <f ca="1">_xludf.ifna(VLOOKUP(G1765,Proyectos!$E$1:$H$4,4,0),"")</f>
        <v>#NAME?</v>
      </c>
      <c r="G1764" s="26"/>
      <c r="H1764" s="32"/>
      <c r="I1764" s="32"/>
      <c r="J1764" s="32"/>
      <c r="K1764" s="32"/>
      <c r="L1764" s="32" t="e">
        <f ca="1">_xludf.ifna(VLOOKUP(G1765,Proyectos!$E$1:$N$4,10,0),"")</f>
        <v>#NAME?</v>
      </c>
      <c r="M1764" s="32"/>
      <c r="N1764" s="32" t="s">
        <v>5905</v>
      </c>
      <c r="O1764" s="32"/>
      <c r="P1764" s="33"/>
      <c r="Q1764" s="33"/>
    </row>
    <row r="1765" spans="1:17" ht="16.5" customHeight="1" x14ac:dyDescent="0.2">
      <c r="A1765" s="26"/>
      <c r="B1765" s="26"/>
      <c r="C1765" s="26"/>
      <c r="D1765" s="26"/>
      <c r="E1765" s="26"/>
      <c r="F1765" s="28" t="e">
        <f ca="1">_xludf.ifna(VLOOKUP(G1766,Proyectos!$E$1:$H$4,4,0),"")</f>
        <v>#NAME?</v>
      </c>
      <c r="G1765" s="26"/>
      <c r="H1765" s="32"/>
      <c r="I1765" s="32"/>
      <c r="J1765" s="32"/>
      <c r="K1765" s="32"/>
      <c r="L1765" s="32" t="e">
        <f ca="1">_xludf.ifna(VLOOKUP(G1766,Proyectos!$E$1:$N$4,10,0),"")</f>
        <v>#NAME?</v>
      </c>
      <c r="M1765" s="32"/>
      <c r="N1765" s="32" t="s">
        <v>5905</v>
      </c>
      <c r="O1765" s="32"/>
      <c r="P1765" s="33"/>
      <c r="Q1765" s="33"/>
    </row>
    <row r="1766" spans="1:17" ht="16.5" customHeight="1" x14ac:dyDescent="0.2">
      <c r="A1766" s="26"/>
      <c r="B1766" s="26"/>
      <c r="C1766" s="26"/>
      <c r="D1766" s="26"/>
      <c r="E1766" s="26"/>
      <c r="F1766" s="28" t="e">
        <f ca="1">_xludf.ifna(VLOOKUP(G1767,Proyectos!$E$1:$H$4,4,0),"")</f>
        <v>#NAME?</v>
      </c>
      <c r="G1766" s="26"/>
      <c r="H1766" s="32"/>
      <c r="I1766" s="32"/>
      <c r="J1766" s="32"/>
      <c r="K1766" s="32"/>
      <c r="L1766" s="32" t="e">
        <f ca="1">_xludf.ifna(VLOOKUP(G1767,Proyectos!$E$1:$N$4,10,0),"")</f>
        <v>#NAME?</v>
      </c>
      <c r="M1766" s="32"/>
      <c r="N1766" s="32" t="s">
        <v>5905</v>
      </c>
      <c r="O1766" s="32"/>
      <c r="P1766" s="33"/>
      <c r="Q1766" s="33"/>
    </row>
    <row r="1767" spans="1:17" ht="16.5" customHeight="1" x14ac:dyDescent="0.2">
      <c r="A1767" s="26"/>
      <c r="B1767" s="26"/>
      <c r="C1767" s="26"/>
      <c r="D1767" s="26"/>
      <c r="E1767" s="26"/>
      <c r="F1767" s="28" t="e">
        <f ca="1">_xludf.ifna(VLOOKUP(G1768,Proyectos!$E$1:$H$4,4,0),"")</f>
        <v>#NAME?</v>
      </c>
      <c r="G1767" s="26"/>
      <c r="H1767" s="32"/>
      <c r="I1767" s="32"/>
      <c r="J1767" s="32"/>
      <c r="K1767" s="32"/>
      <c r="L1767" s="32" t="e">
        <f ca="1">_xludf.ifna(VLOOKUP(G1768,Proyectos!$E$1:$N$4,10,0),"")</f>
        <v>#NAME?</v>
      </c>
      <c r="M1767" s="32"/>
      <c r="N1767" s="32" t="s">
        <v>5905</v>
      </c>
      <c r="O1767" s="32"/>
      <c r="P1767" s="33"/>
      <c r="Q1767" s="33"/>
    </row>
    <row r="1768" spans="1:17" ht="16.5" customHeight="1" x14ac:dyDescent="0.2">
      <c r="A1768" s="26"/>
      <c r="B1768" s="26"/>
      <c r="C1768" s="26"/>
      <c r="D1768" s="26"/>
      <c r="E1768" s="26"/>
      <c r="F1768" s="28" t="e">
        <f ca="1">_xludf.ifna(VLOOKUP(G1769,Proyectos!$E$1:$H$4,4,0),"")</f>
        <v>#NAME?</v>
      </c>
      <c r="G1768" s="26"/>
      <c r="H1768" s="32"/>
      <c r="I1768" s="32"/>
      <c r="J1768" s="32"/>
      <c r="K1768" s="32"/>
      <c r="L1768" s="32" t="e">
        <f ca="1">_xludf.ifna(VLOOKUP(G1769,Proyectos!$E$1:$N$4,10,0),"")</f>
        <v>#NAME?</v>
      </c>
      <c r="M1768" s="32"/>
      <c r="N1768" s="32" t="s">
        <v>5905</v>
      </c>
      <c r="O1768" s="32"/>
      <c r="P1768" s="33"/>
      <c r="Q1768" s="33"/>
    </row>
    <row r="1769" spans="1:17" ht="16.5" customHeight="1" x14ac:dyDescent="0.2">
      <c r="A1769" s="26"/>
      <c r="B1769" s="26"/>
      <c r="C1769" s="26"/>
      <c r="D1769" s="26"/>
      <c r="E1769" s="26"/>
      <c r="F1769" s="28" t="e">
        <f ca="1">_xludf.ifna(VLOOKUP(G1770,Proyectos!$E$1:$H$4,4,0),"")</f>
        <v>#NAME?</v>
      </c>
      <c r="G1769" s="26"/>
      <c r="H1769" s="32"/>
      <c r="I1769" s="32"/>
      <c r="J1769" s="32"/>
      <c r="K1769" s="32"/>
      <c r="L1769" s="32" t="e">
        <f ca="1">_xludf.ifna(VLOOKUP(G1770,Proyectos!$E$1:$N$4,10,0),"")</f>
        <v>#NAME?</v>
      </c>
      <c r="M1769" s="32"/>
      <c r="N1769" s="32" t="s">
        <v>5905</v>
      </c>
      <c r="O1769" s="32"/>
      <c r="P1769" s="33"/>
      <c r="Q1769" s="33"/>
    </row>
    <row r="1770" spans="1:17" ht="16.5" customHeight="1" x14ac:dyDescent="0.2">
      <c r="A1770" s="26"/>
      <c r="B1770" s="26"/>
      <c r="C1770" s="26"/>
      <c r="D1770" s="26"/>
      <c r="E1770" s="26"/>
      <c r="F1770" s="28" t="e">
        <f ca="1">_xludf.ifna(VLOOKUP(G1771,Proyectos!$E$1:$H$4,4,0),"")</f>
        <v>#NAME?</v>
      </c>
      <c r="G1770" s="26"/>
      <c r="H1770" s="32"/>
      <c r="I1770" s="32"/>
      <c r="J1770" s="32"/>
      <c r="K1770" s="32"/>
      <c r="L1770" s="32" t="e">
        <f ca="1">_xludf.ifna(VLOOKUP(G1771,Proyectos!$E$1:$N$4,10,0),"")</f>
        <v>#NAME?</v>
      </c>
      <c r="M1770" s="32"/>
      <c r="N1770" s="32" t="s">
        <v>5905</v>
      </c>
      <c r="O1770" s="32"/>
      <c r="P1770" s="33"/>
      <c r="Q1770" s="33"/>
    </row>
    <row r="1771" spans="1:17" ht="16.5" customHeight="1" x14ac:dyDescent="0.2">
      <c r="A1771" s="26"/>
      <c r="B1771" s="26"/>
      <c r="C1771" s="26"/>
      <c r="D1771" s="26"/>
      <c r="E1771" s="26"/>
      <c r="F1771" s="28" t="e">
        <f ca="1">_xludf.ifna(VLOOKUP(G1772,Proyectos!$E$1:$H$4,4,0),"")</f>
        <v>#NAME?</v>
      </c>
      <c r="G1771" s="26"/>
      <c r="H1771" s="32"/>
      <c r="I1771" s="32"/>
      <c r="J1771" s="32"/>
      <c r="K1771" s="32"/>
      <c r="L1771" s="32" t="e">
        <f ca="1">_xludf.ifna(VLOOKUP(G1772,Proyectos!$E$1:$N$4,10,0),"")</f>
        <v>#NAME?</v>
      </c>
      <c r="M1771" s="32"/>
      <c r="N1771" s="32" t="s">
        <v>5905</v>
      </c>
      <c r="O1771" s="32"/>
      <c r="P1771" s="33"/>
      <c r="Q1771" s="33"/>
    </row>
    <row r="1772" spans="1:17" ht="16.5" customHeight="1" x14ac:dyDescent="0.2">
      <c r="A1772" s="26"/>
      <c r="B1772" s="26"/>
      <c r="C1772" s="26"/>
      <c r="D1772" s="26"/>
      <c r="E1772" s="26"/>
      <c r="F1772" s="28" t="e">
        <f ca="1">_xludf.ifna(VLOOKUP(G1773,Proyectos!$E$1:$H$4,4,0),"")</f>
        <v>#NAME?</v>
      </c>
      <c r="G1772" s="26"/>
      <c r="H1772" s="32"/>
      <c r="I1772" s="32"/>
      <c r="J1772" s="32"/>
      <c r="K1772" s="32"/>
      <c r="L1772" s="32" t="e">
        <f ca="1">_xludf.ifna(VLOOKUP(G1773,Proyectos!$E$1:$N$4,10,0),"")</f>
        <v>#NAME?</v>
      </c>
      <c r="M1772" s="32"/>
      <c r="N1772" s="32" t="s">
        <v>5905</v>
      </c>
      <c r="O1772" s="32"/>
      <c r="P1772" s="33"/>
      <c r="Q1772" s="33"/>
    </row>
    <row r="1773" spans="1:17" ht="16.5" customHeight="1" x14ac:dyDescent="0.2">
      <c r="A1773" s="26"/>
      <c r="B1773" s="26"/>
      <c r="C1773" s="26"/>
      <c r="D1773" s="26"/>
      <c r="E1773" s="26"/>
      <c r="F1773" s="28" t="e">
        <f ca="1">_xludf.ifna(VLOOKUP(G1774,Proyectos!$E$1:$H$4,4,0),"")</f>
        <v>#NAME?</v>
      </c>
      <c r="G1773" s="26"/>
      <c r="H1773" s="32"/>
      <c r="I1773" s="32"/>
      <c r="J1773" s="32"/>
      <c r="K1773" s="32"/>
      <c r="L1773" s="32" t="e">
        <f ca="1">_xludf.ifna(VLOOKUP(G1774,Proyectos!$E$1:$N$4,10,0),"")</f>
        <v>#NAME?</v>
      </c>
      <c r="M1773" s="32"/>
      <c r="N1773" s="32" t="s">
        <v>5905</v>
      </c>
      <c r="O1773" s="32"/>
      <c r="P1773" s="33"/>
      <c r="Q1773" s="33"/>
    </row>
    <row r="1774" spans="1:17" ht="16.5" customHeight="1" x14ac:dyDescent="0.2">
      <c r="A1774" s="26"/>
      <c r="B1774" s="26"/>
      <c r="C1774" s="26"/>
      <c r="D1774" s="26"/>
      <c r="E1774" s="26"/>
      <c r="F1774" s="28" t="e">
        <f ca="1">_xludf.ifna(VLOOKUP(G1775,Proyectos!$E$1:$H$4,4,0),"")</f>
        <v>#NAME?</v>
      </c>
      <c r="G1774" s="26"/>
      <c r="H1774" s="32"/>
      <c r="I1774" s="32"/>
      <c r="J1774" s="32"/>
      <c r="K1774" s="32"/>
      <c r="L1774" s="32" t="e">
        <f ca="1">_xludf.ifna(VLOOKUP(G1775,Proyectos!$E$1:$N$4,10,0),"")</f>
        <v>#NAME?</v>
      </c>
      <c r="M1774" s="32"/>
      <c r="N1774" s="32" t="s">
        <v>5905</v>
      </c>
      <c r="O1774" s="32"/>
      <c r="P1774" s="33"/>
      <c r="Q1774" s="33"/>
    </row>
    <row r="1775" spans="1:17" ht="16.5" customHeight="1" x14ac:dyDescent="0.2">
      <c r="A1775" s="26"/>
      <c r="B1775" s="26"/>
      <c r="C1775" s="26"/>
      <c r="D1775" s="26"/>
      <c r="E1775" s="26"/>
      <c r="F1775" s="28" t="e">
        <f ca="1">_xludf.ifna(VLOOKUP(G1776,Proyectos!$E$1:$H$4,4,0),"")</f>
        <v>#NAME?</v>
      </c>
      <c r="G1775" s="26"/>
      <c r="H1775" s="32"/>
      <c r="I1775" s="32"/>
      <c r="J1775" s="32"/>
      <c r="K1775" s="32"/>
      <c r="L1775" s="32" t="e">
        <f ca="1">_xludf.ifna(VLOOKUP(G1776,Proyectos!$E$1:$N$4,10,0),"")</f>
        <v>#NAME?</v>
      </c>
      <c r="M1775" s="32"/>
      <c r="N1775" s="32" t="s">
        <v>5905</v>
      </c>
      <c r="O1775" s="32"/>
      <c r="P1775" s="33"/>
      <c r="Q1775" s="33"/>
    </row>
    <row r="1776" spans="1:17" ht="16.5" customHeight="1" x14ac:dyDescent="0.2">
      <c r="A1776" s="26"/>
      <c r="B1776" s="26"/>
      <c r="C1776" s="26"/>
      <c r="D1776" s="26"/>
      <c r="E1776" s="26"/>
      <c r="F1776" s="28" t="e">
        <f ca="1">_xludf.ifna(VLOOKUP(G1777,Proyectos!$E$1:$H$4,4,0),"")</f>
        <v>#NAME?</v>
      </c>
      <c r="G1776" s="26"/>
      <c r="H1776" s="32"/>
      <c r="I1776" s="32"/>
      <c r="J1776" s="32"/>
      <c r="K1776" s="32"/>
      <c r="L1776" s="32" t="e">
        <f ca="1">_xludf.ifna(VLOOKUP(G1777,Proyectos!$E$1:$N$4,10,0),"")</f>
        <v>#NAME?</v>
      </c>
      <c r="M1776" s="32"/>
      <c r="N1776" s="32" t="s">
        <v>5905</v>
      </c>
      <c r="O1776" s="32"/>
      <c r="P1776" s="33"/>
      <c r="Q1776" s="33"/>
    </row>
    <row r="1777" spans="1:17" ht="16.5" customHeight="1" x14ac:dyDescent="0.2">
      <c r="A1777" s="26"/>
      <c r="B1777" s="26"/>
      <c r="C1777" s="26"/>
      <c r="D1777" s="26"/>
      <c r="E1777" s="26"/>
      <c r="F1777" s="28" t="e">
        <f ca="1">_xludf.ifna(VLOOKUP(G1778,Proyectos!$E$1:$H$4,4,0),"")</f>
        <v>#NAME?</v>
      </c>
      <c r="G1777" s="26"/>
      <c r="H1777" s="32"/>
      <c r="I1777" s="32"/>
      <c r="J1777" s="32"/>
      <c r="K1777" s="32"/>
      <c r="L1777" s="32" t="e">
        <f ca="1">_xludf.ifna(VLOOKUP(G1778,Proyectos!$E$1:$N$4,10,0),"")</f>
        <v>#NAME?</v>
      </c>
      <c r="M1777" s="32"/>
      <c r="N1777" s="32" t="s">
        <v>5905</v>
      </c>
      <c r="O1777" s="32"/>
      <c r="P1777" s="33"/>
      <c r="Q1777" s="33"/>
    </row>
    <row r="1778" spans="1:17" ht="16.5" customHeight="1" x14ac:dyDescent="0.2">
      <c r="A1778" s="26"/>
      <c r="B1778" s="26"/>
      <c r="C1778" s="26"/>
      <c r="D1778" s="26"/>
      <c r="E1778" s="26"/>
      <c r="F1778" s="28" t="e">
        <f ca="1">_xludf.ifna(VLOOKUP(G1779,Proyectos!$E$1:$H$4,4,0),"")</f>
        <v>#NAME?</v>
      </c>
      <c r="G1778" s="26"/>
      <c r="H1778" s="32"/>
      <c r="I1778" s="32"/>
      <c r="J1778" s="32"/>
      <c r="K1778" s="32"/>
      <c r="L1778" s="32" t="e">
        <f ca="1">_xludf.ifna(VLOOKUP(G1779,Proyectos!$E$1:$N$4,10,0),"")</f>
        <v>#NAME?</v>
      </c>
      <c r="M1778" s="32"/>
      <c r="N1778" s="32" t="s">
        <v>5905</v>
      </c>
      <c r="O1778" s="32"/>
      <c r="P1778" s="33"/>
      <c r="Q1778" s="33"/>
    </row>
    <row r="1779" spans="1:17" ht="16.5" customHeight="1" x14ac:dyDescent="0.2">
      <c r="A1779" s="26"/>
      <c r="B1779" s="26"/>
      <c r="C1779" s="26"/>
      <c r="D1779" s="26"/>
      <c r="E1779" s="26"/>
      <c r="F1779" s="28" t="e">
        <f ca="1">_xludf.ifna(VLOOKUP(G1780,Proyectos!$E$1:$H$4,4,0),"")</f>
        <v>#NAME?</v>
      </c>
      <c r="G1779" s="26"/>
      <c r="H1779" s="32"/>
      <c r="I1779" s="32"/>
      <c r="J1779" s="32"/>
      <c r="K1779" s="32"/>
      <c r="L1779" s="32" t="e">
        <f ca="1">_xludf.ifna(VLOOKUP(G1780,Proyectos!$E$1:$N$4,10,0),"")</f>
        <v>#NAME?</v>
      </c>
      <c r="M1779" s="32"/>
      <c r="N1779" s="32" t="s">
        <v>5905</v>
      </c>
      <c r="O1779" s="32"/>
      <c r="P1779" s="33"/>
      <c r="Q1779" s="33"/>
    </row>
    <row r="1780" spans="1:17" ht="16.5" customHeight="1" x14ac:dyDescent="0.2">
      <c r="A1780" s="26"/>
      <c r="B1780" s="26"/>
      <c r="C1780" s="26"/>
      <c r="D1780" s="26"/>
      <c r="E1780" s="26"/>
      <c r="F1780" s="28" t="e">
        <f ca="1">_xludf.ifna(VLOOKUP(G1781,Proyectos!$E$1:$H$4,4,0),"")</f>
        <v>#NAME?</v>
      </c>
      <c r="G1780" s="26"/>
      <c r="H1780" s="32"/>
      <c r="I1780" s="32"/>
      <c r="J1780" s="32"/>
      <c r="K1780" s="32"/>
      <c r="L1780" s="32" t="e">
        <f ca="1">_xludf.ifna(VLOOKUP(G1781,Proyectos!$E$1:$N$4,10,0),"")</f>
        <v>#NAME?</v>
      </c>
      <c r="M1780" s="32"/>
      <c r="N1780" s="32" t="s">
        <v>5905</v>
      </c>
      <c r="O1780" s="32"/>
      <c r="P1780" s="33"/>
      <c r="Q1780" s="33"/>
    </row>
    <row r="1781" spans="1:17" ht="16.5" customHeight="1" x14ac:dyDescent="0.2">
      <c r="A1781" s="26"/>
      <c r="B1781" s="26"/>
      <c r="C1781" s="26"/>
      <c r="D1781" s="26"/>
      <c r="E1781" s="26"/>
      <c r="F1781" s="28" t="e">
        <f ca="1">_xludf.ifna(VLOOKUP(G1782,Proyectos!$E$1:$H$4,4,0),"")</f>
        <v>#NAME?</v>
      </c>
      <c r="G1781" s="26"/>
      <c r="H1781" s="32"/>
      <c r="I1781" s="32"/>
      <c r="J1781" s="32"/>
      <c r="K1781" s="32"/>
      <c r="L1781" s="32" t="e">
        <f ca="1">_xludf.ifna(VLOOKUP(G1782,Proyectos!$E$1:$N$4,10,0),"")</f>
        <v>#NAME?</v>
      </c>
      <c r="M1781" s="32"/>
      <c r="N1781" s="32" t="s">
        <v>5905</v>
      </c>
      <c r="O1781" s="32"/>
      <c r="P1781" s="33"/>
      <c r="Q1781" s="33"/>
    </row>
    <row r="1782" spans="1:17" ht="16.5" customHeight="1" x14ac:dyDescent="0.2">
      <c r="A1782" s="26"/>
      <c r="B1782" s="26"/>
      <c r="C1782" s="26"/>
      <c r="D1782" s="26"/>
      <c r="E1782" s="26"/>
      <c r="F1782" s="28" t="e">
        <f ca="1">_xludf.ifna(VLOOKUP(G1783,Proyectos!$E$1:$H$4,4,0),"")</f>
        <v>#NAME?</v>
      </c>
      <c r="G1782" s="26"/>
      <c r="H1782" s="32"/>
      <c r="I1782" s="32"/>
      <c r="J1782" s="32"/>
      <c r="K1782" s="32"/>
      <c r="L1782" s="32" t="e">
        <f ca="1">_xludf.ifna(VLOOKUP(G1783,Proyectos!$E$1:$N$4,10,0),"")</f>
        <v>#NAME?</v>
      </c>
      <c r="M1782" s="32"/>
      <c r="N1782" s="32" t="s">
        <v>5905</v>
      </c>
      <c r="O1782" s="32"/>
      <c r="P1782" s="33"/>
      <c r="Q1782" s="33"/>
    </row>
    <row r="1783" spans="1:17" ht="16.5" customHeight="1" x14ac:dyDescent="0.2">
      <c r="A1783" s="26"/>
      <c r="B1783" s="26"/>
      <c r="C1783" s="26"/>
      <c r="D1783" s="26"/>
      <c r="E1783" s="26"/>
      <c r="F1783" s="28" t="e">
        <f ca="1">_xludf.ifna(VLOOKUP(G1784,Proyectos!$E$1:$H$4,4,0),"")</f>
        <v>#NAME?</v>
      </c>
      <c r="G1783" s="26"/>
      <c r="H1783" s="32"/>
      <c r="I1783" s="32"/>
      <c r="J1783" s="32"/>
      <c r="K1783" s="32"/>
      <c r="L1783" s="32" t="e">
        <f ca="1">_xludf.ifna(VLOOKUP(G1784,Proyectos!$E$1:$N$4,10,0),"")</f>
        <v>#NAME?</v>
      </c>
      <c r="M1783" s="32"/>
      <c r="N1783" s="32" t="s">
        <v>5905</v>
      </c>
      <c r="O1783" s="32"/>
      <c r="P1783" s="33"/>
      <c r="Q1783" s="33"/>
    </row>
    <row r="1784" spans="1:17" ht="16.5" customHeight="1" x14ac:dyDescent="0.2">
      <c r="A1784" s="26"/>
      <c r="B1784" s="26"/>
      <c r="C1784" s="26"/>
      <c r="D1784" s="26"/>
      <c r="E1784" s="26"/>
      <c r="F1784" s="28" t="e">
        <f ca="1">_xludf.ifna(VLOOKUP(G1785,Proyectos!$E$1:$H$4,4,0),"")</f>
        <v>#NAME?</v>
      </c>
      <c r="G1784" s="26"/>
      <c r="H1784" s="32"/>
      <c r="I1784" s="32"/>
      <c r="J1784" s="32"/>
      <c r="K1784" s="32"/>
      <c r="L1784" s="32" t="e">
        <f ca="1">_xludf.ifna(VLOOKUP(G1785,Proyectos!$E$1:$N$4,10,0),"")</f>
        <v>#NAME?</v>
      </c>
      <c r="M1784" s="32"/>
      <c r="N1784" s="32" t="s">
        <v>5905</v>
      </c>
      <c r="O1784" s="32"/>
      <c r="P1784" s="33"/>
      <c r="Q1784" s="33"/>
    </row>
    <row r="1785" spans="1:17" ht="16.5" customHeight="1" x14ac:dyDescent="0.2">
      <c r="A1785" s="26"/>
      <c r="B1785" s="26"/>
      <c r="C1785" s="26"/>
      <c r="D1785" s="26"/>
      <c r="E1785" s="26"/>
      <c r="F1785" s="28" t="e">
        <f ca="1">_xludf.ifna(VLOOKUP(G1786,Proyectos!$E$1:$H$4,4,0),"")</f>
        <v>#NAME?</v>
      </c>
      <c r="G1785" s="26"/>
      <c r="H1785" s="32"/>
      <c r="I1785" s="32"/>
      <c r="J1785" s="32"/>
      <c r="K1785" s="32"/>
      <c r="L1785" s="32" t="e">
        <f ca="1">_xludf.ifna(VLOOKUP(G1786,Proyectos!$E$1:$N$4,10,0),"")</f>
        <v>#NAME?</v>
      </c>
      <c r="M1785" s="32"/>
      <c r="N1785" s="32" t="s">
        <v>5905</v>
      </c>
      <c r="O1785" s="32"/>
      <c r="P1785" s="33"/>
      <c r="Q1785" s="33"/>
    </row>
    <row r="1786" spans="1:17" ht="16.5" customHeight="1" x14ac:dyDescent="0.2">
      <c r="A1786" s="26"/>
      <c r="B1786" s="26"/>
      <c r="C1786" s="26"/>
      <c r="D1786" s="26"/>
      <c r="E1786" s="26"/>
      <c r="F1786" s="28" t="e">
        <f ca="1">_xludf.ifna(VLOOKUP(G1787,Proyectos!$E$1:$H$4,4,0),"")</f>
        <v>#NAME?</v>
      </c>
      <c r="G1786" s="26"/>
      <c r="H1786" s="32"/>
      <c r="I1786" s="32"/>
      <c r="J1786" s="32"/>
      <c r="K1786" s="32"/>
      <c r="L1786" s="32" t="e">
        <f ca="1">_xludf.ifna(VLOOKUP(G1787,Proyectos!$E$1:$N$4,10,0),"")</f>
        <v>#NAME?</v>
      </c>
      <c r="M1786" s="32"/>
      <c r="N1786" s="32" t="s">
        <v>5905</v>
      </c>
      <c r="O1786" s="32"/>
      <c r="P1786" s="33"/>
      <c r="Q1786" s="33"/>
    </row>
    <row r="1787" spans="1:17" ht="16.5" customHeight="1" x14ac:dyDescent="0.2">
      <c r="A1787" s="26"/>
      <c r="B1787" s="26"/>
      <c r="C1787" s="26"/>
      <c r="D1787" s="26"/>
      <c r="E1787" s="26"/>
      <c r="F1787" s="28" t="e">
        <f ca="1">_xludf.ifna(VLOOKUP(G1788,Proyectos!$E$1:$H$4,4,0),"")</f>
        <v>#NAME?</v>
      </c>
      <c r="G1787" s="26"/>
      <c r="H1787" s="32"/>
      <c r="I1787" s="32"/>
      <c r="J1787" s="32"/>
      <c r="K1787" s="32"/>
      <c r="L1787" s="32" t="e">
        <f ca="1">_xludf.ifna(VLOOKUP(G1788,Proyectos!$E$1:$N$4,10,0),"")</f>
        <v>#NAME?</v>
      </c>
      <c r="M1787" s="32"/>
      <c r="N1787" s="32" t="s">
        <v>5905</v>
      </c>
      <c r="O1787" s="32"/>
      <c r="P1787" s="33"/>
      <c r="Q1787" s="33"/>
    </row>
    <row r="1788" spans="1:17" ht="16.5" customHeight="1" x14ac:dyDescent="0.2">
      <c r="A1788" s="26"/>
      <c r="B1788" s="26"/>
      <c r="C1788" s="26"/>
      <c r="D1788" s="26"/>
      <c r="E1788" s="26"/>
      <c r="F1788" s="28" t="e">
        <f ca="1">_xludf.ifna(VLOOKUP(G1789,Proyectos!$E$1:$H$4,4,0),"")</f>
        <v>#NAME?</v>
      </c>
      <c r="G1788" s="26"/>
      <c r="H1788" s="32"/>
      <c r="I1788" s="32"/>
      <c r="J1788" s="32"/>
      <c r="K1788" s="32"/>
      <c r="L1788" s="32" t="e">
        <f ca="1">_xludf.ifna(VLOOKUP(G1789,Proyectos!$E$1:$N$4,10,0),"")</f>
        <v>#NAME?</v>
      </c>
      <c r="M1788" s="32"/>
      <c r="N1788" s="32" t="s">
        <v>5905</v>
      </c>
      <c r="O1788" s="32"/>
      <c r="P1788" s="33"/>
      <c r="Q1788" s="33"/>
    </row>
    <row r="1789" spans="1:17" ht="16.5" customHeight="1" x14ac:dyDescent="0.2">
      <c r="A1789" s="26"/>
      <c r="B1789" s="26"/>
      <c r="C1789" s="26"/>
      <c r="D1789" s="26"/>
      <c r="E1789" s="26"/>
      <c r="F1789" s="28" t="e">
        <f ca="1">_xludf.ifna(VLOOKUP(G1790,Proyectos!$E$1:$H$4,4,0),"")</f>
        <v>#NAME?</v>
      </c>
      <c r="G1789" s="26"/>
      <c r="H1789" s="32"/>
      <c r="I1789" s="32"/>
      <c r="J1789" s="32"/>
      <c r="K1789" s="32"/>
      <c r="L1789" s="32" t="e">
        <f ca="1">_xludf.ifna(VLOOKUP(G1790,Proyectos!$E$1:$N$4,10,0),"")</f>
        <v>#NAME?</v>
      </c>
      <c r="M1789" s="32"/>
      <c r="N1789" s="32" t="s">
        <v>5905</v>
      </c>
      <c r="O1789" s="32"/>
      <c r="P1789" s="33"/>
      <c r="Q1789" s="33"/>
    </row>
    <row r="1790" spans="1:17" ht="16.5" customHeight="1" x14ac:dyDescent="0.2">
      <c r="A1790" s="26"/>
      <c r="B1790" s="26"/>
      <c r="C1790" s="26"/>
      <c r="D1790" s="26"/>
      <c r="E1790" s="26"/>
      <c r="F1790" s="28" t="e">
        <f ca="1">_xludf.ifna(VLOOKUP(G1791,Proyectos!$E$1:$H$4,4,0),"")</f>
        <v>#NAME?</v>
      </c>
      <c r="G1790" s="26"/>
      <c r="H1790" s="32"/>
      <c r="I1790" s="32"/>
      <c r="J1790" s="32"/>
      <c r="K1790" s="32"/>
      <c r="L1790" s="32" t="e">
        <f ca="1">_xludf.ifna(VLOOKUP(G1791,Proyectos!$E$1:$N$4,10,0),"")</f>
        <v>#NAME?</v>
      </c>
      <c r="M1790" s="32"/>
      <c r="N1790" s="32" t="s">
        <v>5905</v>
      </c>
      <c r="O1790" s="32"/>
      <c r="P1790" s="33"/>
      <c r="Q1790" s="33"/>
    </row>
    <row r="1791" spans="1:17" ht="16.5" customHeight="1" x14ac:dyDescent="0.2">
      <c r="A1791" s="26"/>
      <c r="B1791" s="26"/>
      <c r="C1791" s="26"/>
      <c r="D1791" s="26"/>
      <c r="E1791" s="26"/>
      <c r="F1791" s="28" t="e">
        <f ca="1">_xludf.ifna(VLOOKUP(G1792,Proyectos!$E$1:$H$4,4,0),"")</f>
        <v>#NAME?</v>
      </c>
      <c r="G1791" s="26"/>
      <c r="H1791" s="32"/>
      <c r="I1791" s="32"/>
      <c r="J1791" s="32"/>
      <c r="K1791" s="32"/>
      <c r="L1791" s="32" t="e">
        <f ca="1">_xludf.ifna(VLOOKUP(G1792,Proyectos!$E$1:$N$4,10,0),"")</f>
        <v>#NAME?</v>
      </c>
      <c r="M1791" s="32"/>
      <c r="N1791" s="32" t="s">
        <v>5905</v>
      </c>
      <c r="O1791" s="32"/>
      <c r="P1791" s="33"/>
      <c r="Q1791" s="33"/>
    </row>
    <row r="1792" spans="1:17" ht="16.5" customHeight="1" x14ac:dyDescent="0.2">
      <c r="A1792" s="26"/>
      <c r="B1792" s="26"/>
      <c r="C1792" s="26"/>
      <c r="D1792" s="26"/>
      <c r="E1792" s="26"/>
      <c r="F1792" s="28" t="e">
        <f ca="1">_xludf.ifna(VLOOKUP(G1793,Proyectos!$E$1:$H$4,4,0),"")</f>
        <v>#NAME?</v>
      </c>
      <c r="G1792" s="26"/>
      <c r="H1792" s="32"/>
      <c r="I1792" s="32"/>
      <c r="J1792" s="32"/>
      <c r="K1792" s="32"/>
      <c r="L1792" s="32" t="e">
        <f ca="1">_xludf.ifna(VLOOKUP(G1793,Proyectos!$E$1:$N$4,10,0),"")</f>
        <v>#NAME?</v>
      </c>
      <c r="M1792" s="32"/>
      <c r="N1792" s="32" t="s">
        <v>5905</v>
      </c>
      <c r="O1792" s="32"/>
      <c r="P1792" s="33"/>
      <c r="Q1792" s="33"/>
    </row>
    <row r="1793" spans="1:17" ht="16.5" customHeight="1" x14ac:dyDescent="0.2">
      <c r="A1793" s="26"/>
      <c r="B1793" s="26"/>
      <c r="C1793" s="26"/>
      <c r="D1793" s="26"/>
      <c r="E1793" s="26"/>
      <c r="F1793" s="28" t="e">
        <f ca="1">_xludf.ifna(VLOOKUP(G1794,Proyectos!$E$1:$H$4,4,0),"")</f>
        <v>#NAME?</v>
      </c>
      <c r="G1793" s="26"/>
      <c r="H1793" s="32"/>
      <c r="I1793" s="32"/>
      <c r="J1793" s="32"/>
      <c r="K1793" s="32"/>
      <c r="L1793" s="32" t="e">
        <f ca="1">_xludf.ifna(VLOOKUP(G1794,Proyectos!$E$1:$N$4,10,0),"")</f>
        <v>#NAME?</v>
      </c>
      <c r="M1793" s="32"/>
      <c r="N1793" s="32" t="s">
        <v>5905</v>
      </c>
      <c r="O1793" s="32"/>
      <c r="P1793" s="33"/>
      <c r="Q1793" s="33"/>
    </row>
    <row r="1794" spans="1:17" ht="16.5" customHeight="1" x14ac:dyDescent="0.2">
      <c r="A1794" s="26"/>
      <c r="B1794" s="26"/>
      <c r="C1794" s="26"/>
      <c r="D1794" s="26"/>
      <c r="E1794" s="26"/>
      <c r="F1794" s="28" t="e">
        <f ca="1">_xludf.ifna(VLOOKUP(G1795,Proyectos!$E$1:$H$4,4,0),"")</f>
        <v>#NAME?</v>
      </c>
      <c r="G1794" s="26"/>
      <c r="H1794" s="32"/>
      <c r="I1794" s="32"/>
      <c r="J1794" s="32"/>
      <c r="K1794" s="32"/>
      <c r="L1794" s="32" t="e">
        <f ca="1">_xludf.ifna(VLOOKUP(G1795,Proyectos!$E$1:$N$4,10,0),"")</f>
        <v>#NAME?</v>
      </c>
      <c r="M1794" s="32"/>
      <c r="N1794" s="32" t="s">
        <v>5905</v>
      </c>
      <c r="O1794" s="32"/>
      <c r="P1794" s="33"/>
      <c r="Q1794" s="33"/>
    </row>
    <row r="1795" spans="1:17" ht="16.5" customHeight="1" x14ac:dyDescent="0.2">
      <c r="A1795" s="26"/>
      <c r="B1795" s="26"/>
      <c r="C1795" s="26"/>
      <c r="D1795" s="26"/>
      <c r="E1795" s="26"/>
      <c r="F1795" s="28" t="e">
        <f ca="1">_xludf.ifna(VLOOKUP(G1796,Proyectos!$E$1:$H$4,4,0),"")</f>
        <v>#NAME?</v>
      </c>
      <c r="G1795" s="26"/>
      <c r="H1795" s="32"/>
      <c r="I1795" s="32"/>
      <c r="J1795" s="32"/>
      <c r="K1795" s="32"/>
      <c r="L1795" s="32" t="e">
        <f ca="1">_xludf.ifna(VLOOKUP(G1796,Proyectos!$E$1:$N$4,10,0),"")</f>
        <v>#NAME?</v>
      </c>
      <c r="M1795" s="32"/>
      <c r="N1795" s="32" t="s">
        <v>5905</v>
      </c>
      <c r="O1795" s="32"/>
      <c r="P1795" s="33"/>
      <c r="Q1795" s="33"/>
    </row>
    <row r="1796" spans="1:17" ht="16.5" customHeight="1" x14ac:dyDescent="0.2">
      <c r="A1796" s="26"/>
      <c r="B1796" s="26"/>
      <c r="C1796" s="26"/>
      <c r="D1796" s="26"/>
      <c r="E1796" s="26"/>
      <c r="F1796" s="28" t="e">
        <f ca="1">_xludf.ifna(VLOOKUP(G1797,Proyectos!$E$1:$H$4,4,0),"")</f>
        <v>#NAME?</v>
      </c>
      <c r="G1796" s="26"/>
      <c r="H1796" s="32"/>
      <c r="I1796" s="32"/>
      <c r="J1796" s="32"/>
      <c r="K1796" s="32"/>
      <c r="L1796" s="32" t="e">
        <f ca="1">_xludf.ifna(VLOOKUP(G1797,Proyectos!$E$1:$N$4,10,0),"")</f>
        <v>#NAME?</v>
      </c>
      <c r="M1796" s="32"/>
      <c r="N1796" s="32" t="s">
        <v>5905</v>
      </c>
      <c r="O1796" s="32"/>
      <c r="P1796" s="33"/>
      <c r="Q1796" s="33"/>
    </row>
    <row r="1797" spans="1:17" ht="16.5" customHeight="1" x14ac:dyDescent="0.2">
      <c r="A1797" s="26"/>
      <c r="B1797" s="26"/>
      <c r="C1797" s="26"/>
      <c r="D1797" s="26"/>
      <c r="E1797" s="26"/>
      <c r="F1797" s="28" t="e">
        <f ca="1">_xludf.ifna(VLOOKUP(G1798,Proyectos!$E$1:$H$4,4,0),"")</f>
        <v>#NAME?</v>
      </c>
      <c r="G1797" s="26"/>
      <c r="H1797" s="32"/>
      <c r="I1797" s="32"/>
      <c r="J1797" s="32"/>
      <c r="K1797" s="32"/>
      <c r="L1797" s="32" t="e">
        <f ca="1">_xludf.ifna(VLOOKUP(G1798,Proyectos!$E$1:$N$4,10,0),"")</f>
        <v>#NAME?</v>
      </c>
      <c r="M1797" s="32"/>
      <c r="N1797" s="32" t="s">
        <v>5905</v>
      </c>
      <c r="O1797" s="32"/>
      <c r="P1797" s="33"/>
      <c r="Q1797" s="33"/>
    </row>
    <row r="1798" spans="1:17" ht="16.5" customHeight="1" x14ac:dyDescent="0.2">
      <c r="A1798" s="26"/>
      <c r="B1798" s="26"/>
      <c r="C1798" s="26"/>
      <c r="D1798" s="26"/>
      <c r="E1798" s="26"/>
      <c r="F1798" s="28" t="e">
        <f ca="1">_xludf.ifna(VLOOKUP(G1799,Proyectos!$E$1:$H$4,4,0),"")</f>
        <v>#NAME?</v>
      </c>
      <c r="G1798" s="26"/>
      <c r="H1798" s="32"/>
      <c r="I1798" s="32"/>
      <c r="J1798" s="32"/>
      <c r="K1798" s="32"/>
      <c r="L1798" s="32" t="e">
        <f ca="1">_xludf.ifna(VLOOKUP(G1799,Proyectos!$E$1:$N$4,10,0),"")</f>
        <v>#NAME?</v>
      </c>
      <c r="M1798" s="32"/>
      <c r="N1798" s="32" t="s">
        <v>5905</v>
      </c>
      <c r="O1798" s="32"/>
      <c r="P1798" s="33"/>
      <c r="Q1798" s="33"/>
    </row>
    <row r="1799" spans="1:17" ht="16.5" customHeight="1" x14ac:dyDescent="0.2">
      <c r="A1799" s="26"/>
      <c r="B1799" s="26"/>
      <c r="C1799" s="26"/>
      <c r="D1799" s="26"/>
      <c r="E1799" s="26"/>
      <c r="F1799" s="28" t="e">
        <f ca="1">_xludf.ifna(VLOOKUP(G1800,Proyectos!$E$1:$H$4,4,0),"")</f>
        <v>#NAME?</v>
      </c>
      <c r="G1799" s="26"/>
      <c r="H1799" s="32"/>
      <c r="I1799" s="32"/>
      <c r="J1799" s="32"/>
      <c r="K1799" s="32"/>
      <c r="L1799" s="32" t="e">
        <f ca="1">_xludf.ifna(VLOOKUP(G1800,Proyectos!$E$1:$N$4,10,0),"")</f>
        <v>#NAME?</v>
      </c>
      <c r="M1799" s="32"/>
      <c r="N1799" s="32" t="s">
        <v>5905</v>
      </c>
      <c r="O1799" s="32"/>
      <c r="P1799" s="33"/>
      <c r="Q1799" s="33"/>
    </row>
    <row r="1800" spans="1:17" ht="16.5" customHeight="1" x14ac:dyDescent="0.2">
      <c r="A1800" s="26"/>
      <c r="B1800" s="26"/>
      <c r="C1800" s="26"/>
      <c r="D1800" s="26"/>
      <c r="E1800" s="26"/>
      <c r="F1800" s="28" t="e">
        <f ca="1">_xludf.ifna(VLOOKUP(G1801,Proyectos!$E$1:$H$4,4,0),"")</f>
        <v>#NAME?</v>
      </c>
      <c r="G1800" s="26"/>
      <c r="H1800" s="32"/>
      <c r="I1800" s="32"/>
      <c r="J1800" s="32"/>
      <c r="K1800" s="32"/>
      <c r="L1800" s="32" t="e">
        <f ca="1">_xludf.ifna(VLOOKUP(G1801,Proyectos!$E$1:$N$4,10,0),"")</f>
        <v>#NAME?</v>
      </c>
      <c r="M1800" s="32"/>
      <c r="N1800" s="32" t="s">
        <v>5905</v>
      </c>
      <c r="O1800" s="32"/>
      <c r="P1800" s="33"/>
      <c r="Q1800" s="33"/>
    </row>
    <row r="1801" spans="1:17" ht="16.5" customHeight="1" x14ac:dyDescent="0.2">
      <c r="A1801" s="26"/>
      <c r="B1801" s="26"/>
      <c r="C1801" s="26"/>
      <c r="D1801" s="26"/>
      <c r="E1801" s="26"/>
      <c r="F1801" s="28" t="e">
        <f ca="1">_xludf.ifna(VLOOKUP(G1802,Proyectos!$E$1:$H$4,4,0),"")</f>
        <v>#NAME?</v>
      </c>
      <c r="G1801" s="26"/>
      <c r="H1801" s="32"/>
      <c r="I1801" s="32"/>
      <c r="J1801" s="32"/>
      <c r="K1801" s="32"/>
      <c r="L1801" s="32" t="e">
        <f ca="1">_xludf.ifna(VLOOKUP(G1802,Proyectos!$E$1:$N$4,10,0),"")</f>
        <v>#NAME?</v>
      </c>
      <c r="M1801" s="32"/>
      <c r="N1801" s="32" t="s">
        <v>5905</v>
      </c>
      <c r="O1801" s="32"/>
      <c r="P1801" s="33"/>
      <c r="Q1801" s="33"/>
    </row>
    <row r="1802" spans="1:17" ht="16.5" customHeight="1" x14ac:dyDescent="0.2">
      <c r="A1802" s="26"/>
      <c r="B1802" s="26"/>
      <c r="C1802" s="26"/>
      <c r="D1802" s="26"/>
      <c r="E1802" s="26"/>
      <c r="F1802" s="28" t="e">
        <f ca="1">_xludf.ifna(VLOOKUP(G1803,Proyectos!$E$1:$H$4,4,0),"")</f>
        <v>#NAME?</v>
      </c>
      <c r="G1802" s="26"/>
      <c r="H1802" s="32"/>
      <c r="I1802" s="32"/>
      <c r="J1802" s="32"/>
      <c r="K1802" s="32"/>
      <c r="L1802" s="32" t="e">
        <f ca="1">_xludf.ifna(VLOOKUP(G1803,Proyectos!$E$1:$N$4,10,0),"")</f>
        <v>#NAME?</v>
      </c>
      <c r="M1802" s="32"/>
      <c r="N1802" s="32" t="s">
        <v>5905</v>
      </c>
      <c r="O1802" s="32"/>
      <c r="P1802" s="33"/>
      <c r="Q1802" s="33"/>
    </row>
    <row r="1803" spans="1:17" ht="16.5" customHeight="1" x14ac:dyDescent="0.2">
      <c r="A1803" s="26"/>
      <c r="B1803" s="26"/>
      <c r="C1803" s="26"/>
      <c r="D1803" s="26"/>
      <c r="E1803" s="26"/>
      <c r="F1803" s="28" t="e">
        <f ca="1">_xludf.ifna(VLOOKUP(G1804,Proyectos!$E$1:$H$4,4,0),"")</f>
        <v>#NAME?</v>
      </c>
      <c r="G1803" s="26"/>
      <c r="H1803" s="32"/>
      <c r="I1803" s="32"/>
      <c r="J1803" s="32"/>
      <c r="K1803" s="32"/>
      <c r="L1803" s="32" t="e">
        <f ca="1">_xludf.ifna(VLOOKUP(G1804,Proyectos!$E$1:$N$4,10,0),"")</f>
        <v>#NAME?</v>
      </c>
      <c r="M1803" s="32"/>
      <c r="N1803" s="32" t="s">
        <v>5905</v>
      </c>
      <c r="O1803" s="32"/>
      <c r="P1803" s="33"/>
      <c r="Q1803" s="33"/>
    </row>
    <row r="1804" spans="1:17" ht="16.5" customHeight="1" x14ac:dyDescent="0.2">
      <c r="A1804" s="26"/>
      <c r="B1804" s="26"/>
      <c r="C1804" s="26"/>
      <c r="D1804" s="26"/>
      <c r="E1804" s="26"/>
      <c r="F1804" s="28" t="e">
        <f ca="1">_xludf.ifna(VLOOKUP(G1805,Proyectos!$E$1:$H$4,4,0),"")</f>
        <v>#NAME?</v>
      </c>
      <c r="G1804" s="26"/>
      <c r="H1804" s="32"/>
      <c r="I1804" s="32"/>
      <c r="J1804" s="32"/>
      <c r="K1804" s="32"/>
      <c r="L1804" s="32" t="e">
        <f ca="1">_xludf.ifna(VLOOKUP(G1805,Proyectos!$E$1:$N$4,10,0),"")</f>
        <v>#NAME?</v>
      </c>
      <c r="M1804" s="32"/>
      <c r="N1804" s="32" t="s">
        <v>5905</v>
      </c>
      <c r="O1804" s="32"/>
      <c r="P1804" s="33"/>
      <c r="Q1804" s="33"/>
    </row>
    <row r="1805" spans="1:17" ht="16.5" customHeight="1" x14ac:dyDescent="0.2">
      <c r="A1805" s="26"/>
      <c r="B1805" s="26"/>
      <c r="C1805" s="26"/>
      <c r="D1805" s="26"/>
      <c r="E1805" s="26"/>
      <c r="F1805" s="28" t="e">
        <f ca="1">_xludf.ifna(VLOOKUP(G1806,Proyectos!$E$1:$H$4,4,0),"")</f>
        <v>#NAME?</v>
      </c>
      <c r="G1805" s="26"/>
      <c r="H1805" s="32"/>
      <c r="I1805" s="32"/>
      <c r="J1805" s="32"/>
      <c r="K1805" s="32"/>
      <c r="L1805" s="32" t="e">
        <f ca="1">_xludf.ifna(VLOOKUP(G1806,Proyectos!$E$1:$N$4,10,0),"")</f>
        <v>#NAME?</v>
      </c>
      <c r="M1805" s="32"/>
      <c r="N1805" s="32" t="s">
        <v>5905</v>
      </c>
      <c r="O1805" s="32"/>
      <c r="P1805" s="33"/>
      <c r="Q1805" s="33"/>
    </row>
    <row r="1806" spans="1:17" ht="16.5" customHeight="1" x14ac:dyDescent="0.2">
      <c r="A1806" s="26"/>
      <c r="B1806" s="26"/>
      <c r="C1806" s="26"/>
      <c r="D1806" s="26"/>
      <c r="E1806" s="26"/>
      <c r="F1806" s="28" t="e">
        <f ca="1">_xludf.ifna(VLOOKUP(G1807,Proyectos!$E$1:$H$4,4,0),"")</f>
        <v>#NAME?</v>
      </c>
      <c r="G1806" s="26"/>
      <c r="H1806" s="32"/>
      <c r="I1806" s="32"/>
      <c r="J1806" s="32"/>
      <c r="K1806" s="32"/>
      <c r="L1806" s="32" t="e">
        <f ca="1">_xludf.ifna(VLOOKUP(G1807,Proyectos!$E$1:$N$4,10,0),"")</f>
        <v>#NAME?</v>
      </c>
      <c r="M1806" s="32"/>
      <c r="N1806" s="32" t="s">
        <v>5905</v>
      </c>
      <c r="O1806" s="32"/>
      <c r="P1806" s="33"/>
      <c r="Q1806" s="33"/>
    </row>
    <row r="1807" spans="1:17" ht="16.5" customHeight="1" x14ac:dyDescent="0.2">
      <c r="A1807" s="26"/>
      <c r="B1807" s="26"/>
      <c r="C1807" s="26"/>
      <c r="D1807" s="26"/>
      <c r="E1807" s="26"/>
      <c r="F1807" s="28" t="e">
        <f ca="1">_xludf.ifna(VLOOKUP(G1808,Proyectos!$E$1:$H$4,4,0),"")</f>
        <v>#NAME?</v>
      </c>
      <c r="G1807" s="26"/>
      <c r="H1807" s="32"/>
      <c r="I1807" s="32"/>
      <c r="J1807" s="32"/>
      <c r="K1807" s="32"/>
      <c r="L1807" s="32" t="e">
        <f ca="1">_xludf.ifna(VLOOKUP(G1808,Proyectos!$E$1:$N$4,10,0),"")</f>
        <v>#NAME?</v>
      </c>
      <c r="M1807" s="32"/>
      <c r="N1807" s="32" t="s">
        <v>5905</v>
      </c>
      <c r="O1807" s="32"/>
      <c r="P1807" s="33"/>
      <c r="Q1807" s="33"/>
    </row>
    <row r="1808" spans="1:17" ht="16.5" customHeight="1" x14ac:dyDescent="0.2">
      <c r="A1808" s="26"/>
      <c r="B1808" s="26"/>
      <c r="C1808" s="26"/>
      <c r="D1808" s="26"/>
      <c r="E1808" s="26"/>
      <c r="F1808" s="28" t="e">
        <f ca="1">_xludf.ifna(VLOOKUP(G1809,Proyectos!$E$1:$H$4,4,0),"")</f>
        <v>#NAME?</v>
      </c>
      <c r="G1808" s="26"/>
      <c r="H1808" s="32"/>
      <c r="I1808" s="32"/>
      <c r="J1808" s="32"/>
      <c r="K1808" s="32"/>
      <c r="L1808" s="32" t="e">
        <f ca="1">_xludf.ifna(VLOOKUP(G1809,Proyectos!$E$1:$N$4,10,0),"")</f>
        <v>#NAME?</v>
      </c>
      <c r="M1808" s="32"/>
      <c r="N1808" s="32" t="s">
        <v>5905</v>
      </c>
      <c r="O1808" s="32"/>
      <c r="P1808" s="33"/>
      <c r="Q1808" s="33"/>
    </row>
    <row r="1809" spans="1:17" ht="16.5" customHeight="1" x14ac:dyDescent="0.2">
      <c r="A1809" s="26"/>
      <c r="B1809" s="26"/>
      <c r="C1809" s="26"/>
      <c r="D1809" s="26"/>
      <c r="E1809" s="26"/>
      <c r="F1809" s="28" t="e">
        <f ca="1">_xludf.ifna(VLOOKUP(G1810,Proyectos!$E$1:$H$4,4,0),"")</f>
        <v>#NAME?</v>
      </c>
      <c r="G1809" s="26"/>
      <c r="H1809" s="32"/>
      <c r="I1809" s="32"/>
      <c r="J1809" s="32"/>
      <c r="K1809" s="32"/>
      <c r="L1809" s="32" t="e">
        <f ca="1">_xludf.ifna(VLOOKUP(G1810,Proyectos!$E$1:$N$4,10,0),"")</f>
        <v>#NAME?</v>
      </c>
      <c r="M1809" s="32"/>
      <c r="N1809" s="32" t="s">
        <v>5905</v>
      </c>
      <c r="O1809" s="32"/>
      <c r="P1809" s="33"/>
      <c r="Q1809" s="33"/>
    </row>
    <row r="1810" spans="1:17" ht="16.5" customHeight="1" x14ac:dyDescent="0.2">
      <c r="A1810" s="26"/>
      <c r="B1810" s="26"/>
      <c r="C1810" s="26"/>
      <c r="D1810" s="26"/>
      <c r="E1810" s="26"/>
      <c r="F1810" s="28" t="e">
        <f ca="1">_xludf.ifna(VLOOKUP(G1811,Proyectos!$E$1:$H$4,4,0),"")</f>
        <v>#NAME?</v>
      </c>
      <c r="G1810" s="26"/>
      <c r="H1810" s="32"/>
      <c r="I1810" s="32"/>
      <c r="J1810" s="32"/>
      <c r="K1810" s="32"/>
      <c r="L1810" s="32" t="e">
        <f ca="1">_xludf.ifna(VLOOKUP(G1811,Proyectos!$E$1:$N$4,10,0),"")</f>
        <v>#NAME?</v>
      </c>
      <c r="M1810" s="32"/>
      <c r="N1810" s="32" t="s">
        <v>5905</v>
      </c>
      <c r="O1810" s="32"/>
      <c r="P1810" s="33"/>
      <c r="Q1810" s="33"/>
    </row>
    <row r="1811" spans="1:17" ht="16.5" customHeight="1" x14ac:dyDescent="0.2">
      <c r="A1811" s="26"/>
      <c r="B1811" s="26"/>
      <c r="C1811" s="26"/>
      <c r="D1811" s="26"/>
      <c r="E1811" s="26"/>
      <c r="F1811" s="28" t="e">
        <f ca="1">_xludf.ifna(VLOOKUP(G1812,Proyectos!$E$1:$H$4,4,0),"")</f>
        <v>#NAME?</v>
      </c>
      <c r="G1811" s="26"/>
      <c r="H1811" s="32"/>
      <c r="I1811" s="32"/>
      <c r="J1811" s="32"/>
      <c r="K1811" s="32"/>
      <c r="L1811" s="32" t="e">
        <f ca="1">_xludf.ifna(VLOOKUP(G1812,Proyectos!$E$1:$N$4,10,0),"")</f>
        <v>#NAME?</v>
      </c>
      <c r="M1811" s="32"/>
      <c r="N1811" s="32" t="s">
        <v>5905</v>
      </c>
      <c r="O1811" s="32"/>
      <c r="P1811" s="33"/>
      <c r="Q1811" s="33"/>
    </row>
    <row r="1812" spans="1:17" ht="16.5" customHeight="1" x14ac:dyDescent="0.2">
      <c r="A1812" s="26"/>
      <c r="B1812" s="26"/>
      <c r="C1812" s="26"/>
      <c r="D1812" s="26"/>
      <c r="E1812" s="26"/>
      <c r="F1812" s="28" t="e">
        <f ca="1">_xludf.ifna(VLOOKUP(G1813,Proyectos!$E$1:$H$4,4,0),"")</f>
        <v>#NAME?</v>
      </c>
      <c r="G1812" s="26"/>
      <c r="H1812" s="32"/>
      <c r="I1812" s="32"/>
      <c r="J1812" s="32"/>
      <c r="K1812" s="32"/>
      <c r="L1812" s="32" t="e">
        <f ca="1">_xludf.ifna(VLOOKUP(G1813,Proyectos!$E$1:$N$4,10,0),"")</f>
        <v>#NAME?</v>
      </c>
      <c r="M1812" s="32"/>
      <c r="N1812" s="32" t="s">
        <v>5905</v>
      </c>
      <c r="O1812" s="32"/>
      <c r="P1812" s="33"/>
      <c r="Q1812" s="33"/>
    </row>
    <row r="1813" spans="1:17" ht="16.5" customHeight="1" x14ac:dyDescent="0.2">
      <c r="A1813" s="26"/>
      <c r="B1813" s="26"/>
      <c r="C1813" s="26"/>
      <c r="D1813" s="26"/>
      <c r="E1813" s="26"/>
      <c r="F1813" s="28" t="e">
        <f ca="1">_xludf.ifna(VLOOKUP(G1814,Proyectos!$E$1:$H$4,4,0),"")</f>
        <v>#NAME?</v>
      </c>
      <c r="G1813" s="26"/>
      <c r="H1813" s="32"/>
      <c r="I1813" s="32"/>
      <c r="J1813" s="32"/>
      <c r="K1813" s="32"/>
      <c r="L1813" s="32" t="e">
        <f ca="1">_xludf.ifna(VLOOKUP(G1814,Proyectos!$E$1:$N$4,10,0),"")</f>
        <v>#NAME?</v>
      </c>
      <c r="M1813" s="32"/>
      <c r="N1813" s="32" t="s">
        <v>5905</v>
      </c>
      <c r="O1813" s="32"/>
      <c r="P1813" s="33"/>
      <c r="Q1813" s="33"/>
    </row>
    <row r="1814" spans="1:17" ht="16.5" customHeight="1" x14ac:dyDescent="0.2">
      <c r="A1814" s="26"/>
      <c r="B1814" s="26"/>
      <c r="C1814" s="26"/>
      <c r="D1814" s="26"/>
      <c r="E1814" s="26"/>
      <c r="F1814" s="28" t="e">
        <f ca="1">_xludf.ifna(VLOOKUP(G1815,Proyectos!$E$1:$H$4,4,0),"")</f>
        <v>#NAME?</v>
      </c>
      <c r="G1814" s="26"/>
      <c r="H1814" s="32"/>
      <c r="I1814" s="32"/>
      <c r="J1814" s="32"/>
      <c r="K1814" s="32"/>
      <c r="L1814" s="32" t="e">
        <f ca="1">_xludf.ifna(VLOOKUP(G1815,Proyectos!$E$1:$N$4,10,0),"")</f>
        <v>#NAME?</v>
      </c>
      <c r="M1814" s="32"/>
      <c r="N1814" s="32" t="s">
        <v>5905</v>
      </c>
      <c r="O1814" s="32"/>
      <c r="P1814" s="33"/>
      <c r="Q1814" s="33"/>
    </row>
    <row r="1815" spans="1:17" ht="16.5" customHeight="1" x14ac:dyDescent="0.2">
      <c r="A1815" s="26"/>
      <c r="B1815" s="26"/>
      <c r="C1815" s="26"/>
      <c r="D1815" s="26"/>
      <c r="E1815" s="26"/>
      <c r="F1815" s="28" t="e">
        <f ca="1">_xludf.ifna(VLOOKUP(G1816,Proyectos!$E$1:$H$4,4,0),"")</f>
        <v>#NAME?</v>
      </c>
      <c r="G1815" s="26"/>
      <c r="H1815" s="32"/>
      <c r="I1815" s="32"/>
      <c r="J1815" s="32"/>
      <c r="K1815" s="32"/>
      <c r="L1815" s="32" t="e">
        <f ca="1">_xludf.ifna(VLOOKUP(G1816,Proyectos!$E$1:$N$4,10,0),"")</f>
        <v>#NAME?</v>
      </c>
      <c r="M1815" s="32"/>
      <c r="N1815" s="32" t="s">
        <v>5905</v>
      </c>
      <c r="O1815" s="32"/>
      <c r="P1815" s="33"/>
      <c r="Q1815" s="33"/>
    </row>
    <row r="1816" spans="1:17" ht="16.5" customHeight="1" x14ac:dyDescent="0.2">
      <c r="A1816" s="26"/>
      <c r="B1816" s="26"/>
      <c r="C1816" s="26"/>
      <c r="D1816" s="26"/>
      <c r="E1816" s="26"/>
      <c r="F1816" s="28" t="e">
        <f ca="1">_xludf.ifna(VLOOKUP(G1817,Proyectos!$E$1:$H$4,4,0),"")</f>
        <v>#NAME?</v>
      </c>
      <c r="G1816" s="26"/>
      <c r="H1816" s="32"/>
      <c r="I1816" s="32"/>
      <c r="J1816" s="32"/>
      <c r="K1816" s="32"/>
      <c r="L1816" s="32" t="e">
        <f ca="1">_xludf.ifna(VLOOKUP(G1817,Proyectos!$E$1:$N$4,10,0),"")</f>
        <v>#NAME?</v>
      </c>
      <c r="M1816" s="32"/>
      <c r="N1816" s="32" t="s">
        <v>5905</v>
      </c>
      <c r="O1816" s="32"/>
      <c r="P1816" s="33"/>
      <c r="Q1816" s="33"/>
    </row>
    <row r="1817" spans="1:17" ht="16.5" customHeight="1" x14ac:dyDescent="0.2">
      <c r="A1817" s="26"/>
      <c r="B1817" s="26"/>
      <c r="C1817" s="26"/>
      <c r="D1817" s="26"/>
      <c r="E1817" s="26"/>
      <c r="F1817" s="28" t="e">
        <f ca="1">_xludf.ifna(VLOOKUP(G1818,Proyectos!$E$1:$H$4,4,0),"")</f>
        <v>#NAME?</v>
      </c>
      <c r="G1817" s="26"/>
      <c r="H1817" s="32"/>
      <c r="I1817" s="32"/>
      <c r="J1817" s="32"/>
      <c r="K1817" s="32"/>
      <c r="L1817" s="32" t="e">
        <f ca="1">_xludf.ifna(VLOOKUP(G1818,Proyectos!$E$1:$N$4,10,0),"")</f>
        <v>#NAME?</v>
      </c>
      <c r="M1817" s="32"/>
      <c r="N1817" s="32" t="s">
        <v>5905</v>
      </c>
      <c r="O1817" s="32"/>
      <c r="P1817" s="33"/>
      <c r="Q1817" s="33"/>
    </row>
    <row r="1818" spans="1:17" ht="16.5" customHeight="1" x14ac:dyDescent="0.2">
      <c r="A1818" s="26"/>
      <c r="B1818" s="26"/>
      <c r="C1818" s="26"/>
      <c r="D1818" s="26"/>
      <c r="E1818" s="26"/>
      <c r="F1818" s="28" t="e">
        <f ca="1">_xludf.ifna(VLOOKUP(G1819,Proyectos!$E$1:$H$4,4,0),"")</f>
        <v>#NAME?</v>
      </c>
      <c r="G1818" s="26"/>
      <c r="H1818" s="32"/>
      <c r="I1818" s="32"/>
      <c r="J1818" s="32"/>
      <c r="K1818" s="32"/>
      <c r="L1818" s="32" t="e">
        <f ca="1">_xludf.ifna(VLOOKUP(G1819,Proyectos!$E$1:$N$4,10,0),"")</f>
        <v>#NAME?</v>
      </c>
      <c r="M1818" s="32"/>
      <c r="N1818" s="32" t="s">
        <v>5905</v>
      </c>
      <c r="O1818" s="32"/>
      <c r="P1818" s="33"/>
      <c r="Q1818" s="33"/>
    </row>
    <row r="1819" spans="1:17" ht="16.5" customHeight="1" x14ac:dyDescent="0.2">
      <c r="A1819" s="26"/>
      <c r="B1819" s="26"/>
      <c r="C1819" s="26"/>
      <c r="D1819" s="26"/>
      <c r="E1819" s="26"/>
      <c r="F1819" s="28" t="e">
        <f ca="1">_xludf.ifna(VLOOKUP(G1820,Proyectos!$E$1:$H$4,4,0),"")</f>
        <v>#NAME?</v>
      </c>
      <c r="G1819" s="26"/>
      <c r="H1819" s="32"/>
      <c r="I1819" s="32"/>
      <c r="J1819" s="32"/>
      <c r="K1819" s="32"/>
      <c r="L1819" s="32" t="e">
        <f ca="1">_xludf.ifna(VLOOKUP(G1820,Proyectos!$E$1:$N$4,10,0),"")</f>
        <v>#NAME?</v>
      </c>
      <c r="M1819" s="32"/>
      <c r="N1819" s="32" t="s">
        <v>5905</v>
      </c>
      <c r="O1819" s="32"/>
      <c r="P1819" s="33"/>
      <c r="Q1819" s="33"/>
    </row>
    <row r="1820" spans="1:17" ht="16.5" customHeight="1" x14ac:dyDescent="0.2">
      <c r="A1820" s="26"/>
      <c r="B1820" s="26"/>
      <c r="C1820" s="26"/>
      <c r="D1820" s="26"/>
      <c r="E1820" s="26"/>
      <c r="F1820" s="28" t="e">
        <f ca="1">_xludf.ifna(VLOOKUP(G1821,Proyectos!$E$1:$H$4,4,0),"")</f>
        <v>#NAME?</v>
      </c>
      <c r="G1820" s="26"/>
      <c r="H1820" s="32"/>
      <c r="I1820" s="32"/>
      <c r="J1820" s="32"/>
      <c r="K1820" s="32"/>
      <c r="L1820" s="32" t="e">
        <f ca="1">_xludf.ifna(VLOOKUP(G1821,Proyectos!$E$1:$N$4,10,0),"")</f>
        <v>#NAME?</v>
      </c>
      <c r="M1820" s="32"/>
      <c r="N1820" s="32" t="s">
        <v>5905</v>
      </c>
      <c r="O1820" s="32"/>
      <c r="P1820" s="33"/>
      <c r="Q1820" s="33"/>
    </row>
    <row r="1821" spans="1:17" ht="16.5" customHeight="1" x14ac:dyDescent="0.2">
      <c r="A1821" s="26"/>
      <c r="B1821" s="26"/>
      <c r="C1821" s="26"/>
      <c r="D1821" s="26"/>
      <c r="E1821" s="26"/>
      <c r="F1821" s="28" t="e">
        <f ca="1">_xludf.ifna(VLOOKUP(G1822,Proyectos!$E$1:$H$4,4,0),"")</f>
        <v>#NAME?</v>
      </c>
      <c r="G1821" s="26"/>
      <c r="H1821" s="32"/>
      <c r="I1821" s="32"/>
      <c r="J1821" s="32"/>
      <c r="K1821" s="32"/>
      <c r="L1821" s="32" t="e">
        <f ca="1">_xludf.ifna(VLOOKUP(G1822,Proyectos!$E$1:$N$4,10,0),"")</f>
        <v>#NAME?</v>
      </c>
      <c r="M1821" s="32"/>
      <c r="N1821" s="32" t="s">
        <v>5905</v>
      </c>
      <c r="O1821" s="32"/>
      <c r="P1821" s="33"/>
      <c r="Q1821" s="33"/>
    </row>
    <row r="1822" spans="1:17" ht="16.5" customHeight="1" x14ac:dyDescent="0.2">
      <c r="A1822" s="26"/>
      <c r="B1822" s="26"/>
      <c r="C1822" s="26"/>
      <c r="D1822" s="26"/>
      <c r="E1822" s="26"/>
      <c r="F1822" s="28" t="e">
        <f ca="1">_xludf.ifna(VLOOKUP(G1823,Proyectos!$E$1:$H$4,4,0),"")</f>
        <v>#NAME?</v>
      </c>
      <c r="G1822" s="26"/>
      <c r="H1822" s="32"/>
      <c r="I1822" s="32"/>
      <c r="J1822" s="32"/>
      <c r="K1822" s="32"/>
      <c r="L1822" s="32" t="e">
        <f ca="1">_xludf.ifna(VLOOKUP(G1823,Proyectos!$E$1:$N$4,10,0),"")</f>
        <v>#NAME?</v>
      </c>
      <c r="M1822" s="32"/>
      <c r="N1822" s="32" t="s">
        <v>5905</v>
      </c>
      <c r="O1822" s="32"/>
      <c r="P1822" s="33"/>
      <c r="Q1822" s="33"/>
    </row>
    <row r="1823" spans="1:17" ht="16.5" customHeight="1" x14ac:dyDescent="0.2">
      <c r="A1823" s="26"/>
      <c r="B1823" s="26"/>
      <c r="C1823" s="26"/>
      <c r="D1823" s="26"/>
      <c r="E1823" s="26"/>
      <c r="F1823" s="28" t="e">
        <f ca="1">_xludf.ifna(VLOOKUP(G1824,Proyectos!$E$1:$H$4,4,0),"")</f>
        <v>#NAME?</v>
      </c>
      <c r="G1823" s="26"/>
      <c r="H1823" s="32"/>
      <c r="I1823" s="32"/>
      <c r="J1823" s="32"/>
      <c r="K1823" s="32"/>
      <c r="L1823" s="32" t="e">
        <f ca="1">_xludf.ifna(VLOOKUP(G1824,Proyectos!$E$1:$N$4,10,0),"")</f>
        <v>#NAME?</v>
      </c>
      <c r="M1823" s="32"/>
      <c r="N1823" s="32" t="s">
        <v>5905</v>
      </c>
      <c r="O1823" s="32"/>
      <c r="P1823" s="33"/>
      <c r="Q1823" s="33"/>
    </row>
    <row r="1824" spans="1:17" ht="16.5" customHeight="1" x14ac:dyDescent="0.2">
      <c r="A1824" s="26"/>
      <c r="B1824" s="26"/>
      <c r="C1824" s="26"/>
      <c r="D1824" s="26"/>
      <c r="E1824" s="26"/>
      <c r="F1824" s="28" t="e">
        <f ca="1">_xludf.ifna(VLOOKUP(G1825,Proyectos!$E$1:$H$4,4,0),"")</f>
        <v>#NAME?</v>
      </c>
      <c r="G1824" s="26"/>
      <c r="H1824" s="32"/>
      <c r="I1824" s="32"/>
      <c r="J1824" s="32"/>
      <c r="K1824" s="32"/>
      <c r="L1824" s="32" t="e">
        <f ca="1">_xludf.ifna(VLOOKUP(G1825,Proyectos!$E$1:$N$4,10,0),"")</f>
        <v>#NAME?</v>
      </c>
      <c r="M1824" s="32"/>
      <c r="N1824" s="32" t="s">
        <v>5905</v>
      </c>
      <c r="O1824" s="32"/>
      <c r="P1824" s="33"/>
      <c r="Q1824" s="33"/>
    </row>
    <row r="1825" spans="1:17" ht="16.5" customHeight="1" x14ac:dyDescent="0.2">
      <c r="A1825" s="26"/>
      <c r="B1825" s="26"/>
      <c r="C1825" s="26"/>
      <c r="D1825" s="26"/>
      <c r="E1825" s="26"/>
      <c r="F1825" s="28" t="e">
        <f ca="1">_xludf.ifna(VLOOKUP(G1826,Proyectos!$E$1:$H$4,4,0),"")</f>
        <v>#NAME?</v>
      </c>
      <c r="G1825" s="26"/>
      <c r="H1825" s="32"/>
      <c r="I1825" s="32"/>
      <c r="J1825" s="32"/>
      <c r="K1825" s="32"/>
      <c r="L1825" s="32" t="e">
        <f ca="1">_xludf.ifna(VLOOKUP(G1826,Proyectos!$E$1:$N$4,10,0),"")</f>
        <v>#NAME?</v>
      </c>
      <c r="M1825" s="32"/>
      <c r="N1825" s="32" t="s">
        <v>5905</v>
      </c>
      <c r="O1825" s="32"/>
      <c r="P1825" s="33"/>
      <c r="Q1825" s="33"/>
    </row>
    <row r="1826" spans="1:17" ht="16.5" customHeight="1" x14ac:dyDescent="0.2">
      <c r="A1826" s="26"/>
      <c r="B1826" s="26"/>
      <c r="C1826" s="26"/>
      <c r="D1826" s="26"/>
      <c r="E1826" s="26"/>
      <c r="F1826" s="28" t="e">
        <f ca="1">_xludf.ifna(VLOOKUP(G1827,Proyectos!$E$1:$H$4,4,0),"")</f>
        <v>#NAME?</v>
      </c>
      <c r="G1826" s="26"/>
      <c r="H1826" s="32"/>
      <c r="I1826" s="32"/>
      <c r="J1826" s="32"/>
      <c r="K1826" s="32"/>
      <c r="L1826" s="32" t="e">
        <f ca="1">_xludf.ifna(VLOOKUP(G1827,Proyectos!$E$1:$N$4,10,0),"")</f>
        <v>#NAME?</v>
      </c>
      <c r="M1826" s="32"/>
      <c r="N1826" s="32" t="s">
        <v>5905</v>
      </c>
      <c r="O1826" s="32"/>
      <c r="P1826" s="33"/>
      <c r="Q1826" s="33"/>
    </row>
    <row r="1827" spans="1:17" ht="16.5" customHeight="1" x14ac:dyDescent="0.2">
      <c r="A1827" s="26"/>
      <c r="B1827" s="26"/>
      <c r="C1827" s="26"/>
      <c r="D1827" s="26"/>
      <c r="E1827" s="26"/>
      <c r="F1827" s="28" t="e">
        <f ca="1">_xludf.ifna(VLOOKUP(G1828,Proyectos!$E$1:$H$4,4,0),"")</f>
        <v>#NAME?</v>
      </c>
      <c r="G1827" s="26"/>
      <c r="H1827" s="32"/>
      <c r="I1827" s="32"/>
      <c r="J1827" s="32"/>
      <c r="K1827" s="32"/>
      <c r="L1827" s="32" t="e">
        <f ca="1">_xludf.ifna(VLOOKUP(G1828,Proyectos!$E$1:$N$4,10,0),"")</f>
        <v>#NAME?</v>
      </c>
      <c r="M1827" s="32"/>
      <c r="N1827" s="32" t="s">
        <v>5905</v>
      </c>
      <c r="O1827" s="32"/>
      <c r="P1827" s="33"/>
      <c r="Q1827" s="33"/>
    </row>
    <row r="1828" spans="1:17" ht="16.5" customHeight="1" x14ac:dyDescent="0.2">
      <c r="A1828" s="26"/>
      <c r="B1828" s="26"/>
      <c r="C1828" s="26"/>
      <c r="D1828" s="26"/>
      <c r="E1828" s="26"/>
      <c r="F1828" s="28" t="e">
        <f ca="1">_xludf.ifna(VLOOKUP(G1829,Proyectos!$E$1:$H$4,4,0),"")</f>
        <v>#NAME?</v>
      </c>
      <c r="G1828" s="26"/>
      <c r="H1828" s="32"/>
      <c r="I1828" s="32"/>
      <c r="J1828" s="32"/>
      <c r="K1828" s="32"/>
      <c r="L1828" s="32" t="e">
        <f ca="1">_xludf.ifna(VLOOKUP(G1829,Proyectos!$E$1:$N$4,10,0),"")</f>
        <v>#NAME?</v>
      </c>
      <c r="M1828" s="32"/>
      <c r="N1828" s="32" t="s">
        <v>5905</v>
      </c>
      <c r="O1828" s="32"/>
      <c r="P1828" s="33"/>
      <c r="Q1828" s="33"/>
    </row>
    <row r="1829" spans="1:17" ht="16.5" customHeight="1" x14ac:dyDescent="0.2">
      <c r="A1829" s="26"/>
      <c r="B1829" s="26"/>
      <c r="C1829" s="26"/>
      <c r="D1829" s="26"/>
      <c r="E1829" s="26"/>
      <c r="F1829" s="28" t="e">
        <f ca="1">_xludf.ifna(VLOOKUP(G1830,Proyectos!$E$1:$H$4,4,0),"")</f>
        <v>#NAME?</v>
      </c>
      <c r="G1829" s="26"/>
      <c r="H1829" s="32"/>
      <c r="I1829" s="32"/>
      <c r="J1829" s="32"/>
      <c r="K1829" s="32"/>
      <c r="L1829" s="32" t="e">
        <f ca="1">_xludf.ifna(VLOOKUP(G1830,Proyectos!$E$1:$N$4,10,0),"")</f>
        <v>#NAME?</v>
      </c>
      <c r="M1829" s="32"/>
      <c r="N1829" s="32" t="s">
        <v>5905</v>
      </c>
      <c r="O1829" s="32"/>
      <c r="P1829" s="33"/>
      <c r="Q1829" s="33"/>
    </row>
    <row r="1830" spans="1:17" ht="16.5" customHeight="1" x14ac:dyDescent="0.2">
      <c r="A1830" s="26"/>
      <c r="B1830" s="26"/>
      <c r="C1830" s="26"/>
      <c r="D1830" s="26"/>
      <c r="E1830" s="26"/>
      <c r="F1830" s="28" t="e">
        <f ca="1">_xludf.ifna(VLOOKUP(G1831,Proyectos!$E$1:$H$4,4,0),"")</f>
        <v>#NAME?</v>
      </c>
      <c r="G1830" s="26"/>
      <c r="H1830" s="32"/>
      <c r="I1830" s="32"/>
      <c r="J1830" s="32"/>
      <c r="K1830" s="32"/>
      <c r="L1830" s="32" t="e">
        <f ca="1">_xludf.ifna(VLOOKUP(G1831,Proyectos!$E$1:$N$4,10,0),"")</f>
        <v>#NAME?</v>
      </c>
      <c r="M1830" s="32"/>
      <c r="N1830" s="32" t="s">
        <v>5905</v>
      </c>
      <c r="O1830" s="32"/>
      <c r="P1830" s="33"/>
      <c r="Q1830" s="33"/>
    </row>
    <row r="1831" spans="1:17" ht="16.5" customHeight="1" x14ac:dyDescent="0.2">
      <c r="A1831" s="26"/>
      <c r="B1831" s="26"/>
      <c r="C1831" s="26"/>
      <c r="D1831" s="26"/>
      <c r="E1831" s="26"/>
      <c r="F1831" s="28" t="e">
        <f ca="1">_xludf.ifna(VLOOKUP(G1832,Proyectos!$E$1:$H$4,4,0),"")</f>
        <v>#NAME?</v>
      </c>
      <c r="G1831" s="26"/>
      <c r="H1831" s="32"/>
      <c r="I1831" s="32"/>
      <c r="J1831" s="32"/>
      <c r="K1831" s="32"/>
      <c r="L1831" s="32" t="e">
        <f ca="1">_xludf.ifna(VLOOKUP(G1832,Proyectos!$E$1:$N$4,10,0),"")</f>
        <v>#NAME?</v>
      </c>
      <c r="M1831" s="32"/>
      <c r="N1831" s="32" t="s">
        <v>5905</v>
      </c>
      <c r="O1831" s="32"/>
      <c r="P1831" s="33"/>
      <c r="Q1831" s="33"/>
    </row>
    <row r="1832" spans="1:17" ht="16.5" customHeight="1" x14ac:dyDescent="0.2">
      <c r="A1832" s="26"/>
      <c r="B1832" s="26"/>
      <c r="C1832" s="26"/>
      <c r="D1832" s="26"/>
      <c r="E1832" s="26"/>
      <c r="F1832" s="28" t="e">
        <f ca="1">_xludf.ifna(VLOOKUP(G1833,Proyectos!$E$1:$H$4,4,0),"")</f>
        <v>#NAME?</v>
      </c>
      <c r="G1832" s="26"/>
      <c r="H1832" s="32"/>
      <c r="I1832" s="32"/>
      <c r="J1832" s="32"/>
      <c r="K1832" s="32"/>
      <c r="L1832" s="32" t="e">
        <f ca="1">_xludf.ifna(VLOOKUP(G1833,Proyectos!$E$1:$N$4,10,0),"")</f>
        <v>#NAME?</v>
      </c>
      <c r="M1832" s="32"/>
      <c r="N1832" s="32" t="s">
        <v>5905</v>
      </c>
      <c r="O1832" s="32"/>
      <c r="P1832" s="33"/>
      <c r="Q1832" s="33"/>
    </row>
    <row r="1833" spans="1:17" ht="16.5" customHeight="1" x14ac:dyDescent="0.2">
      <c r="A1833" s="26"/>
      <c r="B1833" s="26"/>
      <c r="C1833" s="26"/>
      <c r="D1833" s="26"/>
      <c r="E1833" s="26"/>
      <c r="F1833" s="28" t="e">
        <f ca="1">_xludf.ifna(VLOOKUP(G1834,Proyectos!$E$1:$H$4,4,0),"")</f>
        <v>#NAME?</v>
      </c>
      <c r="G1833" s="26"/>
      <c r="H1833" s="32"/>
      <c r="I1833" s="32"/>
      <c r="J1833" s="32"/>
      <c r="K1833" s="32"/>
      <c r="L1833" s="32" t="e">
        <f ca="1">_xludf.ifna(VLOOKUP(G1834,Proyectos!$E$1:$N$4,10,0),"")</f>
        <v>#NAME?</v>
      </c>
      <c r="M1833" s="32"/>
      <c r="N1833" s="32" t="s">
        <v>5905</v>
      </c>
      <c r="O1833" s="32"/>
      <c r="P1833" s="33"/>
      <c r="Q1833" s="33"/>
    </row>
    <row r="1834" spans="1:17" ht="16.5" customHeight="1" x14ac:dyDescent="0.2">
      <c r="A1834" s="26"/>
      <c r="B1834" s="26"/>
      <c r="C1834" s="26"/>
      <c r="D1834" s="26"/>
      <c r="E1834" s="26"/>
      <c r="F1834" s="28" t="e">
        <f ca="1">_xludf.ifna(VLOOKUP(G1835,Proyectos!$E$1:$H$4,4,0),"")</f>
        <v>#NAME?</v>
      </c>
      <c r="G1834" s="26"/>
      <c r="H1834" s="32"/>
      <c r="I1834" s="32"/>
      <c r="J1834" s="32"/>
      <c r="K1834" s="32"/>
      <c r="L1834" s="32" t="e">
        <f ca="1">_xludf.ifna(VLOOKUP(G1835,Proyectos!$E$1:$N$4,10,0),"")</f>
        <v>#NAME?</v>
      </c>
      <c r="M1834" s="32"/>
      <c r="N1834" s="32" t="s">
        <v>5905</v>
      </c>
      <c r="O1834" s="32"/>
      <c r="P1834" s="33"/>
      <c r="Q1834" s="33"/>
    </row>
    <row r="1835" spans="1:17" ht="16.5" customHeight="1" x14ac:dyDescent="0.2">
      <c r="A1835" s="26"/>
      <c r="B1835" s="26"/>
      <c r="C1835" s="26"/>
      <c r="D1835" s="26"/>
      <c r="E1835" s="26"/>
      <c r="F1835" s="28" t="e">
        <f ca="1">_xludf.ifna(VLOOKUP(G1836,Proyectos!$E$1:$H$4,4,0),"")</f>
        <v>#NAME?</v>
      </c>
      <c r="G1835" s="26"/>
      <c r="H1835" s="32"/>
      <c r="I1835" s="32"/>
      <c r="J1835" s="32"/>
      <c r="K1835" s="32"/>
      <c r="L1835" s="32" t="e">
        <f ca="1">_xludf.ifna(VLOOKUP(G1836,Proyectos!$E$1:$N$4,10,0),"")</f>
        <v>#NAME?</v>
      </c>
      <c r="M1835" s="32"/>
      <c r="N1835" s="32" t="s">
        <v>5905</v>
      </c>
      <c r="O1835" s="32"/>
      <c r="P1835" s="33"/>
      <c r="Q1835" s="33"/>
    </row>
    <row r="1836" spans="1:17" ht="16.5" customHeight="1" x14ac:dyDescent="0.2">
      <c r="A1836" s="26"/>
      <c r="B1836" s="26"/>
      <c r="C1836" s="26"/>
      <c r="D1836" s="26"/>
      <c r="E1836" s="26"/>
      <c r="F1836" s="28" t="e">
        <f ca="1">_xludf.ifna(VLOOKUP(G1837,Proyectos!$E$1:$H$4,4,0),"")</f>
        <v>#NAME?</v>
      </c>
      <c r="G1836" s="26"/>
      <c r="H1836" s="32"/>
      <c r="I1836" s="32"/>
      <c r="J1836" s="32"/>
      <c r="K1836" s="32"/>
      <c r="L1836" s="32" t="e">
        <f ca="1">_xludf.ifna(VLOOKUP(G1837,Proyectos!$E$1:$N$4,10,0),"")</f>
        <v>#NAME?</v>
      </c>
      <c r="M1836" s="32"/>
      <c r="N1836" s="32" t="s">
        <v>5905</v>
      </c>
      <c r="O1836" s="32"/>
      <c r="P1836" s="33"/>
      <c r="Q1836" s="33"/>
    </row>
    <row r="1837" spans="1:17" ht="16.5" customHeight="1" x14ac:dyDescent="0.2">
      <c r="A1837" s="26"/>
      <c r="B1837" s="26"/>
      <c r="C1837" s="26"/>
      <c r="D1837" s="26"/>
      <c r="E1837" s="26"/>
      <c r="F1837" s="28" t="e">
        <f ca="1">_xludf.ifna(VLOOKUP(G1838,Proyectos!$E$1:$H$4,4,0),"")</f>
        <v>#NAME?</v>
      </c>
      <c r="G1837" s="26"/>
      <c r="H1837" s="32"/>
      <c r="I1837" s="32"/>
      <c r="J1837" s="32"/>
      <c r="K1837" s="32"/>
      <c r="L1837" s="32" t="e">
        <f ca="1">_xludf.ifna(VLOOKUP(G1838,Proyectos!$E$1:$N$4,10,0),"")</f>
        <v>#NAME?</v>
      </c>
      <c r="M1837" s="32"/>
      <c r="N1837" s="32" t="s">
        <v>5905</v>
      </c>
      <c r="O1837" s="32"/>
      <c r="P1837" s="33"/>
      <c r="Q1837" s="33"/>
    </row>
    <row r="1838" spans="1:17" ht="16.5" customHeight="1" x14ac:dyDescent="0.2">
      <c r="A1838" s="26"/>
      <c r="B1838" s="26"/>
      <c r="C1838" s="26"/>
      <c r="D1838" s="26"/>
      <c r="E1838" s="26"/>
      <c r="F1838" s="28" t="e">
        <f ca="1">_xludf.ifna(VLOOKUP(G1839,Proyectos!$E$1:$H$4,4,0),"")</f>
        <v>#NAME?</v>
      </c>
      <c r="G1838" s="26"/>
      <c r="H1838" s="32"/>
      <c r="I1838" s="32"/>
      <c r="J1838" s="32"/>
      <c r="K1838" s="32"/>
      <c r="L1838" s="32" t="e">
        <f ca="1">_xludf.ifna(VLOOKUP(G1839,Proyectos!$E$1:$N$4,10,0),"")</f>
        <v>#NAME?</v>
      </c>
      <c r="M1838" s="32"/>
      <c r="N1838" s="32" t="s">
        <v>5905</v>
      </c>
      <c r="O1838" s="32"/>
      <c r="P1838" s="33"/>
      <c r="Q1838" s="33"/>
    </row>
    <row r="1839" spans="1:17" ht="16.5" customHeight="1" x14ac:dyDescent="0.2">
      <c r="A1839" s="26"/>
      <c r="B1839" s="26"/>
      <c r="C1839" s="26"/>
      <c r="D1839" s="26"/>
      <c r="E1839" s="26"/>
      <c r="F1839" s="28" t="e">
        <f ca="1">_xludf.ifna(VLOOKUP(G1840,Proyectos!$E$1:$H$4,4,0),"")</f>
        <v>#NAME?</v>
      </c>
      <c r="G1839" s="26"/>
      <c r="H1839" s="32"/>
      <c r="I1839" s="32"/>
      <c r="J1839" s="32"/>
      <c r="K1839" s="32"/>
      <c r="L1839" s="32" t="e">
        <f ca="1">_xludf.ifna(VLOOKUP(G1840,Proyectos!$E$1:$N$4,10,0),"")</f>
        <v>#NAME?</v>
      </c>
      <c r="M1839" s="32"/>
      <c r="N1839" s="32" t="s">
        <v>5905</v>
      </c>
      <c r="O1839" s="32"/>
      <c r="P1839" s="33"/>
      <c r="Q1839" s="33"/>
    </row>
    <row r="1840" spans="1:17" ht="16.5" customHeight="1" x14ac:dyDescent="0.2">
      <c r="A1840" s="26"/>
      <c r="B1840" s="26"/>
      <c r="C1840" s="26"/>
      <c r="D1840" s="26"/>
      <c r="E1840" s="26"/>
      <c r="F1840" s="28" t="e">
        <f ca="1">_xludf.ifna(VLOOKUP(G1841,Proyectos!$E$1:$H$4,4,0),"")</f>
        <v>#NAME?</v>
      </c>
      <c r="G1840" s="26"/>
      <c r="H1840" s="32"/>
      <c r="I1840" s="32"/>
      <c r="J1840" s="32"/>
      <c r="K1840" s="32"/>
      <c r="L1840" s="32" t="e">
        <f ca="1">_xludf.ifna(VLOOKUP(G1841,Proyectos!$E$1:$N$4,10,0),"")</f>
        <v>#NAME?</v>
      </c>
      <c r="M1840" s="32"/>
      <c r="N1840" s="32" t="s">
        <v>5905</v>
      </c>
      <c r="O1840" s="32"/>
      <c r="P1840" s="33"/>
      <c r="Q1840" s="33"/>
    </row>
    <row r="1841" spans="1:17" ht="16.5" customHeight="1" x14ac:dyDescent="0.2">
      <c r="A1841" s="26"/>
      <c r="B1841" s="26"/>
      <c r="C1841" s="26"/>
      <c r="D1841" s="26"/>
      <c r="E1841" s="26"/>
      <c r="F1841" s="28" t="e">
        <f ca="1">_xludf.ifna(VLOOKUP(G1842,Proyectos!$E$1:$H$4,4,0),"")</f>
        <v>#NAME?</v>
      </c>
      <c r="G1841" s="26"/>
      <c r="H1841" s="32"/>
      <c r="I1841" s="32"/>
      <c r="J1841" s="32"/>
      <c r="K1841" s="32"/>
      <c r="L1841" s="32" t="e">
        <f ca="1">_xludf.ifna(VLOOKUP(G1842,Proyectos!$E$1:$N$4,10,0),"")</f>
        <v>#NAME?</v>
      </c>
      <c r="M1841" s="32"/>
      <c r="N1841" s="32" t="s">
        <v>5905</v>
      </c>
      <c r="O1841" s="32"/>
      <c r="P1841" s="33"/>
      <c r="Q1841" s="33"/>
    </row>
    <row r="1842" spans="1:17" ht="16.5" customHeight="1" x14ac:dyDescent="0.2">
      <c r="A1842" s="26"/>
      <c r="B1842" s="26"/>
      <c r="C1842" s="26"/>
      <c r="D1842" s="26"/>
      <c r="E1842" s="26"/>
      <c r="F1842" s="28" t="e">
        <f ca="1">_xludf.ifna(VLOOKUP(G1843,Proyectos!$E$1:$H$4,4,0),"")</f>
        <v>#NAME?</v>
      </c>
      <c r="G1842" s="26"/>
      <c r="H1842" s="32"/>
      <c r="I1842" s="32"/>
      <c r="J1842" s="32"/>
      <c r="K1842" s="32"/>
      <c r="L1842" s="32" t="e">
        <f ca="1">_xludf.ifna(VLOOKUP(G1843,Proyectos!$E$1:$N$4,10,0),"")</f>
        <v>#NAME?</v>
      </c>
      <c r="M1842" s="32"/>
      <c r="N1842" s="32" t="s">
        <v>5905</v>
      </c>
      <c r="O1842" s="32"/>
      <c r="P1842" s="33"/>
      <c r="Q1842" s="33"/>
    </row>
    <row r="1843" spans="1:17" ht="16.5" customHeight="1" x14ac:dyDescent="0.2">
      <c r="A1843" s="26"/>
      <c r="B1843" s="26"/>
      <c r="C1843" s="26"/>
      <c r="D1843" s="26"/>
      <c r="E1843" s="26"/>
      <c r="F1843" s="28" t="e">
        <f ca="1">_xludf.ifna(VLOOKUP(G1844,Proyectos!$E$1:$H$4,4,0),"")</f>
        <v>#NAME?</v>
      </c>
      <c r="G1843" s="26"/>
      <c r="H1843" s="32"/>
      <c r="I1843" s="32"/>
      <c r="J1843" s="32"/>
      <c r="K1843" s="32"/>
      <c r="L1843" s="32" t="e">
        <f ca="1">_xludf.ifna(VLOOKUP(G1844,Proyectos!$E$1:$N$4,10,0),"")</f>
        <v>#NAME?</v>
      </c>
      <c r="M1843" s="32"/>
      <c r="N1843" s="32" t="s">
        <v>5905</v>
      </c>
      <c r="O1843" s="32"/>
      <c r="P1843" s="33"/>
      <c r="Q1843" s="33"/>
    </row>
    <row r="1844" spans="1:17" ht="16.5" customHeight="1" x14ac:dyDescent="0.2">
      <c r="A1844" s="26"/>
      <c r="B1844" s="26"/>
      <c r="C1844" s="26"/>
      <c r="D1844" s="26"/>
      <c r="E1844" s="26"/>
      <c r="F1844" s="28" t="e">
        <f ca="1">_xludf.ifna(VLOOKUP(G1845,Proyectos!$E$1:$H$4,4,0),"")</f>
        <v>#NAME?</v>
      </c>
      <c r="G1844" s="26"/>
      <c r="H1844" s="32"/>
      <c r="I1844" s="32"/>
      <c r="J1844" s="32"/>
      <c r="K1844" s="32"/>
      <c r="L1844" s="32" t="e">
        <f ca="1">_xludf.ifna(VLOOKUP(G1845,Proyectos!$E$1:$N$4,10,0),"")</f>
        <v>#NAME?</v>
      </c>
      <c r="M1844" s="32"/>
      <c r="N1844" s="32" t="s">
        <v>5905</v>
      </c>
      <c r="O1844" s="32"/>
      <c r="P1844" s="33"/>
      <c r="Q1844" s="33"/>
    </row>
    <row r="1845" spans="1:17" ht="16.5" customHeight="1" x14ac:dyDescent="0.2">
      <c r="A1845" s="26"/>
      <c r="B1845" s="26"/>
      <c r="C1845" s="26"/>
      <c r="D1845" s="26"/>
      <c r="E1845" s="26"/>
      <c r="F1845" s="28" t="e">
        <f ca="1">_xludf.ifna(VLOOKUP(G1846,Proyectos!$E$1:$H$4,4,0),"")</f>
        <v>#NAME?</v>
      </c>
      <c r="G1845" s="26"/>
      <c r="H1845" s="32"/>
      <c r="I1845" s="32"/>
      <c r="J1845" s="32"/>
      <c r="K1845" s="32"/>
      <c r="L1845" s="32" t="e">
        <f ca="1">_xludf.ifna(VLOOKUP(G1846,Proyectos!$E$1:$N$4,10,0),"")</f>
        <v>#NAME?</v>
      </c>
      <c r="M1845" s="32"/>
      <c r="N1845" s="32" t="s">
        <v>5905</v>
      </c>
      <c r="O1845" s="32"/>
      <c r="P1845" s="33"/>
      <c r="Q1845" s="33"/>
    </row>
    <row r="1846" spans="1:17" ht="16.5" customHeight="1" x14ac:dyDescent="0.2">
      <c r="A1846" s="26"/>
      <c r="B1846" s="26"/>
      <c r="C1846" s="26"/>
      <c r="D1846" s="26"/>
      <c r="E1846" s="26"/>
      <c r="F1846" s="28" t="e">
        <f ca="1">_xludf.ifna(VLOOKUP(G1847,Proyectos!$E$1:$H$4,4,0),"")</f>
        <v>#NAME?</v>
      </c>
      <c r="G1846" s="26"/>
      <c r="H1846" s="32"/>
      <c r="I1846" s="32"/>
      <c r="J1846" s="32"/>
      <c r="K1846" s="32"/>
      <c r="L1846" s="32" t="e">
        <f ca="1">_xludf.ifna(VLOOKUP(G1847,Proyectos!$E$1:$N$4,10,0),"")</f>
        <v>#NAME?</v>
      </c>
      <c r="M1846" s="32"/>
      <c r="N1846" s="32" t="s">
        <v>5905</v>
      </c>
      <c r="O1846" s="32"/>
      <c r="P1846" s="33"/>
      <c r="Q1846" s="33"/>
    </row>
    <row r="1847" spans="1:17" ht="16.5" customHeight="1" x14ac:dyDescent="0.2">
      <c r="A1847" s="26"/>
      <c r="B1847" s="26"/>
      <c r="C1847" s="26"/>
      <c r="D1847" s="26"/>
      <c r="E1847" s="26"/>
      <c r="F1847" s="28" t="e">
        <f ca="1">_xludf.ifna(VLOOKUP(G1848,Proyectos!$E$1:$H$4,4,0),"")</f>
        <v>#NAME?</v>
      </c>
      <c r="G1847" s="26"/>
      <c r="H1847" s="32"/>
      <c r="I1847" s="32"/>
      <c r="J1847" s="32"/>
      <c r="K1847" s="32"/>
      <c r="L1847" s="32" t="e">
        <f ca="1">_xludf.ifna(VLOOKUP(G1848,Proyectos!$E$1:$N$4,10,0),"")</f>
        <v>#NAME?</v>
      </c>
      <c r="M1847" s="32"/>
      <c r="N1847" s="32" t="s">
        <v>5905</v>
      </c>
      <c r="O1847" s="32"/>
      <c r="P1847" s="33"/>
      <c r="Q1847" s="33"/>
    </row>
    <row r="1848" spans="1:17" ht="16.5" customHeight="1" x14ac:dyDescent="0.2">
      <c r="A1848" s="26"/>
      <c r="B1848" s="26"/>
      <c r="C1848" s="26"/>
      <c r="D1848" s="26"/>
      <c r="E1848" s="26"/>
      <c r="F1848" s="28" t="e">
        <f ca="1">_xludf.ifna(VLOOKUP(G1849,Proyectos!$E$1:$H$4,4,0),"")</f>
        <v>#NAME?</v>
      </c>
      <c r="G1848" s="26"/>
      <c r="H1848" s="32"/>
      <c r="I1848" s="32"/>
      <c r="J1848" s="32"/>
      <c r="K1848" s="32"/>
      <c r="L1848" s="32" t="e">
        <f ca="1">_xludf.ifna(VLOOKUP(G1849,Proyectos!$E$1:$N$4,10,0),"")</f>
        <v>#NAME?</v>
      </c>
      <c r="M1848" s="32"/>
      <c r="N1848" s="32" t="s">
        <v>5905</v>
      </c>
      <c r="O1848" s="32"/>
      <c r="P1848" s="33"/>
      <c r="Q1848" s="33"/>
    </row>
    <row r="1849" spans="1:17" ht="16.5" customHeight="1" x14ac:dyDescent="0.2">
      <c r="A1849" s="26"/>
      <c r="B1849" s="26"/>
      <c r="C1849" s="26"/>
      <c r="D1849" s="26"/>
      <c r="E1849" s="26"/>
      <c r="F1849" s="28" t="e">
        <f ca="1">_xludf.ifna(VLOOKUP(G1850,Proyectos!$E$1:$H$4,4,0),"")</f>
        <v>#NAME?</v>
      </c>
      <c r="G1849" s="26"/>
      <c r="H1849" s="32"/>
      <c r="I1849" s="32"/>
      <c r="J1849" s="32"/>
      <c r="K1849" s="32"/>
      <c r="L1849" s="32" t="e">
        <f ca="1">_xludf.ifna(VLOOKUP(G1850,Proyectos!$E$1:$N$4,10,0),"")</f>
        <v>#NAME?</v>
      </c>
      <c r="M1849" s="32"/>
      <c r="N1849" s="32" t="s">
        <v>5905</v>
      </c>
      <c r="O1849" s="32"/>
      <c r="P1849" s="33"/>
      <c r="Q1849" s="33"/>
    </row>
    <row r="1850" spans="1:17" ht="16.5" customHeight="1" x14ac:dyDescent="0.2">
      <c r="A1850" s="26"/>
      <c r="B1850" s="26"/>
      <c r="C1850" s="26"/>
      <c r="D1850" s="26"/>
      <c r="E1850" s="26"/>
      <c r="F1850" s="28" t="e">
        <f ca="1">_xludf.ifna(VLOOKUP(G1851,Proyectos!$E$1:$H$4,4,0),"")</f>
        <v>#NAME?</v>
      </c>
      <c r="G1850" s="26"/>
      <c r="H1850" s="32"/>
      <c r="I1850" s="32"/>
      <c r="J1850" s="32"/>
      <c r="K1850" s="32"/>
      <c r="L1850" s="32" t="e">
        <f ca="1">_xludf.ifna(VLOOKUP(G1851,Proyectos!$E$1:$N$4,10,0),"")</f>
        <v>#NAME?</v>
      </c>
      <c r="M1850" s="32"/>
      <c r="N1850" s="32" t="s">
        <v>5905</v>
      </c>
      <c r="O1850" s="32"/>
      <c r="P1850" s="33"/>
      <c r="Q1850" s="33"/>
    </row>
    <row r="1851" spans="1:17" ht="16.5" customHeight="1" x14ac:dyDescent="0.2">
      <c r="A1851" s="26"/>
      <c r="B1851" s="26"/>
      <c r="C1851" s="26"/>
      <c r="D1851" s="26"/>
      <c r="E1851" s="26"/>
      <c r="F1851" s="28" t="e">
        <f ca="1">_xludf.ifna(VLOOKUP(G1852,Proyectos!$E$1:$H$4,4,0),"")</f>
        <v>#NAME?</v>
      </c>
      <c r="G1851" s="26"/>
      <c r="H1851" s="32"/>
      <c r="I1851" s="32"/>
      <c r="J1851" s="32"/>
      <c r="K1851" s="32"/>
      <c r="L1851" s="32" t="e">
        <f ca="1">_xludf.ifna(VLOOKUP(G1852,Proyectos!$E$1:$N$4,10,0),"")</f>
        <v>#NAME?</v>
      </c>
      <c r="M1851" s="32"/>
      <c r="N1851" s="32" t="s">
        <v>5905</v>
      </c>
      <c r="O1851" s="32"/>
      <c r="P1851" s="33"/>
      <c r="Q1851" s="33"/>
    </row>
    <row r="1852" spans="1:17" ht="16.5" customHeight="1" x14ac:dyDescent="0.2">
      <c r="A1852" s="26"/>
      <c r="B1852" s="26"/>
      <c r="C1852" s="26"/>
      <c r="D1852" s="26"/>
      <c r="E1852" s="26"/>
      <c r="F1852" s="28" t="e">
        <f ca="1">_xludf.ifna(VLOOKUP(G1853,Proyectos!$E$1:$H$4,4,0),"")</f>
        <v>#NAME?</v>
      </c>
      <c r="G1852" s="26"/>
      <c r="H1852" s="32"/>
      <c r="I1852" s="32"/>
      <c r="J1852" s="32"/>
      <c r="K1852" s="32"/>
      <c r="L1852" s="32" t="e">
        <f ca="1">_xludf.ifna(VLOOKUP(G1853,Proyectos!$E$1:$N$4,10,0),"")</f>
        <v>#NAME?</v>
      </c>
      <c r="M1852" s="32"/>
      <c r="N1852" s="32" t="s">
        <v>5905</v>
      </c>
      <c r="O1852" s="32"/>
      <c r="P1852" s="33"/>
      <c r="Q1852" s="33"/>
    </row>
    <row r="1853" spans="1:17" ht="16.5" customHeight="1" x14ac:dyDescent="0.2">
      <c r="A1853" s="26"/>
      <c r="B1853" s="26"/>
      <c r="C1853" s="26"/>
      <c r="D1853" s="26"/>
      <c r="E1853" s="26"/>
      <c r="F1853" s="28" t="e">
        <f ca="1">_xludf.ifna(VLOOKUP(G1854,Proyectos!$E$1:$H$4,4,0),"")</f>
        <v>#NAME?</v>
      </c>
      <c r="G1853" s="26"/>
      <c r="H1853" s="32"/>
      <c r="I1853" s="32"/>
      <c r="J1853" s="32"/>
      <c r="K1853" s="32"/>
      <c r="L1853" s="32" t="e">
        <f ca="1">_xludf.ifna(VLOOKUP(G1854,Proyectos!$E$1:$N$4,10,0),"")</f>
        <v>#NAME?</v>
      </c>
      <c r="M1853" s="32"/>
      <c r="N1853" s="32" t="s">
        <v>5905</v>
      </c>
      <c r="O1853" s="32"/>
      <c r="P1853" s="33"/>
      <c r="Q1853" s="33"/>
    </row>
    <row r="1854" spans="1:17" ht="16.5" customHeight="1" x14ac:dyDescent="0.2">
      <c r="A1854" s="26"/>
      <c r="B1854" s="26"/>
      <c r="C1854" s="26"/>
      <c r="D1854" s="26"/>
      <c r="E1854" s="26"/>
      <c r="F1854" s="28" t="e">
        <f ca="1">_xludf.ifna(VLOOKUP(G1855,Proyectos!$E$1:$H$4,4,0),"")</f>
        <v>#NAME?</v>
      </c>
      <c r="G1854" s="26"/>
      <c r="H1854" s="32"/>
      <c r="I1854" s="32"/>
      <c r="J1854" s="32"/>
      <c r="K1854" s="32"/>
      <c r="L1854" s="32" t="e">
        <f ca="1">_xludf.ifna(VLOOKUP(G1855,Proyectos!$E$1:$N$4,10,0),"")</f>
        <v>#NAME?</v>
      </c>
      <c r="M1854" s="32"/>
      <c r="N1854" s="32" t="s">
        <v>5905</v>
      </c>
      <c r="O1854" s="32"/>
      <c r="P1854" s="33"/>
      <c r="Q1854" s="33"/>
    </row>
    <row r="1855" spans="1:17" ht="16.5" customHeight="1" x14ac:dyDescent="0.2">
      <c r="A1855" s="26"/>
      <c r="B1855" s="26"/>
      <c r="C1855" s="26"/>
      <c r="D1855" s="26"/>
      <c r="E1855" s="26"/>
      <c r="F1855" s="28" t="e">
        <f ca="1">_xludf.ifna(VLOOKUP(G1856,Proyectos!$E$1:$H$4,4,0),"")</f>
        <v>#NAME?</v>
      </c>
      <c r="G1855" s="26"/>
      <c r="H1855" s="32"/>
      <c r="I1855" s="32"/>
      <c r="J1855" s="32"/>
      <c r="K1855" s="32"/>
      <c r="L1855" s="32" t="e">
        <f ca="1">_xludf.ifna(VLOOKUP(G1856,Proyectos!$E$1:$N$4,10,0),"")</f>
        <v>#NAME?</v>
      </c>
      <c r="M1855" s="32"/>
      <c r="N1855" s="32" t="s">
        <v>5905</v>
      </c>
      <c r="O1855" s="32"/>
      <c r="P1855" s="33"/>
      <c r="Q1855" s="33"/>
    </row>
    <row r="1856" spans="1:17" ht="16.5" customHeight="1" x14ac:dyDescent="0.2">
      <c r="A1856" s="26"/>
      <c r="B1856" s="26"/>
      <c r="C1856" s="26"/>
      <c r="D1856" s="26"/>
      <c r="E1856" s="26"/>
      <c r="F1856" s="28" t="e">
        <f ca="1">_xludf.ifna(VLOOKUP(G1857,Proyectos!$E$1:$H$4,4,0),"")</f>
        <v>#NAME?</v>
      </c>
      <c r="G1856" s="26"/>
      <c r="H1856" s="32"/>
      <c r="I1856" s="32"/>
      <c r="J1856" s="32"/>
      <c r="K1856" s="32"/>
      <c r="L1856" s="32" t="e">
        <f ca="1">_xludf.ifna(VLOOKUP(G1857,Proyectos!$E$1:$N$4,10,0),"")</f>
        <v>#NAME?</v>
      </c>
      <c r="M1856" s="32"/>
      <c r="N1856" s="32" t="s">
        <v>5905</v>
      </c>
      <c r="O1856" s="32"/>
      <c r="P1856" s="33"/>
      <c r="Q1856" s="33"/>
    </row>
    <row r="1857" spans="1:17" ht="16.5" customHeight="1" x14ac:dyDescent="0.2">
      <c r="A1857" s="26"/>
      <c r="B1857" s="26"/>
      <c r="C1857" s="26"/>
      <c r="D1857" s="26"/>
      <c r="E1857" s="26"/>
      <c r="F1857" s="28" t="e">
        <f ca="1">_xludf.ifna(VLOOKUP(G1858,Proyectos!$E$1:$H$4,4,0),"")</f>
        <v>#NAME?</v>
      </c>
      <c r="G1857" s="26"/>
      <c r="H1857" s="32"/>
      <c r="I1857" s="32"/>
      <c r="J1857" s="32"/>
      <c r="K1857" s="32"/>
      <c r="L1857" s="32" t="e">
        <f ca="1">_xludf.ifna(VLOOKUP(G1858,Proyectos!$E$1:$N$4,10,0),"")</f>
        <v>#NAME?</v>
      </c>
      <c r="M1857" s="32"/>
      <c r="N1857" s="32" t="s">
        <v>5905</v>
      </c>
      <c r="O1857" s="32"/>
      <c r="P1857" s="33"/>
      <c r="Q1857" s="33"/>
    </row>
    <row r="1858" spans="1:17" ht="16.5" customHeight="1" x14ac:dyDescent="0.2">
      <c r="A1858" s="26"/>
      <c r="B1858" s="26"/>
      <c r="C1858" s="26"/>
      <c r="D1858" s="26"/>
      <c r="E1858" s="26"/>
      <c r="F1858" s="28" t="e">
        <f ca="1">_xludf.ifna(VLOOKUP(G1859,Proyectos!$E$1:$H$4,4,0),"")</f>
        <v>#NAME?</v>
      </c>
      <c r="G1858" s="26"/>
      <c r="H1858" s="32"/>
      <c r="I1858" s="32"/>
      <c r="J1858" s="32"/>
      <c r="K1858" s="32"/>
      <c r="L1858" s="32" t="e">
        <f ca="1">_xludf.ifna(VLOOKUP(G1859,Proyectos!$E$1:$N$4,10,0),"")</f>
        <v>#NAME?</v>
      </c>
      <c r="M1858" s="32"/>
      <c r="N1858" s="32" t="s">
        <v>5905</v>
      </c>
      <c r="O1858" s="32"/>
      <c r="P1858" s="33"/>
      <c r="Q1858" s="33"/>
    </row>
    <row r="1859" spans="1:17" ht="16.5" customHeight="1" x14ac:dyDescent="0.2">
      <c r="A1859" s="26"/>
      <c r="B1859" s="26"/>
      <c r="C1859" s="26"/>
      <c r="D1859" s="26"/>
      <c r="E1859" s="26"/>
      <c r="F1859" s="28" t="e">
        <f ca="1">_xludf.ifna(VLOOKUP(G1860,Proyectos!$E$1:$H$4,4,0),"")</f>
        <v>#NAME?</v>
      </c>
      <c r="G1859" s="26"/>
      <c r="H1859" s="32"/>
      <c r="I1859" s="32"/>
      <c r="J1859" s="32"/>
      <c r="K1859" s="32"/>
      <c r="L1859" s="32" t="e">
        <f ca="1">_xludf.ifna(VLOOKUP(G1860,Proyectos!$E$1:$N$4,10,0),"")</f>
        <v>#NAME?</v>
      </c>
      <c r="M1859" s="32"/>
      <c r="N1859" s="32" t="s">
        <v>5905</v>
      </c>
      <c r="O1859" s="32"/>
      <c r="P1859" s="33"/>
      <c r="Q1859" s="33"/>
    </row>
    <row r="1860" spans="1:17" ht="16.5" customHeight="1" x14ac:dyDescent="0.2">
      <c r="A1860" s="26"/>
      <c r="B1860" s="26"/>
      <c r="C1860" s="26"/>
      <c r="D1860" s="26"/>
      <c r="E1860" s="26"/>
      <c r="F1860" s="28" t="e">
        <f ca="1">_xludf.ifna(VLOOKUP(G1861,Proyectos!$E$1:$H$4,4,0),"")</f>
        <v>#NAME?</v>
      </c>
      <c r="G1860" s="26"/>
      <c r="H1860" s="32"/>
      <c r="I1860" s="32"/>
      <c r="J1860" s="32"/>
      <c r="K1860" s="32"/>
      <c r="L1860" s="32" t="e">
        <f ca="1">_xludf.ifna(VLOOKUP(G1861,Proyectos!$E$1:$N$4,10,0),"")</f>
        <v>#NAME?</v>
      </c>
      <c r="M1860" s="32"/>
      <c r="N1860" s="32" t="s">
        <v>5905</v>
      </c>
      <c r="O1860" s="32"/>
      <c r="P1860" s="33"/>
      <c r="Q1860" s="33"/>
    </row>
    <row r="1861" spans="1:17" ht="16.5" customHeight="1" x14ac:dyDescent="0.2">
      <c r="A1861" s="26"/>
      <c r="B1861" s="26"/>
      <c r="C1861" s="26"/>
      <c r="D1861" s="26"/>
      <c r="E1861" s="26"/>
      <c r="F1861" s="28" t="e">
        <f ca="1">_xludf.ifna(VLOOKUP(G1862,Proyectos!$E$1:$H$4,4,0),"")</f>
        <v>#NAME?</v>
      </c>
      <c r="G1861" s="26"/>
      <c r="H1861" s="32"/>
      <c r="I1861" s="32"/>
      <c r="J1861" s="32"/>
      <c r="K1861" s="32"/>
      <c r="L1861" s="32" t="e">
        <f ca="1">_xludf.ifna(VLOOKUP(G1862,Proyectos!$E$1:$N$4,10,0),"")</f>
        <v>#NAME?</v>
      </c>
      <c r="M1861" s="32"/>
      <c r="N1861" s="32" t="s">
        <v>5905</v>
      </c>
      <c r="O1861" s="32"/>
      <c r="P1861" s="33"/>
      <c r="Q1861" s="33"/>
    </row>
    <row r="1862" spans="1:17" ht="16.5" customHeight="1" x14ac:dyDescent="0.2">
      <c r="A1862" s="26"/>
      <c r="B1862" s="26"/>
      <c r="C1862" s="26"/>
      <c r="D1862" s="26"/>
      <c r="E1862" s="26"/>
      <c r="F1862" s="28" t="e">
        <f ca="1">_xludf.ifna(VLOOKUP(G1863,Proyectos!$E$1:$H$4,4,0),"")</f>
        <v>#NAME?</v>
      </c>
      <c r="G1862" s="26"/>
      <c r="H1862" s="32"/>
      <c r="I1862" s="32"/>
      <c r="J1862" s="32"/>
      <c r="K1862" s="32"/>
      <c r="L1862" s="32" t="e">
        <f ca="1">_xludf.ifna(VLOOKUP(G1863,Proyectos!$E$1:$N$4,10,0),"")</f>
        <v>#NAME?</v>
      </c>
      <c r="M1862" s="32"/>
      <c r="N1862" s="32" t="s">
        <v>5905</v>
      </c>
      <c r="O1862" s="32"/>
      <c r="P1862" s="33"/>
      <c r="Q1862" s="33"/>
    </row>
    <row r="1863" spans="1:17" ht="16.5" customHeight="1" x14ac:dyDescent="0.2">
      <c r="A1863" s="26"/>
      <c r="B1863" s="26"/>
      <c r="C1863" s="26"/>
      <c r="D1863" s="26"/>
      <c r="E1863" s="26"/>
      <c r="F1863" s="28" t="e">
        <f ca="1">_xludf.ifna(VLOOKUP(G1864,Proyectos!$E$1:$H$4,4,0),"")</f>
        <v>#NAME?</v>
      </c>
      <c r="G1863" s="26"/>
      <c r="H1863" s="32"/>
      <c r="I1863" s="32"/>
      <c r="J1863" s="32"/>
      <c r="K1863" s="32"/>
      <c r="L1863" s="32" t="e">
        <f ca="1">_xludf.ifna(VLOOKUP(G1864,Proyectos!$E$1:$N$4,10,0),"")</f>
        <v>#NAME?</v>
      </c>
      <c r="M1863" s="32"/>
      <c r="N1863" s="32" t="s">
        <v>5905</v>
      </c>
      <c r="O1863" s="32"/>
      <c r="P1863" s="33"/>
      <c r="Q1863" s="33"/>
    </row>
    <row r="1864" spans="1:17" ht="16.5" customHeight="1" x14ac:dyDescent="0.2">
      <c r="A1864" s="26"/>
      <c r="B1864" s="26"/>
      <c r="C1864" s="26"/>
      <c r="D1864" s="26"/>
      <c r="E1864" s="26"/>
      <c r="F1864" s="28" t="e">
        <f ca="1">_xludf.ifna(VLOOKUP(G1865,Proyectos!$E$1:$H$4,4,0),"")</f>
        <v>#NAME?</v>
      </c>
      <c r="G1864" s="26"/>
      <c r="H1864" s="32"/>
      <c r="I1864" s="32"/>
      <c r="J1864" s="32"/>
      <c r="K1864" s="32"/>
      <c r="L1864" s="32" t="e">
        <f ca="1">_xludf.ifna(VLOOKUP(G1865,Proyectos!$E$1:$N$4,10,0),"")</f>
        <v>#NAME?</v>
      </c>
      <c r="M1864" s="32"/>
      <c r="N1864" s="32" t="s">
        <v>5905</v>
      </c>
      <c r="O1864" s="32"/>
      <c r="P1864" s="33"/>
      <c r="Q1864" s="33"/>
    </row>
    <row r="1865" spans="1:17" ht="16.5" customHeight="1" x14ac:dyDescent="0.2">
      <c r="A1865" s="26"/>
      <c r="B1865" s="26"/>
      <c r="C1865" s="26"/>
      <c r="D1865" s="26"/>
      <c r="E1865" s="26"/>
      <c r="F1865" s="28" t="e">
        <f ca="1">_xludf.ifna(VLOOKUP(G1866,Proyectos!$E$1:$H$4,4,0),"")</f>
        <v>#NAME?</v>
      </c>
      <c r="G1865" s="26"/>
      <c r="H1865" s="32"/>
      <c r="I1865" s="32"/>
      <c r="J1865" s="32"/>
      <c r="K1865" s="32"/>
      <c r="L1865" s="32" t="e">
        <f ca="1">_xludf.ifna(VLOOKUP(G1866,Proyectos!$E$1:$N$4,10,0),"")</f>
        <v>#NAME?</v>
      </c>
      <c r="M1865" s="32"/>
      <c r="N1865" s="32" t="s">
        <v>5905</v>
      </c>
      <c r="O1865" s="32"/>
      <c r="P1865" s="33"/>
      <c r="Q1865" s="33"/>
    </row>
    <row r="1866" spans="1:17" ht="16.5" customHeight="1" x14ac:dyDescent="0.2">
      <c r="A1866" s="26"/>
      <c r="B1866" s="26"/>
      <c r="C1866" s="26"/>
      <c r="D1866" s="26"/>
      <c r="E1866" s="26"/>
      <c r="F1866" s="28" t="e">
        <f ca="1">_xludf.ifna(VLOOKUP(G1867,Proyectos!$E$1:$H$4,4,0),"")</f>
        <v>#NAME?</v>
      </c>
      <c r="G1866" s="26"/>
      <c r="H1866" s="32"/>
      <c r="I1866" s="32"/>
      <c r="J1866" s="32"/>
      <c r="K1866" s="32"/>
      <c r="L1866" s="32" t="e">
        <f ca="1">_xludf.ifna(VLOOKUP(G1867,Proyectos!$E$1:$N$4,10,0),"")</f>
        <v>#NAME?</v>
      </c>
      <c r="M1866" s="32"/>
      <c r="N1866" s="32" t="s">
        <v>5905</v>
      </c>
      <c r="O1866" s="32"/>
      <c r="P1866" s="33"/>
      <c r="Q1866" s="33"/>
    </row>
    <row r="1867" spans="1:17" ht="16.5" customHeight="1" x14ac:dyDescent="0.2">
      <c r="A1867" s="26"/>
      <c r="B1867" s="26"/>
      <c r="C1867" s="26"/>
      <c r="D1867" s="26"/>
      <c r="E1867" s="26"/>
      <c r="F1867" s="28" t="e">
        <f ca="1">_xludf.ifna(VLOOKUP(G1868,Proyectos!$E$1:$H$4,4,0),"")</f>
        <v>#NAME?</v>
      </c>
      <c r="G1867" s="26"/>
      <c r="H1867" s="32"/>
      <c r="I1867" s="32"/>
      <c r="J1867" s="32"/>
      <c r="K1867" s="32"/>
      <c r="L1867" s="32" t="e">
        <f ca="1">_xludf.ifna(VLOOKUP(G1868,Proyectos!$E$1:$N$4,10,0),"")</f>
        <v>#NAME?</v>
      </c>
      <c r="M1867" s="32"/>
      <c r="N1867" s="32" t="s">
        <v>5905</v>
      </c>
      <c r="O1867" s="32"/>
      <c r="P1867" s="33"/>
      <c r="Q1867" s="33"/>
    </row>
    <row r="1868" spans="1:17" ht="16.5" customHeight="1" x14ac:dyDescent="0.2">
      <c r="A1868" s="26"/>
      <c r="B1868" s="26"/>
      <c r="C1868" s="26"/>
      <c r="D1868" s="26"/>
      <c r="E1868" s="26"/>
      <c r="F1868" s="28" t="e">
        <f ca="1">_xludf.ifna(VLOOKUP(G1869,Proyectos!$E$1:$H$4,4,0),"")</f>
        <v>#NAME?</v>
      </c>
      <c r="G1868" s="26"/>
      <c r="H1868" s="32"/>
      <c r="I1868" s="32"/>
      <c r="J1868" s="32"/>
      <c r="K1868" s="32"/>
      <c r="L1868" s="32" t="e">
        <f ca="1">_xludf.ifna(VLOOKUP(G1869,Proyectos!$E$1:$N$4,10,0),"")</f>
        <v>#NAME?</v>
      </c>
      <c r="M1868" s="32"/>
      <c r="N1868" s="32" t="s">
        <v>5905</v>
      </c>
      <c r="O1868" s="32"/>
      <c r="P1868" s="33"/>
      <c r="Q1868" s="33"/>
    </row>
    <row r="1869" spans="1:17" ht="16.5" customHeight="1" x14ac:dyDescent="0.2">
      <c r="A1869" s="26"/>
      <c r="B1869" s="26"/>
      <c r="C1869" s="26"/>
      <c r="D1869" s="26"/>
      <c r="E1869" s="26"/>
      <c r="F1869" s="28" t="e">
        <f ca="1">_xludf.ifna(VLOOKUP(G1870,Proyectos!$E$1:$H$4,4,0),"")</f>
        <v>#NAME?</v>
      </c>
      <c r="G1869" s="26"/>
      <c r="H1869" s="32"/>
      <c r="I1869" s="32"/>
      <c r="J1869" s="32"/>
      <c r="K1869" s="32"/>
      <c r="L1869" s="32" t="e">
        <f ca="1">_xludf.ifna(VLOOKUP(G1870,Proyectos!$E$1:$N$4,10,0),"")</f>
        <v>#NAME?</v>
      </c>
      <c r="M1869" s="32"/>
      <c r="N1869" s="32" t="s">
        <v>5905</v>
      </c>
      <c r="O1869" s="32"/>
      <c r="P1869" s="33"/>
      <c r="Q1869" s="33"/>
    </row>
    <row r="1870" spans="1:17" ht="16.5" customHeight="1" x14ac:dyDescent="0.2">
      <c r="A1870" s="26"/>
      <c r="B1870" s="26"/>
      <c r="C1870" s="26"/>
      <c r="D1870" s="26"/>
      <c r="E1870" s="26"/>
      <c r="F1870" s="28" t="e">
        <f ca="1">_xludf.ifna(VLOOKUP(G1871,Proyectos!$E$1:$H$4,4,0),"")</f>
        <v>#NAME?</v>
      </c>
      <c r="G1870" s="26"/>
      <c r="H1870" s="32"/>
      <c r="I1870" s="32"/>
      <c r="J1870" s="32"/>
      <c r="K1870" s="32"/>
      <c r="L1870" s="32" t="e">
        <f ca="1">_xludf.ifna(VLOOKUP(G1871,Proyectos!$E$1:$N$4,10,0),"")</f>
        <v>#NAME?</v>
      </c>
      <c r="M1870" s="32"/>
      <c r="N1870" s="32" t="s">
        <v>5905</v>
      </c>
      <c r="O1870" s="32"/>
      <c r="P1870" s="33"/>
      <c r="Q1870" s="33"/>
    </row>
    <row r="1871" spans="1:17" ht="16.5" customHeight="1" x14ac:dyDescent="0.2">
      <c r="A1871" s="26"/>
      <c r="B1871" s="26"/>
      <c r="C1871" s="26"/>
      <c r="D1871" s="26"/>
      <c r="E1871" s="26"/>
      <c r="F1871" s="28" t="e">
        <f ca="1">_xludf.ifna(VLOOKUP(G1872,Proyectos!$E$1:$H$4,4,0),"")</f>
        <v>#NAME?</v>
      </c>
      <c r="G1871" s="26"/>
      <c r="H1871" s="32"/>
      <c r="I1871" s="32"/>
      <c r="J1871" s="32"/>
      <c r="K1871" s="32"/>
      <c r="L1871" s="32" t="e">
        <f ca="1">_xludf.ifna(VLOOKUP(G1872,Proyectos!$E$1:$N$4,10,0),"")</f>
        <v>#NAME?</v>
      </c>
      <c r="M1871" s="32"/>
      <c r="N1871" s="32" t="s">
        <v>5905</v>
      </c>
      <c r="O1871" s="32"/>
      <c r="P1871" s="33"/>
      <c r="Q1871" s="33"/>
    </row>
    <row r="1872" spans="1:17" ht="16.5" customHeight="1" x14ac:dyDescent="0.2">
      <c r="A1872" s="26"/>
      <c r="B1872" s="26"/>
      <c r="C1872" s="26"/>
      <c r="D1872" s="26"/>
      <c r="E1872" s="26"/>
      <c r="F1872" s="28" t="e">
        <f ca="1">_xludf.ifna(VLOOKUP(G1873,Proyectos!$E$1:$H$4,4,0),"")</f>
        <v>#NAME?</v>
      </c>
      <c r="G1872" s="26"/>
      <c r="H1872" s="32"/>
      <c r="I1872" s="32"/>
      <c r="J1872" s="32"/>
      <c r="K1872" s="32"/>
      <c r="L1872" s="32" t="e">
        <f ca="1">_xludf.ifna(VLOOKUP(G1873,Proyectos!$E$1:$N$4,10,0),"")</f>
        <v>#NAME?</v>
      </c>
      <c r="M1872" s="32"/>
      <c r="N1872" s="32" t="s">
        <v>5905</v>
      </c>
      <c r="O1872" s="32"/>
      <c r="P1872" s="33"/>
      <c r="Q1872" s="33"/>
    </row>
    <row r="1873" spans="1:17" ht="16.5" customHeight="1" x14ac:dyDescent="0.2">
      <c r="A1873" s="26"/>
      <c r="B1873" s="26"/>
      <c r="C1873" s="26"/>
      <c r="D1873" s="26"/>
      <c r="E1873" s="26"/>
      <c r="F1873" s="28" t="e">
        <f ca="1">_xludf.ifna(VLOOKUP(G1874,Proyectos!$E$1:$H$4,4,0),"")</f>
        <v>#NAME?</v>
      </c>
      <c r="G1873" s="26"/>
      <c r="H1873" s="32"/>
      <c r="I1873" s="32"/>
      <c r="J1873" s="32"/>
      <c r="K1873" s="32"/>
      <c r="L1873" s="32" t="e">
        <f ca="1">_xludf.ifna(VLOOKUP(G1874,Proyectos!$E$1:$N$4,10,0),"")</f>
        <v>#NAME?</v>
      </c>
      <c r="M1873" s="32"/>
      <c r="N1873" s="32" t="s">
        <v>5905</v>
      </c>
      <c r="O1873" s="32"/>
      <c r="P1873" s="33"/>
      <c r="Q1873" s="33"/>
    </row>
    <row r="1874" spans="1:17" ht="16.5" customHeight="1" x14ac:dyDescent="0.2">
      <c r="A1874" s="26"/>
      <c r="B1874" s="26"/>
      <c r="C1874" s="26"/>
      <c r="D1874" s="26"/>
      <c r="E1874" s="26"/>
      <c r="F1874" s="28" t="e">
        <f ca="1">_xludf.ifna(VLOOKUP(G1875,Proyectos!$E$1:$H$4,4,0),"")</f>
        <v>#NAME?</v>
      </c>
      <c r="G1874" s="26"/>
      <c r="H1874" s="32"/>
      <c r="I1874" s="32"/>
      <c r="J1874" s="32"/>
      <c r="K1874" s="32"/>
      <c r="L1874" s="32" t="e">
        <f ca="1">_xludf.ifna(VLOOKUP(G1875,Proyectos!$E$1:$N$4,10,0),"")</f>
        <v>#NAME?</v>
      </c>
      <c r="M1874" s="32"/>
      <c r="N1874" s="32" t="s">
        <v>5905</v>
      </c>
      <c r="O1874" s="32"/>
      <c r="P1874" s="33"/>
      <c r="Q1874" s="33"/>
    </row>
    <row r="1875" spans="1:17" ht="16.5" customHeight="1" x14ac:dyDescent="0.2">
      <c r="A1875" s="26"/>
      <c r="B1875" s="26"/>
      <c r="C1875" s="26"/>
      <c r="D1875" s="26"/>
      <c r="E1875" s="26"/>
      <c r="F1875" s="28" t="e">
        <f ca="1">_xludf.ifna(VLOOKUP(G1876,Proyectos!$E$1:$H$4,4,0),"")</f>
        <v>#NAME?</v>
      </c>
      <c r="G1875" s="26"/>
      <c r="H1875" s="32"/>
      <c r="I1875" s="32"/>
      <c r="J1875" s="32"/>
      <c r="K1875" s="32"/>
      <c r="L1875" s="32" t="e">
        <f ca="1">_xludf.ifna(VLOOKUP(G1876,Proyectos!$E$1:$N$4,10,0),"")</f>
        <v>#NAME?</v>
      </c>
      <c r="M1875" s="32"/>
      <c r="N1875" s="32" t="s">
        <v>5905</v>
      </c>
      <c r="O1875" s="32"/>
      <c r="P1875" s="33"/>
      <c r="Q1875" s="33"/>
    </row>
    <row r="1876" spans="1:17" ht="16.5" customHeight="1" x14ac:dyDescent="0.2">
      <c r="A1876" s="26"/>
      <c r="B1876" s="26"/>
      <c r="C1876" s="26"/>
      <c r="D1876" s="26"/>
      <c r="E1876" s="26"/>
      <c r="F1876" s="28" t="e">
        <f ca="1">_xludf.ifna(VLOOKUP(G1877,Proyectos!$E$1:$H$4,4,0),"")</f>
        <v>#NAME?</v>
      </c>
      <c r="G1876" s="26"/>
      <c r="H1876" s="32"/>
      <c r="I1876" s="32"/>
      <c r="J1876" s="32"/>
      <c r="K1876" s="32"/>
      <c r="L1876" s="32" t="e">
        <f ca="1">_xludf.ifna(VLOOKUP(G1877,Proyectos!$E$1:$N$4,10,0),"")</f>
        <v>#NAME?</v>
      </c>
      <c r="M1876" s="32"/>
      <c r="N1876" s="32" t="s">
        <v>5905</v>
      </c>
      <c r="O1876" s="32"/>
      <c r="P1876" s="33"/>
      <c r="Q1876" s="33"/>
    </row>
    <row r="1877" spans="1:17" ht="16.5" customHeight="1" x14ac:dyDescent="0.2">
      <c r="A1877" s="26"/>
      <c r="B1877" s="26"/>
      <c r="C1877" s="26"/>
      <c r="D1877" s="26"/>
      <c r="E1877" s="26"/>
      <c r="F1877" s="28" t="e">
        <f ca="1">_xludf.ifna(VLOOKUP(G1878,Proyectos!$E$1:$H$4,4,0),"")</f>
        <v>#NAME?</v>
      </c>
      <c r="G1877" s="26"/>
      <c r="H1877" s="32"/>
      <c r="I1877" s="32"/>
      <c r="J1877" s="32"/>
      <c r="K1877" s="32"/>
      <c r="L1877" s="32" t="e">
        <f ca="1">_xludf.ifna(VLOOKUP(G1878,Proyectos!$E$1:$N$4,10,0),"")</f>
        <v>#NAME?</v>
      </c>
      <c r="M1877" s="32"/>
      <c r="N1877" s="32" t="s">
        <v>5905</v>
      </c>
      <c r="O1877" s="32"/>
      <c r="P1877" s="33"/>
      <c r="Q1877" s="33"/>
    </row>
    <row r="1878" spans="1:17" ht="16.5" customHeight="1" x14ac:dyDescent="0.2">
      <c r="A1878" s="26"/>
      <c r="B1878" s="26"/>
      <c r="C1878" s="26"/>
      <c r="D1878" s="26"/>
      <c r="E1878" s="26"/>
      <c r="F1878" s="28" t="e">
        <f ca="1">_xludf.ifna(VLOOKUP(G1879,Proyectos!$E$1:$H$4,4,0),"")</f>
        <v>#NAME?</v>
      </c>
      <c r="G1878" s="26"/>
      <c r="H1878" s="32"/>
      <c r="I1878" s="32"/>
      <c r="J1878" s="32"/>
      <c r="K1878" s="32"/>
      <c r="L1878" s="32" t="e">
        <f ca="1">_xludf.ifna(VLOOKUP(G1879,Proyectos!$E$1:$N$4,10,0),"")</f>
        <v>#NAME?</v>
      </c>
      <c r="M1878" s="32"/>
      <c r="N1878" s="32" t="s">
        <v>5905</v>
      </c>
      <c r="O1878" s="32"/>
      <c r="P1878" s="33"/>
      <c r="Q1878" s="33"/>
    </row>
    <row r="1879" spans="1:17" ht="16.5" customHeight="1" x14ac:dyDescent="0.2">
      <c r="A1879" s="26"/>
      <c r="B1879" s="26"/>
      <c r="C1879" s="26"/>
      <c r="D1879" s="26"/>
      <c r="E1879" s="26"/>
      <c r="F1879" s="28" t="e">
        <f ca="1">_xludf.ifna(VLOOKUP(G1880,Proyectos!$E$1:$H$4,4,0),"")</f>
        <v>#NAME?</v>
      </c>
      <c r="G1879" s="26"/>
      <c r="H1879" s="32"/>
      <c r="I1879" s="32"/>
      <c r="J1879" s="32"/>
      <c r="K1879" s="32"/>
      <c r="L1879" s="32" t="e">
        <f ca="1">_xludf.ifna(VLOOKUP(G1880,Proyectos!$E$1:$N$4,10,0),"")</f>
        <v>#NAME?</v>
      </c>
      <c r="M1879" s="32"/>
      <c r="N1879" s="32" t="s">
        <v>5905</v>
      </c>
      <c r="O1879" s="32"/>
      <c r="P1879" s="33"/>
      <c r="Q1879" s="33"/>
    </row>
    <row r="1880" spans="1:17" ht="16.5" customHeight="1" x14ac:dyDescent="0.2">
      <c r="A1880" s="26"/>
      <c r="B1880" s="26"/>
      <c r="C1880" s="26"/>
      <c r="D1880" s="26"/>
      <c r="E1880" s="26"/>
      <c r="F1880" s="28" t="e">
        <f ca="1">_xludf.ifna(VLOOKUP(G1881,Proyectos!$E$1:$H$4,4,0),"")</f>
        <v>#NAME?</v>
      </c>
      <c r="G1880" s="26"/>
      <c r="H1880" s="32"/>
      <c r="I1880" s="32"/>
      <c r="J1880" s="32"/>
      <c r="K1880" s="32"/>
      <c r="L1880" s="32" t="e">
        <f ca="1">_xludf.ifna(VLOOKUP(G1881,Proyectos!$E$1:$N$4,10,0),"")</f>
        <v>#NAME?</v>
      </c>
      <c r="M1880" s="32"/>
      <c r="N1880" s="32" t="s">
        <v>5905</v>
      </c>
      <c r="O1880" s="32"/>
      <c r="P1880" s="33"/>
      <c r="Q1880" s="33"/>
    </row>
    <row r="1881" spans="1:17" ht="16.5" customHeight="1" x14ac:dyDescent="0.2">
      <c r="A1881" s="26"/>
      <c r="B1881" s="26"/>
      <c r="C1881" s="26"/>
      <c r="D1881" s="26"/>
      <c r="E1881" s="26"/>
      <c r="F1881" s="28" t="e">
        <f ca="1">_xludf.ifna(VLOOKUP(G1882,Proyectos!$E$1:$H$4,4,0),"")</f>
        <v>#NAME?</v>
      </c>
      <c r="G1881" s="26"/>
      <c r="H1881" s="32"/>
      <c r="I1881" s="32"/>
      <c r="J1881" s="32"/>
      <c r="K1881" s="32"/>
      <c r="L1881" s="32" t="e">
        <f ca="1">_xludf.ifna(VLOOKUP(G1882,Proyectos!$E$1:$N$4,10,0),"")</f>
        <v>#NAME?</v>
      </c>
      <c r="M1881" s="32"/>
      <c r="N1881" s="32" t="s">
        <v>5905</v>
      </c>
      <c r="O1881" s="32"/>
      <c r="P1881" s="33"/>
      <c r="Q1881" s="33"/>
    </row>
    <row r="1882" spans="1:17" ht="16.5" customHeight="1" x14ac:dyDescent="0.2">
      <c r="A1882" s="26"/>
      <c r="B1882" s="26"/>
      <c r="C1882" s="26"/>
      <c r="D1882" s="26"/>
      <c r="E1882" s="26"/>
      <c r="F1882" s="28" t="e">
        <f ca="1">_xludf.ifna(VLOOKUP(G1883,Proyectos!$E$1:$H$4,4,0),"")</f>
        <v>#NAME?</v>
      </c>
      <c r="G1882" s="26"/>
      <c r="H1882" s="32"/>
      <c r="I1882" s="32"/>
      <c r="J1882" s="32"/>
      <c r="K1882" s="32"/>
      <c r="L1882" s="32" t="e">
        <f ca="1">_xludf.ifna(VLOOKUP(G1883,Proyectos!$E$1:$N$4,10,0),"")</f>
        <v>#NAME?</v>
      </c>
      <c r="M1882" s="32"/>
      <c r="N1882" s="32" t="s">
        <v>5905</v>
      </c>
      <c r="O1882" s="32"/>
      <c r="P1882" s="33"/>
      <c r="Q1882" s="33"/>
    </row>
    <row r="1883" spans="1:17" ht="16.5" customHeight="1" x14ac:dyDescent="0.2">
      <c r="A1883" s="26"/>
      <c r="B1883" s="26"/>
      <c r="C1883" s="26"/>
      <c r="D1883" s="26"/>
      <c r="E1883" s="26"/>
      <c r="F1883" s="28" t="e">
        <f ca="1">_xludf.ifna(VLOOKUP(G1884,Proyectos!$E$1:$H$4,4,0),"")</f>
        <v>#NAME?</v>
      </c>
      <c r="G1883" s="26"/>
      <c r="H1883" s="32"/>
      <c r="I1883" s="32"/>
      <c r="J1883" s="32"/>
      <c r="K1883" s="32"/>
      <c r="L1883" s="32" t="e">
        <f ca="1">_xludf.ifna(VLOOKUP(G1884,Proyectos!$E$1:$N$4,10,0),"")</f>
        <v>#NAME?</v>
      </c>
      <c r="M1883" s="32"/>
      <c r="N1883" s="32" t="s">
        <v>5905</v>
      </c>
      <c r="O1883" s="32"/>
      <c r="P1883" s="33"/>
      <c r="Q1883" s="33"/>
    </row>
    <row r="1884" spans="1:17" ht="16.5" customHeight="1" x14ac:dyDescent="0.2">
      <c r="A1884" s="26"/>
      <c r="B1884" s="26"/>
      <c r="C1884" s="26"/>
      <c r="D1884" s="26"/>
      <c r="E1884" s="26"/>
      <c r="F1884" s="28" t="e">
        <f ca="1">_xludf.ifna(VLOOKUP(G1885,Proyectos!$E$1:$H$4,4,0),"")</f>
        <v>#NAME?</v>
      </c>
      <c r="G1884" s="26"/>
      <c r="H1884" s="32"/>
      <c r="I1884" s="32"/>
      <c r="J1884" s="32"/>
      <c r="K1884" s="32"/>
      <c r="L1884" s="32" t="e">
        <f ca="1">_xludf.ifna(VLOOKUP(G1885,Proyectos!$E$1:$N$4,10,0),"")</f>
        <v>#NAME?</v>
      </c>
      <c r="M1884" s="32"/>
      <c r="N1884" s="32" t="s">
        <v>5905</v>
      </c>
      <c r="O1884" s="32"/>
      <c r="P1884" s="33"/>
      <c r="Q1884" s="33"/>
    </row>
    <row r="1885" spans="1:17" ht="16.5" customHeight="1" x14ac:dyDescent="0.2">
      <c r="A1885" s="26"/>
      <c r="B1885" s="26"/>
      <c r="C1885" s="26"/>
      <c r="D1885" s="26"/>
      <c r="E1885" s="26"/>
      <c r="F1885" s="28" t="e">
        <f ca="1">_xludf.ifna(VLOOKUP(G1886,Proyectos!$E$1:$H$4,4,0),"")</f>
        <v>#NAME?</v>
      </c>
      <c r="G1885" s="26"/>
      <c r="H1885" s="32"/>
      <c r="I1885" s="32"/>
      <c r="J1885" s="32"/>
      <c r="K1885" s="32"/>
      <c r="L1885" s="32" t="e">
        <f ca="1">_xludf.ifna(VLOOKUP(G1886,Proyectos!$E$1:$N$4,10,0),"")</f>
        <v>#NAME?</v>
      </c>
      <c r="M1885" s="32"/>
      <c r="N1885" s="32" t="s">
        <v>5905</v>
      </c>
      <c r="O1885" s="32"/>
      <c r="P1885" s="33"/>
      <c r="Q1885" s="33"/>
    </row>
    <row r="1886" spans="1:17" ht="16.5" customHeight="1" x14ac:dyDescent="0.2">
      <c r="A1886" s="26"/>
      <c r="B1886" s="26"/>
      <c r="C1886" s="26"/>
      <c r="D1886" s="26"/>
      <c r="E1886" s="26"/>
      <c r="F1886" s="28" t="e">
        <f ca="1">_xludf.ifna(VLOOKUP(G1887,Proyectos!$E$1:$H$4,4,0),"")</f>
        <v>#NAME?</v>
      </c>
      <c r="G1886" s="26"/>
      <c r="H1886" s="32"/>
      <c r="I1886" s="32"/>
      <c r="J1886" s="32"/>
      <c r="K1886" s="32"/>
      <c r="L1886" s="32" t="e">
        <f ca="1">_xludf.ifna(VLOOKUP(G1887,Proyectos!$E$1:$N$4,10,0),"")</f>
        <v>#NAME?</v>
      </c>
      <c r="M1886" s="32"/>
      <c r="N1886" s="32" t="s">
        <v>5905</v>
      </c>
      <c r="O1886" s="32"/>
      <c r="P1886" s="33"/>
      <c r="Q1886" s="33"/>
    </row>
    <row r="1887" spans="1:17" ht="16.5" customHeight="1" x14ac:dyDescent="0.2">
      <c r="A1887" s="26"/>
      <c r="B1887" s="26"/>
      <c r="C1887" s="26"/>
      <c r="D1887" s="26"/>
      <c r="E1887" s="26"/>
      <c r="F1887" s="28" t="e">
        <f ca="1">_xludf.ifna(VLOOKUP(G1888,Proyectos!$E$1:$H$4,4,0),"")</f>
        <v>#NAME?</v>
      </c>
      <c r="G1887" s="26"/>
      <c r="H1887" s="32"/>
      <c r="I1887" s="32"/>
      <c r="J1887" s="32"/>
      <c r="K1887" s="32"/>
      <c r="L1887" s="32" t="e">
        <f ca="1">_xludf.ifna(VLOOKUP(G1888,Proyectos!$E$1:$N$4,10,0),"")</f>
        <v>#NAME?</v>
      </c>
      <c r="M1887" s="32"/>
      <c r="N1887" s="32" t="s">
        <v>5905</v>
      </c>
      <c r="O1887" s="32"/>
      <c r="P1887" s="33"/>
      <c r="Q1887" s="33"/>
    </row>
    <row r="1888" spans="1:17" ht="16.5" customHeight="1" x14ac:dyDescent="0.2">
      <c r="A1888" s="26"/>
      <c r="B1888" s="26"/>
      <c r="C1888" s="26"/>
      <c r="D1888" s="26"/>
      <c r="E1888" s="26"/>
      <c r="F1888" s="28" t="e">
        <f ca="1">_xludf.ifna(VLOOKUP(G1889,Proyectos!$E$1:$H$4,4,0),"")</f>
        <v>#NAME?</v>
      </c>
      <c r="G1888" s="26"/>
      <c r="H1888" s="32"/>
      <c r="I1888" s="32"/>
      <c r="J1888" s="32"/>
      <c r="K1888" s="32"/>
      <c r="L1888" s="32" t="e">
        <f ca="1">_xludf.ifna(VLOOKUP(G1889,Proyectos!$E$1:$N$4,10,0),"")</f>
        <v>#NAME?</v>
      </c>
      <c r="M1888" s="32"/>
      <c r="N1888" s="32" t="s">
        <v>5905</v>
      </c>
      <c r="O1888" s="32"/>
      <c r="P1888" s="33"/>
      <c r="Q1888" s="33"/>
    </row>
    <row r="1889" spans="1:17" ht="16.5" customHeight="1" x14ac:dyDescent="0.2">
      <c r="A1889" s="26"/>
      <c r="B1889" s="26"/>
      <c r="C1889" s="26"/>
      <c r="D1889" s="26"/>
      <c r="E1889" s="26"/>
      <c r="F1889" s="28" t="e">
        <f ca="1">_xludf.ifna(VLOOKUP(G1890,Proyectos!$E$1:$H$4,4,0),"")</f>
        <v>#NAME?</v>
      </c>
      <c r="G1889" s="26"/>
      <c r="H1889" s="32"/>
      <c r="I1889" s="32"/>
      <c r="J1889" s="32"/>
      <c r="K1889" s="32"/>
      <c r="L1889" s="32" t="e">
        <f ca="1">_xludf.ifna(VLOOKUP(G1890,Proyectos!$E$1:$N$4,10,0),"")</f>
        <v>#NAME?</v>
      </c>
      <c r="M1889" s="32"/>
      <c r="N1889" s="32" t="s">
        <v>5905</v>
      </c>
      <c r="O1889" s="32"/>
      <c r="P1889" s="33"/>
      <c r="Q1889" s="33"/>
    </row>
    <row r="1890" spans="1:17" ht="16.5" customHeight="1" x14ac:dyDescent="0.2">
      <c r="A1890" s="26"/>
      <c r="B1890" s="26"/>
      <c r="C1890" s="26"/>
      <c r="D1890" s="26"/>
      <c r="E1890" s="26"/>
      <c r="F1890" s="28" t="e">
        <f ca="1">_xludf.ifna(VLOOKUP(G1891,Proyectos!$E$1:$H$4,4,0),"")</f>
        <v>#NAME?</v>
      </c>
      <c r="G1890" s="26"/>
      <c r="H1890" s="32"/>
      <c r="I1890" s="32"/>
      <c r="J1890" s="32"/>
      <c r="K1890" s="32"/>
      <c r="L1890" s="32" t="e">
        <f ca="1">_xludf.ifna(VLOOKUP(G1891,Proyectos!$E$1:$N$4,10,0),"")</f>
        <v>#NAME?</v>
      </c>
      <c r="M1890" s="32"/>
      <c r="N1890" s="32" t="s">
        <v>5905</v>
      </c>
      <c r="O1890" s="32"/>
      <c r="P1890" s="33"/>
      <c r="Q1890" s="33"/>
    </row>
    <row r="1891" spans="1:17" ht="16.5" customHeight="1" x14ac:dyDescent="0.2">
      <c r="A1891" s="26"/>
      <c r="B1891" s="26"/>
      <c r="C1891" s="26"/>
      <c r="D1891" s="26"/>
      <c r="E1891" s="26"/>
      <c r="F1891" s="28" t="e">
        <f ca="1">_xludf.ifna(VLOOKUP(G1892,Proyectos!$E$1:$H$4,4,0),"")</f>
        <v>#NAME?</v>
      </c>
      <c r="G1891" s="26"/>
      <c r="H1891" s="32"/>
      <c r="I1891" s="32"/>
      <c r="J1891" s="32"/>
      <c r="K1891" s="32"/>
      <c r="L1891" s="32" t="e">
        <f ca="1">_xludf.ifna(VLOOKUP(G1892,Proyectos!$E$1:$N$4,10,0),"")</f>
        <v>#NAME?</v>
      </c>
      <c r="M1891" s="32"/>
      <c r="N1891" s="32" t="s">
        <v>5905</v>
      </c>
      <c r="O1891" s="32"/>
      <c r="P1891" s="33"/>
      <c r="Q1891" s="33"/>
    </row>
    <row r="1892" spans="1:17" ht="16.5" customHeight="1" x14ac:dyDescent="0.2">
      <c r="A1892" s="26"/>
      <c r="B1892" s="26"/>
      <c r="C1892" s="26"/>
      <c r="D1892" s="26"/>
      <c r="E1892" s="26"/>
      <c r="F1892" s="28" t="e">
        <f ca="1">_xludf.ifna(VLOOKUP(G1893,Proyectos!$E$1:$H$4,4,0),"")</f>
        <v>#NAME?</v>
      </c>
      <c r="G1892" s="26"/>
      <c r="H1892" s="32"/>
      <c r="I1892" s="32"/>
      <c r="J1892" s="32"/>
      <c r="K1892" s="32"/>
      <c r="L1892" s="32" t="e">
        <f ca="1">_xludf.ifna(VLOOKUP(G1893,Proyectos!$E$1:$N$4,10,0),"")</f>
        <v>#NAME?</v>
      </c>
      <c r="M1892" s="32"/>
      <c r="N1892" s="32" t="s">
        <v>5905</v>
      </c>
      <c r="O1892" s="32"/>
      <c r="P1892" s="33"/>
      <c r="Q1892" s="33"/>
    </row>
    <row r="1893" spans="1:17" ht="16.5" customHeight="1" x14ac:dyDescent="0.2">
      <c r="A1893" s="26"/>
      <c r="B1893" s="26"/>
      <c r="C1893" s="26"/>
      <c r="D1893" s="26"/>
      <c r="E1893" s="26"/>
      <c r="F1893" s="28" t="e">
        <f ca="1">_xludf.ifna(VLOOKUP(G1894,Proyectos!$E$1:$H$4,4,0),"")</f>
        <v>#NAME?</v>
      </c>
      <c r="G1893" s="26"/>
      <c r="H1893" s="32"/>
      <c r="I1893" s="32"/>
      <c r="J1893" s="32"/>
      <c r="K1893" s="32"/>
      <c r="L1893" s="32" t="e">
        <f ca="1">_xludf.ifna(VLOOKUP(G1894,Proyectos!$E$1:$N$4,10,0),"")</f>
        <v>#NAME?</v>
      </c>
      <c r="M1893" s="32"/>
      <c r="N1893" s="32" t="s">
        <v>5905</v>
      </c>
      <c r="O1893" s="32"/>
      <c r="P1893" s="33"/>
      <c r="Q1893" s="33"/>
    </row>
    <row r="1894" spans="1:17" ht="16.5" customHeight="1" x14ac:dyDescent="0.2">
      <c r="A1894" s="26"/>
      <c r="B1894" s="26"/>
      <c r="C1894" s="26"/>
      <c r="D1894" s="26"/>
      <c r="E1894" s="26"/>
      <c r="F1894" s="28" t="e">
        <f ca="1">_xludf.ifna(VLOOKUP(G1895,Proyectos!$E$1:$H$4,4,0),"")</f>
        <v>#NAME?</v>
      </c>
      <c r="G1894" s="26"/>
      <c r="H1894" s="32"/>
      <c r="I1894" s="32"/>
      <c r="J1894" s="32"/>
      <c r="K1894" s="32"/>
      <c r="L1894" s="32" t="e">
        <f ca="1">_xludf.ifna(VLOOKUP(G1895,Proyectos!$E$1:$N$4,10,0),"")</f>
        <v>#NAME?</v>
      </c>
      <c r="M1894" s="32"/>
      <c r="N1894" s="32" t="s">
        <v>5905</v>
      </c>
      <c r="O1894" s="32"/>
      <c r="P1894" s="33"/>
      <c r="Q1894" s="33"/>
    </row>
    <row r="1895" spans="1:17" ht="16.5" customHeight="1" x14ac:dyDescent="0.2">
      <c r="A1895" s="26"/>
      <c r="B1895" s="26"/>
      <c r="C1895" s="26"/>
      <c r="D1895" s="26"/>
      <c r="E1895" s="26"/>
      <c r="F1895" s="28" t="e">
        <f ca="1">_xludf.ifna(VLOOKUP(G1896,Proyectos!$E$1:$H$4,4,0),"")</f>
        <v>#NAME?</v>
      </c>
      <c r="G1895" s="26"/>
      <c r="H1895" s="32"/>
      <c r="I1895" s="32"/>
      <c r="J1895" s="32"/>
      <c r="K1895" s="32"/>
      <c r="L1895" s="32" t="e">
        <f ca="1">_xludf.ifna(VLOOKUP(G1896,Proyectos!$E$1:$N$4,10,0),"")</f>
        <v>#NAME?</v>
      </c>
      <c r="M1895" s="32"/>
      <c r="N1895" s="32" t="s">
        <v>5905</v>
      </c>
      <c r="O1895" s="32"/>
      <c r="P1895" s="33"/>
      <c r="Q1895" s="33"/>
    </row>
    <row r="1896" spans="1:17" ht="16.5" customHeight="1" x14ac:dyDescent="0.2">
      <c r="A1896" s="26"/>
      <c r="B1896" s="26"/>
      <c r="C1896" s="26"/>
      <c r="D1896" s="26"/>
      <c r="E1896" s="26"/>
      <c r="F1896" s="28" t="e">
        <f ca="1">_xludf.ifna(VLOOKUP(G1897,Proyectos!$E$1:$H$4,4,0),"")</f>
        <v>#NAME?</v>
      </c>
      <c r="G1896" s="26"/>
      <c r="H1896" s="32"/>
      <c r="I1896" s="32"/>
      <c r="J1896" s="32"/>
      <c r="K1896" s="32"/>
      <c r="L1896" s="32" t="e">
        <f ca="1">_xludf.ifna(VLOOKUP(G1897,Proyectos!$E$1:$N$4,10,0),"")</f>
        <v>#NAME?</v>
      </c>
      <c r="M1896" s="32"/>
      <c r="N1896" s="32" t="s">
        <v>5905</v>
      </c>
      <c r="O1896" s="32"/>
      <c r="P1896" s="33"/>
      <c r="Q1896" s="33"/>
    </row>
    <row r="1897" spans="1:17" ht="16.5" customHeight="1" x14ac:dyDescent="0.2">
      <c r="A1897" s="26"/>
      <c r="B1897" s="26"/>
      <c r="C1897" s="26"/>
      <c r="D1897" s="26"/>
      <c r="E1897" s="26"/>
      <c r="F1897" s="28" t="e">
        <f ca="1">_xludf.ifna(VLOOKUP(G1898,Proyectos!$E$1:$H$4,4,0),"")</f>
        <v>#NAME?</v>
      </c>
      <c r="G1897" s="26"/>
      <c r="H1897" s="32"/>
      <c r="I1897" s="32"/>
      <c r="J1897" s="32"/>
      <c r="K1897" s="32"/>
      <c r="L1897" s="32" t="e">
        <f ca="1">_xludf.ifna(VLOOKUP(G1898,Proyectos!$E$1:$N$4,10,0),"")</f>
        <v>#NAME?</v>
      </c>
      <c r="M1897" s="32"/>
      <c r="N1897" s="32" t="s">
        <v>5905</v>
      </c>
      <c r="O1897" s="32"/>
      <c r="P1897" s="33"/>
      <c r="Q1897" s="33"/>
    </row>
    <row r="1898" spans="1:17" ht="16.5" customHeight="1" x14ac:dyDescent="0.2">
      <c r="A1898" s="26"/>
      <c r="B1898" s="26"/>
      <c r="C1898" s="26"/>
      <c r="D1898" s="26"/>
      <c r="E1898" s="26"/>
      <c r="F1898" s="28" t="e">
        <f ca="1">_xludf.ifna(VLOOKUP(G1899,Proyectos!$E$1:$H$4,4,0),"")</f>
        <v>#NAME?</v>
      </c>
      <c r="G1898" s="26"/>
      <c r="H1898" s="32"/>
      <c r="I1898" s="32"/>
      <c r="J1898" s="32"/>
      <c r="K1898" s="32"/>
      <c r="L1898" s="32" t="e">
        <f ca="1">_xludf.ifna(VLOOKUP(G1899,Proyectos!$E$1:$N$4,10,0),"")</f>
        <v>#NAME?</v>
      </c>
      <c r="M1898" s="32"/>
      <c r="N1898" s="32" t="s">
        <v>5905</v>
      </c>
      <c r="O1898" s="32"/>
      <c r="P1898" s="33"/>
      <c r="Q1898" s="33"/>
    </row>
    <row r="1899" spans="1:17" ht="16.5" customHeight="1" x14ac:dyDescent="0.2">
      <c r="A1899" s="26"/>
      <c r="B1899" s="26"/>
      <c r="C1899" s="26"/>
      <c r="D1899" s="26"/>
      <c r="E1899" s="26"/>
      <c r="F1899" s="28" t="e">
        <f ca="1">_xludf.ifna(VLOOKUP(G1900,Proyectos!$E$1:$H$4,4,0),"")</f>
        <v>#NAME?</v>
      </c>
      <c r="G1899" s="26"/>
      <c r="H1899" s="32"/>
      <c r="I1899" s="32"/>
      <c r="J1899" s="32"/>
      <c r="K1899" s="32"/>
      <c r="L1899" s="32" t="e">
        <f ca="1">_xludf.ifna(VLOOKUP(G1900,Proyectos!$E$1:$N$4,10,0),"")</f>
        <v>#NAME?</v>
      </c>
      <c r="M1899" s="32"/>
      <c r="N1899" s="32" t="s">
        <v>5905</v>
      </c>
      <c r="O1899" s="32"/>
      <c r="P1899" s="33"/>
      <c r="Q1899" s="33"/>
    </row>
    <row r="1900" spans="1:17" ht="16.5" customHeight="1" x14ac:dyDescent="0.2">
      <c r="A1900" s="26"/>
      <c r="B1900" s="26"/>
      <c r="C1900" s="26"/>
      <c r="D1900" s="26"/>
      <c r="E1900" s="26"/>
      <c r="F1900" s="28" t="e">
        <f ca="1">_xludf.ifna(VLOOKUP(G1901,Proyectos!$E$1:$H$4,4,0),"")</f>
        <v>#NAME?</v>
      </c>
      <c r="G1900" s="26"/>
      <c r="H1900" s="32"/>
      <c r="I1900" s="32"/>
      <c r="J1900" s="32"/>
      <c r="K1900" s="32"/>
      <c r="L1900" s="32" t="e">
        <f ca="1">_xludf.ifna(VLOOKUP(G1901,Proyectos!$E$1:$N$4,10,0),"")</f>
        <v>#NAME?</v>
      </c>
      <c r="M1900" s="32"/>
      <c r="N1900" s="32" t="s">
        <v>5905</v>
      </c>
      <c r="O1900" s="32"/>
      <c r="P1900" s="33"/>
      <c r="Q1900" s="33"/>
    </row>
    <row r="1901" spans="1:17" ht="16.5" customHeight="1" x14ac:dyDescent="0.2">
      <c r="A1901" s="26"/>
      <c r="B1901" s="26"/>
      <c r="C1901" s="26"/>
      <c r="D1901" s="26"/>
      <c r="E1901" s="26"/>
      <c r="F1901" s="28" t="e">
        <f ca="1">_xludf.ifna(VLOOKUP(G1902,Proyectos!$E$1:$H$4,4,0),"")</f>
        <v>#NAME?</v>
      </c>
      <c r="G1901" s="26"/>
      <c r="H1901" s="32"/>
      <c r="I1901" s="32"/>
      <c r="J1901" s="32"/>
      <c r="K1901" s="32"/>
      <c r="L1901" s="32" t="e">
        <f ca="1">_xludf.ifna(VLOOKUP(G1902,Proyectos!$E$1:$N$4,10,0),"")</f>
        <v>#NAME?</v>
      </c>
      <c r="M1901" s="32"/>
      <c r="N1901" s="32" t="s">
        <v>5905</v>
      </c>
      <c r="O1901" s="32"/>
      <c r="P1901" s="33"/>
      <c r="Q1901" s="33"/>
    </row>
    <row r="1902" spans="1:17" ht="16.5" customHeight="1" x14ac:dyDescent="0.2">
      <c r="A1902" s="26"/>
      <c r="B1902" s="26"/>
      <c r="C1902" s="26"/>
      <c r="D1902" s="26"/>
      <c r="E1902" s="26"/>
      <c r="F1902" s="28" t="e">
        <f ca="1">_xludf.ifna(VLOOKUP(G1903,Proyectos!$E$1:$H$4,4,0),"")</f>
        <v>#NAME?</v>
      </c>
      <c r="G1902" s="26"/>
      <c r="H1902" s="32"/>
      <c r="I1902" s="32"/>
      <c r="J1902" s="32"/>
      <c r="K1902" s="32"/>
      <c r="L1902" s="32" t="e">
        <f ca="1">_xludf.ifna(VLOOKUP(G1903,Proyectos!$E$1:$N$4,10,0),"")</f>
        <v>#NAME?</v>
      </c>
      <c r="M1902" s="32"/>
      <c r="N1902" s="32" t="s">
        <v>5905</v>
      </c>
      <c r="O1902" s="32"/>
      <c r="P1902" s="33"/>
      <c r="Q1902" s="33"/>
    </row>
    <row r="1903" spans="1:17" ht="16.5" customHeight="1" x14ac:dyDescent="0.2">
      <c r="A1903" s="26"/>
      <c r="B1903" s="26"/>
      <c r="C1903" s="26"/>
      <c r="D1903" s="26"/>
      <c r="E1903" s="26"/>
      <c r="F1903" s="28" t="e">
        <f ca="1">_xludf.ifna(VLOOKUP(G1904,Proyectos!$E$1:$H$4,4,0),"")</f>
        <v>#NAME?</v>
      </c>
      <c r="G1903" s="26"/>
      <c r="H1903" s="32"/>
      <c r="I1903" s="32"/>
      <c r="J1903" s="32"/>
      <c r="K1903" s="32"/>
      <c r="L1903" s="32" t="e">
        <f ca="1">_xludf.ifna(VLOOKUP(G1904,Proyectos!$E$1:$N$4,10,0),"")</f>
        <v>#NAME?</v>
      </c>
      <c r="M1903" s="32"/>
      <c r="N1903" s="32" t="s">
        <v>5905</v>
      </c>
      <c r="O1903" s="32"/>
      <c r="P1903" s="33"/>
      <c r="Q1903" s="33"/>
    </row>
    <row r="1904" spans="1:17" ht="16.5" customHeight="1" x14ac:dyDescent="0.2">
      <c r="A1904" s="26"/>
      <c r="B1904" s="26"/>
      <c r="C1904" s="26"/>
      <c r="D1904" s="26"/>
      <c r="E1904" s="26"/>
      <c r="F1904" s="28" t="e">
        <f ca="1">_xludf.ifna(VLOOKUP(G1905,Proyectos!$E$1:$H$4,4,0),"")</f>
        <v>#NAME?</v>
      </c>
      <c r="G1904" s="26"/>
      <c r="H1904" s="32"/>
      <c r="I1904" s="32"/>
      <c r="J1904" s="32"/>
      <c r="K1904" s="32"/>
      <c r="L1904" s="32" t="e">
        <f ca="1">_xludf.ifna(VLOOKUP(G1905,Proyectos!$E$1:$N$4,10,0),"")</f>
        <v>#NAME?</v>
      </c>
      <c r="M1904" s="32"/>
      <c r="N1904" s="32" t="s">
        <v>5905</v>
      </c>
      <c r="O1904" s="32"/>
      <c r="P1904" s="33"/>
      <c r="Q1904" s="33"/>
    </row>
    <row r="1905" spans="1:17" ht="16.5" customHeight="1" x14ac:dyDescent="0.2">
      <c r="A1905" s="26"/>
      <c r="B1905" s="26"/>
      <c r="C1905" s="26"/>
      <c r="D1905" s="26"/>
      <c r="E1905" s="26"/>
      <c r="F1905" s="28" t="e">
        <f ca="1">_xludf.ifna(VLOOKUP(G1906,Proyectos!$E$1:$H$4,4,0),"")</f>
        <v>#NAME?</v>
      </c>
      <c r="G1905" s="26"/>
      <c r="H1905" s="32"/>
      <c r="I1905" s="32"/>
      <c r="J1905" s="32"/>
      <c r="K1905" s="32"/>
      <c r="L1905" s="32" t="e">
        <f ca="1">_xludf.ifna(VLOOKUP(G1906,Proyectos!$E$1:$N$4,10,0),"")</f>
        <v>#NAME?</v>
      </c>
      <c r="M1905" s="32"/>
      <c r="N1905" s="32" t="s">
        <v>5905</v>
      </c>
      <c r="O1905" s="32"/>
      <c r="P1905" s="33"/>
      <c r="Q1905" s="33"/>
    </row>
    <row r="1906" spans="1:17" ht="16.5" customHeight="1" x14ac:dyDescent="0.2">
      <c r="A1906" s="26"/>
      <c r="B1906" s="26"/>
      <c r="C1906" s="26"/>
      <c r="D1906" s="26"/>
      <c r="E1906" s="26"/>
      <c r="F1906" s="28" t="e">
        <f ca="1">_xludf.ifna(VLOOKUP(G1907,Proyectos!$E$1:$H$4,4,0),"")</f>
        <v>#NAME?</v>
      </c>
      <c r="G1906" s="26"/>
      <c r="H1906" s="32"/>
      <c r="I1906" s="32"/>
      <c r="J1906" s="32"/>
      <c r="K1906" s="32"/>
      <c r="L1906" s="32" t="e">
        <f ca="1">_xludf.ifna(VLOOKUP(G1907,Proyectos!$E$1:$N$4,10,0),"")</f>
        <v>#NAME?</v>
      </c>
      <c r="M1906" s="32"/>
      <c r="N1906" s="32" t="s">
        <v>5905</v>
      </c>
      <c r="O1906" s="32"/>
      <c r="P1906" s="33"/>
      <c r="Q1906" s="33"/>
    </row>
    <row r="1907" spans="1:17" ht="16.5" customHeight="1" x14ac:dyDescent="0.2">
      <c r="A1907" s="26"/>
      <c r="B1907" s="26"/>
      <c r="C1907" s="26"/>
      <c r="D1907" s="26"/>
      <c r="E1907" s="26"/>
      <c r="F1907" s="28" t="e">
        <f ca="1">_xludf.ifna(VLOOKUP(G1908,Proyectos!$E$1:$H$4,4,0),"")</f>
        <v>#NAME?</v>
      </c>
      <c r="G1907" s="26"/>
      <c r="H1907" s="32"/>
      <c r="I1907" s="32"/>
      <c r="J1907" s="32"/>
      <c r="K1907" s="32"/>
      <c r="L1907" s="32" t="e">
        <f ca="1">_xludf.ifna(VLOOKUP(G1908,Proyectos!$E$1:$N$4,10,0),"")</f>
        <v>#NAME?</v>
      </c>
      <c r="M1907" s="32"/>
      <c r="N1907" s="32" t="s">
        <v>5905</v>
      </c>
      <c r="O1907" s="32"/>
      <c r="P1907" s="33"/>
      <c r="Q1907" s="33"/>
    </row>
    <row r="1908" spans="1:17" ht="16.5" customHeight="1" x14ac:dyDescent="0.2">
      <c r="A1908" s="26"/>
      <c r="B1908" s="26"/>
      <c r="C1908" s="26"/>
      <c r="D1908" s="26"/>
      <c r="E1908" s="26"/>
      <c r="F1908" s="28" t="e">
        <f ca="1">_xludf.ifna(VLOOKUP(G1909,Proyectos!$E$1:$H$4,4,0),"")</f>
        <v>#NAME?</v>
      </c>
      <c r="G1908" s="26"/>
      <c r="H1908" s="32"/>
      <c r="I1908" s="32"/>
      <c r="J1908" s="32"/>
      <c r="K1908" s="32"/>
      <c r="L1908" s="32" t="e">
        <f ca="1">_xludf.ifna(VLOOKUP(G1909,Proyectos!$E$1:$N$4,10,0),"")</f>
        <v>#NAME?</v>
      </c>
      <c r="M1908" s="32"/>
      <c r="N1908" s="32" t="s">
        <v>5905</v>
      </c>
      <c r="O1908" s="32"/>
      <c r="P1908" s="33"/>
      <c r="Q1908" s="33"/>
    </row>
    <row r="1909" spans="1:17" ht="16.5" customHeight="1" x14ac:dyDescent="0.2">
      <c r="A1909" s="26"/>
      <c r="B1909" s="26"/>
      <c r="C1909" s="26"/>
      <c r="D1909" s="26"/>
      <c r="E1909" s="26"/>
      <c r="F1909" s="28" t="e">
        <f ca="1">_xludf.ifna(VLOOKUP(G1910,Proyectos!$E$1:$H$4,4,0),"")</f>
        <v>#NAME?</v>
      </c>
      <c r="G1909" s="26"/>
      <c r="H1909" s="32"/>
      <c r="I1909" s="32"/>
      <c r="J1909" s="32"/>
      <c r="K1909" s="32"/>
      <c r="L1909" s="32" t="e">
        <f ca="1">_xludf.ifna(VLOOKUP(G1910,Proyectos!$E$1:$N$4,10,0),"")</f>
        <v>#NAME?</v>
      </c>
      <c r="M1909" s="32"/>
      <c r="N1909" s="32" t="s">
        <v>5905</v>
      </c>
      <c r="O1909" s="32"/>
      <c r="P1909" s="33"/>
      <c r="Q1909" s="33"/>
    </row>
    <row r="1910" spans="1:17" ht="16.5" customHeight="1" x14ac:dyDescent="0.2">
      <c r="A1910" s="26"/>
      <c r="B1910" s="26"/>
      <c r="C1910" s="26"/>
      <c r="D1910" s="26"/>
      <c r="E1910" s="26"/>
      <c r="F1910" s="28" t="e">
        <f ca="1">_xludf.ifna(VLOOKUP(G1911,Proyectos!$E$1:$H$4,4,0),"")</f>
        <v>#NAME?</v>
      </c>
      <c r="G1910" s="26"/>
      <c r="H1910" s="32"/>
      <c r="I1910" s="32"/>
      <c r="J1910" s="32"/>
      <c r="K1910" s="32"/>
      <c r="L1910" s="32" t="e">
        <f ca="1">_xludf.ifna(VLOOKUP(G1911,Proyectos!$E$1:$N$4,10,0),"")</f>
        <v>#NAME?</v>
      </c>
      <c r="M1910" s="32"/>
      <c r="N1910" s="32" t="s">
        <v>5905</v>
      </c>
      <c r="O1910" s="32"/>
      <c r="P1910" s="33"/>
      <c r="Q1910" s="33"/>
    </row>
    <row r="1911" spans="1:17" ht="16.5" customHeight="1" x14ac:dyDescent="0.2">
      <c r="A1911" s="26"/>
      <c r="B1911" s="26"/>
      <c r="C1911" s="26"/>
      <c r="D1911" s="26"/>
      <c r="E1911" s="26"/>
      <c r="F1911" s="28" t="e">
        <f ca="1">_xludf.ifna(VLOOKUP(G1912,Proyectos!$E$1:$H$4,4,0),"")</f>
        <v>#NAME?</v>
      </c>
      <c r="G1911" s="26"/>
      <c r="H1911" s="32"/>
      <c r="I1911" s="32"/>
      <c r="J1911" s="32"/>
      <c r="K1911" s="32"/>
      <c r="L1911" s="32" t="e">
        <f ca="1">_xludf.ifna(VLOOKUP(G1912,Proyectos!$E$1:$N$4,10,0),"")</f>
        <v>#NAME?</v>
      </c>
      <c r="M1911" s="32"/>
      <c r="N1911" s="32" t="s">
        <v>5905</v>
      </c>
      <c r="O1911" s="32"/>
      <c r="P1911" s="33"/>
      <c r="Q1911" s="33"/>
    </row>
    <row r="1912" spans="1:17" ht="16.5" customHeight="1" x14ac:dyDescent="0.2">
      <c r="A1912" s="26"/>
      <c r="B1912" s="26"/>
      <c r="C1912" s="26"/>
      <c r="D1912" s="26"/>
      <c r="E1912" s="26"/>
      <c r="F1912" s="28" t="e">
        <f ca="1">_xludf.ifna(VLOOKUP(G1913,Proyectos!$E$1:$H$4,4,0),"")</f>
        <v>#NAME?</v>
      </c>
      <c r="G1912" s="26"/>
      <c r="H1912" s="32"/>
      <c r="I1912" s="32"/>
      <c r="J1912" s="32"/>
      <c r="K1912" s="32"/>
      <c r="L1912" s="32" t="e">
        <f ca="1">_xludf.ifna(VLOOKUP(G1913,Proyectos!$E$1:$N$4,10,0),"")</f>
        <v>#NAME?</v>
      </c>
      <c r="M1912" s="32"/>
      <c r="N1912" s="32" t="s">
        <v>5905</v>
      </c>
      <c r="O1912" s="32"/>
      <c r="P1912" s="33"/>
      <c r="Q1912" s="33"/>
    </row>
    <row r="1913" spans="1:17" ht="16.5" customHeight="1" x14ac:dyDescent="0.2">
      <c r="A1913" s="26"/>
      <c r="B1913" s="26"/>
      <c r="C1913" s="26"/>
      <c r="D1913" s="26"/>
      <c r="E1913" s="26"/>
      <c r="F1913" s="28" t="e">
        <f ca="1">_xludf.ifna(VLOOKUP(G1914,Proyectos!$E$1:$H$4,4,0),"")</f>
        <v>#NAME?</v>
      </c>
      <c r="G1913" s="26"/>
      <c r="H1913" s="32"/>
      <c r="I1913" s="32"/>
      <c r="J1913" s="32"/>
      <c r="K1913" s="32"/>
      <c r="L1913" s="32" t="e">
        <f ca="1">_xludf.ifna(VLOOKUP(G1914,Proyectos!$E$1:$N$4,10,0),"")</f>
        <v>#NAME?</v>
      </c>
      <c r="M1913" s="32"/>
      <c r="N1913" s="32" t="s">
        <v>5905</v>
      </c>
      <c r="O1913" s="32"/>
      <c r="P1913" s="33"/>
      <c r="Q1913" s="33"/>
    </row>
    <row r="1914" spans="1:17" ht="16.5" customHeight="1" x14ac:dyDescent="0.2">
      <c r="A1914" s="26"/>
      <c r="B1914" s="26"/>
      <c r="C1914" s="26"/>
      <c r="D1914" s="26"/>
      <c r="E1914" s="26"/>
      <c r="F1914" s="28" t="e">
        <f ca="1">_xludf.ifna(VLOOKUP(G1915,Proyectos!$E$1:$H$4,4,0),"")</f>
        <v>#NAME?</v>
      </c>
      <c r="G1914" s="26"/>
      <c r="H1914" s="32"/>
      <c r="I1914" s="32"/>
      <c r="J1914" s="32"/>
      <c r="K1914" s="32"/>
      <c r="L1914" s="32" t="e">
        <f ca="1">_xludf.ifna(VLOOKUP(G1915,Proyectos!$E$1:$N$4,10,0),"")</f>
        <v>#NAME?</v>
      </c>
      <c r="M1914" s="32"/>
      <c r="N1914" s="32" t="s">
        <v>5905</v>
      </c>
      <c r="O1914" s="32"/>
      <c r="P1914" s="33"/>
      <c r="Q1914" s="33"/>
    </row>
    <row r="1915" spans="1:17" ht="16.5" customHeight="1" x14ac:dyDescent="0.2">
      <c r="A1915" s="26"/>
      <c r="B1915" s="26"/>
      <c r="C1915" s="26"/>
      <c r="D1915" s="26"/>
      <c r="E1915" s="26"/>
      <c r="F1915" s="28" t="e">
        <f ca="1">_xludf.ifna(VLOOKUP(G1916,Proyectos!$E$1:$H$4,4,0),"")</f>
        <v>#NAME?</v>
      </c>
      <c r="G1915" s="26"/>
      <c r="H1915" s="32"/>
      <c r="I1915" s="32"/>
      <c r="J1915" s="32"/>
      <c r="K1915" s="32"/>
      <c r="L1915" s="32" t="e">
        <f ca="1">_xludf.ifna(VLOOKUP(G1916,Proyectos!$E$1:$N$4,10,0),"")</f>
        <v>#NAME?</v>
      </c>
      <c r="M1915" s="32"/>
      <c r="N1915" s="32" t="s">
        <v>5905</v>
      </c>
      <c r="O1915" s="32"/>
      <c r="P1915" s="33"/>
      <c r="Q1915" s="33"/>
    </row>
    <row r="1916" spans="1:17" ht="16.5" customHeight="1" x14ac:dyDescent="0.2">
      <c r="A1916" s="26"/>
      <c r="B1916" s="26"/>
      <c r="C1916" s="26"/>
      <c r="D1916" s="26"/>
      <c r="E1916" s="26"/>
      <c r="F1916" s="28" t="e">
        <f ca="1">_xludf.ifna(VLOOKUP(G1917,Proyectos!$E$1:$H$4,4,0),"")</f>
        <v>#NAME?</v>
      </c>
      <c r="G1916" s="26"/>
      <c r="H1916" s="32"/>
      <c r="I1916" s="32"/>
      <c r="J1916" s="32"/>
      <c r="K1916" s="32"/>
      <c r="L1916" s="32" t="e">
        <f ca="1">_xludf.ifna(VLOOKUP(G1917,Proyectos!$E$1:$N$4,10,0),"")</f>
        <v>#NAME?</v>
      </c>
      <c r="M1916" s="32"/>
      <c r="N1916" s="32" t="s">
        <v>5905</v>
      </c>
      <c r="O1916" s="32"/>
      <c r="P1916" s="33"/>
      <c r="Q1916" s="33"/>
    </row>
    <row r="1917" spans="1:17" ht="16.5" customHeight="1" x14ac:dyDescent="0.2">
      <c r="A1917" s="26"/>
      <c r="B1917" s="26"/>
      <c r="C1917" s="26"/>
      <c r="D1917" s="26"/>
      <c r="E1917" s="26"/>
      <c r="F1917" s="28" t="e">
        <f ca="1">_xludf.ifna(VLOOKUP(G1918,Proyectos!$E$1:$H$4,4,0),"")</f>
        <v>#NAME?</v>
      </c>
      <c r="G1917" s="26"/>
      <c r="H1917" s="32"/>
      <c r="I1917" s="32"/>
      <c r="J1917" s="32"/>
      <c r="K1917" s="32"/>
      <c r="L1917" s="32" t="e">
        <f ca="1">_xludf.ifna(VLOOKUP(G1918,Proyectos!$E$1:$N$4,10,0),"")</f>
        <v>#NAME?</v>
      </c>
      <c r="M1917" s="32"/>
      <c r="N1917" s="32" t="s">
        <v>5905</v>
      </c>
      <c r="O1917" s="32"/>
      <c r="P1917" s="33"/>
      <c r="Q1917" s="33"/>
    </row>
    <row r="1918" spans="1:17" ht="16.5" customHeight="1" x14ac:dyDescent="0.2">
      <c r="A1918" s="26"/>
      <c r="B1918" s="26"/>
      <c r="C1918" s="26"/>
      <c r="D1918" s="26"/>
      <c r="E1918" s="26"/>
      <c r="F1918" s="28" t="e">
        <f ca="1">_xludf.ifna(VLOOKUP(G1919,Proyectos!$E$1:$H$4,4,0),"")</f>
        <v>#NAME?</v>
      </c>
      <c r="G1918" s="26"/>
      <c r="H1918" s="32"/>
      <c r="I1918" s="32"/>
      <c r="J1918" s="32"/>
      <c r="K1918" s="32"/>
      <c r="L1918" s="32" t="e">
        <f ca="1">_xludf.ifna(VLOOKUP(G1919,Proyectos!$E$1:$N$4,10,0),"")</f>
        <v>#NAME?</v>
      </c>
      <c r="M1918" s="32"/>
      <c r="N1918" s="32" t="s">
        <v>5905</v>
      </c>
      <c r="O1918" s="32"/>
      <c r="P1918" s="33"/>
      <c r="Q1918" s="33"/>
    </row>
    <row r="1919" spans="1:17" ht="16.5" customHeight="1" x14ac:dyDescent="0.2">
      <c r="A1919" s="26"/>
      <c r="B1919" s="26"/>
      <c r="C1919" s="26"/>
      <c r="D1919" s="26"/>
      <c r="E1919" s="26"/>
      <c r="F1919" s="28" t="e">
        <f ca="1">_xludf.ifna(VLOOKUP(G1920,Proyectos!$E$1:$H$4,4,0),"")</f>
        <v>#NAME?</v>
      </c>
      <c r="G1919" s="26"/>
      <c r="H1919" s="32"/>
      <c r="I1919" s="32"/>
      <c r="J1919" s="32"/>
      <c r="K1919" s="32"/>
      <c r="L1919" s="32" t="e">
        <f ca="1">_xludf.ifna(VLOOKUP(G1920,Proyectos!$E$1:$N$4,10,0),"")</f>
        <v>#NAME?</v>
      </c>
      <c r="M1919" s="32"/>
      <c r="N1919" s="32" t="s">
        <v>5905</v>
      </c>
      <c r="O1919" s="32"/>
      <c r="P1919" s="33"/>
      <c r="Q1919" s="33"/>
    </row>
    <row r="1920" spans="1:17" ht="16.5" customHeight="1" x14ac:dyDescent="0.2">
      <c r="A1920" s="26"/>
      <c r="B1920" s="26"/>
      <c r="C1920" s="26"/>
      <c r="D1920" s="26"/>
      <c r="E1920" s="26"/>
      <c r="F1920" s="28" t="e">
        <f ca="1">_xludf.ifna(VLOOKUP(G1921,Proyectos!$E$1:$H$4,4,0),"")</f>
        <v>#NAME?</v>
      </c>
      <c r="G1920" s="26"/>
      <c r="H1920" s="32"/>
      <c r="I1920" s="32"/>
      <c r="J1920" s="32"/>
      <c r="K1920" s="32"/>
      <c r="L1920" s="32" t="e">
        <f ca="1">_xludf.ifna(VLOOKUP(G1921,Proyectos!$E$1:$N$4,10,0),"")</f>
        <v>#NAME?</v>
      </c>
      <c r="M1920" s="32"/>
      <c r="N1920" s="32" t="s">
        <v>5905</v>
      </c>
      <c r="O1920" s="32"/>
      <c r="P1920" s="33"/>
      <c r="Q1920" s="33"/>
    </row>
    <row r="1921" spans="1:17" ht="16.5" customHeight="1" x14ac:dyDescent="0.2">
      <c r="A1921" s="26"/>
      <c r="B1921" s="26"/>
      <c r="C1921" s="26"/>
      <c r="D1921" s="26"/>
      <c r="E1921" s="26"/>
      <c r="F1921" s="28" t="e">
        <f ca="1">_xludf.ifna(VLOOKUP(G1922,Proyectos!$E$1:$H$4,4,0),"")</f>
        <v>#NAME?</v>
      </c>
      <c r="G1921" s="26"/>
      <c r="H1921" s="32"/>
      <c r="I1921" s="32"/>
      <c r="J1921" s="32"/>
      <c r="K1921" s="32"/>
      <c r="L1921" s="32" t="e">
        <f ca="1">_xludf.ifna(VLOOKUP(G1922,Proyectos!$E$1:$N$4,10,0),"")</f>
        <v>#NAME?</v>
      </c>
      <c r="M1921" s="32"/>
      <c r="N1921" s="32" t="s">
        <v>5905</v>
      </c>
      <c r="O1921" s="32"/>
      <c r="P1921" s="33"/>
      <c r="Q1921" s="33"/>
    </row>
    <row r="1922" spans="1:17" ht="16.5" customHeight="1" x14ac:dyDescent="0.2">
      <c r="A1922" s="26"/>
      <c r="B1922" s="26"/>
      <c r="C1922" s="26"/>
      <c r="D1922" s="26"/>
      <c r="E1922" s="26"/>
      <c r="F1922" s="28" t="e">
        <f ca="1">_xludf.ifna(VLOOKUP(G1923,Proyectos!$E$1:$H$4,4,0),"")</f>
        <v>#NAME?</v>
      </c>
      <c r="G1922" s="26"/>
      <c r="H1922" s="32"/>
      <c r="I1922" s="32"/>
      <c r="J1922" s="32"/>
      <c r="K1922" s="32"/>
      <c r="L1922" s="32" t="e">
        <f ca="1">_xludf.ifna(VLOOKUP(G1923,Proyectos!$E$1:$N$4,10,0),"")</f>
        <v>#NAME?</v>
      </c>
      <c r="M1922" s="32"/>
      <c r="N1922" s="32" t="s">
        <v>5905</v>
      </c>
      <c r="O1922" s="32"/>
      <c r="P1922" s="33"/>
      <c r="Q1922" s="33"/>
    </row>
    <row r="1923" spans="1:17" ht="16.5" customHeight="1" x14ac:dyDescent="0.2">
      <c r="A1923" s="26"/>
      <c r="B1923" s="26"/>
      <c r="C1923" s="26"/>
      <c r="D1923" s="26"/>
      <c r="E1923" s="26"/>
      <c r="F1923" s="28" t="e">
        <f ca="1">_xludf.ifna(VLOOKUP(G1924,Proyectos!$E$1:$H$4,4,0),"")</f>
        <v>#NAME?</v>
      </c>
      <c r="G1923" s="26"/>
      <c r="H1923" s="32"/>
      <c r="I1923" s="32"/>
      <c r="J1923" s="32"/>
      <c r="K1923" s="32"/>
      <c r="L1923" s="32" t="e">
        <f ca="1">_xludf.ifna(VLOOKUP(G1924,Proyectos!$E$1:$N$4,10,0),"")</f>
        <v>#NAME?</v>
      </c>
      <c r="M1923" s="32"/>
      <c r="N1923" s="32" t="s">
        <v>5905</v>
      </c>
      <c r="O1923" s="32"/>
      <c r="P1923" s="33"/>
      <c r="Q1923" s="33"/>
    </row>
    <row r="1924" spans="1:17" ht="16.5" customHeight="1" x14ac:dyDescent="0.2">
      <c r="A1924" s="26"/>
      <c r="B1924" s="26"/>
      <c r="C1924" s="26"/>
      <c r="D1924" s="26"/>
      <c r="E1924" s="26"/>
      <c r="F1924" s="28" t="e">
        <f ca="1">_xludf.ifna(VLOOKUP(G1925,Proyectos!$E$1:$H$4,4,0),"")</f>
        <v>#NAME?</v>
      </c>
      <c r="G1924" s="26"/>
      <c r="H1924" s="32"/>
      <c r="I1924" s="32"/>
      <c r="J1924" s="32"/>
      <c r="K1924" s="32"/>
      <c r="L1924" s="32" t="e">
        <f ca="1">_xludf.ifna(VLOOKUP(G1925,Proyectos!$E$1:$N$4,10,0),"")</f>
        <v>#NAME?</v>
      </c>
      <c r="M1924" s="32"/>
      <c r="N1924" s="32" t="s">
        <v>5905</v>
      </c>
      <c r="O1924" s="32"/>
      <c r="P1924" s="33"/>
      <c r="Q1924" s="33"/>
    </row>
    <row r="1925" spans="1:17" ht="16.5" customHeight="1" x14ac:dyDescent="0.2">
      <c r="A1925" s="26"/>
      <c r="B1925" s="26"/>
      <c r="C1925" s="26"/>
      <c r="D1925" s="26"/>
      <c r="E1925" s="26"/>
      <c r="F1925" s="28" t="e">
        <f ca="1">_xludf.ifna(VLOOKUP(G1926,Proyectos!$E$1:$H$4,4,0),"")</f>
        <v>#NAME?</v>
      </c>
      <c r="G1925" s="26"/>
      <c r="H1925" s="32"/>
      <c r="I1925" s="32"/>
      <c r="J1925" s="32"/>
      <c r="K1925" s="32"/>
      <c r="L1925" s="32" t="e">
        <f ca="1">_xludf.ifna(VLOOKUP(G1926,Proyectos!$E$1:$N$4,10,0),"")</f>
        <v>#NAME?</v>
      </c>
      <c r="M1925" s="32"/>
      <c r="N1925" s="32" t="s">
        <v>5905</v>
      </c>
      <c r="O1925" s="32"/>
      <c r="P1925" s="33"/>
      <c r="Q1925" s="33"/>
    </row>
    <row r="1926" spans="1:17" ht="16.5" customHeight="1" x14ac:dyDescent="0.2">
      <c r="A1926" s="26"/>
      <c r="B1926" s="26"/>
      <c r="C1926" s="26"/>
      <c r="D1926" s="26"/>
      <c r="E1926" s="26"/>
      <c r="F1926" s="28" t="e">
        <f ca="1">_xludf.ifna(VLOOKUP(G1927,Proyectos!$E$1:$H$4,4,0),"")</f>
        <v>#NAME?</v>
      </c>
      <c r="G1926" s="26"/>
      <c r="H1926" s="32"/>
      <c r="I1926" s="32"/>
      <c r="J1926" s="32"/>
      <c r="K1926" s="32"/>
      <c r="L1926" s="32" t="e">
        <f ca="1">_xludf.ifna(VLOOKUP(G1927,Proyectos!$E$1:$N$4,10,0),"")</f>
        <v>#NAME?</v>
      </c>
      <c r="M1926" s="32"/>
      <c r="N1926" s="32" t="s">
        <v>5905</v>
      </c>
      <c r="O1926" s="32"/>
      <c r="P1926" s="33"/>
      <c r="Q1926" s="33"/>
    </row>
    <row r="1927" spans="1:17" ht="16.5" customHeight="1" x14ac:dyDescent="0.2">
      <c r="A1927" s="26"/>
      <c r="B1927" s="26"/>
      <c r="C1927" s="26"/>
      <c r="D1927" s="26"/>
      <c r="E1927" s="26"/>
      <c r="F1927" s="28" t="e">
        <f ca="1">_xludf.ifna(VLOOKUP(G1928,Proyectos!$E$1:$H$4,4,0),"")</f>
        <v>#NAME?</v>
      </c>
      <c r="G1927" s="26"/>
      <c r="H1927" s="32"/>
      <c r="I1927" s="32"/>
      <c r="J1927" s="32"/>
      <c r="K1927" s="32"/>
      <c r="L1927" s="32" t="e">
        <f ca="1">_xludf.ifna(VLOOKUP(G1928,Proyectos!$E$1:$N$4,10,0),"")</f>
        <v>#NAME?</v>
      </c>
      <c r="M1927" s="32"/>
      <c r="N1927" s="32" t="s">
        <v>5905</v>
      </c>
      <c r="O1927" s="32"/>
      <c r="P1927" s="33"/>
      <c r="Q1927" s="33"/>
    </row>
    <row r="1928" spans="1:17" ht="16.5" customHeight="1" x14ac:dyDescent="0.2">
      <c r="A1928" s="26"/>
      <c r="B1928" s="26"/>
      <c r="C1928" s="26"/>
      <c r="D1928" s="26"/>
      <c r="E1928" s="26"/>
      <c r="F1928" s="28" t="e">
        <f ca="1">_xludf.ifna(VLOOKUP(G1929,Proyectos!$E$1:$H$4,4,0),"")</f>
        <v>#NAME?</v>
      </c>
      <c r="G1928" s="26"/>
      <c r="H1928" s="32"/>
      <c r="I1928" s="32"/>
      <c r="J1928" s="32"/>
      <c r="K1928" s="32"/>
      <c r="L1928" s="32" t="e">
        <f ca="1">_xludf.ifna(VLOOKUP(G1929,Proyectos!$E$1:$N$4,10,0),"")</f>
        <v>#NAME?</v>
      </c>
      <c r="M1928" s="32"/>
      <c r="N1928" s="32" t="s">
        <v>5905</v>
      </c>
      <c r="O1928" s="32"/>
      <c r="P1928" s="33"/>
      <c r="Q1928" s="33"/>
    </row>
    <row r="1929" spans="1:17" ht="16.5" customHeight="1" x14ac:dyDescent="0.2">
      <c r="A1929" s="26"/>
      <c r="B1929" s="26"/>
      <c r="C1929" s="26"/>
      <c r="D1929" s="26"/>
      <c r="E1929" s="26"/>
      <c r="F1929" s="28" t="e">
        <f ca="1">_xludf.ifna(VLOOKUP(G1930,Proyectos!$E$1:$H$4,4,0),"")</f>
        <v>#NAME?</v>
      </c>
      <c r="G1929" s="26"/>
      <c r="H1929" s="32"/>
      <c r="I1929" s="32"/>
      <c r="J1929" s="32"/>
      <c r="K1929" s="32"/>
      <c r="L1929" s="32" t="e">
        <f ca="1">_xludf.ifna(VLOOKUP(G1930,Proyectos!$E$1:$N$4,10,0),"")</f>
        <v>#NAME?</v>
      </c>
      <c r="M1929" s="32"/>
      <c r="N1929" s="32" t="s">
        <v>5905</v>
      </c>
      <c r="O1929" s="32"/>
      <c r="P1929" s="33"/>
      <c r="Q1929" s="33"/>
    </row>
    <row r="1930" spans="1:17" ht="16.5" customHeight="1" x14ac:dyDescent="0.2">
      <c r="A1930" s="26"/>
      <c r="B1930" s="26"/>
      <c r="C1930" s="26"/>
      <c r="D1930" s="26"/>
      <c r="E1930" s="26"/>
      <c r="F1930" s="28" t="e">
        <f ca="1">_xludf.ifna(VLOOKUP(G1931,Proyectos!$E$1:$H$4,4,0),"")</f>
        <v>#NAME?</v>
      </c>
      <c r="G1930" s="26"/>
      <c r="H1930" s="32"/>
      <c r="I1930" s="32"/>
      <c r="J1930" s="32"/>
      <c r="K1930" s="32"/>
      <c r="L1930" s="32" t="e">
        <f ca="1">_xludf.ifna(VLOOKUP(G1931,Proyectos!$E$1:$N$4,10,0),"")</f>
        <v>#NAME?</v>
      </c>
      <c r="M1930" s="32"/>
      <c r="N1930" s="32" t="s">
        <v>5905</v>
      </c>
      <c r="O1930" s="32"/>
      <c r="P1930" s="33"/>
      <c r="Q1930" s="33"/>
    </row>
    <row r="1931" spans="1:17" ht="16.5" customHeight="1" x14ac:dyDescent="0.2">
      <c r="A1931" s="26"/>
      <c r="B1931" s="26"/>
      <c r="C1931" s="26"/>
      <c r="D1931" s="26"/>
      <c r="E1931" s="26"/>
      <c r="F1931" s="28" t="e">
        <f ca="1">_xludf.ifna(VLOOKUP(G1932,Proyectos!$E$1:$H$4,4,0),"")</f>
        <v>#NAME?</v>
      </c>
      <c r="G1931" s="26"/>
      <c r="H1931" s="32"/>
      <c r="I1931" s="32"/>
      <c r="J1931" s="32"/>
      <c r="K1931" s="32"/>
      <c r="L1931" s="32" t="e">
        <f ca="1">_xludf.ifna(VLOOKUP(G1932,Proyectos!$E$1:$N$4,10,0),"")</f>
        <v>#NAME?</v>
      </c>
      <c r="M1931" s="32"/>
      <c r="N1931" s="32" t="s">
        <v>5905</v>
      </c>
      <c r="O1931" s="32"/>
      <c r="P1931" s="33"/>
      <c r="Q1931" s="33"/>
    </row>
    <row r="1932" spans="1:17" ht="16.5" customHeight="1" x14ac:dyDescent="0.2">
      <c r="A1932" s="26"/>
      <c r="B1932" s="26"/>
      <c r="C1932" s="26"/>
      <c r="D1932" s="26"/>
      <c r="E1932" s="26"/>
      <c r="F1932" s="28" t="e">
        <f ca="1">_xludf.ifna(VLOOKUP(G1933,Proyectos!$E$1:$H$4,4,0),"")</f>
        <v>#NAME?</v>
      </c>
      <c r="G1932" s="26"/>
      <c r="H1932" s="32"/>
      <c r="I1932" s="32"/>
      <c r="J1932" s="32"/>
      <c r="K1932" s="32"/>
      <c r="L1932" s="32" t="e">
        <f ca="1">_xludf.ifna(VLOOKUP(G1933,Proyectos!$E$1:$N$4,10,0),"")</f>
        <v>#NAME?</v>
      </c>
      <c r="M1932" s="32"/>
      <c r="N1932" s="32" t="s">
        <v>5905</v>
      </c>
      <c r="O1932" s="32"/>
      <c r="P1932" s="33"/>
      <c r="Q1932" s="33"/>
    </row>
    <row r="1933" spans="1:17" ht="16.5" customHeight="1" x14ac:dyDescent="0.2">
      <c r="A1933" s="26"/>
      <c r="B1933" s="26"/>
      <c r="C1933" s="26"/>
      <c r="D1933" s="26"/>
      <c r="E1933" s="26"/>
      <c r="F1933" s="28" t="e">
        <f ca="1">_xludf.ifna(VLOOKUP(G1934,Proyectos!$E$1:$H$4,4,0),"")</f>
        <v>#NAME?</v>
      </c>
      <c r="G1933" s="26"/>
      <c r="H1933" s="32"/>
      <c r="I1933" s="32"/>
      <c r="J1933" s="32"/>
      <c r="K1933" s="32"/>
      <c r="L1933" s="32" t="e">
        <f ca="1">_xludf.ifna(VLOOKUP(G1934,Proyectos!$E$1:$N$4,10,0),"")</f>
        <v>#NAME?</v>
      </c>
      <c r="M1933" s="32"/>
      <c r="N1933" s="32" t="s">
        <v>5905</v>
      </c>
      <c r="O1933" s="32"/>
      <c r="P1933" s="33"/>
      <c r="Q1933" s="33"/>
    </row>
    <row r="1934" spans="1:17" ht="16.5" customHeight="1" x14ac:dyDescent="0.2">
      <c r="A1934" s="26"/>
      <c r="B1934" s="26"/>
      <c r="C1934" s="26"/>
      <c r="D1934" s="26"/>
      <c r="E1934" s="26"/>
      <c r="F1934" s="28" t="e">
        <f ca="1">_xludf.ifna(VLOOKUP(G1935,Proyectos!$E$1:$H$4,4,0),"")</f>
        <v>#NAME?</v>
      </c>
      <c r="G1934" s="26"/>
      <c r="H1934" s="32"/>
      <c r="I1934" s="32"/>
      <c r="J1934" s="32"/>
      <c r="K1934" s="32"/>
      <c r="L1934" s="32" t="e">
        <f ca="1">_xludf.ifna(VLOOKUP(G1935,Proyectos!$E$1:$N$4,10,0),"")</f>
        <v>#NAME?</v>
      </c>
      <c r="M1934" s="32"/>
      <c r="N1934" s="32" t="s">
        <v>5905</v>
      </c>
      <c r="O1934" s="32"/>
      <c r="P1934" s="33"/>
      <c r="Q1934" s="33"/>
    </row>
    <row r="1935" spans="1:17" ht="16.5" customHeight="1" x14ac:dyDescent="0.2">
      <c r="A1935" s="26"/>
      <c r="B1935" s="26"/>
      <c r="C1935" s="26"/>
      <c r="D1935" s="26"/>
      <c r="E1935" s="26"/>
      <c r="F1935" s="28" t="e">
        <f ca="1">_xludf.ifna(VLOOKUP(G1936,Proyectos!$E$1:$H$4,4,0),"")</f>
        <v>#NAME?</v>
      </c>
      <c r="G1935" s="26"/>
      <c r="H1935" s="32"/>
      <c r="I1935" s="32"/>
      <c r="J1935" s="32"/>
      <c r="K1935" s="32"/>
      <c r="L1935" s="32" t="e">
        <f ca="1">_xludf.ifna(VLOOKUP(G1936,Proyectos!$E$1:$N$4,10,0),"")</f>
        <v>#NAME?</v>
      </c>
      <c r="M1935" s="32"/>
      <c r="N1935" s="32" t="s">
        <v>5905</v>
      </c>
      <c r="O1935" s="32"/>
      <c r="P1935" s="33"/>
      <c r="Q1935" s="33"/>
    </row>
    <row r="1936" spans="1:17" ht="16.5" customHeight="1" x14ac:dyDescent="0.2">
      <c r="A1936" s="26"/>
      <c r="B1936" s="26"/>
      <c r="C1936" s="26"/>
      <c r="D1936" s="26"/>
      <c r="E1936" s="26"/>
      <c r="F1936" s="28" t="e">
        <f ca="1">_xludf.ifna(VLOOKUP(G1937,Proyectos!$E$1:$H$4,4,0),"")</f>
        <v>#NAME?</v>
      </c>
      <c r="G1936" s="26"/>
      <c r="H1936" s="32"/>
      <c r="I1936" s="32"/>
      <c r="J1936" s="32"/>
      <c r="K1936" s="32"/>
      <c r="L1936" s="32" t="e">
        <f ca="1">_xludf.ifna(VLOOKUP(G1937,Proyectos!$E$1:$N$4,10,0),"")</f>
        <v>#NAME?</v>
      </c>
      <c r="M1936" s="32"/>
      <c r="N1936" s="32" t="s">
        <v>5905</v>
      </c>
      <c r="O1936" s="32"/>
      <c r="P1936" s="33"/>
      <c r="Q1936" s="33"/>
    </row>
    <row r="1937" spans="1:17" ht="16.5" customHeight="1" x14ac:dyDescent="0.2">
      <c r="A1937" s="26"/>
      <c r="B1937" s="26"/>
      <c r="C1937" s="26"/>
      <c r="D1937" s="26"/>
      <c r="E1937" s="26"/>
      <c r="F1937" s="28" t="e">
        <f ca="1">_xludf.ifna(VLOOKUP(G1938,Proyectos!$E$1:$H$4,4,0),"")</f>
        <v>#NAME?</v>
      </c>
      <c r="G1937" s="26"/>
      <c r="H1937" s="32"/>
      <c r="I1937" s="32"/>
      <c r="J1937" s="32"/>
      <c r="K1937" s="32"/>
      <c r="L1937" s="32" t="e">
        <f ca="1">_xludf.ifna(VLOOKUP(G1938,Proyectos!$E$1:$N$4,10,0),"")</f>
        <v>#NAME?</v>
      </c>
      <c r="M1937" s="32"/>
      <c r="N1937" s="32" t="s">
        <v>5905</v>
      </c>
      <c r="O1937" s="32"/>
      <c r="P1937" s="33"/>
      <c r="Q1937" s="33"/>
    </row>
    <row r="1938" spans="1:17" ht="16.5" customHeight="1" x14ac:dyDescent="0.2">
      <c r="A1938" s="26"/>
      <c r="B1938" s="26"/>
      <c r="C1938" s="26"/>
      <c r="D1938" s="26"/>
      <c r="E1938" s="26"/>
      <c r="F1938" s="28" t="e">
        <f ca="1">_xludf.ifna(VLOOKUP(G1939,Proyectos!$E$1:$H$4,4,0),"")</f>
        <v>#NAME?</v>
      </c>
      <c r="G1938" s="26"/>
      <c r="H1938" s="32"/>
      <c r="I1938" s="32"/>
      <c r="J1938" s="32"/>
      <c r="K1938" s="32"/>
      <c r="L1938" s="32" t="e">
        <f ca="1">_xludf.ifna(VLOOKUP(G1939,Proyectos!$E$1:$N$4,10,0),"")</f>
        <v>#NAME?</v>
      </c>
      <c r="M1938" s="32"/>
      <c r="N1938" s="32" t="s">
        <v>5905</v>
      </c>
      <c r="O1938" s="32"/>
      <c r="P1938" s="33"/>
      <c r="Q1938" s="33"/>
    </row>
    <row r="1939" spans="1:17" ht="16.5" customHeight="1" x14ac:dyDescent="0.2">
      <c r="A1939" s="26"/>
      <c r="B1939" s="26"/>
      <c r="C1939" s="26"/>
      <c r="D1939" s="26"/>
      <c r="E1939" s="26"/>
      <c r="F1939" s="28" t="e">
        <f ca="1">_xludf.ifna(VLOOKUP(G1940,Proyectos!$E$1:$H$4,4,0),"")</f>
        <v>#NAME?</v>
      </c>
      <c r="G1939" s="26"/>
      <c r="H1939" s="32"/>
      <c r="I1939" s="32"/>
      <c r="J1939" s="32"/>
      <c r="K1939" s="32"/>
      <c r="L1939" s="32" t="e">
        <f ca="1">_xludf.ifna(VLOOKUP(G1940,Proyectos!$E$1:$N$4,10,0),"")</f>
        <v>#NAME?</v>
      </c>
      <c r="M1939" s="32"/>
      <c r="N1939" s="32" t="s">
        <v>5905</v>
      </c>
      <c r="O1939" s="32"/>
      <c r="P1939" s="33"/>
      <c r="Q1939" s="33"/>
    </row>
    <row r="1940" spans="1:17" ht="16.5" customHeight="1" x14ac:dyDescent="0.2">
      <c r="A1940" s="26"/>
      <c r="B1940" s="26"/>
      <c r="C1940" s="26"/>
      <c r="D1940" s="26"/>
      <c r="E1940" s="26"/>
      <c r="F1940" s="28" t="e">
        <f ca="1">_xludf.ifna(VLOOKUP(G1941,Proyectos!$E$1:$H$4,4,0),"")</f>
        <v>#NAME?</v>
      </c>
      <c r="G1940" s="26"/>
      <c r="H1940" s="32"/>
      <c r="I1940" s="32"/>
      <c r="J1940" s="32"/>
      <c r="K1940" s="32"/>
      <c r="L1940" s="32" t="e">
        <f ca="1">_xludf.ifna(VLOOKUP(G1941,Proyectos!$E$1:$N$4,10,0),"")</f>
        <v>#NAME?</v>
      </c>
      <c r="M1940" s="32"/>
      <c r="N1940" s="32" t="s">
        <v>5905</v>
      </c>
      <c r="O1940" s="32"/>
      <c r="P1940" s="33"/>
      <c r="Q1940" s="33"/>
    </row>
    <row r="1941" spans="1:17" ht="16.5" customHeight="1" x14ac:dyDescent="0.2">
      <c r="A1941" s="26"/>
      <c r="B1941" s="26"/>
      <c r="C1941" s="26"/>
      <c r="D1941" s="26"/>
      <c r="E1941" s="26"/>
      <c r="F1941" s="28" t="e">
        <f ca="1">_xludf.ifna(VLOOKUP(G1942,Proyectos!$E$1:$H$4,4,0),"")</f>
        <v>#NAME?</v>
      </c>
      <c r="G1941" s="26"/>
      <c r="H1941" s="32"/>
      <c r="I1941" s="32"/>
      <c r="J1941" s="32"/>
      <c r="K1941" s="32"/>
      <c r="L1941" s="32" t="e">
        <f ca="1">_xludf.ifna(VLOOKUP(G1942,Proyectos!$E$1:$N$4,10,0),"")</f>
        <v>#NAME?</v>
      </c>
      <c r="M1941" s="32"/>
      <c r="N1941" s="32" t="s">
        <v>5905</v>
      </c>
      <c r="O1941" s="32"/>
      <c r="P1941" s="33"/>
      <c r="Q1941" s="33"/>
    </row>
    <row r="1942" spans="1:17" ht="16.5" customHeight="1" x14ac:dyDescent="0.2">
      <c r="A1942" s="26"/>
      <c r="B1942" s="26"/>
      <c r="C1942" s="26"/>
      <c r="D1942" s="26"/>
      <c r="E1942" s="26"/>
      <c r="F1942" s="28" t="e">
        <f ca="1">_xludf.ifna(VLOOKUP(G1943,Proyectos!$E$1:$H$4,4,0),"")</f>
        <v>#NAME?</v>
      </c>
      <c r="G1942" s="26"/>
      <c r="H1942" s="32"/>
      <c r="I1942" s="32"/>
      <c r="J1942" s="32"/>
      <c r="K1942" s="32"/>
      <c r="L1942" s="32" t="e">
        <f ca="1">_xludf.ifna(VLOOKUP(G1943,Proyectos!$E$1:$N$4,10,0),"")</f>
        <v>#NAME?</v>
      </c>
      <c r="M1942" s="32"/>
      <c r="N1942" s="32" t="s">
        <v>5905</v>
      </c>
      <c r="O1942" s="32"/>
      <c r="P1942" s="33"/>
      <c r="Q1942" s="33"/>
    </row>
    <row r="1943" spans="1:17" ht="16.5" customHeight="1" x14ac:dyDescent="0.2">
      <c r="A1943" s="26"/>
      <c r="B1943" s="26"/>
      <c r="C1943" s="26"/>
      <c r="D1943" s="26"/>
      <c r="E1943" s="26"/>
      <c r="F1943" s="28" t="e">
        <f ca="1">_xludf.ifna(VLOOKUP(G1944,Proyectos!$E$1:$H$4,4,0),"")</f>
        <v>#NAME?</v>
      </c>
      <c r="G1943" s="26"/>
      <c r="H1943" s="32"/>
      <c r="I1943" s="32"/>
      <c r="J1943" s="32"/>
      <c r="K1943" s="32"/>
      <c r="L1943" s="32" t="e">
        <f ca="1">_xludf.ifna(VLOOKUP(G1944,Proyectos!$E$1:$N$4,10,0),"")</f>
        <v>#NAME?</v>
      </c>
      <c r="M1943" s="32"/>
      <c r="N1943" s="32" t="s">
        <v>5905</v>
      </c>
      <c r="O1943" s="32"/>
      <c r="P1943" s="33"/>
      <c r="Q1943" s="33"/>
    </row>
    <row r="1944" spans="1:17" ht="16.5" customHeight="1" x14ac:dyDescent="0.2">
      <c r="A1944" s="26"/>
      <c r="B1944" s="26"/>
      <c r="C1944" s="26"/>
      <c r="D1944" s="26"/>
      <c r="E1944" s="26"/>
      <c r="F1944" s="28" t="e">
        <f ca="1">_xludf.ifna(VLOOKUP(G1945,Proyectos!$E$1:$H$4,4,0),"")</f>
        <v>#NAME?</v>
      </c>
      <c r="G1944" s="26"/>
      <c r="H1944" s="32"/>
      <c r="I1944" s="32"/>
      <c r="J1944" s="32"/>
      <c r="K1944" s="32"/>
      <c r="L1944" s="32" t="e">
        <f ca="1">_xludf.ifna(VLOOKUP(G1945,Proyectos!$E$1:$N$4,10,0),"")</f>
        <v>#NAME?</v>
      </c>
      <c r="M1944" s="32"/>
      <c r="N1944" s="32" t="s">
        <v>5905</v>
      </c>
      <c r="O1944" s="32"/>
      <c r="P1944" s="33"/>
      <c r="Q1944" s="33"/>
    </row>
    <row r="1945" spans="1:17" ht="16.5" customHeight="1" x14ac:dyDescent="0.2">
      <c r="A1945" s="26"/>
      <c r="B1945" s="26"/>
      <c r="C1945" s="26"/>
      <c r="D1945" s="26"/>
      <c r="E1945" s="26"/>
      <c r="F1945" s="28" t="e">
        <f ca="1">_xludf.ifna(VLOOKUP(G1946,Proyectos!$E$1:$H$4,4,0),"")</f>
        <v>#NAME?</v>
      </c>
      <c r="G1945" s="26"/>
      <c r="H1945" s="32"/>
      <c r="I1945" s="32"/>
      <c r="J1945" s="32"/>
      <c r="K1945" s="32"/>
      <c r="L1945" s="32" t="e">
        <f ca="1">_xludf.ifna(VLOOKUP(G1946,Proyectos!$E$1:$N$4,10,0),"")</f>
        <v>#NAME?</v>
      </c>
      <c r="M1945" s="32"/>
      <c r="N1945" s="32" t="s">
        <v>5905</v>
      </c>
      <c r="O1945" s="32"/>
      <c r="P1945" s="33"/>
      <c r="Q1945" s="33"/>
    </row>
    <row r="1946" spans="1:17" ht="16.5" customHeight="1" x14ac:dyDescent="0.2">
      <c r="A1946" s="26"/>
      <c r="B1946" s="26"/>
      <c r="C1946" s="26"/>
      <c r="D1946" s="26"/>
      <c r="E1946" s="26"/>
      <c r="F1946" s="28" t="e">
        <f ca="1">_xludf.ifna(VLOOKUP(G1947,Proyectos!$E$1:$H$4,4,0),"")</f>
        <v>#NAME?</v>
      </c>
      <c r="G1946" s="26"/>
      <c r="H1946" s="32"/>
      <c r="I1946" s="32"/>
      <c r="J1946" s="32"/>
      <c r="K1946" s="32"/>
      <c r="L1946" s="32" t="e">
        <f ca="1">_xludf.ifna(VLOOKUP(G1947,Proyectos!$E$1:$N$4,10,0),"")</f>
        <v>#NAME?</v>
      </c>
      <c r="M1946" s="32"/>
      <c r="N1946" s="32" t="s">
        <v>5905</v>
      </c>
      <c r="O1946" s="32"/>
      <c r="P1946" s="33"/>
      <c r="Q1946" s="33"/>
    </row>
    <row r="1947" spans="1:17" ht="16.5" customHeight="1" x14ac:dyDescent="0.2">
      <c r="A1947" s="26"/>
      <c r="B1947" s="26"/>
      <c r="C1947" s="26"/>
      <c r="D1947" s="26"/>
      <c r="E1947" s="26"/>
      <c r="F1947" s="28" t="e">
        <f ca="1">_xludf.ifna(VLOOKUP(G1948,Proyectos!$E$1:$H$4,4,0),"")</f>
        <v>#NAME?</v>
      </c>
      <c r="G1947" s="26"/>
      <c r="H1947" s="32"/>
      <c r="I1947" s="32"/>
      <c r="J1947" s="32"/>
      <c r="K1947" s="32"/>
      <c r="L1947" s="32" t="e">
        <f ca="1">_xludf.ifna(VLOOKUP(G1948,Proyectos!$E$1:$N$4,10,0),"")</f>
        <v>#NAME?</v>
      </c>
      <c r="M1947" s="32"/>
      <c r="N1947" s="32" t="s">
        <v>5905</v>
      </c>
      <c r="O1947" s="32"/>
      <c r="P1947" s="33"/>
      <c r="Q1947" s="33"/>
    </row>
    <row r="1948" spans="1:17" ht="16.5" customHeight="1" x14ac:dyDescent="0.2">
      <c r="A1948" s="26"/>
      <c r="B1948" s="26"/>
      <c r="C1948" s="26"/>
      <c r="D1948" s="26"/>
      <c r="E1948" s="26"/>
      <c r="F1948" s="28" t="e">
        <f ca="1">_xludf.ifna(VLOOKUP(G1949,Proyectos!$E$1:$H$4,4,0),"")</f>
        <v>#NAME?</v>
      </c>
      <c r="G1948" s="26"/>
      <c r="H1948" s="32"/>
      <c r="I1948" s="32"/>
      <c r="J1948" s="32"/>
      <c r="K1948" s="32"/>
      <c r="L1948" s="32" t="e">
        <f ca="1">_xludf.ifna(VLOOKUP(G1949,Proyectos!$E$1:$N$4,10,0),"")</f>
        <v>#NAME?</v>
      </c>
      <c r="M1948" s="32"/>
      <c r="N1948" s="32" t="s">
        <v>5905</v>
      </c>
      <c r="O1948" s="32"/>
      <c r="P1948" s="33"/>
      <c r="Q1948" s="33"/>
    </row>
    <row r="1949" spans="1:17" ht="16.5" customHeight="1" x14ac:dyDescent="0.2">
      <c r="A1949" s="26"/>
      <c r="B1949" s="26"/>
      <c r="C1949" s="26"/>
      <c r="D1949" s="26"/>
      <c r="E1949" s="26"/>
      <c r="F1949" s="28" t="e">
        <f ca="1">_xludf.ifna(VLOOKUP(G1950,Proyectos!$E$1:$H$4,4,0),"")</f>
        <v>#NAME?</v>
      </c>
      <c r="G1949" s="26"/>
      <c r="H1949" s="32"/>
      <c r="I1949" s="32"/>
      <c r="J1949" s="32"/>
      <c r="K1949" s="32"/>
      <c r="L1949" s="32" t="e">
        <f ca="1">_xludf.ifna(VLOOKUP(G1950,Proyectos!$E$1:$N$4,10,0),"")</f>
        <v>#NAME?</v>
      </c>
      <c r="M1949" s="32"/>
      <c r="N1949" s="32" t="s">
        <v>5905</v>
      </c>
      <c r="O1949" s="32"/>
      <c r="P1949" s="33"/>
      <c r="Q1949" s="33"/>
    </row>
    <row r="1950" spans="1:17" ht="16.5" customHeight="1" x14ac:dyDescent="0.2">
      <c r="A1950" s="26"/>
      <c r="B1950" s="26"/>
      <c r="C1950" s="26"/>
      <c r="D1950" s="26"/>
      <c r="E1950" s="26"/>
      <c r="F1950" s="28" t="e">
        <f ca="1">_xludf.ifna(VLOOKUP(G1951,Proyectos!$E$1:$H$4,4,0),"")</f>
        <v>#NAME?</v>
      </c>
      <c r="G1950" s="26"/>
      <c r="H1950" s="32"/>
      <c r="I1950" s="32"/>
      <c r="J1950" s="32"/>
      <c r="K1950" s="32"/>
      <c r="L1950" s="32" t="e">
        <f ca="1">_xludf.ifna(VLOOKUP(G1951,Proyectos!$E$1:$N$4,10,0),"")</f>
        <v>#NAME?</v>
      </c>
      <c r="M1950" s="32"/>
      <c r="N1950" s="32" t="s">
        <v>5905</v>
      </c>
      <c r="O1950" s="32"/>
      <c r="P1950" s="33"/>
      <c r="Q1950" s="33"/>
    </row>
    <row r="1951" spans="1:17" ht="16.5" customHeight="1" x14ac:dyDescent="0.2">
      <c r="A1951" s="26"/>
      <c r="B1951" s="26"/>
      <c r="C1951" s="26"/>
      <c r="D1951" s="26"/>
      <c r="E1951" s="26"/>
      <c r="F1951" s="28" t="e">
        <f ca="1">_xludf.ifna(VLOOKUP(G1952,Proyectos!$E$1:$H$4,4,0),"")</f>
        <v>#NAME?</v>
      </c>
      <c r="G1951" s="26"/>
      <c r="H1951" s="32"/>
      <c r="I1951" s="32"/>
      <c r="J1951" s="32"/>
      <c r="K1951" s="32"/>
      <c r="L1951" s="32" t="e">
        <f ca="1">_xludf.ifna(VLOOKUP(G1952,Proyectos!$E$1:$N$4,10,0),"")</f>
        <v>#NAME?</v>
      </c>
      <c r="M1951" s="32"/>
      <c r="N1951" s="32" t="s">
        <v>5905</v>
      </c>
      <c r="O1951" s="32"/>
      <c r="P1951" s="33"/>
      <c r="Q1951" s="33"/>
    </row>
    <row r="1952" spans="1:17" ht="16.5" customHeight="1" x14ac:dyDescent="0.2">
      <c r="A1952" s="26"/>
      <c r="B1952" s="26"/>
      <c r="C1952" s="26"/>
      <c r="D1952" s="26"/>
      <c r="E1952" s="26"/>
      <c r="F1952" s="28" t="e">
        <f ca="1">_xludf.ifna(VLOOKUP(G1953,Proyectos!$E$1:$H$4,4,0),"")</f>
        <v>#NAME?</v>
      </c>
      <c r="G1952" s="26"/>
      <c r="H1952" s="32"/>
      <c r="I1952" s="32"/>
      <c r="J1952" s="32"/>
      <c r="K1952" s="32"/>
      <c r="L1952" s="32" t="e">
        <f ca="1">_xludf.ifna(VLOOKUP(G1953,Proyectos!$E$1:$N$4,10,0),"")</f>
        <v>#NAME?</v>
      </c>
      <c r="M1952" s="32"/>
      <c r="N1952" s="32" t="s">
        <v>5905</v>
      </c>
      <c r="O1952" s="32"/>
      <c r="P1952" s="33"/>
      <c r="Q1952" s="33"/>
    </row>
    <row r="1953" spans="1:17" ht="16.5" customHeight="1" x14ac:dyDescent="0.2">
      <c r="A1953" s="26"/>
      <c r="B1953" s="26"/>
      <c r="C1953" s="26"/>
      <c r="D1953" s="26"/>
      <c r="E1953" s="26"/>
      <c r="F1953" s="28" t="e">
        <f ca="1">_xludf.ifna(VLOOKUP(G1954,Proyectos!$E$1:$H$4,4,0),"")</f>
        <v>#NAME?</v>
      </c>
      <c r="G1953" s="26"/>
      <c r="H1953" s="32"/>
      <c r="I1953" s="32"/>
      <c r="J1953" s="32"/>
      <c r="K1953" s="32"/>
      <c r="L1953" s="32" t="e">
        <f ca="1">_xludf.ifna(VLOOKUP(G1954,Proyectos!$E$1:$N$4,10,0),"")</f>
        <v>#NAME?</v>
      </c>
      <c r="M1953" s="32"/>
      <c r="N1953" s="32" t="s">
        <v>5905</v>
      </c>
      <c r="O1953" s="32"/>
      <c r="P1953" s="33"/>
      <c r="Q1953" s="33"/>
    </row>
    <row r="1954" spans="1:17" ht="16.5" customHeight="1" x14ac:dyDescent="0.2">
      <c r="A1954" s="26"/>
      <c r="B1954" s="26"/>
      <c r="C1954" s="26"/>
      <c r="D1954" s="26"/>
      <c r="E1954" s="26"/>
      <c r="F1954" s="28" t="e">
        <f ca="1">_xludf.ifna(VLOOKUP(G1955,Proyectos!$E$1:$H$4,4,0),"")</f>
        <v>#NAME?</v>
      </c>
      <c r="G1954" s="26"/>
      <c r="H1954" s="32"/>
      <c r="I1954" s="32"/>
      <c r="J1954" s="32"/>
      <c r="K1954" s="32"/>
      <c r="L1954" s="32" t="e">
        <f ca="1">_xludf.ifna(VLOOKUP(G1955,Proyectos!$E$1:$N$4,10,0),"")</f>
        <v>#NAME?</v>
      </c>
      <c r="M1954" s="32"/>
      <c r="N1954" s="32" t="s">
        <v>5905</v>
      </c>
      <c r="O1954" s="32"/>
      <c r="P1954" s="33"/>
      <c r="Q1954" s="33"/>
    </row>
    <row r="1955" spans="1:17" ht="16.5" customHeight="1" x14ac:dyDescent="0.2">
      <c r="A1955" s="26"/>
      <c r="B1955" s="26"/>
      <c r="C1955" s="26"/>
      <c r="D1955" s="26"/>
      <c r="E1955" s="26"/>
      <c r="F1955" s="28" t="e">
        <f ca="1">_xludf.ifna(VLOOKUP(G1956,Proyectos!$E$1:$H$4,4,0),"")</f>
        <v>#NAME?</v>
      </c>
      <c r="G1955" s="26"/>
      <c r="H1955" s="32"/>
      <c r="I1955" s="32"/>
      <c r="J1955" s="32"/>
      <c r="K1955" s="32"/>
      <c r="L1955" s="32" t="e">
        <f ca="1">_xludf.ifna(VLOOKUP(G1956,Proyectos!$E$1:$N$4,10,0),"")</f>
        <v>#NAME?</v>
      </c>
      <c r="M1955" s="32"/>
      <c r="N1955" s="32" t="s">
        <v>5905</v>
      </c>
      <c r="O1955" s="32"/>
      <c r="P1955" s="33"/>
      <c r="Q1955" s="33"/>
    </row>
    <row r="1956" spans="1:17" ht="16.5" customHeight="1" x14ac:dyDescent="0.2">
      <c r="A1956" s="26"/>
      <c r="B1956" s="26"/>
      <c r="C1956" s="26"/>
      <c r="D1956" s="26"/>
      <c r="E1956" s="26"/>
      <c r="F1956" s="28" t="e">
        <f ca="1">_xludf.ifna(VLOOKUP(G1957,Proyectos!$E$1:$H$4,4,0),"")</f>
        <v>#NAME?</v>
      </c>
      <c r="G1956" s="26"/>
      <c r="H1956" s="32"/>
      <c r="I1956" s="32"/>
      <c r="J1956" s="32"/>
      <c r="K1956" s="32"/>
      <c r="L1956" s="32" t="e">
        <f ca="1">_xludf.ifna(VLOOKUP(G1957,Proyectos!$E$1:$N$4,10,0),"")</f>
        <v>#NAME?</v>
      </c>
      <c r="M1956" s="32"/>
      <c r="N1956" s="32" t="s">
        <v>5905</v>
      </c>
      <c r="O1956" s="32"/>
      <c r="P1956" s="33"/>
      <c r="Q1956" s="33"/>
    </row>
    <row r="1957" spans="1:17" ht="16.5" customHeight="1" x14ac:dyDescent="0.2">
      <c r="A1957" s="26"/>
      <c r="B1957" s="26"/>
      <c r="C1957" s="26"/>
      <c r="D1957" s="26"/>
      <c r="E1957" s="26"/>
      <c r="F1957" s="28" t="e">
        <f ca="1">_xludf.ifna(VLOOKUP(G1958,Proyectos!$E$1:$H$4,4,0),"")</f>
        <v>#NAME?</v>
      </c>
      <c r="G1957" s="26"/>
      <c r="H1957" s="32"/>
      <c r="I1957" s="32"/>
      <c r="J1957" s="32"/>
      <c r="K1957" s="32"/>
      <c r="L1957" s="32" t="e">
        <f ca="1">_xludf.ifna(VLOOKUP(G1958,Proyectos!$E$1:$N$4,10,0),"")</f>
        <v>#NAME?</v>
      </c>
      <c r="M1957" s="32"/>
      <c r="N1957" s="32" t="s">
        <v>5905</v>
      </c>
      <c r="O1957" s="32"/>
      <c r="P1957" s="33"/>
      <c r="Q1957" s="33"/>
    </row>
    <row r="1958" spans="1:17" ht="16.5" customHeight="1" x14ac:dyDescent="0.2">
      <c r="A1958" s="26"/>
      <c r="B1958" s="26"/>
      <c r="C1958" s="26"/>
      <c r="D1958" s="26"/>
      <c r="E1958" s="26"/>
      <c r="F1958" s="28" t="e">
        <f ca="1">_xludf.ifna(VLOOKUP(G1959,Proyectos!$E$1:$H$4,4,0),"")</f>
        <v>#NAME?</v>
      </c>
      <c r="G1958" s="26"/>
      <c r="H1958" s="32"/>
      <c r="I1958" s="32"/>
      <c r="J1958" s="32"/>
      <c r="K1958" s="32"/>
      <c r="L1958" s="32" t="e">
        <f ca="1">_xludf.ifna(VLOOKUP(G1959,Proyectos!$E$1:$N$4,10,0),"")</f>
        <v>#NAME?</v>
      </c>
      <c r="M1958" s="32"/>
      <c r="N1958" s="32" t="s">
        <v>5905</v>
      </c>
      <c r="O1958" s="32"/>
      <c r="P1958" s="33"/>
      <c r="Q1958" s="33"/>
    </row>
    <row r="1959" spans="1:17" ht="16.5" customHeight="1" x14ac:dyDescent="0.2">
      <c r="A1959" s="26"/>
      <c r="B1959" s="26"/>
      <c r="C1959" s="26"/>
      <c r="D1959" s="26"/>
      <c r="E1959" s="26"/>
      <c r="F1959" s="28" t="e">
        <f ca="1">_xludf.ifna(VLOOKUP(G1960,Proyectos!$E$1:$H$4,4,0),"")</f>
        <v>#NAME?</v>
      </c>
      <c r="G1959" s="26"/>
      <c r="H1959" s="32"/>
      <c r="I1959" s="32"/>
      <c r="J1959" s="32"/>
      <c r="K1959" s="32"/>
      <c r="L1959" s="32" t="e">
        <f ca="1">_xludf.ifna(VLOOKUP(G1960,Proyectos!$E$1:$N$4,10,0),"")</f>
        <v>#NAME?</v>
      </c>
      <c r="M1959" s="32"/>
      <c r="N1959" s="32" t="s">
        <v>5905</v>
      </c>
      <c r="O1959" s="32"/>
      <c r="P1959" s="33"/>
      <c r="Q1959" s="33"/>
    </row>
    <row r="1960" spans="1:17" ht="16.5" customHeight="1" x14ac:dyDescent="0.2">
      <c r="A1960" s="26"/>
      <c r="B1960" s="26"/>
      <c r="C1960" s="26"/>
      <c r="D1960" s="26"/>
      <c r="E1960" s="26"/>
      <c r="F1960" s="28" t="e">
        <f ca="1">_xludf.ifna(VLOOKUP(G1961,Proyectos!$E$1:$H$4,4,0),"")</f>
        <v>#NAME?</v>
      </c>
      <c r="G1960" s="26"/>
      <c r="H1960" s="32"/>
      <c r="I1960" s="32"/>
      <c r="J1960" s="32"/>
      <c r="K1960" s="32"/>
      <c r="L1960" s="32" t="e">
        <f ca="1">_xludf.ifna(VLOOKUP(G1961,Proyectos!$E$1:$N$4,10,0),"")</f>
        <v>#NAME?</v>
      </c>
      <c r="M1960" s="32"/>
      <c r="N1960" s="32" t="s">
        <v>5905</v>
      </c>
      <c r="O1960" s="32"/>
      <c r="P1960" s="33"/>
      <c r="Q1960" s="33"/>
    </row>
    <row r="1961" spans="1:17" ht="16.5" customHeight="1" x14ac:dyDescent="0.2">
      <c r="A1961" s="26"/>
      <c r="B1961" s="26"/>
      <c r="C1961" s="26"/>
      <c r="D1961" s="26"/>
      <c r="E1961" s="26"/>
      <c r="F1961" s="28" t="e">
        <f ca="1">_xludf.ifna(VLOOKUP(G1962,Proyectos!$E$1:$H$4,4,0),"")</f>
        <v>#NAME?</v>
      </c>
      <c r="G1961" s="26"/>
      <c r="H1961" s="32"/>
      <c r="I1961" s="32"/>
      <c r="J1961" s="32"/>
      <c r="K1961" s="32"/>
      <c r="L1961" s="32" t="e">
        <f ca="1">_xludf.ifna(VLOOKUP(G1962,Proyectos!$E$1:$N$4,10,0),"")</f>
        <v>#NAME?</v>
      </c>
      <c r="M1961" s="32"/>
      <c r="N1961" s="32" t="s">
        <v>5905</v>
      </c>
      <c r="O1961" s="32"/>
      <c r="P1961" s="33"/>
      <c r="Q1961" s="33"/>
    </row>
    <row r="1962" spans="1:17" ht="16.5" customHeight="1" x14ac:dyDescent="0.2">
      <c r="A1962" s="26"/>
      <c r="B1962" s="26"/>
      <c r="C1962" s="26"/>
      <c r="D1962" s="26"/>
      <c r="E1962" s="26"/>
      <c r="F1962" s="28" t="e">
        <f ca="1">_xludf.ifna(VLOOKUP(G1963,Proyectos!$E$1:$H$4,4,0),"")</f>
        <v>#NAME?</v>
      </c>
      <c r="G1962" s="26"/>
      <c r="H1962" s="32"/>
      <c r="I1962" s="32"/>
      <c r="J1962" s="32"/>
      <c r="K1962" s="32"/>
      <c r="L1962" s="32" t="e">
        <f ca="1">_xludf.ifna(VLOOKUP(G1963,Proyectos!$E$1:$N$4,10,0),"")</f>
        <v>#NAME?</v>
      </c>
      <c r="M1962" s="32"/>
      <c r="N1962" s="32" t="s">
        <v>5905</v>
      </c>
      <c r="O1962" s="32"/>
      <c r="P1962" s="33"/>
      <c r="Q1962" s="33"/>
    </row>
    <row r="1963" spans="1:17" ht="16.5" customHeight="1" x14ac:dyDescent="0.2">
      <c r="A1963" s="26"/>
      <c r="B1963" s="26"/>
      <c r="C1963" s="26"/>
      <c r="D1963" s="26"/>
      <c r="E1963" s="26"/>
      <c r="F1963" s="28" t="e">
        <f ca="1">_xludf.ifna(VLOOKUP(G1964,Proyectos!$E$1:$H$4,4,0),"")</f>
        <v>#NAME?</v>
      </c>
      <c r="G1963" s="26"/>
      <c r="H1963" s="32"/>
      <c r="I1963" s="32"/>
      <c r="J1963" s="32"/>
      <c r="K1963" s="32"/>
      <c r="L1963" s="32" t="e">
        <f ca="1">_xludf.ifna(VLOOKUP(G1964,Proyectos!$E$1:$N$4,10,0),"")</f>
        <v>#NAME?</v>
      </c>
      <c r="M1963" s="32"/>
      <c r="N1963" s="32" t="s">
        <v>5905</v>
      </c>
      <c r="O1963" s="32"/>
      <c r="P1963" s="33"/>
      <c r="Q1963" s="33"/>
    </row>
    <row r="1964" spans="1:17" ht="16.5" customHeight="1" x14ac:dyDescent="0.2">
      <c r="A1964" s="26"/>
      <c r="B1964" s="26"/>
      <c r="C1964" s="26"/>
      <c r="D1964" s="26"/>
      <c r="E1964" s="26"/>
      <c r="F1964" s="28" t="e">
        <f ca="1">_xludf.ifna(VLOOKUP(G1965,Proyectos!$E$1:$H$4,4,0),"")</f>
        <v>#NAME?</v>
      </c>
      <c r="G1964" s="26"/>
      <c r="H1964" s="32"/>
      <c r="I1964" s="32"/>
      <c r="J1964" s="32"/>
      <c r="K1964" s="32"/>
      <c r="L1964" s="32" t="e">
        <f ca="1">_xludf.ifna(VLOOKUP(G1965,Proyectos!$E$1:$N$4,10,0),"")</f>
        <v>#NAME?</v>
      </c>
      <c r="M1964" s="32"/>
      <c r="N1964" s="32" t="s">
        <v>5905</v>
      </c>
      <c r="O1964" s="32"/>
      <c r="P1964" s="33"/>
      <c r="Q1964" s="33"/>
    </row>
    <row r="1965" spans="1:17" ht="16.5" customHeight="1" x14ac:dyDescent="0.2">
      <c r="A1965" s="26"/>
      <c r="B1965" s="26"/>
      <c r="C1965" s="26"/>
      <c r="D1965" s="26"/>
      <c r="E1965" s="26"/>
      <c r="F1965" s="28" t="e">
        <f ca="1">_xludf.ifna(VLOOKUP(G1966,Proyectos!$E$1:$H$4,4,0),"")</f>
        <v>#NAME?</v>
      </c>
      <c r="G1965" s="26"/>
      <c r="H1965" s="32"/>
      <c r="I1965" s="32"/>
      <c r="J1965" s="32"/>
      <c r="K1965" s="32"/>
      <c r="L1965" s="32" t="e">
        <f ca="1">_xludf.ifna(VLOOKUP(G1966,Proyectos!$E$1:$N$4,10,0),"")</f>
        <v>#NAME?</v>
      </c>
      <c r="M1965" s="32"/>
      <c r="N1965" s="32" t="s">
        <v>5905</v>
      </c>
      <c r="O1965" s="32"/>
      <c r="P1965" s="33"/>
      <c r="Q1965" s="33"/>
    </row>
    <row r="1966" spans="1:17" ht="16.5" customHeight="1" x14ac:dyDescent="0.2">
      <c r="A1966" s="26"/>
      <c r="B1966" s="26"/>
      <c r="C1966" s="26"/>
      <c r="D1966" s="26"/>
      <c r="E1966" s="26"/>
      <c r="F1966" s="28" t="e">
        <f ca="1">_xludf.ifna(VLOOKUP(G1967,Proyectos!$E$1:$H$4,4,0),"")</f>
        <v>#NAME?</v>
      </c>
      <c r="G1966" s="26"/>
      <c r="H1966" s="32"/>
      <c r="I1966" s="32"/>
      <c r="J1966" s="32"/>
      <c r="K1966" s="32"/>
      <c r="L1966" s="32" t="e">
        <f ca="1">_xludf.ifna(VLOOKUP(G1967,Proyectos!$E$1:$N$4,10,0),"")</f>
        <v>#NAME?</v>
      </c>
      <c r="M1966" s="32"/>
      <c r="N1966" s="32" t="s">
        <v>5905</v>
      </c>
      <c r="O1966" s="32"/>
      <c r="P1966" s="33"/>
      <c r="Q1966" s="33"/>
    </row>
    <row r="1967" spans="1:17" ht="16.5" customHeight="1" x14ac:dyDescent="0.2">
      <c r="A1967" s="26"/>
      <c r="B1967" s="26"/>
      <c r="C1967" s="26"/>
      <c r="D1967" s="26"/>
      <c r="E1967" s="26"/>
      <c r="F1967" s="28" t="e">
        <f ca="1">_xludf.ifna(VLOOKUP(G1968,Proyectos!$E$1:$H$4,4,0),"")</f>
        <v>#NAME?</v>
      </c>
      <c r="G1967" s="26"/>
      <c r="H1967" s="32"/>
      <c r="I1967" s="32"/>
      <c r="J1967" s="32"/>
      <c r="K1967" s="32"/>
      <c r="L1967" s="32" t="e">
        <f ca="1">_xludf.ifna(VLOOKUP(G1968,Proyectos!$E$1:$N$4,10,0),"")</f>
        <v>#NAME?</v>
      </c>
      <c r="M1967" s="32"/>
      <c r="N1967" s="32" t="s">
        <v>5905</v>
      </c>
      <c r="O1967" s="32"/>
      <c r="P1967" s="33"/>
      <c r="Q1967" s="33"/>
    </row>
    <row r="1968" spans="1:17" ht="16.5" customHeight="1" x14ac:dyDescent="0.2">
      <c r="A1968" s="26"/>
      <c r="B1968" s="26"/>
      <c r="C1968" s="26"/>
      <c r="D1968" s="26"/>
      <c r="E1968" s="26"/>
      <c r="F1968" s="28" t="e">
        <f ca="1">_xludf.ifna(VLOOKUP(G1969,Proyectos!$E$1:$H$4,4,0),"")</f>
        <v>#NAME?</v>
      </c>
      <c r="G1968" s="26"/>
      <c r="H1968" s="32"/>
      <c r="I1968" s="32"/>
      <c r="J1968" s="32"/>
      <c r="K1968" s="32"/>
      <c r="L1968" s="32" t="e">
        <f ca="1">_xludf.ifna(VLOOKUP(G1969,Proyectos!$E$1:$N$4,10,0),"")</f>
        <v>#NAME?</v>
      </c>
      <c r="M1968" s="32"/>
      <c r="N1968" s="32" t="s">
        <v>5905</v>
      </c>
      <c r="O1968" s="32"/>
      <c r="P1968" s="33"/>
      <c r="Q1968" s="33"/>
    </row>
    <row r="1969" spans="1:17" ht="16.5" customHeight="1" x14ac:dyDescent="0.2">
      <c r="A1969" s="26"/>
      <c r="B1969" s="26"/>
      <c r="C1969" s="26"/>
      <c r="D1969" s="26"/>
      <c r="E1969" s="26"/>
      <c r="F1969" s="28" t="e">
        <f ca="1">_xludf.ifna(VLOOKUP(G1970,Proyectos!$E$1:$H$4,4,0),"")</f>
        <v>#NAME?</v>
      </c>
      <c r="G1969" s="26"/>
      <c r="H1969" s="32"/>
      <c r="I1969" s="32"/>
      <c r="J1969" s="32"/>
      <c r="K1969" s="32"/>
      <c r="L1969" s="32" t="e">
        <f ca="1">_xludf.ifna(VLOOKUP(G1970,Proyectos!$E$1:$N$4,10,0),"")</f>
        <v>#NAME?</v>
      </c>
      <c r="M1969" s="32"/>
      <c r="N1969" s="32" t="s">
        <v>5905</v>
      </c>
      <c r="O1969" s="32"/>
      <c r="P1969" s="33"/>
      <c r="Q1969" s="33"/>
    </row>
    <row r="1970" spans="1:17" ht="16.5" customHeight="1" x14ac:dyDescent="0.2">
      <c r="A1970" s="26"/>
      <c r="B1970" s="26"/>
      <c r="C1970" s="26"/>
      <c r="D1970" s="26"/>
      <c r="E1970" s="26"/>
      <c r="F1970" s="28" t="e">
        <f ca="1">_xludf.ifna(VLOOKUP(G1971,Proyectos!$E$1:$H$4,4,0),"")</f>
        <v>#NAME?</v>
      </c>
      <c r="G1970" s="26"/>
      <c r="H1970" s="32"/>
      <c r="I1970" s="32"/>
      <c r="J1970" s="32"/>
      <c r="K1970" s="32"/>
      <c r="L1970" s="32" t="e">
        <f ca="1">_xludf.ifna(VLOOKUP(G1971,Proyectos!$E$1:$N$4,10,0),"")</f>
        <v>#NAME?</v>
      </c>
      <c r="M1970" s="32"/>
      <c r="N1970" s="32" t="s">
        <v>5905</v>
      </c>
      <c r="O1970" s="32"/>
      <c r="P1970" s="33"/>
      <c r="Q1970" s="33"/>
    </row>
    <row r="1971" spans="1:17" ht="16.5" customHeight="1" x14ac:dyDescent="0.2">
      <c r="A1971" s="26"/>
      <c r="B1971" s="26"/>
      <c r="C1971" s="26"/>
      <c r="D1971" s="26"/>
      <c r="E1971" s="26"/>
      <c r="F1971" s="28" t="e">
        <f ca="1">_xludf.ifna(VLOOKUP(G1972,Proyectos!$E$1:$H$4,4,0),"")</f>
        <v>#NAME?</v>
      </c>
      <c r="G1971" s="26"/>
      <c r="H1971" s="32"/>
      <c r="I1971" s="32"/>
      <c r="J1971" s="32"/>
      <c r="K1971" s="32"/>
      <c r="L1971" s="32" t="e">
        <f ca="1">_xludf.ifna(VLOOKUP(G1972,Proyectos!$E$1:$N$4,10,0),"")</f>
        <v>#NAME?</v>
      </c>
      <c r="M1971" s="32"/>
      <c r="N1971" s="32" t="s">
        <v>5905</v>
      </c>
      <c r="O1971" s="32"/>
      <c r="P1971" s="33"/>
      <c r="Q1971" s="33"/>
    </row>
    <row r="1972" spans="1:17" ht="16.5" customHeight="1" x14ac:dyDescent="0.2">
      <c r="A1972" s="26"/>
      <c r="B1972" s="26"/>
      <c r="C1972" s="26"/>
      <c r="D1972" s="26"/>
      <c r="E1972" s="26"/>
      <c r="F1972" s="28" t="e">
        <f ca="1">_xludf.ifna(VLOOKUP(G1973,Proyectos!$E$1:$H$4,4,0),"")</f>
        <v>#NAME?</v>
      </c>
      <c r="G1972" s="26"/>
      <c r="H1972" s="32"/>
      <c r="I1972" s="32"/>
      <c r="J1972" s="32"/>
      <c r="K1972" s="32"/>
      <c r="L1972" s="32" t="e">
        <f ca="1">_xludf.ifna(VLOOKUP(G1973,Proyectos!$E$1:$N$4,10,0),"")</f>
        <v>#NAME?</v>
      </c>
      <c r="M1972" s="32"/>
      <c r="N1972" s="32" t="s">
        <v>5905</v>
      </c>
      <c r="O1972" s="32"/>
      <c r="P1972" s="33"/>
      <c r="Q1972" s="33"/>
    </row>
    <row r="1973" spans="1:17" ht="16.5" customHeight="1" x14ac:dyDescent="0.2">
      <c r="A1973" s="26"/>
      <c r="B1973" s="26"/>
      <c r="C1973" s="26"/>
      <c r="D1973" s="26"/>
      <c r="E1973" s="26"/>
      <c r="F1973" s="28" t="e">
        <f ca="1">_xludf.ifna(VLOOKUP(G1974,Proyectos!$E$1:$H$4,4,0),"")</f>
        <v>#NAME?</v>
      </c>
      <c r="G1973" s="26"/>
      <c r="H1973" s="32"/>
      <c r="I1973" s="32"/>
      <c r="J1973" s="32"/>
      <c r="K1973" s="32"/>
      <c r="L1973" s="32" t="e">
        <f ca="1">_xludf.ifna(VLOOKUP(G1974,Proyectos!$E$1:$N$4,10,0),"")</f>
        <v>#NAME?</v>
      </c>
      <c r="M1973" s="32"/>
      <c r="N1973" s="32" t="s">
        <v>5905</v>
      </c>
      <c r="O1973" s="32"/>
      <c r="P1973" s="33"/>
      <c r="Q1973" s="33"/>
    </row>
    <row r="1974" spans="1:17" ht="16.5" customHeight="1" x14ac:dyDescent="0.2">
      <c r="A1974" s="26"/>
      <c r="B1974" s="26"/>
      <c r="C1974" s="26"/>
      <c r="D1974" s="26"/>
      <c r="E1974" s="26"/>
      <c r="F1974" s="28" t="e">
        <f ca="1">_xludf.ifna(VLOOKUP(G1975,Proyectos!$E$1:$H$4,4,0),"")</f>
        <v>#NAME?</v>
      </c>
      <c r="G1974" s="26"/>
      <c r="H1974" s="32"/>
      <c r="I1974" s="32"/>
      <c r="J1974" s="32"/>
      <c r="K1974" s="32"/>
      <c r="L1974" s="32" t="e">
        <f ca="1">_xludf.ifna(VLOOKUP(G1975,Proyectos!$E$1:$N$4,10,0),"")</f>
        <v>#NAME?</v>
      </c>
      <c r="M1974" s="32"/>
      <c r="N1974" s="32" t="s">
        <v>5905</v>
      </c>
      <c r="O1974" s="32"/>
      <c r="P1974" s="33"/>
      <c r="Q1974" s="33"/>
    </row>
    <row r="1975" spans="1:17" ht="16.5" customHeight="1" x14ac:dyDescent="0.2">
      <c r="A1975" s="26"/>
      <c r="B1975" s="26"/>
      <c r="C1975" s="26"/>
      <c r="D1975" s="26"/>
      <c r="E1975" s="26"/>
      <c r="F1975" s="28" t="e">
        <f ca="1">_xludf.ifna(VLOOKUP(G1976,Proyectos!$E$1:$H$4,4,0),"")</f>
        <v>#NAME?</v>
      </c>
      <c r="G1975" s="26"/>
      <c r="H1975" s="32"/>
      <c r="I1975" s="32"/>
      <c r="J1975" s="32"/>
      <c r="K1975" s="32"/>
      <c r="L1975" s="32" t="e">
        <f ca="1">_xludf.ifna(VLOOKUP(G1976,Proyectos!$E$1:$N$4,10,0),"")</f>
        <v>#NAME?</v>
      </c>
      <c r="M1975" s="32"/>
      <c r="N1975" s="32" t="s">
        <v>5905</v>
      </c>
      <c r="O1975" s="32"/>
      <c r="P1975" s="33"/>
      <c r="Q1975" s="33"/>
    </row>
    <row r="1976" spans="1:17" ht="16.5" customHeight="1" x14ac:dyDescent="0.2">
      <c r="A1976" s="26"/>
      <c r="B1976" s="26"/>
      <c r="C1976" s="26"/>
      <c r="D1976" s="26"/>
      <c r="E1976" s="26"/>
      <c r="F1976" s="28" t="e">
        <f ca="1">_xludf.ifna(VLOOKUP(G1977,Proyectos!$E$1:$H$4,4,0),"")</f>
        <v>#NAME?</v>
      </c>
      <c r="G1976" s="26"/>
      <c r="H1976" s="32"/>
      <c r="I1976" s="32"/>
      <c r="J1976" s="32"/>
      <c r="K1976" s="32"/>
      <c r="L1976" s="32" t="e">
        <f ca="1">_xludf.ifna(VLOOKUP(G1977,Proyectos!$E$1:$N$4,10,0),"")</f>
        <v>#NAME?</v>
      </c>
      <c r="M1976" s="32"/>
      <c r="N1976" s="32" t="s">
        <v>5905</v>
      </c>
      <c r="O1976" s="32"/>
      <c r="P1976" s="33"/>
      <c r="Q1976" s="33"/>
    </row>
    <row r="1977" spans="1:17" ht="16.5" customHeight="1" x14ac:dyDescent="0.2">
      <c r="A1977" s="26"/>
      <c r="B1977" s="26"/>
      <c r="C1977" s="26"/>
      <c r="D1977" s="26"/>
      <c r="E1977" s="26"/>
      <c r="F1977" s="28" t="e">
        <f ca="1">_xludf.ifna(VLOOKUP(G1978,Proyectos!$E$1:$H$4,4,0),"")</f>
        <v>#NAME?</v>
      </c>
      <c r="G1977" s="26"/>
      <c r="H1977" s="32"/>
      <c r="I1977" s="32"/>
      <c r="J1977" s="32"/>
      <c r="K1977" s="32"/>
      <c r="L1977" s="32" t="e">
        <f ca="1">_xludf.ifna(VLOOKUP(G1978,Proyectos!$E$1:$N$4,10,0),"")</f>
        <v>#NAME?</v>
      </c>
      <c r="M1977" s="32"/>
      <c r="N1977" s="32" t="s">
        <v>5905</v>
      </c>
      <c r="O1977" s="32"/>
      <c r="P1977" s="33"/>
      <c r="Q1977" s="33"/>
    </row>
    <row r="1978" spans="1:17" ht="16.5" customHeight="1" x14ac:dyDescent="0.2">
      <c r="A1978" s="26"/>
      <c r="B1978" s="26"/>
      <c r="C1978" s="26"/>
      <c r="D1978" s="26"/>
      <c r="E1978" s="26"/>
      <c r="F1978" s="28" t="e">
        <f ca="1">_xludf.ifna(VLOOKUP(G1979,Proyectos!$E$1:$H$4,4,0),"")</f>
        <v>#NAME?</v>
      </c>
      <c r="G1978" s="26"/>
      <c r="H1978" s="32"/>
      <c r="I1978" s="32"/>
      <c r="J1978" s="32"/>
      <c r="K1978" s="32"/>
      <c r="L1978" s="32" t="e">
        <f ca="1">_xludf.ifna(VLOOKUP(G1979,Proyectos!$E$1:$N$4,10,0),"")</f>
        <v>#NAME?</v>
      </c>
      <c r="M1978" s="32"/>
      <c r="N1978" s="32" t="s">
        <v>5905</v>
      </c>
      <c r="O1978" s="32"/>
      <c r="P1978" s="33"/>
      <c r="Q1978" s="33"/>
    </row>
    <row r="1979" spans="1:17" ht="16.5" customHeight="1" x14ac:dyDescent="0.2">
      <c r="A1979" s="26"/>
      <c r="B1979" s="26"/>
      <c r="C1979" s="26"/>
      <c r="D1979" s="26"/>
      <c r="E1979" s="26"/>
      <c r="F1979" s="28" t="e">
        <f ca="1">_xludf.ifna(VLOOKUP(G1980,Proyectos!$E$1:$H$4,4,0),"")</f>
        <v>#NAME?</v>
      </c>
      <c r="G1979" s="26"/>
      <c r="H1979" s="32"/>
      <c r="I1979" s="32"/>
      <c r="J1979" s="32"/>
      <c r="K1979" s="32"/>
      <c r="L1979" s="32" t="e">
        <f ca="1">_xludf.ifna(VLOOKUP(G1980,Proyectos!$E$1:$N$4,10,0),"")</f>
        <v>#NAME?</v>
      </c>
      <c r="M1979" s="32"/>
      <c r="N1979" s="32" t="s">
        <v>5905</v>
      </c>
      <c r="O1979" s="32"/>
      <c r="P1979" s="33"/>
      <c r="Q1979" s="33"/>
    </row>
    <row r="1980" spans="1:17" ht="16.5" customHeight="1" x14ac:dyDescent="0.2">
      <c r="A1980" s="26"/>
      <c r="B1980" s="26"/>
      <c r="C1980" s="26"/>
      <c r="D1980" s="26"/>
      <c r="E1980" s="26"/>
      <c r="F1980" s="28" t="e">
        <f ca="1">_xludf.ifna(VLOOKUP(G1981,Proyectos!$E$1:$H$4,4,0),"")</f>
        <v>#NAME?</v>
      </c>
      <c r="G1980" s="26"/>
      <c r="H1980" s="32"/>
      <c r="I1980" s="32"/>
      <c r="J1980" s="32"/>
      <c r="K1980" s="32"/>
      <c r="L1980" s="32" t="e">
        <f ca="1">_xludf.ifna(VLOOKUP(G1981,Proyectos!$E$1:$N$4,10,0),"")</f>
        <v>#NAME?</v>
      </c>
      <c r="M1980" s="32"/>
      <c r="N1980" s="32" t="s">
        <v>5905</v>
      </c>
      <c r="O1980" s="32"/>
      <c r="P1980" s="33"/>
      <c r="Q1980" s="33"/>
    </row>
    <row r="1981" spans="1:17" ht="16.5" customHeight="1" x14ac:dyDescent="0.2">
      <c r="A1981" s="26"/>
      <c r="B1981" s="26"/>
      <c r="C1981" s="26"/>
      <c r="D1981" s="26"/>
      <c r="E1981" s="26"/>
      <c r="F1981" s="28" t="e">
        <f ca="1">_xludf.ifna(VLOOKUP(G1982,Proyectos!$E$1:$H$4,4,0),"")</f>
        <v>#NAME?</v>
      </c>
      <c r="G1981" s="26"/>
      <c r="H1981" s="32"/>
      <c r="I1981" s="32"/>
      <c r="J1981" s="32"/>
      <c r="K1981" s="32"/>
      <c r="L1981" s="32" t="e">
        <f ca="1">_xludf.ifna(VLOOKUP(G1982,Proyectos!$E$1:$N$4,10,0),"")</f>
        <v>#NAME?</v>
      </c>
      <c r="M1981" s="32"/>
      <c r="N1981" s="32" t="s">
        <v>5905</v>
      </c>
      <c r="O1981" s="32"/>
      <c r="P1981" s="33"/>
      <c r="Q1981" s="33"/>
    </row>
    <row r="1982" spans="1:17" ht="16.5" customHeight="1" x14ac:dyDescent="0.2">
      <c r="A1982" s="26"/>
      <c r="B1982" s="26"/>
      <c r="C1982" s="26"/>
      <c r="D1982" s="26"/>
      <c r="E1982" s="26"/>
      <c r="F1982" s="28" t="e">
        <f ca="1">_xludf.ifna(VLOOKUP(G1983,Proyectos!$E$1:$H$4,4,0),"")</f>
        <v>#NAME?</v>
      </c>
      <c r="G1982" s="26"/>
      <c r="H1982" s="32"/>
      <c r="I1982" s="32"/>
      <c r="J1982" s="32"/>
      <c r="K1982" s="32"/>
      <c r="L1982" s="32" t="e">
        <f ca="1">_xludf.ifna(VLOOKUP(G1983,Proyectos!$E$1:$N$4,10,0),"")</f>
        <v>#NAME?</v>
      </c>
      <c r="M1982" s="32"/>
      <c r="N1982" s="32" t="s">
        <v>5905</v>
      </c>
      <c r="O1982" s="32"/>
      <c r="P1982" s="33"/>
      <c r="Q1982" s="33"/>
    </row>
    <row r="1983" spans="1:17" ht="16.5" customHeight="1" x14ac:dyDescent="0.2">
      <c r="A1983" s="26"/>
      <c r="B1983" s="26"/>
      <c r="C1983" s="26"/>
      <c r="D1983" s="26"/>
      <c r="E1983" s="26"/>
      <c r="F1983" s="28" t="e">
        <f ca="1">_xludf.ifna(VLOOKUP(G1984,Proyectos!$E$1:$H$4,4,0),"")</f>
        <v>#NAME?</v>
      </c>
      <c r="G1983" s="26"/>
      <c r="H1983" s="32"/>
      <c r="I1983" s="32"/>
      <c r="J1983" s="32"/>
      <c r="K1983" s="32"/>
      <c r="L1983" s="32" t="e">
        <f ca="1">_xludf.ifna(VLOOKUP(G1984,Proyectos!$E$1:$N$4,10,0),"")</f>
        <v>#NAME?</v>
      </c>
      <c r="M1983" s="32"/>
      <c r="N1983" s="32" t="s">
        <v>5905</v>
      </c>
      <c r="O1983" s="32"/>
      <c r="P1983" s="33"/>
      <c r="Q1983" s="33"/>
    </row>
    <row r="1984" spans="1:17" ht="16.5" customHeight="1" x14ac:dyDescent="0.2">
      <c r="A1984" s="26"/>
      <c r="B1984" s="26"/>
      <c r="C1984" s="26"/>
      <c r="D1984" s="26"/>
      <c r="E1984" s="26"/>
      <c r="F1984" s="28" t="e">
        <f ca="1">_xludf.ifna(VLOOKUP(G1985,Proyectos!$E$1:$H$4,4,0),"")</f>
        <v>#NAME?</v>
      </c>
      <c r="G1984" s="26"/>
      <c r="H1984" s="32"/>
      <c r="I1984" s="32"/>
      <c r="J1984" s="32"/>
      <c r="K1984" s="32"/>
      <c r="L1984" s="32" t="e">
        <f ca="1">_xludf.ifna(VLOOKUP(G1985,Proyectos!$E$1:$N$4,10,0),"")</f>
        <v>#NAME?</v>
      </c>
      <c r="M1984" s="32"/>
      <c r="N1984" s="32" t="s">
        <v>5905</v>
      </c>
      <c r="O1984" s="32"/>
      <c r="P1984" s="33"/>
      <c r="Q1984" s="33"/>
    </row>
    <row r="1985" spans="1:17" ht="16.5" customHeight="1" x14ac:dyDescent="0.2">
      <c r="A1985" s="26"/>
      <c r="B1985" s="26"/>
      <c r="C1985" s="26"/>
      <c r="D1985" s="26"/>
      <c r="E1985" s="26"/>
      <c r="F1985" s="28" t="e">
        <f ca="1">_xludf.ifna(VLOOKUP(G1986,Proyectos!$E$1:$H$4,4,0),"")</f>
        <v>#NAME?</v>
      </c>
      <c r="G1985" s="26"/>
      <c r="H1985" s="32"/>
      <c r="I1985" s="32"/>
      <c r="J1985" s="32"/>
      <c r="K1985" s="32"/>
      <c r="L1985" s="32" t="e">
        <f ca="1">_xludf.ifna(VLOOKUP(G1986,Proyectos!$E$1:$N$4,10,0),"")</f>
        <v>#NAME?</v>
      </c>
      <c r="M1985" s="32"/>
      <c r="N1985" s="32" t="s">
        <v>5905</v>
      </c>
      <c r="O1985" s="32"/>
      <c r="P1985" s="33"/>
      <c r="Q1985" s="33"/>
    </row>
    <row r="1986" spans="1:17" ht="16.5" customHeight="1" x14ac:dyDescent="0.2">
      <c r="A1986" s="26"/>
      <c r="B1986" s="26"/>
      <c r="C1986" s="26"/>
      <c r="D1986" s="26"/>
      <c r="E1986" s="26"/>
      <c r="F1986" s="28" t="e">
        <f ca="1">_xludf.ifna(VLOOKUP(G1987,Proyectos!$E$1:$H$4,4,0),"")</f>
        <v>#NAME?</v>
      </c>
      <c r="G1986" s="26"/>
      <c r="H1986" s="32"/>
      <c r="I1986" s="32"/>
      <c r="J1986" s="32"/>
      <c r="K1986" s="32"/>
      <c r="L1986" s="32" t="e">
        <f ca="1">_xludf.ifna(VLOOKUP(G1987,Proyectos!$E$1:$N$4,10,0),"")</f>
        <v>#NAME?</v>
      </c>
      <c r="M1986" s="32"/>
      <c r="N1986" s="32" t="s">
        <v>5905</v>
      </c>
      <c r="O1986" s="32"/>
      <c r="P1986" s="33"/>
      <c r="Q1986" s="33"/>
    </row>
    <row r="1987" spans="1:17" ht="16.5" customHeight="1" x14ac:dyDescent="0.2">
      <c r="A1987" s="26"/>
      <c r="B1987" s="26"/>
      <c r="C1987" s="26"/>
      <c r="D1987" s="26"/>
      <c r="E1987" s="26"/>
      <c r="F1987" s="28" t="e">
        <f ca="1">_xludf.ifna(VLOOKUP(G1988,Proyectos!$E$1:$H$4,4,0),"")</f>
        <v>#NAME?</v>
      </c>
      <c r="G1987" s="26"/>
      <c r="H1987" s="32"/>
      <c r="I1987" s="32"/>
      <c r="J1987" s="32"/>
      <c r="K1987" s="32"/>
      <c r="L1987" s="32" t="e">
        <f ca="1">_xludf.ifna(VLOOKUP(G1988,Proyectos!$E$1:$N$4,10,0),"")</f>
        <v>#NAME?</v>
      </c>
      <c r="M1987" s="32"/>
      <c r="N1987" s="32" t="s">
        <v>5905</v>
      </c>
      <c r="O1987" s="32"/>
      <c r="P1987" s="33"/>
      <c r="Q1987" s="33"/>
    </row>
    <row r="1988" spans="1:17" ht="16.5" customHeight="1" x14ac:dyDescent="0.2">
      <c r="A1988" s="26"/>
      <c r="B1988" s="26"/>
      <c r="C1988" s="26"/>
      <c r="D1988" s="26"/>
      <c r="E1988" s="26"/>
      <c r="F1988" s="28" t="e">
        <f ca="1">_xludf.ifna(VLOOKUP(G1989,Proyectos!$E$1:$H$4,4,0),"")</f>
        <v>#NAME?</v>
      </c>
      <c r="G1988" s="26"/>
      <c r="H1988" s="32"/>
      <c r="I1988" s="32"/>
      <c r="J1988" s="32"/>
      <c r="K1988" s="32"/>
      <c r="L1988" s="32" t="e">
        <f ca="1">_xludf.ifna(VLOOKUP(G1989,Proyectos!$E$1:$N$4,10,0),"")</f>
        <v>#NAME?</v>
      </c>
      <c r="M1988" s="32"/>
      <c r="N1988" s="32" t="s">
        <v>5905</v>
      </c>
      <c r="O1988" s="32"/>
      <c r="P1988" s="33"/>
      <c r="Q1988" s="33"/>
    </row>
    <row r="1989" spans="1:17" ht="16.5" customHeight="1" x14ac:dyDescent="0.2">
      <c r="A1989" s="26"/>
      <c r="B1989" s="26"/>
      <c r="C1989" s="26"/>
      <c r="D1989" s="26"/>
      <c r="E1989" s="26"/>
      <c r="F1989" s="28" t="e">
        <f ca="1">_xludf.ifna(VLOOKUP(G1990,Proyectos!$E$1:$H$4,4,0),"")</f>
        <v>#NAME?</v>
      </c>
      <c r="G1989" s="26"/>
      <c r="H1989" s="32"/>
      <c r="I1989" s="32"/>
      <c r="J1989" s="32"/>
      <c r="K1989" s="32"/>
      <c r="L1989" s="32" t="e">
        <f ca="1">_xludf.ifna(VLOOKUP(G1990,Proyectos!$E$1:$N$4,10,0),"")</f>
        <v>#NAME?</v>
      </c>
      <c r="M1989" s="32"/>
      <c r="N1989" s="32" t="s">
        <v>5905</v>
      </c>
      <c r="O1989" s="32"/>
      <c r="P1989" s="33"/>
      <c r="Q1989" s="33"/>
    </row>
    <row r="1990" spans="1:17" ht="16.5" customHeight="1" x14ac:dyDescent="0.2">
      <c r="A1990" s="26"/>
      <c r="B1990" s="26"/>
      <c r="C1990" s="26"/>
      <c r="D1990" s="26"/>
      <c r="E1990" s="26"/>
      <c r="F1990" s="28" t="e">
        <f ca="1">_xludf.ifna(VLOOKUP(G1991,Proyectos!$E$1:$H$4,4,0),"")</f>
        <v>#NAME?</v>
      </c>
      <c r="G1990" s="26"/>
      <c r="H1990" s="32"/>
      <c r="I1990" s="32"/>
      <c r="J1990" s="32"/>
      <c r="K1990" s="32"/>
      <c r="L1990" s="32" t="e">
        <f ca="1">_xludf.ifna(VLOOKUP(G1991,Proyectos!$E$1:$N$4,10,0),"")</f>
        <v>#NAME?</v>
      </c>
      <c r="M1990" s="32"/>
      <c r="N1990" s="32" t="s">
        <v>5905</v>
      </c>
      <c r="O1990" s="32"/>
      <c r="P1990" s="33"/>
      <c r="Q1990" s="33"/>
    </row>
    <row r="1991" spans="1:17" ht="16.5" customHeight="1" x14ac:dyDescent="0.2">
      <c r="A1991" s="26"/>
      <c r="B1991" s="26"/>
      <c r="C1991" s="26"/>
      <c r="D1991" s="26"/>
      <c r="E1991" s="26"/>
      <c r="F1991" s="28" t="e">
        <f ca="1">_xludf.ifna(VLOOKUP(G1992,Proyectos!$E$1:$H$4,4,0),"")</f>
        <v>#NAME?</v>
      </c>
      <c r="G1991" s="26"/>
      <c r="H1991" s="32"/>
      <c r="I1991" s="32"/>
      <c r="J1991" s="32"/>
      <c r="K1991" s="32"/>
      <c r="L1991" s="32" t="e">
        <f ca="1">_xludf.ifna(VLOOKUP(G1992,Proyectos!$E$1:$N$4,10,0),"")</f>
        <v>#NAME?</v>
      </c>
      <c r="M1991" s="32"/>
      <c r="N1991" s="32" t="s">
        <v>5905</v>
      </c>
      <c r="O1991" s="32"/>
      <c r="P1991" s="33"/>
      <c r="Q1991" s="33"/>
    </row>
    <row r="1992" spans="1:17" ht="16.5" customHeight="1" x14ac:dyDescent="0.2">
      <c r="A1992" s="26"/>
      <c r="B1992" s="26"/>
      <c r="C1992" s="26"/>
      <c r="D1992" s="26"/>
      <c r="E1992" s="26"/>
      <c r="F1992" s="28" t="e">
        <f ca="1">_xludf.ifna(VLOOKUP(G1993,Proyectos!$E$1:$H$4,4,0),"")</f>
        <v>#NAME?</v>
      </c>
      <c r="G1992" s="26"/>
      <c r="H1992" s="32"/>
      <c r="I1992" s="32"/>
      <c r="J1992" s="32"/>
      <c r="K1992" s="32"/>
      <c r="L1992" s="32" t="e">
        <f ca="1">_xludf.ifna(VLOOKUP(G1993,Proyectos!$E$1:$N$4,10,0),"")</f>
        <v>#NAME?</v>
      </c>
      <c r="M1992" s="32"/>
      <c r="N1992" s="32" t="s">
        <v>5905</v>
      </c>
      <c r="O1992" s="32"/>
      <c r="P1992" s="33"/>
      <c r="Q1992" s="33"/>
    </row>
    <row r="1993" spans="1:17" ht="16.5" customHeight="1" x14ac:dyDescent="0.2">
      <c r="A1993" s="26"/>
      <c r="B1993" s="26"/>
      <c r="C1993" s="26"/>
      <c r="D1993" s="26"/>
      <c r="E1993" s="26"/>
      <c r="F1993" s="28" t="e">
        <f ca="1">_xludf.ifna(VLOOKUP(G1994,Proyectos!$E$1:$H$4,4,0),"")</f>
        <v>#NAME?</v>
      </c>
      <c r="G1993" s="26"/>
      <c r="H1993" s="32"/>
      <c r="I1993" s="32"/>
      <c r="J1993" s="32"/>
      <c r="K1993" s="32"/>
      <c r="L1993" s="32" t="e">
        <f ca="1">_xludf.ifna(VLOOKUP(G1994,Proyectos!$E$1:$N$4,10,0),"")</f>
        <v>#NAME?</v>
      </c>
      <c r="M1993" s="32"/>
      <c r="N1993" s="32" t="s">
        <v>5905</v>
      </c>
      <c r="O1993" s="32"/>
      <c r="P1993" s="33"/>
      <c r="Q1993" s="33"/>
    </row>
    <row r="1994" spans="1:17" ht="16.5" customHeight="1" x14ac:dyDescent="0.2">
      <c r="A1994" s="26"/>
      <c r="B1994" s="26"/>
      <c r="C1994" s="26"/>
      <c r="D1994" s="26"/>
      <c r="E1994" s="26"/>
      <c r="F1994" s="28" t="e">
        <f ca="1">_xludf.ifna(VLOOKUP(G1995,Proyectos!$E$1:$H$4,4,0),"")</f>
        <v>#NAME?</v>
      </c>
      <c r="G1994" s="26"/>
      <c r="H1994" s="32"/>
      <c r="I1994" s="32"/>
      <c r="J1994" s="32"/>
      <c r="K1994" s="32"/>
      <c r="L1994" s="32" t="e">
        <f ca="1">_xludf.ifna(VLOOKUP(G1995,Proyectos!$E$1:$N$4,10,0),"")</f>
        <v>#NAME?</v>
      </c>
      <c r="M1994" s="32"/>
      <c r="N1994" s="32" t="s">
        <v>5905</v>
      </c>
      <c r="O1994" s="32"/>
      <c r="P1994" s="33"/>
      <c r="Q1994" s="33"/>
    </row>
    <row r="1995" spans="1:17" ht="16.5" customHeight="1" x14ac:dyDescent="0.2">
      <c r="A1995" s="26"/>
      <c r="B1995" s="26"/>
      <c r="C1995" s="26"/>
      <c r="D1995" s="26"/>
      <c r="E1995" s="26"/>
      <c r="F1995" s="28" t="e">
        <f ca="1">_xludf.ifna(VLOOKUP(G1996,Proyectos!$E$1:$H$4,4,0),"")</f>
        <v>#NAME?</v>
      </c>
      <c r="G1995" s="26"/>
      <c r="H1995" s="32"/>
      <c r="I1995" s="32"/>
      <c r="J1995" s="32"/>
      <c r="K1995" s="32"/>
      <c r="L1995" s="32" t="e">
        <f ca="1">_xludf.ifna(VLOOKUP(G1996,Proyectos!$E$1:$N$4,10,0),"")</f>
        <v>#NAME?</v>
      </c>
      <c r="M1995" s="32"/>
      <c r="N1995" s="32" t="s">
        <v>5905</v>
      </c>
      <c r="O1995" s="32"/>
      <c r="P1995" s="33"/>
      <c r="Q1995" s="33"/>
    </row>
    <row r="1996" spans="1:17" ht="16.5" customHeight="1" x14ac:dyDescent="0.2">
      <c r="A1996" s="26"/>
      <c r="B1996" s="26"/>
      <c r="C1996" s="26"/>
      <c r="D1996" s="26"/>
      <c r="E1996" s="26"/>
      <c r="F1996" s="28" t="e">
        <f ca="1">_xludf.ifna(VLOOKUP(G1997,Proyectos!$E$1:$H$4,4,0),"")</f>
        <v>#NAME?</v>
      </c>
      <c r="G1996" s="26"/>
      <c r="H1996" s="32"/>
      <c r="I1996" s="32"/>
      <c r="J1996" s="32"/>
      <c r="K1996" s="32"/>
      <c r="L1996" s="32" t="e">
        <f ca="1">_xludf.ifna(VLOOKUP(G1997,Proyectos!$E$1:$N$4,10,0),"")</f>
        <v>#NAME?</v>
      </c>
      <c r="M1996" s="32"/>
      <c r="N1996" s="32" t="s">
        <v>5905</v>
      </c>
      <c r="O1996" s="32"/>
      <c r="P1996" s="33"/>
      <c r="Q1996" s="33"/>
    </row>
    <row r="1997" spans="1:17" ht="16.5" customHeight="1" x14ac:dyDescent="0.2">
      <c r="A1997" s="26"/>
      <c r="B1997" s="26"/>
      <c r="C1997" s="26"/>
      <c r="D1997" s="26"/>
      <c r="E1997" s="26"/>
      <c r="F1997" s="28" t="e">
        <f ca="1">_xludf.ifna(VLOOKUP(G1998,Proyectos!$E$1:$H$4,4,0),"")</f>
        <v>#NAME?</v>
      </c>
      <c r="G1997" s="26"/>
      <c r="H1997" s="32"/>
      <c r="I1997" s="32"/>
      <c r="J1997" s="32"/>
      <c r="K1997" s="32"/>
      <c r="L1997" s="32" t="e">
        <f ca="1">_xludf.ifna(VLOOKUP(G1998,Proyectos!$E$1:$N$4,10,0),"")</f>
        <v>#NAME?</v>
      </c>
      <c r="M1997" s="32"/>
      <c r="N1997" s="32" t="s">
        <v>5905</v>
      </c>
      <c r="O1997" s="32"/>
      <c r="P1997" s="33"/>
      <c r="Q1997" s="33"/>
    </row>
    <row r="1998" spans="1:17" ht="16.5" customHeight="1" x14ac:dyDescent="0.2">
      <c r="A1998" s="26"/>
      <c r="B1998" s="26"/>
      <c r="C1998" s="26"/>
      <c r="D1998" s="26"/>
      <c r="E1998" s="26"/>
      <c r="F1998" s="28" t="e">
        <f ca="1">_xludf.ifna(VLOOKUP(G1999,Proyectos!$E$1:$H$4,4,0),"")</f>
        <v>#NAME?</v>
      </c>
      <c r="G1998" s="26"/>
      <c r="H1998" s="32"/>
      <c r="I1998" s="32"/>
      <c r="J1998" s="32"/>
      <c r="K1998" s="32"/>
      <c r="L1998" s="32" t="e">
        <f ca="1">_xludf.ifna(VLOOKUP(G1999,Proyectos!$E$1:$N$4,10,0),"")</f>
        <v>#NAME?</v>
      </c>
      <c r="M1998" s="32"/>
      <c r="N1998" s="32" t="s">
        <v>5905</v>
      </c>
      <c r="O1998" s="32"/>
      <c r="P1998" s="33"/>
      <c r="Q1998" s="33"/>
    </row>
    <row r="1999" spans="1:17" ht="16.5" customHeight="1" x14ac:dyDescent="0.2">
      <c r="A1999" s="26"/>
      <c r="B1999" s="26"/>
      <c r="C1999" s="26"/>
      <c r="D1999" s="26"/>
      <c r="E1999" s="26"/>
      <c r="F1999" s="28" t="e">
        <f ca="1">_xludf.ifna(VLOOKUP(G2000,Proyectos!$E$1:$H$4,4,0),"")</f>
        <v>#NAME?</v>
      </c>
      <c r="G1999" s="26"/>
      <c r="H1999" s="32"/>
      <c r="I1999" s="32"/>
      <c r="J1999" s="32"/>
      <c r="K1999" s="32"/>
      <c r="L1999" s="32" t="e">
        <f ca="1">_xludf.ifna(VLOOKUP(G2000,Proyectos!$E$1:$N$4,10,0),"")</f>
        <v>#NAME?</v>
      </c>
      <c r="M1999" s="32"/>
      <c r="N1999" s="32" t="s">
        <v>5905</v>
      </c>
      <c r="O1999" s="32"/>
      <c r="P1999" s="33"/>
      <c r="Q1999" s="33"/>
    </row>
    <row r="2000" spans="1:17" ht="16.5" customHeight="1" x14ac:dyDescent="0.2">
      <c r="A2000" s="26"/>
      <c r="B2000" s="26"/>
      <c r="C2000" s="26"/>
      <c r="D2000" s="26"/>
      <c r="E2000" s="26"/>
      <c r="F2000" s="28" t="e">
        <f ca="1">_xludf.ifna(VLOOKUP(G2001,Proyectos!$E$1:$H$4,4,0),"")</f>
        <v>#NAME?</v>
      </c>
      <c r="G2000" s="26"/>
      <c r="H2000" s="32"/>
      <c r="I2000" s="32"/>
      <c r="J2000" s="32"/>
      <c r="K2000" s="32"/>
      <c r="L2000" s="32" t="e">
        <f ca="1">_xludf.ifna(VLOOKUP(G2001,Proyectos!$E$1:$N$4,10,0),"")</f>
        <v>#NAME?</v>
      </c>
      <c r="M2000" s="32"/>
      <c r="N2000" s="32" t="s">
        <v>5905</v>
      </c>
      <c r="O2000" s="32"/>
      <c r="P2000" s="33"/>
      <c r="Q2000" s="33"/>
    </row>
    <row r="2001" spans="1:17" ht="16.5" customHeight="1" x14ac:dyDescent="0.2">
      <c r="A2001" s="26"/>
      <c r="B2001" s="26"/>
      <c r="C2001" s="26"/>
      <c r="D2001" s="26"/>
      <c r="E2001" s="26"/>
      <c r="F2001" s="28" t="e">
        <f ca="1">_xludf.ifna(VLOOKUP(G2002,Proyectos!$E$1:$H$4,4,0),"")</f>
        <v>#NAME?</v>
      </c>
      <c r="G2001" s="26"/>
      <c r="H2001" s="32"/>
      <c r="I2001" s="32"/>
      <c r="J2001" s="32"/>
      <c r="K2001" s="32"/>
      <c r="L2001" s="32" t="e">
        <f ca="1">_xludf.ifna(VLOOKUP(G2002,Proyectos!$E$1:$N$4,10,0),"")</f>
        <v>#NAME?</v>
      </c>
      <c r="M2001" s="32"/>
      <c r="N2001" s="32" t="s">
        <v>5905</v>
      </c>
      <c r="O2001" s="32"/>
      <c r="P2001" s="33"/>
      <c r="Q2001" s="33"/>
    </row>
    <row r="2002" spans="1:17" ht="16.5" customHeight="1" x14ac:dyDescent="0.2">
      <c r="A2002" s="26"/>
      <c r="B2002" s="26"/>
      <c r="C2002" s="26"/>
      <c r="D2002" s="26"/>
      <c r="E2002" s="26"/>
      <c r="F2002" s="28" t="e">
        <f ca="1">_xludf.ifna(VLOOKUP(G2003,Proyectos!$E$1:$H$4,4,0),"")</f>
        <v>#NAME?</v>
      </c>
      <c r="G2002" s="26"/>
      <c r="H2002" s="32"/>
      <c r="I2002" s="32"/>
      <c r="J2002" s="32"/>
      <c r="K2002" s="32"/>
      <c r="L2002" s="32" t="e">
        <f ca="1">_xludf.ifna(VLOOKUP(G2003,Proyectos!$E$1:$N$4,10,0),"")</f>
        <v>#NAME?</v>
      </c>
      <c r="M2002" s="32"/>
      <c r="N2002" s="32" t="s">
        <v>5905</v>
      </c>
      <c r="O2002" s="32"/>
      <c r="P2002" s="33"/>
      <c r="Q2002" s="33"/>
    </row>
    <row r="2003" spans="1:17" ht="16.5" customHeight="1" x14ac:dyDescent="0.2">
      <c r="A2003" s="26"/>
      <c r="B2003" s="26"/>
      <c r="C2003" s="26"/>
      <c r="D2003" s="26"/>
      <c r="E2003" s="26"/>
      <c r="F2003" s="28" t="e">
        <f ca="1">_xludf.ifna(VLOOKUP(G2004,Proyectos!$E$1:$H$4,4,0),"")</f>
        <v>#NAME?</v>
      </c>
      <c r="G2003" s="26"/>
      <c r="H2003" s="32"/>
      <c r="I2003" s="32"/>
      <c r="J2003" s="32"/>
      <c r="K2003" s="32"/>
      <c r="L2003" s="32" t="e">
        <f ca="1">_xludf.ifna(VLOOKUP(G2004,Proyectos!$E$1:$N$4,10,0),"")</f>
        <v>#NAME?</v>
      </c>
      <c r="M2003" s="32"/>
      <c r="N2003" s="32" t="s">
        <v>5905</v>
      </c>
      <c r="O2003" s="32"/>
      <c r="P2003" s="33"/>
      <c r="Q2003" s="33"/>
    </row>
    <row r="2004" spans="1:17" ht="16.5" customHeight="1" x14ac:dyDescent="0.2">
      <c r="A2004" s="26"/>
      <c r="B2004" s="26"/>
      <c r="C2004" s="26"/>
      <c r="D2004" s="26"/>
      <c r="E2004" s="26"/>
      <c r="F2004" s="28" t="e">
        <f ca="1">_xludf.ifna(VLOOKUP(G2005,Proyectos!$E$1:$H$4,4,0),"")</f>
        <v>#NAME?</v>
      </c>
      <c r="G2004" s="26"/>
      <c r="H2004" s="32"/>
      <c r="I2004" s="32"/>
      <c r="J2004" s="32"/>
      <c r="K2004" s="32"/>
      <c r="L2004" s="32" t="e">
        <f ca="1">_xludf.ifna(VLOOKUP(G2005,Proyectos!$E$1:$N$4,10,0),"")</f>
        <v>#NAME?</v>
      </c>
      <c r="M2004" s="32"/>
      <c r="N2004" s="32" t="s">
        <v>5905</v>
      </c>
      <c r="O2004" s="32"/>
      <c r="P2004" s="33"/>
      <c r="Q2004" s="33"/>
    </row>
    <row r="2005" spans="1:17" ht="16.5" customHeight="1" x14ac:dyDescent="0.2">
      <c r="A2005" s="26"/>
      <c r="B2005" s="26"/>
      <c r="C2005" s="26"/>
      <c r="D2005" s="26"/>
      <c r="E2005" s="26"/>
      <c r="F2005" s="28" t="e">
        <f ca="1">_xludf.ifna(VLOOKUP(G2006,Proyectos!$E$1:$H$4,4,0),"")</f>
        <v>#NAME?</v>
      </c>
      <c r="G2005" s="26"/>
      <c r="H2005" s="32"/>
      <c r="I2005" s="32"/>
      <c r="J2005" s="32"/>
      <c r="K2005" s="32"/>
      <c r="L2005" s="32" t="e">
        <f ca="1">_xludf.ifna(VLOOKUP(G2006,Proyectos!$E$1:$N$4,10,0),"")</f>
        <v>#NAME?</v>
      </c>
      <c r="M2005" s="32"/>
      <c r="N2005" s="32" t="s">
        <v>5905</v>
      </c>
      <c r="O2005" s="32"/>
      <c r="P2005" s="33"/>
      <c r="Q2005" s="33"/>
    </row>
    <row r="2006" spans="1:17" ht="16.5" customHeight="1" x14ac:dyDescent="0.2">
      <c r="A2006" s="26"/>
      <c r="B2006" s="26"/>
      <c r="C2006" s="26"/>
      <c r="D2006" s="26"/>
      <c r="E2006" s="26"/>
      <c r="F2006" s="28" t="e">
        <f ca="1">_xludf.ifna(VLOOKUP(G2007,Proyectos!$E$1:$H$4,4,0),"")</f>
        <v>#NAME?</v>
      </c>
      <c r="G2006" s="26"/>
      <c r="H2006" s="32"/>
      <c r="I2006" s="32"/>
      <c r="J2006" s="32"/>
      <c r="K2006" s="32"/>
      <c r="L2006" s="32" t="e">
        <f ca="1">_xludf.ifna(VLOOKUP(G2007,Proyectos!$E$1:$N$4,10,0),"")</f>
        <v>#NAME?</v>
      </c>
      <c r="M2006" s="32"/>
      <c r="N2006" s="32" t="s">
        <v>5905</v>
      </c>
      <c r="O2006" s="32"/>
      <c r="P2006" s="33"/>
      <c r="Q2006" s="33"/>
    </row>
    <row r="2007" spans="1:17" ht="16.5" customHeight="1" x14ac:dyDescent="0.2">
      <c r="A2007" s="26"/>
      <c r="B2007" s="26"/>
      <c r="C2007" s="26"/>
      <c r="D2007" s="26"/>
      <c r="E2007" s="26"/>
      <c r="F2007" s="28" t="e">
        <f ca="1">_xludf.ifna(VLOOKUP(G2008,Proyectos!$E$1:$H$4,4,0),"")</f>
        <v>#NAME?</v>
      </c>
      <c r="G2007" s="26"/>
      <c r="H2007" s="32"/>
      <c r="I2007" s="32"/>
      <c r="J2007" s="32"/>
      <c r="K2007" s="32"/>
      <c r="L2007" s="32" t="e">
        <f ca="1">_xludf.ifna(VLOOKUP(G2008,Proyectos!$E$1:$N$4,10,0),"")</f>
        <v>#NAME?</v>
      </c>
      <c r="M2007" s="32"/>
      <c r="N2007" s="32" t="s">
        <v>5905</v>
      </c>
      <c r="O2007" s="32"/>
      <c r="P2007" s="33"/>
      <c r="Q2007" s="33"/>
    </row>
    <row r="2008" spans="1:17" ht="16.5" customHeight="1" x14ac:dyDescent="0.2">
      <c r="A2008" s="26"/>
      <c r="B2008" s="26"/>
      <c r="C2008" s="26"/>
      <c r="D2008" s="26"/>
      <c r="E2008" s="26"/>
      <c r="F2008" s="28" t="e">
        <f ca="1">_xludf.ifna(VLOOKUP(G2009,Proyectos!$E$1:$H$4,4,0),"")</f>
        <v>#NAME?</v>
      </c>
      <c r="G2008" s="26"/>
      <c r="H2008" s="32"/>
      <c r="I2008" s="32"/>
      <c r="J2008" s="32"/>
      <c r="K2008" s="32"/>
      <c r="L2008" s="32" t="e">
        <f ca="1">_xludf.ifna(VLOOKUP(G2009,Proyectos!$E$1:$N$4,10,0),"")</f>
        <v>#NAME?</v>
      </c>
      <c r="M2008" s="32"/>
      <c r="N2008" s="32" t="s">
        <v>5905</v>
      </c>
      <c r="O2008" s="32"/>
      <c r="P2008" s="33"/>
      <c r="Q2008" s="33"/>
    </row>
    <row r="2009" spans="1:17" ht="16.5" customHeight="1" x14ac:dyDescent="0.2">
      <c r="A2009" s="26"/>
      <c r="B2009" s="26"/>
      <c r="C2009" s="26"/>
      <c r="D2009" s="26"/>
      <c r="E2009" s="26"/>
      <c r="F2009" s="28" t="e">
        <f ca="1">_xludf.ifna(VLOOKUP(G2010,Proyectos!$E$1:$H$4,4,0),"")</f>
        <v>#NAME?</v>
      </c>
      <c r="G2009" s="26"/>
      <c r="H2009" s="32"/>
      <c r="I2009" s="32"/>
      <c r="J2009" s="32"/>
      <c r="K2009" s="32"/>
      <c r="L2009" s="32" t="e">
        <f ca="1">_xludf.ifna(VLOOKUP(G2010,Proyectos!$E$1:$N$4,10,0),"")</f>
        <v>#NAME?</v>
      </c>
      <c r="M2009" s="32"/>
      <c r="N2009" s="32" t="s">
        <v>5905</v>
      </c>
      <c r="O2009" s="32"/>
      <c r="P2009" s="33"/>
      <c r="Q2009" s="33"/>
    </row>
    <row r="2010" spans="1:17" ht="16.5" customHeight="1" x14ac:dyDescent="0.2">
      <c r="A2010" s="26"/>
      <c r="B2010" s="26"/>
      <c r="C2010" s="26"/>
      <c r="D2010" s="26"/>
      <c r="E2010" s="26"/>
      <c r="F2010" s="28" t="e">
        <f ca="1">_xludf.ifna(VLOOKUP(G2011,Proyectos!$E$1:$H$4,4,0),"")</f>
        <v>#NAME?</v>
      </c>
      <c r="G2010" s="26"/>
      <c r="H2010" s="32"/>
      <c r="I2010" s="32"/>
      <c r="J2010" s="32"/>
      <c r="K2010" s="32"/>
      <c r="L2010" s="32" t="e">
        <f ca="1">_xludf.ifna(VLOOKUP(G2011,Proyectos!$E$1:$N$4,10,0),"")</f>
        <v>#NAME?</v>
      </c>
      <c r="M2010" s="32"/>
      <c r="N2010" s="32" t="s">
        <v>5905</v>
      </c>
      <c r="O2010" s="32"/>
      <c r="P2010" s="33"/>
      <c r="Q2010" s="33"/>
    </row>
    <row r="2011" spans="1:17" ht="16.5" customHeight="1" x14ac:dyDescent="0.2">
      <c r="A2011" s="26"/>
      <c r="B2011" s="26"/>
      <c r="C2011" s="26"/>
      <c r="D2011" s="26"/>
      <c r="E2011" s="26"/>
      <c r="F2011" s="28" t="e">
        <f ca="1">_xludf.ifna(VLOOKUP(G2012,Proyectos!$E$1:$H$4,4,0),"")</f>
        <v>#NAME?</v>
      </c>
      <c r="G2011" s="26"/>
      <c r="H2011" s="32"/>
      <c r="I2011" s="32"/>
      <c r="J2011" s="32"/>
      <c r="K2011" s="32"/>
      <c r="L2011" s="32" t="e">
        <f ca="1">_xludf.ifna(VLOOKUP(G2012,Proyectos!$E$1:$N$4,10,0),"")</f>
        <v>#NAME?</v>
      </c>
      <c r="M2011" s="32"/>
      <c r="N2011" s="32" t="s">
        <v>5905</v>
      </c>
      <c r="O2011" s="32"/>
      <c r="P2011" s="33"/>
      <c r="Q2011" s="33"/>
    </row>
    <row r="2012" spans="1:17" ht="16.5" customHeight="1" x14ac:dyDescent="0.2">
      <c r="A2012" s="26"/>
      <c r="B2012" s="26"/>
      <c r="C2012" s="26"/>
      <c r="D2012" s="26"/>
      <c r="E2012" s="26"/>
      <c r="F2012" s="28" t="e">
        <f ca="1">_xludf.ifna(VLOOKUP(G2013,Proyectos!$E$1:$H$4,4,0),"")</f>
        <v>#NAME?</v>
      </c>
      <c r="G2012" s="26"/>
      <c r="H2012" s="32"/>
      <c r="I2012" s="32"/>
      <c r="J2012" s="32"/>
      <c r="K2012" s="32"/>
      <c r="L2012" s="32" t="e">
        <f ca="1">_xludf.ifna(VLOOKUP(G2013,Proyectos!$E$1:$N$4,10,0),"")</f>
        <v>#NAME?</v>
      </c>
      <c r="M2012" s="32"/>
      <c r="N2012" s="32" t="s">
        <v>5905</v>
      </c>
      <c r="O2012" s="32"/>
      <c r="P2012" s="33"/>
      <c r="Q2012" s="33"/>
    </row>
    <row r="2013" spans="1:17" ht="16.5" customHeight="1" x14ac:dyDescent="0.2">
      <c r="A2013" s="26"/>
      <c r="B2013" s="26"/>
      <c r="C2013" s="26"/>
      <c r="D2013" s="26"/>
      <c r="E2013" s="26"/>
      <c r="F2013" s="28" t="e">
        <f ca="1">_xludf.ifna(VLOOKUP(G2014,Proyectos!$E$1:$H$4,4,0),"")</f>
        <v>#NAME?</v>
      </c>
      <c r="G2013" s="26"/>
      <c r="H2013" s="32"/>
      <c r="I2013" s="32"/>
      <c r="J2013" s="32"/>
      <c r="K2013" s="32"/>
      <c r="L2013" s="32" t="e">
        <f ca="1">_xludf.ifna(VLOOKUP(G2014,Proyectos!$E$1:$N$4,10,0),"")</f>
        <v>#NAME?</v>
      </c>
      <c r="M2013" s="32"/>
      <c r="N2013" s="32" t="s">
        <v>5905</v>
      </c>
      <c r="O2013" s="32"/>
      <c r="P2013" s="33"/>
      <c r="Q2013" s="33"/>
    </row>
    <row r="2014" spans="1:17" ht="16.5" customHeight="1" x14ac:dyDescent="0.2">
      <c r="A2014" s="26"/>
      <c r="B2014" s="26"/>
      <c r="C2014" s="26"/>
      <c r="D2014" s="26"/>
      <c r="E2014" s="26"/>
      <c r="F2014" s="28" t="e">
        <f ca="1">_xludf.ifna(VLOOKUP(G2015,Proyectos!$E$1:$H$4,4,0),"")</f>
        <v>#NAME?</v>
      </c>
      <c r="G2014" s="26"/>
      <c r="H2014" s="32"/>
      <c r="I2014" s="32"/>
      <c r="J2014" s="32"/>
      <c r="K2014" s="32"/>
      <c r="L2014" s="32" t="e">
        <f ca="1">_xludf.ifna(VLOOKUP(G2015,Proyectos!$E$1:$N$4,10,0),"")</f>
        <v>#NAME?</v>
      </c>
      <c r="M2014" s="32"/>
      <c r="N2014" s="32" t="s">
        <v>5905</v>
      </c>
      <c r="O2014" s="32"/>
      <c r="P2014" s="33"/>
      <c r="Q2014" s="33"/>
    </row>
    <row r="2015" spans="1:17" ht="16.5" customHeight="1" x14ac:dyDescent="0.2">
      <c r="A2015" s="26"/>
      <c r="B2015" s="26"/>
      <c r="C2015" s="26"/>
      <c r="D2015" s="26"/>
      <c r="E2015" s="26"/>
      <c r="F2015" s="28" t="e">
        <f ca="1">_xludf.ifna(VLOOKUP(G2016,Proyectos!$E$1:$H$4,4,0),"")</f>
        <v>#NAME?</v>
      </c>
      <c r="G2015" s="26"/>
      <c r="H2015" s="32"/>
      <c r="I2015" s="32"/>
      <c r="J2015" s="32"/>
      <c r="K2015" s="32"/>
      <c r="L2015" s="32" t="e">
        <f ca="1">_xludf.ifna(VLOOKUP(G2016,Proyectos!$E$1:$N$4,10,0),"")</f>
        <v>#NAME?</v>
      </c>
      <c r="M2015" s="32"/>
      <c r="N2015" s="32" t="s">
        <v>5905</v>
      </c>
      <c r="O2015" s="32"/>
      <c r="P2015" s="33"/>
      <c r="Q2015" s="33"/>
    </row>
    <row r="2016" spans="1:17" ht="16.5" customHeight="1" x14ac:dyDescent="0.2">
      <c r="A2016" s="26"/>
      <c r="B2016" s="26"/>
      <c r="C2016" s="26"/>
      <c r="D2016" s="26"/>
      <c r="E2016" s="26"/>
      <c r="F2016" s="28" t="e">
        <f ca="1">_xludf.ifna(VLOOKUP(G2017,Proyectos!$E$1:$H$4,4,0),"")</f>
        <v>#NAME?</v>
      </c>
      <c r="G2016" s="26"/>
      <c r="H2016" s="32"/>
      <c r="I2016" s="32"/>
      <c r="J2016" s="32"/>
      <c r="K2016" s="32"/>
      <c r="L2016" s="32" t="e">
        <f ca="1">_xludf.ifna(VLOOKUP(G2017,Proyectos!$E$1:$N$4,10,0),"")</f>
        <v>#NAME?</v>
      </c>
      <c r="M2016" s="32"/>
      <c r="N2016" s="32" t="s">
        <v>5905</v>
      </c>
      <c r="O2016" s="32"/>
      <c r="P2016" s="33"/>
      <c r="Q2016" s="33"/>
    </row>
    <row r="2017" spans="1:17" ht="16.5" customHeight="1" x14ac:dyDescent="0.2">
      <c r="A2017" s="26"/>
      <c r="B2017" s="26"/>
      <c r="C2017" s="26"/>
      <c r="D2017" s="26"/>
      <c r="E2017" s="26"/>
      <c r="F2017" s="28" t="e">
        <f ca="1">_xludf.ifna(VLOOKUP(G2018,Proyectos!$E$1:$H$4,4,0),"")</f>
        <v>#NAME?</v>
      </c>
      <c r="G2017" s="26"/>
      <c r="H2017" s="32"/>
      <c r="I2017" s="32"/>
      <c r="J2017" s="32"/>
      <c r="K2017" s="32"/>
      <c r="L2017" s="32" t="e">
        <f ca="1">_xludf.ifna(VLOOKUP(G2018,Proyectos!$E$1:$N$4,10,0),"")</f>
        <v>#NAME?</v>
      </c>
      <c r="M2017" s="32"/>
      <c r="N2017" s="32" t="s">
        <v>5905</v>
      </c>
      <c r="O2017" s="32"/>
      <c r="P2017" s="33"/>
      <c r="Q2017" s="33"/>
    </row>
    <row r="2018" spans="1:17" ht="16.5" customHeight="1" x14ac:dyDescent="0.2">
      <c r="A2018" s="26"/>
      <c r="B2018" s="26"/>
      <c r="C2018" s="26"/>
      <c r="D2018" s="26"/>
      <c r="E2018" s="26"/>
      <c r="F2018" s="28" t="e">
        <f ca="1">_xludf.ifna(VLOOKUP(G2019,Proyectos!$E$1:$H$4,4,0),"")</f>
        <v>#NAME?</v>
      </c>
      <c r="G2018" s="26"/>
      <c r="H2018" s="32"/>
      <c r="I2018" s="32"/>
      <c r="J2018" s="32"/>
      <c r="K2018" s="32"/>
      <c r="L2018" s="32" t="e">
        <f ca="1">_xludf.ifna(VLOOKUP(G2019,Proyectos!$E$1:$N$4,10,0),"")</f>
        <v>#NAME?</v>
      </c>
      <c r="M2018" s="32"/>
      <c r="N2018" s="32" t="s">
        <v>5905</v>
      </c>
      <c r="O2018" s="32"/>
      <c r="P2018" s="33"/>
      <c r="Q2018" s="33"/>
    </row>
    <row r="2019" spans="1:17" ht="16.5" customHeight="1" x14ac:dyDescent="0.2">
      <c r="A2019" s="26"/>
      <c r="B2019" s="26"/>
      <c r="C2019" s="26"/>
      <c r="D2019" s="26"/>
      <c r="E2019" s="26"/>
      <c r="F2019" s="28" t="e">
        <f ca="1">_xludf.ifna(VLOOKUP(G2020,Proyectos!$E$1:$H$4,4,0),"")</f>
        <v>#NAME?</v>
      </c>
      <c r="G2019" s="26"/>
      <c r="H2019" s="32"/>
      <c r="I2019" s="32"/>
      <c r="J2019" s="32"/>
      <c r="K2019" s="32"/>
      <c r="L2019" s="32" t="e">
        <f ca="1">_xludf.ifna(VLOOKUP(G2020,Proyectos!$E$1:$N$4,10,0),"")</f>
        <v>#NAME?</v>
      </c>
      <c r="M2019" s="32"/>
      <c r="N2019" s="32" t="s">
        <v>5905</v>
      </c>
      <c r="O2019" s="32"/>
      <c r="P2019" s="33"/>
      <c r="Q2019" s="33"/>
    </row>
    <row r="2020" spans="1:17" ht="16.5" customHeight="1" x14ac:dyDescent="0.2">
      <c r="A2020" s="26"/>
      <c r="B2020" s="26"/>
      <c r="C2020" s="26"/>
      <c r="D2020" s="26"/>
      <c r="E2020" s="26"/>
      <c r="F2020" s="28" t="e">
        <f ca="1">_xludf.ifna(VLOOKUP(G2021,Proyectos!$E$1:$H$4,4,0),"")</f>
        <v>#NAME?</v>
      </c>
      <c r="G2020" s="26"/>
      <c r="H2020" s="32"/>
      <c r="I2020" s="32"/>
      <c r="J2020" s="32"/>
      <c r="K2020" s="32"/>
      <c r="L2020" s="32" t="e">
        <f ca="1">_xludf.ifna(VLOOKUP(G2021,Proyectos!$E$1:$N$4,10,0),"")</f>
        <v>#NAME?</v>
      </c>
      <c r="M2020" s="32"/>
      <c r="N2020" s="32" t="s">
        <v>5905</v>
      </c>
      <c r="O2020" s="32"/>
      <c r="P2020" s="33"/>
      <c r="Q2020" s="33"/>
    </row>
    <row r="2021" spans="1:17" ht="16.5" customHeight="1" x14ac:dyDescent="0.2">
      <c r="A2021" s="26"/>
      <c r="B2021" s="26"/>
      <c r="C2021" s="26"/>
      <c r="D2021" s="26"/>
      <c r="E2021" s="26"/>
      <c r="F2021" s="28" t="e">
        <f ca="1">_xludf.ifna(VLOOKUP(G2022,Proyectos!$E$1:$H$4,4,0),"")</f>
        <v>#NAME?</v>
      </c>
      <c r="G2021" s="26"/>
      <c r="H2021" s="32"/>
      <c r="I2021" s="32"/>
      <c r="J2021" s="32"/>
      <c r="K2021" s="32"/>
      <c r="L2021" s="32" t="e">
        <f ca="1">_xludf.ifna(VLOOKUP(G2022,Proyectos!$E$1:$N$4,10,0),"")</f>
        <v>#NAME?</v>
      </c>
      <c r="M2021" s="32"/>
      <c r="N2021" s="32" t="s">
        <v>5905</v>
      </c>
      <c r="O2021" s="32"/>
      <c r="P2021" s="33"/>
      <c r="Q2021" s="33"/>
    </row>
    <row r="2022" spans="1:17" ht="16.5" customHeight="1" x14ac:dyDescent="0.2">
      <c r="A2022" s="26"/>
      <c r="B2022" s="26"/>
      <c r="C2022" s="26"/>
      <c r="D2022" s="26"/>
      <c r="E2022" s="26"/>
      <c r="F2022" s="28" t="e">
        <f ca="1">_xludf.ifna(VLOOKUP(G2023,Proyectos!$E$1:$H$4,4,0),"")</f>
        <v>#NAME?</v>
      </c>
      <c r="G2022" s="26"/>
      <c r="H2022" s="32"/>
      <c r="I2022" s="32"/>
      <c r="J2022" s="32"/>
      <c r="K2022" s="32"/>
      <c r="L2022" s="32" t="e">
        <f ca="1">_xludf.ifna(VLOOKUP(G2023,Proyectos!$E$1:$N$4,10,0),"")</f>
        <v>#NAME?</v>
      </c>
      <c r="M2022" s="32"/>
      <c r="N2022" s="32" t="s">
        <v>5905</v>
      </c>
      <c r="O2022" s="32"/>
      <c r="P2022" s="33"/>
      <c r="Q2022" s="33"/>
    </row>
    <row r="2023" spans="1:17" ht="16.5" customHeight="1" x14ac:dyDescent="0.2">
      <c r="A2023" s="26"/>
      <c r="B2023" s="26"/>
      <c r="C2023" s="26"/>
      <c r="D2023" s="26"/>
      <c r="E2023" s="26"/>
      <c r="F2023" s="28" t="e">
        <f ca="1">_xludf.ifna(VLOOKUP(G2024,Proyectos!$E$1:$H$4,4,0),"")</f>
        <v>#NAME?</v>
      </c>
      <c r="G2023" s="26"/>
      <c r="H2023" s="32"/>
      <c r="I2023" s="32"/>
      <c r="J2023" s="32"/>
      <c r="K2023" s="32"/>
      <c r="L2023" s="32" t="e">
        <f ca="1">_xludf.ifna(VLOOKUP(G2024,Proyectos!$E$1:$N$4,10,0),"")</f>
        <v>#NAME?</v>
      </c>
      <c r="M2023" s="32"/>
      <c r="N2023" s="32" t="s">
        <v>5905</v>
      </c>
      <c r="O2023" s="32"/>
      <c r="P2023" s="33"/>
      <c r="Q2023" s="33"/>
    </row>
    <row r="2024" spans="1:17" ht="16.5" customHeight="1" x14ac:dyDescent="0.2">
      <c r="A2024" s="26"/>
      <c r="B2024" s="26"/>
      <c r="C2024" s="26"/>
      <c r="D2024" s="26"/>
      <c r="E2024" s="26"/>
      <c r="F2024" s="28" t="e">
        <f ca="1">_xludf.ifna(VLOOKUP(G2025,Proyectos!$E$1:$H$4,4,0),"")</f>
        <v>#NAME?</v>
      </c>
      <c r="G2024" s="26"/>
      <c r="H2024" s="32"/>
      <c r="I2024" s="32"/>
      <c r="J2024" s="32"/>
      <c r="K2024" s="32"/>
      <c r="L2024" s="32" t="e">
        <f ca="1">_xludf.ifna(VLOOKUP(G2025,Proyectos!$E$1:$N$4,10,0),"")</f>
        <v>#NAME?</v>
      </c>
      <c r="M2024" s="32"/>
      <c r="N2024" s="32" t="s">
        <v>5905</v>
      </c>
      <c r="O2024" s="32"/>
      <c r="P2024" s="33"/>
      <c r="Q2024" s="33"/>
    </row>
    <row r="2025" spans="1:17" ht="16.5" customHeight="1" x14ac:dyDescent="0.2">
      <c r="A2025" s="26"/>
      <c r="B2025" s="26"/>
      <c r="C2025" s="26"/>
      <c r="D2025" s="26"/>
      <c r="E2025" s="26"/>
      <c r="F2025" s="28" t="e">
        <f ca="1">_xludf.ifna(VLOOKUP(G2026,Proyectos!$E$1:$H$4,4,0),"")</f>
        <v>#NAME?</v>
      </c>
      <c r="G2025" s="26"/>
      <c r="H2025" s="32"/>
      <c r="I2025" s="32"/>
      <c r="J2025" s="32"/>
      <c r="K2025" s="32"/>
      <c r="L2025" s="32" t="e">
        <f ca="1">_xludf.ifna(VLOOKUP(G2026,Proyectos!$E$1:$N$4,10,0),"")</f>
        <v>#NAME?</v>
      </c>
      <c r="M2025" s="32"/>
      <c r="N2025" s="32" t="s">
        <v>5905</v>
      </c>
      <c r="O2025" s="32"/>
      <c r="P2025" s="33"/>
      <c r="Q2025" s="33"/>
    </row>
    <row r="2026" spans="1:17" ht="16.5" customHeight="1" x14ac:dyDescent="0.2">
      <c r="A2026" s="26"/>
      <c r="B2026" s="26"/>
      <c r="C2026" s="26"/>
      <c r="D2026" s="26"/>
      <c r="E2026" s="26"/>
      <c r="F2026" s="28" t="e">
        <f ca="1">_xludf.ifna(VLOOKUP(G2027,Proyectos!$E$1:$H$4,4,0),"")</f>
        <v>#NAME?</v>
      </c>
      <c r="G2026" s="26"/>
      <c r="H2026" s="32"/>
      <c r="I2026" s="32"/>
      <c r="J2026" s="32"/>
      <c r="K2026" s="32"/>
      <c r="L2026" s="32" t="e">
        <f ca="1">_xludf.ifna(VLOOKUP(G2027,Proyectos!$E$1:$N$4,10,0),"")</f>
        <v>#NAME?</v>
      </c>
      <c r="M2026" s="32"/>
      <c r="N2026" s="32" t="s">
        <v>5905</v>
      </c>
      <c r="O2026" s="32"/>
      <c r="P2026" s="33"/>
      <c r="Q2026" s="33"/>
    </row>
    <row r="2027" spans="1:17" ht="16.5" customHeight="1" x14ac:dyDescent="0.2">
      <c r="A2027" s="26"/>
      <c r="B2027" s="26"/>
      <c r="C2027" s="26"/>
      <c r="D2027" s="26"/>
      <c r="E2027" s="26"/>
      <c r="F2027" s="28" t="e">
        <f ca="1">_xludf.ifna(VLOOKUP(G2028,Proyectos!$E$1:$H$4,4,0),"")</f>
        <v>#NAME?</v>
      </c>
      <c r="G2027" s="26"/>
      <c r="H2027" s="32"/>
      <c r="I2027" s="32"/>
      <c r="J2027" s="32"/>
      <c r="K2027" s="32"/>
      <c r="L2027" s="32" t="e">
        <f ca="1">_xludf.ifna(VLOOKUP(G2028,Proyectos!$E$1:$N$4,10,0),"")</f>
        <v>#NAME?</v>
      </c>
      <c r="M2027" s="32"/>
      <c r="N2027" s="32" t="s">
        <v>5905</v>
      </c>
      <c r="O2027" s="32"/>
      <c r="P2027" s="33"/>
      <c r="Q2027" s="33"/>
    </row>
    <row r="2028" spans="1:17" ht="16.5" customHeight="1" x14ac:dyDescent="0.2">
      <c r="A2028" s="26"/>
      <c r="B2028" s="26"/>
      <c r="C2028" s="26"/>
      <c r="D2028" s="26"/>
      <c r="E2028" s="26"/>
      <c r="F2028" s="28" t="e">
        <f ca="1">_xludf.ifna(VLOOKUP(G2029,Proyectos!$E$1:$H$4,4,0),"")</f>
        <v>#NAME?</v>
      </c>
      <c r="G2028" s="26"/>
      <c r="H2028" s="32"/>
      <c r="I2028" s="32"/>
      <c r="J2028" s="32"/>
      <c r="K2028" s="32"/>
      <c r="L2028" s="32" t="e">
        <f ca="1">_xludf.ifna(VLOOKUP(G2029,Proyectos!$E$1:$N$4,10,0),"")</f>
        <v>#NAME?</v>
      </c>
      <c r="M2028" s="32"/>
      <c r="N2028" s="32" t="s">
        <v>5905</v>
      </c>
      <c r="O2028" s="32"/>
      <c r="P2028" s="33"/>
      <c r="Q2028" s="33"/>
    </row>
    <row r="2029" spans="1:17" ht="16.5" customHeight="1" x14ac:dyDescent="0.2">
      <c r="A2029" s="26"/>
      <c r="B2029" s="26"/>
      <c r="C2029" s="26"/>
      <c r="D2029" s="26"/>
      <c r="E2029" s="26"/>
      <c r="F2029" s="28" t="e">
        <f ca="1">_xludf.ifna(VLOOKUP(G2030,Proyectos!$E$1:$H$4,4,0),"")</f>
        <v>#NAME?</v>
      </c>
      <c r="G2029" s="26"/>
      <c r="H2029" s="32"/>
      <c r="I2029" s="32"/>
      <c r="J2029" s="32"/>
      <c r="K2029" s="32"/>
      <c r="L2029" s="32" t="e">
        <f ca="1">_xludf.ifna(VLOOKUP(G2030,Proyectos!$E$1:$N$4,10,0),"")</f>
        <v>#NAME?</v>
      </c>
      <c r="M2029" s="32"/>
      <c r="N2029" s="32" t="s">
        <v>5905</v>
      </c>
      <c r="O2029" s="32"/>
      <c r="P2029" s="33"/>
      <c r="Q2029" s="33"/>
    </row>
    <row r="2030" spans="1:17" ht="16.5" customHeight="1" x14ac:dyDescent="0.2">
      <c r="A2030" s="26"/>
      <c r="B2030" s="26"/>
      <c r="C2030" s="26"/>
      <c r="D2030" s="26"/>
      <c r="E2030" s="26"/>
      <c r="F2030" s="28" t="e">
        <f ca="1">_xludf.ifna(VLOOKUP(G2031,Proyectos!$E$1:$H$4,4,0),"")</f>
        <v>#NAME?</v>
      </c>
      <c r="G2030" s="26"/>
      <c r="H2030" s="32"/>
      <c r="I2030" s="32"/>
      <c r="J2030" s="32"/>
      <c r="K2030" s="32"/>
      <c r="L2030" s="32" t="e">
        <f ca="1">_xludf.ifna(VLOOKUP(G2031,Proyectos!$E$1:$N$4,10,0),"")</f>
        <v>#NAME?</v>
      </c>
      <c r="M2030" s="32"/>
      <c r="N2030" s="32" t="s">
        <v>5905</v>
      </c>
      <c r="O2030" s="32"/>
      <c r="P2030" s="33"/>
      <c r="Q2030" s="33"/>
    </row>
    <row r="2031" spans="1:17" ht="16.5" customHeight="1" x14ac:dyDescent="0.2">
      <c r="A2031" s="26"/>
      <c r="B2031" s="26"/>
      <c r="C2031" s="26"/>
      <c r="D2031" s="26"/>
      <c r="E2031" s="26"/>
      <c r="F2031" s="28" t="e">
        <f ca="1">_xludf.ifna(VLOOKUP(G2032,Proyectos!$E$1:$H$4,4,0),"")</f>
        <v>#NAME?</v>
      </c>
      <c r="G2031" s="26"/>
      <c r="H2031" s="32"/>
      <c r="I2031" s="32"/>
      <c r="J2031" s="32"/>
      <c r="K2031" s="32"/>
      <c r="L2031" s="32" t="e">
        <f ca="1">_xludf.ifna(VLOOKUP(G2032,Proyectos!$E$1:$N$4,10,0),"")</f>
        <v>#NAME?</v>
      </c>
      <c r="M2031" s="32"/>
      <c r="N2031" s="32" t="s">
        <v>5905</v>
      </c>
      <c r="O2031" s="32"/>
      <c r="P2031" s="33"/>
      <c r="Q2031" s="33"/>
    </row>
    <row r="2032" spans="1:17" ht="16.5" customHeight="1" x14ac:dyDescent="0.2">
      <c r="A2032" s="26"/>
      <c r="B2032" s="26"/>
      <c r="C2032" s="26"/>
      <c r="D2032" s="26"/>
      <c r="E2032" s="26"/>
      <c r="F2032" s="28" t="e">
        <f ca="1">_xludf.ifna(VLOOKUP(G2033,Proyectos!$E$1:$H$4,4,0),"")</f>
        <v>#NAME?</v>
      </c>
      <c r="G2032" s="26"/>
      <c r="H2032" s="32"/>
      <c r="I2032" s="32"/>
      <c r="J2032" s="32"/>
      <c r="K2032" s="32"/>
      <c r="L2032" s="32" t="e">
        <f ca="1">_xludf.ifna(VLOOKUP(G2033,Proyectos!$E$1:$N$4,10,0),"")</f>
        <v>#NAME?</v>
      </c>
      <c r="M2032" s="32"/>
      <c r="N2032" s="32" t="s">
        <v>5905</v>
      </c>
      <c r="O2032" s="32"/>
      <c r="P2032" s="33"/>
      <c r="Q2032" s="33"/>
    </row>
    <row r="2033" spans="1:17" ht="16.5" customHeight="1" x14ac:dyDescent="0.2">
      <c r="A2033" s="26"/>
      <c r="B2033" s="26"/>
      <c r="C2033" s="26"/>
      <c r="D2033" s="26"/>
      <c r="E2033" s="26"/>
      <c r="F2033" s="28" t="e">
        <f ca="1">_xludf.ifna(VLOOKUP(G2034,Proyectos!$E$1:$H$4,4,0),"")</f>
        <v>#NAME?</v>
      </c>
      <c r="G2033" s="26"/>
      <c r="H2033" s="32"/>
      <c r="I2033" s="32"/>
      <c r="J2033" s="32"/>
      <c r="K2033" s="32"/>
      <c r="L2033" s="32" t="e">
        <f ca="1">_xludf.ifna(VLOOKUP(G2034,Proyectos!$E$1:$N$4,10,0),"")</f>
        <v>#NAME?</v>
      </c>
      <c r="M2033" s="32"/>
      <c r="N2033" s="32" t="s">
        <v>5905</v>
      </c>
      <c r="O2033" s="32"/>
      <c r="P2033" s="33"/>
      <c r="Q2033" s="33"/>
    </row>
    <row r="2034" spans="1:17" ht="16.5" customHeight="1" x14ac:dyDescent="0.2">
      <c r="A2034" s="26"/>
      <c r="B2034" s="26"/>
      <c r="C2034" s="26"/>
      <c r="D2034" s="26"/>
      <c r="E2034" s="26"/>
      <c r="F2034" s="28" t="e">
        <f ca="1">_xludf.ifna(VLOOKUP(G2035,Proyectos!$E$1:$H$4,4,0),"")</f>
        <v>#NAME?</v>
      </c>
      <c r="G2034" s="26"/>
      <c r="H2034" s="32"/>
      <c r="I2034" s="32"/>
      <c r="J2034" s="32"/>
      <c r="K2034" s="32"/>
      <c r="L2034" s="32" t="e">
        <f ca="1">_xludf.ifna(VLOOKUP(G2035,Proyectos!$E$1:$N$4,10,0),"")</f>
        <v>#NAME?</v>
      </c>
      <c r="M2034" s="32"/>
      <c r="N2034" s="32" t="s">
        <v>5905</v>
      </c>
      <c r="O2034" s="32"/>
      <c r="P2034" s="33"/>
      <c r="Q2034" s="33"/>
    </row>
    <row r="2035" spans="1:17" ht="16.5" customHeight="1" x14ac:dyDescent="0.2">
      <c r="A2035" s="26"/>
      <c r="B2035" s="26"/>
      <c r="C2035" s="26"/>
      <c r="D2035" s="26"/>
      <c r="E2035" s="26"/>
      <c r="F2035" s="28" t="e">
        <f ca="1">_xludf.ifna(VLOOKUP(G2036,Proyectos!$E$1:$H$4,4,0),"")</f>
        <v>#NAME?</v>
      </c>
      <c r="G2035" s="26"/>
      <c r="H2035" s="32"/>
      <c r="I2035" s="32"/>
      <c r="J2035" s="32"/>
      <c r="K2035" s="32"/>
      <c r="L2035" s="32" t="e">
        <f ca="1">_xludf.ifna(VLOOKUP(G2036,Proyectos!$E$1:$N$4,10,0),"")</f>
        <v>#NAME?</v>
      </c>
      <c r="M2035" s="32"/>
      <c r="N2035" s="32" t="s">
        <v>5905</v>
      </c>
      <c r="O2035" s="32"/>
      <c r="P2035" s="33"/>
      <c r="Q2035" s="33"/>
    </row>
    <row r="2036" spans="1:17" ht="16.5" customHeight="1" x14ac:dyDescent="0.2">
      <c r="A2036" s="26"/>
      <c r="B2036" s="26"/>
      <c r="C2036" s="26"/>
      <c r="D2036" s="26"/>
      <c r="E2036" s="26"/>
      <c r="F2036" s="28" t="e">
        <f ca="1">_xludf.ifna(VLOOKUP(G2037,Proyectos!$E$1:$H$4,4,0),"")</f>
        <v>#NAME?</v>
      </c>
      <c r="G2036" s="26"/>
      <c r="H2036" s="32"/>
      <c r="I2036" s="32"/>
      <c r="J2036" s="32"/>
      <c r="K2036" s="32"/>
      <c r="L2036" s="32" t="e">
        <f ca="1">_xludf.ifna(VLOOKUP(G2037,Proyectos!$E$1:$N$4,10,0),"")</f>
        <v>#NAME?</v>
      </c>
      <c r="M2036" s="32"/>
      <c r="N2036" s="32" t="s">
        <v>5905</v>
      </c>
      <c r="O2036" s="32"/>
      <c r="P2036" s="33"/>
      <c r="Q2036" s="33"/>
    </row>
    <row r="2037" spans="1:17" ht="16.5" customHeight="1" x14ac:dyDescent="0.2">
      <c r="A2037" s="26"/>
      <c r="B2037" s="26"/>
      <c r="C2037" s="26"/>
      <c r="D2037" s="26"/>
      <c r="E2037" s="26"/>
      <c r="F2037" s="28" t="e">
        <f ca="1">_xludf.ifna(VLOOKUP(G2038,Proyectos!$E$1:$H$4,4,0),"")</f>
        <v>#NAME?</v>
      </c>
      <c r="G2037" s="26"/>
      <c r="H2037" s="32"/>
      <c r="I2037" s="32"/>
      <c r="J2037" s="32"/>
      <c r="K2037" s="32"/>
      <c r="L2037" s="32" t="e">
        <f ca="1">_xludf.ifna(VLOOKUP(G2038,Proyectos!$E$1:$N$4,10,0),"")</f>
        <v>#NAME?</v>
      </c>
      <c r="M2037" s="32"/>
      <c r="N2037" s="32" t="s">
        <v>5905</v>
      </c>
      <c r="O2037" s="32"/>
      <c r="P2037" s="33"/>
      <c r="Q2037" s="33"/>
    </row>
    <row r="2038" spans="1:17" ht="16.5" customHeight="1" x14ac:dyDescent="0.2">
      <c r="A2038" s="26"/>
      <c r="B2038" s="26"/>
      <c r="C2038" s="26"/>
      <c r="D2038" s="26"/>
      <c r="E2038" s="26"/>
      <c r="F2038" s="28" t="e">
        <f ca="1">_xludf.ifna(VLOOKUP(G2039,Proyectos!$E$1:$H$4,4,0),"")</f>
        <v>#NAME?</v>
      </c>
      <c r="G2038" s="26"/>
      <c r="H2038" s="32"/>
      <c r="I2038" s="32"/>
      <c r="J2038" s="32"/>
      <c r="K2038" s="32"/>
      <c r="L2038" s="32" t="e">
        <f ca="1">_xludf.ifna(VLOOKUP(G2039,Proyectos!$E$1:$N$4,10,0),"")</f>
        <v>#NAME?</v>
      </c>
      <c r="M2038" s="32"/>
      <c r="N2038" s="32" t="s">
        <v>5905</v>
      </c>
      <c r="O2038" s="32"/>
      <c r="P2038" s="33"/>
      <c r="Q2038" s="33"/>
    </row>
    <row r="2039" spans="1:17" ht="16.5" customHeight="1" x14ac:dyDescent="0.2">
      <c r="A2039" s="26"/>
      <c r="B2039" s="26"/>
      <c r="C2039" s="26"/>
      <c r="D2039" s="26"/>
      <c r="E2039" s="26"/>
      <c r="F2039" s="28" t="e">
        <f ca="1">_xludf.ifna(VLOOKUP(G2040,Proyectos!$E$1:$H$4,4,0),"")</f>
        <v>#NAME?</v>
      </c>
      <c r="G2039" s="26"/>
      <c r="H2039" s="32"/>
      <c r="I2039" s="32"/>
      <c r="J2039" s="32"/>
      <c r="K2039" s="32"/>
      <c r="L2039" s="32" t="e">
        <f ca="1">_xludf.ifna(VLOOKUP(G2040,Proyectos!$E$1:$N$4,10,0),"")</f>
        <v>#NAME?</v>
      </c>
      <c r="M2039" s="32"/>
      <c r="N2039" s="32" t="s">
        <v>5905</v>
      </c>
      <c r="O2039" s="32"/>
      <c r="P2039" s="33"/>
      <c r="Q2039" s="33"/>
    </row>
    <row r="2040" spans="1:17" ht="16.5" customHeight="1" x14ac:dyDescent="0.2">
      <c r="A2040" s="26"/>
      <c r="B2040" s="26"/>
      <c r="C2040" s="26"/>
      <c r="D2040" s="26"/>
      <c r="E2040" s="26"/>
      <c r="F2040" s="28" t="e">
        <f ca="1">_xludf.ifna(VLOOKUP(G2041,Proyectos!$E$1:$H$4,4,0),"")</f>
        <v>#NAME?</v>
      </c>
      <c r="G2040" s="26"/>
      <c r="H2040" s="32"/>
      <c r="I2040" s="32"/>
      <c r="J2040" s="32"/>
      <c r="K2040" s="32"/>
      <c r="L2040" s="32" t="e">
        <f ca="1">_xludf.ifna(VLOOKUP(G2041,Proyectos!$E$1:$N$4,10,0),"")</f>
        <v>#NAME?</v>
      </c>
      <c r="M2040" s="32"/>
      <c r="N2040" s="32" t="s">
        <v>5905</v>
      </c>
      <c r="O2040" s="32"/>
      <c r="P2040" s="33"/>
      <c r="Q2040" s="33"/>
    </row>
    <row r="2041" spans="1:17" ht="16.5" customHeight="1" x14ac:dyDescent="0.2">
      <c r="A2041" s="26"/>
      <c r="B2041" s="26"/>
      <c r="C2041" s="26"/>
      <c r="D2041" s="26"/>
      <c r="E2041" s="26"/>
      <c r="F2041" s="28" t="e">
        <f ca="1">_xludf.ifna(VLOOKUP(G2042,Proyectos!$E$1:$H$4,4,0),"")</f>
        <v>#NAME?</v>
      </c>
      <c r="G2041" s="26"/>
      <c r="H2041" s="32"/>
      <c r="I2041" s="32"/>
      <c r="J2041" s="32"/>
      <c r="K2041" s="32"/>
      <c r="L2041" s="32" t="e">
        <f ca="1">_xludf.ifna(VLOOKUP(G2042,Proyectos!$E$1:$N$4,10,0),"")</f>
        <v>#NAME?</v>
      </c>
      <c r="M2041" s="32"/>
      <c r="N2041" s="32" t="s">
        <v>5905</v>
      </c>
      <c r="O2041" s="32"/>
      <c r="P2041" s="33"/>
      <c r="Q2041" s="33"/>
    </row>
    <row r="2042" spans="1:17" ht="16.5" customHeight="1" x14ac:dyDescent="0.2">
      <c r="A2042" s="26"/>
      <c r="B2042" s="26"/>
      <c r="C2042" s="26"/>
      <c r="D2042" s="26"/>
      <c r="E2042" s="26"/>
      <c r="F2042" s="28" t="e">
        <f ca="1">_xludf.ifna(VLOOKUP(G2043,Proyectos!$E$1:$H$4,4,0),"")</f>
        <v>#NAME?</v>
      </c>
      <c r="G2042" s="26"/>
      <c r="H2042" s="32"/>
      <c r="I2042" s="32"/>
      <c r="J2042" s="32"/>
      <c r="K2042" s="32"/>
      <c r="L2042" s="32" t="e">
        <f ca="1">_xludf.ifna(VLOOKUP(G2043,Proyectos!$E$1:$N$4,10,0),"")</f>
        <v>#NAME?</v>
      </c>
      <c r="M2042" s="32"/>
      <c r="N2042" s="32" t="s">
        <v>5905</v>
      </c>
      <c r="O2042" s="32"/>
      <c r="P2042" s="33"/>
      <c r="Q2042" s="33"/>
    </row>
    <row r="2043" spans="1:17" ht="16.5" customHeight="1" x14ac:dyDescent="0.2">
      <c r="A2043" s="26"/>
      <c r="B2043" s="26"/>
      <c r="C2043" s="26"/>
      <c r="D2043" s="26"/>
      <c r="E2043" s="26"/>
      <c r="F2043" s="28" t="e">
        <f ca="1">_xludf.ifna(VLOOKUP(G2044,Proyectos!$E$1:$H$4,4,0),"")</f>
        <v>#NAME?</v>
      </c>
      <c r="G2043" s="26"/>
      <c r="H2043" s="32"/>
      <c r="I2043" s="32"/>
      <c r="J2043" s="32"/>
      <c r="K2043" s="32"/>
      <c r="L2043" s="32" t="e">
        <f ca="1">_xludf.ifna(VLOOKUP(G2044,Proyectos!$E$1:$N$4,10,0),"")</f>
        <v>#NAME?</v>
      </c>
      <c r="M2043" s="32"/>
      <c r="N2043" s="32" t="s">
        <v>5905</v>
      </c>
      <c r="O2043" s="32"/>
      <c r="P2043" s="33"/>
      <c r="Q2043" s="33"/>
    </row>
    <row r="2044" spans="1:17" ht="16.5" customHeight="1" x14ac:dyDescent="0.2">
      <c r="A2044" s="26"/>
      <c r="B2044" s="26"/>
      <c r="C2044" s="26"/>
      <c r="D2044" s="26"/>
      <c r="E2044" s="26"/>
      <c r="F2044" s="28" t="e">
        <f ca="1">_xludf.ifna(VLOOKUP(G2045,Proyectos!$E$1:$H$4,4,0),"")</f>
        <v>#NAME?</v>
      </c>
      <c r="G2044" s="26"/>
      <c r="H2044" s="32"/>
      <c r="I2044" s="32"/>
      <c r="J2044" s="32"/>
      <c r="K2044" s="32"/>
      <c r="L2044" s="32" t="e">
        <f ca="1">_xludf.ifna(VLOOKUP(G2045,Proyectos!$E$1:$N$4,10,0),"")</f>
        <v>#NAME?</v>
      </c>
      <c r="M2044" s="32"/>
      <c r="N2044" s="32" t="s">
        <v>5905</v>
      </c>
      <c r="O2044" s="32"/>
      <c r="P2044" s="33"/>
      <c r="Q2044" s="33"/>
    </row>
    <row r="2045" spans="1:17" ht="16.5" customHeight="1" x14ac:dyDescent="0.2">
      <c r="A2045" s="26"/>
      <c r="B2045" s="26"/>
      <c r="C2045" s="26"/>
      <c r="D2045" s="26"/>
      <c r="E2045" s="26"/>
      <c r="F2045" s="28" t="e">
        <f ca="1">_xludf.ifna(VLOOKUP(G2046,Proyectos!$E$1:$H$4,4,0),"")</f>
        <v>#NAME?</v>
      </c>
      <c r="G2045" s="26"/>
      <c r="H2045" s="32"/>
      <c r="I2045" s="32"/>
      <c r="J2045" s="32"/>
      <c r="K2045" s="32"/>
      <c r="L2045" s="32" t="e">
        <f ca="1">_xludf.ifna(VLOOKUP(G2046,Proyectos!$E$1:$N$4,10,0),"")</f>
        <v>#NAME?</v>
      </c>
      <c r="M2045" s="32"/>
      <c r="N2045" s="32" t="s">
        <v>5905</v>
      </c>
      <c r="O2045" s="32"/>
      <c r="P2045" s="33"/>
      <c r="Q2045" s="33"/>
    </row>
    <row r="2046" spans="1:17" ht="16.5" customHeight="1" x14ac:dyDescent="0.2">
      <c r="A2046" s="26"/>
      <c r="B2046" s="26"/>
      <c r="C2046" s="26"/>
      <c r="D2046" s="26"/>
      <c r="E2046" s="26"/>
      <c r="F2046" s="28" t="e">
        <f ca="1">_xludf.ifna(VLOOKUP(G2047,Proyectos!$E$1:$H$4,4,0),"")</f>
        <v>#NAME?</v>
      </c>
      <c r="G2046" s="26"/>
      <c r="H2046" s="32"/>
      <c r="I2046" s="32"/>
      <c r="J2046" s="32"/>
      <c r="K2046" s="32"/>
      <c r="L2046" s="32" t="e">
        <f ca="1">_xludf.ifna(VLOOKUP(G2047,Proyectos!$E$1:$N$4,10,0),"")</f>
        <v>#NAME?</v>
      </c>
      <c r="M2046" s="32"/>
      <c r="N2046" s="32" t="s">
        <v>5905</v>
      </c>
      <c r="O2046" s="32"/>
      <c r="P2046" s="33"/>
      <c r="Q2046" s="33"/>
    </row>
    <row r="2047" spans="1:17" ht="16.5" customHeight="1" x14ac:dyDescent="0.2">
      <c r="A2047" s="26"/>
      <c r="B2047" s="26"/>
      <c r="C2047" s="26"/>
      <c r="D2047" s="26"/>
      <c r="E2047" s="26"/>
      <c r="F2047" s="28" t="e">
        <f ca="1">_xludf.ifna(VLOOKUP(G2048,Proyectos!$E$1:$H$4,4,0),"")</f>
        <v>#NAME?</v>
      </c>
      <c r="G2047" s="26"/>
      <c r="H2047" s="32"/>
      <c r="I2047" s="32"/>
      <c r="J2047" s="32"/>
      <c r="K2047" s="32"/>
      <c r="L2047" s="32" t="e">
        <f ca="1">_xludf.ifna(VLOOKUP(G2048,Proyectos!$E$1:$N$4,10,0),"")</f>
        <v>#NAME?</v>
      </c>
      <c r="M2047" s="32"/>
      <c r="N2047" s="32" t="s">
        <v>5905</v>
      </c>
      <c r="O2047" s="32"/>
      <c r="P2047" s="33"/>
      <c r="Q2047" s="33"/>
    </row>
    <row r="2048" spans="1:17" ht="16.5" customHeight="1" x14ac:dyDescent="0.2">
      <c r="A2048" s="26"/>
      <c r="B2048" s="26"/>
      <c r="C2048" s="26"/>
      <c r="D2048" s="26"/>
      <c r="E2048" s="26"/>
      <c r="F2048" s="28" t="e">
        <f ca="1">_xludf.ifna(VLOOKUP(G2049,Proyectos!$E$1:$H$4,4,0),"")</f>
        <v>#NAME?</v>
      </c>
      <c r="G2048" s="26"/>
      <c r="H2048" s="32"/>
      <c r="I2048" s="32"/>
      <c r="J2048" s="32"/>
      <c r="K2048" s="32"/>
      <c r="L2048" s="32" t="e">
        <f ca="1">_xludf.ifna(VLOOKUP(G2049,Proyectos!$E$1:$N$4,10,0),"")</f>
        <v>#NAME?</v>
      </c>
      <c r="M2048" s="32"/>
      <c r="N2048" s="32" t="s">
        <v>5905</v>
      </c>
      <c r="O2048" s="32"/>
      <c r="P2048" s="33"/>
      <c r="Q2048" s="33"/>
    </row>
    <row r="2049" spans="1:17" ht="16.5" customHeight="1" x14ac:dyDescent="0.2">
      <c r="A2049" s="26"/>
      <c r="B2049" s="26"/>
      <c r="C2049" s="26"/>
      <c r="D2049" s="26"/>
      <c r="E2049" s="26"/>
      <c r="F2049" s="28" t="e">
        <f ca="1">_xludf.ifna(VLOOKUP(G2050,Proyectos!$E$1:$H$4,4,0),"")</f>
        <v>#NAME?</v>
      </c>
      <c r="G2049" s="26"/>
      <c r="H2049" s="32"/>
      <c r="I2049" s="32"/>
      <c r="J2049" s="32"/>
      <c r="K2049" s="32"/>
      <c r="L2049" s="32" t="e">
        <f ca="1">_xludf.ifna(VLOOKUP(G2050,Proyectos!$E$1:$N$4,10,0),"")</f>
        <v>#NAME?</v>
      </c>
      <c r="M2049" s="32"/>
      <c r="N2049" s="32" t="s">
        <v>5905</v>
      </c>
      <c r="O2049" s="32"/>
      <c r="P2049" s="33"/>
      <c r="Q2049" s="33"/>
    </row>
    <row r="2050" spans="1:17" ht="16.5" customHeight="1" x14ac:dyDescent="0.2">
      <c r="A2050" s="26"/>
      <c r="B2050" s="26"/>
      <c r="C2050" s="26"/>
      <c r="D2050" s="26"/>
      <c r="E2050" s="26"/>
      <c r="F2050" s="28" t="e">
        <f ca="1">_xludf.ifna(VLOOKUP(G2051,Proyectos!$E$1:$H$4,4,0),"")</f>
        <v>#NAME?</v>
      </c>
      <c r="G2050" s="26"/>
      <c r="H2050" s="32"/>
      <c r="I2050" s="32"/>
      <c r="J2050" s="32"/>
      <c r="K2050" s="32"/>
      <c r="L2050" s="32" t="e">
        <f ca="1">_xludf.ifna(VLOOKUP(G2051,Proyectos!$E$1:$N$4,10,0),"")</f>
        <v>#NAME?</v>
      </c>
      <c r="M2050" s="32"/>
      <c r="N2050" s="32" t="s">
        <v>5905</v>
      </c>
      <c r="O2050" s="32"/>
      <c r="P2050" s="33"/>
      <c r="Q2050" s="33"/>
    </row>
    <row r="2051" spans="1:17" ht="16.5" customHeight="1" x14ac:dyDescent="0.2">
      <c r="A2051" s="26"/>
      <c r="B2051" s="26"/>
      <c r="C2051" s="26"/>
      <c r="D2051" s="26"/>
      <c r="E2051" s="26"/>
      <c r="F2051" s="28" t="e">
        <f ca="1">_xludf.ifna(VLOOKUP(G2052,Proyectos!$E$1:$H$4,4,0),"")</f>
        <v>#NAME?</v>
      </c>
      <c r="G2051" s="26"/>
      <c r="H2051" s="32"/>
      <c r="I2051" s="32"/>
      <c r="J2051" s="32"/>
      <c r="K2051" s="32"/>
      <c r="L2051" s="32" t="e">
        <f ca="1">_xludf.ifna(VLOOKUP(G2052,Proyectos!$E$1:$N$4,10,0),"")</f>
        <v>#NAME?</v>
      </c>
      <c r="M2051" s="32"/>
      <c r="N2051" s="32" t="s">
        <v>5905</v>
      </c>
      <c r="O2051" s="32"/>
      <c r="P2051" s="33"/>
      <c r="Q2051" s="33"/>
    </row>
    <row r="2052" spans="1:17" ht="16.5" customHeight="1" x14ac:dyDescent="0.2">
      <c r="A2052" s="26"/>
      <c r="B2052" s="26"/>
      <c r="C2052" s="26"/>
      <c r="D2052" s="26"/>
      <c r="E2052" s="26"/>
      <c r="F2052" s="28" t="e">
        <f ca="1">_xludf.ifna(VLOOKUP(G2053,Proyectos!$E$1:$H$4,4,0),"")</f>
        <v>#NAME?</v>
      </c>
      <c r="G2052" s="26"/>
      <c r="H2052" s="32"/>
      <c r="I2052" s="32"/>
      <c r="J2052" s="32"/>
      <c r="K2052" s="32"/>
      <c r="L2052" s="32" t="e">
        <f ca="1">_xludf.ifna(VLOOKUP(G2053,Proyectos!$E$1:$N$4,10,0),"")</f>
        <v>#NAME?</v>
      </c>
      <c r="M2052" s="32"/>
      <c r="N2052" s="32" t="s">
        <v>5905</v>
      </c>
      <c r="O2052" s="32"/>
      <c r="P2052" s="33"/>
      <c r="Q2052" s="33"/>
    </row>
    <row r="2053" spans="1:17" ht="16.5" customHeight="1" x14ac:dyDescent="0.2">
      <c r="A2053" s="26"/>
      <c r="B2053" s="26"/>
      <c r="C2053" s="26"/>
      <c r="D2053" s="26"/>
      <c r="E2053" s="26"/>
      <c r="F2053" s="28" t="e">
        <f ca="1">_xludf.ifna(VLOOKUP(G2054,Proyectos!$E$1:$H$4,4,0),"")</f>
        <v>#NAME?</v>
      </c>
      <c r="G2053" s="26"/>
      <c r="H2053" s="32"/>
      <c r="I2053" s="32"/>
      <c r="J2053" s="32"/>
      <c r="K2053" s="32"/>
      <c r="L2053" s="32" t="e">
        <f ca="1">_xludf.ifna(VLOOKUP(G2054,Proyectos!$E$1:$N$4,10,0),"")</f>
        <v>#NAME?</v>
      </c>
      <c r="M2053" s="32"/>
      <c r="N2053" s="32" t="s">
        <v>5905</v>
      </c>
      <c r="O2053" s="32"/>
      <c r="P2053" s="33"/>
      <c r="Q2053" s="33"/>
    </row>
    <row r="2054" spans="1:17" ht="16.5" customHeight="1" x14ac:dyDescent="0.2">
      <c r="A2054" s="26"/>
      <c r="B2054" s="26"/>
      <c r="C2054" s="26"/>
      <c r="D2054" s="26"/>
      <c r="E2054" s="26"/>
      <c r="F2054" s="28" t="e">
        <f ca="1">_xludf.ifna(VLOOKUP(G2055,Proyectos!$E$1:$H$4,4,0),"")</f>
        <v>#NAME?</v>
      </c>
      <c r="G2054" s="26"/>
      <c r="H2054" s="32"/>
      <c r="I2054" s="32"/>
      <c r="J2054" s="32"/>
      <c r="K2054" s="32"/>
      <c r="L2054" s="32" t="e">
        <f ca="1">_xludf.ifna(VLOOKUP(G2055,Proyectos!$E$1:$N$4,10,0),"")</f>
        <v>#NAME?</v>
      </c>
      <c r="M2054" s="32"/>
      <c r="N2054" s="32" t="s">
        <v>5905</v>
      </c>
      <c r="O2054" s="32"/>
      <c r="P2054" s="33"/>
      <c r="Q2054" s="33"/>
    </row>
    <row r="2055" spans="1:17" ht="16.5" customHeight="1" x14ac:dyDescent="0.2">
      <c r="A2055" s="26"/>
      <c r="B2055" s="26"/>
      <c r="C2055" s="26"/>
      <c r="D2055" s="26"/>
      <c r="E2055" s="26"/>
      <c r="F2055" s="28" t="e">
        <f ca="1">_xludf.ifna(VLOOKUP(G2056,Proyectos!$E$1:$H$4,4,0),"")</f>
        <v>#NAME?</v>
      </c>
      <c r="G2055" s="26"/>
      <c r="H2055" s="32"/>
      <c r="I2055" s="32"/>
      <c r="J2055" s="32"/>
      <c r="K2055" s="32"/>
      <c r="L2055" s="32" t="e">
        <f ca="1">_xludf.ifna(VLOOKUP(G2056,Proyectos!$E$1:$N$4,10,0),"")</f>
        <v>#NAME?</v>
      </c>
      <c r="M2055" s="32"/>
      <c r="N2055" s="32" t="s">
        <v>5905</v>
      </c>
      <c r="O2055" s="32"/>
      <c r="P2055" s="33"/>
      <c r="Q2055" s="33"/>
    </row>
    <row r="2056" spans="1:17" ht="16.5" customHeight="1" x14ac:dyDescent="0.2">
      <c r="A2056" s="26"/>
      <c r="B2056" s="26"/>
      <c r="C2056" s="26"/>
      <c r="D2056" s="26"/>
      <c r="E2056" s="26"/>
      <c r="F2056" s="28" t="e">
        <f ca="1">_xludf.ifna(VLOOKUP(G2057,Proyectos!$E$1:$H$4,4,0),"")</f>
        <v>#NAME?</v>
      </c>
      <c r="G2056" s="26"/>
      <c r="H2056" s="32"/>
      <c r="I2056" s="32"/>
      <c r="J2056" s="32"/>
      <c r="K2056" s="32"/>
      <c r="L2056" s="32" t="e">
        <f ca="1">_xludf.ifna(VLOOKUP(G2057,Proyectos!$E$1:$N$4,10,0),"")</f>
        <v>#NAME?</v>
      </c>
      <c r="M2056" s="32"/>
      <c r="N2056" s="32" t="s">
        <v>5905</v>
      </c>
      <c r="O2056" s="32"/>
      <c r="P2056" s="33"/>
      <c r="Q2056" s="33"/>
    </row>
    <row r="2057" spans="1:17" ht="16.5" customHeight="1" x14ac:dyDescent="0.2">
      <c r="A2057" s="26"/>
      <c r="B2057" s="26"/>
      <c r="C2057" s="26"/>
      <c r="D2057" s="26"/>
      <c r="E2057" s="26"/>
      <c r="F2057" s="28" t="e">
        <f ca="1">_xludf.ifna(VLOOKUP(G2058,Proyectos!$E$1:$H$4,4,0),"")</f>
        <v>#NAME?</v>
      </c>
      <c r="G2057" s="26"/>
      <c r="H2057" s="32"/>
      <c r="I2057" s="32"/>
      <c r="J2057" s="32"/>
      <c r="K2057" s="32"/>
      <c r="L2057" s="32" t="e">
        <f ca="1">_xludf.ifna(VLOOKUP(G2058,Proyectos!$E$1:$N$4,10,0),"")</f>
        <v>#NAME?</v>
      </c>
      <c r="M2057" s="32"/>
      <c r="N2057" s="32" t="s">
        <v>5905</v>
      </c>
      <c r="O2057" s="32"/>
      <c r="P2057" s="33"/>
      <c r="Q2057" s="33"/>
    </row>
    <row r="2058" spans="1:17" ht="16.5" customHeight="1" x14ac:dyDescent="0.2">
      <c r="A2058" s="26"/>
      <c r="B2058" s="26"/>
      <c r="C2058" s="26"/>
      <c r="D2058" s="26"/>
      <c r="E2058" s="26"/>
      <c r="F2058" s="28" t="e">
        <f ca="1">_xludf.ifna(VLOOKUP(G2059,Proyectos!$E$1:$H$4,4,0),"")</f>
        <v>#NAME?</v>
      </c>
      <c r="G2058" s="26"/>
      <c r="H2058" s="32"/>
      <c r="I2058" s="32"/>
      <c r="J2058" s="32"/>
      <c r="K2058" s="32"/>
      <c r="L2058" s="32" t="e">
        <f ca="1">_xludf.ifna(VLOOKUP(G2059,Proyectos!$E$1:$N$4,10,0),"")</f>
        <v>#NAME?</v>
      </c>
      <c r="M2058" s="32"/>
      <c r="N2058" s="32" t="s">
        <v>5905</v>
      </c>
      <c r="O2058" s="32"/>
      <c r="P2058" s="33"/>
      <c r="Q2058" s="33"/>
    </row>
    <row r="2059" spans="1:17" ht="16.5" customHeight="1" x14ac:dyDescent="0.2">
      <c r="A2059" s="26"/>
      <c r="B2059" s="26"/>
      <c r="C2059" s="26"/>
      <c r="D2059" s="26"/>
      <c r="E2059" s="26"/>
      <c r="F2059" s="28" t="e">
        <f ca="1">_xludf.ifna(VLOOKUP(G2060,Proyectos!$E$1:$H$4,4,0),"")</f>
        <v>#NAME?</v>
      </c>
      <c r="G2059" s="26"/>
      <c r="H2059" s="32"/>
      <c r="I2059" s="32"/>
      <c r="J2059" s="32"/>
      <c r="K2059" s="32"/>
      <c r="L2059" s="32" t="e">
        <f ca="1">_xludf.ifna(VLOOKUP(G2060,Proyectos!$E$1:$N$4,10,0),"")</f>
        <v>#NAME?</v>
      </c>
      <c r="M2059" s="32"/>
      <c r="N2059" s="32" t="s">
        <v>5905</v>
      </c>
      <c r="O2059" s="32"/>
      <c r="P2059" s="33"/>
      <c r="Q2059" s="33"/>
    </row>
    <row r="2060" spans="1:17" ht="16.5" customHeight="1" x14ac:dyDescent="0.2">
      <c r="A2060" s="26"/>
      <c r="B2060" s="26"/>
      <c r="C2060" s="26"/>
      <c r="D2060" s="26"/>
      <c r="E2060" s="26"/>
      <c r="F2060" s="28" t="e">
        <f ca="1">_xludf.ifna(VLOOKUP(G2061,Proyectos!$E$1:$H$4,4,0),"")</f>
        <v>#NAME?</v>
      </c>
      <c r="G2060" s="26"/>
      <c r="H2060" s="32"/>
      <c r="I2060" s="32"/>
      <c r="J2060" s="32"/>
      <c r="K2060" s="32"/>
      <c r="L2060" s="32" t="e">
        <f ca="1">_xludf.ifna(VLOOKUP(G2061,Proyectos!$E$1:$N$4,10,0),"")</f>
        <v>#NAME?</v>
      </c>
      <c r="M2060" s="32"/>
      <c r="N2060" s="32" t="s">
        <v>5905</v>
      </c>
      <c r="O2060" s="32"/>
      <c r="P2060" s="33"/>
      <c r="Q2060" s="33"/>
    </row>
    <row r="2061" spans="1:17" ht="16.5" customHeight="1" x14ac:dyDescent="0.2">
      <c r="A2061" s="26"/>
      <c r="B2061" s="26"/>
      <c r="C2061" s="26"/>
      <c r="D2061" s="26"/>
      <c r="E2061" s="26"/>
      <c r="F2061" s="28" t="e">
        <f ca="1">_xludf.ifna(VLOOKUP(G2062,Proyectos!$E$1:$H$4,4,0),"")</f>
        <v>#NAME?</v>
      </c>
      <c r="G2061" s="26"/>
      <c r="H2061" s="32"/>
      <c r="I2061" s="32"/>
      <c r="J2061" s="32"/>
      <c r="K2061" s="32"/>
      <c r="L2061" s="32" t="e">
        <f ca="1">_xludf.ifna(VLOOKUP(G2062,Proyectos!$E$1:$N$4,10,0),"")</f>
        <v>#NAME?</v>
      </c>
      <c r="M2061" s="32"/>
      <c r="N2061" s="32" t="s">
        <v>5905</v>
      </c>
      <c r="O2061" s="32"/>
      <c r="P2061" s="33"/>
      <c r="Q2061" s="33"/>
    </row>
    <row r="2062" spans="1:17" ht="16.5" customHeight="1" x14ac:dyDescent="0.2">
      <c r="A2062" s="26"/>
      <c r="B2062" s="26"/>
      <c r="C2062" s="26"/>
      <c r="D2062" s="26"/>
      <c r="E2062" s="26"/>
      <c r="F2062" s="28" t="e">
        <f ca="1">_xludf.ifna(VLOOKUP(G2063,Proyectos!$E$1:$H$4,4,0),"")</f>
        <v>#NAME?</v>
      </c>
      <c r="G2062" s="26"/>
      <c r="H2062" s="32"/>
      <c r="I2062" s="32"/>
      <c r="J2062" s="32"/>
      <c r="K2062" s="32"/>
      <c r="L2062" s="32" t="e">
        <f ca="1">_xludf.ifna(VLOOKUP(G2063,Proyectos!$E$1:$N$4,10,0),"")</f>
        <v>#NAME?</v>
      </c>
      <c r="M2062" s="32"/>
      <c r="N2062" s="32" t="s">
        <v>5905</v>
      </c>
      <c r="O2062" s="32"/>
      <c r="P2062" s="33"/>
      <c r="Q2062" s="33"/>
    </row>
    <row r="2063" spans="1:17" ht="16.5" customHeight="1" x14ac:dyDescent="0.2">
      <c r="A2063" s="26"/>
      <c r="B2063" s="26"/>
      <c r="C2063" s="26"/>
      <c r="D2063" s="26"/>
      <c r="E2063" s="26"/>
      <c r="F2063" s="28" t="e">
        <f ca="1">_xludf.ifna(VLOOKUP(G2064,Proyectos!$E$1:$H$4,4,0),"")</f>
        <v>#NAME?</v>
      </c>
      <c r="G2063" s="26"/>
      <c r="H2063" s="32"/>
      <c r="I2063" s="32"/>
      <c r="J2063" s="32"/>
      <c r="K2063" s="32"/>
      <c r="L2063" s="32" t="e">
        <f ca="1">_xludf.ifna(VLOOKUP(G2064,Proyectos!$E$1:$N$4,10,0),"")</f>
        <v>#NAME?</v>
      </c>
      <c r="M2063" s="32"/>
      <c r="N2063" s="32" t="s">
        <v>5905</v>
      </c>
      <c r="O2063" s="32"/>
      <c r="P2063" s="33"/>
      <c r="Q2063" s="33"/>
    </row>
    <row r="2064" spans="1:17" ht="16.5" customHeight="1" x14ac:dyDescent="0.2">
      <c r="A2064" s="26"/>
      <c r="B2064" s="26"/>
      <c r="C2064" s="26"/>
      <c r="D2064" s="26"/>
      <c r="E2064" s="26"/>
      <c r="F2064" s="28" t="e">
        <f ca="1">_xludf.ifna(VLOOKUP(G2065,Proyectos!$E$1:$H$4,4,0),"")</f>
        <v>#NAME?</v>
      </c>
      <c r="G2064" s="26"/>
      <c r="H2064" s="32"/>
      <c r="I2064" s="32"/>
      <c r="J2064" s="32"/>
      <c r="K2064" s="32"/>
      <c r="L2064" s="32" t="e">
        <f ca="1">_xludf.ifna(VLOOKUP(G2065,Proyectos!$E$1:$N$4,10,0),"")</f>
        <v>#NAME?</v>
      </c>
      <c r="M2064" s="32"/>
      <c r="N2064" s="32" t="s">
        <v>5905</v>
      </c>
      <c r="O2064" s="32"/>
      <c r="P2064" s="33"/>
      <c r="Q2064" s="33"/>
    </row>
    <row r="2065" spans="1:17" ht="16.5" customHeight="1" x14ac:dyDescent="0.2">
      <c r="A2065" s="26"/>
      <c r="B2065" s="26"/>
      <c r="C2065" s="26"/>
      <c r="D2065" s="26"/>
      <c r="E2065" s="26"/>
      <c r="F2065" s="28" t="e">
        <f ca="1">_xludf.ifna(VLOOKUP(G2066,Proyectos!$E$1:$H$4,4,0),"")</f>
        <v>#NAME?</v>
      </c>
      <c r="G2065" s="26"/>
      <c r="H2065" s="32"/>
      <c r="I2065" s="32"/>
      <c r="J2065" s="32"/>
      <c r="K2065" s="32"/>
      <c r="L2065" s="32" t="e">
        <f ca="1">_xludf.ifna(VLOOKUP(G2066,Proyectos!$E$1:$N$4,10,0),"")</f>
        <v>#NAME?</v>
      </c>
      <c r="M2065" s="32"/>
      <c r="N2065" s="32" t="s">
        <v>5905</v>
      </c>
      <c r="O2065" s="32"/>
      <c r="P2065" s="33"/>
      <c r="Q2065" s="33"/>
    </row>
    <row r="2066" spans="1:17" ht="16.5" customHeight="1" x14ac:dyDescent="0.2">
      <c r="A2066" s="26"/>
      <c r="B2066" s="26"/>
      <c r="C2066" s="26"/>
      <c r="D2066" s="26"/>
      <c r="E2066" s="26"/>
      <c r="F2066" s="28" t="e">
        <f ca="1">_xludf.ifna(VLOOKUP(G2067,Proyectos!$E$1:$H$4,4,0),"")</f>
        <v>#NAME?</v>
      </c>
      <c r="G2066" s="26"/>
      <c r="H2066" s="32"/>
      <c r="I2066" s="32"/>
      <c r="J2066" s="32"/>
      <c r="K2066" s="32"/>
      <c r="L2066" s="32" t="e">
        <f ca="1">_xludf.ifna(VLOOKUP(G2067,Proyectos!$E$1:$N$4,10,0),"")</f>
        <v>#NAME?</v>
      </c>
      <c r="M2066" s="32"/>
      <c r="N2066" s="32" t="s">
        <v>5905</v>
      </c>
      <c r="O2066" s="32"/>
      <c r="P2066" s="33"/>
      <c r="Q2066" s="33"/>
    </row>
    <row r="2067" spans="1:17" ht="16.5" customHeight="1" x14ac:dyDescent="0.2">
      <c r="A2067" s="26"/>
      <c r="B2067" s="26"/>
      <c r="C2067" s="26"/>
      <c r="D2067" s="26"/>
      <c r="E2067" s="26"/>
      <c r="F2067" s="28" t="e">
        <f ca="1">_xludf.ifna(VLOOKUP(G2068,Proyectos!$E$1:$H$4,4,0),"")</f>
        <v>#NAME?</v>
      </c>
      <c r="G2067" s="26"/>
      <c r="H2067" s="32"/>
      <c r="I2067" s="32"/>
      <c r="J2067" s="32"/>
      <c r="K2067" s="32"/>
      <c r="L2067" s="32" t="e">
        <f ca="1">_xludf.ifna(VLOOKUP(G2068,Proyectos!$E$1:$N$4,10,0),"")</f>
        <v>#NAME?</v>
      </c>
      <c r="M2067" s="32"/>
      <c r="N2067" s="32" t="s">
        <v>5905</v>
      </c>
      <c r="O2067" s="32"/>
      <c r="P2067" s="33"/>
      <c r="Q2067" s="33"/>
    </row>
    <row r="2068" spans="1:17" ht="16.5" customHeight="1" x14ac:dyDescent="0.2">
      <c r="A2068" s="26"/>
      <c r="B2068" s="26"/>
      <c r="C2068" s="26"/>
      <c r="D2068" s="26"/>
      <c r="E2068" s="26"/>
      <c r="F2068" s="28" t="e">
        <f ca="1">_xludf.ifna(VLOOKUP(G2069,Proyectos!$E$1:$H$4,4,0),"")</f>
        <v>#NAME?</v>
      </c>
      <c r="G2068" s="26"/>
      <c r="H2068" s="32"/>
      <c r="I2068" s="32"/>
      <c r="J2068" s="32"/>
      <c r="K2068" s="32"/>
      <c r="L2068" s="32" t="e">
        <f ca="1">_xludf.ifna(VLOOKUP(G2069,Proyectos!$E$1:$N$4,10,0),"")</f>
        <v>#NAME?</v>
      </c>
      <c r="M2068" s="32"/>
      <c r="N2068" s="32" t="s">
        <v>5905</v>
      </c>
      <c r="O2068" s="32"/>
      <c r="P2068" s="33"/>
      <c r="Q2068" s="33"/>
    </row>
    <row r="2069" spans="1:17" ht="16.5" customHeight="1" x14ac:dyDescent="0.2">
      <c r="A2069" s="26"/>
      <c r="B2069" s="26"/>
      <c r="C2069" s="26"/>
      <c r="D2069" s="26"/>
      <c r="E2069" s="26"/>
      <c r="F2069" s="28" t="e">
        <f ca="1">_xludf.ifna(VLOOKUP(G2070,Proyectos!$E$1:$H$4,4,0),"")</f>
        <v>#NAME?</v>
      </c>
      <c r="G2069" s="26"/>
      <c r="H2069" s="32"/>
      <c r="I2069" s="32"/>
      <c r="J2069" s="32"/>
      <c r="K2069" s="32"/>
      <c r="L2069" s="32" t="e">
        <f ca="1">_xludf.ifna(VLOOKUP(G2070,Proyectos!$E$1:$N$4,10,0),"")</f>
        <v>#NAME?</v>
      </c>
      <c r="M2069" s="32"/>
      <c r="N2069" s="32" t="s">
        <v>5905</v>
      </c>
      <c r="O2069" s="32"/>
      <c r="P2069" s="33"/>
      <c r="Q2069" s="33"/>
    </row>
    <row r="2070" spans="1:17" ht="16.5" customHeight="1" x14ac:dyDescent="0.2">
      <c r="A2070" s="26"/>
      <c r="B2070" s="26"/>
      <c r="C2070" s="26"/>
      <c r="D2070" s="26"/>
      <c r="E2070" s="26"/>
      <c r="F2070" s="28" t="e">
        <f ca="1">_xludf.ifna(VLOOKUP(G2071,Proyectos!$E$1:$H$4,4,0),"")</f>
        <v>#NAME?</v>
      </c>
      <c r="G2070" s="26"/>
      <c r="H2070" s="32"/>
      <c r="I2070" s="32"/>
      <c r="J2070" s="32"/>
      <c r="K2070" s="32"/>
      <c r="L2070" s="32" t="e">
        <f ca="1">_xludf.ifna(VLOOKUP(G2071,Proyectos!$E$1:$N$4,10,0),"")</f>
        <v>#NAME?</v>
      </c>
      <c r="M2070" s="32"/>
      <c r="N2070" s="32" t="s">
        <v>5905</v>
      </c>
      <c r="O2070" s="32"/>
      <c r="P2070" s="33"/>
      <c r="Q2070" s="33"/>
    </row>
    <row r="2071" spans="1:17" ht="16.5" customHeight="1" x14ac:dyDescent="0.2">
      <c r="A2071" s="26"/>
      <c r="B2071" s="26"/>
      <c r="C2071" s="26"/>
      <c r="D2071" s="26"/>
      <c r="E2071" s="26"/>
      <c r="F2071" s="28" t="e">
        <f ca="1">_xludf.ifna(VLOOKUP(G2072,Proyectos!$E$1:$H$4,4,0),"")</f>
        <v>#NAME?</v>
      </c>
      <c r="G2071" s="26"/>
      <c r="H2071" s="32"/>
      <c r="I2071" s="32"/>
      <c r="J2071" s="32"/>
      <c r="K2071" s="32"/>
      <c r="L2071" s="32" t="e">
        <f ca="1">_xludf.ifna(VLOOKUP(G2072,Proyectos!$E$1:$N$4,10,0),"")</f>
        <v>#NAME?</v>
      </c>
      <c r="M2071" s="32"/>
      <c r="N2071" s="32" t="s">
        <v>5905</v>
      </c>
      <c r="O2071" s="32"/>
      <c r="P2071" s="33"/>
      <c r="Q2071" s="33"/>
    </row>
    <row r="2072" spans="1:17" ht="16.5" customHeight="1" x14ac:dyDescent="0.2">
      <c r="A2072" s="26"/>
      <c r="B2072" s="26"/>
      <c r="C2072" s="26"/>
      <c r="D2072" s="26"/>
      <c r="E2072" s="26"/>
      <c r="F2072" s="28" t="e">
        <f ca="1">_xludf.ifna(VLOOKUP(G2073,Proyectos!$E$1:$H$4,4,0),"")</f>
        <v>#NAME?</v>
      </c>
      <c r="G2072" s="26"/>
      <c r="H2072" s="32"/>
      <c r="I2072" s="32"/>
      <c r="J2072" s="32"/>
      <c r="K2072" s="32"/>
      <c r="L2072" s="32" t="e">
        <f ca="1">_xludf.ifna(VLOOKUP(G2073,Proyectos!$E$1:$N$4,10,0),"")</f>
        <v>#NAME?</v>
      </c>
      <c r="M2072" s="32"/>
      <c r="N2072" s="32" t="s">
        <v>5905</v>
      </c>
      <c r="O2072" s="32"/>
      <c r="P2072" s="33"/>
      <c r="Q2072" s="33"/>
    </row>
    <row r="2073" spans="1:17" ht="16.5" customHeight="1" x14ac:dyDescent="0.2">
      <c r="A2073" s="26"/>
      <c r="B2073" s="26"/>
      <c r="C2073" s="26"/>
      <c r="D2073" s="26"/>
      <c r="E2073" s="26"/>
      <c r="F2073" s="28" t="e">
        <f ca="1">_xludf.ifna(VLOOKUP(G2074,Proyectos!$E$1:$H$4,4,0),"")</f>
        <v>#NAME?</v>
      </c>
      <c r="G2073" s="26"/>
      <c r="H2073" s="32"/>
      <c r="I2073" s="32"/>
      <c r="J2073" s="32"/>
      <c r="K2073" s="32"/>
      <c r="L2073" s="32" t="e">
        <f ca="1">_xludf.ifna(VLOOKUP(G2074,Proyectos!$E$1:$N$4,10,0),"")</f>
        <v>#NAME?</v>
      </c>
      <c r="M2073" s="32"/>
      <c r="N2073" s="32" t="s">
        <v>5905</v>
      </c>
      <c r="O2073" s="32"/>
      <c r="P2073" s="33"/>
      <c r="Q2073" s="33"/>
    </row>
    <row r="2074" spans="1:17" ht="16.5" customHeight="1" x14ac:dyDescent="0.2">
      <c r="A2074" s="26"/>
      <c r="B2074" s="26"/>
      <c r="C2074" s="26"/>
      <c r="D2074" s="26"/>
      <c r="E2074" s="26"/>
      <c r="F2074" s="28" t="e">
        <f ca="1">_xludf.ifna(VLOOKUP(G2075,Proyectos!$E$1:$H$4,4,0),"")</f>
        <v>#NAME?</v>
      </c>
      <c r="G2074" s="26"/>
      <c r="H2074" s="32"/>
      <c r="I2074" s="32"/>
      <c r="J2074" s="32"/>
      <c r="K2074" s="32"/>
      <c r="L2074" s="32" t="e">
        <f ca="1">_xludf.ifna(VLOOKUP(G2075,Proyectos!$E$1:$N$4,10,0),"")</f>
        <v>#NAME?</v>
      </c>
      <c r="M2074" s="32"/>
      <c r="N2074" s="32" t="s">
        <v>5905</v>
      </c>
      <c r="O2074" s="32"/>
      <c r="P2074" s="33"/>
      <c r="Q2074" s="33"/>
    </row>
    <row r="2075" spans="1:17" ht="16.5" customHeight="1" x14ac:dyDescent="0.2">
      <c r="A2075" s="26"/>
      <c r="B2075" s="26"/>
      <c r="C2075" s="26"/>
      <c r="D2075" s="26"/>
      <c r="E2075" s="26"/>
      <c r="F2075" s="28" t="e">
        <f ca="1">_xludf.ifna(VLOOKUP(G2076,Proyectos!$E$1:$H$4,4,0),"")</f>
        <v>#NAME?</v>
      </c>
      <c r="G2075" s="26"/>
      <c r="H2075" s="32"/>
      <c r="I2075" s="32"/>
      <c r="J2075" s="32"/>
      <c r="K2075" s="32"/>
      <c r="L2075" s="32" t="e">
        <f ca="1">_xludf.ifna(VLOOKUP(G2076,Proyectos!$E$1:$N$4,10,0),"")</f>
        <v>#NAME?</v>
      </c>
      <c r="M2075" s="32"/>
      <c r="N2075" s="32" t="s">
        <v>5905</v>
      </c>
      <c r="O2075" s="32"/>
      <c r="P2075" s="33"/>
      <c r="Q2075" s="33"/>
    </row>
    <row r="2076" spans="1:17" ht="16.5" customHeight="1" x14ac:dyDescent="0.2">
      <c r="A2076" s="26"/>
      <c r="B2076" s="26"/>
      <c r="C2076" s="26"/>
      <c r="D2076" s="26"/>
      <c r="E2076" s="26"/>
      <c r="F2076" s="28" t="e">
        <f ca="1">_xludf.ifna(VLOOKUP(G2077,Proyectos!$E$1:$H$4,4,0),"")</f>
        <v>#NAME?</v>
      </c>
      <c r="G2076" s="26"/>
      <c r="H2076" s="32"/>
      <c r="I2076" s="32"/>
      <c r="J2076" s="32"/>
      <c r="K2076" s="32"/>
      <c r="L2076" s="32" t="e">
        <f ca="1">_xludf.ifna(VLOOKUP(G2077,Proyectos!$E$1:$N$4,10,0),"")</f>
        <v>#NAME?</v>
      </c>
      <c r="M2076" s="32"/>
      <c r="N2076" s="32" t="s">
        <v>5905</v>
      </c>
      <c r="O2076" s="32"/>
      <c r="P2076" s="33"/>
      <c r="Q2076" s="33"/>
    </row>
    <row r="2077" spans="1:17" ht="16.5" customHeight="1" x14ac:dyDescent="0.2">
      <c r="A2077" s="26"/>
      <c r="B2077" s="26"/>
      <c r="C2077" s="26"/>
      <c r="D2077" s="26"/>
      <c r="E2077" s="26"/>
      <c r="F2077" s="28" t="e">
        <f ca="1">_xludf.ifna(VLOOKUP(G2078,Proyectos!$E$1:$H$4,4,0),"")</f>
        <v>#NAME?</v>
      </c>
      <c r="G2077" s="26"/>
      <c r="H2077" s="32"/>
      <c r="I2077" s="32"/>
      <c r="J2077" s="32"/>
      <c r="K2077" s="32"/>
      <c r="L2077" s="32" t="e">
        <f ca="1">_xludf.ifna(VLOOKUP(G2078,Proyectos!$E$1:$N$4,10,0),"")</f>
        <v>#NAME?</v>
      </c>
      <c r="M2077" s="32"/>
      <c r="N2077" s="32" t="s">
        <v>5905</v>
      </c>
      <c r="O2077" s="32"/>
      <c r="P2077" s="33"/>
      <c r="Q2077" s="33"/>
    </row>
    <row r="2078" spans="1:17" ht="16.5" customHeight="1" x14ac:dyDescent="0.2">
      <c r="A2078" s="26"/>
      <c r="B2078" s="26"/>
      <c r="C2078" s="26"/>
      <c r="D2078" s="26"/>
      <c r="E2078" s="26"/>
      <c r="F2078" s="28" t="e">
        <f ca="1">_xludf.ifna(VLOOKUP(G2079,Proyectos!$E$1:$H$4,4,0),"")</f>
        <v>#NAME?</v>
      </c>
      <c r="G2078" s="26"/>
      <c r="H2078" s="32"/>
      <c r="I2078" s="32"/>
      <c r="J2078" s="32"/>
      <c r="K2078" s="32"/>
      <c r="L2078" s="32" t="e">
        <f ca="1">_xludf.ifna(VLOOKUP(G2079,Proyectos!$E$1:$N$4,10,0),"")</f>
        <v>#NAME?</v>
      </c>
      <c r="M2078" s="32"/>
      <c r="N2078" s="32" t="s">
        <v>5905</v>
      </c>
      <c r="O2078" s="32"/>
      <c r="P2078" s="33"/>
      <c r="Q2078" s="33"/>
    </row>
    <row r="2079" spans="1:17" ht="16.5" customHeight="1" x14ac:dyDescent="0.2">
      <c r="A2079" s="26"/>
      <c r="B2079" s="26"/>
      <c r="C2079" s="26"/>
      <c r="D2079" s="26"/>
      <c r="E2079" s="26"/>
      <c r="F2079" s="28" t="e">
        <f ca="1">_xludf.ifna(VLOOKUP(G2080,Proyectos!$E$1:$H$4,4,0),"")</f>
        <v>#NAME?</v>
      </c>
      <c r="G2079" s="26"/>
      <c r="H2079" s="32"/>
      <c r="I2079" s="32"/>
      <c r="J2079" s="32"/>
      <c r="K2079" s="32"/>
      <c r="L2079" s="32" t="e">
        <f ca="1">_xludf.ifna(VLOOKUP(G2080,Proyectos!$E$1:$N$4,10,0),"")</f>
        <v>#NAME?</v>
      </c>
      <c r="M2079" s="32"/>
      <c r="N2079" s="32" t="s">
        <v>5905</v>
      </c>
      <c r="O2079" s="32"/>
      <c r="P2079" s="33"/>
      <c r="Q2079" s="33"/>
    </row>
    <row r="2080" spans="1:17" ht="16.5" customHeight="1" x14ac:dyDescent="0.2">
      <c r="A2080" s="26"/>
      <c r="B2080" s="26"/>
      <c r="C2080" s="26"/>
      <c r="D2080" s="26"/>
      <c r="E2080" s="26"/>
      <c r="F2080" s="28" t="e">
        <f ca="1">_xludf.ifna(VLOOKUP(G2081,Proyectos!$E$1:$H$4,4,0),"")</f>
        <v>#NAME?</v>
      </c>
      <c r="G2080" s="26"/>
      <c r="H2080" s="32"/>
      <c r="I2080" s="32"/>
      <c r="J2080" s="32"/>
      <c r="K2080" s="32"/>
      <c r="L2080" s="32" t="e">
        <f ca="1">_xludf.ifna(VLOOKUP(G2081,Proyectos!$E$1:$N$4,10,0),"")</f>
        <v>#NAME?</v>
      </c>
      <c r="M2080" s="32"/>
      <c r="N2080" s="32" t="s">
        <v>5905</v>
      </c>
      <c r="O2080" s="32"/>
      <c r="P2080" s="33"/>
      <c r="Q2080" s="33"/>
    </row>
    <row r="2081" spans="1:17" ht="16.5" customHeight="1" x14ac:dyDescent="0.2">
      <c r="A2081" s="26"/>
      <c r="B2081" s="26"/>
      <c r="C2081" s="26"/>
      <c r="D2081" s="26"/>
      <c r="E2081" s="26"/>
      <c r="F2081" s="28" t="e">
        <f ca="1">_xludf.ifna(VLOOKUP(G2082,Proyectos!$E$1:$H$4,4,0),"")</f>
        <v>#NAME?</v>
      </c>
      <c r="G2081" s="26"/>
      <c r="H2081" s="32"/>
      <c r="I2081" s="32"/>
      <c r="J2081" s="32"/>
      <c r="K2081" s="32"/>
      <c r="L2081" s="32" t="e">
        <f ca="1">_xludf.ifna(VLOOKUP(G2082,Proyectos!$E$1:$N$4,10,0),"")</f>
        <v>#NAME?</v>
      </c>
      <c r="M2081" s="32"/>
      <c r="N2081" s="32" t="s">
        <v>5905</v>
      </c>
      <c r="O2081" s="32"/>
      <c r="P2081" s="33"/>
      <c r="Q2081" s="33"/>
    </row>
    <row r="2082" spans="1:17" ht="16.5" customHeight="1" x14ac:dyDescent="0.2">
      <c r="A2082" s="26"/>
      <c r="B2082" s="26"/>
      <c r="C2082" s="26"/>
      <c r="D2082" s="26"/>
      <c r="E2082" s="26"/>
      <c r="F2082" s="28" t="e">
        <f ca="1">_xludf.ifna(VLOOKUP(G2083,Proyectos!$E$1:$H$4,4,0),"")</f>
        <v>#NAME?</v>
      </c>
      <c r="G2082" s="26"/>
      <c r="H2082" s="32"/>
      <c r="I2082" s="32"/>
      <c r="J2082" s="32"/>
      <c r="K2082" s="32"/>
      <c r="L2082" s="32" t="e">
        <f ca="1">_xludf.ifna(VLOOKUP(G2083,Proyectos!$E$1:$N$4,10,0),"")</f>
        <v>#NAME?</v>
      </c>
      <c r="M2082" s="32"/>
      <c r="N2082" s="32" t="s">
        <v>5905</v>
      </c>
      <c r="O2082" s="32"/>
      <c r="P2082" s="33"/>
      <c r="Q2082" s="33"/>
    </row>
    <row r="2083" spans="1:17" ht="16.5" customHeight="1" x14ac:dyDescent="0.2">
      <c r="A2083" s="26"/>
      <c r="B2083" s="26"/>
      <c r="C2083" s="26"/>
      <c r="D2083" s="26"/>
      <c r="E2083" s="26"/>
      <c r="F2083" s="28" t="e">
        <f ca="1">_xludf.ifna(VLOOKUP(G2084,Proyectos!$E$1:$H$4,4,0),"")</f>
        <v>#NAME?</v>
      </c>
      <c r="G2083" s="26"/>
      <c r="H2083" s="32"/>
      <c r="I2083" s="32"/>
      <c r="J2083" s="32"/>
      <c r="K2083" s="32"/>
      <c r="L2083" s="32" t="e">
        <f ca="1">_xludf.ifna(VLOOKUP(G2084,Proyectos!$E$1:$N$4,10,0),"")</f>
        <v>#NAME?</v>
      </c>
      <c r="M2083" s="32"/>
      <c r="N2083" s="32" t="s">
        <v>5905</v>
      </c>
      <c r="O2083" s="32"/>
      <c r="P2083" s="33"/>
      <c r="Q2083" s="33"/>
    </row>
    <row r="2084" spans="1:17" ht="16.5" customHeight="1" x14ac:dyDescent="0.2">
      <c r="A2084" s="26"/>
      <c r="B2084" s="26"/>
      <c r="C2084" s="26"/>
      <c r="D2084" s="26"/>
      <c r="E2084" s="26"/>
      <c r="F2084" s="28" t="e">
        <f ca="1">_xludf.ifna(VLOOKUP(G2085,Proyectos!$E$1:$H$4,4,0),"")</f>
        <v>#NAME?</v>
      </c>
      <c r="G2084" s="26"/>
      <c r="H2084" s="32"/>
      <c r="I2084" s="32"/>
      <c r="J2084" s="32"/>
      <c r="K2084" s="32"/>
      <c r="L2084" s="32" t="e">
        <f ca="1">_xludf.ifna(VLOOKUP(G2085,Proyectos!$E$1:$N$4,10,0),"")</f>
        <v>#NAME?</v>
      </c>
      <c r="M2084" s="32"/>
      <c r="N2084" s="32" t="s">
        <v>5905</v>
      </c>
      <c r="O2084" s="32"/>
      <c r="P2084" s="33"/>
      <c r="Q2084" s="33"/>
    </row>
    <row r="2085" spans="1:17" ht="16.5" customHeight="1" x14ac:dyDescent="0.2">
      <c r="A2085" s="26"/>
      <c r="B2085" s="26"/>
      <c r="C2085" s="26"/>
      <c r="D2085" s="26"/>
      <c r="E2085" s="26"/>
      <c r="F2085" s="28" t="e">
        <f ca="1">_xludf.ifna(VLOOKUP(G2086,Proyectos!$E$1:$H$4,4,0),"")</f>
        <v>#NAME?</v>
      </c>
      <c r="G2085" s="26"/>
      <c r="H2085" s="32"/>
      <c r="I2085" s="32"/>
      <c r="J2085" s="32"/>
      <c r="K2085" s="32"/>
      <c r="L2085" s="32" t="e">
        <f ca="1">_xludf.ifna(VLOOKUP(G2086,Proyectos!$E$1:$N$4,10,0),"")</f>
        <v>#NAME?</v>
      </c>
      <c r="M2085" s="32"/>
      <c r="N2085" s="32" t="s">
        <v>5905</v>
      </c>
      <c r="O2085" s="32"/>
      <c r="P2085" s="33"/>
      <c r="Q2085" s="33"/>
    </row>
    <row r="2086" spans="1:17" ht="16.5" customHeight="1" x14ac:dyDescent="0.2">
      <c r="A2086" s="26"/>
      <c r="B2086" s="26"/>
      <c r="C2086" s="26"/>
      <c r="D2086" s="26"/>
      <c r="E2086" s="26"/>
      <c r="F2086" s="28" t="e">
        <f ca="1">_xludf.ifna(VLOOKUP(G2087,Proyectos!$E$1:$H$4,4,0),"")</f>
        <v>#NAME?</v>
      </c>
      <c r="G2086" s="26"/>
      <c r="H2086" s="32"/>
      <c r="I2086" s="32"/>
      <c r="J2086" s="32"/>
      <c r="K2086" s="32"/>
      <c r="L2086" s="32" t="e">
        <f ca="1">_xludf.ifna(VLOOKUP(G2087,Proyectos!$E$1:$N$4,10,0),"")</f>
        <v>#NAME?</v>
      </c>
      <c r="M2086" s="32"/>
      <c r="N2086" s="32" t="s">
        <v>5905</v>
      </c>
      <c r="O2086" s="32"/>
      <c r="P2086" s="33"/>
      <c r="Q2086" s="33"/>
    </row>
    <row r="2087" spans="1:17" ht="16.5" customHeight="1" x14ac:dyDescent="0.2">
      <c r="A2087" s="26"/>
      <c r="B2087" s="26"/>
      <c r="C2087" s="26"/>
      <c r="D2087" s="26"/>
      <c r="E2087" s="26"/>
      <c r="F2087" s="28" t="e">
        <f ca="1">_xludf.ifna(VLOOKUP(G2088,Proyectos!$E$1:$H$4,4,0),"")</f>
        <v>#NAME?</v>
      </c>
      <c r="G2087" s="26"/>
      <c r="H2087" s="32"/>
      <c r="I2087" s="32"/>
      <c r="J2087" s="32"/>
      <c r="K2087" s="32"/>
      <c r="L2087" s="32" t="e">
        <f ca="1">_xludf.ifna(VLOOKUP(G2088,Proyectos!$E$1:$N$4,10,0),"")</f>
        <v>#NAME?</v>
      </c>
      <c r="M2087" s="32"/>
      <c r="N2087" s="32" t="s">
        <v>5905</v>
      </c>
      <c r="O2087" s="32"/>
      <c r="P2087" s="33"/>
      <c r="Q2087" s="33"/>
    </row>
    <row r="2088" spans="1:17" ht="16.5" customHeight="1" x14ac:dyDescent="0.2">
      <c r="A2088" s="26"/>
      <c r="B2088" s="26"/>
      <c r="C2088" s="26"/>
      <c r="D2088" s="26"/>
      <c r="E2088" s="26"/>
      <c r="F2088" s="28" t="e">
        <f ca="1">_xludf.ifna(VLOOKUP(G2089,Proyectos!$E$1:$H$4,4,0),"")</f>
        <v>#NAME?</v>
      </c>
      <c r="G2088" s="26"/>
      <c r="H2088" s="32"/>
      <c r="I2088" s="32"/>
      <c r="J2088" s="32"/>
      <c r="K2088" s="32"/>
      <c r="L2088" s="32" t="e">
        <f ca="1">_xludf.ifna(VLOOKUP(G2089,Proyectos!$E$1:$N$4,10,0),"")</f>
        <v>#NAME?</v>
      </c>
      <c r="M2088" s="32"/>
      <c r="N2088" s="32" t="s">
        <v>5905</v>
      </c>
      <c r="O2088" s="32"/>
      <c r="P2088" s="33"/>
      <c r="Q2088" s="33"/>
    </row>
    <row r="2089" spans="1:17" ht="16.5" customHeight="1" x14ac:dyDescent="0.2">
      <c r="A2089" s="26"/>
      <c r="B2089" s="26"/>
      <c r="C2089" s="26"/>
      <c r="D2089" s="26"/>
      <c r="E2089" s="26"/>
      <c r="F2089" s="28" t="e">
        <f ca="1">_xludf.ifna(VLOOKUP(G2090,Proyectos!$E$1:$H$4,4,0),"")</f>
        <v>#NAME?</v>
      </c>
      <c r="G2089" s="26"/>
      <c r="H2089" s="32"/>
      <c r="I2089" s="32"/>
      <c r="J2089" s="32"/>
      <c r="K2089" s="32"/>
      <c r="L2089" s="32" t="e">
        <f ca="1">_xludf.ifna(VLOOKUP(G2090,Proyectos!$E$1:$N$4,10,0),"")</f>
        <v>#NAME?</v>
      </c>
      <c r="M2089" s="32"/>
      <c r="N2089" s="32" t="s">
        <v>5905</v>
      </c>
      <c r="O2089" s="32"/>
      <c r="P2089" s="33"/>
      <c r="Q2089" s="33"/>
    </row>
    <row r="2090" spans="1:17" ht="16.5" customHeight="1" x14ac:dyDescent="0.2">
      <c r="A2090" s="26"/>
      <c r="B2090" s="26"/>
      <c r="C2090" s="26"/>
      <c r="D2090" s="26"/>
      <c r="E2090" s="26"/>
      <c r="F2090" s="28" t="e">
        <f ca="1">_xludf.ifna(VLOOKUP(G2091,Proyectos!$E$1:$H$4,4,0),"")</f>
        <v>#NAME?</v>
      </c>
      <c r="G2090" s="26"/>
      <c r="H2090" s="32"/>
      <c r="I2090" s="32"/>
      <c r="J2090" s="32"/>
      <c r="K2090" s="32"/>
      <c r="L2090" s="32" t="e">
        <f ca="1">_xludf.ifna(VLOOKUP(G2091,Proyectos!$E$1:$N$4,10,0),"")</f>
        <v>#NAME?</v>
      </c>
      <c r="M2090" s="32"/>
      <c r="N2090" s="32" t="s">
        <v>5905</v>
      </c>
      <c r="O2090" s="32"/>
      <c r="P2090" s="33"/>
      <c r="Q2090" s="33"/>
    </row>
    <row r="2091" spans="1:17" ht="16.5" customHeight="1" x14ac:dyDescent="0.2">
      <c r="A2091" s="26"/>
      <c r="B2091" s="26"/>
      <c r="C2091" s="26"/>
      <c r="D2091" s="26"/>
      <c r="E2091" s="26"/>
      <c r="F2091" s="28" t="e">
        <f ca="1">_xludf.ifna(VLOOKUP(G2092,Proyectos!$E$1:$H$4,4,0),"")</f>
        <v>#NAME?</v>
      </c>
      <c r="G2091" s="26"/>
      <c r="H2091" s="32"/>
      <c r="I2091" s="32"/>
      <c r="J2091" s="32"/>
      <c r="K2091" s="32"/>
      <c r="L2091" s="32" t="e">
        <f ca="1">_xludf.ifna(VLOOKUP(G2092,Proyectos!$E$1:$N$4,10,0),"")</f>
        <v>#NAME?</v>
      </c>
      <c r="M2091" s="32"/>
      <c r="N2091" s="32" t="s">
        <v>5905</v>
      </c>
      <c r="O2091" s="32"/>
      <c r="P2091" s="33"/>
      <c r="Q2091" s="33"/>
    </row>
    <row r="2092" spans="1:17" ht="16.5" customHeight="1" x14ac:dyDescent="0.2">
      <c r="A2092" s="26"/>
      <c r="B2092" s="26"/>
      <c r="C2092" s="26"/>
      <c r="D2092" s="26"/>
      <c r="E2092" s="26"/>
      <c r="F2092" s="28" t="e">
        <f ca="1">_xludf.ifna(VLOOKUP(G2093,Proyectos!$E$1:$H$4,4,0),"")</f>
        <v>#NAME?</v>
      </c>
      <c r="G2092" s="26"/>
      <c r="H2092" s="32"/>
      <c r="I2092" s="32"/>
      <c r="J2092" s="32"/>
      <c r="K2092" s="32"/>
      <c r="L2092" s="32" t="e">
        <f ca="1">_xludf.ifna(VLOOKUP(G2093,Proyectos!$E$1:$N$4,10,0),"")</f>
        <v>#NAME?</v>
      </c>
      <c r="M2092" s="32"/>
      <c r="N2092" s="32" t="s">
        <v>5905</v>
      </c>
      <c r="O2092" s="32"/>
      <c r="P2092" s="33"/>
      <c r="Q2092" s="33"/>
    </row>
    <row r="2093" spans="1:17" ht="16.5" customHeight="1" x14ac:dyDescent="0.2">
      <c r="A2093" s="26"/>
      <c r="B2093" s="26"/>
      <c r="C2093" s="26"/>
      <c r="D2093" s="26"/>
      <c r="E2093" s="26"/>
      <c r="F2093" s="28" t="e">
        <f ca="1">_xludf.ifna(VLOOKUP(G2094,Proyectos!$E$1:$H$4,4,0),"")</f>
        <v>#NAME?</v>
      </c>
      <c r="G2093" s="26"/>
      <c r="H2093" s="32"/>
      <c r="I2093" s="32"/>
      <c r="J2093" s="32"/>
      <c r="K2093" s="32"/>
      <c r="L2093" s="32" t="e">
        <f ca="1">_xludf.ifna(VLOOKUP(G2094,Proyectos!$E$1:$N$4,10,0),"")</f>
        <v>#NAME?</v>
      </c>
      <c r="M2093" s="32"/>
      <c r="N2093" s="32" t="s">
        <v>5905</v>
      </c>
      <c r="O2093" s="32"/>
      <c r="P2093" s="33"/>
      <c r="Q2093" s="33"/>
    </row>
    <row r="2094" spans="1:17" ht="16.5" customHeight="1" x14ac:dyDescent="0.2">
      <c r="A2094" s="26"/>
      <c r="B2094" s="26"/>
      <c r="C2094" s="26"/>
      <c r="D2094" s="26"/>
      <c r="E2094" s="26"/>
      <c r="F2094" s="28" t="e">
        <f ca="1">_xludf.ifna(VLOOKUP(G2095,Proyectos!$E$1:$H$4,4,0),"")</f>
        <v>#NAME?</v>
      </c>
      <c r="G2094" s="26"/>
      <c r="H2094" s="32"/>
      <c r="I2094" s="32"/>
      <c r="J2094" s="32"/>
      <c r="K2094" s="32"/>
      <c r="L2094" s="32" t="e">
        <f ca="1">_xludf.ifna(VLOOKUP(G2095,Proyectos!$E$1:$N$4,10,0),"")</f>
        <v>#NAME?</v>
      </c>
      <c r="M2094" s="32"/>
      <c r="N2094" s="32" t="s">
        <v>5905</v>
      </c>
      <c r="O2094" s="32"/>
      <c r="P2094" s="33"/>
      <c r="Q2094" s="33"/>
    </row>
    <row r="2095" spans="1:17" ht="16.5" customHeight="1" x14ac:dyDescent="0.2">
      <c r="A2095" s="26"/>
      <c r="B2095" s="26"/>
      <c r="C2095" s="26"/>
      <c r="D2095" s="26"/>
      <c r="E2095" s="26"/>
      <c r="F2095" s="28" t="e">
        <f ca="1">_xludf.ifna(VLOOKUP(G2096,Proyectos!$E$1:$H$4,4,0),"")</f>
        <v>#NAME?</v>
      </c>
      <c r="G2095" s="26"/>
      <c r="H2095" s="32"/>
      <c r="I2095" s="32"/>
      <c r="J2095" s="32"/>
      <c r="K2095" s="32"/>
      <c r="L2095" s="32" t="e">
        <f ca="1">_xludf.ifna(VLOOKUP(G2096,Proyectos!$E$1:$N$4,10,0),"")</f>
        <v>#NAME?</v>
      </c>
      <c r="M2095" s="32"/>
      <c r="N2095" s="32" t="s">
        <v>5905</v>
      </c>
      <c r="O2095" s="32"/>
      <c r="P2095" s="33"/>
      <c r="Q2095" s="33"/>
    </row>
    <row r="2096" spans="1:17" ht="16.5" customHeight="1" x14ac:dyDescent="0.2">
      <c r="A2096" s="26"/>
      <c r="B2096" s="26"/>
      <c r="C2096" s="26"/>
      <c r="D2096" s="26"/>
      <c r="E2096" s="26"/>
      <c r="F2096" s="28" t="e">
        <f ca="1">_xludf.ifna(VLOOKUP(G2097,Proyectos!$E$1:$H$4,4,0),"")</f>
        <v>#NAME?</v>
      </c>
      <c r="G2096" s="26"/>
      <c r="H2096" s="32"/>
      <c r="I2096" s="32"/>
      <c r="J2096" s="32"/>
      <c r="K2096" s="32"/>
      <c r="L2096" s="32" t="e">
        <f ca="1">_xludf.ifna(VLOOKUP(G2097,Proyectos!$E$1:$N$4,10,0),"")</f>
        <v>#NAME?</v>
      </c>
      <c r="M2096" s="32"/>
      <c r="N2096" s="32" t="s">
        <v>5905</v>
      </c>
      <c r="O2096" s="32"/>
      <c r="P2096" s="33"/>
      <c r="Q2096" s="33"/>
    </row>
    <row r="2097" spans="1:17" ht="16.5" customHeight="1" x14ac:dyDescent="0.2">
      <c r="A2097" s="26"/>
      <c r="B2097" s="26"/>
      <c r="C2097" s="26"/>
      <c r="D2097" s="26"/>
      <c r="E2097" s="26"/>
      <c r="F2097" s="28" t="e">
        <f ca="1">_xludf.ifna(VLOOKUP(G2098,Proyectos!$E$1:$H$4,4,0),"")</f>
        <v>#NAME?</v>
      </c>
      <c r="G2097" s="26"/>
      <c r="H2097" s="32"/>
      <c r="I2097" s="32"/>
      <c r="J2097" s="32"/>
      <c r="K2097" s="32"/>
      <c r="L2097" s="32" t="e">
        <f ca="1">_xludf.ifna(VLOOKUP(G2098,Proyectos!$E$1:$N$4,10,0),"")</f>
        <v>#NAME?</v>
      </c>
      <c r="M2097" s="32"/>
      <c r="N2097" s="32" t="s">
        <v>5905</v>
      </c>
      <c r="O2097" s="32"/>
      <c r="P2097" s="33"/>
      <c r="Q2097" s="33"/>
    </row>
    <row r="2098" spans="1:17" ht="16.5" customHeight="1" x14ac:dyDescent="0.2">
      <c r="A2098" s="26"/>
      <c r="B2098" s="26"/>
      <c r="C2098" s="26"/>
      <c r="D2098" s="26"/>
      <c r="E2098" s="26"/>
      <c r="F2098" s="28" t="e">
        <f ca="1">_xludf.ifna(VLOOKUP(G2099,Proyectos!$E$1:$H$4,4,0),"")</f>
        <v>#NAME?</v>
      </c>
      <c r="G2098" s="26"/>
      <c r="H2098" s="32"/>
      <c r="I2098" s="32"/>
      <c r="J2098" s="32"/>
      <c r="K2098" s="32"/>
      <c r="L2098" s="32" t="e">
        <f ca="1">_xludf.ifna(VLOOKUP(G2099,Proyectos!$E$1:$N$4,10,0),"")</f>
        <v>#NAME?</v>
      </c>
      <c r="M2098" s="32"/>
      <c r="N2098" s="32" t="s">
        <v>5905</v>
      </c>
      <c r="O2098" s="32"/>
      <c r="P2098" s="33"/>
      <c r="Q2098" s="33"/>
    </row>
    <row r="2099" spans="1:17" ht="16.5" customHeight="1" x14ac:dyDescent="0.2">
      <c r="A2099" s="26"/>
      <c r="B2099" s="26"/>
      <c r="C2099" s="26"/>
      <c r="D2099" s="26"/>
      <c r="E2099" s="26"/>
      <c r="F2099" s="28" t="e">
        <f ca="1">_xludf.ifna(VLOOKUP(G2100,Proyectos!$E$1:$H$4,4,0),"")</f>
        <v>#NAME?</v>
      </c>
      <c r="G2099" s="26"/>
      <c r="H2099" s="32"/>
      <c r="I2099" s="32"/>
      <c r="J2099" s="32"/>
      <c r="K2099" s="32"/>
      <c r="L2099" s="32" t="e">
        <f ca="1">_xludf.ifna(VLOOKUP(G2100,Proyectos!$E$1:$N$4,10,0),"")</f>
        <v>#NAME?</v>
      </c>
      <c r="M2099" s="32"/>
      <c r="N2099" s="32" t="s">
        <v>5905</v>
      </c>
      <c r="O2099" s="32"/>
      <c r="P2099" s="33"/>
      <c r="Q2099" s="33"/>
    </row>
    <row r="2100" spans="1:17" ht="16.5" customHeight="1" x14ac:dyDescent="0.2">
      <c r="A2100" s="26"/>
      <c r="B2100" s="26"/>
      <c r="C2100" s="26"/>
      <c r="D2100" s="26"/>
      <c r="E2100" s="26"/>
      <c r="F2100" s="28" t="e">
        <f ca="1">_xludf.ifna(VLOOKUP(G2101,Proyectos!$E$1:$H$4,4,0),"")</f>
        <v>#NAME?</v>
      </c>
      <c r="G2100" s="26"/>
      <c r="H2100" s="32"/>
      <c r="I2100" s="32"/>
      <c r="J2100" s="32"/>
      <c r="K2100" s="32"/>
      <c r="L2100" s="32" t="e">
        <f ca="1">_xludf.ifna(VLOOKUP(G2101,Proyectos!$E$1:$N$4,10,0),"")</f>
        <v>#NAME?</v>
      </c>
      <c r="M2100" s="32"/>
      <c r="N2100" s="32" t="s">
        <v>5905</v>
      </c>
      <c r="O2100" s="32"/>
      <c r="P2100" s="33"/>
      <c r="Q2100" s="33"/>
    </row>
    <row r="2101" spans="1:17" ht="16.5" customHeight="1" x14ac:dyDescent="0.2">
      <c r="A2101" s="26"/>
      <c r="B2101" s="26"/>
      <c r="C2101" s="26"/>
      <c r="D2101" s="26"/>
      <c r="E2101" s="26"/>
      <c r="F2101" s="28" t="e">
        <f ca="1">_xludf.ifna(VLOOKUP(G2102,Proyectos!$E$1:$H$4,4,0),"")</f>
        <v>#NAME?</v>
      </c>
      <c r="G2101" s="26"/>
      <c r="H2101" s="32"/>
      <c r="I2101" s="32"/>
      <c r="J2101" s="32"/>
      <c r="K2101" s="32"/>
      <c r="L2101" s="32" t="e">
        <f ca="1">_xludf.ifna(VLOOKUP(G2102,Proyectos!$E$1:$N$4,10,0),"")</f>
        <v>#NAME?</v>
      </c>
      <c r="M2101" s="32"/>
      <c r="N2101" s="32" t="s">
        <v>5905</v>
      </c>
      <c r="O2101" s="32"/>
      <c r="P2101" s="33"/>
      <c r="Q2101" s="33"/>
    </row>
    <row r="2102" spans="1:17" ht="16.5" customHeight="1" x14ac:dyDescent="0.2">
      <c r="A2102" s="26"/>
      <c r="B2102" s="26"/>
      <c r="C2102" s="26"/>
      <c r="D2102" s="26"/>
      <c r="E2102" s="26"/>
      <c r="F2102" s="28" t="e">
        <f ca="1">_xludf.ifna(VLOOKUP(G2103,Proyectos!$E$1:$H$4,4,0),"")</f>
        <v>#NAME?</v>
      </c>
      <c r="G2102" s="26"/>
      <c r="H2102" s="32"/>
      <c r="I2102" s="32"/>
      <c r="J2102" s="32"/>
      <c r="K2102" s="32"/>
      <c r="L2102" s="32" t="e">
        <f ca="1">_xludf.ifna(VLOOKUP(G2103,Proyectos!$E$1:$N$4,10,0),"")</f>
        <v>#NAME?</v>
      </c>
      <c r="M2102" s="32"/>
      <c r="N2102" s="32" t="s">
        <v>5905</v>
      </c>
      <c r="O2102" s="32"/>
      <c r="P2102" s="33"/>
      <c r="Q2102" s="33"/>
    </row>
    <row r="2103" spans="1:17" ht="16.5" customHeight="1" x14ac:dyDescent="0.2">
      <c r="A2103" s="26"/>
      <c r="B2103" s="26"/>
      <c r="C2103" s="26"/>
      <c r="D2103" s="26"/>
      <c r="E2103" s="26"/>
      <c r="F2103" s="28" t="e">
        <f ca="1">_xludf.ifna(VLOOKUP(G2104,Proyectos!$E$1:$H$4,4,0),"")</f>
        <v>#NAME?</v>
      </c>
      <c r="G2103" s="26"/>
      <c r="H2103" s="32"/>
      <c r="I2103" s="32"/>
      <c r="J2103" s="32"/>
      <c r="K2103" s="32"/>
      <c r="L2103" s="32" t="e">
        <f ca="1">_xludf.ifna(VLOOKUP(G2104,Proyectos!$E$1:$N$4,10,0),"")</f>
        <v>#NAME?</v>
      </c>
      <c r="M2103" s="32"/>
      <c r="N2103" s="32" t="s">
        <v>5905</v>
      </c>
      <c r="O2103" s="32"/>
      <c r="P2103" s="33"/>
      <c r="Q2103" s="33"/>
    </row>
    <row r="2104" spans="1:17" ht="16.5" customHeight="1" x14ac:dyDescent="0.2">
      <c r="A2104" s="26"/>
      <c r="B2104" s="26"/>
      <c r="C2104" s="26"/>
      <c r="D2104" s="26"/>
      <c r="E2104" s="26"/>
      <c r="F2104" s="28" t="e">
        <f ca="1">_xludf.ifna(VLOOKUP(G2105,Proyectos!$E$1:$H$4,4,0),"")</f>
        <v>#NAME?</v>
      </c>
      <c r="G2104" s="26"/>
      <c r="H2104" s="32"/>
      <c r="I2104" s="32"/>
      <c r="J2104" s="32"/>
      <c r="K2104" s="32"/>
      <c r="L2104" s="32" t="e">
        <f ca="1">_xludf.ifna(VLOOKUP(G2105,Proyectos!$E$1:$N$4,10,0),"")</f>
        <v>#NAME?</v>
      </c>
      <c r="M2104" s="32"/>
      <c r="N2104" s="32" t="s">
        <v>5905</v>
      </c>
      <c r="O2104" s="32"/>
      <c r="P2104" s="33"/>
      <c r="Q2104" s="33"/>
    </row>
    <row r="2105" spans="1:17" ht="16.5" customHeight="1" x14ac:dyDescent="0.2">
      <c r="A2105" s="26"/>
      <c r="B2105" s="26"/>
      <c r="C2105" s="26"/>
      <c r="D2105" s="26"/>
      <c r="E2105" s="26"/>
      <c r="F2105" s="28" t="e">
        <f ca="1">_xludf.ifna(VLOOKUP(G2106,Proyectos!$E$1:$H$4,4,0),"")</f>
        <v>#NAME?</v>
      </c>
      <c r="G2105" s="26"/>
      <c r="H2105" s="32"/>
      <c r="I2105" s="32"/>
      <c r="J2105" s="32"/>
      <c r="K2105" s="32"/>
      <c r="L2105" s="32" t="e">
        <f ca="1">_xludf.ifna(VLOOKUP(G2106,Proyectos!$E$1:$N$4,10,0),"")</f>
        <v>#NAME?</v>
      </c>
      <c r="M2105" s="32"/>
      <c r="N2105" s="32" t="s">
        <v>5905</v>
      </c>
      <c r="O2105" s="32"/>
      <c r="P2105" s="33"/>
      <c r="Q2105" s="33"/>
    </row>
    <row r="2106" spans="1:17" ht="16.5" customHeight="1" x14ac:dyDescent="0.2">
      <c r="A2106" s="26"/>
      <c r="B2106" s="26"/>
      <c r="C2106" s="26"/>
      <c r="D2106" s="26"/>
      <c r="E2106" s="26"/>
      <c r="F2106" s="28" t="e">
        <f ca="1">_xludf.ifna(VLOOKUP(G2107,Proyectos!$E$1:$H$4,4,0),"")</f>
        <v>#NAME?</v>
      </c>
      <c r="G2106" s="26"/>
      <c r="H2106" s="32"/>
      <c r="I2106" s="32"/>
      <c r="J2106" s="32"/>
      <c r="K2106" s="32"/>
      <c r="L2106" s="32" t="e">
        <f ca="1">_xludf.ifna(VLOOKUP(G2107,Proyectos!$E$1:$N$4,10,0),"")</f>
        <v>#NAME?</v>
      </c>
      <c r="M2106" s="32"/>
      <c r="N2106" s="32" t="s">
        <v>5905</v>
      </c>
      <c r="O2106" s="32"/>
      <c r="P2106" s="33"/>
      <c r="Q2106" s="33"/>
    </row>
    <row r="2107" spans="1:17" ht="16.5" customHeight="1" x14ac:dyDescent="0.2">
      <c r="A2107" s="26"/>
      <c r="B2107" s="26"/>
      <c r="C2107" s="26"/>
      <c r="D2107" s="26"/>
      <c r="E2107" s="26"/>
      <c r="F2107" s="28" t="e">
        <f ca="1">_xludf.ifna(VLOOKUP(G2108,Proyectos!$E$1:$H$4,4,0),"")</f>
        <v>#NAME?</v>
      </c>
      <c r="G2107" s="26"/>
      <c r="H2107" s="32"/>
      <c r="I2107" s="32"/>
      <c r="J2107" s="32"/>
      <c r="K2107" s="32"/>
      <c r="L2107" s="32" t="e">
        <f ca="1">_xludf.ifna(VLOOKUP(G2108,Proyectos!$E$1:$N$4,10,0),"")</f>
        <v>#NAME?</v>
      </c>
      <c r="M2107" s="32"/>
      <c r="N2107" s="32" t="s">
        <v>5905</v>
      </c>
      <c r="O2107" s="32"/>
      <c r="P2107" s="33"/>
      <c r="Q2107" s="33"/>
    </row>
    <row r="2108" spans="1:17" ht="16.5" customHeight="1" x14ac:dyDescent="0.2">
      <c r="A2108" s="26"/>
      <c r="B2108" s="26"/>
      <c r="C2108" s="26"/>
      <c r="D2108" s="26"/>
      <c r="E2108" s="26"/>
      <c r="F2108" s="28" t="e">
        <f ca="1">_xludf.ifna(VLOOKUP(G2109,Proyectos!$E$1:$H$4,4,0),"")</f>
        <v>#NAME?</v>
      </c>
      <c r="G2108" s="26"/>
      <c r="H2108" s="32"/>
      <c r="I2108" s="32"/>
      <c r="J2108" s="32"/>
      <c r="K2108" s="32"/>
      <c r="L2108" s="32" t="e">
        <f ca="1">_xludf.ifna(VLOOKUP(G2109,Proyectos!$E$1:$N$4,10,0),"")</f>
        <v>#NAME?</v>
      </c>
      <c r="M2108" s="32"/>
      <c r="N2108" s="32" t="s">
        <v>5905</v>
      </c>
      <c r="O2108" s="32"/>
      <c r="P2108" s="33"/>
      <c r="Q2108" s="33"/>
    </row>
    <row r="2109" spans="1:17" ht="16.5" customHeight="1" x14ac:dyDescent="0.2">
      <c r="A2109" s="26"/>
      <c r="B2109" s="26"/>
      <c r="C2109" s="26"/>
      <c r="D2109" s="26"/>
      <c r="E2109" s="26"/>
      <c r="F2109" s="28" t="e">
        <f ca="1">_xludf.ifna(VLOOKUP(G2110,Proyectos!$E$1:$H$4,4,0),"")</f>
        <v>#NAME?</v>
      </c>
      <c r="G2109" s="26"/>
      <c r="H2109" s="32"/>
      <c r="I2109" s="32"/>
      <c r="J2109" s="32"/>
      <c r="K2109" s="32"/>
      <c r="L2109" s="32" t="e">
        <f ca="1">_xludf.ifna(VLOOKUP(G2110,Proyectos!$E$1:$N$4,10,0),"")</f>
        <v>#NAME?</v>
      </c>
      <c r="M2109" s="32"/>
      <c r="N2109" s="32" t="s">
        <v>5905</v>
      </c>
      <c r="O2109" s="32"/>
      <c r="P2109" s="33"/>
      <c r="Q2109" s="33"/>
    </row>
    <row r="2110" spans="1:17" ht="16.5" customHeight="1" x14ac:dyDescent="0.2">
      <c r="A2110" s="26"/>
      <c r="B2110" s="26"/>
      <c r="C2110" s="26"/>
      <c r="D2110" s="26"/>
      <c r="E2110" s="26"/>
      <c r="F2110" s="28" t="e">
        <f ca="1">_xludf.ifna(VLOOKUP(G2111,Proyectos!$E$1:$H$4,4,0),"")</f>
        <v>#NAME?</v>
      </c>
      <c r="G2110" s="26"/>
      <c r="H2110" s="32"/>
      <c r="I2110" s="32"/>
      <c r="J2110" s="32"/>
      <c r="K2110" s="32"/>
      <c r="L2110" s="32" t="e">
        <f ca="1">_xludf.ifna(VLOOKUP(G2111,Proyectos!$E$1:$N$4,10,0),"")</f>
        <v>#NAME?</v>
      </c>
      <c r="M2110" s="32"/>
      <c r="N2110" s="32" t="s">
        <v>5905</v>
      </c>
      <c r="O2110" s="32"/>
      <c r="P2110" s="33"/>
      <c r="Q2110" s="33"/>
    </row>
    <row r="2111" spans="1:17" ht="16.5" customHeight="1" x14ac:dyDescent="0.2">
      <c r="A2111" s="26"/>
      <c r="B2111" s="26"/>
      <c r="C2111" s="26"/>
      <c r="D2111" s="26"/>
      <c r="E2111" s="26"/>
      <c r="F2111" s="28" t="e">
        <f ca="1">_xludf.ifna(VLOOKUP(G2112,Proyectos!$E$1:$H$4,4,0),"")</f>
        <v>#NAME?</v>
      </c>
      <c r="G2111" s="26"/>
      <c r="H2111" s="32"/>
      <c r="I2111" s="32"/>
      <c r="J2111" s="32"/>
      <c r="K2111" s="32"/>
      <c r="L2111" s="32" t="e">
        <f ca="1">_xludf.ifna(VLOOKUP(G2112,Proyectos!$E$1:$N$4,10,0),"")</f>
        <v>#NAME?</v>
      </c>
      <c r="M2111" s="32"/>
      <c r="N2111" s="32" t="s">
        <v>5905</v>
      </c>
      <c r="O2111" s="32"/>
      <c r="P2111" s="33"/>
      <c r="Q2111" s="33"/>
    </row>
    <row r="2112" spans="1:17" ht="16.5" customHeight="1" x14ac:dyDescent="0.2">
      <c r="A2112" s="26"/>
      <c r="B2112" s="26"/>
      <c r="C2112" s="26"/>
      <c r="D2112" s="26"/>
      <c r="E2112" s="26"/>
      <c r="F2112" s="28" t="e">
        <f ca="1">_xludf.ifna(VLOOKUP(G2113,Proyectos!$E$1:$H$4,4,0),"")</f>
        <v>#NAME?</v>
      </c>
      <c r="G2112" s="26"/>
      <c r="H2112" s="32"/>
      <c r="I2112" s="32"/>
      <c r="J2112" s="32"/>
      <c r="K2112" s="32"/>
      <c r="L2112" s="32" t="e">
        <f ca="1">_xludf.ifna(VLOOKUP(G2113,Proyectos!$E$1:$N$4,10,0),"")</f>
        <v>#NAME?</v>
      </c>
      <c r="M2112" s="32"/>
      <c r="N2112" s="32" t="s">
        <v>5905</v>
      </c>
      <c r="O2112" s="32"/>
      <c r="P2112" s="33"/>
      <c r="Q2112" s="33"/>
    </row>
    <row r="2113" spans="1:17" ht="16.5" customHeight="1" x14ac:dyDescent="0.2">
      <c r="A2113" s="26"/>
      <c r="B2113" s="26"/>
      <c r="C2113" s="26"/>
      <c r="D2113" s="26"/>
      <c r="E2113" s="26"/>
      <c r="F2113" s="28" t="e">
        <f ca="1">_xludf.ifna(VLOOKUP(G2114,Proyectos!$E$1:$H$4,4,0),"")</f>
        <v>#NAME?</v>
      </c>
      <c r="G2113" s="26"/>
      <c r="H2113" s="32"/>
      <c r="I2113" s="32"/>
      <c r="J2113" s="32"/>
      <c r="K2113" s="32"/>
      <c r="L2113" s="32" t="e">
        <f ca="1">_xludf.ifna(VLOOKUP(G2114,Proyectos!$E$1:$N$4,10,0),"")</f>
        <v>#NAME?</v>
      </c>
      <c r="M2113" s="32"/>
      <c r="N2113" s="32" t="s">
        <v>5905</v>
      </c>
      <c r="O2113" s="32"/>
      <c r="P2113" s="33"/>
      <c r="Q2113" s="33"/>
    </row>
    <row r="2114" spans="1:17" ht="16.5" customHeight="1" x14ac:dyDescent="0.2">
      <c r="A2114" s="26"/>
      <c r="B2114" s="26"/>
      <c r="C2114" s="26"/>
      <c r="D2114" s="26"/>
      <c r="E2114" s="26"/>
      <c r="F2114" s="28" t="e">
        <f ca="1">_xludf.ifna(VLOOKUP(G2115,Proyectos!$E$1:$H$4,4,0),"")</f>
        <v>#NAME?</v>
      </c>
      <c r="G2114" s="26"/>
      <c r="H2114" s="32"/>
      <c r="I2114" s="32"/>
      <c r="J2114" s="32"/>
      <c r="K2114" s="32"/>
      <c r="L2114" s="32" t="e">
        <f ca="1">_xludf.ifna(VLOOKUP(G2115,Proyectos!$E$1:$N$4,10,0),"")</f>
        <v>#NAME?</v>
      </c>
      <c r="M2114" s="32"/>
      <c r="N2114" s="32" t="s">
        <v>5905</v>
      </c>
      <c r="O2114" s="32"/>
      <c r="P2114" s="33"/>
      <c r="Q2114" s="33"/>
    </row>
    <row r="2115" spans="1:17" ht="16.5" customHeight="1" x14ac:dyDescent="0.2">
      <c r="A2115" s="26"/>
      <c r="B2115" s="26"/>
      <c r="C2115" s="26"/>
      <c r="D2115" s="26"/>
      <c r="E2115" s="26"/>
      <c r="F2115" s="28" t="e">
        <f ca="1">_xludf.ifna(VLOOKUP(G2116,Proyectos!$E$1:$H$4,4,0),"")</f>
        <v>#NAME?</v>
      </c>
      <c r="G2115" s="26"/>
      <c r="H2115" s="32"/>
      <c r="I2115" s="32"/>
      <c r="J2115" s="32"/>
      <c r="K2115" s="32"/>
      <c r="L2115" s="32" t="e">
        <f ca="1">_xludf.ifna(VLOOKUP(G2116,Proyectos!$E$1:$N$4,10,0),"")</f>
        <v>#NAME?</v>
      </c>
      <c r="M2115" s="32"/>
      <c r="N2115" s="32" t="s">
        <v>5905</v>
      </c>
      <c r="O2115" s="32"/>
      <c r="P2115" s="33"/>
      <c r="Q2115" s="33"/>
    </row>
    <row r="2116" spans="1:17" ht="16.5" customHeight="1" x14ac:dyDescent="0.2">
      <c r="A2116" s="26"/>
      <c r="B2116" s="26"/>
      <c r="C2116" s="26"/>
      <c r="D2116" s="26"/>
      <c r="E2116" s="26"/>
      <c r="F2116" s="28" t="e">
        <f ca="1">_xludf.ifna(VLOOKUP(G2117,Proyectos!$E$1:$H$4,4,0),"")</f>
        <v>#NAME?</v>
      </c>
      <c r="G2116" s="26"/>
      <c r="H2116" s="32"/>
      <c r="I2116" s="32"/>
      <c r="J2116" s="32"/>
      <c r="K2116" s="32"/>
      <c r="L2116" s="32" t="e">
        <f ca="1">_xludf.ifna(VLOOKUP(G2117,Proyectos!$E$1:$N$4,10,0),"")</f>
        <v>#NAME?</v>
      </c>
      <c r="M2116" s="32"/>
      <c r="N2116" s="32" t="s">
        <v>5905</v>
      </c>
      <c r="O2116" s="32"/>
      <c r="P2116" s="33"/>
      <c r="Q2116" s="33"/>
    </row>
    <row r="2117" spans="1:17" ht="16.5" customHeight="1" x14ac:dyDescent="0.2">
      <c r="A2117" s="26"/>
      <c r="B2117" s="26"/>
      <c r="C2117" s="26"/>
      <c r="D2117" s="26"/>
      <c r="E2117" s="26"/>
      <c r="F2117" s="28" t="e">
        <f ca="1">_xludf.ifna(VLOOKUP(G2118,Proyectos!$E$1:$H$4,4,0),"")</f>
        <v>#NAME?</v>
      </c>
      <c r="G2117" s="26"/>
      <c r="H2117" s="32"/>
      <c r="I2117" s="32"/>
      <c r="J2117" s="32"/>
      <c r="K2117" s="32"/>
      <c r="L2117" s="32" t="e">
        <f ca="1">_xludf.ifna(VLOOKUP(G2118,Proyectos!$E$1:$N$4,10,0),"")</f>
        <v>#NAME?</v>
      </c>
      <c r="M2117" s="32"/>
      <c r="N2117" s="32" t="s">
        <v>5905</v>
      </c>
      <c r="O2117" s="32"/>
      <c r="P2117" s="33"/>
      <c r="Q2117" s="33"/>
    </row>
    <row r="2118" spans="1:17" ht="16.5" customHeight="1" x14ac:dyDescent="0.2">
      <c r="A2118" s="26"/>
      <c r="B2118" s="26"/>
      <c r="C2118" s="26"/>
      <c r="D2118" s="26"/>
      <c r="E2118" s="26"/>
      <c r="F2118" s="28" t="e">
        <f ca="1">_xludf.ifna(VLOOKUP(G2119,Proyectos!$E$1:$H$4,4,0),"")</f>
        <v>#NAME?</v>
      </c>
      <c r="G2118" s="26"/>
      <c r="H2118" s="32"/>
      <c r="I2118" s="32"/>
      <c r="J2118" s="32"/>
      <c r="K2118" s="32"/>
      <c r="L2118" s="32" t="e">
        <f ca="1">_xludf.ifna(VLOOKUP(G2119,Proyectos!$E$1:$N$4,10,0),"")</f>
        <v>#NAME?</v>
      </c>
      <c r="M2118" s="32"/>
      <c r="N2118" s="32" t="s">
        <v>5905</v>
      </c>
      <c r="O2118" s="32"/>
      <c r="P2118" s="33"/>
      <c r="Q2118" s="33"/>
    </row>
    <row r="2119" spans="1:17" ht="16.5" customHeight="1" x14ac:dyDescent="0.2">
      <c r="A2119" s="26"/>
      <c r="B2119" s="26"/>
      <c r="C2119" s="26"/>
      <c r="D2119" s="26"/>
      <c r="E2119" s="26"/>
      <c r="F2119" s="28" t="e">
        <f ca="1">_xludf.ifna(VLOOKUP(G2120,Proyectos!$E$1:$H$4,4,0),"")</f>
        <v>#NAME?</v>
      </c>
      <c r="G2119" s="26"/>
      <c r="H2119" s="32"/>
      <c r="I2119" s="32"/>
      <c r="J2119" s="32"/>
      <c r="K2119" s="32"/>
      <c r="L2119" s="32" t="e">
        <f ca="1">_xludf.ifna(VLOOKUP(G2120,Proyectos!$E$1:$N$4,10,0),"")</f>
        <v>#NAME?</v>
      </c>
      <c r="M2119" s="32"/>
      <c r="N2119" s="32" t="s">
        <v>5905</v>
      </c>
      <c r="O2119" s="32"/>
      <c r="P2119" s="33"/>
      <c r="Q2119" s="33"/>
    </row>
    <row r="2120" spans="1:17" ht="16.5" customHeight="1" x14ac:dyDescent="0.2">
      <c r="A2120" s="26"/>
      <c r="B2120" s="26"/>
      <c r="C2120" s="26"/>
      <c r="D2120" s="26"/>
      <c r="E2120" s="26"/>
      <c r="F2120" s="28" t="e">
        <f ca="1">_xludf.ifna(VLOOKUP(G2121,Proyectos!$E$1:$H$4,4,0),"")</f>
        <v>#NAME?</v>
      </c>
      <c r="G2120" s="26"/>
      <c r="H2120" s="32"/>
      <c r="I2120" s="32"/>
      <c r="J2120" s="32"/>
      <c r="K2120" s="32"/>
      <c r="L2120" s="32" t="e">
        <f ca="1">_xludf.ifna(VLOOKUP(G2121,Proyectos!$E$1:$N$4,10,0),"")</f>
        <v>#NAME?</v>
      </c>
      <c r="M2120" s="32"/>
      <c r="N2120" s="32" t="s">
        <v>5905</v>
      </c>
      <c r="O2120" s="32"/>
      <c r="P2120" s="33"/>
      <c r="Q2120" s="33"/>
    </row>
    <row r="2121" spans="1:17" ht="16.5" customHeight="1" x14ac:dyDescent="0.2">
      <c r="A2121" s="26"/>
      <c r="B2121" s="26"/>
      <c r="C2121" s="26"/>
      <c r="D2121" s="26"/>
      <c r="E2121" s="26"/>
      <c r="F2121" s="28" t="e">
        <f ca="1">_xludf.ifna(VLOOKUP(G2122,Proyectos!$E$1:$H$4,4,0),"")</f>
        <v>#NAME?</v>
      </c>
      <c r="G2121" s="26"/>
      <c r="H2121" s="32"/>
      <c r="I2121" s="32"/>
      <c r="J2121" s="32"/>
      <c r="K2121" s="32"/>
      <c r="L2121" s="32" t="e">
        <f ca="1">_xludf.ifna(VLOOKUP(G2122,Proyectos!$E$1:$N$4,10,0),"")</f>
        <v>#NAME?</v>
      </c>
      <c r="M2121" s="32"/>
      <c r="N2121" s="32" t="s">
        <v>5905</v>
      </c>
      <c r="O2121" s="32"/>
      <c r="P2121" s="33"/>
      <c r="Q2121" s="33"/>
    </row>
    <row r="2122" spans="1:17" ht="16.5" customHeight="1" x14ac:dyDescent="0.2">
      <c r="A2122" s="26"/>
      <c r="B2122" s="26"/>
      <c r="C2122" s="26"/>
      <c r="D2122" s="26"/>
      <c r="E2122" s="26"/>
      <c r="F2122" s="28" t="e">
        <f ca="1">_xludf.ifna(VLOOKUP(G2123,Proyectos!$E$1:$H$4,4,0),"")</f>
        <v>#NAME?</v>
      </c>
      <c r="G2122" s="26"/>
      <c r="H2122" s="32"/>
      <c r="I2122" s="32"/>
      <c r="J2122" s="32"/>
      <c r="K2122" s="32"/>
      <c r="L2122" s="32" t="e">
        <f ca="1">_xludf.ifna(VLOOKUP(G2123,Proyectos!$E$1:$N$4,10,0),"")</f>
        <v>#NAME?</v>
      </c>
      <c r="M2122" s="32"/>
      <c r="N2122" s="32" t="s">
        <v>5905</v>
      </c>
      <c r="O2122" s="32"/>
      <c r="P2122" s="33"/>
      <c r="Q2122" s="33"/>
    </row>
    <row r="2123" spans="1:17" ht="16.5" customHeight="1" x14ac:dyDescent="0.2">
      <c r="A2123" s="26"/>
      <c r="B2123" s="26"/>
      <c r="C2123" s="26"/>
      <c r="D2123" s="26"/>
      <c r="E2123" s="26"/>
      <c r="F2123" s="28" t="e">
        <f ca="1">_xludf.ifna(VLOOKUP(G2124,Proyectos!$E$1:$H$4,4,0),"")</f>
        <v>#NAME?</v>
      </c>
      <c r="G2123" s="26"/>
      <c r="H2123" s="32"/>
      <c r="I2123" s="32"/>
      <c r="J2123" s="32"/>
      <c r="K2123" s="32"/>
      <c r="L2123" s="32" t="e">
        <f ca="1">_xludf.ifna(VLOOKUP(G2124,Proyectos!$E$1:$N$4,10,0),"")</f>
        <v>#NAME?</v>
      </c>
      <c r="M2123" s="32"/>
      <c r="N2123" s="32" t="s">
        <v>5905</v>
      </c>
      <c r="O2123" s="32"/>
      <c r="P2123" s="33"/>
      <c r="Q2123" s="33"/>
    </row>
    <row r="2124" spans="1:17" ht="16.5" customHeight="1" x14ac:dyDescent="0.2">
      <c r="A2124" s="26"/>
      <c r="B2124" s="26"/>
      <c r="C2124" s="26"/>
      <c r="D2124" s="26"/>
      <c r="E2124" s="26"/>
      <c r="F2124" s="28" t="e">
        <f ca="1">_xludf.ifna(VLOOKUP(G2125,Proyectos!$E$1:$H$4,4,0),"")</f>
        <v>#NAME?</v>
      </c>
      <c r="G2124" s="26"/>
      <c r="H2124" s="32"/>
      <c r="I2124" s="32"/>
      <c r="J2124" s="32"/>
      <c r="K2124" s="32"/>
      <c r="L2124" s="32" t="e">
        <f ca="1">_xludf.ifna(VLOOKUP(G2125,Proyectos!$E$1:$N$4,10,0),"")</f>
        <v>#NAME?</v>
      </c>
      <c r="M2124" s="32"/>
      <c r="N2124" s="32" t="s">
        <v>5905</v>
      </c>
      <c r="O2124" s="32"/>
      <c r="P2124" s="33"/>
      <c r="Q2124" s="33"/>
    </row>
    <row r="2125" spans="1:17" ht="16.5" customHeight="1" x14ac:dyDescent="0.2">
      <c r="A2125" s="26"/>
      <c r="B2125" s="26"/>
      <c r="C2125" s="26"/>
      <c r="D2125" s="26"/>
      <c r="E2125" s="26"/>
      <c r="F2125" s="28" t="e">
        <f ca="1">_xludf.ifna(VLOOKUP(G2126,Proyectos!$E$1:$H$4,4,0),"")</f>
        <v>#NAME?</v>
      </c>
      <c r="G2125" s="26"/>
      <c r="H2125" s="32"/>
      <c r="I2125" s="32"/>
      <c r="J2125" s="32"/>
      <c r="K2125" s="32"/>
      <c r="L2125" s="32" t="e">
        <f ca="1">_xludf.ifna(VLOOKUP(G2126,Proyectos!$E$1:$N$4,10,0),"")</f>
        <v>#NAME?</v>
      </c>
      <c r="M2125" s="32"/>
      <c r="N2125" s="32" t="s">
        <v>5905</v>
      </c>
      <c r="O2125" s="32"/>
      <c r="P2125" s="33"/>
      <c r="Q2125" s="33"/>
    </row>
    <row r="2126" spans="1:17" ht="16.5" customHeight="1" x14ac:dyDescent="0.2">
      <c r="A2126" s="26"/>
      <c r="B2126" s="26"/>
      <c r="C2126" s="26"/>
      <c r="D2126" s="26"/>
      <c r="E2126" s="26"/>
      <c r="F2126" s="28" t="e">
        <f ca="1">_xludf.ifna(VLOOKUP(G2127,Proyectos!$E$1:$H$4,4,0),"")</f>
        <v>#NAME?</v>
      </c>
      <c r="G2126" s="26"/>
      <c r="H2126" s="32"/>
      <c r="I2126" s="32"/>
      <c r="J2126" s="32"/>
      <c r="K2126" s="32"/>
      <c r="L2126" s="32" t="e">
        <f ca="1">_xludf.ifna(VLOOKUP(G2127,Proyectos!$E$1:$N$4,10,0),"")</f>
        <v>#NAME?</v>
      </c>
      <c r="M2126" s="32"/>
      <c r="N2126" s="32" t="s">
        <v>5905</v>
      </c>
      <c r="O2126" s="32"/>
      <c r="P2126" s="33"/>
      <c r="Q2126" s="33"/>
    </row>
    <row r="2127" spans="1:17" ht="16.5" customHeight="1" x14ac:dyDescent="0.2">
      <c r="A2127" s="26"/>
      <c r="B2127" s="26"/>
      <c r="C2127" s="26"/>
      <c r="D2127" s="26"/>
      <c r="E2127" s="26"/>
      <c r="F2127" s="28" t="e">
        <f ca="1">_xludf.ifna(VLOOKUP(G2128,Proyectos!$E$1:$H$4,4,0),"")</f>
        <v>#NAME?</v>
      </c>
      <c r="G2127" s="26"/>
      <c r="H2127" s="32"/>
      <c r="I2127" s="32"/>
      <c r="J2127" s="32"/>
      <c r="K2127" s="32"/>
      <c r="L2127" s="32" t="e">
        <f ca="1">_xludf.ifna(VLOOKUP(G2128,Proyectos!$E$1:$N$4,10,0),"")</f>
        <v>#NAME?</v>
      </c>
      <c r="M2127" s="32"/>
      <c r="N2127" s="32" t="s">
        <v>5905</v>
      </c>
      <c r="O2127" s="32"/>
      <c r="P2127" s="33"/>
      <c r="Q2127" s="33"/>
    </row>
    <row r="2128" spans="1:17" ht="16.5" customHeight="1" x14ac:dyDescent="0.2">
      <c r="A2128" s="26"/>
      <c r="B2128" s="26"/>
      <c r="C2128" s="26"/>
      <c r="D2128" s="26"/>
      <c r="E2128" s="26"/>
      <c r="F2128" s="28" t="e">
        <f ca="1">_xludf.ifna(VLOOKUP(G2129,Proyectos!$E$1:$H$4,4,0),"")</f>
        <v>#NAME?</v>
      </c>
      <c r="G2128" s="26"/>
      <c r="H2128" s="32"/>
      <c r="I2128" s="32"/>
      <c r="J2128" s="32"/>
      <c r="K2128" s="32"/>
      <c r="L2128" s="32" t="e">
        <f ca="1">_xludf.ifna(VLOOKUP(G2129,Proyectos!$E$1:$N$4,10,0),"")</f>
        <v>#NAME?</v>
      </c>
      <c r="M2128" s="32"/>
      <c r="N2128" s="32" t="s">
        <v>5905</v>
      </c>
      <c r="O2128" s="32"/>
      <c r="P2128" s="33"/>
      <c r="Q2128" s="33"/>
    </row>
    <row r="2129" spans="1:17" ht="16.5" customHeight="1" x14ac:dyDescent="0.2">
      <c r="A2129" s="26"/>
      <c r="B2129" s="26"/>
      <c r="C2129" s="26"/>
      <c r="D2129" s="26"/>
      <c r="E2129" s="26"/>
      <c r="F2129" s="28" t="e">
        <f ca="1">_xludf.ifna(VLOOKUP(G2130,Proyectos!$E$1:$H$4,4,0),"")</f>
        <v>#NAME?</v>
      </c>
      <c r="G2129" s="26"/>
      <c r="H2129" s="32"/>
      <c r="I2129" s="32"/>
      <c r="J2129" s="32"/>
      <c r="K2129" s="32"/>
      <c r="L2129" s="32" t="e">
        <f ca="1">_xludf.ifna(VLOOKUP(G2130,Proyectos!$E$1:$N$4,10,0),"")</f>
        <v>#NAME?</v>
      </c>
      <c r="M2129" s="32"/>
      <c r="N2129" s="32" t="s">
        <v>5905</v>
      </c>
      <c r="O2129" s="32"/>
      <c r="P2129" s="33"/>
      <c r="Q2129" s="33"/>
    </row>
    <row r="2130" spans="1:17" ht="16.5" customHeight="1" x14ac:dyDescent="0.2">
      <c r="A2130" s="26"/>
      <c r="B2130" s="26"/>
      <c r="C2130" s="26"/>
      <c r="D2130" s="26"/>
      <c r="E2130" s="26"/>
      <c r="F2130" s="28" t="e">
        <f ca="1">_xludf.ifna(VLOOKUP(G2131,Proyectos!$E$1:$H$4,4,0),"")</f>
        <v>#NAME?</v>
      </c>
      <c r="G2130" s="26"/>
      <c r="H2130" s="32"/>
      <c r="I2130" s="32"/>
      <c r="J2130" s="32"/>
      <c r="K2130" s="32"/>
      <c r="L2130" s="32" t="e">
        <f ca="1">_xludf.ifna(VLOOKUP(G2131,Proyectos!$E$1:$N$4,10,0),"")</f>
        <v>#NAME?</v>
      </c>
      <c r="M2130" s="32"/>
      <c r="N2130" s="32" t="s">
        <v>5905</v>
      </c>
      <c r="O2130" s="32"/>
      <c r="P2130" s="33"/>
      <c r="Q2130" s="33"/>
    </row>
    <row r="2131" spans="1:17" ht="16.5" customHeight="1" x14ac:dyDescent="0.2">
      <c r="A2131" s="26"/>
      <c r="B2131" s="26"/>
      <c r="C2131" s="26"/>
      <c r="D2131" s="26"/>
      <c r="E2131" s="26"/>
      <c r="F2131" s="28" t="e">
        <f ca="1">_xludf.ifna(VLOOKUP(G2132,Proyectos!$E$1:$H$4,4,0),"")</f>
        <v>#NAME?</v>
      </c>
      <c r="G2131" s="26"/>
      <c r="H2131" s="32"/>
      <c r="I2131" s="32"/>
      <c r="J2131" s="32"/>
      <c r="K2131" s="32"/>
      <c r="L2131" s="32" t="e">
        <f ca="1">_xludf.ifna(VLOOKUP(G2132,Proyectos!$E$1:$N$4,10,0),"")</f>
        <v>#NAME?</v>
      </c>
      <c r="M2131" s="32"/>
      <c r="N2131" s="32" t="s">
        <v>5905</v>
      </c>
      <c r="O2131" s="32"/>
      <c r="P2131" s="33"/>
      <c r="Q2131" s="33"/>
    </row>
    <row r="2132" spans="1:17" ht="16.5" customHeight="1" x14ac:dyDescent="0.2">
      <c r="A2132" s="26"/>
      <c r="B2132" s="26"/>
      <c r="C2132" s="26"/>
      <c r="D2132" s="26"/>
      <c r="E2132" s="26"/>
      <c r="F2132" s="28" t="e">
        <f ca="1">_xludf.ifna(VLOOKUP(G2133,Proyectos!$E$1:$H$4,4,0),"")</f>
        <v>#NAME?</v>
      </c>
      <c r="G2132" s="26"/>
      <c r="H2132" s="32"/>
      <c r="I2132" s="32"/>
      <c r="J2132" s="32"/>
      <c r="K2132" s="32"/>
      <c r="L2132" s="32" t="e">
        <f ca="1">_xludf.ifna(VLOOKUP(G2133,Proyectos!$E$1:$N$4,10,0),"")</f>
        <v>#NAME?</v>
      </c>
      <c r="M2132" s="32"/>
      <c r="N2132" s="32" t="s">
        <v>5905</v>
      </c>
      <c r="O2132" s="32"/>
      <c r="P2132" s="33"/>
      <c r="Q2132" s="33"/>
    </row>
    <row r="2133" spans="1:17" ht="16.5" customHeight="1" x14ac:dyDescent="0.2">
      <c r="A2133" s="26"/>
      <c r="B2133" s="26"/>
      <c r="C2133" s="26"/>
      <c r="D2133" s="26"/>
      <c r="E2133" s="26"/>
      <c r="F2133" s="28" t="e">
        <f ca="1">_xludf.ifna(VLOOKUP(G2134,Proyectos!$E$1:$H$4,4,0),"")</f>
        <v>#NAME?</v>
      </c>
      <c r="G2133" s="26"/>
      <c r="H2133" s="32"/>
      <c r="I2133" s="32"/>
      <c r="J2133" s="32"/>
      <c r="K2133" s="32"/>
      <c r="L2133" s="32" t="e">
        <f ca="1">_xludf.ifna(VLOOKUP(G2134,Proyectos!$E$1:$N$4,10,0),"")</f>
        <v>#NAME?</v>
      </c>
      <c r="M2133" s="32"/>
      <c r="N2133" s="32" t="s">
        <v>5905</v>
      </c>
      <c r="O2133" s="32"/>
      <c r="P2133" s="33"/>
      <c r="Q2133" s="33"/>
    </row>
    <row r="2134" spans="1:17" ht="16.5" customHeight="1" x14ac:dyDescent="0.2">
      <c r="A2134" s="26"/>
      <c r="B2134" s="26"/>
      <c r="C2134" s="26"/>
      <c r="D2134" s="26"/>
      <c r="E2134" s="26"/>
      <c r="F2134" s="28" t="e">
        <f ca="1">_xludf.ifna(VLOOKUP(G2135,Proyectos!$E$1:$H$4,4,0),"")</f>
        <v>#NAME?</v>
      </c>
      <c r="G2134" s="26"/>
      <c r="H2134" s="32"/>
      <c r="I2134" s="32"/>
      <c r="J2134" s="32"/>
      <c r="K2134" s="32"/>
      <c r="L2134" s="32" t="e">
        <f ca="1">_xludf.ifna(VLOOKUP(G2135,Proyectos!$E$1:$N$4,10,0),"")</f>
        <v>#NAME?</v>
      </c>
      <c r="M2134" s="32"/>
      <c r="N2134" s="32" t="s">
        <v>5905</v>
      </c>
      <c r="O2134" s="32"/>
      <c r="P2134" s="33"/>
      <c r="Q2134" s="33"/>
    </row>
    <row r="2135" spans="1:17" ht="16.5" customHeight="1" x14ac:dyDescent="0.2">
      <c r="A2135" s="26"/>
      <c r="B2135" s="26"/>
      <c r="C2135" s="26"/>
      <c r="D2135" s="26"/>
      <c r="E2135" s="26"/>
      <c r="F2135" s="28" t="e">
        <f ca="1">_xludf.ifna(VLOOKUP(G2136,Proyectos!$E$1:$H$4,4,0),"")</f>
        <v>#NAME?</v>
      </c>
      <c r="G2135" s="26"/>
      <c r="H2135" s="32"/>
      <c r="I2135" s="32"/>
      <c r="J2135" s="32"/>
      <c r="K2135" s="32"/>
      <c r="L2135" s="32" t="e">
        <f ca="1">_xludf.ifna(VLOOKUP(G2136,Proyectos!$E$1:$N$4,10,0),"")</f>
        <v>#NAME?</v>
      </c>
      <c r="M2135" s="32"/>
      <c r="N2135" s="32" t="s">
        <v>5905</v>
      </c>
      <c r="O2135" s="32"/>
      <c r="P2135" s="33"/>
      <c r="Q2135" s="33"/>
    </row>
    <row r="2136" spans="1:17" ht="16.5" customHeight="1" x14ac:dyDescent="0.2">
      <c r="A2136" s="26"/>
      <c r="B2136" s="26"/>
      <c r="C2136" s="26"/>
      <c r="D2136" s="26"/>
      <c r="E2136" s="26"/>
      <c r="F2136" s="28" t="e">
        <f ca="1">_xludf.ifna(VLOOKUP(G2137,Proyectos!$E$1:$H$4,4,0),"")</f>
        <v>#NAME?</v>
      </c>
      <c r="G2136" s="26"/>
      <c r="H2136" s="32"/>
      <c r="I2136" s="32"/>
      <c r="J2136" s="32"/>
      <c r="K2136" s="32"/>
      <c r="L2136" s="32" t="e">
        <f ca="1">_xludf.ifna(VLOOKUP(G2137,Proyectos!$E$1:$N$4,10,0),"")</f>
        <v>#NAME?</v>
      </c>
      <c r="M2136" s="32"/>
      <c r="N2136" s="32" t="s">
        <v>5905</v>
      </c>
      <c r="O2136" s="32"/>
      <c r="P2136" s="33"/>
      <c r="Q2136" s="33"/>
    </row>
    <row r="2137" spans="1:17" ht="16.5" customHeight="1" x14ac:dyDescent="0.2">
      <c r="A2137" s="26"/>
      <c r="B2137" s="26"/>
      <c r="C2137" s="26"/>
      <c r="D2137" s="26"/>
      <c r="E2137" s="26"/>
      <c r="F2137" s="28" t="e">
        <f ca="1">_xludf.ifna(VLOOKUP(G2138,Proyectos!$E$1:$H$4,4,0),"")</f>
        <v>#NAME?</v>
      </c>
      <c r="G2137" s="26"/>
      <c r="H2137" s="32"/>
      <c r="I2137" s="32"/>
      <c r="J2137" s="32"/>
      <c r="K2137" s="32"/>
      <c r="L2137" s="32" t="e">
        <f ca="1">_xludf.ifna(VLOOKUP(G2138,Proyectos!$E$1:$N$4,10,0),"")</f>
        <v>#NAME?</v>
      </c>
      <c r="M2137" s="32"/>
      <c r="N2137" s="32" t="s">
        <v>5905</v>
      </c>
      <c r="O2137" s="32"/>
      <c r="P2137" s="33"/>
      <c r="Q2137" s="33"/>
    </row>
    <row r="2138" spans="1:17" ht="16.5" customHeight="1" x14ac:dyDescent="0.2">
      <c r="A2138" s="26"/>
      <c r="B2138" s="26"/>
      <c r="C2138" s="26"/>
      <c r="D2138" s="26"/>
      <c r="E2138" s="26"/>
      <c r="F2138" s="28" t="e">
        <f ca="1">_xludf.ifna(VLOOKUP(G2139,Proyectos!$E$1:$H$4,4,0),"")</f>
        <v>#NAME?</v>
      </c>
      <c r="G2138" s="26"/>
      <c r="H2138" s="32"/>
      <c r="I2138" s="32"/>
      <c r="J2138" s="32"/>
      <c r="K2138" s="32"/>
      <c r="L2138" s="32" t="e">
        <f ca="1">_xludf.ifna(VLOOKUP(G2139,Proyectos!$E$1:$N$4,10,0),"")</f>
        <v>#NAME?</v>
      </c>
      <c r="M2138" s="32"/>
      <c r="N2138" s="32" t="s">
        <v>5905</v>
      </c>
      <c r="O2138" s="32"/>
      <c r="P2138" s="33"/>
      <c r="Q2138" s="33"/>
    </row>
    <row r="2139" spans="1:17" ht="16.5" customHeight="1" x14ac:dyDescent="0.2">
      <c r="A2139" s="26"/>
      <c r="B2139" s="26"/>
      <c r="C2139" s="26"/>
      <c r="D2139" s="26"/>
      <c r="E2139" s="26"/>
      <c r="F2139" s="28" t="e">
        <f ca="1">_xludf.ifna(VLOOKUP(G2140,Proyectos!$E$1:$H$4,4,0),"")</f>
        <v>#NAME?</v>
      </c>
      <c r="G2139" s="26"/>
      <c r="H2139" s="32"/>
      <c r="I2139" s="32"/>
      <c r="J2139" s="32"/>
      <c r="K2139" s="32"/>
      <c r="L2139" s="32" t="e">
        <f ca="1">_xludf.ifna(VLOOKUP(G2140,Proyectos!$E$1:$N$4,10,0),"")</f>
        <v>#NAME?</v>
      </c>
      <c r="M2139" s="32"/>
      <c r="N2139" s="32" t="s">
        <v>5905</v>
      </c>
      <c r="O2139" s="32"/>
      <c r="P2139" s="33"/>
      <c r="Q2139" s="33"/>
    </row>
    <row r="2140" spans="1:17" ht="16.5" customHeight="1" x14ac:dyDescent="0.2">
      <c r="A2140" s="26"/>
      <c r="B2140" s="26"/>
      <c r="C2140" s="26"/>
      <c r="D2140" s="26"/>
      <c r="E2140" s="26"/>
      <c r="F2140" s="28" t="e">
        <f ca="1">_xludf.ifna(VLOOKUP(G2141,Proyectos!$E$1:$H$4,4,0),"")</f>
        <v>#NAME?</v>
      </c>
      <c r="G2140" s="26"/>
      <c r="H2140" s="32"/>
      <c r="I2140" s="32"/>
      <c r="J2140" s="32"/>
      <c r="K2140" s="32"/>
      <c r="L2140" s="32" t="e">
        <f ca="1">_xludf.ifna(VLOOKUP(G2141,Proyectos!$E$1:$N$4,10,0),"")</f>
        <v>#NAME?</v>
      </c>
      <c r="M2140" s="32"/>
      <c r="N2140" s="32" t="s">
        <v>5905</v>
      </c>
      <c r="O2140" s="32"/>
      <c r="P2140" s="33"/>
      <c r="Q2140" s="33"/>
    </row>
    <row r="2141" spans="1:17" ht="16.5" customHeight="1" x14ac:dyDescent="0.2">
      <c r="A2141" s="26"/>
      <c r="B2141" s="26"/>
      <c r="C2141" s="26"/>
      <c r="D2141" s="26"/>
      <c r="E2141" s="26"/>
      <c r="F2141" s="28" t="e">
        <f ca="1">_xludf.ifna(VLOOKUP(G2142,Proyectos!$E$1:$H$4,4,0),"")</f>
        <v>#NAME?</v>
      </c>
      <c r="G2141" s="26"/>
      <c r="H2141" s="32"/>
      <c r="I2141" s="32"/>
      <c r="J2141" s="32"/>
      <c r="K2141" s="32"/>
      <c r="L2141" s="32" t="e">
        <f ca="1">_xludf.ifna(VLOOKUP(G2142,Proyectos!$E$1:$N$4,10,0),"")</f>
        <v>#NAME?</v>
      </c>
      <c r="M2141" s="32"/>
      <c r="N2141" s="32" t="s">
        <v>5905</v>
      </c>
      <c r="O2141" s="32"/>
      <c r="P2141" s="33"/>
      <c r="Q2141" s="33"/>
    </row>
    <row r="2142" spans="1:17" ht="16.5" customHeight="1" x14ac:dyDescent="0.2">
      <c r="A2142" s="26"/>
      <c r="B2142" s="26"/>
      <c r="C2142" s="26"/>
      <c r="D2142" s="26"/>
      <c r="E2142" s="26"/>
      <c r="F2142" s="28" t="e">
        <f ca="1">_xludf.ifna(VLOOKUP(G2143,Proyectos!$E$1:$H$4,4,0),"")</f>
        <v>#NAME?</v>
      </c>
      <c r="G2142" s="26"/>
      <c r="H2142" s="32"/>
      <c r="I2142" s="32"/>
      <c r="J2142" s="32"/>
      <c r="K2142" s="32"/>
      <c r="L2142" s="32" t="e">
        <f ca="1">_xludf.ifna(VLOOKUP(G2143,Proyectos!$E$1:$N$4,10,0),"")</f>
        <v>#NAME?</v>
      </c>
      <c r="M2142" s="32"/>
      <c r="N2142" s="32" t="s">
        <v>5905</v>
      </c>
      <c r="O2142" s="32"/>
      <c r="P2142" s="33"/>
      <c r="Q2142" s="33"/>
    </row>
    <row r="2143" spans="1:17" ht="16.5" customHeight="1" x14ac:dyDescent="0.2">
      <c r="A2143" s="26"/>
      <c r="B2143" s="26"/>
      <c r="C2143" s="26"/>
      <c r="D2143" s="26"/>
      <c r="E2143" s="26"/>
      <c r="F2143" s="28" t="e">
        <f ca="1">_xludf.ifna(VLOOKUP(G2144,Proyectos!$E$1:$H$4,4,0),"")</f>
        <v>#NAME?</v>
      </c>
      <c r="G2143" s="26"/>
      <c r="H2143" s="32"/>
      <c r="I2143" s="32"/>
      <c r="J2143" s="32"/>
      <c r="K2143" s="32"/>
      <c r="L2143" s="32" t="e">
        <f ca="1">_xludf.ifna(VLOOKUP(G2144,Proyectos!$E$1:$N$4,10,0),"")</f>
        <v>#NAME?</v>
      </c>
      <c r="M2143" s="32"/>
      <c r="N2143" s="32" t="s">
        <v>5905</v>
      </c>
      <c r="O2143" s="32"/>
      <c r="P2143" s="33"/>
      <c r="Q2143" s="33"/>
    </row>
    <row r="2144" spans="1:17" ht="16.5" customHeight="1" x14ac:dyDescent="0.2">
      <c r="A2144" s="26"/>
      <c r="B2144" s="26"/>
      <c r="C2144" s="26"/>
      <c r="D2144" s="26"/>
      <c r="E2144" s="26"/>
      <c r="F2144" s="28" t="e">
        <f ca="1">_xludf.ifna(VLOOKUP(G2145,Proyectos!$E$1:$H$4,4,0),"")</f>
        <v>#NAME?</v>
      </c>
      <c r="G2144" s="26"/>
      <c r="H2144" s="32"/>
      <c r="I2144" s="32"/>
      <c r="J2144" s="32"/>
      <c r="K2144" s="32"/>
      <c r="L2144" s="32" t="e">
        <f ca="1">_xludf.ifna(VLOOKUP(G2145,Proyectos!$E$1:$N$4,10,0),"")</f>
        <v>#NAME?</v>
      </c>
      <c r="M2144" s="32"/>
      <c r="N2144" s="32" t="s">
        <v>5905</v>
      </c>
      <c r="O2144" s="32"/>
      <c r="P2144" s="33"/>
      <c r="Q2144" s="33"/>
    </row>
    <row r="2145" spans="1:17" ht="16.5" customHeight="1" x14ac:dyDescent="0.2">
      <c r="A2145" s="26"/>
      <c r="B2145" s="26"/>
      <c r="C2145" s="26"/>
      <c r="D2145" s="26"/>
      <c r="E2145" s="26"/>
      <c r="F2145" s="28" t="e">
        <f ca="1">_xludf.ifna(VLOOKUP(G2146,Proyectos!$E$1:$H$4,4,0),"")</f>
        <v>#NAME?</v>
      </c>
      <c r="G2145" s="26"/>
      <c r="H2145" s="32"/>
      <c r="I2145" s="32"/>
      <c r="J2145" s="32"/>
      <c r="K2145" s="32"/>
      <c r="L2145" s="32" t="e">
        <f ca="1">_xludf.ifna(VLOOKUP(G2146,Proyectos!$E$1:$N$4,10,0),"")</f>
        <v>#NAME?</v>
      </c>
      <c r="M2145" s="32"/>
      <c r="N2145" s="32" t="s">
        <v>5905</v>
      </c>
      <c r="O2145" s="32"/>
      <c r="P2145" s="33"/>
      <c r="Q2145" s="33"/>
    </row>
    <row r="2146" spans="1:17" ht="16.5" customHeight="1" x14ac:dyDescent="0.2">
      <c r="A2146" s="26"/>
      <c r="B2146" s="26"/>
      <c r="C2146" s="26"/>
      <c r="D2146" s="26"/>
      <c r="E2146" s="26"/>
      <c r="F2146" s="28" t="e">
        <f ca="1">_xludf.ifna(VLOOKUP(G2147,Proyectos!$E$1:$H$4,4,0),"")</f>
        <v>#NAME?</v>
      </c>
      <c r="G2146" s="26"/>
      <c r="H2146" s="32"/>
      <c r="I2146" s="32"/>
      <c r="J2146" s="32"/>
      <c r="K2146" s="32"/>
      <c r="L2146" s="32" t="e">
        <f ca="1">_xludf.ifna(VLOOKUP(G2147,Proyectos!$E$1:$N$4,10,0),"")</f>
        <v>#NAME?</v>
      </c>
      <c r="M2146" s="32"/>
      <c r="N2146" s="32" t="s">
        <v>5905</v>
      </c>
      <c r="O2146" s="32"/>
      <c r="P2146" s="33"/>
      <c r="Q2146" s="33"/>
    </row>
    <row r="2147" spans="1:17" ht="16.5" customHeight="1" x14ac:dyDescent="0.2">
      <c r="A2147" s="26"/>
      <c r="B2147" s="26"/>
      <c r="C2147" s="26"/>
      <c r="D2147" s="26"/>
      <c r="E2147" s="26"/>
      <c r="F2147" s="28" t="e">
        <f ca="1">_xludf.ifna(VLOOKUP(G2148,Proyectos!$E$1:$H$4,4,0),"")</f>
        <v>#NAME?</v>
      </c>
      <c r="G2147" s="26"/>
      <c r="H2147" s="32"/>
      <c r="I2147" s="32"/>
      <c r="J2147" s="32"/>
      <c r="K2147" s="32"/>
      <c r="L2147" s="32" t="e">
        <f ca="1">_xludf.ifna(VLOOKUP(G2148,Proyectos!$E$1:$N$4,10,0),"")</f>
        <v>#NAME?</v>
      </c>
      <c r="M2147" s="32"/>
      <c r="N2147" s="32" t="s">
        <v>5905</v>
      </c>
      <c r="O2147" s="32"/>
      <c r="P2147" s="33"/>
      <c r="Q2147" s="33"/>
    </row>
    <row r="2148" spans="1:17" ht="16.5" customHeight="1" x14ac:dyDescent="0.2">
      <c r="A2148" s="26"/>
      <c r="B2148" s="26"/>
      <c r="C2148" s="26"/>
      <c r="D2148" s="26"/>
      <c r="E2148" s="26"/>
      <c r="F2148" s="28" t="e">
        <f ca="1">_xludf.ifna(VLOOKUP(G2149,Proyectos!$E$1:$H$4,4,0),"")</f>
        <v>#NAME?</v>
      </c>
      <c r="G2148" s="26"/>
      <c r="H2148" s="32"/>
      <c r="I2148" s="32"/>
      <c r="J2148" s="32"/>
      <c r="K2148" s="32"/>
      <c r="L2148" s="32" t="e">
        <f ca="1">_xludf.ifna(VLOOKUP(G2149,Proyectos!$E$1:$N$4,10,0),"")</f>
        <v>#NAME?</v>
      </c>
      <c r="M2148" s="32"/>
      <c r="N2148" s="32" t="s">
        <v>5905</v>
      </c>
      <c r="O2148" s="32"/>
      <c r="P2148" s="33"/>
      <c r="Q2148" s="33"/>
    </row>
    <row r="2149" spans="1:17" ht="16.5" customHeight="1" x14ac:dyDescent="0.2">
      <c r="A2149" s="26"/>
      <c r="B2149" s="26"/>
      <c r="C2149" s="26"/>
      <c r="D2149" s="26"/>
      <c r="E2149" s="26"/>
      <c r="F2149" s="28" t="e">
        <f ca="1">_xludf.ifna(VLOOKUP(G2150,Proyectos!$E$1:$H$4,4,0),"")</f>
        <v>#NAME?</v>
      </c>
      <c r="G2149" s="26"/>
      <c r="H2149" s="32"/>
      <c r="I2149" s="32"/>
      <c r="J2149" s="32"/>
      <c r="K2149" s="32"/>
      <c r="L2149" s="32" t="e">
        <f ca="1">_xludf.ifna(VLOOKUP(G2150,Proyectos!$E$1:$N$4,10,0),"")</f>
        <v>#NAME?</v>
      </c>
      <c r="M2149" s="32"/>
      <c r="N2149" s="32" t="s">
        <v>5905</v>
      </c>
      <c r="O2149" s="32"/>
      <c r="P2149" s="33"/>
      <c r="Q2149" s="33"/>
    </row>
    <row r="2150" spans="1:17" ht="16.5" customHeight="1" x14ac:dyDescent="0.2">
      <c r="A2150" s="26"/>
      <c r="B2150" s="26"/>
      <c r="C2150" s="26"/>
      <c r="D2150" s="26"/>
      <c r="E2150" s="26"/>
      <c r="F2150" s="28" t="e">
        <f ca="1">_xludf.ifna(VLOOKUP(G2151,Proyectos!$E$1:$H$4,4,0),"")</f>
        <v>#NAME?</v>
      </c>
      <c r="G2150" s="26"/>
      <c r="H2150" s="32"/>
      <c r="I2150" s="32"/>
      <c r="J2150" s="32"/>
      <c r="K2150" s="32"/>
      <c r="L2150" s="32" t="e">
        <f ca="1">_xludf.ifna(VLOOKUP(G2151,Proyectos!$E$1:$N$4,10,0),"")</f>
        <v>#NAME?</v>
      </c>
      <c r="M2150" s="32"/>
      <c r="N2150" s="32" t="s">
        <v>5905</v>
      </c>
      <c r="O2150" s="32"/>
      <c r="P2150" s="33"/>
      <c r="Q2150" s="33"/>
    </row>
    <row r="2151" spans="1:17" ht="16.5" customHeight="1" x14ac:dyDescent="0.2">
      <c r="A2151" s="26"/>
      <c r="B2151" s="26"/>
      <c r="C2151" s="26"/>
      <c r="D2151" s="26"/>
      <c r="E2151" s="26"/>
      <c r="F2151" s="28" t="e">
        <f ca="1">_xludf.ifna(VLOOKUP(G2152,Proyectos!$E$1:$H$4,4,0),"")</f>
        <v>#NAME?</v>
      </c>
      <c r="G2151" s="26"/>
      <c r="H2151" s="32"/>
      <c r="I2151" s="32"/>
      <c r="J2151" s="32"/>
      <c r="K2151" s="32"/>
      <c r="L2151" s="32" t="e">
        <f ca="1">_xludf.ifna(VLOOKUP(G2152,Proyectos!$E$1:$N$4,10,0),"")</f>
        <v>#NAME?</v>
      </c>
      <c r="M2151" s="32"/>
      <c r="N2151" s="32" t="s">
        <v>5905</v>
      </c>
      <c r="O2151" s="32"/>
      <c r="P2151" s="33"/>
      <c r="Q2151" s="33"/>
    </row>
    <row r="2152" spans="1:17" ht="16.5" customHeight="1" x14ac:dyDescent="0.2">
      <c r="A2152" s="26"/>
      <c r="B2152" s="26"/>
      <c r="C2152" s="26"/>
      <c r="D2152" s="26"/>
      <c r="E2152" s="26"/>
      <c r="F2152" s="28" t="e">
        <f ca="1">_xludf.ifna(VLOOKUP(G2153,Proyectos!$E$1:$H$4,4,0),"")</f>
        <v>#NAME?</v>
      </c>
      <c r="G2152" s="26"/>
      <c r="H2152" s="32"/>
      <c r="I2152" s="32"/>
      <c r="J2152" s="32"/>
      <c r="K2152" s="32"/>
      <c r="L2152" s="32" t="e">
        <f ca="1">_xludf.ifna(VLOOKUP(G2153,Proyectos!$E$1:$N$4,10,0),"")</f>
        <v>#NAME?</v>
      </c>
      <c r="M2152" s="32"/>
      <c r="N2152" s="32" t="s">
        <v>5905</v>
      </c>
      <c r="O2152" s="32"/>
      <c r="P2152" s="33"/>
      <c r="Q2152" s="33"/>
    </row>
    <row r="2153" spans="1:17" ht="16.5" customHeight="1" x14ac:dyDescent="0.2">
      <c r="A2153" s="26"/>
      <c r="B2153" s="26"/>
      <c r="C2153" s="26"/>
      <c r="D2153" s="26"/>
      <c r="E2153" s="26"/>
      <c r="F2153" s="28" t="e">
        <f ca="1">_xludf.ifna(VLOOKUP(G2154,Proyectos!$E$1:$H$4,4,0),"")</f>
        <v>#NAME?</v>
      </c>
      <c r="G2153" s="26"/>
      <c r="H2153" s="32"/>
      <c r="I2153" s="32"/>
      <c r="J2153" s="32"/>
      <c r="K2153" s="32"/>
      <c r="L2153" s="32" t="e">
        <f ca="1">_xludf.ifna(VLOOKUP(G2154,Proyectos!$E$1:$N$4,10,0),"")</f>
        <v>#NAME?</v>
      </c>
      <c r="M2153" s="32"/>
      <c r="N2153" s="32" t="s">
        <v>5905</v>
      </c>
      <c r="O2153" s="32"/>
      <c r="P2153" s="33"/>
      <c r="Q2153" s="33"/>
    </row>
    <row r="2154" spans="1:17" ht="16.5" customHeight="1" x14ac:dyDescent="0.2">
      <c r="A2154" s="26"/>
      <c r="B2154" s="26"/>
      <c r="C2154" s="26"/>
      <c r="D2154" s="26"/>
      <c r="E2154" s="26"/>
      <c r="F2154" s="28" t="e">
        <f ca="1">_xludf.ifna(VLOOKUP(G2155,Proyectos!$E$1:$H$4,4,0),"")</f>
        <v>#NAME?</v>
      </c>
      <c r="G2154" s="26"/>
      <c r="H2154" s="32"/>
      <c r="I2154" s="32"/>
      <c r="J2154" s="32"/>
      <c r="K2154" s="32"/>
      <c r="L2154" s="32" t="e">
        <f ca="1">_xludf.ifna(VLOOKUP(G2155,Proyectos!$E$1:$N$4,10,0),"")</f>
        <v>#NAME?</v>
      </c>
      <c r="M2154" s="32"/>
      <c r="N2154" s="32" t="s">
        <v>5905</v>
      </c>
      <c r="O2154" s="32"/>
      <c r="P2154" s="33"/>
      <c r="Q2154" s="33"/>
    </row>
    <row r="2155" spans="1:17" ht="16.5" customHeight="1" x14ac:dyDescent="0.2">
      <c r="A2155" s="26"/>
      <c r="B2155" s="26"/>
      <c r="C2155" s="26"/>
      <c r="D2155" s="26"/>
      <c r="E2155" s="26"/>
      <c r="F2155" s="28" t="e">
        <f ca="1">_xludf.ifna(VLOOKUP(G2156,Proyectos!$E$1:$H$4,4,0),"")</f>
        <v>#NAME?</v>
      </c>
      <c r="G2155" s="26"/>
      <c r="H2155" s="32"/>
      <c r="I2155" s="32"/>
      <c r="J2155" s="32"/>
      <c r="K2155" s="32"/>
      <c r="L2155" s="32" t="e">
        <f ca="1">_xludf.ifna(VLOOKUP(G2156,Proyectos!$E$1:$N$4,10,0),"")</f>
        <v>#NAME?</v>
      </c>
      <c r="M2155" s="32"/>
      <c r="N2155" s="32" t="s">
        <v>5905</v>
      </c>
      <c r="O2155" s="32"/>
      <c r="P2155" s="33"/>
      <c r="Q2155" s="33"/>
    </row>
  </sheetData>
  <customSheetViews>
    <customSheetView guid="{4C9FF4DE-D27F-4717-B68E-A26853E433FC}" filter="1" showAutoFilter="1">
      <pageMargins left="0.7" right="0.7" top="0.75" bottom="0.75" header="0.3" footer="0.3"/>
      <autoFilter ref="A1:Q1478" xr:uid="{2E73A30E-54C9-4877-877D-F3C5F3F5E77D}"/>
    </customSheetView>
    <customSheetView guid="{648D94F2-2741-4756-B129-0144F3ABB902}" filter="1" showAutoFilter="1">
      <pageMargins left="0.7" right="0.7" top="0.75" bottom="0.75" header="0.3" footer="0.3"/>
      <autoFilter ref="A1:Q1478" xr:uid="{C66ED8FA-6D07-4FA6-BECA-2047B6C70935}">
        <filterColumn colId="6">
          <filters>
            <filter val="SDATOOL-37761 $ Plan transformación de procesos"/>
          </filters>
        </filterColumn>
      </autoFilter>
    </customSheetView>
  </customSheetViews>
  <conditionalFormatting sqref="G1:G2155">
    <cfRule type="notContainsBlanks" dxfId="1" priority="1">
      <formula>LEN(TRIM(G1))&gt;0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500-000000000000}">
          <x14:formula1>
            <xm:f>Parámetros!$D$2:$D$34</xm:f>
          </x14:formula1>
          <xm:sqref>E1:E2155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4A86E8"/>
    <outlinePr summaryBelow="0" summaryRight="0"/>
  </sheetPr>
  <dimension ref="A1:I1582"/>
  <sheetViews>
    <sheetView workbookViewId="0"/>
  </sheetViews>
  <sheetFormatPr baseColWidth="10" defaultColWidth="12.5703125" defaultRowHeight="15.75" customHeight="1" x14ac:dyDescent="0.2"/>
  <cols>
    <col min="1" max="1" width="10.28515625" customWidth="1"/>
    <col min="2" max="2" width="45" customWidth="1"/>
    <col min="3" max="3" width="18.5703125" customWidth="1"/>
    <col min="4" max="4" width="22.85546875" customWidth="1"/>
    <col min="5" max="5" width="15.140625" customWidth="1"/>
    <col min="6" max="6" width="22.42578125" customWidth="1"/>
    <col min="7" max="7" width="13.7109375" customWidth="1"/>
    <col min="8" max="8" width="33.42578125" customWidth="1"/>
    <col min="9" max="9" width="13.7109375" customWidth="1"/>
  </cols>
  <sheetData>
    <row r="1" spans="1:9" ht="17.25" customHeight="1" x14ac:dyDescent="0.2">
      <c r="A1" s="18" t="s">
        <v>3273</v>
      </c>
      <c r="B1" s="19" t="s">
        <v>3274</v>
      </c>
      <c r="C1" s="20" t="s">
        <v>0</v>
      </c>
      <c r="D1" s="20" t="s">
        <v>1</v>
      </c>
      <c r="E1" s="19" t="s">
        <v>2</v>
      </c>
      <c r="F1" s="21" t="s">
        <v>3275</v>
      </c>
      <c r="G1" s="21" t="s">
        <v>3276</v>
      </c>
      <c r="H1" s="21" t="s">
        <v>3277</v>
      </c>
      <c r="I1" s="21" t="s">
        <v>3278</v>
      </c>
    </row>
    <row r="2" spans="1:9" ht="16.5" customHeight="1" x14ac:dyDescent="0.2">
      <c r="A2" s="26">
        <v>1032450219</v>
      </c>
      <c r="B2" s="26" t="s">
        <v>3288</v>
      </c>
      <c r="C2" s="26" t="s">
        <v>136</v>
      </c>
      <c r="D2" s="26" t="s">
        <v>137</v>
      </c>
      <c r="E2" s="26" t="s">
        <v>108</v>
      </c>
      <c r="F2" s="31" t="s">
        <v>25</v>
      </c>
      <c r="G2" s="32"/>
      <c r="H2" s="31" t="s">
        <v>3289</v>
      </c>
      <c r="I2" s="32" t="s">
        <v>10</v>
      </c>
    </row>
    <row r="3" spans="1:9" ht="16.5" customHeight="1" x14ac:dyDescent="0.2">
      <c r="A3" s="26" t="s">
        <v>3291</v>
      </c>
      <c r="B3" s="26" t="s">
        <v>3292</v>
      </c>
      <c r="C3" s="26" t="s">
        <v>98</v>
      </c>
      <c r="D3" s="26" t="s">
        <v>105</v>
      </c>
      <c r="E3" s="26" t="s">
        <v>83</v>
      </c>
      <c r="F3" s="31" t="s">
        <v>25</v>
      </c>
      <c r="G3" s="31" t="s">
        <v>41</v>
      </c>
      <c r="H3" s="32"/>
      <c r="I3" s="32" t="s">
        <v>10</v>
      </c>
    </row>
    <row r="4" spans="1:9" ht="16.5" customHeight="1" x14ac:dyDescent="0.2">
      <c r="A4" s="26" t="s">
        <v>199</v>
      </c>
      <c r="B4" s="26" t="s">
        <v>3293</v>
      </c>
      <c r="C4" s="26" t="s">
        <v>98</v>
      </c>
      <c r="D4" s="26" t="s">
        <v>107</v>
      </c>
      <c r="E4" s="26" t="s">
        <v>87</v>
      </c>
      <c r="F4" s="31" t="s">
        <v>18</v>
      </c>
      <c r="G4" s="31" t="s">
        <v>72</v>
      </c>
      <c r="H4" s="32"/>
      <c r="I4" s="32" t="s">
        <v>10</v>
      </c>
    </row>
    <row r="5" spans="1:9" ht="16.5" customHeight="1" x14ac:dyDescent="0.2">
      <c r="A5" s="26" t="s">
        <v>3294</v>
      </c>
      <c r="B5" s="26" t="s">
        <v>3295</v>
      </c>
      <c r="C5" s="26" t="s">
        <v>7</v>
      </c>
      <c r="D5" s="26" t="s">
        <v>16</v>
      </c>
      <c r="E5" s="26" t="s">
        <v>39</v>
      </c>
      <c r="F5" s="31" t="s">
        <v>18</v>
      </c>
      <c r="G5" s="31" t="s">
        <v>72</v>
      </c>
      <c r="H5" s="31" t="s">
        <v>40</v>
      </c>
      <c r="I5" s="32" t="s">
        <v>40</v>
      </c>
    </row>
    <row r="6" spans="1:9" ht="16.5" customHeight="1" x14ac:dyDescent="0.2">
      <c r="A6" s="54" t="s">
        <v>3296</v>
      </c>
      <c r="B6" s="35" t="s">
        <v>3297</v>
      </c>
      <c r="C6" s="35" t="s">
        <v>64</v>
      </c>
      <c r="D6" s="35" t="s">
        <v>95</v>
      </c>
      <c r="E6" s="54" t="s">
        <v>39</v>
      </c>
      <c r="F6" s="31" t="s">
        <v>18</v>
      </c>
      <c r="G6" s="31" t="s">
        <v>61</v>
      </c>
      <c r="H6" s="32"/>
      <c r="I6" s="32" t="s">
        <v>40</v>
      </c>
    </row>
    <row r="7" spans="1:9" ht="16.5" customHeight="1" x14ac:dyDescent="0.2">
      <c r="A7" s="54" t="s">
        <v>3296</v>
      </c>
      <c r="B7" s="35" t="s">
        <v>3297</v>
      </c>
      <c r="C7" s="35" t="s">
        <v>64</v>
      </c>
      <c r="D7" s="35" t="s">
        <v>95</v>
      </c>
      <c r="E7" s="54" t="s">
        <v>39</v>
      </c>
      <c r="F7" s="31" t="s">
        <v>18</v>
      </c>
      <c r="G7" s="31" t="s">
        <v>61</v>
      </c>
      <c r="H7" s="32"/>
      <c r="I7" s="32" t="s">
        <v>40</v>
      </c>
    </row>
    <row r="8" spans="1:9" ht="16.5" customHeight="1" x14ac:dyDescent="0.2">
      <c r="A8" s="35" t="s">
        <v>3298</v>
      </c>
      <c r="B8" s="54" t="s">
        <v>5569</v>
      </c>
      <c r="C8" s="35" t="s">
        <v>115</v>
      </c>
      <c r="D8" s="35" t="s">
        <v>131</v>
      </c>
      <c r="E8" s="35" t="s">
        <v>39</v>
      </c>
      <c r="F8" s="30" t="s">
        <v>18</v>
      </c>
      <c r="G8" s="31" t="s">
        <v>72</v>
      </c>
      <c r="H8" s="30" t="s">
        <v>3300</v>
      </c>
      <c r="I8" s="32" t="s">
        <v>40</v>
      </c>
    </row>
    <row r="9" spans="1:9" ht="16.5" customHeight="1" x14ac:dyDescent="0.2">
      <c r="A9" s="35" t="s">
        <v>3298</v>
      </c>
      <c r="B9" s="54" t="s">
        <v>5569</v>
      </c>
      <c r="C9" s="35" t="s">
        <v>115</v>
      </c>
      <c r="D9" s="35" t="s">
        <v>131</v>
      </c>
      <c r="E9" s="35" t="s">
        <v>39</v>
      </c>
      <c r="F9" s="30" t="s">
        <v>18</v>
      </c>
      <c r="G9" s="31" t="s">
        <v>72</v>
      </c>
      <c r="H9" s="30" t="s">
        <v>5570</v>
      </c>
      <c r="I9" s="32" t="s">
        <v>40</v>
      </c>
    </row>
    <row r="10" spans="1:9" ht="16.5" customHeight="1" x14ac:dyDescent="0.2">
      <c r="A10" s="35" t="s">
        <v>3301</v>
      </c>
      <c r="B10" s="35" t="s">
        <v>3302</v>
      </c>
      <c r="C10" s="35" t="s">
        <v>7</v>
      </c>
      <c r="D10" s="35" t="s">
        <v>8</v>
      </c>
      <c r="E10" s="35" t="s">
        <v>39</v>
      </c>
      <c r="F10" s="52" t="s">
        <v>11</v>
      </c>
      <c r="G10" s="30" t="s">
        <v>61</v>
      </c>
      <c r="H10" s="55"/>
      <c r="I10" s="32" t="s">
        <v>40</v>
      </c>
    </row>
    <row r="11" spans="1:9" ht="16.5" customHeight="1" x14ac:dyDescent="0.2">
      <c r="A11" s="35" t="s">
        <v>3301</v>
      </c>
      <c r="B11" s="35" t="s">
        <v>3302</v>
      </c>
      <c r="C11" s="35" t="s">
        <v>7</v>
      </c>
      <c r="D11" s="35" t="s">
        <v>8</v>
      </c>
      <c r="E11" s="35" t="s">
        <v>39</v>
      </c>
      <c r="F11" s="52" t="s">
        <v>11</v>
      </c>
      <c r="G11" s="30" t="s">
        <v>61</v>
      </c>
      <c r="H11" s="55"/>
      <c r="I11" s="32" t="s">
        <v>40</v>
      </c>
    </row>
    <row r="12" spans="1:9" ht="16.5" customHeight="1" x14ac:dyDescent="0.2">
      <c r="A12" s="35" t="s">
        <v>3301</v>
      </c>
      <c r="B12" s="35" t="s">
        <v>3302</v>
      </c>
      <c r="C12" s="35" t="s">
        <v>7</v>
      </c>
      <c r="D12" s="35" t="s">
        <v>8</v>
      </c>
      <c r="E12" s="35" t="s">
        <v>39</v>
      </c>
      <c r="F12" s="52" t="s">
        <v>11</v>
      </c>
      <c r="G12" s="30" t="s">
        <v>61</v>
      </c>
      <c r="H12" s="55"/>
      <c r="I12" s="32" t="s">
        <v>40</v>
      </c>
    </row>
    <row r="13" spans="1:9" ht="16.5" customHeight="1" x14ac:dyDescent="0.2">
      <c r="A13" s="35" t="s">
        <v>3301</v>
      </c>
      <c r="B13" s="35" t="s">
        <v>3302</v>
      </c>
      <c r="C13" s="35" t="s">
        <v>7</v>
      </c>
      <c r="D13" s="35" t="s">
        <v>8</v>
      </c>
      <c r="E13" s="35" t="s">
        <v>39</v>
      </c>
      <c r="F13" s="52" t="s">
        <v>11</v>
      </c>
      <c r="G13" s="30" t="s">
        <v>61</v>
      </c>
      <c r="H13" s="55"/>
      <c r="I13" s="32" t="s">
        <v>40</v>
      </c>
    </row>
    <row r="14" spans="1:9" ht="16.5" customHeight="1" x14ac:dyDescent="0.2">
      <c r="A14" s="35" t="s">
        <v>3301</v>
      </c>
      <c r="B14" s="35" t="s">
        <v>3302</v>
      </c>
      <c r="C14" s="35" t="s">
        <v>7</v>
      </c>
      <c r="D14" s="35" t="s">
        <v>8</v>
      </c>
      <c r="E14" s="35" t="s">
        <v>39</v>
      </c>
      <c r="F14" s="52" t="s">
        <v>11</v>
      </c>
      <c r="G14" s="30" t="s">
        <v>61</v>
      </c>
      <c r="H14" s="55"/>
      <c r="I14" s="32" t="s">
        <v>40</v>
      </c>
    </row>
    <row r="15" spans="1:9" ht="16.5" customHeight="1" x14ac:dyDescent="0.2">
      <c r="A15" s="35" t="s">
        <v>3301</v>
      </c>
      <c r="B15" s="35" t="s">
        <v>3302</v>
      </c>
      <c r="C15" s="35" t="s">
        <v>7</v>
      </c>
      <c r="D15" s="35" t="s">
        <v>8</v>
      </c>
      <c r="E15" s="35" t="s">
        <v>39</v>
      </c>
      <c r="F15" s="52" t="s">
        <v>11</v>
      </c>
      <c r="G15" s="30" t="s">
        <v>61</v>
      </c>
      <c r="H15" s="55"/>
      <c r="I15" s="32" t="s">
        <v>40</v>
      </c>
    </row>
    <row r="16" spans="1:9" ht="16.5" customHeight="1" x14ac:dyDescent="0.2">
      <c r="A16" s="35" t="s">
        <v>3301</v>
      </c>
      <c r="B16" s="35" t="s">
        <v>3302</v>
      </c>
      <c r="C16" s="35" t="s">
        <v>7</v>
      </c>
      <c r="D16" s="35" t="s">
        <v>8</v>
      </c>
      <c r="E16" s="35" t="s">
        <v>39</v>
      </c>
      <c r="F16" s="52" t="s">
        <v>11</v>
      </c>
      <c r="G16" s="30" t="s">
        <v>61</v>
      </c>
      <c r="H16" s="55"/>
      <c r="I16" s="32" t="s">
        <v>40</v>
      </c>
    </row>
    <row r="17" spans="1:9" ht="16.5" customHeight="1" x14ac:dyDescent="0.2">
      <c r="A17" s="35" t="s">
        <v>3301</v>
      </c>
      <c r="B17" s="35" t="s">
        <v>3302</v>
      </c>
      <c r="C17" s="35" t="s">
        <v>7</v>
      </c>
      <c r="D17" s="35" t="s">
        <v>8</v>
      </c>
      <c r="E17" s="35" t="s">
        <v>39</v>
      </c>
      <c r="F17" s="52" t="s">
        <v>11</v>
      </c>
      <c r="G17" s="30" t="s">
        <v>61</v>
      </c>
      <c r="H17" s="55"/>
      <c r="I17" s="32" t="s">
        <v>40</v>
      </c>
    </row>
    <row r="18" spans="1:9" ht="16.5" customHeight="1" x14ac:dyDescent="0.2">
      <c r="A18" s="35" t="s">
        <v>3301</v>
      </c>
      <c r="B18" s="35" t="s">
        <v>3302</v>
      </c>
      <c r="C18" s="35" t="s">
        <v>7</v>
      </c>
      <c r="D18" s="35" t="s">
        <v>8</v>
      </c>
      <c r="E18" s="35" t="s">
        <v>39</v>
      </c>
      <c r="F18" s="52" t="s">
        <v>11</v>
      </c>
      <c r="G18" s="30" t="s">
        <v>61</v>
      </c>
      <c r="H18" s="55"/>
      <c r="I18" s="32" t="s">
        <v>40</v>
      </c>
    </row>
    <row r="19" spans="1:9" ht="16.5" customHeight="1" x14ac:dyDescent="0.2">
      <c r="A19" s="35" t="s">
        <v>3301</v>
      </c>
      <c r="B19" s="35" t="s">
        <v>3302</v>
      </c>
      <c r="C19" s="35" t="s">
        <v>7</v>
      </c>
      <c r="D19" s="35" t="s">
        <v>8</v>
      </c>
      <c r="E19" s="35" t="s">
        <v>39</v>
      </c>
      <c r="F19" s="52" t="s">
        <v>11</v>
      </c>
      <c r="G19" s="30" t="s">
        <v>61</v>
      </c>
      <c r="H19" s="55"/>
      <c r="I19" s="32" t="s">
        <v>40</v>
      </c>
    </row>
    <row r="20" spans="1:9" ht="16.5" customHeight="1" x14ac:dyDescent="0.2">
      <c r="A20" s="54" t="s">
        <v>3301</v>
      </c>
      <c r="B20" s="57" t="s">
        <v>3302</v>
      </c>
      <c r="C20" s="54" t="s">
        <v>7</v>
      </c>
      <c r="D20" s="54" t="s">
        <v>8</v>
      </c>
      <c r="E20" s="54" t="s">
        <v>39</v>
      </c>
      <c r="F20" s="52" t="s">
        <v>11</v>
      </c>
      <c r="G20" s="30" t="s">
        <v>61</v>
      </c>
      <c r="H20" s="58" t="s">
        <v>3679</v>
      </c>
      <c r="I20" s="32" t="s">
        <v>40</v>
      </c>
    </row>
    <row r="21" spans="1:9" ht="16.5" customHeight="1" x14ac:dyDescent="0.2">
      <c r="A21" s="54" t="s">
        <v>3301</v>
      </c>
      <c r="B21" s="57" t="s">
        <v>3302</v>
      </c>
      <c r="C21" s="54" t="s">
        <v>7</v>
      </c>
      <c r="D21" s="54" t="s">
        <v>8</v>
      </c>
      <c r="E21" s="54" t="s">
        <v>39</v>
      </c>
      <c r="F21" s="52" t="s">
        <v>11</v>
      </c>
      <c r="G21" s="30" t="s">
        <v>61</v>
      </c>
      <c r="H21" s="60"/>
      <c r="I21" s="32" t="s">
        <v>40</v>
      </c>
    </row>
    <row r="22" spans="1:9" ht="16.5" customHeight="1" x14ac:dyDescent="0.2">
      <c r="A22" s="54" t="s">
        <v>3301</v>
      </c>
      <c r="B22" s="57" t="s">
        <v>3302</v>
      </c>
      <c r="C22" s="54" t="s">
        <v>7</v>
      </c>
      <c r="D22" s="54" t="s">
        <v>8</v>
      </c>
      <c r="E22" s="54" t="s">
        <v>39</v>
      </c>
      <c r="F22" s="52" t="s">
        <v>11</v>
      </c>
      <c r="G22" s="30" t="s">
        <v>61</v>
      </c>
      <c r="H22" s="58" t="s">
        <v>3679</v>
      </c>
      <c r="I22" s="32" t="s">
        <v>40</v>
      </c>
    </row>
    <row r="23" spans="1:9" ht="16.5" customHeight="1" x14ac:dyDescent="0.2">
      <c r="A23" s="35" t="s">
        <v>3301</v>
      </c>
      <c r="B23" s="35" t="s">
        <v>3302</v>
      </c>
      <c r="C23" s="35" t="s">
        <v>7</v>
      </c>
      <c r="D23" s="35" t="s">
        <v>8</v>
      </c>
      <c r="E23" s="35" t="s">
        <v>39</v>
      </c>
      <c r="F23" s="52" t="s">
        <v>11</v>
      </c>
      <c r="G23" s="30" t="s">
        <v>61</v>
      </c>
      <c r="H23" s="55"/>
      <c r="I23" s="32" t="s">
        <v>40</v>
      </c>
    </row>
    <row r="24" spans="1:9" ht="16.5" customHeight="1" x14ac:dyDescent="0.2">
      <c r="A24" s="35" t="s">
        <v>3301</v>
      </c>
      <c r="B24" s="35" t="s">
        <v>3302</v>
      </c>
      <c r="C24" s="35" t="s">
        <v>7</v>
      </c>
      <c r="D24" s="35" t="s">
        <v>8</v>
      </c>
      <c r="E24" s="35" t="s">
        <v>39</v>
      </c>
      <c r="F24" s="52" t="s">
        <v>11</v>
      </c>
      <c r="G24" s="30" t="s">
        <v>61</v>
      </c>
      <c r="H24" s="55"/>
      <c r="I24" s="32" t="s">
        <v>40</v>
      </c>
    </row>
    <row r="25" spans="1:9" ht="16.5" customHeight="1" x14ac:dyDescent="0.2">
      <c r="A25" s="35" t="s">
        <v>3303</v>
      </c>
      <c r="B25" s="35" t="s">
        <v>5162</v>
      </c>
      <c r="C25" s="35" t="s">
        <v>7</v>
      </c>
      <c r="D25" s="35" t="s">
        <v>30</v>
      </c>
      <c r="E25" s="35" t="s">
        <v>39</v>
      </c>
      <c r="F25" s="52" t="s">
        <v>18</v>
      </c>
      <c r="G25" s="30" t="s">
        <v>72</v>
      </c>
      <c r="H25" s="30"/>
      <c r="I25" s="32" t="s">
        <v>40</v>
      </c>
    </row>
    <row r="26" spans="1:9" ht="16.5" customHeight="1" x14ac:dyDescent="0.2">
      <c r="A26" s="35" t="s">
        <v>3303</v>
      </c>
      <c r="B26" s="35" t="s">
        <v>5162</v>
      </c>
      <c r="C26" s="35" t="s">
        <v>7</v>
      </c>
      <c r="D26" s="35" t="s">
        <v>30</v>
      </c>
      <c r="E26" s="35" t="s">
        <v>39</v>
      </c>
      <c r="F26" s="52" t="s">
        <v>18</v>
      </c>
      <c r="G26" s="30" t="s">
        <v>72</v>
      </c>
      <c r="H26" s="30"/>
      <c r="I26" s="32" t="s">
        <v>40</v>
      </c>
    </row>
    <row r="27" spans="1:9" ht="16.5" customHeight="1" x14ac:dyDescent="0.2">
      <c r="A27" s="35" t="s">
        <v>3303</v>
      </c>
      <c r="B27" s="35" t="s">
        <v>5162</v>
      </c>
      <c r="C27" s="35" t="s">
        <v>7</v>
      </c>
      <c r="D27" s="35" t="s">
        <v>30</v>
      </c>
      <c r="E27" s="35" t="s">
        <v>39</v>
      </c>
      <c r="F27" s="52" t="s">
        <v>32</v>
      </c>
      <c r="G27" s="30" t="s">
        <v>72</v>
      </c>
      <c r="H27" s="30"/>
      <c r="I27" s="32" t="s">
        <v>40</v>
      </c>
    </row>
    <row r="28" spans="1:9" ht="16.5" customHeight="1" x14ac:dyDescent="0.2">
      <c r="A28" s="26" t="s">
        <v>3305</v>
      </c>
      <c r="B28" s="26" t="s">
        <v>3306</v>
      </c>
      <c r="C28" s="26" t="s">
        <v>115</v>
      </c>
      <c r="D28" s="26" t="s">
        <v>122</v>
      </c>
      <c r="E28" s="26" t="s">
        <v>39</v>
      </c>
      <c r="F28" s="31" t="s">
        <v>11</v>
      </c>
      <c r="G28" s="31" t="s">
        <v>61</v>
      </c>
      <c r="H28" s="32"/>
      <c r="I28" s="32" t="s">
        <v>40</v>
      </c>
    </row>
    <row r="29" spans="1:9" ht="16.5" customHeight="1" x14ac:dyDescent="0.2">
      <c r="A29" s="26" t="s">
        <v>3305</v>
      </c>
      <c r="B29" s="26" t="s">
        <v>3306</v>
      </c>
      <c r="C29" s="26" t="s">
        <v>115</v>
      </c>
      <c r="D29" s="26" t="s">
        <v>122</v>
      </c>
      <c r="E29" s="26" t="s">
        <v>39</v>
      </c>
      <c r="F29" s="31" t="s">
        <v>11</v>
      </c>
      <c r="G29" s="31" t="s">
        <v>61</v>
      </c>
      <c r="H29" s="32"/>
      <c r="I29" s="32" t="s">
        <v>40</v>
      </c>
    </row>
    <row r="30" spans="1:9" ht="16.5" customHeight="1" x14ac:dyDescent="0.2">
      <c r="A30" s="26" t="s">
        <v>3307</v>
      </c>
      <c r="B30" s="26" t="s">
        <v>3308</v>
      </c>
      <c r="C30" s="26" t="s">
        <v>115</v>
      </c>
      <c r="D30" s="26" t="s">
        <v>122</v>
      </c>
      <c r="E30" s="26" t="s">
        <v>39</v>
      </c>
      <c r="F30" s="31" t="s">
        <v>18</v>
      </c>
      <c r="G30" s="31" t="s">
        <v>61</v>
      </c>
      <c r="H30" s="32"/>
      <c r="I30" s="32" t="s">
        <v>40</v>
      </c>
    </row>
    <row r="31" spans="1:9" ht="16.5" customHeight="1" x14ac:dyDescent="0.2">
      <c r="A31" s="26" t="s">
        <v>3309</v>
      </c>
      <c r="B31" s="26" t="s">
        <v>3310</v>
      </c>
      <c r="C31" s="26" t="s">
        <v>98</v>
      </c>
      <c r="D31" s="26" t="s">
        <v>113</v>
      </c>
      <c r="E31" s="26" t="s">
        <v>39</v>
      </c>
      <c r="F31" s="31" t="s">
        <v>11</v>
      </c>
      <c r="G31" s="31" t="s">
        <v>41</v>
      </c>
      <c r="H31" s="32"/>
      <c r="I31" s="32" t="s">
        <v>40</v>
      </c>
    </row>
    <row r="32" spans="1:9" ht="16.5" customHeight="1" x14ac:dyDescent="0.2">
      <c r="A32" s="26" t="s">
        <v>3311</v>
      </c>
      <c r="B32" s="26" t="s">
        <v>3312</v>
      </c>
      <c r="C32" s="26" t="s">
        <v>37</v>
      </c>
      <c r="D32" s="26" t="s">
        <v>38</v>
      </c>
      <c r="E32" s="26" t="s">
        <v>39</v>
      </c>
      <c r="F32" s="31" t="s">
        <v>25</v>
      </c>
      <c r="G32" s="31" t="s">
        <v>41</v>
      </c>
      <c r="H32" s="32"/>
      <c r="I32" s="32" t="s">
        <v>40</v>
      </c>
    </row>
    <row r="33" spans="1:9" ht="16.5" customHeight="1" x14ac:dyDescent="0.2">
      <c r="A33" s="26" t="s">
        <v>3311</v>
      </c>
      <c r="B33" s="26" t="s">
        <v>3312</v>
      </c>
      <c r="C33" s="26" t="s">
        <v>37</v>
      </c>
      <c r="D33" s="26" t="s">
        <v>45</v>
      </c>
      <c r="E33" s="26" t="s">
        <v>39</v>
      </c>
      <c r="F33" s="31" t="s">
        <v>25</v>
      </c>
      <c r="G33" s="31" t="s">
        <v>41</v>
      </c>
      <c r="H33" s="32"/>
      <c r="I33" s="32" t="s">
        <v>40</v>
      </c>
    </row>
    <row r="34" spans="1:9" ht="16.5" customHeight="1" x14ac:dyDescent="0.2">
      <c r="A34" s="26" t="s">
        <v>3311</v>
      </c>
      <c r="B34" s="26" t="s">
        <v>3312</v>
      </c>
      <c r="C34" s="26" t="s">
        <v>37</v>
      </c>
      <c r="D34" s="26" t="s">
        <v>59</v>
      </c>
      <c r="E34" s="26" t="s">
        <v>39</v>
      </c>
      <c r="F34" s="31" t="s">
        <v>25</v>
      </c>
      <c r="G34" s="31" t="s">
        <v>41</v>
      </c>
      <c r="H34" s="32"/>
      <c r="I34" s="32" t="s">
        <v>40</v>
      </c>
    </row>
    <row r="35" spans="1:9" ht="16.5" customHeight="1" x14ac:dyDescent="0.2">
      <c r="A35" s="26" t="s">
        <v>3311</v>
      </c>
      <c r="B35" s="26" t="s">
        <v>3312</v>
      </c>
      <c r="C35" s="26" t="s">
        <v>37</v>
      </c>
      <c r="D35" s="26" t="s">
        <v>52</v>
      </c>
      <c r="E35" s="26" t="s">
        <v>39</v>
      </c>
      <c r="F35" s="31" t="s">
        <v>25</v>
      </c>
      <c r="G35" s="31" t="s">
        <v>41</v>
      </c>
      <c r="H35" s="32"/>
      <c r="I35" s="32" t="s">
        <v>40</v>
      </c>
    </row>
    <row r="36" spans="1:9" ht="16.5" customHeight="1" x14ac:dyDescent="0.2">
      <c r="A36" s="26" t="s">
        <v>3313</v>
      </c>
      <c r="B36" s="26" t="s">
        <v>3314</v>
      </c>
      <c r="C36" s="26" t="s">
        <v>115</v>
      </c>
      <c r="D36" s="26" t="s">
        <v>122</v>
      </c>
      <c r="E36" s="26" t="s">
        <v>39</v>
      </c>
      <c r="F36" s="31" t="s">
        <v>11</v>
      </c>
      <c r="G36" s="31" t="s">
        <v>61</v>
      </c>
      <c r="H36" s="32"/>
      <c r="I36" s="32" t="s">
        <v>40</v>
      </c>
    </row>
    <row r="37" spans="1:9" ht="16.5" customHeight="1" x14ac:dyDescent="0.2">
      <c r="A37" s="26" t="s">
        <v>3313</v>
      </c>
      <c r="B37" s="26" t="s">
        <v>3314</v>
      </c>
      <c r="C37" s="26" t="s">
        <v>115</v>
      </c>
      <c r="D37" s="26" t="s">
        <v>122</v>
      </c>
      <c r="E37" s="26" t="s">
        <v>39</v>
      </c>
      <c r="F37" s="31" t="s">
        <v>11</v>
      </c>
      <c r="G37" s="31" t="s">
        <v>61</v>
      </c>
      <c r="H37" s="32"/>
      <c r="I37" s="32" t="s">
        <v>40</v>
      </c>
    </row>
    <row r="38" spans="1:9" ht="16.5" customHeight="1" x14ac:dyDescent="0.2">
      <c r="A38" s="26" t="s">
        <v>3313</v>
      </c>
      <c r="B38" s="26" t="s">
        <v>3314</v>
      </c>
      <c r="C38" s="26" t="s">
        <v>115</v>
      </c>
      <c r="D38" s="26" t="s">
        <v>122</v>
      </c>
      <c r="E38" s="26" t="s">
        <v>39</v>
      </c>
      <c r="F38" s="31" t="s">
        <v>11</v>
      </c>
      <c r="G38" s="31" t="s">
        <v>61</v>
      </c>
      <c r="H38" s="32"/>
      <c r="I38" s="32" t="s">
        <v>40</v>
      </c>
    </row>
    <row r="39" spans="1:9" ht="16.5" customHeight="1" x14ac:dyDescent="0.2">
      <c r="A39" s="26" t="s">
        <v>3313</v>
      </c>
      <c r="B39" s="26" t="s">
        <v>3314</v>
      </c>
      <c r="C39" s="26" t="s">
        <v>115</v>
      </c>
      <c r="D39" s="26" t="s">
        <v>122</v>
      </c>
      <c r="E39" s="26" t="s">
        <v>39</v>
      </c>
      <c r="F39" s="31" t="s">
        <v>11</v>
      </c>
      <c r="G39" s="31" t="s">
        <v>61</v>
      </c>
      <c r="H39" s="32"/>
      <c r="I39" s="32" t="s">
        <v>40</v>
      </c>
    </row>
    <row r="40" spans="1:9" ht="16.5" customHeight="1" x14ac:dyDescent="0.2">
      <c r="A40" s="26" t="s">
        <v>3313</v>
      </c>
      <c r="B40" s="26" t="s">
        <v>3314</v>
      </c>
      <c r="C40" s="26" t="s">
        <v>115</v>
      </c>
      <c r="D40" s="26" t="s">
        <v>122</v>
      </c>
      <c r="E40" s="26" t="s">
        <v>39</v>
      </c>
      <c r="F40" s="31" t="s">
        <v>11</v>
      </c>
      <c r="G40" s="31" t="s">
        <v>61</v>
      </c>
      <c r="H40" s="32"/>
      <c r="I40" s="32" t="s">
        <v>40</v>
      </c>
    </row>
    <row r="41" spans="1:9" ht="16.5" customHeight="1" x14ac:dyDescent="0.2">
      <c r="A41" s="27" t="s">
        <v>3313</v>
      </c>
      <c r="B41" s="26" t="s">
        <v>3314</v>
      </c>
      <c r="C41" s="26" t="s">
        <v>115</v>
      </c>
      <c r="D41" s="26" t="s">
        <v>122</v>
      </c>
      <c r="E41" s="27" t="s">
        <v>39</v>
      </c>
      <c r="F41" s="31" t="s">
        <v>11</v>
      </c>
      <c r="G41" s="31" t="s">
        <v>61</v>
      </c>
      <c r="H41" s="32"/>
      <c r="I41" s="32" t="s">
        <v>40</v>
      </c>
    </row>
    <row r="42" spans="1:9" ht="16.5" customHeight="1" x14ac:dyDescent="0.2">
      <c r="A42" s="26" t="s">
        <v>3313</v>
      </c>
      <c r="B42" s="26" t="s">
        <v>3314</v>
      </c>
      <c r="C42" s="26" t="s">
        <v>115</v>
      </c>
      <c r="D42" s="26" t="s">
        <v>122</v>
      </c>
      <c r="E42" s="26" t="s">
        <v>39</v>
      </c>
      <c r="F42" s="31" t="s">
        <v>11</v>
      </c>
      <c r="G42" s="31" t="s">
        <v>61</v>
      </c>
      <c r="H42" s="31"/>
      <c r="I42" s="32" t="s">
        <v>40</v>
      </c>
    </row>
    <row r="43" spans="1:9" ht="16.5" customHeight="1" x14ac:dyDescent="0.2">
      <c r="A43" s="26" t="s">
        <v>3315</v>
      </c>
      <c r="B43" s="26" t="s">
        <v>3316</v>
      </c>
      <c r="C43" s="26" t="s">
        <v>64</v>
      </c>
      <c r="D43" s="26" t="s">
        <v>82</v>
      </c>
      <c r="E43" s="26" t="s">
        <v>39</v>
      </c>
      <c r="F43" s="31" t="s">
        <v>18</v>
      </c>
      <c r="G43" s="31" t="s">
        <v>61</v>
      </c>
      <c r="H43" s="31"/>
      <c r="I43" s="32" t="s">
        <v>40</v>
      </c>
    </row>
    <row r="44" spans="1:9" ht="16.5" customHeight="1" x14ac:dyDescent="0.2">
      <c r="A44" s="26" t="s">
        <v>3315</v>
      </c>
      <c r="B44" s="26" t="s">
        <v>3316</v>
      </c>
      <c r="C44" s="26" t="s">
        <v>64</v>
      </c>
      <c r="D44" s="26" t="s">
        <v>82</v>
      </c>
      <c r="E44" s="26" t="s">
        <v>39</v>
      </c>
      <c r="F44" s="31" t="s">
        <v>18</v>
      </c>
      <c r="G44" s="31" t="s">
        <v>61</v>
      </c>
      <c r="H44" s="31"/>
      <c r="I44" s="32" t="s">
        <v>40</v>
      </c>
    </row>
    <row r="45" spans="1:9" ht="16.5" customHeight="1" x14ac:dyDescent="0.2">
      <c r="A45" s="35" t="s">
        <v>3317</v>
      </c>
      <c r="B45" s="35" t="s">
        <v>3318</v>
      </c>
      <c r="C45" s="35" t="s">
        <v>115</v>
      </c>
      <c r="D45" s="35" t="s">
        <v>116</v>
      </c>
      <c r="E45" s="35" t="s">
        <v>39</v>
      </c>
      <c r="F45" s="52" t="s">
        <v>18</v>
      </c>
      <c r="G45" s="52" t="s">
        <v>61</v>
      </c>
      <c r="I45" s="32" t="s">
        <v>40</v>
      </c>
    </row>
    <row r="46" spans="1:9" ht="16.5" customHeight="1" x14ac:dyDescent="0.2">
      <c r="A46" s="35" t="s">
        <v>3317</v>
      </c>
      <c r="B46" s="35" t="s">
        <v>3318</v>
      </c>
      <c r="C46" s="35" t="s">
        <v>115</v>
      </c>
      <c r="D46" s="35" t="s">
        <v>116</v>
      </c>
      <c r="E46" s="35" t="s">
        <v>39</v>
      </c>
      <c r="F46" s="52" t="s">
        <v>18</v>
      </c>
      <c r="G46" s="52" t="s">
        <v>61</v>
      </c>
      <c r="I46" s="32" t="s">
        <v>40</v>
      </c>
    </row>
    <row r="47" spans="1:9" ht="16.5" customHeight="1" x14ac:dyDescent="0.2">
      <c r="A47" s="35" t="s">
        <v>3317</v>
      </c>
      <c r="B47" s="35" t="s">
        <v>3318</v>
      </c>
      <c r="C47" s="35" t="s">
        <v>115</v>
      </c>
      <c r="D47" s="35" t="s">
        <v>116</v>
      </c>
      <c r="E47" s="35" t="s">
        <v>39</v>
      </c>
      <c r="F47" s="52" t="s">
        <v>18</v>
      </c>
      <c r="G47" s="52" t="s">
        <v>61</v>
      </c>
      <c r="I47" s="32" t="s">
        <v>40</v>
      </c>
    </row>
    <row r="48" spans="1:9" ht="16.5" customHeight="1" x14ac:dyDescent="0.2">
      <c r="A48" s="35" t="s">
        <v>3319</v>
      </c>
      <c r="B48" s="35" t="s">
        <v>3320</v>
      </c>
      <c r="C48" s="35" t="s">
        <v>115</v>
      </c>
      <c r="D48" s="35" t="s">
        <v>116</v>
      </c>
      <c r="E48" s="35" t="s">
        <v>39</v>
      </c>
      <c r="F48" s="52" t="s">
        <v>18</v>
      </c>
      <c r="G48" s="52" t="s">
        <v>61</v>
      </c>
      <c r="I48" s="32" t="s">
        <v>40</v>
      </c>
    </row>
    <row r="49" spans="1:9" ht="16.5" customHeight="1" x14ac:dyDescent="0.2">
      <c r="A49" s="35" t="s">
        <v>3319</v>
      </c>
      <c r="B49" s="35" t="s">
        <v>3320</v>
      </c>
      <c r="C49" s="35" t="s">
        <v>115</v>
      </c>
      <c r="D49" s="35" t="s">
        <v>116</v>
      </c>
      <c r="E49" s="35" t="s">
        <v>39</v>
      </c>
      <c r="F49" s="52" t="s">
        <v>18</v>
      </c>
      <c r="G49" s="52" t="s">
        <v>61</v>
      </c>
      <c r="I49" s="32" t="s">
        <v>40</v>
      </c>
    </row>
    <row r="50" spans="1:9" ht="16.5" customHeight="1" x14ac:dyDescent="0.2">
      <c r="A50" s="35" t="s">
        <v>3319</v>
      </c>
      <c r="B50" s="35" t="s">
        <v>3320</v>
      </c>
      <c r="C50" s="35" t="s">
        <v>115</v>
      </c>
      <c r="D50" s="35" t="s">
        <v>116</v>
      </c>
      <c r="E50" s="35" t="s">
        <v>39</v>
      </c>
      <c r="F50" s="52" t="s">
        <v>18</v>
      </c>
      <c r="G50" s="52" t="s">
        <v>61</v>
      </c>
      <c r="I50" s="32" t="s">
        <v>40</v>
      </c>
    </row>
    <row r="51" spans="1:9" ht="16.5" customHeight="1" x14ac:dyDescent="0.2">
      <c r="A51" s="35" t="s">
        <v>3319</v>
      </c>
      <c r="B51" s="35" t="s">
        <v>3320</v>
      </c>
      <c r="C51" s="35" t="s">
        <v>115</v>
      </c>
      <c r="D51" s="35" t="s">
        <v>116</v>
      </c>
      <c r="E51" s="35" t="s">
        <v>39</v>
      </c>
      <c r="F51" s="52" t="s">
        <v>18</v>
      </c>
      <c r="G51" s="52" t="s">
        <v>61</v>
      </c>
      <c r="I51" s="32" t="s">
        <v>40</v>
      </c>
    </row>
    <row r="52" spans="1:9" ht="16.5" customHeight="1" x14ac:dyDescent="0.2">
      <c r="A52" s="26" t="s">
        <v>3321</v>
      </c>
      <c r="B52" s="26" t="s">
        <v>3322</v>
      </c>
      <c r="C52" s="26" t="s">
        <v>98</v>
      </c>
      <c r="D52" s="26" t="s">
        <v>99</v>
      </c>
      <c r="E52" s="26" t="s">
        <v>39</v>
      </c>
      <c r="F52" s="47" t="s">
        <v>18</v>
      </c>
      <c r="G52" s="47" t="s">
        <v>61</v>
      </c>
      <c r="H52" s="31"/>
      <c r="I52" s="32" t="s">
        <v>40</v>
      </c>
    </row>
    <row r="53" spans="1:9" ht="16.5" customHeight="1" x14ac:dyDescent="0.2">
      <c r="A53" s="35" t="s">
        <v>3323</v>
      </c>
      <c r="B53" s="35" t="s">
        <v>3324</v>
      </c>
      <c r="C53" s="35" t="s">
        <v>98</v>
      </c>
      <c r="D53" s="35" t="s">
        <v>99</v>
      </c>
      <c r="E53" s="35" t="s">
        <v>39</v>
      </c>
      <c r="F53" s="31" t="s">
        <v>32</v>
      </c>
      <c r="G53" s="52" t="s">
        <v>72</v>
      </c>
      <c r="H53" s="30"/>
      <c r="I53" s="32" t="s">
        <v>40</v>
      </c>
    </row>
    <row r="54" spans="1:9" ht="16.5" customHeight="1" x14ac:dyDescent="0.2">
      <c r="A54" s="26" t="s">
        <v>3325</v>
      </c>
      <c r="B54" s="26" t="s">
        <v>3326</v>
      </c>
      <c r="C54" s="26" t="s">
        <v>7</v>
      </c>
      <c r="D54" s="26" t="s">
        <v>16</v>
      </c>
      <c r="E54" s="26" t="s">
        <v>39</v>
      </c>
      <c r="F54" s="31" t="s">
        <v>18</v>
      </c>
      <c r="G54" s="31" t="s">
        <v>41</v>
      </c>
      <c r="H54" s="31" t="s">
        <v>40</v>
      </c>
      <c r="I54" s="32" t="s">
        <v>40</v>
      </c>
    </row>
    <row r="55" spans="1:9" ht="16.5" customHeight="1" x14ac:dyDescent="0.2">
      <c r="A55" s="26" t="s">
        <v>3325</v>
      </c>
      <c r="B55" s="26" t="s">
        <v>3326</v>
      </c>
      <c r="C55" s="26" t="s">
        <v>7</v>
      </c>
      <c r="D55" s="26" t="s">
        <v>16</v>
      </c>
      <c r="E55" s="26" t="s">
        <v>39</v>
      </c>
      <c r="F55" s="31" t="s">
        <v>18</v>
      </c>
      <c r="G55" s="31" t="s">
        <v>41</v>
      </c>
      <c r="H55" s="31" t="s">
        <v>40</v>
      </c>
      <c r="I55" s="32" t="s">
        <v>40</v>
      </c>
    </row>
    <row r="56" spans="1:9" ht="16.5" customHeight="1" x14ac:dyDescent="0.25">
      <c r="A56" s="35" t="s">
        <v>3327</v>
      </c>
      <c r="B56" s="76" t="s">
        <v>3328</v>
      </c>
      <c r="C56" s="76" t="s">
        <v>64</v>
      </c>
      <c r="D56" s="35" t="s">
        <v>86</v>
      </c>
      <c r="E56" s="76" t="s">
        <v>39</v>
      </c>
      <c r="F56" s="76" t="s">
        <v>18</v>
      </c>
      <c r="G56" s="35" t="s">
        <v>61</v>
      </c>
      <c r="H56" s="95"/>
      <c r="I56" s="32" t="s">
        <v>40</v>
      </c>
    </row>
    <row r="57" spans="1:9" ht="16.5" customHeight="1" x14ac:dyDescent="0.2">
      <c r="A57" s="35" t="s">
        <v>3329</v>
      </c>
      <c r="B57" s="35" t="s">
        <v>5377</v>
      </c>
      <c r="C57" s="35" t="s">
        <v>64</v>
      </c>
      <c r="D57" s="35" t="s">
        <v>89</v>
      </c>
      <c r="E57" s="54" t="s">
        <v>39</v>
      </c>
      <c r="F57" s="31" t="s">
        <v>18</v>
      </c>
      <c r="G57" s="31" t="s">
        <v>41</v>
      </c>
      <c r="H57" s="32"/>
      <c r="I57" s="32" t="s">
        <v>40</v>
      </c>
    </row>
    <row r="58" spans="1:9" ht="16.5" customHeight="1" x14ac:dyDescent="0.2">
      <c r="A58" s="56" t="s">
        <v>3329</v>
      </c>
      <c r="B58" s="35" t="s">
        <v>5377</v>
      </c>
      <c r="C58" s="35" t="s">
        <v>64</v>
      </c>
      <c r="D58" s="35" t="s">
        <v>89</v>
      </c>
      <c r="E58" s="54" t="s">
        <v>39</v>
      </c>
      <c r="F58" s="31" t="s">
        <v>18</v>
      </c>
      <c r="G58" s="31" t="s">
        <v>41</v>
      </c>
      <c r="H58" s="32"/>
      <c r="I58" s="32" t="s">
        <v>40</v>
      </c>
    </row>
    <row r="59" spans="1:9" ht="16.5" customHeight="1" x14ac:dyDescent="0.2">
      <c r="A59" s="49" t="s">
        <v>3331</v>
      </c>
      <c r="B59" s="26" t="s">
        <v>3332</v>
      </c>
      <c r="C59" s="26" t="s">
        <v>115</v>
      </c>
      <c r="D59" s="27" t="s">
        <v>116</v>
      </c>
      <c r="E59" s="27" t="s">
        <v>39</v>
      </c>
      <c r="F59" s="31" t="s">
        <v>18</v>
      </c>
      <c r="G59" s="31" t="s">
        <v>61</v>
      </c>
      <c r="H59" s="31"/>
      <c r="I59" s="32" t="s">
        <v>40</v>
      </c>
    </row>
    <row r="60" spans="1:9" ht="16.5" customHeight="1" x14ac:dyDescent="0.2">
      <c r="A60" s="26" t="s">
        <v>3331</v>
      </c>
      <c r="B60" s="26" t="s">
        <v>3332</v>
      </c>
      <c r="C60" s="26" t="s">
        <v>115</v>
      </c>
      <c r="D60" s="27" t="s">
        <v>116</v>
      </c>
      <c r="E60" s="27" t="s">
        <v>39</v>
      </c>
      <c r="F60" s="31" t="s">
        <v>18</v>
      </c>
      <c r="G60" s="31" t="s">
        <v>61</v>
      </c>
      <c r="H60" s="31"/>
      <c r="I60" s="32" t="s">
        <v>40</v>
      </c>
    </row>
    <row r="61" spans="1:9" ht="16.5" customHeight="1" x14ac:dyDescent="0.2">
      <c r="A61" s="26" t="s">
        <v>3331</v>
      </c>
      <c r="B61" s="26" t="s">
        <v>3332</v>
      </c>
      <c r="C61" s="26" t="s">
        <v>115</v>
      </c>
      <c r="D61" s="27" t="s">
        <v>116</v>
      </c>
      <c r="E61" s="27" t="s">
        <v>39</v>
      </c>
      <c r="F61" s="31" t="s">
        <v>18</v>
      </c>
      <c r="G61" s="31" t="s">
        <v>61</v>
      </c>
      <c r="H61" s="31"/>
      <c r="I61" s="32" t="s">
        <v>40</v>
      </c>
    </row>
    <row r="62" spans="1:9" ht="16.5" customHeight="1" x14ac:dyDescent="0.2">
      <c r="A62" s="26" t="s">
        <v>3331</v>
      </c>
      <c r="B62" s="26" t="s">
        <v>3332</v>
      </c>
      <c r="C62" s="26" t="s">
        <v>115</v>
      </c>
      <c r="D62" s="27" t="s">
        <v>116</v>
      </c>
      <c r="E62" s="27" t="s">
        <v>39</v>
      </c>
      <c r="F62" s="31" t="s">
        <v>18</v>
      </c>
      <c r="G62" s="31" t="s">
        <v>61</v>
      </c>
      <c r="H62" s="31"/>
      <c r="I62" s="32" t="s">
        <v>40</v>
      </c>
    </row>
    <row r="63" spans="1:9" ht="16.5" customHeight="1" x14ac:dyDescent="0.2">
      <c r="A63" s="26" t="s">
        <v>3331</v>
      </c>
      <c r="B63" s="26" t="s">
        <v>3332</v>
      </c>
      <c r="C63" s="26" t="s">
        <v>115</v>
      </c>
      <c r="D63" s="27" t="s">
        <v>116</v>
      </c>
      <c r="E63" s="27" t="s">
        <v>39</v>
      </c>
      <c r="F63" s="31" t="s">
        <v>18</v>
      </c>
      <c r="G63" s="31" t="s">
        <v>61</v>
      </c>
      <c r="H63" s="31"/>
      <c r="I63" s="32" t="s">
        <v>40</v>
      </c>
    </row>
    <row r="64" spans="1:9" ht="16.5" customHeight="1" x14ac:dyDescent="0.2">
      <c r="A64" s="26" t="s">
        <v>3331</v>
      </c>
      <c r="B64" s="26" t="s">
        <v>3332</v>
      </c>
      <c r="C64" s="26" t="s">
        <v>115</v>
      </c>
      <c r="D64" s="27" t="s">
        <v>116</v>
      </c>
      <c r="E64" s="27" t="s">
        <v>39</v>
      </c>
      <c r="F64" s="31" t="s">
        <v>18</v>
      </c>
      <c r="G64" s="31" t="s">
        <v>61</v>
      </c>
      <c r="H64" s="31"/>
      <c r="I64" s="32" t="s">
        <v>40</v>
      </c>
    </row>
    <row r="65" spans="1:9" ht="16.5" customHeight="1" x14ac:dyDescent="0.2">
      <c r="A65" s="26" t="s">
        <v>3331</v>
      </c>
      <c r="B65" s="26" t="s">
        <v>3332</v>
      </c>
      <c r="C65" s="26" t="s">
        <v>115</v>
      </c>
      <c r="D65" s="27" t="s">
        <v>116</v>
      </c>
      <c r="E65" s="27" t="s">
        <v>39</v>
      </c>
      <c r="F65" s="31" t="s">
        <v>18</v>
      </c>
      <c r="G65" s="31" t="s">
        <v>61</v>
      </c>
      <c r="H65" s="31"/>
      <c r="I65" s="32" t="s">
        <v>40</v>
      </c>
    </row>
    <row r="66" spans="1:9" ht="16.5" customHeight="1" x14ac:dyDescent="0.2">
      <c r="A66" s="26" t="s">
        <v>3333</v>
      </c>
      <c r="B66" s="26" t="s">
        <v>3334</v>
      </c>
      <c r="C66" s="66" t="s">
        <v>37</v>
      </c>
      <c r="D66" s="27" t="s">
        <v>38</v>
      </c>
      <c r="E66" s="26" t="s">
        <v>39</v>
      </c>
      <c r="F66" s="31" t="s">
        <v>18</v>
      </c>
      <c r="G66" s="31" t="s">
        <v>61</v>
      </c>
      <c r="H66" s="32"/>
      <c r="I66" s="32" t="s">
        <v>40</v>
      </c>
    </row>
    <row r="67" spans="1:9" ht="16.5" customHeight="1" x14ac:dyDescent="0.2">
      <c r="A67" s="35" t="s">
        <v>3335</v>
      </c>
      <c r="B67" s="35" t="s">
        <v>3336</v>
      </c>
      <c r="C67" s="35" t="s">
        <v>64</v>
      </c>
      <c r="D67" s="35" t="s">
        <v>65</v>
      </c>
      <c r="E67" s="35" t="s">
        <v>39</v>
      </c>
      <c r="F67" s="30" t="s">
        <v>18</v>
      </c>
      <c r="G67" s="31" t="s">
        <v>61</v>
      </c>
      <c r="H67" s="32"/>
      <c r="I67" s="32" t="s">
        <v>40</v>
      </c>
    </row>
    <row r="68" spans="1:9" ht="16.5" customHeight="1" x14ac:dyDescent="0.2">
      <c r="A68" s="35" t="s">
        <v>3335</v>
      </c>
      <c r="B68" s="35" t="s">
        <v>3336</v>
      </c>
      <c r="C68" s="35" t="s">
        <v>64</v>
      </c>
      <c r="D68" s="35" t="s">
        <v>65</v>
      </c>
      <c r="E68" s="35" t="s">
        <v>39</v>
      </c>
      <c r="F68" s="30" t="s">
        <v>18</v>
      </c>
      <c r="G68" s="31" t="s">
        <v>61</v>
      </c>
      <c r="H68" s="32"/>
      <c r="I68" s="32" t="s">
        <v>40</v>
      </c>
    </row>
    <row r="69" spans="1:9" ht="16.5" customHeight="1" x14ac:dyDescent="0.25">
      <c r="A69" s="76" t="s">
        <v>3337</v>
      </c>
      <c r="B69" s="76" t="s">
        <v>3338</v>
      </c>
      <c r="C69" s="26" t="s">
        <v>64</v>
      </c>
      <c r="D69" s="26" t="s">
        <v>92</v>
      </c>
      <c r="E69" s="26" t="s">
        <v>39</v>
      </c>
      <c r="F69" s="31" t="s">
        <v>11</v>
      </c>
      <c r="G69" s="31" t="s">
        <v>72</v>
      </c>
      <c r="H69" s="32"/>
      <c r="I69" s="32" t="s">
        <v>40</v>
      </c>
    </row>
    <row r="70" spans="1:9" ht="16.5" customHeight="1" x14ac:dyDescent="0.25">
      <c r="A70" s="76" t="s">
        <v>3337</v>
      </c>
      <c r="B70" s="76" t="s">
        <v>3338</v>
      </c>
      <c r="C70" s="26" t="s">
        <v>64</v>
      </c>
      <c r="D70" s="26" t="s">
        <v>92</v>
      </c>
      <c r="E70" s="26" t="s">
        <v>39</v>
      </c>
      <c r="F70" s="31" t="s">
        <v>11</v>
      </c>
      <c r="G70" s="31" t="s">
        <v>72</v>
      </c>
      <c r="H70" s="32"/>
      <c r="I70" s="32" t="s">
        <v>40</v>
      </c>
    </row>
    <row r="71" spans="1:9" ht="16.5" customHeight="1" x14ac:dyDescent="0.25">
      <c r="A71" s="35" t="s">
        <v>3339</v>
      </c>
      <c r="B71" s="76" t="s">
        <v>3340</v>
      </c>
      <c r="C71" s="76" t="s">
        <v>64</v>
      </c>
      <c r="D71" s="35" t="s">
        <v>86</v>
      </c>
      <c r="E71" s="76" t="s">
        <v>39</v>
      </c>
      <c r="F71" s="76" t="s">
        <v>18</v>
      </c>
      <c r="G71" s="31" t="s">
        <v>19</v>
      </c>
      <c r="H71" s="95"/>
      <c r="I71" s="32" t="s">
        <v>40</v>
      </c>
    </row>
    <row r="72" spans="1:9" ht="16.5" customHeight="1" x14ac:dyDescent="0.2">
      <c r="A72" s="26" t="s">
        <v>3341</v>
      </c>
      <c r="B72" s="26" t="s">
        <v>3342</v>
      </c>
      <c r="C72" s="26" t="s">
        <v>115</v>
      </c>
      <c r="D72" s="27" t="s">
        <v>116</v>
      </c>
      <c r="E72" s="27" t="s">
        <v>39</v>
      </c>
      <c r="F72" s="31" t="s">
        <v>18</v>
      </c>
      <c r="G72" s="31" t="s">
        <v>61</v>
      </c>
      <c r="H72" s="31"/>
      <c r="I72" s="32" t="s">
        <v>40</v>
      </c>
    </row>
    <row r="73" spans="1:9" ht="16.5" customHeight="1" x14ac:dyDescent="0.2">
      <c r="A73" s="26" t="s">
        <v>3341</v>
      </c>
      <c r="B73" s="26" t="s">
        <v>3342</v>
      </c>
      <c r="C73" s="26" t="s">
        <v>115</v>
      </c>
      <c r="D73" s="27" t="s">
        <v>116</v>
      </c>
      <c r="E73" s="27" t="s">
        <v>39</v>
      </c>
      <c r="F73" s="31" t="s">
        <v>18</v>
      </c>
      <c r="G73" s="31" t="s">
        <v>61</v>
      </c>
      <c r="H73" s="31"/>
      <c r="I73" s="32" t="s">
        <v>40</v>
      </c>
    </row>
    <row r="74" spans="1:9" ht="16.5" customHeight="1" x14ac:dyDescent="0.2">
      <c r="A74" s="26" t="s">
        <v>3341</v>
      </c>
      <c r="B74" s="26" t="s">
        <v>3342</v>
      </c>
      <c r="C74" s="26" t="s">
        <v>115</v>
      </c>
      <c r="D74" s="27" t="s">
        <v>116</v>
      </c>
      <c r="E74" s="27" t="s">
        <v>39</v>
      </c>
      <c r="F74" s="31" t="s">
        <v>18</v>
      </c>
      <c r="G74" s="31" t="s">
        <v>61</v>
      </c>
      <c r="H74" s="31"/>
      <c r="I74" s="32" t="s">
        <v>40</v>
      </c>
    </row>
    <row r="75" spans="1:9" ht="16.5" customHeight="1" x14ac:dyDescent="0.2">
      <c r="A75" s="26" t="s">
        <v>3341</v>
      </c>
      <c r="B75" s="26" t="s">
        <v>3342</v>
      </c>
      <c r="C75" s="26" t="s">
        <v>115</v>
      </c>
      <c r="D75" s="27" t="s">
        <v>116</v>
      </c>
      <c r="E75" s="27" t="s">
        <v>39</v>
      </c>
      <c r="F75" s="31" t="s">
        <v>18</v>
      </c>
      <c r="G75" s="31" t="s">
        <v>61</v>
      </c>
      <c r="H75" s="31"/>
      <c r="I75" s="32" t="s">
        <v>40</v>
      </c>
    </row>
    <row r="76" spans="1:9" ht="16.5" customHeight="1" x14ac:dyDescent="0.2">
      <c r="A76" s="26" t="s">
        <v>3341</v>
      </c>
      <c r="B76" s="26" t="s">
        <v>3342</v>
      </c>
      <c r="C76" s="26" t="s">
        <v>115</v>
      </c>
      <c r="D76" s="27" t="s">
        <v>116</v>
      </c>
      <c r="E76" s="27" t="s">
        <v>39</v>
      </c>
      <c r="F76" s="31" t="s">
        <v>18</v>
      </c>
      <c r="G76" s="31" t="s">
        <v>61</v>
      </c>
      <c r="H76" s="31"/>
      <c r="I76" s="32" t="s">
        <v>40</v>
      </c>
    </row>
    <row r="77" spans="1:9" ht="16.5" customHeight="1" x14ac:dyDescent="0.2">
      <c r="A77" s="26" t="s">
        <v>3341</v>
      </c>
      <c r="B77" s="26" t="s">
        <v>3342</v>
      </c>
      <c r="C77" s="26" t="s">
        <v>115</v>
      </c>
      <c r="D77" s="27" t="s">
        <v>116</v>
      </c>
      <c r="E77" s="27" t="s">
        <v>39</v>
      </c>
      <c r="F77" s="31" t="s">
        <v>18</v>
      </c>
      <c r="G77" s="31" t="s">
        <v>61</v>
      </c>
      <c r="H77" s="31"/>
      <c r="I77" s="32" t="s">
        <v>40</v>
      </c>
    </row>
    <row r="78" spans="1:9" ht="16.5" customHeight="1" x14ac:dyDescent="0.2">
      <c r="A78" s="25" t="s">
        <v>3343</v>
      </c>
      <c r="B78" s="35" t="s">
        <v>3344</v>
      </c>
      <c r="C78" s="27" t="s">
        <v>98</v>
      </c>
      <c r="D78" s="27" t="s">
        <v>102</v>
      </c>
      <c r="E78" s="26" t="s">
        <v>39</v>
      </c>
      <c r="F78" s="31" t="s">
        <v>11</v>
      </c>
      <c r="G78" s="31" t="s">
        <v>41</v>
      </c>
      <c r="H78" s="32"/>
      <c r="I78" s="32" t="s">
        <v>40</v>
      </c>
    </row>
    <row r="79" spans="1:9" ht="16.5" customHeight="1" x14ac:dyDescent="0.2">
      <c r="A79" s="26" t="s">
        <v>3345</v>
      </c>
      <c r="B79" s="26" t="s">
        <v>3346</v>
      </c>
      <c r="C79" s="26" t="s">
        <v>64</v>
      </c>
      <c r="D79" s="26" t="s">
        <v>82</v>
      </c>
      <c r="E79" s="26" t="s">
        <v>39</v>
      </c>
      <c r="F79" s="31" t="s">
        <v>18</v>
      </c>
      <c r="G79" s="31" t="s">
        <v>41</v>
      </c>
      <c r="H79" s="31"/>
      <c r="I79" s="32" t="s">
        <v>40</v>
      </c>
    </row>
    <row r="80" spans="1:9" ht="16.5" customHeight="1" x14ac:dyDescent="0.2">
      <c r="A80" s="35" t="s">
        <v>3347</v>
      </c>
      <c r="B80" s="35" t="s">
        <v>3348</v>
      </c>
      <c r="C80" s="35" t="s">
        <v>115</v>
      </c>
      <c r="D80" s="35" t="s">
        <v>116</v>
      </c>
      <c r="E80" s="35" t="s">
        <v>39</v>
      </c>
      <c r="F80" s="52" t="s">
        <v>18</v>
      </c>
      <c r="G80" s="52" t="s">
        <v>61</v>
      </c>
      <c r="I80" s="32" t="s">
        <v>40</v>
      </c>
    </row>
    <row r="81" spans="1:9" ht="16.5" customHeight="1" x14ac:dyDescent="0.2">
      <c r="A81" s="35" t="s">
        <v>3347</v>
      </c>
      <c r="B81" s="35" t="s">
        <v>3348</v>
      </c>
      <c r="C81" s="35" t="s">
        <v>115</v>
      </c>
      <c r="D81" s="35" t="s">
        <v>116</v>
      </c>
      <c r="E81" s="35" t="s">
        <v>39</v>
      </c>
      <c r="F81" s="52" t="s">
        <v>18</v>
      </c>
      <c r="G81" s="52" t="s">
        <v>61</v>
      </c>
      <c r="I81" s="32" t="s">
        <v>40</v>
      </c>
    </row>
    <row r="82" spans="1:9" ht="16.5" customHeight="1" x14ac:dyDescent="0.2">
      <c r="A82" s="35" t="s">
        <v>3349</v>
      </c>
      <c r="B82" s="35" t="s">
        <v>3350</v>
      </c>
      <c r="C82" s="35" t="s">
        <v>115</v>
      </c>
      <c r="D82" s="35" t="s">
        <v>119</v>
      </c>
      <c r="E82" s="35" t="s">
        <v>39</v>
      </c>
      <c r="F82" s="52" t="s">
        <v>18</v>
      </c>
      <c r="G82" s="30" t="s">
        <v>61</v>
      </c>
      <c r="H82" s="30"/>
      <c r="I82" s="32" t="s">
        <v>40</v>
      </c>
    </row>
    <row r="83" spans="1:9" ht="16.5" customHeight="1" x14ac:dyDescent="0.2">
      <c r="A83" s="35" t="s">
        <v>3351</v>
      </c>
      <c r="B83" s="54" t="s">
        <v>5548</v>
      </c>
      <c r="C83" s="35" t="s">
        <v>115</v>
      </c>
      <c r="D83" s="35" t="s">
        <v>131</v>
      </c>
      <c r="E83" s="35" t="s">
        <v>39</v>
      </c>
      <c r="F83" s="30" t="s">
        <v>18</v>
      </c>
      <c r="G83" s="31" t="s">
        <v>72</v>
      </c>
      <c r="H83" s="55" t="s">
        <v>3353</v>
      </c>
      <c r="I83" s="32" t="s">
        <v>40</v>
      </c>
    </row>
    <row r="84" spans="1:9" ht="16.5" customHeight="1" x14ac:dyDescent="0.2">
      <c r="A84" s="35" t="s">
        <v>3351</v>
      </c>
      <c r="B84" s="54" t="s">
        <v>5548</v>
      </c>
      <c r="C84" s="35" t="s">
        <v>115</v>
      </c>
      <c r="D84" s="35" t="s">
        <v>131</v>
      </c>
      <c r="E84" s="35" t="s">
        <v>39</v>
      </c>
      <c r="F84" s="30" t="s">
        <v>18</v>
      </c>
      <c r="G84" s="31" t="s">
        <v>72</v>
      </c>
      <c r="H84" s="55" t="s">
        <v>5549</v>
      </c>
      <c r="I84" s="32" t="s">
        <v>40</v>
      </c>
    </row>
    <row r="85" spans="1:9" ht="16.5" customHeight="1" x14ac:dyDescent="0.2">
      <c r="A85" s="35" t="s">
        <v>3351</v>
      </c>
      <c r="B85" s="54" t="s">
        <v>5548</v>
      </c>
      <c r="C85" s="35" t="s">
        <v>115</v>
      </c>
      <c r="D85" s="35" t="s">
        <v>131</v>
      </c>
      <c r="E85" s="35" t="s">
        <v>39</v>
      </c>
      <c r="F85" s="30" t="s">
        <v>18</v>
      </c>
      <c r="G85" s="31" t="s">
        <v>72</v>
      </c>
      <c r="H85" s="55" t="s">
        <v>5550</v>
      </c>
      <c r="I85" s="32" t="s">
        <v>40</v>
      </c>
    </row>
    <row r="86" spans="1:9" ht="16.5" customHeight="1" x14ac:dyDescent="0.2">
      <c r="A86" s="35" t="s">
        <v>3351</v>
      </c>
      <c r="B86" s="54" t="s">
        <v>5548</v>
      </c>
      <c r="C86" s="35" t="s">
        <v>115</v>
      </c>
      <c r="D86" s="35" t="s">
        <v>131</v>
      </c>
      <c r="E86" s="35" t="s">
        <v>39</v>
      </c>
      <c r="F86" s="30" t="s">
        <v>18</v>
      </c>
      <c r="G86" s="31" t="s">
        <v>72</v>
      </c>
      <c r="H86" s="55" t="s">
        <v>5546</v>
      </c>
      <c r="I86" s="32" t="s">
        <v>40</v>
      </c>
    </row>
    <row r="87" spans="1:9" ht="16.5" customHeight="1" x14ac:dyDescent="0.2">
      <c r="A87" s="26" t="s">
        <v>3354</v>
      </c>
      <c r="B87" s="26" t="s">
        <v>3355</v>
      </c>
      <c r="C87" s="26" t="s">
        <v>115</v>
      </c>
      <c r="D87" s="26" t="s">
        <v>122</v>
      </c>
      <c r="E87" s="26" t="s">
        <v>39</v>
      </c>
      <c r="F87" s="31" t="s">
        <v>18</v>
      </c>
      <c r="G87" s="31" t="s">
        <v>61</v>
      </c>
      <c r="H87" s="31"/>
      <c r="I87" s="32" t="s">
        <v>40</v>
      </c>
    </row>
    <row r="88" spans="1:9" ht="16.5" customHeight="1" x14ac:dyDescent="0.2">
      <c r="A88" s="26" t="s">
        <v>3354</v>
      </c>
      <c r="B88" s="26" t="s">
        <v>3355</v>
      </c>
      <c r="C88" s="26" t="s">
        <v>115</v>
      </c>
      <c r="D88" s="26" t="s">
        <v>122</v>
      </c>
      <c r="E88" s="26" t="s">
        <v>39</v>
      </c>
      <c r="F88" s="31" t="s">
        <v>18</v>
      </c>
      <c r="G88" s="31" t="s">
        <v>61</v>
      </c>
      <c r="H88" s="31"/>
      <c r="I88" s="32" t="s">
        <v>40</v>
      </c>
    </row>
    <row r="89" spans="1:9" ht="16.5" customHeight="1" x14ac:dyDescent="0.2">
      <c r="A89" s="26" t="s">
        <v>3356</v>
      </c>
      <c r="B89" s="26" t="s">
        <v>3357</v>
      </c>
      <c r="C89" s="26" t="s">
        <v>115</v>
      </c>
      <c r="D89" s="27" t="s">
        <v>116</v>
      </c>
      <c r="E89" s="27" t="s">
        <v>39</v>
      </c>
      <c r="F89" s="31" t="s">
        <v>18</v>
      </c>
      <c r="G89" s="31" t="s">
        <v>61</v>
      </c>
      <c r="H89" s="31"/>
      <c r="I89" s="32" t="s">
        <v>40</v>
      </c>
    </row>
    <row r="90" spans="1:9" ht="16.5" customHeight="1" x14ac:dyDescent="0.2">
      <c r="A90" s="26" t="s">
        <v>3356</v>
      </c>
      <c r="B90" s="26" t="s">
        <v>3357</v>
      </c>
      <c r="C90" s="26" t="s">
        <v>115</v>
      </c>
      <c r="D90" s="27" t="s">
        <v>116</v>
      </c>
      <c r="E90" s="27" t="s">
        <v>39</v>
      </c>
      <c r="F90" s="31" t="s">
        <v>18</v>
      </c>
      <c r="G90" s="31" t="s">
        <v>61</v>
      </c>
      <c r="H90" s="31"/>
      <c r="I90" s="32" t="s">
        <v>40</v>
      </c>
    </row>
    <row r="91" spans="1:9" ht="16.5" customHeight="1" x14ac:dyDescent="0.2">
      <c r="A91" s="26" t="s">
        <v>3356</v>
      </c>
      <c r="B91" s="26" t="s">
        <v>3357</v>
      </c>
      <c r="C91" s="26" t="s">
        <v>115</v>
      </c>
      <c r="D91" s="27" t="s">
        <v>116</v>
      </c>
      <c r="E91" s="27" t="s">
        <v>39</v>
      </c>
      <c r="F91" s="31" t="s">
        <v>18</v>
      </c>
      <c r="G91" s="31" t="s">
        <v>61</v>
      </c>
      <c r="H91" s="31"/>
      <c r="I91" s="32" t="s">
        <v>40</v>
      </c>
    </row>
    <row r="92" spans="1:9" ht="16.5" customHeight="1" x14ac:dyDescent="0.2">
      <c r="A92" s="26" t="s">
        <v>3358</v>
      </c>
      <c r="B92" s="26" t="s">
        <v>3359</v>
      </c>
      <c r="C92" s="26" t="s">
        <v>98</v>
      </c>
      <c r="D92" s="26" t="s">
        <v>99</v>
      </c>
      <c r="E92" s="26" t="s">
        <v>39</v>
      </c>
      <c r="F92" s="31" t="s">
        <v>11</v>
      </c>
      <c r="G92" s="47" t="s">
        <v>19</v>
      </c>
      <c r="H92" s="51"/>
      <c r="I92" s="32" t="s">
        <v>40</v>
      </c>
    </row>
    <row r="93" spans="1:9" ht="16.5" customHeight="1" x14ac:dyDescent="0.2">
      <c r="A93" s="26" t="s">
        <v>3360</v>
      </c>
      <c r="B93" s="26" t="s">
        <v>3361</v>
      </c>
      <c r="C93" s="26" t="s">
        <v>115</v>
      </c>
      <c r="D93" s="26" t="s">
        <v>122</v>
      </c>
      <c r="E93" s="26" t="s">
        <v>39</v>
      </c>
      <c r="F93" s="31" t="s">
        <v>18</v>
      </c>
      <c r="G93" s="31" t="s">
        <v>72</v>
      </c>
      <c r="H93" s="32"/>
      <c r="I93" s="32" t="s">
        <v>40</v>
      </c>
    </row>
    <row r="94" spans="1:9" ht="16.5" customHeight="1" x14ac:dyDescent="0.2">
      <c r="A94" s="26" t="s">
        <v>3360</v>
      </c>
      <c r="B94" s="26" t="s">
        <v>3361</v>
      </c>
      <c r="C94" s="26" t="s">
        <v>115</v>
      </c>
      <c r="D94" s="26" t="s">
        <v>122</v>
      </c>
      <c r="E94" s="26" t="s">
        <v>39</v>
      </c>
      <c r="F94" s="31" t="s">
        <v>18</v>
      </c>
      <c r="G94" s="31" t="s">
        <v>72</v>
      </c>
      <c r="H94" s="32"/>
      <c r="I94" s="32" t="s">
        <v>40</v>
      </c>
    </row>
    <row r="95" spans="1:9" ht="16.5" customHeight="1" x14ac:dyDescent="0.2">
      <c r="A95" s="35" t="s">
        <v>3362</v>
      </c>
      <c r="B95" s="35" t="s">
        <v>3363</v>
      </c>
      <c r="C95" s="35" t="s">
        <v>7</v>
      </c>
      <c r="D95" s="35" t="s">
        <v>8</v>
      </c>
      <c r="E95" s="35" t="s">
        <v>39</v>
      </c>
      <c r="F95" s="52" t="s">
        <v>18</v>
      </c>
      <c r="G95" s="30" t="s">
        <v>61</v>
      </c>
      <c r="H95" s="55"/>
      <c r="I95" s="32" t="s">
        <v>40</v>
      </c>
    </row>
    <row r="96" spans="1:9" ht="16.5" customHeight="1" x14ac:dyDescent="0.2">
      <c r="A96" s="35" t="s">
        <v>3362</v>
      </c>
      <c r="B96" s="35" t="s">
        <v>3363</v>
      </c>
      <c r="C96" s="35" t="s">
        <v>7</v>
      </c>
      <c r="D96" s="35" t="s">
        <v>8</v>
      </c>
      <c r="E96" s="35" t="s">
        <v>39</v>
      </c>
      <c r="F96" s="52" t="s">
        <v>18</v>
      </c>
      <c r="G96" s="30" t="s">
        <v>61</v>
      </c>
      <c r="H96" s="55"/>
      <c r="I96" s="32" t="s">
        <v>40</v>
      </c>
    </row>
    <row r="97" spans="1:9" ht="16.5" customHeight="1" x14ac:dyDescent="0.2">
      <c r="A97" s="35" t="s">
        <v>3362</v>
      </c>
      <c r="B97" s="35" t="s">
        <v>3363</v>
      </c>
      <c r="C97" s="35" t="s">
        <v>7</v>
      </c>
      <c r="D97" s="35" t="s">
        <v>8</v>
      </c>
      <c r="E97" s="35" t="s">
        <v>39</v>
      </c>
      <c r="F97" s="52" t="s">
        <v>18</v>
      </c>
      <c r="G97" s="30" t="s">
        <v>61</v>
      </c>
      <c r="H97" s="55"/>
      <c r="I97" s="32" t="s">
        <v>40</v>
      </c>
    </row>
    <row r="98" spans="1:9" ht="16.5" customHeight="1" x14ac:dyDescent="0.2">
      <c r="A98" s="35" t="s">
        <v>3362</v>
      </c>
      <c r="B98" s="35" t="s">
        <v>3363</v>
      </c>
      <c r="C98" s="35" t="s">
        <v>7</v>
      </c>
      <c r="D98" s="35" t="s">
        <v>8</v>
      </c>
      <c r="E98" s="35" t="s">
        <v>39</v>
      </c>
      <c r="F98" s="52" t="s">
        <v>18</v>
      </c>
      <c r="G98" s="30" t="s">
        <v>61</v>
      </c>
      <c r="H98" s="55"/>
      <c r="I98" s="32" t="s">
        <v>40</v>
      </c>
    </row>
    <row r="99" spans="1:9" ht="16.5" customHeight="1" x14ac:dyDescent="0.2">
      <c r="A99" s="35" t="s">
        <v>3364</v>
      </c>
      <c r="B99" s="35" t="s">
        <v>3365</v>
      </c>
      <c r="C99" s="35" t="s">
        <v>115</v>
      </c>
      <c r="D99" s="35" t="s">
        <v>116</v>
      </c>
      <c r="E99" s="35" t="s">
        <v>39</v>
      </c>
      <c r="F99" s="52" t="s">
        <v>11</v>
      </c>
      <c r="G99" s="52" t="s">
        <v>61</v>
      </c>
      <c r="I99" s="32" t="s">
        <v>40</v>
      </c>
    </row>
    <row r="100" spans="1:9" ht="16.5" customHeight="1" x14ac:dyDescent="0.2">
      <c r="A100" s="35" t="s">
        <v>3364</v>
      </c>
      <c r="B100" s="35" t="s">
        <v>3365</v>
      </c>
      <c r="C100" s="35" t="s">
        <v>115</v>
      </c>
      <c r="D100" s="35" t="s">
        <v>116</v>
      </c>
      <c r="E100" s="35" t="s">
        <v>39</v>
      </c>
      <c r="F100" s="52" t="s">
        <v>11</v>
      </c>
      <c r="G100" s="52" t="s">
        <v>61</v>
      </c>
      <c r="I100" s="32" t="s">
        <v>40</v>
      </c>
    </row>
    <row r="101" spans="1:9" ht="16.5" customHeight="1" x14ac:dyDescent="0.2">
      <c r="A101" s="35" t="s">
        <v>3364</v>
      </c>
      <c r="B101" s="35" t="s">
        <v>3365</v>
      </c>
      <c r="C101" s="35" t="s">
        <v>115</v>
      </c>
      <c r="D101" s="35" t="s">
        <v>116</v>
      </c>
      <c r="E101" s="35" t="s">
        <v>39</v>
      </c>
      <c r="F101" s="52" t="s">
        <v>11</v>
      </c>
      <c r="G101" s="52" t="s">
        <v>61</v>
      </c>
      <c r="I101" s="32" t="s">
        <v>40</v>
      </c>
    </row>
    <row r="102" spans="1:9" ht="16.5" customHeight="1" x14ac:dyDescent="0.2">
      <c r="A102" s="35" t="s">
        <v>3364</v>
      </c>
      <c r="B102" s="35" t="s">
        <v>3365</v>
      </c>
      <c r="C102" s="35" t="s">
        <v>115</v>
      </c>
      <c r="D102" s="35" t="s">
        <v>116</v>
      </c>
      <c r="E102" s="35" t="s">
        <v>39</v>
      </c>
      <c r="F102" s="52" t="s">
        <v>11</v>
      </c>
      <c r="G102" s="52" t="s">
        <v>61</v>
      </c>
      <c r="I102" s="32" t="s">
        <v>40</v>
      </c>
    </row>
    <row r="103" spans="1:9" ht="16.5" customHeight="1" x14ac:dyDescent="0.2">
      <c r="A103" s="35" t="s">
        <v>3364</v>
      </c>
      <c r="B103" s="35" t="s">
        <v>3365</v>
      </c>
      <c r="C103" s="35" t="s">
        <v>115</v>
      </c>
      <c r="D103" s="35" t="s">
        <v>116</v>
      </c>
      <c r="E103" s="35" t="s">
        <v>39</v>
      </c>
      <c r="F103" s="52" t="s">
        <v>11</v>
      </c>
      <c r="G103" s="52" t="s">
        <v>61</v>
      </c>
      <c r="I103" s="32" t="s">
        <v>40</v>
      </c>
    </row>
    <row r="104" spans="1:9" ht="16.5" customHeight="1" x14ac:dyDescent="0.2">
      <c r="A104" s="35" t="s">
        <v>3366</v>
      </c>
      <c r="B104" s="35" t="s">
        <v>3367</v>
      </c>
      <c r="C104" s="35" t="s">
        <v>115</v>
      </c>
      <c r="D104" s="35" t="s">
        <v>128</v>
      </c>
      <c r="E104" s="35" t="s">
        <v>39</v>
      </c>
      <c r="F104" s="31" t="s">
        <v>25</v>
      </c>
      <c r="G104" s="31" t="s">
        <v>72</v>
      </c>
      <c r="H104" s="30" t="s">
        <v>3368</v>
      </c>
      <c r="I104" s="32" t="s">
        <v>40</v>
      </c>
    </row>
    <row r="105" spans="1:9" ht="16.5" customHeight="1" x14ac:dyDescent="0.2">
      <c r="A105" s="26" t="s">
        <v>3369</v>
      </c>
      <c r="B105" s="26" t="s">
        <v>3370</v>
      </c>
      <c r="C105" s="26" t="s">
        <v>115</v>
      </c>
      <c r="D105" s="26" t="s">
        <v>122</v>
      </c>
      <c r="E105" s="26" t="s">
        <v>39</v>
      </c>
      <c r="F105" s="31" t="s">
        <v>11</v>
      </c>
      <c r="G105" s="31" t="s">
        <v>61</v>
      </c>
      <c r="H105" s="32"/>
      <c r="I105" s="32" t="s">
        <v>40</v>
      </c>
    </row>
    <row r="106" spans="1:9" ht="16.5" customHeight="1" x14ac:dyDescent="0.2">
      <c r="A106" s="26" t="s">
        <v>3369</v>
      </c>
      <c r="B106" s="26" t="s">
        <v>3370</v>
      </c>
      <c r="C106" s="26" t="s">
        <v>115</v>
      </c>
      <c r="D106" s="26" t="s">
        <v>122</v>
      </c>
      <c r="E106" s="26" t="s">
        <v>39</v>
      </c>
      <c r="F106" s="31" t="s">
        <v>11</v>
      </c>
      <c r="G106" s="31" t="s">
        <v>61</v>
      </c>
      <c r="H106" s="32"/>
      <c r="I106" s="32" t="s">
        <v>40</v>
      </c>
    </row>
    <row r="107" spans="1:9" ht="16.5" customHeight="1" x14ac:dyDescent="0.2">
      <c r="A107" s="26" t="s">
        <v>3369</v>
      </c>
      <c r="B107" s="26" t="s">
        <v>3370</v>
      </c>
      <c r="C107" s="26" t="s">
        <v>115</v>
      </c>
      <c r="D107" s="26" t="s">
        <v>122</v>
      </c>
      <c r="E107" s="26" t="s">
        <v>39</v>
      </c>
      <c r="F107" s="31" t="s">
        <v>11</v>
      </c>
      <c r="G107" s="31" t="s">
        <v>61</v>
      </c>
      <c r="H107" s="31"/>
      <c r="I107" s="32" t="s">
        <v>40</v>
      </c>
    </row>
    <row r="108" spans="1:9" ht="16.5" customHeight="1" x14ac:dyDescent="0.2">
      <c r="A108" s="26" t="s">
        <v>3369</v>
      </c>
      <c r="B108" s="26" t="s">
        <v>3370</v>
      </c>
      <c r="C108" s="26" t="s">
        <v>115</v>
      </c>
      <c r="D108" s="26" t="s">
        <v>122</v>
      </c>
      <c r="E108" s="26" t="s">
        <v>39</v>
      </c>
      <c r="F108" s="31" t="s">
        <v>11</v>
      </c>
      <c r="G108" s="31" t="s">
        <v>61</v>
      </c>
      <c r="H108" s="31"/>
      <c r="I108" s="32" t="s">
        <v>40</v>
      </c>
    </row>
    <row r="109" spans="1:9" ht="16.5" customHeight="1" x14ac:dyDescent="0.2">
      <c r="A109" s="26" t="s">
        <v>3369</v>
      </c>
      <c r="B109" s="26" t="s">
        <v>3370</v>
      </c>
      <c r="C109" s="53" t="s">
        <v>115</v>
      </c>
      <c r="D109" s="26" t="s">
        <v>122</v>
      </c>
      <c r="E109" s="26" t="s">
        <v>39</v>
      </c>
      <c r="F109" s="31" t="s">
        <v>11</v>
      </c>
      <c r="G109" s="31" t="s">
        <v>61</v>
      </c>
      <c r="H109" s="32"/>
      <c r="I109" s="32" t="s">
        <v>40</v>
      </c>
    </row>
    <row r="110" spans="1:9" ht="16.5" customHeight="1" x14ac:dyDescent="0.2">
      <c r="A110" s="26" t="s">
        <v>3369</v>
      </c>
      <c r="B110" s="26" t="s">
        <v>3370</v>
      </c>
      <c r="C110" s="26" t="s">
        <v>115</v>
      </c>
      <c r="D110" s="26" t="s">
        <v>122</v>
      </c>
      <c r="E110" s="26" t="s">
        <v>39</v>
      </c>
      <c r="F110" s="31" t="s">
        <v>11</v>
      </c>
      <c r="G110" s="31" t="s">
        <v>61</v>
      </c>
      <c r="H110" s="32"/>
      <c r="I110" s="32" t="s">
        <v>40</v>
      </c>
    </row>
    <row r="111" spans="1:9" ht="16.5" customHeight="1" x14ac:dyDescent="0.2">
      <c r="A111" s="26" t="s">
        <v>3369</v>
      </c>
      <c r="B111" s="26" t="s">
        <v>3370</v>
      </c>
      <c r="C111" s="26" t="s">
        <v>115</v>
      </c>
      <c r="D111" s="26" t="s">
        <v>122</v>
      </c>
      <c r="E111" s="26" t="s">
        <v>39</v>
      </c>
      <c r="F111" s="31" t="s">
        <v>11</v>
      </c>
      <c r="G111" s="31" t="s">
        <v>61</v>
      </c>
      <c r="H111" s="32"/>
      <c r="I111" s="32" t="s">
        <v>40</v>
      </c>
    </row>
    <row r="112" spans="1:9" ht="16.5" customHeight="1" x14ac:dyDescent="0.2">
      <c r="A112" s="26" t="s">
        <v>3371</v>
      </c>
      <c r="B112" s="26" t="s">
        <v>3372</v>
      </c>
      <c r="C112" s="26" t="s">
        <v>37</v>
      </c>
      <c r="D112" s="27" t="s">
        <v>38</v>
      </c>
      <c r="E112" s="27" t="s">
        <v>39</v>
      </c>
      <c r="F112" s="31" t="s">
        <v>18</v>
      </c>
      <c r="G112" s="31" t="s">
        <v>61</v>
      </c>
      <c r="H112" s="32"/>
      <c r="I112" s="32" t="s">
        <v>40</v>
      </c>
    </row>
    <row r="113" spans="1:9" ht="16.5" customHeight="1" x14ac:dyDescent="0.2">
      <c r="A113" s="26" t="s">
        <v>3371</v>
      </c>
      <c r="B113" s="26" t="s">
        <v>3372</v>
      </c>
      <c r="C113" s="26" t="s">
        <v>37</v>
      </c>
      <c r="D113" s="27" t="s">
        <v>38</v>
      </c>
      <c r="E113" s="27" t="s">
        <v>39</v>
      </c>
      <c r="F113" s="31" t="s">
        <v>18</v>
      </c>
      <c r="G113" s="31" t="s">
        <v>41</v>
      </c>
      <c r="H113" s="32"/>
      <c r="I113" s="32" t="s">
        <v>40</v>
      </c>
    </row>
    <row r="114" spans="1:9" ht="16.5" customHeight="1" x14ac:dyDescent="0.2">
      <c r="A114" s="26" t="s">
        <v>3373</v>
      </c>
      <c r="B114" s="26" t="s">
        <v>3374</v>
      </c>
      <c r="C114" s="26" t="s">
        <v>37</v>
      </c>
      <c r="D114" s="26" t="s">
        <v>45</v>
      </c>
      <c r="E114" s="26" t="s">
        <v>39</v>
      </c>
      <c r="F114" s="31" t="s">
        <v>11</v>
      </c>
      <c r="G114" s="31" t="s">
        <v>72</v>
      </c>
      <c r="H114" s="43" t="s">
        <v>3375</v>
      </c>
      <c r="I114" s="32" t="s">
        <v>40</v>
      </c>
    </row>
    <row r="115" spans="1:9" ht="16.5" customHeight="1" x14ac:dyDescent="0.2">
      <c r="A115" s="26" t="s">
        <v>3373</v>
      </c>
      <c r="B115" s="26" t="s">
        <v>3374</v>
      </c>
      <c r="C115" s="26" t="s">
        <v>37</v>
      </c>
      <c r="D115" s="26" t="s">
        <v>45</v>
      </c>
      <c r="E115" s="26" t="s">
        <v>39</v>
      </c>
      <c r="F115" s="31" t="s">
        <v>11</v>
      </c>
      <c r="G115" s="31" t="s">
        <v>72</v>
      </c>
      <c r="H115" s="43" t="s">
        <v>3375</v>
      </c>
      <c r="I115" s="32" t="s">
        <v>40</v>
      </c>
    </row>
    <row r="116" spans="1:9" ht="16.5" customHeight="1" x14ac:dyDescent="0.2">
      <c r="A116" s="26" t="s">
        <v>3373</v>
      </c>
      <c r="B116" s="26" t="s">
        <v>3374</v>
      </c>
      <c r="C116" s="26" t="s">
        <v>37</v>
      </c>
      <c r="D116" s="26" t="s">
        <v>45</v>
      </c>
      <c r="E116" s="26" t="s">
        <v>39</v>
      </c>
      <c r="F116" s="31" t="s">
        <v>11</v>
      </c>
      <c r="G116" s="31" t="s">
        <v>72</v>
      </c>
      <c r="H116" s="43" t="s">
        <v>3375</v>
      </c>
      <c r="I116" s="32" t="s">
        <v>40</v>
      </c>
    </row>
    <row r="117" spans="1:9" ht="16.5" customHeight="1" x14ac:dyDescent="0.2">
      <c r="A117" s="26" t="s">
        <v>3373</v>
      </c>
      <c r="B117" s="26" t="s">
        <v>3374</v>
      </c>
      <c r="C117" s="26" t="s">
        <v>37</v>
      </c>
      <c r="D117" s="26" t="s">
        <v>45</v>
      </c>
      <c r="E117" s="26" t="s">
        <v>39</v>
      </c>
      <c r="F117" s="31" t="s">
        <v>11</v>
      </c>
      <c r="G117" s="31" t="s">
        <v>72</v>
      </c>
      <c r="H117" s="43" t="s">
        <v>3375</v>
      </c>
      <c r="I117" s="32" t="s">
        <v>40</v>
      </c>
    </row>
    <row r="118" spans="1:9" ht="16.5" customHeight="1" x14ac:dyDescent="0.2">
      <c r="A118" s="26" t="s">
        <v>3376</v>
      </c>
      <c r="B118" s="26" t="s">
        <v>3377</v>
      </c>
      <c r="C118" s="26" t="s">
        <v>7</v>
      </c>
      <c r="D118" s="26" t="s">
        <v>16</v>
      </c>
      <c r="E118" s="26" t="s">
        <v>39</v>
      </c>
      <c r="F118" s="31" t="s">
        <v>11</v>
      </c>
      <c r="G118" s="31" t="s">
        <v>72</v>
      </c>
      <c r="H118" s="31" t="s">
        <v>40</v>
      </c>
      <c r="I118" s="32" t="s">
        <v>40</v>
      </c>
    </row>
    <row r="119" spans="1:9" ht="16.5" customHeight="1" x14ac:dyDescent="0.2">
      <c r="A119" s="26" t="s">
        <v>3376</v>
      </c>
      <c r="B119" s="26" t="s">
        <v>3377</v>
      </c>
      <c r="C119" s="26" t="s">
        <v>7</v>
      </c>
      <c r="D119" s="26" t="s">
        <v>16</v>
      </c>
      <c r="E119" s="26" t="s">
        <v>39</v>
      </c>
      <c r="F119" s="31" t="s">
        <v>11</v>
      </c>
      <c r="G119" s="31" t="s">
        <v>72</v>
      </c>
      <c r="H119" s="31" t="s">
        <v>40</v>
      </c>
      <c r="I119" s="32" t="s">
        <v>40</v>
      </c>
    </row>
    <row r="120" spans="1:9" ht="16.5" customHeight="1" x14ac:dyDescent="0.2">
      <c r="A120" s="26" t="s">
        <v>3376</v>
      </c>
      <c r="B120" s="26" t="s">
        <v>3377</v>
      </c>
      <c r="C120" s="26" t="s">
        <v>7</v>
      </c>
      <c r="D120" s="26" t="s">
        <v>16</v>
      </c>
      <c r="E120" s="26" t="s">
        <v>39</v>
      </c>
      <c r="F120" s="31" t="s">
        <v>11</v>
      </c>
      <c r="G120" s="31" t="s">
        <v>72</v>
      </c>
      <c r="H120" s="31"/>
      <c r="I120" s="32" t="s">
        <v>40</v>
      </c>
    </row>
    <row r="121" spans="1:9" ht="16.5" customHeight="1" x14ac:dyDescent="0.2">
      <c r="A121" s="26" t="s">
        <v>3376</v>
      </c>
      <c r="B121" s="26" t="s">
        <v>3377</v>
      </c>
      <c r="C121" s="26" t="s">
        <v>7</v>
      </c>
      <c r="D121" s="26" t="s">
        <v>16</v>
      </c>
      <c r="E121" s="26" t="s">
        <v>39</v>
      </c>
      <c r="F121" s="31" t="s">
        <v>11</v>
      </c>
      <c r="G121" s="31" t="s">
        <v>72</v>
      </c>
      <c r="H121" s="31" t="s">
        <v>40</v>
      </c>
      <c r="I121" s="32" t="s">
        <v>40</v>
      </c>
    </row>
    <row r="122" spans="1:9" ht="16.5" customHeight="1" x14ac:dyDescent="0.2">
      <c r="A122" s="35" t="s">
        <v>3378</v>
      </c>
      <c r="B122" s="35" t="s">
        <v>3379</v>
      </c>
      <c r="C122" s="54" t="s">
        <v>7</v>
      </c>
      <c r="D122" s="54" t="s">
        <v>23</v>
      </c>
      <c r="E122" s="54" t="s">
        <v>39</v>
      </c>
      <c r="F122" s="52" t="s">
        <v>11</v>
      </c>
      <c r="G122" s="30" t="s">
        <v>72</v>
      </c>
      <c r="H122" s="32"/>
      <c r="I122" s="32" t="s">
        <v>40</v>
      </c>
    </row>
    <row r="123" spans="1:9" ht="16.5" customHeight="1" x14ac:dyDescent="0.2">
      <c r="A123" s="35" t="s">
        <v>3378</v>
      </c>
      <c r="B123" s="57" t="s">
        <v>3379</v>
      </c>
      <c r="C123" s="54" t="s">
        <v>7</v>
      </c>
      <c r="D123" s="54" t="s">
        <v>23</v>
      </c>
      <c r="E123" s="54" t="s">
        <v>39</v>
      </c>
      <c r="F123" s="52" t="s">
        <v>11</v>
      </c>
      <c r="G123" s="30" t="s">
        <v>72</v>
      </c>
      <c r="H123" s="31" t="s">
        <v>5172</v>
      </c>
      <c r="I123" s="32" t="s">
        <v>40</v>
      </c>
    </row>
    <row r="124" spans="1:9" ht="16.5" customHeight="1" x14ac:dyDescent="0.2">
      <c r="A124" s="35" t="s">
        <v>3378</v>
      </c>
      <c r="B124" s="35" t="s">
        <v>3379</v>
      </c>
      <c r="C124" s="54" t="s">
        <v>7</v>
      </c>
      <c r="D124" s="54" t="s">
        <v>23</v>
      </c>
      <c r="E124" s="54" t="s">
        <v>39</v>
      </c>
      <c r="F124" s="52" t="s">
        <v>11</v>
      </c>
      <c r="G124" s="30" t="s">
        <v>72</v>
      </c>
      <c r="H124" s="32"/>
      <c r="I124" s="32" t="s">
        <v>40</v>
      </c>
    </row>
    <row r="125" spans="1:9" ht="16.5" customHeight="1" x14ac:dyDescent="0.2">
      <c r="A125" s="35" t="s">
        <v>3378</v>
      </c>
      <c r="B125" s="35" t="s">
        <v>3379</v>
      </c>
      <c r="C125" s="54" t="s">
        <v>7</v>
      </c>
      <c r="D125" s="54" t="s">
        <v>23</v>
      </c>
      <c r="E125" s="54" t="s">
        <v>39</v>
      </c>
      <c r="F125" s="52" t="s">
        <v>11</v>
      </c>
      <c r="G125" s="30" t="s">
        <v>72</v>
      </c>
      <c r="H125" s="32"/>
      <c r="I125" s="32" t="s">
        <v>40</v>
      </c>
    </row>
    <row r="126" spans="1:9" ht="16.5" customHeight="1" x14ac:dyDescent="0.2">
      <c r="A126" s="35" t="s">
        <v>3378</v>
      </c>
      <c r="B126" s="35" t="s">
        <v>3379</v>
      </c>
      <c r="C126" s="54" t="s">
        <v>7</v>
      </c>
      <c r="D126" s="54" t="s">
        <v>23</v>
      </c>
      <c r="E126" s="54" t="s">
        <v>39</v>
      </c>
      <c r="F126" s="52" t="s">
        <v>11</v>
      </c>
      <c r="G126" s="30" t="s">
        <v>72</v>
      </c>
      <c r="H126" s="32"/>
      <c r="I126" s="32" t="s">
        <v>40</v>
      </c>
    </row>
    <row r="127" spans="1:9" ht="16.5" customHeight="1" x14ac:dyDescent="0.2">
      <c r="A127" s="35" t="s">
        <v>3378</v>
      </c>
      <c r="B127" s="35" t="s">
        <v>3379</v>
      </c>
      <c r="C127" s="54" t="s">
        <v>7</v>
      </c>
      <c r="D127" s="54" t="s">
        <v>23</v>
      </c>
      <c r="E127" s="54" t="s">
        <v>39</v>
      </c>
      <c r="F127" s="52" t="s">
        <v>11</v>
      </c>
      <c r="G127" s="30" t="s">
        <v>72</v>
      </c>
      <c r="H127" s="32"/>
      <c r="I127" s="32" t="s">
        <v>40</v>
      </c>
    </row>
    <row r="128" spans="1:9" ht="16.5" customHeight="1" x14ac:dyDescent="0.2">
      <c r="A128" s="26" t="s">
        <v>3380</v>
      </c>
      <c r="B128" s="26" t="s">
        <v>3381</v>
      </c>
      <c r="C128" s="66" t="s">
        <v>98</v>
      </c>
      <c r="D128" s="66" t="s">
        <v>110</v>
      </c>
      <c r="E128" s="66" t="s">
        <v>39</v>
      </c>
      <c r="F128" s="31" t="s">
        <v>11</v>
      </c>
      <c r="G128" s="67" t="s">
        <v>61</v>
      </c>
      <c r="H128" s="32" t="s">
        <v>40</v>
      </c>
      <c r="I128" s="32" t="s">
        <v>40</v>
      </c>
    </row>
    <row r="129" spans="1:9" ht="16.5" customHeight="1" x14ac:dyDescent="0.2">
      <c r="A129" s="26" t="s">
        <v>3380</v>
      </c>
      <c r="B129" s="26" t="s">
        <v>3381</v>
      </c>
      <c r="C129" s="66" t="s">
        <v>98</v>
      </c>
      <c r="D129" s="66" t="s">
        <v>110</v>
      </c>
      <c r="E129" s="66" t="s">
        <v>39</v>
      </c>
      <c r="F129" s="31" t="s">
        <v>11</v>
      </c>
      <c r="G129" s="67" t="s">
        <v>61</v>
      </c>
      <c r="H129" s="32" t="s">
        <v>40</v>
      </c>
      <c r="I129" s="32" t="s">
        <v>40</v>
      </c>
    </row>
    <row r="130" spans="1:9" ht="16.5" customHeight="1" x14ac:dyDescent="0.2">
      <c r="A130" s="26" t="s">
        <v>3382</v>
      </c>
      <c r="B130" s="26" t="s">
        <v>3383</v>
      </c>
      <c r="C130" s="26" t="s">
        <v>98</v>
      </c>
      <c r="D130" s="26" t="s">
        <v>99</v>
      </c>
      <c r="E130" s="26" t="s">
        <v>39</v>
      </c>
      <c r="F130" s="47" t="s">
        <v>18</v>
      </c>
      <c r="G130" s="31" t="s">
        <v>61</v>
      </c>
      <c r="H130" s="32"/>
      <c r="I130" s="32" t="s">
        <v>40</v>
      </c>
    </row>
    <row r="131" spans="1:9" ht="16.5" customHeight="1" x14ac:dyDescent="0.2">
      <c r="A131" s="26" t="s">
        <v>3384</v>
      </c>
      <c r="B131" s="26" t="s">
        <v>3385</v>
      </c>
      <c r="C131" s="26" t="s">
        <v>115</v>
      </c>
      <c r="D131" s="27" t="s">
        <v>116</v>
      </c>
      <c r="E131" s="27" t="s">
        <v>39</v>
      </c>
      <c r="F131" s="31" t="s">
        <v>11</v>
      </c>
      <c r="G131" s="31" t="s">
        <v>61</v>
      </c>
      <c r="H131" s="31"/>
      <c r="I131" s="32" t="s">
        <v>40</v>
      </c>
    </row>
    <row r="132" spans="1:9" ht="16.5" customHeight="1" x14ac:dyDescent="0.2">
      <c r="A132" s="26" t="s">
        <v>3386</v>
      </c>
      <c r="B132" s="26" t="s">
        <v>3387</v>
      </c>
      <c r="C132" s="66" t="s">
        <v>37</v>
      </c>
      <c r="D132" s="27" t="s">
        <v>38</v>
      </c>
      <c r="E132" s="26" t="s">
        <v>39</v>
      </c>
      <c r="F132" s="31" t="s">
        <v>11</v>
      </c>
      <c r="G132" s="31" t="s">
        <v>61</v>
      </c>
      <c r="H132" s="32"/>
      <c r="I132" s="32" t="s">
        <v>40</v>
      </c>
    </row>
    <row r="133" spans="1:9" ht="16.5" customHeight="1" x14ac:dyDescent="0.25">
      <c r="A133" s="35" t="s">
        <v>3388</v>
      </c>
      <c r="B133" s="76" t="s">
        <v>3389</v>
      </c>
      <c r="C133" s="76" t="s">
        <v>64</v>
      </c>
      <c r="D133" s="35" t="s">
        <v>86</v>
      </c>
      <c r="E133" s="76" t="s">
        <v>39</v>
      </c>
      <c r="F133" s="76" t="s">
        <v>11</v>
      </c>
      <c r="G133" s="35" t="s">
        <v>72</v>
      </c>
      <c r="H133" s="95"/>
      <c r="I133" s="32" t="s">
        <v>40</v>
      </c>
    </row>
    <row r="134" spans="1:9" ht="16.5" customHeight="1" x14ac:dyDescent="0.25">
      <c r="A134" s="35" t="s">
        <v>3388</v>
      </c>
      <c r="B134" s="76" t="s">
        <v>3389</v>
      </c>
      <c r="C134" s="76" t="s">
        <v>64</v>
      </c>
      <c r="D134" s="35" t="s">
        <v>86</v>
      </c>
      <c r="E134" s="76" t="s">
        <v>39</v>
      </c>
      <c r="F134" s="76" t="s">
        <v>11</v>
      </c>
      <c r="G134" s="35" t="s">
        <v>72</v>
      </c>
      <c r="H134" s="95"/>
      <c r="I134" s="32" t="s">
        <v>40</v>
      </c>
    </row>
    <row r="135" spans="1:9" ht="16.5" customHeight="1" x14ac:dyDescent="0.25">
      <c r="A135" s="35" t="s">
        <v>3388</v>
      </c>
      <c r="B135" s="76" t="s">
        <v>3389</v>
      </c>
      <c r="C135" s="76" t="s">
        <v>64</v>
      </c>
      <c r="D135" s="35" t="s">
        <v>86</v>
      </c>
      <c r="E135" s="76" t="s">
        <v>39</v>
      </c>
      <c r="F135" s="76" t="s">
        <v>11</v>
      </c>
      <c r="G135" s="35" t="s">
        <v>72</v>
      </c>
      <c r="H135" s="95"/>
      <c r="I135" s="32" t="s">
        <v>40</v>
      </c>
    </row>
    <row r="136" spans="1:9" ht="16.5" customHeight="1" x14ac:dyDescent="0.25">
      <c r="A136" s="35" t="s">
        <v>3388</v>
      </c>
      <c r="B136" s="76" t="s">
        <v>3389</v>
      </c>
      <c r="C136" s="76" t="s">
        <v>64</v>
      </c>
      <c r="D136" s="35" t="s">
        <v>86</v>
      </c>
      <c r="E136" s="76" t="s">
        <v>39</v>
      </c>
      <c r="F136" s="76" t="s">
        <v>11</v>
      </c>
      <c r="G136" s="35" t="s">
        <v>72</v>
      </c>
      <c r="H136" s="95"/>
      <c r="I136" s="32" t="s">
        <v>40</v>
      </c>
    </row>
    <row r="137" spans="1:9" ht="16.5" customHeight="1" x14ac:dyDescent="0.25">
      <c r="A137" s="35" t="s">
        <v>3388</v>
      </c>
      <c r="B137" s="76" t="s">
        <v>3389</v>
      </c>
      <c r="C137" s="76" t="s">
        <v>64</v>
      </c>
      <c r="D137" s="35" t="s">
        <v>86</v>
      </c>
      <c r="E137" s="76" t="s">
        <v>39</v>
      </c>
      <c r="F137" s="76" t="s">
        <v>11</v>
      </c>
      <c r="G137" s="35" t="s">
        <v>72</v>
      </c>
      <c r="H137" s="95"/>
      <c r="I137" s="32" t="s">
        <v>40</v>
      </c>
    </row>
    <row r="138" spans="1:9" ht="16.5" customHeight="1" x14ac:dyDescent="0.25">
      <c r="A138" s="35" t="s">
        <v>3388</v>
      </c>
      <c r="B138" s="76" t="s">
        <v>3389</v>
      </c>
      <c r="C138" s="76" t="s">
        <v>64</v>
      </c>
      <c r="D138" s="35" t="s">
        <v>86</v>
      </c>
      <c r="E138" s="76" t="s">
        <v>39</v>
      </c>
      <c r="F138" s="76" t="s">
        <v>11</v>
      </c>
      <c r="G138" s="35" t="s">
        <v>72</v>
      </c>
      <c r="H138" s="95"/>
      <c r="I138" s="32" t="s">
        <v>40</v>
      </c>
    </row>
    <row r="139" spans="1:9" ht="16.5" customHeight="1" x14ac:dyDescent="0.2">
      <c r="A139" s="35" t="s">
        <v>3390</v>
      </c>
      <c r="B139" s="35" t="s">
        <v>3391</v>
      </c>
      <c r="C139" s="35" t="s">
        <v>115</v>
      </c>
      <c r="D139" s="35" t="s">
        <v>116</v>
      </c>
      <c r="E139" s="35" t="s">
        <v>39</v>
      </c>
      <c r="F139" s="52" t="s">
        <v>18</v>
      </c>
      <c r="G139" s="52" t="s">
        <v>61</v>
      </c>
      <c r="H139" s="30"/>
      <c r="I139" s="32" t="s">
        <v>40</v>
      </c>
    </row>
    <row r="140" spans="1:9" ht="16.5" customHeight="1" x14ac:dyDescent="0.2">
      <c r="A140" s="35" t="s">
        <v>3390</v>
      </c>
      <c r="B140" s="35" t="s">
        <v>3391</v>
      </c>
      <c r="C140" s="35" t="s">
        <v>115</v>
      </c>
      <c r="D140" s="35" t="s">
        <v>116</v>
      </c>
      <c r="E140" s="35" t="s">
        <v>39</v>
      </c>
      <c r="F140" s="52" t="s">
        <v>18</v>
      </c>
      <c r="G140" s="52" t="s">
        <v>61</v>
      </c>
      <c r="H140" s="30"/>
      <c r="I140" s="32" t="s">
        <v>40</v>
      </c>
    </row>
    <row r="141" spans="1:9" ht="16.5" customHeight="1" x14ac:dyDescent="0.2">
      <c r="A141" s="35" t="s">
        <v>3392</v>
      </c>
      <c r="B141" s="35" t="s">
        <v>3393</v>
      </c>
      <c r="C141" s="35" t="s">
        <v>115</v>
      </c>
      <c r="D141" s="35" t="s">
        <v>119</v>
      </c>
      <c r="E141" s="35" t="s">
        <v>39</v>
      </c>
      <c r="F141" s="52" t="s">
        <v>11</v>
      </c>
      <c r="G141" s="52" t="s">
        <v>61</v>
      </c>
      <c r="H141" s="30"/>
      <c r="I141" s="32" t="s">
        <v>40</v>
      </c>
    </row>
    <row r="142" spans="1:9" ht="16.5" customHeight="1" x14ac:dyDescent="0.2">
      <c r="A142" s="35" t="s">
        <v>3392</v>
      </c>
      <c r="B142" s="35" t="s">
        <v>3393</v>
      </c>
      <c r="C142" s="35" t="s">
        <v>115</v>
      </c>
      <c r="D142" s="35" t="s">
        <v>119</v>
      </c>
      <c r="E142" s="35" t="s">
        <v>39</v>
      </c>
      <c r="F142" s="52" t="s">
        <v>11</v>
      </c>
      <c r="G142" s="30" t="s">
        <v>61</v>
      </c>
      <c r="H142" s="30"/>
      <c r="I142" s="32" t="s">
        <v>40</v>
      </c>
    </row>
    <row r="143" spans="1:9" ht="16.5" customHeight="1" x14ac:dyDescent="0.2">
      <c r="A143" s="35" t="s">
        <v>3392</v>
      </c>
      <c r="B143" s="35" t="s">
        <v>3393</v>
      </c>
      <c r="C143" s="35" t="s">
        <v>115</v>
      </c>
      <c r="D143" s="35" t="s">
        <v>119</v>
      </c>
      <c r="E143" s="35" t="s">
        <v>39</v>
      </c>
      <c r="F143" s="52" t="s">
        <v>11</v>
      </c>
      <c r="G143" s="30" t="s">
        <v>61</v>
      </c>
      <c r="H143" s="30"/>
      <c r="I143" s="32" t="s">
        <v>40</v>
      </c>
    </row>
    <row r="144" spans="1:9" ht="16.5" customHeight="1" x14ac:dyDescent="0.2">
      <c r="A144" s="35" t="s">
        <v>3392</v>
      </c>
      <c r="B144" s="35" t="s">
        <v>3393</v>
      </c>
      <c r="C144" s="35" t="s">
        <v>115</v>
      </c>
      <c r="D144" s="35" t="s">
        <v>119</v>
      </c>
      <c r="E144" s="35" t="s">
        <v>39</v>
      </c>
      <c r="F144" s="52" t="s">
        <v>11</v>
      </c>
      <c r="G144" s="30" t="s">
        <v>61</v>
      </c>
      <c r="H144" s="30"/>
      <c r="I144" s="32" t="s">
        <v>40</v>
      </c>
    </row>
    <row r="145" spans="1:9" ht="16.5" customHeight="1" x14ac:dyDescent="0.2">
      <c r="A145" s="26" t="s">
        <v>3394</v>
      </c>
      <c r="B145" s="26" t="s">
        <v>3395</v>
      </c>
      <c r="C145" s="26" t="s">
        <v>98</v>
      </c>
      <c r="D145" s="26" t="s">
        <v>102</v>
      </c>
      <c r="E145" s="26" t="s">
        <v>39</v>
      </c>
      <c r="F145" s="31" t="s">
        <v>11</v>
      </c>
      <c r="G145" s="31" t="s">
        <v>61</v>
      </c>
      <c r="H145" s="32"/>
      <c r="I145" s="32" t="s">
        <v>40</v>
      </c>
    </row>
    <row r="146" spans="1:9" ht="16.5" customHeight="1" x14ac:dyDescent="0.2">
      <c r="A146" s="35" t="s">
        <v>3396</v>
      </c>
      <c r="B146" s="54" t="s">
        <v>5563</v>
      </c>
      <c r="C146" s="35" t="s">
        <v>115</v>
      </c>
      <c r="D146" s="35" t="s">
        <v>131</v>
      </c>
      <c r="E146" s="35" t="s">
        <v>39</v>
      </c>
      <c r="F146" s="30" t="s">
        <v>11</v>
      </c>
      <c r="G146" s="31" t="s">
        <v>72</v>
      </c>
      <c r="H146" s="30" t="s">
        <v>3398</v>
      </c>
      <c r="I146" s="32" t="s">
        <v>40</v>
      </c>
    </row>
    <row r="147" spans="1:9" ht="16.5" customHeight="1" x14ac:dyDescent="0.2">
      <c r="A147" s="35" t="s">
        <v>3399</v>
      </c>
      <c r="B147" s="35" t="s">
        <v>3400</v>
      </c>
      <c r="C147" s="35" t="s">
        <v>98</v>
      </c>
      <c r="D147" s="35" t="s">
        <v>99</v>
      </c>
      <c r="E147" s="35" t="s">
        <v>39</v>
      </c>
      <c r="F147" s="52" t="s">
        <v>18</v>
      </c>
      <c r="G147" s="52" t="s">
        <v>41</v>
      </c>
      <c r="H147" s="30"/>
      <c r="I147" s="32" t="s">
        <v>40</v>
      </c>
    </row>
    <row r="148" spans="1:9" ht="16.5" customHeight="1" x14ac:dyDescent="0.2">
      <c r="A148" s="35" t="s">
        <v>3401</v>
      </c>
      <c r="B148" s="35" t="s">
        <v>3402</v>
      </c>
      <c r="C148" s="35" t="s">
        <v>115</v>
      </c>
      <c r="D148" s="35" t="s">
        <v>119</v>
      </c>
      <c r="E148" s="35" t="s">
        <v>39</v>
      </c>
      <c r="F148" s="52" t="s">
        <v>18</v>
      </c>
      <c r="G148" s="30" t="s">
        <v>61</v>
      </c>
      <c r="H148" s="30" t="s">
        <v>3403</v>
      </c>
      <c r="I148" s="32" t="s">
        <v>40</v>
      </c>
    </row>
    <row r="149" spans="1:9" ht="16.5" customHeight="1" x14ac:dyDescent="0.2">
      <c r="A149" s="35" t="s">
        <v>3401</v>
      </c>
      <c r="B149" s="35" t="s">
        <v>3402</v>
      </c>
      <c r="C149" s="35" t="s">
        <v>115</v>
      </c>
      <c r="D149" s="35" t="s">
        <v>119</v>
      </c>
      <c r="E149" s="35" t="s">
        <v>39</v>
      </c>
      <c r="F149" s="52" t="s">
        <v>18</v>
      </c>
      <c r="G149" s="30" t="s">
        <v>61</v>
      </c>
      <c r="H149" s="30"/>
      <c r="I149" s="32" t="s">
        <v>40</v>
      </c>
    </row>
    <row r="150" spans="1:9" ht="16.5" customHeight="1" x14ac:dyDescent="0.2">
      <c r="A150" s="26" t="s">
        <v>3404</v>
      </c>
      <c r="B150" s="26" t="s">
        <v>3405</v>
      </c>
      <c r="C150" s="26" t="s">
        <v>64</v>
      </c>
      <c r="D150" s="26" t="s">
        <v>82</v>
      </c>
      <c r="E150" s="26" t="s">
        <v>39</v>
      </c>
      <c r="F150" s="31" t="s">
        <v>18</v>
      </c>
      <c r="G150" s="31" t="s">
        <v>41</v>
      </c>
      <c r="H150" s="31"/>
      <c r="I150" s="32" t="s">
        <v>40</v>
      </c>
    </row>
    <row r="151" spans="1:9" ht="16.5" customHeight="1" x14ac:dyDescent="0.2">
      <c r="A151" s="26" t="s">
        <v>3406</v>
      </c>
      <c r="B151" s="26" t="s">
        <v>3407</v>
      </c>
      <c r="C151" s="26" t="s">
        <v>37</v>
      </c>
      <c r="D151" s="26" t="s">
        <v>45</v>
      </c>
      <c r="E151" s="26" t="s">
        <v>39</v>
      </c>
      <c r="F151" s="31" t="s">
        <v>18</v>
      </c>
      <c r="G151" s="31" t="s">
        <v>72</v>
      </c>
      <c r="H151" s="43" t="s">
        <v>3375</v>
      </c>
      <c r="I151" s="32" t="s">
        <v>40</v>
      </c>
    </row>
    <row r="152" spans="1:9" ht="16.5" customHeight="1" x14ac:dyDescent="0.2">
      <c r="A152" s="26" t="s">
        <v>3406</v>
      </c>
      <c r="B152" s="26" t="s">
        <v>3407</v>
      </c>
      <c r="C152" s="26" t="s">
        <v>37</v>
      </c>
      <c r="D152" s="26" t="s">
        <v>45</v>
      </c>
      <c r="E152" s="26" t="s">
        <v>39</v>
      </c>
      <c r="F152" s="31" t="s">
        <v>18</v>
      </c>
      <c r="G152" s="31" t="s">
        <v>72</v>
      </c>
      <c r="H152" s="43" t="s">
        <v>3375</v>
      </c>
      <c r="I152" s="32" t="s">
        <v>40</v>
      </c>
    </row>
    <row r="153" spans="1:9" ht="16.5" customHeight="1" x14ac:dyDescent="0.2">
      <c r="A153" s="35" t="s">
        <v>3408</v>
      </c>
      <c r="B153" s="26" t="s">
        <v>5380</v>
      </c>
      <c r="C153" s="26" t="s">
        <v>64</v>
      </c>
      <c r="D153" s="26" t="s">
        <v>82</v>
      </c>
      <c r="E153" s="35" t="s">
        <v>39</v>
      </c>
      <c r="F153" s="31" t="s">
        <v>18</v>
      </c>
      <c r="G153" s="32"/>
      <c r="H153" s="32" t="s">
        <v>40</v>
      </c>
      <c r="I153" s="32" t="s">
        <v>40</v>
      </c>
    </row>
    <row r="154" spans="1:9" ht="16.5" customHeight="1" x14ac:dyDescent="0.2">
      <c r="A154" s="35" t="s">
        <v>3408</v>
      </c>
      <c r="B154" s="26" t="s">
        <v>5380</v>
      </c>
      <c r="C154" s="35" t="s">
        <v>64</v>
      </c>
      <c r="D154" s="35" t="s">
        <v>82</v>
      </c>
      <c r="E154" s="35" t="s">
        <v>39</v>
      </c>
      <c r="F154" s="31" t="s">
        <v>18</v>
      </c>
      <c r="G154" s="32"/>
      <c r="H154" s="32" t="s">
        <v>40</v>
      </c>
      <c r="I154" s="32" t="s">
        <v>40</v>
      </c>
    </row>
    <row r="155" spans="1:9" ht="16.5" customHeight="1" x14ac:dyDescent="0.2">
      <c r="A155" s="35" t="s">
        <v>3408</v>
      </c>
      <c r="B155" s="26" t="s">
        <v>5380</v>
      </c>
      <c r="C155" s="26" t="s">
        <v>64</v>
      </c>
      <c r="D155" s="26" t="s">
        <v>82</v>
      </c>
      <c r="E155" s="35" t="s">
        <v>39</v>
      </c>
      <c r="F155" s="31" t="s">
        <v>18</v>
      </c>
      <c r="G155" s="32"/>
      <c r="H155" s="32" t="s">
        <v>40</v>
      </c>
      <c r="I155" s="32" t="s">
        <v>40</v>
      </c>
    </row>
    <row r="156" spans="1:9" ht="16.5" customHeight="1" x14ac:dyDescent="0.2">
      <c r="A156" s="35" t="s">
        <v>3408</v>
      </c>
      <c r="B156" s="26" t="s">
        <v>5380</v>
      </c>
      <c r="C156" s="26" t="s">
        <v>64</v>
      </c>
      <c r="D156" s="26" t="s">
        <v>82</v>
      </c>
      <c r="E156" s="35" t="s">
        <v>39</v>
      </c>
      <c r="F156" s="31" t="s">
        <v>18</v>
      </c>
      <c r="G156" s="32"/>
      <c r="H156" s="32" t="s">
        <v>40</v>
      </c>
      <c r="I156" s="32" t="s">
        <v>40</v>
      </c>
    </row>
    <row r="157" spans="1:9" ht="16.5" customHeight="1" x14ac:dyDescent="0.2">
      <c r="A157" s="27" t="s">
        <v>3410</v>
      </c>
      <c r="B157" s="27" t="s">
        <v>3411</v>
      </c>
      <c r="C157" s="27" t="s">
        <v>7</v>
      </c>
      <c r="D157" s="27" t="s">
        <v>8</v>
      </c>
      <c r="E157" s="27" t="s">
        <v>39</v>
      </c>
      <c r="F157" s="47" t="s">
        <v>11</v>
      </c>
      <c r="G157" s="44" t="s">
        <v>61</v>
      </c>
      <c r="H157" s="32"/>
      <c r="I157" s="32" t="s">
        <v>40</v>
      </c>
    </row>
    <row r="158" spans="1:9" ht="16.5" customHeight="1" x14ac:dyDescent="0.2">
      <c r="A158" s="35" t="s">
        <v>3412</v>
      </c>
      <c r="B158" s="35" t="s">
        <v>3413</v>
      </c>
      <c r="C158" s="35" t="s">
        <v>115</v>
      </c>
      <c r="D158" s="35" t="s">
        <v>119</v>
      </c>
      <c r="E158" s="35" t="s">
        <v>39</v>
      </c>
      <c r="F158" s="52" t="s">
        <v>11</v>
      </c>
      <c r="G158" s="30" t="s">
        <v>72</v>
      </c>
      <c r="H158" s="55"/>
      <c r="I158" s="32" t="s">
        <v>40</v>
      </c>
    </row>
    <row r="159" spans="1:9" ht="16.5" customHeight="1" x14ac:dyDescent="0.2">
      <c r="A159" s="35" t="s">
        <v>3412</v>
      </c>
      <c r="B159" s="35" t="s">
        <v>3413</v>
      </c>
      <c r="C159" s="35" t="s">
        <v>115</v>
      </c>
      <c r="D159" s="35" t="s">
        <v>119</v>
      </c>
      <c r="E159" s="35" t="s">
        <v>39</v>
      </c>
      <c r="F159" s="52" t="s">
        <v>11</v>
      </c>
      <c r="G159" s="30" t="s">
        <v>72</v>
      </c>
      <c r="H159" s="55"/>
      <c r="I159" s="32" t="s">
        <v>40</v>
      </c>
    </row>
    <row r="160" spans="1:9" ht="16.5" customHeight="1" x14ac:dyDescent="0.2">
      <c r="A160" s="35" t="s">
        <v>3412</v>
      </c>
      <c r="B160" s="35" t="s">
        <v>3413</v>
      </c>
      <c r="C160" s="35" t="s">
        <v>115</v>
      </c>
      <c r="D160" s="35" t="s">
        <v>119</v>
      </c>
      <c r="E160" s="35" t="s">
        <v>39</v>
      </c>
      <c r="F160" s="52" t="s">
        <v>11</v>
      </c>
      <c r="G160" s="30" t="s">
        <v>72</v>
      </c>
      <c r="H160" s="55"/>
      <c r="I160" s="32" t="s">
        <v>40</v>
      </c>
    </row>
    <row r="161" spans="1:9" ht="16.5" customHeight="1" x14ac:dyDescent="0.2">
      <c r="A161" s="35" t="s">
        <v>3412</v>
      </c>
      <c r="B161" s="35" t="s">
        <v>3413</v>
      </c>
      <c r="C161" s="35" t="s">
        <v>115</v>
      </c>
      <c r="D161" s="35" t="s">
        <v>119</v>
      </c>
      <c r="E161" s="35" t="s">
        <v>39</v>
      </c>
      <c r="F161" s="52" t="s">
        <v>11</v>
      </c>
      <c r="G161" s="30" t="s">
        <v>72</v>
      </c>
      <c r="H161" s="55"/>
      <c r="I161" s="32" t="s">
        <v>40</v>
      </c>
    </row>
    <row r="162" spans="1:9" ht="16.5" customHeight="1" x14ac:dyDescent="0.2">
      <c r="A162" s="35" t="s">
        <v>3412</v>
      </c>
      <c r="B162" s="35" t="s">
        <v>3413</v>
      </c>
      <c r="C162" s="35" t="s">
        <v>115</v>
      </c>
      <c r="D162" s="35" t="s">
        <v>119</v>
      </c>
      <c r="E162" s="35" t="s">
        <v>39</v>
      </c>
      <c r="F162" s="52" t="s">
        <v>11</v>
      </c>
      <c r="G162" s="30" t="s">
        <v>72</v>
      </c>
      <c r="H162" s="30"/>
      <c r="I162" s="32" t="s">
        <v>40</v>
      </c>
    </row>
    <row r="163" spans="1:9" ht="16.5" customHeight="1" x14ac:dyDescent="0.2">
      <c r="A163" s="35" t="s">
        <v>3412</v>
      </c>
      <c r="B163" s="35" t="s">
        <v>3413</v>
      </c>
      <c r="C163" s="35" t="s">
        <v>115</v>
      </c>
      <c r="D163" s="35" t="s">
        <v>119</v>
      </c>
      <c r="E163" s="35" t="s">
        <v>39</v>
      </c>
      <c r="F163" s="52" t="s">
        <v>11</v>
      </c>
      <c r="G163" s="30" t="s">
        <v>72</v>
      </c>
      <c r="H163" s="30"/>
      <c r="I163" s="32" t="s">
        <v>40</v>
      </c>
    </row>
    <row r="164" spans="1:9" ht="16.5" customHeight="1" x14ac:dyDescent="0.2">
      <c r="A164" s="35" t="s">
        <v>3412</v>
      </c>
      <c r="B164" s="35" t="s">
        <v>3413</v>
      </c>
      <c r="C164" s="35" t="s">
        <v>115</v>
      </c>
      <c r="D164" s="35" t="s">
        <v>119</v>
      </c>
      <c r="E164" s="35" t="s">
        <v>39</v>
      </c>
      <c r="F164" s="52" t="s">
        <v>11</v>
      </c>
      <c r="G164" s="30" t="s">
        <v>72</v>
      </c>
      <c r="H164" s="30"/>
      <c r="I164" s="32" t="s">
        <v>40</v>
      </c>
    </row>
    <row r="165" spans="1:9" ht="16.5" customHeight="1" x14ac:dyDescent="0.2">
      <c r="A165" s="35" t="s">
        <v>3412</v>
      </c>
      <c r="B165" s="35" t="s">
        <v>3413</v>
      </c>
      <c r="C165" s="35" t="s">
        <v>115</v>
      </c>
      <c r="D165" s="35" t="s">
        <v>119</v>
      </c>
      <c r="E165" s="35" t="s">
        <v>39</v>
      </c>
      <c r="F165" s="52" t="s">
        <v>11</v>
      </c>
      <c r="G165" s="30" t="s">
        <v>72</v>
      </c>
      <c r="H165" s="30"/>
      <c r="I165" s="32" t="s">
        <v>40</v>
      </c>
    </row>
    <row r="166" spans="1:9" ht="16.5" customHeight="1" x14ac:dyDescent="0.2">
      <c r="A166" s="35" t="s">
        <v>3412</v>
      </c>
      <c r="B166" s="35" t="s">
        <v>3413</v>
      </c>
      <c r="C166" s="35" t="s">
        <v>115</v>
      </c>
      <c r="D166" s="35" t="s">
        <v>119</v>
      </c>
      <c r="E166" s="35" t="s">
        <v>39</v>
      </c>
      <c r="F166" s="52" t="s">
        <v>11</v>
      </c>
      <c r="G166" s="30" t="s">
        <v>72</v>
      </c>
      <c r="H166" s="30"/>
      <c r="I166" s="32" t="s">
        <v>40</v>
      </c>
    </row>
    <row r="167" spans="1:9" ht="16.5" customHeight="1" x14ac:dyDescent="0.2">
      <c r="A167" s="26" t="s">
        <v>3414</v>
      </c>
      <c r="B167" s="26" t="s">
        <v>3415</v>
      </c>
      <c r="C167" s="26" t="s">
        <v>98</v>
      </c>
      <c r="D167" s="26" t="s">
        <v>107</v>
      </c>
      <c r="E167" s="26" t="s">
        <v>39</v>
      </c>
      <c r="F167" s="31" t="s">
        <v>18</v>
      </c>
      <c r="G167" s="31" t="s">
        <v>41</v>
      </c>
      <c r="H167" s="32"/>
      <c r="I167" s="32" t="s">
        <v>40</v>
      </c>
    </row>
    <row r="168" spans="1:9" ht="16.5" customHeight="1" x14ac:dyDescent="0.2">
      <c r="A168" s="26" t="s">
        <v>3414</v>
      </c>
      <c r="B168" s="26" t="s">
        <v>3415</v>
      </c>
      <c r="C168" s="26" t="s">
        <v>98</v>
      </c>
      <c r="D168" s="26" t="s">
        <v>107</v>
      </c>
      <c r="E168" s="26" t="s">
        <v>39</v>
      </c>
      <c r="F168" s="31" t="s">
        <v>18</v>
      </c>
      <c r="G168" s="31" t="s">
        <v>41</v>
      </c>
      <c r="H168" s="82"/>
      <c r="I168" s="32" t="s">
        <v>40</v>
      </c>
    </row>
    <row r="169" spans="1:9" ht="16.5" customHeight="1" x14ac:dyDescent="0.2">
      <c r="A169" s="35" t="s">
        <v>3416</v>
      </c>
      <c r="B169" s="35" t="s">
        <v>3417</v>
      </c>
      <c r="C169" s="35" t="s">
        <v>64</v>
      </c>
      <c r="D169" s="35" t="s">
        <v>70</v>
      </c>
      <c r="E169" s="35" t="s">
        <v>39</v>
      </c>
      <c r="F169" s="30" t="s">
        <v>18</v>
      </c>
      <c r="G169" s="27" t="s">
        <v>19</v>
      </c>
      <c r="H169" s="51"/>
      <c r="I169" s="32" t="s">
        <v>40</v>
      </c>
    </row>
    <row r="170" spans="1:9" ht="16.5" customHeight="1" x14ac:dyDescent="0.2">
      <c r="A170" s="35" t="s">
        <v>3416</v>
      </c>
      <c r="B170" s="35" t="s">
        <v>3417</v>
      </c>
      <c r="C170" s="35" t="s">
        <v>64</v>
      </c>
      <c r="D170" s="35" t="s">
        <v>70</v>
      </c>
      <c r="E170" s="35" t="s">
        <v>39</v>
      </c>
      <c r="F170" s="30" t="s">
        <v>18</v>
      </c>
      <c r="G170" s="31" t="s">
        <v>61</v>
      </c>
      <c r="H170" s="32"/>
      <c r="I170" s="32" t="s">
        <v>40</v>
      </c>
    </row>
    <row r="171" spans="1:9" ht="16.5" customHeight="1" x14ac:dyDescent="0.2">
      <c r="A171" s="35" t="s">
        <v>3418</v>
      </c>
      <c r="B171" s="35" t="s">
        <v>3419</v>
      </c>
      <c r="C171" s="35" t="s">
        <v>115</v>
      </c>
      <c r="D171" s="35" t="s">
        <v>119</v>
      </c>
      <c r="E171" s="35" t="s">
        <v>39</v>
      </c>
      <c r="F171" s="52" t="s">
        <v>18</v>
      </c>
      <c r="G171" s="60" t="s">
        <v>61</v>
      </c>
      <c r="H171" s="60"/>
      <c r="I171" s="32" t="s">
        <v>40</v>
      </c>
    </row>
    <row r="172" spans="1:9" ht="16.5" customHeight="1" x14ac:dyDescent="0.2">
      <c r="A172" s="35" t="s">
        <v>3420</v>
      </c>
      <c r="B172" s="35" t="s">
        <v>3421</v>
      </c>
      <c r="C172" s="35" t="s">
        <v>64</v>
      </c>
      <c r="D172" s="35" t="s">
        <v>82</v>
      </c>
      <c r="E172" s="35" t="s">
        <v>39</v>
      </c>
      <c r="F172" s="52" t="s">
        <v>11</v>
      </c>
      <c r="G172" s="31" t="s">
        <v>26</v>
      </c>
      <c r="H172" s="32"/>
      <c r="I172" s="32" t="s">
        <v>40</v>
      </c>
    </row>
    <row r="173" spans="1:9" ht="16.5" customHeight="1" x14ac:dyDescent="0.2">
      <c r="A173" s="54" t="s">
        <v>3422</v>
      </c>
      <c r="B173" s="57" t="s">
        <v>3423</v>
      </c>
      <c r="C173" s="54" t="s">
        <v>7</v>
      </c>
      <c r="D173" s="54" t="s">
        <v>8</v>
      </c>
      <c r="E173" s="54" t="s">
        <v>39</v>
      </c>
      <c r="F173" s="52" t="s">
        <v>18</v>
      </c>
      <c r="G173" s="30" t="s">
        <v>41</v>
      </c>
      <c r="H173" s="35" t="s">
        <v>3424</v>
      </c>
      <c r="I173" s="32" t="s">
        <v>40</v>
      </c>
    </row>
    <row r="174" spans="1:9" ht="16.5" customHeight="1" x14ac:dyDescent="0.2">
      <c r="A174" s="35" t="s">
        <v>3422</v>
      </c>
      <c r="B174" s="35" t="s">
        <v>3423</v>
      </c>
      <c r="C174" s="35" t="s">
        <v>7</v>
      </c>
      <c r="D174" s="35" t="s">
        <v>8</v>
      </c>
      <c r="E174" s="35" t="s">
        <v>39</v>
      </c>
      <c r="F174" s="52" t="s">
        <v>18</v>
      </c>
      <c r="G174" s="30" t="s">
        <v>41</v>
      </c>
      <c r="H174" s="55"/>
      <c r="I174" s="32" t="s">
        <v>40</v>
      </c>
    </row>
    <row r="175" spans="1:9" ht="16.5" customHeight="1" x14ac:dyDescent="0.2">
      <c r="A175" s="35" t="s">
        <v>3422</v>
      </c>
      <c r="B175" s="35" t="s">
        <v>3423</v>
      </c>
      <c r="C175" s="35" t="s">
        <v>7</v>
      </c>
      <c r="D175" s="35" t="s">
        <v>8</v>
      </c>
      <c r="E175" s="35" t="s">
        <v>39</v>
      </c>
      <c r="F175" s="52" t="s">
        <v>18</v>
      </c>
      <c r="G175" s="30" t="s">
        <v>41</v>
      </c>
      <c r="H175" s="55"/>
      <c r="I175" s="32" t="s">
        <v>40</v>
      </c>
    </row>
    <row r="176" spans="1:9" ht="16.5" customHeight="1" x14ac:dyDescent="0.2">
      <c r="A176" s="35" t="s">
        <v>3422</v>
      </c>
      <c r="B176" s="35" t="s">
        <v>3423</v>
      </c>
      <c r="C176" s="35" t="s">
        <v>7</v>
      </c>
      <c r="D176" s="35" t="s">
        <v>8</v>
      </c>
      <c r="E176" s="35" t="s">
        <v>39</v>
      </c>
      <c r="F176" s="52" t="s">
        <v>18</v>
      </c>
      <c r="G176" s="30" t="s">
        <v>41</v>
      </c>
      <c r="H176" s="55"/>
      <c r="I176" s="32" t="s">
        <v>40</v>
      </c>
    </row>
    <row r="177" spans="1:9" ht="16.5" customHeight="1" x14ac:dyDescent="0.2">
      <c r="A177" s="26" t="s">
        <v>3425</v>
      </c>
      <c r="B177" s="26" t="s">
        <v>3426</v>
      </c>
      <c r="C177" s="26" t="s">
        <v>64</v>
      </c>
      <c r="D177" s="26" t="s">
        <v>82</v>
      </c>
      <c r="E177" s="26" t="s">
        <v>39</v>
      </c>
      <c r="F177" s="31" t="s">
        <v>11</v>
      </c>
      <c r="G177" s="31" t="s">
        <v>41</v>
      </c>
      <c r="H177" s="31"/>
      <c r="I177" s="32" t="s">
        <v>40</v>
      </c>
    </row>
    <row r="178" spans="1:9" ht="16.5" customHeight="1" x14ac:dyDescent="0.2">
      <c r="A178" s="26" t="s">
        <v>3425</v>
      </c>
      <c r="B178" s="26" t="s">
        <v>3426</v>
      </c>
      <c r="C178" s="26" t="s">
        <v>64</v>
      </c>
      <c r="D178" s="26" t="s">
        <v>82</v>
      </c>
      <c r="E178" s="26" t="s">
        <v>39</v>
      </c>
      <c r="F178" s="31" t="s">
        <v>11</v>
      </c>
      <c r="G178" s="31" t="s">
        <v>41</v>
      </c>
      <c r="H178" s="31"/>
      <c r="I178" s="32" t="s">
        <v>40</v>
      </c>
    </row>
    <row r="179" spans="1:9" ht="16.5" customHeight="1" x14ac:dyDescent="0.2">
      <c r="A179" s="35" t="s">
        <v>3427</v>
      </c>
      <c r="B179" s="35" t="s">
        <v>3428</v>
      </c>
      <c r="C179" s="35" t="s">
        <v>115</v>
      </c>
      <c r="D179" s="35" t="s">
        <v>119</v>
      </c>
      <c r="E179" s="35" t="s">
        <v>39</v>
      </c>
      <c r="F179" s="52" t="s">
        <v>18</v>
      </c>
      <c r="G179" s="30" t="s">
        <v>61</v>
      </c>
      <c r="H179" s="30"/>
      <c r="I179" s="32" t="s">
        <v>40</v>
      </c>
    </row>
    <row r="180" spans="1:9" ht="16.5" customHeight="1" x14ac:dyDescent="0.2">
      <c r="A180" s="35" t="s">
        <v>3427</v>
      </c>
      <c r="B180" s="35" t="s">
        <v>3428</v>
      </c>
      <c r="C180" s="35" t="s">
        <v>115</v>
      </c>
      <c r="D180" s="35" t="s">
        <v>119</v>
      </c>
      <c r="E180" s="35" t="s">
        <v>39</v>
      </c>
      <c r="F180" s="52" t="s">
        <v>18</v>
      </c>
      <c r="G180" s="30" t="s">
        <v>61</v>
      </c>
      <c r="H180" s="30" t="s">
        <v>5215</v>
      </c>
      <c r="I180" s="32" t="s">
        <v>40</v>
      </c>
    </row>
    <row r="181" spans="1:9" ht="16.5" customHeight="1" x14ac:dyDescent="0.2">
      <c r="A181" s="35" t="s">
        <v>3429</v>
      </c>
      <c r="B181" s="26" t="s">
        <v>5392</v>
      </c>
      <c r="C181" s="35" t="s">
        <v>64</v>
      </c>
      <c r="D181" s="35" t="s">
        <v>82</v>
      </c>
      <c r="E181" s="35" t="s">
        <v>39</v>
      </c>
      <c r="F181" s="52" t="s">
        <v>11</v>
      </c>
      <c r="G181" s="47" t="s">
        <v>26</v>
      </c>
      <c r="H181" s="44"/>
      <c r="I181" s="32" t="s">
        <v>40</v>
      </c>
    </row>
    <row r="182" spans="1:9" ht="16.5" customHeight="1" x14ac:dyDescent="0.2">
      <c r="A182" s="35" t="s">
        <v>3429</v>
      </c>
      <c r="B182" s="26" t="s">
        <v>5392</v>
      </c>
      <c r="C182" s="35" t="s">
        <v>64</v>
      </c>
      <c r="D182" s="35" t="s">
        <v>82</v>
      </c>
      <c r="E182" s="35" t="s">
        <v>39</v>
      </c>
      <c r="F182" s="52" t="s">
        <v>11</v>
      </c>
      <c r="G182" s="47" t="s">
        <v>26</v>
      </c>
      <c r="H182" s="44"/>
      <c r="I182" s="32" t="s">
        <v>40</v>
      </c>
    </row>
    <row r="183" spans="1:9" ht="16.5" customHeight="1" x14ac:dyDescent="0.2">
      <c r="A183" s="26" t="s">
        <v>3431</v>
      </c>
      <c r="B183" s="26" t="s">
        <v>3432</v>
      </c>
      <c r="C183" s="66" t="s">
        <v>37</v>
      </c>
      <c r="D183" s="27" t="s">
        <v>38</v>
      </c>
      <c r="E183" s="27" t="s">
        <v>39</v>
      </c>
      <c r="F183" s="31" t="s">
        <v>18</v>
      </c>
      <c r="G183" s="27" t="s">
        <v>41</v>
      </c>
      <c r="H183" s="51"/>
      <c r="I183" s="32" t="s">
        <v>40</v>
      </c>
    </row>
    <row r="184" spans="1:9" ht="16.5" customHeight="1" x14ac:dyDescent="0.2">
      <c r="A184" s="26" t="s">
        <v>3431</v>
      </c>
      <c r="B184" s="26" t="s">
        <v>3432</v>
      </c>
      <c r="C184" s="66" t="s">
        <v>37</v>
      </c>
      <c r="D184" s="27" t="s">
        <v>38</v>
      </c>
      <c r="E184" s="27" t="s">
        <v>39</v>
      </c>
      <c r="F184" s="31" t="s">
        <v>18</v>
      </c>
      <c r="G184" s="27" t="s">
        <v>41</v>
      </c>
      <c r="H184" s="51"/>
      <c r="I184" s="32" t="s">
        <v>40</v>
      </c>
    </row>
    <row r="185" spans="1:9" ht="16.5" customHeight="1" x14ac:dyDescent="0.2">
      <c r="A185" s="26" t="s">
        <v>3433</v>
      </c>
      <c r="B185" s="26" t="s">
        <v>5270</v>
      </c>
      <c r="C185" s="26" t="s">
        <v>7</v>
      </c>
      <c r="D185" s="26" t="s">
        <v>16</v>
      </c>
      <c r="E185" s="26" t="s">
        <v>39</v>
      </c>
      <c r="F185" s="31" t="s">
        <v>11</v>
      </c>
      <c r="G185" s="32"/>
      <c r="H185" s="32" t="s">
        <v>40</v>
      </c>
      <c r="I185" s="32" t="s">
        <v>40</v>
      </c>
    </row>
    <row r="186" spans="1:9" ht="16.5" customHeight="1" x14ac:dyDescent="0.2">
      <c r="A186" s="26" t="s">
        <v>3433</v>
      </c>
      <c r="B186" s="26" t="s">
        <v>5270</v>
      </c>
      <c r="C186" s="26" t="s">
        <v>7</v>
      </c>
      <c r="D186" s="26" t="s">
        <v>16</v>
      </c>
      <c r="E186" s="26" t="s">
        <v>39</v>
      </c>
      <c r="F186" s="31" t="s">
        <v>11</v>
      </c>
      <c r="G186" s="32"/>
      <c r="H186" s="32" t="s">
        <v>40</v>
      </c>
      <c r="I186" s="32" t="s">
        <v>40</v>
      </c>
    </row>
    <row r="187" spans="1:9" ht="16.5" customHeight="1" x14ac:dyDescent="0.2">
      <c r="A187" s="26" t="s">
        <v>3433</v>
      </c>
      <c r="B187" s="26" t="s">
        <v>5270</v>
      </c>
      <c r="C187" s="26" t="s">
        <v>7</v>
      </c>
      <c r="D187" s="26" t="s">
        <v>16</v>
      </c>
      <c r="E187" s="26" t="s">
        <v>39</v>
      </c>
      <c r="F187" s="31" t="s">
        <v>11</v>
      </c>
      <c r="G187" s="32"/>
      <c r="H187" s="32" t="s">
        <v>40</v>
      </c>
      <c r="I187" s="32" t="s">
        <v>40</v>
      </c>
    </row>
    <row r="188" spans="1:9" ht="16.5" customHeight="1" x14ac:dyDescent="0.2">
      <c r="A188" s="26" t="s">
        <v>3433</v>
      </c>
      <c r="B188" s="26" t="s">
        <v>5270</v>
      </c>
      <c r="C188" s="26" t="s">
        <v>7</v>
      </c>
      <c r="D188" s="26" t="s">
        <v>16</v>
      </c>
      <c r="E188" s="26" t="s">
        <v>39</v>
      </c>
      <c r="F188" s="31" t="s">
        <v>11</v>
      </c>
      <c r="G188" s="32"/>
      <c r="H188" s="32" t="s">
        <v>40</v>
      </c>
      <c r="I188" s="32" t="s">
        <v>40</v>
      </c>
    </row>
    <row r="189" spans="1:9" ht="16.5" customHeight="1" x14ac:dyDescent="0.2">
      <c r="A189" s="26" t="s">
        <v>3433</v>
      </c>
      <c r="B189" s="26" t="s">
        <v>5270</v>
      </c>
      <c r="C189" s="26" t="s">
        <v>7</v>
      </c>
      <c r="D189" s="26" t="s">
        <v>16</v>
      </c>
      <c r="E189" s="26" t="s">
        <v>39</v>
      </c>
      <c r="F189" s="31" t="s">
        <v>11</v>
      </c>
      <c r="G189" s="32"/>
      <c r="H189" s="32" t="s">
        <v>40</v>
      </c>
      <c r="I189" s="32" t="s">
        <v>40</v>
      </c>
    </row>
    <row r="190" spans="1:9" ht="16.5" customHeight="1" x14ac:dyDescent="0.2">
      <c r="A190" s="26" t="s">
        <v>3435</v>
      </c>
      <c r="B190" s="26" t="s">
        <v>3436</v>
      </c>
      <c r="C190" s="26" t="s">
        <v>98</v>
      </c>
      <c r="D190" s="26" t="s">
        <v>113</v>
      </c>
      <c r="E190" s="26" t="s">
        <v>39</v>
      </c>
      <c r="F190" s="31" t="s">
        <v>11</v>
      </c>
      <c r="G190" s="31" t="s">
        <v>61</v>
      </c>
      <c r="H190" s="32"/>
      <c r="I190" s="32" t="s">
        <v>40</v>
      </c>
    </row>
    <row r="191" spans="1:9" ht="16.5" customHeight="1" x14ac:dyDescent="0.2">
      <c r="A191" s="25" t="s">
        <v>3437</v>
      </c>
      <c r="B191" s="26" t="s">
        <v>3438</v>
      </c>
      <c r="C191" s="27" t="s">
        <v>98</v>
      </c>
      <c r="D191" s="27" t="s">
        <v>102</v>
      </c>
      <c r="E191" s="26" t="s">
        <v>39</v>
      </c>
      <c r="F191" s="31" t="s">
        <v>18</v>
      </c>
      <c r="G191" s="31" t="s">
        <v>41</v>
      </c>
      <c r="H191" s="32"/>
      <c r="I191" s="32" t="s">
        <v>40</v>
      </c>
    </row>
    <row r="192" spans="1:9" ht="16.5" customHeight="1" x14ac:dyDescent="0.2">
      <c r="A192" s="35" t="s">
        <v>3439</v>
      </c>
      <c r="B192" s="35" t="s">
        <v>3440</v>
      </c>
      <c r="C192" s="26" t="s">
        <v>98</v>
      </c>
      <c r="D192" s="26" t="s">
        <v>107</v>
      </c>
      <c r="E192" s="26" t="s">
        <v>39</v>
      </c>
      <c r="F192" s="31" t="s">
        <v>11</v>
      </c>
      <c r="G192" s="27" t="s">
        <v>41</v>
      </c>
      <c r="H192" s="27"/>
      <c r="I192" s="32" t="s">
        <v>40</v>
      </c>
    </row>
    <row r="193" spans="1:9" ht="16.5" customHeight="1" x14ac:dyDescent="0.2">
      <c r="A193" s="35" t="s">
        <v>3439</v>
      </c>
      <c r="B193" s="35" t="s">
        <v>3440</v>
      </c>
      <c r="C193" s="26" t="s">
        <v>98</v>
      </c>
      <c r="D193" s="26" t="s">
        <v>107</v>
      </c>
      <c r="E193" s="26" t="s">
        <v>39</v>
      </c>
      <c r="F193" s="31" t="s">
        <v>11</v>
      </c>
      <c r="G193" s="27" t="s">
        <v>41</v>
      </c>
      <c r="H193" s="27"/>
      <c r="I193" s="32" t="s">
        <v>40</v>
      </c>
    </row>
    <row r="194" spans="1:9" ht="16.5" customHeight="1" x14ac:dyDescent="0.2">
      <c r="A194" s="35" t="s">
        <v>3439</v>
      </c>
      <c r="B194" s="35" t="s">
        <v>3440</v>
      </c>
      <c r="C194" s="26" t="s">
        <v>98</v>
      </c>
      <c r="D194" s="26" t="s">
        <v>107</v>
      </c>
      <c r="E194" s="26" t="s">
        <v>39</v>
      </c>
      <c r="F194" s="31" t="s">
        <v>11</v>
      </c>
      <c r="G194" s="27" t="s">
        <v>41</v>
      </c>
      <c r="H194" s="27"/>
      <c r="I194" s="32" t="s">
        <v>40</v>
      </c>
    </row>
    <row r="195" spans="1:9" ht="16.5" customHeight="1" x14ac:dyDescent="0.2">
      <c r="A195" s="26" t="s">
        <v>3441</v>
      </c>
      <c r="B195" s="26" t="s">
        <v>3442</v>
      </c>
      <c r="C195" s="26" t="s">
        <v>98</v>
      </c>
      <c r="D195" s="26" t="s">
        <v>105</v>
      </c>
      <c r="E195" s="26" t="s">
        <v>39</v>
      </c>
      <c r="F195" s="31" t="s">
        <v>18</v>
      </c>
      <c r="G195" s="31" t="s">
        <v>41</v>
      </c>
      <c r="H195" s="32"/>
      <c r="I195" s="32" t="s">
        <v>40</v>
      </c>
    </row>
    <row r="196" spans="1:9" ht="16.5" customHeight="1" x14ac:dyDescent="0.2">
      <c r="A196" s="26" t="s">
        <v>3443</v>
      </c>
      <c r="B196" s="26" t="s">
        <v>3444</v>
      </c>
      <c r="C196" s="66" t="s">
        <v>98</v>
      </c>
      <c r="D196" s="66" t="s">
        <v>110</v>
      </c>
      <c r="E196" s="66" t="s">
        <v>39</v>
      </c>
      <c r="F196" s="31" t="s">
        <v>11</v>
      </c>
      <c r="G196" s="67" t="s">
        <v>12</v>
      </c>
      <c r="H196" s="32" t="s">
        <v>40</v>
      </c>
      <c r="I196" s="32" t="s">
        <v>40</v>
      </c>
    </row>
    <row r="197" spans="1:9" ht="16.5" customHeight="1" x14ac:dyDescent="0.2">
      <c r="A197" s="26" t="s">
        <v>3443</v>
      </c>
      <c r="B197" s="26" t="s">
        <v>3444</v>
      </c>
      <c r="C197" s="66" t="s">
        <v>98</v>
      </c>
      <c r="D197" s="66" t="s">
        <v>110</v>
      </c>
      <c r="E197" s="66" t="s">
        <v>39</v>
      </c>
      <c r="F197" s="31" t="s">
        <v>32</v>
      </c>
      <c r="G197" s="66" t="s">
        <v>12</v>
      </c>
      <c r="H197" s="32"/>
      <c r="I197" s="32" t="s">
        <v>40</v>
      </c>
    </row>
    <row r="198" spans="1:9" ht="16.5" customHeight="1" x14ac:dyDescent="0.2">
      <c r="A198" s="35" t="s">
        <v>3445</v>
      </c>
      <c r="B198" s="35" t="s">
        <v>5167</v>
      </c>
      <c r="C198" s="35" t="s">
        <v>7</v>
      </c>
      <c r="D198" s="35" t="s">
        <v>30</v>
      </c>
      <c r="E198" s="35" t="s">
        <v>39</v>
      </c>
      <c r="F198" s="52" t="s">
        <v>18</v>
      </c>
      <c r="G198" s="30" t="s">
        <v>72</v>
      </c>
      <c r="H198" s="30" t="s">
        <v>3447</v>
      </c>
      <c r="I198" s="32" t="s">
        <v>40</v>
      </c>
    </row>
    <row r="199" spans="1:9" ht="16.5" customHeight="1" x14ac:dyDescent="0.2">
      <c r="A199" s="35" t="s">
        <v>3448</v>
      </c>
      <c r="B199" s="54" t="s">
        <v>5552</v>
      </c>
      <c r="C199" s="35" t="s">
        <v>115</v>
      </c>
      <c r="D199" s="35" t="s">
        <v>131</v>
      </c>
      <c r="E199" s="35" t="s">
        <v>39</v>
      </c>
      <c r="F199" s="30" t="s">
        <v>18</v>
      </c>
      <c r="G199" s="31" t="s">
        <v>72</v>
      </c>
      <c r="H199" s="55" t="s">
        <v>3450</v>
      </c>
      <c r="I199" s="32" t="s">
        <v>40</v>
      </c>
    </row>
    <row r="200" spans="1:9" ht="16.5" customHeight="1" x14ac:dyDescent="0.2">
      <c r="A200" s="35" t="s">
        <v>3448</v>
      </c>
      <c r="B200" s="54" t="s">
        <v>5552</v>
      </c>
      <c r="C200" s="35" t="s">
        <v>115</v>
      </c>
      <c r="D200" s="35" t="s">
        <v>131</v>
      </c>
      <c r="E200" s="35" t="s">
        <v>39</v>
      </c>
      <c r="F200" s="30" t="s">
        <v>18</v>
      </c>
      <c r="G200" s="31" t="s">
        <v>72</v>
      </c>
      <c r="H200" s="55" t="s">
        <v>5554</v>
      </c>
      <c r="I200" s="32" t="s">
        <v>40</v>
      </c>
    </row>
    <row r="201" spans="1:9" ht="16.5" customHeight="1" x14ac:dyDescent="0.2">
      <c r="A201" s="35" t="s">
        <v>3448</v>
      </c>
      <c r="B201" s="54" t="s">
        <v>5552</v>
      </c>
      <c r="C201" s="35" t="s">
        <v>115</v>
      </c>
      <c r="D201" s="35" t="s">
        <v>131</v>
      </c>
      <c r="E201" s="35" t="s">
        <v>39</v>
      </c>
      <c r="F201" s="30" t="s">
        <v>18</v>
      </c>
      <c r="G201" s="31" t="s">
        <v>72</v>
      </c>
      <c r="H201" s="55" t="s">
        <v>5556</v>
      </c>
      <c r="I201" s="32" t="s">
        <v>40</v>
      </c>
    </row>
    <row r="202" spans="1:9" ht="16.5" customHeight="1" x14ac:dyDescent="0.2">
      <c r="A202" s="35" t="s">
        <v>3448</v>
      </c>
      <c r="B202" s="54" t="s">
        <v>5552</v>
      </c>
      <c r="C202" s="35" t="s">
        <v>115</v>
      </c>
      <c r="D202" s="35" t="s">
        <v>131</v>
      </c>
      <c r="E202" s="35" t="s">
        <v>39</v>
      </c>
      <c r="F202" s="30" t="s">
        <v>18</v>
      </c>
      <c r="G202" s="31" t="s">
        <v>72</v>
      </c>
      <c r="H202" s="55" t="s">
        <v>5557</v>
      </c>
      <c r="I202" s="32" t="s">
        <v>40</v>
      </c>
    </row>
    <row r="203" spans="1:9" ht="16.5" customHeight="1" x14ac:dyDescent="0.2">
      <c r="A203" s="35" t="s">
        <v>3448</v>
      </c>
      <c r="B203" s="54" t="s">
        <v>5552</v>
      </c>
      <c r="C203" s="35" t="s">
        <v>115</v>
      </c>
      <c r="D203" s="35" t="s">
        <v>131</v>
      </c>
      <c r="E203" s="35" t="s">
        <v>39</v>
      </c>
      <c r="F203" s="30" t="s">
        <v>18</v>
      </c>
      <c r="G203" s="31" t="s">
        <v>72</v>
      </c>
      <c r="H203" s="55" t="s">
        <v>3507</v>
      </c>
      <c r="I203" s="32" t="s">
        <v>40</v>
      </c>
    </row>
    <row r="204" spans="1:9" ht="16.5" customHeight="1" x14ac:dyDescent="0.2">
      <c r="A204" s="26" t="s">
        <v>3451</v>
      </c>
      <c r="B204" s="26" t="s">
        <v>3452</v>
      </c>
      <c r="C204" s="26" t="s">
        <v>98</v>
      </c>
      <c r="D204" s="26" t="s">
        <v>107</v>
      </c>
      <c r="E204" s="26" t="s">
        <v>39</v>
      </c>
      <c r="F204" s="31" t="s">
        <v>18</v>
      </c>
      <c r="G204" s="31" t="s">
        <v>41</v>
      </c>
      <c r="H204" s="32"/>
      <c r="I204" s="32" t="s">
        <v>40</v>
      </c>
    </row>
    <row r="205" spans="1:9" ht="16.5" customHeight="1" x14ac:dyDescent="0.2">
      <c r="A205" s="26" t="s">
        <v>3451</v>
      </c>
      <c r="B205" s="26" t="s">
        <v>3452</v>
      </c>
      <c r="C205" s="26" t="s">
        <v>98</v>
      </c>
      <c r="D205" s="26" t="s">
        <v>107</v>
      </c>
      <c r="E205" s="26" t="s">
        <v>39</v>
      </c>
      <c r="F205" s="31" t="s">
        <v>18</v>
      </c>
      <c r="G205" s="31" t="s">
        <v>41</v>
      </c>
      <c r="H205" s="82"/>
      <c r="I205" s="32" t="s">
        <v>40</v>
      </c>
    </row>
    <row r="206" spans="1:9" ht="16.5" customHeight="1" x14ac:dyDescent="0.2">
      <c r="A206" s="26" t="s">
        <v>3453</v>
      </c>
      <c r="B206" s="26" t="s">
        <v>3454</v>
      </c>
      <c r="C206" s="26" t="s">
        <v>115</v>
      </c>
      <c r="D206" s="26" t="s">
        <v>122</v>
      </c>
      <c r="E206" s="26" t="s">
        <v>39</v>
      </c>
      <c r="F206" s="31" t="s">
        <v>18</v>
      </c>
      <c r="G206" s="31" t="s">
        <v>61</v>
      </c>
      <c r="H206" s="32"/>
      <c r="I206" s="32" t="s">
        <v>40</v>
      </c>
    </row>
    <row r="207" spans="1:9" ht="16.5" customHeight="1" x14ac:dyDescent="0.2">
      <c r="A207" s="26" t="s">
        <v>3453</v>
      </c>
      <c r="B207" s="26" t="s">
        <v>3454</v>
      </c>
      <c r="C207" s="26" t="s">
        <v>115</v>
      </c>
      <c r="D207" s="26" t="s">
        <v>122</v>
      </c>
      <c r="E207" s="26" t="s">
        <v>39</v>
      </c>
      <c r="F207" s="31" t="s">
        <v>18</v>
      </c>
      <c r="G207" s="31" t="s">
        <v>61</v>
      </c>
      <c r="H207" s="32"/>
      <c r="I207" s="32" t="s">
        <v>40</v>
      </c>
    </row>
    <row r="208" spans="1:9" ht="16.5" customHeight="1" x14ac:dyDescent="0.2">
      <c r="A208" s="26" t="s">
        <v>3453</v>
      </c>
      <c r="B208" s="26" t="s">
        <v>3454</v>
      </c>
      <c r="C208" s="26" t="s">
        <v>115</v>
      </c>
      <c r="D208" s="26" t="s">
        <v>122</v>
      </c>
      <c r="E208" s="26" t="s">
        <v>39</v>
      </c>
      <c r="F208" s="31" t="s">
        <v>18</v>
      </c>
      <c r="G208" s="31" t="s">
        <v>61</v>
      </c>
      <c r="H208" s="32"/>
      <c r="I208" s="32" t="s">
        <v>40</v>
      </c>
    </row>
    <row r="209" spans="1:9" ht="16.5" customHeight="1" x14ac:dyDescent="0.2">
      <c r="A209" s="26" t="s">
        <v>3453</v>
      </c>
      <c r="B209" s="26" t="s">
        <v>3454</v>
      </c>
      <c r="C209" s="26" t="s">
        <v>115</v>
      </c>
      <c r="D209" s="26" t="s">
        <v>122</v>
      </c>
      <c r="E209" s="26" t="s">
        <v>39</v>
      </c>
      <c r="F209" s="31" t="s">
        <v>18</v>
      </c>
      <c r="G209" s="31" t="s">
        <v>61</v>
      </c>
      <c r="H209" s="32"/>
      <c r="I209" s="32" t="s">
        <v>40</v>
      </c>
    </row>
    <row r="210" spans="1:9" ht="16.5" customHeight="1" x14ac:dyDescent="0.2">
      <c r="A210" s="26" t="s">
        <v>3455</v>
      </c>
      <c r="B210" s="26" t="s">
        <v>3456</v>
      </c>
      <c r="C210" s="26" t="s">
        <v>115</v>
      </c>
      <c r="D210" s="27" t="s">
        <v>116</v>
      </c>
      <c r="E210" s="27" t="s">
        <v>39</v>
      </c>
      <c r="F210" s="31" t="s">
        <v>18</v>
      </c>
      <c r="G210" s="31" t="s">
        <v>61</v>
      </c>
      <c r="H210" s="31"/>
      <c r="I210" s="32" t="s">
        <v>40</v>
      </c>
    </row>
    <row r="211" spans="1:9" ht="16.5" customHeight="1" x14ac:dyDescent="0.2">
      <c r="A211" s="26" t="s">
        <v>3455</v>
      </c>
      <c r="B211" s="26" t="s">
        <v>3456</v>
      </c>
      <c r="C211" s="26" t="s">
        <v>115</v>
      </c>
      <c r="D211" s="27" t="s">
        <v>116</v>
      </c>
      <c r="E211" s="27" t="s">
        <v>39</v>
      </c>
      <c r="F211" s="31" t="s">
        <v>18</v>
      </c>
      <c r="G211" s="31" t="s">
        <v>61</v>
      </c>
      <c r="H211" s="31"/>
      <c r="I211" s="32" t="s">
        <v>40</v>
      </c>
    </row>
    <row r="212" spans="1:9" ht="16.5" customHeight="1" x14ac:dyDescent="0.2">
      <c r="A212" s="35" t="s">
        <v>3457</v>
      </c>
      <c r="B212" s="35" t="s">
        <v>3458</v>
      </c>
      <c r="C212" s="35" t="s">
        <v>115</v>
      </c>
      <c r="D212" s="35" t="s">
        <v>119</v>
      </c>
      <c r="E212" s="35" t="s">
        <v>39</v>
      </c>
      <c r="F212" s="52" t="s">
        <v>18</v>
      </c>
      <c r="G212" s="30" t="s">
        <v>61</v>
      </c>
      <c r="H212" s="30"/>
      <c r="I212" s="32" t="s">
        <v>40</v>
      </c>
    </row>
    <row r="213" spans="1:9" ht="16.5" customHeight="1" x14ac:dyDescent="0.2">
      <c r="A213" s="35" t="s">
        <v>3457</v>
      </c>
      <c r="B213" s="35" t="s">
        <v>3458</v>
      </c>
      <c r="C213" s="35" t="s">
        <v>115</v>
      </c>
      <c r="D213" s="35" t="s">
        <v>119</v>
      </c>
      <c r="E213" s="35" t="s">
        <v>39</v>
      </c>
      <c r="F213" s="52" t="s">
        <v>18</v>
      </c>
      <c r="G213" s="30" t="s">
        <v>61</v>
      </c>
      <c r="H213" s="30"/>
      <c r="I213" s="32" t="s">
        <v>40</v>
      </c>
    </row>
    <row r="214" spans="1:9" ht="16.5" customHeight="1" x14ac:dyDescent="0.2">
      <c r="A214" s="26" t="s">
        <v>3459</v>
      </c>
      <c r="B214" s="26" t="s">
        <v>3460</v>
      </c>
      <c r="C214" s="26" t="s">
        <v>64</v>
      </c>
      <c r="D214" s="26" t="s">
        <v>82</v>
      </c>
      <c r="E214" s="26" t="s">
        <v>39</v>
      </c>
      <c r="F214" s="31" t="s">
        <v>11</v>
      </c>
      <c r="G214" s="31" t="s">
        <v>19</v>
      </c>
      <c r="H214" s="31"/>
      <c r="I214" s="32" t="s">
        <v>40</v>
      </c>
    </row>
    <row r="215" spans="1:9" ht="16.5" customHeight="1" x14ac:dyDescent="0.2">
      <c r="A215" s="26" t="s">
        <v>3459</v>
      </c>
      <c r="B215" s="26" t="s">
        <v>3460</v>
      </c>
      <c r="C215" s="26" t="s">
        <v>64</v>
      </c>
      <c r="D215" s="26" t="s">
        <v>82</v>
      </c>
      <c r="E215" s="26" t="s">
        <v>39</v>
      </c>
      <c r="F215" s="31" t="s">
        <v>11</v>
      </c>
      <c r="G215" s="31" t="s">
        <v>19</v>
      </c>
      <c r="H215" s="31"/>
      <c r="I215" s="32" t="s">
        <v>40</v>
      </c>
    </row>
    <row r="216" spans="1:9" ht="16.5" customHeight="1" x14ac:dyDescent="0.2">
      <c r="A216" s="35" t="s">
        <v>3461</v>
      </c>
      <c r="B216" s="35" t="s">
        <v>3462</v>
      </c>
      <c r="C216" s="35" t="s">
        <v>115</v>
      </c>
      <c r="D216" s="35" t="s">
        <v>119</v>
      </c>
      <c r="E216" s="35" t="s">
        <v>39</v>
      </c>
      <c r="F216" s="52" t="s">
        <v>18</v>
      </c>
      <c r="G216" s="30" t="s">
        <v>61</v>
      </c>
      <c r="H216" s="30"/>
      <c r="I216" s="32" t="s">
        <v>40</v>
      </c>
    </row>
    <row r="217" spans="1:9" ht="16.5" customHeight="1" x14ac:dyDescent="0.2">
      <c r="A217" s="35" t="s">
        <v>3461</v>
      </c>
      <c r="B217" s="35" t="s">
        <v>3462</v>
      </c>
      <c r="C217" s="35" t="s">
        <v>115</v>
      </c>
      <c r="D217" s="35" t="s">
        <v>119</v>
      </c>
      <c r="E217" s="35" t="s">
        <v>39</v>
      </c>
      <c r="F217" s="52" t="s">
        <v>18</v>
      </c>
      <c r="G217" s="30" t="s">
        <v>61</v>
      </c>
      <c r="H217" s="55"/>
      <c r="I217" s="32" t="s">
        <v>40</v>
      </c>
    </row>
    <row r="218" spans="1:9" ht="16.5" customHeight="1" x14ac:dyDescent="0.2">
      <c r="A218" s="56" t="s">
        <v>3461</v>
      </c>
      <c r="B218" s="35" t="s">
        <v>3462</v>
      </c>
      <c r="C218" s="35" t="s">
        <v>115</v>
      </c>
      <c r="D218" s="35" t="s">
        <v>119</v>
      </c>
      <c r="E218" s="35" t="s">
        <v>39</v>
      </c>
      <c r="F218" s="52" t="s">
        <v>18</v>
      </c>
      <c r="G218" s="30" t="s">
        <v>61</v>
      </c>
      <c r="H218" s="55"/>
      <c r="I218" s="32" t="s">
        <v>40</v>
      </c>
    </row>
    <row r="219" spans="1:9" ht="16.5" customHeight="1" x14ac:dyDescent="0.2">
      <c r="A219" s="35" t="s">
        <v>3463</v>
      </c>
      <c r="B219" s="35" t="s">
        <v>3464</v>
      </c>
      <c r="C219" s="35" t="s">
        <v>64</v>
      </c>
      <c r="D219" s="35" t="s">
        <v>74</v>
      </c>
      <c r="E219" s="35" t="s">
        <v>39</v>
      </c>
      <c r="F219" s="30" t="s">
        <v>18</v>
      </c>
      <c r="G219" s="31" t="s">
        <v>41</v>
      </c>
      <c r="H219" s="31" t="s">
        <v>3465</v>
      </c>
      <c r="I219" s="32" t="s">
        <v>40</v>
      </c>
    </row>
    <row r="220" spans="1:9" ht="16.5" customHeight="1" x14ac:dyDescent="0.2">
      <c r="A220" s="35" t="s">
        <v>3466</v>
      </c>
      <c r="B220" s="35" t="s">
        <v>3467</v>
      </c>
      <c r="C220" s="35" t="s">
        <v>64</v>
      </c>
      <c r="D220" s="35" t="s">
        <v>65</v>
      </c>
      <c r="E220" s="35" t="s">
        <v>39</v>
      </c>
      <c r="F220" s="30" t="s">
        <v>18</v>
      </c>
      <c r="G220" s="31" t="s">
        <v>19</v>
      </c>
      <c r="H220" s="32"/>
      <c r="I220" s="32" t="s">
        <v>40</v>
      </c>
    </row>
    <row r="221" spans="1:9" ht="16.5" customHeight="1" x14ac:dyDescent="0.2">
      <c r="A221" s="35" t="s">
        <v>3466</v>
      </c>
      <c r="B221" s="35" t="s">
        <v>3467</v>
      </c>
      <c r="C221" s="35" t="s">
        <v>64</v>
      </c>
      <c r="D221" s="35" t="s">
        <v>65</v>
      </c>
      <c r="E221" s="35" t="s">
        <v>39</v>
      </c>
      <c r="F221" s="30" t="s">
        <v>18</v>
      </c>
      <c r="G221" s="31" t="s">
        <v>19</v>
      </c>
      <c r="H221" s="32"/>
      <c r="I221" s="32" t="s">
        <v>40</v>
      </c>
    </row>
    <row r="222" spans="1:9" ht="16.5" customHeight="1" x14ac:dyDescent="0.2">
      <c r="A222" s="35" t="s">
        <v>3468</v>
      </c>
      <c r="B222" s="35" t="s">
        <v>3469</v>
      </c>
      <c r="C222" s="35" t="s">
        <v>64</v>
      </c>
      <c r="D222" s="35" t="s">
        <v>65</v>
      </c>
      <c r="E222" s="35" t="s">
        <v>39</v>
      </c>
      <c r="F222" s="30" t="s">
        <v>18</v>
      </c>
      <c r="G222" s="31" t="s">
        <v>61</v>
      </c>
      <c r="H222" s="32"/>
      <c r="I222" s="32" t="s">
        <v>40</v>
      </c>
    </row>
    <row r="223" spans="1:9" ht="16.5" customHeight="1" x14ac:dyDescent="0.2">
      <c r="A223" s="35" t="s">
        <v>3468</v>
      </c>
      <c r="B223" s="35" t="s">
        <v>3469</v>
      </c>
      <c r="C223" s="35" t="s">
        <v>64</v>
      </c>
      <c r="D223" s="35" t="s">
        <v>65</v>
      </c>
      <c r="E223" s="35" t="s">
        <v>39</v>
      </c>
      <c r="F223" s="30" t="s">
        <v>18</v>
      </c>
      <c r="G223" s="31" t="s">
        <v>61</v>
      </c>
      <c r="H223" s="32"/>
      <c r="I223" s="32" t="s">
        <v>40</v>
      </c>
    </row>
    <row r="224" spans="1:9" ht="16.5" customHeight="1" x14ac:dyDescent="0.2">
      <c r="A224" s="35" t="s">
        <v>3468</v>
      </c>
      <c r="B224" s="35" t="s">
        <v>3469</v>
      </c>
      <c r="C224" s="35" t="s">
        <v>64</v>
      </c>
      <c r="D224" s="35" t="s">
        <v>65</v>
      </c>
      <c r="E224" s="35" t="s">
        <v>39</v>
      </c>
      <c r="F224" s="30" t="s">
        <v>18</v>
      </c>
      <c r="G224" s="31" t="s">
        <v>61</v>
      </c>
      <c r="H224" s="32"/>
      <c r="I224" s="32" t="s">
        <v>40</v>
      </c>
    </row>
    <row r="225" spans="1:9" ht="16.5" customHeight="1" x14ac:dyDescent="0.2">
      <c r="A225" s="26" t="s">
        <v>3470</v>
      </c>
      <c r="B225" s="26" t="s">
        <v>3471</v>
      </c>
      <c r="C225" s="26" t="s">
        <v>7</v>
      </c>
      <c r="D225" s="26" t="s">
        <v>16</v>
      </c>
      <c r="E225" s="26" t="s">
        <v>39</v>
      </c>
      <c r="F225" s="31" t="s">
        <v>18</v>
      </c>
      <c r="G225" s="31" t="s">
        <v>61</v>
      </c>
      <c r="H225" s="32"/>
      <c r="I225" s="32" t="s">
        <v>40</v>
      </c>
    </row>
    <row r="226" spans="1:9" ht="16.5" customHeight="1" x14ac:dyDescent="0.2">
      <c r="A226" s="26" t="s">
        <v>3470</v>
      </c>
      <c r="B226" s="26" t="s">
        <v>3471</v>
      </c>
      <c r="C226" s="26" t="s">
        <v>7</v>
      </c>
      <c r="D226" s="26" t="s">
        <v>16</v>
      </c>
      <c r="E226" s="26" t="s">
        <v>39</v>
      </c>
      <c r="F226" s="31" t="s">
        <v>18</v>
      </c>
      <c r="G226" s="31" t="s">
        <v>61</v>
      </c>
      <c r="H226" s="32"/>
      <c r="I226" s="32" t="s">
        <v>40</v>
      </c>
    </row>
    <row r="227" spans="1:9" ht="16.5" customHeight="1" x14ac:dyDescent="0.2">
      <c r="A227" s="26" t="s">
        <v>3472</v>
      </c>
      <c r="B227" s="26" t="s">
        <v>3473</v>
      </c>
      <c r="C227" s="26" t="s">
        <v>115</v>
      </c>
      <c r="D227" s="26" t="s">
        <v>122</v>
      </c>
      <c r="E227" s="26" t="s">
        <v>39</v>
      </c>
      <c r="F227" s="31" t="s">
        <v>18</v>
      </c>
      <c r="G227" s="31" t="s">
        <v>61</v>
      </c>
      <c r="H227" s="32"/>
      <c r="I227" s="32" t="s">
        <v>40</v>
      </c>
    </row>
    <row r="228" spans="1:9" ht="16.5" customHeight="1" x14ac:dyDescent="0.2">
      <c r="A228" s="26" t="s">
        <v>3472</v>
      </c>
      <c r="B228" s="26" t="s">
        <v>3473</v>
      </c>
      <c r="C228" s="26" t="s">
        <v>115</v>
      </c>
      <c r="D228" s="26" t="s">
        <v>122</v>
      </c>
      <c r="E228" s="26" t="s">
        <v>39</v>
      </c>
      <c r="F228" s="31" t="s">
        <v>18</v>
      </c>
      <c r="G228" s="31" t="s">
        <v>61</v>
      </c>
      <c r="H228" s="32"/>
      <c r="I228" s="32" t="s">
        <v>40</v>
      </c>
    </row>
    <row r="229" spans="1:9" ht="16.5" customHeight="1" x14ac:dyDescent="0.2">
      <c r="A229" s="35" t="s">
        <v>3474</v>
      </c>
      <c r="B229" s="35" t="s">
        <v>3475</v>
      </c>
      <c r="C229" s="35" t="s">
        <v>7</v>
      </c>
      <c r="D229" s="35" t="s">
        <v>8</v>
      </c>
      <c r="E229" s="35" t="s">
        <v>39</v>
      </c>
      <c r="F229" s="52" t="s">
        <v>18</v>
      </c>
      <c r="G229" s="30" t="s">
        <v>41</v>
      </c>
      <c r="H229" s="55"/>
      <c r="I229" s="32" t="s">
        <v>40</v>
      </c>
    </row>
    <row r="230" spans="1:9" ht="16.5" customHeight="1" x14ac:dyDescent="0.2">
      <c r="A230" s="35" t="s">
        <v>3474</v>
      </c>
      <c r="B230" s="35" t="s">
        <v>3475</v>
      </c>
      <c r="C230" s="35" t="s">
        <v>7</v>
      </c>
      <c r="D230" s="35" t="s">
        <v>8</v>
      </c>
      <c r="E230" s="35" t="s">
        <v>39</v>
      </c>
      <c r="F230" s="52" t="s">
        <v>18</v>
      </c>
      <c r="G230" s="30" t="s">
        <v>41</v>
      </c>
      <c r="H230" s="55"/>
      <c r="I230" s="32" t="s">
        <v>40</v>
      </c>
    </row>
    <row r="231" spans="1:9" ht="16.5" customHeight="1" x14ac:dyDescent="0.2">
      <c r="A231" s="35" t="s">
        <v>3474</v>
      </c>
      <c r="B231" s="35" t="s">
        <v>3475</v>
      </c>
      <c r="C231" s="35" t="s">
        <v>7</v>
      </c>
      <c r="D231" s="35" t="s">
        <v>8</v>
      </c>
      <c r="E231" s="35" t="s">
        <v>39</v>
      </c>
      <c r="F231" s="52" t="s">
        <v>18</v>
      </c>
      <c r="G231" s="30" t="s">
        <v>41</v>
      </c>
      <c r="H231" s="55"/>
      <c r="I231" s="32" t="s">
        <v>40</v>
      </c>
    </row>
    <row r="232" spans="1:9" ht="16.5" customHeight="1" x14ac:dyDescent="0.2">
      <c r="A232" s="26" t="s">
        <v>3476</v>
      </c>
      <c r="B232" s="26" t="s">
        <v>3477</v>
      </c>
      <c r="C232" s="26" t="s">
        <v>64</v>
      </c>
      <c r="D232" s="26" t="s">
        <v>82</v>
      </c>
      <c r="E232" s="26" t="s">
        <v>39</v>
      </c>
      <c r="F232" s="31" t="s">
        <v>11</v>
      </c>
      <c r="G232" s="31" t="s">
        <v>19</v>
      </c>
      <c r="H232" s="31"/>
      <c r="I232" s="32" t="s">
        <v>40</v>
      </c>
    </row>
    <row r="233" spans="1:9" ht="16.5" customHeight="1" x14ac:dyDescent="0.2">
      <c r="A233" s="26" t="s">
        <v>3478</v>
      </c>
      <c r="B233" s="26" t="s">
        <v>3479</v>
      </c>
      <c r="C233" s="66" t="s">
        <v>37</v>
      </c>
      <c r="D233" s="27" t="s">
        <v>38</v>
      </c>
      <c r="E233" s="27" t="s">
        <v>39</v>
      </c>
      <c r="F233" s="31" t="s">
        <v>18</v>
      </c>
      <c r="G233" s="31" t="s">
        <v>61</v>
      </c>
      <c r="H233" s="32"/>
      <c r="I233" s="32" t="s">
        <v>40</v>
      </c>
    </row>
    <row r="234" spans="1:9" ht="16.5" customHeight="1" x14ac:dyDescent="0.2">
      <c r="A234" s="26" t="s">
        <v>3478</v>
      </c>
      <c r="B234" s="26" t="s">
        <v>3479</v>
      </c>
      <c r="C234" s="66" t="s">
        <v>37</v>
      </c>
      <c r="D234" s="27" t="s">
        <v>38</v>
      </c>
      <c r="E234" s="27" t="s">
        <v>39</v>
      </c>
      <c r="F234" s="31" t="s">
        <v>18</v>
      </c>
      <c r="G234" s="31" t="s">
        <v>61</v>
      </c>
      <c r="H234" s="32"/>
      <c r="I234" s="32" t="s">
        <v>40</v>
      </c>
    </row>
    <row r="235" spans="1:9" ht="16.5" customHeight="1" x14ac:dyDescent="0.2">
      <c r="A235" s="35" t="s">
        <v>3480</v>
      </c>
      <c r="B235" s="35" t="s">
        <v>3481</v>
      </c>
      <c r="C235" s="35" t="s">
        <v>115</v>
      </c>
      <c r="D235" s="35" t="s">
        <v>125</v>
      </c>
      <c r="E235" s="35" t="s">
        <v>39</v>
      </c>
      <c r="F235" s="30" t="s">
        <v>18</v>
      </c>
      <c r="G235" s="31" t="s">
        <v>12</v>
      </c>
      <c r="H235" s="55" t="s">
        <v>3482</v>
      </c>
      <c r="I235" s="32" t="s">
        <v>40</v>
      </c>
    </row>
    <row r="236" spans="1:9" ht="16.5" customHeight="1" x14ac:dyDescent="0.2">
      <c r="A236" s="35" t="s">
        <v>3483</v>
      </c>
      <c r="B236" s="35" t="s">
        <v>3484</v>
      </c>
      <c r="C236" s="35" t="s">
        <v>115</v>
      </c>
      <c r="D236" s="35" t="s">
        <v>116</v>
      </c>
      <c r="E236" s="35" t="s">
        <v>39</v>
      </c>
      <c r="F236" s="52" t="s">
        <v>18</v>
      </c>
      <c r="G236" s="52" t="s">
        <v>61</v>
      </c>
      <c r="I236" s="32" t="s">
        <v>40</v>
      </c>
    </row>
    <row r="237" spans="1:9" ht="16.5" customHeight="1" x14ac:dyDescent="0.2">
      <c r="A237" s="35" t="s">
        <v>3483</v>
      </c>
      <c r="B237" s="35" t="s">
        <v>3484</v>
      </c>
      <c r="C237" s="35" t="s">
        <v>115</v>
      </c>
      <c r="D237" s="35" t="s">
        <v>116</v>
      </c>
      <c r="E237" s="35" t="s">
        <v>39</v>
      </c>
      <c r="F237" s="52" t="s">
        <v>18</v>
      </c>
      <c r="G237" s="52" t="s">
        <v>61</v>
      </c>
      <c r="H237" s="4" t="s">
        <v>5332</v>
      </c>
      <c r="I237" s="32" t="s">
        <v>40</v>
      </c>
    </row>
    <row r="238" spans="1:9" ht="16.5" customHeight="1" x14ac:dyDescent="0.2">
      <c r="A238" s="35" t="s">
        <v>3485</v>
      </c>
      <c r="B238" s="35" t="s">
        <v>3486</v>
      </c>
      <c r="C238" s="35" t="s">
        <v>64</v>
      </c>
      <c r="D238" s="35" t="s">
        <v>65</v>
      </c>
      <c r="E238" s="35" t="s">
        <v>39</v>
      </c>
      <c r="F238" s="30" t="s">
        <v>18</v>
      </c>
      <c r="G238" s="31" t="s">
        <v>19</v>
      </c>
      <c r="H238" s="32"/>
      <c r="I238" s="32" t="s">
        <v>40</v>
      </c>
    </row>
    <row r="239" spans="1:9" ht="16.5" customHeight="1" x14ac:dyDescent="0.2">
      <c r="A239" s="35" t="s">
        <v>3485</v>
      </c>
      <c r="B239" s="35" t="s">
        <v>3486</v>
      </c>
      <c r="C239" s="35" t="s">
        <v>64</v>
      </c>
      <c r="D239" s="35" t="s">
        <v>65</v>
      </c>
      <c r="E239" s="35" t="s">
        <v>39</v>
      </c>
      <c r="F239" s="30" t="s">
        <v>18</v>
      </c>
      <c r="G239" s="31" t="s">
        <v>41</v>
      </c>
      <c r="H239" s="31" t="s">
        <v>5407</v>
      </c>
      <c r="I239" s="32" t="s">
        <v>40</v>
      </c>
    </row>
    <row r="240" spans="1:9" ht="16.5" customHeight="1" x14ac:dyDescent="0.2">
      <c r="A240" s="35" t="s">
        <v>3485</v>
      </c>
      <c r="B240" s="35" t="s">
        <v>3486</v>
      </c>
      <c r="C240" s="35" t="s">
        <v>64</v>
      </c>
      <c r="D240" s="35" t="s">
        <v>65</v>
      </c>
      <c r="E240" s="35" t="s">
        <v>39</v>
      </c>
      <c r="F240" s="30" t="s">
        <v>18</v>
      </c>
      <c r="G240" s="31" t="s">
        <v>41</v>
      </c>
      <c r="H240" s="31" t="s">
        <v>5408</v>
      </c>
      <c r="I240" s="32" t="s">
        <v>40</v>
      </c>
    </row>
    <row r="241" spans="1:9" ht="16.5" customHeight="1" x14ac:dyDescent="0.2">
      <c r="A241" s="26" t="s">
        <v>3487</v>
      </c>
      <c r="B241" s="26" t="s">
        <v>3488</v>
      </c>
      <c r="C241" s="66" t="s">
        <v>37</v>
      </c>
      <c r="D241" s="27" t="s">
        <v>38</v>
      </c>
      <c r="E241" s="27" t="s">
        <v>39</v>
      </c>
      <c r="F241" s="31" t="s">
        <v>18</v>
      </c>
      <c r="G241" s="31" t="s">
        <v>41</v>
      </c>
      <c r="H241" s="32"/>
      <c r="I241" s="32" t="s">
        <v>40</v>
      </c>
    </row>
    <row r="242" spans="1:9" ht="16.5" customHeight="1" x14ac:dyDescent="0.2">
      <c r="A242" s="26" t="s">
        <v>3487</v>
      </c>
      <c r="B242" s="26" t="s">
        <v>3488</v>
      </c>
      <c r="C242" s="66" t="s">
        <v>37</v>
      </c>
      <c r="D242" s="27" t="s">
        <v>38</v>
      </c>
      <c r="E242" s="27" t="s">
        <v>39</v>
      </c>
      <c r="F242" s="31" t="s">
        <v>18</v>
      </c>
      <c r="G242" s="31" t="s">
        <v>41</v>
      </c>
      <c r="H242" s="32"/>
      <c r="I242" s="32" t="s">
        <v>40</v>
      </c>
    </row>
    <row r="243" spans="1:9" ht="16.5" customHeight="1" x14ac:dyDescent="0.2">
      <c r="A243" s="26" t="s">
        <v>3489</v>
      </c>
      <c r="B243" s="26" t="s">
        <v>3490</v>
      </c>
      <c r="C243" s="26" t="s">
        <v>37</v>
      </c>
      <c r="D243" s="26" t="s">
        <v>45</v>
      </c>
      <c r="E243" s="26" t="s">
        <v>39</v>
      </c>
      <c r="F243" s="31" t="s">
        <v>18</v>
      </c>
      <c r="G243" s="31" t="s">
        <v>72</v>
      </c>
      <c r="H243" s="43" t="s">
        <v>3491</v>
      </c>
      <c r="I243" s="32" t="s">
        <v>40</v>
      </c>
    </row>
    <row r="244" spans="1:9" ht="16.5" customHeight="1" x14ac:dyDescent="0.2">
      <c r="A244" s="35" t="s">
        <v>3492</v>
      </c>
      <c r="B244" s="35" t="s">
        <v>3493</v>
      </c>
      <c r="C244" s="35" t="s">
        <v>115</v>
      </c>
      <c r="D244" s="35" t="s">
        <v>125</v>
      </c>
      <c r="E244" s="35" t="s">
        <v>39</v>
      </c>
      <c r="F244" s="30" t="s">
        <v>18</v>
      </c>
      <c r="G244" s="31" t="s">
        <v>41</v>
      </c>
      <c r="H244" s="55" t="s">
        <v>3494</v>
      </c>
      <c r="I244" s="32" t="s">
        <v>40</v>
      </c>
    </row>
    <row r="245" spans="1:9" ht="16.5" customHeight="1" x14ac:dyDescent="0.2">
      <c r="A245" s="35" t="s">
        <v>3492</v>
      </c>
      <c r="B245" s="35" t="s">
        <v>3493</v>
      </c>
      <c r="C245" s="35" t="s">
        <v>115</v>
      </c>
      <c r="D245" s="35" t="s">
        <v>125</v>
      </c>
      <c r="E245" s="35" t="s">
        <v>39</v>
      </c>
      <c r="F245" s="30" t="s">
        <v>18</v>
      </c>
      <c r="G245" s="31" t="s">
        <v>41</v>
      </c>
      <c r="H245" s="55" t="s">
        <v>5531</v>
      </c>
      <c r="I245" s="32" t="s">
        <v>40</v>
      </c>
    </row>
    <row r="246" spans="1:9" ht="16.5" customHeight="1" x14ac:dyDescent="0.2">
      <c r="A246" s="35" t="s">
        <v>3492</v>
      </c>
      <c r="B246" s="35" t="s">
        <v>3493</v>
      </c>
      <c r="C246" s="35" t="s">
        <v>115</v>
      </c>
      <c r="D246" s="35" t="s">
        <v>125</v>
      </c>
      <c r="E246" s="35" t="s">
        <v>39</v>
      </c>
      <c r="F246" s="30" t="s">
        <v>18</v>
      </c>
      <c r="G246" s="31" t="s">
        <v>41</v>
      </c>
      <c r="H246" s="55" t="s">
        <v>5532</v>
      </c>
      <c r="I246" s="32" t="s">
        <v>40</v>
      </c>
    </row>
    <row r="247" spans="1:9" ht="16.5" customHeight="1" x14ac:dyDescent="0.2">
      <c r="A247" s="35" t="s">
        <v>3492</v>
      </c>
      <c r="B247" s="35" t="s">
        <v>3493</v>
      </c>
      <c r="C247" s="35" t="s">
        <v>115</v>
      </c>
      <c r="D247" s="35" t="s">
        <v>125</v>
      </c>
      <c r="E247" s="35" t="s">
        <v>39</v>
      </c>
      <c r="F247" s="30" t="s">
        <v>18</v>
      </c>
      <c r="G247" s="31" t="s">
        <v>41</v>
      </c>
      <c r="H247" s="55" t="s">
        <v>5533</v>
      </c>
      <c r="I247" s="32" t="s">
        <v>40</v>
      </c>
    </row>
    <row r="248" spans="1:9" ht="16.5" customHeight="1" x14ac:dyDescent="0.2">
      <c r="A248" s="35" t="s">
        <v>3492</v>
      </c>
      <c r="B248" s="35" t="s">
        <v>3493</v>
      </c>
      <c r="C248" s="35" t="s">
        <v>115</v>
      </c>
      <c r="D248" s="35" t="s">
        <v>125</v>
      </c>
      <c r="E248" s="35" t="s">
        <v>39</v>
      </c>
      <c r="F248" s="30" t="s">
        <v>18</v>
      </c>
      <c r="G248" s="31" t="s">
        <v>41</v>
      </c>
      <c r="H248" s="55" t="s">
        <v>5534</v>
      </c>
      <c r="I248" s="32" t="s">
        <v>40</v>
      </c>
    </row>
    <row r="249" spans="1:9" ht="16.5" customHeight="1" x14ac:dyDescent="0.2">
      <c r="A249" s="35" t="s">
        <v>3492</v>
      </c>
      <c r="B249" s="35" t="s">
        <v>3493</v>
      </c>
      <c r="C249" s="35" t="s">
        <v>115</v>
      </c>
      <c r="D249" s="35" t="s">
        <v>125</v>
      </c>
      <c r="E249" s="35" t="s">
        <v>39</v>
      </c>
      <c r="F249" s="30" t="s">
        <v>18</v>
      </c>
      <c r="G249" s="31" t="s">
        <v>41</v>
      </c>
      <c r="H249" s="55" t="s">
        <v>5535</v>
      </c>
      <c r="I249" s="32" t="s">
        <v>40</v>
      </c>
    </row>
    <row r="250" spans="1:9" ht="16.5" customHeight="1" x14ac:dyDescent="0.2">
      <c r="A250" s="35" t="s">
        <v>3492</v>
      </c>
      <c r="B250" s="35" t="s">
        <v>3493</v>
      </c>
      <c r="C250" s="35" t="s">
        <v>115</v>
      </c>
      <c r="D250" s="35" t="s">
        <v>125</v>
      </c>
      <c r="E250" s="35" t="s">
        <v>39</v>
      </c>
      <c r="F250" s="30" t="s">
        <v>18</v>
      </c>
      <c r="G250" s="31" t="s">
        <v>41</v>
      </c>
      <c r="H250" s="55" t="s">
        <v>5537</v>
      </c>
      <c r="I250" s="32" t="s">
        <v>40</v>
      </c>
    </row>
    <row r="251" spans="1:9" ht="16.5" customHeight="1" x14ac:dyDescent="0.2">
      <c r="A251" s="26" t="s">
        <v>3495</v>
      </c>
      <c r="B251" s="26" t="s">
        <v>3496</v>
      </c>
      <c r="C251" s="26" t="s">
        <v>37</v>
      </c>
      <c r="D251" s="27" t="s">
        <v>38</v>
      </c>
      <c r="E251" s="27" t="s">
        <v>39</v>
      </c>
      <c r="F251" s="31" t="s">
        <v>18</v>
      </c>
      <c r="G251" s="31" t="s">
        <v>41</v>
      </c>
      <c r="H251" s="32"/>
      <c r="I251" s="32" t="s">
        <v>40</v>
      </c>
    </row>
    <row r="252" spans="1:9" ht="16.5" customHeight="1" x14ac:dyDescent="0.2">
      <c r="A252" s="26" t="s">
        <v>3495</v>
      </c>
      <c r="B252" s="26" t="s">
        <v>3496</v>
      </c>
      <c r="C252" s="26" t="s">
        <v>37</v>
      </c>
      <c r="D252" s="27" t="s">
        <v>38</v>
      </c>
      <c r="E252" s="27" t="s">
        <v>39</v>
      </c>
      <c r="F252" s="31" t="s">
        <v>18</v>
      </c>
      <c r="G252" s="31" t="s">
        <v>41</v>
      </c>
      <c r="H252" s="32"/>
      <c r="I252" s="32" t="s">
        <v>40</v>
      </c>
    </row>
    <row r="253" spans="1:9" ht="16.5" customHeight="1" x14ac:dyDescent="0.2">
      <c r="A253" s="26" t="s">
        <v>3495</v>
      </c>
      <c r="B253" s="26" t="s">
        <v>3496</v>
      </c>
      <c r="C253" s="26" t="s">
        <v>37</v>
      </c>
      <c r="D253" s="27" t="s">
        <v>38</v>
      </c>
      <c r="E253" s="27" t="s">
        <v>39</v>
      </c>
      <c r="F253" s="31" t="s">
        <v>18</v>
      </c>
      <c r="G253" s="31" t="s">
        <v>41</v>
      </c>
      <c r="H253" s="32"/>
      <c r="I253" s="32" t="s">
        <v>40</v>
      </c>
    </row>
    <row r="254" spans="1:9" ht="16.5" customHeight="1" x14ac:dyDescent="0.2">
      <c r="A254" s="26" t="s">
        <v>3497</v>
      </c>
      <c r="B254" s="26" t="s">
        <v>3498</v>
      </c>
      <c r="C254" s="66" t="s">
        <v>37</v>
      </c>
      <c r="D254" s="27" t="s">
        <v>38</v>
      </c>
      <c r="E254" s="27" t="s">
        <v>39</v>
      </c>
      <c r="F254" s="31" t="s">
        <v>18</v>
      </c>
      <c r="G254" s="31" t="s">
        <v>61</v>
      </c>
      <c r="H254" s="32"/>
      <c r="I254" s="32" t="s">
        <v>40</v>
      </c>
    </row>
    <row r="255" spans="1:9" ht="16.5" customHeight="1" x14ac:dyDescent="0.2">
      <c r="A255" s="26" t="s">
        <v>3499</v>
      </c>
      <c r="B255" s="27" t="s">
        <v>3500</v>
      </c>
      <c r="C255" s="26" t="s">
        <v>37</v>
      </c>
      <c r="D255" s="26" t="s">
        <v>45</v>
      </c>
      <c r="E255" s="26" t="s">
        <v>39</v>
      </c>
      <c r="F255" s="31" t="s">
        <v>18</v>
      </c>
      <c r="G255" s="31" t="s">
        <v>72</v>
      </c>
      <c r="H255" s="43" t="s">
        <v>3491</v>
      </c>
      <c r="I255" s="32" t="s">
        <v>40</v>
      </c>
    </row>
    <row r="256" spans="1:9" ht="16.5" customHeight="1" x14ac:dyDescent="0.2">
      <c r="A256" s="26" t="s">
        <v>3501</v>
      </c>
      <c r="B256" s="26" t="s">
        <v>3502</v>
      </c>
      <c r="C256" s="26" t="s">
        <v>37</v>
      </c>
      <c r="D256" s="26" t="s">
        <v>59</v>
      </c>
      <c r="E256" s="26" t="s">
        <v>39</v>
      </c>
      <c r="F256" s="31" t="s">
        <v>25</v>
      </c>
      <c r="G256" s="32"/>
      <c r="H256" s="32"/>
      <c r="I256" s="32" t="s">
        <v>40</v>
      </c>
    </row>
    <row r="257" spans="1:9" ht="16.5" customHeight="1" x14ac:dyDescent="0.2">
      <c r="A257" s="26" t="s">
        <v>3501</v>
      </c>
      <c r="B257" s="26" t="s">
        <v>3502</v>
      </c>
      <c r="C257" s="26" t="s">
        <v>37</v>
      </c>
      <c r="D257" s="26" t="s">
        <v>59</v>
      </c>
      <c r="E257" s="26" t="s">
        <v>39</v>
      </c>
      <c r="F257" s="31" t="s">
        <v>32</v>
      </c>
      <c r="G257" s="32"/>
      <c r="H257" s="32"/>
      <c r="I257" s="32" t="s">
        <v>40</v>
      </c>
    </row>
    <row r="258" spans="1:9" ht="16.5" customHeight="1" x14ac:dyDescent="0.2">
      <c r="A258" s="26" t="s">
        <v>3503</v>
      </c>
      <c r="B258" s="26" t="s">
        <v>3504</v>
      </c>
      <c r="C258" s="26" t="s">
        <v>98</v>
      </c>
      <c r="D258" s="26" t="s">
        <v>113</v>
      </c>
      <c r="E258" s="26" t="s">
        <v>39</v>
      </c>
      <c r="F258" s="31" t="s">
        <v>18</v>
      </c>
      <c r="G258" s="31" t="s">
        <v>12</v>
      </c>
      <c r="H258" s="32"/>
      <c r="I258" s="32" t="s">
        <v>40</v>
      </c>
    </row>
    <row r="259" spans="1:9" ht="16.5" customHeight="1" x14ac:dyDescent="0.2">
      <c r="A259" s="35" t="s">
        <v>3505</v>
      </c>
      <c r="B259" s="54" t="s">
        <v>5571</v>
      </c>
      <c r="C259" s="35" t="s">
        <v>115</v>
      </c>
      <c r="D259" s="35" t="s">
        <v>131</v>
      </c>
      <c r="E259" s="35" t="s">
        <v>39</v>
      </c>
      <c r="F259" s="30" t="s">
        <v>18</v>
      </c>
      <c r="G259" s="31" t="s">
        <v>72</v>
      </c>
      <c r="H259" s="55" t="s">
        <v>3507</v>
      </c>
      <c r="I259" s="32" t="s">
        <v>40</v>
      </c>
    </row>
    <row r="260" spans="1:9" ht="16.5" customHeight="1" x14ac:dyDescent="0.2">
      <c r="A260" s="35" t="s">
        <v>3505</v>
      </c>
      <c r="B260" s="54" t="s">
        <v>5571</v>
      </c>
      <c r="C260" s="35" t="s">
        <v>115</v>
      </c>
      <c r="D260" s="35" t="s">
        <v>131</v>
      </c>
      <c r="E260" s="35" t="s">
        <v>39</v>
      </c>
      <c r="F260" s="30" t="s">
        <v>18</v>
      </c>
      <c r="G260" s="31" t="s">
        <v>72</v>
      </c>
      <c r="H260" s="55" t="s">
        <v>5572</v>
      </c>
      <c r="I260" s="32" t="s">
        <v>40</v>
      </c>
    </row>
    <row r="261" spans="1:9" ht="16.5" customHeight="1" x14ac:dyDescent="0.2">
      <c r="A261" s="25" t="s">
        <v>3508</v>
      </c>
      <c r="B261" s="26" t="s">
        <v>3509</v>
      </c>
      <c r="C261" s="26" t="s">
        <v>7</v>
      </c>
      <c r="D261" s="27" t="s">
        <v>16</v>
      </c>
      <c r="E261" s="26" t="s">
        <v>39</v>
      </c>
      <c r="F261" s="47" t="s">
        <v>18</v>
      </c>
      <c r="G261" s="31" t="s">
        <v>41</v>
      </c>
      <c r="H261" s="32"/>
      <c r="I261" s="32" t="s">
        <v>40</v>
      </c>
    </row>
    <row r="262" spans="1:9" ht="16.5" customHeight="1" x14ac:dyDescent="0.2">
      <c r="A262" s="25" t="s">
        <v>3508</v>
      </c>
      <c r="B262" s="26" t="s">
        <v>3509</v>
      </c>
      <c r="C262" s="26" t="s">
        <v>7</v>
      </c>
      <c r="D262" s="27" t="s">
        <v>16</v>
      </c>
      <c r="E262" s="26" t="s">
        <v>39</v>
      </c>
      <c r="F262" s="47" t="s">
        <v>18</v>
      </c>
      <c r="G262" s="31" t="s">
        <v>41</v>
      </c>
      <c r="H262" s="32"/>
      <c r="I262" s="32" t="s">
        <v>40</v>
      </c>
    </row>
    <row r="263" spans="1:9" ht="16.5" customHeight="1" x14ac:dyDescent="0.2">
      <c r="A263" s="27" t="s">
        <v>3510</v>
      </c>
      <c r="B263" s="26" t="s">
        <v>3511</v>
      </c>
      <c r="C263" s="26" t="s">
        <v>115</v>
      </c>
      <c r="D263" s="26" t="s">
        <v>122</v>
      </c>
      <c r="E263" s="27" t="s">
        <v>39</v>
      </c>
      <c r="F263" s="31" t="s">
        <v>18</v>
      </c>
      <c r="G263" s="31" t="s">
        <v>61</v>
      </c>
      <c r="H263" s="32"/>
      <c r="I263" s="32" t="s">
        <v>40</v>
      </c>
    </row>
    <row r="264" spans="1:9" ht="16.5" customHeight="1" x14ac:dyDescent="0.2">
      <c r="A264" s="26" t="s">
        <v>3512</v>
      </c>
      <c r="B264" s="26" t="s">
        <v>3513</v>
      </c>
      <c r="C264" s="26" t="s">
        <v>98</v>
      </c>
      <c r="D264" s="26" t="s">
        <v>105</v>
      </c>
      <c r="E264" s="26" t="s">
        <v>39</v>
      </c>
      <c r="F264" s="31" t="s">
        <v>18</v>
      </c>
      <c r="G264" s="31" t="s">
        <v>41</v>
      </c>
      <c r="H264" s="32"/>
      <c r="I264" s="32" t="s">
        <v>40</v>
      </c>
    </row>
    <row r="265" spans="1:9" ht="16.5" customHeight="1" x14ac:dyDescent="0.2">
      <c r="A265" s="35" t="s">
        <v>3514</v>
      </c>
      <c r="B265" s="35" t="s">
        <v>5168</v>
      </c>
      <c r="C265" s="35" t="s">
        <v>7</v>
      </c>
      <c r="D265" s="35" t="s">
        <v>30</v>
      </c>
      <c r="E265" s="35" t="s">
        <v>39</v>
      </c>
      <c r="F265" s="52" t="s">
        <v>18</v>
      </c>
      <c r="G265" s="30" t="s">
        <v>72</v>
      </c>
      <c r="H265" s="30" t="s">
        <v>3447</v>
      </c>
      <c r="I265" s="32" t="s">
        <v>40</v>
      </c>
    </row>
    <row r="266" spans="1:9" ht="16.5" customHeight="1" x14ac:dyDescent="0.2">
      <c r="A266" s="35" t="s">
        <v>3516</v>
      </c>
      <c r="B266" s="35" t="s">
        <v>3517</v>
      </c>
      <c r="C266" s="35" t="s">
        <v>115</v>
      </c>
      <c r="D266" s="35" t="s">
        <v>116</v>
      </c>
      <c r="E266" s="35" t="s">
        <v>39</v>
      </c>
      <c r="F266" s="52" t="s">
        <v>18</v>
      </c>
      <c r="G266" s="52" t="s">
        <v>19</v>
      </c>
      <c r="I266" s="32" t="s">
        <v>40</v>
      </c>
    </row>
    <row r="267" spans="1:9" ht="16.5" customHeight="1" x14ac:dyDescent="0.2">
      <c r="A267" s="35" t="s">
        <v>3516</v>
      </c>
      <c r="B267" s="35" t="s">
        <v>3517</v>
      </c>
      <c r="C267" s="35" t="s">
        <v>115</v>
      </c>
      <c r="D267" s="35" t="s">
        <v>116</v>
      </c>
      <c r="E267" s="35" t="s">
        <v>39</v>
      </c>
      <c r="F267" s="52" t="s">
        <v>18</v>
      </c>
      <c r="G267" s="52" t="s">
        <v>19</v>
      </c>
      <c r="I267" s="32" t="s">
        <v>40</v>
      </c>
    </row>
    <row r="268" spans="1:9" ht="16.5" customHeight="1" x14ac:dyDescent="0.2">
      <c r="A268" s="35" t="s">
        <v>3518</v>
      </c>
      <c r="B268" s="35" t="s">
        <v>3519</v>
      </c>
      <c r="C268" s="35" t="s">
        <v>115</v>
      </c>
      <c r="D268" s="35" t="s">
        <v>116</v>
      </c>
      <c r="E268" s="35" t="s">
        <v>39</v>
      </c>
      <c r="F268" s="52" t="s">
        <v>18</v>
      </c>
      <c r="G268" s="52" t="s">
        <v>61</v>
      </c>
      <c r="I268" s="32" t="s">
        <v>40</v>
      </c>
    </row>
    <row r="269" spans="1:9" ht="16.5" customHeight="1" x14ac:dyDescent="0.2">
      <c r="A269" s="35" t="s">
        <v>3520</v>
      </c>
      <c r="B269" s="35" t="s">
        <v>5371</v>
      </c>
      <c r="C269" s="35" t="s">
        <v>64</v>
      </c>
      <c r="D269" s="35" t="s">
        <v>89</v>
      </c>
      <c r="E269" s="54" t="s">
        <v>39</v>
      </c>
      <c r="F269" s="31" t="s">
        <v>18</v>
      </c>
      <c r="G269" s="31" t="s">
        <v>72</v>
      </c>
      <c r="H269" s="31"/>
      <c r="I269" s="32" t="s">
        <v>40</v>
      </c>
    </row>
    <row r="270" spans="1:9" ht="16.5" customHeight="1" x14ac:dyDescent="0.2">
      <c r="A270" s="35" t="s">
        <v>3520</v>
      </c>
      <c r="B270" s="35" t="s">
        <v>5371</v>
      </c>
      <c r="C270" s="35" t="s">
        <v>64</v>
      </c>
      <c r="D270" s="35" t="s">
        <v>89</v>
      </c>
      <c r="E270" s="54" t="s">
        <v>39</v>
      </c>
      <c r="F270" s="31" t="s">
        <v>18</v>
      </c>
      <c r="G270" s="31" t="s">
        <v>41</v>
      </c>
      <c r="H270" s="32"/>
      <c r="I270" s="32" t="s">
        <v>40</v>
      </c>
    </row>
    <row r="271" spans="1:9" ht="16.5" customHeight="1" x14ac:dyDescent="0.2">
      <c r="A271" s="35" t="s">
        <v>3520</v>
      </c>
      <c r="B271" s="35" t="s">
        <v>5371</v>
      </c>
      <c r="C271" s="35" t="s">
        <v>64</v>
      </c>
      <c r="D271" s="35" t="s">
        <v>89</v>
      </c>
      <c r="E271" s="54" t="s">
        <v>39</v>
      </c>
      <c r="F271" s="31" t="s">
        <v>18</v>
      </c>
      <c r="G271" s="31" t="s">
        <v>41</v>
      </c>
      <c r="H271" s="32"/>
      <c r="I271" s="32" t="s">
        <v>40</v>
      </c>
    </row>
    <row r="272" spans="1:9" ht="16.5" customHeight="1" x14ac:dyDescent="0.25">
      <c r="A272" s="76" t="s">
        <v>3522</v>
      </c>
      <c r="B272" s="76" t="s">
        <v>3523</v>
      </c>
      <c r="C272" s="26" t="s">
        <v>64</v>
      </c>
      <c r="D272" s="26" t="s">
        <v>92</v>
      </c>
      <c r="E272" s="26" t="s">
        <v>39</v>
      </c>
      <c r="F272" s="31" t="s">
        <v>18</v>
      </c>
      <c r="G272" s="31" t="s">
        <v>26</v>
      </c>
      <c r="H272" s="32"/>
      <c r="I272" s="32" t="s">
        <v>40</v>
      </c>
    </row>
    <row r="273" spans="1:9" ht="16.5" customHeight="1" x14ac:dyDescent="0.2">
      <c r="A273" s="91" t="s">
        <v>3524</v>
      </c>
      <c r="B273" s="35" t="s">
        <v>3525</v>
      </c>
      <c r="C273" s="35" t="s">
        <v>64</v>
      </c>
      <c r="D273" s="35" t="s">
        <v>70</v>
      </c>
      <c r="E273" s="35" t="s">
        <v>39</v>
      </c>
      <c r="F273" s="30" t="s">
        <v>18</v>
      </c>
      <c r="G273" s="31" t="s">
        <v>61</v>
      </c>
      <c r="H273" s="32"/>
      <c r="I273" s="32" t="s">
        <v>40</v>
      </c>
    </row>
    <row r="274" spans="1:9" ht="16.5" customHeight="1" x14ac:dyDescent="0.2">
      <c r="A274" s="91" t="s">
        <v>3524</v>
      </c>
      <c r="B274" s="35" t="s">
        <v>3525</v>
      </c>
      <c r="C274" s="35" t="s">
        <v>64</v>
      </c>
      <c r="D274" s="35" t="s">
        <v>70</v>
      </c>
      <c r="E274" s="35" t="s">
        <v>39</v>
      </c>
      <c r="F274" s="30" t="s">
        <v>18</v>
      </c>
      <c r="G274" s="31" t="s">
        <v>41</v>
      </c>
      <c r="H274" s="32"/>
      <c r="I274" s="32" t="s">
        <v>40</v>
      </c>
    </row>
    <row r="275" spans="1:9" ht="16.5" customHeight="1" x14ac:dyDescent="0.2">
      <c r="A275" s="91" t="s">
        <v>3524</v>
      </c>
      <c r="B275" s="35" t="s">
        <v>3525</v>
      </c>
      <c r="C275" s="35" t="s">
        <v>64</v>
      </c>
      <c r="D275" s="35" t="s">
        <v>70</v>
      </c>
      <c r="E275" s="35" t="s">
        <v>39</v>
      </c>
      <c r="F275" s="30" t="s">
        <v>18</v>
      </c>
      <c r="G275" s="31" t="s">
        <v>61</v>
      </c>
      <c r="H275" s="32"/>
      <c r="I275" s="32" t="s">
        <v>40</v>
      </c>
    </row>
    <row r="276" spans="1:9" ht="16.5" customHeight="1" x14ac:dyDescent="0.2">
      <c r="A276" s="35" t="s">
        <v>3526</v>
      </c>
      <c r="B276" s="35" t="s">
        <v>3527</v>
      </c>
      <c r="C276" s="35" t="s">
        <v>115</v>
      </c>
      <c r="D276" s="35" t="s">
        <v>119</v>
      </c>
      <c r="E276" s="35" t="s">
        <v>39</v>
      </c>
      <c r="F276" s="52" t="s">
        <v>18</v>
      </c>
      <c r="G276" s="52" t="s">
        <v>61</v>
      </c>
      <c r="H276" s="52"/>
      <c r="I276" s="32" t="s">
        <v>40</v>
      </c>
    </row>
    <row r="277" spans="1:9" ht="16.5" customHeight="1" x14ac:dyDescent="0.2">
      <c r="A277" s="35" t="s">
        <v>3526</v>
      </c>
      <c r="B277" s="35" t="s">
        <v>3527</v>
      </c>
      <c r="C277" s="35" t="s">
        <v>115</v>
      </c>
      <c r="D277" s="35" t="s">
        <v>119</v>
      </c>
      <c r="E277" s="35" t="s">
        <v>39</v>
      </c>
      <c r="F277" s="52" t="s">
        <v>18</v>
      </c>
      <c r="G277" s="30" t="s">
        <v>61</v>
      </c>
      <c r="H277" s="30"/>
      <c r="I277" s="32" t="s">
        <v>40</v>
      </c>
    </row>
    <row r="278" spans="1:9" ht="16.5" customHeight="1" x14ac:dyDescent="0.2">
      <c r="A278" s="35" t="s">
        <v>3526</v>
      </c>
      <c r="B278" s="35" t="s">
        <v>3527</v>
      </c>
      <c r="C278" s="35" t="s">
        <v>115</v>
      </c>
      <c r="D278" s="35" t="s">
        <v>119</v>
      </c>
      <c r="E278" s="35" t="s">
        <v>39</v>
      </c>
      <c r="F278" s="52" t="s">
        <v>18</v>
      </c>
      <c r="G278" s="30" t="s">
        <v>61</v>
      </c>
      <c r="H278" s="30"/>
      <c r="I278" s="32" t="s">
        <v>40</v>
      </c>
    </row>
    <row r="279" spans="1:9" ht="16.5" customHeight="1" x14ac:dyDescent="0.2">
      <c r="A279" s="26" t="s">
        <v>3528</v>
      </c>
      <c r="B279" s="26" t="s">
        <v>3529</v>
      </c>
      <c r="C279" s="26" t="s">
        <v>37</v>
      </c>
      <c r="D279" s="27" t="s">
        <v>38</v>
      </c>
      <c r="E279" s="27" t="s">
        <v>39</v>
      </c>
      <c r="F279" s="31" t="s">
        <v>18</v>
      </c>
      <c r="G279" s="31" t="s">
        <v>41</v>
      </c>
      <c r="H279" s="32"/>
      <c r="I279" s="32" t="s">
        <v>40</v>
      </c>
    </row>
    <row r="280" spans="1:9" ht="16.5" customHeight="1" x14ac:dyDescent="0.2">
      <c r="A280" s="26" t="s">
        <v>3528</v>
      </c>
      <c r="B280" s="26" t="s">
        <v>3529</v>
      </c>
      <c r="C280" s="26" t="s">
        <v>37</v>
      </c>
      <c r="D280" s="27" t="s">
        <v>38</v>
      </c>
      <c r="E280" s="27" t="s">
        <v>39</v>
      </c>
      <c r="F280" s="31" t="s">
        <v>18</v>
      </c>
      <c r="G280" s="31" t="s">
        <v>41</v>
      </c>
      <c r="H280" s="32"/>
      <c r="I280" s="32" t="s">
        <v>40</v>
      </c>
    </row>
    <row r="281" spans="1:9" ht="16.5" customHeight="1" x14ac:dyDescent="0.2">
      <c r="A281" s="35" t="s">
        <v>3530</v>
      </c>
      <c r="B281" s="35" t="s">
        <v>3531</v>
      </c>
      <c r="C281" s="35" t="s">
        <v>115</v>
      </c>
      <c r="D281" s="35" t="s">
        <v>119</v>
      </c>
      <c r="E281" s="35" t="s">
        <v>39</v>
      </c>
      <c r="F281" s="52" t="s">
        <v>18</v>
      </c>
      <c r="G281" s="30" t="s">
        <v>19</v>
      </c>
      <c r="H281" s="30"/>
      <c r="I281" s="32" t="s">
        <v>40</v>
      </c>
    </row>
    <row r="282" spans="1:9" ht="16.5" customHeight="1" x14ac:dyDescent="0.2">
      <c r="A282" s="35" t="s">
        <v>3530</v>
      </c>
      <c r="B282" s="35" t="s">
        <v>3531</v>
      </c>
      <c r="C282" s="35" t="s">
        <v>115</v>
      </c>
      <c r="D282" s="35" t="s">
        <v>119</v>
      </c>
      <c r="E282" s="35" t="s">
        <v>39</v>
      </c>
      <c r="F282" s="52" t="s">
        <v>18</v>
      </c>
      <c r="G282" s="30" t="s">
        <v>19</v>
      </c>
      <c r="H282" s="30"/>
      <c r="I282" s="32" t="s">
        <v>40</v>
      </c>
    </row>
    <row r="283" spans="1:9" ht="16.5" customHeight="1" x14ac:dyDescent="0.2">
      <c r="A283" s="35" t="s">
        <v>3530</v>
      </c>
      <c r="B283" s="35" t="s">
        <v>3531</v>
      </c>
      <c r="C283" s="35" t="s">
        <v>115</v>
      </c>
      <c r="D283" s="35" t="s">
        <v>119</v>
      </c>
      <c r="E283" s="35" t="s">
        <v>39</v>
      </c>
      <c r="F283" s="52" t="s">
        <v>18</v>
      </c>
      <c r="G283" s="30" t="s">
        <v>19</v>
      </c>
      <c r="H283" s="30"/>
      <c r="I283" s="32" t="s">
        <v>40</v>
      </c>
    </row>
    <row r="284" spans="1:9" ht="16.5" customHeight="1" x14ac:dyDescent="0.2">
      <c r="A284" s="26" t="s">
        <v>3532</v>
      </c>
      <c r="B284" s="26" t="s">
        <v>3533</v>
      </c>
      <c r="C284" s="66" t="s">
        <v>98</v>
      </c>
      <c r="D284" s="66" t="s">
        <v>110</v>
      </c>
      <c r="E284" s="66" t="s">
        <v>39</v>
      </c>
      <c r="F284" s="31" t="s">
        <v>18</v>
      </c>
      <c r="G284" s="67" t="s">
        <v>19</v>
      </c>
      <c r="H284" s="32" t="s">
        <v>40</v>
      </c>
      <c r="I284" s="32" t="s">
        <v>40</v>
      </c>
    </row>
    <row r="285" spans="1:9" ht="16.5" customHeight="1" x14ac:dyDescent="0.2">
      <c r="A285" s="35" t="s">
        <v>3534</v>
      </c>
      <c r="B285" s="35" t="s">
        <v>3535</v>
      </c>
      <c r="C285" s="35" t="s">
        <v>64</v>
      </c>
      <c r="D285" s="35" t="s">
        <v>82</v>
      </c>
      <c r="E285" s="35" t="s">
        <v>39</v>
      </c>
      <c r="F285" s="52" t="s">
        <v>18</v>
      </c>
      <c r="G285" s="31" t="s">
        <v>26</v>
      </c>
      <c r="H285" s="32"/>
      <c r="I285" s="32" t="s">
        <v>40</v>
      </c>
    </row>
    <row r="286" spans="1:9" ht="16.5" customHeight="1" x14ac:dyDescent="0.2">
      <c r="A286" s="35" t="s">
        <v>3536</v>
      </c>
      <c r="B286" s="35" t="s">
        <v>3537</v>
      </c>
      <c r="C286" s="35" t="s">
        <v>64</v>
      </c>
      <c r="D286" s="35" t="s">
        <v>82</v>
      </c>
      <c r="E286" s="35" t="s">
        <v>39</v>
      </c>
      <c r="F286" s="52" t="s">
        <v>18</v>
      </c>
      <c r="G286" s="31" t="s">
        <v>26</v>
      </c>
      <c r="H286" s="32"/>
      <c r="I286" s="32" t="s">
        <v>40</v>
      </c>
    </row>
    <row r="287" spans="1:9" ht="16.5" customHeight="1" x14ac:dyDescent="0.2">
      <c r="A287" s="26" t="s">
        <v>3538</v>
      </c>
      <c r="B287" s="26" t="s">
        <v>3539</v>
      </c>
      <c r="C287" s="26" t="s">
        <v>64</v>
      </c>
      <c r="D287" s="26" t="s">
        <v>82</v>
      </c>
      <c r="E287" s="26" t="s">
        <v>39</v>
      </c>
      <c r="F287" s="31" t="s">
        <v>32</v>
      </c>
      <c r="G287" s="31" t="s">
        <v>41</v>
      </c>
      <c r="H287" s="31"/>
      <c r="I287" s="32" t="s">
        <v>40</v>
      </c>
    </row>
    <row r="288" spans="1:9" ht="16.5" customHeight="1" x14ac:dyDescent="0.2">
      <c r="A288" s="26" t="s">
        <v>3540</v>
      </c>
      <c r="B288" s="26" t="s">
        <v>3541</v>
      </c>
      <c r="C288" s="26" t="s">
        <v>115</v>
      </c>
      <c r="D288" s="26" t="s">
        <v>122</v>
      </c>
      <c r="E288" s="26" t="s">
        <v>39</v>
      </c>
      <c r="F288" s="31" t="s">
        <v>18</v>
      </c>
      <c r="G288" s="31" t="s">
        <v>61</v>
      </c>
      <c r="H288" s="32"/>
      <c r="I288" s="32" t="s">
        <v>40</v>
      </c>
    </row>
    <row r="289" spans="1:9" ht="16.5" customHeight="1" x14ac:dyDescent="0.2">
      <c r="A289" s="26" t="s">
        <v>3540</v>
      </c>
      <c r="B289" s="26" t="s">
        <v>3541</v>
      </c>
      <c r="C289" s="26" t="s">
        <v>115</v>
      </c>
      <c r="D289" s="26" t="s">
        <v>122</v>
      </c>
      <c r="E289" s="26" t="s">
        <v>39</v>
      </c>
      <c r="F289" s="31" t="s">
        <v>18</v>
      </c>
      <c r="G289" s="31" t="s">
        <v>61</v>
      </c>
      <c r="H289" s="32"/>
      <c r="I289" s="32" t="s">
        <v>40</v>
      </c>
    </row>
    <row r="290" spans="1:9" ht="16.5" customHeight="1" x14ac:dyDescent="0.2">
      <c r="A290" s="35" t="s">
        <v>3542</v>
      </c>
      <c r="B290" s="35" t="s">
        <v>3543</v>
      </c>
      <c r="C290" s="35" t="s">
        <v>115</v>
      </c>
      <c r="D290" s="35" t="s">
        <v>119</v>
      </c>
      <c r="E290" s="35" t="s">
        <v>39</v>
      </c>
      <c r="F290" s="52" t="s">
        <v>32</v>
      </c>
      <c r="G290" s="52" t="s">
        <v>61</v>
      </c>
      <c r="H290" s="30"/>
      <c r="I290" s="32" t="s">
        <v>40</v>
      </c>
    </row>
    <row r="291" spans="1:9" ht="16.5" customHeight="1" x14ac:dyDescent="0.2">
      <c r="A291" s="26" t="s">
        <v>3544</v>
      </c>
      <c r="B291" s="26" t="s">
        <v>3545</v>
      </c>
      <c r="C291" s="66" t="s">
        <v>98</v>
      </c>
      <c r="D291" s="66" t="s">
        <v>110</v>
      </c>
      <c r="E291" s="66" t="s">
        <v>39</v>
      </c>
      <c r="F291" s="31" t="s">
        <v>11</v>
      </c>
      <c r="G291" s="67" t="s">
        <v>61</v>
      </c>
      <c r="H291" s="32" t="s">
        <v>40</v>
      </c>
      <c r="I291" s="32" t="s">
        <v>40</v>
      </c>
    </row>
    <row r="292" spans="1:9" ht="16.5" customHeight="1" x14ac:dyDescent="0.2">
      <c r="A292" s="26" t="s">
        <v>3546</v>
      </c>
      <c r="B292" s="26" t="s">
        <v>5271</v>
      </c>
      <c r="C292" s="26" t="s">
        <v>7</v>
      </c>
      <c r="D292" s="26" t="s">
        <v>16</v>
      </c>
      <c r="E292" s="26" t="s">
        <v>39</v>
      </c>
      <c r="F292" s="31" t="s">
        <v>18</v>
      </c>
      <c r="G292" s="32"/>
      <c r="H292" s="32" t="s">
        <v>40</v>
      </c>
      <c r="I292" s="32" t="s">
        <v>40</v>
      </c>
    </row>
    <row r="293" spans="1:9" ht="16.5" customHeight="1" x14ac:dyDescent="0.2">
      <c r="A293" s="26" t="s">
        <v>3546</v>
      </c>
      <c r="B293" s="26" t="s">
        <v>5271</v>
      </c>
      <c r="C293" s="26" t="s">
        <v>7</v>
      </c>
      <c r="D293" s="26" t="s">
        <v>16</v>
      </c>
      <c r="E293" s="26" t="s">
        <v>39</v>
      </c>
      <c r="F293" s="31" t="s">
        <v>18</v>
      </c>
      <c r="G293" s="32"/>
      <c r="H293" s="32" t="s">
        <v>40</v>
      </c>
      <c r="I293" s="32" t="s">
        <v>40</v>
      </c>
    </row>
    <row r="294" spans="1:9" ht="16.5" customHeight="1" x14ac:dyDescent="0.2">
      <c r="A294" s="26" t="s">
        <v>3546</v>
      </c>
      <c r="B294" s="26" t="s">
        <v>5271</v>
      </c>
      <c r="C294" s="26" t="s">
        <v>7</v>
      </c>
      <c r="D294" s="26" t="s">
        <v>16</v>
      </c>
      <c r="E294" s="26" t="s">
        <v>39</v>
      </c>
      <c r="F294" s="31" t="s">
        <v>18</v>
      </c>
      <c r="G294" s="32"/>
      <c r="H294" s="32" t="s">
        <v>40</v>
      </c>
      <c r="I294" s="32" t="s">
        <v>40</v>
      </c>
    </row>
    <row r="295" spans="1:9" ht="16.5" customHeight="1" x14ac:dyDescent="0.2">
      <c r="A295" s="35" t="s">
        <v>3548</v>
      </c>
      <c r="B295" s="54" t="s">
        <v>5544</v>
      </c>
      <c r="C295" s="35" t="s">
        <v>115</v>
      </c>
      <c r="D295" s="35" t="s">
        <v>131</v>
      </c>
      <c r="E295" s="35" t="s">
        <v>39</v>
      </c>
      <c r="F295" s="52" t="s">
        <v>18</v>
      </c>
      <c r="G295" s="31" t="s">
        <v>72</v>
      </c>
      <c r="H295" s="55" t="s">
        <v>3550</v>
      </c>
      <c r="I295" s="32" t="s">
        <v>40</v>
      </c>
    </row>
    <row r="296" spans="1:9" ht="16.5" customHeight="1" x14ac:dyDescent="0.2">
      <c r="A296" s="35" t="s">
        <v>3548</v>
      </c>
      <c r="B296" s="54" t="s">
        <v>5544</v>
      </c>
      <c r="C296" s="35" t="s">
        <v>115</v>
      </c>
      <c r="D296" s="35" t="s">
        <v>131</v>
      </c>
      <c r="E296" s="35" t="s">
        <v>39</v>
      </c>
      <c r="F296" s="30" t="s">
        <v>18</v>
      </c>
      <c r="G296" s="31" t="s">
        <v>72</v>
      </c>
      <c r="H296" s="55" t="s">
        <v>5551</v>
      </c>
      <c r="I296" s="32" t="s">
        <v>40</v>
      </c>
    </row>
    <row r="297" spans="1:9" ht="16.5" customHeight="1" x14ac:dyDescent="0.2">
      <c r="A297" s="35" t="s">
        <v>3548</v>
      </c>
      <c r="B297" s="54" t="s">
        <v>5544</v>
      </c>
      <c r="C297" s="35" t="s">
        <v>115</v>
      </c>
      <c r="D297" s="35" t="s">
        <v>131</v>
      </c>
      <c r="E297" s="35" t="s">
        <v>39</v>
      </c>
      <c r="F297" s="30" t="s">
        <v>18</v>
      </c>
      <c r="G297" s="31" t="s">
        <v>72</v>
      </c>
      <c r="H297" s="55" t="s">
        <v>3353</v>
      </c>
      <c r="I297" s="32" t="s">
        <v>40</v>
      </c>
    </row>
    <row r="298" spans="1:9" ht="16.5" customHeight="1" x14ac:dyDescent="0.2">
      <c r="A298" s="35" t="s">
        <v>3548</v>
      </c>
      <c r="B298" s="54" t="s">
        <v>5544</v>
      </c>
      <c r="C298" s="35" t="s">
        <v>115</v>
      </c>
      <c r="D298" s="35" t="s">
        <v>131</v>
      </c>
      <c r="E298" s="35" t="s">
        <v>39</v>
      </c>
      <c r="F298" s="30" t="s">
        <v>18</v>
      </c>
      <c r="G298" s="31" t="s">
        <v>72</v>
      </c>
      <c r="H298" s="55" t="s">
        <v>5550</v>
      </c>
      <c r="I298" s="32" t="s">
        <v>40</v>
      </c>
    </row>
    <row r="299" spans="1:9" ht="16.5" customHeight="1" x14ac:dyDescent="0.2">
      <c r="A299" s="27" t="s">
        <v>3551</v>
      </c>
      <c r="B299" s="26" t="s">
        <v>3552</v>
      </c>
      <c r="C299" s="26" t="s">
        <v>115</v>
      </c>
      <c r="D299" s="26" t="s">
        <v>122</v>
      </c>
      <c r="E299" s="27" t="s">
        <v>39</v>
      </c>
      <c r="F299" s="31" t="s">
        <v>18</v>
      </c>
      <c r="G299" s="31" t="s">
        <v>61</v>
      </c>
      <c r="H299" s="32"/>
      <c r="I299" s="32" t="s">
        <v>40</v>
      </c>
    </row>
    <row r="300" spans="1:9" ht="16.5" customHeight="1" x14ac:dyDescent="0.2">
      <c r="A300" s="26" t="s">
        <v>3553</v>
      </c>
      <c r="B300" s="26" t="s">
        <v>3554</v>
      </c>
      <c r="C300" s="26" t="s">
        <v>115</v>
      </c>
      <c r="D300" s="26" t="s">
        <v>122</v>
      </c>
      <c r="E300" s="26" t="s">
        <v>39</v>
      </c>
      <c r="F300" s="31" t="s">
        <v>18</v>
      </c>
      <c r="G300" s="31" t="s">
        <v>61</v>
      </c>
      <c r="H300" s="32"/>
      <c r="I300" s="32" t="s">
        <v>40</v>
      </c>
    </row>
    <row r="301" spans="1:9" ht="16.5" customHeight="1" x14ac:dyDescent="0.2">
      <c r="A301" s="35" t="s">
        <v>3555</v>
      </c>
      <c r="B301" s="35" t="s">
        <v>3556</v>
      </c>
      <c r="C301" s="35" t="s">
        <v>115</v>
      </c>
      <c r="D301" s="35" t="s">
        <v>128</v>
      </c>
      <c r="E301" s="35" t="s">
        <v>39</v>
      </c>
      <c r="F301" s="30" t="s">
        <v>11</v>
      </c>
      <c r="G301" s="31" t="s">
        <v>72</v>
      </c>
      <c r="H301" s="30" t="s">
        <v>3557</v>
      </c>
      <c r="I301" s="32" t="s">
        <v>40</v>
      </c>
    </row>
    <row r="302" spans="1:9" ht="16.5" customHeight="1" x14ac:dyDescent="0.2">
      <c r="A302" s="35" t="s">
        <v>3555</v>
      </c>
      <c r="B302" s="35" t="s">
        <v>3556</v>
      </c>
      <c r="C302" s="35" t="s">
        <v>115</v>
      </c>
      <c r="D302" s="35" t="s">
        <v>128</v>
      </c>
      <c r="E302" s="35" t="s">
        <v>39</v>
      </c>
      <c r="F302" s="30" t="s">
        <v>11</v>
      </c>
      <c r="G302" s="31" t="s">
        <v>72</v>
      </c>
      <c r="H302" s="30" t="s">
        <v>5577</v>
      </c>
      <c r="I302" s="32" t="s">
        <v>40</v>
      </c>
    </row>
    <row r="303" spans="1:9" ht="16.5" customHeight="1" x14ac:dyDescent="0.25">
      <c r="A303" s="35" t="s">
        <v>3558</v>
      </c>
      <c r="B303" s="76" t="s">
        <v>3559</v>
      </c>
      <c r="C303" s="76" t="s">
        <v>64</v>
      </c>
      <c r="D303" s="35" t="s">
        <v>86</v>
      </c>
      <c r="E303" s="76" t="s">
        <v>39</v>
      </c>
      <c r="F303" s="76" t="s">
        <v>18</v>
      </c>
      <c r="G303" s="35" t="s">
        <v>26</v>
      </c>
      <c r="H303" s="95"/>
      <c r="I303" s="32" t="s">
        <v>40</v>
      </c>
    </row>
    <row r="304" spans="1:9" ht="16.5" customHeight="1" x14ac:dyDescent="0.25">
      <c r="A304" s="35" t="s">
        <v>3558</v>
      </c>
      <c r="B304" s="76" t="s">
        <v>3559</v>
      </c>
      <c r="C304" s="76" t="s">
        <v>64</v>
      </c>
      <c r="D304" s="35" t="s">
        <v>86</v>
      </c>
      <c r="E304" s="76" t="s">
        <v>39</v>
      </c>
      <c r="F304" s="76" t="s">
        <v>18</v>
      </c>
      <c r="G304" s="35" t="s">
        <v>26</v>
      </c>
      <c r="H304" s="95"/>
      <c r="I304" s="32" t="s">
        <v>40</v>
      </c>
    </row>
    <row r="305" spans="1:9" ht="16.5" customHeight="1" x14ac:dyDescent="0.2">
      <c r="A305" s="26" t="s">
        <v>3560</v>
      </c>
      <c r="B305" s="26" t="s">
        <v>3561</v>
      </c>
      <c r="C305" s="26" t="s">
        <v>98</v>
      </c>
      <c r="D305" s="26" t="s">
        <v>105</v>
      </c>
      <c r="E305" s="26" t="s">
        <v>39</v>
      </c>
      <c r="F305" s="31" t="s">
        <v>18</v>
      </c>
      <c r="G305" s="31" t="s">
        <v>61</v>
      </c>
      <c r="H305" s="32"/>
      <c r="I305" s="32" t="s">
        <v>40</v>
      </c>
    </row>
    <row r="306" spans="1:9" ht="16.5" customHeight="1" x14ac:dyDescent="0.2">
      <c r="A306" s="26" t="s">
        <v>3560</v>
      </c>
      <c r="B306" s="26" t="s">
        <v>3561</v>
      </c>
      <c r="C306" s="26" t="s">
        <v>98</v>
      </c>
      <c r="D306" s="26" t="s">
        <v>105</v>
      </c>
      <c r="E306" s="26" t="s">
        <v>39</v>
      </c>
      <c r="F306" s="31" t="s">
        <v>18</v>
      </c>
      <c r="G306" s="31" t="s">
        <v>72</v>
      </c>
      <c r="H306" s="32"/>
      <c r="I306" s="32" t="s">
        <v>40</v>
      </c>
    </row>
    <row r="307" spans="1:9" ht="16.5" customHeight="1" x14ac:dyDescent="0.2">
      <c r="A307" s="26" t="s">
        <v>3562</v>
      </c>
      <c r="B307" s="26" t="s">
        <v>3563</v>
      </c>
      <c r="C307" s="26" t="s">
        <v>115</v>
      </c>
      <c r="D307" s="27" t="s">
        <v>116</v>
      </c>
      <c r="E307" s="27" t="s">
        <v>39</v>
      </c>
      <c r="F307" s="31" t="s">
        <v>18</v>
      </c>
      <c r="G307" s="31" t="s">
        <v>19</v>
      </c>
      <c r="H307" s="31"/>
      <c r="I307" s="32" t="s">
        <v>40</v>
      </c>
    </row>
    <row r="308" spans="1:9" ht="16.5" customHeight="1" x14ac:dyDescent="0.2">
      <c r="A308" s="35" t="s">
        <v>3564</v>
      </c>
      <c r="B308" s="35" t="s">
        <v>5395</v>
      </c>
      <c r="C308" s="54" t="s">
        <v>64</v>
      </c>
      <c r="D308" s="35" t="s">
        <v>82</v>
      </c>
      <c r="E308" s="35" t="s">
        <v>39</v>
      </c>
      <c r="F308" s="52" t="s">
        <v>18</v>
      </c>
      <c r="G308" s="31" t="s">
        <v>26</v>
      </c>
      <c r="H308" s="32"/>
      <c r="I308" s="32" t="s">
        <v>40</v>
      </c>
    </row>
    <row r="309" spans="1:9" ht="16.5" customHeight="1" x14ac:dyDescent="0.2">
      <c r="A309" s="26" t="s">
        <v>3564</v>
      </c>
      <c r="B309" s="26" t="s">
        <v>5437</v>
      </c>
      <c r="C309" s="35" t="s">
        <v>64</v>
      </c>
      <c r="D309" s="35" t="s">
        <v>82</v>
      </c>
      <c r="E309" s="35" t="s">
        <v>39</v>
      </c>
      <c r="F309" s="52" t="s">
        <v>18</v>
      </c>
      <c r="G309" s="30" t="s">
        <v>41</v>
      </c>
      <c r="H309" s="30"/>
      <c r="I309" s="32" t="s">
        <v>40</v>
      </c>
    </row>
    <row r="310" spans="1:9" ht="16.5" customHeight="1" x14ac:dyDescent="0.25">
      <c r="A310" s="76" t="s">
        <v>3566</v>
      </c>
      <c r="B310" s="76" t="s">
        <v>3567</v>
      </c>
      <c r="C310" s="26" t="s">
        <v>64</v>
      </c>
      <c r="D310" s="26" t="s">
        <v>92</v>
      </c>
      <c r="E310" s="26" t="s">
        <v>39</v>
      </c>
      <c r="F310" s="31" t="s">
        <v>18</v>
      </c>
      <c r="G310" s="31" t="s">
        <v>26</v>
      </c>
      <c r="H310" s="31"/>
      <c r="I310" s="32" t="s">
        <v>40</v>
      </c>
    </row>
    <row r="311" spans="1:9" ht="16.5" customHeight="1" x14ac:dyDescent="0.2">
      <c r="A311" s="35" t="s">
        <v>3568</v>
      </c>
      <c r="B311" s="35" t="s">
        <v>3569</v>
      </c>
      <c r="C311" s="35" t="s">
        <v>115</v>
      </c>
      <c r="D311" s="35" t="s">
        <v>119</v>
      </c>
      <c r="E311" s="35" t="s">
        <v>39</v>
      </c>
      <c r="F311" s="52" t="s">
        <v>18</v>
      </c>
      <c r="G311" s="30" t="s">
        <v>19</v>
      </c>
      <c r="H311" s="30"/>
      <c r="I311" s="32" t="s">
        <v>40</v>
      </c>
    </row>
    <row r="312" spans="1:9" ht="16.5" customHeight="1" x14ac:dyDescent="0.2">
      <c r="A312" s="35" t="s">
        <v>3568</v>
      </c>
      <c r="B312" s="35" t="s">
        <v>3569</v>
      </c>
      <c r="C312" s="35" t="s">
        <v>115</v>
      </c>
      <c r="D312" s="35" t="s">
        <v>119</v>
      </c>
      <c r="E312" s="35" t="s">
        <v>39</v>
      </c>
      <c r="F312" s="52" t="s">
        <v>18</v>
      </c>
      <c r="G312" s="30" t="s">
        <v>19</v>
      </c>
      <c r="H312" s="30"/>
      <c r="I312" s="32" t="s">
        <v>40</v>
      </c>
    </row>
    <row r="313" spans="1:9" ht="16.5" customHeight="1" x14ac:dyDescent="0.2">
      <c r="A313" s="35" t="s">
        <v>3568</v>
      </c>
      <c r="B313" s="35" t="s">
        <v>3569</v>
      </c>
      <c r="C313" s="35" t="s">
        <v>115</v>
      </c>
      <c r="D313" s="35" t="s">
        <v>119</v>
      </c>
      <c r="E313" s="35" t="s">
        <v>39</v>
      </c>
      <c r="F313" s="52" t="s">
        <v>18</v>
      </c>
      <c r="G313" s="30" t="s">
        <v>19</v>
      </c>
      <c r="H313" s="30"/>
      <c r="I313" s="32" t="s">
        <v>40</v>
      </c>
    </row>
    <row r="314" spans="1:9" ht="16.5" customHeight="1" x14ac:dyDescent="0.2">
      <c r="A314" s="35" t="s">
        <v>3570</v>
      </c>
      <c r="B314" s="35" t="s">
        <v>3571</v>
      </c>
      <c r="C314" s="35" t="s">
        <v>115</v>
      </c>
      <c r="D314" s="35" t="s">
        <v>134</v>
      </c>
      <c r="E314" s="35" t="s">
        <v>39</v>
      </c>
      <c r="F314" s="30" t="s">
        <v>18</v>
      </c>
      <c r="G314" s="31" t="s">
        <v>54</v>
      </c>
      <c r="H314" s="55"/>
      <c r="I314" s="32" t="s">
        <v>40</v>
      </c>
    </row>
    <row r="315" spans="1:9" ht="16.5" customHeight="1" x14ac:dyDescent="0.2">
      <c r="A315" s="35" t="s">
        <v>3570</v>
      </c>
      <c r="B315" s="35" t="s">
        <v>3571</v>
      </c>
      <c r="C315" s="35" t="s">
        <v>115</v>
      </c>
      <c r="D315" s="35" t="s">
        <v>134</v>
      </c>
      <c r="E315" s="35" t="s">
        <v>39</v>
      </c>
      <c r="F315" s="30" t="s">
        <v>18</v>
      </c>
      <c r="G315" s="31" t="s">
        <v>54</v>
      </c>
      <c r="H315" s="55"/>
      <c r="I315" s="32" t="s">
        <v>40</v>
      </c>
    </row>
    <row r="316" spans="1:9" ht="16.5" customHeight="1" x14ac:dyDescent="0.2">
      <c r="A316" s="26" t="s">
        <v>3572</v>
      </c>
      <c r="B316" s="26" t="s">
        <v>3573</v>
      </c>
      <c r="C316" s="26" t="s">
        <v>115</v>
      </c>
      <c r="D316" s="26" t="s">
        <v>122</v>
      </c>
      <c r="E316" s="26" t="s">
        <v>39</v>
      </c>
      <c r="F316" s="31" t="s">
        <v>18</v>
      </c>
      <c r="G316" s="31" t="s">
        <v>12</v>
      </c>
      <c r="H316" s="32"/>
      <c r="I316" s="32" t="s">
        <v>40</v>
      </c>
    </row>
    <row r="317" spans="1:9" ht="16.5" customHeight="1" x14ac:dyDescent="0.2">
      <c r="A317" s="54" t="s">
        <v>3574</v>
      </c>
      <c r="B317" s="35" t="s">
        <v>3575</v>
      </c>
      <c r="C317" s="35" t="s">
        <v>64</v>
      </c>
      <c r="D317" s="35" t="s">
        <v>95</v>
      </c>
      <c r="E317" s="54" t="s">
        <v>39</v>
      </c>
      <c r="F317" s="31" t="s">
        <v>18</v>
      </c>
      <c r="G317" s="31" t="s">
        <v>61</v>
      </c>
      <c r="H317" s="32"/>
      <c r="I317" s="32" t="s">
        <v>40</v>
      </c>
    </row>
    <row r="318" spans="1:9" ht="16.5" customHeight="1" x14ac:dyDescent="0.2">
      <c r="A318" s="35" t="s">
        <v>3576</v>
      </c>
      <c r="B318" s="35" t="s">
        <v>3577</v>
      </c>
      <c r="C318" s="35" t="s">
        <v>115</v>
      </c>
      <c r="D318" s="35" t="s">
        <v>116</v>
      </c>
      <c r="E318" s="35" t="s">
        <v>39</v>
      </c>
      <c r="F318" s="52" t="s">
        <v>18</v>
      </c>
      <c r="G318" s="52" t="s">
        <v>19</v>
      </c>
      <c r="I318" s="32" t="s">
        <v>40</v>
      </c>
    </row>
    <row r="319" spans="1:9" ht="16.5" customHeight="1" x14ac:dyDescent="0.2">
      <c r="A319" s="26" t="s">
        <v>3578</v>
      </c>
      <c r="B319" s="26" t="s">
        <v>3579</v>
      </c>
      <c r="C319" s="26" t="s">
        <v>115</v>
      </c>
      <c r="D319" s="27" t="s">
        <v>116</v>
      </c>
      <c r="E319" s="27" t="s">
        <v>39</v>
      </c>
      <c r="F319" s="31" t="s">
        <v>18</v>
      </c>
      <c r="G319" s="31" t="s">
        <v>12</v>
      </c>
      <c r="H319" s="31"/>
      <c r="I319" s="32" t="s">
        <v>40</v>
      </c>
    </row>
    <row r="320" spans="1:9" ht="16.5" customHeight="1" x14ac:dyDescent="0.2">
      <c r="A320" s="26" t="s">
        <v>3578</v>
      </c>
      <c r="B320" s="26" t="s">
        <v>3579</v>
      </c>
      <c r="C320" s="26" t="s">
        <v>115</v>
      </c>
      <c r="D320" s="27" t="s">
        <v>116</v>
      </c>
      <c r="E320" s="27" t="s">
        <v>39</v>
      </c>
      <c r="F320" s="31" t="s">
        <v>18</v>
      </c>
      <c r="G320" s="31" t="s">
        <v>12</v>
      </c>
      <c r="H320" s="31"/>
      <c r="I320" s="32" t="s">
        <v>40</v>
      </c>
    </row>
    <row r="321" spans="1:9" ht="16.5" customHeight="1" x14ac:dyDescent="0.2">
      <c r="A321" s="26" t="s">
        <v>3578</v>
      </c>
      <c r="B321" s="26" t="s">
        <v>3579</v>
      </c>
      <c r="C321" s="26" t="s">
        <v>115</v>
      </c>
      <c r="D321" s="27" t="s">
        <v>116</v>
      </c>
      <c r="E321" s="27" t="s">
        <v>39</v>
      </c>
      <c r="F321" s="31" t="s">
        <v>18</v>
      </c>
      <c r="G321" s="31" t="s">
        <v>12</v>
      </c>
      <c r="H321" s="31"/>
      <c r="I321" s="32" t="s">
        <v>40</v>
      </c>
    </row>
    <row r="322" spans="1:9" ht="16.5" customHeight="1" x14ac:dyDescent="0.2">
      <c r="A322" s="26" t="s">
        <v>3580</v>
      </c>
      <c r="B322" s="26" t="s">
        <v>3581</v>
      </c>
      <c r="C322" s="26" t="s">
        <v>98</v>
      </c>
      <c r="D322" s="26" t="s">
        <v>105</v>
      </c>
      <c r="E322" s="26" t="s">
        <v>39</v>
      </c>
      <c r="F322" s="31" t="s">
        <v>18</v>
      </c>
      <c r="G322" s="31" t="s">
        <v>41</v>
      </c>
      <c r="H322" s="32"/>
      <c r="I322" s="32" t="s">
        <v>40</v>
      </c>
    </row>
    <row r="323" spans="1:9" ht="16.5" customHeight="1" x14ac:dyDescent="0.2">
      <c r="A323" s="26" t="s">
        <v>3582</v>
      </c>
      <c r="B323" s="26" t="s">
        <v>3583</v>
      </c>
      <c r="C323" s="26" t="s">
        <v>98</v>
      </c>
      <c r="D323" s="26" t="s">
        <v>105</v>
      </c>
      <c r="E323" s="26" t="s">
        <v>39</v>
      </c>
      <c r="F323" s="31" t="s">
        <v>18</v>
      </c>
      <c r="G323" s="31" t="s">
        <v>41</v>
      </c>
      <c r="H323" s="32"/>
      <c r="I323" s="32" t="s">
        <v>40</v>
      </c>
    </row>
    <row r="324" spans="1:9" ht="16.5" customHeight="1" x14ac:dyDescent="0.2">
      <c r="A324" s="26" t="s">
        <v>3584</v>
      </c>
      <c r="B324" s="26" t="s">
        <v>3585</v>
      </c>
      <c r="C324" s="26" t="s">
        <v>98</v>
      </c>
      <c r="D324" s="26" t="s">
        <v>105</v>
      </c>
      <c r="E324" s="26" t="s">
        <v>39</v>
      </c>
      <c r="F324" s="31" t="s">
        <v>18</v>
      </c>
      <c r="G324" s="31" t="s">
        <v>61</v>
      </c>
      <c r="H324" s="32"/>
      <c r="I324" s="32" t="s">
        <v>40</v>
      </c>
    </row>
    <row r="325" spans="1:9" ht="16.5" customHeight="1" x14ac:dyDescent="0.2">
      <c r="A325" s="35" t="s">
        <v>3586</v>
      </c>
      <c r="B325" s="35" t="s">
        <v>5374</v>
      </c>
      <c r="C325" s="35" t="s">
        <v>64</v>
      </c>
      <c r="D325" s="35" t="s">
        <v>89</v>
      </c>
      <c r="E325" s="54" t="s">
        <v>39</v>
      </c>
      <c r="F325" s="31" t="s">
        <v>18</v>
      </c>
      <c r="G325" s="31" t="s">
        <v>72</v>
      </c>
      <c r="H325" s="32"/>
      <c r="I325" s="32" t="s">
        <v>40</v>
      </c>
    </row>
    <row r="326" spans="1:9" ht="16.5" customHeight="1" x14ac:dyDescent="0.2">
      <c r="A326" s="35" t="s">
        <v>3588</v>
      </c>
      <c r="B326" s="35" t="s">
        <v>3589</v>
      </c>
      <c r="C326" s="35" t="s">
        <v>64</v>
      </c>
      <c r="D326" s="35" t="s">
        <v>82</v>
      </c>
      <c r="E326" s="35" t="s">
        <v>39</v>
      </c>
      <c r="F326" s="52" t="s">
        <v>18</v>
      </c>
      <c r="G326" s="31" t="s">
        <v>26</v>
      </c>
      <c r="H326" s="32"/>
      <c r="I326" s="32" t="s">
        <v>40</v>
      </c>
    </row>
    <row r="327" spans="1:9" ht="16.5" customHeight="1" x14ac:dyDescent="0.2">
      <c r="A327" s="35" t="s">
        <v>3590</v>
      </c>
      <c r="B327" s="35" t="s">
        <v>3591</v>
      </c>
      <c r="C327" s="35" t="s">
        <v>115</v>
      </c>
      <c r="D327" s="35" t="s">
        <v>116</v>
      </c>
      <c r="E327" s="35" t="s">
        <v>39</v>
      </c>
      <c r="F327" s="52" t="s">
        <v>18</v>
      </c>
      <c r="G327" s="52" t="s">
        <v>12</v>
      </c>
      <c r="I327" s="32" t="s">
        <v>40</v>
      </c>
    </row>
    <row r="328" spans="1:9" ht="16.5" customHeight="1" x14ac:dyDescent="0.2">
      <c r="A328" s="26" t="s">
        <v>3592</v>
      </c>
      <c r="B328" s="26" t="s">
        <v>3593</v>
      </c>
      <c r="C328" s="26" t="s">
        <v>115</v>
      </c>
      <c r="D328" s="26" t="s">
        <v>122</v>
      </c>
      <c r="E328" s="26" t="s">
        <v>39</v>
      </c>
      <c r="F328" s="31" t="s">
        <v>32</v>
      </c>
      <c r="G328" s="31" t="s">
        <v>61</v>
      </c>
      <c r="H328" s="32"/>
      <c r="I328" s="32" t="s">
        <v>40</v>
      </c>
    </row>
    <row r="329" spans="1:9" ht="16.5" customHeight="1" x14ac:dyDescent="0.2">
      <c r="A329" s="26" t="s">
        <v>3592</v>
      </c>
      <c r="B329" s="26" t="s">
        <v>3593</v>
      </c>
      <c r="C329" s="26" t="s">
        <v>115</v>
      </c>
      <c r="D329" s="26" t="s">
        <v>122</v>
      </c>
      <c r="E329" s="26" t="s">
        <v>39</v>
      </c>
      <c r="F329" s="31" t="s">
        <v>32</v>
      </c>
      <c r="G329" s="31" t="s">
        <v>61</v>
      </c>
      <c r="H329" s="32"/>
      <c r="I329" s="32" t="s">
        <v>40</v>
      </c>
    </row>
    <row r="330" spans="1:9" ht="16.5" customHeight="1" x14ac:dyDescent="0.2">
      <c r="A330" s="26" t="s">
        <v>3592</v>
      </c>
      <c r="B330" s="26" t="s">
        <v>3593</v>
      </c>
      <c r="C330" s="26" t="s">
        <v>115</v>
      </c>
      <c r="D330" s="26" t="s">
        <v>122</v>
      </c>
      <c r="E330" s="26" t="s">
        <v>39</v>
      </c>
      <c r="F330" s="31" t="s">
        <v>32</v>
      </c>
      <c r="G330" s="31" t="s">
        <v>61</v>
      </c>
      <c r="H330" s="32"/>
      <c r="I330" s="32" t="s">
        <v>40</v>
      </c>
    </row>
    <row r="331" spans="1:9" ht="16.5" customHeight="1" x14ac:dyDescent="0.2">
      <c r="A331" s="26" t="s">
        <v>3594</v>
      </c>
      <c r="B331" s="26" t="s">
        <v>3595</v>
      </c>
      <c r="C331" s="26" t="s">
        <v>115</v>
      </c>
      <c r="D331" s="27" t="s">
        <v>116</v>
      </c>
      <c r="E331" s="27" t="s">
        <v>39</v>
      </c>
      <c r="F331" s="31" t="s">
        <v>18</v>
      </c>
      <c r="G331" s="31" t="s">
        <v>19</v>
      </c>
      <c r="H331" s="31"/>
      <c r="I331" s="32" t="s">
        <v>40</v>
      </c>
    </row>
    <row r="332" spans="1:9" ht="16.5" customHeight="1" x14ac:dyDescent="0.2">
      <c r="A332" s="26" t="s">
        <v>3594</v>
      </c>
      <c r="B332" s="26" t="s">
        <v>3595</v>
      </c>
      <c r="C332" s="26" t="s">
        <v>115</v>
      </c>
      <c r="D332" s="27" t="s">
        <v>116</v>
      </c>
      <c r="E332" s="27" t="s">
        <v>39</v>
      </c>
      <c r="F332" s="31" t="s">
        <v>18</v>
      </c>
      <c r="G332" s="31" t="s">
        <v>19</v>
      </c>
      <c r="H332" s="31"/>
      <c r="I332" s="32" t="s">
        <v>40</v>
      </c>
    </row>
    <row r="333" spans="1:9" ht="16.5" customHeight="1" x14ac:dyDescent="0.2">
      <c r="A333" s="26" t="s">
        <v>3594</v>
      </c>
      <c r="B333" s="26" t="s">
        <v>3595</v>
      </c>
      <c r="C333" s="26" t="s">
        <v>115</v>
      </c>
      <c r="D333" s="27" t="s">
        <v>116</v>
      </c>
      <c r="E333" s="27" t="s">
        <v>39</v>
      </c>
      <c r="F333" s="31" t="s">
        <v>18</v>
      </c>
      <c r="G333" s="31" t="s">
        <v>19</v>
      </c>
      <c r="H333" s="31"/>
      <c r="I333" s="32" t="s">
        <v>40</v>
      </c>
    </row>
    <row r="334" spans="1:9" ht="16.5" customHeight="1" x14ac:dyDescent="0.2">
      <c r="A334" s="26" t="s">
        <v>3594</v>
      </c>
      <c r="B334" s="26" t="s">
        <v>3595</v>
      </c>
      <c r="C334" s="26" t="s">
        <v>115</v>
      </c>
      <c r="D334" s="27" t="s">
        <v>116</v>
      </c>
      <c r="E334" s="27" t="s">
        <v>39</v>
      </c>
      <c r="F334" s="31" t="s">
        <v>18</v>
      </c>
      <c r="G334" s="31" t="s">
        <v>19</v>
      </c>
      <c r="H334" s="31" t="s">
        <v>5480</v>
      </c>
      <c r="I334" s="32" t="s">
        <v>40</v>
      </c>
    </row>
    <row r="335" spans="1:9" ht="16.5" customHeight="1" x14ac:dyDescent="0.2">
      <c r="A335" s="54" t="s">
        <v>3596</v>
      </c>
      <c r="B335" s="35" t="s">
        <v>3597</v>
      </c>
      <c r="C335" s="35" t="s">
        <v>64</v>
      </c>
      <c r="D335" s="35" t="s">
        <v>95</v>
      </c>
      <c r="E335" s="54" t="s">
        <v>39</v>
      </c>
      <c r="F335" s="31" t="s">
        <v>18</v>
      </c>
      <c r="G335" s="31" t="s">
        <v>61</v>
      </c>
      <c r="H335" s="32"/>
      <c r="I335" s="32" t="s">
        <v>40</v>
      </c>
    </row>
    <row r="336" spans="1:9" ht="16.5" customHeight="1" x14ac:dyDescent="0.2">
      <c r="A336" s="26" t="s">
        <v>3598</v>
      </c>
      <c r="B336" s="26" t="s">
        <v>3599</v>
      </c>
      <c r="C336" s="26" t="s">
        <v>37</v>
      </c>
      <c r="D336" s="26" t="s">
        <v>45</v>
      </c>
      <c r="E336" s="26" t="s">
        <v>39</v>
      </c>
      <c r="F336" s="31" t="s">
        <v>32</v>
      </c>
      <c r="G336" s="31" t="s">
        <v>72</v>
      </c>
      <c r="H336" s="31" t="s">
        <v>3600</v>
      </c>
      <c r="I336" s="32" t="s">
        <v>40</v>
      </c>
    </row>
    <row r="337" spans="1:9" ht="16.5" customHeight="1" x14ac:dyDescent="0.2">
      <c r="A337" s="35" t="s">
        <v>3601</v>
      </c>
      <c r="B337" s="35" t="s">
        <v>3602</v>
      </c>
      <c r="C337" s="35" t="s">
        <v>115</v>
      </c>
      <c r="D337" s="35" t="s">
        <v>116</v>
      </c>
      <c r="E337" s="35" t="s">
        <v>39</v>
      </c>
      <c r="F337" s="52" t="s">
        <v>18</v>
      </c>
      <c r="G337" s="52" t="s">
        <v>19</v>
      </c>
      <c r="I337" s="32" t="s">
        <v>40</v>
      </c>
    </row>
    <row r="338" spans="1:9" ht="16.5" customHeight="1" x14ac:dyDescent="0.2">
      <c r="A338" s="35" t="s">
        <v>3601</v>
      </c>
      <c r="B338" s="35" t="s">
        <v>3602</v>
      </c>
      <c r="C338" s="35" t="s">
        <v>115</v>
      </c>
      <c r="D338" s="35" t="s">
        <v>116</v>
      </c>
      <c r="E338" s="35" t="s">
        <v>39</v>
      </c>
      <c r="F338" s="52" t="s">
        <v>18</v>
      </c>
      <c r="G338" s="52" t="s">
        <v>19</v>
      </c>
      <c r="I338" s="32" t="s">
        <v>40</v>
      </c>
    </row>
    <row r="339" spans="1:9" ht="16.5" customHeight="1" x14ac:dyDescent="0.2">
      <c r="A339" s="26" t="s">
        <v>3603</v>
      </c>
      <c r="B339" s="26" t="s">
        <v>3604</v>
      </c>
      <c r="C339" s="26" t="s">
        <v>98</v>
      </c>
      <c r="D339" s="26" t="s">
        <v>99</v>
      </c>
      <c r="E339" s="26" t="s">
        <v>39</v>
      </c>
      <c r="F339" s="47" t="s">
        <v>18</v>
      </c>
      <c r="G339" s="31" t="s">
        <v>61</v>
      </c>
      <c r="H339" s="32"/>
      <c r="I339" s="32" t="s">
        <v>40</v>
      </c>
    </row>
    <row r="340" spans="1:9" ht="16.5" customHeight="1" x14ac:dyDescent="0.2">
      <c r="A340" s="26" t="s">
        <v>3605</v>
      </c>
      <c r="B340" s="26" t="s">
        <v>3606</v>
      </c>
      <c r="C340" s="66" t="s">
        <v>37</v>
      </c>
      <c r="D340" s="27" t="s">
        <v>38</v>
      </c>
      <c r="E340" s="27" t="s">
        <v>39</v>
      </c>
      <c r="F340" s="31" t="s">
        <v>18</v>
      </c>
      <c r="G340" s="31" t="s">
        <v>61</v>
      </c>
      <c r="H340" s="32"/>
      <c r="I340" s="32" t="s">
        <v>40</v>
      </c>
    </row>
    <row r="341" spans="1:9" ht="16.5" customHeight="1" x14ac:dyDescent="0.2">
      <c r="A341" s="26" t="s">
        <v>3605</v>
      </c>
      <c r="B341" s="26" t="s">
        <v>3606</v>
      </c>
      <c r="C341" s="66" t="s">
        <v>37</v>
      </c>
      <c r="D341" s="27" t="s">
        <v>38</v>
      </c>
      <c r="E341" s="27" t="s">
        <v>39</v>
      </c>
      <c r="F341" s="31" t="s">
        <v>18</v>
      </c>
      <c r="G341" s="31" t="s">
        <v>61</v>
      </c>
      <c r="H341" s="32"/>
      <c r="I341" s="32" t="s">
        <v>40</v>
      </c>
    </row>
    <row r="342" spans="1:9" ht="16.5" customHeight="1" x14ac:dyDescent="0.2">
      <c r="A342" s="26" t="s">
        <v>3607</v>
      </c>
      <c r="B342" s="26" t="s">
        <v>3608</v>
      </c>
      <c r="C342" s="26" t="s">
        <v>37</v>
      </c>
      <c r="D342" s="26" t="s">
        <v>45</v>
      </c>
      <c r="E342" s="26" t="s">
        <v>39</v>
      </c>
      <c r="F342" s="31" t="s">
        <v>32</v>
      </c>
      <c r="G342" s="31" t="s">
        <v>72</v>
      </c>
      <c r="H342" s="31" t="s">
        <v>3600</v>
      </c>
      <c r="I342" s="32" t="s">
        <v>40</v>
      </c>
    </row>
    <row r="343" spans="1:9" ht="16.5" customHeight="1" x14ac:dyDescent="0.2">
      <c r="A343" s="26" t="s">
        <v>3609</v>
      </c>
      <c r="B343" s="26" t="s">
        <v>3610</v>
      </c>
      <c r="C343" s="66" t="s">
        <v>37</v>
      </c>
      <c r="D343" s="27" t="s">
        <v>38</v>
      </c>
      <c r="E343" s="27" t="s">
        <v>39</v>
      </c>
      <c r="F343" s="31" t="s">
        <v>18</v>
      </c>
      <c r="G343" s="27" t="s">
        <v>41</v>
      </c>
      <c r="H343" s="51"/>
      <c r="I343" s="32" t="s">
        <v>40</v>
      </c>
    </row>
    <row r="344" spans="1:9" ht="16.5" customHeight="1" x14ac:dyDescent="0.2">
      <c r="A344" s="26" t="s">
        <v>3611</v>
      </c>
      <c r="B344" s="26" t="s">
        <v>3612</v>
      </c>
      <c r="C344" s="66" t="s">
        <v>115</v>
      </c>
      <c r="D344" s="27" t="s">
        <v>122</v>
      </c>
      <c r="E344" s="27" t="s">
        <v>39</v>
      </c>
      <c r="F344" s="31" t="s">
        <v>18</v>
      </c>
      <c r="G344" s="27" t="s">
        <v>61</v>
      </c>
      <c r="H344" s="51"/>
      <c r="I344" s="32" t="s">
        <v>40</v>
      </c>
    </row>
    <row r="345" spans="1:9" ht="16.5" customHeight="1" x14ac:dyDescent="0.2">
      <c r="A345" s="26" t="s">
        <v>3611</v>
      </c>
      <c r="B345" s="26" t="s">
        <v>3612</v>
      </c>
      <c r="C345" s="66" t="s">
        <v>115</v>
      </c>
      <c r="D345" s="27" t="s">
        <v>122</v>
      </c>
      <c r="E345" s="27" t="s">
        <v>39</v>
      </c>
      <c r="F345" s="31" t="s">
        <v>18</v>
      </c>
      <c r="G345" s="27" t="s">
        <v>61</v>
      </c>
      <c r="H345" s="51"/>
      <c r="I345" s="32" t="s">
        <v>40</v>
      </c>
    </row>
    <row r="346" spans="1:9" ht="16.5" customHeight="1" x14ac:dyDescent="0.2">
      <c r="A346" s="25" t="s">
        <v>3613</v>
      </c>
      <c r="B346" s="26" t="s">
        <v>3614</v>
      </c>
      <c r="C346" s="27" t="s">
        <v>98</v>
      </c>
      <c r="D346" s="27" t="s">
        <v>102</v>
      </c>
      <c r="E346" s="26" t="s">
        <v>39</v>
      </c>
      <c r="F346" s="31" t="s">
        <v>18</v>
      </c>
      <c r="G346" s="31" t="s">
        <v>41</v>
      </c>
      <c r="H346" s="32"/>
      <c r="I346" s="32" t="s">
        <v>40</v>
      </c>
    </row>
    <row r="347" spans="1:9" ht="16.5" customHeight="1" x14ac:dyDescent="0.2">
      <c r="A347" s="35" t="s">
        <v>3615</v>
      </c>
      <c r="B347" s="103" t="s">
        <v>3616</v>
      </c>
      <c r="C347" s="35" t="s">
        <v>115</v>
      </c>
      <c r="D347" s="35" t="s">
        <v>131</v>
      </c>
      <c r="E347" s="35" t="s">
        <v>39</v>
      </c>
      <c r="F347" s="30" t="s">
        <v>18</v>
      </c>
      <c r="G347" s="31" t="s">
        <v>72</v>
      </c>
      <c r="H347" s="30" t="s">
        <v>3617</v>
      </c>
      <c r="I347" s="32" t="s">
        <v>40</v>
      </c>
    </row>
    <row r="348" spans="1:9" ht="16.5" customHeight="1" x14ac:dyDescent="0.2">
      <c r="A348" s="35" t="s">
        <v>3615</v>
      </c>
      <c r="B348" s="103" t="s">
        <v>3616</v>
      </c>
      <c r="C348" s="35" t="s">
        <v>115</v>
      </c>
      <c r="D348" s="35" t="s">
        <v>131</v>
      </c>
      <c r="E348" s="35" t="s">
        <v>39</v>
      </c>
      <c r="F348" s="30" t="s">
        <v>18</v>
      </c>
      <c r="G348" s="31" t="s">
        <v>72</v>
      </c>
      <c r="H348" s="55" t="s">
        <v>5546</v>
      </c>
      <c r="I348" s="32" t="s">
        <v>40</v>
      </c>
    </row>
    <row r="349" spans="1:9" ht="16.5" customHeight="1" x14ac:dyDescent="0.2">
      <c r="A349" s="26" t="s">
        <v>3618</v>
      </c>
      <c r="B349" s="26" t="s">
        <v>3619</v>
      </c>
      <c r="C349" s="26" t="s">
        <v>115</v>
      </c>
      <c r="D349" s="26" t="s">
        <v>122</v>
      </c>
      <c r="E349" s="26" t="s">
        <v>39</v>
      </c>
      <c r="F349" s="31" t="s">
        <v>18</v>
      </c>
      <c r="G349" s="31" t="s">
        <v>61</v>
      </c>
      <c r="H349" s="32"/>
      <c r="I349" s="32" t="s">
        <v>40</v>
      </c>
    </row>
    <row r="350" spans="1:9" ht="16.5" customHeight="1" x14ac:dyDescent="0.2">
      <c r="A350" s="26" t="s">
        <v>3618</v>
      </c>
      <c r="B350" s="26" t="s">
        <v>3619</v>
      </c>
      <c r="C350" s="26" t="s">
        <v>115</v>
      </c>
      <c r="D350" s="26" t="s">
        <v>122</v>
      </c>
      <c r="E350" s="26" t="s">
        <v>39</v>
      </c>
      <c r="F350" s="31" t="s">
        <v>18</v>
      </c>
      <c r="G350" s="31" t="s">
        <v>61</v>
      </c>
      <c r="H350" s="32"/>
      <c r="I350" s="32" t="s">
        <v>40</v>
      </c>
    </row>
    <row r="351" spans="1:9" ht="16.5" customHeight="1" x14ac:dyDescent="0.2">
      <c r="A351" s="35" t="s">
        <v>3620</v>
      </c>
      <c r="B351" s="35" t="s">
        <v>3621</v>
      </c>
      <c r="C351" s="35" t="s">
        <v>64</v>
      </c>
      <c r="D351" s="35" t="s">
        <v>70</v>
      </c>
      <c r="E351" s="35" t="s">
        <v>39</v>
      </c>
      <c r="F351" s="30" t="s">
        <v>11</v>
      </c>
      <c r="G351" s="31" t="s">
        <v>72</v>
      </c>
      <c r="H351" s="31"/>
      <c r="I351" s="32" t="s">
        <v>40</v>
      </c>
    </row>
    <row r="352" spans="1:9" ht="16.5" customHeight="1" x14ac:dyDescent="0.2">
      <c r="A352" s="35" t="s">
        <v>3620</v>
      </c>
      <c r="B352" s="35" t="s">
        <v>3621</v>
      </c>
      <c r="C352" s="35" t="s">
        <v>64</v>
      </c>
      <c r="D352" s="35" t="s">
        <v>70</v>
      </c>
      <c r="E352" s="35" t="s">
        <v>39</v>
      </c>
      <c r="F352" s="30" t="s">
        <v>11</v>
      </c>
      <c r="G352" s="31" t="s">
        <v>72</v>
      </c>
      <c r="H352" s="92"/>
      <c r="I352" s="32" t="s">
        <v>40</v>
      </c>
    </row>
    <row r="353" spans="1:9" ht="16.5" customHeight="1" x14ac:dyDescent="0.2">
      <c r="A353" s="35" t="s">
        <v>3620</v>
      </c>
      <c r="B353" s="35" t="s">
        <v>3621</v>
      </c>
      <c r="C353" s="35" t="s">
        <v>64</v>
      </c>
      <c r="D353" s="35" t="s">
        <v>70</v>
      </c>
      <c r="E353" s="35" t="s">
        <v>39</v>
      </c>
      <c r="F353" s="30" t="s">
        <v>11</v>
      </c>
      <c r="G353" s="31" t="s">
        <v>72</v>
      </c>
      <c r="H353" s="32"/>
      <c r="I353" s="32" t="s">
        <v>40</v>
      </c>
    </row>
    <row r="354" spans="1:9" ht="16.5" customHeight="1" x14ac:dyDescent="0.2">
      <c r="A354" s="35" t="s">
        <v>3620</v>
      </c>
      <c r="B354" s="35" t="s">
        <v>3621</v>
      </c>
      <c r="C354" s="35" t="s">
        <v>64</v>
      </c>
      <c r="D354" s="35" t="s">
        <v>70</v>
      </c>
      <c r="E354" s="35" t="s">
        <v>39</v>
      </c>
      <c r="F354" s="30" t="s">
        <v>11</v>
      </c>
      <c r="G354" s="31" t="s">
        <v>72</v>
      </c>
      <c r="H354" s="32"/>
      <c r="I354" s="32" t="s">
        <v>40</v>
      </c>
    </row>
    <row r="355" spans="1:9" ht="16.5" customHeight="1" x14ac:dyDescent="0.2">
      <c r="A355" s="35" t="s">
        <v>3620</v>
      </c>
      <c r="B355" s="35" t="s">
        <v>3621</v>
      </c>
      <c r="C355" s="35" t="s">
        <v>64</v>
      </c>
      <c r="D355" s="35" t="s">
        <v>70</v>
      </c>
      <c r="E355" s="35" t="s">
        <v>39</v>
      </c>
      <c r="F355" s="30" t="s">
        <v>11</v>
      </c>
      <c r="G355" s="31" t="s">
        <v>72</v>
      </c>
      <c r="H355" s="31"/>
      <c r="I355" s="32" t="s">
        <v>40</v>
      </c>
    </row>
    <row r="356" spans="1:9" ht="16.5" customHeight="1" x14ac:dyDescent="0.2">
      <c r="A356" s="35" t="s">
        <v>3620</v>
      </c>
      <c r="B356" s="35" t="s">
        <v>3621</v>
      </c>
      <c r="C356" s="35" t="s">
        <v>64</v>
      </c>
      <c r="D356" s="35" t="s">
        <v>74</v>
      </c>
      <c r="E356" s="35" t="s">
        <v>39</v>
      </c>
      <c r="F356" s="30" t="s">
        <v>11</v>
      </c>
      <c r="G356" s="31" t="s">
        <v>72</v>
      </c>
      <c r="H356" s="32"/>
      <c r="I356" s="32" t="s">
        <v>40</v>
      </c>
    </row>
    <row r="357" spans="1:9" ht="16.5" customHeight="1" x14ac:dyDescent="0.25">
      <c r="A357" s="35" t="s">
        <v>3622</v>
      </c>
      <c r="B357" s="76" t="s">
        <v>3623</v>
      </c>
      <c r="C357" s="76" t="s">
        <v>64</v>
      </c>
      <c r="D357" s="35" t="s">
        <v>86</v>
      </c>
      <c r="E357" s="76" t="s">
        <v>39</v>
      </c>
      <c r="F357" s="76" t="s">
        <v>18</v>
      </c>
      <c r="G357" s="35" t="s">
        <v>26</v>
      </c>
      <c r="H357" s="95"/>
      <c r="I357" s="32" t="s">
        <v>40</v>
      </c>
    </row>
    <row r="358" spans="1:9" ht="16.5" customHeight="1" x14ac:dyDescent="0.2">
      <c r="A358" s="26" t="s">
        <v>3624</v>
      </c>
      <c r="B358" s="26" t="s">
        <v>3625</v>
      </c>
      <c r="C358" s="26" t="s">
        <v>98</v>
      </c>
      <c r="D358" s="26" t="s">
        <v>99</v>
      </c>
      <c r="E358" s="26" t="s">
        <v>39</v>
      </c>
      <c r="F358" s="47" t="s">
        <v>18</v>
      </c>
      <c r="G358" s="31" t="s">
        <v>41</v>
      </c>
      <c r="H358" s="32"/>
      <c r="I358" s="32" t="s">
        <v>40</v>
      </c>
    </row>
    <row r="359" spans="1:9" ht="16.5" customHeight="1" x14ac:dyDescent="0.2">
      <c r="A359" s="35" t="s">
        <v>3626</v>
      </c>
      <c r="B359" s="35" t="s">
        <v>5376</v>
      </c>
      <c r="C359" s="35" t="s">
        <v>64</v>
      </c>
      <c r="D359" s="35" t="s">
        <v>89</v>
      </c>
      <c r="E359" s="54" t="s">
        <v>39</v>
      </c>
      <c r="F359" s="31" t="s">
        <v>18</v>
      </c>
      <c r="G359" s="31" t="s">
        <v>61</v>
      </c>
      <c r="H359" s="32"/>
      <c r="I359" s="32" t="s">
        <v>40</v>
      </c>
    </row>
    <row r="360" spans="1:9" ht="16.5" customHeight="1" x14ac:dyDescent="0.2">
      <c r="A360" s="26" t="s">
        <v>3628</v>
      </c>
      <c r="B360" s="26" t="s">
        <v>3629</v>
      </c>
      <c r="C360" s="26" t="s">
        <v>98</v>
      </c>
      <c r="D360" s="26" t="s">
        <v>105</v>
      </c>
      <c r="E360" s="26" t="s">
        <v>39</v>
      </c>
      <c r="F360" s="47" t="s">
        <v>18</v>
      </c>
      <c r="G360" s="47" t="s">
        <v>61</v>
      </c>
      <c r="H360" s="51"/>
      <c r="I360" s="32" t="s">
        <v>40</v>
      </c>
    </row>
    <row r="361" spans="1:9" ht="16.5" customHeight="1" x14ac:dyDescent="0.2">
      <c r="A361" s="26" t="s">
        <v>3630</v>
      </c>
      <c r="B361" s="26" t="s">
        <v>3631</v>
      </c>
      <c r="C361" s="26" t="s">
        <v>115</v>
      </c>
      <c r="D361" s="27" t="s">
        <v>116</v>
      </c>
      <c r="E361" s="27" t="s">
        <v>39</v>
      </c>
      <c r="F361" s="31" t="s">
        <v>18</v>
      </c>
      <c r="G361" s="31" t="s">
        <v>61</v>
      </c>
      <c r="H361" s="31"/>
      <c r="I361" s="32" t="s">
        <v>40</v>
      </c>
    </row>
    <row r="362" spans="1:9" ht="16.5" customHeight="1" x14ac:dyDescent="0.2">
      <c r="A362" s="35" t="s">
        <v>3632</v>
      </c>
      <c r="B362" s="35" t="s">
        <v>3633</v>
      </c>
      <c r="C362" s="27" t="s">
        <v>98</v>
      </c>
      <c r="D362" s="27" t="s">
        <v>102</v>
      </c>
      <c r="E362" s="26" t="s">
        <v>39</v>
      </c>
      <c r="F362" s="31" t="s">
        <v>18</v>
      </c>
      <c r="G362" s="31" t="s">
        <v>41</v>
      </c>
      <c r="H362" s="32"/>
      <c r="I362" s="32" t="s">
        <v>40</v>
      </c>
    </row>
    <row r="363" spans="1:9" ht="16.5" customHeight="1" x14ac:dyDescent="0.2">
      <c r="A363" s="26" t="s">
        <v>3634</v>
      </c>
      <c r="B363" s="26" t="s">
        <v>3635</v>
      </c>
      <c r="C363" s="26" t="s">
        <v>7</v>
      </c>
      <c r="D363" s="26" t="s">
        <v>16</v>
      </c>
      <c r="E363" s="26" t="s">
        <v>39</v>
      </c>
      <c r="F363" s="31" t="s">
        <v>18</v>
      </c>
      <c r="G363" s="31" t="s">
        <v>41</v>
      </c>
      <c r="H363" s="32"/>
      <c r="I363" s="32" t="s">
        <v>40</v>
      </c>
    </row>
    <row r="364" spans="1:9" ht="16.5" customHeight="1" x14ac:dyDescent="0.2">
      <c r="A364" s="26" t="s">
        <v>3634</v>
      </c>
      <c r="B364" s="26" t="s">
        <v>3635</v>
      </c>
      <c r="C364" s="26" t="s">
        <v>7</v>
      </c>
      <c r="D364" s="26" t="s">
        <v>16</v>
      </c>
      <c r="E364" s="26" t="s">
        <v>39</v>
      </c>
      <c r="F364" s="31" t="s">
        <v>18</v>
      </c>
      <c r="G364" s="31" t="s">
        <v>41</v>
      </c>
      <c r="H364" s="32"/>
      <c r="I364" s="32" t="s">
        <v>40</v>
      </c>
    </row>
    <row r="365" spans="1:9" ht="16.5" customHeight="1" x14ac:dyDescent="0.2">
      <c r="A365" s="26" t="s">
        <v>3634</v>
      </c>
      <c r="B365" s="26" t="s">
        <v>3635</v>
      </c>
      <c r="C365" s="26" t="s">
        <v>7</v>
      </c>
      <c r="D365" s="26" t="s">
        <v>16</v>
      </c>
      <c r="E365" s="26" t="s">
        <v>39</v>
      </c>
      <c r="F365" s="31" t="s">
        <v>18</v>
      </c>
      <c r="G365" s="31" t="s">
        <v>41</v>
      </c>
      <c r="H365" s="32"/>
      <c r="I365" s="32" t="s">
        <v>40</v>
      </c>
    </row>
    <row r="366" spans="1:9" ht="16.5" customHeight="1" x14ac:dyDescent="0.2">
      <c r="A366" s="26" t="s">
        <v>3636</v>
      </c>
      <c r="B366" s="26" t="s">
        <v>3637</v>
      </c>
      <c r="C366" s="26" t="s">
        <v>98</v>
      </c>
      <c r="D366" s="26" t="s">
        <v>99</v>
      </c>
      <c r="E366" s="26" t="s">
        <v>39</v>
      </c>
      <c r="F366" s="47" t="s">
        <v>18</v>
      </c>
      <c r="G366" s="47" t="s">
        <v>19</v>
      </c>
      <c r="H366" s="51"/>
      <c r="I366" s="32" t="s">
        <v>40</v>
      </c>
    </row>
    <row r="367" spans="1:9" ht="16.5" customHeight="1" x14ac:dyDescent="0.2">
      <c r="A367" s="26" t="s">
        <v>3638</v>
      </c>
      <c r="B367" s="26" t="s">
        <v>3639</v>
      </c>
      <c r="C367" s="26" t="s">
        <v>98</v>
      </c>
      <c r="D367" s="26" t="s">
        <v>99</v>
      </c>
      <c r="E367" s="26" t="s">
        <v>39</v>
      </c>
      <c r="F367" s="47" t="s">
        <v>18</v>
      </c>
      <c r="G367" s="47" t="s">
        <v>61</v>
      </c>
      <c r="H367" s="44"/>
      <c r="I367" s="32" t="s">
        <v>40</v>
      </c>
    </row>
    <row r="368" spans="1:9" ht="16.5" customHeight="1" x14ac:dyDescent="0.2">
      <c r="A368" s="54" t="s">
        <v>3640</v>
      </c>
      <c r="B368" s="54" t="s">
        <v>5177</v>
      </c>
      <c r="C368" s="54" t="s">
        <v>7</v>
      </c>
      <c r="D368" s="54" t="s">
        <v>23</v>
      </c>
      <c r="E368" s="54" t="s">
        <v>39</v>
      </c>
      <c r="F368" s="58" t="s">
        <v>18</v>
      </c>
      <c r="G368" s="34" t="s">
        <v>41</v>
      </c>
      <c r="H368" s="32"/>
      <c r="I368" s="32" t="s">
        <v>40</v>
      </c>
    </row>
    <row r="369" spans="1:9" ht="16.5" customHeight="1" x14ac:dyDescent="0.2">
      <c r="A369" s="54" t="s">
        <v>3640</v>
      </c>
      <c r="B369" s="57" t="s">
        <v>5177</v>
      </c>
      <c r="C369" s="54" t="s">
        <v>7</v>
      </c>
      <c r="D369" s="54" t="s">
        <v>23</v>
      </c>
      <c r="E369" s="54" t="s">
        <v>39</v>
      </c>
      <c r="F369" s="58" t="s">
        <v>18</v>
      </c>
      <c r="G369" s="34" t="s">
        <v>41</v>
      </c>
      <c r="H369" s="31" t="s">
        <v>5172</v>
      </c>
      <c r="I369" s="32" t="s">
        <v>40</v>
      </c>
    </row>
    <row r="370" spans="1:9" ht="16.5" customHeight="1" x14ac:dyDescent="0.2">
      <c r="A370" s="54" t="s">
        <v>3640</v>
      </c>
      <c r="B370" s="54" t="s">
        <v>5177</v>
      </c>
      <c r="C370" s="54" t="s">
        <v>7</v>
      </c>
      <c r="D370" s="54" t="s">
        <v>23</v>
      </c>
      <c r="E370" s="54" t="s">
        <v>39</v>
      </c>
      <c r="F370" s="58" t="s">
        <v>18</v>
      </c>
      <c r="G370" s="34" t="s">
        <v>41</v>
      </c>
      <c r="H370" s="32"/>
      <c r="I370" s="32" t="s">
        <v>40</v>
      </c>
    </row>
    <row r="371" spans="1:9" ht="16.5" customHeight="1" x14ac:dyDescent="0.2">
      <c r="A371" s="54" t="s">
        <v>3640</v>
      </c>
      <c r="B371" s="54" t="s">
        <v>5177</v>
      </c>
      <c r="C371" s="54" t="s">
        <v>7</v>
      </c>
      <c r="D371" s="54" t="s">
        <v>23</v>
      </c>
      <c r="E371" s="54" t="s">
        <v>39</v>
      </c>
      <c r="F371" s="58" t="s">
        <v>18</v>
      </c>
      <c r="G371" s="34" t="s">
        <v>41</v>
      </c>
      <c r="H371" s="32"/>
      <c r="I371" s="32" t="s">
        <v>40</v>
      </c>
    </row>
    <row r="372" spans="1:9" ht="16.5" customHeight="1" x14ac:dyDescent="0.2">
      <c r="A372" s="26" t="s">
        <v>3642</v>
      </c>
      <c r="B372" s="26" t="s">
        <v>5274</v>
      </c>
      <c r="C372" s="26" t="s">
        <v>7</v>
      </c>
      <c r="D372" s="26" t="s">
        <v>16</v>
      </c>
      <c r="E372" s="26" t="s">
        <v>39</v>
      </c>
      <c r="F372" s="31" t="s">
        <v>18</v>
      </c>
      <c r="G372" s="32"/>
      <c r="H372" s="32" t="s">
        <v>40</v>
      </c>
      <c r="I372" s="32" t="s">
        <v>40</v>
      </c>
    </row>
    <row r="373" spans="1:9" ht="16.5" customHeight="1" x14ac:dyDescent="0.2">
      <c r="A373" s="26" t="s">
        <v>3642</v>
      </c>
      <c r="B373" s="26" t="s">
        <v>5274</v>
      </c>
      <c r="C373" s="26" t="s">
        <v>7</v>
      </c>
      <c r="D373" s="26" t="s">
        <v>16</v>
      </c>
      <c r="E373" s="26" t="s">
        <v>39</v>
      </c>
      <c r="F373" s="31" t="s">
        <v>18</v>
      </c>
      <c r="G373" s="32"/>
      <c r="H373" s="32" t="s">
        <v>40</v>
      </c>
      <c r="I373" s="32" t="s">
        <v>40</v>
      </c>
    </row>
    <row r="374" spans="1:9" ht="16.5" customHeight="1" x14ac:dyDescent="0.2">
      <c r="A374" s="26" t="s">
        <v>3644</v>
      </c>
      <c r="B374" s="26" t="s">
        <v>3645</v>
      </c>
      <c r="C374" s="26" t="s">
        <v>115</v>
      </c>
      <c r="D374" s="27" t="s">
        <v>116</v>
      </c>
      <c r="E374" s="27" t="s">
        <v>39</v>
      </c>
      <c r="F374" s="31" t="s">
        <v>18</v>
      </c>
      <c r="G374" s="31" t="s">
        <v>61</v>
      </c>
      <c r="H374" s="31"/>
      <c r="I374" s="32" t="s">
        <v>40</v>
      </c>
    </row>
    <row r="375" spans="1:9" ht="16.5" customHeight="1" x14ac:dyDescent="0.2">
      <c r="A375" s="26" t="s">
        <v>3644</v>
      </c>
      <c r="B375" s="26" t="s">
        <v>3645</v>
      </c>
      <c r="C375" s="26" t="s">
        <v>115</v>
      </c>
      <c r="D375" s="27" t="s">
        <v>116</v>
      </c>
      <c r="E375" s="27" t="s">
        <v>39</v>
      </c>
      <c r="F375" s="31" t="s">
        <v>18</v>
      </c>
      <c r="G375" s="31" t="s">
        <v>61</v>
      </c>
      <c r="H375" s="31"/>
      <c r="I375" s="32" t="s">
        <v>40</v>
      </c>
    </row>
    <row r="376" spans="1:9" ht="16.5" customHeight="1" x14ac:dyDescent="0.2">
      <c r="A376" s="26" t="s">
        <v>3646</v>
      </c>
      <c r="B376" s="26" t="s">
        <v>3647</v>
      </c>
      <c r="C376" s="26" t="s">
        <v>115</v>
      </c>
      <c r="D376" s="27" t="s">
        <v>116</v>
      </c>
      <c r="E376" s="27" t="s">
        <v>39</v>
      </c>
      <c r="F376" s="31" t="s">
        <v>18</v>
      </c>
      <c r="G376" s="31" t="s">
        <v>61</v>
      </c>
      <c r="H376" s="31"/>
      <c r="I376" s="32" t="s">
        <v>40</v>
      </c>
    </row>
    <row r="377" spans="1:9" ht="16.5" customHeight="1" x14ac:dyDescent="0.2">
      <c r="A377" s="26" t="s">
        <v>3646</v>
      </c>
      <c r="B377" s="26" t="s">
        <v>3647</v>
      </c>
      <c r="C377" s="26" t="s">
        <v>115</v>
      </c>
      <c r="D377" s="27" t="s">
        <v>116</v>
      </c>
      <c r="E377" s="27" t="s">
        <v>39</v>
      </c>
      <c r="F377" s="31" t="s">
        <v>18</v>
      </c>
      <c r="G377" s="31" t="s">
        <v>61</v>
      </c>
      <c r="H377" s="31"/>
      <c r="I377" s="32" t="s">
        <v>40</v>
      </c>
    </row>
    <row r="378" spans="1:9" ht="16.5" customHeight="1" x14ac:dyDescent="0.2">
      <c r="A378" s="26" t="s">
        <v>3648</v>
      </c>
      <c r="B378" s="26" t="s">
        <v>3649</v>
      </c>
      <c r="C378" s="26" t="s">
        <v>98</v>
      </c>
      <c r="D378" s="26" t="s">
        <v>99</v>
      </c>
      <c r="E378" s="26" t="s">
        <v>39</v>
      </c>
      <c r="F378" s="47" t="s">
        <v>18</v>
      </c>
      <c r="G378" s="31" t="s">
        <v>61</v>
      </c>
      <c r="H378" s="32"/>
      <c r="I378" s="32" t="s">
        <v>40</v>
      </c>
    </row>
    <row r="379" spans="1:9" ht="16.5" customHeight="1" x14ac:dyDescent="0.2">
      <c r="A379" s="26" t="s">
        <v>3650</v>
      </c>
      <c r="B379" s="26" t="s">
        <v>3651</v>
      </c>
      <c r="C379" s="26" t="s">
        <v>98</v>
      </c>
      <c r="D379" s="26" t="s">
        <v>99</v>
      </c>
      <c r="E379" s="26" t="s">
        <v>39</v>
      </c>
      <c r="F379" s="47" t="s">
        <v>18</v>
      </c>
      <c r="G379" s="31" t="s">
        <v>61</v>
      </c>
      <c r="H379" s="51"/>
      <c r="I379" s="32" t="s">
        <v>40</v>
      </c>
    </row>
    <row r="380" spans="1:9" ht="16.5" customHeight="1" x14ac:dyDescent="0.2">
      <c r="A380" s="35" t="s">
        <v>3652</v>
      </c>
      <c r="B380" s="35" t="s">
        <v>3653</v>
      </c>
      <c r="C380" s="35" t="s">
        <v>7</v>
      </c>
      <c r="D380" s="35" t="s">
        <v>8</v>
      </c>
      <c r="E380" s="35" t="s">
        <v>39</v>
      </c>
      <c r="F380" s="52" t="s">
        <v>18</v>
      </c>
      <c r="G380" s="30" t="s">
        <v>61</v>
      </c>
      <c r="H380" s="55"/>
      <c r="I380" s="32" t="s">
        <v>40</v>
      </c>
    </row>
    <row r="381" spans="1:9" ht="16.5" customHeight="1" x14ac:dyDescent="0.2">
      <c r="A381" s="35" t="s">
        <v>3652</v>
      </c>
      <c r="B381" s="35" t="s">
        <v>3653</v>
      </c>
      <c r="C381" s="35" t="s">
        <v>7</v>
      </c>
      <c r="D381" s="35" t="s">
        <v>8</v>
      </c>
      <c r="E381" s="35" t="s">
        <v>39</v>
      </c>
      <c r="F381" s="52" t="s">
        <v>18</v>
      </c>
      <c r="G381" s="30" t="s">
        <v>61</v>
      </c>
      <c r="H381" s="55"/>
      <c r="I381" s="32" t="s">
        <v>40</v>
      </c>
    </row>
    <row r="382" spans="1:9" ht="16.5" customHeight="1" x14ac:dyDescent="0.2">
      <c r="A382" s="35" t="s">
        <v>3652</v>
      </c>
      <c r="B382" s="35" t="s">
        <v>3653</v>
      </c>
      <c r="C382" s="35" t="s">
        <v>7</v>
      </c>
      <c r="D382" s="35" t="s">
        <v>8</v>
      </c>
      <c r="E382" s="35" t="s">
        <v>39</v>
      </c>
      <c r="F382" s="52" t="s">
        <v>18</v>
      </c>
      <c r="G382" s="30" t="s">
        <v>61</v>
      </c>
      <c r="H382" s="55"/>
      <c r="I382" s="32" t="s">
        <v>40</v>
      </c>
    </row>
    <row r="383" spans="1:9" ht="16.5" customHeight="1" x14ac:dyDescent="0.2">
      <c r="A383" s="35" t="s">
        <v>3652</v>
      </c>
      <c r="B383" s="35" t="s">
        <v>3653</v>
      </c>
      <c r="C383" s="35" t="s">
        <v>7</v>
      </c>
      <c r="D383" s="35" t="s">
        <v>8</v>
      </c>
      <c r="E383" s="35" t="s">
        <v>39</v>
      </c>
      <c r="F383" s="52" t="s">
        <v>18</v>
      </c>
      <c r="G383" s="30" t="s">
        <v>61</v>
      </c>
      <c r="H383" s="55"/>
      <c r="I383" s="32" t="s">
        <v>40</v>
      </c>
    </row>
    <row r="384" spans="1:9" ht="16.5" customHeight="1" x14ac:dyDescent="0.2">
      <c r="A384" s="35" t="s">
        <v>3652</v>
      </c>
      <c r="B384" s="35" t="s">
        <v>3653</v>
      </c>
      <c r="C384" s="35" t="s">
        <v>7</v>
      </c>
      <c r="D384" s="35" t="s">
        <v>8</v>
      </c>
      <c r="E384" s="35" t="s">
        <v>39</v>
      </c>
      <c r="F384" s="52" t="s">
        <v>18</v>
      </c>
      <c r="G384" s="30" t="s">
        <v>61</v>
      </c>
      <c r="H384" s="55"/>
      <c r="I384" s="32" t="s">
        <v>40</v>
      </c>
    </row>
    <row r="385" spans="1:9" ht="16.5" customHeight="1" x14ac:dyDescent="0.2">
      <c r="A385" s="26" t="s">
        <v>3654</v>
      </c>
      <c r="B385" s="26" t="s">
        <v>3655</v>
      </c>
      <c r="C385" s="26" t="s">
        <v>7</v>
      </c>
      <c r="D385" s="26" t="s">
        <v>16</v>
      </c>
      <c r="E385" s="26" t="s">
        <v>39</v>
      </c>
      <c r="F385" s="31" t="s">
        <v>18</v>
      </c>
      <c r="G385" s="31" t="s">
        <v>72</v>
      </c>
      <c r="H385" s="31" t="s">
        <v>40</v>
      </c>
      <c r="I385" s="32" t="s">
        <v>40</v>
      </c>
    </row>
    <row r="386" spans="1:9" ht="16.5" customHeight="1" x14ac:dyDescent="0.2">
      <c r="A386" s="26" t="s">
        <v>3656</v>
      </c>
      <c r="B386" s="26" t="s">
        <v>3657</v>
      </c>
      <c r="C386" s="66" t="s">
        <v>37</v>
      </c>
      <c r="D386" s="27" t="s">
        <v>38</v>
      </c>
      <c r="E386" s="26" t="s">
        <v>39</v>
      </c>
      <c r="F386" s="31" t="s">
        <v>18</v>
      </c>
      <c r="G386" s="31" t="s">
        <v>61</v>
      </c>
      <c r="H386" s="32"/>
      <c r="I386" s="32" t="s">
        <v>40</v>
      </c>
    </row>
    <row r="387" spans="1:9" ht="16.5" customHeight="1" x14ac:dyDescent="0.2">
      <c r="A387" s="54" t="s">
        <v>3658</v>
      </c>
      <c r="B387" s="54" t="s">
        <v>5178</v>
      </c>
      <c r="C387" s="54" t="s">
        <v>7</v>
      </c>
      <c r="D387" s="54" t="s">
        <v>23</v>
      </c>
      <c r="E387" s="54" t="s">
        <v>39</v>
      </c>
      <c r="F387" s="58" t="s">
        <v>18</v>
      </c>
      <c r="G387" s="34" t="s">
        <v>61</v>
      </c>
      <c r="H387" s="32"/>
      <c r="I387" s="32" t="s">
        <v>40</v>
      </c>
    </row>
    <row r="388" spans="1:9" ht="16.5" customHeight="1" x14ac:dyDescent="0.2">
      <c r="A388" s="54" t="s">
        <v>3658</v>
      </c>
      <c r="B388" s="54" t="s">
        <v>5178</v>
      </c>
      <c r="C388" s="54" t="s">
        <v>7</v>
      </c>
      <c r="D388" s="54" t="s">
        <v>23</v>
      </c>
      <c r="E388" s="54" t="s">
        <v>39</v>
      </c>
      <c r="F388" s="58" t="s">
        <v>18</v>
      </c>
      <c r="G388" s="34" t="s">
        <v>61</v>
      </c>
      <c r="H388" s="32"/>
      <c r="I388" s="32" t="s">
        <v>40</v>
      </c>
    </row>
    <row r="389" spans="1:9" ht="16.5" customHeight="1" x14ac:dyDescent="0.2">
      <c r="A389" s="54" t="s">
        <v>3658</v>
      </c>
      <c r="B389" s="54" t="s">
        <v>5178</v>
      </c>
      <c r="C389" s="54" t="s">
        <v>7</v>
      </c>
      <c r="D389" s="54" t="s">
        <v>23</v>
      </c>
      <c r="E389" s="54" t="s">
        <v>39</v>
      </c>
      <c r="F389" s="58" t="s">
        <v>18</v>
      </c>
      <c r="G389" s="34" t="s">
        <v>61</v>
      </c>
      <c r="H389" s="32"/>
      <c r="I389" s="32" t="s">
        <v>40</v>
      </c>
    </row>
    <row r="390" spans="1:9" ht="16.5" customHeight="1" x14ac:dyDescent="0.2">
      <c r="A390" s="54" t="s">
        <v>3658</v>
      </c>
      <c r="B390" s="54" t="s">
        <v>5178</v>
      </c>
      <c r="C390" s="54" t="s">
        <v>7</v>
      </c>
      <c r="D390" s="54" t="s">
        <v>23</v>
      </c>
      <c r="E390" s="54" t="s">
        <v>39</v>
      </c>
      <c r="F390" s="58" t="s">
        <v>18</v>
      </c>
      <c r="G390" s="34" t="s">
        <v>61</v>
      </c>
      <c r="H390" s="32"/>
      <c r="I390" s="32" t="s">
        <v>40</v>
      </c>
    </row>
    <row r="391" spans="1:9" ht="16.5" customHeight="1" x14ac:dyDescent="0.2">
      <c r="A391" s="35" t="s">
        <v>3660</v>
      </c>
      <c r="B391" s="35" t="s">
        <v>3661</v>
      </c>
      <c r="C391" s="26" t="s">
        <v>98</v>
      </c>
      <c r="D391" s="26" t="s">
        <v>113</v>
      </c>
      <c r="E391" s="26" t="s">
        <v>39</v>
      </c>
      <c r="F391" s="31" t="s">
        <v>18</v>
      </c>
      <c r="G391" s="31" t="s">
        <v>41</v>
      </c>
      <c r="H391" s="32"/>
      <c r="I391" s="32" t="s">
        <v>40</v>
      </c>
    </row>
    <row r="392" spans="1:9" ht="16.5" customHeight="1" x14ac:dyDescent="0.2">
      <c r="A392" s="26" t="s">
        <v>3662</v>
      </c>
      <c r="B392" s="26" t="s">
        <v>3663</v>
      </c>
      <c r="C392" s="26" t="s">
        <v>115</v>
      </c>
      <c r="D392" s="26" t="s">
        <v>122</v>
      </c>
      <c r="E392" s="26" t="s">
        <v>39</v>
      </c>
      <c r="F392" s="31" t="s">
        <v>18</v>
      </c>
      <c r="G392" s="31" t="s">
        <v>61</v>
      </c>
      <c r="H392" s="31"/>
      <c r="I392" s="32" t="s">
        <v>40</v>
      </c>
    </row>
    <row r="393" spans="1:9" ht="16.5" customHeight="1" x14ac:dyDescent="0.2">
      <c r="A393" s="26" t="s">
        <v>3662</v>
      </c>
      <c r="B393" s="26" t="s">
        <v>3663</v>
      </c>
      <c r="C393" s="26" t="s">
        <v>115</v>
      </c>
      <c r="D393" s="26" t="s">
        <v>122</v>
      </c>
      <c r="E393" s="26" t="s">
        <v>39</v>
      </c>
      <c r="F393" s="31" t="s">
        <v>18</v>
      </c>
      <c r="G393" s="31" t="s">
        <v>61</v>
      </c>
      <c r="H393" s="32"/>
      <c r="I393" s="32" t="s">
        <v>40</v>
      </c>
    </row>
    <row r="394" spans="1:9" ht="16.5" customHeight="1" x14ac:dyDescent="0.2">
      <c r="A394" s="26" t="s">
        <v>3662</v>
      </c>
      <c r="B394" s="26" t="s">
        <v>3663</v>
      </c>
      <c r="C394" s="26" t="s">
        <v>115</v>
      </c>
      <c r="D394" s="26" t="s">
        <v>122</v>
      </c>
      <c r="E394" s="26" t="s">
        <v>39</v>
      </c>
      <c r="F394" s="31" t="s">
        <v>18</v>
      </c>
      <c r="G394" s="31" t="s">
        <v>61</v>
      </c>
      <c r="H394" s="32"/>
      <c r="I394" s="32" t="s">
        <v>40</v>
      </c>
    </row>
    <row r="395" spans="1:9" ht="16.5" customHeight="1" x14ac:dyDescent="0.2">
      <c r="A395" s="26" t="s">
        <v>3664</v>
      </c>
      <c r="B395" s="26" t="s">
        <v>5272</v>
      </c>
      <c r="C395" s="26" t="s">
        <v>7</v>
      </c>
      <c r="D395" s="26" t="s">
        <v>16</v>
      </c>
      <c r="E395" s="26" t="s">
        <v>39</v>
      </c>
      <c r="F395" s="31" t="s">
        <v>18</v>
      </c>
      <c r="G395" s="32"/>
      <c r="H395" s="32" t="s">
        <v>40</v>
      </c>
      <c r="I395" s="32" t="s">
        <v>40</v>
      </c>
    </row>
    <row r="396" spans="1:9" ht="16.5" customHeight="1" x14ac:dyDescent="0.2">
      <c r="A396" s="26" t="s">
        <v>3664</v>
      </c>
      <c r="B396" s="26" t="s">
        <v>5272</v>
      </c>
      <c r="C396" s="26" t="s">
        <v>7</v>
      </c>
      <c r="D396" s="26" t="s">
        <v>16</v>
      </c>
      <c r="E396" s="26" t="s">
        <v>39</v>
      </c>
      <c r="F396" s="31" t="s">
        <v>18</v>
      </c>
      <c r="G396" s="32"/>
      <c r="H396" s="32" t="s">
        <v>40</v>
      </c>
      <c r="I396" s="32" t="s">
        <v>40</v>
      </c>
    </row>
    <row r="397" spans="1:9" ht="16.5" customHeight="1" x14ac:dyDescent="0.2">
      <c r="A397" s="26" t="s">
        <v>3664</v>
      </c>
      <c r="B397" s="26" t="s">
        <v>5272</v>
      </c>
      <c r="C397" s="26" t="s">
        <v>7</v>
      </c>
      <c r="D397" s="26" t="s">
        <v>16</v>
      </c>
      <c r="E397" s="26" t="s">
        <v>39</v>
      </c>
      <c r="F397" s="31" t="s">
        <v>18</v>
      </c>
      <c r="G397" s="31"/>
      <c r="H397" s="32" t="s">
        <v>40</v>
      </c>
      <c r="I397" s="32" t="s">
        <v>40</v>
      </c>
    </row>
    <row r="398" spans="1:9" ht="16.5" customHeight="1" x14ac:dyDescent="0.2">
      <c r="A398" s="35" t="s">
        <v>3666</v>
      </c>
      <c r="B398" s="35" t="s">
        <v>3667</v>
      </c>
      <c r="C398" s="35" t="s">
        <v>115</v>
      </c>
      <c r="D398" s="35" t="s">
        <v>119</v>
      </c>
      <c r="E398" s="35" t="s">
        <v>39</v>
      </c>
      <c r="F398" s="52" t="s">
        <v>18</v>
      </c>
      <c r="G398" s="30" t="s">
        <v>61</v>
      </c>
      <c r="H398" s="30"/>
      <c r="I398" s="32" t="s">
        <v>40</v>
      </c>
    </row>
    <row r="399" spans="1:9" ht="16.5" customHeight="1" x14ac:dyDescent="0.2">
      <c r="A399" s="26" t="s">
        <v>3668</v>
      </c>
      <c r="B399" s="26" t="s">
        <v>3669</v>
      </c>
      <c r="C399" s="26" t="s">
        <v>115</v>
      </c>
      <c r="D399" s="27" t="s">
        <v>116</v>
      </c>
      <c r="E399" s="27" t="s">
        <v>39</v>
      </c>
      <c r="F399" s="31" t="s">
        <v>18</v>
      </c>
      <c r="G399" s="31" t="s">
        <v>61</v>
      </c>
      <c r="H399" s="31"/>
      <c r="I399" s="32" t="s">
        <v>40</v>
      </c>
    </row>
    <row r="400" spans="1:9" ht="16.5" customHeight="1" x14ac:dyDescent="0.2">
      <c r="A400" s="26" t="s">
        <v>3668</v>
      </c>
      <c r="B400" s="26" t="s">
        <v>5481</v>
      </c>
      <c r="C400" s="26" t="s">
        <v>115</v>
      </c>
      <c r="D400" s="27" t="s">
        <v>116</v>
      </c>
      <c r="E400" s="27" t="s">
        <v>39</v>
      </c>
      <c r="F400" s="31" t="s">
        <v>18</v>
      </c>
      <c r="G400" s="31" t="s">
        <v>41</v>
      </c>
      <c r="H400" s="31"/>
      <c r="I400" s="32" t="s">
        <v>40</v>
      </c>
    </row>
    <row r="401" spans="1:9" ht="16.5" customHeight="1" x14ac:dyDescent="0.2">
      <c r="A401" s="26" t="s">
        <v>3668</v>
      </c>
      <c r="B401" s="26" t="s">
        <v>5481</v>
      </c>
      <c r="C401" s="26" t="s">
        <v>115</v>
      </c>
      <c r="D401" s="27" t="s">
        <v>116</v>
      </c>
      <c r="E401" s="27" t="s">
        <v>39</v>
      </c>
      <c r="F401" s="31" t="s">
        <v>18</v>
      </c>
      <c r="G401" s="31" t="s">
        <v>41</v>
      </c>
      <c r="H401" s="31"/>
      <c r="I401" s="32" t="s">
        <v>40</v>
      </c>
    </row>
    <row r="402" spans="1:9" ht="16.5" customHeight="1" x14ac:dyDescent="0.2">
      <c r="A402" s="104" t="s">
        <v>3670</v>
      </c>
      <c r="B402" s="35" t="s">
        <v>3671</v>
      </c>
      <c r="C402" s="35" t="s">
        <v>115</v>
      </c>
      <c r="D402" s="35" t="s">
        <v>128</v>
      </c>
      <c r="E402" s="35" t="s">
        <v>39</v>
      </c>
      <c r="F402" s="30" t="s">
        <v>11</v>
      </c>
      <c r="G402" s="31" t="s">
        <v>12</v>
      </c>
      <c r="H402" s="30" t="s">
        <v>3672</v>
      </c>
      <c r="I402" s="32" t="s">
        <v>40</v>
      </c>
    </row>
    <row r="403" spans="1:9" ht="16.5" customHeight="1" x14ac:dyDescent="0.2">
      <c r="A403" s="104" t="s">
        <v>3670</v>
      </c>
      <c r="B403" s="35" t="s">
        <v>3671</v>
      </c>
      <c r="C403" s="35" t="s">
        <v>115</v>
      </c>
      <c r="D403" s="35" t="s">
        <v>128</v>
      </c>
      <c r="E403" s="35" t="s">
        <v>39</v>
      </c>
      <c r="F403" s="30" t="s">
        <v>11</v>
      </c>
      <c r="G403" s="31" t="s">
        <v>12</v>
      </c>
      <c r="H403" s="30" t="s">
        <v>5581</v>
      </c>
      <c r="I403" s="32" t="s">
        <v>40</v>
      </c>
    </row>
    <row r="404" spans="1:9" ht="16.5" customHeight="1" x14ac:dyDescent="0.2">
      <c r="A404" s="26" t="s">
        <v>3673</v>
      </c>
      <c r="B404" s="26" t="s">
        <v>3674</v>
      </c>
      <c r="C404" s="26" t="s">
        <v>98</v>
      </c>
      <c r="D404" s="26" t="s">
        <v>107</v>
      </c>
      <c r="E404" s="26" t="s">
        <v>39</v>
      </c>
      <c r="F404" s="31" t="s">
        <v>18</v>
      </c>
      <c r="G404" s="31" t="s">
        <v>41</v>
      </c>
      <c r="H404" s="32"/>
      <c r="I404" s="32" t="s">
        <v>40</v>
      </c>
    </row>
    <row r="405" spans="1:9" ht="16.5" customHeight="1" x14ac:dyDescent="0.2">
      <c r="A405" s="26" t="s">
        <v>3675</v>
      </c>
      <c r="B405" s="26" t="s">
        <v>3676</v>
      </c>
      <c r="C405" s="26" t="s">
        <v>7</v>
      </c>
      <c r="D405" s="26" t="s">
        <v>16</v>
      </c>
      <c r="E405" s="26" t="s">
        <v>39</v>
      </c>
      <c r="F405" s="31" t="s">
        <v>18</v>
      </c>
      <c r="G405" s="31" t="s">
        <v>41</v>
      </c>
      <c r="H405" s="32"/>
      <c r="I405" s="32" t="s">
        <v>40</v>
      </c>
    </row>
    <row r="406" spans="1:9" ht="16.5" customHeight="1" x14ac:dyDescent="0.2">
      <c r="A406" s="26" t="s">
        <v>3675</v>
      </c>
      <c r="B406" s="26" t="s">
        <v>3676</v>
      </c>
      <c r="C406" s="26" t="s">
        <v>7</v>
      </c>
      <c r="D406" s="26" t="s">
        <v>16</v>
      </c>
      <c r="E406" s="26" t="s">
        <v>39</v>
      </c>
      <c r="F406" s="31" t="s">
        <v>18</v>
      </c>
      <c r="G406" s="31" t="s">
        <v>41</v>
      </c>
      <c r="H406" s="44"/>
      <c r="I406" s="32" t="s">
        <v>40</v>
      </c>
    </row>
    <row r="407" spans="1:9" ht="16.5" customHeight="1" x14ac:dyDescent="0.2">
      <c r="A407" s="54" t="s">
        <v>3677</v>
      </c>
      <c r="B407" s="57" t="s">
        <v>3678</v>
      </c>
      <c r="C407" s="54" t="s">
        <v>7</v>
      </c>
      <c r="D407" s="54" t="s">
        <v>8</v>
      </c>
      <c r="E407" s="54" t="s">
        <v>39</v>
      </c>
      <c r="F407" s="52" t="s">
        <v>18</v>
      </c>
      <c r="G407" s="30" t="s">
        <v>61</v>
      </c>
      <c r="H407" s="58" t="s">
        <v>3679</v>
      </c>
      <c r="I407" s="32" t="s">
        <v>40</v>
      </c>
    </row>
    <row r="408" spans="1:9" ht="16.5" customHeight="1" x14ac:dyDescent="0.2">
      <c r="A408" s="35" t="s">
        <v>3677</v>
      </c>
      <c r="B408" s="35" t="s">
        <v>3678</v>
      </c>
      <c r="C408" s="35" t="s">
        <v>7</v>
      </c>
      <c r="D408" s="35" t="s">
        <v>8</v>
      </c>
      <c r="E408" s="35" t="s">
        <v>39</v>
      </c>
      <c r="F408" s="52" t="s">
        <v>18</v>
      </c>
      <c r="G408" s="30" t="s">
        <v>61</v>
      </c>
      <c r="H408" s="55"/>
      <c r="I408" s="32" t="s">
        <v>40</v>
      </c>
    </row>
    <row r="409" spans="1:9" ht="16.5" customHeight="1" x14ac:dyDescent="0.2">
      <c r="A409" s="35" t="s">
        <v>3677</v>
      </c>
      <c r="B409" s="35" t="s">
        <v>3678</v>
      </c>
      <c r="C409" s="35" t="s">
        <v>7</v>
      </c>
      <c r="D409" s="35" t="s">
        <v>8</v>
      </c>
      <c r="E409" s="35" t="s">
        <v>39</v>
      </c>
      <c r="F409" s="52" t="s">
        <v>18</v>
      </c>
      <c r="G409" s="30" t="s">
        <v>61</v>
      </c>
      <c r="H409" s="55"/>
      <c r="I409" s="32" t="s">
        <v>40</v>
      </c>
    </row>
    <row r="410" spans="1:9" ht="16.5" customHeight="1" x14ac:dyDescent="0.2">
      <c r="A410" s="35" t="s">
        <v>3677</v>
      </c>
      <c r="B410" s="35" t="s">
        <v>3678</v>
      </c>
      <c r="C410" s="35" t="s">
        <v>7</v>
      </c>
      <c r="D410" s="35" t="s">
        <v>8</v>
      </c>
      <c r="E410" s="35" t="s">
        <v>39</v>
      </c>
      <c r="F410" s="52" t="s">
        <v>18</v>
      </c>
      <c r="G410" s="30" t="s">
        <v>61</v>
      </c>
      <c r="H410" s="55"/>
      <c r="I410" s="32" t="s">
        <v>40</v>
      </c>
    </row>
    <row r="411" spans="1:9" ht="16.5" customHeight="1" x14ac:dyDescent="0.2">
      <c r="A411" s="35" t="s">
        <v>3677</v>
      </c>
      <c r="B411" s="35" t="s">
        <v>3678</v>
      </c>
      <c r="C411" s="35" t="s">
        <v>7</v>
      </c>
      <c r="D411" s="35" t="s">
        <v>8</v>
      </c>
      <c r="E411" s="35" t="s">
        <v>39</v>
      </c>
      <c r="F411" s="52" t="s">
        <v>18</v>
      </c>
      <c r="G411" s="30" t="s">
        <v>61</v>
      </c>
      <c r="H411" s="55"/>
      <c r="I411" s="32" t="s">
        <v>40</v>
      </c>
    </row>
    <row r="412" spans="1:9" ht="16.5" customHeight="1" x14ac:dyDescent="0.2">
      <c r="A412" s="35" t="s">
        <v>3677</v>
      </c>
      <c r="B412" s="35" t="s">
        <v>3678</v>
      </c>
      <c r="C412" s="35" t="s">
        <v>7</v>
      </c>
      <c r="D412" s="35" t="s">
        <v>8</v>
      </c>
      <c r="E412" s="35" t="s">
        <v>39</v>
      </c>
      <c r="F412" s="52" t="s">
        <v>18</v>
      </c>
      <c r="G412" s="30" t="s">
        <v>61</v>
      </c>
      <c r="H412" s="55"/>
      <c r="I412" s="32" t="s">
        <v>40</v>
      </c>
    </row>
    <row r="413" spans="1:9" ht="16.5" customHeight="1" x14ac:dyDescent="0.2">
      <c r="A413" s="35" t="s">
        <v>3680</v>
      </c>
      <c r="B413" s="35" t="s">
        <v>3681</v>
      </c>
      <c r="C413" s="35" t="s">
        <v>64</v>
      </c>
      <c r="D413" s="35" t="s">
        <v>82</v>
      </c>
      <c r="E413" s="35" t="s">
        <v>39</v>
      </c>
      <c r="F413" s="52" t="s">
        <v>18</v>
      </c>
      <c r="G413" s="31" t="s">
        <v>26</v>
      </c>
      <c r="H413" s="32"/>
      <c r="I413" s="32" t="s">
        <v>40</v>
      </c>
    </row>
    <row r="414" spans="1:9" ht="16.5" customHeight="1" x14ac:dyDescent="0.2">
      <c r="A414" s="26" t="s">
        <v>3680</v>
      </c>
      <c r="B414" s="26" t="s">
        <v>5435</v>
      </c>
      <c r="C414" s="26" t="s">
        <v>64</v>
      </c>
      <c r="D414" s="26" t="s">
        <v>82</v>
      </c>
      <c r="E414" s="26" t="s">
        <v>39</v>
      </c>
      <c r="F414" s="31" t="s">
        <v>18</v>
      </c>
      <c r="G414" s="31" t="s">
        <v>61</v>
      </c>
      <c r="H414" s="31"/>
      <c r="I414" s="32" t="s">
        <v>40</v>
      </c>
    </row>
    <row r="415" spans="1:9" ht="16.5" customHeight="1" x14ac:dyDescent="0.2">
      <c r="A415" s="26" t="s">
        <v>3682</v>
      </c>
      <c r="B415" s="26" t="s">
        <v>3683</v>
      </c>
      <c r="C415" s="26" t="s">
        <v>7</v>
      </c>
      <c r="D415" s="26" t="s">
        <v>16</v>
      </c>
      <c r="E415" s="26" t="s">
        <v>39</v>
      </c>
      <c r="F415" s="31" t="s">
        <v>18</v>
      </c>
      <c r="G415" s="31" t="s">
        <v>72</v>
      </c>
      <c r="H415" s="31" t="s">
        <v>40</v>
      </c>
      <c r="I415" s="32" t="s">
        <v>40</v>
      </c>
    </row>
    <row r="416" spans="1:9" ht="16.5" customHeight="1" x14ac:dyDescent="0.2">
      <c r="A416" s="26" t="s">
        <v>3682</v>
      </c>
      <c r="B416" s="26" t="s">
        <v>3683</v>
      </c>
      <c r="C416" s="26" t="s">
        <v>7</v>
      </c>
      <c r="D416" s="26" t="s">
        <v>16</v>
      </c>
      <c r="E416" s="26" t="s">
        <v>39</v>
      </c>
      <c r="F416" s="31" t="s">
        <v>18</v>
      </c>
      <c r="G416" s="31" t="s">
        <v>72</v>
      </c>
      <c r="H416" s="31" t="s">
        <v>40</v>
      </c>
      <c r="I416" s="32" t="s">
        <v>40</v>
      </c>
    </row>
    <row r="417" spans="1:9" ht="16.5" customHeight="1" x14ac:dyDescent="0.2">
      <c r="A417" s="26" t="s">
        <v>3682</v>
      </c>
      <c r="B417" s="26" t="s">
        <v>3683</v>
      </c>
      <c r="C417" s="26" t="s">
        <v>7</v>
      </c>
      <c r="D417" s="26" t="s">
        <v>16</v>
      </c>
      <c r="E417" s="26" t="s">
        <v>39</v>
      </c>
      <c r="F417" s="31" t="s">
        <v>18</v>
      </c>
      <c r="G417" s="31" t="s">
        <v>72</v>
      </c>
      <c r="H417" s="31" t="s">
        <v>40</v>
      </c>
      <c r="I417" s="32" t="s">
        <v>40</v>
      </c>
    </row>
    <row r="418" spans="1:9" ht="16.5" customHeight="1" x14ac:dyDescent="0.2">
      <c r="A418" s="35" t="s">
        <v>3684</v>
      </c>
      <c r="B418" s="35" t="s">
        <v>3685</v>
      </c>
      <c r="C418" s="35" t="s">
        <v>64</v>
      </c>
      <c r="D418" s="35" t="s">
        <v>70</v>
      </c>
      <c r="E418" s="35" t="s">
        <v>39</v>
      </c>
      <c r="F418" s="30" t="s">
        <v>18</v>
      </c>
      <c r="G418" s="31" t="s">
        <v>41</v>
      </c>
      <c r="H418" s="31" t="s">
        <v>3686</v>
      </c>
      <c r="I418" s="32" t="s">
        <v>40</v>
      </c>
    </row>
    <row r="419" spans="1:9" ht="16.5" customHeight="1" x14ac:dyDescent="0.2">
      <c r="A419" s="35" t="s">
        <v>3684</v>
      </c>
      <c r="B419" s="35" t="s">
        <v>3685</v>
      </c>
      <c r="C419" s="35" t="s">
        <v>64</v>
      </c>
      <c r="D419" s="35" t="s">
        <v>70</v>
      </c>
      <c r="E419" s="35" t="s">
        <v>39</v>
      </c>
      <c r="F419" s="30" t="s">
        <v>18</v>
      </c>
      <c r="G419" s="27" t="s">
        <v>41</v>
      </c>
      <c r="H419" s="31" t="s">
        <v>3686</v>
      </c>
      <c r="I419" s="32" t="s">
        <v>40</v>
      </c>
    </row>
    <row r="420" spans="1:9" ht="16.5" customHeight="1" x14ac:dyDescent="0.2">
      <c r="A420" s="35" t="s">
        <v>3687</v>
      </c>
      <c r="B420" s="35" t="s">
        <v>3688</v>
      </c>
      <c r="C420" s="35" t="s">
        <v>115</v>
      </c>
      <c r="D420" s="35" t="s">
        <v>119</v>
      </c>
      <c r="E420" s="35" t="s">
        <v>39</v>
      </c>
      <c r="F420" s="52" t="s">
        <v>18</v>
      </c>
      <c r="G420" s="30" t="s">
        <v>19</v>
      </c>
      <c r="H420" s="30"/>
      <c r="I420" s="32" t="s">
        <v>40</v>
      </c>
    </row>
    <row r="421" spans="1:9" ht="16.5" customHeight="1" x14ac:dyDescent="0.2">
      <c r="A421" s="35" t="s">
        <v>3687</v>
      </c>
      <c r="B421" s="35" t="s">
        <v>3688</v>
      </c>
      <c r="C421" s="35" t="s">
        <v>115</v>
      </c>
      <c r="D421" s="35" t="s">
        <v>119</v>
      </c>
      <c r="E421" s="35" t="s">
        <v>39</v>
      </c>
      <c r="F421" s="52" t="s">
        <v>18</v>
      </c>
      <c r="G421" s="30" t="s">
        <v>19</v>
      </c>
      <c r="H421" s="30"/>
      <c r="I421" s="32" t="s">
        <v>40</v>
      </c>
    </row>
    <row r="422" spans="1:9" ht="16.5" customHeight="1" x14ac:dyDescent="0.2">
      <c r="A422" s="35" t="s">
        <v>3689</v>
      </c>
      <c r="B422" s="35" t="s">
        <v>3690</v>
      </c>
      <c r="C422" s="35" t="s">
        <v>115</v>
      </c>
      <c r="D422" s="35" t="s">
        <v>125</v>
      </c>
      <c r="E422" s="35" t="s">
        <v>39</v>
      </c>
      <c r="F422" s="30" t="s">
        <v>18</v>
      </c>
      <c r="G422" s="31" t="s">
        <v>19</v>
      </c>
      <c r="H422" s="55" t="s">
        <v>3691</v>
      </c>
      <c r="I422" s="32" t="s">
        <v>40</v>
      </c>
    </row>
    <row r="423" spans="1:9" ht="16.5" customHeight="1" x14ac:dyDescent="0.2">
      <c r="A423" s="35" t="s">
        <v>3689</v>
      </c>
      <c r="B423" s="35" t="s">
        <v>3690</v>
      </c>
      <c r="C423" s="35" t="s">
        <v>115</v>
      </c>
      <c r="D423" s="35" t="s">
        <v>125</v>
      </c>
      <c r="E423" s="35" t="s">
        <v>39</v>
      </c>
      <c r="F423" s="30" t="s">
        <v>18</v>
      </c>
      <c r="G423" s="31" t="s">
        <v>41</v>
      </c>
      <c r="H423" s="55" t="s">
        <v>5529</v>
      </c>
      <c r="I423" s="32" t="s">
        <v>40</v>
      </c>
    </row>
    <row r="424" spans="1:9" ht="16.5" customHeight="1" x14ac:dyDescent="0.2">
      <c r="A424" s="35" t="s">
        <v>3689</v>
      </c>
      <c r="B424" s="35" t="s">
        <v>3690</v>
      </c>
      <c r="C424" s="35" t="s">
        <v>115</v>
      </c>
      <c r="D424" s="35" t="s">
        <v>125</v>
      </c>
      <c r="E424" s="35" t="s">
        <v>39</v>
      </c>
      <c r="F424" s="30" t="s">
        <v>18</v>
      </c>
      <c r="G424" s="31" t="s">
        <v>41</v>
      </c>
      <c r="H424" s="55" t="s">
        <v>5530</v>
      </c>
      <c r="I424" s="32" t="s">
        <v>40</v>
      </c>
    </row>
    <row r="425" spans="1:9" ht="16.5" customHeight="1" x14ac:dyDescent="0.2">
      <c r="A425" s="35" t="s">
        <v>3692</v>
      </c>
      <c r="B425" s="35" t="s">
        <v>3693</v>
      </c>
      <c r="C425" s="35" t="s">
        <v>115</v>
      </c>
      <c r="D425" s="35" t="s">
        <v>116</v>
      </c>
      <c r="E425" s="35" t="s">
        <v>39</v>
      </c>
      <c r="F425" s="52" t="s">
        <v>18</v>
      </c>
      <c r="G425" s="52" t="s">
        <v>61</v>
      </c>
      <c r="I425" s="32" t="s">
        <v>40</v>
      </c>
    </row>
    <row r="426" spans="1:9" ht="16.5" customHeight="1" x14ac:dyDescent="0.2">
      <c r="A426" s="35" t="s">
        <v>3692</v>
      </c>
      <c r="B426" s="35" t="s">
        <v>3693</v>
      </c>
      <c r="C426" s="35" t="s">
        <v>115</v>
      </c>
      <c r="D426" s="35" t="s">
        <v>116</v>
      </c>
      <c r="E426" s="35" t="s">
        <v>39</v>
      </c>
      <c r="F426" s="52" t="s">
        <v>18</v>
      </c>
      <c r="G426" s="52" t="s">
        <v>61</v>
      </c>
      <c r="I426" s="32" t="s">
        <v>40</v>
      </c>
    </row>
    <row r="427" spans="1:9" ht="16.5" customHeight="1" x14ac:dyDescent="0.2">
      <c r="A427" s="26" t="s">
        <v>3694</v>
      </c>
      <c r="B427" s="26" t="s">
        <v>3695</v>
      </c>
      <c r="C427" s="26" t="s">
        <v>98</v>
      </c>
      <c r="D427" s="26" t="s">
        <v>99</v>
      </c>
      <c r="E427" s="26" t="s">
        <v>39</v>
      </c>
      <c r="F427" s="47" t="s">
        <v>18</v>
      </c>
      <c r="G427" s="47" t="s">
        <v>61</v>
      </c>
      <c r="H427" s="51"/>
      <c r="I427" s="32" t="s">
        <v>40</v>
      </c>
    </row>
    <row r="428" spans="1:9" ht="16.5" customHeight="1" x14ac:dyDescent="0.25">
      <c r="A428" s="76" t="s">
        <v>3696</v>
      </c>
      <c r="B428" s="76" t="s">
        <v>3697</v>
      </c>
      <c r="C428" s="26" t="s">
        <v>64</v>
      </c>
      <c r="D428" s="26" t="s">
        <v>92</v>
      </c>
      <c r="E428" s="26" t="s">
        <v>39</v>
      </c>
      <c r="F428" s="31" t="s">
        <v>18</v>
      </c>
      <c r="G428" s="31" t="s">
        <v>26</v>
      </c>
      <c r="H428" s="32"/>
      <c r="I428" s="32" t="s">
        <v>40</v>
      </c>
    </row>
    <row r="429" spans="1:9" ht="16.5" customHeight="1" x14ac:dyDescent="0.2">
      <c r="A429" s="35" t="s">
        <v>3698</v>
      </c>
      <c r="B429" s="35" t="s">
        <v>3699</v>
      </c>
      <c r="C429" s="35" t="s">
        <v>64</v>
      </c>
      <c r="D429" s="35" t="s">
        <v>82</v>
      </c>
      <c r="E429" s="35" t="s">
        <v>39</v>
      </c>
      <c r="F429" s="52" t="s">
        <v>18</v>
      </c>
      <c r="G429" s="31" t="s">
        <v>12</v>
      </c>
      <c r="H429" s="32"/>
      <c r="I429" s="32" t="s">
        <v>40</v>
      </c>
    </row>
    <row r="430" spans="1:9" ht="16.5" customHeight="1" x14ac:dyDescent="0.25">
      <c r="A430" s="76" t="s">
        <v>3700</v>
      </c>
      <c r="B430" s="76" t="s">
        <v>3701</v>
      </c>
      <c r="C430" s="26" t="s">
        <v>64</v>
      </c>
      <c r="D430" s="26" t="s">
        <v>92</v>
      </c>
      <c r="E430" s="26" t="s">
        <v>39</v>
      </c>
      <c r="F430" s="31" t="s">
        <v>18</v>
      </c>
      <c r="G430" s="31" t="s">
        <v>26</v>
      </c>
      <c r="H430" s="32"/>
      <c r="I430" s="32" t="s">
        <v>40</v>
      </c>
    </row>
    <row r="431" spans="1:9" ht="16.5" customHeight="1" x14ac:dyDescent="0.2">
      <c r="A431" s="35" t="s">
        <v>3702</v>
      </c>
      <c r="B431" s="35" t="s">
        <v>3703</v>
      </c>
      <c r="C431" s="35" t="s">
        <v>64</v>
      </c>
      <c r="D431" s="35" t="s">
        <v>78</v>
      </c>
      <c r="E431" s="35" t="s">
        <v>39</v>
      </c>
      <c r="F431" s="30" t="s">
        <v>18</v>
      </c>
      <c r="G431" s="31" t="s">
        <v>19</v>
      </c>
      <c r="H431" s="32"/>
      <c r="I431" s="32" t="s">
        <v>40</v>
      </c>
    </row>
    <row r="432" spans="1:9" ht="16.5" customHeight="1" x14ac:dyDescent="0.2">
      <c r="A432" s="26" t="s">
        <v>3704</v>
      </c>
      <c r="B432" s="26" t="s">
        <v>3705</v>
      </c>
      <c r="C432" s="66" t="s">
        <v>37</v>
      </c>
      <c r="D432" s="27" t="s">
        <v>38</v>
      </c>
      <c r="E432" s="27" t="s">
        <v>39</v>
      </c>
      <c r="F432" s="31" t="s">
        <v>18</v>
      </c>
      <c r="G432" s="31" t="s">
        <v>41</v>
      </c>
      <c r="H432" s="32"/>
      <c r="I432" s="32" t="s">
        <v>40</v>
      </c>
    </row>
    <row r="433" spans="1:9" ht="16.5" customHeight="1" x14ac:dyDescent="0.2">
      <c r="A433" s="26" t="s">
        <v>3704</v>
      </c>
      <c r="B433" s="26" t="s">
        <v>3705</v>
      </c>
      <c r="C433" s="66" t="s">
        <v>37</v>
      </c>
      <c r="D433" s="27" t="s">
        <v>38</v>
      </c>
      <c r="E433" s="27" t="s">
        <v>39</v>
      </c>
      <c r="F433" s="31" t="s">
        <v>18</v>
      </c>
      <c r="G433" s="31" t="s">
        <v>41</v>
      </c>
      <c r="H433" s="32"/>
      <c r="I433" s="32" t="s">
        <v>40</v>
      </c>
    </row>
    <row r="434" spans="1:9" ht="16.5" customHeight="1" x14ac:dyDescent="0.2">
      <c r="A434" s="35" t="s">
        <v>3706</v>
      </c>
      <c r="B434" s="35" t="s">
        <v>3707</v>
      </c>
      <c r="C434" s="35" t="s">
        <v>64</v>
      </c>
      <c r="D434" s="35" t="s">
        <v>78</v>
      </c>
      <c r="E434" s="35" t="s">
        <v>39</v>
      </c>
      <c r="F434" s="30" t="s">
        <v>18</v>
      </c>
      <c r="G434" s="27" t="s">
        <v>26</v>
      </c>
      <c r="H434" s="51"/>
      <c r="I434" s="32" t="s">
        <v>40</v>
      </c>
    </row>
    <row r="435" spans="1:9" ht="16.5" customHeight="1" x14ac:dyDescent="0.2">
      <c r="A435" s="26" t="s">
        <v>3708</v>
      </c>
      <c r="B435" s="26" t="s">
        <v>3709</v>
      </c>
      <c r="C435" s="26" t="s">
        <v>98</v>
      </c>
      <c r="D435" s="26" t="s">
        <v>107</v>
      </c>
      <c r="E435" s="26" t="s">
        <v>39</v>
      </c>
      <c r="F435" s="31" t="s">
        <v>18</v>
      </c>
      <c r="G435" s="31" t="s">
        <v>41</v>
      </c>
      <c r="H435" s="32"/>
      <c r="I435" s="32" t="s">
        <v>40</v>
      </c>
    </row>
    <row r="436" spans="1:9" ht="16.5" customHeight="1" x14ac:dyDescent="0.25">
      <c r="A436" s="35" t="s">
        <v>3710</v>
      </c>
      <c r="B436" s="76" t="s">
        <v>3711</v>
      </c>
      <c r="C436" s="76" t="s">
        <v>64</v>
      </c>
      <c r="D436" s="35" t="s">
        <v>86</v>
      </c>
      <c r="E436" s="76" t="s">
        <v>39</v>
      </c>
      <c r="F436" s="76" t="s">
        <v>18</v>
      </c>
      <c r="G436" s="31" t="s">
        <v>19</v>
      </c>
      <c r="H436" s="95"/>
      <c r="I436" s="32" t="s">
        <v>40</v>
      </c>
    </row>
    <row r="437" spans="1:9" ht="16.5" customHeight="1" x14ac:dyDescent="0.25">
      <c r="A437" s="35" t="s">
        <v>3712</v>
      </c>
      <c r="B437" s="76" t="s">
        <v>3713</v>
      </c>
      <c r="C437" s="76" t="s">
        <v>64</v>
      </c>
      <c r="D437" s="35" t="s">
        <v>86</v>
      </c>
      <c r="E437" s="76" t="s">
        <v>39</v>
      </c>
      <c r="F437" s="76" t="s">
        <v>18</v>
      </c>
      <c r="G437" s="31" t="s">
        <v>19</v>
      </c>
      <c r="H437" s="95"/>
      <c r="I437" s="32" t="s">
        <v>40</v>
      </c>
    </row>
    <row r="438" spans="1:9" ht="16.5" customHeight="1" x14ac:dyDescent="0.25">
      <c r="A438" s="35" t="s">
        <v>3712</v>
      </c>
      <c r="B438" s="76" t="s">
        <v>3713</v>
      </c>
      <c r="C438" s="76" t="s">
        <v>64</v>
      </c>
      <c r="D438" s="35" t="s">
        <v>86</v>
      </c>
      <c r="E438" s="76" t="s">
        <v>39</v>
      </c>
      <c r="F438" s="76" t="s">
        <v>18</v>
      </c>
      <c r="G438" s="31" t="s">
        <v>19</v>
      </c>
      <c r="H438" s="95"/>
      <c r="I438" s="32" t="s">
        <v>40</v>
      </c>
    </row>
    <row r="439" spans="1:9" ht="16.5" customHeight="1" x14ac:dyDescent="0.25">
      <c r="A439" s="35" t="s">
        <v>3714</v>
      </c>
      <c r="B439" s="76" t="s">
        <v>3715</v>
      </c>
      <c r="C439" s="76" t="s">
        <v>64</v>
      </c>
      <c r="D439" s="35" t="s">
        <v>86</v>
      </c>
      <c r="E439" s="76" t="s">
        <v>39</v>
      </c>
      <c r="F439" s="76" t="s">
        <v>18</v>
      </c>
      <c r="G439" s="35" t="s">
        <v>12</v>
      </c>
      <c r="H439" s="95"/>
      <c r="I439" s="32" t="s">
        <v>40</v>
      </c>
    </row>
    <row r="440" spans="1:9" ht="16.5" customHeight="1" x14ac:dyDescent="0.25">
      <c r="A440" s="35" t="s">
        <v>3714</v>
      </c>
      <c r="B440" s="76" t="s">
        <v>3715</v>
      </c>
      <c r="C440" s="76" t="s">
        <v>64</v>
      </c>
      <c r="D440" s="35" t="s">
        <v>86</v>
      </c>
      <c r="E440" s="76" t="s">
        <v>39</v>
      </c>
      <c r="F440" s="76" t="s">
        <v>18</v>
      </c>
      <c r="G440" s="35" t="s">
        <v>12</v>
      </c>
      <c r="H440" s="95"/>
      <c r="I440" s="32" t="s">
        <v>40</v>
      </c>
    </row>
    <row r="441" spans="1:9" ht="16.5" customHeight="1" x14ac:dyDescent="0.2">
      <c r="A441" s="35" t="s">
        <v>3716</v>
      </c>
      <c r="B441" s="35" t="s">
        <v>3717</v>
      </c>
      <c r="C441" s="35" t="s">
        <v>115</v>
      </c>
      <c r="D441" s="35" t="s">
        <v>128</v>
      </c>
      <c r="E441" s="35" t="s">
        <v>39</v>
      </c>
      <c r="F441" s="30" t="s">
        <v>18</v>
      </c>
      <c r="G441" s="31" t="s">
        <v>41</v>
      </c>
      <c r="H441" s="30" t="s">
        <v>3718</v>
      </c>
      <c r="I441" s="32" t="s">
        <v>40</v>
      </c>
    </row>
    <row r="442" spans="1:9" ht="16.5" customHeight="1" x14ac:dyDescent="0.25">
      <c r="A442" s="35" t="s">
        <v>3719</v>
      </c>
      <c r="B442" s="76" t="s">
        <v>3720</v>
      </c>
      <c r="C442" s="76" t="s">
        <v>64</v>
      </c>
      <c r="D442" s="35" t="s">
        <v>86</v>
      </c>
      <c r="E442" s="76" t="s">
        <v>39</v>
      </c>
      <c r="F442" s="76" t="s">
        <v>18</v>
      </c>
      <c r="G442" s="35" t="s">
        <v>26</v>
      </c>
      <c r="H442" s="95"/>
      <c r="I442" s="32" t="s">
        <v>40</v>
      </c>
    </row>
    <row r="443" spans="1:9" ht="16.5" customHeight="1" x14ac:dyDescent="0.25">
      <c r="A443" s="35" t="s">
        <v>3719</v>
      </c>
      <c r="B443" s="76" t="s">
        <v>3720</v>
      </c>
      <c r="C443" s="76" t="s">
        <v>64</v>
      </c>
      <c r="D443" s="35" t="s">
        <v>86</v>
      </c>
      <c r="E443" s="76" t="s">
        <v>39</v>
      </c>
      <c r="F443" s="76" t="s">
        <v>18</v>
      </c>
      <c r="G443" s="35" t="s">
        <v>26</v>
      </c>
      <c r="H443" s="95"/>
      <c r="I443" s="32" t="s">
        <v>40</v>
      </c>
    </row>
    <row r="444" spans="1:9" ht="16.5" customHeight="1" x14ac:dyDescent="0.2">
      <c r="A444" s="35" t="s">
        <v>3721</v>
      </c>
      <c r="B444" s="35" t="s">
        <v>3722</v>
      </c>
      <c r="C444" s="35" t="s">
        <v>7</v>
      </c>
      <c r="D444" s="35" t="s">
        <v>8</v>
      </c>
      <c r="E444" s="35" t="s">
        <v>39</v>
      </c>
      <c r="F444" s="52" t="s">
        <v>25</v>
      </c>
      <c r="G444" s="30" t="s">
        <v>61</v>
      </c>
      <c r="H444" s="30" t="s">
        <v>3723</v>
      </c>
      <c r="I444" s="32" t="s">
        <v>40</v>
      </c>
    </row>
    <row r="445" spans="1:9" ht="16.5" customHeight="1" x14ac:dyDescent="0.2">
      <c r="A445" s="35" t="s">
        <v>3721</v>
      </c>
      <c r="B445" s="35" t="s">
        <v>3722</v>
      </c>
      <c r="C445" s="35" t="s">
        <v>7</v>
      </c>
      <c r="D445" s="35" t="s">
        <v>16</v>
      </c>
      <c r="E445" s="35" t="s">
        <v>39</v>
      </c>
      <c r="F445" s="52" t="s">
        <v>25</v>
      </c>
      <c r="G445" s="30" t="s">
        <v>61</v>
      </c>
      <c r="H445" s="30"/>
      <c r="I445" s="32" t="s">
        <v>40</v>
      </c>
    </row>
    <row r="446" spans="1:9" ht="16.5" customHeight="1" x14ac:dyDescent="0.2">
      <c r="A446" s="26" t="s">
        <v>3724</v>
      </c>
      <c r="B446" s="26" t="s">
        <v>3725</v>
      </c>
      <c r="C446" s="26" t="s">
        <v>98</v>
      </c>
      <c r="D446" s="26" t="s">
        <v>99</v>
      </c>
      <c r="E446" s="26" t="s">
        <v>39</v>
      </c>
      <c r="F446" s="47" t="s">
        <v>18</v>
      </c>
      <c r="G446" s="31" t="s">
        <v>41</v>
      </c>
      <c r="H446" s="32"/>
      <c r="I446" s="32" t="s">
        <v>40</v>
      </c>
    </row>
    <row r="447" spans="1:9" ht="16.5" customHeight="1" x14ac:dyDescent="0.2">
      <c r="A447" s="35" t="s">
        <v>3726</v>
      </c>
      <c r="B447" s="35" t="s">
        <v>3727</v>
      </c>
      <c r="C447" s="35" t="s">
        <v>115</v>
      </c>
      <c r="D447" s="35" t="s">
        <v>128</v>
      </c>
      <c r="E447" s="35" t="s">
        <v>39</v>
      </c>
      <c r="F447" s="30" t="s">
        <v>18</v>
      </c>
      <c r="G447" s="31" t="s">
        <v>41</v>
      </c>
      <c r="H447" s="55" t="s">
        <v>3728</v>
      </c>
      <c r="I447" s="32" t="s">
        <v>40</v>
      </c>
    </row>
    <row r="448" spans="1:9" ht="16.5" customHeight="1" x14ac:dyDescent="0.2">
      <c r="A448" s="35" t="s">
        <v>3726</v>
      </c>
      <c r="B448" s="35" t="s">
        <v>3727</v>
      </c>
      <c r="C448" s="35" t="s">
        <v>115</v>
      </c>
      <c r="D448" s="35" t="s">
        <v>128</v>
      </c>
      <c r="E448" s="35" t="s">
        <v>39</v>
      </c>
      <c r="F448" s="30" t="s">
        <v>18</v>
      </c>
      <c r="G448" s="31" t="s">
        <v>41</v>
      </c>
      <c r="H448" s="60" t="s">
        <v>5579</v>
      </c>
      <c r="I448" s="32" t="s">
        <v>40</v>
      </c>
    </row>
    <row r="449" spans="1:9" ht="16.5" customHeight="1" x14ac:dyDescent="0.2">
      <c r="A449" s="35" t="s">
        <v>3726</v>
      </c>
      <c r="B449" s="35" t="s">
        <v>3727</v>
      </c>
      <c r="C449" s="35" t="s">
        <v>115</v>
      </c>
      <c r="D449" s="35" t="s">
        <v>128</v>
      </c>
      <c r="E449" s="35" t="s">
        <v>39</v>
      </c>
      <c r="F449" s="30" t="s">
        <v>18</v>
      </c>
      <c r="G449" s="31" t="s">
        <v>41</v>
      </c>
      <c r="H449" s="30" t="s">
        <v>3783</v>
      </c>
      <c r="I449" s="32" t="s">
        <v>40</v>
      </c>
    </row>
    <row r="450" spans="1:9" ht="16.5" customHeight="1" x14ac:dyDescent="0.2">
      <c r="A450" s="26" t="s">
        <v>3729</v>
      </c>
      <c r="B450" s="26" t="s">
        <v>3730</v>
      </c>
      <c r="C450" s="26" t="s">
        <v>115</v>
      </c>
      <c r="D450" s="26" t="s">
        <v>122</v>
      </c>
      <c r="E450" s="26" t="s">
        <v>39</v>
      </c>
      <c r="F450" s="31" t="s">
        <v>18</v>
      </c>
      <c r="G450" s="31" t="s">
        <v>12</v>
      </c>
      <c r="H450" s="32"/>
      <c r="I450" s="32" t="s">
        <v>40</v>
      </c>
    </row>
    <row r="451" spans="1:9" ht="16.5" customHeight="1" x14ac:dyDescent="0.2">
      <c r="A451" s="26" t="s">
        <v>3729</v>
      </c>
      <c r="B451" s="26" t="s">
        <v>3730</v>
      </c>
      <c r="C451" s="26" t="s">
        <v>115</v>
      </c>
      <c r="D451" s="26" t="s">
        <v>122</v>
      </c>
      <c r="E451" s="26" t="s">
        <v>39</v>
      </c>
      <c r="F451" s="31" t="s">
        <v>18</v>
      </c>
      <c r="G451" s="31" t="s">
        <v>12</v>
      </c>
      <c r="H451" s="32"/>
      <c r="I451" s="32" t="s">
        <v>40</v>
      </c>
    </row>
    <row r="452" spans="1:9" ht="16.5" customHeight="1" x14ac:dyDescent="0.2">
      <c r="A452" s="26" t="s">
        <v>3731</v>
      </c>
      <c r="B452" s="26" t="s">
        <v>3732</v>
      </c>
      <c r="C452" s="53" t="s">
        <v>115</v>
      </c>
      <c r="D452" s="26" t="s">
        <v>122</v>
      </c>
      <c r="E452" s="26" t="s">
        <v>39</v>
      </c>
      <c r="F452" s="31" t="s">
        <v>18</v>
      </c>
      <c r="G452" s="31" t="s">
        <v>61</v>
      </c>
      <c r="H452" s="32"/>
      <c r="I452" s="32" t="s">
        <v>40</v>
      </c>
    </row>
    <row r="453" spans="1:9" ht="16.5" customHeight="1" x14ac:dyDescent="0.2">
      <c r="A453" s="26" t="s">
        <v>3731</v>
      </c>
      <c r="B453" s="26" t="s">
        <v>3732</v>
      </c>
      <c r="C453" s="27" t="s">
        <v>115</v>
      </c>
      <c r="D453" s="27" t="s">
        <v>122</v>
      </c>
      <c r="E453" s="27" t="s">
        <v>39</v>
      </c>
      <c r="F453" s="31" t="s">
        <v>18</v>
      </c>
      <c r="G453" s="27" t="s">
        <v>61</v>
      </c>
      <c r="H453" s="51"/>
      <c r="I453" s="32" t="s">
        <v>40</v>
      </c>
    </row>
    <row r="454" spans="1:9" ht="16.5" customHeight="1" x14ac:dyDescent="0.2">
      <c r="A454" s="26" t="s">
        <v>3733</v>
      </c>
      <c r="B454" s="26" t="s">
        <v>3734</v>
      </c>
      <c r="C454" s="26" t="s">
        <v>115</v>
      </c>
      <c r="D454" s="26" t="s">
        <v>122</v>
      </c>
      <c r="E454" s="26" t="s">
        <v>39</v>
      </c>
      <c r="F454" s="31" t="s">
        <v>18</v>
      </c>
      <c r="G454" s="31" t="s">
        <v>19</v>
      </c>
      <c r="H454" s="32"/>
      <c r="I454" s="32" t="s">
        <v>40</v>
      </c>
    </row>
    <row r="455" spans="1:9" ht="16.5" customHeight="1" x14ac:dyDescent="0.2">
      <c r="A455" s="35" t="s">
        <v>3735</v>
      </c>
      <c r="B455" s="35" t="s">
        <v>3736</v>
      </c>
      <c r="C455" s="35" t="s">
        <v>115</v>
      </c>
      <c r="D455" s="35" t="s">
        <v>116</v>
      </c>
      <c r="E455" s="35" t="s">
        <v>39</v>
      </c>
      <c r="F455" s="52" t="s">
        <v>18</v>
      </c>
      <c r="G455" s="52" t="s">
        <v>61</v>
      </c>
      <c r="I455" s="32" t="s">
        <v>40</v>
      </c>
    </row>
    <row r="456" spans="1:9" ht="16.5" customHeight="1" x14ac:dyDescent="0.2">
      <c r="A456" s="35" t="s">
        <v>3735</v>
      </c>
      <c r="B456" s="35" t="s">
        <v>3736</v>
      </c>
      <c r="C456" s="35" t="s">
        <v>115</v>
      </c>
      <c r="D456" s="35" t="s">
        <v>116</v>
      </c>
      <c r="E456" s="35" t="s">
        <v>39</v>
      </c>
      <c r="F456" s="52" t="s">
        <v>18</v>
      </c>
      <c r="G456" s="52" t="s">
        <v>61</v>
      </c>
      <c r="I456" s="32" t="s">
        <v>40</v>
      </c>
    </row>
    <row r="457" spans="1:9" ht="16.5" customHeight="1" x14ac:dyDescent="0.2">
      <c r="A457" s="54" t="s">
        <v>3737</v>
      </c>
      <c r="B457" s="35" t="s">
        <v>3738</v>
      </c>
      <c r="C457" s="35" t="s">
        <v>64</v>
      </c>
      <c r="D457" s="35" t="s">
        <v>95</v>
      </c>
      <c r="E457" s="54" t="s">
        <v>39</v>
      </c>
      <c r="F457" s="31" t="s">
        <v>18</v>
      </c>
      <c r="G457" s="31" t="s">
        <v>19</v>
      </c>
      <c r="H457" s="32"/>
      <c r="I457" s="32" t="s">
        <v>40</v>
      </c>
    </row>
    <row r="458" spans="1:9" ht="16.5" customHeight="1" x14ac:dyDescent="0.2">
      <c r="A458" s="54" t="s">
        <v>3737</v>
      </c>
      <c r="B458" s="35" t="s">
        <v>3738</v>
      </c>
      <c r="C458" s="35" t="s">
        <v>64</v>
      </c>
      <c r="D458" s="35" t="s">
        <v>95</v>
      </c>
      <c r="E458" s="54" t="s">
        <v>39</v>
      </c>
      <c r="F458" s="31" t="s">
        <v>18</v>
      </c>
      <c r="G458" s="31" t="s">
        <v>19</v>
      </c>
      <c r="H458" s="32"/>
      <c r="I458" s="32" t="s">
        <v>40</v>
      </c>
    </row>
    <row r="459" spans="1:9" ht="16.5" customHeight="1" x14ac:dyDescent="0.2">
      <c r="A459" s="26" t="s">
        <v>3739</v>
      </c>
      <c r="B459" s="26" t="s">
        <v>3740</v>
      </c>
      <c r="C459" s="66" t="s">
        <v>37</v>
      </c>
      <c r="D459" s="27" t="s">
        <v>38</v>
      </c>
      <c r="E459" s="27" t="s">
        <v>39</v>
      </c>
      <c r="F459" s="31" t="s">
        <v>18</v>
      </c>
      <c r="G459" s="31" t="s">
        <v>61</v>
      </c>
      <c r="H459" s="32"/>
      <c r="I459" s="32" t="s">
        <v>40</v>
      </c>
    </row>
    <row r="460" spans="1:9" ht="16.5" customHeight="1" x14ac:dyDescent="0.2">
      <c r="A460" s="26" t="s">
        <v>3741</v>
      </c>
      <c r="B460" s="26" t="s">
        <v>3742</v>
      </c>
      <c r="C460" s="66" t="s">
        <v>98</v>
      </c>
      <c r="D460" s="66" t="s">
        <v>110</v>
      </c>
      <c r="E460" s="66" t="s">
        <v>39</v>
      </c>
      <c r="F460" s="31" t="s">
        <v>11</v>
      </c>
      <c r="G460" s="67" t="s">
        <v>19</v>
      </c>
      <c r="H460" s="32" t="s">
        <v>40</v>
      </c>
      <c r="I460" s="32" t="s">
        <v>40</v>
      </c>
    </row>
    <row r="461" spans="1:9" ht="16.5" customHeight="1" x14ac:dyDescent="0.2">
      <c r="A461" s="26" t="s">
        <v>3743</v>
      </c>
      <c r="B461" s="26" t="s">
        <v>3744</v>
      </c>
      <c r="C461" s="26" t="s">
        <v>64</v>
      </c>
      <c r="D461" s="26" t="s">
        <v>82</v>
      </c>
      <c r="E461" s="26" t="s">
        <v>39</v>
      </c>
      <c r="F461" s="31" t="s">
        <v>32</v>
      </c>
      <c r="G461" s="31" t="s">
        <v>41</v>
      </c>
      <c r="H461" s="31"/>
      <c r="I461" s="32" t="s">
        <v>40</v>
      </c>
    </row>
    <row r="462" spans="1:9" ht="16.5" customHeight="1" x14ac:dyDescent="0.2">
      <c r="A462" s="35" t="s">
        <v>3745</v>
      </c>
      <c r="B462" s="35" t="s">
        <v>3746</v>
      </c>
      <c r="C462" s="35" t="s">
        <v>115</v>
      </c>
      <c r="D462" s="35" t="s">
        <v>116</v>
      </c>
      <c r="E462" s="35" t="s">
        <v>39</v>
      </c>
      <c r="F462" s="52" t="s">
        <v>18</v>
      </c>
      <c r="G462" s="52" t="s">
        <v>61</v>
      </c>
      <c r="I462" s="32" t="s">
        <v>40</v>
      </c>
    </row>
    <row r="463" spans="1:9" ht="16.5" customHeight="1" x14ac:dyDescent="0.2">
      <c r="A463" s="26" t="s">
        <v>3747</v>
      </c>
      <c r="B463" s="26" t="s">
        <v>3748</v>
      </c>
      <c r="C463" s="26" t="s">
        <v>37</v>
      </c>
      <c r="D463" s="26" t="s">
        <v>59</v>
      </c>
      <c r="E463" s="26" t="s">
        <v>39</v>
      </c>
      <c r="F463" s="31" t="s">
        <v>18</v>
      </c>
      <c r="G463" s="32"/>
      <c r="H463" s="32"/>
      <c r="I463" s="32" t="s">
        <v>40</v>
      </c>
    </row>
    <row r="464" spans="1:9" ht="16.5" customHeight="1" x14ac:dyDescent="0.2">
      <c r="A464" s="26" t="s">
        <v>3747</v>
      </c>
      <c r="B464" s="26" t="s">
        <v>3748</v>
      </c>
      <c r="C464" s="26" t="s">
        <v>37</v>
      </c>
      <c r="D464" s="26" t="s">
        <v>59</v>
      </c>
      <c r="E464" s="26" t="s">
        <v>39</v>
      </c>
      <c r="F464" s="31" t="s">
        <v>18</v>
      </c>
      <c r="G464" s="32"/>
      <c r="H464" s="32"/>
      <c r="I464" s="32" t="s">
        <v>40</v>
      </c>
    </row>
    <row r="465" spans="1:9" ht="16.5" customHeight="1" x14ac:dyDescent="0.2">
      <c r="A465" s="26" t="s">
        <v>3749</v>
      </c>
      <c r="B465" s="26" t="s">
        <v>3750</v>
      </c>
      <c r="C465" s="26" t="s">
        <v>98</v>
      </c>
      <c r="D465" s="26" t="s">
        <v>107</v>
      </c>
      <c r="E465" s="26" t="s">
        <v>39</v>
      </c>
      <c r="F465" s="31" t="s">
        <v>18</v>
      </c>
      <c r="G465" s="31" t="s">
        <v>41</v>
      </c>
      <c r="H465" s="32"/>
      <c r="I465" s="32" t="s">
        <v>40</v>
      </c>
    </row>
    <row r="466" spans="1:9" ht="16.5" customHeight="1" x14ac:dyDescent="0.2">
      <c r="A466" s="26" t="s">
        <v>3751</v>
      </c>
      <c r="B466" s="26" t="s">
        <v>3752</v>
      </c>
      <c r="C466" s="66" t="s">
        <v>98</v>
      </c>
      <c r="D466" s="66" t="s">
        <v>110</v>
      </c>
      <c r="E466" s="66" t="s">
        <v>39</v>
      </c>
      <c r="F466" s="31" t="s">
        <v>18</v>
      </c>
      <c r="G466" s="67" t="s">
        <v>26</v>
      </c>
      <c r="H466" s="32" t="s">
        <v>40</v>
      </c>
      <c r="I466" s="32" t="s">
        <v>40</v>
      </c>
    </row>
    <row r="467" spans="1:9" ht="16.5" customHeight="1" x14ac:dyDescent="0.2">
      <c r="A467" s="26" t="s">
        <v>3753</v>
      </c>
      <c r="B467" s="26" t="s">
        <v>3754</v>
      </c>
      <c r="C467" s="26" t="s">
        <v>98</v>
      </c>
      <c r="D467" s="26" t="s">
        <v>105</v>
      </c>
      <c r="E467" s="26" t="s">
        <v>39</v>
      </c>
      <c r="F467" s="31" t="s">
        <v>18</v>
      </c>
      <c r="G467" s="31" t="s">
        <v>41</v>
      </c>
      <c r="H467" s="31"/>
      <c r="I467" s="32" t="s">
        <v>40</v>
      </c>
    </row>
    <row r="468" spans="1:9" ht="16.5" customHeight="1" x14ac:dyDescent="0.2">
      <c r="A468" s="35" t="s">
        <v>3755</v>
      </c>
      <c r="B468" s="35" t="s">
        <v>3756</v>
      </c>
      <c r="C468" s="26" t="s">
        <v>98</v>
      </c>
      <c r="D468" s="26" t="s">
        <v>107</v>
      </c>
      <c r="E468" s="26" t="s">
        <v>39</v>
      </c>
      <c r="F468" s="31" t="s">
        <v>11</v>
      </c>
      <c r="G468" s="27"/>
      <c r="H468" s="27"/>
      <c r="I468" s="32" t="s">
        <v>40</v>
      </c>
    </row>
    <row r="469" spans="1:9" ht="16.5" customHeight="1" x14ac:dyDescent="0.2">
      <c r="A469" s="35" t="s">
        <v>3755</v>
      </c>
      <c r="B469" s="35" t="s">
        <v>3756</v>
      </c>
      <c r="C469" s="26" t="s">
        <v>98</v>
      </c>
      <c r="D469" s="26" t="s">
        <v>107</v>
      </c>
      <c r="E469" s="26" t="s">
        <v>39</v>
      </c>
      <c r="F469" s="31" t="s">
        <v>11</v>
      </c>
      <c r="G469" s="27"/>
      <c r="H469" s="27"/>
      <c r="I469" s="32" t="s">
        <v>40</v>
      </c>
    </row>
    <row r="470" spans="1:9" ht="16.5" customHeight="1" x14ac:dyDescent="0.2">
      <c r="A470" s="35" t="s">
        <v>3755</v>
      </c>
      <c r="B470" s="35" t="s">
        <v>3756</v>
      </c>
      <c r="C470" s="26" t="s">
        <v>98</v>
      </c>
      <c r="D470" s="26" t="s">
        <v>107</v>
      </c>
      <c r="E470" s="26" t="s">
        <v>39</v>
      </c>
      <c r="F470" s="31" t="s">
        <v>11</v>
      </c>
      <c r="G470" s="27"/>
      <c r="H470" s="27"/>
      <c r="I470" s="32" t="s">
        <v>40</v>
      </c>
    </row>
    <row r="471" spans="1:9" ht="16.5" customHeight="1" x14ac:dyDescent="0.2">
      <c r="A471" s="26" t="s">
        <v>3757</v>
      </c>
      <c r="B471" s="26" t="s">
        <v>3758</v>
      </c>
      <c r="C471" s="26" t="s">
        <v>98</v>
      </c>
      <c r="D471" s="26" t="s">
        <v>105</v>
      </c>
      <c r="E471" s="26" t="s">
        <v>39</v>
      </c>
      <c r="F471" s="31" t="s">
        <v>11</v>
      </c>
      <c r="G471" s="31" t="s">
        <v>41</v>
      </c>
      <c r="H471" s="32"/>
      <c r="I471" s="32" t="s">
        <v>40</v>
      </c>
    </row>
    <row r="472" spans="1:9" ht="16.5" customHeight="1" x14ac:dyDescent="0.2">
      <c r="A472" s="35" t="s">
        <v>3759</v>
      </c>
      <c r="B472" s="35" t="s">
        <v>3760</v>
      </c>
      <c r="C472" s="35" t="s">
        <v>115</v>
      </c>
      <c r="D472" s="35" t="s">
        <v>116</v>
      </c>
      <c r="E472" s="35" t="s">
        <v>39</v>
      </c>
      <c r="F472" s="52" t="s">
        <v>18</v>
      </c>
      <c r="G472" s="52" t="s">
        <v>61</v>
      </c>
      <c r="I472" s="32" t="s">
        <v>40</v>
      </c>
    </row>
    <row r="473" spans="1:9" ht="16.5" customHeight="1" x14ac:dyDescent="0.2">
      <c r="A473" s="35" t="s">
        <v>3759</v>
      </c>
      <c r="B473" s="35" t="s">
        <v>3760</v>
      </c>
      <c r="C473" s="35" t="s">
        <v>115</v>
      </c>
      <c r="D473" s="35" t="s">
        <v>116</v>
      </c>
      <c r="E473" s="35" t="s">
        <v>39</v>
      </c>
      <c r="F473" s="52" t="s">
        <v>18</v>
      </c>
      <c r="G473" s="52" t="s">
        <v>61</v>
      </c>
      <c r="I473" s="32" t="s">
        <v>40</v>
      </c>
    </row>
    <row r="474" spans="1:9" ht="16.5" customHeight="1" x14ac:dyDescent="0.2">
      <c r="A474" s="26" t="s">
        <v>3761</v>
      </c>
      <c r="B474" s="26" t="s">
        <v>3762</v>
      </c>
      <c r="C474" s="66" t="s">
        <v>115</v>
      </c>
      <c r="D474" s="27" t="s">
        <v>122</v>
      </c>
      <c r="E474" s="27" t="s">
        <v>39</v>
      </c>
      <c r="F474" s="31" t="s">
        <v>18</v>
      </c>
      <c r="G474" s="27" t="s">
        <v>12</v>
      </c>
      <c r="H474" s="51"/>
      <c r="I474" s="32" t="s">
        <v>40</v>
      </c>
    </row>
    <row r="475" spans="1:9" ht="16.5" customHeight="1" x14ac:dyDescent="0.2">
      <c r="A475" s="26" t="s">
        <v>3763</v>
      </c>
      <c r="B475" s="26" t="s">
        <v>3764</v>
      </c>
      <c r="C475" s="26" t="s">
        <v>98</v>
      </c>
      <c r="D475" s="26" t="s">
        <v>107</v>
      </c>
      <c r="E475" s="26" t="s">
        <v>39</v>
      </c>
      <c r="F475" s="31" t="s">
        <v>18</v>
      </c>
      <c r="G475" s="31" t="s">
        <v>41</v>
      </c>
      <c r="H475" s="32"/>
      <c r="I475" s="32" t="s">
        <v>40</v>
      </c>
    </row>
    <row r="476" spans="1:9" ht="16.5" customHeight="1" x14ac:dyDescent="0.2">
      <c r="A476" s="26" t="s">
        <v>3763</v>
      </c>
      <c r="B476" s="26" t="s">
        <v>3764</v>
      </c>
      <c r="C476" s="26" t="s">
        <v>98</v>
      </c>
      <c r="D476" s="26" t="s">
        <v>107</v>
      </c>
      <c r="E476" s="26" t="s">
        <v>39</v>
      </c>
      <c r="F476" s="31" t="s">
        <v>18</v>
      </c>
      <c r="G476" s="31" t="s">
        <v>41</v>
      </c>
      <c r="H476" s="82"/>
      <c r="I476" s="32" t="s">
        <v>40</v>
      </c>
    </row>
    <row r="477" spans="1:9" ht="16.5" customHeight="1" x14ac:dyDescent="0.2">
      <c r="A477" s="35" t="s">
        <v>3765</v>
      </c>
      <c r="B477" s="35" t="s">
        <v>3766</v>
      </c>
      <c r="C477" s="35" t="s">
        <v>115</v>
      </c>
      <c r="D477" s="35" t="s">
        <v>116</v>
      </c>
      <c r="E477" s="35" t="s">
        <v>39</v>
      </c>
      <c r="F477" s="52" t="s">
        <v>18</v>
      </c>
      <c r="G477" s="52" t="s">
        <v>61</v>
      </c>
      <c r="I477" s="32" t="s">
        <v>40</v>
      </c>
    </row>
    <row r="478" spans="1:9" ht="16.5" customHeight="1" x14ac:dyDescent="0.2">
      <c r="A478" s="26" t="s">
        <v>3767</v>
      </c>
      <c r="B478" s="26" t="s">
        <v>3768</v>
      </c>
      <c r="C478" s="26" t="s">
        <v>98</v>
      </c>
      <c r="D478" s="26" t="s">
        <v>99</v>
      </c>
      <c r="E478" s="26" t="s">
        <v>39</v>
      </c>
      <c r="F478" s="47" t="s">
        <v>18</v>
      </c>
      <c r="G478" s="31" t="s">
        <v>12</v>
      </c>
      <c r="H478" s="32"/>
      <c r="I478" s="32" t="s">
        <v>40</v>
      </c>
    </row>
    <row r="479" spans="1:9" ht="16.5" customHeight="1" x14ac:dyDescent="0.2">
      <c r="A479" s="35" t="s">
        <v>3769</v>
      </c>
      <c r="B479" s="35" t="s">
        <v>5379</v>
      </c>
      <c r="C479" s="35" t="s">
        <v>64</v>
      </c>
      <c r="D479" s="35" t="s">
        <v>82</v>
      </c>
      <c r="E479" s="35" t="s">
        <v>39</v>
      </c>
      <c r="F479" s="52" t="s">
        <v>18</v>
      </c>
      <c r="G479" s="31" t="s">
        <v>41</v>
      </c>
      <c r="H479" s="32"/>
      <c r="I479" s="32" t="s">
        <v>40</v>
      </c>
    </row>
    <row r="480" spans="1:9" ht="16.5" customHeight="1" x14ac:dyDescent="0.2">
      <c r="A480" s="26" t="s">
        <v>3769</v>
      </c>
      <c r="B480" s="26" t="s">
        <v>5436</v>
      </c>
      <c r="C480" s="35" t="s">
        <v>64</v>
      </c>
      <c r="D480" s="35" t="s">
        <v>82</v>
      </c>
      <c r="E480" s="35" t="s">
        <v>39</v>
      </c>
      <c r="F480" s="52" t="s">
        <v>18</v>
      </c>
      <c r="G480" s="52" t="s">
        <v>19</v>
      </c>
      <c r="H480" s="30"/>
      <c r="I480" s="32" t="s">
        <v>40</v>
      </c>
    </row>
    <row r="481" spans="1:9" ht="16.5" customHeight="1" x14ac:dyDescent="0.2">
      <c r="A481" s="35" t="s">
        <v>3771</v>
      </c>
      <c r="B481" s="35" t="s">
        <v>3772</v>
      </c>
      <c r="C481" s="35" t="s">
        <v>115</v>
      </c>
      <c r="D481" s="35" t="s">
        <v>128</v>
      </c>
      <c r="E481" s="35" t="s">
        <v>39</v>
      </c>
      <c r="F481" s="30" t="s">
        <v>18</v>
      </c>
      <c r="G481" s="31" t="s">
        <v>41</v>
      </c>
      <c r="H481" s="30" t="s">
        <v>3718</v>
      </c>
      <c r="I481" s="32" t="s">
        <v>40</v>
      </c>
    </row>
    <row r="482" spans="1:9" ht="16.5" customHeight="1" x14ac:dyDescent="0.2">
      <c r="A482" s="26" t="s">
        <v>3773</v>
      </c>
      <c r="B482" s="26" t="s">
        <v>3774</v>
      </c>
      <c r="C482" s="26" t="s">
        <v>7</v>
      </c>
      <c r="D482" s="26" t="s">
        <v>16</v>
      </c>
      <c r="E482" s="26" t="s">
        <v>39</v>
      </c>
      <c r="F482" s="31" t="s">
        <v>18</v>
      </c>
      <c r="G482" s="31" t="s">
        <v>72</v>
      </c>
      <c r="H482" s="31" t="s">
        <v>40</v>
      </c>
      <c r="I482" s="32" t="s">
        <v>40</v>
      </c>
    </row>
    <row r="483" spans="1:9" ht="16.5" customHeight="1" x14ac:dyDescent="0.2">
      <c r="A483" s="26" t="s">
        <v>3773</v>
      </c>
      <c r="B483" s="26" t="s">
        <v>3774</v>
      </c>
      <c r="C483" s="26" t="s">
        <v>7</v>
      </c>
      <c r="D483" s="26" t="s">
        <v>16</v>
      </c>
      <c r="E483" s="26" t="s">
        <v>39</v>
      </c>
      <c r="F483" s="31" t="s">
        <v>18</v>
      </c>
      <c r="G483" s="31" t="s">
        <v>72</v>
      </c>
      <c r="H483" s="31" t="s">
        <v>40</v>
      </c>
      <c r="I483" s="32" t="s">
        <v>40</v>
      </c>
    </row>
    <row r="484" spans="1:9" ht="16.5" customHeight="1" x14ac:dyDescent="0.2">
      <c r="A484" s="26" t="s">
        <v>3773</v>
      </c>
      <c r="B484" s="26" t="s">
        <v>3774</v>
      </c>
      <c r="C484" s="26" t="s">
        <v>7</v>
      </c>
      <c r="D484" s="26" t="s">
        <v>16</v>
      </c>
      <c r="E484" s="26" t="s">
        <v>39</v>
      </c>
      <c r="F484" s="31" t="s">
        <v>18</v>
      </c>
      <c r="G484" s="31" t="s">
        <v>72</v>
      </c>
      <c r="H484" s="31" t="s">
        <v>40</v>
      </c>
      <c r="I484" s="32" t="s">
        <v>40</v>
      </c>
    </row>
    <row r="485" spans="1:9" ht="16.5" customHeight="1" x14ac:dyDescent="0.2">
      <c r="A485" s="26" t="s">
        <v>3773</v>
      </c>
      <c r="B485" s="26" t="s">
        <v>3774</v>
      </c>
      <c r="C485" s="26" t="s">
        <v>7</v>
      </c>
      <c r="D485" s="26" t="s">
        <v>16</v>
      </c>
      <c r="E485" s="26" t="s">
        <v>39</v>
      </c>
      <c r="F485" s="31" t="s">
        <v>18</v>
      </c>
      <c r="G485" s="31" t="s">
        <v>72</v>
      </c>
      <c r="H485" s="31" t="s">
        <v>40</v>
      </c>
      <c r="I485" s="32" t="s">
        <v>40</v>
      </c>
    </row>
    <row r="486" spans="1:9" ht="16.5" customHeight="1" x14ac:dyDescent="0.2">
      <c r="A486" s="35" t="s">
        <v>3775</v>
      </c>
      <c r="B486" s="35" t="s">
        <v>3776</v>
      </c>
      <c r="C486" s="26" t="s">
        <v>98</v>
      </c>
      <c r="D486" s="26" t="s">
        <v>107</v>
      </c>
      <c r="E486" s="26" t="s">
        <v>39</v>
      </c>
      <c r="F486" s="31" t="s">
        <v>18</v>
      </c>
      <c r="G486" s="27" t="s">
        <v>41</v>
      </c>
      <c r="H486" s="27"/>
      <c r="I486" s="32" t="s">
        <v>40</v>
      </c>
    </row>
    <row r="487" spans="1:9" ht="16.5" customHeight="1" x14ac:dyDescent="0.2">
      <c r="A487" s="35" t="s">
        <v>3775</v>
      </c>
      <c r="B487" s="35" t="s">
        <v>3776</v>
      </c>
      <c r="C487" s="26" t="s">
        <v>98</v>
      </c>
      <c r="D487" s="26" t="s">
        <v>107</v>
      </c>
      <c r="E487" s="26" t="s">
        <v>39</v>
      </c>
      <c r="F487" s="31" t="s">
        <v>18</v>
      </c>
      <c r="G487" s="27" t="s">
        <v>61</v>
      </c>
      <c r="H487" s="27"/>
      <c r="I487" s="32" t="s">
        <v>40</v>
      </c>
    </row>
    <row r="488" spans="1:9" ht="16.5" customHeight="1" x14ac:dyDescent="0.25">
      <c r="A488" s="76" t="s">
        <v>3777</v>
      </c>
      <c r="B488" s="76" t="s">
        <v>3778</v>
      </c>
      <c r="C488" s="26" t="s">
        <v>64</v>
      </c>
      <c r="D488" s="26" t="s">
        <v>92</v>
      </c>
      <c r="E488" s="26" t="s">
        <v>39</v>
      </c>
      <c r="F488" s="31" t="s">
        <v>18</v>
      </c>
      <c r="G488" s="31" t="s">
        <v>26</v>
      </c>
      <c r="H488" s="32"/>
      <c r="I488" s="32" t="s">
        <v>40</v>
      </c>
    </row>
    <row r="489" spans="1:9" ht="16.5" customHeight="1" x14ac:dyDescent="0.2">
      <c r="A489" s="26" t="s">
        <v>3779</v>
      </c>
      <c r="B489" s="26" t="s">
        <v>3780</v>
      </c>
      <c r="C489" s="26" t="s">
        <v>115</v>
      </c>
      <c r="D489" s="27" t="s">
        <v>116</v>
      </c>
      <c r="E489" s="27" t="s">
        <v>39</v>
      </c>
      <c r="F489" s="31" t="s">
        <v>18</v>
      </c>
      <c r="G489" s="31" t="s">
        <v>61</v>
      </c>
      <c r="H489" s="31"/>
      <c r="I489" s="32" t="s">
        <v>40</v>
      </c>
    </row>
    <row r="490" spans="1:9" ht="16.5" customHeight="1" x14ac:dyDescent="0.2">
      <c r="A490" s="35" t="s">
        <v>3781</v>
      </c>
      <c r="B490" s="35" t="s">
        <v>3782</v>
      </c>
      <c r="C490" s="35" t="s">
        <v>115</v>
      </c>
      <c r="D490" s="35" t="s">
        <v>128</v>
      </c>
      <c r="E490" s="35" t="s">
        <v>39</v>
      </c>
      <c r="F490" s="30" t="s">
        <v>18</v>
      </c>
      <c r="G490" s="31" t="s">
        <v>41</v>
      </c>
      <c r="H490" s="30" t="s">
        <v>3783</v>
      </c>
      <c r="I490" s="32" t="s">
        <v>40</v>
      </c>
    </row>
    <row r="491" spans="1:9" ht="16.5" customHeight="1" x14ac:dyDescent="0.2">
      <c r="A491" s="35" t="s">
        <v>3781</v>
      </c>
      <c r="B491" s="35" t="s">
        <v>3782</v>
      </c>
      <c r="C491" s="35" t="s">
        <v>115</v>
      </c>
      <c r="D491" s="35" t="s">
        <v>128</v>
      </c>
      <c r="E491" s="35" t="s">
        <v>39</v>
      </c>
      <c r="F491" s="30" t="s">
        <v>18</v>
      </c>
      <c r="G491" s="31" t="s">
        <v>41</v>
      </c>
      <c r="H491" s="30" t="s">
        <v>5574</v>
      </c>
      <c r="I491" s="32" t="s">
        <v>40</v>
      </c>
    </row>
    <row r="492" spans="1:9" ht="16.5" customHeight="1" x14ac:dyDescent="0.2">
      <c r="A492" s="35" t="s">
        <v>3781</v>
      </c>
      <c r="B492" s="35" t="s">
        <v>3782</v>
      </c>
      <c r="C492" s="35" t="s">
        <v>115</v>
      </c>
      <c r="D492" s="35" t="s">
        <v>128</v>
      </c>
      <c r="E492" s="35" t="s">
        <v>39</v>
      </c>
      <c r="F492" s="30" t="s">
        <v>18</v>
      </c>
      <c r="G492" s="31" t="s">
        <v>41</v>
      </c>
      <c r="H492" s="30"/>
      <c r="I492" s="32" t="s">
        <v>40</v>
      </c>
    </row>
    <row r="493" spans="1:9" ht="16.5" customHeight="1" x14ac:dyDescent="0.2">
      <c r="A493" s="35" t="s">
        <v>3784</v>
      </c>
      <c r="B493" s="35" t="s">
        <v>3785</v>
      </c>
      <c r="C493" s="35" t="s">
        <v>64</v>
      </c>
      <c r="D493" s="35" t="s">
        <v>78</v>
      </c>
      <c r="E493" s="35" t="s">
        <v>39</v>
      </c>
      <c r="F493" s="30" t="s">
        <v>18</v>
      </c>
      <c r="G493" s="31" t="s">
        <v>41</v>
      </c>
      <c r="H493" s="31" t="s">
        <v>3786</v>
      </c>
      <c r="I493" s="32" t="s">
        <v>40</v>
      </c>
    </row>
    <row r="494" spans="1:9" ht="16.5" customHeight="1" x14ac:dyDescent="0.2">
      <c r="A494" s="27" t="s">
        <v>3787</v>
      </c>
      <c r="B494" s="26" t="s">
        <v>3788</v>
      </c>
      <c r="C494" s="26" t="s">
        <v>115</v>
      </c>
      <c r="D494" s="26" t="s">
        <v>122</v>
      </c>
      <c r="E494" s="27" t="s">
        <v>39</v>
      </c>
      <c r="F494" s="31" t="s">
        <v>18</v>
      </c>
      <c r="G494" s="31" t="s">
        <v>61</v>
      </c>
      <c r="H494" s="32"/>
      <c r="I494" s="32" t="s">
        <v>40</v>
      </c>
    </row>
    <row r="495" spans="1:9" ht="16.5" customHeight="1" x14ac:dyDescent="0.2">
      <c r="A495" s="26" t="s">
        <v>3787</v>
      </c>
      <c r="B495" s="26" t="s">
        <v>3788</v>
      </c>
      <c r="C495" s="26" t="s">
        <v>115</v>
      </c>
      <c r="D495" s="26" t="s">
        <v>122</v>
      </c>
      <c r="E495" s="26" t="s">
        <v>39</v>
      </c>
      <c r="F495" s="31" t="s">
        <v>18</v>
      </c>
      <c r="G495" s="31" t="s">
        <v>61</v>
      </c>
      <c r="H495" s="32"/>
      <c r="I495" s="32" t="s">
        <v>40</v>
      </c>
    </row>
    <row r="496" spans="1:9" ht="16.5" customHeight="1" x14ac:dyDescent="0.2">
      <c r="A496" s="49" t="s">
        <v>3787</v>
      </c>
      <c r="B496" s="26" t="s">
        <v>3788</v>
      </c>
      <c r="C496" s="26" t="s">
        <v>115</v>
      </c>
      <c r="D496" s="26" t="s">
        <v>122</v>
      </c>
      <c r="E496" s="26" t="s">
        <v>39</v>
      </c>
      <c r="F496" s="31" t="s">
        <v>18</v>
      </c>
      <c r="G496" s="31" t="s">
        <v>61</v>
      </c>
      <c r="H496" s="31"/>
      <c r="I496" s="32" t="s">
        <v>40</v>
      </c>
    </row>
    <row r="497" spans="1:9" ht="16.5" customHeight="1" x14ac:dyDescent="0.2">
      <c r="A497" s="26" t="s">
        <v>3789</v>
      </c>
      <c r="B497" s="26" t="s">
        <v>3790</v>
      </c>
      <c r="C497" s="26" t="s">
        <v>98</v>
      </c>
      <c r="D497" s="26" t="s">
        <v>107</v>
      </c>
      <c r="E497" s="26" t="s">
        <v>39</v>
      </c>
      <c r="F497" s="31" t="s">
        <v>32</v>
      </c>
      <c r="G497" s="31" t="s">
        <v>41</v>
      </c>
      <c r="H497" s="32"/>
      <c r="I497" s="32" t="s">
        <v>40</v>
      </c>
    </row>
    <row r="498" spans="1:9" ht="16.5" customHeight="1" x14ac:dyDescent="0.2">
      <c r="A498" s="26" t="s">
        <v>3791</v>
      </c>
      <c r="B498" s="26" t="s">
        <v>3792</v>
      </c>
      <c r="C498" s="26" t="s">
        <v>64</v>
      </c>
      <c r="D498" s="26" t="s">
        <v>82</v>
      </c>
      <c r="E498" s="26" t="s">
        <v>39</v>
      </c>
      <c r="F498" s="31" t="s">
        <v>18</v>
      </c>
      <c r="G498" s="31" t="s">
        <v>19</v>
      </c>
      <c r="H498" s="31"/>
      <c r="I498" s="32" t="s">
        <v>40</v>
      </c>
    </row>
    <row r="499" spans="1:9" ht="16.5" customHeight="1" x14ac:dyDescent="0.2">
      <c r="A499" s="26" t="s">
        <v>3791</v>
      </c>
      <c r="B499" s="26" t="s">
        <v>3792</v>
      </c>
      <c r="C499" s="26" t="s">
        <v>64</v>
      </c>
      <c r="D499" s="26" t="s">
        <v>82</v>
      </c>
      <c r="E499" s="26" t="s">
        <v>39</v>
      </c>
      <c r="F499" s="31" t="s">
        <v>18</v>
      </c>
      <c r="G499" s="31" t="s">
        <v>19</v>
      </c>
      <c r="H499" s="31"/>
      <c r="I499" s="32" t="s">
        <v>40</v>
      </c>
    </row>
    <row r="500" spans="1:9" ht="16.5" customHeight="1" x14ac:dyDescent="0.2">
      <c r="A500" s="26" t="s">
        <v>3793</v>
      </c>
      <c r="B500" s="26" t="s">
        <v>3794</v>
      </c>
      <c r="C500" s="26" t="s">
        <v>64</v>
      </c>
      <c r="D500" s="26" t="s">
        <v>82</v>
      </c>
      <c r="E500" s="26" t="s">
        <v>39</v>
      </c>
      <c r="F500" s="31" t="s">
        <v>18</v>
      </c>
      <c r="G500" s="31" t="s">
        <v>12</v>
      </c>
      <c r="H500" s="31"/>
      <c r="I500" s="32" t="s">
        <v>40</v>
      </c>
    </row>
    <row r="501" spans="1:9" ht="17.25" customHeight="1" x14ac:dyDescent="0.2">
      <c r="A501" s="26" t="s">
        <v>3795</v>
      </c>
      <c r="B501" s="26" t="s">
        <v>3796</v>
      </c>
      <c r="C501" s="26" t="s">
        <v>115</v>
      </c>
      <c r="D501" s="27" t="s">
        <v>116</v>
      </c>
      <c r="E501" s="27" t="s">
        <v>39</v>
      </c>
      <c r="F501" s="31" t="s">
        <v>18</v>
      </c>
      <c r="G501" s="31" t="s">
        <v>61</v>
      </c>
      <c r="H501" s="31"/>
      <c r="I501" s="32" t="s">
        <v>40</v>
      </c>
    </row>
    <row r="502" spans="1:9" ht="17.25" customHeight="1" x14ac:dyDescent="0.2">
      <c r="A502" s="26" t="s">
        <v>3797</v>
      </c>
      <c r="B502" s="26" t="s">
        <v>3798</v>
      </c>
      <c r="C502" s="26" t="s">
        <v>98</v>
      </c>
      <c r="D502" s="26" t="s">
        <v>99</v>
      </c>
      <c r="E502" s="26" t="s">
        <v>39</v>
      </c>
      <c r="F502" s="47" t="s">
        <v>18</v>
      </c>
      <c r="G502" s="31" t="s">
        <v>19</v>
      </c>
      <c r="H502" s="32"/>
      <c r="I502" s="32" t="s">
        <v>40</v>
      </c>
    </row>
    <row r="503" spans="1:9" ht="17.25" customHeight="1" x14ac:dyDescent="0.2">
      <c r="A503" s="26" t="s">
        <v>3799</v>
      </c>
      <c r="B503" s="26" t="s">
        <v>3800</v>
      </c>
      <c r="C503" s="66" t="s">
        <v>98</v>
      </c>
      <c r="D503" s="66" t="s">
        <v>110</v>
      </c>
      <c r="E503" s="66" t="s">
        <v>39</v>
      </c>
      <c r="F503" s="31" t="s">
        <v>18</v>
      </c>
      <c r="G503" s="66" t="s">
        <v>26</v>
      </c>
      <c r="H503" s="32"/>
      <c r="I503" s="32" t="s">
        <v>40</v>
      </c>
    </row>
    <row r="504" spans="1:9" ht="17.25" customHeight="1" x14ac:dyDescent="0.2">
      <c r="A504" s="35" t="s">
        <v>3801</v>
      </c>
      <c r="B504" s="35" t="s">
        <v>3802</v>
      </c>
      <c r="C504" s="35" t="s">
        <v>115</v>
      </c>
      <c r="D504" s="35" t="s">
        <v>119</v>
      </c>
      <c r="E504" s="35" t="s">
        <v>39</v>
      </c>
      <c r="F504" s="52" t="s">
        <v>25</v>
      </c>
      <c r="G504" s="30" t="s">
        <v>61</v>
      </c>
      <c r="H504" s="55"/>
      <c r="I504" s="32" t="s">
        <v>40</v>
      </c>
    </row>
    <row r="505" spans="1:9" ht="17.25" customHeight="1" x14ac:dyDescent="0.2">
      <c r="A505" s="26" t="s">
        <v>3803</v>
      </c>
      <c r="B505" s="26" t="s">
        <v>3804</v>
      </c>
      <c r="C505" s="26" t="s">
        <v>7</v>
      </c>
      <c r="D505" s="27" t="s">
        <v>16</v>
      </c>
      <c r="E505" s="26" t="s">
        <v>39</v>
      </c>
      <c r="F505" s="31" t="s">
        <v>11</v>
      </c>
      <c r="G505" s="31" t="s">
        <v>72</v>
      </c>
      <c r="H505" s="32"/>
      <c r="I505" s="32" t="s">
        <v>40</v>
      </c>
    </row>
    <row r="506" spans="1:9" ht="17.25" customHeight="1" x14ac:dyDescent="0.2">
      <c r="A506" s="35" t="s">
        <v>3805</v>
      </c>
      <c r="B506" s="35" t="s">
        <v>5160</v>
      </c>
      <c r="C506" s="35" t="s">
        <v>7</v>
      </c>
      <c r="D506" s="35" t="s">
        <v>30</v>
      </c>
      <c r="E506" s="35" t="s">
        <v>39</v>
      </c>
      <c r="F506" s="52" t="s">
        <v>18</v>
      </c>
      <c r="G506" s="30" t="s">
        <v>72</v>
      </c>
      <c r="H506" s="30"/>
      <c r="I506" s="32" t="s">
        <v>40</v>
      </c>
    </row>
    <row r="507" spans="1:9" ht="17.25" customHeight="1" x14ac:dyDescent="0.2">
      <c r="A507" s="35" t="s">
        <v>3805</v>
      </c>
      <c r="B507" s="35" t="s">
        <v>5160</v>
      </c>
      <c r="C507" s="35" t="s">
        <v>7</v>
      </c>
      <c r="D507" s="35" t="s">
        <v>30</v>
      </c>
      <c r="E507" s="35" t="s">
        <v>39</v>
      </c>
      <c r="F507" s="52" t="s">
        <v>18</v>
      </c>
      <c r="G507" s="30" t="s">
        <v>72</v>
      </c>
      <c r="H507" s="30"/>
      <c r="I507" s="32" t="s">
        <v>40</v>
      </c>
    </row>
    <row r="508" spans="1:9" ht="17.25" customHeight="1" x14ac:dyDescent="0.2">
      <c r="A508" s="26" t="s">
        <v>3807</v>
      </c>
      <c r="B508" s="26" t="s">
        <v>3808</v>
      </c>
      <c r="C508" s="26" t="s">
        <v>115</v>
      </c>
      <c r="D508" s="26" t="s">
        <v>122</v>
      </c>
      <c r="E508" s="26" t="s">
        <v>39</v>
      </c>
      <c r="F508" s="31" t="s">
        <v>18</v>
      </c>
      <c r="G508" s="31" t="s">
        <v>61</v>
      </c>
      <c r="H508" s="32"/>
      <c r="I508" s="32" t="s">
        <v>40</v>
      </c>
    </row>
    <row r="509" spans="1:9" ht="17.25" customHeight="1" x14ac:dyDescent="0.2">
      <c r="A509" s="26" t="s">
        <v>3807</v>
      </c>
      <c r="B509" s="26" t="s">
        <v>3808</v>
      </c>
      <c r="C509" s="26" t="s">
        <v>115</v>
      </c>
      <c r="D509" s="26" t="s">
        <v>122</v>
      </c>
      <c r="E509" s="26" t="s">
        <v>39</v>
      </c>
      <c r="F509" s="31" t="s">
        <v>18</v>
      </c>
      <c r="G509" s="31" t="s">
        <v>61</v>
      </c>
      <c r="H509" s="32"/>
      <c r="I509" s="32" t="s">
        <v>40</v>
      </c>
    </row>
    <row r="510" spans="1:9" ht="17.25" customHeight="1" x14ac:dyDescent="0.2">
      <c r="A510" s="26" t="s">
        <v>3807</v>
      </c>
      <c r="B510" s="26" t="s">
        <v>3808</v>
      </c>
      <c r="C510" s="26" t="s">
        <v>115</v>
      </c>
      <c r="D510" s="26" t="s">
        <v>122</v>
      </c>
      <c r="E510" s="26" t="s">
        <v>39</v>
      </c>
      <c r="F510" s="31" t="s">
        <v>18</v>
      </c>
      <c r="G510" s="31" t="s">
        <v>61</v>
      </c>
      <c r="H510" s="32"/>
      <c r="I510" s="32" t="s">
        <v>40</v>
      </c>
    </row>
    <row r="511" spans="1:9" ht="17.25" customHeight="1" x14ac:dyDescent="0.2">
      <c r="A511" s="35" t="s">
        <v>3809</v>
      </c>
      <c r="B511" s="35" t="s">
        <v>3810</v>
      </c>
      <c r="C511" s="35" t="s">
        <v>115</v>
      </c>
      <c r="D511" s="35" t="s">
        <v>119</v>
      </c>
      <c r="E511" s="35" t="s">
        <v>39</v>
      </c>
      <c r="F511" s="52" t="s">
        <v>18</v>
      </c>
      <c r="G511" s="30" t="s">
        <v>61</v>
      </c>
      <c r="H511" s="30"/>
      <c r="I511" s="32" t="s">
        <v>40</v>
      </c>
    </row>
    <row r="512" spans="1:9" ht="17.25" customHeight="1" x14ac:dyDescent="0.2">
      <c r="A512" s="35" t="s">
        <v>3809</v>
      </c>
      <c r="B512" s="35" t="s">
        <v>3810</v>
      </c>
      <c r="C512" s="35" t="s">
        <v>115</v>
      </c>
      <c r="D512" s="35" t="s">
        <v>119</v>
      </c>
      <c r="E512" s="35" t="s">
        <v>39</v>
      </c>
      <c r="F512" s="52" t="s">
        <v>18</v>
      </c>
      <c r="G512" s="30" t="s">
        <v>61</v>
      </c>
      <c r="H512" s="30"/>
      <c r="I512" s="32" t="s">
        <v>40</v>
      </c>
    </row>
    <row r="513" spans="1:9" ht="17.25" customHeight="1" x14ac:dyDescent="0.2">
      <c r="A513" s="26" t="s">
        <v>3811</v>
      </c>
      <c r="B513" s="26" t="s">
        <v>3812</v>
      </c>
      <c r="C513" s="26" t="s">
        <v>7</v>
      </c>
      <c r="D513" s="27" t="s">
        <v>16</v>
      </c>
      <c r="E513" s="26" t="s">
        <v>39</v>
      </c>
      <c r="F513" s="47" t="s">
        <v>11</v>
      </c>
      <c r="G513" s="31" t="s">
        <v>41</v>
      </c>
      <c r="H513" s="32"/>
      <c r="I513" s="32" t="s">
        <v>40</v>
      </c>
    </row>
    <row r="514" spans="1:9" ht="17.25" customHeight="1" x14ac:dyDescent="0.2">
      <c r="A514" s="26" t="s">
        <v>3811</v>
      </c>
      <c r="B514" s="26" t="s">
        <v>3812</v>
      </c>
      <c r="C514" s="26" t="s">
        <v>7</v>
      </c>
      <c r="D514" s="27" t="s">
        <v>16</v>
      </c>
      <c r="E514" s="26" t="s">
        <v>39</v>
      </c>
      <c r="F514" s="47" t="s">
        <v>11</v>
      </c>
      <c r="G514" s="31" t="s">
        <v>41</v>
      </c>
      <c r="H514" s="32"/>
      <c r="I514" s="32" t="s">
        <v>40</v>
      </c>
    </row>
    <row r="515" spans="1:9" ht="17.25" customHeight="1" x14ac:dyDescent="0.2">
      <c r="A515" s="26" t="s">
        <v>3811</v>
      </c>
      <c r="B515" s="26" t="s">
        <v>3812</v>
      </c>
      <c r="C515" s="27" t="s">
        <v>7</v>
      </c>
      <c r="D515" s="27" t="s">
        <v>16</v>
      </c>
      <c r="E515" s="27" t="s">
        <v>39</v>
      </c>
      <c r="F515" s="47" t="s">
        <v>11</v>
      </c>
      <c r="G515" s="44" t="s">
        <v>41</v>
      </c>
      <c r="H515" s="44"/>
      <c r="I515" s="32" t="s">
        <v>40</v>
      </c>
    </row>
    <row r="516" spans="1:9" ht="17.25" customHeight="1" x14ac:dyDescent="0.2">
      <c r="A516" s="26" t="s">
        <v>3811</v>
      </c>
      <c r="B516" s="26" t="s">
        <v>3812</v>
      </c>
      <c r="C516" s="27" t="s">
        <v>7</v>
      </c>
      <c r="D516" s="27" t="s">
        <v>16</v>
      </c>
      <c r="E516" s="27" t="s">
        <v>39</v>
      </c>
      <c r="F516" s="47" t="s">
        <v>11</v>
      </c>
      <c r="G516" s="44" t="s">
        <v>41</v>
      </c>
      <c r="H516" s="44"/>
      <c r="I516" s="32" t="s">
        <v>40</v>
      </c>
    </row>
    <row r="517" spans="1:9" ht="17.25" customHeight="1" x14ac:dyDescent="0.2">
      <c r="A517" s="26" t="s">
        <v>3813</v>
      </c>
      <c r="B517" s="26" t="s">
        <v>3814</v>
      </c>
      <c r="C517" s="26" t="s">
        <v>7</v>
      </c>
      <c r="D517" s="27" t="s">
        <v>16</v>
      </c>
      <c r="E517" s="26" t="s">
        <v>39</v>
      </c>
      <c r="F517" s="31" t="s">
        <v>11</v>
      </c>
      <c r="G517" s="31" t="s">
        <v>41</v>
      </c>
      <c r="H517" s="32"/>
      <c r="I517" s="32" t="s">
        <v>40</v>
      </c>
    </row>
    <row r="518" spans="1:9" ht="17.25" customHeight="1" x14ac:dyDescent="0.2">
      <c r="A518" s="26" t="s">
        <v>3813</v>
      </c>
      <c r="B518" s="26" t="s">
        <v>3814</v>
      </c>
      <c r="C518" s="26" t="s">
        <v>7</v>
      </c>
      <c r="D518" s="27" t="s">
        <v>16</v>
      </c>
      <c r="E518" s="26" t="s">
        <v>39</v>
      </c>
      <c r="F518" s="31" t="s">
        <v>11</v>
      </c>
      <c r="G518" s="31" t="s">
        <v>41</v>
      </c>
      <c r="H518" s="32"/>
      <c r="I518" s="32" t="s">
        <v>40</v>
      </c>
    </row>
    <row r="519" spans="1:9" ht="17.25" customHeight="1" x14ac:dyDescent="0.2">
      <c r="A519" s="26" t="s">
        <v>3813</v>
      </c>
      <c r="B519" s="26" t="s">
        <v>3814</v>
      </c>
      <c r="C519" s="26" t="s">
        <v>7</v>
      </c>
      <c r="D519" s="27" t="s">
        <v>16</v>
      </c>
      <c r="E519" s="26" t="s">
        <v>39</v>
      </c>
      <c r="F519" s="31" t="s">
        <v>11</v>
      </c>
      <c r="G519" s="31" t="s">
        <v>41</v>
      </c>
      <c r="H519" s="32"/>
      <c r="I519" s="32" t="s">
        <v>40</v>
      </c>
    </row>
    <row r="520" spans="1:9" ht="17.25" customHeight="1" x14ac:dyDescent="0.2">
      <c r="A520" s="26" t="s">
        <v>3813</v>
      </c>
      <c r="B520" s="26" t="s">
        <v>3814</v>
      </c>
      <c r="C520" s="26" t="s">
        <v>7</v>
      </c>
      <c r="D520" s="27" t="s">
        <v>16</v>
      </c>
      <c r="E520" s="26" t="s">
        <v>39</v>
      </c>
      <c r="F520" s="31" t="s">
        <v>11</v>
      </c>
      <c r="G520" s="31" t="s">
        <v>41</v>
      </c>
      <c r="H520" s="32"/>
      <c r="I520" s="32" t="s">
        <v>40</v>
      </c>
    </row>
    <row r="521" spans="1:9" ht="17.25" customHeight="1" x14ac:dyDescent="0.25">
      <c r="A521" s="76" t="s">
        <v>3815</v>
      </c>
      <c r="B521" s="76" t="s">
        <v>3816</v>
      </c>
      <c r="C521" s="26" t="s">
        <v>64</v>
      </c>
      <c r="D521" s="26" t="s">
        <v>92</v>
      </c>
      <c r="E521" s="26" t="s">
        <v>39</v>
      </c>
      <c r="F521" s="31" t="s">
        <v>18</v>
      </c>
      <c r="G521" s="31" t="s">
        <v>26</v>
      </c>
      <c r="H521" s="31"/>
      <c r="I521" s="32" t="s">
        <v>40</v>
      </c>
    </row>
    <row r="522" spans="1:9" ht="17.25" customHeight="1" x14ac:dyDescent="0.25">
      <c r="A522" s="76" t="s">
        <v>3817</v>
      </c>
      <c r="B522" s="76" t="s">
        <v>5291</v>
      </c>
      <c r="C522" s="26" t="s">
        <v>64</v>
      </c>
      <c r="D522" s="26" t="s">
        <v>92</v>
      </c>
      <c r="E522" s="26" t="s">
        <v>39</v>
      </c>
      <c r="F522" s="31" t="s">
        <v>18</v>
      </c>
      <c r="G522" s="31" t="s">
        <v>26</v>
      </c>
      <c r="H522" s="32"/>
      <c r="I522" s="32" t="s">
        <v>40</v>
      </c>
    </row>
    <row r="523" spans="1:9" ht="17.25" customHeight="1" x14ac:dyDescent="0.2">
      <c r="A523" s="26" t="s">
        <v>3819</v>
      </c>
      <c r="B523" s="26" t="s">
        <v>3820</v>
      </c>
      <c r="C523" s="66" t="s">
        <v>37</v>
      </c>
      <c r="D523" s="27" t="s">
        <v>38</v>
      </c>
      <c r="E523" s="27" t="s">
        <v>39</v>
      </c>
      <c r="F523" s="31" t="s">
        <v>18</v>
      </c>
      <c r="G523" s="27" t="s">
        <v>61</v>
      </c>
      <c r="H523" s="32"/>
      <c r="I523" s="32" t="s">
        <v>40</v>
      </c>
    </row>
    <row r="524" spans="1:9" ht="17.25" customHeight="1" x14ac:dyDescent="0.2">
      <c r="A524" s="35" t="s">
        <v>3821</v>
      </c>
      <c r="B524" s="35" t="s">
        <v>5166</v>
      </c>
      <c r="C524" s="35" t="s">
        <v>7</v>
      </c>
      <c r="D524" s="35" t="s">
        <v>30</v>
      </c>
      <c r="E524" s="35" t="s">
        <v>39</v>
      </c>
      <c r="F524" s="52" t="s">
        <v>18</v>
      </c>
      <c r="G524" s="35" t="s">
        <v>72</v>
      </c>
      <c r="H524" s="30" t="s">
        <v>3823</v>
      </c>
      <c r="I524" s="32" t="s">
        <v>40</v>
      </c>
    </row>
    <row r="525" spans="1:9" ht="17.25" customHeight="1" x14ac:dyDescent="0.2">
      <c r="A525" s="26" t="s">
        <v>3824</v>
      </c>
      <c r="B525" s="26" t="s">
        <v>3825</v>
      </c>
      <c r="C525" s="26" t="s">
        <v>37</v>
      </c>
      <c r="D525" s="26" t="s">
        <v>59</v>
      </c>
      <c r="E525" s="26" t="s">
        <v>39</v>
      </c>
      <c r="F525" s="31" t="s">
        <v>32</v>
      </c>
      <c r="G525" s="32"/>
      <c r="H525" s="32"/>
      <c r="I525" s="32" t="s">
        <v>40</v>
      </c>
    </row>
    <row r="526" spans="1:9" ht="17.25" customHeight="1" x14ac:dyDescent="0.2">
      <c r="A526" s="25" t="s">
        <v>3826</v>
      </c>
      <c r="B526" s="26" t="s">
        <v>3827</v>
      </c>
      <c r="C526" s="27" t="s">
        <v>98</v>
      </c>
      <c r="D526" s="27" t="s">
        <v>102</v>
      </c>
      <c r="E526" s="26" t="s">
        <v>39</v>
      </c>
      <c r="F526" s="31" t="s">
        <v>18</v>
      </c>
      <c r="G526" s="31" t="s">
        <v>41</v>
      </c>
      <c r="H526" s="32"/>
      <c r="I526" s="32" t="s">
        <v>40</v>
      </c>
    </row>
    <row r="527" spans="1:9" ht="17.25" customHeight="1" x14ac:dyDescent="0.2">
      <c r="A527" s="35" t="s">
        <v>3828</v>
      </c>
      <c r="B527" s="35" t="s">
        <v>3829</v>
      </c>
      <c r="C527" s="26" t="s">
        <v>98</v>
      </c>
      <c r="D527" s="26" t="s">
        <v>99</v>
      </c>
      <c r="E527" s="26" t="s">
        <v>39</v>
      </c>
      <c r="F527" s="47" t="s">
        <v>18</v>
      </c>
      <c r="G527" s="47" t="s">
        <v>61</v>
      </c>
      <c r="H527" s="44"/>
      <c r="I527" s="32" t="s">
        <v>40</v>
      </c>
    </row>
    <row r="528" spans="1:9" ht="17.25" customHeight="1" x14ac:dyDescent="0.2">
      <c r="A528" s="26" t="s">
        <v>3830</v>
      </c>
      <c r="B528" s="26" t="s">
        <v>3831</v>
      </c>
      <c r="C528" s="26" t="s">
        <v>7</v>
      </c>
      <c r="D528" s="26" t="s">
        <v>16</v>
      </c>
      <c r="E528" s="26" t="s">
        <v>39</v>
      </c>
      <c r="F528" s="31" t="s">
        <v>11</v>
      </c>
      <c r="G528" s="31" t="s">
        <v>61</v>
      </c>
      <c r="H528" s="32"/>
      <c r="I528" s="32" t="s">
        <v>40</v>
      </c>
    </row>
    <row r="529" spans="1:9" ht="17.25" customHeight="1" x14ac:dyDescent="0.2">
      <c r="A529" s="26" t="s">
        <v>3830</v>
      </c>
      <c r="B529" s="26" t="s">
        <v>3831</v>
      </c>
      <c r="C529" s="26" t="s">
        <v>7</v>
      </c>
      <c r="D529" s="26" t="s">
        <v>16</v>
      </c>
      <c r="E529" s="26" t="s">
        <v>39</v>
      </c>
      <c r="F529" s="31" t="s">
        <v>11</v>
      </c>
      <c r="G529" s="31" t="s">
        <v>61</v>
      </c>
      <c r="H529" s="32"/>
      <c r="I529" s="32" t="s">
        <v>40</v>
      </c>
    </row>
    <row r="530" spans="1:9" ht="17.25" customHeight="1" x14ac:dyDescent="0.2">
      <c r="A530" s="26" t="s">
        <v>3830</v>
      </c>
      <c r="B530" s="26" t="s">
        <v>3831</v>
      </c>
      <c r="C530" s="26" t="s">
        <v>7</v>
      </c>
      <c r="D530" s="26" t="s">
        <v>16</v>
      </c>
      <c r="E530" s="26" t="s">
        <v>39</v>
      </c>
      <c r="F530" s="31" t="s">
        <v>11</v>
      </c>
      <c r="G530" s="31" t="s">
        <v>61</v>
      </c>
      <c r="H530" s="32"/>
      <c r="I530" s="32" t="s">
        <v>40</v>
      </c>
    </row>
    <row r="531" spans="1:9" ht="16.5" customHeight="1" x14ac:dyDescent="0.2">
      <c r="A531" s="49" t="s">
        <v>3830</v>
      </c>
      <c r="B531" s="26" t="s">
        <v>3831</v>
      </c>
      <c r="C531" s="26" t="s">
        <v>7</v>
      </c>
      <c r="D531" s="26" t="s">
        <v>16</v>
      </c>
      <c r="E531" s="26" t="s">
        <v>39</v>
      </c>
      <c r="F531" s="31" t="s">
        <v>11</v>
      </c>
      <c r="G531" s="31" t="s">
        <v>61</v>
      </c>
      <c r="H531" s="32"/>
      <c r="I531" s="32" t="s">
        <v>40</v>
      </c>
    </row>
    <row r="532" spans="1:9" ht="16.5" customHeight="1" x14ac:dyDescent="0.2">
      <c r="A532" s="25" t="s">
        <v>3832</v>
      </c>
      <c r="B532" s="26" t="s">
        <v>3833</v>
      </c>
      <c r="C532" s="27" t="s">
        <v>98</v>
      </c>
      <c r="D532" s="27" t="s">
        <v>102</v>
      </c>
      <c r="E532" s="26" t="s">
        <v>39</v>
      </c>
      <c r="F532" s="31" t="s">
        <v>18</v>
      </c>
      <c r="G532" s="31" t="s">
        <v>41</v>
      </c>
      <c r="H532" s="32"/>
      <c r="I532" s="32" t="s">
        <v>40</v>
      </c>
    </row>
    <row r="533" spans="1:9" ht="16.5" customHeight="1" x14ac:dyDescent="0.2">
      <c r="A533" s="35" t="s">
        <v>3834</v>
      </c>
      <c r="B533" s="35" t="s">
        <v>3835</v>
      </c>
      <c r="C533" s="35" t="s">
        <v>115</v>
      </c>
      <c r="D533" s="35" t="s">
        <v>119</v>
      </c>
      <c r="E533" s="35" t="s">
        <v>39</v>
      </c>
      <c r="F533" s="52" t="s">
        <v>18</v>
      </c>
      <c r="G533" s="30" t="s">
        <v>61</v>
      </c>
      <c r="H533" s="30"/>
      <c r="I533" s="32" t="s">
        <v>40</v>
      </c>
    </row>
    <row r="534" spans="1:9" ht="16.5" customHeight="1" x14ac:dyDescent="0.2">
      <c r="A534" s="49" t="s">
        <v>3836</v>
      </c>
      <c r="B534" s="26" t="s">
        <v>5275</v>
      </c>
      <c r="C534" s="26" t="s">
        <v>7</v>
      </c>
      <c r="D534" s="26" t="s">
        <v>16</v>
      </c>
      <c r="E534" s="49" t="s">
        <v>39</v>
      </c>
      <c r="F534" s="31" t="s">
        <v>18</v>
      </c>
      <c r="G534" s="32"/>
      <c r="H534" s="32" t="s">
        <v>40</v>
      </c>
      <c r="I534" s="32" t="s">
        <v>40</v>
      </c>
    </row>
    <row r="535" spans="1:9" ht="16.5" customHeight="1" x14ac:dyDescent="0.2">
      <c r="A535" s="26" t="s">
        <v>3836</v>
      </c>
      <c r="B535" s="26" t="s">
        <v>5275</v>
      </c>
      <c r="C535" s="26" t="s">
        <v>7</v>
      </c>
      <c r="D535" s="26" t="s">
        <v>16</v>
      </c>
      <c r="E535" s="49" t="s">
        <v>39</v>
      </c>
      <c r="F535" s="31" t="s">
        <v>18</v>
      </c>
      <c r="G535" s="32"/>
      <c r="H535" s="32" t="s">
        <v>40</v>
      </c>
      <c r="I535" s="32" t="s">
        <v>40</v>
      </c>
    </row>
    <row r="536" spans="1:9" ht="16.5" customHeight="1" x14ac:dyDescent="0.2">
      <c r="A536" s="26" t="s">
        <v>3838</v>
      </c>
      <c r="B536" s="26" t="s">
        <v>3839</v>
      </c>
      <c r="C536" s="26" t="s">
        <v>98</v>
      </c>
      <c r="D536" s="26" t="s">
        <v>110</v>
      </c>
      <c r="E536" s="49" t="s">
        <v>39</v>
      </c>
      <c r="F536" s="31" t="s">
        <v>11</v>
      </c>
      <c r="G536" s="31" t="s">
        <v>26</v>
      </c>
      <c r="H536" s="32"/>
      <c r="I536" s="32" t="s">
        <v>40</v>
      </c>
    </row>
    <row r="537" spans="1:9" ht="16.5" customHeight="1" x14ac:dyDescent="0.2">
      <c r="A537" s="26" t="s">
        <v>3838</v>
      </c>
      <c r="B537" s="26" t="s">
        <v>3839</v>
      </c>
      <c r="C537" s="26" t="s">
        <v>98</v>
      </c>
      <c r="D537" s="26" t="s">
        <v>110</v>
      </c>
      <c r="E537" s="49" t="s">
        <v>39</v>
      </c>
      <c r="F537" s="31" t="s">
        <v>11</v>
      </c>
      <c r="G537" s="31" t="s">
        <v>26</v>
      </c>
      <c r="H537" s="32"/>
      <c r="I537" s="32" t="s">
        <v>40</v>
      </c>
    </row>
    <row r="538" spans="1:9" ht="16.5" customHeight="1" x14ac:dyDescent="0.2">
      <c r="A538" s="26" t="s">
        <v>3838</v>
      </c>
      <c r="B538" s="26" t="s">
        <v>3839</v>
      </c>
      <c r="C538" s="26" t="s">
        <v>98</v>
      </c>
      <c r="D538" s="26" t="s">
        <v>110</v>
      </c>
      <c r="E538" s="26" t="s">
        <v>39</v>
      </c>
      <c r="F538" s="31" t="s">
        <v>11</v>
      </c>
      <c r="G538" s="31" t="s">
        <v>26</v>
      </c>
      <c r="H538" s="32"/>
      <c r="I538" s="32" t="s">
        <v>40</v>
      </c>
    </row>
    <row r="539" spans="1:9" ht="16.5" customHeight="1" x14ac:dyDescent="0.2">
      <c r="A539" s="26" t="s">
        <v>3838</v>
      </c>
      <c r="B539" s="26" t="s">
        <v>3839</v>
      </c>
      <c r="C539" s="26" t="s">
        <v>98</v>
      </c>
      <c r="D539" s="26" t="s">
        <v>110</v>
      </c>
      <c r="E539" s="26" t="s">
        <v>39</v>
      </c>
      <c r="F539" s="31" t="s">
        <v>11</v>
      </c>
      <c r="G539" s="31" t="s">
        <v>26</v>
      </c>
      <c r="H539" s="32"/>
      <c r="I539" s="32" t="s">
        <v>40</v>
      </c>
    </row>
    <row r="540" spans="1:9" ht="16.5" customHeight="1" x14ac:dyDescent="0.2">
      <c r="A540" s="26" t="s">
        <v>3840</v>
      </c>
      <c r="B540" s="26" t="s">
        <v>3841</v>
      </c>
      <c r="C540" s="26" t="s">
        <v>98</v>
      </c>
      <c r="D540" s="26" t="s">
        <v>107</v>
      </c>
      <c r="E540" s="26" t="s">
        <v>39</v>
      </c>
      <c r="F540" s="31" t="s">
        <v>11</v>
      </c>
      <c r="G540" s="31" t="s">
        <v>41</v>
      </c>
      <c r="H540" s="82"/>
      <c r="I540" s="32" t="s">
        <v>40</v>
      </c>
    </row>
    <row r="541" spans="1:9" ht="16.5" customHeight="1" x14ac:dyDescent="0.2">
      <c r="A541" s="26" t="s">
        <v>3840</v>
      </c>
      <c r="B541" s="26" t="s">
        <v>3841</v>
      </c>
      <c r="C541" s="26" t="s">
        <v>98</v>
      </c>
      <c r="D541" s="26" t="s">
        <v>107</v>
      </c>
      <c r="E541" s="26" t="s">
        <v>39</v>
      </c>
      <c r="F541" s="31" t="s">
        <v>11</v>
      </c>
      <c r="G541" s="31" t="s">
        <v>41</v>
      </c>
      <c r="H541" s="82"/>
      <c r="I541" s="32" t="s">
        <v>40</v>
      </c>
    </row>
    <row r="542" spans="1:9" ht="16.5" customHeight="1" x14ac:dyDescent="0.2">
      <c r="A542" s="26" t="s">
        <v>3842</v>
      </c>
      <c r="B542" s="26" t="s">
        <v>3843</v>
      </c>
      <c r="C542" s="26" t="s">
        <v>7</v>
      </c>
      <c r="D542" s="26" t="s">
        <v>16</v>
      </c>
      <c r="E542" s="26" t="s">
        <v>39</v>
      </c>
      <c r="F542" s="31" t="s">
        <v>18</v>
      </c>
      <c r="G542" s="31" t="s">
        <v>41</v>
      </c>
      <c r="H542" s="44"/>
      <c r="I542" s="32" t="s">
        <v>40</v>
      </c>
    </row>
    <row r="543" spans="1:9" ht="16.5" customHeight="1" x14ac:dyDescent="0.2">
      <c r="A543" s="26" t="s">
        <v>3842</v>
      </c>
      <c r="B543" s="26" t="s">
        <v>3843</v>
      </c>
      <c r="C543" s="26" t="s">
        <v>7</v>
      </c>
      <c r="D543" s="26" t="s">
        <v>16</v>
      </c>
      <c r="E543" s="26" t="s">
        <v>39</v>
      </c>
      <c r="F543" s="31" t="s">
        <v>18</v>
      </c>
      <c r="G543" s="31" t="s">
        <v>41</v>
      </c>
      <c r="H543" s="44"/>
      <c r="I543" s="32" t="s">
        <v>40</v>
      </c>
    </row>
    <row r="544" spans="1:9" ht="16.5" customHeight="1" x14ac:dyDescent="0.2">
      <c r="A544" s="35" t="s">
        <v>3844</v>
      </c>
      <c r="B544" s="35" t="s">
        <v>5372</v>
      </c>
      <c r="C544" s="35" t="s">
        <v>64</v>
      </c>
      <c r="D544" s="35" t="s">
        <v>89</v>
      </c>
      <c r="E544" s="54" t="s">
        <v>39</v>
      </c>
      <c r="F544" s="31" t="s">
        <v>18</v>
      </c>
      <c r="G544" s="31" t="s">
        <v>61</v>
      </c>
      <c r="H544" s="31"/>
      <c r="I544" s="32" t="s">
        <v>40</v>
      </c>
    </row>
    <row r="545" spans="1:9" ht="16.5" customHeight="1" x14ac:dyDescent="0.2">
      <c r="A545" s="35" t="s">
        <v>3844</v>
      </c>
      <c r="B545" s="35" t="s">
        <v>5372</v>
      </c>
      <c r="C545" s="35" t="s">
        <v>64</v>
      </c>
      <c r="D545" s="35" t="s">
        <v>89</v>
      </c>
      <c r="E545" s="54" t="s">
        <v>39</v>
      </c>
      <c r="F545" s="31" t="s">
        <v>18</v>
      </c>
      <c r="G545" s="31" t="s">
        <v>61</v>
      </c>
      <c r="H545" s="32"/>
      <c r="I545" s="32" t="s">
        <v>40</v>
      </c>
    </row>
    <row r="546" spans="1:9" ht="16.5" customHeight="1" x14ac:dyDescent="0.2">
      <c r="A546" s="25" t="s">
        <v>3846</v>
      </c>
      <c r="B546" s="26" t="s">
        <v>3847</v>
      </c>
      <c r="C546" s="27" t="s">
        <v>98</v>
      </c>
      <c r="D546" s="27" t="s">
        <v>102</v>
      </c>
      <c r="E546" s="26" t="s">
        <v>39</v>
      </c>
      <c r="F546" s="31" t="s">
        <v>18</v>
      </c>
      <c r="G546" s="31" t="s">
        <v>41</v>
      </c>
      <c r="H546" s="32"/>
      <c r="I546" s="32" t="s">
        <v>40</v>
      </c>
    </row>
    <row r="547" spans="1:9" ht="16.5" customHeight="1" x14ac:dyDescent="0.2">
      <c r="A547" s="26" t="s">
        <v>3848</v>
      </c>
      <c r="B547" s="26" t="s">
        <v>3849</v>
      </c>
      <c r="C547" s="26" t="s">
        <v>115</v>
      </c>
      <c r="D547" s="26" t="s">
        <v>122</v>
      </c>
      <c r="E547" s="26" t="s">
        <v>39</v>
      </c>
      <c r="F547" s="31" t="s">
        <v>18</v>
      </c>
      <c r="G547" s="31" t="s">
        <v>19</v>
      </c>
      <c r="H547" s="31"/>
      <c r="I547" s="32" t="s">
        <v>40</v>
      </c>
    </row>
    <row r="548" spans="1:9" ht="16.5" customHeight="1" x14ac:dyDescent="0.2">
      <c r="A548" s="26" t="s">
        <v>3850</v>
      </c>
      <c r="B548" s="26" t="s">
        <v>3851</v>
      </c>
      <c r="C548" s="26" t="s">
        <v>115</v>
      </c>
      <c r="D548" s="27" t="s">
        <v>116</v>
      </c>
      <c r="E548" s="27" t="s">
        <v>39</v>
      </c>
      <c r="F548" s="31" t="s">
        <v>18</v>
      </c>
      <c r="G548" s="31" t="s">
        <v>61</v>
      </c>
      <c r="H548" s="31"/>
      <c r="I548" s="32" t="s">
        <v>40</v>
      </c>
    </row>
    <row r="549" spans="1:9" ht="16.5" customHeight="1" x14ac:dyDescent="0.2">
      <c r="A549" s="35" t="s">
        <v>3852</v>
      </c>
      <c r="B549" s="35" t="s">
        <v>3853</v>
      </c>
      <c r="C549" s="35" t="s">
        <v>115</v>
      </c>
      <c r="D549" s="35" t="s">
        <v>119</v>
      </c>
      <c r="E549" s="35" t="s">
        <v>39</v>
      </c>
      <c r="F549" s="52" t="s">
        <v>18</v>
      </c>
      <c r="G549" s="30" t="s">
        <v>61</v>
      </c>
      <c r="H549" s="30"/>
      <c r="I549" s="32" t="s">
        <v>40</v>
      </c>
    </row>
    <row r="550" spans="1:9" ht="16.5" customHeight="1" x14ac:dyDescent="0.2">
      <c r="A550" s="35" t="s">
        <v>3852</v>
      </c>
      <c r="B550" s="35" t="s">
        <v>3853</v>
      </c>
      <c r="C550" s="35" t="s">
        <v>115</v>
      </c>
      <c r="D550" s="35" t="s">
        <v>119</v>
      </c>
      <c r="E550" s="35" t="s">
        <v>39</v>
      </c>
      <c r="F550" s="52" t="s">
        <v>18</v>
      </c>
      <c r="G550" s="30" t="s">
        <v>61</v>
      </c>
      <c r="H550" s="30"/>
      <c r="I550" s="32" t="s">
        <v>40</v>
      </c>
    </row>
    <row r="551" spans="1:9" ht="16.5" customHeight="1" x14ac:dyDescent="0.2">
      <c r="A551" s="26" t="s">
        <v>3854</v>
      </c>
      <c r="B551" s="26" t="s">
        <v>3855</v>
      </c>
      <c r="C551" s="26" t="s">
        <v>115</v>
      </c>
      <c r="D551" s="26" t="s">
        <v>122</v>
      </c>
      <c r="E551" s="26" t="s">
        <v>39</v>
      </c>
      <c r="F551" s="31" t="s">
        <v>18</v>
      </c>
      <c r="G551" s="31" t="s">
        <v>61</v>
      </c>
      <c r="H551" s="32"/>
      <c r="I551" s="32" t="s">
        <v>40</v>
      </c>
    </row>
    <row r="552" spans="1:9" ht="16.5" customHeight="1" x14ac:dyDescent="0.2">
      <c r="A552" s="26" t="s">
        <v>3854</v>
      </c>
      <c r="B552" s="26" t="s">
        <v>3855</v>
      </c>
      <c r="C552" s="26" t="s">
        <v>115</v>
      </c>
      <c r="D552" s="26" t="s">
        <v>122</v>
      </c>
      <c r="E552" s="26" t="s">
        <v>39</v>
      </c>
      <c r="F552" s="31" t="s">
        <v>18</v>
      </c>
      <c r="G552" s="31" t="s">
        <v>61</v>
      </c>
      <c r="H552" s="32"/>
      <c r="I552" s="32" t="s">
        <v>40</v>
      </c>
    </row>
    <row r="553" spans="1:9" ht="16.5" customHeight="1" x14ac:dyDescent="0.2">
      <c r="A553" s="26" t="s">
        <v>3854</v>
      </c>
      <c r="B553" s="26" t="s">
        <v>3855</v>
      </c>
      <c r="C553" s="26" t="s">
        <v>115</v>
      </c>
      <c r="D553" s="26" t="s">
        <v>122</v>
      </c>
      <c r="E553" s="26" t="s">
        <v>39</v>
      </c>
      <c r="F553" s="31" t="s">
        <v>18</v>
      </c>
      <c r="G553" s="31" t="s">
        <v>61</v>
      </c>
      <c r="H553" s="32"/>
      <c r="I553" s="32" t="s">
        <v>40</v>
      </c>
    </row>
    <row r="554" spans="1:9" ht="16.5" customHeight="1" x14ac:dyDescent="0.2">
      <c r="A554" s="26" t="s">
        <v>3854</v>
      </c>
      <c r="B554" s="26" t="s">
        <v>3855</v>
      </c>
      <c r="C554" s="26" t="s">
        <v>115</v>
      </c>
      <c r="D554" s="26" t="s">
        <v>122</v>
      </c>
      <c r="E554" s="26" t="s">
        <v>39</v>
      </c>
      <c r="F554" s="31" t="s">
        <v>18</v>
      </c>
      <c r="G554" s="31" t="s">
        <v>61</v>
      </c>
      <c r="H554" s="32"/>
      <c r="I554" s="32" t="s">
        <v>40</v>
      </c>
    </row>
    <row r="555" spans="1:9" ht="16.5" customHeight="1" x14ac:dyDescent="0.2">
      <c r="A555" s="26" t="s">
        <v>3854</v>
      </c>
      <c r="B555" s="26" t="s">
        <v>3855</v>
      </c>
      <c r="C555" s="26" t="s">
        <v>115</v>
      </c>
      <c r="D555" s="26" t="s">
        <v>122</v>
      </c>
      <c r="E555" s="26" t="s">
        <v>39</v>
      </c>
      <c r="F555" s="31" t="s">
        <v>18</v>
      </c>
      <c r="G555" s="31" t="s">
        <v>61</v>
      </c>
      <c r="H555" s="32"/>
      <c r="I555" s="32" t="s">
        <v>40</v>
      </c>
    </row>
    <row r="556" spans="1:9" ht="16.5" customHeight="1" x14ac:dyDescent="0.2">
      <c r="A556" s="26" t="s">
        <v>3856</v>
      </c>
      <c r="B556" s="26" t="s">
        <v>3857</v>
      </c>
      <c r="C556" s="66" t="s">
        <v>98</v>
      </c>
      <c r="D556" s="66" t="s">
        <v>110</v>
      </c>
      <c r="E556" s="66" t="s">
        <v>39</v>
      </c>
      <c r="F556" s="31" t="s">
        <v>18</v>
      </c>
      <c r="G556" s="67" t="s">
        <v>12</v>
      </c>
      <c r="H556" s="32" t="s">
        <v>40</v>
      </c>
      <c r="I556" s="32" t="s">
        <v>40</v>
      </c>
    </row>
    <row r="557" spans="1:9" ht="16.5" customHeight="1" x14ac:dyDescent="0.2">
      <c r="A557" s="26" t="s">
        <v>3858</v>
      </c>
      <c r="B557" s="26" t="s">
        <v>3859</v>
      </c>
      <c r="C557" s="26" t="s">
        <v>98</v>
      </c>
      <c r="D557" s="26" t="s">
        <v>110</v>
      </c>
      <c r="E557" s="26" t="s">
        <v>39</v>
      </c>
      <c r="F557" s="31" t="s">
        <v>11</v>
      </c>
      <c r="G557" s="31" t="s">
        <v>41</v>
      </c>
      <c r="H557" s="32"/>
      <c r="I557" s="32" t="s">
        <v>40</v>
      </c>
    </row>
    <row r="558" spans="1:9" ht="16.5" customHeight="1" x14ac:dyDescent="0.2">
      <c r="A558" s="35" t="s">
        <v>3860</v>
      </c>
      <c r="B558" s="35" t="s">
        <v>3861</v>
      </c>
      <c r="C558" s="35" t="s">
        <v>115</v>
      </c>
      <c r="D558" s="35" t="s">
        <v>119</v>
      </c>
      <c r="E558" s="35" t="s">
        <v>39</v>
      </c>
      <c r="F558" s="52" t="s">
        <v>18</v>
      </c>
      <c r="G558" s="30" t="s">
        <v>61</v>
      </c>
      <c r="H558" s="55"/>
      <c r="I558" s="32" t="s">
        <v>40</v>
      </c>
    </row>
    <row r="559" spans="1:9" ht="16.5" customHeight="1" x14ac:dyDescent="0.2">
      <c r="A559" s="35" t="s">
        <v>3860</v>
      </c>
      <c r="B559" s="35" t="s">
        <v>3861</v>
      </c>
      <c r="C559" s="35" t="s">
        <v>115</v>
      </c>
      <c r="D559" s="35" t="s">
        <v>119</v>
      </c>
      <c r="E559" s="35" t="s">
        <v>39</v>
      </c>
      <c r="F559" s="52" t="s">
        <v>18</v>
      </c>
      <c r="G559" s="30" t="s">
        <v>61</v>
      </c>
      <c r="H559" s="55"/>
      <c r="I559" s="32" t="s">
        <v>40</v>
      </c>
    </row>
    <row r="560" spans="1:9" ht="16.5" customHeight="1" x14ac:dyDescent="0.2">
      <c r="A560" s="35" t="s">
        <v>3860</v>
      </c>
      <c r="B560" s="35" t="s">
        <v>3861</v>
      </c>
      <c r="C560" s="35" t="s">
        <v>115</v>
      </c>
      <c r="D560" s="35" t="s">
        <v>119</v>
      </c>
      <c r="E560" s="35" t="s">
        <v>39</v>
      </c>
      <c r="F560" s="52" t="s">
        <v>18</v>
      </c>
      <c r="G560" s="30" t="s">
        <v>61</v>
      </c>
      <c r="H560" s="30"/>
      <c r="I560" s="32" t="s">
        <v>40</v>
      </c>
    </row>
    <row r="561" spans="1:9" ht="16.5" customHeight="1" x14ac:dyDescent="0.2">
      <c r="A561" s="35" t="s">
        <v>3862</v>
      </c>
      <c r="B561" s="54" t="s">
        <v>5573</v>
      </c>
      <c r="C561" s="35" t="s">
        <v>115</v>
      </c>
      <c r="D561" s="35" t="s">
        <v>131</v>
      </c>
      <c r="E561" s="35" t="s">
        <v>39</v>
      </c>
      <c r="F561" s="30" t="s">
        <v>18</v>
      </c>
      <c r="G561" s="31" t="s">
        <v>72</v>
      </c>
      <c r="H561" s="30" t="s">
        <v>3398</v>
      </c>
      <c r="I561" s="32" t="s">
        <v>40</v>
      </c>
    </row>
    <row r="562" spans="1:9" ht="16.5" customHeight="1" x14ac:dyDescent="0.2">
      <c r="A562" s="26" t="s">
        <v>3864</v>
      </c>
      <c r="B562" s="26" t="s">
        <v>3865</v>
      </c>
      <c r="C562" s="26" t="s">
        <v>98</v>
      </c>
      <c r="D562" s="26" t="s">
        <v>107</v>
      </c>
      <c r="E562" s="26" t="s">
        <v>39</v>
      </c>
      <c r="F562" s="31" t="s">
        <v>18</v>
      </c>
      <c r="G562" s="27" t="s">
        <v>41</v>
      </c>
      <c r="H562" s="27"/>
      <c r="I562" s="32" t="s">
        <v>40</v>
      </c>
    </row>
    <row r="563" spans="1:9" ht="16.5" customHeight="1" x14ac:dyDescent="0.2">
      <c r="A563" s="26" t="s">
        <v>3864</v>
      </c>
      <c r="B563" s="26" t="s">
        <v>3865</v>
      </c>
      <c r="C563" s="26" t="s">
        <v>98</v>
      </c>
      <c r="D563" s="26" t="s">
        <v>107</v>
      </c>
      <c r="E563" s="26" t="s">
        <v>39</v>
      </c>
      <c r="F563" s="31" t="s">
        <v>18</v>
      </c>
      <c r="G563" s="27" t="s">
        <v>41</v>
      </c>
      <c r="H563" s="27"/>
      <c r="I563" s="32" t="s">
        <v>40</v>
      </c>
    </row>
    <row r="564" spans="1:9" ht="16.5" customHeight="1" x14ac:dyDescent="0.2">
      <c r="A564" s="35" t="s">
        <v>3866</v>
      </c>
      <c r="B564" s="35" t="s">
        <v>3867</v>
      </c>
      <c r="C564" s="35" t="s">
        <v>115</v>
      </c>
      <c r="D564" s="35" t="s">
        <v>125</v>
      </c>
      <c r="E564" s="35" t="s">
        <v>39</v>
      </c>
      <c r="F564" s="30" t="s">
        <v>18</v>
      </c>
      <c r="G564" s="31" t="s">
        <v>19</v>
      </c>
      <c r="H564" s="55" t="s">
        <v>3482</v>
      </c>
      <c r="I564" s="32" t="s">
        <v>40</v>
      </c>
    </row>
    <row r="565" spans="1:9" ht="16.5" customHeight="1" x14ac:dyDescent="0.2">
      <c r="A565" s="26" t="s">
        <v>3868</v>
      </c>
      <c r="B565" s="26" t="s">
        <v>3869</v>
      </c>
      <c r="C565" s="26" t="s">
        <v>64</v>
      </c>
      <c r="D565" s="26" t="s">
        <v>82</v>
      </c>
      <c r="E565" s="26" t="s">
        <v>39</v>
      </c>
      <c r="F565" s="31" t="s">
        <v>18</v>
      </c>
      <c r="G565" s="31" t="s">
        <v>41</v>
      </c>
      <c r="H565" s="31"/>
      <c r="I565" s="32" t="s">
        <v>40</v>
      </c>
    </row>
    <row r="566" spans="1:9" ht="16.5" customHeight="1" x14ac:dyDescent="0.2">
      <c r="A566" s="26" t="s">
        <v>3868</v>
      </c>
      <c r="B566" s="26" t="s">
        <v>3869</v>
      </c>
      <c r="C566" s="26" t="s">
        <v>64</v>
      </c>
      <c r="D566" s="26" t="s">
        <v>82</v>
      </c>
      <c r="E566" s="26" t="s">
        <v>39</v>
      </c>
      <c r="F566" s="31" t="s">
        <v>18</v>
      </c>
      <c r="G566" s="31" t="s">
        <v>41</v>
      </c>
      <c r="H566" s="31"/>
      <c r="I566" s="32" t="s">
        <v>40</v>
      </c>
    </row>
    <row r="567" spans="1:9" ht="16.5" customHeight="1" x14ac:dyDescent="0.2">
      <c r="A567" s="35" t="s">
        <v>3870</v>
      </c>
      <c r="B567" s="35" t="s">
        <v>3871</v>
      </c>
      <c r="C567" s="35" t="s">
        <v>115</v>
      </c>
      <c r="D567" s="35" t="s">
        <v>119</v>
      </c>
      <c r="E567" s="35" t="s">
        <v>39</v>
      </c>
      <c r="F567" s="52" t="s">
        <v>18</v>
      </c>
      <c r="G567" s="30" t="s">
        <v>61</v>
      </c>
      <c r="H567" s="30"/>
      <c r="I567" s="32" t="s">
        <v>40</v>
      </c>
    </row>
    <row r="568" spans="1:9" ht="16.5" customHeight="1" x14ac:dyDescent="0.2">
      <c r="A568" s="35" t="s">
        <v>3870</v>
      </c>
      <c r="B568" s="35" t="s">
        <v>3871</v>
      </c>
      <c r="C568" s="35" t="s">
        <v>115</v>
      </c>
      <c r="D568" s="35" t="s">
        <v>119</v>
      </c>
      <c r="E568" s="35" t="s">
        <v>39</v>
      </c>
      <c r="F568" s="52" t="s">
        <v>18</v>
      </c>
      <c r="G568" s="30" t="s">
        <v>61</v>
      </c>
      <c r="H568" s="30"/>
      <c r="I568" s="32" t="s">
        <v>40</v>
      </c>
    </row>
    <row r="569" spans="1:9" ht="16.5" customHeight="1" x14ac:dyDescent="0.2">
      <c r="A569" s="35" t="s">
        <v>3870</v>
      </c>
      <c r="B569" s="35" t="s">
        <v>3871</v>
      </c>
      <c r="C569" s="35" t="s">
        <v>115</v>
      </c>
      <c r="D569" s="35" t="s">
        <v>119</v>
      </c>
      <c r="E569" s="35" t="s">
        <v>39</v>
      </c>
      <c r="F569" s="52" t="s">
        <v>18</v>
      </c>
      <c r="G569" s="30" t="s">
        <v>61</v>
      </c>
      <c r="H569" s="30"/>
      <c r="I569" s="32" t="s">
        <v>40</v>
      </c>
    </row>
    <row r="570" spans="1:9" ht="16.5" customHeight="1" x14ac:dyDescent="0.2">
      <c r="A570" s="26" t="s">
        <v>3872</v>
      </c>
      <c r="B570" s="26" t="s">
        <v>3873</v>
      </c>
      <c r="C570" s="66" t="s">
        <v>98</v>
      </c>
      <c r="D570" s="66" t="s">
        <v>110</v>
      </c>
      <c r="E570" s="66" t="s">
        <v>39</v>
      </c>
      <c r="F570" s="31" t="s">
        <v>18</v>
      </c>
      <c r="G570" s="66" t="s">
        <v>61</v>
      </c>
      <c r="H570" s="32"/>
      <c r="I570" s="32" t="s">
        <v>40</v>
      </c>
    </row>
    <row r="571" spans="1:9" ht="16.5" customHeight="1" x14ac:dyDescent="0.2">
      <c r="A571" s="26" t="s">
        <v>3874</v>
      </c>
      <c r="B571" s="26" t="s">
        <v>3875</v>
      </c>
      <c r="C571" s="26" t="s">
        <v>115</v>
      </c>
      <c r="D571" s="26" t="s">
        <v>122</v>
      </c>
      <c r="E571" s="26" t="s">
        <v>39</v>
      </c>
      <c r="F571" s="31" t="s">
        <v>18</v>
      </c>
      <c r="G571" s="69"/>
      <c r="H571" s="32" t="s">
        <v>40</v>
      </c>
      <c r="I571" s="32" t="s">
        <v>40</v>
      </c>
    </row>
    <row r="572" spans="1:9" ht="16.5" customHeight="1" x14ac:dyDescent="0.2">
      <c r="A572" s="26" t="s">
        <v>3874</v>
      </c>
      <c r="B572" s="26" t="s">
        <v>3875</v>
      </c>
      <c r="C572" s="53" t="s">
        <v>115</v>
      </c>
      <c r="D572" s="26" t="s">
        <v>122</v>
      </c>
      <c r="E572" s="26" t="s">
        <v>39</v>
      </c>
      <c r="F572" s="31" t="s">
        <v>18</v>
      </c>
      <c r="G572" s="31" t="s">
        <v>61</v>
      </c>
      <c r="H572" s="32"/>
      <c r="I572" s="32" t="s">
        <v>40</v>
      </c>
    </row>
    <row r="573" spans="1:9" ht="16.5" customHeight="1" x14ac:dyDescent="0.2">
      <c r="A573" s="26" t="s">
        <v>3874</v>
      </c>
      <c r="B573" s="26" t="s">
        <v>3875</v>
      </c>
      <c r="C573" s="26" t="s">
        <v>115</v>
      </c>
      <c r="D573" s="26" t="s">
        <v>122</v>
      </c>
      <c r="E573" s="26" t="s">
        <v>39</v>
      </c>
      <c r="F573" s="31" t="s">
        <v>18</v>
      </c>
      <c r="G573" s="31" t="s">
        <v>61</v>
      </c>
      <c r="H573" s="32"/>
      <c r="I573" s="32" t="s">
        <v>40</v>
      </c>
    </row>
    <row r="574" spans="1:9" ht="16.5" customHeight="1" x14ac:dyDescent="0.2">
      <c r="A574" s="26" t="s">
        <v>3874</v>
      </c>
      <c r="B574" s="26" t="s">
        <v>3875</v>
      </c>
      <c r="C574" s="26" t="s">
        <v>115</v>
      </c>
      <c r="D574" s="26" t="s">
        <v>122</v>
      </c>
      <c r="E574" s="26" t="s">
        <v>39</v>
      </c>
      <c r="F574" s="31" t="s">
        <v>18</v>
      </c>
      <c r="G574" s="31" t="s">
        <v>61</v>
      </c>
      <c r="H574" s="32"/>
      <c r="I574" s="32" t="s">
        <v>40</v>
      </c>
    </row>
    <row r="575" spans="1:9" ht="16.5" customHeight="1" x14ac:dyDescent="0.2">
      <c r="A575" s="26" t="s">
        <v>3876</v>
      </c>
      <c r="B575" s="26" t="s">
        <v>3877</v>
      </c>
      <c r="C575" s="26" t="s">
        <v>115</v>
      </c>
      <c r="D575" s="26" t="s">
        <v>122</v>
      </c>
      <c r="E575" s="26" t="s">
        <v>39</v>
      </c>
      <c r="F575" s="31" t="s">
        <v>18</v>
      </c>
      <c r="G575" s="31" t="s">
        <v>61</v>
      </c>
      <c r="H575" s="32"/>
      <c r="I575" s="32" t="s">
        <v>40</v>
      </c>
    </row>
    <row r="576" spans="1:9" ht="16.5" customHeight="1" x14ac:dyDescent="0.2">
      <c r="A576" s="26" t="s">
        <v>3876</v>
      </c>
      <c r="B576" s="26" t="s">
        <v>3877</v>
      </c>
      <c r="C576" s="26" t="s">
        <v>115</v>
      </c>
      <c r="D576" s="26" t="s">
        <v>122</v>
      </c>
      <c r="E576" s="26" t="s">
        <v>39</v>
      </c>
      <c r="F576" s="31" t="s">
        <v>18</v>
      </c>
      <c r="G576" s="31" t="s">
        <v>61</v>
      </c>
      <c r="H576" s="32"/>
      <c r="I576" s="32" t="s">
        <v>40</v>
      </c>
    </row>
    <row r="577" spans="1:9" ht="16.5" customHeight="1" x14ac:dyDescent="0.2">
      <c r="A577" s="26" t="s">
        <v>3876</v>
      </c>
      <c r="B577" s="26" t="s">
        <v>3877</v>
      </c>
      <c r="C577" s="26" t="s">
        <v>115</v>
      </c>
      <c r="D577" s="26" t="s">
        <v>122</v>
      </c>
      <c r="E577" s="26" t="s">
        <v>39</v>
      </c>
      <c r="F577" s="31" t="s">
        <v>18</v>
      </c>
      <c r="G577" s="31" t="s">
        <v>61</v>
      </c>
      <c r="H577" s="32"/>
      <c r="I577" s="32" t="s">
        <v>40</v>
      </c>
    </row>
    <row r="578" spans="1:9" ht="16.5" customHeight="1" x14ac:dyDescent="0.2">
      <c r="A578" s="26" t="s">
        <v>3878</v>
      </c>
      <c r="B578" s="26" t="s">
        <v>3879</v>
      </c>
      <c r="C578" s="26" t="s">
        <v>7</v>
      </c>
      <c r="D578" s="27" t="s">
        <v>16</v>
      </c>
      <c r="E578" s="26" t="s">
        <v>39</v>
      </c>
      <c r="F578" s="31" t="s">
        <v>18</v>
      </c>
      <c r="G578" s="31" t="s">
        <v>61</v>
      </c>
      <c r="H578" s="32"/>
      <c r="I578" s="32" t="s">
        <v>40</v>
      </c>
    </row>
    <row r="579" spans="1:9" ht="16.5" customHeight="1" x14ac:dyDescent="0.2">
      <c r="A579" s="26" t="s">
        <v>3878</v>
      </c>
      <c r="B579" s="26" t="s">
        <v>3879</v>
      </c>
      <c r="C579" s="26" t="s">
        <v>7</v>
      </c>
      <c r="D579" s="27" t="s">
        <v>16</v>
      </c>
      <c r="E579" s="26" t="s">
        <v>39</v>
      </c>
      <c r="F579" s="31" t="s">
        <v>18</v>
      </c>
      <c r="G579" s="31" t="s">
        <v>61</v>
      </c>
      <c r="H579" s="32"/>
      <c r="I579" s="32" t="s">
        <v>40</v>
      </c>
    </row>
    <row r="580" spans="1:9" ht="16.5" customHeight="1" x14ac:dyDescent="0.2">
      <c r="A580" s="26" t="s">
        <v>3880</v>
      </c>
      <c r="B580" s="26" t="s">
        <v>3881</v>
      </c>
      <c r="C580" s="66" t="s">
        <v>98</v>
      </c>
      <c r="D580" s="66" t="s">
        <v>110</v>
      </c>
      <c r="E580" s="66" t="s">
        <v>39</v>
      </c>
      <c r="F580" s="31" t="s">
        <v>18</v>
      </c>
      <c r="G580" s="67" t="s">
        <v>12</v>
      </c>
      <c r="H580" s="32" t="s">
        <v>40</v>
      </c>
      <c r="I580" s="32" t="s">
        <v>40</v>
      </c>
    </row>
    <row r="581" spans="1:9" ht="16.5" customHeight="1" x14ac:dyDescent="0.2">
      <c r="A581" s="35" t="s">
        <v>3882</v>
      </c>
      <c r="B581" s="35" t="s">
        <v>3883</v>
      </c>
      <c r="C581" s="26" t="s">
        <v>98</v>
      </c>
      <c r="D581" s="26" t="s">
        <v>113</v>
      </c>
      <c r="E581" s="26" t="s">
        <v>39</v>
      </c>
      <c r="F581" s="31" t="s">
        <v>18</v>
      </c>
      <c r="G581" s="31" t="s">
        <v>19</v>
      </c>
      <c r="H581" s="32"/>
      <c r="I581" s="32" t="s">
        <v>40</v>
      </c>
    </row>
    <row r="582" spans="1:9" ht="16.5" customHeight="1" x14ac:dyDescent="0.2">
      <c r="A582" s="26" t="s">
        <v>3884</v>
      </c>
      <c r="B582" s="26" t="s">
        <v>3885</v>
      </c>
      <c r="C582" s="66" t="s">
        <v>98</v>
      </c>
      <c r="D582" s="66" t="s">
        <v>110</v>
      </c>
      <c r="E582" s="66" t="s">
        <v>39</v>
      </c>
      <c r="F582" s="31" t="s">
        <v>18</v>
      </c>
      <c r="G582" s="67" t="s">
        <v>26</v>
      </c>
      <c r="H582" s="32" t="s">
        <v>40</v>
      </c>
      <c r="I582" s="32" t="s">
        <v>40</v>
      </c>
    </row>
    <row r="583" spans="1:9" ht="16.5" customHeight="1" x14ac:dyDescent="0.2">
      <c r="A583" s="26" t="s">
        <v>3886</v>
      </c>
      <c r="B583" s="26" t="s">
        <v>3887</v>
      </c>
      <c r="C583" s="26" t="s">
        <v>115</v>
      </c>
      <c r="D583" s="26" t="s">
        <v>122</v>
      </c>
      <c r="E583" s="26" t="s">
        <v>39</v>
      </c>
      <c r="F583" s="31" t="s">
        <v>11</v>
      </c>
      <c r="G583" s="31" t="s">
        <v>61</v>
      </c>
      <c r="H583" s="32"/>
      <c r="I583" s="32" t="s">
        <v>40</v>
      </c>
    </row>
    <row r="584" spans="1:9" ht="16.5" customHeight="1" x14ac:dyDescent="0.2">
      <c r="A584" s="27" t="s">
        <v>3886</v>
      </c>
      <c r="B584" s="26" t="s">
        <v>3887</v>
      </c>
      <c r="C584" s="26" t="s">
        <v>115</v>
      </c>
      <c r="D584" s="26" t="s">
        <v>122</v>
      </c>
      <c r="E584" s="27" t="s">
        <v>39</v>
      </c>
      <c r="F584" s="31" t="s">
        <v>11</v>
      </c>
      <c r="G584" s="31" t="s">
        <v>61</v>
      </c>
      <c r="H584" s="32"/>
      <c r="I584" s="32" t="s">
        <v>40</v>
      </c>
    </row>
    <row r="585" spans="1:9" ht="16.5" customHeight="1" x14ac:dyDescent="0.2">
      <c r="A585" s="26" t="s">
        <v>3886</v>
      </c>
      <c r="B585" s="26" t="s">
        <v>3887</v>
      </c>
      <c r="C585" s="26" t="s">
        <v>115</v>
      </c>
      <c r="D585" s="26" t="s">
        <v>122</v>
      </c>
      <c r="E585" s="26" t="s">
        <v>39</v>
      </c>
      <c r="F585" s="31" t="s">
        <v>11</v>
      </c>
      <c r="G585" s="31" t="s">
        <v>61</v>
      </c>
      <c r="H585" s="32"/>
      <c r="I585" s="32" t="s">
        <v>40</v>
      </c>
    </row>
    <row r="586" spans="1:9" ht="16.5" customHeight="1" x14ac:dyDescent="0.2">
      <c r="A586" s="26" t="s">
        <v>3886</v>
      </c>
      <c r="B586" s="26" t="s">
        <v>3887</v>
      </c>
      <c r="C586" s="26" t="s">
        <v>115</v>
      </c>
      <c r="D586" s="26" t="s">
        <v>122</v>
      </c>
      <c r="E586" s="26" t="s">
        <v>39</v>
      </c>
      <c r="F586" s="31" t="s">
        <v>11</v>
      </c>
      <c r="G586" s="31" t="s">
        <v>61</v>
      </c>
      <c r="H586" s="32"/>
      <c r="I586" s="32" t="s">
        <v>40</v>
      </c>
    </row>
    <row r="587" spans="1:9" ht="16.5" customHeight="1" x14ac:dyDescent="0.2">
      <c r="A587" s="26" t="s">
        <v>3886</v>
      </c>
      <c r="B587" s="26" t="s">
        <v>3887</v>
      </c>
      <c r="C587" s="26" t="s">
        <v>115</v>
      </c>
      <c r="D587" s="26" t="s">
        <v>122</v>
      </c>
      <c r="E587" s="26" t="s">
        <v>39</v>
      </c>
      <c r="F587" s="31" t="s">
        <v>11</v>
      </c>
      <c r="G587" s="31" t="s">
        <v>61</v>
      </c>
      <c r="H587" s="32"/>
      <c r="I587" s="32" t="s">
        <v>40</v>
      </c>
    </row>
    <row r="588" spans="1:9" ht="16.5" customHeight="1" x14ac:dyDescent="0.2">
      <c r="A588" s="26" t="s">
        <v>3886</v>
      </c>
      <c r="B588" s="26" t="s">
        <v>3887</v>
      </c>
      <c r="C588" s="26" t="s">
        <v>115</v>
      </c>
      <c r="D588" s="26" t="s">
        <v>122</v>
      </c>
      <c r="E588" s="26" t="s">
        <v>39</v>
      </c>
      <c r="F588" s="31" t="s">
        <v>11</v>
      </c>
      <c r="G588" s="31" t="s">
        <v>61</v>
      </c>
      <c r="H588" s="32"/>
      <c r="I588" s="32" t="s">
        <v>40</v>
      </c>
    </row>
    <row r="589" spans="1:9" ht="16.5" customHeight="1" x14ac:dyDescent="0.2">
      <c r="A589" s="26" t="s">
        <v>3886</v>
      </c>
      <c r="B589" s="26" t="s">
        <v>3887</v>
      </c>
      <c r="C589" s="26" t="s">
        <v>115</v>
      </c>
      <c r="D589" s="26" t="s">
        <v>122</v>
      </c>
      <c r="E589" s="26" t="s">
        <v>39</v>
      </c>
      <c r="F589" s="31" t="s">
        <v>11</v>
      </c>
      <c r="G589" s="31" t="s">
        <v>61</v>
      </c>
      <c r="H589" s="32"/>
      <c r="I589" s="32" t="s">
        <v>40</v>
      </c>
    </row>
    <row r="590" spans="1:9" ht="16.5" customHeight="1" x14ac:dyDescent="0.2">
      <c r="A590" s="26" t="s">
        <v>3886</v>
      </c>
      <c r="B590" s="26" t="s">
        <v>3887</v>
      </c>
      <c r="C590" s="26" t="s">
        <v>115</v>
      </c>
      <c r="D590" s="26" t="s">
        <v>122</v>
      </c>
      <c r="E590" s="26" t="s">
        <v>39</v>
      </c>
      <c r="F590" s="31" t="s">
        <v>11</v>
      </c>
      <c r="G590" s="31" t="s">
        <v>61</v>
      </c>
      <c r="H590" s="32"/>
      <c r="I590" s="32" t="s">
        <v>40</v>
      </c>
    </row>
    <row r="591" spans="1:9" ht="16.5" customHeight="1" x14ac:dyDescent="0.2">
      <c r="A591" s="26" t="s">
        <v>3886</v>
      </c>
      <c r="B591" s="26" t="s">
        <v>3887</v>
      </c>
      <c r="C591" s="26" t="s">
        <v>115</v>
      </c>
      <c r="D591" s="26" t="s">
        <v>122</v>
      </c>
      <c r="E591" s="26" t="s">
        <v>39</v>
      </c>
      <c r="F591" s="31" t="s">
        <v>11</v>
      </c>
      <c r="G591" s="31" t="s">
        <v>61</v>
      </c>
      <c r="H591" s="32"/>
      <c r="I591" s="32" t="s">
        <v>40</v>
      </c>
    </row>
    <row r="592" spans="1:9" ht="16.5" customHeight="1" x14ac:dyDescent="0.2">
      <c r="A592" s="35" t="s">
        <v>3888</v>
      </c>
      <c r="B592" s="35" t="s">
        <v>3889</v>
      </c>
      <c r="C592" s="35" t="s">
        <v>7</v>
      </c>
      <c r="D592" s="35" t="s">
        <v>8</v>
      </c>
      <c r="E592" s="35" t="s">
        <v>39</v>
      </c>
      <c r="F592" s="52" t="s">
        <v>18</v>
      </c>
      <c r="G592" s="30" t="s">
        <v>41</v>
      </c>
      <c r="H592" s="55"/>
      <c r="I592" s="32" t="s">
        <v>40</v>
      </c>
    </row>
    <row r="593" spans="1:9" ht="16.5" customHeight="1" x14ac:dyDescent="0.2">
      <c r="A593" s="26" t="s">
        <v>3890</v>
      </c>
      <c r="B593" s="26" t="s">
        <v>3891</v>
      </c>
      <c r="C593" s="26" t="s">
        <v>98</v>
      </c>
      <c r="D593" s="26" t="s">
        <v>107</v>
      </c>
      <c r="E593" s="26" t="s">
        <v>39</v>
      </c>
      <c r="F593" s="31" t="s">
        <v>18</v>
      </c>
      <c r="G593" s="31" t="s">
        <v>12</v>
      </c>
      <c r="H593" s="32"/>
      <c r="I593" s="32" t="s">
        <v>40</v>
      </c>
    </row>
    <row r="594" spans="1:9" ht="16.5" customHeight="1" x14ac:dyDescent="0.2">
      <c r="A594" s="26" t="s">
        <v>3890</v>
      </c>
      <c r="B594" s="26" t="s">
        <v>3891</v>
      </c>
      <c r="C594" s="26" t="s">
        <v>98</v>
      </c>
      <c r="D594" s="26" t="s">
        <v>107</v>
      </c>
      <c r="E594" s="26" t="s">
        <v>39</v>
      </c>
      <c r="F594" s="31" t="s">
        <v>18</v>
      </c>
      <c r="G594" s="31" t="s">
        <v>12</v>
      </c>
      <c r="H594" s="32"/>
      <c r="I594" s="32" t="s">
        <v>40</v>
      </c>
    </row>
    <row r="595" spans="1:9" ht="16.5" customHeight="1" x14ac:dyDescent="0.2">
      <c r="A595" s="26" t="s">
        <v>3892</v>
      </c>
      <c r="B595" s="26" t="s">
        <v>3893</v>
      </c>
      <c r="C595" s="26" t="s">
        <v>7</v>
      </c>
      <c r="D595" s="26" t="s">
        <v>16</v>
      </c>
      <c r="E595" s="26" t="s">
        <v>39</v>
      </c>
      <c r="F595" s="31" t="s">
        <v>18</v>
      </c>
      <c r="G595" s="31" t="s">
        <v>61</v>
      </c>
      <c r="H595" s="32"/>
      <c r="I595" s="32" t="s">
        <v>40</v>
      </c>
    </row>
    <row r="596" spans="1:9" ht="16.5" customHeight="1" x14ac:dyDescent="0.25">
      <c r="A596" s="35" t="s">
        <v>3894</v>
      </c>
      <c r="B596" s="76" t="s">
        <v>3895</v>
      </c>
      <c r="C596" s="76" t="s">
        <v>64</v>
      </c>
      <c r="D596" s="35" t="s">
        <v>86</v>
      </c>
      <c r="E596" s="76" t="s">
        <v>39</v>
      </c>
      <c r="F596" s="76" t="s">
        <v>18</v>
      </c>
      <c r="G596" s="35" t="s">
        <v>61</v>
      </c>
      <c r="H596" s="95"/>
      <c r="I596" s="32" t="s">
        <v>40</v>
      </c>
    </row>
    <row r="597" spans="1:9" ht="16.5" customHeight="1" x14ac:dyDescent="0.25">
      <c r="A597" s="35" t="s">
        <v>3896</v>
      </c>
      <c r="B597" s="76" t="s">
        <v>3897</v>
      </c>
      <c r="C597" s="76" t="s">
        <v>64</v>
      </c>
      <c r="D597" s="35" t="s">
        <v>86</v>
      </c>
      <c r="E597" s="76" t="s">
        <v>39</v>
      </c>
      <c r="F597" s="76" t="s">
        <v>18</v>
      </c>
      <c r="G597" s="35" t="s">
        <v>72</v>
      </c>
      <c r="H597" s="95"/>
      <c r="I597" s="32" t="s">
        <v>40</v>
      </c>
    </row>
    <row r="598" spans="1:9" ht="16.5" customHeight="1" x14ac:dyDescent="0.25">
      <c r="A598" s="35" t="s">
        <v>3898</v>
      </c>
      <c r="B598" s="76" t="s">
        <v>3899</v>
      </c>
      <c r="C598" s="76" t="s">
        <v>64</v>
      </c>
      <c r="D598" s="35" t="s">
        <v>86</v>
      </c>
      <c r="E598" s="76" t="s">
        <v>39</v>
      </c>
      <c r="F598" s="76" t="s">
        <v>18</v>
      </c>
      <c r="G598" s="35" t="s">
        <v>72</v>
      </c>
      <c r="H598" s="95"/>
      <c r="I598" s="32" t="s">
        <v>40</v>
      </c>
    </row>
    <row r="599" spans="1:9" ht="16.5" customHeight="1" x14ac:dyDescent="0.25">
      <c r="A599" s="35" t="s">
        <v>3898</v>
      </c>
      <c r="B599" s="76" t="s">
        <v>5466</v>
      </c>
      <c r="C599" s="76" t="s">
        <v>64</v>
      </c>
      <c r="D599" s="35" t="s">
        <v>86</v>
      </c>
      <c r="E599" s="76" t="s">
        <v>39</v>
      </c>
      <c r="F599" s="76" t="s">
        <v>18</v>
      </c>
      <c r="G599" s="35" t="s">
        <v>41</v>
      </c>
      <c r="H599" s="95"/>
      <c r="I599" s="32" t="s">
        <v>40</v>
      </c>
    </row>
    <row r="600" spans="1:9" ht="16.5" customHeight="1" x14ac:dyDescent="0.2">
      <c r="A600" s="35" t="s">
        <v>3900</v>
      </c>
      <c r="B600" s="35" t="s">
        <v>3901</v>
      </c>
      <c r="C600" s="35" t="s">
        <v>115</v>
      </c>
      <c r="D600" s="35" t="s">
        <v>119</v>
      </c>
      <c r="E600" s="35" t="s">
        <v>114</v>
      </c>
      <c r="F600" s="52" t="s">
        <v>18</v>
      </c>
      <c r="G600" s="30" t="s">
        <v>61</v>
      </c>
      <c r="H600" s="30"/>
      <c r="I600" s="32" t="s">
        <v>10</v>
      </c>
    </row>
    <row r="601" spans="1:9" ht="16.5" customHeight="1" x14ac:dyDescent="0.2">
      <c r="A601" s="35" t="s">
        <v>3900</v>
      </c>
      <c r="B601" s="35" t="s">
        <v>3901</v>
      </c>
      <c r="C601" s="35" t="s">
        <v>115</v>
      </c>
      <c r="D601" s="35" t="s">
        <v>119</v>
      </c>
      <c r="E601" s="35" t="s">
        <v>114</v>
      </c>
      <c r="F601" s="52" t="s">
        <v>18</v>
      </c>
      <c r="G601" s="30" t="s">
        <v>61</v>
      </c>
      <c r="H601" s="30" t="s">
        <v>5226</v>
      </c>
      <c r="I601" s="32" t="s">
        <v>10</v>
      </c>
    </row>
    <row r="602" spans="1:9" ht="16.5" customHeight="1" x14ac:dyDescent="0.2">
      <c r="A602" s="26" t="s">
        <v>3902</v>
      </c>
      <c r="B602" s="26" t="s">
        <v>3903</v>
      </c>
      <c r="C602" s="26" t="s">
        <v>37</v>
      </c>
      <c r="D602" s="26" t="s">
        <v>45</v>
      </c>
      <c r="E602" s="26" t="s">
        <v>138</v>
      </c>
      <c r="F602" s="31" t="s">
        <v>18</v>
      </c>
      <c r="G602" s="31" t="s">
        <v>72</v>
      </c>
      <c r="H602" s="31" t="s">
        <v>3600</v>
      </c>
      <c r="I602" s="32" t="s">
        <v>10</v>
      </c>
    </row>
    <row r="603" spans="1:9" ht="16.5" customHeight="1" x14ac:dyDescent="0.25">
      <c r="A603" s="35" t="s">
        <v>3904</v>
      </c>
      <c r="B603" s="76" t="s">
        <v>3905</v>
      </c>
      <c r="C603" s="76" t="s">
        <v>64</v>
      </c>
      <c r="D603" s="35" t="s">
        <v>86</v>
      </c>
      <c r="E603" s="76" t="s">
        <v>114</v>
      </c>
      <c r="F603" s="76" t="s">
        <v>25</v>
      </c>
      <c r="G603" s="35" t="s">
        <v>72</v>
      </c>
      <c r="H603" s="95"/>
      <c r="I603" s="32" t="s">
        <v>10</v>
      </c>
    </row>
    <row r="604" spans="1:9" ht="16.5" customHeight="1" x14ac:dyDescent="0.2">
      <c r="A604" s="26" t="s">
        <v>3906</v>
      </c>
      <c r="B604" s="26" t="s">
        <v>3907</v>
      </c>
      <c r="C604" s="26" t="s">
        <v>115</v>
      </c>
      <c r="D604" s="26" t="s">
        <v>122</v>
      </c>
      <c r="E604" s="26" t="s">
        <v>129</v>
      </c>
      <c r="F604" s="31" t="s">
        <v>18</v>
      </c>
      <c r="G604" s="31" t="s">
        <v>61</v>
      </c>
      <c r="H604" s="32"/>
      <c r="I604" s="32" t="s">
        <v>10</v>
      </c>
    </row>
    <row r="605" spans="1:9" ht="16.5" customHeight="1" x14ac:dyDescent="0.2">
      <c r="A605" s="35" t="s">
        <v>3908</v>
      </c>
      <c r="B605" s="35" t="s">
        <v>3909</v>
      </c>
      <c r="C605" s="35" t="s">
        <v>115</v>
      </c>
      <c r="D605" s="35" t="s">
        <v>119</v>
      </c>
      <c r="E605" s="35" t="s">
        <v>114</v>
      </c>
      <c r="F605" s="52" t="s">
        <v>25</v>
      </c>
      <c r="G605" s="52" t="s">
        <v>61</v>
      </c>
      <c r="H605" s="30"/>
      <c r="I605" s="32" t="s">
        <v>10</v>
      </c>
    </row>
    <row r="606" spans="1:9" ht="16.5" customHeight="1" x14ac:dyDescent="0.2">
      <c r="A606" s="26" t="s">
        <v>3910</v>
      </c>
      <c r="B606" s="26" t="s">
        <v>3911</v>
      </c>
      <c r="C606" s="26" t="s">
        <v>115</v>
      </c>
      <c r="D606" s="26" t="s">
        <v>122</v>
      </c>
      <c r="E606" s="26" t="s">
        <v>108</v>
      </c>
      <c r="F606" s="31" t="s">
        <v>25</v>
      </c>
      <c r="G606" s="31" t="s">
        <v>61</v>
      </c>
      <c r="H606" s="31"/>
      <c r="I606" s="32" t="s">
        <v>10</v>
      </c>
    </row>
    <row r="607" spans="1:9" ht="16.5" customHeight="1" x14ac:dyDescent="0.2">
      <c r="A607" s="26" t="s">
        <v>3910</v>
      </c>
      <c r="B607" s="26" t="s">
        <v>3911</v>
      </c>
      <c r="C607" s="26" t="s">
        <v>115</v>
      </c>
      <c r="D607" s="26" t="s">
        <v>122</v>
      </c>
      <c r="E607" s="26" t="s">
        <v>108</v>
      </c>
      <c r="F607" s="31" t="s">
        <v>25</v>
      </c>
      <c r="G607" s="31" t="s">
        <v>61</v>
      </c>
      <c r="H607" s="32"/>
      <c r="I607" s="32" t="s">
        <v>10</v>
      </c>
    </row>
    <row r="608" spans="1:9" ht="16.5" customHeight="1" x14ac:dyDescent="0.2">
      <c r="A608" s="25" t="s">
        <v>3910</v>
      </c>
      <c r="B608" s="26" t="s">
        <v>3911</v>
      </c>
      <c r="C608" s="26" t="s">
        <v>115</v>
      </c>
      <c r="D608" s="26" t="s">
        <v>122</v>
      </c>
      <c r="E608" s="26" t="s">
        <v>108</v>
      </c>
      <c r="F608" s="31" t="s">
        <v>25</v>
      </c>
      <c r="G608" s="31" t="s">
        <v>61</v>
      </c>
      <c r="H608" s="32"/>
      <c r="I608" s="32" t="s">
        <v>10</v>
      </c>
    </row>
    <row r="609" spans="1:9" ht="16.5" customHeight="1" x14ac:dyDescent="0.2">
      <c r="A609" s="26" t="s">
        <v>3910</v>
      </c>
      <c r="B609" s="26" t="s">
        <v>3911</v>
      </c>
      <c r="C609" s="26" t="s">
        <v>115</v>
      </c>
      <c r="D609" s="26" t="s">
        <v>122</v>
      </c>
      <c r="E609" s="26" t="s">
        <v>108</v>
      </c>
      <c r="F609" s="31" t="s">
        <v>25</v>
      </c>
      <c r="G609" s="31" t="s">
        <v>61</v>
      </c>
      <c r="H609" s="32"/>
      <c r="I609" s="32" t="s">
        <v>10</v>
      </c>
    </row>
    <row r="610" spans="1:9" ht="16.5" customHeight="1" x14ac:dyDescent="0.2">
      <c r="A610" s="35" t="s">
        <v>3912</v>
      </c>
      <c r="B610" s="35" t="s">
        <v>3913</v>
      </c>
      <c r="C610" s="35" t="s">
        <v>115</v>
      </c>
      <c r="D610" s="35" t="s">
        <v>119</v>
      </c>
      <c r="E610" s="35" t="s">
        <v>114</v>
      </c>
      <c r="F610" s="52" t="s">
        <v>25</v>
      </c>
      <c r="G610" s="30" t="s">
        <v>72</v>
      </c>
      <c r="H610" s="55"/>
      <c r="I610" s="32" t="s">
        <v>10</v>
      </c>
    </row>
    <row r="611" spans="1:9" ht="16.5" customHeight="1" x14ac:dyDescent="0.2">
      <c r="A611" s="35" t="s">
        <v>3914</v>
      </c>
      <c r="B611" s="35" t="s">
        <v>5208</v>
      </c>
      <c r="C611" s="35" t="s">
        <v>7</v>
      </c>
      <c r="D611" s="35" t="s">
        <v>8</v>
      </c>
      <c r="E611" s="35" t="s">
        <v>87</v>
      </c>
      <c r="F611" s="52" t="s">
        <v>18</v>
      </c>
      <c r="G611" s="30" t="s">
        <v>61</v>
      </c>
      <c r="H611" s="55"/>
      <c r="I611" s="32" t="s">
        <v>10</v>
      </c>
    </row>
    <row r="612" spans="1:9" ht="16.5" customHeight="1" x14ac:dyDescent="0.2">
      <c r="A612" s="26" t="s">
        <v>3916</v>
      </c>
      <c r="B612" s="26" t="s">
        <v>3917</v>
      </c>
      <c r="C612" s="66" t="s">
        <v>98</v>
      </c>
      <c r="D612" s="66" t="s">
        <v>110</v>
      </c>
      <c r="E612" s="66" t="s">
        <v>108</v>
      </c>
      <c r="F612" s="31" t="s">
        <v>18</v>
      </c>
      <c r="G612" s="67" t="s">
        <v>41</v>
      </c>
      <c r="H612" s="32" t="s">
        <v>10</v>
      </c>
      <c r="I612" s="32" t="s">
        <v>10</v>
      </c>
    </row>
    <row r="613" spans="1:9" ht="16.5" customHeight="1" x14ac:dyDescent="0.2">
      <c r="A613" s="26" t="s">
        <v>3918</v>
      </c>
      <c r="B613" s="26" t="s">
        <v>3919</v>
      </c>
      <c r="C613" s="26" t="s">
        <v>98</v>
      </c>
      <c r="D613" s="26" t="s">
        <v>105</v>
      </c>
      <c r="E613" s="26" t="s">
        <v>114</v>
      </c>
      <c r="F613" s="31" t="s">
        <v>25</v>
      </c>
      <c r="G613" s="31" t="s">
        <v>61</v>
      </c>
      <c r="H613" s="32"/>
      <c r="I613" s="32" t="s">
        <v>10</v>
      </c>
    </row>
    <row r="614" spans="1:9" ht="16.5" customHeight="1" x14ac:dyDescent="0.2">
      <c r="A614" s="26" t="s">
        <v>3920</v>
      </c>
      <c r="B614" s="26" t="s">
        <v>3921</v>
      </c>
      <c r="C614" s="26" t="s">
        <v>115</v>
      </c>
      <c r="D614" s="27" t="s">
        <v>116</v>
      </c>
      <c r="E614" s="27" t="s">
        <v>108</v>
      </c>
      <c r="F614" s="31" t="s">
        <v>18</v>
      </c>
      <c r="G614" s="31" t="s">
        <v>61</v>
      </c>
      <c r="H614" s="31"/>
      <c r="I614" s="32" t="s">
        <v>10</v>
      </c>
    </row>
    <row r="615" spans="1:9" ht="16.5" customHeight="1" x14ac:dyDescent="0.2">
      <c r="A615" s="26" t="s">
        <v>3922</v>
      </c>
      <c r="B615" s="26" t="s">
        <v>3923</v>
      </c>
      <c r="C615" s="66" t="s">
        <v>98</v>
      </c>
      <c r="D615" s="66" t="s">
        <v>110</v>
      </c>
      <c r="E615" s="66" t="s">
        <v>87</v>
      </c>
      <c r="F615" s="31" t="s">
        <v>25</v>
      </c>
      <c r="G615" s="67" t="s">
        <v>41</v>
      </c>
      <c r="H615" s="32" t="s">
        <v>10</v>
      </c>
      <c r="I615" s="32" t="s">
        <v>10</v>
      </c>
    </row>
    <row r="616" spans="1:9" ht="16.5" customHeight="1" x14ac:dyDescent="0.2">
      <c r="A616" s="26" t="s">
        <v>3922</v>
      </c>
      <c r="B616" s="26" t="s">
        <v>3923</v>
      </c>
      <c r="C616" s="66" t="s">
        <v>98</v>
      </c>
      <c r="D616" s="66" t="s">
        <v>110</v>
      </c>
      <c r="E616" s="66" t="s">
        <v>87</v>
      </c>
      <c r="F616" s="31" t="s">
        <v>25</v>
      </c>
      <c r="G616" s="67" t="s">
        <v>41</v>
      </c>
      <c r="H616" s="32" t="s">
        <v>10</v>
      </c>
      <c r="I616" s="32" t="s">
        <v>10</v>
      </c>
    </row>
    <row r="617" spans="1:9" ht="16.5" customHeight="1" x14ac:dyDescent="0.2">
      <c r="A617" s="26" t="s">
        <v>3924</v>
      </c>
      <c r="B617" s="26" t="s">
        <v>3925</v>
      </c>
      <c r="C617" s="26" t="s">
        <v>98</v>
      </c>
      <c r="D617" s="26" t="s">
        <v>107</v>
      </c>
      <c r="E617" s="26" t="s">
        <v>87</v>
      </c>
      <c r="F617" s="31" t="s">
        <v>18</v>
      </c>
      <c r="G617" s="31" t="s">
        <v>41</v>
      </c>
      <c r="H617" s="32"/>
      <c r="I617" s="32" t="s">
        <v>10</v>
      </c>
    </row>
    <row r="618" spans="1:9" ht="16.5" customHeight="1" x14ac:dyDescent="0.2">
      <c r="A618" s="26" t="s">
        <v>3926</v>
      </c>
      <c r="B618" s="26" t="s">
        <v>3927</v>
      </c>
      <c r="C618" s="26" t="s">
        <v>136</v>
      </c>
      <c r="D618" s="26" t="s">
        <v>137</v>
      </c>
      <c r="E618" s="26" t="s">
        <v>141</v>
      </c>
      <c r="F618" s="31" t="s">
        <v>25</v>
      </c>
      <c r="G618" s="31" t="s">
        <v>41</v>
      </c>
      <c r="H618" s="32"/>
      <c r="I618" s="32" t="s">
        <v>10</v>
      </c>
    </row>
    <row r="619" spans="1:9" ht="16.5" customHeight="1" x14ac:dyDescent="0.2">
      <c r="A619" s="26" t="s">
        <v>3928</v>
      </c>
      <c r="B619" s="26" t="s">
        <v>3929</v>
      </c>
      <c r="C619" s="66" t="s">
        <v>37</v>
      </c>
      <c r="D619" s="27" t="s">
        <v>38</v>
      </c>
      <c r="E619" s="27" t="s">
        <v>87</v>
      </c>
      <c r="F619" s="31" t="s">
        <v>25</v>
      </c>
      <c r="G619" s="31" t="s">
        <v>72</v>
      </c>
      <c r="H619" s="32"/>
      <c r="I619" s="32" t="s">
        <v>10</v>
      </c>
    </row>
    <row r="620" spans="1:9" ht="16.5" customHeight="1" x14ac:dyDescent="0.2">
      <c r="A620" s="26" t="s">
        <v>3928</v>
      </c>
      <c r="B620" s="26" t="s">
        <v>3929</v>
      </c>
      <c r="C620" s="66" t="s">
        <v>37</v>
      </c>
      <c r="D620" s="27" t="s">
        <v>38</v>
      </c>
      <c r="E620" s="27" t="s">
        <v>87</v>
      </c>
      <c r="F620" s="31" t="s">
        <v>25</v>
      </c>
      <c r="G620" s="31" t="s">
        <v>72</v>
      </c>
      <c r="H620" s="32"/>
      <c r="I620" s="32" t="s">
        <v>10</v>
      </c>
    </row>
    <row r="621" spans="1:9" ht="16.5" customHeight="1" x14ac:dyDescent="0.2">
      <c r="A621" s="26" t="s">
        <v>3928</v>
      </c>
      <c r="B621" s="26" t="s">
        <v>3929</v>
      </c>
      <c r="C621" s="66" t="s">
        <v>37</v>
      </c>
      <c r="D621" s="27" t="s">
        <v>38</v>
      </c>
      <c r="E621" s="27" t="s">
        <v>87</v>
      </c>
      <c r="F621" s="31" t="s">
        <v>25</v>
      </c>
      <c r="G621" s="31" t="s">
        <v>72</v>
      </c>
      <c r="H621" s="32"/>
      <c r="I621" s="32" t="s">
        <v>10</v>
      </c>
    </row>
    <row r="622" spans="1:9" ht="16.5" customHeight="1" x14ac:dyDescent="0.2">
      <c r="A622" s="26" t="s">
        <v>3930</v>
      </c>
      <c r="B622" s="26" t="s">
        <v>3931</v>
      </c>
      <c r="C622" s="26" t="s">
        <v>136</v>
      </c>
      <c r="D622" s="26" t="s">
        <v>137</v>
      </c>
      <c r="E622" s="26" t="s">
        <v>87</v>
      </c>
      <c r="F622" s="31" t="s">
        <v>32</v>
      </c>
      <c r="G622" s="31" t="s">
        <v>41</v>
      </c>
      <c r="H622" s="31" t="s">
        <v>3932</v>
      </c>
      <c r="I622" s="32" t="s">
        <v>10</v>
      </c>
    </row>
    <row r="623" spans="1:9" ht="16.5" customHeight="1" x14ac:dyDescent="0.2">
      <c r="A623" s="26" t="s">
        <v>3933</v>
      </c>
      <c r="B623" s="70" t="s">
        <v>3934</v>
      </c>
      <c r="C623" s="66" t="s">
        <v>136</v>
      </c>
      <c r="D623" s="27" t="s">
        <v>137</v>
      </c>
      <c r="E623" s="26" t="s">
        <v>135</v>
      </c>
      <c r="F623" s="31" t="s">
        <v>18</v>
      </c>
      <c r="G623" s="27" t="s">
        <v>41</v>
      </c>
      <c r="H623" s="32"/>
      <c r="I623" s="32" t="s">
        <v>10</v>
      </c>
    </row>
    <row r="624" spans="1:9" ht="16.5" customHeight="1" x14ac:dyDescent="0.2">
      <c r="A624" s="26" t="s">
        <v>3933</v>
      </c>
      <c r="B624" s="70" t="s">
        <v>3934</v>
      </c>
      <c r="C624" s="66" t="s">
        <v>136</v>
      </c>
      <c r="D624" s="27" t="s">
        <v>137</v>
      </c>
      <c r="E624" s="26" t="s">
        <v>135</v>
      </c>
      <c r="F624" s="31" t="s">
        <v>18</v>
      </c>
      <c r="G624" s="27" t="s">
        <v>41</v>
      </c>
      <c r="H624" s="32"/>
      <c r="I624" s="32" t="s">
        <v>10</v>
      </c>
    </row>
    <row r="625" spans="1:9" ht="16.5" customHeight="1" x14ac:dyDescent="0.2">
      <c r="A625" s="54" t="s">
        <v>3935</v>
      </c>
      <c r="B625" s="35" t="s">
        <v>3936</v>
      </c>
      <c r="C625" s="35" t="s">
        <v>64</v>
      </c>
      <c r="D625" s="35" t="s">
        <v>82</v>
      </c>
      <c r="E625" s="35" t="s">
        <v>135</v>
      </c>
      <c r="F625" s="52" t="s">
        <v>18</v>
      </c>
      <c r="G625" s="31" t="s">
        <v>61</v>
      </c>
      <c r="H625" s="32"/>
      <c r="I625" s="32" t="s">
        <v>10</v>
      </c>
    </row>
    <row r="626" spans="1:9" ht="16.5" customHeight="1" x14ac:dyDescent="0.2">
      <c r="A626" s="54" t="s">
        <v>3935</v>
      </c>
      <c r="B626" s="35" t="s">
        <v>3936</v>
      </c>
      <c r="C626" s="35" t="s">
        <v>64</v>
      </c>
      <c r="D626" s="35" t="s">
        <v>82</v>
      </c>
      <c r="E626" s="35" t="s">
        <v>135</v>
      </c>
      <c r="F626" s="52" t="s">
        <v>18</v>
      </c>
      <c r="G626" s="31" t="s">
        <v>61</v>
      </c>
      <c r="H626" s="32"/>
      <c r="I626" s="32" t="s">
        <v>10</v>
      </c>
    </row>
    <row r="627" spans="1:9" ht="16.5" customHeight="1" x14ac:dyDescent="0.2">
      <c r="A627" s="26" t="s">
        <v>3937</v>
      </c>
      <c r="B627" s="26" t="s">
        <v>3938</v>
      </c>
      <c r="C627" s="66" t="s">
        <v>37</v>
      </c>
      <c r="D627" s="27" t="s">
        <v>38</v>
      </c>
      <c r="E627" s="27" t="s">
        <v>129</v>
      </c>
      <c r="F627" s="31" t="s">
        <v>18</v>
      </c>
      <c r="G627" s="31" t="s">
        <v>61</v>
      </c>
      <c r="H627" s="32"/>
      <c r="I627" s="32" t="s">
        <v>10</v>
      </c>
    </row>
    <row r="628" spans="1:9" ht="16.5" customHeight="1" x14ac:dyDescent="0.2">
      <c r="A628" s="26" t="s">
        <v>3939</v>
      </c>
      <c r="B628" s="26" t="s">
        <v>3940</v>
      </c>
      <c r="C628" s="26" t="s">
        <v>98</v>
      </c>
      <c r="D628" s="26" t="s">
        <v>102</v>
      </c>
      <c r="E628" s="26" t="s">
        <v>108</v>
      </c>
      <c r="F628" s="31" t="s">
        <v>25</v>
      </c>
      <c r="G628" s="31" t="s">
        <v>41</v>
      </c>
      <c r="H628" s="43"/>
      <c r="I628" s="32" t="s">
        <v>10</v>
      </c>
    </row>
    <row r="629" spans="1:9" ht="16.5" customHeight="1" x14ac:dyDescent="0.2">
      <c r="A629" s="26" t="s">
        <v>3941</v>
      </c>
      <c r="B629" s="26" t="s">
        <v>3942</v>
      </c>
      <c r="C629" s="26" t="s">
        <v>136</v>
      </c>
      <c r="D629" s="26" t="s">
        <v>137</v>
      </c>
      <c r="E629" s="26" t="s">
        <v>108</v>
      </c>
      <c r="F629" s="31" t="s">
        <v>25</v>
      </c>
      <c r="G629" s="32"/>
      <c r="H629" s="31" t="s">
        <v>3289</v>
      </c>
      <c r="I629" s="32" t="s">
        <v>10</v>
      </c>
    </row>
    <row r="630" spans="1:9" ht="16.5" customHeight="1" x14ac:dyDescent="0.2">
      <c r="A630" s="26" t="s">
        <v>3943</v>
      </c>
      <c r="B630" s="26" t="s">
        <v>3944</v>
      </c>
      <c r="C630" s="66" t="s">
        <v>136</v>
      </c>
      <c r="D630" s="27" t="s">
        <v>137</v>
      </c>
      <c r="E630" s="27" t="s">
        <v>108</v>
      </c>
      <c r="F630" s="31" t="s">
        <v>18</v>
      </c>
      <c r="G630" s="27" t="s">
        <v>61</v>
      </c>
      <c r="H630" s="51"/>
      <c r="I630" s="32" t="s">
        <v>10</v>
      </c>
    </row>
    <row r="631" spans="1:9" ht="16.5" customHeight="1" x14ac:dyDescent="0.2">
      <c r="A631" s="26" t="s">
        <v>3945</v>
      </c>
      <c r="B631" s="26" t="s">
        <v>3946</v>
      </c>
      <c r="C631" s="26" t="s">
        <v>37</v>
      </c>
      <c r="D631" s="27" t="s">
        <v>38</v>
      </c>
      <c r="E631" s="27" t="s">
        <v>87</v>
      </c>
      <c r="F631" s="31" t="s">
        <v>18</v>
      </c>
      <c r="G631" s="31" t="s">
        <v>41</v>
      </c>
      <c r="H631" s="32"/>
      <c r="I631" s="32" t="s">
        <v>10</v>
      </c>
    </row>
    <row r="632" spans="1:9" ht="16.5" customHeight="1" x14ac:dyDescent="0.2">
      <c r="A632" s="35" t="s">
        <v>3947</v>
      </c>
      <c r="B632" s="35" t="s">
        <v>3948</v>
      </c>
      <c r="C632" s="35" t="s">
        <v>115</v>
      </c>
      <c r="D632" s="35" t="s">
        <v>119</v>
      </c>
      <c r="E632" s="35" t="s">
        <v>135</v>
      </c>
      <c r="F632" s="52" t="s">
        <v>11</v>
      </c>
      <c r="G632" s="30" t="s">
        <v>61</v>
      </c>
      <c r="H632" s="30"/>
      <c r="I632" s="32" t="s">
        <v>10</v>
      </c>
    </row>
    <row r="633" spans="1:9" ht="16.5" customHeight="1" x14ac:dyDescent="0.2">
      <c r="A633" s="26" t="s">
        <v>3949</v>
      </c>
      <c r="B633" s="26" t="s">
        <v>3950</v>
      </c>
      <c r="C633" s="26" t="s">
        <v>37</v>
      </c>
      <c r="D633" s="26" t="s">
        <v>45</v>
      </c>
      <c r="E633" s="26" t="s">
        <v>138</v>
      </c>
      <c r="F633" s="31" t="s">
        <v>11</v>
      </c>
      <c r="G633" s="31" t="s">
        <v>72</v>
      </c>
      <c r="H633" s="43" t="s">
        <v>3375</v>
      </c>
      <c r="I633" s="32" t="s">
        <v>10</v>
      </c>
    </row>
    <row r="634" spans="1:9" ht="16.5" customHeight="1" x14ac:dyDescent="0.2">
      <c r="A634" s="26" t="s">
        <v>3949</v>
      </c>
      <c r="B634" s="26" t="s">
        <v>3950</v>
      </c>
      <c r="C634" s="26" t="s">
        <v>37</v>
      </c>
      <c r="D634" s="26" t="s">
        <v>45</v>
      </c>
      <c r="E634" s="26" t="s">
        <v>138</v>
      </c>
      <c r="F634" s="31" t="s">
        <v>11</v>
      </c>
      <c r="G634" s="31" t="s">
        <v>72</v>
      </c>
      <c r="H634" s="43" t="s">
        <v>3375</v>
      </c>
      <c r="I634" s="32" t="s">
        <v>10</v>
      </c>
    </row>
    <row r="635" spans="1:9" ht="16.5" customHeight="1" x14ac:dyDescent="0.2">
      <c r="A635" s="26" t="s">
        <v>3951</v>
      </c>
      <c r="B635" s="26" t="s">
        <v>3952</v>
      </c>
      <c r="C635" s="26" t="s">
        <v>98</v>
      </c>
      <c r="D635" s="26" t="s">
        <v>99</v>
      </c>
      <c r="E635" s="26" t="s">
        <v>108</v>
      </c>
      <c r="F635" s="47" t="s">
        <v>18</v>
      </c>
      <c r="G635" s="31" t="s">
        <v>61</v>
      </c>
      <c r="H635" s="32"/>
      <c r="I635" s="32" t="s">
        <v>10</v>
      </c>
    </row>
    <row r="636" spans="1:9" ht="16.5" customHeight="1" x14ac:dyDescent="0.2">
      <c r="A636" s="26" t="s">
        <v>3953</v>
      </c>
      <c r="B636" s="26" t="s">
        <v>3954</v>
      </c>
      <c r="C636" s="26" t="s">
        <v>115</v>
      </c>
      <c r="D636" s="26" t="s">
        <v>122</v>
      </c>
      <c r="E636" s="26" t="s">
        <v>129</v>
      </c>
      <c r="F636" s="31" t="s">
        <v>18</v>
      </c>
      <c r="G636" s="31" t="s">
        <v>61</v>
      </c>
      <c r="H636" s="32"/>
      <c r="I636" s="32" t="s">
        <v>10</v>
      </c>
    </row>
    <row r="637" spans="1:9" ht="16.5" customHeight="1" x14ac:dyDescent="0.2">
      <c r="A637" s="35" t="s">
        <v>3955</v>
      </c>
      <c r="B637" s="35" t="s">
        <v>3956</v>
      </c>
      <c r="C637" s="35" t="s">
        <v>64</v>
      </c>
      <c r="D637" s="35" t="s">
        <v>65</v>
      </c>
      <c r="E637" s="35" t="s">
        <v>87</v>
      </c>
      <c r="F637" s="30" t="s">
        <v>25</v>
      </c>
      <c r="G637" s="31" t="s">
        <v>72</v>
      </c>
      <c r="H637" s="32"/>
      <c r="I637" s="32" t="s">
        <v>10</v>
      </c>
    </row>
    <row r="638" spans="1:9" ht="16.5" customHeight="1" x14ac:dyDescent="0.2">
      <c r="A638" s="35" t="s">
        <v>3955</v>
      </c>
      <c r="B638" s="35" t="s">
        <v>3956</v>
      </c>
      <c r="C638" s="35" t="s">
        <v>64</v>
      </c>
      <c r="D638" s="35" t="s">
        <v>65</v>
      </c>
      <c r="E638" s="35" t="s">
        <v>87</v>
      </c>
      <c r="F638" s="30" t="s">
        <v>25</v>
      </c>
      <c r="G638" s="31" t="s">
        <v>72</v>
      </c>
      <c r="H638" s="32"/>
      <c r="I638" s="32" t="s">
        <v>10</v>
      </c>
    </row>
    <row r="639" spans="1:9" ht="16.5" customHeight="1" x14ac:dyDescent="0.2">
      <c r="A639" s="35" t="s">
        <v>3955</v>
      </c>
      <c r="B639" s="35" t="s">
        <v>3956</v>
      </c>
      <c r="C639" s="35" t="s">
        <v>64</v>
      </c>
      <c r="D639" s="35" t="s">
        <v>65</v>
      </c>
      <c r="E639" s="35" t="s">
        <v>87</v>
      </c>
      <c r="F639" s="30" t="s">
        <v>25</v>
      </c>
      <c r="G639" s="31" t="s">
        <v>72</v>
      </c>
      <c r="H639" s="32"/>
      <c r="I639" s="32" t="s">
        <v>10</v>
      </c>
    </row>
    <row r="640" spans="1:9" ht="16.5" customHeight="1" x14ac:dyDescent="0.2">
      <c r="A640" s="35" t="s">
        <v>3955</v>
      </c>
      <c r="B640" s="35" t="s">
        <v>3956</v>
      </c>
      <c r="C640" s="35" t="s">
        <v>64</v>
      </c>
      <c r="D640" s="35" t="s">
        <v>65</v>
      </c>
      <c r="E640" s="35" t="s">
        <v>87</v>
      </c>
      <c r="F640" s="30" t="s">
        <v>25</v>
      </c>
      <c r="G640" s="31" t="s">
        <v>72</v>
      </c>
      <c r="H640" s="32"/>
      <c r="I640" s="32" t="s">
        <v>10</v>
      </c>
    </row>
    <row r="641" spans="1:9" ht="16.5" customHeight="1" x14ac:dyDescent="0.2">
      <c r="A641" s="26" t="s">
        <v>3957</v>
      </c>
      <c r="B641" s="26" t="s">
        <v>3958</v>
      </c>
      <c r="C641" s="66" t="s">
        <v>136</v>
      </c>
      <c r="D641" s="27" t="s">
        <v>137</v>
      </c>
      <c r="E641" s="26" t="s">
        <v>141</v>
      </c>
      <c r="F641" s="31" t="s">
        <v>18</v>
      </c>
      <c r="G641" s="31" t="s">
        <v>41</v>
      </c>
      <c r="H641" s="27" t="s">
        <v>3959</v>
      </c>
      <c r="I641" s="32" t="s">
        <v>10</v>
      </c>
    </row>
    <row r="642" spans="1:9" ht="16.5" customHeight="1" x14ac:dyDescent="0.2">
      <c r="A642" s="26" t="s">
        <v>3957</v>
      </c>
      <c r="B642" s="26" t="s">
        <v>3958</v>
      </c>
      <c r="C642" s="66" t="s">
        <v>136</v>
      </c>
      <c r="D642" s="27" t="s">
        <v>137</v>
      </c>
      <c r="E642" s="26" t="s">
        <v>141</v>
      </c>
      <c r="F642" s="31" t="s">
        <v>18</v>
      </c>
      <c r="G642" s="31" t="s">
        <v>41</v>
      </c>
      <c r="H642" s="27" t="s">
        <v>3959</v>
      </c>
      <c r="I642" s="32" t="s">
        <v>10</v>
      </c>
    </row>
    <row r="643" spans="1:9" ht="16.5" customHeight="1" x14ac:dyDescent="0.2">
      <c r="A643" s="35" t="s">
        <v>3960</v>
      </c>
      <c r="B643" s="35" t="s">
        <v>3961</v>
      </c>
      <c r="C643" s="35" t="s">
        <v>7</v>
      </c>
      <c r="D643" s="35" t="s">
        <v>23</v>
      </c>
      <c r="E643" s="35" t="s">
        <v>126</v>
      </c>
      <c r="F643" s="52" t="s">
        <v>18</v>
      </c>
      <c r="G643" s="34" t="s">
        <v>61</v>
      </c>
      <c r="H643" s="32"/>
      <c r="I643" s="32" t="s">
        <v>10</v>
      </c>
    </row>
    <row r="644" spans="1:9" ht="16.5" customHeight="1" x14ac:dyDescent="0.2">
      <c r="A644" s="26" t="s">
        <v>3962</v>
      </c>
      <c r="B644" s="26" t="s">
        <v>3963</v>
      </c>
      <c r="C644" s="26" t="s">
        <v>115</v>
      </c>
      <c r="D644" s="26" t="s">
        <v>122</v>
      </c>
      <c r="E644" s="26" t="s">
        <v>114</v>
      </c>
      <c r="F644" s="31" t="s">
        <v>25</v>
      </c>
      <c r="G644" s="31" t="s">
        <v>67</v>
      </c>
      <c r="H644" s="32"/>
      <c r="I644" s="32" t="s">
        <v>10</v>
      </c>
    </row>
    <row r="645" spans="1:9" ht="16.5" customHeight="1" x14ac:dyDescent="0.2">
      <c r="A645" s="26" t="s">
        <v>3962</v>
      </c>
      <c r="B645" s="26" t="s">
        <v>3963</v>
      </c>
      <c r="C645" s="26" t="s">
        <v>115</v>
      </c>
      <c r="D645" s="26" t="s">
        <v>122</v>
      </c>
      <c r="E645" s="26" t="s">
        <v>114</v>
      </c>
      <c r="F645" s="31" t="s">
        <v>25</v>
      </c>
      <c r="G645" s="31" t="s">
        <v>61</v>
      </c>
      <c r="H645" s="32"/>
      <c r="I645" s="32" t="s">
        <v>10</v>
      </c>
    </row>
    <row r="646" spans="1:9" ht="16.5" customHeight="1" x14ac:dyDescent="0.2">
      <c r="A646" s="26" t="s">
        <v>3962</v>
      </c>
      <c r="B646" s="26" t="s">
        <v>3963</v>
      </c>
      <c r="C646" s="26" t="s">
        <v>115</v>
      </c>
      <c r="D646" s="26" t="s">
        <v>122</v>
      </c>
      <c r="E646" s="26" t="s">
        <v>114</v>
      </c>
      <c r="F646" s="31" t="s">
        <v>25</v>
      </c>
      <c r="G646" s="32"/>
      <c r="H646" s="32"/>
      <c r="I646" s="32" t="s">
        <v>10</v>
      </c>
    </row>
    <row r="647" spans="1:9" ht="16.5" customHeight="1" x14ac:dyDescent="0.2">
      <c r="A647" s="54" t="s">
        <v>3964</v>
      </c>
      <c r="B647" s="35" t="s">
        <v>3965</v>
      </c>
      <c r="C647" s="35" t="s">
        <v>64</v>
      </c>
      <c r="D647" s="35" t="s">
        <v>95</v>
      </c>
      <c r="E647" s="54" t="s">
        <v>126</v>
      </c>
      <c r="F647" s="31" t="s">
        <v>18</v>
      </c>
      <c r="G647" s="31" t="s">
        <v>61</v>
      </c>
      <c r="H647" s="32"/>
      <c r="I647" s="32" t="s">
        <v>10</v>
      </c>
    </row>
    <row r="648" spans="1:9" ht="16.5" customHeight="1" x14ac:dyDescent="0.2">
      <c r="A648" s="35" t="s">
        <v>3966</v>
      </c>
      <c r="B648" s="35" t="s">
        <v>3967</v>
      </c>
      <c r="C648" s="35" t="s">
        <v>115</v>
      </c>
      <c r="D648" s="35" t="s">
        <v>119</v>
      </c>
      <c r="E648" s="35" t="s">
        <v>135</v>
      </c>
      <c r="F648" s="52" t="s">
        <v>32</v>
      </c>
      <c r="G648" s="52" t="s">
        <v>61</v>
      </c>
      <c r="H648" s="30"/>
      <c r="I648" s="32" t="s">
        <v>10</v>
      </c>
    </row>
    <row r="649" spans="1:9" ht="16.5" customHeight="1" x14ac:dyDescent="0.2">
      <c r="A649" s="35" t="s">
        <v>3966</v>
      </c>
      <c r="B649" s="35" t="s">
        <v>3967</v>
      </c>
      <c r="C649" s="35" t="s">
        <v>115</v>
      </c>
      <c r="D649" s="35" t="s">
        <v>119</v>
      </c>
      <c r="E649" s="35" t="s">
        <v>135</v>
      </c>
      <c r="F649" s="52" t="s">
        <v>32</v>
      </c>
      <c r="G649" s="54" t="s">
        <v>61</v>
      </c>
      <c r="H649" s="60"/>
      <c r="I649" s="32" t="s">
        <v>10</v>
      </c>
    </row>
    <row r="650" spans="1:9" ht="16.5" customHeight="1" x14ac:dyDescent="0.2">
      <c r="A650" s="35" t="s">
        <v>3968</v>
      </c>
      <c r="B650" s="26" t="s">
        <v>5503</v>
      </c>
      <c r="C650" s="66" t="s">
        <v>64</v>
      </c>
      <c r="D650" s="26" t="s">
        <v>82</v>
      </c>
      <c r="E650" s="35" t="s">
        <v>126</v>
      </c>
      <c r="F650" s="31" t="s">
        <v>18</v>
      </c>
      <c r="G650" s="31" t="s">
        <v>61</v>
      </c>
      <c r="H650" s="32"/>
      <c r="I650" s="32" t="s">
        <v>10</v>
      </c>
    </row>
    <row r="651" spans="1:9" ht="16.5" customHeight="1" x14ac:dyDescent="0.2">
      <c r="A651" s="35" t="s">
        <v>3968</v>
      </c>
      <c r="B651" s="26" t="s">
        <v>5503</v>
      </c>
      <c r="C651" s="66" t="s">
        <v>64</v>
      </c>
      <c r="D651" s="26" t="s">
        <v>82</v>
      </c>
      <c r="E651" s="35" t="s">
        <v>126</v>
      </c>
      <c r="F651" s="31" t="s">
        <v>18</v>
      </c>
      <c r="G651" s="31" t="s">
        <v>61</v>
      </c>
      <c r="H651" s="32"/>
      <c r="I651" s="32" t="s">
        <v>10</v>
      </c>
    </row>
    <row r="652" spans="1:9" ht="16.5" customHeight="1" x14ac:dyDescent="0.2">
      <c r="A652" s="26" t="s">
        <v>3970</v>
      </c>
      <c r="B652" s="26" t="s">
        <v>3971</v>
      </c>
      <c r="C652" s="26" t="s">
        <v>115</v>
      </c>
      <c r="D652" s="27" t="s">
        <v>116</v>
      </c>
      <c r="E652" s="27" t="s">
        <v>126</v>
      </c>
      <c r="F652" s="31" t="s">
        <v>18</v>
      </c>
      <c r="G652" s="31" t="s">
        <v>61</v>
      </c>
      <c r="H652" s="31"/>
      <c r="I652" s="32" t="s">
        <v>10</v>
      </c>
    </row>
    <row r="653" spans="1:9" ht="16.5" customHeight="1" x14ac:dyDescent="0.2">
      <c r="A653" s="35" t="s">
        <v>3972</v>
      </c>
      <c r="B653" s="26" t="s">
        <v>5516</v>
      </c>
      <c r="C653" s="66" t="s">
        <v>64</v>
      </c>
      <c r="D653" s="26" t="s">
        <v>82</v>
      </c>
      <c r="E653" s="35" t="s">
        <v>126</v>
      </c>
      <c r="F653" s="31" t="s">
        <v>18</v>
      </c>
      <c r="G653" s="31" t="s">
        <v>61</v>
      </c>
      <c r="H653" s="32"/>
      <c r="I653" s="32" t="s">
        <v>10</v>
      </c>
    </row>
    <row r="654" spans="1:9" ht="16.5" customHeight="1" x14ac:dyDescent="0.2">
      <c r="A654" s="35" t="s">
        <v>3972</v>
      </c>
      <c r="B654" s="26" t="s">
        <v>5516</v>
      </c>
      <c r="C654" s="66" t="s">
        <v>64</v>
      </c>
      <c r="D654" s="26" t="s">
        <v>82</v>
      </c>
      <c r="E654" s="35" t="s">
        <v>126</v>
      </c>
      <c r="F654" s="31" t="s">
        <v>18</v>
      </c>
      <c r="G654" s="31" t="s">
        <v>61</v>
      </c>
      <c r="H654" s="32"/>
      <c r="I654" s="32" t="s">
        <v>10</v>
      </c>
    </row>
    <row r="655" spans="1:9" ht="16.5" customHeight="1" x14ac:dyDescent="0.2">
      <c r="A655" s="26" t="s">
        <v>3974</v>
      </c>
      <c r="B655" s="26" t="s">
        <v>3975</v>
      </c>
      <c r="C655" s="66" t="s">
        <v>98</v>
      </c>
      <c r="D655" s="66" t="s">
        <v>110</v>
      </c>
      <c r="E655" s="66" t="s">
        <v>129</v>
      </c>
      <c r="F655" s="31" t="s">
        <v>18</v>
      </c>
      <c r="G655" s="67" t="s">
        <v>19</v>
      </c>
      <c r="H655" s="32" t="s">
        <v>10</v>
      </c>
      <c r="I655" s="32" t="s">
        <v>10</v>
      </c>
    </row>
    <row r="656" spans="1:9" ht="16.5" customHeight="1" x14ac:dyDescent="0.2">
      <c r="A656" s="35" t="s">
        <v>3976</v>
      </c>
      <c r="B656" s="35" t="s">
        <v>3977</v>
      </c>
      <c r="C656" s="35" t="s">
        <v>115</v>
      </c>
      <c r="D656" s="35" t="s">
        <v>119</v>
      </c>
      <c r="E656" s="35" t="s">
        <v>129</v>
      </c>
      <c r="F656" s="52" t="s">
        <v>18</v>
      </c>
      <c r="G656" s="30" t="s">
        <v>61</v>
      </c>
      <c r="H656" s="30"/>
      <c r="I656" s="32" t="s">
        <v>10</v>
      </c>
    </row>
    <row r="657" spans="1:9" ht="16.5" customHeight="1" x14ac:dyDescent="0.2">
      <c r="A657" s="35" t="s">
        <v>3976</v>
      </c>
      <c r="B657" s="35" t="s">
        <v>3977</v>
      </c>
      <c r="C657" s="35" t="s">
        <v>115</v>
      </c>
      <c r="D657" s="35" t="s">
        <v>119</v>
      </c>
      <c r="E657" s="35" t="s">
        <v>129</v>
      </c>
      <c r="F657" s="52" t="s">
        <v>18</v>
      </c>
      <c r="G657" s="30" t="s">
        <v>61</v>
      </c>
      <c r="H657" s="30"/>
      <c r="I657" s="32" t="s">
        <v>10</v>
      </c>
    </row>
    <row r="658" spans="1:9" ht="16.5" customHeight="1" x14ac:dyDescent="0.25">
      <c r="A658" s="76" t="s">
        <v>3976</v>
      </c>
      <c r="B658" s="76" t="s">
        <v>5288</v>
      </c>
      <c r="C658" s="26" t="s">
        <v>64</v>
      </c>
      <c r="D658" s="26" t="s">
        <v>92</v>
      </c>
      <c r="E658" s="26" t="s">
        <v>129</v>
      </c>
      <c r="F658" s="31" t="s">
        <v>18</v>
      </c>
      <c r="G658" s="31" t="s">
        <v>61</v>
      </c>
      <c r="H658" s="32"/>
      <c r="I658" s="32" t="s">
        <v>10</v>
      </c>
    </row>
    <row r="659" spans="1:9" ht="16.5" customHeight="1" x14ac:dyDescent="0.2">
      <c r="A659" s="26" t="s">
        <v>3978</v>
      </c>
      <c r="B659" s="26" t="s">
        <v>3979</v>
      </c>
      <c r="C659" s="66" t="s">
        <v>136</v>
      </c>
      <c r="D659" s="27" t="s">
        <v>137</v>
      </c>
      <c r="E659" s="26" t="s">
        <v>108</v>
      </c>
      <c r="F659" s="31" t="s">
        <v>18</v>
      </c>
      <c r="G659" s="31" t="s">
        <v>41</v>
      </c>
      <c r="H659" s="27" t="s">
        <v>3959</v>
      </c>
      <c r="I659" s="32" t="s">
        <v>10</v>
      </c>
    </row>
    <row r="660" spans="1:9" ht="16.5" customHeight="1" x14ac:dyDescent="0.2">
      <c r="A660" s="26" t="s">
        <v>3978</v>
      </c>
      <c r="B660" s="26" t="s">
        <v>3979</v>
      </c>
      <c r="C660" s="66" t="s">
        <v>136</v>
      </c>
      <c r="D660" s="27" t="s">
        <v>137</v>
      </c>
      <c r="E660" s="26" t="s">
        <v>108</v>
      </c>
      <c r="F660" s="31" t="s">
        <v>18</v>
      </c>
      <c r="G660" s="31" t="s">
        <v>41</v>
      </c>
      <c r="H660" s="27" t="s">
        <v>3959</v>
      </c>
      <c r="I660" s="32" t="s">
        <v>10</v>
      </c>
    </row>
    <row r="661" spans="1:9" ht="16.5" customHeight="1" x14ac:dyDescent="0.2">
      <c r="A661" s="26" t="s">
        <v>3980</v>
      </c>
      <c r="B661" s="26" t="s">
        <v>3981</v>
      </c>
      <c r="C661" s="66" t="s">
        <v>136</v>
      </c>
      <c r="D661" s="27" t="s">
        <v>137</v>
      </c>
      <c r="E661" s="26" t="s">
        <v>111</v>
      </c>
      <c r="F661" s="31" t="s">
        <v>18</v>
      </c>
      <c r="G661" s="27" t="s">
        <v>41</v>
      </c>
      <c r="H661" s="32"/>
      <c r="I661" s="32" t="s">
        <v>10</v>
      </c>
    </row>
    <row r="662" spans="1:9" ht="16.5" customHeight="1" x14ac:dyDescent="0.2">
      <c r="A662" s="26" t="s">
        <v>3982</v>
      </c>
      <c r="B662" s="26" t="s">
        <v>3983</v>
      </c>
      <c r="C662" s="26" t="s">
        <v>136</v>
      </c>
      <c r="D662" s="26" t="s">
        <v>137</v>
      </c>
      <c r="E662" s="26" t="s">
        <v>108</v>
      </c>
      <c r="F662" s="31" t="s">
        <v>25</v>
      </c>
      <c r="G662" s="31" t="s">
        <v>41</v>
      </c>
      <c r="H662" s="32"/>
      <c r="I662" s="32" t="s">
        <v>10</v>
      </c>
    </row>
    <row r="663" spans="1:9" ht="16.5" customHeight="1" x14ac:dyDescent="0.2">
      <c r="A663" s="26" t="s">
        <v>3984</v>
      </c>
      <c r="B663" s="26" t="s">
        <v>3985</v>
      </c>
      <c r="C663" s="26" t="s">
        <v>115</v>
      </c>
      <c r="D663" s="26" t="s">
        <v>122</v>
      </c>
      <c r="E663" s="26" t="s">
        <v>129</v>
      </c>
      <c r="F663" s="31" t="s">
        <v>18</v>
      </c>
      <c r="G663" s="31" t="s">
        <v>12</v>
      </c>
      <c r="H663" s="32"/>
      <c r="I663" s="32" t="s">
        <v>10</v>
      </c>
    </row>
    <row r="664" spans="1:9" ht="16.5" customHeight="1" x14ac:dyDescent="0.2">
      <c r="A664" s="26" t="s">
        <v>3984</v>
      </c>
      <c r="B664" s="26" t="s">
        <v>3985</v>
      </c>
      <c r="C664" s="26" t="s">
        <v>115</v>
      </c>
      <c r="D664" s="26" t="s">
        <v>122</v>
      </c>
      <c r="E664" s="26" t="s">
        <v>129</v>
      </c>
      <c r="F664" s="31" t="s">
        <v>18</v>
      </c>
      <c r="G664" s="31" t="s">
        <v>12</v>
      </c>
      <c r="H664" s="32"/>
      <c r="I664" s="32" t="s">
        <v>10</v>
      </c>
    </row>
    <row r="665" spans="1:9" ht="16.5" customHeight="1" x14ac:dyDescent="0.2">
      <c r="A665" s="35" t="s">
        <v>3986</v>
      </c>
      <c r="B665" s="35" t="s">
        <v>3987</v>
      </c>
      <c r="C665" s="35" t="s">
        <v>115</v>
      </c>
      <c r="D665" s="35" t="s">
        <v>119</v>
      </c>
      <c r="E665" s="35" t="s">
        <v>135</v>
      </c>
      <c r="F665" s="52" t="s">
        <v>18</v>
      </c>
      <c r="G665" s="30" t="s">
        <v>61</v>
      </c>
      <c r="H665" s="30" t="s">
        <v>3988</v>
      </c>
      <c r="I665" s="32" t="s">
        <v>10</v>
      </c>
    </row>
    <row r="666" spans="1:9" ht="16.5" customHeight="1" x14ac:dyDescent="0.2">
      <c r="A666" s="49" t="s">
        <v>3989</v>
      </c>
      <c r="B666" s="26" t="s">
        <v>3990</v>
      </c>
      <c r="C666" s="26" t="s">
        <v>115</v>
      </c>
      <c r="D666" s="27" t="s">
        <v>116</v>
      </c>
      <c r="E666" s="119" t="s">
        <v>108</v>
      </c>
      <c r="F666" s="31" t="s">
        <v>25</v>
      </c>
      <c r="G666" s="31" t="s">
        <v>61</v>
      </c>
      <c r="H666" s="31"/>
      <c r="I666" s="32" t="s">
        <v>10</v>
      </c>
    </row>
    <row r="667" spans="1:9" ht="16.5" customHeight="1" x14ac:dyDescent="0.2">
      <c r="A667" s="49" t="s">
        <v>3991</v>
      </c>
      <c r="B667" s="26" t="s">
        <v>3992</v>
      </c>
      <c r="C667" s="26" t="s">
        <v>98</v>
      </c>
      <c r="D667" s="26" t="s">
        <v>102</v>
      </c>
      <c r="E667" s="49" t="s">
        <v>108</v>
      </c>
      <c r="F667" s="31" t="s">
        <v>18</v>
      </c>
      <c r="G667" s="31" t="s">
        <v>61</v>
      </c>
      <c r="H667" s="32"/>
      <c r="I667" s="32" t="s">
        <v>10</v>
      </c>
    </row>
    <row r="668" spans="1:9" ht="16.5" customHeight="1" x14ac:dyDescent="0.2">
      <c r="A668" s="49" t="s">
        <v>3993</v>
      </c>
      <c r="B668" s="26" t="s">
        <v>3994</v>
      </c>
      <c r="C668" s="26" t="s">
        <v>136</v>
      </c>
      <c r="D668" s="26" t="s">
        <v>137</v>
      </c>
      <c r="E668" s="49" t="s">
        <v>108</v>
      </c>
      <c r="F668" s="31" t="s">
        <v>32</v>
      </c>
      <c r="G668" s="32"/>
      <c r="H668" s="31" t="s">
        <v>3995</v>
      </c>
      <c r="I668" s="32" t="s">
        <v>10</v>
      </c>
    </row>
    <row r="669" spans="1:9" ht="16.5" customHeight="1" x14ac:dyDescent="0.25">
      <c r="A669" s="74" t="s">
        <v>3996</v>
      </c>
      <c r="B669" s="26" t="s">
        <v>5280</v>
      </c>
      <c r="C669" s="26" t="s">
        <v>7</v>
      </c>
      <c r="D669" s="26" t="s">
        <v>16</v>
      </c>
      <c r="E669" s="49" t="s">
        <v>126</v>
      </c>
      <c r="F669" s="31" t="s">
        <v>18</v>
      </c>
      <c r="G669" s="32"/>
      <c r="H669" s="32" t="s">
        <v>10</v>
      </c>
      <c r="I669" s="32" t="s">
        <v>10</v>
      </c>
    </row>
    <row r="670" spans="1:9" ht="16.5" customHeight="1" x14ac:dyDescent="0.2">
      <c r="A670" s="49" t="s">
        <v>3996</v>
      </c>
      <c r="B670" s="26" t="s">
        <v>5280</v>
      </c>
      <c r="C670" s="26" t="s">
        <v>7</v>
      </c>
      <c r="D670" s="26" t="s">
        <v>16</v>
      </c>
      <c r="E670" s="49" t="s">
        <v>126</v>
      </c>
      <c r="F670" s="31" t="s">
        <v>18</v>
      </c>
      <c r="G670" s="32"/>
      <c r="H670" s="32" t="s">
        <v>10</v>
      </c>
      <c r="I670" s="32" t="s">
        <v>10</v>
      </c>
    </row>
    <row r="671" spans="1:9" ht="16.5" customHeight="1" x14ac:dyDescent="0.2">
      <c r="A671" s="49" t="s">
        <v>3996</v>
      </c>
      <c r="B671" s="26" t="s">
        <v>5280</v>
      </c>
      <c r="C671" s="26" t="s">
        <v>7</v>
      </c>
      <c r="D671" s="26" t="s">
        <v>16</v>
      </c>
      <c r="E671" s="49" t="s">
        <v>126</v>
      </c>
      <c r="F671" s="31" t="s">
        <v>18</v>
      </c>
      <c r="G671" s="32"/>
      <c r="H671" s="32"/>
      <c r="I671" s="32" t="s">
        <v>10</v>
      </c>
    </row>
    <row r="672" spans="1:9" ht="16.5" customHeight="1" x14ac:dyDescent="0.2">
      <c r="A672" s="49" t="s">
        <v>3998</v>
      </c>
      <c r="B672" s="26" t="s">
        <v>3999</v>
      </c>
      <c r="C672" s="26" t="s">
        <v>136</v>
      </c>
      <c r="D672" s="26" t="s">
        <v>137</v>
      </c>
      <c r="E672" s="49" t="s">
        <v>114</v>
      </c>
      <c r="F672" s="31" t="s">
        <v>25</v>
      </c>
      <c r="G672" s="32"/>
      <c r="H672" s="31" t="s">
        <v>3289</v>
      </c>
      <c r="I672" s="32" t="s">
        <v>10</v>
      </c>
    </row>
    <row r="673" spans="1:9" ht="16.5" customHeight="1" x14ac:dyDescent="0.2">
      <c r="A673" s="35" t="s">
        <v>4000</v>
      </c>
      <c r="B673" s="35" t="s">
        <v>4001</v>
      </c>
      <c r="C673" s="35" t="s">
        <v>115</v>
      </c>
      <c r="D673" s="35" t="s">
        <v>128</v>
      </c>
      <c r="E673" s="35" t="s">
        <v>83</v>
      </c>
      <c r="F673" s="30" t="s">
        <v>18</v>
      </c>
      <c r="G673" s="31" t="s">
        <v>61</v>
      </c>
      <c r="H673" s="30" t="s">
        <v>3718</v>
      </c>
      <c r="I673" s="32" t="s">
        <v>10</v>
      </c>
    </row>
    <row r="674" spans="1:9" ht="16.5" customHeight="1" x14ac:dyDescent="0.2">
      <c r="A674" s="35" t="s">
        <v>4002</v>
      </c>
      <c r="B674" s="35" t="s">
        <v>4003</v>
      </c>
      <c r="C674" s="35" t="s">
        <v>115</v>
      </c>
      <c r="D674" s="35" t="s">
        <v>116</v>
      </c>
      <c r="E674" s="35" t="s">
        <v>108</v>
      </c>
      <c r="F674" s="52" t="s">
        <v>25</v>
      </c>
      <c r="G674" s="52" t="s">
        <v>61</v>
      </c>
      <c r="I674" s="32" t="s">
        <v>10</v>
      </c>
    </row>
    <row r="675" spans="1:9" ht="16.5" customHeight="1" x14ac:dyDescent="0.2">
      <c r="A675" s="35" t="s">
        <v>4002</v>
      </c>
      <c r="B675" s="35" t="s">
        <v>4003</v>
      </c>
      <c r="C675" s="35" t="s">
        <v>115</v>
      </c>
      <c r="D675" s="35" t="s">
        <v>116</v>
      </c>
      <c r="E675" s="35" t="s">
        <v>108</v>
      </c>
      <c r="F675" s="52" t="s">
        <v>25</v>
      </c>
      <c r="G675" s="52" t="s">
        <v>61</v>
      </c>
      <c r="I675" s="32" t="s">
        <v>10</v>
      </c>
    </row>
    <row r="676" spans="1:9" ht="16.5" customHeight="1" x14ac:dyDescent="0.2">
      <c r="A676" s="26" t="s">
        <v>4004</v>
      </c>
      <c r="B676" s="26" t="s">
        <v>4005</v>
      </c>
      <c r="C676" s="26" t="s">
        <v>98</v>
      </c>
      <c r="D676" s="26" t="s">
        <v>105</v>
      </c>
      <c r="E676" s="26" t="s">
        <v>83</v>
      </c>
      <c r="F676" s="31" t="s">
        <v>25</v>
      </c>
      <c r="G676" s="31" t="s">
        <v>41</v>
      </c>
      <c r="H676" s="32"/>
      <c r="I676" s="32" t="s">
        <v>10</v>
      </c>
    </row>
    <row r="677" spans="1:9" ht="16.5" customHeight="1" x14ac:dyDescent="0.2">
      <c r="A677" s="26" t="s">
        <v>4006</v>
      </c>
      <c r="B677" s="26" t="s">
        <v>4007</v>
      </c>
      <c r="C677" s="26" t="s">
        <v>98</v>
      </c>
      <c r="D677" s="26" t="s">
        <v>105</v>
      </c>
      <c r="E677" s="26" t="s">
        <v>83</v>
      </c>
      <c r="F677" s="31" t="s">
        <v>25</v>
      </c>
      <c r="G677" s="31" t="s">
        <v>61</v>
      </c>
      <c r="H677" s="32"/>
      <c r="I677" s="32" t="s">
        <v>10</v>
      </c>
    </row>
    <row r="678" spans="1:9" ht="16.5" customHeight="1" x14ac:dyDescent="0.2">
      <c r="A678" s="26" t="s">
        <v>4008</v>
      </c>
      <c r="B678" s="26" t="s">
        <v>4009</v>
      </c>
      <c r="C678" s="26" t="s">
        <v>98</v>
      </c>
      <c r="D678" s="26" t="s">
        <v>107</v>
      </c>
      <c r="E678" s="26" t="s">
        <v>108</v>
      </c>
      <c r="F678" s="31" t="s">
        <v>32</v>
      </c>
      <c r="G678" s="27" t="s">
        <v>41</v>
      </c>
      <c r="H678" s="27"/>
      <c r="I678" s="32" t="s">
        <v>10</v>
      </c>
    </row>
    <row r="679" spans="1:9" ht="16.5" customHeight="1" x14ac:dyDescent="0.2">
      <c r="A679" s="35" t="s">
        <v>4010</v>
      </c>
      <c r="B679" s="35" t="s">
        <v>4011</v>
      </c>
      <c r="C679" s="66" t="s">
        <v>98</v>
      </c>
      <c r="D679" s="66" t="s">
        <v>110</v>
      </c>
      <c r="E679" s="66" t="s">
        <v>114</v>
      </c>
      <c r="F679" s="31" t="s">
        <v>25</v>
      </c>
      <c r="G679" s="35" t="s">
        <v>41</v>
      </c>
      <c r="H679" s="52" t="s">
        <v>4012</v>
      </c>
      <c r="I679" s="32" t="s">
        <v>10</v>
      </c>
    </row>
    <row r="680" spans="1:9" ht="16.5" customHeight="1" x14ac:dyDescent="0.2">
      <c r="A680" s="35" t="s">
        <v>4010</v>
      </c>
      <c r="B680" s="35" t="s">
        <v>4011</v>
      </c>
      <c r="C680" s="66" t="s">
        <v>98</v>
      </c>
      <c r="D680" s="66" t="s">
        <v>110</v>
      </c>
      <c r="E680" s="66" t="s">
        <v>114</v>
      </c>
      <c r="F680" s="31" t="s">
        <v>25</v>
      </c>
      <c r="G680" s="35" t="s">
        <v>41</v>
      </c>
      <c r="H680" s="52" t="s">
        <v>4012</v>
      </c>
      <c r="I680" s="32" t="s">
        <v>10</v>
      </c>
    </row>
    <row r="681" spans="1:9" ht="16.5" customHeight="1" x14ac:dyDescent="0.2">
      <c r="A681" s="35" t="s">
        <v>4010</v>
      </c>
      <c r="B681" s="35" t="s">
        <v>4011</v>
      </c>
      <c r="C681" s="66" t="s">
        <v>98</v>
      </c>
      <c r="D681" s="66" t="s">
        <v>110</v>
      </c>
      <c r="E681" s="66" t="s">
        <v>114</v>
      </c>
      <c r="F681" s="31" t="s">
        <v>25</v>
      </c>
      <c r="G681" s="35" t="s">
        <v>41</v>
      </c>
      <c r="H681" s="52" t="s">
        <v>4012</v>
      </c>
      <c r="I681" s="32" t="s">
        <v>10</v>
      </c>
    </row>
    <row r="682" spans="1:9" ht="16.5" customHeight="1" x14ac:dyDescent="0.2">
      <c r="A682" s="35" t="s">
        <v>4010</v>
      </c>
      <c r="B682" s="35" t="s">
        <v>4011</v>
      </c>
      <c r="C682" s="66" t="s">
        <v>98</v>
      </c>
      <c r="D682" s="66" t="s">
        <v>110</v>
      </c>
      <c r="E682" s="66" t="s">
        <v>114</v>
      </c>
      <c r="F682" s="31" t="s">
        <v>25</v>
      </c>
      <c r="G682" s="35" t="s">
        <v>41</v>
      </c>
      <c r="H682" s="52" t="s">
        <v>4012</v>
      </c>
      <c r="I682" s="32" t="s">
        <v>10</v>
      </c>
    </row>
    <row r="683" spans="1:9" ht="16.5" customHeight="1" x14ac:dyDescent="0.2">
      <c r="A683" s="35" t="s">
        <v>4010</v>
      </c>
      <c r="B683" s="35" t="s">
        <v>4011</v>
      </c>
      <c r="C683" s="66" t="s">
        <v>98</v>
      </c>
      <c r="D683" s="26" t="s">
        <v>113</v>
      </c>
      <c r="E683" s="66" t="s">
        <v>114</v>
      </c>
      <c r="F683" s="31" t="s">
        <v>25</v>
      </c>
      <c r="G683" s="35" t="s">
        <v>41</v>
      </c>
      <c r="H683" s="52" t="s">
        <v>4012</v>
      </c>
      <c r="I683" s="32" t="s">
        <v>10</v>
      </c>
    </row>
    <row r="684" spans="1:9" ht="16.5" customHeight="1" x14ac:dyDescent="0.2">
      <c r="A684" s="56" t="s">
        <v>4010</v>
      </c>
      <c r="B684" s="35" t="s">
        <v>4011</v>
      </c>
      <c r="C684" s="66" t="s">
        <v>98</v>
      </c>
      <c r="D684" s="26" t="s">
        <v>113</v>
      </c>
      <c r="E684" s="66" t="s">
        <v>114</v>
      </c>
      <c r="F684" s="31" t="s">
        <v>25</v>
      </c>
      <c r="G684" s="35" t="s">
        <v>41</v>
      </c>
      <c r="H684" s="52" t="s">
        <v>4012</v>
      </c>
      <c r="I684" s="32" t="s">
        <v>10</v>
      </c>
    </row>
    <row r="685" spans="1:9" ht="16.5" customHeight="1" x14ac:dyDescent="0.2">
      <c r="A685" s="35" t="s">
        <v>4010</v>
      </c>
      <c r="B685" s="35" t="s">
        <v>4011</v>
      </c>
      <c r="C685" s="66" t="s">
        <v>98</v>
      </c>
      <c r="D685" s="66" t="s">
        <v>110</v>
      </c>
      <c r="E685" s="66" t="s">
        <v>114</v>
      </c>
      <c r="F685" s="31" t="s">
        <v>25</v>
      </c>
      <c r="G685" s="35" t="s">
        <v>41</v>
      </c>
      <c r="H685" s="52" t="s">
        <v>4012</v>
      </c>
      <c r="I685" s="32" t="s">
        <v>10</v>
      </c>
    </row>
    <row r="686" spans="1:9" ht="16.5" customHeight="1" x14ac:dyDescent="0.25">
      <c r="A686" s="76" t="s">
        <v>4010</v>
      </c>
      <c r="B686" s="76" t="s">
        <v>4011</v>
      </c>
      <c r="C686" s="26" t="s">
        <v>64</v>
      </c>
      <c r="D686" s="26" t="s">
        <v>92</v>
      </c>
      <c r="E686" s="26" t="s">
        <v>114</v>
      </c>
      <c r="F686" s="31" t="s">
        <v>25</v>
      </c>
      <c r="G686" s="47" t="s">
        <v>72</v>
      </c>
      <c r="H686" s="44"/>
      <c r="I686" s="32" t="s">
        <v>10</v>
      </c>
    </row>
    <row r="687" spans="1:9" ht="16.5" customHeight="1" x14ac:dyDescent="0.25">
      <c r="A687" s="76" t="s">
        <v>4010</v>
      </c>
      <c r="B687" s="76" t="s">
        <v>4011</v>
      </c>
      <c r="C687" s="26" t="s">
        <v>64</v>
      </c>
      <c r="D687" s="26" t="s">
        <v>92</v>
      </c>
      <c r="E687" s="26" t="s">
        <v>114</v>
      </c>
      <c r="F687" s="31" t="s">
        <v>25</v>
      </c>
      <c r="G687" s="31" t="s">
        <v>72</v>
      </c>
      <c r="H687" s="32"/>
      <c r="I687" s="32" t="s">
        <v>10</v>
      </c>
    </row>
    <row r="688" spans="1:9" ht="16.5" customHeight="1" x14ac:dyDescent="0.25">
      <c r="A688" s="76" t="s">
        <v>4010</v>
      </c>
      <c r="B688" s="76" t="s">
        <v>4011</v>
      </c>
      <c r="C688" s="26" t="s">
        <v>64</v>
      </c>
      <c r="D688" s="26" t="s">
        <v>92</v>
      </c>
      <c r="E688" s="26" t="s">
        <v>114</v>
      </c>
      <c r="F688" s="31" t="s">
        <v>25</v>
      </c>
      <c r="G688" s="31" t="s">
        <v>72</v>
      </c>
      <c r="H688" s="32"/>
      <c r="I688" s="32" t="s">
        <v>10</v>
      </c>
    </row>
    <row r="689" spans="1:9" ht="16.5" customHeight="1" x14ac:dyDescent="0.25">
      <c r="A689" s="76" t="s">
        <v>4010</v>
      </c>
      <c r="B689" s="76" t="s">
        <v>4011</v>
      </c>
      <c r="C689" s="26" t="s">
        <v>64</v>
      </c>
      <c r="D689" s="26" t="s">
        <v>92</v>
      </c>
      <c r="E689" s="26" t="s">
        <v>114</v>
      </c>
      <c r="F689" s="31" t="s">
        <v>25</v>
      </c>
      <c r="G689" s="31" t="s">
        <v>72</v>
      </c>
      <c r="H689" s="32"/>
      <c r="I689" s="32" t="s">
        <v>10</v>
      </c>
    </row>
    <row r="690" spans="1:9" ht="16.5" customHeight="1" x14ac:dyDescent="0.25">
      <c r="A690" s="76" t="s">
        <v>4010</v>
      </c>
      <c r="B690" s="76" t="s">
        <v>4011</v>
      </c>
      <c r="C690" s="26" t="s">
        <v>64</v>
      </c>
      <c r="D690" s="26" t="s">
        <v>92</v>
      </c>
      <c r="E690" s="26" t="s">
        <v>114</v>
      </c>
      <c r="F690" s="31" t="s">
        <v>25</v>
      </c>
      <c r="G690" s="31" t="s">
        <v>72</v>
      </c>
      <c r="H690" s="32"/>
      <c r="I690" s="32" t="s">
        <v>10</v>
      </c>
    </row>
    <row r="691" spans="1:9" ht="16.5" customHeight="1" x14ac:dyDescent="0.25">
      <c r="A691" s="76" t="s">
        <v>4010</v>
      </c>
      <c r="B691" s="76" t="s">
        <v>4011</v>
      </c>
      <c r="C691" s="26" t="s">
        <v>64</v>
      </c>
      <c r="D691" s="26" t="s">
        <v>92</v>
      </c>
      <c r="E691" s="26" t="s">
        <v>114</v>
      </c>
      <c r="F691" s="31" t="s">
        <v>25</v>
      </c>
      <c r="G691" s="31" t="s">
        <v>72</v>
      </c>
      <c r="H691" s="32"/>
      <c r="I691" s="32" t="s">
        <v>10</v>
      </c>
    </row>
    <row r="692" spans="1:9" ht="16.5" customHeight="1" x14ac:dyDescent="0.25">
      <c r="A692" s="76" t="s">
        <v>4010</v>
      </c>
      <c r="B692" s="76" t="s">
        <v>4011</v>
      </c>
      <c r="C692" s="26" t="s">
        <v>64</v>
      </c>
      <c r="D692" s="26" t="s">
        <v>92</v>
      </c>
      <c r="E692" s="26" t="s">
        <v>114</v>
      </c>
      <c r="F692" s="31" t="s">
        <v>25</v>
      </c>
      <c r="G692" s="31" t="s">
        <v>72</v>
      </c>
      <c r="H692" s="32"/>
      <c r="I692" s="32" t="s">
        <v>10</v>
      </c>
    </row>
    <row r="693" spans="1:9" ht="16.5" customHeight="1" x14ac:dyDescent="0.25">
      <c r="A693" s="76" t="s">
        <v>4010</v>
      </c>
      <c r="B693" s="76" t="s">
        <v>4011</v>
      </c>
      <c r="C693" s="26" t="s">
        <v>64</v>
      </c>
      <c r="D693" s="26" t="s">
        <v>92</v>
      </c>
      <c r="E693" s="26" t="s">
        <v>114</v>
      </c>
      <c r="F693" s="31" t="s">
        <v>25</v>
      </c>
      <c r="G693" s="31" t="s">
        <v>72</v>
      </c>
      <c r="H693" s="32"/>
      <c r="I693" s="32" t="s">
        <v>10</v>
      </c>
    </row>
    <row r="694" spans="1:9" ht="16.5" customHeight="1" x14ac:dyDescent="0.2">
      <c r="A694" s="35" t="s">
        <v>4010</v>
      </c>
      <c r="B694" s="35" t="s">
        <v>4011</v>
      </c>
      <c r="C694" s="35" t="s">
        <v>64</v>
      </c>
      <c r="D694" s="35" t="s">
        <v>95</v>
      </c>
      <c r="E694" s="54" t="s">
        <v>114</v>
      </c>
      <c r="F694" s="31" t="s">
        <v>25</v>
      </c>
      <c r="G694" s="31" t="s">
        <v>41</v>
      </c>
      <c r="H694" s="32"/>
      <c r="I694" s="32" t="s">
        <v>10</v>
      </c>
    </row>
    <row r="695" spans="1:9" ht="16.5" customHeight="1" x14ac:dyDescent="0.2">
      <c r="A695" s="35" t="s">
        <v>4010</v>
      </c>
      <c r="B695" s="35" t="s">
        <v>4011</v>
      </c>
      <c r="C695" s="35" t="s">
        <v>64</v>
      </c>
      <c r="D695" s="35" t="s">
        <v>95</v>
      </c>
      <c r="E695" s="54" t="s">
        <v>114</v>
      </c>
      <c r="F695" s="31" t="s">
        <v>25</v>
      </c>
      <c r="G695" s="31" t="s">
        <v>41</v>
      </c>
      <c r="H695" s="32"/>
      <c r="I695" s="32" t="s">
        <v>10</v>
      </c>
    </row>
    <row r="696" spans="1:9" ht="16.5" customHeight="1" x14ac:dyDescent="0.2">
      <c r="A696" s="35" t="s">
        <v>4010</v>
      </c>
      <c r="B696" s="35" t="s">
        <v>4011</v>
      </c>
      <c r="C696" s="35" t="s">
        <v>64</v>
      </c>
      <c r="D696" s="35" t="s">
        <v>95</v>
      </c>
      <c r="E696" s="54" t="s">
        <v>114</v>
      </c>
      <c r="F696" s="31" t="s">
        <v>25</v>
      </c>
      <c r="G696" s="31" t="s">
        <v>41</v>
      </c>
      <c r="H696" s="32"/>
      <c r="I696" s="32" t="s">
        <v>10</v>
      </c>
    </row>
    <row r="697" spans="1:9" ht="16.5" customHeight="1" x14ac:dyDescent="0.2">
      <c r="A697" s="35" t="s">
        <v>4010</v>
      </c>
      <c r="B697" s="35" t="s">
        <v>4011</v>
      </c>
      <c r="C697" s="35" t="s">
        <v>64</v>
      </c>
      <c r="D697" s="35" t="s">
        <v>95</v>
      </c>
      <c r="E697" s="54" t="s">
        <v>114</v>
      </c>
      <c r="F697" s="31" t="s">
        <v>25</v>
      </c>
      <c r="G697" s="31" t="s">
        <v>41</v>
      </c>
      <c r="H697" s="32"/>
      <c r="I697" s="32" t="s">
        <v>10</v>
      </c>
    </row>
    <row r="698" spans="1:9" ht="16.5" customHeight="1" x14ac:dyDescent="0.2">
      <c r="A698" s="35" t="s">
        <v>4010</v>
      </c>
      <c r="B698" s="35" t="s">
        <v>4011</v>
      </c>
      <c r="C698" s="35" t="s">
        <v>64</v>
      </c>
      <c r="D698" s="35" t="s">
        <v>89</v>
      </c>
      <c r="E698" s="54" t="s">
        <v>114</v>
      </c>
      <c r="F698" s="31" t="s">
        <v>25</v>
      </c>
      <c r="G698" s="31" t="s">
        <v>41</v>
      </c>
      <c r="H698" s="32"/>
      <c r="I698" s="32" t="s">
        <v>10</v>
      </c>
    </row>
    <row r="699" spans="1:9" ht="16.5" customHeight="1" x14ac:dyDescent="0.2">
      <c r="A699" s="35" t="s">
        <v>4010</v>
      </c>
      <c r="B699" s="35" t="s">
        <v>4011</v>
      </c>
      <c r="C699" s="35" t="s">
        <v>64</v>
      </c>
      <c r="D699" s="35" t="s">
        <v>89</v>
      </c>
      <c r="E699" s="54" t="s">
        <v>114</v>
      </c>
      <c r="F699" s="31" t="s">
        <v>25</v>
      </c>
      <c r="G699" s="31" t="s">
        <v>72</v>
      </c>
      <c r="H699" s="32"/>
      <c r="I699" s="32" t="s">
        <v>10</v>
      </c>
    </row>
    <row r="700" spans="1:9" ht="16.5" customHeight="1" x14ac:dyDescent="0.2">
      <c r="A700" s="35" t="s">
        <v>4010</v>
      </c>
      <c r="B700" s="35" t="s">
        <v>4011</v>
      </c>
      <c r="C700" s="35" t="s">
        <v>64</v>
      </c>
      <c r="D700" s="35" t="s">
        <v>89</v>
      </c>
      <c r="E700" s="54" t="s">
        <v>114</v>
      </c>
      <c r="F700" s="31" t="s">
        <v>25</v>
      </c>
      <c r="G700" s="31" t="s">
        <v>72</v>
      </c>
      <c r="H700" s="32"/>
      <c r="I700" s="32" t="s">
        <v>10</v>
      </c>
    </row>
    <row r="701" spans="1:9" ht="16.5" customHeight="1" x14ac:dyDescent="0.2">
      <c r="A701" s="35" t="s">
        <v>4010</v>
      </c>
      <c r="B701" s="35" t="s">
        <v>4011</v>
      </c>
      <c r="C701" s="35" t="s">
        <v>64</v>
      </c>
      <c r="D701" s="35" t="s">
        <v>89</v>
      </c>
      <c r="E701" s="54" t="s">
        <v>114</v>
      </c>
      <c r="F701" s="31" t="s">
        <v>25</v>
      </c>
      <c r="G701" s="31" t="s">
        <v>72</v>
      </c>
      <c r="H701" s="32"/>
      <c r="I701" s="32" t="s">
        <v>10</v>
      </c>
    </row>
    <row r="702" spans="1:9" ht="16.5" customHeight="1" x14ac:dyDescent="0.2">
      <c r="A702" s="35" t="s">
        <v>4010</v>
      </c>
      <c r="B702" s="35" t="s">
        <v>4011</v>
      </c>
      <c r="C702" s="35" t="s">
        <v>64</v>
      </c>
      <c r="D702" s="35" t="s">
        <v>65</v>
      </c>
      <c r="E702" s="35" t="s">
        <v>114</v>
      </c>
      <c r="F702" s="30" t="s">
        <v>25</v>
      </c>
      <c r="G702" s="31" t="s">
        <v>72</v>
      </c>
      <c r="H702" s="32"/>
      <c r="I702" s="32" t="s">
        <v>10</v>
      </c>
    </row>
    <row r="703" spans="1:9" ht="16.5" customHeight="1" x14ac:dyDescent="0.2">
      <c r="A703" s="35" t="s">
        <v>4010</v>
      </c>
      <c r="B703" s="35" t="s">
        <v>4011</v>
      </c>
      <c r="C703" s="35" t="s">
        <v>64</v>
      </c>
      <c r="D703" s="35" t="s">
        <v>70</v>
      </c>
      <c r="E703" s="35" t="s">
        <v>114</v>
      </c>
      <c r="F703" s="30" t="s">
        <v>25</v>
      </c>
      <c r="G703" s="31" t="s">
        <v>72</v>
      </c>
      <c r="H703" s="32"/>
      <c r="I703" s="32" t="s">
        <v>10</v>
      </c>
    </row>
    <row r="704" spans="1:9" ht="16.5" customHeight="1" x14ac:dyDescent="0.2">
      <c r="A704" s="35" t="s">
        <v>4010</v>
      </c>
      <c r="B704" s="35" t="s">
        <v>4011</v>
      </c>
      <c r="C704" s="35" t="s">
        <v>64</v>
      </c>
      <c r="D704" s="35" t="s">
        <v>74</v>
      </c>
      <c r="E704" s="35" t="s">
        <v>114</v>
      </c>
      <c r="F704" s="30" t="s">
        <v>25</v>
      </c>
      <c r="G704" s="31" t="s">
        <v>72</v>
      </c>
      <c r="H704" s="31"/>
      <c r="I704" s="32" t="s">
        <v>10</v>
      </c>
    </row>
    <row r="705" spans="1:9" ht="16.5" customHeight="1" x14ac:dyDescent="0.2">
      <c r="A705" s="35" t="s">
        <v>4010</v>
      </c>
      <c r="B705" s="35" t="s">
        <v>4011</v>
      </c>
      <c r="C705" s="35" t="s">
        <v>64</v>
      </c>
      <c r="D705" s="35" t="s">
        <v>78</v>
      </c>
      <c r="E705" s="35" t="s">
        <v>114</v>
      </c>
      <c r="F705" s="30" t="s">
        <v>25</v>
      </c>
      <c r="G705" s="31" t="s">
        <v>72</v>
      </c>
      <c r="H705" s="32"/>
      <c r="I705" s="32" t="s">
        <v>10</v>
      </c>
    </row>
    <row r="706" spans="1:9" ht="16.5" customHeight="1" x14ac:dyDescent="0.2">
      <c r="A706" s="35" t="s">
        <v>4010</v>
      </c>
      <c r="B706" s="35" t="s">
        <v>4011</v>
      </c>
      <c r="C706" s="35" t="s">
        <v>64</v>
      </c>
      <c r="D706" s="35" t="s">
        <v>65</v>
      </c>
      <c r="E706" s="35" t="s">
        <v>114</v>
      </c>
      <c r="F706" s="30" t="s">
        <v>25</v>
      </c>
      <c r="G706" s="31" t="s">
        <v>72</v>
      </c>
      <c r="H706" s="32"/>
      <c r="I706" s="32" t="s">
        <v>10</v>
      </c>
    </row>
    <row r="707" spans="1:9" ht="16.5" customHeight="1" x14ac:dyDescent="0.2">
      <c r="A707" s="35" t="s">
        <v>4010</v>
      </c>
      <c r="B707" s="35" t="s">
        <v>4011</v>
      </c>
      <c r="C707" s="35" t="s">
        <v>64</v>
      </c>
      <c r="D707" s="35" t="s">
        <v>65</v>
      </c>
      <c r="E707" s="35" t="s">
        <v>114</v>
      </c>
      <c r="F707" s="30" t="s">
        <v>25</v>
      </c>
      <c r="G707" s="31" t="s">
        <v>72</v>
      </c>
      <c r="H707" s="32"/>
      <c r="I707" s="32" t="s">
        <v>10</v>
      </c>
    </row>
    <row r="708" spans="1:9" ht="16.5" customHeight="1" x14ac:dyDescent="0.2">
      <c r="A708" s="35" t="s">
        <v>4010</v>
      </c>
      <c r="B708" s="35" t="s">
        <v>4011</v>
      </c>
      <c r="C708" s="35" t="s">
        <v>64</v>
      </c>
      <c r="D708" s="35" t="s">
        <v>78</v>
      </c>
      <c r="E708" s="35" t="s">
        <v>114</v>
      </c>
      <c r="F708" s="30" t="s">
        <v>25</v>
      </c>
      <c r="G708" s="31" t="s">
        <v>72</v>
      </c>
      <c r="H708" s="44"/>
      <c r="I708" s="32" t="s">
        <v>10</v>
      </c>
    </row>
    <row r="709" spans="1:9" ht="16.5" customHeight="1" x14ac:dyDescent="0.2">
      <c r="A709" s="35" t="s">
        <v>4010</v>
      </c>
      <c r="B709" s="35" t="s">
        <v>4011</v>
      </c>
      <c r="C709" s="35" t="s">
        <v>64</v>
      </c>
      <c r="D709" s="35" t="s">
        <v>78</v>
      </c>
      <c r="E709" s="35" t="s">
        <v>114</v>
      </c>
      <c r="F709" s="30" t="s">
        <v>25</v>
      </c>
      <c r="G709" s="31" t="s">
        <v>72</v>
      </c>
      <c r="H709" s="51"/>
      <c r="I709" s="32" t="s">
        <v>10</v>
      </c>
    </row>
    <row r="710" spans="1:9" ht="16.5" customHeight="1" x14ac:dyDescent="0.2">
      <c r="A710" s="35" t="s">
        <v>4010</v>
      </c>
      <c r="B710" s="35" t="s">
        <v>4011</v>
      </c>
      <c r="C710" s="35" t="s">
        <v>64</v>
      </c>
      <c r="D710" s="35" t="s">
        <v>70</v>
      </c>
      <c r="E710" s="35" t="s">
        <v>114</v>
      </c>
      <c r="F710" s="30" t="s">
        <v>25</v>
      </c>
      <c r="G710" s="31" t="s">
        <v>72</v>
      </c>
      <c r="H710" s="51"/>
      <c r="I710" s="32" t="s">
        <v>10</v>
      </c>
    </row>
    <row r="711" spans="1:9" ht="16.5" customHeight="1" x14ac:dyDescent="0.2">
      <c r="A711" s="35" t="s">
        <v>4010</v>
      </c>
      <c r="B711" s="35" t="s">
        <v>4011</v>
      </c>
      <c r="C711" s="35" t="s">
        <v>64</v>
      </c>
      <c r="D711" s="35" t="s">
        <v>70</v>
      </c>
      <c r="E711" s="35" t="s">
        <v>114</v>
      </c>
      <c r="F711" s="30" t="s">
        <v>25</v>
      </c>
      <c r="G711" s="31" t="s">
        <v>72</v>
      </c>
      <c r="H711" s="32"/>
      <c r="I711" s="32" t="s">
        <v>10</v>
      </c>
    </row>
    <row r="712" spans="1:9" ht="16.5" customHeight="1" x14ac:dyDescent="0.2">
      <c r="A712" s="35" t="s">
        <v>4010</v>
      </c>
      <c r="B712" s="35" t="s">
        <v>4011</v>
      </c>
      <c r="C712" s="35" t="s">
        <v>64</v>
      </c>
      <c r="D712" s="35" t="s">
        <v>70</v>
      </c>
      <c r="E712" s="35" t="s">
        <v>114</v>
      </c>
      <c r="F712" s="30" t="s">
        <v>25</v>
      </c>
      <c r="G712" s="31" t="s">
        <v>72</v>
      </c>
      <c r="H712" s="32"/>
      <c r="I712" s="32" t="s">
        <v>10</v>
      </c>
    </row>
    <row r="713" spans="1:9" ht="16.5" customHeight="1" x14ac:dyDescent="0.2">
      <c r="A713" s="35" t="s">
        <v>4010</v>
      </c>
      <c r="B713" s="35" t="s">
        <v>4011</v>
      </c>
      <c r="C713" s="35" t="s">
        <v>64</v>
      </c>
      <c r="D713" s="35" t="s">
        <v>70</v>
      </c>
      <c r="E713" s="35" t="s">
        <v>114</v>
      </c>
      <c r="F713" s="30" t="s">
        <v>25</v>
      </c>
      <c r="G713" s="31" t="s">
        <v>72</v>
      </c>
      <c r="H713" s="32"/>
      <c r="I713" s="32" t="s">
        <v>10</v>
      </c>
    </row>
    <row r="714" spans="1:9" ht="16.5" customHeight="1" x14ac:dyDescent="0.25">
      <c r="A714" s="35" t="s">
        <v>4010</v>
      </c>
      <c r="B714" s="76" t="s">
        <v>4011</v>
      </c>
      <c r="C714" s="76" t="s">
        <v>64</v>
      </c>
      <c r="D714" s="35" t="s">
        <v>86</v>
      </c>
      <c r="E714" s="76" t="s">
        <v>114</v>
      </c>
      <c r="F714" s="76" t="s">
        <v>25</v>
      </c>
      <c r="G714" s="35" t="s">
        <v>72</v>
      </c>
      <c r="H714" s="95"/>
      <c r="I714" s="32" t="s">
        <v>10</v>
      </c>
    </row>
    <row r="715" spans="1:9" ht="16.5" customHeight="1" x14ac:dyDescent="0.25">
      <c r="A715" s="35" t="s">
        <v>4010</v>
      </c>
      <c r="B715" s="76" t="s">
        <v>4011</v>
      </c>
      <c r="C715" s="76" t="s">
        <v>64</v>
      </c>
      <c r="D715" s="35" t="s">
        <v>86</v>
      </c>
      <c r="E715" s="76" t="s">
        <v>114</v>
      </c>
      <c r="F715" s="76" t="s">
        <v>25</v>
      </c>
      <c r="G715" s="35" t="s">
        <v>72</v>
      </c>
      <c r="H715" s="95"/>
      <c r="I715" s="32" t="s">
        <v>10</v>
      </c>
    </row>
    <row r="716" spans="1:9" ht="16.5" customHeight="1" x14ac:dyDescent="0.25">
      <c r="A716" s="35" t="s">
        <v>4010</v>
      </c>
      <c r="B716" s="76" t="s">
        <v>4011</v>
      </c>
      <c r="C716" s="76" t="s">
        <v>64</v>
      </c>
      <c r="D716" s="35" t="s">
        <v>86</v>
      </c>
      <c r="E716" s="76" t="s">
        <v>114</v>
      </c>
      <c r="F716" s="76" t="s">
        <v>25</v>
      </c>
      <c r="G716" s="35" t="s">
        <v>72</v>
      </c>
      <c r="H716" s="95"/>
      <c r="I716" s="32" t="s">
        <v>10</v>
      </c>
    </row>
    <row r="717" spans="1:9" ht="16.5" customHeight="1" x14ac:dyDescent="0.25">
      <c r="A717" s="35" t="s">
        <v>4010</v>
      </c>
      <c r="B717" s="76" t="s">
        <v>4011</v>
      </c>
      <c r="C717" s="76" t="s">
        <v>64</v>
      </c>
      <c r="D717" s="35" t="s">
        <v>86</v>
      </c>
      <c r="E717" s="76" t="s">
        <v>114</v>
      </c>
      <c r="F717" s="76" t="s">
        <v>25</v>
      </c>
      <c r="G717" s="35" t="s">
        <v>72</v>
      </c>
      <c r="H717" s="95"/>
      <c r="I717" s="32" t="s">
        <v>10</v>
      </c>
    </row>
    <row r="718" spans="1:9" ht="16.5" customHeight="1" x14ac:dyDescent="0.25">
      <c r="A718" s="35" t="s">
        <v>4010</v>
      </c>
      <c r="B718" s="76" t="s">
        <v>4011</v>
      </c>
      <c r="C718" s="76" t="s">
        <v>64</v>
      </c>
      <c r="D718" s="35" t="s">
        <v>86</v>
      </c>
      <c r="E718" s="76" t="s">
        <v>114</v>
      </c>
      <c r="F718" s="76" t="s">
        <v>25</v>
      </c>
      <c r="G718" s="35" t="s">
        <v>72</v>
      </c>
      <c r="H718" s="95"/>
      <c r="I718" s="32" t="s">
        <v>10</v>
      </c>
    </row>
    <row r="719" spans="1:9" ht="16.5" customHeight="1" x14ac:dyDescent="0.25">
      <c r="A719" s="35" t="s">
        <v>4010</v>
      </c>
      <c r="B719" s="76" t="s">
        <v>4011</v>
      </c>
      <c r="C719" s="76" t="s">
        <v>64</v>
      </c>
      <c r="D719" s="35" t="s">
        <v>86</v>
      </c>
      <c r="E719" s="76" t="s">
        <v>114</v>
      </c>
      <c r="F719" s="76" t="s">
        <v>25</v>
      </c>
      <c r="G719" s="35" t="s">
        <v>72</v>
      </c>
      <c r="H719" s="95"/>
      <c r="I719" s="32" t="s">
        <v>10</v>
      </c>
    </row>
    <row r="720" spans="1:9" ht="16.5" customHeight="1" x14ac:dyDescent="0.25">
      <c r="A720" s="35" t="s">
        <v>4010</v>
      </c>
      <c r="B720" s="76" t="s">
        <v>4011</v>
      </c>
      <c r="C720" s="76" t="s">
        <v>64</v>
      </c>
      <c r="D720" s="35" t="s">
        <v>86</v>
      </c>
      <c r="E720" s="76" t="s">
        <v>114</v>
      </c>
      <c r="F720" s="76" t="s">
        <v>25</v>
      </c>
      <c r="G720" s="35" t="s">
        <v>72</v>
      </c>
      <c r="H720" s="95"/>
      <c r="I720" s="32" t="s">
        <v>10</v>
      </c>
    </row>
    <row r="721" spans="1:9" ht="16.5" customHeight="1" x14ac:dyDescent="0.2">
      <c r="A721" s="35" t="s">
        <v>4013</v>
      </c>
      <c r="B721" s="35" t="s">
        <v>5207</v>
      </c>
      <c r="C721" s="35" t="s">
        <v>7</v>
      </c>
      <c r="D721" s="35" t="s">
        <v>8</v>
      </c>
      <c r="E721" s="35" t="s">
        <v>87</v>
      </c>
      <c r="F721" s="52" t="s">
        <v>11</v>
      </c>
      <c r="G721" s="30" t="s">
        <v>41</v>
      </c>
      <c r="H721" s="55"/>
      <c r="I721" s="32" t="s">
        <v>10</v>
      </c>
    </row>
    <row r="722" spans="1:9" ht="16.5" customHeight="1" x14ac:dyDescent="0.2">
      <c r="A722" s="35" t="s">
        <v>4013</v>
      </c>
      <c r="B722" s="35" t="s">
        <v>5207</v>
      </c>
      <c r="C722" s="35" t="s">
        <v>7</v>
      </c>
      <c r="D722" s="35" t="s">
        <v>8</v>
      </c>
      <c r="E722" s="35" t="s">
        <v>87</v>
      </c>
      <c r="F722" s="52" t="s">
        <v>11</v>
      </c>
      <c r="G722" s="30" t="s">
        <v>61</v>
      </c>
      <c r="H722" s="55"/>
      <c r="I722" s="32" t="s">
        <v>10</v>
      </c>
    </row>
    <row r="723" spans="1:9" ht="16.5" customHeight="1" x14ac:dyDescent="0.2">
      <c r="A723" s="35" t="s">
        <v>4013</v>
      </c>
      <c r="B723" s="35" t="s">
        <v>5207</v>
      </c>
      <c r="C723" s="35" t="s">
        <v>7</v>
      </c>
      <c r="D723" s="35" t="s">
        <v>8</v>
      </c>
      <c r="E723" s="35" t="s">
        <v>87</v>
      </c>
      <c r="F723" s="52" t="s">
        <v>11</v>
      </c>
      <c r="G723" s="30" t="s">
        <v>41</v>
      </c>
      <c r="H723" s="55"/>
      <c r="I723" s="32" t="s">
        <v>10</v>
      </c>
    </row>
    <row r="724" spans="1:9" ht="16.5" customHeight="1" x14ac:dyDescent="0.2">
      <c r="A724" s="35" t="s">
        <v>4013</v>
      </c>
      <c r="B724" s="35" t="s">
        <v>5207</v>
      </c>
      <c r="C724" s="35" t="s">
        <v>7</v>
      </c>
      <c r="D724" s="35" t="s">
        <v>8</v>
      </c>
      <c r="E724" s="35" t="s">
        <v>87</v>
      </c>
      <c r="F724" s="52" t="s">
        <v>11</v>
      </c>
      <c r="G724" s="30" t="s">
        <v>61</v>
      </c>
      <c r="H724" s="55"/>
      <c r="I724" s="32" t="s">
        <v>10</v>
      </c>
    </row>
    <row r="725" spans="1:9" ht="16.5" customHeight="1" x14ac:dyDescent="0.2">
      <c r="A725" s="26" t="s">
        <v>4015</v>
      </c>
      <c r="B725" s="26" t="s">
        <v>4016</v>
      </c>
      <c r="C725" s="26" t="s">
        <v>115</v>
      </c>
      <c r="D725" s="27" t="s">
        <v>116</v>
      </c>
      <c r="E725" s="27" t="s">
        <v>126</v>
      </c>
      <c r="F725" s="31" t="s">
        <v>18</v>
      </c>
      <c r="G725" s="31" t="s">
        <v>61</v>
      </c>
      <c r="H725" s="31"/>
      <c r="I725" s="32" t="s">
        <v>10</v>
      </c>
    </row>
    <row r="726" spans="1:9" ht="16.5" customHeight="1" x14ac:dyDescent="0.2">
      <c r="A726" s="35" t="s">
        <v>4017</v>
      </c>
      <c r="B726" s="35" t="s">
        <v>5370</v>
      </c>
      <c r="C726" s="35" t="s">
        <v>64</v>
      </c>
      <c r="D726" s="35" t="s">
        <v>89</v>
      </c>
      <c r="E726" s="54" t="s">
        <v>108</v>
      </c>
      <c r="F726" s="31" t="s">
        <v>18</v>
      </c>
      <c r="G726" s="31" t="s">
        <v>41</v>
      </c>
      <c r="H726" s="32"/>
      <c r="I726" s="32" t="s">
        <v>10</v>
      </c>
    </row>
    <row r="727" spans="1:9" ht="16.5" customHeight="1" x14ac:dyDescent="0.2">
      <c r="A727" s="35" t="s">
        <v>4019</v>
      </c>
      <c r="B727" s="35" t="s">
        <v>4020</v>
      </c>
      <c r="C727" s="35" t="s">
        <v>7</v>
      </c>
      <c r="D727" s="35" t="s">
        <v>8</v>
      </c>
      <c r="E727" s="35" t="s">
        <v>108</v>
      </c>
      <c r="F727" s="52" t="s">
        <v>32</v>
      </c>
      <c r="G727" s="30" t="s">
        <v>61</v>
      </c>
      <c r="H727" s="55"/>
      <c r="I727" s="32" t="s">
        <v>10</v>
      </c>
    </row>
    <row r="728" spans="1:9" ht="16.5" customHeight="1" x14ac:dyDescent="0.2">
      <c r="A728" s="35" t="s">
        <v>4021</v>
      </c>
      <c r="B728" s="35" t="s">
        <v>5368</v>
      </c>
      <c r="C728" s="35" t="s">
        <v>64</v>
      </c>
      <c r="D728" s="35" t="s">
        <v>95</v>
      </c>
      <c r="E728" s="54" t="s">
        <v>135</v>
      </c>
      <c r="F728" s="31" t="s">
        <v>18</v>
      </c>
      <c r="G728" s="31" t="s">
        <v>61</v>
      </c>
      <c r="H728" s="32"/>
      <c r="I728" s="32" t="s">
        <v>10</v>
      </c>
    </row>
    <row r="729" spans="1:9" ht="16.5" customHeight="1" x14ac:dyDescent="0.2">
      <c r="A729" s="26" t="s">
        <v>4023</v>
      </c>
      <c r="B729" s="26" t="s">
        <v>4024</v>
      </c>
      <c r="C729" s="66" t="s">
        <v>136</v>
      </c>
      <c r="D729" s="27" t="s">
        <v>137</v>
      </c>
      <c r="E729" s="26" t="s">
        <v>108</v>
      </c>
      <c r="F729" s="31" t="s">
        <v>18</v>
      </c>
      <c r="G729" s="27" t="s">
        <v>61</v>
      </c>
      <c r="H729" s="51"/>
      <c r="I729" s="32" t="s">
        <v>10</v>
      </c>
    </row>
    <row r="730" spans="1:9" ht="16.5" customHeight="1" x14ac:dyDescent="0.2">
      <c r="A730" s="26" t="s">
        <v>4023</v>
      </c>
      <c r="B730" s="26" t="s">
        <v>4024</v>
      </c>
      <c r="C730" s="66" t="s">
        <v>136</v>
      </c>
      <c r="D730" s="27" t="s">
        <v>137</v>
      </c>
      <c r="E730" s="26" t="s">
        <v>108</v>
      </c>
      <c r="F730" s="31" t="s">
        <v>18</v>
      </c>
      <c r="G730" s="27" t="s">
        <v>61</v>
      </c>
      <c r="H730" s="51"/>
      <c r="I730" s="32" t="s">
        <v>10</v>
      </c>
    </row>
    <row r="731" spans="1:9" ht="16.5" customHeight="1" x14ac:dyDescent="0.2">
      <c r="A731" s="26" t="s">
        <v>4025</v>
      </c>
      <c r="B731" s="26" t="s">
        <v>4026</v>
      </c>
      <c r="C731" s="66" t="s">
        <v>37</v>
      </c>
      <c r="D731" s="27" t="s">
        <v>38</v>
      </c>
      <c r="E731" s="27" t="s">
        <v>135</v>
      </c>
      <c r="F731" s="31" t="s">
        <v>18</v>
      </c>
      <c r="G731" s="31" t="s">
        <v>41</v>
      </c>
      <c r="H731" s="32"/>
      <c r="I731" s="32" t="s">
        <v>10</v>
      </c>
    </row>
    <row r="732" spans="1:9" ht="16.5" customHeight="1" x14ac:dyDescent="0.2">
      <c r="A732" s="26" t="s">
        <v>4025</v>
      </c>
      <c r="B732" s="26" t="s">
        <v>4026</v>
      </c>
      <c r="C732" s="66" t="s">
        <v>37</v>
      </c>
      <c r="D732" s="27" t="s">
        <v>38</v>
      </c>
      <c r="E732" s="27" t="s">
        <v>135</v>
      </c>
      <c r="F732" s="31" t="s">
        <v>18</v>
      </c>
      <c r="G732" s="31" t="s">
        <v>41</v>
      </c>
      <c r="H732" s="32"/>
      <c r="I732" s="32" t="s">
        <v>10</v>
      </c>
    </row>
    <row r="733" spans="1:9" ht="16.5" customHeight="1" x14ac:dyDescent="0.2">
      <c r="A733" s="26" t="s">
        <v>4027</v>
      </c>
      <c r="B733" s="26" t="s">
        <v>4028</v>
      </c>
      <c r="C733" s="26" t="s">
        <v>98</v>
      </c>
      <c r="D733" s="26" t="s">
        <v>102</v>
      </c>
      <c r="E733" s="26" t="s">
        <v>108</v>
      </c>
      <c r="F733" s="31" t="s">
        <v>18</v>
      </c>
      <c r="G733" s="31" t="s">
        <v>61</v>
      </c>
      <c r="H733" s="32"/>
      <c r="I733" s="32" t="s">
        <v>10</v>
      </c>
    </row>
    <row r="734" spans="1:9" ht="16.5" customHeight="1" x14ac:dyDescent="0.2">
      <c r="A734" s="35" t="s">
        <v>4029</v>
      </c>
      <c r="B734" s="26" t="s">
        <v>5500</v>
      </c>
      <c r="C734" s="66" t="s">
        <v>64</v>
      </c>
      <c r="D734" s="26" t="s">
        <v>82</v>
      </c>
      <c r="E734" s="35" t="s">
        <v>126</v>
      </c>
      <c r="F734" s="31" t="s">
        <v>18</v>
      </c>
      <c r="G734" s="31" t="s">
        <v>61</v>
      </c>
      <c r="H734" s="32"/>
      <c r="I734" s="32" t="s">
        <v>10</v>
      </c>
    </row>
    <row r="735" spans="1:9" ht="16.5" customHeight="1" x14ac:dyDescent="0.2">
      <c r="A735" s="35" t="s">
        <v>4029</v>
      </c>
      <c r="B735" s="26" t="s">
        <v>5500</v>
      </c>
      <c r="C735" s="66" t="s">
        <v>64</v>
      </c>
      <c r="D735" s="26" t="s">
        <v>82</v>
      </c>
      <c r="E735" s="35" t="s">
        <v>126</v>
      </c>
      <c r="F735" s="31" t="s">
        <v>18</v>
      </c>
      <c r="G735" s="31" t="s">
        <v>61</v>
      </c>
      <c r="H735" s="32"/>
      <c r="I735" s="32" t="s">
        <v>10</v>
      </c>
    </row>
    <row r="736" spans="1:9" ht="16.5" customHeight="1" x14ac:dyDescent="0.2">
      <c r="A736" s="26" t="s">
        <v>4031</v>
      </c>
      <c r="B736" s="26" t="s">
        <v>4032</v>
      </c>
      <c r="C736" s="26" t="s">
        <v>136</v>
      </c>
      <c r="D736" s="26" t="s">
        <v>137</v>
      </c>
      <c r="E736" s="26" t="s">
        <v>87</v>
      </c>
      <c r="F736" s="31" t="s">
        <v>25</v>
      </c>
      <c r="G736" s="32"/>
      <c r="H736" s="31" t="s">
        <v>3289</v>
      </c>
      <c r="I736" s="32" t="s">
        <v>10</v>
      </c>
    </row>
    <row r="737" spans="1:9" ht="16.5" customHeight="1" x14ac:dyDescent="0.2">
      <c r="A737" s="26" t="s">
        <v>4033</v>
      </c>
      <c r="B737" s="26" t="s">
        <v>4034</v>
      </c>
      <c r="C737" s="26" t="s">
        <v>136</v>
      </c>
      <c r="D737" s="26" t="s">
        <v>137</v>
      </c>
      <c r="E737" s="26" t="s">
        <v>108</v>
      </c>
      <c r="F737" s="31" t="s">
        <v>25</v>
      </c>
      <c r="G737" s="32"/>
      <c r="H737" s="31" t="s">
        <v>3289</v>
      </c>
      <c r="I737" s="32" t="s">
        <v>10</v>
      </c>
    </row>
    <row r="738" spans="1:9" ht="16.5" customHeight="1" x14ac:dyDescent="0.2">
      <c r="A738" s="26" t="s">
        <v>4035</v>
      </c>
      <c r="B738" s="26" t="s">
        <v>5268</v>
      </c>
      <c r="C738" s="26" t="s">
        <v>7</v>
      </c>
      <c r="D738" s="26" t="s">
        <v>16</v>
      </c>
      <c r="E738" s="26" t="s">
        <v>83</v>
      </c>
      <c r="F738" s="31" t="s">
        <v>25</v>
      </c>
      <c r="G738" s="32"/>
      <c r="H738" s="32" t="s">
        <v>10</v>
      </c>
      <c r="I738" s="32" t="s">
        <v>10</v>
      </c>
    </row>
    <row r="739" spans="1:9" ht="16.5" customHeight="1" x14ac:dyDescent="0.2">
      <c r="A739" s="26" t="s">
        <v>4035</v>
      </c>
      <c r="B739" s="26" t="s">
        <v>5268</v>
      </c>
      <c r="C739" s="26" t="s">
        <v>7</v>
      </c>
      <c r="D739" s="26" t="s">
        <v>16</v>
      </c>
      <c r="E739" s="26" t="s">
        <v>83</v>
      </c>
      <c r="F739" s="31" t="s">
        <v>25</v>
      </c>
      <c r="G739" s="32"/>
      <c r="H739" s="32" t="s">
        <v>10</v>
      </c>
      <c r="I739" s="32" t="s">
        <v>10</v>
      </c>
    </row>
    <row r="740" spans="1:9" ht="16.5" customHeight="1" x14ac:dyDescent="0.2">
      <c r="A740" s="26" t="s">
        <v>4035</v>
      </c>
      <c r="B740" s="26" t="s">
        <v>5268</v>
      </c>
      <c r="C740" s="26" t="s">
        <v>7</v>
      </c>
      <c r="D740" s="26" t="s">
        <v>16</v>
      </c>
      <c r="E740" s="26" t="s">
        <v>83</v>
      </c>
      <c r="F740" s="31" t="s">
        <v>25</v>
      </c>
      <c r="G740" s="32"/>
      <c r="H740" s="32" t="s">
        <v>10</v>
      </c>
      <c r="I740" s="32" t="s">
        <v>10</v>
      </c>
    </row>
    <row r="741" spans="1:9" ht="16.5" customHeight="1" x14ac:dyDescent="0.2">
      <c r="A741" s="26" t="s">
        <v>4035</v>
      </c>
      <c r="B741" s="26" t="s">
        <v>5268</v>
      </c>
      <c r="C741" s="26" t="s">
        <v>7</v>
      </c>
      <c r="D741" s="26" t="s">
        <v>16</v>
      </c>
      <c r="E741" s="26" t="s">
        <v>83</v>
      </c>
      <c r="F741" s="31" t="s">
        <v>25</v>
      </c>
      <c r="G741" s="32"/>
      <c r="H741" s="32" t="s">
        <v>10</v>
      </c>
      <c r="I741" s="32" t="s">
        <v>10</v>
      </c>
    </row>
    <row r="742" spans="1:9" ht="16.5" customHeight="1" x14ac:dyDescent="0.2">
      <c r="A742" s="25" t="s">
        <v>4037</v>
      </c>
      <c r="B742" s="26" t="s">
        <v>4038</v>
      </c>
      <c r="C742" s="26" t="s">
        <v>98</v>
      </c>
      <c r="D742" s="26" t="s">
        <v>102</v>
      </c>
      <c r="E742" s="26" t="s">
        <v>83</v>
      </c>
      <c r="F742" s="31" t="s">
        <v>25</v>
      </c>
      <c r="G742" s="31" t="s">
        <v>41</v>
      </c>
      <c r="H742" s="32"/>
      <c r="I742" s="32" t="s">
        <v>10</v>
      </c>
    </row>
    <row r="743" spans="1:9" ht="16.5" customHeight="1" x14ac:dyDescent="0.2">
      <c r="A743" s="35" t="s">
        <v>4039</v>
      </c>
      <c r="B743" s="35" t="s">
        <v>4040</v>
      </c>
      <c r="C743" s="35" t="s">
        <v>64</v>
      </c>
      <c r="D743" s="35" t="s">
        <v>89</v>
      </c>
      <c r="E743" s="54" t="s">
        <v>108</v>
      </c>
      <c r="F743" s="31" t="s">
        <v>25</v>
      </c>
      <c r="G743" s="31" t="s">
        <v>72</v>
      </c>
      <c r="H743" s="32"/>
      <c r="I743" s="32" t="s">
        <v>10</v>
      </c>
    </row>
    <row r="744" spans="1:9" ht="16.5" customHeight="1" x14ac:dyDescent="0.2">
      <c r="A744" s="35" t="s">
        <v>4039</v>
      </c>
      <c r="B744" s="35" t="s">
        <v>4040</v>
      </c>
      <c r="C744" s="35" t="s">
        <v>64</v>
      </c>
      <c r="D744" s="35" t="s">
        <v>89</v>
      </c>
      <c r="E744" s="54" t="s">
        <v>108</v>
      </c>
      <c r="F744" s="31" t="s">
        <v>25</v>
      </c>
      <c r="G744" s="32"/>
      <c r="H744" s="32"/>
      <c r="I744" s="32" t="s">
        <v>10</v>
      </c>
    </row>
    <row r="745" spans="1:9" ht="16.5" customHeight="1" x14ac:dyDescent="0.2">
      <c r="A745" s="26" t="s">
        <v>4041</v>
      </c>
      <c r="B745" s="26" t="s">
        <v>5277</v>
      </c>
      <c r="C745" s="26" t="s">
        <v>7</v>
      </c>
      <c r="D745" s="26" t="s">
        <v>16</v>
      </c>
      <c r="E745" s="26" t="s">
        <v>87</v>
      </c>
      <c r="F745" s="31" t="s">
        <v>18</v>
      </c>
      <c r="G745" s="32"/>
      <c r="H745" s="32" t="s">
        <v>10</v>
      </c>
      <c r="I745" s="32" t="s">
        <v>10</v>
      </c>
    </row>
    <row r="746" spans="1:9" ht="16.5" customHeight="1" x14ac:dyDescent="0.2">
      <c r="A746" s="26" t="s">
        <v>4041</v>
      </c>
      <c r="B746" s="26" t="s">
        <v>5277</v>
      </c>
      <c r="C746" s="26" t="s">
        <v>7</v>
      </c>
      <c r="D746" s="26" t="s">
        <v>16</v>
      </c>
      <c r="E746" s="26" t="s">
        <v>87</v>
      </c>
      <c r="F746" s="31" t="s">
        <v>18</v>
      </c>
      <c r="G746" s="32"/>
      <c r="H746" s="32" t="s">
        <v>10</v>
      </c>
      <c r="I746" s="32" t="s">
        <v>10</v>
      </c>
    </row>
    <row r="747" spans="1:9" ht="16.5" customHeight="1" x14ac:dyDescent="0.25">
      <c r="A747" s="35" t="s">
        <v>4043</v>
      </c>
      <c r="B747" s="76" t="s">
        <v>4044</v>
      </c>
      <c r="C747" s="76" t="s">
        <v>64</v>
      </c>
      <c r="D747" s="35" t="s">
        <v>86</v>
      </c>
      <c r="E747" s="76" t="s">
        <v>135</v>
      </c>
      <c r="F747" s="76" t="s">
        <v>18</v>
      </c>
      <c r="G747" s="35" t="s">
        <v>61</v>
      </c>
      <c r="H747" s="95"/>
      <c r="I747" s="32" t="s">
        <v>10</v>
      </c>
    </row>
    <row r="748" spans="1:9" ht="16.5" customHeight="1" x14ac:dyDescent="0.2">
      <c r="A748" s="35" t="s">
        <v>4045</v>
      </c>
      <c r="B748" s="26" t="s">
        <v>5509</v>
      </c>
      <c r="C748" s="66" t="s">
        <v>64</v>
      </c>
      <c r="D748" s="26" t="s">
        <v>82</v>
      </c>
      <c r="E748" s="35" t="s">
        <v>135</v>
      </c>
      <c r="F748" s="31" t="s">
        <v>18</v>
      </c>
      <c r="G748" s="31" t="s">
        <v>61</v>
      </c>
      <c r="H748" s="32"/>
      <c r="I748" s="32" t="s">
        <v>10</v>
      </c>
    </row>
    <row r="749" spans="1:9" ht="16.5" customHeight="1" x14ac:dyDescent="0.2">
      <c r="A749" s="35" t="s">
        <v>4045</v>
      </c>
      <c r="B749" s="26" t="s">
        <v>5509</v>
      </c>
      <c r="C749" s="66" t="s">
        <v>64</v>
      </c>
      <c r="D749" s="26" t="s">
        <v>82</v>
      </c>
      <c r="E749" s="35" t="s">
        <v>135</v>
      </c>
      <c r="F749" s="31" t="s">
        <v>18</v>
      </c>
      <c r="G749" s="31" t="s">
        <v>61</v>
      </c>
      <c r="H749" s="32"/>
      <c r="I749" s="32" t="s">
        <v>10</v>
      </c>
    </row>
    <row r="750" spans="1:9" ht="16.5" customHeight="1" x14ac:dyDescent="0.2">
      <c r="A750" s="35" t="s">
        <v>4047</v>
      </c>
      <c r="B750" s="54" t="s">
        <v>5565</v>
      </c>
      <c r="C750" s="35" t="s">
        <v>115</v>
      </c>
      <c r="D750" s="35" t="s">
        <v>131</v>
      </c>
      <c r="E750" s="35" t="s">
        <v>139</v>
      </c>
      <c r="F750" s="30" t="s">
        <v>18</v>
      </c>
      <c r="G750" s="31" t="s">
        <v>72</v>
      </c>
      <c r="H750" s="30" t="s">
        <v>3550</v>
      </c>
      <c r="I750" s="32" t="s">
        <v>10</v>
      </c>
    </row>
    <row r="751" spans="1:9" ht="16.5" customHeight="1" x14ac:dyDescent="0.2">
      <c r="A751" s="26" t="s">
        <v>4049</v>
      </c>
      <c r="B751" s="26" t="s">
        <v>4050</v>
      </c>
      <c r="C751" s="53" t="s">
        <v>98</v>
      </c>
      <c r="D751" s="26" t="s">
        <v>105</v>
      </c>
      <c r="E751" s="26" t="s">
        <v>83</v>
      </c>
      <c r="F751" s="31" t="s">
        <v>25</v>
      </c>
      <c r="G751" s="31" t="s">
        <v>41</v>
      </c>
      <c r="H751" s="32"/>
      <c r="I751" s="32" t="s">
        <v>10</v>
      </c>
    </row>
    <row r="752" spans="1:9" ht="16.5" customHeight="1" x14ac:dyDescent="0.25">
      <c r="A752" s="76" t="s">
        <v>4051</v>
      </c>
      <c r="B752" s="76" t="s">
        <v>5299</v>
      </c>
      <c r="C752" s="26" t="s">
        <v>64</v>
      </c>
      <c r="D752" s="26" t="s">
        <v>92</v>
      </c>
      <c r="E752" s="26" t="s">
        <v>87</v>
      </c>
      <c r="F752" s="31" t="s">
        <v>18</v>
      </c>
      <c r="G752" s="31" t="s">
        <v>61</v>
      </c>
      <c r="H752" s="32"/>
      <c r="I752" s="32" t="s">
        <v>10</v>
      </c>
    </row>
    <row r="753" spans="1:9" ht="16.5" customHeight="1" x14ac:dyDescent="0.2">
      <c r="A753" s="26" t="s">
        <v>4053</v>
      </c>
      <c r="B753" s="26" t="s">
        <v>4054</v>
      </c>
      <c r="C753" s="26" t="s">
        <v>136</v>
      </c>
      <c r="D753" s="26" t="s">
        <v>137</v>
      </c>
      <c r="E753" s="26" t="s">
        <v>114</v>
      </c>
      <c r="F753" s="31" t="s">
        <v>25</v>
      </c>
      <c r="G753" s="32"/>
      <c r="H753" s="31" t="s">
        <v>3289</v>
      </c>
      <c r="I753" s="32" t="s">
        <v>10</v>
      </c>
    </row>
    <row r="754" spans="1:9" ht="16.5" customHeight="1" x14ac:dyDescent="0.2">
      <c r="A754" s="35" t="s">
        <v>4055</v>
      </c>
      <c r="B754" s="35" t="s">
        <v>5184</v>
      </c>
      <c r="C754" s="54" t="s">
        <v>7</v>
      </c>
      <c r="D754" s="54" t="s">
        <v>23</v>
      </c>
      <c r="E754" s="54" t="s">
        <v>123</v>
      </c>
      <c r="F754" s="52" t="s">
        <v>18</v>
      </c>
      <c r="G754" s="30" t="s">
        <v>41</v>
      </c>
      <c r="H754" s="32"/>
      <c r="I754" s="32" t="s">
        <v>10</v>
      </c>
    </row>
    <row r="755" spans="1:9" ht="16.5" customHeight="1" x14ac:dyDescent="0.2">
      <c r="A755" s="35" t="s">
        <v>4057</v>
      </c>
      <c r="B755" s="26" t="s">
        <v>5499</v>
      </c>
      <c r="C755" s="66" t="s">
        <v>64</v>
      </c>
      <c r="D755" s="26" t="s">
        <v>82</v>
      </c>
      <c r="E755" s="35" t="s">
        <v>87</v>
      </c>
      <c r="F755" s="31" t="s">
        <v>25</v>
      </c>
      <c r="G755" s="31" t="s">
        <v>72</v>
      </c>
      <c r="H755" s="32"/>
      <c r="I755" s="32" t="s">
        <v>10</v>
      </c>
    </row>
    <row r="756" spans="1:9" ht="16.5" customHeight="1" x14ac:dyDescent="0.2">
      <c r="A756" s="26" t="s">
        <v>4059</v>
      </c>
      <c r="B756" s="26" t="s">
        <v>4060</v>
      </c>
      <c r="C756" s="26" t="s">
        <v>115</v>
      </c>
      <c r="D756" s="27" t="s">
        <v>116</v>
      </c>
      <c r="E756" s="27" t="s">
        <v>126</v>
      </c>
      <c r="F756" s="31" t="s">
        <v>18</v>
      </c>
      <c r="G756" s="31" t="s">
        <v>61</v>
      </c>
      <c r="H756" s="31"/>
      <c r="I756" s="32" t="s">
        <v>10</v>
      </c>
    </row>
    <row r="757" spans="1:9" ht="16.5" customHeight="1" x14ac:dyDescent="0.2">
      <c r="A757" s="35" t="s">
        <v>4061</v>
      </c>
      <c r="B757" s="54" t="s">
        <v>5541</v>
      </c>
      <c r="C757" s="35" t="s">
        <v>115</v>
      </c>
      <c r="D757" s="35" t="s">
        <v>131</v>
      </c>
      <c r="E757" s="35" t="s">
        <v>9</v>
      </c>
      <c r="F757" s="31" t="s">
        <v>25</v>
      </c>
      <c r="G757" s="31" t="s">
        <v>41</v>
      </c>
      <c r="H757" s="30" t="s">
        <v>4063</v>
      </c>
      <c r="I757" s="32" t="s">
        <v>10</v>
      </c>
    </row>
    <row r="758" spans="1:9" ht="16.5" customHeight="1" x14ac:dyDescent="0.2">
      <c r="A758" s="35" t="s">
        <v>4061</v>
      </c>
      <c r="B758" s="54" t="s">
        <v>5541</v>
      </c>
      <c r="C758" s="35" t="s">
        <v>115</v>
      </c>
      <c r="D758" s="35" t="s">
        <v>131</v>
      </c>
      <c r="E758" s="35" t="s">
        <v>9</v>
      </c>
      <c r="F758" s="31" t="s">
        <v>25</v>
      </c>
      <c r="G758" s="31" t="s">
        <v>41</v>
      </c>
      <c r="H758" s="30" t="s">
        <v>5542</v>
      </c>
      <c r="I758" s="32" t="s">
        <v>10</v>
      </c>
    </row>
    <row r="759" spans="1:9" ht="16.5" customHeight="1" x14ac:dyDescent="0.2">
      <c r="A759" s="27" t="s">
        <v>4064</v>
      </c>
      <c r="B759" s="26" t="s">
        <v>4065</v>
      </c>
      <c r="C759" s="66" t="s">
        <v>136</v>
      </c>
      <c r="D759" s="27" t="s">
        <v>137</v>
      </c>
      <c r="E759" s="27" t="s">
        <v>135</v>
      </c>
      <c r="F759" s="31" t="s">
        <v>18</v>
      </c>
      <c r="G759" s="27" t="s">
        <v>61</v>
      </c>
      <c r="H759" s="32"/>
      <c r="I759" s="32" t="s">
        <v>10</v>
      </c>
    </row>
    <row r="760" spans="1:9" ht="16.5" customHeight="1" x14ac:dyDescent="0.2">
      <c r="A760" s="27" t="s">
        <v>4064</v>
      </c>
      <c r="B760" s="26" t="s">
        <v>4065</v>
      </c>
      <c r="C760" s="66" t="s">
        <v>136</v>
      </c>
      <c r="D760" s="27" t="s">
        <v>137</v>
      </c>
      <c r="E760" s="27" t="s">
        <v>135</v>
      </c>
      <c r="F760" s="31" t="s">
        <v>18</v>
      </c>
      <c r="G760" s="27" t="s">
        <v>61</v>
      </c>
      <c r="H760" s="32"/>
      <c r="I760" s="32" t="s">
        <v>10</v>
      </c>
    </row>
    <row r="761" spans="1:9" ht="16.5" customHeight="1" x14ac:dyDescent="0.2">
      <c r="A761" s="26" t="s">
        <v>4066</v>
      </c>
      <c r="B761" s="26" t="s">
        <v>4067</v>
      </c>
      <c r="C761" s="66" t="s">
        <v>136</v>
      </c>
      <c r="D761" s="27" t="s">
        <v>137</v>
      </c>
      <c r="E761" s="26" t="s">
        <v>135</v>
      </c>
      <c r="F761" s="31" t="s">
        <v>18</v>
      </c>
      <c r="G761" s="27" t="s">
        <v>61</v>
      </c>
      <c r="H761" s="32"/>
      <c r="I761" s="32" t="s">
        <v>10</v>
      </c>
    </row>
    <row r="762" spans="1:9" ht="16.5" customHeight="1" x14ac:dyDescent="0.2">
      <c r="A762" s="26" t="s">
        <v>4066</v>
      </c>
      <c r="B762" s="26" t="s">
        <v>4067</v>
      </c>
      <c r="C762" s="66" t="s">
        <v>136</v>
      </c>
      <c r="D762" s="27" t="s">
        <v>137</v>
      </c>
      <c r="E762" s="27" t="s">
        <v>135</v>
      </c>
      <c r="F762" s="31" t="s">
        <v>18</v>
      </c>
      <c r="G762" s="27" t="s">
        <v>61</v>
      </c>
      <c r="H762" s="32"/>
      <c r="I762" s="32" t="s">
        <v>10</v>
      </c>
    </row>
    <row r="763" spans="1:9" ht="16.5" customHeight="1" x14ac:dyDescent="0.2">
      <c r="A763" s="26" t="s">
        <v>4068</v>
      </c>
      <c r="B763" s="26" t="s">
        <v>5135</v>
      </c>
      <c r="C763" s="26" t="s">
        <v>98</v>
      </c>
      <c r="D763" s="26" t="s">
        <v>99</v>
      </c>
      <c r="E763" s="26" t="s">
        <v>129</v>
      </c>
      <c r="F763" s="47" t="s">
        <v>18</v>
      </c>
      <c r="G763" s="31" t="s">
        <v>61</v>
      </c>
      <c r="H763" s="32"/>
      <c r="I763" s="32" t="s">
        <v>10</v>
      </c>
    </row>
    <row r="764" spans="1:9" ht="16.5" customHeight="1" x14ac:dyDescent="0.2">
      <c r="A764" s="26" t="s">
        <v>4068</v>
      </c>
      <c r="B764" s="26" t="s">
        <v>5419</v>
      </c>
      <c r="C764" s="26" t="s">
        <v>115</v>
      </c>
      <c r="D764" s="26" t="s">
        <v>122</v>
      </c>
      <c r="E764" s="26" t="s">
        <v>129</v>
      </c>
      <c r="F764" s="31" t="s">
        <v>18</v>
      </c>
      <c r="G764" s="31" t="s">
        <v>12</v>
      </c>
      <c r="H764" s="32"/>
      <c r="I764" s="32" t="s">
        <v>10</v>
      </c>
    </row>
    <row r="765" spans="1:9" ht="16.5" customHeight="1" x14ac:dyDescent="0.2">
      <c r="A765" s="35" t="s">
        <v>4070</v>
      </c>
      <c r="B765" s="26" t="s">
        <v>5498</v>
      </c>
      <c r="C765" s="66" t="s">
        <v>64</v>
      </c>
      <c r="D765" s="26" t="s">
        <v>82</v>
      </c>
      <c r="E765" s="35" t="s">
        <v>129</v>
      </c>
      <c r="F765" s="31" t="s">
        <v>18</v>
      </c>
      <c r="G765" s="31" t="s">
        <v>61</v>
      </c>
      <c r="H765" s="32"/>
      <c r="I765" s="32" t="s">
        <v>10</v>
      </c>
    </row>
    <row r="766" spans="1:9" ht="16.5" customHeight="1" x14ac:dyDescent="0.2">
      <c r="A766" s="35" t="s">
        <v>4072</v>
      </c>
      <c r="B766" s="35" t="s">
        <v>5211</v>
      </c>
      <c r="C766" s="35" t="s">
        <v>7</v>
      </c>
      <c r="D766" s="35" t="s">
        <v>8</v>
      </c>
      <c r="E766" s="35" t="s">
        <v>66</v>
      </c>
      <c r="F766" s="52" t="s">
        <v>18</v>
      </c>
      <c r="G766" s="30" t="s">
        <v>41</v>
      </c>
      <c r="H766" s="55"/>
      <c r="I766" s="32" t="s">
        <v>10</v>
      </c>
    </row>
    <row r="767" spans="1:9" ht="16.5" customHeight="1" x14ac:dyDescent="0.2">
      <c r="A767" s="35" t="s">
        <v>4074</v>
      </c>
      <c r="B767" s="54" t="s">
        <v>5566</v>
      </c>
      <c r="C767" s="35" t="s">
        <v>115</v>
      </c>
      <c r="D767" s="35" t="s">
        <v>131</v>
      </c>
      <c r="E767" s="35" t="s">
        <v>139</v>
      </c>
      <c r="F767" s="30" t="s">
        <v>18</v>
      </c>
      <c r="G767" s="31" t="s">
        <v>72</v>
      </c>
      <c r="H767" s="30" t="s">
        <v>3398</v>
      </c>
      <c r="I767" s="32" t="s">
        <v>10</v>
      </c>
    </row>
    <row r="768" spans="1:9" ht="16.5" customHeight="1" x14ac:dyDescent="0.2">
      <c r="A768" s="26" t="s">
        <v>4076</v>
      </c>
      <c r="B768" s="66" t="s">
        <v>4077</v>
      </c>
      <c r="C768" s="26" t="s">
        <v>7</v>
      </c>
      <c r="D768" s="27" t="s">
        <v>16</v>
      </c>
      <c r="E768" s="27" t="s">
        <v>87</v>
      </c>
      <c r="F768" s="47" t="s">
        <v>25</v>
      </c>
      <c r="G768" s="47" t="s">
        <v>41</v>
      </c>
      <c r="H768" s="44"/>
      <c r="I768" s="32" t="s">
        <v>10</v>
      </c>
    </row>
    <row r="769" spans="1:9" ht="16.5" customHeight="1" x14ac:dyDescent="0.2">
      <c r="A769" s="26" t="s">
        <v>4076</v>
      </c>
      <c r="B769" s="66" t="s">
        <v>4077</v>
      </c>
      <c r="C769" s="26" t="s">
        <v>7</v>
      </c>
      <c r="D769" s="27" t="s">
        <v>16</v>
      </c>
      <c r="E769" s="27" t="s">
        <v>87</v>
      </c>
      <c r="F769" s="47" t="s">
        <v>25</v>
      </c>
      <c r="G769" s="31" t="s">
        <v>41</v>
      </c>
      <c r="H769" s="32"/>
      <c r="I769" s="32" t="s">
        <v>10</v>
      </c>
    </row>
    <row r="770" spans="1:9" ht="16.5" customHeight="1" x14ac:dyDescent="0.2">
      <c r="A770" s="54" t="s">
        <v>4078</v>
      </c>
      <c r="B770" s="35" t="s">
        <v>4079</v>
      </c>
      <c r="C770" s="35" t="s">
        <v>64</v>
      </c>
      <c r="D770" s="35" t="s">
        <v>95</v>
      </c>
      <c r="E770" s="54" t="s">
        <v>126</v>
      </c>
      <c r="F770" s="31" t="s">
        <v>18</v>
      </c>
      <c r="G770" s="31" t="s">
        <v>41</v>
      </c>
      <c r="H770" s="32"/>
      <c r="I770" s="32" t="s">
        <v>10</v>
      </c>
    </row>
    <row r="771" spans="1:9" ht="16.5" customHeight="1" x14ac:dyDescent="0.2">
      <c r="A771" s="25" t="s">
        <v>4080</v>
      </c>
      <c r="B771" s="26" t="s">
        <v>4081</v>
      </c>
      <c r="C771" s="26" t="s">
        <v>98</v>
      </c>
      <c r="D771" s="26" t="s">
        <v>102</v>
      </c>
      <c r="E771" s="26" t="s">
        <v>83</v>
      </c>
      <c r="F771" s="31" t="s">
        <v>25</v>
      </c>
      <c r="G771" s="31" t="s">
        <v>41</v>
      </c>
      <c r="H771" s="32"/>
      <c r="I771" s="32" t="s">
        <v>10</v>
      </c>
    </row>
    <row r="772" spans="1:9" ht="16.5" customHeight="1" x14ac:dyDescent="0.2">
      <c r="A772" s="83" t="s">
        <v>4082</v>
      </c>
      <c r="B772" s="54" t="s">
        <v>4083</v>
      </c>
      <c r="C772" s="26" t="s">
        <v>98</v>
      </c>
      <c r="D772" s="26" t="s">
        <v>107</v>
      </c>
      <c r="E772" s="26" t="s">
        <v>87</v>
      </c>
      <c r="F772" s="31" t="s">
        <v>18</v>
      </c>
      <c r="G772" s="31" t="s">
        <v>41</v>
      </c>
      <c r="H772" s="32"/>
      <c r="I772" s="32" t="s">
        <v>10</v>
      </c>
    </row>
    <row r="773" spans="1:9" ht="16.5" customHeight="1" x14ac:dyDescent="0.2">
      <c r="A773" s="26" t="s">
        <v>4084</v>
      </c>
      <c r="B773" s="26" t="s">
        <v>4085</v>
      </c>
      <c r="C773" s="66" t="s">
        <v>37</v>
      </c>
      <c r="D773" s="27" t="s">
        <v>38</v>
      </c>
      <c r="E773" s="27" t="s">
        <v>129</v>
      </c>
      <c r="F773" s="31" t="s">
        <v>18</v>
      </c>
      <c r="G773" s="31" t="s">
        <v>61</v>
      </c>
      <c r="H773" s="32"/>
      <c r="I773" s="32" t="s">
        <v>10</v>
      </c>
    </row>
    <row r="774" spans="1:9" ht="16.5" customHeight="1" x14ac:dyDescent="0.25">
      <c r="A774" s="35" t="s">
        <v>4086</v>
      </c>
      <c r="B774" s="76" t="s">
        <v>4087</v>
      </c>
      <c r="C774" s="76" t="s">
        <v>64</v>
      </c>
      <c r="D774" s="35" t="s">
        <v>86</v>
      </c>
      <c r="E774" s="76" t="s">
        <v>87</v>
      </c>
      <c r="F774" s="76" t="s">
        <v>18</v>
      </c>
      <c r="G774" s="35" t="s">
        <v>61</v>
      </c>
      <c r="H774" s="95"/>
      <c r="I774" s="32" t="s">
        <v>10</v>
      </c>
    </row>
    <row r="775" spans="1:9" ht="16.5" customHeight="1" x14ac:dyDescent="0.25">
      <c r="A775" s="35" t="s">
        <v>4088</v>
      </c>
      <c r="B775" s="76" t="s">
        <v>5452</v>
      </c>
      <c r="C775" s="66" t="s">
        <v>37</v>
      </c>
      <c r="D775" s="35" t="s">
        <v>52</v>
      </c>
      <c r="E775" s="76" t="s">
        <v>53</v>
      </c>
      <c r="F775" s="35" t="s">
        <v>25</v>
      </c>
      <c r="G775" s="35" t="s">
        <v>41</v>
      </c>
      <c r="H775" s="95" t="s">
        <v>10</v>
      </c>
      <c r="I775" s="32" t="s">
        <v>47</v>
      </c>
    </row>
    <row r="776" spans="1:9" ht="16.5" customHeight="1" x14ac:dyDescent="0.2">
      <c r="A776" s="35" t="s">
        <v>4090</v>
      </c>
      <c r="B776" s="35" t="s">
        <v>4091</v>
      </c>
      <c r="C776" s="35" t="s">
        <v>7</v>
      </c>
      <c r="D776" s="35" t="s">
        <v>8</v>
      </c>
      <c r="E776" s="35" t="s">
        <v>66</v>
      </c>
      <c r="F776" s="52" t="s">
        <v>18</v>
      </c>
      <c r="G776" s="30" t="s">
        <v>41</v>
      </c>
      <c r="H776" s="55"/>
      <c r="I776" s="32" t="s">
        <v>10</v>
      </c>
    </row>
    <row r="777" spans="1:9" ht="16.5" customHeight="1" x14ac:dyDescent="0.2">
      <c r="A777" s="35" t="s">
        <v>4090</v>
      </c>
      <c r="B777" s="35" t="s">
        <v>4091</v>
      </c>
      <c r="C777" s="35" t="s">
        <v>7</v>
      </c>
      <c r="D777" s="35" t="s">
        <v>8</v>
      </c>
      <c r="E777" s="35" t="s">
        <v>66</v>
      </c>
      <c r="F777" s="52" t="s">
        <v>18</v>
      </c>
      <c r="G777" s="30" t="s">
        <v>41</v>
      </c>
      <c r="H777" s="55"/>
      <c r="I777" s="32" t="s">
        <v>10</v>
      </c>
    </row>
    <row r="778" spans="1:9" ht="16.5" customHeight="1" x14ac:dyDescent="0.2">
      <c r="A778" s="25" t="s">
        <v>4090</v>
      </c>
      <c r="B778" s="26" t="s">
        <v>4091</v>
      </c>
      <c r="C778" s="26" t="s">
        <v>7</v>
      </c>
      <c r="D778" s="27" t="s">
        <v>16</v>
      </c>
      <c r="E778" s="26" t="s">
        <v>66</v>
      </c>
      <c r="F778" s="47" t="s">
        <v>18</v>
      </c>
      <c r="G778" s="31" t="s">
        <v>72</v>
      </c>
      <c r="H778" s="32"/>
      <c r="I778" s="32" t="s">
        <v>10</v>
      </c>
    </row>
    <row r="779" spans="1:9" ht="16.5" customHeight="1" x14ac:dyDescent="0.2">
      <c r="A779" s="26" t="s">
        <v>4092</v>
      </c>
      <c r="B779" s="26" t="s">
        <v>4093</v>
      </c>
      <c r="C779" s="66" t="s">
        <v>98</v>
      </c>
      <c r="D779" s="66" t="s">
        <v>110</v>
      </c>
      <c r="E779" s="66" t="s">
        <v>106</v>
      </c>
      <c r="F779" s="31" t="s">
        <v>18</v>
      </c>
      <c r="G779" s="67" t="s">
        <v>19</v>
      </c>
      <c r="H779" s="32" t="s">
        <v>10</v>
      </c>
      <c r="I779" s="32" t="s">
        <v>10</v>
      </c>
    </row>
    <row r="780" spans="1:9" ht="16.5" customHeight="1" x14ac:dyDescent="0.2">
      <c r="A780" s="26" t="s">
        <v>4094</v>
      </c>
      <c r="B780" s="26" t="s">
        <v>4095</v>
      </c>
      <c r="C780" s="26" t="s">
        <v>98</v>
      </c>
      <c r="D780" s="26" t="s">
        <v>102</v>
      </c>
      <c r="E780" s="26" t="s">
        <v>108</v>
      </c>
      <c r="F780" s="31" t="s">
        <v>18</v>
      </c>
      <c r="G780" s="31" t="s">
        <v>61</v>
      </c>
      <c r="H780" s="32"/>
      <c r="I780" s="32" t="s">
        <v>10</v>
      </c>
    </row>
    <row r="781" spans="1:9" ht="16.5" customHeight="1" x14ac:dyDescent="0.2">
      <c r="A781" s="35" t="s">
        <v>4096</v>
      </c>
      <c r="B781" s="35" t="s">
        <v>4097</v>
      </c>
      <c r="C781" s="35" t="s">
        <v>64</v>
      </c>
      <c r="D781" s="35" t="s">
        <v>70</v>
      </c>
      <c r="E781" s="35" t="s">
        <v>87</v>
      </c>
      <c r="F781" s="30" t="s">
        <v>18</v>
      </c>
      <c r="G781" s="31" t="s">
        <v>61</v>
      </c>
      <c r="H781" s="32"/>
      <c r="I781" s="32" t="s">
        <v>10</v>
      </c>
    </row>
    <row r="782" spans="1:9" ht="16.5" customHeight="1" x14ac:dyDescent="0.2">
      <c r="A782" s="35" t="s">
        <v>4096</v>
      </c>
      <c r="B782" s="35" t="s">
        <v>4097</v>
      </c>
      <c r="C782" s="35" t="s">
        <v>64</v>
      </c>
      <c r="D782" s="35" t="s">
        <v>70</v>
      </c>
      <c r="E782" s="35" t="s">
        <v>87</v>
      </c>
      <c r="F782" s="30" t="s">
        <v>18</v>
      </c>
      <c r="G782" s="31" t="s">
        <v>61</v>
      </c>
      <c r="H782" s="32"/>
      <c r="I782" s="32" t="s">
        <v>10</v>
      </c>
    </row>
    <row r="783" spans="1:9" ht="16.5" customHeight="1" x14ac:dyDescent="0.2">
      <c r="A783" s="35" t="s">
        <v>4096</v>
      </c>
      <c r="B783" s="35" t="s">
        <v>4097</v>
      </c>
      <c r="C783" s="35" t="s">
        <v>64</v>
      </c>
      <c r="D783" s="35" t="s">
        <v>70</v>
      </c>
      <c r="E783" s="35" t="s">
        <v>87</v>
      </c>
      <c r="F783" s="30" t="s">
        <v>18</v>
      </c>
      <c r="G783" s="31" t="s">
        <v>61</v>
      </c>
      <c r="H783" s="32"/>
      <c r="I783" s="32" t="s">
        <v>10</v>
      </c>
    </row>
    <row r="784" spans="1:9" ht="16.5" customHeight="1" x14ac:dyDescent="0.2">
      <c r="A784" s="26" t="s">
        <v>4098</v>
      </c>
      <c r="B784" s="26" t="s">
        <v>5136</v>
      </c>
      <c r="C784" s="26" t="s">
        <v>98</v>
      </c>
      <c r="D784" s="26" t="s">
        <v>99</v>
      </c>
      <c r="E784" s="26" t="s">
        <v>129</v>
      </c>
      <c r="F784" s="47" t="s">
        <v>18</v>
      </c>
      <c r="G784" s="31" t="s">
        <v>61</v>
      </c>
      <c r="H784" s="32"/>
      <c r="I784" s="32" t="s">
        <v>10</v>
      </c>
    </row>
    <row r="785" spans="1:9" ht="16.5" customHeight="1" x14ac:dyDescent="0.2">
      <c r="A785" s="35" t="s">
        <v>4100</v>
      </c>
      <c r="B785" s="35" t="s">
        <v>4101</v>
      </c>
      <c r="C785" s="35" t="s">
        <v>115</v>
      </c>
      <c r="D785" s="35" t="s">
        <v>116</v>
      </c>
      <c r="E785" s="26" t="s">
        <v>108</v>
      </c>
      <c r="F785" s="52" t="s">
        <v>25</v>
      </c>
      <c r="G785" s="52" t="s">
        <v>61</v>
      </c>
      <c r="I785" s="32" t="s">
        <v>10</v>
      </c>
    </row>
    <row r="786" spans="1:9" ht="16.5" customHeight="1" x14ac:dyDescent="0.2">
      <c r="A786" s="26" t="s">
        <v>4102</v>
      </c>
      <c r="B786" s="26" t="s">
        <v>4103</v>
      </c>
      <c r="C786" s="26" t="s">
        <v>115</v>
      </c>
      <c r="D786" s="26" t="s">
        <v>122</v>
      </c>
      <c r="E786" s="26" t="s">
        <v>108</v>
      </c>
      <c r="F786" s="31" t="s">
        <v>25</v>
      </c>
      <c r="G786" s="31" t="s">
        <v>61</v>
      </c>
      <c r="H786" s="32"/>
      <c r="I786" s="32" t="s">
        <v>10</v>
      </c>
    </row>
    <row r="787" spans="1:9" ht="16.5" customHeight="1" x14ac:dyDescent="0.2">
      <c r="A787" s="84" t="s">
        <v>4104</v>
      </c>
      <c r="B787" s="26" t="s">
        <v>4105</v>
      </c>
      <c r="C787" s="66" t="s">
        <v>37</v>
      </c>
      <c r="D787" s="66" t="s">
        <v>52</v>
      </c>
      <c r="E787" s="66" t="s">
        <v>108</v>
      </c>
      <c r="F787" s="31" t="s">
        <v>32</v>
      </c>
      <c r="G787" s="66" t="s">
        <v>41</v>
      </c>
      <c r="H787" s="69"/>
      <c r="I787" s="32" t="s">
        <v>10</v>
      </c>
    </row>
    <row r="788" spans="1:9" ht="16.5" customHeight="1" x14ac:dyDescent="0.2">
      <c r="A788" s="84" t="s">
        <v>4104</v>
      </c>
      <c r="B788" s="26" t="s">
        <v>4105</v>
      </c>
      <c r="C788" s="66" t="s">
        <v>37</v>
      </c>
      <c r="D788" s="66" t="s">
        <v>52</v>
      </c>
      <c r="E788" s="66" t="s">
        <v>108</v>
      </c>
      <c r="F788" s="31" t="s">
        <v>32</v>
      </c>
      <c r="G788" s="32"/>
      <c r="H788" s="32"/>
      <c r="I788" s="32" t="s">
        <v>10</v>
      </c>
    </row>
    <row r="789" spans="1:9" ht="16.5" customHeight="1" x14ac:dyDescent="0.25">
      <c r="A789" s="35" t="s">
        <v>4104</v>
      </c>
      <c r="B789" s="76" t="s">
        <v>5450</v>
      </c>
      <c r="C789" s="66" t="s">
        <v>37</v>
      </c>
      <c r="D789" s="35" t="s">
        <v>52</v>
      </c>
      <c r="E789" s="76" t="s">
        <v>53</v>
      </c>
      <c r="F789" s="35" t="s">
        <v>25</v>
      </c>
      <c r="G789" s="35" t="s">
        <v>41</v>
      </c>
      <c r="H789" s="95" t="s">
        <v>10</v>
      </c>
      <c r="I789" s="32" t="s">
        <v>47</v>
      </c>
    </row>
    <row r="790" spans="1:9" ht="16.5" customHeight="1" x14ac:dyDescent="0.2">
      <c r="A790" s="35" t="s">
        <v>4106</v>
      </c>
      <c r="B790" s="35" t="s">
        <v>5209</v>
      </c>
      <c r="C790" s="35" t="s">
        <v>7</v>
      </c>
      <c r="D790" s="35" t="s">
        <v>8</v>
      </c>
      <c r="E790" s="35" t="s">
        <v>87</v>
      </c>
      <c r="F790" s="52" t="s">
        <v>18</v>
      </c>
      <c r="G790" s="30" t="s">
        <v>61</v>
      </c>
      <c r="H790" s="55"/>
      <c r="I790" s="32" t="s">
        <v>10</v>
      </c>
    </row>
    <row r="791" spans="1:9" ht="16.5" customHeight="1" x14ac:dyDescent="0.2">
      <c r="A791" s="35" t="s">
        <v>4108</v>
      </c>
      <c r="B791" s="35" t="s">
        <v>4109</v>
      </c>
      <c r="C791" s="26" t="s">
        <v>98</v>
      </c>
      <c r="D791" s="26" t="s">
        <v>107</v>
      </c>
      <c r="E791" s="26" t="s">
        <v>108</v>
      </c>
      <c r="F791" s="31" t="s">
        <v>18</v>
      </c>
      <c r="G791" s="27" t="s">
        <v>61</v>
      </c>
      <c r="H791" s="27"/>
      <c r="I791" s="32" t="s">
        <v>10</v>
      </c>
    </row>
    <row r="792" spans="1:9" ht="16.5" customHeight="1" x14ac:dyDescent="0.2">
      <c r="A792" s="26" t="s">
        <v>4110</v>
      </c>
      <c r="B792" s="26" t="s">
        <v>4111</v>
      </c>
      <c r="C792" s="26" t="s">
        <v>7</v>
      </c>
      <c r="D792" s="26" t="s">
        <v>16</v>
      </c>
      <c r="E792" s="26" t="s">
        <v>126</v>
      </c>
      <c r="F792" s="31" t="s">
        <v>18</v>
      </c>
      <c r="G792" s="32"/>
      <c r="H792" s="32" t="s">
        <v>10</v>
      </c>
      <c r="I792" s="32" t="s">
        <v>10</v>
      </c>
    </row>
    <row r="793" spans="1:9" ht="16.5" customHeight="1" x14ac:dyDescent="0.2">
      <c r="A793" s="26" t="s">
        <v>4110</v>
      </c>
      <c r="B793" s="26" t="s">
        <v>4111</v>
      </c>
      <c r="C793" s="26" t="s">
        <v>7</v>
      </c>
      <c r="D793" s="26" t="s">
        <v>16</v>
      </c>
      <c r="E793" s="26" t="s">
        <v>126</v>
      </c>
      <c r="F793" s="31" t="s">
        <v>18</v>
      </c>
      <c r="G793" s="32"/>
      <c r="H793" s="32" t="s">
        <v>10</v>
      </c>
      <c r="I793" s="32" t="s">
        <v>10</v>
      </c>
    </row>
    <row r="794" spans="1:9" ht="16.5" customHeight="1" x14ac:dyDescent="0.2">
      <c r="A794" s="26" t="s">
        <v>4112</v>
      </c>
      <c r="B794" s="26" t="s">
        <v>4113</v>
      </c>
      <c r="C794" s="26" t="s">
        <v>98</v>
      </c>
      <c r="D794" s="26" t="s">
        <v>102</v>
      </c>
      <c r="E794" s="26" t="s">
        <v>108</v>
      </c>
      <c r="F794" s="31" t="s">
        <v>32</v>
      </c>
      <c r="G794" s="31" t="s">
        <v>61</v>
      </c>
      <c r="H794" s="32"/>
      <c r="I794" s="32" t="s">
        <v>10</v>
      </c>
    </row>
    <row r="795" spans="1:9" ht="16.5" customHeight="1" x14ac:dyDescent="0.2">
      <c r="A795" s="35" t="s">
        <v>4114</v>
      </c>
      <c r="B795" s="35" t="s">
        <v>4115</v>
      </c>
      <c r="C795" s="35" t="s">
        <v>64</v>
      </c>
      <c r="D795" s="35" t="s">
        <v>78</v>
      </c>
      <c r="E795" s="35" t="s">
        <v>114</v>
      </c>
      <c r="F795" s="30" t="s">
        <v>25</v>
      </c>
      <c r="G795" s="31" t="s">
        <v>72</v>
      </c>
      <c r="H795" s="32"/>
      <c r="I795" s="32" t="s">
        <v>10</v>
      </c>
    </row>
    <row r="796" spans="1:9" ht="16.5" customHeight="1" x14ac:dyDescent="0.2">
      <c r="A796" s="35" t="s">
        <v>4116</v>
      </c>
      <c r="B796" s="35" t="s">
        <v>4117</v>
      </c>
      <c r="C796" s="35" t="s">
        <v>7</v>
      </c>
      <c r="D796" s="35" t="s">
        <v>8</v>
      </c>
      <c r="E796" s="35" t="s">
        <v>108</v>
      </c>
      <c r="F796" s="52" t="s">
        <v>25</v>
      </c>
      <c r="G796" s="30" t="s">
        <v>61</v>
      </c>
      <c r="H796" s="55"/>
      <c r="I796" s="32" t="s">
        <v>10</v>
      </c>
    </row>
    <row r="797" spans="1:9" ht="16.5" customHeight="1" x14ac:dyDescent="0.2">
      <c r="A797" s="35" t="s">
        <v>4118</v>
      </c>
      <c r="B797" s="35" t="s">
        <v>4119</v>
      </c>
      <c r="C797" s="35" t="s">
        <v>64</v>
      </c>
      <c r="D797" s="35" t="s">
        <v>65</v>
      </c>
      <c r="E797" s="35" t="s">
        <v>108</v>
      </c>
      <c r="F797" s="30" t="s">
        <v>18</v>
      </c>
      <c r="G797" s="31" t="s">
        <v>41</v>
      </c>
      <c r="H797" s="32"/>
      <c r="I797" s="32" t="s">
        <v>10</v>
      </c>
    </row>
    <row r="798" spans="1:9" ht="16.5" customHeight="1" x14ac:dyDescent="0.2">
      <c r="A798" s="35" t="s">
        <v>4120</v>
      </c>
      <c r="B798" s="35" t="s">
        <v>4121</v>
      </c>
      <c r="C798" s="35" t="s">
        <v>115</v>
      </c>
      <c r="D798" s="35" t="s">
        <v>116</v>
      </c>
      <c r="E798" s="35" t="s">
        <v>108</v>
      </c>
      <c r="F798" s="52" t="s">
        <v>18</v>
      </c>
      <c r="G798" s="31" t="s">
        <v>61</v>
      </c>
      <c r="I798" s="32" t="s">
        <v>10</v>
      </c>
    </row>
    <row r="799" spans="1:9" ht="16.5" customHeight="1" x14ac:dyDescent="0.2">
      <c r="A799" s="94" t="s">
        <v>4122</v>
      </c>
      <c r="B799" s="26" t="s">
        <v>4123</v>
      </c>
      <c r="C799" s="66" t="s">
        <v>136</v>
      </c>
      <c r="D799" s="120" t="s">
        <v>137</v>
      </c>
      <c r="E799" s="109" t="s">
        <v>111</v>
      </c>
      <c r="F799" s="31" t="s">
        <v>11</v>
      </c>
      <c r="G799" s="31" t="s">
        <v>41</v>
      </c>
      <c r="H799" s="32"/>
      <c r="I799" s="32" t="s">
        <v>10</v>
      </c>
    </row>
    <row r="800" spans="1:9" ht="16.5" customHeight="1" x14ac:dyDescent="0.2">
      <c r="A800" s="94" t="s">
        <v>4124</v>
      </c>
      <c r="B800" s="26" t="s">
        <v>4125</v>
      </c>
      <c r="C800" s="66" t="s">
        <v>136</v>
      </c>
      <c r="D800" s="120" t="s">
        <v>137</v>
      </c>
      <c r="E800" s="109" t="s">
        <v>108</v>
      </c>
      <c r="F800" s="31" t="s">
        <v>18</v>
      </c>
      <c r="G800" s="27" t="s">
        <v>61</v>
      </c>
      <c r="H800" s="51"/>
      <c r="I800" s="32" t="s">
        <v>10</v>
      </c>
    </row>
    <row r="801" spans="1:9" ht="16.5" customHeight="1" x14ac:dyDescent="0.2">
      <c r="A801" s="26" t="s">
        <v>4124</v>
      </c>
      <c r="B801" s="26" t="s">
        <v>4125</v>
      </c>
      <c r="C801" s="66" t="s">
        <v>136</v>
      </c>
      <c r="D801" s="27" t="s">
        <v>137</v>
      </c>
      <c r="E801" s="26" t="s">
        <v>108</v>
      </c>
      <c r="F801" s="31" t="s">
        <v>18</v>
      </c>
      <c r="G801" s="27" t="s">
        <v>61</v>
      </c>
      <c r="H801" s="51"/>
      <c r="I801" s="32" t="s">
        <v>10</v>
      </c>
    </row>
    <row r="802" spans="1:9" ht="16.5" customHeight="1" x14ac:dyDescent="0.2">
      <c r="A802" s="35" t="s">
        <v>4126</v>
      </c>
      <c r="B802" s="35" t="s">
        <v>4127</v>
      </c>
      <c r="C802" s="26" t="s">
        <v>98</v>
      </c>
      <c r="D802" s="26" t="s">
        <v>113</v>
      </c>
      <c r="E802" s="26" t="s">
        <v>126</v>
      </c>
      <c r="F802" s="31" t="s">
        <v>18</v>
      </c>
      <c r="G802" s="31" t="s">
        <v>19</v>
      </c>
      <c r="H802" s="32"/>
      <c r="I802" s="32" t="s">
        <v>10</v>
      </c>
    </row>
    <row r="803" spans="1:9" ht="16.5" customHeight="1" x14ac:dyDescent="0.2">
      <c r="A803" s="35" t="s">
        <v>4128</v>
      </c>
      <c r="B803" s="35" t="s">
        <v>4129</v>
      </c>
      <c r="C803" s="35" t="s">
        <v>64</v>
      </c>
      <c r="D803" s="35" t="s">
        <v>78</v>
      </c>
      <c r="E803" s="35" t="s">
        <v>129</v>
      </c>
      <c r="F803" s="30" t="s">
        <v>18</v>
      </c>
      <c r="G803" s="31" t="s">
        <v>61</v>
      </c>
      <c r="H803" s="32"/>
      <c r="I803" s="32" t="s">
        <v>10</v>
      </c>
    </row>
    <row r="804" spans="1:9" ht="16.5" customHeight="1" x14ac:dyDescent="0.2">
      <c r="A804" s="35" t="s">
        <v>4130</v>
      </c>
      <c r="B804" s="35" t="s">
        <v>4131</v>
      </c>
      <c r="C804" s="35" t="s">
        <v>115</v>
      </c>
      <c r="D804" s="35" t="s">
        <v>119</v>
      </c>
      <c r="E804" s="35" t="s">
        <v>135</v>
      </c>
      <c r="F804" s="52" t="s">
        <v>18</v>
      </c>
      <c r="G804" s="30" t="s">
        <v>61</v>
      </c>
      <c r="H804" s="30"/>
      <c r="I804" s="32" t="s">
        <v>10</v>
      </c>
    </row>
    <row r="805" spans="1:9" ht="16.5" customHeight="1" x14ac:dyDescent="0.2">
      <c r="A805" s="35" t="s">
        <v>4132</v>
      </c>
      <c r="B805" s="26" t="s">
        <v>5502</v>
      </c>
      <c r="C805" s="66" t="s">
        <v>64</v>
      </c>
      <c r="D805" s="26" t="s">
        <v>82</v>
      </c>
      <c r="E805" s="35" t="s">
        <v>108</v>
      </c>
      <c r="F805" s="31" t="s">
        <v>18</v>
      </c>
      <c r="G805" s="31" t="s">
        <v>3280</v>
      </c>
      <c r="H805" s="32"/>
      <c r="I805" s="32" t="s">
        <v>10</v>
      </c>
    </row>
    <row r="806" spans="1:9" ht="16.5" customHeight="1" x14ac:dyDescent="0.2">
      <c r="A806" s="35" t="s">
        <v>4134</v>
      </c>
      <c r="B806" s="35" t="s">
        <v>4135</v>
      </c>
      <c r="C806" s="35" t="s">
        <v>64</v>
      </c>
      <c r="D806" s="35" t="s">
        <v>78</v>
      </c>
      <c r="E806" s="35" t="s">
        <v>129</v>
      </c>
      <c r="F806" s="30" t="s">
        <v>18</v>
      </c>
      <c r="G806" s="31" t="s">
        <v>26</v>
      </c>
      <c r="H806" s="32"/>
      <c r="I806" s="32" t="s">
        <v>10</v>
      </c>
    </row>
    <row r="807" spans="1:9" ht="16.5" customHeight="1" x14ac:dyDescent="0.2">
      <c r="A807" s="83" t="s">
        <v>4136</v>
      </c>
      <c r="B807" s="54" t="s">
        <v>4137</v>
      </c>
      <c r="C807" s="26" t="s">
        <v>98</v>
      </c>
      <c r="D807" s="26" t="s">
        <v>107</v>
      </c>
      <c r="E807" s="26" t="s">
        <v>87</v>
      </c>
      <c r="F807" s="31" t="s">
        <v>18</v>
      </c>
      <c r="G807" s="31" t="s">
        <v>41</v>
      </c>
      <c r="H807" s="32"/>
      <c r="I807" s="32" t="s">
        <v>10</v>
      </c>
    </row>
    <row r="808" spans="1:9" ht="16.5" customHeight="1" x14ac:dyDescent="0.2">
      <c r="A808" s="26" t="s">
        <v>4138</v>
      </c>
      <c r="B808" s="26" t="s">
        <v>4139</v>
      </c>
      <c r="C808" s="26" t="s">
        <v>136</v>
      </c>
      <c r="D808" s="26" t="s">
        <v>137</v>
      </c>
      <c r="E808" s="26" t="s">
        <v>87</v>
      </c>
      <c r="F808" s="31" t="s">
        <v>25</v>
      </c>
      <c r="G808" s="31" t="s">
        <v>41</v>
      </c>
      <c r="H808" s="32"/>
      <c r="I808" s="32" t="s">
        <v>10</v>
      </c>
    </row>
    <row r="809" spans="1:9" ht="16.5" customHeight="1" x14ac:dyDescent="0.2">
      <c r="A809" s="94" t="s">
        <v>4140</v>
      </c>
      <c r="B809" s="26" t="s">
        <v>4141</v>
      </c>
      <c r="C809" s="26" t="s">
        <v>98</v>
      </c>
      <c r="D809" s="26" t="s">
        <v>105</v>
      </c>
      <c r="E809" s="26" t="s">
        <v>83</v>
      </c>
      <c r="F809" s="31" t="s">
        <v>25</v>
      </c>
      <c r="G809" s="31" t="s">
        <v>41</v>
      </c>
      <c r="H809" s="32"/>
      <c r="I809" s="32" t="s">
        <v>10</v>
      </c>
    </row>
    <row r="810" spans="1:9" ht="16.5" customHeight="1" x14ac:dyDescent="0.2">
      <c r="A810" s="94" t="s">
        <v>4142</v>
      </c>
      <c r="B810" s="26" t="s">
        <v>4143</v>
      </c>
      <c r="C810" s="26" t="s">
        <v>115</v>
      </c>
      <c r="D810" s="27" t="s">
        <v>116</v>
      </c>
      <c r="E810" s="27" t="s">
        <v>108</v>
      </c>
      <c r="F810" s="31" t="s">
        <v>18</v>
      </c>
      <c r="G810" s="31" t="s">
        <v>61</v>
      </c>
      <c r="H810" s="31"/>
      <c r="I810" s="32" t="s">
        <v>10</v>
      </c>
    </row>
    <row r="811" spans="1:9" ht="16.5" customHeight="1" x14ac:dyDescent="0.2">
      <c r="A811" s="27" t="s">
        <v>4144</v>
      </c>
      <c r="B811" s="27" t="s">
        <v>4145</v>
      </c>
      <c r="C811" s="27" t="s">
        <v>7</v>
      </c>
      <c r="D811" s="27" t="s">
        <v>8</v>
      </c>
      <c r="E811" s="27" t="s">
        <v>106</v>
      </c>
      <c r="F811" s="47" t="s">
        <v>18</v>
      </c>
      <c r="G811" s="44" t="s">
        <v>61</v>
      </c>
      <c r="H811" s="27" t="s">
        <v>4146</v>
      </c>
      <c r="I811" s="32" t="s">
        <v>10</v>
      </c>
    </row>
    <row r="812" spans="1:9" ht="16.5" customHeight="1" x14ac:dyDescent="0.2">
      <c r="A812" s="35" t="s">
        <v>4144</v>
      </c>
      <c r="B812" s="35" t="s">
        <v>4145</v>
      </c>
      <c r="C812" s="35" t="s">
        <v>115</v>
      </c>
      <c r="D812" s="35" t="s">
        <v>134</v>
      </c>
      <c r="E812" s="35" t="s">
        <v>106</v>
      </c>
      <c r="F812" s="30" t="s">
        <v>18</v>
      </c>
      <c r="G812" s="44" t="s">
        <v>61</v>
      </c>
      <c r="H812" s="55"/>
      <c r="I812" s="32" t="s">
        <v>10</v>
      </c>
    </row>
    <row r="813" spans="1:9" ht="16.5" customHeight="1" x14ac:dyDescent="0.2">
      <c r="A813" s="35" t="s">
        <v>4147</v>
      </c>
      <c r="B813" s="35" t="s">
        <v>4148</v>
      </c>
      <c r="C813" s="35" t="s">
        <v>64</v>
      </c>
      <c r="D813" s="35" t="s">
        <v>78</v>
      </c>
      <c r="E813" s="35" t="s">
        <v>9</v>
      </c>
      <c r="F813" s="30" t="s">
        <v>18</v>
      </c>
      <c r="G813" s="31" t="s">
        <v>12</v>
      </c>
      <c r="H813" s="31"/>
      <c r="I813" s="32" t="s">
        <v>10</v>
      </c>
    </row>
    <row r="814" spans="1:9" ht="16.5" customHeight="1" x14ac:dyDescent="0.2">
      <c r="A814" s="26" t="s">
        <v>4147</v>
      </c>
      <c r="B814" s="26" t="s">
        <v>5467</v>
      </c>
      <c r="C814" s="26" t="s">
        <v>37</v>
      </c>
      <c r="D814" s="27" t="s">
        <v>38</v>
      </c>
      <c r="E814" s="27" t="s">
        <v>9</v>
      </c>
      <c r="F814" s="31" t="s">
        <v>18</v>
      </c>
      <c r="G814" s="31" t="s">
        <v>41</v>
      </c>
      <c r="H814" s="32"/>
      <c r="I814" s="32" t="s">
        <v>10</v>
      </c>
    </row>
    <row r="815" spans="1:9" ht="16.5" customHeight="1" x14ac:dyDescent="0.2">
      <c r="A815" s="35" t="s">
        <v>4149</v>
      </c>
      <c r="B815" s="35" t="s">
        <v>4150</v>
      </c>
      <c r="C815" s="26" t="s">
        <v>98</v>
      </c>
      <c r="D815" s="26" t="s">
        <v>107</v>
      </c>
      <c r="E815" s="26" t="s">
        <v>129</v>
      </c>
      <c r="F815" s="31" t="s">
        <v>18</v>
      </c>
      <c r="G815" s="27" t="s">
        <v>19</v>
      </c>
      <c r="H815" s="27"/>
      <c r="I815" s="32" t="s">
        <v>10</v>
      </c>
    </row>
    <row r="816" spans="1:9" ht="16.5" customHeight="1" x14ac:dyDescent="0.25">
      <c r="A816" s="35" t="s">
        <v>4151</v>
      </c>
      <c r="B816" s="76" t="s">
        <v>4152</v>
      </c>
      <c r="C816" s="76" t="s">
        <v>64</v>
      </c>
      <c r="D816" s="35" t="s">
        <v>86</v>
      </c>
      <c r="E816" s="76" t="s">
        <v>87</v>
      </c>
      <c r="F816" s="76" t="s">
        <v>25</v>
      </c>
      <c r="G816" s="35" t="s">
        <v>72</v>
      </c>
      <c r="H816" s="95"/>
      <c r="I816" s="32" t="s">
        <v>10</v>
      </c>
    </row>
    <row r="817" spans="1:9" ht="16.5" customHeight="1" x14ac:dyDescent="0.25">
      <c r="A817" s="35" t="s">
        <v>4151</v>
      </c>
      <c r="B817" s="76" t="s">
        <v>4152</v>
      </c>
      <c r="C817" s="76" t="s">
        <v>64</v>
      </c>
      <c r="D817" s="35" t="s">
        <v>86</v>
      </c>
      <c r="E817" s="76" t="s">
        <v>87</v>
      </c>
      <c r="F817" s="76" t="s">
        <v>25</v>
      </c>
      <c r="G817" s="35" t="s">
        <v>72</v>
      </c>
      <c r="H817" s="95"/>
      <c r="I817" s="32" t="s">
        <v>10</v>
      </c>
    </row>
    <row r="818" spans="1:9" ht="16.5" customHeight="1" x14ac:dyDescent="0.2">
      <c r="A818" s="35" t="s">
        <v>4153</v>
      </c>
      <c r="B818" s="26" t="s">
        <v>5511</v>
      </c>
      <c r="C818" s="66" t="s">
        <v>64</v>
      </c>
      <c r="D818" s="26" t="s">
        <v>82</v>
      </c>
      <c r="E818" s="35" t="s">
        <v>87</v>
      </c>
      <c r="F818" s="31" t="s">
        <v>25</v>
      </c>
      <c r="G818" s="31" t="s">
        <v>72</v>
      </c>
      <c r="H818" s="32"/>
      <c r="I818" s="32" t="s">
        <v>10</v>
      </c>
    </row>
    <row r="819" spans="1:9" ht="16.5" customHeight="1" x14ac:dyDescent="0.2">
      <c r="A819" s="26" t="s">
        <v>4155</v>
      </c>
      <c r="B819" s="26" t="s">
        <v>4156</v>
      </c>
      <c r="C819" s="26" t="s">
        <v>115</v>
      </c>
      <c r="D819" s="27" t="s">
        <v>116</v>
      </c>
      <c r="E819" s="27" t="s">
        <v>114</v>
      </c>
      <c r="F819" s="31" t="s">
        <v>25</v>
      </c>
      <c r="G819" s="31" t="s">
        <v>61</v>
      </c>
      <c r="H819" s="31"/>
      <c r="I819" s="32" t="s">
        <v>10</v>
      </c>
    </row>
    <row r="820" spans="1:9" ht="16.5" customHeight="1" x14ac:dyDescent="0.2">
      <c r="A820" s="35" t="s">
        <v>4157</v>
      </c>
      <c r="B820" s="35" t="s">
        <v>4158</v>
      </c>
      <c r="C820" s="35" t="s">
        <v>115</v>
      </c>
      <c r="D820" s="35" t="s">
        <v>119</v>
      </c>
      <c r="E820" s="35" t="s">
        <v>114</v>
      </c>
      <c r="F820" s="52" t="s">
        <v>25</v>
      </c>
      <c r="G820" s="52" t="s">
        <v>61</v>
      </c>
      <c r="H820" s="30"/>
      <c r="I820" s="32" t="s">
        <v>10</v>
      </c>
    </row>
    <row r="821" spans="1:9" ht="16.5" customHeight="1" x14ac:dyDescent="0.2">
      <c r="A821" s="26" t="s">
        <v>4159</v>
      </c>
      <c r="B821" s="26" t="s">
        <v>4160</v>
      </c>
      <c r="C821" s="26" t="s">
        <v>115</v>
      </c>
      <c r="D821" s="27" t="s">
        <v>116</v>
      </c>
      <c r="E821" s="27" t="s">
        <v>9</v>
      </c>
      <c r="F821" s="31" t="s">
        <v>18</v>
      </c>
      <c r="G821" s="31" t="s">
        <v>12</v>
      </c>
      <c r="H821" s="31"/>
      <c r="I821" s="32" t="s">
        <v>10</v>
      </c>
    </row>
    <row r="822" spans="1:9" ht="16.5" customHeight="1" x14ac:dyDescent="0.2">
      <c r="A822" s="26" t="s">
        <v>4159</v>
      </c>
      <c r="B822" s="26" t="s">
        <v>4160</v>
      </c>
      <c r="C822" s="26" t="s">
        <v>115</v>
      </c>
      <c r="D822" s="27" t="s">
        <v>116</v>
      </c>
      <c r="E822" s="27" t="s">
        <v>9</v>
      </c>
      <c r="F822" s="31" t="s">
        <v>18</v>
      </c>
      <c r="G822" s="31" t="s">
        <v>12</v>
      </c>
      <c r="H822" s="31"/>
      <c r="I822" s="32" t="s">
        <v>10</v>
      </c>
    </row>
    <row r="823" spans="1:9" ht="16.5" customHeight="1" x14ac:dyDescent="0.2">
      <c r="A823" s="26" t="s">
        <v>4161</v>
      </c>
      <c r="B823" s="26" t="s">
        <v>4162</v>
      </c>
      <c r="C823" s="26" t="s">
        <v>37</v>
      </c>
      <c r="D823" s="26" t="s">
        <v>45</v>
      </c>
      <c r="E823" s="26" t="s">
        <v>138</v>
      </c>
      <c r="F823" s="31" t="s">
        <v>32</v>
      </c>
      <c r="G823" s="31" t="s">
        <v>72</v>
      </c>
      <c r="H823" s="31" t="s">
        <v>3600</v>
      </c>
      <c r="I823" s="32" t="s">
        <v>10</v>
      </c>
    </row>
    <row r="824" spans="1:9" ht="16.5" customHeight="1" x14ac:dyDescent="0.2">
      <c r="A824" s="35" t="s">
        <v>4163</v>
      </c>
      <c r="B824" s="35" t="s">
        <v>4164</v>
      </c>
      <c r="C824" s="35" t="s">
        <v>7</v>
      </c>
      <c r="D824" s="35" t="s">
        <v>8</v>
      </c>
      <c r="E824" s="35" t="s">
        <v>17</v>
      </c>
      <c r="F824" s="52" t="s">
        <v>11</v>
      </c>
      <c r="G824" s="30" t="s">
        <v>41</v>
      </c>
      <c r="H824" s="55"/>
      <c r="I824" s="32" t="s">
        <v>10</v>
      </c>
    </row>
    <row r="825" spans="1:9" ht="16.5" customHeight="1" x14ac:dyDescent="0.2">
      <c r="A825" s="35" t="s">
        <v>4165</v>
      </c>
      <c r="B825" s="35" t="s">
        <v>4166</v>
      </c>
      <c r="C825" s="35" t="s">
        <v>7</v>
      </c>
      <c r="D825" s="35" t="s">
        <v>8</v>
      </c>
      <c r="E825" s="35" t="s">
        <v>17</v>
      </c>
      <c r="F825" s="52" t="s">
        <v>18</v>
      </c>
      <c r="G825" s="30" t="s">
        <v>41</v>
      </c>
      <c r="H825" s="55"/>
      <c r="I825" s="32" t="s">
        <v>10</v>
      </c>
    </row>
    <row r="826" spans="1:9" ht="16.5" customHeight="1" x14ac:dyDescent="0.2">
      <c r="A826" s="26" t="s">
        <v>4167</v>
      </c>
      <c r="B826" s="26" t="s">
        <v>4168</v>
      </c>
      <c r="C826" s="66" t="s">
        <v>98</v>
      </c>
      <c r="D826" s="66" t="s">
        <v>110</v>
      </c>
      <c r="E826" s="66" t="s">
        <v>129</v>
      </c>
      <c r="F826" s="31" t="s">
        <v>18</v>
      </c>
      <c r="G826" s="67" t="s">
        <v>19</v>
      </c>
      <c r="H826" s="32" t="s">
        <v>10</v>
      </c>
      <c r="I826" s="32" t="s">
        <v>10</v>
      </c>
    </row>
    <row r="827" spans="1:9" ht="16.5" customHeight="1" x14ac:dyDescent="0.2">
      <c r="A827" s="27" t="s">
        <v>4169</v>
      </c>
      <c r="B827" s="27" t="s">
        <v>4170</v>
      </c>
      <c r="C827" s="27" t="s">
        <v>7</v>
      </c>
      <c r="D827" s="27" t="s">
        <v>8</v>
      </c>
      <c r="E827" s="27" t="s">
        <v>106</v>
      </c>
      <c r="F827" s="47" t="s">
        <v>18</v>
      </c>
      <c r="G827" s="44" t="s">
        <v>41</v>
      </c>
      <c r="H827" s="51"/>
      <c r="I827" s="32" t="s">
        <v>10</v>
      </c>
    </row>
    <row r="828" spans="1:9" ht="16.5" customHeight="1" x14ac:dyDescent="0.2">
      <c r="A828" s="35" t="s">
        <v>4169</v>
      </c>
      <c r="B828" s="57" t="s">
        <v>5181</v>
      </c>
      <c r="C828" s="54" t="s">
        <v>7</v>
      </c>
      <c r="D828" s="35" t="s">
        <v>23</v>
      </c>
      <c r="E828" s="35" t="s">
        <v>106</v>
      </c>
      <c r="F828" s="52" t="s">
        <v>18</v>
      </c>
      <c r="G828" s="30" t="s">
        <v>41</v>
      </c>
      <c r="H828" s="32"/>
      <c r="I828" s="32" t="s">
        <v>10</v>
      </c>
    </row>
    <row r="829" spans="1:9" ht="16.5" customHeight="1" x14ac:dyDescent="0.2">
      <c r="A829" s="26" t="s">
        <v>4171</v>
      </c>
      <c r="B829" s="26" t="s">
        <v>4172</v>
      </c>
      <c r="C829" s="26" t="s">
        <v>37</v>
      </c>
      <c r="D829" s="26" t="s">
        <v>45</v>
      </c>
      <c r="E829" s="26" t="s">
        <v>138</v>
      </c>
      <c r="F829" s="31" t="s">
        <v>18</v>
      </c>
      <c r="G829" s="31" t="s">
        <v>72</v>
      </c>
      <c r="H829" s="31" t="s">
        <v>3600</v>
      </c>
      <c r="I829" s="32" t="s">
        <v>10</v>
      </c>
    </row>
    <row r="830" spans="1:9" ht="16.5" customHeight="1" x14ac:dyDescent="0.2">
      <c r="A830" s="26" t="s">
        <v>4173</v>
      </c>
      <c r="B830" s="50" t="s">
        <v>4174</v>
      </c>
      <c r="C830" s="26" t="s">
        <v>98</v>
      </c>
      <c r="D830" s="26" t="s">
        <v>99</v>
      </c>
      <c r="E830" s="26" t="s">
        <v>108</v>
      </c>
      <c r="F830" s="47" t="s">
        <v>25</v>
      </c>
      <c r="G830" s="31" t="s">
        <v>72</v>
      </c>
      <c r="H830" s="32"/>
      <c r="I830" s="32" t="s">
        <v>10</v>
      </c>
    </row>
    <row r="831" spans="1:9" ht="16.5" customHeight="1" x14ac:dyDescent="0.2">
      <c r="A831" s="35" t="s">
        <v>4175</v>
      </c>
      <c r="B831" s="26" t="s">
        <v>5505</v>
      </c>
      <c r="C831" s="66" t="s">
        <v>64</v>
      </c>
      <c r="D831" s="26" t="s">
        <v>82</v>
      </c>
      <c r="E831" s="35" t="s">
        <v>135</v>
      </c>
      <c r="F831" s="31" t="s">
        <v>25</v>
      </c>
      <c r="G831" s="31" t="s">
        <v>72</v>
      </c>
      <c r="H831" s="32"/>
      <c r="I831" s="32" t="s">
        <v>10</v>
      </c>
    </row>
    <row r="832" spans="1:9" ht="16.5" customHeight="1" x14ac:dyDescent="0.2">
      <c r="A832" s="26" t="s">
        <v>4177</v>
      </c>
      <c r="B832" s="26" t="s">
        <v>4178</v>
      </c>
      <c r="C832" s="26" t="s">
        <v>98</v>
      </c>
      <c r="D832" s="26" t="s">
        <v>102</v>
      </c>
      <c r="E832" s="26" t="s">
        <v>108</v>
      </c>
      <c r="F832" s="31" t="s">
        <v>25</v>
      </c>
      <c r="G832" s="31" t="s">
        <v>61</v>
      </c>
      <c r="H832" s="32"/>
      <c r="I832" s="32" t="s">
        <v>10</v>
      </c>
    </row>
    <row r="833" spans="1:9" ht="16.5" customHeight="1" x14ac:dyDescent="0.2">
      <c r="A833" s="35" t="s">
        <v>4179</v>
      </c>
      <c r="B833" s="35" t="s">
        <v>5179</v>
      </c>
      <c r="C833" s="54" t="s">
        <v>7</v>
      </c>
      <c r="D833" s="54" t="s">
        <v>23</v>
      </c>
      <c r="E833" s="54" t="s">
        <v>123</v>
      </c>
      <c r="F833" s="52" t="s">
        <v>18</v>
      </c>
      <c r="G833" s="30" t="s">
        <v>41</v>
      </c>
      <c r="H833" s="32"/>
      <c r="I833" s="32" t="s">
        <v>10</v>
      </c>
    </row>
    <row r="834" spans="1:9" ht="16.5" customHeight="1" x14ac:dyDescent="0.2">
      <c r="A834" s="35" t="s">
        <v>4181</v>
      </c>
      <c r="B834" s="35" t="s">
        <v>4182</v>
      </c>
      <c r="C834" s="35" t="s">
        <v>115</v>
      </c>
      <c r="D834" s="35" t="s">
        <v>119</v>
      </c>
      <c r="E834" s="35" t="s">
        <v>135</v>
      </c>
      <c r="F834" s="52" t="s">
        <v>18</v>
      </c>
      <c r="G834" s="30" t="s">
        <v>61</v>
      </c>
      <c r="H834" s="30"/>
      <c r="I834" s="32" t="s">
        <v>10</v>
      </c>
    </row>
    <row r="835" spans="1:9" ht="16.5" customHeight="1" x14ac:dyDescent="0.2">
      <c r="A835" s="26" t="s">
        <v>4183</v>
      </c>
      <c r="B835" s="26" t="s">
        <v>4184</v>
      </c>
      <c r="C835" s="26" t="s">
        <v>98</v>
      </c>
      <c r="D835" s="26" t="s">
        <v>107</v>
      </c>
      <c r="E835" s="26" t="s">
        <v>114</v>
      </c>
      <c r="F835" s="31" t="s">
        <v>32</v>
      </c>
      <c r="G835" s="31" t="s">
        <v>41</v>
      </c>
      <c r="H835" s="32"/>
      <c r="I835" s="32" t="s">
        <v>10</v>
      </c>
    </row>
    <row r="836" spans="1:9" ht="16.5" customHeight="1" x14ac:dyDescent="0.2">
      <c r="A836" s="26" t="s">
        <v>4185</v>
      </c>
      <c r="B836" s="26" t="s">
        <v>4186</v>
      </c>
      <c r="C836" s="26" t="s">
        <v>37</v>
      </c>
      <c r="D836" s="26" t="s">
        <v>45</v>
      </c>
      <c r="E836" s="26" t="s">
        <v>138</v>
      </c>
      <c r="F836" s="31" t="s">
        <v>11</v>
      </c>
      <c r="G836" s="31" t="s">
        <v>72</v>
      </c>
      <c r="H836" s="43" t="s">
        <v>3375</v>
      </c>
      <c r="I836" s="32" t="s">
        <v>10</v>
      </c>
    </row>
    <row r="837" spans="1:9" ht="16.5" customHeight="1" x14ac:dyDescent="0.2">
      <c r="A837" s="26" t="s">
        <v>4185</v>
      </c>
      <c r="B837" s="26" t="s">
        <v>4186</v>
      </c>
      <c r="C837" s="26" t="s">
        <v>37</v>
      </c>
      <c r="D837" s="26" t="s">
        <v>45</v>
      </c>
      <c r="E837" s="26" t="s">
        <v>138</v>
      </c>
      <c r="F837" s="31" t="s">
        <v>11</v>
      </c>
      <c r="G837" s="31" t="s">
        <v>72</v>
      </c>
      <c r="H837" s="43" t="s">
        <v>3375</v>
      </c>
      <c r="I837" s="32" t="s">
        <v>10</v>
      </c>
    </row>
    <row r="838" spans="1:9" ht="16.5" customHeight="1" x14ac:dyDescent="0.2">
      <c r="A838" s="35" t="s">
        <v>4187</v>
      </c>
      <c r="B838" s="35" t="s">
        <v>4188</v>
      </c>
      <c r="C838" s="35" t="s">
        <v>115</v>
      </c>
      <c r="D838" s="35" t="s">
        <v>116</v>
      </c>
      <c r="E838" s="35" t="s">
        <v>114</v>
      </c>
      <c r="F838" s="52" t="s">
        <v>25</v>
      </c>
      <c r="G838" s="52" t="s">
        <v>61</v>
      </c>
      <c r="I838" s="32" t="s">
        <v>10</v>
      </c>
    </row>
    <row r="839" spans="1:9" ht="16.5" customHeight="1" x14ac:dyDescent="0.2">
      <c r="A839" s="35" t="s">
        <v>4189</v>
      </c>
      <c r="B839" s="35" t="s">
        <v>4190</v>
      </c>
      <c r="C839" s="35" t="s">
        <v>7</v>
      </c>
      <c r="D839" s="35" t="s">
        <v>8</v>
      </c>
      <c r="E839" s="35" t="s">
        <v>108</v>
      </c>
      <c r="F839" s="52" t="s">
        <v>25</v>
      </c>
      <c r="G839" s="30" t="s">
        <v>61</v>
      </c>
      <c r="H839" s="55"/>
      <c r="I839" s="32" t="s">
        <v>10</v>
      </c>
    </row>
    <row r="840" spans="1:9" ht="16.5" customHeight="1" x14ac:dyDescent="0.2">
      <c r="A840" s="26" t="s">
        <v>4191</v>
      </c>
      <c r="B840" s="26" t="s">
        <v>5278</v>
      </c>
      <c r="C840" s="26" t="s">
        <v>7</v>
      </c>
      <c r="D840" s="26" t="s">
        <v>16</v>
      </c>
      <c r="E840" s="26" t="s">
        <v>87</v>
      </c>
      <c r="F840" s="31" t="s">
        <v>18</v>
      </c>
      <c r="G840" s="32"/>
      <c r="H840" s="32" t="s">
        <v>10</v>
      </c>
      <c r="I840" s="32" t="s">
        <v>10</v>
      </c>
    </row>
    <row r="841" spans="1:9" ht="16.5" customHeight="1" x14ac:dyDescent="0.2">
      <c r="A841" s="35" t="s">
        <v>4193</v>
      </c>
      <c r="B841" s="54" t="s">
        <v>5567</v>
      </c>
      <c r="C841" s="35" t="s">
        <v>115</v>
      </c>
      <c r="D841" s="35" t="s">
        <v>131</v>
      </c>
      <c r="E841" s="35" t="s">
        <v>87</v>
      </c>
      <c r="F841" s="31" t="s">
        <v>25</v>
      </c>
      <c r="G841" s="31" t="s">
        <v>72</v>
      </c>
      <c r="H841" s="55" t="s">
        <v>4195</v>
      </c>
      <c r="I841" s="32" t="s">
        <v>10</v>
      </c>
    </row>
    <row r="842" spans="1:9" ht="16.5" customHeight="1" x14ac:dyDescent="0.2">
      <c r="A842" s="35" t="s">
        <v>4193</v>
      </c>
      <c r="B842" s="54" t="s">
        <v>5567</v>
      </c>
      <c r="C842" s="35" t="s">
        <v>115</v>
      </c>
      <c r="D842" s="35" t="s">
        <v>131</v>
      </c>
      <c r="E842" s="35" t="s">
        <v>87</v>
      </c>
      <c r="F842" s="31" t="s">
        <v>25</v>
      </c>
      <c r="G842" s="31" t="s">
        <v>72</v>
      </c>
      <c r="H842" s="30" t="s">
        <v>5568</v>
      </c>
      <c r="I842" s="32" t="s">
        <v>10</v>
      </c>
    </row>
    <row r="843" spans="1:9" ht="16.5" customHeight="1" x14ac:dyDescent="0.2">
      <c r="A843" s="35" t="s">
        <v>4193</v>
      </c>
      <c r="B843" s="54" t="s">
        <v>5567</v>
      </c>
      <c r="C843" s="35" t="s">
        <v>115</v>
      </c>
      <c r="D843" s="35" t="s">
        <v>131</v>
      </c>
      <c r="E843" s="35" t="s">
        <v>87</v>
      </c>
      <c r="F843" s="31" t="s">
        <v>25</v>
      </c>
      <c r="G843" s="31" t="s">
        <v>72</v>
      </c>
      <c r="H843" s="30" t="s">
        <v>5542</v>
      </c>
      <c r="I843" s="32" t="s">
        <v>10</v>
      </c>
    </row>
    <row r="844" spans="1:9" ht="16.5" customHeight="1" x14ac:dyDescent="0.2">
      <c r="A844" s="35" t="s">
        <v>4196</v>
      </c>
      <c r="B844" s="35" t="s">
        <v>4197</v>
      </c>
      <c r="C844" s="35" t="s">
        <v>115</v>
      </c>
      <c r="D844" s="35" t="s">
        <v>119</v>
      </c>
      <c r="E844" s="35" t="s">
        <v>135</v>
      </c>
      <c r="F844" s="52" t="s">
        <v>18</v>
      </c>
      <c r="G844" s="30" t="s">
        <v>61</v>
      </c>
      <c r="H844" s="30"/>
      <c r="I844" s="32" t="s">
        <v>10</v>
      </c>
    </row>
    <row r="845" spans="1:9" ht="16.5" customHeight="1" x14ac:dyDescent="0.2">
      <c r="A845" s="35" t="s">
        <v>4198</v>
      </c>
      <c r="B845" s="35" t="s">
        <v>4199</v>
      </c>
      <c r="C845" s="35" t="s">
        <v>115</v>
      </c>
      <c r="D845" s="35" t="s">
        <v>134</v>
      </c>
      <c r="E845" s="35" t="s">
        <v>114</v>
      </c>
      <c r="F845" s="31" t="s">
        <v>25</v>
      </c>
      <c r="G845" s="31" t="s">
        <v>72</v>
      </c>
      <c r="H845" s="55"/>
      <c r="I845" s="32" t="s">
        <v>10</v>
      </c>
    </row>
    <row r="846" spans="1:9" ht="16.5" customHeight="1" x14ac:dyDescent="0.2">
      <c r="A846" s="26" t="s">
        <v>4200</v>
      </c>
      <c r="B846" s="26" t="s">
        <v>4201</v>
      </c>
      <c r="C846" s="26" t="s">
        <v>115</v>
      </c>
      <c r="D846" s="27" t="s">
        <v>116</v>
      </c>
      <c r="E846" s="27" t="s">
        <v>114</v>
      </c>
      <c r="F846" s="31" t="s">
        <v>25</v>
      </c>
      <c r="G846" s="31" t="s">
        <v>61</v>
      </c>
      <c r="H846" s="31"/>
      <c r="I846" s="32" t="s">
        <v>10</v>
      </c>
    </row>
    <row r="847" spans="1:9" ht="16.5" customHeight="1" x14ac:dyDescent="0.2">
      <c r="A847" s="26" t="s">
        <v>4202</v>
      </c>
      <c r="B847" s="26" t="s">
        <v>4203</v>
      </c>
      <c r="C847" s="26" t="s">
        <v>37</v>
      </c>
      <c r="D847" s="26" t="s">
        <v>45</v>
      </c>
      <c r="E847" s="26" t="s">
        <v>138</v>
      </c>
      <c r="F847" s="31" t="s">
        <v>18</v>
      </c>
      <c r="G847" s="31" t="s">
        <v>72</v>
      </c>
      <c r="H847" s="43" t="s">
        <v>3375</v>
      </c>
      <c r="I847" s="32" t="s">
        <v>10</v>
      </c>
    </row>
    <row r="848" spans="1:9" ht="16.5" customHeight="1" x14ac:dyDescent="0.2">
      <c r="A848" s="27" t="s">
        <v>4204</v>
      </c>
      <c r="B848" s="27" t="s">
        <v>4205</v>
      </c>
      <c r="C848" s="27" t="s">
        <v>7</v>
      </c>
      <c r="D848" s="27" t="s">
        <v>8</v>
      </c>
      <c r="E848" s="27" t="s">
        <v>106</v>
      </c>
      <c r="F848" s="47" t="s">
        <v>18</v>
      </c>
      <c r="G848" s="44" t="s">
        <v>61</v>
      </c>
      <c r="H848" s="32"/>
      <c r="I848" s="32" t="s">
        <v>10</v>
      </c>
    </row>
    <row r="849" spans="1:9" ht="16.5" customHeight="1" x14ac:dyDescent="0.2">
      <c r="A849" s="35" t="s">
        <v>4206</v>
      </c>
      <c r="B849" s="35" t="s">
        <v>5384</v>
      </c>
      <c r="C849" s="35" t="s">
        <v>64</v>
      </c>
      <c r="D849" s="35" t="s">
        <v>82</v>
      </c>
      <c r="E849" s="35" t="s">
        <v>135</v>
      </c>
      <c r="F849" s="52" t="s">
        <v>18</v>
      </c>
      <c r="G849" s="31"/>
      <c r="H849" s="32"/>
      <c r="I849" s="32" t="s">
        <v>10</v>
      </c>
    </row>
    <row r="850" spans="1:9" ht="16.5" customHeight="1" x14ac:dyDescent="0.2">
      <c r="A850" s="35" t="s">
        <v>4206</v>
      </c>
      <c r="B850" s="26" t="s">
        <v>5384</v>
      </c>
      <c r="C850" s="66" t="s">
        <v>64</v>
      </c>
      <c r="D850" s="26" t="s">
        <v>82</v>
      </c>
      <c r="E850" s="35" t="s">
        <v>9</v>
      </c>
      <c r="F850" s="31" t="s">
        <v>18</v>
      </c>
      <c r="G850" s="31" t="s">
        <v>61</v>
      </c>
      <c r="H850" s="32"/>
      <c r="I850" s="32" t="s">
        <v>10</v>
      </c>
    </row>
    <row r="851" spans="1:9" ht="16.5" customHeight="1" x14ac:dyDescent="0.2">
      <c r="A851" s="35" t="s">
        <v>4208</v>
      </c>
      <c r="B851" s="26" t="s">
        <v>5501</v>
      </c>
      <c r="C851" s="66" t="s">
        <v>64</v>
      </c>
      <c r="D851" s="26" t="s">
        <v>82</v>
      </c>
      <c r="E851" s="35" t="s">
        <v>100</v>
      </c>
      <c r="F851" s="31" t="s">
        <v>18</v>
      </c>
      <c r="G851" s="31" t="s">
        <v>3280</v>
      </c>
      <c r="H851" s="32"/>
      <c r="I851" s="32" t="s">
        <v>10</v>
      </c>
    </row>
    <row r="852" spans="1:9" ht="16.5" customHeight="1" x14ac:dyDescent="0.2">
      <c r="A852" s="35" t="s">
        <v>4210</v>
      </c>
      <c r="B852" s="35" t="s">
        <v>4211</v>
      </c>
      <c r="C852" s="35" t="s">
        <v>115</v>
      </c>
      <c r="D852" s="35" t="s">
        <v>119</v>
      </c>
      <c r="E852" s="35" t="s">
        <v>135</v>
      </c>
      <c r="F852" s="52" t="s">
        <v>18</v>
      </c>
      <c r="G852" s="54" t="s">
        <v>61</v>
      </c>
      <c r="H852" s="60"/>
      <c r="I852" s="32" t="s">
        <v>10</v>
      </c>
    </row>
    <row r="853" spans="1:9" ht="16.5" customHeight="1" x14ac:dyDescent="0.2">
      <c r="A853" s="26" t="s">
        <v>4212</v>
      </c>
      <c r="B853" s="26" t="s">
        <v>4213</v>
      </c>
      <c r="C853" s="26" t="s">
        <v>136</v>
      </c>
      <c r="D853" s="26" t="s">
        <v>137</v>
      </c>
      <c r="E853" s="26" t="s">
        <v>87</v>
      </c>
      <c r="F853" s="31" t="s">
        <v>25</v>
      </c>
      <c r="G853" s="31" t="s">
        <v>41</v>
      </c>
      <c r="H853" s="32"/>
      <c r="I853" s="32" t="s">
        <v>10</v>
      </c>
    </row>
    <row r="854" spans="1:9" ht="16.5" customHeight="1" x14ac:dyDescent="0.2">
      <c r="A854" s="26" t="s">
        <v>4214</v>
      </c>
      <c r="B854" s="26" t="s">
        <v>4215</v>
      </c>
      <c r="C854" s="26" t="s">
        <v>136</v>
      </c>
      <c r="D854" s="26" t="s">
        <v>137</v>
      </c>
      <c r="E854" s="26" t="s">
        <v>87</v>
      </c>
      <c r="F854" s="31" t="s">
        <v>25</v>
      </c>
      <c r="G854" s="31" t="s">
        <v>41</v>
      </c>
      <c r="H854" s="32"/>
      <c r="I854" s="32" t="s">
        <v>10</v>
      </c>
    </row>
    <row r="855" spans="1:9" ht="16.5" customHeight="1" x14ac:dyDescent="0.2">
      <c r="A855" s="26" t="s">
        <v>4216</v>
      </c>
      <c r="B855" s="26" t="s">
        <v>4217</v>
      </c>
      <c r="C855" s="66" t="s">
        <v>98</v>
      </c>
      <c r="D855" s="66" t="s">
        <v>110</v>
      </c>
      <c r="E855" s="66" t="s">
        <v>87</v>
      </c>
      <c r="F855" s="31" t="s">
        <v>32</v>
      </c>
      <c r="G855" s="35" t="s">
        <v>41</v>
      </c>
      <c r="H855" s="31" t="s">
        <v>4218</v>
      </c>
      <c r="I855" s="32" t="s">
        <v>10</v>
      </c>
    </row>
    <row r="856" spans="1:9" ht="16.5" customHeight="1" x14ac:dyDescent="0.2">
      <c r="A856" s="26" t="s">
        <v>4216</v>
      </c>
      <c r="B856" s="26" t="s">
        <v>4217</v>
      </c>
      <c r="C856" s="66" t="s">
        <v>98</v>
      </c>
      <c r="D856" s="66" t="s">
        <v>110</v>
      </c>
      <c r="E856" s="66" t="s">
        <v>87</v>
      </c>
      <c r="F856" s="31" t="s">
        <v>32</v>
      </c>
      <c r="G856" s="35" t="s">
        <v>41</v>
      </c>
      <c r="H856" s="31" t="s">
        <v>4218</v>
      </c>
      <c r="I856" s="32" t="s">
        <v>10</v>
      </c>
    </row>
    <row r="857" spans="1:9" ht="16.5" customHeight="1" x14ac:dyDescent="0.2">
      <c r="A857" s="26" t="s">
        <v>4216</v>
      </c>
      <c r="B857" s="26" t="s">
        <v>4217</v>
      </c>
      <c r="C857" s="66" t="s">
        <v>98</v>
      </c>
      <c r="D857" s="66" t="s">
        <v>110</v>
      </c>
      <c r="E857" s="66" t="s">
        <v>87</v>
      </c>
      <c r="F857" s="31" t="s">
        <v>32</v>
      </c>
      <c r="G857" s="35" t="s">
        <v>41</v>
      </c>
      <c r="H857" s="31" t="s">
        <v>4218</v>
      </c>
      <c r="I857" s="32" t="s">
        <v>10</v>
      </c>
    </row>
    <row r="858" spans="1:9" ht="16.5" customHeight="1" x14ac:dyDescent="0.2">
      <c r="A858" s="26" t="s">
        <v>4216</v>
      </c>
      <c r="B858" s="26" t="s">
        <v>4217</v>
      </c>
      <c r="C858" s="66" t="s">
        <v>98</v>
      </c>
      <c r="D858" s="66" t="s">
        <v>110</v>
      </c>
      <c r="E858" s="66" t="s">
        <v>87</v>
      </c>
      <c r="F858" s="31" t="s">
        <v>32</v>
      </c>
      <c r="G858" s="35" t="s">
        <v>41</v>
      </c>
      <c r="H858" s="31" t="s">
        <v>4218</v>
      </c>
      <c r="I858" s="32" t="s">
        <v>10</v>
      </c>
    </row>
    <row r="859" spans="1:9" ht="16.5" customHeight="1" x14ac:dyDescent="0.2">
      <c r="A859" s="26" t="s">
        <v>4216</v>
      </c>
      <c r="B859" s="26" t="s">
        <v>4217</v>
      </c>
      <c r="C859" s="66" t="s">
        <v>98</v>
      </c>
      <c r="D859" s="26" t="s">
        <v>113</v>
      </c>
      <c r="E859" s="66" t="s">
        <v>114</v>
      </c>
      <c r="F859" s="31" t="s">
        <v>32</v>
      </c>
      <c r="G859" s="35" t="s">
        <v>41</v>
      </c>
      <c r="H859" s="31" t="s">
        <v>4218</v>
      </c>
      <c r="I859" s="32" t="s">
        <v>10</v>
      </c>
    </row>
    <row r="860" spans="1:9" ht="16.5" customHeight="1" x14ac:dyDescent="0.2">
      <c r="A860" s="26" t="s">
        <v>4216</v>
      </c>
      <c r="B860" s="26" t="s">
        <v>4217</v>
      </c>
      <c r="C860" s="66" t="s">
        <v>98</v>
      </c>
      <c r="D860" s="26" t="s">
        <v>113</v>
      </c>
      <c r="E860" s="66" t="s">
        <v>114</v>
      </c>
      <c r="F860" s="31" t="s">
        <v>32</v>
      </c>
      <c r="G860" s="35" t="s">
        <v>41</v>
      </c>
      <c r="H860" s="31" t="s">
        <v>4218</v>
      </c>
      <c r="I860" s="32" t="s">
        <v>10</v>
      </c>
    </row>
    <row r="861" spans="1:9" ht="16.5" customHeight="1" x14ac:dyDescent="0.2">
      <c r="A861" s="26" t="s">
        <v>4216</v>
      </c>
      <c r="B861" s="26" t="s">
        <v>4217</v>
      </c>
      <c r="C861" s="66" t="s">
        <v>98</v>
      </c>
      <c r="D861" s="66" t="s">
        <v>110</v>
      </c>
      <c r="E861" s="66" t="s">
        <v>114</v>
      </c>
      <c r="F861" s="31" t="s">
        <v>32</v>
      </c>
      <c r="G861" s="35" t="s">
        <v>41</v>
      </c>
      <c r="H861" s="31" t="s">
        <v>4218</v>
      </c>
      <c r="I861" s="32" t="s">
        <v>10</v>
      </c>
    </row>
    <row r="862" spans="1:9" ht="16.5" customHeight="1" x14ac:dyDescent="0.2">
      <c r="A862" s="35" t="s">
        <v>4219</v>
      </c>
      <c r="B862" s="26" t="s">
        <v>5519</v>
      </c>
      <c r="C862" s="66" t="s">
        <v>64</v>
      </c>
      <c r="D862" s="26" t="s">
        <v>82</v>
      </c>
      <c r="E862" s="35" t="s">
        <v>135</v>
      </c>
      <c r="F862" s="31" t="s">
        <v>18</v>
      </c>
      <c r="G862" s="31" t="s">
        <v>3280</v>
      </c>
      <c r="H862" s="32"/>
      <c r="I862" s="32" t="s">
        <v>10</v>
      </c>
    </row>
    <row r="863" spans="1:9" ht="16.5" customHeight="1" x14ac:dyDescent="0.2">
      <c r="A863" s="35" t="s">
        <v>4221</v>
      </c>
      <c r="B863" s="35" t="s">
        <v>4222</v>
      </c>
      <c r="C863" s="26" t="s">
        <v>98</v>
      </c>
      <c r="D863" s="26" t="s">
        <v>107</v>
      </c>
      <c r="E863" s="35" t="s">
        <v>87</v>
      </c>
      <c r="F863" s="31" t="s">
        <v>18</v>
      </c>
      <c r="G863" s="27" t="s">
        <v>19</v>
      </c>
      <c r="H863" s="27"/>
      <c r="I863" s="32" t="s">
        <v>10</v>
      </c>
    </row>
    <row r="864" spans="1:9" ht="16.5" customHeight="1" x14ac:dyDescent="0.2">
      <c r="A864" s="35" t="s">
        <v>4221</v>
      </c>
      <c r="B864" s="35" t="s">
        <v>4222</v>
      </c>
      <c r="C864" s="26" t="s">
        <v>98</v>
      </c>
      <c r="D864" s="26" t="s">
        <v>107</v>
      </c>
      <c r="E864" s="26" t="s">
        <v>87</v>
      </c>
      <c r="F864" s="31" t="s">
        <v>18</v>
      </c>
      <c r="G864" s="27" t="s">
        <v>12</v>
      </c>
      <c r="H864" s="27"/>
      <c r="I864" s="32" t="s">
        <v>10</v>
      </c>
    </row>
    <row r="865" spans="1:9" ht="16.5" customHeight="1" x14ac:dyDescent="0.2">
      <c r="A865" s="26" t="s">
        <v>4223</v>
      </c>
      <c r="B865" s="26" t="s">
        <v>4224</v>
      </c>
      <c r="C865" s="26" t="s">
        <v>98</v>
      </c>
      <c r="D865" s="26" t="s">
        <v>105</v>
      </c>
      <c r="E865" s="26" t="s">
        <v>83</v>
      </c>
      <c r="F865" s="31" t="s">
        <v>25</v>
      </c>
      <c r="G865" s="31" t="s">
        <v>41</v>
      </c>
      <c r="H865" s="32"/>
      <c r="I865" s="32" t="s">
        <v>10</v>
      </c>
    </row>
    <row r="866" spans="1:9" ht="16.5" customHeight="1" x14ac:dyDescent="0.2">
      <c r="A866" s="26" t="s">
        <v>4225</v>
      </c>
      <c r="B866" s="26" t="s">
        <v>4226</v>
      </c>
      <c r="C866" s="66" t="s">
        <v>37</v>
      </c>
      <c r="D866" s="27" t="s">
        <v>38</v>
      </c>
      <c r="E866" s="26" t="s">
        <v>9</v>
      </c>
      <c r="F866" s="31" t="s">
        <v>18</v>
      </c>
      <c r="G866" s="31" t="s">
        <v>41</v>
      </c>
      <c r="H866" s="32"/>
      <c r="I866" s="32" t="s">
        <v>10</v>
      </c>
    </row>
    <row r="867" spans="1:9" ht="16.5" customHeight="1" x14ac:dyDescent="0.2">
      <c r="A867" s="26" t="s">
        <v>4227</v>
      </c>
      <c r="B867" s="26" t="s">
        <v>4228</v>
      </c>
      <c r="C867" s="66" t="s">
        <v>136</v>
      </c>
      <c r="D867" s="27" t="s">
        <v>137</v>
      </c>
      <c r="E867" s="26" t="s">
        <v>108</v>
      </c>
      <c r="F867" s="31" t="s">
        <v>18</v>
      </c>
      <c r="G867" s="27" t="s">
        <v>41</v>
      </c>
      <c r="H867" s="32"/>
      <c r="I867" s="32" t="s">
        <v>10</v>
      </c>
    </row>
    <row r="868" spans="1:9" ht="16.5" customHeight="1" x14ac:dyDescent="0.2">
      <c r="A868" s="26" t="s">
        <v>4229</v>
      </c>
      <c r="B868" s="26" t="s">
        <v>4230</v>
      </c>
      <c r="C868" s="66" t="s">
        <v>98</v>
      </c>
      <c r="D868" s="66" t="s">
        <v>110</v>
      </c>
      <c r="E868" s="66" t="s">
        <v>126</v>
      </c>
      <c r="F868" s="31" t="s">
        <v>18</v>
      </c>
      <c r="G868" s="67" t="s">
        <v>19</v>
      </c>
      <c r="H868" s="32" t="s">
        <v>10</v>
      </c>
      <c r="I868" s="32" t="s">
        <v>10</v>
      </c>
    </row>
    <row r="869" spans="1:9" ht="16.5" customHeight="1" x14ac:dyDescent="0.2">
      <c r="A869" s="26" t="s">
        <v>4231</v>
      </c>
      <c r="B869" s="26" t="s">
        <v>4232</v>
      </c>
      <c r="C869" s="26" t="s">
        <v>115</v>
      </c>
      <c r="D869" s="27" t="s">
        <v>116</v>
      </c>
      <c r="E869" s="27" t="s">
        <v>114</v>
      </c>
      <c r="F869" s="31" t="s">
        <v>25</v>
      </c>
      <c r="G869" s="31" t="s">
        <v>41</v>
      </c>
      <c r="H869" s="31"/>
      <c r="I869" s="32" t="s">
        <v>10</v>
      </c>
    </row>
    <row r="870" spans="1:9" ht="16.5" customHeight="1" x14ac:dyDescent="0.2">
      <c r="A870" s="26" t="s">
        <v>4231</v>
      </c>
      <c r="B870" s="26" t="s">
        <v>4232</v>
      </c>
      <c r="C870" s="26" t="s">
        <v>115</v>
      </c>
      <c r="D870" s="27" t="s">
        <v>116</v>
      </c>
      <c r="E870" s="27" t="s">
        <v>114</v>
      </c>
      <c r="F870" s="31" t="s">
        <v>25</v>
      </c>
      <c r="G870" s="31" t="s">
        <v>41</v>
      </c>
      <c r="H870" s="31"/>
      <c r="I870" s="32" t="s">
        <v>10</v>
      </c>
    </row>
    <row r="871" spans="1:9" ht="16.5" customHeight="1" x14ac:dyDescent="0.2">
      <c r="A871" s="26" t="s">
        <v>4231</v>
      </c>
      <c r="B871" s="26" t="s">
        <v>4232</v>
      </c>
      <c r="C871" s="26" t="s">
        <v>115</v>
      </c>
      <c r="D871" s="27" t="s">
        <v>116</v>
      </c>
      <c r="E871" s="27" t="s">
        <v>114</v>
      </c>
      <c r="F871" s="31" t="s">
        <v>25</v>
      </c>
      <c r="G871" s="31" t="s">
        <v>41</v>
      </c>
      <c r="H871" s="31"/>
      <c r="I871" s="32" t="s">
        <v>10</v>
      </c>
    </row>
    <row r="872" spans="1:9" ht="16.5" customHeight="1" x14ac:dyDescent="0.2">
      <c r="A872" s="35" t="s">
        <v>4233</v>
      </c>
      <c r="B872" s="35" t="s">
        <v>4234</v>
      </c>
      <c r="C872" s="26" t="s">
        <v>98</v>
      </c>
      <c r="D872" s="26" t="s">
        <v>107</v>
      </c>
      <c r="E872" s="35" t="s">
        <v>87</v>
      </c>
      <c r="F872" s="31" t="s">
        <v>18</v>
      </c>
      <c r="G872" s="27" t="s">
        <v>41</v>
      </c>
      <c r="H872" s="27"/>
      <c r="I872" s="32" t="s">
        <v>10</v>
      </c>
    </row>
    <row r="873" spans="1:9" ht="16.5" customHeight="1" x14ac:dyDescent="0.2">
      <c r="A873" s="35" t="s">
        <v>4235</v>
      </c>
      <c r="B873" s="35" t="s">
        <v>4236</v>
      </c>
      <c r="C873" s="26" t="s">
        <v>98</v>
      </c>
      <c r="D873" s="26" t="s">
        <v>107</v>
      </c>
      <c r="E873" s="35" t="s">
        <v>87</v>
      </c>
      <c r="F873" s="31" t="s">
        <v>18</v>
      </c>
      <c r="G873" s="27" t="s">
        <v>41</v>
      </c>
      <c r="H873" s="27"/>
      <c r="I873" s="32" t="s">
        <v>10</v>
      </c>
    </row>
    <row r="874" spans="1:9" ht="16.5" customHeight="1" x14ac:dyDescent="0.2">
      <c r="A874" s="26" t="s">
        <v>4237</v>
      </c>
      <c r="B874" s="26" t="s">
        <v>4238</v>
      </c>
      <c r="C874" s="26" t="s">
        <v>98</v>
      </c>
      <c r="D874" s="26" t="s">
        <v>107</v>
      </c>
      <c r="E874" s="26" t="s">
        <v>87</v>
      </c>
      <c r="F874" s="31" t="s">
        <v>18</v>
      </c>
      <c r="G874" s="31" t="s">
        <v>41</v>
      </c>
      <c r="H874" s="32"/>
      <c r="I874" s="32" t="s">
        <v>10</v>
      </c>
    </row>
    <row r="875" spans="1:9" ht="16.5" customHeight="1" x14ac:dyDescent="0.2">
      <c r="A875" s="26" t="s">
        <v>4237</v>
      </c>
      <c r="B875" s="26" t="s">
        <v>4238</v>
      </c>
      <c r="C875" s="26" t="s">
        <v>98</v>
      </c>
      <c r="D875" s="26" t="s">
        <v>107</v>
      </c>
      <c r="E875" s="26" t="s">
        <v>87</v>
      </c>
      <c r="F875" s="31" t="s">
        <v>18</v>
      </c>
      <c r="G875" s="31" t="s">
        <v>41</v>
      </c>
      <c r="H875" s="32"/>
      <c r="I875" s="32" t="s">
        <v>10</v>
      </c>
    </row>
    <row r="876" spans="1:9" ht="16.5" customHeight="1" x14ac:dyDescent="0.2">
      <c r="A876" s="35" t="s">
        <v>4239</v>
      </c>
      <c r="B876" s="35" t="s">
        <v>5200</v>
      </c>
      <c r="C876" s="35" t="s">
        <v>7</v>
      </c>
      <c r="D876" s="35" t="s">
        <v>8</v>
      </c>
      <c r="E876" s="35" t="s">
        <v>87</v>
      </c>
      <c r="F876" s="52" t="s">
        <v>18</v>
      </c>
      <c r="G876" s="30" t="s">
        <v>41</v>
      </c>
      <c r="H876" s="55"/>
      <c r="I876" s="32" t="s">
        <v>10</v>
      </c>
    </row>
    <row r="877" spans="1:9" ht="16.5" customHeight="1" x14ac:dyDescent="0.2">
      <c r="A877" s="27" t="s">
        <v>4241</v>
      </c>
      <c r="B877" s="26" t="s">
        <v>4242</v>
      </c>
      <c r="C877" s="26" t="s">
        <v>115</v>
      </c>
      <c r="D877" s="26" t="s">
        <v>122</v>
      </c>
      <c r="E877" s="27" t="s">
        <v>108</v>
      </c>
      <c r="F877" s="31" t="s">
        <v>18</v>
      </c>
      <c r="G877" s="31" t="s">
        <v>61</v>
      </c>
      <c r="H877" s="32"/>
      <c r="I877" s="32" t="s">
        <v>10</v>
      </c>
    </row>
    <row r="878" spans="1:9" ht="16.5" customHeight="1" x14ac:dyDescent="0.2">
      <c r="A878" s="26" t="s">
        <v>4243</v>
      </c>
      <c r="B878" s="26" t="s">
        <v>4244</v>
      </c>
      <c r="C878" s="26" t="s">
        <v>115</v>
      </c>
      <c r="D878" s="27" t="s">
        <v>116</v>
      </c>
      <c r="E878" s="27" t="s">
        <v>129</v>
      </c>
      <c r="F878" s="31" t="s">
        <v>18</v>
      </c>
      <c r="G878" s="31" t="s">
        <v>3280</v>
      </c>
      <c r="H878" s="31"/>
      <c r="I878" s="32" t="s">
        <v>10</v>
      </c>
    </row>
    <row r="879" spans="1:9" ht="16.5" customHeight="1" x14ac:dyDescent="0.2">
      <c r="A879" s="26" t="s">
        <v>4243</v>
      </c>
      <c r="B879" s="26" t="s">
        <v>4244</v>
      </c>
      <c r="C879" s="26" t="s">
        <v>115</v>
      </c>
      <c r="D879" s="27" t="s">
        <v>116</v>
      </c>
      <c r="E879" s="27" t="s">
        <v>129</v>
      </c>
      <c r="F879" s="31" t="s">
        <v>18</v>
      </c>
      <c r="G879" s="31" t="s">
        <v>3280</v>
      </c>
      <c r="H879" s="31"/>
      <c r="I879" s="32" t="s">
        <v>10</v>
      </c>
    </row>
    <row r="880" spans="1:9" ht="16.5" customHeight="1" x14ac:dyDescent="0.2">
      <c r="A880" s="26" t="s">
        <v>4245</v>
      </c>
      <c r="B880" s="26" t="s">
        <v>4246</v>
      </c>
      <c r="C880" s="26" t="s">
        <v>98</v>
      </c>
      <c r="D880" s="26" t="s">
        <v>102</v>
      </c>
      <c r="E880" s="26" t="s">
        <v>108</v>
      </c>
      <c r="F880" s="31" t="s">
        <v>18</v>
      </c>
      <c r="G880" s="31" t="s">
        <v>61</v>
      </c>
      <c r="H880" s="32"/>
      <c r="I880" s="32" t="s">
        <v>10</v>
      </c>
    </row>
    <row r="881" spans="1:9" ht="16.5" customHeight="1" x14ac:dyDescent="0.2">
      <c r="A881" s="26" t="s">
        <v>4247</v>
      </c>
      <c r="B881" s="26" t="s">
        <v>4248</v>
      </c>
      <c r="C881" s="66" t="s">
        <v>37</v>
      </c>
      <c r="D881" s="27" t="s">
        <v>38</v>
      </c>
      <c r="E881" s="66" t="s">
        <v>87</v>
      </c>
      <c r="F881" s="31" t="s">
        <v>25</v>
      </c>
      <c r="G881" s="31" t="s">
        <v>41</v>
      </c>
      <c r="H881" s="69"/>
      <c r="I881" s="32" t="s">
        <v>10</v>
      </c>
    </row>
    <row r="882" spans="1:9" ht="16.5" customHeight="1" x14ac:dyDescent="0.2">
      <c r="A882" s="26" t="s">
        <v>4247</v>
      </c>
      <c r="B882" s="26" t="s">
        <v>4248</v>
      </c>
      <c r="C882" s="66" t="s">
        <v>37</v>
      </c>
      <c r="D882" s="27" t="s">
        <v>38</v>
      </c>
      <c r="E882" s="66" t="s">
        <v>87</v>
      </c>
      <c r="F882" s="31" t="s">
        <v>25</v>
      </c>
      <c r="G882" s="31" t="s">
        <v>41</v>
      </c>
      <c r="H882" s="69"/>
      <c r="I882" s="32" t="s">
        <v>10</v>
      </c>
    </row>
    <row r="883" spans="1:9" ht="16.5" customHeight="1" x14ac:dyDescent="0.2">
      <c r="A883" s="26" t="s">
        <v>4247</v>
      </c>
      <c r="B883" s="26" t="s">
        <v>5014</v>
      </c>
      <c r="C883" s="66" t="s">
        <v>37</v>
      </c>
      <c r="D883" s="27" t="s">
        <v>38</v>
      </c>
      <c r="E883" s="66" t="s">
        <v>87</v>
      </c>
      <c r="F883" s="31" t="s">
        <v>25</v>
      </c>
      <c r="G883" s="31" t="s">
        <v>41</v>
      </c>
      <c r="H883" s="69"/>
      <c r="I883" s="32" t="s">
        <v>10</v>
      </c>
    </row>
    <row r="884" spans="1:9" ht="16.5" customHeight="1" x14ac:dyDescent="0.2">
      <c r="A884" s="26" t="s">
        <v>4249</v>
      </c>
      <c r="B884" s="26" t="s">
        <v>4250</v>
      </c>
      <c r="C884" s="26" t="s">
        <v>7</v>
      </c>
      <c r="D884" s="26" t="s">
        <v>16</v>
      </c>
      <c r="E884" s="26" t="s">
        <v>87</v>
      </c>
      <c r="F884" s="31" t="s">
        <v>25</v>
      </c>
      <c r="G884" s="31" t="s">
        <v>72</v>
      </c>
      <c r="H884" s="32" t="s">
        <v>10</v>
      </c>
      <c r="I884" s="32" t="s">
        <v>10</v>
      </c>
    </row>
    <row r="885" spans="1:9" ht="16.5" customHeight="1" x14ac:dyDescent="0.2">
      <c r="A885" s="26" t="s">
        <v>4249</v>
      </c>
      <c r="B885" s="26" t="s">
        <v>4250</v>
      </c>
      <c r="C885" s="26" t="s">
        <v>7</v>
      </c>
      <c r="D885" s="26" t="s">
        <v>16</v>
      </c>
      <c r="E885" s="26" t="s">
        <v>87</v>
      </c>
      <c r="F885" s="31" t="s">
        <v>25</v>
      </c>
      <c r="G885" s="31" t="s">
        <v>72</v>
      </c>
      <c r="H885" s="31" t="s">
        <v>10</v>
      </c>
      <c r="I885" s="32" t="s">
        <v>10</v>
      </c>
    </row>
    <row r="886" spans="1:9" ht="16.5" customHeight="1" x14ac:dyDescent="0.2">
      <c r="A886" s="26" t="s">
        <v>4249</v>
      </c>
      <c r="B886" s="26" t="s">
        <v>4250</v>
      </c>
      <c r="C886" s="26" t="s">
        <v>7</v>
      </c>
      <c r="D886" s="26" t="s">
        <v>16</v>
      </c>
      <c r="E886" s="26" t="s">
        <v>87</v>
      </c>
      <c r="F886" s="31" t="s">
        <v>25</v>
      </c>
      <c r="G886" s="31" t="s">
        <v>72</v>
      </c>
      <c r="H886" s="31" t="s">
        <v>10</v>
      </c>
      <c r="I886" s="32" t="s">
        <v>10</v>
      </c>
    </row>
    <row r="887" spans="1:9" ht="16.5" customHeight="1" x14ac:dyDescent="0.2">
      <c r="A887" s="27" t="s">
        <v>4251</v>
      </c>
      <c r="B887" s="27" t="s">
        <v>4252</v>
      </c>
      <c r="C887" s="27" t="s">
        <v>7</v>
      </c>
      <c r="D887" s="27" t="s">
        <v>8</v>
      </c>
      <c r="E887" s="27" t="s">
        <v>87</v>
      </c>
      <c r="F887" s="47" t="s">
        <v>25</v>
      </c>
      <c r="G887" s="44" t="s">
        <v>61</v>
      </c>
      <c r="H887" s="51"/>
      <c r="I887" s="32" t="s">
        <v>10</v>
      </c>
    </row>
    <row r="888" spans="1:9" ht="16.5" customHeight="1" x14ac:dyDescent="0.2">
      <c r="A888" s="26" t="s">
        <v>4253</v>
      </c>
      <c r="B888" s="26" t="s">
        <v>4254</v>
      </c>
      <c r="C888" s="26" t="s">
        <v>98</v>
      </c>
      <c r="D888" s="26" t="s">
        <v>105</v>
      </c>
      <c r="E888" s="26" t="s">
        <v>83</v>
      </c>
      <c r="F888" s="31" t="s">
        <v>25</v>
      </c>
      <c r="G888" s="31" t="s">
        <v>61</v>
      </c>
      <c r="H888" s="32"/>
      <c r="I888" s="32" t="s">
        <v>10</v>
      </c>
    </row>
    <row r="889" spans="1:9" ht="16.5" customHeight="1" x14ac:dyDescent="0.2">
      <c r="A889" s="35" t="s">
        <v>4255</v>
      </c>
      <c r="B889" s="26" t="s">
        <v>5508</v>
      </c>
      <c r="C889" s="66" t="s">
        <v>64</v>
      </c>
      <c r="D889" s="26" t="s">
        <v>82</v>
      </c>
      <c r="E889" s="35" t="s">
        <v>100</v>
      </c>
      <c r="F889" s="31" t="s">
        <v>18</v>
      </c>
      <c r="G889" s="31" t="s">
        <v>19</v>
      </c>
      <c r="H889" s="32"/>
      <c r="I889" s="32" t="s">
        <v>10</v>
      </c>
    </row>
    <row r="890" spans="1:9" ht="16.5" customHeight="1" x14ac:dyDescent="0.2">
      <c r="A890" s="35" t="s">
        <v>4257</v>
      </c>
      <c r="B890" s="35" t="s">
        <v>4258</v>
      </c>
      <c r="C890" s="35" t="s">
        <v>7</v>
      </c>
      <c r="D890" s="35" t="s">
        <v>8</v>
      </c>
      <c r="E890" s="35" t="s">
        <v>108</v>
      </c>
      <c r="F890" s="52" t="s">
        <v>25</v>
      </c>
      <c r="G890" s="30" t="s">
        <v>61</v>
      </c>
      <c r="H890" s="55"/>
      <c r="I890" s="32" t="s">
        <v>10</v>
      </c>
    </row>
    <row r="891" spans="1:9" ht="16.5" customHeight="1" x14ac:dyDescent="0.2">
      <c r="A891" s="35" t="s">
        <v>4259</v>
      </c>
      <c r="B891" s="26" t="s">
        <v>5484</v>
      </c>
      <c r="C891" s="66" t="s">
        <v>64</v>
      </c>
      <c r="D891" s="26" t="s">
        <v>82</v>
      </c>
      <c r="E891" s="27" t="s">
        <v>87</v>
      </c>
      <c r="F891" s="31" t="s">
        <v>25</v>
      </c>
      <c r="G891" s="31" t="s">
        <v>72</v>
      </c>
      <c r="H891" s="32"/>
      <c r="I891" s="32" t="s">
        <v>10</v>
      </c>
    </row>
    <row r="892" spans="1:9" ht="16.5" customHeight="1" x14ac:dyDescent="0.2">
      <c r="A892" s="35" t="s">
        <v>4261</v>
      </c>
      <c r="B892" s="26" t="s">
        <v>5520</v>
      </c>
      <c r="C892" s="66" t="s">
        <v>64</v>
      </c>
      <c r="D892" s="26" t="s">
        <v>82</v>
      </c>
      <c r="E892" s="35" t="s">
        <v>87</v>
      </c>
      <c r="F892" s="31" t="s">
        <v>25</v>
      </c>
      <c r="G892" s="31" t="s">
        <v>3280</v>
      </c>
      <c r="H892" s="32"/>
      <c r="I892" s="32" t="s">
        <v>10</v>
      </c>
    </row>
    <row r="893" spans="1:9" ht="16.5" customHeight="1" x14ac:dyDescent="0.2">
      <c r="A893" s="26" t="s">
        <v>4263</v>
      </c>
      <c r="B893" s="26" t="s">
        <v>4264</v>
      </c>
      <c r="C893" s="26" t="s">
        <v>98</v>
      </c>
      <c r="D893" s="26" t="s">
        <v>107</v>
      </c>
      <c r="E893" s="26" t="s">
        <v>87</v>
      </c>
      <c r="F893" s="31" t="s">
        <v>25</v>
      </c>
      <c r="G893" s="31" t="s">
        <v>41</v>
      </c>
      <c r="H893" s="32"/>
      <c r="I893" s="32" t="s">
        <v>10</v>
      </c>
    </row>
    <row r="894" spans="1:9" ht="16.5" customHeight="1" x14ac:dyDescent="0.2">
      <c r="A894" s="26" t="s">
        <v>4265</v>
      </c>
      <c r="B894" s="26" t="s">
        <v>4266</v>
      </c>
      <c r="C894" s="26" t="s">
        <v>136</v>
      </c>
      <c r="D894" s="26" t="s">
        <v>137</v>
      </c>
      <c r="E894" s="26" t="s">
        <v>114</v>
      </c>
      <c r="F894" s="31" t="s">
        <v>25</v>
      </c>
      <c r="G894" s="32"/>
      <c r="H894" s="31" t="s">
        <v>3289</v>
      </c>
      <c r="I894" s="32" t="s">
        <v>10</v>
      </c>
    </row>
    <row r="895" spans="1:9" ht="16.5" customHeight="1" x14ac:dyDescent="0.2">
      <c r="A895" s="26" t="s">
        <v>4267</v>
      </c>
      <c r="B895" s="26" t="s">
        <v>4268</v>
      </c>
      <c r="C895" s="26" t="s">
        <v>136</v>
      </c>
      <c r="D895" s="26" t="s">
        <v>137</v>
      </c>
      <c r="E895" s="26" t="s">
        <v>108</v>
      </c>
      <c r="F895" s="31" t="s">
        <v>25</v>
      </c>
      <c r="G895" s="31" t="s">
        <v>72</v>
      </c>
      <c r="H895" s="31" t="s">
        <v>3289</v>
      </c>
      <c r="I895" s="32" t="s">
        <v>10</v>
      </c>
    </row>
    <row r="896" spans="1:9" ht="16.5" customHeight="1" x14ac:dyDescent="0.2">
      <c r="A896" s="26" t="s">
        <v>4269</v>
      </c>
      <c r="B896" s="26" t="s">
        <v>5137</v>
      </c>
      <c r="C896" s="26" t="s">
        <v>98</v>
      </c>
      <c r="D896" s="26" t="s">
        <v>99</v>
      </c>
      <c r="E896" s="26" t="s">
        <v>129</v>
      </c>
      <c r="F896" s="47" t="s">
        <v>18</v>
      </c>
      <c r="G896" s="31" t="s">
        <v>61</v>
      </c>
      <c r="H896" s="31"/>
      <c r="I896" s="32" t="s">
        <v>10</v>
      </c>
    </row>
    <row r="897" spans="1:9" ht="16.5" customHeight="1" x14ac:dyDescent="0.2">
      <c r="A897" s="26" t="s">
        <v>4271</v>
      </c>
      <c r="B897" s="26" t="s">
        <v>4272</v>
      </c>
      <c r="C897" s="26" t="s">
        <v>98</v>
      </c>
      <c r="D897" s="26" t="s">
        <v>107</v>
      </c>
      <c r="E897" s="26" t="s">
        <v>87</v>
      </c>
      <c r="F897" s="31" t="s">
        <v>18</v>
      </c>
      <c r="G897" s="31" t="s">
        <v>41</v>
      </c>
      <c r="H897" s="82"/>
      <c r="I897" s="32" t="s">
        <v>10</v>
      </c>
    </row>
    <row r="898" spans="1:9" ht="16.5" customHeight="1" x14ac:dyDescent="0.25">
      <c r="A898" s="76" t="s">
        <v>4273</v>
      </c>
      <c r="B898" s="76" t="s">
        <v>5317</v>
      </c>
      <c r="C898" s="26" t="s">
        <v>64</v>
      </c>
      <c r="D898" s="26" t="s">
        <v>92</v>
      </c>
      <c r="E898" s="26" t="s">
        <v>129</v>
      </c>
      <c r="F898" s="31" t="s">
        <v>18</v>
      </c>
      <c r="G898" s="31" t="s">
        <v>26</v>
      </c>
      <c r="H898" s="32"/>
      <c r="I898" s="32" t="s">
        <v>10</v>
      </c>
    </row>
    <row r="899" spans="1:9" ht="16.5" customHeight="1" x14ac:dyDescent="0.2">
      <c r="A899" s="26" t="s">
        <v>4273</v>
      </c>
      <c r="B899" s="26" t="s">
        <v>5478</v>
      </c>
      <c r="C899" s="26" t="s">
        <v>115</v>
      </c>
      <c r="D899" s="27" t="s">
        <v>116</v>
      </c>
      <c r="E899" s="27" t="s">
        <v>129</v>
      </c>
      <c r="F899" s="31" t="s">
        <v>18</v>
      </c>
      <c r="G899" s="31" t="s">
        <v>3280</v>
      </c>
      <c r="H899" s="31"/>
      <c r="I899" s="32" t="s">
        <v>10</v>
      </c>
    </row>
    <row r="900" spans="1:9" ht="16.5" customHeight="1" x14ac:dyDescent="0.2">
      <c r="A900" s="26" t="s">
        <v>4273</v>
      </c>
      <c r="B900" s="26" t="s">
        <v>5478</v>
      </c>
      <c r="C900" s="26" t="s">
        <v>115</v>
      </c>
      <c r="D900" s="27" t="s">
        <v>116</v>
      </c>
      <c r="E900" s="27" t="s">
        <v>129</v>
      </c>
      <c r="F900" s="31" t="s">
        <v>18</v>
      </c>
      <c r="G900" s="31" t="s">
        <v>3280</v>
      </c>
      <c r="H900" s="31"/>
      <c r="I900" s="32" t="s">
        <v>10</v>
      </c>
    </row>
    <row r="901" spans="1:9" ht="16.5" customHeight="1" x14ac:dyDescent="0.2">
      <c r="A901" s="26" t="s">
        <v>4273</v>
      </c>
      <c r="B901" s="26" t="s">
        <v>5478</v>
      </c>
      <c r="C901" s="26" t="s">
        <v>115</v>
      </c>
      <c r="D901" s="27" t="s">
        <v>116</v>
      </c>
      <c r="E901" s="27" t="s">
        <v>129</v>
      </c>
      <c r="F901" s="31" t="s">
        <v>18</v>
      </c>
      <c r="G901" s="31" t="s">
        <v>3280</v>
      </c>
      <c r="H901" s="31"/>
      <c r="I901" s="32" t="s">
        <v>10</v>
      </c>
    </row>
    <row r="902" spans="1:9" ht="16.5" customHeight="1" x14ac:dyDescent="0.2">
      <c r="A902" s="26" t="s">
        <v>4275</v>
      </c>
      <c r="B902" s="26" t="s">
        <v>4276</v>
      </c>
      <c r="C902" s="26" t="s">
        <v>7</v>
      </c>
      <c r="D902" s="27" t="s">
        <v>16</v>
      </c>
      <c r="E902" s="26" t="s">
        <v>108</v>
      </c>
      <c r="F902" s="31" t="s">
        <v>18</v>
      </c>
      <c r="G902" s="31" t="s">
        <v>61</v>
      </c>
      <c r="H902" s="32"/>
      <c r="I902" s="32" t="s">
        <v>10</v>
      </c>
    </row>
    <row r="903" spans="1:9" ht="16.5" customHeight="1" x14ac:dyDescent="0.2">
      <c r="A903" s="35" t="s">
        <v>4277</v>
      </c>
      <c r="B903" s="35" t="s">
        <v>4278</v>
      </c>
      <c r="C903" s="26" t="s">
        <v>98</v>
      </c>
      <c r="D903" s="26" t="s">
        <v>107</v>
      </c>
      <c r="E903" s="26" t="s">
        <v>87</v>
      </c>
      <c r="F903" s="31" t="s">
        <v>18</v>
      </c>
      <c r="G903" s="27" t="s">
        <v>26</v>
      </c>
      <c r="H903" s="27"/>
      <c r="I903" s="32" t="s">
        <v>10</v>
      </c>
    </row>
    <row r="904" spans="1:9" ht="16.5" customHeight="1" x14ac:dyDescent="0.2">
      <c r="A904" s="54" t="s">
        <v>4279</v>
      </c>
      <c r="B904" s="54" t="s">
        <v>4280</v>
      </c>
      <c r="C904" s="35" t="s">
        <v>7</v>
      </c>
      <c r="D904" s="35" t="s">
        <v>30</v>
      </c>
      <c r="E904" s="35" t="s">
        <v>129</v>
      </c>
      <c r="F904" s="52" t="s">
        <v>18</v>
      </c>
      <c r="G904" s="30" t="s">
        <v>72</v>
      </c>
      <c r="H904" s="30" t="s">
        <v>4281</v>
      </c>
      <c r="I904" s="32" t="s">
        <v>10</v>
      </c>
    </row>
    <row r="905" spans="1:9" ht="16.5" customHeight="1" x14ac:dyDescent="0.2">
      <c r="A905" s="35" t="s">
        <v>4282</v>
      </c>
      <c r="B905" s="35" t="s">
        <v>4283</v>
      </c>
      <c r="C905" s="35" t="s">
        <v>7</v>
      </c>
      <c r="D905" s="35" t="s">
        <v>8</v>
      </c>
      <c r="E905" s="35" t="s">
        <v>83</v>
      </c>
      <c r="F905" s="52" t="s">
        <v>25</v>
      </c>
      <c r="G905" s="30" t="s">
        <v>61</v>
      </c>
      <c r="H905" s="55"/>
      <c r="I905" s="32" t="s">
        <v>10</v>
      </c>
    </row>
    <row r="906" spans="1:9" ht="16.5" customHeight="1" x14ac:dyDescent="0.2">
      <c r="A906" s="54" t="s">
        <v>4284</v>
      </c>
      <c r="B906" s="35" t="s">
        <v>4285</v>
      </c>
      <c r="C906" s="35" t="s">
        <v>64</v>
      </c>
      <c r="D906" s="35" t="s">
        <v>95</v>
      </c>
      <c r="E906" s="54" t="s">
        <v>120</v>
      </c>
      <c r="F906" s="31" t="s">
        <v>18</v>
      </c>
      <c r="G906" s="31" t="s">
        <v>61</v>
      </c>
      <c r="H906" s="32"/>
      <c r="I906" s="32" t="s">
        <v>10</v>
      </c>
    </row>
    <row r="907" spans="1:9" ht="16.5" customHeight="1" x14ac:dyDescent="0.2">
      <c r="A907" s="26" t="s">
        <v>4284</v>
      </c>
      <c r="B907" s="26" t="s">
        <v>5418</v>
      </c>
      <c r="C907" s="26" t="s">
        <v>115</v>
      </c>
      <c r="D907" s="26" t="s">
        <v>122</v>
      </c>
      <c r="E907" s="26" t="s">
        <v>120</v>
      </c>
      <c r="F907" s="31" t="s">
        <v>18</v>
      </c>
      <c r="G907" s="31" t="s">
        <v>12</v>
      </c>
      <c r="H907" s="32"/>
      <c r="I907" s="32" t="s">
        <v>10</v>
      </c>
    </row>
    <row r="908" spans="1:9" ht="16.5" customHeight="1" x14ac:dyDescent="0.2">
      <c r="A908" s="37" t="s">
        <v>4286</v>
      </c>
      <c r="B908" s="26" t="s">
        <v>4287</v>
      </c>
      <c r="C908" s="26" t="s">
        <v>7</v>
      </c>
      <c r="D908" s="27" t="s">
        <v>16</v>
      </c>
      <c r="E908" s="26" t="s">
        <v>120</v>
      </c>
      <c r="F908" s="31" t="s">
        <v>18</v>
      </c>
      <c r="G908" s="31" t="s">
        <v>41</v>
      </c>
      <c r="H908" s="32"/>
      <c r="I908" s="32" t="s">
        <v>10</v>
      </c>
    </row>
    <row r="909" spans="1:9" ht="16.5" customHeight="1" x14ac:dyDescent="0.2">
      <c r="A909" s="54" t="s">
        <v>4286</v>
      </c>
      <c r="B909" s="35" t="s">
        <v>5367</v>
      </c>
      <c r="C909" s="35" t="s">
        <v>64</v>
      </c>
      <c r="D909" s="35" t="s">
        <v>95</v>
      </c>
      <c r="E909" s="54" t="s">
        <v>120</v>
      </c>
      <c r="F909" s="31" t="s">
        <v>18</v>
      </c>
      <c r="G909" s="31" t="s">
        <v>61</v>
      </c>
      <c r="H909" s="32"/>
      <c r="I909" s="32" t="s">
        <v>10</v>
      </c>
    </row>
    <row r="910" spans="1:9" ht="16.5" customHeight="1" x14ac:dyDescent="0.2">
      <c r="A910" s="26" t="s">
        <v>4286</v>
      </c>
      <c r="B910" s="26" t="s">
        <v>5412</v>
      </c>
      <c r="C910" s="26" t="s">
        <v>115</v>
      </c>
      <c r="D910" s="26" t="s">
        <v>122</v>
      </c>
      <c r="E910" s="26" t="s">
        <v>120</v>
      </c>
      <c r="F910" s="31" t="s">
        <v>18</v>
      </c>
      <c r="G910" s="31" t="s">
        <v>12</v>
      </c>
      <c r="H910" s="32"/>
      <c r="I910" s="32" t="s">
        <v>10</v>
      </c>
    </row>
    <row r="911" spans="1:9" ht="16.5" customHeight="1" x14ac:dyDescent="0.25">
      <c r="A911" s="35" t="s">
        <v>4288</v>
      </c>
      <c r="B911" s="76" t="s">
        <v>4289</v>
      </c>
      <c r="C911" s="76" t="s">
        <v>64</v>
      </c>
      <c r="D911" s="35" t="s">
        <v>86</v>
      </c>
      <c r="E911" s="76" t="s">
        <v>114</v>
      </c>
      <c r="F911" s="76" t="s">
        <v>25</v>
      </c>
      <c r="G911" s="35" t="s">
        <v>72</v>
      </c>
      <c r="H911" s="95"/>
      <c r="I911" s="32" t="s">
        <v>10</v>
      </c>
    </row>
    <row r="912" spans="1:9" ht="16.5" customHeight="1" x14ac:dyDescent="0.2">
      <c r="A912" s="35" t="s">
        <v>4290</v>
      </c>
      <c r="B912" s="35" t="s">
        <v>4291</v>
      </c>
      <c r="C912" s="35" t="s">
        <v>115</v>
      </c>
      <c r="D912" s="35" t="s">
        <v>119</v>
      </c>
      <c r="E912" s="35" t="s">
        <v>135</v>
      </c>
      <c r="F912" s="52" t="s">
        <v>18</v>
      </c>
      <c r="G912" s="30" t="s">
        <v>19</v>
      </c>
      <c r="H912" s="30"/>
      <c r="I912" s="32" t="s">
        <v>10</v>
      </c>
    </row>
    <row r="913" spans="1:9" ht="16.5" customHeight="1" x14ac:dyDescent="0.2">
      <c r="A913" s="35" t="s">
        <v>4290</v>
      </c>
      <c r="B913" s="35" t="s">
        <v>5525</v>
      </c>
      <c r="C913" s="26" t="s">
        <v>98</v>
      </c>
      <c r="D913" s="26" t="s">
        <v>107</v>
      </c>
      <c r="E913" s="26" t="s">
        <v>87</v>
      </c>
      <c r="F913" s="31" t="s">
        <v>18</v>
      </c>
      <c r="G913" s="27" t="s">
        <v>19</v>
      </c>
      <c r="H913" s="27"/>
      <c r="I913" s="32" t="s">
        <v>10</v>
      </c>
    </row>
    <row r="914" spans="1:9" ht="16.5" customHeight="1" x14ac:dyDescent="0.25">
      <c r="A914" s="35" t="s">
        <v>4292</v>
      </c>
      <c r="B914" s="76" t="s">
        <v>4293</v>
      </c>
      <c r="C914" s="76" t="s">
        <v>64</v>
      </c>
      <c r="D914" s="35" t="s">
        <v>86</v>
      </c>
      <c r="E914" s="76" t="s">
        <v>87</v>
      </c>
      <c r="F914" s="76" t="s">
        <v>18</v>
      </c>
      <c r="G914" s="35" t="s">
        <v>12</v>
      </c>
      <c r="H914" s="95"/>
      <c r="I914" s="32" t="s">
        <v>10</v>
      </c>
    </row>
    <row r="915" spans="1:9" ht="16.5" customHeight="1" x14ac:dyDescent="0.2">
      <c r="A915" s="35" t="s">
        <v>4294</v>
      </c>
      <c r="B915" s="35" t="s">
        <v>4295</v>
      </c>
      <c r="C915" s="35" t="s">
        <v>7</v>
      </c>
      <c r="D915" s="35" t="s">
        <v>8</v>
      </c>
      <c r="E915" s="35" t="s">
        <v>108</v>
      </c>
      <c r="F915" s="52" t="s">
        <v>25</v>
      </c>
      <c r="G915" s="30" t="s">
        <v>61</v>
      </c>
      <c r="H915" s="55"/>
      <c r="I915" s="32" t="s">
        <v>10</v>
      </c>
    </row>
    <row r="916" spans="1:9" ht="16.5" customHeight="1" x14ac:dyDescent="0.2">
      <c r="A916" s="26" t="s">
        <v>4296</v>
      </c>
      <c r="B916" s="26" t="s">
        <v>4297</v>
      </c>
      <c r="C916" s="66" t="s">
        <v>37</v>
      </c>
      <c r="D916" s="27" t="s">
        <v>38</v>
      </c>
      <c r="E916" s="26" t="s">
        <v>9</v>
      </c>
      <c r="F916" s="31" t="s">
        <v>18</v>
      </c>
      <c r="G916" s="31" t="s">
        <v>41</v>
      </c>
      <c r="H916" s="32"/>
      <c r="I916" s="32" t="s">
        <v>10</v>
      </c>
    </row>
    <row r="917" spans="1:9" ht="16.5" customHeight="1" x14ac:dyDescent="0.2">
      <c r="A917" s="35" t="s">
        <v>4298</v>
      </c>
      <c r="B917" s="35" t="s">
        <v>4299</v>
      </c>
      <c r="C917" s="35" t="s">
        <v>64</v>
      </c>
      <c r="D917" s="35" t="s">
        <v>70</v>
      </c>
      <c r="E917" s="35" t="s">
        <v>83</v>
      </c>
      <c r="F917" s="30" t="s">
        <v>25</v>
      </c>
      <c r="G917" s="31" t="s">
        <v>72</v>
      </c>
      <c r="H917" s="32"/>
      <c r="I917" s="32" t="s">
        <v>10</v>
      </c>
    </row>
    <row r="918" spans="1:9" ht="16.5" customHeight="1" x14ac:dyDescent="0.2">
      <c r="A918" s="35" t="s">
        <v>4298</v>
      </c>
      <c r="B918" s="35" t="s">
        <v>4299</v>
      </c>
      <c r="C918" s="35" t="s">
        <v>64</v>
      </c>
      <c r="D918" s="35" t="s">
        <v>70</v>
      </c>
      <c r="E918" s="35" t="s">
        <v>83</v>
      </c>
      <c r="F918" s="30" t="s">
        <v>25</v>
      </c>
      <c r="G918" s="31" t="s">
        <v>72</v>
      </c>
      <c r="H918" s="32"/>
      <c r="I918" s="32" t="s">
        <v>10</v>
      </c>
    </row>
    <row r="919" spans="1:9" ht="16.5" customHeight="1" x14ac:dyDescent="0.2">
      <c r="A919" s="35" t="s">
        <v>4298</v>
      </c>
      <c r="B919" s="35" t="s">
        <v>4299</v>
      </c>
      <c r="C919" s="35" t="s">
        <v>64</v>
      </c>
      <c r="D919" s="35" t="s">
        <v>70</v>
      </c>
      <c r="E919" s="35" t="s">
        <v>83</v>
      </c>
      <c r="F919" s="30" t="s">
        <v>25</v>
      </c>
      <c r="G919" s="31" t="s">
        <v>72</v>
      </c>
      <c r="H919" s="32"/>
      <c r="I919" s="32" t="s">
        <v>10</v>
      </c>
    </row>
    <row r="920" spans="1:9" ht="16.5" customHeight="1" x14ac:dyDescent="0.2">
      <c r="A920" s="35" t="s">
        <v>4300</v>
      </c>
      <c r="B920" s="26" t="s">
        <v>5485</v>
      </c>
      <c r="C920" s="66" t="s">
        <v>64</v>
      </c>
      <c r="D920" s="26" t="s">
        <v>82</v>
      </c>
      <c r="E920" s="27" t="s">
        <v>126</v>
      </c>
      <c r="F920" s="31" t="s">
        <v>18</v>
      </c>
      <c r="G920" s="31" t="s">
        <v>19</v>
      </c>
      <c r="H920" s="32"/>
      <c r="I920" s="32" t="s">
        <v>10</v>
      </c>
    </row>
    <row r="921" spans="1:9" ht="16.5" customHeight="1" x14ac:dyDescent="0.2">
      <c r="A921" s="35" t="s">
        <v>4302</v>
      </c>
      <c r="B921" s="26" t="s">
        <v>4303</v>
      </c>
      <c r="C921" s="66" t="s">
        <v>64</v>
      </c>
      <c r="D921" s="26" t="s">
        <v>82</v>
      </c>
      <c r="E921" s="35" t="s">
        <v>126</v>
      </c>
      <c r="F921" s="31" t="s">
        <v>18</v>
      </c>
      <c r="G921" s="31" t="s">
        <v>3280</v>
      </c>
      <c r="H921" s="32"/>
      <c r="I921" s="32" t="s">
        <v>10</v>
      </c>
    </row>
    <row r="922" spans="1:9" ht="16.5" customHeight="1" x14ac:dyDescent="0.2">
      <c r="A922" s="35" t="s">
        <v>4304</v>
      </c>
      <c r="B922" s="26" t="s">
        <v>5487</v>
      </c>
      <c r="C922" s="66" t="s">
        <v>64</v>
      </c>
      <c r="D922" s="26" t="s">
        <v>82</v>
      </c>
      <c r="E922" s="27" t="s">
        <v>87</v>
      </c>
      <c r="F922" s="31" t="s">
        <v>25</v>
      </c>
      <c r="G922" s="31" t="s">
        <v>72</v>
      </c>
      <c r="H922" s="32"/>
      <c r="I922" s="32" t="s">
        <v>10</v>
      </c>
    </row>
    <row r="923" spans="1:9" ht="16.5" customHeight="1" x14ac:dyDescent="0.2">
      <c r="A923" s="35" t="s">
        <v>4304</v>
      </c>
      <c r="B923" s="26" t="s">
        <v>5487</v>
      </c>
      <c r="C923" s="66" t="s">
        <v>64</v>
      </c>
      <c r="D923" s="26" t="s">
        <v>82</v>
      </c>
      <c r="E923" s="27" t="s">
        <v>87</v>
      </c>
      <c r="F923" s="31" t="s">
        <v>25</v>
      </c>
      <c r="G923" s="31" t="s">
        <v>72</v>
      </c>
      <c r="H923" s="32"/>
      <c r="I923" s="32" t="s">
        <v>10</v>
      </c>
    </row>
    <row r="924" spans="1:9" ht="16.5" customHeight="1" x14ac:dyDescent="0.2">
      <c r="A924" s="35" t="s">
        <v>4306</v>
      </c>
      <c r="B924" s="26" t="s">
        <v>5515</v>
      </c>
      <c r="C924" s="66" t="s">
        <v>64</v>
      </c>
      <c r="D924" s="26" t="s">
        <v>82</v>
      </c>
      <c r="E924" s="35" t="s">
        <v>87</v>
      </c>
      <c r="F924" s="31" t="s">
        <v>25</v>
      </c>
      <c r="G924" s="31" t="s">
        <v>72</v>
      </c>
      <c r="H924" s="32"/>
      <c r="I924" s="32" t="s">
        <v>10</v>
      </c>
    </row>
    <row r="925" spans="1:9" ht="16.5" customHeight="1" x14ac:dyDescent="0.25">
      <c r="A925" s="76" t="s">
        <v>4308</v>
      </c>
      <c r="B925" s="76" t="s">
        <v>5316</v>
      </c>
      <c r="C925" s="26" t="s">
        <v>64</v>
      </c>
      <c r="D925" s="26" t="s">
        <v>92</v>
      </c>
      <c r="E925" s="26" t="s">
        <v>9</v>
      </c>
      <c r="F925" s="31" t="s">
        <v>18</v>
      </c>
      <c r="G925" s="31" t="s">
        <v>12</v>
      </c>
      <c r="H925" s="32"/>
      <c r="I925" s="32" t="s">
        <v>10</v>
      </c>
    </row>
    <row r="926" spans="1:9" ht="16.5" customHeight="1" x14ac:dyDescent="0.2">
      <c r="A926" s="26" t="s">
        <v>4310</v>
      </c>
      <c r="B926" s="26" t="s">
        <v>4311</v>
      </c>
      <c r="C926" s="26" t="s">
        <v>37</v>
      </c>
      <c r="D926" s="27" t="s">
        <v>38</v>
      </c>
      <c r="E926" s="27" t="s">
        <v>9</v>
      </c>
      <c r="F926" s="31" t="s">
        <v>18</v>
      </c>
      <c r="G926" s="31" t="s">
        <v>41</v>
      </c>
      <c r="H926" s="32"/>
      <c r="I926" s="32" t="s">
        <v>10</v>
      </c>
    </row>
    <row r="927" spans="1:9" ht="16.5" customHeight="1" x14ac:dyDescent="0.2">
      <c r="A927" s="26" t="s">
        <v>4312</v>
      </c>
      <c r="B927" s="26" t="s">
        <v>4313</v>
      </c>
      <c r="C927" s="26" t="s">
        <v>98</v>
      </c>
      <c r="D927" s="26" t="s">
        <v>107</v>
      </c>
      <c r="E927" s="26" t="s">
        <v>87</v>
      </c>
      <c r="F927" s="31" t="s">
        <v>25</v>
      </c>
      <c r="G927" s="31" t="s">
        <v>41</v>
      </c>
      <c r="H927" s="32"/>
      <c r="I927" s="32" t="s">
        <v>10</v>
      </c>
    </row>
    <row r="928" spans="1:9" ht="16.5" customHeight="1" x14ac:dyDescent="0.2">
      <c r="A928" s="26" t="s">
        <v>4312</v>
      </c>
      <c r="B928" s="26" t="s">
        <v>4313</v>
      </c>
      <c r="C928" s="26" t="s">
        <v>98</v>
      </c>
      <c r="D928" s="26" t="s">
        <v>107</v>
      </c>
      <c r="E928" s="26" t="s">
        <v>87</v>
      </c>
      <c r="F928" s="31" t="s">
        <v>25</v>
      </c>
      <c r="G928" s="31" t="s">
        <v>41</v>
      </c>
      <c r="H928" s="32"/>
      <c r="I928" s="32" t="s">
        <v>10</v>
      </c>
    </row>
    <row r="929" spans="1:9" ht="16.5" customHeight="1" x14ac:dyDescent="0.2">
      <c r="A929" s="26" t="s">
        <v>4314</v>
      </c>
      <c r="B929" s="26" t="s">
        <v>4315</v>
      </c>
      <c r="C929" s="26" t="s">
        <v>37</v>
      </c>
      <c r="D929" s="27" t="s">
        <v>38</v>
      </c>
      <c r="E929" s="27" t="s">
        <v>9</v>
      </c>
      <c r="F929" s="31" t="s">
        <v>18</v>
      </c>
      <c r="G929" s="31" t="s">
        <v>41</v>
      </c>
      <c r="H929" s="32"/>
      <c r="I929" s="32" t="s">
        <v>10</v>
      </c>
    </row>
    <row r="930" spans="1:9" ht="16.5" customHeight="1" x14ac:dyDescent="0.2">
      <c r="A930" s="35" t="s">
        <v>4316</v>
      </c>
      <c r="B930" s="26" t="s">
        <v>5493</v>
      </c>
      <c r="C930" s="66" t="s">
        <v>64</v>
      </c>
      <c r="D930" s="26" t="s">
        <v>82</v>
      </c>
      <c r="E930" s="35" t="s">
        <v>9</v>
      </c>
      <c r="F930" s="31" t="s">
        <v>25</v>
      </c>
      <c r="G930" s="31" t="s">
        <v>72</v>
      </c>
      <c r="H930" s="32"/>
      <c r="I930" s="32" t="s">
        <v>10</v>
      </c>
    </row>
    <row r="931" spans="1:9" ht="16.5" customHeight="1" x14ac:dyDescent="0.2">
      <c r="A931" s="26" t="s">
        <v>4316</v>
      </c>
      <c r="B931" s="26" t="s">
        <v>5584</v>
      </c>
      <c r="C931" s="26" t="s">
        <v>98</v>
      </c>
      <c r="D931" s="26" t="s">
        <v>113</v>
      </c>
      <c r="E931" s="26" t="s">
        <v>9</v>
      </c>
      <c r="F931" s="31" t="s">
        <v>25</v>
      </c>
      <c r="G931" s="31" t="s">
        <v>41</v>
      </c>
      <c r="H931" s="32"/>
      <c r="I931" s="32" t="s">
        <v>10</v>
      </c>
    </row>
    <row r="932" spans="1:9" ht="16.5" customHeight="1" x14ac:dyDescent="0.2">
      <c r="A932" s="26" t="s">
        <v>4318</v>
      </c>
      <c r="B932" s="26" t="s">
        <v>4319</v>
      </c>
      <c r="C932" s="26" t="s">
        <v>115</v>
      </c>
      <c r="D932" s="27" t="s">
        <v>116</v>
      </c>
      <c r="E932" s="27" t="s">
        <v>108</v>
      </c>
      <c r="F932" s="31" t="s">
        <v>18</v>
      </c>
      <c r="G932" s="31" t="s">
        <v>19</v>
      </c>
      <c r="H932" s="31"/>
      <c r="I932" s="32" t="s">
        <v>10</v>
      </c>
    </row>
    <row r="933" spans="1:9" ht="16.5" customHeight="1" x14ac:dyDescent="0.2">
      <c r="A933" s="26" t="s">
        <v>4320</v>
      </c>
      <c r="B933" s="26" t="s">
        <v>4321</v>
      </c>
      <c r="C933" s="26" t="s">
        <v>115</v>
      </c>
      <c r="D933" s="27" t="s">
        <v>116</v>
      </c>
      <c r="E933" s="27" t="s">
        <v>9</v>
      </c>
      <c r="F933" s="31" t="s">
        <v>18</v>
      </c>
      <c r="G933" s="31" t="s">
        <v>12</v>
      </c>
      <c r="H933" s="31"/>
      <c r="I933" s="32" t="s">
        <v>10</v>
      </c>
    </row>
    <row r="934" spans="1:9" ht="16.5" customHeight="1" x14ac:dyDescent="0.2">
      <c r="A934" s="26" t="s">
        <v>4320</v>
      </c>
      <c r="B934" s="26" t="s">
        <v>4321</v>
      </c>
      <c r="C934" s="26" t="s">
        <v>115</v>
      </c>
      <c r="D934" s="27" t="s">
        <v>116</v>
      </c>
      <c r="E934" s="27" t="s">
        <v>9</v>
      </c>
      <c r="F934" s="31" t="s">
        <v>18</v>
      </c>
      <c r="G934" s="31" t="s">
        <v>12</v>
      </c>
      <c r="H934" s="31"/>
      <c r="I934" s="32" t="s">
        <v>10</v>
      </c>
    </row>
    <row r="935" spans="1:9" ht="16.5" customHeight="1" x14ac:dyDescent="0.2">
      <c r="A935" s="26" t="s">
        <v>4320</v>
      </c>
      <c r="B935" s="26" t="s">
        <v>4321</v>
      </c>
      <c r="C935" s="26" t="s">
        <v>115</v>
      </c>
      <c r="D935" s="27" t="s">
        <v>116</v>
      </c>
      <c r="E935" s="27" t="s">
        <v>9</v>
      </c>
      <c r="F935" s="31" t="s">
        <v>18</v>
      </c>
      <c r="G935" s="31" t="s">
        <v>12</v>
      </c>
      <c r="H935" s="31"/>
      <c r="I935" s="32" t="s">
        <v>10</v>
      </c>
    </row>
    <row r="936" spans="1:9" ht="16.5" customHeight="1" x14ac:dyDescent="0.2">
      <c r="A936" s="35" t="s">
        <v>4322</v>
      </c>
      <c r="B936" s="26" t="s">
        <v>5496</v>
      </c>
      <c r="C936" s="66" t="s">
        <v>64</v>
      </c>
      <c r="D936" s="26" t="s">
        <v>82</v>
      </c>
      <c r="E936" s="35" t="s">
        <v>9</v>
      </c>
      <c r="F936" s="31" t="s">
        <v>18</v>
      </c>
      <c r="G936" s="31" t="s">
        <v>3280</v>
      </c>
      <c r="H936" s="32"/>
      <c r="I936" s="32" t="s">
        <v>10</v>
      </c>
    </row>
    <row r="937" spans="1:9" ht="16.5" customHeight="1" x14ac:dyDescent="0.2">
      <c r="A937" s="35" t="s">
        <v>4324</v>
      </c>
      <c r="B937" s="26" t="s">
        <v>5522</v>
      </c>
      <c r="C937" s="66" t="s">
        <v>64</v>
      </c>
      <c r="D937" s="26" t="s">
        <v>82</v>
      </c>
      <c r="E937" s="35" t="s">
        <v>9</v>
      </c>
      <c r="F937" s="31" t="s">
        <v>25</v>
      </c>
      <c r="G937" s="31" t="s">
        <v>3280</v>
      </c>
      <c r="H937" s="32"/>
      <c r="I937" s="32" t="s">
        <v>10</v>
      </c>
    </row>
    <row r="938" spans="1:9" ht="16.5" customHeight="1" x14ac:dyDescent="0.2">
      <c r="A938" s="26" t="s">
        <v>4326</v>
      </c>
      <c r="B938" s="26" t="s">
        <v>4327</v>
      </c>
      <c r="C938" s="66" t="s">
        <v>37</v>
      </c>
      <c r="D938" s="27" t="s">
        <v>38</v>
      </c>
      <c r="E938" s="26" t="s">
        <v>9</v>
      </c>
      <c r="F938" s="31" t="s">
        <v>18</v>
      </c>
      <c r="G938" s="31" t="s">
        <v>41</v>
      </c>
      <c r="H938" s="32"/>
      <c r="I938" s="32" t="s">
        <v>10</v>
      </c>
    </row>
    <row r="939" spans="1:9" ht="16.5" customHeight="1" x14ac:dyDescent="0.25">
      <c r="A939" s="76" t="s">
        <v>4328</v>
      </c>
      <c r="B939" s="76" t="s">
        <v>5281</v>
      </c>
      <c r="C939" s="26" t="s">
        <v>64</v>
      </c>
      <c r="D939" s="26" t="s">
        <v>92</v>
      </c>
      <c r="E939" s="26" t="s">
        <v>9</v>
      </c>
      <c r="F939" s="31" t="s">
        <v>18</v>
      </c>
      <c r="G939" s="31" t="s">
        <v>19</v>
      </c>
      <c r="H939" s="32"/>
      <c r="I939" s="32" t="s">
        <v>10</v>
      </c>
    </row>
    <row r="940" spans="1:9" ht="16.5" customHeight="1" x14ac:dyDescent="0.25">
      <c r="A940" s="76" t="s">
        <v>4328</v>
      </c>
      <c r="B940" s="76" t="s">
        <v>5281</v>
      </c>
      <c r="C940" s="26" t="s">
        <v>64</v>
      </c>
      <c r="D940" s="26" t="s">
        <v>92</v>
      </c>
      <c r="E940" s="26" t="s">
        <v>9</v>
      </c>
      <c r="F940" s="31" t="s">
        <v>18</v>
      </c>
      <c r="G940" s="31" t="s">
        <v>19</v>
      </c>
      <c r="H940" s="32"/>
      <c r="I940" s="32" t="s">
        <v>10</v>
      </c>
    </row>
    <row r="941" spans="1:9" ht="16.5" customHeight="1" x14ac:dyDescent="0.25">
      <c r="A941" s="35" t="s">
        <v>4330</v>
      </c>
      <c r="B941" s="26" t="s">
        <v>5482</v>
      </c>
      <c r="C941" s="66" t="s">
        <v>64</v>
      </c>
      <c r="D941" s="26" t="s">
        <v>82</v>
      </c>
      <c r="E941" s="27" t="s">
        <v>9</v>
      </c>
      <c r="F941" s="31" t="s">
        <v>25</v>
      </c>
      <c r="G941" s="31" t="s">
        <v>72</v>
      </c>
      <c r="H941" s="95"/>
      <c r="I941" s="32" t="s">
        <v>10</v>
      </c>
    </row>
    <row r="942" spans="1:9" ht="16.5" customHeight="1" x14ac:dyDescent="0.2">
      <c r="A942" s="35" t="s">
        <v>4332</v>
      </c>
      <c r="B942" s="35" t="s">
        <v>4333</v>
      </c>
      <c r="C942" s="26" t="s">
        <v>98</v>
      </c>
      <c r="D942" s="26" t="s">
        <v>113</v>
      </c>
      <c r="E942" s="26" t="s">
        <v>9</v>
      </c>
      <c r="F942" s="31" t="s">
        <v>18</v>
      </c>
      <c r="G942" s="31" t="s">
        <v>19</v>
      </c>
      <c r="H942" s="32"/>
      <c r="I942" s="32" t="s">
        <v>10</v>
      </c>
    </row>
    <row r="943" spans="1:9" ht="17.25" customHeight="1" x14ac:dyDescent="0.25">
      <c r="A943" s="76" t="s">
        <v>4334</v>
      </c>
      <c r="B943" s="76" t="s">
        <v>5315</v>
      </c>
      <c r="C943" s="26" t="s">
        <v>64</v>
      </c>
      <c r="D943" s="26" t="s">
        <v>92</v>
      </c>
      <c r="E943" s="26" t="s">
        <v>9</v>
      </c>
      <c r="F943" s="31" t="s">
        <v>18</v>
      </c>
      <c r="G943" s="31" t="s">
        <v>26</v>
      </c>
      <c r="H943" s="32"/>
      <c r="I943" s="32" t="s">
        <v>10</v>
      </c>
    </row>
    <row r="944" spans="1:9" ht="17.25" customHeight="1" x14ac:dyDescent="0.2">
      <c r="A944" s="26" t="s">
        <v>4336</v>
      </c>
      <c r="B944" s="26" t="s">
        <v>4337</v>
      </c>
      <c r="C944" s="26" t="s">
        <v>98</v>
      </c>
      <c r="D944" s="26" t="s">
        <v>105</v>
      </c>
      <c r="E944" s="26" t="s">
        <v>83</v>
      </c>
      <c r="F944" s="31" t="s">
        <v>25</v>
      </c>
      <c r="G944" s="31" t="s">
        <v>41</v>
      </c>
      <c r="H944" s="32"/>
      <c r="I944" s="32" t="s">
        <v>10</v>
      </c>
    </row>
    <row r="945" spans="1:9" ht="17.25" customHeight="1" x14ac:dyDescent="0.2">
      <c r="A945" s="35" t="s">
        <v>4338</v>
      </c>
      <c r="B945" s="35" t="s">
        <v>4339</v>
      </c>
      <c r="C945" s="26" t="s">
        <v>98</v>
      </c>
      <c r="D945" s="26" t="s">
        <v>113</v>
      </c>
      <c r="E945" s="26" t="s">
        <v>87</v>
      </c>
      <c r="F945" s="31" t="s">
        <v>25</v>
      </c>
      <c r="G945" s="31" t="s">
        <v>41</v>
      </c>
      <c r="H945" s="32"/>
      <c r="I945" s="32" t="s">
        <v>10</v>
      </c>
    </row>
    <row r="946" spans="1:9" ht="17.25" customHeight="1" x14ac:dyDescent="0.2">
      <c r="A946" s="35" t="s">
        <v>4340</v>
      </c>
      <c r="B946" s="35" t="s">
        <v>5362</v>
      </c>
      <c r="C946" s="66" t="s">
        <v>37</v>
      </c>
      <c r="D946" s="66" t="s">
        <v>52</v>
      </c>
      <c r="E946" s="26" t="s">
        <v>53</v>
      </c>
      <c r="F946" s="31" t="s">
        <v>25</v>
      </c>
      <c r="G946" s="31" t="s">
        <v>41</v>
      </c>
      <c r="H946" s="32"/>
      <c r="I946" s="32" t="s">
        <v>47</v>
      </c>
    </row>
    <row r="947" spans="1:9" ht="17.25" customHeight="1" x14ac:dyDescent="0.25">
      <c r="A947" s="35" t="s">
        <v>4340</v>
      </c>
      <c r="B947" s="76" t="s">
        <v>5449</v>
      </c>
      <c r="C947" s="66" t="s">
        <v>37</v>
      </c>
      <c r="D947" s="35" t="s">
        <v>52</v>
      </c>
      <c r="E947" s="76" t="s">
        <v>53</v>
      </c>
      <c r="F947" s="35" t="s">
        <v>25</v>
      </c>
      <c r="G947" s="35" t="s">
        <v>41</v>
      </c>
      <c r="H947" s="95" t="s">
        <v>10</v>
      </c>
      <c r="I947" s="32" t="s">
        <v>47</v>
      </c>
    </row>
    <row r="948" spans="1:9" ht="16.5" customHeight="1" x14ac:dyDescent="0.2">
      <c r="A948" s="26" t="s">
        <v>4342</v>
      </c>
      <c r="B948" s="26" t="s">
        <v>4343</v>
      </c>
      <c r="C948" s="66" t="s">
        <v>98</v>
      </c>
      <c r="D948" s="66" t="s">
        <v>110</v>
      </c>
      <c r="E948" s="66" t="s">
        <v>83</v>
      </c>
      <c r="F948" s="31" t="s">
        <v>25</v>
      </c>
      <c r="G948" s="67" t="s">
        <v>19</v>
      </c>
      <c r="H948" s="32" t="s">
        <v>10</v>
      </c>
      <c r="I948" s="32" t="s">
        <v>10</v>
      </c>
    </row>
    <row r="949" spans="1:9" ht="16.5" customHeight="1" x14ac:dyDescent="0.2">
      <c r="A949" s="26" t="s">
        <v>4344</v>
      </c>
      <c r="B949" s="26" t="s">
        <v>4345</v>
      </c>
      <c r="C949" s="26" t="s">
        <v>115</v>
      </c>
      <c r="D949" s="27" t="s">
        <v>116</v>
      </c>
      <c r="E949" s="27" t="s">
        <v>83</v>
      </c>
      <c r="F949" s="31" t="s">
        <v>25</v>
      </c>
      <c r="G949" s="31" t="s">
        <v>41</v>
      </c>
      <c r="H949" s="31"/>
      <c r="I949" s="32" t="s">
        <v>10</v>
      </c>
    </row>
    <row r="950" spans="1:9" ht="16.5" customHeight="1" x14ac:dyDescent="0.2">
      <c r="A950" s="26" t="s">
        <v>4346</v>
      </c>
      <c r="B950" s="26" t="s">
        <v>4347</v>
      </c>
      <c r="C950" s="66" t="s">
        <v>98</v>
      </c>
      <c r="D950" s="66" t="s">
        <v>110</v>
      </c>
      <c r="E950" s="66" t="s">
        <v>87</v>
      </c>
      <c r="F950" s="31" t="s">
        <v>25</v>
      </c>
      <c r="G950" s="67" t="s">
        <v>41</v>
      </c>
      <c r="H950" s="32" t="s">
        <v>10</v>
      </c>
      <c r="I950" s="32" t="s">
        <v>10</v>
      </c>
    </row>
    <row r="951" spans="1:9" ht="16.5" customHeight="1" x14ac:dyDescent="0.2">
      <c r="A951" s="26" t="s">
        <v>4348</v>
      </c>
      <c r="B951" s="26" t="s">
        <v>4349</v>
      </c>
      <c r="C951" s="26" t="s">
        <v>98</v>
      </c>
      <c r="D951" s="26" t="s">
        <v>99</v>
      </c>
      <c r="E951" s="26" t="s">
        <v>114</v>
      </c>
      <c r="F951" s="47" t="s">
        <v>25</v>
      </c>
      <c r="G951" s="47" t="s">
        <v>72</v>
      </c>
      <c r="H951" s="32"/>
      <c r="I951" s="32" t="s">
        <v>10</v>
      </c>
    </row>
    <row r="952" spans="1:9" ht="16.5" customHeight="1" x14ac:dyDescent="0.2">
      <c r="A952" s="54" t="s">
        <v>4350</v>
      </c>
      <c r="B952" s="54" t="s">
        <v>4351</v>
      </c>
      <c r="C952" s="35" t="s">
        <v>64</v>
      </c>
      <c r="D952" s="35" t="s">
        <v>95</v>
      </c>
      <c r="E952" s="54" t="s">
        <v>83</v>
      </c>
      <c r="F952" s="31" t="s">
        <v>25</v>
      </c>
      <c r="G952" s="31" t="s">
        <v>72</v>
      </c>
      <c r="H952" s="31"/>
      <c r="I952" s="32" t="s">
        <v>10</v>
      </c>
    </row>
    <row r="953" spans="1:9" ht="16.5" customHeight="1" x14ac:dyDescent="0.2">
      <c r="A953" s="26" t="s">
        <v>4352</v>
      </c>
      <c r="B953" s="26" t="s">
        <v>4353</v>
      </c>
      <c r="C953" s="26" t="s">
        <v>98</v>
      </c>
      <c r="D953" s="26" t="s">
        <v>105</v>
      </c>
      <c r="E953" s="26" t="s">
        <v>83</v>
      </c>
      <c r="F953" s="31" t="s">
        <v>25</v>
      </c>
      <c r="G953" s="31" t="s">
        <v>41</v>
      </c>
      <c r="H953" s="32"/>
      <c r="I953" s="32" t="s">
        <v>10</v>
      </c>
    </row>
    <row r="954" spans="1:9" ht="16.5" customHeight="1" x14ac:dyDescent="0.2">
      <c r="A954" s="26" t="s">
        <v>4352</v>
      </c>
      <c r="B954" s="26" t="s">
        <v>5149</v>
      </c>
      <c r="C954" s="26" t="s">
        <v>98</v>
      </c>
      <c r="D954" s="26" t="s">
        <v>105</v>
      </c>
      <c r="E954" s="26" t="s">
        <v>83</v>
      </c>
      <c r="F954" s="31" t="s">
        <v>25</v>
      </c>
      <c r="G954" s="31" t="s">
        <v>41</v>
      </c>
      <c r="H954" s="32"/>
      <c r="I954" s="32" t="s">
        <v>10</v>
      </c>
    </row>
    <row r="955" spans="1:9" ht="16.5" customHeight="1" x14ac:dyDescent="0.2">
      <c r="A955" s="26" t="s">
        <v>4354</v>
      </c>
      <c r="B955" s="26" t="s">
        <v>4355</v>
      </c>
      <c r="C955" s="66" t="s">
        <v>136</v>
      </c>
      <c r="D955" s="27" t="s">
        <v>137</v>
      </c>
      <c r="E955" s="26" t="s">
        <v>135</v>
      </c>
      <c r="F955" s="31" t="s">
        <v>18</v>
      </c>
      <c r="G955" s="27" t="s">
        <v>41</v>
      </c>
      <c r="H955" s="32"/>
      <c r="I955" s="32" t="s">
        <v>10</v>
      </c>
    </row>
    <row r="956" spans="1:9" ht="16.5" customHeight="1" x14ac:dyDescent="0.2">
      <c r="A956" s="26" t="s">
        <v>4356</v>
      </c>
      <c r="B956" s="26" t="s">
        <v>4357</v>
      </c>
      <c r="C956" s="26" t="s">
        <v>98</v>
      </c>
      <c r="D956" s="26" t="s">
        <v>107</v>
      </c>
      <c r="E956" s="26" t="s">
        <v>87</v>
      </c>
      <c r="F956" s="31" t="s">
        <v>25</v>
      </c>
      <c r="G956" s="31" t="s">
        <v>41</v>
      </c>
      <c r="H956" s="82"/>
      <c r="I956" s="32" t="s">
        <v>10</v>
      </c>
    </row>
    <row r="957" spans="1:9" ht="16.5" customHeight="1" x14ac:dyDescent="0.25">
      <c r="A957" s="35" t="s">
        <v>4358</v>
      </c>
      <c r="B957" s="76" t="s">
        <v>5451</v>
      </c>
      <c r="C957" s="66" t="s">
        <v>37</v>
      </c>
      <c r="D957" s="35" t="s">
        <v>52</v>
      </c>
      <c r="E957" s="76" t="s">
        <v>53</v>
      </c>
      <c r="F957" s="35" t="s">
        <v>25</v>
      </c>
      <c r="G957" s="35" t="s">
        <v>41</v>
      </c>
      <c r="H957" s="95" t="s">
        <v>10</v>
      </c>
      <c r="I957" s="32" t="s">
        <v>47</v>
      </c>
    </row>
    <row r="958" spans="1:9" ht="16.5" customHeight="1" x14ac:dyDescent="0.2">
      <c r="A958" s="35" t="s">
        <v>4360</v>
      </c>
      <c r="B958" s="26" t="s">
        <v>5512</v>
      </c>
      <c r="C958" s="66" t="s">
        <v>64</v>
      </c>
      <c r="D958" s="26" t="s">
        <v>82</v>
      </c>
      <c r="E958" s="35" t="s">
        <v>135</v>
      </c>
      <c r="F958" s="31" t="s">
        <v>25</v>
      </c>
      <c r="G958" s="31" t="s">
        <v>72</v>
      </c>
      <c r="H958" s="32"/>
      <c r="I958" s="32" t="s">
        <v>10</v>
      </c>
    </row>
    <row r="959" spans="1:9" ht="16.5" customHeight="1" x14ac:dyDescent="0.2">
      <c r="A959" s="35" t="s">
        <v>4362</v>
      </c>
      <c r="B959" s="35" t="s">
        <v>4363</v>
      </c>
      <c r="C959" s="35" t="s">
        <v>7</v>
      </c>
      <c r="D959" s="35" t="s">
        <v>23</v>
      </c>
      <c r="E959" s="35" t="s">
        <v>114</v>
      </c>
      <c r="F959" s="31" t="s">
        <v>25</v>
      </c>
      <c r="G959" s="34" t="s">
        <v>61</v>
      </c>
      <c r="H959" s="32"/>
      <c r="I959" s="32" t="s">
        <v>10</v>
      </c>
    </row>
    <row r="960" spans="1:9" ht="16.5" customHeight="1" x14ac:dyDescent="0.2">
      <c r="A960" s="35" t="s">
        <v>4362</v>
      </c>
      <c r="B960" s="57" t="s">
        <v>4363</v>
      </c>
      <c r="C960" s="35" t="s">
        <v>7</v>
      </c>
      <c r="D960" s="35" t="s">
        <v>23</v>
      </c>
      <c r="E960" s="35" t="s">
        <v>114</v>
      </c>
      <c r="F960" s="31" t="s">
        <v>25</v>
      </c>
      <c r="G960" s="34" t="s">
        <v>61</v>
      </c>
      <c r="H960" s="31" t="s">
        <v>5172</v>
      </c>
      <c r="I960" s="32" t="s">
        <v>10</v>
      </c>
    </row>
    <row r="961" spans="1:9" ht="16.5" customHeight="1" x14ac:dyDescent="0.2">
      <c r="A961" s="35" t="s">
        <v>4362</v>
      </c>
      <c r="B961" s="35" t="s">
        <v>4363</v>
      </c>
      <c r="C961" s="35" t="s">
        <v>7</v>
      </c>
      <c r="D961" s="35" t="s">
        <v>23</v>
      </c>
      <c r="E961" s="35" t="s">
        <v>114</v>
      </c>
      <c r="F961" s="31" t="s">
        <v>25</v>
      </c>
      <c r="G961" s="34" t="s">
        <v>61</v>
      </c>
      <c r="H961" s="32"/>
      <c r="I961" s="32" t="s">
        <v>10</v>
      </c>
    </row>
    <row r="962" spans="1:9" ht="16.5" customHeight="1" x14ac:dyDescent="0.2">
      <c r="A962" s="35" t="s">
        <v>4362</v>
      </c>
      <c r="B962" s="35" t="s">
        <v>4363</v>
      </c>
      <c r="C962" s="35" t="s">
        <v>7</v>
      </c>
      <c r="D962" s="35" t="s">
        <v>23</v>
      </c>
      <c r="E962" s="35" t="s">
        <v>114</v>
      </c>
      <c r="F962" s="31" t="s">
        <v>25</v>
      </c>
      <c r="G962" s="34" t="s">
        <v>61</v>
      </c>
      <c r="H962" s="32"/>
      <c r="I962" s="32" t="s">
        <v>10</v>
      </c>
    </row>
    <row r="963" spans="1:9" ht="16.5" customHeight="1" x14ac:dyDescent="0.2">
      <c r="A963" s="35" t="s">
        <v>4362</v>
      </c>
      <c r="B963" s="35" t="s">
        <v>4363</v>
      </c>
      <c r="C963" s="35" t="s">
        <v>7</v>
      </c>
      <c r="D963" s="35" t="s">
        <v>8</v>
      </c>
      <c r="E963" s="35" t="s">
        <v>114</v>
      </c>
      <c r="F963" s="52" t="s">
        <v>25</v>
      </c>
      <c r="G963" s="30" t="s">
        <v>61</v>
      </c>
      <c r="H963" s="55"/>
      <c r="I963" s="32" t="s">
        <v>10</v>
      </c>
    </row>
    <row r="964" spans="1:9" ht="16.5" customHeight="1" x14ac:dyDescent="0.2">
      <c r="A964" s="35" t="s">
        <v>4362</v>
      </c>
      <c r="B964" s="35" t="s">
        <v>4363</v>
      </c>
      <c r="C964" s="35" t="s">
        <v>7</v>
      </c>
      <c r="D964" s="35" t="s">
        <v>8</v>
      </c>
      <c r="E964" s="35" t="s">
        <v>114</v>
      </c>
      <c r="F964" s="52" t="s">
        <v>25</v>
      </c>
      <c r="G964" s="30" t="s">
        <v>61</v>
      </c>
      <c r="H964" s="55"/>
      <c r="I964" s="32" t="s">
        <v>10</v>
      </c>
    </row>
    <row r="965" spans="1:9" ht="16.5" customHeight="1" x14ac:dyDescent="0.2">
      <c r="A965" s="35" t="s">
        <v>4362</v>
      </c>
      <c r="B965" s="35" t="s">
        <v>4363</v>
      </c>
      <c r="C965" s="35" t="s">
        <v>7</v>
      </c>
      <c r="D965" s="35" t="s">
        <v>8</v>
      </c>
      <c r="E965" s="35" t="s">
        <v>114</v>
      </c>
      <c r="F965" s="52" t="s">
        <v>25</v>
      </c>
      <c r="G965" s="30" t="s">
        <v>61</v>
      </c>
      <c r="H965" s="55"/>
      <c r="I965" s="32" t="s">
        <v>10</v>
      </c>
    </row>
    <row r="966" spans="1:9" ht="16.5" customHeight="1" x14ac:dyDescent="0.2">
      <c r="A966" s="35" t="s">
        <v>4362</v>
      </c>
      <c r="B966" s="35" t="s">
        <v>4363</v>
      </c>
      <c r="C966" s="35" t="s">
        <v>7</v>
      </c>
      <c r="D966" s="35" t="s">
        <v>8</v>
      </c>
      <c r="E966" s="35" t="s">
        <v>114</v>
      </c>
      <c r="F966" s="52" t="s">
        <v>25</v>
      </c>
      <c r="G966" s="30" t="s">
        <v>61</v>
      </c>
      <c r="H966" s="55"/>
      <c r="I966" s="32" t="s">
        <v>10</v>
      </c>
    </row>
    <row r="967" spans="1:9" ht="16.5" customHeight="1" x14ac:dyDescent="0.2">
      <c r="A967" s="35" t="s">
        <v>4362</v>
      </c>
      <c r="B967" s="35" t="s">
        <v>4363</v>
      </c>
      <c r="C967" s="35" t="s">
        <v>7</v>
      </c>
      <c r="D967" s="35" t="s">
        <v>8</v>
      </c>
      <c r="E967" s="35" t="s">
        <v>114</v>
      </c>
      <c r="F967" s="52" t="s">
        <v>25</v>
      </c>
      <c r="G967" s="30" t="s">
        <v>61</v>
      </c>
      <c r="H967" s="55"/>
      <c r="I967" s="32" t="s">
        <v>10</v>
      </c>
    </row>
    <row r="968" spans="1:9" ht="16.5" customHeight="1" x14ac:dyDescent="0.2">
      <c r="A968" s="26" t="s">
        <v>4364</v>
      </c>
      <c r="B968" s="26" t="s">
        <v>4365</v>
      </c>
      <c r="C968" s="26" t="s">
        <v>98</v>
      </c>
      <c r="D968" s="26" t="s">
        <v>105</v>
      </c>
      <c r="E968" s="26" t="s">
        <v>83</v>
      </c>
      <c r="F968" s="31" t="s">
        <v>25</v>
      </c>
      <c r="G968" s="31" t="s">
        <v>41</v>
      </c>
      <c r="H968" s="32"/>
      <c r="I968" s="32" t="s">
        <v>10</v>
      </c>
    </row>
    <row r="969" spans="1:9" ht="16.5" customHeight="1" x14ac:dyDescent="0.2">
      <c r="A969" s="27" t="s">
        <v>4366</v>
      </c>
      <c r="B969" s="27" t="s">
        <v>4367</v>
      </c>
      <c r="C969" s="27" t="s">
        <v>7</v>
      </c>
      <c r="D969" s="27" t="s">
        <v>8</v>
      </c>
      <c r="E969" s="27" t="s">
        <v>106</v>
      </c>
      <c r="F969" s="47" t="s">
        <v>18</v>
      </c>
      <c r="G969" s="44" t="s">
        <v>41</v>
      </c>
      <c r="H969" s="32"/>
      <c r="I969" s="32" t="s">
        <v>10</v>
      </c>
    </row>
    <row r="970" spans="1:9" ht="16.5" customHeight="1" x14ac:dyDescent="0.2">
      <c r="A970" s="26" t="s">
        <v>4368</v>
      </c>
      <c r="B970" s="26" t="s">
        <v>5141</v>
      </c>
      <c r="C970" s="26" t="s">
        <v>98</v>
      </c>
      <c r="D970" s="26" t="s">
        <v>99</v>
      </c>
      <c r="E970" s="26" t="s">
        <v>129</v>
      </c>
      <c r="F970" s="47" t="s">
        <v>18</v>
      </c>
      <c r="G970" s="31" t="s">
        <v>61</v>
      </c>
      <c r="H970" s="32"/>
      <c r="I970" s="32" t="s">
        <v>10</v>
      </c>
    </row>
    <row r="971" spans="1:9" ht="16.5" customHeight="1" x14ac:dyDescent="0.2">
      <c r="A971" s="26" t="s">
        <v>4370</v>
      </c>
      <c r="B971" s="26" t="s">
        <v>4371</v>
      </c>
      <c r="C971" s="26" t="s">
        <v>136</v>
      </c>
      <c r="D971" s="26" t="s">
        <v>137</v>
      </c>
      <c r="E971" s="26" t="s">
        <v>111</v>
      </c>
      <c r="F971" s="31" t="s">
        <v>25</v>
      </c>
      <c r="G971" s="31" t="s">
        <v>41</v>
      </c>
      <c r="H971" s="32"/>
      <c r="I971" s="32" t="s">
        <v>10</v>
      </c>
    </row>
    <row r="972" spans="1:9" ht="16.5" customHeight="1" x14ac:dyDescent="0.2">
      <c r="A972" s="54" t="s">
        <v>4372</v>
      </c>
      <c r="B972" s="57" t="s">
        <v>4373</v>
      </c>
      <c r="C972" s="54" t="s">
        <v>7</v>
      </c>
      <c r="D972" s="54" t="s">
        <v>8</v>
      </c>
      <c r="E972" s="54" t="s">
        <v>66</v>
      </c>
      <c r="F972" s="52" t="s">
        <v>18</v>
      </c>
      <c r="G972" s="30" t="s">
        <v>41</v>
      </c>
      <c r="H972" s="35" t="s">
        <v>3424</v>
      </c>
      <c r="I972" s="32" t="s">
        <v>10</v>
      </c>
    </row>
    <row r="973" spans="1:9" ht="16.5" customHeight="1" x14ac:dyDescent="0.2">
      <c r="A973" s="25" t="s">
        <v>4372</v>
      </c>
      <c r="B973" s="26" t="s">
        <v>4373</v>
      </c>
      <c r="C973" s="26" t="s">
        <v>7</v>
      </c>
      <c r="D973" s="27" t="s">
        <v>16</v>
      </c>
      <c r="E973" s="26" t="s">
        <v>66</v>
      </c>
      <c r="F973" s="47" t="s">
        <v>18</v>
      </c>
      <c r="G973" s="31" t="s">
        <v>72</v>
      </c>
      <c r="H973" s="32"/>
      <c r="I973" s="32" t="s">
        <v>10</v>
      </c>
    </row>
    <row r="974" spans="1:9" ht="16.5" customHeight="1" x14ac:dyDescent="0.2">
      <c r="A974" s="26" t="s">
        <v>4374</v>
      </c>
      <c r="B974" s="26" t="s">
        <v>4375</v>
      </c>
      <c r="C974" s="66" t="s">
        <v>98</v>
      </c>
      <c r="D974" s="66" t="s">
        <v>110</v>
      </c>
      <c r="E974" s="66" t="s">
        <v>87</v>
      </c>
      <c r="F974" s="31" t="s">
        <v>25</v>
      </c>
      <c r="G974" s="67" t="s">
        <v>41</v>
      </c>
      <c r="H974" s="32" t="s">
        <v>10</v>
      </c>
      <c r="I974" s="32" t="s">
        <v>10</v>
      </c>
    </row>
    <row r="975" spans="1:9" ht="16.5" customHeight="1" x14ac:dyDescent="0.2">
      <c r="A975" s="35" t="s">
        <v>4376</v>
      </c>
      <c r="B975" s="35" t="s">
        <v>4377</v>
      </c>
      <c r="C975" s="35" t="s">
        <v>64</v>
      </c>
      <c r="D975" s="35" t="s">
        <v>78</v>
      </c>
      <c r="E975" s="35" t="s">
        <v>83</v>
      </c>
      <c r="F975" s="30" t="s">
        <v>25</v>
      </c>
      <c r="G975" s="31" t="s">
        <v>72</v>
      </c>
      <c r="H975" s="32"/>
      <c r="I975" s="32" t="s">
        <v>10</v>
      </c>
    </row>
    <row r="976" spans="1:9" ht="16.5" customHeight="1" x14ac:dyDescent="0.2">
      <c r="A976" s="35" t="s">
        <v>4378</v>
      </c>
      <c r="B976" s="35" t="s">
        <v>4379</v>
      </c>
      <c r="C976" s="35" t="s">
        <v>98</v>
      </c>
      <c r="D976" s="35" t="s">
        <v>102</v>
      </c>
      <c r="E976" s="35" t="s">
        <v>114</v>
      </c>
      <c r="F976" s="31" t="s">
        <v>32</v>
      </c>
      <c r="G976" s="31" t="s">
        <v>41</v>
      </c>
      <c r="H976" s="43"/>
      <c r="I976" s="32" t="s">
        <v>10</v>
      </c>
    </row>
    <row r="977" spans="1:9" ht="16.5" customHeight="1" x14ac:dyDescent="0.2">
      <c r="A977" s="26" t="s">
        <v>4380</v>
      </c>
      <c r="B977" s="26" t="s">
        <v>4381</v>
      </c>
      <c r="C977" s="26" t="s">
        <v>115</v>
      </c>
      <c r="D977" s="27" t="s">
        <v>116</v>
      </c>
      <c r="E977" s="27" t="s">
        <v>114</v>
      </c>
      <c r="F977" s="31" t="s">
        <v>25</v>
      </c>
      <c r="G977" s="31" t="s">
        <v>41</v>
      </c>
      <c r="H977" s="31"/>
      <c r="I977" s="32" t="s">
        <v>10</v>
      </c>
    </row>
    <row r="978" spans="1:9" ht="16.5" customHeight="1" x14ac:dyDescent="0.2">
      <c r="A978" s="26" t="s">
        <v>4380</v>
      </c>
      <c r="B978" s="26" t="s">
        <v>4381</v>
      </c>
      <c r="C978" s="26" t="s">
        <v>115</v>
      </c>
      <c r="D978" s="27" t="s">
        <v>116</v>
      </c>
      <c r="E978" s="27" t="s">
        <v>114</v>
      </c>
      <c r="F978" s="31" t="s">
        <v>25</v>
      </c>
      <c r="G978" s="31" t="s">
        <v>41</v>
      </c>
      <c r="H978" s="31"/>
      <c r="I978" s="32" t="s">
        <v>10</v>
      </c>
    </row>
    <row r="979" spans="1:9" ht="16.5" customHeight="1" x14ac:dyDescent="0.25">
      <c r="A979" s="35" t="s">
        <v>4382</v>
      </c>
      <c r="B979" s="76" t="s">
        <v>4383</v>
      </c>
      <c r="C979" s="76" t="s">
        <v>64</v>
      </c>
      <c r="D979" s="35" t="s">
        <v>86</v>
      </c>
      <c r="E979" s="76" t="s">
        <v>87</v>
      </c>
      <c r="F979" s="76" t="s">
        <v>18</v>
      </c>
      <c r="G979" s="35" t="s">
        <v>61</v>
      </c>
      <c r="H979" s="95"/>
      <c r="I979" s="32" t="s">
        <v>10</v>
      </c>
    </row>
    <row r="980" spans="1:9" ht="16.5" customHeight="1" x14ac:dyDescent="0.2">
      <c r="A980" s="35" t="s">
        <v>4384</v>
      </c>
      <c r="B980" s="35" t="s">
        <v>4385</v>
      </c>
      <c r="C980" s="35" t="s">
        <v>115</v>
      </c>
      <c r="D980" s="35" t="s">
        <v>128</v>
      </c>
      <c r="E980" s="35" t="s">
        <v>83</v>
      </c>
      <c r="F980" s="31" t="s">
        <v>25</v>
      </c>
      <c r="G980" s="31" t="s">
        <v>72</v>
      </c>
      <c r="H980" s="30" t="s">
        <v>4386</v>
      </c>
      <c r="I980" s="32" t="s">
        <v>10</v>
      </c>
    </row>
    <row r="981" spans="1:9" ht="16.5" customHeight="1" x14ac:dyDescent="0.2">
      <c r="A981" s="35" t="s">
        <v>4384</v>
      </c>
      <c r="B981" s="35" t="s">
        <v>4385</v>
      </c>
      <c r="C981" s="35" t="s">
        <v>115</v>
      </c>
      <c r="D981" s="35" t="s">
        <v>128</v>
      </c>
      <c r="E981" s="35" t="s">
        <v>83</v>
      </c>
      <c r="F981" s="31" t="s">
        <v>25</v>
      </c>
      <c r="G981" s="31" t="s">
        <v>72</v>
      </c>
      <c r="H981" s="30"/>
      <c r="I981" s="32" t="s">
        <v>10</v>
      </c>
    </row>
    <row r="982" spans="1:9" ht="16.5" customHeight="1" x14ac:dyDescent="0.2">
      <c r="A982" s="35" t="s">
        <v>4384</v>
      </c>
      <c r="B982" s="35" t="s">
        <v>4385</v>
      </c>
      <c r="C982" s="35" t="s">
        <v>115</v>
      </c>
      <c r="D982" s="35" t="s">
        <v>128</v>
      </c>
      <c r="E982" s="35" t="s">
        <v>83</v>
      </c>
      <c r="F982" s="31" t="s">
        <v>25</v>
      </c>
      <c r="G982" s="31" t="s">
        <v>72</v>
      </c>
      <c r="H982" s="30"/>
      <c r="I982" s="32" t="s">
        <v>10</v>
      </c>
    </row>
    <row r="983" spans="1:9" ht="16.5" customHeight="1" x14ac:dyDescent="0.2">
      <c r="A983" s="25" t="s">
        <v>4387</v>
      </c>
      <c r="B983" s="26" t="s">
        <v>4388</v>
      </c>
      <c r="C983" s="26" t="s">
        <v>98</v>
      </c>
      <c r="D983" s="26" t="s">
        <v>102</v>
      </c>
      <c r="E983" s="26" t="s">
        <v>83</v>
      </c>
      <c r="F983" s="31" t="s">
        <v>25</v>
      </c>
      <c r="G983" s="31" t="s">
        <v>41</v>
      </c>
      <c r="H983" s="37" t="s">
        <v>4389</v>
      </c>
      <c r="I983" s="32" t="s">
        <v>10</v>
      </c>
    </row>
    <row r="984" spans="1:9" ht="16.5" customHeight="1" x14ac:dyDescent="0.2">
      <c r="A984" s="26" t="s">
        <v>4390</v>
      </c>
      <c r="B984" s="26" t="s">
        <v>4391</v>
      </c>
      <c r="C984" s="26" t="s">
        <v>98</v>
      </c>
      <c r="D984" s="26" t="s">
        <v>105</v>
      </c>
      <c r="E984" s="26" t="s">
        <v>93</v>
      </c>
      <c r="F984" s="31" t="s">
        <v>18</v>
      </c>
      <c r="G984" s="31" t="s">
        <v>41</v>
      </c>
      <c r="H984" s="32"/>
      <c r="I984" s="32" t="s">
        <v>10</v>
      </c>
    </row>
    <row r="985" spans="1:9" ht="16.5" customHeight="1" x14ac:dyDescent="0.2">
      <c r="A985" s="35" t="s">
        <v>4392</v>
      </c>
      <c r="B985" s="35" t="s">
        <v>5203</v>
      </c>
      <c r="C985" s="35" t="s">
        <v>7</v>
      </c>
      <c r="D985" s="35" t="s">
        <v>8</v>
      </c>
      <c r="E985" s="35" t="s">
        <v>87</v>
      </c>
      <c r="F985" s="52" t="s">
        <v>18</v>
      </c>
      <c r="G985" s="30" t="s">
        <v>61</v>
      </c>
      <c r="H985" s="55"/>
      <c r="I985" s="32" t="s">
        <v>10</v>
      </c>
    </row>
    <row r="986" spans="1:9" ht="16.5" customHeight="1" x14ac:dyDescent="0.2">
      <c r="A986" s="35" t="s">
        <v>4394</v>
      </c>
      <c r="B986" s="26" t="s">
        <v>5497</v>
      </c>
      <c r="C986" s="66" t="s">
        <v>64</v>
      </c>
      <c r="D986" s="26" t="s">
        <v>82</v>
      </c>
      <c r="E986" s="35" t="s">
        <v>126</v>
      </c>
      <c r="F986" s="31" t="s">
        <v>18</v>
      </c>
      <c r="G986" s="31" t="s">
        <v>19</v>
      </c>
      <c r="H986" s="32"/>
      <c r="I986" s="32" t="s">
        <v>10</v>
      </c>
    </row>
    <row r="987" spans="1:9" ht="16.5" customHeight="1" x14ac:dyDescent="0.25">
      <c r="A987" s="35" t="s">
        <v>4396</v>
      </c>
      <c r="B987" s="76" t="s">
        <v>4397</v>
      </c>
      <c r="C987" s="76" t="s">
        <v>64</v>
      </c>
      <c r="D987" s="35" t="s">
        <v>86</v>
      </c>
      <c r="E987" s="76" t="s">
        <v>83</v>
      </c>
      <c r="F987" s="76" t="s">
        <v>25</v>
      </c>
      <c r="G987" s="35" t="s">
        <v>72</v>
      </c>
      <c r="H987" s="95"/>
      <c r="I987" s="32" t="s">
        <v>10</v>
      </c>
    </row>
    <row r="988" spans="1:9" ht="16.5" customHeight="1" x14ac:dyDescent="0.2">
      <c r="A988" s="26" t="s">
        <v>4398</v>
      </c>
      <c r="B988" s="26" t="s">
        <v>4399</v>
      </c>
      <c r="C988" s="26" t="s">
        <v>37</v>
      </c>
      <c r="D988" s="26" t="s">
        <v>38</v>
      </c>
      <c r="E988" s="26" t="s">
        <v>87</v>
      </c>
      <c r="F988" s="31" t="s">
        <v>32</v>
      </c>
      <c r="G988" s="31" t="s">
        <v>41</v>
      </c>
      <c r="H988" s="32"/>
      <c r="I988" s="32" t="s">
        <v>10</v>
      </c>
    </row>
    <row r="989" spans="1:9" ht="16.5" customHeight="1" x14ac:dyDescent="0.2">
      <c r="A989" s="26" t="s">
        <v>4398</v>
      </c>
      <c r="B989" s="26" t="s">
        <v>4399</v>
      </c>
      <c r="C989" s="26" t="s">
        <v>37</v>
      </c>
      <c r="D989" s="26" t="s">
        <v>45</v>
      </c>
      <c r="E989" s="26" t="s">
        <v>87</v>
      </c>
      <c r="F989" s="31" t="s">
        <v>32</v>
      </c>
      <c r="G989" s="31" t="s">
        <v>41</v>
      </c>
      <c r="H989" s="32"/>
      <c r="I989" s="32" t="s">
        <v>10</v>
      </c>
    </row>
    <row r="990" spans="1:9" ht="16.5" customHeight="1" x14ac:dyDescent="0.2">
      <c r="A990" s="26" t="s">
        <v>4400</v>
      </c>
      <c r="B990" s="26" t="s">
        <v>5279</v>
      </c>
      <c r="C990" s="26" t="s">
        <v>7</v>
      </c>
      <c r="D990" s="26" t="s">
        <v>16</v>
      </c>
      <c r="E990" s="26" t="s">
        <v>106</v>
      </c>
      <c r="F990" s="31" t="s">
        <v>18</v>
      </c>
      <c r="G990" s="32"/>
      <c r="H990" s="32" t="s">
        <v>10</v>
      </c>
      <c r="I990" s="32" t="s">
        <v>10</v>
      </c>
    </row>
    <row r="991" spans="1:9" ht="16.5" customHeight="1" x14ac:dyDescent="0.2">
      <c r="A991" s="25" t="s">
        <v>4402</v>
      </c>
      <c r="B991" s="26" t="s">
        <v>4403</v>
      </c>
      <c r="C991" s="26" t="s">
        <v>98</v>
      </c>
      <c r="D991" s="26" t="s">
        <v>102</v>
      </c>
      <c r="E991" s="26" t="s">
        <v>83</v>
      </c>
      <c r="F991" s="31" t="s">
        <v>25</v>
      </c>
      <c r="G991" s="31" t="s">
        <v>41</v>
      </c>
      <c r="H991" s="37" t="s">
        <v>4404</v>
      </c>
      <c r="I991" s="32" t="s">
        <v>10</v>
      </c>
    </row>
    <row r="992" spans="1:9" ht="16.5" customHeight="1" x14ac:dyDescent="0.25">
      <c r="A992" s="35" t="s">
        <v>4405</v>
      </c>
      <c r="B992" s="76" t="s">
        <v>4406</v>
      </c>
      <c r="C992" s="76" t="s">
        <v>64</v>
      </c>
      <c r="D992" s="35" t="s">
        <v>86</v>
      </c>
      <c r="E992" s="76" t="s">
        <v>126</v>
      </c>
      <c r="F992" s="76" t="s">
        <v>18</v>
      </c>
      <c r="G992" s="35" t="s">
        <v>19</v>
      </c>
      <c r="H992" s="95"/>
      <c r="I992" s="32" t="s">
        <v>10</v>
      </c>
    </row>
    <row r="993" spans="1:9" ht="16.5" customHeight="1" x14ac:dyDescent="0.2">
      <c r="A993" s="26" t="s">
        <v>4407</v>
      </c>
      <c r="B993" s="26" t="s">
        <v>4408</v>
      </c>
      <c r="C993" s="26" t="s">
        <v>37</v>
      </c>
      <c r="D993" s="26" t="s">
        <v>45</v>
      </c>
      <c r="E993" s="26" t="s">
        <v>138</v>
      </c>
      <c r="F993" s="31" t="s">
        <v>32</v>
      </c>
      <c r="G993" s="31" t="s">
        <v>72</v>
      </c>
      <c r="H993" s="43" t="s">
        <v>3375</v>
      </c>
      <c r="I993" s="32" t="s">
        <v>10</v>
      </c>
    </row>
    <row r="994" spans="1:9" ht="16.5" customHeight="1" x14ac:dyDescent="0.2">
      <c r="A994" s="26" t="s">
        <v>4407</v>
      </c>
      <c r="B994" s="26" t="s">
        <v>4408</v>
      </c>
      <c r="C994" s="26" t="s">
        <v>37</v>
      </c>
      <c r="D994" s="26" t="s">
        <v>45</v>
      </c>
      <c r="E994" s="26" t="s">
        <v>138</v>
      </c>
      <c r="F994" s="31" t="s">
        <v>32</v>
      </c>
      <c r="G994" s="31" t="s">
        <v>72</v>
      </c>
      <c r="H994" s="43" t="s">
        <v>3375</v>
      </c>
      <c r="I994" s="32" t="s">
        <v>10</v>
      </c>
    </row>
    <row r="995" spans="1:9" ht="16.5" customHeight="1" x14ac:dyDescent="0.2">
      <c r="A995" s="26" t="s">
        <v>4409</v>
      </c>
      <c r="B995" s="26" t="s">
        <v>4410</v>
      </c>
      <c r="C995" s="26" t="s">
        <v>37</v>
      </c>
      <c r="D995" s="26" t="s">
        <v>45</v>
      </c>
      <c r="E995" s="26" t="s">
        <v>138</v>
      </c>
      <c r="F995" s="31" t="s">
        <v>18</v>
      </c>
      <c r="G995" s="31" t="s">
        <v>72</v>
      </c>
      <c r="H995" s="43" t="s">
        <v>3375</v>
      </c>
      <c r="I995" s="32" t="s">
        <v>10</v>
      </c>
    </row>
    <row r="996" spans="1:9" ht="16.5" customHeight="1" x14ac:dyDescent="0.2">
      <c r="A996" s="26" t="s">
        <v>4411</v>
      </c>
      <c r="B996" s="26" t="s">
        <v>4412</v>
      </c>
      <c r="C996" s="26" t="s">
        <v>37</v>
      </c>
      <c r="D996" s="26" t="s">
        <v>45</v>
      </c>
      <c r="E996" s="26" t="s">
        <v>138</v>
      </c>
      <c r="F996" s="31" t="s">
        <v>18</v>
      </c>
      <c r="G996" s="31" t="s">
        <v>72</v>
      </c>
      <c r="H996" s="43" t="s">
        <v>3375</v>
      </c>
      <c r="I996" s="32" t="s">
        <v>10</v>
      </c>
    </row>
    <row r="997" spans="1:9" ht="16.5" customHeight="1" x14ac:dyDescent="0.2">
      <c r="A997" s="26" t="s">
        <v>4411</v>
      </c>
      <c r="B997" s="26" t="s">
        <v>4412</v>
      </c>
      <c r="C997" s="26" t="s">
        <v>37</v>
      </c>
      <c r="D997" s="26" t="s">
        <v>45</v>
      </c>
      <c r="E997" s="26" t="s">
        <v>138</v>
      </c>
      <c r="F997" s="31" t="s">
        <v>18</v>
      </c>
      <c r="G997" s="31" t="s">
        <v>72</v>
      </c>
      <c r="H997" s="43" t="s">
        <v>3375</v>
      </c>
      <c r="I997" s="32" t="s">
        <v>10</v>
      </c>
    </row>
    <row r="998" spans="1:9" ht="16.5" customHeight="1" x14ac:dyDescent="0.2">
      <c r="A998" s="35" t="s">
        <v>4413</v>
      </c>
      <c r="B998" s="26" t="s">
        <v>5488</v>
      </c>
      <c r="C998" s="66" t="s">
        <v>64</v>
      </c>
      <c r="D998" s="26" t="s">
        <v>82</v>
      </c>
      <c r="E998" s="35" t="s">
        <v>126</v>
      </c>
      <c r="F998" s="31" t="s">
        <v>18</v>
      </c>
      <c r="G998" s="31" t="s">
        <v>61</v>
      </c>
      <c r="H998" s="32"/>
      <c r="I998" s="32" t="s">
        <v>10</v>
      </c>
    </row>
    <row r="999" spans="1:9" ht="16.5" customHeight="1" x14ac:dyDescent="0.2">
      <c r="A999" s="26" t="s">
        <v>4415</v>
      </c>
      <c r="B999" s="26" t="s">
        <v>4416</v>
      </c>
      <c r="C999" s="26" t="s">
        <v>115</v>
      </c>
      <c r="D999" s="26" t="s">
        <v>122</v>
      </c>
      <c r="E999" s="26" t="s">
        <v>114</v>
      </c>
      <c r="F999" s="31" t="s">
        <v>25</v>
      </c>
      <c r="G999" s="31" t="s">
        <v>61</v>
      </c>
      <c r="H999" s="32"/>
      <c r="I999" s="32" t="s">
        <v>10</v>
      </c>
    </row>
    <row r="1000" spans="1:9" ht="16.5" customHeight="1" x14ac:dyDescent="0.2">
      <c r="A1000" s="27" t="s">
        <v>4415</v>
      </c>
      <c r="B1000" s="26" t="s">
        <v>4416</v>
      </c>
      <c r="C1000" s="26" t="s">
        <v>115</v>
      </c>
      <c r="D1000" s="26" t="s">
        <v>122</v>
      </c>
      <c r="E1000" s="27" t="s">
        <v>114</v>
      </c>
      <c r="F1000" s="31" t="s">
        <v>25</v>
      </c>
      <c r="G1000" s="31" t="s">
        <v>61</v>
      </c>
      <c r="H1000" s="32"/>
      <c r="I1000" s="32" t="s">
        <v>10</v>
      </c>
    </row>
    <row r="1001" spans="1:9" ht="16.5" customHeight="1" x14ac:dyDescent="0.2">
      <c r="A1001" s="26" t="s">
        <v>4415</v>
      </c>
      <c r="B1001" s="26" t="s">
        <v>4416</v>
      </c>
      <c r="C1001" s="26" t="s">
        <v>115</v>
      </c>
      <c r="D1001" s="26" t="s">
        <v>122</v>
      </c>
      <c r="E1001" s="26" t="s">
        <v>114</v>
      </c>
      <c r="F1001" s="31" t="s">
        <v>25</v>
      </c>
      <c r="G1001" s="31" t="s">
        <v>61</v>
      </c>
      <c r="H1001" s="32"/>
      <c r="I1001" s="32" t="s">
        <v>10</v>
      </c>
    </row>
    <row r="1002" spans="1:9" ht="16.5" customHeight="1" x14ac:dyDescent="0.2">
      <c r="A1002" s="35" t="s">
        <v>4417</v>
      </c>
      <c r="B1002" s="35" t="s">
        <v>4418</v>
      </c>
      <c r="C1002" s="35" t="s">
        <v>64</v>
      </c>
      <c r="D1002" s="35" t="s">
        <v>65</v>
      </c>
      <c r="E1002" s="35" t="s">
        <v>83</v>
      </c>
      <c r="F1002" s="30" t="s">
        <v>25</v>
      </c>
      <c r="G1002" s="31" t="s">
        <v>72</v>
      </c>
      <c r="H1002" s="32"/>
      <c r="I1002" s="32" t="s">
        <v>10</v>
      </c>
    </row>
    <row r="1003" spans="1:9" ht="16.5" customHeight="1" x14ac:dyDescent="0.2">
      <c r="A1003" s="54" t="s">
        <v>4419</v>
      </c>
      <c r="B1003" s="35" t="s">
        <v>4420</v>
      </c>
      <c r="C1003" s="35" t="s">
        <v>64</v>
      </c>
      <c r="D1003" s="35" t="s">
        <v>95</v>
      </c>
      <c r="E1003" s="54" t="s">
        <v>83</v>
      </c>
      <c r="F1003" s="31" t="s">
        <v>25</v>
      </c>
      <c r="G1003" s="31" t="s">
        <v>41</v>
      </c>
      <c r="H1003" s="32"/>
      <c r="I1003" s="32" t="s">
        <v>10</v>
      </c>
    </row>
    <row r="1004" spans="1:9" ht="16.5" customHeight="1" x14ac:dyDescent="0.2">
      <c r="A1004" s="54" t="s">
        <v>4419</v>
      </c>
      <c r="B1004" s="35" t="s">
        <v>4420</v>
      </c>
      <c r="C1004" s="35" t="s">
        <v>64</v>
      </c>
      <c r="D1004" s="35" t="s">
        <v>95</v>
      </c>
      <c r="E1004" s="54" t="s">
        <v>83</v>
      </c>
      <c r="F1004" s="31" t="s">
        <v>25</v>
      </c>
      <c r="G1004" s="31" t="s">
        <v>41</v>
      </c>
      <c r="H1004" s="31" t="s">
        <v>4445</v>
      </c>
      <c r="I1004" s="32" t="s">
        <v>10</v>
      </c>
    </row>
    <row r="1005" spans="1:9" ht="16.5" customHeight="1" x14ac:dyDescent="0.2">
      <c r="A1005" s="35" t="s">
        <v>4421</v>
      </c>
      <c r="B1005" s="35" t="s">
        <v>4422</v>
      </c>
      <c r="C1005" s="35" t="s">
        <v>115</v>
      </c>
      <c r="D1005" s="35" t="s">
        <v>116</v>
      </c>
      <c r="E1005" s="35" t="s">
        <v>9</v>
      </c>
      <c r="F1005" s="52" t="s">
        <v>18</v>
      </c>
      <c r="G1005" s="52" t="s">
        <v>61</v>
      </c>
      <c r="I1005" s="32" t="s">
        <v>10</v>
      </c>
    </row>
    <row r="1006" spans="1:9" ht="16.5" customHeight="1" x14ac:dyDescent="0.2">
      <c r="A1006" s="35" t="s">
        <v>4423</v>
      </c>
      <c r="B1006" s="35" t="s">
        <v>4424</v>
      </c>
      <c r="C1006" s="35" t="s">
        <v>115</v>
      </c>
      <c r="D1006" s="35" t="s">
        <v>116</v>
      </c>
      <c r="E1006" s="35" t="s">
        <v>9</v>
      </c>
      <c r="F1006" s="52" t="s">
        <v>18</v>
      </c>
      <c r="G1006" s="35" t="s">
        <v>26</v>
      </c>
      <c r="I1006" s="32" t="s">
        <v>10</v>
      </c>
    </row>
    <row r="1007" spans="1:9" ht="16.5" customHeight="1" x14ac:dyDescent="0.2">
      <c r="A1007" s="26" t="s">
        <v>4425</v>
      </c>
      <c r="B1007" s="26" t="s">
        <v>4426</v>
      </c>
      <c r="C1007" s="26" t="s">
        <v>37</v>
      </c>
      <c r="D1007" s="27" t="s">
        <v>38</v>
      </c>
      <c r="E1007" s="27" t="s">
        <v>9</v>
      </c>
      <c r="F1007" s="31" t="s">
        <v>18</v>
      </c>
      <c r="G1007" s="31" t="s">
        <v>41</v>
      </c>
      <c r="H1007" s="32"/>
      <c r="I1007" s="32" t="s">
        <v>10</v>
      </c>
    </row>
    <row r="1008" spans="1:9" ht="16.5" customHeight="1" x14ac:dyDescent="0.2">
      <c r="A1008" s="35" t="s">
        <v>4427</v>
      </c>
      <c r="B1008" s="35" t="s">
        <v>4428</v>
      </c>
      <c r="C1008" s="35" t="s">
        <v>64</v>
      </c>
      <c r="D1008" s="35" t="s">
        <v>82</v>
      </c>
      <c r="E1008" s="35" t="s">
        <v>9</v>
      </c>
      <c r="F1008" s="52" t="s">
        <v>18</v>
      </c>
      <c r="G1008" s="31" t="s">
        <v>26</v>
      </c>
      <c r="H1008" s="32"/>
      <c r="I1008" s="32" t="s">
        <v>10</v>
      </c>
    </row>
    <row r="1009" spans="1:9" ht="16.5" customHeight="1" x14ac:dyDescent="0.2">
      <c r="A1009" s="26" t="s">
        <v>4429</v>
      </c>
      <c r="B1009" s="26" t="s">
        <v>4430</v>
      </c>
      <c r="C1009" s="66" t="s">
        <v>37</v>
      </c>
      <c r="D1009" s="27" t="s">
        <v>38</v>
      </c>
      <c r="E1009" s="26" t="s">
        <v>87</v>
      </c>
      <c r="F1009" s="31" t="s">
        <v>32</v>
      </c>
      <c r="G1009" s="31" t="s">
        <v>41</v>
      </c>
      <c r="H1009" s="32"/>
      <c r="I1009" s="32" t="s">
        <v>10</v>
      </c>
    </row>
    <row r="1010" spans="1:9" ht="16.5" customHeight="1" x14ac:dyDescent="0.2">
      <c r="A1010" s="26" t="s">
        <v>4431</v>
      </c>
      <c r="B1010" s="26" t="s">
        <v>4432</v>
      </c>
      <c r="C1010" s="26" t="s">
        <v>136</v>
      </c>
      <c r="D1010" s="26" t="s">
        <v>137</v>
      </c>
      <c r="E1010" s="26" t="s">
        <v>108</v>
      </c>
      <c r="F1010" s="31" t="s">
        <v>25</v>
      </c>
      <c r="G1010" s="31" t="s">
        <v>41</v>
      </c>
      <c r="H1010" s="32"/>
      <c r="I1010" s="32" t="s">
        <v>10</v>
      </c>
    </row>
    <row r="1011" spans="1:9" ht="16.5" customHeight="1" x14ac:dyDescent="0.2">
      <c r="A1011" s="26" t="s">
        <v>4433</v>
      </c>
      <c r="B1011" s="26" t="s">
        <v>4434</v>
      </c>
      <c r="C1011" s="26" t="s">
        <v>115</v>
      </c>
      <c r="D1011" s="27" t="s">
        <v>116</v>
      </c>
      <c r="E1011" s="27" t="s">
        <v>83</v>
      </c>
      <c r="F1011" s="31" t="s">
        <v>25</v>
      </c>
      <c r="G1011" s="31" t="s">
        <v>41</v>
      </c>
      <c r="H1011" s="31"/>
      <c r="I1011" s="32" t="s">
        <v>10</v>
      </c>
    </row>
    <row r="1012" spans="1:9" ht="16.5" customHeight="1" x14ac:dyDescent="0.2">
      <c r="A1012" s="26" t="s">
        <v>4433</v>
      </c>
      <c r="B1012" s="26" t="s">
        <v>4434</v>
      </c>
      <c r="C1012" s="26" t="s">
        <v>115</v>
      </c>
      <c r="D1012" s="27" t="s">
        <v>116</v>
      </c>
      <c r="E1012" s="27" t="s">
        <v>83</v>
      </c>
      <c r="F1012" s="31" t="s">
        <v>25</v>
      </c>
      <c r="G1012" s="31" t="s">
        <v>41</v>
      </c>
      <c r="H1012" s="31"/>
      <c r="I1012" s="32" t="s">
        <v>10</v>
      </c>
    </row>
    <row r="1013" spans="1:9" ht="16.5" customHeight="1" x14ac:dyDescent="0.25">
      <c r="A1013" s="76" t="s">
        <v>4435</v>
      </c>
      <c r="B1013" s="76" t="s">
        <v>5297</v>
      </c>
      <c r="C1013" s="26" t="s">
        <v>64</v>
      </c>
      <c r="D1013" s="26" t="s">
        <v>92</v>
      </c>
      <c r="E1013" s="26" t="s">
        <v>83</v>
      </c>
      <c r="F1013" s="31" t="s">
        <v>25</v>
      </c>
      <c r="G1013" s="31" t="s">
        <v>72</v>
      </c>
      <c r="H1013" s="32"/>
      <c r="I1013" s="32" t="s">
        <v>10</v>
      </c>
    </row>
    <row r="1014" spans="1:9" ht="16.5" customHeight="1" x14ac:dyDescent="0.2">
      <c r="A1014" s="26" t="s">
        <v>4437</v>
      </c>
      <c r="B1014" s="121" t="s">
        <v>4438</v>
      </c>
      <c r="C1014" s="26" t="s">
        <v>136</v>
      </c>
      <c r="D1014" s="26" t="s">
        <v>137</v>
      </c>
      <c r="E1014" s="26" t="s">
        <v>83</v>
      </c>
      <c r="F1014" s="31" t="s">
        <v>25</v>
      </c>
      <c r="G1014" s="32"/>
      <c r="H1014" s="31" t="s">
        <v>3289</v>
      </c>
      <c r="I1014" s="32" t="s">
        <v>10</v>
      </c>
    </row>
    <row r="1015" spans="1:9" ht="16.5" customHeight="1" x14ac:dyDescent="0.2">
      <c r="A1015" s="35" t="s">
        <v>4439</v>
      </c>
      <c r="B1015" s="35" t="s">
        <v>4440</v>
      </c>
      <c r="C1015" s="26" t="s">
        <v>98</v>
      </c>
      <c r="D1015" s="26" t="s">
        <v>113</v>
      </c>
      <c r="E1015" s="26" t="s">
        <v>87</v>
      </c>
      <c r="F1015" s="31" t="s">
        <v>18</v>
      </c>
      <c r="G1015" s="31" t="s">
        <v>26</v>
      </c>
      <c r="H1015" s="32"/>
      <c r="I1015" s="32" t="s">
        <v>10</v>
      </c>
    </row>
    <row r="1016" spans="1:9" ht="16.5" customHeight="1" x14ac:dyDescent="0.2">
      <c r="A1016" s="35" t="s">
        <v>4441</v>
      </c>
      <c r="B1016" s="26" t="s">
        <v>5489</v>
      </c>
      <c r="C1016" s="66" t="s">
        <v>64</v>
      </c>
      <c r="D1016" s="26" t="s">
        <v>82</v>
      </c>
      <c r="E1016" s="35" t="s">
        <v>100</v>
      </c>
      <c r="F1016" s="31" t="s">
        <v>18</v>
      </c>
      <c r="G1016" s="31" t="s">
        <v>12</v>
      </c>
      <c r="H1016" s="32"/>
      <c r="I1016" s="32" t="s">
        <v>10</v>
      </c>
    </row>
    <row r="1017" spans="1:9" ht="16.5" customHeight="1" x14ac:dyDescent="0.2">
      <c r="A1017" s="54" t="s">
        <v>4443</v>
      </c>
      <c r="B1017" s="87" t="s">
        <v>4444</v>
      </c>
      <c r="C1017" s="35" t="s">
        <v>64</v>
      </c>
      <c r="D1017" s="35" t="s">
        <v>95</v>
      </c>
      <c r="E1017" s="54" t="s">
        <v>120</v>
      </c>
      <c r="F1017" s="31" t="s">
        <v>18</v>
      </c>
      <c r="G1017" s="31" t="s">
        <v>19</v>
      </c>
      <c r="H1017" s="31" t="s">
        <v>4445</v>
      </c>
      <c r="I1017" s="32" t="s">
        <v>10</v>
      </c>
    </row>
    <row r="1018" spans="1:9" ht="16.5" customHeight="1" x14ac:dyDescent="0.2">
      <c r="A1018" s="54" t="s">
        <v>4446</v>
      </c>
      <c r="B1018" s="35" t="s">
        <v>4447</v>
      </c>
      <c r="C1018" s="35" t="s">
        <v>64</v>
      </c>
      <c r="D1018" s="35" t="s">
        <v>95</v>
      </c>
      <c r="E1018" s="54" t="s">
        <v>83</v>
      </c>
      <c r="F1018" s="31" t="s">
        <v>25</v>
      </c>
      <c r="G1018" s="31" t="s">
        <v>41</v>
      </c>
      <c r="H1018" s="32"/>
      <c r="I1018" s="32" t="s">
        <v>10</v>
      </c>
    </row>
    <row r="1019" spans="1:9" ht="16.5" customHeight="1" x14ac:dyDescent="0.25">
      <c r="A1019" s="76" t="s">
        <v>4448</v>
      </c>
      <c r="B1019" s="76" t="s">
        <v>5292</v>
      </c>
      <c r="C1019" s="26" t="s">
        <v>64</v>
      </c>
      <c r="D1019" s="26" t="s">
        <v>92</v>
      </c>
      <c r="E1019" s="26" t="s">
        <v>100</v>
      </c>
      <c r="F1019" s="31" t="s">
        <v>18</v>
      </c>
      <c r="G1019" s="31" t="s">
        <v>26</v>
      </c>
      <c r="H1019" s="32"/>
      <c r="I1019" s="32" t="s">
        <v>10</v>
      </c>
    </row>
    <row r="1020" spans="1:9" ht="16.5" customHeight="1" x14ac:dyDescent="0.25">
      <c r="A1020" s="76" t="s">
        <v>4450</v>
      </c>
      <c r="B1020" s="76" t="s">
        <v>5289</v>
      </c>
      <c r="C1020" s="26" t="s">
        <v>64</v>
      </c>
      <c r="D1020" s="26" t="s">
        <v>92</v>
      </c>
      <c r="E1020" s="26" t="s">
        <v>100</v>
      </c>
      <c r="F1020" s="31" t="s">
        <v>18</v>
      </c>
      <c r="G1020" s="31" t="s">
        <v>26</v>
      </c>
      <c r="H1020" s="32"/>
      <c r="I1020" s="32" t="s">
        <v>10</v>
      </c>
    </row>
    <row r="1021" spans="1:9" ht="16.5" customHeight="1" x14ac:dyDescent="0.25">
      <c r="A1021" s="76" t="s">
        <v>4452</v>
      </c>
      <c r="B1021" s="76" t="s">
        <v>5290</v>
      </c>
      <c r="C1021" s="26" t="s">
        <v>64</v>
      </c>
      <c r="D1021" s="26" t="s">
        <v>92</v>
      </c>
      <c r="E1021" s="26" t="s">
        <v>100</v>
      </c>
      <c r="F1021" s="31" t="s">
        <v>18</v>
      </c>
      <c r="G1021" s="31" t="s">
        <v>12</v>
      </c>
      <c r="H1021" s="32"/>
      <c r="I1021" s="32" t="s">
        <v>10</v>
      </c>
    </row>
    <row r="1022" spans="1:9" ht="16.5" customHeight="1" x14ac:dyDescent="0.25">
      <c r="A1022" s="76" t="s">
        <v>4454</v>
      </c>
      <c r="B1022" s="76" t="s">
        <v>5312</v>
      </c>
      <c r="C1022" s="26" t="s">
        <v>64</v>
      </c>
      <c r="D1022" s="26" t="s">
        <v>92</v>
      </c>
      <c r="E1022" s="26" t="s">
        <v>87</v>
      </c>
      <c r="F1022" s="31" t="s">
        <v>25</v>
      </c>
      <c r="G1022" s="31" t="s">
        <v>72</v>
      </c>
      <c r="H1022" s="32"/>
      <c r="I1022" s="32" t="s">
        <v>10</v>
      </c>
    </row>
    <row r="1023" spans="1:9" ht="16.5" customHeight="1" x14ac:dyDescent="0.2">
      <c r="A1023" s="35" t="s">
        <v>4456</v>
      </c>
      <c r="B1023" s="64" t="s">
        <v>4457</v>
      </c>
      <c r="C1023" s="35" t="s">
        <v>115</v>
      </c>
      <c r="D1023" s="35" t="s">
        <v>119</v>
      </c>
      <c r="E1023" s="35" t="s">
        <v>100</v>
      </c>
      <c r="F1023" s="52" t="s">
        <v>18</v>
      </c>
      <c r="G1023" s="30" t="s">
        <v>19</v>
      </c>
      <c r="H1023" s="52" t="s">
        <v>4458</v>
      </c>
      <c r="I1023" s="32" t="s">
        <v>10</v>
      </c>
    </row>
    <row r="1024" spans="1:9" ht="16.5" customHeight="1" x14ac:dyDescent="0.2">
      <c r="A1024" s="26" t="s">
        <v>4459</v>
      </c>
      <c r="B1024" s="26" t="s">
        <v>4460</v>
      </c>
      <c r="C1024" s="26" t="s">
        <v>98</v>
      </c>
      <c r="D1024" s="26" t="s">
        <v>107</v>
      </c>
      <c r="E1024" s="26" t="s">
        <v>87</v>
      </c>
      <c r="F1024" s="31" t="s">
        <v>18</v>
      </c>
      <c r="G1024" s="31" t="s">
        <v>41</v>
      </c>
      <c r="H1024" s="32"/>
      <c r="I1024" s="32" t="s">
        <v>10</v>
      </c>
    </row>
    <row r="1025" spans="1:9" ht="16.5" customHeight="1" x14ac:dyDescent="0.2">
      <c r="A1025" s="90" t="s">
        <v>4461</v>
      </c>
      <c r="B1025" s="54" t="s">
        <v>5206</v>
      </c>
      <c r="C1025" s="35" t="s">
        <v>7</v>
      </c>
      <c r="D1025" s="35" t="s">
        <v>8</v>
      </c>
      <c r="E1025" s="35" t="s">
        <v>87</v>
      </c>
      <c r="F1025" s="52" t="s">
        <v>18</v>
      </c>
      <c r="G1025" s="30" t="s">
        <v>61</v>
      </c>
      <c r="H1025" s="55"/>
      <c r="I1025" s="32" t="s">
        <v>10</v>
      </c>
    </row>
    <row r="1026" spans="1:9" ht="16.5" customHeight="1" x14ac:dyDescent="0.2">
      <c r="A1026" s="26" t="s">
        <v>4463</v>
      </c>
      <c r="B1026" s="26" t="s">
        <v>4464</v>
      </c>
      <c r="C1026" s="26" t="s">
        <v>98</v>
      </c>
      <c r="D1026" s="26" t="s">
        <v>107</v>
      </c>
      <c r="E1026" s="26" t="s">
        <v>87</v>
      </c>
      <c r="F1026" s="31" t="s">
        <v>18</v>
      </c>
      <c r="G1026" s="31" t="s">
        <v>41</v>
      </c>
      <c r="H1026" s="32"/>
      <c r="I1026" s="32" t="s">
        <v>10</v>
      </c>
    </row>
    <row r="1027" spans="1:9" ht="16.5" customHeight="1" x14ac:dyDescent="0.2">
      <c r="A1027" s="26" t="s">
        <v>4465</v>
      </c>
      <c r="B1027" s="26" t="s">
        <v>4466</v>
      </c>
      <c r="C1027" s="26" t="s">
        <v>115</v>
      </c>
      <c r="D1027" s="26" t="s">
        <v>122</v>
      </c>
      <c r="E1027" s="26" t="s">
        <v>83</v>
      </c>
      <c r="F1027" s="31" t="s">
        <v>25</v>
      </c>
      <c r="G1027" s="31" t="s">
        <v>26</v>
      </c>
      <c r="H1027" s="32"/>
      <c r="I1027" s="32" t="s">
        <v>10</v>
      </c>
    </row>
    <row r="1028" spans="1:9" ht="16.5" customHeight="1" x14ac:dyDescent="0.2">
      <c r="A1028" s="35" t="s">
        <v>4467</v>
      </c>
      <c r="B1028" s="35" t="s">
        <v>4468</v>
      </c>
      <c r="C1028" s="35" t="s">
        <v>115</v>
      </c>
      <c r="D1028" s="35" t="s">
        <v>128</v>
      </c>
      <c r="E1028" s="35" t="s">
        <v>83</v>
      </c>
      <c r="F1028" s="31" t="s">
        <v>25</v>
      </c>
      <c r="G1028" s="31" t="s">
        <v>72</v>
      </c>
      <c r="H1028" s="30" t="s">
        <v>4469</v>
      </c>
      <c r="I1028" s="32" t="s">
        <v>10</v>
      </c>
    </row>
    <row r="1029" spans="1:9" ht="16.5" customHeight="1" x14ac:dyDescent="0.25">
      <c r="A1029" s="56" t="s">
        <v>4470</v>
      </c>
      <c r="B1029" s="76" t="s">
        <v>4471</v>
      </c>
      <c r="C1029" s="76" t="s">
        <v>64</v>
      </c>
      <c r="D1029" s="35" t="s">
        <v>86</v>
      </c>
      <c r="E1029" s="76" t="s">
        <v>83</v>
      </c>
      <c r="F1029" s="76" t="s">
        <v>25</v>
      </c>
      <c r="G1029" s="35" t="s">
        <v>72</v>
      </c>
      <c r="H1029" s="95"/>
      <c r="I1029" s="32" t="s">
        <v>10</v>
      </c>
    </row>
    <row r="1030" spans="1:9" ht="16.5" customHeight="1" x14ac:dyDescent="0.2">
      <c r="A1030" s="26" t="s">
        <v>4472</v>
      </c>
      <c r="B1030" s="26" t="s">
        <v>4473</v>
      </c>
      <c r="C1030" s="66" t="s">
        <v>98</v>
      </c>
      <c r="D1030" s="66" t="s">
        <v>110</v>
      </c>
      <c r="E1030" s="66" t="s">
        <v>126</v>
      </c>
      <c r="F1030" s="31" t="s">
        <v>18</v>
      </c>
      <c r="G1030" s="67" t="s">
        <v>12</v>
      </c>
      <c r="H1030" s="32" t="s">
        <v>10</v>
      </c>
      <c r="I1030" s="32" t="s">
        <v>10</v>
      </c>
    </row>
    <row r="1031" spans="1:9" ht="16.5" customHeight="1" x14ac:dyDescent="0.2">
      <c r="A1031" s="35" t="s">
        <v>4474</v>
      </c>
      <c r="B1031" s="35" t="s">
        <v>4475</v>
      </c>
      <c r="C1031" s="35" t="s">
        <v>64</v>
      </c>
      <c r="D1031" s="35" t="s">
        <v>78</v>
      </c>
      <c r="E1031" s="35" t="s">
        <v>87</v>
      </c>
      <c r="F1031" s="30" t="s">
        <v>18</v>
      </c>
      <c r="G1031" s="31" t="s">
        <v>61</v>
      </c>
      <c r="H1031" s="32"/>
      <c r="I1031" s="32" t="s">
        <v>10</v>
      </c>
    </row>
    <row r="1032" spans="1:9" ht="16.5" customHeight="1" x14ac:dyDescent="0.2">
      <c r="A1032" s="35" t="s">
        <v>4476</v>
      </c>
      <c r="B1032" s="26" t="s">
        <v>5486</v>
      </c>
      <c r="C1032" s="66" t="s">
        <v>64</v>
      </c>
      <c r="D1032" s="26" t="s">
        <v>82</v>
      </c>
      <c r="E1032" s="27" t="s">
        <v>126</v>
      </c>
      <c r="F1032" s="31" t="s">
        <v>25</v>
      </c>
      <c r="G1032" s="31" t="s">
        <v>72</v>
      </c>
      <c r="H1032" s="32"/>
      <c r="I1032" s="32" t="s">
        <v>10</v>
      </c>
    </row>
    <row r="1033" spans="1:9" ht="16.5" customHeight="1" x14ac:dyDescent="0.2">
      <c r="A1033" s="35" t="s">
        <v>4478</v>
      </c>
      <c r="B1033" s="35" t="s">
        <v>4479</v>
      </c>
      <c r="C1033" s="26" t="s">
        <v>98</v>
      </c>
      <c r="D1033" s="26" t="s">
        <v>113</v>
      </c>
      <c r="E1033" s="26" t="s">
        <v>9</v>
      </c>
      <c r="F1033" s="31" t="s">
        <v>18</v>
      </c>
      <c r="G1033" s="31" t="s">
        <v>12</v>
      </c>
      <c r="H1033" s="32"/>
      <c r="I1033" s="32" t="s">
        <v>10</v>
      </c>
    </row>
    <row r="1034" spans="1:9" ht="16.5" customHeight="1" x14ac:dyDescent="0.2">
      <c r="A1034" s="35" t="s">
        <v>4480</v>
      </c>
      <c r="B1034" s="26" t="s">
        <v>5490</v>
      </c>
      <c r="C1034" s="66" t="s">
        <v>64</v>
      </c>
      <c r="D1034" s="26" t="s">
        <v>82</v>
      </c>
      <c r="E1034" s="35" t="s">
        <v>9</v>
      </c>
      <c r="F1034" s="31" t="s">
        <v>25</v>
      </c>
      <c r="G1034" s="31" t="s">
        <v>72</v>
      </c>
      <c r="H1034" s="32"/>
      <c r="I1034" s="32" t="s">
        <v>10</v>
      </c>
    </row>
    <row r="1035" spans="1:9" ht="16.5" customHeight="1" x14ac:dyDescent="0.2">
      <c r="A1035" s="26" t="s">
        <v>4482</v>
      </c>
      <c r="B1035" s="26" t="s">
        <v>4483</v>
      </c>
      <c r="C1035" s="26" t="s">
        <v>37</v>
      </c>
      <c r="D1035" s="27" t="s">
        <v>59</v>
      </c>
      <c r="E1035" s="27" t="s">
        <v>108</v>
      </c>
      <c r="F1035" s="31" t="s">
        <v>25</v>
      </c>
      <c r="G1035" s="27" t="s">
        <v>72</v>
      </c>
      <c r="H1035" s="27" t="s">
        <v>4484</v>
      </c>
      <c r="I1035" s="32" t="s">
        <v>10</v>
      </c>
    </row>
    <row r="1036" spans="1:9" ht="16.5" customHeight="1" x14ac:dyDescent="0.2">
      <c r="A1036" s="54" t="s">
        <v>4485</v>
      </c>
      <c r="B1036" s="54" t="s">
        <v>4486</v>
      </c>
      <c r="C1036" s="35" t="s">
        <v>7</v>
      </c>
      <c r="D1036" s="35" t="s">
        <v>23</v>
      </c>
      <c r="E1036" s="35" t="s">
        <v>126</v>
      </c>
      <c r="F1036" s="52" t="s">
        <v>18</v>
      </c>
      <c r="G1036" s="30" t="s">
        <v>61</v>
      </c>
      <c r="H1036" s="32"/>
      <c r="I1036" s="32" t="s">
        <v>10</v>
      </c>
    </row>
    <row r="1037" spans="1:9" ht="16.5" customHeight="1" x14ac:dyDescent="0.2">
      <c r="A1037" s="25" t="s">
        <v>4487</v>
      </c>
      <c r="B1037" s="26" t="s">
        <v>4488</v>
      </c>
      <c r="C1037" s="26" t="s">
        <v>98</v>
      </c>
      <c r="D1037" s="26" t="s">
        <v>102</v>
      </c>
      <c r="E1037" s="26" t="s">
        <v>83</v>
      </c>
      <c r="F1037" s="31" t="s">
        <v>25</v>
      </c>
      <c r="G1037" s="31" t="s">
        <v>41</v>
      </c>
      <c r="H1037" s="37" t="s">
        <v>4404</v>
      </c>
      <c r="I1037" s="32" t="s">
        <v>10</v>
      </c>
    </row>
    <row r="1038" spans="1:9" ht="16.5" customHeight="1" x14ac:dyDescent="0.2">
      <c r="A1038" s="25" t="s">
        <v>4489</v>
      </c>
      <c r="B1038" s="26" t="s">
        <v>4490</v>
      </c>
      <c r="C1038" s="26" t="s">
        <v>98</v>
      </c>
      <c r="D1038" s="26" t="s">
        <v>102</v>
      </c>
      <c r="E1038" s="26" t="s">
        <v>83</v>
      </c>
      <c r="F1038" s="31" t="s">
        <v>25</v>
      </c>
      <c r="G1038" s="31" t="s">
        <v>41</v>
      </c>
      <c r="H1038" s="32"/>
      <c r="I1038" s="32" t="s">
        <v>10</v>
      </c>
    </row>
    <row r="1039" spans="1:9" ht="16.5" customHeight="1" x14ac:dyDescent="0.2">
      <c r="A1039" s="35" t="s">
        <v>4491</v>
      </c>
      <c r="B1039" s="35" t="s">
        <v>4492</v>
      </c>
      <c r="C1039" s="26" t="s">
        <v>98</v>
      </c>
      <c r="D1039" s="26" t="s">
        <v>107</v>
      </c>
      <c r="E1039" s="26" t="s">
        <v>114</v>
      </c>
      <c r="F1039" s="31" t="s">
        <v>32</v>
      </c>
      <c r="G1039" s="27" t="s">
        <v>41</v>
      </c>
      <c r="H1039" s="27"/>
      <c r="I1039" s="32" t="s">
        <v>10</v>
      </c>
    </row>
    <row r="1040" spans="1:9" ht="16.5" customHeight="1" x14ac:dyDescent="0.25">
      <c r="A1040" s="76" t="s">
        <v>4493</v>
      </c>
      <c r="B1040" s="76" t="s">
        <v>5285</v>
      </c>
      <c r="C1040" s="26" t="s">
        <v>64</v>
      </c>
      <c r="D1040" s="26" t="s">
        <v>92</v>
      </c>
      <c r="E1040" s="26" t="s">
        <v>83</v>
      </c>
      <c r="F1040" s="31" t="s">
        <v>25</v>
      </c>
      <c r="G1040" s="31" t="s">
        <v>72</v>
      </c>
      <c r="H1040" s="32"/>
      <c r="I1040" s="32" t="s">
        <v>10</v>
      </c>
    </row>
    <row r="1041" spans="1:9" ht="16.5" customHeight="1" x14ac:dyDescent="0.2">
      <c r="A1041" s="26" t="s">
        <v>4495</v>
      </c>
      <c r="B1041" s="50" t="s">
        <v>4496</v>
      </c>
      <c r="C1041" s="26" t="s">
        <v>98</v>
      </c>
      <c r="D1041" s="26" t="s">
        <v>99</v>
      </c>
      <c r="E1041" s="26" t="s">
        <v>114</v>
      </c>
      <c r="F1041" s="47" t="s">
        <v>18</v>
      </c>
      <c r="G1041" s="31" t="s">
        <v>72</v>
      </c>
      <c r="H1041" s="32"/>
      <c r="I1041" s="32" t="s">
        <v>10</v>
      </c>
    </row>
    <row r="1042" spans="1:9" ht="16.5" customHeight="1" x14ac:dyDescent="0.2">
      <c r="A1042" s="35" t="s">
        <v>4497</v>
      </c>
      <c r="B1042" s="35" t="s">
        <v>4498</v>
      </c>
      <c r="C1042" s="35" t="s">
        <v>64</v>
      </c>
      <c r="D1042" s="35" t="s">
        <v>74</v>
      </c>
      <c r="E1042" s="35" t="s">
        <v>108</v>
      </c>
      <c r="F1042" s="30" t="s">
        <v>18</v>
      </c>
      <c r="G1042" s="31" t="s">
        <v>41</v>
      </c>
      <c r="H1042" s="31" t="s">
        <v>3465</v>
      </c>
      <c r="I1042" s="32" t="s">
        <v>10</v>
      </c>
    </row>
    <row r="1043" spans="1:9" ht="16.5" customHeight="1" x14ac:dyDescent="0.2">
      <c r="A1043" s="26" t="s">
        <v>4499</v>
      </c>
      <c r="B1043" s="26" t="s">
        <v>4500</v>
      </c>
      <c r="C1043" s="26" t="s">
        <v>115</v>
      </c>
      <c r="D1043" s="27" t="s">
        <v>116</v>
      </c>
      <c r="E1043" s="27" t="s">
        <v>108</v>
      </c>
      <c r="F1043" s="31" t="s">
        <v>25</v>
      </c>
      <c r="G1043" s="31" t="s">
        <v>61</v>
      </c>
      <c r="H1043" s="31"/>
      <c r="I1043" s="32" t="s">
        <v>10</v>
      </c>
    </row>
    <row r="1044" spans="1:9" ht="16.5" customHeight="1" x14ac:dyDescent="0.2">
      <c r="A1044" s="35" t="s">
        <v>4501</v>
      </c>
      <c r="B1044" s="26" t="s">
        <v>5504</v>
      </c>
      <c r="C1044" s="66" t="s">
        <v>64</v>
      </c>
      <c r="D1044" s="26" t="s">
        <v>82</v>
      </c>
      <c r="E1044" s="35" t="s">
        <v>126</v>
      </c>
      <c r="F1044" s="31" t="s">
        <v>25</v>
      </c>
      <c r="G1044" s="31" t="s">
        <v>72</v>
      </c>
      <c r="H1044" s="32"/>
      <c r="I1044" s="32" t="s">
        <v>10</v>
      </c>
    </row>
    <row r="1045" spans="1:9" ht="16.5" customHeight="1" x14ac:dyDescent="0.2">
      <c r="A1045" s="35" t="s">
        <v>4503</v>
      </c>
      <c r="B1045" s="26" t="s">
        <v>5514</v>
      </c>
      <c r="C1045" s="66" t="s">
        <v>64</v>
      </c>
      <c r="D1045" s="26" t="s">
        <v>82</v>
      </c>
      <c r="E1045" s="35" t="s">
        <v>126</v>
      </c>
      <c r="F1045" s="31" t="s">
        <v>25</v>
      </c>
      <c r="G1045" s="31" t="s">
        <v>72</v>
      </c>
      <c r="H1045" s="32"/>
      <c r="I1045" s="32" t="s">
        <v>10</v>
      </c>
    </row>
    <row r="1046" spans="1:9" ht="16.5" customHeight="1" x14ac:dyDescent="0.2">
      <c r="A1046" s="26" t="s">
        <v>4505</v>
      </c>
      <c r="B1046" s="26" t="s">
        <v>4506</v>
      </c>
      <c r="C1046" s="26" t="s">
        <v>115</v>
      </c>
      <c r="D1046" s="26" t="s">
        <v>122</v>
      </c>
      <c r="E1046" s="26" t="s">
        <v>129</v>
      </c>
      <c r="F1046" s="31" t="s">
        <v>18</v>
      </c>
      <c r="G1046" s="31" t="s">
        <v>61</v>
      </c>
      <c r="H1046" s="32"/>
      <c r="I1046" s="32" t="s">
        <v>10</v>
      </c>
    </row>
    <row r="1047" spans="1:9" ht="16.5" customHeight="1" x14ac:dyDescent="0.2">
      <c r="A1047" s="26" t="s">
        <v>4507</v>
      </c>
      <c r="B1047" s="26" t="s">
        <v>4508</v>
      </c>
      <c r="C1047" s="26" t="s">
        <v>98</v>
      </c>
      <c r="D1047" s="26" t="s">
        <v>107</v>
      </c>
      <c r="E1047" s="26" t="s">
        <v>87</v>
      </c>
      <c r="F1047" s="31" t="s">
        <v>18</v>
      </c>
      <c r="G1047" s="31" t="s">
        <v>41</v>
      </c>
      <c r="H1047" s="32"/>
      <c r="I1047" s="32" t="s">
        <v>10</v>
      </c>
    </row>
    <row r="1048" spans="1:9" ht="16.5" customHeight="1" x14ac:dyDescent="0.2">
      <c r="A1048" s="54" t="s">
        <v>4509</v>
      </c>
      <c r="B1048" s="54" t="s">
        <v>4510</v>
      </c>
      <c r="C1048" s="35" t="s">
        <v>7</v>
      </c>
      <c r="D1048" s="35" t="s">
        <v>30</v>
      </c>
      <c r="E1048" s="35" t="s">
        <v>129</v>
      </c>
      <c r="F1048" s="52" t="s">
        <v>18</v>
      </c>
      <c r="G1048" s="30" t="s">
        <v>72</v>
      </c>
      <c r="H1048" s="30" t="s">
        <v>4281</v>
      </c>
      <c r="I1048" s="32" t="s">
        <v>10</v>
      </c>
    </row>
    <row r="1049" spans="1:9" ht="16.5" customHeight="1" x14ac:dyDescent="0.2">
      <c r="A1049" s="35" t="s">
        <v>4511</v>
      </c>
      <c r="B1049" s="26" t="s">
        <v>5510</v>
      </c>
      <c r="C1049" s="66" t="s">
        <v>64</v>
      </c>
      <c r="D1049" s="26" t="s">
        <v>82</v>
      </c>
      <c r="E1049" s="35" t="s">
        <v>126</v>
      </c>
      <c r="F1049" s="31" t="s">
        <v>18</v>
      </c>
      <c r="G1049" s="31" t="s">
        <v>19</v>
      </c>
      <c r="H1049" s="32"/>
      <c r="I1049" s="32" t="s">
        <v>10</v>
      </c>
    </row>
    <row r="1050" spans="1:9" ht="16.5" customHeight="1" x14ac:dyDescent="0.2">
      <c r="A1050" s="26" t="s">
        <v>4513</v>
      </c>
      <c r="B1050" s="26" t="s">
        <v>4514</v>
      </c>
      <c r="C1050" s="26" t="s">
        <v>98</v>
      </c>
      <c r="D1050" s="26" t="s">
        <v>107</v>
      </c>
      <c r="E1050" s="26" t="s">
        <v>87</v>
      </c>
      <c r="F1050" s="31" t="s">
        <v>18</v>
      </c>
      <c r="G1050" s="31" t="s">
        <v>41</v>
      </c>
      <c r="H1050" s="32"/>
      <c r="I1050" s="32" t="s">
        <v>10</v>
      </c>
    </row>
    <row r="1051" spans="1:9" ht="16.5" customHeight="1" x14ac:dyDescent="0.2">
      <c r="A1051" s="26" t="s">
        <v>4513</v>
      </c>
      <c r="B1051" s="26" t="s">
        <v>4514</v>
      </c>
      <c r="C1051" s="26" t="s">
        <v>98</v>
      </c>
      <c r="D1051" s="26" t="s">
        <v>107</v>
      </c>
      <c r="E1051" s="26" t="s">
        <v>87</v>
      </c>
      <c r="F1051" s="31" t="s">
        <v>18</v>
      </c>
      <c r="G1051" s="31" t="s">
        <v>26</v>
      </c>
      <c r="H1051" s="32"/>
      <c r="I1051" s="32" t="s">
        <v>10</v>
      </c>
    </row>
    <row r="1052" spans="1:9" ht="16.5" customHeight="1" x14ac:dyDescent="0.2">
      <c r="A1052" s="35" t="s">
        <v>4515</v>
      </c>
      <c r="B1052" s="26" t="s">
        <v>5492</v>
      </c>
      <c r="C1052" s="66" t="s">
        <v>64</v>
      </c>
      <c r="D1052" s="26" t="s">
        <v>82</v>
      </c>
      <c r="E1052" s="35" t="s">
        <v>9</v>
      </c>
      <c r="F1052" s="31" t="s">
        <v>25</v>
      </c>
      <c r="G1052" s="31" t="s">
        <v>72</v>
      </c>
      <c r="H1052" s="32"/>
      <c r="I1052" s="32" t="s">
        <v>10</v>
      </c>
    </row>
    <row r="1053" spans="1:9" ht="16.5" customHeight="1" x14ac:dyDescent="0.2">
      <c r="A1053" s="35" t="s">
        <v>4517</v>
      </c>
      <c r="B1053" s="26" t="s">
        <v>5494</v>
      </c>
      <c r="C1053" s="66" t="s">
        <v>64</v>
      </c>
      <c r="D1053" s="26" t="s">
        <v>82</v>
      </c>
      <c r="E1053" s="35" t="s">
        <v>9</v>
      </c>
      <c r="F1053" s="31" t="s">
        <v>25</v>
      </c>
      <c r="G1053" s="31" t="s">
        <v>72</v>
      </c>
      <c r="H1053" s="32"/>
      <c r="I1053" s="32" t="s">
        <v>10</v>
      </c>
    </row>
    <row r="1054" spans="1:9" ht="16.5" customHeight="1" x14ac:dyDescent="0.2">
      <c r="A1054" s="35" t="s">
        <v>4519</v>
      </c>
      <c r="B1054" s="26" t="s">
        <v>5483</v>
      </c>
      <c r="C1054" s="66" t="s">
        <v>64</v>
      </c>
      <c r="D1054" s="26" t="s">
        <v>82</v>
      </c>
      <c r="E1054" s="27" t="s">
        <v>9</v>
      </c>
      <c r="F1054" s="31" t="s">
        <v>25</v>
      </c>
      <c r="G1054" s="31" t="s">
        <v>72</v>
      </c>
      <c r="H1054" s="32"/>
      <c r="I1054" s="32" t="s">
        <v>10</v>
      </c>
    </row>
    <row r="1055" spans="1:9" ht="16.5" customHeight="1" x14ac:dyDescent="0.2">
      <c r="A1055" s="35" t="s">
        <v>4521</v>
      </c>
      <c r="B1055" s="26" t="s">
        <v>5521</v>
      </c>
      <c r="C1055" s="66" t="s">
        <v>64</v>
      </c>
      <c r="D1055" s="26" t="s">
        <v>82</v>
      </c>
      <c r="E1055" s="35" t="s">
        <v>9</v>
      </c>
      <c r="F1055" s="31" t="s">
        <v>18</v>
      </c>
      <c r="G1055" s="31" t="s">
        <v>3280</v>
      </c>
      <c r="H1055" s="32"/>
      <c r="I1055" s="32" t="s">
        <v>10</v>
      </c>
    </row>
    <row r="1056" spans="1:9" ht="16.5" customHeight="1" x14ac:dyDescent="0.2">
      <c r="A1056" s="35" t="s">
        <v>4523</v>
      </c>
      <c r="B1056" s="26" t="s">
        <v>5518</v>
      </c>
      <c r="C1056" s="26" t="s">
        <v>64</v>
      </c>
      <c r="D1056" s="26" t="s">
        <v>82</v>
      </c>
      <c r="E1056" s="35" t="s">
        <v>129</v>
      </c>
      <c r="F1056" s="31" t="s">
        <v>18</v>
      </c>
      <c r="G1056" s="31" t="s">
        <v>61</v>
      </c>
      <c r="H1056" s="32" t="s">
        <v>10</v>
      </c>
      <c r="I1056" s="32" t="s">
        <v>10</v>
      </c>
    </row>
    <row r="1057" spans="1:9" ht="16.5" customHeight="1" x14ac:dyDescent="0.2">
      <c r="A1057" s="54" t="s">
        <v>4525</v>
      </c>
      <c r="B1057" s="35" t="s">
        <v>4526</v>
      </c>
      <c r="C1057" s="35" t="s">
        <v>64</v>
      </c>
      <c r="D1057" s="35" t="s">
        <v>95</v>
      </c>
      <c r="E1057" s="54" t="s">
        <v>126</v>
      </c>
      <c r="F1057" s="31" t="s">
        <v>18</v>
      </c>
      <c r="G1057" s="31" t="s">
        <v>41</v>
      </c>
      <c r="H1057" s="32"/>
      <c r="I1057" s="32" t="s">
        <v>10</v>
      </c>
    </row>
    <row r="1058" spans="1:9" ht="16.5" customHeight="1" x14ac:dyDescent="0.2">
      <c r="A1058" s="35" t="s">
        <v>4527</v>
      </c>
      <c r="B1058" s="35" t="s">
        <v>4528</v>
      </c>
      <c r="C1058" s="35" t="s">
        <v>115</v>
      </c>
      <c r="D1058" s="35" t="s">
        <v>134</v>
      </c>
      <c r="E1058" s="35" t="s">
        <v>114</v>
      </c>
      <c r="F1058" s="31" t="s">
        <v>25</v>
      </c>
      <c r="G1058" s="31" t="s">
        <v>72</v>
      </c>
      <c r="H1058" s="55"/>
      <c r="I1058" s="32" t="s">
        <v>10</v>
      </c>
    </row>
    <row r="1059" spans="1:9" ht="16.5" customHeight="1" x14ac:dyDescent="0.2">
      <c r="A1059" s="26" t="s">
        <v>4529</v>
      </c>
      <c r="B1059" s="26" t="s">
        <v>4530</v>
      </c>
      <c r="C1059" s="66" t="s">
        <v>136</v>
      </c>
      <c r="D1059" s="27" t="s">
        <v>137</v>
      </c>
      <c r="E1059" s="27" t="s">
        <v>46</v>
      </c>
      <c r="F1059" s="31" t="s">
        <v>18</v>
      </c>
      <c r="G1059" s="27" t="s">
        <v>41</v>
      </c>
      <c r="H1059" s="27" t="s">
        <v>3959</v>
      </c>
      <c r="I1059" s="32" t="s">
        <v>47</v>
      </c>
    </row>
    <row r="1060" spans="1:9" ht="16.5" customHeight="1" x14ac:dyDescent="0.2">
      <c r="A1060" s="26" t="s">
        <v>4529</v>
      </c>
      <c r="B1060" s="26" t="s">
        <v>4530</v>
      </c>
      <c r="C1060" s="66" t="s">
        <v>136</v>
      </c>
      <c r="D1060" s="27" t="s">
        <v>137</v>
      </c>
      <c r="E1060" s="27" t="s">
        <v>46</v>
      </c>
      <c r="F1060" s="31" t="s">
        <v>18</v>
      </c>
      <c r="G1060" s="27" t="s">
        <v>41</v>
      </c>
      <c r="H1060" s="27" t="s">
        <v>3959</v>
      </c>
      <c r="I1060" s="32" t="s">
        <v>47</v>
      </c>
    </row>
    <row r="1061" spans="1:9" ht="16.5" customHeight="1" x14ac:dyDescent="0.2">
      <c r="A1061" s="35" t="s">
        <v>4531</v>
      </c>
      <c r="B1061" s="85" t="s">
        <v>5352</v>
      </c>
      <c r="C1061" s="66" t="s">
        <v>37</v>
      </c>
      <c r="D1061" s="66" t="s">
        <v>52</v>
      </c>
      <c r="E1061" s="26" t="s">
        <v>53</v>
      </c>
      <c r="F1061" s="31" t="s">
        <v>11</v>
      </c>
      <c r="G1061" s="66" t="s">
        <v>41</v>
      </c>
      <c r="H1061" s="32"/>
      <c r="I1061" s="32" t="s">
        <v>47</v>
      </c>
    </row>
    <row r="1062" spans="1:9" ht="16.5" customHeight="1" x14ac:dyDescent="0.2">
      <c r="A1062" s="35" t="s">
        <v>4531</v>
      </c>
      <c r="B1062" s="85" t="s">
        <v>5352</v>
      </c>
      <c r="C1062" s="66" t="s">
        <v>37</v>
      </c>
      <c r="D1062" s="66" t="s">
        <v>52</v>
      </c>
      <c r="E1062" s="26" t="s">
        <v>53</v>
      </c>
      <c r="F1062" s="31" t="s">
        <v>11</v>
      </c>
      <c r="G1062" s="66" t="s">
        <v>41</v>
      </c>
      <c r="H1062" s="32"/>
      <c r="I1062" s="32" t="s">
        <v>47</v>
      </c>
    </row>
    <row r="1063" spans="1:9" ht="16.5" customHeight="1" x14ac:dyDescent="0.25">
      <c r="A1063" s="76" t="s">
        <v>4533</v>
      </c>
      <c r="B1063" s="76" t="s">
        <v>5440</v>
      </c>
      <c r="C1063" s="66" t="s">
        <v>37</v>
      </c>
      <c r="D1063" s="35" t="s">
        <v>52</v>
      </c>
      <c r="E1063" s="76" t="s">
        <v>53</v>
      </c>
      <c r="F1063" s="76" t="s">
        <v>11</v>
      </c>
      <c r="G1063" s="95"/>
      <c r="H1063" s="95" t="s">
        <v>40</v>
      </c>
      <c r="I1063" s="32" t="s">
        <v>47</v>
      </c>
    </row>
    <row r="1064" spans="1:9" ht="16.5" customHeight="1" x14ac:dyDescent="0.25">
      <c r="A1064" s="76" t="s">
        <v>4533</v>
      </c>
      <c r="B1064" s="76" t="s">
        <v>5440</v>
      </c>
      <c r="C1064" s="66" t="s">
        <v>37</v>
      </c>
      <c r="D1064" s="35" t="s">
        <v>52</v>
      </c>
      <c r="E1064" s="76" t="s">
        <v>53</v>
      </c>
      <c r="F1064" s="76" t="s">
        <v>11</v>
      </c>
      <c r="G1064" s="95"/>
      <c r="H1064" s="95" t="s">
        <v>40</v>
      </c>
      <c r="I1064" s="32" t="s">
        <v>47</v>
      </c>
    </row>
    <row r="1065" spans="1:9" ht="16.5" customHeight="1" x14ac:dyDescent="0.25">
      <c r="A1065" s="76" t="s">
        <v>4533</v>
      </c>
      <c r="B1065" s="76" t="s">
        <v>5440</v>
      </c>
      <c r="C1065" s="66" t="s">
        <v>37</v>
      </c>
      <c r="D1065" s="35" t="s">
        <v>52</v>
      </c>
      <c r="E1065" s="76" t="s">
        <v>53</v>
      </c>
      <c r="F1065" s="76" t="s">
        <v>11</v>
      </c>
      <c r="G1065" s="95"/>
      <c r="H1065" s="95" t="s">
        <v>40</v>
      </c>
      <c r="I1065" s="32" t="s">
        <v>47</v>
      </c>
    </row>
    <row r="1066" spans="1:9" ht="16.5" customHeight="1" x14ac:dyDescent="0.25">
      <c r="A1066" s="76" t="s">
        <v>4535</v>
      </c>
      <c r="B1066" s="76" t="s">
        <v>5447</v>
      </c>
      <c r="C1066" s="66" t="s">
        <v>37</v>
      </c>
      <c r="D1066" s="35" t="s">
        <v>52</v>
      </c>
      <c r="E1066" s="76" t="s">
        <v>53</v>
      </c>
      <c r="F1066" s="146" t="s">
        <v>11</v>
      </c>
      <c r="G1066" s="147"/>
      <c r="H1066" s="95" t="s">
        <v>40</v>
      </c>
      <c r="I1066" s="32" t="s">
        <v>47</v>
      </c>
    </row>
    <row r="1067" spans="1:9" ht="16.5" customHeight="1" x14ac:dyDescent="0.25">
      <c r="A1067" s="76" t="s">
        <v>4535</v>
      </c>
      <c r="B1067" s="76" t="s">
        <v>5447</v>
      </c>
      <c r="C1067" s="66" t="s">
        <v>37</v>
      </c>
      <c r="D1067" s="35" t="s">
        <v>52</v>
      </c>
      <c r="E1067" s="76" t="s">
        <v>53</v>
      </c>
      <c r="F1067" s="146" t="s">
        <v>11</v>
      </c>
      <c r="G1067" s="147"/>
      <c r="H1067" s="95" t="s">
        <v>40</v>
      </c>
      <c r="I1067" s="32" t="s">
        <v>47</v>
      </c>
    </row>
    <row r="1068" spans="1:9" ht="16.5" customHeight="1" x14ac:dyDescent="0.25">
      <c r="A1068" s="76" t="s">
        <v>4537</v>
      </c>
      <c r="B1068" s="76" t="s">
        <v>5438</v>
      </c>
      <c r="C1068" s="66" t="s">
        <v>37</v>
      </c>
      <c r="D1068" s="35" t="s">
        <v>52</v>
      </c>
      <c r="E1068" s="76" t="s">
        <v>53</v>
      </c>
      <c r="F1068" s="76" t="s">
        <v>11</v>
      </c>
      <c r="G1068" s="95"/>
      <c r="H1068" s="95" t="s">
        <v>40</v>
      </c>
      <c r="I1068" s="32" t="s">
        <v>47</v>
      </c>
    </row>
    <row r="1069" spans="1:9" ht="16.5" customHeight="1" x14ac:dyDescent="0.25">
      <c r="A1069" s="76" t="s">
        <v>4537</v>
      </c>
      <c r="B1069" s="76" t="s">
        <v>5438</v>
      </c>
      <c r="C1069" s="66" t="s">
        <v>37</v>
      </c>
      <c r="D1069" s="35" t="s">
        <v>52</v>
      </c>
      <c r="E1069" s="76" t="s">
        <v>53</v>
      </c>
      <c r="F1069" s="76" t="s">
        <v>11</v>
      </c>
      <c r="G1069" s="95"/>
      <c r="H1069" s="95" t="s">
        <v>40</v>
      </c>
      <c r="I1069" s="32" t="s">
        <v>47</v>
      </c>
    </row>
    <row r="1070" spans="1:9" ht="16.5" customHeight="1" x14ac:dyDescent="0.25">
      <c r="A1070" s="76" t="s">
        <v>4537</v>
      </c>
      <c r="B1070" s="76" t="s">
        <v>5438</v>
      </c>
      <c r="C1070" s="66" t="s">
        <v>37</v>
      </c>
      <c r="D1070" s="35" t="s">
        <v>52</v>
      </c>
      <c r="E1070" s="76" t="s">
        <v>53</v>
      </c>
      <c r="F1070" s="31" t="s">
        <v>11</v>
      </c>
      <c r="G1070" s="31"/>
      <c r="H1070" s="31" t="s">
        <v>40</v>
      </c>
      <c r="I1070" s="32" t="s">
        <v>47</v>
      </c>
    </row>
    <row r="1071" spans="1:9" ht="16.5" customHeight="1" x14ac:dyDescent="0.2">
      <c r="A1071" s="35" t="s">
        <v>4539</v>
      </c>
      <c r="B1071" s="85" t="s">
        <v>5360</v>
      </c>
      <c r="C1071" s="66" t="s">
        <v>37</v>
      </c>
      <c r="D1071" s="66" t="s">
        <v>52</v>
      </c>
      <c r="E1071" s="26" t="s">
        <v>53</v>
      </c>
      <c r="F1071" s="31" t="s">
        <v>32</v>
      </c>
      <c r="G1071" s="66" t="s">
        <v>41</v>
      </c>
      <c r="H1071" s="32"/>
      <c r="I1071" s="32" t="s">
        <v>47</v>
      </c>
    </row>
    <row r="1072" spans="1:9" ht="16.5" customHeight="1" x14ac:dyDescent="0.2">
      <c r="A1072" s="35" t="s">
        <v>4541</v>
      </c>
      <c r="B1072" s="85" t="s">
        <v>5354</v>
      </c>
      <c r="C1072" s="66" t="s">
        <v>37</v>
      </c>
      <c r="D1072" s="66" t="s">
        <v>52</v>
      </c>
      <c r="E1072" s="26" t="s">
        <v>53</v>
      </c>
      <c r="F1072" s="31" t="s">
        <v>11</v>
      </c>
      <c r="G1072" s="66" t="s">
        <v>41</v>
      </c>
      <c r="H1072" s="32"/>
      <c r="I1072" s="32" t="s">
        <v>47</v>
      </c>
    </row>
    <row r="1073" spans="1:9" ht="16.5" customHeight="1" x14ac:dyDescent="0.2">
      <c r="A1073" s="35" t="s">
        <v>4541</v>
      </c>
      <c r="B1073" s="85" t="s">
        <v>5354</v>
      </c>
      <c r="C1073" s="66" t="s">
        <v>37</v>
      </c>
      <c r="D1073" s="66" t="s">
        <v>52</v>
      </c>
      <c r="E1073" s="26" t="s">
        <v>53</v>
      </c>
      <c r="F1073" s="31" t="s">
        <v>11</v>
      </c>
      <c r="G1073" s="66" t="s">
        <v>41</v>
      </c>
      <c r="H1073" s="32"/>
      <c r="I1073" s="32" t="s">
        <v>47</v>
      </c>
    </row>
    <row r="1074" spans="1:9" ht="16.5" customHeight="1" x14ac:dyDescent="0.2">
      <c r="A1074" s="35" t="s">
        <v>4541</v>
      </c>
      <c r="B1074" s="85" t="s">
        <v>5354</v>
      </c>
      <c r="C1074" s="66" t="s">
        <v>37</v>
      </c>
      <c r="D1074" s="66" t="s">
        <v>52</v>
      </c>
      <c r="E1074" s="26" t="s">
        <v>53</v>
      </c>
      <c r="F1074" s="31" t="s">
        <v>11</v>
      </c>
      <c r="G1074" s="66" t="s">
        <v>41</v>
      </c>
      <c r="H1074" s="32"/>
      <c r="I1074" s="32" t="s">
        <v>47</v>
      </c>
    </row>
    <row r="1075" spans="1:9" ht="16.5" customHeight="1" x14ac:dyDescent="0.25">
      <c r="A1075" s="76" t="s">
        <v>4541</v>
      </c>
      <c r="B1075" s="76" t="s">
        <v>5354</v>
      </c>
      <c r="C1075" s="76" t="s">
        <v>37</v>
      </c>
      <c r="D1075" s="35" t="s">
        <v>52</v>
      </c>
      <c r="E1075" s="76" t="s">
        <v>53</v>
      </c>
      <c r="F1075" s="31" t="s">
        <v>11</v>
      </c>
      <c r="G1075" s="66" t="s">
        <v>41</v>
      </c>
      <c r="H1075" s="95" t="s">
        <v>40</v>
      </c>
      <c r="I1075" s="32" t="s">
        <v>47</v>
      </c>
    </row>
    <row r="1076" spans="1:9" ht="16.5" customHeight="1" x14ac:dyDescent="0.25">
      <c r="A1076" s="76" t="s">
        <v>4541</v>
      </c>
      <c r="B1076" s="76" t="s">
        <v>5354</v>
      </c>
      <c r="C1076" s="66" t="s">
        <v>37</v>
      </c>
      <c r="D1076" s="35" t="s">
        <v>52</v>
      </c>
      <c r="E1076" s="76" t="s">
        <v>53</v>
      </c>
      <c r="F1076" s="31" t="s">
        <v>11</v>
      </c>
      <c r="G1076" s="66" t="s">
        <v>41</v>
      </c>
      <c r="H1076" s="95" t="s">
        <v>40</v>
      </c>
      <c r="I1076" s="32" t="s">
        <v>47</v>
      </c>
    </row>
    <row r="1077" spans="1:9" ht="16.5" customHeight="1" x14ac:dyDescent="0.2">
      <c r="A1077" s="35" t="s">
        <v>4543</v>
      </c>
      <c r="B1077" s="85" t="s">
        <v>5358</v>
      </c>
      <c r="C1077" s="66" t="s">
        <v>37</v>
      </c>
      <c r="D1077" s="66" t="s">
        <v>52</v>
      </c>
      <c r="E1077" s="26" t="s">
        <v>53</v>
      </c>
      <c r="F1077" s="31" t="s">
        <v>11</v>
      </c>
      <c r="G1077" s="66" t="s">
        <v>41</v>
      </c>
      <c r="H1077" s="32"/>
      <c r="I1077" s="32" t="s">
        <v>47</v>
      </c>
    </row>
    <row r="1078" spans="1:9" ht="16.5" customHeight="1" x14ac:dyDescent="0.2">
      <c r="A1078" s="35" t="s">
        <v>4543</v>
      </c>
      <c r="B1078" s="85" t="s">
        <v>5358</v>
      </c>
      <c r="C1078" s="66" t="s">
        <v>37</v>
      </c>
      <c r="D1078" s="66" t="s">
        <v>52</v>
      </c>
      <c r="E1078" s="26" t="s">
        <v>53</v>
      </c>
      <c r="F1078" s="31" t="s">
        <v>32</v>
      </c>
      <c r="G1078" s="66" t="s">
        <v>41</v>
      </c>
      <c r="H1078" s="32"/>
      <c r="I1078" s="32" t="s">
        <v>47</v>
      </c>
    </row>
    <row r="1079" spans="1:9" ht="16.5" customHeight="1" x14ac:dyDescent="0.2">
      <c r="A1079" s="35" t="s">
        <v>4545</v>
      </c>
      <c r="B1079" s="85" t="s">
        <v>5351</v>
      </c>
      <c r="C1079" s="66" t="s">
        <v>37</v>
      </c>
      <c r="D1079" s="66" t="s">
        <v>52</v>
      </c>
      <c r="E1079" s="26" t="s">
        <v>53</v>
      </c>
      <c r="F1079" s="31" t="s">
        <v>32</v>
      </c>
      <c r="G1079" s="66" t="s">
        <v>41</v>
      </c>
      <c r="H1079" s="32"/>
      <c r="I1079" s="32" t="s">
        <v>47</v>
      </c>
    </row>
    <row r="1080" spans="1:9" ht="16.5" customHeight="1" x14ac:dyDescent="0.2">
      <c r="A1080" s="35" t="s">
        <v>4545</v>
      </c>
      <c r="B1080" s="85" t="s">
        <v>5351</v>
      </c>
      <c r="C1080" s="66" t="s">
        <v>37</v>
      </c>
      <c r="D1080" s="66" t="s">
        <v>52</v>
      </c>
      <c r="E1080" s="26" t="s">
        <v>53</v>
      </c>
      <c r="F1080" s="31" t="s">
        <v>32</v>
      </c>
      <c r="G1080" s="66" t="s">
        <v>41</v>
      </c>
      <c r="H1080" s="32"/>
      <c r="I1080" s="32" t="s">
        <v>47</v>
      </c>
    </row>
    <row r="1081" spans="1:9" ht="16.5" customHeight="1" x14ac:dyDescent="0.2">
      <c r="A1081" s="35" t="s">
        <v>4547</v>
      </c>
      <c r="B1081" s="85" t="s">
        <v>5350</v>
      </c>
      <c r="C1081" s="66" t="s">
        <v>37</v>
      </c>
      <c r="D1081" s="66" t="s">
        <v>52</v>
      </c>
      <c r="E1081" s="26" t="s">
        <v>53</v>
      </c>
      <c r="F1081" s="31" t="s">
        <v>32</v>
      </c>
      <c r="G1081" s="66" t="s">
        <v>41</v>
      </c>
      <c r="H1081" s="51"/>
      <c r="I1081" s="32" t="s">
        <v>47</v>
      </c>
    </row>
    <row r="1082" spans="1:9" ht="16.5" customHeight="1" x14ac:dyDescent="0.2">
      <c r="A1082" s="35" t="s">
        <v>4547</v>
      </c>
      <c r="B1082" s="85" t="s">
        <v>5350</v>
      </c>
      <c r="C1082" s="66" t="s">
        <v>37</v>
      </c>
      <c r="D1082" s="66" t="s">
        <v>52</v>
      </c>
      <c r="E1082" s="26" t="s">
        <v>53</v>
      </c>
      <c r="F1082" s="31" t="s">
        <v>32</v>
      </c>
      <c r="G1082" s="66" t="s">
        <v>41</v>
      </c>
      <c r="H1082" s="32"/>
      <c r="I1082" s="32" t="s">
        <v>47</v>
      </c>
    </row>
    <row r="1083" spans="1:9" ht="16.5" customHeight="1" x14ac:dyDescent="0.25">
      <c r="A1083" s="76" t="s">
        <v>4549</v>
      </c>
      <c r="B1083" s="76" t="s">
        <v>5441</v>
      </c>
      <c r="C1083" s="66" t="s">
        <v>37</v>
      </c>
      <c r="D1083" s="35" t="s">
        <v>52</v>
      </c>
      <c r="E1083" s="76" t="s">
        <v>53</v>
      </c>
      <c r="F1083" s="76" t="s">
        <v>18</v>
      </c>
      <c r="G1083" s="55"/>
      <c r="H1083" s="95" t="s">
        <v>40</v>
      </c>
      <c r="I1083" s="32" t="s">
        <v>47</v>
      </c>
    </row>
    <row r="1084" spans="1:9" ht="16.5" customHeight="1" x14ac:dyDescent="0.25">
      <c r="A1084" s="76" t="s">
        <v>4549</v>
      </c>
      <c r="B1084" s="76" t="s">
        <v>5441</v>
      </c>
      <c r="C1084" s="66" t="s">
        <v>37</v>
      </c>
      <c r="D1084" s="35" t="s">
        <v>52</v>
      </c>
      <c r="E1084" s="76" t="s">
        <v>53</v>
      </c>
      <c r="F1084" s="76" t="s">
        <v>18</v>
      </c>
      <c r="G1084" s="55"/>
      <c r="H1084" s="95" t="s">
        <v>40</v>
      </c>
      <c r="I1084" s="32" t="s">
        <v>47</v>
      </c>
    </row>
    <row r="1085" spans="1:9" ht="16.5" customHeight="1" x14ac:dyDescent="0.25">
      <c r="A1085" s="76" t="s">
        <v>4549</v>
      </c>
      <c r="B1085" s="76" t="s">
        <v>5441</v>
      </c>
      <c r="C1085" s="66" t="s">
        <v>37</v>
      </c>
      <c r="D1085" s="35" t="s">
        <v>52</v>
      </c>
      <c r="E1085" s="76" t="s">
        <v>53</v>
      </c>
      <c r="F1085" s="76" t="s">
        <v>18</v>
      </c>
      <c r="G1085" s="55"/>
      <c r="H1085" s="95" t="s">
        <v>40</v>
      </c>
      <c r="I1085" s="32" t="s">
        <v>47</v>
      </c>
    </row>
    <row r="1086" spans="1:9" ht="16.5" customHeight="1" x14ac:dyDescent="0.25">
      <c r="A1086" s="35" t="s">
        <v>4551</v>
      </c>
      <c r="B1086" s="76" t="s">
        <v>5453</v>
      </c>
      <c r="C1086" s="66" t="s">
        <v>37</v>
      </c>
      <c r="D1086" s="35" t="s">
        <v>52</v>
      </c>
      <c r="E1086" s="76" t="s">
        <v>135</v>
      </c>
      <c r="F1086" s="76" t="s">
        <v>18</v>
      </c>
      <c r="G1086" s="35" t="s">
        <v>19</v>
      </c>
      <c r="H1086" s="95" t="s">
        <v>10</v>
      </c>
      <c r="I1086" s="32" t="s">
        <v>10</v>
      </c>
    </row>
    <row r="1087" spans="1:9" ht="16.5" customHeight="1" x14ac:dyDescent="0.25">
      <c r="A1087" s="35" t="s">
        <v>4551</v>
      </c>
      <c r="B1087" s="76" t="s">
        <v>5454</v>
      </c>
      <c r="C1087" s="66" t="s">
        <v>37</v>
      </c>
      <c r="D1087" s="35" t="s">
        <v>52</v>
      </c>
      <c r="E1087" s="76" t="s">
        <v>135</v>
      </c>
      <c r="F1087" s="76" t="s">
        <v>18</v>
      </c>
      <c r="G1087" s="35" t="s">
        <v>19</v>
      </c>
      <c r="H1087" s="76" t="s">
        <v>10</v>
      </c>
      <c r="I1087" s="32" t="s">
        <v>10</v>
      </c>
    </row>
    <row r="1088" spans="1:9" ht="16.5" customHeight="1" x14ac:dyDescent="0.25">
      <c r="A1088" s="35" t="s">
        <v>4551</v>
      </c>
      <c r="B1088" s="76" t="s">
        <v>5455</v>
      </c>
      <c r="C1088" s="66" t="s">
        <v>37</v>
      </c>
      <c r="D1088" s="35" t="s">
        <v>52</v>
      </c>
      <c r="E1088" s="76" t="s">
        <v>135</v>
      </c>
      <c r="F1088" s="76" t="s">
        <v>18</v>
      </c>
      <c r="G1088" s="35" t="s">
        <v>19</v>
      </c>
      <c r="H1088" s="76" t="s">
        <v>10</v>
      </c>
      <c r="I1088" s="32" t="s">
        <v>10</v>
      </c>
    </row>
    <row r="1089" spans="1:9" ht="16.5" customHeight="1" x14ac:dyDescent="0.25">
      <c r="A1089" s="35" t="s">
        <v>4551</v>
      </c>
      <c r="B1089" s="76" t="s">
        <v>5456</v>
      </c>
      <c r="C1089" s="66" t="s">
        <v>37</v>
      </c>
      <c r="D1089" s="35" t="s">
        <v>52</v>
      </c>
      <c r="E1089" s="76" t="s">
        <v>135</v>
      </c>
      <c r="F1089" s="76" t="s">
        <v>18</v>
      </c>
      <c r="G1089" s="35" t="s">
        <v>19</v>
      </c>
      <c r="H1089" s="95" t="s">
        <v>10</v>
      </c>
      <c r="I1089" s="32" t="s">
        <v>10</v>
      </c>
    </row>
    <row r="1090" spans="1:9" ht="16.5" customHeight="1" x14ac:dyDescent="0.25">
      <c r="A1090" s="35" t="s">
        <v>4551</v>
      </c>
      <c r="B1090" s="76" t="s">
        <v>5457</v>
      </c>
      <c r="C1090" s="66" t="s">
        <v>37</v>
      </c>
      <c r="D1090" s="35" t="s">
        <v>52</v>
      </c>
      <c r="E1090" s="76" t="s">
        <v>135</v>
      </c>
      <c r="F1090" s="76" t="s">
        <v>18</v>
      </c>
      <c r="G1090" s="35" t="s">
        <v>19</v>
      </c>
      <c r="H1090" s="95" t="s">
        <v>10</v>
      </c>
      <c r="I1090" s="32" t="s">
        <v>10</v>
      </c>
    </row>
    <row r="1091" spans="1:9" ht="16.5" customHeight="1" x14ac:dyDescent="0.25">
      <c r="A1091" s="56" t="s">
        <v>4551</v>
      </c>
      <c r="B1091" s="76" t="s">
        <v>5458</v>
      </c>
      <c r="C1091" s="66" t="s">
        <v>37</v>
      </c>
      <c r="D1091" s="80" t="s">
        <v>52</v>
      </c>
      <c r="E1091" s="122" t="s">
        <v>135</v>
      </c>
      <c r="F1091" s="76" t="s">
        <v>18</v>
      </c>
      <c r="G1091" s="35" t="s">
        <v>19</v>
      </c>
      <c r="H1091" s="95" t="s">
        <v>10</v>
      </c>
      <c r="I1091" s="32" t="s">
        <v>10</v>
      </c>
    </row>
    <row r="1092" spans="1:9" ht="16.5" customHeight="1" x14ac:dyDescent="0.25">
      <c r="A1092" s="56" t="s">
        <v>4551</v>
      </c>
      <c r="B1092" s="76" t="s">
        <v>5459</v>
      </c>
      <c r="C1092" s="66" t="s">
        <v>37</v>
      </c>
      <c r="D1092" s="80" t="s">
        <v>52</v>
      </c>
      <c r="E1092" s="122" t="s">
        <v>135</v>
      </c>
      <c r="F1092" s="76" t="s">
        <v>18</v>
      </c>
      <c r="G1092" s="35" t="s">
        <v>19</v>
      </c>
      <c r="H1092" s="95" t="s">
        <v>10</v>
      </c>
      <c r="I1092" s="32" t="s">
        <v>10</v>
      </c>
    </row>
    <row r="1093" spans="1:9" ht="16.5" customHeight="1" x14ac:dyDescent="0.25">
      <c r="A1093" s="56" t="s">
        <v>4551</v>
      </c>
      <c r="B1093" s="76" t="s">
        <v>5460</v>
      </c>
      <c r="C1093" s="66" t="s">
        <v>37</v>
      </c>
      <c r="D1093" s="80" t="s">
        <v>52</v>
      </c>
      <c r="E1093" s="122" t="s">
        <v>87</v>
      </c>
      <c r="F1093" s="76" t="s">
        <v>18</v>
      </c>
      <c r="G1093" s="35" t="s">
        <v>19</v>
      </c>
      <c r="H1093" s="95" t="s">
        <v>10</v>
      </c>
      <c r="I1093" s="32" t="s">
        <v>10</v>
      </c>
    </row>
    <row r="1094" spans="1:9" ht="16.5" customHeight="1" x14ac:dyDescent="0.25">
      <c r="A1094" s="56" t="s">
        <v>4551</v>
      </c>
      <c r="B1094" s="76" t="s">
        <v>5461</v>
      </c>
      <c r="C1094" s="66" t="s">
        <v>37</v>
      </c>
      <c r="D1094" s="80" t="s">
        <v>52</v>
      </c>
      <c r="E1094" s="122" t="s">
        <v>87</v>
      </c>
      <c r="F1094" s="76" t="s">
        <v>18</v>
      </c>
      <c r="G1094" s="35" t="s">
        <v>19</v>
      </c>
      <c r="H1094" s="95" t="s">
        <v>10</v>
      </c>
      <c r="I1094" s="32" t="s">
        <v>10</v>
      </c>
    </row>
    <row r="1095" spans="1:9" ht="16.5" customHeight="1" x14ac:dyDescent="0.25">
      <c r="A1095" s="35" t="s">
        <v>4551</v>
      </c>
      <c r="B1095" s="76" t="s">
        <v>5462</v>
      </c>
      <c r="C1095" s="66" t="s">
        <v>37</v>
      </c>
      <c r="D1095" s="35" t="s">
        <v>52</v>
      </c>
      <c r="E1095" s="76" t="s">
        <v>87</v>
      </c>
      <c r="F1095" s="76" t="s">
        <v>18</v>
      </c>
      <c r="G1095" s="35" t="s">
        <v>19</v>
      </c>
      <c r="H1095" s="76" t="s">
        <v>10</v>
      </c>
      <c r="I1095" s="32" t="s">
        <v>10</v>
      </c>
    </row>
    <row r="1096" spans="1:9" ht="16.5" customHeight="1" x14ac:dyDescent="0.25">
      <c r="A1096" s="35" t="s">
        <v>4551</v>
      </c>
      <c r="B1096" s="76" t="s">
        <v>5453</v>
      </c>
      <c r="C1096" s="66" t="s">
        <v>37</v>
      </c>
      <c r="D1096" s="35" t="s">
        <v>52</v>
      </c>
      <c r="E1096" s="76" t="s">
        <v>135</v>
      </c>
      <c r="F1096" s="76" t="s">
        <v>18</v>
      </c>
      <c r="G1096" s="35" t="s">
        <v>19</v>
      </c>
      <c r="H1096" s="76" t="s">
        <v>10</v>
      </c>
      <c r="I1096" s="32" t="s">
        <v>10</v>
      </c>
    </row>
    <row r="1097" spans="1:9" ht="16.5" customHeight="1" x14ac:dyDescent="0.25">
      <c r="A1097" s="35" t="s">
        <v>4551</v>
      </c>
      <c r="B1097" s="76" t="s">
        <v>5454</v>
      </c>
      <c r="C1097" s="66" t="s">
        <v>37</v>
      </c>
      <c r="D1097" s="35" t="s">
        <v>52</v>
      </c>
      <c r="E1097" s="76" t="s">
        <v>135</v>
      </c>
      <c r="F1097" s="76" t="s">
        <v>18</v>
      </c>
      <c r="G1097" s="35" t="s">
        <v>19</v>
      </c>
      <c r="H1097" s="95" t="s">
        <v>10</v>
      </c>
      <c r="I1097" s="32" t="s">
        <v>10</v>
      </c>
    </row>
    <row r="1098" spans="1:9" ht="16.5" customHeight="1" x14ac:dyDescent="0.25">
      <c r="A1098" s="35" t="s">
        <v>4551</v>
      </c>
      <c r="B1098" s="76" t="s">
        <v>5455</v>
      </c>
      <c r="C1098" s="66" t="s">
        <v>37</v>
      </c>
      <c r="D1098" s="35" t="s">
        <v>52</v>
      </c>
      <c r="E1098" s="76" t="s">
        <v>135</v>
      </c>
      <c r="F1098" s="76" t="s">
        <v>18</v>
      </c>
      <c r="G1098" s="35" t="s">
        <v>19</v>
      </c>
      <c r="H1098" s="95" t="s">
        <v>10</v>
      </c>
      <c r="I1098" s="32" t="s">
        <v>10</v>
      </c>
    </row>
    <row r="1099" spans="1:9" ht="16.5" customHeight="1" x14ac:dyDescent="0.25">
      <c r="A1099" s="35" t="s">
        <v>4551</v>
      </c>
      <c r="B1099" s="76" t="s">
        <v>5456</v>
      </c>
      <c r="C1099" s="66" t="s">
        <v>37</v>
      </c>
      <c r="D1099" s="35" t="s">
        <v>52</v>
      </c>
      <c r="E1099" s="76" t="s">
        <v>135</v>
      </c>
      <c r="F1099" s="76" t="s">
        <v>18</v>
      </c>
      <c r="G1099" s="35" t="s">
        <v>19</v>
      </c>
      <c r="H1099" s="95" t="s">
        <v>10</v>
      </c>
      <c r="I1099" s="32" t="s">
        <v>10</v>
      </c>
    </row>
    <row r="1100" spans="1:9" ht="16.5" customHeight="1" x14ac:dyDescent="0.25">
      <c r="A1100" s="35" t="s">
        <v>4551</v>
      </c>
      <c r="B1100" s="76" t="s">
        <v>5457</v>
      </c>
      <c r="C1100" s="66" t="s">
        <v>37</v>
      </c>
      <c r="D1100" s="35" t="s">
        <v>52</v>
      </c>
      <c r="E1100" s="76" t="s">
        <v>135</v>
      </c>
      <c r="F1100" s="76" t="s">
        <v>18</v>
      </c>
      <c r="G1100" s="35" t="s">
        <v>19</v>
      </c>
      <c r="H1100" s="95" t="s">
        <v>10</v>
      </c>
      <c r="I1100" s="32" t="s">
        <v>10</v>
      </c>
    </row>
    <row r="1101" spans="1:9" ht="16.5" customHeight="1" x14ac:dyDescent="0.25">
      <c r="A1101" s="35" t="s">
        <v>4551</v>
      </c>
      <c r="B1101" s="76" t="s">
        <v>5458</v>
      </c>
      <c r="C1101" s="66" t="s">
        <v>37</v>
      </c>
      <c r="D1101" s="35" t="s">
        <v>52</v>
      </c>
      <c r="E1101" s="76" t="s">
        <v>135</v>
      </c>
      <c r="F1101" s="76" t="s">
        <v>18</v>
      </c>
      <c r="G1101" s="35" t="s">
        <v>19</v>
      </c>
      <c r="H1101" s="95" t="s">
        <v>10</v>
      </c>
      <c r="I1101" s="32" t="s">
        <v>10</v>
      </c>
    </row>
    <row r="1102" spans="1:9" ht="16.5" customHeight="1" x14ac:dyDescent="0.25">
      <c r="A1102" s="35" t="s">
        <v>4551</v>
      </c>
      <c r="B1102" s="76" t="s">
        <v>5459</v>
      </c>
      <c r="C1102" s="66" t="s">
        <v>37</v>
      </c>
      <c r="D1102" s="35" t="s">
        <v>52</v>
      </c>
      <c r="E1102" s="76" t="s">
        <v>135</v>
      </c>
      <c r="F1102" s="76" t="s">
        <v>18</v>
      </c>
      <c r="G1102" s="35" t="s">
        <v>19</v>
      </c>
      <c r="H1102" s="95" t="s">
        <v>10</v>
      </c>
      <c r="I1102" s="32" t="s">
        <v>10</v>
      </c>
    </row>
    <row r="1103" spans="1:9" ht="16.5" customHeight="1" x14ac:dyDescent="0.25">
      <c r="A1103" s="35" t="s">
        <v>4551</v>
      </c>
      <c r="B1103" s="76" t="s">
        <v>5460</v>
      </c>
      <c r="C1103" s="66" t="s">
        <v>37</v>
      </c>
      <c r="D1103" s="35" t="s">
        <v>52</v>
      </c>
      <c r="E1103" s="76" t="s">
        <v>87</v>
      </c>
      <c r="F1103" s="76" t="s">
        <v>18</v>
      </c>
      <c r="G1103" s="35" t="s">
        <v>19</v>
      </c>
      <c r="H1103" s="95" t="s">
        <v>10</v>
      </c>
      <c r="I1103" s="32" t="s">
        <v>10</v>
      </c>
    </row>
    <row r="1104" spans="1:9" ht="16.5" customHeight="1" x14ac:dyDescent="0.25">
      <c r="A1104" s="35" t="s">
        <v>4551</v>
      </c>
      <c r="B1104" s="76" t="s">
        <v>5461</v>
      </c>
      <c r="C1104" s="66" t="s">
        <v>37</v>
      </c>
      <c r="D1104" s="35" t="s">
        <v>52</v>
      </c>
      <c r="E1104" s="76" t="s">
        <v>87</v>
      </c>
      <c r="F1104" s="76" t="s">
        <v>18</v>
      </c>
      <c r="G1104" s="35" t="s">
        <v>19</v>
      </c>
      <c r="H1104" s="95" t="s">
        <v>10</v>
      </c>
      <c r="I1104" s="32" t="s">
        <v>10</v>
      </c>
    </row>
    <row r="1105" spans="1:9" ht="16.5" customHeight="1" x14ac:dyDescent="0.25">
      <c r="A1105" s="35" t="s">
        <v>4551</v>
      </c>
      <c r="B1105" s="76" t="s">
        <v>5462</v>
      </c>
      <c r="C1105" s="66" t="s">
        <v>37</v>
      </c>
      <c r="D1105" s="35" t="s">
        <v>52</v>
      </c>
      <c r="E1105" s="76" t="s">
        <v>87</v>
      </c>
      <c r="F1105" s="76" t="s">
        <v>18</v>
      </c>
      <c r="G1105" s="35" t="s">
        <v>19</v>
      </c>
      <c r="H1105" s="95" t="s">
        <v>10</v>
      </c>
      <c r="I1105" s="32" t="s">
        <v>10</v>
      </c>
    </row>
    <row r="1106" spans="1:9" ht="16.5" customHeight="1" x14ac:dyDescent="0.2">
      <c r="A1106" s="26" t="s">
        <v>4553</v>
      </c>
      <c r="B1106" s="26" t="s">
        <v>4554</v>
      </c>
      <c r="C1106" s="66" t="s">
        <v>136</v>
      </c>
      <c r="D1106" s="27" t="s">
        <v>137</v>
      </c>
      <c r="E1106" s="27" t="s">
        <v>46</v>
      </c>
      <c r="F1106" s="31" t="s">
        <v>11</v>
      </c>
      <c r="G1106" s="31" t="s">
        <v>41</v>
      </c>
      <c r="H1106" s="32"/>
      <c r="I1106" s="32" t="s">
        <v>47</v>
      </c>
    </row>
    <row r="1107" spans="1:9" ht="16.5" customHeight="1" x14ac:dyDescent="0.2">
      <c r="A1107" s="26" t="s">
        <v>4553</v>
      </c>
      <c r="B1107" s="26" t="s">
        <v>4554</v>
      </c>
      <c r="C1107" s="66" t="s">
        <v>136</v>
      </c>
      <c r="D1107" s="27" t="s">
        <v>137</v>
      </c>
      <c r="E1107" s="27" t="s">
        <v>46</v>
      </c>
      <c r="F1107" s="31" t="s">
        <v>11</v>
      </c>
      <c r="G1107" s="31" t="s">
        <v>41</v>
      </c>
      <c r="H1107" s="32"/>
      <c r="I1107" s="32" t="s">
        <v>47</v>
      </c>
    </row>
    <row r="1108" spans="1:9" ht="16.5" customHeight="1" x14ac:dyDescent="0.2">
      <c r="A1108" s="26" t="s">
        <v>4553</v>
      </c>
      <c r="B1108" s="26" t="s">
        <v>4554</v>
      </c>
      <c r="C1108" s="66" t="s">
        <v>136</v>
      </c>
      <c r="D1108" s="27" t="s">
        <v>137</v>
      </c>
      <c r="E1108" s="27" t="s">
        <v>46</v>
      </c>
      <c r="F1108" s="31" t="s">
        <v>11</v>
      </c>
      <c r="G1108" s="31" t="s">
        <v>41</v>
      </c>
      <c r="H1108" s="32"/>
      <c r="I1108" s="32" t="s">
        <v>47</v>
      </c>
    </row>
    <row r="1109" spans="1:9" ht="16.5" customHeight="1" x14ac:dyDescent="0.2">
      <c r="A1109" s="26" t="s">
        <v>4555</v>
      </c>
      <c r="B1109" s="26" t="s">
        <v>4556</v>
      </c>
      <c r="C1109" s="26" t="s">
        <v>136</v>
      </c>
      <c r="D1109" s="26" t="s">
        <v>137</v>
      </c>
      <c r="E1109" s="26" t="s">
        <v>46</v>
      </c>
      <c r="F1109" s="31" t="s">
        <v>25</v>
      </c>
      <c r="G1109" s="32"/>
      <c r="H1109" s="31" t="s">
        <v>4012</v>
      </c>
      <c r="I1109" s="32" t="s">
        <v>47</v>
      </c>
    </row>
    <row r="1110" spans="1:9" ht="16.5" customHeight="1" x14ac:dyDescent="0.2">
      <c r="A1110" s="26" t="s">
        <v>4555</v>
      </c>
      <c r="B1110" s="26" t="s">
        <v>4556</v>
      </c>
      <c r="C1110" s="26" t="s">
        <v>136</v>
      </c>
      <c r="D1110" s="26" t="s">
        <v>137</v>
      </c>
      <c r="E1110" s="26" t="s">
        <v>46</v>
      </c>
      <c r="F1110" s="31" t="s">
        <v>25</v>
      </c>
      <c r="G1110" s="32"/>
      <c r="H1110" s="31" t="s">
        <v>4012</v>
      </c>
      <c r="I1110" s="32" t="s">
        <v>47</v>
      </c>
    </row>
    <row r="1111" spans="1:9" ht="16.5" customHeight="1" x14ac:dyDescent="0.2">
      <c r="A1111" s="26" t="s">
        <v>4555</v>
      </c>
      <c r="B1111" s="26" t="s">
        <v>4556</v>
      </c>
      <c r="C1111" s="26" t="s">
        <v>136</v>
      </c>
      <c r="D1111" s="26" t="s">
        <v>137</v>
      </c>
      <c r="E1111" s="26" t="s">
        <v>46</v>
      </c>
      <c r="F1111" s="31" t="s">
        <v>25</v>
      </c>
      <c r="G1111" s="32"/>
      <c r="H1111" s="31" t="s">
        <v>4012</v>
      </c>
      <c r="I1111" s="32" t="s">
        <v>47</v>
      </c>
    </row>
    <row r="1112" spans="1:9" ht="16.5" customHeight="1" x14ac:dyDescent="0.2">
      <c r="A1112" s="26" t="s">
        <v>4557</v>
      </c>
      <c r="B1112" s="26" t="s">
        <v>4558</v>
      </c>
      <c r="C1112" s="66" t="s">
        <v>136</v>
      </c>
      <c r="D1112" s="27" t="s">
        <v>137</v>
      </c>
      <c r="E1112" s="27" t="s">
        <v>46</v>
      </c>
      <c r="F1112" s="31" t="s">
        <v>11</v>
      </c>
      <c r="G1112" s="27" t="s">
        <v>61</v>
      </c>
      <c r="H1112" s="51"/>
      <c r="I1112" s="32" t="s">
        <v>47</v>
      </c>
    </row>
    <row r="1113" spans="1:9" ht="16.5" customHeight="1" x14ac:dyDescent="0.2">
      <c r="A1113" s="26" t="s">
        <v>4557</v>
      </c>
      <c r="B1113" s="26" t="s">
        <v>4558</v>
      </c>
      <c r="C1113" s="66" t="s">
        <v>136</v>
      </c>
      <c r="D1113" s="27" t="s">
        <v>137</v>
      </c>
      <c r="E1113" s="27" t="s">
        <v>46</v>
      </c>
      <c r="F1113" s="31" t="s">
        <v>11</v>
      </c>
      <c r="G1113" s="27" t="s">
        <v>61</v>
      </c>
      <c r="H1113" s="51"/>
      <c r="I1113" s="32" t="s">
        <v>47</v>
      </c>
    </row>
    <row r="1114" spans="1:9" ht="16.5" customHeight="1" x14ac:dyDescent="0.2">
      <c r="A1114" s="26" t="s">
        <v>4557</v>
      </c>
      <c r="B1114" s="26" t="s">
        <v>4558</v>
      </c>
      <c r="C1114" s="66" t="s">
        <v>136</v>
      </c>
      <c r="D1114" s="27" t="s">
        <v>137</v>
      </c>
      <c r="E1114" s="27" t="s">
        <v>46</v>
      </c>
      <c r="F1114" s="31" t="s">
        <v>11</v>
      </c>
      <c r="G1114" s="27" t="s">
        <v>61</v>
      </c>
      <c r="H1114" s="51"/>
      <c r="I1114" s="32" t="s">
        <v>47</v>
      </c>
    </row>
    <row r="1115" spans="1:9" ht="16.5" customHeight="1" x14ac:dyDescent="0.2">
      <c r="A1115" s="26" t="s">
        <v>4559</v>
      </c>
      <c r="B1115" s="26" t="s">
        <v>4560</v>
      </c>
      <c r="C1115" s="66" t="s">
        <v>136</v>
      </c>
      <c r="D1115" s="27" t="s">
        <v>137</v>
      </c>
      <c r="E1115" s="27" t="s">
        <v>46</v>
      </c>
      <c r="F1115" s="31" t="s">
        <v>18</v>
      </c>
      <c r="G1115" s="27" t="s">
        <v>12</v>
      </c>
      <c r="H1115" s="27" t="s">
        <v>3959</v>
      </c>
      <c r="I1115" s="32" t="s">
        <v>47</v>
      </c>
    </row>
    <row r="1116" spans="1:9" ht="16.5" customHeight="1" x14ac:dyDescent="0.2">
      <c r="A1116" s="26" t="s">
        <v>4561</v>
      </c>
      <c r="B1116" s="4" t="s">
        <v>4562</v>
      </c>
      <c r="C1116" s="66" t="s">
        <v>136</v>
      </c>
      <c r="D1116" s="27" t="s">
        <v>137</v>
      </c>
      <c r="E1116" s="27" t="s">
        <v>46</v>
      </c>
      <c r="F1116" s="31" t="s">
        <v>11</v>
      </c>
      <c r="G1116" s="31" t="s">
        <v>41</v>
      </c>
      <c r="H1116" s="27"/>
      <c r="I1116" s="32" t="s">
        <v>47</v>
      </c>
    </row>
    <row r="1117" spans="1:9" ht="16.5" customHeight="1" x14ac:dyDescent="0.2">
      <c r="A1117" s="26" t="s">
        <v>4561</v>
      </c>
      <c r="B1117" s="4" t="s">
        <v>4562</v>
      </c>
      <c r="C1117" s="66" t="s">
        <v>136</v>
      </c>
      <c r="D1117" s="27" t="s">
        <v>137</v>
      </c>
      <c r="E1117" s="27" t="s">
        <v>46</v>
      </c>
      <c r="F1117" s="31" t="s">
        <v>11</v>
      </c>
      <c r="G1117" s="31" t="s">
        <v>41</v>
      </c>
      <c r="H1117" s="27"/>
      <c r="I1117" s="32" t="s">
        <v>47</v>
      </c>
    </row>
    <row r="1118" spans="1:9" ht="16.5" customHeight="1" x14ac:dyDescent="0.2">
      <c r="A1118" s="26" t="s">
        <v>4563</v>
      </c>
      <c r="B1118" s="26" t="s">
        <v>4564</v>
      </c>
      <c r="C1118" s="66" t="s">
        <v>136</v>
      </c>
      <c r="D1118" s="27" t="s">
        <v>137</v>
      </c>
      <c r="E1118" s="27" t="s">
        <v>46</v>
      </c>
      <c r="F1118" s="31" t="s">
        <v>18</v>
      </c>
      <c r="G1118" s="27" t="s">
        <v>19</v>
      </c>
      <c r="H1118" s="27" t="s">
        <v>3959</v>
      </c>
      <c r="I1118" s="32" t="s">
        <v>47</v>
      </c>
    </row>
    <row r="1119" spans="1:9" ht="16.5" customHeight="1" x14ac:dyDescent="0.2">
      <c r="A1119" s="26" t="s">
        <v>4563</v>
      </c>
      <c r="B1119" s="26" t="s">
        <v>4564</v>
      </c>
      <c r="C1119" s="66" t="s">
        <v>136</v>
      </c>
      <c r="D1119" s="27" t="s">
        <v>137</v>
      </c>
      <c r="E1119" s="27" t="s">
        <v>46</v>
      </c>
      <c r="F1119" s="31" t="s">
        <v>18</v>
      </c>
      <c r="G1119" s="27" t="s">
        <v>19</v>
      </c>
      <c r="H1119" s="27" t="s">
        <v>3959</v>
      </c>
      <c r="I1119" s="32" t="s">
        <v>47</v>
      </c>
    </row>
    <row r="1120" spans="1:9" ht="16.5" customHeight="1" x14ac:dyDescent="0.2">
      <c r="A1120" s="26" t="s">
        <v>4565</v>
      </c>
      <c r="B1120" s="26" t="s">
        <v>4566</v>
      </c>
      <c r="C1120" s="66" t="s">
        <v>136</v>
      </c>
      <c r="D1120" s="27" t="s">
        <v>137</v>
      </c>
      <c r="E1120" s="27" t="s">
        <v>46</v>
      </c>
      <c r="F1120" s="31" t="s">
        <v>18</v>
      </c>
      <c r="G1120" s="27" t="s">
        <v>61</v>
      </c>
      <c r="H1120" s="27" t="s">
        <v>3959</v>
      </c>
      <c r="I1120" s="32" t="s">
        <v>47</v>
      </c>
    </row>
    <row r="1121" spans="1:9" ht="16.5" customHeight="1" x14ac:dyDescent="0.2">
      <c r="A1121" s="26" t="s">
        <v>4565</v>
      </c>
      <c r="B1121" s="26" t="s">
        <v>4566</v>
      </c>
      <c r="C1121" s="66" t="s">
        <v>136</v>
      </c>
      <c r="D1121" s="27" t="s">
        <v>137</v>
      </c>
      <c r="E1121" s="27" t="s">
        <v>46</v>
      </c>
      <c r="F1121" s="31" t="s">
        <v>18</v>
      </c>
      <c r="G1121" s="27" t="s">
        <v>61</v>
      </c>
      <c r="H1121" s="27" t="s">
        <v>3959</v>
      </c>
      <c r="I1121" s="32" t="s">
        <v>47</v>
      </c>
    </row>
    <row r="1122" spans="1:9" ht="16.5" customHeight="1" x14ac:dyDescent="0.2">
      <c r="A1122" s="26" t="s">
        <v>4567</v>
      </c>
      <c r="B1122" s="26" t="s">
        <v>4568</v>
      </c>
      <c r="C1122" s="66" t="s">
        <v>136</v>
      </c>
      <c r="D1122" s="27" t="s">
        <v>137</v>
      </c>
      <c r="E1122" s="27" t="s">
        <v>46</v>
      </c>
      <c r="F1122" s="31" t="s">
        <v>18</v>
      </c>
      <c r="G1122" s="31" t="s">
        <v>41</v>
      </c>
      <c r="H1122" s="27" t="s">
        <v>3959</v>
      </c>
      <c r="I1122" s="32" t="s">
        <v>47</v>
      </c>
    </row>
    <row r="1123" spans="1:9" ht="16.5" customHeight="1" x14ac:dyDescent="0.2">
      <c r="A1123" s="26" t="s">
        <v>4569</v>
      </c>
      <c r="B1123" s="26" t="s">
        <v>4570</v>
      </c>
      <c r="C1123" s="66" t="s">
        <v>136</v>
      </c>
      <c r="D1123" s="27" t="s">
        <v>137</v>
      </c>
      <c r="E1123" s="27" t="s">
        <v>46</v>
      </c>
      <c r="F1123" s="31" t="s">
        <v>18</v>
      </c>
      <c r="G1123" s="27" t="s">
        <v>41</v>
      </c>
      <c r="H1123" s="32"/>
      <c r="I1123" s="32" t="s">
        <v>47</v>
      </c>
    </row>
    <row r="1124" spans="1:9" ht="16.5" customHeight="1" x14ac:dyDescent="0.2">
      <c r="A1124" s="26" t="s">
        <v>4569</v>
      </c>
      <c r="B1124" s="26" t="s">
        <v>4570</v>
      </c>
      <c r="C1124" s="66" t="s">
        <v>136</v>
      </c>
      <c r="D1124" s="27" t="s">
        <v>137</v>
      </c>
      <c r="E1124" s="27" t="s">
        <v>46</v>
      </c>
      <c r="F1124" s="31" t="s">
        <v>18</v>
      </c>
      <c r="G1124" s="27" t="s">
        <v>41</v>
      </c>
      <c r="H1124" s="32"/>
      <c r="I1124" s="32" t="s">
        <v>47</v>
      </c>
    </row>
    <row r="1125" spans="1:9" ht="16.5" customHeight="1" x14ac:dyDescent="0.2">
      <c r="A1125" s="26" t="s">
        <v>4571</v>
      </c>
      <c r="B1125" s="26" t="s">
        <v>4572</v>
      </c>
      <c r="C1125" s="66" t="s">
        <v>136</v>
      </c>
      <c r="D1125" s="27" t="s">
        <v>137</v>
      </c>
      <c r="E1125" s="27" t="s">
        <v>46</v>
      </c>
      <c r="F1125" s="31" t="s">
        <v>18</v>
      </c>
      <c r="G1125" s="31" t="s">
        <v>41</v>
      </c>
      <c r="H1125" s="27" t="s">
        <v>3959</v>
      </c>
      <c r="I1125" s="32" t="s">
        <v>47</v>
      </c>
    </row>
    <row r="1126" spans="1:9" ht="16.5" customHeight="1" x14ac:dyDescent="0.2">
      <c r="A1126" s="26" t="s">
        <v>4571</v>
      </c>
      <c r="B1126" s="26" t="s">
        <v>4572</v>
      </c>
      <c r="C1126" s="66" t="s">
        <v>136</v>
      </c>
      <c r="D1126" s="27" t="s">
        <v>137</v>
      </c>
      <c r="E1126" s="27" t="s">
        <v>46</v>
      </c>
      <c r="F1126" s="31" t="s">
        <v>18</v>
      </c>
      <c r="G1126" s="31" t="s">
        <v>41</v>
      </c>
      <c r="H1126" s="27" t="s">
        <v>3959</v>
      </c>
      <c r="I1126" s="32" t="s">
        <v>47</v>
      </c>
    </row>
    <row r="1127" spans="1:9" ht="16.5" customHeight="1" x14ac:dyDescent="0.2">
      <c r="A1127" s="26" t="s">
        <v>4573</v>
      </c>
      <c r="B1127" s="26" t="s">
        <v>4574</v>
      </c>
      <c r="C1127" s="66" t="s">
        <v>136</v>
      </c>
      <c r="D1127" s="27" t="s">
        <v>137</v>
      </c>
      <c r="E1127" s="27" t="s">
        <v>46</v>
      </c>
      <c r="F1127" s="31" t="s">
        <v>18</v>
      </c>
      <c r="G1127" s="27" t="s">
        <v>61</v>
      </c>
      <c r="H1127" s="27" t="s">
        <v>3959</v>
      </c>
      <c r="I1127" s="32" t="s">
        <v>47</v>
      </c>
    </row>
    <row r="1128" spans="1:9" ht="16.5" customHeight="1" x14ac:dyDescent="0.2">
      <c r="A1128" s="26" t="s">
        <v>4573</v>
      </c>
      <c r="B1128" s="26" t="s">
        <v>4574</v>
      </c>
      <c r="C1128" s="66" t="s">
        <v>136</v>
      </c>
      <c r="D1128" s="27" t="s">
        <v>137</v>
      </c>
      <c r="E1128" s="27" t="s">
        <v>46</v>
      </c>
      <c r="F1128" s="31" t="s">
        <v>18</v>
      </c>
      <c r="G1128" s="27" t="s">
        <v>61</v>
      </c>
      <c r="H1128" s="27" t="s">
        <v>3959</v>
      </c>
      <c r="I1128" s="32" t="s">
        <v>47</v>
      </c>
    </row>
    <row r="1129" spans="1:9" ht="16.5" customHeight="1" x14ac:dyDescent="0.2">
      <c r="A1129" s="26" t="s">
        <v>4575</v>
      </c>
      <c r="B1129" s="26" t="s">
        <v>4576</v>
      </c>
      <c r="C1129" s="66" t="s">
        <v>136</v>
      </c>
      <c r="D1129" s="27" t="s">
        <v>137</v>
      </c>
      <c r="E1129" s="27" t="s">
        <v>46</v>
      </c>
      <c r="F1129" s="31" t="s">
        <v>18</v>
      </c>
      <c r="G1129" s="31" t="s">
        <v>41</v>
      </c>
      <c r="H1129" s="27" t="s">
        <v>3959</v>
      </c>
      <c r="I1129" s="32" t="s">
        <v>47</v>
      </c>
    </row>
    <row r="1130" spans="1:9" ht="16.5" customHeight="1" x14ac:dyDescent="0.2">
      <c r="A1130" s="26" t="s">
        <v>4575</v>
      </c>
      <c r="B1130" s="26" t="s">
        <v>4576</v>
      </c>
      <c r="C1130" s="66" t="s">
        <v>136</v>
      </c>
      <c r="D1130" s="27" t="s">
        <v>137</v>
      </c>
      <c r="E1130" s="27" t="s">
        <v>46</v>
      </c>
      <c r="F1130" s="31" t="s">
        <v>18</v>
      </c>
      <c r="G1130" s="31" t="s">
        <v>41</v>
      </c>
      <c r="H1130" s="27" t="s">
        <v>3959</v>
      </c>
      <c r="I1130" s="32" t="s">
        <v>47</v>
      </c>
    </row>
    <row r="1131" spans="1:9" ht="16.5" customHeight="1" x14ac:dyDescent="0.2">
      <c r="A1131" s="26" t="s">
        <v>4577</v>
      </c>
      <c r="B1131" s="4" t="s">
        <v>4578</v>
      </c>
      <c r="C1131" s="66" t="s">
        <v>136</v>
      </c>
      <c r="D1131" s="27" t="s">
        <v>137</v>
      </c>
      <c r="E1131" s="27" t="s">
        <v>46</v>
      </c>
      <c r="F1131" s="31" t="s">
        <v>18</v>
      </c>
      <c r="G1131" s="31" t="s">
        <v>41</v>
      </c>
      <c r="H1131" s="27"/>
      <c r="I1131" s="32" t="s">
        <v>47</v>
      </c>
    </row>
    <row r="1132" spans="1:9" ht="16.5" customHeight="1" x14ac:dyDescent="0.2">
      <c r="A1132" s="26" t="s">
        <v>4579</v>
      </c>
      <c r="B1132" s="26" t="s">
        <v>4580</v>
      </c>
      <c r="C1132" s="66" t="s">
        <v>136</v>
      </c>
      <c r="D1132" s="27" t="s">
        <v>137</v>
      </c>
      <c r="E1132" s="27" t="s">
        <v>46</v>
      </c>
      <c r="F1132" s="31" t="s">
        <v>18</v>
      </c>
      <c r="G1132" s="31" t="s">
        <v>41</v>
      </c>
      <c r="H1132" s="27" t="s">
        <v>3959</v>
      </c>
      <c r="I1132" s="32" t="s">
        <v>47</v>
      </c>
    </row>
    <row r="1133" spans="1:9" ht="16.5" customHeight="1" x14ac:dyDescent="0.2">
      <c r="A1133" s="26" t="s">
        <v>4581</v>
      </c>
      <c r="B1133" s="26" t="s">
        <v>4582</v>
      </c>
      <c r="C1133" s="66" t="s">
        <v>136</v>
      </c>
      <c r="D1133" s="27" t="s">
        <v>137</v>
      </c>
      <c r="E1133" s="27" t="s">
        <v>46</v>
      </c>
      <c r="F1133" s="31" t="s">
        <v>18</v>
      </c>
      <c r="G1133" s="31" t="s">
        <v>41</v>
      </c>
      <c r="H1133" s="27" t="s">
        <v>3959</v>
      </c>
      <c r="I1133" s="32" t="s">
        <v>47</v>
      </c>
    </row>
    <row r="1134" spans="1:9" ht="16.5" customHeight="1" x14ac:dyDescent="0.2">
      <c r="A1134" s="26" t="s">
        <v>4583</v>
      </c>
      <c r="B1134" s="26" t="s">
        <v>4584</v>
      </c>
      <c r="C1134" s="66" t="s">
        <v>136</v>
      </c>
      <c r="D1134" s="27" t="s">
        <v>137</v>
      </c>
      <c r="E1134" s="27" t="s">
        <v>46</v>
      </c>
      <c r="F1134" s="31" t="s">
        <v>18</v>
      </c>
      <c r="G1134" s="31" t="s">
        <v>41</v>
      </c>
      <c r="H1134" s="27" t="s">
        <v>3959</v>
      </c>
      <c r="I1134" s="32" t="s">
        <v>47</v>
      </c>
    </row>
    <row r="1135" spans="1:9" ht="16.5" customHeight="1" x14ac:dyDescent="0.2">
      <c r="A1135" s="26" t="s">
        <v>4583</v>
      </c>
      <c r="B1135" s="26" t="s">
        <v>4584</v>
      </c>
      <c r="C1135" s="66" t="s">
        <v>136</v>
      </c>
      <c r="D1135" s="27" t="s">
        <v>137</v>
      </c>
      <c r="E1135" s="27" t="s">
        <v>46</v>
      </c>
      <c r="F1135" s="31" t="s">
        <v>18</v>
      </c>
      <c r="G1135" s="31" t="s">
        <v>41</v>
      </c>
      <c r="H1135" s="27" t="s">
        <v>3959</v>
      </c>
      <c r="I1135" s="32" t="s">
        <v>47</v>
      </c>
    </row>
    <row r="1136" spans="1:9" ht="16.5" customHeight="1" x14ac:dyDescent="0.2">
      <c r="A1136" s="26" t="s">
        <v>4585</v>
      </c>
      <c r="B1136" s="26" t="s">
        <v>4586</v>
      </c>
      <c r="C1136" s="26" t="s">
        <v>136</v>
      </c>
      <c r="D1136" s="26" t="s">
        <v>137</v>
      </c>
      <c r="E1136" s="26" t="s">
        <v>135</v>
      </c>
      <c r="F1136" s="31" t="s">
        <v>25</v>
      </c>
      <c r="G1136" s="31" t="s">
        <v>41</v>
      </c>
      <c r="H1136" s="32"/>
      <c r="I1136" s="32" t="s">
        <v>10</v>
      </c>
    </row>
    <row r="1137" spans="1:9" ht="16.5" customHeight="1" x14ac:dyDescent="0.2">
      <c r="A1137" s="54" t="s">
        <v>4587</v>
      </c>
      <c r="B1137" s="35" t="s">
        <v>4588</v>
      </c>
      <c r="C1137" s="35" t="s">
        <v>64</v>
      </c>
      <c r="D1137" s="35" t="s">
        <v>82</v>
      </c>
      <c r="E1137" s="35" t="s">
        <v>39</v>
      </c>
      <c r="F1137" s="52" t="s">
        <v>11</v>
      </c>
      <c r="G1137" s="31" t="s">
        <v>26</v>
      </c>
      <c r="H1137" s="32"/>
      <c r="I1137" s="32" t="s">
        <v>40</v>
      </c>
    </row>
    <row r="1138" spans="1:9" ht="16.5" customHeight="1" x14ac:dyDescent="0.2">
      <c r="A1138" s="54" t="s">
        <v>4587</v>
      </c>
      <c r="B1138" s="35" t="s">
        <v>4588</v>
      </c>
      <c r="C1138" s="35" t="s">
        <v>64</v>
      </c>
      <c r="D1138" s="35" t="s">
        <v>82</v>
      </c>
      <c r="E1138" s="35" t="s">
        <v>39</v>
      </c>
      <c r="F1138" s="52" t="s">
        <v>11</v>
      </c>
      <c r="G1138" s="31" t="s">
        <v>26</v>
      </c>
      <c r="H1138" s="32"/>
      <c r="I1138" s="32" t="s">
        <v>40</v>
      </c>
    </row>
    <row r="1139" spans="1:9" ht="16.5" customHeight="1" x14ac:dyDescent="0.2">
      <c r="A1139" s="54" t="s">
        <v>4587</v>
      </c>
      <c r="B1139" s="35" t="s">
        <v>4588</v>
      </c>
      <c r="C1139" s="35" t="s">
        <v>64</v>
      </c>
      <c r="D1139" s="35" t="s">
        <v>82</v>
      </c>
      <c r="E1139" s="35" t="s">
        <v>39</v>
      </c>
      <c r="F1139" s="52" t="s">
        <v>11</v>
      </c>
      <c r="G1139" s="31" t="s">
        <v>26</v>
      </c>
      <c r="H1139" s="32"/>
      <c r="I1139" s="32" t="s">
        <v>40</v>
      </c>
    </row>
    <row r="1140" spans="1:9" ht="16.5" customHeight="1" x14ac:dyDescent="0.2">
      <c r="A1140" s="54" t="s">
        <v>4587</v>
      </c>
      <c r="B1140" s="35" t="s">
        <v>4588</v>
      </c>
      <c r="C1140" s="35" t="s">
        <v>64</v>
      </c>
      <c r="D1140" s="35" t="s">
        <v>82</v>
      </c>
      <c r="E1140" s="35" t="s">
        <v>39</v>
      </c>
      <c r="F1140" s="52" t="s">
        <v>11</v>
      </c>
      <c r="G1140" s="31" t="s">
        <v>26</v>
      </c>
      <c r="H1140" s="32"/>
      <c r="I1140" s="32" t="s">
        <v>40</v>
      </c>
    </row>
    <row r="1141" spans="1:9" ht="16.5" customHeight="1" x14ac:dyDescent="0.2">
      <c r="A1141" s="54" t="s">
        <v>4587</v>
      </c>
      <c r="B1141" s="35" t="s">
        <v>4588</v>
      </c>
      <c r="C1141" s="35" t="s">
        <v>64</v>
      </c>
      <c r="D1141" s="35" t="s">
        <v>82</v>
      </c>
      <c r="E1141" s="35" t="s">
        <v>39</v>
      </c>
      <c r="F1141" s="52" t="s">
        <v>18</v>
      </c>
      <c r="G1141" s="31" t="s">
        <v>26</v>
      </c>
      <c r="H1141" s="32"/>
      <c r="I1141" s="32" t="s">
        <v>40</v>
      </c>
    </row>
    <row r="1142" spans="1:9" ht="16.5" customHeight="1" x14ac:dyDescent="0.2">
      <c r="A1142" s="54" t="s">
        <v>4589</v>
      </c>
      <c r="B1142" s="35" t="s">
        <v>4590</v>
      </c>
      <c r="C1142" s="35" t="s">
        <v>64</v>
      </c>
      <c r="D1142" s="35" t="s">
        <v>95</v>
      </c>
      <c r="E1142" s="54" t="s">
        <v>126</v>
      </c>
      <c r="F1142" s="31" t="s">
        <v>18</v>
      </c>
      <c r="G1142" s="31" t="s">
        <v>41</v>
      </c>
      <c r="H1142" s="32"/>
      <c r="I1142" s="32" t="s">
        <v>10</v>
      </c>
    </row>
    <row r="1143" spans="1:9" ht="16.5" customHeight="1" x14ac:dyDescent="0.2">
      <c r="A1143" s="35" t="s">
        <v>4591</v>
      </c>
      <c r="B1143" s="85" t="s">
        <v>5349</v>
      </c>
      <c r="C1143" s="66" t="s">
        <v>37</v>
      </c>
      <c r="D1143" s="66" t="s">
        <v>52</v>
      </c>
      <c r="E1143" s="26" t="s">
        <v>53</v>
      </c>
      <c r="F1143" s="31" t="s">
        <v>32</v>
      </c>
      <c r="G1143" s="66" t="s">
        <v>41</v>
      </c>
      <c r="H1143" s="32"/>
      <c r="I1143" s="32" t="s">
        <v>47</v>
      </c>
    </row>
    <row r="1144" spans="1:9" ht="16.5" customHeight="1" x14ac:dyDescent="0.25">
      <c r="A1144" s="76" t="s">
        <v>4593</v>
      </c>
      <c r="B1144" s="76" t="s">
        <v>5442</v>
      </c>
      <c r="C1144" s="66" t="s">
        <v>37</v>
      </c>
      <c r="D1144" s="35" t="s">
        <v>52</v>
      </c>
      <c r="E1144" s="76" t="s">
        <v>53</v>
      </c>
      <c r="F1144" s="76" t="s">
        <v>11</v>
      </c>
      <c r="G1144" s="95"/>
      <c r="H1144" s="95" t="s">
        <v>40</v>
      </c>
      <c r="I1144" s="32" t="s">
        <v>47</v>
      </c>
    </row>
    <row r="1145" spans="1:9" ht="16.5" customHeight="1" x14ac:dyDescent="0.25">
      <c r="A1145" s="76" t="s">
        <v>4593</v>
      </c>
      <c r="B1145" s="76" t="s">
        <v>5442</v>
      </c>
      <c r="C1145" s="66" t="s">
        <v>37</v>
      </c>
      <c r="D1145" s="35" t="s">
        <v>52</v>
      </c>
      <c r="E1145" s="76" t="s">
        <v>53</v>
      </c>
      <c r="F1145" s="76" t="s">
        <v>11</v>
      </c>
      <c r="G1145" s="95"/>
      <c r="H1145" s="95" t="s">
        <v>40</v>
      </c>
      <c r="I1145" s="32" t="s">
        <v>47</v>
      </c>
    </row>
    <row r="1146" spans="1:9" ht="16.5" customHeight="1" x14ac:dyDescent="0.2">
      <c r="A1146" s="26" t="s">
        <v>4595</v>
      </c>
      <c r="B1146" s="26" t="s">
        <v>4596</v>
      </c>
      <c r="C1146" s="26" t="s">
        <v>7</v>
      </c>
      <c r="D1146" s="26" t="s">
        <v>16</v>
      </c>
      <c r="E1146" s="26" t="s">
        <v>39</v>
      </c>
      <c r="F1146" s="31" t="s">
        <v>18</v>
      </c>
      <c r="G1146" s="31" t="s">
        <v>61</v>
      </c>
      <c r="H1146" s="32"/>
      <c r="I1146" s="32" t="s">
        <v>40</v>
      </c>
    </row>
    <row r="1147" spans="1:9" ht="16.5" customHeight="1" x14ac:dyDescent="0.2">
      <c r="A1147" s="26" t="s">
        <v>4595</v>
      </c>
      <c r="B1147" s="26" t="s">
        <v>4596</v>
      </c>
      <c r="C1147" s="26" t="s">
        <v>7</v>
      </c>
      <c r="D1147" s="26" t="s">
        <v>16</v>
      </c>
      <c r="E1147" s="26" t="s">
        <v>39</v>
      </c>
      <c r="F1147" s="31" t="s">
        <v>18</v>
      </c>
      <c r="G1147" s="31" t="s">
        <v>61</v>
      </c>
      <c r="H1147" s="32"/>
      <c r="I1147" s="32" t="s">
        <v>40</v>
      </c>
    </row>
    <row r="1148" spans="1:9" ht="16.5" customHeight="1" x14ac:dyDescent="0.2">
      <c r="A1148" s="26" t="s">
        <v>4597</v>
      </c>
      <c r="B1148" s="26" t="s">
        <v>4598</v>
      </c>
      <c r="C1148" s="26" t="s">
        <v>115</v>
      </c>
      <c r="D1148" s="26" t="s">
        <v>122</v>
      </c>
      <c r="E1148" s="26" t="s">
        <v>39</v>
      </c>
      <c r="F1148" s="31" t="s">
        <v>18</v>
      </c>
      <c r="G1148" s="31" t="s">
        <v>61</v>
      </c>
      <c r="H1148" s="32"/>
      <c r="I1148" s="32" t="s">
        <v>40</v>
      </c>
    </row>
    <row r="1149" spans="1:9" ht="16.5" customHeight="1" x14ac:dyDescent="0.2">
      <c r="A1149" s="26" t="s">
        <v>4597</v>
      </c>
      <c r="B1149" s="26" t="s">
        <v>4598</v>
      </c>
      <c r="C1149" s="26" t="s">
        <v>115</v>
      </c>
      <c r="D1149" s="26" t="s">
        <v>122</v>
      </c>
      <c r="E1149" s="26" t="s">
        <v>39</v>
      </c>
      <c r="F1149" s="31" t="s">
        <v>18</v>
      </c>
      <c r="G1149" s="31" t="s">
        <v>61</v>
      </c>
      <c r="H1149" s="32"/>
      <c r="I1149" s="32" t="s">
        <v>40</v>
      </c>
    </row>
    <row r="1150" spans="1:9" ht="16.5" customHeight="1" x14ac:dyDescent="0.2">
      <c r="A1150" s="26" t="s">
        <v>4597</v>
      </c>
      <c r="B1150" s="26" t="s">
        <v>4598</v>
      </c>
      <c r="C1150" s="26" t="s">
        <v>115</v>
      </c>
      <c r="D1150" s="26" t="s">
        <v>122</v>
      </c>
      <c r="E1150" s="26" t="s">
        <v>39</v>
      </c>
      <c r="F1150" s="31" t="s">
        <v>18</v>
      </c>
      <c r="G1150" s="31" t="s">
        <v>61</v>
      </c>
      <c r="H1150" s="32"/>
      <c r="I1150" s="32" t="s">
        <v>40</v>
      </c>
    </row>
    <row r="1151" spans="1:9" ht="16.5" customHeight="1" x14ac:dyDescent="0.2">
      <c r="A1151" s="26" t="s">
        <v>4597</v>
      </c>
      <c r="B1151" s="26" t="s">
        <v>4598</v>
      </c>
      <c r="C1151" s="26" t="s">
        <v>115</v>
      </c>
      <c r="D1151" s="26" t="s">
        <v>122</v>
      </c>
      <c r="E1151" s="26" t="s">
        <v>39</v>
      </c>
      <c r="F1151" s="31" t="s">
        <v>18</v>
      </c>
      <c r="G1151" s="31" t="s">
        <v>61</v>
      </c>
      <c r="H1151" s="32"/>
      <c r="I1151" s="32" t="s">
        <v>40</v>
      </c>
    </row>
    <row r="1152" spans="1:9" ht="16.5" customHeight="1" x14ac:dyDescent="0.2">
      <c r="A1152" s="35" t="s">
        <v>4599</v>
      </c>
      <c r="B1152" s="35" t="s">
        <v>4600</v>
      </c>
      <c r="C1152" s="35" t="s">
        <v>115</v>
      </c>
      <c r="D1152" s="35" t="s">
        <v>116</v>
      </c>
      <c r="E1152" s="35" t="s">
        <v>39</v>
      </c>
      <c r="F1152" s="52" t="s">
        <v>18</v>
      </c>
      <c r="G1152" s="52" t="s">
        <v>61</v>
      </c>
      <c r="I1152" s="32" t="s">
        <v>40</v>
      </c>
    </row>
    <row r="1153" spans="1:9" ht="16.5" customHeight="1" x14ac:dyDescent="0.2">
      <c r="A1153" s="35" t="s">
        <v>4599</v>
      </c>
      <c r="B1153" s="35" t="s">
        <v>4600</v>
      </c>
      <c r="C1153" s="35" t="s">
        <v>115</v>
      </c>
      <c r="D1153" s="35" t="s">
        <v>116</v>
      </c>
      <c r="E1153" s="35" t="s">
        <v>39</v>
      </c>
      <c r="F1153" s="52" t="s">
        <v>18</v>
      </c>
      <c r="G1153" s="52" t="s">
        <v>61</v>
      </c>
      <c r="I1153" s="32" t="s">
        <v>40</v>
      </c>
    </row>
    <row r="1154" spans="1:9" ht="16.5" customHeight="1" x14ac:dyDescent="0.2">
      <c r="A1154" s="26" t="s">
        <v>4601</v>
      </c>
      <c r="B1154" s="26" t="s">
        <v>4602</v>
      </c>
      <c r="C1154" s="26" t="s">
        <v>37</v>
      </c>
      <c r="D1154" s="26" t="s">
        <v>45</v>
      </c>
      <c r="E1154" s="26" t="s">
        <v>39</v>
      </c>
      <c r="F1154" s="31" t="s">
        <v>18</v>
      </c>
      <c r="G1154" s="31" t="s">
        <v>72</v>
      </c>
      <c r="H1154" s="43" t="s">
        <v>3375</v>
      </c>
      <c r="I1154" s="32" t="s">
        <v>40</v>
      </c>
    </row>
    <row r="1155" spans="1:9" ht="16.5" customHeight="1" x14ac:dyDescent="0.2">
      <c r="A1155" s="35" t="s">
        <v>4603</v>
      </c>
      <c r="B1155" s="35" t="s">
        <v>4604</v>
      </c>
      <c r="C1155" s="26" t="s">
        <v>98</v>
      </c>
      <c r="D1155" s="26" t="s">
        <v>113</v>
      </c>
      <c r="E1155" s="26" t="s">
        <v>39</v>
      </c>
      <c r="F1155" s="31" t="s">
        <v>18</v>
      </c>
      <c r="G1155" s="31" t="s">
        <v>19</v>
      </c>
      <c r="H1155" s="32"/>
      <c r="I1155" s="32" t="s">
        <v>40</v>
      </c>
    </row>
    <row r="1156" spans="1:9" ht="16.5" customHeight="1" x14ac:dyDescent="0.2">
      <c r="A1156" s="26" t="s">
        <v>4605</v>
      </c>
      <c r="B1156" s="26" t="s">
        <v>4606</v>
      </c>
      <c r="C1156" s="26" t="s">
        <v>98</v>
      </c>
      <c r="D1156" s="26" t="s">
        <v>99</v>
      </c>
      <c r="E1156" s="26" t="s">
        <v>39</v>
      </c>
      <c r="F1156" s="47" t="s">
        <v>18</v>
      </c>
      <c r="G1156" s="47" t="s">
        <v>61</v>
      </c>
      <c r="H1156" s="32"/>
      <c r="I1156" s="32" t="s">
        <v>40</v>
      </c>
    </row>
    <row r="1157" spans="1:9" ht="16.5" customHeight="1" x14ac:dyDescent="0.2">
      <c r="A1157" s="27" t="s">
        <v>4607</v>
      </c>
      <c r="B1157" s="27" t="s">
        <v>4608</v>
      </c>
      <c r="C1157" s="27" t="s">
        <v>7</v>
      </c>
      <c r="D1157" s="27" t="s">
        <v>8</v>
      </c>
      <c r="E1157" s="27" t="s">
        <v>39</v>
      </c>
      <c r="F1157" s="47" t="s">
        <v>18</v>
      </c>
      <c r="G1157" s="44" t="s">
        <v>41</v>
      </c>
      <c r="H1157" s="32"/>
      <c r="I1157" s="32" t="s">
        <v>40</v>
      </c>
    </row>
    <row r="1158" spans="1:9" ht="16.5" customHeight="1" x14ac:dyDescent="0.25">
      <c r="A1158" s="76" t="s">
        <v>4609</v>
      </c>
      <c r="B1158" s="76" t="s">
        <v>5445</v>
      </c>
      <c r="C1158" s="66" t="s">
        <v>37</v>
      </c>
      <c r="D1158" s="35" t="s">
        <v>52</v>
      </c>
      <c r="E1158" s="76" t="s">
        <v>53</v>
      </c>
      <c r="F1158" s="76" t="s">
        <v>11</v>
      </c>
      <c r="G1158" s="95"/>
      <c r="H1158" s="95" t="s">
        <v>40</v>
      </c>
      <c r="I1158" s="32" t="s">
        <v>47</v>
      </c>
    </row>
    <row r="1159" spans="1:9" ht="16.5" customHeight="1" x14ac:dyDescent="0.25">
      <c r="A1159" s="76" t="s">
        <v>4609</v>
      </c>
      <c r="B1159" s="76" t="s">
        <v>5445</v>
      </c>
      <c r="C1159" s="66" t="s">
        <v>37</v>
      </c>
      <c r="D1159" s="35" t="s">
        <v>52</v>
      </c>
      <c r="E1159" s="76" t="s">
        <v>53</v>
      </c>
      <c r="F1159" s="76" t="s">
        <v>11</v>
      </c>
      <c r="G1159" s="95"/>
      <c r="H1159" s="95" t="s">
        <v>40</v>
      </c>
      <c r="I1159" s="32" t="s">
        <v>47</v>
      </c>
    </row>
    <row r="1160" spans="1:9" ht="16.5" customHeight="1" x14ac:dyDescent="0.25">
      <c r="A1160" s="123" t="s">
        <v>4609</v>
      </c>
      <c r="B1160" s="76" t="s">
        <v>5445</v>
      </c>
      <c r="C1160" s="66" t="s">
        <v>37</v>
      </c>
      <c r="D1160" s="35" t="s">
        <v>52</v>
      </c>
      <c r="E1160" s="76" t="s">
        <v>53</v>
      </c>
      <c r="F1160" s="76" t="s">
        <v>11</v>
      </c>
      <c r="G1160" s="95"/>
      <c r="H1160" s="95" t="s">
        <v>40</v>
      </c>
      <c r="I1160" s="32" t="s">
        <v>47</v>
      </c>
    </row>
    <row r="1161" spans="1:9" ht="16.5" customHeight="1" x14ac:dyDescent="0.2">
      <c r="A1161" s="26" t="s">
        <v>4611</v>
      </c>
      <c r="B1161" s="26" t="s">
        <v>4612</v>
      </c>
      <c r="C1161" s="26" t="s">
        <v>115</v>
      </c>
      <c r="D1161" s="27" t="s">
        <v>116</v>
      </c>
      <c r="E1161" s="27" t="s">
        <v>39</v>
      </c>
      <c r="F1161" s="31" t="s">
        <v>18</v>
      </c>
      <c r="G1161" s="31" t="s">
        <v>61</v>
      </c>
      <c r="H1161" s="31"/>
      <c r="I1161" s="32" t="s">
        <v>40</v>
      </c>
    </row>
    <row r="1162" spans="1:9" ht="16.5" customHeight="1" x14ac:dyDescent="0.2">
      <c r="A1162" s="26" t="s">
        <v>4613</v>
      </c>
      <c r="B1162" s="26" t="s">
        <v>4614</v>
      </c>
      <c r="C1162" s="26" t="s">
        <v>98</v>
      </c>
      <c r="D1162" s="26" t="s">
        <v>105</v>
      </c>
      <c r="E1162" s="26" t="s">
        <v>39</v>
      </c>
      <c r="F1162" s="31" t="s">
        <v>11</v>
      </c>
      <c r="G1162" s="31" t="s">
        <v>41</v>
      </c>
      <c r="H1162" s="32"/>
      <c r="I1162" s="32" t="s">
        <v>40</v>
      </c>
    </row>
    <row r="1163" spans="1:9" ht="16.5" customHeight="1" x14ac:dyDescent="0.2">
      <c r="A1163" s="26" t="s">
        <v>4615</v>
      </c>
      <c r="B1163" s="26" t="s">
        <v>4616</v>
      </c>
      <c r="C1163" s="26" t="s">
        <v>115</v>
      </c>
      <c r="D1163" s="26" t="s">
        <v>122</v>
      </c>
      <c r="E1163" s="26" t="s">
        <v>39</v>
      </c>
      <c r="F1163" s="31" t="s">
        <v>18</v>
      </c>
      <c r="G1163" s="31" t="s">
        <v>61</v>
      </c>
      <c r="H1163" s="32"/>
      <c r="I1163" s="32" t="s">
        <v>40</v>
      </c>
    </row>
    <row r="1164" spans="1:9" ht="16.5" customHeight="1" x14ac:dyDescent="0.2">
      <c r="A1164" s="26" t="s">
        <v>4615</v>
      </c>
      <c r="B1164" s="26" t="s">
        <v>4616</v>
      </c>
      <c r="C1164" s="26" t="s">
        <v>115</v>
      </c>
      <c r="D1164" s="26" t="s">
        <v>122</v>
      </c>
      <c r="E1164" s="26" t="s">
        <v>39</v>
      </c>
      <c r="F1164" s="31" t="s">
        <v>18</v>
      </c>
      <c r="G1164" s="31" t="s">
        <v>61</v>
      </c>
      <c r="H1164" s="31"/>
      <c r="I1164" s="32" t="s">
        <v>40</v>
      </c>
    </row>
    <row r="1165" spans="1:9" ht="16.5" customHeight="1" x14ac:dyDescent="0.2">
      <c r="A1165" s="54" t="s">
        <v>4617</v>
      </c>
      <c r="B1165" s="35" t="s">
        <v>4618</v>
      </c>
      <c r="C1165" s="35" t="s">
        <v>64</v>
      </c>
      <c r="D1165" s="35" t="s">
        <v>95</v>
      </c>
      <c r="E1165" s="54" t="s">
        <v>39</v>
      </c>
      <c r="F1165" s="31" t="s">
        <v>18</v>
      </c>
      <c r="G1165" s="31" t="s">
        <v>61</v>
      </c>
      <c r="H1165" s="32"/>
      <c r="I1165" s="32" t="s">
        <v>40</v>
      </c>
    </row>
    <row r="1166" spans="1:9" ht="16.5" customHeight="1" x14ac:dyDescent="0.2">
      <c r="A1166" s="26" t="s">
        <v>4619</v>
      </c>
      <c r="B1166" s="26" t="s">
        <v>4620</v>
      </c>
      <c r="C1166" s="26" t="s">
        <v>115</v>
      </c>
      <c r="D1166" s="27" t="s">
        <v>116</v>
      </c>
      <c r="E1166" s="27" t="s">
        <v>39</v>
      </c>
      <c r="F1166" s="31" t="s">
        <v>11</v>
      </c>
      <c r="G1166" s="31" t="s">
        <v>72</v>
      </c>
      <c r="H1166" s="31"/>
      <c r="I1166" s="32" t="s">
        <v>40</v>
      </c>
    </row>
    <row r="1167" spans="1:9" ht="16.5" customHeight="1" x14ac:dyDescent="0.2">
      <c r="A1167" s="26" t="s">
        <v>4619</v>
      </c>
      <c r="B1167" s="26" t="s">
        <v>4620</v>
      </c>
      <c r="C1167" s="26" t="s">
        <v>115</v>
      </c>
      <c r="D1167" s="27" t="s">
        <v>116</v>
      </c>
      <c r="E1167" s="27" t="s">
        <v>39</v>
      </c>
      <c r="F1167" s="31" t="s">
        <v>11</v>
      </c>
      <c r="G1167" s="31" t="s">
        <v>72</v>
      </c>
      <c r="H1167" s="31"/>
      <c r="I1167" s="32" t="s">
        <v>40</v>
      </c>
    </row>
    <row r="1168" spans="1:9" ht="16.5" customHeight="1" x14ac:dyDescent="0.2">
      <c r="A1168" s="26" t="s">
        <v>4619</v>
      </c>
      <c r="B1168" s="26" t="s">
        <v>4620</v>
      </c>
      <c r="C1168" s="26" t="s">
        <v>115</v>
      </c>
      <c r="D1168" s="27" t="s">
        <v>116</v>
      </c>
      <c r="E1168" s="27" t="s">
        <v>39</v>
      </c>
      <c r="F1168" s="31" t="s">
        <v>11</v>
      </c>
      <c r="G1168" s="31" t="s">
        <v>72</v>
      </c>
      <c r="H1168" s="31"/>
      <c r="I1168" s="32" t="s">
        <v>40</v>
      </c>
    </row>
    <row r="1169" spans="1:9" ht="16.5" customHeight="1" x14ac:dyDescent="0.2">
      <c r="A1169" s="26" t="s">
        <v>4619</v>
      </c>
      <c r="B1169" s="26" t="s">
        <v>4620</v>
      </c>
      <c r="C1169" s="26" t="s">
        <v>115</v>
      </c>
      <c r="D1169" s="27" t="s">
        <v>116</v>
      </c>
      <c r="E1169" s="27" t="s">
        <v>39</v>
      </c>
      <c r="F1169" s="31" t="s">
        <v>11</v>
      </c>
      <c r="G1169" s="31" t="s">
        <v>72</v>
      </c>
      <c r="H1169" s="31"/>
      <c r="I1169" s="32" t="s">
        <v>40</v>
      </c>
    </row>
    <row r="1170" spans="1:9" ht="16.5" customHeight="1" x14ac:dyDescent="0.2">
      <c r="A1170" s="26" t="s">
        <v>4619</v>
      </c>
      <c r="B1170" s="26" t="s">
        <v>4620</v>
      </c>
      <c r="C1170" s="26" t="s">
        <v>115</v>
      </c>
      <c r="D1170" s="27" t="s">
        <v>116</v>
      </c>
      <c r="E1170" s="27" t="s">
        <v>39</v>
      </c>
      <c r="F1170" s="31" t="s">
        <v>11</v>
      </c>
      <c r="G1170" s="31" t="s">
        <v>72</v>
      </c>
      <c r="H1170" s="31"/>
      <c r="I1170" s="32" t="s">
        <v>40</v>
      </c>
    </row>
    <row r="1171" spans="1:9" ht="16.5" customHeight="1" x14ac:dyDescent="0.2">
      <c r="A1171" s="26" t="s">
        <v>4619</v>
      </c>
      <c r="B1171" s="26" t="s">
        <v>4620</v>
      </c>
      <c r="C1171" s="26" t="s">
        <v>115</v>
      </c>
      <c r="D1171" s="27" t="s">
        <v>116</v>
      </c>
      <c r="E1171" s="27" t="s">
        <v>39</v>
      </c>
      <c r="F1171" s="31" t="s">
        <v>11</v>
      </c>
      <c r="G1171" s="31" t="s">
        <v>72</v>
      </c>
      <c r="H1171" s="31"/>
      <c r="I1171" s="32" t="s">
        <v>40</v>
      </c>
    </row>
    <row r="1172" spans="1:9" ht="16.5" customHeight="1" x14ac:dyDescent="0.2">
      <c r="A1172" s="26" t="s">
        <v>4619</v>
      </c>
      <c r="B1172" s="26" t="s">
        <v>4620</v>
      </c>
      <c r="C1172" s="26" t="s">
        <v>115</v>
      </c>
      <c r="D1172" s="27" t="s">
        <v>116</v>
      </c>
      <c r="E1172" s="27" t="s">
        <v>39</v>
      </c>
      <c r="F1172" s="31" t="s">
        <v>11</v>
      </c>
      <c r="G1172" s="31" t="s">
        <v>72</v>
      </c>
      <c r="H1172" s="31"/>
      <c r="I1172" s="32" t="s">
        <v>40</v>
      </c>
    </row>
    <row r="1173" spans="1:9" ht="16.5" customHeight="1" x14ac:dyDescent="0.2">
      <c r="A1173" s="26" t="s">
        <v>4621</v>
      </c>
      <c r="B1173" s="26" t="s">
        <v>4622</v>
      </c>
      <c r="C1173" s="26" t="s">
        <v>98</v>
      </c>
      <c r="D1173" s="26" t="s">
        <v>99</v>
      </c>
      <c r="E1173" s="26" t="s">
        <v>39</v>
      </c>
      <c r="F1173" s="47" t="s">
        <v>18</v>
      </c>
      <c r="G1173" s="47" t="s">
        <v>19</v>
      </c>
      <c r="H1173" s="51"/>
      <c r="I1173" s="32" t="s">
        <v>40</v>
      </c>
    </row>
    <row r="1174" spans="1:9" ht="16.5" customHeight="1" x14ac:dyDescent="0.2">
      <c r="A1174" s="35" t="s">
        <v>4623</v>
      </c>
      <c r="B1174" s="35" t="s">
        <v>4624</v>
      </c>
      <c r="C1174" s="35" t="s">
        <v>115</v>
      </c>
      <c r="D1174" s="35" t="s">
        <v>134</v>
      </c>
      <c r="E1174" s="35" t="s">
        <v>39</v>
      </c>
      <c r="F1174" s="30" t="s">
        <v>18</v>
      </c>
      <c r="G1174" s="31" t="s">
        <v>61</v>
      </c>
      <c r="H1174" s="55"/>
      <c r="I1174" s="32" t="s">
        <v>40</v>
      </c>
    </row>
    <row r="1175" spans="1:9" ht="16.5" customHeight="1" x14ac:dyDescent="0.2">
      <c r="A1175" s="35" t="s">
        <v>4623</v>
      </c>
      <c r="B1175" s="35" t="s">
        <v>4624</v>
      </c>
      <c r="C1175" s="35" t="s">
        <v>115</v>
      </c>
      <c r="D1175" s="35" t="s">
        <v>134</v>
      </c>
      <c r="E1175" s="35" t="s">
        <v>39</v>
      </c>
      <c r="F1175" s="30" t="s">
        <v>18</v>
      </c>
      <c r="G1175" s="31" t="s">
        <v>61</v>
      </c>
      <c r="H1175" s="55"/>
      <c r="I1175" s="32" t="s">
        <v>40</v>
      </c>
    </row>
    <row r="1176" spans="1:9" ht="16.5" customHeight="1" x14ac:dyDescent="0.2">
      <c r="A1176" s="35" t="s">
        <v>4623</v>
      </c>
      <c r="B1176" s="35" t="s">
        <v>4624</v>
      </c>
      <c r="C1176" s="35" t="s">
        <v>115</v>
      </c>
      <c r="D1176" s="35" t="s">
        <v>134</v>
      </c>
      <c r="E1176" s="35" t="s">
        <v>39</v>
      </c>
      <c r="F1176" s="30" t="s">
        <v>18</v>
      </c>
      <c r="G1176" s="31" t="s">
        <v>61</v>
      </c>
      <c r="H1176" s="55"/>
      <c r="I1176" s="32" t="s">
        <v>40</v>
      </c>
    </row>
    <row r="1177" spans="1:9" ht="16.5" customHeight="1" x14ac:dyDescent="0.2">
      <c r="A1177" s="35" t="s">
        <v>4623</v>
      </c>
      <c r="B1177" s="35" t="s">
        <v>4624</v>
      </c>
      <c r="C1177" s="35" t="s">
        <v>115</v>
      </c>
      <c r="D1177" s="35" t="s">
        <v>134</v>
      </c>
      <c r="E1177" s="35" t="s">
        <v>39</v>
      </c>
      <c r="F1177" s="30" t="s">
        <v>18</v>
      </c>
      <c r="G1177" s="31" t="s">
        <v>61</v>
      </c>
      <c r="H1177" s="55"/>
      <c r="I1177" s="32" t="s">
        <v>40</v>
      </c>
    </row>
    <row r="1178" spans="1:9" ht="16.5" customHeight="1" x14ac:dyDescent="0.2">
      <c r="A1178" s="35" t="s">
        <v>4623</v>
      </c>
      <c r="B1178" s="35" t="s">
        <v>4624</v>
      </c>
      <c r="C1178" s="35" t="s">
        <v>115</v>
      </c>
      <c r="D1178" s="35" t="s">
        <v>134</v>
      </c>
      <c r="E1178" s="35" t="s">
        <v>39</v>
      </c>
      <c r="F1178" s="30" t="s">
        <v>18</v>
      </c>
      <c r="G1178" s="31" t="s">
        <v>61</v>
      </c>
      <c r="H1178" s="55"/>
      <c r="I1178" s="32" t="s">
        <v>40</v>
      </c>
    </row>
    <row r="1179" spans="1:9" ht="16.5" customHeight="1" x14ac:dyDescent="0.2">
      <c r="A1179" s="35" t="s">
        <v>4623</v>
      </c>
      <c r="B1179" s="35" t="s">
        <v>4624</v>
      </c>
      <c r="C1179" s="35" t="s">
        <v>115</v>
      </c>
      <c r="D1179" s="35" t="s">
        <v>134</v>
      </c>
      <c r="E1179" s="35" t="s">
        <v>39</v>
      </c>
      <c r="F1179" s="30" t="s">
        <v>18</v>
      </c>
      <c r="G1179" s="31" t="s">
        <v>61</v>
      </c>
      <c r="H1179" s="55"/>
      <c r="I1179" s="32" t="s">
        <v>40</v>
      </c>
    </row>
    <row r="1180" spans="1:9" ht="16.5" customHeight="1" x14ac:dyDescent="0.2">
      <c r="A1180" s="35" t="s">
        <v>4623</v>
      </c>
      <c r="B1180" s="35" t="s">
        <v>4624</v>
      </c>
      <c r="C1180" s="35" t="s">
        <v>115</v>
      </c>
      <c r="D1180" s="35" t="s">
        <v>134</v>
      </c>
      <c r="E1180" s="35" t="s">
        <v>39</v>
      </c>
      <c r="F1180" s="30" t="s">
        <v>18</v>
      </c>
      <c r="G1180" s="31" t="s">
        <v>61</v>
      </c>
      <c r="H1180" s="55"/>
      <c r="I1180" s="32" t="s">
        <v>40</v>
      </c>
    </row>
    <row r="1181" spans="1:9" ht="16.5" customHeight="1" x14ac:dyDescent="0.2">
      <c r="A1181" s="35" t="s">
        <v>4625</v>
      </c>
      <c r="B1181" s="35" t="s">
        <v>4626</v>
      </c>
      <c r="C1181" s="35" t="s">
        <v>115</v>
      </c>
      <c r="D1181" s="35" t="s">
        <v>134</v>
      </c>
      <c r="E1181" s="35" t="s">
        <v>39</v>
      </c>
      <c r="F1181" s="30" t="s">
        <v>11</v>
      </c>
      <c r="G1181" s="31" t="s">
        <v>61</v>
      </c>
      <c r="H1181" s="55"/>
      <c r="I1181" s="32" t="s">
        <v>40</v>
      </c>
    </row>
    <row r="1182" spans="1:9" ht="16.5" customHeight="1" x14ac:dyDescent="0.2">
      <c r="A1182" s="35" t="s">
        <v>4625</v>
      </c>
      <c r="B1182" s="35" t="s">
        <v>4626</v>
      </c>
      <c r="C1182" s="35" t="s">
        <v>115</v>
      </c>
      <c r="D1182" s="35" t="s">
        <v>134</v>
      </c>
      <c r="E1182" s="35" t="s">
        <v>39</v>
      </c>
      <c r="F1182" s="30" t="s">
        <v>18</v>
      </c>
      <c r="G1182" s="31" t="s">
        <v>61</v>
      </c>
      <c r="H1182" s="55"/>
      <c r="I1182" s="32" t="s">
        <v>40</v>
      </c>
    </row>
    <row r="1183" spans="1:9" ht="16.5" customHeight="1" x14ac:dyDescent="0.2">
      <c r="A1183" s="35" t="s">
        <v>4625</v>
      </c>
      <c r="B1183" s="35" t="s">
        <v>4626</v>
      </c>
      <c r="C1183" s="35" t="s">
        <v>115</v>
      </c>
      <c r="D1183" s="35" t="s">
        <v>134</v>
      </c>
      <c r="E1183" s="35" t="s">
        <v>39</v>
      </c>
      <c r="F1183" s="30" t="s">
        <v>11</v>
      </c>
      <c r="G1183" s="31" t="s">
        <v>61</v>
      </c>
      <c r="H1183" s="55"/>
      <c r="I1183" s="32" t="s">
        <v>40</v>
      </c>
    </row>
    <row r="1184" spans="1:9" ht="16.5" customHeight="1" x14ac:dyDescent="0.2">
      <c r="A1184" s="35" t="s">
        <v>4625</v>
      </c>
      <c r="B1184" s="35" t="s">
        <v>4626</v>
      </c>
      <c r="C1184" s="35" t="s">
        <v>115</v>
      </c>
      <c r="D1184" s="35" t="s">
        <v>134</v>
      </c>
      <c r="E1184" s="35" t="s">
        <v>39</v>
      </c>
      <c r="F1184" s="30" t="s">
        <v>11</v>
      </c>
      <c r="G1184" s="31" t="s">
        <v>61</v>
      </c>
      <c r="H1184" s="55"/>
      <c r="I1184" s="32" t="s">
        <v>40</v>
      </c>
    </row>
    <row r="1185" spans="1:9" ht="16.5" customHeight="1" x14ac:dyDescent="0.2">
      <c r="A1185" s="35" t="s">
        <v>4625</v>
      </c>
      <c r="B1185" s="35" t="s">
        <v>4626</v>
      </c>
      <c r="C1185" s="35" t="s">
        <v>115</v>
      </c>
      <c r="D1185" s="35" t="s">
        <v>134</v>
      </c>
      <c r="E1185" s="35" t="s">
        <v>39</v>
      </c>
      <c r="F1185" s="30" t="s">
        <v>11</v>
      </c>
      <c r="G1185" s="31" t="s">
        <v>61</v>
      </c>
      <c r="H1185" s="55"/>
      <c r="I1185" s="32" t="s">
        <v>40</v>
      </c>
    </row>
    <row r="1186" spans="1:9" ht="16.5" customHeight="1" x14ac:dyDescent="0.2">
      <c r="A1186" s="35" t="s">
        <v>4625</v>
      </c>
      <c r="B1186" s="35" t="s">
        <v>4626</v>
      </c>
      <c r="C1186" s="35" t="s">
        <v>115</v>
      </c>
      <c r="D1186" s="35" t="s">
        <v>134</v>
      </c>
      <c r="E1186" s="35" t="s">
        <v>39</v>
      </c>
      <c r="F1186" s="30" t="s">
        <v>11</v>
      </c>
      <c r="G1186" s="31" t="s">
        <v>61</v>
      </c>
      <c r="H1186" s="55"/>
      <c r="I1186" s="32" t="s">
        <v>40</v>
      </c>
    </row>
    <row r="1187" spans="1:9" ht="16.5" customHeight="1" x14ac:dyDescent="0.2">
      <c r="A1187" s="35" t="s">
        <v>4625</v>
      </c>
      <c r="B1187" s="35" t="s">
        <v>4626</v>
      </c>
      <c r="C1187" s="35" t="s">
        <v>115</v>
      </c>
      <c r="D1187" s="35" t="s">
        <v>134</v>
      </c>
      <c r="E1187" s="35" t="s">
        <v>39</v>
      </c>
      <c r="F1187" s="30" t="s">
        <v>11</v>
      </c>
      <c r="G1187" s="31" t="s">
        <v>61</v>
      </c>
      <c r="H1187" s="55"/>
      <c r="I1187" s="32" t="s">
        <v>40</v>
      </c>
    </row>
    <row r="1188" spans="1:9" ht="16.5" customHeight="1" x14ac:dyDescent="0.2">
      <c r="A1188" s="35" t="s">
        <v>4625</v>
      </c>
      <c r="B1188" s="35" t="s">
        <v>4626</v>
      </c>
      <c r="C1188" s="35" t="s">
        <v>115</v>
      </c>
      <c r="D1188" s="35" t="s">
        <v>134</v>
      </c>
      <c r="E1188" s="35" t="s">
        <v>39</v>
      </c>
      <c r="F1188" s="30" t="s">
        <v>11</v>
      </c>
      <c r="G1188" s="31" t="s">
        <v>61</v>
      </c>
      <c r="H1188" s="55"/>
      <c r="I1188" s="32" t="s">
        <v>40</v>
      </c>
    </row>
    <row r="1189" spans="1:9" ht="16.5" customHeight="1" x14ac:dyDescent="0.2">
      <c r="A1189" s="35" t="s">
        <v>4625</v>
      </c>
      <c r="B1189" s="35" t="s">
        <v>4626</v>
      </c>
      <c r="C1189" s="35" t="s">
        <v>115</v>
      </c>
      <c r="D1189" s="35" t="s">
        <v>134</v>
      </c>
      <c r="E1189" s="35" t="s">
        <v>39</v>
      </c>
      <c r="F1189" s="30" t="s">
        <v>11</v>
      </c>
      <c r="G1189" s="31" t="s">
        <v>61</v>
      </c>
      <c r="H1189" s="55"/>
      <c r="I1189" s="32" t="s">
        <v>40</v>
      </c>
    </row>
    <row r="1190" spans="1:9" ht="16.5" customHeight="1" x14ac:dyDescent="0.2">
      <c r="A1190" s="35" t="s">
        <v>4625</v>
      </c>
      <c r="B1190" s="35" t="s">
        <v>4626</v>
      </c>
      <c r="C1190" s="35" t="s">
        <v>115</v>
      </c>
      <c r="D1190" s="35" t="s">
        <v>134</v>
      </c>
      <c r="E1190" s="35" t="s">
        <v>39</v>
      </c>
      <c r="F1190" s="30" t="s">
        <v>11</v>
      </c>
      <c r="G1190" s="31" t="s">
        <v>61</v>
      </c>
      <c r="H1190" s="55"/>
      <c r="I1190" s="32" t="s">
        <v>40</v>
      </c>
    </row>
    <row r="1191" spans="1:9" ht="16.5" customHeight="1" x14ac:dyDescent="0.2">
      <c r="A1191" s="35" t="s">
        <v>4625</v>
      </c>
      <c r="B1191" s="35" t="s">
        <v>4626</v>
      </c>
      <c r="C1191" s="35" t="s">
        <v>115</v>
      </c>
      <c r="D1191" s="35" t="s">
        <v>134</v>
      </c>
      <c r="E1191" s="35" t="s">
        <v>39</v>
      </c>
      <c r="F1191" s="30" t="s">
        <v>11</v>
      </c>
      <c r="G1191" s="31" t="s">
        <v>61</v>
      </c>
      <c r="H1191" s="55"/>
      <c r="I1191" s="32" t="s">
        <v>40</v>
      </c>
    </row>
    <row r="1192" spans="1:9" ht="16.5" customHeight="1" x14ac:dyDescent="0.2">
      <c r="A1192" s="35" t="s">
        <v>4625</v>
      </c>
      <c r="B1192" s="35" t="s">
        <v>4626</v>
      </c>
      <c r="C1192" s="35" t="s">
        <v>115</v>
      </c>
      <c r="D1192" s="35" t="s">
        <v>134</v>
      </c>
      <c r="E1192" s="35" t="s">
        <v>39</v>
      </c>
      <c r="F1192" s="30" t="s">
        <v>11</v>
      </c>
      <c r="G1192" s="31" t="s">
        <v>61</v>
      </c>
      <c r="H1192" s="55"/>
      <c r="I1192" s="32" t="s">
        <v>40</v>
      </c>
    </row>
    <row r="1193" spans="1:9" ht="16.5" customHeight="1" x14ac:dyDescent="0.2">
      <c r="A1193" s="35" t="s">
        <v>4625</v>
      </c>
      <c r="B1193" s="35" t="s">
        <v>4626</v>
      </c>
      <c r="C1193" s="35" t="s">
        <v>115</v>
      </c>
      <c r="D1193" s="35" t="s">
        <v>134</v>
      </c>
      <c r="E1193" s="35" t="s">
        <v>39</v>
      </c>
      <c r="F1193" s="30" t="s">
        <v>11</v>
      </c>
      <c r="G1193" s="31" t="s">
        <v>61</v>
      </c>
      <c r="H1193" s="55"/>
      <c r="I1193" s="32" t="s">
        <v>40</v>
      </c>
    </row>
    <row r="1194" spans="1:9" ht="16.5" customHeight="1" x14ac:dyDescent="0.2">
      <c r="A1194" s="35" t="s">
        <v>4625</v>
      </c>
      <c r="B1194" s="35" t="s">
        <v>4626</v>
      </c>
      <c r="C1194" s="35" t="s">
        <v>115</v>
      </c>
      <c r="D1194" s="35" t="s">
        <v>134</v>
      </c>
      <c r="E1194" s="35" t="s">
        <v>39</v>
      </c>
      <c r="F1194" s="30" t="s">
        <v>11</v>
      </c>
      <c r="G1194" s="31" t="s">
        <v>61</v>
      </c>
      <c r="H1194" s="55"/>
      <c r="I1194" s="32" t="s">
        <v>40</v>
      </c>
    </row>
    <row r="1195" spans="1:9" ht="16.5" customHeight="1" x14ac:dyDescent="0.2">
      <c r="A1195" s="35" t="s">
        <v>4625</v>
      </c>
      <c r="B1195" s="35" t="s">
        <v>4626</v>
      </c>
      <c r="C1195" s="35" t="s">
        <v>115</v>
      </c>
      <c r="D1195" s="35" t="s">
        <v>134</v>
      </c>
      <c r="E1195" s="35" t="s">
        <v>39</v>
      </c>
      <c r="F1195" s="30" t="s">
        <v>11</v>
      </c>
      <c r="G1195" s="31" t="s">
        <v>61</v>
      </c>
      <c r="H1195" s="55"/>
      <c r="I1195" s="32" t="s">
        <v>40</v>
      </c>
    </row>
    <row r="1196" spans="1:9" ht="16.5" customHeight="1" x14ac:dyDescent="0.2">
      <c r="A1196" s="35" t="s">
        <v>4627</v>
      </c>
      <c r="B1196" s="35" t="s">
        <v>4628</v>
      </c>
      <c r="C1196" s="35" t="s">
        <v>115</v>
      </c>
      <c r="D1196" s="35" t="s">
        <v>116</v>
      </c>
      <c r="E1196" s="35" t="s">
        <v>39</v>
      </c>
      <c r="F1196" s="52" t="s">
        <v>18</v>
      </c>
      <c r="G1196" s="35" t="s">
        <v>61</v>
      </c>
      <c r="I1196" s="32" t="s">
        <v>40</v>
      </c>
    </row>
    <row r="1197" spans="1:9" ht="16.5" customHeight="1" x14ac:dyDescent="0.2">
      <c r="A1197" s="35" t="s">
        <v>4627</v>
      </c>
      <c r="B1197" s="35" t="s">
        <v>4628</v>
      </c>
      <c r="C1197" s="35" t="s">
        <v>115</v>
      </c>
      <c r="D1197" s="35" t="s">
        <v>116</v>
      </c>
      <c r="E1197" s="35" t="s">
        <v>39</v>
      </c>
      <c r="F1197" s="52" t="s">
        <v>18</v>
      </c>
      <c r="G1197" s="35" t="s">
        <v>61</v>
      </c>
      <c r="I1197" s="32" t="s">
        <v>40</v>
      </c>
    </row>
    <row r="1198" spans="1:9" ht="16.5" customHeight="1" x14ac:dyDescent="0.2">
      <c r="A1198" s="35" t="s">
        <v>4629</v>
      </c>
      <c r="B1198" s="35" t="s">
        <v>4630</v>
      </c>
      <c r="C1198" s="35" t="s">
        <v>115</v>
      </c>
      <c r="D1198" s="35" t="s">
        <v>116</v>
      </c>
      <c r="E1198" s="35" t="s">
        <v>39</v>
      </c>
      <c r="F1198" s="52" t="s">
        <v>11</v>
      </c>
      <c r="G1198" s="52" t="s">
        <v>19</v>
      </c>
      <c r="I1198" s="32" t="s">
        <v>40</v>
      </c>
    </row>
    <row r="1199" spans="1:9" ht="16.5" customHeight="1" x14ac:dyDescent="0.2">
      <c r="A1199" s="35" t="s">
        <v>4629</v>
      </c>
      <c r="B1199" s="35" t="s">
        <v>4630</v>
      </c>
      <c r="C1199" s="35" t="s">
        <v>115</v>
      </c>
      <c r="D1199" s="35" t="s">
        <v>116</v>
      </c>
      <c r="E1199" s="35" t="s">
        <v>39</v>
      </c>
      <c r="F1199" s="52" t="s">
        <v>11</v>
      </c>
      <c r="G1199" s="52" t="s">
        <v>61</v>
      </c>
      <c r="I1199" s="32" t="s">
        <v>40</v>
      </c>
    </row>
    <row r="1200" spans="1:9" ht="16.5" customHeight="1" x14ac:dyDescent="0.2">
      <c r="A1200" s="35" t="s">
        <v>4629</v>
      </c>
      <c r="B1200" s="35" t="s">
        <v>4630</v>
      </c>
      <c r="C1200" s="35" t="s">
        <v>115</v>
      </c>
      <c r="D1200" s="35" t="s">
        <v>116</v>
      </c>
      <c r="E1200" s="35" t="s">
        <v>39</v>
      </c>
      <c r="F1200" s="52" t="s">
        <v>11</v>
      </c>
      <c r="G1200" s="52" t="s">
        <v>19</v>
      </c>
      <c r="I1200" s="32" t="s">
        <v>40</v>
      </c>
    </row>
    <row r="1201" spans="1:9" ht="16.5" customHeight="1" x14ac:dyDescent="0.2">
      <c r="A1201" s="35" t="s">
        <v>4629</v>
      </c>
      <c r="B1201" s="35" t="s">
        <v>4630</v>
      </c>
      <c r="C1201" s="35" t="s">
        <v>115</v>
      </c>
      <c r="D1201" s="35" t="s">
        <v>116</v>
      </c>
      <c r="E1201" s="35" t="s">
        <v>39</v>
      </c>
      <c r="F1201" s="52" t="s">
        <v>11</v>
      </c>
      <c r="G1201" s="52" t="s">
        <v>61</v>
      </c>
      <c r="I1201" s="32" t="s">
        <v>40</v>
      </c>
    </row>
    <row r="1202" spans="1:9" ht="16.5" customHeight="1" x14ac:dyDescent="0.2">
      <c r="A1202" s="35" t="s">
        <v>4629</v>
      </c>
      <c r="B1202" s="35" t="s">
        <v>4630</v>
      </c>
      <c r="C1202" s="35" t="s">
        <v>115</v>
      </c>
      <c r="D1202" s="35" t="s">
        <v>116</v>
      </c>
      <c r="E1202" s="35" t="s">
        <v>39</v>
      </c>
      <c r="F1202" s="52" t="s">
        <v>11</v>
      </c>
      <c r="G1202" s="52" t="s">
        <v>61</v>
      </c>
      <c r="I1202" s="32" t="s">
        <v>40</v>
      </c>
    </row>
    <row r="1203" spans="1:9" ht="16.5" customHeight="1" x14ac:dyDescent="0.2">
      <c r="A1203" s="26" t="s">
        <v>4631</v>
      </c>
      <c r="B1203" s="26" t="s">
        <v>4632</v>
      </c>
      <c r="C1203" s="26" t="s">
        <v>115</v>
      </c>
      <c r="D1203" s="27" t="s">
        <v>116</v>
      </c>
      <c r="E1203" s="27" t="s">
        <v>39</v>
      </c>
      <c r="F1203" s="31" t="s">
        <v>18</v>
      </c>
      <c r="G1203" s="31" t="s">
        <v>12</v>
      </c>
      <c r="H1203" s="31"/>
      <c r="I1203" s="32" t="s">
        <v>40</v>
      </c>
    </row>
    <row r="1204" spans="1:9" ht="16.5" customHeight="1" x14ac:dyDescent="0.2">
      <c r="A1204" s="26" t="s">
        <v>4631</v>
      </c>
      <c r="B1204" s="26" t="s">
        <v>4632</v>
      </c>
      <c r="C1204" s="26" t="s">
        <v>115</v>
      </c>
      <c r="D1204" s="27" t="s">
        <v>116</v>
      </c>
      <c r="E1204" s="27" t="s">
        <v>39</v>
      </c>
      <c r="F1204" s="31" t="s">
        <v>18</v>
      </c>
      <c r="G1204" s="31" t="s">
        <v>12</v>
      </c>
      <c r="H1204" s="31"/>
      <c r="I1204" s="32" t="s">
        <v>40</v>
      </c>
    </row>
    <row r="1205" spans="1:9" ht="16.5" customHeight="1" x14ac:dyDescent="0.2">
      <c r="A1205" s="26" t="s">
        <v>4631</v>
      </c>
      <c r="B1205" s="26" t="s">
        <v>4632</v>
      </c>
      <c r="C1205" s="26" t="s">
        <v>115</v>
      </c>
      <c r="D1205" s="27" t="s">
        <v>116</v>
      </c>
      <c r="E1205" s="27" t="s">
        <v>39</v>
      </c>
      <c r="F1205" s="31" t="s">
        <v>18</v>
      </c>
      <c r="G1205" s="31" t="s">
        <v>12</v>
      </c>
      <c r="H1205" s="31"/>
      <c r="I1205" s="32" t="s">
        <v>40</v>
      </c>
    </row>
    <row r="1206" spans="1:9" ht="16.5" customHeight="1" x14ac:dyDescent="0.2">
      <c r="A1206" s="35" t="s">
        <v>4633</v>
      </c>
      <c r="B1206" s="35" t="s">
        <v>4634</v>
      </c>
      <c r="C1206" s="35" t="s">
        <v>115</v>
      </c>
      <c r="D1206" s="35" t="s">
        <v>116</v>
      </c>
      <c r="E1206" s="35" t="s">
        <v>39</v>
      </c>
      <c r="F1206" s="52" t="s">
        <v>18</v>
      </c>
      <c r="G1206" s="52" t="s">
        <v>61</v>
      </c>
      <c r="I1206" s="32" t="s">
        <v>40</v>
      </c>
    </row>
    <row r="1207" spans="1:9" ht="16.5" customHeight="1" x14ac:dyDescent="0.2">
      <c r="A1207" s="35" t="s">
        <v>4635</v>
      </c>
      <c r="B1207" s="35" t="s">
        <v>4636</v>
      </c>
      <c r="C1207" s="35" t="s">
        <v>115</v>
      </c>
      <c r="D1207" s="35" t="s">
        <v>125</v>
      </c>
      <c r="E1207" s="35" t="s">
        <v>39</v>
      </c>
      <c r="F1207" s="30" t="s">
        <v>18</v>
      </c>
      <c r="G1207" s="31" t="s">
        <v>41</v>
      </c>
      <c r="H1207" s="55"/>
      <c r="I1207" s="32" t="s">
        <v>40</v>
      </c>
    </row>
    <row r="1208" spans="1:9" ht="16.5" customHeight="1" x14ac:dyDescent="0.2">
      <c r="A1208" s="35" t="s">
        <v>4635</v>
      </c>
      <c r="B1208" s="35" t="s">
        <v>5582</v>
      </c>
      <c r="C1208" s="35" t="s">
        <v>115</v>
      </c>
      <c r="D1208" s="35" t="s">
        <v>128</v>
      </c>
      <c r="E1208" s="35" t="s">
        <v>39</v>
      </c>
      <c r="F1208" s="30" t="s">
        <v>18</v>
      </c>
      <c r="G1208" s="31" t="s">
        <v>41</v>
      </c>
      <c r="H1208" s="30" t="s">
        <v>4725</v>
      </c>
      <c r="I1208" s="32" t="s">
        <v>40</v>
      </c>
    </row>
    <row r="1209" spans="1:9" ht="16.5" customHeight="1" x14ac:dyDescent="0.25">
      <c r="A1209" s="76" t="s">
        <v>4637</v>
      </c>
      <c r="B1209" s="76" t="s">
        <v>4638</v>
      </c>
      <c r="C1209" s="26" t="s">
        <v>64</v>
      </c>
      <c r="D1209" s="26" t="s">
        <v>92</v>
      </c>
      <c r="E1209" s="26" t="s">
        <v>39</v>
      </c>
      <c r="F1209" s="31" t="s">
        <v>18</v>
      </c>
      <c r="G1209" s="31" t="s">
        <v>12</v>
      </c>
      <c r="H1209" s="32"/>
      <c r="I1209" s="32" t="s">
        <v>40</v>
      </c>
    </row>
    <row r="1210" spans="1:9" ht="16.5" customHeight="1" x14ac:dyDescent="0.2">
      <c r="A1210" s="26" t="s">
        <v>4639</v>
      </c>
      <c r="B1210" s="26" t="s">
        <v>4640</v>
      </c>
      <c r="C1210" s="26" t="s">
        <v>115</v>
      </c>
      <c r="D1210" s="26" t="s">
        <v>122</v>
      </c>
      <c r="E1210" s="26" t="s">
        <v>39</v>
      </c>
      <c r="F1210" s="31" t="s">
        <v>11</v>
      </c>
      <c r="G1210" s="31" t="s">
        <v>26</v>
      </c>
      <c r="H1210" s="32"/>
      <c r="I1210" s="32" t="s">
        <v>40</v>
      </c>
    </row>
    <row r="1211" spans="1:9" ht="16.5" customHeight="1" x14ac:dyDescent="0.2">
      <c r="A1211" s="27" t="s">
        <v>4641</v>
      </c>
      <c r="B1211" s="26" t="s">
        <v>4642</v>
      </c>
      <c r="C1211" s="26" t="s">
        <v>115</v>
      </c>
      <c r="D1211" s="26" t="s">
        <v>122</v>
      </c>
      <c r="E1211" s="27" t="s">
        <v>39</v>
      </c>
      <c r="F1211" s="31" t="s">
        <v>18</v>
      </c>
      <c r="G1211" s="31" t="s">
        <v>61</v>
      </c>
      <c r="H1211" s="32"/>
      <c r="I1211" s="32" t="s">
        <v>40</v>
      </c>
    </row>
    <row r="1212" spans="1:9" ht="16.5" customHeight="1" x14ac:dyDescent="0.2">
      <c r="A1212" s="26" t="s">
        <v>4641</v>
      </c>
      <c r="B1212" s="26" t="s">
        <v>4642</v>
      </c>
      <c r="C1212" s="26" t="s">
        <v>115</v>
      </c>
      <c r="D1212" s="26" t="s">
        <v>122</v>
      </c>
      <c r="E1212" s="26" t="s">
        <v>39</v>
      </c>
      <c r="F1212" s="31" t="s">
        <v>18</v>
      </c>
      <c r="G1212" s="31" t="s">
        <v>61</v>
      </c>
      <c r="H1212" s="32"/>
      <c r="I1212" s="32" t="s">
        <v>40</v>
      </c>
    </row>
    <row r="1213" spans="1:9" ht="16.5" customHeight="1" x14ac:dyDescent="0.2">
      <c r="A1213" s="26" t="s">
        <v>4641</v>
      </c>
      <c r="B1213" s="26" t="s">
        <v>4642</v>
      </c>
      <c r="C1213" s="26" t="s">
        <v>115</v>
      </c>
      <c r="D1213" s="26" t="s">
        <v>122</v>
      </c>
      <c r="E1213" s="26" t="s">
        <v>39</v>
      </c>
      <c r="F1213" s="31" t="s">
        <v>18</v>
      </c>
      <c r="G1213" s="31" t="s">
        <v>61</v>
      </c>
      <c r="H1213" s="32"/>
      <c r="I1213" s="32" t="s">
        <v>40</v>
      </c>
    </row>
    <row r="1214" spans="1:9" ht="16.5" customHeight="1" x14ac:dyDescent="0.2">
      <c r="A1214" s="35" t="s">
        <v>4643</v>
      </c>
      <c r="B1214" s="35" t="s">
        <v>4644</v>
      </c>
      <c r="C1214" s="35" t="s">
        <v>115</v>
      </c>
      <c r="D1214" s="35" t="s">
        <v>128</v>
      </c>
      <c r="E1214" s="35" t="s">
        <v>39</v>
      </c>
      <c r="F1214" s="30" t="s">
        <v>18</v>
      </c>
      <c r="G1214" s="31" t="s">
        <v>41</v>
      </c>
      <c r="H1214" s="30" t="s">
        <v>4645</v>
      </c>
      <c r="I1214" s="32" t="s">
        <v>40</v>
      </c>
    </row>
    <row r="1215" spans="1:9" ht="16.5" customHeight="1" x14ac:dyDescent="0.2">
      <c r="A1215" s="35" t="s">
        <v>4643</v>
      </c>
      <c r="B1215" s="35" t="s">
        <v>4644</v>
      </c>
      <c r="C1215" s="35" t="s">
        <v>115</v>
      </c>
      <c r="D1215" s="35" t="s">
        <v>128</v>
      </c>
      <c r="E1215" s="35" t="s">
        <v>39</v>
      </c>
      <c r="F1215" s="30" t="s">
        <v>18</v>
      </c>
      <c r="G1215" s="31" t="s">
        <v>41</v>
      </c>
      <c r="H1215" s="30" t="s">
        <v>5575</v>
      </c>
      <c r="I1215" s="32" t="s">
        <v>40</v>
      </c>
    </row>
    <row r="1216" spans="1:9" ht="16.5" customHeight="1" x14ac:dyDescent="0.2">
      <c r="A1216" s="37" t="s">
        <v>4646</v>
      </c>
      <c r="B1216" s="26" t="s">
        <v>4647</v>
      </c>
      <c r="C1216" s="26" t="s">
        <v>7</v>
      </c>
      <c r="D1216" s="27" t="s">
        <v>16</v>
      </c>
      <c r="E1216" s="26" t="s">
        <v>39</v>
      </c>
      <c r="F1216" s="47" t="s">
        <v>18</v>
      </c>
      <c r="G1216" s="31" t="s">
        <v>41</v>
      </c>
      <c r="H1216" s="32"/>
      <c r="I1216" s="32" t="s">
        <v>40</v>
      </c>
    </row>
    <row r="1217" spans="1:9" ht="16.5" customHeight="1" x14ac:dyDescent="0.2">
      <c r="A1217" s="37" t="s">
        <v>4646</v>
      </c>
      <c r="B1217" s="26" t="s">
        <v>4647</v>
      </c>
      <c r="C1217" s="26" t="s">
        <v>7</v>
      </c>
      <c r="D1217" s="27" t="s">
        <v>16</v>
      </c>
      <c r="E1217" s="26" t="s">
        <v>39</v>
      </c>
      <c r="F1217" s="47" t="s">
        <v>18</v>
      </c>
      <c r="G1217" s="31" t="s">
        <v>41</v>
      </c>
      <c r="H1217" s="32"/>
      <c r="I1217" s="32" t="s">
        <v>40</v>
      </c>
    </row>
    <row r="1218" spans="1:9" ht="16.5" customHeight="1" x14ac:dyDescent="0.2">
      <c r="A1218" s="26" t="s">
        <v>4648</v>
      </c>
      <c r="B1218" s="26" t="s">
        <v>4649</v>
      </c>
      <c r="C1218" s="26" t="s">
        <v>115</v>
      </c>
      <c r="D1218" s="27" t="s">
        <v>116</v>
      </c>
      <c r="E1218" s="27" t="s">
        <v>39</v>
      </c>
      <c r="F1218" s="31" t="s">
        <v>18</v>
      </c>
      <c r="G1218" s="31" t="s">
        <v>61</v>
      </c>
      <c r="H1218" s="31"/>
      <c r="I1218" s="32" t="s">
        <v>40</v>
      </c>
    </row>
    <row r="1219" spans="1:9" ht="16.5" customHeight="1" x14ac:dyDescent="0.2">
      <c r="A1219" s="26" t="s">
        <v>4650</v>
      </c>
      <c r="B1219" s="26" t="s">
        <v>4651</v>
      </c>
      <c r="C1219" s="26" t="s">
        <v>115</v>
      </c>
      <c r="D1219" s="27" t="s">
        <v>116</v>
      </c>
      <c r="E1219" s="27" t="s">
        <v>39</v>
      </c>
      <c r="F1219" s="31" t="s">
        <v>18</v>
      </c>
      <c r="G1219" s="31" t="s">
        <v>61</v>
      </c>
      <c r="H1219" s="31"/>
      <c r="I1219" s="32" t="s">
        <v>40</v>
      </c>
    </row>
    <row r="1220" spans="1:9" ht="16.5" customHeight="1" x14ac:dyDescent="0.2">
      <c r="A1220" s="35" t="s">
        <v>4652</v>
      </c>
      <c r="B1220" s="35" t="s">
        <v>4653</v>
      </c>
      <c r="C1220" s="35" t="s">
        <v>115</v>
      </c>
      <c r="D1220" s="35" t="s">
        <v>119</v>
      </c>
      <c r="E1220" s="35" t="s">
        <v>39</v>
      </c>
      <c r="F1220" s="52" t="s">
        <v>11</v>
      </c>
      <c r="G1220" s="30" t="s">
        <v>72</v>
      </c>
      <c r="H1220" s="30"/>
      <c r="I1220" s="32" t="s">
        <v>40</v>
      </c>
    </row>
    <row r="1221" spans="1:9" ht="16.5" customHeight="1" x14ac:dyDescent="0.2">
      <c r="A1221" s="35" t="s">
        <v>4652</v>
      </c>
      <c r="B1221" s="35" t="s">
        <v>4653</v>
      </c>
      <c r="C1221" s="35" t="s">
        <v>115</v>
      </c>
      <c r="D1221" s="35" t="s">
        <v>119</v>
      </c>
      <c r="E1221" s="35" t="s">
        <v>39</v>
      </c>
      <c r="F1221" s="52" t="s">
        <v>11</v>
      </c>
      <c r="G1221" s="30" t="s">
        <v>72</v>
      </c>
      <c r="H1221" s="30"/>
      <c r="I1221" s="32" t="s">
        <v>40</v>
      </c>
    </row>
    <row r="1222" spans="1:9" ht="16.5" customHeight="1" x14ac:dyDescent="0.2">
      <c r="A1222" s="35" t="s">
        <v>4652</v>
      </c>
      <c r="B1222" s="35" t="s">
        <v>4653</v>
      </c>
      <c r="C1222" s="35" t="s">
        <v>115</v>
      </c>
      <c r="D1222" s="35" t="s">
        <v>119</v>
      </c>
      <c r="E1222" s="35" t="s">
        <v>39</v>
      </c>
      <c r="F1222" s="52" t="s">
        <v>11</v>
      </c>
      <c r="G1222" s="30" t="s">
        <v>72</v>
      </c>
      <c r="H1222" s="30"/>
      <c r="I1222" s="32" t="s">
        <v>40</v>
      </c>
    </row>
    <row r="1223" spans="1:9" ht="16.5" customHeight="1" x14ac:dyDescent="0.2">
      <c r="A1223" s="35" t="s">
        <v>4652</v>
      </c>
      <c r="B1223" s="35" t="s">
        <v>4653</v>
      </c>
      <c r="C1223" s="35" t="s">
        <v>115</v>
      </c>
      <c r="D1223" s="35" t="s">
        <v>119</v>
      </c>
      <c r="E1223" s="35" t="s">
        <v>39</v>
      </c>
      <c r="F1223" s="52" t="s">
        <v>11</v>
      </c>
      <c r="G1223" s="30" t="s">
        <v>72</v>
      </c>
      <c r="H1223" s="30"/>
      <c r="I1223" s="32" t="s">
        <v>40</v>
      </c>
    </row>
    <row r="1224" spans="1:9" ht="16.5" customHeight="1" x14ac:dyDescent="0.2">
      <c r="A1224" s="35" t="s">
        <v>4652</v>
      </c>
      <c r="B1224" s="35" t="s">
        <v>4653</v>
      </c>
      <c r="C1224" s="35" t="s">
        <v>115</v>
      </c>
      <c r="D1224" s="35" t="s">
        <v>119</v>
      </c>
      <c r="E1224" s="35" t="s">
        <v>39</v>
      </c>
      <c r="F1224" s="52" t="s">
        <v>11</v>
      </c>
      <c r="G1224" s="30" t="s">
        <v>72</v>
      </c>
      <c r="H1224" s="30"/>
      <c r="I1224" s="32" t="s">
        <v>40</v>
      </c>
    </row>
    <row r="1225" spans="1:9" ht="16.5" customHeight="1" x14ac:dyDescent="0.2">
      <c r="A1225" s="26" t="s">
        <v>4654</v>
      </c>
      <c r="B1225" s="26" t="s">
        <v>4655</v>
      </c>
      <c r="C1225" s="26" t="s">
        <v>98</v>
      </c>
      <c r="D1225" s="26" t="s">
        <v>105</v>
      </c>
      <c r="E1225" s="26" t="s">
        <v>39</v>
      </c>
      <c r="F1225" s="31" t="s">
        <v>32</v>
      </c>
      <c r="G1225" s="31" t="s">
        <v>41</v>
      </c>
      <c r="H1225" s="32"/>
      <c r="I1225" s="32" t="s">
        <v>40</v>
      </c>
    </row>
    <row r="1226" spans="1:9" ht="16.5" customHeight="1" x14ac:dyDescent="0.25">
      <c r="A1226" s="35" t="s">
        <v>4656</v>
      </c>
      <c r="B1226" s="76" t="s">
        <v>4657</v>
      </c>
      <c r="C1226" s="76" t="s">
        <v>64</v>
      </c>
      <c r="D1226" s="35" t="s">
        <v>86</v>
      </c>
      <c r="E1226" s="76" t="s">
        <v>39</v>
      </c>
      <c r="F1226" s="76" t="s">
        <v>11</v>
      </c>
      <c r="G1226" s="35" t="s">
        <v>72</v>
      </c>
      <c r="H1226" s="95"/>
      <c r="I1226" s="32" t="s">
        <v>40</v>
      </c>
    </row>
    <row r="1227" spans="1:9" ht="16.5" customHeight="1" x14ac:dyDescent="0.25">
      <c r="A1227" s="35" t="s">
        <v>4656</v>
      </c>
      <c r="B1227" s="76" t="s">
        <v>4657</v>
      </c>
      <c r="C1227" s="76" t="s">
        <v>64</v>
      </c>
      <c r="D1227" s="35" t="s">
        <v>86</v>
      </c>
      <c r="E1227" s="76" t="s">
        <v>39</v>
      </c>
      <c r="F1227" s="76" t="s">
        <v>11</v>
      </c>
      <c r="G1227" s="35" t="s">
        <v>72</v>
      </c>
      <c r="H1227" s="95"/>
      <c r="I1227" s="32" t="s">
        <v>40</v>
      </c>
    </row>
    <row r="1228" spans="1:9" ht="16.5" customHeight="1" x14ac:dyDescent="0.25">
      <c r="A1228" s="88" t="s">
        <v>4658</v>
      </c>
      <c r="B1228" s="35" t="s">
        <v>4659</v>
      </c>
      <c r="C1228" s="35" t="s">
        <v>64</v>
      </c>
      <c r="D1228" s="35" t="s">
        <v>89</v>
      </c>
      <c r="E1228" s="54" t="s">
        <v>39</v>
      </c>
      <c r="F1228" s="31" t="s">
        <v>18</v>
      </c>
      <c r="G1228" s="31" t="s">
        <v>19</v>
      </c>
      <c r="H1228" s="31" t="s">
        <v>4660</v>
      </c>
      <c r="I1228" s="32" t="s">
        <v>40</v>
      </c>
    </row>
    <row r="1229" spans="1:9" ht="16.5" customHeight="1" x14ac:dyDescent="0.2">
      <c r="A1229" s="35" t="s">
        <v>4658</v>
      </c>
      <c r="B1229" s="35" t="s">
        <v>5375</v>
      </c>
      <c r="C1229" s="35" t="s">
        <v>64</v>
      </c>
      <c r="D1229" s="35" t="s">
        <v>89</v>
      </c>
      <c r="E1229" s="54" t="s">
        <v>39</v>
      </c>
      <c r="F1229" s="31" t="s">
        <v>11</v>
      </c>
      <c r="G1229" s="31" t="s">
        <v>72</v>
      </c>
      <c r="H1229" s="32"/>
      <c r="I1229" s="32" t="s">
        <v>40</v>
      </c>
    </row>
    <row r="1230" spans="1:9" ht="16.5" customHeight="1" x14ac:dyDescent="0.2">
      <c r="A1230" s="35" t="s">
        <v>4658</v>
      </c>
      <c r="B1230" s="35" t="s">
        <v>5375</v>
      </c>
      <c r="C1230" s="35" t="s">
        <v>64</v>
      </c>
      <c r="D1230" s="35" t="s">
        <v>89</v>
      </c>
      <c r="E1230" s="54" t="s">
        <v>39</v>
      </c>
      <c r="F1230" s="31" t="s">
        <v>11</v>
      </c>
      <c r="G1230" s="31" t="s">
        <v>72</v>
      </c>
      <c r="H1230" s="32"/>
      <c r="I1230" s="32" t="s">
        <v>40</v>
      </c>
    </row>
    <row r="1231" spans="1:9" ht="16.5" customHeight="1" x14ac:dyDescent="0.2">
      <c r="A1231" s="35" t="s">
        <v>4658</v>
      </c>
      <c r="B1231" s="35" t="s">
        <v>5375</v>
      </c>
      <c r="C1231" s="35" t="s">
        <v>64</v>
      </c>
      <c r="D1231" s="35" t="s">
        <v>89</v>
      </c>
      <c r="E1231" s="54" t="s">
        <v>39</v>
      </c>
      <c r="F1231" s="31" t="s">
        <v>11</v>
      </c>
      <c r="G1231" s="31" t="s">
        <v>72</v>
      </c>
      <c r="H1231" s="32"/>
      <c r="I1231" s="32" t="s">
        <v>40</v>
      </c>
    </row>
    <row r="1232" spans="1:9" ht="16.5" customHeight="1" x14ac:dyDescent="0.2">
      <c r="A1232" s="35" t="s">
        <v>4658</v>
      </c>
      <c r="B1232" s="35" t="s">
        <v>5375</v>
      </c>
      <c r="C1232" s="35" t="s">
        <v>64</v>
      </c>
      <c r="D1232" s="35" t="s">
        <v>89</v>
      </c>
      <c r="E1232" s="54" t="s">
        <v>39</v>
      </c>
      <c r="F1232" s="31" t="s">
        <v>11</v>
      </c>
      <c r="G1232" s="31" t="s">
        <v>72</v>
      </c>
      <c r="H1232" s="32"/>
      <c r="I1232" s="32" t="s">
        <v>40</v>
      </c>
    </row>
    <row r="1233" spans="1:9" ht="16.5" customHeight="1" x14ac:dyDescent="0.2">
      <c r="A1233" s="35" t="s">
        <v>4658</v>
      </c>
      <c r="B1233" s="35" t="s">
        <v>5375</v>
      </c>
      <c r="C1233" s="35" t="s">
        <v>64</v>
      </c>
      <c r="D1233" s="35" t="s">
        <v>89</v>
      </c>
      <c r="E1233" s="54" t="s">
        <v>39</v>
      </c>
      <c r="F1233" s="31" t="s">
        <v>11</v>
      </c>
      <c r="G1233" s="31" t="s">
        <v>72</v>
      </c>
      <c r="H1233" s="32"/>
      <c r="I1233" s="32" t="s">
        <v>40</v>
      </c>
    </row>
    <row r="1234" spans="1:9" ht="16.5" customHeight="1" x14ac:dyDescent="0.2">
      <c r="A1234" s="35" t="s">
        <v>4658</v>
      </c>
      <c r="B1234" s="35" t="s">
        <v>5375</v>
      </c>
      <c r="C1234" s="35" t="s">
        <v>64</v>
      </c>
      <c r="D1234" s="35" t="s">
        <v>89</v>
      </c>
      <c r="E1234" s="54" t="s">
        <v>39</v>
      </c>
      <c r="F1234" s="31" t="s">
        <v>11</v>
      </c>
      <c r="G1234" s="31" t="s">
        <v>72</v>
      </c>
      <c r="H1234" s="32"/>
      <c r="I1234" s="32" t="s">
        <v>40</v>
      </c>
    </row>
    <row r="1235" spans="1:9" ht="16.5" customHeight="1" x14ac:dyDescent="0.2">
      <c r="A1235" s="35" t="s">
        <v>4658</v>
      </c>
      <c r="B1235" s="35" t="s">
        <v>5375</v>
      </c>
      <c r="C1235" s="35" t="s">
        <v>64</v>
      </c>
      <c r="D1235" s="35" t="s">
        <v>89</v>
      </c>
      <c r="E1235" s="54" t="s">
        <v>39</v>
      </c>
      <c r="F1235" s="31" t="s">
        <v>11</v>
      </c>
      <c r="G1235" s="31" t="s">
        <v>72</v>
      </c>
      <c r="H1235" s="32"/>
      <c r="I1235" s="32" t="s">
        <v>40</v>
      </c>
    </row>
    <row r="1236" spans="1:9" ht="16.5" customHeight="1" x14ac:dyDescent="0.2">
      <c r="A1236" s="54" t="s">
        <v>4661</v>
      </c>
      <c r="B1236" s="35" t="s">
        <v>4662</v>
      </c>
      <c r="C1236" s="35" t="s">
        <v>64</v>
      </c>
      <c r="D1236" s="35" t="s">
        <v>95</v>
      </c>
      <c r="E1236" s="54" t="s">
        <v>39</v>
      </c>
      <c r="F1236" s="31" t="s">
        <v>11</v>
      </c>
      <c r="G1236" s="31" t="s">
        <v>61</v>
      </c>
      <c r="H1236" s="31" t="s">
        <v>4445</v>
      </c>
      <c r="I1236" s="32" t="s">
        <v>40</v>
      </c>
    </row>
    <row r="1237" spans="1:9" ht="16.5" customHeight="1" x14ac:dyDescent="0.2">
      <c r="A1237" s="54" t="s">
        <v>4661</v>
      </c>
      <c r="B1237" s="35" t="s">
        <v>4662</v>
      </c>
      <c r="C1237" s="35" t="s">
        <v>64</v>
      </c>
      <c r="D1237" s="35" t="s">
        <v>95</v>
      </c>
      <c r="E1237" s="54" t="s">
        <v>39</v>
      </c>
      <c r="F1237" s="31" t="s">
        <v>11</v>
      </c>
      <c r="G1237" s="31" t="s">
        <v>26</v>
      </c>
      <c r="H1237" s="31" t="s">
        <v>5365</v>
      </c>
      <c r="I1237" s="32" t="s">
        <v>40</v>
      </c>
    </row>
    <row r="1238" spans="1:9" ht="16.5" customHeight="1" x14ac:dyDescent="0.2">
      <c r="A1238" s="54" t="s">
        <v>4661</v>
      </c>
      <c r="B1238" s="35" t="s">
        <v>4662</v>
      </c>
      <c r="C1238" s="35" t="s">
        <v>64</v>
      </c>
      <c r="D1238" s="35" t="s">
        <v>95</v>
      </c>
      <c r="E1238" s="54" t="s">
        <v>39</v>
      </c>
      <c r="F1238" s="31" t="s">
        <v>11</v>
      </c>
      <c r="G1238" s="31" t="s">
        <v>26</v>
      </c>
      <c r="H1238" s="31" t="s">
        <v>5365</v>
      </c>
      <c r="I1238" s="32" t="s">
        <v>40</v>
      </c>
    </row>
    <row r="1239" spans="1:9" ht="16.5" customHeight="1" x14ac:dyDescent="0.2">
      <c r="A1239" s="54" t="s">
        <v>4661</v>
      </c>
      <c r="B1239" s="35" t="s">
        <v>4662</v>
      </c>
      <c r="C1239" s="35" t="s">
        <v>64</v>
      </c>
      <c r="D1239" s="35" t="s">
        <v>95</v>
      </c>
      <c r="E1239" s="54" t="s">
        <v>39</v>
      </c>
      <c r="F1239" s="31" t="s">
        <v>11</v>
      </c>
      <c r="G1239" s="31" t="s">
        <v>61</v>
      </c>
      <c r="H1239" s="31" t="s">
        <v>4445</v>
      </c>
      <c r="I1239" s="32" t="s">
        <v>40</v>
      </c>
    </row>
    <row r="1240" spans="1:9" ht="16.5" customHeight="1" x14ac:dyDescent="0.2">
      <c r="A1240" s="54" t="s">
        <v>4661</v>
      </c>
      <c r="B1240" s="54" t="s">
        <v>4662</v>
      </c>
      <c r="C1240" s="35" t="s">
        <v>64</v>
      </c>
      <c r="D1240" s="35" t="s">
        <v>95</v>
      </c>
      <c r="E1240" s="54" t="s">
        <v>39</v>
      </c>
      <c r="F1240" s="31" t="s">
        <v>11</v>
      </c>
      <c r="G1240" s="31" t="s">
        <v>41</v>
      </c>
      <c r="H1240" s="31"/>
      <c r="I1240" s="32" t="s">
        <v>40</v>
      </c>
    </row>
    <row r="1241" spans="1:9" ht="16.5" customHeight="1" x14ac:dyDescent="0.2">
      <c r="A1241" s="27" t="s">
        <v>4663</v>
      </c>
      <c r="B1241" s="27" t="s">
        <v>4664</v>
      </c>
      <c r="C1241" s="27" t="s">
        <v>7</v>
      </c>
      <c r="D1241" s="27" t="s">
        <v>8</v>
      </c>
      <c r="E1241" s="27" t="s">
        <v>39</v>
      </c>
      <c r="F1241" s="47" t="s">
        <v>18</v>
      </c>
      <c r="G1241" s="44" t="s">
        <v>61</v>
      </c>
      <c r="H1241" s="32"/>
      <c r="I1241" s="32" t="s">
        <v>40</v>
      </c>
    </row>
    <row r="1242" spans="1:9" ht="16.5" customHeight="1" x14ac:dyDescent="0.2">
      <c r="A1242" s="26" t="s">
        <v>4665</v>
      </c>
      <c r="B1242" s="26" t="s">
        <v>4666</v>
      </c>
      <c r="C1242" s="26" t="s">
        <v>7</v>
      </c>
      <c r="D1242" s="26" t="s">
        <v>16</v>
      </c>
      <c r="E1242" s="26" t="s">
        <v>39</v>
      </c>
      <c r="F1242" s="31" t="s">
        <v>18</v>
      </c>
      <c r="G1242" s="31" t="s">
        <v>61</v>
      </c>
      <c r="H1242" s="32"/>
      <c r="I1242" s="32" t="s">
        <v>40</v>
      </c>
    </row>
    <row r="1243" spans="1:9" ht="16.5" customHeight="1" x14ac:dyDescent="0.2">
      <c r="A1243" s="26" t="s">
        <v>4665</v>
      </c>
      <c r="B1243" s="26" t="s">
        <v>4666</v>
      </c>
      <c r="C1243" s="26" t="s">
        <v>7</v>
      </c>
      <c r="D1243" s="26" t="s">
        <v>16</v>
      </c>
      <c r="E1243" s="26" t="s">
        <v>39</v>
      </c>
      <c r="F1243" s="31" t="s">
        <v>18</v>
      </c>
      <c r="G1243" s="31" t="s">
        <v>61</v>
      </c>
      <c r="H1243" s="32"/>
      <c r="I1243" s="32" t="s">
        <v>40</v>
      </c>
    </row>
    <row r="1244" spans="1:9" ht="16.5" customHeight="1" x14ac:dyDescent="0.2">
      <c r="A1244" s="26" t="s">
        <v>4665</v>
      </c>
      <c r="B1244" s="26" t="s">
        <v>4666</v>
      </c>
      <c r="C1244" s="26" t="s">
        <v>7</v>
      </c>
      <c r="D1244" s="26" t="s">
        <v>16</v>
      </c>
      <c r="E1244" s="26" t="s">
        <v>39</v>
      </c>
      <c r="F1244" s="31" t="s">
        <v>18</v>
      </c>
      <c r="G1244" s="31" t="s">
        <v>61</v>
      </c>
      <c r="H1244" s="32"/>
      <c r="I1244" s="32" t="s">
        <v>40</v>
      </c>
    </row>
    <row r="1245" spans="1:9" ht="16.5" customHeight="1" x14ac:dyDescent="0.2">
      <c r="A1245" s="35" t="s">
        <v>4667</v>
      </c>
      <c r="B1245" s="35" t="s">
        <v>4668</v>
      </c>
      <c r="C1245" s="35" t="s">
        <v>115</v>
      </c>
      <c r="D1245" s="35" t="s">
        <v>119</v>
      </c>
      <c r="E1245" s="35" t="s">
        <v>39</v>
      </c>
      <c r="F1245" s="52" t="s">
        <v>18</v>
      </c>
      <c r="G1245" s="30" t="s">
        <v>61</v>
      </c>
      <c r="H1245" s="30"/>
      <c r="I1245" s="32" t="s">
        <v>40</v>
      </c>
    </row>
    <row r="1246" spans="1:9" ht="16.5" customHeight="1" x14ac:dyDescent="0.2">
      <c r="A1246" s="54" t="s">
        <v>4669</v>
      </c>
      <c r="B1246" s="57" t="s">
        <v>4670</v>
      </c>
      <c r="C1246" s="54" t="s">
        <v>7</v>
      </c>
      <c r="D1246" s="54" t="s">
        <v>8</v>
      </c>
      <c r="E1246" s="54" t="s">
        <v>39</v>
      </c>
      <c r="F1246" s="52" t="s">
        <v>18</v>
      </c>
      <c r="G1246" s="30" t="s">
        <v>41</v>
      </c>
      <c r="H1246" s="58" t="s">
        <v>3679</v>
      </c>
      <c r="I1246" s="32" t="s">
        <v>40</v>
      </c>
    </row>
    <row r="1247" spans="1:9" ht="16.5" customHeight="1" x14ac:dyDescent="0.2">
      <c r="A1247" s="35" t="s">
        <v>4669</v>
      </c>
      <c r="B1247" s="35" t="s">
        <v>4670</v>
      </c>
      <c r="C1247" s="35" t="s">
        <v>7</v>
      </c>
      <c r="D1247" s="35" t="s">
        <v>8</v>
      </c>
      <c r="E1247" s="35" t="s">
        <v>39</v>
      </c>
      <c r="F1247" s="52" t="s">
        <v>18</v>
      </c>
      <c r="G1247" s="30" t="s">
        <v>41</v>
      </c>
      <c r="H1247" s="55"/>
      <c r="I1247" s="32" t="s">
        <v>40</v>
      </c>
    </row>
    <row r="1248" spans="1:9" ht="16.5" customHeight="1" x14ac:dyDescent="0.2">
      <c r="A1248" s="35" t="s">
        <v>4669</v>
      </c>
      <c r="B1248" s="35" t="s">
        <v>4670</v>
      </c>
      <c r="C1248" s="35" t="s">
        <v>7</v>
      </c>
      <c r="D1248" s="35" t="s">
        <v>8</v>
      </c>
      <c r="E1248" s="35" t="s">
        <v>39</v>
      </c>
      <c r="F1248" s="52" t="s">
        <v>18</v>
      </c>
      <c r="G1248" s="30" t="s">
        <v>41</v>
      </c>
      <c r="H1248" s="55"/>
      <c r="I1248" s="32" t="s">
        <v>40</v>
      </c>
    </row>
    <row r="1249" spans="1:9" ht="16.5" customHeight="1" x14ac:dyDescent="0.2">
      <c r="A1249" s="26" t="s">
        <v>4671</v>
      </c>
      <c r="B1249" s="26" t="s">
        <v>4672</v>
      </c>
      <c r="C1249" s="66" t="s">
        <v>98</v>
      </c>
      <c r="D1249" s="66" t="s">
        <v>110</v>
      </c>
      <c r="E1249" s="66" t="s">
        <v>39</v>
      </c>
      <c r="F1249" s="31" t="s">
        <v>18</v>
      </c>
      <c r="G1249" s="66" t="s">
        <v>26</v>
      </c>
      <c r="H1249" s="32"/>
      <c r="I1249" s="32" t="s">
        <v>40</v>
      </c>
    </row>
    <row r="1250" spans="1:9" ht="16.5" customHeight="1" x14ac:dyDescent="0.25">
      <c r="A1250" s="35" t="s">
        <v>4673</v>
      </c>
      <c r="B1250" s="76" t="s">
        <v>4674</v>
      </c>
      <c r="C1250" s="76" t="s">
        <v>64</v>
      </c>
      <c r="D1250" s="35" t="s">
        <v>86</v>
      </c>
      <c r="E1250" s="76" t="s">
        <v>39</v>
      </c>
      <c r="F1250" s="76" t="s">
        <v>18</v>
      </c>
      <c r="G1250" s="35" t="s">
        <v>41</v>
      </c>
      <c r="H1250" s="95"/>
      <c r="I1250" s="32" t="s">
        <v>40</v>
      </c>
    </row>
    <row r="1251" spans="1:9" ht="16.5" customHeight="1" x14ac:dyDescent="0.25">
      <c r="A1251" s="35" t="s">
        <v>4673</v>
      </c>
      <c r="B1251" s="76" t="s">
        <v>4674</v>
      </c>
      <c r="C1251" s="76" t="s">
        <v>64</v>
      </c>
      <c r="D1251" s="35" t="s">
        <v>86</v>
      </c>
      <c r="E1251" s="76" t="s">
        <v>39</v>
      </c>
      <c r="F1251" s="76" t="s">
        <v>18</v>
      </c>
      <c r="G1251" s="35" t="s">
        <v>41</v>
      </c>
      <c r="H1251" s="95"/>
      <c r="I1251" s="32" t="s">
        <v>40</v>
      </c>
    </row>
    <row r="1252" spans="1:9" ht="16.5" customHeight="1" x14ac:dyDescent="0.2">
      <c r="A1252" s="54" t="s">
        <v>4675</v>
      </c>
      <c r="B1252" s="35" t="s">
        <v>4676</v>
      </c>
      <c r="C1252" s="35" t="s">
        <v>64</v>
      </c>
      <c r="D1252" s="35" t="s">
        <v>95</v>
      </c>
      <c r="E1252" s="54" t="s">
        <v>39</v>
      </c>
      <c r="F1252" s="31" t="s">
        <v>18</v>
      </c>
      <c r="G1252" s="31" t="s">
        <v>19</v>
      </c>
      <c r="H1252" s="32"/>
      <c r="I1252" s="32" t="s">
        <v>40</v>
      </c>
    </row>
    <row r="1253" spans="1:9" ht="16.5" customHeight="1" x14ac:dyDescent="0.25">
      <c r="A1253" s="76" t="s">
        <v>4677</v>
      </c>
      <c r="B1253" s="76" t="s">
        <v>4678</v>
      </c>
      <c r="C1253" s="26" t="s">
        <v>64</v>
      </c>
      <c r="D1253" s="26" t="s">
        <v>92</v>
      </c>
      <c r="E1253" s="26" t="s">
        <v>39</v>
      </c>
      <c r="F1253" s="31" t="s">
        <v>18</v>
      </c>
      <c r="G1253" s="31" t="s">
        <v>61</v>
      </c>
      <c r="H1253" s="32"/>
      <c r="I1253" s="32" t="s">
        <v>40</v>
      </c>
    </row>
    <row r="1254" spans="1:9" ht="16.5" customHeight="1" x14ac:dyDescent="0.2">
      <c r="A1254" s="26" t="s">
        <v>4679</v>
      </c>
      <c r="B1254" s="26" t="s">
        <v>4680</v>
      </c>
      <c r="C1254" s="26" t="s">
        <v>7</v>
      </c>
      <c r="D1254" s="26" t="s">
        <v>16</v>
      </c>
      <c r="E1254" s="26" t="s">
        <v>39</v>
      </c>
      <c r="F1254" s="31" t="s">
        <v>18</v>
      </c>
      <c r="G1254" s="31" t="s">
        <v>61</v>
      </c>
      <c r="H1254" s="32"/>
      <c r="I1254" s="32" t="s">
        <v>40</v>
      </c>
    </row>
    <row r="1255" spans="1:9" ht="16.5" customHeight="1" x14ac:dyDescent="0.2">
      <c r="A1255" s="26" t="s">
        <v>4679</v>
      </c>
      <c r="B1255" s="26" t="s">
        <v>4680</v>
      </c>
      <c r="C1255" s="26" t="s">
        <v>7</v>
      </c>
      <c r="D1255" s="26" t="s">
        <v>16</v>
      </c>
      <c r="E1255" s="26" t="s">
        <v>39</v>
      </c>
      <c r="F1255" s="31" t="s">
        <v>18</v>
      </c>
      <c r="G1255" s="31" t="s">
        <v>61</v>
      </c>
      <c r="H1255" s="32"/>
      <c r="I1255" s="32" t="s">
        <v>40</v>
      </c>
    </row>
    <row r="1256" spans="1:9" ht="16.5" customHeight="1" x14ac:dyDescent="0.2">
      <c r="A1256" s="26" t="s">
        <v>4679</v>
      </c>
      <c r="B1256" s="26" t="s">
        <v>4680</v>
      </c>
      <c r="C1256" s="26" t="s">
        <v>7</v>
      </c>
      <c r="D1256" s="26" t="s">
        <v>16</v>
      </c>
      <c r="E1256" s="26" t="s">
        <v>39</v>
      </c>
      <c r="F1256" s="31" t="s">
        <v>18</v>
      </c>
      <c r="G1256" s="31" t="s">
        <v>61</v>
      </c>
      <c r="H1256" s="32"/>
      <c r="I1256" s="32" t="s">
        <v>40</v>
      </c>
    </row>
    <row r="1257" spans="1:9" ht="16.5" customHeight="1" x14ac:dyDescent="0.2">
      <c r="A1257" s="26" t="s">
        <v>4681</v>
      </c>
      <c r="B1257" s="26" t="s">
        <v>4682</v>
      </c>
      <c r="C1257" s="53" t="s">
        <v>115</v>
      </c>
      <c r="D1257" s="26" t="s">
        <v>122</v>
      </c>
      <c r="E1257" s="26" t="s">
        <v>39</v>
      </c>
      <c r="F1257" s="31" t="s">
        <v>18</v>
      </c>
      <c r="G1257" s="31" t="s">
        <v>61</v>
      </c>
      <c r="H1257" s="32"/>
      <c r="I1257" s="32" t="s">
        <v>40</v>
      </c>
    </row>
    <row r="1258" spans="1:9" ht="16.5" customHeight="1" x14ac:dyDescent="0.2">
      <c r="A1258" s="54" t="s">
        <v>4683</v>
      </c>
      <c r="B1258" s="35" t="s">
        <v>4684</v>
      </c>
      <c r="C1258" s="35" t="s">
        <v>64</v>
      </c>
      <c r="D1258" s="35" t="s">
        <v>95</v>
      </c>
      <c r="E1258" s="54" t="s">
        <v>39</v>
      </c>
      <c r="F1258" s="31" t="s">
        <v>18</v>
      </c>
      <c r="G1258" s="31" t="s">
        <v>41</v>
      </c>
      <c r="H1258" s="32"/>
      <c r="I1258" s="32" t="s">
        <v>40</v>
      </c>
    </row>
    <row r="1259" spans="1:9" ht="16.5" customHeight="1" x14ac:dyDescent="0.2">
      <c r="A1259" s="35" t="s">
        <v>4685</v>
      </c>
      <c r="B1259" s="35" t="s">
        <v>4686</v>
      </c>
      <c r="C1259" s="35" t="s">
        <v>115</v>
      </c>
      <c r="D1259" s="35" t="s">
        <v>134</v>
      </c>
      <c r="E1259" s="35" t="s">
        <v>39</v>
      </c>
      <c r="F1259" s="30" t="s">
        <v>18</v>
      </c>
      <c r="G1259" s="31" t="s">
        <v>61</v>
      </c>
      <c r="H1259" s="55"/>
      <c r="I1259" s="32" t="s">
        <v>40</v>
      </c>
    </row>
    <row r="1260" spans="1:9" ht="16.5" customHeight="1" x14ac:dyDescent="0.2">
      <c r="A1260" s="35" t="s">
        <v>4685</v>
      </c>
      <c r="B1260" s="35" t="s">
        <v>4686</v>
      </c>
      <c r="C1260" s="35" t="s">
        <v>115</v>
      </c>
      <c r="D1260" s="35" t="s">
        <v>134</v>
      </c>
      <c r="E1260" s="35" t="s">
        <v>39</v>
      </c>
      <c r="F1260" s="30" t="s">
        <v>18</v>
      </c>
      <c r="G1260" s="31" t="s">
        <v>61</v>
      </c>
      <c r="H1260" s="55"/>
      <c r="I1260" s="32" t="s">
        <v>40</v>
      </c>
    </row>
    <row r="1261" spans="1:9" ht="16.5" customHeight="1" x14ac:dyDescent="0.2">
      <c r="A1261" s="35" t="s">
        <v>4685</v>
      </c>
      <c r="B1261" s="35" t="s">
        <v>4686</v>
      </c>
      <c r="C1261" s="35" t="s">
        <v>115</v>
      </c>
      <c r="D1261" s="35" t="s">
        <v>134</v>
      </c>
      <c r="E1261" s="35" t="s">
        <v>39</v>
      </c>
      <c r="F1261" s="30" t="s">
        <v>18</v>
      </c>
      <c r="G1261" s="31" t="s">
        <v>61</v>
      </c>
      <c r="H1261" s="55"/>
      <c r="I1261" s="32" t="s">
        <v>40</v>
      </c>
    </row>
    <row r="1262" spans="1:9" ht="16.5" customHeight="1" x14ac:dyDescent="0.2">
      <c r="A1262" s="35" t="s">
        <v>4685</v>
      </c>
      <c r="B1262" s="35" t="s">
        <v>4686</v>
      </c>
      <c r="C1262" s="35" t="s">
        <v>115</v>
      </c>
      <c r="D1262" s="35" t="s">
        <v>134</v>
      </c>
      <c r="E1262" s="35" t="s">
        <v>39</v>
      </c>
      <c r="F1262" s="30" t="s">
        <v>18</v>
      </c>
      <c r="G1262" s="31" t="s">
        <v>61</v>
      </c>
      <c r="H1262" s="55"/>
      <c r="I1262" s="32" t="s">
        <v>40</v>
      </c>
    </row>
    <row r="1263" spans="1:9" ht="16.5" customHeight="1" x14ac:dyDescent="0.2">
      <c r="A1263" s="35" t="s">
        <v>4685</v>
      </c>
      <c r="B1263" s="35" t="s">
        <v>4686</v>
      </c>
      <c r="C1263" s="35" t="s">
        <v>115</v>
      </c>
      <c r="D1263" s="35" t="s">
        <v>134</v>
      </c>
      <c r="E1263" s="35" t="s">
        <v>39</v>
      </c>
      <c r="F1263" s="30" t="s">
        <v>18</v>
      </c>
      <c r="G1263" s="31" t="s">
        <v>61</v>
      </c>
      <c r="H1263" s="55"/>
      <c r="I1263" s="32" t="s">
        <v>40</v>
      </c>
    </row>
    <row r="1264" spans="1:9" ht="16.5" customHeight="1" x14ac:dyDescent="0.2">
      <c r="A1264" s="35" t="s">
        <v>4685</v>
      </c>
      <c r="B1264" s="35" t="s">
        <v>4686</v>
      </c>
      <c r="C1264" s="35" t="s">
        <v>115</v>
      </c>
      <c r="D1264" s="35" t="s">
        <v>134</v>
      </c>
      <c r="E1264" s="35" t="s">
        <v>39</v>
      </c>
      <c r="F1264" s="30" t="s">
        <v>18</v>
      </c>
      <c r="G1264" s="31" t="s">
        <v>61</v>
      </c>
      <c r="H1264" s="55"/>
      <c r="I1264" s="32" t="s">
        <v>40</v>
      </c>
    </row>
    <row r="1265" spans="1:9" ht="16.5" customHeight="1" x14ac:dyDescent="0.2">
      <c r="A1265" s="35" t="s">
        <v>4685</v>
      </c>
      <c r="B1265" s="35" t="s">
        <v>4686</v>
      </c>
      <c r="C1265" s="35" t="s">
        <v>115</v>
      </c>
      <c r="D1265" s="35" t="s">
        <v>134</v>
      </c>
      <c r="E1265" s="35" t="s">
        <v>39</v>
      </c>
      <c r="F1265" s="30" t="s">
        <v>18</v>
      </c>
      <c r="G1265" s="31" t="s">
        <v>61</v>
      </c>
      <c r="H1265" s="55"/>
      <c r="I1265" s="32" t="s">
        <v>40</v>
      </c>
    </row>
    <row r="1266" spans="1:9" ht="16.5" customHeight="1" x14ac:dyDescent="0.2">
      <c r="A1266" s="35" t="s">
        <v>4685</v>
      </c>
      <c r="B1266" s="35" t="s">
        <v>4686</v>
      </c>
      <c r="C1266" s="35" t="s">
        <v>115</v>
      </c>
      <c r="D1266" s="35" t="s">
        <v>134</v>
      </c>
      <c r="E1266" s="35" t="s">
        <v>39</v>
      </c>
      <c r="F1266" s="30" t="s">
        <v>18</v>
      </c>
      <c r="G1266" s="31" t="s">
        <v>61</v>
      </c>
      <c r="H1266" s="55"/>
      <c r="I1266" s="32" t="s">
        <v>40</v>
      </c>
    </row>
    <row r="1267" spans="1:9" ht="16.5" customHeight="1" x14ac:dyDescent="0.2">
      <c r="A1267" s="35" t="s">
        <v>4685</v>
      </c>
      <c r="B1267" s="35" t="s">
        <v>4686</v>
      </c>
      <c r="C1267" s="35" t="s">
        <v>115</v>
      </c>
      <c r="D1267" s="35" t="s">
        <v>134</v>
      </c>
      <c r="E1267" s="35" t="s">
        <v>39</v>
      </c>
      <c r="F1267" s="30" t="s">
        <v>18</v>
      </c>
      <c r="G1267" s="31" t="s">
        <v>61</v>
      </c>
      <c r="H1267" s="55"/>
      <c r="I1267" s="32" t="s">
        <v>40</v>
      </c>
    </row>
    <row r="1268" spans="1:9" ht="16.5" customHeight="1" x14ac:dyDescent="0.2">
      <c r="A1268" s="35" t="s">
        <v>4685</v>
      </c>
      <c r="B1268" s="35" t="s">
        <v>4686</v>
      </c>
      <c r="C1268" s="35" t="s">
        <v>115</v>
      </c>
      <c r="D1268" s="35" t="s">
        <v>134</v>
      </c>
      <c r="E1268" s="35" t="s">
        <v>39</v>
      </c>
      <c r="F1268" s="30" t="s">
        <v>18</v>
      </c>
      <c r="G1268" s="31" t="s">
        <v>61</v>
      </c>
      <c r="H1268" s="55"/>
      <c r="I1268" s="32" t="s">
        <v>40</v>
      </c>
    </row>
    <row r="1269" spans="1:9" ht="16.5" customHeight="1" x14ac:dyDescent="0.2">
      <c r="A1269" s="35" t="s">
        <v>4685</v>
      </c>
      <c r="B1269" s="35" t="s">
        <v>4686</v>
      </c>
      <c r="C1269" s="35" t="s">
        <v>115</v>
      </c>
      <c r="D1269" s="35" t="s">
        <v>134</v>
      </c>
      <c r="E1269" s="35" t="s">
        <v>39</v>
      </c>
      <c r="F1269" s="30" t="s">
        <v>18</v>
      </c>
      <c r="G1269" s="31" t="s">
        <v>61</v>
      </c>
      <c r="H1269" s="55"/>
      <c r="I1269" s="32" t="s">
        <v>40</v>
      </c>
    </row>
    <row r="1270" spans="1:9" ht="16.5" customHeight="1" x14ac:dyDescent="0.2">
      <c r="A1270" s="35" t="s">
        <v>4685</v>
      </c>
      <c r="B1270" s="35" t="s">
        <v>4686</v>
      </c>
      <c r="C1270" s="35" t="s">
        <v>115</v>
      </c>
      <c r="D1270" s="35" t="s">
        <v>134</v>
      </c>
      <c r="E1270" s="35" t="s">
        <v>39</v>
      </c>
      <c r="F1270" s="30" t="s">
        <v>18</v>
      </c>
      <c r="G1270" s="31" t="s">
        <v>61</v>
      </c>
      <c r="H1270" s="55"/>
      <c r="I1270" s="32" t="s">
        <v>40</v>
      </c>
    </row>
    <row r="1271" spans="1:9" ht="16.5" customHeight="1" x14ac:dyDescent="0.2">
      <c r="A1271" s="35" t="s">
        <v>4685</v>
      </c>
      <c r="B1271" s="35" t="s">
        <v>4686</v>
      </c>
      <c r="C1271" s="35" t="s">
        <v>115</v>
      </c>
      <c r="D1271" s="35" t="s">
        <v>134</v>
      </c>
      <c r="E1271" s="35" t="s">
        <v>39</v>
      </c>
      <c r="F1271" s="30" t="s">
        <v>18</v>
      </c>
      <c r="G1271" s="31" t="s">
        <v>61</v>
      </c>
      <c r="H1271" s="55"/>
      <c r="I1271" s="32" t="s">
        <v>40</v>
      </c>
    </row>
    <row r="1272" spans="1:9" ht="16.5" customHeight="1" x14ac:dyDescent="0.2">
      <c r="A1272" s="35" t="s">
        <v>4685</v>
      </c>
      <c r="B1272" s="35" t="s">
        <v>4686</v>
      </c>
      <c r="C1272" s="35" t="s">
        <v>115</v>
      </c>
      <c r="D1272" s="35" t="s">
        <v>134</v>
      </c>
      <c r="E1272" s="35" t="s">
        <v>39</v>
      </c>
      <c r="F1272" s="30" t="s">
        <v>18</v>
      </c>
      <c r="G1272" s="31" t="s">
        <v>61</v>
      </c>
      <c r="H1272" s="55"/>
      <c r="I1272" s="32" t="s">
        <v>40</v>
      </c>
    </row>
    <row r="1273" spans="1:9" ht="16.5" customHeight="1" x14ac:dyDescent="0.2">
      <c r="A1273" s="26" t="s">
        <v>4687</v>
      </c>
      <c r="B1273" s="26" t="s">
        <v>4688</v>
      </c>
      <c r="C1273" s="26" t="s">
        <v>37</v>
      </c>
      <c r="D1273" s="27" t="s">
        <v>38</v>
      </c>
      <c r="E1273" s="27" t="s">
        <v>39</v>
      </c>
      <c r="F1273" s="31" t="s">
        <v>18</v>
      </c>
      <c r="G1273" s="31" t="s">
        <v>41</v>
      </c>
      <c r="H1273" s="32"/>
      <c r="I1273" s="32" t="s">
        <v>40</v>
      </c>
    </row>
    <row r="1274" spans="1:9" ht="16.5" customHeight="1" x14ac:dyDescent="0.2">
      <c r="A1274" s="26" t="s">
        <v>4687</v>
      </c>
      <c r="B1274" s="26" t="s">
        <v>4688</v>
      </c>
      <c r="C1274" s="26" t="s">
        <v>37</v>
      </c>
      <c r="D1274" s="27" t="s">
        <v>38</v>
      </c>
      <c r="E1274" s="27" t="s">
        <v>39</v>
      </c>
      <c r="F1274" s="31" t="s">
        <v>18</v>
      </c>
      <c r="G1274" s="31" t="s">
        <v>41</v>
      </c>
      <c r="H1274" s="32"/>
      <c r="I1274" s="32" t="s">
        <v>40</v>
      </c>
    </row>
    <row r="1275" spans="1:9" ht="16.5" customHeight="1" x14ac:dyDescent="0.2">
      <c r="A1275" s="26" t="s">
        <v>4687</v>
      </c>
      <c r="B1275" s="26" t="s">
        <v>4688</v>
      </c>
      <c r="C1275" s="26" t="s">
        <v>37</v>
      </c>
      <c r="D1275" s="27" t="s">
        <v>38</v>
      </c>
      <c r="E1275" s="27" t="s">
        <v>39</v>
      </c>
      <c r="F1275" s="31" t="s">
        <v>18</v>
      </c>
      <c r="G1275" s="31" t="s">
        <v>41</v>
      </c>
      <c r="H1275" s="32"/>
      <c r="I1275" s="32" t="s">
        <v>40</v>
      </c>
    </row>
    <row r="1276" spans="1:9" ht="16.5" customHeight="1" x14ac:dyDescent="0.2">
      <c r="A1276" s="35" t="s">
        <v>4689</v>
      </c>
      <c r="B1276" s="35" t="s">
        <v>4690</v>
      </c>
      <c r="C1276" s="35" t="s">
        <v>115</v>
      </c>
      <c r="D1276" s="35" t="s">
        <v>116</v>
      </c>
      <c r="E1276" s="35" t="s">
        <v>39</v>
      </c>
      <c r="F1276" s="52" t="s">
        <v>11</v>
      </c>
      <c r="G1276" s="52" t="s">
        <v>61</v>
      </c>
      <c r="I1276" s="32" t="s">
        <v>40</v>
      </c>
    </row>
    <row r="1277" spans="1:9" ht="16.5" customHeight="1" x14ac:dyDescent="0.2">
      <c r="A1277" s="35" t="s">
        <v>4689</v>
      </c>
      <c r="B1277" s="35" t="s">
        <v>4690</v>
      </c>
      <c r="C1277" s="35" t="s">
        <v>115</v>
      </c>
      <c r="D1277" s="35" t="s">
        <v>116</v>
      </c>
      <c r="E1277" s="35" t="s">
        <v>39</v>
      </c>
      <c r="F1277" s="52" t="s">
        <v>11</v>
      </c>
      <c r="G1277" s="52" t="s">
        <v>19</v>
      </c>
      <c r="I1277" s="32" t="s">
        <v>40</v>
      </c>
    </row>
    <row r="1278" spans="1:9" ht="16.5" customHeight="1" x14ac:dyDescent="0.2">
      <c r="A1278" s="26" t="s">
        <v>4691</v>
      </c>
      <c r="B1278" s="26" t="s">
        <v>4692</v>
      </c>
      <c r="C1278" s="26" t="s">
        <v>7</v>
      </c>
      <c r="D1278" s="27" t="s">
        <v>16</v>
      </c>
      <c r="E1278" s="26" t="s">
        <v>39</v>
      </c>
      <c r="F1278" s="31" t="s">
        <v>18</v>
      </c>
      <c r="G1278" s="31" t="s">
        <v>61</v>
      </c>
      <c r="H1278" s="32"/>
      <c r="I1278" s="32" t="s">
        <v>40</v>
      </c>
    </row>
    <row r="1279" spans="1:9" ht="16.5" customHeight="1" x14ac:dyDescent="0.25">
      <c r="A1279" s="35" t="s">
        <v>4693</v>
      </c>
      <c r="B1279" s="76" t="s">
        <v>4694</v>
      </c>
      <c r="C1279" s="76" t="s">
        <v>64</v>
      </c>
      <c r="D1279" s="35" t="s">
        <v>86</v>
      </c>
      <c r="E1279" s="76" t="s">
        <v>39</v>
      </c>
      <c r="F1279" s="76" t="s">
        <v>18</v>
      </c>
      <c r="G1279" s="35" t="s">
        <v>26</v>
      </c>
      <c r="H1279" s="95"/>
      <c r="I1279" s="32" t="s">
        <v>40</v>
      </c>
    </row>
    <row r="1280" spans="1:9" ht="16.5" customHeight="1" x14ac:dyDescent="0.25">
      <c r="A1280" s="35" t="s">
        <v>4693</v>
      </c>
      <c r="B1280" s="76" t="s">
        <v>4694</v>
      </c>
      <c r="C1280" s="76" t="s">
        <v>64</v>
      </c>
      <c r="D1280" s="35" t="s">
        <v>86</v>
      </c>
      <c r="E1280" s="76" t="s">
        <v>39</v>
      </c>
      <c r="F1280" s="76" t="s">
        <v>18</v>
      </c>
      <c r="G1280" s="35" t="s">
        <v>26</v>
      </c>
      <c r="H1280" s="95"/>
      <c r="I1280" s="32" t="s">
        <v>40</v>
      </c>
    </row>
    <row r="1281" spans="1:9" ht="16.5" customHeight="1" x14ac:dyDescent="0.2">
      <c r="A1281" s="26" t="s">
        <v>4695</v>
      </c>
      <c r="B1281" s="26" t="s">
        <v>4696</v>
      </c>
      <c r="C1281" s="26" t="s">
        <v>115</v>
      </c>
      <c r="D1281" s="27" t="s">
        <v>116</v>
      </c>
      <c r="E1281" s="27" t="s">
        <v>39</v>
      </c>
      <c r="F1281" s="31" t="s">
        <v>11</v>
      </c>
      <c r="G1281" s="31" t="s">
        <v>61</v>
      </c>
      <c r="H1281" s="31"/>
      <c r="I1281" s="32" t="s">
        <v>40</v>
      </c>
    </row>
    <row r="1282" spans="1:9" ht="16.5" customHeight="1" x14ac:dyDescent="0.2">
      <c r="A1282" s="26" t="s">
        <v>4695</v>
      </c>
      <c r="B1282" s="26" t="s">
        <v>4696</v>
      </c>
      <c r="C1282" s="26" t="s">
        <v>115</v>
      </c>
      <c r="D1282" s="27" t="s">
        <v>116</v>
      </c>
      <c r="E1282" s="27" t="s">
        <v>39</v>
      </c>
      <c r="F1282" s="31" t="s">
        <v>11</v>
      </c>
      <c r="G1282" s="31" t="s">
        <v>72</v>
      </c>
      <c r="H1282" s="31"/>
      <c r="I1282" s="32" t="s">
        <v>40</v>
      </c>
    </row>
    <row r="1283" spans="1:9" ht="16.5" customHeight="1" x14ac:dyDescent="0.2">
      <c r="A1283" s="26" t="s">
        <v>4695</v>
      </c>
      <c r="B1283" s="26" t="s">
        <v>4696</v>
      </c>
      <c r="C1283" s="26" t="s">
        <v>115</v>
      </c>
      <c r="D1283" s="27" t="s">
        <v>116</v>
      </c>
      <c r="E1283" s="27" t="s">
        <v>39</v>
      </c>
      <c r="F1283" s="31" t="s">
        <v>11</v>
      </c>
      <c r="G1283" s="31" t="s">
        <v>72</v>
      </c>
      <c r="H1283" s="31"/>
      <c r="I1283" s="32" t="s">
        <v>40</v>
      </c>
    </row>
    <row r="1284" spans="1:9" ht="16.5" customHeight="1" x14ac:dyDescent="0.2">
      <c r="A1284" s="26" t="s">
        <v>4695</v>
      </c>
      <c r="B1284" s="26" t="s">
        <v>4696</v>
      </c>
      <c r="C1284" s="26" t="s">
        <v>115</v>
      </c>
      <c r="D1284" s="27" t="s">
        <v>116</v>
      </c>
      <c r="E1284" s="27" t="s">
        <v>39</v>
      </c>
      <c r="F1284" s="31" t="s">
        <v>11</v>
      </c>
      <c r="G1284" s="31" t="s">
        <v>72</v>
      </c>
      <c r="H1284" s="31"/>
      <c r="I1284" s="32" t="s">
        <v>40</v>
      </c>
    </row>
    <row r="1285" spans="1:9" ht="16.5" customHeight="1" x14ac:dyDescent="0.2">
      <c r="A1285" s="26" t="s">
        <v>4695</v>
      </c>
      <c r="B1285" s="26" t="s">
        <v>4696</v>
      </c>
      <c r="C1285" s="26" t="s">
        <v>115</v>
      </c>
      <c r="D1285" s="27" t="s">
        <v>116</v>
      </c>
      <c r="E1285" s="27" t="s">
        <v>39</v>
      </c>
      <c r="F1285" s="31" t="s">
        <v>11</v>
      </c>
      <c r="G1285" s="31" t="s">
        <v>72</v>
      </c>
      <c r="H1285" s="31"/>
      <c r="I1285" s="32" t="s">
        <v>40</v>
      </c>
    </row>
    <row r="1286" spans="1:9" ht="16.5" customHeight="1" x14ac:dyDescent="0.2">
      <c r="A1286" s="26" t="s">
        <v>4695</v>
      </c>
      <c r="B1286" s="26" t="s">
        <v>4696</v>
      </c>
      <c r="C1286" s="26" t="s">
        <v>115</v>
      </c>
      <c r="D1286" s="27" t="s">
        <v>116</v>
      </c>
      <c r="E1286" s="27" t="s">
        <v>39</v>
      </c>
      <c r="F1286" s="31" t="s">
        <v>11</v>
      </c>
      <c r="G1286" s="31" t="s">
        <v>72</v>
      </c>
      <c r="H1286" s="31"/>
      <c r="I1286" s="32" t="s">
        <v>40</v>
      </c>
    </row>
    <row r="1287" spans="1:9" ht="16.5" customHeight="1" x14ac:dyDescent="0.2">
      <c r="A1287" s="26" t="s">
        <v>4695</v>
      </c>
      <c r="B1287" s="26" t="s">
        <v>4696</v>
      </c>
      <c r="C1287" s="26" t="s">
        <v>115</v>
      </c>
      <c r="D1287" s="27" t="s">
        <v>116</v>
      </c>
      <c r="E1287" s="27" t="s">
        <v>39</v>
      </c>
      <c r="F1287" s="31" t="s">
        <v>11</v>
      </c>
      <c r="G1287" s="31" t="s">
        <v>72</v>
      </c>
      <c r="H1287" s="31"/>
      <c r="I1287" s="32" t="s">
        <v>40</v>
      </c>
    </row>
    <row r="1288" spans="1:9" ht="16.5" customHeight="1" x14ac:dyDescent="0.2">
      <c r="A1288" s="26" t="s">
        <v>4695</v>
      </c>
      <c r="B1288" s="26" t="s">
        <v>4696</v>
      </c>
      <c r="C1288" s="26" t="s">
        <v>115</v>
      </c>
      <c r="D1288" s="27" t="s">
        <v>116</v>
      </c>
      <c r="E1288" s="27" t="s">
        <v>39</v>
      </c>
      <c r="F1288" s="31" t="s">
        <v>11</v>
      </c>
      <c r="G1288" s="31" t="s">
        <v>72</v>
      </c>
      <c r="H1288" s="31"/>
      <c r="I1288" s="32" t="s">
        <v>40</v>
      </c>
    </row>
    <row r="1289" spans="1:9" ht="16.5" customHeight="1" x14ac:dyDescent="0.2">
      <c r="A1289" s="26" t="s">
        <v>4695</v>
      </c>
      <c r="B1289" s="26" t="s">
        <v>4696</v>
      </c>
      <c r="C1289" s="26" t="s">
        <v>115</v>
      </c>
      <c r="D1289" s="27" t="s">
        <v>116</v>
      </c>
      <c r="E1289" s="27" t="s">
        <v>39</v>
      </c>
      <c r="F1289" s="31" t="s">
        <v>11</v>
      </c>
      <c r="G1289" s="31" t="s">
        <v>72</v>
      </c>
      <c r="H1289" s="31"/>
      <c r="I1289" s="32" t="s">
        <v>40</v>
      </c>
    </row>
    <row r="1290" spans="1:9" ht="16.5" customHeight="1" x14ac:dyDescent="0.2">
      <c r="A1290" s="26" t="s">
        <v>4695</v>
      </c>
      <c r="B1290" s="26" t="s">
        <v>4696</v>
      </c>
      <c r="C1290" s="26" t="s">
        <v>115</v>
      </c>
      <c r="D1290" s="27" t="s">
        <v>116</v>
      </c>
      <c r="E1290" s="27" t="s">
        <v>39</v>
      </c>
      <c r="F1290" s="31" t="s">
        <v>11</v>
      </c>
      <c r="G1290" s="31" t="s">
        <v>72</v>
      </c>
      <c r="H1290" s="31"/>
      <c r="I1290" s="32" t="s">
        <v>40</v>
      </c>
    </row>
    <row r="1291" spans="1:9" ht="16.5" customHeight="1" x14ac:dyDescent="0.2">
      <c r="A1291" s="26" t="s">
        <v>4697</v>
      </c>
      <c r="B1291" s="26" t="s">
        <v>4698</v>
      </c>
      <c r="C1291" s="26" t="s">
        <v>98</v>
      </c>
      <c r="D1291" s="26" t="s">
        <v>105</v>
      </c>
      <c r="E1291" s="26" t="s">
        <v>39</v>
      </c>
      <c r="F1291" s="31" t="s">
        <v>18</v>
      </c>
      <c r="G1291" s="31" t="s">
        <v>41</v>
      </c>
      <c r="H1291" s="32"/>
      <c r="I1291" s="32" t="s">
        <v>40</v>
      </c>
    </row>
    <row r="1292" spans="1:9" ht="16.5" customHeight="1" x14ac:dyDescent="0.2">
      <c r="A1292" s="35" t="s">
        <v>4699</v>
      </c>
      <c r="B1292" s="35" t="s">
        <v>4700</v>
      </c>
      <c r="C1292" s="35" t="s">
        <v>115</v>
      </c>
      <c r="D1292" s="35" t="s">
        <v>134</v>
      </c>
      <c r="E1292" s="35" t="s">
        <v>39</v>
      </c>
      <c r="F1292" s="30" t="s">
        <v>18</v>
      </c>
      <c r="G1292" s="31" t="s">
        <v>54</v>
      </c>
      <c r="H1292" s="55"/>
      <c r="I1292" s="32" t="s">
        <v>40</v>
      </c>
    </row>
    <row r="1293" spans="1:9" ht="16.5" customHeight="1" x14ac:dyDescent="0.2">
      <c r="A1293" s="35" t="s">
        <v>4699</v>
      </c>
      <c r="B1293" s="35" t="s">
        <v>4700</v>
      </c>
      <c r="C1293" s="35" t="s">
        <v>115</v>
      </c>
      <c r="D1293" s="35" t="s">
        <v>134</v>
      </c>
      <c r="E1293" s="35" t="s">
        <v>39</v>
      </c>
      <c r="F1293" s="30" t="s">
        <v>18</v>
      </c>
      <c r="G1293" s="31" t="s">
        <v>54</v>
      </c>
      <c r="H1293" s="55"/>
      <c r="I1293" s="32" t="s">
        <v>40</v>
      </c>
    </row>
    <row r="1294" spans="1:9" ht="16.5" customHeight="1" x14ac:dyDescent="0.2">
      <c r="A1294" s="35" t="s">
        <v>4701</v>
      </c>
      <c r="B1294" s="35" t="s">
        <v>4702</v>
      </c>
      <c r="C1294" s="35" t="s">
        <v>115</v>
      </c>
      <c r="D1294" s="35" t="s">
        <v>134</v>
      </c>
      <c r="E1294" s="35" t="s">
        <v>39</v>
      </c>
      <c r="F1294" s="30" t="s">
        <v>18</v>
      </c>
      <c r="G1294" s="31" t="s">
        <v>12</v>
      </c>
      <c r="H1294" s="55"/>
      <c r="I1294" s="32" t="s">
        <v>40</v>
      </c>
    </row>
    <row r="1295" spans="1:9" ht="16.5" customHeight="1" x14ac:dyDescent="0.2">
      <c r="A1295" s="35" t="s">
        <v>4701</v>
      </c>
      <c r="B1295" s="35" t="s">
        <v>4702</v>
      </c>
      <c r="C1295" s="35" t="s">
        <v>115</v>
      </c>
      <c r="D1295" s="35" t="s">
        <v>134</v>
      </c>
      <c r="E1295" s="35" t="s">
        <v>39</v>
      </c>
      <c r="F1295" s="30" t="s">
        <v>18</v>
      </c>
      <c r="G1295" s="31" t="s">
        <v>12</v>
      </c>
      <c r="H1295" s="55"/>
      <c r="I1295" s="32" t="s">
        <v>40</v>
      </c>
    </row>
    <row r="1296" spans="1:9" ht="16.5" customHeight="1" x14ac:dyDescent="0.2">
      <c r="A1296" s="35" t="s">
        <v>4703</v>
      </c>
      <c r="B1296" s="35" t="s">
        <v>4704</v>
      </c>
      <c r="C1296" s="35" t="s">
        <v>115</v>
      </c>
      <c r="D1296" s="35" t="s">
        <v>116</v>
      </c>
      <c r="E1296" s="35" t="s">
        <v>39</v>
      </c>
      <c r="F1296" s="52" t="s">
        <v>18</v>
      </c>
      <c r="G1296" s="35" t="s">
        <v>61</v>
      </c>
      <c r="I1296" s="32" t="s">
        <v>40</v>
      </c>
    </row>
    <row r="1297" spans="1:9" ht="16.5" customHeight="1" x14ac:dyDescent="0.2">
      <c r="A1297" s="35" t="s">
        <v>4703</v>
      </c>
      <c r="B1297" s="35" t="s">
        <v>4704</v>
      </c>
      <c r="C1297" s="35" t="s">
        <v>115</v>
      </c>
      <c r="D1297" s="35" t="s">
        <v>116</v>
      </c>
      <c r="E1297" s="35" t="s">
        <v>39</v>
      </c>
      <c r="F1297" s="52" t="s">
        <v>18</v>
      </c>
      <c r="G1297" s="35" t="s">
        <v>61</v>
      </c>
      <c r="I1297" s="32" t="s">
        <v>40</v>
      </c>
    </row>
    <row r="1298" spans="1:9" ht="16.5" customHeight="1" x14ac:dyDescent="0.2">
      <c r="A1298" s="35" t="s">
        <v>4705</v>
      </c>
      <c r="B1298" s="35" t="s">
        <v>4706</v>
      </c>
      <c r="C1298" s="35" t="s">
        <v>115</v>
      </c>
      <c r="D1298" s="35" t="s">
        <v>116</v>
      </c>
      <c r="E1298" s="35" t="s">
        <v>39</v>
      </c>
      <c r="F1298" s="52" t="s">
        <v>18</v>
      </c>
      <c r="G1298" s="52" t="s">
        <v>19</v>
      </c>
      <c r="I1298" s="32" t="s">
        <v>40</v>
      </c>
    </row>
    <row r="1299" spans="1:9" ht="16.5" customHeight="1" x14ac:dyDescent="0.2">
      <c r="A1299" s="35" t="s">
        <v>4705</v>
      </c>
      <c r="B1299" s="35" t="s">
        <v>4706</v>
      </c>
      <c r="C1299" s="35" t="s">
        <v>115</v>
      </c>
      <c r="D1299" s="35" t="s">
        <v>116</v>
      </c>
      <c r="E1299" s="35" t="s">
        <v>39</v>
      </c>
      <c r="F1299" s="52" t="s">
        <v>18</v>
      </c>
      <c r="G1299" s="52" t="s">
        <v>19</v>
      </c>
      <c r="I1299" s="32" t="s">
        <v>40</v>
      </c>
    </row>
    <row r="1300" spans="1:9" ht="16.5" customHeight="1" x14ac:dyDescent="0.25">
      <c r="A1300" s="35" t="s">
        <v>4707</v>
      </c>
      <c r="B1300" s="76" t="s">
        <v>4708</v>
      </c>
      <c r="C1300" s="76" t="s">
        <v>64</v>
      </c>
      <c r="D1300" s="35" t="s">
        <v>86</v>
      </c>
      <c r="E1300" s="76" t="s">
        <v>39</v>
      </c>
      <c r="F1300" s="76" t="s">
        <v>18</v>
      </c>
      <c r="G1300" s="35" t="s">
        <v>72</v>
      </c>
      <c r="H1300" s="95"/>
      <c r="I1300" s="32" t="s">
        <v>40</v>
      </c>
    </row>
    <row r="1301" spans="1:9" ht="16.5" customHeight="1" x14ac:dyDescent="0.25">
      <c r="A1301" s="35" t="s">
        <v>4707</v>
      </c>
      <c r="B1301" s="76" t="s">
        <v>4708</v>
      </c>
      <c r="C1301" s="76" t="s">
        <v>64</v>
      </c>
      <c r="D1301" s="35" t="s">
        <v>86</v>
      </c>
      <c r="E1301" s="76" t="s">
        <v>39</v>
      </c>
      <c r="F1301" s="76" t="s">
        <v>18</v>
      </c>
      <c r="G1301" s="35" t="s">
        <v>72</v>
      </c>
      <c r="H1301" s="95"/>
      <c r="I1301" s="32" t="s">
        <v>40</v>
      </c>
    </row>
    <row r="1302" spans="1:9" ht="16.5" customHeight="1" x14ac:dyDescent="0.2">
      <c r="A1302" s="35" t="s">
        <v>4709</v>
      </c>
      <c r="B1302" s="35" t="s">
        <v>4710</v>
      </c>
      <c r="C1302" s="26" t="s">
        <v>98</v>
      </c>
      <c r="D1302" s="26" t="s">
        <v>107</v>
      </c>
      <c r="E1302" s="26" t="s">
        <v>39</v>
      </c>
      <c r="F1302" s="31" t="s">
        <v>18</v>
      </c>
      <c r="G1302" s="27" t="s">
        <v>41</v>
      </c>
      <c r="H1302" s="27"/>
      <c r="I1302" s="32" t="s">
        <v>40</v>
      </c>
    </row>
    <row r="1303" spans="1:9" ht="16.5" customHeight="1" x14ac:dyDescent="0.2">
      <c r="A1303" s="26" t="s">
        <v>4711</v>
      </c>
      <c r="B1303" s="26" t="s">
        <v>4712</v>
      </c>
      <c r="C1303" s="66" t="s">
        <v>98</v>
      </c>
      <c r="D1303" s="66" t="s">
        <v>110</v>
      </c>
      <c r="E1303" s="66" t="s">
        <v>39</v>
      </c>
      <c r="F1303" s="31" t="s">
        <v>11</v>
      </c>
      <c r="G1303" s="66" t="s">
        <v>19</v>
      </c>
      <c r="H1303" s="32"/>
      <c r="I1303" s="32" t="s">
        <v>40</v>
      </c>
    </row>
    <row r="1304" spans="1:9" ht="16.5" customHeight="1" x14ac:dyDescent="0.2">
      <c r="A1304" s="35" t="s">
        <v>4713</v>
      </c>
      <c r="B1304" s="35" t="s">
        <v>4714</v>
      </c>
      <c r="C1304" s="35" t="s">
        <v>115</v>
      </c>
      <c r="D1304" s="35" t="s">
        <v>125</v>
      </c>
      <c r="E1304" s="35" t="s">
        <v>39</v>
      </c>
      <c r="F1304" s="30" t="s">
        <v>18</v>
      </c>
      <c r="G1304" s="31" t="s">
        <v>12</v>
      </c>
      <c r="H1304" s="55" t="s">
        <v>3482</v>
      </c>
      <c r="I1304" s="32" t="s">
        <v>40</v>
      </c>
    </row>
    <row r="1305" spans="1:9" ht="16.5" customHeight="1" x14ac:dyDescent="0.25">
      <c r="A1305" s="76" t="s">
        <v>4715</v>
      </c>
      <c r="B1305" s="76" t="s">
        <v>4716</v>
      </c>
      <c r="C1305" s="26" t="s">
        <v>64</v>
      </c>
      <c r="D1305" s="26" t="s">
        <v>92</v>
      </c>
      <c r="E1305" s="26" t="s">
        <v>39</v>
      </c>
      <c r="F1305" s="31" t="s">
        <v>18</v>
      </c>
      <c r="G1305" s="31" t="s">
        <v>12</v>
      </c>
      <c r="H1305" s="32"/>
      <c r="I1305" s="32" t="s">
        <v>40</v>
      </c>
    </row>
    <row r="1306" spans="1:9" ht="16.5" customHeight="1" x14ac:dyDescent="0.2">
      <c r="A1306" s="35" t="s">
        <v>4717</v>
      </c>
      <c r="B1306" s="35" t="s">
        <v>4718</v>
      </c>
      <c r="C1306" s="35" t="s">
        <v>64</v>
      </c>
      <c r="D1306" s="35" t="s">
        <v>89</v>
      </c>
      <c r="E1306" s="54" t="s">
        <v>39</v>
      </c>
      <c r="F1306" s="31" t="s">
        <v>18</v>
      </c>
      <c r="G1306" s="31" t="s">
        <v>61</v>
      </c>
      <c r="H1306" s="32"/>
      <c r="I1306" s="32" t="s">
        <v>40</v>
      </c>
    </row>
    <row r="1307" spans="1:9" ht="16.5" customHeight="1" x14ac:dyDescent="0.2">
      <c r="A1307" s="26" t="s">
        <v>4719</v>
      </c>
      <c r="B1307" s="26" t="s">
        <v>4720</v>
      </c>
      <c r="C1307" s="26" t="s">
        <v>98</v>
      </c>
      <c r="D1307" s="26" t="s">
        <v>99</v>
      </c>
      <c r="E1307" s="26" t="s">
        <v>39</v>
      </c>
      <c r="F1307" s="47" t="s">
        <v>18</v>
      </c>
      <c r="G1307" s="31" t="s">
        <v>61</v>
      </c>
      <c r="H1307" s="32"/>
      <c r="I1307" s="32" t="s">
        <v>40</v>
      </c>
    </row>
    <row r="1308" spans="1:9" ht="16.5" customHeight="1" x14ac:dyDescent="0.2">
      <c r="A1308" s="35" t="s">
        <v>4721</v>
      </c>
      <c r="B1308" s="35" t="s">
        <v>4722</v>
      </c>
      <c r="C1308" s="35" t="s">
        <v>115</v>
      </c>
      <c r="D1308" s="35" t="s">
        <v>125</v>
      </c>
      <c r="E1308" s="35" t="s">
        <v>39</v>
      </c>
      <c r="F1308" s="30" t="s">
        <v>18</v>
      </c>
      <c r="G1308" s="31" t="s">
        <v>41</v>
      </c>
      <c r="H1308" s="55"/>
      <c r="I1308" s="32" t="s">
        <v>40</v>
      </c>
    </row>
    <row r="1309" spans="1:9" ht="16.5" customHeight="1" x14ac:dyDescent="0.2">
      <c r="A1309" s="35" t="s">
        <v>4723</v>
      </c>
      <c r="B1309" s="35" t="s">
        <v>4724</v>
      </c>
      <c r="C1309" s="35" t="s">
        <v>115</v>
      </c>
      <c r="D1309" s="35" t="s">
        <v>128</v>
      </c>
      <c r="E1309" s="35" t="s">
        <v>39</v>
      </c>
      <c r="F1309" s="30" t="s">
        <v>18</v>
      </c>
      <c r="G1309" s="31" t="s">
        <v>12</v>
      </c>
      <c r="H1309" s="30" t="s">
        <v>4725</v>
      </c>
      <c r="I1309" s="32" t="s">
        <v>40</v>
      </c>
    </row>
    <row r="1310" spans="1:9" ht="16.5" customHeight="1" x14ac:dyDescent="0.2">
      <c r="A1310" s="35" t="s">
        <v>4726</v>
      </c>
      <c r="B1310" s="54" t="s">
        <v>5547</v>
      </c>
      <c r="C1310" s="35" t="s">
        <v>115</v>
      </c>
      <c r="D1310" s="35" t="s">
        <v>131</v>
      </c>
      <c r="E1310" s="35" t="s">
        <v>39</v>
      </c>
      <c r="F1310" s="30" t="s">
        <v>18</v>
      </c>
      <c r="G1310" s="31" t="s">
        <v>72</v>
      </c>
      <c r="H1310" s="30" t="s">
        <v>3398</v>
      </c>
      <c r="I1310" s="32" t="s">
        <v>40</v>
      </c>
    </row>
    <row r="1311" spans="1:9" ht="16.5" customHeight="1" x14ac:dyDescent="0.2">
      <c r="A1311" s="35" t="s">
        <v>4728</v>
      </c>
      <c r="B1311" s="54" t="s">
        <v>5558</v>
      </c>
      <c r="C1311" s="35" t="s">
        <v>115</v>
      </c>
      <c r="D1311" s="35" t="s">
        <v>131</v>
      </c>
      <c r="E1311" s="35" t="s">
        <v>39</v>
      </c>
      <c r="F1311" s="30" t="s">
        <v>18</v>
      </c>
      <c r="G1311" s="31" t="s">
        <v>72</v>
      </c>
      <c r="H1311" s="30" t="s">
        <v>3300</v>
      </c>
      <c r="I1311" s="32" t="s">
        <v>40</v>
      </c>
    </row>
    <row r="1312" spans="1:9" ht="16.5" customHeight="1" x14ac:dyDescent="0.2">
      <c r="A1312" s="35" t="s">
        <v>4728</v>
      </c>
      <c r="B1312" s="54" t="s">
        <v>5558</v>
      </c>
      <c r="C1312" s="35" t="s">
        <v>115</v>
      </c>
      <c r="D1312" s="35" t="s">
        <v>131</v>
      </c>
      <c r="E1312" s="35" t="s">
        <v>39</v>
      </c>
      <c r="F1312" s="30" t="s">
        <v>18</v>
      </c>
      <c r="G1312" s="31" t="s">
        <v>72</v>
      </c>
      <c r="H1312" s="55" t="s">
        <v>5546</v>
      </c>
      <c r="I1312" s="32" t="s">
        <v>40</v>
      </c>
    </row>
    <row r="1313" spans="1:9" ht="16.5" customHeight="1" x14ac:dyDescent="0.2">
      <c r="A1313" s="35" t="s">
        <v>4728</v>
      </c>
      <c r="B1313" s="54" t="s">
        <v>5558</v>
      </c>
      <c r="C1313" s="35" t="s">
        <v>115</v>
      </c>
      <c r="D1313" s="35" t="s">
        <v>131</v>
      </c>
      <c r="E1313" s="35" t="s">
        <v>39</v>
      </c>
      <c r="F1313" s="30" t="s">
        <v>18</v>
      </c>
      <c r="G1313" s="31" t="s">
        <v>72</v>
      </c>
      <c r="H1313" s="55" t="s">
        <v>5560</v>
      </c>
      <c r="I1313" s="32" t="s">
        <v>40</v>
      </c>
    </row>
    <row r="1314" spans="1:9" ht="16.5" customHeight="1" x14ac:dyDescent="0.2">
      <c r="A1314" s="54" t="s">
        <v>4730</v>
      </c>
      <c r="B1314" s="35" t="s">
        <v>4731</v>
      </c>
      <c r="C1314" s="35" t="s">
        <v>64</v>
      </c>
      <c r="D1314" s="35" t="s">
        <v>95</v>
      </c>
      <c r="E1314" s="54" t="s">
        <v>39</v>
      </c>
      <c r="F1314" s="31" t="s">
        <v>18</v>
      </c>
      <c r="G1314" s="31" t="s">
        <v>41</v>
      </c>
      <c r="H1314" s="32"/>
      <c r="I1314" s="32" t="s">
        <v>40</v>
      </c>
    </row>
    <row r="1315" spans="1:9" ht="16.5" customHeight="1" x14ac:dyDescent="0.2">
      <c r="A1315" s="35" t="s">
        <v>4732</v>
      </c>
      <c r="B1315" s="35" t="s">
        <v>4733</v>
      </c>
      <c r="C1315" s="35" t="s">
        <v>115</v>
      </c>
      <c r="D1315" s="35" t="s">
        <v>119</v>
      </c>
      <c r="E1315" s="35" t="s">
        <v>39</v>
      </c>
      <c r="F1315" s="52" t="s">
        <v>18</v>
      </c>
      <c r="G1315" s="55" t="s">
        <v>61</v>
      </c>
      <c r="H1315" s="55"/>
      <c r="I1315" s="32" t="s">
        <v>40</v>
      </c>
    </row>
    <row r="1316" spans="1:9" ht="16.5" customHeight="1" x14ac:dyDescent="0.2">
      <c r="A1316" s="35" t="s">
        <v>4734</v>
      </c>
      <c r="B1316" s="35" t="s">
        <v>4735</v>
      </c>
      <c r="C1316" s="35" t="s">
        <v>64</v>
      </c>
      <c r="D1316" s="35" t="s">
        <v>70</v>
      </c>
      <c r="E1316" s="35" t="s">
        <v>39</v>
      </c>
      <c r="F1316" s="30" t="s">
        <v>18</v>
      </c>
      <c r="G1316" s="31" t="s">
        <v>19</v>
      </c>
      <c r="H1316" s="32"/>
      <c r="I1316" s="32" t="s">
        <v>40</v>
      </c>
    </row>
    <row r="1317" spans="1:9" ht="16.5" customHeight="1" x14ac:dyDescent="0.2">
      <c r="A1317" s="25" t="s">
        <v>4736</v>
      </c>
      <c r="B1317" s="26" t="s">
        <v>4737</v>
      </c>
      <c r="C1317" s="26" t="s">
        <v>7</v>
      </c>
      <c r="D1317" s="27" t="s">
        <v>16</v>
      </c>
      <c r="E1317" s="26" t="s">
        <v>39</v>
      </c>
      <c r="F1317" s="47" t="s">
        <v>18</v>
      </c>
      <c r="G1317" s="31" t="s">
        <v>41</v>
      </c>
      <c r="H1317" s="32"/>
      <c r="I1317" s="32" t="s">
        <v>40</v>
      </c>
    </row>
    <row r="1318" spans="1:9" ht="16.5" customHeight="1" x14ac:dyDescent="0.2">
      <c r="A1318" s="25" t="s">
        <v>4736</v>
      </c>
      <c r="B1318" s="26" t="s">
        <v>4737</v>
      </c>
      <c r="C1318" s="26" t="s">
        <v>7</v>
      </c>
      <c r="D1318" s="27" t="s">
        <v>16</v>
      </c>
      <c r="E1318" s="26" t="s">
        <v>39</v>
      </c>
      <c r="F1318" s="47" t="s">
        <v>18</v>
      </c>
      <c r="G1318" s="31" t="s">
        <v>41</v>
      </c>
      <c r="H1318" s="32"/>
      <c r="I1318" s="32" t="s">
        <v>40</v>
      </c>
    </row>
    <row r="1319" spans="1:9" ht="16.5" customHeight="1" x14ac:dyDescent="0.2">
      <c r="A1319" s="35" t="s">
        <v>4738</v>
      </c>
      <c r="B1319" s="54" t="s">
        <v>5562</v>
      </c>
      <c r="C1319" s="35" t="s">
        <v>115</v>
      </c>
      <c r="D1319" s="35" t="s">
        <v>131</v>
      </c>
      <c r="E1319" s="35" t="s">
        <v>39</v>
      </c>
      <c r="F1319" s="30" t="s">
        <v>18</v>
      </c>
      <c r="G1319" s="31" t="s">
        <v>72</v>
      </c>
      <c r="H1319" s="55" t="s">
        <v>4740</v>
      </c>
      <c r="I1319" s="32" t="s">
        <v>40</v>
      </c>
    </row>
    <row r="1320" spans="1:9" ht="16.5" customHeight="1" x14ac:dyDescent="0.2">
      <c r="A1320" s="35" t="s">
        <v>4738</v>
      </c>
      <c r="B1320" s="54" t="s">
        <v>5562</v>
      </c>
      <c r="C1320" s="35" t="s">
        <v>115</v>
      </c>
      <c r="D1320" s="35" t="s">
        <v>131</v>
      </c>
      <c r="E1320" s="35" t="s">
        <v>39</v>
      </c>
      <c r="F1320" s="30" t="s">
        <v>18</v>
      </c>
      <c r="G1320" s="31" t="s">
        <v>72</v>
      </c>
      <c r="H1320" s="55" t="s">
        <v>5550</v>
      </c>
      <c r="I1320" s="32" t="s">
        <v>40</v>
      </c>
    </row>
    <row r="1321" spans="1:9" ht="16.5" customHeight="1" x14ac:dyDescent="0.2">
      <c r="A1321" s="35" t="s">
        <v>4738</v>
      </c>
      <c r="B1321" s="54" t="s">
        <v>5562</v>
      </c>
      <c r="C1321" s="35" t="s">
        <v>115</v>
      </c>
      <c r="D1321" s="35" t="s">
        <v>131</v>
      </c>
      <c r="E1321" s="35" t="s">
        <v>39</v>
      </c>
      <c r="F1321" s="30" t="s">
        <v>18</v>
      </c>
      <c r="G1321" s="31" t="s">
        <v>72</v>
      </c>
      <c r="H1321" s="55" t="s">
        <v>5564</v>
      </c>
      <c r="I1321" s="32" t="s">
        <v>40</v>
      </c>
    </row>
    <row r="1322" spans="1:9" ht="16.5" customHeight="1" x14ac:dyDescent="0.2">
      <c r="A1322" s="54" t="s">
        <v>4741</v>
      </c>
      <c r="B1322" s="35" t="s">
        <v>4742</v>
      </c>
      <c r="C1322" s="35" t="s">
        <v>64</v>
      </c>
      <c r="D1322" s="35" t="s">
        <v>95</v>
      </c>
      <c r="E1322" s="54" t="s">
        <v>39</v>
      </c>
      <c r="F1322" s="31" t="s">
        <v>18</v>
      </c>
      <c r="G1322" s="31" t="s">
        <v>41</v>
      </c>
      <c r="H1322" s="32"/>
      <c r="I1322" s="32" t="s">
        <v>40</v>
      </c>
    </row>
    <row r="1323" spans="1:9" ht="16.5" customHeight="1" x14ac:dyDescent="0.2">
      <c r="A1323" s="54" t="s">
        <v>4741</v>
      </c>
      <c r="B1323" s="35" t="s">
        <v>4742</v>
      </c>
      <c r="C1323" s="35" t="s">
        <v>64</v>
      </c>
      <c r="D1323" s="35" t="s">
        <v>95</v>
      </c>
      <c r="E1323" s="54" t="s">
        <v>39</v>
      </c>
      <c r="F1323" s="31" t="s">
        <v>18</v>
      </c>
      <c r="G1323" s="31" t="s">
        <v>41</v>
      </c>
      <c r="H1323" s="31" t="s">
        <v>4445</v>
      </c>
      <c r="I1323" s="32" t="s">
        <v>40</v>
      </c>
    </row>
    <row r="1324" spans="1:9" ht="16.5" customHeight="1" x14ac:dyDescent="0.25">
      <c r="A1324" s="76" t="s">
        <v>4743</v>
      </c>
      <c r="B1324" s="76" t="s">
        <v>4744</v>
      </c>
      <c r="C1324" s="26" t="s">
        <v>64</v>
      </c>
      <c r="D1324" s="26" t="s">
        <v>92</v>
      </c>
      <c r="E1324" s="26" t="s">
        <v>39</v>
      </c>
      <c r="F1324" s="31" t="s">
        <v>11</v>
      </c>
      <c r="G1324" s="27" t="s">
        <v>72</v>
      </c>
      <c r="H1324" s="51"/>
      <c r="I1324" s="32" t="s">
        <v>40</v>
      </c>
    </row>
    <row r="1325" spans="1:9" ht="16.5" customHeight="1" x14ac:dyDescent="0.25">
      <c r="A1325" s="76" t="s">
        <v>4743</v>
      </c>
      <c r="B1325" s="76" t="s">
        <v>4744</v>
      </c>
      <c r="C1325" s="26" t="s">
        <v>64</v>
      </c>
      <c r="D1325" s="26" t="s">
        <v>92</v>
      </c>
      <c r="E1325" s="26" t="s">
        <v>39</v>
      </c>
      <c r="F1325" s="31" t="s">
        <v>11</v>
      </c>
      <c r="G1325" s="31" t="s">
        <v>72</v>
      </c>
      <c r="H1325" s="32"/>
      <c r="I1325" s="32" t="s">
        <v>40</v>
      </c>
    </row>
    <row r="1326" spans="1:9" ht="16.5" customHeight="1" x14ac:dyDescent="0.25">
      <c r="A1326" s="76" t="s">
        <v>4743</v>
      </c>
      <c r="B1326" s="76" t="s">
        <v>4744</v>
      </c>
      <c r="C1326" s="26" t="s">
        <v>64</v>
      </c>
      <c r="D1326" s="26" t="s">
        <v>92</v>
      </c>
      <c r="E1326" s="26" t="s">
        <v>39</v>
      </c>
      <c r="F1326" s="31" t="s">
        <v>11</v>
      </c>
      <c r="G1326" s="31" t="s">
        <v>72</v>
      </c>
      <c r="H1326" s="32"/>
      <c r="I1326" s="32" t="s">
        <v>40</v>
      </c>
    </row>
    <row r="1327" spans="1:9" ht="16.5" customHeight="1" x14ac:dyDescent="0.25">
      <c r="A1327" s="76" t="s">
        <v>4743</v>
      </c>
      <c r="B1327" s="76" t="s">
        <v>4744</v>
      </c>
      <c r="C1327" s="26" t="s">
        <v>64</v>
      </c>
      <c r="D1327" s="26" t="s">
        <v>92</v>
      </c>
      <c r="E1327" s="26" t="s">
        <v>39</v>
      </c>
      <c r="F1327" s="31" t="s">
        <v>11</v>
      </c>
      <c r="G1327" s="31" t="s">
        <v>72</v>
      </c>
      <c r="H1327" s="32"/>
      <c r="I1327" s="32" t="s">
        <v>40</v>
      </c>
    </row>
    <row r="1328" spans="1:9" ht="16.5" customHeight="1" x14ac:dyDescent="0.25">
      <c r="A1328" s="76" t="s">
        <v>4743</v>
      </c>
      <c r="B1328" s="76" t="s">
        <v>4744</v>
      </c>
      <c r="C1328" s="26" t="s">
        <v>64</v>
      </c>
      <c r="D1328" s="26" t="s">
        <v>92</v>
      </c>
      <c r="E1328" s="26" t="s">
        <v>39</v>
      </c>
      <c r="F1328" s="31" t="s">
        <v>11</v>
      </c>
      <c r="G1328" s="47" t="s">
        <v>72</v>
      </c>
      <c r="H1328" s="44"/>
      <c r="I1328" s="32" t="s">
        <v>40</v>
      </c>
    </row>
    <row r="1329" spans="1:9" ht="16.5" customHeight="1" x14ac:dyDescent="0.2">
      <c r="A1329" s="54" t="s">
        <v>4745</v>
      </c>
      <c r="B1329" s="54" t="s">
        <v>4746</v>
      </c>
      <c r="C1329" s="54" t="s">
        <v>7</v>
      </c>
      <c r="D1329" s="54" t="s">
        <v>23</v>
      </c>
      <c r="E1329" s="54" t="s">
        <v>39</v>
      </c>
      <c r="F1329" s="58" t="s">
        <v>18</v>
      </c>
      <c r="G1329" s="34" t="s">
        <v>61</v>
      </c>
      <c r="H1329" s="32"/>
      <c r="I1329" s="32" t="s">
        <v>40</v>
      </c>
    </row>
    <row r="1330" spans="1:9" ht="16.5" customHeight="1" x14ac:dyDescent="0.2">
      <c r="A1330" s="54" t="s">
        <v>4745</v>
      </c>
      <c r="B1330" s="54" t="s">
        <v>4746</v>
      </c>
      <c r="C1330" s="54" t="s">
        <v>7</v>
      </c>
      <c r="D1330" s="54" t="s">
        <v>23</v>
      </c>
      <c r="E1330" s="54" t="s">
        <v>39</v>
      </c>
      <c r="F1330" s="58" t="s">
        <v>18</v>
      </c>
      <c r="G1330" s="34" t="s">
        <v>61</v>
      </c>
      <c r="H1330" s="32"/>
      <c r="I1330" s="32" t="s">
        <v>40</v>
      </c>
    </row>
    <row r="1331" spans="1:9" ht="16.5" customHeight="1" x14ac:dyDescent="0.2">
      <c r="A1331" s="54" t="s">
        <v>4745</v>
      </c>
      <c r="B1331" s="54" t="s">
        <v>4746</v>
      </c>
      <c r="C1331" s="54" t="s">
        <v>7</v>
      </c>
      <c r="D1331" s="54" t="s">
        <v>23</v>
      </c>
      <c r="E1331" s="54" t="s">
        <v>39</v>
      </c>
      <c r="F1331" s="58" t="s">
        <v>18</v>
      </c>
      <c r="G1331" s="34" t="s">
        <v>61</v>
      </c>
      <c r="H1331" s="32"/>
      <c r="I1331" s="32" t="s">
        <v>40</v>
      </c>
    </row>
    <row r="1332" spans="1:9" ht="16.5" customHeight="1" x14ac:dyDescent="0.2">
      <c r="A1332" s="35" t="s">
        <v>4747</v>
      </c>
      <c r="B1332" s="35" t="s">
        <v>4748</v>
      </c>
      <c r="C1332" s="35" t="s">
        <v>64</v>
      </c>
      <c r="D1332" s="35" t="s">
        <v>78</v>
      </c>
      <c r="E1332" s="35" t="s">
        <v>39</v>
      </c>
      <c r="F1332" s="30" t="s">
        <v>18</v>
      </c>
      <c r="G1332" s="31" t="s">
        <v>19</v>
      </c>
      <c r="H1332" s="31"/>
      <c r="I1332" s="32" t="s">
        <v>40</v>
      </c>
    </row>
    <row r="1333" spans="1:9" ht="16.5" customHeight="1" x14ac:dyDescent="0.2">
      <c r="A1333" s="26" t="s">
        <v>4749</v>
      </c>
      <c r="B1333" s="26" t="s">
        <v>4750</v>
      </c>
      <c r="C1333" s="26" t="s">
        <v>115</v>
      </c>
      <c r="D1333" s="27" t="s">
        <v>116</v>
      </c>
      <c r="E1333" s="27" t="s">
        <v>39</v>
      </c>
      <c r="F1333" s="31" t="s">
        <v>25</v>
      </c>
      <c r="G1333" s="31" t="s">
        <v>41</v>
      </c>
      <c r="H1333" s="31"/>
      <c r="I1333" s="32" t="s">
        <v>40</v>
      </c>
    </row>
    <row r="1334" spans="1:9" ht="16.5" customHeight="1" x14ac:dyDescent="0.2">
      <c r="A1334" s="26" t="s">
        <v>4749</v>
      </c>
      <c r="B1334" s="26" t="s">
        <v>4750</v>
      </c>
      <c r="C1334" s="26" t="s">
        <v>115</v>
      </c>
      <c r="D1334" s="27" t="s">
        <v>116</v>
      </c>
      <c r="E1334" s="27" t="s">
        <v>39</v>
      </c>
      <c r="F1334" s="31" t="s">
        <v>25</v>
      </c>
      <c r="G1334" s="31" t="s">
        <v>41</v>
      </c>
      <c r="H1334" s="31"/>
      <c r="I1334" s="32" t="s">
        <v>40</v>
      </c>
    </row>
    <row r="1335" spans="1:9" ht="16.5" customHeight="1" x14ac:dyDescent="0.2">
      <c r="A1335" s="26" t="s">
        <v>4749</v>
      </c>
      <c r="B1335" s="26" t="s">
        <v>4750</v>
      </c>
      <c r="C1335" s="26" t="s">
        <v>115</v>
      </c>
      <c r="D1335" s="27" t="s">
        <v>116</v>
      </c>
      <c r="E1335" s="27" t="s">
        <v>39</v>
      </c>
      <c r="F1335" s="31" t="s">
        <v>25</v>
      </c>
      <c r="G1335" s="31" t="s">
        <v>41</v>
      </c>
      <c r="H1335" s="31"/>
      <c r="I1335" s="32" t="s">
        <v>40</v>
      </c>
    </row>
    <row r="1336" spans="1:9" ht="16.5" customHeight="1" x14ac:dyDescent="0.2">
      <c r="A1336" s="26" t="s">
        <v>4749</v>
      </c>
      <c r="B1336" s="26" t="s">
        <v>4750</v>
      </c>
      <c r="C1336" s="26" t="s">
        <v>115</v>
      </c>
      <c r="D1336" s="27" t="s">
        <v>116</v>
      </c>
      <c r="E1336" s="27" t="s">
        <v>39</v>
      </c>
      <c r="F1336" s="31" t="s">
        <v>25</v>
      </c>
      <c r="G1336" s="31" t="s">
        <v>41</v>
      </c>
      <c r="H1336" s="31"/>
      <c r="I1336" s="32" t="s">
        <v>40</v>
      </c>
    </row>
    <row r="1337" spans="1:9" ht="16.5" customHeight="1" x14ac:dyDescent="0.2">
      <c r="A1337" s="26" t="s">
        <v>4751</v>
      </c>
      <c r="B1337" s="26" t="s">
        <v>4752</v>
      </c>
      <c r="C1337" s="26" t="s">
        <v>64</v>
      </c>
      <c r="D1337" s="26" t="s">
        <v>82</v>
      </c>
      <c r="E1337" s="26" t="s">
        <v>39</v>
      </c>
      <c r="F1337" s="31" t="s">
        <v>18</v>
      </c>
      <c r="G1337" s="31" t="s">
        <v>19</v>
      </c>
      <c r="H1337" s="31"/>
      <c r="I1337" s="32" t="s">
        <v>40</v>
      </c>
    </row>
    <row r="1338" spans="1:9" ht="16.5" customHeight="1" x14ac:dyDescent="0.2">
      <c r="A1338" s="26" t="s">
        <v>4753</v>
      </c>
      <c r="B1338" s="26" t="s">
        <v>4754</v>
      </c>
      <c r="C1338" s="66" t="s">
        <v>136</v>
      </c>
      <c r="D1338" s="27" t="s">
        <v>137</v>
      </c>
      <c r="E1338" s="27" t="s">
        <v>46</v>
      </c>
      <c r="F1338" s="31" t="s">
        <v>18</v>
      </c>
      <c r="G1338" s="27" t="s">
        <v>41</v>
      </c>
      <c r="H1338" s="27" t="s">
        <v>3959</v>
      </c>
      <c r="I1338" s="32" t="s">
        <v>47</v>
      </c>
    </row>
    <row r="1339" spans="1:9" ht="16.5" customHeight="1" x14ac:dyDescent="0.2">
      <c r="A1339" s="35" t="s">
        <v>4755</v>
      </c>
      <c r="B1339" s="35" t="s">
        <v>4756</v>
      </c>
      <c r="C1339" s="35" t="s">
        <v>115</v>
      </c>
      <c r="D1339" s="35" t="s">
        <v>119</v>
      </c>
      <c r="E1339" s="35" t="s">
        <v>39</v>
      </c>
      <c r="F1339" s="52" t="s">
        <v>18</v>
      </c>
      <c r="G1339" s="30" t="s">
        <v>12</v>
      </c>
      <c r="H1339" s="55"/>
      <c r="I1339" s="32" t="s">
        <v>40</v>
      </c>
    </row>
    <row r="1340" spans="1:9" ht="16.5" customHeight="1" x14ac:dyDescent="0.2">
      <c r="A1340" s="35" t="s">
        <v>4755</v>
      </c>
      <c r="B1340" s="35" t="s">
        <v>4756</v>
      </c>
      <c r="C1340" s="35" t="s">
        <v>115</v>
      </c>
      <c r="D1340" s="35" t="s">
        <v>119</v>
      </c>
      <c r="E1340" s="35" t="s">
        <v>39</v>
      </c>
      <c r="F1340" s="52" t="s">
        <v>18</v>
      </c>
      <c r="G1340" s="30" t="s">
        <v>12</v>
      </c>
      <c r="H1340" s="55"/>
      <c r="I1340" s="32" t="s">
        <v>40</v>
      </c>
    </row>
    <row r="1341" spans="1:9" ht="16.5" customHeight="1" x14ac:dyDescent="0.2">
      <c r="A1341" s="35" t="s">
        <v>4755</v>
      </c>
      <c r="B1341" s="35" t="s">
        <v>4756</v>
      </c>
      <c r="C1341" s="35" t="s">
        <v>115</v>
      </c>
      <c r="D1341" s="35" t="s">
        <v>119</v>
      </c>
      <c r="E1341" s="35" t="s">
        <v>39</v>
      </c>
      <c r="F1341" s="52" t="s">
        <v>18</v>
      </c>
      <c r="G1341" s="30" t="s">
        <v>12</v>
      </c>
      <c r="H1341" s="30"/>
      <c r="I1341" s="32" t="s">
        <v>40</v>
      </c>
    </row>
    <row r="1342" spans="1:9" ht="16.5" customHeight="1" x14ac:dyDescent="0.2">
      <c r="A1342" s="35" t="s">
        <v>4757</v>
      </c>
      <c r="B1342" s="35" t="s">
        <v>4758</v>
      </c>
      <c r="C1342" s="35" t="s">
        <v>64</v>
      </c>
      <c r="D1342" s="35" t="s">
        <v>74</v>
      </c>
      <c r="E1342" s="35" t="s">
        <v>39</v>
      </c>
      <c r="F1342" s="30" t="s">
        <v>18</v>
      </c>
      <c r="G1342" s="31" t="s">
        <v>41</v>
      </c>
      <c r="H1342" s="31" t="s">
        <v>3465</v>
      </c>
      <c r="I1342" s="32" t="s">
        <v>40</v>
      </c>
    </row>
    <row r="1343" spans="1:9" ht="16.5" customHeight="1" x14ac:dyDescent="0.2">
      <c r="A1343" s="35" t="s">
        <v>4757</v>
      </c>
      <c r="B1343" s="35" t="s">
        <v>4758</v>
      </c>
      <c r="C1343" s="35" t="s">
        <v>64</v>
      </c>
      <c r="D1343" s="35" t="s">
        <v>74</v>
      </c>
      <c r="E1343" s="35" t="s">
        <v>39</v>
      </c>
      <c r="F1343" s="30" t="s">
        <v>18</v>
      </c>
      <c r="G1343" s="31" t="s">
        <v>41</v>
      </c>
      <c r="H1343" s="31" t="s">
        <v>3465</v>
      </c>
      <c r="I1343" s="32" t="s">
        <v>40</v>
      </c>
    </row>
    <row r="1344" spans="1:9" ht="16.5" customHeight="1" x14ac:dyDescent="0.2">
      <c r="A1344" s="26" t="s">
        <v>4759</v>
      </c>
      <c r="B1344" s="26" t="s">
        <v>4760</v>
      </c>
      <c r="C1344" s="26" t="s">
        <v>7</v>
      </c>
      <c r="D1344" s="27" t="s">
        <v>16</v>
      </c>
      <c r="E1344" s="26" t="s">
        <v>39</v>
      </c>
      <c r="F1344" s="31" t="s">
        <v>18</v>
      </c>
      <c r="G1344" s="31" t="s">
        <v>41</v>
      </c>
      <c r="H1344" s="32"/>
      <c r="I1344" s="32" t="s">
        <v>40</v>
      </c>
    </row>
    <row r="1345" spans="1:9" ht="16.5" customHeight="1" x14ac:dyDescent="0.2">
      <c r="A1345" s="26" t="s">
        <v>4761</v>
      </c>
      <c r="B1345" s="26" t="s">
        <v>4762</v>
      </c>
      <c r="C1345" s="26" t="s">
        <v>64</v>
      </c>
      <c r="D1345" s="26" t="s">
        <v>82</v>
      </c>
      <c r="E1345" s="26" t="s">
        <v>39</v>
      </c>
      <c r="F1345" s="31" t="s">
        <v>18</v>
      </c>
      <c r="G1345" s="31" t="s">
        <v>41</v>
      </c>
      <c r="H1345" s="31"/>
      <c r="I1345" s="32" t="s">
        <v>40</v>
      </c>
    </row>
    <row r="1346" spans="1:9" ht="16.5" customHeight="1" x14ac:dyDescent="0.2">
      <c r="A1346" s="35" t="s">
        <v>4763</v>
      </c>
      <c r="B1346" s="35" t="s">
        <v>4764</v>
      </c>
      <c r="C1346" s="35" t="s">
        <v>115</v>
      </c>
      <c r="D1346" s="35" t="s">
        <v>119</v>
      </c>
      <c r="E1346" s="35" t="s">
        <v>39</v>
      </c>
      <c r="F1346" s="52" t="s">
        <v>18</v>
      </c>
      <c r="G1346" s="30" t="s">
        <v>12</v>
      </c>
      <c r="H1346" s="55"/>
      <c r="I1346" s="32" t="s">
        <v>40</v>
      </c>
    </row>
    <row r="1347" spans="1:9" ht="16.5" customHeight="1" x14ac:dyDescent="0.2">
      <c r="A1347" s="35" t="s">
        <v>4763</v>
      </c>
      <c r="B1347" s="35" t="s">
        <v>4764</v>
      </c>
      <c r="C1347" s="35" t="s">
        <v>115</v>
      </c>
      <c r="D1347" s="35" t="s">
        <v>119</v>
      </c>
      <c r="E1347" s="35" t="s">
        <v>39</v>
      </c>
      <c r="F1347" s="52" t="s">
        <v>18</v>
      </c>
      <c r="G1347" s="30" t="s">
        <v>12</v>
      </c>
      <c r="H1347" s="55"/>
      <c r="I1347" s="32" t="s">
        <v>40</v>
      </c>
    </row>
    <row r="1348" spans="1:9" ht="16.5" customHeight="1" x14ac:dyDescent="0.2">
      <c r="A1348" s="26" t="s">
        <v>4765</v>
      </c>
      <c r="B1348" s="26" t="s">
        <v>4766</v>
      </c>
      <c r="C1348" s="26" t="s">
        <v>136</v>
      </c>
      <c r="D1348" s="26" t="s">
        <v>137</v>
      </c>
      <c r="E1348" s="26" t="s">
        <v>46</v>
      </c>
      <c r="F1348" s="31" t="s">
        <v>32</v>
      </c>
      <c r="G1348" s="32"/>
      <c r="H1348" s="32"/>
      <c r="I1348" s="32" t="s">
        <v>47</v>
      </c>
    </row>
    <row r="1349" spans="1:9" ht="16.5" customHeight="1" x14ac:dyDescent="0.2">
      <c r="A1349" s="26" t="s">
        <v>4765</v>
      </c>
      <c r="B1349" s="26" t="s">
        <v>4766</v>
      </c>
      <c r="C1349" s="26" t="s">
        <v>136</v>
      </c>
      <c r="D1349" s="26" t="s">
        <v>137</v>
      </c>
      <c r="E1349" s="26" t="s">
        <v>46</v>
      </c>
      <c r="F1349" s="31" t="s">
        <v>32</v>
      </c>
      <c r="G1349" s="32"/>
      <c r="H1349" s="32"/>
      <c r="I1349" s="32" t="s">
        <v>47</v>
      </c>
    </row>
    <row r="1350" spans="1:9" ht="16.5" customHeight="1" x14ac:dyDescent="0.2">
      <c r="A1350" s="35" t="s">
        <v>4767</v>
      </c>
      <c r="B1350" s="35" t="s">
        <v>4768</v>
      </c>
      <c r="C1350" s="54" t="s">
        <v>7</v>
      </c>
      <c r="D1350" s="35" t="s">
        <v>30</v>
      </c>
      <c r="E1350" s="35" t="s">
        <v>39</v>
      </c>
      <c r="F1350" s="52" t="s">
        <v>11</v>
      </c>
      <c r="G1350" s="55" t="s">
        <v>72</v>
      </c>
      <c r="H1350" s="55"/>
      <c r="I1350" s="32" t="s">
        <v>40</v>
      </c>
    </row>
    <row r="1351" spans="1:9" ht="16.5" customHeight="1" x14ac:dyDescent="0.2">
      <c r="A1351" s="35" t="s">
        <v>4767</v>
      </c>
      <c r="B1351" s="35" t="s">
        <v>4768</v>
      </c>
      <c r="C1351" s="54" t="s">
        <v>7</v>
      </c>
      <c r="D1351" s="35" t="s">
        <v>30</v>
      </c>
      <c r="E1351" s="35" t="s">
        <v>39</v>
      </c>
      <c r="F1351" s="52" t="s">
        <v>11</v>
      </c>
      <c r="G1351" s="55" t="s">
        <v>72</v>
      </c>
      <c r="H1351" s="55"/>
      <c r="I1351" s="32" t="s">
        <v>40</v>
      </c>
    </row>
    <row r="1352" spans="1:9" ht="16.5" customHeight="1" x14ac:dyDescent="0.2">
      <c r="A1352" s="35" t="s">
        <v>4767</v>
      </c>
      <c r="B1352" s="35" t="s">
        <v>4768</v>
      </c>
      <c r="C1352" s="35" t="s">
        <v>7</v>
      </c>
      <c r="D1352" s="35" t="s">
        <v>30</v>
      </c>
      <c r="E1352" s="35" t="s">
        <v>39</v>
      </c>
      <c r="F1352" s="52" t="s">
        <v>11</v>
      </c>
      <c r="G1352" s="55" t="s">
        <v>72</v>
      </c>
      <c r="H1352" s="30"/>
      <c r="I1352" s="32" t="s">
        <v>40</v>
      </c>
    </row>
    <row r="1353" spans="1:9" ht="16.5" customHeight="1" x14ac:dyDescent="0.2">
      <c r="A1353" s="35" t="s">
        <v>4767</v>
      </c>
      <c r="B1353" s="35" t="s">
        <v>4768</v>
      </c>
      <c r="C1353" s="35" t="s">
        <v>7</v>
      </c>
      <c r="D1353" s="35" t="s">
        <v>30</v>
      </c>
      <c r="E1353" s="35" t="s">
        <v>39</v>
      </c>
      <c r="F1353" s="52" t="s">
        <v>11</v>
      </c>
      <c r="G1353" s="55" t="s">
        <v>72</v>
      </c>
      <c r="H1353" s="30"/>
      <c r="I1353" s="32" t="s">
        <v>40</v>
      </c>
    </row>
    <row r="1354" spans="1:9" ht="16.5" customHeight="1" x14ac:dyDescent="0.2">
      <c r="A1354" s="35" t="s">
        <v>4769</v>
      </c>
      <c r="B1354" s="35" t="s">
        <v>4768</v>
      </c>
      <c r="C1354" s="35" t="s">
        <v>7</v>
      </c>
      <c r="D1354" s="35" t="s">
        <v>30</v>
      </c>
      <c r="E1354" s="35" t="s">
        <v>39</v>
      </c>
      <c r="F1354" s="52" t="s">
        <v>11</v>
      </c>
      <c r="G1354" s="55" t="s">
        <v>72</v>
      </c>
      <c r="H1354" s="30"/>
      <c r="I1354" s="32" t="s">
        <v>40</v>
      </c>
    </row>
    <row r="1355" spans="1:9" ht="16.5" customHeight="1" x14ac:dyDescent="0.2">
      <c r="A1355" s="35" t="s">
        <v>4770</v>
      </c>
      <c r="B1355" s="35" t="s">
        <v>4768</v>
      </c>
      <c r="C1355" s="35" t="s">
        <v>7</v>
      </c>
      <c r="D1355" s="35" t="s">
        <v>30</v>
      </c>
      <c r="E1355" s="35" t="s">
        <v>39</v>
      </c>
      <c r="F1355" s="52" t="s">
        <v>11</v>
      </c>
      <c r="G1355" s="55" t="s">
        <v>72</v>
      </c>
      <c r="H1355" s="30"/>
      <c r="I1355" s="32" t="s">
        <v>40</v>
      </c>
    </row>
    <row r="1356" spans="1:9" ht="16.5" customHeight="1" x14ac:dyDescent="0.2">
      <c r="A1356" s="35" t="s">
        <v>4771</v>
      </c>
      <c r="B1356" s="35" t="s">
        <v>4768</v>
      </c>
      <c r="C1356" s="35" t="s">
        <v>7</v>
      </c>
      <c r="D1356" s="35" t="s">
        <v>30</v>
      </c>
      <c r="E1356" s="35" t="s">
        <v>39</v>
      </c>
      <c r="F1356" s="52" t="s">
        <v>11</v>
      </c>
      <c r="G1356" s="55" t="s">
        <v>72</v>
      </c>
      <c r="H1356" s="30"/>
      <c r="I1356" s="32" t="s">
        <v>40</v>
      </c>
    </row>
    <row r="1357" spans="1:9" ht="16.5" customHeight="1" x14ac:dyDescent="0.2">
      <c r="A1357" s="35" t="s">
        <v>4772</v>
      </c>
      <c r="B1357" s="35" t="s">
        <v>4773</v>
      </c>
      <c r="C1357" s="35" t="s">
        <v>64</v>
      </c>
      <c r="D1357" s="35" t="s">
        <v>65</v>
      </c>
      <c r="E1357" s="35" t="s">
        <v>39</v>
      </c>
      <c r="F1357" s="30" t="s">
        <v>11</v>
      </c>
      <c r="G1357" s="31" t="s">
        <v>72</v>
      </c>
      <c r="H1357" s="32"/>
      <c r="I1357" s="32" t="s">
        <v>40</v>
      </c>
    </row>
    <row r="1358" spans="1:9" ht="16.5" customHeight="1" x14ac:dyDescent="0.2">
      <c r="A1358" s="35" t="s">
        <v>4772</v>
      </c>
      <c r="B1358" s="35" t="s">
        <v>4773</v>
      </c>
      <c r="C1358" s="35" t="s">
        <v>64</v>
      </c>
      <c r="D1358" s="35" t="s">
        <v>65</v>
      </c>
      <c r="E1358" s="35" t="s">
        <v>39</v>
      </c>
      <c r="F1358" s="30" t="s">
        <v>11</v>
      </c>
      <c r="G1358" s="31" t="s">
        <v>72</v>
      </c>
      <c r="H1358" s="32"/>
      <c r="I1358" s="32" t="s">
        <v>40</v>
      </c>
    </row>
    <row r="1359" spans="1:9" ht="16.5" customHeight="1" x14ac:dyDescent="0.2">
      <c r="A1359" s="35" t="s">
        <v>4772</v>
      </c>
      <c r="B1359" s="35" t="s">
        <v>4773</v>
      </c>
      <c r="C1359" s="35" t="s">
        <v>64</v>
      </c>
      <c r="D1359" s="35" t="s">
        <v>78</v>
      </c>
      <c r="E1359" s="35" t="s">
        <v>39</v>
      </c>
      <c r="F1359" s="30" t="s">
        <v>11</v>
      </c>
      <c r="G1359" s="31" t="s">
        <v>72</v>
      </c>
      <c r="H1359" s="32"/>
      <c r="I1359" s="32" t="s">
        <v>40</v>
      </c>
    </row>
    <row r="1360" spans="1:9" ht="16.5" customHeight="1" x14ac:dyDescent="0.2">
      <c r="A1360" s="35" t="s">
        <v>4772</v>
      </c>
      <c r="B1360" s="35" t="s">
        <v>4773</v>
      </c>
      <c r="C1360" s="35" t="s">
        <v>64</v>
      </c>
      <c r="D1360" s="35" t="s">
        <v>78</v>
      </c>
      <c r="E1360" s="35" t="s">
        <v>39</v>
      </c>
      <c r="F1360" s="30" t="s">
        <v>11</v>
      </c>
      <c r="G1360" s="31" t="s">
        <v>72</v>
      </c>
      <c r="H1360" s="32"/>
      <c r="I1360" s="32" t="s">
        <v>40</v>
      </c>
    </row>
    <row r="1361" spans="1:9" ht="16.5" customHeight="1" x14ac:dyDescent="0.2">
      <c r="A1361" s="26" t="s">
        <v>4774</v>
      </c>
      <c r="B1361" s="26" t="s">
        <v>4775</v>
      </c>
      <c r="C1361" s="26" t="s">
        <v>37</v>
      </c>
      <c r="D1361" s="27" t="s">
        <v>38</v>
      </c>
      <c r="E1361" s="27" t="s">
        <v>39</v>
      </c>
      <c r="F1361" s="31" t="s">
        <v>18</v>
      </c>
      <c r="G1361" s="31" t="s">
        <v>41</v>
      </c>
      <c r="H1361" s="32"/>
      <c r="I1361" s="32" t="s">
        <v>40</v>
      </c>
    </row>
    <row r="1362" spans="1:9" ht="16.5" customHeight="1" x14ac:dyDescent="0.2">
      <c r="A1362" s="26" t="s">
        <v>4774</v>
      </c>
      <c r="B1362" s="26" t="s">
        <v>4775</v>
      </c>
      <c r="C1362" s="26" t="s">
        <v>37</v>
      </c>
      <c r="D1362" s="27" t="s">
        <v>38</v>
      </c>
      <c r="E1362" s="27" t="s">
        <v>39</v>
      </c>
      <c r="F1362" s="31" t="s">
        <v>18</v>
      </c>
      <c r="G1362" s="31" t="s">
        <v>41</v>
      </c>
      <c r="H1362" s="32"/>
      <c r="I1362" s="32" t="s">
        <v>40</v>
      </c>
    </row>
    <row r="1363" spans="1:9" ht="16.5" customHeight="1" x14ac:dyDescent="0.2">
      <c r="A1363" s="35" t="s">
        <v>4776</v>
      </c>
      <c r="B1363" s="35" t="s">
        <v>4777</v>
      </c>
      <c r="C1363" s="35" t="s">
        <v>64</v>
      </c>
      <c r="D1363" s="35" t="s">
        <v>70</v>
      </c>
      <c r="E1363" s="35" t="s">
        <v>39</v>
      </c>
      <c r="F1363" s="30" t="s">
        <v>18</v>
      </c>
      <c r="G1363" s="31" t="s">
        <v>12</v>
      </c>
      <c r="H1363" s="31" t="s">
        <v>4778</v>
      </c>
      <c r="I1363" s="32" t="s">
        <v>40</v>
      </c>
    </row>
    <row r="1364" spans="1:9" ht="16.5" customHeight="1" x14ac:dyDescent="0.2">
      <c r="A1364" s="35" t="s">
        <v>4779</v>
      </c>
      <c r="B1364" s="35" t="s">
        <v>4780</v>
      </c>
      <c r="C1364" s="35" t="s">
        <v>7</v>
      </c>
      <c r="D1364" s="35" t="s">
        <v>8</v>
      </c>
      <c r="E1364" s="35" t="s">
        <v>39</v>
      </c>
      <c r="F1364" s="52" t="s">
        <v>18</v>
      </c>
      <c r="G1364" s="30" t="s">
        <v>61</v>
      </c>
      <c r="H1364" s="55"/>
      <c r="I1364" s="32" t="s">
        <v>40</v>
      </c>
    </row>
    <row r="1365" spans="1:9" ht="16.5" customHeight="1" x14ac:dyDescent="0.2">
      <c r="A1365" s="54" t="s">
        <v>4779</v>
      </c>
      <c r="B1365" s="57" t="s">
        <v>4780</v>
      </c>
      <c r="C1365" s="54" t="s">
        <v>7</v>
      </c>
      <c r="D1365" s="54" t="s">
        <v>8</v>
      </c>
      <c r="E1365" s="54" t="s">
        <v>39</v>
      </c>
      <c r="F1365" s="52" t="s">
        <v>18</v>
      </c>
      <c r="G1365" s="30" t="s">
        <v>61</v>
      </c>
      <c r="H1365" s="58" t="s">
        <v>3679</v>
      </c>
      <c r="I1365" s="32" t="s">
        <v>40</v>
      </c>
    </row>
    <row r="1366" spans="1:9" ht="16.5" customHeight="1" x14ac:dyDescent="0.2">
      <c r="A1366" s="35" t="s">
        <v>4779</v>
      </c>
      <c r="B1366" s="35" t="s">
        <v>4780</v>
      </c>
      <c r="C1366" s="35" t="s">
        <v>7</v>
      </c>
      <c r="D1366" s="35" t="s">
        <v>8</v>
      </c>
      <c r="E1366" s="35" t="s">
        <v>39</v>
      </c>
      <c r="F1366" s="52" t="s">
        <v>18</v>
      </c>
      <c r="G1366" s="30" t="s">
        <v>61</v>
      </c>
      <c r="H1366" s="55"/>
      <c r="I1366" s="32" t="s">
        <v>40</v>
      </c>
    </row>
    <row r="1367" spans="1:9" ht="16.5" customHeight="1" x14ac:dyDescent="0.2">
      <c r="A1367" s="35" t="s">
        <v>4779</v>
      </c>
      <c r="B1367" s="35" t="s">
        <v>4780</v>
      </c>
      <c r="C1367" s="35" t="s">
        <v>7</v>
      </c>
      <c r="D1367" s="35" t="s">
        <v>8</v>
      </c>
      <c r="E1367" s="35" t="s">
        <v>39</v>
      </c>
      <c r="F1367" s="52" t="s">
        <v>18</v>
      </c>
      <c r="G1367" s="30" t="s">
        <v>61</v>
      </c>
      <c r="H1367" s="55"/>
      <c r="I1367" s="32" t="s">
        <v>40</v>
      </c>
    </row>
    <row r="1368" spans="1:9" ht="16.5" customHeight="1" x14ac:dyDescent="0.2">
      <c r="A1368" s="35" t="s">
        <v>4781</v>
      </c>
      <c r="B1368" s="35" t="s">
        <v>4782</v>
      </c>
      <c r="C1368" s="35" t="s">
        <v>115</v>
      </c>
      <c r="D1368" s="35" t="s">
        <v>116</v>
      </c>
      <c r="E1368" s="35" t="s">
        <v>39</v>
      </c>
      <c r="F1368" s="52" t="s">
        <v>18</v>
      </c>
      <c r="G1368" s="52" t="s">
        <v>61</v>
      </c>
      <c r="I1368" s="32" t="s">
        <v>40</v>
      </c>
    </row>
    <row r="1369" spans="1:9" ht="16.5" customHeight="1" x14ac:dyDescent="0.2">
      <c r="A1369" s="35" t="s">
        <v>4783</v>
      </c>
      <c r="B1369" s="35" t="s">
        <v>4784</v>
      </c>
      <c r="C1369" s="35" t="s">
        <v>115</v>
      </c>
      <c r="D1369" s="35" t="s">
        <v>128</v>
      </c>
      <c r="E1369" s="35" t="s">
        <v>39</v>
      </c>
      <c r="F1369" s="30" t="s">
        <v>18</v>
      </c>
      <c r="G1369" s="31" t="s">
        <v>19</v>
      </c>
      <c r="H1369" s="30" t="s">
        <v>4785</v>
      </c>
      <c r="I1369" s="32" t="s">
        <v>40</v>
      </c>
    </row>
    <row r="1370" spans="1:9" ht="16.5" customHeight="1" x14ac:dyDescent="0.2">
      <c r="A1370" s="35" t="s">
        <v>4786</v>
      </c>
      <c r="B1370" s="35" t="s">
        <v>4787</v>
      </c>
      <c r="C1370" s="35" t="s">
        <v>115</v>
      </c>
      <c r="D1370" s="35" t="s">
        <v>116</v>
      </c>
      <c r="E1370" s="35" t="s">
        <v>39</v>
      </c>
      <c r="F1370" s="52" t="s">
        <v>18</v>
      </c>
      <c r="G1370" s="52" t="s">
        <v>61</v>
      </c>
      <c r="I1370" s="32" t="s">
        <v>40</v>
      </c>
    </row>
    <row r="1371" spans="1:9" ht="16.5" customHeight="1" x14ac:dyDescent="0.2">
      <c r="A1371" s="26" t="s">
        <v>4788</v>
      </c>
      <c r="B1371" s="26" t="s">
        <v>4789</v>
      </c>
      <c r="C1371" s="66" t="s">
        <v>136</v>
      </c>
      <c r="D1371" s="27" t="s">
        <v>137</v>
      </c>
      <c r="E1371" s="27" t="s">
        <v>46</v>
      </c>
      <c r="F1371" s="31" t="s">
        <v>18</v>
      </c>
      <c r="G1371" s="31" t="s">
        <v>41</v>
      </c>
      <c r="H1371" s="27" t="s">
        <v>3959</v>
      </c>
      <c r="I1371" s="32" t="s">
        <v>47</v>
      </c>
    </row>
    <row r="1372" spans="1:9" ht="16.5" customHeight="1" x14ac:dyDescent="0.2">
      <c r="A1372" s="35" t="s">
        <v>4790</v>
      </c>
      <c r="B1372" s="35" t="s">
        <v>4791</v>
      </c>
      <c r="C1372" s="35" t="s">
        <v>115</v>
      </c>
      <c r="D1372" s="35" t="s">
        <v>134</v>
      </c>
      <c r="E1372" s="35" t="s">
        <v>39</v>
      </c>
      <c r="F1372" s="30" t="s">
        <v>11</v>
      </c>
      <c r="G1372" s="31" t="s">
        <v>54</v>
      </c>
      <c r="H1372" s="55"/>
      <c r="I1372" s="32" t="s">
        <v>40</v>
      </c>
    </row>
    <row r="1373" spans="1:9" ht="16.5" customHeight="1" x14ac:dyDescent="0.25">
      <c r="A1373" s="76" t="s">
        <v>4792</v>
      </c>
      <c r="B1373" s="76" t="s">
        <v>5311</v>
      </c>
      <c r="C1373" s="26" t="s">
        <v>64</v>
      </c>
      <c r="D1373" s="26" t="s">
        <v>92</v>
      </c>
      <c r="E1373" s="26" t="s">
        <v>39</v>
      </c>
      <c r="F1373" s="31" t="s">
        <v>18</v>
      </c>
      <c r="G1373" s="31" t="s">
        <v>26</v>
      </c>
      <c r="H1373" s="32"/>
      <c r="I1373" s="32" t="s">
        <v>40</v>
      </c>
    </row>
    <row r="1374" spans="1:9" ht="16.5" customHeight="1" x14ac:dyDescent="0.25">
      <c r="A1374" s="76" t="s">
        <v>4792</v>
      </c>
      <c r="B1374" s="76" t="s">
        <v>5311</v>
      </c>
      <c r="C1374" s="26" t="s">
        <v>64</v>
      </c>
      <c r="D1374" s="26" t="s">
        <v>92</v>
      </c>
      <c r="E1374" s="26" t="s">
        <v>39</v>
      </c>
      <c r="F1374" s="31" t="s">
        <v>18</v>
      </c>
      <c r="G1374" s="31" t="s">
        <v>26</v>
      </c>
      <c r="H1374" s="32"/>
      <c r="I1374" s="32" t="s">
        <v>40</v>
      </c>
    </row>
    <row r="1375" spans="1:9" ht="16.5" customHeight="1" x14ac:dyDescent="0.2">
      <c r="A1375" s="26" t="s">
        <v>4794</v>
      </c>
      <c r="B1375" s="26" t="s">
        <v>4795</v>
      </c>
      <c r="C1375" s="66" t="s">
        <v>136</v>
      </c>
      <c r="D1375" s="27" t="s">
        <v>137</v>
      </c>
      <c r="E1375" s="27" t="s">
        <v>46</v>
      </c>
      <c r="F1375" s="31" t="s">
        <v>18</v>
      </c>
      <c r="G1375" s="27" t="s">
        <v>61</v>
      </c>
      <c r="H1375" s="51"/>
      <c r="I1375" s="32" t="s">
        <v>47</v>
      </c>
    </row>
    <row r="1376" spans="1:9" ht="16.5" customHeight="1" x14ac:dyDescent="0.2">
      <c r="A1376" s="26" t="s">
        <v>4796</v>
      </c>
      <c r="B1376" s="26" t="s">
        <v>4797</v>
      </c>
      <c r="C1376" s="66" t="s">
        <v>136</v>
      </c>
      <c r="D1376" s="27" t="s">
        <v>137</v>
      </c>
      <c r="E1376" s="27" t="s">
        <v>46</v>
      </c>
      <c r="F1376" s="31" t="s">
        <v>18</v>
      </c>
      <c r="G1376" s="27" t="s">
        <v>41</v>
      </c>
      <c r="H1376" s="32"/>
      <c r="I1376" s="32" t="s">
        <v>47</v>
      </c>
    </row>
    <row r="1377" spans="1:9" ht="16.5" customHeight="1" x14ac:dyDescent="0.2">
      <c r="A1377" s="35" t="s">
        <v>4798</v>
      </c>
      <c r="B1377" s="35" t="s">
        <v>4799</v>
      </c>
      <c r="C1377" s="35" t="s">
        <v>64</v>
      </c>
      <c r="D1377" s="35" t="s">
        <v>65</v>
      </c>
      <c r="E1377" s="35" t="s">
        <v>39</v>
      </c>
      <c r="F1377" s="30" t="s">
        <v>18</v>
      </c>
      <c r="G1377" s="31" t="s">
        <v>19</v>
      </c>
      <c r="H1377" s="32"/>
      <c r="I1377" s="32" t="s">
        <v>40</v>
      </c>
    </row>
    <row r="1378" spans="1:9" ht="16.5" customHeight="1" x14ac:dyDescent="0.2">
      <c r="A1378" s="26" t="s">
        <v>4800</v>
      </c>
      <c r="B1378" s="26" t="s">
        <v>4801</v>
      </c>
      <c r="C1378" s="26" t="s">
        <v>98</v>
      </c>
      <c r="D1378" s="26" t="s">
        <v>105</v>
      </c>
      <c r="E1378" s="26" t="s">
        <v>39</v>
      </c>
      <c r="F1378" s="31" t="s">
        <v>18</v>
      </c>
      <c r="G1378" s="31" t="s">
        <v>61</v>
      </c>
      <c r="H1378" s="32"/>
      <c r="I1378" s="32" t="s">
        <v>40</v>
      </c>
    </row>
    <row r="1379" spans="1:9" ht="16.5" customHeight="1" x14ac:dyDescent="0.2">
      <c r="A1379" s="26" t="s">
        <v>4802</v>
      </c>
      <c r="B1379" s="26" t="s">
        <v>4803</v>
      </c>
      <c r="C1379" s="26" t="s">
        <v>98</v>
      </c>
      <c r="D1379" s="26" t="s">
        <v>99</v>
      </c>
      <c r="E1379" s="26" t="s">
        <v>39</v>
      </c>
      <c r="F1379" s="47" t="s">
        <v>18</v>
      </c>
      <c r="G1379" s="31" t="s">
        <v>12</v>
      </c>
      <c r="H1379" s="32"/>
      <c r="I1379" s="32" t="s">
        <v>40</v>
      </c>
    </row>
    <row r="1380" spans="1:9" ht="16.5" customHeight="1" x14ac:dyDescent="0.2">
      <c r="A1380" s="26" t="s">
        <v>4804</v>
      </c>
      <c r="B1380" s="26" t="s">
        <v>4805</v>
      </c>
      <c r="C1380" s="26" t="s">
        <v>98</v>
      </c>
      <c r="D1380" s="26" t="s">
        <v>99</v>
      </c>
      <c r="E1380" s="26" t="s">
        <v>39</v>
      </c>
      <c r="F1380" s="47" t="s">
        <v>18</v>
      </c>
      <c r="G1380" s="47" t="s">
        <v>41</v>
      </c>
      <c r="H1380" s="51"/>
      <c r="I1380" s="32" t="s">
        <v>40</v>
      </c>
    </row>
    <row r="1381" spans="1:9" ht="16.5" customHeight="1" x14ac:dyDescent="0.2">
      <c r="A1381" s="26" t="s">
        <v>4806</v>
      </c>
      <c r="B1381" s="26" t="s">
        <v>4807</v>
      </c>
      <c r="C1381" s="26" t="s">
        <v>37</v>
      </c>
      <c r="D1381" s="26" t="s">
        <v>59</v>
      </c>
      <c r="E1381" s="26" t="s">
        <v>39</v>
      </c>
      <c r="F1381" s="31" t="s">
        <v>32</v>
      </c>
      <c r="G1381" s="32"/>
      <c r="H1381" s="32"/>
      <c r="I1381" s="32" t="s">
        <v>40</v>
      </c>
    </row>
    <row r="1382" spans="1:9" ht="16.5" customHeight="1" x14ac:dyDescent="0.2">
      <c r="A1382" s="35" t="s">
        <v>4808</v>
      </c>
      <c r="B1382" s="35" t="s">
        <v>4809</v>
      </c>
      <c r="C1382" s="35" t="s">
        <v>115</v>
      </c>
      <c r="D1382" s="35" t="s">
        <v>125</v>
      </c>
      <c r="E1382" s="35" t="s">
        <v>39</v>
      </c>
      <c r="F1382" s="30" t="s">
        <v>18</v>
      </c>
      <c r="G1382" s="31" t="s">
        <v>41</v>
      </c>
      <c r="H1382" s="55" t="s">
        <v>4810</v>
      </c>
      <c r="I1382" s="32" t="s">
        <v>40</v>
      </c>
    </row>
    <row r="1383" spans="1:9" ht="16.5" customHeight="1" x14ac:dyDescent="0.2">
      <c r="A1383" s="35" t="s">
        <v>4808</v>
      </c>
      <c r="B1383" s="35" t="s">
        <v>4809</v>
      </c>
      <c r="C1383" s="35" t="s">
        <v>115</v>
      </c>
      <c r="D1383" s="35" t="s">
        <v>125</v>
      </c>
      <c r="E1383" s="35" t="s">
        <v>39</v>
      </c>
      <c r="F1383" s="30" t="s">
        <v>18</v>
      </c>
      <c r="G1383" s="31" t="s">
        <v>41</v>
      </c>
      <c r="H1383" s="55" t="s">
        <v>5527</v>
      </c>
      <c r="I1383" s="32" t="s">
        <v>40</v>
      </c>
    </row>
    <row r="1384" spans="1:9" ht="16.5" customHeight="1" x14ac:dyDescent="0.2">
      <c r="A1384" s="35" t="s">
        <v>4808</v>
      </c>
      <c r="B1384" s="35" t="s">
        <v>4809</v>
      </c>
      <c r="C1384" s="35" t="s">
        <v>115</v>
      </c>
      <c r="D1384" s="35" t="s">
        <v>125</v>
      </c>
      <c r="E1384" s="35" t="s">
        <v>39</v>
      </c>
      <c r="F1384" s="30" t="s">
        <v>18</v>
      </c>
      <c r="G1384" s="31" t="s">
        <v>41</v>
      </c>
      <c r="H1384" s="55" t="s">
        <v>5528</v>
      </c>
      <c r="I1384" s="32" t="s">
        <v>40</v>
      </c>
    </row>
    <row r="1385" spans="1:9" ht="16.5" customHeight="1" x14ac:dyDescent="0.2">
      <c r="A1385" s="26" t="s">
        <v>4811</v>
      </c>
      <c r="B1385" s="26" t="s">
        <v>4812</v>
      </c>
      <c r="C1385" s="26" t="s">
        <v>37</v>
      </c>
      <c r="D1385" s="26" t="s">
        <v>59</v>
      </c>
      <c r="E1385" s="26" t="s">
        <v>39</v>
      </c>
      <c r="F1385" s="31" t="s">
        <v>32</v>
      </c>
      <c r="G1385" s="32"/>
      <c r="H1385" s="32"/>
      <c r="I1385" s="32" t="s">
        <v>40</v>
      </c>
    </row>
    <row r="1386" spans="1:9" ht="16.5" customHeight="1" x14ac:dyDescent="0.2">
      <c r="A1386" s="26" t="s">
        <v>4813</v>
      </c>
      <c r="B1386" s="26" t="s">
        <v>4814</v>
      </c>
      <c r="C1386" s="26" t="s">
        <v>98</v>
      </c>
      <c r="D1386" s="26" t="s">
        <v>99</v>
      </c>
      <c r="E1386" s="26" t="s">
        <v>39</v>
      </c>
      <c r="F1386" s="47" t="s">
        <v>18</v>
      </c>
      <c r="G1386" s="47" t="s">
        <v>41</v>
      </c>
      <c r="H1386" s="51"/>
      <c r="I1386" s="32" t="s">
        <v>40</v>
      </c>
    </row>
    <row r="1387" spans="1:9" ht="16.5" customHeight="1" x14ac:dyDescent="0.2">
      <c r="A1387" s="26" t="s">
        <v>4815</v>
      </c>
      <c r="B1387" s="26" t="s">
        <v>4816</v>
      </c>
      <c r="C1387" s="35" t="s">
        <v>115</v>
      </c>
      <c r="D1387" s="35" t="s">
        <v>116</v>
      </c>
      <c r="E1387" s="35" t="s">
        <v>39</v>
      </c>
      <c r="F1387" s="52" t="s">
        <v>11</v>
      </c>
      <c r="G1387" s="31" t="s">
        <v>19</v>
      </c>
      <c r="H1387" s="32"/>
      <c r="I1387" s="32" t="s">
        <v>40</v>
      </c>
    </row>
    <row r="1388" spans="1:9" ht="16.5" customHeight="1" x14ac:dyDescent="0.2">
      <c r="A1388" s="26" t="s">
        <v>4815</v>
      </c>
      <c r="B1388" s="26" t="s">
        <v>4816</v>
      </c>
      <c r="C1388" s="35" t="s">
        <v>115</v>
      </c>
      <c r="D1388" s="35" t="s">
        <v>116</v>
      </c>
      <c r="E1388" s="35" t="s">
        <v>39</v>
      </c>
      <c r="F1388" s="52" t="s">
        <v>11</v>
      </c>
      <c r="G1388" s="31" t="s">
        <v>12</v>
      </c>
      <c r="H1388" s="32"/>
      <c r="I1388" s="32" t="s">
        <v>40</v>
      </c>
    </row>
    <row r="1389" spans="1:9" ht="16.5" customHeight="1" x14ac:dyDescent="0.2">
      <c r="A1389" s="26" t="s">
        <v>4815</v>
      </c>
      <c r="B1389" s="26" t="s">
        <v>4816</v>
      </c>
      <c r="C1389" s="35" t="s">
        <v>115</v>
      </c>
      <c r="D1389" s="35" t="s">
        <v>116</v>
      </c>
      <c r="E1389" s="35" t="s">
        <v>39</v>
      </c>
      <c r="F1389" s="52" t="s">
        <v>11</v>
      </c>
      <c r="G1389" s="31" t="s">
        <v>12</v>
      </c>
      <c r="H1389" s="32"/>
      <c r="I1389" s="32" t="s">
        <v>40</v>
      </c>
    </row>
    <row r="1390" spans="1:9" ht="16.5" customHeight="1" x14ac:dyDescent="0.2">
      <c r="A1390" s="26" t="s">
        <v>4815</v>
      </c>
      <c r="B1390" s="26" t="s">
        <v>4816</v>
      </c>
      <c r="C1390" s="35" t="s">
        <v>115</v>
      </c>
      <c r="D1390" s="35" t="s">
        <v>116</v>
      </c>
      <c r="E1390" s="35" t="s">
        <v>39</v>
      </c>
      <c r="F1390" s="52" t="s">
        <v>11</v>
      </c>
      <c r="G1390" s="31" t="s">
        <v>61</v>
      </c>
      <c r="H1390" s="32"/>
      <c r="I1390" s="32" t="s">
        <v>40</v>
      </c>
    </row>
    <row r="1391" spans="1:9" ht="16.5" customHeight="1" x14ac:dyDescent="0.2">
      <c r="A1391" s="26" t="s">
        <v>4815</v>
      </c>
      <c r="B1391" s="26" t="s">
        <v>4816</v>
      </c>
      <c r="C1391" s="35" t="s">
        <v>115</v>
      </c>
      <c r="D1391" s="35" t="s">
        <v>116</v>
      </c>
      <c r="E1391" s="35" t="s">
        <v>39</v>
      </c>
      <c r="F1391" s="52" t="s">
        <v>11</v>
      </c>
      <c r="G1391" s="31" t="s">
        <v>61</v>
      </c>
      <c r="H1391" s="32"/>
      <c r="I1391" s="32" t="s">
        <v>40</v>
      </c>
    </row>
    <row r="1392" spans="1:9" ht="16.5" customHeight="1" x14ac:dyDescent="0.2">
      <c r="A1392" s="26" t="s">
        <v>4817</v>
      </c>
      <c r="B1392" s="26" t="s">
        <v>4818</v>
      </c>
      <c r="C1392" s="66" t="s">
        <v>98</v>
      </c>
      <c r="D1392" s="66" t="s">
        <v>110</v>
      </c>
      <c r="E1392" s="66" t="s">
        <v>39</v>
      </c>
      <c r="F1392" s="31" t="s">
        <v>18</v>
      </c>
      <c r="G1392" s="66" t="s">
        <v>19</v>
      </c>
      <c r="H1392" s="32"/>
      <c r="I1392" s="32" t="s">
        <v>40</v>
      </c>
    </row>
    <row r="1393" spans="1:9" ht="16.5" customHeight="1" x14ac:dyDescent="0.2">
      <c r="A1393" s="35" t="s">
        <v>4819</v>
      </c>
      <c r="B1393" s="35" t="s">
        <v>4820</v>
      </c>
      <c r="C1393" s="35" t="s">
        <v>115</v>
      </c>
      <c r="D1393" s="35" t="s">
        <v>134</v>
      </c>
      <c r="E1393" s="35" t="s">
        <v>39</v>
      </c>
      <c r="F1393" s="30" t="s">
        <v>18</v>
      </c>
      <c r="G1393" s="31" t="s">
        <v>61</v>
      </c>
      <c r="H1393" s="55"/>
      <c r="I1393" s="32" t="s">
        <v>40</v>
      </c>
    </row>
    <row r="1394" spans="1:9" ht="16.5" customHeight="1" x14ac:dyDescent="0.2">
      <c r="A1394" s="35" t="s">
        <v>4819</v>
      </c>
      <c r="B1394" s="35" t="s">
        <v>4820</v>
      </c>
      <c r="C1394" s="35" t="s">
        <v>115</v>
      </c>
      <c r="D1394" s="35" t="s">
        <v>134</v>
      </c>
      <c r="E1394" s="35" t="s">
        <v>39</v>
      </c>
      <c r="F1394" s="30" t="s">
        <v>18</v>
      </c>
      <c r="G1394" s="31" t="s">
        <v>61</v>
      </c>
      <c r="H1394" s="55"/>
      <c r="I1394" s="32" t="s">
        <v>40</v>
      </c>
    </row>
    <row r="1395" spans="1:9" ht="16.5" customHeight="1" x14ac:dyDescent="0.2">
      <c r="A1395" s="35" t="s">
        <v>4819</v>
      </c>
      <c r="B1395" s="35" t="s">
        <v>4820</v>
      </c>
      <c r="C1395" s="35" t="s">
        <v>115</v>
      </c>
      <c r="D1395" s="35" t="s">
        <v>134</v>
      </c>
      <c r="E1395" s="35" t="s">
        <v>39</v>
      </c>
      <c r="F1395" s="30" t="s">
        <v>18</v>
      </c>
      <c r="G1395" s="31" t="s">
        <v>61</v>
      </c>
      <c r="H1395" s="55"/>
      <c r="I1395" s="32" t="s">
        <v>40</v>
      </c>
    </row>
    <row r="1396" spans="1:9" ht="16.5" customHeight="1" x14ac:dyDescent="0.25">
      <c r="A1396" s="76" t="s">
        <v>4821</v>
      </c>
      <c r="B1396" s="76" t="s">
        <v>5286</v>
      </c>
      <c r="C1396" s="26" t="s">
        <v>64</v>
      </c>
      <c r="D1396" s="26" t="s">
        <v>92</v>
      </c>
      <c r="E1396" s="26" t="s">
        <v>39</v>
      </c>
      <c r="F1396" s="31" t="s">
        <v>11</v>
      </c>
      <c r="G1396" s="31" t="s">
        <v>72</v>
      </c>
      <c r="H1396" s="32"/>
      <c r="I1396" s="32" t="s">
        <v>40</v>
      </c>
    </row>
    <row r="1397" spans="1:9" ht="16.5" customHeight="1" x14ac:dyDescent="0.25">
      <c r="A1397" s="76" t="s">
        <v>4821</v>
      </c>
      <c r="B1397" s="76" t="s">
        <v>5286</v>
      </c>
      <c r="C1397" s="26" t="s">
        <v>64</v>
      </c>
      <c r="D1397" s="26" t="s">
        <v>92</v>
      </c>
      <c r="E1397" s="26" t="s">
        <v>39</v>
      </c>
      <c r="F1397" s="31" t="s">
        <v>11</v>
      </c>
      <c r="G1397" s="31" t="s">
        <v>72</v>
      </c>
      <c r="H1397" s="32"/>
      <c r="I1397" s="32" t="s">
        <v>40</v>
      </c>
    </row>
    <row r="1398" spans="1:9" ht="16.5" customHeight="1" x14ac:dyDescent="0.25">
      <c r="A1398" s="76" t="s">
        <v>4821</v>
      </c>
      <c r="B1398" s="76" t="s">
        <v>5286</v>
      </c>
      <c r="C1398" s="26" t="s">
        <v>64</v>
      </c>
      <c r="D1398" s="26" t="s">
        <v>92</v>
      </c>
      <c r="E1398" s="26" t="s">
        <v>39</v>
      </c>
      <c r="F1398" s="31" t="s">
        <v>11</v>
      </c>
      <c r="G1398" s="31" t="s">
        <v>72</v>
      </c>
      <c r="H1398" s="32"/>
      <c r="I1398" s="32" t="s">
        <v>40</v>
      </c>
    </row>
    <row r="1399" spans="1:9" ht="16.5" customHeight="1" x14ac:dyDescent="0.25">
      <c r="A1399" s="76" t="s">
        <v>4821</v>
      </c>
      <c r="B1399" s="76" t="s">
        <v>5286</v>
      </c>
      <c r="C1399" s="26" t="s">
        <v>64</v>
      </c>
      <c r="D1399" s="26" t="s">
        <v>92</v>
      </c>
      <c r="E1399" s="26" t="s">
        <v>39</v>
      </c>
      <c r="F1399" s="31" t="s">
        <v>11</v>
      </c>
      <c r="G1399" s="27" t="s">
        <v>72</v>
      </c>
      <c r="H1399" s="51"/>
      <c r="I1399" s="32" t="s">
        <v>40</v>
      </c>
    </row>
    <row r="1400" spans="1:9" ht="16.5" customHeight="1" x14ac:dyDescent="0.25">
      <c r="A1400" s="76" t="s">
        <v>4821</v>
      </c>
      <c r="B1400" s="76" t="s">
        <v>5286</v>
      </c>
      <c r="C1400" s="26" t="s">
        <v>64</v>
      </c>
      <c r="D1400" s="26" t="s">
        <v>92</v>
      </c>
      <c r="E1400" s="26" t="s">
        <v>39</v>
      </c>
      <c r="F1400" s="31" t="s">
        <v>11</v>
      </c>
      <c r="G1400" s="31" t="s">
        <v>72</v>
      </c>
      <c r="H1400" s="32"/>
      <c r="I1400" s="32" t="s">
        <v>40</v>
      </c>
    </row>
    <row r="1401" spans="1:9" ht="16.5" customHeight="1" x14ac:dyDescent="0.2">
      <c r="A1401" s="26" t="s">
        <v>4823</v>
      </c>
      <c r="B1401" s="26" t="s">
        <v>4824</v>
      </c>
      <c r="C1401" s="26" t="s">
        <v>115</v>
      </c>
      <c r="D1401" s="27" t="s">
        <v>116</v>
      </c>
      <c r="E1401" s="27" t="s">
        <v>129</v>
      </c>
      <c r="F1401" s="31" t="s">
        <v>18</v>
      </c>
      <c r="G1401" s="31" t="s">
        <v>3280</v>
      </c>
      <c r="H1401" s="31"/>
      <c r="I1401" s="32" t="s">
        <v>10</v>
      </c>
    </row>
    <row r="1402" spans="1:9" ht="16.5" customHeight="1" x14ac:dyDescent="0.2">
      <c r="A1402" s="26" t="s">
        <v>4825</v>
      </c>
      <c r="B1402" s="26" t="s">
        <v>4826</v>
      </c>
      <c r="C1402" s="26" t="s">
        <v>115</v>
      </c>
      <c r="D1402" s="27" t="s">
        <v>116</v>
      </c>
      <c r="E1402" s="27" t="s">
        <v>9</v>
      </c>
      <c r="F1402" s="31" t="s">
        <v>18</v>
      </c>
      <c r="G1402" s="31" t="s">
        <v>3280</v>
      </c>
      <c r="H1402" s="31"/>
      <c r="I1402" s="32" t="s">
        <v>10</v>
      </c>
    </row>
    <row r="1403" spans="1:9" ht="16.5" customHeight="1" x14ac:dyDescent="0.2">
      <c r="A1403" s="35" t="s">
        <v>4827</v>
      </c>
      <c r="B1403" s="26" t="s">
        <v>5523</v>
      </c>
      <c r="C1403" s="66" t="s">
        <v>64</v>
      </c>
      <c r="D1403" s="26" t="s">
        <v>82</v>
      </c>
      <c r="E1403" s="35" t="s">
        <v>135</v>
      </c>
      <c r="F1403" s="31" t="s">
        <v>18</v>
      </c>
      <c r="G1403" s="31" t="s">
        <v>3280</v>
      </c>
      <c r="H1403" s="32"/>
      <c r="I1403" s="32" t="s">
        <v>10</v>
      </c>
    </row>
    <row r="1404" spans="1:9" ht="16.5" customHeight="1" x14ac:dyDescent="0.2">
      <c r="A1404" s="26" t="s">
        <v>4829</v>
      </c>
      <c r="B1404" s="26" t="s">
        <v>4830</v>
      </c>
      <c r="C1404" s="26" t="s">
        <v>115</v>
      </c>
      <c r="D1404" s="27" t="s">
        <v>116</v>
      </c>
      <c r="E1404" s="27" t="s">
        <v>83</v>
      </c>
      <c r="F1404" s="31" t="s">
        <v>25</v>
      </c>
      <c r="G1404" s="31" t="s">
        <v>61</v>
      </c>
      <c r="H1404" s="31"/>
      <c r="I1404" s="32" t="s">
        <v>10</v>
      </c>
    </row>
    <row r="1405" spans="1:9" ht="16.5" customHeight="1" x14ac:dyDescent="0.25">
      <c r="A1405" s="35" t="s">
        <v>4831</v>
      </c>
      <c r="B1405" s="76" t="s">
        <v>4832</v>
      </c>
      <c r="C1405" s="76" t="s">
        <v>64</v>
      </c>
      <c r="D1405" s="35" t="s">
        <v>86</v>
      </c>
      <c r="E1405" s="76" t="s">
        <v>83</v>
      </c>
      <c r="F1405" s="76" t="s">
        <v>25</v>
      </c>
      <c r="G1405" s="35" t="s">
        <v>72</v>
      </c>
      <c r="H1405" s="95"/>
      <c r="I1405" s="32" t="s">
        <v>10</v>
      </c>
    </row>
    <row r="1406" spans="1:9" ht="16.5" customHeight="1" x14ac:dyDescent="0.25">
      <c r="A1406" s="76" t="s">
        <v>4833</v>
      </c>
      <c r="B1406" s="76" t="s">
        <v>5296</v>
      </c>
      <c r="C1406" s="26" t="s">
        <v>64</v>
      </c>
      <c r="D1406" s="26" t="s">
        <v>92</v>
      </c>
      <c r="E1406" s="26" t="s">
        <v>106</v>
      </c>
      <c r="F1406" s="31" t="s">
        <v>18</v>
      </c>
      <c r="G1406" s="31" t="s">
        <v>26</v>
      </c>
      <c r="H1406" s="32"/>
      <c r="I1406" s="32" t="s">
        <v>10</v>
      </c>
    </row>
    <row r="1407" spans="1:9" ht="16.5" customHeight="1" x14ac:dyDescent="0.25">
      <c r="A1407" s="35" t="s">
        <v>4835</v>
      </c>
      <c r="B1407" s="76" t="s">
        <v>4836</v>
      </c>
      <c r="C1407" s="76" t="s">
        <v>64</v>
      </c>
      <c r="D1407" s="35" t="s">
        <v>86</v>
      </c>
      <c r="E1407" s="76" t="s">
        <v>87</v>
      </c>
      <c r="F1407" s="76" t="s">
        <v>18</v>
      </c>
      <c r="G1407" s="35" t="s">
        <v>26</v>
      </c>
      <c r="H1407" s="95"/>
      <c r="I1407" s="32" t="s">
        <v>10</v>
      </c>
    </row>
    <row r="1408" spans="1:9" ht="16.5" customHeight="1" x14ac:dyDescent="0.25">
      <c r="A1408" s="35" t="s">
        <v>4837</v>
      </c>
      <c r="B1408" s="76" t="s">
        <v>4838</v>
      </c>
      <c r="C1408" s="76" t="s">
        <v>64</v>
      </c>
      <c r="D1408" s="35" t="s">
        <v>86</v>
      </c>
      <c r="E1408" s="76" t="s">
        <v>87</v>
      </c>
      <c r="F1408" s="76" t="s">
        <v>18</v>
      </c>
      <c r="G1408" s="35" t="s">
        <v>19</v>
      </c>
      <c r="H1408" s="95"/>
      <c r="I1408" s="32" t="s">
        <v>10</v>
      </c>
    </row>
    <row r="1409" spans="1:9" ht="16.5" customHeight="1" x14ac:dyDescent="0.2">
      <c r="A1409" s="26" t="s">
        <v>4839</v>
      </c>
      <c r="B1409" s="26" t="s">
        <v>4840</v>
      </c>
      <c r="C1409" s="26" t="s">
        <v>115</v>
      </c>
      <c r="D1409" s="27" t="s">
        <v>116</v>
      </c>
      <c r="E1409" s="27" t="s">
        <v>100</v>
      </c>
      <c r="F1409" s="31" t="s">
        <v>18</v>
      </c>
      <c r="G1409" s="31" t="s">
        <v>3280</v>
      </c>
      <c r="H1409" s="31"/>
      <c r="I1409" s="32" t="s">
        <v>10</v>
      </c>
    </row>
    <row r="1410" spans="1:9" ht="16.5" customHeight="1" x14ac:dyDescent="0.2">
      <c r="A1410" s="26" t="s">
        <v>4839</v>
      </c>
      <c r="B1410" s="26" t="s">
        <v>4840</v>
      </c>
      <c r="C1410" s="26" t="s">
        <v>115</v>
      </c>
      <c r="D1410" s="27" t="s">
        <v>116</v>
      </c>
      <c r="E1410" s="27" t="s">
        <v>100</v>
      </c>
      <c r="F1410" s="31" t="s">
        <v>18</v>
      </c>
      <c r="G1410" s="31" t="s">
        <v>3280</v>
      </c>
      <c r="H1410" s="31"/>
      <c r="I1410" s="32" t="s">
        <v>10</v>
      </c>
    </row>
    <row r="1411" spans="1:9" ht="16.5" customHeight="1" x14ac:dyDescent="0.25">
      <c r="A1411" s="76" t="s">
        <v>4841</v>
      </c>
      <c r="B1411" s="76" t="s">
        <v>5313</v>
      </c>
      <c r="C1411" s="26" t="s">
        <v>64</v>
      </c>
      <c r="D1411" s="26" t="s">
        <v>92</v>
      </c>
      <c r="E1411" s="26" t="s">
        <v>100</v>
      </c>
      <c r="F1411" s="31" t="s">
        <v>18</v>
      </c>
      <c r="G1411" s="31" t="s">
        <v>26</v>
      </c>
      <c r="H1411" s="32"/>
      <c r="I1411" s="32" t="s">
        <v>10</v>
      </c>
    </row>
    <row r="1412" spans="1:9" ht="16.5" customHeight="1" x14ac:dyDescent="0.2">
      <c r="A1412" s="26" t="s">
        <v>4841</v>
      </c>
      <c r="B1412" s="26" t="s">
        <v>5469</v>
      </c>
      <c r="C1412" s="26" t="s">
        <v>115</v>
      </c>
      <c r="D1412" s="27" t="s">
        <v>116</v>
      </c>
      <c r="E1412" s="27" t="s">
        <v>100</v>
      </c>
      <c r="F1412" s="31" t="s">
        <v>18</v>
      </c>
      <c r="G1412" s="31" t="s">
        <v>3280</v>
      </c>
      <c r="H1412" s="31"/>
      <c r="I1412" s="32" t="s">
        <v>10</v>
      </c>
    </row>
    <row r="1413" spans="1:9" ht="16.5" customHeight="1" x14ac:dyDescent="0.2">
      <c r="A1413" s="26" t="s">
        <v>4841</v>
      </c>
      <c r="B1413" s="26" t="s">
        <v>5469</v>
      </c>
      <c r="C1413" s="26" t="s">
        <v>115</v>
      </c>
      <c r="D1413" s="27" t="s">
        <v>116</v>
      </c>
      <c r="E1413" s="27" t="s">
        <v>100</v>
      </c>
      <c r="F1413" s="31" t="s">
        <v>18</v>
      </c>
      <c r="G1413" s="31" t="s">
        <v>3280</v>
      </c>
      <c r="H1413" s="31"/>
      <c r="I1413" s="32" t="s">
        <v>10</v>
      </c>
    </row>
    <row r="1414" spans="1:9" ht="16.5" customHeight="1" x14ac:dyDescent="0.2">
      <c r="A1414" s="35" t="s">
        <v>4843</v>
      </c>
      <c r="B1414" s="26" t="s">
        <v>5506</v>
      </c>
      <c r="C1414" s="66" t="s">
        <v>64</v>
      </c>
      <c r="D1414" s="26" t="s">
        <v>82</v>
      </c>
      <c r="E1414" s="35" t="s">
        <v>129</v>
      </c>
      <c r="F1414" s="31" t="s">
        <v>18</v>
      </c>
      <c r="G1414" s="31" t="s">
        <v>61</v>
      </c>
      <c r="H1414" s="32"/>
      <c r="I1414" s="32" t="s">
        <v>10</v>
      </c>
    </row>
    <row r="1415" spans="1:9" ht="16.5" customHeight="1" x14ac:dyDescent="0.2">
      <c r="A1415" s="35" t="s">
        <v>4845</v>
      </c>
      <c r="B1415" s="35" t="s">
        <v>4846</v>
      </c>
      <c r="C1415" s="35" t="s">
        <v>7</v>
      </c>
      <c r="D1415" s="35" t="s">
        <v>23</v>
      </c>
      <c r="E1415" s="35" t="s">
        <v>126</v>
      </c>
      <c r="F1415" s="52" t="s">
        <v>18</v>
      </c>
      <c r="G1415" s="30" t="s">
        <v>61</v>
      </c>
      <c r="H1415" s="32"/>
      <c r="I1415" s="32" t="s">
        <v>10</v>
      </c>
    </row>
    <row r="1416" spans="1:9" ht="16.5" customHeight="1" x14ac:dyDescent="0.2">
      <c r="A1416" s="35" t="s">
        <v>4847</v>
      </c>
      <c r="B1416" s="26" t="s">
        <v>5513</v>
      </c>
      <c r="C1416" s="66" t="s">
        <v>64</v>
      </c>
      <c r="D1416" s="26" t="s">
        <v>82</v>
      </c>
      <c r="E1416" s="35" t="s">
        <v>126</v>
      </c>
      <c r="F1416" s="31" t="s">
        <v>18</v>
      </c>
      <c r="G1416" s="31" t="s">
        <v>61</v>
      </c>
      <c r="H1416" s="32"/>
      <c r="I1416" s="32" t="s">
        <v>10</v>
      </c>
    </row>
    <row r="1417" spans="1:9" ht="16.5" customHeight="1" x14ac:dyDescent="0.2">
      <c r="A1417" s="26" t="s">
        <v>4849</v>
      </c>
      <c r="B1417" s="26" t="s">
        <v>4850</v>
      </c>
      <c r="C1417" s="35" t="s">
        <v>115</v>
      </c>
      <c r="D1417" s="35" t="s">
        <v>116</v>
      </c>
      <c r="E1417" s="35" t="s">
        <v>83</v>
      </c>
      <c r="F1417" s="52" t="s">
        <v>25</v>
      </c>
      <c r="G1417" s="52" t="s">
        <v>61</v>
      </c>
      <c r="H1417" s="32"/>
      <c r="I1417" s="32" t="s">
        <v>10</v>
      </c>
    </row>
    <row r="1418" spans="1:9" ht="16.5" customHeight="1" x14ac:dyDescent="0.25">
      <c r="A1418" s="76" t="s">
        <v>4851</v>
      </c>
      <c r="B1418" s="76" t="s">
        <v>5298</v>
      </c>
      <c r="C1418" s="26" t="s">
        <v>64</v>
      </c>
      <c r="D1418" s="26" t="s">
        <v>92</v>
      </c>
      <c r="E1418" s="26" t="s">
        <v>100</v>
      </c>
      <c r="F1418" s="31" t="s">
        <v>18</v>
      </c>
      <c r="G1418" s="31" t="s">
        <v>26</v>
      </c>
      <c r="H1418" s="32"/>
      <c r="I1418" s="32" t="s">
        <v>10</v>
      </c>
    </row>
    <row r="1419" spans="1:9" ht="16.5" customHeight="1" x14ac:dyDescent="0.2">
      <c r="A1419" s="35" t="s">
        <v>4853</v>
      </c>
      <c r="B1419" s="26" t="s">
        <v>5400</v>
      </c>
      <c r="C1419" s="35" t="s">
        <v>64</v>
      </c>
      <c r="D1419" s="35" t="s">
        <v>82</v>
      </c>
      <c r="E1419" s="26" t="s">
        <v>106</v>
      </c>
      <c r="F1419" s="31" t="s">
        <v>32</v>
      </c>
      <c r="G1419" s="31" t="s">
        <v>26</v>
      </c>
      <c r="H1419" s="32"/>
      <c r="I1419" s="32" t="s">
        <v>10</v>
      </c>
    </row>
    <row r="1420" spans="1:9" ht="16.5" customHeight="1" x14ac:dyDescent="0.2">
      <c r="A1420" s="35" t="s">
        <v>4855</v>
      </c>
      <c r="B1420" s="26" t="s">
        <v>5397</v>
      </c>
      <c r="C1420" s="35" t="s">
        <v>64</v>
      </c>
      <c r="D1420" s="35" t="s">
        <v>82</v>
      </c>
      <c r="E1420" s="26" t="s">
        <v>106</v>
      </c>
      <c r="F1420" s="31" t="s">
        <v>32</v>
      </c>
      <c r="G1420" s="31" t="s">
        <v>26</v>
      </c>
      <c r="H1420" s="32"/>
      <c r="I1420" s="32" t="s">
        <v>10</v>
      </c>
    </row>
    <row r="1421" spans="1:9" ht="16.5" customHeight="1" x14ac:dyDescent="0.2">
      <c r="A1421" s="26" t="s">
        <v>4857</v>
      </c>
      <c r="B1421" s="26" t="s">
        <v>4858</v>
      </c>
      <c r="C1421" s="26" t="s">
        <v>98</v>
      </c>
      <c r="D1421" s="26" t="s">
        <v>107</v>
      </c>
      <c r="E1421" s="26" t="s">
        <v>126</v>
      </c>
      <c r="F1421" s="31" t="s">
        <v>18</v>
      </c>
      <c r="G1421" s="31" t="s">
        <v>41</v>
      </c>
      <c r="H1421" s="82"/>
      <c r="I1421" s="32" t="s">
        <v>10</v>
      </c>
    </row>
    <row r="1422" spans="1:9" ht="16.5" customHeight="1" x14ac:dyDescent="0.25">
      <c r="A1422" s="76" t="s">
        <v>4859</v>
      </c>
      <c r="B1422" s="76" t="s">
        <v>5287</v>
      </c>
      <c r="C1422" s="26" t="s">
        <v>64</v>
      </c>
      <c r="D1422" s="26" t="s">
        <v>92</v>
      </c>
      <c r="E1422" s="26" t="s">
        <v>83</v>
      </c>
      <c r="F1422" s="31" t="s">
        <v>25</v>
      </c>
      <c r="G1422" s="31" t="s">
        <v>72</v>
      </c>
      <c r="H1422" s="32"/>
      <c r="I1422" s="32" t="s">
        <v>10</v>
      </c>
    </row>
    <row r="1423" spans="1:9" ht="16.5" customHeight="1" x14ac:dyDescent="0.2">
      <c r="A1423" s="26" t="s">
        <v>4861</v>
      </c>
      <c r="B1423" s="26" t="s">
        <v>4862</v>
      </c>
      <c r="C1423" s="26" t="s">
        <v>115</v>
      </c>
      <c r="D1423" s="27" t="s">
        <v>116</v>
      </c>
      <c r="E1423" s="27" t="s">
        <v>126</v>
      </c>
      <c r="F1423" s="31" t="s">
        <v>18</v>
      </c>
      <c r="G1423" s="31" t="s">
        <v>61</v>
      </c>
      <c r="H1423" s="31"/>
      <c r="I1423" s="32" t="s">
        <v>10</v>
      </c>
    </row>
    <row r="1424" spans="1:9" ht="16.5" customHeight="1" x14ac:dyDescent="0.2">
      <c r="A1424" s="35" t="s">
        <v>4863</v>
      </c>
      <c r="B1424" s="26" t="s">
        <v>5491</v>
      </c>
      <c r="C1424" s="66" t="s">
        <v>64</v>
      </c>
      <c r="D1424" s="26" t="s">
        <v>82</v>
      </c>
      <c r="E1424" s="35" t="s">
        <v>126</v>
      </c>
      <c r="F1424" s="31" t="s">
        <v>25</v>
      </c>
      <c r="G1424" s="31" t="s">
        <v>72</v>
      </c>
      <c r="H1424" s="32"/>
      <c r="I1424" s="32" t="s">
        <v>10</v>
      </c>
    </row>
    <row r="1425" spans="1:9" ht="16.5" customHeight="1" x14ac:dyDescent="0.2">
      <c r="A1425" s="35" t="s">
        <v>4865</v>
      </c>
      <c r="B1425" s="35" t="s">
        <v>4866</v>
      </c>
      <c r="C1425" s="35" t="s">
        <v>64</v>
      </c>
      <c r="D1425" s="35" t="s">
        <v>89</v>
      </c>
      <c r="E1425" s="54" t="s">
        <v>83</v>
      </c>
      <c r="F1425" s="31" t="s">
        <v>25</v>
      </c>
      <c r="G1425" s="31" t="s">
        <v>72</v>
      </c>
      <c r="H1425" s="32"/>
      <c r="I1425" s="32" t="s">
        <v>10</v>
      </c>
    </row>
    <row r="1426" spans="1:9" ht="16.5" customHeight="1" x14ac:dyDescent="0.2">
      <c r="A1426" s="35" t="s">
        <v>4865</v>
      </c>
      <c r="B1426" s="35" t="s">
        <v>4866</v>
      </c>
      <c r="C1426" s="35" t="s">
        <v>64</v>
      </c>
      <c r="D1426" s="35" t="s">
        <v>89</v>
      </c>
      <c r="E1426" s="54" t="s">
        <v>83</v>
      </c>
      <c r="F1426" s="31" t="s">
        <v>25</v>
      </c>
      <c r="G1426" s="31" t="s">
        <v>41</v>
      </c>
      <c r="H1426" s="32"/>
      <c r="I1426" s="32" t="s">
        <v>10</v>
      </c>
    </row>
    <row r="1427" spans="1:9" ht="16.5" customHeight="1" x14ac:dyDescent="0.2">
      <c r="A1427" s="54" t="s">
        <v>4867</v>
      </c>
      <c r="B1427" s="35" t="s">
        <v>4868</v>
      </c>
      <c r="C1427" s="35" t="s">
        <v>64</v>
      </c>
      <c r="D1427" s="35" t="s">
        <v>95</v>
      </c>
      <c r="E1427" s="54" t="s">
        <v>126</v>
      </c>
      <c r="F1427" s="31" t="s">
        <v>18</v>
      </c>
      <c r="G1427" s="31" t="s">
        <v>41</v>
      </c>
      <c r="H1427" s="32"/>
      <c r="I1427" s="32" t="s">
        <v>10</v>
      </c>
    </row>
    <row r="1428" spans="1:9" ht="16.5" customHeight="1" x14ac:dyDescent="0.35">
      <c r="A1428" s="35" t="s">
        <v>4867</v>
      </c>
      <c r="B1428" s="124" t="s">
        <v>5517</v>
      </c>
      <c r="C1428" s="66" t="s">
        <v>64</v>
      </c>
      <c r="D1428" s="26" t="s">
        <v>82</v>
      </c>
      <c r="E1428" s="35" t="s">
        <v>126</v>
      </c>
      <c r="F1428" s="31" t="s">
        <v>18</v>
      </c>
      <c r="G1428" s="31" t="s">
        <v>12</v>
      </c>
      <c r="H1428" s="32"/>
      <c r="I1428" s="32" t="s">
        <v>10</v>
      </c>
    </row>
    <row r="1429" spans="1:9" ht="16.5" customHeight="1" x14ac:dyDescent="0.2">
      <c r="A1429" s="26" t="s">
        <v>4869</v>
      </c>
      <c r="B1429" s="26" t="s">
        <v>4870</v>
      </c>
      <c r="C1429" s="26" t="s">
        <v>98</v>
      </c>
      <c r="D1429" s="26" t="s">
        <v>105</v>
      </c>
      <c r="E1429" s="26" t="s">
        <v>83</v>
      </c>
      <c r="F1429" s="31" t="s">
        <v>25</v>
      </c>
      <c r="G1429" s="31" t="s">
        <v>41</v>
      </c>
      <c r="H1429" s="32"/>
      <c r="I1429" s="32" t="s">
        <v>10</v>
      </c>
    </row>
    <row r="1430" spans="1:9" ht="16.5" customHeight="1" x14ac:dyDescent="0.2">
      <c r="A1430" s="27" t="s">
        <v>4871</v>
      </c>
      <c r="B1430" s="27" t="s">
        <v>4872</v>
      </c>
      <c r="C1430" s="27" t="s">
        <v>7</v>
      </c>
      <c r="D1430" s="27" t="s">
        <v>8</v>
      </c>
      <c r="E1430" s="27" t="s">
        <v>106</v>
      </c>
      <c r="F1430" s="47" t="s">
        <v>11</v>
      </c>
      <c r="G1430" s="44" t="s">
        <v>61</v>
      </c>
      <c r="H1430" s="32"/>
      <c r="I1430" s="32" t="s">
        <v>10</v>
      </c>
    </row>
    <row r="1431" spans="1:9" ht="16.5" customHeight="1" x14ac:dyDescent="0.2">
      <c r="A1431" s="26" t="s">
        <v>4873</v>
      </c>
      <c r="B1431" s="26" t="s">
        <v>4874</v>
      </c>
      <c r="C1431" s="26" t="s">
        <v>115</v>
      </c>
      <c r="D1431" s="26" t="s">
        <v>122</v>
      </c>
      <c r="E1431" s="26" t="s">
        <v>114</v>
      </c>
      <c r="F1431" s="31" t="s">
        <v>25</v>
      </c>
      <c r="G1431" s="31" t="s">
        <v>61</v>
      </c>
      <c r="H1431" s="32"/>
      <c r="I1431" s="32" t="s">
        <v>10</v>
      </c>
    </row>
    <row r="1432" spans="1:9" ht="16.5" customHeight="1" x14ac:dyDescent="0.2">
      <c r="A1432" s="35" t="s">
        <v>4875</v>
      </c>
      <c r="B1432" s="35" t="s">
        <v>5165</v>
      </c>
      <c r="C1432" s="35" t="s">
        <v>7</v>
      </c>
      <c r="D1432" s="35" t="s">
        <v>30</v>
      </c>
      <c r="E1432" s="35" t="s">
        <v>129</v>
      </c>
      <c r="F1432" s="52" t="s">
        <v>18</v>
      </c>
      <c r="G1432" s="30" t="s">
        <v>72</v>
      </c>
      <c r="H1432" s="30" t="s">
        <v>4281</v>
      </c>
      <c r="I1432" s="32" t="s">
        <v>10</v>
      </c>
    </row>
    <row r="1433" spans="1:9" ht="16.5" customHeight="1" x14ac:dyDescent="0.2">
      <c r="A1433" s="26" t="s">
        <v>4877</v>
      </c>
      <c r="B1433" s="26" t="s">
        <v>4878</v>
      </c>
      <c r="C1433" s="26" t="s">
        <v>7</v>
      </c>
      <c r="D1433" s="26" t="s">
        <v>16</v>
      </c>
      <c r="E1433" s="26" t="s">
        <v>83</v>
      </c>
      <c r="F1433" s="31" t="s">
        <v>25</v>
      </c>
      <c r="G1433" s="32"/>
      <c r="H1433" s="32" t="s">
        <v>10</v>
      </c>
      <c r="I1433" s="32" t="s">
        <v>10</v>
      </c>
    </row>
    <row r="1434" spans="1:9" ht="16.5" customHeight="1" x14ac:dyDescent="0.2">
      <c r="A1434" s="26" t="s">
        <v>4877</v>
      </c>
      <c r="B1434" s="26" t="s">
        <v>4878</v>
      </c>
      <c r="C1434" s="26" t="s">
        <v>7</v>
      </c>
      <c r="D1434" s="26" t="s">
        <v>16</v>
      </c>
      <c r="E1434" s="26" t="s">
        <v>83</v>
      </c>
      <c r="F1434" s="31" t="s">
        <v>25</v>
      </c>
      <c r="G1434" s="32"/>
      <c r="H1434" s="32" t="s">
        <v>10</v>
      </c>
      <c r="I1434" s="32" t="s">
        <v>10</v>
      </c>
    </row>
    <row r="1435" spans="1:9" ht="16.5" customHeight="1" x14ac:dyDescent="0.2">
      <c r="A1435" s="26" t="s">
        <v>4877</v>
      </c>
      <c r="B1435" s="26" t="s">
        <v>4878</v>
      </c>
      <c r="C1435" s="26" t="s">
        <v>7</v>
      </c>
      <c r="D1435" s="26" t="s">
        <v>16</v>
      </c>
      <c r="E1435" s="26" t="s">
        <v>83</v>
      </c>
      <c r="F1435" s="31" t="s">
        <v>25</v>
      </c>
      <c r="G1435" s="32"/>
      <c r="H1435" s="32" t="s">
        <v>10</v>
      </c>
      <c r="I1435" s="32" t="s">
        <v>10</v>
      </c>
    </row>
    <row r="1436" spans="1:9" ht="16.5" customHeight="1" x14ac:dyDescent="0.2">
      <c r="A1436" s="35" t="s">
        <v>4879</v>
      </c>
      <c r="B1436" s="35" t="s">
        <v>4880</v>
      </c>
      <c r="C1436" s="26" t="s">
        <v>98</v>
      </c>
      <c r="D1436" s="26" t="s">
        <v>113</v>
      </c>
      <c r="E1436" s="26" t="s">
        <v>9</v>
      </c>
      <c r="F1436" s="31" t="s">
        <v>18</v>
      </c>
      <c r="G1436" s="31" t="s">
        <v>26</v>
      </c>
      <c r="H1436" s="32"/>
      <c r="I1436" s="32" t="s">
        <v>10</v>
      </c>
    </row>
    <row r="1437" spans="1:9" ht="16.5" customHeight="1" x14ac:dyDescent="0.2">
      <c r="A1437" s="35" t="s">
        <v>4881</v>
      </c>
      <c r="B1437" s="35" t="s">
        <v>4882</v>
      </c>
      <c r="C1437" s="54" t="s">
        <v>7</v>
      </c>
      <c r="D1437" s="54" t="s">
        <v>23</v>
      </c>
      <c r="E1437" s="54" t="s">
        <v>79</v>
      </c>
      <c r="F1437" s="52" t="s">
        <v>18</v>
      </c>
      <c r="G1437" s="30" t="s">
        <v>41</v>
      </c>
      <c r="H1437" s="32"/>
      <c r="I1437" s="32" t="s">
        <v>10</v>
      </c>
    </row>
    <row r="1438" spans="1:9" ht="16.5" customHeight="1" x14ac:dyDescent="0.2">
      <c r="A1438" s="35" t="s">
        <v>4883</v>
      </c>
      <c r="B1438" s="35" t="s">
        <v>4884</v>
      </c>
      <c r="C1438" s="54" t="s">
        <v>7</v>
      </c>
      <c r="D1438" s="54" t="s">
        <v>23</v>
      </c>
      <c r="E1438" s="54" t="s">
        <v>79</v>
      </c>
      <c r="F1438" s="52" t="s">
        <v>18</v>
      </c>
      <c r="G1438" s="30" t="s">
        <v>41</v>
      </c>
      <c r="H1438" s="32"/>
      <c r="I1438" s="32" t="s">
        <v>10</v>
      </c>
    </row>
    <row r="1439" spans="1:9" ht="16.5" customHeight="1" x14ac:dyDescent="0.2">
      <c r="A1439" s="26" t="s">
        <v>4885</v>
      </c>
      <c r="B1439" s="26" t="s">
        <v>4886</v>
      </c>
      <c r="C1439" s="26" t="s">
        <v>98</v>
      </c>
      <c r="D1439" s="26" t="s">
        <v>105</v>
      </c>
      <c r="E1439" s="26" t="s">
        <v>93</v>
      </c>
      <c r="F1439" s="31" t="s">
        <v>18</v>
      </c>
      <c r="G1439" s="31" t="s">
        <v>41</v>
      </c>
      <c r="H1439" s="43"/>
      <c r="I1439" s="32" t="s">
        <v>10</v>
      </c>
    </row>
    <row r="1440" spans="1:9" ht="16.5" customHeight="1" x14ac:dyDescent="0.2">
      <c r="A1440" s="54" t="s">
        <v>4887</v>
      </c>
      <c r="B1440" s="35" t="s">
        <v>4888</v>
      </c>
      <c r="C1440" s="35" t="s">
        <v>64</v>
      </c>
      <c r="D1440" s="35" t="s">
        <v>95</v>
      </c>
      <c r="E1440" s="54" t="s">
        <v>126</v>
      </c>
      <c r="F1440" s="31" t="s">
        <v>18</v>
      </c>
      <c r="G1440" s="31" t="s">
        <v>41</v>
      </c>
      <c r="H1440" s="32"/>
      <c r="I1440" s="32" t="s">
        <v>10</v>
      </c>
    </row>
    <row r="1441" spans="1:9" ht="16.5" customHeight="1" x14ac:dyDescent="0.2">
      <c r="A1441" s="35" t="s">
        <v>4889</v>
      </c>
      <c r="B1441" s="35" t="s">
        <v>5163</v>
      </c>
      <c r="C1441" s="35" t="s">
        <v>7</v>
      </c>
      <c r="D1441" s="35" t="s">
        <v>30</v>
      </c>
      <c r="E1441" s="35" t="s">
        <v>129</v>
      </c>
      <c r="F1441" s="52" t="s">
        <v>18</v>
      </c>
      <c r="G1441" s="30" t="s">
        <v>72</v>
      </c>
      <c r="H1441" s="30" t="s">
        <v>4281</v>
      </c>
      <c r="I1441" s="32" t="s">
        <v>10</v>
      </c>
    </row>
    <row r="1442" spans="1:9" ht="16.5" customHeight="1" x14ac:dyDescent="0.2">
      <c r="A1442" s="26" t="s">
        <v>4891</v>
      </c>
      <c r="B1442" s="26" t="s">
        <v>4892</v>
      </c>
      <c r="C1442" s="26" t="s">
        <v>98</v>
      </c>
      <c r="D1442" s="26" t="s">
        <v>99</v>
      </c>
      <c r="E1442" s="26" t="s">
        <v>108</v>
      </c>
      <c r="F1442" s="47" t="s">
        <v>25</v>
      </c>
      <c r="G1442" s="47" t="s">
        <v>72</v>
      </c>
      <c r="H1442" s="32"/>
      <c r="I1442" s="32" t="s">
        <v>10</v>
      </c>
    </row>
    <row r="1443" spans="1:9" ht="16.5" customHeight="1" x14ac:dyDescent="0.2">
      <c r="A1443" s="54" t="s">
        <v>4893</v>
      </c>
      <c r="B1443" s="54" t="s">
        <v>4894</v>
      </c>
      <c r="C1443" s="35" t="s">
        <v>7</v>
      </c>
      <c r="D1443" s="35" t="s">
        <v>30</v>
      </c>
      <c r="E1443" s="35" t="s">
        <v>129</v>
      </c>
      <c r="F1443" s="52" t="s">
        <v>18</v>
      </c>
      <c r="G1443" s="30" t="s">
        <v>72</v>
      </c>
      <c r="H1443" s="30" t="s">
        <v>4281</v>
      </c>
      <c r="I1443" s="32" t="s">
        <v>10</v>
      </c>
    </row>
    <row r="1444" spans="1:9" ht="16.5" customHeight="1" x14ac:dyDescent="0.2">
      <c r="A1444" s="26" t="s">
        <v>4895</v>
      </c>
      <c r="B1444" s="26" t="s">
        <v>4896</v>
      </c>
      <c r="C1444" s="26" t="s">
        <v>115</v>
      </c>
      <c r="D1444" s="26" t="s">
        <v>122</v>
      </c>
      <c r="E1444" s="26" t="s">
        <v>129</v>
      </c>
      <c r="F1444" s="31" t="s">
        <v>32</v>
      </c>
      <c r="G1444" s="31" t="s">
        <v>61</v>
      </c>
      <c r="H1444" s="32"/>
      <c r="I1444" s="32" t="s">
        <v>10</v>
      </c>
    </row>
    <row r="1445" spans="1:9" ht="16.5" customHeight="1" x14ac:dyDescent="0.2">
      <c r="A1445" s="26" t="s">
        <v>4895</v>
      </c>
      <c r="B1445" s="26" t="s">
        <v>4896</v>
      </c>
      <c r="C1445" s="26" t="s">
        <v>115</v>
      </c>
      <c r="D1445" s="26" t="s">
        <v>122</v>
      </c>
      <c r="E1445" s="26" t="s">
        <v>129</v>
      </c>
      <c r="F1445" s="31" t="s">
        <v>32</v>
      </c>
      <c r="G1445" s="31" t="s">
        <v>61</v>
      </c>
      <c r="H1445" s="32"/>
      <c r="I1445" s="32" t="s">
        <v>10</v>
      </c>
    </row>
    <row r="1446" spans="1:9" ht="16.5" customHeight="1" x14ac:dyDescent="0.2">
      <c r="A1446" s="26" t="s">
        <v>4895</v>
      </c>
      <c r="B1446" s="26" t="s">
        <v>4896</v>
      </c>
      <c r="C1446" s="26" t="s">
        <v>115</v>
      </c>
      <c r="D1446" s="26" t="s">
        <v>122</v>
      </c>
      <c r="E1446" s="26" t="s">
        <v>129</v>
      </c>
      <c r="F1446" s="31" t="s">
        <v>32</v>
      </c>
      <c r="G1446" s="31" t="s">
        <v>61</v>
      </c>
      <c r="H1446" s="32"/>
      <c r="I1446" s="32" t="s">
        <v>10</v>
      </c>
    </row>
    <row r="1447" spans="1:9" ht="16.5" customHeight="1" x14ac:dyDescent="0.2">
      <c r="A1447" s="35" t="s">
        <v>4897</v>
      </c>
      <c r="B1447" s="35" t="s">
        <v>4898</v>
      </c>
      <c r="C1447" s="35" t="s">
        <v>115</v>
      </c>
      <c r="D1447" s="35" t="s">
        <v>128</v>
      </c>
      <c r="E1447" s="35" t="s">
        <v>83</v>
      </c>
      <c r="F1447" s="31" t="s">
        <v>25</v>
      </c>
      <c r="G1447" s="31" t="s">
        <v>72</v>
      </c>
      <c r="H1447" s="30" t="s">
        <v>4386</v>
      </c>
      <c r="I1447" s="32" t="s">
        <v>10</v>
      </c>
    </row>
    <row r="1448" spans="1:9" ht="16.5" customHeight="1" x14ac:dyDescent="0.2">
      <c r="A1448" s="26" t="s">
        <v>4899</v>
      </c>
      <c r="B1448" s="26" t="s">
        <v>5273</v>
      </c>
      <c r="C1448" s="26" t="s">
        <v>7</v>
      </c>
      <c r="D1448" s="26" t="s">
        <v>16</v>
      </c>
      <c r="E1448" s="26" t="s">
        <v>126</v>
      </c>
      <c r="F1448" s="31" t="s">
        <v>18</v>
      </c>
      <c r="G1448" s="32"/>
      <c r="H1448" s="32" t="s">
        <v>10</v>
      </c>
      <c r="I1448" s="32" t="s">
        <v>10</v>
      </c>
    </row>
    <row r="1449" spans="1:9" ht="16.5" customHeight="1" x14ac:dyDescent="0.2">
      <c r="A1449" s="26" t="s">
        <v>4899</v>
      </c>
      <c r="B1449" s="26" t="s">
        <v>5273</v>
      </c>
      <c r="C1449" s="26" t="s">
        <v>7</v>
      </c>
      <c r="D1449" s="26" t="s">
        <v>16</v>
      </c>
      <c r="E1449" s="26" t="s">
        <v>126</v>
      </c>
      <c r="F1449" s="31" t="s">
        <v>18</v>
      </c>
      <c r="G1449" s="32"/>
      <c r="H1449" s="32" t="s">
        <v>10</v>
      </c>
      <c r="I1449" s="32" t="s">
        <v>10</v>
      </c>
    </row>
    <row r="1450" spans="1:9" ht="16.5" customHeight="1" x14ac:dyDescent="0.2">
      <c r="A1450" s="26" t="s">
        <v>4899</v>
      </c>
      <c r="B1450" s="26" t="s">
        <v>5273</v>
      </c>
      <c r="C1450" s="26" t="s">
        <v>7</v>
      </c>
      <c r="D1450" s="26" t="s">
        <v>16</v>
      </c>
      <c r="E1450" s="26" t="s">
        <v>126</v>
      </c>
      <c r="F1450" s="31" t="s">
        <v>18</v>
      </c>
      <c r="G1450" s="32"/>
      <c r="H1450" s="32" t="s">
        <v>10</v>
      </c>
      <c r="I1450" s="32" t="s">
        <v>10</v>
      </c>
    </row>
    <row r="1451" spans="1:9" ht="16.5" customHeight="1" x14ac:dyDescent="0.2">
      <c r="A1451" s="26" t="s">
        <v>4901</v>
      </c>
      <c r="B1451" s="26" t="s">
        <v>4902</v>
      </c>
      <c r="C1451" s="26" t="s">
        <v>7</v>
      </c>
      <c r="D1451" s="26" t="s">
        <v>16</v>
      </c>
      <c r="E1451" s="26" t="s">
        <v>126</v>
      </c>
      <c r="F1451" s="31" t="s">
        <v>18</v>
      </c>
      <c r="G1451" s="32"/>
      <c r="H1451" s="32" t="s">
        <v>10</v>
      </c>
      <c r="I1451" s="32" t="s">
        <v>10</v>
      </c>
    </row>
    <row r="1452" spans="1:9" ht="16.5" customHeight="1" x14ac:dyDescent="0.2">
      <c r="A1452" s="26" t="s">
        <v>4901</v>
      </c>
      <c r="B1452" s="26" t="s">
        <v>4902</v>
      </c>
      <c r="C1452" s="26" t="s">
        <v>7</v>
      </c>
      <c r="D1452" s="26" t="s">
        <v>16</v>
      </c>
      <c r="E1452" s="26" t="s">
        <v>126</v>
      </c>
      <c r="F1452" s="31" t="s">
        <v>18</v>
      </c>
      <c r="G1452" s="32"/>
      <c r="H1452" s="32" t="s">
        <v>10</v>
      </c>
      <c r="I1452" s="32" t="s">
        <v>10</v>
      </c>
    </row>
    <row r="1453" spans="1:9" ht="16.5" customHeight="1" x14ac:dyDescent="0.2">
      <c r="A1453" s="26" t="s">
        <v>4901</v>
      </c>
      <c r="B1453" s="26" t="s">
        <v>4902</v>
      </c>
      <c r="C1453" s="26" t="s">
        <v>7</v>
      </c>
      <c r="D1453" s="26" t="s">
        <v>16</v>
      </c>
      <c r="E1453" s="26" t="s">
        <v>126</v>
      </c>
      <c r="F1453" s="31" t="s">
        <v>18</v>
      </c>
      <c r="G1453" s="32"/>
      <c r="H1453" s="32" t="s">
        <v>10</v>
      </c>
      <c r="I1453" s="32" t="s">
        <v>10</v>
      </c>
    </row>
    <row r="1454" spans="1:9" ht="16.5" customHeight="1" x14ac:dyDescent="0.2">
      <c r="A1454" s="26" t="s">
        <v>4901</v>
      </c>
      <c r="B1454" s="26" t="s">
        <v>4902</v>
      </c>
      <c r="C1454" s="26" t="s">
        <v>7</v>
      </c>
      <c r="D1454" s="26" t="s">
        <v>16</v>
      </c>
      <c r="E1454" s="26" t="s">
        <v>126</v>
      </c>
      <c r="F1454" s="31" t="s">
        <v>18</v>
      </c>
      <c r="G1454" s="32"/>
      <c r="H1454" s="32" t="s">
        <v>10</v>
      </c>
      <c r="I1454" s="32" t="s">
        <v>10</v>
      </c>
    </row>
    <row r="1455" spans="1:9" ht="16.5" customHeight="1" x14ac:dyDescent="0.2">
      <c r="A1455" s="26" t="s">
        <v>4903</v>
      </c>
      <c r="B1455" s="26" t="s">
        <v>4904</v>
      </c>
      <c r="C1455" s="26" t="s">
        <v>7</v>
      </c>
      <c r="D1455" s="26" t="s">
        <v>16</v>
      </c>
      <c r="E1455" s="26" t="s">
        <v>126</v>
      </c>
      <c r="F1455" s="31" t="s">
        <v>25</v>
      </c>
      <c r="G1455" s="31" t="s">
        <v>61</v>
      </c>
      <c r="H1455" s="32"/>
      <c r="I1455" s="32" t="s">
        <v>10</v>
      </c>
    </row>
    <row r="1456" spans="1:9" ht="16.5" customHeight="1" x14ac:dyDescent="0.2">
      <c r="A1456" s="26" t="s">
        <v>4903</v>
      </c>
      <c r="B1456" s="26" t="s">
        <v>4904</v>
      </c>
      <c r="C1456" s="26" t="s">
        <v>7</v>
      </c>
      <c r="D1456" s="26" t="s">
        <v>16</v>
      </c>
      <c r="E1456" s="26" t="s">
        <v>126</v>
      </c>
      <c r="F1456" s="31" t="s">
        <v>25</v>
      </c>
      <c r="G1456" s="31" t="s">
        <v>61</v>
      </c>
      <c r="H1456" s="32"/>
      <c r="I1456" s="32" t="s">
        <v>10</v>
      </c>
    </row>
    <row r="1457" spans="1:9" ht="16.5" customHeight="1" x14ac:dyDescent="0.2">
      <c r="A1457" s="26" t="s">
        <v>4903</v>
      </c>
      <c r="B1457" s="26" t="s">
        <v>4904</v>
      </c>
      <c r="C1457" s="26" t="s">
        <v>7</v>
      </c>
      <c r="D1457" s="26" t="s">
        <v>16</v>
      </c>
      <c r="E1457" s="26" t="s">
        <v>126</v>
      </c>
      <c r="F1457" s="31" t="s">
        <v>25</v>
      </c>
      <c r="G1457" s="31" t="s">
        <v>61</v>
      </c>
      <c r="H1457" s="32"/>
      <c r="I1457" s="32" t="s">
        <v>10</v>
      </c>
    </row>
    <row r="1458" spans="1:9" ht="16.5" customHeight="1" x14ac:dyDescent="0.2">
      <c r="A1458" s="26" t="s">
        <v>4905</v>
      </c>
      <c r="B1458" s="26" t="s">
        <v>4906</v>
      </c>
      <c r="C1458" s="26" t="s">
        <v>115</v>
      </c>
      <c r="D1458" s="27" t="s">
        <v>116</v>
      </c>
      <c r="E1458" s="27" t="s">
        <v>9</v>
      </c>
      <c r="F1458" s="31" t="s">
        <v>18</v>
      </c>
      <c r="G1458" s="31" t="s">
        <v>3280</v>
      </c>
      <c r="H1458" s="31"/>
      <c r="I1458" s="32" t="s">
        <v>10</v>
      </c>
    </row>
    <row r="1459" spans="1:9" ht="16.5" customHeight="1" x14ac:dyDescent="0.2">
      <c r="A1459" s="26" t="s">
        <v>4907</v>
      </c>
      <c r="B1459" s="26" t="s">
        <v>4908</v>
      </c>
      <c r="C1459" s="26" t="s">
        <v>37</v>
      </c>
      <c r="D1459" s="27" t="s">
        <v>38</v>
      </c>
      <c r="E1459" s="27" t="s">
        <v>9</v>
      </c>
      <c r="F1459" s="31" t="s">
        <v>18</v>
      </c>
      <c r="G1459" s="31" t="s">
        <v>41</v>
      </c>
      <c r="H1459" s="32"/>
      <c r="I1459" s="32" t="s">
        <v>10</v>
      </c>
    </row>
    <row r="1460" spans="1:9" ht="16.5" customHeight="1" x14ac:dyDescent="0.2">
      <c r="A1460" s="26" t="s">
        <v>4907</v>
      </c>
      <c r="B1460" s="26" t="s">
        <v>4908</v>
      </c>
      <c r="C1460" s="26" t="s">
        <v>37</v>
      </c>
      <c r="D1460" s="27" t="s">
        <v>38</v>
      </c>
      <c r="E1460" s="27" t="s">
        <v>9</v>
      </c>
      <c r="F1460" s="31" t="s">
        <v>18</v>
      </c>
      <c r="G1460" s="31" t="s">
        <v>41</v>
      </c>
      <c r="H1460" s="32"/>
      <c r="I1460" s="32" t="s">
        <v>10</v>
      </c>
    </row>
    <row r="1461" spans="1:9" ht="16.5" customHeight="1" x14ac:dyDescent="0.2">
      <c r="A1461" s="35" t="s">
        <v>4909</v>
      </c>
      <c r="B1461" s="35" t="s">
        <v>4910</v>
      </c>
      <c r="C1461" s="26" t="s">
        <v>98</v>
      </c>
      <c r="D1461" s="26" t="s">
        <v>107</v>
      </c>
      <c r="E1461" s="35" t="s">
        <v>87</v>
      </c>
      <c r="F1461" s="31" t="s">
        <v>18</v>
      </c>
      <c r="G1461" s="27" t="s">
        <v>41</v>
      </c>
      <c r="H1461" s="27"/>
      <c r="I1461" s="32" t="s">
        <v>10</v>
      </c>
    </row>
    <row r="1462" spans="1:9" ht="16.5" customHeight="1" x14ac:dyDescent="0.2">
      <c r="A1462" s="83" t="s">
        <v>4911</v>
      </c>
      <c r="B1462" s="35" t="s">
        <v>4912</v>
      </c>
      <c r="C1462" s="26" t="s">
        <v>98</v>
      </c>
      <c r="D1462" s="26" t="s">
        <v>107</v>
      </c>
      <c r="E1462" s="26" t="s">
        <v>87</v>
      </c>
      <c r="F1462" s="31" t="s">
        <v>18</v>
      </c>
      <c r="G1462" s="31" t="s">
        <v>41</v>
      </c>
      <c r="H1462" s="32"/>
      <c r="I1462" s="32" t="s">
        <v>10</v>
      </c>
    </row>
    <row r="1463" spans="1:9" ht="16.5" customHeight="1" x14ac:dyDescent="0.2">
      <c r="A1463" s="26" t="s">
        <v>4913</v>
      </c>
      <c r="B1463" s="26" t="s">
        <v>5264</v>
      </c>
      <c r="C1463" s="26" t="s">
        <v>7</v>
      </c>
      <c r="D1463" s="26" t="s">
        <v>16</v>
      </c>
      <c r="E1463" s="26" t="s">
        <v>126</v>
      </c>
      <c r="F1463" s="31" t="s">
        <v>18</v>
      </c>
      <c r="G1463" s="32"/>
      <c r="H1463" s="32" t="s">
        <v>10</v>
      </c>
      <c r="I1463" s="32" t="s">
        <v>10</v>
      </c>
    </row>
    <row r="1464" spans="1:9" ht="16.5" customHeight="1" x14ac:dyDescent="0.2">
      <c r="A1464" s="26" t="s">
        <v>4913</v>
      </c>
      <c r="B1464" s="26" t="s">
        <v>5264</v>
      </c>
      <c r="C1464" s="26" t="s">
        <v>7</v>
      </c>
      <c r="D1464" s="26" t="s">
        <v>16</v>
      </c>
      <c r="E1464" s="26" t="s">
        <v>126</v>
      </c>
      <c r="F1464" s="31" t="s">
        <v>18</v>
      </c>
      <c r="G1464" s="32"/>
      <c r="H1464" s="32" t="s">
        <v>10</v>
      </c>
      <c r="I1464" s="32" t="s">
        <v>10</v>
      </c>
    </row>
    <row r="1465" spans="1:9" ht="16.5" customHeight="1" x14ac:dyDescent="0.2">
      <c r="A1465" s="26" t="s">
        <v>4913</v>
      </c>
      <c r="B1465" s="26" t="s">
        <v>5264</v>
      </c>
      <c r="C1465" s="26" t="s">
        <v>7</v>
      </c>
      <c r="D1465" s="26" t="s">
        <v>16</v>
      </c>
      <c r="E1465" s="26" t="s">
        <v>126</v>
      </c>
      <c r="F1465" s="31" t="s">
        <v>18</v>
      </c>
      <c r="G1465" s="32"/>
      <c r="H1465" s="32" t="s">
        <v>10</v>
      </c>
      <c r="I1465" s="32" t="s">
        <v>10</v>
      </c>
    </row>
    <row r="1466" spans="1:9" ht="16.5" customHeight="1" x14ac:dyDescent="0.2">
      <c r="A1466" s="26" t="s">
        <v>4913</v>
      </c>
      <c r="B1466" s="26" t="s">
        <v>5264</v>
      </c>
      <c r="C1466" s="26" t="s">
        <v>7</v>
      </c>
      <c r="D1466" s="26" t="s">
        <v>16</v>
      </c>
      <c r="E1466" s="26" t="s">
        <v>126</v>
      </c>
      <c r="F1466" s="31" t="s">
        <v>18</v>
      </c>
      <c r="G1466" s="32"/>
      <c r="H1466" s="32" t="s">
        <v>10</v>
      </c>
      <c r="I1466" s="32" t="s">
        <v>10</v>
      </c>
    </row>
    <row r="1467" spans="1:9" ht="16.5" customHeight="1" x14ac:dyDescent="0.2">
      <c r="A1467" s="26" t="s">
        <v>4915</v>
      </c>
      <c r="B1467" s="26" t="s">
        <v>4916</v>
      </c>
      <c r="C1467" s="26" t="s">
        <v>37</v>
      </c>
      <c r="D1467" s="26" t="s">
        <v>45</v>
      </c>
      <c r="E1467" s="26" t="s">
        <v>135</v>
      </c>
      <c r="F1467" s="31" t="s">
        <v>32</v>
      </c>
      <c r="G1467" s="31" t="s">
        <v>72</v>
      </c>
      <c r="H1467" s="31" t="s">
        <v>4917</v>
      </c>
      <c r="I1467" s="32" t="s">
        <v>10</v>
      </c>
    </row>
    <row r="1468" spans="1:9" ht="16.5" customHeight="1" x14ac:dyDescent="0.2">
      <c r="A1468" s="26" t="s">
        <v>4918</v>
      </c>
      <c r="B1468" s="26" t="s">
        <v>5276</v>
      </c>
      <c r="C1468" s="26" t="s">
        <v>7</v>
      </c>
      <c r="D1468" s="26" t="s">
        <v>16</v>
      </c>
      <c r="E1468" s="26" t="s">
        <v>87</v>
      </c>
      <c r="F1468" s="31" t="s">
        <v>18</v>
      </c>
      <c r="G1468" s="32"/>
      <c r="H1468" s="32" t="s">
        <v>10</v>
      </c>
      <c r="I1468" s="32" t="s">
        <v>10</v>
      </c>
    </row>
    <row r="1469" spans="1:9" ht="16.5" customHeight="1" x14ac:dyDescent="0.2">
      <c r="A1469" s="26" t="s">
        <v>4918</v>
      </c>
      <c r="B1469" s="26" t="s">
        <v>5276</v>
      </c>
      <c r="C1469" s="26" t="s">
        <v>7</v>
      </c>
      <c r="D1469" s="26" t="s">
        <v>16</v>
      </c>
      <c r="E1469" s="26" t="s">
        <v>87</v>
      </c>
      <c r="F1469" s="31" t="s">
        <v>18</v>
      </c>
      <c r="G1469" s="32"/>
      <c r="H1469" s="32" t="s">
        <v>10</v>
      </c>
      <c r="I1469" s="32" t="s">
        <v>10</v>
      </c>
    </row>
    <row r="1470" spans="1:9" ht="16.5" customHeight="1" x14ac:dyDescent="0.2">
      <c r="A1470" s="26" t="s">
        <v>4920</v>
      </c>
      <c r="B1470" s="26" t="s">
        <v>4921</v>
      </c>
      <c r="C1470" s="26" t="s">
        <v>7</v>
      </c>
      <c r="D1470" s="27" t="s">
        <v>16</v>
      </c>
      <c r="E1470" s="26" t="s">
        <v>108</v>
      </c>
      <c r="F1470" s="31" t="s">
        <v>18</v>
      </c>
      <c r="G1470" s="31" t="s">
        <v>41</v>
      </c>
      <c r="H1470" s="32"/>
      <c r="I1470" s="32" t="s">
        <v>10</v>
      </c>
    </row>
    <row r="1471" spans="1:9" ht="16.5" customHeight="1" x14ac:dyDescent="0.2">
      <c r="A1471" s="26" t="s">
        <v>4922</v>
      </c>
      <c r="B1471" s="26" t="s">
        <v>4923</v>
      </c>
      <c r="C1471" s="26" t="s">
        <v>115</v>
      </c>
      <c r="D1471" s="27" t="s">
        <v>116</v>
      </c>
      <c r="E1471" s="27" t="s">
        <v>83</v>
      </c>
      <c r="F1471" s="31" t="s">
        <v>25</v>
      </c>
      <c r="G1471" s="31" t="s">
        <v>41</v>
      </c>
      <c r="H1471" s="31"/>
      <c r="I1471" s="32" t="s">
        <v>10</v>
      </c>
    </row>
    <row r="1472" spans="1:9" ht="16.5" customHeight="1" x14ac:dyDescent="0.2">
      <c r="A1472" s="35" t="s">
        <v>4924</v>
      </c>
      <c r="B1472" s="35" t="s">
        <v>4925</v>
      </c>
      <c r="C1472" s="35" t="s">
        <v>64</v>
      </c>
      <c r="D1472" s="35" t="s">
        <v>82</v>
      </c>
      <c r="E1472" s="35" t="s">
        <v>9</v>
      </c>
      <c r="F1472" s="52" t="s">
        <v>18</v>
      </c>
      <c r="G1472" s="31" t="s">
        <v>26</v>
      </c>
      <c r="H1472" s="32"/>
      <c r="I1472" s="32" t="s">
        <v>10</v>
      </c>
    </row>
    <row r="1473" spans="1:9" ht="16.5" customHeight="1" x14ac:dyDescent="0.25">
      <c r="A1473" s="76" t="s">
        <v>4926</v>
      </c>
      <c r="B1473" s="76" t="s">
        <v>5306</v>
      </c>
      <c r="C1473" s="26" t="s">
        <v>64</v>
      </c>
      <c r="D1473" s="26" t="s">
        <v>92</v>
      </c>
      <c r="E1473" s="26" t="s">
        <v>9</v>
      </c>
      <c r="F1473" s="31" t="s">
        <v>18</v>
      </c>
      <c r="G1473" s="31" t="s">
        <v>26</v>
      </c>
      <c r="H1473" s="32"/>
      <c r="I1473" s="32" t="s">
        <v>10</v>
      </c>
    </row>
    <row r="1474" spans="1:9" ht="16.5" customHeight="1" x14ac:dyDescent="0.2">
      <c r="A1474" s="35" t="s">
        <v>4928</v>
      </c>
      <c r="B1474" s="35" t="s">
        <v>4929</v>
      </c>
      <c r="C1474" s="26" t="s">
        <v>98</v>
      </c>
      <c r="D1474" s="26" t="s">
        <v>107</v>
      </c>
      <c r="E1474" s="26" t="s">
        <v>87</v>
      </c>
      <c r="F1474" s="31" t="s">
        <v>18</v>
      </c>
      <c r="G1474" s="27" t="s">
        <v>26</v>
      </c>
      <c r="H1474" s="27"/>
      <c r="I1474" s="32" t="s">
        <v>10</v>
      </c>
    </row>
    <row r="1475" spans="1:9" ht="16.5" customHeight="1" x14ac:dyDescent="0.2">
      <c r="A1475" s="35" t="s">
        <v>4930</v>
      </c>
      <c r="B1475" s="35" t="s">
        <v>4931</v>
      </c>
      <c r="C1475" s="35" t="s">
        <v>64</v>
      </c>
      <c r="D1475" s="35" t="s">
        <v>82</v>
      </c>
      <c r="E1475" s="35" t="s">
        <v>9</v>
      </c>
      <c r="F1475" s="52" t="s">
        <v>18</v>
      </c>
      <c r="G1475" s="31" t="s">
        <v>26</v>
      </c>
      <c r="H1475" s="32"/>
      <c r="I1475" s="32" t="s">
        <v>10</v>
      </c>
    </row>
    <row r="1476" spans="1:9" ht="16.5" customHeight="1" x14ac:dyDescent="0.2">
      <c r="A1476" s="26" t="s">
        <v>4932</v>
      </c>
      <c r="B1476" s="26" t="s">
        <v>4933</v>
      </c>
      <c r="C1476" s="26" t="s">
        <v>115</v>
      </c>
      <c r="D1476" s="26" t="s">
        <v>122</v>
      </c>
      <c r="E1476" s="26" t="s">
        <v>114</v>
      </c>
      <c r="F1476" s="31" t="s">
        <v>25</v>
      </c>
      <c r="G1476" s="31" t="s">
        <v>61</v>
      </c>
      <c r="H1476" s="32"/>
      <c r="I1476" s="32" t="s">
        <v>10</v>
      </c>
    </row>
    <row r="1477" spans="1:9" ht="16.5" customHeight="1" x14ac:dyDescent="0.2">
      <c r="A1477" s="26" t="s">
        <v>4932</v>
      </c>
      <c r="B1477" s="26" t="s">
        <v>4933</v>
      </c>
      <c r="C1477" s="26" t="s">
        <v>115</v>
      </c>
      <c r="D1477" s="26" t="s">
        <v>122</v>
      </c>
      <c r="E1477" s="26" t="s">
        <v>114</v>
      </c>
      <c r="F1477" s="31" t="s">
        <v>25</v>
      </c>
      <c r="G1477" s="31" t="s">
        <v>61</v>
      </c>
      <c r="H1477" s="32"/>
      <c r="I1477" s="32" t="s">
        <v>10</v>
      </c>
    </row>
    <row r="1478" spans="1:9" ht="16.5" customHeight="1" x14ac:dyDescent="0.2">
      <c r="A1478" s="26" t="s">
        <v>4934</v>
      </c>
      <c r="B1478" s="26" t="s">
        <v>4935</v>
      </c>
      <c r="C1478" s="26" t="s">
        <v>115</v>
      </c>
      <c r="D1478" s="26" t="s">
        <v>122</v>
      </c>
      <c r="E1478" s="26" t="s">
        <v>129</v>
      </c>
      <c r="F1478" s="31" t="s">
        <v>18</v>
      </c>
      <c r="G1478" s="31" t="s">
        <v>61</v>
      </c>
      <c r="H1478" s="32"/>
      <c r="I1478" s="32" t="s">
        <v>10</v>
      </c>
    </row>
    <row r="1479" spans="1:9" ht="16.5" customHeight="1" x14ac:dyDescent="0.2">
      <c r="A1479" s="26" t="s">
        <v>4936</v>
      </c>
      <c r="B1479" s="26" t="s">
        <v>4937</v>
      </c>
      <c r="C1479" s="26" t="s">
        <v>7</v>
      </c>
      <c r="D1479" s="26" t="s">
        <v>16</v>
      </c>
      <c r="E1479" s="26" t="s">
        <v>126</v>
      </c>
      <c r="F1479" s="31" t="s">
        <v>18</v>
      </c>
      <c r="G1479" s="32"/>
      <c r="H1479" s="32" t="s">
        <v>10</v>
      </c>
      <c r="I1479" s="32" t="s">
        <v>10</v>
      </c>
    </row>
    <row r="1480" spans="1:9" ht="16.5" customHeight="1" x14ac:dyDescent="0.2">
      <c r="A1480" s="26" t="s">
        <v>4936</v>
      </c>
      <c r="B1480" s="26" t="s">
        <v>4937</v>
      </c>
      <c r="C1480" s="26" t="s">
        <v>7</v>
      </c>
      <c r="D1480" s="26" t="s">
        <v>16</v>
      </c>
      <c r="E1480" s="26" t="s">
        <v>126</v>
      </c>
      <c r="F1480" s="31" t="s">
        <v>18</v>
      </c>
      <c r="G1480" s="32"/>
      <c r="H1480" s="32" t="s">
        <v>10</v>
      </c>
      <c r="I1480" s="32" t="s">
        <v>10</v>
      </c>
    </row>
    <row r="1481" spans="1:9" ht="16.5" customHeight="1" x14ac:dyDescent="0.2">
      <c r="A1481" s="35" t="s">
        <v>4938</v>
      </c>
      <c r="B1481" s="35" t="s">
        <v>5210</v>
      </c>
      <c r="C1481" s="35" t="s">
        <v>7</v>
      </c>
      <c r="D1481" s="35" t="s">
        <v>8</v>
      </c>
      <c r="E1481" s="35" t="s">
        <v>87</v>
      </c>
      <c r="F1481" s="52" t="s">
        <v>18</v>
      </c>
      <c r="G1481" s="30" t="s">
        <v>61</v>
      </c>
      <c r="H1481" s="55"/>
      <c r="I1481" s="32" t="s">
        <v>10</v>
      </c>
    </row>
    <row r="1482" spans="1:9" ht="16.5" customHeight="1" x14ac:dyDescent="0.2">
      <c r="A1482" s="35" t="s">
        <v>4940</v>
      </c>
      <c r="B1482" s="35" t="s">
        <v>4941</v>
      </c>
      <c r="C1482" s="35" t="s">
        <v>64</v>
      </c>
      <c r="D1482" s="35" t="s">
        <v>78</v>
      </c>
      <c r="E1482" s="35" t="s">
        <v>87</v>
      </c>
      <c r="F1482" s="30" t="s">
        <v>18</v>
      </c>
      <c r="G1482" s="31" t="s">
        <v>19</v>
      </c>
      <c r="H1482" s="32"/>
      <c r="I1482" s="32" t="s">
        <v>10</v>
      </c>
    </row>
    <row r="1483" spans="1:9" ht="16.5" customHeight="1" x14ac:dyDescent="0.25">
      <c r="A1483" s="76" t="s">
        <v>4942</v>
      </c>
      <c r="B1483" s="76" t="s">
        <v>5283</v>
      </c>
      <c r="C1483" s="26" t="s">
        <v>64</v>
      </c>
      <c r="D1483" s="26" t="s">
        <v>92</v>
      </c>
      <c r="E1483" s="26" t="s">
        <v>9</v>
      </c>
      <c r="F1483" s="31" t="s">
        <v>18</v>
      </c>
      <c r="G1483" s="31" t="s">
        <v>26</v>
      </c>
      <c r="H1483" s="32"/>
      <c r="I1483" s="32" t="s">
        <v>10</v>
      </c>
    </row>
    <row r="1484" spans="1:9" ht="16.5" customHeight="1" x14ac:dyDescent="0.2">
      <c r="A1484" s="26" t="s">
        <v>4944</v>
      </c>
      <c r="B1484" s="26" t="s">
        <v>4945</v>
      </c>
      <c r="C1484" s="26" t="s">
        <v>98</v>
      </c>
      <c r="D1484" s="26" t="s">
        <v>107</v>
      </c>
      <c r="E1484" s="26" t="s">
        <v>87</v>
      </c>
      <c r="F1484" s="31" t="s">
        <v>18</v>
      </c>
      <c r="G1484" s="31" t="s">
        <v>41</v>
      </c>
      <c r="H1484" s="32"/>
      <c r="I1484" s="32" t="s">
        <v>10</v>
      </c>
    </row>
    <row r="1485" spans="1:9" ht="16.5" customHeight="1" x14ac:dyDescent="0.2">
      <c r="A1485" s="26" t="s">
        <v>4946</v>
      </c>
      <c r="B1485" s="26" t="s">
        <v>4947</v>
      </c>
      <c r="C1485" s="35" t="s">
        <v>115</v>
      </c>
      <c r="D1485" s="35" t="s">
        <v>116</v>
      </c>
      <c r="E1485" s="35" t="s">
        <v>83</v>
      </c>
      <c r="F1485" s="52" t="s">
        <v>25</v>
      </c>
      <c r="G1485" s="52" t="s">
        <v>61</v>
      </c>
      <c r="H1485" s="31"/>
      <c r="I1485" s="32" t="s">
        <v>10</v>
      </c>
    </row>
    <row r="1486" spans="1:9" ht="16.5" customHeight="1" x14ac:dyDescent="0.2">
      <c r="A1486" s="125" t="s">
        <v>4948</v>
      </c>
      <c r="B1486" s="26" t="s">
        <v>4949</v>
      </c>
      <c r="C1486" s="26" t="s">
        <v>98</v>
      </c>
      <c r="D1486" s="26" t="s">
        <v>102</v>
      </c>
      <c r="E1486" s="49" t="s">
        <v>83</v>
      </c>
      <c r="F1486" s="31" t="s">
        <v>25</v>
      </c>
      <c r="G1486" s="31" t="s">
        <v>41</v>
      </c>
      <c r="H1486" s="32"/>
      <c r="I1486" s="32" t="s">
        <v>10</v>
      </c>
    </row>
    <row r="1487" spans="1:9" ht="17.25" customHeight="1" x14ac:dyDescent="0.25">
      <c r="A1487" s="126" t="s">
        <v>4950</v>
      </c>
      <c r="B1487" s="76" t="s">
        <v>5284</v>
      </c>
      <c r="C1487" s="26" t="s">
        <v>64</v>
      </c>
      <c r="D1487" s="26" t="s">
        <v>92</v>
      </c>
      <c r="E1487" s="49" t="s">
        <v>83</v>
      </c>
      <c r="F1487" s="31" t="s">
        <v>25</v>
      </c>
      <c r="G1487" s="31" t="s">
        <v>72</v>
      </c>
      <c r="H1487" s="32"/>
      <c r="I1487" s="32" t="s">
        <v>10</v>
      </c>
    </row>
    <row r="1488" spans="1:9" ht="16.5" customHeight="1" x14ac:dyDescent="0.25">
      <c r="A1488" s="56" t="s">
        <v>4952</v>
      </c>
      <c r="B1488" s="123" t="s">
        <v>4953</v>
      </c>
      <c r="C1488" s="76" t="s">
        <v>64</v>
      </c>
      <c r="D1488" s="35" t="s">
        <v>86</v>
      </c>
      <c r="E1488" s="126" t="s">
        <v>83</v>
      </c>
      <c r="F1488" s="76" t="s">
        <v>25</v>
      </c>
      <c r="G1488" s="35" t="s">
        <v>72</v>
      </c>
      <c r="H1488" s="95"/>
      <c r="I1488" s="32" t="s">
        <v>10</v>
      </c>
    </row>
    <row r="1489" spans="1:9" ht="16.5" customHeight="1" x14ac:dyDescent="0.2">
      <c r="A1489" s="49" t="s">
        <v>4954</v>
      </c>
      <c r="B1489" s="26" t="s">
        <v>4955</v>
      </c>
      <c r="C1489" s="26" t="s">
        <v>115</v>
      </c>
      <c r="D1489" s="26" t="s">
        <v>122</v>
      </c>
      <c r="E1489" s="49" t="s">
        <v>83</v>
      </c>
      <c r="F1489" s="31" t="s">
        <v>25</v>
      </c>
      <c r="G1489" s="31" t="s">
        <v>41</v>
      </c>
      <c r="H1489" s="32"/>
      <c r="I1489" s="32" t="s">
        <v>10</v>
      </c>
    </row>
    <row r="1490" spans="1:9" ht="16.5" customHeight="1" x14ac:dyDescent="0.2">
      <c r="A1490" s="49" t="s">
        <v>4956</v>
      </c>
      <c r="B1490" s="26" t="s">
        <v>4957</v>
      </c>
      <c r="C1490" s="26" t="s">
        <v>98</v>
      </c>
      <c r="D1490" s="26" t="s">
        <v>105</v>
      </c>
      <c r="E1490" s="49" t="s">
        <v>108</v>
      </c>
      <c r="F1490" s="31" t="s">
        <v>25</v>
      </c>
      <c r="G1490" s="31" t="s">
        <v>61</v>
      </c>
      <c r="H1490" s="32"/>
      <c r="I1490" s="32" t="s">
        <v>10</v>
      </c>
    </row>
    <row r="1491" spans="1:9" ht="16.5" customHeight="1" x14ac:dyDescent="0.2">
      <c r="A1491" s="26" t="s">
        <v>4958</v>
      </c>
      <c r="B1491" s="26" t="s">
        <v>4959</v>
      </c>
      <c r="C1491" s="26" t="s">
        <v>7</v>
      </c>
      <c r="D1491" s="26" t="s">
        <v>16</v>
      </c>
      <c r="E1491" s="26" t="s">
        <v>126</v>
      </c>
      <c r="F1491" s="31" t="s">
        <v>18</v>
      </c>
      <c r="G1491" s="32"/>
      <c r="H1491" s="32" t="s">
        <v>10</v>
      </c>
      <c r="I1491" s="32" t="s">
        <v>10</v>
      </c>
    </row>
    <row r="1492" spans="1:9" ht="16.5" customHeight="1" x14ac:dyDescent="0.2">
      <c r="A1492" s="26" t="s">
        <v>4958</v>
      </c>
      <c r="B1492" s="26" t="s">
        <v>4959</v>
      </c>
      <c r="C1492" s="26" t="s">
        <v>7</v>
      </c>
      <c r="D1492" s="26" t="s">
        <v>16</v>
      </c>
      <c r="E1492" s="26" t="s">
        <v>126</v>
      </c>
      <c r="F1492" s="31" t="s">
        <v>18</v>
      </c>
      <c r="G1492" s="32"/>
      <c r="H1492" s="32" t="s">
        <v>10</v>
      </c>
      <c r="I1492" s="32" t="s">
        <v>10</v>
      </c>
    </row>
    <row r="1493" spans="1:9" ht="16.5" customHeight="1" x14ac:dyDescent="0.2">
      <c r="A1493" s="26" t="s">
        <v>4958</v>
      </c>
      <c r="B1493" s="26" t="s">
        <v>4959</v>
      </c>
      <c r="C1493" s="26" t="s">
        <v>7</v>
      </c>
      <c r="D1493" s="26" t="s">
        <v>16</v>
      </c>
      <c r="E1493" s="26" t="s">
        <v>126</v>
      </c>
      <c r="F1493" s="31" t="s">
        <v>18</v>
      </c>
      <c r="G1493" s="32"/>
      <c r="H1493" s="32" t="s">
        <v>10</v>
      </c>
      <c r="I1493" s="32" t="s">
        <v>10</v>
      </c>
    </row>
    <row r="1494" spans="1:9" ht="16.5" customHeight="1" x14ac:dyDescent="0.2">
      <c r="A1494" s="26" t="s">
        <v>4960</v>
      </c>
      <c r="B1494" s="50" t="s">
        <v>4961</v>
      </c>
      <c r="C1494" s="26" t="s">
        <v>98</v>
      </c>
      <c r="D1494" s="26" t="s">
        <v>99</v>
      </c>
      <c r="E1494" s="26" t="s">
        <v>108</v>
      </c>
      <c r="F1494" s="47" t="s">
        <v>25</v>
      </c>
      <c r="G1494" s="47" t="s">
        <v>72</v>
      </c>
      <c r="H1494" s="51"/>
      <c r="I1494" s="32" t="s">
        <v>10</v>
      </c>
    </row>
    <row r="1495" spans="1:9" ht="16.5" customHeight="1" x14ac:dyDescent="0.2">
      <c r="A1495" s="35" t="s">
        <v>4962</v>
      </c>
      <c r="B1495" s="35" t="s">
        <v>5204</v>
      </c>
      <c r="C1495" s="35" t="s">
        <v>7</v>
      </c>
      <c r="D1495" s="35" t="s">
        <v>8</v>
      </c>
      <c r="E1495" s="35" t="s">
        <v>87</v>
      </c>
      <c r="F1495" s="52" t="s">
        <v>18</v>
      </c>
      <c r="G1495" s="30" t="s">
        <v>41</v>
      </c>
      <c r="H1495" s="55"/>
      <c r="I1495" s="32" t="s">
        <v>10</v>
      </c>
    </row>
    <row r="1496" spans="1:9" ht="16.5" customHeight="1" x14ac:dyDescent="0.2">
      <c r="A1496" s="35" t="s">
        <v>4964</v>
      </c>
      <c r="B1496" s="35" t="s">
        <v>5202</v>
      </c>
      <c r="C1496" s="35" t="s">
        <v>7</v>
      </c>
      <c r="D1496" s="35" t="s">
        <v>8</v>
      </c>
      <c r="E1496" s="35" t="s">
        <v>87</v>
      </c>
      <c r="F1496" s="52" t="s">
        <v>18</v>
      </c>
      <c r="G1496" s="30" t="s">
        <v>61</v>
      </c>
      <c r="H1496" s="55"/>
      <c r="I1496" s="32" t="s">
        <v>10</v>
      </c>
    </row>
    <row r="1497" spans="1:9" ht="16.5" customHeight="1" x14ac:dyDescent="0.2">
      <c r="A1497" s="35" t="s">
        <v>4966</v>
      </c>
      <c r="B1497" s="35" t="s">
        <v>5205</v>
      </c>
      <c r="C1497" s="35" t="s">
        <v>7</v>
      </c>
      <c r="D1497" s="35" t="s">
        <v>8</v>
      </c>
      <c r="E1497" s="35" t="s">
        <v>87</v>
      </c>
      <c r="F1497" s="52" t="s">
        <v>18</v>
      </c>
      <c r="G1497" s="30" t="s">
        <v>61</v>
      </c>
      <c r="H1497" s="55"/>
      <c r="I1497" s="32" t="s">
        <v>10</v>
      </c>
    </row>
    <row r="1498" spans="1:9" ht="16.5" customHeight="1" x14ac:dyDescent="0.2">
      <c r="A1498" s="35" t="s">
        <v>4968</v>
      </c>
      <c r="B1498" s="35" t="s">
        <v>5201</v>
      </c>
      <c r="C1498" s="35" t="s">
        <v>7</v>
      </c>
      <c r="D1498" s="35" t="s">
        <v>8</v>
      </c>
      <c r="E1498" s="35" t="s">
        <v>87</v>
      </c>
      <c r="F1498" s="52" t="s">
        <v>18</v>
      </c>
      <c r="G1498" s="30" t="s">
        <v>61</v>
      </c>
      <c r="H1498" s="55"/>
      <c r="I1498" s="32" t="s">
        <v>10</v>
      </c>
    </row>
    <row r="1499" spans="1:9" ht="16.5" customHeight="1" x14ac:dyDescent="0.2">
      <c r="A1499" s="26" t="s">
        <v>4970</v>
      </c>
      <c r="B1499" s="26" t="s">
        <v>4971</v>
      </c>
      <c r="C1499" s="26" t="s">
        <v>136</v>
      </c>
      <c r="D1499" s="26" t="s">
        <v>137</v>
      </c>
      <c r="E1499" s="26" t="s">
        <v>108</v>
      </c>
      <c r="F1499" s="31" t="s">
        <v>25</v>
      </c>
      <c r="G1499" s="32"/>
      <c r="H1499" s="31" t="s">
        <v>3289</v>
      </c>
      <c r="I1499" s="32" t="s">
        <v>10</v>
      </c>
    </row>
    <row r="1500" spans="1:9" ht="16.5" customHeight="1" x14ac:dyDescent="0.2">
      <c r="A1500" s="26" t="s">
        <v>4972</v>
      </c>
      <c r="B1500" s="26" t="s">
        <v>4973</v>
      </c>
      <c r="C1500" s="26" t="s">
        <v>98</v>
      </c>
      <c r="D1500" s="26" t="s">
        <v>107</v>
      </c>
      <c r="E1500" s="26" t="s">
        <v>87</v>
      </c>
      <c r="F1500" s="31" t="s">
        <v>18</v>
      </c>
      <c r="G1500" s="31" t="s">
        <v>12</v>
      </c>
      <c r="H1500" s="32"/>
      <c r="I1500" s="32" t="s">
        <v>10</v>
      </c>
    </row>
    <row r="1501" spans="1:9" ht="16.5" customHeight="1" x14ac:dyDescent="0.2">
      <c r="A1501" s="35" t="s">
        <v>4974</v>
      </c>
      <c r="B1501" s="54" t="s">
        <v>4975</v>
      </c>
      <c r="C1501" s="35" t="s">
        <v>7</v>
      </c>
      <c r="D1501" s="35" t="s">
        <v>8</v>
      </c>
      <c r="E1501" s="35" t="s">
        <v>66</v>
      </c>
      <c r="F1501" s="52" t="s">
        <v>18</v>
      </c>
      <c r="G1501" s="30" t="s">
        <v>41</v>
      </c>
      <c r="H1501" s="55"/>
      <c r="I1501" s="32" t="s">
        <v>10</v>
      </c>
    </row>
    <row r="1502" spans="1:9" ht="16.5" customHeight="1" x14ac:dyDescent="0.2">
      <c r="A1502" s="35" t="s">
        <v>4976</v>
      </c>
      <c r="B1502" s="35" t="s">
        <v>5185</v>
      </c>
      <c r="C1502" s="54" t="s">
        <v>7</v>
      </c>
      <c r="D1502" s="54" t="s">
        <v>23</v>
      </c>
      <c r="E1502" s="54" t="s">
        <v>79</v>
      </c>
      <c r="F1502" s="52" t="s">
        <v>18</v>
      </c>
      <c r="G1502" s="30" t="s">
        <v>41</v>
      </c>
      <c r="H1502" s="32"/>
      <c r="I1502" s="32" t="s">
        <v>10</v>
      </c>
    </row>
    <row r="1503" spans="1:9" ht="16.5" customHeight="1" x14ac:dyDescent="0.2">
      <c r="A1503" s="56" t="s">
        <v>4978</v>
      </c>
      <c r="B1503" s="35" t="s">
        <v>5183</v>
      </c>
      <c r="C1503" s="54" t="s">
        <v>7</v>
      </c>
      <c r="D1503" s="54" t="s">
        <v>23</v>
      </c>
      <c r="E1503" s="54" t="s">
        <v>79</v>
      </c>
      <c r="F1503" s="52" t="s">
        <v>18</v>
      </c>
      <c r="G1503" s="30" t="s">
        <v>41</v>
      </c>
      <c r="H1503" s="32"/>
      <c r="I1503" s="32" t="s">
        <v>10</v>
      </c>
    </row>
    <row r="1504" spans="1:9" ht="16.5" customHeight="1" x14ac:dyDescent="0.2">
      <c r="A1504" s="35" t="s">
        <v>4980</v>
      </c>
      <c r="B1504" s="35" t="s">
        <v>5180</v>
      </c>
      <c r="C1504" s="54" t="s">
        <v>7</v>
      </c>
      <c r="D1504" s="54" t="s">
        <v>23</v>
      </c>
      <c r="E1504" s="54" t="s">
        <v>79</v>
      </c>
      <c r="F1504" s="52" t="s">
        <v>18</v>
      </c>
      <c r="G1504" s="30" t="s">
        <v>41</v>
      </c>
      <c r="H1504" s="32"/>
      <c r="I1504" s="32" t="s">
        <v>10</v>
      </c>
    </row>
    <row r="1505" spans="1:9" ht="16.5" customHeight="1" x14ac:dyDescent="0.2">
      <c r="A1505" s="35" t="s">
        <v>4982</v>
      </c>
      <c r="B1505" s="35" t="s">
        <v>4983</v>
      </c>
      <c r="C1505" s="26" t="s">
        <v>98</v>
      </c>
      <c r="D1505" s="26" t="s">
        <v>107</v>
      </c>
      <c r="E1505" s="26" t="s">
        <v>87</v>
      </c>
      <c r="F1505" s="31" t="s">
        <v>32</v>
      </c>
      <c r="G1505" s="27" t="s">
        <v>41</v>
      </c>
      <c r="H1505" s="27"/>
      <c r="I1505" s="32" t="s">
        <v>10</v>
      </c>
    </row>
    <row r="1506" spans="1:9" ht="16.5" customHeight="1" x14ac:dyDescent="0.2">
      <c r="A1506" s="35" t="s">
        <v>4984</v>
      </c>
      <c r="B1506" s="35" t="s">
        <v>4985</v>
      </c>
      <c r="C1506" s="35" t="s">
        <v>7</v>
      </c>
      <c r="D1506" s="35" t="s">
        <v>23</v>
      </c>
      <c r="E1506" s="35" t="s">
        <v>87</v>
      </c>
      <c r="F1506" s="31" t="s">
        <v>25</v>
      </c>
      <c r="G1506" s="34" t="s">
        <v>61</v>
      </c>
      <c r="H1506" s="32"/>
      <c r="I1506" s="32" t="s">
        <v>10</v>
      </c>
    </row>
    <row r="1507" spans="1:9" ht="16.5" customHeight="1" x14ac:dyDescent="0.2">
      <c r="A1507" s="35" t="s">
        <v>4984</v>
      </c>
      <c r="B1507" s="57" t="s">
        <v>4985</v>
      </c>
      <c r="C1507" s="35" t="s">
        <v>7</v>
      </c>
      <c r="D1507" s="35" t="s">
        <v>23</v>
      </c>
      <c r="E1507" s="35" t="s">
        <v>87</v>
      </c>
      <c r="F1507" s="31" t="s">
        <v>25</v>
      </c>
      <c r="G1507" s="34" t="s">
        <v>61</v>
      </c>
      <c r="H1507" s="31" t="s">
        <v>5172</v>
      </c>
      <c r="I1507" s="32" t="s">
        <v>10</v>
      </c>
    </row>
    <row r="1508" spans="1:9" ht="16.5" customHeight="1" x14ac:dyDescent="0.2">
      <c r="A1508" s="35" t="s">
        <v>4984</v>
      </c>
      <c r="B1508" s="35" t="s">
        <v>4985</v>
      </c>
      <c r="C1508" s="35" t="s">
        <v>7</v>
      </c>
      <c r="D1508" s="35" t="s">
        <v>23</v>
      </c>
      <c r="E1508" s="35" t="s">
        <v>87</v>
      </c>
      <c r="F1508" s="31" t="s">
        <v>25</v>
      </c>
      <c r="G1508" s="34" t="s">
        <v>61</v>
      </c>
      <c r="H1508" s="32"/>
      <c r="I1508" s="32" t="s">
        <v>10</v>
      </c>
    </row>
    <row r="1509" spans="1:9" ht="16.5" customHeight="1" x14ac:dyDescent="0.2">
      <c r="A1509" s="35" t="s">
        <v>4984</v>
      </c>
      <c r="B1509" s="35" t="s">
        <v>4985</v>
      </c>
      <c r="C1509" s="35" t="s">
        <v>7</v>
      </c>
      <c r="D1509" s="35" t="s">
        <v>23</v>
      </c>
      <c r="E1509" s="35" t="s">
        <v>87</v>
      </c>
      <c r="F1509" s="31" t="s">
        <v>25</v>
      </c>
      <c r="G1509" s="34" t="s">
        <v>61</v>
      </c>
      <c r="H1509" s="32"/>
      <c r="I1509" s="32" t="s">
        <v>10</v>
      </c>
    </row>
    <row r="1510" spans="1:9" ht="16.5" customHeight="1" x14ac:dyDescent="0.2">
      <c r="A1510" s="35" t="s">
        <v>4984</v>
      </c>
      <c r="B1510" s="35" t="s">
        <v>4985</v>
      </c>
      <c r="C1510" s="35" t="s">
        <v>7</v>
      </c>
      <c r="D1510" s="35" t="s">
        <v>8</v>
      </c>
      <c r="E1510" s="35" t="s">
        <v>87</v>
      </c>
      <c r="F1510" s="52" t="s">
        <v>25</v>
      </c>
      <c r="G1510" s="30" t="s">
        <v>61</v>
      </c>
      <c r="H1510" s="55"/>
      <c r="I1510" s="32" t="s">
        <v>10</v>
      </c>
    </row>
    <row r="1511" spans="1:9" ht="16.5" customHeight="1" x14ac:dyDescent="0.2">
      <c r="A1511" s="35" t="s">
        <v>4984</v>
      </c>
      <c r="B1511" s="35" t="s">
        <v>4985</v>
      </c>
      <c r="C1511" s="35" t="s">
        <v>7</v>
      </c>
      <c r="D1511" s="35" t="s">
        <v>8</v>
      </c>
      <c r="E1511" s="35" t="s">
        <v>87</v>
      </c>
      <c r="F1511" s="52" t="s">
        <v>25</v>
      </c>
      <c r="G1511" s="30" t="s">
        <v>61</v>
      </c>
      <c r="H1511" s="55"/>
      <c r="I1511" s="32" t="s">
        <v>10</v>
      </c>
    </row>
    <row r="1512" spans="1:9" ht="16.5" customHeight="1" x14ac:dyDescent="0.2">
      <c r="A1512" s="35" t="s">
        <v>4984</v>
      </c>
      <c r="B1512" s="35" t="s">
        <v>4985</v>
      </c>
      <c r="C1512" s="35" t="s">
        <v>7</v>
      </c>
      <c r="D1512" s="35" t="s">
        <v>8</v>
      </c>
      <c r="E1512" s="35" t="s">
        <v>87</v>
      </c>
      <c r="F1512" s="52" t="s">
        <v>25</v>
      </c>
      <c r="G1512" s="30" t="s">
        <v>61</v>
      </c>
      <c r="H1512" s="55"/>
      <c r="I1512" s="32" t="s">
        <v>10</v>
      </c>
    </row>
    <row r="1513" spans="1:9" ht="16.5" customHeight="1" x14ac:dyDescent="0.2">
      <c r="A1513" s="35" t="s">
        <v>4984</v>
      </c>
      <c r="B1513" s="35" t="s">
        <v>4985</v>
      </c>
      <c r="C1513" s="35" t="s">
        <v>7</v>
      </c>
      <c r="D1513" s="35" t="s">
        <v>8</v>
      </c>
      <c r="E1513" s="35" t="s">
        <v>87</v>
      </c>
      <c r="F1513" s="52" t="s">
        <v>25</v>
      </c>
      <c r="G1513" s="30" t="s">
        <v>61</v>
      </c>
      <c r="H1513" s="55"/>
      <c r="I1513" s="32" t="s">
        <v>10</v>
      </c>
    </row>
    <row r="1514" spans="1:9" ht="16.5" customHeight="1" x14ac:dyDescent="0.2">
      <c r="A1514" s="35" t="s">
        <v>4984</v>
      </c>
      <c r="B1514" s="35" t="s">
        <v>4985</v>
      </c>
      <c r="C1514" s="35" t="s">
        <v>7</v>
      </c>
      <c r="D1514" s="35" t="s">
        <v>8</v>
      </c>
      <c r="E1514" s="35" t="s">
        <v>87</v>
      </c>
      <c r="F1514" s="52" t="s">
        <v>25</v>
      </c>
      <c r="G1514" s="30" t="s">
        <v>61</v>
      </c>
      <c r="H1514" s="55"/>
      <c r="I1514" s="32" t="s">
        <v>10</v>
      </c>
    </row>
    <row r="1515" spans="1:9" ht="16.5" customHeight="1" x14ac:dyDescent="0.25">
      <c r="A1515" s="76" t="s">
        <v>4986</v>
      </c>
      <c r="B1515" s="76" t="s">
        <v>5293</v>
      </c>
      <c r="C1515" s="26" t="s">
        <v>64</v>
      </c>
      <c r="D1515" s="26" t="s">
        <v>92</v>
      </c>
      <c r="E1515" s="26" t="s">
        <v>83</v>
      </c>
      <c r="F1515" s="31" t="s">
        <v>25</v>
      </c>
      <c r="G1515" s="31" t="s">
        <v>72</v>
      </c>
      <c r="H1515" s="32"/>
      <c r="I1515" s="32" t="s">
        <v>10</v>
      </c>
    </row>
    <row r="1516" spans="1:9" ht="16.5" customHeight="1" x14ac:dyDescent="0.2">
      <c r="A1516" s="26" t="s">
        <v>4988</v>
      </c>
      <c r="B1516" s="26" t="s">
        <v>5247</v>
      </c>
      <c r="C1516" s="26" t="s">
        <v>7</v>
      </c>
      <c r="D1516" s="26" t="s">
        <v>16</v>
      </c>
      <c r="E1516" s="26" t="s">
        <v>108</v>
      </c>
      <c r="F1516" s="31" t="s">
        <v>18</v>
      </c>
      <c r="G1516" s="31" t="s">
        <v>72</v>
      </c>
      <c r="H1516" s="32" t="s">
        <v>10</v>
      </c>
      <c r="I1516" s="32" t="s">
        <v>10</v>
      </c>
    </row>
    <row r="1517" spans="1:9" ht="16.5" customHeight="1" x14ac:dyDescent="0.2">
      <c r="A1517" s="26" t="s">
        <v>4988</v>
      </c>
      <c r="B1517" s="26" t="s">
        <v>5247</v>
      </c>
      <c r="C1517" s="26" t="s">
        <v>37</v>
      </c>
      <c r="D1517" s="26" t="s">
        <v>59</v>
      </c>
      <c r="E1517" s="26" t="s">
        <v>108</v>
      </c>
      <c r="F1517" s="31" t="s">
        <v>18</v>
      </c>
      <c r="G1517" s="31" t="s">
        <v>72</v>
      </c>
      <c r="H1517" s="32" t="s">
        <v>10</v>
      </c>
      <c r="I1517" s="32" t="s">
        <v>10</v>
      </c>
    </row>
    <row r="1518" spans="1:9" ht="16.5" customHeight="1" x14ac:dyDescent="0.2">
      <c r="A1518" s="35" t="s">
        <v>4990</v>
      </c>
      <c r="B1518" s="35" t="s">
        <v>4991</v>
      </c>
      <c r="C1518" s="26" t="s">
        <v>98</v>
      </c>
      <c r="D1518" s="26" t="s">
        <v>107</v>
      </c>
      <c r="E1518" s="35" t="s">
        <v>87</v>
      </c>
      <c r="F1518" s="31" t="s">
        <v>25</v>
      </c>
      <c r="G1518" s="27" t="s">
        <v>41</v>
      </c>
      <c r="H1518" s="27"/>
      <c r="I1518" s="32" t="s">
        <v>10</v>
      </c>
    </row>
    <row r="1519" spans="1:9" ht="16.5" customHeight="1" x14ac:dyDescent="0.2">
      <c r="A1519" s="35" t="s">
        <v>4992</v>
      </c>
      <c r="B1519" s="26" t="s">
        <v>5399</v>
      </c>
      <c r="C1519" s="35" t="s">
        <v>64</v>
      </c>
      <c r="D1519" s="35" t="s">
        <v>82</v>
      </c>
      <c r="E1519" s="35" t="s">
        <v>126</v>
      </c>
      <c r="F1519" s="31" t="s">
        <v>32</v>
      </c>
      <c r="G1519" s="31" t="s">
        <v>72</v>
      </c>
      <c r="H1519" s="32"/>
      <c r="I1519" s="32" t="s">
        <v>10</v>
      </c>
    </row>
    <row r="1520" spans="1:9" ht="16.5" customHeight="1" x14ac:dyDescent="0.2">
      <c r="A1520" s="35" t="s">
        <v>4994</v>
      </c>
      <c r="B1520" s="35" t="s">
        <v>4995</v>
      </c>
      <c r="C1520" s="54" t="s">
        <v>64</v>
      </c>
      <c r="D1520" s="35" t="s">
        <v>82</v>
      </c>
      <c r="E1520" s="35" t="s">
        <v>126</v>
      </c>
      <c r="F1520" s="52" t="s">
        <v>18</v>
      </c>
      <c r="G1520" s="31" t="s">
        <v>26</v>
      </c>
      <c r="H1520" s="32"/>
      <c r="I1520" s="32" t="s">
        <v>10</v>
      </c>
    </row>
    <row r="1521" spans="1:9" ht="16.5" customHeight="1" x14ac:dyDescent="0.2">
      <c r="A1521" s="35" t="s">
        <v>4996</v>
      </c>
      <c r="B1521" s="26" t="s">
        <v>5398</v>
      </c>
      <c r="C1521" s="35" t="s">
        <v>64</v>
      </c>
      <c r="D1521" s="35" t="s">
        <v>82</v>
      </c>
      <c r="E1521" s="35" t="s">
        <v>126</v>
      </c>
      <c r="F1521" s="31" t="s">
        <v>32</v>
      </c>
      <c r="G1521" s="31" t="s">
        <v>72</v>
      </c>
      <c r="H1521" s="32"/>
      <c r="I1521" s="32" t="s">
        <v>10</v>
      </c>
    </row>
    <row r="1522" spans="1:9" ht="16.5" customHeight="1" x14ac:dyDescent="0.2">
      <c r="A1522" s="35" t="s">
        <v>4998</v>
      </c>
      <c r="B1522" s="35" t="s">
        <v>4999</v>
      </c>
      <c r="C1522" s="35" t="s">
        <v>64</v>
      </c>
      <c r="D1522" s="35" t="s">
        <v>82</v>
      </c>
      <c r="E1522" s="35" t="s">
        <v>126</v>
      </c>
      <c r="F1522" s="52" t="s">
        <v>18</v>
      </c>
      <c r="G1522" s="31" t="s">
        <v>26</v>
      </c>
      <c r="H1522" s="32"/>
      <c r="I1522" s="32" t="s">
        <v>10</v>
      </c>
    </row>
    <row r="1523" spans="1:9" ht="16.5" customHeight="1" x14ac:dyDescent="0.2">
      <c r="A1523" s="127" t="s">
        <v>5000</v>
      </c>
      <c r="B1523" s="26" t="s">
        <v>5001</v>
      </c>
      <c r="C1523" s="26" t="s">
        <v>7</v>
      </c>
      <c r="D1523" s="27" t="s">
        <v>16</v>
      </c>
      <c r="E1523" s="49" t="s">
        <v>83</v>
      </c>
      <c r="F1523" s="47" t="s">
        <v>25</v>
      </c>
      <c r="G1523" s="31" t="s">
        <v>41</v>
      </c>
      <c r="H1523" s="32"/>
      <c r="I1523" s="32" t="s">
        <v>10</v>
      </c>
    </row>
    <row r="1524" spans="1:9" ht="16.5" customHeight="1" x14ac:dyDescent="0.2">
      <c r="A1524" s="37" t="s">
        <v>5000</v>
      </c>
      <c r="B1524" s="26" t="s">
        <v>5001</v>
      </c>
      <c r="C1524" s="26" t="s">
        <v>7</v>
      </c>
      <c r="D1524" s="27" t="s">
        <v>16</v>
      </c>
      <c r="E1524" s="26" t="s">
        <v>83</v>
      </c>
      <c r="F1524" s="47" t="s">
        <v>25</v>
      </c>
      <c r="G1524" s="31" t="s">
        <v>41</v>
      </c>
      <c r="H1524" s="32"/>
      <c r="I1524" s="32" t="s">
        <v>10</v>
      </c>
    </row>
    <row r="1525" spans="1:9" ht="16.5" customHeight="1" x14ac:dyDescent="0.2">
      <c r="A1525" s="35" t="s">
        <v>5002</v>
      </c>
      <c r="B1525" s="26" t="s">
        <v>5507</v>
      </c>
      <c r="C1525" s="66" t="s">
        <v>64</v>
      </c>
      <c r="D1525" s="26" t="s">
        <v>82</v>
      </c>
      <c r="E1525" s="35" t="s">
        <v>9</v>
      </c>
      <c r="F1525" s="31" t="s">
        <v>25</v>
      </c>
      <c r="G1525" s="31" t="s">
        <v>72</v>
      </c>
      <c r="H1525" s="32"/>
      <c r="I1525" s="32" t="s">
        <v>10</v>
      </c>
    </row>
    <row r="1526" spans="1:9" ht="16.5" customHeight="1" x14ac:dyDescent="0.2">
      <c r="A1526" s="26" t="s">
        <v>5004</v>
      </c>
      <c r="B1526" s="26" t="s">
        <v>5005</v>
      </c>
      <c r="C1526" s="66" t="s">
        <v>37</v>
      </c>
      <c r="D1526" s="27" t="s">
        <v>38</v>
      </c>
      <c r="E1526" s="26" t="s">
        <v>9</v>
      </c>
      <c r="F1526" s="31" t="s">
        <v>18</v>
      </c>
      <c r="G1526" s="31" t="s">
        <v>41</v>
      </c>
      <c r="H1526" s="32"/>
      <c r="I1526" s="32" t="s">
        <v>10</v>
      </c>
    </row>
    <row r="1527" spans="1:9" ht="16.5" customHeight="1" x14ac:dyDescent="0.2">
      <c r="A1527" s="35" t="s">
        <v>5006</v>
      </c>
      <c r="B1527" s="35" t="s">
        <v>5007</v>
      </c>
      <c r="C1527" s="35" t="s">
        <v>115</v>
      </c>
      <c r="D1527" s="35" t="s">
        <v>128</v>
      </c>
      <c r="E1527" s="35" t="s">
        <v>83</v>
      </c>
      <c r="F1527" s="30" t="s">
        <v>18</v>
      </c>
      <c r="G1527" s="31" t="s">
        <v>41</v>
      </c>
      <c r="H1527" s="30" t="s">
        <v>3718</v>
      </c>
      <c r="I1527" s="32" t="s">
        <v>10</v>
      </c>
    </row>
    <row r="1528" spans="1:9" ht="16.5" customHeight="1" x14ac:dyDescent="0.2">
      <c r="A1528" s="35" t="s">
        <v>5008</v>
      </c>
      <c r="B1528" s="35" t="s">
        <v>5009</v>
      </c>
      <c r="C1528" s="35" t="s">
        <v>115</v>
      </c>
      <c r="D1528" s="35" t="s">
        <v>128</v>
      </c>
      <c r="E1528" s="35" t="s">
        <v>108</v>
      </c>
      <c r="F1528" s="30" t="s">
        <v>32</v>
      </c>
      <c r="G1528" s="31" t="s">
        <v>72</v>
      </c>
      <c r="H1528" s="30" t="s">
        <v>5010</v>
      </c>
      <c r="I1528" s="32" t="s">
        <v>10</v>
      </c>
    </row>
    <row r="1529" spans="1:9" ht="16.5" customHeight="1" x14ac:dyDescent="0.2">
      <c r="A1529" s="94" t="s">
        <v>5011</v>
      </c>
      <c r="B1529" s="26" t="s">
        <v>5012</v>
      </c>
      <c r="C1529" s="66" t="s">
        <v>98</v>
      </c>
      <c r="D1529" s="66" t="s">
        <v>110</v>
      </c>
      <c r="E1529" s="66" t="s">
        <v>106</v>
      </c>
      <c r="F1529" s="31" t="s">
        <v>18</v>
      </c>
      <c r="G1529" s="67" t="s">
        <v>12</v>
      </c>
      <c r="H1529" s="32" t="s">
        <v>10</v>
      </c>
      <c r="I1529" s="32" t="s">
        <v>10</v>
      </c>
    </row>
    <row r="1530" spans="1:9" ht="16.5" customHeight="1" x14ac:dyDescent="0.2">
      <c r="A1530" s="94" t="s">
        <v>5013</v>
      </c>
      <c r="B1530" s="26" t="s">
        <v>5014</v>
      </c>
      <c r="C1530" s="66" t="s">
        <v>37</v>
      </c>
      <c r="D1530" s="27" t="s">
        <v>38</v>
      </c>
      <c r="E1530" s="27" t="s">
        <v>87</v>
      </c>
      <c r="F1530" s="31" t="s">
        <v>25</v>
      </c>
      <c r="G1530" s="31" t="s">
        <v>41</v>
      </c>
      <c r="H1530" s="32"/>
      <c r="I1530" s="32" t="s">
        <v>10</v>
      </c>
    </row>
    <row r="1531" spans="1:9" ht="16.5" customHeight="1" x14ac:dyDescent="0.2">
      <c r="A1531" s="35" t="s">
        <v>5015</v>
      </c>
      <c r="B1531" s="35" t="s">
        <v>5016</v>
      </c>
      <c r="C1531" s="26" t="s">
        <v>98</v>
      </c>
      <c r="D1531" s="26" t="s">
        <v>107</v>
      </c>
      <c r="E1531" s="26" t="s">
        <v>108</v>
      </c>
      <c r="F1531" s="31" t="s">
        <v>18</v>
      </c>
      <c r="G1531" s="27" t="s">
        <v>12</v>
      </c>
      <c r="H1531" s="27"/>
      <c r="I1531" s="32" t="s">
        <v>10</v>
      </c>
    </row>
    <row r="1532" spans="1:9" ht="16.5" customHeight="1" x14ac:dyDescent="0.2">
      <c r="A1532" s="79" t="s">
        <v>5017</v>
      </c>
      <c r="B1532" s="35" t="s">
        <v>5018</v>
      </c>
      <c r="C1532" s="35" t="s">
        <v>115</v>
      </c>
      <c r="D1532" s="35" t="s">
        <v>116</v>
      </c>
      <c r="E1532" s="35" t="s">
        <v>83</v>
      </c>
      <c r="F1532" s="52" t="s">
        <v>25</v>
      </c>
      <c r="G1532" s="52" t="s">
        <v>61</v>
      </c>
      <c r="I1532" s="32" t="s">
        <v>10</v>
      </c>
    </row>
    <row r="1533" spans="1:9" ht="16.5" customHeight="1" x14ac:dyDescent="0.2">
      <c r="A1533" s="26" t="s">
        <v>5019</v>
      </c>
      <c r="B1533" s="26" t="s">
        <v>5238</v>
      </c>
      <c r="C1533" s="26" t="s">
        <v>7</v>
      </c>
      <c r="D1533" s="27" t="s">
        <v>16</v>
      </c>
      <c r="E1533" s="26" t="s">
        <v>108</v>
      </c>
      <c r="F1533" s="31" t="s">
        <v>18</v>
      </c>
      <c r="G1533" s="31" t="s">
        <v>41</v>
      </c>
      <c r="H1533" s="32"/>
      <c r="I1533" s="32" t="s">
        <v>10</v>
      </c>
    </row>
    <row r="1534" spans="1:9" ht="16.5" customHeight="1" x14ac:dyDescent="0.25">
      <c r="A1534" s="76" t="s">
        <v>5021</v>
      </c>
      <c r="B1534" s="76" t="s">
        <v>5307</v>
      </c>
      <c r="C1534" s="26" t="s">
        <v>64</v>
      </c>
      <c r="D1534" s="26" t="s">
        <v>92</v>
      </c>
      <c r="E1534" s="26" t="s">
        <v>126</v>
      </c>
      <c r="F1534" s="31" t="s">
        <v>18</v>
      </c>
      <c r="G1534" s="31" t="s">
        <v>61</v>
      </c>
      <c r="H1534" s="31"/>
      <c r="I1534" s="32" t="s">
        <v>10</v>
      </c>
    </row>
    <row r="1535" spans="1:9" ht="16.5" customHeight="1" x14ac:dyDescent="0.25">
      <c r="A1535" s="35" t="s">
        <v>5023</v>
      </c>
      <c r="B1535" s="76" t="s">
        <v>5024</v>
      </c>
      <c r="C1535" s="76" t="s">
        <v>64</v>
      </c>
      <c r="D1535" s="35" t="s">
        <v>86</v>
      </c>
      <c r="E1535" s="76" t="s">
        <v>129</v>
      </c>
      <c r="F1535" s="76" t="s">
        <v>18</v>
      </c>
      <c r="G1535" s="35" t="s">
        <v>19</v>
      </c>
      <c r="H1535" s="95"/>
      <c r="I1535" s="32" t="s">
        <v>10</v>
      </c>
    </row>
    <row r="1536" spans="1:9" ht="16.5" customHeight="1" x14ac:dyDescent="0.2">
      <c r="A1536" s="35" t="s">
        <v>5025</v>
      </c>
      <c r="B1536" s="54" t="s">
        <v>5561</v>
      </c>
      <c r="C1536" s="35" t="s">
        <v>115</v>
      </c>
      <c r="D1536" s="35" t="s">
        <v>131</v>
      </c>
      <c r="E1536" s="35" t="s">
        <v>139</v>
      </c>
      <c r="F1536" s="30" t="s">
        <v>18</v>
      </c>
      <c r="G1536" s="31" t="s">
        <v>72</v>
      </c>
      <c r="H1536" s="30" t="s">
        <v>5027</v>
      </c>
      <c r="I1536" s="32" t="s">
        <v>10</v>
      </c>
    </row>
    <row r="1537" spans="1:9" ht="16.5" customHeight="1" x14ac:dyDescent="0.2">
      <c r="A1537" s="35" t="s">
        <v>5028</v>
      </c>
      <c r="B1537" s="54" t="s">
        <v>5029</v>
      </c>
      <c r="C1537" s="35" t="s">
        <v>115</v>
      </c>
      <c r="D1537" s="35" t="s">
        <v>131</v>
      </c>
      <c r="E1537" s="35" t="s">
        <v>139</v>
      </c>
      <c r="F1537" s="30" t="s">
        <v>18</v>
      </c>
      <c r="G1537" s="31" t="s">
        <v>72</v>
      </c>
      <c r="H1537" s="30" t="s">
        <v>5030</v>
      </c>
      <c r="I1537" s="32" t="s">
        <v>10</v>
      </c>
    </row>
    <row r="1538" spans="1:9" ht="16.5" customHeight="1" x14ac:dyDescent="0.2">
      <c r="A1538" s="54" t="s">
        <v>5031</v>
      </c>
      <c r="B1538" s="35" t="s">
        <v>5032</v>
      </c>
      <c r="C1538" s="35" t="s">
        <v>64</v>
      </c>
      <c r="D1538" s="35" t="s">
        <v>95</v>
      </c>
      <c r="E1538" s="54" t="s">
        <v>126</v>
      </c>
      <c r="F1538" s="31" t="s">
        <v>11</v>
      </c>
      <c r="G1538" s="31" t="s">
        <v>41</v>
      </c>
      <c r="H1538" s="32"/>
      <c r="I1538" s="32" t="s">
        <v>10</v>
      </c>
    </row>
    <row r="1539" spans="1:9" ht="16.5" customHeight="1" x14ac:dyDescent="0.2">
      <c r="A1539" s="54" t="s">
        <v>5033</v>
      </c>
      <c r="B1539" s="35" t="s">
        <v>5034</v>
      </c>
      <c r="C1539" s="35" t="s">
        <v>64</v>
      </c>
      <c r="D1539" s="35" t="s">
        <v>95</v>
      </c>
      <c r="E1539" s="54" t="s">
        <v>126</v>
      </c>
      <c r="F1539" s="31" t="s">
        <v>18</v>
      </c>
      <c r="G1539" s="31" t="s">
        <v>41</v>
      </c>
      <c r="H1539" s="32"/>
      <c r="I1539" s="32" t="s">
        <v>10</v>
      </c>
    </row>
    <row r="1540" spans="1:9" ht="16.5" customHeight="1" x14ac:dyDescent="0.2">
      <c r="A1540" s="26" t="s">
        <v>5035</v>
      </c>
      <c r="B1540" s="26" t="s">
        <v>5036</v>
      </c>
      <c r="C1540" s="66" t="s">
        <v>98</v>
      </c>
      <c r="D1540" s="66" t="s">
        <v>110</v>
      </c>
      <c r="E1540" s="66" t="s">
        <v>87</v>
      </c>
      <c r="F1540" s="31" t="s">
        <v>18</v>
      </c>
      <c r="G1540" s="67" t="s">
        <v>41</v>
      </c>
      <c r="H1540" s="32" t="s">
        <v>10</v>
      </c>
      <c r="I1540" s="32" t="s">
        <v>10</v>
      </c>
    </row>
    <row r="1541" spans="1:9" ht="16.5" customHeight="1" x14ac:dyDescent="0.2">
      <c r="A1541" s="35" t="s">
        <v>5037</v>
      </c>
      <c r="B1541" s="35" t="s">
        <v>5038</v>
      </c>
      <c r="C1541" s="35" t="s">
        <v>7</v>
      </c>
      <c r="D1541" s="35" t="s">
        <v>8</v>
      </c>
      <c r="E1541" s="35" t="s">
        <v>126</v>
      </c>
      <c r="F1541" s="52" t="s">
        <v>25</v>
      </c>
      <c r="G1541" s="30" t="s">
        <v>61</v>
      </c>
      <c r="H1541" s="55"/>
      <c r="I1541" s="32" t="s">
        <v>10</v>
      </c>
    </row>
    <row r="1542" spans="1:9" ht="16.5" customHeight="1" x14ac:dyDescent="0.2">
      <c r="A1542" s="35" t="s">
        <v>5039</v>
      </c>
      <c r="B1542" s="35" t="s">
        <v>5040</v>
      </c>
      <c r="C1542" s="26" t="s">
        <v>98</v>
      </c>
      <c r="D1542" s="26" t="s">
        <v>107</v>
      </c>
      <c r="E1542" s="26" t="s">
        <v>108</v>
      </c>
      <c r="F1542" s="31" t="s">
        <v>18</v>
      </c>
      <c r="G1542" s="27" t="s">
        <v>12</v>
      </c>
      <c r="H1542" s="27"/>
      <c r="I1542" s="32" t="s">
        <v>10</v>
      </c>
    </row>
    <row r="1543" spans="1:9" ht="16.5" customHeight="1" x14ac:dyDescent="0.2">
      <c r="A1543" s="54" t="s">
        <v>5041</v>
      </c>
      <c r="B1543" s="35" t="s">
        <v>5042</v>
      </c>
      <c r="C1543" s="35" t="s">
        <v>64</v>
      </c>
      <c r="D1543" s="35" t="s">
        <v>95</v>
      </c>
      <c r="E1543" s="54" t="s">
        <v>126</v>
      </c>
      <c r="F1543" s="31" t="s">
        <v>18</v>
      </c>
      <c r="G1543" s="31" t="s">
        <v>41</v>
      </c>
      <c r="H1543" s="32"/>
      <c r="I1543" s="32" t="s">
        <v>10</v>
      </c>
    </row>
    <row r="1544" spans="1:9" ht="16.5" customHeight="1" x14ac:dyDescent="0.2">
      <c r="A1544" s="54" t="s">
        <v>5043</v>
      </c>
      <c r="B1544" s="35" t="s">
        <v>5044</v>
      </c>
      <c r="C1544" s="35" t="s">
        <v>64</v>
      </c>
      <c r="D1544" s="35" t="s">
        <v>95</v>
      </c>
      <c r="E1544" s="54" t="s">
        <v>126</v>
      </c>
      <c r="F1544" s="31" t="s">
        <v>18</v>
      </c>
      <c r="G1544" s="31" t="s">
        <v>41</v>
      </c>
      <c r="H1544" s="32"/>
      <c r="I1544" s="32" t="s">
        <v>10</v>
      </c>
    </row>
    <row r="1545" spans="1:9" ht="16.5" customHeight="1" x14ac:dyDescent="0.2">
      <c r="A1545" s="54" t="s">
        <v>5045</v>
      </c>
      <c r="B1545" s="35" t="s">
        <v>5046</v>
      </c>
      <c r="C1545" s="35" t="s">
        <v>64</v>
      </c>
      <c r="D1545" s="35" t="s">
        <v>95</v>
      </c>
      <c r="E1545" s="54" t="s">
        <v>126</v>
      </c>
      <c r="F1545" s="31" t="s">
        <v>18</v>
      </c>
      <c r="G1545" s="31" t="s">
        <v>41</v>
      </c>
      <c r="H1545" s="32"/>
      <c r="I1545" s="32" t="s">
        <v>10</v>
      </c>
    </row>
    <row r="1546" spans="1:9" ht="16.5" customHeight="1" x14ac:dyDescent="0.2">
      <c r="A1546" s="26" t="s">
        <v>5047</v>
      </c>
      <c r="B1546" s="26" t="s">
        <v>5048</v>
      </c>
      <c r="C1546" s="26" t="s">
        <v>115</v>
      </c>
      <c r="D1546" s="27" t="s">
        <v>116</v>
      </c>
      <c r="E1546" s="27" t="s">
        <v>126</v>
      </c>
      <c r="F1546" s="31" t="s">
        <v>18</v>
      </c>
      <c r="G1546" s="31" t="s">
        <v>61</v>
      </c>
      <c r="H1546" s="31"/>
      <c r="I1546" s="32" t="s">
        <v>10</v>
      </c>
    </row>
    <row r="1547" spans="1:9" ht="16.5" customHeight="1" x14ac:dyDescent="0.2">
      <c r="A1547" s="26" t="s">
        <v>5049</v>
      </c>
      <c r="B1547" s="26" t="s">
        <v>5050</v>
      </c>
      <c r="C1547" s="26" t="s">
        <v>115</v>
      </c>
      <c r="D1547" s="26" t="s">
        <v>122</v>
      </c>
      <c r="E1547" s="26" t="s">
        <v>108</v>
      </c>
      <c r="F1547" s="31" t="s">
        <v>32</v>
      </c>
      <c r="G1547" s="31" t="s">
        <v>61</v>
      </c>
      <c r="H1547" s="32"/>
      <c r="I1547" s="32" t="s">
        <v>10</v>
      </c>
    </row>
    <row r="1548" spans="1:9" ht="16.5" customHeight="1" x14ac:dyDescent="0.2">
      <c r="A1548" s="26" t="s">
        <v>5049</v>
      </c>
      <c r="B1548" s="26" t="s">
        <v>5050</v>
      </c>
      <c r="C1548" s="26" t="s">
        <v>115</v>
      </c>
      <c r="D1548" s="26" t="s">
        <v>122</v>
      </c>
      <c r="E1548" s="26" t="s">
        <v>108</v>
      </c>
      <c r="F1548" s="31" t="s">
        <v>32</v>
      </c>
      <c r="G1548" s="31" t="s">
        <v>61</v>
      </c>
      <c r="H1548" s="32"/>
      <c r="I1548" s="32" t="s">
        <v>10</v>
      </c>
    </row>
    <row r="1549" spans="1:9" ht="16.5" customHeight="1" x14ac:dyDescent="0.2">
      <c r="A1549" s="26" t="s">
        <v>5049</v>
      </c>
      <c r="B1549" s="26" t="s">
        <v>5050</v>
      </c>
      <c r="C1549" s="53" t="s">
        <v>115</v>
      </c>
      <c r="D1549" s="26" t="s">
        <v>122</v>
      </c>
      <c r="E1549" s="26" t="s">
        <v>108</v>
      </c>
      <c r="F1549" s="31" t="s">
        <v>32</v>
      </c>
      <c r="G1549" s="31" t="s">
        <v>61</v>
      </c>
      <c r="H1549" s="32"/>
      <c r="I1549" s="32" t="s">
        <v>10</v>
      </c>
    </row>
    <row r="1550" spans="1:9" ht="16.5" customHeight="1" x14ac:dyDescent="0.2">
      <c r="A1550" s="26" t="s">
        <v>5049</v>
      </c>
      <c r="B1550" s="26" t="s">
        <v>5050</v>
      </c>
      <c r="C1550" s="26" t="s">
        <v>115</v>
      </c>
      <c r="D1550" s="26" t="s">
        <v>122</v>
      </c>
      <c r="E1550" s="26" t="s">
        <v>108</v>
      </c>
      <c r="F1550" s="31" t="s">
        <v>32</v>
      </c>
      <c r="G1550" s="31" t="s">
        <v>61</v>
      </c>
      <c r="H1550" s="32"/>
      <c r="I1550" s="32" t="s">
        <v>10</v>
      </c>
    </row>
    <row r="1551" spans="1:9" ht="16.5" customHeight="1" x14ac:dyDescent="0.2">
      <c r="A1551" s="26" t="s">
        <v>5051</v>
      </c>
      <c r="B1551" s="26" t="s">
        <v>5052</v>
      </c>
      <c r="C1551" s="26" t="s">
        <v>136</v>
      </c>
      <c r="D1551" s="26" t="s">
        <v>137</v>
      </c>
      <c r="E1551" s="26" t="s">
        <v>108</v>
      </c>
      <c r="F1551" s="31" t="s">
        <v>25</v>
      </c>
      <c r="G1551" s="32"/>
      <c r="H1551" s="31" t="s">
        <v>3289</v>
      </c>
      <c r="I1551" s="32" t="s">
        <v>10</v>
      </c>
    </row>
    <row r="1552" spans="1:9" ht="16.5" customHeight="1" x14ac:dyDescent="0.25">
      <c r="A1552" s="35" t="s">
        <v>5053</v>
      </c>
      <c r="B1552" s="76" t="s">
        <v>5054</v>
      </c>
      <c r="C1552" s="76" t="s">
        <v>64</v>
      </c>
      <c r="D1552" s="35" t="s">
        <v>86</v>
      </c>
      <c r="E1552" s="76" t="s">
        <v>87</v>
      </c>
      <c r="F1552" s="76" t="s">
        <v>18</v>
      </c>
      <c r="G1552" s="35" t="s">
        <v>72</v>
      </c>
      <c r="H1552" s="95"/>
      <c r="I1552" s="32" t="s">
        <v>10</v>
      </c>
    </row>
    <row r="1553" spans="1:9" ht="16.5" customHeight="1" x14ac:dyDescent="0.2">
      <c r="A1553" s="35" t="s">
        <v>5055</v>
      </c>
      <c r="B1553" s="35" t="s">
        <v>5056</v>
      </c>
      <c r="C1553" s="26" t="s">
        <v>98</v>
      </c>
      <c r="D1553" s="26" t="s">
        <v>113</v>
      </c>
      <c r="E1553" s="26" t="s">
        <v>129</v>
      </c>
      <c r="F1553" s="31" t="s">
        <v>18</v>
      </c>
      <c r="G1553" s="31" t="s">
        <v>61</v>
      </c>
      <c r="H1553" s="32"/>
      <c r="I1553" s="32" t="s">
        <v>10</v>
      </c>
    </row>
    <row r="1554" spans="1:9" ht="16.5" customHeight="1" x14ac:dyDescent="0.25">
      <c r="A1554" s="35" t="s">
        <v>5057</v>
      </c>
      <c r="B1554" s="76" t="s">
        <v>5058</v>
      </c>
      <c r="C1554" s="76" t="s">
        <v>64</v>
      </c>
      <c r="D1554" s="35" t="s">
        <v>86</v>
      </c>
      <c r="E1554" s="76" t="s">
        <v>87</v>
      </c>
      <c r="F1554" s="76" t="s">
        <v>18</v>
      </c>
      <c r="G1554" s="35" t="s">
        <v>41</v>
      </c>
      <c r="H1554" s="95"/>
      <c r="I1554" s="32" t="s">
        <v>10</v>
      </c>
    </row>
    <row r="1555" spans="1:9" ht="16.5" customHeight="1" x14ac:dyDescent="0.2">
      <c r="A1555" s="35" t="s">
        <v>5059</v>
      </c>
      <c r="B1555" s="35" t="s">
        <v>5060</v>
      </c>
      <c r="C1555" s="26" t="s">
        <v>98</v>
      </c>
      <c r="D1555" s="26" t="s">
        <v>113</v>
      </c>
      <c r="E1555" s="26" t="s">
        <v>129</v>
      </c>
      <c r="F1555" s="31" t="s">
        <v>18</v>
      </c>
      <c r="G1555" s="31" t="s">
        <v>61</v>
      </c>
      <c r="H1555" s="32"/>
      <c r="I1555" s="32" t="s">
        <v>10</v>
      </c>
    </row>
    <row r="1556" spans="1:9" ht="16.5" customHeight="1" x14ac:dyDescent="0.2">
      <c r="A1556" s="35" t="s">
        <v>5061</v>
      </c>
      <c r="B1556" s="35" t="s">
        <v>5062</v>
      </c>
      <c r="C1556" s="26" t="s">
        <v>98</v>
      </c>
      <c r="D1556" s="26" t="s">
        <v>107</v>
      </c>
      <c r="E1556" s="26" t="s">
        <v>87</v>
      </c>
      <c r="F1556" s="31" t="s">
        <v>25</v>
      </c>
      <c r="G1556" s="27" t="s">
        <v>41</v>
      </c>
      <c r="H1556" s="27"/>
      <c r="I1556" s="32" t="s">
        <v>10</v>
      </c>
    </row>
    <row r="1557" spans="1:9" ht="16.5" customHeight="1" x14ac:dyDescent="0.2">
      <c r="A1557" s="26" t="s">
        <v>5063</v>
      </c>
      <c r="B1557" s="26" t="s">
        <v>5064</v>
      </c>
      <c r="C1557" s="26" t="s">
        <v>136</v>
      </c>
      <c r="D1557" s="26" t="s">
        <v>137</v>
      </c>
      <c r="E1557" s="26" t="s">
        <v>108</v>
      </c>
      <c r="F1557" s="31" t="s">
        <v>32</v>
      </c>
      <c r="G1557" s="32"/>
      <c r="H1557" s="31" t="s">
        <v>3995</v>
      </c>
      <c r="I1557" s="32" t="s">
        <v>10</v>
      </c>
    </row>
    <row r="1558" spans="1:9" ht="16.5" customHeight="1" x14ac:dyDescent="0.2">
      <c r="A1558" s="26" t="s">
        <v>5065</v>
      </c>
      <c r="B1558" s="26" t="s">
        <v>5142</v>
      </c>
      <c r="C1558" s="26" t="s">
        <v>98</v>
      </c>
      <c r="D1558" s="26" t="s">
        <v>99</v>
      </c>
      <c r="E1558" s="26" t="s">
        <v>129</v>
      </c>
      <c r="F1558" s="47" t="s">
        <v>18</v>
      </c>
      <c r="G1558" s="31" t="s">
        <v>61</v>
      </c>
      <c r="H1558" s="32"/>
      <c r="I1558" s="32" t="s">
        <v>10</v>
      </c>
    </row>
    <row r="1559" spans="1:9" ht="16.5" customHeight="1" x14ac:dyDescent="0.2">
      <c r="A1559" s="26" t="s">
        <v>5067</v>
      </c>
      <c r="B1559" s="26" t="s">
        <v>5140</v>
      </c>
      <c r="C1559" s="26" t="s">
        <v>98</v>
      </c>
      <c r="D1559" s="26" t="s">
        <v>99</v>
      </c>
      <c r="E1559" s="26" t="s">
        <v>129</v>
      </c>
      <c r="F1559" s="47" t="s">
        <v>18</v>
      </c>
      <c r="G1559" s="31" t="s">
        <v>61</v>
      </c>
      <c r="H1559" s="32"/>
      <c r="I1559" s="32" t="s">
        <v>10</v>
      </c>
    </row>
    <row r="1560" spans="1:9" ht="16.5" customHeight="1" x14ac:dyDescent="0.2">
      <c r="A1560" s="35" t="s">
        <v>5069</v>
      </c>
      <c r="B1560" s="35" t="s">
        <v>5070</v>
      </c>
      <c r="C1560" s="26" t="s">
        <v>98</v>
      </c>
      <c r="D1560" s="26" t="s">
        <v>113</v>
      </c>
      <c r="E1560" s="26" t="s">
        <v>126</v>
      </c>
      <c r="F1560" s="31" t="s">
        <v>18</v>
      </c>
      <c r="G1560" s="31" t="s">
        <v>12</v>
      </c>
      <c r="H1560" s="32"/>
      <c r="I1560" s="32" t="s">
        <v>10</v>
      </c>
    </row>
    <row r="1561" spans="1:9" ht="16.5" customHeight="1" x14ac:dyDescent="0.2">
      <c r="A1561" s="35" t="s">
        <v>5071</v>
      </c>
      <c r="B1561" s="35" t="s">
        <v>5169</v>
      </c>
      <c r="C1561" s="35" t="s">
        <v>7</v>
      </c>
      <c r="D1561" s="35" t="s">
        <v>30</v>
      </c>
      <c r="E1561" s="35" t="s">
        <v>129</v>
      </c>
      <c r="F1561" s="52" t="s">
        <v>18</v>
      </c>
      <c r="G1561" s="30" t="s">
        <v>72</v>
      </c>
      <c r="H1561" s="30" t="s">
        <v>4281</v>
      </c>
      <c r="I1561" s="32" t="s">
        <v>10</v>
      </c>
    </row>
    <row r="1562" spans="1:9" ht="16.5" customHeight="1" x14ac:dyDescent="0.2">
      <c r="A1562" s="35" t="s">
        <v>5073</v>
      </c>
      <c r="B1562" s="35" t="s">
        <v>5164</v>
      </c>
      <c r="C1562" s="35" t="s">
        <v>7</v>
      </c>
      <c r="D1562" s="35" t="s">
        <v>30</v>
      </c>
      <c r="E1562" s="35" t="s">
        <v>129</v>
      </c>
      <c r="F1562" s="52" t="s">
        <v>18</v>
      </c>
      <c r="G1562" s="30" t="s">
        <v>72</v>
      </c>
      <c r="H1562" s="30" t="s">
        <v>4281</v>
      </c>
      <c r="I1562" s="32" t="s">
        <v>10</v>
      </c>
    </row>
    <row r="1563" spans="1:9" ht="16.5" customHeight="1" x14ac:dyDescent="0.2">
      <c r="A1563" s="35" t="s">
        <v>5075</v>
      </c>
      <c r="B1563" s="35" t="s">
        <v>5161</v>
      </c>
      <c r="C1563" s="35" t="s">
        <v>7</v>
      </c>
      <c r="D1563" s="35" t="s">
        <v>30</v>
      </c>
      <c r="E1563" s="35" t="s">
        <v>129</v>
      </c>
      <c r="F1563" s="52" t="s">
        <v>18</v>
      </c>
      <c r="G1563" s="30" t="s">
        <v>72</v>
      </c>
      <c r="H1563" s="52" t="s">
        <v>5077</v>
      </c>
      <c r="I1563" s="32" t="s">
        <v>10</v>
      </c>
    </row>
    <row r="1564" spans="1:9" ht="16.5" customHeight="1" x14ac:dyDescent="0.2">
      <c r="A1564" s="26" t="s">
        <v>5078</v>
      </c>
      <c r="B1564" s="26" t="s">
        <v>5079</v>
      </c>
      <c r="C1564" s="26" t="s">
        <v>98</v>
      </c>
      <c r="D1564" s="26" t="s">
        <v>105</v>
      </c>
      <c r="E1564" s="26" t="s">
        <v>83</v>
      </c>
      <c r="F1564" s="31" t="s">
        <v>25</v>
      </c>
      <c r="G1564" s="31" t="s">
        <v>61</v>
      </c>
      <c r="H1564" s="32"/>
      <c r="I1564" s="32" t="s">
        <v>10</v>
      </c>
    </row>
    <row r="1565" spans="1:9" ht="16.5" customHeight="1" x14ac:dyDescent="0.2">
      <c r="A1565" s="26" t="s">
        <v>5080</v>
      </c>
      <c r="B1565" s="26" t="s">
        <v>5081</v>
      </c>
      <c r="C1565" s="66" t="s">
        <v>98</v>
      </c>
      <c r="D1565" s="66" t="s">
        <v>110</v>
      </c>
      <c r="E1565" s="66" t="s">
        <v>106</v>
      </c>
      <c r="F1565" s="31" t="s">
        <v>18</v>
      </c>
      <c r="G1565" s="67" t="s">
        <v>26</v>
      </c>
      <c r="H1565" s="32" t="s">
        <v>10</v>
      </c>
      <c r="I1565" s="32" t="s">
        <v>10</v>
      </c>
    </row>
    <row r="1566" spans="1:9" ht="16.5" customHeight="1" x14ac:dyDescent="0.2">
      <c r="A1566" s="64" t="s">
        <v>5082</v>
      </c>
      <c r="B1566" s="86" t="s">
        <v>5357</v>
      </c>
      <c r="C1566" s="66" t="s">
        <v>37</v>
      </c>
      <c r="D1566" s="66" t="s">
        <v>52</v>
      </c>
      <c r="E1566" s="26" t="s">
        <v>53</v>
      </c>
      <c r="F1566" s="31" t="s">
        <v>32</v>
      </c>
      <c r="G1566" s="66" t="s">
        <v>41</v>
      </c>
      <c r="H1566" s="32"/>
      <c r="I1566" s="32" t="s">
        <v>47</v>
      </c>
    </row>
    <row r="1567" spans="1:9" ht="16.5" customHeight="1" x14ac:dyDescent="0.2">
      <c r="A1567" s="35" t="s">
        <v>5084</v>
      </c>
      <c r="B1567" s="35" t="s">
        <v>5085</v>
      </c>
      <c r="C1567" s="35" t="s">
        <v>7</v>
      </c>
      <c r="D1567" s="35" t="s">
        <v>8</v>
      </c>
      <c r="E1567" s="35" t="s">
        <v>108</v>
      </c>
      <c r="F1567" s="52" t="s">
        <v>32</v>
      </c>
      <c r="G1567" s="30" t="s">
        <v>72</v>
      </c>
      <c r="H1567" s="55"/>
      <c r="I1567" s="32" t="s">
        <v>10</v>
      </c>
    </row>
    <row r="1568" spans="1:9" ht="16.5" customHeight="1" x14ac:dyDescent="0.2">
      <c r="A1568" s="26" t="s">
        <v>5086</v>
      </c>
      <c r="B1568" s="26" t="s">
        <v>5087</v>
      </c>
      <c r="C1568" s="26" t="s">
        <v>98</v>
      </c>
      <c r="D1568" s="26" t="s">
        <v>107</v>
      </c>
      <c r="E1568" s="35" t="s">
        <v>87</v>
      </c>
      <c r="F1568" s="31" t="s">
        <v>18</v>
      </c>
      <c r="G1568" s="27" t="s">
        <v>41</v>
      </c>
      <c r="H1568" s="27"/>
      <c r="I1568" s="32" t="s">
        <v>10</v>
      </c>
    </row>
    <row r="1569" spans="1:9" ht="16.5" customHeight="1" x14ac:dyDescent="0.2">
      <c r="A1569" s="26" t="s">
        <v>5088</v>
      </c>
      <c r="B1569" s="26" t="s">
        <v>5089</v>
      </c>
      <c r="C1569" s="66" t="s">
        <v>98</v>
      </c>
      <c r="D1569" s="66" t="s">
        <v>110</v>
      </c>
      <c r="E1569" s="66" t="s">
        <v>129</v>
      </c>
      <c r="F1569" s="31" t="s">
        <v>18</v>
      </c>
      <c r="G1569" s="67" t="s">
        <v>61</v>
      </c>
      <c r="H1569" s="31" t="s">
        <v>10</v>
      </c>
      <c r="I1569" s="32" t="s">
        <v>10</v>
      </c>
    </row>
    <row r="1570" spans="1:9" ht="16.5" customHeight="1" x14ac:dyDescent="0.2">
      <c r="A1570" s="35" t="s">
        <v>5090</v>
      </c>
      <c r="B1570" s="35" t="s">
        <v>5091</v>
      </c>
      <c r="C1570" s="66" t="s">
        <v>98</v>
      </c>
      <c r="D1570" s="66" t="s">
        <v>110</v>
      </c>
      <c r="E1570" s="66" t="s">
        <v>129</v>
      </c>
      <c r="F1570" s="31" t="s">
        <v>32</v>
      </c>
      <c r="G1570" s="35" t="s">
        <v>72</v>
      </c>
      <c r="H1570" s="52"/>
      <c r="I1570" s="32" t="s">
        <v>10</v>
      </c>
    </row>
    <row r="1571" spans="1:9" ht="16.5" customHeight="1" x14ac:dyDescent="0.2">
      <c r="A1571" s="35" t="s">
        <v>5090</v>
      </c>
      <c r="B1571" s="35" t="s">
        <v>5091</v>
      </c>
      <c r="C1571" s="66" t="s">
        <v>98</v>
      </c>
      <c r="D1571" s="66" t="s">
        <v>110</v>
      </c>
      <c r="E1571" s="66" t="s">
        <v>129</v>
      </c>
      <c r="F1571" s="31" t="s">
        <v>32</v>
      </c>
      <c r="G1571" s="35" t="s">
        <v>72</v>
      </c>
      <c r="H1571" s="52"/>
      <c r="I1571" s="32" t="s">
        <v>10</v>
      </c>
    </row>
    <row r="1572" spans="1:9" ht="16.5" customHeight="1" x14ac:dyDescent="0.2">
      <c r="A1572" s="35" t="s">
        <v>5090</v>
      </c>
      <c r="B1572" s="35" t="s">
        <v>5091</v>
      </c>
      <c r="C1572" s="66" t="s">
        <v>98</v>
      </c>
      <c r="D1572" s="66" t="s">
        <v>110</v>
      </c>
      <c r="E1572" s="66" t="s">
        <v>129</v>
      </c>
      <c r="F1572" s="31" t="s">
        <v>32</v>
      </c>
      <c r="G1572" s="35" t="s">
        <v>72</v>
      </c>
      <c r="H1572" s="52"/>
      <c r="I1572" s="32" t="s">
        <v>10</v>
      </c>
    </row>
    <row r="1573" spans="1:9" ht="16.5" customHeight="1" x14ac:dyDescent="0.2">
      <c r="A1573" s="35" t="s">
        <v>5090</v>
      </c>
      <c r="B1573" s="35" t="s">
        <v>5091</v>
      </c>
      <c r="C1573" s="66" t="s">
        <v>98</v>
      </c>
      <c r="D1573" s="66" t="s">
        <v>110</v>
      </c>
      <c r="E1573" s="66" t="s">
        <v>129</v>
      </c>
      <c r="F1573" s="31" t="s">
        <v>32</v>
      </c>
      <c r="G1573" s="35" t="s">
        <v>72</v>
      </c>
      <c r="H1573" s="52"/>
      <c r="I1573" s="32" t="s">
        <v>10</v>
      </c>
    </row>
    <row r="1574" spans="1:9" ht="16.5" customHeight="1" x14ac:dyDescent="0.2">
      <c r="A1574" s="35" t="s">
        <v>5090</v>
      </c>
      <c r="B1574" s="35" t="s">
        <v>5091</v>
      </c>
      <c r="C1574" s="66" t="s">
        <v>98</v>
      </c>
      <c r="D1574" s="26" t="s">
        <v>113</v>
      </c>
      <c r="E1574" s="66" t="s">
        <v>129</v>
      </c>
      <c r="F1574" s="31" t="s">
        <v>32</v>
      </c>
      <c r="G1574" s="35" t="s">
        <v>72</v>
      </c>
      <c r="H1574" s="52"/>
      <c r="I1574" s="32" t="s">
        <v>10</v>
      </c>
    </row>
    <row r="1575" spans="1:9" ht="16.5" customHeight="1" x14ac:dyDescent="0.2">
      <c r="A1575" s="35" t="s">
        <v>5090</v>
      </c>
      <c r="B1575" s="35" t="s">
        <v>5091</v>
      </c>
      <c r="C1575" s="66" t="s">
        <v>98</v>
      </c>
      <c r="D1575" s="26" t="s">
        <v>113</v>
      </c>
      <c r="E1575" s="66" t="s">
        <v>129</v>
      </c>
      <c r="F1575" s="31" t="s">
        <v>32</v>
      </c>
      <c r="G1575" s="35" t="s">
        <v>72</v>
      </c>
      <c r="H1575" s="52"/>
      <c r="I1575" s="32" t="s">
        <v>10</v>
      </c>
    </row>
    <row r="1576" spans="1:9" ht="16.5" customHeight="1" x14ac:dyDescent="0.2">
      <c r="A1576" s="35" t="s">
        <v>5090</v>
      </c>
      <c r="B1576" s="35" t="s">
        <v>5091</v>
      </c>
      <c r="C1576" s="66" t="s">
        <v>98</v>
      </c>
      <c r="D1576" s="66" t="s">
        <v>110</v>
      </c>
      <c r="E1576" s="66" t="s">
        <v>129</v>
      </c>
      <c r="F1576" s="31" t="s">
        <v>32</v>
      </c>
      <c r="G1576" s="35" t="s">
        <v>72</v>
      </c>
      <c r="H1576" s="52"/>
      <c r="I1576" s="32" t="s">
        <v>10</v>
      </c>
    </row>
    <row r="1577" spans="1:9" ht="16.5" customHeight="1" x14ac:dyDescent="0.2">
      <c r="A1577" s="35" t="s">
        <v>5092</v>
      </c>
      <c r="B1577" s="35" t="s">
        <v>5093</v>
      </c>
      <c r="C1577" s="26" t="s">
        <v>98</v>
      </c>
      <c r="D1577" s="26" t="s">
        <v>113</v>
      </c>
      <c r="E1577" s="26" t="s">
        <v>87</v>
      </c>
      <c r="F1577" s="31" t="s">
        <v>18</v>
      </c>
      <c r="G1577" s="31" t="s">
        <v>41</v>
      </c>
      <c r="H1577" s="32"/>
      <c r="I1577" s="32" t="s">
        <v>10</v>
      </c>
    </row>
    <row r="1578" spans="1:9" ht="16.5" customHeight="1" x14ac:dyDescent="0.2">
      <c r="A1578" s="26" t="s">
        <v>5094</v>
      </c>
      <c r="B1578" s="26" t="s">
        <v>5095</v>
      </c>
      <c r="C1578" s="26" t="s">
        <v>98</v>
      </c>
      <c r="D1578" s="26" t="s">
        <v>105</v>
      </c>
      <c r="E1578" s="26" t="s">
        <v>83</v>
      </c>
      <c r="F1578" s="31" t="s">
        <v>25</v>
      </c>
      <c r="G1578" s="31" t="s">
        <v>41</v>
      </c>
      <c r="H1578" s="32"/>
      <c r="I1578" s="32" t="s">
        <v>10</v>
      </c>
    </row>
    <row r="1579" spans="1:9" ht="16.5" customHeight="1" x14ac:dyDescent="0.2">
      <c r="A1579" s="35" t="s">
        <v>5096</v>
      </c>
      <c r="B1579" s="26" t="s">
        <v>5495</v>
      </c>
      <c r="C1579" s="66" t="s">
        <v>64</v>
      </c>
      <c r="D1579" s="26" t="s">
        <v>82</v>
      </c>
      <c r="E1579" s="35" t="s">
        <v>9</v>
      </c>
      <c r="F1579" s="31" t="s">
        <v>18</v>
      </c>
      <c r="G1579" s="31" t="s">
        <v>3280</v>
      </c>
      <c r="H1579" s="32"/>
      <c r="I1579" s="32" t="s">
        <v>10</v>
      </c>
    </row>
    <row r="1580" spans="1:9" ht="16.5" customHeight="1" x14ac:dyDescent="0.2">
      <c r="A1580" s="26" t="s">
        <v>5098</v>
      </c>
      <c r="B1580" s="26" t="s">
        <v>5099</v>
      </c>
      <c r="C1580" s="66" t="s">
        <v>98</v>
      </c>
      <c r="D1580" s="66" t="s">
        <v>110</v>
      </c>
      <c r="E1580" s="66" t="s">
        <v>106</v>
      </c>
      <c r="F1580" s="31" t="s">
        <v>18</v>
      </c>
      <c r="G1580" s="67" t="s">
        <v>26</v>
      </c>
      <c r="H1580" s="32" t="s">
        <v>10</v>
      </c>
      <c r="I1580" s="32" t="s">
        <v>10</v>
      </c>
    </row>
    <row r="1581" spans="1:9" ht="16.5" customHeight="1" x14ac:dyDescent="0.2">
      <c r="A1581" s="35" t="s">
        <v>5100</v>
      </c>
      <c r="B1581" s="35" t="s">
        <v>5101</v>
      </c>
      <c r="C1581" s="26" t="s">
        <v>98</v>
      </c>
      <c r="D1581" s="26" t="s">
        <v>113</v>
      </c>
      <c r="E1581" s="26" t="s">
        <v>126</v>
      </c>
      <c r="F1581" s="31" t="s">
        <v>18</v>
      </c>
      <c r="G1581" s="31" t="s">
        <v>12</v>
      </c>
      <c r="H1581" s="32"/>
      <c r="I1581" s="32" t="s">
        <v>10</v>
      </c>
    </row>
    <row r="1582" spans="1:9" ht="16.5" customHeight="1" x14ac:dyDescent="0.2">
      <c r="A1582" s="26"/>
      <c r="B1582" s="50" t="s">
        <v>5102</v>
      </c>
      <c r="C1582" s="26" t="s">
        <v>98</v>
      </c>
      <c r="D1582" s="26" t="s">
        <v>99</v>
      </c>
      <c r="E1582" s="26" t="s">
        <v>108</v>
      </c>
      <c r="F1582" s="47" t="s">
        <v>25</v>
      </c>
      <c r="G1582" s="47" t="s">
        <v>72</v>
      </c>
      <c r="H1582" s="32"/>
      <c r="I1582" s="32" t="s">
        <v>10</v>
      </c>
    </row>
  </sheetData>
  <customSheetViews>
    <customSheetView guid="{6BB6A7F4-FCBE-4155-BBBA-5BE2FF4775AC}" filter="1" showAutoFilter="1">
      <pageMargins left="0.7" right="0.7" top="0.75" bottom="0.75" header="0.3" footer="0.3"/>
      <autoFilter ref="A1:I1582" xr:uid="{EB0B0E6A-D615-4ABD-903C-8D6276712B39}"/>
    </customSheetView>
    <customSheetView guid="{7339EE9D-CF01-4341-9114-860E97ED93A1}" filter="1" showAutoFilter="1">
      <pageMargins left="0.7" right="0.7" top="0.75" bottom="0.75" header="0.3" footer="0.3"/>
      <autoFilter ref="A1:I1582" xr:uid="{C0B328CA-1A62-4F64-8EAE-D4A1EFDDE27A}"/>
    </customSheetView>
    <customSheetView guid="{35F9479B-9C3E-4C26-A817-62B1C9927932}" filter="1" showAutoFilter="1">
      <pageMargins left="0.7" right="0.7" top="0.75" bottom="0.75" header="0.3" footer="0.3"/>
      <autoFilter ref="A1:I1582" xr:uid="{47DDA324-E6E0-4D07-83C7-351E263B8557}"/>
    </customSheetView>
    <customSheetView guid="{648D94F2-2741-4756-B129-0144F3ABB902}" filter="1" showAutoFilter="1">
      <pageMargins left="0.7" right="0.7" top="0.75" bottom="0.75" header="0.3" footer="0.3"/>
      <autoFilter ref="A1:I1582" xr:uid="{431561AB-D912-4953-8026-58DCF7ED6955}">
        <filterColumn colId="3">
          <filters>
            <filter val="Móvil"/>
          </filters>
        </filterColumn>
        <filterColumn colId="4">
          <filters>
            <filter val="Accenture"/>
            <filter val="ADENZA"/>
            <filter val="BBVA Fiduciaria"/>
            <filter val="BBVA Seguros"/>
            <filter val="BLUETAB"/>
            <filter val="CAPGEMINI"/>
            <filter val="Choucair"/>
            <filter val="DIMENSION"/>
            <filter val="GGI / CMC"/>
            <filter val="Globant"/>
            <filter val="Indra"/>
            <filter val="Inetum"/>
            <filter val="JARZSOFT"/>
            <filter val="KRYPTO"/>
            <filter val="Meraki"/>
            <filter val="MS"/>
            <filter val="Neoris"/>
            <filter val="Novatec"/>
            <filter val="SII"/>
            <filter val="Tecnoevolución"/>
            <filter val="TRYCORE"/>
            <filter val="VASS"/>
          </filters>
        </filterColumn>
      </autoFilter>
    </customSheetView>
    <customSheetView guid="{3F43578F-A90D-41AC-9E36-71FC501A29A2}" filter="1" showAutoFilter="1">
      <pageMargins left="0.7" right="0.7" top="0.75" bottom="0.75" header="0.3" footer="0.3"/>
      <autoFilter ref="A1:I1582" xr:uid="{B1E1A096-770C-439F-9D24-81F725F2A04D}"/>
    </customSheetView>
    <customSheetView guid="{5A6E49A5-A4D2-41C3-824E-130AB7480E47}" filter="1" showAutoFilter="1">
      <pageMargins left="0.7" right="0.7" top="0.75" bottom="0.75" header="0.3" footer="0.3"/>
      <autoFilter ref="A1:I1582" xr:uid="{C06DC1B6-2B02-4F92-B8AE-01D88BE8AE38}"/>
    </customSheetView>
    <customSheetView guid="{4C9FF4DE-D27F-4717-B68E-A26853E433FC}" filter="1" showAutoFilter="1">
      <pageMargins left="0.7" right="0.7" top="0.75" bottom="0.75" header="0.3" footer="0.3"/>
      <autoFilter ref="A1:I1582" xr:uid="{9DA353E9-16B1-4B8F-A887-BC129D8BDED3}">
        <filterColumn colId="2">
          <filters>
            <filter val="CORE"/>
          </filters>
        </filterColumn>
      </autoFilter>
    </customSheetView>
    <customSheetView guid="{6C18F087-7AEA-487E-85D4-F721AC565684}" filter="1" showAutoFilter="1">
      <pageMargins left="0.7" right="0.7" top="0.75" bottom="0.75" header="0.3" footer="0.3"/>
      <autoFilter ref="A1:I1582" xr:uid="{4EA35A92-196D-4BB9-9026-4437DB230F59}"/>
    </customSheetView>
    <customSheetView guid="{8B4FAE2E-1B10-4474-B40C-4D49F5717B5D}" filter="1" showAutoFilter="1">
      <pageMargins left="0.7" right="0.7" top="0.75" bottom="0.75" header="0.3" footer="0.3"/>
      <autoFilter ref="A1:I1582" xr:uid="{C0AEE68D-A061-433A-841E-38E6D2777A0B}">
        <filterColumn colId="2">
          <filters>
            <filter val="RETAIL"/>
          </filters>
        </filterColumn>
        <filterColumn colId="5">
          <filters>
            <filter val="Tech Manager/Líder"/>
          </filters>
        </filterColumn>
      </autoFilter>
    </customSheetView>
    <customSheetView guid="{FAF69A0D-BAE6-4878-AEC1-B808A8F8FA5D}" filter="1" showAutoFilter="1">
      <pageMargins left="0.7" right="0.7" top="0.75" bottom="0.75" header="0.3" footer="0.3"/>
      <autoFilter ref="A1:I1582" xr:uid="{A0EC8A07-1410-4A2E-9EA2-AF417241BF78}">
        <filterColumn colId="3">
          <filters>
            <filter val="Soluciones financieras (Factoring)"/>
            <filter val="Soluciones financieras (Leasing)"/>
          </filters>
        </filterColumn>
      </autoFilter>
    </customSheetView>
  </customSheetViews>
  <mergeCells count="2">
    <mergeCell ref="F1066:G1066"/>
    <mergeCell ref="F1067:G1067"/>
  </mergeCells>
  <conditionalFormatting sqref="A992:B992 F992:H992">
    <cfRule type="notContainsBlanks" dxfId="0" priority="1">
      <formula>LEN(TRIM(A992))&gt;0</formula>
    </cfRule>
  </conditionalFormatting>
  <dataValidations count="9">
    <dataValidation type="list" allowBlank="1" showErrorMessage="1" sqref="F296:F298 F56 F67:F68 F71 F133:F138 C146:F147 F169:F170 F172 F181:F182 F219:F224 F238:F240 F273:F275 F285:F286 F303:F304 F308 F326 F351:F357 F413 F418:F419 F429 F431 F434 F436:F440 F442:F443 F479 F493 F596:F599 F603 F625:F626 F637:F640 F702:F720 F747 F774 F781:F783 F795 F797 F803 F806 F813 F816:F817 F849 F911 F914 F917:F919 F975 F979 F987 F992 F1002 F1008 F1029 F1031 F1042 F1137:F1141 F1226:F1227 F1250:F1251 F1279:F1280 F1300:F1301 F1316 F1332 F1342:F1343 F1357:F1360 F1363 F1377 F1405 F1407:F1408 F1472 F1475 F1482 F1488 F1520 F1522 F1535 F1552 F1554 E863 E872:E873 E1461 E1518 E1568 C8:F9 C53:E53 C83:F86 C104:E104 C199:F203 C235:F235 C244:F250 C259:F260 C295:E298 C301:F302 C314:F315 C347:F348 C402:F403 C422:F424 C441:F441 C447:F449 C481:F481 C490:F492 C561:F561 C564:F564 C673:F673 C750:F750 C757:E758 C767:F767 C812:F812 C841:E843 C845:E845 C976:E976 C980:E982 C1028:E1028 C1058:E1058 C1174:F1195 C1207:F1208 C1214:F1215 C1259:F1272 C1292:F1295 C1304:F1304 C1308:F1313 C1319:F1321 C1369:F1369 C1372:F1372 C1382:F1384 C1393:F1395 C1447:E1447 C1527:F1528 C1536:F1537" xr:uid="{00000000-0002-0000-0600-000000000000}">
      <formula1>#REF!</formula1>
    </dataValidation>
    <dataValidation type="list" allowBlank="1" showErrorMessage="1" sqref="G157:G184 G1518:G1582 G1494:G1515 G1481:G1490 G1470:G1478 G1467 G1455:G1462 G1436:G1447 G1350:G1432 G1112:G1347 G1068:G1108 F1066:F1067 G794:G1065 G742:G791 G536:G737 G398:G533 G374:G394 G295:G371 G190:G291" xr:uid="{00000000-0002-0000-0600-000001000000}">
      <formula1>$G$2:$G$16</formula1>
    </dataValidation>
    <dataValidation type="list" allowBlank="1" showErrorMessage="1" sqref="E1579 E80:E81 E99:E103 E153 E155:E156 E236:E237 E425:E426 E435 E650:E651 E653:E654 E674:E675 E678 E734:E735 E748:E749 E755 E765 E805 E818 E831 E850:E851 E862 E889 E892:E893 E921 E924 E930 E936:E937 E958 E986 E998 E1016 E1034 E1044:E1045 E1049 E1052:E1053 E1055:E1056 E1403 E1414 E1416 E1424 E1428 E1500 E1525" xr:uid="{00000000-0002-0000-0600-000014000000}">
      <formula1>$D$2:$D$31</formula1>
    </dataValidation>
    <dataValidation type="list" allowBlank="1" showErrorMessage="1" sqref="F1580:F1582 F10:F44 F52:F53 F55 F57:F66 F69:F70 F72:F79 F82 F87:F98 F104:F121 F128:F132 F141:F145 F148:F152 F157:F168 F171 F173:F180 F183:F184 F190:F198 F204:F218 F225:F234 F241:F243 F251:F258 F261:F265 F269:F272 F276:F284 F287:F291 F295 F299:F300 F305:F307 F309:F313 F316:F317 F319:F325 F328:F336 F339:F346 F349:F350 F358:F367 F374:F384 F386 F391:F394 F398:F401 F404:F412 F414 F420:F421 F427:F428 F430 F432:F433 F435 F444:F446 F450:F454 F457:F461 F463:F471 F474:F476 F478 F480 F486:F489 F494:F533 F536:F560 F562:F563 F565:F570 F572:F595 F600:F602 F604:F624 F627:F636 F641:F649 F652 F655:F672 F676:F701 F721:F733 F736:F737 F742:F746 F751:F753 F756:F764 F766 F768:F773 F775:F780 F784 F786:F791 F794 F796 F799:F802 F804 F807:F811 F814:F815 F819:F827 F829:F830 F832 F834:F837 F839:F848 F852:F861 F863:F883 F885:F888 F890:F891 F893:F910 F912:F913 F915:F916 F925:F929 F931:F935 F938:F957 F959:F974 F976:F978 F980:F986 F988:F991 F993:F997 F999:F1001 F1003:F1004 F1007 F1009:F1015 F1017:F1028 F1030 F1033 F1035:F1041 F1043 F1046:F1048 F1050:F1051 F1054 F1057:F1065 F1068:F1136 F1142:F1151 F1154:F1173 F1203:F1205 F1209:F1213 F1216:F1225 F1228:F1249 F1252:F1258 F1273:F1275 F1278 F1281:F1291 F1302:F1303 F1305:F1307 F1314:F1315 F1317:F1318 F1322:F1328 F1333:F1341 F1344:F1356 F1361:F1362 F1364:F1367 F1371 F1373:F1376 F1378:F1381 F1385:F1386 F1392 F1396:F1402 F1404 F1406 F1409:F1413 F1415 F1418:F1423 F1425:F1427 F1429:F1432 F1436 F1439:F1447 F1455:F1462 F1467 F1470:F1471 F1473:F1474 F1476:F1478 F1481 F1483:F1484 F1486:F1487 F1489:F1490 F1494:F1501 F1505:F1515 F1518:F1519 F1521 F1523:F1524 F1526 F1529:F1531 F1533:F1534 F1538:F1551 F1553 F1555:F1578" xr:uid="{00000000-0002-0000-0600-00003F000000}">
      <formula1>$F$2:$F$5</formula1>
    </dataValidation>
    <dataValidation type="list" allowBlank="1" showErrorMessage="1" sqref="E1506:E1509 E368:E371 E387:E390 E754 E828 E833 E959:E962 E1329:E1331 E1437:E1438 E1502:E1504" xr:uid="{00000000-0002-0000-0600-0000EA000000}">
      <formula1>$D$2:$D$32</formula1>
    </dataValidation>
    <dataValidation type="list" allowBlank="1" showErrorMessage="1" sqref="E1580:E1582 E5:E7 E10:E52 E54:E79 E82 E87:E98 E105:E121 E128:E145 E148:E152 E154 E157:E198 E204:E234 E238:E243 E251:E258 E261:E294 E299:E300 E303:E313 E316:E346 E349:E367 E372:E386 E391:E401 E404:E421 E427:E434 E436:E440 E442:E446 E450:E480 E482:E489 E493:E560 E562:E563 E565:E649 E652 E655:E672 E676:E677 E679:E733 E736:E747 E751:E753 E756 E759:E764 E766 E768:E804 E806:E811 E813:E817 E819:E827 E829:E830 E832 E834:E840 E844 E846:E849 E852:E861 E864:E871 E874:E888 E890:E891 E894:E920 E922:E923 E925:E929 E931:E935 E938:E957 E963:E975 E977:E979 E983:E985 E987:E997 E999:E1015 E1017:E1027 E1029:E1033 E1035:E1043 E1046:E1048 E1050:E1051 E1054 E1057 E1059:E1173 E1196:E1206 E1209:E1213 E1216:E1258 E1273:E1291 E1296:E1303 E1305:E1307 E1314:E1318 E1322:E1328 E1332:E1368 E1370:E1371 E1373:E1381 E1385:E1392 E1396:E1402 E1404:E1413 E1415 E1417:E1423 E1425:E1427 E1429:E1436 E1439:E1446 E1448:E1460 E1462:E1499 E1501 E1505 E1510:E1517 E1519:E1524 E1526 E1529:E1535 E1538:E1567 E1569:E1578" xr:uid="{00000000-0002-0000-0600-0000F4000000}">
      <formula1>$D$2:$D$34</formula1>
    </dataValidation>
    <dataValidation type="list" allowBlank="1" showErrorMessage="1" sqref="C2:C7 C1538:C1582 C1529:C1535 C1448:C1526 C1396:C1446 C1385:C1392 C1373:C1381 C1370:C1371 C1322:C1368 C1314:C1318 C1305:C1307 C1296:C1303 C1273:C1291 C1216:C1258 C1209:C1213 C1196:C1206 C1059:C1173 C1029:C1057 C983:C1027 C977:C979 C846:C975 C844 C813:C840 C768:C811 C759:C766 C751:C756 C674:C749 C565:C672 C493:C560 C482:C489 C450:C480 C442:C446 C425:C440 C404:C421 C349:C401 C316:C346 C303:C313 C299:C300 C261:C294 C251:C258 C236:C243 C204:C234 C148:C198 C105:C145 C87:C103 C54:C82 C10:C52" xr:uid="{00000000-0002-0000-0600-000057010000}">
      <formula1>$B$2:$B$32</formula1>
    </dataValidation>
    <dataValidation type="list" allowBlank="1" showErrorMessage="1" sqref="D5:D7 D1569:D1582 D1557:D1567 D1543:D1555 D1538:D1541 D1533:D1535 D1529:D1530 D1519:D1526 D1517 D1510:D1515 D1501 D1494:D1499 D1486:D1490 D1481:D1484 D1475:D1478 D1470:D1473 D1467 D1462 D1455:D1460 D1439:D1446 D1436 D1418:D1432 D1416 D1396:D1414 D1392 D1385:D1386 D1373:D1381 D1371 D1332:D1367 D1322:D1328 D1314:D1318 D1305:D1307 D1303 D1300:D1301 D1278:D1291 D1273:D1275 D1216:D1258 D1209:D1213 D1203:D1205 D1154:D1173 D1059:D1151 D1057 D1052:D1055 D1048:D1049 D1040:D1046 D1037:D1038 D1029:D1035 D1025:D1027 D1007:D1023 D983:D1004 D977:D979 D963:D975 D929:D958 D914:D926 D904:D912 D894:D902 D887:D892 D874:D883 D865:D871 D846:D862 D844 D839:D840 D834:D837 D829:D832 D816:D827 D813:D814 D799:D811 D794:D797 D786:D790 D768:D784 D759:D766 D755:D756 D751:D753 D742:D749 D679:D737 D676:D677 D644:D672 D595:D642 D572:D592 D565:D570 D536:D560 D493:D533 D488:D489 D478:D480 D474:D476 D471 D463:D467 D457:D461 D450:D454 D442:D446 D436:D440 D427:D434 D418:D421 D405:D414 D398:D401 D391:D394 D386 D374:D384 D349:D367 D339:D346 D328:D336 D319:D326 D316:D317 D303:D313 D299:D300 D269:D291 D261:D265 D251:D258 D238:D243 D204:D234 D195:D198 D190:D191 D157:D184 D154 D148:D152 D141:D145 D128:D138 D105:D117 D87:D98 D82 D56:D79 D52 D10:D44" xr:uid="{00000000-0002-0000-0600-000086010000}">
      <formula1>$C$2:$C$32</formula1>
    </dataValidation>
    <dataValidation type="list" allowBlank="1" showErrorMessage="1" sqref="D45:D51 D1568 D1556 D1542 D1531:D1532 D1518 D1516 D1502:D1509 D1500 D1491:D1493 D1485 D1479:D1480 D1474 D1468:D1469 D1463:D1466 D1461 D1448:D1454 D1437:D1438 D1433:D1435 D1417 D1415 D1387:D1391 D1370 D1368 D1329:D1331 D1302 D1296:D1299 D1276:D1277 D1206 D1196:D1202 D1152:D1153 D1056 D1050:D1051 D1047 D1039 D1036 D1024 D1005:D1006 D959:D962 D927:D928 D913 D903 D893 D884:D886 D872:D873 D863:D864 D838 D833 D828 D815 D798 D791:D793 D785 D754 D738:D741 D678 D674:D675 D643 D593:D594 D571 D562:D563 D534:D535 D482:D487 D477 D472:D473 D468:D470 D462 D455:D456 D435 D425:D426 D415:D417 D404 D395:D397 D387:D390 D385 D368:D373 D337:D338 D327 D318 D292:D294 D266:D268 D236:D237 D192:D194 D185:D189 D155:D156 D153 D139:D140 D118:D127 D99:D103 D80:D81 D54:D55" xr:uid="{00000000-0002-0000-0600-000001020000}">
      <formula1>$C$2:$C$34</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showErrorMessage="1" xr:uid="{00000000-0002-0000-0600-00005C020000}">
          <x14:formula1>
            <xm:f>Parámetros!$G$2:$G$16</xm:f>
          </x14:formula1>
          <xm:sqref>G2:G152</xm:sqref>
        </x14:dataValidation>
        <x14:dataValidation type="list" allowBlank="1" showErrorMessage="1" xr:uid="{00000000-0002-0000-0600-00005D020000}">
          <x14:formula1>
            <xm:f>Parámetros!$D$2:$D$31</xm:f>
          </x14:formula1>
          <xm:sqref>E4</xm:sqref>
        </x14:dataValidation>
        <x14:dataValidation type="list" allowBlank="1" showErrorMessage="1" xr:uid="{00000000-0002-0000-0600-00005E020000}">
          <x14:formula1>
            <xm:f>Parámetros!$F$2:$F$5</xm:f>
          </x14:formula1>
          <xm:sqref>F2:F7</xm:sqref>
        </x14:dataValidation>
        <x14:dataValidation type="list" allowBlank="1" showErrorMessage="1" xr:uid="{00000000-0002-0000-0600-00005F020000}">
          <x14:formula1>
            <xm:f>Parámetros!$D$2:$D$32</xm:f>
          </x14:formula1>
          <xm:sqref>E122:E127</xm:sqref>
        </x14:dataValidation>
        <x14:dataValidation type="list" allowBlank="1" showErrorMessage="1" xr:uid="{00000000-0002-0000-0600-000060020000}">
          <x14:formula1>
            <xm:f>Parámetros!$D$2:$D$34</xm:f>
          </x14:formula1>
          <xm:sqref>E2:E3</xm:sqref>
        </x14:dataValidation>
        <x14:dataValidation type="list" allowBlank="1" showErrorMessage="1" xr:uid="{00000000-0002-0000-0600-000061020000}">
          <x14:formula1>
            <xm:f>Parámetros!$B$2:$B$32</xm:f>
          </x14:formula1>
          <xm:sqref>C562:C563</xm:sqref>
        </x14:dataValidation>
        <x14:dataValidation type="list" allowBlank="1" showErrorMessage="1" xr:uid="{00000000-0002-0000-0600-000062020000}">
          <x14:formula1>
            <xm:f>Parámetros!$C$2:$C$32</xm:f>
          </x14:formula1>
          <xm:sqref>D2:D3</xm:sqref>
        </x14:dataValidation>
        <x14:dataValidation type="list" allowBlank="1" showErrorMessage="1" xr:uid="{00000000-0002-0000-0600-000063020000}">
          <x14:formula1>
            <xm:f>Parámetros!$C$2:$C$34</xm:f>
          </x14:formula1>
          <xm:sqref>D4</xm:sqref>
        </x14:dataValidation>
        <x14:dataValidation type="list" allowBlank="1" showErrorMessage="1" xr:uid="{00000000-0002-0000-0600-000064020000}">
          <x14:formula1>
            <xm:f>Parámetros!#REF!</xm:f>
          </x14:formula1>
          <xm:sqref>F45:F51 F1579 F1532 F1525 F1516:F1517 F1502:F1504 F1491:F1493 F1485 F1479:F1480 F1468:F1469 F1463:F1466 F1448:F1454 F1437:F1438 F1433:F1435 F1428 F1424 F1416:F1417 F1414 F1403 F1387:F1391 F1370 F1368 F1329:F1331 F1296:F1299 F1276:F1277 F1206 F1196:F1202 F1152:F1153 F1055:F1056 F1052:F1053 F1049 F1044:F1045 F1034 F1032 F1016 F1005:F1006 F998 F958 F936:F937 F930 F920:F924 F892 F889 F884 F862 F850:F851 F838 F833 F831 F828 F818 F805 F798 F792:F793 F785 F765 F754:F755 F748:F749 F738:F741 F734:F735 F674:F675 F653:F654 F650:F651 F571 F534:F535 F482:F485 F477 F472:F473 F462 F455:F456 F425:F426 F415:F417 F395:F397 F387:F390 F385 F368:F373 F337:F338 F327 F318 F292:F294 F266:F268 F236:F237 F185:F189 F153:F156 F139:F140 F122:F127 F99:F103 F80:F81 F54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F14"/>
  <sheetViews>
    <sheetView showGridLines="0" workbookViewId="0"/>
  </sheetViews>
  <sheetFormatPr baseColWidth="10" defaultColWidth="12.5703125" defaultRowHeight="15.75" customHeight="1" x14ac:dyDescent="0.2"/>
  <sheetData>
    <row r="1" spans="1:6" ht="12.75" x14ac:dyDescent="0.2"/>
    <row r="2" spans="1:6" ht="12.75" x14ac:dyDescent="0.2"/>
    <row r="3" spans="1:6" ht="12.75" x14ac:dyDescent="0.2">
      <c r="A3" s="150"/>
      <c r="B3" s="148" t="s">
        <v>3275</v>
      </c>
      <c r="C3" s="162"/>
      <c r="D3" s="162"/>
      <c r="E3" s="162"/>
      <c r="F3" s="154"/>
    </row>
    <row r="4" spans="1:6" ht="12.75" x14ac:dyDescent="0.2">
      <c r="A4" s="148" t="s">
        <v>3276</v>
      </c>
      <c r="B4" s="150" t="s">
        <v>18</v>
      </c>
      <c r="C4" s="179" t="s">
        <v>32</v>
      </c>
      <c r="D4" s="179" t="s">
        <v>25</v>
      </c>
      <c r="E4" s="179" t="s">
        <v>11</v>
      </c>
      <c r="F4" s="151" t="s">
        <v>5930</v>
      </c>
    </row>
    <row r="5" spans="1:6" ht="12.75" x14ac:dyDescent="0.2">
      <c r="A5" s="150" t="s">
        <v>12</v>
      </c>
      <c r="B5" s="150"/>
      <c r="C5" s="162"/>
      <c r="D5" s="162"/>
      <c r="E5" s="162"/>
      <c r="F5" s="154"/>
    </row>
    <row r="6" spans="1:6" ht="12.75" x14ac:dyDescent="0.2">
      <c r="A6" s="160" t="s">
        <v>19</v>
      </c>
      <c r="B6" s="152"/>
      <c r="C6" s="139"/>
      <c r="D6" s="139"/>
      <c r="E6" s="139"/>
      <c r="F6" s="176"/>
    </row>
    <row r="7" spans="1:6" ht="12.75" x14ac:dyDescent="0.2">
      <c r="A7" s="160" t="s">
        <v>26</v>
      </c>
      <c r="B7" s="152"/>
      <c r="C7" s="139"/>
      <c r="D7" s="139"/>
      <c r="E7" s="139"/>
      <c r="F7" s="176"/>
    </row>
    <row r="8" spans="1:6" ht="12.75" x14ac:dyDescent="0.2">
      <c r="A8" s="160" t="s">
        <v>41</v>
      </c>
      <c r="B8" s="152"/>
      <c r="C8" s="139"/>
      <c r="D8" s="139"/>
      <c r="E8" s="139"/>
      <c r="F8" s="176"/>
    </row>
    <row r="9" spans="1:6" ht="12.75" x14ac:dyDescent="0.2">
      <c r="A9" s="160" t="s">
        <v>54</v>
      </c>
      <c r="B9" s="152"/>
      <c r="C9" s="139"/>
      <c r="D9" s="139"/>
      <c r="E9" s="139"/>
      <c r="F9" s="176"/>
    </row>
    <row r="10" spans="1:6" ht="12.75" x14ac:dyDescent="0.2">
      <c r="A10" s="160" t="s">
        <v>61</v>
      </c>
      <c r="B10" s="152"/>
      <c r="C10" s="139"/>
      <c r="D10" s="139"/>
      <c r="E10" s="139"/>
      <c r="F10" s="176"/>
    </row>
    <row r="11" spans="1:6" ht="12.75" x14ac:dyDescent="0.2">
      <c r="A11" s="160" t="s">
        <v>67</v>
      </c>
      <c r="B11" s="152"/>
      <c r="C11" s="139"/>
      <c r="D11" s="139"/>
      <c r="E11" s="139"/>
      <c r="F11" s="176"/>
    </row>
    <row r="12" spans="1:6" ht="15.75" customHeight="1" x14ac:dyDescent="0.2">
      <c r="A12" s="160" t="s">
        <v>72</v>
      </c>
      <c r="B12" s="152"/>
      <c r="C12" s="139"/>
      <c r="D12" s="139"/>
      <c r="E12" s="139"/>
      <c r="F12" s="176"/>
    </row>
    <row r="13" spans="1:6" ht="15.75" customHeight="1" x14ac:dyDescent="0.2">
      <c r="A13" s="160" t="s">
        <v>5944</v>
      </c>
      <c r="B13" s="152"/>
      <c r="C13" s="139"/>
      <c r="D13" s="139"/>
      <c r="E13" s="139"/>
      <c r="F13" s="176"/>
    </row>
    <row r="14" spans="1:6" ht="15.75" customHeight="1" x14ac:dyDescent="0.2">
      <c r="A14" s="155" t="s">
        <v>5930</v>
      </c>
      <c r="B14" s="165"/>
      <c r="C14" s="177"/>
      <c r="D14" s="177"/>
      <c r="E14" s="177"/>
      <c r="F14" s="17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G17"/>
  <sheetViews>
    <sheetView showGridLines="0" workbookViewId="0"/>
  </sheetViews>
  <sheetFormatPr baseColWidth="10" defaultColWidth="12.5703125" defaultRowHeight="15.75" customHeight="1" x14ac:dyDescent="0.2"/>
  <sheetData>
    <row r="1" spans="1:7" ht="12.75" x14ac:dyDescent="0.2">
      <c r="A1" s="158" t="s">
        <v>2</v>
      </c>
      <c r="B1" s="157" t="s">
        <v>129</v>
      </c>
    </row>
    <row r="2" spans="1:7" ht="12.75" x14ac:dyDescent="0.2"/>
    <row r="3" spans="1:7" ht="12.75" x14ac:dyDescent="0.2">
      <c r="A3" s="149" t="s">
        <v>1</v>
      </c>
      <c r="C3" s="105"/>
      <c r="D3" s="105"/>
      <c r="E3" s="105"/>
      <c r="F3" s="105"/>
      <c r="G3" s="105"/>
    </row>
    <row r="4" spans="1:7" ht="12.75" x14ac:dyDescent="0.2">
      <c r="A4" s="151" t="s">
        <v>119</v>
      </c>
      <c r="C4" s="105"/>
      <c r="D4" s="105"/>
      <c r="E4" s="105"/>
      <c r="F4" s="105"/>
      <c r="G4" s="105"/>
    </row>
    <row r="5" spans="1:7" ht="12.75" x14ac:dyDescent="0.2">
      <c r="A5" s="153" t="s">
        <v>78</v>
      </c>
      <c r="C5" s="105"/>
      <c r="D5" s="105"/>
      <c r="E5" s="105"/>
      <c r="F5" s="105"/>
      <c r="G5" s="105"/>
    </row>
    <row r="6" spans="1:7" ht="12.75" x14ac:dyDescent="0.2">
      <c r="A6" s="153" t="s">
        <v>110</v>
      </c>
      <c r="C6" s="105"/>
      <c r="D6" s="105"/>
      <c r="E6" s="105"/>
      <c r="F6" s="105"/>
      <c r="G6" s="105"/>
    </row>
    <row r="7" spans="1:7" ht="12.75" x14ac:dyDescent="0.2">
      <c r="A7" s="153" t="s">
        <v>38</v>
      </c>
      <c r="C7" s="105"/>
      <c r="D7" s="105"/>
      <c r="E7" s="105"/>
      <c r="F7" s="105"/>
      <c r="G7" s="105"/>
    </row>
    <row r="8" spans="1:7" ht="12.75" x14ac:dyDescent="0.2">
      <c r="A8" s="153" t="s">
        <v>116</v>
      </c>
      <c r="C8" s="105"/>
      <c r="D8" s="105"/>
      <c r="E8" s="105"/>
      <c r="F8" s="105"/>
      <c r="G8" s="105"/>
    </row>
    <row r="9" spans="1:7" ht="12.75" x14ac:dyDescent="0.2">
      <c r="A9" s="153" t="s">
        <v>82</v>
      </c>
      <c r="C9" s="105"/>
      <c r="D9" s="105"/>
      <c r="E9" s="105"/>
      <c r="F9" s="105"/>
      <c r="G9" s="105"/>
    </row>
    <row r="10" spans="1:7" ht="12.75" x14ac:dyDescent="0.2">
      <c r="A10" s="153" t="s">
        <v>86</v>
      </c>
      <c r="C10" s="105"/>
      <c r="D10" s="105"/>
      <c r="E10" s="105"/>
      <c r="F10" s="105"/>
      <c r="G10" s="105"/>
    </row>
    <row r="11" spans="1:7" ht="12.75" x14ac:dyDescent="0.2">
      <c r="A11" s="153" t="s">
        <v>107</v>
      </c>
      <c r="C11" s="105"/>
      <c r="D11" s="105"/>
      <c r="E11" s="105"/>
      <c r="F11" s="105"/>
      <c r="G11" s="105"/>
    </row>
    <row r="12" spans="1:7" ht="12.75" x14ac:dyDescent="0.2">
      <c r="A12" s="153" t="s">
        <v>92</v>
      </c>
      <c r="C12" s="105"/>
      <c r="D12" s="105"/>
      <c r="E12" s="105"/>
      <c r="F12" s="105"/>
      <c r="G12" s="105"/>
    </row>
    <row r="13" spans="1:7" ht="12.75" x14ac:dyDescent="0.2">
      <c r="A13" s="153" t="s">
        <v>122</v>
      </c>
      <c r="C13" s="105"/>
      <c r="D13" s="105"/>
      <c r="E13" s="105"/>
      <c r="F13" s="105"/>
      <c r="G13" s="105"/>
    </row>
    <row r="14" spans="1:7" ht="12.75" x14ac:dyDescent="0.2">
      <c r="A14" s="153" t="s">
        <v>113</v>
      </c>
      <c r="C14" s="105"/>
      <c r="D14" s="105"/>
      <c r="E14" s="105"/>
      <c r="F14" s="105"/>
      <c r="G14" s="105"/>
    </row>
    <row r="15" spans="1:7" ht="12.75" x14ac:dyDescent="0.2">
      <c r="A15" s="153" t="s">
        <v>30</v>
      </c>
      <c r="C15" s="105"/>
      <c r="D15" s="105"/>
      <c r="E15" s="105"/>
      <c r="F15" s="105"/>
      <c r="G15" s="105"/>
    </row>
    <row r="16" spans="1:7" ht="12.75" x14ac:dyDescent="0.2">
      <c r="A16" s="153" t="s">
        <v>99</v>
      </c>
      <c r="C16" s="105"/>
      <c r="D16" s="105"/>
      <c r="E16" s="105"/>
      <c r="F16" s="105"/>
      <c r="G16" s="105"/>
    </row>
    <row r="17" spans="1:1" ht="15.75" customHeight="1" x14ac:dyDescent="0.2">
      <c r="A17" s="157" t="s">
        <v>5930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C18"/>
  <sheetViews>
    <sheetView showGridLines="0" workbookViewId="0"/>
  </sheetViews>
  <sheetFormatPr baseColWidth="10" defaultColWidth="12.5703125" defaultRowHeight="15.75" customHeight="1" x14ac:dyDescent="0.2"/>
  <sheetData>
    <row r="1" spans="1:3" ht="12.75" x14ac:dyDescent="0.2">
      <c r="A1" s="150"/>
      <c r="B1" s="162"/>
      <c r="C1" s="154"/>
    </row>
    <row r="2" spans="1:3" ht="12.75" x14ac:dyDescent="0.2">
      <c r="A2" s="152"/>
      <c r="B2" s="139"/>
      <c r="C2" s="176"/>
    </row>
    <row r="3" spans="1:3" ht="12.75" x14ac:dyDescent="0.2">
      <c r="A3" s="152"/>
      <c r="B3" s="139"/>
      <c r="C3" s="176"/>
    </row>
    <row r="4" spans="1:3" ht="12.75" x14ac:dyDescent="0.2">
      <c r="A4" s="152"/>
      <c r="B4" s="139"/>
      <c r="C4" s="176"/>
    </row>
    <row r="5" spans="1:3" ht="12.75" x14ac:dyDescent="0.2">
      <c r="A5" s="152"/>
      <c r="B5" s="139"/>
      <c r="C5" s="176"/>
    </row>
    <row r="6" spans="1:3" ht="12.75" x14ac:dyDescent="0.2">
      <c r="A6" s="152"/>
      <c r="B6" s="139"/>
      <c r="C6" s="176"/>
    </row>
    <row r="7" spans="1:3" ht="12.75" x14ac:dyDescent="0.2">
      <c r="A7" s="152"/>
      <c r="B7" s="139"/>
      <c r="C7" s="176"/>
    </row>
    <row r="8" spans="1:3" ht="12.75" x14ac:dyDescent="0.2">
      <c r="A8" s="152"/>
      <c r="B8" s="139"/>
      <c r="C8" s="176"/>
    </row>
    <row r="9" spans="1:3" ht="12.75" x14ac:dyDescent="0.2">
      <c r="A9" s="152"/>
      <c r="B9" s="139"/>
      <c r="C9" s="176"/>
    </row>
    <row r="10" spans="1:3" ht="12.75" x14ac:dyDescent="0.2">
      <c r="A10" s="152"/>
      <c r="B10" s="139"/>
      <c r="C10" s="176"/>
    </row>
    <row r="11" spans="1:3" ht="15.75" customHeight="1" x14ac:dyDescent="0.2">
      <c r="A11" s="152"/>
      <c r="B11" s="139"/>
      <c r="C11" s="176"/>
    </row>
    <row r="12" spans="1:3" ht="15.75" customHeight="1" x14ac:dyDescent="0.2">
      <c r="A12" s="152"/>
      <c r="B12" s="139"/>
      <c r="C12" s="176"/>
    </row>
    <row r="13" spans="1:3" ht="15.75" customHeight="1" x14ac:dyDescent="0.2">
      <c r="A13" s="152"/>
      <c r="B13" s="139"/>
      <c r="C13" s="176"/>
    </row>
    <row r="14" spans="1:3" ht="15.75" customHeight="1" x14ac:dyDescent="0.2">
      <c r="A14" s="152"/>
      <c r="B14" s="139"/>
      <c r="C14" s="176"/>
    </row>
    <row r="15" spans="1:3" ht="15.75" customHeight="1" x14ac:dyDescent="0.2">
      <c r="A15" s="152"/>
      <c r="B15" s="139"/>
      <c r="C15" s="176"/>
    </row>
    <row r="16" spans="1:3" ht="15.75" customHeight="1" x14ac:dyDescent="0.2">
      <c r="A16" s="152"/>
      <c r="B16" s="139"/>
      <c r="C16" s="176"/>
    </row>
    <row r="17" spans="1:3" ht="15.75" customHeight="1" x14ac:dyDescent="0.2">
      <c r="A17" s="152"/>
      <c r="B17" s="139"/>
      <c r="C17" s="176"/>
    </row>
    <row r="18" spans="1:3" ht="15.75" customHeight="1" x14ac:dyDescent="0.2">
      <c r="A18" s="165"/>
      <c r="B18" s="177"/>
      <c r="C18" s="17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L40"/>
  <sheetViews>
    <sheetView showGridLines="0" workbookViewId="0"/>
  </sheetViews>
  <sheetFormatPr baseColWidth="10" defaultColWidth="12.5703125" defaultRowHeight="15.75" customHeight="1" x14ac:dyDescent="0.2"/>
  <sheetData>
    <row r="1" spans="1:12" x14ac:dyDescent="0.2">
      <c r="A1" s="149" t="s">
        <v>0</v>
      </c>
      <c r="H1" s="148" t="s">
        <v>5929</v>
      </c>
      <c r="I1" s="148" t="s">
        <v>3278</v>
      </c>
      <c r="J1" s="162"/>
      <c r="K1" s="154"/>
    </row>
    <row r="2" spans="1:12" x14ac:dyDescent="0.2">
      <c r="A2" s="151" t="s">
        <v>7</v>
      </c>
      <c r="H2" s="148" t="s">
        <v>0</v>
      </c>
      <c r="I2" s="167" t="s">
        <v>10</v>
      </c>
      <c r="J2" s="168" t="s">
        <v>40</v>
      </c>
      <c r="K2" s="169" t="s">
        <v>5930</v>
      </c>
    </row>
    <row r="3" spans="1:12" x14ac:dyDescent="0.2">
      <c r="A3" s="153" t="s">
        <v>37</v>
      </c>
      <c r="F3" s="105"/>
      <c r="H3" s="150" t="s">
        <v>7</v>
      </c>
      <c r="I3" s="170">
        <v>63.300000000000047</v>
      </c>
      <c r="J3" s="171">
        <v>52.999999999999979</v>
      </c>
      <c r="K3" s="159">
        <v>116.30000000000003</v>
      </c>
      <c r="L3" s="105"/>
    </row>
    <row r="4" spans="1:12" x14ac:dyDescent="0.2">
      <c r="A4" s="153" t="s">
        <v>115</v>
      </c>
      <c r="F4" s="105"/>
      <c r="H4" s="160" t="s">
        <v>37</v>
      </c>
      <c r="I4" s="172">
        <v>26.720000000000006</v>
      </c>
      <c r="J4" s="173">
        <v>24</v>
      </c>
      <c r="K4" s="161">
        <v>50.720000000000006</v>
      </c>
      <c r="L4" s="105"/>
    </row>
    <row r="5" spans="1:12" x14ac:dyDescent="0.2">
      <c r="A5" s="153" t="s">
        <v>98</v>
      </c>
      <c r="F5" s="105"/>
      <c r="H5" s="160" t="s">
        <v>115</v>
      </c>
      <c r="I5" s="172">
        <v>86.9</v>
      </c>
      <c r="J5" s="173">
        <v>142.99999999999997</v>
      </c>
      <c r="K5" s="161">
        <v>229.89999999999998</v>
      </c>
      <c r="L5" s="105"/>
    </row>
    <row r="6" spans="1:12" x14ac:dyDescent="0.2">
      <c r="A6" s="153" t="s">
        <v>64</v>
      </c>
      <c r="F6" s="105"/>
      <c r="H6" s="160" t="s">
        <v>98</v>
      </c>
      <c r="I6" s="172">
        <v>100.2</v>
      </c>
      <c r="J6" s="173">
        <v>76</v>
      </c>
      <c r="K6" s="161">
        <v>176.2</v>
      </c>
      <c r="L6" s="105"/>
    </row>
    <row r="7" spans="1:12" x14ac:dyDescent="0.2">
      <c r="A7" s="153" t="s">
        <v>136</v>
      </c>
      <c r="F7" s="105"/>
      <c r="H7" s="160" t="s">
        <v>64</v>
      </c>
      <c r="I7" s="172">
        <v>131.6</v>
      </c>
      <c r="J7" s="173">
        <v>92.19999999999996</v>
      </c>
      <c r="K7" s="161">
        <v>223.79999999999995</v>
      </c>
      <c r="L7" s="105"/>
    </row>
    <row r="8" spans="1:12" x14ac:dyDescent="0.2">
      <c r="A8" s="157" t="s">
        <v>5930</v>
      </c>
      <c r="F8" s="105"/>
      <c r="H8" s="155" t="s">
        <v>5930</v>
      </c>
      <c r="I8" s="174">
        <v>408.72</v>
      </c>
      <c r="J8" s="175">
        <v>388.19999999999993</v>
      </c>
      <c r="K8" s="164">
        <v>796.92</v>
      </c>
      <c r="L8" s="105"/>
    </row>
    <row r="9" spans="1:12" x14ac:dyDescent="0.2">
      <c r="F9" s="105"/>
      <c r="J9" s="105"/>
      <c r="K9" s="105"/>
      <c r="L9" s="105"/>
    </row>
    <row r="10" spans="1:12" x14ac:dyDescent="0.2">
      <c r="C10" s="105"/>
      <c r="D10" s="105"/>
      <c r="E10" s="105"/>
      <c r="F10" s="105"/>
      <c r="J10" s="105"/>
      <c r="K10" s="105"/>
      <c r="L10" s="105"/>
    </row>
    <row r="11" spans="1:12" x14ac:dyDescent="0.2">
      <c r="C11" s="105"/>
      <c r="D11" s="105"/>
      <c r="E11" s="105"/>
      <c r="F11" s="105"/>
      <c r="J11" s="105"/>
      <c r="K11" s="105"/>
      <c r="L11" s="105"/>
    </row>
    <row r="12" spans="1:12" x14ac:dyDescent="0.2">
      <c r="C12" s="105"/>
      <c r="D12" s="105"/>
      <c r="E12" s="105"/>
      <c r="F12" s="105"/>
      <c r="J12" s="105"/>
      <c r="K12" s="105"/>
      <c r="L12" s="105"/>
    </row>
    <row r="13" spans="1:12" x14ac:dyDescent="0.2">
      <c r="C13" s="105"/>
      <c r="D13" s="105"/>
      <c r="E13" s="105"/>
      <c r="F13" s="105"/>
      <c r="J13" s="105"/>
      <c r="K13" s="105"/>
      <c r="L13" s="105"/>
    </row>
    <row r="14" spans="1:12" x14ac:dyDescent="0.2">
      <c r="C14" s="105"/>
      <c r="D14" s="105"/>
      <c r="E14" s="105"/>
      <c r="F14" s="105"/>
      <c r="J14" s="105"/>
      <c r="K14" s="105"/>
      <c r="L14" s="105"/>
    </row>
    <row r="15" spans="1:12" x14ac:dyDescent="0.2">
      <c r="C15" s="105"/>
      <c r="D15" s="105"/>
      <c r="E15" s="105"/>
      <c r="F15" s="105"/>
      <c r="J15" s="105"/>
      <c r="K15" s="105"/>
      <c r="L15" s="105"/>
    </row>
    <row r="16" spans="1:12" x14ac:dyDescent="0.2">
      <c r="C16" s="105"/>
      <c r="D16" s="105"/>
      <c r="E16" s="105"/>
      <c r="F16" s="105"/>
      <c r="J16" s="105"/>
      <c r="K16" s="105"/>
      <c r="L16" s="105"/>
    </row>
    <row r="17" spans="3:12" x14ac:dyDescent="0.2">
      <c r="C17" s="105"/>
      <c r="D17" s="105"/>
      <c r="E17" s="105"/>
      <c r="F17" s="105"/>
      <c r="J17" s="105"/>
      <c r="K17" s="105"/>
      <c r="L17" s="105"/>
    </row>
    <row r="18" spans="3:12" x14ac:dyDescent="0.2">
      <c r="C18" s="105"/>
      <c r="D18" s="105"/>
      <c r="E18" s="105"/>
      <c r="F18" s="105"/>
      <c r="J18" s="105"/>
      <c r="K18" s="105"/>
      <c r="L18" s="105"/>
    </row>
    <row r="19" spans="3:12" x14ac:dyDescent="0.2">
      <c r="C19" s="105"/>
      <c r="D19" s="105"/>
      <c r="E19" s="105"/>
      <c r="F19" s="105"/>
      <c r="J19" s="105"/>
      <c r="K19" s="105"/>
      <c r="L19" s="105"/>
    </row>
    <row r="20" spans="3:12" x14ac:dyDescent="0.2">
      <c r="C20" s="105"/>
      <c r="D20" s="105"/>
      <c r="E20" s="105"/>
      <c r="F20" s="105"/>
      <c r="J20" s="105"/>
      <c r="K20" s="105"/>
      <c r="L20" s="105"/>
    </row>
    <row r="21" spans="3:12" x14ac:dyDescent="0.2">
      <c r="C21" s="105"/>
      <c r="D21" s="105"/>
      <c r="E21" s="105"/>
      <c r="F21" s="105"/>
      <c r="J21" s="105"/>
      <c r="K21" s="105"/>
      <c r="L21" s="105"/>
    </row>
    <row r="22" spans="3:12" x14ac:dyDescent="0.2">
      <c r="C22" s="105"/>
      <c r="D22" s="105"/>
      <c r="E22" s="105"/>
      <c r="F22" s="105"/>
      <c r="J22" s="105"/>
      <c r="K22" s="105"/>
      <c r="L22" s="105"/>
    </row>
    <row r="23" spans="3:12" x14ac:dyDescent="0.2">
      <c r="C23" s="105"/>
      <c r="D23" s="105"/>
      <c r="E23" s="105"/>
      <c r="F23" s="105"/>
      <c r="J23" s="105"/>
      <c r="K23" s="105"/>
      <c r="L23" s="105"/>
    </row>
    <row r="24" spans="3:12" x14ac:dyDescent="0.2">
      <c r="C24" s="105"/>
      <c r="D24" s="105"/>
      <c r="E24" s="105"/>
      <c r="F24" s="105"/>
      <c r="J24" s="105"/>
      <c r="K24" s="105"/>
      <c r="L24" s="105"/>
    </row>
    <row r="25" spans="3:12" x14ac:dyDescent="0.2">
      <c r="C25" s="105"/>
      <c r="D25" s="105"/>
      <c r="E25" s="105"/>
      <c r="F25" s="105"/>
      <c r="J25" s="105"/>
      <c r="K25" s="105"/>
      <c r="L25" s="105"/>
    </row>
    <row r="26" spans="3:12" x14ac:dyDescent="0.2">
      <c r="C26" s="105"/>
      <c r="D26" s="105"/>
      <c r="E26" s="105"/>
      <c r="F26" s="105"/>
      <c r="J26" s="105"/>
      <c r="K26" s="105"/>
      <c r="L26" s="105"/>
    </row>
    <row r="27" spans="3:12" x14ac:dyDescent="0.2">
      <c r="C27" s="105"/>
      <c r="D27" s="105"/>
      <c r="E27" s="105"/>
      <c r="F27" s="105"/>
      <c r="J27" s="105"/>
      <c r="K27" s="105"/>
      <c r="L27" s="105"/>
    </row>
    <row r="28" spans="3:12" x14ac:dyDescent="0.2">
      <c r="C28" s="105"/>
      <c r="D28" s="105"/>
      <c r="E28" s="105"/>
      <c r="F28" s="105"/>
      <c r="J28" s="105"/>
      <c r="K28" s="105"/>
      <c r="L28" s="105"/>
    </row>
    <row r="29" spans="3:12" x14ac:dyDescent="0.2">
      <c r="C29" s="105"/>
      <c r="D29" s="105"/>
      <c r="E29" s="105"/>
      <c r="F29" s="105"/>
      <c r="J29" s="105"/>
      <c r="K29" s="105"/>
      <c r="L29" s="105"/>
    </row>
    <row r="30" spans="3:12" x14ac:dyDescent="0.2">
      <c r="C30" s="105"/>
      <c r="D30" s="105"/>
      <c r="E30" s="105"/>
      <c r="F30" s="105"/>
      <c r="J30" s="105"/>
      <c r="K30" s="105"/>
      <c r="L30" s="105"/>
    </row>
    <row r="31" spans="3:12" x14ac:dyDescent="0.2">
      <c r="C31" s="105"/>
      <c r="D31" s="105"/>
      <c r="E31" s="105"/>
      <c r="F31" s="105"/>
      <c r="J31" s="105"/>
      <c r="K31" s="105"/>
      <c r="L31" s="105"/>
    </row>
    <row r="32" spans="3:12" x14ac:dyDescent="0.2">
      <c r="C32" s="105"/>
      <c r="D32" s="105"/>
      <c r="E32" s="105"/>
      <c r="F32" s="105"/>
      <c r="J32" s="105"/>
      <c r="K32" s="105"/>
      <c r="L32" s="105"/>
    </row>
    <row r="33" spans="3:12" x14ac:dyDescent="0.2">
      <c r="C33" s="105"/>
      <c r="D33" s="105"/>
      <c r="E33" s="105"/>
      <c r="F33" s="105"/>
      <c r="J33" s="105"/>
      <c r="K33" s="105"/>
      <c r="L33" s="105"/>
    </row>
    <row r="34" spans="3:12" x14ac:dyDescent="0.2">
      <c r="C34" s="105"/>
      <c r="D34" s="105"/>
      <c r="E34" s="105"/>
      <c r="F34" s="105"/>
      <c r="J34" s="105"/>
      <c r="K34" s="105"/>
      <c r="L34" s="105"/>
    </row>
    <row r="35" spans="3:12" x14ac:dyDescent="0.2">
      <c r="C35" s="105"/>
      <c r="D35" s="105"/>
      <c r="E35" s="105"/>
      <c r="F35" s="105"/>
      <c r="J35" s="105"/>
      <c r="K35" s="105"/>
      <c r="L35" s="105"/>
    </row>
    <row r="36" spans="3:12" x14ac:dyDescent="0.2">
      <c r="C36" s="105"/>
      <c r="D36" s="105"/>
      <c r="E36" s="105"/>
      <c r="F36" s="105"/>
      <c r="J36" s="105"/>
      <c r="K36" s="105"/>
      <c r="L36" s="105"/>
    </row>
    <row r="37" spans="3:12" x14ac:dyDescent="0.2">
      <c r="C37" s="105"/>
      <c r="D37" s="105"/>
      <c r="E37" s="105"/>
      <c r="F37" s="105"/>
      <c r="J37" s="105"/>
      <c r="K37" s="105"/>
      <c r="L37" s="105"/>
    </row>
    <row r="38" spans="3:12" x14ac:dyDescent="0.2">
      <c r="C38" s="105"/>
      <c r="D38" s="105"/>
      <c r="E38" s="105"/>
      <c r="F38" s="105"/>
    </row>
    <row r="39" spans="3:12" x14ac:dyDescent="0.2">
      <c r="C39" s="105"/>
      <c r="D39" s="105"/>
      <c r="E39" s="105"/>
      <c r="F39" s="105"/>
    </row>
    <row r="40" spans="3:12" x14ac:dyDescent="0.2">
      <c r="C40" s="105"/>
      <c r="D40" s="105"/>
      <c r="E40" s="105"/>
      <c r="F40" s="10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F73"/>
  <sheetViews>
    <sheetView showGridLines="0" workbookViewId="0"/>
  </sheetViews>
  <sheetFormatPr baseColWidth="10" defaultColWidth="12.5703125" defaultRowHeight="15.75" customHeight="1" x14ac:dyDescent="0.2"/>
  <cols>
    <col min="1" max="1" width="33" customWidth="1"/>
    <col min="2" max="2" width="33.7109375" customWidth="1"/>
  </cols>
  <sheetData>
    <row r="1" spans="1:6" ht="12.75" x14ac:dyDescent="0.2">
      <c r="A1" s="149" t="s">
        <v>0</v>
      </c>
    </row>
    <row r="2" spans="1:6" ht="12.75" x14ac:dyDescent="0.2">
      <c r="A2" s="151" t="s">
        <v>7</v>
      </c>
    </row>
    <row r="3" spans="1:6" ht="12.75" x14ac:dyDescent="0.2">
      <c r="A3" s="153" t="s">
        <v>37</v>
      </c>
      <c r="F3" s="5"/>
    </row>
    <row r="4" spans="1:6" ht="12.75" x14ac:dyDescent="0.2">
      <c r="A4" s="153" t="s">
        <v>115</v>
      </c>
      <c r="F4" s="5"/>
    </row>
    <row r="5" spans="1:6" ht="12.75" x14ac:dyDescent="0.2">
      <c r="A5" s="153" t="s">
        <v>98</v>
      </c>
      <c r="F5" s="5"/>
    </row>
    <row r="6" spans="1:6" ht="12.75" x14ac:dyDescent="0.2">
      <c r="A6" s="153" t="s">
        <v>64</v>
      </c>
      <c r="F6" s="5"/>
    </row>
    <row r="7" spans="1:6" ht="12.75" x14ac:dyDescent="0.2">
      <c r="A7" s="153" t="s">
        <v>136</v>
      </c>
      <c r="F7" s="5"/>
    </row>
    <row r="8" spans="1:6" ht="12.75" x14ac:dyDescent="0.2">
      <c r="A8" s="157" t="s">
        <v>5930</v>
      </c>
      <c r="F8" s="5"/>
    </row>
    <row r="9" spans="1:6" ht="12.75" x14ac:dyDescent="0.2">
      <c r="F9" s="5"/>
    </row>
    <row r="10" spans="1:6" ht="12.75" x14ac:dyDescent="0.2">
      <c r="C10" s="5"/>
      <c r="D10" s="5"/>
      <c r="E10" s="5"/>
      <c r="F10" s="5"/>
    </row>
    <row r="11" spans="1:6" ht="12.75" x14ac:dyDescent="0.2">
      <c r="C11" s="5"/>
      <c r="D11" s="5"/>
      <c r="E11" s="5"/>
      <c r="F11" s="5"/>
    </row>
    <row r="12" spans="1:6" ht="12.75" x14ac:dyDescent="0.2">
      <c r="E12" s="5"/>
      <c r="F12" s="5"/>
    </row>
    <row r="13" spans="1:6" ht="12.75" x14ac:dyDescent="0.2">
      <c r="E13" s="5"/>
      <c r="F13" s="5"/>
    </row>
    <row r="14" spans="1:6" ht="12.75" x14ac:dyDescent="0.2">
      <c r="E14" s="5"/>
      <c r="F14" s="5"/>
    </row>
    <row r="15" spans="1:6" ht="12.75" x14ac:dyDescent="0.2">
      <c r="B15" s="105"/>
      <c r="C15" s="105"/>
      <c r="D15" s="105"/>
      <c r="E15" s="5"/>
      <c r="F15" s="5"/>
    </row>
    <row r="16" spans="1:6" ht="12.75" x14ac:dyDescent="0.2">
      <c r="B16" s="105"/>
      <c r="C16" s="105"/>
      <c r="D16" s="105"/>
      <c r="E16" s="5"/>
      <c r="F16" s="5"/>
    </row>
    <row r="17" spans="1:6" ht="12.75" x14ac:dyDescent="0.2">
      <c r="B17" s="105"/>
      <c r="C17" s="105"/>
      <c r="D17" s="105"/>
      <c r="E17" s="5"/>
      <c r="F17" s="5"/>
    </row>
    <row r="18" spans="1:6" ht="12.75" x14ac:dyDescent="0.2">
      <c r="B18" s="105"/>
      <c r="C18" s="105"/>
      <c r="D18" s="105"/>
      <c r="E18" s="5"/>
      <c r="F18" s="5"/>
    </row>
    <row r="19" spans="1:6" ht="12.75" x14ac:dyDescent="0.2">
      <c r="B19" s="105"/>
      <c r="C19" s="105"/>
      <c r="D19" s="105"/>
      <c r="E19" s="5"/>
      <c r="F19" s="5"/>
    </row>
    <row r="20" spans="1:6" ht="12.75" x14ac:dyDescent="0.2">
      <c r="B20" s="105"/>
      <c r="C20" s="105"/>
      <c r="D20" s="105"/>
      <c r="E20" s="5"/>
      <c r="F20" s="5"/>
    </row>
    <row r="21" spans="1:6" ht="12.75" x14ac:dyDescent="0.2">
      <c r="C21" s="5"/>
      <c r="D21" s="5"/>
      <c r="E21" s="5"/>
      <c r="F21" s="5"/>
    </row>
    <row r="22" spans="1:6" ht="12.75" x14ac:dyDescent="0.2">
      <c r="C22" s="5"/>
      <c r="D22" s="5"/>
      <c r="E22" s="5"/>
      <c r="F22" s="5"/>
    </row>
    <row r="23" spans="1:6" ht="12.75" x14ac:dyDescent="0.2">
      <c r="A23" s="4" t="s">
        <v>0</v>
      </c>
      <c r="B23" s="12" t="s">
        <v>10</v>
      </c>
      <c r="C23" s="12" t="s">
        <v>40</v>
      </c>
      <c r="D23" s="12" t="s">
        <v>47</v>
      </c>
      <c r="E23" s="5"/>
      <c r="F23" s="5"/>
    </row>
    <row r="24" spans="1:6" ht="12.75" x14ac:dyDescent="0.2">
      <c r="A24" s="4" t="s">
        <v>5906</v>
      </c>
      <c r="B24" s="5">
        <v>490.11999999999972</v>
      </c>
      <c r="C24" s="5">
        <v>398.99999999999972</v>
      </c>
      <c r="D24" s="5">
        <v>40.999999999999986</v>
      </c>
      <c r="E24" s="5"/>
      <c r="F24" s="5"/>
    </row>
    <row r="25" spans="1:6" ht="12.75" x14ac:dyDescent="0.2">
      <c r="C25" s="5"/>
      <c r="D25" s="5"/>
      <c r="E25" s="5"/>
      <c r="F25" s="5"/>
    </row>
    <row r="26" spans="1:6" ht="12.75" x14ac:dyDescent="0.2">
      <c r="C26" s="5"/>
      <c r="D26" s="5"/>
      <c r="E26" s="5"/>
      <c r="F26" s="5"/>
    </row>
    <row r="27" spans="1:6" ht="12.75" x14ac:dyDescent="0.2">
      <c r="C27" s="5"/>
      <c r="D27" s="5"/>
      <c r="E27" s="5"/>
      <c r="F27" s="5"/>
    </row>
    <row r="28" spans="1:6" ht="12.75" x14ac:dyDescent="0.2">
      <c r="C28" s="5"/>
      <c r="D28" s="5"/>
      <c r="E28" s="5"/>
      <c r="F28" s="5"/>
    </row>
    <row r="29" spans="1:6" ht="12.75" x14ac:dyDescent="0.2">
      <c r="C29" s="5"/>
      <c r="D29" s="5"/>
      <c r="E29" s="5"/>
      <c r="F29" s="5"/>
    </row>
    <row r="30" spans="1:6" ht="12.75" x14ac:dyDescent="0.2">
      <c r="C30" s="5"/>
      <c r="D30" s="5"/>
      <c r="E30" s="5"/>
      <c r="F30" s="5"/>
    </row>
    <row r="31" spans="1:6" ht="12.75" x14ac:dyDescent="0.2">
      <c r="C31" s="5"/>
      <c r="D31" s="5"/>
      <c r="E31" s="5"/>
      <c r="F31" s="5"/>
    </row>
    <row r="45" spans="1:3" ht="12.75" x14ac:dyDescent="0.2">
      <c r="A45" s="150"/>
      <c r="B45" s="148" t="s">
        <v>282</v>
      </c>
      <c r="C45" s="154"/>
    </row>
    <row r="46" spans="1:3" ht="12.75" x14ac:dyDescent="0.2">
      <c r="A46" s="148" t="s">
        <v>0</v>
      </c>
      <c r="B46" s="167" t="s">
        <v>5932</v>
      </c>
      <c r="C46" s="169" t="s">
        <v>5930</v>
      </c>
    </row>
    <row r="47" spans="1:3" ht="12.75" x14ac:dyDescent="0.2">
      <c r="A47" s="150" t="s">
        <v>7</v>
      </c>
      <c r="B47" s="150"/>
      <c r="C47" s="154"/>
    </row>
    <row r="48" spans="1:3" ht="12.75" x14ac:dyDescent="0.2">
      <c r="A48" s="160" t="s">
        <v>37</v>
      </c>
      <c r="B48" s="152"/>
      <c r="C48" s="176"/>
    </row>
    <row r="49" spans="1:3" ht="12.75" x14ac:dyDescent="0.2">
      <c r="A49" s="160" t="s">
        <v>115</v>
      </c>
      <c r="B49" s="152"/>
      <c r="C49" s="176"/>
    </row>
    <row r="50" spans="1:3" ht="12.75" x14ac:dyDescent="0.2">
      <c r="A50" s="160" t="s">
        <v>98</v>
      </c>
      <c r="B50" s="152"/>
      <c r="C50" s="176"/>
    </row>
    <row r="51" spans="1:3" ht="12.75" x14ac:dyDescent="0.2">
      <c r="A51" s="160" t="s">
        <v>64</v>
      </c>
      <c r="B51" s="152"/>
      <c r="C51" s="176"/>
    </row>
    <row r="52" spans="1:3" ht="12.75" x14ac:dyDescent="0.2">
      <c r="A52" s="160" t="s">
        <v>136</v>
      </c>
      <c r="B52" s="152"/>
      <c r="C52" s="176"/>
    </row>
    <row r="53" spans="1:3" ht="12.75" x14ac:dyDescent="0.2">
      <c r="A53" s="155" t="s">
        <v>5930</v>
      </c>
      <c r="B53" s="165"/>
      <c r="C53" s="178"/>
    </row>
    <row r="62" spans="1:3" ht="15.75" customHeight="1" x14ac:dyDescent="0.2">
      <c r="A62" s="158" t="s">
        <v>282</v>
      </c>
      <c r="B62" s="157" t="s">
        <v>5933</v>
      </c>
    </row>
    <row r="64" spans="1:3" ht="12.75" x14ac:dyDescent="0.2">
      <c r="A64" s="149" t="s">
        <v>5103</v>
      </c>
    </row>
    <row r="65" spans="1:5" ht="12.75" x14ac:dyDescent="0.2">
      <c r="A65" s="157" t="s">
        <v>5930</v>
      </c>
    </row>
    <row r="66" spans="1:5" ht="12.75" x14ac:dyDescent="0.2">
      <c r="C66" s="5"/>
      <c r="D66" s="5"/>
      <c r="E66" s="5"/>
    </row>
    <row r="67" spans="1:5" ht="12.75" x14ac:dyDescent="0.2">
      <c r="C67" s="5"/>
      <c r="D67" s="5"/>
      <c r="E67" s="5"/>
    </row>
    <row r="68" spans="1:5" ht="12.75" x14ac:dyDescent="0.2">
      <c r="C68" s="5"/>
      <c r="D68" s="5"/>
      <c r="E68" s="5"/>
    </row>
    <row r="69" spans="1:5" ht="12.75" x14ac:dyDescent="0.2">
      <c r="C69" s="5"/>
      <c r="D69" s="5"/>
      <c r="E69" s="5"/>
    </row>
    <row r="70" spans="1:5" ht="12.75" x14ac:dyDescent="0.2">
      <c r="C70" s="5"/>
      <c r="D70" s="5"/>
      <c r="E70" s="5"/>
    </row>
    <row r="71" spans="1:5" ht="12.75" x14ac:dyDescent="0.2">
      <c r="C71" s="5"/>
      <c r="D71" s="5"/>
      <c r="E71" s="5"/>
    </row>
    <row r="72" spans="1:5" ht="12.75" x14ac:dyDescent="0.2">
      <c r="C72" s="5"/>
      <c r="D72" s="5"/>
      <c r="E72" s="5"/>
    </row>
    <row r="73" spans="1:5" ht="12.75" x14ac:dyDescent="0.2"/>
  </sheetData>
  <pageMargins left="0.7" right="0.7" top="0.75" bottom="0.75" header="0.3" footer="0.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D7"/>
  <sheetViews>
    <sheetView showGridLines="0" workbookViewId="0"/>
  </sheetViews>
  <sheetFormatPr baseColWidth="10" defaultColWidth="12.5703125" defaultRowHeight="15.75" customHeight="1" x14ac:dyDescent="0.2"/>
  <sheetData>
    <row r="1" spans="1:4" x14ac:dyDescent="0.2">
      <c r="A1" s="148" t="s">
        <v>282</v>
      </c>
      <c r="B1" s="148" t="s">
        <v>3275</v>
      </c>
      <c r="C1" s="151" t="s">
        <v>5929</v>
      </c>
    </row>
    <row r="2" spans="1:4" x14ac:dyDescent="0.2">
      <c r="A2" s="167" t="s">
        <v>5932</v>
      </c>
      <c r="B2" s="150" t="s">
        <v>18</v>
      </c>
      <c r="C2" s="159">
        <v>584.91999999999985</v>
      </c>
    </row>
    <row r="3" spans="1:4" x14ac:dyDescent="0.2">
      <c r="A3" s="152"/>
      <c r="B3" s="160" t="s">
        <v>32</v>
      </c>
      <c r="C3" s="161">
        <v>14.2</v>
      </c>
    </row>
    <row r="4" spans="1:4" x14ac:dyDescent="0.2">
      <c r="A4" s="152"/>
      <c r="B4" s="160" t="s">
        <v>25</v>
      </c>
      <c r="C4" s="161">
        <v>136.09999999999985</v>
      </c>
    </row>
    <row r="5" spans="1:4" x14ac:dyDescent="0.2">
      <c r="A5" s="152"/>
      <c r="B5" s="160" t="s">
        <v>11</v>
      </c>
      <c r="C5" s="161">
        <v>61.700000000000038</v>
      </c>
    </row>
    <row r="6" spans="1:4" x14ac:dyDescent="0.2">
      <c r="A6" s="167" t="s">
        <v>5935</v>
      </c>
      <c r="B6" s="162"/>
      <c r="C6" s="159">
        <v>796.91999999999985</v>
      </c>
      <c r="D6" s="4">
        <f>140/797</f>
        <v>0.17565872020075282</v>
      </c>
    </row>
    <row r="7" spans="1:4" x14ac:dyDescent="0.2">
      <c r="A7" s="180" t="s">
        <v>5930</v>
      </c>
      <c r="B7" s="163"/>
      <c r="C7" s="164">
        <v>796.91999999999985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D6"/>
  <sheetViews>
    <sheetView showGridLines="0" workbookViewId="0"/>
  </sheetViews>
  <sheetFormatPr baseColWidth="10" defaultColWidth="12.5703125" defaultRowHeight="15.75" customHeight="1" x14ac:dyDescent="0.2"/>
  <sheetData>
    <row r="1" spans="1:4" x14ac:dyDescent="0.2">
      <c r="A1" s="148" t="s">
        <v>5929</v>
      </c>
      <c r="B1" s="148" t="s">
        <v>3278</v>
      </c>
      <c r="C1" s="162"/>
      <c r="D1" s="154"/>
    </row>
    <row r="2" spans="1:4" x14ac:dyDescent="0.2">
      <c r="A2" s="148" t="s">
        <v>282</v>
      </c>
      <c r="B2" s="167" t="s">
        <v>10</v>
      </c>
      <c r="C2" s="168" t="s">
        <v>40</v>
      </c>
      <c r="D2" s="169" t="s">
        <v>5930</v>
      </c>
    </row>
    <row r="3" spans="1:4" x14ac:dyDescent="0.2">
      <c r="A3" s="167" t="s">
        <v>5932</v>
      </c>
      <c r="B3" s="170">
        <v>408.72000000000054</v>
      </c>
      <c r="C3" s="171">
        <v>388.20000000000061</v>
      </c>
      <c r="D3" s="159">
        <v>796.92000000000121</v>
      </c>
    </row>
    <row r="4" spans="1:4" x14ac:dyDescent="0.2">
      <c r="A4" s="180" t="s">
        <v>5930</v>
      </c>
      <c r="B4" s="174">
        <v>408.72000000000054</v>
      </c>
      <c r="C4" s="175">
        <v>388.20000000000061</v>
      </c>
      <c r="D4" s="164">
        <v>796.92000000000121</v>
      </c>
    </row>
    <row r="5" spans="1:4" x14ac:dyDescent="0.2">
      <c r="B5" s="5"/>
      <c r="C5" s="5"/>
      <c r="D5" s="5"/>
    </row>
    <row r="6" spans="1:4" x14ac:dyDescent="0.2">
      <c r="B6" s="5"/>
      <c r="C6" s="5"/>
      <c r="D6"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EB726"/>
  <sheetViews>
    <sheetView workbookViewId="0"/>
  </sheetViews>
  <sheetFormatPr baseColWidth="10" defaultColWidth="12.5703125" defaultRowHeight="15.75" customHeight="1" x14ac:dyDescent="0.2"/>
  <sheetData>
    <row r="1" spans="1:132" x14ac:dyDescent="0.2">
      <c r="A1" s="4" t="str">
        <f ca="1">IFERROR(__xludf.DUMMYFUNCTION("IMPORTRANGE(""https://docs.google.com/spreadsheets/d/14Bmbv1Rv5C9jmalCJ-P6M4lTCjp6hb50tcIBXTb89mk/edit?usp=sharing"",""Base CS - SDA Suite!a1:eb25000"")"),"")</f>
        <v/>
      </c>
      <c r="B1" s="4"/>
      <c r="C1" s="4" t="str">
        <f ca="1">IFERROR(__xludf.DUMMYFUNCTION("""COMPUTED_VALUE"""),"Base Actualizada:")</f>
        <v>Base Actualizada:</v>
      </c>
      <c r="D1" s="128">
        <f ca="1">IFERROR(__xludf.DUMMYFUNCTION("""COMPUTED_VALUE"""),45027)</f>
        <v>45027</v>
      </c>
      <c r="E1" s="4"/>
      <c r="F1" s="4"/>
      <c r="G1" s="4"/>
      <c r="H1" s="4"/>
      <c r="I1" s="4"/>
      <c r="J1" s="4"/>
      <c r="K1" s="4" t="str">
        <f ca="1">IFERROR(__xludf.DUMMYFUNCTION("""COMPUTED_VALUE"""),"Info. del equipo")</f>
        <v>Info. del equipo</v>
      </c>
      <c r="L1" s="4"/>
      <c r="M1" s="4"/>
      <c r="N1" s="4"/>
      <c r="O1" s="4"/>
      <c r="P1" s="4"/>
      <c r="Q1" s="4"/>
      <c r="R1" s="4" t="str">
        <f ca="1">IFERROR(__xludf.DUMMYFUNCTION("""COMPUTED_VALUE"""),"Líneas Estratégicas")</f>
        <v>Líneas Estratégicas</v>
      </c>
      <c r="S1" s="4"/>
      <c r="T1" s="4"/>
      <c r="U1" s="4"/>
      <c r="V1" s="4"/>
      <c r="W1" s="4"/>
      <c r="X1" s="4"/>
      <c r="Y1" s="4"/>
      <c r="Z1" s="4"/>
      <c r="AA1" s="4"/>
      <c r="AB1" s="4"/>
      <c r="AC1" s="4"/>
      <c r="AD1" s="4"/>
      <c r="AE1" s="4"/>
      <c r="AF1" s="4"/>
      <c r="AG1" s="4"/>
      <c r="AH1" s="4"/>
      <c r="AI1" s="4"/>
      <c r="AJ1" s="4"/>
      <c r="AK1" s="4" t="str">
        <f ca="1">IFERROR(__xludf.DUMMYFUNCTION("""COMPUTED_VALUE"""),"ARRAYFORMULA(SI(T5:T&lt;&gt;"""";SI.ERROR(BUSCARV(T5:T;IMPORTRANGE(""1cSnU41Vc4NnhA4nzjsBM2AB1ACn8B72uoyOoZlrwqdg"";""Feature Jira!A1:D"");3;0);""Sin asignar"");""""))")</f>
        <v>ARRAYFORMULA(SI(T5:T&lt;&gt;"";SI.ERROR(BUSCARV(T5:T;IMPORTRANGE("1cSnU41Vc4NnhA4nzjsBM2AB1ACn8B72uoyOoZlrwqdg";"Feature Jira!A1:D");3;0);"Sin asignar");""))</v>
      </c>
      <c r="AL1" s="4"/>
      <c r="AM1" s="4"/>
      <c r="AN1" s="4"/>
      <c r="AO1" s="4"/>
      <c r="AP1" s="4"/>
      <c r="AQ1" s="4"/>
      <c r="AR1" s="4"/>
      <c r="AS1" s="4"/>
      <c r="AT1" s="4"/>
      <c r="AU1" s="4"/>
      <c r="AV1" s="4"/>
      <c r="AW1" s="4"/>
      <c r="AX1" s="4"/>
      <c r="AY1" s="4"/>
      <c r="AZ1" s="4"/>
      <c r="BA1" s="4"/>
      <c r="BB1" s="4"/>
      <c r="BC1" s="4"/>
      <c r="BD1" s="4"/>
      <c r="BE1" s="4"/>
      <c r="BF1" s="4"/>
      <c r="BG1" s="4"/>
      <c r="BH1" s="4"/>
      <c r="BI1" s="4" t="str">
        <f ca="1">IFERROR(__xludf.DUMMYFUNCTION("""COMPUTED_VALUE"""),"fecha inicial")</f>
        <v>fecha inicial</v>
      </c>
      <c r="BJ1" s="129">
        <f ca="1">IFERROR(__xludf.DUMMYFUNCTION("""COMPUTED_VALUE"""),44500)</f>
        <v>44500</v>
      </c>
      <c r="BK1" s="4" t="str">
        <f ca="1">IFERROR(__xludf.DUMMYFUNCTION("""COMPUTED_VALUE"""),"salto en dias")</f>
        <v>salto en dias</v>
      </c>
      <c r="BL1" s="4">
        <f ca="1">IFERROR(__xludf.DUMMYFUNCTION("""COMPUTED_VALUE"""),30)</f>
        <v>30</v>
      </c>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row>
    <row r="2" spans="1:132" x14ac:dyDescent="0.2">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t="str">
        <f ca="1">IFERROR(__xludf.DUMMYFUNCTION("""COMPUTED_VALUE"""),"Consolidado")</f>
        <v>Consolidado</v>
      </c>
      <c r="AT2" s="4"/>
      <c r="AU2" s="4"/>
      <c r="AV2" s="4"/>
      <c r="AW2" s="4"/>
      <c r="AX2" s="4"/>
      <c r="AY2" s="4"/>
      <c r="AZ2" s="4"/>
      <c r="BA2" s="4"/>
      <c r="BB2" s="4"/>
      <c r="BC2" s="4"/>
      <c r="BD2" s="4"/>
      <c r="BE2" s="4"/>
      <c r="BF2" s="4"/>
      <c r="BG2" s="4"/>
      <c r="BH2" s="4"/>
      <c r="BI2" s="4" t="str">
        <f ca="1">IFERROR(__xludf.DUMMYFUNCTION("""COMPUTED_VALUE"""),"Conceptualización (101)")</f>
        <v>Conceptualización (101)</v>
      </c>
      <c r="BJ2" s="4"/>
      <c r="BK2" s="4"/>
      <c r="BL2" s="4"/>
      <c r="BM2" s="4"/>
      <c r="BN2" s="4"/>
      <c r="BO2" s="4"/>
      <c r="BP2" s="4"/>
      <c r="BQ2" s="4"/>
      <c r="BR2" s="4"/>
      <c r="BS2" s="4"/>
      <c r="BT2" s="4"/>
      <c r="BU2" s="4"/>
      <c r="BV2" s="4"/>
      <c r="BW2" s="4"/>
      <c r="BX2" s="4"/>
      <c r="BY2" s="4" t="str">
        <f ca="1">IFERROR(__xludf.DUMMYFUNCTION("""COMPUTED_VALUE"""),"Desarrollo (102)")</f>
        <v>Desarrollo (102)</v>
      </c>
      <c r="BZ2" s="4"/>
      <c r="CA2" s="4"/>
      <c r="CB2" s="4"/>
      <c r="CC2" s="4"/>
      <c r="CD2" s="4"/>
      <c r="CE2" s="4"/>
      <c r="CF2" s="4"/>
      <c r="CG2" s="4"/>
      <c r="CH2" s="4"/>
      <c r="CI2" s="4"/>
      <c r="CJ2" s="4"/>
      <c r="CK2" s="4"/>
      <c r="CL2" s="4"/>
      <c r="CM2" s="4"/>
      <c r="CN2" s="4"/>
      <c r="CO2" s="4" t="str">
        <f ca="1">IFERROR(__xludf.DUMMYFUNCTION("""COMPUTED_VALUE"""),"Certificación (103)")</f>
        <v>Certificación (103)</v>
      </c>
      <c r="CP2" s="4"/>
      <c r="CQ2" s="4"/>
      <c r="CR2" s="4"/>
      <c r="CS2" s="4"/>
      <c r="CT2" s="4"/>
      <c r="CU2" s="4"/>
      <c r="CV2" s="4"/>
      <c r="CW2" s="4"/>
      <c r="CX2" s="4"/>
      <c r="CY2" s="4"/>
      <c r="CZ2" s="4"/>
      <c r="DA2" s="4"/>
      <c r="DB2" s="4"/>
      <c r="DC2" s="4"/>
      <c r="DD2" s="4"/>
      <c r="DE2" s="4" t="str">
        <f ca="1">IFERROR(__xludf.DUMMYFUNCTION("""COMPUTED_VALUE"""),"Producción (104)")</f>
        <v>Producción (104)</v>
      </c>
      <c r="DF2" s="4"/>
      <c r="DG2" s="4"/>
      <c r="DH2" s="4"/>
      <c r="DI2" s="4"/>
      <c r="DJ2" s="4"/>
      <c r="DK2" s="4"/>
      <c r="DL2" s="4"/>
      <c r="DM2" s="4"/>
      <c r="DN2" s="4"/>
      <c r="DO2" s="4"/>
      <c r="DP2" s="4"/>
      <c r="DQ2" s="4"/>
      <c r="DR2" s="4"/>
      <c r="DS2" s="4"/>
      <c r="DT2" s="4"/>
      <c r="DU2" s="4"/>
      <c r="DV2" s="4"/>
      <c r="DW2" s="4"/>
      <c r="DX2" s="4"/>
      <c r="DY2" s="4"/>
      <c r="DZ2" s="4"/>
      <c r="EA2" s="4"/>
      <c r="EB2" s="4"/>
    </row>
    <row r="3" spans="1:132" x14ac:dyDescent="0.2">
      <c r="A3" s="4"/>
      <c r="B3" s="4">
        <f ca="1">IFERROR(__xludf.DUMMYFUNCTION("""COMPUTED_VALUE"""),1)</f>
        <v>1</v>
      </c>
      <c r="C3" s="4">
        <f ca="1">IFERROR(__xludf.DUMMYFUNCTION("""COMPUTED_VALUE"""),2)</f>
        <v>2</v>
      </c>
      <c r="D3" s="4">
        <f ca="1">IFERROR(__xludf.DUMMYFUNCTION("""COMPUTED_VALUE"""),3)</f>
        <v>3</v>
      </c>
      <c r="E3" s="4">
        <f ca="1">IFERROR(__xludf.DUMMYFUNCTION("""COMPUTED_VALUE"""),4)</f>
        <v>4</v>
      </c>
      <c r="F3" s="4">
        <f ca="1">IFERROR(__xludf.DUMMYFUNCTION("""COMPUTED_VALUE"""),5)</f>
        <v>5</v>
      </c>
      <c r="G3" s="4">
        <f ca="1">IFERROR(__xludf.DUMMYFUNCTION("""COMPUTED_VALUE"""),6)</f>
        <v>6</v>
      </c>
      <c r="H3" s="4">
        <f ca="1">IFERROR(__xludf.DUMMYFUNCTION("""COMPUTED_VALUE"""),7)</f>
        <v>7</v>
      </c>
      <c r="I3" s="4">
        <f ca="1">IFERROR(__xludf.DUMMYFUNCTION("""COMPUTED_VALUE"""),8)</f>
        <v>8</v>
      </c>
      <c r="J3" s="4">
        <f ca="1">IFERROR(__xludf.DUMMYFUNCTION("""COMPUTED_VALUE"""),9)</f>
        <v>9</v>
      </c>
      <c r="K3" s="4">
        <f ca="1">IFERROR(__xludf.DUMMYFUNCTION("""COMPUTED_VALUE"""),10)</f>
        <v>10</v>
      </c>
      <c r="L3" s="4"/>
      <c r="M3" s="4"/>
      <c r="N3" s="4"/>
      <c r="O3" s="4">
        <f ca="1">IFERROR(__xludf.DUMMYFUNCTION("""COMPUTED_VALUE"""),13)</f>
        <v>13</v>
      </c>
      <c r="P3" s="4">
        <f ca="1">IFERROR(__xludf.DUMMYFUNCTION("""COMPUTED_VALUE"""),14)</f>
        <v>14</v>
      </c>
      <c r="Q3" s="4"/>
      <c r="R3" s="4">
        <f ca="1">IFERROR(__xludf.DUMMYFUNCTION("""COMPUTED_VALUE"""),16)</f>
        <v>16</v>
      </c>
      <c r="S3" s="4">
        <f ca="1">IFERROR(__xludf.DUMMYFUNCTION("""COMPUTED_VALUE"""),17)</f>
        <v>17</v>
      </c>
      <c r="T3" s="4">
        <f ca="1">IFERROR(__xludf.DUMMYFUNCTION("""COMPUTED_VALUE"""),18)</f>
        <v>18</v>
      </c>
      <c r="U3" s="4">
        <f ca="1">IFERROR(__xludf.DUMMYFUNCTION("""COMPUTED_VALUE"""),19)</f>
        <v>19</v>
      </c>
      <c r="V3" s="4">
        <f ca="1">IFERROR(__xludf.DUMMYFUNCTION("""COMPUTED_VALUE"""),20)</f>
        <v>20</v>
      </c>
      <c r="W3" s="4">
        <f ca="1">IFERROR(__xludf.DUMMYFUNCTION("""COMPUTED_VALUE"""),21)</f>
        <v>21</v>
      </c>
      <c r="X3" s="4">
        <f ca="1">IFERROR(__xludf.DUMMYFUNCTION("""COMPUTED_VALUE"""),22)</f>
        <v>22</v>
      </c>
      <c r="Y3" s="4">
        <f ca="1">IFERROR(__xludf.DUMMYFUNCTION("""COMPUTED_VALUE"""),23)</f>
        <v>23</v>
      </c>
      <c r="Z3" s="4">
        <f ca="1">IFERROR(__xludf.DUMMYFUNCTION("""COMPUTED_VALUE"""),24)</f>
        <v>24</v>
      </c>
      <c r="AA3" s="4">
        <f ca="1">IFERROR(__xludf.DUMMYFUNCTION("""COMPUTED_VALUE"""),25)</f>
        <v>25</v>
      </c>
      <c r="AB3" s="4">
        <f ca="1">IFERROR(__xludf.DUMMYFUNCTION("""COMPUTED_VALUE"""),26)</f>
        <v>26</v>
      </c>
      <c r="AC3" s="4">
        <f ca="1">IFERROR(__xludf.DUMMYFUNCTION("""COMPUTED_VALUE"""),27)</f>
        <v>27</v>
      </c>
      <c r="AD3" s="4">
        <f ca="1">IFERROR(__xludf.DUMMYFUNCTION("""COMPUTED_VALUE"""),28)</f>
        <v>28</v>
      </c>
      <c r="AE3" s="4">
        <f ca="1">IFERROR(__xludf.DUMMYFUNCTION("""COMPUTED_VALUE"""),29)</f>
        <v>29</v>
      </c>
      <c r="AF3" s="4">
        <f ca="1">IFERROR(__xludf.DUMMYFUNCTION("""COMPUTED_VALUE"""),30)</f>
        <v>30</v>
      </c>
      <c r="AG3" s="4">
        <f ca="1">IFERROR(__xludf.DUMMYFUNCTION("""COMPUTED_VALUE"""),31)</f>
        <v>31</v>
      </c>
      <c r="AH3" s="4">
        <f ca="1">IFERROR(__xludf.DUMMYFUNCTION("""COMPUTED_VALUE"""),32)</f>
        <v>32</v>
      </c>
      <c r="AI3" s="4">
        <f ca="1">IFERROR(__xludf.DUMMYFUNCTION("""COMPUTED_VALUE"""),33)</f>
        <v>33</v>
      </c>
      <c r="AJ3" s="4">
        <f ca="1">IFERROR(__xludf.DUMMYFUNCTION("""COMPUTED_VALUE"""),34)</f>
        <v>34</v>
      </c>
      <c r="AK3" s="4">
        <f ca="1">IFERROR(__xludf.DUMMYFUNCTION("""COMPUTED_VALUE"""),35)</f>
        <v>35</v>
      </c>
      <c r="AL3" s="4">
        <f ca="1">IFERROR(__xludf.DUMMYFUNCTION("""COMPUTED_VALUE"""),36)</f>
        <v>36</v>
      </c>
      <c r="AM3" s="4">
        <f ca="1">IFERROR(__xludf.DUMMYFUNCTION("""COMPUTED_VALUE"""),37)</f>
        <v>37</v>
      </c>
      <c r="AN3" s="4">
        <f ca="1">IFERROR(__xludf.DUMMYFUNCTION("""COMPUTED_VALUE"""),38)</f>
        <v>38</v>
      </c>
      <c r="AO3" s="4">
        <f ca="1">IFERROR(__xludf.DUMMYFUNCTION("""COMPUTED_VALUE"""),39)</f>
        <v>39</v>
      </c>
      <c r="AP3" s="4">
        <f ca="1">IFERROR(__xludf.DUMMYFUNCTION("""COMPUTED_VALUE"""),40)</f>
        <v>40</v>
      </c>
      <c r="AQ3" s="4">
        <f ca="1">IFERROR(__xludf.DUMMYFUNCTION("""COMPUTED_VALUE"""),41)</f>
        <v>41</v>
      </c>
      <c r="AR3" s="4"/>
      <c r="AS3" s="4"/>
      <c r="AT3" s="129">
        <f ca="1">IFERROR(__xludf.DUMMYFUNCTION("""COMPUTED_VALUE"""),44500)</f>
        <v>44500</v>
      </c>
      <c r="AU3" s="129">
        <f ca="1">IFERROR(__xludf.DUMMYFUNCTION("""COMPUTED_VALUE"""),44530)</f>
        <v>44530</v>
      </c>
      <c r="AV3" s="129">
        <f ca="1">IFERROR(__xludf.DUMMYFUNCTION("""COMPUTED_VALUE"""),44560)</f>
        <v>44560</v>
      </c>
      <c r="AW3" s="129">
        <f ca="1">IFERROR(__xludf.DUMMYFUNCTION("""COMPUTED_VALUE"""),44590)</f>
        <v>44590</v>
      </c>
      <c r="AX3" s="129">
        <f ca="1">IFERROR(__xludf.DUMMYFUNCTION("""COMPUTED_VALUE"""),44620)</f>
        <v>44620</v>
      </c>
      <c r="AY3" s="129">
        <f ca="1">IFERROR(__xludf.DUMMYFUNCTION("""COMPUTED_VALUE"""),44650)</f>
        <v>44650</v>
      </c>
      <c r="AZ3" s="129">
        <f ca="1">IFERROR(__xludf.DUMMYFUNCTION("""COMPUTED_VALUE"""),44680)</f>
        <v>44680</v>
      </c>
      <c r="BA3" s="129">
        <f ca="1">IFERROR(__xludf.DUMMYFUNCTION("""COMPUTED_VALUE"""),44710)</f>
        <v>44710</v>
      </c>
      <c r="BB3" s="129">
        <f ca="1">IFERROR(__xludf.DUMMYFUNCTION("""COMPUTED_VALUE"""),44740)</f>
        <v>44740</v>
      </c>
      <c r="BC3" s="129">
        <f ca="1">IFERROR(__xludf.DUMMYFUNCTION("""COMPUTED_VALUE"""),44770)</f>
        <v>44770</v>
      </c>
      <c r="BD3" s="129">
        <f ca="1">IFERROR(__xludf.DUMMYFUNCTION("""COMPUTED_VALUE"""),44800)</f>
        <v>44800</v>
      </c>
      <c r="BE3" s="129">
        <f ca="1">IFERROR(__xludf.DUMMYFUNCTION("""COMPUTED_VALUE"""),44830)</f>
        <v>44830</v>
      </c>
      <c r="BF3" s="129">
        <f ca="1">IFERROR(__xludf.DUMMYFUNCTION("""COMPUTED_VALUE"""),44860)</f>
        <v>44860</v>
      </c>
      <c r="BG3" s="129">
        <f ca="1">IFERROR(__xludf.DUMMYFUNCTION("""COMPUTED_VALUE"""),44890)</f>
        <v>44890</v>
      </c>
      <c r="BH3" s="129">
        <f ca="1">IFERROR(__xludf.DUMMYFUNCTION("""COMPUTED_VALUE"""),44920)</f>
        <v>44920</v>
      </c>
      <c r="BI3" s="4"/>
      <c r="BJ3" s="129">
        <f ca="1">IFERROR(__xludf.DUMMYFUNCTION("""COMPUTED_VALUE"""),44500)</f>
        <v>44500</v>
      </c>
      <c r="BK3" s="129">
        <f ca="1">IFERROR(__xludf.DUMMYFUNCTION("""COMPUTED_VALUE"""),44530)</f>
        <v>44530</v>
      </c>
      <c r="BL3" s="129">
        <f ca="1">IFERROR(__xludf.DUMMYFUNCTION("""COMPUTED_VALUE"""),44560)</f>
        <v>44560</v>
      </c>
      <c r="BM3" s="129">
        <f ca="1">IFERROR(__xludf.DUMMYFUNCTION("""COMPUTED_VALUE"""),44590)</f>
        <v>44590</v>
      </c>
      <c r="BN3" s="129">
        <f ca="1">IFERROR(__xludf.DUMMYFUNCTION("""COMPUTED_VALUE"""),44620)</f>
        <v>44620</v>
      </c>
      <c r="BO3" s="129">
        <f ca="1">IFERROR(__xludf.DUMMYFUNCTION("""COMPUTED_VALUE"""),44650)</f>
        <v>44650</v>
      </c>
      <c r="BP3" s="129">
        <f ca="1">IFERROR(__xludf.DUMMYFUNCTION("""COMPUTED_VALUE"""),44680)</f>
        <v>44680</v>
      </c>
      <c r="BQ3" s="129">
        <f ca="1">IFERROR(__xludf.DUMMYFUNCTION("""COMPUTED_VALUE"""),44710)</f>
        <v>44710</v>
      </c>
      <c r="BR3" s="129">
        <f ca="1">IFERROR(__xludf.DUMMYFUNCTION("""COMPUTED_VALUE"""),44740)</f>
        <v>44740</v>
      </c>
      <c r="BS3" s="129">
        <f ca="1">IFERROR(__xludf.DUMMYFUNCTION("""COMPUTED_VALUE"""),44770)</f>
        <v>44770</v>
      </c>
      <c r="BT3" s="129">
        <f ca="1">IFERROR(__xludf.DUMMYFUNCTION("""COMPUTED_VALUE"""),44800)</f>
        <v>44800</v>
      </c>
      <c r="BU3" s="129">
        <f ca="1">IFERROR(__xludf.DUMMYFUNCTION("""COMPUTED_VALUE"""),44830)</f>
        <v>44830</v>
      </c>
      <c r="BV3" s="129">
        <f ca="1">IFERROR(__xludf.DUMMYFUNCTION("""COMPUTED_VALUE"""),44860)</f>
        <v>44860</v>
      </c>
      <c r="BW3" s="129">
        <f ca="1">IFERROR(__xludf.DUMMYFUNCTION("""COMPUTED_VALUE"""),44890)</f>
        <v>44890</v>
      </c>
      <c r="BX3" s="129">
        <f ca="1">IFERROR(__xludf.DUMMYFUNCTION("""COMPUTED_VALUE"""),44920)</f>
        <v>44920</v>
      </c>
      <c r="BY3" s="4"/>
      <c r="BZ3" s="129">
        <f ca="1">IFERROR(__xludf.DUMMYFUNCTION("""COMPUTED_VALUE"""),44500)</f>
        <v>44500</v>
      </c>
      <c r="CA3" s="129">
        <f ca="1">IFERROR(__xludf.DUMMYFUNCTION("""COMPUTED_VALUE"""),44530)</f>
        <v>44530</v>
      </c>
      <c r="CB3" s="129">
        <f ca="1">IFERROR(__xludf.DUMMYFUNCTION("""COMPUTED_VALUE"""),44560)</f>
        <v>44560</v>
      </c>
      <c r="CC3" s="129">
        <f ca="1">IFERROR(__xludf.DUMMYFUNCTION("""COMPUTED_VALUE"""),44590)</f>
        <v>44590</v>
      </c>
      <c r="CD3" s="129">
        <f ca="1">IFERROR(__xludf.DUMMYFUNCTION("""COMPUTED_VALUE"""),44620)</f>
        <v>44620</v>
      </c>
      <c r="CE3" s="129">
        <f ca="1">IFERROR(__xludf.DUMMYFUNCTION("""COMPUTED_VALUE"""),44650)</f>
        <v>44650</v>
      </c>
      <c r="CF3" s="129">
        <f ca="1">IFERROR(__xludf.DUMMYFUNCTION("""COMPUTED_VALUE"""),44680)</f>
        <v>44680</v>
      </c>
      <c r="CG3" s="129">
        <f ca="1">IFERROR(__xludf.DUMMYFUNCTION("""COMPUTED_VALUE"""),44710)</f>
        <v>44710</v>
      </c>
      <c r="CH3" s="129">
        <f ca="1">IFERROR(__xludf.DUMMYFUNCTION("""COMPUTED_VALUE"""),44740)</f>
        <v>44740</v>
      </c>
      <c r="CI3" s="129">
        <f ca="1">IFERROR(__xludf.DUMMYFUNCTION("""COMPUTED_VALUE"""),44770)</f>
        <v>44770</v>
      </c>
      <c r="CJ3" s="129">
        <f ca="1">IFERROR(__xludf.DUMMYFUNCTION("""COMPUTED_VALUE"""),44800)</f>
        <v>44800</v>
      </c>
      <c r="CK3" s="129">
        <f ca="1">IFERROR(__xludf.DUMMYFUNCTION("""COMPUTED_VALUE"""),44830)</f>
        <v>44830</v>
      </c>
      <c r="CL3" s="129">
        <f ca="1">IFERROR(__xludf.DUMMYFUNCTION("""COMPUTED_VALUE"""),44860)</f>
        <v>44860</v>
      </c>
      <c r="CM3" s="129">
        <f ca="1">IFERROR(__xludf.DUMMYFUNCTION("""COMPUTED_VALUE"""),44890)</f>
        <v>44890</v>
      </c>
      <c r="CN3" s="129">
        <f ca="1">IFERROR(__xludf.DUMMYFUNCTION("""COMPUTED_VALUE"""),44920)</f>
        <v>44920</v>
      </c>
      <c r="CO3" s="4"/>
      <c r="CP3" s="129">
        <f ca="1">IFERROR(__xludf.DUMMYFUNCTION("""COMPUTED_VALUE"""),44500)</f>
        <v>44500</v>
      </c>
      <c r="CQ3" s="129">
        <f ca="1">IFERROR(__xludf.DUMMYFUNCTION("""COMPUTED_VALUE"""),44530)</f>
        <v>44530</v>
      </c>
      <c r="CR3" s="129">
        <f ca="1">IFERROR(__xludf.DUMMYFUNCTION("""COMPUTED_VALUE"""),44560)</f>
        <v>44560</v>
      </c>
      <c r="CS3" s="129">
        <f ca="1">IFERROR(__xludf.DUMMYFUNCTION("""COMPUTED_VALUE"""),44590)</f>
        <v>44590</v>
      </c>
      <c r="CT3" s="129">
        <f ca="1">IFERROR(__xludf.DUMMYFUNCTION("""COMPUTED_VALUE"""),44620)</f>
        <v>44620</v>
      </c>
      <c r="CU3" s="129">
        <f ca="1">IFERROR(__xludf.DUMMYFUNCTION("""COMPUTED_VALUE"""),44650)</f>
        <v>44650</v>
      </c>
      <c r="CV3" s="129">
        <f ca="1">IFERROR(__xludf.DUMMYFUNCTION("""COMPUTED_VALUE"""),44680)</f>
        <v>44680</v>
      </c>
      <c r="CW3" s="129">
        <f ca="1">IFERROR(__xludf.DUMMYFUNCTION("""COMPUTED_VALUE"""),44710)</f>
        <v>44710</v>
      </c>
      <c r="CX3" s="129">
        <f ca="1">IFERROR(__xludf.DUMMYFUNCTION("""COMPUTED_VALUE"""),44740)</f>
        <v>44740</v>
      </c>
      <c r="CY3" s="129">
        <f ca="1">IFERROR(__xludf.DUMMYFUNCTION("""COMPUTED_VALUE"""),44770)</f>
        <v>44770</v>
      </c>
      <c r="CZ3" s="129">
        <f ca="1">IFERROR(__xludf.DUMMYFUNCTION("""COMPUTED_VALUE"""),44800)</f>
        <v>44800</v>
      </c>
      <c r="DA3" s="129">
        <f ca="1">IFERROR(__xludf.DUMMYFUNCTION("""COMPUTED_VALUE"""),44830)</f>
        <v>44830</v>
      </c>
      <c r="DB3" s="129">
        <f ca="1">IFERROR(__xludf.DUMMYFUNCTION("""COMPUTED_VALUE"""),44860)</f>
        <v>44860</v>
      </c>
      <c r="DC3" s="129">
        <f ca="1">IFERROR(__xludf.DUMMYFUNCTION("""COMPUTED_VALUE"""),44890)</f>
        <v>44890</v>
      </c>
      <c r="DD3" s="129">
        <f ca="1">IFERROR(__xludf.DUMMYFUNCTION("""COMPUTED_VALUE"""),44920)</f>
        <v>44920</v>
      </c>
      <c r="DE3" s="4"/>
      <c r="DF3" s="129">
        <f ca="1">IFERROR(__xludf.DUMMYFUNCTION("""COMPUTED_VALUE"""),44500)</f>
        <v>44500</v>
      </c>
      <c r="DG3" s="129">
        <f ca="1">IFERROR(__xludf.DUMMYFUNCTION("""COMPUTED_VALUE"""),44530)</f>
        <v>44530</v>
      </c>
      <c r="DH3" s="129">
        <f ca="1">IFERROR(__xludf.DUMMYFUNCTION("""COMPUTED_VALUE"""),44560)</f>
        <v>44560</v>
      </c>
      <c r="DI3" s="129">
        <f ca="1">IFERROR(__xludf.DUMMYFUNCTION("""COMPUTED_VALUE"""),44590)</f>
        <v>44590</v>
      </c>
      <c r="DJ3" s="129">
        <f ca="1">IFERROR(__xludf.DUMMYFUNCTION("""COMPUTED_VALUE"""),44620)</f>
        <v>44620</v>
      </c>
      <c r="DK3" s="129">
        <f ca="1">IFERROR(__xludf.DUMMYFUNCTION("""COMPUTED_VALUE"""),44650)</f>
        <v>44650</v>
      </c>
      <c r="DL3" s="129">
        <f ca="1">IFERROR(__xludf.DUMMYFUNCTION("""COMPUTED_VALUE"""),44680)</f>
        <v>44680</v>
      </c>
      <c r="DM3" s="129">
        <f ca="1">IFERROR(__xludf.DUMMYFUNCTION("""COMPUTED_VALUE"""),44710)</f>
        <v>44710</v>
      </c>
      <c r="DN3" s="129">
        <f ca="1">IFERROR(__xludf.DUMMYFUNCTION("""COMPUTED_VALUE"""),44740)</f>
        <v>44740</v>
      </c>
      <c r="DO3" s="129">
        <f ca="1">IFERROR(__xludf.DUMMYFUNCTION("""COMPUTED_VALUE"""),44770)</f>
        <v>44770</v>
      </c>
      <c r="DP3" s="129">
        <f ca="1">IFERROR(__xludf.DUMMYFUNCTION("""COMPUTED_VALUE"""),44800)</f>
        <v>44800</v>
      </c>
      <c r="DQ3" s="129">
        <f ca="1">IFERROR(__xludf.DUMMYFUNCTION("""COMPUTED_VALUE"""),44830)</f>
        <v>44830</v>
      </c>
      <c r="DR3" s="129">
        <f ca="1">IFERROR(__xludf.DUMMYFUNCTION("""COMPUTED_VALUE"""),44860)</f>
        <v>44860</v>
      </c>
      <c r="DS3" s="129">
        <f ca="1">IFERROR(__xludf.DUMMYFUNCTION("""COMPUTED_VALUE"""),44890)</f>
        <v>44890</v>
      </c>
      <c r="DT3" s="129">
        <f ca="1">IFERROR(__xludf.DUMMYFUNCTION("""COMPUTED_VALUE"""),44920)</f>
        <v>44920</v>
      </c>
      <c r="DU3" s="4" t="str">
        <f ca="1">IFERROR(__xludf.DUMMYFUNCTION("""COMPUTED_VALUE"""),"Total Cash out sin Personnel Expenses")</f>
        <v>Total Cash out sin Personnel Expenses</v>
      </c>
      <c r="DV3" s="4"/>
      <c r="DW3" s="4"/>
      <c r="DX3" s="4"/>
      <c r="DY3" s="4"/>
      <c r="DZ3" s="4"/>
      <c r="EA3" s="4"/>
      <c r="EB3" s="4"/>
    </row>
    <row r="4" spans="1:132" x14ac:dyDescent="0.2">
      <c r="A4" s="4" t="str">
        <f ca="1">IFERROR(__xludf.DUMMYFUNCTION("""COMPUTED_VALUE"""),"Fila")</f>
        <v>Fila</v>
      </c>
      <c r="B4" s="4" t="str">
        <f ca="1">IFERROR(__xludf.DUMMYFUNCTION("""COMPUTED_VALUE"""),"No.")</f>
        <v>No.</v>
      </c>
      <c r="C4" s="4" t="str">
        <f ca="1">IFERROR(__xludf.DUMMYFUNCTION("""COMPUTED_VALUE"""),"SDATOOL ID")</f>
        <v>SDATOOL ID</v>
      </c>
      <c r="D4" s="4" t="str">
        <f ca="1">IFERROR(__xludf.DUMMYFUNCTION("""COMPUTED_VALUE"""),"Initiative / Project Name")</f>
        <v>Initiative / Project Name</v>
      </c>
      <c r="E4" s="4" t="str">
        <f ca="1">IFERROR(__xludf.DUMMYFUNCTION("""COMPUTED_VALUE"""),"Initiative / Project Description")</f>
        <v>Initiative / Project Description</v>
      </c>
      <c r="F4" s="4" t="str">
        <f ca="1">IFERROR(__xludf.DUMMYFUNCTION("""COMPUTED_VALUE"""),"Nature")</f>
        <v>Nature</v>
      </c>
      <c r="G4" s="4" t="str">
        <f ca="1">IFERROR(__xludf.DUMMYFUNCTION("""COMPUTED_VALUE"""),"Status 
Initiative / Project")</f>
        <v>Status 
Initiative / Project</v>
      </c>
      <c r="H4" s="4" t="str">
        <f ca="1">IFERROR(__xludf.DUMMYFUNCTION("""COMPUTED_VALUE"""),"End Date
Initiative / Project")</f>
        <v>End Date
Initiative / Project</v>
      </c>
      <c r="I4" s="4" t="str">
        <f ca="1">IFERROR(__xludf.DUMMYFUNCTION("""COMPUTED_VALUE"""),"Program Manager")</f>
        <v>Program Manager</v>
      </c>
      <c r="J4" s="4" t="str">
        <f ca="1">IFERROR(__xludf.DUMMYFUNCTION("""COMPUTED_VALUE"""),"PO")</f>
        <v>PO</v>
      </c>
      <c r="K4" s="4" t="str">
        <f ca="1">IFERROR(__xludf.DUMMYFUNCTION("""COMPUTED_VALUE"""),"Sponsor")</f>
        <v>Sponsor</v>
      </c>
      <c r="L4" s="130" t="str">
        <f ca="1">IFERROR(__xludf.DUMMYFUNCTION("""COMPUTED_VALUE"""),"Dedicación PO")</f>
        <v>Dedicación PO</v>
      </c>
      <c r="M4" s="4" t="str">
        <f ca="1">IFERROR(__xludf.DUMMYFUNCTION("""COMPUTED_VALUE"""),"Dedicación Team ENG Interno")</f>
        <v>Dedicación Team ENG Interno</v>
      </c>
      <c r="N4" s="4" t="str">
        <f ca="1">IFERROR(__xludf.DUMMYFUNCTION("""COMPUTED_VALUE"""),"Dedicación Team ENG Externo")</f>
        <v>Dedicación Team ENG Externo</v>
      </c>
      <c r="O4" s="4" t="str">
        <f ca="1">IFERROR(__xludf.DUMMYFUNCTION("""COMPUTED_VALUE"""),"Forma de trabajo")</f>
        <v>Forma de trabajo</v>
      </c>
      <c r="P4" s="4" t="str">
        <f ca="1">IFERROR(__xludf.DUMMYFUNCTION("""COMPUTED_VALUE"""),"Equipo Scrum")</f>
        <v>Equipo Scrum</v>
      </c>
      <c r="Q4" s="130" t="str">
        <f ca="1">IFERROR(__xludf.DUMMYFUNCTION("""COMPUTED_VALUE"""),"Dedicación Equipos")</f>
        <v>Dedicación Equipos</v>
      </c>
      <c r="R4" s="4" t="str">
        <f ca="1">IFERROR(__xludf.DUMMYFUNCTION("""COMPUTED_VALUE"""),"Área Sponsor")</f>
        <v>Área Sponsor</v>
      </c>
      <c r="S4" s="4" t="str">
        <f ca="1">IFERROR(__xludf.DUMMYFUNCTION("""COMPUTED_VALUE"""),"Plan")</f>
        <v>Plan</v>
      </c>
      <c r="T4" s="4" t="str">
        <f ca="1">IFERROR(__xludf.DUMMYFUNCTION("""COMPUTED_VALUE"""),"Verticales locales")</f>
        <v>Verticales locales</v>
      </c>
      <c r="U4" s="4" t="str">
        <f ca="1">IFERROR(__xludf.DUMMYFUNCTION("""COMPUTED_VALUE"""),"Sub Verticales locales")</f>
        <v>Sub Verticales locales</v>
      </c>
      <c r="V4" s="4" t="str">
        <f ca="1">IFERROR(__xludf.DUMMYFUNCTION("""COMPUTED_VALUE"""),"Macro proyecto")</f>
        <v>Macro proyecto</v>
      </c>
      <c r="W4" s="4" t="str">
        <f ca="1">IFERROR(__xludf.DUMMYFUNCTION("""COMPUTED_VALUE"""),"Prioridad")</f>
        <v>Prioridad</v>
      </c>
      <c r="X4" s="4" t="str">
        <f ca="1">IFERROR(__xludf.DUMMYFUNCTION("""COMPUTED_VALUE"""),"Eje Estratégico Strategic Review")</f>
        <v>Eje Estratégico Strategic Review</v>
      </c>
      <c r="Y4" s="4" t="str">
        <f ca="1">IFERROR(__xludf.DUMMYFUNCTION("""COMPUTED_VALUE"""),"Sub-Programa Strategic Review")</f>
        <v>Sub-Programa Strategic Review</v>
      </c>
      <c r="Z4" s="4" t="str">
        <f ca="1">IFERROR(__xludf.DUMMYFUNCTION("""COMPUTED_VALUE"""),"Deliverable ID")</f>
        <v>Deliverable ID</v>
      </c>
      <c r="AA4" s="4" t="str">
        <f ca="1">IFERROR(__xludf.DUMMYFUNCTION("""COMPUTED_VALUE"""),"Deliverable Name")</f>
        <v>Deliverable Name</v>
      </c>
      <c r="AB4" s="4" t="str">
        <f ca="1">IFERROR(__xludf.DUMMYFUNCTION("""COMPUTED_VALUE"""),"Deliverable Description")</f>
        <v>Deliverable Description</v>
      </c>
      <c r="AC4" s="4" t="str">
        <f ca="1">IFERROR(__xludf.DUMMYFUNCTION("""COMPUTED_VALUE"""),"Deliverable End Date")</f>
        <v>Deliverable End Date</v>
      </c>
      <c r="AD4" s="4" t="str">
        <f ca="1">IFERROR(__xludf.DUMMYFUNCTION("""COMPUTED_VALUE"""),"Fecha Incio Conceptualización")</f>
        <v>Fecha Incio Conceptualización</v>
      </c>
      <c r="AE4" s="4" t="str">
        <f ca="1">IFERROR(__xludf.DUMMYFUNCTION("""COMPUTED_VALUE"""),"Fecha Fin Conceptualización")</f>
        <v>Fecha Fin Conceptualización</v>
      </c>
      <c r="AF4" s="4" t="str">
        <f ca="1">IFERROR(__xludf.DUMMYFUNCTION("""COMPUTED_VALUE"""),"Fecha Incio Desarrollo")</f>
        <v>Fecha Incio Desarrollo</v>
      </c>
      <c r="AG4" s="4" t="str">
        <f ca="1">IFERROR(__xludf.DUMMYFUNCTION("""COMPUTED_VALUE"""),"Fecha Fin Desarrollo")</f>
        <v>Fecha Fin Desarrollo</v>
      </c>
      <c r="AH4" s="4" t="str">
        <f ca="1">IFERROR(__xludf.DUMMYFUNCTION("""COMPUTED_VALUE"""),"Fecha Incio Certificación")</f>
        <v>Fecha Incio Certificación</v>
      </c>
      <c r="AI4" s="4" t="str">
        <f ca="1">IFERROR(__xludf.DUMMYFUNCTION("""COMPUTED_VALUE"""),"Fecha Fin Certificación")</f>
        <v>Fecha Fin Certificación</v>
      </c>
      <c r="AJ4" s="4" t="str">
        <f ca="1">IFERROR(__xludf.DUMMYFUNCTION("""COMPUTED_VALUE"""),"Fecha Fin Producción")</f>
        <v>Fecha Fin Producción</v>
      </c>
      <c r="AK4" s="4" t="str">
        <f ca="1">IFERROR(__xludf.DUMMYFUNCTION("""COMPUTED_VALUE"""),"Feature JIRA")</f>
        <v>Feature JIRA</v>
      </c>
      <c r="AL4" s="4" t="str">
        <f ca="1">IFERROR(__xludf.DUMMYFUNCTION("""COMPUTED_VALUE"""),"Estado Ejecución")</f>
        <v>Estado Ejecución</v>
      </c>
      <c r="AM4" s="4" t="str">
        <f ca="1">IFERROR(__xludf.DUMMYFUNCTION("""COMPUTED_VALUE"""),"Observaciones")</f>
        <v>Observaciones</v>
      </c>
      <c r="AN4" s="4" t="str">
        <f ca="1">IFERROR(__xludf.DUMMYFUNCTION("""COMPUTED_VALUE"""),"Status Deliverable")</f>
        <v>Status Deliverable</v>
      </c>
      <c r="AO4" s="4" t="str">
        <f ca="1">IFERROR(__xludf.DUMMYFUNCTION("""COMPUTED_VALUE"""),"Sprint Review")</f>
        <v>Sprint Review</v>
      </c>
      <c r="AP4" s="4"/>
      <c r="AQ4" s="4"/>
      <c r="AR4" s="4"/>
      <c r="AS4" s="4"/>
      <c r="AT4" s="4" t="str">
        <f ca="1">IFERROR(__xludf.DUMMYFUNCTION("""COMPUTED_VALUE"""),"A")</f>
        <v>A</v>
      </c>
      <c r="AU4" s="4" t="str">
        <f ca="1">IFERROR(__xludf.DUMMYFUNCTION("""COMPUTED_VALUE"""),"B")</f>
        <v>B</v>
      </c>
      <c r="AV4" s="4" t="str">
        <f ca="1">IFERROR(__xludf.DUMMYFUNCTION("""COMPUTED_VALUE"""),"C")</f>
        <v>C</v>
      </c>
      <c r="AW4" s="4" t="str">
        <f ca="1">IFERROR(__xludf.DUMMYFUNCTION("""COMPUTED_VALUE"""),"D")</f>
        <v>D</v>
      </c>
      <c r="AX4" s="4" t="str">
        <f ca="1">IFERROR(__xludf.DUMMYFUNCTION("""COMPUTED_VALUE"""),"E")</f>
        <v>E</v>
      </c>
      <c r="AY4" s="4" t="str">
        <f ca="1">IFERROR(__xludf.DUMMYFUNCTION("""COMPUTED_VALUE"""),"F")</f>
        <v>F</v>
      </c>
      <c r="AZ4" s="4" t="str">
        <f ca="1">IFERROR(__xludf.DUMMYFUNCTION("""COMPUTED_VALUE"""),"G")</f>
        <v>G</v>
      </c>
      <c r="BA4" s="4" t="str">
        <f ca="1">IFERROR(__xludf.DUMMYFUNCTION("""COMPUTED_VALUE"""),"H")</f>
        <v>H</v>
      </c>
      <c r="BB4" s="4" t="str">
        <f ca="1">IFERROR(__xludf.DUMMYFUNCTION("""COMPUTED_VALUE"""),"I")</f>
        <v>I</v>
      </c>
      <c r="BC4" s="4" t="str">
        <f ca="1">IFERROR(__xludf.DUMMYFUNCTION("""COMPUTED_VALUE"""),"J")</f>
        <v>J</v>
      </c>
      <c r="BD4" s="4" t="str">
        <f ca="1">IFERROR(__xludf.DUMMYFUNCTION("""COMPUTED_VALUE"""),"K")</f>
        <v>K</v>
      </c>
      <c r="BE4" s="4" t="str">
        <f ca="1">IFERROR(__xludf.DUMMYFUNCTION("""COMPUTED_VALUE"""),"L")</f>
        <v>L</v>
      </c>
      <c r="BF4" s="4" t="str">
        <f ca="1">IFERROR(__xludf.DUMMYFUNCTION("""COMPUTED_VALUE"""),"M")</f>
        <v>M</v>
      </c>
      <c r="BG4" s="4" t="str">
        <f ca="1">IFERROR(__xludf.DUMMYFUNCTION("""COMPUTED_VALUE"""),"N")</f>
        <v>N</v>
      </c>
      <c r="BH4" s="4" t="str">
        <f ca="1">IFERROR(__xludf.DUMMYFUNCTION("""COMPUTED_VALUE"""),"Ñ")</f>
        <v>Ñ</v>
      </c>
      <c r="BI4" s="4"/>
      <c r="BJ4" s="4">
        <f ca="1">IFERROR(__xludf.DUMMYFUNCTION("""COMPUTED_VALUE"""),1)</f>
        <v>1</v>
      </c>
      <c r="BK4" s="4">
        <f ca="1">IFERROR(__xludf.DUMMYFUNCTION("""COMPUTED_VALUE"""),2)</f>
        <v>2</v>
      </c>
      <c r="BL4" s="4">
        <f ca="1">IFERROR(__xludf.DUMMYFUNCTION("""COMPUTED_VALUE"""),3)</f>
        <v>3</v>
      </c>
      <c r="BM4" s="4">
        <f ca="1">IFERROR(__xludf.DUMMYFUNCTION("""COMPUTED_VALUE"""),4)</f>
        <v>4</v>
      </c>
      <c r="BN4" s="4">
        <f ca="1">IFERROR(__xludf.DUMMYFUNCTION("""COMPUTED_VALUE"""),5)</f>
        <v>5</v>
      </c>
      <c r="BO4" s="4">
        <f ca="1">IFERROR(__xludf.DUMMYFUNCTION("""COMPUTED_VALUE"""),6)</f>
        <v>6</v>
      </c>
      <c r="BP4" s="4">
        <f ca="1">IFERROR(__xludf.DUMMYFUNCTION("""COMPUTED_VALUE"""),7)</f>
        <v>7</v>
      </c>
      <c r="BQ4" s="4">
        <f ca="1">IFERROR(__xludf.DUMMYFUNCTION("""COMPUTED_VALUE"""),8)</f>
        <v>8</v>
      </c>
      <c r="BR4" s="4">
        <f ca="1">IFERROR(__xludf.DUMMYFUNCTION("""COMPUTED_VALUE"""),9)</f>
        <v>9</v>
      </c>
      <c r="BS4" s="4">
        <f ca="1">IFERROR(__xludf.DUMMYFUNCTION("""COMPUTED_VALUE"""),10)</f>
        <v>10</v>
      </c>
      <c r="BT4" s="4">
        <f ca="1">IFERROR(__xludf.DUMMYFUNCTION("""COMPUTED_VALUE"""),11)</f>
        <v>11</v>
      </c>
      <c r="BU4" s="4">
        <f ca="1">IFERROR(__xludf.DUMMYFUNCTION("""COMPUTED_VALUE"""),12)</f>
        <v>12</v>
      </c>
      <c r="BV4" s="4">
        <f ca="1">IFERROR(__xludf.DUMMYFUNCTION("""COMPUTED_VALUE"""),13)</f>
        <v>13</v>
      </c>
      <c r="BW4" s="4">
        <f ca="1">IFERROR(__xludf.DUMMYFUNCTION("""COMPUTED_VALUE"""),14)</f>
        <v>14</v>
      </c>
      <c r="BX4" s="4">
        <f ca="1">IFERROR(__xludf.DUMMYFUNCTION("""COMPUTED_VALUE"""),15)</f>
        <v>15</v>
      </c>
      <c r="BY4" s="4"/>
      <c r="BZ4" s="4">
        <f ca="1">IFERROR(__xludf.DUMMYFUNCTION("""COMPUTED_VALUE"""),16)</f>
        <v>16</v>
      </c>
      <c r="CA4" s="4">
        <f ca="1">IFERROR(__xludf.DUMMYFUNCTION("""COMPUTED_VALUE"""),17)</f>
        <v>17</v>
      </c>
      <c r="CB4" s="4">
        <f ca="1">IFERROR(__xludf.DUMMYFUNCTION("""COMPUTED_VALUE"""),18)</f>
        <v>18</v>
      </c>
      <c r="CC4" s="4">
        <f ca="1">IFERROR(__xludf.DUMMYFUNCTION("""COMPUTED_VALUE"""),19)</f>
        <v>19</v>
      </c>
      <c r="CD4" s="4">
        <f ca="1">IFERROR(__xludf.DUMMYFUNCTION("""COMPUTED_VALUE"""),20)</f>
        <v>20</v>
      </c>
      <c r="CE4" s="4">
        <f ca="1">IFERROR(__xludf.DUMMYFUNCTION("""COMPUTED_VALUE"""),21)</f>
        <v>21</v>
      </c>
      <c r="CF4" s="4">
        <f ca="1">IFERROR(__xludf.DUMMYFUNCTION("""COMPUTED_VALUE"""),22)</f>
        <v>22</v>
      </c>
      <c r="CG4" s="4">
        <f ca="1">IFERROR(__xludf.DUMMYFUNCTION("""COMPUTED_VALUE"""),23)</f>
        <v>23</v>
      </c>
      <c r="CH4" s="4">
        <f ca="1">IFERROR(__xludf.DUMMYFUNCTION("""COMPUTED_VALUE"""),24)</f>
        <v>24</v>
      </c>
      <c r="CI4" s="4">
        <f ca="1">IFERROR(__xludf.DUMMYFUNCTION("""COMPUTED_VALUE"""),25)</f>
        <v>25</v>
      </c>
      <c r="CJ4" s="4">
        <f ca="1">IFERROR(__xludf.DUMMYFUNCTION("""COMPUTED_VALUE"""),26)</f>
        <v>26</v>
      </c>
      <c r="CK4" s="4">
        <f ca="1">IFERROR(__xludf.DUMMYFUNCTION("""COMPUTED_VALUE"""),27)</f>
        <v>27</v>
      </c>
      <c r="CL4" s="4">
        <f ca="1">IFERROR(__xludf.DUMMYFUNCTION("""COMPUTED_VALUE"""),28)</f>
        <v>28</v>
      </c>
      <c r="CM4" s="4">
        <f ca="1">IFERROR(__xludf.DUMMYFUNCTION("""COMPUTED_VALUE"""),29)</f>
        <v>29</v>
      </c>
      <c r="CN4" s="4">
        <f ca="1">IFERROR(__xludf.DUMMYFUNCTION("""COMPUTED_VALUE"""),30)</f>
        <v>30</v>
      </c>
      <c r="CO4" s="4"/>
      <c r="CP4" s="4">
        <f ca="1">IFERROR(__xludf.DUMMYFUNCTION("""COMPUTED_VALUE"""),31)</f>
        <v>31</v>
      </c>
      <c r="CQ4" s="4">
        <f ca="1">IFERROR(__xludf.DUMMYFUNCTION("""COMPUTED_VALUE"""),32)</f>
        <v>32</v>
      </c>
      <c r="CR4" s="4">
        <f ca="1">IFERROR(__xludf.DUMMYFUNCTION("""COMPUTED_VALUE"""),33)</f>
        <v>33</v>
      </c>
      <c r="CS4" s="4">
        <f ca="1">IFERROR(__xludf.DUMMYFUNCTION("""COMPUTED_VALUE"""),34)</f>
        <v>34</v>
      </c>
      <c r="CT4" s="4">
        <f ca="1">IFERROR(__xludf.DUMMYFUNCTION("""COMPUTED_VALUE"""),35)</f>
        <v>35</v>
      </c>
      <c r="CU4" s="4">
        <f ca="1">IFERROR(__xludf.DUMMYFUNCTION("""COMPUTED_VALUE"""),36)</f>
        <v>36</v>
      </c>
      <c r="CV4" s="4">
        <f ca="1">IFERROR(__xludf.DUMMYFUNCTION("""COMPUTED_VALUE"""),37)</f>
        <v>37</v>
      </c>
      <c r="CW4" s="4">
        <f ca="1">IFERROR(__xludf.DUMMYFUNCTION("""COMPUTED_VALUE"""),38)</f>
        <v>38</v>
      </c>
      <c r="CX4" s="4">
        <f ca="1">IFERROR(__xludf.DUMMYFUNCTION("""COMPUTED_VALUE"""),39)</f>
        <v>39</v>
      </c>
      <c r="CY4" s="4">
        <f ca="1">IFERROR(__xludf.DUMMYFUNCTION("""COMPUTED_VALUE"""),40)</f>
        <v>40</v>
      </c>
      <c r="CZ4" s="4">
        <f ca="1">IFERROR(__xludf.DUMMYFUNCTION("""COMPUTED_VALUE"""),41)</f>
        <v>41</v>
      </c>
      <c r="DA4" s="4">
        <f ca="1">IFERROR(__xludf.DUMMYFUNCTION("""COMPUTED_VALUE"""),42)</f>
        <v>42</v>
      </c>
      <c r="DB4" s="4">
        <f ca="1">IFERROR(__xludf.DUMMYFUNCTION("""COMPUTED_VALUE"""),43)</f>
        <v>43</v>
      </c>
      <c r="DC4" s="4">
        <f ca="1">IFERROR(__xludf.DUMMYFUNCTION("""COMPUTED_VALUE"""),44)</f>
        <v>44</v>
      </c>
      <c r="DD4" s="4">
        <f ca="1">IFERROR(__xludf.DUMMYFUNCTION("""COMPUTED_VALUE"""),45)</f>
        <v>45</v>
      </c>
      <c r="DE4" s="4"/>
      <c r="DF4" s="4">
        <f ca="1">IFERROR(__xludf.DUMMYFUNCTION("""COMPUTED_VALUE"""),46)</f>
        <v>46</v>
      </c>
      <c r="DG4" s="4">
        <f ca="1">IFERROR(__xludf.DUMMYFUNCTION("""COMPUTED_VALUE"""),47)</f>
        <v>47</v>
      </c>
      <c r="DH4" s="4">
        <f ca="1">IFERROR(__xludf.DUMMYFUNCTION("""COMPUTED_VALUE"""),48)</f>
        <v>48</v>
      </c>
      <c r="DI4" s="4">
        <f ca="1">IFERROR(__xludf.DUMMYFUNCTION("""COMPUTED_VALUE"""),49)</f>
        <v>49</v>
      </c>
      <c r="DJ4" s="4">
        <f ca="1">IFERROR(__xludf.DUMMYFUNCTION("""COMPUTED_VALUE"""),50)</f>
        <v>50</v>
      </c>
      <c r="DK4" s="4">
        <f ca="1">IFERROR(__xludf.DUMMYFUNCTION("""COMPUTED_VALUE"""),51)</f>
        <v>51</v>
      </c>
      <c r="DL4" s="4">
        <f ca="1">IFERROR(__xludf.DUMMYFUNCTION("""COMPUTED_VALUE"""),52)</f>
        <v>52</v>
      </c>
      <c r="DM4" s="4">
        <f ca="1">IFERROR(__xludf.DUMMYFUNCTION("""COMPUTED_VALUE"""),53)</f>
        <v>53</v>
      </c>
      <c r="DN4" s="4">
        <f ca="1">IFERROR(__xludf.DUMMYFUNCTION("""COMPUTED_VALUE"""),54)</f>
        <v>54</v>
      </c>
      <c r="DO4" s="4">
        <f ca="1">IFERROR(__xludf.DUMMYFUNCTION("""COMPUTED_VALUE"""),55)</f>
        <v>55</v>
      </c>
      <c r="DP4" s="4">
        <f ca="1">IFERROR(__xludf.DUMMYFUNCTION("""COMPUTED_VALUE"""),56)</f>
        <v>56</v>
      </c>
      <c r="DQ4" s="4">
        <f ca="1">IFERROR(__xludf.DUMMYFUNCTION("""COMPUTED_VALUE"""),57)</f>
        <v>57</v>
      </c>
      <c r="DR4" s="4">
        <f ca="1">IFERROR(__xludf.DUMMYFUNCTION("""COMPUTED_VALUE"""),58)</f>
        <v>58</v>
      </c>
      <c r="DS4" s="4">
        <f ca="1">IFERROR(__xludf.DUMMYFUNCTION("""COMPUTED_VALUE"""),59)</f>
        <v>59</v>
      </c>
      <c r="DT4" s="4">
        <f ca="1">IFERROR(__xludf.DUMMYFUNCTION("""COMPUTED_VALUE"""),60)</f>
        <v>60</v>
      </c>
      <c r="DU4" s="4">
        <f ca="1">IFERROR(__xludf.DUMMYFUNCTION("""COMPUTED_VALUE"""),2020)</f>
        <v>2020</v>
      </c>
      <c r="DV4" s="4">
        <f ca="1">IFERROR(__xludf.DUMMYFUNCTION("""COMPUTED_VALUE"""),2021)</f>
        <v>2021</v>
      </c>
      <c r="DW4" s="4">
        <f ca="1">IFERROR(__xludf.DUMMYFUNCTION("""COMPUTED_VALUE"""),2022)</f>
        <v>2022</v>
      </c>
      <c r="DX4" s="4">
        <f ca="1">IFERROR(__xludf.DUMMYFUNCTION("""COMPUTED_VALUE"""),2023)</f>
        <v>2023</v>
      </c>
      <c r="DY4" s="4">
        <f ca="1">IFERROR(__xludf.DUMMYFUNCTION("""COMPUTED_VALUE"""),2024)</f>
        <v>2024</v>
      </c>
      <c r="DZ4" s="4" t="str">
        <f ca="1">IFERROR(__xludf.DUMMYFUNCTION("""COMPUTED_VALUE"""),"Total")</f>
        <v>Total</v>
      </c>
      <c r="EA4" s="4"/>
      <c r="EB4" s="4"/>
    </row>
    <row r="5" spans="1:132" x14ac:dyDescent="0.2">
      <c r="A5" s="4">
        <f ca="1">IFERROR(__xludf.DUMMYFUNCTION("""COMPUTED_VALUE"""),5)</f>
        <v>5</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t="str">
        <f ca="1">IFERROR(__xludf.DUMMYFUNCTION("""COMPUTED_VALUE"""),"Sin asignar")</f>
        <v>Sin asignar</v>
      </c>
      <c r="AL5" s="4" t="str">
        <f ca="1">IFERROR(__xludf.DUMMYFUNCTION("""COMPUTED_VALUE"""),"")</f>
        <v/>
      </c>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row>
    <row r="6" spans="1:132" x14ac:dyDescent="0.2">
      <c r="A6" s="4">
        <f ca="1">IFERROR(__xludf.DUMMYFUNCTION("""COMPUTED_VALUE"""),6)</f>
        <v>6</v>
      </c>
      <c r="B6" s="4">
        <f ca="1">IFERROR(__xludf.DUMMYFUNCTION("""COMPUTED_VALUE"""),1)</f>
        <v>1</v>
      </c>
      <c r="C6" s="4" t="str">
        <f ca="1">IFERROR(__xludf.DUMMYFUNCTION("""COMPUTED_VALUE"""),"SDATOOL-40670")</f>
        <v>SDATOOL-40670</v>
      </c>
      <c r="D6" s="4" t="str">
        <f ca="1">IFERROR(__xludf.DUMMYFUNCTION("""COMPUTED_VALUE"""),"Plan CRM: Mejoras DWP Jurídicos (Pymes, Empresas,Gobiernos)")</f>
        <v>Plan CRM: Mejoras DWP Jurídicos (Pymes, Empresas,Gobiernos)</v>
      </c>
      <c r="E6" s="4" t="str">
        <f ca="1">IFERROR(__xludf.DUMMYFUNCTION("""COMPUTED_VALUE"""),"Mejoras a la herramienta de gestión comercial (DWP) de las Bancas Pyme, Empresas y Gobiernos.")</f>
        <v>Mejoras a la herramienta de gestión comercial (DWP) de las Bancas Pyme, Empresas y Gobiernos.</v>
      </c>
      <c r="F6" s="4" t="str">
        <f ca="1">IFERROR(__xludf.DUMMYFUNCTION("""COMPUTED_VALUE"""),"Project")</f>
        <v>Project</v>
      </c>
      <c r="G6" s="4" t="str">
        <f ca="1">IFERROR(__xludf.DUMMYFUNCTION("""COMPUTED_VALUE"""),"Stock")</f>
        <v>Stock</v>
      </c>
      <c r="H6" s="4" t="str">
        <f ca="1">IFERROR(__xludf.DUMMYFUNCTION("""COMPUTED_VALUE"""),"1Q 2024")</f>
        <v>1Q 2024</v>
      </c>
      <c r="I6" s="131" t="str">
        <f ca="1">IFERROR(__xludf.DUMMYFUNCTION("""COMPUTED_VALUE"""),"ana.santamaria-bbva.com")</f>
        <v>ana.santamaria-bbva.com</v>
      </c>
      <c r="J6" s="131" t="str">
        <f ca="1">IFERROR(__xludf.DUMMYFUNCTION("""COMPUTED_VALUE"""),"brigitteandrea.rincon-bbva.com")</f>
        <v>brigitteandrea.rincon-bbva.com</v>
      </c>
      <c r="K6" s="131" t="str">
        <f ca="1">IFERROR(__xludf.DUMMYFUNCTION("""COMPUTED_VALUE"""),"marthaconsuelo.parra-bbva.com")</f>
        <v>marthaconsuelo.parra-bbva.com</v>
      </c>
      <c r="L6" s="130">
        <f ca="1">IFERROR(__xludf.DUMMYFUNCTION("""COMPUTED_VALUE"""),1)</f>
        <v>1</v>
      </c>
      <c r="M6" s="130">
        <f ca="1">IFERROR(__xludf.DUMMYFUNCTION("""COMPUTED_VALUE"""),1.2)</f>
        <v>1.2</v>
      </c>
      <c r="N6" s="130">
        <f ca="1">IFERROR(__xludf.DUMMYFUNCTION("""COMPUTED_VALUE"""),0)</f>
        <v>0</v>
      </c>
      <c r="O6" s="4" t="str">
        <f ca="1">IFERROR(__xludf.DUMMYFUNCTION("""COMPUTED_VALUE"""),"Scrum")</f>
        <v>Scrum</v>
      </c>
      <c r="P6" s="4" t="str">
        <f ca="1">IFERROR(__xludf.DUMMYFUNCTION("""COMPUTED_VALUE"""),"Albatros")</f>
        <v>Albatros</v>
      </c>
      <c r="Q6" s="130">
        <f ca="1">IFERROR(__xludf.DUMMYFUNCTION("""COMPUTED_VALUE"""),1)</f>
        <v>1</v>
      </c>
      <c r="R6" s="130" t="str">
        <f ca="1">IFERROR(__xludf.DUMMYFUNCTION("""COMPUTED_VALUE"""),"Business Innovation &amp; Strategy")</f>
        <v>Business Innovation &amp; Strategy</v>
      </c>
      <c r="S6" s="130" t="str">
        <f ca="1">IFERROR(__xludf.DUMMYFUNCTION("""COMPUTED_VALUE"""),"Plan Ascenso")</f>
        <v>Plan Ascenso</v>
      </c>
      <c r="T6" s="130" t="str">
        <f ca="1">IFERROR(__xludf.DUMMYFUNCTION("""COMPUTED_VALUE"""),"2. Modelo de relación y distribución")</f>
        <v>2. Modelo de relación y distribución</v>
      </c>
      <c r="U6" s="130" t="str">
        <f ca="1">IFERROR(__xludf.DUMMYFUNCTION("""COMPUTED_VALUE"""),"2.3. Herramientas de la Red")</f>
        <v>2.3. Herramientas de la Red</v>
      </c>
      <c r="V6" s="4" t="str">
        <f ca="1">IFERROR(__xludf.DUMMYFUNCTION("""COMPUTED_VALUE"""),"CRM")</f>
        <v>CRM</v>
      </c>
      <c r="W6" s="4">
        <f ca="1">IFERROR(__xludf.DUMMYFUNCTION("""COMPUTED_VALUE"""),1)</f>
        <v>1</v>
      </c>
      <c r="X6" s="4" t="str">
        <f ca="1">IFERROR(__xludf.DUMMYFUNCTION("""COMPUTED_VALUE"""),"09. Data")</f>
        <v>09. Data</v>
      </c>
      <c r="Y6" s="4" t="str">
        <f ca="1">IFERROR(__xludf.DUMMYFUNCTION("""COMPUTED_VALUE"""),"5.6.5 CRM")</f>
        <v>5.6.5 CRM</v>
      </c>
      <c r="Z6" s="132" t="str">
        <f ca="1">IFERROR(__xludf.DUMMYFUNCTION("""COMPUTED_VALUE"""),"619760")</f>
        <v>619760</v>
      </c>
      <c r="AA6" s="4" t="str">
        <f ca="1">IFERROR(__xludf.DUMMYFUNCTION("""COMPUTED_VALUE"""),"Mejoras DWP PJ - Formalización, Plan cuenta, Campañas, Oportunidades")</f>
        <v>Mejoras DWP PJ - Formalización, Plan cuenta, Campañas, Oportunidades</v>
      </c>
      <c r="AB6" s="4" t="str">
        <f ca="1">IFERROR(__xludf.DUMMYFUNCTION("""COMPUTED_VALUE"""),"Incluir valor de formalización en la etapa de FORMALIZACIÓN
Editar Respuestas de un plan de cuenta validado
Alertamiento al Gerente de Cuenta, de clientes no visitados
Subir al Site en DWP los enlaces de Incentivación, Reuniones individuales, a demás info"&amp;"rmación relevante de la BE
Vista de cartera con datos básicos, incluida la sostenibilidad (o enlace disponible)")</f>
        <v>Incluir valor de formalización en la etapa de FORMALIZACIÓN
Editar Respuestas de un plan de cuenta validado
Alertamiento al Gerente de Cuenta, de clientes no visitados
Subir al Site en DWP los enlaces de Incentivación, Reuniones individuales, a demás información relevante de la BE
Vista de cartera con datos básicos, incluida la sostenibilidad (o enlace disponible)</v>
      </c>
      <c r="AC6" s="4" t="str">
        <f ca="1">IFERROR(__xludf.DUMMYFUNCTION("""COMPUTED_VALUE"""),"1Q 2023")</f>
        <v>1Q 2023</v>
      </c>
      <c r="AD6" s="4"/>
      <c r="AE6" s="4"/>
      <c r="AF6" s="4"/>
      <c r="AG6" s="4"/>
      <c r="AH6" s="4"/>
      <c r="AI6" s="4"/>
      <c r="AJ6" s="4"/>
      <c r="AK6" s="131" t="str">
        <f ca="1">IFERROR(__xludf.DUMMYFUNCTION("""COMPUTED_VALUE"""),"COLWSCRM-900")</f>
        <v>COLWSCRM-900</v>
      </c>
      <c r="AL6" s="4" t="str">
        <f ca="1">IFERROR(__xludf.DUMMYFUNCTION("""COMPUTED_VALUE"""),"Deployed")</f>
        <v>Deployed</v>
      </c>
      <c r="AM6" s="4"/>
      <c r="AN6" s="4" t="str">
        <f ca="1">IFERROR(__xludf.DUMMYFUNCTION("""COMPUTED_VALUE"""),"Entregable en desarrollo")</f>
        <v>Entregable en desarrollo</v>
      </c>
      <c r="AO6" s="4" t="str">
        <f ca="1">IFERROR(__xludf.DUMMYFUNCTION("""COMPUTED_VALUE"""),"Transformación de la Red")</f>
        <v>Transformación de la Red</v>
      </c>
      <c r="AP6" s="4"/>
      <c r="AQ6" s="4"/>
      <c r="AR6" s="4" t="str">
        <f ca="1">IFERROR(__xludf.DUMMYFUNCTION("""COMPUTED_VALUE"""),"SDA aprobada en PPP Q1 2023")</f>
        <v>SDA aprobada en PPP Q1 2023</v>
      </c>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133">
        <f ca="1">IFERROR(__xludf.DUMMYFUNCTION("""COMPUTED_VALUE"""),0)</f>
        <v>0</v>
      </c>
      <c r="DV6" s="133">
        <f ca="1">IFERROR(__xludf.DUMMYFUNCTION("""COMPUTED_VALUE"""),0)</f>
        <v>0</v>
      </c>
      <c r="DW6" s="133">
        <f ca="1">IFERROR(__xludf.DUMMYFUNCTION("""COMPUTED_VALUE"""),0)</f>
        <v>0</v>
      </c>
      <c r="DX6" s="133">
        <f ca="1">IFERROR(__xludf.DUMMYFUNCTION("""COMPUTED_VALUE"""),449926212)</f>
        <v>449926212</v>
      </c>
      <c r="DY6" s="133">
        <f ca="1">IFERROR(__xludf.DUMMYFUNCTION("""COMPUTED_VALUE"""),100000000)</f>
        <v>100000000</v>
      </c>
      <c r="DZ6" s="133">
        <f ca="1">IFERROR(__xludf.DUMMYFUNCTION("""COMPUTED_VALUE"""),549926212)</f>
        <v>549926212</v>
      </c>
      <c r="EA6" s="4"/>
      <c r="EB6" s="4"/>
    </row>
    <row r="7" spans="1:132" x14ac:dyDescent="0.2">
      <c r="A7" s="4">
        <f ca="1">IFERROR(__xludf.DUMMYFUNCTION("""COMPUTED_VALUE"""),7)</f>
        <v>7</v>
      </c>
      <c r="B7" s="4">
        <f ca="1">IFERROR(__xludf.DUMMYFUNCTION("""COMPUTED_VALUE"""),2)</f>
        <v>2</v>
      </c>
      <c r="C7" s="4" t="str">
        <f ca="1">IFERROR(__xludf.DUMMYFUNCTION("""COMPUTED_VALUE"""),"SDATOOL-40670")</f>
        <v>SDATOOL-40670</v>
      </c>
      <c r="D7" s="4" t="str">
        <f ca="1">IFERROR(__xludf.DUMMYFUNCTION("""COMPUTED_VALUE"""),"Plan CRM: Mejoras DWP Jurídicos (Pymes, Empresas,Gobiernos)")</f>
        <v>Plan CRM: Mejoras DWP Jurídicos (Pymes, Empresas,Gobiernos)</v>
      </c>
      <c r="E7" s="4" t="str">
        <f ca="1">IFERROR(__xludf.DUMMYFUNCTION("""COMPUTED_VALUE"""),"Mejoras a la herramienta de gestión comercial (DWP) de las Bancas Pyme, Empresas y Gobiernos.")</f>
        <v>Mejoras a la herramienta de gestión comercial (DWP) de las Bancas Pyme, Empresas y Gobiernos.</v>
      </c>
      <c r="F7" s="4" t="str">
        <f ca="1">IFERROR(__xludf.DUMMYFUNCTION("""COMPUTED_VALUE"""),"Project")</f>
        <v>Project</v>
      </c>
      <c r="G7" s="4" t="str">
        <f ca="1">IFERROR(__xludf.DUMMYFUNCTION("""COMPUTED_VALUE"""),"Stock")</f>
        <v>Stock</v>
      </c>
      <c r="H7" s="4" t="str">
        <f ca="1">IFERROR(__xludf.DUMMYFUNCTION("""COMPUTED_VALUE"""),"1Q 2024")</f>
        <v>1Q 2024</v>
      </c>
      <c r="I7" s="131" t="str">
        <f ca="1">IFERROR(__xludf.DUMMYFUNCTION("""COMPUTED_VALUE"""),"ana.santamaria-bbva.com")</f>
        <v>ana.santamaria-bbva.com</v>
      </c>
      <c r="J7" s="131" t="str">
        <f ca="1">IFERROR(__xludf.DUMMYFUNCTION("""COMPUTED_VALUE"""),"brigitteandrea.rincon-bbva.com")</f>
        <v>brigitteandrea.rincon-bbva.com</v>
      </c>
      <c r="K7" s="131" t="str">
        <f ca="1">IFERROR(__xludf.DUMMYFUNCTION("""COMPUTED_VALUE"""),"marthaconsuelo.parra-bbva.com")</f>
        <v>marthaconsuelo.parra-bbva.com</v>
      </c>
      <c r="L7" s="4"/>
      <c r="M7" s="4"/>
      <c r="N7" s="4"/>
      <c r="O7" s="4" t="str">
        <f ca="1">IFERROR(__xludf.DUMMYFUNCTION("""COMPUTED_VALUE"""),"Scrum")</f>
        <v>Scrum</v>
      </c>
      <c r="P7" s="4" t="str">
        <f ca="1">IFERROR(__xludf.DUMMYFUNCTION("""COMPUTED_VALUE"""),"Albatros")</f>
        <v>Albatros</v>
      </c>
      <c r="Q7" s="4"/>
      <c r="R7" s="130" t="str">
        <f ca="1">IFERROR(__xludf.DUMMYFUNCTION("""COMPUTED_VALUE"""),"Business Innovation &amp; Strategy")</f>
        <v>Business Innovation &amp; Strategy</v>
      </c>
      <c r="S7" s="130" t="str">
        <f ca="1">IFERROR(__xludf.DUMMYFUNCTION("""COMPUTED_VALUE"""),"Plan Ascenso")</f>
        <v>Plan Ascenso</v>
      </c>
      <c r="T7" s="130" t="str">
        <f ca="1">IFERROR(__xludf.DUMMYFUNCTION("""COMPUTED_VALUE"""),"2. Modelo de relación y distribución")</f>
        <v>2. Modelo de relación y distribución</v>
      </c>
      <c r="U7" s="130" t="str">
        <f ca="1">IFERROR(__xludf.DUMMYFUNCTION("""COMPUTED_VALUE"""),"2.3. Herramientas de la Red")</f>
        <v>2.3. Herramientas de la Red</v>
      </c>
      <c r="V7" s="4" t="str">
        <f ca="1">IFERROR(__xludf.DUMMYFUNCTION("""COMPUTED_VALUE"""),"CRM")</f>
        <v>CRM</v>
      </c>
      <c r="W7" s="4">
        <f ca="1">IFERROR(__xludf.DUMMYFUNCTION("""COMPUTED_VALUE"""),1)</f>
        <v>1</v>
      </c>
      <c r="X7" s="4" t="str">
        <f ca="1">IFERROR(__xludf.DUMMYFUNCTION("""COMPUTED_VALUE"""),"09. Data")</f>
        <v>09. Data</v>
      </c>
      <c r="Y7" s="4" t="str">
        <f ca="1">IFERROR(__xludf.DUMMYFUNCTION("""COMPUTED_VALUE"""),"5.6.5 CRM")</f>
        <v>5.6.5 CRM</v>
      </c>
      <c r="Z7" s="132" t="str">
        <f ca="1">IFERROR(__xludf.DUMMYFUNCTION("""COMPUTED_VALUE"""),"610440")</f>
        <v>610440</v>
      </c>
      <c r="AA7" s="4" t="str">
        <f ca="1">IFERROR(__xludf.DUMMYFUNCTION("""COMPUTED_VALUE"""),"Calculadora RORC - Ajustes en Host y ASO")</f>
        <v>Calculadora RORC - Ajustes en Host y ASO</v>
      </c>
      <c r="AB7" s="4" t="str">
        <f ca="1">IFERROR(__xludf.DUMMYFUNCTION("""COMPUTED_VALUE"""),"Implementar los ajustes necesarios en metodología para la calculadora RORC, estos ajustes se deben realizar en Nacar y 3270")</f>
        <v>Implementar los ajustes necesarios en metodología para la calculadora RORC, estos ajustes se deben realizar en Nacar y 3270</v>
      </c>
      <c r="AC7" s="4" t="str">
        <f ca="1">IFERROR(__xludf.DUMMYFUNCTION("""COMPUTED_VALUE"""),"3Q 2023")</f>
        <v>3Q 2023</v>
      </c>
      <c r="AD7" s="4"/>
      <c r="AE7" s="4"/>
      <c r="AF7" s="4"/>
      <c r="AG7" s="4"/>
      <c r="AH7" s="4"/>
      <c r="AI7" s="4"/>
      <c r="AJ7" s="4"/>
      <c r="AK7" s="131" t="str">
        <f ca="1">IFERROR(__xludf.DUMMYFUNCTION("""COMPUTED_VALUE"""),"COLWSPREST-6784")</f>
        <v>COLWSPREST-6784</v>
      </c>
      <c r="AL7" s="4" t="str">
        <f ca="1">IFERROR(__xludf.DUMMYFUNCTION("""COMPUTED_VALUE"""),"En progreso")</f>
        <v>En progreso</v>
      </c>
      <c r="AM7" s="4"/>
      <c r="AN7" s="4" t="str">
        <f ca="1">IFERROR(__xludf.DUMMYFUNCTION("""COMPUTED_VALUE"""),"Entregable en Conceptualización")</f>
        <v>Entregable en Conceptualización</v>
      </c>
      <c r="AO7" s="4" t="str">
        <f ca="1">IFERROR(__xludf.DUMMYFUNCTION("""COMPUTED_VALUE"""),"Transformación de la Red")</f>
        <v>Transformación de la Red</v>
      </c>
      <c r="AP7" s="4"/>
      <c r="AQ7" s="4"/>
      <c r="AR7" s="4" t="str">
        <f ca="1">IFERROR(__xludf.DUMMYFUNCTION("""COMPUTED_VALUE"""),"SDA aprobada en PPP Q1 2023")</f>
        <v>SDA aprobada en PPP Q1 2023</v>
      </c>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row>
    <row r="8" spans="1:132" x14ac:dyDescent="0.2">
      <c r="A8" s="4">
        <f ca="1">IFERROR(__xludf.DUMMYFUNCTION("""COMPUTED_VALUE"""),8)</f>
        <v>8</v>
      </c>
      <c r="B8" s="4">
        <f ca="1">IFERROR(__xludf.DUMMYFUNCTION("""COMPUTED_VALUE"""),3)</f>
        <v>3</v>
      </c>
      <c r="C8" s="4" t="str">
        <f ca="1">IFERROR(__xludf.DUMMYFUNCTION("""COMPUTED_VALUE"""),"SDATOOL-40670")</f>
        <v>SDATOOL-40670</v>
      </c>
      <c r="D8" s="4" t="str">
        <f ca="1">IFERROR(__xludf.DUMMYFUNCTION("""COMPUTED_VALUE"""),"Plan CRM: Mejoras DWP Jurídicos (Pymes, Empresas,Gobiernos)")</f>
        <v>Plan CRM: Mejoras DWP Jurídicos (Pymes, Empresas,Gobiernos)</v>
      </c>
      <c r="E8" s="4" t="str">
        <f ca="1">IFERROR(__xludf.DUMMYFUNCTION("""COMPUTED_VALUE"""),"Mejoras a la herramienta de gestión comercial (DWP) de las Bancas Pyme, Empresas y Gobiernos.")</f>
        <v>Mejoras a la herramienta de gestión comercial (DWP) de las Bancas Pyme, Empresas y Gobiernos.</v>
      </c>
      <c r="F8" s="4" t="str">
        <f ca="1">IFERROR(__xludf.DUMMYFUNCTION("""COMPUTED_VALUE"""),"Project")</f>
        <v>Project</v>
      </c>
      <c r="G8" s="4" t="str">
        <f ca="1">IFERROR(__xludf.DUMMYFUNCTION("""COMPUTED_VALUE"""),"Stock")</f>
        <v>Stock</v>
      </c>
      <c r="H8" s="4" t="str">
        <f ca="1">IFERROR(__xludf.DUMMYFUNCTION("""COMPUTED_VALUE"""),"1Q 2024")</f>
        <v>1Q 2024</v>
      </c>
      <c r="I8" s="131" t="str">
        <f ca="1">IFERROR(__xludf.DUMMYFUNCTION("""COMPUTED_VALUE"""),"ana.santamaria-bbva.com")</f>
        <v>ana.santamaria-bbva.com</v>
      </c>
      <c r="J8" s="131" t="str">
        <f ca="1">IFERROR(__xludf.DUMMYFUNCTION("""COMPUTED_VALUE"""),"brigitteandrea.rincon-bbva.com")</f>
        <v>brigitteandrea.rincon-bbva.com</v>
      </c>
      <c r="K8" s="131" t="str">
        <f ca="1">IFERROR(__xludf.DUMMYFUNCTION("""COMPUTED_VALUE"""),"marthaconsuelo.parra-bbva.com")</f>
        <v>marthaconsuelo.parra-bbva.com</v>
      </c>
      <c r="L8" s="4"/>
      <c r="M8" s="4"/>
      <c r="N8" s="4"/>
      <c r="O8" s="4" t="str">
        <f ca="1">IFERROR(__xludf.DUMMYFUNCTION("""COMPUTED_VALUE"""),"Scrum")</f>
        <v>Scrum</v>
      </c>
      <c r="P8" s="4" t="str">
        <f ca="1">IFERROR(__xludf.DUMMYFUNCTION("""COMPUTED_VALUE"""),"Albatros")</f>
        <v>Albatros</v>
      </c>
      <c r="Q8" s="4"/>
      <c r="R8" s="130" t="str">
        <f ca="1">IFERROR(__xludf.DUMMYFUNCTION("""COMPUTED_VALUE"""),"Business Innovation &amp; Strategy")</f>
        <v>Business Innovation &amp; Strategy</v>
      </c>
      <c r="S8" s="130" t="str">
        <f ca="1">IFERROR(__xludf.DUMMYFUNCTION("""COMPUTED_VALUE"""),"Plan Ascenso")</f>
        <v>Plan Ascenso</v>
      </c>
      <c r="T8" s="130" t="str">
        <f ca="1">IFERROR(__xludf.DUMMYFUNCTION("""COMPUTED_VALUE"""),"2. Modelo de relación y distribución")</f>
        <v>2. Modelo de relación y distribución</v>
      </c>
      <c r="U8" s="130" t="str">
        <f ca="1">IFERROR(__xludf.DUMMYFUNCTION("""COMPUTED_VALUE"""),"2.3. Herramientas de la Red")</f>
        <v>2.3. Herramientas de la Red</v>
      </c>
      <c r="V8" s="4" t="str">
        <f ca="1">IFERROR(__xludf.DUMMYFUNCTION("""COMPUTED_VALUE"""),"CRM")</f>
        <v>CRM</v>
      </c>
      <c r="W8" s="4">
        <f ca="1">IFERROR(__xludf.DUMMYFUNCTION("""COMPUTED_VALUE"""),1)</f>
        <v>1</v>
      </c>
      <c r="X8" s="4" t="str">
        <f ca="1">IFERROR(__xludf.DUMMYFUNCTION("""COMPUTED_VALUE"""),"09. Data")</f>
        <v>09. Data</v>
      </c>
      <c r="Y8" s="4" t="str">
        <f ca="1">IFERROR(__xludf.DUMMYFUNCTION("""COMPUTED_VALUE"""),"5.6.5 CRM")</f>
        <v>5.6.5 CRM</v>
      </c>
      <c r="Z8" s="132" t="str">
        <f ca="1">IFERROR(__xludf.DUMMYFUNCTION("""COMPUTED_VALUE"""),"610441")</f>
        <v>610441</v>
      </c>
      <c r="AA8" s="4" t="str">
        <f ca="1">IFERROR(__xludf.DUMMYFUNCTION("""COMPUTED_VALUE"""),"Calculadora RORC - Ajustes en DWP")</f>
        <v>Calculadora RORC - Ajustes en DWP</v>
      </c>
      <c r="AB8" s="4" t="str">
        <f ca="1">IFERROR(__xludf.DUMMYFUNCTION("""COMPUTED_VALUE"""),"Cálculo de RORC para nuevas operaciones, visualización RORC en ficha cliente y seguimiento a compromisos")</f>
        <v>Cálculo de RORC para nuevas operaciones, visualización RORC en ficha cliente y seguimiento a compromisos</v>
      </c>
      <c r="AC8" s="4" t="str">
        <f ca="1">IFERROR(__xludf.DUMMYFUNCTION("""COMPUTED_VALUE"""),"3Q 2023")</f>
        <v>3Q 2023</v>
      </c>
      <c r="AD8" s="4"/>
      <c r="AE8" s="4"/>
      <c r="AF8" s="4"/>
      <c r="AG8" s="4"/>
      <c r="AH8" s="4"/>
      <c r="AI8" s="4"/>
      <c r="AJ8" s="4"/>
      <c r="AK8" s="131" t="str">
        <f ca="1">IFERROR(__xludf.DUMMYFUNCTION("""COMPUTED_VALUE"""),"COLWSCRM-540")</f>
        <v>COLWSCRM-540</v>
      </c>
      <c r="AL8" s="4" t="str">
        <f ca="1">IFERROR(__xludf.DUMMYFUNCTION("""COMPUTED_VALUE"""),"Analysing")</f>
        <v>Analysing</v>
      </c>
      <c r="AM8" s="4"/>
      <c r="AN8" s="4" t="str">
        <f ca="1">IFERROR(__xludf.DUMMYFUNCTION("""COMPUTED_VALUE"""),"Entregable en Conceptualización")</f>
        <v>Entregable en Conceptualización</v>
      </c>
      <c r="AO8" s="4" t="str">
        <f ca="1">IFERROR(__xludf.DUMMYFUNCTION("""COMPUTED_VALUE"""),"Transformación de la Red")</f>
        <v>Transformación de la Red</v>
      </c>
      <c r="AP8" s="4"/>
      <c r="AQ8" s="4"/>
      <c r="AR8" s="4" t="str">
        <f ca="1">IFERROR(__xludf.DUMMYFUNCTION("""COMPUTED_VALUE"""),"SDA aprobada en PPP Q1 2023")</f>
        <v>SDA aprobada en PPP Q1 2023</v>
      </c>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row>
    <row r="9" spans="1:132" x14ac:dyDescent="0.2">
      <c r="A9" s="4">
        <f ca="1">IFERROR(__xludf.DUMMYFUNCTION("""COMPUTED_VALUE"""),9)</f>
        <v>9</v>
      </c>
      <c r="B9" s="4">
        <f ca="1">IFERROR(__xludf.DUMMYFUNCTION("""COMPUTED_VALUE"""),4)</f>
        <v>4</v>
      </c>
      <c r="C9" s="4" t="str">
        <f ca="1">IFERROR(__xludf.DUMMYFUNCTION("""COMPUTED_VALUE"""),"SDATOOL-40670")</f>
        <v>SDATOOL-40670</v>
      </c>
      <c r="D9" s="4" t="str">
        <f ca="1">IFERROR(__xludf.DUMMYFUNCTION("""COMPUTED_VALUE"""),"Plan CRM: Mejoras DWP Jurídicos (Pymes, Empresas,Gobiernos)")</f>
        <v>Plan CRM: Mejoras DWP Jurídicos (Pymes, Empresas,Gobiernos)</v>
      </c>
      <c r="E9" s="4" t="str">
        <f ca="1">IFERROR(__xludf.DUMMYFUNCTION("""COMPUTED_VALUE"""),"Mejoras a la herramienta de gestión comercial (DWP) de las Bancas Pyme, Empresas y Gobiernos.")</f>
        <v>Mejoras a la herramienta de gestión comercial (DWP) de las Bancas Pyme, Empresas y Gobiernos.</v>
      </c>
      <c r="F9" s="4" t="str">
        <f ca="1">IFERROR(__xludf.DUMMYFUNCTION("""COMPUTED_VALUE"""),"Project")</f>
        <v>Project</v>
      </c>
      <c r="G9" s="4" t="str">
        <f ca="1">IFERROR(__xludf.DUMMYFUNCTION("""COMPUTED_VALUE"""),"Stock")</f>
        <v>Stock</v>
      </c>
      <c r="H9" s="4" t="str">
        <f ca="1">IFERROR(__xludf.DUMMYFUNCTION("""COMPUTED_VALUE"""),"1Q 2024")</f>
        <v>1Q 2024</v>
      </c>
      <c r="I9" s="131" t="str">
        <f ca="1">IFERROR(__xludf.DUMMYFUNCTION("""COMPUTED_VALUE"""),"ana.santamaria-bbva.com")</f>
        <v>ana.santamaria-bbva.com</v>
      </c>
      <c r="J9" s="131" t="str">
        <f ca="1">IFERROR(__xludf.DUMMYFUNCTION("""COMPUTED_VALUE"""),"brigitteandrea.rincon-bbva.com")</f>
        <v>brigitteandrea.rincon-bbva.com</v>
      </c>
      <c r="K9" s="131" t="str">
        <f ca="1">IFERROR(__xludf.DUMMYFUNCTION("""COMPUTED_VALUE"""),"marthaconsuelo.parra-bbva.com")</f>
        <v>marthaconsuelo.parra-bbva.com</v>
      </c>
      <c r="L9" s="4"/>
      <c r="M9" s="4"/>
      <c r="N9" s="4"/>
      <c r="O9" s="4" t="str">
        <f ca="1">IFERROR(__xludf.DUMMYFUNCTION("""COMPUTED_VALUE"""),"Scrum")</f>
        <v>Scrum</v>
      </c>
      <c r="P9" s="4" t="str">
        <f ca="1">IFERROR(__xludf.DUMMYFUNCTION("""COMPUTED_VALUE"""),"Albatros")</f>
        <v>Albatros</v>
      </c>
      <c r="Q9" s="4"/>
      <c r="R9" s="130" t="str">
        <f ca="1">IFERROR(__xludf.DUMMYFUNCTION("""COMPUTED_VALUE"""),"Business Innovation &amp; Strategy")</f>
        <v>Business Innovation &amp; Strategy</v>
      </c>
      <c r="S9" s="130" t="str">
        <f ca="1">IFERROR(__xludf.DUMMYFUNCTION("""COMPUTED_VALUE"""),"Plan Ascenso")</f>
        <v>Plan Ascenso</v>
      </c>
      <c r="T9" s="130" t="str">
        <f ca="1">IFERROR(__xludf.DUMMYFUNCTION("""COMPUTED_VALUE"""),"2. Modelo de relación y distribución")</f>
        <v>2. Modelo de relación y distribución</v>
      </c>
      <c r="U9" s="130" t="str">
        <f ca="1">IFERROR(__xludf.DUMMYFUNCTION("""COMPUTED_VALUE"""),"2.3. Herramientas de la Red")</f>
        <v>2.3. Herramientas de la Red</v>
      </c>
      <c r="V9" s="4" t="str">
        <f ca="1">IFERROR(__xludf.DUMMYFUNCTION("""COMPUTED_VALUE"""),"CRM")</f>
        <v>CRM</v>
      </c>
      <c r="W9" s="4">
        <f ca="1">IFERROR(__xludf.DUMMYFUNCTION("""COMPUTED_VALUE"""),1)</f>
        <v>1</v>
      </c>
      <c r="X9" s="4" t="str">
        <f ca="1">IFERROR(__xludf.DUMMYFUNCTION("""COMPUTED_VALUE"""),"09. Data")</f>
        <v>09. Data</v>
      </c>
      <c r="Y9" s="4" t="str">
        <f ca="1">IFERROR(__xludf.DUMMYFUNCTION("""COMPUTED_VALUE"""),"5.6.5 CRM")</f>
        <v>5.6.5 CRM</v>
      </c>
      <c r="Z9" s="132" t="str">
        <f ca="1">IFERROR(__xludf.DUMMYFUNCTION("""COMPUTED_VALUE"""),"713264")</f>
        <v>713264</v>
      </c>
      <c r="AA9" s="4" t="str">
        <f ca="1">IFERROR(__xludf.DUMMYFUNCTION("""COMPUTED_VALUE"""),"Mejoras DWP-PJ: Oportunidades,Campañas,UX,Ficha Grupo,Ajuste Incidencias")</f>
        <v>Mejoras DWP-PJ: Oportunidades,Campañas,UX,Ficha Grupo,Ajuste Incidencias</v>
      </c>
      <c r="AB9" s="4" t="str">
        <f ca="1">IFERROR(__xludf.DUMMYFUNCTION("""COMPUTED_VALUE"""),"Mejoras DWP-PJ: Oportunidades,Campañas,UX,Ficha Grupo,Ajuste Incidencias")</f>
        <v>Mejoras DWP-PJ: Oportunidades,Campañas,UX,Ficha Grupo,Ajuste Incidencias</v>
      </c>
      <c r="AC9" s="4" t="str">
        <f ca="1">IFERROR(__xludf.DUMMYFUNCTION("""COMPUTED_VALUE"""),"2Q 2023")</f>
        <v>2Q 2023</v>
      </c>
      <c r="AD9" s="4"/>
      <c r="AE9" s="4"/>
      <c r="AF9" s="4"/>
      <c r="AG9" s="4"/>
      <c r="AH9" s="4"/>
      <c r="AI9" s="4"/>
      <c r="AJ9" s="4"/>
      <c r="AK9" s="131" t="str">
        <f ca="1">IFERROR(__xludf.DUMMYFUNCTION("""COMPUTED_VALUE"""),"COLWSCRM-2287")</f>
        <v>COLWSCRM-2287</v>
      </c>
      <c r="AL9" s="4" t="str">
        <f ca="1">IFERROR(__xludf.DUMMYFUNCTION("""COMPUTED_VALUE"""),"New")</f>
        <v>New</v>
      </c>
      <c r="AM9" s="4"/>
      <c r="AN9" s="4" t="str">
        <f ca="1">IFERROR(__xludf.DUMMYFUNCTION("""COMPUTED_VALUE"""),"Entregable en backlog")</f>
        <v>Entregable en backlog</v>
      </c>
      <c r="AO9" s="4" t="str">
        <f ca="1">IFERROR(__xludf.DUMMYFUNCTION("""COMPUTED_VALUE"""),"Transformación de la Red")</f>
        <v>Transformación de la Red</v>
      </c>
      <c r="AP9" s="4"/>
      <c r="AQ9" s="4"/>
      <c r="AR9" s="4" t="str">
        <f ca="1">IFERROR(__xludf.DUMMYFUNCTION("""COMPUTED_VALUE"""),"SDA aprobada en PPP Q1 2023")</f>
        <v>SDA aprobada en PPP Q1 2023</v>
      </c>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row>
    <row r="10" spans="1:132" x14ac:dyDescent="0.2">
      <c r="A10" s="4">
        <f ca="1">IFERROR(__xludf.DUMMYFUNCTION("""COMPUTED_VALUE"""),10)</f>
        <v>10</v>
      </c>
      <c r="B10" s="4"/>
      <c r="C10" s="4" t="str">
        <f ca="1">IFERROR(__xludf.DUMMYFUNCTION("""COMPUTED_VALUE"""),"SDATOOL-40670")</f>
        <v>SDATOOL-40670</v>
      </c>
      <c r="D10" s="4" t="str">
        <f ca="1">IFERROR(__xludf.DUMMYFUNCTION("""COMPUTED_VALUE"""),"Plan CRM: Mejoras DWP Jurídicos (Pymes, Empresas,Gobiernos)")</f>
        <v>Plan CRM: Mejoras DWP Jurídicos (Pymes, Empresas,Gobiernos)</v>
      </c>
      <c r="E10" s="4" t="str">
        <f ca="1">IFERROR(__xludf.DUMMYFUNCTION("""COMPUTED_VALUE"""),"Mejoras a la herramienta de gestión comercial (DWP) de las Bancas Pyme, Empresas y Gobiernos.")</f>
        <v>Mejoras a la herramienta de gestión comercial (DWP) de las Bancas Pyme, Empresas y Gobiernos.</v>
      </c>
      <c r="F10" s="4" t="str">
        <f ca="1">IFERROR(__xludf.DUMMYFUNCTION("""COMPUTED_VALUE"""),"Project")</f>
        <v>Project</v>
      </c>
      <c r="G10" s="4" t="str">
        <f ca="1">IFERROR(__xludf.DUMMYFUNCTION("""COMPUTED_VALUE"""),"Stock")</f>
        <v>Stock</v>
      </c>
      <c r="H10" s="4" t="str">
        <f ca="1">IFERROR(__xludf.DUMMYFUNCTION("""COMPUTED_VALUE"""),"1Q 2024")</f>
        <v>1Q 2024</v>
      </c>
      <c r="I10" s="131" t="str">
        <f ca="1">IFERROR(__xludf.DUMMYFUNCTION("""COMPUTED_VALUE"""),"ana.santamaria-bbva.com")</f>
        <v>ana.santamaria-bbva.com</v>
      </c>
      <c r="J10" s="131" t="str">
        <f ca="1">IFERROR(__xludf.DUMMYFUNCTION("""COMPUTED_VALUE"""),"brigitteandrea.rincon-bbva.com")</f>
        <v>brigitteandrea.rincon-bbva.com</v>
      </c>
      <c r="K10" s="131" t="str">
        <f ca="1">IFERROR(__xludf.DUMMYFUNCTION("""COMPUTED_VALUE"""),"marthaconsuelo.parra-bbva.com")</f>
        <v>marthaconsuelo.parra-bbva.com</v>
      </c>
      <c r="L10" s="4"/>
      <c r="M10" s="4"/>
      <c r="N10" s="4"/>
      <c r="O10" s="4" t="str">
        <f ca="1">IFERROR(__xludf.DUMMYFUNCTION("""COMPUTED_VALUE"""),"Scrum")</f>
        <v>Scrum</v>
      </c>
      <c r="P10" s="4" t="str">
        <f ca="1">IFERROR(__xludf.DUMMYFUNCTION("""COMPUTED_VALUE"""),"Albatros")</f>
        <v>Albatros</v>
      </c>
      <c r="Q10" s="4"/>
      <c r="R10" s="130" t="str">
        <f ca="1">IFERROR(__xludf.DUMMYFUNCTION("""COMPUTED_VALUE"""),"Business Innovation &amp; Strategy")</f>
        <v>Business Innovation &amp; Strategy</v>
      </c>
      <c r="S10" s="130" t="str">
        <f ca="1">IFERROR(__xludf.DUMMYFUNCTION("""COMPUTED_VALUE"""),"Plan Ascenso")</f>
        <v>Plan Ascenso</v>
      </c>
      <c r="T10" s="130" t="str">
        <f ca="1">IFERROR(__xludf.DUMMYFUNCTION("""COMPUTED_VALUE"""),"2. Modelo de relación y distribución")</f>
        <v>2. Modelo de relación y distribución</v>
      </c>
      <c r="U10" s="130" t="str">
        <f ca="1">IFERROR(__xludf.DUMMYFUNCTION("""COMPUTED_VALUE"""),"2.3. Herramientas de la Red")</f>
        <v>2.3. Herramientas de la Red</v>
      </c>
      <c r="V10" s="4" t="str">
        <f ca="1">IFERROR(__xludf.DUMMYFUNCTION("""COMPUTED_VALUE"""),"CRM")</f>
        <v>CRM</v>
      </c>
      <c r="W10" s="4">
        <f ca="1">IFERROR(__xludf.DUMMYFUNCTION("""COMPUTED_VALUE"""),1)</f>
        <v>1</v>
      </c>
      <c r="X10" s="4" t="str">
        <f ca="1">IFERROR(__xludf.DUMMYFUNCTION("""COMPUTED_VALUE"""),"09. Data")</f>
        <v>09. Data</v>
      </c>
      <c r="Y10" s="4" t="str">
        <f ca="1">IFERROR(__xludf.DUMMYFUNCTION("""COMPUTED_VALUE"""),"5.6.5 CRM")</f>
        <v>5.6.5 CRM</v>
      </c>
      <c r="Z10" s="132" t="str">
        <f ca="1">IFERROR(__xludf.DUMMYFUNCTION("""COMPUTED_VALUE"""),"723683")</f>
        <v>723683</v>
      </c>
      <c r="AA10" s="4" t="str">
        <f ca="1">IFERROR(__xludf.DUMMYFUNCTION("""COMPUTED_VALUE"""),"Ficha Cliente:limites de riesgo, grupo, NPS.Plan estratégico del portafolio")</f>
        <v>Ficha Cliente:limites de riesgo, grupo, NPS.Plan estratégico del portafolio</v>
      </c>
      <c r="AB10" s="4" t="str">
        <f ca="1">IFERROR(__xludf.DUMMYFUNCTION("""COMPUTED_VALUE"""),"Ficha Cliente:limites de riesgo, grupo, NPS.Plan estratégico del portafolio")</f>
        <v>Ficha Cliente:limites de riesgo, grupo, NPS.Plan estratégico del portafolio</v>
      </c>
      <c r="AC10" s="4" t="str">
        <f ca="1">IFERROR(__xludf.DUMMYFUNCTION("""COMPUTED_VALUE"""),"3Q 2023")</f>
        <v>3Q 2023</v>
      </c>
      <c r="AD10" s="4"/>
      <c r="AE10" s="4"/>
      <c r="AF10" s="4"/>
      <c r="AG10" s="4"/>
      <c r="AH10" s="4"/>
      <c r="AI10" s="4"/>
      <c r="AJ10" s="4"/>
      <c r="AK10" s="4" t="str">
        <f ca="1">IFERROR(__xludf.DUMMYFUNCTION("""COMPUTED_VALUE"""),"Sin asignar")</f>
        <v>Sin asignar</v>
      </c>
      <c r="AL10" s="4" t="str">
        <f ca="1">IFERROR(__xludf.DUMMYFUNCTION("""COMPUTED_VALUE"""),"Sin asignar")</f>
        <v>Sin asignar</v>
      </c>
      <c r="AM10" s="4"/>
      <c r="AN10" s="4" t="str">
        <f ca="1">IFERROR(__xludf.DUMMYFUNCTION("""COMPUTED_VALUE"""),"Entregable en backlog")</f>
        <v>Entregable en backlog</v>
      </c>
      <c r="AO10" s="4" t="str">
        <f ca="1">IFERROR(__xludf.DUMMYFUNCTION("""COMPUTED_VALUE"""),"Transformación de la Red")</f>
        <v>Transformación de la Red</v>
      </c>
      <c r="AP10" s="4"/>
      <c r="AQ10" s="4"/>
      <c r="AR10" s="4" t="str">
        <f ca="1">IFERROR(__xludf.DUMMYFUNCTION("""COMPUTED_VALUE"""),"SDA aprobada en PPP Q1 2023")</f>
        <v>SDA aprobada en PPP Q1 2023</v>
      </c>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row>
    <row r="11" spans="1:132" x14ac:dyDescent="0.2">
      <c r="A11" s="4">
        <f ca="1">IFERROR(__xludf.DUMMYFUNCTION("""COMPUTED_VALUE"""),11)</f>
        <v>11</v>
      </c>
      <c r="B11" s="4"/>
      <c r="C11" s="4" t="str">
        <f ca="1">IFERROR(__xludf.DUMMYFUNCTION("""COMPUTED_VALUE"""),"SDATOOL-40670")</f>
        <v>SDATOOL-40670</v>
      </c>
      <c r="D11" s="4" t="str">
        <f ca="1">IFERROR(__xludf.DUMMYFUNCTION("""COMPUTED_VALUE"""),"Plan CRM: Mejoras DWP Jurídicos (Pymes, Empresas,Gobiernos)")</f>
        <v>Plan CRM: Mejoras DWP Jurídicos (Pymes, Empresas,Gobiernos)</v>
      </c>
      <c r="E11" s="4" t="str">
        <f ca="1">IFERROR(__xludf.DUMMYFUNCTION("""COMPUTED_VALUE"""),"Mejoras a la herramienta de gestión comercial (DWP) de las Bancas Pyme, Empresas y Gobiernos.")</f>
        <v>Mejoras a la herramienta de gestión comercial (DWP) de las Bancas Pyme, Empresas y Gobiernos.</v>
      </c>
      <c r="F11" s="4" t="str">
        <f ca="1">IFERROR(__xludf.DUMMYFUNCTION("""COMPUTED_VALUE"""),"Project")</f>
        <v>Project</v>
      </c>
      <c r="G11" s="4" t="str">
        <f ca="1">IFERROR(__xludf.DUMMYFUNCTION("""COMPUTED_VALUE"""),"Stock")</f>
        <v>Stock</v>
      </c>
      <c r="H11" s="4" t="str">
        <f ca="1">IFERROR(__xludf.DUMMYFUNCTION("""COMPUTED_VALUE"""),"1Q 2024")</f>
        <v>1Q 2024</v>
      </c>
      <c r="I11" s="131" t="str">
        <f ca="1">IFERROR(__xludf.DUMMYFUNCTION("""COMPUTED_VALUE"""),"ana.santamaria-bbva.com")</f>
        <v>ana.santamaria-bbva.com</v>
      </c>
      <c r="J11" s="131" t="str">
        <f ca="1">IFERROR(__xludf.DUMMYFUNCTION("""COMPUTED_VALUE"""),"brigitteandrea.rincon-bbva.com")</f>
        <v>brigitteandrea.rincon-bbva.com</v>
      </c>
      <c r="K11" s="131" t="str">
        <f ca="1">IFERROR(__xludf.DUMMYFUNCTION("""COMPUTED_VALUE"""),"marthaconsuelo.parra-bbva.com")</f>
        <v>marthaconsuelo.parra-bbva.com</v>
      </c>
      <c r="L11" s="4"/>
      <c r="M11" s="4"/>
      <c r="N11" s="4"/>
      <c r="O11" s="4" t="str">
        <f ca="1">IFERROR(__xludf.DUMMYFUNCTION("""COMPUTED_VALUE"""),"Scrum")</f>
        <v>Scrum</v>
      </c>
      <c r="P11" s="4" t="str">
        <f ca="1">IFERROR(__xludf.DUMMYFUNCTION("""COMPUTED_VALUE"""),"Albatros")</f>
        <v>Albatros</v>
      </c>
      <c r="Q11" s="4"/>
      <c r="R11" s="130" t="str">
        <f ca="1">IFERROR(__xludf.DUMMYFUNCTION("""COMPUTED_VALUE"""),"Business Innovation &amp; Strategy")</f>
        <v>Business Innovation &amp; Strategy</v>
      </c>
      <c r="S11" s="130" t="str">
        <f ca="1">IFERROR(__xludf.DUMMYFUNCTION("""COMPUTED_VALUE"""),"Plan Ascenso")</f>
        <v>Plan Ascenso</v>
      </c>
      <c r="T11" s="130" t="str">
        <f ca="1">IFERROR(__xludf.DUMMYFUNCTION("""COMPUTED_VALUE"""),"2. Modelo de relación y distribución")</f>
        <v>2. Modelo de relación y distribución</v>
      </c>
      <c r="U11" s="130" t="str">
        <f ca="1">IFERROR(__xludf.DUMMYFUNCTION("""COMPUTED_VALUE"""),"2.3. Herramientas de la Red")</f>
        <v>2.3. Herramientas de la Red</v>
      </c>
      <c r="V11" s="4" t="str">
        <f ca="1">IFERROR(__xludf.DUMMYFUNCTION("""COMPUTED_VALUE"""),"CRM")</f>
        <v>CRM</v>
      </c>
      <c r="W11" s="4">
        <f ca="1">IFERROR(__xludf.DUMMYFUNCTION("""COMPUTED_VALUE"""),1)</f>
        <v>1</v>
      </c>
      <c r="X11" s="4" t="str">
        <f ca="1">IFERROR(__xludf.DUMMYFUNCTION("""COMPUTED_VALUE"""),"09. Data")</f>
        <v>09. Data</v>
      </c>
      <c r="Y11" s="4" t="str">
        <f ca="1">IFERROR(__xludf.DUMMYFUNCTION("""COMPUTED_VALUE"""),"5.6.5 CRM")</f>
        <v>5.6.5 CRM</v>
      </c>
      <c r="Z11" s="132" t="str">
        <f ca="1">IFERROR(__xludf.DUMMYFUNCTION("""COMPUTED_VALUE"""),"723684")</f>
        <v>723684</v>
      </c>
      <c r="AA11" s="4" t="str">
        <f ca="1">IFERROR(__xludf.DUMMYFUNCTION("""COMPUTED_VALUE"""),"Rentabilidad global,KPIs: plan cuenta, programas financieros")</f>
        <v>Rentabilidad global,KPIs: plan cuenta, programas financieros</v>
      </c>
      <c r="AB11" s="4" t="str">
        <f ca="1">IFERROR(__xludf.DUMMYFUNCTION("""COMPUTED_VALUE"""),"Rentabilidad global,KPIs: plan cuenta, programas financieros")</f>
        <v>Rentabilidad global,KPIs: plan cuenta, programas financieros</v>
      </c>
      <c r="AC11" s="4" t="str">
        <f ca="1">IFERROR(__xludf.DUMMYFUNCTION("""COMPUTED_VALUE"""),"4Q 2023")</f>
        <v>4Q 2023</v>
      </c>
      <c r="AD11" s="4"/>
      <c r="AE11" s="4"/>
      <c r="AF11" s="4"/>
      <c r="AG11" s="4"/>
      <c r="AH11" s="4"/>
      <c r="AI11" s="4"/>
      <c r="AJ11" s="4"/>
      <c r="AK11" s="4" t="str">
        <f ca="1">IFERROR(__xludf.DUMMYFUNCTION("""COMPUTED_VALUE"""),"Sin asignar")</f>
        <v>Sin asignar</v>
      </c>
      <c r="AL11" s="4" t="str">
        <f ca="1">IFERROR(__xludf.DUMMYFUNCTION("""COMPUTED_VALUE"""),"Sin asignar")</f>
        <v>Sin asignar</v>
      </c>
      <c r="AM11" s="4"/>
      <c r="AN11" s="4" t="str">
        <f ca="1">IFERROR(__xludf.DUMMYFUNCTION("""COMPUTED_VALUE"""),"Entregable en backlog")</f>
        <v>Entregable en backlog</v>
      </c>
      <c r="AO11" s="4" t="str">
        <f ca="1">IFERROR(__xludf.DUMMYFUNCTION("""COMPUTED_VALUE"""),"Transformación de la Red")</f>
        <v>Transformación de la Red</v>
      </c>
      <c r="AP11" s="4"/>
      <c r="AQ11" s="4"/>
      <c r="AR11" s="4" t="str">
        <f ca="1">IFERROR(__xludf.DUMMYFUNCTION("""COMPUTED_VALUE"""),"SDA aprobada en PPP Q1 2023")</f>
        <v>SDA aprobada en PPP Q1 2023</v>
      </c>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row>
    <row r="12" spans="1:132" x14ac:dyDescent="0.2">
      <c r="A12" s="4">
        <f ca="1">IFERROR(__xludf.DUMMYFUNCTION("""COMPUTED_VALUE"""),12)</f>
        <v>12</v>
      </c>
      <c r="B12" s="4">
        <f ca="1">IFERROR(__xludf.DUMMYFUNCTION("""COMPUTED_VALUE"""),5)</f>
        <v>5</v>
      </c>
      <c r="C12" s="4" t="str">
        <f ca="1">IFERROR(__xludf.DUMMYFUNCTION("""COMPUTED_VALUE"""),"SDATOOL-40671")</f>
        <v>SDATOOL-40671</v>
      </c>
      <c r="D12" s="4" t="str">
        <f ca="1">IFERROR(__xludf.DUMMYFUNCTION("""COMPUTED_VALUE"""),"Plan CRM: Mejoras DWP Particulares Alto Valor (Personal, Wealth)")</f>
        <v>Plan CRM: Mejoras DWP Particulares Alto Valor (Personal, Wealth)</v>
      </c>
      <c r="E12" s="4" t="str">
        <f ca="1">IFERROR(__xludf.DUMMYFUNCTION("""COMPUTED_VALUE"""),"Mejoras a la herramienta de gestión comercial (DWP) de las Bancas Personal y Wealth")</f>
        <v>Mejoras a la herramienta de gestión comercial (DWP) de las Bancas Personal y Wealth</v>
      </c>
      <c r="F12" s="4" t="str">
        <f ca="1">IFERROR(__xludf.DUMMYFUNCTION("""COMPUTED_VALUE"""),"Project")</f>
        <v>Project</v>
      </c>
      <c r="G12" s="4" t="str">
        <f ca="1">IFERROR(__xludf.DUMMYFUNCTION("""COMPUTED_VALUE"""),"Stock")</f>
        <v>Stock</v>
      </c>
      <c r="H12" s="4" t="str">
        <f ca="1">IFERROR(__xludf.DUMMYFUNCTION("""COMPUTED_VALUE"""),"1Q 2024")</f>
        <v>1Q 2024</v>
      </c>
      <c r="I12" s="131" t="str">
        <f ca="1">IFERROR(__xludf.DUMMYFUNCTION("""COMPUTED_VALUE"""),"ana.santamaria-bbva.com")</f>
        <v>ana.santamaria-bbva.com</v>
      </c>
      <c r="J12" s="131" t="str">
        <f ca="1">IFERROR(__xludf.DUMMYFUNCTION("""COMPUTED_VALUE"""),"jessicalorena.moncaleano-bbva.com")</f>
        <v>jessicalorena.moncaleano-bbva.com</v>
      </c>
      <c r="K12" s="131" t="str">
        <f ca="1">IFERROR(__xludf.DUMMYFUNCTION("""COMPUTED_VALUE"""),"pabloalexand.ortiz-bbva.com")</f>
        <v>pabloalexand.ortiz-bbva.com</v>
      </c>
      <c r="L12" s="130">
        <f ca="1">IFERROR(__xludf.DUMMYFUNCTION("""COMPUTED_VALUE"""),1)</f>
        <v>1</v>
      </c>
      <c r="M12" s="130">
        <f ca="1">IFERROR(__xludf.DUMMYFUNCTION("""COMPUTED_VALUE"""),0)</f>
        <v>0</v>
      </c>
      <c r="N12" s="130">
        <f ca="1">IFERROR(__xludf.DUMMYFUNCTION("""COMPUTED_VALUE"""),0)</f>
        <v>0</v>
      </c>
      <c r="O12" s="4" t="str">
        <f ca="1">IFERROR(__xludf.DUMMYFUNCTION("""COMPUTED_VALUE"""),"Scrum")</f>
        <v>Scrum</v>
      </c>
      <c r="P12" s="4" t="str">
        <f ca="1">IFERROR(__xludf.DUMMYFUNCTION("""COMPUTED_VALUE"""),"Soul Team")</f>
        <v>Soul Team</v>
      </c>
      <c r="Q12" s="130">
        <f ca="1">IFERROR(__xludf.DUMMYFUNCTION("""COMPUTED_VALUE"""),1)</f>
        <v>1</v>
      </c>
      <c r="R12" s="130" t="str">
        <f ca="1">IFERROR(__xludf.DUMMYFUNCTION("""COMPUTED_VALUE"""),"Business Innovation &amp; Strategy")</f>
        <v>Business Innovation &amp; Strategy</v>
      </c>
      <c r="S12" s="130" t="str">
        <f ca="1">IFERROR(__xludf.DUMMYFUNCTION("""COMPUTED_VALUE"""),"Plan Ascenso")</f>
        <v>Plan Ascenso</v>
      </c>
      <c r="T12" s="130" t="str">
        <f ca="1">IFERROR(__xludf.DUMMYFUNCTION("""COMPUTED_VALUE"""),"2. Modelo de relación y distribución")</f>
        <v>2. Modelo de relación y distribución</v>
      </c>
      <c r="U12" s="130" t="str">
        <f ca="1">IFERROR(__xludf.DUMMYFUNCTION("""COMPUTED_VALUE"""),"2.3. Herramientas de la Red")</f>
        <v>2.3. Herramientas de la Red</v>
      </c>
      <c r="V12" s="4" t="str">
        <f ca="1">IFERROR(__xludf.DUMMYFUNCTION("""COMPUTED_VALUE"""),"CRM")</f>
        <v>CRM</v>
      </c>
      <c r="W12" s="4">
        <f ca="1">IFERROR(__xludf.DUMMYFUNCTION("""COMPUTED_VALUE"""),1)</f>
        <v>1</v>
      </c>
      <c r="X12" s="4" t="str">
        <f ca="1">IFERROR(__xludf.DUMMYFUNCTION("""COMPUTED_VALUE"""),"09. Data")</f>
        <v>09. Data</v>
      </c>
      <c r="Y12" s="4" t="str">
        <f ca="1">IFERROR(__xludf.DUMMYFUNCTION("""COMPUTED_VALUE"""),"5.6.5 CRM")</f>
        <v>5.6.5 CRM</v>
      </c>
      <c r="Z12" s="132" t="str">
        <f ca="1">IFERROR(__xludf.DUMMYFUNCTION("""COMPUTED_VALUE"""),"619357")</f>
        <v>619357</v>
      </c>
      <c r="AA12" s="4" t="str">
        <f ca="1">IFERROR(__xludf.DUMMYFUNCTION("""COMPUTED_VALUE"""),"Mejoras Campañas, Oportunidades, Otras. Implem. Sitios. Mejoras propuesta")</f>
        <v>Mejoras Campañas, Oportunidades, Otras. Implem. Sitios. Mejoras propuesta</v>
      </c>
      <c r="AB12" s="4" t="str">
        <f ca="1">IFERROR(__xludf.DUMMYFUNCTION("""COMPUTED_VALUE"""),"Personalizar cada uno de los productos que se gestionan en la funcionalidad de oportunidades con el detalle de las variables y flujo correspondiente a la operativa actual. Creación modulo sitios. Mejora modulo campañas.  Ajustes generador propuesta. Despl"&amp;"iegue de la herramienta en tablets.")</f>
        <v>Personalizar cada uno de los productos que se gestionan en la funcionalidad de oportunidades con el detalle de las variables y flujo correspondiente a la operativa actual. Creación modulo sitios. Mejora modulo campañas.  Ajustes generador propuesta. Despliegue de la herramienta en tablets.</v>
      </c>
      <c r="AC12" s="4" t="str">
        <f ca="1">IFERROR(__xludf.DUMMYFUNCTION("""COMPUTED_VALUE"""),"1Q 2023")</f>
        <v>1Q 2023</v>
      </c>
      <c r="AD12" s="4"/>
      <c r="AE12" s="4"/>
      <c r="AF12" s="4"/>
      <c r="AG12" s="4"/>
      <c r="AH12" s="4"/>
      <c r="AI12" s="4"/>
      <c r="AJ12" s="4"/>
      <c r="AK12" s="131" t="str">
        <f ca="1">IFERROR(__xludf.DUMMYFUNCTION("""COMPUTED_VALUE"""),"COLWSDATIO-2553")</f>
        <v>COLWSDATIO-2553</v>
      </c>
      <c r="AL12" s="4" t="str">
        <f ca="1">IFERROR(__xludf.DUMMYFUNCTION("""COMPUTED_VALUE"""),"Ready To Verify")</f>
        <v>Ready To Verify</v>
      </c>
      <c r="AM12" s="4"/>
      <c r="AN12" s="4" t="str">
        <f ca="1">IFERROR(__xludf.DUMMYFUNCTION("""COMPUTED_VALUE"""),"Entregable en desarrollo")</f>
        <v>Entregable en desarrollo</v>
      </c>
      <c r="AO12" s="4" t="str">
        <f ca="1">IFERROR(__xludf.DUMMYFUNCTION("""COMPUTED_VALUE"""),"Transformación de la Red")</f>
        <v>Transformación de la Red</v>
      </c>
      <c r="AP12" s="4"/>
      <c r="AQ12" s="4"/>
      <c r="AR12" s="4" t="str">
        <f ca="1">IFERROR(__xludf.DUMMYFUNCTION("""COMPUTED_VALUE"""),"SDA aprobada en PPP Q1 2023")</f>
        <v>SDA aprobada en PPP Q1 2023</v>
      </c>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133">
        <f ca="1">IFERROR(__xludf.DUMMYFUNCTION("""COMPUTED_VALUE"""),0)</f>
        <v>0</v>
      </c>
      <c r="DV12" s="133">
        <f ca="1">IFERROR(__xludf.DUMMYFUNCTION("""COMPUTED_VALUE"""),0)</f>
        <v>0</v>
      </c>
      <c r="DW12" s="133">
        <f ca="1">IFERROR(__xludf.DUMMYFUNCTION("""COMPUTED_VALUE"""),0)</f>
        <v>0</v>
      </c>
      <c r="DX12" s="133">
        <f ca="1">IFERROR(__xludf.DUMMYFUNCTION("""COMPUTED_VALUE"""),429910237)</f>
        <v>429910237</v>
      </c>
      <c r="DY12" s="133">
        <f ca="1">IFERROR(__xludf.DUMMYFUNCTION("""COMPUTED_VALUE"""),120000000)</f>
        <v>120000000</v>
      </c>
      <c r="DZ12" s="133">
        <f ca="1">IFERROR(__xludf.DUMMYFUNCTION("""COMPUTED_VALUE"""),549910237)</f>
        <v>549910237</v>
      </c>
      <c r="EA12" s="4"/>
      <c r="EB12" s="4"/>
    </row>
    <row r="13" spans="1:132" x14ac:dyDescent="0.2">
      <c r="A13" s="4">
        <f ca="1">IFERROR(__xludf.DUMMYFUNCTION("""COMPUTED_VALUE"""),13)</f>
        <v>13</v>
      </c>
      <c r="B13" s="4">
        <f ca="1">IFERROR(__xludf.DUMMYFUNCTION("""COMPUTED_VALUE"""),6)</f>
        <v>6</v>
      </c>
      <c r="C13" s="4" t="str">
        <f ca="1">IFERROR(__xludf.DUMMYFUNCTION("""COMPUTED_VALUE"""),"SDATOOL-40671")</f>
        <v>SDATOOL-40671</v>
      </c>
      <c r="D13" s="4" t="str">
        <f ca="1">IFERROR(__xludf.DUMMYFUNCTION("""COMPUTED_VALUE"""),"Plan CRM: Mejoras DWP Particulares Alto Valor (Personal, Wealth)")</f>
        <v>Plan CRM: Mejoras DWP Particulares Alto Valor (Personal, Wealth)</v>
      </c>
      <c r="E13" s="4" t="str">
        <f ca="1">IFERROR(__xludf.DUMMYFUNCTION("""COMPUTED_VALUE"""),"Mejoras a la herramienta de gestión comercial (DWP) de las Bancas Personal y Wealth")</f>
        <v>Mejoras a la herramienta de gestión comercial (DWP) de las Bancas Personal y Wealth</v>
      </c>
      <c r="F13" s="4" t="str">
        <f ca="1">IFERROR(__xludf.DUMMYFUNCTION("""COMPUTED_VALUE"""),"Project")</f>
        <v>Project</v>
      </c>
      <c r="G13" s="4" t="str">
        <f ca="1">IFERROR(__xludf.DUMMYFUNCTION("""COMPUTED_VALUE"""),"Stock")</f>
        <v>Stock</v>
      </c>
      <c r="H13" s="4" t="str">
        <f ca="1">IFERROR(__xludf.DUMMYFUNCTION("""COMPUTED_VALUE"""),"1Q 2024")</f>
        <v>1Q 2024</v>
      </c>
      <c r="I13" s="131" t="str">
        <f ca="1">IFERROR(__xludf.DUMMYFUNCTION("""COMPUTED_VALUE"""),"ana.santamaria-bbva.com")</f>
        <v>ana.santamaria-bbva.com</v>
      </c>
      <c r="J13" s="131" t="str">
        <f ca="1">IFERROR(__xludf.DUMMYFUNCTION("""COMPUTED_VALUE"""),"jessicalorena.moncaleano-bbva.com")</f>
        <v>jessicalorena.moncaleano-bbva.com</v>
      </c>
      <c r="K13" s="131" t="str">
        <f ca="1">IFERROR(__xludf.DUMMYFUNCTION("""COMPUTED_VALUE"""),"pabloalexand.ortiz-bbva.com")</f>
        <v>pabloalexand.ortiz-bbva.com</v>
      </c>
      <c r="L13" s="4"/>
      <c r="M13" s="4"/>
      <c r="N13" s="4"/>
      <c r="O13" s="4" t="str">
        <f ca="1">IFERROR(__xludf.DUMMYFUNCTION("""COMPUTED_VALUE"""),"Scrum")</f>
        <v>Scrum</v>
      </c>
      <c r="P13" s="4" t="str">
        <f ca="1">IFERROR(__xludf.DUMMYFUNCTION("""COMPUTED_VALUE"""),"Soul Team")</f>
        <v>Soul Team</v>
      </c>
      <c r="Q13" s="4"/>
      <c r="R13" s="130" t="str">
        <f ca="1">IFERROR(__xludf.DUMMYFUNCTION("""COMPUTED_VALUE"""),"Business Innovation &amp; Strategy")</f>
        <v>Business Innovation &amp; Strategy</v>
      </c>
      <c r="S13" s="130" t="str">
        <f ca="1">IFERROR(__xludf.DUMMYFUNCTION("""COMPUTED_VALUE"""),"Plan Ascenso")</f>
        <v>Plan Ascenso</v>
      </c>
      <c r="T13" s="130" t="str">
        <f ca="1">IFERROR(__xludf.DUMMYFUNCTION("""COMPUTED_VALUE"""),"2. Modelo de relación y distribución")</f>
        <v>2. Modelo de relación y distribución</v>
      </c>
      <c r="U13" s="130" t="str">
        <f ca="1">IFERROR(__xludf.DUMMYFUNCTION("""COMPUTED_VALUE"""),"2.3. Herramientas de la Red")</f>
        <v>2.3. Herramientas de la Red</v>
      </c>
      <c r="V13" s="4" t="str">
        <f ca="1">IFERROR(__xludf.DUMMYFUNCTION("""COMPUTED_VALUE"""),"CRM")</f>
        <v>CRM</v>
      </c>
      <c r="W13" s="4">
        <f ca="1">IFERROR(__xludf.DUMMYFUNCTION("""COMPUTED_VALUE"""),1)</f>
        <v>1</v>
      </c>
      <c r="X13" s="4" t="str">
        <f ca="1">IFERROR(__xludf.DUMMYFUNCTION("""COMPUTED_VALUE"""),"09. Data")</f>
        <v>09. Data</v>
      </c>
      <c r="Y13" s="4" t="str">
        <f ca="1">IFERROR(__xludf.DUMMYFUNCTION("""COMPUTED_VALUE"""),"5.6.5 CRM")</f>
        <v>5.6.5 CRM</v>
      </c>
      <c r="Z13" s="132" t="str">
        <f ca="1">IFERROR(__xludf.DUMMYFUNCTION("""COMPUTED_VALUE"""),"619480")</f>
        <v>619480</v>
      </c>
      <c r="AA13" s="4" t="str">
        <f ca="1">IFERROR(__xludf.DUMMYFUNCTION("""COMPUTED_VALUE"""),"Rentabilidad, análisis de portafolio, marketing cloud y mis conversaciones")</f>
        <v>Rentabilidad, análisis de portafolio, marketing cloud y mis conversaciones</v>
      </c>
      <c r="AB13" s="4" t="str">
        <f ca="1">IFERROR(__xludf.DUMMYFUNCTION("""COMPUTED_VALUE"""),"- Funcionalidad de rentabilidad y margen de interés : 
- Análisis de portafolio (de cartera)
- Integración con Marketing Cloud
- Incorporar módulo de mis conversaciones")</f>
        <v>- Funcionalidad de rentabilidad y margen de interés : 
- Análisis de portafolio (de cartera)
- Integración con Marketing Cloud
- Incorporar módulo de mis conversaciones</v>
      </c>
      <c r="AC13" s="4" t="str">
        <f ca="1">IFERROR(__xludf.DUMMYFUNCTION("""COMPUTED_VALUE"""),"3Q 2023")</f>
        <v>3Q 2023</v>
      </c>
      <c r="AD13" s="4"/>
      <c r="AE13" s="4"/>
      <c r="AF13" s="4"/>
      <c r="AG13" s="4"/>
      <c r="AH13" s="4"/>
      <c r="AI13" s="4"/>
      <c r="AJ13" s="4"/>
      <c r="AK13" s="4" t="str">
        <f ca="1">IFERROR(__xludf.DUMMYFUNCTION("""COMPUTED_VALUE"""),"Sin asignar")</f>
        <v>Sin asignar</v>
      </c>
      <c r="AL13" s="4" t="str">
        <f ca="1">IFERROR(__xludf.DUMMYFUNCTION("""COMPUTED_VALUE"""),"Sin asignar")</f>
        <v>Sin asignar</v>
      </c>
      <c r="AM13" s="4"/>
      <c r="AN13" s="4" t="str">
        <f ca="1">IFERROR(__xludf.DUMMYFUNCTION("""COMPUTED_VALUE"""),"Entregable en backlog")</f>
        <v>Entregable en backlog</v>
      </c>
      <c r="AO13" s="4" t="str">
        <f ca="1">IFERROR(__xludf.DUMMYFUNCTION("""COMPUTED_VALUE"""),"Transformación de la Red")</f>
        <v>Transformación de la Red</v>
      </c>
      <c r="AP13" s="4"/>
      <c r="AQ13" s="4"/>
      <c r="AR13" s="4" t="str">
        <f ca="1">IFERROR(__xludf.DUMMYFUNCTION("""COMPUTED_VALUE"""),"SDA aprobada en PPP Q1 2023")</f>
        <v>SDA aprobada en PPP Q1 2023</v>
      </c>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row>
    <row r="14" spans="1:132" x14ac:dyDescent="0.2">
      <c r="A14" s="4">
        <f ca="1">IFERROR(__xludf.DUMMYFUNCTION("""COMPUTED_VALUE"""),14)</f>
        <v>14</v>
      </c>
      <c r="B14" s="4">
        <f ca="1">IFERROR(__xludf.DUMMYFUNCTION("""COMPUTED_VALUE"""),7)</f>
        <v>7</v>
      </c>
      <c r="C14" s="4" t="str">
        <f ca="1">IFERROR(__xludf.DUMMYFUNCTION("""COMPUTED_VALUE"""),"SDATOOL-40671")</f>
        <v>SDATOOL-40671</v>
      </c>
      <c r="D14" s="4" t="str">
        <f ca="1">IFERROR(__xludf.DUMMYFUNCTION("""COMPUTED_VALUE"""),"Plan CRM: Mejoras DWP Particulares Alto Valor (Personal, Wealth)")</f>
        <v>Plan CRM: Mejoras DWP Particulares Alto Valor (Personal, Wealth)</v>
      </c>
      <c r="E14" s="4" t="str">
        <f ca="1">IFERROR(__xludf.DUMMYFUNCTION("""COMPUTED_VALUE"""),"Mejoras a la herramienta de gestión comercial (DWP) de las Bancas Personal y Wealth")</f>
        <v>Mejoras a la herramienta de gestión comercial (DWP) de las Bancas Personal y Wealth</v>
      </c>
      <c r="F14" s="4" t="str">
        <f ca="1">IFERROR(__xludf.DUMMYFUNCTION("""COMPUTED_VALUE"""),"Project")</f>
        <v>Project</v>
      </c>
      <c r="G14" s="4" t="str">
        <f ca="1">IFERROR(__xludf.DUMMYFUNCTION("""COMPUTED_VALUE"""),"Stock")</f>
        <v>Stock</v>
      </c>
      <c r="H14" s="4" t="str">
        <f ca="1">IFERROR(__xludf.DUMMYFUNCTION("""COMPUTED_VALUE"""),"1Q 2024")</f>
        <v>1Q 2024</v>
      </c>
      <c r="I14" s="131" t="str">
        <f ca="1">IFERROR(__xludf.DUMMYFUNCTION("""COMPUTED_VALUE"""),"ana.santamaria-bbva.com")</f>
        <v>ana.santamaria-bbva.com</v>
      </c>
      <c r="J14" s="131" t="str">
        <f ca="1">IFERROR(__xludf.DUMMYFUNCTION("""COMPUTED_VALUE"""),"jessicalorena.moncaleano-bbva.com")</f>
        <v>jessicalorena.moncaleano-bbva.com</v>
      </c>
      <c r="K14" s="131" t="str">
        <f ca="1">IFERROR(__xludf.DUMMYFUNCTION("""COMPUTED_VALUE"""),"pabloalexand.ortiz-bbva.com")</f>
        <v>pabloalexand.ortiz-bbva.com</v>
      </c>
      <c r="L14" s="4"/>
      <c r="M14" s="4"/>
      <c r="N14" s="4"/>
      <c r="O14" s="4" t="str">
        <f ca="1">IFERROR(__xludf.DUMMYFUNCTION("""COMPUTED_VALUE"""),"Scrum")</f>
        <v>Scrum</v>
      </c>
      <c r="P14" s="4" t="str">
        <f ca="1">IFERROR(__xludf.DUMMYFUNCTION("""COMPUTED_VALUE"""),"Soul Team")</f>
        <v>Soul Team</v>
      </c>
      <c r="Q14" s="4"/>
      <c r="R14" s="130" t="str">
        <f ca="1">IFERROR(__xludf.DUMMYFUNCTION("""COMPUTED_VALUE"""),"Business Innovation &amp; Strategy")</f>
        <v>Business Innovation &amp; Strategy</v>
      </c>
      <c r="S14" s="130" t="str">
        <f ca="1">IFERROR(__xludf.DUMMYFUNCTION("""COMPUTED_VALUE"""),"Plan Ascenso")</f>
        <v>Plan Ascenso</v>
      </c>
      <c r="T14" s="130" t="str">
        <f ca="1">IFERROR(__xludf.DUMMYFUNCTION("""COMPUTED_VALUE"""),"2. Modelo de relación y distribución")</f>
        <v>2. Modelo de relación y distribución</v>
      </c>
      <c r="U14" s="130" t="str">
        <f ca="1">IFERROR(__xludf.DUMMYFUNCTION("""COMPUTED_VALUE"""),"2.3. Herramientas de la Red")</f>
        <v>2.3. Herramientas de la Red</v>
      </c>
      <c r="V14" s="4" t="str">
        <f ca="1">IFERROR(__xludf.DUMMYFUNCTION("""COMPUTED_VALUE"""),"CRM")</f>
        <v>CRM</v>
      </c>
      <c r="W14" s="4">
        <f ca="1">IFERROR(__xludf.DUMMYFUNCTION("""COMPUTED_VALUE"""),1)</f>
        <v>1</v>
      </c>
      <c r="X14" s="4" t="str">
        <f ca="1">IFERROR(__xludf.DUMMYFUNCTION("""COMPUTED_VALUE"""),"09. Data")</f>
        <v>09. Data</v>
      </c>
      <c r="Y14" s="4" t="str">
        <f ca="1">IFERROR(__xludf.DUMMYFUNCTION("""COMPUTED_VALUE"""),"5.6.5 CRM")</f>
        <v>5.6.5 CRM</v>
      </c>
      <c r="Z14" s="132" t="str">
        <f ca="1">IFERROR(__xludf.DUMMYFUNCTION("""COMPUTED_VALUE"""),"619481")</f>
        <v>619481</v>
      </c>
      <c r="AA14" s="4" t="str">
        <f ca="1">IFERROR(__xludf.DUMMYFUNCTION("""COMPUTED_VALUE"""),"Ordenantes, carterización y agendamientos digitales")</f>
        <v>Ordenantes, carterización y agendamientos digitales</v>
      </c>
      <c r="AB14" s="4" t="str">
        <f ca="1">IFERROR(__xludf.DUMMYFUNCTION("""COMPUTED_VALUE"""),"- Registrar los datos de ordenantes y firmas registradas
- Generar proceso de carterización y hacer el envío a TECOM
- Informe de los casos de PQR´s que están abiertos que corresponden a clientes carterizados")</f>
        <v>- Registrar los datos de ordenantes y firmas registradas
- Generar proceso de carterización y hacer el envío a TECOM
- Informe de los casos de PQR´s que están abiertos que corresponden a clientes carterizados</v>
      </c>
      <c r="AC14" s="4" t="str">
        <f ca="1">IFERROR(__xludf.DUMMYFUNCTION("""COMPUTED_VALUE"""),"4Q 2023")</f>
        <v>4Q 2023</v>
      </c>
      <c r="AD14" s="4"/>
      <c r="AE14" s="4"/>
      <c r="AF14" s="4"/>
      <c r="AG14" s="4"/>
      <c r="AH14" s="4"/>
      <c r="AI14" s="4"/>
      <c r="AJ14" s="4"/>
      <c r="AK14" s="4" t="str">
        <f ca="1">IFERROR(__xludf.DUMMYFUNCTION("""COMPUTED_VALUE"""),"Sin asignar")</f>
        <v>Sin asignar</v>
      </c>
      <c r="AL14" s="4" t="str">
        <f ca="1">IFERROR(__xludf.DUMMYFUNCTION("""COMPUTED_VALUE"""),"Sin asignar")</f>
        <v>Sin asignar</v>
      </c>
      <c r="AM14" s="4"/>
      <c r="AN14" s="4" t="str">
        <f ca="1">IFERROR(__xludf.DUMMYFUNCTION("""COMPUTED_VALUE"""),"Entregable en backlog")</f>
        <v>Entregable en backlog</v>
      </c>
      <c r="AO14" s="4" t="str">
        <f ca="1">IFERROR(__xludf.DUMMYFUNCTION("""COMPUTED_VALUE"""),"Transformación de la Red")</f>
        <v>Transformación de la Red</v>
      </c>
      <c r="AP14" s="4"/>
      <c r="AQ14" s="4"/>
      <c r="AR14" s="4" t="str">
        <f ca="1">IFERROR(__xludf.DUMMYFUNCTION("""COMPUTED_VALUE"""),"SDA aprobada en PPP Q1 2023")</f>
        <v>SDA aprobada en PPP Q1 2023</v>
      </c>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row>
    <row r="15" spans="1:132" x14ac:dyDescent="0.2">
      <c r="A15" s="4">
        <f ca="1">IFERROR(__xludf.DUMMYFUNCTION("""COMPUTED_VALUE"""),15)</f>
        <v>15</v>
      </c>
      <c r="B15" s="4">
        <f ca="1">IFERROR(__xludf.DUMMYFUNCTION("""COMPUTED_VALUE"""),8)</f>
        <v>8</v>
      </c>
      <c r="C15" s="4" t="str">
        <f ca="1">IFERROR(__xludf.DUMMYFUNCTION("""COMPUTED_VALUE"""),"SDATOOL-40671")</f>
        <v>SDATOOL-40671</v>
      </c>
      <c r="D15" s="4" t="str">
        <f ca="1">IFERROR(__xludf.DUMMYFUNCTION("""COMPUTED_VALUE"""),"Plan CRM: Mejoras DWP Particulares Alto Valor (Personal, Wealth)")</f>
        <v>Plan CRM: Mejoras DWP Particulares Alto Valor (Personal, Wealth)</v>
      </c>
      <c r="E15" s="4" t="str">
        <f ca="1">IFERROR(__xludf.DUMMYFUNCTION("""COMPUTED_VALUE"""),"Mejoras a la herramienta de gestión comercial (DWP) de las Bancas Personal y Wealth")</f>
        <v>Mejoras a la herramienta de gestión comercial (DWP) de las Bancas Personal y Wealth</v>
      </c>
      <c r="F15" s="4" t="str">
        <f ca="1">IFERROR(__xludf.DUMMYFUNCTION("""COMPUTED_VALUE"""),"Project")</f>
        <v>Project</v>
      </c>
      <c r="G15" s="4" t="str">
        <f ca="1">IFERROR(__xludf.DUMMYFUNCTION("""COMPUTED_VALUE"""),"Stock")</f>
        <v>Stock</v>
      </c>
      <c r="H15" s="4" t="str">
        <f ca="1">IFERROR(__xludf.DUMMYFUNCTION("""COMPUTED_VALUE"""),"1Q 2024")</f>
        <v>1Q 2024</v>
      </c>
      <c r="I15" s="131" t="str">
        <f ca="1">IFERROR(__xludf.DUMMYFUNCTION("""COMPUTED_VALUE"""),"ana.santamaria-bbva.com")</f>
        <v>ana.santamaria-bbva.com</v>
      </c>
      <c r="J15" s="131" t="str">
        <f ca="1">IFERROR(__xludf.DUMMYFUNCTION("""COMPUTED_VALUE"""),"jessicalorena.moncaleano-bbva.com")</f>
        <v>jessicalorena.moncaleano-bbva.com</v>
      </c>
      <c r="K15" s="131" t="str">
        <f ca="1">IFERROR(__xludf.DUMMYFUNCTION("""COMPUTED_VALUE"""),"pabloalexand.ortiz-bbva.com")</f>
        <v>pabloalexand.ortiz-bbva.com</v>
      </c>
      <c r="L15" s="4"/>
      <c r="M15" s="4"/>
      <c r="N15" s="4"/>
      <c r="O15" s="4" t="str">
        <f ca="1">IFERROR(__xludf.DUMMYFUNCTION("""COMPUTED_VALUE"""),"Scrum")</f>
        <v>Scrum</v>
      </c>
      <c r="P15" s="4" t="str">
        <f ca="1">IFERROR(__xludf.DUMMYFUNCTION("""COMPUTED_VALUE"""),"Soul Team")</f>
        <v>Soul Team</v>
      </c>
      <c r="Q15" s="4"/>
      <c r="R15" s="130" t="str">
        <f ca="1">IFERROR(__xludf.DUMMYFUNCTION("""COMPUTED_VALUE"""),"Business Innovation &amp; Strategy")</f>
        <v>Business Innovation &amp; Strategy</v>
      </c>
      <c r="S15" s="130" t="str">
        <f ca="1">IFERROR(__xludf.DUMMYFUNCTION("""COMPUTED_VALUE"""),"Plan Ascenso")</f>
        <v>Plan Ascenso</v>
      </c>
      <c r="T15" s="130" t="str">
        <f ca="1">IFERROR(__xludf.DUMMYFUNCTION("""COMPUTED_VALUE"""),"2. Modelo de relación y distribución")</f>
        <v>2. Modelo de relación y distribución</v>
      </c>
      <c r="U15" s="130" t="str">
        <f ca="1">IFERROR(__xludf.DUMMYFUNCTION("""COMPUTED_VALUE"""),"2.3. Herramientas de la Red")</f>
        <v>2.3. Herramientas de la Red</v>
      </c>
      <c r="V15" s="4" t="str">
        <f ca="1">IFERROR(__xludf.DUMMYFUNCTION("""COMPUTED_VALUE"""),"CRM")</f>
        <v>CRM</v>
      </c>
      <c r="W15" s="4">
        <f ca="1">IFERROR(__xludf.DUMMYFUNCTION("""COMPUTED_VALUE"""),1)</f>
        <v>1</v>
      </c>
      <c r="X15" s="4" t="str">
        <f ca="1">IFERROR(__xludf.DUMMYFUNCTION("""COMPUTED_VALUE"""),"09. Data")</f>
        <v>09. Data</v>
      </c>
      <c r="Y15" s="4" t="str">
        <f ca="1">IFERROR(__xludf.DUMMYFUNCTION("""COMPUTED_VALUE"""),"5.6.5 CRM")</f>
        <v>5.6.5 CRM</v>
      </c>
      <c r="Z15" s="132" t="str">
        <f ca="1">IFERROR(__xludf.DUMMYFUNCTION("""COMPUTED_VALUE"""),"713265")</f>
        <v>713265</v>
      </c>
      <c r="AA15" s="4" t="str">
        <f ca="1">IFERROR(__xludf.DUMMYFUNCTION("""COMPUTED_VALUE"""),"Mejoras:Campañas,alertas,contactabilidad,indicencias,UX,oportunidad,visitas")</f>
        <v>Mejoras:Campañas,alertas,contactabilidad,indicencias,UX,oportunidad,visitas</v>
      </c>
      <c r="AB15" s="4" t="str">
        <f ca="1">IFERROR(__xludf.DUMMYFUNCTION("""COMPUTED_VALUE"""),"Mejoras:Campañas,alertas,contactabilidad,indicencias,UX,oportunidad,visitas")</f>
        <v>Mejoras:Campañas,alertas,contactabilidad,indicencias,UX,oportunidad,visitas</v>
      </c>
      <c r="AC15" s="4" t="str">
        <f ca="1">IFERROR(__xludf.DUMMYFUNCTION("""COMPUTED_VALUE"""),"2Q 2023")</f>
        <v>2Q 2023</v>
      </c>
      <c r="AD15" s="4"/>
      <c r="AE15" s="4"/>
      <c r="AF15" s="4"/>
      <c r="AG15" s="4"/>
      <c r="AH15" s="4"/>
      <c r="AI15" s="4"/>
      <c r="AJ15" s="4"/>
      <c r="AK15" s="131" t="str">
        <f ca="1">IFERROR(__xludf.DUMMYFUNCTION("""COMPUTED_VALUE"""),"COLWSDATIO-3339")</f>
        <v>COLWSDATIO-3339</v>
      </c>
      <c r="AL15" s="4" t="str">
        <f ca="1">IFERROR(__xludf.DUMMYFUNCTION("""COMPUTED_VALUE"""),"New")</f>
        <v>New</v>
      </c>
      <c r="AM15" s="4"/>
      <c r="AN15" s="4" t="str">
        <f ca="1">IFERROR(__xludf.DUMMYFUNCTION("""COMPUTED_VALUE"""),"Entregable en backlog")</f>
        <v>Entregable en backlog</v>
      </c>
      <c r="AO15" s="4" t="str">
        <f ca="1">IFERROR(__xludf.DUMMYFUNCTION("""COMPUTED_VALUE"""),"Transformación de la Red")</f>
        <v>Transformación de la Red</v>
      </c>
      <c r="AP15" s="4"/>
      <c r="AQ15" s="4"/>
      <c r="AR15" s="4" t="str">
        <f ca="1">IFERROR(__xludf.DUMMYFUNCTION("""COMPUTED_VALUE"""),"SDA aprobada en PPP Q1 2023")</f>
        <v>SDA aprobada en PPP Q1 2023</v>
      </c>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row>
    <row r="16" spans="1:132" x14ac:dyDescent="0.2">
      <c r="A16" s="4">
        <f ca="1">IFERROR(__xludf.DUMMYFUNCTION("""COMPUTED_VALUE"""),16)</f>
        <v>16</v>
      </c>
      <c r="B16" s="4">
        <f ca="1">IFERROR(__xludf.DUMMYFUNCTION("""COMPUTED_VALUE"""),9)</f>
        <v>9</v>
      </c>
      <c r="C16" s="4" t="str">
        <f ca="1">IFERROR(__xludf.DUMMYFUNCTION("""COMPUTED_VALUE"""),"SDATOOL-39951")</f>
        <v>SDATOOL-39951</v>
      </c>
      <c r="D16" s="4" t="str">
        <f ca="1">IFERROR(__xludf.DUMMYFUNCTION("""COMPUTED_VALUE"""),"Automatización de transmisión de información entre Datio y los Canales de Gestión (SFMC, DWP, AUG) para Leads, Campañas y Journeys")</f>
        <v>Automatización de transmisión de información entre Datio y los Canales de Gestión (SFMC, DWP, AUG) para Leads, Campañas y Journeys</v>
      </c>
      <c r="E16" s="4" t="str">
        <f ca="1">IFERROR(__xludf.DUMMYFUNCTION("""COMPUTED_VALUE"""),"Modelo de datos para journeys automáticos")</f>
        <v>Modelo de datos para journeys automáticos</v>
      </c>
      <c r="F16" s="4" t="str">
        <f ca="1">IFERROR(__xludf.DUMMYFUNCTION("""COMPUTED_VALUE"""),"Initiative")</f>
        <v>Initiative</v>
      </c>
      <c r="G16" s="4" t="str">
        <f ca="1">IFERROR(__xludf.DUMMYFUNCTION("""COMPUTED_VALUE"""),"Stock")</f>
        <v>Stock</v>
      </c>
      <c r="H16" s="4" t="str">
        <f ca="1">IFERROR(__xludf.DUMMYFUNCTION("""COMPUTED_VALUE"""),"4Q 2023")</f>
        <v>4Q 2023</v>
      </c>
      <c r="I16" s="131" t="str">
        <f ca="1">IFERROR(__xludf.DUMMYFUNCTION("""COMPUTED_VALUE"""),"ana.santamaria-bbva.com")</f>
        <v>ana.santamaria-bbva.com</v>
      </c>
      <c r="J16" s="131" t="str">
        <f ca="1">IFERROR(__xludf.DUMMYFUNCTION("""COMPUTED_VALUE"""),"paulajimena.cely-bbva.com")</f>
        <v>paulajimena.cely-bbva.com</v>
      </c>
      <c r="K16" s="131" t="str">
        <f ca="1">IFERROR(__xludf.DUMMYFUNCTION("""COMPUTED_VALUE"""),"david.juvinao-bbva.com")</f>
        <v>david.juvinao-bbva.com</v>
      </c>
      <c r="L16" s="130">
        <f ca="1">IFERROR(__xludf.DUMMYFUNCTION("""COMPUTED_VALUE"""),0)</f>
        <v>0</v>
      </c>
      <c r="M16" s="130">
        <f ca="1">IFERROR(__xludf.DUMMYFUNCTION("""COMPUTED_VALUE"""),0)</f>
        <v>0</v>
      </c>
      <c r="N16" s="130">
        <f ca="1">IFERROR(__xludf.DUMMYFUNCTION("""COMPUTED_VALUE"""),0)</f>
        <v>0</v>
      </c>
      <c r="O16" s="4" t="str">
        <f ca="1">IFERROR(__xludf.DUMMYFUNCTION("""COMPUTED_VALUE"""),"Scrum")</f>
        <v>Scrum</v>
      </c>
      <c r="P16" s="4" t="str">
        <f ca="1">IFERROR(__xludf.DUMMYFUNCTION("""COMPUTED_VALUE"""),"Equipo Scrum Q1 2023 CRM - 1")</f>
        <v>Equipo Scrum Q1 2023 CRM - 1</v>
      </c>
      <c r="Q16" s="130">
        <f ca="1">IFERROR(__xludf.DUMMYFUNCTION("""COMPUTED_VALUE"""),1)</f>
        <v>1</v>
      </c>
      <c r="R16" s="130" t="str">
        <f ca="1">IFERROR(__xludf.DUMMYFUNCTION("""COMPUTED_VALUE"""),"Business Innovation &amp; Strategy")</f>
        <v>Business Innovation &amp; Strategy</v>
      </c>
      <c r="S16" s="130" t="str">
        <f ca="1">IFERROR(__xludf.DUMMYFUNCTION("""COMPUTED_VALUE"""),"Plan Ascenso")</f>
        <v>Plan Ascenso</v>
      </c>
      <c r="T16" s="130" t="str">
        <f ca="1">IFERROR(__xludf.DUMMYFUNCTION("""COMPUTED_VALUE"""),"1. Generación de Ingresos")</f>
        <v>1. Generación de Ingresos</v>
      </c>
      <c r="U16" s="130" t="str">
        <f ca="1">IFERROR(__xludf.DUMMYFUNCTION("""COMPUTED_VALUE"""),"1.5. Otros de Proyectos de Ingresos")</f>
        <v>1.5. Otros de Proyectos de Ingresos</v>
      </c>
      <c r="V16" s="4" t="str">
        <f ca="1">IFERROR(__xludf.DUMMYFUNCTION("""COMPUTED_VALUE"""),"CRM")</f>
        <v>CRM</v>
      </c>
      <c r="W16" s="4">
        <f ca="1">IFERROR(__xludf.DUMMYFUNCTION("""COMPUTED_VALUE"""),1)</f>
        <v>1</v>
      </c>
      <c r="X16" s="4" t="str">
        <f ca="1">IFERROR(__xludf.DUMMYFUNCTION("""COMPUTED_VALUE"""),"09. Data")</f>
        <v>09. Data</v>
      </c>
      <c r="Y16" s="4" t="str">
        <f ca="1">IFERROR(__xludf.DUMMYFUNCTION("""COMPUTED_VALUE"""),"5.6.5 CRM")</f>
        <v>5.6.5 CRM</v>
      </c>
      <c r="Z16" s="132" t="str">
        <f ca="1">IFERROR(__xludf.DUMMYFUNCTION("""COMPUTED_VALUE"""),"560523")</f>
        <v>560523</v>
      </c>
      <c r="AA16" s="4" t="str">
        <f ca="1">IFERROR(__xludf.DUMMYFUNCTION("""COMPUTED_VALUE"""),"Gestión Leads")</f>
        <v>Gestión Leads</v>
      </c>
      <c r="AB16" s="4" t="str">
        <f ca="1">IFERROR(__xludf.DUMMYFUNCTION("""COMPUTED_VALUE"""),"Centralizar y automatizar la transmisión de la información generada de todos los archivos a nivel de leads, retargeting, agendamientos y retención que hoy existen a las herramientas de gestión de clientes")</f>
        <v>Centralizar y automatizar la transmisión de la información generada de todos los archivos a nivel de leads, retargeting, agendamientos y retención que hoy existen a las herramientas de gestión de clientes</v>
      </c>
      <c r="AC16" s="4" t="str">
        <f ca="1">IFERROR(__xludf.DUMMYFUNCTION("""COMPUTED_VALUE"""),"3Q 2023")</f>
        <v>3Q 2023</v>
      </c>
      <c r="AD16" s="4"/>
      <c r="AE16" s="4"/>
      <c r="AF16" s="4"/>
      <c r="AG16" s="4"/>
      <c r="AH16" s="4"/>
      <c r="AI16" s="4"/>
      <c r="AJ16" s="4"/>
      <c r="AK16" s="131" t="str">
        <f ca="1">IFERROR(__xludf.DUMMYFUNCTION("""COMPUTED_VALUE"""),"COLWSDATIO-2403")</f>
        <v>COLWSDATIO-2403</v>
      </c>
      <c r="AL16" s="4" t="str">
        <f ca="1">IFERROR(__xludf.DUMMYFUNCTION("""COMPUTED_VALUE"""),"Analysing")</f>
        <v>Analysing</v>
      </c>
      <c r="AM16" s="4"/>
      <c r="AN16" s="4" t="str">
        <f ca="1">IFERROR(__xludf.DUMMYFUNCTION("""COMPUTED_VALUE"""),"Entregable en Conceptualización")</f>
        <v>Entregable en Conceptualización</v>
      </c>
      <c r="AO16" s="4"/>
      <c r="AP16" s="4"/>
      <c r="AQ16" s="4"/>
      <c r="AR16" s="4" t="str">
        <f ca="1">IFERROR(__xludf.DUMMYFUNCTION("""COMPUTED_VALUE"""),"SDA aprobada en PPP Q1 2023")</f>
        <v>SDA aprobada en PPP Q1 2023</v>
      </c>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133">
        <f ca="1">IFERROR(__xludf.DUMMYFUNCTION("""COMPUTED_VALUE"""),0)</f>
        <v>0</v>
      </c>
      <c r="DV16" s="133">
        <f ca="1">IFERROR(__xludf.DUMMYFUNCTION("""COMPUTED_VALUE"""),0)</f>
        <v>0</v>
      </c>
      <c r="DW16" s="133">
        <f ca="1">IFERROR(__xludf.DUMMYFUNCTION("""COMPUTED_VALUE"""),0)</f>
        <v>0</v>
      </c>
      <c r="DX16" s="133">
        <f ca="1">IFERROR(__xludf.DUMMYFUNCTION("""COMPUTED_VALUE"""),929999307)</f>
        <v>929999307</v>
      </c>
      <c r="DY16" s="133">
        <f ca="1">IFERROR(__xludf.DUMMYFUNCTION("""COMPUTED_VALUE"""),0)</f>
        <v>0</v>
      </c>
      <c r="DZ16" s="133">
        <f ca="1">IFERROR(__xludf.DUMMYFUNCTION("""COMPUTED_VALUE"""),929999307)</f>
        <v>929999307</v>
      </c>
      <c r="EA16" s="4"/>
      <c r="EB16" s="4"/>
    </row>
    <row r="17" spans="1:132" x14ac:dyDescent="0.2">
      <c r="A17" s="4">
        <f ca="1">IFERROR(__xludf.DUMMYFUNCTION("""COMPUTED_VALUE"""),17)</f>
        <v>17</v>
      </c>
      <c r="B17" s="4">
        <f ca="1">IFERROR(__xludf.DUMMYFUNCTION("""COMPUTED_VALUE"""),10)</f>
        <v>10</v>
      </c>
      <c r="C17" s="4" t="str">
        <f ca="1">IFERROR(__xludf.DUMMYFUNCTION("""COMPUTED_VALUE"""),"SDATOOL-40672")</f>
        <v>SDATOOL-40672</v>
      </c>
      <c r="D17" s="4" t="str">
        <f ca="1">IFERROR(__xludf.DUMMYFUNCTION("""COMPUTED_VALUE"""),"Plan CRM: Mejoras AUG (Banca Comercial y CSF) Equipo A")</f>
        <v>Plan CRM: Mejoras AUG (Banca Comercial y CSF) Equipo A</v>
      </c>
      <c r="E17" s="4" t="str">
        <f ca="1">IFERROR(__xludf.DUMMYFUNCTION("""COMPUTED_VALUE"""),"Mejoras a la herramienta de gestión comercial (AUG) para la Banca Comercial y la CSF")</f>
        <v>Mejoras a la herramienta de gestión comercial (AUG) para la Banca Comercial y la CSF</v>
      </c>
      <c r="F17" s="4" t="str">
        <f ca="1">IFERROR(__xludf.DUMMYFUNCTION("""COMPUTED_VALUE"""),"Project")</f>
        <v>Project</v>
      </c>
      <c r="G17" s="4" t="str">
        <f ca="1">IFERROR(__xludf.DUMMYFUNCTION("""COMPUTED_VALUE"""),"Stock")</f>
        <v>Stock</v>
      </c>
      <c r="H17" s="4" t="str">
        <f ca="1">IFERROR(__xludf.DUMMYFUNCTION("""COMPUTED_VALUE"""),"1Q 2024")</f>
        <v>1Q 2024</v>
      </c>
      <c r="I17" s="131" t="str">
        <f ca="1">IFERROR(__xludf.DUMMYFUNCTION("""COMPUTED_VALUE"""),"ana.santamaria-bbva.com")</f>
        <v>ana.santamaria-bbva.com</v>
      </c>
      <c r="J17" s="131" t="str">
        <f ca="1">IFERROR(__xludf.DUMMYFUNCTION("""COMPUTED_VALUE"""),"jorgeenrique.vivas-bbva.com")</f>
        <v>jorgeenrique.vivas-bbva.com</v>
      </c>
      <c r="K17" s="131" t="str">
        <f ca="1">IFERROR(__xludf.DUMMYFUNCTION("""COMPUTED_VALUE"""),"pabloalexand.ortiz-bbva.com")</f>
        <v>pabloalexand.ortiz-bbva.com</v>
      </c>
      <c r="L17" s="130">
        <f ca="1">IFERROR(__xludf.DUMMYFUNCTION("""COMPUTED_VALUE"""),1)</f>
        <v>1</v>
      </c>
      <c r="M17" s="130">
        <f ca="1">IFERROR(__xludf.DUMMYFUNCTION("""COMPUTED_VALUE"""),2.7)</f>
        <v>2.7</v>
      </c>
      <c r="N17" s="130">
        <f ca="1">IFERROR(__xludf.DUMMYFUNCTION("""COMPUTED_VALUE"""),11.52)</f>
        <v>11.52</v>
      </c>
      <c r="O17" s="4" t="str">
        <f ca="1">IFERROR(__xludf.DUMMYFUNCTION("""COMPUTED_VALUE"""),"Scrum")</f>
        <v>Scrum</v>
      </c>
      <c r="P17" s="4" t="str">
        <f ca="1">IFERROR(__xludf.DUMMYFUNCTION("""COMPUTED_VALUE"""),"Nebulla")</f>
        <v>Nebulla</v>
      </c>
      <c r="Q17" s="130">
        <f ca="1">IFERROR(__xludf.DUMMYFUNCTION("""COMPUTED_VALUE"""),1)</f>
        <v>1</v>
      </c>
      <c r="R17" s="130" t="str">
        <f ca="1">IFERROR(__xludf.DUMMYFUNCTION("""COMPUTED_VALUE"""),"Business Innovation &amp; Strategy")</f>
        <v>Business Innovation &amp; Strategy</v>
      </c>
      <c r="S17" s="130" t="str">
        <f ca="1">IFERROR(__xludf.DUMMYFUNCTION("""COMPUTED_VALUE"""),"Plan Ascenso")</f>
        <v>Plan Ascenso</v>
      </c>
      <c r="T17" s="130" t="str">
        <f ca="1">IFERROR(__xludf.DUMMYFUNCTION("""COMPUTED_VALUE"""),"2. Modelo de relación y distribución")</f>
        <v>2. Modelo de relación y distribución</v>
      </c>
      <c r="U17" s="130" t="str">
        <f ca="1">IFERROR(__xludf.DUMMYFUNCTION("""COMPUTED_VALUE"""),"2.3. Herramientas de la Red")</f>
        <v>2.3. Herramientas de la Red</v>
      </c>
      <c r="V17" s="4" t="str">
        <f ca="1">IFERROR(__xludf.DUMMYFUNCTION("""COMPUTED_VALUE"""),"CRM")</f>
        <v>CRM</v>
      </c>
      <c r="W17" s="4">
        <f ca="1">IFERROR(__xludf.DUMMYFUNCTION("""COMPUTED_VALUE"""),1)</f>
        <v>1</v>
      </c>
      <c r="X17" s="4" t="str">
        <f ca="1">IFERROR(__xludf.DUMMYFUNCTION("""COMPUTED_VALUE"""),"09. Data")</f>
        <v>09. Data</v>
      </c>
      <c r="Y17" s="4" t="str">
        <f ca="1">IFERROR(__xludf.DUMMYFUNCTION("""COMPUTED_VALUE"""),"5.6.5 CRM")</f>
        <v>5.6.5 CRM</v>
      </c>
      <c r="Z17" s="132" t="str">
        <f ca="1">IFERROR(__xludf.DUMMYFUNCTION("""COMPUTED_VALUE"""),"626193")</f>
        <v>626193</v>
      </c>
      <c r="AA17" s="4" t="str">
        <f ca="1">IFERROR(__xludf.DUMMYFUNCTION("""COMPUTED_VALUE"""),"Campañas automáticas AUG")</f>
        <v>Campañas automáticas AUG</v>
      </c>
      <c r="AB17" s="4" t="str">
        <f ca="1">IFERROR(__xludf.DUMMYFUNCTION("""COMPUTED_VALUE"""),"Generar campañas automáticas en AUG, que permita generar listado de clientes relevantes para la gestión comercial y el incremento de productividad")</f>
        <v>Generar campañas automáticas en AUG, que permita generar listado de clientes relevantes para la gestión comercial y el incremento de productividad</v>
      </c>
      <c r="AC17" s="4" t="str">
        <f ca="1">IFERROR(__xludf.DUMMYFUNCTION("""COMPUTED_VALUE"""),"1Q 2023")</f>
        <v>1Q 2023</v>
      </c>
      <c r="AD17" s="4"/>
      <c r="AE17" s="4"/>
      <c r="AF17" s="4"/>
      <c r="AG17" s="4"/>
      <c r="AH17" s="4"/>
      <c r="AI17" s="4"/>
      <c r="AJ17" s="4"/>
      <c r="AK17" s="131" t="str">
        <f ca="1">IFERROR(__xludf.DUMMYFUNCTION("""COMPUTED_VALUE"""),"COLWSCRM-642")</f>
        <v>COLWSCRM-642</v>
      </c>
      <c r="AL17" s="4" t="str">
        <f ca="1">IFERROR(__xludf.DUMMYFUNCTION("""COMPUTED_VALUE"""),"Deployed")</f>
        <v>Deployed</v>
      </c>
      <c r="AM17" s="4"/>
      <c r="AN17" s="4" t="str">
        <f ca="1">IFERROR(__xludf.DUMMYFUNCTION("""COMPUTED_VALUE"""),"Entregable en desarrollo")</f>
        <v>Entregable en desarrollo</v>
      </c>
      <c r="AO17" s="4" t="str">
        <f ca="1">IFERROR(__xludf.DUMMYFUNCTION("""COMPUTED_VALUE"""),"Transformación de la Red")</f>
        <v>Transformación de la Red</v>
      </c>
      <c r="AP17" s="4"/>
      <c r="AQ17" s="4"/>
      <c r="AR17" s="4" t="str">
        <f ca="1">IFERROR(__xludf.DUMMYFUNCTION("""COMPUTED_VALUE"""),"SDA aprobada en PPP Q1 2023")</f>
        <v>SDA aprobada en PPP Q1 2023</v>
      </c>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133">
        <f ca="1">IFERROR(__xludf.DUMMYFUNCTION("""COMPUTED_VALUE"""),0)</f>
        <v>0</v>
      </c>
      <c r="DV17" s="133">
        <f ca="1">IFERROR(__xludf.DUMMYFUNCTION("""COMPUTED_VALUE"""),0)</f>
        <v>0</v>
      </c>
      <c r="DW17" s="133">
        <f ca="1">IFERROR(__xludf.DUMMYFUNCTION("""COMPUTED_VALUE"""),0)</f>
        <v>0</v>
      </c>
      <c r="DX17" s="133">
        <f ca="1">IFERROR(__xludf.DUMMYFUNCTION("""COMPUTED_VALUE"""),816799929)</f>
        <v>816799929</v>
      </c>
      <c r="DY17" s="133">
        <f ca="1">IFERROR(__xludf.DUMMYFUNCTION("""COMPUTED_VALUE"""),0)</f>
        <v>0</v>
      </c>
      <c r="DZ17" s="133">
        <f ca="1">IFERROR(__xludf.DUMMYFUNCTION("""COMPUTED_VALUE"""),816799929)</f>
        <v>816799929</v>
      </c>
      <c r="EA17" s="4"/>
      <c r="EB17" s="4"/>
    </row>
    <row r="18" spans="1:132" x14ac:dyDescent="0.2">
      <c r="A18" s="4">
        <f ca="1">IFERROR(__xludf.DUMMYFUNCTION("""COMPUTED_VALUE"""),18)</f>
        <v>18</v>
      </c>
      <c r="B18" s="4">
        <f ca="1">IFERROR(__xludf.DUMMYFUNCTION("""COMPUTED_VALUE"""),11)</f>
        <v>11</v>
      </c>
      <c r="C18" s="4" t="str">
        <f ca="1">IFERROR(__xludf.DUMMYFUNCTION("""COMPUTED_VALUE"""),"SDATOOL-40672")</f>
        <v>SDATOOL-40672</v>
      </c>
      <c r="D18" s="4" t="str">
        <f ca="1">IFERROR(__xludf.DUMMYFUNCTION("""COMPUTED_VALUE"""),"Plan CRM: Mejoras AUG (Banca Comercial y CSF) Equipo A")</f>
        <v>Plan CRM: Mejoras AUG (Banca Comercial y CSF) Equipo A</v>
      </c>
      <c r="E18" s="4" t="str">
        <f ca="1">IFERROR(__xludf.DUMMYFUNCTION("""COMPUTED_VALUE"""),"Mejoras a la herramienta de gestión comercial (AUG) para la Banca Comercial y la CSF")</f>
        <v>Mejoras a la herramienta de gestión comercial (AUG) para la Banca Comercial y la CSF</v>
      </c>
      <c r="F18" s="4" t="str">
        <f ca="1">IFERROR(__xludf.DUMMYFUNCTION("""COMPUTED_VALUE"""),"Project")</f>
        <v>Project</v>
      </c>
      <c r="G18" s="4" t="str">
        <f ca="1">IFERROR(__xludf.DUMMYFUNCTION("""COMPUTED_VALUE"""),"Stock")</f>
        <v>Stock</v>
      </c>
      <c r="H18" s="4" t="str">
        <f ca="1">IFERROR(__xludf.DUMMYFUNCTION("""COMPUTED_VALUE"""),"1Q 2024")</f>
        <v>1Q 2024</v>
      </c>
      <c r="I18" s="131" t="str">
        <f ca="1">IFERROR(__xludf.DUMMYFUNCTION("""COMPUTED_VALUE"""),"ana.santamaria-bbva.com")</f>
        <v>ana.santamaria-bbva.com</v>
      </c>
      <c r="J18" s="131" t="str">
        <f ca="1">IFERROR(__xludf.DUMMYFUNCTION("""COMPUTED_VALUE"""),"jorgeenrique.vivas-bbva.com")</f>
        <v>jorgeenrique.vivas-bbva.com</v>
      </c>
      <c r="K18" s="131" t="str">
        <f ca="1">IFERROR(__xludf.DUMMYFUNCTION("""COMPUTED_VALUE"""),"pabloalexand.ortiz-bbva.com")</f>
        <v>pabloalexand.ortiz-bbva.com</v>
      </c>
      <c r="L18" s="4"/>
      <c r="M18" s="4"/>
      <c r="N18" s="4"/>
      <c r="O18" s="4" t="str">
        <f ca="1">IFERROR(__xludf.DUMMYFUNCTION("""COMPUTED_VALUE"""),"Scrum")</f>
        <v>Scrum</v>
      </c>
      <c r="P18" s="4" t="str">
        <f ca="1">IFERROR(__xludf.DUMMYFUNCTION("""COMPUTED_VALUE"""),"Nebulla")</f>
        <v>Nebulla</v>
      </c>
      <c r="Q18" s="4"/>
      <c r="R18" s="130" t="str">
        <f ca="1">IFERROR(__xludf.DUMMYFUNCTION("""COMPUTED_VALUE"""),"Business Innovation &amp; Strategy")</f>
        <v>Business Innovation &amp; Strategy</v>
      </c>
      <c r="S18" s="130" t="str">
        <f ca="1">IFERROR(__xludf.DUMMYFUNCTION("""COMPUTED_VALUE"""),"Plan Ascenso")</f>
        <v>Plan Ascenso</v>
      </c>
      <c r="T18" s="130" t="str">
        <f ca="1">IFERROR(__xludf.DUMMYFUNCTION("""COMPUTED_VALUE"""),"2. Modelo de relación y distribución")</f>
        <v>2. Modelo de relación y distribución</v>
      </c>
      <c r="U18" s="130" t="str">
        <f ca="1">IFERROR(__xludf.DUMMYFUNCTION("""COMPUTED_VALUE"""),"2.3. Herramientas de la Red")</f>
        <v>2.3. Herramientas de la Red</v>
      </c>
      <c r="V18" s="4" t="str">
        <f ca="1">IFERROR(__xludf.DUMMYFUNCTION("""COMPUTED_VALUE"""),"CRM")</f>
        <v>CRM</v>
      </c>
      <c r="W18" s="4">
        <f ca="1">IFERROR(__xludf.DUMMYFUNCTION("""COMPUTED_VALUE"""),1)</f>
        <v>1</v>
      </c>
      <c r="X18" s="4" t="str">
        <f ca="1">IFERROR(__xludf.DUMMYFUNCTION("""COMPUTED_VALUE"""),"09. Data")</f>
        <v>09. Data</v>
      </c>
      <c r="Y18" s="4" t="str">
        <f ca="1">IFERROR(__xludf.DUMMYFUNCTION("""COMPUTED_VALUE"""),"5.6.5 CRM")</f>
        <v>5.6.5 CRM</v>
      </c>
      <c r="Z18" s="132" t="str">
        <f ca="1">IFERROR(__xludf.DUMMYFUNCTION("""COMPUTED_VALUE"""),"626192")</f>
        <v>626192</v>
      </c>
      <c r="AA18" s="4" t="str">
        <f ca="1">IFERROR(__xludf.DUMMYFUNCTION("""COMPUTED_VALUE"""),"Conexión Agenda AUG con Google Calendar")</f>
        <v>Conexión Agenda AUG con Google Calendar</v>
      </c>
      <c r="AB18" s="4" t="str">
        <f ca="1">IFERROR(__xludf.DUMMYFUNCTION("""COMPUTED_VALUE"""),"Se necesita unificar la agenda de AUG con la de Google Calendar, para que la Red vea solo un calendario")</f>
        <v>Se necesita unificar la agenda de AUG con la de Google Calendar, para que la Red vea solo un calendario</v>
      </c>
      <c r="AC18" s="4" t="str">
        <f ca="1">IFERROR(__xludf.DUMMYFUNCTION("""COMPUTED_VALUE"""),"1Q 2023")</f>
        <v>1Q 2023</v>
      </c>
      <c r="AD18" s="4"/>
      <c r="AE18" s="4"/>
      <c r="AF18" s="4"/>
      <c r="AG18" s="4"/>
      <c r="AH18" s="4"/>
      <c r="AI18" s="4"/>
      <c r="AJ18" s="4"/>
      <c r="AK18" s="131" t="str">
        <f ca="1">IFERROR(__xludf.DUMMYFUNCTION("""COMPUTED_VALUE"""),"COLWSCRM-602")</f>
        <v>COLWSCRM-602</v>
      </c>
      <c r="AL18" s="4" t="str">
        <f ca="1">IFERROR(__xludf.DUMMYFUNCTION("""COMPUTED_VALUE"""),"Deployed")</f>
        <v>Deployed</v>
      </c>
      <c r="AM18" s="4"/>
      <c r="AN18" s="4" t="str">
        <f ca="1">IFERROR(__xludf.DUMMYFUNCTION("""COMPUTED_VALUE"""),"Finalizado")</f>
        <v>Finalizado</v>
      </c>
      <c r="AO18" s="4" t="str">
        <f ca="1">IFERROR(__xludf.DUMMYFUNCTION("""COMPUTED_VALUE"""),"Transformación de la Red")</f>
        <v>Transformación de la Red</v>
      </c>
      <c r="AP18" s="4"/>
      <c r="AQ18" s="4"/>
      <c r="AR18" s="4" t="str">
        <f ca="1">IFERROR(__xludf.DUMMYFUNCTION("""COMPUTED_VALUE"""),"SDA aprobada en PPP Q1 2023")</f>
        <v>SDA aprobada en PPP Q1 2023</v>
      </c>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row>
    <row r="19" spans="1:132" x14ac:dyDescent="0.2">
      <c r="A19" s="4">
        <f ca="1">IFERROR(__xludf.DUMMYFUNCTION("""COMPUTED_VALUE"""),19)</f>
        <v>19</v>
      </c>
      <c r="B19" s="4">
        <f ca="1">IFERROR(__xludf.DUMMYFUNCTION("""COMPUTED_VALUE"""),12)</f>
        <v>12</v>
      </c>
      <c r="C19" s="4" t="str">
        <f ca="1">IFERROR(__xludf.DUMMYFUNCTION("""COMPUTED_VALUE"""),"SDATOOL-40672")</f>
        <v>SDATOOL-40672</v>
      </c>
      <c r="D19" s="4" t="str">
        <f ca="1">IFERROR(__xludf.DUMMYFUNCTION("""COMPUTED_VALUE"""),"Plan CRM: Mejoras AUG (Banca Comercial y CSF) Equipo A")</f>
        <v>Plan CRM: Mejoras AUG (Banca Comercial y CSF) Equipo A</v>
      </c>
      <c r="E19" s="4" t="str">
        <f ca="1">IFERROR(__xludf.DUMMYFUNCTION("""COMPUTED_VALUE"""),"Mejoras a la herramienta de gestión comercial (AUG) para la Banca Comercial y la CSF")</f>
        <v>Mejoras a la herramienta de gestión comercial (AUG) para la Banca Comercial y la CSF</v>
      </c>
      <c r="F19" s="4" t="str">
        <f ca="1">IFERROR(__xludf.DUMMYFUNCTION("""COMPUTED_VALUE"""),"Project")</f>
        <v>Project</v>
      </c>
      <c r="G19" s="4" t="str">
        <f ca="1">IFERROR(__xludf.DUMMYFUNCTION("""COMPUTED_VALUE"""),"Stock")</f>
        <v>Stock</v>
      </c>
      <c r="H19" s="4" t="str">
        <f ca="1">IFERROR(__xludf.DUMMYFUNCTION("""COMPUTED_VALUE"""),"1Q 2024")</f>
        <v>1Q 2024</v>
      </c>
      <c r="I19" s="131" t="str">
        <f ca="1">IFERROR(__xludf.DUMMYFUNCTION("""COMPUTED_VALUE"""),"ana.santamaria-bbva.com")</f>
        <v>ana.santamaria-bbva.com</v>
      </c>
      <c r="J19" s="131" t="str">
        <f ca="1">IFERROR(__xludf.DUMMYFUNCTION("""COMPUTED_VALUE"""),"jorgeenrique.vivas-bbva.com")</f>
        <v>jorgeenrique.vivas-bbva.com</v>
      </c>
      <c r="K19" s="131" t="str">
        <f ca="1">IFERROR(__xludf.DUMMYFUNCTION("""COMPUTED_VALUE"""),"pabloalexand.ortiz-bbva.com")</f>
        <v>pabloalexand.ortiz-bbva.com</v>
      </c>
      <c r="L19" s="4"/>
      <c r="M19" s="4"/>
      <c r="N19" s="4"/>
      <c r="O19" s="4" t="str">
        <f ca="1">IFERROR(__xludf.DUMMYFUNCTION("""COMPUTED_VALUE"""),"Scrum")</f>
        <v>Scrum</v>
      </c>
      <c r="P19" s="4" t="str">
        <f ca="1">IFERROR(__xludf.DUMMYFUNCTION("""COMPUTED_VALUE"""),"Nebulla")</f>
        <v>Nebulla</v>
      </c>
      <c r="Q19" s="4"/>
      <c r="R19" s="130" t="str">
        <f ca="1">IFERROR(__xludf.DUMMYFUNCTION("""COMPUTED_VALUE"""),"Business Innovation &amp; Strategy")</f>
        <v>Business Innovation &amp; Strategy</v>
      </c>
      <c r="S19" s="130" t="str">
        <f ca="1">IFERROR(__xludf.DUMMYFUNCTION("""COMPUTED_VALUE"""),"Plan Ascenso")</f>
        <v>Plan Ascenso</v>
      </c>
      <c r="T19" s="130" t="str">
        <f ca="1">IFERROR(__xludf.DUMMYFUNCTION("""COMPUTED_VALUE"""),"2. Modelo de relación y distribución")</f>
        <v>2. Modelo de relación y distribución</v>
      </c>
      <c r="U19" s="130" t="str">
        <f ca="1">IFERROR(__xludf.DUMMYFUNCTION("""COMPUTED_VALUE"""),"2.3. Herramientas de la Red")</f>
        <v>2.3. Herramientas de la Red</v>
      </c>
      <c r="V19" s="4" t="str">
        <f ca="1">IFERROR(__xludf.DUMMYFUNCTION("""COMPUTED_VALUE"""),"CRM")</f>
        <v>CRM</v>
      </c>
      <c r="W19" s="4">
        <f ca="1">IFERROR(__xludf.DUMMYFUNCTION("""COMPUTED_VALUE"""),1)</f>
        <v>1</v>
      </c>
      <c r="X19" s="4" t="str">
        <f ca="1">IFERROR(__xludf.DUMMYFUNCTION("""COMPUTED_VALUE"""),"09. Data")</f>
        <v>09. Data</v>
      </c>
      <c r="Y19" s="4" t="str">
        <f ca="1">IFERROR(__xludf.DUMMYFUNCTION("""COMPUTED_VALUE"""),"5.6.5 CRM")</f>
        <v>5.6.5 CRM</v>
      </c>
      <c r="Z19" s="132" t="str">
        <f ca="1">IFERROR(__xludf.DUMMYFUNCTION("""COMPUTED_VALUE"""),"626191")</f>
        <v>626191</v>
      </c>
      <c r="AA19" s="4" t="str">
        <f ca="1">IFERROR(__xludf.DUMMYFUNCTION("""COMPUTED_VALUE"""),"Módulo de Contactabilidad AUG")</f>
        <v>Módulo de Contactabilidad AUG</v>
      </c>
      <c r="AB19" s="4" t="str">
        <f ca="1">IFERROR(__xludf.DUMMYFUNCTION("""COMPUTED_VALUE"""),"Registro de interacciones con los clientes (visitas/llamadas) y seguimiento a los compromisos acordados con los clientes")</f>
        <v>Registro de interacciones con los clientes (visitas/llamadas) y seguimiento a los compromisos acordados con los clientes</v>
      </c>
      <c r="AC19" s="4" t="str">
        <f ca="1">IFERROR(__xludf.DUMMYFUNCTION("""COMPUTED_VALUE"""),"2Q 2023")</f>
        <v>2Q 2023</v>
      </c>
      <c r="AD19" s="4"/>
      <c r="AE19" s="4"/>
      <c r="AF19" s="4"/>
      <c r="AG19" s="4"/>
      <c r="AH19" s="4"/>
      <c r="AI19" s="4"/>
      <c r="AJ19" s="4"/>
      <c r="AK19" s="131" t="str">
        <f ca="1">IFERROR(__xludf.DUMMYFUNCTION("""COMPUTED_VALUE"""),"COLWSCRM-2235")</f>
        <v>COLWSCRM-2235</v>
      </c>
      <c r="AL19" s="4" t="str">
        <f ca="1">IFERROR(__xludf.DUMMYFUNCTION("""COMPUTED_VALUE"""),"Test")</f>
        <v>Test</v>
      </c>
      <c r="AM19" s="4"/>
      <c r="AN19" s="4" t="str">
        <f ca="1">IFERROR(__xludf.DUMMYFUNCTION("""COMPUTED_VALUE"""),"Entregable en desarrollo")</f>
        <v>Entregable en desarrollo</v>
      </c>
      <c r="AO19" s="4" t="str">
        <f ca="1">IFERROR(__xludf.DUMMYFUNCTION("""COMPUTED_VALUE"""),"Transformación de la Red")</f>
        <v>Transformación de la Red</v>
      </c>
      <c r="AP19" s="4"/>
      <c r="AQ19" s="4"/>
      <c r="AR19" s="4" t="str">
        <f ca="1">IFERROR(__xludf.DUMMYFUNCTION("""COMPUTED_VALUE"""),"SDA aprobada en PPP Q1 2023")</f>
        <v>SDA aprobada en PPP Q1 2023</v>
      </c>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row>
    <row r="20" spans="1:132" x14ac:dyDescent="0.2">
      <c r="A20" s="4">
        <f ca="1">IFERROR(__xludf.DUMMYFUNCTION("""COMPUTED_VALUE"""),20)</f>
        <v>20</v>
      </c>
      <c r="B20" s="4">
        <f ca="1">IFERROR(__xludf.DUMMYFUNCTION("""COMPUTED_VALUE"""),13)</f>
        <v>13</v>
      </c>
      <c r="C20" s="4" t="str">
        <f ca="1">IFERROR(__xludf.DUMMYFUNCTION("""COMPUTED_VALUE"""),"SDATOOL-40672")</f>
        <v>SDATOOL-40672</v>
      </c>
      <c r="D20" s="4" t="str">
        <f ca="1">IFERROR(__xludf.DUMMYFUNCTION("""COMPUTED_VALUE"""),"Plan CRM: Mejoras AUG (Banca Comercial y CSF) Equipo A")</f>
        <v>Plan CRM: Mejoras AUG (Banca Comercial y CSF) Equipo A</v>
      </c>
      <c r="E20" s="4" t="str">
        <f ca="1">IFERROR(__xludf.DUMMYFUNCTION("""COMPUTED_VALUE"""),"Mejoras a la herramienta de gestión comercial (AUG) para la Banca Comercial y la CSF")</f>
        <v>Mejoras a la herramienta de gestión comercial (AUG) para la Banca Comercial y la CSF</v>
      </c>
      <c r="F20" s="4" t="str">
        <f ca="1">IFERROR(__xludf.DUMMYFUNCTION("""COMPUTED_VALUE"""),"Project")</f>
        <v>Project</v>
      </c>
      <c r="G20" s="4" t="str">
        <f ca="1">IFERROR(__xludf.DUMMYFUNCTION("""COMPUTED_VALUE"""),"Stock")</f>
        <v>Stock</v>
      </c>
      <c r="H20" s="4" t="str">
        <f ca="1">IFERROR(__xludf.DUMMYFUNCTION("""COMPUTED_VALUE"""),"1Q 2024")</f>
        <v>1Q 2024</v>
      </c>
      <c r="I20" s="131" t="str">
        <f ca="1">IFERROR(__xludf.DUMMYFUNCTION("""COMPUTED_VALUE"""),"ana.santamaria-bbva.com")</f>
        <v>ana.santamaria-bbva.com</v>
      </c>
      <c r="J20" s="131" t="str">
        <f ca="1">IFERROR(__xludf.DUMMYFUNCTION("""COMPUTED_VALUE"""),"jorgeenrique.vivas-bbva.com")</f>
        <v>jorgeenrique.vivas-bbva.com</v>
      </c>
      <c r="K20" s="131" t="str">
        <f ca="1">IFERROR(__xludf.DUMMYFUNCTION("""COMPUTED_VALUE"""),"pabloalexand.ortiz-bbva.com")</f>
        <v>pabloalexand.ortiz-bbva.com</v>
      </c>
      <c r="L20" s="4"/>
      <c r="M20" s="4"/>
      <c r="N20" s="4"/>
      <c r="O20" s="4" t="str">
        <f ca="1">IFERROR(__xludf.DUMMYFUNCTION("""COMPUTED_VALUE"""),"Scrum")</f>
        <v>Scrum</v>
      </c>
      <c r="P20" s="4" t="str">
        <f ca="1">IFERROR(__xludf.DUMMYFUNCTION("""COMPUTED_VALUE"""),"Nebulla")</f>
        <v>Nebulla</v>
      </c>
      <c r="Q20" s="4"/>
      <c r="R20" s="130" t="str">
        <f ca="1">IFERROR(__xludf.DUMMYFUNCTION("""COMPUTED_VALUE"""),"Business Innovation &amp; Strategy")</f>
        <v>Business Innovation &amp; Strategy</v>
      </c>
      <c r="S20" s="130" t="str">
        <f ca="1">IFERROR(__xludf.DUMMYFUNCTION("""COMPUTED_VALUE"""),"Plan Ascenso")</f>
        <v>Plan Ascenso</v>
      </c>
      <c r="T20" s="130" t="str">
        <f ca="1">IFERROR(__xludf.DUMMYFUNCTION("""COMPUTED_VALUE"""),"2. Modelo de relación y distribución")</f>
        <v>2. Modelo de relación y distribución</v>
      </c>
      <c r="U20" s="130" t="str">
        <f ca="1">IFERROR(__xludf.DUMMYFUNCTION("""COMPUTED_VALUE"""),"2.3. Herramientas de la Red")</f>
        <v>2.3. Herramientas de la Red</v>
      </c>
      <c r="V20" s="4" t="str">
        <f ca="1">IFERROR(__xludf.DUMMYFUNCTION("""COMPUTED_VALUE"""),"CRM")</f>
        <v>CRM</v>
      </c>
      <c r="W20" s="4">
        <f ca="1">IFERROR(__xludf.DUMMYFUNCTION("""COMPUTED_VALUE"""),1)</f>
        <v>1</v>
      </c>
      <c r="X20" s="4" t="str">
        <f ca="1">IFERROR(__xludf.DUMMYFUNCTION("""COMPUTED_VALUE"""),"09. Data")</f>
        <v>09. Data</v>
      </c>
      <c r="Y20" s="4" t="str">
        <f ca="1">IFERROR(__xludf.DUMMYFUNCTION("""COMPUTED_VALUE"""),"5.6.5 CRM")</f>
        <v>5.6.5 CRM</v>
      </c>
      <c r="Z20" s="132" t="str">
        <f ca="1">IFERROR(__xludf.DUMMYFUNCTION("""COMPUTED_VALUE"""),"626250")</f>
        <v>626250</v>
      </c>
      <c r="AA20" s="4" t="str">
        <f ca="1">IFERROR(__xludf.DUMMYFUNCTION("""COMPUTED_VALUE"""),"Informes Gerenciales Módulo de Contactabilidad - oportunidades")</f>
        <v>Informes Gerenciales Módulo de Contactabilidad - oportunidades</v>
      </c>
      <c r="AB20" s="4" t="str">
        <f ca="1">IFERROR(__xludf.DUMMYFUNCTION("""COMPUTED_VALUE"""),"Informes para el seguimiento gerencial a las visitas, llamadas, compromisos y oportunidades generadas en el módulo de contactabilidad")</f>
        <v>Informes para el seguimiento gerencial a las visitas, llamadas, compromisos y oportunidades generadas en el módulo de contactabilidad</v>
      </c>
      <c r="AC20" s="4" t="str">
        <f ca="1">IFERROR(__xludf.DUMMYFUNCTION("""COMPUTED_VALUE"""),"3Q 2023")</f>
        <v>3Q 2023</v>
      </c>
      <c r="AD20" s="4"/>
      <c r="AE20" s="4"/>
      <c r="AF20" s="4"/>
      <c r="AG20" s="4"/>
      <c r="AH20" s="4"/>
      <c r="AI20" s="4"/>
      <c r="AJ20" s="4"/>
      <c r="AK20" s="131" t="str">
        <f ca="1">IFERROR(__xludf.DUMMYFUNCTION("""COMPUTED_VALUE"""),"COLWSCRM-2360")</f>
        <v>COLWSCRM-2360</v>
      </c>
      <c r="AL20" s="4" t="str">
        <f ca="1">IFERROR(__xludf.DUMMYFUNCTION("""COMPUTED_VALUE"""),"En progreso")</f>
        <v>En progreso</v>
      </c>
      <c r="AM20" s="4"/>
      <c r="AN20" s="4" t="str">
        <f ca="1">IFERROR(__xludf.DUMMYFUNCTION("""COMPUTED_VALUE"""),"Entregable en Conceptualización")</f>
        <v>Entregable en Conceptualización</v>
      </c>
      <c r="AO20" s="4" t="str">
        <f ca="1">IFERROR(__xludf.DUMMYFUNCTION("""COMPUTED_VALUE"""),"Transformación de la Red")</f>
        <v>Transformación de la Red</v>
      </c>
      <c r="AP20" s="4"/>
      <c r="AQ20" s="4"/>
      <c r="AR20" s="4" t="str">
        <f ca="1">IFERROR(__xludf.DUMMYFUNCTION("""COMPUTED_VALUE"""),"SDA aprobada en PPP Q1 2023")</f>
        <v>SDA aprobada en PPP Q1 2023</v>
      </c>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row>
    <row r="21" spans="1:132" x14ac:dyDescent="0.2">
      <c r="A21" s="4">
        <f ca="1">IFERROR(__xludf.DUMMYFUNCTION("""COMPUTED_VALUE"""),21)</f>
        <v>21</v>
      </c>
      <c r="B21" s="4">
        <f ca="1">IFERROR(__xludf.DUMMYFUNCTION("""COMPUTED_VALUE"""),14)</f>
        <v>14</v>
      </c>
      <c r="C21" s="4" t="str">
        <f ca="1">IFERROR(__xludf.DUMMYFUNCTION("""COMPUTED_VALUE"""),"SDATOOL-40672")</f>
        <v>SDATOOL-40672</v>
      </c>
      <c r="D21" s="4" t="str">
        <f ca="1">IFERROR(__xludf.DUMMYFUNCTION("""COMPUTED_VALUE"""),"Plan CRM: Mejoras AUG (Banca Comercial y CSF) Equipo A")</f>
        <v>Plan CRM: Mejoras AUG (Banca Comercial y CSF) Equipo A</v>
      </c>
      <c r="E21" s="4" t="str">
        <f ca="1">IFERROR(__xludf.DUMMYFUNCTION("""COMPUTED_VALUE"""),"Mejoras a la herramienta de gestión comercial (AUG) para la Banca Comercial y la CSF")</f>
        <v>Mejoras a la herramienta de gestión comercial (AUG) para la Banca Comercial y la CSF</v>
      </c>
      <c r="F21" s="4" t="str">
        <f ca="1">IFERROR(__xludf.DUMMYFUNCTION("""COMPUTED_VALUE"""),"Project")</f>
        <v>Project</v>
      </c>
      <c r="G21" s="4" t="str">
        <f ca="1">IFERROR(__xludf.DUMMYFUNCTION("""COMPUTED_VALUE"""),"Stock")</f>
        <v>Stock</v>
      </c>
      <c r="H21" s="4" t="str">
        <f ca="1">IFERROR(__xludf.DUMMYFUNCTION("""COMPUTED_VALUE"""),"1Q 2024")</f>
        <v>1Q 2024</v>
      </c>
      <c r="I21" s="131" t="str">
        <f ca="1">IFERROR(__xludf.DUMMYFUNCTION("""COMPUTED_VALUE"""),"ana.santamaria-bbva.com")</f>
        <v>ana.santamaria-bbva.com</v>
      </c>
      <c r="J21" s="131" t="str">
        <f ca="1">IFERROR(__xludf.DUMMYFUNCTION("""COMPUTED_VALUE"""),"jorgeenrique.vivas-bbva.com")</f>
        <v>jorgeenrique.vivas-bbva.com</v>
      </c>
      <c r="K21" s="131" t="str">
        <f ca="1">IFERROR(__xludf.DUMMYFUNCTION("""COMPUTED_VALUE"""),"pabloalexand.ortiz-bbva.com")</f>
        <v>pabloalexand.ortiz-bbva.com</v>
      </c>
      <c r="L21" s="4"/>
      <c r="M21" s="4"/>
      <c r="N21" s="4"/>
      <c r="O21" s="4" t="str">
        <f ca="1">IFERROR(__xludf.DUMMYFUNCTION("""COMPUTED_VALUE"""),"Scrum")</f>
        <v>Scrum</v>
      </c>
      <c r="P21" s="4" t="str">
        <f ca="1">IFERROR(__xludf.DUMMYFUNCTION("""COMPUTED_VALUE"""),"Nebulla")</f>
        <v>Nebulla</v>
      </c>
      <c r="Q21" s="4"/>
      <c r="R21" s="130" t="str">
        <f ca="1">IFERROR(__xludf.DUMMYFUNCTION("""COMPUTED_VALUE"""),"Business Innovation &amp; Strategy")</f>
        <v>Business Innovation &amp; Strategy</v>
      </c>
      <c r="S21" s="130" t="str">
        <f ca="1">IFERROR(__xludf.DUMMYFUNCTION("""COMPUTED_VALUE"""),"Plan Ascenso")</f>
        <v>Plan Ascenso</v>
      </c>
      <c r="T21" s="130" t="str">
        <f ca="1">IFERROR(__xludf.DUMMYFUNCTION("""COMPUTED_VALUE"""),"2. Modelo de relación y distribución")</f>
        <v>2. Modelo de relación y distribución</v>
      </c>
      <c r="U21" s="130" t="str">
        <f ca="1">IFERROR(__xludf.DUMMYFUNCTION("""COMPUTED_VALUE"""),"2.3. Herramientas de la Red")</f>
        <v>2.3. Herramientas de la Red</v>
      </c>
      <c r="V21" s="4" t="str">
        <f ca="1">IFERROR(__xludf.DUMMYFUNCTION("""COMPUTED_VALUE"""),"CRM")</f>
        <v>CRM</v>
      </c>
      <c r="W21" s="4">
        <f ca="1">IFERROR(__xludf.DUMMYFUNCTION("""COMPUTED_VALUE"""),1)</f>
        <v>1</v>
      </c>
      <c r="X21" s="4" t="str">
        <f ca="1">IFERROR(__xludf.DUMMYFUNCTION("""COMPUTED_VALUE"""),"09. Data")</f>
        <v>09. Data</v>
      </c>
      <c r="Y21" s="4" t="str">
        <f ca="1">IFERROR(__xludf.DUMMYFUNCTION("""COMPUTED_VALUE"""),"5.6.5 CRM")</f>
        <v>5.6.5 CRM</v>
      </c>
      <c r="Z21" s="132" t="str">
        <f ca="1">IFERROR(__xludf.DUMMYFUNCTION("""COMPUTED_VALUE"""),"711606")</f>
        <v>711606</v>
      </c>
      <c r="AA21" s="4" t="str">
        <f ca="1">IFERROR(__xludf.DUMMYFUNCTION("""COMPUTED_VALUE"""),"Campañas automáticas AUG V2")</f>
        <v>Campañas automáticas AUG V2</v>
      </c>
      <c r="AB21" s="4" t="str">
        <f ca="1">IFERROR(__xludf.DUMMYFUNCTION("""COMPUTED_VALUE"""),"Implementar las reglas de negocio de monoproducto, buró, ingresos, exclusión empleados para generación de campañas automáticas")</f>
        <v>Implementar las reglas de negocio de monoproducto, buró, ingresos, exclusión empleados para generación de campañas automáticas</v>
      </c>
      <c r="AC21" s="4" t="str">
        <f ca="1">IFERROR(__xludf.DUMMYFUNCTION("""COMPUTED_VALUE"""),"2Q 2023")</f>
        <v>2Q 2023</v>
      </c>
      <c r="AD21" s="4"/>
      <c r="AE21" s="4"/>
      <c r="AF21" s="4"/>
      <c r="AG21" s="4"/>
      <c r="AH21" s="4"/>
      <c r="AI21" s="4"/>
      <c r="AJ21" s="4"/>
      <c r="AK21" s="131" t="str">
        <f ca="1">IFERROR(__xludf.DUMMYFUNCTION("""COMPUTED_VALUE"""),"COLWSCRM-2304")</f>
        <v>COLWSCRM-2304</v>
      </c>
      <c r="AL21" s="4" t="str">
        <f ca="1">IFERROR(__xludf.DUMMYFUNCTION("""COMPUTED_VALUE"""),"Deployed")</f>
        <v>Deployed</v>
      </c>
      <c r="AM21" s="4"/>
      <c r="AN21" s="4" t="str">
        <f ca="1">IFERROR(__xludf.DUMMYFUNCTION("""COMPUTED_VALUE"""),"Entregable en backlog")</f>
        <v>Entregable en backlog</v>
      </c>
      <c r="AO21" s="4" t="str">
        <f ca="1">IFERROR(__xludf.DUMMYFUNCTION("""COMPUTED_VALUE"""),"Transformación de la Red")</f>
        <v>Transformación de la Red</v>
      </c>
      <c r="AP21" s="4"/>
      <c r="AQ21" s="4"/>
      <c r="AR21" s="4" t="str">
        <f ca="1">IFERROR(__xludf.DUMMYFUNCTION("""COMPUTED_VALUE"""),"SDA aprobada en PPP Q1 2023")</f>
        <v>SDA aprobada en PPP Q1 2023</v>
      </c>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row>
    <row r="22" spans="1:132" x14ac:dyDescent="0.2">
      <c r="A22" s="4">
        <f ca="1">IFERROR(__xludf.DUMMYFUNCTION("""COMPUTED_VALUE"""),22)</f>
        <v>22</v>
      </c>
      <c r="B22" s="4">
        <f ca="1">IFERROR(__xludf.DUMMYFUNCTION("""COMPUTED_VALUE"""),15)</f>
        <v>15</v>
      </c>
      <c r="C22" s="4" t="str">
        <f ca="1">IFERROR(__xludf.DUMMYFUNCTION("""COMPUTED_VALUE"""),"SDATOOL-40672")</f>
        <v>SDATOOL-40672</v>
      </c>
      <c r="D22" s="4" t="str">
        <f ca="1">IFERROR(__xludf.DUMMYFUNCTION("""COMPUTED_VALUE"""),"Plan CRM: Mejoras AUG (Banca Comercial y CSF) Equipo A")</f>
        <v>Plan CRM: Mejoras AUG (Banca Comercial y CSF) Equipo A</v>
      </c>
      <c r="E22" s="4" t="str">
        <f ca="1">IFERROR(__xludf.DUMMYFUNCTION("""COMPUTED_VALUE"""),"Mejoras a la herramienta de gestión comercial (AUG) para la Banca Comercial y la CSF")</f>
        <v>Mejoras a la herramienta de gestión comercial (AUG) para la Banca Comercial y la CSF</v>
      </c>
      <c r="F22" s="4" t="str">
        <f ca="1">IFERROR(__xludf.DUMMYFUNCTION("""COMPUTED_VALUE"""),"Project")</f>
        <v>Project</v>
      </c>
      <c r="G22" s="4" t="str">
        <f ca="1">IFERROR(__xludf.DUMMYFUNCTION("""COMPUTED_VALUE"""),"Stock")</f>
        <v>Stock</v>
      </c>
      <c r="H22" s="4" t="str">
        <f ca="1">IFERROR(__xludf.DUMMYFUNCTION("""COMPUTED_VALUE"""),"1Q 2024")</f>
        <v>1Q 2024</v>
      </c>
      <c r="I22" s="131" t="str">
        <f ca="1">IFERROR(__xludf.DUMMYFUNCTION("""COMPUTED_VALUE"""),"ana.santamaria-bbva.com")</f>
        <v>ana.santamaria-bbva.com</v>
      </c>
      <c r="J22" s="131" t="str">
        <f ca="1">IFERROR(__xludf.DUMMYFUNCTION("""COMPUTED_VALUE"""),"jorgeenrique.vivas-bbva.com")</f>
        <v>jorgeenrique.vivas-bbva.com</v>
      </c>
      <c r="K22" s="131" t="str">
        <f ca="1">IFERROR(__xludf.DUMMYFUNCTION("""COMPUTED_VALUE"""),"pabloalexand.ortiz-bbva.com")</f>
        <v>pabloalexand.ortiz-bbva.com</v>
      </c>
      <c r="L22" s="4"/>
      <c r="M22" s="4"/>
      <c r="N22" s="4"/>
      <c r="O22" s="4" t="str">
        <f ca="1">IFERROR(__xludf.DUMMYFUNCTION("""COMPUTED_VALUE"""),"Scrum")</f>
        <v>Scrum</v>
      </c>
      <c r="P22" s="4" t="str">
        <f ca="1">IFERROR(__xludf.DUMMYFUNCTION("""COMPUTED_VALUE"""),"Nebulla")</f>
        <v>Nebulla</v>
      </c>
      <c r="Q22" s="4"/>
      <c r="R22" s="130" t="str">
        <f ca="1">IFERROR(__xludf.DUMMYFUNCTION("""COMPUTED_VALUE"""),"Business Innovation &amp; Strategy")</f>
        <v>Business Innovation &amp; Strategy</v>
      </c>
      <c r="S22" s="130" t="str">
        <f ca="1">IFERROR(__xludf.DUMMYFUNCTION("""COMPUTED_VALUE"""),"Plan Ascenso")</f>
        <v>Plan Ascenso</v>
      </c>
      <c r="T22" s="130" t="str">
        <f ca="1">IFERROR(__xludf.DUMMYFUNCTION("""COMPUTED_VALUE"""),"2. Modelo de relación y distribución")</f>
        <v>2. Modelo de relación y distribución</v>
      </c>
      <c r="U22" s="130" t="str">
        <f ca="1">IFERROR(__xludf.DUMMYFUNCTION("""COMPUTED_VALUE"""),"2.3. Herramientas de la Red")</f>
        <v>2.3. Herramientas de la Red</v>
      </c>
      <c r="V22" s="4" t="str">
        <f ca="1">IFERROR(__xludf.DUMMYFUNCTION("""COMPUTED_VALUE"""),"CRM")</f>
        <v>CRM</v>
      </c>
      <c r="W22" s="4">
        <f ca="1">IFERROR(__xludf.DUMMYFUNCTION("""COMPUTED_VALUE"""),1)</f>
        <v>1</v>
      </c>
      <c r="X22" s="4" t="str">
        <f ca="1">IFERROR(__xludf.DUMMYFUNCTION("""COMPUTED_VALUE"""),"09. Data")</f>
        <v>09. Data</v>
      </c>
      <c r="Y22" s="4" t="str">
        <f ca="1">IFERROR(__xludf.DUMMYFUNCTION("""COMPUTED_VALUE"""),"5.6.5 CRM")</f>
        <v>5.6.5 CRM</v>
      </c>
      <c r="Z22" s="132" t="str">
        <f ca="1">IFERROR(__xludf.DUMMYFUNCTION("""COMPUTED_VALUE"""),"618920")</f>
        <v>618920</v>
      </c>
      <c r="AA22" s="4" t="str">
        <f ca="1">IFERROR(__xludf.DUMMYFUNCTION("""COMPUTED_VALUE"""),"Generación de Ofertas Comerciales")</f>
        <v>Generación de Ofertas Comerciales</v>
      </c>
      <c r="AB22" s="4" t="str">
        <f ca="1">IFERROR(__xludf.DUMMYFUNCTION("""COMPUTED_VALUE"""),"Generación de Ofertas Comerciales")</f>
        <v>Generación de Ofertas Comerciales</v>
      </c>
      <c r="AC22" s="4" t="str">
        <f ca="1">IFERROR(__xludf.DUMMYFUNCTION("""COMPUTED_VALUE"""),"3Q 2023")</f>
        <v>3Q 2023</v>
      </c>
      <c r="AD22" s="4"/>
      <c r="AE22" s="4"/>
      <c r="AF22" s="4"/>
      <c r="AG22" s="4"/>
      <c r="AH22" s="4"/>
      <c r="AI22" s="4"/>
      <c r="AJ22" s="4"/>
      <c r="AK22" s="4" t="str">
        <f ca="1">IFERROR(__xludf.DUMMYFUNCTION("""COMPUTED_VALUE"""),"Sin asignar")</f>
        <v>Sin asignar</v>
      </c>
      <c r="AL22" s="4" t="str">
        <f ca="1">IFERROR(__xludf.DUMMYFUNCTION("""COMPUTED_VALUE"""),"Sin asignar")</f>
        <v>Sin asignar</v>
      </c>
      <c r="AM22" s="4"/>
      <c r="AN22" s="4" t="str">
        <f ca="1">IFERROR(__xludf.DUMMYFUNCTION("""COMPUTED_VALUE"""),"Entregable en backlog")</f>
        <v>Entregable en backlog</v>
      </c>
      <c r="AO22" s="4" t="str">
        <f ca="1">IFERROR(__xludf.DUMMYFUNCTION("""COMPUTED_VALUE"""),"Transformación de la Red")</f>
        <v>Transformación de la Red</v>
      </c>
      <c r="AP22" s="4"/>
      <c r="AQ22" s="4"/>
      <c r="AR22" s="4" t="str">
        <f ca="1">IFERROR(__xludf.DUMMYFUNCTION("""COMPUTED_VALUE"""),"SDA aprobada en PPP Q1 2023")</f>
        <v>SDA aprobada en PPP Q1 2023</v>
      </c>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row>
    <row r="23" spans="1:132" x14ac:dyDescent="0.2">
      <c r="A23" s="4">
        <f ca="1">IFERROR(__xludf.DUMMYFUNCTION("""COMPUTED_VALUE"""),23)</f>
        <v>23</v>
      </c>
      <c r="B23" s="4">
        <f ca="1">IFERROR(__xludf.DUMMYFUNCTION("""COMPUTED_VALUE"""),16)</f>
        <v>16</v>
      </c>
      <c r="C23" s="4" t="str">
        <f ca="1">IFERROR(__xludf.DUMMYFUNCTION("""COMPUTED_VALUE"""),"SDATOOL-40672")</f>
        <v>SDATOOL-40672</v>
      </c>
      <c r="D23" s="4" t="str">
        <f ca="1">IFERROR(__xludf.DUMMYFUNCTION("""COMPUTED_VALUE"""),"Plan CRM: Mejoras AUG (Banca Comercial y CSF) Equipo A")</f>
        <v>Plan CRM: Mejoras AUG (Banca Comercial y CSF) Equipo A</v>
      </c>
      <c r="E23" s="4" t="str">
        <f ca="1">IFERROR(__xludf.DUMMYFUNCTION("""COMPUTED_VALUE"""),"Mejoras a la herramienta de gestión comercial (AUG) para la Banca Comercial y la CSF")</f>
        <v>Mejoras a la herramienta de gestión comercial (AUG) para la Banca Comercial y la CSF</v>
      </c>
      <c r="F23" s="4" t="str">
        <f ca="1">IFERROR(__xludf.DUMMYFUNCTION("""COMPUTED_VALUE"""),"Project")</f>
        <v>Project</v>
      </c>
      <c r="G23" s="4" t="str">
        <f ca="1">IFERROR(__xludf.DUMMYFUNCTION("""COMPUTED_VALUE"""),"Stock")</f>
        <v>Stock</v>
      </c>
      <c r="H23" s="4" t="str">
        <f ca="1">IFERROR(__xludf.DUMMYFUNCTION("""COMPUTED_VALUE"""),"1Q 2024")</f>
        <v>1Q 2024</v>
      </c>
      <c r="I23" s="131" t="str">
        <f ca="1">IFERROR(__xludf.DUMMYFUNCTION("""COMPUTED_VALUE"""),"ana.santamaria-bbva.com")</f>
        <v>ana.santamaria-bbva.com</v>
      </c>
      <c r="J23" s="131" t="str">
        <f ca="1">IFERROR(__xludf.DUMMYFUNCTION("""COMPUTED_VALUE"""),"jorgeenrique.vivas-bbva.com")</f>
        <v>jorgeenrique.vivas-bbva.com</v>
      </c>
      <c r="K23" s="131" t="str">
        <f ca="1">IFERROR(__xludf.DUMMYFUNCTION("""COMPUTED_VALUE"""),"pabloalexand.ortiz-bbva.com")</f>
        <v>pabloalexand.ortiz-bbva.com</v>
      </c>
      <c r="L23" s="4"/>
      <c r="M23" s="4"/>
      <c r="N23" s="4"/>
      <c r="O23" s="4" t="str">
        <f ca="1">IFERROR(__xludf.DUMMYFUNCTION("""COMPUTED_VALUE"""),"Scrum")</f>
        <v>Scrum</v>
      </c>
      <c r="P23" s="4" t="str">
        <f ca="1">IFERROR(__xludf.DUMMYFUNCTION("""COMPUTED_VALUE"""),"Nebulla")</f>
        <v>Nebulla</v>
      </c>
      <c r="Q23" s="4"/>
      <c r="R23" s="130" t="str">
        <f ca="1">IFERROR(__xludf.DUMMYFUNCTION("""COMPUTED_VALUE"""),"Business Innovation &amp; Strategy")</f>
        <v>Business Innovation &amp; Strategy</v>
      </c>
      <c r="S23" s="130" t="str">
        <f ca="1">IFERROR(__xludf.DUMMYFUNCTION("""COMPUTED_VALUE"""),"Plan Ascenso")</f>
        <v>Plan Ascenso</v>
      </c>
      <c r="T23" s="130" t="str">
        <f ca="1">IFERROR(__xludf.DUMMYFUNCTION("""COMPUTED_VALUE"""),"2. Modelo de relación y distribución")</f>
        <v>2. Modelo de relación y distribución</v>
      </c>
      <c r="U23" s="130" t="str">
        <f ca="1">IFERROR(__xludf.DUMMYFUNCTION("""COMPUTED_VALUE"""),"2.3. Herramientas de la Red")</f>
        <v>2.3. Herramientas de la Red</v>
      </c>
      <c r="V23" s="4" t="str">
        <f ca="1">IFERROR(__xludf.DUMMYFUNCTION("""COMPUTED_VALUE"""),"CRM")</f>
        <v>CRM</v>
      </c>
      <c r="W23" s="4">
        <f ca="1">IFERROR(__xludf.DUMMYFUNCTION("""COMPUTED_VALUE"""),1)</f>
        <v>1</v>
      </c>
      <c r="X23" s="4" t="str">
        <f ca="1">IFERROR(__xludf.DUMMYFUNCTION("""COMPUTED_VALUE"""),"09. Data")</f>
        <v>09. Data</v>
      </c>
      <c r="Y23" s="4" t="str">
        <f ca="1">IFERROR(__xludf.DUMMYFUNCTION("""COMPUTED_VALUE"""),"5.6.5 CRM")</f>
        <v>5.6.5 CRM</v>
      </c>
      <c r="Z23" s="132" t="str">
        <f ca="1">IFERROR(__xludf.DUMMYFUNCTION("""COMPUTED_VALUE"""),"713155")</f>
        <v>713155</v>
      </c>
      <c r="AA23" s="4" t="str">
        <f ca="1">IFERROR(__xludf.DUMMYFUNCTION("""COMPUTED_VALUE"""),"Módulo Reuniones de Sistemática")</f>
        <v>Módulo Reuniones de Sistemática</v>
      </c>
      <c r="AB23" s="4" t="str">
        <f ca="1">IFERROR(__xludf.DUMMYFUNCTION("""COMPUTED_VALUE"""),"Módulo Reuniones de Sistemática AUG")</f>
        <v>Módulo Reuniones de Sistemática AUG</v>
      </c>
      <c r="AC23" s="4" t="str">
        <f ca="1">IFERROR(__xludf.DUMMYFUNCTION("""COMPUTED_VALUE"""),"2Q 2023")</f>
        <v>2Q 2023</v>
      </c>
      <c r="AD23" s="4"/>
      <c r="AE23" s="4"/>
      <c r="AF23" s="4"/>
      <c r="AG23" s="4"/>
      <c r="AH23" s="4"/>
      <c r="AI23" s="4"/>
      <c r="AJ23" s="4"/>
      <c r="AK23" s="131" t="str">
        <f ca="1">IFERROR(__xludf.DUMMYFUNCTION("""COMPUTED_VALUE"""),"COLWSCRM-2173")</f>
        <v>COLWSCRM-2173</v>
      </c>
      <c r="AL23" s="4" t="str">
        <f ca="1">IFERROR(__xludf.DUMMYFUNCTION("""COMPUTED_VALUE"""),"New")</f>
        <v>New</v>
      </c>
      <c r="AM23" s="4"/>
      <c r="AN23" s="4" t="str">
        <f ca="1">IFERROR(__xludf.DUMMYFUNCTION("""COMPUTED_VALUE"""),"Entregable en backlog")</f>
        <v>Entregable en backlog</v>
      </c>
      <c r="AO23" s="4" t="str">
        <f ca="1">IFERROR(__xludf.DUMMYFUNCTION("""COMPUTED_VALUE"""),"Transformación de la Red")</f>
        <v>Transformación de la Red</v>
      </c>
      <c r="AP23" s="4"/>
      <c r="AQ23" s="4"/>
      <c r="AR23" s="4" t="str">
        <f ca="1">IFERROR(__xludf.DUMMYFUNCTION("""COMPUTED_VALUE"""),"SDA aprobada en PPP Q1 2023")</f>
        <v>SDA aprobada en PPP Q1 2023</v>
      </c>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row>
    <row r="24" spans="1:132" x14ac:dyDescent="0.2">
      <c r="A24" s="4">
        <f ca="1">IFERROR(__xludf.DUMMYFUNCTION("""COMPUTED_VALUE"""),24)</f>
        <v>24</v>
      </c>
      <c r="B24" s="4"/>
      <c r="C24" s="4" t="str">
        <f ca="1">IFERROR(__xludf.DUMMYFUNCTION("""COMPUTED_VALUE"""),"SDATOOL-40672")</f>
        <v>SDATOOL-40672</v>
      </c>
      <c r="D24" s="4" t="str">
        <f ca="1">IFERROR(__xludf.DUMMYFUNCTION("""COMPUTED_VALUE"""),"Plan CRM: Mejoras AUG (Banca Comercial y CSF) Equipo A")</f>
        <v>Plan CRM: Mejoras AUG (Banca Comercial y CSF) Equipo A</v>
      </c>
      <c r="E24" s="4" t="str">
        <f ca="1">IFERROR(__xludf.DUMMYFUNCTION("""COMPUTED_VALUE"""),"Mejoras a la herramienta de gestión comercial (AUG) para la Banca Comercial y la CSF")</f>
        <v>Mejoras a la herramienta de gestión comercial (AUG) para la Banca Comercial y la CSF</v>
      </c>
      <c r="F24" s="4" t="str">
        <f ca="1">IFERROR(__xludf.DUMMYFUNCTION("""COMPUTED_VALUE"""),"Project")</f>
        <v>Project</v>
      </c>
      <c r="G24" s="4" t="str">
        <f ca="1">IFERROR(__xludf.DUMMYFUNCTION("""COMPUTED_VALUE"""),"Stock")</f>
        <v>Stock</v>
      </c>
      <c r="H24" s="4" t="str">
        <f ca="1">IFERROR(__xludf.DUMMYFUNCTION("""COMPUTED_VALUE"""),"1Q 2024")</f>
        <v>1Q 2024</v>
      </c>
      <c r="I24" s="131" t="str">
        <f ca="1">IFERROR(__xludf.DUMMYFUNCTION("""COMPUTED_VALUE"""),"ana.santamaria-bbva.com")</f>
        <v>ana.santamaria-bbva.com</v>
      </c>
      <c r="J24" s="131" t="str">
        <f ca="1">IFERROR(__xludf.DUMMYFUNCTION("""COMPUTED_VALUE"""),"jorgeenrique.vivas-bbva.com")</f>
        <v>jorgeenrique.vivas-bbva.com</v>
      </c>
      <c r="K24" s="131" t="str">
        <f ca="1">IFERROR(__xludf.DUMMYFUNCTION("""COMPUTED_VALUE"""),"pabloalexand.ortiz-bbva.com")</f>
        <v>pabloalexand.ortiz-bbva.com</v>
      </c>
      <c r="L24" s="4"/>
      <c r="M24" s="4"/>
      <c r="N24" s="4"/>
      <c r="O24" s="4" t="str">
        <f ca="1">IFERROR(__xludf.DUMMYFUNCTION("""COMPUTED_VALUE"""),"Scrum")</f>
        <v>Scrum</v>
      </c>
      <c r="P24" s="4" t="str">
        <f ca="1">IFERROR(__xludf.DUMMYFUNCTION("""COMPUTED_VALUE"""),"Nebulla")</f>
        <v>Nebulla</v>
      </c>
      <c r="Q24" s="4"/>
      <c r="R24" s="130" t="str">
        <f ca="1">IFERROR(__xludf.DUMMYFUNCTION("""COMPUTED_VALUE"""),"Business Innovation &amp; Strategy")</f>
        <v>Business Innovation &amp; Strategy</v>
      </c>
      <c r="S24" s="130" t="str">
        <f ca="1">IFERROR(__xludf.DUMMYFUNCTION("""COMPUTED_VALUE"""),"Plan Ascenso")</f>
        <v>Plan Ascenso</v>
      </c>
      <c r="T24" s="130" t="str">
        <f ca="1">IFERROR(__xludf.DUMMYFUNCTION("""COMPUTED_VALUE"""),"2. Modelo de relación y distribución")</f>
        <v>2. Modelo de relación y distribución</v>
      </c>
      <c r="U24" s="130" t="str">
        <f ca="1">IFERROR(__xludf.DUMMYFUNCTION("""COMPUTED_VALUE"""),"2.3. Herramientas de la Red")</f>
        <v>2.3. Herramientas de la Red</v>
      </c>
      <c r="V24" s="4" t="str">
        <f ca="1">IFERROR(__xludf.DUMMYFUNCTION("""COMPUTED_VALUE"""),"CRM")</f>
        <v>CRM</v>
      </c>
      <c r="W24" s="4">
        <f ca="1">IFERROR(__xludf.DUMMYFUNCTION("""COMPUTED_VALUE"""),1)</f>
        <v>1</v>
      </c>
      <c r="X24" s="4" t="str">
        <f ca="1">IFERROR(__xludf.DUMMYFUNCTION("""COMPUTED_VALUE"""),"09. Data")</f>
        <v>09. Data</v>
      </c>
      <c r="Y24" s="4" t="str">
        <f ca="1">IFERROR(__xludf.DUMMYFUNCTION("""COMPUTED_VALUE"""),"5.6.5 CRM")</f>
        <v>5.6.5 CRM</v>
      </c>
      <c r="Z24" s="132" t="str">
        <f ca="1">IFERROR(__xludf.DUMMYFUNCTION("""COMPUTED_VALUE"""),"723685")</f>
        <v>723685</v>
      </c>
      <c r="AA24" s="4" t="str">
        <f ca="1">IFERROR(__xludf.DUMMYFUNCTION("""COMPUTED_VALUE"""),"Actualización automática de la ficha del cliente persona jurídica")</f>
        <v>Actualización automática de la ficha del cliente persona jurídica</v>
      </c>
      <c r="AB24" s="4" t="str">
        <f ca="1">IFERROR(__xludf.DUMMYFUNCTION("""COMPUTED_VALUE"""),"Actualización automática de la ficha del cliente persona jurídica")</f>
        <v>Actualización automática de la ficha del cliente persona jurídica</v>
      </c>
      <c r="AC24" s="4" t="str">
        <f ca="1">IFERROR(__xludf.DUMMYFUNCTION("""COMPUTED_VALUE"""),"4Q 2023")</f>
        <v>4Q 2023</v>
      </c>
      <c r="AD24" s="4"/>
      <c r="AE24" s="4"/>
      <c r="AF24" s="4"/>
      <c r="AG24" s="4"/>
      <c r="AH24" s="4"/>
      <c r="AI24" s="4"/>
      <c r="AJ24" s="4"/>
      <c r="AK24" s="4" t="str">
        <f ca="1">IFERROR(__xludf.DUMMYFUNCTION("""COMPUTED_VALUE"""),"Sin asignar")</f>
        <v>Sin asignar</v>
      </c>
      <c r="AL24" s="4" t="str">
        <f ca="1">IFERROR(__xludf.DUMMYFUNCTION("""COMPUTED_VALUE"""),"Sin asignar")</f>
        <v>Sin asignar</v>
      </c>
      <c r="AM24" s="4"/>
      <c r="AN24" s="4" t="str">
        <f ca="1">IFERROR(__xludf.DUMMYFUNCTION("""COMPUTED_VALUE"""),"Entregable en backlog")</f>
        <v>Entregable en backlog</v>
      </c>
      <c r="AO24" s="4" t="str">
        <f ca="1">IFERROR(__xludf.DUMMYFUNCTION("""COMPUTED_VALUE"""),"Transformación de la Red")</f>
        <v>Transformación de la Red</v>
      </c>
      <c r="AP24" s="4"/>
      <c r="AQ24" s="4"/>
      <c r="AR24" s="4" t="str">
        <f ca="1">IFERROR(__xludf.DUMMYFUNCTION("""COMPUTED_VALUE"""),"SDA aprobada en PPP Q1 2023")</f>
        <v>SDA aprobada en PPP Q1 2023</v>
      </c>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row>
    <row r="25" spans="1:132" x14ac:dyDescent="0.2">
      <c r="A25" s="4">
        <f ca="1">IFERROR(__xludf.DUMMYFUNCTION("""COMPUTED_VALUE"""),25)</f>
        <v>25</v>
      </c>
      <c r="B25" s="4"/>
      <c r="C25" s="4" t="str">
        <f ca="1">IFERROR(__xludf.DUMMYFUNCTION("""COMPUTED_VALUE"""),"SDATOOL-40672")</f>
        <v>SDATOOL-40672</v>
      </c>
      <c r="D25" s="4" t="str">
        <f ca="1">IFERROR(__xludf.DUMMYFUNCTION("""COMPUTED_VALUE"""),"Plan CRM: Mejoras AUG (Banca Comercial y CSF) Equipo A")</f>
        <v>Plan CRM: Mejoras AUG (Banca Comercial y CSF) Equipo A</v>
      </c>
      <c r="E25" s="4" t="str">
        <f ca="1">IFERROR(__xludf.DUMMYFUNCTION("""COMPUTED_VALUE"""),"Mejoras a la herramienta de gestión comercial (AUG) para la Banca Comercial y la CSF")</f>
        <v>Mejoras a la herramienta de gestión comercial (AUG) para la Banca Comercial y la CSF</v>
      </c>
      <c r="F25" s="4" t="str">
        <f ca="1">IFERROR(__xludf.DUMMYFUNCTION("""COMPUTED_VALUE"""),"Project")</f>
        <v>Project</v>
      </c>
      <c r="G25" s="4" t="str">
        <f ca="1">IFERROR(__xludf.DUMMYFUNCTION("""COMPUTED_VALUE"""),"Stock")</f>
        <v>Stock</v>
      </c>
      <c r="H25" s="4" t="str">
        <f ca="1">IFERROR(__xludf.DUMMYFUNCTION("""COMPUTED_VALUE"""),"1Q 2024")</f>
        <v>1Q 2024</v>
      </c>
      <c r="I25" s="131" t="str">
        <f ca="1">IFERROR(__xludf.DUMMYFUNCTION("""COMPUTED_VALUE"""),"ana.santamaria-bbva.com")</f>
        <v>ana.santamaria-bbva.com</v>
      </c>
      <c r="J25" s="131" t="str">
        <f ca="1">IFERROR(__xludf.DUMMYFUNCTION("""COMPUTED_VALUE"""),"jorgeenrique.vivas-bbva.com")</f>
        <v>jorgeenrique.vivas-bbva.com</v>
      </c>
      <c r="K25" s="131" t="str">
        <f ca="1">IFERROR(__xludf.DUMMYFUNCTION("""COMPUTED_VALUE"""),"pabloalexand.ortiz-bbva.com")</f>
        <v>pabloalexand.ortiz-bbva.com</v>
      </c>
      <c r="L25" s="4"/>
      <c r="M25" s="4"/>
      <c r="N25" s="4"/>
      <c r="O25" s="4" t="str">
        <f ca="1">IFERROR(__xludf.DUMMYFUNCTION("""COMPUTED_VALUE"""),"Scrum")</f>
        <v>Scrum</v>
      </c>
      <c r="P25" s="4" t="str">
        <f ca="1">IFERROR(__xludf.DUMMYFUNCTION("""COMPUTED_VALUE"""),"Nebulla")</f>
        <v>Nebulla</v>
      </c>
      <c r="Q25" s="4"/>
      <c r="R25" s="130" t="str">
        <f ca="1">IFERROR(__xludf.DUMMYFUNCTION("""COMPUTED_VALUE"""),"Business Innovation &amp; Strategy")</f>
        <v>Business Innovation &amp; Strategy</v>
      </c>
      <c r="S25" s="130" t="str">
        <f ca="1">IFERROR(__xludf.DUMMYFUNCTION("""COMPUTED_VALUE"""),"Plan Ascenso")</f>
        <v>Plan Ascenso</v>
      </c>
      <c r="T25" s="130" t="str">
        <f ca="1">IFERROR(__xludf.DUMMYFUNCTION("""COMPUTED_VALUE"""),"2. Modelo de relación y distribución")</f>
        <v>2. Modelo de relación y distribución</v>
      </c>
      <c r="U25" s="130" t="str">
        <f ca="1">IFERROR(__xludf.DUMMYFUNCTION("""COMPUTED_VALUE"""),"2.3. Herramientas de la Red")</f>
        <v>2.3. Herramientas de la Red</v>
      </c>
      <c r="V25" s="4" t="str">
        <f ca="1">IFERROR(__xludf.DUMMYFUNCTION("""COMPUTED_VALUE"""),"CRM")</f>
        <v>CRM</v>
      </c>
      <c r="W25" s="4">
        <f ca="1">IFERROR(__xludf.DUMMYFUNCTION("""COMPUTED_VALUE"""),1)</f>
        <v>1</v>
      </c>
      <c r="X25" s="4" t="str">
        <f ca="1">IFERROR(__xludf.DUMMYFUNCTION("""COMPUTED_VALUE"""),"09. Data")</f>
        <v>09. Data</v>
      </c>
      <c r="Y25" s="4" t="str">
        <f ca="1">IFERROR(__xludf.DUMMYFUNCTION("""COMPUTED_VALUE"""),"5.6.5 CRM")</f>
        <v>5.6.5 CRM</v>
      </c>
      <c r="Z25" s="132" t="str">
        <f ca="1">IFERROR(__xludf.DUMMYFUNCTION("""COMPUTED_VALUE"""),"773921")</f>
        <v>773921</v>
      </c>
      <c r="AA25" s="4" t="str">
        <f ca="1">IFERROR(__xludf.DUMMYFUNCTION("""COMPUTED_VALUE"""),"Informes Gerenciales Módulo de Contactabilidad - interacciones,compromisos")</f>
        <v>Informes Gerenciales Módulo de Contactabilidad - interacciones,compromisos</v>
      </c>
      <c r="AB25" s="4" t="str">
        <f ca="1">IFERROR(__xludf.DUMMYFUNCTION("""COMPUTED_VALUE"""),"Informes Gerenciales Módulo de Contactabilidad - interacciones,compromisos")</f>
        <v>Informes Gerenciales Módulo de Contactabilidad - interacciones,compromisos</v>
      </c>
      <c r="AC25" s="4" t="str">
        <f ca="1">IFERROR(__xludf.DUMMYFUNCTION("""COMPUTED_VALUE"""),"2Q 2023")</f>
        <v>2Q 2023</v>
      </c>
      <c r="AD25" s="4"/>
      <c r="AE25" s="4"/>
      <c r="AF25" s="4"/>
      <c r="AG25" s="4"/>
      <c r="AH25" s="4"/>
      <c r="AI25" s="4"/>
      <c r="AJ25" s="4"/>
      <c r="AK25" s="4" t="str">
        <f ca="1">IFERROR(__xludf.DUMMYFUNCTION("""COMPUTED_VALUE"""),"Sin asignar")</f>
        <v>Sin asignar</v>
      </c>
      <c r="AL25" s="4" t="str">
        <f ca="1">IFERROR(__xludf.DUMMYFUNCTION("""COMPUTED_VALUE"""),"Sin asignar")</f>
        <v>Sin asignar</v>
      </c>
      <c r="AM25" s="4"/>
      <c r="AN25" s="4" t="str">
        <f ca="1">IFERROR(__xludf.DUMMYFUNCTION("""COMPUTED_VALUE"""),"Entregable en backlog")</f>
        <v>Entregable en backlog</v>
      </c>
      <c r="AO25" s="4" t="str">
        <f ca="1">IFERROR(__xludf.DUMMYFUNCTION("""COMPUTED_VALUE"""),"Transformación de la Red")</f>
        <v>Transformación de la Red</v>
      </c>
      <c r="AP25" s="4"/>
      <c r="AQ25" s="4"/>
      <c r="AR25" s="4" t="str">
        <f ca="1">IFERROR(__xludf.DUMMYFUNCTION("""COMPUTED_VALUE"""),"SDA aprobada en PPP Q1 2023")</f>
        <v>SDA aprobada en PPP Q1 2023</v>
      </c>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row>
    <row r="26" spans="1:132" x14ac:dyDescent="0.2">
      <c r="A26" s="4">
        <f ca="1">IFERROR(__xludf.DUMMYFUNCTION("""COMPUTED_VALUE"""),26)</f>
        <v>26</v>
      </c>
      <c r="B26" s="4"/>
      <c r="C26" s="4" t="str">
        <f ca="1">IFERROR(__xludf.DUMMYFUNCTION("""COMPUTED_VALUE"""),"SDATOOL-40672")</f>
        <v>SDATOOL-40672</v>
      </c>
      <c r="D26" s="4" t="str">
        <f ca="1">IFERROR(__xludf.DUMMYFUNCTION("""COMPUTED_VALUE"""),"Plan CRM: Mejoras AUG (Banca Comercial y CSF) Equipo A")</f>
        <v>Plan CRM: Mejoras AUG (Banca Comercial y CSF) Equipo A</v>
      </c>
      <c r="E26" s="4" t="str">
        <f ca="1">IFERROR(__xludf.DUMMYFUNCTION("""COMPUTED_VALUE"""),"Mejoras a la herramienta de gestión comercial (AUG) para la Banca Comercial y la CSF")</f>
        <v>Mejoras a la herramienta de gestión comercial (AUG) para la Banca Comercial y la CSF</v>
      </c>
      <c r="F26" s="4" t="str">
        <f ca="1">IFERROR(__xludf.DUMMYFUNCTION("""COMPUTED_VALUE"""),"Project")</f>
        <v>Project</v>
      </c>
      <c r="G26" s="4" t="str">
        <f ca="1">IFERROR(__xludf.DUMMYFUNCTION("""COMPUTED_VALUE"""),"Stock")</f>
        <v>Stock</v>
      </c>
      <c r="H26" s="4" t="str">
        <f ca="1">IFERROR(__xludf.DUMMYFUNCTION("""COMPUTED_VALUE"""),"1Q 2024")</f>
        <v>1Q 2024</v>
      </c>
      <c r="I26" s="131" t="str">
        <f ca="1">IFERROR(__xludf.DUMMYFUNCTION("""COMPUTED_VALUE"""),"ana.santamaria-bbva.com")</f>
        <v>ana.santamaria-bbva.com</v>
      </c>
      <c r="J26" s="131" t="str">
        <f ca="1">IFERROR(__xludf.DUMMYFUNCTION("""COMPUTED_VALUE"""),"jorgeenrique.vivas-bbva.com")</f>
        <v>jorgeenrique.vivas-bbva.com</v>
      </c>
      <c r="K26" s="131" t="str">
        <f ca="1">IFERROR(__xludf.DUMMYFUNCTION("""COMPUTED_VALUE"""),"pabloalexand.ortiz-bbva.com")</f>
        <v>pabloalexand.ortiz-bbva.com</v>
      </c>
      <c r="L26" s="4"/>
      <c r="M26" s="4"/>
      <c r="N26" s="4"/>
      <c r="O26" s="4" t="str">
        <f ca="1">IFERROR(__xludf.DUMMYFUNCTION("""COMPUTED_VALUE"""),"Scrum")</f>
        <v>Scrum</v>
      </c>
      <c r="P26" s="4" t="str">
        <f ca="1">IFERROR(__xludf.DUMMYFUNCTION("""COMPUTED_VALUE"""),"Nebulla")</f>
        <v>Nebulla</v>
      </c>
      <c r="Q26" s="4"/>
      <c r="R26" s="130" t="str">
        <f ca="1">IFERROR(__xludf.DUMMYFUNCTION("""COMPUTED_VALUE"""),"Business Innovation &amp; Strategy")</f>
        <v>Business Innovation &amp; Strategy</v>
      </c>
      <c r="S26" s="130" t="str">
        <f ca="1">IFERROR(__xludf.DUMMYFUNCTION("""COMPUTED_VALUE"""),"Plan Ascenso")</f>
        <v>Plan Ascenso</v>
      </c>
      <c r="T26" s="130" t="str">
        <f ca="1">IFERROR(__xludf.DUMMYFUNCTION("""COMPUTED_VALUE"""),"2. Modelo de relación y distribución")</f>
        <v>2. Modelo de relación y distribución</v>
      </c>
      <c r="U26" s="130" t="str">
        <f ca="1">IFERROR(__xludf.DUMMYFUNCTION("""COMPUTED_VALUE"""),"2.3. Herramientas de la Red")</f>
        <v>2.3. Herramientas de la Red</v>
      </c>
      <c r="V26" s="4" t="str">
        <f ca="1">IFERROR(__xludf.DUMMYFUNCTION("""COMPUTED_VALUE"""),"CRM")</f>
        <v>CRM</v>
      </c>
      <c r="W26" s="4">
        <f ca="1">IFERROR(__xludf.DUMMYFUNCTION("""COMPUTED_VALUE"""),1)</f>
        <v>1</v>
      </c>
      <c r="X26" s="4" t="str">
        <f ca="1">IFERROR(__xludf.DUMMYFUNCTION("""COMPUTED_VALUE"""),"09. Data")</f>
        <v>09. Data</v>
      </c>
      <c r="Y26" s="4" t="str">
        <f ca="1">IFERROR(__xludf.DUMMYFUNCTION("""COMPUTED_VALUE"""),"5.6.5 CRM")</f>
        <v>5.6.5 CRM</v>
      </c>
      <c r="Z26" s="132" t="str">
        <f ca="1">IFERROR(__xludf.DUMMYFUNCTION("""COMPUTED_VALUE"""),"773976")</f>
        <v>773976</v>
      </c>
      <c r="AA26" s="4" t="str">
        <f ca="1">IFERROR(__xludf.DUMMYFUNCTION("""COMPUTED_VALUE"""),"Generación Estrategias Comerciales - ""Mi estrategia""")</f>
        <v>Generación Estrategias Comerciales - "Mi estrategia"</v>
      </c>
      <c r="AB26" s="4" t="str">
        <f ca="1">IFERROR(__xludf.DUMMYFUNCTION("""COMPUTED_VALUE"""),"Que la oficina tenga la opción de filtrar clientes de su oficina para generación de estrategias comerciales")</f>
        <v>Que la oficina tenga la opción de filtrar clientes de su oficina para generación de estrategias comerciales</v>
      </c>
      <c r="AC26" s="4" t="str">
        <f ca="1">IFERROR(__xludf.DUMMYFUNCTION("""COMPUTED_VALUE"""),"3Q 2023")</f>
        <v>3Q 2023</v>
      </c>
      <c r="AD26" s="4"/>
      <c r="AE26" s="4"/>
      <c r="AF26" s="4"/>
      <c r="AG26" s="4"/>
      <c r="AH26" s="4"/>
      <c r="AI26" s="4"/>
      <c r="AJ26" s="4"/>
      <c r="AK26" s="4" t="str">
        <f ca="1">IFERROR(__xludf.DUMMYFUNCTION("""COMPUTED_VALUE"""),"Sin asignar")</f>
        <v>Sin asignar</v>
      </c>
      <c r="AL26" s="4" t="str">
        <f ca="1">IFERROR(__xludf.DUMMYFUNCTION("""COMPUTED_VALUE"""),"Sin asignar")</f>
        <v>Sin asignar</v>
      </c>
      <c r="AM26" s="4"/>
      <c r="AN26" s="4" t="str">
        <f ca="1">IFERROR(__xludf.DUMMYFUNCTION("""COMPUTED_VALUE"""),"Entregable en backlog")</f>
        <v>Entregable en backlog</v>
      </c>
      <c r="AO26" s="4" t="str">
        <f ca="1">IFERROR(__xludf.DUMMYFUNCTION("""COMPUTED_VALUE"""),"Transformación de la Red")</f>
        <v>Transformación de la Red</v>
      </c>
      <c r="AP26" s="4"/>
      <c r="AQ26" s="4"/>
      <c r="AR26" s="4" t="str">
        <f ca="1">IFERROR(__xludf.DUMMYFUNCTION("""COMPUTED_VALUE"""),"SDA aprobada en PPP Q1 2023")</f>
        <v>SDA aprobada en PPP Q1 2023</v>
      </c>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row>
    <row r="27" spans="1:132" x14ac:dyDescent="0.2">
      <c r="A27" s="4">
        <f ca="1">IFERROR(__xludf.DUMMYFUNCTION("""COMPUTED_VALUE"""),27)</f>
        <v>27</v>
      </c>
      <c r="B27" s="4">
        <f ca="1">IFERROR(__xludf.DUMMYFUNCTION("""COMPUTED_VALUE"""),17)</f>
        <v>17</v>
      </c>
      <c r="C27" s="4" t="str">
        <f ca="1">IFERROR(__xludf.DUMMYFUNCTION("""COMPUTED_VALUE"""),"SDATOOL-40690")</f>
        <v>SDATOOL-40690</v>
      </c>
      <c r="D27" s="4" t="str">
        <f ca="1">IFERROR(__xludf.DUMMYFUNCTION("""COMPUTED_VALUE"""),"Plan CRM: Mejoras AUG (Banca Comercial y CSF) Equipo B")</f>
        <v>Plan CRM: Mejoras AUG (Banca Comercial y CSF) Equipo B</v>
      </c>
      <c r="E27" s="4" t="str">
        <f ca="1">IFERROR(__xludf.DUMMYFUNCTION("""COMPUTED_VALUE"""),"Mejoras a la herramienta de gestión comercial (AUG) para la Banca Comercial y la CSF")</f>
        <v>Mejoras a la herramienta de gestión comercial (AUG) para la Banca Comercial y la CSF</v>
      </c>
      <c r="F27" s="4" t="str">
        <f ca="1">IFERROR(__xludf.DUMMYFUNCTION("""COMPUTED_VALUE"""),"Project")</f>
        <v>Project</v>
      </c>
      <c r="G27" s="4" t="str">
        <f ca="1">IFERROR(__xludf.DUMMYFUNCTION("""COMPUTED_VALUE"""),"Stock")</f>
        <v>Stock</v>
      </c>
      <c r="H27" s="4" t="str">
        <f ca="1">IFERROR(__xludf.DUMMYFUNCTION("""COMPUTED_VALUE"""),"1Q 2024")</f>
        <v>1Q 2024</v>
      </c>
      <c r="I27" s="131" t="str">
        <f ca="1">IFERROR(__xludf.DUMMYFUNCTION("""COMPUTED_VALUE"""),"ana.santamaria-bbva.com")</f>
        <v>ana.santamaria-bbva.com</v>
      </c>
      <c r="J27" s="131" t="str">
        <f ca="1">IFERROR(__xludf.DUMMYFUNCTION("""COMPUTED_VALUE"""),"davidesteban.fajardo-bbva.com")</f>
        <v>davidesteban.fajardo-bbva.com</v>
      </c>
      <c r="K27" s="131" t="str">
        <f ca="1">IFERROR(__xludf.DUMMYFUNCTION("""COMPUTED_VALUE"""),"pabloalexand.ortiz-bbva.com")</f>
        <v>pabloalexand.ortiz-bbva.com</v>
      </c>
      <c r="L27" s="130">
        <f ca="1">IFERROR(__xludf.DUMMYFUNCTION("""COMPUTED_VALUE"""),1)</f>
        <v>1</v>
      </c>
      <c r="M27" s="130">
        <f ca="1">IFERROR(__xludf.DUMMYFUNCTION("""COMPUTED_VALUE"""),2.9)</f>
        <v>2.9</v>
      </c>
      <c r="N27" s="130">
        <f ca="1">IFERROR(__xludf.DUMMYFUNCTION("""COMPUTED_VALUE"""),3.02)</f>
        <v>3.02</v>
      </c>
      <c r="O27" s="4" t="str">
        <f ca="1">IFERROR(__xludf.DUMMYFUNCTION("""COMPUTED_VALUE"""),"Scrum")</f>
        <v>Scrum</v>
      </c>
      <c r="P27" s="4" t="str">
        <f ca="1">IFERROR(__xludf.DUMMYFUNCTION("""COMPUTED_VALUE"""),"Sirius Team")</f>
        <v>Sirius Team</v>
      </c>
      <c r="Q27" s="130">
        <f ca="1">IFERROR(__xludf.DUMMYFUNCTION("""COMPUTED_VALUE"""),1)</f>
        <v>1</v>
      </c>
      <c r="R27" s="130" t="str">
        <f ca="1">IFERROR(__xludf.DUMMYFUNCTION("""COMPUTED_VALUE"""),"Business Innovation &amp; Strategy")</f>
        <v>Business Innovation &amp; Strategy</v>
      </c>
      <c r="S27" s="130" t="str">
        <f ca="1">IFERROR(__xludf.DUMMYFUNCTION("""COMPUTED_VALUE"""),"Plan Ascenso")</f>
        <v>Plan Ascenso</v>
      </c>
      <c r="T27" s="130" t="str">
        <f ca="1">IFERROR(__xludf.DUMMYFUNCTION("""COMPUTED_VALUE"""),"2. Modelo de relación y distribución")</f>
        <v>2. Modelo de relación y distribución</v>
      </c>
      <c r="U27" s="130" t="str">
        <f ca="1">IFERROR(__xludf.DUMMYFUNCTION("""COMPUTED_VALUE"""),"2.3. Herramientas de la Red")</f>
        <v>2.3. Herramientas de la Red</v>
      </c>
      <c r="V27" s="4" t="str">
        <f ca="1">IFERROR(__xludf.DUMMYFUNCTION("""COMPUTED_VALUE"""),"CRM")</f>
        <v>CRM</v>
      </c>
      <c r="W27" s="4">
        <f ca="1">IFERROR(__xludf.DUMMYFUNCTION("""COMPUTED_VALUE"""),1)</f>
        <v>1</v>
      </c>
      <c r="X27" s="4" t="str">
        <f ca="1">IFERROR(__xludf.DUMMYFUNCTION("""COMPUTED_VALUE"""),"09. Data")</f>
        <v>09. Data</v>
      </c>
      <c r="Y27" s="4" t="str">
        <f ca="1">IFERROR(__xludf.DUMMYFUNCTION("""COMPUTED_VALUE"""),"5.6.5 CRM")</f>
        <v>5.6.5 CRM</v>
      </c>
      <c r="Z27" s="132" t="str">
        <f ca="1">IFERROR(__xludf.DUMMYFUNCTION("""COMPUTED_VALUE"""),"618923")</f>
        <v>618923</v>
      </c>
      <c r="AA27" s="4" t="str">
        <f ca="1">IFERROR(__xludf.DUMMYFUNCTION("""COMPUTED_VALUE"""),"Disponibilizar AUG para la CSF")</f>
        <v>Disponibilizar AUG para la CSF</v>
      </c>
      <c r="AB27" s="4" t="str">
        <f ca="1">IFERROR(__xludf.DUMMYFUNCTION("""COMPUTED_VALUE"""),"Disponibilizar AUG para la CSF")</f>
        <v>Disponibilizar AUG para la CSF</v>
      </c>
      <c r="AC27" s="4" t="str">
        <f ca="1">IFERROR(__xludf.DUMMYFUNCTION("""COMPUTED_VALUE"""),"2Q 2023")</f>
        <v>2Q 2023</v>
      </c>
      <c r="AD27" s="4"/>
      <c r="AE27" s="4"/>
      <c r="AF27" s="4"/>
      <c r="AG27" s="4"/>
      <c r="AH27" s="4"/>
      <c r="AI27" s="4"/>
      <c r="AJ27" s="4"/>
      <c r="AK27" s="131" t="str">
        <f ca="1">IFERROR(__xludf.DUMMYFUNCTION("""COMPUTED_VALUE"""),"COLWSCRM-2297")</f>
        <v>COLWSCRM-2297</v>
      </c>
      <c r="AL27" s="4" t="str">
        <f ca="1">IFERROR(__xludf.DUMMYFUNCTION("""COMPUTED_VALUE"""),"En progreso")</f>
        <v>En progreso</v>
      </c>
      <c r="AM27" s="4"/>
      <c r="AN27" s="4" t="str">
        <f ca="1">IFERROR(__xludf.DUMMYFUNCTION("""COMPUTED_VALUE"""),"Entregable en desarrollo")</f>
        <v>Entregable en desarrollo</v>
      </c>
      <c r="AO27" s="4" t="str">
        <f ca="1">IFERROR(__xludf.DUMMYFUNCTION("""COMPUTED_VALUE"""),"Transformación de la Red")</f>
        <v>Transformación de la Red</v>
      </c>
      <c r="AP27" s="4"/>
      <c r="AQ27" s="4"/>
      <c r="AR27" s="4" t="str">
        <f ca="1">IFERROR(__xludf.DUMMYFUNCTION("""COMPUTED_VALUE"""),"SDA aprobada en PPP Q1 2023")</f>
        <v>SDA aprobada en PPP Q1 2023</v>
      </c>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133">
        <f ca="1">IFERROR(__xludf.DUMMYFUNCTION("""COMPUTED_VALUE"""),0)</f>
        <v>0</v>
      </c>
      <c r="DV27" s="133">
        <f ca="1">IFERROR(__xludf.DUMMYFUNCTION("""COMPUTED_VALUE"""),0)</f>
        <v>0</v>
      </c>
      <c r="DW27" s="133">
        <f ca="1">IFERROR(__xludf.DUMMYFUNCTION("""COMPUTED_VALUE"""),0)</f>
        <v>0</v>
      </c>
      <c r="DX27" s="133">
        <f ca="1">IFERROR(__xludf.DUMMYFUNCTION("""COMPUTED_VALUE"""),784299957)</f>
        <v>784299957</v>
      </c>
      <c r="DY27" s="133">
        <f ca="1">IFERROR(__xludf.DUMMYFUNCTION("""COMPUTED_VALUE"""),0)</f>
        <v>0</v>
      </c>
      <c r="DZ27" s="133">
        <f ca="1">IFERROR(__xludf.DUMMYFUNCTION("""COMPUTED_VALUE"""),784299957)</f>
        <v>784299957</v>
      </c>
      <c r="EA27" s="4"/>
      <c r="EB27" s="4"/>
    </row>
    <row r="28" spans="1:132" x14ac:dyDescent="0.2">
      <c r="A28" s="4">
        <f ca="1">IFERROR(__xludf.DUMMYFUNCTION("""COMPUTED_VALUE"""),28)</f>
        <v>28</v>
      </c>
      <c r="B28" s="4">
        <f ca="1">IFERROR(__xludf.DUMMYFUNCTION("""COMPUTED_VALUE"""),18)</f>
        <v>18</v>
      </c>
      <c r="C28" s="4" t="str">
        <f ca="1">IFERROR(__xludf.DUMMYFUNCTION("""COMPUTED_VALUE"""),"SDATOOL-40690")</f>
        <v>SDATOOL-40690</v>
      </c>
      <c r="D28" s="4" t="str">
        <f ca="1">IFERROR(__xludf.DUMMYFUNCTION("""COMPUTED_VALUE"""),"Plan CRM: Mejoras AUG (Banca Comercial y CSF) Equipo B")</f>
        <v>Plan CRM: Mejoras AUG (Banca Comercial y CSF) Equipo B</v>
      </c>
      <c r="E28" s="4" t="str">
        <f ca="1">IFERROR(__xludf.DUMMYFUNCTION("""COMPUTED_VALUE"""),"Mejoras a la herramienta de gestión comercial (AUG) para la Banca Comercial y la CSF")</f>
        <v>Mejoras a la herramienta de gestión comercial (AUG) para la Banca Comercial y la CSF</v>
      </c>
      <c r="F28" s="4" t="str">
        <f ca="1">IFERROR(__xludf.DUMMYFUNCTION("""COMPUTED_VALUE"""),"Project")</f>
        <v>Project</v>
      </c>
      <c r="G28" s="4" t="str">
        <f ca="1">IFERROR(__xludf.DUMMYFUNCTION("""COMPUTED_VALUE"""),"Stock")</f>
        <v>Stock</v>
      </c>
      <c r="H28" s="4" t="str">
        <f ca="1">IFERROR(__xludf.DUMMYFUNCTION("""COMPUTED_VALUE"""),"1Q 2024")</f>
        <v>1Q 2024</v>
      </c>
      <c r="I28" s="131" t="str">
        <f ca="1">IFERROR(__xludf.DUMMYFUNCTION("""COMPUTED_VALUE"""),"ana.santamaria-bbva.com")</f>
        <v>ana.santamaria-bbva.com</v>
      </c>
      <c r="J28" s="131" t="str">
        <f ca="1">IFERROR(__xludf.DUMMYFUNCTION("""COMPUTED_VALUE"""),"davidesteban.fajardo-bbva.com")</f>
        <v>davidesteban.fajardo-bbva.com</v>
      </c>
      <c r="K28" s="131" t="str">
        <f ca="1">IFERROR(__xludf.DUMMYFUNCTION("""COMPUTED_VALUE"""),"pabloalexand.ortiz-bbva.com")</f>
        <v>pabloalexand.ortiz-bbva.com</v>
      </c>
      <c r="L28" s="4"/>
      <c r="M28" s="4"/>
      <c r="N28" s="4"/>
      <c r="O28" s="4" t="str">
        <f ca="1">IFERROR(__xludf.DUMMYFUNCTION("""COMPUTED_VALUE"""),"Scrum")</f>
        <v>Scrum</v>
      </c>
      <c r="P28" s="4" t="str">
        <f ca="1">IFERROR(__xludf.DUMMYFUNCTION("""COMPUTED_VALUE"""),"Sirius Team")</f>
        <v>Sirius Team</v>
      </c>
      <c r="Q28" s="4"/>
      <c r="R28" s="130" t="str">
        <f ca="1">IFERROR(__xludf.DUMMYFUNCTION("""COMPUTED_VALUE"""),"Business Innovation &amp; Strategy")</f>
        <v>Business Innovation &amp; Strategy</v>
      </c>
      <c r="S28" s="130" t="str">
        <f ca="1">IFERROR(__xludf.DUMMYFUNCTION("""COMPUTED_VALUE"""),"Plan Ascenso")</f>
        <v>Plan Ascenso</v>
      </c>
      <c r="T28" s="130" t="str">
        <f ca="1">IFERROR(__xludf.DUMMYFUNCTION("""COMPUTED_VALUE"""),"2. Modelo de relación y distribución")</f>
        <v>2. Modelo de relación y distribución</v>
      </c>
      <c r="U28" s="130" t="str">
        <f ca="1">IFERROR(__xludf.DUMMYFUNCTION("""COMPUTED_VALUE"""),"2.3. Herramientas de la Red")</f>
        <v>2.3. Herramientas de la Red</v>
      </c>
      <c r="V28" s="4" t="str">
        <f ca="1">IFERROR(__xludf.DUMMYFUNCTION("""COMPUTED_VALUE"""),"CRM")</f>
        <v>CRM</v>
      </c>
      <c r="W28" s="4">
        <f ca="1">IFERROR(__xludf.DUMMYFUNCTION("""COMPUTED_VALUE"""),1)</f>
        <v>1</v>
      </c>
      <c r="X28" s="4" t="str">
        <f ca="1">IFERROR(__xludf.DUMMYFUNCTION("""COMPUTED_VALUE"""),"09. Data")</f>
        <v>09. Data</v>
      </c>
      <c r="Y28" s="4" t="str">
        <f ca="1">IFERROR(__xludf.DUMMYFUNCTION("""COMPUTED_VALUE"""),"5.6.5 CRM")</f>
        <v>5.6.5 CRM</v>
      </c>
      <c r="Z28" s="132" t="str">
        <f ca="1">IFERROR(__xludf.DUMMYFUNCTION("""COMPUTED_VALUE"""),"618921")</f>
        <v>618921</v>
      </c>
      <c r="AA28" s="4" t="str">
        <f ca="1">IFERROR(__xludf.DUMMYFUNCTION("""COMPUTED_VALUE"""),"Incluir más filtros para la gestión de campañas - sin asignar y gestión")</f>
        <v>Incluir más filtros para la gestión de campañas - sin asignar y gestión</v>
      </c>
      <c r="AB28" s="4" t="str">
        <f ca="1">IFERROR(__xludf.DUMMYFUNCTION("""COMPUTED_VALUE"""),"Incluir más filtros para la gestión de campañas - sin asignar y gestión")</f>
        <v>Incluir más filtros para la gestión de campañas - sin asignar y gestión</v>
      </c>
      <c r="AC28" s="4" t="str">
        <f ca="1">IFERROR(__xludf.DUMMYFUNCTION("""COMPUTED_VALUE"""),"2Q 2023")</f>
        <v>2Q 2023</v>
      </c>
      <c r="AD28" s="4"/>
      <c r="AE28" s="4"/>
      <c r="AF28" s="4"/>
      <c r="AG28" s="4"/>
      <c r="AH28" s="4"/>
      <c r="AI28" s="4"/>
      <c r="AJ28" s="4"/>
      <c r="AK28" s="131" t="str">
        <f ca="1">IFERROR(__xludf.DUMMYFUNCTION("""COMPUTED_VALUE"""),"COLWSCRM-2230")</f>
        <v>COLWSCRM-2230</v>
      </c>
      <c r="AL28" s="4" t="str">
        <f ca="1">IFERROR(__xludf.DUMMYFUNCTION("""COMPUTED_VALUE"""),"En progreso")</f>
        <v>En progreso</v>
      </c>
      <c r="AM28" s="4"/>
      <c r="AN28" s="4" t="str">
        <f ca="1">IFERROR(__xludf.DUMMYFUNCTION("""COMPUTED_VALUE"""),"Entregable en desarrollo")</f>
        <v>Entregable en desarrollo</v>
      </c>
      <c r="AO28" s="4" t="str">
        <f ca="1">IFERROR(__xludf.DUMMYFUNCTION("""COMPUTED_VALUE"""),"Transformación de la Red")</f>
        <v>Transformación de la Red</v>
      </c>
      <c r="AP28" s="4"/>
      <c r="AQ28" s="4"/>
      <c r="AR28" s="4" t="str">
        <f ca="1">IFERROR(__xludf.DUMMYFUNCTION("""COMPUTED_VALUE"""),"SDA aprobada en PPP Q1 2023")</f>
        <v>SDA aprobada en PPP Q1 2023</v>
      </c>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row>
    <row r="29" spans="1:132" x14ac:dyDescent="0.2">
      <c r="A29" s="4">
        <f ca="1">IFERROR(__xludf.DUMMYFUNCTION("""COMPUTED_VALUE"""),29)</f>
        <v>29</v>
      </c>
      <c r="B29" s="4">
        <f ca="1">IFERROR(__xludf.DUMMYFUNCTION("""COMPUTED_VALUE"""),19)</f>
        <v>19</v>
      </c>
      <c r="C29" s="4" t="str">
        <f ca="1">IFERROR(__xludf.DUMMYFUNCTION("""COMPUTED_VALUE"""),"SDATOOL-40690")</f>
        <v>SDATOOL-40690</v>
      </c>
      <c r="D29" s="4" t="str">
        <f ca="1">IFERROR(__xludf.DUMMYFUNCTION("""COMPUTED_VALUE"""),"Plan CRM: Mejoras AUG (Banca Comercial y CSF) Equipo B")</f>
        <v>Plan CRM: Mejoras AUG (Banca Comercial y CSF) Equipo B</v>
      </c>
      <c r="E29" s="4" t="str">
        <f ca="1">IFERROR(__xludf.DUMMYFUNCTION("""COMPUTED_VALUE"""),"Mejoras a la herramienta de gestión comercial (AUG) para la Banca Comercial y la CSF")</f>
        <v>Mejoras a la herramienta de gestión comercial (AUG) para la Banca Comercial y la CSF</v>
      </c>
      <c r="F29" s="4" t="str">
        <f ca="1">IFERROR(__xludf.DUMMYFUNCTION("""COMPUTED_VALUE"""),"Project")</f>
        <v>Project</v>
      </c>
      <c r="G29" s="4" t="str">
        <f ca="1">IFERROR(__xludf.DUMMYFUNCTION("""COMPUTED_VALUE"""),"Stock")</f>
        <v>Stock</v>
      </c>
      <c r="H29" s="4" t="str">
        <f ca="1">IFERROR(__xludf.DUMMYFUNCTION("""COMPUTED_VALUE"""),"1Q 2024")</f>
        <v>1Q 2024</v>
      </c>
      <c r="I29" s="131" t="str">
        <f ca="1">IFERROR(__xludf.DUMMYFUNCTION("""COMPUTED_VALUE"""),"ana.santamaria-bbva.com")</f>
        <v>ana.santamaria-bbva.com</v>
      </c>
      <c r="J29" s="131" t="str">
        <f ca="1">IFERROR(__xludf.DUMMYFUNCTION("""COMPUTED_VALUE"""),"davidesteban.fajardo-bbva.com")</f>
        <v>davidesteban.fajardo-bbva.com</v>
      </c>
      <c r="K29" s="131" t="str">
        <f ca="1">IFERROR(__xludf.DUMMYFUNCTION("""COMPUTED_VALUE"""),"pabloalexand.ortiz-bbva.com")</f>
        <v>pabloalexand.ortiz-bbva.com</v>
      </c>
      <c r="L29" s="4"/>
      <c r="M29" s="4"/>
      <c r="N29" s="4"/>
      <c r="O29" s="4" t="str">
        <f ca="1">IFERROR(__xludf.DUMMYFUNCTION("""COMPUTED_VALUE"""),"Scrum")</f>
        <v>Scrum</v>
      </c>
      <c r="P29" s="4" t="str">
        <f ca="1">IFERROR(__xludf.DUMMYFUNCTION("""COMPUTED_VALUE"""),"Sirius Team")</f>
        <v>Sirius Team</v>
      </c>
      <c r="Q29" s="4"/>
      <c r="R29" s="130" t="str">
        <f ca="1">IFERROR(__xludf.DUMMYFUNCTION("""COMPUTED_VALUE"""),"Business Innovation &amp; Strategy")</f>
        <v>Business Innovation &amp; Strategy</v>
      </c>
      <c r="S29" s="130" t="str">
        <f ca="1">IFERROR(__xludf.DUMMYFUNCTION("""COMPUTED_VALUE"""),"Plan Ascenso")</f>
        <v>Plan Ascenso</v>
      </c>
      <c r="T29" s="130" t="str">
        <f ca="1">IFERROR(__xludf.DUMMYFUNCTION("""COMPUTED_VALUE"""),"2. Modelo de relación y distribución")</f>
        <v>2. Modelo de relación y distribución</v>
      </c>
      <c r="U29" s="130" t="str">
        <f ca="1">IFERROR(__xludf.DUMMYFUNCTION("""COMPUTED_VALUE"""),"2.3. Herramientas de la Red")</f>
        <v>2.3. Herramientas de la Red</v>
      </c>
      <c r="V29" s="4" t="str">
        <f ca="1">IFERROR(__xludf.DUMMYFUNCTION("""COMPUTED_VALUE"""),"CRM")</f>
        <v>CRM</v>
      </c>
      <c r="W29" s="4">
        <f ca="1">IFERROR(__xludf.DUMMYFUNCTION("""COMPUTED_VALUE"""),1)</f>
        <v>1</v>
      </c>
      <c r="X29" s="4" t="str">
        <f ca="1">IFERROR(__xludf.DUMMYFUNCTION("""COMPUTED_VALUE"""),"09. Data")</f>
        <v>09. Data</v>
      </c>
      <c r="Y29" s="4" t="str">
        <f ca="1">IFERROR(__xludf.DUMMYFUNCTION("""COMPUTED_VALUE"""),"5.6.5 CRM")</f>
        <v>5.6.5 CRM</v>
      </c>
      <c r="Z29" s="132" t="str">
        <f ca="1">IFERROR(__xludf.DUMMYFUNCTION("""COMPUTED_VALUE"""),"711605")</f>
        <v>711605</v>
      </c>
      <c r="AA29" s="4" t="str">
        <f ca="1">IFERROR(__xludf.DUMMYFUNCTION("""COMPUTED_VALUE"""),"Gestión de Campañas desde el Módulo Contactabilidad")</f>
        <v>Gestión de Campañas desde el Módulo Contactabilidad</v>
      </c>
      <c r="AB29" s="4" t="str">
        <f ca="1">IFERROR(__xludf.DUMMYFUNCTION("""COMPUTED_VALUE"""),"Gestión de Campañas desde el Módulo Contactabilidad")</f>
        <v>Gestión de Campañas desde el Módulo Contactabilidad</v>
      </c>
      <c r="AC29" s="4" t="str">
        <f ca="1">IFERROR(__xludf.DUMMYFUNCTION("""COMPUTED_VALUE"""),"3Q 2023")</f>
        <v>3Q 2023</v>
      </c>
      <c r="AD29" s="4"/>
      <c r="AE29" s="4"/>
      <c r="AF29" s="4"/>
      <c r="AG29" s="4"/>
      <c r="AH29" s="4"/>
      <c r="AI29" s="4"/>
      <c r="AJ29" s="4"/>
      <c r="AK29" s="131" t="str">
        <f ca="1">IFERROR(__xludf.DUMMYFUNCTION("""COMPUTED_VALUE"""),"CCSS-19695")</f>
        <v>CCSS-19695</v>
      </c>
      <c r="AL29" s="4" t="str">
        <f ca="1">IFERROR(__xludf.DUMMYFUNCTION("""COMPUTED_VALUE"""),"New")</f>
        <v>New</v>
      </c>
      <c r="AM29" s="4"/>
      <c r="AN29" s="4" t="str">
        <f ca="1">IFERROR(__xludf.DUMMYFUNCTION("""COMPUTED_VALUE"""),"Entregable en backlog")</f>
        <v>Entregable en backlog</v>
      </c>
      <c r="AO29" s="4" t="str">
        <f ca="1">IFERROR(__xludf.DUMMYFUNCTION("""COMPUTED_VALUE"""),"Transformación de la Red")</f>
        <v>Transformación de la Red</v>
      </c>
      <c r="AP29" s="4"/>
      <c r="AQ29" s="4"/>
      <c r="AR29" s="4" t="str">
        <f ca="1">IFERROR(__xludf.DUMMYFUNCTION("""COMPUTED_VALUE"""),"SDA aprobada en PPP Q1 2023")</f>
        <v>SDA aprobada en PPP Q1 2023</v>
      </c>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row>
    <row r="30" spans="1:132" x14ac:dyDescent="0.2">
      <c r="A30" s="4">
        <f ca="1">IFERROR(__xludf.DUMMYFUNCTION("""COMPUTED_VALUE"""),30)</f>
        <v>30</v>
      </c>
      <c r="B30" s="4">
        <f ca="1">IFERROR(__xludf.DUMMYFUNCTION("""COMPUTED_VALUE"""),20)</f>
        <v>20</v>
      </c>
      <c r="C30" s="4" t="str">
        <f ca="1">IFERROR(__xludf.DUMMYFUNCTION("""COMPUTED_VALUE"""),"SDATOOL-40690")</f>
        <v>SDATOOL-40690</v>
      </c>
      <c r="D30" s="4" t="str">
        <f ca="1">IFERROR(__xludf.DUMMYFUNCTION("""COMPUTED_VALUE"""),"Plan CRM: Mejoras AUG (Banca Comercial y CSF) Equipo B")</f>
        <v>Plan CRM: Mejoras AUG (Banca Comercial y CSF) Equipo B</v>
      </c>
      <c r="E30" s="4" t="str">
        <f ca="1">IFERROR(__xludf.DUMMYFUNCTION("""COMPUTED_VALUE"""),"Mejoras a la herramienta de gestión comercial (AUG) para la Banca Comercial y la CSF")</f>
        <v>Mejoras a la herramienta de gestión comercial (AUG) para la Banca Comercial y la CSF</v>
      </c>
      <c r="F30" s="4" t="str">
        <f ca="1">IFERROR(__xludf.DUMMYFUNCTION("""COMPUTED_VALUE"""),"Project")</f>
        <v>Project</v>
      </c>
      <c r="G30" s="4" t="str">
        <f ca="1">IFERROR(__xludf.DUMMYFUNCTION("""COMPUTED_VALUE"""),"Stock")</f>
        <v>Stock</v>
      </c>
      <c r="H30" s="4" t="str">
        <f ca="1">IFERROR(__xludf.DUMMYFUNCTION("""COMPUTED_VALUE"""),"1Q 2024")</f>
        <v>1Q 2024</v>
      </c>
      <c r="I30" s="131" t="str">
        <f ca="1">IFERROR(__xludf.DUMMYFUNCTION("""COMPUTED_VALUE"""),"ana.santamaria-bbva.com")</f>
        <v>ana.santamaria-bbva.com</v>
      </c>
      <c r="J30" s="131" t="str">
        <f ca="1">IFERROR(__xludf.DUMMYFUNCTION("""COMPUTED_VALUE"""),"davidesteban.fajardo-bbva.com")</f>
        <v>davidesteban.fajardo-bbva.com</v>
      </c>
      <c r="K30" s="131" t="str">
        <f ca="1">IFERROR(__xludf.DUMMYFUNCTION("""COMPUTED_VALUE"""),"pabloalexand.ortiz-bbva.com")</f>
        <v>pabloalexand.ortiz-bbva.com</v>
      </c>
      <c r="L30" s="4"/>
      <c r="M30" s="4"/>
      <c r="N30" s="4"/>
      <c r="O30" s="4" t="str">
        <f ca="1">IFERROR(__xludf.DUMMYFUNCTION("""COMPUTED_VALUE"""),"Scrum")</f>
        <v>Scrum</v>
      </c>
      <c r="P30" s="4" t="str">
        <f ca="1">IFERROR(__xludf.DUMMYFUNCTION("""COMPUTED_VALUE"""),"Sirius Team")</f>
        <v>Sirius Team</v>
      </c>
      <c r="Q30" s="4"/>
      <c r="R30" s="130" t="str">
        <f ca="1">IFERROR(__xludf.DUMMYFUNCTION("""COMPUTED_VALUE"""),"Business Innovation &amp; Strategy")</f>
        <v>Business Innovation &amp; Strategy</v>
      </c>
      <c r="S30" s="130" t="str">
        <f ca="1">IFERROR(__xludf.DUMMYFUNCTION("""COMPUTED_VALUE"""),"Plan Ascenso")</f>
        <v>Plan Ascenso</v>
      </c>
      <c r="T30" s="130" t="str">
        <f ca="1">IFERROR(__xludf.DUMMYFUNCTION("""COMPUTED_VALUE"""),"2. Modelo de relación y distribución")</f>
        <v>2. Modelo de relación y distribución</v>
      </c>
      <c r="U30" s="130" t="str">
        <f ca="1">IFERROR(__xludf.DUMMYFUNCTION("""COMPUTED_VALUE"""),"2.3. Herramientas de la Red")</f>
        <v>2.3. Herramientas de la Red</v>
      </c>
      <c r="V30" s="4" t="str">
        <f ca="1">IFERROR(__xludf.DUMMYFUNCTION("""COMPUTED_VALUE"""),"CRM")</f>
        <v>CRM</v>
      </c>
      <c r="W30" s="4">
        <f ca="1">IFERROR(__xludf.DUMMYFUNCTION("""COMPUTED_VALUE"""),1)</f>
        <v>1</v>
      </c>
      <c r="X30" s="4" t="str">
        <f ca="1">IFERROR(__xludf.DUMMYFUNCTION("""COMPUTED_VALUE"""),"09. Data")</f>
        <v>09. Data</v>
      </c>
      <c r="Y30" s="4" t="str">
        <f ca="1">IFERROR(__xludf.DUMMYFUNCTION("""COMPUTED_VALUE"""),"5.6.5 CRM")</f>
        <v>5.6.5 CRM</v>
      </c>
      <c r="Z30" s="132" t="str">
        <f ca="1">IFERROR(__xludf.DUMMYFUNCTION("""COMPUTED_VALUE"""),"618922")</f>
        <v>618922</v>
      </c>
      <c r="AA30" s="4" t="str">
        <f ca="1">IFERROR(__xludf.DUMMYFUNCTION("""COMPUTED_VALUE"""),"Mejoras Gestión Campañas")</f>
        <v>Mejoras Gestión Campañas</v>
      </c>
      <c r="AB30" s="4" t="str">
        <f ca="1">IFERROR(__xludf.DUMMYFUNCTION("""COMPUTED_VALUE"""),"Mejorar la experiencia al clasificar y visualizar las campañas")</f>
        <v>Mejorar la experiencia al clasificar y visualizar las campañas</v>
      </c>
      <c r="AC30" s="4" t="str">
        <f ca="1">IFERROR(__xludf.DUMMYFUNCTION("""COMPUTED_VALUE"""),"2Q 2023")</f>
        <v>2Q 2023</v>
      </c>
      <c r="AD30" s="4"/>
      <c r="AE30" s="4"/>
      <c r="AF30" s="4"/>
      <c r="AG30" s="4"/>
      <c r="AH30" s="4"/>
      <c r="AI30" s="4"/>
      <c r="AJ30" s="4"/>
      <c r="AK30" s="131" t="str">
        <f ca="1">IFERROR(__xludf.DUMMYFUNCTION("""COMPUTED_VALUE"""),"CCSS-19495")</f>
        <v>CCSS-19495</v>
      </c>
      <c r="AL30" s="4" t="str">
        <f ca="1">IFERROR(__xludf.DUMMYFUNCTION("""COMPUTED_VALUE"""),"New")</f>
        <v>New</v>
      </c>
      <c r="AM30" s="4"/>
      <c r="AN30" s="4" t="str">
        <f ca="1">IFERROR(__xludf.DUMMYFUNCTION("""COMPUTED_VALUE"""),"Entregable en backlog")</f>
        <v>Entregable en backlog</v>
      </c>
      <c r="AO30" s="4" t="str">
        <f ca="1">IFERROR(__xludf.DUMMYFUNCTION("""COMPUTED_VALUE"""),"Transformación de la Red")</f>
        <v>Transformación de la Red</v>
      </c>
      <c r="AP30" s="4"/>
      <c r="AQ30" s="4"/>
      <c r="AR30" s="4" t="str">
        <f ca="1">IFERROR(__xludf.DUMMYFUNCTION("""COMPUTED_VALUE"""),"SDA aprobada en PPP Q1 2023")</f>
        <v>SDA aprobada en PPP Q1 2023</v>
      </c>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row>
    <row r="31" spans="1:132" x14ac:dyDescent="0.2">
      <c r="A31" s="4">
        <f ca="1">IFERROR(__xludf.DUMMYFUNCTION("""COMPUTED_VALUE"""),31)</f>
        <v>31</v>
      </c>
      <c r="B31" s="4">
        <f ca="1">IFERROR(__xludf.DUMMYFUNCTION("""COMPUTED_VALUE"""),21)</f>
        <v>21</v>
      </c>
      <c r="C31" s="4" t="str">
        <f ca="1">IFERROR(__xludf.DUMMYFUNCTION("""COMPUTED_VALUE"""),"SDATOOL-40690")</f>
        <v>SDATOOL-40690</v>
      </c>
      <c r="D31" s="4" t="str">
        <f ca="1">IFERROR(__xludf.DUMMYFUNCTION("""COMPUTED_VALUE"""),"Plan CRM: Mejoras AUG (Banca Comercial y CSF) Equipo B")</f>
        <v>Plan CRM: Mejoras AUG (Banca Comercial y CSF) Equipo B</v>
      </c>
      <c r="E31" s="4" t="str">
        <f ca="1">IFERROR(__xludf.DUMMYFUNCTION("""COMPUTED_VALUE"""),"Mejoras a la herramienta de gestión comercial (AUG) para la Banca Comercial y la CSF")</f>
        <v>Mejoras a la herramienta de gestión comercial (AUG) para la Banca Comercial y la CSF</v>
      </c>
      <c r="F31" s="4" t="str">
        <f ca="1">IFERROR(__xludf.DUMMYFUNCTION("""COMPUTED_VALUE"""),"Project")</f>
        <v>Project</v>
      </c>
      <c r="G31" s="4" t="str">
        <f ca="1">IFERROR(__xludf.DUMMYFUNCTION("""COMPUTED_VALUE"""),"Stock")</f>
        <v>Stock</v>
      </c>
      <c r="H31" s="4" t="str">
        <f ca="1">IFERROR(__xludf.DUMMYFUNCTION("""COMPUTED_VALUE"""),"1Q 2024")</f>
        <v>1Q 2024</v>
      </c>
      <c r="I31" s="131" t="str">
        <f ca="1">IFERROR(__xludf.DUMMYFUNCTION("""COMPUTED_VALUE"""),"ana.santamaria-bbva.com")</f>
        <v>ana.santamaria-bbva.com</v>
      </c>
      <c r="J31" s="131" t="str">
        <f ca="1">IFERROR(__xludf.DUMMYFUNCTION("""COMPUTED_VALUE"""),"davidesteban.fajardo-bbva.com")</f>
        <v>davidesteban.fajardo-bbva.com</v>
      </c>
      <c r="K31" s="131" t="str">
        <f ca="1">IFERROR(__xludf.DUMMYFUNCTION("""COMPUTED_VALUE"""),"pabloalexand.ortiz-bbva.com")</f>
        <v>pabloalexand.ortiz-bbva.com</v>
      </c>
      <c r="L31" s="4"/>
      <c r="M31" s="4"/>
      <c r="N31" s="4"/>
      <c r="O31" s="4" t="str">
        <f ca="1">IFERROR(__xludf.DUMMYFUNCTION("""COMPUTED_VALUE"""),"Scrum")</f>
        <v>Scrum</v>
      </c>
      <c r="P31" s="4" t="str">
        <f ca="1">IFERROR(__xludf.DUMMYFUNCTION("""COMPUTED_VALUE"""),"Sirius Team")</f>
        <v>Sirius Team</v>
      </c>
      <c r="Q31" s="4"/>
      <c r="R31" s="130" t="str">
        <f ca="1">IFERROR(__xludf.DUMMYFUNCTION("""COMPUTED_VALUE"""),"Business Innovation &amp; Strategy")</f>
        <v>Business Innovation &amp; Strategy</v>
      </c>
      <c r="S31" s="130" t="str">
        <f ca="1">IFERROR(__xludf.DUMMYFUNCTION("""COMPUTED_VALUE"""),"Plan Ascenso")</f>
        <v>Plan Ascenso</v>
      </c>
      <c r="T31" s="130" t="str">
        <f ca="1">IFERROR(__xludf.DUMMYFUNCTION("""COMPUTED_VALUE"""),"2. Modelo de relación y distribución")</f>
        <v>2. Modelo de relación y distribución</v>
      </c>
      <c r="U31" s="130" t="str">
        <f ca="1">IFERROR(__xludf.DUMMYFUNCTION("""COMPUTED_VALUE"""),"2.3. Herramientas de la Red")</f>
        <v>2.3. Herramientas de la Red</v>
      </c>
      <c r="V31" s="4" t="str">
        <f ca="1">IFERROR(__xludf.DUMMYFUNCTION("""COMPUTED_VALUE"""),"CRM")</f>
        <v>CRM</v>
      </c>
      <c r="W31" s="4">
        <f ca="1">IFERROR(__xludf.DUMMYFUNCTION("""COMPUTED_VALUE"""),1)</f>
        <v>1</v>
      </c>
      <c r="X31" s="4" t="str">
        <f ca="1">IFERROR(__xludf.DUMMYFUNCTION("""COMPUTED_VALUE"""),"09. Data")</f>
        <v>09. Data</v>
      </c>
      <c r="Y31" s="4" t="str">
        <f ca="1">IFERROR(__xludf.DUMMYFUNCTION("""COMPUTED_VALUE"""),"5.6.5 CRM")</f>
        <v>5.6.5 CRM</v>
      </c>
      <c r="Z31" s="132" t="str">
        <f ca="1">IFERROR(__xludf.DUMMYFUNCTION("""COMPUTED_VALUE"""),"712906")</f>
        <v>712906</v>
      </c>
      <c r="AA31" s="4" t="str">
        <f ca="1">IFERROR(__xludf.DUMMYFUNCTION("""COMPUTED_VALUE"""),"Mejoras Flujos Campañas-Planificación, Ficha del Cliente y Reasignación DZ")</f>
        <v>Mejoras Flujos Campañas-Planificación, Ficha del Cliente y Reasignación DZ</v>
      </c>
      <c r="AB31" s="4" t="str">
        <f ca="1">IFERROR(__xludf.DUMMYFUNCTION("""COMPUTED_VALUE"""),"Mejoras Flujos Campañas-Planificación, Ficha del Cliente y Reasignación DZ")</f>
        <v>Mejoras Flujos Campañas-Planificación, Ficha del Cliente y Reasignación DZ</v>
      </c>
      <c r="AC31" s="4" t="str">
        <f ca="1">IFERROR(__xludf.DUMMYFUNCTION("""COMPUTED_VALUE"""),"3Q 2023")</f>
        <v>3Q 2023</v>
      </c>
      <c r="AD31" s="4"/>
      <c r="AE31" s="4"/>
      <c r="AF31" s="4"/>
      <c r="AG31" s="4"/>
      <c r="AH31" s="4"/>
      <c r="AI31" s="4"/>
      <c r="AJ31" s="4"/>
      <c r="AK31" s="131" t="str">
        <f ca="1">IFERROR(__xludf.DUMMYFUNCTION("""COMPUTED_VALUE"""),"CCSS-19939")</f>
        <v>CCSS-19939</v>
      </c>
      <c r="AL31" s="4" t="str">
        <f ca="1">IFERROR(__xludf.DUMMYFUNCTION("""COMPUTED_VALUE"""),"New")</f>
        <v>New</v>
      </c>
      <c r="AM31" s="4"/>
      <c r="AN31" s="4" t="str">
        <f ca="1">IFERROR(__xludf.DUMMYFUNCTION("""COMPUTED_VALUE"""),"Entregable en backlog")</f>
        <v>Entregable en backlog</v>
      </c>
      <c r="AO31" s="4" t="str">
        <f ca="1">IFERROR(__xludf.DUMMYFUNCTION("""COMPUTED_VALUE"""),"Transformación de la Red")</f>
        <v>Transformación de la Red</v>
      </c>
      <c r="AP31" s="4"/>
      <c r="AQ31" s="4"/>
      <c r="AR31" s="4" t="str">
        <f ca="1">IFERROR(__xludf.DUMMYFUNCTION("""COMPUTED_VALUE"""),"SDA aprobada en PPP Q1 2023")</f>
        <v>SDA aprobada en PPP Q1 2023</v>
      </c>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row>
    <row r="32" spans="1:132" x14ac:dyDescent="0.2">
      <c r="A32" s="4">
        <f ca="1">IFERROR(__xludf.DUMMYFUNCTION("""COMPUTED_VALUE"""),32)</f>
        <v>32</v>
      </c>
      <c r="B32" s="4"/>
      <c r="C32" s="4" t="str">
        <f ca="1">IFERROR(__xludf.DUMMYFUNCTION("""COMPUTED_VALUE"""),"SDATOOL-40690")</f>
        <v>SDATOOL-40690</v>
      </c>
      <c r="D32" s="4" t="str">
        <f ca="1">IFERROR(__xludf.DUMMYFUNCTION("""COMPUTED_VALUE"""),"Plan CRM: Mejoras AUG (Banca Comercial y CSF) Equipo B")</f>
        <v>Plan CRM: Mejoras AUG (Banca Comercial y CSF) Equipo B</v>
      </c>
      <c r="E32" s="4" t="str">
        <f ca="1">IFERROR(__xludf.DUMMYFUNCTION("""COMPUTED_VALUE"""),"Mejoras a la herramienta de gestión comercial (AUG) para la Banca Comercial y la CSF")</f>
        <v>Mejoras a la herramienta de gestión comercial (AUG) para la Banca Comercial y la CSF</v>
      </c>
      <c r="F32" s="4" t="str">
        <f ca="1">IFERROR(__xludf.DUMMYFUNCTION("""COMPUTED_VALUE"""),"Project")</f>
        <v>Project</v>
      </c>
      <c r="G32" s="4" t="str">
        <f ca="1">IFERROR(__xludf.DUMMYFUNCTION("""COMPUTED_VALUE"""),"Stock")</f>
        <v>Stock</v>
      </c>
      <c r="H32" s="4" t="str">
        <f ca="1">IFERROR(__xludf.DUMMYFUNCTION("""COMPUTED_VALUE"""),"1Q 2024")</f>
        <v>1Q 2024</v>
      </c>
      <c r="I32" s="131" t="str">
        <f ca="1">IFERROR(__xludf.DUMMYFUNCTION("""COMPUTED_VALUE"""),"ana.santamaria-bbva.com")</f>
        <v>ana.santamaria-bbva.com</v>
      </c>
      <c r="J32" s="131" t="str">
        <f ca="1">IFERROR(__xludf.DUMMYFUNCTION("""COMPUTED_VALUE"""),"davidesteban.fajardo-bbva.com")</f>
        <v>davidesteban.fajardo-bbva.com</v>
      </c>
      <c r="K32" s="131" t="str">
        <f ca="1">IFERROR(__xludf.DUMMYFUNCTION("""COMPUTED_VALUE"""),"pabloalexand.ortiz-bbva.com")</f>
        <v>pabloalexand.ortiz-bbva.com</v>
      </c>
      <c r="L32" s="4"/>
      <c r="M32" s="4"/>
      <c r="N32" s="4"/>
      <c r="O32" s="4" t="str">
        <f ca="1">IFERROR(__xludf.DUMMYFUNCTION("""COMPUTED_VALUE"""),"Scrum")</f>
        <v>Scrum</v>
      </c>
      <c r="P32" s="4" t="str">
        <f ca="1">IFERROR(__xludf.DUMMYFUNCTION("""COMPUTED_VALUE"""),"Sirius Team")</f>
        <v>Sirius Team</v>
      </c>
      <c r="Q32" s="4"/>
      <c r="R32" s="130" t="str">
        <f ca="1">IFERROR(__xludf.DUMMYFUNCTION("""COMPUTED_VALUE"""),"Business Innovation &amp; Strategy")</f>
        <v>Business Innovation &amp; Strategy</v>
      </c>
      <c r="S32" s="130" t="str">
        <f ca="1">IFERROR(__xludf.DUMMYFUNCTION("""COMPUTED_VALUE"""),"Plan Ascenso")</f>
        <v>Plan Ascenso</v>
      </c>
      <c r="T32" s="130" t="str">
        <f ca="1">IFERROR(__xludf.DUMMYFUNCTION("""COMPUTED_VALUE"""),"2. Modelo de relación y distribución")</f>
        <v>2. Modelo de relación y distribución</v>
      </c>
      <c r="U32" s="130" t="str">
        <f ca="1">IFERROR(__xludf.DUMMYFUNCTION("""COMPUTED_VALUE"""),"2.3. Herramientas de la Red")</f>
        <v>2.3. Herramientas de la Red</v>
      </c>
      <c r="V32" s="4" t="str">
        <f ca="1">IFERROR(__xludf.DUMMYFUNCTION("""COMPUTED_VALUE"""),"CRM")</f>
        <v>CRM</v>
      </c>
      <c r="W32" s="4">
        <f ca="1">IFERROR(__xludf.DUMMYFUNCTION("""COMPUTED_VALUE"""),1)</f>
        <v>1</v>
      </c>
      <c r="X32" s="4" t="str">
        <f ca="1">IFERROR(__xludf.DUMMYFUNCTION("""COMPUTED_VALUE"""),"09. Data")</f>
        <v>09. Data</v>
      </c>
      <c r="Y32" s="4" t="str">
        <f ca="1">IFERROR(__xludf.DUMMYFUNCTION("""COMPUTED_VALUE"""),"5.6.5 CRM")</f>
        <v>5.6.5 CRM</v>
      </c>
      <c r="Z32" s="132" t="str">
        <f ca="1">IFERROR(__xludf.DUMMYFUNCTION("""COMPUTED_VALUE"""),"723686")</f>
        <v>723686</v>
      </c>
      <c r="AA32" s="4" t="str">
        <f ca="1">IFERROR(__xludf.DUMMYFUNCTION("""COMPUTED_VALUE"""),"Inclusión Información Ficha Cliente")</f>
        <v>Inclusión Información Ficha Cliente</v>
      </c>
      <c r="AB32" s="4" t="str">
        <f ca="1">IFERROR(__xludf.DUMMYFUNCTION("""COMPUTED_VALUE"""),"Inclusión Información Ficha Cliente")</f>
        <v>Inclusión Información Ficha Cliente</v>
      </c>
      <c r="AC32" s="4" t="str">
        <f ca="1">IFERROR(__xludf.DUMMYFUNCTION("""COMPUTED_VALUE"""),"3Q 2023")</f>
        <v>3Q 2023</v>
      </c>
      <c r="AD32" s="4"/>
      <c r="AE32" s="4"/>
      <c r="AF32" s="4"/>
      <c r="AG32" s="4"/>
      <c r="AH32" s="4"/>
      <c r="AI32" s="4"/>
      <c r="AJ32" s="4"/>
      <c r="AK32" s="4" t="str">
        <f ca="1">IFERROR(__xludf.DUMMYFUNCTION("""COMPUTED_VALUE"""),"Sin asignar")</f>
        <v>Sin asignar</v>
      </c>
      <c r="AL32" s="4" t="str">
        <f ca="1">IFERROR(__xludf.DUMMYFUNCTION("""COMPUTED_VALUE"""),"Sin asignar")</f>
        <v>Sin asignar</v>
      </c>
      <c r="AM32" s="4"/>
      <c r="AN32" s="4" t="str">
        <f ca="1">IFERROR(__xludf.DUMMYFUNCTION("""COMPUTED_VALUE"""),"Entregable en backlog")</f>
        <v>Entregable en backlog</v>
      </c>
      <c r="AO32" s="4" t="str">
        <f ca="1">IFERROR(__xludf.DUMMYFUNCTION("""COMPUTED_VALUE"""),"Transformación de la Red")</f>
        <v>Transformación de la Red</v>
      </c>
      <c r="AP32" s="4"/>
      <c r="AQ32" s="4"/>
      <c r="AR32" s="4" t="str">
        <f ca="1">IFERROR(__xludf.DUMMYFUNCTION("""COMPUTED_VALUE"""),"SDA aprobada en PPP Q1 2023")</f>
        <v>SDA aprobada en PPP Q1 2023</v>
      </c>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row>
    <row r="33" spans="1:132" x14ac:dyDescent="0.2">
      <c r="A33" s="4">
        <f ca="1">IFERROR(__xludf.DUMMYFUNCTION("""COMPUTED_VALUE"""),33)</f>
        <v>33</v>
      </c>
      <c r="B33" s="4"/>
      <c r="C33" s="4" t="str">
        <f ca="1">IFERROR(__xludf.DUMMYFUNCTION("""COMPUTED_VALUE"""),"SDATOOL-40690")</f>
        <v>SDATOOL-40690</v>
      </c>
      <c r="D33" s="4" t="str">
        <f ca="1">IFERROR(__xludf.DUMMYFUNCTION("""COMPUTED_VALUE"""),"Plan CRM: Mejoras AUG (Banca Comercial y CSF) Equipo B")</f>
        <v>Plan CRM: Mejoras AUG (Banca Comercial y CSF) Equipo B</v>
      </c>
      <c r="E33" s="4" t="str">
        <f ca="1">IFERROR(__xludf.DUMMYFUNCTION("""COMPUTED_VALUE"""),"Mejoras a la herramienta de gestión comercial (AUG) para la Banca Comercial y la CSF")</f>
        <v>Mejoras a la herramienta de gestión comercial (AUG) para la Banca Comercial y la CSF</v>
      </c>
      <c r="F33" s="4" t="str">
        <f ca="1">IFERROR(__xludf.DUMMYFUNCTION("""COMPUTED_VALUE"""),"Project")</f>
        <v>Project</v>
      </c>
      <c r="G33" s="4" t="str">
        <f ca="1">IFERROR(__xludf.DUMMYFUNCTION("""COMPUTED_VALUE"""),"Stock")</f>
        <v>Stock</v>
      </c>
      <c r="H33" s="4" t="str">
        <f ca="1">IFERROR(__xludf.DUMMYFUNCTION("""COMPUTED_VALUE"""),"1Q 2024")</f>
        <v>1Q 2024</v>
      </c>
      <c r="I33" s="131" t="str">
        <f ca="1">IFERROR(__xludf.DUMMYFUNCTION("""COMPUTED_VALUE"""),"ana.santamaria-bbva.com")</f>
        <v>ana.santamaria-bbva.com</v>
      </c>
      <c r="J33" s="131" t="str">
        <f ca="1">IFERROR(__xludf.DUMMYFUNCTION("""COMPUTED_VALUE"""),"davidesteban.fajardo-bbva.com")</f>
        <v>davidesteban.fajardo-bbva.com</v>
      </c>
      <c r="K33" s="131" t="str">
        <f ca="1">IFERROR(__xludf.DUMMYFUNCTION("""COMPUTED_VALUE"""),"pabloalexand.ortiz-bbva.com")</f>
        <v>pabloalexand.ortiz-bbva.com</v>
      </c>
      <c r="L33" s="4"/>
      <c r="M33" s="4"/>
      <c r="N33" s="4"/>
      <c r="O33" s="4" t="str">
        <f ca="1">IFERROR(__xludf.DUMMYFUNCTION("""COMPUTED_VALUE"""),"Scrum")</f>
        <v>Scrum</v>
      </c>
      <c r="P33" s="4" t="str">
        <f ca="1">IFERROR(__xludf.DUMMYFUNCTION("""COMPUTED_VALUE"""),"Sirius Team")</f>
        <v>Sirius Team</v>
      </c>
      <c r="Q33" s="4"/>
      <c r="R33" s="130" t="str">
        <f ca="1">IFERROR(__xludf.DUMMYFUNCTION("""COMPUTED_VALUE"""),"Business Innovation &amp; Strategy")</f>
        <v>Business Innovation &amp; Strategy</v>
      </c>
      <c r="S33" s="130" t="str">
        <f ca="1">IFERROR(__xludf.DUMMYFUNCTION("""COMPUTED_VALUE"""),"Plan Ascenso")</f>
        <v>Plan Ascenso</v>
      </c>
      <c r="T33" s="130" t="str">
        <f ca="1">IFERROR(__xludf.DUMMYFUNCTION("""COMPUTED_VALUE"""),"2. Modelo de relación y distribución")</f>
        <v>2. Modelo de relación y distribución</v>
      </c>
      <c r="U33" s="130" t="str">
        <f ca="1">IFERROR(__xludf.DUMMYFUNCTION("""COMPUTED_VALUE"""),"2.3. Herramientas de la Red")</f>
        <v>2.3. Herramientas de la Red</v>
      </c>
      <c r="V33" s="4" t="str">
        <f ca="1">IFERROR(__xludf.DUMMYFUNCTION("""COMPUTED_VALUE"""),"CRM")</f>
        <v>CRM</v>
      </c>
      <c r="W33" s="4">
        <f ca="1">IFERROR(__xludf.DUMMYFUNCTION("""COMPUTED_VALUE"""),1)</f>
        <v>1</v>
      </c>
      <c r="X33" s="4" t="str">
        <f ca="1">IFERROR(__xludf.DUMMYFUNCTION("""COMPUTED_VALUE"""),"09. Data")</f>
        <v>09. Data</v>
      </c>
      <c r="Y33" s="4" t="str">
        <f ca="1">IFERROR(__xludf.DUMMYFUNCTION("""COMPUTED_VALUE"""),"5.6.5 CRM")</f>
        <v>5.6.5 CRM</v>
      </c>
      <c r="Z33" s="132" t="str">
        <f ca="1">IFERROR(__xludf.DUMMYFUNCTION("""COMPUTED_VALUE"""),"773918")</f>
        <v>773918</v>
      </c>
      <c r="AA33" s="4" t="str">
        <f ca="1">IFERROR(__xludf.DUMMYFUNCTION("""COMPUTED_VALUE"""),"Disponibilizar en Datio campañas, contactabilidad y conexión carteras")</f>
        <v>Disponibilizar en Datio campañas, contactabilidad y conexión carteras</v>
      </c>
      <c r="AB33" s="4" t="str">
        <f ca="1">IFERROR(__xludf.DUMMYFUNCTION("""COMPUTED_VALUE"""),"Disponibilizar en Datio campañas, contactabilidad y conexión carteras")</f>
        <v>Disponibilizar en Datio campañas, contactabilidad y conexión carteras</v>
      </c>
      <c r="AC33" s="4" t="str">
        <f ca="1">IFERROR(__xludf.DUMMYFUNCTION("""COMPUTED_VALUE"""),"3Q 2023")</f>
        <v>3Q 2023</v>
      </c>
      <c r="AD33" s="4"/>
      <c r="AE33" s="4"/>
      <c r="AF33" s="4"/>
      <c r="AG33" s="4"/>
      <c r="AH33" s="4"/>
      <c r="AI33" s="4"/>
      <c r="AJ33" s="4"/>
      <c r="AK33" s="4" t="str">
        <f ca="1">IFERROR(__xludf.DUMMYFUNCTION("""COMPUTED_VALUE"""),"Sin asignar")</f>
        <v>Sin asignar</v>
      </c>
      <c r="AL33" s="4" t="str">
        <f ca="1">IFERROR(__xludf.DUMMYFUNCTION("""COMPUTED_VALUE"""),"Sin asignar")</f>
        <v>Sin asignar</v>
      </c>
      <c r="AM33" s="4"/>
      <c r="AN33" s="4" t="str">
        <f ca="1">IFERROR(__xludf.DUMMYFUNCTION("""COMPUTED_VALUE"""),"Entregable en backlog")</f>
        <v>Entregable en backlog</v>
      </c>
      <c r="AO33" s="4" t="str">
        <f ca="1">IFERROR(__xludf.DUMMYFUNCTION("""COMPUTED_VALUE"""),"Transformación de la Red")</f>
        <v>Transformación de la Red</v>
      </c>
      <c r="AP33" s="4"/>
      <c r="AQ33" s="4"/>
      <c r="AR33" s="4" t="str">
        <f ca="1">IFERROR(__xludf.DUMMYFUNCTION("""COMPUTED_VALUE"""),"SDA aprobada en PPP Q1 2023")</f>
        <v>SDA aprobada en PPP Q1 2023</v>
      </c>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row>
    <row r="34" spans="1:132" x14ac:dyDescent="0.2">
      <c r="A34" s="4">
        <f ca="1">IFERROR(__xludf.DUMMYFUNCTION("""COMPUTED_VALUE"""),34)</f>
        <v>34</v>
      </c>
      <c r="B34" s="4"/>
      <c r="C34" s="4" t="str">
        <f ca="1">IFERROR(__xludf.DUMMYFUNCTION("""COMPUTED_VALUE"""),"SDATOOL-40690")</f>
        <v>SDATOOL-40690</v>
      </c>
      <c r="D34" s="4" t="str">
        <f ca="1">IFERROR(__xludf.DUMMYFUNCTION("""COMPUTED_VALUE"""),"Plan CRM: Mejoras AUG (Banca Comercial y CSF) Equipo B")</f>
        <v>Plan CRM: Mejoras AUG (Banca Comercial y CSF) Equipo B</v>
      </c>
      <c r="E34" s="4" t="str">
        <f ca="1">IFERROR(__xludf.DUMMYFUNCTION("""COMPUTED_VALUE"""),"Mejoras a la herramienta de gestión comercial (AUG) para la Banca Comercial y la CSF")</f>
        <v>Mejoras a la herramienta de gestión comercial (AUG) para la Banca Comercial y la CSF</v>
      </c>
      <c r="F34" s="4" t="str">
        <f ca="1">IFERROR(__xludf.DUMMYFUNCTION("""COMPUTED_VALUE"""),"Project")</f>
        <v>Project</v>
      </c>
      <c r="G34" s="4" t="str">
        <f ca="1">IFERROR(__xludf.DUMMYFUNCTION("""COMPUTED_VALUE"""),"Stock")</f>
        <v>Stock</v>
      </c>
      <c r="H34" s="4" t="str">
        <f ca="1">IFERROR(__xludf.DUMMYFUNCTION("""COMPUTED_VALUE"""),"1Q 2024")</f>
        <v>1Q 2024</v>
      </c>
      <c r="I34" s="131" t="str">
        <f ca="1">IFERROR(__xludf.DUMMYFUNCTION("""COMPUTED_VALUE"""),"ana.santamaria-bbva.com")</f>
        <v>ana.santamaria-bbva.com</v>
      </c>
      <c r="J34" s="131" t="str">
        <f ca="1">IFERROR(__xludf.DUMMYFUNCTION("""COMPUTED_VALUE"""),"davidesteban.fajardo-bbva.com")</f>
        <v>davidesteban.fajardo-bbva.com</v>
      </c>
      <c r="K34" s="131" t="str">
        <f ca="1">IFERROR(__xludf.DUMMYFUNCTION("""COMPUTED_VALUE"""),"pabloalexand.ortiz-bbva.com")</f>
        <v>pabloalexand.ortiz-bbva.com</v>
      </c>
      <c r="L34" s="4"/>
      <c r="M34" s="4"/>
      <c r="N34" s="4"/>
      <c r="O34" s="4" t="str">
        <f ca="1">IFERROR(__xludf.DUMMYFUNCTION("""COMPUTED_VALUE"""),"Scrum")</f>
        <v>Scrum</v>
      </c>
      <c r="P34" s="4" t="str">
        <f ca="1">IFERROR(__xludf.DUMMYFUNCTION("""COMPUTED_VALUE"""),"Sirius Team")</f>
        <v>Sirius Team</v>
      </c>
      <c r="Q34" s="4"/>
      <c r="R34" s="130" t="str">
        <f ca="1">IFERROR(__xludf.DUMMYFUNCTION("""COMPUTED_VALUE"""),"Business Innovation &amp; Strategy")</f>
        <v>Business Innovation &amp; Strategy</v>
      </c>
      <c r="S34" s="130" t="str">
        <f ca="1">IFERROR(__xludf.DUMMYFUNCTION("""COMPUTED_VALUE"""),"Plan Ascenso")</f>
        <v>Plan Ascenso</v>
      </c>
      <c r="T34" s="130" t="str">
        <f ca="1">IFERROR(__xludf.DUMMYFUNCTION("""COMPUTED_VALUE"""),"2. Modelo de relación y distribución")</f>
        <v>2. Modelo de relación y distribución</v>
      </c>
      <c r="U34" s="130" t="str">
        <f ca="1">IFERROR(__xludf.DUMMYFUNCTION("""COMPUTED_VALUE"""),"2.3. Herramientas de la Red")</f>
        <v>2.3. Herramientas de la Red</v>
      </c>
      <c r="V34" s="4" t="str">
        <f ca="1">IFERROR(__xludf.DUMMYFUNCTION("""COMPUTED_VALUE"""),"CRM")</f>
        <v>CRM</v>
      </c>
      <c r="W34" s="4">
        <f ca="1">IFERROR(__xludf.DUMMYFUNCTION("""COMPUTED_VALUE"""),1)</f>
        <v>1</v>
      </c>
      <c r="X34" s="4" t="str">
        <f ca="1">IFERROR(__xludf.DUMMYFUNCTION("""COMPUTED_VALUE"""),"09. Data")</f>
        <v>09. Data</v>
      </c>
      <c r="Y34" s="4" t="str">
        <f ca="1">IFERROR(__xludf.DUMMYFUNCTION("""COMPUTED_VALUE"""),"5.6.5 CRM")</f>
        <v>5.6.5 CRM</v>
      </c>
      <c r="Z34" s="132" t="str">
        <f ca="1">IFERROR(__xludf.DUMMYFUNCTION("""COMPUTED_VALUE"""),"773920")</f>
        <v>773920</v>
      </c>
      <c r="AA34" s="4" t="str">
        <f ca="1">IFERROR(__xludf.DUMMYFUNCTION("""COMPUTED_VALUE"""),"Incluir más filtros para la gestión de campañas - cuadros de mando")</f>
        <v>Incluir más filtros para la gestión de campañas - cuadros de mando</v>
      </c>
      <c r="AB34" s="4" t="str">
        <f ca="1">IFERROR(__xludf.DUMMYFUNCTION("""COMPUTED_VALUE"""),"Incluir más filtros para la gestión de campañas - cuadros de mando")</f>
        <v>Incluir más filtros para la gestión de campañas - cuadros de mando</v>
      </c>
      <c r="AC34" s="4" t="str">
        <f ca="1">IFERROR(__xludf.DUMMYFUNCTION("""COMPUTED_VALUE"""),"2Q 2023")</f>
        <v>2Q 2023</v>
      </c>
      <c r="AD34" s="4"/>
      <c r="AE34" s="4"/>
      <c r="AF34" s="4"/>
      <c r="AG34" s="4"/>
      <c r="AH34" s="4"/>
      <c r="AI34" s="4"/>
      <c r="AJ34" s="4"/>
      <c r="AK34" s="131" t="str">
        <f ca="1">IFERROR(__xludf.DUMMYFUNCTION("""COMPUTED_VALUE"""),"CCSS-17575")</f>
        <v>CCSS-17575</v>
      </c>
      <c r="AL34" s="4" t="str">
        <f ca="1">IFERROR(__xludf.DUMMYFUNCTION("""COMPUTED_VALUE"""),"En progreso")</f>
        <v>En progreso</v>
      </c>
      <c r="AM34" s="4"/>
      <c r="AN34" s="4" t="str">
        <f ca="1">IFERROR(__xludf.DUMMYFUNCTION("""COMPUTED_VALUE"""),"Entregable en backlog")</f>
        <v>Entregable en backlog</v>
      </c>
      <c r="AO34" s="4" t="str">
        <f ca="1">IFERROR(__xludf.DUMMYFUNCTION("""COMPUTED_VALUE"""),"Transformación de la Red")</f>
        <v>Transformación de la Red</v>
      </c>
      <c r="AP34" s="4"/>
      <c r="AQ34" s="4"/>
      <c r="AR34" s="4" t="str">
        <f ca="1">IFERROR(__xludf.DUMMYFUNCTION("""COMPUTED_VALUE"""),"SDA aprobada en PPP Q1 2023")</f>
        <v>SDA aprobada en PPP Q1 2023</v>
      </c>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row>
    <row r="35" spans="1:132" x14ac:dyDescent="0.2">
      <c r="A35" s="4">
        <f ca="1">IFERROR(__xludf.DUMMYFUNCTION("""COMPUTED_VALUE"""),35)</f>
        <v>35</v>
      </c>
      <c r="B35" s="4">
        <f ca="1">IFERROR(__xludf.DUMMYFUNCTION("""COMPUTED_VALUE"""),22)</f>
        <v>22</v>
      </c>
      <c r="C35" s="4" t="str">
        <f ca="1">IFERROR(__xludf.DUMMYFUNCTION("""COMPUTED_VALUE"""),"SDATOOL-37121")</f>
        <v>SDATOOL-37121</v>
      </c>
      <c r="D35" s="4" t="str">
        <f ca="1">IFERROR(__xludf.DUMMYFUNCTION("""COMPUTED_VALUE"""),"Plan CRM: Seguimiento al pipeline")</f>
        <v>Plan CRM: Seguimiento al pipeline</v>
      </c>
      <c r="E35"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5" s="4" t="str">
        <f ca="1">IFERROR(__xludf.DUMMYFUNCTION("""COMPUTED_VALUE"""),"Project")</f>
        <v>Project</v>
      </c>
      <c r="G35" s="4" t="str">
        <f ca="1">IFERROR(__xludf.DUMMYFUNCTION("""COMPUTED_VALUE"""),"Stock")</f>
        <v>Stock</v>
      </c>
      <c r="H35" s="4" t="str">
        <f ca="1">IFERROR(__xludf.DUMMYFUNCTION("""COMPUTED_VALUE"""),"1Q 2024")</f>
        <v>1Q 2024</v>
      </c>
      <c r="I35" s="131" t="str">
        <f ca="1">IFERROR(__xludf.DUMMYFUNCTION("""COMPUTED_VALUE"""),"ana.santamaria-bbva.com")</f>
        <v>ana.santamaria-bbva.com</v>
      </c>
      <c r="J35" s="131" t="str">
        <f ca="1">IFERROR(__xludf.DUMMYFUNCTION("""COMPUTED_VALUE"""),"brenda.monsalve-bbva.com")</f>
        <v>brenda.monsalve-bbva.com</v>
      </c>
      <c r="K35" s="131" t="str">
        <f ca="1">IFERROR(__xludf.DUMMYFUNCTION("""COMPUTED_VALUE"""),"josedanilo.virguez-bbva.com")</f>
        <v>josedanilo.virguez-bbva.com</v>
      </c>
      <c r="L35" s="130">
        <f ca="1">IFERROR(__xludf.DUMMYFUNCTION("""COMPUTED_VALUE"""),2)</f>
        <v>2</v>
      </c>
      <c r="M35" s="130">
        <f ca="1">IFERROR(__xludf.DUMMYFUNCTION("""COMPUTED_VALUE"""),3)</f>
        <v>3</v>
      </c>
      <c r="N35" s="130">
        <f ca="1">IFERROR(__xludf.DUMMYFUNCTION("""COMPUTED_VALUE"""),0.02)</f>
        <v>0.02</v>
      </c>
      <c r="O35" s="4" t="str">
        <f ca="1">IFERROR(__xludf.DUMMYFUNCTION("""COMPUTED_VALUE"""),"Scrum")</f>
        <v>Scrum</v>
      </c>
      <c r="P35" s="4" t="str">
        <f ca="1">IFERROR(__xludf.DUMMYFUNCTION("""COMPUTED_VALUE"""),"Hydra Squad")</f>
        <v>Hydra Squad</v>
      </c>
      <c r="Q35" s="130">
        <f ca="1">IFERROR(__xludf.DUMMYFUNCTION("""COMPUTED_VALUE"""),1)</f>
        <v>1</v>
      </c>
      <c r="R35" s="130" t="str">
        <f ca="1">IFERROR(__xludf.DUMMYFUNCTION("""COMPUTED_VALUE"""),"Execution Capabilities")</f>
        <v>Execution Capabilities</v>
      </c>
      <c r="S35" s="130" t="str">
        <f ca="1">IFERROR(__xludf.DUMMYFUNCTION("""COMPUTED_VALUE"""),"Area Review")</f>
        <v>Area Review</v>
      </c>
      <c r="T35" s="130" t="str">
        <f ca="1">IFERROR(__xludf.DUMMYFUNCTION("""COMPUTED_VALUE"""),"2. Modelo de relación y distribución")</f>
        <v>2. Modelo de relación y distribución</v>
      </c>
      <c r="U35" s="130" t="str">
        <f ca="1">IFERROR(__xludf.DUMMYFUNCTION("""COMPUTED_VALUE"""),"2.3. Herramientas de la Red")</f>
        <v>2.3. Herramientas de la Red</v>
      </c>
      <c r="V35" s="4" t="str">
        <f ca="1">IFERROR(__xludf.DUMMYFUNCTION("""COMPUTED_VALUE"""),"CRM")</f>
        <v>CRM</v>
      </c>
      <c r="W35" s="4">
        <f ca="1">IFERROR(__xludf.DUMMYFUNCTION("""COMPUTED_VALUE"""),1)</f>
        <v>1</v>
      </c>
      <c r="X35" s="4" t="str">
        <f ca="1">IFERROR(__xludf.DUMMYFUNCTION("""COMPUTED_VALUE"""),"09. Data")</f>
        <v>09. Data</v>
      </c>
      <c r="Y35" s="4" t="str">
        <f ca="1">IFERROR(__xludf.DUMMYFUNCTION("""COMPUTED_VALUE"""),"5.6.5 CRM")</f>
        <v>5.6.5 CRM</v>
      </c>
      <c r="Z35" s="132" t="str">
        <f ca="1">IFERROR(__xludf.DUMMYFUNCTION("""COMPUTED_VALUE"""),"310207")</f>
        <v>310207</v>
      </c>
      <c r="AA35" s="4" t="str">
        <f ca="1">IFERROR(__xludf.DUMMYFUNCTION("""COMPUTED_VALUE"""),"Dashboard Principal:consumo,cupo rotativo,libranza,vehículo.Resto Comercial")</f>
        <v>Dashboard Principal:consumo,cupo rotativo,libranza,vehículo.Resto Comercial</v>
      </c>
      <c r="AB35" s="4" t="str">
        <f ca="1">IFERROR(__xludf.DUMMYFUNCTION("""COMPUTED_VALUE"""),"Crear una herramienta que contenga la trazabilidad de las necesidades de los clientes, pasando por las diferentes etapas desde la gestión comercial hasta la contratación.
Particulares y Jurídicos: Disponibilizar  información:
Activo Particulares (consumo"&amp;" libre, cupo rotativo, libranzas, vehículo), convenio libranza, Activo Jurídicos (Resto comercial)")</f>
        <v>Crear una herramienta que contenga la trazabilidad de las necesidades de los clientes, pasando por las diferentes etapas desde la gestión comercial hasta la contratación.
Particulares y Jurídicos: Disponibilizar  información:
Activo Particulares (consumo libre, cupo rotativo, libranzas, vehículo), convenio libranza, Activo Jurídicos (Resto comercial)</v>
      </c>
      <c r="AC35" s="4" t="str">
        <f ca="1">IFERROR(__xludf.DUMMYFUNCTION("""COMPUTED_VALUE"""),"3Q 2023")</f>
        <v>3Q 2023</v>
      </c>
      <c r="AD35" s="4"/>
      <c r="AE35" s="4"/>
      <c r="AF35" s="4"/>
      <c r="AG35" s="4"/>
      <c r="AH35" s="4"/>
      <c r="AI35" s="4"/>
      <c r="AJ35" s="4"/>
      <c r="AK35" s="131" t="str">
        <f ca="1">IFERROR(__xludf.DUMMYFUNCTION("""COMPUTED_VALUE"""),"COLWSCRM-787")</f>
        <v>COLWSCRM-787</v>
      </c>
      <c r="AL35" s="4" t="str">
        <f ca="1">IFERROR(__xludf.DUMMYFUNCTION("""COMPUTED_VALUE"""),"New")</f>
        <v>New</v>
      </c>
      <c r="AM35" s="4"/>
      <c r="AN35" s="4" t="str">
        <f ca="1">IFERROR(__xludf.DUMMYFUNCTION("""COMPUTED_VALUE"""),"Entregable en desarrollo")</f>
        <v>Entregable en desarrollo</v>
      </c>
      <c r="AO35" s="4" t="str">
        <f ca="1">IFERROR(__xludf.DUMMYFUNCTION("""COMPUTED_VALUE"""),"Transformación de la Red")</f>
        <v>Transformación de la Red</v>
      </c>
      <c r="AP35" s="4"/>
      <c r="AQ35" s="4"/>
      <c r="AR35" s="4" t="str">
        <f ca="1">IFERROR(__xludf.DUMMYFUNCTION("""COMPUTED_VALUE"""),"SDA aprobada en PPP Q1 2023")</f>
        <v>SDA aprobada en PPP Q1 2023</v>
      </c>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133">
        <f ca="1">IFERROR(__xludf.DUMMYFUNCTION("""COMPUTED_VALUE"""),0)</f>
        <v>0</v>
      </c>
      <c r="DV35" s="133">
        <f ca="1">IFERROR(__xludf.DUMMYFUNCTION("""COMPUTED_VALUE"""),0)</f>
        <v>0</v>
      </c>
      <c r="DW35" s="133">
        <f ca="1">IFERROR(__xludf.DUMMYFUNCTION("""COMPUTED_VALUE"""),0)</f>
        <v>0</v>
      </c>
      <c r="DX35" s="133">
        <f ca="1">IFERROR(__xludf.DUMMYFUNCTION("""COMPUTED_VALUE"""),2896977613)</f>
        <v>2896977613</v>
      </c>
      <c r="DY35" s="133">
        <f ca="1">IFERROR(__xludf.DUMMYFUNCTION("""COMPUTED_VALUE"""),905100000)</f>
        <v>905100000</v>
      </c>
      <c r="DZ35" s="133">
        <f ca="1">IFERROR(__xludf.DUMMYFUNCTION("""COMPUTED_VALUE"""),3802077613)</f>
        <v>3802077613</v>
      </c>
      <c r="EA35" s="4"/>
      <c r="EB35" s="4"/>
    </row>
    <row r="36" spans="1:132" x14ac:dyDescent="0.2">
      <c r="A36" s="4">
        <f ca="1">IFERROR(__xludf.DUMMYFUNCTION("""COMPUTED_VALUE"""),36)</f>
        <v>36</v>
      </c>
      <c r="B36" s="4">
        <f ca="1">IFERROR(__xludf.DUMMYFUNCTION("""COMPUTED_VALUE"""),23)</f>
        <v>23</v>
      </c>
      <c r="C36" s="4" t="str">
        <f ca="1">IFERROR(__xludf.DUMMYFUNCTION("""COMPUTED_VALUE"""),"SDATOOL-37121")</f>
        <v>SDATOOL-37121</v>
      </c>
      <c r="D36" s="4" t="str">
        <f ca="1">IFERROR(__xludf.DUMMYFUNCTION("""COMPUTED_VALUE"""),"Plan CRM: Seguimiento al pipeline")</f>
        <v>Plan CRM: Seguimiento al pipeline</v>
      </c>
      <c r="E36"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6" s="4" t="str">
        <f ca="1">IFERROR(__xludf.DUMMYFUNCTION("""COMPUTED_VALUE"""),"Project")</f>
        <v>Project</v>
      </c>
      <c r="G36" s="4" t="str">
        <f ca="1">IFERROR(__xludf.DUMMYFUNCTION("""COMPUTED_VALUE"""),"Stock")</f>
        <v>Stock</v>
      </c>
      <c r="H36" s="4" t="str">
        <f ca="1">IFERROR(__xludf.DUMMYFUNCTION("""COMPUTED_VALUE"""),"1Q 2024")</f>
        <v>1Q 2024</v>
      </c>
      <c r="I36" s="131" t="str">
        <f ca="1">IFERROR(__xludf.DUMMYFUNCTION("""COMPUTED_VALUE"""),"ana.santamaria-bbva.com")</f>
        <v>ana.santamaria-bbva.com</v>
      </c>
      <c r="J36" s="131" t="str">
        <f ca="1">IFERROR(__xludf.DUMMYFUNCTION("""COMPUTED_VALUE"""),"brenda.monsalve-bbva.com")</f>
        <v>brenda.monsalve-bbva.com</v>
      </c>
      <c r="K36" s="131" t="str">
        <f ca="1">IFERROR(__xludf.DUMMYFUNCTION("""COMPUTED_VALUE"""),"josedanilo.virguez-bbva.com")</f>
        <v>josedanilo.virguez-bbva.com</v>
      </c>
      <c r="L36" s="4"/>
      <c r="M36" s="4"/>
      <c r="N36" s="4"/>
      <c r="O36" s="4" t="str">
        <f ca="1">IFERROR(__xludf.DUMMYFUNCTION("""COMPUTED_VALUE"""),"Scrum")</f>
        <v>Scrum</v>
      </c>
      <c r="P36" s="4" t="str">
        <f ca="1">IFERROR(__xludf.DUMMYFUNCTION("""COMPUTED_VALUE"""),"Hydra Squad")</f>
        <v>Hydra Squad</v>
      </c>
      <c r="Q36" s="4"/>
      <c r="R36" s="130" t="str">
        <f ca="1">IFERROR(__xludf.DUMMYFUNCTION("""COMPUTED_VALUE"""),"Execution Capabilities")</f>
        <v>Execution Capabilities</v>
      </c>
      <c r="S36" s="130" t="str">
        <f ca="1">IFERROR(__xludf.DUMMYFUNCTION("""COMPUTED_VALUE"""),"Area Review")</f>
        <v>Area Review</v>
      </c>
      <c r="T36" s="130" t="str">
        <f ca="1">IFERROR(__xludf.DUMMYFUNCTION("""COMPUTED_VALUE"""),"2. Modelo de relación y distribución")</f>
        <v>2. Modelo de relación y distribución</v>
      </c>
      <c r="U36" s="130" t="str">
        <f ca="1">IFERROR(__xludf.DUMMYFUNCTION("""COMPUTED_VALUE"""),"2.3. Herramientas de la Red")</f>
        <v>2.3. Herramientas de la Red</v>
      </c>
      <c r="V36" s="4" t="str">
        <f ca="1">IFERROR(__xludf.DUMMYFUNCTION("""COMPUTED_VALUE"""),"CRM")</f>
        <v>CRM</v>
      </c>
      <c r="W36" s="4">
        <f ca="1">IFERROR(__xludf.DUMMYFUNCTION("""COMPUTED_VALUE"""),1)</f>
        <v>1</v>
      </c>
      <c r="X36" s="4" t="str">
        <f ca="1">IFERROR(__xludf.DUMMYFUNCTION("""COMPUTED_VALUE"""),"09. Data")</f>
        <v>09. Data</v>
      </c>
      <c r="Y36" s="4" t="str">
        <f ca="1">IFERROR(__xludf.DUMMYFUNCTION("""COMPUTED_VALUE"""),"5.6.5 CRM")</f>
        <v>5.6.5 CRM</v>
      </c>
      <c r="Z36" s="132" t="str">
        <f ca="1">IFERROR(__xludf.DUMMYFUNCTION("""COMPUTED_VALUE"""),"369589")</f>
        <v>369589</v>
      </c>
      <c r="AA36" s="4" t="str">
        <f ca="1">IFERROR(__xludf.DUMMYFUNCTION("""COMPUTED_VALUE"""),"Consulta Productos: Consumo,cupo rotativo,libranza,vehículo-Resto Comercial")</f>
        <v>Consulta Productos: Consumo,cupo rotativo,libranza,vehículo-Resto Comercial</v>
      </c>
      <c r="AB36" s="4" t="str">
        <f ca="1">IFERROR(__xludf.DUMMYFUNCTION("""COMPUTED_VALUE"""),"Crear una herramienta que contenga la trazabilidad de las necesidades de los clientes, pasando por las diferentes etapas desde la gestión comercial hasta la contratación.")</f>
        <v>Crear una herramienta que contenga la trazabilidad de las necesidades de los clientes, pasando por las diferentes etapas desde la gestión comercial hasta la contratación.</v>
      </c>
      <c r="AC36" s="4" t="str">
        <f ca="1">IFERROR(__xludf.DUMMYFUNCTION("""COMPUTED_VALUE"""),"3Q 2023")</f>
        <v>3Q 2023</v>
      </c>
      <c r="AD36" s="4"/>
      <c r="AE36" s="4"/>
      <c r="AF36" s="4"/>
      <c r="AG36" s="4"/>
      <c r="AH36" s="4"/>
      <c r="AI36" s="4"/>
      <c r="AJ36" s="4"/>
      <c r="AK36" s="131" t="str">
        <f ca="1">IFERROR(__xludf.DUMMYFUNCTION("""COMPUTED_VALUE"""),"COLWSCRM-2300")</f>
        <v>COLWSCRM-2300</v>
      </c>
      <c r="AL36" s="4" t="str">
        <f ca="1">IFERROR(__xludf.DUMMYFUNCTION("""COMPUTED_VALUE"""),"New")</f>
        <v>New</v>
      </c>
      <c r="AM36" s="4"/>
      <c r="AN36" s="4" t="str">
        <f ca="1">IFERROR(__xludf.DUMMYFUNCTION("""COMPUTED_VALUE"""),"Entregable en backlog")</f>
        <v>Entregable en backlog</v>
      </c>
      <c r="AO36" s="4" t="str">
        <f ca="1">IFERROR(__xludf.DUMMYFUNCTION("""COMPUTED_VALUE"""),"Transformación de la Red")</f>
        <v>Transformación de la Red</v>
      </c>
      <c r="AP36" s="4"/>
      <c r="AQ36" s="4"/>
      <c r="AR36" s="4" t="str">
        <f ca="1">IFERROR(__xludf.DUMMYFUNCTION("""COMPUTED_VALUE"""),"SDA aprobada en PPP Q1 2023")</f>
        <v>SDA aprobada en PPP Q1 2023</v>
      </c>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row>
    <row r="37" spans="1:132" x14ac:dyDescent="0.2">
      <c r="A37" s="4">
        <f ca="1">IFERROR(__xludf.DUMMYFUNCTION("""COMPUTED_VALUE"""),37)</f>
        <v>37</v>
      </c>
      <c r="B37" s="4">
        <f ca="1">IFERROR(__xludf.DUMMYFUNCTION("""COMPUTED_VALUE"""),24)</f>
        <v>24</v>
      </c>
      <c r="C37" s="4" t="str">
        <f ca="1">IFERROR(__xludf.DUMMYFUNCTION("""COMPUTED_VALUE"""),"SDATOOL-37121")</f>
        <v>SDATOOL-37121</v>
      </c>
      <c r="D37" s="4" t="str">
        <f ca="1">IFERROR(__xludf.DUMMYFUNCTION("""COMPUTED_VALUE"""),"Plan CRM: Seguimiento al pipeline")</f>
        <v>Plan CRM: Seguimiento al pipeline</v>
      </c>
      <c r="E37"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7" s="4" t="str">
        <f ca="1">IFERROR(__xludf.DUMMYFUNCTION("""COMPUTED_VALUE"""),"Project")</f>
        <v>Project</v>
      </c>
      <c r="G37" s="4" t="str">
        <f ca="1">IFERROR(__xludf.DUMMYFUNCTION("""COMPUTED_VALUE"""),"Stock")</f>
        <v>Stock</v>
      </c>
      <c r="H37" s="4" t="str">
        <f ca="1">IFERROR(__xludf.DUMMYFUNCTION("""COMPUTED_VALUE"""),"1Q 2024")</f>
        <v>1Q 2024</v>
      </c>
      <c r="I37" s="131" t="str">
        <f ca="1">IFERROR(__xludf.DUMMYFUNCTION("""COMPUTED_VALUE"""),"ana.santamaria-bbva.com")</f>
        <v>ana.santamaria-bbva.com</v>
      </c>
      <c r="J37" s="131" t="str">
        <f ca="1">IFERROR(__xludf.DUMMYFUNCTION("""COMPUTED_VALUE"""),"brenda.monsalve-bbva.com")</f>
        <v>brenda.monsalve-bbva.com</v>
      </c>
      <c r="K37" s="131" t="str">
        <f ca="1">IFERROR(__xludf.DUMMYFUNCTION("""COMPUTED_VALUE"""),"josedanilo.virguez-bbva.com")</f>
        <v>josedanilo.virguez-bbva.com</v>
      </c>
      <c r="L37" s="4"/>
      <c r="M37" s="4"/>
      <c r="N37" s="4"/>
      <c r="O37" s="4" t="str">
        <f ca="1">IFERROR(__xludf.DUMMYFUNCTION("""COMPUTED_VALUE"""),"Scrum")</f>
        <v>Scrum</v>
      </c>
      <c r="P37" s="4" t="str">
        <f ca="1">IFERROR(__xludf.DUMMYFUNCTION("""COMPUTED_VALUE"""),"Hydra Squad")</f>
        <v>Hydra Squad</v>
      </c>
      <c r="Q37" s="4"/>
      <c r="R37" s="130" t="str">
        <f ca="1">IFERROR(__xludf.DUMMYFUNCTION("""COMPUTED_VALUE"""),"Execution Capabilities")</f>
        <v>Execution Capabilities</v>
      </c>
      <c r="S37" s="130" t="str">
        <f ca="1">IFERROR(__xludf.DUMMYFUNCTION("""COMPUTED_VALUE"""),"Area Review")</f>
        <v>Area Review</v>
      </c>
      <c r="T37" s="130" t="str">
        <f ca="1">IFERROR(__xludf.DUMMYFUNCTION("""COMPUTED_VALUE"""),"2. Modelo de relación y distribución")</f>
        <v>2. Modelo de relación y distribución</v>
      </c>
      <c r="U37" s="130" t="str">
        <f ca="1">IFERROR(__xludf.DUMMYFUNCTION("""COMPUTED_VALUE"""),"2.3. Herramientas de la Red")</f>
        <v>2.3. Herramientas de la Red</v>
      </c>
      <c r="V37" s="4" t="str">
        <f ca="1">IFERROR(__xludf.DUMMYFUNCTION("""COMPUTED_VALUE"""),"CRM")</f>
        <v>CRM</v>
      </c>
      <c r="W37" s="4">
        <f ca="1">IFERROR(__xludf.DUMMYFUNCTION("""COMPUTED_VALUE"""),1)</f>
        <v>1</v>
      </c>
      <c r="X37" s="4" t="str">
        <f ca="1">IFERROR(__xludf.DUMMYFUNCTION("""COMPUTED_VALUE"""),"09. Data")</f>
        <v>09. Data</v>
      </c>
      <c r="Y37" s="4" t="str">
        <f ca="1">IFERROR(__xludf.DUMMYFUNCTION("""COMPUTED_VALUE"""),"5.6.5 CRM")</f>
        <v>5.6.5 CRM</v>
      </c>
      <c r="Z37" s="132" t="str">
        <f ca="1">IFERROR(__xludf.DUMMYFUNCTION("""COMPUTED_VALUE"""),"598011")</f>
        <v>598011</v>
      </c>
      <c r="AA37" s="4" t="str">
        <f ca="1">IFERROR(__xludf.DUMMYFUNCTION("""COMPUTED_VALUE"""),"Detalle Cliente: Consumo, cupo rotativo, libranza, vehículo-Resto Comercial")</f>
        <v>Detalle Cliente: Consumo, cupo rotativo, libranza, vehículo-Resto Comercial</v>
      </c>
      <c r="AB37" s="4" t="str">
        <f ca="1">IFERROR(__xludf.DUMMYFUNCTION("""COMPUTED_VALUE"""),"Crear una herramienta que contenga la trazabilidad de las necesidades de los clientes, pasando por las diferentes etapas desde la gestión comercial hasta la contratación.")</f>
        <v>Crear una herramienta que contenga la trazabilidad de las necesidades de los clientes, pasando por las diferentes etapas desde la gestión comercial hasta la contratación.</v>
      </c>
      <c r="AC37" s="4" t="str">
        <f ca="1">IFERROR(__xludf.DUMMYFUNCTION("""COMPUTED_VALUE"""),"3Q 2023")</f>
        <v>3Q 2023</v>
      </c>
      <c r="AD37" s="4"/>
      <c r="AE37" s="4"/>
      <c r="AF37" s="4"/>
      <c r="AG37" s="4"/>
      <c r="AH37" s="4"/>
      <c r="AI37" s="4"/>
      <c r="AJ37" s="4"/>
      <c r="AK37" s="131" t="str">
        <f ca="1">IFERROR(__xludf.DUMMYFUNCTION("""COMPUTED_VALUE"""),"COLWSCRM-2301")</f>
        <v>COLWSCRM-2301</v>
      </c>
      <c r="AL37" s="4" t="str">
        <f ca="1">IFERROR(__xludf.DUMMYFUNCTION("""COMPUTED_VALUE"""),"New")</f>
        <v>New</v>
      </c>
      <c r="AM37" s="4"/>
      <c r="AN37" s="4" t="str">
        <f ca="1">IFERROR(__xludf.DUMMYFUNCTION("""COMPUTED_VALUE"""),"Entregable en backlog")</f>
        <v>Entregable en backlog</v>
      </c>
      <c r="AO37" s="4" t="str">
        <f ca="1">IFERROR(__xludf.DUMMYFUNCTION("""COMPUTED_VALUE"""),"Transformación de la Red")</f>
        <v>Transformación de la Red</v>
      </c>
      <c r="AP37" s="4"/>
      <c r="AQ37" s="4"/>
      <c r="AR37" s="4" t="str">
        <f ca="1">IFERROR(__xludf.DUMMYFUNCTION("""COMPUTED_VALUE"""),"SDA aprobada en PPP Q1 2023")</f>
        <v>SDA aprobada en PPP Q1 2023</v>
      </c>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row>
    <row r="38" spans="1:132" x14ac:dyDescent="0.2">
      <c r="A38" s="4">
        <f ca="1">IFERROR(__xludf.DUMMYFUNCTION("""COMPUTED_VALUE"""),38)</f>
        <v>38</v>
      </c>
      <c r="B38" s="4"/>
      <c r="C38" s="4" t="str">
        <f ca="1">IFERROR(__xludf.DUMMYFUNCTION("""COMPUTED_VALUE"""),"SDATOOL-37121")</f>
        <v>SDATOOL-37121</v>
      </c>
      <c r="D38" s="4" t="str">
        <f ca="1">IFERROR(__xludf.DUMMYFUNCTION("""COMPUTED_VALUE"""),"Plan CRM: Seguimiento al pipeline")</f>
        <v>Plan CRM: Seguimiento al pipeline</v>
      </c>
      <c r="E38"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8" s="4" t="str">
        <f ca="1">IFERROR(__xludf.DUMMYFUNCTION("""COMPUTED_VALUE"""),"Project")</f>
        <v>Project</v>
      </c>
      <c r="G38" s="4" t="str">
        <f ca="1">IFERROR(__xludf.DUMMYFUNCTION("""COMPUTED_VALUE"""),"Stock")</f>
        <v>Stock</v>
      </c>
      <c r="H38" s="4" t="str">
        <f ca="1">IFERROR(__xludf.DUMMYFUNCTION("""COMPUTED_VALUE"""),"1Q 2024")</f>
        <v>1Q 2024</v>
      </c>
      <c r="I38" s="131" t="str">
        <f ca="1">IFERROR(__xludf.DUMMYFUNCTION("""COMPUTED_VALUE"""),"ana.santamaria-bbva.com")</f>
        <v>ana.santamaria-bbva.com</v>
      </c>
      <c r="J38" s="131" t="str">
        <f ca="1">IFERROR(__xludf.DUMMYFUNCTION("""COMPUTED_VALUE"""),"brenda.monsalve-bbva.com")</f>
        <v>brenda.monsalve-bbva.com</v>
      </c>
      <c r="K38" s="131" t="str">
        <f ca="1">IFERROR(__xludf.DUMMYFUNCTION("""COMPUTED_VALUE"""),"josedanilo.virguez-bbva.com")</f>
        <v>josedanilo.virguez-bbva.com</v>
      </c>
      <c r="L38" s="4"/>
      <c r="M38" s="4"/>
      <c r="N38" s="4"/>
      <c r="O38" s="4" t="str">
        <f ca="1">IFERROR(__xludf.DUMMYFUNCTION("""COMPUTED_VALUE"""),"Scrum")</f>
        <v>Scrum</v>
      </c>
      <c r="P38" s="4" t="str">
        <f ca="1">IFERROR(__xludf.DUMMYFUNCTION("""COMPUTED_VALUE"""),"Hydra Squad")</f>
        <v>Hydra Squad</v>
      </c>
      <c r="Q38" s="4"/>
      <c r="R38" s="130" t="str">
        <f ca="1">IFERROR(__xludf.DUMMYFUNCTION("""COMPUTED_VALUE"""),"Execution Capabilities")</f>
        <v>Execution Capabilities</v>
      </c>
      <c r="S38" s="130" t="str">
        <f ca="1">IFERROR(__xludf.DUMMYFUNCTION("""COMPUTED_VALUE"""),"Area Review")</f>
        <v>Area Review</v>
      </c>
      <c r="T38" s="130" t="str">
        <f ca="1">IFERROR(__xludf.DUMMYFUNCTION("""COMPUTED_VALUE"""),"2. Modelo de relación y distribución")</f>
        <v>2. Modelo de relación y distribución</v>
      </c>
      <c r="U38" s="130" t="str">
        <f ca="1">IFERROR(__xludf.DUMMYFUNCTION("""COMPUTED_VALUE"""),"2.3. Herramientas de la Red")</f>
        <v>2.3. Herramientas de la Red</v>
      </c>
      <c r="V38" s="4" t="str">
        <f ca="1">IFERROR(__xludf.DUMMYFUNCTION("""COMPUTED_VALUE"""),"CRM")</f>
        <v>CRM</v>
      </c>
      <c r="W38" s="4">
        <f ca="1">IFERROR(__xludf.DUMMYFUNCTION("""COMPUTED_VALUE"""),1)</f>
        <v>1</v>
      </c>
      <c r="X38" s="4" t="str">
        <f ca="1">IFERROR(__xludf.DUMMYFUNCTION("""COMPUTED_VALUE"""),"09. Data")</f>
        <v>09. Data</v>
      </c>
      <c r="Y38" s="4" t="str">
        <f ca="1">IFERROR(__xludf.DUMMYFUNCTION("""COMPUTED_VALUE"""),"5.6.5 CRM")</f>
        <v>5.6.5 CRM</v>
      </c>
      <c r="Z38" s="132" t="str">
        <f ca="1">IFERROR(__xludf.DUMMYFUNCTION("""COMPUTED_VALUE"""),"773922")</f>
        <v>773922</v>
      </c>
      <c r="AA38" s="4" t="str">
        <f ca="1">IFERROR(__xludf.DUMMYFUNCTION("""COMPUTED_VALUE"""),"Piloto Dashboard, Cuadre de Información - Consumo Libre y Compra Cartera")</f>
        <v>Piloto Dashboard, Cuadre de Información - Consumo Libre y Compra Cartera</v>
      </c>
      <c r="AB38" s="4" t="str">
        <f ca="1">IFERROR(__xludf.DUMMYFUNCTION("""COMPUTED_VALUE"""),"Piloto Dashboard, Cuadre de Información - Consumo Libre y Compra Cartera")</f>
        <v>Piloto Dashboard, Cuadre de Información - Consumo Libre y Compra Cartera</v>
      </c>
      <c r="AC38" s="4" t="str">
        <f ca="1">IFERROR(__xludf.DUMMYFUNCTION("""COMPUTED_VALUE"""),"2Q 2023")</f>
        <v>2Q 2023</v>
      </c>
      <c r="AD38" s="4"/>
      <c r="AE38" s="4"/>
      <c r="AF38" s="4"/>
      <c r="AG38" s="4"/>
      <c r="AH38" s="4"/>
      <c r="AI38" s="4"/>
      <c r="AJ38" s="4"/>
      <c r="AK38" s="131" t="str">
        <f ca="1">IFERROR(__xludf.DUMMYFUNCTION("""COMPUTED_VALUE"""),"COLWSCRM-2358")</f>
        <v>COLWSCRM-2358</v>
      </c>
      <c r="AL38" s="4" t="str">
        <f ca="1">IFERROR(__xludf.DUMMYFUNCTION("""COMPUTED_VALUE"""),"New")</f>
        <v>New</v>
      </c>
      <c r="AM38" s="4"/>
      <c r="AN38" s="4" t="str">
        <f ca="1">IFERROR(__xludf.DUMMYFUNCTION("""COMPUTED_VALUE"""),"Entregable en backlog")</f>
        <v>Entregable en backlog</v>
      </c>
      <c r="AO38" s="4" t="str">
        <f ca="1">IFERROR(__xludf.DUMMYFUNCTION("""COMPUTED_VALUE"""),"Transformación de la Red")</f>
        <v>Transformación de la Red</v>
      </c>
      <c r="AP38" s="4"/>
      <c r="AQ38" s="4"/>
      <c r="AR38" s="4" t="str">
        <f ca="1">IFERROR(__xludf.DUMMYFUNCTION("""COMPUTED_VALUE"""),"SDA aprobada en PPP Q1 2023")</f>
        <v>SDA aprobada en PPP Q1 2023</v>
      </c>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row>
    <row r="39" spans="1:132" x14ac:dyDescent="0.2">
      <c r="A39" s="4">
        <f ca="1">IFERROR(__xludf.DUMMYFUNCTION("""COMPUTED_VALUE"""),39)</f>
        <v>39</v>
      </c>
      <c r="B39" s="4">
        <f ca="1">IFERROR(__xludf.DUMMYFUNCTION("""COMPUTED_VALUE"""),31)</f>
        <v>31</v>
      </c>
      <c r="C39" s="4" t="str">
        <f ca="1">IFERROR(__xludf.DUMMYFUNCTION("""COMPUTED_VALUE"""),"SDATOOL-39819")</f>
        <v>SDATOOL-39819</v>
      </c>
      <c r="D39" s="4" t="str">
        <f ca="1">IFERROR(__xludf.DUMMYFUNCTION("""COMPUTED_VALUE"""),"Automatización casos de uso analítica CS")</f>
        <v>Automatización casos de uso analítica CS</v>
      </c>
      <c r="E39" s="4" t="str">
        <f ca="1">IFERROR(__xludf.DUMMYFUNCTION("""COMPUTED_VALUE"""),"Centro de gravedad: En inicio se debe realizar mapeo de fuentes para hallar tablas con información de cargues y abonos, así como validar si hay la necesidad de ingestar alguna información, en este caso se requiere la tabla de adquirencias, la cual se encu"&amp;"entra ingestada y sin información, por lo que esta en proceso de revisión. A continuación, lo ideal es ingestar la información de ventas. Sin embargo, se ha optado por tomar las ventas suministradas por el área de riesgos y subirla de forma manual al sand"&amp;"box para realizar el calculo de ventas a través de la integración y transformación de la información disponible, dicha transformación se deberá automatizar en un engine de Datio, que permita su ejecución automatica mensual, el output de dicho calculo será"&amp;" el entregable insumo para riesgos y se debe masterizar y dejar en una ruta en Datio que queden fija, no se desaparezca con el tiempo y que sea fácilmente accesible.
Atrittion: Adicional a lo anterior se creará un modelo analítico, el cual tomará mucha d"&amp;"e la información usada en centro de gravedad, dicho modelo se automatizará a través de un engine para que se ejecute cada cierto tiempo, el resultado de dicho modelo será un TABLÓN con un campo que indique si la pyme se va o no a fugar y la razón por la q"&amp;"ue se va a fugar, esta tabla se pretende masterizar y se pondrá a disposición en Datio y/o en los CRM de las áreas para hacer campañas de retención.
Cronos Comportamental - Distribución del cupo: Algoritmo de ML para distribución del cupo de tarjetas de "&amp;"crédito y productos de consumo acorde a las preferencias del cliente para maximizar efectividad campaña.
Retargeting preaprobados y open market: Automatizar el proceso de consulta de digital en el phoenix de clientes que no finalizaron algun proceso de c"&amp;"ompra, asi como el engine en sandbox que de como resultado los clientes que se quedaron y los transfiera por una ruta a salesforce.
Medios de pago: Automatizar ya sea el modelo o la transformación de datos así como  masterizar su salida en Datio")</f>
        <v>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v>
      </c>
      <c r="F39" s="4" t="str">
        <f ca="1">IFERROR(__xludf.DUMMYFUNCTION("""COMPUTED_VALUE"""),"Project")</f>
        <v>Project</v>
      </c>
      <c r="G39" s="4" t="str">
        <f ca="1">IFERROR(__xludf.DUMMYFUNCTION("""COMPUTED_VALUE"""),"Ended")</f>
        <v>Ended</v>
      </c>
      <c r="H39" s="4" t="str">
        <f ca="1">IFERROR(__xludf.DUMMYFUNCTION("""COMPUTED_VALUE"""),"1Q 2023")</f>
        <v>1Q 2023</v>
      </c>
      <c r="I39" s="131" t="str">
        <f ca="1">IFERROR(__xludf.DUMMYFUNCTION("""COMPUTED_VALUE"""),"ana.santamaria-bbva.com")</f>
        <v>ana.santamaria-bbva.com</v>
      </c>
      <c r="J39" s="131" t="str">
        <f ca="1">IFERROR(__xludf.DUMMYFUNCTION("""COMPUTED_VALUE"""),"deisyjohana.medina-bbva.com")</f>
        <v>deisyjohana.medina-bbva.com</v>
      </c>
      <c r="K39" s="131" t="str">
        <f ca="1">IFERROR(__xludf.DUMMYFUNCTION("""COMPUTED_VALUE"""),"david.juvinao-bbva.com")</f>
        <v>david.juvinao-bbva.com</v>
      </c>
      <c r="L39" s="130">
        <f ca="1">IFERROR(__xludf.DUMMYFUNCTION("""COMPUTED_VALUE"""),0)</f>
        <v>0</v>
      </c>
      <c r="M39" s="130">
        <f ca="1">IFERROR(__xludf.DUMMYFUNCTION("""COMPUTED_VALUE"""),0)</f>
        <v>0</v>
      </c>
      <c r="N39" s="130">
        <f ca="1">IFERROR(__xludf.DUMMYFUNCTION("""COMPUTED_VALUE"""),0)</f>
        <v>0</v>
      </c>
      <c r="O39" s="4" t="str">
        <f ca="1">IFERROR(__xludf.DUMMYFUNCTION("""COMPUTED_VALUE"""),"Waterfall")</f>
        <v>Waterfall</v>
      </c>
      <c r="P39" s="4" t="str">
        <f ca="1">IFERROR(__xludf.DUMMYFUNCTION("""COMPUTED_VALUE"""),"Tradicional")</f>
        <v>Tradicional</v>
      </c>
      <c r="Q39" s="4"/>
      <c r="R39" s="130" t="str">
        <f ca="1">IFERROR(__xludf.DUMMYFUNCTION("""COMPUTED_VALUE"""),"Advanced Analytics")</f>
        <v>Advanced Analytics</v>
      </c>
      <c r="S39" s="130" t="str">
        <f ca="1">IFERROR(__xludf.DUMMYFUNCTION("""COMPUTED_VALUE"""),"Strategic Review")</f>
        <v>Strategic Review</v>
      </c>
      <c r="T39" s="130" t="str">
        <f ca="1">IFERROR(__xludf.DUMMYFUNCTION("""COMPUTED_VALUE"""),"2. Modelo de relación y distribución")</f>
        <v>2. Modelo de relación y distribución</v>
      </c>
      <c r="U39" s="130" t="str">
        <f ca="1">IFERROR(__xludf.DUMMYFUNCTION("""COMPUTED_VALUE"""),"2.3. Herramientas de la Red")</f>
        <v>2.3. Herramientas de la Red</v>
      </c>
      <c r="V39" s="4" t="str">
        <f ca="1">IFERROR(__xludf.DUMMYFUNCTION("""COMPUTED_VALUE"""),"Automatizaciones")</f>
        <v>Automatizaciones</v>
      </c>
      <c r="W39" s="4">
        <f ca="1">IFERROR(__xludf.DUMMYFUNCTION("""COMPUTED_VALUE"""),3)</f>
        <v>3</v>
      </c>
      <c r="X39" s="4" t="str">
        <f ca="1">IFERROR(__xludf.DUMMYFUNCTION("""COMPUTED_VALUE"""),"09. Data")</f>
        <v>09. Data</v>
      </c>
      <c r="Y39" s="4" t="str">
        <f ca="1">IFERROR(__xludf.DUMMYFUNCTION("""COMPUTED_VALUE"""),"5.6.5 CRM")</f>
        <v>5.6.5 CRM</v>
      </c>
      <c r="Z39" s="132" t="str">
        <f ca="1">IFERROR(__xludf.DUMMYFUNCTION("""COMPUTED_VALUE"""),"532315")</f>
        <v>532315</v>
      </c>
      <c r="AA39" s="4" t="str">
        <f ca="1">IFERROR(__xludf.DUMMYFUNCTION("""COMPUTED_VALUE"""),"Productivizar tablones de salida de Datio")</f>
        <v>Productivizar tablones de salida de Datio</v>
      </c>
      <c r="AB39" s="4" t="str">
        <f ca="1">IFERROR(__xludf.DUMMYFUNCTION("""COMPUTED_VALUE"""),"Productivizar el proceso de transformación de datos y/o modelo analítico en Datio a través de un engine, así como su automatización y actualización periódica, su salida debe aprovisionar un tablón, el cual debe quedar masterizado y disponible para que cua"&amp;"lquier usuario pueda consumirlo desde el sandbox.")</f>
        <v>Productivizar el proceso de transformación de datos y/o modelo analítico en Datio a través de un engine, así como su automatización y actualización periódica, su salida debe aprovisionar un tablón, el cual debe quedar masterizado y disponible para que cualquier usuario pueda consumirlo desde el sandbox.</v>
      </c>
      <c r="AC39" s="4" t="str">
        <f ca="1">IFERROR(__xludf.DUMMYFUNCTION("""COMPUTED_VALUE"""),"4Q 2022")</f>
        <v>4Q 2022</v>
      </c>
      <c r="AD39" s="129">
        <f ca="1">IFERROR(__xludf.DUMMYFUNCTION("""COMPUTED_VALUE"""),44760)</f>
        <v>44760</v>
      </c>
      <c r="AE39" s="129">
        <f ca="1">IFERROR(__xludf.DUMMYFUNCTION("""COMPUTED_VALUE"""),44771)</f>
        <v>44771</v>
      </c>
      <c r="AF39" s="129">
        <f ca="1">IFERROR(__xludf.DUMMYFUNCTION("""COMPUTED_VALUE"""),44781)</f>
        <v>44781</v>
      </c>
      <c r="AG39" s="129">
        <f ca="1">IFERROR(__xludf.DUMMYFUNCTION("""COMPUTED_VALUE"""),44862)</f>
        <v>44862</v>
      </c>
      <c r="AH39" s="129">
        <f ca="1">IFERROR(__xludf.DUMMYFUNCTION("""COMPUTED_VALUE"""),44866)</f>
        <v>44866</v>
      </c>
      <c r="AI39" s="129">
        <f ca="1">IFERROR(__xludf.DUMMYFUNCTION("""COMPUTED_VALUE"""),44886)</f>
        <v>44886</v>
      </c>
      <c r="AJ39" s="129">
        <f ca="1">IFERROR(__xludf.DUMMYFUNCTION("""COMPUTED_VALUE"""),44890)</f>
        <v>44890</v>
      </c>
      <c r="AK39" s="131" t="str">
        <f ca="1">IFERROR(__xludf.DUMMYFUNCTION("""COMPUTED_VALUE"""),"COLWSDATIO-502")</f>
        <v>COLWSDATIO-502</v>
      </c>
      <c r="AL39" s="4" t="str">
        <f ca="1">IFERROR(__xludf.DUMMYFUNCTION("""COMPUTED_VALUE"""),"Deployed")</f>
        <v>Deployed</v>
      </c>
      <c r="AM39" s="4"/>
      <c r="AN39" s="4" t="str">
        <f ca="1">IFERROR(__xludf.DUMMYFUNCTION("""COMPUTED_VALUE"""),"Finalizado")</f>
        <v>Finalizado</v>
      </c>
      <c r="AO39" s="4"/>
      <c r="AP39" s="4"/>
      <c r="AQ39" s="4"/>
      <c r="AR39" s="4" t="str">
        <f ca="1">IFERROR(__xludf.DUMMYFUNCTION("""COMPUTED_VALUE"""),"SDA aprobada en PPP Q1 2023")</f>
        <v>SDA aprobada en PPP Q1 2023</v>
      </c>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133">
        <f ca="1">IFERROR(__xludf.DUMMYFUNCTION("""COMPUTED_VALUE"""),0)</f>
        <v>0</v>
      </c>
      <c r="DV39" s="133">
        <f ca="1">IFERROR(__xludf.DUMMYFUNCTION("""COMPUTED_VALUE"""),0)</f>
        <v>0</v>
      </c>
      <c r="DW39" s="133">
        <f ca="1">IFERROR(__xludf.DUMMYFUNCTION("""COMPUTED_VALUE"""),83888012)</f>
        <v>83888012</v>
      </c>
      <c r="DX39" s="133">
        <f ca="1">IFERROR(__xludf.DUMMYFUNCTION("""COMPUTED_VALUE"""),0)</f>
        <v>0</v>
      </c>
      <c r="DY39" s="133">
        <f ca="1">IFERROR(__xludf.DUMMYFUNCTION("""COMPUTED_VALUE"""),0)</f>
        <v>0</v>
      </c>
      <c r="DZ39" s="133">
        <f ca="1">IFERROR(__xludf.DUMMYFUNCTION("""COMPUTED_VALUE"""),83888012)</f>
        <v>83888012</v>
      </c>
      <c r="EA39" s="4"/>
      <c r="EB39" s="4"/>
    </row>
    <row r="40" spans="1:132" x14ac:dyDescent="0.2">
      <c r="A40" s="4">
        <f ca="1">IFERROR(__xludf.DUMMYFUNCTION("""COMPUTED_VALUE"""),40)</f>
        <v>40</v>
      </c>
      <c r="B40" s="4">
        <f ca="1">IFERROR(__xludf.DUMMYFUNCTION("""COMPUTED_VALUE"""),32)</f>
        <v>32</v>
      </c>
      <c r="C40" s="4" t="str">
        <f ca="1">IFERROR(__xludf.DUMMYFUNCTION("""COMPUTED_VALUE"""),"SDATOOL-39819")</f>
        <v>SDATOOL-39819</v>
      </c>
      <c r="D40" s="4" t="str">
        <f ca="1">IFERROR(__xludf.DUMMYFUNCTION("""COMPUTED_VALUE"""),"Automatización casos de uso analítica CS")</f>
        <v>Automatización casos de uso analítica CS</v>
      </c>
      <c r="E40" s="4" t="str">
        <f ca="1">IFERROR(__xludf.DUMMYFUNCTION("""COMPUTED_VALUE"""),"Centro de gravedad: En inicio se debe realizar mapeo de fuentes para hallar tablas con información de cargues y abonos, así como validar si hay la necesidad de ingestar alguna información, en este caso se requiere la tabla de adquirencias, la cual se encu"&amp;"entra ingestada y sin información, por lo que esta en proceso de revisión. A continuación, lo ideal es ingestar la información de ventas. Sin embargo, se ha optado por tomar las ventas suministradas por el área de riesgos y subirla de forma manual al sand"&amp;"box para realizar el calculo de ventas a través de la integración y transformación de la información disponible, dicha transformación se deberá automatizar en un engine de Datio, que permita su ejecución automatica mensual, el output de dicho calculo será"&amp;" el entregable insumo para riesgos y se debe masterizar y dejar en una ruta en Datio que queden fija, no se desaparezca con el tiempo y que sea fácilmente accesible.
Atrittion: Adicional a lo anterior se creará un modelo analítico, el cual tomará mucha d"&amp;"e la información usada en centro de gravedad, dicho modelo se automatizará a través de un engine para que se ejecute cada cierto tiempo, el resultado de dicho modelo será un TABLÓN con un campo que indique si la pyme se va o no a fugar y la razón por la q"&amp;"ue se va a fugar, esta tabla se pretende masterizar y se pondrá a disposición en Datio y/o en los CRM de las áreas para hacer campañas de retención.
Cronos Comportamental - Distribución del cupo: Algoritmo de ML para distribución del cupo de tarjetas de "&amp;"crédito y productos de consumo acorde a las preferencias del cliente para maximizar efectividad campaña.
Retargeting preaprobados y open market: Automatizar el proceso de consulta de digital en el phoenix de clientes que no finalizaron algun proceso de c"&amp;"ompra, asi como el engine en sandbox que de como resultado los clientes que se quedaron y los transfiera por una ruta a salesforce.
Medios de pago: Automatizar ya sea el modelo o la transformación de datos así como  masterizar su salida en Datio")</f>
        <v>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v>
      </c>
      <c r="F40" s="4" t="str">
        <f ca="1">IFERROR(__xludf.DUMMYFUNCTION("""COMPUTED_VALUE"""),"Project")</f>
        <v>Project</v>
      </c>
      <c r="G40" s="4" t="str">
        <f ca="1">IFERROR(__xludf.DUMMYFUNCTION("""COMPUTED_VALUE"""),"Ended")</f>
        <v>Ended</v>
      </c>
      <c r="H40" s="4" t="str">
        <f ca="1">IFERROR(__xludf.DUMMYFUNCTION("""COMPUTED_VALUE"""),"1Q 2023")</f>
        <v>1Q 2023</v>
      </c>
      <c r="I40" s="131" t="str">
        <f ca="1">IFERROR(__xludf.DUMMYFUNCTION("""COMPUTED_VALUE"""),"ana.santamaria-bbva.com")</f>
        <v>ana.santamaria-bbva.com</v>
      </c>
      <c r="J40" s="131" t="str">
        <f ca="1">IFERROR(__xludf.DUMMYFUNCTION("""COMPUTED_VALUE"""),"deisyjohana.medina-bbva.com")</f>
        <v>deisyjohana.medina-bbva.com</v>
      </c>
      <c r="K40" s="131" t="str">
        <f ca="1">IFERROR(__xludf.DUMMYFUNCTION("""COMPUTED_VALUE"""),"david.juvinao-bbva.com")</f>
        <v>david.juvinao-bbva.com</v>
      </c>
      <c r="L40" s="4"/>
      <c r="M40" s="4"/>
      <c r="N40" s="4"/>
      <c r="O40" s="4" t="str">
        <f ca="1">IFERROR(__xludf.DUMMYFUNCTION("""COMPUTED_VALUE"""),"Waterfall")</f>
        <v>Waterfall</v>
      </c>
      <c r="P40" s="4" t="str">
        <f ca="1">IFERROR(__xludf.DUMMYFUNCTION("""COMPUTED_VALUE"""),"Tradicional")</f>
        <v>Tradicional</v>
      </c>
      <c r="Q40" s="4"/>
      <c r="R40" s="130" t="str">
        <f ca="1">IFERROR(__xludf.DUMMYFUNCTION("""COMPUTED_VALUE"""),"Advanced Analytics")</f>
        <v>Advanced Analytics</v>
      </c>
      <c r="S40" s="130" t="str">
        <f ca="1">IFERROR(__xludf.DUMMYFUNCTION("""COMPUTED_VALUE"""),"Strategic Review")</f>
        <v>Strategic Review</v>
      </c>
      <c r="T40" s="130" t="str">
        <f ca="1">IFERROR(__xludf.DUMMYFUNCTION("""COMPUTED_VALUE"""),"2. Modelo de relación y distribución")</f>
        <v>2. Modelo de relación y distribución</v>
      </c>
      <c r="U40" s="130" t="str">
        <f ca="1">IFERROR(__xludf.DUMMYFUNCTION("""COMPUTED_VALUE"""),"2.3. Herramientas de la Red")</f>
        <v>2.3. Herramientas de la Red</v>
      </c>
      <c r="V40" s="4" t="str">
        <f ca="1">IFERROR(__xludf.DUMMYFUNCTION("""COMPUTED_VALUE"""),"Automatizaciones")</f>
        <v>Automatizaciones</v>
      </c>
      <c r="W40" s="4">
        <f ca="1">IFERROR(__xludf.DUMMYFUNCTION("""COMPUTED_VALUE"""),3)</f>
        <v>3</v>
      </c>
      <c r="X40" s="4" t="str">
        <f ca="1">IFERROR(__xludf.DUMMYFUNCTION("""COMPUTED_VALUE"""),"09. Data")</f>
        <v>09. Data</v>
      </c>
      <c r="Y40" s="4" t="str">
        <f ca="1">IFERROR(__xludf.DUMMYFUNCTION("""COMPUTED_VALUE"""),"5.6.5 CRM")</f>
        <v>5.6.5 CRM</v>
      </c>
      <c r="Z40" s="132" t="str">
        <f ca="1">IFERROR(__xludf.DUMMYFUNCTION("""COMPUTED_VALUE"""),"625741")</f>
        <v>625741</v>
      </c>
      <c r="AA40" s="4" t="str">
        <f ca="1">IFERROR(__xludf.DUMMYFUNCTION("""COMPUTED_VALUE"""),"Productivizacion tablones de Salida cluster de TDC y recomendador PYME")</f>
        <v>Productivizacion tablones de Salida cluster de TDC y recomendador PYME</v>
      </c>
      <c r="AB40" s="4" t="str">
        <f ca="1">IFERROR(__xludf.DUMMYFUNCTION("""COMPUTED_VALUE"""),"Productivizar y automatizar el proceso ETL y modelo analítico en Datio a través de engine y MOMA's,  su salida debe aprovisionar un tablón, el cual debe quedar masterizado y disponible para que cualquier usuario pueda consumirlo desde sandbox.")</f>
        <v>Productivizar y automatizar el proceso ETL y modelo analítico en Datio a través de engine y MOMA's,  su salida debe aprovisionar un tablón, el cual debe quedar masterizado y disponible para que cualquier usuario pueda consumirlo desde sandbox.</v>
      </c>
      <c r="AC40" s="4" t="str">
        <f ca="1">IFERROR(__xludf.DUMMYFUNCTION("""COMPUTED_VALUE"""),"1Q 2023")</f>
        <v>1Q 2023</v>
      </c>
      <c r="AD40" s="4"/>
      <c r="AE40" s="4"/>
      <c r="AF40" s="4"/>
      <c r="AG40" s="4"/>
      <c r="AH40" s="4"/>
      <c r="AI40" s="4"/>
      <c r="AJ40" s="4"/>
      <c r="AK40" s="131" t="str">
        <f ca="1">IFERROR(__xludf.DUMMYFUNCTION("""COMPUTED_VALUE"""),"COLWSDATIO-1891")</f>
        <v>COLWSDATIO-1891</v>
      </c>
      <c r="AL40" s="4" t="str">
        <f ca="1">IFERROR(__xludf.DUMMYFUNCTION("""COMPUTED_VALUE"""),"Deployed")</f>
        <v>Deployed</v>
      </c>
      <c r="AM40" s="4"/>
      <c r="AN40" s="4" t="str">
        <f ca="1">IFERROR(__xludf.DUMMYFUNCTION("""COMPUTED_VALUE"""),"Entregable en desarrollo")</f>
        <v>Entregable en desarrollo</v>
      </c>
      <c r="AO40" s="4"/>
      <c r="AP40" s="4"/>
      <c r="AQ40" s="4"/>
      <c r="AR40" s="4" t="str">
        <f ca="1">IFERROR(__xludf.DUMMYFUNCTION("""COMPUTED_VALUE"""),"SDA aprobada en PPP Q1 2023")</f>
        <v>SDA aprobada en PPP Q1 2023</v>
      </c>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row>
    <row r="41" spans="1:132" x14ac:dyDescent="0.2">
      <c r="A41" s="4">
        <f ca="1">IFERROR(__xludf.DUMMYFUNCTION("""COMPUTED_VALUE"""),41)</f>
        <v>41</v>
      </c>
      <c r="B41" s="4">
        <f ca="1">IFERROR(__xludf.DUMMYFUNCTION("""COMPUTED_VALUE"""),33)</f>
        <v>33</v>
      </c>
      <c r="C41" s="4" t="str">
        <f ca="1">IFERROR(__xludf.DUMMYFUNCTION("""COMPUTED_VALUE"""),"SDATOOL-41714")</f>
        <v>SDATOOL-41714</v>
      </c>
      <c r="D41" s="4" t="str">
        <f ca="1">IFERROR(__xludf.DUMMYFUNCTION("""COMPUTED_VALUE"""),"Full Production casos casos de uso analítica CS")</f>
        <v>Full Production casos casos de uso analítica CS</v>
      </c>
      <c r="E41" s="4" t="str">
        <f ca="1">IFERROR(__xludf.DUMMYFUNCTION("""COMPUTED_VALUE"""),"Pricing avanzado en preaprobados pymes y PNN: No existe Pricing automático y diferencial  para preaprobados Pyme y PNN. Se planea construir algoritmo en Datio que genera tasas personalizadas y ajustadas a las condiciones del cliente de acuerdo al perfil, "&amp;"monto y  nivel de riesgos.
Analítica avanzada preaprobados pymes y PNN: Los cupos ofrecidos no están alineados al perfil del cliente y no se tiene un estimador de ventas para ofrecer cupos a clientes del pasivo.  Se creará algoritmo para la personalizaci"&amp;"ón (distribución) del cupo de acuerdo al perfil del cliente: (Capital de trabajo, Cesantías, TDC, OCL) y un estimador de Ingresos para clientes con flujos transaccionales.
Caso de Uso seguros: Recomendador + Contextual triggers seguros. A hoy se realizan"&amp;" campañas muy genéricas con filtros comerciales básicos. Holding ha desarrollado varios modelos de recomendación  que son de fácil implementación en Colombia. Se porpone hacer una implementación de algoritmos de recomendación de seguros que utilizan infor"&amp;"mación transaccional para detectar patrones de comportamiento que incremente la probabilidad de contratación de un seguro. El algoritmo se utilizará para orientar las ventas inicialmente del callcenter.
Apertura de nuevos nichos Preaprobados y Open Marke"&amp;"t: Cuota en Consumo plano, debemos ampliar apetito de riesgo creciendo rentablemente. Identificación de clientes potenciales que a hoy no atendemos  a partir de su comportamiento transaccional y de huella digital para la generación  ofertas preaprobadas y"&amp;"  aumentar las ventas en open market de TDC.
Ciclo de vida de Adquirencia: Activación, uso y retención del producto: Aún   se tiene información muy básica para gestionar el Ciclo de vida de Adquirencias  y este es uno de los productos claves a potenciar "&amp;"en Pymes. Construcción de un dashboard de KPI’S para la activación, uso y retención del producto.                                                                                               Construcción de algoritmos de propensión para mejorar la venta."&amp;"  
Construcción de algoritmos de propensión  fuga  para  la generación de alertas tempranas.")</f>
        <v>Pricing avanzado en preaprobados pymes y PNN: No existe Pricing automático y diferencial  para preaprobados Pyme y PNN. Se planea construir algoritmo en Datio que genera tasas personalizadas y ajustadas a las condiciones del cliente de acuerdo al perfil, monto y  nivel de riesgos.
Analítica avanzada preaprobados pymes y PNN: Los cupos ofrecidos no están alineados al perfil del cliente y no se tiene un estimador de ventas para ofrecer cupos a clientes del pasivo.  Se creará algoritmo para la personalización (distribución) del cupo de acuerdo al perfil del cliente: (Capital de trabajo, Cesantías, TDC, OCL) y un estimador de Ingresos para clientes con flujos transaccionales.
Caso de Uso seguros: Recomendador + Contextual triggers seguros. A hoy se realizan campañas muy genéricas con filtros comerciales básicos. Holding ha desarrollado varios modelos de recomendación  que son de fácil implementación en Colombia. Se porpone hacer una implementación de algoritmos de recomendación de seguros que utilizan información transaccional para detectar patrones de comportamiento que incremente la probabilidad de contratación de un seguro. El algoritmo se utilizará para orientar las ventas inicialmente del callcenter.
Apertura de nuevos nichos Preaprobados y Open Market: Cuota en Consumo plano, debemos ampliar apetito de riesgo creciendo rentablemente. Identificación de clientes potenciales que a hoy no atendemos  a partir de su comportamiento transaccional y de huella digital para la generación  ofertas preaprobadas y  aumentar las ventas en open market de TDC.
Ciclo de vida de Adquirencia: Activación, uso y retención del producto: Aún   se tiene información muy básica para gestionar el Ciclo de vida de Adquirencias  y este es uno de los productos claves a potenciar en Pymes. Construcción de un dashboard de KPI’S para la activación, uso y retención del producto.                                                                                               Construcción de algoritmos de propensión para mejorar la venta.  
Construcción de algoritmos de propensión  fuga  para  la generación de alertas tempranas.</v>
      </c>
      <c r="F41" s="4" t="str">
        <f ca="1">IFERROR(__xludf.DUMMYFUNCTION("""COMPUTED_VALUE"""),"Initiative")</f>
        <v>Initiative</v>
      </c>
      <c r="G41" s="4" t="str">
        <f ca="1">IFERROR(__xludf.DUMMYFUNCTION("""COMPUTED_VALUE"""),"On hold")</f>
        <v>On hold</v>
      </c>
      <c r="H41" s="4" t="str">
        <f ca="1">IFERROR(__xludf.DUMMYFUNCTION("""COMPUTED_VALUE"""),"4Q 2023")</f>
        <v>4Q 2023</v>
      </c>
      <c r="I41" s="131" t="str">
        <f ca="1">IFERROR(__xludf.DUMMYFUNCTION("""COMPUTED_VALUE"""),"ana.santamaria-bbva.com")</f>
        <v>ana.santamaria-bbva.com</v>
      </c>
      <c r="J41" s="131" t="str">
        <f ca="1">IFERROR(__xludf.DUMMYFUNCTION("""COMPUTED_VALUE"""),"deisyjohana.medina-bbva.com")</f>
        <v>deisyjohana.medina-bbva.com</v>
      </c>
      <c r="K41" s="131" t="str">
        <f ca="1">IFERROR(__xludf.DUMMYFUNCTION("""COMPUTED_VALUE"""),"john.calvo-bbva.com")</f>
        <v>john.calvo-bbva.com</v>
      </c>
      <c r="L41" s="4"/>
      <c r="M41" s="4"/>
      <c r="N41" s="4"/>
      <c r="O41" s="4" t="str">
        <f ca="1">IFERROR(__xludf.DUMMYFUNCTION("""COMPUTED_VALUE"""),"Waterfall")</f>
        <v>Waterfall</v>
      </c>
      <c r="P41" s="4" t="str">
        <f ca="1">IFERROR(__xludf.DUMMYFUNCTION("""COMPUTED_VALUE"""),"Tradicional")</f>
        <v>Tradicional</v>
      </c>
      <c r="Q41" s="4"/>
      <c r="R41" s="130" t="str">
        <f ca="1">IFERROR(__xludf.DUMMYFUNCTION("""COMPUTED_VALUE"""),"Advanced Analytics")</f>
        <v>Advanced Analytics</v>
      </c>
      <c r="S41" s="130" t="str">
        <f ca="1">IFERROR(__xludf.DUMMYFUNCTION("""COMPUTED_VALUE"""),"Strategic Review")</f>
        <v>Strategic Review</v>
      </c>
      <c r="T41" s="130" t="str">
        <f ca="1">IFERROR(__xludf.DUMMYFUNCTION("""COMPUTED_VALUE"""),"1. Generación de Ingresos")</f>
        <v>1. Generación de Ingresos</v>
      </c>
      <c r="U41" s="130" t="str">
        <f ca="1">IFERROR(__xludf.DUMMYFUNCTION("""COMPUTED_VALUE"""),"1.5. Otros de Proyectos de Ingresos")</f>
        <v>1.5. Otros de Proyectos de Ingresos</v>
      </c>
      <c r="V41" s="4" t="str">
        <f ca="1">IFERROR(__xludf.DUMMYFUNCTION("""COMPUTED_VALUE"""),"Automatizaciones")</f>
        <v>Automatizaciones</v>
      </c>
      <c r="W41" s="4">
        <f ca="1">IFERROR(__xludf.DUMMYFUNCTION("""COMPUTED_VALUE"""),3)</f>
        <v>3</v>
      </c>
      <c r="X41" s="4" t="str">
        <f ca="1">IFERROR(__xludf.DUMMYFUNCTION("""COMPUTED_VALUE"""),"09. Data")</f>
        <v>09. Data</v>
      </c>
      <c r="Y41" s="4" t="str">
        <f ca="1">IFERROR(__xludf.DUMMYFUNCTION("""COMPUTED_VALUE"""),"5.6.5 CRM")</f>
        <v>5.6.5 CRM</v>
      </c>
      <c r="Z41" s="132" t="str">
        <f ca="1">IFERROR(__xludf.DUMMYFUNCTION("""COMPUTED_VALUE"""),"625893")</f>
        <v>625893</v>
      </c>
      <c r="AA41" s="4" t="str">
        <f ca="1">IFERROR(__xludf.DUMMYFUNCTION("""COMPUTED_VALUE"""),"Productivizar tablones de Salida - full production")</f>
        <v>Productivizar tablones de Salida - full production</v>
      </c>
      <c r="AB41" s="4" t="str">
        <f ca="1">IFERROR(__xludf.DUMMYFUNCTION("""COMPUTED_VALUE"""),"Productivizar y automatizar el proceso ETL y modelo analítico en Datio a través de engine y MOMA's, su salida debe aprovisionar un tablón, el cual debe quedar masterizado y disponible para que cualquier usuario pueda consumirlo desde sandbox.")</f>
        <v>Productivizar y automatizar el proceso ETL y modelo analítico en Datio a través de engine y MOMA's, su salida debe aprovisionar un tablón, el cual debe quedar masterizado y disponible para que cualquier usuario pueda consumirlo desde sandbox.</v>
      </c>
      <c r="AC41" s="4" t="str">
        <f ca="1">IFERROR(__xludf.DUMMYFUNCTION("""COMPUTED_VALUE"""),"4Q 2023")</f>
        <v>4Q 2023</v>
      </c>
      <c r="AD41" s="4"/>
      <c r="AE41" s="4"/>
      <c r="AF41" s="4"/>
      <c r="AG41" s="4"/>
      <c r="AH41" s="4"/>
      <c r="AI41" s="4"/>
      <c r="AJ41" s="4"/>
      <c r="AK41" s="131" t="str">
        <f ca="1">IFERROR(__xludf.DUMMYFUNCTION("""COMPUTED_VALUE"""),"COLWSDATIO-1955")</f>
        <v>COLWSDATIO-1955</v>
      </c>
      <c r="AL41" s="4" t="str">
        <f ca="1">IFERROR(__xludf.DUMMYFUNCTION("""COMPUTED_VALUE"""),"New")</f>
        <v>New</v>
      </c>
      <c r="AM41" s="4"/>
      <c r="AN41" s="4" t="str">
        <f ca="1">IFERROR(__xludf.DUMMYFUNCTION("""COMPUTED_VALUE"""),"Iniciativa en Discovery")</f>
        <v>Iniciativa en Discovery</v>
      </c>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row>
    <row r="42" spans="1:132" x14ac:dyDescent="0.2">
      <c r="A42" s="4">
        <f ca="1">IFERROR(__xludf.DUMMYFUNCTION("""COMPUTED_VALUE"""),42)</f>
        <v>42</v>
      </c>
      <c r="B42" s="4">
        <f ca="1">IFERROR(__xludf.DUMMYFUNCTION("""COMPUTED_VALUE"""),34)</f>
        <v>34</v>
      </c>
      <c r="C42" s="4" t="str">
        <f ca="1">IFERROR(__xludf.DUMMYFUNCTION("""COMPUTED_VALUE"""),"SDATOOL-41700")</f>
        <v>SDATOOL-41700</v>
      </c>
      <c r="D42" s="4" t="str">
        <f ca="1">IFERROR(__xludf.DUMMYFUNCTION("""COMPUTED_VALUE"""),"COL - Journeys Proactivos Advice Glomo")</f>
        <v>COL - Journeys Proactivos Advice Glomo</v>
      </c>
      <c r="E42" s="4" t="str">
        <f ca="1">IFERROR(__xludf.DUMMYFUNCTION("""COMPUTED_VALUE"""),"Proporcionar a nuestros clientes advice proactivo personalizado y accionable a traves de journeys en  la aplicación de Glomo")</f>
        <v>Proporcionar a nuestros clientes advice proactivo personalizado y accionable a traves de journeys en  la aplicación de Glomo</v>
      </c>
      <c r="F42" s="4" t="str">
        <f ca="1">IFERROR(__xludf.DUMMYFUNCTION("""COMPUTED_VALUE"""),"Initiative")</f>
        <v>Initiative</v>
      </c>
      <c r="G42" s="4" t="str">
        <f ca="1">IFERROR(__xludf.DUMMYFUNCTION("""COMPUTED_VALUE"""),"On hold")</f>
        <v>On hold</v>
      </c>
      <c r="H42" s="4" t="str">
        <f ca="1">IFERROR(__xludf.DUMMYFUNCTION("""COMPUTED_VALUE"""),"4Q 2023")</f>
        <v>4Q 2023</v>
      </c>
      <c r="I42" s="131" t="str">
        <f ca="1">IFERROR(__xludf.DUMMYFUNCTION("""COMPUTED_VALUE"""),"ana.santamaria-bbva.com")</f>
        <v>ana.santamaria-bbva.com</v>
      </c>
      <c r="J42" s="131" t="str">
        <f ca="1">IFERROR(__xludf.DUMMYFUNCTION("""COMPUTED_VALUE"""),"paulajimena.cely-bbva.com")</f>
        <v>paulajimena.cely-bbva.com</v>
      </c>
      <c r="K42" s="131" t="str">
        <f ca="1">IFERROR(__xludf.DUMMYFUNCTION("""COMPUTED_VALUE"""),"john.calvo-bbva.com")</f>
        <v>john.calvo-bbva.com</v>
      </c>
      <c r="L42" s="130">
        <f ca="1">IFERROR(__xludf.DUMMYFUNCTION("""COMPUTED_VALUE"""),0)</f>
        <v>0</v>
      </c>
      <c r="M42" s="130">
        <f ca="1">IFERROR(__xludf.DUMMYFUNCTION("""COMPUTED_VALUE"""),0)</f>
        <v>0</v>
      </c>
      <c r="N42" s="130">
        <f ca="1">IFERROR(__xludf.DUMMYFUNCTION("""COMPUTED_VALUE"""),0)</f>
        <v>0</v>
      </c>
      <c r="O42" s="4" t="str">
        <f ca="1">IFERROR(__xludf.DUMMYFUNCTION("""COMPUTED_VALUE"""),"Waterfall")</f>
        <v>Waterfall</v>
      </c>
      <c r="P42" s="4" t="str">
        <f ca="1">IFERROR(__xludf.DUMMYFUNCTION("""COMPUTED_VALUE"""),"Tradicional")</f>
        <v>Tradicional</v>
      </c>
      <c r="Q42" s="4"/>
      <c r="R42" s="130" t="str">
        <f ca="1">IFERROR(__xludf.DUMMYFUNCTION("""COMPUTED_VALUE"""),"Advanced Analytics")</f>
        <v>Advanced Analytics</v>
      </c>
      <c r="S42" s="130" t="str">
        <f ca="1">IFERROR(__xludf.DUMMYFUNCTION("""COMPUTED_VALUE"""),"Otros")</f>
        <v>Otros</v>
      </c>
      <c r="T42" s="130" t="str">
        <f ca="1">IFERROR(__xludf.DUMMYFUNCTION("""COMPUTED_VALUE"""),"1. Generación de Ingresos")</f>
        <v>1. Generación de Ingresos</v>
      </c>
      <c r="U42" s="130" t="str">
        <f ca="1">IFERROR(__xludf.DUMMYFUNCTION("""COMPUTED_VALUE"""),"1.5. Otros de Proyectos de Ingresos")</f>
        <v>1.5. Otros de Proyectos de Ingresos</v>
      </c>
      <c r="V42" s="4" t="str">
        <f ca="1">IFERROR(__xludf.DUMMYFUNCTION("""COMPUTED_VALUE"""),"Otros")</f>
        <v>Otros</v>
      </c>
      <c r="W42" s="4">
        <f ca="1">IFERROR(__xludf.DUMMYFUNCTION("""COMPUTED_VALUE"""),3)</f>
        <v>3</v>
      </c>
      <c r="X42" s="4" t="str">
        <f ca="1">IFERROR(__xludf.DUMMYFUNCTION("""COMPUTED_VALUE"""),"10. Otros")</f>
        <v>10. Otros</v>
      </c>
      <c r="Y42" s="4" t="str">
        <f ca="1">IFERROR(__xludf.DUMMYFUNCTION("""COMPUTED_VALUE"""),"Otros")</f>
        <v>Otros</v>
      </c>
      <c r="Z42" s="132" t="str">
        <f ca="1">IFERROR(__xludf.DUMMYFUNCTION("""COMPUTED_VALUE"""),"710631")</f>
        <v>710631</v>
      </c>
      <c r="AA42" s="4" t="str">
        <f ca="1">IFERROR(__xludf.DUMMYFUNCTION("""COMPUTED_VALUE"""),"Journey Proactivo - Pago Tarjeta de Crédito")</f>
        <v>Journey Proactivo - Pago Tarjeta de Crédito</v>
      </c>
      <c r="AB42" s="4" t="str">
        <f ca="1">IFERROR(__xludf.DUMMYFUNCTION("""COMPUTED_VALUE"""),"Recordar al cliente el pago de su tarjeta de crédito y redireccionarlo a las funcionalidades de pago")</f>
        <v>Recordar al cliente el pago de su tarjeta de crédito y redireccionarlo a las funcionalidades de pago</v>
      </c>
      <c r="AC42" s="4" t="str">
        <f ca="1">IFERROR(__xludf.DUMMYFUNCTION("""COMPUTED_VALUE"""),"4Q 2023")</f>
        <v>4Q 2023</v>
      </c>
      <c r="AD42" s="4"/>
      <c r="AE42" s="4"/>
      <c r="AF42" s="4"/>
      <c r="AG42" s="4"/>
      <c r="AH42" s="4"/>
      <c r="AI42" s="4"/>
      <c r="AJ42" s="4"/>
      <c r="AK42" s="131" t="str">
        <f ca="1">IFERROR(__xludf.DUMMYFUNCTION("""COMPUTED_VALUE"""),"COLWSDATIO-2921")</f>
        <v>COLWSDATIO-2921</v>
      </c>
      <c r="AL42" s="4" t="str">
        <f ca="1">IFERROR(__xludf.DUMMYFUNCTION("""COMPUTED_VALUE"""),"New")</f>
        <v>New</v>
      </c>
      <c r="AM42" s="4"/>
      <c r="AN42" s="4" t="str">
        <f ca="1">IFERROR(__xludf.DUMMYFUNCTION("""COMPUTED_VALUE"""),"Iniciativa en Discovery")</f>
        <v>Iniciativa en Discovery</v>
      </c>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133">
        <f ca="1">IFERROR(__xludf.DUMMYFUNCTION("""COMPUTED_VALUE"""),0)</f>
        <v>0</v>
      </c>
      <c r="DV42" s="133">
        <f ca="1">IFERROR(__xludf.DUMMYFUNCTION("""COMPUTED_VALUE"""),0)</f>
        <v>0</v>
      </c>
      <c r="DW42" s="133">
        <f ca="1">IFERROR(__xludf.DUMMYFUNCTION("""COMPUTED_VALUE"""),0)</f>
        <v>0</v>
      </c>
      <c r="DX42" s="133">
        <f ca="1">IFERROR(__xludf.DUMMYFUNCTION("""COMPUTED_VALUE"""),0)</f>
        <v>0</v>
      </c>
      <c r="DY42" s="133">
        <f ca="1">IFERROR(__xludf.DUMMYFUNCTION("""COMPUTED_VALUE"""),0)</f>
        <v>0</v>
      </c>
      <c r="DZ42" s="133">
        <f ca="1">IFERROR(__xludf.DUMMYFUNCTION("""COMPUTED_VALUE"""),0)</f>
        <v>0</v>
      </c>
      <c r="EA42" s="4"/>
      <c r="EB42" s="4"/>
    </row>
    <row r="43" spans="1:132" x14ac:dyDescent="0.2">
      <c r="A43" s="4">
        <f ca="1">IFERROR(__xludf.DUMMYFUNCTION("""COMPUTED_VALUE"""),43)</f>
        <v>43</v>
      </c>
      <c r="B43" s="4">
        <f ca="1">IFERROR(__xludf.DUMMYFUNCTION("""COMPUTED_VALUE"""),35)</f>
        <v>35</v>
      </c>
      <c r="C43" s="4" t="str">
        <f ca="1">IFERROR(__xludf.DUMMYFUNCTION("""COMPUTED_VALUE"""),"SDATOOL-39842")</f>
        <v>SDATOOL-39842</v>
      </c>
      <c r="D43" s="4" t="str">
        <f ca="1">IFERROR(__xludf.DUMMYFUNCTION("""COMPUTED_VALUE"""),"Plan CRM: Nueva plataforma para disponibilizar informes de gestión para las redes")</f>
        <v>Plan CRM: Nueva plataforma para disponibilizar informes de gestión para las redes</v>
      </c>
      <c r="E43"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3" s="4" t="str">
        <f ca="1">IFERROR(__xludf.DUMMYFUNCTION("""COMPUTED_VALUE"""),"Project")</f>
        <v>Project</v>
      </c>
      <c r="G43" s="4" t="str">
        <f ca="1">IFERROR(__xludf.DUMMYFUNCTION("""COMPUTED_VALUE"""),"Stock")</f>
        <v>Stock</v>
      </c>
      <c r="H43" s="4" t="str">
        <f ca="1">IFERROR(__xludf.DUMMYFUNCTION("""COMPUTED_VALUE"""),"1Q 2024")</f>
        <v>1Q 2024</v>
      </c>
      <c r="I43" s="131" t="str">
        <f ca="1">IFERROR(__xludf.DUMMYFUNCTION("""COMPUTED_VALUE"""),"ana.santamaria-bbva.com")</f>
        <v>ana.santamaria-bbva.com</v>
      </c>
      <c r="J43" s="131" t="str">
        <f ca="1">IFERROR(__xludf.DUMMYFUNCTION("""COMPUTED_VALUE"""),"rodrigo.ardila-bbva.com")</f>
        <v>rodrigo.ardila-bbva.com</v>
      </c>
      <c r="K43" s="131" t="str">
        <f ca="1">IFERROR(__xludf.DUMMYFUNCTION("""COMPUTED_VALUE"""),"nelsonandres.bohorquez-bbva.com")</f>
        <v>nelsonandres.bohorquez-bbva.com</v>
      </c>
      <c r="L43" s="130">
        <f ca="1">IFERROR(__xludf.DUMMYFUNCTION("""COMPUTED_VALUE"""),1)</f>
        <v>1</v>
      </c>
      <c r="M43" s="130">
        <f ca="1">IFERROR(__xludf.DUMMYFUNCTION("""COMPUTED_VALUE"""),0)</f>
        <v>0</v>
      </c>
      <c r="N43" s="130">
        <f ca="1">IFERROR(__xludf.DUMMYFUNCTION("""COMPUTED_VALUE"""),0)</f>
        <v>0</v>
      </c>
      <c r="O43" s="4" t="str">
        <f ca="1">IFERROR(__xludf.DUMMYFUNCTION("""COMPUTED_VALUE"""),"Scrum")</f>
        <v>Scrum</v>
      </c>
      <c r="P43" s="4" t="str">
        <f ca="1">IFERROR(__xludf.DUMMYFUNCTION("""COMPUTED_VALUE"""),"Challenge Team")</f>
        <v>Challenge Team</v>
      </c>
      <c r="Q43" s="130">
        <f ca="1">IFERROR(__xludf.DUMMYFUNCTION("""COMPUTED_VALUE"""),1)</f>
        <v>1</v>
      </c>
      <c r="R43" s="130" t="str">
        <f ca="1">IFERROR(__xludf.DUMMYFUNCTION("""COMPUTED_VALUE"""),"Execution Capabilities")</f>
        <v>Execution Capabilities</v>
      </c>
      <c r="S43" s="130" t="str">
        <f ca="1">IFERROR(__xludf.DUMMYFUNCTION("""COMPUTED_VALUE"""),"Strategic Review")</f>
        <v>Strategic Review</v>
      </c>
      <c r="T43" s="130" t="str">
        <f ca="1">IFERROR(__xludf.DUMMYFUNCTION("""COMPUTED_VALUE"""),"2. Modelo de relación y distribución")</f>
        <v>2. Modelo de relación y distribución</v>
      </c>
      <c r="U43" s="130" t="str">
        <f ca="1">IFERROR(__xludf.DUMMYFUNCTION("""COMPUTED_VALUE"""),"2.3. Herramientas de la Red")</f>
        <v>2.3. Herramientas de la Red</v>
      </c>
      <c r="V43" s="4" t="str">
        <f ca="1">IFERROR(__xludf.DUMMYFUNCTION("""COMPUTED_VALUE"""),"CRM")</f>
        <v>CRM</v>
      </c>
      <c r="W43" s="4">
        <f ca="1">IFERROR(__xludf.DUMMYFUNCTION("""COMPUTED_VALUE"""),1)</f>
        <v>1</v>
      </c>
      <c r="X43" s="4" t="str">
        <f ca="1">IFERROR(__xludf.DUMMYFUNCTION("""COMPUTED_VALUE"""),"09. Data")</f>
        <v>09. Data</v>
      </c>
      <c r="Y43" s="4" t="str">
        <f ca="1">IFERROR(__xludf.DUMMYFUNCTION("""COMPUTED_VALUE"""),"5.6.5 CRM")</f>
        <v>5.6.5 CRM</v>
      </c>
      <c r="Z43" s="132" t="str">
        <f ca="1">IFERROR(__xludf.DUMMYFUNCTION("""COMPUTED_VALUE"""),"514813")</f>
        <v>514813</v>
      </c>
      <c r="AA43" s="4" t="str">
        <f ca="1">IFERROR(__xludf.DUMMYFUNCTION("""COMPUTED_VALUE"""),"Informes Gerenciales Facturación")</f>
        <v>Informes Gerenciales Facturación</v>
      </c>
      <c r="AB43" s="4" t="str">
        <f ca="1">IFERROR(__xludf.DUMMYFUNCTION("""COMPUTED_VALUE"""),"Disponibilizar los informes de seguimiento a la facturación de las diferentes Bancas.")</f>
        <v>Disponibilizar los informes de seguimiento a la facturación de las diferentes Bancas.</v>
      </c>
      <c r="AC43" s="4" t="str">
        <f ca="1">IFERROR(__xludf.DUMMYFUNCTION("""COMPUTED_VALUE"""),"2Q 2023")</f>
        <v>2Q 2023</v>
      </c>
      <c r="AD43" s="128">
        <f ca="1">IFERROR(__xludf.DUMMYFUNCTION("""COMPUTED_VALUE"""),44809)</f>
        <v>44809</v>
      </c>
      <c r="AE43" s="128">
        <f ca="1">IFERROR(__xludf.DUMMYFUNCTION("""COMPUTED_VALUE"""),44834)</f>
        <v>44834</v>
      </c>
      <c r="AF43" s="128">
        <f ca="1">IFERROR(__xludf.DUMMYFUNCTION("""COMPUTED_VALUE"""),44839)</f>
        <v>44839</v>
      </c>
      <c r="AG43" s="129">
        <f ca="1">IFERROR(__xludf.DUMMYFUNCTION("""COMPUTED_VALUE"""),44974)</f>
        <v>44974</v>
      </c>
      <c r="AH43" s="129">
        <f ca="1">IFERROR(__xludf.DUMMYFUNCTION("""COMPUTED_VALUE"""),44977)</f>
        <v>44977</v>
      </c>
      <c r="AI43" s="128">
        <f ca="1">IFERROR(__xludf.DUMMYFUNCTION("""COMPUTED_VALUE"""),44988)</f>
        <v>44988</v>
      </c>
      <c r="AJ43" s="129">
        <f ca="1">IFERROR(__xludf.DUMMYFUNCTION("""COMPUTED_VALUE"""),45016)</f>
        <v>45016</v>
      </c>
      <c r="AK43" s="131" t="str">
        <f ca="1">IFERROR(__xludf.DUMMYFUNCTION("""COMPUTED_VALUE"""),"COLWSDATIO-2092")</f>
        <v>COLWSDATIO-2092</v>
      </c>
      <c r="AL43" s="4" t="str">
        <f ca="1">IFERROR(__xludf.DUMMYFUNCTION("""COMPUTED_VALUE"""),"Analysing")</f>
        <v>Analysing</v>
      </c>
      <c r="AM43" s="4"/>
      <c r="AN43" s="4" t="str">
        <f ca="1">IFERROR(__xludf.DUMMYFUNCTION("""COMPUTED_VALUE"""),"Entregable en desarrollo")</f>
        <v>Entregable en desarrollo</v>
      </c>
      <c r="AO43" s="4" t="str">
        <f ca="1">IFERROR(__xludf.DUMMYFUNCTION("""COMPUTED_VALUE"""),"Transformación de la Red")</f>
        <v>Transformación de la Red</v>
      </c>
      <c r="AP43" s="4"/>
      <c r="AQ43" s="4"/>
      <c r="AR43" s="4" t="str">
        <f ca="1">IFERROR(__xludf.DUMMYFUNCTION("""COMPUTED_VALUE"""),"SDA aprobada en PPP Q1 2023")</f>
        <v>SDA aprobada en PPP Q1 2023</v>
      </c>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133">
        <f ca="1">IFERROR(__xludf.DUMMYFUNCTION("""COMPUTED_VALUE"""),0)</f>
        <v>0</v>
      </c>
      <c r="DV43" s="133">
        <f ca="1">IFERROR(__xludf.DUMMYFUNCTION("""COMPUTED_VALUE"""),0)</f>
        <v>0</v>
      </c>
      <c r="DW43" s="133">
        <f ca="1">IFERROR(__xludf.DUMMYFUNCTION("""COMPUTED_VALUE"""),454031263)</f>
        <v>454031263</v>
      </c>
      <c r="DX43" s="133">
        <f ca="1">IFERROR(__xludf.DUMMYFUNCTION("""COMPUTED_VALUE"""),1323467436)</f>
        <v>1323467436</v>
      </c>
      <c r="DY43" s="133">
        <f ca="1">IFERROR(__xludf.DUMMYFUNCTION("""COMPUTED_VALUE"""),200500000)</f>
        <v>200500000</v>
      </c>
      <c r="DZ43" s="133">
        <f ca="1">IFERROR(__xludf.DUMMYFUNCTION("""COMPUTED_VALUE"""),1977998699)</f>
        <v>1977998699</v>
      </c>
      <c r="EA43" s="4"/>
      <c r="EB43" s="4"/>
    </row>
    <row r="44" spans="1:132" x14ac:dyDescent="0.2">
      <c r="A44" s="4">
        <f ca="1">IFERROR(__xludf.DUMMYFUNCTION("""COMPUTED_VALUE"""),44)</f>
        <v>44</v>
      </c>
      <c r="B44" s="4">
        <f ca="1">IFERROR(__xludf.DUMMYFUNCTION("""COMPUTED_VALUE"""),36)</f>
        <v>36</v>
      </c>
      <c r="C44" s="4" t="str">
        <f ca="1">IFERROR(__xludf.DUMMYFUNCTION("""COMPUTED_VALUE"""),"SDATOOL-39842")</f>
        <v>SDATOOL-39842</v>
      </c>
      <c r="D44" s="4" t="str">
        <f ca="1">IFERROR(__xludf.DUMMYFUNCTION("""COMPUTED_VALUE"""),"Plan CRM: Nueva plataforma para disponibilizar informes de gestión para las redes")</f>
        <v>Plan CRM: Nueva plataforma para disponibilizar informes de gestión para las redes</v>
      </c>
      <c r="E44"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4" s="4" t="str">
        <f ca="1">IFERROR(__xludf.DUMMYFUNCTION("""COMPUTED_VALUE"""),"Project")</f>
        <v>Project</v>
      </c>
      <c r="G44" s="4" t="str">
        <f ca="1">IFERROR(__xludf.DUMMYFUNCTION("""COMPUTED_VALUE"""),"Stock")</f>
        <v>Stock</v>
      </c>
      <c r="H44" s="4" t="str">
        <f ca="1">IFERROR(__xludf.DUMMYFUNCTION("""COMPUTED_VALUE"""),"1Q 2024")</f>
        <v>1Q 2024</v>
      </c>
      <c r="I44" s="131" t="str">
        <f ca="1">IFERROR(__xludf.DUMMYFUNCTION("""COMPUTED_VALUE"""),"ana.santamaria-bbva.com")</f>
        <v>ana.santamaria-bbva.com</v>
      </c>
      <c r="J44" s="131" t="str">
        <f ca="1">IFERROR(__xludf.DUMMYFUNCTION("""COMPUTED_VALUE"""),"rodrigo.ardila-bbva.com")</f>
        <v>rodrigo.ardila-bbva.com</v>
      </c>
      <c r="K44" s="131" t="str">
        <f ca="1">IFERROR(__xludf.DUMMYFUNCTION("""COMPUTED_VALUE"""),"nelsonandres.bohorquez-bbva.com")</f>
        <v>nelsonandres.bohorquez-bbva.com</v>
      </c>
      <c r="L44" s="4"/>
      <c r="M44" s="4"/>
      <c r="N44" s="4"/>
      <c r="O44" s="4" t="str">
        <f ca="1">IFERROR(__xludf.DUMMYFUNCTION("""COMPUTED_VALUE"""),"Scrum")</f>
        <v>Scrum</v>
      </c>
      <c r="P44" s="4" t="str">
        <f ca="1">IFERROR(__xludf.DUMMYFUNCTION("""COMPUTED_VALUE"""),"Challenge Team")</f>
        <v>Challenge Team</v>
      </c>
      <c r="Q44" s="4"/>
      <c r="R44" s="130" t="str">
        <f ca="1">IFERROR(__xludf.DUMMYFUNCTION("""COMPUTED_VALUE"""),"Execution Capabilities")</f>
        <v>Execution Capabilities</v>
      </c>
      <c r="S44" s="130" t="str">
        <f ca="1">IFERROR(__xludf.DUMMYFUNCTION("""COMPUTED_VALUE"""),"Strategic Review")</f>
        <v>Strategic Review</v>
      </c>
      <c r="T44" s="130" t="str">
        <f ca="1">IFERROR(__xludf.DUMMYFUNCTION("""COMPUTED_VALUE"""),"2. Modelo de relación y distribución")</f>
        <v>2. Modelo de relación y distribución</v>
      </c>
      <c r="U44" s="130" t="str">
        <f ca="1">IFERROR(__xludf.DUMMYFUNCTION("""COMPUTED_VALUE"""),"2.3. Herramientas de la Red")</f>
        <v>2.3. Herramientas de la Red</v>
      </c>
      <c r="V44" s="4" t="str">
        <f ca="1">IFERROR(__xludf.DUMMYFUNCTION("""COMPUTED_VALUE"""),"CRM")</f>
        <v>CRM</v>
      </c>
      <c r="W44" s="4">
        <f ca="1">IFERROR(__xludf.DUMMYFUNCTION("""COMPUTED_VALUE"""),1)</f>
        <v>1</v>
      </c>
      <c r="X44" s="4" t="str">
        <f ca="1">IFERROR(__xludf.DUMMYFUNCTION("""COMPUTED_VALUE"""),"09. Data")</f>
        <v>09. Data</v>
      </c>
      <c r="Y44" s="4" t="str">
        <f ca="1">IFERROR(__xludf.DUMMYFUNCTION("""COMPUTED_VALUE"""),"5.6.5 CRM")</f>
        <v>5.6.5 CRM</v>
      </c>
      <c r="Z44" s="132" t="str">
        <f ca="1">IFERROR(__xludf.DUMMYFUNCTION("""COMPUTED_VALUE"""),"514814")</f>
        <v>514814</v>
      </c>
      <c r="AA44" s="4" t="str">
        <f ca="1">IFERROR(__xludf.DUMMYFUNCTION("""COMPUTED_VALUE"""),"Facturación")</f>
        <v>Facturación</v>
      </c>
      <c r="AB44" s="4" t="str">
        <f ca="1">IFERROR(__xludf.DUMMYFUNCTION("""COMPUTED_VALUE"""),"Disponibilizar los informes de seguimiento a la facturación de las diferentes Bancas.")</f>
        <v>Disponibilizar los informes de seguimiento a la facturación de las diferentes Bancas.</v>
      </c>
      <c r="AC44" s="4" t="str">
        <f ca="1">IFERROR(__xludf.DUMMYFUNCTION("""COMPUTED_VALUE"""),"1Q 2023")</f>
        <v>1Q 2023</v>
      </c>
      <c r="AD44" s="128">
        <f ca="1">IFERROR(__xludf.DUMMYFUNCTION("""COMPUTED_VALUE"""),44809)</f>
        <v>44809</v>
      </c>
      <c r="AE44" s="128">
        <f ca="1">IFERROR(__xludf.DUMMYFUNCTION("""COMPUTED_VALUE"""),44834)</f>
        <v>44834</v>
      </c>
      <c r="AF44" s="128">
        <f ca="1">IFERROR(__xludf.DUMMYFUNCTION("""COMPUTED_VALUE"""),44839)</f>
        <v>44839</v>
      </c>
      <c r="AG44" s="129">
        <f ca="1">IFERROR(__xludf.DUMMYFUNCTION("""COMPUTED_VALUE"""),44974)</f>
        <v>44974</v>
      </c>
      <c r="AH44" s="129">
        <f ca="1">IFERROR(__xludf.DUMMYFUNCTION("""COMPUTED_VALUE"""),44977)</f>
        <v>44977</v>
      </c>
      <c r="AI44" s="128">
        <f ca="1">IFERROR(__xludf.DUMMYFUNCTION("""COMPUTED_VALUE"""),44988)</f>
        <v>44988</v>
      </c>
      <c r="AJ44" s="129">
        <f ca="1">IFERROR(__xludf.DUMMYFUNCTION("""COMPUTED_VALUE"""),45016)</f>
        <v>45016</v>
      </c>
      <c r="AK44" s="131" t="str">
        <f ca="1">IFERROR(__xludf.DUMMYFUNCTION("""COMPUTED_VALUE"""),"COLWSDATIO-1324")</f>
        <v>COLWSDATIO-1324</v>
      </c>
      <c r="AL44" s="4" t="str">
        <f ca="1">IFERROR(__xludf.DUMMYFUNCTION("""COMPUTED_VALUE"""),"En progreso")</f>
        <v>En progreso</v>
      </c>
      <c r="AM44" s="4"/>
      <c r="AN44" s="4" t="str">
        <f ca="1">IFERROR(__xludf.DUMMYFUNCTION("""COMPUTED_VALUE"""),"Entregable en desarrollo")</f>
        <v>Entregable en desarrollo</v>
      </c>
      <c r="AO44" s="4" t="str">
        <f ca="1">IFERROR(__xludf.DUMMYFUNCTION("""COMPUTED_VALUE"""),"Transformación de la Red")</f>
        <v>Transformación de la Red</v>
      </c>
      <c r="AP44" s="4"/>
      <c r="AQ44" s="4"/>
      <c r="AR44" s="4" t="str">
        <f ca="1">IFERROR(__xludf.DUMMYFUNCTION("""COMPUTED_VALUE"""),"SDA aprobada en PPP Q1 2023")</f>
        <v>SDA aprobada en PPP Q1 2023</v>
      </c>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row>
    <row r="45" spans="1:132" x14ac:dyDescent="0.2">
      <c r="A45" s="4">
        <f ca="1">IFERROR(__xludf.DUMMYFUNCTION("""COMPUTED_VALUE"""),45)</f>
        <v>45</v>
      </c>
      <c r="B45" s="4">
        <f ca="1">IFERROR(__xludf.DUMMYFUNCTION("""COMPUTED_VALUE"""),37)</f>
        <v>37</v>
      </c>
      <c r="C45" s="4" t="str">
        <f ca="1">IFERROR(__xludf.DUMMYFUNCTION("""COMPUTED_VALUE"""),"SDATOOL-39842")</f>
        <v>SDATOOL-39842</v>
      </c>
      <c r="D45" s="4" t="str">
        <f ca="1">IFERROR(__xludf.DUMMYFUNCTION("""COMPUTED_VALUE"""),"Plan CRM: Nueva plataforma para disponibilizar informes de gestión para las redes")</f>
        <v>Plan CRM: Nueva plataforma para disponibilizar informes de gestión para las redes</v>
      </c>
      <c r="E45"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5" s="4" t="str">
        <f ca="1">IFERROR(__xludf.DUMMYFUNCTION("""COMPUTED_VALUE"""),"Project")</f>
        <v>Project</v>
      </c>
      <c r="G45" s="4" t="str">
        <f ca="1">IFERROR(__xludf.DUMMYFUNCTION("""COMPUTED_VALUE"""),"Stock")</f>
        <v>Stock</v>
      </c>
      <c r="H45" s="4" t="str">
        <f ca="1">IFERROR(__xludf.DUMMYFUNCTION("""COMPUTED_VALUE"""),"1Q 2024")</f>
        <v>1Q 2024</v>
      </c>
      <c r="I45" s="131" t="str">
        <f ca="1">IFERROR(__xludf.DUMMYFUNCTION("""COMPUTED_VALUE"""),"ana.santamaria-bbva.com")</f>
        <v>ana.santamaria-bbva.com</v>
      </c>
      <c r="J45" s="131" t="str">
        <f ca="1">IFERROR(__xludf.DUMMYFUNCTION("""COMPUTED_VALUE"""),"rodrigo.ardila-bbva.com")</f>
        <v>rodrigo.ardila-bbva.com</v>
      </c>
      <c r="K45" s="131" t="str">
        <f ca="1">IFERROR(__xludf.DUMMYFUNCTION("""COMPUTED_VALUE"""),"nelsonandres.bohorquez-bbva.com")</f>
        <v>nelsonandres.bohorquez-bbva.com</v>
      </c>
      <c r="L45" s="4"/>
      <c r="M45" s="4"/>
      <c r="N45" s="4"/>
      <c r="O45" s="4" t="str">
        <f ca="1">IFERROR(__xludf.DUMMYFUNCTION("""COMPUTED_VALUE"""),"Scrum")</f>
        <v>Scrum</v>
      </c>
      <c r="P45" s="4" t="str">
        <f ca="1">IFERROR(__xludf.DUMMYFUNCTION("""COMPUTED_VALUE"""),"Challenge Team")</f>
        <v>Challenge Team</v>
      </c>
      <c r="Q45" s="4"/>
      <c r="R45" s="130" t="str">
        <f ca="1">IFERROR(__xludf.DUMMYFUNCTION("""COMPUTED_VALUE"""),"Execution Capabilities")</f>
        <v>Execution Capabilities</v>
      </c>
      <c r="S45" s="130" t="str">
        <f ca="1">IFERROR(__xludf.DUMMYFUNCTION("""COMPUTED_VALUE"""),"Strategic Review")</f>
        <v>Strategic Review</v>
      </c>
      <c r="T45" s="130" t="str">
        <f ca="1">IFERROR(__xludf.DUMMYFUNCTION("""COMPUTED_VALUE"""),"2. Modelo de relación y distribución")</f>
        <v>2. Modelo de relación y distribución</v>
      </c>
      <c r="U45" s="130" t="str">
        <f ca="1">IFERROR(__xludf.DUMMYFUNCTION("""COMPUTED_VALUE"""),"2.3. Herramientas de la Red")</f>
        <v>2.3. Herramientas de la Red</v>
      </c>
      <c r="V45" s="4" t="str">
        <f ca="1">IFERROR(__xludf.DUMMYFUNCTION("""COMPUTED_VALUE"""),"CRM")</f>
        <v>CRM</v>
      </c>
      <c r="W45" s="4">
        <f ca="1">IFERROR(__xludf.DUMMYFUNCTION("""COMPUTED_VALUE"""),1)</f>
        <v>1</v>
      </c>
      <c r="X45" s="4" t="str">
        <f ca="1">IFERROR(__xludf.DUMMYFUNCTION("""COMPUTED_VALUE"""),"09. Data")</f>
        <v>09. Data</v>
      </c>
      <c r="Y45" s="4" t="str">
        <f ca="1">IFERROR(__xludf.DUMMYFUNCTION("""COMPUTED_VALUE"""),"5.6.5 CRM")</f>
        <v>5.6.5 CRM</v>
      </c>
      <c r="Z45" s="132" t="str">
        <f ca="1">IFERROR(__xludf.DUMMYFUNCTION("""COMPUTED_VALUE"""),"558375")</f>
        <v>558375</v>
      </c>
      <c r="AA45" s="4" t="str">
        <f ca="1">IFERROR(__xludf.DUMMYFUNCTION("""COMPUTED_VALUE"""),"ClientesTarget")</f>
        <v>ClientesTarget</v>
      </c>
      <c r="AB45" s="4" t="str">
        <f ca="1">IFERROR(__xludf.DUMMYFUNCTION("""COMPUTED_VALUE"""),"Disponibilizar los informes de seguimiento a los clientes target de las diferentes Bancas.")</f>
        <v>Disponibilizar los informes de seguimiento a los clientes target de las diferentes Bancas.</v>
      </c>
      <c r="AC45" s="4" t="str">
        <f ca="1">IFERROR(__xludf.DUMMYFUNCTION("""COMPUTED_VALUE"""),"3Q 2023")</f>
        <v>3Q 2023</v>
      </c>
      <c r="AD45" s="128">
        <f ca="1">IFERROR(__xludf.DUMMYFUNCTION("""COMPUTED_VALUE"""),44809)</f>
        <v>44809</v>
      </c>
      <c r="AE45" s="128">
        <f ca="1">IFERROR(__xludf.DUMMYFUNCTION("""COMPUTED_VALUE"""),44834)</f>
        <v>44834</v>
      </c>
      <c r="AF45" s="128">
        <f ca="1">IFERROR(__xludf.DUMMYFUNCTION("""COMPUTED_VALUE"""),44839)</f>
        <v>44839</v>
      </c>
      <c r="AG45" s="129">
        <f ca="1">IFERROR(__xludf.DUMMYFUNCTION("""COMPUTED_VALUE"""),44974)</f>
        <v>44974</v>
      </c>
      <c r="AH45" s="129">
        <f ca="1">IFERROR(__xludf.DUMMYFUNCTION("""COMPUTED_VALUE"""),44977)</f>
        <v>44977</v>
      </c>
      <c r="AI45" s="128">
        <f ca="1">IFERROR(__xludf.DUMMYFUNCTION("""COMPUTED_VALUE"""),44988)</f>
        <v>44988</v>
      </c>
      <c r="AJ45" s="129">
        <f ca="1">IFERROR(__xludf.DUMMYFUNCTION("""COMPUTED_VALUE"""),45016)</f>
        <v>45016</v>
      </c>
      <c r="AK45" s="4" t="str">
        <f ca="1">IFERROR(__xludf.DUMMYFUNCTION("""COMPUTED_VALUE"""),"Sin asignar")</f>
        <v>Sin asignar</v>
      </c>
      <c r="AL45" s="4" t="str">
        <f ca="1">IFERROR(__xludf.DUMMYFUNCTION("""COMPUTED_VALUE"""),"Sin asignar")</f>
        <v>Sin asignar</v>
      </c>
      <c r="AM45" s="4"/>
      <c r="AN45" s="4" t="str">
        <f ca="1">IFERROR(__xludf.DUMMYFUNCTION("""COMPUTED_VALUE"""),"Entregable en backlog")</f>
        <v>Entregable en backlog</v>
      </c>
      <c r="AO45" s="4" t="str">
        <f ca="1">IFERROR(__xludf.DUMMYFUNCTION("""COMPUTED_VALUE"""),"Transformación de la Red")</f>
        <v>Transformación de la Red</v>
      </c>
      <c r="AP45" s="4"/>
      <c r="AQ45" s="4"/>
      <c r="AR45" s="4" t="str">
        <f ca="1">IFERROR(__xludf.DUMMYFUNCTION("""COMPUTED_VALUE"""),"SDA aprobada en PPP Q1 2023")</f>
        <v>SDA aprobada en PPP Q1 2023</v>
      </c>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row>
    <row r="46" spans="1:132" x14ac:dyDescent="0.2">
      <c r="A46" s="4">
        <f ca="1">IFERROR(__xludf.DUMMYFUNCTION("""COMPUTED_VALUE"""),46)</f>
        <v>46</v>
      </c>
      <c r="B46" s="4">
        <f ca="1">IFERROR(__xludf.DUMMYFUNCTION("""COMPUTED_VALUE"""),38)</f>
        <v>38</v>
      </c>
      <c r="C46" s="4" t="str">
        <f ca="1">IFERROR(__xludf.DUMMYFUNCTION("""COMPUTED_VALUE"""),"SDATOOL-39842")</f>
        <v>SDATOOL-39842</v>
      </c>
      <c r="D46" s="4" t="str">
        <f ca="1">IFERROR(__xludf.DUMMYFUNCTION("""COMPUTED_VALUE"""),"Plan CRM: Nueva plataforma para disponibilizar informes de gestión para las redes")</f>
        <v>Plan CRM: Nueva plataforma para disponibilizar informes de gestión para las redes</v>
      </c>
      <c r="E46"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6" s="4" t="str">
        <f ca="1">IFERROR(__xludf.DUMMYFUNCTION("""COMPUTED_VALUE"""),"Project")</f>
        <v>Project</v>
      </c>
      <c r="G46" s="4" t="str">
        <f ca="1">IFERROR(__xludf.DUMMYFUNCTION("""COMPUTED_VALUE"""),"Stock")</f>
        <v>Stock</v>
      </c>
      <c r="H46" s="4" t="str">
        <f ca="1">IFERROR(__xludf.DUMMYFUNCTION("""COMPUTED_VALUE"""),"1Q 2024")</f>
        <v>1Q 2024</v>
      </c>
      <c r="I46" s="131" t="str">
        <f ca="1">IFERROR(__xludf.DUMMYFUNCTION("""COMPUTED_VALUE"""),"ana.santamaria-bbva.com")</f>
        <v>ana.santamaria-bbva.com</v>
      </c>
      <c r="J46" s="131" t="str">
        <f ca="1">IFERROR(__xludf.DUMMYFUNCTION("""COMPUTED_VALUE"""),"rodrigo.ardila-bbva.com")</f>
        <v>rodrigo.ardila-bbva.com</v>
      </c>
      <c r="K46" s="131" t="str">
        <f ca="1">IFERROR(__xludf.DUMMYFUNCTION("""COMPUTED_VALUE"""),"nelsonandres.bohorquez-bbva.com")</f>
        <v>nelsonandres.bohorquez-bbva.com</v>
      </c>
      <c r="L46" s="4"/>
      <c r="M46" s="4"/>
      <c r="N46" s="4"/>
      <c r="O46" s="4" t="str">
        <f ca="1">IFERROR(__xludf.DUMMYFUNCTION("""COMPUTED_VALUE"""),"Scrum")</f>
        <v>Scrum</v>
      </c>
      <c r="P46" s="4" t="str">
        <f ca="1">IFERROR(__xludf.DUMMYFUNCTION("""COMPUTED_VALUE"""),"Challenge Team")</f>
        <v>Challenge Team</v>
      </c>
      <c r="Q46" s="4"/>
      <c r="R46" s="130" t="str">
        <f ca="1">IFERROR(__xludf.DUMMYFUNCTION("""COMPUTED_VALUE"""),"Execution Capabilities")</f>
        <v>Execution Capabilities</v>
      </c>
      <c r="S46" s="130" t="str">
        <f ca="1">IFERROR(__xludf.DUMMYFUNCTION("""COMPUTED_VALUE"""),"Strategic Review")</f>
        <v>Strategic Review</v>
      </c>
      <c r="T46" s="130" t="str">
        <f ca="1">IFERROR(__xludf.DUMMYFUNCTION("""COMPUTED_VALUE"""),"2. Modelo de relación y distribución")</f>
        <v>2. Modelo de relación y distribución</v>
      </c>
      <c r="U46" s="130" t="str">
        <f ca="1">IFERROR(__xludf.DUMMYFUNCTION("""COMPUTED_VALUE"""),"2.3. Herramientas de la Red")</f>
        <v>2.3. Herramientas de la Red</v>
      </c>
      <c r="V46" s="4" t="str">
        <f ca="1">IFERROR(__xludf.DUMMYFUNCTION("""COMPUTED_VALUE"""),"CRM")</f>
        <v>CRM</v>
      </c>
      <c r="W46" s="4">
        <f ca="1">IFERROR(__xludf.DUMMYFUNCTION("""COMPUTED_VALUE"""),1)</f>
        <v>1</v>
      </c>
      <c r="X46" s="4" t="str">
        <f ca="1">IFERROR(__xludf.DUMMYFUNCTION("""COMPUTED_VALUE"""),"09. Data")</f>
        <v>09. Data</v>
      </c>
      <c r="Y46" s="4" t="str">
        <f ca="1">IFERROR(__xludf.DUMMYFUNCTION("""COMPUTED_VALUE"""),"5.6.5 CRM")</f>
        <v>5.6.5 CRM</v>
      </c>
      <c r="Z46" s="132" t="str">
        <f ca="1">IFERROR(__xludf.DUMMYFUNCTION("""COMPUTED_VALUE"""),"514816")</f>
        <v>514816</v>
      </c>
      <c r="AA46" s="4" t="str">
        <f ca="1">IFERROR(__xludf.DUMMYFUNCTION("""COMPUTED_VALUE"""),"Transaccionalidad Oficinas")</f>
        <v>Transaccionalidad Oficinas</v>
      </c>
      <c r="AB46" s="4" t="str">
        <f ca="1">IFERROR(__xludf.DUMMYFUNCTION("""COMPUTED_VALUE"""),"Disponibilizar los informes de seguimiento a la transaccionalidad de las oficinas.")</f>
        <v>Disponibilizar los informes de seguimiento a la transaccionalidad de las oficinas.</v>
      </c>
      <c r="AC46" s="4" t="str">
        <f ca="1">IFERROR(__xludf.DUMMYFUNCTION("""COMPUTED_VALUE"""),"4Q 2023")</f>
        <v>4Q 2023</v>
      </c>
      <c r="AD46" s="128">
        <f ca="1">IFERROR(__xludf.DUMMYFUNCTION("""COMPUTED_VALUE"""),44809)</f>
        <v>44809</v>
      </c>
      <c r="AE46" s="128">
        <f ca="1">IFERROR(__xludf.DUMMYFUNCTION("""COMPUTED_VALUE"""),44834)</f>
        <v>44834</v>
      </c>
      <c r="AF46" s="128">
        <f ca="1">IFERROR(__xludf.DUMMYFUNCTION("""COMPUTED_VALUE"""),44839)</f>
        <v>44839</v>
      </c>
      <c r="AG46" s="129">
        <f ca="1">IFERROR(__xludf.DUMMYFUNCTION("""COMPUTED_VALUE"""),44974)</f>
        <v>44974</v>
      </c>
      <c r="AH46" s="129">
        <f ca="1">IFERROR(__xludf.DUMMYFUNCTION("""COMPUTED_VALUE"""),44977)</f>
        <v>44977</v>
      </c>
      <c r="AI46" s="128">
        <f ca="1">IFERROR(__xludf.DUMMYFUNCTION("""COMPUTED_VALUE"""),44988)</f>
        <v>44988</v>
      </c>
      <c r="AJ46" s="129">
        <f ca="1">IFERROR(__xludf.DUMMYFUNCTION("""COMPUTED_VALUE"""),45016)</f>
        <v>45016</v>
      </c>
      <c r="AK46" s="4" t="str">
        <f ca="1">IFERROR(__xludf.DUMMYFUNCTION("""COMPUTED_VALUE"""),"Sin asignar")</f>
        <v>Sin asignar</v>
      </c>
      <c r="AL46" s="4" t="str">
        <f ca="1">IFERROR(__xludf.DUMMYFUNCTION("""COMPUTED_VALUE"""),"Sin asignar")</f>
        <v>Sin asignar</v>
      </c>
      <c r="AM46" s="4"/>
      <c r="AN46" s="4" t="str">
        <f ca="1">IFERROR(__xludf.DUMMYFUNCTION("""COMPUTED_VALUE"""),"Entregable en backlog")</f>
        <v>Entregable en backlog</v>
      </c>
      <c r="AO46" s="4" t="str">
        <f ca="1">IFERROR(__xludf.DUMMYFUNCTION("""COMPUTED_VALUE"""),"Transformación de la Red")</f>
        <v>Transformación de la Red</v>
      </c>
      <c r="AP46" s="4"/>
      <c r="AQ46" s="4"/>
      <c r="AR46" s="4" t="str">
        <f ca="1">IFERROR(__xludf.DUMMYFUNCTION("""COMPUTED_VALUE"""),"SDA aprobada en PPP Q1 2023")</f>
        <v>SDA aprobada en PPP Q1 2023</v>
      </c>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row>
    <row r="47" spans="1:132" x14ac:dyDescent="0.2">
      <c r="A47" s="4">
        <f ca="1">IFERROR(__xludf.DUMMYFUNCTION("""COMPUTED_VALUE"""),47)</f>
        <v>47</v>
      </c>
      <c r="B47" s="4">
        <f ca="1">IFERROR(__xludf.DUMMYFUNCTION("""COMPUTED_VALUE"""),39)</f>
        <v>39</v>
      </c>
      <c r="C47" s="4" t="str">
        <f ca="1">IFERROR(__xludf.DUMMYFUNCTION("""COMPUTED_VALUE"""),"SDATOOL-39842")</f>
        <v>SDATOOL-39842</v>
      </c>
      <c r="D47" s="4" t="str">
        <f ca="1">IFERROR(__xludf.DUMMYFUNCTION("""COMPUTED_VALUE"""),"Plan CRM: Nueva plataforma para disponibilizar informes de gestión para las redes")</f>
        <v>Plan CRM: Nueva plataforma para disponibilizar informes de gestión para las redes</v>
      </c>
      <c r="E47"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7" s="4" t="str">
        <f ca="1">IFERROR(__xludf.DUMMYFUNCTION("""COMPUTED_VALUE"""),"Project")</f>
        <v>Project</v>
      </c>
      <c r="G47" s="4" t="str">
        <f ca="1">IFERROR(__xludf.DUMMYFUNCTION("""COMPUTED_VALUE"""),"Stock")</f>
        <v>Stock</v>
      </c>
      <c r="H47" s="4" t="str">
        <f ca="1">IFERROR(__xludf.DUMMYFUNCTION("""COMPUTED_VALUE"""),"1Q 2024")</f>
        <v>1Q 2024</v>
      </c>
      <c r="I47" s="131" t="str">
        <f ca="1">IFERROR(__xludf.DUMMYFUNCTION("""COMPUTED_VALUE"""),"ana.santamaria-bbva.com")</f>
        <v>ana.santamaria-bbva.com</v>
      </c>
      <c r="J47" s="131" t="str">
        <f ca="1">IFERROR(__xludf.DUMMYFUNCTION("""COMPUTED_VALUE"""),"rodrigo.ardila-bbva.com")</f>
        <v>rodrigo.ardila-bbva.com</v>
      </c>
      <c r="K47" s="131" t="str">
        <f ca="1">IFERROR(__xludf.DUMMYFUNCTION("""COMPUTED_VALUE"""),"nelsonandres.bohorquez-bbva.com")</f>
        <v>nelsonandres.bohorquez-bbva.com</v>
      </c>
      <c r="L47" s="4"/>
      <c r="M47" s="4"/>
      <c r="N47" s="4"/>
      <c r="O47" s="4" t="str">
        <f ca="1">IFERROR(__xludf.DUMMYFUNCTION("""COMPUTED_VALUE"""),"Scrum")</f>
        <v>Scrum</v>
      </c>
      <c r="P47" s="4" t="str">
        <f ca="1">IFERROR(__xludf.DUMMYFUNCTION("""COMPUTED_VALUE"""),"Challenge Team")</f>
        <v>Challenge Team</v>
      </c>
      <c r="Q47" s="4"/>
      <c r="R47" s="130" t="str">
        <f ca="1">IFERROR(__xludf.DUMMYFUNCTION("""COMPUTED_VALUE"""),"Execution Capabilities")</f>
        <v>Execution Capabilities</v>
      </c>
      <c r="S47" s="130" t="str">
        <f ca="1">IFERROR(__xludf.DUMMYFUNCTION("""COMPUTED_VALUE"""),"Strategic Review")</f>
        <v>Strategic Review</v>
      </c>
      <c r="T47" s="130" t="str">
        <f ca="1">IFERROR(__xludf.DUMMYFUNCTION("""COMPUTED_VALUE"""),"2. Modelo de relación y distribución")</f>
        <v>2. Modelo de relación y distribución</v>
      </c>
      <c r="U47" s="130" t="str">
        <f ca="1">IFERROR(__xludf.DUMMYFUNCTION("""COMPUTED_VALUE"""),"2.3. Herramientas de la Red")</f>
        <v>2.3. Herramientas de la Red</v>
      </c>
      <c r="V47" s="4" t="str">
        <f ca="1">IFERROR(__xludf.DUMMYFUNCTION("""COMPUTED_VALUE"""),"CRM")</f>
        <v>CRM</v>
      </c>
      <c r="W47" s="4">
        <f ca="1">IFERROR(__xludf.DUMMYFUNCTION("""COMPUTED_VALUE"""),1)</f>
        <v>1</v>
      </c>
      <c r="X47" s="4" t="str">
        <f ca="1">IFERROR(__xludf.DUMMYFUNCTION("""COMPUTED_VALUE"""),"09. Data")</f>
        <v>09. Data</v>
      </c>
      <c r="Y47" s="4" t="str">
        <f ca="1">IFERROR(__xludf.DUMMYFUNCTION("""COMPUTED_VALUE"""),"5.6.5 CRM")</f>
        <v>5.6.5 CRM</v>
      </c>
      <c r="Z47" s="132" t="str">
        <f ca="1">IFERROR(__xludf.DUMMYFUNCTION("""COMPUTED_VALUE"""),"514815")</f>
        <v>514815</v>
      </c>
      <c r="AA47" s="4" t="str">
        <f ca="1">IFERROR(__xludf.DUMMYFUNCTION("""COMPUTED_VALUE"""),"Saldos")</f>
        <v>Saldos</v>
      </c>
      <c r="AB47" s="4" t="str">
        <f ca="1">IFERROR(__xludf.DUMMYFUNCTION("""COMPUTED_VALUE"""),"Disponibilizar los informes de seguimiento a los saldos de las diferentes Bancas.")</f>
        <v>Disponibilizar los informes de seguimiento a los saldos de las diferentes Bancas.</v>
      </c>
      <c r="AC47" s="4" t="str">
        <f ca="1">IFERROR(__xludf.DUMMYFUNCTION("""COMPUTED_VALUE"""),"3Q 2023")</f>
        <v>3Q 2023</v>
      </c>
      <c r="AD47" s="128">
        <f ca="1">IFERROR(__xludf.DUMMYFUNCTION("""COMPUTED_VALUE"""),44809)</f>
        <v>44809</v>
      </c>
      <c r="AE47" s="128">
        <f ca="1">IFERROR(__xludf.DUMMYFUNCTION("""COMPUTED_VALUE"""),44834)</f>
        <v>44834</v>
      </c>
      <c r="AF47" s="128">
        <f ca="1">IFERROR(__xludf.DUMMYFUNCTION("""COMPUTED_VALUE"""),44839)</f>
        <v>44839</v>
      </c>
      <c r="AG47" s="129">
        <f ca="1">IFERROR(__xludf.DUMMYFUNCTION("""COMPUTED_VALUE"""),44974)</f>
        <v>44974</v>
      </c>
      <c r="AH47" s="129">
        <f ca="1">IFERROR(__xludf.DUMMYFUNCTION("""COMPUTED_VALUE"""),44977)</f>
        <v>44977</v>
      </c>
      <c r="AI47" s="128">
        <f ca="1">IFERROR(__xludf.DUMMYFUNCTION("""COMPUTED_VALUE"""),44988)</f>
        <v>44988</v>
      </c>
      <c r="AJ47" s="129">
        <f ca="1">IFERROR(__xludf.DUMMYFUNCTION("""COMPUTED_VALUE"""),45016)</f>
        <v>45016</v>
      </c>
      <c r="AK47" s="131" t="str">
        <f ca="1">IFERROR(__xludf.DUMMYFUNCTION("""COMPUTED_VALUE"""),"COLWSDATIO-3188")</f>
        <v>COLWSDATIO-3188</v>
      </c>
      <c r="AL47" s="4" t="str">
        <f ca="1">IFERROR(__xludf.DUMMYFUNCTION("""COMPUTED_VALUE"""),"New")</f>
        <v>New</v>
      </c>
      <c r="AM47" s="4"/>
      <c r="AN47" s="4" t="str">
        <f ca="1">IFERROR(__xludf.DUMMYFUNCTION("""COMPUTED_VALUE"""),"Entregable en backlog")</f>
        <v>Entregable en backlog</v>
      </c>
      <c r="AO47" s="4" t="str">
        <f ca="1">IFERROR(__xludf.DUMMYFUNCTION("""COMPUTED_VALUE"""),"Transformación de la Red")</f>
        <v>Transformación de la Red</v>
      </c>
      <c r="AP47" s="4"/>
      <c r="AQ47" s="4"/>
      <c r="AR47" s="4" t="str">
        <f ca="1">IFERROR(__xludf.DUMMYFUNCTION("""COMPUTED_VALUE"""),"SDA aprobada en PPP Q1 2023")</f>
        <v>SDA aprobada en PPP Q1 2023</v>
      </c>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row>
    <row r="48" spans="1:132" x14ac:dyDescent="0.2">
      <c r="A48" s="4">
        <f ca="1">IFERROR(__xludf.DUMMYFUNCTION("""COMPUTED_VALUE"""),48)</f>
        <v>48</v>
      </c>
      <c r="B48" s="4"/>
      <c r="C48" s="4" t="str">
        <f ca="1">IFERROR(__xludf.DUMMYFUNCTION("""COMPUTED_VALUE"""),"SDATOOL-39842")</f>
        <v>SDATOOL-39842</v>
      </c>
      <c r="D48" s="4" t="str">
        <f ca="1">IFERROR(__xludf.DUMMYFUNCTION("""COMPUTED_VALUE"""),"Plan CRM: Nueva plataforma para disponibilizar informes de gestión para las redes")</f>
        <v>Plan CRM: Nueva plataforma para disponibilizar informes de gestión para las redes</v>
      </c>
      <c r="E48"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8" s="4" t="str">
        <f ca="1">IFERROR(__xludf.DUMMYFUNCTION("""COMPUTED_VALUE"""),"Project")</f>
        <v>Project</v>
      </c>
      <c r="G48" s="4" t="str">
        <f ca="1">IFERROR(__xludf.DUMMYFUNCTION("""COMPUTED_VALUE"""),"Stock")</f>
        <v>Stock</v>
      </c>
      <c r="H48" s="4" t="str">
        <f ca="1">IFERROR(__xludf.DUMMYFUNCTION("""COMPUTED_VALUE"""),"1Q 2024")</f>
        <v>1Q 2024</v>
      </c>
      <c r="I48" s="131" t="str">
        <f ca="1">IFERROR(__xludf.DUMMYFUNCTION("""COMPUTED_VALUE"""),"ana.santamaria-bbva.com")</f>
        <v>ana.santamaria-bbva.com</v>
      </c>
      <c r="J48" s="131" t="str">
        <f ca="1">IFERROR(__xludf.DUMMYFUNCTION("""COMPUTED_VALUE"""),"rodrigo.ardila-bbva.com")</f>
        <v>rodrigo.ardila-bbva.com</v>
      </c>
      <c r="K48" s="131" t="str">
        <f ca="1">IFERROR(__xludf.DUMMYFUNCTION("""COMPUTED_VALUE"""),"nelsonandres.bohorquez-bbva.com")</f>
        <v>nelsonandres.bohorquez-bbva.com</v>
      </c>
      <c r="L48" s="4"/>
      <c r="M48" s="4"/>
      <c r="N48" s="4"/>
      <c r="O48" s="4" t="str">
        <f ca="1">IFERROR(__xludf.DUMMYFUNCTION("""COMPUTED_VALUE"""),"Scrum")</f>
        <v>Scrum</v>
      </c>
      <c r="P48" s="4" t="str">
        <f ca="1">IFERROR(__xludf.DUMMYFUNCTION("""COMPUTED_VALUE"""),"Challenge Team")</f>
        <v>Challenge Team</v>
      </c>
      <c r="Q48" s="4"/>
      <c r="R48" s="130" t="str">
        <f ca="1">IFERROR(__xludf.DUMMYFUNCTION("""COMPUTED_VALUE"""),"Execution Capabilities")</f>
        <v>Execution Capabilities</v>
      </c>
      <c r="S48" s="130" t="str">
        <f ca="1">IFERROR(__xludf.DUMMYFUNCTION("""COMPUTED_VALUE"""),"Strategic Review")</f>
        <v>Strategic Review</v>
      </c>
      <c r="T48" s="130" t="str">
        <f ca="1">IFERROR(__xludf.DUMMYFUNCTION("""COMPUTED_VALUE"""),"2. Modelo de relación y distribución")</f>
        <v>2. Modelo de relación y distribución</v>
      </c>
      <c r="U48" s="130" t="str">
        <f ca="1">IFERROR(__xludf.DUMMYFUNCTION("""COMPUTED_VALUE"""),"2.3. Herramientas de la Red")</f>
        <v>2.3. Herramientas de la Red</v>
      </c>
      <c r="V48" s="4" t="str">
        <f ca="1">IFERROR(__xludf.DUMMYFUNCTION("""COMPUTED_VALUE"""),"CRM")</f>
        <v>CRM</v>
      </c>
      <c r="W48" s="4">
        <f ca="1">IFERROR(__xludf.DUMMYFUNCTION("""COMPUTED_VALUE"""),1)</f>
        <v>1</v>
      </c>
      <c r="X48" s="4" t="str">
        <f ca="1">IFERROR(__xludf.DUMMYFUNCTION("""COMPUTED_VALUE"""),"09. Data")</f>
        <v>09. Data</v>
      </c>
      <c r="Y48" s="4" t="str">
        <f ca="1">IFERROR(__xludf.DUMMYFUNCTION("""COMPUTED_VALUE"""),"5.6.5 CRM")</f>
        <v>5.6.5 CRM</v>
      </c>
      <c r="Z48" s="132" t="str">
        <f ca="1">IFERROR(__xludf.DUMMYFUNCTION("""COMPUTED_VALUE"""),"773977")</f>
        <v>773977</v>
      </c>
      <c r="AA48" s="4" t="str">
        <f ca="1">IFERROR(__xludf.DUMMYFUNCTION("""COMPUTED_VALUE"""),"Informes de Facturación V2")</f>
        <v>Informes de Facturación V2</v>
      </c>
      <c r="AB48" s="4" t="str">
        <f ca="1">IFERROR(__xludf.DUMMYFUNCTION("""COMPUTED_VALUE"""),"Informes de Facturación V2")</f>
        <v>Informes de Facturación V2</v>
      </c>
      <c r="AC48" s="4" t="str">
        <f ca="1">IFERROR(__xludf.DUMMYFUNCTION("""COMPUTED_VALUE"""),"2Q 2023")</f>
        <v>2Q 2023</v>
      </c>
      <c r="AD48" s="4"/>
      <c r="AE48" s="4"/>
      <c r="AF48" s="4"/>
      <c r="AG48" s="4"/>
      <c r="AH48" s="4"/>
      <c r="AI48" s="4"/>
      <c r="AJ48" s="4"/>
      <c r="AK48" s="4" t="str">
        <f ca="1">IFERROR(__xludf.DUMMYFUNCTION("""COMPUTED_VALUE"""),"Sin asignar")</f>
        <v>Sin asignar</v>
      </c>
      <c r="AL48" s="4" t="str">
        <f ca="1">IFERROR(__xludf.DUMMYFUNCTION("""COMPUTED_VALUE"""),"Sin asignar")</f>
        <v>Sin asignar</v>
      </c>
      <c r="AM48" s="4"/>
      <c r="AN48" s="4" t="str">
        <f ca="1">IFERROR(__xludf.DUMMYFUNCTION("""COMPUTED_VALUE"""),"Entregable en backlog")</f>
        <v>Entregable en backlog</v>
      </c>
      <c r="AO48" s="4" t="str">
        <f ca="1">IFERROR(__xludf.DUMMYFUNCTION("""COMPUTED_VALUE"""),"Transformación de la Red")</f>
        <v>Transformación de la Red</v>
      </c>
      <c r="AP48" s="4"/>
      <c r="AQ48" s="4"/>
      <c r="AR48" s="4" t="str">
        <f ca="1">IFERROR(__xludf.DUMMYFUNCTION("""COMPUTED_VALUE"""),"SDA aprobada en PPP Q1 2023")</f>
        <v>SDA aprobada en PPP Q1 2023</v>
      </c>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row>
    <row r="49" spans="1:132" x14ac:dyDescent="0.2">
      <c r="A49" s="4">
        <f ca="1">IFERROR(__xludf.DUMMYFUNCTION("""COMPUTED_VALUE"""),49)</f>
        <v>49</v>
      </c>
      <c r="B49" s="4">
        <f ca="1">IFERROR(__xludf.DUMMYFUNCTION("""COMPUTED_VALUE"""),40)</f>
        <v>40</v>
      </c>
      <c r="C49" s="4" t="str">
        <f ca="1">IFERROR(__xludf.DUMMYFUNCTION("""COMPUTED_VALUE"""),"SDATOOL-39870")</f>
        <v>SDATOOL-39870</v>
      </c>
      <c r="D49" s="4" t="str">
        <f ca="1">IFERROR(__xludf.DUMMYFUNCTION("""COMPUTED_VALUE"""),"Front - Unificación de pantallas Contac Center")</f>
        <v>Front - Unificación de pantallas Contac Center</v>
      </c>
      <c r="E49" s="4" t="str">
        <f ca="1">IFERROR(__xludf.DUMMYFUNCTION("""COMPUTED_VALUE"""),"Se requiere de una pantalla única de consulta para los call center, con el fin de obtener de manera automática la información del cliente una vez este a contactado a BBVA para solicitar información.")</f>
        <v>Se requiere de una pantalla única de consulta para los call center, con el fin de obtener de manera automática la información del cliente una vez este a contactado a BBVA para solicitar información.</v>
      </c>
      <c r="F49" s="4" t="str">
        <f ca="1">IFERROR(__xludf.DUMMYFUNCTION("""COMPUTED_VALUE"""),"Project")</f>
        <v>Project</v>
      </c>
      <c r="G49" s="4" t="str">
        <f ca="1">IFERROR(__xludf.DUMMYFUNCTION("""COMPUTED_VALUE"""),"Stock")</f>
        <v>Stock</v>
      </c>
      <c r="H49" s="4" t="str">
        <f ca="1">IFERROR(__xludf.DUMMYFUNCTION("""COMPUTED_VALUE"""),"2Q 2024")</f>
        <v>2Q 2024</v>
      </c>
      <c r="I49" s="131" t="str">
        <f ca="1">IFERROR(__xludf.DUMMYFUNCTION("""COMPUTED_VALUE"""),"jimy.catolico-bbva.com")</f>
        <v>jimy.catolico-bbva.com</v>
      </c>
      <c r="J49" s="131" t="str">
        <f ca="1">IFERROR(__xludf.DUMMYFUNCTION("""COMPUTED_VALUE"""),"carlosalbert.perez-bbva.com")</f>
        <v>carlosalbert.perez-bbva.com</v>
      </c>
      <c r="K49" s="131" t="str">
        <f ca="1">IFERROR(__xludf.DUMMYFUNCTION("""COMPUTED_VALUE"""),"william.paez-bbva.com")</f>
        <v>william.paez-bbva.com</v>
      </c>
      <c r="L49" s="130">
        <f ca="1">IFERROR(__xludf.DUMMYFUNCTION("""COMPUTED_VALUE"""),1)</f>
        <v>1</v>
      </c>
      <c r="M49" s="130">
        <f ca="1">IFERROR(__xludf.DUMMYFUNCTION("""COMPUTED_VALUE"""),1)</f>
        <v>1</v>
      </c>
      <c r="N49" s="130">
        <f ca="1">IFERROR(__xludf.DUMMYFUNCTION("""COMPUTED_VALUE"""),4.02)</f>
        <v>4.0199999999999996</v>
      </c>
      <c r="O49" s="4" t="str">
        <f ca="1">IFERROR(__xludf.DUMMYFUNCTION("""COMPUTED_VALUE"""),"Scrum")</f>
        <v>Scrum</v>
      </c>
      <c r="P49" s="4" t="str">
        <f ca="1">IFERROR(__xludf.DUMMYFUNCTION("""COMPUTED_VALUE"""),"Naxos")</f>
        <v>Naxos</v>
      </c>
      <c r="Q49" s="130">
        <f ca="1">IFERROR(__xludf.DUMMYFUNCTION("""COMPUTED_VALUE"""),1)</f>
        <v>1</v>
      </c>
      <c r="R49" s="130" t="str">
        <f ca="1">IFERROR(__xludf.DUMMYFUNCTION("""COMPUTED_VALUE"""),"Execution Capabilities")</f>
        <v>Execution Capabilities</v>
      </c>
      <c r="S49" s="130" t="str">
        <f ca="1">IFERROR(__xludf.DUMMYFUNCTION("""COMPUTED_VALUE"""),"Area Review")</f>
        <v>Area Review</v>
      </c>
      <c r="T49" s="130" t="str">
        <f ca="1">IFERROR(__xludf.DUMMYFUNCTION("""COMPUTED_VALUE"""),"Generación de Eficiencias")</f>
        <v>Generación de Eficiencias</v>
      </c>
      <c r="U49" s="130" t="str">
        <f ca="1">IFERROR(__xludf.DUMMYFUNCTION("""COMPUTED_VALUE"""),"No Aplica")</f>
        <v>No Aplica</v>
      </c>
      <c r="V49" s="4" t="str">
        <f ca="1">IFERROR(__xludf.DUMMYFUNCTION("""COMPUTED_VALUE"""),"Callcenter")</f>
        <v>Callcenter</v>
      </c>
      <c r="W49" s="4">
        <f ca="1">IFERROR(__xludf.DUMMYFUNCTION("""COMPUTED_VALUE"""),3)</f>
        <v>3</v>
      </c>
      <c r="X49" s="4" t="str">
        <f ca="1">IFERROR(__xludf.DUMMYFUNCTION("""COMPUTED_VALUE"""),"04. Relationship Models")</f>
        <v>04. Relationship Models</v>
      </c>
      <c r="Y49" s="4" t="str">
        <f ca="1">IFERROR(__xludf.DUMMYFUNCTION("""COMPUTED_VALUE"""),"5.6.1 RM - Retail")</f>
        <v>5.6.1 RM - Retail</v>
      </c>
      <c r="Z49" s="132" t="str">
        <f ca="1">IFERROR(__xludf.DUMMYFUNCTION("""COMPUTED_VALUE"""),"558008")</f>
        <v>558008</v>
      </c>
      <c r="AA49" s="4" t="str">
        <f ca="1">IFERROR(__xludf.DUMMYFUNCTION("""COMPUTED_VALUE"""),"Front - unificación de pantallas contact center")</f>
        <v>Front - unificación de pantallas contact center</v>
      </c>
      <c r="AB49" s="4" t="str">
        <f ca="1">IFERROR(__xludf.DUMMYFUNCTION("""COMPUTED_VALUE"""),"""Actualmente contamos proveedores que prestan el servicio de contact center tanto en operaciones inbound, como outbound. A estos proveedores se les paga el resultado de la gestión por tiempo al aire (minuto, hora). Los asesores en proveedores en su opera"&amp;"ción diaria, deben consultar aproximadamente 84 pantallas diferentes en aplicación banco 3270, lo que consume aproximadamente un 11% del total del tiempo de llamada (6,8 minutos promedio).")</f>
        <v>"Actualmente contamos proveedores que prestan el servicio de contact center tanto en operaciones inbound, como outbound. A estos proveedores se les paga el resultado de la gestión por tiempo al aire (minuto, hora). Los asesores en proveedores en su operación diaria, deben consultar aproximadamente 84 pantallas diferentes en aplicación banco 3270, lo que consume aproximadamente un 11% del total del tiempo de llamada (6,8 minutos promedio).</v>
      </c>
      <c r="AC49" s="4" t="str">
        <f ca="1">IFERROR(__xludf.DUMMYFUNCTION("""COMPUTED_VALUE"""),"3Q 2023")</f>
        <v>3Q 2023</v>
      </c>
      <c r="AD49" s="128">
        <f ca="1">IFERROR(__xludf.DUMMYFUNCTION("""COMPUTED_VALUE"""),44805)</f>
        <v>44805</v>
      </c>
      <c r="AE49" s="128">
        <f ca="1">IFERROR(__xludf.DUMMYFUNCTION("""COMPUTED_VALUE"""),44865)</f>
        <v>44865</v>
      </c>
      <c r="AF49" s="128">
        <f ca="1">IFERROR(__xludf.DUMMYFUNCTION("""COMPUTED_VALUE"""),44866)</f>
        <v>44866</v>
      </c>
      <c r="AG49" s="128">
        <f ca="1">IFERROR(__xludf.DUMMYFUNCTION("""COMPUTED_VALUE"""),45381)</f>
        <v>45381</v>
      </c>
      <c r="AH49" s="128">
        <f ca="1">IFERROR(__xludf.DUMMYFUNCTION("""COMPUTED_VALUE"""),45383)</f>
        <v>45383</v>
      </c>
      <c r="AI49" s="128">
        <f ca="1">IFERROR(__xludf.DUMMYFUNCTION("""COMPUTED_VALUE"""),45412)</f>
        <v>45412</v>
      </c>
      <c r="AJ49" s="128">
        <f ca="1">IFERROR(__xludf.DUMMYFUNCTION("""COMPUTED_VALUE"""),45423)</f>
        <v>45423</v>
      </c>
      <c r="AK49" s="131" t="str">
        <f ca="1">IFERROR(__xludf.DUMMYFUNCTION("""COMPUTED_VALUE"""),"COLWSCANAL-14855")</f>
        <v>COLWSCANAL-14855</v>
      </c>
      <c r="AL49" s="4" t="str">
        <f ca="1">IFERROR(__xludf.DUMMYFUNCTION("""COMPUTED_VALUE"""),"New")</f>
        <v>New</v>
      </c>
      <c r="AM49" s="4"/>
      <c r="AN49" s="4" t="str">
        <f ca="1">IFERROR(__xludf.DUMMYFUNCTION("""COMPUTED_VALUE"""),"Entregable en desarrollo")</f>
        <v>Entregable en desarrollo</v>
      </c>
      <c r="AO49" s="4"/>
      <c r="AP49" s="4"/>
      <c r="AQ49" s="4"/>
      <c r="AR49" s="4" t="str">
        <f ca="1">IFERROR(__xludf.DUMMYFUNCTION("""COMPUTED_VALUE"""),"SDA aprobada en PPP Q1 2023")</f>
        <v>SDA aprobada en PPP Q1 2023</v>
      </c>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133">
        <f ca="1">IFERROR(__xludf.DUMMYFUNCTION("""COMPUTED_VALUE"""),0)</f>
        <v>0</v>
      </c>
      <c r="DV49" s="133">
        <f ca="1">IFERROR(__xludf.DUMMYFUNCTION("""COMPUTED_VALUE"""),0)</f>
        <v>0</v>
      </c>
      <c r="DW49" s="133">
        <f ca="1">IFERROR(__xludf.DUMMYFUNCTION("""COMPUTED_VALUE"""),49585745)</f>
        <v>49585745</v>
      </c>
      <c r="DX49" s="133">
        <f ca="1">IFERROR(__xludf.DUMMYFUNCTION("""COMPUTED_VALUE"""),650209706)</f>
        <v>650209706</v>
      </c>
      <c r="DY49" s="133">
        <f ca="1">IFERROR(__xludf.DUMMYFUNCTION("""COMPUTED_VALUE"""),200000000)</f>
        <v>200000000</v>
      </c>
      <c r="DZ49" s="133">
        <f ca="1">IFERROR(__xludf.DUMMYFUNCTION("""COMPUTED_VALUE"""),899795451)</f>
        <v>899795451</v>
      </c>
      <c r="EA49" s="4"/>
      <c r="EB49" s="4"/>
    </row>
    <row r="50" spans="1:132" x14ac:dyDescent="0.2">
      <c r="A50" s="4">
        <f ca="1">IFERROR(__xludf.DUMMYFUNCTION("""COMPUTED_VALUE"""),50)</f>
        <v>50</v>
      </c>
      <c r="B50" s="4">
        <f ca="1">IFERROR(__xludf.DUMMYFUNCTION("""COMPUTED_VALUE"""),41)</f>
        <v>41</v>
      </c>
      <c r="C50" s="4" t="str">
        <f ca="1">IFERROR(__xludf.DUMMYFUNCTION("""COMPUTED_VALUE"""),"SDATOOL-39870")</f>
        <v>SDATOOL-39870</v>
      </c>
      <c r="D50" s="4" t="str">
        <f ca="1">IFERROR(__xludf.DUMMYFUNCTION("""COMPUTED_VALUE"""),"Front - Unificación de pantallas Contac Center")</f>
        <v>Front - Unificación de pantallas Contac Center</v>
      </c>
      <c r="E50" s="4" t="str">
        <f ca="1">IFERROR(__xludf.DUMMYFUNCTION("""COMPUTED_VALUE"""),"Se requiere de una pantalla única de consulta para los call center, con el fin de obtener de manera automática la información del cliente una vez este a contactado a BBVA para solicitar información.")</f>
        <v>Se requiere de una pantalla única de consulta para los call center, con el fin de obtener de manera automática la información del cliente una vez este a contactado a BBVA para solicitar información.</v>
      </c>
      <c r="F50" s="4" t="str">
        <f ca="1">IFERROR(__xludf.DUMMYFUNCTION("""COMPUTED_VALUE"""),"Project")</f>
        <v>Project</v>
      </c>
      <c r="G50" s="4" t="str">
        <f ca="1">IFERROR(__xludf.DUMMYFUNCTION("""COMPUTED_VALUE"""),"Stock")</f>
        <v>Stock</v>
      </c>
      <c r="H50" s="4" t="str">
        <f ca="1">IFERROR(__xludf.DUMMYFUNCTION("""COMPUTED_VALUE"""),"2Q 2024")</f>
        <v>2Q 2024</v>
      </c>
      <c r="I50" s="131" t="str">
        <f ca="1">IFERROR(__xludf.DUMMYFUNCTION("""COMPUTED_VALUE"""),"jimy.catolico-bbva.com")</f>
        <v>jimy.catolico-bbva.com</v>
      </c>
      <c r="J50" s="131" t="str">
        <f ca="1">IFERROR(__xludf.DUMMYFUNCTION("""COMPUTED_VALUE"""),"carlosalbert.perez-bbva.com")</f>
        <v>carlosalbert.perez-bbva.com</v>
      </c>
      <c r="K50" s="131" t="str">
        <f ca="1">IFERROR(__xludf.DUMMYFUNCTION("""COMPUTED_VALUE"""),"william.paez-bbva.com")</f>
        <v>william.paez-bbva.com</v>
      </c>
      <c r="L50" s="4"/>
      <c r="M50" s="4"/>
      <c r="N50" s="4"/>
      <c r="O50" s="4" t="str">
        <f ca="1">IFERROR(__xludf.DUMMYFUNCTION("""COMPUTED_VALUE"""),"Scrum")</f>
        <v>Scrum</v>
      </c>
      <c r="P50" s="4" t="str">
        <f ca="1">IFERROR(__xludf.DUMMYFUNCTION("""COMPUTED_VALUE"""),"Naxos")</f>
        <v>Naxos</v>
      </c>
      <c r="Q50" s="4"/>
      <c r="R50" s="130" t="str">
        <f ca="1">IFERROR(__xludf.DUMMYFUNCTION("""COMPUTED_VALUE"""),"Execution Capabilities")</f>
        <v>Execution Capabilities</v>
      </c>
      <c r="S50" s="130" t="str">
        <f ca="1">IFERROR(__xludf.DUMMYFUNCTION("""COMPUTED_VALUE"""),"Area Review")</f>
        <v>Area Review</v>
      </c>
      <c r="T50" s="130" t="str">
        <f ca="1">IFERROR(__xludf.DUMMYFUNCTION("""COMPUTED_VALUE"""),"Generación de Eficiencias")</f>
        <v>Generación de Eficiencias</v>
      </c>
      <c r="U50" s="130" t="str">
        <f ca="1">IFERROR(__xludf.DUMMYFUNCTION("""COMPUTED_VALUE"""),"No Aplica")</f>
        <v>No Aplica</v>
      </c>
      <c r="V50" s="4" t="str">
        <f ca="1">IFERROR(__xludf.DUMMYFUNCTION("""COMPUTED_VALUE"""),"Callcenter")</f>
        <v>Callcenter</v>
      </c>
      <c r="W50" s="4">
        <f ca="1">IFERROR(__xludf.DUMMYFUNCTION("""COMPUTED_VALUE"""),3)</f>
        <v>3</v>
      </c>
      <c r="X50" s="4" t="str">
        <f ca="1">IFERROR(__xludf.DUMMYFUNCTION("""COMPUTED_VALUE"""),"04. Relationship Models")</f>
        <v>04. Relationship Models</v>
      </c>
      <c r="Y50" s="4" t="str">
        <f ca="1">IFERROR(__xludf.DUMMYFUNCTION("""COMPUTED_VALUE"""),"5.6.1 RM - Retail")</f>
        <v>5.6.1 RM - Retail</v>
      </c>
      <c r="Z50" s="132" t="str">
        <f ca="1">IFERROR(__xludf.DUMMYFUNCTION("""COMPUTED_VALUE"""),"610508")</f>
        <v>610508</v>
      </c>
      <c r="AA50" s="4" t="str">
        <f ca="1">IFERROR(__xludf.DUMMYFUNCTION("""COMPUTED_VALUE"""),"Incremental de información en pantallas")</f>
        <v>Incremental de información en pantallas</v>
      </c>
      <c r="AB50" s="4" t="str">
        <f ca="1">IFERROR(__xludf.DUMMYFUNCTION("""COMPUTED_VALUE"""),"TBD")</f>
        <v>TBD</v>
      </c>
      <c r="AC50" s="4" t="str">
        <f ca="1">IFERROR(__xludf.DUMMYFUNCTION("""COMPUTED_VALUE"""),"4Q 2023")</f>
        <v>4Q 2023</v>
      </c>
      <c r="AD50" s="4"/>
      <c r="AE50" s="4"/>
      <c r="AF50" s="4"/>
      <c r="AG50" s="4"/>
      <c r="AH50" s="4"/>
      <c r="AI50" s="4"/>
      <c r="AJ50" s="4"/>
      <c r="AK50" s="131" t="str">
        <f ca="1">IFERROR(__xludf.DUMMYFUNCTION("""COMPUTED_VALUE"""),"COLWSCANAL-10228")</f>
        <v>COLWSCANAL-10228</v>
      </c>
      <c r="AL50" s="4" t="str">
        <f ca="1">IFERROR(__xludf.DUMMYFUNCTION("""COMPUTED_VALUE"""),"New")</f>
        <v>New</v>
      </c>
      <c r="AM50" s="4"/>
      <c r="AN50" s="4" t="str">
        <f ca="1">IFERROR(__xludf.DUMMYFUNCTION("""COMPUTED_VALUE"""),"Entregable en backlog")</f>
        <v>Entregable en backlog</v>
      </c>
      <c r="AO50" s="4"/>
      <c r="AP50" s="4"/>
      <c r="AQ50" s="4"/>
      <c r="AR50" s="4" t="str">
        <f ca="1">IFERROR(__xludf.DUMMYFUNCTION("""COMPUTED_VALUE"""),"SDA aprobada en PPP Q1 2023")</f>
        <v>SDA aprobada en PPP Q1 2023</v>
      </c>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row>
    <row r="51" spans="1:132" x14ac:dyDescent="0.2">
      <c r="A51" s="4">
        <f ca="1">IFERROR(__xludf.DUMMYFUNCTION("""COMPUTED_VALUE"""),51)</f>
        <v>51</v>
      </c>
      <c r="B51" s="4">
        <f ca="1">IFERROR(__xludf.DUMMYFUNCTION("""COMPUTED_VALUE"""),42)</f>
        <v>42</v>
      </c>
      <c r="C51" s="4" t="str">
        <f ca="1">IFERROR(__xludf.DUMMYFUNCTION("""COMPUTED_VALUE"""),"SDATOOL-37294")</f>
        <v>SDATOOL-37294</v>
      </c>
      <c r="D51" s="4" t="str">
        <f ca="1">IFERROR(__xludf.DUMMYFUNCTION("""COMPUTED_VALUE"""),"Gestión de Tráfico en Oficinas")</f>
        <v>Gestión de Tráfico en Oficinas</v>
      </c>
      <c r="E51"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1" s="4" t="str">
        <f ca="1">IFERROR(__xludf.DUMMYFUNCTION("""COMPUTED_VALUE"""),"Project")</f>
        <v>Project</v>
      </c>
      <c r="G51" s="4" t="str">
        <f ca="1">IFERROR(__xludf.DUMMYFUNCTION("""COMPUTED_VALUE"""),"Stock")</f>
        <v>Stock</v>
      </c>
      <c r="H51" s="4" t="str">
        <f ca="1">IFERROR(__xludf.DUMMYFUNCTION("""COMPUTED_VALUE"""),"1Q 2024")</f>
        <v>1Q 2024</v>
      </c>
      <c r="I51" s="131" t="str">
        <f ca="1">IFERROR(__xludf.DUMMYFUNCTION("""COMPUTED_VALUE"""),"jimy.catolico-bbva.com")</f>
        <v>jimy.catolico-bbva.com</v>
      </c>
      <c r="J51" s="131" t="str">
        <f ca="1">IFERROR(__xludf.DUMMYFUNCTION("""COMPUTED_VALUE"""),"oscar.bejarano-bbva.com")</f>
        <v>oscar.bejarano-bbva.com</v>
      </c>
      <c r="K51" s="131" t="str">
        <f ca="1">IFERROR(__xludf.DUMMYFUNCTION("""COMPUTED_VALUE"""),"yurimilena.moreno-bbva.com")</f>
        <v>yurimilena.moreno-bbva.com</v>
      </c>
      <c r="L51" s="130">
        <f ca="1">IFERROR(__xludf.DUMMYFUNCTION("""COMPUTED_VALUE"""),0.3)</f>
        <v>0.3</v>
      </c>
      <c r="M51" s="130">
        <f ca="1">IFERROR(__xludf.DUMMYFUNCTION("""COMPUTED_VALUE"""),0.5)</f>
        <v>0.5</v>
      </c>
      <c r="N51" s="130">
        <f ca="1">IFERROR(__xludf.DUMMYFUNCTION("""COMPUTED_VALUE"""),0.03)</f>
        <v>0.03</v>
      </c>
      <c r="O51" s="4" t="str">
        <f ca="1">IFERROR(__xludf.DUMMYFUNCTION("""COMPUTED_VALUE"""),"Waterfall")</f>
        <v>Waterfall</v>
      </c>
      <c r="P51" s="4" t="str">
        <f ca="1">IFERROR(__xludf.DUMMYFUNCTION("""COMPUTED_VALUE"""),"Tradicional")</f>
        <v>Tradicional</v>
      </c>
      <c r="Q51" s="4"/>
      <c r="R51" s="130" t="str">
        <f ca="1">IFERROR(__xludf.DUMMYFUNCTION("""COMPUTED_VALUE"""),"Business Innovation &amp; Strategy")</f>
        <v>Business Innovation &amp; Strategy</v>
      </c>
      <c r="S51" s="130" t="str">
        <f ca="1">IFERROR(__xludf.DUMMYFUNCTION("""COMPUTED_VALUE"""),"Area Review")</f>
        <v>Area Review</v>
      </c>
      <c r="T51" s="130" t="str">
        <f ca="1">IFERROR(__xludf.DUMMYFUNCTION("""COMPUTED_VALUE"""),"2. Modelo de relación y distribución")</f>
        <v>2. Modelo de relación y distribución</v>
      </c>
      <c r="U51" s="130" t="str">
        <f ca="1">IFERROR(__xludf.DUMMYFUNCTION("""COMPUTED_VALUE"""),"2.1. Transformación de Oficinas")</f>
        <v>2.1. Transformación de Oficinas</v>
      </c>
      <c r="V51" s="4" t="str">
        <f ca="1">IFERROR(__xludf.DUMMYFUNCTION("""COMPUTED_VALUE"""),"Oficinas")</f>
        <v>Oficinas</v>
      </c>
      <c r="W51" s="4">
        <f ca="1">IFERROR(__xludf.DUMMYFUNCTION("""COMPUTED_VALUE"""),2)</f>
        <v>2</v>
      </c>
      <c r="X51" s="4" t="str">
        <f ca="1">IFERROR(__xludf.DUMMYFUNCTION("""COMPUTED_VALUE"""),"04. Relationship Models")</f>
        <v>04. Relationship Models</v>
      </c>
      <c r="Y51" s="4" t="str">
        <f ca="1">IFERROR(__xludf.DUMMYFUNCTION("""COMPUTED_VALUE"""),"5.6.1 RM - Retail")</f>
        <v>5.6.1 RM - Retail</v>
      </c>
      <c r="Z51" s="132" t="str">
        <f ca="1">IFERROR(__xludf.DUMMYFUNCTION("""COMPUTED_VALUE"""),"369590")</f>
        <v>369590</v>
      </c>
      <c r="AA51" s="4" t="str">
        <f ca="1">IFERROR(__xludf.DUMMYFUNCTION("""COMPUTED_VALUE"""),"Sistema básico de fila para 38 oficinas")</f>
        <v>Sistema básico de fila para 38 oficinas</v>
      </c>
      <c r="AB51" s="4" t="str">
        <f ca="1">IFERROR(__xludf.DUMMYFUNCTION("""COMPUTED_VALUE"""),"Toma de turno con QR, ordenamiento de la fila, ninguna integración.")</f>
        <v>Toma de turno con QR, ordenamiento de la fila, ninguna integración.</v>
      </c>
      <c r="AC51" s="4" t="str">
        <f ca="1">IFERROR(__xludf.DUMMYFUNCTION("""COMPUTED_VALUE"""),"1Q 2023")</f>
        <v>1Q 2023</v>
      </c>
      <c r="AD51" s="128">
        <f ca="1">IFERROR(__xludf.DUMMYFUNCTION("""COMPUTED_VALUE"""),44683)</f>
        <v>44683</v>
      </c>
      <c r="AE51" s="128">
        <f ca="1">IFERROR(__xludf.DUMMYFUNCTION("""COMPUTED_VALUE"""),44772)</f>
        <v>44772</v>
      </c>
      <c r="AF51" s="128">
        <f ca="1">IFERROR(__xludf.DUMMYFUNCTION("""COMPUTED_VALUE"""),44775)</f>
        <v>44775</v>
      </c>
      <c r="AG51" s="128">
        <f ca="1">IFERROR(__xludf.DUMMYFUNCTION("""COMPUTED_VALUE"""),44839)</f>
        <v>44839</v>
      </c>
      <c r="AH51" s="128">
        <f ca="1">IFERROR(__xludf.DUMMYFUNCTION("""COMPUTED_VALUE"""),44895)</f>
        <v>44895</v>
      </c>
      <c r="AI51" s="128">
        <f ca="1">IFERROR(__xludf.DUMMYFUNCTION("""COMPUTED_VALUE"""),44895)</f>
        <v>44895</v>
      </c>
      <c r="AJ51" s="128">
        <f ca="1">IFERROR(__xludf.DUMMYFUNCTION("""COMPUTED_VALUE"""),44957)</f>
        <v>44957</v>
      </c>
      <c r="AK51" s="131" t="str">
        <f ca="1">IFERROR(__xludf.DUMMYFUNCTION("""COMPUTED_VALUE"""),"COLWSCANAL-3088")</f>
        <v>COLWSCANAL-3088</v>
      </c>
      <c r="AL51" s="4" t="str">
        <f ca="1">IFERROR(__xludf.DUMMYFUNCTION("""COMPUTED_VALUE"""),"Analysing")</f>
        <v>Analysing</v>
      </c>
      <c r="AM51" s="4" t="str">
        <f ca="1">IFERROR(__xludf.DUMMYFUNCTION("""COMPUTED_VALUE"""),"""29/04 Se cuenta con conceptos de BPE, Seguridad, MSA en curso cotización actualizada del proveedor para autorización del presupuesto""")</f>
        <v>"29/04 Se cuenta con conceptos de BPE, Seguridad, MSA en curso cotización actualizada del proveedor para autorización del presupuesto"</v>
      </c>
      <c r="AN51" s="4" t="str">
        <f ca="1">IFERROR(__xludf.DUMMYFUNCTION("""COMPUTED_VALUE"""),"Entregable en desarrollo")</f>
        <v>Entregable en desarrollo</v>
      </c>
      <c r="AO51" s="4" t="str">
        <f ca="1">IFERROR(__xludf.DUMMYFUNCTION("""COMPUTED_VALUE"""),"Transformación de la Red")</f>
        <v>Transformación de la Red</v>
      </c>
      <c r="AP51" s="4"/>
      <c r="AQ51" s="4"/>
      <c r="AR51" s="4" t="str">
        <f ca="1">IFERROR(__xludf.DUMMYFUNCTION("""COMPUTED_VALUE"""),"SDA aprobada en PPP Q1 2023")</f>
        <v>SDA aprobada en PPP Q1 2023</v>
      </c>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133">
        <f ca="1">IFERROR(__xludf.DUMMYFUNCTION("""COMPUTED_VALUE"""),0)</f>
        <v>0</v>
      </c>
      <c r="DV51" s="133">
        <f ca="1">IFERROR(__xludf.DUMMYFUNCTION("""COMPUTED_VALUE"""),0)</f>
        <v>0</v>
      </c>
      <c r="DW51" s="133">
        <f ca="1">IFERROR(__xludf.DUMMYFUNCTION("""COMPUTED_VALUE"""),89804894)</f>
        <v>89804894</v>
      </c>
      <c r="DX51" s="133">
        <f ca="1">IFERROR(__xludf.DUMMYFUNCTION("""COMPUTED_VALUE"""),3285429853)</f>
        <v>3285429853</v>
      </c>
      <c r="DY51" s="133">
        <f ca="1">IFERROR(__xludf.DUMMYFUNCTION("""COMPUTED_VALUE"""),0)</f>
        <v>0</v>
      </c>
      <c r="DZ51" s="133">
        <f ca="1">IFERROR(__xludf.DUMMYFUNCTION("""COMPUTED_VALUE"""),3375234747)</f>
        <v>3375234747</v>
      </c>
      <c r="EA51" s="4"/>
      <c r="EB51" s="4"/>
    </row>
    <row r="52" spans="1:132" x14ac:dyDescent="0.2">
      <c r="A52" s="4">
        <f ca="1">IFERROR(__xludf.DUMMYFUNCTION("""COMPUTED_VALUE"""),52)</f>
        <v>52</v>
      </c>
      <c r="B52" s="4">
        <f ca="1">IFERROR(__xludf.DUMMYFUNCTION("""COMPUTED_VALUE"""),43)</f>
        <v>43</v>
      </c>
      <c r="C52" s="4" t="str">
        <f ca="1">IFERROR(__xludf.DUMMYFUNCTION("""COMPUTED_VALUE"""),"SDATOOL-37294")</f>
        <v>SDATOOL-37294</v>
      </c>
      <c r="D52" s="4" t="str">
        <f ca="1">IFERROR(__xludf.DUMMYFUNCTION("""COMPUTED_VALUE"""),"Gestión de Tráfico en Oficinas")</f>
        <v>Gestión de Tráfico en Oficinas</v>
      </c>
      <c r="E52"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2" s="4" t="str">
        <f ca="1">IFERROR(__xludf.DUMMYFUNCTION("""COMPUTED_VALUE"""),"Project")</f>
        <v>Project</v>
      </c>
      <c r="G52" s="4" t="str">
        <f ca="1">IFERROR(__xludf.DUMMYFUNCTION("""COMPUTED_VALUE"""),"Stock")</f>
        <v>Stock</v>
      </c>
      <c r="H52" s="4" t="str">
        <f ca="1">IFERROR(__xludf.DUMMYFUNCTION("""COMPUTED_VALUE"""),"1Q 2024")</f>
        <v>1Q 2024</v>
      </c>
      <c r="I52" s="131" t="str">
        <f ca="1">IFERROR(__xludf.DUMMYFUNCTION("""COMPUTED_VALUE"""),"jimy.catolico-bbva.com")</f>
        <v>jimy.catolico-bbva.com</v>
      </c>
      <c r="J52" s="131" t="str">
        <f ca="1">IFERROR(__xludf.DUMMYFUNCTION("""COMPUTED_VALUE"""),"oscar.bejarano-bbva.com")</f>
        <v>oscar.bejarano-bbva.com</v>
      </c>
      <c r="K52" s="131" t="str">
        <f ca="1">IFERROR(__xludf.DUMMYFUNCTION("""COMPUTED_VALUE"""),"yurimilena.moreno-bbva.com")</f>
        <v>yurimilena.moreno-bbva.com</v>
      </c>
      <c r="L52" s="4"/>
      <c r="M52" s="4"/>
      <c r="N52" s="4"/>
      <c r="O52" s="4" t="str">
        <f ca="1">IFERROR(__xludf.DUMMYFUNCTION("""COMPUTED_VALUE"""),"Waterfall")</f>
        <v>Waterfall</v>
      </c>
      <c r="P52" s="4" t="str">
        <f ca="1">IFERROR(__xludf.DUMMYFUNCTION("""COMPUTED_VALUE"""),"Tradicional")</f>
        <v>Tradicional</v>
      </c>
      <c r="Q52" s="4"/>
      <c r="R52" s="130" t="str">
        <f ca="1">IFERROR(__xludf.DUMMYFUNCTION("""COMPUTED_VALUE"""),"Business Innovation &amp; Strategy")</f>
        <v>Business Innovation &amp; Strategy</v>
      </c>
      <c r="S52" s="130" t="str">
        <f ca="1">IFERROR(__xludf.DUMMYFUNCTION("""COMPUTED_VALUE"""),"Area Review")</f>
        <v>Area Review</v>
      </c>
      <c r="T52" s="130" t="str">
        <f ca="1">IFERROR(__xludf.DUMMYFUNCTION("""COMPUTED_VALUE"""),"2. Modelo de relación y distribución")</f>
        <v>2. Modelo de relación y distribución</v>
      </c>
      <c r="U52" s="130" t="str">
        <f ca="1">IFERROR(__xludf.DUMMYFUNCTION("""COMPUTED_VALUE"""),"2.1. Transformación de Oficinas")</f>
        <v>2.1. Transformación de Oficinas</v>
      </c>
      <c r="V52" s="4" t="str">
        <f ca="1">IFERROR(__xludf.DUMMYFUNCTION("""COMPUTED_VALUE"""),"Oficinas")</f>
        <v>Oficinas</v>
      </c>
      <c r="W52" s="4">
        <f ca="1">IFERROR(__xludf.DUMMYFUNCTION("""COMPUTED_VALUE"""),2)</f>
        <v>2</v>
      </c>
      <c r="X52" s="4" t="str">
        <f ca="1">IFERROR(__xludf.DUMMYFUNCTION("""COMPUTED_VALUE"""),"04. Relationship Models")</f>
        <v>04. Relationship Models</v>
      </c>
      <c r="Y52" s="4" t="str">
        <f ca="1">IFERROR(__xludf.DUMMYFUNCTION("""COMPUTED_VALUE"""),"5.6.1 RM - Retail")</f>
        <v>5.6.1 RM - Retail</v>
      </c>
      <c r="Z52" s="132" t="str">
        <f ca="1">IFERROR(__xludf.DUMMYFUNCTION("""COMPUTED_VALUE"""),"490005")</f>
        <v>490005</v>
      </c>
      <c r="AA52" s="4" t="str">
        <f ca="1">IFERROR(__xludf.DUMMYFUNCTION("""COMPUTED_VALUE"""),"Filtro inteligente y orientación a DIY o Venta")</f>
        <v>Filtro inteligente y orientación a DIY o Venta</v>
      </c>
      <c r="AB52" s="4" t="str">
        <f ca="1">IFERROR(__xludf.DUMMYFUNCTION("""COMPUTED_VALUE"""),"TBD")</f>
        <v>TBD</v>
      </c>
      <c r="AC52" s="4" t="str">
        <f ca="1">IFERROR(__xludf.DUMMYFUNCTION("""COMPUTED_VALUE"""),"4Q 2023")</f>
        <v>4Q 2023</v>
      </c>
      <c r="AD52" s="128">
        <f ca="1">IFERROR(__xludf.DUMMYFUNCTION("""COMPUTED_VALUE"""),45078)</f>
        <v>45078</v>
      </c>
      <c r="AE52" s="128">
        <f ca="1">IFERROR(__xludf.DUMMYFUNCTION("""COMPUTED_VALUE"""),45138)</f>
        <v>45138</v>
      </c>
      <c r="AF52" s="128">
        <f ca="1">IFERROR(__xludf.DUMMYFUNCTION("""COMPUTED_VALUE"""),45139)</f>
        <v>45139</v>
      </c>
      <c r="AG52" s="128">
        <f ca="1">IFERROR(__xludf.DUMMYFUNCTION("""COMPUTED_VALUE"""),45234)</f>
        <v>45234</v>
      </c>
      <c r="AH52" s="128">
        <f ca="1">IFERROR(__xludf.DUMMYFUNCTION("""COMPUTED_VALUE"""),45237)</f>
        <v>45237</v>
      </c>
      <c r="AI52" s="128">
        <f ca="1">IFERROR(__xludf.DUMMYFUNCTION("""COMPUTED_VALUE"""),45260)</f>
        <v>45260</v>
      </c>
      <c r="AJ52" s="128">
        <f ca="1">IFERROR(__xludf.DUMMYFUNCTION("""COMPUTED_VALUE"""),45261)</f>
        <v>45261</v>
      </c>
      <c r="AK52" s="131" t="str">
        <f ca="1">IFERROR(__xludf.DUMMYFUNCTION("""COMPUTED_VALUE"""),"COLWSCANAL-3125")</f>
        <v>COLWSCANAL-3125</v>
      </c>
      <c r="AL52" s="4" t="str">
        <f ca="1">IFERROR(__xludf.DUMMYFUNCTION("""COMPUTED_VALUE"""),"New")</f>
        <v>New</v>
      </c>
      <c r="AM52" s="4"/>
      <c r="AN52" s="4" t="str">
        <f ca="1">IFERROR(__xludf.DUMMYFUNCTION("""COMPUTED_VALUE"""),"Entregable en backlog")</f>
        <v>Entregable en backlog</v>
      </c>
      <c r="AO52" s="4" t="str">
        <f ca="1">IFERROR(__xludf.DUMMYFUNCTION("""COMPUTED_VALUE"""),"Transformación de la Red")</f>
        <v>Transformación de la Red</v>
      </c>
      <c r="AP52" s="4"/>
      <c r="AQ52" s="4"/>
      <c r="AR52" s="4" t="str">
        <f ca="1">IFERROR(__xludf.DUMMYFUNCTION("""COMPUTED_VALUE"""),"SDA aprobada en PPP Q1 2023")</f>
        <v>SDA aprobada en PPP Q1 2023</v>
      </c>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row>
    <row r="53" spans="1:132" x14ac:dyDescent="0.2">
      <c r="A53" s="4">
        <f ca="1">IFERROR(__xludf.DUMMYFUNCTION("""COMPUTED_VALUE"""),53)</f>
        <v>53</v>
      </c>
      <c r="B53" s="4">
        <f ca="1">IFERROR(__xludf.DUMMYFUNCTION("""COMPUTED_VALUE"""),44)</f>
        <v>44</v>
      </c>
      <c r="C53" s="4" t="str">
        <f ca="1">IFERROR(__xludf.DUMMYFUNCTION("""COMPUTED_VALUE"""),"SDATOOL-37294")</f>
        <v>SDATOOL-37294</v>
      </c>
      <c r="D53" s="4" t="str">
        <f ca="1">IFERROR(__xludf.DUMMYFUNCTION("""COMPUTED_VALUE"""),"Gestión de Tráfico en Oficinas")</f>
        <v>Gestión de Tráfico en Oficinas</v>
      </c>
      <c r="E53"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3" s="4" t="str">
        <f ca="1">IFERROR(__xludf.DUMMYFUNCTION("""COMPUTED_VALUE"""),"Project")</f>
        <v>Project</v>
      </c>
      <c r="G53" s="4" t="str">
        <f ca="1">IFERROR(__xludf.DUMMYFUNCTION("""COMPUTED_VALUE"""),"Stock")</f>
        <v>Stock</v>
      </c>
      <c r="H53" s="4" t="str">
        <f ca="1">IFERROR(__xludf.DUMMYFUNCTION("""COMPUTED_VALUE"""),"1Q 2024")</f>
        <v>1Q 2024</v>
      </c>
      <c r="I53" s="131" t="str">
        <f ca="1">IFERROR(__xludf.DUMMYFUNCTION("""COMPUTED_VALUE"""),"jimy.catolico-bbva.com")</f>
        <v>jimy.catolico-bbva.com</v>
      </c>
      <c r="J53" s="131" t="str">
        <f ca="1">IFERROR(__xludf.DUMMYFUNCTION("""COMPUTED_VALUE"""),"oscar.bejarano-bbva.com")</f>
        <v>oscar.bejarano-bbva.com</v>
      </c>
      <c r="K53" s="131" t="str">
        <f ca="1">IFERROR(__xludf.DUMMYFUNCTION("""COMPUTED_VALUE"""),"yurimilena.moreno-bbva.com")</f>
        <v>yurimilena.moreno-bbva.com</v>
      </c>
      <c r="L53" s="4"/>
      <c r="M53" s="4"/>
      <c r="N53" s="4"/>
      <c r="O53" s="4" t="str">
        <f ca="1">IFERROR(__xludf.DUMMYFUNCTION("""COMPUTED_VALUE"""),"Waterfall")</f>
        <v>Waterfall</v>
      </c>
      <c r="P53" s="4" t="str">
        <f ca="1">IFERROR(__xludf.DUMMYFUNCTION("""COMPUTED_VALUE"""),"Tradicional")</f>
        <v>Tradicional</v>
      </c>
      <c r="Q53" s="4"/>
      <c r="R53" s="130" t="str">
        <f ca="1">IFERROR(__xludf.DUMMYFUNCTION("""COMPUTED_VALUE"""),"Business Innovation &amp; Strategy")</f>
        <v>Business Innovation &amp; Strategy</v>
      </c>
      <c r="S53" s="130" t="str">
        <f ca="1">IFERROR(__xludf.DUMMYFUNCTION("""COMPUTED_VALUE"""),"Area Review")</f>
        <v>Area Review</v>
      </c>
      <c r="T53" s="130" t="str">
        <f ca="1">IFERROR(__xludf.DUMMYFUNCTION("""COMPUTED_VALUE"""),"2. Modelo de relación y distribución")</f>
        <v>2. Modelo de relación y distribución</v>
      </c>
      <c r="U53" s="130" t="str">
        <f ca="1">IFERROR(__xludf.DUMMYFUNCTION("""COMPUTED_VALUE"""),"2.1. Transformación de Oficinas")</f>
        <v>2.1. Transformación de Oficinas</v>
      </c>
      <c r="V53" s="4" t="str">
        <f ca="1">IFERROR(__xludf.DUMMYFUNCTION("""COMPUTED_VALUE"""),"Oficinas")</f>
        <v>Oficinas</v>
      </c>
      <c r="W53" s="4">
        <f ca="1">IFERROR(__xludf.DUMMYFUNCTION("""COMPUTED_VALUE"""),2)</f>
        <v>2</v>
      </c>
      <c r="X53" s="4" t="str">
        <f ca="1">IFERROR(__xludf.DUMMYFUNCTION("""COMPUTED_VALUE"""),"04. Relationship Models")</f>
        <v>04. Relationship Models</v>
      </c>
      <c r="Y53" s="4" t="str">
        <f ca="1">IFERROR(__xludf.DUMMYFUNCTION("""COMPUTED_VALUE"""),"5.6.1 RM - Retail")</f>
        <v>5.6.1 RM - Retail</v>
      </c>
      <c r="Z53" s="132" t="str">
        <f ca="1">IFERROR(__xludf.DUMMYFUNCTION("""COMPUTED_VALUE"""),"369591")</f>
        <v>369591</v>
      </c>
      <c r="AA53" s="4" t="str">
        <f ca="1">IFERROR(__xludf.DUMMYFUNCTION("""COMPUTED_VALUE"""),"Integración con información del cliente y filtrado de operaciones")</f>
        <v>Integración con información del cliente y filtrado de operaciones</v>
      </c>
      <c r="AB53" s="4" t="str">
        <f ca="1">IFERROR(__xludf.DUMMYFUNCTION("""COMPUTED_VALUE"""),"TBD")</f>
        <v>TBD</v>
      </c>
      <c r="AC53" s="4" t="str">
        <f ca="1">IFERROR(__xludf.DUMMYFUNCTION("""COMPUTED_VALUE"""),"3Q 2023")</f>
        <v>3Q 2023</v>
      </c>
      <c r="AD53" s="128">
        <f ca="1">IFERROR(__xludf.DUMMYFUNCTION("""COMPUTED_VALUE"""),44896)</f>
        <v>44896</v>
      </c>
      <c r="AE53" s="128">
        <f ca="1">IFERROR(__xludf.DUMMYFUNCTION("""COMPUTED_VALUE"""),44957)</f>
        <v>44957</v>
      </c>
      <c r="AF53" s="128">
        <f ca="1">IFERROR(__xludf.DUMMYFUNCTION("""COMPUTED_VALUE"""),44957)</f>
        <v>44957</v>
      </c>
      <c r="AG53" s="128">
        <f ca="1">IFERROR(__xludf.DUMMYFUNCTION("""COMPUTED_VALUE"""),45077)</f>
        <v>45077</v>
      </c>
      <c r="AH53" s="128">
        <f ca="1">IFERROR(__xludf.DUMMYFUNCTION("""COMPUTED_VALUE"""),45078)</f>
        <v>45078</v>
      </c>
      <c r="AI53" s="128">
        <f ca="1">IFERROR(__xludf.DUMMYFUNCTION("""COMPUTED_VALUE"""),45107)</f>
        <v>45107</v>
      </c>
      <c r="AJ53" s="128">
        <f ca="1">IFERROR(__xludf.DUMMYFUNCTION("""COMPUTED_VALUE"""),45115)</f>
        <v>45115</v>
      </c>
      <c r="AK53" s="131" t="str">
        <f ca="1">IFERROR(__xludf.DUMMYFUNCTION("""COMPUTED_VALUE"""),"COLWSCANAL-3124")</f>
        <v>COLWSCANAL-3124</v>
      </c>
      <c r="AL53" s="4" t="str">
        <f ca="1">IFERROR(__xludf.DUMMYFUNCTION("""COMPUTED_VALUE"""),"Analysing")</f>
        <v>Analysing</v>
      </c>
      <c r="AM53" s="4"/>
      <c r="AN53" s="4" t="str">
        <f ca="1">IFERROR(__xludf.DUMMYFUNCTION("""COMPUTED_VALUE"""),"Entregable en Conceptualización")</f>
        <v>Entregable en Conceptualización</v>
      </c>
      <c r="AO53" s="4" t="str">
        <f ca="1">IFERROR(__xludf.DUMMYFUNCTION("""COMPUTED_VALUE"""),"Transformación de la Red")</f>
        <v>Transformación de la Red</v>
      </c>
      <c r="AP53" s="4"/>
      <c r="AQ53" s="4"/>
      <c r="AR53" s="4" t="str">
        <f ca="1">IFERROR(__xludf.DUMMYFUNCTION("""COMPUTED_VALUE"""),"SDA aprobada en PPP Q1 2023")</f>
        <v>SDA aprobada en PPP Q1 2023</v>
      </c>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row>
    <row r="54" spans="1:132" x14ac:dyDescent="0.2">
      <c r="A54" s="4">
        <f ca="1">IFERROR(__xludf.DUMMYFUNCTION("""COMPUTED_VALUE"""),54)</f>
        <v>54</v>
      </c>
      <c r="B54" s="4">
        <f ca="1">IFERROR(__xludf.DUMMYFUNCTION("""COMPUTED_VALUE"""),45)</f>
        <v>45</v>
      </c>
      <c r="C54" s="4" t="str">
        <f ca="1">IFERROR(__xludf.DUMMYFUNCTION("""COMPUTED_VALUE"""),"SDATOOL-37294")</f>
        <v>SDATOOL-37294</v>
      </c>
      <c r="D54" s="4" t="str">
        <f ca="1">IFERROR(__xludf.DUMMYFUNCTION("""COMPUTED_VALUE"""),"Gestión de Tráfico en Oficinas")</f>
        <v>Gestión de Tráfico en Oficinas</v>
      </c>
      <c r="E54"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4" s="4" t="str">
        <f ca="1">IFERROR(__xludf.DUMMYFUNCTION("""COMPUTED_VALUE"""),"Project")</f>
        <v>Project</v>
      </c>
      <c r="G54" s="4" t="str">
        <f ca="1">IFERROR(__xludf.DUMMYFUNCTION("""COMPUTED_VALUE"""),"Stock")</f>
        <v>Stock</v>
      </c>
      <c r="H54" s="4" t="str">
        <f ca="1">IFERROR(__xludf.DUMMYFUNCTION("""COMPUTED_VALUE"""),"1Q 2024")</f>
        <v>1Q 2024</v>
      </c>
      <c r="I54" s="131" t="str">
        <f ca="1">IFERROR(__xludf.DUMMYFUNCTION("""COMPUTED_VALUE"""),"jimy.catolico-bbva.com")</f>
        <v>jimy.catolico-bbva.com</v>
      </c>
      <c r="J54" s="131" t="str">
        <f ca="1">IFERROR(__xludf.DUMMYFUNCTION("""COMPUTED_VALUE"""),"oscar.bejarano-bbva.com")</f>
        <v>oscar.bejarano-bbva.com</v>
      </c>
      <c r="K54" s="131" t="str">
        <f ca="1">IFERROR(__xludf.DUMMYFUNCTION("""COMPUTED_VALUE"""),"yurimilena.moreno-bbva.com")</f>
        <v>yurimilena.moreno-bbva.com</v>
      </c>
      <c r="L54" s="4"/>
      <c r="M54" s="4"/>
      <c r="N54" s="4"/>
      <c r="O54" s="4" t="str">
        <f ca="1">IFERROR(__xludf.DUMMYFUNCTION("""COMPUTED_VALUE"""),"Waterfall")</f>
        <v>Waterfall</v>
      </c>
      <c r="P54" s="4" t="str">
        <f ca="1">IFERROR(__xludf.DUMMYFUNCTION("""COMPUTED_VALUE"""),"Tradicional")</f>
        <v>Tradicional</v>
      </c>
      <c r="Q54" s="4"/>
      <c r="R54" s="130" t="str">
        <f ca="1">IFERROR(__xludf.DUMMYFUNCTION("""COMPUTED_VALUE"""),"Business Innovation &amp; Strategy")</f>
        <v>Business Innovation &amp; Strategy</v>
      </c>
      <c r="S54" s="130" t="str">
        <f ca="1">IFERROR(__xludf.DUMMYFUNCTION("""COMPUTED_VALUE"""),"Area Review")</f>
        <v>Area Review</v>
      </c>
      <c r="T54" s="130" t="str">
        <f ca="1">IFERROR(__xludf.DUMMYFUNCTION("""COMPUTED_VALUE"""),"2. Modelo de relación y distribución")</f>
        <v>2. Modelo de relación y distribución</v>
      </c>
      <c r="U54" s="130" t="str">
        <f ca="1">IFERROR(__xludf.DUMMYFUNCTION("""COMPUTED_VALUE"""),"2.1. Transformación de Oficinas")</f>
        <v>2.1. Transformación de Oficinas</v>
      </c>
      <c r="V54" s="4" t="str">
        <f ca="1">IFERROR(__xludf.DUMMYFUNCTION("""COMPUTED_VALUE"""),"Oficinas")</f>
        <v>Oficinas</v>
      </c>
      <c r="W54" s="4">
        <f ca="1">IFERROR(__xludf.DUMMYFUNCTION("""COMPUTED_VALUE"""),2)</f>
        <v>2</v>
      </c>
      <c r="X54" s="4" t="str">
        <f ca="1">IFERROR(__xludf.DUMMYFUNCTION("""COMPUTED_VALUE"""),"04. Relationship Models")</f>
        <v>04. Relationship Models</v>
      </c>
      <c r="Y54" s="4" t="str">
        <f ca="1">IFERROR(__xludf.DUMMYFUNCTION("""COMPUTED_VALUE"""),"5.6.1 RM - Retail")</f>
        <v>5.6.1 RM - Retail</v>
      </c>
      <c r="Z54" s="132" t="str">
        <f ca="1">IFERROR(__xludf.DUMMYFUNCTION("""COMPUTED_VALUE"""),"368741")</f>
        <v>368741</v>
      </c>
      <c r="AA54" s="4" t="str">
        <f ca="1">IFERROR(__xludf.DUMMYFUNCTION("""COMPUTED_VALUE"""),"Piloto del sistema para el ordenamiento de tráfico")</f>
        <v>Piloto del sistema para el ordenamiento de tráfico</v>
      </c>
      <c r="AB54" s="4" t="str">
        <f ca="1">IFERROR(__xludf.DUMMYFUNCTION("""COMPUTED_VALUE"""),"Piloto con 2 oficinas para validar el modelo")</f>
        <v>Piloto con 2 oficinas para validar el modelo</v>
      </c>
      <c r="AC54" s="4" t="str">
        <f ca="1">IFERROR(__xludf.DUMMYFUNCTION("""COMPUTED_VALUE"""),"3Q 2022")</f>
        <v>3Q 2022</v>
      </c>
      <c r="AD54" s="128">
        <f ca="1">IFERROR(__xludf.DUMMYFUNCTION("""COMPUTED_VALUE"""),44683)</f>
        <v>44683</v>
      </c>
      <c r="AE54" s="128">
        <f ca="1">IFERROR(__xludf.DUMMYFUNCTION("""COMPUTED_VALUE"""),44709)</f>
        <v>44709</v>
      </c>
      <c r="AF54" s="128">
        <f ca="1">IFERROR(__xludf.DUMMYFUNCTION("""COMPUTED_VALUE"""),44713)</f>
        <v>44713</v>
      </c>
      <c r="AG54" s="128">
        <f ca="1">IFERROR(__xludf.DUMMYFUNCTION("""COMPUTED_VALUE"""),44772)</f>
        <v>44772</v>
      </c>
      <c r="AH54" s="128">
        <f ca="1">IFERROR(__xludf.DUMMYFUNCTION("""COMPUTED_VALUE"""),44774)</f>
        <v>44774</v>
      </c>
      <c r="AI54" s="128">
        <f ca="1">IFERROR(__xludf.DUMMYFUNCTION("""COMPUTED_VALUE"""),44781)</f>
        <v>44781</v>
      </c>
      <c r="AJ54" s="128">
        <f ca="1">IFERROR(__xludf.DUMMYFUNCTION("""COMPUTED_VALUE"""),44800)</f>
        <v>44800</v>
      </c>
      <c r="AK54" s="4" t="str">
        <f ca="1">IFERROR(__xludf.DUMMYFUNCTION("""COMPUTED_VALUE"""),"Sin asignar")</f>
        <v>Sin asignar</v>
      </c>
      <c r="AL54" s="4" t="str">
        <f ca="1">IFERROR(__xludf.DUMMYFUNCTION("""COMPUTED_VALUE"""),"Sin asignar")</f>
        <v>Sin asignar</v>
      </c>
      <c r="AM54" s="4" t="str">
        <f ca="1">IFERROR(__xludf.DUMMYFUNCTION("""COMPUTED_VALUE"""),"""28/06 Listo sanbdox, listos usuarios, listos equipos, el día 30 de junio se espera la instalación de los equipos y las primeras pruebas""")</f>
        <v>"28/06 Listo sanbdox, listos usuarios, listos equipos, el día 30 de junio se espera la instalación de los equipos y las primeras pruebas"</v>
      </c>
      <c r="AN54" s="4" t="str">
        <f ca="1">IFERROR(__xludf.DUMMYFUNCTION("""COMPUTED_VALUE"""),"Entregable en backlog")</f>
        <v>Entregable en backlog</v>
      </c>
      <c r="AO54" s="4" t="str">
        <f ca="1">IFERROR(__xludf.DUMMYFUNCTION("""COMPUTED_VALUE"""),"Transformación de la Red")</f>
        <v>Transformación de la Red</v>
      </c>
      <c r="AP54" s="4"/>
      <c r="AQ54" s="4"/>
      <c r="AR54" s="4" t="str">
        <f ca="1">IFERROR(__xludf.DUMMYFUNCTION("""COMPUTED_VALUE"""),"SDA aprobada en PPP Q1 2023")</f>
        <v>SDA aprobada en PPP Q1 2023</v>
      </c>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row>
    <row r="55" spans="1:132" x14ac:dyDescent="0.2">
      <c r="A55" s="4">
        <f ca="1">IFERROR(__xludf.DUMMYFUNCTION("""COMPUTED_VALUE"""),55)</f>
        <v>55</v>
      </c>
      <c r="B55" s="4">
        <f ca="1">IFERROR(__xludf.DUMMYFUNCTION("""COMPUTED_VALUE"""),46)</f>
        <v>46</v>
      </c>
      <c r="C55" s="4" t="str">
        <f ca="1">IFERROR(__xludf.DUMMYFUNCTION("""COMPUTED_VALUE"""),"SDATOOL-36560")</f>
        <v>SDATOOL-36560</v>
      </c>
      <c r="D55" s="4" t="str">
        <f ca="1">IFERROR(__xludf.DUMMYFUNCTION("""COMPUTED_VALUE"""),"Pricing de libranza - Plan Ascenso Open Market")</f>
        <v>Pricing de libranza - Plan Ascenso Open Market</v>
      </c>
      <c r="E55"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5" s="4" t="str">
        <f ca="1">IFERROR(__xludf.DUMMYFUNCTION("""COMPUTED_VALUE"""),"Project")</f>
        <v>Project</v>
      </c>
      <c r="G55" s="4" t="str">
        <f ca="1">IFERROR(__xludf.DUMMYFUNCTION("""COMPUTED_VALUE"""),"Stock")</f>
        <v>Stock</v>
      </c>
      <c r="H55" s="4" t="str">
        <f ca="1">IFERROR(__xludf.DUMMYFUNCTION("""COMPUTED_VALUE"""),"3Q 2023")</f>
        <v>3Q 2023</v>
      </c>
      <c r="I55" s="131" t="str">
        <f ca="1">IFERROR(__xludf.DUMMYFUNCTION("""COMPUTED_VALUE"""),"jimy.catolico-bbva.com")</f>
        <v>jimy.catolico-bbva.com</v>
      </c>
      <c r="J55" s="131" t="str">
        <f ca="1">IFERROR(__xludf.DUMMYFUNCTION("""COMPUTED_VALUE"""),"diegofernand.castro-bbva.com")</f>
        <v>diegofernand.castro-bbva.com</v>
      </c>
      <c r="K55" s="131" t="str">
        <f ca="1">IFERROR(__xludf.DUMMYFUNCTION("""COMPUTED_VALUE"""),"monica.zamudio-bbva.com")</f>
        <v>monica.zamudio-bbva.com</v>
      </c>
      <c r="L55" s="130">
        <f ca="1">IFERROR(__xludf.DUMMYFUNCTION("""COMPUTED_VALUE"""),1)</f>
        <v>1</v>
      </c>
      <c r="M55" s="130">
        <f ca="1">IFERROR(__xludf.DUMMYFUNCTION("""COMPUTED_VALUE"""),1.1)</f>
        <v>1.1000000000000001</v>
      </c>
      <c r="N55" s="130">
        <f ca="1">IFERROR(__xludf.DUMMYFUNCTION("""COMPUTED_VALUE"""),2)</f>
        <v>2</v>
      </c>
      <c r="O55" s="4" t="str">
        <f ca="1">IFERROR(__xludf.DUMMYFUNCTION("""COMPUTED_VALUE"""),"Scrum")</f>
        <v>Scrum</v>
      </c>
      <c r="P55" s="4" t="str">
        <f ca="1">IFERROR(__xludf.DUMMYFUNCTION("""COMPUTED_VALUE"""),"Gladiadores")</f>
        <v>Gladiadores</v>
      </c>
      <c r="Q55" s="130">
        <f ca="1">IFERROR(__xludf.DUMMYFUNCTION("""COMPUTED_VALUE"""),1)</f>
        <v>1</v>
      </c>
      <c r="R55" s="130" t="str">
        <f ca="1">IFERROR(__xludf.DUMMYFUNCTION("""COMPUTED_VALUE"""),"Advanced Analytics")</f>
        <v>Advanced Analytics</v>
      </c>
      <c r="S55" s="130" t="str">
        <f ca="1">IFERROR(__xludf.DUMMYFUNCTION("""COMPUTED_VALUE"""),"Plan Ascenso")</f>
        <v>Plan Ascenso</v>
      </c>
      <c r="T55" s="130" t="str">
        <f ca="1">IFERROR(__xludf.DUMMYFUNCTION("""COMPUTED_VALUE"""),"1. Generación de Ingresos")</f>
        <v>1. Generación de Ingresos</v>
      </c>
      <c r="U55" s="130" t="str">
        <f ca="1">IFERROR(__xludf.DUMMYFUNCTION("""COMPUTED_VALUE"""),"1.2. Proyectos de Consumo")</f>
        <v>1.2. Proyectos de Consumo</v>
      </c>
      <c r="V55" s="4" t="str">
        <f ca="1">IFERROR(__xludf.DUMMYFUNCTION("""COMPUTED_VALUE"""),"Pricing")</f>
        <v>Pricing</v>
      </c>
      <c r="W55" s="4">
        <f ca="1">IFERROR(__xludf.DUMMYFUNCTION("""COMPUTED_VALUE"""),1)</f>
        <v>1</v>
      </c>
      <c r="X55" s="4" t="str">
        <f ca="1">IFERROR(__xludf.DUMMYFUNCTION("""COMPUTED_VALUE"""),"09. Data")</f>
        <v>09. Data</v>
      </c>
      <c r="Y55" s="4" t="str">
        <f ca="1">IFERROR(__xludf.DUMMYFUNCTION("""COMPUTED_VALUE"""),"4.1.1. Own channels")</f>
        <v>4.1.1. Own channels</v>
      </c>
      <c r="Z55" s="132" t="str">
        <f ca="1">IFERROR(__xludf.DUMMYFUNCTION("""COMPUTED_VALUE"""),"369586")</f>
        <v>369586</v>
      </c>
      <c r="AA55" s="4" t="str">
        <f ca="1">IFERROR(__xludf.DUMMYFUNCTION("""COMPUTED_VALUE"""),"Flexibilización de tasa por portafolio de Nómina ,  retorno con CashBack")</f>
        <v>Flexibilización de tasa por portafolio de Nómina ,  retorno con CashBack</v>
      </c>
      <c r="AB55" s="4" t="str">
        <f ca="1">IFERROR(__xludf.DUMMYFUNCTION("""COMPUTED_VALUE"""),"Flexibilización de tasa por portafolio, liquidación mensual")</f>
        <v>Flexibilización de tasa por portafolio, liquidación mensual</v>
      </c>
      <c r="AC55" s="4" t="str">
        <f ca="1">IFERROR(__xludf.DUMMYFUNCTION("""COMPUTED_VALUE"""),"1Q 2023")</f>
        <v>1Q 2023</v>
      </c>
      <c r="AD55" s="4"/>
      <c r="AE55" s="4"/>
      <c r="AF55" s="4"/>
      <c r="AG55" s="4"/>
      <c r="AH55" s="4"/>
      <c r="AI55" s="4"/>
      <c r="AJ55" s="4"/>
      <c r="AK55" s="131" t="str">
        <f ca="1">IFERROR(__xludf.DUMMYFUNCTION("""COMPUTED_VALUE"""),"COLWSPREST-847")</f>
        <v>COLWSPREST-847</v>
      </c>
      <c r="AL55" s="4" t="str">
        <f ca="1">IFERROR(__xludf.DUMMYFUNCTION("""COMPUTED_VALUE"""),"Deployed")</f>
        <v>Deployed</v>
      </c>
      <c r="AM55" s="4"/>
      <c r="AN55" s="4" t="str">
        <f ca="1">IFERROR(__xludf.DUMMYFUNCTION("""COMPUTED_VALUE"""),"Finalizado")</f>
        <v>Finalizado</v>
      </c>
      <c r="AO55" s="4" t="str">
        <f ca="1">IFERROR(__xludf.DUMMYFUNCTION("""COMPUTED_VALUE"""),"Consumo partnerships")</f>
        <v>Consumo partnerships</v>
      </c>
      <c r="AP55" s="4"/>
      <c r="AQ55" s="4"/>
      <c r="AR55" s="4" t="str">
        <f ca="1">IFERROR(__xludf.DUMMYFUNCTION("""COMPUTED_VALUE"""),"SDA aprobada en PPP Q1 2023")</f>
        <v>SDA aprobada en PPP Q1 2023</v>
      </c>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133">
        <f ca="1">IFERROR(__xludf.DUMMYFUNCTION("""COMPUTED_VALUE"""),0)</f>
        <v>0</v>
      </c>
      <c r="DV55" s="133">
        <f ca="1">IFERROR(__xludf.DUMMYFUNCTION("""COMPUTED_VALUE"""),0)</f>
        <v>0</v>
      </c>
      <c r="DW55" s="133">
        <f ca="1">IFERROR(__xludf.DUMMYFUNCTION("""COMPUTED_VALUE"""),318087245)</f>
        <v>318087245</v>
      </c>
      <c r="DX55" s="133">
        <f ca="1">IFERROR(__xludf.DUMMYFUNCTION("""COMPUTED_VALUE"""),464978046)</f>
        <v>464978046</v>
      </c>
      <c r="DY55" s="133">
        <f ca="1">IFERROR(__xludf.DUMMYFUNCTION("""COMPUTED_VALUE"""),0)</f>
        <v>0</v>
      </c>
      <c r="DZ55" s="133">
        <f ca="1">IFERROR(__xludf.DUMMYFUNCTION("""COMPUTED_VALUE"""),783065291)</f>
        <v>783065291</v>
      </c>
      <c r="EA55" s="4"/>
      <c r="EB55" s="4"/>
    </row>
    <row r="56" spans="1:132" x14ac:dyDescent="0.2">
      <c r="A56" s="4">
        <f ca="1">IFERROR(__xludf.DUMMYFUNCTION("""COMPUTED_VALUE"""),56)</f>
        <v>56</v>
      </c>
      <c r="B56" s="4">
        <f ca="1">IFERROR(__xludf.DUMMYFUNCTION("""COMPUTED_VALUE"""),47)</f>
        <v>47</v>
      </c>
      <c r="C56" s="4" t="str">
        <f ca="1">IFERROR(__xludf.DUMMYFUNCTION("""COMPUTED_VALUE"""),"SDATOOL-36560")</f>
        <v>SDATOOL-36560</v>
      </c>
      <c r="D56" s="4" t="str">
        <f ca="1">IFERROR(__xludf.DUMMYFUNCTION("""COMPUTED_VALUE"""),"Pricing de libranza - Plan Ascenso Open Market")</f>
        <v>Pricing de libranza - Plan Ascenso Open Market</v>
      </c>
      <c r="E56"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6" s="4" t="str">
        <f ca="1">IFERROR(__xludf.DUMMYFUNCTION("""COMPUTED_VALUE"""),"Project")</f>
        <v>Project</v>
      </c>
      <c r="G56" s="4" t="str">
        <f ca="1">IFERROR(__xludf.DUMMYFUNCTION("""COMPUTED_VALUE"""),"Stock")</f>
        <v>Stock</v>
      </c>
      <c r="H56" s="4" t="str">
        <f ca="1">IFERROR(__xludf.DUMMYFUNCTION("""COMPUTED_VALUE"""),"3Q 2023")</f>
        <v>3Q 2023</v>
      </c>
      <c r="I56" s="131" t="str">
        <f ca="1">IFERROR(__xludf.DUMMYFUNCTION("""COMPUTED_VALUE"""),"jimy.catolico-bbva.com")</f>
        <v>jimy.catolico-bbva.com</v>
      </c>
      <c r="J56" s="131" t="str">
        <f ca="1">IFERROR(__xludf.DUMMYFUNCTION("""COMPUTED_VALUE"""),"diegofernand.castro-bbva.com")</f>
        <v>diegofernand.castro-bbva.com</v>
      </c>
      <c r="K56" s="131" t="str">
        <f ca="1">IFERROR(__xludf.DUMMYFUNCTION("""COMPUTED_VALUE"""),"monica.zamudio-bbva.com")</f>
        <v>monica.zamudio-bbva.com</v>
      </c>
      <c r="L56" s="4"/>
      <c r="M56" s="4"/>
      <c r="N56" s="4"/>
      <c r="O56" s="4" t="str">
        <f ca="1">IFERROR(__xludf.DUMMYFUNCTION("""COMPUTED_VALUE"""),"Scrum")</f>
        <v>Scrum</v>
      </c>
      <c r="P56" s="4" t="str">
        <f ca="1">IFERROR(__xludf.DUMMYFUNCTION("""COMPUTED_VALUE"""),"Gladiadores")</f>
        <v>Gladiadores</v>
      </c>
      <c r="Q56" s="4"/>
      <c r="R56" s="130" t="str">
        <f ca="1">IFERROR(__xludf.DUMMYFUNCTION("""COMPUTED_VALUE"""),"Advanced Analytics")</f>
        <v>Advanced Analytics</v>
      </c>
      <c r="S56" s="130" t="str">
        <f ca="1">IFERROR(__xludf.DUMMYFUNCTION("""COMPUTED_VALUE"""),"Plan Ascenso")</f>
        <v>Plan Ascenso</v>
      </c>
      <c r="T56" s="130" t="str">
        <f ca="1">IFERROR(__xludf.DUMMYFUNCTION("""COMPUTED_VALUE"""),"1. Generación de Ingresos")</f>
        <v>1. Generación de Ingresos</v>
      </c>
      <c r="U56" s="130" t="str">
        <f ca="1">IFERROR(__xludf.DUMMYFUNCTION("""COMPUTED_VALUE"""),"1.2. Proyectos de Consumo")</f>
        <v>1.2. Proyectos de Consumo</v>
      </c>
      <c r="V56" s="4" t="str">
        <f ca="1">IFERROR(__xludf.DUMMYFUNCTION("""COMPUTED_VALUE"""),"Pricing")</f>
        <v>Pricing</v>
      </c>
      <c r="W56" s="4">
        <f ca="1">IFERROR(__xludf.DUMMYFUNCTION("""COMPUTED_VALUE"""),1)</f>
        <v>1</v>
      </c>
      <c r="X56" s="4" t="str">
        <f ca="1">IFERROR(__xludf.DUMMYFUNCTION("""COMPUTED_VALUE"""),"09. Data")</f>
        <v>09. Data</v>
      </c>
      <c r="Y56" s="4" t="str">
        <f ca="1">IFERROR(__xludf.DUMMYFUNCTION("""COMPUTED_VALUE"""),"4.1.1. Own channels")</f>
        <v>4.1.1. Own channels</v>
      </c>
      <c r="Z56" s="132" t="str">
        <f ca="1">IFERROR(__xludf.DUMMYFUNCTION("""COMPUTED_VALUE"""),"262136")</f>
        <v>262136</v>
      </c>
      <c r="AA56" s="4" t="str">
        <f ca="1">IFERROR(__xludf.DUMMYFUNCTION("""COMPUTED_VALUE"""),"Tasa RAR por perfil en la originación")</f>
        <v>Tasa RAR por perfil en la originación</v>
      </c>
      <c r="AB56" s="4" t="str">
        <f ca="1">IFERROR(__xludf.DUMMYFUNCTION("""COMPUTED_VALUE"""),"Tasa RAR por perfil en la originación")</f>
        <v>Tasa RAR por perfil en la originación</v>
      </c>
      <c r="AC56" s="4" t="str">
        <f ca="1">IFERROR(__xludf.DUMMYFUNCTION("""COMPUTED_VALUE"""),"3Q 2022")</f>
        <v>3Q 2022</v>
      </c>
      <c r="AD56" s="128">
        <f ca="1">IFERROR(__xludf.DUMMYFUNCTION("""COMPUTED_VALUE"""),44501)</f>
        <v>44501</v>
      </c>
      <c r="AE56" s="128">
        <f ca="1">IFERROR(__xludf.DUMMYFUNCTION("""COMPUTED_VALUE"""),44554)</f>
        <v>44554</v>
      </c>
      <c r="AF56" s="128">
        <f ca="1">IFERROR(__xludf.DUMMYFUNCTION("""COMPUTED_VALUE"""),44557)</f>
        <v>44557</v>
      </c>
      <c r="AG56" s="128">
        <f ca="1">IFERROR(__xludf.DUMMYFUNCTION("""COMPUTED_VALUE"""),44667)</f>
        <v>44667</v>
      </c>
      <c r="AH56" s="128">
        <f ca="1">IFERROR(__xludf.DUMMYFUNCTION("""COMPUTED_VALUE"""),44668)</f>
        <v>44668</v>
      </c>
      <c r="AI56" s="128">
        <f ca="1">IFERROR(__xludf.DUMMYFUNCTION("""COMPUTED_VALUE"""),44701)</f>
        <v>44701</v>
      </c>
      <c r="AJ56" s="128">
        <f ca="1">IFERROR(__xludf.DUMMYFUNCTION("""COMPUTED_VALUE"""),44714)</f>
        <v>44714</v>
      </c>
      <c r="AK56" s="131" t="str">
        <f ca="1">IFERROR(__xludf.DUMMYFUNCTION("""COMPUTED_VALUE"""),"COLWSPREST-54")</f>
        <v>COLWSPREST-54</v>
      </c>
      <c r="AL56" s="4" t="str">
        <f ca="1">IFERROR(__xludf.DUMMYFUNCTION("""COMPUTED_VALUE"""),"Deployed")</f>
        <v>Deployed</v>
      </c>
      <c r="AM56" s="4" t="str">
        <f ca="1">IFERROR(__xludf.DUMMYFUNCTION("""COMPUTED_VALUE"""),"""Ajustes del piloto primer paquete se instala el 19/08 CAP + Ajustes archivo. segundo paquete se instala el 9 de sep para la toma de ingresos, Tercer paquete 6 oct visualización de tasa. + ficha TCR""")</f>
        <v>"Ajustes del piloto primer paquete se instala el 19/08 CAP + Ajustes archivo. segundo paquete se instala el 9 de sep para la toma de ingresos, Tercer paquete 6 oct visualización de tasa. + ficha TCR"</v>
      </c>
      <c r="AN56" s="4" t="str">
        <f ca="1">IFERROR(__xludf.DUMMYFUNCTION("""COMPUTED_VALUE"""),"Finalizado")</f>
        <v>Finalizado</v>
      </c>
      <c r="AO56" s="4" t="str">
        <f ca="1">IFERROR(__xludf.DUMMYFUNCTION("""COMPUTED_VALUE"""),"Consumo partnerships")</f>
        <v>Consumo partnerships</v>
      </c>
      <c r="AP56" s="4"/>
      <c r="AQ56" s="4"/>
      <c r="AR56" s="4" t="str">
        <f ca="1">IFERROR(__xludf.DUMMYFUNCTION("""COMPUTED_VALUE"""),"SDA aprobada en PPP Q1 2023")</f>
        <v>SDA aprobada en PPP Q1 2023</v>
      </c>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row>
    <row r="57" spans="1:132" x14ac:dyDescent="0.2">
      <c r="A57" s="4">
        <f ca="1">IFERROR(__xludf.DUMMYFUNCTION("""COMPUTED_VALUE"""),57)</f>
        <v>57</v>
      </c>
      <c r="B57" s="4">
        <f ca="1">IFERROR(__xludf.DUMMYFUNCTION("""COMPUTED_VALUE"""),48)</f>
        <v>48</v>
      </c>
      <c r="C57" s="4" t="str">
        <f ca="1">IFERROR(__xludf.DUMMYFUNCTION("""COMPUTED_VALUE"""),"SDATOOL-36560")</f>
        <v>SDATOOL-36560</v>
      </c>
      <c r="D57" s="4" t="str">
        <f ca="1">IFERROR(__xludf.DUMMYFUNCTION("""COMPUTED_VALUE"""),"Pricing de libranza - Plan Ascenso Open Market")</f>
        <v>Pricing de libranza - Plan Ascenso Open Market</v>
      </c>
      <c r="E57"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7" s="4" t="str">
        <f ca="1">IFERROR(__xludf.DUMMYFUNCTION("""COMPUTED_VALUE"""),"Project")</f>
        <v>Project</v>
      </c>
      <c r="G57" s="4" t="str">
        <f ca="1">IFERROR(__xludf.DUMMYFUNCTION("""COMPUTED_VALUE"""),"Stock")</f>
        <v>Stock</v>
      </c>
      <c r="H57" s="4" t="str">
        <f ca="1">IFERROR(__xludf.DUMMYFUNCTION("""COMPUTED_VALUE"""),"3Q 2023")</f>
        <v>3Q 2023</v>
      </c>
      <c r="I57" s="131" t="str">
        <f ca="1">IFERROR(__xludf.DUMMYFUNCTION("""COMPUTED_VALUE"""),"jimy.catolico-bbva.com")</f>
        <v>jimy.catolico-bbva.com</v>
      </c>
      <c r="J57" s="131" t="str">
        <f ca="1">IFERROR(__xludf.DUMMYFUNCTION("""COMPUTED_VALUE"""),"diegofernand.castro-bbva.com")</f>
        <v>diegofernand.castro-bbva.com</v>
      </c>
      <c r="K57" s="131" t="str">
        <f ca="1">IFERROR(__xludf.DUMMYFUNCTION("""COMPUTED_VALUE"""),"monica.zamudio-bbva.com")</f>
        <v>monica.zamudio-bbva.com</v>
      </c>
      <c r="L57" s="4"/>
      <c r="M57" s="4"/>
      <c r="N57" s="4"/>
      <c r="O57" s="4" t="str">
        <f ca="1">IFERROR(__xludf.DUMMYFUNCTION("""COMPUTED_VALUE"""),"Scrum")</f>
        <v>Scrum</v>
      </c>
      <c r="P57" s="4" t="str">
        <f ca="1">IFERROR(__xludf.DUMMYFUNCTION("""COMPUTED_VALUE"""),"Gladiadores")</f>
        <v>Gladiadores</v>
      </c>
      <c r="Q57" s="4"/>
      <c r="R57" s="130" t="str">
        <f ca="1">IFERROR(__xludf.DUMMYFUNCTION("""COMPUTED_VALUE"""),"Advanced Analytics")</f>
        <v>Advanced Analytics</v>
      </c>
      <c r="S57" s="130" t="str">
        <f ca="1">IFERROR(__xludf.DUMMYFUNCTION("""COMPUTED_VALUE"""),"Plan Ascenso")</f>
        <v>Plan Ascenso</v>
      </c>
      <c r="T57" s="130" t="str">
        <f ca="1">IFERROR(__xludf.DUMMYFUNCTION("""COMPUTED_VALUE"""),"1. Generación de Ingresos")</f>
        <v>1. Generación de Ingresos</v>
      </c>
      <c r="U57" s="130" t="str">
        <f ca="1">IFERROR(__xludf.DUMMYFUNCTION("""COMPUTED_VALUE"""),"1.2. Proyectos de Consumo")</f>
        <v>1.2. Proyectos de Consumo</v>
      </c>
      <c r="V57" s="4" t="str">
        <f ca="1">IFERROR(__xludf.DUMMYFUNCTION("""COMPUTED_VALUE"""),"Pricing")</f>
        <v>Pricing</v>
      </c>
      <c r="W57" s="4">
        <f ca="1">IFERROR(__xludf.DUMMYFUNCTION("""COMPUTED_VALUE"""),1)</f>
        <v>1</v>
      </c>
      <c r="X57" s="4" t="str">
        <f ca="1">IFERROR(__xludf.DUMMYFUNCTION("""COMPUTED_VALUE"""),"09. Data")</f>
        <v>09. Data</v>
      </c>
      <c r="Y57" s="4" t="str">
        <f ca="1">IFERROR(__xludf.DUMMYFUNCTION("""COMPUTED_VALUE"""),"4.1.1. Own channels")</f>
        <v>4.1.1. Own channels</v>
      </c>
      <c r="Z57" s="132" t="str">
        <f ca="1">IFERROR(__xludf.DUMMYFUNCTION("""COMPUTED_VALUE"""),"556749")</f>
        <v>556749</v>
      </c>
      <c r="AA57" s="4" t="str">
        <f ca="1">IFERROR(__xludf.DUMMYFUNCTION("""COMPUTED_VALUE"""),"Envío ficha TCR en CAP")</f>
        <v>Envío ficha TCR en CAP</v>
      </c>
      <c r="AB57" s="4" t="str">
        <f ca="1">IFERROR(__xludf.DUMMYFUNCTION("""COMPUTED_VALUE"""),"Se pretende enviar la ficha TCR desde la herramienta CAP, contemplando la asignación de tasas personalizadas")</f>
        <v>Se pretende enviar la ficha TCR desde la herramienta CAP, contemplando la asignación de tasas personalizadas</v>
      </c>
      <c r="AC57" s="4" t="str">
        <f ca="1">IFERROR(__xludf.DUMMYFUNCTION("""COMPUTED_VALUE"""),"1Q 2023")</f>
        <v>1Q 2023</v>
      </c>
      <c r="AD57" s="4"/>
      <c r="AE57" s="4"/>
      <c r="AF57" s="4"/>
      <c r="AG57" s="4"/>
      <c r="AH57" s="4"/>
      <c r="AI57" s="4"/>
      <c r="AJ57" s="4"/>
      <c r="AK57" s="131" t="str">
        <f ca="1">IFERROR(__xludf.DUMMYFUNCTION("""COMPUTED_VALUE"""),"COLWSPREST-3775")</f>
        <v>COLWSPREST-3775</v>
      </c>
      <c r="AL57" s="4" t="str">
        <f ca="1">IFERROR(__xludf.DUMMYFUNCTION("""COMPUTED_VALUE"""),"Accepted")</f>
        <v>Accepted</v>
      </c>
      <c r="AM57" s="4"/>
      <c r="AN57" s="4" t="str">
        <f ca="1">IFERROR(__xludf.DUMMYFUNCTION("""COMPUTED_VALUE"""),"Entregable en desarrollo")</f>
        <v>Entregable en desarrollo</v>
      </c>
      <c r="AO57" s="4" t="str">
        <f ca="1">IFERROR(__xludf.DUMMYFUNCTION("""COMPUTED_VALUE"""),"Consumo partnerships")</f>
        <v>Consumo partnerships</v>
      </c>
      <c r="AP57" s="4"/>
      <c r="AQ57" s="4"/>
      <c r="AR57" s="4" t="str">
        <f ca="1">IFERROR(__xludf.DUMMYFUNCTION("""COMPUTED_VALUE"""),"SDA aprobada en PPP Q1 2023")</f>
        <v>SDA aprobada en PPP Q1 2023</v>
      </c>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row>
    <row r="58" spans="1:132" x14ac:dyDescent="0.2">
      <c r="A58" s="4">
        <f ca="1">IFERROR(__xludf.DUMMYFUNCTION("""COMPUTED_VALUE"""),58)</f>
        <v>58</v>
      </c>
      <c r="B58" s="4">
        <f ca="1">IFERROR(__xludf.DUMMYFUNCTION("""COMPUTED_VALUE"""),49)</f>
        <v>49</v>
      </c>
      <c r="C58" s="4" t="str">
        <f ca="1">IFERROR(__xludf.DUMMYFUNCTION("""COMPUTED_VALUE"""),"SDATOOL-36560")</f>
        <v>SDATOOL-36560</v>
      </c>
      <c r="D58" s="4" t="str">
        <f ca="1">IFERROR(__xludf.DUMMYFUNCTION("""COMPUTED_VALUE"""),"Pricing de libranza - Plan Ascenso Open Market")</f>
        <v>Pricing de libranza - Plan Ascenso Open Market</v>
      </c>
      <c r="E58"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8" s="4" t="str">
        <f ca="1">IFERROR(__xludf.DUMMYFUNCTION("""COMPUTED_VALUE"""),"Project")</f>
        <v>Project</v>
      </c>
      <c r="G58" s="4" t="str">
        <f ca="1">IFERROR(__xludf.DUMMYFUNCTION("""COMPUTED_VALUE"""),"Stock")</f>
        <v>Stock</v>
      </c>
      <c r="H58" s="4" t="str">
        <f ca="1">IFERROR(__xludf.DUMMYFUNCTION("""COMPUTED_VALUE"""),"3Q 2023")</f>
        <v>3Q 2023</v>
      </c>
      <c r="I58" s="131" t="str">
        <f ca="1">IFERROR(__xludf.DUMMYFUNCTION("""COMPUTED_VALUE"""),"jimy.catolico-bbva.com")</f>
        <v>jimy.catolico-bbva.com</v>
      </c>
      <c r="J58" s="131" t="str">
        <f ca="1">IFERROR(__xludf.DUMMYFUNCTION("""COMPUTED_VALUE"""),"diegofernand.castro-bbva.com")</f>
        <v>diegofernand.castro-bbva.com</v>
      </c>
      <c r="K58" s="131" t="str">
        <f ca="1">IFERROR(__xludf.DUMMYFUNCTION("""COMPUTED_VALUE"""),"monica.zamudio-bbva.com")</f>
        <v>monica.zamudio-bbva.com</v>
      </c>
      <c r="L58" s="4"/>
      <c r="M58" s="4"/>
      <c r="N58" s="4"/>
      <c r="O58" s="4" t="str">
        <f ca="1">IFERROR(__xludf.DUMMYFUNCTION("""COMPUTED_VALUE"""),"Scrum")</f>
        <v>Scrum</v>
      </c>
      <c r="P58" s="4" t="str">
        <f ca="1">IFERROR(__xludf.DUMMYFUNCTION("""COMPUTED_VALUE"""),"Gladiadores")</f>
        <v>Gladiadores</v>
      </c>
      <c r="Q58" s="4"/>
      <c r="R58" s="130" t="str">
        <f ca="1">IFERROR(__xludf.DUMMYFUNCTION("""COMPUTED_VALUE"""),"Advanced Analytics")</f>
        <v>Advanced Analytics</v>
      </c>
      <c r="S58" s="130" t="str">
        <f ca="1">IFERROR(__xludf.DUMMYFUNCTION("""COMPUTED_VALUE"""),"Plan Ascenso")</f>
        <v>Plan Ascenso</v>
      </c>
      <c r="T58" s="130" t="str">
        <f ca="1">IFERROR(__xludf.DUMMYFUNCTION("""COMPUTED_VALUE"""),"1. Generación de Ingresos")</f>
        <v>1. Generación de Ingresos</v>
      </c>
      <c r="U58" s="130" t="str">
        <f ca="1">IFERROR(__xludf.DUMMYFUNCTION("""COMPUTED_VALUE"""),"1.2. Proyectos de Consumo")</f>
        <v>1.2. Proyectos de Consumo</v>
      </c>
      <c r="V58" s="4" t="str">
        <f ca="1">IFERROR(__xludf.DUMMYFUNCTION("""COMPUTED_VALUE"""),"Pricing")</f>
        <v>Pricing</v>
      </c>
      <c r="W58" s="4">
        <f ca="1">IFERROR(__xludf.DUMMYFUNCTION("""COMPUTED_VALUE"""),1)</f>
        <v>1</v>
      </c>
      <c r="X58" s="4" t="str">
        <f ca="1">IFERROR(__xludf.DUMMYFUNCTION("""COMPUTED_VALUE"""),"09. Data")</f>
        <v>09. Data</v>
      </c>
      <c r="Y58" s="4" t="str">
        <f ca="1">IFERROR(__xludf.DUMMYFUNCTION("""COMPUTED_VALUE"""),"4.1.1. Own channels")</f>
        <v>4.1.1. Own channels</v>
      </c>
      <c r="Z58" s="132" t="str">
        <f ca="1">IFERROR(__xludf.DUMMYFUNCTION("""COMPUTED_VALUE"""),"610509")</f>
        <v>610509</v>
      </c>
      <c r="AA58" s="4" t="str">
        <f ca="1">IFERROR(__xludf.DUMMYFUNCTION("""COMPUTED_VALUE"""),"Reportes pricing y mejora cargue del modelo")</f>
        <v>Reportes pricing y mejora cargue del modelo</v>
      </c>
      <c r="AB58" s="4" t="str">
        <f ca="1">IFERROR(__xludf.DUMMYFUNCTION("""COMPUTED_VALUE"""),"Tener reportes pricing y mejorar el cargue del modelo")</f>
        <v>Tener reportes pricing y mejorar el cargue del modelo</v>
      </c>
      <c r="AC58" s="4" t="str">
        <f ca="1">IFERROR(__xludf.DUMMYFUNCTION("""COMPUTED_VALUE"""),"3Q 2023")</f>
        <v>3Q 2023</v>
      </c>
      <c r="AD58" s="4"/>
      <c r="AE58" s="4"/>
      <c r="AF58" s="4"/>
      <c r="AG58" s="4"/>
      <c r="AH58" s="4"/>
      <c r="AI58" s="4"/>
      <c r="AJ58" s="4"/>
      <c r="AK58" s="131" t="str">
        <f ca="1">IFERROR(__xludf.DUMMYFUNCTION("""COMPUTED_VALUE"""),"COLWSPREST-7249")</f>
        <v>COLWSPREST-7249</v>
      </c>
      <c r="AL58" s="4" t="str">
        <f ca="1">IFERROR(__xludf.DUMMYFUNCTION("""COMPUTED_VALUE"""),"Blocked")</f>
        <v>Blocked</v>
      </c>
      <c r="AM58" s="4"/>
      <c r="AN58" s="4" t="str">
        <f ca="1">IFERROR(__xludf.DUMMYFUNCTION("""COMPUTED_VALUE"""),"Entregable en desarrollo")</f>
        <v>Entregable en desarrollo</v>
      </c>
      <c r="AO58" s="4" t="str">
        <f ca="1">IFERROR(__xludf.DUMMYFUNCTION("""COMPUTED_VALUE"""),"Consumo partnerships")</f>
        <v>Consumo partnerships</v>
      </c>
      <c r="AP58" s="4"/>
      <c r="AQ58" s="4"/>
      <c r="AR58" s="4" t="str">
        <f ca="1">IFERROR(__xludf.DUMMYFUNCTION("""COMPUTED_VALUE"""),"SDA aprobada en PPP Q1 2023")</f>
        <v>SDA aprobada en PPP Q1 2023</v>
      </c>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row>
    <row r="59" spans="1:132" x14ac:dyDescent="0.2">
      <c r="A59" s="4">
        <f ca="1">IFERROR(__xludf.DUMMYFUNCTION("""COMPUTED_VALUE"""),59)</f>
        <v>59</v>
      </c>
      <c r="B59" s="4">
        <f ca="1">IFERROR(__xludf.DUMMYFUNCTION("""COMPUTED_VALUE"""),50)</f>
        <v>50</v>
      </c>
      <c r="C59" s="4" t="str">
        <f ca="1">IFERROR(__xludf.DUMMYFUNCTION("""COMPUTED_VALUE"""),"SDATOOL-36560")</f>
        <v>SDATOOL-36560</v>
      </c>
      <c r="D59" s="4" t="str">
        <f ca="1">IFERROR(__xludf.DUMMYFUNCTION("""COMPUTED_VALUE"""),"Pricing de libranza - Plan Ascenso Open Market")</f>
        <v>Pricing de libranza - Plan Ascenso Open Market</v>
      </c>
      <c r="E59"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9" s="4" t="str">
        <f ca="1">IFERROR(__xludf.DUMMYFUNCTION("""COMPUTED_VALUE"""),"Project")</f>
        <v>Project</v>
      </c>
      <c r="G59" s="4" t="str">
        <f ca="1">IFERROR(__xludf.DUMMYFUNCTION("""COMPUTED_VALUE"""),"Stock")</f>
        <v>Stock</v>
      </c>
      <c r="H59" s="4" t="str">
        <f ca="1">IFERROR(__xludf.DUMMYFUNCTION("""COMPUTED_VALUE"""),"3Q 2023")</f>
        <v>3Q 2023</v>
      </c>
      <c r="I59" s="131" t="str">
        <f ca="1">IFERROR(__xludf.DUMMYFUNCTION("""COMPUTED_VALUE"""),"jimy.catolico-bbva.com")</f>
        <v>jimy.catolico-bbva.com</v>
      </c>
      <c r="J59" s="131" t="str">
        <f ca="1">IFERROR(__xludf.DUMMYFUNCTION("""COMPUTED_VALUE"""),"diegofernand.castro-bbva.com")</f>
        <v>diegofernand.castro-bbva.com</v>
      </c>
      <c r="K59" s="131" t="str">
        <f ca="1">IFERROR(__xludf.DUMMYFUNCTION("""COMPUTED_VALUE"""),"monica.zamudio-bbva.com")</f>
        <v>monica.zamudio-bbva.com</v>
      </c>
      <c r="L59" s="4"/>
      <c r="M59" s="4"/>
      <c r="N59" s="4"/>
      <c r="O59" s="4" t="str">
        <f ca="1">IFERROR(__xludf.DUMMYFUNCTION("""COMPUTED_VALUE"""),"Scrum")</f>
        <v>Scrum</v>
      </c>
      <c r="P59" s="4" t="str">
        <f ca="1">IFERROR(__xludf.DUMMYFUNCTION("""COMPUTED_VALUE"""),"Gladiadores")</f>
        <v>Gladiadores</v>
      </c>
      <c r="Q59" s="4"/>
      <c r="R59" s="130" t="str">
        <f ca="1">IFERROR(__xludf.DUMMYFUNCTION("""COMPUTED_VALUE"""),"Advanced Analytics")</f>
        <v>Advanced Analytics</v>
      </c>
      <c r="S59" s="130" t="str">
        <f ca="1">IFERROR(__xludf.DUMMYFUNCTION("""COMPUTED_VALUE"""),"Plan Ascenso")</f>
        <v>Plan Ascenso</v>
      </c>
      <c r="T59" s="130" t="str">
        <f ca="1">IFERROR(__xludf.DUMMYFUNCTION("""COMPUTED_VALUE"""),"1. Generación de Ingresos")</f>
        <v>1. Generación de Ingresos</v>
      </c>
      <c r="U59" s="130" t="str">
        <f ca="1">IFERROR(__xludf.DUMMYFUNCTION("""COMPUTED_VALUE"""),"1.2. Proyectos de Consumo")</f>
        <v>1.2. Proyectos de Consumo</v>
      </c>
      <c r="V59" s="4" t="str">
        <f ca="1">IFERROR(__xludf.DUMMYFUNCTION("""COMPUTED_VALUE"""),"Pricing")</f>
        <v>Pricing</v>
      </c>
      <c r="W59" s="4">
        <f ca="1">IFERROR(__xludf.DUMMYFUNCTION("""COMPUTED_VALUE"""),1)</f>
        <v>1</v>
      </c>
      <c r="X59" s="4" t="str">
        <f ca="1">IFERROR(__xludf.DUMMYFUNCTION("""COMPUTED_VALUE"""),"09. Data")</f>
        <v>09. Data</v>
      </c>
      <c r="Y59" s="4" t="str">
        <f ca="1">IFERROR(__xludf.DUMMYFUNCTION("""COMPUTED_VALUE"""),"4.1.1. Own channels")</f>
        <v>4.1.1. Own channels</v>
      </c>
      <c r="Z59" s="132" t="str">
        <f ca="1">IFERROR(__xludf.DUMMYFUNCTION("""COMPUTED_VALUE"""),"712968")</f>
        <v>712968</v>
      </c>
      <c r="AA59" s="4" t="str">
        <f ca="1">IFERROR(__xludf.DUMMYFUNCTION("""COMPUTED_VALUE"""),"Mejora Cashback Libranzas")</f>
        <v>Mejora Cashback Libranzas</v>
      </c>
      <c r="AB59" s="4" t="str">
        <f ca="1">IFERROR(__xludf.DUMMYFUNCTION("""COMPUTED_VALUE"""),"Flexibilización de tasa por portafolio de Nómina, retorno con CashBack")</f>
        <v>Flexibilización de tasa por portafolio de Nómina, retorno con CashBack</v>
      </c>
      <c r="AC59" s="4" t="str">
        <f ca="1">IFERROR(__xludf.DUMMYFUNCTION("""COMPUTED_VALUE"""),"3Q 2023")</f>
        <v>3Q 2023</v>
      </c>
      <c r="AD59" s="4"/>
      <c r="AE59" s="4"/>
      <c r="AF59" s="4"/>
      <c r="AG59" s="4"/>
      <c r="AH59" s="4"/>
      <c r="AI59" s="4"/>
      <c r="AJ59" s="4"/>
      <c r="AK59" s="131" t="str">
        <f ca="1">IFERROR(__xludf.DUMMYFUNCTION("""COMPUTED_VALUE"""),"COLWSPREST-10591")</f>
        <v>COLWSPREST-10591</v>
      </c>
      <c r="AL59" s="4" t="str">
        <f ca="1">IFERROR(__xludf.DUMMYFUNCTION("""COMPUTED_VALUE"""),"Analysing")</f>
        <v>Analysing</v>
      </c>
      <c r="AM59" s="4"/>
      <c r="AN59" s="4" t="str">
        <f ca="1">IFERROR(__xludf.DUMMYFUNCTION("""COMPUTED_VALUE"""),"Entregable en backlog")</f>
        <v>Entregable en backlog</v>
      </c>
      <c r="AO59" s="4" t="str">
        <f ca="1">IFERROR(__xludf.DUMMYFUNCTION("""COMPUTED_VALUE"""),"Consumo partnerships")</f>
        <v>Consumo partnerships</v>
      </c>
      <c r="AP59" s="4"/>
      <c r="AQ59" s="4"/>
      <c r="AR59" s="4" t="str">
        <f ca="1">IFERROR(__xludf.DUMMYFUNCTION("""COMPUTED_VALUE"""),"SDA aprobada en PPP Q1 2023")</f>
        <v>SDA aprobada en PPP Q1 2023</v>
      </c>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row>
    <row r="60" spans="1:132" x14ac:dyDescent="0.2">
      <c r="A60" s="4">
        <f ca="1">IFERROR(__xludf.DUMMYFUNCTION("""COMPUTED_VALUE"""),60)</f>
        <v>60</v>
      </c>
      <c r="B60" s="4">
        <f ca="1">IFERROR(__xludf.DUMMYFUNCTION("""COMPUTED_VALUE"""),51)</f>
        <v>51</v>
      </c>
      <c r="C60" s="4" t="str">
        <f ca="1">IFERROR(__xludf.DUMMYFUNCTION("""COMPUTED_VALUE"""),"SDATOOL-36560")</f>
        <v>SDATOOL-36560</v>
      </c>
      <c r="D60" s="4" t="str">
        <f ca="1">IFERROR(__xludf.DUMMYFUNCTION("""COMPUTED_VALUE"""),"Pricing de libranza - Plan Ascenso Open Market")</f>
        <v>Pricing de libranza - Plan Ascenso Open Market</v>
      </c>
      <c r="E60"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60" s="4" t="str">
        <f ca="1">IFERROR(__xludf.DUMMYFUNCTION("""COMPUTED_VALUE"""),"Project")</f>
        <v>Project</v>
      </c>
      <c r="G60" s="4" t="str">
        <f ca="1">IFERROR(__xludf.DUMMYFUNCTION("""COMPUTED_VALUE"""),"Stock")</f>
        <v>Stock</v>
      </c>
      <c r="H60" s="4" t="str">
        <f ca="1">IFERROR(__xludf.DUMMYFUNCTION("""COMPUTED_VALUE"""),"3Q 2023")</f>
        <v>3Q 2023</v>
      </c>
      <c r="I60" s="131" t="str">
        <f ca="1">IFERROR(__xludf.DUMMYFUNCTION("""COMPUTED_VALUE"""),"jimy.catolico-bbva.com")</f>
        <v>jimy.catolico-bbva.com</v>
      </c>
      <c r="J60" s="131" t="str">
        <f ca="1">IFERROR(__xludf.DUMMYFUNCTION("""COMPUTED_VALUE"""),"diegofernand.castro-bbva.com")</f>
        <v>diegofernand.castro-bbva.com</v>
      </c>
      <c r="K60" s="131" t="str">
        <f ca="1">IFERROR(__xludf.DUMMYFUNCTION("""COMPUTED_VALUE"""),"monica.zamudio-bbva.com")</f>
        <v>monica.zamudio-bbva.com</v>
      </c>
      <c r="L60" s="4"/>
      <c r="M60" s="4"/>
      <c r="N60" s="4"/>
      <c r="O60" s="4" t="str">
        <f ca="1">IFERROR(__xludf.DUMMYFUNCTION("""COMPUTED_VALUE"""),"Scrum")</f>
        <v>Scrum</v>
      </c>
      <c r="P60" s="4" t="str">
        <f ca="1">IFERROR(__xludf.DUMMYFUNCTION("""COMPUTED_VALUE"""),"Gladiadores")</f>
        <v>Gladiadores</v>
      </c>
      <c r="Q60" s="4"/>
      <c r="R60" s="130" t="str">
        <f ca="1">IFERROR(__xludf.DUMMYFUNCTION("""COMPUTED_VALUE"""),"Advanced Analytics")</f>
        <v>Advanced Analytics</v>
      </c>
      <c r="S60" s="130" t="str">
        <f ca="1">IFERROR(__xludf.DUMMYFUNCTION("""COMPUTED_VALUE"""),"Plan Ascenso")</f>
        <v>Plan Ascenso</v>
      </c>
      <c r="T60" s="130" t="str">
        <f ca="1">IFERROR(__xludf.DUMMYFUNCTION("""COMPUTED_VALUE"""),"1. Generación de Ingresos")</f>
        <v>1. Generación de Ingresos</v>
      </c>
      <c r="U60" s="130" t="str">
        <f ca="1">IFERROR(__xludf.DUMMYFUNCTION("""COMPUTED_VALUE"""),"1.2. Proyectos de Consumo")</f>
        <v>1.2. Proyectos de Consumo</v>
      </c>
      <c r="V60" s="4" t="str">
        <f ca="1">IFERROR(__xludf.DUMMYFUNCTION("""COMPUTED_VALUE"""),"Pricing")</f>
        <v>Pricing</v>
      </c>
      <c r="W60" s="4">
        <f ca="1">IFERROR(__xludf.DUMMYFUNCTION("""COMPUTED_VALUE"""),1)</f>
        <v>1</v>
      </c>
      <c r="X60" s="4" t="str">
        <f ca="1">IFERROR(__xludf.DUMMYFUNCTION("""COMPUTED_VALUE"""),"09. Data")</f>
        <v>09. Data</v>
      </c>
      <c r="Y60" s="4" t="str">
        <f ca="1">IFERROR(__xludf.DUMMYFUNCTION("""COMPUTED_VALUE"""),"4.1.1. Own channels")</f>
        <v>4.1.1. Own channels</v>
      </c>
      <c r="Z60" s="132" t="str">
        <f ca="1">IFERROR(__xludf.DUMMYFUNCTION("""COMPUTED_VALUE"""),"713348")</f>
        <v>713348</v>
      </c>
      <c r="AA60" s="4" t="str">
        <f ca="1">IFERROR(__xludf.DUMMYFUNCTION("""COMPUTED_VALUE"""),"Nivelación Pricing Vehículo")</f>
        <v>Nivelación Pricing Vehículo</v>
      </c>
      <c r="AB60" s="4" t="str">
        <f ca="1">IFERROR(__xludf.DUMMYFUNCTION("""COMPUTED_VALUE"""),"Nivelar el modelo de libranza a vehículo")</f>
        <v>Nivelar el modelo de libranza a vehículo</v>
      </c>
      <c r="AC60" s="4" t="str">
        <f ca="1">IFERROR(__xludf.DUMMYFUNCTION("""COMPUTED_VALUE"""),"4Q 2023")</f>
        <v>4Q 2023</v>
      </c>
      <c r="AD60" s="4"/>
      <c r="AE60" s="4"/>
      <c r="AF60" s="4"/>
      <c r="AG60" s="4"/>
      <c r="AH60" s="4"/>
      <c r="AI60" s="4"/>
      <c r="AJ60" s="4"/>
      <c r="AK60" s="131" t="str">
        <f ca="1">IFERROR(__xludf.DUMMYFUNCTION("""COMPUTED_VALUE"""),"COLWSPREST-11464")</f>
        <v>COLWSPREST-11464</v>
      </c>
      <c r="AL60" s="4" t="str">
        <f ca="1">IFERROR(__xludf.DUMMYFUNCTION("""COMPUTED_VALUE"""),"New")</f>
        <v>New</v>
      </c>
      <c r="AM60" s="4"/>
      <c r="AN60" s="4" t="str">
        <f ca="1">IFERROR(__xludf.DUMMYFUNCTION("""COMPUTED_VALUE"""),"Entregable en backlog")</f>
        <v>Entregable en backlog</v>
      </c>
      <c r="AO60" s="4" t="str">
        <f ca="1">IFERROR(__xludf.DUMMYFUNCTION("""COMPUTED_VALUE"""),"Consumo partnerships")</f>
        <v>Consumo partnerships</v>
      </c>
      <c r="AP60" s="4"/>
      <c r="AQ60" s="4"/>
      <c r="AR60" s="4" t="str">
        <f ca="1">IFERROR(__xludf.DUMMYFUNCTION("""COMPUTED_VALUE"""),"SDA aprobada en PPP Q1 2023")</f>
        <v>SDA aprobada en PPP Q1 2023</v>
      </c>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row>
    <row r="61" spans="1:132" x14ac:dyDescent="0.2">
      <c r="A61" s="4">
        <f ca="1">IFERROR(__xludf.DUMMYFUNCTION("""COMPUTED_VALUE"""),61)</f>
        <v>61</v>
      </c>
      <c r="B61" s="4">
        <f ca="1">IFERROR(__xludf.DUMMYFUNCTION("""COMPUTED_VALUE"""),52)</f>
        <v>52</v>
      </c>
      <c r="C61" s="4" t="str">
        <f ca="1">IFERROR(__xludf.DUMMYFUNCTION("""COMPUTED_VALUE"""),"SDATOOL-37100")</f>
        <v>SDATOOL-37100</v>
      </c>
      <c r="D61" s="4" t="str">
        <f ca="1">IFERROR(__xludf.DUMMYFUNCTION("""COMPUTED_VALUE"""),"Soluciones de voz/Internalización del IVR - Plan Ascenso Privado")</f>
        <v>Soluciones de voz/Internalización del IVR - Plan Ascenso Privado</v>
      </c>
      <c r="E61"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1" s="4" t="str">
        <f ca="1">IFERROR(__xludf.DUMMYFUNCTION("""COMPUTED_VALUE"""),"Project")</f>
        <v>Project</v>
      </c>
      <c r="G61" s="4" t="str">
        <f ca="1">IFERROR(__xludf.DUMMYFUNCTION("""COMPUTED_VALUE"""),"Stock")</f>
        <v>Stock</v>
      </c>
      <c r="H61" s="4" t="str">
        <f ca="1">IFERROR(__xludf.DUMMYFUNCTION("""COMPUTED_VALUE"""),"4Q 2023")</f>
        <v>4Q 2023</v>
      </c>
      <c r="I61" s="131" t="str">
        <f ca="1">IFERROR(__xludf.DUMMYFUNCTION("""COMPUTED_VALUE"""),"jimy.catolico-bbva.com")</f>
        <v>jimy.catolico-bbva.com</v>
      </c>
      <c r="J61" s="131" t="str">
        <f ca="1">IFERROR(__xludf.DUMMYFUNCTION("""COMPUTED_VALUE"""),"juliocesar.estupinan-bbva.com")</f>
        <v>juliocesar.estupinan-bbva.com</v>
      </c>
      <c r="K61" s="131" t="str">
        <f ca="1">IFERROR(__xludf.DUMMYFUNCTION("""COMPUTED_VALUE"""),"yurimilena.moreno-bbva.com")</f>
        <v>yurimilena.moreno-bbva.com</v>
      </c>
      <c r="L61" s="130">
        <f ca="1">IFERROR(__xludf.DUMMYFUNCTION("""COMPUTED_VALUE"""),1)</f>
        <v>1</v>
      </c>
      <c r="M61" s="130">
        <f ca="1">IFERROR(__xludf.DUMMYFUNCTION("""COMPUTED_VALUE"""),3)</f>
        <v>3</v>
      </c>
      <c r="N61" s="130">
        <f ca="1">IFERROR(__xludf.DUMMYFUNCTION("""COMPUTED_VALUE"""),2.02)</f>
        <v>2.02</v>
      </c>
      <c r="O61" s="4" t="str">
        <f ca="1">IFERROR(__xludf.DUMMYFUNCTION("""COMPUTED_VALUE"""),"Scrum")</f>
        <v>Scrum</v>
      </c>
      <c r="P61" s="4" t="str">
        <f ca="1">IFERROR(__xludf.DUMMYFUNCTION("""COMPUTED_VALUE"""),"Kingsman")</f>
        <v>Kingsman</v>
      </c>
      <c r="Q61" s="130">
        <f ca="1">IFERROR(__xludf.DUMMYFUNCTION("""COMPUTED_VALUE"""),1)</f>
        <v>1</v>
      </c>
      <c r="R61" s="130" t="str">
        <f ca="1">IFERROR(__xludf.DUMMYFUNCTION("""COMPUTED_VALUE"""),"Business Innovation &amp; Strategy")</f>
        <v>Business Innovation &amp; Strategy</v>
      </c>
      <c r="S61" s="130" t="str">
        <f ca="1">IFERROR(__xludf.DUMMYFUNCTION("""COMPUTED_VALUE"""),"Plan Ascenso")</f>
        <v>Plan Ascenso</v>
      </c>
      <c r="T61" s="130" t="str">
        <f ca="1">IFERROR(__xludf.DUMMYFUNCTION("""COMPUTED_VALUE"""),"1. Generación de Ingresos")</f>
        <v>1. Generación de Ingresos</v>
      </c>
      <c r="U61" s="130" t="str">
        <f ca="1">IFERROR(__xludf.DUMMYFUNCTION("""COMPUTED_VALUE"""),"1.5. Otros de Proyectos de Ingresos")</f>
        <v>1.5. Otros de Proyectos de Ingresos</v>
      </c>
      <c r="V61" s="4" t="str">
        <f ca="1">IFERROR(__xludf.DUMMYFUNCTION("""COMPUTED_VALUE"""),"Gestor remoto")</f>
        <v>Gestor remoto</v>
      </c>
      <c r="W61" s="4">
        <f ca="1">IFERROR(__xludf.DUMMYFUNCTION("""COMPUTED_VALUE"""),1)</f>
        <v>1</v>
      </c>
      <c r="X61" s="4" t="str">
        <f ca="1">IFERROR(__xludf.DUMMYFUNCTION("""COMPUTED_VALUE"""),"04. Relationship Models")</f>
        <v>04. Relationship Models</v>
      </c>
      <c r="Y61" s="4" t="str">
        <f ca="1">IFERROR(__xludf.DUMMYFUNCTION("""COMPUTED_VALUE"""),"5.6.1 RM - Retail")</f>
        <v>5.6.1 RM - Retail</v>
      </c>
      <c r="Z61" s="132" t="str">
        <f ca="1">IFERROR(__xludf.DUMMYFUNCTION("""COMPUTED_VALUE"""),"490007")</f>
        <v>490007</v>
      </c>
      <c r="AA61" s="4" t="str">
        <f ca="1">IFERROR(__xludf.DUMMYFUNCTION("""COMPUTED_VALUE"""),"Encuesta NPS")</f>
        <v>Encuesta NPS</v>
      </c>
      <c r="AB61" s="4" t="str">
        <f ca="1">IFERROR(__xludf.DUMMYFUNCTION("""COMPUTED_VALUE"""),"Recoger encuesta feedback de clientes por medio de la pregunta NPS")</f>
        <v>Recoger encuesta feedback de clientes por medio de la pregunta NPS</v>
      </c>
      <c r="AC61" s="4" t="str">
        <f ca="1">IFERROR(__xludf.DUMMYFUNCTION("""COMPUTED_VALUE"""),"1Q 2023")</f>
        <v>1Q 2023</v>
      </c>
      <c r="AD61" s="4"/>
      <c r="AE61" s="4"/>
      <c r="AF61" s="4"/>
      <c r="AG61" s="4"/>
      <c r="AH61" s="4"/>
      <c r="AI61" s="4"/>
      <c r="AJ61" s="4"/>
      <c r="AK61" s="131" t="str">
        <f ca="1">IFERROR(__xludf.DUMMYFUNCTION("""COMPUTED_VALUE"""),"COLWSCANAL-6848")</f>
        <v>COLWSCANAL-6848</v>
      </c>
      <c r="AL61" s="4" t="str">
        <f ca="1">IFERROR(__xludf.DUMMYFUNCTION("""COMPUTED_VALUE"""),"Deployed")</f>
        <v>Deployed</v>
      </c>
      <c r="AM61" s="4"/>
      <c r="AN61" s="4" t="str">
        <f ca="1">IFERROR(__xludf.DUMMYFUNCTION("""COMPUTED_VALUE"""),"Finalizado")</f>
        <v>Finalizado</v>
      </c>
      <c r="AO61" s="4" t="str">
        <f ca="1">IFERROR(__xludf.DUMMYFUNCTION("""COMPUTED_VALUE"""),"Transformación de la Red")</f>
        <v>Transformación de la Red</v>
      </c>
      <c r="AP61" s="4"/>
      <c r="AQ61" s="4"/>
      <c r="AR61" s="4" t="str">
        <f ca="1">IFERROR(__xludf.DUMMYFUNCTION("""COMPUTED_VALUE"""),"SDA aprobada en PPP Q1 2023")</f>
        <v>SDA aprobada en PPP Q1 2023</v>
      </c>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133">
        <f ca="1">IFERROR(__xludf.DUMMYFUNCTION("""COMPUTED_VALUE"""),0)</f>
        <v>0</v>
      </c>
      <c r="DV61" s="133">
        <f ca="1">IFERROR(__xludf.DUMMYFUNCTION("""COMPUTED_VALUE"""),0)</f>
        <v>0</v>
      </c>
      <c r="DW61" s="133">
        <f ca="1">IFERROR(__xludf.DUMMYFUNCTION("""COMPUTED_VALUE"""),140808942)</f>
        <v>140808942</v>
      </c>
      <c r="DX61" s="133">
        <f ca="1">IFERROR(__xludf.DUMMYFUNCTION("""COMPUTED_VALUE"""),1169540800)</f>
        <v>1169540800</v>
      </c>
      <c r="DY61" s="133">
        <f ca="1">IFERROR(__xludf.DUMMYFUNCTION("""COMPUTED_VALUE"""),300000000)</f>
        <v>300000000</v>
      </c>
      <c r="DZ61" s="133">
        <f ca="1">IFERROR(__xludf.DUMMYFUNCTION("""COMPUTED_VALUE"""),1610349742)</f>
        <v>1610349742</v>
      </c>
      <c r="EA61" s="4"/>
      <c r="EB61" s="4"/>
    </row>
    <row r="62" spans="1:132" x14ac:dyDescent="0.2">
      <c r="A62" s="4">
        <f ca="1">IFERROR(__xludf.DUMMYFUNCTION("""COMPUTED_VALUE"""),62)</f>
        <v>62</v>
      </c>
      <c r="B62" s="4">
        <f ca="1">IFERROR(__xludf.DUMMYFUNCTION("""COMPUTED_VALUE"""),53)</f>
        <v>53</v>
      </c>
      <c r="C62" s="4" t="str">
        <f ca="1">IFERROR(__xludf.DUMMYFUNCTION("""COMPUTED_VALUE"""),"SDATOOL-37100")</f>
        <v>SDATOOL-37100</v>
      </c>
      <c r="D62" s="4" t="str">
        <f ca="1">IFERROR(__xludf.DUMMYFUNCTION("""COMPUTED_VALUE"""),"Soluciones de voz/Internalización del IVR - Plan Ascenso Privado")</f>
        <v>Soluciones de voz/Internalización del IVR - Plan Ascenso Privado</v>
      </c>
      <c r="E62"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2" s="4" t="str">
        <f ca="1">IFERROR(__xludf.DUMMYFUNCTION("""COMPUTED_VALUE"""),"Project")</f>
        <v>Project</v>
      </c>
      <c r="G62" s="4" t="str">
        <f ca="1">IFERROR(__xludf.DUMMYFUNCTION("""COMPUTED_VALUE"""),"Stock")</f>
        <v>Stock</v>
      </c>
      <c r="H62" s="4" t="str">
        <f ca="1">IFERROR(__xludf.DUMMYFUNCTION("""COMPUTED_VALUE"""),"4Q 2023")</f>
        <v>4Q 2023</v>
      </c>
      <c r="I62" s="131" t="str">
        <f ca="1">IFERROR(__xludf.DUMMYFUNCTION("""COMPUTED_VALUE"""),"jimy.catolico-bbva.com")</f>
        <v>jimy.catolico-bbva.com</v>
      </c>
      <c r="J62" s="131" t="str">
        <f ca="1">IFERROR(__xludf.DUMMYFUNCTION("""COMPUTED_VALUE"""),"juliocesar.estupinan-bbva.com")</f>
        <v>juliocesar.estupinan-bbva.com</v>
      </c>
      <c r="K62" s="131" t="str">
        <f ca="1">IFERROR(__xludf.DUMMYFUNCTION("""COMPUTED_VALUE"""),"yurimilena.moreno-bbva.com")</f>
        <v>yurimilena.moreno-bbva.com</v>
      </c>
      <c r="L62" s="4"/>
      <c r="M62" s="4"/>
      <c r="N62" s="4"/>
      <c r="O62" s="4" t="str">
        <f ca="1">IFERROR(__xludf.DUMMYFUNCTION("""COMPUTED_VALUE"""),"Scrum")</f>
        <v>Scrum</v>
      </c>
      <c r="P62" s="4" t="str">
        <f ca="1">IFERROR(__xludf.DUMMYFUNCTION("""COMPUTED_VALUE"""),"Kingsman")</f>
        <v>Kingsman</v>
      </c>
      <c r="Q62" s="4"/>
      <c r="R62" s="130" t="str">
        <f ca="1">IFERROR(__xludf.DUMMYFUNCTION("""COMPUTED_VALUE"""),"Business Innovation &amp; Strategy")</f>
        <v>Business Innovation &amp; Strategy</v>
      </c>
      <c r="S62" s="130" t="str">
        <f ca="1">IFERROR(__xludf.DUMMYFUNCTION("""COMPUTED_VALUE"""),"Plan Ascenso")</f>
        <v>Plan Ascenso</v>
      </c>
      <c r="T62" s="130" t="str">
        <f ca="1">IFERROR(__xludf.DUMMYFUNCTION("""COMPUTED_VALUE"""),"1. Generación de Ingresos")</f>
        <v>1. Generación de Ingresos</v>
      </c>
      <c r="U62" s="130" t="str">
        <f ca="1">IFERROR(__xludf.DUMMYFUNCTION("""COMPUTED_VALUE"""),"1.5. Otros de Proyectos de Ingresos")</f>
        <v>1.5. Otros de Proyectos de Ingresos</v>
      </c>
      <c r="V62" s="4" t="str">
        <f ca="1">IFERROR(__xludf.DUMMYFUNCTION("""COMPUTED_VALUE"""),"Gestor remoto")</f>
        <v>Gestor remoto</v>
      </c>
      <c r="W62" s="4">
        <f ca="1">IFERROR(__xludf.DUMMYFUNCTION("""COMPUTED_VALUE"""),1)</f>
        <v>1</v>
      </c>
      <c r="X62" s="4" t="str">
        <f ca="1">IFERROR(__xludf.DUMMYFUNCTION("""COMPUTED_VALUE"""),"04. Relationship Models")</f>
        <v>04. Relationship Models</v>
      </c>
      <c r="Y62" s="4" t="str">
        <f ca="1">IFERROR(__xludf.DUMMYFUNCTION("""COMPUTED_VALUE"""),"5.6.1 RM - Retail")</f>
        <v>5.6.1 RM - Retail</v>
      </c>
      <c r="Z62" s="132" t="str">
        <f ca="1">IFERROR(__xludf.DUMMYFUNCTION("""COMPUTED_VALUE"""),"368724")</f>
        <v>368724</v>
      </c>
      <c r="AA62" s="4" t="str">
        <f ca="1">IFERROR(__xludf.DUMMYFUNCTION("""COMPUTED_VALUE"""),"Identificación y enrutamiento de cliente")</f>
        <v>Identificación y enrutamiento de cliente</v>
      </c>
      <c r="AB62" s="4" t="str">
        <f ca="1">IFERROR(__xludf.DUMMYFUNCTION("""COMPUTED_VALUE"""),"Proyecto de Plan Ascenso
Este Entregable relaciona los siguientes módulos
1.Ruta única de ingresos de llamadas de Banco por medio de la plataforma Genesys.
2.identificación de cliente por Número de celular y/o Id digitado
3. Identificación de no cliente"&amp;"s
4. Identificación del intent de la llamada
5. Enrutamiento de llamadas de acuerdo a reglas de negocio
6.NPS llamadas
7. Almacenamiento de llamadas.")</f>
        <v>Proyecto de Plan Ascenso
Este Entregable relaciona los siguientes módulos
1.Ruta única de ingresos de llamadas de Banco por medio de la plataforma Genesys.
2.identificación de cliente por Número de celular y/o Id digitado
3. Identificación de no clientes
4. Identificación del intent de la llamada
5. Enrutamiento de llamadas de acuerdo a reglas de negocio
6.NPS llamadas
7. Almacenamiento de llamadas.</v>
      </c>
      <c r="AC62" s="4" t="str">
        <f ca="1">IFERROR(__xludf.DUMMYFUNCTION("""COMPUTED_VALUE"""),"3Q 2022")</f>
        <v>3Q 2022</v>
      </c>
      <c r="AD62" s="4"/>
      <c r="AE62" s="4"/>
      <c r="AF62" s="4"/>
      <c r="AG62" s="4"/>
      <c r="AH62" s="4"/>
      <c r="AI62" s="4"/>
      <c r="AJ62" s="4"/>
      <c r="AK62" s="131" t="str">
        <f ca="1">IFERROR(__xludf.DUMMYFUNCTION("""COMPUTED_VALUE"""),"COLWSCANAL-1150")</f>
        <v>COLWSCANAL-1150</v>
      </c>
      <c r="AL62" s="4" t="str">
        <f ca="1">IFERROR(__xludf.DUMMYFUNCTION("""COMPUTED_VALUE"""),"Deployed")</f>
        <v>Deployed</v>
      </c>
      <c r="AM62" s="4"/>
      <c r="AN62" s="4" t="str">
        <f ca="1">IFERROR(__xludf.DUMMYFUNCTION("""COMPUTED_VALUE"""),"Finalizado")</f>
        <v>Finalizado</v>
      </c>
      <c r="AO62" s="4" t="str">
        <f ca="1">IFERROR(__xludf.DUMMYFUNCTION("""COMPUTED_VALUE"""),"Transformación de la Red")</f>
        <v>Transformación de la Red</v>
      </c>
      <c r="AP62" s="4"/>
      <c r="AQ62" s="4"/>
      <c r="AR62" s="4" t="str">
        <f ca="1">IFERROR(__xludf.DUMMYFUNCTION("""COMPUTED_VALUE"""),"SDA aprobada en PPP Q1 2023")</f>
        <v>SDA aprobada en PPP Q1 2023</v>
      </c>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row>
    <row r="63" spans="1:132" x14ac:dyDescent="0.2">
      <c r="A63" s="4">
        <f ca="1">IFERROR(__xludf.DUMMYFUNCTION("""COMPUTED_VALUE"""),63)</f>
        <v>63</v>
      </c>
      <c r="B63" s="4">
        <f ca="1">IFERROR(__xludf.DUMMYFUNCTION("""COMPUTED_VALUE"""),54)</f>
        <v>54</v>
      </c>
      <c r="C63" s="4" t="str">
        <f ca="1">IFERROR(__xludf.DUMMYFUNCTION("""COMPUTED_VALUE"""),"SDATOOL-37100")</f>
        <v>SDATOOL-37100</v>
      </c>
      <c r="D63" s="4" t="str">
        <f ca="1">IFERROR(__xludf.DUMMYFUNCTION("""COMPUTED_VALUE"""),"Soluciones de voz/Internalización del IVR - Plan Ascenso Privado")</f>
        <v>Soluciones de voz/Internalización del IVR - Plan Ascenso Privado</v>
      </c>
      <c r="E63"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3" s="4" t="str">
        <f ca="1">IFERROR(__xludf.DUMMYFUNCTION("""COMPUTED_VALUE"""),"Project")</f>
        <v>Project</v>
      </c>
      <c r="G63" s="4" t="str">
        <f ca="1">IFERROR(__xludf.DUMMYFUNCTION("""COMPUTED_VALUE"""),"Stock")</f>
        <v>Stock</v>
      </c>
      <c r="H63" s="4" t="str">
        <f ca="1">IFERROR(__xludf.DUMMYFUNCTION("""COMPUTED_VALUE"""),"4Q 2023")</f>
        <v>4Q 2023</v>
      </c>
      <c r="I63" s="131" t="str">
        <f ca="1">IFERROR(__xludf.DUMMYFUNCTION("""COMPUTED_VALUE"""),"jimy.catolico-bbva.com")</f>
        <v>jimy.catolico-bbva.com</v>
      </c>
      <c r="J63" s="131" t="str">
        <f ca="1">IFERROR(__xludf.DUMMYFUNCTION("""COMPUTED_VALUE"""),"juliocesar.estupinan-bbva.com")</f>
        <v>juliocesar.estupinan-bbva.com</v>
      </c>
      <c r="K63" s="131" t="str">
        <f ca="1">IFERROR(__xludf.DUMMYFUNCTION("""COMPUTED_VALUE"""),"yurimilena.moreno-bbva.com")</f>
        <v>yurimilena.moreno-bbva.com</v>
      </c>
      <c r="L63" s="4"/>
      <c r="M63" s="4"/>
      <c r="N63" s="4"/>
      <c r="O63" s="4" t="str">
        <f ca="1">IFERROR(__xludf.DUMMYFUNCTION("""COMPUTED_VALUE"""),"Scrum")</f>
        <v>Scrum</v>
      </c>
      <c r="P63" s="4" t="str">
        <f ca="1">IFERROR(__xludf.DUMMYFUNCTION("""COMPUTED_VALUE"""),"Kingsman")</f>
        <v>Kingsman</v>
      </c>
      <c r="Q63" s="4"/>
      <c r="R63" s="130" t="str">
        <f ca="1">IFERROR(__xludf.DUMMYFUNCTION("""COMPUTED_VALUE"""),"Business Innovation &amp; Strategy")</f>
        <v>Business Innovation &amp; Strategy</v>
      </c>
      <c r="S63" s="130" t="str">
        <f ca="1">IFERROR(__xludf.DUMMYFUNCTION("""COMPUTED_VALUE"""),"Plan Ascenso")</f>
        <v>Plan Ascenso</v>
      </c>
      <c r="T63" s="130" t="str">
        <f ca="1">IFERROR(__xludf.DUMMYFUNCTION("""COMPUTED_VALUE"""),"1. Generación de Ingresos")</f>
        <v>1. Generación de Ingresos</v>
      </c>
      <c r="U63" s="130" t="str">
        <f ca="1">IFERROR(__xludf.DUMMYFUNCTION("""COMPUTED_VALUE"""),"1.5. Otros de Proyectos de Ingresos")</f>
        <v>1.5. Otros de Proyectos de Ingresos</v>
      </c>
      <c r="V63" s="4" t="str">
        <f ca="1">IFERROR(__xludf.DUMMYFUNCTION("""COMPUTED_VALUE"""),"Gestor remoto")</f>
        <v>Gestor remoto</v>
      </c>
      <c r="W63" s="4">
        <f ca="1">IFERROR(__xludf.DUMMYFUNCTION("""COMPUTED_VALUE"""),1)</f>
        <v>1</v>
      </c>
      <c r="X63" s="4" t="str">
        <f ca="1">IFERROR(__xludf.DUMMYFUNCTION("""COMPUTED_VALUE"""),"04. Relationship Models")</f>
        <v>04. Relationship Models</v>
      </c>
      <c r="Y63" s="4" t="str">
        <f ca="1">IFERROR(__xludf.DUMMYFUNCTION("""COMPUTED_VALUE"""),"5.6.1 RM - Retail")</f>
        <v>5.6.1 RM - Retail</v>
      </c>
      <c r="Z63" s="132" t="str">
        <f ca="1">IFERROR(__xludf.DUMMYFUNCTION("""COMPUTED_VALUE"""),"556660")</f>
        <v>556660</v>
      </c>
      <c r="AA63" s="4" t="str">
        <f ca="1">IFERROR(__xludf.DUMMYFUNCTION("""COMPUTED_VALUE"""),"IVR/Reglas de cancelaciones")</f>
        <v>IVR/Reglas de cancelaciones</v>
      </c>
      <c r="AB63" s="4" t="str">
        <f ca="1">IFERROR(__xludf.DUMMYFUNCTION("""COMPUTED_VALUE"""),"Generar filtros para paso de asesor, de acuerdo a las reglas de negocio establecidas sobre los saldos de las tarjetas de crédito")</f>
        <v>Generar filtros para paso de asesor, de acuerdo a las reglas de negocio establecidas sobre los saldos de las tarjetas de crédito</v>
      </c>
      <c r="AC63" s="4" t="str">
        <f ca="1">IFERROR(__xludf.DUMMYFUNCTION("""COMPUTED_VALUE"""),"1Q 2023")</f>
        <v>1Q 2023</v>
      </c>
      <c r="AD63" s="4"/>
      <c r="AE63" s="4"/>
      <c r="AF63" s="4"/>
      <c r="AG63" s="4"/>
      <c r="AH63" s="4"/>
      <c r="AI63" s="4"/>
      <c r="AJ63" s="4"/>
      <c r="AK63" s="131" t="str">
        <f ca="1">IFERROR(__xludf.DUMMYFUNCTION("""COMPUTED_VALUE"""),"COLWSCANAL-4353")</f>
        <v>COLWSCANAL-4353</v>
      </c>
      <c r="AL63" s="4" t="str">
        <f ca="1">IFERROR(__xludf.DUMMYFUNCTION("""COMPUTED_VALUE"""),"Deployed")</f>
        <v>Deployed</v>
      </c>
      <c r="AM63" s="4"/>
      <c r="AN63" s="4" t="str">
        <f ca="1">IFERROR(__xludf.DUMMYFUNCTION("""COMPUTED_VALUE"""),"Finalizado")</f>
        <v>Finalizado</v>
      </c>
      <c r="AO63" s="4" t="str">
        <f ca="1">IFERROR(__xludf.DUMMYFUNCTION("""COMPUTED_VALUE"""),"Transformación de la Red")</f>
        <v>Transformación de la Red</v>
      </c>
      <c r="AP63" s="4"/>
      <c r="AQ63" s="4"/>
      <c r="AR63" s="4" t="str">
        <f ca="1">IFERROR(__xludf.DUMMYFUNCTION("""COMPUTED_VALUE"""),"SDA aprobada en PPP Q1 2023")</f>
        <v>SDA aprobada en PPP Q1 2023</v>
      </c>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row>
    <row r="64" spans="1:132" x14ac:dyDescent="0.2">
      <c r="A64" s="4">
        <f ca="1">IFERROR(__xludf.DUMMYFUNCTION("""COMPUTED_VALUE"""),64)</f>
        <v>64</v>
      </c>
      <c r="B64" s="4">
        <f ca="1">IFERROR(__xludf.DUMMYFUNCTION("""COMPUTED_VALUE"""),55)</f>
        <v>55</v>
      </c>
      <c r="C64" s="4" t="str">
        <f ca="1">IFERROR(__xludf.DUMMYFUNCTION("""COMPUTED_VALUE"""),"SDATOOL-37100")</f>
        <v>SDATOOL-37100</v>
      </c>
      <c r="D64" s="4" t="str">
        <f ca="1">IFERROR(__xludf.DUMMYFUNCTION("""COMPUTED_VALUE"""),"Soluciones de voz/Internalización del IVR - Plan Ascenso Privado")</f>
        <v>Soluciones de voz/Internalización del IVR - Plan Ascenso Privado</v>
      </c>
      <c r="E64"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4" s="4" t="str">
        <f ca="1">IFERROR(__xludf.DUMMYFUNCTION("""COMPUTED_VALUE"""),"Project")</f>
        <v>Project</v>
      </c>
      <c r="G64" s="4" t="str">
        <f ca="1">IFERROR(__xludf.DUMMYFUNCTION("""COMPUTED_VALUE"""),"Stock")</f>
        <v>Stock</v>
      </c>
      <c r="H64" s="4" t="str">
        <f ca="1">IFERROR(__xludf.DUMMYFUNCTION("""COMPUTED_VALUE"""),"4Q 2023")</f>
        <v>4Q 2023</v>
      </c>
      <c r="I64" s="131" t="str">
        <f ca="1">IFERROR(__xludf.DUMMYFUNCTION("""COMPUTED_VALUE"""),"jimy.catolico-bbva.com")</f>
        <v>jimy.catolico-bbva.com</v>
      </c>
      <c r="J64" s="131" t="str">
        <f ca="1">IFERROR(__xludf.DUMMYFUNCTION("""COMPUTED_VALUE"""),"juliocesar.estupinan-bbva.com")</f>
        <v>juliocesar.estupinan-bbva.com</v>
      </c>
      <c r="K64" s="131" t="str">
        <f ca="1">IFERROR(__xludf.DUMMYFUNCTION("""COMPUTED_VALUE"""),"yurimilena.moreno-bbva.com")</f>
        <v>yurimilena.moreno-bbva.com</v>
      </c>
      <c r="L64" s="4"/>
      <c r="M64" s="4"/>
      <c r="N64" s="4"/>
      <c r="O64" s="4" t="str">
        <f ca="1">IFERROR(__xludf.DUMMYFUNCTION("""COMPUTED_VALUE"""),"Scrum")</f>
        <v>Scrum</v>
      </c>
      <c r="P64" s="4" t="str">
        <f ca="1">IFERROR(__xludf.DUMMYFUNCTION("""COMPUTED_VALUE"""),"Kingsman")</f>
        <v>Kingsman</v>
      </c>
      <c r="Q64" s="4"/>
      <c r="R64" s="130" t="str">
        <f ca="1">IFERROR(__xludf.DUMMYFUNCTION("""COMPUTED_VALUE"""),"Business Innovation &amp; Strategy")</f>
        <v>Business Innovation &amp; Strategy</v>
      </c>
      <c r="S64" s="130" t="str">
        <f ca="1">IFERROR(__xludf.DUMMYFUNCTION("""COMPUTED_VALUE"""),"Plan Ascenso")</f>
        <v>Plan Ascenso</v>
      </c>
      <c r="T64" s="130" t="str">
        <f ca="1">IFERROR(__xludf.DUMMYFUNCTION("""COMPUTED_VALUE"""),"1. Generación de Ingresos")</f>
        <v>1. Generación de Ingresos</v>
      </c>
      <c r="U64" s="130" t="str">
        <f ca="1">IFERROR(__xludf.DUMMYFUNCTION("""COMPUTED_VALUE"""),"1.5. Otros de Proyectos de Ingresos")</f>
        <v>1.5. Otros de Proyectos de Ingresos</v>
      </c>
      <c r="V64" s="4" t="str">
        <f ca="1">IFERROR(__xludf.DUMMYFUNCTION("""COMPUTED_VALUE"""),"Gestor remoto")</f>
        <v>Gestor remoto</v>
      </c>
      <c r="W64" s="4">
        <f ca="1">IFERROR(__xludf.DUMMYFUNCTION("""COMPUTED_VALUE"""),1)</f>
        <v>1</v>
      </c>
      <c r="X64" s="4" t="str">
        <f ca="1">IFERROR(__xludf.DUMMYFUNCTION("""COMPUTED_VALUE"""),"04. Relationship Models")</f>
        <v>04. Relationship Models</v>
      </c>
      <c r="Y64" s="4" t="str">
        <f ca="1">IFERROR(__xludf.DUMMYFUNCTION("""COMPUTED_VALUE"""),"5.6.1 RM - Retail")</f>
        <v>5.6.1 RM - Retail</v>
      </c>
      <c r="Z64" s="132" t="str">
        <f ca="1">IFERROR(__xludf.DUMMYFUNCTION("""COMPUTED_VALUE"""),"556929")</f>
        <v>556929</v>
      </c>
      <c r="AA64" s="4" t="str">
        <f ca="1">IFERROR(__xludf.DUMMYFUNCTION("""COMPUTED_VALUE"""),"MVP Autenticación por OTP Push")</f>
        <v>MVP Autenticación por OTP Push</v>
      </c>
      <c r="AB64" s="4" t="str">
        <f ca="1">IFERROR(__xludf.DUMMYFUNCTION("""COMPUTED_VALUE"""),"Realizar autenticación de cliente y firma de operaciones por medio de OTP enviada a app movil")</f>
        <v>Realizar autenticación de cliente y firma de operaciones por medio de OTP enviada a app movil</v>
      </c>
      <c r="AC64" s="4" t="str">
        <f ca="1">IFERROR(__xludf.DUMMYFUNCTION("""COMPUTED_VALUE"""),"1Q 2023")</f>
        <v>1Q 2023</v>
      </c>
      <c r="AD64" s="4"/>
      <c r="AE64" s="4"/>
      <c r="AF64" s="4"/>
      <c r="AG64" s="4"/>
      <c r="AH64" s="4"/>
      <c r="AI64" s="4"/>
      <c r="AJ64" s="4"/>
      <c r="AK64" s="131" t="str">
        <f ca="1">IFERROR(__xludf.DUMMYFUNCTION("""COMPUTED_VALUE"""),"COLWSCANAL-4193")</f>
        <v>COLWSCANAL-4193</v>
      </c>
      <c r="AL64" s="4" t="str">
        <f ca="1">IFERROR(__xludf.DUMMYFUNCTION("""COMPUTED_VALUE"""),"Deployed")</f>
        <v>Deployed</v>
      </c>
      <c r="AM64" s="4"/>
      <c r="AN64" s="4" t="str">
        <f ca="1">IFERROR(__xludf.DUMMYFUNCTION("""COMPUTED_VALUE"""),"Finalizado")</f>
        <v>Finalizado</v>
      </c>
      <c r="AO64" s="4" t="str">
        <f ca="1">IFERROR(__xludf.DUMMYFUNCTION("""COMPUTED_VALUE"""),"Transformación de la Red")</f>
        <v>Transformación de la Red</v>
      </c>
      <c r="AP64" s="4"/>
      <c r="AQ64" s="4"/>
      <c r="AR64" s="4" t="str">
        <f ca="1">IFERROR(__xludf.DUMMYFUNCTION("""COMPUTED_VALUE"""),"SDA aprobada en PPP Q1 2023")</f>
        <v>SDA aprobada en PPP Q1 2023</v>
      </c>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row>
    <row r="65" spans="1:132" x14ac:dyDescent="0.2">
      <c r="A65" s="4">
        <f ca="1">IFERROR(__xludf.DUMMYFUNCTION("""COMPUTED_VALUE"""),65)</f>
        <v>65</v>
      </c>
      <c r="B65" s="4">
        <f ca="1">IFERROR(__xludf.DUMMYFUNCTION("""COMPUTED_VALUE"""),56)</f>
        <v>56</v>
      </c>
      <c r="C65" s="4" t="str">
        <f ca="1">IFERROR(__xludf.DUMMYFUNCTION("""COMPUTED_VALUE"""),"SDATOOL-37100")</f>
        <v>SDATOOL-37100</v>
      </c>
      <c r="D65" s="4" t="str">
        <f ca="1">IFERROR(__xludf.DUMMYFUNCTION("""COMPUTED_VALUE"""),"Soluciones de voz/Internalización del IVR - Plan Ascenso Privado")</f>
        <v>Soluciones de voz/Internalización del IVR - Plan Ascenso Privado</v>
      </c>
      <c r="E65"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5" s="4" t="str">
        <f ca="1">IFERROR(__xludf.DUMMYFUNCTION("""COMPUTED_VALUE"""),"Project")</f>
        <v>Project</v>
      </c>
      <c r="G65" s="4" t="str">
        <f ca="1">IFERROR(__xludf.DUMMYFUNCTION("""COMPUTED_VALUE"""),"Stock")</f>
        <v>Stock</v>
      </c>
      <c r="H65" s="4" t="str">
        <f ca="1">IFERROR(__xludf.DUMMYFUNCTION("""COMPUTED_VALUE"""),"4Q 2023")</f>
        <v>4Q 2023</v>
      </c>
      <c r="I65" s="131" t="str">
        <f ca="1">IFERROR(__xludf.DUMMYFUNCTION("""COMPUTED_VALUE"""),"jimy.catolico-bbva.com")</f>
        <v>jimy.catolico-bbva.com</v>
      </c>
      <c r="J65" s="131" t="str">
        <f ca="1">IFERROR(__xludf.DUMMYFUNCTION("""COMPUTED_VALUE"""),"juliocesar.estupinan-bbva.com")</f>
        <v>juliocesar.estupinan-bbva.com</v>
      </c>
      <c r="K65" s="131" t="str">
        <f ca="1">IFERROR(__xludf.DUMMYFUNCTION("""COMPUTED_VALUE"""),"yurimilena.moreno-bbva.com")</f>
        <v>yurimilena.moreno-bbva.com</v>
      </c>
      <c r="L65" s="4"/>
      <c r="M65" s="4"/>
      <c r="N65" s="4"/>
      <c r="O65" s="4" t="str">
        <f ca="1">IFERROR(__xludf.DUMMYFUNCTION("""COMPUTED_VALUE"""),"Scrum")</f>
        <v>Scrum</v>
      </c>
      <c r="P65" s="4" t="str">
        <f ca="1">IFERROR(__xludf.DUMMYFUNCTION("""COMPUTED_VALUE"""),"Kingsman")</f>
        <v>Kingsman</v>
      </c>
      <c r="Q65" s="4"/>
      <c r="R65" s="130" t="str">
        <f ca="1">IFERROR(__xludf.DUMMYFUNCTION("""COMPUTED_VALUE"""),"Business Innovation &amp; Strategy")</f>
        <v>Business Innovation &amp; Strategy</v>
      </c>
      <c r="S65" s="130" t="str">
        <f ca="1">IFERROR(__xludf.DUMMYFUNCTION("""COMPUTED_VALUE"""),"Plan Ascenso")</f>
        <v>Plan Ascenso</v>
      </c>
      <c r="T65" s="130" t="str">
        <f ca="1">IFERROR(__xludf.DUMMYFUNCTION("""COMPUTED_VALUE"""),"1. Generación de Ingresos")</f>
        <v>1. Generación de Ingresos</v>
      </c>
      <c r="U65" s="130" t="str">
        <f ca="1">IFERROR(__xludf.DUMMYFUNCTION("""COMPUTED_VALUE"""),"1.5. Otros de Proyectos de Ingresos")</f>
        <v>1.5. Otros de Proyectos de Ingresos</v>
      </c>
      <c r="V65" s="4" t="str">
        <f ca="1">IFERROR(__xludf.DUMMYFUNCTION("""COMPUTED_VALUE"""),"Gestor remoto")</f>
        <v>Gestor remoto</v>
      </c>
      <c r="W65" s="4">
        <f ca="1">IFERROR(__xludf.DUMMYFUNCTION("""COMPUTED_VALUE"""),1)</f>
        <v>1</v>
      </c>
      <c r="X65" s="4" t="str">
        <f ca="1">IFERROR(__xludf.DUMMYFUNCTION("""COMPUTED_VALUE"""),"04. Relationship Models")</f>
        <v>04. Relationship Models</v>
      </c>
      <c r="Y65" s="4" t="str">
        <f ca="1">IFERROR(__xludf.DUMMYFUNCTION("""COMPUTED_VALUE"""),"5.6.1 RM - Retail")</f>
        <v>5.6.1 RM - Retail</v>
      </c>
      <c r="Z65" s="132" t="str">
        <f ca="1">IFERROR(__xludf.DUMMYFUNCTION("""COMPUTED_VALUE"""),"618799")</f>
        <v>618799</v>
      </c>
      <c r="AA65" s="4" t="str">
        <f ca="1">IFERROR(__xludf.DUMMYFUNCTION("""COMPUTED_VALUE"""),"Doble Factor /Autenticación IVR (PAN)")</f>
        <v>Doble Factor /Autenticación IVR (PAN)</v>
      </c>
      <c r="AB65" s="4" t="str">
        <f ca="1">IFERROR(__xludf.DUMMYFUNCTION("""COMPUTED_VALUE"""),"Autenticación del cliente por medio del IVR, cuando desee transar por las autogestiones de producto que se tengan habilitadas en la línea telefónica de BBVA.
Se debe solicitar ID 4 dígitos de la tarjeta para operar.")</f>
        <v>Autenticación del cliente por medio del IVR, cuando desee transar por las autogestiones de producto que se tengan habilitadas en la línea telefónica de BBVA.
Se debe solicitar ID 4 dígitos de la tarjeta para operar.</v>
      </c>
      <c r="AC65" s="4" t="str">
        <f ca="1">IFERROR(__xludf.DUMMYFUNCTION("""COMPUTED_VALUE"""),"3Q 2023")</f>
        <v>3Q 2023</v>
      </c>
      <c r="AD65" s="4"/>
      <c r="AE65" s="4"/>
      <c r="AF65" s="4"/>
      <c r="AG65" s="4"/>
      <c r="AH65" s="4"/>
      <c r="AI65" s="4"/>
      <c r="AJ65" s="4"/>
      <c r="AK65" s="131" t="str">
        <f ca="1">IFERROR(__xludf.DUMMYFUNCTION("""COMPUTED_VALUE"""),"COLWSCANAL-6856")</f>
        <v>COLWSCANAL-6856</v>
      </c>
      <c r="AL65" s="4" t="str">
        <f ca="1">IFERROR(__xludf.DUMMYFUNCTION("""COMPUTED_VALUE"""),"Analysing")</f>
        <v>Analysing</v>
      </c>
      <c r="AM65" s="4"/>
      <c r="AN65" s="4" t="str">
        <f ca="1">IFERROR(__xludf.DUMMYFUNCTION("""COMPUTED_VALUE"""),"Entregable en desarrollo")</f>
        <v>Entregable en desarrollo</v>
      </c>
      <c r="AO65" s="4" t="str">
        <f ca="1">IFERROR(__xludf.DUMMYFUNCTION("""COMPUTED_VALUE"""),"Transformación de la Red")</f>
        <v>Transformación de la Red</v>
      </c>
      <c r="AP65" s="4"/>
      <c r="AQ65" s="4"/>
      <c r="AR65" s="4" t="str">
        <f ca="1">IFERROR(__xludf.DUMMYFUNCTION("""COMPUTED_VALUE"""),"SDA aprobada en PPP Q1 2023")</f>
        <v>SDA aprobada en PPP Q1 2023</v>
      </c>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row>
    <row r="66" spans="1:132" x14ac:dyDescent="0.2">
      <c r="A66" s="4">
        <f ca="1">IFERROR(__xludf.DUMMYFUNCTION("""COMPUTED_VALUE"""),66)</f>
        <v>66</v>
      </c>
      <c r="B66" s="4">
        <f ca="1">IFERROR(__xludf.DUMMYFUNCTION("""COMPUTED_VALUE"""),57)</f>
        <v>57</v>
      </c>
      <c r="C66" s="4" t="str">
        <f ca="1">IFERROR(__xludf.DUMMYFUNCTION("""COMPUTED_VALUE"""),"SDATOOL-37100")</f>
        <v>SDATOOL-37100</v>
      </c>
      <c r="D66" s="4" t="str">
        <f ca="1">IFERROR(__xludf.DUMMYFUNCTION("""COMPUTED_VALUE"""),"Soluciones de voz/Internalización del IVR - Plan Ascenso Privado")</f>
        <v>Soluciones de voz/Internalización del IVR - Plan Ascenso Privado</v>
      </c>
      <c r="E66"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6" s="4" t="str">
        <f ca="1">IFERROR(__xludf.DUMMYFUNCTION("""COMPUTED_VALUE"""),"Project")</f>
        <v>Project</v>
      </c>
      <c r="G66" s="4" t="str">
        <f ca="1">IFERROR(__xludf.DUMMYFUNCTION("""COMPUTED_VALUE"""),"Stock")</f>
        <v>Stock</v>
      </c>
      <c r="H66" s="4" t="str">
        <f ca="1">IFERROR(__xludf.DUMMYFUNCTION("""COMPUTED_VALUE"""),"4Q 2023")</f>
        <v>4Q 2023</v>
      </c>
      <c r="I66" s="131" t="str">
        <f ca="1">IFERROR(__xludf.DUMMYFUNCTION("""COMPUTED_VALUE"""),"jimy.catolico-bbva.com")</f>
        <v>jimy.catolico-bbva.com</v>
      </c>
      <c r="J66" s="131" t="str">
        <f ca="1">IFERROR(__xludf.DUMMYFUNCTION("""COMPUTED_VALUE"""),"juliocesar.estupinan-bbva.com")</f>
        <v>juliocesar.estupinan-bbva.com</v>
      </c>
      <c r="K66" s="131" t="str">
        <f ca="1">IFERROR(__xludf.DUMMYFUNCTION("""COMPUTED_VALUE"""),"yurimilena.moreno-bbva.com")</f>
        <v>yurimilena.moreno-bbva.com</v>
      </c>
      <c r="L66" s="4"/>
      <c r="M66" s="4"/>
      <c r="N66" s="4"/>
      <c r="O66" s="4" t="str">
        <f ca="1">IFERROR(__xludf.DUMMYFUNCTION("""COMPUTED_VALUE"""),"Scrum")</f>
        <v>Scrum</v>
      </c>
      <c r="P66" s="4" t="str">
        <f ca="1">IFERROR(__xludf.DUMMYFUNCTION("""COMPUTED_VALUE"""),"Kingsman")</f>
        <v>Kingsman</v>
      </c>
      <c r="Q66" s="4"/>
      <c r="R66" s="130" t="str">
        <f ca="1">IFERROR(__xludf.DUMMYFUNCTION("""COMPUTED_VALUE"""),"Business Innovation &amp; Strategy")</f>
        <v>Business Innovation &amp; Strategy</v>
      </c>
      <c r="S66" s="130" t="str">
        <f ca="1">IFERROR(__xludf.DUMMYFUNCTION("""COMPUTED_VALUE"""),"Plan Ascenso")</f>
        <v>Plan Ascenso</v>
      </c>
      <c r="T66" s="130" t="str">
        <f ca="1">IFERROR(__xludf.DUMMYFUNCTION("""COMPUTED_VALUE"""),"1. Generación de Ingresos")</f>
        <v>1. Generación de Ingresos</v>
      </c>
      <c r="U66" s="130" t="str">
        <f ca="1">IFERROR(__xludf.DUMMYFUNCTION("""COMPUTED_VALUE"""),"1.5. Otros de Proyectos de Ingresos")</f>
        <v>1.5. Otros de Proyectos de Ingresos</v>
      </c>
      <c r="V66" s="4" t="str">
        <f ca="1">IFERROR(__xludf.DUMMYFUNCTION("""COMPUTED_VALUE"""),"Gestor remoto")</f>
        <v>Gestor remoto</v>
      </c>
      <c r="W66" s="4">
        <f ca="1">IFERROR(__xludf.DUMMYFUNCTION("""COMPUTED_VALUE"""),1)</f>
        <v>1</v>
      </c>
      <c r="X66" s="4" t="str">
        <f ca="1">IFERROR(__xludf.DUMMYFUNCTION("""COMPUTED_VALUE"""),"04. Relationship Models")</f>
        <v>04. Relationship Models</v>
      </c>
      <c r="Y66" s="4" t="str">
        <f ca="1">IFERROR(__xludf.DUMMYFUNCTION("""COMPUTED_VALUE"""),"5.6.1 RM - Retail")</f>
        <v>5.6.1 RM - Retail</v>
      </c>
      <c r="Z66" s="132" t="str">
        <f ca="1">IFERROR(__xludf.DUMMYFUNCTION("""COMPUTED_VALUE"""),"490008")</f>
        <v>490008</v>
      </c>
      <c r="AA66" s="4" t="str">
        <f ca="1">IFERROR(__xludf.DUMMYFUNCTION("""COMPUTED_VALUE"""),"Autogestión Desbloqueo de Tarjetas")</f>
        <v>Autogestión Desbloqueo de Tarjetas</v>
      </c>
      <c r="AB66" s="4" t="str">
        <f ca="1">IFERROR(__xludf.DUMMYFUNCTION("""COMPUTED_VALUE"""),"Desbloqueo y bloqueo de tarjetas")</f>
        <v>Desbloqueo y bloqueo de tarjetas</v>
      </c>
      <c r="AC66" s="4" t="str">
        <f ca="1">IFERROR(__xludf.DUMMYFUNCTION("""COMPUTED_VALUE"""),"3Q 2023")</f>
        <v>3Q 2023</v>
      </c>
      <c r="AD66" s="128">
        <f ca="1">IFERROR(__xludf.DUMMYFUNCTION("""COMPUTED_VALUE"""),44954)</f>
        <v>44954</v>
      </c>
      <c r="AE66" s="128">
        <f ca="1">IFERROR(__xludf.DUMMYFUNCTION("""COMPUTED_VALUE"""),44972)</f>
        <v>44972</v>
      </c>
      <c r="AF66" s="128">
        <f ca="1">IFERROR(__xludf.DUMMYFUNCTION("""COMPUTED_VALUE"""),44978)</f>
        <v>44978</v>
      </c>
      <c r="AG66" s="128">
        <f ca="1">IFERROR(__xludf.DUMMYFUNCTION("""COMPUTED_VALUE"""),45073)</f>
        <v>45073</v>
      </c>
      <c r="AH66" s="128">
        <f ca="1">IFERROR(__xludf.DUMMYFUNCTION("""COMPUTED_VALUE"""),45075)</f>
        <v>45075</v>
      </c>
      <c r="AI66" s="128">
        <f ca="1">IFERROR(__xludf.DUMMYFUNCTION("""COMPUTED_VALUE"""),45094)</f>
        <v>45094</v>
      </c>
      <c r="AJ66" s="128">
        <f ca="1">IFERROR(__xludf.DUMMYFUNCTION("""COMPUTED_VALUE"""),45101)</f>
        <v>45101</v>
      </c>
      <c r="AK66" s="131" t="str">
        <f ca="1">IFERROR(__xludf.DUMMYFUNCTION("""COMPUTED_VALUE"""),"COLWSCANAL-14977")</f>
        <v>COLWSCANAL-14977</v>
      </c>
      <c r="AL66" s="4" t="str">
        <f ca="1">IFERROR(__xludf.DUMMYFUNCTION("""COMPUTED_VALUE"""),"New")</f>
        <v>New</v>
      </c>
      <c r="AM66" s="4"/>
      <c r="AN66" s="4" t="str">
        <f ca="1">IFERROR(__xludf.DUMMYFUNCTION("""COMPUTED_VALUE"""),"Entregable en backlog")</f>
        <v>Entregable en backlog</v>
      </c>
      <c r="AO66" s="4" t="str">
        <f ca="1">IFERROR(__xludf.DUMMYFUNCTION("""COMPUTED_VALUE"""),"Transformación de la Red")</f>
        <v>Transformación de la Red</v>
      </c>
      <c r="AP66" s="4"/>
      <c r="AQ66" s="4"/>
      <c r="AR66" s="4" t="str">
        <f ca="1">IFERROR(__xludf.DUMMYFUNCTION("""COMPUTED_VALUE"""),"SDA aprobada en PPP Q1 2023")</f>
        <v>SDA aprobada en PPP Q1 2023</v>
      </c>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row>
    <row r="67" spans="1:132" x14ac:dyDescent="0.2">
      <c r="A67" s="4">
        <f ca="1">IFERROR(__xludf.DUMMYFUNCTION("""COMPUTED_VALUE"""),67)</f>
        <v>67</v>
      </c>
      <c r="B67" s="4">
        <f ca="1">IFERROR(__xludf.DUMMYFUNCTION("""COMPUTED_VALUE"""),58)</f>
        <v>58</v>
      </c>
      <c r="C67" s="4" t="str">
        <f ca="1">IFERROR(__xludf.DUMMYFUNCTION("""COMPUTED_VALUE"""),"SDATOOL-37100")</f>
        <v>SDATOOL-37100</v>
      </c>
      <c r="D67" s="4" t="str">
        <f ca="1">IFERROR(__xludf.DUMMYFUNCTION("""COMPUTED_VALUE"""),"Soluciones de voz/Internalización del IVR - Plan Ascenso Privado")</f>
        <v>Soluciones de voz/Internalización del IVR - Plan Ascenso Privado</v>
      </c>
      <c r="E67"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7" s="4" t="str">
        <f ca="1">IFERROR(__xludf.DUMMYFUNCTION("""COMPUTED_VALUE"""),"Project")</f>
        <v>Project</v>
      </c>
      <c r="G67" s="4" t="str">
        <f ca="1">IFERROR(__xludf.DUMMYFUNCTION("""COMPUTED_VALUE"""),"Stock")</f>
        <v>Stock</v>
      </c>
      <c r="H67" s="4" t="str">
        <f ca="1">IFERROR(__xludf.DUMMYFUNCTION("""COMPUTED_VALUE"""),"4Q 2023")</f>
        <v>4Q 2023</v>
      </c>
      <c r="I67" s="131" t="str">
        <f ca="1">IFERROR(__xludf.DUMMYFUNCTION("""COMPUTED_VALUE"""),"jimy.catolico-bbva.com")</f>
        <v>jimy.catolico-bbva.com</v>
      </c>
      <c r="J67" s="131" t="str">
        <f ca="1">IFERROR(__xludf.DUMMYFUNCTION("""COMPUTED_VALUE"""),"juliocesar.estupinan-bbva.com")</f>
        <v>juliocesar.estupinan-bbva.com</v>
      </c>
      <c r="K67" s="131" t="str">
        <f ca="1">IFERROR(__xludf.DUMMYFUNCTION("""COMPUTED_VALUE"""),"yurimilena.moreno-bbva.com")</f>
        <v>yurimilena.moreno-bbva.com</v>
      </c>
      <c r="L67" s="4"/>
      <c r="M67" s="4"/>
      <c r="N67" s="4"/>
      <c r="O67" s="4" t="str">
        <f ca="1">IFERROR(__xludf.DUMMYFUNCTION("""COMPUTED_VALUE"""),"Scrum")</f>
        <v>Scrum</v>
      </c>
      <c r="P67" s="4" t="str">
        <f ca="1">IFERROR(__xludf.DUMMYFUNCTION("""COMPUTED_VALUE"""),"Kingsman")</f>
        <v>Kingsman</v>
      </c>
      <c r="Q67" s="4"/>
      <c r="R67" s="130" t="str">
        <f ca="1">IFERROR(__xludf.DUMMYFUNCTION("""COMPUTED_VALUE"""),"Business Innovation &amp; Strategy")</f>
        <v>Business Innovation &amp; Strategy</v>
      </c>
      <c r="S67" s="130" t="str">
        <f ca="1">IFERROR(__xludf.DUMMYFUNCTION("""COMPUTED_VALUE"""),"Plan Ascenso")</f>
        <v>Plan Ascenso</v>
      </c>
      <c r="T67" s="130" t="str">
        <f ca="1">IFERROR(__xludf.DUMMYFUNCTION("""COMPUTED_VALUE"""),"1. Generación de Ingresos")</f>
        <v>1. Generación de Ingresos</v>
      </c>
      <c r="U67" s="130" t="str">
        <f ca="1">IFERROR(__xludf.DUMMYFUNCTION("""COMPUTED_VALUE"""),"1.5. Otros de Proyectos de Ingresos")</f>
        <v>1.5. Otros de Proyectos de Ingresos</v>
      </c>
      <c r="V67" s="4" t="str">
        <f ca="1">IFERROR(__xludf.DUMMYFUNCTION("""COMPUTED_VALUE"""),"Gestor remoto")</f>
        <v>Gestor remoto</v>
      </c>
      <c r="W67" s="4">
        <f ca="1">IFERROR(__xludf.DUMMYFUNCTION("""COMPUTED_VALUE"""),1)</f>
        <v>1</v>
      </c>
      <c r="X67" s="4" t="str">
        <f ca="1">IFERROR(__xludf.DUMMYFUNCTION("""COMPUTED_VALUE"""),"04. Relationship Models")</f>
        <v>04. Relationship Models</v>
      </c>
      <c r="Y67" s="4" t="str">
        <f ca="1">IFERROR(__xludf.DUMMYFUNCTION("""COMPUTED_VALUE"""),"5.6.1 RM - Retail")</f>
        <v>5.6.1 RM - Retail</v>
      </c>
      <c r="Z67" s="132" t="str">
        <f ca="1">IFERROR(__xludf.DUMMYFUNCTION("""COMPUTED_VALUE"""),"556652")</f>
        <v>556652</v>
      </c>
      <c r="AA67" s="4" t="str">
        <f ca="1">IFERROR(__xludf.DUMMYFUNCTION("""COMPUTED_VALUE"""),"Envío de enlaces correo electrónico/Saldos Movimientos")</f>
        <v>Envío de enlaces correo electrónico/Saldos Movimientos</v>
      </c>
      <c r="AB67" s="4" t="str">
        <f ca="1">IFERROR(__xludf.DUMMYFUNCTION("""COMPUTED_VALUE"""),"""Como :  Cliente Banco
Quiero: que cuando llame a la línea telefónica BBVA, se envíe a mi correo electrónico registrado en Bases Banco un link que conlleve a un video donde se explique como Consultar mis saldos y movimientos en la aplicación BBVA para ev"&amp;"itar un que Agente Humano me indique la misma información en Mayor Tiempo""")</f>
        <v>"Como :  Cliente Banco
Quiero: que cuando llame a la línea telefónica BBVA, se envíe a mi correo electrónico registrado en Bases Banco un link que conlleve a un video donde se explique como Consultar mis saldos y movimientos en la aplicación BBVA para evitar un que Agente Humano me indique la misma información en Mayor Tiempo"</v>
      </c>
      <c r="AC67" s="4" t="str">
        <f ca="1">IFERROR(__xludf.DUMMYFUNCTION("""COMPUTED_VALUE"""),"4Q 2023")</f>
        <v>4Q 2023</v>
      </c>
      <c r="AD67" s="4"/>
      <c r="AE67" s="4"/>
      <c r="AF67" s="4"/>
      <c r="AG67" s="4"/>
      <c r="AH67" s="4"/>
      <c r="AI67" s="4"/>
      <c r="AJ67" s="4"/>
      <c r="AK67" s="131" t="str">
        <f ca="1">IFERROR(__xludf.DUMMYFUNCTION("""COMPUTED_VALUE"""),"COLWSCANAL-13541")</f>
        <v>COLWSCANAL-13541</v>
      </c>
      <c r="AL67" s="4" t="str">
        <f ca="1">IFERROR(__xludf.DUMMYFUNCTION("""COMPUTED_VALUE"""),"New")</f>
        <v>New</v>
      </c>
      <c r="AM67" s="4"/>
      <c r="AN67" s="4" t="str">
        <f ca="1">IFERROR(__xludf.DUMMYFUNCTION("""COMPUTED_VALUE"""),"Entregable en backlog")</f>
        <v>Entregable en backlog</v>
      </c>
      <c r="AO67" s="4" t="str">
        <f ca="1">IFERROR(__xludf.DUMMYFUNCTION("""COMPUTED_VALUE"""),"Transformación de la Red")</f>
        <v>Transformación de la Red</v>
      </c>
      <c r="AP67" s="4"/>
      <c r="AQ67" s="4"/>
      <c r="AR67" s="4" t="str">
        <f ca="1">IFERROR(__xludf.DUMMYFUNCTION("""COMPUTED_VALUE"""),"SDA aprobada en PPP Q1 2023")</f>
        <v>SDA aprobada en PPP Q1 2023</v>
      </c>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row>
    <row r="68" spans="1:132" x14ac:dyDescent="0.2">
      <c r="A68" s="4">
        <f ca="1">IFERROR(__xludf.DUMMYFUNCTION("""COMPUTED_VALUE"""),68)</f>
        <v>68</v>
      </c>
      <c r="B68" s="4">
        <f ca="1">IFERROR(__xludf.DUMMYFUNCTION("""COMPUTED_VALUE"""),59)</f>
        <v>59</v>
      </c>
      <c r="C68" s="4" t="str">
        <f ca="1">IFERROR(__xludf.DUMMYFUNCTION("""COMPUTED_VALUE"""),"SDATOOL-37100")</f>
        <v>SDATOOL-37100</v>
      </c>
      <c r="D68" s="4" t="str">
        <f ca="1">IFERROR(__xludf.DUMMYFUNCTION("""COMPUTED_VALUE"""),"Soluciones de voz/Internalización del IVR - Plan Ascenso Privado")</f>
        <v>Soluciones de voz/Internalización del IVR - Plan Ascenso Privado</v>
      </c>
      <c r="E68"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8" s="4" t="str">
        <f ca="1">IFERROR(__xludf.DUMMYFUNCTION("""COMPUTED_VALUE"""),"Project")</f>
        <v>Project</v>
      </c>
      <c r="G68" s="4" t="str">
        <f ca="1">IFERROR(__xludf.DUMMYFUNCTION("""COMPUTED_VALUE"""),"Stock")</f>
        <v>Stock</v>
      </c>
      <c r="H68" s="4" t="str">
        <f ca="1">IFERROR(__xludf.DUMMYFUNCTION("""COMPUTED_VALUE"""),"4Q 2023")</f>
        <v>4Q 2023</v>
      </c>
      <c r="I68" s="131" t="str">
        <f ca="1">IFERROR(__xludf.DUMMYFUNCTION("""COMPUTED_VALUE"""),"jimy.catolico-bbva.com")</f>
        <v>jimy.catolico-bbva.com</v>
      </c>
      <c r="J68" s="131" t="str">
        <f ca="1">IFERROR(__xludf.DUMMYFUNCTION("""COMPUTED_VALUE"""),"juliocesar.estupinan-bbva.com")</f>
        <v>juliocesar.estupinan-bbva.com</v>
      </c>
      <c r="K68" s="131" t="str">
        <f ca="1">IFERROR(__xludf.DUMMYFUNCTION("""COMPUTED_VALUE"""),"yurimilena.moreno-bbva.com")</f>
        <v>yurimilena.moreno-bbva.com</v>
      </c>
      <c r="L68" s="4"/>
      <c r="M68" s="4"/>
      <c r="N68" s="4"/>
      <c r="O68" s="4" t="str">
        <f ca="1">IFERROR(__xludf.DUMMYFUNCTION("""COMPUTED_VALUE"""),"Scrum")</f>
        <v>Scrum</v>
      </c>
      <c r="P68" s="4" t="str">
        <f ca="1">IFERROR(__xludf.DUMMYFUNCTION("""COMPUTED_VALUE"""),"Kingsman")</f>
        <v>Kingsman</v>
      </c>
      <c r="Q68" s="4"/>
      <c r="R68" s="130" t="str">
        <f ca="1">IFERROR(__xludf.DUMMYFUNCTION("""COMPUTED_VALUE"""),"Business Innovation &amp; Strategy")</f>
        <v>Business Innovation &amp; Strategy</v>
      </c>
      <c r="S68" s="130" t="str">
        <f ca="1">IFERROR(__xludf.DUMMYFUNCTION("""COMPUTED_VALUE"""),"Plan Ascenso")</f>
        <v>Plan Ascenso</v>
      </c>
      <c r="T68" s="130" t="str">
        <f ca="1">IFERROR(__xludf.DUMMYFUNCTION("""COMPUTED_VALUE"""),"1. Generación de Ingresos")</f>
        <v>1. Generación de Ingresos</v>
      </c>
      <c r="U68" s="130" t="str">
        <f ca="1">IFERROR(__xludf.DUMMYFUNCTION("""COMPUTED_VALUE"""),"1.5. Otros de Proyectos de Ingresos")</f>
        <v>1.5. Otros de Proyectos de Ingresos</v>
      </c>
      <c r="V68" s="4" t="str">
        <f ca="1">IFERROR(__xludf.DUMMYFUNCTION("""COMPUTED_VALUE"""),"Gestor remoto")</f>
        <v>Gestor remoto</v>
      </c>
      <c r="W68" s="4">
        <f ca="1">IFERROR(__xludf.DUMMYFUNCTION("""COMPUTED_VALUE"""),1)</f>
        <v>1</v>
      </c>
      <c r="X68" s="4" t="str">
        <f ca="1">IFERROR(__xludf.DUMMYFUNCTION("""COMPUTED_VALUE"""),"04. Relationship Models")</f>
        <v>04. Relationship Models</v>
      </c>
      <c r="Y68" s="4" t="str">
        <f ca="1">IFERROR(__xludf.DUMMYFUNCTION("""COMPUTED_VALUE"""),"5.6.1 RM - Retail")</f>
        <v>5.6.1 RM - Retail</v>
      </c>
      <c r="Z68" s="132" t="str">
        <f ca="1">IFERROR(__xludf.DUMMYFUNCTION("""COMPUTED_VALUE"""),"556976")</f>
        <v>556976</v>
      </c>
      <c r="AA68" s="4" t="str">
        <f ca="1">IFERROR(__xludf.DUMMYFUNCTION("""COMPUTED_VALUE"""),"Internalización IVR - Validación titularidad con OTP (SMS)")</f>
        <v>Internalización IVR - Validación titularidad con OTP (SMS)</v>
      </c>
      <c r="AB68" s="4" t="str">
        <f ca="1">IFERROR(__xludf.DUMMYFUNCTION("""COMPUTED_VALUE"""),"Autenticar en la línea BBVA marcando una clave numérica que recibo en mi mensajería de texto (SMS) de forma desatendida en la IVR para validar la identidad y evitar suplantaciones""")</f>
        <v>Autenticar en la línea BBVA marcando una clave numérica que recibo en mi mensajería de texto (SMS) de forma desatendida en la IVR para validar la identidad y evitar suplantaciones"</v>
      </c>
      <c r="AC68" s="4" t="str">
        <f ca="1">IFERROR(__xludf.DUMMYFUNCTION("""COMPUTED_VALUE"""),"2Q 2023")</f>
        <v>2Q 2023</v>
      </c>
      <c r="AD68" s="4"/>
      <c r="AE68" s="4"/>
      <c r="AF68" s="4"/>
      <c r="AG68" s="4"/>
      <c r="AH68" s="4"/>
      <c r="AI68" s="4"/>
      <c r="AJ68" s="4"/>
      <c r="AK68" s="131" t="str">
        <f ca="1">IFERROR(__xludf.DUMMYFUNCTION("""COMPUTED_VALUE"""),"COLWSCANAL-13028")</f>
        <v>COLWSCANAL-13028</v>
      </c>
      <c r="AL68" s="4" t="str">
        <f ca="1">IFERROR(__xludf.DUMMYFUNCTION("""COMPUTED_VALUE"""),"Ready to Deploy")</f>
        <v>Ready to Deploy</v>
      </c>
      <c r="AM68" s="4"/>
      <c r="AN68" s="4" t="str">
        <f ca="1">IFERROR(__xludf.DUMMYFUNCTION("""COMPUTED_VALUE"""),"Entregable en desarrollo")</f>
        <v>Entregable en desarrollo</v>
      </c>
      <c r="AO68" s="4" t="str">
        <f ca="1">IFERROR(__xludf.DUMMYFUNCTION("""COMPUTED_VALUE"""),"Transformación de la Red")</f>
        <v>Transformación de la Red</v>
      </c>
      <c r="AP68" s="4"/>
      <c r="AQ68" s="4"/>
      <c r="AR68" s="4" t="str">
        <f ca="1">IFERROR(__xludf.DUMMYFUNCTION("""COMPUTED_VALUE"""),"SDA aprobada en PPP Q1 2023")</f>
        <v>SDA aprobada en PPP Q1 2023</v>
      </c>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row>
    <row r="69" spans="1:132" x14ac:dyDescent="0.2">
      <c r="A69" s="4">
        <f ca="1">IFERROR(__xludf.DUMMYFUNCTION("""COMPUTED_VALUE"""),69)</f>
        <v>69</v>
      </c>
      <c r="B69" s="4">
        <f ca="1">IFERROR(__xludf.DUMMYFUNCTION("""COMPUTED_VALUE"""),60)</f>
        <v>60</v>
      </c>
      <c r="C69" s="4" t="str">
        <f ca="1">IFERROR(__xludf.DUMMYFUNCTION("""COMPUTED_VALUE"""),"SDATOOL-37100")</f>
        <v>SDATOOL-37100</v>
      </c>
      <c r="D69" s="4" t="str">
        <f ca="1">IFERROR(__xludf.DUMMYFUNCTION("""COMPUTED_VALUE"""),"Soluciones de voz/Internalización del IVR - Plan Ascenso Privado")</f>
        <v>Soluciones de voz/Internalización del IVR - Plan Ascenso Privado</v>
      </c>
      <c r="E69"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9" s="4" t="str">
        <f ca="1">IFERROR(__xludf.DUMMYFUNCTION("""COMPUTED_VALUE"""),"Project")</f>
        <v>Project</v>
      </c>
      <c r="G69" s="4" t="str">
        <f ca="1">IFERROR(__xludf.DUMMYFUNCTION("""COMPUTED_VALUE"""),"Stock")</f>
        <v>Stock</v>
      </c>
      <c r="H69" s="4" t="str">
        <f ca="1">IFERROR(__xludf.DUMMYFUNCTION("""COMPUTED_VALUE"""),"4Q 2023")</f>
        <v>4Q 2023</v>
      </c>
      <c r="I69" s="131" t="str">
        <f ca="1">IFERROR(__xludf.DUMMYFUNCTION("""COMPUTED_VALUE"""),"jimy.catolico-bbva.com")</f>
        <v>jimy.catolico-bbva.com</v>
      </c>
      <c r="J69" s="131" t="str">
        <f ca="1">IFERROR(__xludf.DUMMYFUNCTION("""COMPUTED_VALUE"""),"juliocesar.estupinan-bbva.com")</f>
        <v>juliocesar.estupinan-bbva.com</v>
      </c>
      <c r="K69" s="131" t="str">
        <f ca="1">IFERROR(__xludf.DUMMYFUNCTION("""COMPUTED_VALUE"""),"yurimilena.moreno-bbva.com")</f>
        <v>yurimilena.moreno-bbva.com</v>
      </c>
      <c r="L69" s="4"/>
      <c r="M69" s="4"/>
      <c r="N69" s="4"/>
      <c r="O69" s="4" t="str">
        <f ca="1">IFERROR(__xludf.DUMMYFUNCTION("""COMPUTED_VALUE"""),"Scrum")</f>
        <v>Scrum</v>
      </c>
      <c r="P69" s="4" t="str">
        <f ca="1">IFERROR(__xludf.DUMMYFUNCTION("""COMPUTED_VALUE"""),"Kingsman")</f>
        <v>Kingsman</v>
      </c>
      <c r="Q69" s="4"/>
      <c r="R69" s="130" t="str">
        <f ca="1">IFERROR(__xludf.DUMMYFUNCTION("""COMPUTED_VALUE"""),"Business Innovation &amp; Strategy")</f>
        <v>Business Innovation &amp; Strategy</v>
      </c>
      <c r="S69" s="130" t="str">
        <f ca="1">IFERROR(__xludf.DUMMYFUNCTION("""COMPUTED_VALUE"""),"Plan Ascenso")</f>
        <v>Plan Ascenso</v>
      </c>
      <c r="T69" s="130" t="str">
        <f ca="1">IFERROR(__xludf.DUMMYFUNCTION("""COMPUTED_VALUE"""),"1. Generación de Ingresos")</f>
        <v>1. Generación de Ingresos</v>
      </c>
      <c r="U69" s="130" t="str">
        <f ca="1">IFERROR(__xludf.DUMMYFUNCTION("""COMPUTED_VALUE"""),"1.5. Otros de Proyectos de Ingresos")</f>
        <v>1.5. Otros de Proyectos de Ingresos</v>
      </c>
      <c r="V69" s="4" t="str">
        <f ca="1">IFERROR(__xludf.DUMMYFUNCTION("""COMPUTED_VALUE"""),"Gestor remoto")</f>
        <v>Gestor remoto</v>
      </c>
      <c r="W69" s="4">
        <f ca="1">IFERROR(__xludf.DUMMYFUNCTION("""COMPUTED_VALUE"""),1)</f>
        <v>1</v>
      </c>
      <c r="X69" s="4" t="str">
        <f ca="1">IFERROR(__xludf.DUMMYFUNCTION("""COMPUTED_VALUE"""),"04. Relationship Models")</f>
        <v>04. Relationship Models</v>
      </c>
      <c r="Y69" s="4" t="str">
        <f ca="1">IFERROR(__xludf.DUMMYFUNCTION("""COMPUTED_VALUE"""),"5.6.1 RM - Retail")</f>
        <v>5.6.1 RM - Retail</v>
      </c>
      <c r="Z69" s="132" t="str">
        <f ca="1">IFERROR(__xludf.DUMMYFUNCTION("""COMPUTED_VALUE"""),"713355")</f>
        <v>713355</v>
      </c>
      <c r="AA69" s="4" t="str">
        <f ca="1">IFERROR(__xludf.DUMMYFUNCTION("""COMPUTED_VALUE"""),"Autogestión Desbloqueo de canales")</f>
        <v>Autogestión Desbloqueo de canales</v>
      </c>
      <c r="AB69" s="4" t="str">
        <f ca="1">IFERROR(__xludf.DUMMYFUNCTION("""COMPUTED_VALUE"""),"Evolutivo")</f>
        <v>Evolutivo</v>
      </c>
      <c r="AC69" s="4" t="str">
        <f ca="1">IFERROR(__xludf.DUMMYFUNCTION("""COMPUTED_VALUE"""),"4Q 2023")</f>
        <v>4Q 2023</v>
      </c>
      <c r="AD69" s="4"/>
      <c r="AE69" s="4"/>
      <c r="AF69" s="4"/>
      <c r="AG69" s="4"/>
      <c r="AH69" s="4"/>
      <c r="AI69" s="4"/>
      <c r="AJ69" s="4"/>
      <c r="AK69" s="131" t="str">
        <f ca="1">IFERROR(__xludf.DUMMYFUNCTION("""COMPUTED_VALUE"""),"COLWSCANAL-14992")</f>
        <v>COLWSCANAL-14992</v>
      </c>
      <c r="AL69" s="4" t="str">
        <f ca="1">IFERROR(__xludf.DUMMYFUNCTION("""COMPUTED_VALUE"""),"New")</f>
        <v>New</v>
      </c>
      <c r="AM69" s="4"/>
      <c r="AN69" s="4" t="str">
        <f ca="1">IFERROR(__xludf.DUMMYFUNCTION("""COMPUTED_VALUE"""),"Entregable en backlog")</f>
        <v>Entregable en backlog</v>
      </c>
      <c r="AO69" s="4" t="str">
        <f ca="1">IFERROR(__xludf.DUMMYFUNCTION("""COMPUTED_VALUE"""),"Transformación de la Red")</f>
        <v>Transformación de la Red</v>
      </c>
      <c r="AP69" s="4"/>
      <c r="AQ69" s="4"/>
      <c r="AR69" s="4" t="str">
        <f ca="1">IFERROR(__xludf.DUMMYFUNCTION("""COMPUTED_VALUE"""),"SDA aprobada en PPP Q1 2023")</f>
        <v>SDA aprobada en PPP Q1 2023</v>
      </c>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row>
    <row r="70" spans="1:132" x14ac:dyDescent="0.2">
      <c r="A70" s="4">
        <f ca="1">IFERROR(__xludf.DUMMYFUNCTION("""COMPUTED_VALUE"""),70)</f>
        <v>70</v>
      </c>
      <c r="B70" s="4">
        <f ca="1">IFERROR(__xludf.DUMMYFUNCTION("""COMPUTED_VALUE"""),61)</f>
        <v>61</v>
      </c>
      <c r="C70" s="4" t="str">
        <f ca="1">IFERROR(__xludf.DUMMYFUNCTION("""COMPUTED_VALUE"""),"SDATOOL-37100")</f>
        <v>SDATOOL-37100</v>
      </c>
      <c r="D70" s="4" t="str">
        <f ca="1">IFERROR(__xludf.DUMMYFUNCTION("""COMPUTED_VALUE"""),"Soluciones de voz/Internalización del IVR - Plan Ascenso Privado")</f>
        <v>Soluciones de voz/Internalización del IVR - Plan Ascenso Privado</v>
      </c>
      <c r="E70"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0" s="4" t="str">
        <f ca="1">IFERROR(__xludf.DUMMYFUNCTION("""COMPUTED_VALUE"""),"Project")</f>
        <v>Project</v>
      </c>
      <c r="G70" s="4" t="str">
        <f ca="1">IFERROR(__xludf.DUMMYFUNCTION("""COMPUTED_VALUE"""),"Stock")</f>
        <v>Stock</v>
      </c>
      <c r="H70" s="4" t="str">
        <f ca="1">IFERROR(__xludf.DUMMYFUNCTION("""COMPUTED_VALUE"""),"4Q 2023")</f>
        <v>4Q 2023</v>
      </c>
      <c r="I70" s="131" t="str">
        <f ca="1">IFERROR(__xludf.DUMMYFUNCTION("""COMPUTED_VALUE"""),"jimy.catolico-bbva.com")</f>
        <v>jimy.catolico-bbva.com</v>
      </c>
      <c r="J70" s="131" t="str">
        <f ca="1">IFERROR(__xludf.DUMMYFUNCTION("""COMPUTED_VALUE"""),"juliocesar.estupinan-bbva.com")</f>
        <v>juliocesar.estupinan-bbva.com</v>
      </c>
      <c r="K70" s="131" t="str">
        <f ca="1">IFERROR(__xludf.DUMMYFUNCTION("""COMPUTED_VALUE"""),"yurimilena.moreno-bbva.com")</f>
        <v>yurimilena.moreno-bbva.com</v>
      </c>
      <c r="L70" s="4"/>
      <c r="M70" s="4"/>
      <c r="N70" s="4"/>
      <c r="O70" s="4" t="str">
        <f ca="1">IFERROR(__xludf.DUMMYFUNCTION("""COMPUTED_VALUE"""),"Scrum")</f>
        <v>Scrum</v>
      </c>
      <c r="P70" s="4" t="str">
        <f ca="1">IFERROR(__xludf.DUMMYFUNCTION("""COMPUTED_VALUE"""),"Kingsman")</f>
        <v>Kingsman</v>
      </c>
      <c r="Q70" s="4"/>
      <c r="R70" s="130" t="str">
        <f ca="1">IFERROR(__xludf.DUMMYFUNCTION("""COMPUTED_VALUE"""),"Business Innovation &amp; Strategy")</f>
        <v>Business Innovation &amp; Strategy</v>
      </c>
      <c r="S70" s="130" t="str">
        <f ca="1">IFERROR(__xludf.DUMMYFUNCTION("""COMPUTED_VALUE"""),"Plan Ascenso")</f>
        <v>Plan Ascenso</v>
      </c>
      <c r="T70" s="130" t="str">
        <f ca="1">IFERROR(__xludf.DUMMYFUNCTION("""COMPUTED_VALUE"""),"1. Generación de Ingresos")</f>
        <v>1. Generación de Ingresos</v>
      </c>
      <c r="U70" s="130" t="str">
        <f ca="1">IFERROR(__xludf.DUMMYFUNCTION("""COMPUTED_VALUE"""),"1.5. Otros de Proyectos de Ingresos")</f>
        <v>1.5. Otros de Proyectos de Ingresos</v>
      </c>
      <c r="V70" s="4" t="str">
        <f ca="1">IFERROR(__xludf.DUMMYFUNCTION("""COMPUTED_VALUE"""),"Gestor remoto")</f>
        <v>Gestor remoto</v>
      </c>
      <c r="W70" s="4">
        <f ca="1">IFERROR(__xludf.DUMMYFUNCTION("""COMPUTED_VALUE"""),1)</f>
        <v>1</v>
      </c>
      <c r="X70" s="4" t="str">
        <f ca="1">IFERROR(__xludf.DUMMYFUNCTION("""COMPUTED_VALUE"""),"04. Relationship Models")</f>
        <v>04. Relationship Models</v>
      </c>
      <c r="Y70" s="4" t="str">
        <f ca="1">IFERROR(__xludf.DUMMYFUNCTION("""COMPUTED_VALUE"""),"5.6.1 RM - Retail")</f>
        <v>5.6.1 RM - Retail</v>
      </c>
      <c r="Z70" s="132" t="str">
        <f ca="1">IFERROR(__xludf.DUMMYFUNCTION("""COMPUTED_VALUE"""),"713357")</f>
        <v>713357</v>
      </c>
      <c r="AA70" s="4" t="str">
        <f ca="1">IFERROR(__xludf.DUMMYFUNCTION("""COMPUTED_VALUE"""),"Envío de enlaces correo electrónico/Soporte Ingreso Móvil")</f>
        <v>Envío de enlaces correo electrónico/Soporte Ingreso Móvil</v>
      </c>
      <c r="AB70" s="4" t="str">
        <f ca="1">IFERROR(__xludf.DUMMYFUNCTION("""COMPUTED_VALUE"""),"Como :  Cliente Banco
Quiero: que cuando llame a la línea telefónica BBVA, se envíe a mi correo electrónico registrado en Bases Banco un link que conlleve a un video donde se explique como Ingresar a la aplicación BBVA para evitar que un Agente Humano me "&amp;"indique la misma información en Mayor Tiempo")</f>
        <v>Como :  Cliente Banco
Quiero: que cuando llame a la línea telefónica BBVA, se envíe a mi correo electrónico registrado en Bases Banco un link que conlleve a un video donde se explique como Ingresar a la aplicación BBVA para evitar que un Agente Humano me indique la misma información en Mayor Tiempo</v>
      </c>
      <c r="AC70" s="4" t="str">
        <f ca="1">IFERROR(__xludf.DUMMYFUNCTION("""COMPUTED_VALUE"""),"4Q 2023")</f>
        <v>4Q 2023</v>
      </c>
      <c r="AD70" s="4"/>
      <c r="AE70" s="4"/>
      <c r="AF70" s="4"/>
      <c r="AG70" s="4"/>
      <c r="AH70" s="4"/>
      <c r="AI70" s="4"/>
      <c r="AJ70" s="4"/>
      <c r="AK70" s="131" t="str">
        <f ca="1">IFERROR(__xludf.DUMMYFUNCTION("""COMPUTED_VALUE"""),"COLWSCANAL-14670")</f>
        <v>COLWSCANAL-14670</v>
      </c>
      <c r="AL70" s="4" t="str">
        <f ca="1">IFERROR(__xludf.DUMMYFUNCTION("""COMPUTED_VALUE"""),"New")</f>
        <v>New</v>
      </c>
      <c r="AM70" s="4"/>
      <c r="AN70" s="4" t="str">
        <f ca="1">IFERROR(__xludf.DUMMYFUNCTION("""COMPUTED_VALUE"""),"Entregable en backlog")</f>
        <v>Entregable en backlog</v>
      </c>
      <c r="AO70" s="4" t="str">
        <f ca="1">IFERROR(__xludf.DUMMYFUNCTION("""COMPUTED_VALUE"""),"Transformación de la Red")</f>
        <v>Transformación de la Red</v>
      </c>
      <c r="AP70" s="4"/>
      <c r="AQ70" s="4"/>
      <c r="AR70" s="4" t="str">
        <f ca="1">IFERROR(__xludf.DUMMYFUNCTION("""COMPUTED_VALUE"""),"SDA aprobada en PPP Q1 2023")</f>
        <v>SDA aprobada en PPP Q1 2023</v>
      </c>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row>
    <row r="71" spans="1:132" x14ac:dyDescent="0.2">
      <c r="A71" s="4">
        <f ca="1">IFERROR(__xludf.DUMMYFUNCTION("""COMPUTED_VALUE"""),71)</f>
        <v>71</v>
      </c>
      <c r="B71" s="4">
        <f ca="1">IFERROR(__xludf.DUMMYFUNCTION("""COMPUTED_VALUE"""),62)</f>
        <v>62</v>
      </c>
      <c r="C71" s="4" t="str">
        <f ca="1">IFERROR(__xludf.DUMMYFUNCTION("""COMPUTED_VALUE"""),"SDATOOL-37100")</f>
        <v>SDATOOL-37100</v>
      </c>
      <c r="D71" s="4" t="str">
        <f ca="1">IFERROR(__xludf.DUMMYFUNCTION("""COMPUTED_VALUE"""),"Soluciones de voz/Internalización del IVR - Plan Ascenso Privado")</f>
        <v>Soluciones de voz/Internalización del IVR - Plan Ascenso Privado</v>
      </c>
      <c r="E71"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1" s="4" t="str">
        <f ca="1">IFERROR(__xludf.DUMMYFUNCTION("""COMPUTED_VALUE"""),"Project")</f>
        <v>Project</v>
      </c>
      <c r="G71" s="4" t="str">
        <f ca="1">IFERROR(__xludf.DUMMYFUNCTION("""COMPUTED_VALUE"""),"Stock")</f>
        <v>Stock</v>
      </c>
      <c r="H71" s="4" t="str">
        <f ca="1">IFERROR(__xludf.DUMMYFUNCTION("""COMPUTED_VALUE"""),"4Q 2023")</f>
        <v>4Q 2023</v>
      </c>
      <c r="I71" s="131" t="str">
        <f ca="1">IFERROR(__xludf.DUMMYFUNCTION("""COMPUTED_VALUE"""),"jimy.catolico-bbva.com")</f>
        <v>jimy.catolico-bbva.com</v>
      </c>
      <c r="J71" s="131" t="str">
        <f ca="1">IFERROR(__xludf.DUMMYFUNCTION("""COMPUTED_VALUE"""),"juliocesar.estupinan-bbva.com")</f>
        <v>juliocesar.estupinan-bbva.com</v>
      </c>
      <c r="K71" s="131" t="str">
        <f ca="1">IFERROR(__xludf.DUMMYFUNCTION("""COMPUTED_VALUE"""),"yurimilena.moreno-bbva.com")</f>
        <v>yurimilena.moreno-bbva.com</v>
      </c>
      <c r="L71" s="4"/>
      <c r="M71" s="4"/>
      <c r="N71" s="4"/>
      <c r="O71" s="4" t="str">
        <f ca="1">IFERROR(__xludf.DUMMYFUNCTION("""COMPUTED_VALUE"""),"Scrum")</f>
        <v>Scrum</v>
      </c>
      <c r="P71" s="4" t="str">
        <f ca="1">IFERROR(__xludf.DUMMYFUNCTION("""COMPUTED_VALUE"""),"Kingsman")</f>
        <v>Kingsman</v>
      </c>
      <c r="Q71" s="4"/>
      <c r="R71" s="130" t="str">
        <f ca="1">IFERROR(__xludf.DUMMYFUNCTION("""COMPUTED_VALUE"""),"Business Innovation &amp; Strategy")</f>
        <v>Business Innovation &amp; Strategy</v>
      </c>
      <c r="S71" s="130" t="str">
        <f ca="1">IFERROR(__xludf.DUMMYFUNCTION("""COMPUTED_VALUE"""),"Plan Ascenso")</f>
        <v>Plan Ascenso</v>
      </c>
      <c r="T71" s="130" t="str">
        <f ca="1">IFERROR(__xludf.DUMMYFUNCTION("""COMPUTED_VALUE"""),"1. Generación de Ingresos")</f>
        <v>1. Generación de Ingresos</v>
      </c>
      <c r="U71" s="130" t="str">
        <f ca="1">IFERROR(__xludf.DUMMYFUNCTION("""COMPUTED_VALUE"""),"1.5. Otros de Proyectos de Ingresos")</f>
        <v>1.5. Otros de Proyectos de Ingresos</v>
      </c>
      <c r="V71" s="4" t="str">
        <f ca="1">IFERROR(__xludf.DUMMYFUNCTION("""COMPUTED_VALUE"""),"Gestor remoto")</f>
        <v>Gestor remoto</v>
      </c>
      <c r="W71" s="4">
        <f ca="1">IFERROR(__xludf.DUMMYFUNCTION("""COMPUTED_VALUE"""),1)</f>
        <v>1</v>
      </c>
      <c r="X71" s="4" t="str">
        <f ca="1">IFERROR(__xludf.DUMMYFUNCTION("""COMPUTED_VALUE"""),"04. Relationship Models")</f>
        <v>04. Relationship Models</v>
      </c>
      <c r="Y71" s="4" t="str">
        <f ca="1">IFERROR(__xludf.DUMMYFUNCTION("""COMPUTED_VALUE"""),"5.6.1 RM - Retail")</f>
        <v>5.6.1 RM - Retail</v>
      </c>
      <c r="Z71" s="132" t="str">
        <f ca="1">IFERROR(__xludf.DUMMYFUNCTION("""COMPUTED_VALUE"""),"713356")</f>
        <v>713356</v>
      </c>
      <c r="AA71" s="4" t="str">
        <f ca="1">IFERROR(__xludf.DUMMYFUNCTION("""COMPUTED_VALUE"""),"Envío de enlaces correo electrónico/Solicitud Extractos y Certificados")</f>
        <v>Envío de enlaces correo electrónico/Solicitud Extractos y Certificados</v>
      </c>
      <c r="AB71" s="4" t="str">
        <f ca="1">IFERROR(__xludf.DUMMYFUNCTION("""COMPUTED_VALUE"""),"Como :  Cliente Banco
Quiero: que cuando llame a la línea telefónica BBVA, se envíe a mi correo electrónico registrado en Bases Banco un link que conlleve a un video donde se explique como Generar mis extractos y certificados en la aplicación BBVA para ev"&amp;"itar que un Agente Humano me indique la misma información en Mayor Tiempo")</f>
        <v>Como :  Cliente Banco
Quiero: que cuando llame a la línea telefónica BBVA, se envíe a mi correo electrónico registrado en Bases Banco un link que conlleve a un video donde se explique como Generar mis extractos y certificados en la aplicación BBVA para evitar que un Agente Humano me indique la misma información en Mayor Tiempo</v>
      </c>
      <c r="AC71" s="4" t="str">
        <f ca="1">IFERROR(__xludf.DUMMYFUNCTION("""COMPUTED_VALUE"""),"4Q 2023")</f>
        <v>4Q 2023</v>
      </c>
      <c r="AD71" s="4"/>
      <c r="AE71" s="4"/>
      <c r="AF71" s="4"/>
      <c r="AG71" s="4"/>
      <c r="AH71" s="4"/>
      <c r="AI71" s="4"/>
      <c r="AJ71" s="4"/>
      <c r="AK71" s="131" t="str">
        <f ca="1">IFERROR(__xludf.DUMMYFUNCTION("""COMPUTED_VALUE"""),"COLWSCANAL-14667")</f>
        <v>COLWSCANAL-14667</v>
      </c>
      <c r="AL71" s="4" t="str">
        <f ca="1">IFERROR(__xludf.DUMMYFUNCTION("""COMPUTED_VALUE"""),"New")</f>
        <v>New</v>
      </c>
      <c r="AM71" s="4"/>
      <c r="AN71" s="4" t="str">
        <f ca="1">IFERROR(__xludf.DUMMYFUNCTION("""COMPUTED_VALUE"""),"Entregable en backlog")</f>
        <v>Entregable en backlog</v>
      </c>
      <c r="AO71" s="4" t="str">
        <f ca="1">IFERROR(__xludf.DUMMYFUNCTION("""COMPUTED_VALUE"""),"Transformación de la Red")</f>
        <v>Transformación de la Red</v>
      </c>
      <c r="AP71" s="4"/>
      <c r="AQ71" s="4"/>
      <c r="AR71" s="4" t="str">
        <f ca="1">IFERROR(__xludf.DUMMYFUNCTION("""COMPUTED_VALUE"""),"SDA aprobada en PPP Q1 2023")</f>
        <v>SDA aprobada en PPP Q1 2023</v>
      </c>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row>
    <row r="72" spans="1:132" x14ac:dyDescent="0.2">
      <c r="A72" s="4">
        <f ca="1">IFERROR(__xludf.DUMMYFUNCTION("""COMPUTED_VALUE"""),72)</f>
        <v>72</v>
      </c>
      <c r="B72" s="4"/>
      <c r="C72" s="4" t="str">
        <f ca="1">IFERROR(__xludf.DUMMYFUNCTION("""COMPUTED_VALUE"""),"SDATOOL-37100")</f>
        <v>SDATOOL-37100</v>
      </c>
      <c r="D72" s="4" t="str">
        <f ca="1">IFERROR(__xludf.DUMMYFUNCTION("""COMPUTED_VALUE"""),"Soluciones de voz/Internalización del IVR - Plan Ascenso Privado")</f>
        <v>Soluciones de voz/Internalización del IVR - Plan Ascenso Privado</v>
      </c>
      <c r="E72"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2" s="4" t="str">
        <f ca="1">IFERROR(__xludf.DUMMYFUNCTION("""COMPUTED_VALUE"""),"Project")</f>
        <v>Project</v>
      </c>
      <c r="G72" s="4" t="str">
        <f ca="1">IFERROR(__xludf.DUMMYFUNCTION("""COMPUTED_VALUE"""),"Stock")</f>
        <v>Stock</v>
      </c>
      <c r="H72" s="4" t="str">
        <f ca="1">IFERROR(__xludf.DUMMYFUNCTION("""COMPUTED_VALUE"""),"4Q 2023")</f>
        <v>4Q 2023</v>
      </c>
      <c r="I72" s="131" t="str">
        <f ca="1">IFERROR(__xludf.DUMMYFUNCTION("""COMPUTED_VALUE"""),"jimy.catolico-bbva.com")</f>
        <v>jimy.catolico-bbva.com</v>
      </c>
      <c r="J72" s="131" t="str">
        <f ca="1">IFERROR(__xludf.DUMMYFUNCTION("""COMPUTED_VALUE"""),"juliocesar.estupinan-bbva.com")</f>
        <v>juliocesar.estupinan-bbva.com</v>
      </c>
      <c r="K72" s="131" t="str">
        <f ca="1">IFERROR(__xludf.DUMMYFUNCTION("""COMPUTED_VALUE"""),"yurimilena.moreno-bbva.com")</f>
        <v>yurimilena.moreno-bbva.com</v>
      </c>
      <c r="L72" s="4"/>
      <c r="M72" s="4"/>
      <c r="N72" s="4"/>
      <c r="O72" s="4" t="str">
        <f ca="1">IFERROR(__xludf.DUMMYFUNCTION("""COMPUTED_VALUE"""),"Scrum")</f>
        <v>Scrum</v>
      </c>
      <c r="P72" s="4" t="str">
        <f ca="1">IFERROR(__xludf.DUMMYFUNCTION("""COMPUTED_VALUE"""),"Kingsman")</f>
        <v>Kingsman</v>
      </c>
      <c r="Q72" s="4"/>
      <c r="R72" s="130" t="str">
        <f ca="1">IFERROR(__xludf.DUMMYFUNCTION("""COMPUTED_VALUE"""),"Business Innovation &amp; Strategy")</f>
        <v>Business Innovation &amp; Strategy</v>
      </c>
      <c r="S72" s="130" t="str">
        <f ca="1">IFERROR(__xludf.DUMMYFUNCTION("""COMPUTED_VALUE"""),"Plan Ascenso")</f>
        <v>Plan Ascenso</v>
      </c>
      <c r="T72" s="130" t="str">
        <f ca="1">IFERROR(__xludf.DUMMYFUNCTION("""COMPUTED_VALUE"""),"1. Generación de Ingresos")</f>
        <v>1. Generación de Ingresos</v>
      </c>
      <c r="U72" s="130" t="str">
        <f ca="1">IFERROR(__xludf.DUMMYFUNCTION("""COMPUTED_VALUE"""),"1.5. Otros de Proyectos de Ingresos")</f>
        <v>1.5. Otros de Proyectos de Ingresos</v>
      </c>
      <c r="V72" s="4" t="str">
        <f ca="1">IFERROR(__xludf.DUMMYFUNCTION("""COMPUTED_VALUE"""),"Gestor remoto")</f>
        <v>Gestor remoto</v>
      </c>
      <c r="W72" s="4">
        <f ca="1">IFERROR(__xludf.DUMMYFUNCTION("""COMPUTED_VALUE"""),1)</f>
        <v>1</v>
      </c>
      <c r="X72" s="4" t="str">
        <f ca="1">IFERROR(__xludf.DUMMYFUNCTION("""COMPUTED_VALUE"""),"04. Relationship Models")</f>
        <v>04. Relationship Models</v>
      </c>
      <c r="Y72" s="4" t="str">
        <f ca="1">IFERROR(__xludf.DUMMYFUNCTION("""COMPUTED_VALUE"""),"5.6.1 RM - Retail")</f>
        <v>5.6.1 RM - Retail</v>
      </c>
      <c r="Z72" s="132" t="str">
        <f ca="1">IFERROR(__xludf.DUMMYFUNCTION("""COMPUTED_VALUE"""),"774009")</f>
        <v>774009</v>
      </c>
      <c r="AA72" s="4" t="str">
        <f ca="1">IFERROR(__xludf.DUMMYFUNCTION("""COMPUTED_VALUE"""),"Envío de enlaces correo electrónico/Activación Tarjeta de crédito")</f>
        <v>Envío de enlaces correo electrónico/Activación Tarjeta de crédito</v>
      </c>
      <c r="AB72" s="4" t="str">
        <f ca="1">IFERROR(__xludf.DUMMYFUNCTION("""COMPUTED_VALUE"""),"Como :  Cliente Banco
Quiero: que cuando llame a la línea telefónica BBVA, se envíe a mi correo electrónico registrado en Bases Banco un link que conlleve a un video donde se explique cómo activar mi tarjeta de crédito en la aplicación BBVA para evitar qu"&amp;"e un Agente Humano me indique la misma información en Mayor Tiemp")</f>
        <v>Como :  Cliente Banco
Quiero: que cuando llame a la línea telefónica BBVA, se envíe a mi correo electrónico registrado en Bases Banco un link que conlleve a un video donde se explique cómo activar mi tarjeta de crédito en la aplicación BBVA para evitar que un Agente Humano me indique la misma información en Mayor Tiemp</v>
      </c>
      <c r="AC72" s="4" t="str">
        <f ca="1">IFERROR(__xludf.DUMMYFUNCTION("""COMPUTED_VALUE"""),"4Q 2023")</f>
        <v>4Q 2023</v>
      </c>
      <c r="AD72" s="4"/>
      <c r="AE72" s="4"/>
      <c r="AF72" s="4"/>
      <c r="AG72" s="4"/>
      <c r="AH72" s="4"/>
      <c r="AI72" s="4"/>
      <c r="AJ72" s="4"/>
      <c r="AK72" s="131" t="str">
        <f ca="1">IFERROR(__xludf.DUMMYFUNCTION("""COMPUTED_VALUE"""),"COLWSCANAL-14723")</f>
        <v>COLWSCANAL-14723</v>
      </c>
      <c r="AL72" s="4" t="str">
        <f ca="1">IFERROR(__xludf.DUMMYFUNCTION("""COMPUTED_VALUE"""),"New")</f>
        <v>New</v>
      </c>
      <c r="AM72" s="4"/>
      <c r="AN72" s="4" t="str">
        <f ca="1">IFERROR(__xludf.DUMMYFUNCTION("""COMPUTED_VALUE"""),"Entregable en backlog")</f>
        <v>Entregable en backlog</v>
      </c>
      <c r="AO72" s="4" t="str">
        <f ca="1">IFERROR(__xludf.DUMMYFUNCTION("""COMPUTED_VALUE"""),"Transformación de la Red")</f>
        <v>Transformación de la Red</v>
      </c>
      <c r="AP72" s="4"/>
      <c r="AQ72" s="4"/>
      <c r="AR72" s="4" t="str">
        <f ca="1">IFERROR(__xludf.DUMMYFUNCTION("""COMPUTED_VALUE"""),"SDA aprobada en PPP Q1 2023")</f>
        <v>SDA aprobada en PPP Q1 2023</v>
      </c>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row>
    <row r="73" spans="1:132" x14ac:dyDescent="0.2">
      <c r="A73" s="4">
        <f ca="1">IFERROR(__xludf.DUMMYFUNCTION("""COMPUTED_VALUE"""),73)</f>
        <v>73</v>
      </c>
      <c r="B73" s="4">
        <f ca="1">IFERROR(__xludf.DUMMYFUNCTION("""COMPUTED_VALUE"""),63)</f>
        <v>63</v>
      </c>
      <c r="C73" s="4" t="str">
        <f ca="1">IFERROR(__xludf.DUMMYFUNCTION("""COMPUTED_VALUE"""),"SDATOOL-38757")</f>
        <v>SDATOOL-38757</v>
      </c>
      <c r="D73" s="4" t="str">
        <f ca="1">IFERROR(__xludf.DUMMYFUNCTION("""COMPUTED_VALUE"""),"Modelo administrativo de oficina - Omnicanalidad")</f>
        <v>Modelo administrativo de oficina - Omnicanalidad</v>
      </c>
      <c r="E73" s="4" t="str">
        <f ca="1">IFERROR(__xludf.DUMMYFUNCTION("""COMPUTED_VALUE"""),"Digitalización en la contratación de productos del banco y en diferentes canales existentes para lograr la propuesta de omnicanalidad.")</f>
        <v>Digitalización en la contratación de productos del banco y en diferentes canales existentes para lograr la propuesta de omnicanalidad.</v>
      </c>
      <c r="F73" s="4" t="str">
        <f ca="1">IFERROR(__xludf.DUMMYFUNCTION("""COMPUTED_VALUE"""),"Project")</f>
        <v>Project</v>
      </c>
      <c r="G73" s="4" t="str">
        <f ca="1">IFERROR(__xludf.DUMMYFUNCTION("""COMPUTED_VALUE"""),"Stock")</f>
        <v>Stock</v>
      </c>
      <c r="H73" s="4" t="str">
        <f ca="1">IFERROR(__xludf.DUMMYFUNCTION("""COMPUTED_VALUE"""),"4Q 2024")</f>
        <v>4Q 2024</v>
      </c>
      <c r="I73" s="131" t="str">
        <f ca="1">IFERROR(__xludf.DUMMYFUNCTION("""COMPUTED_VALUE"""),"jimy.catolico-bbva.com")</f>
        <v>jimy.catolico-bbva.com</v>
      </c>
      <c r="J73" s="131" t="str">
        <f ca="1">IFERROR(__xludf.DUMMYFUNCTION("""COMPUTED_VALUE"""),"cindytatiana.perilla-bbva.com")</f>
        <v>cindytatiana.perilla-bbva.com</v>
      </c>
      <c r="K73" s="131" t="str">
        <f ca="1">IFERROR(__xludf.DUMMYFUNCTION("""COMPUTED_VALUE"""),"andres.carrandi-bbva.com")</f>
        <v>andres.carrandi-bbva.com</v>
      </c>
      <c r="L73" s="130">
        <f ca="1">IFERROR(__xludf.DUMMYFUNCTION("""COMPUTED_VALUE"""),0.5)</f>
        <v>0.5</v>
      </c>
      <c r="M73" s="130">
        <f ca="1">IFERROR(__xludf.DUMMYFUNCTION("""COMPUTED_VALUE"""),3.8)</f>
        <v>3.8</v>
      </c>
      <c r="N73" s="130">
        <f ca="1">IFERROR(__xludf.DUMMYFUNCTION("""COMPUTED_VALUE"""),0)</f>
        <v>0</v>
      </c>
      <c r="O73" s="4" t="str">
        <f ca="1">IFERROR(__xludf.DUMMYFUNCTION("""COMPUTED_VALUE"""),"Scrum")</f>
        <v>Scrum</v>
      </c>
      <c r="P73" s="4" t="str">
        <f ca="1">IFERROR(__xludf.DUMMYFUNCTION("""COMPUTED_VALUE"""),"The Strongest")</f>
        <v>The Strongest</v>
      </c>
      <c r="Q73" s="130">
        <f ca="1">IFERROR(__xludf.DUMMYFUNCTION("""COMPUTED_VALUE"""),1)</f>
        <v>1</v>
      </c>
      <c r="R73" s="130" t="str">
        <f ca="1">IFERROR(__xludf.DUMMYFUNCTION("""COMPUTED_VALUE"""),"Business Innovation &amp; Strategy")</f>
        <v>Business Innovation &amp; Strategy</v>
      </c>
      <c r="S73" s="130" t="str">
        <f ca="1">IFERROR(__xludf.DUMMYFUNCTION("""COMPUTED_VALUE"""),"Area Review")</f>
        <v>Area Review</v>
      </c>
      <c r="T73" s="130" t="str">
        <f ca="1">IFERROR(__xludf.DUMMYFUNCTION("""COMPUTED_VALUE"""),"2. Modelo de relación y distribución")</f>
        <v>2. Modelo de relación y distribución</v>
      </c>
      <c r="U73" s="130" t="str">
        <f ca="1">IFERROR(__xludf.DUMMYFUNCTION("""COMPUTED_VALUE"""),"2.1. Transformación de Oficinas")</f>
        <v>2.1. Transformación de Oficinas</v>
      </c>
      <c r="V73" s="4" t="str">
        <f ca="1">IFERROR(__xludf.DUMMYFUNCTION("""COMPUTED_VALUE"""),"NMO")</f>
        <v>NMO</v>
      </c>
      <c r="W73" s="4">
        <f ca="1">IFERROR(__xludf.DUMMYFUNCTION("""COMPUTED_VALUE"""),1)</f>
        <v>1</v>
      </c>
      <c r="X73" s="4" t="str">
        <f ca="1">IFERROR(__xludf.DUMMYFUNCTION("""COMPUTED_VALUE"""),"04. Relationship Models")</f>
        <v>04. Relationship Models</v>
      </c>
      <c r="Y73" s="4" t="str">
        <f ca="1">IFERROR(__xludf.DUMMYFUNCTION("""COMPUTED_VALUE"""),"5.6.1 RM - Retail")</f>
        <v>5.6.1 RM - Retail</v>
      </c>
      <c r="Z73" s="132" t="str">
        <f ca="1">IFERROR(__xludf.DUMMYFUNCTION("""COMPUTED_VALUE"""),"490113")</f>
        <v>490113</v>
      </c>
      <c r="AA73" s="4" t="str">
        <f ca="1">IFERROR(__xludf.DUMMYFUNCTION("""COMPUTED_VALUE"""),"Habilitador firma electrónica")</f>
        <v>Habilitador firma electrónica</v>
      </c>
      <c r="AB73" s="4" t="str">
        <f ca="1">IFERROR(__xludf.DUMMYFUNCTION("""COMPUTED_VALUE"""),"Contar con un componente tecnológico transversal para soportar la firma electrónica en los procesos de contratación de productos.")</f>
        <v>Contar con un componente tecnológico transversal para soportar la firma electrónica en los procesos de contratación de productos.</v>
      </c>
      <c r="AC73" s="4" t="str">
        <f ca="1">IFERROR(__xludf.DUMMYFUNCTION("""COMPUTED_VALUE"""),"3Q 2023")</f>
        <v>3Q 2023</v>
      </c>
      <c r="AD73" s="128">
        <f ca="1">IFERROR(__xludf.DUMMYFUNCTION("""COMPUTED_VALUE"""),44928)</f>
        <v>44928</v>
      </c>
      <c r="AE73" s="128" t="str">
        <f ca="1">IFERROR(__xludf.DUMMYFUNCTION("""COMPUTED_VALUE"""),"29/02/2023")</f>
        <v>29/02/2023</v>
      </c>
      <c r="AF73" s="128">
        <f ca="1">IFERROR(__xludf.DUMMYFUNCTION("""COMPUTED_VALUE"""),45000)</f>
        <v>45000</v>
      </c>
      <c r="AG73" s="128">
        <f ca="1">IFERROR(__xludf.DUMMYFUNCTION("""COMPUTED_VALUE"""),45169)</f>
        <v>45169</v>
      </c>
      <c r="AH73" s="128">
        <f ca="1">IFERROR(__xludf.DUMMYFUNCTION("""COMPUTED_VALUE"""),45171)</f>
        <v>45171</v>
      </c>
      <c r="AI73" s="128">
        <f ca="1">IFERROR(__xludf.DUMMYFUNCTION("""COMPUTED_VALUE"""),45183)</f>
        <v>45183</v>
      </c>
      <c r="AJ73" s="128">
        <f ca="1">IFERROR(__xludf.DUMMYFUNCTION("""COMPUTED_VALUE"""),45197)</f>
        <v>45197</v>
      </c>
      <c r="AK73" s="131" t="str">
        <f ca="1">IFERROR(__xludf.DUMMYFUNCTION("""COMPUTED_VALUE"""),"COLWSCANAL-2506")</f>
        <v>COLWSCANAL-2506</v>
      </c>
      <c r="AL73" s="4" t="str">
        <f ca="1">IFERROR(__xludf.DUMMYFUNCTION("""COMPUTED_VALUE"""),"Ready")</f>
        <v>Ready</v>
      </c>
      <c r="AM73" s="4"/>
      <c r="AN73" s="4" t="str">
        <f ca="1">IFERROR(__xludf.DUMMYFUNCTION("""COMPUTED_VALUE"""),"Entregable en desarrollo")</f>
        <v>Entregable en desarrollo</v>
      </c>
      <c r="AO73" s="4"/>
      <c r="AP73" s="4"/>
      <c r="AQ73" s="4"/>
      <c r="AR73" s="4" t="str">
        <f ca="1">IFERROR(__xludf.DUMMYFUNCTION("""COMPUTED_VALUE"""),"SDA aprobada en PPP Q1 2023")</f>
        <v>SDA aprobada en PPP Q1 2023</v>
      </c>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133">
        <f ca="1">IFERROR(__xludf.DUMMYFUNCTION("""COMPUTED_VALUE"""),0)</f>
        <v>0</v>
      </c>
      <c r="DV73" s="133">
        <f ca="1">IFERROR(__xludf.DUMMYFUNCTION("""COMPUTED_VALUE"""),0)</f>
        <v>0</v>
      </c>
      <c r="DW73" s="133">
        <f ca="1">IFERROR(__xludf.DUMMYFUNCTION("""COMPUTED_VALUE"""),28331443)</f>
        <v>28331443</v>
      </c>
      <c r="DX73" s="133">
        <f ca="1">IFERROR(__xludf.DUMMYFUNCTION("""COMPUTED_VALUE"""),451664395)</f>
        <v>451664395</v>
      </c>
      <c r="DY73" s="133">
        <f ca="1">IFERROR(__xludf.DUMMYFUNCTION("""COMPUTED_VALUE"""),320000000)</f>
        <v>320000000</v>
      </c>
      <c r="DZ73" s="133">
        <f ca="1">IFERROR(__xludf.DUMMYFUNCTION("""COMPUTED_VALUE"""),799995838)</f>
        <v>799995838</v>
      </c>
      <c r="EA73" s="4"/>
      <c r="EB73" s="4"/>
    </row>
    <row r="74" spans="1:132" x14ac:dyDescent="0.2">
      <c r="A74" s="4">
        <f ca="1">IFERROR(__xludf.DUMMYFUNCTION("""COMPUTED_VALUE"""),74)</f>
        <v>74</v>
      </c>
      <c r="B74" s="4">
        <f ca="1">IFERROR(__xludf.DUMMYFUNCTION("""COMPUTED_VALUE"""),64)</f>
        <v>64</v>
      </c>
      <c r="C74" s="4" t="str">
        <f ca="1">IFERROR(__xludf.DUMMYFUNCTION("""COMPUTED_VALUE"""),"SDATOOL-38757")</f>
        <v>SDATOOL-38757</v>
      </c>
      <c r="D74" s="4" t="str">
        <f ca="1">IFERROR(__xludf.DUMMYFUNCTION("""COMPUTED_VALUE"""),"Modelo administrativo de oficina - Omnicanalidad")</f>
        <v>Modelo administrativo de oficina - Omnicanalidad</v>
      </c>
      <c r="E74" s="4" t="str">
        <f ca="1">IFERROR(__xludf.DUMMYFUNCTION("""COMPUTED_VALUE"""),"Digitalización en la contratación de productos del banco y en diferentes canales existentes para lograr la propuesta de omnicanalidad.")</f>
        <v>Digitalización en la contratación de productos del banco y en diferentes canales existentes para lograr la propuesta de omnicanalidad.</v>
      </c>
      <c r="F74" s="4" t="str">
        <f ca="1">IFERROR(__xludf.DUMMYFUNCTION("""COMPUTED_VALUE"""),"Project")</f>
        <v>Project</v>
      </c>
      <c r="G74" s="4" t="str">
        <f ca="1">IFERROR(__xludf.DUMMYFUNCTION("""COMPUTED_VALUE"""),"Stock")</f>
        <v>Stock</v>
      </c>
      <c r="H74" s="4" t="str">
        <f ca="1">IFERROR(__xludf.DUMMYFUNCTION("""COMPUTED_VALUE"""),"4Q 2024")</f>
        <v>4Q 2024</v>
      </c>
      <c r="I74" s="131" t="str">
        <f ca="1">IFERROR(__xludf.DUMMYFUNCTION("""COMPUTED_VALUE"""),"jimy.catolico-bbva.com")</f>
        <v>jimy.catolico-bbva.com</v>
      </c>
      <c r="J74" s="131" t="str">
        <f ca="1">IFERROR(__xludf.DUMMYFUNCTION("""COMPUTED_VALUE"""),"cindytatiana.perilla-bbva.com")</f>
        <v>cindytatiana.perilla-bbva.com</v>
      </c>
      <c r="K74" s="131" t="str">
        <f ca="1">IFERROR(__xludf.DUMMYFUNCTION("""COMPUTED_VALUE"""),"andres.carrandi-bbva.com")</f>
        <v>andres.carrandi-bbva.com</v>
      </c>
      <c r="L74" s="4"/>
      <c r="M74" s="4"/>
      <c r="N74" s="4"/>
      <c r="O74" s="4" t="str">
        <f ca="1">IFERROR(__xludf.DUMMYFUNCTION("""COMPUTED_VALUE"""),"Scrum")</f>
        <v>Scrum</v>
      </c>
      <c r="P74" s="4" t="str">
        <f ca="1">IFERROR(__xludf.DUMMYFUNCTION("""COMPUTED_VALUE"""),"The Strongest")</f>
        <v>The Strongest</v>
      </c>
      <c r="Q74" s="4"/>
      <c r="R74" s="130" t="str">
        <f ca="1">IFERROR(__xludf.DUMMYFUNCTION("""COMPUTED_VALUE"""),"Business Innovation &amp; Strategy")</f>
        <v>Business Innovation &amp; Strategy</v>
      </c>
      <c r="S74" s="130" t="str">
        <f ca="1">IFERROR(__xludf.DUMMYFUNCTION("""COMPUTED_VALUE"""),"Area Review")</f>
        <v>Area Review</v>
      </c>
      <c r="T74" s="130" t="str">
        <f ca="1">IFERROR(__xludf.DUMMYFUNCTION("""COMPUTED_VALUE"""),"2. Modelo de relación y distribución")</f>
        <v>2. Modelo de relación y distribución</v>
      </c>
      <c r="U74" s="130" t="str">
        <f ca="1">IFERROR(__xludf.DUMMYFUNCTION("""COMPUTED_VALUE"""),"2.1. Transformación de Oficinas")</f>
        <v>2.1. Transformación de Oficinas</v>
      </c>
      <c r="V74" s="4" t="str">
        <f ca="1">IFERROR(__xludf.DUMMYFUNCTION("""COMPUTED_VALUE"""),"NMO")</f>
        <v>NMO</v>
      </c>
      <c r="W74" s="4">
        <f ca="1">IFERROR(__xludf.DUMMYFUNCTION("""COMPUTED_VALUE"""),1)</f>
        <v>1</v>
      </c>
      <c r="X74" s="4" t="str">
        <f ca="1">IFERROR(__xludf.DUMMYFUNCTION("""COMPUTED_VALUE"""),"04. Relationship Models")</f>
        <v>04. Relationship Models</v>
      </c>
      <c r="Y74" s="4" t="str">
        <f ca="1">IFERROR(__xludf.DUMMYFUNCTION("""COMPUTED_VALUE"""),"5.6.1 RM - Retail")</f>
        <v>5.6.1 RM - Retail</v>
      </c>
      <c r="Z74" s="132" t="str">
        <f ca="1">IFERROR(__xludf.DUMMYFUNCTION("""COMPUTED_VALUE"""),"666349")</f>
        <v>666349</v>
      </c>
      <c r="AA74" s="4" t="str">
        <f ca="1">IFERROR(__xludf.DUMMYFUNCTION("""COMPUTED_VALUE"""),"Desmaterizalizar los documentos de CAP Retail")</f>
        <v>Desmaterizalizar los documentos de CAP Retail</v>
      </c>
      <c r="AB74" s="4" t="str">
        <f ca="1">IFERROR(__xludf.DUMMYFUNCTION("""COMPUTED_VALUE"""),"Generación dedocumentos
Firma de documentos
Almacenamiento en gestor Documental
Carga de documentos.")</f>
        <v>Generación dedocumentos
Firma de documentos
Almacenamiento en gestor Documental
Carga de documentos.</v>
      </c>
      <c r="AC74" s="4" t="str">
        <f ca="1">IFERROR(__xludf.DUMMYFUNCTION("""COMPUTED_VALUE"""),"4Q 2023")</f>
        <v>4Q 2023</v>
      </c>
      <c r="AD74" s="4"/>
      <c r="AE74" s="4"/>
      <c r="AF74" s="4"/>
      <c r="AG74" s="4"/>
      <c r="AH74" s="4"/>
      <c r="AI74" s="4"/>
      <c r="AJ74" s="4"/>
      <c r="AK74" s="131" t="str">
        <f ca="1">IFERROR(__xludf.DUMMYFUNCTION("""COMPUTED_VALUE"""),"COLWSCANAL-13515")</f>
        <v>COLWSCANAL-13515</v>
      </c>
      <c r="AL74" s="4" t="str">
        <f ca="1">IFERROR(__xludf.DUMMYFUNCTION("""COMPUTED_VALUE"""),"New")</f>
        <v>New</v>
      </c>
      <c r="AM74" s="4"/>
      <c r="AN74" s="4" t="str">
        <f ca="1">IFERROR(__xludf.DUMMYFUNCTION("""COMPUTED_VALUE"""),"Entregable en backlog")</f>
        <v>Entregable en backlog</v>
      </c>
      <c r="AO74" s="4"/>
      <c r="AP74" s="4"/>
      <c r="AQ74" s="4"/>
      <c r="AR74" s="4" t="str">
        <f ca="1">IFERROR(__xludf.DUMMYFUNCTION("""COMPUTED_VALUE"""),"SDA aprobada en PPP Q1 2023")</f>
        <v>SDA aprobada en PPP Q1 2023</v>
      </c>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row>
    <row r="75" spans="1:132" x14ac:dyDescent="0.2">
      <c r="A75" s="4">
        <f ca="1">IFERROR(__xludf.DUMMYFUNCTION("""COMPUTED_VALUE"""),75)</f>
        <v>75</v>
      </c>
      <c r="B75" s="4">
        <f ca="1">IFERROR(__xludf.DUMMYFUNCTION("""COMPUTED_VALUE"""),65)</f>
        <v>65</v>
      </c>
      <c r="C75" s="4" t="str">
        <f ca="1">IFERROR(__xludf.DUMMYFUNCTION("""COMPUTED_VALUE"""),"SDATOOL-38742")</f>
        <v>SDATOOL-38742</v>
      </c>
      <c r="D75" s="4" t="str">
        <f ca="1">IFERROR(__xludf.DUMMYFUNCTION("""COMPUTED_VALUE"""),"Gestor Documental Retail")</f>
        <v>Gestor Documental Retail</v>
      </c>
      <c r="E75"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5" s="4" t="str">
        <f ca="1">IFERROR(__xludf.DUMMYFUNCTION("""COMPUTED_VALUE"""),"Project")</f>
        <v>Project</v>
      </c>
      <c r="G75" s="4" t="str">
        <f ca="1">IFERROR(__xludf.DUMMYFUNCTION("""COMPUTED_VALUE"""),"Stock")</f>
        <v>Stock</v>
      </c>
      <c r="H75" s="4" t="str">
        <f ca="1">IFERROR(__xludf.DUMMYFUNCTION("""COMPUTED_VALUE"""),"4Q 2024")</f>
        <v>4Q 2024</v>
      </c>
      <c r="I75" s="131" t="str">
        <f ca="1">IFERROR(__xludf.DUMMYFUNCTION("""COMPUTED_VALUE"""),"jimy.catolico-bbva.com")</f>
        <v>jimy.catolico-bbva.com</v>
      </c>
      <c r="J75" s="131" t="str">
        <f ca="1">IFERROR(__xludf.DUMMYFUNCTION("""COMPUTED_VALUE"""),"oscar.bejarano-bbva.com")</f>
        <v>oscar.bejarano-bbva.com</v>
      </c>
      <c r="K75" s="131" t="str">
        <f ca="1">IFERROR(__xludf.DUMMYFUNCTION("""COMPUTED_VALUE"""),"andres.carrandi-bbva.com")</f>
        <v>andres.carrandi-bbva.com</v>
      </c>
      <c r="L75" s="130">
        <f ca="1">IFERROR(__xludf.DUMMYFUNCTION("""COMPUTED_VALUE"""),0.3)</f>
        <v>0.3</v>
      </c>
      <c r="M75" s="130">
        <f ca="1">IFERROR(__xludf.DUMMYFUNCTION("""COMPUTED_VALUE"""),3)</f>
        <v>3</v>
      </c>
      <c r="N75" s="130">
        <f ca="1">IFERROR(__xludf.DUMMYFUNCTION("""COMPUTED_VALUE"""),0)</f>
        <v>0</v>
      </c>
      <c r="O75" s="4" t="str">
        <f ca="1">IFERROR(__xludf.DUMMYFUNCTION("""COMPUTED_VALUE"""),"Scrum")</f>
        <v>Scrum</v>
      </c>
      <c r="P75" s="4" t="str">
        <f ca="1">IFERROR(__xludf.DUMMYFUNCTION("""COMPUTED_VALUE"""),"The Master Doc´s")</f>
        <v>The Master Doc´s</v>
      </c>
      <c r="Q75" s="130">
        <f ca="1">IFERROR(__xludf.DUMMYFUNCTION("""COMPUTED_VALUE"""),1)</f>
        <v>1</v>
      </c>
      <c r="R75" s="130" t="str">
        <f ca="1">IFERROR(__xludf.DUMMYFUNCTION("""COMPUTED_VALUE"""),"Business Innovation &amp; Strategy")</f>
        <v>Business Innovation &amp; Strategy</v>
      </c>
      <c r="S75" s="130" t="str">
        <f ca="1">IFERROR(__xludf.DUMMYFUNCTION("""COMPUTED_VALUE"""),"Area Review")</f>
        <v>Area Review</v>
      </c>
      <c r="T75" s="130" t="str">
        <f ca="1">IFERROR(__xludf.DUMMYFUNCTION("""COMPUTED_VALUE"""),"2. Modelo de relación y distribución")</f>
        <v>2. Modelo de relación y distribución</v>
      </c>
      <c r="U75" s="130" t="str">
        <f ca="1">IFERROR(__xludf.DUMMYFUNCTION("""COMPUTED_VALUE"""),"2.2. Gestión remota")</f>
        <v>2.2. Gestión remota</v>
      </c>
      <c r="V75" s="4" t="str">
        <f ca="1">IFERROR(__xludf.DUMMYFUNCTION("""COMPUTED_VALUE"""),"Gestor remoto")</f>
        <v>Gestor remoto</v>
      </c>
      <c r="W75" s="4">
        <f ca="1">IFERROR(__xludf.DUMMYFUNCTION("""COMPUTED_VALUE"""),1)</f>
        <v>1</v>
      </c>
      <c r="X75" s="4" t="str">
        <f ca="1">IFERROR(__xludf.DUMMYFUNCTION("""COMPUTED_VALUE"""),"04. Relationship Models")</f>
        <v>04. Relationship Models</v>
      </c>
      <c r="Y75" s="4" t="str">
        <f ca="1">IFERROR(__xludf.DUMMYFUNCTION("""COMPUTED_VALUE"""),"5.6.1 RM - Retail")</f>
        <v>5.6.1 RM - Retail</v>
      </c>
      <c r="Z75" s="132" t="str">
        <f ca="1">IFERROR(__xludf.DUMMYFUNCTION("""COMPUTED_VALUE"""),"491849")</f>
        <v>491849</v>
      </c>
      <c r="AA75" s="4" t="str">
        <f ca="1">IFERROR(__xludf.DUMMYFUNCTION("""COMPUTED_VALUE"""),"Carga de documentos dentro de CAP retail a Gestor Documental")</f>
        <v>Carga de documentos dentro de CAP retail a Gestor Documental</v>
      </c>
      <c r="AB75" s="4" t="str">
        <f ca="1">IFERROR(__xludf.DUMMYFUNCTION("""COMPUTED_VALUE"""),"2) Almacenamiento de documentos y servicios de consulta")</f>
        <v>2) Almacenamiento de documentos y servicios de consulta</v>
      </c>
      <c r="AC75" s="4" t="str">
        <f ca="1">IFERROR(__xludf.DUMMYFUNCTION("""COMPUTED_VALUE"""),"3Q 2023")</f>
        <v>3Q 2023</v>
      </c>
      <c r="AD75" s="128">
        <f ca="1">IFERROR(__xludf.DUMMYFUNCTION("""COMPUTED_VALUE"""),44774)</f>
        <v>44774</v>
      </c>
      <c r="AE75" s="128">
        <f ca="1">IFERROR(__xludf.DUMMYFUNCTION("""COMPUTED_VALUE"""),44834)</f>
        <v>44834</v>
      </c>
      <c r="AF75" s="128">
        <f ca="1">IFERROR(__xludf.DUMMYFUNCTION("""COMPUTED_VALUE"""),44836)</f>
        <v>44836</v>
      </c>
      <c r="AG75" s="128">
        <f ca="1">IFERROR(__xludf.DUMMYFUNCTION("""COMPUTED_VALUE"""),44635)</f>
        <v>44635</v>
      </c>
      <c r="AH75" s="128">
        <f ca="1">IFERROR(__xludf.DUMMYFUNCTION("""COMPUTED_VALUE"""),45003)</f>
        <v>45003</v>
      </c>
      <c r="AI75" s="128">
        <f ca="1">IFERROR(__xludf.DUMMYFUNCTION("""COMPUTED_VALUE"""),45018)</f>
        <v>45018</v>
      </c>
      <c r="AJ75" s="128">
        <f ca="1">IFERROR(__xludf.DUMMYFUNCTION("""COMPUTED_VALUE"""),45029)</f>
        <v>45029</v>
      </c>
      <c r="AK75" s="131" t="str">
        <f ca="1">IFERROR(__xludf.DUMMYFUNCTION("""COMPUTED_VALUE"""),"COLWSCANAL-13512")</f>
        <v>COLWSCANAL-13512</v>
      </c>
      <c r="AL75" s="4" t="str">
        <f ca="1">IFERROR(__xludf.DUMMYFUNCTION("""COMPUTED_VALUE"""),"New")</f>
        <v>New</v>
      </c>
      <c r="AM75" s="4"/>
      <c r="AN75" s="4" t="str">
        <f ca="1">IFERROR(__xludf.DUMMYFUNCTION("""COMPUTED_VALUE"""),"Entregable en desarrollo")</f>
        <v>Entregable en desarrollo</v>
      </c>
      <c r="AO75" s="4"/>
      <c r="AP75" s="4"/>
      <c r="AQ75" s="4"/>
      <c r="AR75" s="4" t="str">
        <f ca="1">IFERROR(__xludf.DUMMYFUNCTION("""COMPUTED_VALUE"""),"SDA aprobada en PPP Q1 2023")</f>
        <v>SDA aprobada en PPP Q1 2023</v>
      </c>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133">
        <f ca="1">IFERROR(__xludf.DUMMYFUNCTION("""COMPUTED_VALUE"""),0)</f>
        <v>0</v>
      </c>
      <c r="DV75" s="133">
        <f ca="1">IFERROR(__xludf.DUMMYFUNCTION("""COMPUTED_VALUE"""),0)</f>
        <v>0</v>
      </c>
      <c r="DW75" s="133">
        <f ca="1">IFERROR(__xludf.DUMMYFUNCTION("""COMPUTED_VALUE"""),0)</f>
        <v>0</v>
      </c>
      <c r="DX75" s="133">
        <f ca="1">IFERROR(__xludf.DUMMYFUNCTION("""COMPUTED_VALUE"""),400000000)</f>
        <v>400000000</v>
      </c>
      <c r="DY75" s="133">
        <f ca="1">IFERROR(__xludf.DUMMYFUNCTION("""COMPUTED_VALUE"""),400000000)</f>
        <v>400000000</v>
      </c>
      <c r="DZ75" s="133">
        <f ca="1">IFERROR(__xludf.DUMMYFUNCTION("""COMPUTED_VALUE"""),800000000)</f>
        <v>800000000</v>
      </c>
      <c r="EA75" s="4"/>
      <c r="EB75" s="4"/>
    </row>
    <row r="76" spans="1:132" x14ac:dyDescent="0.2">
      <c r="A76" s="4">
        <f ca="1">IFERROR(__xludf.DUMMYFUNCTION("""COMPUTED_VALUE"""),76)</f>
        <v>76</v>
      </c>
      <c r="B76" s="4">
        <f ca="1">IFERROR(__xludf.DUMMYFUNCTION("""COMPUTED_VALUE"""),66)</f>
        <v>66</v>
      </c>
      <c r="C76" s="4" t="str">
        <f ca="1">IFERROR(__xludf.DUMMYFUNCTION("""COMPUTED_VALUE"""),"SDATOOL-38742")</f>
        <v>SDATOOL-38742</v>
      </c>
      <c r="D76" s="4" t="str">
        <f ca="1">IFERROR(__xludf.DUMMYFUNCTION("""COMPUTED_VALUE"""),"Gestor Documental Retail")</f>
        <v>Gestor Documental Retail</v>
      </c>
      <c r="E76"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6" s="4" t="str">
        <f ca="1">IFERROR(__xludf.DUMMYFUNCTION("""COMPUTED_VALUE"""),"Project")</f>
        <v>Project</v>
      </c>
      <c r="G76" s="4" t="str">
        <f ca="1">IFERROR(__xludf.DUMMYFUNCTION("""COMPUTED_VALUE"""),"Stock")</f>
        <v>Stock</v>
      </c>
      <c r="H76" s="4" t="str">
        <f ca="1">IFERROR(__xludf.DUMMYFUNCTION("""COMPUTED_VALUE"""),"4Q 2024")</f>
        <v>4Q 2024</v>
      </c>
      <c r="I76" s="131" t="str">
        <f ca="1">IFERROR(__xludf.DUMMYFUNCTION("""COMPUTED_VALUE"""),"jimy.catolico-bbva.com")</f>
        <v>jimy.catolico-bbva.com</v>
      </c>
      <c r="J76" s="131" t="str">
        <f ca="1">IFERROR(__xludf.DUMMYFUNCTION("""COMPUTED_VALUE"""),"oscar.bejarano-bbva.com")</f>
        <v>oscar.bejarano-bbva.com</v>
      </c>
      <c r="K76" s="131" t="str">
        <f ca="1">IFERROR(__xludf.DUMMYFUNCTION("""COMPUTED_VALUE"""),"andres.carrandi-bbva.com")</f>
        <v>andres.carrandi-bbva.com</v>
      </c>
      <c r="L76" s="4"/>
      <c r="M76" s="4"/>
      <c r="N76" s="4"/>
      <c r="O76" s="4" t="str">
        <f ca="1">IFERROR(__xludf.DUMMYFUNCTION("""COMPUTED_VALUE"""),"Scrum")</f>
        <v>Scrum</v>
      </c>
      <c r="P76" s="4" t="str">
        <f ca="1">IFERROR(__xludf.DUMMYFUNCTION("""COMPUTED_VALUE"""),"The Master Doc´s")</f>
        <v>The Master Doc´s</v>
      </c>
      <c r="Q76" s="4"/>
      <c r="R76" s="130" t="str">
        <f ca="1">IFERROR(__xludf.DUMMYFUNCTION("""COMPUTED_VALUE"""),"Business Innovation &amp; Strategy")</f>
        <v>Business Innovation &amp; Strategy</v>
      </c>
      <c r="S76" s="130" t="str">
        <f ca="1">IFERROR(__xludf.DUMMYFUNCTION("""COMPUTED_VALUE"""),"Area Review")</f>
        <v>Area Review</v>
      </c>
      <c r="T76" s="130" t="str">
        <f ca="1">IFERROR(__xludf.DUMMYFUNCTION("""COMPUTED_VALUE"""),"2. Modelo de relación y distribución")</f>
        <v>2. Modelo de relación y distribución</v>
      </c>
      <c r="U76" s="130" t="str">
        <f ca="1">IFERROR(__xludf.DUMMYFUNCTION("""COMPUTED_VALUE"""),"2.2. Gestión remota")</f>
        <v>2.2. Gestión remota</v>
      </c>
      <c r="V76" s="4" t="str">
        <f ca="1">IFERROR(__xludf.DUMMYFUNCTION("""COMPUTED_VALUE"""),"Gestor remoto")</f>
        <v>Gestor remoto</v>
      </c>
      <c r="W76" s="4">
        <f ca="1">IFERROR(__xludf.DUMMYFUNCTION("""COMPUTED_VALUE"""),1)</f>
        <v>1</v>
      </c>
      <c r="X76" s="4" t="str">
        <f ca="1">IFERROR(__xludf.DUMMYFUNCTION("""COMPUTED_VALUE"""),"04. Relationship Models")</f>
        <v>04. Relationship Models</v>
      </c>
      <c r="Y76" s="4" t="str">
        <f ca="1">IFERROR(__xludf.DUMMYFUNCTION("""COMPUTED_VALUE"""),"5.6.1 RM - Retail")</f>
        <v>5.6.1 RM - Retail</v>
      </c>
      <c r="Z76" s="132" t="str">
        <f ca="1">IFERROR(__xludf.DUMMYFUNCTION("""COMPUTED_VALUE"""),"491848")</f>
        <v>491848</v>
      </c>
      <c r="AA76" s="4" t="str">
        <f ca="1">IFERROR(__xludf.DUMMYFUNCTION("""COMPUTED_VALUE"""),"Generador de documentos transversal")</f>
        <v>Generador de documentos transversal</v>
      </c>
      <c r="AB76" s="4" t="str">
        <f ca="1">IFERROR(__xludf.DUMMYFUNCTION("""COMPUTED_VALUE"""),"Carga de documentos al gestor documental y pantalla de consulta en CAP")</f>
        <v>Carga de documentos al gestor documental y pantalla de consulta en CAP</v>
      </c>
      <c r="AC76" s="4" t="str">
        <f ca="1">IFERROR(__xludf.DUMMYFUNCTION("""COMPUTED_VALUE"""),"3Q 2023")</f>
        <v>3Q 2023</v>
      </c>
      <c r="AD76" s="128">
        <f ca="1">IFERROR(__xludf.DUMMYFUNCTION("""COMPUTED_VALUE"""),44928)</f>
        <v>44928</v>
      </c>
      <c r="AE76" s="128" t="str">
        <f ca="1">IFERROR(__xludf.DUMMYFUNCTION("""COMPUTED_VALUE"""),"29/02/2023")</f>
        <v>29/02/2023</v>
      </c>
      <c r="AF76" s="128">
        <f ca="1">IFERROR(__xludf.DUMMYFUNCTION("""COMPUTED_VALUE"""),45000)</f>
        <v>45000</v>
      </c>
      <c r="AG76" s="128">
        <f ca="1">IFERROR(__xludf.DUMMYFUNCTION("""COMPUTED_VALUE"""),45169)</f>
        <v>45169</v>
      </c>
      <c r="AH76" s="128">
        <f ca="1">IFERROR(__xludf.DUMMYFUNCTION("""COMPUTED_VALUE"""),45171)</f>
        <v>45171</v>
      </c>
      <c r="AI76" s="128">
        <f ca="1">IFERROR(__xludf.DUMMYFUNCTION("""COMPUTED_VALUE"""),45183)</f>
        <v>45183</v>
      </c>
      <c r="AJ76" s="128">
        <f ca="1">IFERROR(__xludf.DUMMYFUNCTION("""COMPUTED_VALUE"""),45197)</f>
        <v>45197</v>
      </c>
      <c r="AK76" s="4" t="str">
        <f ca="1">IFERROR(__xludf.DUMMYFUNCTION("""COMPUTED_VALUE"""),"Sin asignar")</f>
        <v>Sin asignar</v>
      </c>
      <c r="AL76" s="4" t="str">
        <f ca="1">IFERROR(__xludf.DUMMYFUNCTION("""COMPUTED_VALUE"""),"Sin asignar")</f>
        <v>Sin asignar</v>
      </c>
      <c r="AM76" s="4"/>
      <c r="AN76" s="4" t="str">
        <f ca="1">IFERROR(__xludf.DUMMYFUNCTION("""COMPUTED_VALUE"""),"Entregable en desarrollo")</f>
        <v>Entregable en desarrollo</v>
      </c>
      <c r="AO76" s="4"/>
      <c r="AP76" s="4"/>
      <c r="AQ76" s="4"/>
      <c r="AR76" s="4" t="str">
        <f ca="1">IFERROR(__xludf.DUMMYFUNCTION("""COMPUTED_VALUE"""),"SDA aprobada en PPP Q1 2023")</f>
        <v>SDA aprobada en PPP Q1 2023</v>
      </c>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row>
    <row r="77" spans="1:132" x14ac:dyDescent="0.2">
      <c r="A77" s="4">
        <f ca="1">IFERROR(__xludf.DUMMYFUNCTION("""COMPUTED_VALUE"""),77)</f>
        <v>77</v>
      </c>
      <c r="B77" s="4">
        <f ca="1">IFERROR(__xludf.DUMMYFUNCTION("""COMPUTED_VALUE"""),67)</f>
        <v>67</v>
      </c>
      <c r="C77" s="4" t="str">
        <f ca="1">IFERROR(__xludf.DUMMYFUNCTION("""COMPUTED_VALUE"""),"SDATOOL-38742")</f>
        <v>SDATOOL-38742</v>
      </c>
      <c r="D77" s="4" t="str">
        <f ca="1">IFERROR(__xludf.DUMMYFUNCTION("""COMPUTED_VALUE"""),"Gestor Documental Retail")</f>
        <v>Gestor Documental Retail</v>
      </c>
      <c r="E77"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7" s="4" t="str">
        <f ca="1">IFERROR(__xludf.DUMMYFUNCTION("""COMPUTED_VALUE"""),"Project")</f>
        <v>Project</v>
      </c>
      <c r="G77" s="4" t="str">
        <f ca="1">IFERROR(__xludf.DUMMYFUNCTION("""COMPUTED_VALUE"""),"Stock")</f>
        <v>Stock</v>
      </c>
      <c r="H77" s="4" t="str">
        <f ca="1">IFERROR(__xludf.DUMMYFUNCTION("""COMPUTED_VALUE"""),"4Q 2024")</f>
        <v>4Q 2024</v>
      </c>
      <c r="I77" s="131" t="str">
        <f ca="1">IFERROR(__xludf.DUMMYFUNCTION("""COMPUTED_VALUE"""),"jimy.catolico-bbva.com")</f>
        <v>jimy.catolico-bbva.com</v>
      </c>
      <c r="J77" s="131" t="str">
        <f ca="1">IFERROR(__xludf.DUMMYFUNCTION("""COMPUTED_VALUE"""),"oscar.bejarano-bbva.com")</f>
        <v>oscar.bejarano-bbva.com</v>
      </c>
      <c r="K77" s="131" t="str">
        <f ca="1">IFERROR(__xludf.DUMMYFUNCTION("""COMPUTED_VALUE"""),"andres.carrandi-bbva.com")</f>
        <v>andres.carrandi-bbva.com</v>
      </c>
      <c r="L77" s="4"/>
      <c r="M77" s="4"/>
      <c r="N77" s="4"/>
      <c r="O77" s="4" t="str">
        <f ca="1">IFERROR(__xludf.DUMMYFUNCTION("""COMPUTED_VALUE"""),"Scrum")</f>
        <v>Scrum</v>
      </c>
      <c r="P77" s="4" t="str">
        <f ca="1">IFERROR(__xludf.DUMMYFUNCTION("""COMPUTED_VALUE"""),"The Master Doc´s")</f>
        <v>The Master Doc´s</v>
      </c>
      <c r="Q77" s="4"/>
      <c r="R77" s="130" t="str">
        <f ca="1">IFERROR(__xludf.DUMMYFUNCTION("""COMPUTED_VALUE"""),"Business Innovation &amp; Strategy")</f>
        <v>Business Innovation &amp; Strategy</v>
      </c>
      <c r="S77" s="130" t="str">
        <f ca="1">IFERROR(__xludf.DUMMYFUNCTION("""COMPUTED_VALUE"""),"Area Review")</f>
        <v>Area Review</v>
      </c>
      <c r="T77" s="130" t="str">
        <f ca="1">IFERROR(__xludf.DUMMYFUNCTION("""COMPUTED_VALUE"""),"2. Modelo de relación y distribución")</f>
        <v>2. Modelo de relación y distribución</v>
      </c>
      <c r="U77" s="130" t="str">
        <f ca="1">IFERROR(__xludf.DUMMYFUNCTION("""COMPUTED_VALUE"""),"2.2. Gestión remota")</f>
        <v>2.2. Gestión remota</v>
      </c>
      <c r="V77" s="4" t="str">
        <f ca="1">IFERROR(__xludf.DUMMYFUNCTION("""COMPUTED_VALUE"""),"Gestor remoto")</f>
        <v>Gestor remoto</v>
      </c>
      <c r="W77" s="4">
        <f ca="1">IFERROR(__xludf.DUMMYFUNCTION("""COMPUTED_VALUE"""),1)</f>
        <v>1</v>
      </c>
      <c r="X77" s="4" t="str">
        <f ca="1">IFERROR(__xludf.DUMMYFUNCTION("""COMPUTED_VALUE"""),"04. Relationship Models")</f>
        <v>04. Relationship Models</v>
      </c>
      <c r="Y77" s="4" t="str">
        <f ca="1">IFERROR(__xludf.DUMMYFUNCTION("""COMPUTED_VALUE"""),"5.6.1 RM - Retail")</f>
        <v>5.6.1 RM - Retail</v>
      </c>
      <c r="Z77" s="132" t="str">
        <f ca="1">IFERROR(__xludf.DUMMYFUNCTION("""COMPUTED_VALUE"""),"491851")</f>
        <v>491851</v>
      </c>
      <c r="AA77" s="4" t="str">
        <f ca="1">IFERROR(__xludf.DUMMYFUNCTION("""COMPUTED_VALUE"""),"Gestión documental Avanzada")</f>
        <v>Gestión documental Avanzada</v>
      </c>
      <c r="AB77" s="4" t="str">
        <f ca="1">IFERROR(__xludf.DUMMYFUNCTION("""COMPUTED_VALUE"""),"Gestión documental Avanzada")</f>
        <v>Gestión documental Avanzada</v>
      </c>
      <c r="AC77" s="4" t="str">
        <f ca="1">IFERROR(__xludf.DUMMYFUNCTION("""COMPUTED_VALUE"""),"2Q 2024")</f>
        <v>2Q 2024</v>
      </c>
      <c r="AD77" s="128">
        <f ca="1">IFERROR(__xludf.DUMMYFUNCTION("""COMPUTED_VALUE"""),45197)</f>
        <v>45197</v>
      </c>
      <c r="AE77" s="128">
        <f ca="1">IFERROR(__xludf.DUMMYFUNCTION("""COMPUTED_VALUE"""),45227)</f>
        <v>45227</v>
      </c>
      <c r="AF77" s="128">
        <f ca="1">IFERROR(__xludf.DUMMYFUNCTION("""COMPUTED_VALUE"""),45350)</f>
        <v>45350</v>
      </c>
      <c r="AG77" s="128">
        <f ca="1">IFERROR(__xludf.DUMMYFUNCTION("""COMPUTED_VALUE"""),45472)</f>
        <v>45472</v>
      </c>
      <c r="AH77" s="128">
        <f ca="1">IFERROR(__xludf.DUMMYFUNCTION("""COMPUTED_VALUE"""),45504)</f>
        <v>45504</v>
      </c>
      <c r="AI77" s="128">
        <f ca="1">IFERROR(__xludf.DUMMYFUNCTION("""COMPUTED_VALUE"""),45505)</f>
        <v>45505</v>
      </c>
      <c r="AJ77" s="128">
        <f ca="1">IFERROR(__xludf.DUMMYFUNCTION("""COMPUTED_VALUE"""),45535)</f>
        <v>45535</v>
      </c>
      <c r="AK77" s="4" t="str">
        <f ca="1">IFERROR(__xludf.DUMMYFUNCTION("""COMPUTED_VALUE"""),"Sin asignar")</f>
        <v>Sin asignar</v>
      </c>
      <c r="AL77" s="4" t="str">
        <f ca="1">IFERROR(__xludf.DUMMYFUNCTION("""COMPUTED_VALUE"""),"Sin asignar")</f>
        <v>Sin asignar</v>
      </c>
      <c r="AM77" s="4"/>
      <c r="AN77" s="4" t="str">
        <f ca="1">IFERROR(__xludf.DUMMYFUNCTION("""COMPUTED_VALUE"""),"Entregable en backlog")</f>
        <v>Entregable en backlog</v>
      </c>
      <c r="AO77" s="4"/>
      <c r="AP77" s="4"/>
      <c r="AQ77" s="4"/>
      <c r="AR77" s="4" t="str">
        <f ca="1">IFERROR(__xludf.DUMMYFUNCTION("""COMPUTED_VALUE"""),"SDA aprobada en PPP Q1 2023")</f>
        <v>SDA aprobada en PPP Q1 2023</v>
      </c>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row>
    <row r="78" spans="1:132" x14ac:dyDescent="0.2">
      <c r="A78" s="4">
        <f ca="1">IFERROR(__xludf.DUMMYFUNCTION("""COMPUTED_VALUE"""),78)</f>
        <v>78</v>
      </c>
      <c r="B78" s="4">
        <f ca="1">IFERROR(__xludf.DUMMYFUNCTION("""COMPUTED_VALUE"""),68)</f>
        <v>68</v>
      </c>
      <c r="C78" s="4" t="str">
        <f ca="1">IFERROR(__xludf.DUMMYFUNCTION("""COMPUTED_VALUE"""),"SDATOOL-38742")</f>
        <v>SDATOOL-38742</v>
      </c>
      <c r="D78" s="4" t="str">
        <f ca="1">IFERROR(__xludf.DUMMYFUNCTION("""COMPUTED_VALUE"""),"Gestor Documental Retail")</f>
        <v>Gestor Documental Retail</v>
      </c>
      <c r="E78"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8" s="4" t="str">
        <f ca="1">IFERROR(__xludf.DUMMYFUNCTION("""COMPUTED_VALUE"""),"Project")</f>
        <v>Project</v>
      </c>
      <c r="G78" s="4" t="str">
        <f ca="1">IFERROR(__xludf.DUMMYFUNCTION("""COMPUTED_VALUE"""),"Stock")</f>
        <v>Stock</v>
      </c>
      <c r="H78" s="4" t="str">
        <f ca="1">IFERROR(__xludf.DUMMYFUNCTION("""COMPUTED_VALUE"""),"4Q 2024")</f>
        <v>4Q 2024</v>
      </c>
      <c r="I78" s="131" t="str">
        <f ca="1">IFERROR(__xludf.DUMMYFUNCTION("""COMPUTED_VALUE"""),"jimy.catolico-bbva.com")</f>
        <v>jimy.catolico-bbva.com</v>
      </c>
      <c r="J78" s="131" t="str">
        <f ca="1">IFERROR(__xludf.DUMMYFUNCTION("""COMPUTED_VALUE"""),"oscar.bejarano-bbva.com")</f>
        <v>oscar.bejarano-bbva.com</v>
      </c>
      <c r="K78" s="131" t="str">
        <f ca="1">IFERROR(__xludf.DUMMYFUNCTION("""COMPUTED_VALUE"""),"andres.carrandi-bbva.com")</f>
        <v>andres.carrandi-bbva.com</v>
      </c>
      <c r="L78" s="4"/>
      <c r="M78" s="4"/>
      <c r="N78" s="4"/>
      <c r="O78" s="4" t="str">
        <f ca="1">IFERROR(__xludf.DUMMYFUNCTION("""COMPUTED_VALUE"""),"Scrum")</f>
        <v>Scrum</v>
      </c>
      <c r="P78" s="4" t="str">
        <f ca="1">IFERROR(__xludf.DUMMYFUNCTION("""COMPUTED_VALUE"""),"The Master Doc´s")</f>
        <v>The Master Doc´s</v>
      </c>
      <c r="Q78" s="4"/>
      <c r="R78" s="130" t="str">
        <f ca="1">IFERROR(__xludf.DUMMYFUNCTION("""COMPUTED_VALUE"""),"Business Innovation &amp; Strategy")</f>
        <v>Business Innovation &amp; Strategy</v>
      </c>
      <c r="S78" s="130" t="str">
        <f ca="1">IFERROR(__xludf.DUMMYFUNCTION("""COMPUTED_VALUE"""),"Area Review")</f>
        <v>Area Review</v>
      </c>
      <c r="T78" s="130" t="str">
        <f ca="1">IFERROR(__xludf.DUMMYFUNCTION("""COMPUTED_VALUE"""),"2. Modelo de relación y distribución")</f>
        <v>2. Modelo de relación y distribución</v>
      </c>
      <c r="U78" s="130" t="str">
        <f ca="1">IFERROR(__xludf.DUMMYFUNCTION("""COMPUTED_VALUE"""),"2.2. Gestión remota")</f>
        <v>2.2. Gestión remota</v>
      </c>
      <c r="V78" s="4" t="str">
        <f ca="1">IFERROR(__xludf.DUMMYFUNCTION("""COMPUTED_VALUE"""),"Gestor remoto")</f>
        <v>Gestor remoto</v>
      </c>
      <c r="W78" s="4">
        <f ca="1">IFERROR(__xludf.DUMMYFUNCTION("""COMPUTED_VALUE"""),1)</f>
        <v>1</v>
      </c>
      <c r="X78" s="4" t="str">
        <f ca="1">IFERROR(__xludf.DUMMYFUNCTION("""COMPUTED_VALUE"""),"04. Relationship Models")</f>
        <v>04. Relationship Models</v>
      </c>
      <c r="Y78" s="4" t="str">
        <f ca="1">IFERROR(__xludf.DUMMYFUNCTION("""COMPUTED_VALUE"""),"5.6.1 RM - Retail")</f>
        <v>5.6.1 RM - Retail</v>
      </c>
      <c r="Z78" s="132" t="str">
        <f ca="1">IFERROR(__xludf.DUMMYFUNCTION("""COMPUTED_VALUE"""),"491850")</f>
        <v>491850</v>
      </c>
      <c r="AA78" s="4" t="str">
        <f ca="1">IFERROR(__xludf.DUMMYFUNCTION("""COMPUTED_VALUE"""),"Pantalla transversal de consulta del Gestor Documental")</f>
        <v>Pantalla transversal de consulta del Gestor Documental</v>
      </c>
      <c r="AB78" s="4" t="str">
        <f ca="1">IFERROR(__xludf.DUMMYFUNCTION("""COMPUTED_VALUE"""),"3) Pantalla transversal de consulta del Gestor Documental")</f>
        <v>3) Pantalla transversal de consulta del Gestor Documental</v>
      </c>
      <c r="AC78" s="4" t="str">
        <f ca="1">IFERROR(__xludf.DUMMYFUNCTION("""COMPUTED_VALUE"""),"4Q 2023")</f>
        <v>4Q 2023</v>
      </c>
      <c r="AD78" s="128">
        <f ca="1">IFERROR(__xludf.DUMMYFUNCTION("""COMPUTED_VALUE"""),45169)</f>
        <v>45169</v>
      </c>
      <c r="AE78" s="128">
        <f ca="1">IFERROR(__xludf.DUMMYFUNCTION("""COMPUTED_VALUE"""),45197)</f>
        <v>45197</v>
      </c>
      <c r="AF78" s="128">
        <f ca="1">IFERROR(__xludf.DUMMYFUNCTION("""COMPUTED_VALUE"""),45197)</f>
        <v>45197</v>
      </c>
      <c r="AG78" s="128">
        <f ca="1">IFERROR(__xludf.DUMMYFUNCTION("""COMPUTED_VALUE"""),45350)</f>
        <v>45350</v>
      </c>
      <c r="AH78" s="128">
        <f ca="1">IFERROR(__xludf.DUMMYFUNCTION("""COMPUTED_VALUE"""),45354)</f>
        <v>45354</v>
      </c>
      <c r="AI78" s="128">
        <f ca="1">IFERROR(__xludf.DUMMYFUNCTION("""COMPUTED_VALUE"""),45366)</f>
        <v>45366</v>
      </c>
      <c r="AJ78" s="128">
        <f ca="1">IFERROR(__xludf.DUMMYFUNCTION("""COMPUTED_VALUE"""),45014)</f>
        <v>45014</v>
      </c>
      <c r="AK78" s="131" t="str">
        <f ca="1">IFERROR(__xludf.DUMMYFUNCTION("""COMPUTED_VALUE"""),"COLWSCANAL-14068")</f>
        <v>COLWSCANAL-14068</v>
      </c>
      <c r="AL78" s="4" t="str">
        <f ca="1">IFERROR(__xludf.DUMMYFUNCTION("""COMPUTED_VALUE"""),"New")</f>
        <v>New</v>
      </c>
      <c r="AM78" s="4"/>
      <c r="AN78" s="4" t="str">
        <f ca="1">IFERROR(__xludf.DUMMYFUNCTION("""COMPUTED_VALUE"""),"Entregable en backlog")</f>
        <v>Entregable en backlog</v>
      </c>
      <c r="AO78" s="4"/>
      <c r="AP78" s="4"/>
      <c r="AQ78" s="4"/>
      <c r="AR78" s="4" t="str">
        <f ca="1">IFERROR(__xludf.DUMMYFUNCTION("""COMPUTED_VALUE"""),"SDA aprobada en PPP Q1 2023")</f>
        <v>SDA aprobada en PPP Q1 2023</v>
      </c>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row>
    <row r="79" spans="1:132" x14ac:dyDescent="0.2">
      <c r="A79" s="4">
        <f ca="1">IFERROR(__xludf.DUMMYFUNCTION("""COMPUTED_VALUE"""),79)</f>
        <v>79</v>
      </c>
      <c r="B79" s="4">
        <f ca="1">IFERROR(__xludf.DUMMYFUNCTION("""COMPUTED_VALUE"""),69)</f>
        <v>69</v>
      </c>
      <c r="C79" s="4" t="str">
        <f ca="1">IFERROR(__xludf.DUMMYFUNCTION("""COMPUTED_VALUE"""),"SDATOOL-35384")</f>
        <v>SDATOOL-35384</v>
      </c>
      <c r="D79" s="4" t="str">
        <f ca="1">IFERROR(__xludf.DUMMYFUNCTION("""COMPUTED_VALUE"""),"Gestión Documental Pyme Admisión")</f>
        <v>Gestión Documental Pyme Admisión</v>
      </c>
      <c r="E79" s="4" t="str">
        <f ca="1">IFERROR(__xludf.DUMMYFUNCTION("""COMPUTED_VALUE"""),"Modelo del gestión documental para los procesos de contratación en canales digitales y presenciales")</f>
        <v>Modelo del gestión documental para los procesos de contratación en canales digitales y presenciales</v>
      </c>
      <c r="F79" s="4" t="str">
        <f ca="1">IFERROR(__xludf.DUMMYFUNCTION("""COMPUTED_VALUE"""),"Project")</f>
        <v>Project</v>
      </c>
      <c r="G79" s="4" t="str">
        <f ca="1">IFERROR(__xludf.DUMMYFUNCTION("""COMPUTED_VALUE"""),"Stock")</f>
        <v>Stock</v>
      </c>
      <c r="H79" s="4" t="str">
        <f ca="1">IFERROR(__xludf.DUMMYFUNCTION("""COMPUTED_VALUE"""),"2Q 2023")</f>
        <v>2Q 2023</v>
      </c>
      <c r="I79" s="131" t="str">
        <f ca="1">IFERROR(__xludf.DUMMYFUNCTION("""COMPUTED_VALUE"""),"jimy.catolico-bbva.com")</f>
        <v>jimy.catolico-bbva.com</v>
      </c>
      <c r="J79" s="131" t="str">
        <f ca="1">IFERROR(__xludf.DUMMYFUNCTION("""COMPUTED_VALUE"""),"erikajulieth.ruiz-bbva.com")</f>
        <v>erikajulieth.ruiz-bbva.com</v>
      </c>
      <c r="K79" s="134" t="str">
        <f ca="1">IFERROR(__xludf.DUMMYFUNCTION("""COMPUTED_VALUE"""),"jhon.molina-bbva.com")</f>
        <v>jhon.molina-bbva.com</v>
      </c>
      <c r="L79" s="4"/>
      <c r="M79" s="4"/>
      <c r="N79" s="4"/>
      <c r="O79" s="4" t="str">
        <f ca="1">IFERROR(__xludf.DUMMYFUNCTION("""COMPUTED_VALUE"""),"Waterfall")</f>
        <v>Waterfall</v>
      </c>
      <c r="P79" s="4" t="str">
        <f ca="1">IFERROR(__xludf.DUMMYFUNCTION("""COMPUTED_VALUE"""),"Tradicional")</f>
        <v>Tradicional</v>
      </c>
      <c r="Q79" s="4"/>
      <c r="R79" s="130" t="str">
        <f ca="1">IFERROR(__xludf.DUMMYFUNCTION("""COMPUTED_VALUE"""),"Business Innovation &amp; Strategy")</f>
        <v>Business Innovation &amp; Strategy</v>
      </c>
      <c r="S79" s="4" t="str">
        <f ca="1">IFERROR(__xludf.DUMMYFUNCTION("""COMPUTED_VALUE"""),"Strategic Review")</f>
        <v>Strategic Review</v>
      </c>
      <c r="T79" s="4" t="str">
        <f ca="1">IFERROR(__xludf.DUMMYFUNCTION("""COMPUTED_VALUE"""),"2. Modelo de relación y distribución")</f>
        <v>2. Modelo de relación y distribución</v>
      </c>
      <c r="U79" s="4" t="str">
        <f ca="1">IFERROR(__xludf.DUMMYFUNCTION("""COMPUTED_VALUE"""),"2.2. Gestión remota")</f>
        <v>2.2. Gestión remota</v>
      </c>
      <c r="V79" s="4" t="str">
        <f ca="1">IFERROR(__xludf.DUMMYFUNCTION("""COMPUTED_VALUE"""),"Digital Sales")</f>
        <v>Digital Sales</v>
      </c>
      <c r="W79" s="4">
        <f ca="1">IFERROR(__xludf.DUMMYFUNCTION("""COMPUTED_VALUE"""),1)</f>
        <v>1</v>
      </c>
      <c r="X79" s="4" t="str">
        <f ca="1">IFERROR(__xludf.DUMMYFUNCTION("""COMPUTED_VALUE"""),"03. SMEs &amp; Self-employed")</f>
        <v>03. SMEs &amp; Self-employed</v>
      </c>
      <c r="Y79" s="132" t="str">
        <f ca="1">IFERROR(__xludf.DUMMYFUNCTION("""COMPUTED_VALUE"""),"5.7.1 Keep the Bank Running")</f>
        <v>5.7.1 Keep the Bank Running</v>
      </c>
      <c r="Z79" s="4" t="str">
        <f ca="1">IFERROR(__xludf.DUMMYFUNCTION("""COMPUTED_VALUE"""),"175250")</f>
        <v>175250</v>
      </c>
      <c r="AA79" s="4" t="str">
        <f ca="1">IFERROR(__xludf.DUMMYFUNCTION("""COMPUTED_VALUE"""),"Gestor documental incluido al sistema de administración de riesgo")</f>
        <v>Gestor documental incluido al sistema de administración de riesgo</v>
      </c>
      <c r="AB79" s="4" t="str">
        <f ca="1">IFERROR(__xludf.DUMMYFUNCTION("""COMPUTED_VALUE"""),"Gestor documental incluido al sistema de administración de riesgo de Pymes (PCO)")</f>
        <v>Gestor documental incluido al sistema de administración de riesgo de Pymes (PCO)</v>
      </c>
      <c r="AC79" s="4" t="str">
        <f ca="1">IFERROR(__xludf.DUMMYFUNCTION("""COMPUTED_VALUE"""),"3Q 2022")</f>
        <v>3Q 2022</v>
      </c>
      <c r="AD79" s="4"/>
      <c r="AE79" s="4"/>
      <c r="AF79" s="4"/>
      <c r="AG79" s="4"/>
      <c r="AH79" s="4"/>
      <c r="AI79" s="4"/>
      <c r="AJ79" s="4"/>
      <c r="AK79" s="131" t="str">
        <f ca="1">IFERROR(__xludf.DUMMYFUNCTION("""COMPUTED_VALUE"""),"COLWSCANAL-6693")</f>
        <v>COLWSCANAL-6693</v>
      </c>
      <c r="AL79" s="4" t="str">
        <f ca="1">IFERROR(__xludf.DUMMYFUNCTION("""COMPUTED_VALUE"""),"New")</f>
        <v>New</v>
      </c>
      <c r="AM79" s="4" t="str">
        <f ca="1">IFERROR(__xludf.DUMMYFUNCTION("""COMPUTED_VALUE"""),"No hay capacidad de FTE de ENG")</f>
        <v>No hay capacidad de FTE de ENG</v>
      </c>
      <c r="AN79" s="4" t="str">
        <f ca="1">IFERROR(__xludf.DUMMYFUNCTION("""COMPUTED_VALUE"""),"Entregable detenido")</f>
        <v>Entregable detenido</v>
      </c>
      <c r="AO79" s="4" t="str">
        <f ca="1">IFERROR(__xludf.DUMMYFUNCTION("""COMPUTED_VALUE"""),"Pymes")</f>
        <v>Pymes</v>
      </c>
      <c r="AP79" s="4"/>
      <c r="AQ79" s="4"/>
      <c r="AR79" s="4" t="str">
        <f ca="1">IFERROR(__xludf.DUMMYFUNCTION("""COMPUTED_VALUE"""),"SDA aprobada en PPP Q1 2023")</f>
        <v>SDA aprobada en PPP Q1 2023</v>
      </c>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row>
    <row r="80" spans="1:132" x14ac:dyDescent="0.2">
      <c r="A80" s="4">
        <f ca="1">IFERROR(__xludf.DUMMYFUNCTION("""COMPUTED_VALUE"""),80)</f>
        <v>80</v>
      </c>
      <c r="B80" s="4">
        <f ca="1">IFERROR(__xludf.DUMMYFUNCTION("""COMPUTED_VALUE"""),70)</f>
        <v>70</v>
      </c>
      <c r="C80" s="4" t="str">
        <f ca="1">IFERROR(__xludf.DUMMYFUNCTION("""COMPUTED_VALUE"""),"SDATOOL-35384")</f>
        <v>SDATOOL-35384</v>
      </c>
      <c r="D80" s="4" t="str">
        <f ca="1">IFERROR(__xludf.DUMMYFUNCTION("""COMPUTED_VALUE"""),"Gestión Documental Pyme Admisión")</f>
        <v>Gestión Documental Pyme Admisión</v>
      </c>
      <c r="E80" s="4" t="str">
        <f ca="1">IFERROR(__xludf.DUMMYFUNCTION("""COMPUTED_VALUE"""),"Modelo del gestión documental para los procesos de contratación en canales digitales y presenciales")</f>
        <v>Modelo del gestión documental para los procesos de contratación en canales digitales y presenciales</v>
      </c>
      <c r="F80" s="4" t="str">
        <f ca="1">IFERROR(__xludf.DUMMYFUNCTION("""COMPUTED_VALUE"""),"Project")</f>
        <v>Project</v>
      </c>
      <c r="G80" s="4" t="str">
        <f ca="1">IFERROR(__xludf.DUMMYFUNCTION("""COMPUTED_VALUE"""),"Stock")</f>
        <v>Stock</v>
      </c>
      <c r="H80" s="4" t="str">
        <f ca="1">IFERROR(__xludf.DUMMYFUNCTION("""COMPUTED_VALUE"""),"2Q 2023")</f>
        <v>2Q 2023</v>
      </c>
      <c r="I80" s="131" t="str">
        <f ca="1">IFERROR(__xludf.DUMMYFUNCTION("""COMPUTED_VALUE"""),"jimy.catolico-bbva.com")</f>
        <v>jimy.catolico-bbva.com</v>
      </c>
      <c r="J80" s="131" t="str">
        <f ca="1">IFERROR(__xludf.DUMMYFUNCTION("""COMPUTED_VALUE"""),"erikajulieth.ruiz-bbva.com")</f>
        <v>erikajulieth.ruiz-bbva.com</v>
      </c>
      <c r="K80" s="131" t="str">
        <f ca="1">IFERROR(__xludf.DUMMYFUNCTION("""COMPUTED_VALUE"""),"jhon.molina-bbva.com")</f>
        <v>jhon.molina-bbva.com</v>
      </c>
      <c r="L80" s="4"/>
      <c r="M80" s="4"/>
      <c r="N80" s="4"/>
      <c r="O80" s="4" t="str">
        <f ca="1">IFERROR(__xludf.DUMMYFUNCTION("""COMPUTED_VALUE"""),"Waterfall")</f>
        <v>Waterfall</v>
      </c>
      <c r="P80" s="4" t="str">
        <f ca="1">IFERROR(__xludf.DUMMYFUNCTION("""COMPUTED_VALUE"""),"Tradicional")</f>
        <v>Tradicional</v>
      </c>
      <c r="Q80" s="4"/>
      <c r="R80" s="130" t="str">
        <f ca="1">IFERROR(__xludf.DUMMYFUNCTION("""COMPUTED_VALUE"""),"Business Innovation &amp; Strategy")</f>
        <v>Business Innovation &amp; Strategy</v>
      </c>
      <c r="S80" s="130" t="str">
        <f ca="1">IFERROR(__xludf.DUMMYFUNCTION("""COMPUTED_VALUE"""),"Strategic Review")</f>
        <v>Strategic Review</v>
      </c>
      <c r="T80" s="130" t="str">
        <f ca="1">IFERROR(__xludf.DUMMYFUNCTION("""COMPUTED_VALUE"""),"2. Modelo de relación y distribución")</f>
        <v>2. Modelo de relación y distribución</v>
      </c>
      <c r="U80" s="130" t="str">
        <f ca="1">IFERROR(__xludf.DUMMYFUNCTION("""COMPUTED_VALUE"""),"2.2. Gestión remota")</f>
        <v>2.2. Gestión remota</v>
      </c>
      <c r="V80" s="4" t="str">
        <f ca="1">IFERROR(__xludf.DUMMYFUNCTION("""COMPUTED_VALUE"""),"Digital Sales")</f>
        <v>Digital Sales</v>
      </c>
      <c r="W80" s="4">
        <f ca="1">IFERROR(__xludf.DUMMYFUNCTION("""COMPUTED_VALUE"""),1)</f>
        <v>1</v>
      </c>
      <c r="X80" s="4" t="str">
        <f ca="1">IFERROR(__xludf.DUMMYFUNCTION("""COMPUTED_VALUE"""),"03. SMEs &amp; Self-employed")</f>
        <v>03. SMEs &amp; Self-employed</v>
      </c>
      <c r="Y80" s="4" t="str">
        <f ca="1">IFERROR(__xludf.DUMMYFUNCTION("""COMPUTED_VALUE"""),"5.7.1 Keep the Bank Running")</f>
        <v>5.7.1 Keep the Bank Running</v>
      </c>
      <c r="Z80" s="132" t="str">
        <f ca="1">IFERROR(__xludf.DUMMYFUNCTION("""COMPUTED_VALUE"""),"610510")</f>
        <v>610510</v>
      </c>
      <c r="AA80" s="4" t="str">
        <f ca="1">IFERROR(__xludf.DUMMYFUNCTION("""COMPUTED_VALUE"""),"Actualización de cifras")</f>
        <v>Actualización de cifras</v>
      </c>
      <c r="AB80" s="4" t="str">
        <f ca="1">IFERROR(__xludf.DUMMYFUNCTION("""COMPUTED_VALUE"""),"Incluir la Gestión documental en el proceso de actualización de cifras")</f>
        <v>Incluir la Gestión documental en el proceso de actualización de cifras</v>
      </c>
      <c r="AC80" s="4" t="str">
        <f ca="1">IFERROR(__xludf.DUMMYFUNCTION("""COMPUTED_VALUE"""),"4Q 2023")</f>
        <v>4Q 2023</v>
      </c>
      <c r="AD80" s="4"/>
      <c r="AE80" s="4"/>
      <c r="AF80" s="4"/>
      <c r="AG80" s="4"/>
      <c r="AH80" s="4"/>
      <c r="AI80" s="4"/>
      <c r="AJ80" s="4"/>
      <c r="AK80" s="4" t="str">
        <f ca="1">IFERROR(__xludf.DUMMYFUNCTION("""COMPUTED_VALUE"""),"Sin asignar")</f>
        <v>Sin asignar</v>
      </c>
      <c r="AL80" s="4" t="str">
        <f ca="1">IFERROR(__xludf.DUMMYFUNCTION("""COMPUTED_VALUE"""),"Sin asignar")</f>
        <v>Sin asignar</v>
      </c>
      <c r="AM80" s="4" t="str">
        <f ca="1">IFERROR(__xludf.DUMMYFUNCTION("""COMPUTED_VALUE"""),"No hay capacidad de FTE de ENG")</f>
        <v>No hay capacidad de FTE de ENG</v>
      </c>
      <c r="AN80" s="4" t="str">
        <f ca="1">IFERROR(__xludf.DUMMYFUNCTION("""COMPUTED_VALUE"""),"Entregable detenido")</f>
        <v>Entregable detenido</v>
      </c>
      <c r="AO80" s="4" t="str">
        <f ca="1">IFERROR(__xludf.DUMMYFUNCTION("""COMPUTED_VALUE"""),"Pymes")</f>
        <v>Pymes</v>
      </c>
      <c r="AP80" s="4"/>
      <c r="AQ80" s="4"/>
      <c r="AR80" s="4" t="str">
        <f ca="1">IFERROR(__xludf.DUMMYFUNCTION("""COMPUTED_VALUE"""),"SDA aprobada en PPP Q1 2023")</f>
        <v>SDA aprobada en PPP Q1 2023</v>
      </c>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row>
    <row r="81" spans="1:132" x14ac:dyDescent="0.2">
      <c r="A81" s="4">
        <f ca="1">IFERROR(__xludf.DUMMYFUNCTION("""COMPUTED_VALUE"""),81)</f>
        <v>81</v>
      </c>
      <c r="B81" s="4">
        <f ca="1">IFERROR(__xludf.DUMMYFUNCTION("""COMPUTED_VALUE"""),71)</f>
        <v>71</v>
      </c>
      <c r="C81" s="4" t="str">
        <f ca="1">IFERROR(__xludf.DUMMYFUNCTION("""COMPUTED_VALUE"""),"SDATOOL-35384")</f>
        <v>SDATOOL-35384</v>
      </c>
      <c r="D81" s="4" t="str">
        <f ca="1">IFERROR(__xludf.DUMMYFUNCTION("""COMPUTED_VALUE"""),"Gestión Documental Pyme Admisión")</f>
        <v>Gestión Documental Pyme Admisión</v>
      </c>
      <c r="E81" s="4" t="str">
        <f ca="1">IFERROR(__xludf.DUMMYFUNCTION("""COMPUTED_VALUE"""),"Modelo del gestión documental para los procesos de contratación en canales digitales y presenciales")</f>
        <v>Modelo del gestión documental para los procesos de contratación en canales digitales y presenciales</v>
      </c>
      <c r="F81" s="4" t="str">
        <f ca="1">IFERROR(__xludf.DUMMYFUNCTION("""COMPUTED_VALUE"""),"Project")</f>
        <v>Project</v>
      </c>
      <c r="G81" s="4" t="str">
        <f ca="1">IFERROR(__xludf.DUMMYFUNCTION("""COMPUTED_VALUE"""),"Stock")</f>
        <v>Stock</v>
      </c>
      <c r="H81" s="4" t="str">
        <f ca="1">IFERROR(__xludf.DUMMYFUNCTION("""COMPUTED_VALUE"""),"2Q 2023")</f>
        <v>2Q 2023</v>
      </c>
      <c r="I81" s="131" t="str">
        <f ca="1">IFERROR(__xludf.DUMMYFUNCTION("""COMPUTED_VALUE"""),"jimy.catolico-bbva.com")</f>
        <v>jimy.catolico-bbva.com</v>
      </c>
      <c r="J81" s="131" t="str">
        <f ca="1">IFERROR(__xludf.DUMMYFUNCTION("""COMPUTED_VALUE"""),"erikajulieth.ruiz-bbva.com")</f>
        <v>erikajulieth.ruiz-bbva.com</v>
      </c>
      <c r="K81" s="131" t="str">
        <f ca="1">IFERROR(__xludf.DUMMYFUNCTION("""COMPUTED_VALUE"""),"jhon.molina-bbva.com")</f>
        <v>jhon.molina-bbva.com</v>
      </c>
      <c r="L81" s="4"/>
      <c r="M81" s="4"/>
      <c r="N81" s="4"/>
      <c r="O81" s="4" t="str">
        <f ca="1">IFERROR(__xludf.DUMMYFUNCTION("""COMPUTED_VALUE"""),"Waterfall")</f>
        <v>Waterfall</v>
      </c>
      <c r="P81" s="4" t="str">
        <f ca="1">IFERROR(__xludf.DUMMYFUNCTION("""COMPUTED_VALUE"""),"Tradicional")</f>
        <v>Tradicional</v>
      </c>
      <c r="Q81" s="4"/>
      <c r="R81" s="130" t="str">
        <f ca="1">IFERROR(__xludf.DUMMYFUNCTION("""COMPUTED_VALUE"""),"Business Innovation &amp; Strategy")</f>
        <v>Business Innovation &amp; Strategy</v>
      </c>
      <c r="S81" s="130" t="str">
        <f ca="1">IFERROR(__xludf.DUMMYFUNCTION("""COMPUTED_VALUE"""),"Strategic Review")</f>
        <v>Strategic Review</v>
      </c>
      <c r="T81" s="130" t="str">
        <f ca="1">IFERROR(__xludf.DUMMYFUNCTION("""COMPUTED_VALUE"""),"2. Modelo de relación y distribución")</f>
        <v>2. Modelo de relación y distribución</v>
      </c>
      <c r="U81" s="130" t="str">
        <f ca="1">IFERROR(__xludf.DUMMYFUNCTION("""COMPUTED_VALUE"""),"2.2. Gestión remota")</f>
        <v>2.2. Gestión remota</v>
      </c>
      <c r="V81" s="4" t="str">
        <f ca="1">IFERROR(__xludf.DUMMYFUNCTION("""COMPUTED_VALUE"""),"Digital Sales")</f>
        <v>Digital Sales</v>
      </c>
      <c r="W81" s="4">
        <f ca="1">IFERROR(__xludf.DUMMYFUNCTION("""COMPUTED_VALUE"""),1)</f>
        <v>1</v>
      </c>
      <c r="X81" s="4" t="str">
        <f ca="1">IFERROR(__xludf.DUMMYFUNCTION("""COMPUTED_VALUE"""),"03. SMEs &amp; Self-employed")</f>
        <v>03. SMEs &amp; Self-employed</v>
      </c>
      <c r="Y81" s="4" t="str">
        <f ca="1">IFERROR(__xludf.DUMMYFUNCTION("""COMPUTED_VALUE"""),"5.7.1 Keep the Bank Running")</f>
        <v>5.7.1 Keep the Bank Running</v>
      </c>
      <c r="Z81" s="132" t="str">
        <f ca="1">IFERROR(__xludf.DUMMYFUNCTION("""COMPUTED_VALUE"""),"712641")</f>
        <v>712641</v>
      </c>
      <c r="AA81" s="4" t="str">
        <f ca="1">IFERROR(__xludf.DUMMYFUNCTION("""COMPUTED_VALUE"""),"Mejoras productivas fase 1")</f>
        <v>Mejoras productivas fase 1</v>
      </c>
      <c r="AB81" s="4" t="str">
        <f ca="1">IFERROR(__xludf.DUMMYFUNCTION("""COMPUTED_VALUE"""),"Mejoras en la usabilidad a cargue de documentos y consulta de documentos.")</f>
        <v>Mejoras en la usabilidad a cargue de documentos y consulta de documentos.</v>
      </c>
      <c r="AC81" s="4" t="str">
        <f ca="1">IFERROR(__xludf.DUMMYFUNCTION("""COMPUTED_VALUE"""),"3Q 2023")</f>
        <v>3Q 2023</v>
      </c>
      <c r="AD81" s="4"/>
      <c r="AE81" s="4"/>
      <c r="AF81" s="4"/>
      <c r="AG81" s="4"/>
      <c r="AH81" s="4"/>
      <c r="AI81" s="4"/>
      <c r="AJ81" s="4"/>
      <c r="AK81" s="131" t="str">
        <f ca="1">IFERROR(__xludf.DUMMYFUNCTION("""COMPUTED_VALUE"""),"COLWSCANAL-12246")</f>
        <v>COLWSCANAL-12246</v>
      </c>
      <c r="AL81" s="4" t="str">
        <f ca="1">IFERROR(__xludf.DUMMYFUNCTION("""COMPUTED_VALUE"""),"New")</f>
        <v>New</v>
      </c>
      <c r="AM81" s="4"/>
      <c r="AN81" s="4" t="str">
        <f ca="1">IFERROR(__xludf.DUMMYFUNCTION("""COMPUTED_VALUE"""),"Entregable en backlog")</f>
        <v>Entregable en backlog</v>
      </c>
      <c r="AO81" s="4" t="str">
        <f ca="1">IFERROR(__xludf.DUMMYFUNCTION("""COMPUTED_VALUE"""),"Pymes")</f>
        <v>Pymes</v>
      </c>
      <c r="AP81" s="4"/>
      <c r="AQ81" s="4"/>
      <c r="AR81" s="4" t="str">
        <f ca="1">IFERROR(__xludf.DUMMYFUNCTION("""COMPUTED_VALUE"""),"SDA aprobada en PPP Q1 2023")</f>
        <v>SDA aprobada en PPP Q1 2023</v>
      </c>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row>
    <row r="82" spans="1:132" x14ac:dyDescent="0.2">
      <c r="A82" s="4">
        <f ca="1">IFERROR(__xludf.DUMMYFUNCTION("""COMPUTED_VALUE"""),82)</f>
        <v>82</v>
      </c>
      <c r="B82" s="4">
        <f ca="1">IFERROR(__xludf.DUMMYFUNCTION("""COMPUTED_VALUE"""),72)</f>
        <v>72</v>
      </c>
      <c r="C82" s="4" t="str">
        <f ca="1">IFERROR(__xludf.DUMMYFUNCTION("""COMPUTED_VALUE"""),"SDATOOL-37134")</f>
        <v>SDATOOL-37134</v>
      </c>
      <c r="D82" s="4" t="str">
        <f ca="1">IFERROR(__xludf.DUMMYFUNCTION("""COMPUTED_VALUE"""),"Oferta proactiva de segundo producto desde el momento cero - Plan Ascenso Cross Sell")</f>
        <v>Oferta proactiva de segundo producto desde el momento cero - Plan Ascenso Cross Sell</v>
      </c>
      <c r="E82"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2" s="4" t="str">
        <f ca="1">IFERROR(__xludf.DUMMYFUNCTION("""COMPUTED_VALUE"""),"Project")</f>
        <v>Project</v>
      </c>
      <c r="G82" s="4" t="str">
        <f ca="1">IFERROR(__xludf.DUMMYFUNCTION("""COMPUTED_VALUE"""),"Stock")</f>
        <v>Stock</v>
      </c>
      <c r="H82" s="4" t="str">
        <f ca="1">IFERROR(__xludf.DUMMYFUNCTION("""COMPUTED_VALUE"""),"4Q 2023")</f>
        <v>4Q 2023</v>
      </c>
      <c r="I82" s="131" t="str">
        <f ca="1">IFERROR(__xludf.DUMMYFUNCTION("""COMPUTED_VALUE"""),"jimy.catolico-bbva.com")</f>
        <v>jimy.catolico-bbva.com</v>
      </c>
      <c r="J82" s="131" t="str">
        <f ca="1">IFERROR(__xludf.DUMMYFUNCTION("""COMPUTED_VALUE"""),"daniela.cifuentes.ariza-bbva.com")</f>
        <v>daniela.cifuentes.ariza-bbva.com</v>
      </c>
      <c r="K82" s="131" t="str">
        <f ca="1">IFERROR(__xludf.DUMMYFUNCTION("""COMPUTED_VALUE"""),"paolaandrea.hermosa-bbva.com")</f>
        <v>paolaandrea.hermosa-bbva.com</v>
      </c>
      <c r="L82" s="130">
        <f ca="1">IFERROR(__xludf.DUMMYFUNCTION("""COMPUTED_VALUE"""),0.9)</f>
        <v>0.9</v>
      </c>
      <c r="M82" s="130">
        <f ca="1">IFERROR(__xludf.DUMMYFUNCTION("""COMPUTED_VALUE"""),2.9)</f>
        <v>2.9</v>
      </c>
      <c r="N82" s="130">
        <f ca="1">IFERROR(__xludf.DUMMYFUNCTION("""COMPUTED_VALUE"""),3)</f>
        <v>3</v>
      </c>
      <c r="O82" s="4" t="str">
        <f ca="1">IFERROR(__xludf.DUMMYFUNCTION("""COMPUTED_VALUE"""),"Scrum")</f>
        <v>Scrum</v>
      </c>
      <c r="P82" s="4" t="str">
        <f ca="1">IFERROR(__xludf.DUMMYFUNCTION("""COMPUTED_VALUE"""),"Occamy")</f>
        <v>Occamy</v>
      </c>
      <c r="Q82" s="130">
        <f ca="1">IFERROR(__xludf.DUMMYFUNCTION("""COMPUTED_VALUE"""),1)</f>
        <v>1</v>
      </c>
      <c r="R82" s="130" t="str">
        <f ca="1">IFERROR(__xludf.DUMMYFUNCTION("""COMPUTED_VALUE"""),"Payments &amp; Partnerships")</f>
        <v>Payments &amp; Partnerships</v>
      </c>
      <c r="S82" s="130" t="str">
        <f ca="1">IFERROR(__xludf.DUMMYFUNCTION("""COMPUTED_VALUE"""),"Plan Ascenso")</f>
        <v>Plan Ascenso</v>
      </c>
      <c r="T82" s="130" t="str">
        <f ca="1">IFERROR(__xludf.DUMMYFUNCTION("""COMPUTED_VALUE"""),"1. Generación de Ingresos")</f>
        <v>1. Generación de Ingresos</v>
      </c>
      <c r="U82" s="130" t="str">
        <f ca="1">IFERROR(__xludf.DUMMYFUNCTION("""COMPUTED_VALUE"""),"1.5. Otros de Proyectos de Ingresos")</f>
        <v>1.5. Otros de Proyectos de Ingresos</v>
      </c>
      <c r="V82" s="4" t="str">
        <f ca="1">IFERROR(__xludf.DUMMYFUNCTION("""COMPUTED_VALUE"""),"CAP")</f>
        <v>CAP</v>
      </c>
      <c r="W82" s="4">
        <f ca="1">IFERROR(__xludf.DUMMYFUNCTION("""COMPUTED_VALUE"""),2)</f>
        <v>2</v>
      </c>
      <c r="X82" s="4" t="str">
        <f ca="1">IFERROR(__xludf.DUMMYFUNCTION("""COMPUTED_VALUE"""),"05. Cross-sell")</f>
        <v>05. Cross-sell</v>
      </c>
      <c r="Y82" s="4" t="str">
        <f ca="1">IFERROR(__xludf.DUMMYFUNCTION("""COMPUTED_VALUE"""),"5.7.1 Keep the Bank Running")</f>
        <v>5.7.1 Keep the Bank Running</v>
      </c>
      <c r="Z82" s="132" t="str">
        <f ca="1">IFERROR(__xludf.DUMMYFUNCTION("""COMPUTED_VALUE"""),"369695")</f>
        <v>369695</v>
      </c>
      <c r="AA82" s="4" t="str">
        <f ca="1">IFERROR(__xludf.DUMMYFUNCTION("""COMPUTED_VALUE"""),"Apertura de cuenta y D+0 en CAP  sin biometría integrad y con pagaré físico")</f>
        <v>Apertura de cuenta y D+0 en CAP  sin biometría integrad y con pagaré físico</v>
      </c>
      <c r="AB82" s="4" t="str">
        <f ca="1">IFERROR(__xludf.DUMMYFUNCTION("""COMPUTED_VALUE"""),"""Incrementar el target a tráves de la contratación de la Tarjeta de crédito D+0, como producto adicional de la contratación de una cuenta de nómina por el canal oficina
Se requiere que la oferta de TDC D+0 que se presenta al momento de la contratación de"&amp;" la cuenta de nómina en digital, aparezca  como primer producto adicional, así mismo alinear las políticas de riesgos del canal digital a las actuales en Nacar (para incrementar cupo y probación de tarjetas). Adicionalmente se reduciran las pant")</f>
        <v>"Incrementar el target a tráves de la contratación de la Tarjeta de crédito D+0, como producto adicional de la contratación de una cuenta de nómina por el canal oficina
Se requiere que la oferta de TDC D+0 que se presenta al momento de la contratación de la cuenta de nómina en digital, aparezca  como primer producto adicional, así mismo alinear las políticas de riesgos del canal digital a las actuales en Nacar (para incrementar cupo y probación de tarjetas). Adicionalmente se reduciran las pant</v>
      </c>
      <c r="AC82" s="4" t="str">
        <f ca="1">IFERROR(__xludf.DUMMYFUNCTION("""COMPUTED_VALUE"""),"4Q 2022")</f>
        <v>4Q 2022</v>
      </c>
      <c r="AD82" s="128">
        <f ca="1">IFERROR(__xludf.DUMMYFUNCTION("""COMPUTED_VALUE"""),44576)</f>
        <v>44576</v>
      </c>
      <c r="AE82" s="128">
        <f ca="1">IFERROR(__xludf.DUMMYFUNCTION("""COMPUTED_VALUE"""),44635)</f>
        <v>44635</v>
      </c>
      <c r="AF82" s="128">
        <f ca="1">IFERROR(__xludf.DUMMYFUNCTION("""COMPUTED_VALUE"""),44652)</f>
        <v>44652</v>
      </c>
      <c r="AG82" s="128">
        <f ca="1">IFERROR(__xludf.DUMMYFUNCTION("""COMPUTED_VALUE"""),44820)</f>
        <v>44820</v>
      </c>
      <c r="AH82" s="128">
        <f ca="1">IFERROR(__xludf.DUMMYFUNCTION("""COMPUTED_VALUE"""),44827)</f>
        <v>44827</v>
      </c>
      <c r="AI82" s="128">
        <f ca="1">IFERROR(__xludf.DUMMYFUNCTION("""COMPUTED_VALUE"""),44856)</f>
        <v>44856</v>
      </c>
      <c r="AJ82" s="128">
        <f ca="1">IFERROR(__xludf.DUMMYFUNCTION("""COMPUTED_VALUE"""),44861)</f>
        <v>44861</v>
      </c>
      <c r="AK82" s="131" t="str">
        <f ca="1">IFERROR(__xludf.DUMMYFUNCTION("""COMPUTED_VALUE"""),"COLWSMEDIO-306")</f>
        <v>COLWSMEDIO-306</v>
      </c>
      <c r="AL82" s="4" t="str">
        <f ca="1">IFERROR(__xludf.DUMMYFUNCTION("""COMPUTED_VALUE"""),"Deployed")</f>
        <v>Deployed</v>
      </c>
      <c r="AM82" s="4" t="str">
        <f ca="1">IFERROR(__xludf.DUMMYFUNCTION("""COMPUTED_VALUE"""),"""29/04
Equipo conformado, en curso ejecución de los desarrollos, no pasa a comité CARO, sin alertas""")</f>
        <v>"29/04
Equipo conformado, en curso ejecución de los desarrollos, no pasa a comité CARO, sin alertas"</v>
      </c>
      <c r="AN82" s="4" t="str">
        <f ca="1">IFERROR(__xludf.DUMMYFUNCTION("""COMPUTED_VALUE"""),"Finalizado")</f>
        <v>Finalizado</v>
      </c>
      <c r="AO82" s="4" t="str">
        <f ca="1">IFERROR(__xludf.DUMMYFUNCTION("""COMPUTED_VALUE"""),"Tarjeta de crédito /medios de pago")</f>
        <v>Tarjeta de crédito /medios de pago</v>
      </c>
      <c r="AP82" s="4"/>
      <c r="AQ82" s="4"/>
      <c r="AR82" s="4" t="str">
        <f ca="1">IFERROR(__xludf.DUMMYFUNCTION("""COMPUTED_VALUE"""),"SDA aprobada en PPP Q1 2023")</f>
        <v>SDA aprobada en PPP Q1 2023</v>
      </c>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133">
        <f ca="1">IFERROR(__xludf.DUMMYFUNCTION("""COMPUTED_VALUE"""),0)</f>
        <v>0</v>
      </c>
      <c r="DV82" s="133">
        <f ca="1">IFERROR(__xludf.DUMMYFUNCTION("""COMPUTED_VALUE"""),0)</f>
        <v>0</v>
      </c>
      <c r="DW82" s="133">
        <f ca="1">IFERROR(__xludf.DUMMYFUNCTION("""COMPUTED_VALUE"""),256364493)</f>
        <v>256364493</v>
      </c>
      <c r="DX82" s="133">
        <f ca="1">IFERROR(__xludf.DUMMYFUNCTION("""COMPUTED_VALUE"""),427161632)</f>
        <v>427161632</v>
      </c>
      <c r="DY82" s="133">
        <f ca="1">IFERROR(__xludf.DUMMYFUNCTION("""COMPUTED_VALUE"""),0)</f>
        <v>0</v>
      </c>
      <c r="DZ82" s="133">
        <f ca="1">IFERROR(__xludf.DUMMYFUNCTION("""COMPUTED_VALUE"""),683526125)</f>
        <v>683526125</v>
      </c>
      <c r="EA82" s="4"/>
      <c r="EB82" s="4"/>
    </row>
    <row r="83" spans="1:132" x14ac:dyDescent="0.2">
      <c r="A83" s="4">
        <f ca="1">IFERROR(__xludf.DUMMYFUNCTION("""COMPUTED_VALUE"""),83)</f>
        <v>83</v>
      </c>
      <c r="B83" s="4">
        <f ca="1">IFERROR(__xludf.DUMMYFUNCTION("""COMPUTED_VALUE"""),73)</f>
        <v>73</v>
      </c>
      <c r="C83" s="4" t="str">
        <f ca="1">IFERROR(__xludf.DUMMYFUNCTION("""COMPUTED_VALUE"""),"SDATOOL-37134")</f>
        <v>SDATOOL-37134</v>
      </c>
      <c r="D83" s="4" t="str">
        <f ca="1">IFERROR(__xludf.DUMMYFUNCTION("""COMPUTED_VALUE"""),"Oferta proactiva de segundo producto desde el momento cero - Plan Ascenso Cross Sell")</f>
        <v>Oferta proactiva de segundo producto desde el momento cero - Plan Ascenso Cross Sell</v>
      </c>
      <c r="E83"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3" s="4" t="str">
        <f ca="1">IFERROR(__xludf.DUMMYFUNCTION("""COMPUTED_VALUE"""),"Project")</f>
        <v>Project</v>
      </c>
      <c r="G83" s="4" t="str">
        <f ca="1">IFERROR(__xludf.DUMMYFUNCTION("""COMPUTED_VALUE"""),"Stock")</f>
        <v>Stock</v>
      </c>
      <c r="H83" s="4" t="str">
        <f ca="1">IFERROR(__xludf.DUMMYFUNCTION("""COMPUTED_VALUE"""),"4Q 2023")</f>
        <v>4Q 2023</v>
      </c>
      <c r="I83" s="131" t="str">
        <f ca="1">IFERROR(__xludf.DUMMYFUNCTION("""COMPUTED_VALUE"""),"jimy.catolico-bbva.com")</f>
        <v>jimy.catolico-bbva.com</v>
      </c>
      <c r="J83" s="131" t="str">
        <f ca="1">IFERROR(__xludf.DUMMYFUNCTION("""COMPUTED_VALUE"""),"daniela.cifuentes.ariza-bbva.com")</f>
        <v>daniela.cifuentes.ariza-bbva.com</v>
      </c>
      <c r="K83" s="131" t="str">
        <f ca="1">IFERROR(__xludf.DUMMYFUNCTION("""COMPUTED_VALUE"""),"paolaandrea.hermosa-bbva.com")</f>
        <v>paolaandrea.hermosa-bbva.com</v>
      </c>
      <c r="L83" s="4"/>
      <c r="M83" s="4"/>
      <c r="N83" s="4"/>
      <c r="O83" s="4" t="str">
        <f ca="1">IFERROR(__xludf.DUMMYFUNCTION("""COMPUTED_VALUE"""),"Scrum")</f>
        <v>Scrum</v>
      </c>
      <c r="P83" s="4" t="str">
        <f ca="1">IFERROR(__xludf.DUMMYFUNCTION("""COMPUTED_VALUE"""),"Occamy")</f>
        <v>Occamy</v>
      </c>
      <c r="Q83" s="4"/>
      <c r="R83" s="130" t="str">
        <f ca="1">IFERROR(__xludf.DUMMYFUNCTION("""COMPUTED_VALUE"""),"Payments &amp; Partnerships")</f>
        <v>Payments &amp; Partnerships</v>
      </c>
      <c r="S83" s="130" t="str">
        <f ca="1">IFERROR(__xludf.DUMMYFUNCTION("""COMPUTED_VALUE"""),"Plan Ascenso")</f>
        <v>Plan Ascenso</v>
      </c>
      <c r="T83" s="130" t="str">
        <f ca="1">IFERROR(__xludf.DUMMYFUNCTION("""COMPUTED_VALUE"""),"1. Generación de Ingresos")</f>
        <v>1. Generación de Ingresos</v>
      </c>
      <c r="U83" s="130" t="str">
        <f ca="1">IFERROR(__xludf.DUMMYFUNCTION("""COMPUTED_VALUE"""),"1.5. Otros de Proyectos de Ingresos")</f>
        <v>1.5. Otros de Proyectos de Ingresos</v>
      </c>
      <c r="V83" s="4" t="str">
        <f ca="1">IFERROR(__xludf.DUMMYFUNCTION("""COMPUTED_VALUE"""),"CAP")</f>
        <v>CAP</v>
      </c>
      <c r="W83" s="4">
        <f ca="1">IFERROR(__xludf.DUMMYFUNCTION("""COMPUTED_VALUE"""),2)</f>
        <v>2</v>
      </c>
      <c r="X83" s="4" t="str">
        <f ca="1">IFERROR(__xludf.DUMMYFUNCTION("""COMPUTED_VALUE"""),"05. Cross-sell")</f>
        <v>05. Cross-sell</v>
      </c>
      <c r="Y83" s="4" t="str">
        <f ca="1">IFERROR(__xludf.DUMMYFUNCTION("""COMPUTED_VALUE"""),"5.7.1 Keep the Bank Running")</f>
        <v>5.7.1 Keep the Bank Running</v>
      </c>
      <c r="Z83" s="132" t="str">
        <f ca="1">IFERROR(__xludf.DUMMYFUNCTION("""COMPUTED_VALUE"""),"490010")</f>
        <v>490010</v>
      </c>
      <c r="AA83" s="4" t="str">
        <f ca="1">IFERROR(__xludf.DUMMYFUNCTION("""COMPUTED_VALUE"""),"4xmil y mejoras")</f>
        <v>4xmil y mejoras</v>
      </c>
      <c r="AB83" s="4" t="str">
        <f ca="1">IFERROR(__xludf.DUMMYFUNCTION("""COMPUTED_VALUE"""),"Entrega de tarjetas con el primer abono")</f>
        <v>Entrega de tarjetas con el primer abono</v>
      </c>
      <c r="AC83" s="4" t="str">
        <f ca="1">IFERROR(__xludf.DUMMYFUNCTION("""COMPUTED_VALUE"""),"2Q 2023")</f>
        <v>2Q 2023</v>
      </c>
      <c r="AD83" s="128">
        <f ca="1">IFERROR(__xludf.DUMMYFUNCTION("""COMPUTED_VALUE"""),44727)</f>
        <v>44727</v>
      </c>
      <c r="AE83" s="128">
        <f ca="1">IFERROR(__xludf.DUMMYFUNCTION("""COMPUTED_VALUE"""),44819)</f>
        <v>44819</v>
      </c>
      <c r="AF83" s="128">
        <f ca="1">IFERROR(__xludf.DUMMYFUNCTION("""COMPUTED_VALUE"""),44866)</f>
        <v>44866</v>
      </c>
      <c r="AG83" s="128">
        <f ca="1">IFERROR(__xludf.DUMMYFUNCTION("""COMPUTED_VALUE"""),44985)</f>
        <v>44985</v>
      </c>
      <c r="AH83" s="128">
        <f ca="1">IFERROR(__xludf.DUMMYFUNCTION("""COMPUTED_VALUE"""),44986)</f>
        <v>44986</v>
      </c>
      <c r="AI83" s="128">
        <f ca="1">IFERROR(__xludf.DUMMYFUNCTION("""COMPUTED_VALUE"""),45003)</f>
        <v>45003</v>
      </c>
      <c r="AJ83" s="128">
        <f ca="1">IFERROR(__xludf.DUMMYFUNCTION("""COMPUTED_VALUE"""),45010)</f>
        <v>45010</v>
      </c>
      <c r="AK83" s="131" t="str">
        <f ca="1">IFERROR(__xludf.DUMMYFUNCTION("""COMPUTED_VALUE"""),"COLWSMEDIO-3496")</f>
        <v>COLWSMEDIO-3496</v>
      </c>
      <c r="AL83" s="4" t="str">
        <f ca="1">IFERROR(__xludf.DUMMYFUNCTION("""COMPUTED_VALUE"""),"Deployed")</f>
        <v>Deployed</v>
      </c>
      <c r="AM83" s="4"/>
      <c r="AN83" s="4" t="str">
        <f ca="1">IFERROR(__xludf.DUMMYFUNCTION("""COMPUTED_VALUE"""),"Entregable en desarrollo")</f>
        <v>Entregable en desarrollo</v>
      </c>
      <c r="AO83" s="4" t="str">
        <f ca="1">IFERROR(__xludf.DUMMYFUNCTION("""COMPUTED_VALUE"""),"Tarjeta de crédito /medios de pago")</f>
        <v>Tarjeta de crédito /medios de pago</v>
      </c>
      <c r="AP83" s="4"/>
      <c r="AQ83" s="4"/>
      <c r="AR83" s="4" t="str">
        <f ca="1">IFERROR(__xludf.DUMMYFUNCTION("""COMPUTED_VALUE"""),"SDA aprobada en PPP Q1 2023")</f>
        <v>SDA aprobada en PPP Q1 2023</v>
      </c>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row>
    <row r="84" spans="1:132" x14ac:dyDescent="0.2">
      <c r="A84" s="4">
        <f ca="1">IFERROR(__xludf.DUMMYFUNCTION("""COMPUTED_VALUE"""),84)</f>
        <v>84</v>
      </c>
      <c r="B84" s="4">
        <f ca="1">IFERROR(__xludf.DUMMYFUNCTION("""COMPUTED_VALUE"""),74)</f>
        <v>74</v>
      </c>
      <c r="C84" s="4" t="str">
        <f ca="1">IFERROR(__xludf.DUMMYFUNCTION("""COMPUTED_VALUE"""),"SDATOOL-37134")</f>
        <v>SDATOOL-37134</v>
      </c>
      <c r="D84" s="4" t="str">
        <f ca="1">IFERROR(__xludf.DUMMYFUNCTION("""COMPUTED_VALUE"""),"Oferta proactiva de segundo producto desde el momento cero - Plan Ascenso Cross Sell")</f>
        <v>Oferta proactiva de segundo producto desde el momento cero - Plan Ascenso Cross Sell</v>
      </c>
      <c r="E84"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4" s="4" t="str">
        <f ca="1">IFERROR(__xludf.DUMMYFUNCTION("""COMPUTED_VALUE"""),"Project")</f>
        <v>Project</v>
      </c>
      <c r="G84" s="4" t="str">
        <f ca="1">IFERROR(__xludf.DUMMYFUNCTION("""COMPUTED_VALUE"""),"Stock")</f>
        <v>Stock</v>
      </c>
      <c r="H84" s="4" t="str">
        <f ca="1">IFERROR(__xludf.DUMMYFUNCTION("""COMPUTED_VALUE"""),"4Q 2023")</f>
        <v>4Q 2023</v>
      </c>
      <c r="I84" s="131" t="str">
        <f ca="1">IFERROR(__xludf.DUMMYFUNCTION("""COMPUTED_VALUE"""),"jimy.catolico-bbva.com")</f>
        <v>jimy.catolico-bbva.com</v>
      </c>
      <c r="J84" s="131" t="str">
        <f ca="1">IFERROR(__xludf.DUMMYFUNCTION("""COMPUTED_VALUE"""),"daniela.cifuentes.ariza-bbva.com")</f>
        <v>daniela.cifuentes.ariza-bbva.com</v>
      </c>
      <c r="K84" s="131" t="str">
        <f ca="1">IFERROR(__xludf.DUMMYFUNCTION("""COMPUTED_VALUE"""),"paolaandrea.hermosa-bbva.com")</f>
        <v>paolaandrea.hermosa-bbva.com</v>
      </c>
      <c r="L84" s="4"/>
      <c r="M84" s="4"/>
      <c r="N84" s="4"/>
      <c r="O84" s="4" t="str">
        <f ca="1">IFERROR(__xludf.DUMMYFUNCTION("""COMPUTED_VALUE"""),"Scrum")</f>
        <v>Scrum</v>
      </c>
      <c r="P84" s="4" t="str">
        <f ca="1">IFERROR(__xludf.DUMMYFUNCTION("""COMPUTED_VALUE"""),"Occamy")</f>
        <v>Occamy</v>
      </c>
      <c r="Q84" s="4"/>
      <c r="R84" s="130" t="str">
        <f ca="1">IFERROR(__xludf.DUMMYFUNCTION("""COMPUTED_VALUE"""),"Payments &amp; Partnerships")</f>
        <v>Payments &amp; Partnerships</v>
      </c>
      <c r="S84" s="130" t="str">
        <f ca="1">IFERROR(__xludf.DUMMYFUNCTION("""COMPUTED_VALUE"""),"Plan Ascenso")</f>
        <v>Plan Ascenso</v>
      </c>
      <c r="T84" s="130" t="str">
        <f ca="1">IFERROR(__xludf.DUMMYFUNCTION("""COMPUTED_VALUE"""),"1. Generación de Ingresos")</f>
        <v>1. Generación de Ingresos</v>
      </c>
      <c r="U84" s="130" t="str">
        <f ca="1">IFERROR(__xludf.DUMMYFUNCTION("""COMPUTED_VALUE"""),"1.5. Otros de Proyectos de Ingresos")</f>
        <v>1.5. Otros de Proyectos de Ingresos</v>
      </c>
      <c r="V84" s="4" t="str">
        <f ca="1">IFERROR(__xludf.DUMMYFUNCTION("""COMPUTED_VALUE"""),"CAP")</f>
        <v>CAP</v>
      </c>
      <c r="W84" s="4">
        <f ca="1">IFERROR(__xludf.DUMMYFUNCTION("""COMPUTED_VALUE"""),2)</f>
        <v>2</v>
      </c>
      <c r="X84" s="4" t="str">
        <f ca="1">IFERROR(__xludf.DUMMYFUNCTION("""COMPUTED_VALUE"""),"05. Cross-sell")</f>
        <v>05. Cross-sell</v>
      </c>
      <c r="Y84" s="4" t="str">
        <f ca="1">IFERROR(__xludf.DUMMYFUNCTION("""COMPUTED_VALUE"""),"5.7.1 Keep the Bank Running")</f>
        <v>5.7.1 Keep the Bank Running</v>
      </c>
      <c r="Z84" s="132" t="str">
        <f ca="1">IFERROR(__xludf.DUMMYFUNCTION("""COMPUTED_VALUE"""),"490011")</f>
        <v>490011</v>
      </c>
      <c r="AA84" s="4" t="str">
        <f ca="1">IFERROR(__xludf.DUMMYFUNCTION("""COMPUTED_VALUE"""),"Oferta TDC D+0 clientes existentes")</f>
        <v>Oferta TDC D+0 clientes existentes</v>
      </c>
      <c r="AB84" s="4" t="str">
        <f ca="1">IFERROR(__xludf.DUMMYFUNCTION("""COMPUTED_VALUE"""),"Realizar ofertas de TDC D+0 a clientes existentes con cuenta de nómina")</f>
        <v>Realizar ofertas de TDC D+0 a clientes existentes con cuenta de nómina</v>
      </c>
      <c r="AC84" s="4" t="str">
        <f ca="1">IFERROR(__xludf.DUMMYFUNCTION("""COMPUTED_VALUE"""),"2Q 2023")</f>
        <v>2Q 2023</v>
      </c>
      <c r="AD84" s="128">
        <f ca="1">IFERROR(__xludf.DUMMYFUNCTION("""COMPUTED_VALUE"""),44866)</f>
        <v>44866</v>
      </c>
      <c r="AE84" s="128">
        <f ca="1">IFERROR(__xludf.DUMMYFUNCTION("""COMPUTED_VALUE"""),44939)</f>
        <v>44939</v>
      </c>
      <c r="AF84" s="128">
        <f ca="1">IFERROR(__xludf.DUMMYFUNCTION("""COMPUTED_VALUE"""),44991)</f>
        <v>44991</v>
      </c>
      <c r="AG84" s="128">
        <f ca="1">IFERROR(__xludf.DUMMYFUNCTION("""COMPUTED_VALUE"""),45136)</f>
        <v>45136</v>
      </c>
      <c r="AH84" s="128">
        <f ca="1">IFERROR(__xludf.DUMMYFUNCTION("""COMPUTED_VALUE"""),45139)</f>
        <v>45139</v>
      </c>
      <c r="AI84" s="128">
        <f ca="1">IFERROR(__xludf.DUMMYFUNCTION("""COMPUTED_VALUE"""),45168)</f>
        <v>45168</v>
      </c>
      <c r="AJ84" s="128">
        <f ca="1">IFERROR(__xludf.DUMMYFUNCTION("""COMPUTED_VALUE"""),45178)</f>
        <v>45178</v>
      </c>
      <c r="AK84" s="131" t="str">
        <f ca="1">IFERROR(__xludf.DUMMYFUNCTION("""COMPUTED_VALUE"""),"COLWSMEDIO-6212")</f>
        <v>COLWSMEDIO-6212</v>
      </c>
      <c r="AL84" s="4" t="str">
        <f ca="1">IFERROR(__xludf.DUMMYFUNCTION("""COMPUTED_VALUE"""),"New")</f>
        <v>New</v>
      </c>
      <c r="AM84" s="4"/>
      <c r="AN84" s="4" t="str">
        <f ca="1">IFERROR(__xludf.DUMMYFUNCTION("""COMPUTED_VALUE"""),"Entregable en backlog")</f>
        <v>Entregable en backlog</v>
      </c>
      <c r="AO84" s="4" t="str">
        <f ca="1">IFERROR(__xludf.DUMMYFUNCTION("""COMPUTED_VALUE"""),"Tarjeta de crédito /medios de pago")</f>
        <v>Tarjeta de crédito /medios de pago</v>
      </c>
      <c r="AP84" s="4"/>
      <c r="AQ84" s="4"/>
      <c r="AR84" s="4" t="str">
        <f ca="1">IFERROR(__xludf.DUMMYFUNCTION("""COMPUTED_VALUE"""),"SDA aprobada en PPP Q1 2023")</f>
        <v>SDA aprobada en PPP Q1 2023</v>
      </c>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row>
    <row r="85" spans="1:132" x14ac:dyDescent="0.2">
      <c r="A85" s="4">
        <f ca="1">IFERROR(__xludf.DUMMYFUNCTION("""COMPUTED_VALUE"""),85)</f>
        <v>85</v>
      </c>
      <c r="B85" s="4">
        <f ca="1">IFERROR(__xludf.DUMMYFUNCTION("""COMPUTED_VALUE"""),76)</f>
        <v>76</v>
      </c>
      <c r="C85" s="4" t="str">
        <f ca="1">IFERROR(__xludf.DUMMYFUNCTION("""COMPUTED_VALUE"""),"SDATOOL-37134")</f>
        <v>SDATOOL-37134</v>
      </c>
      <c r="D85" s="4" t="str">
        <f ca="1">IFERROR(__xludf.DUMMYFUNCTION("""COMPUTED_VALUE"""),"Oferta proactiva de segundo producto desde el momento cero - Plan Ascenso Cross Sell")</f>
        <v>Oferta proactiva de segundo producto desde el momento cero - Plan Ascenso Cross Sell</v>
      </c>
      <c r="E85"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5" s="4" t="str">
        <f ca="1">IFERROR(__xludf.DUMMYFUNCTION("""COMPUTED_VALUE"""),"Project")</f>
        <v>Project</v>
      </c>
      <c r="G85" s="4" t="str">
        <f ca="1">IFERROR(__xludf.DUMMYFUNCTION("""COMPUTED_VALUE"""),"Stock")</f>
        <v>Stock</v>
      </c>
      <c r="H85" s="4" t="str">
        <f ca="1">IFERROR(__xludf.DUMMYFUNCTION("""COMPUTED_VALUE"""),"4Q 2023")</f>
        <v>4Q 2023</v>
      </c>
      <c r="I85" s="131" t="str">
        <f ca="1">IFERROR(__xludf.DUMMYFUNCTION("""COMPUTED_VALUE"""),"jimy.catolico-bbva.com")</f>
        <v>jimy.catolico-bbva.com</v>
      </c>
      <c r="J85" s="131" t="str">
        <f ca="1">IFERROR(__xludf.DUMMYFUNCTION("""COMPUTED_VALUE"""),"daniela.cifuentes.ariza-bbva.com")</f>
        <v>daniela.cifuentes.ariza-bbva.com</v>
      </c>
      <c r="K85" s="131" t="str">
        <f ca="1">IFERROR(__xludf.DUMMYFUNCTION("""COMPUTED_VALUE"""),"paolaandrea.hermosa-bbva.com")</f>
        <v>paolaandrea.hermosa-bbva.com</v>
      </c>
      <c r="L85" s="4"/>
      <c r="M85" s="4"/>
      <c r="N85" s="4"/>
      <c r="O85" s="4" t="str">
        <f ca="1">IFERROR(__xludf.DUMMYFUNCTION("""COMPUTED_VALUE"""),"Scrum")</f>
        <v>Scrum</v>
      </c>
      <c r="P85" s="4" t="str">
        <f ca="1">IFERROR(__xludf.DUMMYFUNCTION("""COMPUTED_VALUE"""),"Occamy")</f>
        <v>Occamy</v>
      </c>
      <c r="Q85" s="4"/>
      <c r="R85" s="130" t="str">
        <f ca="1">IFERROR(__xludf.DUMMYFUNCTION("""COMPUTED_VALUE"""),"Payments &amp; Partnerships")</f>
        <v>Payments &amp; Partnerships</v>
      </c>
      <c r="S85" s="130" t="str">
        <f ca="1">IFERROR(__xludf.DUMMYFUNCTION("""COMPUTED_VALUE"""),"Plan Ascenso")</f>
        <v>Plan Ascenso</v>
      </c>
      <c r="T85" s="130" t="str">
        <f ca="1">IFERROR(__xludf.DUMMYFUNCTION("""COMPUTED_VALUE"""),"1. Generación de Ingresos")</f>
        <v>1. Generación de Ingresos</v>
      </c>
      <c r="U85" s="130" t="str">
        <f ca="1">IFERROR(__xludf.DUMMYFUNCTION("""COMPUTED_VALUE"""),"1.5. Otros de Proyectos de Ingresos")</f>
        <v>1.5. Otros de Proyectos de Ingresos</v>
      </c>
      <c r="V85" s="4" t="str">
        <f ca="1">IFERROR(__xludf.DUMMYFUNCTION("""COMPUTED_VALUE"""),"CAP")</f>
        <v>CAP</v>
      </c>
      <c r="W85" s="4">
        <f ca="1">IFERROR(__xludf.DUMMYFUNCTION("""COMPUTED_VALUE"""),2)</f>
        <v>2</v>
      </c>
      <c r="X85" s="4" t="str">
        <f ca="1">IFERROR(__xludf.DUMMYFUNCTION("""COMPUTED_VALUE"""),"05. Cross-sell")</f>
        <v>05. Cross-sell</v>
      </c>
      <c r="Y85" s="4" t="str">
        <f ca="1">IFERROR(__xludf.DUMMYFUNCTION("""COMPUTED_VALUE"""),"5.7.1 Keep the Bank Running")</f>
        <v>5.7.1 Keep the Bank Running</v>
      </c>
      <c r="Z85" s="132" t="str">
        <f ca="1">IFERROR(__xludf.DUMMYFUNCTION("""COMPUTED_VALUE"""),"713351")</f>
        <v>713351</v>
      </c>
      <c r="AA85" s="4" t="str">
        <f ca="1">IFERROR(__xludf.DUMMYFUNCTION("""COMPUTED_VALUE"""),"Formalización de TDC D+0 en CAP")</f>
        <v>Formalización de TDC D+0 en CAP</v>
      </c>
      <c r="AB85" s="4" t="str">
        <f ca="1">IFERROR(__xludf.DUMMYFUNCTION("""COMPUTED_VALUE"""),"Mejora")</f>
        <v>Mejora</v>
      </c>
      <c r="AC85" s="4" t="str">
        <f ca="1">IFERROR(__xludf.DUMMYFUNCTION("""COMPUTED_VALUE"""),"3Q 2023")</f>
        <v>3Q 2023</v>
      </c>
      <c r="AD85" s="4"/>
      <c r="AE85" s="4"/>
      <c r="AF85" s="4"/>
      <c r="AG85" s="4"/>
      <c r="AH85" s="4"/>
      <c r="AI85" s="4"/>
      <c r="AJ85" s="4"/>
      <c r="AK85" s="131" t="str">
        <f ca="1">IFERROR(__xludf.DUMMYFUNCTION("""COMPUTED_VALUE"""),"COLWSMEDIO-2341")</f>
        <v>COLWSMEDIO-2341</v>
      </c>
      <c r="AL85" s="4" t="str">
        <f ca="1">IFERROR(__xludf.DUMMYFUNCTION("""COMPUTED_VALUE"""),"New")</f>
        <v>New</v>
      </c>
      <c r="AM85" s="4"/>
      <c r="AN85" s="4" t="str">
        <f ca="1">IFERROR(__xludf.DUMMYFUNCTION("""COMPUTED_VALUE"""),"Entregable en backlog")</f>
        <v>Entregable en backlog</v>
      </c>
      <c r="AO85" s="4" t="str">
        <f ca="1">IFERROR(__xludf.DUMMYFUNCTION("""COMPUTED_VALUE"""),"Tarjeta de crédito /medios de pago")</f>
        <v>Tarjeta de crédito /medios de pago</v>
      </c>
      <c r="AP85" s="4"/>
      <c r="AQ85" s="4"/>
      <c r="AR85" s="4" t="str">
        <f ca="1">IFERROR(__xludf.DUMMYFUNCTION("""COMPUTED_VALUE"""),"SDA aprobada en PPP Q1 2023")</f>
        <v>SDA aprobada en PPP Q1 2023</v>
      </c>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row>
    <row r="86" spans="1:132" x14ac:dyDescent="0.2">
      <c r="A86" s="4">
        <f ca="1">IFERROR(__xludf.DUMMYFUNCTION("""COMPUTED_VALUE"""),86)</f>
        <v>86</v>
      </c>
      <c r="B86" s="4">
        <f ca="1">IFERROR(__xludf.DUMMYFUNCTION("""COMPUTED_VALUE"""),77)</f>
        <v>77</v>
      </c>
      <c r="C86" s="4" t="str">
        <f ca="1">IFERROR(__xludf.DUMMYFUNCTION("""COMPUTED_VALUE"""),"SDATOOL-37134")</f>
        <v>SDATOOL-37134</v>
      </c>
      <c r="D86" s="4" t="str">
        <f ca="1">IFERROR(__xludf.DUMMYFUNCTION("""COMPUTED_VALUE"""),"Oferta proactiva de segundo producto desde el momento cero - Plan Ascenso Cross Sell")</f>
        <v>Oferta proactiva de segundo producto desde el momento cero - Plan Ascenso Cross Sell</v>
      </c>
      <c r="E86"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6" s="4" t="str">
        <f ca="1">IFERROR(__xludf.DUMMYFUNCTION("""COMPUTED_VALUE"""),"Project")</f>
        <v>Project</v>
      </c>
      <c r="G86" s="4" t="str">
        <f ca="1">IFERROR(__xludf.DUMMYFUNCTION("""COMPUTED_VALUE"""),"Stock")</f>
        <v>Stock</v>
      </c>
      <c r="H86" s="4" t="str">
        <f ca="1">IFERROR(__xludf.DUMMYFUNCTION("""COMPUTED_VALUE"""),"4Q 2023")</f>
        <v>4Q 2023</v>
      </c>
      <c r="I86" s="131" t="str">
        <f ca="1">IFERROR(__xludf.DUMMYFUNCTION("""COMPUTED_VALUE"""),"jimy.catolico-bbva.com")</f>
        <v>jimy.catolico-bbva.com</v>
      </c>
      <c r="J86" s="131" t="str">
        <f ca="1">IFERROR(__xludf.DUMMYFUNCTION("""COMPUTED_VALUE"""),"daniela.cifuentes.ariza-bbva.com")</f>
        <v>daniela.cifuentes.ariza-bbva.com</v>
      </c>
      <c r="K86" s="131" t="str">
        <f ca="1">IFERROR(__xludf.DUMMYFUNCTION("""COMPUTED_VALUE"""),"paolaandrea.hermosa-bbva.com")</f>
        <v>paolaandrea.hermosa-bbva.com</v>
      </c>
      <c r="L86" s="4"/>
      <c r="M86" s="4"/>
      <c r="N86" s="4"/>
      <c r="O86" s="4" t="str">
        <f ca="1">IFERROR(__xludf.DUMMYFUNCTION("""COMPUTED_VALUE"""),"Scrum")</f>
        <v>Scrum</v>
      </c>
      <c r="P86" s="4" t="str">
        <f ca="1">IFERROR(__xludf.DUMMYFUNCTION("""COMPUTED_VALUE"""),"Occamy")</f>
        <v>Occamy</v>
      </c>
      <c r="Q86" s="4"/>
      <c r="R86" s="130" t="str">
        <f ca="1">IFERROR(__xludf.DUMMYFUNCTION("""COMPUTED_VALUE"""),"Payments &amp; Partnerships")</f>
        <v>Payments &amp; Partnerships</v>
      </c>
      <c r="S86" s="130" t="str">
        <f ca="1">IFERROR(__xludf.DUMMYFUNCTION("""COMPUTED_VALUE"""),"Plan Ascenso")</f>
        <v>Plan Ascenso</v>
      </c>
      <c r="T86" s="130" t="str">
        <f ca="1">IFERROR(__xludf.DUMMYFUNCTION("""COMPUTED_VALUE"""),"1. Generación de Ingresos")</f>
        <v>1. Generación de Ingresos</v>
      </c>
      <c r="U86" s="130" t="str">
        <f ca="1">IFERROR(__xludf.DUMMYFUNCTION("""COMPUTED_VALUE"""),"1.5. Otros de Proyectos de Ingresos")</f>
        <v>1.5. Otros de Proyectos de Ingresos</v>
      </c>
      <c r="V86" s="4" t="str">
        <f ca="1">IFERROR(__xludf.DUMMYFUNCTION("""COMPUTED_VALUE"""),"CAP")</f>
        <v>CAP</v>
      </c>
      <c r="W86" s="4">
        <f ca="1">IFERROR(__xludf.DUMMYFUNCTION("""COMPUTED_VALUE"""),2)</f>
        <v>2</v>
      </c>
      <c r="X86" s="4" t="str">
        <f ca="1">IFERROR(__xludf.DUMMYFUNCTION("""COMPUTED_VALUE"""),"05. Cross-sell")</f>
        <v>05. Cross-sell</v>
      </c>
      <c r="Y86" s="4" t="str">
        <f ca="1">IFERROR(__xludf.DUMMYFUNCTION("""COMPUTED_VALUE"""),"5.7.1 Keep the Bank Running")</f>
        <v>5.7.1 Keep the Bank Running</v>
      </c>
      <c r="Z86" s="132" t="str">
        <f ca="1">IFERROR(__xludf.DUMMYFUNCTION("""COMPUTED_VALUE"""),"713350")</f>
        <v>713350</v>
      </c>
      <c r="AA86" s="4" t="str">
        <f ca="1">IFERROR(__xludf.DUMMYFUNCTION("""COMPUTED_VALUE"""),"Oferta con bines disponibles y generación de documentos")</f>
        <v>Oferta con bines disponibles y generación de documentos</v>
      </c>
      <c r="AB86" s="4" t="str">
        <f ca="1">IFERROR(__xludf.DUMMYFUNCTION("""COMPUTED_VALUE"""),"Evolutivo")</f>
        <v>Evolutivo</v>
      </c>
      <c r="AC86" s="4" t="str">
        <f ca="1">IFERROR(__xludf.DUMMYFUNCTION("""COMPUTED_VALUE"""),"3Q 2023")</f>
        <v>3Q 2023</v>
      </c>
      <c r="AD86" s="4"/>
      <c r="AE86" s="4"/>
      <c r="AF86" s="4"/>
      <c r="AG86" s="4"/>
      <c r="AH86" s="4"/>
      <c r="AI86" s="4"/>
      <c r="AJ86" s="4"/>
      <c r="AK86" s="131" t="str">
        <f ca="1">IFERROR(__xludf.DUMMYFUNCTION("""COMPUTED_VALUE"""),"COLWSMEDIO-6220")</f>
        <v>COLWSMEDIO-6220</v>
      </c>
      <c r="AL86" s="4" t="str">
        <f ca="1">IFERROR(__xludf.DUMMYFUNCTION("""COMPUTED_VALUE"""),"New")</f>
        <v>New</v>
      </c>
      <c r="AM86" s="4"/>
      <c r="AN86" s="4" t="str">
        <f ca="1">IFERROR(__xludf.DUMMYFUNCTION("""COMPUTED_VALUE"""),"Entregable en backlog")</f>
        <v>Entregable en backlog</v>
      </c>
      <c r="AO86" s="4" t="str">
        <f ca="1">IFERROR(__xludf.DUMMYFUNCTION("""COMPUTED_VALUE"""),"Tarjeta de crédito /medios de pago")</f>
        <v>Tarjeta de crédito /medios de pago</v>
      </c>
      <c r="AP86" s="4"/>
      <c r="AQ86" s="4"/>
      <c r="AR86" s="4" t="str">
        <f ca="1">IFERROR(__xludf.DUMMYFUNCTION("""COMPUTED_VALUE"""),"SDA aprobada en PPP Q1 2023")</f>
        <v>SDA aprobada en PPP Q1 2023</v>
      </c>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row>
    <row r="87" spans="1:132" x14ac:dyDescent="0.2">
      <c r="A87" s="4">
        <f ca="1">IFERROR(__xludf.DUMMYFUNCTION("""COMPUTED_VALUE"""),87)</f>
        <v>87</v>
      </c>
      <c r="B87" s="4">
        <f ca="1">IFERROR(__xludf.DUMMYFUNCTION("""COMPUTED_VALUE"""),78)</f>
        <v>78</v>
      </c>
      <c r="C87" s="4" t="str">
        <f ca="1">IFERROR(__xludf.DUMMYFUNCTION("""COMPUTED_VALUE"""),"SDATOOL-38091")</f>
        <v>SDATOOL-38091</v>
      </c>
      <c r="D87" s="4" t="str">
        <f ca="1">IFERROR(__xludf.DUMMYFUNCTION("""COMPUTED_VALUE"""),"Higiénicos Plataforma Digital de Oficinas CAP")</f>
        <v>Higiénicos Plataforma Digital de Oficinas CAP</v>
      </c>
      <c r="E87"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7" s="4" t="str">
        <f ca="1">IFERROR(__xludf.DUMMYFUNCTION("""COMPUTED_VALUE"""),"Project")</f>
        <v>Project</v>
      </c>
      <c r="G87" s="4" t="str">
        <f ca="1">IFERROR(__xludf.DUMMYFUNCTION("""COMPUTED_VALUE"""),"Stock")</f>
        <v>Stock</v>
      </c>
      <c r="H87" s="4" t="str">
        <f ca="1">IFERROR(__xludf.DUMMYFUNCTION("""COMPUTED_VALUE"""),"2Q 2023")</f>
        <v>2Q 2023</v>
      </c>
      <c r="I87" s="131" t="str">
        <f ca="1">IFERROR(__xludf.DUMMYFUNCTION("""COMPUTED_VALUE"""),"jimy.catolico-bbva.com")</f>
        <v>jimy.catolico-bbva.com</v>
      </c>
      <c r="J87" s="131" t="str">
        <f ca="1">IFERROR(__xludf.DUMMYFUNCTION("""COMPUTED_VALUE"""),"cindytatiana.perilla-bbva.com")</f>
        <v>cindytatiana.perilla-bbva.com</v>
      </c>
      <c r="K87" s="131" t="str">
        <f ca="1">IFERROR(__xludf.DUMMYFUNCTION("""COMPUTED_VALUE"""),"rocio.garces-bbva.com")</f>
        <v>rocio.garces-bbva.com</v>
      </c>
      <c r="L87" s="130">
        <f ca="1">IFERROR(__xludf.DUMMYFUNCTION("""COMPUTED_VALUE"""),0.5)</f>
        <v>0.5</v>
      </c>
      <c r="M87" s="130">
        <f ca="1">IFERROR(__xludf.DUMMYFUNCTION("""COMPUTED_VALUE"""),1.79999999999999)</f>
        <v>1.7999999999999901</v>
      </c>
      <c r="N87" s="130">
        <f ca="1">IFERROR(__xludf.DUMMYFUNCTION("""COMPUTED_VALUE"""),1)</f>
        <v>1</v>
      </c>
      <c r="O87" s="4" t="str">
        <f ca="1">IFERROR(__xludf.DUMMYFUNCTION("""COMPUTED_VALUE"""),"Waterfall")</f>
        <v>Waterfall</v>
      </c>
      <c r="P87" s="4" t="str">
        <f ca="1">IFERROR(__xludf.DUMMYFUNCTION("""COMPUTED_VALUE"""),"Tradicional")</f>
        <v>Tradicional</v>
      </c>
      <c r="Q87" s="4"/>
      <c r="R87" s="130" t="str">
        <f ca="1">IFERROR(__xludf.DUMMYFUNCTION("""COMPUTED_VALUE"""),"Execution Capabilities")</f>
        <v>Execution Capabilities</v>
      </c>
      <c r="S87" s="130" t="str">
        <f ca="1">IFERROR(__xludf.DUMMYFUNCTION("""COMPUTED_VALUE"""),"Strategic Review")</f>
        <v>Strategic Review</v>
      </c>
      <c r="T87" s="130" t="str">
        <f ca="1">IFERROR(__xludf.DUMMYFUNCTION("""COMPUTED_VALUE"""),"Otros")</f>
        <v>Otros</v>
      </c>
      <c r="U87" s="130" t="str">
        <f ca="1">IFERROR(__xludf.DUMMYFUNCTION("""COMPUTED_VALUE"""),"No Aplica")</f>
        <v>No Aplica</v>
      </c>
      <c r="V87" s="4" t="str">
        <f ca="1">IFERROR(__xludf.DUMMYFUNCTION("""COMPUTED_VALUE"""),"Descarga operativa")</f>
        <v>Descarga operativa</v>
      </c>
      <c r="W87" s="4">
        <f ca="1">IFERROR(__xludf.DUMMYFUNCTION("""COMPUTED_VALUE"""),1)</f>
        <v>1</v>
      </c>
      <c r="X87" s="4" t="str">
        <f ca="1">IFERROR(__xludf.DUMMYFUNCTION("""COMPUTED_VALUE"""),"04. Relationship Models")</f>
        <v>04. Relationship Models</v>
      </c>
      <c r="Y87" s="4" t="str">
        <f ca="1">IFERROR(__xludf.DUMMYFUNCTION("""COMPUTED_VALUE"""),"5.7.1 Keep the Bank Running")</f>
        <v>5.7.1 Keep the Bank Running</v>
      </c>
      <c r="Z87" s="132" t="str">
        <f ca="1">IFERROR(__xludf.DUMMYFUNCTION("""COMPUTED_VALUE"""),"460784")</f>
        <v>460784</v>
      </c>
      <c r="AA87" s="4" t="str">
        <f ca="1">IFERROR(__xludf.DUMMYFUNCTION("""COMPUTED_VALUE"""),"Mejora navegación herramienta CAP")</f>
        <v>Mejora navegación herramienta CAP</v>
      </c>
      <c r="AB87" s="4" t="str">
        <f ca="1">IFERROR(__xludf.DUMMYFUNCTION("""COMPUTED_VALUE"""),"Se pretende realizar la mejora de pantallas a la herramienta CAP (contratación ágil de productos)")</f>
        <v>Se pretende realizar la mejora de pantallas a la herramienta CAP (contratación ágil de productos)</v>
      </c>
      <c r="AC87" s="4" t="str">
        <f ca="1">IFERROR(__xludf.DUMMYFUNCTION("""COMPUTED_VALUE"""),"4Q 2022")</f>
        <v>4Q 2022</v>
      </c>
      <c r="AD87" s="128">
        <f ca="1">IFERROR(__xludf.DUMMYFUNCTION("""COMPUTED_VALUE"""),44211)</f>
        <v>44211</v>
      </c>
      <c r="AE87" s="128">
        <f ca="1">IFERROR(__xludf.DUMMYFUNCTION("""COMPUTED_VALUE"""),44651)</f>
        <v>44651</v>
      </c>
      <c r="AF87" s="128">
        <f ca="1">IFERROR(__xludf.DUMMYFUNCTION("""COMPUTED_VALUE"""),44670)</f>
        <v>44670</v>
      </c>
      <c r="AG87" s="128">
        <f ca="1">IFERROR(__xludf.DUMMYFUNCTION("""COMPUTED_VALUE"""),44814)</f>
        <v>44814</v>
      </c>
      <c r="AH87" s="128">
        <f ca="1">IFERROR(__xludf.DUMMYFUNCTION("""COMPUTED_VALUE"""),44821)</f>
        <v>44821</v>
      </c>
      <c r="AI87" s="128">
        <f ca="1">IFERROR(__xludf.DUMMYFUNCTION("""COMPUTED_VALUE"""),44827)</f>
        <v>44827</v>
      </c>
      <c r="AJ87" s="128">
        <f ca="1">IFERROR(__xludf.DUMMYFUNCTION("""COMPUTED_VALUE"""),44832)</f>
        <v>44832</v>
      </c>
      <c r="AK87" s="131" t="str">
        <f ca="1">IFERROR(__xludf.DUMMYFUNCTION("""COMPUTED_VALUE"""),"COLWSCANAL-1376")</f>
        <v>COLWSCANAL-1376</v>
      </c>
      <c r="AL87" s="4" t="str">
        <f ca="1">IFERROR(__xludf.DUMMYFUNCTION("""COMPUTED_VALUE"""),"Deployed")</f>
        <v>Deployed</v>
      </c>
      <c r="AM87" s="4" t="str">
        <f ca="1">IFERROR(__xludf.DUMMYFUNCTION("""COMPUTED_VALUE"""),"""29/04  
Desarrollos contratados en curso fecha salida a producción en agosto, sin novedad """)</f>
        <v>"29/04  
Desarrollos contratados en curso fecha salida a producción en agosto, sin novedad "</v>
      </c>
      <c r="AN87" s="4" t="str">
        <f ca="1">IFERROR(__xludf.DUMMYFUNCTION("""COMPUTED_VALUE"""),"Finalizado")</f>
        <v>Finalizado</v>
      </c>
      <c r="AO87" s="4"/>
      <c r="AP87" s="4"/>
      <c r="AQ87" s="4"/>
      <c r="AR87" s="4" t="str">
        <f ca="1">IFERROR(__xludf.DUMMYFUNCTION("""COMPUTED_VALUE"""),"SDA aprobada en PPP Q1 2023")</f>
        <v>SDA aprobada en PPP Q1 2023</v>
      </c>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133">
        <f ca="1">IFERROR(__xludf.DUMMYFUNCTION("""COMPUTED_VALUE"""),0)</f>
        <v>0</v>
      </c>
      <c r="DV87" s="133">
        <f ca="1">IFERROR(__xludf.DUMMYFUNCTION("""COMPUTED_VALUE"""),0)</f>
        <v>0</v>
      </c>
      <c r="DW87" s="133">
        <f ca="1">IFERROR(__xludf.DUMMYFUNCTION("""COMPUTED_VALUE"""),199327813)</f>
        <v>199327813</v>
      </c>
      <c r="DX87" s="133">
        <f ca="1">IFERROR(__xludf.DUMMYFUNCTION("""COMPUTED_VALUE"""),183549036)</f>
        <v>183549036</v>
      </c>
      <c r="DY87" s="133">
        <f ca="1">IFERROR(__xludf.DUMMYFUNCTION("""COMPUTED_VALUE"""),0)</f>
        <v>0</v>
      </c>
      <c r="DZ87" s="133">
        <f ca="1">IFERROR(__xludf.DUMMYFUNCTION("""COMPUTED_VALUE"""),382876849)</f>
        <v>382876849</v>
      </c>
      <c r="EA87" s="4"/>
      <c r="EB87" s="4"/>
    </row>
    <row r="88" spans="1:132" x14ac:dyDescent="0.2">
      <c r="A88" s="4">
        <f ca="1">IFERROR(__xludf.DUMMYFUNCTION("""COMPUTED_VALUE"""),88)</f>
        <v>88</v>
      </c>
      <c r="B88" s="4">
        <f ca="1">IFERROR(__xludf.DUMMYFUNCTION("""COMPUTED_VALUE"""),79)</f>
        <v>79</v>
      </c>
      <c r="C88" s="4" t="str">
        <f ca="1">IFERROR(__xludf.DUMMYFUNCTION("""COMPUTED_VALUE"""),"SDATOOL-38091")</f>
        <v>SDATOOL-38091</v>
      </c>
      <c r="D88" s="4" t="str">
        <f ca="1">IFERROR(__xludf.DUMMYFUNCTION("""COMPUTED_VALUE"""),"Higiénicos Plataforma Digital de Oficinas CAP")</f>
        <v>Higiénicos Plataforma Digital de Oficinas CAP</v>
      </c>
      <c r="E88"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8" s="4" t="str">
        <f ca="1">IFERROR(__xludf.DUMMYFUNCTION("""COMPUTED_VALUE"""),"Project")</f>
        <v>Project</v>
      </c>
      <c r="G88" s="4" t="str">
        <f ca="1">IFERROR(__xludf.DUMMYFUNCTION("""COMPUTED_VALUE"""),"Stock")</f>
        <v>Stock</v>
      </c>
      <c r="H88" s="4" t="str">
        <f ca="1">IFERROR(__xludf.DUMMYFUNCTION("""COMPUTED_VALUE"""),"2Q 2023")</f>
        <v>2Q 2023</v>
      </c>
      <c r="I88" s="131" t="str">
        <f ca="1">IFERROR(__xludf.DUMMYFUNCTION("""COMPUTED_VALUE"""),"jimy.catolico-bbva.com")</f>
        <v>jimy.catolico-bbva.com</v>
      </c>
      <c r="J88" s="131" t="str">
        <f ca="1">IFERROR(__xludf.DUMMYFUNCTION("""COMPUTED_VALUE"""),"cindytatiana.perilla-bbva.com")</f>
        <v>cindytatiana.perilla-bbva.com</v>
      </c>
      <c r="K88" s="131" t="str">
        <f ca="1">IFERROR(__xludf.DUMMYFUNCTION("""COMPUTED_VALUE"""),"rocio.garces-bbva.com")</f>
        <v>rocio.garces-bbva.com</v>
      </c>
      <c r="L88" s="4"/>
      <c r="M88" s="4"/>
      <c r="N88" s="4"/>
      <c r="O88" s="4" t="str">
        <f ca="1">IFERROR(__xludf.DUMMYFUNCTION("""COMPUTED_VALUE"""),"Waterfall")</f>
        <v>Waterfall</v>
      </c>
      <c r="P88" s="4" t="str">
        <f ca="1">IFERROR(__xludf.DUMMYFUNCTION("""COMPUTED_VALUE"""),"Tradicional")</f>
        <v>Tradicional</v>
      </c>
      <c r="Q88" s="4"/>
      <c r="R88" s="130" t="str">
        <f ca="1">IFERROR(__xludf.DUMMYFUNCTION("""COMPUTED_VALUE"""),"Execution Capabilities")</f>
        <v>Execution Capabilities</v>
      </c>
      <c r="S88" s="130" t="str">
        <f ca="1">IFERROR(__xludf.DUMMYFUNCTION("""COMPUTED_VALUE"""),"Strategic Review")</f>
        <v>Strategic Review</v>
      </c>
      <c r="T88" s="130" t="str">
        <f ca="1">IFERROR(__xludf.DUMMYFUNCTION("""COMPUTED_VALUE"""),"Otros")</f>
        <v>Otros</v>
      </c>
      <c r="U88" s="130" t="str">
        <f ca="1">IFERROR(__xludf.DUMMYFUNCTION("""COMPUTED_VALUE"""),"No Aplica")</f>
        <v>No Aplica</v>
      </c>
      <c r="V88" s="4" t="str">
        <f ca="1">IFERROR(__xludf.DUMMYFUNCTION("""COMPUTED_VALUE"""),"Descarga operativa")</f>
        <v>Descarga operativa</v>
      </c>
      <c r="W88" s="4">
        <f ca="1">IFERROR(__xludf.DUMMYFUNCTION("""COMPUTED_VALUE"""),1)</f>
        <v>1</v>
      </c>
      <c r="X88" s="4" t="str">
        <f ca="1">IFERROR(__xludf.DUMMYFUNCTION("""COMPUTED_VALUE"""),"04. Relationship Models")</f>
        <v>04. Relationship Models</v>
      </c>
      <c r="Y88" s="4" t="str">
        <f ca="1">IFERROR(__xludf.DUMMYFUNCTION("""COMPUTED_VALUE"""),"5.7.1 Keep the Bank Running")</f>
        <v>5.7.1 Keep the Bank Running</v>
      </c>
      <c r="Z88" s="132" t="str">
        <f ca="1">IFERROR(__xludf.DUMMYFUNCTION("""COMPUTED_VALUE"""),"625281")</f>
        <v>625281</v>
      </c>
      <c r="AA88" s="4" t="str">
        <f ca="1">IFERROR(__xludf.DUMMYFUNCTION("""COMPUTED_VALUE"""),"Conectividad desde  tablet - Gestor móvil")</f>
        <v>Conectividad desde  tablet - Gestor móvil</v>
      </c>
      <c r="AB88" s="4" t="str">
        <f ca="1">IFERROR(__xludf.DUMMYFUNCTION("""COMPUTED_VALUE"""),"Birindar un metodo de conexión seguro desde la tablet a las Fuerzas de venta para utilizar las herramientas de negocio fuera de la oficina, para asistir la venta.")</f>
        <v>Birindar un metodo de conexión seguro desde la tablet a las Fuerzas de venta para utilizar las herramientas de negocio fuera de la oficina, para asistir la venta.</v>
      </c>
      <c r="AC88" s="4" t="str">
        <f ca="1">IFERROR(__xludf.DUMMYFUNCTION("""COMPUTED_VALUE"""),"2Q 2023")</f>
        <v>2Q 2023</v>
      </c>
      <c r="AD88" s="4"/>
      <c r="AE88" s="4"/>
      <c r="AF88" s="4"/>
      <c r="AG88" s="4"/>
      <c r="AH88" s="4"/>
      <c r="AI88" s="4"/>
      <c r="AJ88" s="4"/>
      <c r="AK88" s="131" t="str">
        <f ca="1">IFERROR(__xludf.DUMMYFUNCTION("""COMPUTED_VALUE"""),"COLWSPREST-7788")</f>
        <v>COLWSPREST-7788</v>
      </c>
      <c r="AL88" s="4" t="str">
        <f ca="1">IFERROR(__xludf.DUMMYFUNCTION("""COMPUTED_VALUE"""),"New")</f>
        <v>New</v>
      </c>
      <c r="AM88" s="4"/>
      <c r="AN88" s="4" t="str">
        <f ca="1">IFERROR(__xludf.DUMMYFUNCTION("""COMPUTED_VALUE"""),"Entregable en desarrollo")</f>
        <v>Entregable en desarrollo</v>
      </c>
      <c r="AO88" s="4"/>
      <c r="AP88" s="4"/>
      <c r="AQ88" s="4"/>
      <c r="AR88" s="4" t="str">
        <f ca="1">IFERROR(__xludf.DUMMYFUNCTION("""COMPUTED_VALUE"""),"SDA aprobada en PPP Q1 2023")</f>
        <v>SDA aprobada en PPP Q1 2023</v>
      </c>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row>
    <row r="89" spans="1:132" x14ac:dyDescent="0.2">
      <c r="A89" s="4">
        <f ca="1">IFERROR(__xludf.DUMMYFUNCTION("""COMPUTED_VALUE"""),89)</f>
        <v>89</v>
      </c>
      <c r="B89" s="4">
        <f ca="1">IFERROR(__xludf.DUMMYFUNCTION("""COMPUTED_VALUE"""),80)</f>
        <v>80</v>
      </c>
      <c r="C89" s="4" t="str">
        <f ca="1">IFERROR(__xludf.DUMMYFUNCTION("""COMPUTED_VALUE"""),"SDATOOL-38091")</f>
        <v>SDATOOL-38091</v>
      </c>
      <c r="D89" s="4" t="str">
        <f ca="1">IFERROR(__xludf.DUMMYFUNCTION("""COMPUTED_VALUE"""),"Higiénicos Plataforma Digital de Oficinas CAP")</f>
        <v>Higiénicos Plataforma Digital de Oficinas CAP</v>
      </c>
      <c r="E89"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9" s="4" t="str">
        <f ca="1">IFERROR(__xludf.DUMMYFUNCTION("""COMPUTED_VALUE"""),"Project")</f>
        <v>Project</v>
      </c>
      <c r="G89" s="4" t="str">
        <f ca="1">IFERROR(__xludf.DUMMYFUNCTION("""COMPUTED_VALUE"""),"Stock")</f>
        <v>Stock</v>
      </c>
      <c r="H89" s="4" t="str">
        <f ca="1">IFERROR(__xludf.DUMMYFUNCTION("""COMPUTED_VALUE"""),"2Q 2023")</f>
        <v>2Q 2023</v>
      </c>
      <c r="I89" s="131" t="str">
        <f ca="1">IFERROR(__xludf.DUMMYFUNCTION("""COMPUTED_VALUE"""),"jimy.catolico-bbva.com")</f>
        <v>jimy.catolico-bbva.com</v>
      </c>
      <c r="J89" s="131" t="str">
        <f ca="1">IFERROR(__xludf.DUMMYFUNCTION("""COMPUTED_VALUE"""),"cindytatiana.perilla-bbva.com")</f>
        <v>cindytatiana.perilla-bbva.com</v>
      </c>
      <c r="K89" s="131" t="str">
        <f ca="1">IFERROR(__xludf.DUMMYFUNCTION("""COMPUTED_VALUE"""),"rocio.garces-bbva.com")</f>
        <v>rocio.garces-bbva.com</v>
      </c>
      <c r="L89" s="4"/>
      <c r="M89" s="4"/>
      <c r="N89" s="4"/>
      <c r="O89" s="4" t="str">
        <f ca="1">IFERROR(__xludf.DUMMYFUNCTION("""COMPUTED_VALUE"""),"Waterfall")</f>
        <v>Waterfall</v>
      </c>
      <c r="P89" s="4" t="str">
        <f ca="1">IFERROR(__xludf.DUMMYFUNCTION("""COMPUTED_VALUE"""),"Tradicional")</f>
        <v>Tradicional</v>
      </c>
      <c r="Q89" s="4"/>
      <c r="R89" s="130" t="str">
        <f ca="1">IFERROR(__xludf.DUMMYFUNCTION("""COMPUTED_VALUE"""),"Execution Capabilities")</f>
        <v>Execution Capabilities</v>
      </c>
      <c r="S89" s="130" t="str">
        <f ca="1">IFERROR(__xludf.DUMMYFUNCTION("""COMPUTED_VALUE"""),"Strategic Review")</f>
        <v>Strategic Review</v>
      </c>
      <c r="T89" s="130" t="str">
        <f ca="1">IFERROR(__xludf.DUMMYFUNCTION("""COMPUTED_VALUE"""),"Otros")</f>
        <v>Otros</v>
      </c>
      <c r="U89" s="130" t="str">
        <f ca="1">IFERROR(__xludf.DUMMYFUNCTION("""COMPUTED_VALUE"""),"No Aplica")</f>
        <v>No Aplica</v>
      </c>
      <c r="V89" s="4" t="str">
        <f ca="1">IFERROR(__xludf.DUMMYFUNCTION("""COMPUTED_VALUE"""),"Descarga operativa")</f>
        <v>Descarga operativa</v>
      </c>
      <c r="W89" s="4">
        <f ca="1">IFERROR(__xludf.DUMMYFUNCTION("""COMPUTED_VALUE"""),1)</f>
        <v>1</v>
      </c>
      <c r="X89" s="4" t="str">
        <f ca="1">IFERROR(__xludf.DUMMYFUNCTION("""COMPUTED_VALUE"""),"04. Relationship Models")</f>
        <v>04. Relationship Models</v>
      </c>
      <c r="Y89" s="4" t="str">
        <f ca="1">IFERROR(__xludf.DUMMYFUNCTION("""COMPUTED_VALUE"""),"5.7.1 Keep the Bank Running")</f>
        <v>5.7.1 Keep the Bank Running</v>
      </c>
      <c r="Z89" s="132" t="str">
        <f ca="1">IFERROR(__xludf.DUMMYFUNCTION("""COMPUTED_VALUE"""),"712246")</f>
        <v>712246</v>
      </c>
      <c r="AA89" s="4" t="str">
        <f ca="1">IFERROR(__xludf.DUMMYFUNCTION("""COMPUTED_VALUE"""),"Evolutivo navegación herramienta CAP")</f>
        <v>Evolutivo navegación herramienta CAP</v>
      </c>
      <c r="AB89" s="4" t="str">
        <f ca="1">IFERROR(__xludf.DUMMYFUNCTION("""COMPUTED_VALUE"""),"Se requiere mejorar la navegación y rapidez de la herramienta y algunas funcionalidades como Radicación venta cruzada, toma de ingresos y capacidad de descuento")</f>
        <v>Se requiere mejorar la navegación y rapidez de la herramienta y algunas funcionalidades como Radicación venta cruzada, toma de ingresos y capacidad de descuento</v>
      </c>
      <c r="AC89" s="4" t="str">
        <f ca="1">IFERROR(__xludf.DUMMYFUNCTION("""COMPUTED_VALUE"""),"2Q 2023")</f>
        <v>2Q 2023</v>
      </c>
      <c r="AD89" s="4"/>
      <c r="AE89" s="4"/>
      <c r="AF89" s="4"/>
      <c r="AG89" s="4"/>
      <c r="AH89" s="4"/>
      <c r="AI89" s="4"/>
      <c r="AJ89" s="4"/>
      <c r="AK89" s="131" t="str">
        <f ca="1">IFERROR(__xludf.DUMMYFUNCTION("""COMPUTED_VALUE"""),"COLWSCANAL-11532")</f>
        <v>COLWSCANAL-11532</v>
      </c>
      <c r="AL89" s="4" t="str">
        <f ca="1">IFERROR(__xludf.DUMMYFUNCTION("""COMPUTED_VALUE"""),"New")</f>
        <v>New</v>
      </c>
      <c r="AM89" s="4"/>
      <c r="AN89" s="4" t="str">
        <f ca="1">IFERROR(__xludf.DUMMYFUNCTION("""COMPUTED_VALUE"""),"Entregable en backlog")</f>
        <v>Entregable en backlog</v>
      </c>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row>
    <row r="90" spans="1:132" x14ac:dyDescent="0.2">
      <c r="A90" s="4">
        <f ca="1">IFERROR(__xludf.DUMMYFUNCTION("""COMPUTED_VALUE"""),90)</f>
        <v>90</v>
      </c>
      <c r="B90" s="4">
        <f ca="1">IFERROR(__xludf.DUMMYFUNCTION("""COMPUTED_VALUE"""),81)</f>
        <v>81</v>
      </c>
      <c r="C90" s="4" t="str">
        <f ca="1">IFERROR(__xludf.DUMMYFUNCTION("""COMPUTED_VALUE"""),"SDATOOL-38091")</f>
        <v>SDATOOL-38091</v>
      </c>
      <c r="D90" s="4" t="str">
        <f ca="1">IFERROR(__xludf.DUMMYFUNCTION("""COMPUTED_VALUE"""),"Higiénicos Plataforma Digital de Oficinas CAP")</f>
        <v>Higiénicos Plataforma Digital de Oficinas CAP</v>
      </c>
      <c r="E90"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90" s="4" t="str">
        <f ca="1">IFERROR(__xludf.DUMMYFUNCTION("""COMPUTED_VALUE"""),"Project")</f>
        <v>Project</v>
      </c>
      <c r="G90" s="4" t="str">
        <f ca="1">IFERROR(__xludf.DUMMYFUNCTION("""COMPUTED_VALUE"""),"Stock")</f>
        <v>Stock</v>
      </c>
      <c r="H90" s="4" t="str">
        <f ca="1">IFERROR(__xludf.DUMMYFUNCTION("""COMPUTED_VALUE"""),"2Q 2023")</f>
        <v>2Q 2023</v>
      </c>
      <c r="I90" s="131" t="str">
        <f ca="1">IFERROR(__xludf.DUMMYFUNCTION("""COMPUTED_VALUE"""),"jimy.catolico-bbva.com")</f>
        <v>jimy.catolico-bbva.com</v>
      </c>
      <c r="J90" s="131" t="str">
        <f ca="1">IFERROR(__xludf.DUMMYFUNCTION("""COMPUTED_VALUE"""),"cindytatiana.perilla-bbva.com")</f>
        <v>cindytatiana.perilla-bbva.com</v>
      </c>
      <c r="K90" s="131" t="str">
        <f ca="1">IFERROR(__xludf.DUMMYFUNCTION("""COMPUTED_VALUE"""),"rocio.garces-bbva.com")</f>
        <v>rocio.garces-bbva.com</v>
      </c>
      <c r="L90" s="4"/>
      <c r="M90" s="4"/>
      <c r="N90" s="4"/>
      <c r="O90" s="4" t="str">
        <f ca="1">IFERROR(__xludf.DUMMYFUNCTION("""COMPUTED_VALUE"""),"Waterfall")</f>
        <v>Waterfall</v>
      </c>
      <c r="P90" s="4" t="str">
        <f ca="1">IFERROR(__xludf.DUMMYFUNCTION("""COMPUTED_VALUE"""),"Tradicional")</f>
        <v>Tradicional</v>
      </c>
      <c r="Q90" s="4"/>
      <c r="R90" s="130" t="str">
        <f ca="1">IFERROR(__xludf.DUMMYFUNCTION("""COMPUTED_VALUE"""),"Execution Capabilities")</f>
        <v>Execution Capabilities</v>
      </c>
      <c r="S90" s="130" t="str">
        <f ca="1">IFERROR(__xludf.DUMMYFUNCTION("""COMPUTED_VALUE"""),"Strategic Review")</f>
        <v>Strategic Review</v>
      </c>
      <c r="T90" s="130" t="str">
        <f ca="1">IFERROR(__xludf.DUMMYFUNCTION("""COMPUTED_VALUE"""),"Otros")</f>
        <v>Otros</v>
      </c>
      <c r="U90" s="130" t="str">
        <f ca="1">IFERROR(__xludf.DUMMYFUNCTION("""COMPUTED_VALUE"""),"No Aplica")</f>
        <v>No Aplica</v>
      </c>
      <c r="V90" s="4" t="str">
        <f ca="1">IFERROR(__xludf.DUMMYFUNCTION("""COMPUTED_VALUE"""),"Descarga operativa")</f>
        <v>Descarga operativa</v>
      </c>
      <c r="W90" s="4">
        <f ca="1">IFERROR(__xludf.DUMMYFUNCTION("""COMPUTED_VALUE"""),1)</f>
        <v>1</v>
      </c>
      <c r="X90" s="4" t="str">
        <f ca="1">IFERROR(__xludf.DUMMYFUNCTION("""COMPUTED_VALUE"""),"04. Relationship Models")</f>
        <v>04. Relationship Models</v>
      </c>
      <c r="Y90" s="4" t="str">
        <f ca="1">IFERROR(__xludf.DUMMYFUNCTION("""COMPUTED_VALUE"""),"5.7.1 Keep the Bank Running")</f>
        <v>5.7.1 Keep the Bank Running</v>
      </c>
      <c r="Z90" s="132" t="str">
        <f ca="1">IFERROR(__xludf.DUMMYFUNCTION("""COMPUTED_VALUE"""),"713353")</f>
        <v>713353</v>
      </c>
      <c r="AA90" s="4" t="str">
        <f ca="1">IFERROR(__xludf.DUMMYFUNCTION("""COMPUTED_VALUE"""),"Generación de venta cruzada")</f>
        <v>Generación de venta cruzada</v>
      </c>
      <c r="AB90" s="4" t="str">
        <f ca="1">IFERROR(__xludf.DUMMYFUNCTION("""COMPUTED_VALUE"""),"Aumentar la colocación")</f>
        <v>Aumentar la colocación</v>
      </c>
      <c r="AC90" s="4" t="str">
        <f ca="1">IFERROR(__xludf.DUMMYFUNCTION("""COMPUTED_VALUE"""),"2Q 2023")</f>
        <v>2Q 2023</v>
      </c>
      <c r="AD90" s="4"/>
      <c r="AE90" s="4"/>
      <c r="AF90" s="4"/>
      <c r="AG90" s="4"/>
      <c r="AH90" s="4"/>
      <c r="AI90" s="4"/>
      <c r="AJ90" s="4"/>
      <c r="AK90" s="131" t="str">
        <f ca="1">IFERROR(__xludf.DUMMYFUNCTION("""COMPUTED_VALUE"""),"COLWSCANAL-13513")</f>
        <v>COLWSCANAL-13513</v>
      </c>
      <c r="AL90" s="4" t="str">
        <f ca="1">IFERROR(__xludf.DUMMYFUNCTION("""COMPUTED_VALUE"""),"New")</f>
        <v>New</v>
      </c>
      <c r="AM90" s="4"/>
      <c r="AN90" s="4" t="str">
        <f ca="1">IFERROR(__xludf.DUMMYFUNCTION("""COMPUTED_VALUE"""),"Entregable en backlog")</f>
        <v>Entregable en backlog</v>
      </c>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row>
    <row r="91" spans="1:132" x14ac:dyDescent="0.2">
      <c r="A91" s="4">
        <f ca="1">IFERROR(__xludf.DUMMYFUNCTION("""COMPUTED_VALUE"""),91)</f>
        <v>91</v>
      </c>
      <c r="B91" s="4">
        <f ca="1">IFERROR(__xludf.DUMMYFUNCTION("""COMPUTED_VALUE"""),82)</f>
        <v>82</v>
      </c>
      <c r="C91" s="4" t="str">
        <f ca="1">IFERROR(__xludf.DUMMYFUNCTION("""COMPUTED_VALUE"""),"SDATOOL-38091")</f>
        <v>SDATOOL-38091</v>
      </c>
      <c r="D91" s="4" t="str">
        <f ca="1">IFERROR(__xludf.DUMMYFUNCTION("""COMPUTED_VALUE"""),"Higiénicos Plataforma Digital de Oficinas CAP")</f>
        <v>Higiénicos Plataforma Digital de Oficinas CAP</v>
      </c>
      <c r="E91"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91" s="4" t="str">
        <f ca="1">IFERROR(__xludf.DUMMYFUNCTION("""COMPUTED_VALUE"""),"Project")</f>
        <v>Project</v>
      </c>
      <c r="G91" s="4" t="str">
        <f ca="1">IFERROR(__xludf.DUMMYFUNCTION("""COMPUTED_VALUE"""),"Stock")</f>
        <v>Stock</v>
      </c>
      <c r="H91" s="4" t="str">
        <f ca="1">IFERROR(__xludf.DUMMYFUNCTION("""COMPUTED_VALUE"""),"2Q 2023")</f>
        <v>2Q 2023</v>
      </c>
      <c r="I91" s="131" t="str">
        <f ca="1">IFERROR(__xludf.DUMMYFUNCTION("""COMPUTED_VALUE"""),"jimy.catolico-bbva.com")</f>
        <v>jimy.catolico-bbva.com</v>
      </c>
      <c r="J91" s="131" t="str">
        <f ca="1">IFERROR(__xludf.DUMMYFUNCTION("""COMPUTED_VALUE"""),"cindytatiana.perilla-bbva.com")</f>
        <v>cindytatiana.perilla-bbva.com</v>
      </c>
      <c r="K91" s="131" t="str">
        <f ca="1">IFERROR(__xludf.DUMMYFUNCTION("""COMPUTED_VALUE"""),"rocio.garces-bbva.com")</f>
        <v>rocio.garces-bbva.com</v>
      </c>
      <c r="L91" s="4"/>
      <c r="M91" s="4"/>
      <c r="N91" s="4"/>
      <c r="O91" s="4" t="str">
        <f ca="1">IFERROR(__xludf.DUMMYFUNCTION("""COMPUTED_VALUE"""),"Waterfall")</f>
        <v>Waterfall</v>
      </c>
      <c r="P91" s="4" t="str">
        <f ca="1">IFERROR(__xludf.DUMMYFUNCTION("""COMPUTED_VALUE"""),"Tradicional")</f>
        <v>Tradicional</v>
      </c>
      <c r="Q91" s="4"/>
      <c r="R91" s="130" t="str">
        <f ca="1">IFERROR(__xludf.DUMMYFUNCTION("""COMPUTED_VALUE"""),"Execution Capabilities")</f>
        <v>Execution Capabilities</v>
      </c>
      <c r="S91" s="130" t="str">
        <f ca="1">IFERROR(__xludf.DUMMYFUNCTION("""COMPUTED_VALUE"""),"Strategic Review")</f>
        <v>Strategic Review</v>
      </c>
      <c r="T91" s="130" t="str">
        <f ca="1">IFERROR(__xludf.DUMMYFUNCTION("""COMPUTED_VALUE"""),"Otros")</f>
        <v>Otros</v>
      </c>
      <c r="U91" s="130" t="str">
        <f ca="1">IFERROR(__xludf.DUMMYFUNCTION("""COMPUTED_VALUE"""),"No Aplica")</f>
        <v>No Aplica</v>
      </c>
      <c r="V91" s="4" t="str">
        <f ca="1">IFERROR(__xludf.DUMMYFUNCTION("""COMPUTED_VALUE"""),"Descarga operativa")</f>
        <v>Descarga operativa</v>
      </c>
      <c r="W91" s="4">
        <f ca="1">IFERROR(__xludf.DUMMYFUNCTION("""COMPUTED_VALUE"""),1)</f>
        <v>1</v>
      </c>
      <c r="X91" s="4" t="str">
        <f ca="1">IFERROR(__xludf.DUMMYFUNCTION("""COMPUTED_VALUE"""),"04. Relationship Models")</f>
        <v>04. Relationship Models</v>
      </c>
      <c r="Y91" s="4" t="str">
        <f ca="1">IFERROR(__xludf.DUMMYFUNCTION("""COMPUTED_VALUE"""),"5.7.1 Keep the Bank Running")</f>
        <v>5.7.1 Keep the Bank Running</v>
      </c>
      <c r="Z91" s="132" t="str">
        <f ca="1">IFERROR(__xludf.DUMMYFUNCTION("""COMPUTED_VALUE"""),"713349")</f>
        <v>713349</v>
      </c>
      <c r="AA91" s="4" t="str">
        <f ca="1">IFERROR(__xludf.DUMMYFUNCTION("""COMPUTED_VALUE"""),"Mejora integración vehículos consumer finance")</f>
        <v>Mejora integración vehículos consumer finance</v>
      </c>
      <c r="AB91" s="4" t="str">
        <f ca="1">IFERROR(__xludf.DUMMYFUNCTION("""COMPUTED_VALUE"""),"Mejora")</f>
        <v>Mejora</v>
      </c>
      <c r="AC91" s="4" t="str">
        <f ca="1">IFERROR(__xludf.DUMMYFUNCTION("""COMPUTED_VALUE"""),"3Q 2023")</f>
        <v>3Q 2023</v>
      </c>
      <c r="AD91" s="4"/>
      <c r="AE91" s="4"/>
      <c r="AF91" s="4"/>
      <c r="AG91" s="4"/>
      <c r="AH91" s="4"/>
      <c r="AI91" s="4"/>
      <c r="AJ91" s="4"/>
      <c r="AK91" s="131" t="str">
        <f ca="1">IFERROR(__xludf.DUMMYFUNCTION("""COMPUTED_VALUE"""),"COLWSCANAL-13514")</f>
        <v>COLWSCANAL-13514</v>
      </c>
      <c r="AL91" s="4" t="str">
        <f ca="1">IFERROR(__xludf.DUMMYFUNCTION("""COMPUTED_VALUE"""),"New")</f>
        <v>New</v>
      </c>
      <c r="AM91" s="4"/>
      <c r="AN91" s="4" t="str">
        <f ca="1">IFERROR(__xludf.DUMMYFUNCTION("""COMPUTED_VALUE"""),"Entregable en backlog")</f>
        <v>Entregable en backlog</v>
      </c>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row>
    <row r="92" spans="1:132" x14ac:dyDescent="0.2">
      <c r="A92" s="4">
        <f ca="1">IFERROR(__xludf.DUMMYFUNCTION("""COMPUTED_VALUE"""),92)</f>
        <v>92</v>
      </c>
      <c r="B92" s="4">
        <f ca="1">IFERROR(__xludf.DUMMYFUNCTION("""COMPUTED_VALUE"""),83)</f>
        <v>83</v>
      </c>
      <c r="C92" s="4" t="str">
        <f ca="1">IFERROR(__xludf.DUMMYFUNCTION("""COMPUTED_VALUE"""),"SDATOOL-31326")</f>
        <v>SDATOOL-31326</v>
      </c>
      <c r="D92" s="4" t="str">
        <f ca="1">IFERROR(__xludf.DUMMYFUNCTION("""COMPUTED_VALUE"""),"Legalización Hipotecario")</f>
        <v>Legalización Hipotecario</v>
      </c>
      <c r="E92"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2" s="4" t="str">
        <f ca="1">IFERROR(__xludf.DUMMYFUNCTION("""COMPUTED_VALUE"""),"Project")</f>
        <v>Project</v>
      </c>
      <c r="G92" s="4" t="str">
        <f ca="1">IFERROR(__xludf.DUMMYFUNCTION("""COMPUTED_VALUE"""),"Stock")</f>
        <v>Stock</v>
      </c>
      <c r="H92" s="4" t="str">
        <f ca="1">IFERROR(__xludf.DUMMYFUNCTION("""COMPUTED_VALUE"""),"2Q 2023")</f>
        <v>2Q 2023</v>
      </c>
      <c r="I92" s="131" t="str">
        <f ca="1">IFERROR(__xludf.DUMMYFUNCTION("""COMPUTED_VALUE"""),"jimy.catolico-bbva.com")</f>
        <v>jimy.catolico-bbva.com</v>
      </c>
      <c r="J92" s="131" t="str">
        <f ca="1">IFERROR(__xludf.DUMMYFUNCTION("""COMPUTED_VALUE"""),"wilson.vera-bbva.com")</f>
        <v>wilson.vera-bbva.com</v>
      </c>
      <c r="K92" s="131" t="str">
        <f ca="1">IFERROR(__xludf.DUMMYFUNCTION("""COMPUTED_VALUE"""),"luz.rodriguez-bbva.com")</f>
        <v>luz.rodriguez-bbva.com</v>
      </c>
      <c r="L92" s="130">
        <f ca="1">IFERROR(__xludf.DUMMYFUNCTION("""COMPUTED_VALUE"""),1)</f>
        <v>1</v>
      </c>
      <c r="M92" s="130">
        <f ca="1">IFERROR(__xludf.DUMMYFUNCTION("""COMPUTED_VALUE"""),1.65)</f>
        <v>1.65</v>
      </c>
      <c r="N92" s="130">
        <f ca="1">IFERROR(__xludf.DUMMYFUNCTION("""COMPUTED_VALUE"""),2)</f>
        <v>2</v>
      </c>
      <c r="O92" s="4" t="str">
        <f ca="1">IFERROR(__xludf.DUMMYFUNCTION("""COMPUTED_VALUE"""),"Waterfall")</f>
        <v>Waterfall</v>
      </c>
      <c r="P92" s="4" t="str">
        <f ca="1">IFERROR(__xludf.DUMMYFUNCTION("""COMPUTED_VALUE"""),"Tradicional")</f>
        <v>Tradicional</v>
      </c>
      <c r="Q92" s="4"/>
      <c r="R92" s="130" t="str">
        <f ca="1">IFERROR(__xludf.DUMMYFUNCTION("""COMPUTED_VALUE"""),"Execution Capabilities")</f>
        <v>Execution Capabilities</v>
      </c>
      <c r="S92" s="130" t="str">
        <f ca="1">IFERROR(__xludf.DUMMYFUNCTION("""COMPUTED_VALUE"""),"Strategic Review")</f>
        <v>Strategic Review</v>
      </c>
      <c r="T92" s="130" t="str">
        <f ca="1">IFERROR(__xludf.DUMMYFUNCTION("""COMPUTED_VALUE"""),"1. Generación de Ingresos")</f>
        <v>1. Generación de Ingresos</v>
      </c>
      <c r="U92" s="130" t="str">
        <f ca="1">IFERROR(__xludf.DUMMYFUNCTION("""COMPUTED_VALUE"""),"1.1. Proyectos de Hipotecario")</f>
        <v>1.1. Proyectos de Hipotecario</v>
      </c>
      <c r="V92" s="4" t="str">
        <f ca="1">IFERROR(__xludf.DUMMYFUNCTION("""COMPUTED_VALUE"""),"Descarga operativa")</f>
        <v>Descarga operativa</v>
      </c>
      <c r="W92" s="4">
        <f ca="1">IFERROR(__xludf.DUMMYFUNCTION("""COMPUTED_VALUE"""),1)</f>
        <v>1</v>
      </c>
      <c r="X92" s="4" t="str">
        <f ca="1">IFERROR(__xludf.DUMMYFUNCTION("""COMPUTED_VALUE"""),"04. Relationship Models")</f>
        <v>04. Relationship Models</v>
      </c>
      <c r="Y92" s="4" t="str">
        <f ca="1">IFERROR(__xludf.DUMMYFUNCTION("""COMPUTED_VALUE"""),"5.7.1 Keep the Bank Running")</f>
        <v>5.7.1 Keep the Bank Running</v>
      </c>
      <c r="Z92" s="132" t="str">
        <f ca="1">IFERROR(__xludf.DUMMYFUNCTION("""COMPUTED_VALUE"""),"48653")</f>
        <v>48653</v>
      </c>
      <c r="AA92" s="4" t="str">
        <f ca="1">IFERROR(__xludf.DUMMYFUNCTION("""COMPUTED_VALUE"""),"Circuito de Radicación  (3 actividades)")</f>
        <v>Circuito de Radicación  (3 actividades)</v>
      </c>
      <c r="AB92" s="4" t="str">
        <f ca="1">IFERROR(__xludf.DUMMYFUNCTION("""COMPUTED_VALUE"""),"Circuito de Radicación
 (3 actividades)")</f>
        <v>Circuito de Radicación
 (3 actividades)</v>
      </c>
      <c r="AC92" s="4" t="str">
        <f ca="1">IFERROR(__xludf.DUMMYFUNCTION("""COMPUTED_VALUE"""),"4Q 2021")</f>
        <v>4Q 2021</v>
      </c>
      <c r="AD92" s="4"/>
      <c r="AE92" s="4"/>
      <c r="AF92" s="4"/>
      <c r="AG92" s="4"/>
      <c r="AH92" s="4"/>
      <c r="AI92" s="4"/>
      <c r="AJ92" s="4"/>
      <c r="AK92" s="4" t="str">
        <f ca="1">IFERROR(__xludf.DUMMYFUNCTION("""COMPUTED_VALUE"""),"Sin asignar")</f>
        <v>Sin asignar</v>
      </c>
      <c r="AL92" s="4" t="str">
        <f ca="1">IFERROR(__xludf.DUMMYFUNCTION("""COMPUTED_VALUE"""),"Sin asignar")</f>
        <v>Sin asignar</v>
      </c>
      <c r="AM92" s="4" t="str">
        <f ca="1">IFERROR(__xludf.DUMMYFUNCTION("""COMPUTED_VALUE"""),"Masificado , pendientes ajustes para cierre de Site  al 100%")</f>
        <v>Masificado , pendientes ajustes para cierre de Site  al 100%</v>
      </c>
      <c r="AN92" s="4" t="str">
        <f ca="1">IFERROR(__xludf.DUMMYFUNCTION("""COMPUTED_VALUE"""),"Finalizado")</f>
        <v>Finalizado</v>
      </c>
      <c r="AO92" s="4" t="str">
        <f ca="1">IFERROR(__xludf.DUMMYFUNCTION("""COMPUTED_VALUE"""),"Vivienda")</f>
        <v>Vivienda</v>
      </c>
      <c r="AP92" s="4"/>
      <c r="AQ92" s="4"/>
      <c r="AR92" s="4" t="str">
        <f ca="1">IFERROR(__xludf.DUMMYFUNCTION("""COMPUTED_VALUE"""),"SDA aprobada en PPP Q1 2023")</f>
        <v>SDA aprobada en PPP Q1 2023</v>
      </c>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133">
        <f ca="1">IFERROR(__xludf.DUMMYFUNCTION("""COMPUTED_VALUE"""),0)</f>
        <v>0</v>
      </c>
      <c r="DV92" s="133">
        <f ca="1">IFERROR(__xludf.DUMMYFUNCTION("""COMPUTED_VALUE"""),286366983)</f>
        <v>286366983</v>
      </c>
      <c r="DW92" s="133">
        <f ca="1">IFERROR(__xludf.DUMMYFUNCTION("""COMPUTED_VALUE"""),864387882)</f>
        <v>864387882</v>
      </c>
      <c r="DX92" s="133">
        <f ca="1">IFERROR(__xludf.DUMMYFUNCTION("""COMPUTED_VALUE"""),665702014)</f>
        <v>665702014</v>
      </c>
      <c r="DY92" s="133">
        <f ca="1">IFERROR(__xludf.DUMMYFUNCTION("""COMPUTED_VALUE"""),0)</f>
        <v>0</v>
      </c>
      <c r="DZ92" s="133">
        <f ca="1">IFERROR(__xludf.DUMMYFUNCTION("""COMPUTED_VALUE"""),1816456879)</f>
        <v>1816456879</v>
      </c>
      <c r="EA92" s="4"/>
      <c r="EB92" s="4"/>
    </row>
    <row r="93" spans="1:132" x14ac:dyDescent="0.2">
      <c r="A93" s="4">
        <f ca="1">IFERROR(__xludf.DUMMYFUNCTION("""COMPUTED_VALUE"""),93)</f>
        <v>93</v>
      </c>
      <c r="B93" s="4">
        <f ca="1">IFERROR(__xludf.DUMMYFUNCTION("""COMPUTED_VALUE"""),84)</f>
        <v>84</v>
      </c>
      <c r="C93" s="4" t="str">
        <f ca="1">IFERROR(__xludf.DUMMYFUNCTION("""COMPUTED_VALUE"""),"SDATOOL-31326")</f>
        <v>SDATOOL-31326</v>
      </c>
      <c r="D93" s="4" t="str">
        <f ca="1">IFERROR(__xludf.DUMMYFUNCTION("""COMPUTED_VALUE"""),"Legalización Hipotecario")</f>
        <v>Legalización Hipotecario</v>
      </c>
      <c r="E93"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3" s="4" t="str">
        <f ca="1">IFERROR(__xludf.DUMMYFUNCTION("""COMPUTED_VALUE"""),"Project")</f>
        <v>Project</v>
      </c>
      <c r="G93" s="4" t="str">
        <f ca="1">IFERROR(__xludf.DUMMYFUNCTION("""COMPUTED_VALUE"""),"Stock")</f>
        <v>Stock</v>
      </c>
      <c r="H93" s="4" t="str">
        <f ca="1">IFERROR(__xludf.DUMMYFUNCTION("""COMPUTED_VALUE"""),"2Q 2023")</f>
        <v>2Q 2023</v>
      </c>
      <c r="I93" s="131" t="str">
        <f ca="1">IFERROR(__xludf.DUMMYFUNCTION("""COMPUTED_VALUE"""),"jimy.catolico-bbva.com")</f>
        <v>jimy.catolico-bbva.com</v>
      </c>
      <c r="J93" s="131" t="str">
        <f ca="1">IFERROR(__xludf.DUMMYFUNCTION("""COMPUTED_VALUE"""),"wilson.vera-bbva.com")</f>
        <v>wilson.vera-bbva.com</v>
      </c>
      <c r="K93" s="131" t="str">
        <f ca="1">IFERROR(__xludf.DUMMYFUNCTION("""COMPUTED_VALUE"""),"luz.rodriguez-bbva.com")</f>
        <v>luz.rodriguez-bbva.com</v>
      </c>
      <c r="L93" s="4"/>
      <c r="M93" s="4"/>
      <c r="N93" s="4"/>
      <c r="O93" s="4" t="str">
        <f ca="1">IFERROR(__xludf.DUMMYFUNCTION("""COMPUTED_VALUE"""),"Waterfall")</f>
        <v>Waterfall</v>
      </c>
      <c r="P93" s="4" t="str">
        <f ca="1">IFERROR(__xludf.DUMMYFUNCTION("""COMPUTED_VALUE"""),"Tradicional")</f>
        <v>Tradicional</v>
      </c>
      <c r="Q93" s="4"/>
      <c r="R93" s="130" t="str">
        <f ca="1">IFERROR(__xludf.DUMMYFUNCTION("""COMPUTED_VALUE"""),"Execution Capabilities")</f>
        <v>Execution Capabilities</v>
      </c>
      <c r="S93" s="130" t="str">
        <f ca="1">IFERROR(__xludf.DUMMYFUNCTION("""COMPUTED_VALUE"""),"Strategic Review")</f>
        <v>Strategic Review</v>
      </c>
      <c r="T93" s="130" t="str">
        <f ca="1">IFERROR(__xludf.DUMMYFUNCTION("""COMPUTED_VALUE"""),"1. Generación de Ingresos")</f>
        <v>1. Generación de Ingresos</v>
      </c>
      <c r="U93" s="130" t="str">
        <f ca="1">IFERROR(__xludf.DUMMYFUNCTION("""COMPUTED_VALUE"""),"1.1. Proyectos de Hipotecario")</f>
        <v>1.1. Proyectos de Hipotecario</v>
      </c>
      <c r="V93" s="4" t="str">
        <f ca="1">IFERROR(__xludf.DUMMYFUNCTION("""COMPUTED_VALUE"""),"Descarga operativa")</f>
        <v>Descarga operativa</v>
      </c>
      <c r="W93" s="4">
        <f ca="1">IFERROR(__xludf.DUMMYFUNCTION("""COMPUTED_VALUE"""),1)</f>
        <v>1</v>
      </c>
      <c r="X93" s="4" t="str">
        <f ca="1">IFERROR(__xludf.DUMMYFUNCTION("""COMPUTED_VALUE"""),"04. Relationship Models")</f>
        <v>04. Relationship Models</v>
      </c>
      <c r="Y93" s="4" t="str">
        <f ca="1">IFERROR(__xludf.DUMMYFUNCTION("""COMPUTED_VALUE"""),"5.7.1 Keep the Bank Running")</f>
        <v>5.7.1 Keep the Bank Running</v>
      </c>
      <c r="Z93" s="132" t="str">
        <f ca="1">IFERROR(__xludf.DUMMYFUNCTION("""COMPUTED_VALUE"""),"489600")</f>
        <v>489600</v>
      </c>
      <c r="AA93" s="4" t="str">
        <f ca="1">IFERROR(__xludf.DUMMYFUNCTION("""COMPUTED_VALUE"""),"Estudio de títulos, notarías y ajuste seguros gestión de subprocesos")</f>
        <v>Estudio de títulos, notarías y ajuste seguros gestión de subprocesos</v>
      </c>
      <c r="AB93" s="4" t="str">
        <f ca="1">IFERROR(__xludf.DUMMYFUNCTION("""COMPUTED_VALUE"""),"Modificación al modulo actual para engranar con los nuevos módulos")</f>
        <v>Modificación al modulo actual para engranar con los nuevos módulos</v>
      </c>
      <c r="AC93" s="4" t="str">
        <f ca="1">IFERROR(__xludf.DUMMYFUNCTION("""COMPUTED_VALUE"""),"3Q 2022")</f>
        <v>3Q 2022</v>
      </c>
      <c r="AD93" s="128">
        <f ca="1">IFERROR(__xludf.DUMMYFUNCTION("""COMPUTED_VALUE"""),44834)</f>
        <v>44834</v>
      </c>
      <c r="AE93" s="128">
        <f ca="1">IFERROR(__xludf.DUMMYFUNCTION("""COMPUTED_VALUE"""),44873)</f>
        <v>44873</v>
      </c>
      <c r="AF93" s="128">
        <f ca="1">IFERROR(__xludf.DUMMYFUNCTION("""COMPUTED_VALUE"""),44880)</f>
        <v>44880</v>
      </c>
      <c r="AG93" s="128">
        <f ca="1">IFERROR(__xludf.DUMMYFUNCTION("""COMPUTED_VALUE"""),44655)</f>
        <v>44655</v>
      </c>
      <c r="AH93" s="128">
        <f ca="1">IFERROR(__xludf.DUMMYFUNCTION("""COMPUTED_VALUE"""),44678)</f>
        <v>44678</v>
      </c>
      <c r="AI93" s="128">
        <f ca="1">IFERROR(__xludf.DUMMYFUNCTION("""COMPUTED_VALUE"""),44712)</f>
        <v>44712</v>
      </c>
      <c r="AJ93" s="128">
        <f ca="1">IFERROR(__xludf.DUMMYFUNCTION("""COMPUTED_VALUE"""),44793)</f>
        <v>44793</v>
      </c>
      <c r="AK93" s="131" t="str">
        <f ca="1">IFERROR(__xludf.DUMMYFUNCTION("""COMPUTED_VALUE"""),"COLWSCANAL-2430")</f>
        <v>COLWSCANAL-2430</v>
      </c>
      <c r="AL93" s="4" t="str">
        <f ca="1">IFERROR(__xludf.DUMMYFUNCTION("""COMPUTED_VALUE"""),"Deployed")</f>
        <v>Deployed</v>
      </c>
      <c r="AM93" s="4" t="str">
        <f ca="1">IFERROR(__xludf.DUMMYFUNCTION("""COMPUTED_VALUE"""),"21 jun de 2022 - se prevee paso a producción en este semana. En coordinación con el sponsor, la version será disponibilizada  el dia 5 de Julio. Pendiente que los RCAS finalicen su challenge  y  se otorgue  el vobo , en lo que corresponde al comite de rie"&amp;"sgo operacional.
Entregable sin salida de mensajeria por definiciones con aréa juridíca.
En la actualidad en elaboración de guías de formación y capacitación a los  usuarios además de gestiones de conectividad .
")</f>
        <v xml:space="preserve">21 jun de 2022 - se prevee paso a producción en este semana. En coordinación con el sponsor, la version será disponibilizada  el dia 5 de Julio. Pendiente que los RCAS finalicen su challenge  y  se otorgue  el vobo , en lo que corresponde al comite de riesgo operacional.
Entregable sin salida de mensajeria por definiciones con aréa juridíca.
En la actualidad en elaboración de guías de formación y capacitación a los  usuarios además de gestiones de conectividad .
</v>
      </c>
      <c r="AN93" s="4" t="str">
        <f ca="1">IFERROR(__xludf.DUMMYFUNCTION("""COMPUTED_VALUE"""),"Finalizado")</f>
        <v>Finalizado</v>
      </c>
      <c r="AO93" s="4" t="str">
        <f ca="1">IFERROR(__xludf.DUMMYFUNCTION("""COMPUTED_VALUE"""),"Vivienda")</f>
        <v>Vivienda</v>
      </c>
      <c r="AP93" s="4"/>
      <c r="AQ93" s="4"/>
      <c r="AR93" s="4" t="str">
        <f ca="1">IFERROR(__xludf.DUMMYFUNCTION("""COMPUTED_VALUE"""),"SDA aprobada en PPP Q1 2023")</f>
        <v>SDA aprobada en PPP Q1 2023</v>
      </c>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row>
    <row r="94" spans="1:132" x14ac:dyDescent="0.2">
      <c r="A94" s="4">
        <f ca="1">IFERROR(__xludf.DUMMYFUNCTION("""COMPUTED_VALUE"""),94)</f>
        <v>94</v>
      </c>
      <c r="B94" s="4">
        <f ca="1">IFERROR(__xludf.DUMMYFUNCTION("""COMPUTED_VALUE"""),85)</f>
        <v>85</v>
      </c>
      <c r="C94" s="4" t="str">
        <f ca="1">IFERROR(__xludf.DUMMYFUNCTION("""COMPUTED_VALUE"""),"SDATOOL-31326")</f>
        <v>SDATOOL-31326</v>
      </c>
      <c r="D94" s="4" t="str">
        <f ca="1">IFERROR(__xludf.DUMMYFUNCTION("""COMPUTED_VALUE"""),"Legalización Hipotecario")</f>
        <v>Legalización Hipotecario</v>
      </c>
      <c r="E94"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4" s="4" t="str">
        <f ca="1">IFERROR(__xludf.DUMMYFUNCTION("""COMPUTED_VALUE"""),"Project")</f>
        <v>Project</v>
      </c>
      <c r="G94" s="4" t="str">
        <f ca="1">IFERROR(__xludf.DUMMYFUNCTION("""COMPUTED_VALUE"""),"Stock")</f>
        <v>Stock</v>
      </c>
      <c r="H94" s="4" t="str">
        <f ca="1">IFERROR(__xludf.DUMMYFUNCTION("""COMPUTED_VALUE"""),"2Q 2023")</f>
        <v>2Q 2023</v>
      </c>
      <c r="I94" s="131" t="str">
        <f ca="1">IFERROR(__xludf.DUMMYFUNCTION("""COMPUTED_VALUE"""),"jimy.catolico-bbva.com")</f>
        <v>jimy.catolico-bbva.com</v>
      </c>
      <c r="J94" s="131" t="str">
        <f ca="1">IFERROR(__xludf.DUMMYFUNCTION("""COMPUTED_VALUE"""),"wilson.vera-bbva.com")</f>
        <v>wilson.vera-bbva.com</v>
      </c>
      <c r="K94" s="131" t="str">
        <f ca="1">IFERROR(__xludf.DUMMYFUNCTION("""COMPUTED_VALUE"""),"luz.rodriguez-bbva.com")</f>
        <v>luz.rodriguez-bbva.com</v>
      </c>
      <c r="L94" s="4"/>
      <c r="M94" s="4"/>
      <c r="N94" s="4"/>
      <c r="O94" s="4" t="str">
        <f ca="1">IFERROR(__xludf.DUMMYFUNCTION("""COMPUTED_VALUE"""),"Waterfall")</f>
        <v>Waterfall</v>
      </c>
      <c r="P94" s="4" t="str">
        <f ca="1">IFERROR(__xludf.DUMMYFUNCTION("""COMPUTED_VALUE"""),"Tradicional")</f>
        <v>Tradicional</v>
      </c>
      <c r="Q94" s="4"/>
      <c r="R94" s="130" t="str">
        <f ca="1">IFERROR(__xludf.DUMMYFUNCTION("""COMPUTED_VALUE"""),"Execution Capabilities")</f>
        <v>Execution Capabilities</v>
      </c>
      <c r="S94" s="130" t="str">
        <f ca="1">IFERROR(__xludf.DUMMYFUNCTION("""COMPUTED_VALUE"""),"Strategic Review")</f>
        <v>Strategic Review</v>
      </c>
      <c r="T94" s="130" t="str">
        <f ca="1">IFERROR(__xludf.DUMMYFUNCTION("""COMPUTED_VALUE"""),"1. Generación de Ingresos")</f>
        <v>1. Generación de Ingresos</v>
      </c>
      <c r="U94" s="130" t="str">
        <f ca="1">IFERROR(__xludf.DUMMYFUNCTION("""COMPUTED_VALUE"""),"1.1. Proyectos de Hipotecario")</f>
        <v>1.1. Proyectos de Hipotecario</v>
      </c>
      <c r="V94" s="4" t="str">
        <f ca="1">IFERROR(__xludf.DUMMYFUNCTION("""COMPUTED_VALUE"""),"Descarga operativa")</f>
        <v>Descarga operativa</v>
      </c>
      <c r="W94" s="4">
        <f ca="1">IFERROR(__xludf.DUMMYFUNCTION("""COMPUTED_VALUE"""),1)</f>
        <v>1</v>
      </c>
      <c r="X94" s="4" t="str">
        <f ca="1">IFERROR(__xludf.DUMMYFUNCTION("""COMPUTED_VALUE"""),"04. Relationship Models")</f>
        <v>04. Relationship Models</v>
      </c>
      <c r="Y94" s="4" t="str">
        <f ca="1">IFERROR(__xludf.DUMMYFUNCTION("""COMPUTED_VALUE"""),"5.7.1 Keep the Bank Running")</f>
        <v>5.7.1 Keep the Bank Running</v>
      </c>
      <c r="Z94" s="132" t="str">
        <f ca="1">IFERROR(__xludf.DUMMYFUNCTION("""COMPUTED_VALUE"""),"213350")</f>
        <v>213350</v>
      </c>
      <c r="AA94" s="4" t="str">
        <f ca="1">IFERROR(__xludf.DUMMYFUNCTION("""COMPUTED_VALUE"""),"Subproceso de Avalúos  ( 7 Actividades)")</f>
        <v>Subproceso de Avalúos  ( 7 Actividades)</v>
      </c>
      <c r="AB94" s="4" t="str">
        <f ca="1">IFERROR(__xludf.DUMMYFUNCTION("""COMPUTED_VALUE"""),"Subproceso de Avalúos
 ( 7 Actividades)")</f>
        <v>Subproceso de Avalúos
 ( 7 Actividades)</v>
      </c>
      <c r="AC94" s="4" t="str">
        <f ca="1">IFERROR(__xludf.DUMMYFUNCTION("""COMPUTED_VALUE"""),"4Q 2022")</f>
        <v>4Q 2022</v>
      </c>
      <c r="AD94" s="128">
        <f ca="1">IFERROR(__xludf.DUMMYFUNCTION("""COMPUTED_VALUE"""),44593)</f>
        <v>44593</v>
      </c>
      <c r="AE94" s="128">
        <f ca="1">IFERROR(__xludf.DUMMYFUNCTION("""COMPUTED_VALUE"""),44642)</f>
        <v>44642</v>
      </c>
      <c r="AF94" s="128">
        <f ca="1">IFERROR(__xludf.DUMMYFUNCTION("""COMPUTED_VALUE"""),44643)</f>
        <v>44643</v>
      </c>
      <c r="AG94" s="128">
        <f ca="1">IFERROR(__xludf.DUMMYFUNCTION("""COMPUTED_VALUE"""),44803)</f>
        <v>44803</v>
      </c>
      <c r="AH94" s="128">
        <f ca="1">IFERROR(__xludf.DUMMYFUNCTION("""COMPUTED_VALUE"""),44805)</f>
        <v>44805</v>
      </c>
      <c r="AI94" s="128">
        <f ca="1">IFERROR(__xludf.DUMMYFUNCTION("""COMPUTED_VALUE"""),44834)</f>
        <v>44834</v>
      </c>
      <c r="AJ94" s="128">
        <f ca="1">IFERROR(__xludf.DUMMYFUNCTION("""COMPUTED_VALUE"""),44842)</f>
        <v>44842</v>
      </c>
      <c r="AK94" s="131" t="str">
        <f ca="1">IFERROR(__xludf.DUMMYFUNCTION("""COMPUTED_VALUE"""),"COLWSCANAL-2403")</f>
        <v>COLWSCANAL-2403</v>
      </c>
      <c r="AL94" s="4" t="str">
        <f ca="1">IFERROR(__xludf.DUMMYFUNCTION("""COMPUTED_VALUE"""),"Deployed")</f>
        <v>Deployed</v>
      </c>
      <c r="AM94" s="4" t="str">
        <f ca="1">IFERROR(__xludf.DUMMYFUNCTION("""COMPUTED_VALUE"""),"21 Jun 2022- Se prevee inicio de pruebas en ambiente desarrollo en esta semana- Versión sin Nhia 
Pendiente tema de notificaciones.")</f>
        <v>21 Jun 2022- Se prevee inicio de pruebas en ambiente desarrollo en esta semana- Versión sin Nhia 
Pendiente tema de notificaciones.</v>
      </c>
      <c r="AN94" s="4" t="str">
        <f ca="1">IFERROR(__xludf.DUMMYFUNCTION("""COMPUTED_VALUE"""),"Finalizado")</f>
        <v>Finalizado</v>
      </c>
      <c r="AO94" s="4" t="str">
        <f ca="1">IFERROR(__xludf.DUMMYFUNCTION("""COMPUTED_VALUE"""),"Vivienda")</f>
        <v>Vivienda</v>
      </c>
      <c r="AP94" s="4"/>
      <c r="AQ94" s="4"/>
      <c r="AR94" s="4" t="str">
        <f ca="1">IFERROR(__xludf.DUMMYFUNCTION("""COMPUTED_VALUE"""),"SDA aprobada en PPP Q1 2023")</f>
        <v>SDA aprobada en PPP Q1 2023</v>
      </c>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row>
    <row r="95" spans="1:132" x14ac:dyDescent="0.2">
      <c r="A95" s="4">
        <f ca="1">IFERROR(__xludf.DUMMYFUNCTION("""COMPUTED_VALUE"""),95)</f>
        <v>95</v>
      </c>
      <c r="B95" s="4">
        <f ca="1">IFERROR(__xludf.DUMMYFUNCTION("""COMPUTED_VALUE"""),86)</f>
        <v>86</v>
      </c>
      <c r="C95" s="4" t="str">
        <f ca="1">IFERROR(__xludf.DUMMYFUNCTION("""COMPUTED_VALUE"""),"SDATOOL-31326")</f>
        <v>SDATOOL-31326</v>
      </c>
      <c r="D95" s="4" t="str">
        <f ca="1">IFERROR(__xludf.DUMMYFUNCTION("""COMPUTED_VALUE"""),"Legalización Hipotecario")</f>
        <v>Legalización Hipotecario</v>
      </c>
      <c r="E95"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5" s="4" t="str">
        <f ca="1">IFERROR(__xludf.DUMMYFUNCTION("""COMPUTED_VALUE"""),"Project")</f>
        <v>Project</v>
      </c>
      <c r="G95" s="4" t="str">
        <f ca="1">IFERROR(__xludf.DUMMYFUNCTION("""COMPUTED_VALUE"""),"Stock")</f>
        <v>Stock</v>
      </c>
      <c r="H95" s="4" t="str">
        <f ca="1">IFERROR(__xludf.DUMMYFUNCTION("""COMPUTED_VALUE"""),"2Q 2023")</f>
        <v>2Q 2023</v>
      </c>
      <c r="I95" s="131" t="str">
        <f ca="1">IFERROR(__xludf.DUMMYFUNCTION("""COMPUTED_VALUE"""),"jimy.catolico-bbva.com")</f>
        <v>jimy.catolico-bbva.com</v>
      </c>
      <c r="J95" s="131" t="str">
        <f ca="1">IFERROR(__xludf.DUMMYFUNCTION("""COMPUTED_VALUE"""),"wilson.vera-bbva.com")</f>
        <v>wilson.vera-bbva.com</v>
      </c>
      <c r="K95" s="131" t="str">
        <f ca="1">IFERROR(__xludf.DUMMYFUNCTION("""COMPUTED_VALUE"""),"luz.rodriguez-bbva.com")</f>
        <v>luz.rodriguez-bbva.com</v>
      </c>
      <c r="L95" s="4"/>
      <c r="M95" s="4"/>
      <c r="N95" s="4"/>
      <c r="O95" s="4" t="str">
        <f ca="1">IFERROR(__xludf.DUMMYFUNCTION("""COMPUTED_VALUE"""),"Waterfall")</f>
        <v>Waterfall</v>
      </c>
      <c r="P95" s="4" t="str">
        <f ca="1">IFERROR(__xludf.DUMMYFUNCTION("""COMPUTED_VALUE"""),"Tradicional")</f>
        <v>Tradicional</v>
      </c>
      <c r="Q95" s="4"/>
      <c r="R95" s="130" t="str">
        <f ca="1">IFERROR(__xludf.DUMMYFUNCTION("""COMPUTED_VALUE"""),"Execution Capabilities")</f>
        <v>Execution Capabilities</v>
      </c>
      <c r="S95" s="130" t="str">
        <f ca="1">IFERROR(__xludf.DUMMYFUNCTION("""COMPUTED_VALUE"""),"Strategic Review")</f>
        <v>Strategic Review</v>
      </c>
      <c r="T95" s="130" t="str">
        <f ca="1">IFERROR(__xludf.DUMMYFUNCTION("""COMPUTED_VALUE"""),"1. Generación de Ingresos")</f>
        <v>1. Generación de Ingresos</v>
      </c>
      <c r="U95" s="130" t="str">
        <f ca="1">IFERROR(__xludf.DUMMYFUNCTION("""COMPUTED_VALUE"""),"1.1. Proyectos de Hipotecario")</f>
        <v>1.1. Proyectos de Hipotecario</v>
      </c>
      <c r="V95" s="4" t="str">
        <f ca="1">IFERROR(__xludf.DUMMYFUNCTION("""COMPUTED_VALUE"""),"Descarga operativa")</f>
        <v>Descarga operativa</v>
      </c>
      <c r="W95" s="4">
        <f ca="1">IFERROR(__xludf.DUMMYFUNCTION("""COMPUTED_VALUE"""),1)</f>
        <v>1</v>
      </c>
      <c r="X95" s="4" t="str">
        <f ca="1">IFERROR(__xludf.DUMMYFUNCTION("""COMPUTED_VALUE"""),"04. Relationship Models")</f>
        <v>04. Relationship Models</v>
      </c>
      <c r="Y95" s="4" t="str">
        <f ca="1">IFERROR(__xludf.DUMMYFUNCTION("""COMPUTED_VALUE"""),"5.7.1 Keep the Bank Running")</f>
        <v>5.7.1 Keep the Bank Running</v>
      </c>
      <c r="Z95" s="132" t="str">
        <f ca="1">IFERROR(__xludf.DUMMYFUNCTION("""COMPUTED_VALUE"""),"261711")</f>
        <v>261711</v>
      </c>
      <c r="AA95" s="4" t="str">
        <f ca="1">IFERROR(__xludf.DUMMYFUNCTION("""COMPUTED_VALUE"""),"Subproceso de Estudio de Títulos + Notaria  (17 Actividades )")</f>
        <v>Subproceso de Estudio de Títulos + Notaria  (17 Actividades )</v>
      </c>
      <c r="AB95" s="4" t="str">
        <f ca="1">IFERROR(__xludf.DUMMYFUNCTION("""COMPUTED_VALUE"""),"Subproceso de Estudio de Títulos + Notaria
 (17 Actividades )")</f>
        <v>Subproceso de Estudio de Títulos + Notaria
 (17 Actividades )</v>
      </c>
      <c r="AC95" s="4" t="str">
        <f ca="1">IFERROR(__xludf.DUMMYFUNCTION("""COMPUTED_VALUE"""),"3Q 2022")</f>
        <v>3Q 2022</v>
      </c>
      <c r="AD95" s="128">
        <f ca="1">IFERROR(__xludf.DUMMYFUNCTION("""COMPUTED_VALUE"""),44834)</f>
        <v>44834</v>
      </c>
      <c r="AE95" s="128">
        <f ca="1">IFERROR(__xludf.DUMMYFUNCTION("""COMPUTED_VALUE"""),44873)</f>
        <v>44873</v>
      </c>
      <c r="AF95" s="128">
        <f ca="1">IFERROR(__xludf.DUMMYFUNCTION("""COMPUTED_VALUE"""),44880)</f>
        <v>44880</v>
      </c>
      <c r="AG95" s="128">
        <f ca="1">IFERROR(__xludf.DUMMYFUNCTION("""COMPUTED_VALUE"""),44655)</f>
        <v>44655</v>
      </c>
      <c r="AH95" s="128">
        <f ca="1">IFERROR(__xludf.DUMMYFUNCTION("""COMPUTED_VALUE"""),44678)</f>
        <v>44678</v>
      </c>
      <c r="AI95" s="128">
        <f ca="1">IFERROR(__xludf.DUMMYFUNCTION("""COMPUTED_VALUE"""),44712)</f>
        <v>44712</v>
      </c>
      <c r="AJ95" s="128">
        <f ca="1">IFERROR(__xludf.DUMMYFUNCTION("""COMPUTED_VALUE"""),44793)</f>
        <v>44793</v>
      </c>
      <c r="AK95" s="4" t="str">
        <f ca="1">IFERROR(__xludf.DUMMYFUNCTION("""COMPUTED_VALUE"""),"Sin asignar")</f>
        <v>Sin asignar</v>
      </c>
      <c r="AL95" s="4" t="str">
        <f ca="1">IFERROR(__xludf.DUMMYFUNCTION("""COMPUTED_VALUE"""),"Sin asignar")</f>
        <v>Sin asignar</v>
      </c>
      <c r="AM95" s="4" t="str">
        <f ca="1">IFERROR(__xludf.DUMMYFUNCTION("""COMPUTED_VALUE"""),"21 jun de 2022 - se prevee paso a producción en este semana. En coordinación con el sponsor, la version será disponibilizada  el dia 5 de Julio. Pendiente que los RCAS finalicen su challenge  y  se otorgue  el vobo , en lo que corresponde al comite de rie"&amp;"sgo operacional.
Entregable sin salida de mensajeria por definiciones con aréa juridíca.
En la actualidad en elaboración de guías de formación y capacitación a los  usuarios además de gestiones de conectividad .
")</f>
        <v xml:space="preserve">21 jun de 2022 - se prevee paso a producción en este semana. En coordinación con el sponsor, la version será disponibilizada  el dia 5 de Julio. Pendiente que los RCAS finalicen su challenge  y  se otorgue  el vobo , en lo que corresponde al comite de riesgo operacional.
Entregable sin salida de mensajeria por definiciones con aréa juridíca.
En la actualidad en elaboración de guías de formación y capacitación a los  usuarios además de gestiones de conectividad .
</v>
      </c>
      <c r="AN95" s="4" t="str">
        <f ca="1">IFERROR(__xludf.DUMMYFUNCTION("""COMPUTED_VALUE"""),"Finalizado")</f>
        <v>Finalizado</v>
      </c>
      <c r="AO95" s="4" t="str">
        <f ca="1">IFERROR(__xludf.DUMMYFUNCTION("""COMPUTED_VALUE"""),"Vivienda")</f>
        <v>Vivienda</v>
      </c>
      <c r="AP95" s="4"/>
      <c r="AQ95" s="4"/>
      <c r="AR95" s="4" t="str">
        <f ca="1">IFERROR(__xludf.DUMMYFUNCTION("""COMPUTED_VALUE"""),"SDA aprobada en PPP Q1 2023")</f>
        <v>SDA aprobada en PPP Q1 2023</v>
      </c>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row>
    <row r="96" spans="1:132" x14ac:dyDescent="0.2">
      <c r="A96" s="4">
        <f ca="1">IFERROR(__xludf.DUMMYFUNCTION("""COMPUTED_VALUE"""),96)</f>
        <v>96</v>
      </c>
      <c r="B96" s="4">
        <f ca="1">IFERROR(__xludf.DUMMYFUNCTION("""COMPUTED_VALUE"""),87)</f>
        <v>87</v>
      </c>
      <c r="C96" s="4" t="str">
        <f ca="1">IFERROR(__xludf.DUMMYFUNCTION("""COMPUTED_VALUE"""),"SDATOOL-31326")</f>
        <v>SDATOOL-31326</v>
      </c>
      <c r="D96" s="4" t="str">
        <f ca="1">IFERROR(__xludf.DUMMYFUNCTION("""COMPUTED_VALUE"""),"Legalización Hipotecario")</f>
        <v>Legalización Hipotecario</v>
      </c>
      <c r="E96"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6" s="4" t="str">
        <f ca="1">IFERROR(__xludf.DUMMYFUNCTION("""COMPUTED_VALUE"""),"Project")</f>
        <v>Project</v>
      </c>
      <c r="G96" s="4" t="str">
        <f ca="1">IFERROR(__xludf.DUMMYFUNCTION("""COMPUTED_VALUE"""),"Stock")</f>
        <v>Stock</v>
      </c>
      <c r="H96" s="4" t="str">
        <f ca="1">IFERROR(__xludf.DUMMYFUNCTION("""COMPUTED_VALUE"""),"2Q 2023")</f>
        <v>2Q 2023</v>
      </c>
      <c r="I96" s="131" t="str">
        <f ca="1">IFERROR(__xludf.DUMMYFUNCTION("""COMPUTED_VALUE"""),"jimy.catolico-bbva.com")</f>
        <v>jimy.catolico-bbva.com</v>
      </c>
      <c r="J96" s="131" t="str">
        <f ca="1">IFERROR(__xludf.DUMMYFUNCTION("""COMPUTED_VALUE"""),"wilson.vera-bbva.com")</f>
        <v>wilson.vera-bbva.com</v>
      </c>
      <c r="K96" s="131" t="str">
        <f ca="1">IFERROR(__xludf.DUMMYFUNCTION("""COMPUTED_VALUE"""),"luz.rodriguez-bbva.com")</f>
        <v>luz.rodriguez-bbva.com</v>
      </c>
      <c r="L96" s="4"/>
      <c r="M96" s="4"/>
      <c r="N96" s="4"/>
      <c r="O96" s="4" t="str">
        <f ca="1">IFERROR(__xludf.DUMMYFUNCTION("""COMPUTED_VALUE"""),"Waterfall")</f>
        <v>Waterfall</v>
      </c>
      <c r="P96" s="4" t="str">
        <f ca="1">IFERROR(__xludf.DUMMYFUNCTION("""COMPUTED_VALUE"""),"Tradicional")</f>
        <v>Tradicional</v>
      </c>
      <c r="Q96" s="4"/>
      <c r="R96" s="130" t="str">
        <f ca="1">IFERROR(__xludf.DUMMYFUNCTION("""COMPUTED_VALUE"""),"Execution Capabilities")</f>
        <v>Execution Capabilities</v>
      </c>
      <c r="S96" s="130" t="str">
        <f ca="1">IFERROR(__xludf.DUMMYFUNCTION("""COMPUTED_VALUE"""),"Strategic Review")</f>
        <v>Strategic Review</v>
      </c>
      <c r="T96" s="130" t="str">
        <f ca="1">IFERROR(__xludf.DUMMYFUNCTION("""COMPUTED_VALUE"""),"1. Generación de Ingresos")</f>
        <v>1. Generación de Ingresos</v>
      </c>
      <c r="U96" s="130" t="str">
        <f ca="1">IFERROR(__xludf.DUMMYFUNCTION("""COMPUTED_VALUE"""),"1.1. Proyectos de Hipotecario")</f>
        <v>1.1. Proyectos de Hipotecario</v>
      </c>
      <c r="V96" s="4" t="str">
        <f ca="1">IFERROR(__xludf.DUMMYFUNCTION("""COMPUTED_VALUE"""),"Descarga operativa")</f>
        <v>Descarga operativa</v>
      </c>
      <c r="W96" s="4">
        <f ca="1">IFERROR(__xludf.DUMMYFUNCTION("""COMPUTED_VALUE"""),1)</f>
        <v>1</v>
      </c>
      <c r="X96" s="4" t="str">
        <f ca="1">IFERROR(__xludf.DUMMYFUNCTION("""COMPUTED_VALUE"""),"04. Relationship Models")</f>
        <v>04. Relationship Models</v>
      </c>
      <c r="Y96" s="4" t="str">
        <f ca="1">IFERROR(__xludf.DUMMYFUNCTION("""COMPUTED_VALUE"""),"5.7.1 Keep the Bank Running")</f>
        <v>5.7.1 Keep the Bank Running</v>
      </c>
      <c r="Z96" s="132" t="str">
        <f ca="1">IFERROR(__xludf.DUMMYFUNCTION("""COMPUTED_VALUE"""),"70801")</f>
        <v>70801</v>
      </c>
      <c r="AA96" s="4" t="str">
        <f ca="1">IFERROR(__xludf.DUMMYFUNCTION("""COMPUTED_VALUE"""),"Subproceso de Seguros  ( 3 Actividades)")</f>
        <v>Subproceso de Seguros  ( 3 Actividades)</v>
      </c>
      <c r="AB96" s="4" t="str">
        <f ca="1">IFERROR(__xludf.DUMMYFUNCTION("""COMPUTED_VALUE"""),"Subproceso de Seguros
 ( 3 Actividades)")</f>
        <v>Subproceso de Seguros
 ( 3 Actividades)</v>
      </c>
      <c r="AC96" s="4" t="str">
        <f ca="1">IFERROR(__xludf.DUMMYFUNCTION("""COMPUTED_VALUE"""),"1Q 2022")</f>
        <v>1Q 2022</v>
      </c>
      <c r="AD96" s="4"/>
      <c r="AE96" s="4"/>
      <c r="AF96" s="4"/>
      <c r="AG96" s="4"/>
      <c r="AH96" s="4"/>
      <c r="AI96" s="4"/>
      <c r="AJ96" s="4"/>
      <c r="AK96" s="4" t="str">
        <f ca="1">IFERROR(__xludf.DUMMYFUNCTION("""COMPUTED_VALUE"""),"Sin asignar")</f>
        <v>Sin asignar</v>
      </c>
      <c r="AL96" s="4" t="str">
        <f ca="1">IFERROR(__xludf.DUMMYFUNCTION("""COMPUTED_VALUE"""),"Sin asignar")</f>
        <v>Sin asignar</v>
      </c>
      <c r="AM96" s="4" t="str">
        <f ca="1">IFERROR(__xludf.DUMMYFUNCTION("""COMPUTED_VALUE"""),"21 Jun 2022-En Produccion sin novedad ,  se sube actualizacion junto con el entregable 4 en lo que tiene que ver con la apertura del subproceso .")</f>
        <v>21 Jun 2022-En Produccion sin novedad ,  se sube actualizacion junto con el entregable 4 en lo que tiene que ver con la apertura del subproceso .</v>
      </c>
      <c r="AN96" s="4" t="str">
        <f ca="1">IFERROR(__xludf.DUMMYFUNCTION("""COMPUTED_VALUE"""),"Finalizado")</f>
        <v>Finalizado</v>
      </c>
      <c r="AO96" s="4" t="str">
        <f ca="1">IFERROR(__xludf.DUMMYFUNCTION("""COMPUTED_VALUE"""),"Vivienda")</f>
        <v>Vivienda</v>
      </c>
      <c r="AP96" s="4"/>
      <c r="AQ96" s="4"/>
      <c r="AR96" s="4" t="str">
        <f ca="1">IFERROR(__xludf.DUMMYFUNCTION("""COMPUTED_VALUE"""),"SDA aprobada en PPP Q1 2023")</f>
        <v>SDA aprobada en PPP Q1 2023</v>
      </c>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row>
    <row r="97" spans="1:132" x14ac:dyDescent="0.2">
      <c r="A97" s="4">
        <f ca="1">IFERROR(__xludf.DUMMYFUNCTION("""COMPUTED_VALUE"""),97)</f>
        <v>97</v>
      </c>
      <c r="B97" s="4">
        <f ca="1">IFERROR(__xludf.DUMMYFUNCTION("""COMPUTED_VALUE"""),88)</f>
        <v>88</v>
      </c>
      <c r="C97" s="4" t="str">
        <f ca="1">IFERROR(__xludf.DUMMYFUNCTION("""COMPUTED_VALUE"""),"SDATOOL-31326")</f>
        <v>SDATOOL-31326</v>
      </c>
      <c r="D97" s="4" t="str">
        <f ca="1">IFERROR(__xludf.DUMMYFUNCTION("""COMPUTED_VALUE"""),"Legalización Hipotecario")</f>
        <v>Legalización Hipotecario</v>
      </c>
      <c r="E97"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7" s="4" t="str">
        <f ca="1">IFERROR(__xludf.DUMMYFUNCTION("""COMPUTED_VALUE"""),"Project")</f>
        <v>Project</v>
      </c>
      <c r="G97" s="4" t="str">
        <f ca="1">IFERROR(__xludf.DUMMYFUNCTION("""COMPUTED_VALUE"""),"Stock")</f>
        <v>Stock</v>
      </c>
      <c r="H97" s="4" t="str">
        <f ca="1">IFERROR(__xludf.DUMMYFUNCTION("""COMPUTED_VALUE"""),"2Q 2023")</f>
        <v>2Q 2023</v>
      </c>
      <c r="I97" s="131" t="str">
        <f ca="1">IFERROR(__xludf.DUMMYFUNCTION("""COMPUTED_VALUE"""),"jimy.catolico-bbva.com")</f>
        <v>jimy.catolico-bbva.com</v>
      </c>
      <c r="J97" s="131" t="str">
        <f ca="1">IFERROR(__xludf.DUMMYFUNCTION("""COMPUTED_VALUE"""),"wilson.vera-bbva.com")</f>
        <v>wilson.vera-bbva.com</v>
      </c>
      <c r="K97" s="131" t="str">
        <f ca="1">IFERROR(__xludf.DUMMYFUNCTION("""COMPUTED_VALUE"""),"luz.rodriguez-bbva.com")</f>
        <v>luz.rodriguez-bbva.com</v>
      </c>
      <c r="L97" s="4"/>
      <c r="M97" s="4"/>
      <c r="N97" s="4"/>
      <c r="O97" s="4" t="str">
        <f ca="1">IFERROR(__xludf.DUMMYFUNCTION("""COMPUTED_VALUE"""),"Waterfall")</f>
        <v>Waterfall</v>
      </c>
      <c r="P97" s="4" t="str">
        <f ca="1">IFERROR(__xludf.DUMMYFUNCTION("""COMPUTED_VALUE"""),"Tradicional")</f>
        <v>Tradicional</v>
      </c>
      <c r="Q97" s="4"/>
      <c r="R97" s="130" t="str">
        <f ca="1">IFERROR(__xludf.DUMMYFUNCTION("""COMPUTED_VALUE"""),"Execution Capabilities")</f>
        <v>Execution Capabilities</v>
      </c>
      <c r="S97" s="130" t="str">
        <f ca="1">IFERROR(__xludf.DUMMYFUNCTION("""COMPUTED_VALUE"""),"Strategic Review")</f>
        <v>Strategic Review</v>
      </c>
      <c r="T97" s="130" t="str">
        <f ca="1">IFERROR(__xludf.DUMMYFUNCTION("""COMPUTED_VALUE"""),"1. Generación de Ingresos")</f>
        <v>1. Generación de Ingresos</v>
      </c>
      <c r="U97" s="130" t="str">
        <f ca="1">IFERROR(__xludf.DUMMYFUNCTION("""COMPUTED_VALUE"""),"1.1. Proyectos de Hipotecario")</f>
        <v>1.1. Proyectos de Hipotecario</v>
      </c>
      <c r="V97" s="4" t="str">
        <f ca="1">IFERROR(__xludf.DUMMYFUNCTION("""COMPUTED_VALUE"""),"Descarga operativa")</f>
        <v>Descarga operativa</v>
      </c>
      <c r="W97" s="4">
        <f ca="1">IFERROR(__xludf.DUMMYFUNCTION("""COMPUTED_VALUE"""),1)</f>
        <v>1</v>
      </c>
      <c r="X97" s="4" t="str">
        <f ca="1">IFERROR(__xludf.DUMMYFUNCTION("""COMPUTED_VALUE"""),"04. Relationship Models")</f>
        <v>04. Relationship Models</v>
      </c>
      <c r="Y97" s="4" t="str">
        <f ca="1">IFERROR(__xludf.DUMMYFUNCTION("""COMPUTED_VALUE"""),"5.7.1 Keep the Bank Running")</f>
        <v>5.7.1 Keep the Bank Running</v>
      </c>
      <c r="Z97" s="132" t="str">
        <f ca="1">IFERROR(__xludf.DUMMYFUNCTION("""COMPUTED_VALUE"""),"261715")</f>
        <v>261715</v>
      </c>
      <c r="AA97" s="4" t="str">
        <f ca="1">IFERROR(__xludf.DUMMYFUNCTION("""COMPUTED_VALUE"""),"Subproceso de Envío de Documentos")</f>
        <v>Subproceso de Envío de Documentos</v>
      </c>
      <c r="AB97" s="4" t="str">
        <f ca="1">IFERROR(__xludf.DUMMYFUNCTION("""COMPUTED_VALUE"""),"Subproceso de Envío de Documentos 
(2 Actividades)")</f>
        <v>Subproceso de Envío de Documentos 
(2 Actividades)</v>
      </c>
      <c r="AC97" s="4" t="str">
        <f ca="1">IFERROR(__xludf.DUMMYFUNCTION("""COMPUTED_VALUE"""),"2Q 2023")</f>
        <v>2Q 2023</v>
      </c>
      <c r="AD97" s="128">
        <f ca="1">IFERROR(__xludf.DUMMYFUNCTION("""COMPUTED_VALUE"""),44866)</f>
        <v>44866</v>
      </c>
      <c r="AE97" s="128">
        <f ca="1">IFERROR(__xludf.DUMMYFUNCTION("""COMPUTED_VALUE"""),44895)</f>
        <v>44895</v>
      </c>
      <c r="AF97" s="128">
        <f ca="1">IFERROR(__xludf.DUMMYFUNCTION("""COMPUTED_VALUE"""),44935)</f>
        <v>44935</v>
      </c>
      <c r="AG97" s="128">
        <f ca="1">IFERROR(__xludf.DUMMYFUNCTION("""COMPUTED_VALUE"""),45066)</f>
        <v>45066</v>
      </c>
      <c r="AH97" s="128">
        <f ca="1">IFERROR(__xludf.DUMMYFUNCTION("""COMPUTED_VALUE"""),45068)</f>
        <v>45068</v>
      </c>
      <c r="AI97" s="128">
        <f ca="1">IFERROR(__xludf.DUMMYFUNCTION("""COMPUTED_VALUE"""),45073)</f>
        <v>45073</v>
      </c>
      <c r="AJ97" s="128">
        <f ca="1">IFERROR(__xludf.DUMMYFUNCTION("""COMPUTED_VALUE"""),45087)</f>
        <v>45087</v>
      </c>
      <c r="AK97" s="131" t="str">
        <f ca="1">IFERROR(__xludf.DUMMYFUNCTION("""COMPUTED_VALUE"""),"COLWSCANAL-9677")</f>
        <v>COLWSCANAL-9677</v>
      </c>
      <c r="AL97" s="4" t="str">
        <f ca="1">IFERROR(__xludf.DUMMYFUNCTION("""COMPUTED_VALUE"""),"Test")</f>
        <v>Test</v>
      </c>
      <c r="AM97" s="4"/>
      <c r="AN97" s="4" t="str">
        <f ca="1">IFERROR(__xludf.DUMMYFUNCTION("""COMPUTED_VALUE"""),"Entregable en desarrollo")</f>
        <v>Entregable en desarrollo</v>
      </c>
      <c r="AO97" s="4" t="str">
        <f ca="1">IFERROR(__xludf.DUMMYFUNCTION("""COMPUTED_VALUE"""),"Vivienda")</f>
        <v>Vivienda</v>
      </c>
      <c r="AP97" s="4"/>
      <c r="AQ97" s="4"/>
      <c r="AR97" s="4" t="str">
        <f ca="1">IFERROR(__xludf.DUMMYFUNCTION("""COMPUTED_VALUE"""),"SDA aprobada en PPP Q1 2023")</f>
        <v>SDA aprobada en PPP Q1 2023</v>
      </c>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row>
    <row r="98" spans="1:132" x14ac:dyDescent="0.2">
      <c r="A98" s="4">
        <f ca="1">IFERROR(__xludf.DUMMYFUNCTION("""COMPUTED_VALUE"""),98)</f>
        <v>98</v>
      </c>
      <c r="B98" s="4">
        <f ca="1">IFERROR(__xludf.DUMMYFUNCTION("""COMPUTED_VALUE"""),89)</f>
        <v>89</v>
      </c>
      <c r="C98" s="4" t="str">
        <f ca="1">IFERROR(__xludf.DUMMYFUNCTION("""COMPUTED_VALUE"""),"SDATOOL-31326")</f>
        <v>SDATOOL-31326</v>
      </c>
      <c r="D98" s="4" t="str">
        <f ca="1">IFERROR(__xludf.DUMMYFUNCTION("""COMPUTED_VALUE"""),"Legalización Hipotecario")</f>
        <v>Legalización Hipotecario</v>
      </c>
      <c r="E98"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8" s="4" t="str">
        <f ca="1">IFERROR(__xludf.DUMMYFUNCTION("""COMPUTED_VALUE"""),"Project")</f>
        <v>Project</v>
      </c>
      <c r="G98" s="4" t="str">
        <f ca="1">IFERROR(__xludf.DUMMYFUNCTION("""COMPUTED_VALUE"""),"Stock")</f>
        <v>Stock</v>
      </c>
      <c r="H98" s="4" t="str">
        <f ca="1">IFERROR(__xludf.DUMMYFUNCTION("""COMPUTED_VALUE"""),"2Q 2023")</f>
        <v>2Q 2023</v>
      </c>
      <c r="I98" s="131" t="str">
        <f ca="1">IFERROR(__xludf.DUMMYFUNCTION("""COMPUTED_VALUE"""),"jimy.catolico-bbva.com")</f>
        <v>jimy.catolico-bbva.com</v>
      </c>
      <c r="J98" s="131" t="str">
        <f ca="1">IFERROR(__xludf.DUMMYFUNCTION("""COMPUTED_VALUE"""),"wilson.vera-bbva.com")</f>
        <v>wilson.vera-bbva.com</v>
      </c>
      <c r="K98" s="131" t="str">
        <f ca="1">IFERROR(__xludf.DUMMYFUNCTION("""COMPUTED_VALUE"""),"luz.rodriguez-bbva.com")</f>
        <v>luz.rodriguez-bbva.com</v>
      </c>
      <c r="L98" s="4"/>
      <c r="M98" s="4"/>
      <c r="N98" s="4"/>
      <c r="O98" s="4" t="str">
        <f ca="1">IFERROR(__xludf.DUMMYFUNCTION("""COMPUTED_VALUE"""),"Waterfall")</f>
        <v>Waterfall</v>
      </c>
      <c r="P98" s="4" t="str">
        <f ca="1">IFERROR(__xludf.DUMMYFUNCTION("""COMPUTED_VALUE"""),"Tradicional")</f>
        <v>Tradicional</v>
      </c>
      <c r="Q98" s="4"/>
      <c r="R98" s="130" t="str">
        <f ca="1">IFERROR(__xludf.DUMMYFUNCTION("""COMPUTED_VALUE"""),"Execution Capabilities")</f>
        <v>Execution Capabilities</v>
      </c>
      <c r="S98" s="130" t="str">
        <f ca="1">IFERROR(__xludf.DUMMYFUNCTION("""COMPUTED_VALUE"""),"Strategic Review")</f>
        <v>Strategic Review</v>
      </c>
      <c r="T98" s="130" t="str">
        <f ca="1">IFERROR(__xludf.DUMMYFUNCTION("""COMPUTED_VALUE"""),"1. Generación de Ingresos")</f>
        <v>1. Generación de Ingresos</v>
      </c>
      <c r="U98" s="130" t="str">
        <f ca="1">IFERROR(__xludf.DUMMYFUNCTION("""COMPUTED_VALUE"""),"1.1. Proyectos de Hipotecario")</f>
        <v>1.1. Proyectos de Hipotecario</v>
      </c>
      <c r="V98" s="4" t="str">
        <f ca="1">IFERROR(__xludf.DUMMYFUNCTION("""COMPUTED_VALUE"""),"Descarga operativa")</f>
        <v>Descarga operativa</v>
      </c>
      <c r="W98" s="4">
        <f ca="1">IFERROR(__xludf.DUMMYFUNCTION("""COMPUTED_VALUE"""),1)</f>
        <v>1</v>
      </c>
      <c r="X98" s="4" t="str">
        <f ca="1">IFERROR(__xludf.DUMMYFUNCTION("""COMPUTED_VALUE"""),"04. Relationship Models")</f>
        <v>04. Relationship Models</v>
      </c>
      <c r="Y98" s="4" t="str">
        <f ca="1">IFERROR(__xludf.DUMMYFUNCTION("""COMPUTED_VALUE"""),"5.7.1 Keep the Bank Running")</f>
        <v>5.7.1 Keep the Bank Running</v>
      </c>
      <c r="Z98" s="132" t="str">
        <f ca="1">IFERROR(__xludf.DUMMYFUNCTION("""COMPUTED_VALUE"""),"261714")</f>
        <v>261714</v>
      </c>
      <c r="AA98" s="4" t="str">
        <f ca="1">IFERROR(__xludf.DUMMYFUNCTION("""COMPUTED_VALUE"""),"subprocesos de  validación Desembolso  y Desembolso  ( 11 actividades)")</f>
        <v>subprocesos de  validación Desembolso  y Desembolso  ( 11 actividades)</v>
      </c>
      <c r="AB98" s="4" t="str">
        <f ca="1">IFERROR(__xludf.DUMMYFUNCTION("""COMPUTED_VALUE"""),"Subproceso de Desembolso
 ( 4 Actividades)")</f>
        <v>Subproceso de Desembolso
 ( 4 Actividades)</v>
      </c>
      <c r="AC98" s="4" t="str">
        <f ca="1">IFERROR(__xludf.DUMMYFUNCTION("""COMPUTED_VALUE"""),"4Q 2022")</f>
        <v>4Q 2022</v>
      </c>
      <c r="AD98" s="128">
        <f ca="1">IFERROR(__xludf.DUMMYFUNCTION("""COMPUTED_VALUE"""),44696)</f>
        <v>44696</v>
      </c>
      <c r="AE98" s="128">
        <f ca="1">IFERROR(__xludf.DUMMYFUNCTION("""COMPUTED_VALUE"""),44717)</f>
        <v>44717</v>
      </c>
      <c r="AF98" s="128">
        <f ca="1">IFERROR(__xludf.DUMMYFUNCTION("""COMPUTED_VALUE"""),44805)</f>
        <v>44805</v>
      </c>
      <c r="AG98" s="128">
        <f ca="1">IFERROR(__xludf.DUMMYFUNCTION("""COMPUTED_VALUE"""),44895)</f>
        <v>44895</v>
      </c>
      <c r="AH98" s="128">
        <f ca="1">IFERROR(__xludf.DUMMYFUNCTION("""COMPUTED_VALUE"""),44896)</f>
        <v>44896</v>
      </c>
      <c r="AI98" s="128">
        <f ca="1">IFERROR(__xludf.DUMMYFUNCTION("""COMPUTED_VALUE"""),44926)</f>
        <v>44926</v>
      </c>
      <c r="AJ98" s="128">
        <f ca="1">IFERROR(__xludf.DUMMYFUNCTION("""COMPUTED_VALUE"""),44947)</f>
        <v>44947</v>
      </c>
      <c r="AK98" s="131" t="str">
        <f ca="1">IFERROR(__xludf.DUMMYFUNCTION("""COMPUTED_VALUE"""),"COLWSCANAL-2741")</f>
        <v>COLWSCANAL-2741</v>
      </c>
      <c r="AL98" s="4" t="str">
        <f ca="1">IFERROR(__xludf.DUMMYFUNCTION("""COMPUTED_VALUE"""),"Deployed")</f>
        <v>Deployed</v>
      </c>
      <c r="AM98" s="4" t="str">
        <f ca="1">IFERROR(__xludf.DUMMYFUNCTION("""COMPUTED_VALUE"""),"21 JUn 2022 Definición entregada en la fecha según cronograma. Se propone al equipo abodar el entregable 5 y 6 en un sólo desarrollo. pendiente de confirmación .")</f>
        <v>21 JUn 2022 Definición entregada en la fecha según cronograma. Se propone al equipo abodar el entregable 5 y 6 en un sólo desarrollo. pendiente de confirmación .</v>
      </c>
      <c r="AN98" s="4" t="str">
        <f ca="1">IFERROR(__xludf.DUMMYFUNCTION("""COMPUTED_VALUE"""),"Finalizado")</f>
        <v>Finalizado</v>
      </c>
      <c r="AO98" s="4" t="str">
        <f ca="1">IFERROR(__xludf.DUMMYFUNCTION("""COMPUTED_VALUE"""),"Vivienda")</f>
        <v>Vivienda</v>
      </c>
      <c r="AP98" s="4"/>
      <c r="AQ98" s="4"/>
      <c r="AR98" s="4" t="str">
        <f ca="1">IFERROR(__xludf.DUMMYFUNCTION("""COMPUTED_VALUE"""),"SDA aprobada en PPP Q1 2023")</f>
        <v>SDA aprobada en PPP Q1 2023</v>
      </c>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row>
    <row r="99" spans="1:132" x14ac:dyDescent="0.2">
      <c r="A99" s="4">
        <f ca="1">IFERROR(__xludf.DUMMYFUNCTION("""COMPUTED_VALUE"""),99)</f>
        <v>99</v>
      </c>
      <c r="B99" s="4">
        <f ca="1">IFERROR(__xludf.DUMMYFUNCTION("""COMPUTED_VALUE"""),90)</f>
        <v>90</v>
      </c>
      <c r="C99" s="4" t="str">
        <f ca="1">IFERROR(__xludf.DUMMYFUNCTION("""COMPUTED_VALUE"""),"SDATOOL-31326")</f>
        <v>SDATOOL-31326</v>
      </c>
      <c r="D99" s="4" t="str">
        <f ca="1">IFERROR(__xludf.DUMMYFUNCTION("""COMPUTED_VALUE"""),"Legalización Hipotecario")</f>
        <v>Legalización Hipotecario</v>
      </c>
      <c r="E99"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9" s="4" t="str">
        <f ca="1">IFERROR(__xludf.DUMMYFUNCTION("""COMPUTED_VALUE"""),"Project")</f>
        <v>Project</v>
      </c>
      <c r="G99" s="4" t="str">
        <f ca="1">IFERROR(__xludf.DUMMYFUNCTION("""COMPUTED_VALUE"""),"Stock")</f>
        <v>Stock</v>
      </c>
      <c r="H99" s="4" t="str">
        <f ca="1">IFERROR(__xludf.DUMMYFUNCTION("""COMPUTED_VALUE"""),"2Q 2023")</f>
        <v>2Q 2023</v>
      </c>
      <c r="I99" s="131" t="str">
        <f ca="1">IFERROR(__xludf.DUMMYFUNCTION("""COMPUTED_VALUE"""),"jimy.catolico-bbva.com")</f>
        <v>jimy.catolico-bbva.com</v>
      </c>
      <c r="J99" s="131" t="str">
        <f ca="1">IFERROR(__xludf.DUMMYFUNCTION("""COMPUTED_VALUE"""),"wilson.vera-bbva.com")</f>
        <v>wilson.vera-bbva.com</v>
      </c>
      <c r="K99" s="131" t="str">
        <f ca="1">IFERROR(__xludf.DUMMYFUNCTION("""COMPUTED_VALUE"""),"luz.rodriguez-bbva.com")</f>
        <v>luz.rodriguez-bbva.com</v>
      </c>
      <c r="L99" s="4"/>
      <c r="M99" s="4"/>
      <c r="N99" s="4"/>
      <c r="O99" s="4" t="str">
        <f ca="1">IFERROR(__xludf.DUMMYFUNCTION("""COMPUTED_VALUE"""),"Waterfall")</f>
        <v>Waterfall</v>
      </c>
      <c r="P99" s="4" t="str">
        <f ca="1">IFERROR(__xludf.DUMMYFUNCTION("""COMPUTED_VALUE"""),"Tradicional")</f>
        <v>Tradicional</v>
      </c>
      <c r="Q99" s="4"/>
      <c r="R99" s="130" t="str">
        <f ca="1">IFERROR(__xludf.DUMMYFUNCTION("""COMPUTED_VALUE"""),"Execution Capabilities")</f>
        <v>Execution Capabilities</v>
      </c>
      <c r="S99" s="130" t="str">
        <f ca="1">IFERROR(__xludf.DUMMYFUNCTION("""COMPUTED_VALUE"""),"Strategic Review")</f>
        <v>Strategic Review</v>
      </c>
      <c r="T99" s="130" t="str">
        <f ca="1">IFERROR(__xludf.DUMMYFUNCTION("""COMPUTED_VALUE"""),"1. Generación de Ingresos")</f>
        <v>1. Generación de Ingresos</v>
      </c>
      <c r="U99" s="130" t="str">
        <f ca="1">IFERROR(__xludf.DUMMYFUNCTION("""COMPUTED_VALUE"""),"1.1. Proyectos de Hipotecario")</f>
        <v>1.1. Proyectos de Hipotecario</v>
      </c>
      <c r="V99" s="4" t="str">
        <f ca="1">IFERROR(__xludf.DUMMYFUNCTION("""COMPUTED_VALUE"""),"Descarga operativa")</f>
        <v>Descarga operativa</v>
      </c>
      <c r="W99" s="4">
        <f ca="1">IFERROR(__xludf.DUMMYFUNCTION("""COMPUTED_VALUE"""),1)</f>
        <v>1</v>
      </c>
      <c r="X99" s="4" t="str">
        <f ca="1">IFERROR(__xludf.DUMMYFUNCTION("""COMPUTED_VALUE"""),"04. Relationship Models")</f>
        <v>04. Relationship Models</v>
      </c>
      <c r="Y99" s="4" t="str">
        <f ca="1">IFERROR(__xludf.DUMMYFUNCTION("""COMPUTED_VALUE"""),"5.7.1 Keep the Bank Running")</f>
        <v>5.7.1 Keep the Bank Running</v>
      </c>
      <c r="Z99" s="132" t="str">
        <f ca="1">IFERROR(__xludf.DUMMYFUNCTION("""COMPUTED_VALUE"""),"712129")</f>
        <v>712129</v>
      </c>
      <c r="AA99" s="4" t="str">
        <f ca="1">IFERROR(__xludf.DUMMYFUNCTION("""COMPUTED_VALUE"""),"Conectividad herramienta CAP abogados")</f>
        <v>Conectividad herramienta CAP abogados</v>
      </c>
      <c r="AB99" s="4" t="str">
        <f ca="1">IFERROR(__xludf.DUMMYFUNCTION("""COMPUTED_VALUE"""),"Se busca que los abogados tengan acceso a la herramienta CAP para realizar su gestión profesional")</f>
        <v>Se busca que los abogados tengan acceso a la herramienta CAP para realizar su gestión profesional</v>
      </c>
      <c r="AC99" s="4" t="str">
        <f ca="1">IFERROR(__xludf.DUMMYFUNCTION("""COMPUTED_VALUE"""),"2Q 2023")</f>
        <v>2Q 2023</v>
      </c>
      <c r="AD99" s="4"/>
      <c r="AE99" s="4"/>
      <c r="AF99" s="4"/>
      <c r="AG99" s="4"/>
      <c r="AH99" s="4"/>
      <c r="AI99" s="4"/>
      <c r="AJ99" s="4"/>
      <c r="AK99" s="131" t="str">
        <f ca="1">IFERROR(__xludf.DUMMYFUNCTION("""COMPUTED_VALUE"""),"COLWSCANAL-11949")</f>
        <v>COLWSCANAL-11949</v>
      </c>
      <c r="AL99" s="4" t="str">
        <f ca="1">IFERROR(__xludf.DUMMYFUNCTION("""COMPUTED_VALUE"""),"New")</f>
        <v>New</v>
      </c>
      <c r="AM99" s="4"/>
      <c r="AN99" s="4" t="str">
        <f ca="1">IFERROR(__xludf.DUMMYFUNCTION("""COMPUTED_VALUE"""),"Entregable en backlog")</f>
        <v>Entregable en backlog</v>
      </c>
      <c r="AO99" s="4" t="str">
        <f ca="1">IFERROR(__xludf.DUMMYFUNCTION("""COMPUTED_VALUE"""),"Vivienda")</f>
        <v>Vivienda</v>
      </c>
      <c r="AP99" s="4"/>
      <c r="AQ99" s="4"/>
      <c r="AR99" s="4" t="str">
        <f ca="1">IFERROR(__xludf.DUMMYFUNCTION("""COMPUTED_VALUE"""),"SDA aprobada en PPP Q1 2023")</f>
        <v>SDA aprobada en PPP Q1 2023</v>
      </c>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row>
    <row r="100" spans="1:132" x14ac:dyDescent="0.2">
      <c r="A100" s="4">
        <f ca="1">IFERROR(__xludf.DUMMYFUNCTION("""COMPUTED_VALUE"""),100)</f>
        <v>100</v>
      </c>
      <c r="B100" s="4">
        <f ca="1">IFERROR(__xludf.DUMMYFUNCTION("""COMPUTED_VALUE"""),91)</f>
        <v>91</v>
      </c>
      <c r="C100" s="4" t="str">
        <f ca="1">IFERROR(__xludf.DUMMYFUNCTION("""COMPUTED_VALUE"""),"SDATOOL-31326")</f>
        <v>SDATOOL-31326</v>
      </c>
      <c r="D100" s="4" t="str">
        <f ca="1">IFERROR(__xludf.DUMMYFUNCTION("""COMPUTED_VALUE"""),"Legalización Hipotecario")</f>
        <v>Legalización Hipotecario</v>
      </c>
      <c r="E100"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0" s="4" t="str">
        <f ca="1">IFERROR(__xludf.DUMMYFUNCTION("""COMPUTED_VALUE"""),"Project")</f>
        <v>Project</v>
      </c>
      <c r="G100" s="4" t="str">
        <f ca="1">IFERROR(__xludf.DUMMYFUNCTION("""COMPUTED_VALUE"""),"Stock")</f>
        <v>Stock</v>
      </c>
      <c r="H100" s="4" t="str">
        <f ca="1">IFERROR(__xludf.DUMMYFUNCTION("""COMPUTED_VALUE"""),"2Q 2023")</f>
        <v>2Q 2023</v>
      </c>
      <c r="I100" s="131" t="str">
        <f ca="1">IFERROR(__xludf.DUMMYFUNCTION("""COMPUTED_VALUE"""),"jimy.catolico-bbva.com")</f>
        <v>jimy.catolico-bbva.com</v>
      </c>
      <c r="J100" s="131" t="str">
        <f ca="1">IFERROR(__xludf.DUMMYFUNCTION("""COMPUTED_VALUE"""),"wilson.vera-bbva.com")</f>
        <v>wilson.vera-bbva.com</v>
      </c>
      <c r="K100" s="131" t="str">
        <f ca="1">IFERROR(__xludf.DUMMYFUNCTION("""COMPUTED_VALUE"""),"luz.rodriguez-bbva.com")</f>
        <v>luz.rodriguez-bbva.com</v>
      </c>
      <c r="L100" s="4"/>
      <c r="M100" s="4"/>
      <c r="N100" s="4"/>
      <c r="O100" s="4" t="str">
        <f ca="1">IFERROR(__xludf.DUMMYFUNCTION("""COMPUTED_VALUE"""),"Waterfall")</f>
        <v>Waterfall</v>
      </c>
      <c r="P100" s="4" t="str">
        <f ca="1">IFERROR(__xludf.DUMMYFUNCTION("""COMPUTED_VALUE"""),"Tradicional")</f>
        <v>Tradicional</v>
      </c>
      <c r="Q100" s="4"/>
      <c r="R100" s="130" t="str">
        <f ca="1">IFERROR(__xludf.DUMMYFUNCTION("""COMPUTED_VALUE"""),"Execution Capabilities")</f>
        <v>Execution Capabilities</v>
      </c>
      <c r="S100" s="130" t="str">
        <f ca="1">IFERROR(__xludf.DUMMYFUNCTION("""COMPUTED_VALUE"""),"Strategic Review")</f>
        <v>Strategic Review</v>
      </c>
      <c r="T100" s="130" t="str">
        <f ca="1">IFERROR(__xludf.DUMMYFUNCTION("""COMPUTED_VALUE"""),"1. Generación de Ingresos")</f>
        <v>1. Generación de Ingresos</v>
      </c>
      <c r="U100" s="130" t="str">
        <f ca="1">IFERROR(__xludf.DUMMYFUNCTION("""COMPUTED_VALUE"""),"1.1. Proyectos de Hipotecario")</f>
        <v>1.1. Proyectos de Hipotecario</v>
      </c>
      <c r="V100" s="4" t="str">
        <f ca="1">IFERROR(__xludf.DUMMYFUNCTION("""COMPUTED_VALUE"""),"Descarga operativa")</f>
        <v>Descarga operativa</v>
      </c>
      <c r="W100" s="4">
        <f ca="1">IFERROR(__xludf.DUMMYFUNCTION("""COMPUTED_VALUE"""),1)</f>
        <v>1</v>
      </c>
      <c r="X100" s="4" t="str">
        <f ca="1">IFERROR(__xludf.DUMMYFUNCTION("""COMPUTED_VALUE"""),"04. Relationship Models")</f>
        <v>04. Relationship Models</v>
      </c>
      <c r="Y100" s="4" t="str">
        <f ca="1">IFERROR(__xludf.DUMMYFUNCTION("""COMPUTED_VALUE"""),"5.7.1 Keep the Bank Running")</f>
        <v>5.7.1 Keep the Bank Running</v>
      </c>
      <c r="Z100" s="132" t="str">
        <f ca="1">IFERROR(__xludf.DUMMYFUNCTION("""COMPUTED_VALUE"""),"625740")</f>
        <v>625740</v>
      </c>
      <c r="AA100" s="4" t="str">
        <f ca="1">IFERROR(__xludf.DUMMYFUNCTION("""COMPUTED_VALUE"""),"Mensajeria notificaciones al cliente y operativas")</f>
        <v>Mensajeria notificaciones al cliente y operativas</v>
      </c>
      <c r="AB100" s="4" t="str">
        <f ca="1">IFERROR(__xludf.DUMMYFUNCTION("""COMPUTED_VALUE"""),"Enviar notificaciones internas y a cliente para el estado del caso.")</f>
        <v>Enviar notificaciones internas y a cliente para el estado del caso.</v>
      </c>
      <c r="AC100" s="4" t="str">
        <f ca="1">IFERROR(__xludf.DUMMYFUNCTION("""COMPUTED_VALUE"""),"3Q 2023")</f>
        <v>3Q 2023</v>
      </c>
      <c r="AD100" s="4"/>
      <c r="AE100" s="4"/>
      <c r="AF100" s="4"/>
      <c r="AG100" s="4"/>
      <c r="AH100" s="4"/>
      <c r="AI100" s="4"/>
      <c r="AJ100" s="4"/>
      <c r="AK100" s="131" t="str">
        <f ca="1">IFERROR(__xludf.DUMMYFUNCTION("""COMPUTED_VALUE"""),"COLWSCANAL-13516")</f>
        <v>COLWSCANAL-13516</v>
      </c>
      <c r="AL100" s="4" t="str">
        <f ca="1">IFERROR(__xludf.DUMMYFUNCTION("""COMPUTED_VALUE"""),"New")</f>
        <v>New</v>
      </c>
      <c r="AM100" s="4"/>
      <c r="AN100" s="4" t="str">
        <f ca="1">IFERROR(__xludf.DUMMYFUNCTION("""COMPUTED_VALUE"""),"Entregable en backlog")</f>
        <v>Entregable en backlog</v>
      </c>
      <c r="AO100" s="4" t="str">
        <f ca="1">IFERROR(__xludf.DUMMYFUNCTION("""COMPUTED_VALUE"""),"Vivienda")</f>
        <v>Vivienda</v>
      </c>
      <c r="AP100" s="4"/>
      <c r="AQ100" s="4"/>
      <c r="AR100" s="4" t="str">
        <f ca="1">IFERROR(__xludf.DUMMYFUNCTION("""COMPUTED_VALUE"""),"SDA aprobada en PPP Q1 2023")</f>
        <v>SDA aprobada en PPP Q1 2023</v>
      </c>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row>
    <row r="101" spans="1:132" x14ac:dyDescent="0.2">
      <c r="A101" s="4">
        <f ca="1">IFERROR(__xludf.DUMMYFUNCTION("""COMPUTED_VALUE"""),101)</f>
        <v>101</v>
      </c>
      <c r="B101" s="4">
        <f ca="1">IFERROR(__xludf.DUMMYFUNCTION("""COMPUTED_VALUE"""),92)</f>
        <v>92</v>
      </c>
      <c r="C101" s="4" t="str">
        <f ca="1">IFERROR(__xludf.DUMMYFUNCTION("""COMPUTED_VALUE"""),"SDATOOL-31326")</f>
        <v>SDATOOL-31326</v>
      </c>
      <c r="D101" s="4" t="str">
        <f ca="1">IFERROR(__xludf.DUMMYFUNCTION("""COMPUTED_VALUE"""),"Legalización Hipotecario")</f>
        <v>Legalización Hipotecario</v>
      </c>
      <c r="E101"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1" s="4" t="str">
        <f ca="1">IFERROR(__xludf.DUMMYFUNCTION("""COMPUTED_VALUE"""),"Project")</f>
        <v>Project</v>
      </c>
      <c r="G101" s="4" t="str">
        <f ca="1">IFERROR(__xludf.DUMMYFUNCTION("""COMPUTED_VALUE"""),"Stock")</f>
        <v>Stock</v>
      </c>
      <c r="H101" s="4" t="str">
        <f ca="1">IFERROR(__xludf.DUMMYFUNCTION("""COMPUTED_VALUE"""),"2Q 2023")</f>
        <v>2Q 2023</v>
      </c>
      <c r="I101" s="131" t="str">
        <f ca="1">IFERROR(__xludf.DUMMYFUNCTION("""COMPUTED_VALUE"""),"jimy.catolico-bbva.com")</f>
        <v>jimy.catolico-bbva.com</v>
      </c>
      <c r="J101" s="131" t="str">
        <f ca="1">IFERROR(__xludf.DUMMYFUNCTION("""COMPUTED_VALUE"""),"wilson.vera-bbva.com")</f>
        <v>wilson.vera-bbva.com</v>
      </c>
      <c r="K101" s="131" t="str">
        <f ca="1">IFERROR(__xludf.DUMMYFUNCTION("""COMPUTED_VALUE"""),"luz.rodriguez-bbva.com")</f>
        <v>luz.rodriguez-bbva.com</v>
      </c>
      <c r="L101" s="4"/>
      <c r="M101" s="4"/>
      <c r="N101" s="4"/>
      <c r="O101" s="4" t="str">
        <f ca="1">IFERROR(__xludf.DUMMYFUNCTION("""COMPUTED_VALUE"""),"Waterfall")</f>
        <v>Waterfall</v>
      </c>
      <c r="P101" s="4" t="str">
        <f ca="1">IFERROR(__xludf.DUMMYFUNCTION("""COMPUTED_VALUE"""),"Tradicional")</f>
        <v>Tradicional</v>
      </c>
      <c r="Q101" s="4"/>
      <c r="R101" s="130" t="str">
        <f ca="1">IFERROR(__xludf.DUMMYFUNCTION("""COMPUTED_VALUE"""),"Execution Capabilities")</f>
        <v>Execution Capabilities</v>
      </c>
      <c r="S101" s="130" t="str">
        <f ca="1">IFERROR(__xludf.DUMMYFUNCTION("""COMPUTED_VALUE"""),"Strategic Review")</f>
        <v>Strategic Review</v>
      </c>
      <c r="T101" s="130" t="str">
        <f ca="1">IFERROR(__xludf.DUMMYFUNCTION("""COMPUTED_VALUE"""),"1. Generación de Ingresos")</f>
        <v>1. Generación de Ingresos</v>
      </c>
      <c r="U101" s="130" t="str">
        <f ca="1">IFERROR(__xludf.DUMMYFUNCTION("""COMPUTED_VALUE"""),"1.1. Proyectos de Hipotecario")</f>
        <v>1.1. Proyectos de Hipotecario</v>
      </c>
      <c r="V101" s="4" t="str">
        <f ca="1">IFERROR(__xludf.DUMMYFUNCTION("""COMPUTED_VALUE"""),"Descarga operativa")</f>
        <v>Descarga operativa</v>
      </c>
      <c r="W101" s="4">
        <f ca="1">IFERROR(__xludf.DUMMYFUNCTION("""COMPUTED_VALUE"""),1)</f>
        <v>1</v>
      </c>
      <c r="X101" s="4" t="str">
        <f ca="1">IFERROR(__xludf.DUMMYFUNCTION("""COMPUTED_VALUE"""),"04. Relationship Models")</f>
        <v>04. Relationship Models</v>
      </c>
      <c r="Y101" s="4" t="str">
        <f ca="1">IFERROR(__xludf.DUMMYFUNCTION("""COMPUTED_VALUE"""),"5.7.1 Keep the Bank Running")</f>
        <v>5.7.1 Keep the Bank Running</v>
      </c>
      <c r="Z101" s="132" t="str">
        <f ca="1">IFERROR(__xludf.DUMMYFUNCTION("""COMPUTED_VALUE"""),"712304")</f>
        <v>712304</v>
      </c>
      <c r="AA101" s="4" t="str">
        <f ca="1">IFERROR(__xludf.DUMMYFUNCTION("""COMPUTED_VALUE"""),"Reserva de Cobertura / Leasing")</f>
        <v>Reserva de Cobertura / Leasing</v>
      </c>
      <c r="AB101" s="4" t="str">
        <f ca="1">IFERROR(__xludf.DUMMYFUNCTION("""COMPUTED_VALUE"""),"Reserva de Cobertura / Leasing  (7 actividades)")</f>
        <v>Reserva de Cobertura / Leasing  (7 actividades)</v>
      </c>
      <c r="AC101" s="4" t="str">
        <f ca="1">IFERROR(__xludf.DUMMYFUNCTION("""COMPUTED_VALUE"""),"2Q 2023")</f>
        <v>2Q 2023</v>
      </c>
      <c r="AD101" s="4"/>
      <c r="AE101" s="4"/>
      <c r="AF101" s="4"/>
      <c r="AG101" s="4"/>
      <c r="AH101" s="4"/>
      <c r="AI101" s="4"/>
      <c r="AJ101" s="4"/>
      <c r="AK101" s="131" t="str">
        <f ca="1">IFERROR(__xludf.DUMMYFUNCTION("""COMPUTED_VALUE"""),"COLWSCANAL-11853")</f>
        <v>COLWSCANAL-11853</v>
      </c>
      <c r="AL101" s="4" t="str">
        <f ca="1">IFERROR(__xludf.DUMMYFUNCTION("""COMPUTED_VALUE"""),"En progreso")</f>
        <v>En progreso</v>
      </c>
      <c r="AM101" s="4"/>
      <c r="AN101" s="4" t="str">
        <f ca="1">IFERROR(__xludf.DUMMYFUNCTION("""COMPUTED_VALUE"""),"Entregable en backlog")</f>
        <v>Entregable en backlog</v>
      </c>
      <c r="AO101" s="4" t="str">
        <f ca="1">IFERROR(__xludf.DUMMYFUNCTION("""COMPUTED_VALUE"""),"Vivienda")</f>
        <v>Vivienda</v>
      </c>
      <c r="AP101" s="4"/>
      <c r="AQ101" s="4"/>
      <c r="AR101" s="4" t="str">
        <f ca="1">IFERROR(__xludf.DUMMYFUNCTION("""COMPUTED_VALUE"""),"SDA aprobada en PPP Q1 2023")</f>
        <v>SDA aprobada en PPP Q1 2023</v>
      </c>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row>
    <row r="102" spans="1:132" x14ac:dyDescent="0.2">
      <c r="A102" s="4">
        <f ca="1">IFERROR(__xludf.DUMMYFUNCTION("""COMPUTED_VALUE"""),102)</f>
        <v>102</v>
      </c>
      <c r="B102" s="4">
        <f ca="1">IFERROR(__xludf.DUMMYFUNCTION("""COMPUTED_VALUE"""),93)</f>
        <v>93</v>
      </c>
      <c r="C102" s="4" t="str">
        <f ca="1">IFERROR(__xludf.DUMMYFUNCTION("""COMPUTED_VALUE"""),"SDATOOL-31326")</f>
        <v>SDATOOL-31326</v>
      </c>
      <c r="D102" s="4" t="str">
        <f ca="1">IFERROR(__xludf.DUMMYFUNCTION("""COMPUTED_VALUE"""),"Legalización Hipotecario")</f>
        <v>Legalización Hipotecario</v>
      </c>
      <c r="E102"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2" s="4" t="str">
        <f ca="1">IFERROR(__xludf.DUMMYFUNCTION("""COMPUTED_VALUE"""),"Project")</f>
        <v>Project</v>
      </c>
      <c r="G102" s="4" t="str">
        <f ca="1">IFERROR(__xludf.DUMMYFUNCTION("""COMPUTED_VALUE"""),"Stock")</f>
        <v>Stock</v>
      </c>
      <c r="H102" s="4" t="str">
        <f ca="1">IFERROR(__xludf.DUMMYFUNCTION("""COMPUTED_VALUE"""),"2Q 2023")</f>
        <v>2Q 2023</v>
      </c>
      <c r="I102" s="131" t="str">
        <f ca="1">IFERROR(__xludf.DUMMYFUNCTION("""COMPUTED_VALUE"""),"jimy.catolico-bbva.com")</f>
        <v>jimy.catolico-bbva.com</v>
      </c>
      <c r="J102" s="131" t="str">
        <f ca="1">IFERROR(__xludf.DUMMYFUNCTION("""COMPUTED_VALUE"""),"wilson.vera-bbva.com")</f>
        <v>wilson.vera-bbva.com</v>
      </c>
      <c r="K102" s="131" t="str">
        <f ca="1">IFERROR(__xludf.DUMMYFUNCTION("""COMPUTED_VALUE"""),"luz.rodriguez-bbva.com")</f>
        <v>luz.rodriguez-bbva.com</v>
      </c>
      <c r="L102" s="4"/>
      <c r="M102" s="4"/>
      <c r="N102" s="4"/>
      <c r="O102" s="4" t="str">
        <f ca="1">IFERROR(__xludf.DUMMYFUNCTION("""COMPUTED_VALUE"""),"Waterfall")</f>
        <v>Waterfall</v>
      </c>
      <c r="P102" s="4" t="str">
        <f ca="1">IFERROR(__xludf.DUMMYFUNCTION("""COMPUTED_VALUE"""),"Tradicional")</f>
        <v>Tradicional</v>
      </c>
      <c r="Q102" s="4"/>
      <c r="R102" s="130" t="str">
        <f ca="1">IFERROR(__xludf.DUMMYFUNCTION("""COMPUTED_VALUE"""),"Execution Capabilities")</f>
        <v>Execution Capabilities</v>
      </c>
      <c r="S102" s="130" t="str">
        <f ca="1">IFERROR(__xludf.DUMMYFUNCTION("""COMPUTED_VALUE"""),"Strategic Review")</f>
        <v>Strategic Review</v>
      </c>
      <c r="T102" s="130" t="str">
        <f ca="1">IFERROR(__xludf.DUMMYFUNCTION("""COMPUTED_VALUE"""),"1. Generación de Ingresos")</f>
        <v>1. Generación de Ingresos</v>
      </c>
      <c r="U102" s="130" t="str">
        <f ca="1">IFERROR(__xludf.DUMMYFUNCTION("""COMPUTED_VALUE"""),"1.1. Proyectos de Hipotecario")</f>
        <v>1.1. Proyectos de Hipotecario</v>
      </c>
      <c r="V102" s="4" t="str">
        <f ca="1">IFERROR(__xludf.DUMMYFUNCTION("""COMPUTED_VALUE"""),"Descarga operativa")</f>
        <v>Descarga operativa</v>
      </c>
      <c r="W102" s="4">
        <f ca="1">IFERROR(__xludf.DUMMYFUNCTION("""COMPUTED_VALUE"""),1)</f>
        <v>1</v>
      </c>
      <c r="X102" s="4" t="str">
        <f ca="1">IFERROR(__xludf.DUMMYFUNCTION("""COMPUTED_VALUE"""),"04. Relationship Models")</f>
        <v>04. Relationship Models</v>
      </c>
      <c r="Y102" s="4" t="str">
        <f ca="1">IFERROR(__xludf.DUMMYFUNCTION("""COMPUTED_VALUE"""),"5.7.1 Keep the Bank Running")</f>
        <v>5.7.1 Keep the Bank Running</v>
      </c>
      <c r="Z102" s="132" t="str">
        <f ca="1">IFERROR(__xludf.DUMMYFUNCTION("""COMPUTED_VALUE"""),"713189")</f>
        <v>713189</v>
      </c>
      <c r="AA102" s="4" t="str">
        <f ca="1">IFERROR(__xludf.DUMMYFUNCTION("""COMPUTED_VALUE"""),"Reporteria y mejoras implantación")</f>
        <v>Reporteria y mejoras implantación</v>
      </c>
      <c r="AB102" s="4" t="str">
        <f ca="1">IFERROR(__xludf.DUMMYFUNCTION("""COMPUTED_VALUE"""),"Generar reportes para el seguimiento de la operación.")</f>
        <v>Generar reportes para el seguimiento de la operación.</v>
      </c>
      <c r="AC102" s="4" t="str">
        <f ca="1">IFERROR(__xludf.DUMMYFUNCTION("""COMPUTED_VALUE"""),"3Q 2023")</f>
        <v>3Q 2023</v>
      </c>
      <c r="AD102" s="4"/>
      <c r="AE102" s="4"/>
      <c r="AF102" s="4"/>
      <c r="AG102" s="4"/>
      <c r="AH102" s="4"/>
      <c r="AI102" s="4"/>
      <c r="AJ102" s="4"/>
      <c r="AK102" s="131" t="str">
        <f ca="1">IFERROR(__xludf.DUMMYFUNCTION("""COMPUTED_VALUE"""),"COLWSCANAL-13518")</f>
        <v>COLWSCANAL-13518</v>
      </c>
      <c r="AL102" s="4" t="str">
        <f ca="1">IFERROR(__xludf.DUMMYFUNCTION("""COMPUTED_VALUE"""),"New")</f>
        <v>New</v>
      </c>
      <c r="AM102" s="4"/>
      <c r="AN102" s="4" t="str">
        <f ca="1">IFERROR(__xludf.DUMMYFUNCTION("""COMPUTED_VALUE"""),"Entregable en backlog")</f>
        <v>Entregable en backlog</v>
      </c>
      <c r="AO102" s="4" t="str">
        <f ca="1">IFERROR(__xludf.DUMMYFUNCTION("""COMPUTED_VALUE"""),"Vivienda")</f>
        <v>Vivienda</v>
      </c>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row>
    <row r="103" spans="1:132" x14ac:dyDescent="0.2">
      <c r="A103" s="4">
        <f ca="1">IFERROR(__xludf.DUMMYFUNCTION("""COMPUTED_VALUE"""),103)</f>
        <v>103</v>
      </c>
      <c r="B103" s="4">
        <f ca="1">IFERROR(__xludf.DUMMYFUNCTION("""COMPUTED_VALUE"""),94)</f>
        <v>94</v>
      </c>
      <c r="C103" s="4" t="str">
        <f ca="1">IFERROR(__xludf.DUMMYFUNCTION("""COMPUTED_VALUE"""),"SDATOOL-37098")</f>
        <v>SDATOOL-37098</v>
      </c>
      <c r="D103" s="4" t="str">
        <f ca="1">IFERROR(__xludf.DUMMYFUNCTION("""COMPUTED_VALUE"""),"Pago de préstamos  en CBs")</f>
        <v>Pago de préstamos  en CBs</v>
      </c>
      <c r="E103" s="4" t="str">
        <f ca="1">IFERROR(__xludf.DUMMYFUNCTION("""COMPUTED_VALUE"""),"Queremos ampliar los canales físicos a nuestros clientes para que puedan realizar el pago de sus préstamos sin la necesidad de depender de una oficina para realizar estos pagos.
Para esto unimos la estrategia de corresponsales bancarios para permitir el "&amp;"pago a través de los más de 30.000 puntos que tenemos.")</f>
        <v>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v>
      </c>
      <c r="F103" s="4" t="str">
        <f ca="1">IFERROR(__xludf.DUMMYFUNCTION("""COMPUTED_VALUE"""),"Project")</f>
        <v>Project</v>
      </c>
      <c r="G103" s="4" t="str">
        <f ca="1">IFERROR(__xludf.DUMMYFUNCTION("""COMPUTED_VALUE"""),"Ended")</f>
        <v>Ended</v>
      </c>
      <c r="H103" s="4" t="str">
        <f ca="1">IFERROR(__xludf.DUMMYFUNCTION("""COMPUTED_VALUE"""),"1Q 2023")</f>
        <v>1Q 2023</v>
      </c>
      <c r="I103" s="131" t="str">
        <f ca="1">IFERROR(__xludf.DUMMYFUNCTION("""COMPUTED_VALUE"""),"jimy.catolico-bbva.com")</f>
        <v>jimy.catolico-bbva.com</v>
      </c>
      <c r="J103" s="131" t="str">
        <f ca="1">IFERROR(__xludf.DUMMYFUNCTION("""COMPUTED_VALUE"""),"erikajulieth.ruiz-bbva.com")</f>
        <v>erikajulieth.ruiz-bbva.com</v>
      </c>
      <c r="K103" s="131" t="str">
        <f ca="1">IFERROR(__xludf.DUMMYFUNCTION("""COMPUTED_VALUE"""),"juhan.lozano-bbva.com")</f>
        <v>juhan.lozano-bbva.com</v>
      </c>
      <c r="L103" s="130">
        <f ca="1">IFERROR(__xludf.DUMMYFUNCTION("""COMPUTED_VALUE"""),0)</f>
        <v>0</v>
      </c>
      <c r="M103" s="130">
        <f ca="1">IFERROR(__xludf.DUMMYFUNCTION("""COMPUTED_VALUE"""),0)</f>
        <v>0</v>
      </c>
      <c r="N103" s="130">
        <f ca="1">IFERROR(__xludf.DUMMYFUNCTION("""COMPUTED_VALUE"""),0)</f>
        <v>0</v>
      </c>
      <c r="O103" s="4" t="str">
        <f ca="1">IFERROR(__xludf.DUMMYFUNCTION("""COMPUTED_VALUE"""),"Waterfall")</f>
        <v>Waterfall</v>
      </c>
      <c r="P103" s="4" t="str">
        <f ca="1">IFERROR(__xludf.DUMMYFUNCTION("""COMPUTED_VALUE"""),"Tradicional")</f>
        <v>Tradicional</v>
      </c>
      <c r="Q103" s="4"/>
      <c r="R103" s="130" t="str">
        <f ca="1">IFERROR(__xludf.DUMMYFUNCTION("""COMPUTED_VALUE"""),"Business Innovation &amp; Strategy")</f>
        <v>Business Innovation &amp; Strategy</v>
      </c>
      <c r="S103" s="130" t="str">
        <f ca="1">IFERROR(__xludf.DUMMYFUNCTION("""COMPUTED_VALUE"""),"Strategic Review")</f>
        <v>Strategic Review</v>
      </c>
      <c r="T103" s="130" t="str">
        <f ca="1">IFERROR(__xludf.DUMMYFUNCTION("""COMPUTED_VALUE"""),"Generación de Eficiencias")</f>
        <v>Generación de Eficiencias</v>
      </c>
      <c r="U103" s="130" t="str">
        <f ca="1">IFERROR(__xludf.DUMMYFUNCTION("""COMPUTED_VALUE"""),"No Aplica")</f>
        <v>No Aplica</v>
      </c>
      <c r="V103" s="4" t="str">
        <f ca="1">IFERROR(__xludf.DUMMYFUNCTION("""COMPUTED_VALUE"""),"CBs")</f>
        <v>CBs</v>
      </c>
      <c r="W103" s="4">
        <f ca="1">IFERROR(__xludf.DUMMYFUNCTION("""COMPUTED_VALUE"""),2)</f>
        <v>2</v>
      </c>
      <c r="X103" s="4" t="str">
        <f ca="1">IFERROR(__xludf.DUMMYFUNCTION("""COMPUTED_VALUE"""),"04. Relationship Models")</f>
        <v>04. Relationship Models</v>
      </c>
      <c r="Y103" s="4" t="str">
        <f ca="1">IFERROR(__xludf.DUMMYFUNCTION("""COMPUTED_VALUE"""),"5.6.6 Non Global Project")</f>
        <v>5.6.6 Non Global Project</v>
      </c>
      <c r="Z103" s="132" t="str">
        <f ca="1">IFERROR(__xludf.DUMMYFUNCTION("""COMPUTED_VALUE"""),"310208")</f>
        <v>310208</v>
      </c>
      <c r="AA103" s="4" t="str">
        <f ca="1">IFERROR(__xludf.DUMMYFUNCTION("""COMPUTED_VALUE"""),"Habilitador Pago de préstamos en CBs")</f>
        <v>Habilitador Pago de préstamos en CBs</v>
      </c>
      <c r="AB103" s="4" t="str">
        <f ca="1">IFERROR(__xludf.DUMMYFUNCTION("""COMPUTED_VALUE"""),"Habilitador Pago de préstamos en CBs")</f>
        <v>Habilitador Pago de préstamos en CBs</v>
      </c>
      <c r="AC103" s="4" t="str">
        <f ca="1">IFERROR(__xludf.DUMMYFUNCTION("""COMPUTED_VALUE"""),"4Q 2022")</f>
        <v>4Q 2022</v>
      </c>
      <c r="AD103" s="128">
        <f ca="1">IFERROR(__xludf.DUMMYFUNCTION("""COMPUTED_VALUE"""),44562)</f>
        <v>44562</v>
      </c>
      <c r="AE103" s="128">
        <f ca="1">IFERROR(__xludf.DUMMYFUNCTION("""COMPUTED_VALUE"""),44592)</f>
        <v>44592</v>
      </c>
      <c r="AF103" s="128">
        <f ca="1">IFERROR(__xludf.DUMMYFUNCTION("""COMPUTED_VALUE"""),44593)</f>
        <v>44593</v>
      </c>
      <c r="AG103" s="128">
        <f ca="1">IFERROR(__xludf.DUMMYFUNCTION("""COMPUTED_VALUE"""),44775)</f>
        <v>44775</v>
      </c>
      <c r="AH103" s="128">
        <f ca="1">IFERROR(__xludf.DUMMYFUNCTION("""COMPUTED_VALUE"""),44782)</f>
        <v>44782</v>
      </c>
      <c r="AI103" s="128">
        <f ca="1">IFERROR(__xludf.DUMMYFUNCTION("""COMPUTED_VALUE"""),44814)</f>
        <v>44814</v>
      </c>
      <c r="AJ103" s="128">
        <f ca="1">IFERROR(__xludf.DUMMYFUNCTION("""COMPUTED_VALUE"""),44821)</f>
        <v>44821</v>
      </c>
      <c r="AK103" s="131" t="str">
        <f ca="1">IFERROR(__xludf.DUMMYFUNCTION("""COMPUTED_VALUE"""),"COLWSCANAL-933")</f>
        <v>COLWSCANAL-933</v>
      </c>
      <c r="AL103" s="4" t="str">
        <f ca="1">IFERROR(__xludf.DUMMYFUNCTION("""COMPUTED_VALUE"""),"Deployed")</f>
        <v>Deployed</v>
      </c>
      <c r="AM103" s="4" t="str">
        <f ca="1">IFERROR(__xludf.DUMMYFUNCTION("""COMPUTED_VALUE"""),"""28/06 En curso desarrollos, se instala una primera parte la segunda semana de agosto, y la segunda semana de sepriembre se instala la confirmación del apgo """)</f>
        <v>"28/06 En curso desarrollos, se instala una primera parte la segunda semana de agosto, y la segunda semana de sepriembre se instala la confirmación del apgo "</v>
      </c>
      <c r="AN103" s="4" t="str">
        <f ca="1">IFERROR(__xludf.DUMMYFUNCTION("""COMPUTED_VALUE"""),"Finalizado")</f>
        <v>Finalizado</v>
      </c>
      <c r="AO103" s="4" t="str">
        <f ca="1">IFERROR(__xludf.DUMMYFUNCTION("""COMPUTED_VALUE"""),"Transformación de la Red")</f>
        <v>Transformación de la Red</v>
      </c>
      <c r="AP103" s="4"/>
      <c r="AQ103" s="4"/>
      <c r="AR103" s="4" t="str">
        <f ca="1">IFERROR(__xludf.DUMMYFUNCTION("""COMPUTED_VALUE"""),"SDA aprobada en PPP Q1 2023")</f>
        <v>SDA aprobada en PPP Q1 2023</v>
      </c>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133">
        <f ca="1">IFERROR(__xludf.DUMMYFUNCTION("""COMPUTED_VALUE"""),0)</f>
        <v>0</v>
      </c>
      <c r="DV103" s="133">
        <f ca="1">IFERROR(__xludf.DUMMYFUNCTION("""COMPUTED_VALUE"""),0)</f>
        <v>0</v>
      </c>
      <c r="DW103" s="133">
        <f ca="1">IFERROR(__xludf.DUMMYFUNCTION("""COMPUTED_VALUE"""),37499933)</f>
        <v>37499933</v>
      </c>
      <c r="DX103" s="133">
        <f ca="1">IFERROR(__xludf.DUMMYFUNCTION("""COMPUTED_VALUE"""),29999922)</f>
        <v>29999922</v>
      </c>
      <c r="DY103" s="133">
        <f ca="1">IFERROR(__xludf.DUMMYFUNCTION("""COMPUTED_VALUE"""),0)</f>
        <v>0</v>
      </c>
      <c r="DZ103" s="133">
        <f ca="1">IFERROR(__xludf.DUMMYFUNCTION("""COMPUTED_VALUE"""),67499855)</f>
        <v>67499855</v>
      </c>
      <c r="EA103" s="4"/>
      <c r="EB103" s="4"/>
    </row>
    <row r="104" spans="1:132" x14ac:dyDescent="0.2">
      <c r="A104" s="4">
        <f ca="1">IFERROR(__xludf.DUMMYFUNCTION("""COMPUTED_VALUE"""),104)</f>
        <v>104</v>
      </c>
      <c r="B104" s="4">
        <f ca="1">IFERROR(__xludf.DUMMYFUNCTION("""COMPUTED_VALUE"""),95)</f>
        <v>95</v>
      </c>
      <c r="C104" s="4" t="str">
        <f ca="1">IFERROR(__xludf.DUMMYFUNCTION("""COMPUTED_VALUE"""),"SDATOOL-37099")</f>
        <v>SDATOOL-37099</v>
      </c>
      <c r="D104" s="4" t="str">
        <f ca="1">IFERROR(__xludf.DUMMYFUNCTION("""COMPUTED_VALUE"""),"Pago de tarjeta de crédito en CBs")</f>
        <v>Pago de tarjeta de crédito en CBs</v>
      </c>
      <c r="E104" s="4" t="str">
        <f ca="1">IFERROR(__xludf.DUMMYFUNCTION("""COMPUTED_VALUE"""),"Queremos ampliar los canales físicos a nuestros clientes para que puedan realizar el pago de sus préstamos sin la necesidad de depender de una oficina para realizar estos pagos.
Para esto unimos la estrategia de corresponsales bancarios para permitir el "&amp;"pago a través de los más de 30.000 puntos que tenemos.")</f>
        <v>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v>
      </c>
      <c r="F104" s="4" t="str">
        <f ca="1">IFERROR(__xludf.DUMMYFUNCTION("""COMPUTED_VALUE"""),"Project")</f>
        <v>Project</v>
      </c>
      <c r="G104" s="4" t="str">
        <f ca="1">IFERROR(__xludf.DUMMYFUNCTION("""COMPUTED_VALUE"""),"Ended")</f>
        <v>Ended</v>
      </c>
      <c r="H104" s="4" t="str">
        <f ca="1">IFERROR(__xludf.DUMMYFUNCTION("""COMPUTED_VALUE"""),"1Q 2023")</f>
        <v>1Q 2023</v>
      </c>
      <c r="I104" s="131" t="str">
        <f ca="1">IFERROR(__xludf.DUMMYFUNCTION("""COMPUTED_VALUE"""),"jimy.catolico-bbva.com")</f>
        <v>jimy.catolico-bbva.com</v>
      </c>
      <c r="J104" s="131" t="str">
        <f ca="1">IFERROR(__xludf.DUMMYFUNCTION("""COMPUTED_VALUE"""),"erikajulieth.ruiz-bbva.com")</f>
        <v>erikajulieth.ruiz-bbva.com</v>
      </c>
      <c r="K104" s="131" t="str">
        <f ca="1">IFERROR(__xludf.DUMMYFUNCTION("""COMPUTED_VALUE"""),"juhan.lozano-bbva.com")</f>
        <v>juhan.lozano-bbva.com</v>
      </c>
      <c r="L104" s="130">
        <f ca="1">IFERROR(__xludf.DUMMYFUNCTION("""COMPUTED_VALUE"""),0)</f>
        <v>0</v>
      </c>
      <c r="M104" s="130">
        <f ca="1">IFERROR(__xludf.DUMMYFUNCTION("""COMPUTED_VALUE"""),0)</f>
        <v>0</v>
      </c>
      <c r="N104" s="130">
        <f ca="1">IFERROR(__xludf.DUMMYFUNCTION("""COMPUTED_VALUE"""),0)</f>
        <v>0</v>
      </c>
      <c r="O104" s="4" t="str">
        <f ca="1">IFERROR(__xludf.DUMMYFUNCTION("""COMPUTED_VALUE"""),"Waterfall")</f>
        <v>Waterfall</v>
      </c>
      <c r="P104" s="4" t="str">
        <f ca="1">IFERROR(__xludf.DUMMYFUNCTION("""COMPUTED_VALUE"""),"Tradicional")</f>
        <v>Tradicional</v>
      </c>
      <c r="Q104" s="4"/>
      <c r="R104" s="130" t="str">
        <f ca="1">IFERROR(__xludf.DUMMYFUNCTION("""COMPUTED_VALUE"""),"Business Innovation &amp; Strategy")</f>
        <v>Business Innovation &amp; Strategy</v>
      </c>
      <c r="S104" s="130" t="str">
        <f ca="1">IFERROR(__xludf.DUMMYFUNCTION("""COMPUTED_VALUE"""),"Strategic Review")</f>
        <v>Strategic Review</v>
      </c>
      <c r="T104" s="130" t="str">
        <f ca="1">IFERROR(__xludf.DUMMYFUNCTION("""COMPUTED_VALUE"""),"Generación de Eficiencias")</f>
        <v>Generación de Eficiencias</v>
      </c>
      <c r="U104" s="130" t="str">
        <f ca="1">IFERROR(__xludf.DUMMYFUNCTION("""COMPUTED_VALUE"""),"No Aplica")</f>
        <v>No Aplica</v>
      </c>
      <c r="V104" s="4" t="str">
        <f ca="1">IFERROR(__xludf.DUMMYFUNCTION("""COMPUTED_VALUE"""),"CBs")</f>
        <v>CBs</v>
      </c>
      <c r="W104" s="4">
        <f ca="1">IFERROR(__xludf.DUMMYFUNCTION("""COMPUTED_VALUE"""),2)</f>
        <v>2</v>
      </c>
      <c r="X104" s="4" t="str">
        <f ca="1">IFERROR(__xludf.DUMMYFUNCTION("""COMPUTED_VALUE"""),"04. Relationship Models")</f>
        <v>04. Relationship Models</v>
      </c>
      <c r="Y104" s="4" t="str">
        <f ca="1">IFERROR(__xludf.DUMMYFUNCTION("""COMPUTED_VALUE"""),"5.6.6 Non Global Project")</f>
        <v>5.6.6 Non Global Project</v>
      </c>
      <c r="Z104" s="132" t="str">
        <f ca="1">IFERROR(__xludf.DUMMYFUNCTION("""COMPUTED_VALUE"""),"310209")</f>
        <v>310209</v>
      </c>
      <c r="AA104" s="4" t="str">
        <f ca="1">IFERROR(__xludf.DUMMYFUNCTION("""COMPUTED_VALUE"""),"Habilitador Pago de TDC")</f>
        <v>Habilitador Pago de TDC</v>
      </c>
      <c r="AB104" s="4" t="str">
        <f ca="1">IFERROR(__xludf.DUMMYFUNCTION("""COMPUTED_VALUE"""),"Pago de TDC")</f>
        <v>Pago de TDC</v>
      </c>
      <c r="AC104" s="4" t="str">
        <f ca="1">IFERROR(__xludf.DUMMYFUNCTION("""COMPUTED_VALUE"""),"4Q 2022")</f>
        <v>4Q 2022</v>
      </c>
      <c r="AD104" s="128">
        <f ca="1">IFERROR(__xludf.DUMMYFUNCTION("""COMPUTED_VALUE"""),44562)</f>
        <v>44562</v>
      </c>
      <c r="AE104" s="128">
        <f ca="1">IFERROR(__xludf.DUMMYFUNCTION("""COMPUTED_VALUE"""),44592)</f>
        <v>44592</v>
      </c>
      <c r="AF104" s="128">
        <f ca="1">IFERROR(__xludf.DUMMYFUNCTION("""COMPUTED_VALUE"""),44593)</f>
        <v>44593</v>
      </c>
      <c r="AG104" s="128">
        <f ca="1">IFERROR(__xludf.DUMMYFUNCTION("""COMPUTED_VALUE"""),44834)</f>
        <v>44834</v>
      </c>
      <c r="AH104" s="128">
        <f ca="1">IFERROR(__xludf.DUMMYFUNCTION("""COMPUTED_VALUE"""),44838)</f>
        <v>44838</v>
      </c>
      <c r="AI104" s="128">
        <f ca="1">IFERROR(__xludf.DUMMYFUNCTION("""COMPUTED_VALUE"""),44849)</f>
        <v>44849</v>
      </c>
      <c r="AJ104" s="128">
        <f ca="1">IFERROR(__xludf.DUMMYFUNCTION("""COMPUTED_VALUE"""),44856)</f>
        <v>44856</v>
      </c>
      <c r="AK104" s="131" t="str">
        <f ca="1">IFERROR(__xludf.DUMMYFUNCTION("""COMPUTED_VALUE"""),"COLWSCANAL-13449")</f>
        <v>COLWSCANAL-13449</v>
      </c>
      <c r="AL104" s="4" t="str">
        <f ca="1">IFERROR(__xludf.DUMMYFUNCTION("""COMPUTED_VALUE"""),"Deployed")</f>
        <v>Deployed</v>
      </c>
      <c r="AM104" s="4" t="str">
        <f ca="1">IFERROR(__xludf.DUMMYFUNCTION("""COMPUTED_VALUE"""),"""28/06 continua en desarrollo, los temas de Datapower estan impactados pq  no han iniciado, la próxima semana vamos a tener un externo, en curso firma del anexo""")</f>
        <v>"28/06 continua en desarrollo, los temas de Datapower estan impactados pq  no han iniciado, la próxima semana vamos a tener un externo, en curso firma del anexo"</v>
      </c>
      <c r="AN104" s="4" t="str">
        <f ca="1">IFERROR(__xludf.DUMMYFUNCTION("""COMPUTED_VALUE"""),"Finalizado")</f>
        <v>Finalizado</v>
      </c>
      <c r="AO104" s="4" t="str">
        <f ca="1">IFERROR(__xludf.DUMMYFUNCTION("""COMPUTED_VALUE"""),"Transformación de la Red")</f>
        <v>Transformación de la Red</v>
      </c>
      <c r="AP104" s="4"/>
      <c r="AQ104" s="4"/>
      <c r="AR104" s="4" t="str">
        <f ca="1">IFERROR(__xludf.DUMMYFUNCTION("""COMPUTED_VALUE"""),"SDA aprobada en PPP Q1 2023")</f>
        <v>SDA aprobada en PPP Q1 2023</v>
      </c>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133">
        <f ca="1">IFERROR(__xludf.DUMMYFUNCTION("""COMPUTED_VALUE"""),0)</f>
        <v>0</v>
      </c>
      <c r="DV104" s="133">
        <f ca="1">IFERROR(__xludf.DUMMYFUNCTION("""COMPUTED_VALUE"""),0)</f>
        <v>0</v>
      </c>
      <c r="DW104" s="133">
        <f ca="1">IFERROR(__xludf.DUMMYFUNCTION("""COMPUTED_VALUE"""),67499798)</f>
        <v>67499798</v>
      </c>
      <c r="DX104" s="133">
        <f ca="1">IFERROR(__xludf.DUMMYFUNCTION("""COMPUTED_VALUE"""),29999868)</f>
        <v>29999868</v>
      </c>
      <c r="DY104" s="133">
        <f ca="1">IFERROR(__xludf.DUMMYFUNCTION("""COMPUTED_VALUE"""),0)</f>
        <v>0</v>
      </c>
      <c r="DZ104" s="133">
        <f ca="1">IFERROR(__xludf.DUMMYFUNCTION("""COMPUTED_VALUE"""),97499666)</f>
        <v>97499666</v>
      </c>
      <c r="EA104" s="4"/>
      <c r="EB104" s="4"/>
    </row>
    <row r="105" spans="1:132" x14ac:dyDescent="0.2">
      <c r="A105" s="4">
        <f ca="1">IFERROR(__xludf.DUMMYFUNCTION("""COMPUTED_VALUE"""),105)</f>
        <v>105</v>
      </c>
      <c r="B105" s="4">
        <f ca="1">IFERROR(__xludf.DUMMYFUNCTION("""COMPUTED_VALUE"""),96)</f>
        <v>96</v>
      </c>
      <c r="C105" s="4" t="str">
        <f ca="1">IFERROR(__xludf.DUMMYFUNCTION("""COMPUTED_VALUE"""),"SDATOOL-33947")</f>
        <v>SDATOOL-33947</v>
      </c>
      <c r="D105" s="4" t="str">
        <f ca="1">IFERROR(__xludf.DUMMYFUNCTION("""COMPUTED_VALUE"""),"Sinergias Bancamia")</f>
        <v>Sinergias Bancamia</v>
      </c>
      <c r="E105"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5" s="4" t="str">
        <f ca="1">IFERROR(__xludf.DUMMYFUNCTION("""COMPUTED_VALUE"""),"Project")</f>
        <v>Project</v>
      </c>
      <c r="G105" s="4" t="str">
        <f ca="1">IFERROR(__xludf.DUMMYFUNCTION("""COMPUTED_VALUE"""),"Stock")</f>
        <v>Stock</v>
      </c>
      <c r="H105" s="4" t="str">
        <f ca="1">IFERROR(__xludf.DUMMYFUNCTION("""COMPUTED_VALUE"""),"3Q 2023")</f>
        <v>3Q 2023</v>
      </c>
      <c r="I105" s="131" t="str">
        <f ca="1">IFERROR(__xludf.DUMMYFUNCTION("""COMPUTED_VALUE"""),"jimy.catolico-bbva.com")</f>
        <v>jimy.catolico-bbva.com</v>
      </c>
      <c r="J105" s="131" t="str">
        <f ca="1">IFERROR(__xludf.DUMMYFUNCTION("""COMPUTED_VALUE"""),"erikajulieth.ruiz-bbva.com")</f>
        <v>erikajulieth.ruiz-bbva.com</v>
      </c>
      <c r="K105" s="131" t="str">
        <f ca="1">IFERROR(__xludf.DUMMYFUNCTION("""COMPUTED_VALUE"""),"juhan.lozano-bbva.com")</f>
        <v>juhan.lozano-bbva.com</v>
      </c>
      <c r="L105" s="130">
        <f ca="1">IFERROR(__xludf.DUMMYFUNCTION("""COMPUTED_VALUE"""),0.3)</f>
        <v>0.3</v>
      </c>
      <c r="M105" s="130">
        <f ca="1">IFERROR(__xludf.DUMMYFUNCTION("""COMPUTED_VALUE"""),0.8)</f>
        <v>0.8</v>
      </c>
      <c r="N105" s="130">
        <f ca="1">IFERROR(__xludf.DUMMYFUNCTION("""COMPUTED_VALUE"""),0.02)</f>
        <v>0.02</v>
      </c>
      <c r="O105" s="4" t="str">
        <f ca="1">IFERROR(__xludf.DUMMYFUNCTION("""COMPUTED_VALUE"""),"Waterfall")</f>
        <v>Waterfall</v>
      </c>
      <c r="P105" s="4" t="str">
        <f ca="1">IFERROR(__xludf.DUMMYFUNCTION("""COMPUTED_VALUE"""),"Tradicional")</f>
        <v>Tradicional</v>
      </c>
      <c r="Q105" s="4"/>
      <c r="R105" s="130" t="str">
        <f ca="1">IFERROR(__xludf.DUMMYFUNCTION("""COMPUTED_VALUE"""),"Business Innovation &amp; Strategy")</f>
        <v>Business Innovation &amp; Strategy</v>
      </c>
      <c r="S105" s="130" t="str">
        <f ca="1">IFERROR(__xludf.DUMMYFUNCTION("""COMPUTED_VALUE"""),"Area Review")</f>
        <v>Area Review</v>
      </c>
      <c r="T105" s="130" t="str">
        <f ca="1">IFERROR(__xludf.DUMMYFUNCTION("""COMPUTED_VALUE"""),"Otros")</f>
        <v>Otros</v>
      </c>
      <c r="U105" s="130" t="str">
        <f ca="1">IFERROR(__xludf.DUMMYFUNCTION("""COMPUTED_VALUE"""),"No Aplica")</f>
        <v>No Aplica</v>
      </c>
      <c r="V105" s="4" t="str">
        <f ca="1">IFERROR(__xludf.DUMMYFUNCTION("""COMPUTED_VALUE"""),"CBs")</f>
        <v>CBs</v>
      </c>
      <c r="W105" s="4">
        <f ca="1">IFERROR(__xludf.DUMMYFUNCTION("""COMPUTED_VALUE"""),2)</f>
        <v>2</v>
      </c>
      <c r="X105" s="4" t="str">
        <f ca="1">IFERROR(__xludf.DUMMYFUNCTION("""COMPUTED_VALUE"""),"04. Relationship Models")</f>
        <v>04. Relationship Models</v>
      </c>
      <c r="Y105" s="4" t="str">
        <f ca="1">IFERROR(__xludf.DUMMYFUNCTION("""COMPUTED_VALUE"""),"5.6.6 Non Global Project")</f>
        <v>5.6.6 Non Global Project</v>
      </c>
      <c r="Z105" s="132" t="str">
        <f ca="1">IFERROR(__xludf.DUMMYFUNCTION("""COMPUTED_VALUE"""),"136069")</f>
        <v>136069</v>
      </c>
      <c r="AA105" s="4" t="str">
        <f ca="1">IFERROR(__xludf.DUMMYFUNCTION("""COMPUTED_VALUE"""),"Depositos a cuentas de clientes BBVA")</f>
        <v>Depositos a cuentas de clientes BBVA</v>
      </c>
      <c r="AB105" s="4" t="str">
        <f ca="1">IFERROR(__xludf.DUMMYFUNCTION("""COMPUTED_VALUE"""),"Depositos a cuentas de clientes BBVA")</f>
        <v>Depositos a cuentas de clientes BBVA</v>
      </c>
      <c r="AC105" s="4" t="str">
        <f ca="1">IFERROR(__xludf.DUMMYFUNCTION("""COMPUTED_VALUE"""),"3Q 2022")</f>
        <v>3Q 2022</v>
      </c>
      <c r="AD105" s="128">
        <f ca="1">IFERROR(__xludf.DUMMYFUNCTION("""COMPUTED_VALUE"""),44501)</f>
        <v>44501</v>
      </c>
      <c r="AE105" s="128">
        <f ca="1">IFERROR(__xludf.DUMMYFUNCTION("""COMPUTED_VALUE"""),44531)</f>
        <v>44531</v>
      </c>
      <c r="AF105" s="128">
        <f ca="1">IFERROR(__xludf.DUMMYFUNCTION("""COMPUTED_VALUE"""),44562)</f>
        <v>44562</v>
      </c>
      <c r="AG105" s="128">
        <f ca="1">IFERROR(__xludf.DUMMYFUNCTION("""COMPUTED_VALUE"""),44711)</f>
        <v>44711</v>
      </c>
      <c r="AH105" s="128">
        <f ca="1">IFERROR(__xludf.DUMMYFUNCTION("""COMPUTED_VALUE"""),44713)</f>
        <v>44713</v>
      </c>
      <c r="AI105" s="128">
        <f ca="1">IFERROR(__xludf.DUMMYFUNCTION("""COMPUTED_VALUE"""),44742)</f>
        <v>44742</v>
      </c>
      <c r="AJ105" s="128">
        <f ca="1">IFERROR(__xludf.DUMMYFUNCTION("""COMPUTED_VALUE"""),44748)</f>
        <v>44748</v>
      </c>
      <c r="AK105" s="131" t="str">
        <f ca="1">IFERROR(__xludf.DUMMYFUNCTION("""COMPUTED_VALUE"""),"CCSS-7004")</f>
        <v>CCSS-7004</v>
      </c>
      <c r="AL105" s="4" t="str">
        <f ca="1">IFERROR(__xludf.DUMMYFUNCTION("""COMPUTED_VALUE"""),"Deployed")</f>
        <v>Deployed</v>
      </c>
      <c r="AM105" s="4" t="str">
        <f ca="1">IFERROR(__xludf.DUMMYFUNCTION("""COMPUTED_VALUE"""),"""28/06 El 8 de julio se instala segunto paquete, sin embargo queda pendiente la inetagración con Bancamia la cúal esta detenida pq Bancamia no ha iniciado las pruebas, por novedades """)</f>
        <v>"28/06 El 8 de julio se instala segunto paquete, sin embargo queda pendiente la inetagración con Bancamia la cúal esta detenida pq Bancamia no ha iniciado las pruebas, por novedades "</v>
      </c>
      <c r="AN105" s="4" t="str">
        <f ca="1">IFERROR(__xludf.DUMMYFUNCTION("""COMPUTED_VALUE"""),"Finalizado")</f>
        <v>Finalizado</v>
      </c>
      <c r="AO105" s="4" t="str">
        <f ca="1">IFERROR(__xludf.DUMMYFUNCTION("""COMPUTED_VALUE"""),"Transformación de la Red")</f>
        <v>Transformación de la Red</v>
      </c>
      <c r="AP105" s="4"/>
      <c r="AQ105" s="4"/>
      <c r="AR105" s="4" t="str">
        <f ca="1">IFERROR(__xludf.DUMMYFUNCTION("""COMPUTED_VALUE"""),"SDA aprobada en PPP Q1 2023")</f>
        <v>SDA aprobada en PPP Q1 2023</v>
      </c>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133">
        <f ca="1">IFERROR(__xludf.DUMMYFUNCTION("""COMPUTED_VALUE"""),0)</f>
        <v>0</v>
      </c>
      <c r="DV105" s="133">
        <f ca="1">IFERROR(__xludf.DUMMYFUNCTION("""COMPUTED_VALUE"""),197259459)</f>
        <v>197259459</v>
      </c>
      <c r="DW105" s="133">
        <f ca="1">IFERROR(__xludf.DUMMYFUNCTION("""COMPUTED_VALUE"""),46292691)</f>
        <v>46292691</v>
      </c>
      <c r="DX105" s="133">
        <f ca="1">IFERROR(__xludf.DUMMYFUNCTION("""COMPUTED_VALUE"""),243647331)</f>
        <v>243647331</v>
      </c>
      <c r="DY105" s="133">
        <f ca="1">IFERROR(__xludf.DUMMYFUNCTION("""COMPUTED_VALUE"""),0)</f>
        <v>0</v>
      </c>
      <c r="DZ105" s="133">
        <f ca="1">IFERROR(__xludf.DUMMYFUNCTION("""COMPUTED_VALUE"""),487199481)</f>
        <v>487199481</v>
      </c>
      <c r="EA105" s="4"/>
      <c r="EB105" s="4"/>
    </row>
    <row r="106" spans="1:132" x14ac:dyDescent="0.2">
      <c r="A106" s="4">
        <f ca="1">IFERROR(__xludf.DUMMYFUNCTION("""COMPUTED_VALUE"""),106)</f>
        <v>106</v>
      </c>
      <c r="B106" s="4">
        <f ca="1">IFERROR(__xludf.DUMMYFUNCTION("""COMPUTED_VALUE"""),97)</f>
        <v>97</v>
      </c>
      <c r="C106" s="4" t="str">
        <f ca="1">IFERROR(__xludf.DUMMYFUNCTION("""COMPUTED_VALUE"""),"SDATOOL-33947")</f>
        <v>SDATOOL-33947</v>
      </c>
      <c r="D106" s="4" t="str">
        <f ca="1">IFERROR(__xludf.DUMMYFUNCTION("""COMPUTED_VALUE"""),"Sinergias Bancamia")</f>
        <v>Sinergias Bancamia</v>
      </c>
      <c r="E106"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6" s="4" t="str">
        <f ca="1">IFERROR(__xludf.DUMMYFUNCTION("""COMPUTED_VALUE"""),"Project")</f>
        <v>Project</v>
      </c>
      <c r="G106" s="4" t="str">
        <f ca="1">IFERROR(__xludf.DUMMYFUNCTION("""COMPUTED_VALUE"""),"Stock")</f>
        <v>Stock</v>
      </c>
      <c r="H106" s="4" t="str">
        <f ca="1">IFERROR(__xludf.DUMMYFUNCTION("""COMPUTED_VALUE"""),"3Q 2023")</f>
        <v>3Q 2023</v>
      </c>
      <c r="I106" s="131" t="str">
        <f ca="1">IFERROR(__xludf.DUMMYFUNCTION("""COMPUTED_VALUE"""),"jimy.catolico-bbva.com")</f>
        <v>jimy.catolico-bbva.com</v>
      </c>
      <c r="J106" s="131" t="str">
        <f ca="1">IFERROR(__xludf.DUMMYFUNCTION("""COMPUTED_VALUE"""),"erikajulieth.ruiz-bbva.com")</f>
        <v>erikajulieth.ruiz-bbva.com</v>
      </c>
      <c r="K106" s="131" t="str">
        <f ca="1">IFERROR(__xludf.DUMMYFUNCTION("""COMPUTED_VALUE"""),"juhan.lozano-bbva.com")</f>
        <v>juhan.lozano-bbva.com</v>
      </c>
      <c r="L106" s="4"/>
      <c r="M106" s="4"/>
      <c r="N106" s="4"/>
      <c r="O106" s="4" t="str">
        <f ca="1">IFERROR(__xludf.DUMMYFUNCTION("""COMPUTED_VALUE"""),"Waterfall")</f>
        <v>Waterfall</v>
      </c>
      <c r="P106" s="4" t="str">
        <f ca="1">IFERROR(__xludf.DUMMYFUNCTION("""COMPUTED_VALUE"""),"Tradicional")</f>
        <v>Tradicional</v>
      </c>
      <c r="Q106" s="4"/>
      <c r="R106" s="130" t="str">
        <f ca="1">IFERROR(__xludf.DUMMYFUNCTION("""COMPUTED_VALUE"""),"Business Innovation &amp; Strategy")</f>
        <v>Business Innovation &amp; Strategy</v>
      </c>
      <c r="S106" s="130" t="str">
        <f ca="1">IFERROR(__xludf.DUMMYFUNCTION("""COMPUTED_VALUE"""),"Area Review")</f>
        <v>Area Review</v>
      </c>
      <c r="T106" s="130" t="str">
        <f ca="1">IFERROR(__xludf.DUMMYFUNCTION("""COMPUTED_VALUE"""),"Otros")</f>
        <v>Otros</v>
      </c>
      <c r="U106" s="130" t="str">
        <f ca="1">IFERROR(__xludf.DUMMYFUNCTION("""COMPUTED_VALUE"""),"No Aplica")</f>
        <v>No Aplica</v>
      </c>
      <c r="V106" s="4" t="str">
        <f ca="1">IFERROR(__xludf.DUMMYFUNCTION("""COMPUTED_VALUE"""),"CBs")</f>
        <v>CBs</v>
      </c>
      <c r="W106" s="4">
        <f ca="1">IFERROR(__xludf.DUMMYFUNCTION("""COMPUTED_VALUE"""),2)</f>
        <v>2</v>
      </c>
      <c r="X106" s="4" t="str">
        <f ca="1">IFERROR(__xludf.DUMMYFUNCTION("""COMPUTED_VALUE"""),"04. Relationship Models")</f>
        <v>04. Relationship Models</v>
      </c>
      <c r="Y106" s="4" t="str">
        <f ca="1">IFERROR(__xludf.DUMMYFUNCTION("""COMPUTED_VALUE"""),"5.6.6 Non Global Project")</f>
        <v>5.6.6 Non Global Project</v>
      </c>
      <c r="Z106" s="132" t="str">
        <f ca="1">IFERROR(__xludf.DUMMYFUNCTION("""COMPUTED_VALUE"""),"135441")</f>
        <v>135441</v>
      </c>
      <c r="AA106" s="4" t="str">
        <f ca="1">IFERROR(__xludf.DUMMYFUNCTION("""COMPUTED_VALUE"""),"Recaudos  Pago de servicios y algunos Impuestos")</f>
        <v>Recaudos  Pago de servicios y algunos Impuestos</v>
      </c>
      <c r="AB106" s="4" t="str">
        <f ca="1">IFERROR(__xludf.DUMMYFUNCTION("""COMPUTED_VALUE"""),"Recaudos  Pago de servicios y algunos Impuestos")</f>
        <v>Recaudos  Pago de servicios y algunos Impuestos</v>
      </c>
      <c r="AC106" s="4" t="str">
        <f ca="1">IFERROR(__xludf.DUMMYFUNCTION("""COMPUTED_VALUE"""),"3Q 2021")</f>
        <v>3Q 2021</v>
      </c>
      <c r="AD106" s="4"/>
      <c r="AE106" s="4"/>
      <c r="AF106" s="4"/>
      <c r="AG106" s="4"/>
      <c r="AH106" s="4"/>
      <c r="AI106" s="4"/>
      <c r="AJ106" s="4"/>
      <c r="AK106" s="131" t="str">
        <f ca="1">IFERROR(__xludf.DUMMYFUNCTION("""COMPUTED_VALUE"""),"CCSS-5046")</f>
        <v>CCSS-5046</v>
      </c>
      <c r="AL106" s="4" t="str">
        <f ca="1">IFERROR(__xludf.DUMMYFUNCTION("""COMPUTED_VALUE"""),"Deployed")</f>
        <v>Deployed</v>
      </c>
      <c r="AM106" s="4" t="str">
        <f ca="1">IFERROR(__xludf.DUMMYFUNCTION("""COMPUTED_VALUE"""),"""9 Feb
Estamos en producción y Bancamia no nos da fechas para iniciar, en manos de  de Edna. - Pendiente comunicación""")</f>
        <v>"9 Feb
Estamos en producción y Bancamia no nos da fechas para iniciar, en manos de  de Edna. - Pendiente comunicación"</v>
      </c>
      <c r="AN106" s="4" t="str">
        <f ca="1">IFERROR(__xludf.DUMMYFUNCTION("""COMPUTED_VALUE"""),"Finalizado")</f>
        <v>Finalizado</v>
      </c>
      <c r="AO106" s="4" t="str">
        <f ca="1">IFERROR(__xludf.DUMMYFUNCTION("""COMPUTED_VALUE"""),"Transformación de la Red")</f>
        <v>Transformación de la Red</v>
      </c>
      <c r="AP106" s="4"/>
      <c r="AQ106" s="4"/>
      <c r="AR106" s="4" t="str">
        <f ca="1">IFERROR(__xludf.DUMMYFUNCTION("""COMPUTED_VALUE"""),"SDA aprobada en PPP Q1 2023")</f>
        <v>SDA aprobada en PPP Q1 2023</v>
      </c>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row>
    <row r="107" spans="1:132" x14ac:dyDescent="0.2">
      <c r="A107" s="4">
        <f ca="1">IFERROR(__xludf.DUMMYFUNCTION("""COMPUTED_VALUE"""),107)</f>
        <v>107</v>
      </c>
      <c r="B107" s="4">
        <f ca="1">IFERROR(__xludf.DUMMYFUNCTION("""COMPUTED_VALUE"""),98)</f>
        <v>98</v>
      </c>
      <c r="C107" s="4" t="str">
        <f ca="1">IFERROR(__xludf.DUMMYFUNCTION("""COMPUTED_VALUE"""),"SDATOOL-33947")</f>
        <v>SDATOOL-33947</v>
      </c>
      <c r="D107" s="4" t="str">
        <f ca="1">IFERROR(__xludf.DUMMYFUNCTION("""COMPUTED_VALUE"""),"Sinergias Bancamia")</f>
        <v>Sinergias Bancamia</v>
      </c>
      <c r="E107"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7" s="4" t="str">
        <f ca="1">IFERROR(__xludf.DUMMYFUNCTION("""COMPUTED_VALUE"""),"Project")</f>
        <v>Project</v>
      </c>
      <c r="G107" s="4" t="str">
        <f ca="1">IFERROR(__xludf.DUMMYFUNCTION("""COMPUTED_VALUE"""),"Stock")</f>
        <v>Stock</v>
      </c>
      <c r="H107" s="4" t="str">
        <f ca="1">IFERROR(__xludf.DUMMYFUNCTION("""COMPUTED_VALUE"""),"3Q 2023")</f>
        <v>3Q 2023</v>
      </c>
      <c r="I107" s="131" t="str">
        <f ca="1">IFERROR(__xludf.DUMMYFUNCTION("""COMPUTED_VALUE"""),"jimy.catolico-bbva.com")</f>
        <v>jimy.catolico-bbva.com</v>
      </c>
      <c r="J107" s="131" t="str">
        <f ca="1">IFERROR(__xludf.DUMMYFUNCTION("""COMPUTED_VALUE"""),"erikajulieth.ruiz-bbva.com")</f>
        <v>erikajulieth.ruiz-bbva.com</v>
      </c>
      <c r="K107" s="131" t="str">
        <f ca="1">IFERROR(__xludf.DUMMYFUNCTION("""COMPUTED_VALUE"""),"juhan.lozano-bbva.com")</f>
        <v>juhan.lozano-bbva.com</v>
      </c>
      <c r="L107" s="4"/>
      <c r="M107" s="4"/>
      <c r="N107" s="4"/>
      <c r="O107" s="4" t="str">
        <f ca="1">IFERROR(__xludf.DUMMYFUNCTION("""COMPUTED_VALUE"""),"Waterfall")</f>
        <v>Waterfall</v>
      </c>
      <c r="P107" s="4" t="str">
        <f ca="1">IFERROR(__xludf.DUMMYFUNCTION("""COMPUTED_VALUE"""),"Tradicional")</f>
        <v>Tradicional</v>
      </c>
      <c r="Q107" s="4"/>
      <c r="R107" s="130" t="str">
        <f ca="1">IFERROR(__xludf.DUMMYFUNCTION("""COMPUTED_VALUE"""),"Business Innovation &amp; Strategy")</f>
        <v>Business Innovation &amp; Strategy</v>
      </c>
      <c r="S107" s="130" t="str">
        <f ca="1">IFERROR(__xludf.DUMMYFUNCTION("""COMPUTED_VALUE"""),"Area Review")</f>
        <v>Area Review</v>
      </c>
      <c r="T107" s="130" t="str">
        <f ca="1">IFERROR(__xludf.DUMMYFUNCTION("""COMPUTED_VALUE"""),"Otros")</f>
        <v>Otros</v>
      </c>
      <c r="U107" s="130" t="str">
        <f ca="1">IFERROR(__xludf.DUMMYFUNCTION("""COMPUTED_VALUE"""),"No Aplica")</f>
        <v>No Aplica</v>
      </c>
      <c r="V107" s="4" t="str">
        <f ca="1">IFERROR(__xludf.DUMMYFUNCTION("""COMPUTED_VALUE"""),"CBs")</f>
        <v>CBs</v>
      </c>
      <c r="W107" s="4">
        <f ca="1">IFERROR(__xludf.DUMMYFUNCTION("""COMPUTED_VALUE"""),2)</f>
        <v>2</v>
      </c>
      <c r="X107" s="4" t="str">
        <f ca="1">IFERROR(__xludf.DUMMYFUNCTION("""COMPUTED_VALUE"""),"04. Relationship Models")</f>
        <v>04. Relationship Models</v>
      </c>
      <c r="Y107" s="4" t="str">
        <f ca="1">IFERROR(__xludf.DUMMYFUNCTION("""COMPUTED_VALUE"""),"5.6.6 Non Global Project")</f>
        <v>5.6.6 Non Global Project</v>
      </c>
      <c r="Z107" s="132" t="str">
        <f ca="1">IFERROR(__xludf.DUMMYFUNCTION("""COMPUTED_VALUE"""),"213349")</f>
        <v>213349</v>
      </c>
      <c r="AA107" s="4" t="str">
        <f ca="1">IFERROR(__xludf.DUMMYFUNCTION("""COMPUTED_VALUE"""),"Uso red ATMs BBVA,  para  clientes de Bancamia con OTP")</f>
        <v>Uso red ATMs BBVA,  para  clientes de Bancamia con OTP</v>
      </c>
      <c r="AB107" s="4" t="str">
        <f ca="1">IFERROR(__xludf.DUMMYFUNCTION("""COMPUTED_VALUE"""),"Uso red ATMs BBVA,  para  clientes de Bancamia con OTP")</f>
        <v>Uso red ATMs BBVA,  para  clientes de Bancamia con OTP</v>
      </c>
      <c r="AC107" s="4" t="str">
        <f ca="1">IFERROR(__xludf.DUMMYFUNCTION("""COMPUTED_VALUE"""),"3Q 2023")</f>
        <v>3Q 2023</v>
      </c>
      <c r="AD107" s="128">
        <f ca="1">IFERROR(__xludf.DUMMYFUNCTION("""COMPUTED_VALUE"""),44593)</f>
        <v>44593</v>
      </c>
      <c r="AE107" s="128">
        <f ca="1">IFERROR(__xludf.DUMMYFUNCTION("""COMPUTED_VALUE"""),44742)</f>
        <v>44742</v>
      </c>
      <c r="AF107" s="128">
        <f ca="1">IFERROR(__xludf.DUMMYFUNCTION("""COMPUTED_VALUE"""),44743)</f>
        <v>44743</v>
      </c>
      <c r="AG107" s="128">
        <f ca="1">IFERROR(__xludf.DUMMYFUNCTION("""COMPUTED_VALUE"""),44943)</f>
        <v>44943</v>
      </c>
      <c r="AH107" s="128">
        <f ca="1">IFERROR(__xludf.DUMMYFUNCTION("""COMPUTED_VALUE"""),44958)</f>
        <v>44958</v>
      </c>
      <c r="AI107" s="128">
        <f ca="1">IFERROR(__xludf.DUMMYFUNCTION("""COMPUTED_VALUE"""),44986)</f>
        <v>44986</v>
      </c>
      <c r="AJ107" s="128">
        <f ca="1">IFERROR(__xludf.DUMMYFUNCTION("""COMPUTED_VALUE"""),45016)</f>
        <v>45016</v>
      </c>
      <c r="AK107" s="131" t="str">
        <f ca="1">IFERROR(__xludf.DUMMYFUNCTION("""COMPUTED_VALUE"""),"COLWSCANAL-935")</f>
        <v>COLWSCANAL-935</v>
      </c>
      <c r="AL107" s="4" t="str">
        <f ca="1">IFERROR(__xludf.DUMMYFUNCTION("""COMPUTED_VALUE"""),"Blocked")</f>
        <v>Blocked</v>
      </c>
      <c r="AM107" s="4" t="str">
        <f ca="1">IFERROR(__xludf.DUMMYFUNCTION("""COMPUTED_VALUE"""),"""28/06 Falta el modelo de solución, Cerrar contratación e iniciar los desarrollos""")</f>
        <v>"28/06 Falta el modelo de solución, Cerrar contratación e iniciar los desarrollos"</v>
      </c>
      <c r="AN107" s="4" t="str">
        <f ca="1">IFERROR(__xludf.DUMMYFUNCTION("""COMPUTED_VALUE"""),"Entregable en desarrollo")</f>
        <v>Entregable en desarrollo</v>
      </c>
      <c r="AO107" s="4" t="str">
        <f ca="1">IFERROR(__xludf.DUMMYFUNCTION("""COMPUTED_VALUE"""),"Transformación de la Red")</f>
        <v>Transformación de la Red</v>
      </c>
      <c r="AP107" s="4"/>
      <c r="AQ107" s="4"/>
      <c r="AR107" s="4" t="str">
        <f ca="1">IFERROR(__xludf.DUMMYFUNCTION("""COMPUTED_VALUE"""),"SDA aprobada en PPP Q1 2023")</f>
        <v>SDA aprobada en PPP Q1 2023</v>
      </c>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row>
    <row r="108" spans="1:132" x14ac:dyDescent="0.2">
      <c r="A108" s="4">
        <f ca="1">IFERROR(__xludf.DUMMYFUNCTION("""COMPUTED_VALUE"""),108)</f>
        <v>108</v>
      </c>
      <c r="B108" s="4">
        <f ca="1">IFERROR(__xludf.DUMMYFUNCTION("""COMPUTED_VALUE"""),99)</f>
        <v>99</v>
      </c>
      <c r="C108" s="4" t="str">
        <f ca="1">IFERROR(__xludf.DUMMYFUNCTION("""COMPUTED_VALUE"""),"SDATOOL-41757")</f>
        <v>SDATOOL-41757</v>
      </c>
      <c r="D108" s="4" t="str">
        <f ca="1">IFERROR(__xludf.DUMMYFUNCTION("""COMPUTED_VALUE"""),"AJUSTE AUTOMATIZACION CONCILIACION ARA")</f>
        <v>AJUSTE AUTOMATIZACION CONCILIACION ARA</v>
      </c>
      <c r="E108" s="4" t="str">
        <f ca="1">IFERROR(__xludf.DUMMYFUNCTION("""COMPUTED_VALUE"""),"El informe de transacciones diarias del Aliado ARA será generado automáticamente por el proceso Batch
 con una estructura específica de acuerdo a lo requerido por el aliado, el informe será enviado bajo proceso de transmisión de archivo dejándolo en ruta "&amp;"segura compartida. 
De acuerdo a la nueva estructura requerida por el aliado, se hace necesario crear una parametría en  la Transacción META  (MCDTT37) donde se alimentará la información con la que no se cuenta actualmente en las bases de datos del banco "&amp;"de los diferentes puntos del aliado (Dirección y Terminal); Para los puntos del aliado a los que ya se les ha dado de alta en las bases de datos del banco,  se debe crear un proceso de actualización masiva, insertando dirección y terminal, información que"&amp;" el aliado debe suministrar.  
Para los nuevos puntos que se darán de alta se requiere modificar el procedimiento para que el usuario de operaciones adicione la parametría, ajustando que grabe la información  de la dirección y la terminal en la parametría"&amp;" creada en la tabla MCDTT37. 
Adicionalmente, en el proceso de alta de CB (Matrículas CB) el informe que se genera al área de operaciones, no contiene la información del código de autorización (UPC) requerido por ellos para sus controles internos; por lo "&amp;"cual se incluirá el código de autorización en el archivo de conciliación de operaciones, capturando el dato del log transaccional almacenado en banco.")</f>
        <v>El informe de transacciones diarias del Aliado ARA será generado automáticamente por el proceso Batch
 con una estructura específica de acuerdo a lo requerido por el aliado, el informe será enviado bajo proceso de transmisión de archivo dejándolo en ruta segura compartida. 
De acuerdo a la nueva estructura requerida por el aliado, se hace necesario crear una parametría en  la Transacción META  (MCDTT37) donde se alimentará la información con la que no se cuenta actualmente en las bases de datos del banco de los diferentes puntos del aliado (Dirección y Terminal); Para los puntos del aliado a los que ya se les ha dado de alta en las bases de datos del banco,  se debe crear un proceso de actualización masiva, insertando dirección y terminal, información que el aliado debe suministrar.  
Para los nuevos puntos que se darán de alta se requiere modificar el procedimiento para que el usuario de operaciones adicione la parametría, ajustando que grabe la información  de la dirección y la terminal en la parametría creada en la tabla MCDTT37. 
Adicionalmente, en el proceso de alta de CB (Matrículas CB) el informe que se genera al área de operaciones, no contiene la información del código de autorización (UPC) requerido por ellos para sus controles internos; por lo cual se incluirá el código de autorización en el archivo de conciliación de operaciones, capturando el dato del log transaccional almacenado en banco.</v>
      </c>
      <c r="F108" s="4" t="str">
        <f ca="1">IFERROR(__xludf.DUMMYFUNCTION("""COMPUTED_VALUE"""),"Project")</f>
        <v>Project</v>
      </c>
      <c r="G108" s="4" t="str">
        <f ca="1">IFERROR(__xludf.DUMMYFUNCTION("""COMPUTED_VALUE"""),"Stock")</f>
        <v>Stock</v>
      </c>
      <c r="H108" s="4" t="str">
        <f ca="1">IFERROR(__xludf.DUMMYFUNCTION("""COMPUTED_VALUE"""),"3Q 2023")</f>
        <v>3Q 2023</v>
      </c>
      <c r="I108" s="131" t="str">
        <f ca="1">IFERROR(__xludf.DUMMYFUNCTION("""COMPUTED_VALUE"""),"jimy.catolico-bbva.com")</f>
        <v>jimy.catolico-bbva.com</v>
      </c>
      <c r="J108" s="131" t="str">
        <f ca="1">IFERROR(__xludf.DUMMYFUNCTION("""COMPUTED_VALUE"""),"giulianaandrea.guarin-bbva.com")</f>
        <v>giulianaandrea.guarin-bbva.com</v>
      </c>
      <c r="K108" s="131" t="str">
        <f ca="1">IFERROR(__xludf.DUMMYFUNCTION("""COMPUTED_VALUE"""),"juhan.lozano-bbva.com")</f>
        <v>juhan.lozano-bbva.com</v>
      </c>
      <c r="L108" s="130">
        <f ca="1">IFERROR(__xludf.DUMMYFUNCTION("""COMPUTED_VALUE"""),0.5)</f>
        <v>0.5</v>
      </c>
      <c r="M108" s="130">
        <f ca="1">IFERROR(__xludf.DUMMYFUNCTION("""COMPUTED_VALUE"""),0.4)</f>
        <v>0.4</v>
      </c>
      <c r="N108" s="130">
        <f ca="1">IFERROR(__xludf.DUMMYFUNCTION("""COMPUTED_VALUE"""),0.1)</f>
        <v>0.1</v>
      </c>
      <c r="O108" s="4" t="str">
        <f ca="1">IFERROR(__xludf.DUMMYFUNCTION("""COMPUTED_VALUE"""),"Waterfall")</f>
        <v>Waterfall</v>
      </c>
      <c r="P108" s="4" t="str">
        <f ca="1">IFERROR(__xludf.DUMMYFUNCTION("""COMPUTED_VALUE"""),"Tradicional")</f>
        <v>Tradicional</v>
      </c>
      <c r="Q108" s="4"/>
      <c r="R108" s="130" t="str">
        <f ca="1">IFERROR(__xludf.DUMMYFUNCTION("""COMPUTED_VALUE"""),"Business Innovation &amp; Strategy")</f>
        <v>Business Innovation &amp; Strategy</v>
      </c>
      <c r="S108" s="130" t="str">
        <f ca="1">IFERROR(__xludf.DUMMYFUNCTION("""COMPUTED_VALUE"""),"Area Review")</f>
        <v>Area Review</v>
      </c>
      <c r="T108" s="130" t="str">
        <f ca="1">IFERROR(__xludf.DUMMYFUNCTION("""COMPUTED_VALUE"""),"Generación de Eficiencias")</f>
        <v>Generación de Eficiencias</v>
      </c>
      <c r="U108" s="130" t="str">
        <f ca="1">IFERROR(__xludf.DUMMYFUNCTION("""COMPUTED_VALUE"""),"No Aplica")</f>
        <v>No Aplica</v>
      </c>
      <c r="V108" s="4" t="str">
        <f ca="1">IFERROR(__xludf.DUMMYFUNCTION("""COMPUTED_VALUE"""),"CBs")</f>
        <v>CBs</v>
      </c>
      <c r="W108" s="4">
        <f ca="1">IFERROR(__xludf.DUMMYFUNCTION("""COMPUTED_VALUE"""),2)</f>
        <v>2</v>
      </c>
      <c r="X108" s="4" t="str">
        <f ca="1">IFERROR(__xludf.DUMMYFUNCTION("""COMPUTED_VALUE"""),"04. Relationship Models")</f>
        <v>04. Relationship Models</v>
      </c>
      <c r="Y108" s="4" t="str">
        <f ca="1">IFERROR(__xludf.DUMMYFUNCTION("""COMPUTED_VALUE"""),"5.6.6 Non Global Project")</f>
        <v>5.6.6 Non Global Project</v>
      </c>
      <c r="Z108" s="132" t="str">
        <f ca="1">IFERROR(__xludf.DUMMYFUNCTION("""COMPUTED_VALUE"""),"665308")</f>
        <v>665308</v>
      </c>
      <c r="AA108" s="4" t="str">
        <f ca="1">IFERROR(__xludf.DUMMYFUNCTION("""COMPUTED_VALUE"""),"AJUSTE AUTOMATIZACION CONCILIACION ARA")</f>
        <v>AJUSTE AUTOMATIZACION CONCILIACION ARA</v>
      </c>
      <c r="AB108" s="4" t="str">
        <f ca="1">IFERROR(__xludf.DUMMYFUNCTION("""COMPUTED_VALUE"""),"El informe de transacciones diarias del Aliado ARA será generado automáticamente en proceso Batch con una estructura específica. El informe será enviado bajo proceso de transmisión de archivo dejado en ruta segura compartida. Para los puntos del aliado a "&amp;"los que ya se les ha dado de alta en las bases de datos del banco,  se debe crear un proceso de actualización masiva, insertando dirección y terminal, información que el aliado debe suministrar.")</f>
        <v>El informe de transacciones diarias del Aliado ARA será generado automáticamente en proceso Batch con una estructura específica. El informe será enviado bajo proceso de transmisión de archivo dejado en ruta segura compartida. Para los puntos del aliado a los que ya se les ha dado de alta en las bases de datos del banco,  se debe crear un proceso de actualización masiva, insertando dirección y terminal, información que el aliado debe suministrar.</v>
      </c>
      <c r="AC108" s="4" t="str">
        <f ca="1">IFERROR(__xludf.DUMMYFUNCTION("""COMPUTED_VALUE"""),"3Q 2023")</f>
        <v>3Q 2023</v>
      </c>
      <c r="AD108" s="4"/>
      <c r="AE108" s="4"/>
      <c r="AF108" s="4"/>
      <c r="AG108" s="4"/>
      <c r="AH108" s="4"/>
      <c r="AI108" s="4"/>
      <c r="AJ108" s="4"/>
      <c r="AK108" s="131" t="str">
        <f ca="1">IFERROR(__xludf.DUMMYFUNCTION("""COMPUTED_VALUE"""),"COLWSMEDIO-4080")</f>
        <v>COLWSMEDIO-4080</v>
      </c>
      <c r="AL108" s="4" t="str">
        <f ca="1">IFERROR(__xludf.DUMMYFUNCTION("""COMPUTED_VALUE"""),"En progreso")</f>
        <v>En progreso</v>
      </c>
      <c r="AM108" s="4"/>
      <c r="AN108" s="4" t="str">
        <f ca="1">IFERROR(__xludf.DUMMYFUNCTION("""COMPUTED_VALUE"""),"Iniciativa en Discovery")</f>
        <v>Iniciativa en Discovery</v>
      </c>
      <c r="AO108" s="4" t="str">
        <f ca="1">IFERROR(__xludf.DUMMYFUNCTION("""COMPUTED_VALUE"""),"Transformación de la Red")</f>
        <v>Transformación de la Red</v>
      </c>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133">
        <f ca="1">IFERROR(__xludf.DUMMYFUNCTION("""COMPUTED_VALUE"""),0)</f>
        <v>0</v>
      </c>
      <c r="DV108" s="133">
        <f ca="1">IFERROR(__xludf.DUMMYFUNCTION("""COMPUTED_VALUE"""),0)</f>
        <v>0</v>
      </c>
      <c r="DW108" s="133">
        <f ca="1">IFERROR(__xludf.DUMMYFUNCTION("""COMPUTED_VALUE"""),0)</f>
        <v>0</v>
      </c>
      <c r="DX108" s="133">
        <f ca="1">IFERROR(__xludf.DUMMYFUNCTION("""COMPUTED_VALUE"""),58699943)</f>
        <v>58699943</v>
      </c>
      <c r="DY108" s="133">
        <f ca="1">IFERROR(__xludf.DUMMYFUNCTION("""COMPUTED_VALUE"""),0)</f>
        <v>0</v>
      </c>
      <c r="DZ108" s="133">
        <f ca="1">IFERROR(__xludf.DUMMYFUNCTION("""COMPUTED_VALUE"""),58699943)</f>
        <v>58699943</v>
      </c>
      <c r="EA108" s="4"/>
      <c r="EB108" s="4"/>
    </row>
    <row r="109" spans="1:132" x14ac:dyDescent="0.2">
      <c r="A109" s="4">
        <f ca="1">IFERROR(__xludf.DUMMYFUNCTION("""COMPUTED_VALUE"""),109)</f>
        <v>109</v>
      </c>
      <c r="B109" s="4">
        <f ca="1">IFERROR(__xludf.DUMMYFUNCTION("""COMPUTED_VALUE"""),100)</f>
        <v>100</v>
      </c>
      <c r="C109" s="4" t="str">
        <f ca="1">IFERROR(__xludf.DUMMYFUNCTION("""COMPUTED_VALUE"""),"SDATOOL-36510")</f>
        <v>SDATOOL-36510</v>
      </c>
      <c r="D109" s="4" t="str">
        <f ca="1">IFERROR(__xludf.DUMMYFUNCTION("""COMPUTED_VALUE"""),"Corresponsal Bancario Su RED")</f>
        <v>Corresponsal Bancario Su RED</v>
      </c>
      <c r="E109"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09" s="4" t="str">
        <f ca="1">IFERROR(__xludf.DUMMYFUNCTION("""COMPUTED_VALUE"""),"Project")</f>
        <v>Project</v>
      </c>
      <c r="G109" s="4" t="str">
        <f ca="1">IFERROR(__xludf.DUMMYFUNCTION("""COMPUTED_VALUE"""),"Ended")</f>
        <v>Ended</v>
      </c>
      <c r="H109" s="4" t="str">
        <f ca="1">IFERROR(__xludf.DUMMYFUNCTION("""COMPUTED_VALUE"""),"1Q 2023")</f>
        <v>1Q 2023</v>
      </c>
      <c r="I109" s="131" t="str">
        <f ca="1">IFERROR(__xludf.DUMMYFUNCTION("""COMPUTED_VALUE"""),"jimy.catolico-bbva.com")</f>
        <v>jimy.catolico-bbva.com</v>
      </c>
      <c r="J109" s="131" t="str">
        <f ca="1">IFERROR(__xludf.DUMMYFUNCTION("""COMPUTED_VALUE"""),"giulianaandrea.guarin-bbva.com")</f>
        <v>giulianaandrea.guarin-bbva.com</v>
      </c>
      <c r="K109" s="131" t="str">
        <f ca="1">IFERROR(__xludf.DUMMYFUNCTION("""COMPUTED_VALUE"""),"juhan.lozano-bbva.com")</f>
        <v>juhan.lozano-bbva.com</v>
      </c>
      <c r="L109" s="130">
        <f ca="1">IFERROR(__xludf.DUMMYFUNCTION("""COMPUTED_VALUE"""),0)</f>
        <v>0</v>
      </c>
      <c r="M109" s="130">
        <f ca="1">IFERROR(__xludf.DUMMYFUNCTION("""COMPUTED_VALUE"""),0)</f>
        <v>0</v>
      </c>
      <c r="N109" s="130">
        <f ca="1">IFERROR(__xludf.DUMMYFUNCTION("""COMPUTED_VALUE"""),0)</f>
        <v>0</v>
      </c>
      <c r="O109" s="4" t="str">
        <f ca="1">IFERROR(__xludf.DUMMYFUNCTION("""COMPUTED_VALUE"""),"Waterfall")</f>
        <v>Waterfall</v>
      </c>
      <c r="P109" s="4" t="str">
        <f ca="1">IFERROR(__xludf.DUMMYFUNCTION("""COMPUTED_VALUE"""),"Tradicional")</f>
        <v>Tradicional</v>
      </c>
      <c r="Q109" s="4"/>
      <c r="R109" s="130" t="str">
        <f ca="1">IFERROR(__xludf.DUMMYFUNCTION("""COMPUTED_VALUE"""),"Business Innovation &amp; Strategy")</f>
        <v>Business Innovation &amp; Strategy</v>
      </c>
      <c r="S109" s="130" t="str">
        <f ca="1">IFERROR(__xludf.DUMMYFUNCTION("""COMPUTED_VALUE"""),"Area Review")</f>
        <v>Area Review</v>
      </c>
      <c r="T109" s="130" t="str">
        <f ca="1">IFERROR(__xludf.DUMMYFUNCTION("""COMPUTED_VALUE"""),"1. Generación de Ingresos")</f>
        <v>1. Generación de Ingresos</v>
      </c>
      <c r="U109" s="130" t="str">
        <f ca="1">IFERROR(__xludf.DUMMYFUNCTION("""COMPUTED_VALUE"""),"1.5. Otros de Proyectos de Ingresos")</f>
        <v>1.5. Otros de Proyectos de Ingresos</v>
      </c>
      <c r="V109" s="4" t="str">
        <f ca="1">IFERROR(__xludf.DUMMYFUNCTION("""COMPUTED_VALUE"""),"CBs")</f>
        <v>CBs</v>
      </c>
      <c r="W109" s="4">
        <f ca="1">IFERROR(__xludf.DUMMYFUNCTION("""COMPUTED_VALUE"""),1)</f>
        <v>1</v>
      </c>
      <c r="X109" s="4" t="str">
        <f ca="1">IFERROR(__xludf.DUMMYFUNCTION("""COMPUTED_VALUE"""),"04. Relationship Models")</f>
        <v>04. Relationship Models</v>
      </c>
      <c r="Y109" s="4" t="str">
        <f ca="1">IFERROR(__xludf.DUMMYFUNCTION("""COMPUTED_VALUE"""),"5.6.6 Non Global Project")</f>
        <v>5.6.6 Non Global Project</v>
      </c>
      <c r="Z109" s="132" t="str">
        <f ca="1">IFERROR(__xludf.DUMMYFUNCTION("""COMPUTED_VALUE"""),"422721")</f>
        <v>422721</v>
      </c>
      <c r="AA109" s="4" t="str">
        <f ca="1">IFERROR(__xludf.DUMMYFUNCTION("""COMPUTED_VALUE"""),"Transacción de depósito")</f>
        <v>Transacción de depósito</v>
      </c>
      <c r="AB109" s="4" t="str">
        <f ca="1">IFERROR(__xludf.DUMMYFUNCTION("""COMPUTED_VALUE"""),"Transacción de depósito")</f>
        <v>Transacción de depósito</v>
      </c>
      <c r="AC109" s="4" t="str">
        <f ca="1">IFERROR(__xludf.DUMMYFUNCTION("""COMPUTED_VALUE"""),"4Q 2022")</f>
        <v>4Q 2022</v>
      </c>
      <c r="AD109" s="128">
        <f ca="1">IFERROR(__xludf.DUMMYFUNCTION("""COMPUTED_VALUE"""),44683)</f>
        <v>44683</v>
      </c>
      <c r="AE109" s="128">
        <f ca="1">IFERROR(__xludf.DUMMYFUNCTION("""COMPUTED_VALUE"""),44712)</f>
        <v>44712</v>
      </c>
      <c r="AF109" s="128">
        <f ca="1">IFERROR(__xludf.DUMMYFUNCTION("""COMPUTED_VALUE"""),44713)</f>
        <v>44713</v>
      </c>
      <c r="AG109" s="128">
        <f ca="1">IFERROR(__xludf.DUMMYFUNCTION("""COMPUTED_VALUE"""),44834)</f>
        <v>44834</v>
      </c>
      <c r="AH109" s="128">
        <f ca="1">IFERROR(__xludf.DUMMYFUNCTION("""COMPUTED_VALUE"""),44842)</f>
        <v>44842</v>
      </c>
      <c r="AI109" s="128">
        <f ca="1">IFERROR(__xludf.DUMMYFUNCTION("""COMPUTED_VALUE"""),44849)</f>
        <v>44849</v>
      </c>
      <c r="AJ109" s="128">
        <f ca="1">IFERROR(__xludf.DUMMYFUNCTION("""COMPUTED_VALUE"""),44856)</f>
        <v>44856</v>
      </c>
      <c r="AK109" s="131" t="str">
        <f ca="1">IFERROR(__xludf.DUMMYFUNCTION("""COMPUTED_VALUE"""),"COLWSCANAL-1051")</f>
        <v>COLWSCANAL-1051</v>
      </c>
      <c r="AL109" s="4" t="str">
        <f ca="1">IFERROR(__xludf.DUMMYFUNCTION("""COMPUTED_VALUE"""),"Deployed")</f>
        <v>Deployed</v>
      </c>
      <c r="AM109" s="4" t="str">
        <f ca="1">IFERROR(__xludf.DUMMYFUNCTION("""COMPUTED_VALUE"""),"""28/06 los desarrollos estan detendos para priorizar los Retirtos, para finalizar faltan 2 o tres semanas, y se retoman  a mediados de Julio""")</f>
        <v>"28/06 los desarrollos estan detendos para priorizar los Retirtos, para finalizar faltan 2 o tres semanas, y se retoman  a mediados de Julio"</v>
      </c>
      <c r="AN109" s="4" t="str">
        <f ca="1">IFERROR(__xludf.DUMMYFUNCTION("""COMPUTED_VALUE"""),"Finalizado")</f>
        <v>Finalizado</v>
      </c>
      <c r="AO109" s="4" t="str">
        <f ca="1">IFERROR(__xludf.DUMMYFUNCTION("""COMPUTED_VALUE"""),"Transformación de la Red")</f>
        <v>Transformación de la Red</v>
      </c>
      <c r="AP109" s="4"/>
      <c r="AQ109" s="4"/>
      <c r="AR109" s="4" t="str">
        <f ca="1">IFERROR(__xludf.DUMMYFUNCTION("""COMPUTED_VALUE"""),"SDA aprobada en PPP Q1 2023")</f>
        <v>SDA aprobada en PPP Q1 2023</v>
      </c>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133">
        <f ca="1">IFERROR(__xludf.DUMMYFUNCTION("""COMPUTED_VALUE"""),0)</f>
        <v>0</v>
      </c>
      <c r="DV109" s="133">
        <f ca="1">IFERROR(__xludf.DUMMYFUNCTION("""COMPUTED_VALUE"""),41068938)</f>
        <v>41068938</v>
      </c>
      <c r="DW109" s="133">
        <f ca="1">IFERROR(__xludf.DUMMYFUNCTION("""COMPUTED_VALUE"""),214999794)</f>
        <v>214999794</v>
      </c>
      <c r="DX109" s="133">
        <f ca="1">IFERROR(__xludf.DUMMYFUNCTION("""COMPUTED_VALUE"""),9999952)</f>
        <v>9999952</v>
      </c>
      <c r="DY109" s="133">
        <f ca="1">IFERROR(__xludf.DUMMYFUNCTION("""COMPUTED_VALUE"""),0)</f>
        <v>0</v>
      </c>
      <c r="DZ109" s="133">
        <f ca="1">IFERROR(__xludf.DUMMYFUNCTION("""COMPUTED_VALUE"""),266068684)</f>
        <v>266068684</v>
      </c>
      <c r="EA109" s="4"/>
      <c r="EB109" s="4"/>
    </row>
    <row r="110" spans="1:132" x14ac:dyDescent="0.2">
      <c r="A110" s="4">
        <f ca="1">IFERROR(__xludf.DUMMYFUNCTION("""COMPUTED_VALUE"""),110)</f>
        <v>110</v>
      </c>
      <c r="B110" s="4">
        <f ca="1">IFERROR(__xludf.DUMMYFUNCTION("""COMPUTED_VALUE"""),101)</f>
        <v>101</v>
      </c>
      <c r="C110" s="4" t="str">
        <f ca="1">IFERROR(__xludf.DUMMYFUNCTION("""COMPUTED_VALUE"""),"SDATOOL-36510")</f>
        <v>SDATOOL-36510</v>
      </c>
      <c r="D110" s="4" t="str">
        <f ca="1">IFERROR(__xludf.DUMMYFUNCTION("""COMPUTED_VALUE"""),"Corresponsal Bancario Su RED")</f>
        <v>Corresponsal Bancario Su RED</v>
      </c>
      <c r="E110"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10" s="4" t="str">
        <f ca="1">IFERROR(__xludf.DUMMYFUNCTION("""COMPUTED_VALUE"""),"Project")</f>
        <v>Project</v>
      </c>
      <c r="G110" s="4" t="str">
        <f ca="1">IFERROR(__xludf.DUMMYFUNCTION("""COMPUTED_VALUE"""),"Ended")</f>
        <v>Ended</v>
      </c>
      <c r="H110" s="4" t="str">
        <f ca="1">IFERROR(__xludf.DUMMYFUNCTION("""COMPUTED_VALUE"""),"1Q 2023")</f>
        <v>1Q 2023</v>
      </c>
      <c r="I110" s="131" t="str">
        <f ca="1">IFERROR(__xludf.DUMMYFUNCTION("""COMPUTED_VALUE"""),"jimy.catolico-bbva.com")</f>
        <v>jimy.catolico-bbva.com</v>
      </c>
      <c r="J110" s="131" t="str">
        <f ca="1">IFERROR(__xludf.DUMMYFUNCTION("""COMPUTED_VALUE"""),"giulianaandrea.guarin-bbva.com")</f>
        <v>giulianaandrea.guarin-bbva.com</v>
      </c>
      <c r="K110" s="131" t="str">
        <f ca="1">IFERROR(__xludf.DUMMYFUNCTION("""COMPUTED_VALUE"""),"juhan.lozano-bbva.com")</f>
        <v>juhan.lozano-bbva.com</v>
      </c>
      <c r="L110" s="4"/>
      <c r="M110" s="4"/>
      <c r="N110" s="4"/>
      <c r="O110" s="4" t="str">
        <f ca="1">IFERROR(__xludf.DUMMYFUNCTION("""COMPUTED_VALUE"""),"Waterfall")</f>
        <v>Waterfall</v>
      </c>
      <c r="P110" s="4" t="str">
        <f ca="1">IFERROR(__xludf.DUMMYFUNCTION("""COMPUTED_VALUE"""),"Tradicional")</f>
        <v>Tradicional</v>
      </c>
      <c r="Q110" s="4"/>
      <c r="R110" s="130" t="str">
        <f ca="1">IFERROR(__xludf.DUMMYFUNCTION("""COMPUTED_VALUE"""),"Business Innovation &amp; Strategy")</f>
        <v>Business Innovation &amp; Strategy</v>
      </c>
      <c r="S110" s="130" t="str">
        <f ca="1">IFERROR(__xludf.DUMMYFUNCTION("""COMPUTED_VALUE"""),"Area Review")</f>
        <v>Area Review</v>
      </c>
      <c r="T110" s="130" t="str">
        <f ca="1">IFERROR(__xludf.DUMMYFUNCTION("""COMPUTED_VALUE"""),"1. Generación de Ingresos")</f>
        <v>1. Generación de Ingresos</v>
      </c>
      <c r="U110" s="130" t="str">
        <f ca="1">IFERROR(__xludf.DUMMYFUNCTION("""COMPUTED_VALUE"""),"1.5. Otros de Proyectos de Ingresos")</f>
        <v>1.5. Otros de Proyectos de Ingresos</v>
      </c>
      <c r="V110" s="4" t="str">
        <f ca="1">IFERROR(__xludf.DUMMYFUNCTION("""COMPUTED_VALUE"""),"CBs")</f>
        <v>CBs</v>
      </c>
      <c r="W110" s="4">
        <f ca="1">IFERROR(__xludf.DUMMYFUNCTION("""COMPUTED_VALUE"""),1)</f>
        <v>1</v>
      </c>
      <c r="X110" s="4" t="str">
        <f ca="1">IFERROR(__xludf.DUMMYFUNCTION("""COMPUTED_VALUE"""),"04. Relationship Models")</f>
        <v>04. Relationship Models</v>
      </c>
      <c r="Y110" s="4" t="str">
        <f ca="1">IFERROR(__xludf.DUMMYFUNCTION("""COMPUTED_VALUE"""),"5.6.6 Non Global Project")</f>
        <v>5.6.6 Non Global Project</v>
      </c>
      <c r="Z110" s="132" t="str">
        <f ca="1">IFERROR(__xludf.DUMMYFUNCTION("""COMPUTED_VALUE"""),"262156")</f>
        <v>262156</v>
      </c>
      <c r="AA110" s="4" t="str">
        <f ca="1">IFERROR(__xludf.DUMMYFUNCTION("""COMPUTED_VALUE"""),"Transacción de recaudo")</f>
        <v>Transacción de recaudo</v>
      </c>
      <c r="AB110" s="4" t="str">
        <f ca="1">IFERROR(__xludf.DUMMYFUNCTION("""COMPUTED_VALUE"""),"Transacción de recaudo")</f>
        <v>Transacción de recaudo</v>
      </c>
      <c r="AC110" s="4" t="str">
        <f ca="1">IFERROR(__xludf.DUMMYFUNCTION("""COMPUTED_VALUE"""),"2Q 2022")</f>
        <v>2Q 2022</v>
      </c>
      <c r="AD110" s="4"/>
      <c r="AE110" s="4"/>
      <c r="AF110" s="129">
        <f ca="1">IFERROR(__xludf.DUMMYFUNCTION("""COMPUTED_VALUE"""),44562)</f>
        <v>44562</v>
      </c>
      <c r="AG110" s="129">
        <f ca="1">IFERROR(__xludf.DUMMYFUNCTION("""COMPUTED_VALUE"""),44681)</f>
        <v>44681</v>
      </c>
      <c r="AH110" s="129">
        <f ca="1">IFERROR(__xludf.DUMMYFUNCTION("""COMPUTED_VALUE"""),44684)</f>
        <v>44684</v>
      </c>
      <c r="AI110" s="129">
        <f ca="1">IFERROR(__xludf.DUMMYFUNCTION("""COMPUTED_VALUE"""),44709)</f>
        <v>44709</v>
      </c>
      <c r="AJ110" s="129">
        <f ca="1">IFERROR(__xludf.DUMMYFUNCTION("""COMPUTED_VALUE"""),44716)</f>
        <v>44716</v>
      </c>
      <c r="AK110" s="131" t="str">
        <f ca="1">IFERROR(__xludf.DUMMYFUNCTION("""COMPUTED_VALUE"""),"CCSS-8850")</f>
        <v>CCSS-8850</v>
      </c>
      <c r="AL110" s="4" t="str">
        <f ca="1">IFERROR(__xludf.DUMMYFUNCTION("""COMPUTED_VALUE"""),"Deployed")</f>
        <v>Deployed</v>
      </c>
      <c r="AM110" s="4" t="str">
        <f ca="1">IFERROR(__xludf.DUMMYFUNCTION("""COMPUTED_VALUE"""),"""28/06 hoy se realizan pruebas""")</f>
        <v>"28/06 hoy se realizan pruebas"</v>
      </c>
      <c r="AN110" s="4" t="str">
        <f ca="1">IFERROR(__xludf.DUMMYFUNCTION("""COMPUTED_VALUE"""),"Finalizado")</f>
        <v>Finalizado</v>
      </c>
      <c r="AO110" s="4" t="str">
        <f ca="1">IFERROR(__xludf.DUMMYFUNCTION("""COMPUTED_VALUE"""),"Transformación de la Red")</f>
        <v>Transformación de la Red</v>
      </c>
      <c r="AP110" s="4"/>
      <c r="AQ110" s="4"/>
      <c r="AR110" s="4" t="str">
        <f ca="1">IFERROR(__xludf.DUMMYFUNCTION("""COMPUTED_VALUE"""),"SDA aprobada en PPP Q1 2023")</f>
        <v>SDA aprobada en PPP Q1 2023</v>
      </c>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row>
    <row r="111" spans="1:132" x14ac:dyDescent="0.2">
      <c r="A111" s="4">
        <f ca="1">IFERROR(__xludf.DUMMYFUNCTION("""COMPUTED_VALUE"""),111)</f>
        <v>111</v>
      </c>
      <c r="B111" s="4">
        <f ca="1">IFERROR(__xludf.DUMMYFUNCTION("""COMPUTED_VALUE"""),102)</f>
        <v>102</v>
      </c>
      <c r="C111" s="4" t="str">
        <f ca="1">IFERROR(__xludf.DUMMYFUNCTION("""COMPUTED_VALUE"""),"SDATOOL-36510")</f>
        <v>SDATOOL-36510</v>
      </c>
      <c r="D111" s="4" t="str">
        <f ca="1">IFERROR(__xludf.DUMMYFUNCTION("""COMPUTED_VALUE"""),"Corresponsal Bancario Su RED")</f>
        <v>Corresponsal Bancario Su RED</v>
      </c>
      <c r="E111"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11" s="4" t="str">
        <f ca="1">IFERROR(__xludf.DUMMYFUNCTION("""COMPUTED_VALUE"""),"Project")</f>
        <v>Project</v>
      </c>
      <c r="G111" s="4" t="str">
        <f ca="1">IFERROR(__xludf.DUMMYFUNCTION("""COMPUTED_VALUE"""),"Ended")</f>
        <v>Ended</v>
      </c>
      <c r="H111" s="4" t="str">
        <f ca="1">IFERROR(__xludf.DUMMYFUNCTION("""COMPUTED_VALUE"""),"1Q 2023")</f>
        <v>1Q 2023</v>
      </c>
      <c r="I111" s="131" t="str">
        <f ca="1">IFERROR(__xludf.DUMMYFUNCTION("""COMPUTED_VALUE"""),"jimy.catolico-bbva.com")</f>
        <v>jimy.catolico-bbva.com</v>
      </c>
      <c r="J111" s="131" t="str">
        <f ca="1">IFERROR(__xludf.DUMMYFUNCTION("""COMPUTED_VALUE"""),"giulianaandrea.guarin-bbva.com")</f>
        <v>giulianaandrea.guarin-bbva.com</v>
      </c>
      <c r="K111" s="131" t="str">
        <f ca="1">IFERROR(__xludf.DUMMYFUNCTION("""COMPUTED_VALUE"""),"juhan.lozano-bbva.com")</f>
        <v>juhan.lozano-bbva.com</v>
      </c>
      <c r="L111" s="4"/>
      <c r="M111" s="4"/>
      <c r="N111" s="4"/>
      <c r="O111" s="4" t="str">
        <f ca="1">IFERROR(__xludf.DUMMYFUNCTION("""COMPUTED_VALUE"""),"Waterfall")</f>
        <v>Waterfall</v>
      </c>
      <c r="P111" s="4" t="str">
        <f ca="1">IFERROR(__xludf.DUMMYFUNCTION("""COMPUTED_VALUE"""),"Tradicional")</f>
        <v>Tradicional</v>
      </c>
      <c r="Q111" s="4"/>
      <c r="R111" s="130" t="str">
        <f ca="1">IFERROR(__xludf.DUMMYFUNCTION("""COMPUTED_VALUE"""),"Business Innovation &amp; Strategy")</f>
        <v>Business Innovation &amp; Strategy</v>
      </c>
      <c r="S111" s="130" t="str">
        <f ca="1">IFERROR(__xludf.DUMMYFUNCTION("""COMPUTED_VALUE"""),"Area Review")</f>
        <v>Area Review</v>
      </c>
      <c r="T111" s="130" t="str">
        <f ca="1">IFERROR(__xludf.DUMMYFUNCTION("""COMPUTED_VALUE"""),"1. Generación de Ingresos")</f>
        <v>1. Generación de Ingresos</v>
      </c>
      <c r="U111" s="130" t="str">
        <f ca="1">IFERROR(__xludf.DUMMYFUNCTION("""COMPUTED_VALUE"""),"1.5. Otros de Proyectos de Ingresos")</f>
        <v>1.5. Otros de Proyectos de Ingresos</v>
      </c>
      <c r="V111" s="4" t="str">
        <f ca="1">IFERROR(__xludf.DUMMYFUNCTION("""COMPUTED_VALUE"""),"CBs")</f>
        <v>CBs</v>
      </c>
      <c r="W111" s="4">
        <f ca="1">IFERROR(__xludf.DUMMYFUNCTION("""COMPUTED_VALUE"""),1)</f>
        <v>1</v>
      </c>
      <c r="X111" s="4" t="str">
        <f ca="1">IFERROR(__xludf.DUMMYFUNCTION("""COMPUTED_VALUE"""),"04. Relationship Models")</f>
        <v>04. Relationship Models</v>
      </c>
      <c r="Y111" s="4" t="str">
        <f ca="1">IFERROR(__xludf.DUMMYFUNCTION("""COMPUTED_VALUE"""),"5.6.6 Non Global Project")</f>
        <v>5.6.6 Non Global Project</v>
      </c>
      <c r="Z111" s="132" t="str">
        <f ca="1">IFERROR(__xludf.DUMMYFUNCTION("""COMPUTED_VALUE"""),"262157")</f>
        <v>262157</v>
      </c>
      <c r="AA111" s="4" t="str">
        <f ca="1">IFERROR(__xludf.DUMMYFUNCTION("""COMPUTED_VALUE"""),"Transacción de retiro con OTP")</f>
        <v>Transacción de retiro con OTP</v>
      </c>
      <c r="AB111" s="4" t="str">
        <f ca="1">IFERROR(__xludf.DUMMYFUNCTION("""COMPUTED_VALUE"""),"Transacción de retiro con OTP")</f>
        <v>Transacción de retiro con OTP</v>
      </c>
      <c r="AC111" s="4" t="str">
        <f ca="1">IFERROR(__xludf.DUMMYFUNCTION("""COMPUTED_VALUE"""),"3Q 2022")</f>
        <v>3Q 2022</v>
      </c>
      <c r="AD111" s="128">
        <f ca="1">IFERROR(__xludf.DUMMYFUNCTION("""COMPUTED_VALUE"""),44683)</f>
        <v>44683</v>
      </c>
      <c r="AE111" s="128">
        <f ca="1">IFERROR(__xludf.DUMMYFUNCTION("""COMPUTED_VALUE"""),44712)</f>
        <v>44712</v>
      </c>
      <c r="AF111" s="128">
        <f ca="1">IFERROR(__xludf.DUMMYFUNCTION("""COMPUTED_VALUE"""),44713)</f>
        <v>44713</v>
      </c>
      <c r="AG111" s="128">
        <f ca="1">IFERROR(__xludf.DUMMYFUNCTION("""COMPUTED_VALUE"""),44793)</f>
        <v>44793</v>
      </c>
      <c r="AH111" s="128">
        <f ca="1">IFERROR(__xludf.DUMMYFUNCTION("""COMPUTED_VALUE"""),44796)</f>
        <v>44796</v>
      </c>
      <c r="AI111" s="128">
        <f ca="1">IFERROR(__xludf.DUMMYFUNCTION("""COMPUTED_VALUE"""),44820)</f>
        <v>44820</v>
      </c>
      <c r="AJ111" s="128">
        <f ca="1">IFERROR(__xludf.DUMMYFUNCTION("""COMPUTED_VALUE"""),44824)</f>
        <v>44824</v>
      </c>
      <c r="AK111" s="131" t="str">
        <f ca="1">IFERROR(__xludf.DUMMYFUNCTION("""COMPUTED_VALUE"""),"COLWSCANAL-869")</f>
        <v>COLWSCANAL-869</v>
      </c>
      <c r="AL111" s="4" t="str">
        <f ca="1">IFERROR(__xludf.DUMMYFUNCTION("""COMPUTED_VALUE"""),"Deployed")</f>
        <v>Deployed</v>
      </c>
      <c r="AM111" s="4" t="str">
        <f ca="1">IFERROR(__xludf.DUMMYFUNCTION("""COMPUTED_VALUE"""),"""28/06 desarrollos finalizados, el 8 de julio se realiza la instalación en calidad a finales de agosto instalado en producción, el pedido al Cb para que instale en la misma fecha""""")</f>
        <v>"28/06 desarrollos finalizados, el 8 de julio se realiza la instalación en calidad a finales de agosto instalado en producción, el pedido al Cb para que instale en la misma fecha""</v>
      </c>
      <c r="AN111" s="4" t="str">
        <f ca="1">IFERROR(__xludf.DUMMYFUNCTION("""COMPUTED_VALUE"""),"Finalizado")</f>
        <v>Finalizado</v>
      </c>
      <c r="AO111" s="4" t="str">
        <f ca="1">IFERROR(__xludf.DUMMYFUNCTION("""COMPUTED_VALUE"""),"Transformación de la Red")</f>
        <v>Transformación de la Red</v>
      </c>
      <c r="AP111" s="4"/>
      <c r="AQ111" s="4"/>
      <c r="AR111" s="4" t="str">
        <f ca="1">IFERROR(__xludf.DUMMYFUNCTION("""COMPUTED_VALUE"""),"SDA aprobada en PPP Q1 2023")</f>
        <v>SDA aprobada en PPP Q1 2023</v>
      </c>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row>
    <row r="112" spans="1:132" x14ac:dyDescent="0.2">
      <c r="A112" s="4">
        <f ca="1">IFERROR(__xludf.DUMMYFUNCTION("""COMPUTED_VALUE"""),112)</f>
        <v>112</v>
      </c>
      <c r="B112" s="4">
        <f ca="1">IFERROR(__xludf.DUMMYFUNCTION("""COMPUTED_VALUE"""),103)</f>
        <v>103</v>
      </c>
      <c r="C112" s="4" t="str">
        <f ca="1">IFERROR(__xludf.DUMMYFUNCTION("""COMPUTED_VALUE"""),"SDATOOL-36229")</f>
        <v>SDATOOL-36229</v>
      </c>
      <c r="D112" s="4" t="str">
        <f ca="1">IFERROR(__xludf.DUMMYFUNCTION("""COMPUTED_VALUE"""),"Corresponsal Bancario PTM")</f>
        <v>Corresponsal Bancario PTM</v>
      </c>
      <c r="E112" s="4" t="str">
        <f ca="1">IFERROR(__xludf.DUMMYFUNCTION("""COMPUTED_VALUE"""),"Corresponsal Bancario")</f>
        <v>Corresponsal Bancario</v>
      </c>
      <c r="F112" s="4" t="str">
        <f ca="1">IFERROR(__xludf.DUMMYFUNCTION("""COMPUTED_VALUE"""),"Project")</f>
        <v>Project</v>
      </c>
      <c r="G112" s="4" t="str">
        <f ca="1">IFERROR(__xludf.DUMMYFUNCTION("""COMPUTED_VALUE"""),"Ended")</f>
        <v>Ended</v>
      </c>
      <c r="H112" s="4" t="str">
        <f ca="1">IFERROR(__xludf.DUMMYFUNCTION("""COMPUTED_VALUE"""),"1Q 2023")</f>
        <v>1Q 2023</v>
      </c>
      <c r="I112" s="131" t="str">
        <f ca="1">IFERROR(__xludf.DUMMYFUNCTION("""COMPUTED_VALUE"""),"jimy.catolico-bbva.com")</f>
        <v>jimy.catolico-bbva.com</v>
      </c>
      <c r="J112" s="131" t="str">
        <f ca="1">IFERROR(__xludf.DUMMYFUNCTION("""COMPUTED_VALUE"""),"giulianaandrea.guarin-bbva.com")</f>
        <v>giulianaandrea.guarin-bbva.com</v>
      </c>
      <c r="K112" s="131" t="str">
        <f ca="1">IFERROR(__xludf.DUMMYFUNCTION("""COMPUTED_VALUE"""),"juhan.lozano-bbva.com")</f>
        <v>juhan.lozano-bbva.com</v>
      </c>
      <c r="L112" s="130">
        <f ca="1">IFERROR(__xludf.DUMMYFUNCTION("""COMPUTED_VALUE"""),0)</f>
        <v>0</v>
      </c>
      <c r="M112" s="130">
        <f ca="1">IFERROR(__xludf.DUMMYFUNCTION("""COMPUTED_VALUE"""),0)</f>
        <v>0</v>
      </c>
      <c r="N112" s="130">
        <f ca="1">IFERROR(__xludf.DUMMYFUNCTION("""COMPUTED_VALUE"""),0)</f>
        <v>0</v>
      </c>
      <c r="O112" s="4" t="str">
        <f ca="1">IFERROR(__xludf.DUMMYFUNCTION("""COMPUTED_VALUE"""),"Waterfall")</f>
        <v>Waterfall</v>
      </c>
      <c r="P112" s="4" t="str">
        <f ca="1">IFERROR(__xludf.DUMMYFUNCTION("""COMPUTED_VALUE"""),"Tradicional")</f>
        <v>Tradicional</v>
      </c>
      <c r="Q112" s="4"/>
      <c r="R112" s="130" t="str">
        <f ca="1">IFERROR(__xludf.DUMMYFUNCTION("""COMPUTED_VALUE"""),"Business Innovation &amp; Strategy")</f>
        <v>Business Innovation &amp; Strategy</v>
      </c>
      <c r="S112" s="130" t="str">
        <f ca="1">IFERROR(__xludf.DUMMYFUNCTION("""COMPUTED_VALUE"""),"Area Review")</f>
        <v>Area Review</v>
      </c>
      <c r="T112" s="130" t="str">
        <f ca="1">IFERROR(__xludf.DUMMYFUNCTION("""COMPUTED_VALUE"""),"1. Generación de Ingresos")</f>
        <v>1. Generación de Ingresos</v>
      </c>
      <c r="U112" s="130" t="str">
        <f ca="1">IFERROR(__xludf.DUMMYFUNCTION("""COMPUTED_VALUE"""),"1.5. Otros de Proyectos de Ingresos")</f>
        <v>1.5. Otros de Proyectos de Ingresos</v>
      </c>
      <c r="V112" s="4" t="str">
        <f ca="1">IFERROR(__xludf.DUMMYFUNCTION("""COMPUTED_VALUE"""),"CBs")</f>
        <v>CBs</v>
      </c>
      <c r="W112" s="4">
        <f ca="1">IFERROR(__xludf.DUMMYFUNCTION("""COMPUTED_VALUE"""),1)</f>
        <v>1</v>
      </c>
      <c r="X112" s="4" t="str">
        <f ca="1">IFERROR(__xludf.DUMMYFUNCTION("""COMPUTED_VALUE"""),"04. Relationship Models")</f>
        <v>04. Relationship Models</v>
      </c>
      <c r="Y112" s="4" t="str">
        <f ca="1">IFERROR(__xludf.DUMMYFUNCTION("""COMPUTED_VALUE"""),"5.6.6 Non Global Project")</f>
        <v>5.6.6 Non Global Project</v>
      </c>
      <c r="Z112" s="132" t="str">
        <f ca="1">IFERROR(__xludf.DUMMYFUNCTION("""COMPUTED_VALUE"""),"262153")</f>
        <v>262153</v>
      </c>
      <c r="AA112" s="4" t="str">
        <f ca="1">IFERROR(__xludf.DUMMYFUNCTION("""COMPUTED_VALUE"""),"Depósitos a cuentas de clientes BBVA")</f>
        <v>Depósitos a cuentas de clientes BBVA</v>
      </c>
      <c r="AB112" s="4" t="str">
        <f ca="1">IFERROR(__xludf.DUMMYFUNCTION("""COMPUTED_VALUE"""),"Depósitos a cuentas de clientes BBVA")</f>
        <v>Depósitos a cuentas de clientes BBVA</v>
      </c>
      <c r="AC112" s="4" t="str">
        <f ca="1">IFERROR(__xludf.DUMMYFUNCTION("""COMPUTED_VALUE"""),"4Q 2022")</f>
        <v>4Q 2022</v>
      </c>
      <c r="AD112" s="128">
        <f ca="1">IFERROR(__xludf.DUMMYFUNCTION("""COMPUTED_VALUE"""),44683)</f>
        <v>44683</v>
      </c>
      <c r="AE112" s="128">
        <f ca="1">IFERROR(__xludf.DUMMYFUNCTION("""COMPUTED_VALUE"""),44712)</f>
        <v>44712</v>
      </c>
      <c r="AF112" s="128">
        <f ca="1">IFERROR(__xludf.DUMMYFUNCTION("""COMPUTED_VALUE"""),44713)</f>
        <v>44713</v>
      </c>
      <c r="AG112" s="128">
        <f ca="1">IFERROR(__xludf.DUMMYFUNCTION("""COMPUTED_VALUE"""),44834)</f>
        <v>44834</v>
      </c>
      <c r="AH112" s="128">
        <f ca="1">IFERROR(__xludf.DUMMYFUNCTION("""COMPUTED_VALUE"""),44842)</f>
        <v>44842</v>
      </c>
      <c r="AI112" s="128">
        <f ca="1">IFERROR(__xludf.DUMMYFUNCTION("""COMPUTED_VALUE"""),44849)</f>
        <v>44849</v>
      </c>
      <c r="AJ112" s="128">
        <f ca="1">IFERROR(__xludf.DUMMYFUNCTION("""COMPUTED_VALUE"""),44856)</f>
        <v>44856</v>
      </c>
      <c r="AK112" s="131" t="str">
        <f ca="1">IFERROR(__xludf.DUMMYFUNCTION("""COMPUTED_VALUE"""),"COLWSCANAL-1050")</f>
        <v>COLWSCANAL-1050</v>
      </c>
      <c r="AL112" s="4" t="str">
        <f ca="1">IFERROR(__xludf.DUMMYFUNCTION("""COMPUTED_VALUE"""),"Deployed")</f>
        <v>Deployed</v>
      </c>
      <c r="AM112" s="4" t="str">
        <f ca="1">IFERROR(__xludf.DUMMYFUNCTION("""COMPUTED_VALUE"""),"""Backlog  , el Cb no cuenta con Capacidades para el 3Q""")</f>
        <v>"Backlog  , el Cb no cuenta con Capacidades para el 3Q"</v>
      </c>
      <c r="AN112" s="4" t="str">
        <f ca="1">IFERROR(__xludf.DUMMYFUNCTION("""COMPUTED_VALUE"""),"Finalizado")</f>
        <v>Finalizado</v>
      </c>
      <c r="AO112" s="4" t="str">
        <f ca="1">IFERROR(__xludf.DUMMYFUNCTION("""COMPUTED_VALUE"""),"Transformación de la Red")</f>
        <v>Transformación de la Red</v>
      </c>
      <c r="AP112" s="4"/>
      <c r="AQ112" s="4"/>
      <c r="AR112" s="4" t="str">
        <f ca="1">IFERROR(__xludf.DUMMYFUNCTION("""COMPUTED_VALUE"""),"SDA aprobada en PPP Q1 2023")</f>
        <v>SDA aprobada en PPP Q1 2023</v>
      </c>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133">
        <f ca="1">IFERROR(__xludf.DUMMYFUNCTION("""COMPUTED_VALUE"""),0)</f>
        <v>0</v>
      </c>
      <c r="DV112" s="133">
        <f ca="1">IFERROR(__xludf.DUMMYFUNCTION("""COMPUTED_VALUE"""),47818650)</f>
        <v>47818650</v>
      </c>
      <c r="DW112" s="133">
        <f ca="1">IFERROR(__xludf.DUMMYFUNCTION("""COMPUTED_VALUE"""),181024596)</f>
        <v>181024596</v>
      </c>
      <c r="DX112" s="133">
        <f ca="1">IFERROR(__xludf.DUMMYFUNCTION("""COMPUTED_VALUE"""),20557976)</f>
        <v>20557976</v>
      </c>
      <c r="DY112" s="133">
        <f ca="1">IFERROR(__xludf.DUMMYFUNCTION("""COMPUTED_VALUE"""),0)</f>
        <v>0</v>
      </c>
      <c r="DZ112" s="133">
        <f ca="1">IFERROR(__xludf.DUMMYFUNCTION("""COMPUTED_VALUE"""),249401222)</f>
        <v>249401222</v>
      </c>
      <c r="EA112" s="4"/>
      <c r="EB112" s="4"/>
    </row>
    <row r="113" spans="1:132" x14ac:dyDescent="0.2">
      <c r="A113" s="4">
        <f ca="1">IFERROR(__xludf.DUMMYFUNCTION("""COMPUTED_VALUE"""),113)</f>
        <v>113</v>
      </c>
      <c r="B113" s="4">
        <f ca="1">IFERROR(__xludf.DUMMYFUNCTION("""COMPUTED_VALUE"""),104)</f>
        <v>104</v>
      </c>
      <c r="C113" s="4" t="str">
        <f ca="1">IFERROR(__xludf.DUMMYFUNCTION("""COMPUTED_VALUE"""),"SDATOOL-36229")</f>
        <v>SDATOOL-36229</v>
      </c>
      <c r="D113" s="4" t="str">
        <f ca="1">IFERROR(__xludf.DUMMYFUNCTION("""COMPUTED_VALUE"""),"Corresponsal Bancario PTM")</f>
        <v>Corresponsal Bancario PTM</v>
      </c>
      <c r="E113" s="4" t="str">
        <f ca="1">IFERROR(__xludf.DUMMYFUNCTION("""COMPUTED_VALUE"""),"Corresponsal Bancario")</f>
        <v>Corresponsal Bancario</v>
      </c>
      <c r="F113" s="4" t="str">
        <f ca="1">IFERROR(__xludf.DUMMYFUNCTION("""COMPUTED_VALUE"""),"Project")</f>
        <v>Project</v>
      </c>
      <c r="G113" s="4" t="str">
        <f ca="1">IFERROR(__xludf.DUMMYFUNCTION("""COMPUTED_VALUE"""),"Ended")</f>
        <v>Ended</v>
      </c>
      <c r="H113" s="4" t="str">
        <f ca="1">IFERROR(__xludf.DUMMYFUNCTION("""COMPUTED_VALUE"""),"1Q 2023")</f>
        <v>1Q 2023</v>
      </c>
      <c r="I113" s="131" t="str">
        <f ca="1">IFERROR(__xludf.DUMMYFUNCTION("""COMPUTED_VALUE"""),"jimy.catolico-bbva.com")</f>
        <v>jimy.catolico-bbva.com</v>
      </c>
      <c r="J113" s="131" t="str">
        <f ca="1">IFERROR(__xludf.DUMMYFUNCTION("""COMPUTED_VALUE"""),"giulianaandrea.guarin-bbva.com")</f>
        <v>giulianaandrea.guarin-bbva.com</v>
      </c>
      <c r="K113" s="131" t="str">
        <f ca="1">IFERROR(__xludf.DUMMYFUNCTION("""COMPUTED_VALUE"""),"juhan.lozano-bbva.com")</f>
        <v>juhan.lozano-bbva.com</v>
      </c>
      <c r="L113" s="4"/>
      <c r="M113" s="4"/>
      <c r="N113" s="4"/>
      <c r="O113" s="4" t="str">
        <f ca="1">IFERROR(__xludf.DUMMYFUNCTION("""COMPUTED_VALUE"""),"Waterfall")</f>
        <v>Waterfall</v>
      </c>
      <c r="P113" s="4" t="str">
        <f ca="1">IFERROR(__xludf.DUMMYFUNCTION("""COMPUTED_VALUE"""),"Tradicional")</f>
        <v>Tradicional</v>
      </c>
      <c r="Q113" s="4"/>
      <c r="R113" s="130" t="str">
        <f ca="1">IFERROR(__xludf.DUMMYFUNCTION("""COMPUTED_VALUE"""),"Business Innovation &amp; Strategy")</f>
        <v>Business Innovation &amp; Strategy</v>
      </c>
      <c r="S113" s="130" t="str">
        <f ca="1">IFERROR(__xludf.DUMMYFUNCTION("""COMPUTED_VALUE"""),"Area Review")</f>
        <v>Area Review</v>
      </c>
      <c r="T113" s="130" t="str">
        <f ca="1">IFERROR(__xludf.DUMMYFUNCTION("""COMPUTED_VALUE"""),"1. Generación de Ingresos")</f>
        <v>1. Generación de Ingresos</v>
      </c>
      <c r="U113" s="130" t="str">
        <f ca="1">IFERROR(__xludf.DUMMYFUNCTION("""COMPUTED_VALUE"""),"1.5. Otros de Proyectos de Ingresos")</f>
        <v>1.5. Otros de Proyectos de Ingresos</v>
      </c>
      <c r="V113" s="4" t="str">
        <f ca="1">IFERROR(__xludf.DUMMYFUNCTION("""COMPUTED_VALUE"""),"CBs")</f>
        <v>CBs</v>
      </c>
      <c r="W113" s="4">
        <f ca="1">IFERROR(__xludf.DUMMYFUNCTION("""COMPUTED_VALUE"""),1)</f>
        <v>1</v>
      </c>
      <c r="X113" s="4" t="str">
        <f ca="1">IFERROR(__xludf.DUMMYFUNCTION("""COMPUTED_VALUE"""),"04. Relationship Models")</f>
        <v>04. Relationship Models</v>
      </c>
      <c r="Y113" s="4" t="str">
        <f ca="1">IFERROR(__xludf.DUMMYFUNCTION("""COMPUTED_VALUE"""),"5.6.6 Non Global Project")</f>
        <v>5.6.6 Non Global Project</v>
      </c>
      <c r="Z113" s="132" t="str">
        <f ca="1">IFERROR(__xludf.DUMMYFUNCTION("""COMPUTED_VALUE"""),"262151")</f>
        <v>262151</v>
      </c>
      <c r="AA113" s="4" t="str">
        <f ca="1">IFERROR(__xludf.DUMMYFUNCTION("""COMPUTED_VALUE"""),"Recaudos Pago de servicios")</f>
        <v>Recaudos Pago de servicios</v>
      </c>
      <c r="AB113" s="4" t="str">
        <f ca="1">IFERROR(__xludf.DUMMYFUNCTION("""COMPUTED_VALUE"""),"Recaudos Pago de servicios")</f>
        <v>Recaudos Pago de servicios</v>
      </c>
      <c r="AC113" s="4" t="str">
        <f ca="1">IFERROR(__xludf.DUMMYFUNCTION("""COMPUTED_VALUE"""),"3Q 2022")</f>
        <v>3Q 2022</v>
      </c>
      <c r="AD113" s="128">
        <f ca="1">IFERROR(__xludf.DUMMYFUNCTION("""COMPUTED_VALUE"""),44562)</f>
        <v>44562</v>
      </c>
      <c r="AE113" s="128">
        <f ca="1">IFERROR(__xludf.DUMMYFUNCTION("""COMPUTED_VALUE"""),44592)</f>
        <v>44592</v>
      </c>
      <c r="AF113" s="128">
        <f ca="1">IFERROR(__xludf.DUMMYFUNCTION("""COMPUTED_VALUE"""),44562)</f>
        <v>44562</v>
      </c>
      <c r="AG113" s="128">
        <f ca="1">IFERROR(__xludf.DUMMYFUNCTION("""COMPUTED_VALUE"""),44681)</f>
        <v>44681</v>
      </c>
      <c r="AH113" s="128">
        <f ca="1">IFERROR(__xludf.DUMMYFUNCTION("""COMPUTED_VALUE"""),44684)</f>
        <v>44684</v>
      </c>
      <c r="AI113" s="128">
        <f ca="1">IFERROR(__xludf.DUMMYFUNCTION("""COMPUTED_VALUE"""),44709)</f>
        <v>44709</v>
      </c>
      <c r="AJ113" s="128">
        <f ca="1">IFERROR(__xludf.DUMMYFUNCTION("""COMPUTED_VALUE"""),44716)</f>
        <v>44716</v>
      </c>
      <c r="AK113" s="131" t="str">
        <f ca="1">IFERROR(__xludf.DUMMYFUNCTION("""COMPUTED_VALUE"""),"CCSS-8851")</f>
        <v>CCSS-8851</v>
      </c>
      <c r="AL113" s="4" t="str">
        <f ca="1">IFERROR(__xludf.DUMMYFUNCTION("""COMPUTED_VALUE"""),"Deployed")</f>
        <v>Deployed</v>
      </c>
      <c r="AM113" s="4" t="str">
        <f ca="1">IFERROR(__xludf.DUMMYFUNCTION("""COMPUTED_VALUE"""),"""28/06, Ya estamos en producción pero el Cbs no dado el ok para iniciar el piloto""")</f>
        <v>"28/06, Ya estamos en producción pero el Cbs no dado el ok para iniciar el piloto"</v>
      </c>
      <c r="AN113" s="4" t="str">
        <f ca="1">IFERROR(__xludf.DUMMYFUNCTION("""COMPUTED_VALUE"""),"Finalizado")</f>
        <v>Finalizado</v>
      </c>
      <c r="AO113" s="4" t="str">
        <f ca="1">IFERROR(__xludf.DUMMYFUNCTION("""COMPUTED_VALUE"""),"Transformación de la Red")</f>
        <v>Transformación de la Red</v>
      </c>
      <c r="AP113" s="4"/>
      <c r="AQ113" s="4"/>
      <c r="AR113" s="4" t="str">
        <f ca="1">IFERROR(__xludf.DUMMYFUNCTION("""COMPUTED_VALUE"""),"SDA aprobada en PPP Q1 2023")</f>
        <v>SDA aprobada en PPP Q1 2023</v>
      </c>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row>
    <row r="114" spans="1:132" x14ac:dyDescent="0.2">
      <c r="A114" s="4">
        <f ca="1">IFERROR(__xludf.DUMMYFUNCTION("""COMPUTED_VALUE"""),114)</f>
        <v>114</v>
      </c>
      <c r="B114" s="4">
        <f ca="1">IFERROR(__xludf.DUMMYFUNCTION("""COMPUTED_VALUE"""),105)</f>
        <v>105</v>
      </c>
      <c r="C114" s="4" t="str">
        <f ca="1">IFERROR(__xludf.DUMMYFUNCTION("""COMPUTED_VALUE"""),"SDATOOL-36229")</f>
        <v>SDATOOL-36229</v>
      </c>
      <c r="D114" s="4" t="str">
        <f ca="1">IFERROR(__xludf.DUMMYFUNCTION("""COMPUTED_VALUE"""),"Corresponsal Bancario PTM")</f>
        <v>Corresponsal Bancario PTM</v>
      </c>
      <c r="E114" s="4" t="str">
        <f ca="1">IFERROR(__xludf.DUMMYFUNCTION("""COMPUTED_VALUE"""),"Corresponsal Bancario")</f>
        <v>Corresponsal Bancario</v>
      </c>
      <c r="F114" s="4" t="str">
        <f ca="1">IFERROR(__xludf.DUMMYFUNCTION("""COMPUTED_VALUE"""),"Project")</f>
        <v>Project</v>
      </c>
      <c r="G114" s="4" t="str">
        <f ca="1">IFERROR(__xludf.DUMMYFUNCTION("""COMPUTED_VALUE"""),"Ended")</f>
        <v>Ended</v>
      </c>
      <c r="H114" s="4" t="str">
        <f ca="1">IFERROR(__xludf.DUMMYFUNCTION("""COMPUTED_VALUE"""),"1Q 2023")</f>
        <v>1Q 2023</v>
      </c>
      <c r="I114" s="131" t="str">
        <f ca="1">IFERROR(__xludf.DUMMYFUNCTION("""COMPUTED_VALUE"""),"jimy.catolico-bbva.com")</f>
        <v>jimy.catolico-bbva.com</v>
      </c>
      <c r="J114" s="131" t="str">
        <f ca="1">IFERROR(__xludf.DUMMYFUNCTION("""COMPUTED_VALUE"""),"giulianaandrea.guarin-bbva.com")</f>
        <v>giulianaandrea.guarin-bbva.com</v>
      </c>
      <c r="K114" s="131" t="str">
        <f ca="1">IFERROR(__xludf.DUMMYFUNCTION("""COMPUTED_VALUE"""),"juhan.lozano-bbva.com")</f>
        <v>juhan.lozano-bbva.com</v>
      </c>
      <c r="L114" s="4"/>
      <c r="M114" s="4"/>
      <c r="N114" s="4"/>
      <c r="O114" s="4" t="str">
        <f ca="1">IFERROR(__xludf.DUMMYFUNCTION("""COMPUTED_VALUE"""),"Waterfall")</f>
        <v>Waterfall</v>
      </c>
      <c r="P114" s="4" t="str">
        <f ca="1">IFERROR(__xludf.DUMMYFUNCTION("""COMPUTED_VALUE"""),"Tradicional")</f>
        <v>Tradicional</v>
      </c>
      <c r="Q114" s="4"/>
      <c r="R114" s="130" t="str">
        <f ca="1">IFERROR(__xludf.DUMMYFUNCTION("""COMPUTED_VALUE"""),"Business Innovation &amp; Strategy")</f>
        <v>Business Innovation &amp; Strategy</v>
      </c>
      <c r="S114" s="130" t="str">
        <f ca="1">IFERROR(__xludf.DUMMYFUNCTION("""COMPUTED_VALUE"""),"Area Review")</f>
        <v>Area Review</v>
      </c>
      <c r="T114" s="130" t="str">
        <f ca="1">IFERROR(__xludf.DUMMYFUNCTION("""COMPUTED_VALUE"""),"1. Generación de Ingresos")</f>
        <v>1. Generación de Ingresos</v>
      </c>
      <c r="U114" s="130" t="str">
        <f ca="1">IFERROR(__xludf.DUMMYFUNCTION("""COMPUTED_VALUE"""),"1.5. Otros de Proyectos de Ingresos")</f>
        <v>1.5. Otros de Proyectos de Ingresos</v>
      </c>
      <c r="V114" s="4" t="str">
        <f ca="1">IFERROR(__xludf.DUMMYFUNCTION("""COMPUTED_VALUE"""),"CBs")</f>
        <v>CBs</v>
      </c>
      <c r="W114" s="4">
        <f ca="1">IFERROR(__xludf.DUMMYFUNCTION("""COMPUTED_VALUE"""),1)</f>
        <v>1</v>
      </c>
      <c r="X114" s="4" t="str">
        <f ca="1">IFERROR(__xludf.DUMMYFUNCTION("""COMPUTED_VALUE"""),"04. Relationship Models")</f>
        <v>04. Relationship Models</v>
      </c>
      <c r="Y114" s="4" t="str">
        <f ca="1">IFERROR(__xludf.DUMMYFUNCTION("""COMPUTED_VALUE"""),"5.6.6 Non Global Project")</f>
        <v>5.6.6 Non Global Project</v>
      </c>
      <c r="Z114" s="132" t="str">
        <f ca="1">IFERROR(__xludf.DUMMYFUNCTION("""COMPUTED_VALUE"""),"262152")</f>
        <v>262152</v>
      </c>
      <c r="AA114" s="4" t="str">
        <f ca="1">IFERROR(__xludf.DUMMYFUNCTION("""COMPUTED_VALUE"""),"Retiro OTP")</f>
        <v>Retiro OTP</v>
      </c>
      <c r="AB114" s="4" t="str">
        <f ca="1">IFERROR(__xludf.DUMMYFUNCTION("""COMPUTED_VALUE"""),"Retiro OTP")</f>
        <v>Retiro OTP</v>
      </c>
      <c r="AC114" s="4" t="str">
        <f ca="1">IFERROR(__xludf.DUMMYFUNCTION("""COMPUTED_VALUE"""),"3Q 2022")</f>
        <v>3Q 2022</v>
      </c>
      <c r="AD114" s="128">
        <f ca="1">IFERROR(__xludf.DUMMYFUNCTION("""COMPUTED_VALUE"""),44683)</f>
        <v>44683</v>
      </c>
      <c r="AE114" s="128">
        <f ca="1">IFERROR(__xludf.DUMMYFUNCTION("""COMPUTED_VALUE"""),44712)</f>
        <v>44712</v>
      </c>
      <c r="AF114" s="128">
        <f ca="1">IFERROR(__xludf.DUMMYFUNCTION("""COMPUTED_VALUE"""),44713)</f>
        <v>44713</v>
      </c>
      <c r="AG114" s="129">
        <f ca="1">IFERROR(__xludf.DUMMYFUNCTION("""COMPUTED_VALUE"""),44793)</f>
        <v>44793</v>
      </c>
      <c r="AH114" s="129">
        <f ca="1">IFERROR(__xludf.DUMMYFUNCTION("""COMPUTED_VALUE"""),44796)</f>
        <v>44796</v>
      </c>
      <c r="AI114" s="128">
        <f ca="1">IFERROR(__xludf.DUMMYFUNCTION("""COMPUTED_VALUE"""),44820)</f>
        <v>44820</v>
      </c>
      <c r="AJ114" s="129">
        <f ca="1">IFERROR(__xludf.DUMMYFUNCTION("""COMPUTED_VALUE"""),44824)</f>
        <v>44824</v>
      </c>
      <c r="AK114" s="131" t="str">
        <f ca="1">IFERROR(__xludf.DUMMYFUNCTION("""COMPUTED_VALUE"""),"COLWSCANAL-870")</f>
        <v>COLWSCANAL-870</v>
      </c>
      <c r="AL114" s="4" t="str">
        <f ca="1">IFERROR(__xludf.DUMMYFUNCTION("""COMPUTED_VALUE"""),"Deployed")</f>
        <v>Deployed</v>
      </c>
      <c r="AM114" s="4" t="str">
        <f ca="1">IFERROR(__xludf.DUMMYFUNCTION("""COMPUTED_VALUE"""),"""28/06 Ya les asignaron las capacidades, primera semana de Julio se tiene el pna de trabajo""")</f>
        <v>"28/06 Ya les asignaron las capacidades, primera semana de Julio se tiene el pna de trabajo"</v>
      </c>
      <c r="AN114" s="4" t="str">
        <f ca="1">IFERROR(__xludf.DUMMYFUNCTION("""COMPUTED_VALUE"""),"Finalizado")</f>
        <v>Finalizado</v>
      </c>
      <c r="AO114" s="4" t="str">
        <f ca="1">IFERROR(__xludf.DUMMYFUNCTION("""COMPUTED_VALUE"""),"Transformación de la Red")</f>
        <v>Transformación de la Red</v>
      </c>
      <c r="AP114" s="4"/>
      <c r="AQ114" s="4"/>
      <c r="AR114" s="4" t="str">
        <f ca="1">IFERROR(__xludf.DUMMYFUNCTION("""COMPUTED_VALUE"""),"SDA aprobada en PPP Q1 2023")</f>
        <v>SDA aprobada en PPP Q1 2023</v>
      </c>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row>
    <row r="115" spans="1:132" x14ac:dyDescent="0.2">
      <c r="A115" s="4">
        <f ca="1">IFERROR(__xludf.DUMMYFUNCTION("""COMPUTED_VALUE"""),115)</f>
        <v>115</v>
      </c>
      <c r="B115" s="4">
        <f ca="1">IFERROR(__xludf.DUMMYFUNCTION("""COMPUTED_VALUE"""),106)</f>
        <v>106</v>
      </c>
      <c r="C115" s="4" t="str">
        <f ca="1">IFERROR(__xludf.DUMMYFUNCTION("""COMPUTED_VALUE"""),"SDATOOL-40581")</f>
        <v>SDATOOL-40581</v>
      </c>
      <c r="D115" s="4" t="str">
        <f ca="1">IFERROR(__xludf.DUMMYFUNCTION("""COMPUTED_VALUE"""),"Corresponsal Bancario Ya Ganaste")</f>
        <v>Corresponsal Bancario Ya Ganaste</v>
      </c>
      <c r="E115" s="4" t="str">
        <f ca="1">IFERROR(__xludf.DUMMYFUNCTION("""COMPUTED_VALUE"""),"Amplación de la Red de CBs a nivel nacional")</f>
        <v>Amplación de la Red de CBs a nivel nacional</v>
      </c>
      <c r="F115" s="4" t="str">
        <f ca="1">IFERROR(__xludf.DUMMYFUNCTION("""COMPUTED_VALUE"""),"Initiative")</f>
        <v>Initiative</v>
      </c>
      <c r="G115" s="4" t="str">
        <f ca="1">IFERROR(__xludf.DUMMYFUNCTION("""COMPUTED_VALUE"""),"Stock")</f>
        <v>Stock</v>
      </c>
      <c r="H115" s="4" t="str">
        <f ca="1">IFERROR(__xludf.DUMMYFUNCTION("""COMPUTED_VALUE"""),"4Q 2023")</f>
        <v>4Q 2023</v>
      </c>
      <c r="I115" s="131" t="str">
        <f ca="1">IFERROR(__xludf.DUMMYFUNCTION("""COMPUTED_VALUE"""),"jimy.catolico-bbva.com")</f>
        <v>jimy.catolico-bbva.com</v>
      </c>
      <c r="J115" s="131" t="str">
        <f ca="1">IFERROR(__xludf.DUMMYFUNCTION("""COMPUTED_VALUE"""),"giulianaandrea.guarin-bbva.com")</f>
        <v>giulianaandrea.guarin-bbva.com</v>
      </c>
      <c r="K115" s="131" t="str">
        <f ca="1">IFERROR(__xludf.DUMMYFUNCTION("""COMPUTED_VALUE"""),"juhan.lozano-bbva.com")</f>
        <v>juhan.lozano-bbva.com</v>
      </c>
      <c r="L115" s="130">
        <f ca="1">IFERROR(__xludf.DUMMYFUNCTION("""COMPUTED_VALUE"""),0.25)</f>
        <v>0.25</v>
      </c>
      <c r="M115" s="130">
        <f ca="1">IFERROR(__xludf.DUMMYFUNCTION("""COMPUTED_VALUE"""),1.34999999999999)</f>
        <v>1.3499999999999901</v>
      </c>
      <c r="N115" s="130">
        <f ca="1">IFERROR(__xludf.DUMMYFUNCTION("""COMPUTED_VALUE"""),0.72)</f>
        <v>0.72</v>
      </c>
      <c r="O115" s="4" t="str">
        <f ca="1">IFERROR(__xludf.DUMMYFUNCTION("""COMPUTED_VALUE"""),"Waterfall")</f>
        <v>Waterfall</v>
      </c>
      <c r="P115" s="4" t="str">
        <f ca="1">IFERROR(__xludf.DUMMYFUNCTION("""COMPUTED_VALUE"""),"Tradicional")</f>
        <v>Tradicional</v>
      </c>
      <c r="Q115" s="4"/>
      <c r="R115" s="130" t="str">
        <f ca="1">IFERROR(__xludf.DUMMYFUNCTION("""COMPUTED_VALUE"""),"Business Innovation &amp; Strategy")</f>
        <v>Business Innovation &amp; Strategy</v>
      </c>
      <c r="S115" s="130" t="str">
        <f ca="1">IFERROR(__xludf.DUMMYFUNCTION("""COMPUTED_VALUE"""),"Area Review")</f>
        <v>Area Review</v>
      </c>
      <c r="T115" s="130" t="str">
        <f ca="1">IFERROR(__xludf.DUMMYFUNCTION("""COMPUTED_VALUE"""),"1. Generación de Ingresos")</f>
        <v>1. Generación de Ingresos</v>
      </c>
      <c r="U115" s="130" t="str">
        <f ca="1">IFERROR(__xludf.DUMMYFUNCTION("""COMPUTED_VALUE"""),"1.5. Otros de Proyectos de Ingresos")</f>
        <v>1.5. Otros de Proyectos de Ingresos</v>
      </c>
      <c r="V115" s="4" t="str">
        <f ca="1">IFERROR(__xludf.DUMMYFUNCTION("""COMPUTED_VALUE"""),"CBs")</f>
        <v>CBs</v>
      </c>
      <c r="W115" s="4">
        <f ca="1">IFERROR(__xludf.DUMMYFUNCTION("""COMPUTED_VALUE"""),1)</f>
        <v>1</v>
      </c>
      <c r="X115" s="4" t="str">
        <f ca="1">IFERROR(__xludf.DUMMYFUNCTION("""COMPUTED_VALUE"""),"04. Relationship Models")</f>
        <v>04. Relationship Models</v>
      </c>
      <c r="Y115" s="4" t="str">
        <f ca="1">IFERROR(__xludf.DUMMYFUNCTION("""COMPUTED_VALUE"""),"5.6.6 Non Global Project")</f>
        <v>5.6.6 Non Global Project</v>
      </c>
      <c r="Z115" s="132" t="str">
        <f ca="1">IFERROR(__xludf.DUMMYFUNCTION("""COMPUTED_VALUE"""),"564729")</f>
        <v>564729</v>
      </c>
      <c r="AA115" s="4" t="str">
        <f ca="1">IFERROR(__xludf.DUMMYFUNCTION("""COMPUTED_VALUE"""),"Depósitos a cuentas")</f>
        <v>Depósitos a cuentas</v>
      </c>
      <c r="AB115" s="4" t="str">
        <f ca="1">IFERROR(__xludf.DUMMYFUNCTION("""COMPUTED_VALUE"""),"Depósitos a cuentas")</f>
        <v>Depósitos a cuentas</v>
      </c>
      <c r="AC115" s="4" t="str">
        <f ca="1">IFERROR(__xludf.DUMMYFUNCTION("""COMPUTED_VALUE"""),"3Q 2023")</f>
        <v>3Q 2023</v>
      </c>
      <c r="AD115" s="4"/>
      <c r="AE115" s="4"/>
      <c r="AF115" s="4"/>
      <c r="AG115" s="4"/>
      <c r="AH115" s="4"/>
      <c r="AI115" s="4"/>
      <c r="AJ115" s="4"/>
      <c r="AK115" s="131" t="str">
        <f ca="1">IFERROR(__xludf.DUMMYFUNCTION("""COMPUTED_VALUE"""),"COLWSCANAL-6282")</f>
        <v>COLWSCANAL-6282</v>
      </c>
      <c r="AL115" s="4" t="str">
        <f ca="1">IFERROR(__xludf.DUMMYFUNCTION("""COMPUTED_VALUE"""),"Blocked")</f>
        <v>Blocked</v>
      </c>
      <c r="AM115" s="4"/>
      <c r="AN115" s="4" t="str">
        <f ca="1">IFERROR(__xludf.DUMMYFUNCTION("""COMPUTED_VALUE"""),"Entregable en desarrollo")</f>
        <v>Entregable en desarrollo</v>
      </c>
      <c r="AO115" s="4" t="str">
        <f ca="1">IFERROR(__xludf.DUMMYFUNCTION("""COMPUTED_VALUE"""),"Transformación de la Red")</f>
        <v>Transformación de la Red</v>
      </c>
      <c r="AP115" s="4"/>
      <c r="AQ115" s="4"/>
      <c r="AR115" s="4" t="str">
        <f ca="1">IFERROR(__xludf.DUMMYFUNCTION("""COMPUTED_VALUE"""),"SDA aprobada en PPP Q1 2023")</f>
        <v>SDA aprobada en PPP Q1 2023</v>
      </c>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133">
        <f ca="1">IFERROR(__xludf.DUMMYFUNCTION("""COMPUTED_VALUE"""),0)</f>
        <v>0</v>
      </c>
      <c r="DV115" s="133">
        <f ca="1">IFERROR(__xludf.DUMMYFUNCTION("""COMPUTED_VALUE"""),0)</f>
        <v>0</v>
      </c>
      <c r="DW115" s="133">
        <f ca="1">IFERROR(__xludf.DUMMYFUNCTION("""COMPUTED_VALUE"""),0)</f>
        <v>0</v>
      </c>
      <c r="DX115" s="133">
        <f ca="1">IFERROR(__xludf.DUMMYFUNCTION("""COMPUTED_VALUE"""),189999879)</f>
        <v>189999879</v>
      </c>
      <c r="DY115" s="133">
        <f ca="1">IFERROR(__xludf.DUMMYFUNCTION("""COMPUTED_VALUE"""),0)</f>
        <v>0</v>
      </c>
      <c r="DZ115" s="133">
        <f ca="1">IFERROR(__xludf.DUMMYFUNCTION("""COMPUTED_VALUE"""),189999879)</f>
        <v>189999879</v>
      </c>
      <c r="EA115" s="4"/>
      <c r="EB115" s="4"/>
    </row>
    <row r="116" spans="1:132" x14ac:dyDescent="0.2">
      <c r="A116" s="4">
        <f ca="1">IFERROR(__xludf.DUMMYFUNCTION("""COMPUTED_VALUE"""),116)</f>
        <v>116</v>
      </c>
      <c r="B116" s="4">
        <f ca="1">IFERROR(__xludf.DUMMYFUNCTION("""COMPUTED_VALUE"""),107)</f>
        <v>107</v>
      </c>
      <c r="C116" s="4" t="str">
        <f ca="1">IFERROR(__xludf.DUMMYFUNCTION("""COMPUTED_VALUE"""),"SDATOOL-40581")</f>
        <v>SDATOOL-40581</v>
      </c>
      <c r="D116" s="4" t="str">
        <f ca="1">IFERROR(__xludf.DUMMYFUNCTION("""COMPUTED_VALUE"""),"Corresponsal Bancario Ya Ganaste")</f>
        <v>Corresponsal Bancario Ya Ganaste</v>
      </c>
      <c r="E116" s="4" t="str">
        <f ca="1">IFERROR(__xludf.DUMMYFUNCTION("""COMPUTED_VALUE"""),"Amplación de la Red de CBs a nivel nacional")</f>
        <v>Amplación de la Red de CBs a nivel nacional</v>
      </c>
      <c r="F116" s="4" t="str">
        <f ca="1">IFERROR(__xludf.DUMMYFUNCTION("""COMPUTED_VALUE"""),"Initiative")</f>
        <v>Initiative</v>
      </c>
      <c r="G116" s="4" t="str">
        <f ca="1">IFERROR(__xludf.DUMMYFUNCTION("""COMPUTED_VALUE"""),"Stock")</f>
        <v>Stock</v>
      </c>
      <c r="H116" s="4" t="str">
        <f ca="1">IFERROR(__xludf.DUMMYFUNCTION("""COMPUTED_VALUE"""),"4Q 2023")</f>
        <v>4Q 2023</v>
      </c>
      <c r="I116" s="131" t="str">
        <f ca="1">IFERROR(__xludf.DUMMYFUNCTION("""COMPUTED_VALUE"""),"jimy.catolico-bbva.com")</f>
        <v>jimy.catolico-bbva.com</v>
      </c>
      <c r="J116" s="131" t="str">
        <f ca="1">IFERROR(__xludf.DUMMYFUNCTION("""COMPUTED_VALUE"""),"giulianaandrea.guarin-bbva.com")</f>
        <v>giulianaandrea.guarin-bbva.com</v>
      </c>
      <c r="K116" s="131" t="str">
        <f ca="1">IFERROR(__xludf.DUMMYFUNCTION("""COMPUTED_VALUE"""),"juhan.lozano-bbva.com")</f>
        <v>juhan.lozano-bbva.com</v>
      </c>
      <c r="L116" s="4"/>
      <c r="M116" s="4"/>
      <c r="N116" s="4"/>
      <c r="O116" s="4" t="str">
        <f ca="1">IFERROR(__xludf.DUMMYFUNCTION("""COMPUTED_VALUE"""),"Waterfall")</f>
        <v>Waterfall</v>
      </c>
      <c r="P116" s="4" t="str">
        <f ca="1">IFERROR(__xludf.DUMMYFUNCTION("""COMPUTED_VALUE"""),"Tradicional")</f>
        <v>Tradicional</v>
      </c>
      <c r="Q116" s="4"/>
      <c r="R116" s="130" t="str">
        <f ca="1">IFERROR(__xludf.DUMMYFUNCTION("""COMPUTED_VALUE"""),"Business Innovation &amp; Strategy")</f>
        <v>Business Innovation &amp; Strategy</v>
      </c>
      <c r="S116" s="130" t="str">
        <f ca="1">IFERROR(__xludf.DUMMYFUNCTION("""COMPUTED_VALUE"""),"Area Review")</f>
        <v>Area Review</v>
      </c>
      <c r="T116" s="130" t="str">
        <f ca="1">IFERROR(__xludf.DUMMYFUNCTION("""COMPUTED_VALUE"""),"1. Generación de Ingresos")</f>
        <v>1. Generación de Ingresos</v>
      </c>
      <c r="U116" s="130" t="str">
        <f ca="1">IFERROR(__xludf.DUMMYFUNCTION("""COMPUTED_VALUE"""),"1.5. Otros de Proyectos de Ingresos")</f>
        <v>1.5. Otros de Proyectos de Ingresos</v>
      </c>
      <c r="V116" s="4" t="str">
        <f ca="1">IFERROR(__xludf.DUMMYFUNCTION("""COMPUTED_VALUE"""),"CBs")</f>
        <v>CBs</v>
      </c>
      <c r="W116" s="4">
        <f ca="1">IFERROR(__xludf.DUMMYFUNCTION("""COMPUTED_VALUE"""),1)</f>
        <v>1</v>
      </c>
      <c r="X116" s="4" t="str">
        <f ca="1">IFERROR(__xludf.DUMMYFUNCTION("""COMPUTED_VALUE"""),"04. Relationship Models")</f>
        <v>04. Relationship Models</v>
      </c>
      <c r="Y116" s="4" t="str">
        <f ca="1">IFERROR(__xludf.DUMMYFUNCTION("""COMPUTED_VALUE"""),"5.6.6 Non Global Project")</f>
        <v>5.6.6 Non Global Project</v>
      </c>
      <c r="Z116" s="132" t="str">
        <f ca="1">IFERROR(__xludf.DUMMYFUNCTION("""COMPUTED_VALUE"""),"564728")</f>
        <v>564728</v>
      </c>
      <c r="AA116" s="4" t="str">
        <f ca="1">IFERROR(__xludf.DUMMYFUNCTION("""COMPUTED_VALUE"""),"Retiro con OTP")</f>
        <v>Retiro con OTP</v>
      </c>
      <c r="AB116" s="4" t="str">
        <f ca="1">IFERROR(__xludf.DUMMYFUNCTION("""COMPUTED_VALUE"""),"Retiro de con OTP de Banca Móvil")</f>
        <v>Retiro de con OTP de Banca Móvil</v>
      </c>
      <c r="AC116" s="4" t="str">
        <f ca="1">IFERROR(__xludf.DUMMYFUNCTION("""COMPUTED_VALUE"""),"3Q 2023")</f>
        <v>3Q 2023</v>
      </c>
      <c r="AD116" s="4"/>
      <c r="AE116" s="4"/>
      <c r="AF116" s="4"/>
      <c r="AG116" s="4"/>
      <c r="AH116" s="4"/>
      <c r="AI116" s="4"/>
      <c r="AJ116" s="4"/>
      <c r="AK116" s="131" t="str">
        <f ca="1">IFERROR(__xludf.DUMMYFUNCTION("""COMPUTED_VALUE"""),"COLWSCANAL-6281")</f>
        <v>COLWSCANAL-6281</v>
      </c>
      <c r="AL116" s="4" t="str">
        <f ca="1">IFERROR(__xludf.DUMMYFUNCTION("""COMPUTED_VALUE"""),"Blocked")</f>
        <v>Blocked</v>
      </c>
      <c r="AM116" s="4"/>
      <c r="AN116" s="4" t="str">
        <f ca="1">IFERROR(__xludf.DUMMYFUNCTION("""COMPUTED_VALUE"""),"Entregable en desarrollo")</f>
        <v>Entregable en desarrollo</v>
      </c>
      <c r="AO116" s="4" t="str">
        <f ca="1">IFERROR(__xludf.DUMMYFUNCTION("""COMPUTED_VALUE"""),"Transformación de la Red")</f>
        <v>Transformación de la Red</v>
      </c>
      <c r="AP116" s="4"/>
      <c r="AQ116" s="4"/>
      <c r="AR116" s="4" t="str">
        <f ca="1">IFERROR(__xludf.DUMMYFUNCTION("""COMPUTED_VALUE"""),"SDA aprobada en PPP Q1 2023")</f>
        <v>SDA aprobada en PPP Q1 2023</v>
      </c>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row>
    <row r="117" spans="1:132" x14ac:dyDescent="0.2">
      <c r="A117" s="4">
        <f ca="1">IFERROR(__xludf.DUMMYFUNCTION("""COMPUTED_VALUE"""),117)</f>
        <v>117</v>
      </c>
      <c r="B117" s="4">
        <f ca="1">IFERROR(__xludf.DUMMYFUNCTION("""COMPUTED_VALUE"""),108)</f>
        <v>108</v>
      </c>
      <c r="C117" s="4" t="str">
        <f ca="1">IFERROR(__xludf.DUMMYFUNCTION("""COMPUTED_VALUE"""),"SDATOOL-40581")</f>
        <v>SDATOOL-40581</v>
      </c>
      <c r="D117" s="4" t="str">
        <f ca="1">IFERROR(__xludf.DUMMYFUNCTION("""COMPUTED_VALUE"""),"Corresponsal Bancario Ya Ganaste")</f>
        <v>Corresponsal Bancario Ya Ganaste</v>
      </c>
      <c r="E117" s="4" t="str">
        <f ca="1">IFERROR(__xludf.DUMMYFUNCTION("""COMPUTED_VALUE"""),"Amplación de la Red de CBs a nivel nacional")</f>
        <v>Amplación de la Red de CBs a nivel nacional</v>
      </c>
      <c r="F117" s="4" t="str">
        <f ca="1">IFERROR(__xludf.DUMMYFUNCTION("""COMPUTED_VALUE"""),"Initiative")</f>
        <v>Initiative</v>
      </c>
      <c r="G117" s="4" t="str">
        <f ca="1">IFERROR(__xludf.DUMMYFUNCTION("""COMPUTED_VALUE"""),"Stock")</f>
        <v>Stock</v>
      </c>
      <c r="H117" s="4" t="str">
        <f ca="1">IFERROR(__xludf.DUMMYFUNCTION("""COMPUTED_VALUE"""),"4Q 2023")</f>
        <v>4Q 2023</v>
      </c>
      <c r="I117" s="131" t="str">
        <f ca="1">IFERROR(__xludf.DUMMYFUNCTION("""COMPUTED_VALUE"""),"jimy.catolico-bbva.com")</f>
        <v>jimy.catolico-bbva.com</v>
      </c>
      <c r="J117" s="131" t="str">
        <f ca="1">IFERROR(__xludf.DUMMYFUNCTION("""COMPUTED_VALUE"""),"giulianaandrea.guarin-bbva.com")</f>
        <v>giulianaandrea.guarin-bbva.com</v>
      </c>
      <c r="K117" s="131" t="str">
        <f ca="1">IFERROR(__xludf.DUMMYFUNCTION("""COMPUTED_VALUE"""),"juhan.lozano-bbva.com")</f>
        <v>juhan.lozano-bbva.com</v>
      </c>
      <c r="L117" s="4"/>
      <c r="M117" s="4"/>
      <c r="N117" s="4"/>
      <c r="O117" s="4" t="str">
        <f ca="1">IFERROR(__xludf.DUMMYFUNCTION("""COMPUTED_VALUE"""),"Waterfall")</f>
        <v>Waterfall</v>
      </c>
      <c r="P117" s="4" t="str">
        <f ca="1">IFERROR(__xludf.DUMMYFUNCTION("""COMPUTED_VALUE"""),"Tradicional")</f>
        <v>Tradicional</v>
      </c>
      <c r="Q117" s="4"/>
      <c r="R117" s="130" t="str">
        <f ca="1">IFERROR(__xludf.DUMMYFUNCTION("""COMPUTED_VALUE"""),"Business Innovation &amp; Strategy")</f>
        <v>Business Innovation &amp; Strategy</v>
      </c>
      <c r="S117" s="130" t="str">
        <f ca="1">IFERROR(__xludf.DUMMYFUNCTION("""COMPUTED_VALUE"""),"Area Review")</f>
        <v>Area Review</v>
      </c>
      <c r="T117" s="130" t="str">
        <f ca="1">IFERROR(__xludf.DUMMYFUNCTION("""COMPUTED_VALUE"""),"1. Generación de Ingresos")</f>
        <v>1. Generación de Ingresos</v>
      </c>
      <c r="U117" s="130" t="str">
        <f ca="1">IFERROR(__xludf.DUMMYFUNCTION("""COMPUTED_VALUE"""),"1.5. Otros de Proyectos de Ingresos")</f>
        <v>1.5. Otros de Proyectos de Ingresos</v>
      </c>
      <c r="V117" s="4" t="str">
        <f ca="1">IFERROR(__xludf.DUMMYFUNCTION("""COMPUTED_VALUE"""),"CBs")</f>
        <v>CBs</v>
      </c>
      <c r="W117" s="4">
        <f ca="1">IFERROR(__xludf.DUMMYFUNCTION("""COMPUTED_VALUE"""),1)</f>
        <v>1</v>
      </c>
      <c r="X117" s="4" t="str">
        <f ca="1">IFERROR(__xludf.DUMMYFUNCTION("""COMPUTED_VALUE"""),"04. Relationship Models")</f>
        <v>04. Relationship Models</v>
      </c>
      <c r="Y117" s="4" t="str">
        <f ca="1">IFERROR(__xludf.DUMMYFUNCTION("""COMPUTED_VALUE"""),"5.6.6 Non Global Project")</f>
        <v>5.6.6 Non Global Project</v>
      </c>
      <c r="Z117" s="132" t="str">
        <f ca="1">IFERROR(__xludf.DUMMYFUNCTION("""COMPUTED_VALUE"""),"564727")</f>
        <v>564727</v>
      </c>
      <c r="AA117" s="4" t="str">
        <f ca="1">IFERROR(__xludf.DUMMYFUNCTION("""COMPUTED_VALUE"""),"TX Recaudo")</f>
        <v>TX Recaudo</v>
      </c>
      <c r="AB117" s="4" t="str">
        <f ca="1">IFERROR(__xludf.DUMMYFUNCTION("""COMPUTED_VALUE"""),"Pago de recaudo")</f>
        <v>Pago de recaudo</v>
      </c>
      <c r="AC117" s="4" t="str">
        <f ca="1">IFERROR(__xludf.DUMMYFUNCTION("""COMPUTED_VALUE"""),"2Q 2023")</f>
        <v>2Q 2023</v>
      </c>
      <c r="AD117" s="4"/>
      <c r="AE117" s="4"/>
      <c r="AF117" s="4"/>
      <c r="AG117" s="4"/>
      <c r="AH117" s="4"/>
      <c r="AI117" s="4"/>
      <c r="AJ117" s="4"/>
      <c r="AK117" s="131" t="str">
        <f ca="1">IFERROR(__xludf.DUMMYFUNCTION("""COMPUTED_VALUE"""),"COLWSCANAL-13332")</f>
        <v>COLWSCANAL-13332</v>
      </c>
      <c r="AL117" s="4" t="str">
        <f ca="1">IFERROR(__xludf.DUMMYFUNCTION("""COMPUTED_VALUE"""),"Analysing")</f>
        <v>Analysing</v>
      </c>
      <c r="AM117" s="4"/>
      <c r="AN117" s="4" t="str">
        <f ca="1">IFERROR(__xludf.DUMMYFUNCTION("""COMPUTED_VALUE"""),"Entregable en desarrollo")</f>
        <v>Entregable en desarrollo</v>
      </c>
      <c r="AO117" s="4" t="str">
        <f ca="1">IFERROR(__xludf.DUMMYFUNCTION("""COMPUTED_VALUE"""),"Transformación de la Red")</f>
        <v>Transformación de la Red</v>
      </c>
      <c r="AP117" s="4"/>
      <c r="AQ117" s="4"/>
      <c r="AR117" s="4" t="str">
        <f ca="1">IFERROR(__xludf.DUMMYFUNCTION("""COMPUTED_VALUE"""),"SDA aprobada en PPP Q1 2023")</f>
        <v>SDA aprobada en PPP Q1 2023</v>
      </c>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row>
    <row r="118" spans="1:132" x14ac:dyDescent="0.2">
      <c r="A118" s="4">
        <f ca="1">IFERROR(__xludf.DUMMYFUNCTION("""COMPUTED_VALUE"""),118)</f>
        <v>118</v>
      </c>
      <c r="B118" s="4">
        <f ca="1">IFERROR(__xludf.DUMMYFUNCTION("""COMPUTED_VALUE"""),109)</f>
        <v>109</v>
      </c>
      <c r="C118" s="4" t="str">
        <f ca="1">IFERROR(__xludf.DUMMYFUNCTION("""COMPUTED_VALUE"""),"SDATOOL-40581")</f>
        <v>SDATOOL-40581</v>
      </c>
      <c r="D118" s="4" t="str">
        <f ca="1">IFERROR(__xludf.DUMMYFUNCTION("""COMPUTED_VALUE"""),"Corresponsal Bancario Ya Ganaste")</f>
        <v>Corresponsal Bancario Ya Ganaste</v>
      </c>
      <c r="E118" s="4" t="str">
        <f ca="1">IFERROR(__xludf.DUMMYFUNCTION("""COMPUTED_VALUE"""),"Amplación de la Red de CBs a nivel nacional")</f>
        <v>Amplación de la Red de CBs a nivel nacional</v>
      </c>
      <c r="F118" s="4" t="str">
        <f ca="1">IFERROR(__xludf.DUMMYFUNCTION("""COMPUTED_VALUE"""),"Initiative")</f>
        <v>Initiative</v>
      </c>
      <c r="G118" s="4" t="str">
        <f ca="1">IFERROR(__xludf.DUMMYFUNCTION("""COMPUTED_VALUE"""),"Stock")</f>
        <v>Stock</v>
      </c>
      <c r="H118" s="4" t="str">
        <f ca="1">IFERROR(__xludf.DUMMYFUNCTION("""COMPUTED_VALUE"""),"4Q 2023")</f>
        <v>4Q 2023</v>
      </c>
      <c r="I118" s="131" t="str">
        <f ca="1">IFERROR(__xludf.DUMMYFUNCTION("""COMPUTED_VALUE"""),"jimy.catolico-bbva.com")</f>
        <v>jimy.catolico-bbva.com</v>
      </c>
      <c r="J118" s="131" t="str">
        <f ca="1">IFERROR(__xludf.DUMMYFUNCTION("""COMPUTED_VALUE"""),"giulianaandrea.guarin-bbva.com")</f>
        <v>giulianaandrea.guarin-bbva.com</v>
      </c>
      <c r="K118" s="131" t="str">
        <f ca="1">IFERROR(__xludf.DUMMYFUNCTION("""COMPUTED_VALUE"""),"juhan.lozano-bbva.com")</f>
        <v>juhan.lozano-bbva.com</v>
      </c>
      <c r="L118" s="4"/>
      <c r="M118" s="4"/>
      <c r="N118" s="4"/>
      <c r="O118" s="4" t="str">
        <f ca="1">IFERROR(__xludf.DUMMYFUNCTION("""COMPUTED_VALUE"""),"Waterfall")</f>
        <v>Waterfall</v>
      </c>
      <c r="P118" s="4" t="str">
        <f ca="1">IFERROR(__xludf.DUMMYFUNCTION("""COMPUTED_VALUE"""),"Tradicional")</f>
        <v>Tradicional</v>
      </c>
      <c r="Q118" s="4"/>
      <c r="R118" s="130" t="str">
        <f ca="1">IFERROR(__xludf.DUMMYFUNCTION("""COMPUTED_VALUE"""),"Business Innovation &amp; Strategy")</f>
        <v>Business Innovation &amp; Strategy</v>
      </c>
      <c r="S118" s="130" t="str">
        <f ca="1">IFERROR(__xludf.DUMMYFUNCTION("""COMPUTED_VALUE"""),"Area Review")</f>
        <v>Area Review</v>
      </c>
      <c r="T118" s="130" t="str">
        <f ca="1">IFERROR(__xludf.DUMMYFUNCTION("""COMPUTED_VALUE"""),"1. Generación de Ingresos")</f>
        <v>1. Generación de Ingresos</v>
      </c>
      <c r="U118" s="130" t="str">
        <f ca="1">IFERROR(__xludf.DUMMYFUNCTION("""COMPUTED_VALUE"""),"1.5. Otros de Proyectos de Ingresos")</f>
        <v>1.5. Otros de Proyectos de Ingresos</v>
      </c>
      <c r="V118" s="4" t="str">
        <f ca="1">IFERROR(__xludf.DUMMYFUNCTION("""COMPUTED_VALUE"""),"CBs")</f>
        <v>CBs</v>
      </c>
      <c r="W118" s="4">
        <f ca="1">IFERROR(__xludf.DUMMYFUNCTION("""COMPUTED_VALUE"""),1)</f>
        <v>1</v>
      </c>
      <c r="X118" s="4" t="str">
        <f ca="1">IFERROR(__xludf.DUMMYFUNCTION("""COMPUTED_VALUE"""),"04. Relationship Models")</f>
        <v>04. Relationship Models</v>
      </c>
      <c r="Y118" s="4" t="str">
        <f ca="1">IFERROR(__xludf.DUMMYFUNCTION("""COMPUTED_VALUE"""),"5.6.6 Non Global Project")</f>
        <v>5.6.6 Non Global Project</v>
      </c>
      <c r="Z118" s="132" t="str">
        <f ca="1">IFERROR(__xludf.DUMMYFUNCTION("""COMPUTED_VALUE"""),"564731")</f>
        <v>564731</v>
      </c>
      <c r="AA118" s="4" t="str">
        <f ca="1">IFERROR(__xludf.DUMMYFUNCTION("""COMPUTED_VALUE"""),"Pago de productos propios -Préstamos")</f>
        <v>Pago de productos propios -Préstamos</v>
      </c>
      <c r="AB118" s="4" t="str">
        <f ca="1">IFERROR(__xludf.DUMMYFUNCTION("""COMPUTED_VALUE"""),"Pago de prestamos hasta con 180 días de mora")</f>
        <v>Pago de prestamos hasta con 180 días de mora</v>
      </c>
      <c r="AC118" s="4" t="str">
        <f ca="1">IFERROR(__xludf.DUMMYFUNCTION("""COMPUTED_VALUE"""),"4Q 2023")</f>
        <v>4Q 2023</v>
      </c>
      <c r="AD118" s="4"/>
      <c r="AE118" s="4"/>
      <c r="AF118" s="4"/>
      <c r="AG118" s="4"/>
      <c r="AH118" s="4"/>
      <c r="AI118" s="4"/>
      <c r="AJ118" s="4"/>
      <c r="AK118" s="131" t="str">
        <f ca="1">IFERROR(__xludf.DUMMYFUNCTION("""COMPUTED_VALUE"""),"COLWSCANAL-6288")</f>
        <v>COLWSCANAL-6288</v>
      </c>
      <c r="AL118" s="4" t="str">
        <f ca="1">IFERROR(__xludf.DUMMYFUNCTION("""COMPUTED_VALUE"""),"Blocked")</f>
        <v>Blocked</v>
      </c>
      <c r="AM118" s="4"/>
      <c r="AN118" s="4" t="str">
        <f ca="1">IFERROR(__xludf.DUMMYFUNCTION("""COMPUTED_VALUE"""),"Entregable en backlog")</f>
        <v>Entregable en backlog</v>
      </c>
      <c r="AO118" s="4" t="str">
        <f ca="1">IFERROR(__xludf.DUMMYFUNCTION("""COMPUTED_VALUE"""),"Transformación de la Red")</f>
        <v>Transformación de la Red</v>
      </c>
      <c r="AP118" s="4"/>
      <c r="AQ118" s="4"/>
      <c r="AR118" s="4" t="str">
        <f ca="1">IFERROR(__xludf.DUMMYFUNCTION("""COMPUTED_VALUE"""),"SDA aprobada en PPP Q1 2023")</f>
        <v>SDA aprobada en PPP Q1 2023</v>
      </c>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row>
    <row r="119" spans="1:132" x14ac:dyDescent="0.2">
      <c r="A119" s="4">
        <f ca="1">IFERROR(__xludf.DUMMYFUNCTION("""COMPUTED_VALUE"""),119)</f>
        <v>119</v>
      </c>
      <c r="B119" s="4">
        <f ca="1">IFERROR(__xludf.DUMMYFUNCTION("""COMPUTED_VALUE"""),110)</f>
        <v>110</v>
      </c>
      <c r="C119" s="4" t="str">
        <f ca="1">IFERROR(__xludf.DUMMYFUNCTION("""COMPUTED_VALUE"""),"SDATOOL-40581")</f>
        <v>SDATOOL-40581</v>
      </c>
      <c r="D119" s="4" t="str">
        <f ca="1">IFERROR(__xludf.DUMMYFUNCTION("""COMPUTED_VALUE"""),"Corresponsal Bancario Ya Ganaste")</f>
        <v>Corresponsal Bancario Ya Ganaste</v>
      </c>
      <c r="E119" s="4" t="str">
        <f ca="1">IFERROR(__xludf.DUMMYFUNCTION("""COMPUTED_VALUE"""),"Amplación de la Red de CBs a nivel nacional")</f>
        <v>Amplación de la Red de CBs a nivel nacional</v>
      </c>
      <c r="F119" s="4" t="str">
        <f ca="1">IFERROR(__xludf.DUMMYFUNCTION("""COMPUTED_VALUE"""),"Initiative")</f>
        <v>Initiative</v>
      </c>
      <c r="G119" s="4" t="str">
        <f ca="1">IFERROR(__xludf.DUMMYFUNCTION("""COMPUTED_VALUE"""),"Stock")</f>
        <v>Stock</v>
      </c>
      <c r="H119" s="4" t="str">
        <f ca="1">IFERROR(__xludf.DUMMYFUNCTION("""COMPUTED_VALUE"""),"4Q 2023")</f>
        <v>4Q 2023</v>
      </c>
      <c r="I119" s="131" t="str">
        <f ca="1">IFERROR(__xludf.DUMMYFUNCTION("""COMPUTED_VALUE"""),"jimy.catolico-bbva.com")</f>
        <v>jimy.catolico-bbva.com</v>
      </c>
      <c r="J119" s="131" t="str">
        <f ca="1">IFERROR(__xludf.DUMMYFUNCTION("""COMPUTED_VALUE"""),"giulianaandrea.guarin-bbva.com")</f>
        <v>giulianaandrea.guarin-bbva.com</v>
      </c>
      <c r="K119" s="131" t="str">
        <f ca="1">IFERROR(__xludf.DUMMYFUNCTION("""COMPUTED_VALUE"""),"juhan.lozano-bbva.com")</f>
        <v>juhan.lozano-bbva.com</v>
      </c>
      <c r="L119" s="4"/>
      <c r="M119" s="4"/>
      <c r="N119" s="4"/>
      <c r="O119" s="4" t="str">
        <f ca="1">IFERROR(__xludf.DUMMYFUNCTION("""COMPUTED_VALUE"""),"Waterfall")</f>
        <v>Waterfall</v>
      </c>
      <c r="P119" s="4" t="str">
        <f ca="1">IFERROR(__xludf.DUMMYFUNCTION("""COMPUTED_VALUE"""),"Tradicional")</f>
        <v>Tradicional</v>
      </c>
      <c r="Q119" s="4"/>
      <c r="R119" s="130" t="str">
        <f ca="1">IFERROR(__xludf.DUMMYFUNCTION("""COMPUTED_VALUE"""),"Business Innovation &amp; Strategy")</f>
        <v>Business Innovation &amp; Strategy</v>
      </c>
      <c r="S119" s="130" t="str">
        <f ca="1">IFERROR(__xludf.DUMMYFUNCTION("""COMPUTED_VALUE"""),"Area Review")</f>
        <v>Area Review</v>
      </c>
      <c r="T119" s="130" t="str">
        <f ca="1">IFERROR(__xludf.DUMMYFUNCTION("""COMPUTED_VALUE"""),"1. Generación de Ingresos")</f>
        <v>1. Generación de Ingresos</v>
      </c>
      <c r="U119" s="130" t="str">
        <f ca="1">IFERROR(__xludf.DUMMYFUNCTION("""COMPUTED_VALUE"""),"1.5. Otros de Proyectos de Ingresos")</f>
        <v>1.5. Otros de Proyectos de Ingresos</v>
      </c>
      <c r="V119" s="4" t="str">
        <f ca="1">IFERROR(__xludf.DUMMYFUNCTION("""COMPUTED_VALUE"""),"CBs")</f>
        <v>CBs</v>
      </c>
      <c r="W119" s="4">
        <f ca="1">IFERROR(__xludf.DUMMYFUNCTION("""COMPUTED_VALUE"""),1)</f>
        <v>1</v>
      </c>
      <c r="X119" s="4" t="str">
        <f ca="1">IFERROR(__xludf.DUMMYFUNCTION("""COMPUTED_VALUE"""),"04. Relationship Models")</f>
        <v>04. Relationship Models</v>
      </c>
      <c r="Y119" s="4" t="str">
        <f ca="1">IFERROR(__xludf.DUMMYFUNCTION("""COMPUTED_VALUE"""),"5.6.6 Non Global Project")</f>
        <v>5.6.6 Non Global Project</v>
      </c>
      <c r="Z119" s="132" t="str">
        <f ca="1">IFERROR(__xludf.DUMMYFUNCTION("""COMPUTED_VALUE"""),"564730")</f>
        <v>564730</v>
      </c>
      <c r="AA119" s="4" t="str">
        <f ca="1">IFERROR(__xludf.DUMMYFUNCTION("""COMPUTED_VALUE"""),"Pago de Productos propios TDC")</f>
        <v>Pago de Productos propios TDC</v>
      </c>
      <c r="AB119" s="4" t="str">
        <f ca="1">IFERROR(__xludf.DUMMYFUNCTION("""COMPUTED_VALUE"""),"Pago de TDC")</f>
        <v>Pago de TDC</v>
      </c>
      <c r="AC119" s="4" t="str">
        <f ca="1">IFERROR(__xludf.DUMMYFUNCTION("""COMPUTED_VALUE"""),"4Q 2023")</f>
        <v>4Q 2023</v>
      </c>
      <c r="AD119" s="4"/>
      <c r="AE119" s="4"/>
      <c r="AF119" s="4"/>
      <c r="AG119" s="4"/>
      <c r="AH119" s="4"/>
      <c r="AI119" s="4"/>
      <c r="AJ119" s="4"/>
      <c r="AK119" s="131" t="str">
        <f ca="1">IFERROR(__xludf.DUMMYFUNCTION("""COMPUTED_VALUE"""),"COLWSCANAL-6287")</f>
        <v>COLWSCANAL-6287</v>
      </c>
      <c r="AL119" s="4" t="str">
        <f ca="1">IFERROR(__xludf.DUMMYFUNCTION("""COMPUTED_VALUE"""),"Blocked")</f>
        <v>Blocked</v>
      </c>
      <c r="AM119" s="4"/>
      <c r="AN119" s="4" t="str">
        <f ca="1">IFERROR(__xludf.DUMMYFUNCTION("""COMPUTED_VALUE"""),"Entregable en backlog")</f>
        <v>Entregable en backlog</v>
      </c>
      <c r="AO119" s="4" t="str">
        <f ca="1">IFERROR(__xludf.DUMMYFUNCTION("""COMPUTED_VALUE"""),"Transformación de la Red")</f>
        <v>Transformación de la Red</v>
      </c>
      <c r="AP119" s="4"/>
      <c r="AQ119" s="4"/>
      <c r="AR119" s="4" t="str">
        <f ca="1">IFERROR(__xludf.DUMMYFUNCTION("""COMPUTED_VALUE"""),"SDA aprobada en PPP Q1 2023")</f>
        <v>SDA aprobada en PPP Q1 2023</v>
      </c>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row>
    <row r="120" spans="1:132" x14ac:dyDescent="0.2">
      <c r="A120" s="4">
        <f ca="1">IFERROR(__xludf.DUMMYFUNCTION("""COMPUTED_VALUE"""),120)</f>
        <v>120</v>
      </c>
      <c r="B120" s="4">
        <f ca="1">IFERROR(__xludf.DUMMYFUNCTION("""COMPUTED_VALUE"""),111)</f>
        <v>111</v>
      </c>
      <c r="C120" s="4" t="str">
        <f ca="1">IFERROR(__xludf.DUMMYFUNCTION("""COMPUTED_VALUE"""),"SDATOOL-40581")</f>
        <v>SDATOOL-40581</v>
      </c>
      <c r="D120" s="4" t="str">
        <f ca="1">IFERROR(__xludf.DUMMYFUNCTION("""COMPUTED_VALUE"""),"Corresponsal Bancario Ya Ganaste")</f>
        <v>Corresponsal Bancario Ya Ganaste</v>
      </c>
      <c r="E120" s="4" t="str">
        <f ca="1">IFERROR(__xludf.DUMMYFUNCTION("""COMPUTED_VALUE"""),"Amplación de la Red de CBs a nivel nacional")</f>
        <v>Amplación de la Red de CBs a nivel nacional</v>
      </c>
      <c r="F120" s="4" t="str">
        <f ca="1">IFERROR(__xludf.DUMMYFUNCTION("""COMPUTED_VALUE"""),"Initiative")</f>
        <v>Initiative</v>
      </c>
      <c r="G120" s="4" t="str">
        <f ca="1">IFERROR(__xludf.DUMMYFUNCTION("""COMPUTED_VALUE"""),"Stock")</f>
        <v>Stock</v>
      </c>
      <c r="H120" s="4" t="str">
        <f ca="1">IFERROR(__xludf.DUMMYFUNCTION("""COMPUTED_VALUE"""),"4Q 2023")</f>
        <v>4Q 2023</v>
      </c>
      <c r="I120" s="131" t="str">
        <f ca="1">IFERROR(__xludf.DUMMYFUNCTION("""COMPUTED_VALUE"""),"jimy.catolico-bbva.com")</f>
        <v>jimy.catolico-bbva.com</v>
      </c>
      <c r="J120" s="131" t="str">
        <f ca="1">IFERROR(__xludf.DUMMYFUNCTION("""COMPUTED_VALUE"""),"giulianaandrea.guarin-bbva.com")</f>
        <v>giulianaandrea.guarin-bbva.com</v>
      </c>
      <c r="K120" s="131" t="str">
        <f ca="1">IFERROR(__xludf.DUMMYFUNCTION("""COMPUTED_VALUE"""),"juhan.lozano-bbva.com")</f>
        <v>juhan.lozano-bbva.com</v>
      </c>
      <c r="L120" s="4"/>
      <c r="M120" s="4"/>
      <c r="N120" s="4"/>
      <c r="O120" s="4" t="str">
        <f ca="1">IFERROR(__xludf.DUMMYFUNCTION("""COMPUTED_VALUE"""),"Waterfall")</f>
        <v>Waterfall</v>
      </c>
      <c r="P120" s="4" t="str">
        <f ca="1">IFERROR(__xludf.DUMMYFUNCTION("""COMPUTED_VALUE"""),"Tradicional")</f>
        <v>Tradicional</v>
      </c>
      <c r="Q120" s="4"/>
      <c r="R120" s="130" t="str">
        <f ca="1">IFERROR(__xludf.DUMMYFUNCTION("""COMPUTED_VALUE"""),"Business Innovation &amp; Strategy")</f>
        <v>Business Innovation &amp; Strategy</v>
      </c>
      <c r="S120" s="130" t="str">
        <f ca="1">IFERROR(__xludf.DUMMYFUNCTION("""COMPUTED_VALUE"""),"Area Review")</f>
        <v>Area Review</v>
      </c>
      <c r="T120" s="130" t="str">
        <f ca="1">IFERROR(__xludf.DUMMYFUNCTION("""COMPUTED_VALUE"""),"1. Generación de Ingresos")</f>
        <v>1. Generación de Ingresos</v>
      </c>
      <c r="U120" s="130" t="str">
        <f ca="1">IFERROR(__xludf.DUMMYFUNCTION("""COMPUTED_VALUE"""),"1.5. Otros de Proyectos de Ingresos")</f>
        <v>1.5. Otros de Proyectos de Ingresos</v>
      </c>
      <c r="V120" s="4" t="str">
        <f ca="1">IFERROR(__xludf.DUMMYFUNCTION("""COMPUTED_VALUE"""),"CBs")</f>
        <v>CBs</v>
      </c>
      <c r="W120" s="4">
        <f ca="1">IFERROR(__xludf.DUMMYFUNCTION("""COMPUTED_VALUE"""),1)</f>
        <v>1</v>
      </c>
      <c r="X120" s="4" t="str">
        <f ca="1">IFERROR(__xludf.DUMMYFUNCTION("""COMPUTED_VALUE"""),"04. Relationship Models")</f>
        <v>04. Relationship Models</v>
      </c>
      <c r="Y120" s="4" t="str">
        <f ca="1">IFERROR(__xludf.DUMMYFUNCTION("""COMPUTED_VALUE"""),"5.6.6 Non Global Project")</f>
        <v>5.6.6 Non Global Project</v>
      </c>
      <c r="Z120" s="132" t="str">
        <f ca="1">IFERROR(__xludf.DUMMYFUNCTION("""COMPUTED_VALUE"""),"713347")</f>
        <v>713347</v>
      </c>
      <c r="AA120" s="4" t="str">
        <f ca="1">IFERROR(__xludf.DUMMYFUNCTION("""COMPUTED_VALUE"""),"Conciliación de TX fallidas en Recaudo")</f>
        <v>Conciliación de TX fallidas en Recaudo</v>
      </c>
      <c r="AB120" s="4" t="str">
        <f ca="1">IFERROR(__xludf.DUMMYFUNCTION("""COMPUTED_VALUE"""),"Mejora")</f>
        <v>Mejora</v>
      </c>
      <c r="AC120" s="4" t="str">
        <f ca="1">IFERROR(__xludf.DUMMYFUNCTION("""COMPUTED_VALUE"""),"3Q 2023")</f>
        <v>3Q 2023</v>
      </c>
      <c r="AD120" s="4"/>
      <c r="AE120" s="4"/>
      <c r="AF120" s="4"/>
      <c r="AG120" s="4"/>
      <c r="AH120" s="4"/>
      <c r="AI120" s="4"/>
      <c r="AJ120" s="4"/>
      <c r="AK120" s="131" t="str">
        <f ca="1">IFERROR(__xludf.DUMMYFUNCTION("""COMPUTED_VALUE"""),"COLWSCANAL-14067")</f>
        <v>COLWSCANAL-14067</v>
      </c>
      <c r="AL120" s="4" t="str">
        <f ca="1">IFERROR(__xludf.DUMMYFUNCTION("""COMPUTED_VALUE"""),"New")</f>
        <v>New</v>
      </c>
      <c r="AM120" s="4"/>
      <c r="AN120" s="4" t="str">
        <f ca="1">IFERROR(__xludf.DUMMYFUNCTION("""COMPUTED_VALUE"""),"Entregable en backlog")</f>
        <v>Entregable en backlog</v>
      </c>
      <c r="AO120" s="4" t="str">
        <f ca="1">IFERROR(__xludf.DUMMYFUNCTION("""COMPUTED_VALUE"""),"Transformación de la Red")</f>
        <v>Transformación de la Red</v>
      </c>
      <c r="AP120" s="4"/>
      <c r="AQ120" s="4"/>
      <c r="AR120" s="4" t="str">
        <f ca="1">IFERROR(__xludf.DUMMYFUNCTION("""COMPUTED_VALUE"""),"SDA aprobada en PPP Q1 2023")</f>
        <v>SDA aprobada en PPP Q1 2023</v>
      </c>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row>
    <row r="121" spans="1:132" x14ac:dyDescent="0.2">
      <c r="A121" s="4">
        <f ca="1">IFERROR(__xludf.DUMMYFUNCTION("""COMPUTED_VALUE"""),121)</f>
        <v>121</v>
      </c>
      <c r="B121" s="4">
        <f ca="1">IFERROR(__xludf.DUMMYFUNCTION("""COMPUTED_VALUE"""),112)</f>
        <v>112</v>
      </c>
      <c r="C121" s="4" t="str">
        <f ca="1">IFERROR(__xludf.DUMMYFUNCTION("""COMPUTED_VALUE"""),"SDATOOL-39871")</f>
        <v>SDATOOL-39871</v>
      </c>
      <c r="D121" s="4" t="str">
        <f ca="1">IFERROR(__xludf.DUMMYFUNCTION("""COMPUTED_VALUE"""),"Cbs Gelsa Paga todo")</f>
        <v>Cbs Gelsa Paga todo</v>
      </c>
      <c r="E121" s="4" t="str">
        <f ca="1">IFERROR(__xludf.DUMMYFUNCTION("""COMPUTED_VALUE"""),"Conexión con el CB para 
Depósitos
Pago de Prestamos 
Pago deTdC")</f>
        <v>Conexión con el CB para 
Depósitos
Pago de Prestamos 
Pago deTdC</v>
      </c>
      <c r="F121" s="4" t="str">
        <f ca="1">IFERROR(__xludf.DUMMYFUNCTION("""COMPUTED_VALUE"""),"Initiative")</f>
        <v>Initiative</v>
      </c>
      <c r="G121" s="4" t="str">
        <f ca="1">IFERROR(__xludf.DUMMYFUNCTION("""COMPUTED_VALUE"""),"Stock")</f>
        <v>Stock</v>
      </c>
      <c r="H121" s="4" t="str">
        <f ca="1">IFERROR(__xludf.DUMMYFUNCTION("""COMPUTED_VALUE"""),"3Q 2023")</f>
        <v>3Q 2023</v>
      </c>
      <c r="I121" s="131" t="str">
        <f ca="1">IFERROR(__xludf.DUMMYFUNCTION("""COMPUTED_VALUE"""),"jimy.catolico-bbva.com")</f>
        <v>jimy.catolico-bbva.com</v>
      </c>
      <c r="J121" s="131" t="str">
        <f ca="1">IFERROR(__xludf.DUMMYFUNCTION("""COMPUTED_VALUE"""),"erikajulieth.ruiz-bbva.com")</f>
        <v>erikajulieth.ruiz-bbva.com</v>
      </c>
      <c r="K121" s="131" t="str">
        <f ca="1">IFERROR(__xludf.DUMMYFUNCTION("""COMPUTED_VALUE"""),"juhan.lozano-bbva.com")</f>
        <v>juhan.lozano-bbva.com</v>
      </c>
      <c r="L121" s="130">
        <f ca="1">IFERROR(__xludf.DUMMYFUNCTION("""COMPUTED_VALUE"""),0.2)</f>
        <v>0.2</v>
      </c>
      <c r="M121" s="130">
        <f ca="1">IFERROR(__xludf.DUMMYFUNCTION("""COMPUTED_VALUE"""),0.6)</f>
        <v>0.6</v>
      </c>
      <c r="N121" s="130">
        <f ca="1">IFERROR(__xludf.DUMMYFUNCTION("""COMPUTED_VALUE"""),0.67)</f>
        <v>0.67</v>
      </c>
      <c r="O121" s="4" t="str">
        <f ca="1">IFERROR(__xludf.DUMMYFUNCTION("""COMPUTED_VALUE"""),"Waterfall")</f>
        <v>Waterfall</v>
      </c>
      <c r="P121" s="4" t="str">
        <f ca="1">IFERROR(__xludf.DUMMYFUNCTION("""COMPUTED_VALUE"""),"Tradicional")</f>
        <v>Tradicional</v>
      </c>
      <c r="Q121" s="4"/>
      <c r="R121" s="130" t="str">
        <f ca="1">IFERROR(__xludf.DUMMYFUNCTION("""COMPUTED_VALUE"""),"Business Innovation &amp; Strategy")</f>
        <v>Business Innovation &amp; Strategy</v>
      </c>
      <c r="S121" s="130" t="str">
        <f ca="1">IFERROR(__xludf.DUMMYFUNCTION("""COMPUTED_VALUE"""),"Strategic Review")</f>
        <v>Strategic Review</v>
      </c>
      <c r="T121" s="130" t="str">
        <f ca="1">IFERROR(__xludf.DUMMYFUNCTION("""COMPUTED_VALUE"""),"1. Generación de Ingresos")</f>
        <v>1. Generación de Ingresos</v>
      </c>
      <c r="U121" s="130" t="str">
        <f ca="1">IFERROR(__xludf.DUMMYFUNCTION("""COMPUTED_VALUE"""),"1.5. Otros de Proyectos de Ingresos")</f>
        <v>1.5. Otros de Proyectos de Ingresos</v>
      </c>
      <c r="V121" s="4" t="str">
        <f ca="1">IFERROR(__xludf.DUMMYFUNCTION("""COMPUTED_VALUE"""),"CBs")</f>
        <v>CBs</v>
      </c>
      <c r="W121" s="4">
        <f ca="1">IFERROR(__xludf.DUMMYFUNCTION("""COMPUTED_VALUE"""),2)</f>
        <v>2</v>
      </c>
      <c r="X121" s="4" t="str">
        <f ca="1">IFERROR(__xludf.DUMMYFUNCTION("""COMPUTED_VALUE"""),"04. Relationship Models")</f>
        <v>04. Relationship Models</v>
      </c>
      <c r="Y121" s="4" t="str">
        <f ca="1">IFERROR(__xludf.DUMMYFUNCTION("""COMPUTED_VALUE"""),"5.6.6 Non Global Project")</f>
        <v>5.6.6 Non Global Project</v>
      </c>
      <c r="Z121" s="132" t="str">
        <f ca="1">IFERROR(__xludf.DUMMYFUNCTION("""COMPUTED_VALUE"""),"514810")</f>
        <v>514810</v>
      </c>
      <c r="AA121" s="4" t="str">
        <f ca="1">IFERROR(__xludf.DUMMYFUNCTION("""COMPUTED_VALUE"""),"Depósitos")</f>
        <v>Depósitos</v>
      </c>
      <c r="AB121" s="4" t="str">
        <f ca="1">IFERROR(__xludf.DUMMYFUNCTION("""COMPUTED_VALUE"""),"De")</f>
        <v>De</v>
      </c>
      <c r="AC121" s="4" t="str">
        <f ca="1">IFERROR(__xludf.DUMMYFUNCTION("""COMPUTED_VALUE"""),"2Q 2023")</f>
        <v>2Q 2023</v>
      </c>
      <c r="AD121" s="4"/>
      <c r="AE121" s="4"/>
      <c r="AF121" s="4"/>
      <c r="AG121" s="4"/>
      <c r="AH121" s="4"/>
      <c r="AI121" s="4"/>
      <c r="AJ121" s="4"/>
      <c r="AK121" s="131" t="str">
        <f ca="1">IFERROR(__xludf.DUMMYFUNCTION("""COMPUTED_VALUE"""),"COLWSCANAL-14240")</f>
        <v>COLWSCANAL-14240</v>
      </c>
      <c r="AL121" s="4" t="str">
        <f ca="1">IFERROR(__xludf.DUMMYFUNCTION("""COMPUTED_VALUE"""),"En progreso")</f>
        <v>En progreso</v>
      </c>
      <c r="AM121" s="4"/>
      <c r="AN121" s="4" t="str">
        <f ca="1">IFERROR(__xludf.DUMMYFUNCTION("""COMPUTED_VALUE"""),"Entregable en Conceptualización")</f>
        <v>Entregable en Conceptualización</v>
      </c>
      <c r="AO121" s="4" t="str">
        <f ca="1">IFERROR(__xludf.DUMMYFUNCTION("""COMPUTED_VALUE"""),"Transformación de la Red")</f>
        <v>Transformación de la Red</v>
      </c>
      <c r="AP121" s="4"/>
      <c r="AQ121" s="4"/>
      <c r="AR121" s="4" t="str">
        <f ca="1">IFERROR(__xludf.DUMMYFUNCTION("""COMPUTED_VALUE"""),"SDA aprobada en PPP Q1 2023")</f>
        <v>SDA aprobada en PPP Q1 2023</v>
      </c>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133">
        <f ca="1">IFERROR(__xludf.DUMMYFUNCTION("""COMPUTED_VALUE"""),0)</f>
        <v>0</v>
      </c>
      <c r="DV121" s="133">
        <f ca="1">IFERROR(__xludf.DUMMYFUNCTION("""COMPUTED_VALUE"""),0)</f>
        <v>0</v>
      </c>
      <c r="DW121" s="133">
        <f ca="1">IFERROR(__xludf.DUMMYFUNCTION("""COMPUTED_VALUE"""),0)</f>
        <v>0</v>
      </c>
      <c r="DX121" s="133">
        <f ca="1">IFERROR(__xludf.DUMMYFUNCTION("""COMPUTED_VALUE"""),210000000)</f>
        <v>210000000</v>
      </c>
      <c r="DY121" s="133">
        <f ca="1">IFERROR(__xludf.DUMMYFUNCTION("""COMPUTED_VALUE"""),0)</f>
        <v>0</v>
      </c>
      <c r="DZ121" s="133">
        <f ca="1">IFERROR(__xludf.DUMMYFUNCTION("""COMPUTED_VALUE"""),210000000)</f>
        <v>210000000</v>
      </c>
      <c r="EA121" s="4"/>
      <c r="EB121" s="4"/>
    </row>
    <row r="122" spans="1:132" x14ac:dyDescent="0.2">
      <c r="A122" s="4">
        <f ca="1">IFERROR(__xludf.DUMMYFUNCTION("""COMPUTED_VALUE"""),122)</f>
        <v>122</v>
      </c>
      <c r="B122" s="4">
        <f ca="1">IFERROR(__xludf.DUMMYFUNCTION("""COMPUTED_VALUE"""),113)</f>
        <v>113</v>
      </c>
      <c r="C122" s="4" t="str">
        <f ca="1">IFERROR(__xludf.DUMMYFUNCTION("""COMPUTED_VALUE"""),"SDATOOL-39871")</f>
        <v>SDATOOL-39871</v>
      </c>
      <c r="D122" s="4" t="str">
        <f ca="1">IFERROR(__xludf.DUMMYFUNCTION("""COMPUTED_VALUE"""),"Cbs Gelsa Paga todo")</f>
        <v>Cbs Gelsa Paga todo</v>
      </c>
      <c r="E122" s="4" t="str">
        <f ca="1">IFERROR(__xludf.DUMMYFUNCTION("""COMPUTED_VALUE"""),"Conexión con el CB para 
Depósitos
Pago de Prestamos 
Pago deTdC")</f>
        <v>Conexión con el CB para 
Depósitos
Pago de Prestamos 
Pago deTdC</v>
      </c>
      <c r="F122" s="4" t="str">
        <f ca="1">IFERROR(__xludf.DUMMYFUNCTION("""COMPUTED_VALUE"""),"Initiative")</f>
        <v>Initiative</v>
      </c>
      <c r="G122" s="4" t="str">
        <f ca="1">IFERROR(__xludf.DUMMYFUNCTION("""COMPUTED_VALUE"""),"Stock")</f>
        <v>Stock</v>
      </c>
      <c r="H122" s="4" t="str">
        <f ca="1">IFERROR(__xludf.DUMMYFUNCTION("""COMPUTED_VALUE"""),"3Q 2023")</f>
        <v>3Q 2023</v>
      </c>
      <c r="I122" s="131" t="str">
        <f ca="1">IFERROR(__xludf.DUMMYFUNCTION("""COMPUTED_VALUE"""),"jimy.catolico-bbva.com")</f>
        <v>jimy.catolico-bbva.com</v>
      </c>
      <c r="J122" s="131" t="str">
        <f ca="1">IFERROR(__xludf.DUMMYFUNCTION("""COMPUTED_VALUE"""),"erikajulieth.ruiz-bbva.com")</f>
        <v>erikajulieth.ruiz-bbva.com</v>
      </c>
      <c r="K122" s="131" t="str">
        <f ca="1">IFERROR(__xludf.DUMMYFUNCTION("""COMPUTED_VALUE"""),"juhan.lozano-bbva.com")</f>
        <v>juhan.lozano-bbva.com</v>
      </c>
      <c r="L122" s="4"/>
      <c r="M122" s="4"/>
      <c r="N122" s="4"/>
      <c r="O122" s="4" t="str">
        <f ca="1">IFERROR(__xludf.DUMMYFUNCTION("""COMPUTED_VALUE"""),"Waterfall")</f>
        <v>Waterfall</v>
      </c>
      <c r="P122" s="4" t="str">
        <f ca="1">IFERROR(__xludf.DUMMYFUNCTION("""COMPUTED_VALUE"""),"Tradicional")</f>
        <v>Tradicional</v>
      </c>
      <c r="Q122" s="4"/>
      <c r="R122" s="130" t="str">
        <f ca="1">IFERROR(__xludf.DUMMYFUNCTION("""COMPUTED_VALUE"""),"Business Innovation &amp; Strategy")</f>
        <v>Business Innovation &amp; Strategy</v>
      </c>
      <c r="S122" s="130" t="str">
        <f ca="1">IFERROR(__xludf.DUMMYFUNCTION("""COMPUTED_VALUE"""),"Strategic Review")</f>
        <v>Strategic Review</v>
      </c>
      <c r="T122" s="130" t="str">
        <f ca="1">IFERROR(__xludf.DUMMYFUNCTION("""COMPUTED_VALUE"""),"1. Generación de Ingresos")</f>
        <v>1. Generación de Ingresos</v>
      </c>
      <c r="U122" s="130" t="str">
        <f ca="1">IFERROR(__xludf.DUMMYFUNCTION("""COMPUTED_VALUE"""),"1.5. Otros de Proyectos de Ingresos")</f>
        <v>1.5. Otros de Proyectos de Ingresos</v>
      </c>
      <c r="V122" s="4" t="str">
        <f ca="1">IFERROR(__xludf.DUMMYFUNCTION("""COMPUTED_VALUE"""),"CBs")</f>
        <v>CBs</v>
      </c>
      <c r="W122" s="4">
        <f ca="1">IFERROR(__xludf.DUMMYFUNCTION("""COMPUTED_VALUE"""),2)</f>
        <v>2</v>
      </c>
      <c r="X122" s="4" t="str">
        <f ca="1">IFERROR(__xludf.DUMMYFUNCTION("""COMPUTED_VALUE"""),"04. Relationship Models")</f>
        <v>04. Relationship Models</v>
      </c>
      <c r="Y122" s="4" t="str">
        <f ca="1">IFERROR(__xludf.DUMMYFUNCTION("""COMPUTED_VALUE"""),"5.6.6 Non Global Project")</f>
        <v>5.6.6 Non Global Project</v>
      </c>
      <c r="Z122" s="132" t="str">
        <f ca="1">IFERROR(__xludf.DUMMYFUNCTION("""COMPUTED_VALUE"""),"514811")</f>
        <v>514811</v>
      </c>
      <c r="AA122" s="4" t="str">
        <f ca="1">IFERROR(__xludf.DUMMYFUNCTION("""COMPUTED_VALUE"""),"Pago de prestamos")</f>
        <v>Pago de prestamos</v>
      </c>
      <c r="AB122" s="4" t="str">
        <f ca="1">IFERROR(__xludf.DUMMYFUNCTION("""COMPUTED_VALUE"""),"Pago de prestamos")</f>
        <v>Pago de prestamos</v>
      </c>
      <c r="AC122" s="4" t="str">
        <f ca="1">IFERROR(__xludf.DUMMYFUNCTION("""COMPUTED_VALUE"""),"2Q 2023")</f>
        <v>2Q 2023</v>
      </c>
      <c r="AD122" s="4"/>
      <c r="AE122" s="4"/>
      <c r="AF122" s="4"/>
      <c r="AG122" s="4"/>
      <c r="AH122" s="4"/>
      <c r="AI122" s="4"/>
      <c r="AJ122" s="4"/>
      <c r="AK122" s="131" t="str">
        <f ca="1">IFERROR(__xludf.DUMMYFUNCTION("""COMPUTED_VALUE"""),"COLWSCANAL-13342")</f>
        <v>COLWSCANAL-13342</v>
      </c>
      <c r="AL122" s="4" t="str">
        <f ca="1">IFERROR(__xludf.DUMMYFUNCTION("""COMPUTED_VALUE"""),"Test")</f>
        <v>Test</v>
      </c>
      <c r="AM122" s="4"/>
      <c r="AN122" s="4" t="str">
        <f ca="1">IFERROR(__xludf.DUMMYFUNCTION("""COMPUTED_VALUE"""),"Entregable en Conceptualización")</f>
        <v>Entregable en Conceptualización</v>
      </c>
      <c r="AO122" s="4" t="str">
        <f ca="1">IFERROR(__xludf.DUMMYFUNCTION("""COMPUTED_VALUE"""),"Transformación de la Red")</f>
        <v>Transformación de la Red</v>
      </c>
      <c r="AP122" s="4"/>
      <c r="AQ122" s="4"/>
      <c r="AR122" s="4" t="str">
        <f ca="1">IFERROR(__xludf.DUMMYFUNCTION("""COMPUTED_VALUE"""),"SDA aprobada en PPP Q1 2023")</f>
        <v>SDA aprobada en PPP Q1 2023</v>
      </c>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row>
    <row r="123" spans="1:132" x14ac:dyDescent="0.2">
      <c r="A123" s="4">
        <f ca="1">IFERROR(__xludf.DUMMYFUNCTION("""COMPUTED_VALUE"""),123)</f>
        <v>123</v>
      </c>
      <c r="B123" s="4">
        <f ca="1">IFERROR(__xludf.DUMMYFUNCTION("""COMPUTED_VALUE"""),114)</f>
        <v>114</v>
      </c>
      <c r="C123" s="4" t="str">
        <f ca="1">IFERROR(__xludf.DUMMYFUNCTION("""COMPUTED_VALUE"""),"SDATOOL-39871")</f>
        <v>SDATOOL-39871</v>
      </c>
      <c r="D123" s="4" t="str">
        <f ca="1">IFERROR(__xludf.DUMMYFUNCTION("""COMPUTED_VALUE"""),"Cbs Gelsa Paga todo")</f>
        <v>Cbs Gelsa Paga todo</v>
      </c>
      <c r="E123" s="4" t="str">
        <f ca="1">IFERROR(__xludf.DUMMYFUNCTION("""COMPUTED_VALUE"""),"Conexión con el CB para 
Depósitos
Pago de Prestamos 
Pago deTdC")</f>
        <v>Conexión con el CB para 
Depósitos
Pago de Prestamos 
Pago deTdC</v>
      </c>
      <c r="F123" s="4" t="str">
        <f ca="1">IFERROR(__xludf.DUMMYFUNCTION("""COMPUTED_VALUE"""),"Initiative")</f>
        <v>Initiative</v>
      </c>
      <c r="G123" s="4" t="str">
        <f ca="1">IFERROR(__xludf.DUMMYFUNCTION("""COMPUTED_VALUE"""),"Stock")</f>
        <v>Stock</v>
      </c>
      <c r="H123" s="4" t="str">
        <f ca="1">IFERROR(__xludf.DUMMYFUNCTION("""COMPUTED_VALUE"""),"3Q 2023")</f>
        <v>3Q 2023</v>
      </c>
      <c r="I123" s="131" t="str">
        <f ca="1">IFERROR(__xludf.DUMMYFUNCTION("""COMPUTED_VALUE"""),"jimy.catolico-bbva.com")</f>
        <v>jimy.catolico-bbva.com</v>
      </c>
      <c r="J123" s="131" t="str">
        <f ca="1">IFERROR(__xludf.DUMMYFUNCTION("""COMPUTED_VALUE"""),"erikajulieth.ruiz-bbva.com")</f>
        <v>erikajulieth.ruiz-bbva.com</v>
      </c>
      <c r="K123" s="131" t="str">
        <f ca="1">IFERROR(__xludf.DUMMYFUNCTION("""COMPUTED_VALUE"""),"juhan.lozano-bbva.com")</f>
        <v>juhan.lozano-bbva.com</v>
      </c>
      <c r="L123" s="4"/>
      <c r="M123" s="4"/>
      <c r="N123" s="4"/>
      <c r="O123" s="4" t="str">
        <f ca="1">IFERROR(__xludf.DUMMYFUNCTION("""COMPUTED_VALUE"""),"Waterfall")</f>
        <v>Waterfall</v>
      </c>
      <c r="P123" s="4" t="str">
        <f ca="1">IFERROR(__xludf.DUMMYFUNCTION("""COMPUTED_VALUE"""),"Tradicional")</f>
        <v>Tradicional</v>
      </c>
      <c r="Q123" s="4"/>
      <c r="R123" s="130" t="str">
        <f ca="1">IFERROR(__xludf.DUMMYFUNCTION("""COMPUTED_VALUE"""),"Business Innovation &amp; Strategy")</f>
        <v>Business Innovation &amp; Strategy</v>
      </c>
      <c r="S123" s="130" t="str">
        <f ca="1">IFERROR(__xludf.DUMMYFUNCTION("""COMPUTED_VALUE"""),"Strategic Review")</f>
        <v>Strategic Review</v>
      </c>
      <c r="T123" s="130" t="str">
        <f ca="1">IFERROR(__xludf.DUMMYFUNCTION("""COMPUTED_VALUE"""),"1. Generación de Ingresos")</f>
        <v>1. Generación de Ingresos</v>
      </c>
      <c r="U123" s="130" t="str">
        <f ca="1">IFERROR(__xludf.DUMMYFUNCTION("""COMPUTED_VALUE"""),"1.5. Otros de Proyectos de Ingresos")</f>
        <v>1.5. Otros de Proyectos de Ingresos</v>
      </c>
      <c r="V123" s="4" t="str">
        <f ca="1">IFERROR(__xludf.DUMMYFUNCTION("""COMPUTED_VALUE"""),"CBs")</f>
        <v>CBs</v>
      </c>
      <c r="W123" s="4">
        <f ca="1">IFERROR(__xludf.DUMMYFUNCTION("""COMPUTED_VALUE"""),2)</f>
        <v>2</v>
      </c>
      <c r="X123" s="4" t="str">
        <f ca="1">IFERROR(__xludf.DUMMYFUNCTION("""COMPUTED_VALUE"""),"04. Relationship Models")</f>
        <v>04. Relationship Models</v>
      </c>
      <c r="Y123" s="4" t="str">
        <f ca="1">IFERROR(__xludf.DUMMYFUNCTION("""COMPUTED_VALUE"""),"5.6.6 Non Global Project")</f>
        <v>5.6.6 Non Global Project</v>
      </c>
      <c r="Z123" s="132" t="str">
        <f ca="1">IFERROR(__xludf.DUMMYFUNCTION("""COMPUTED_VALUE"""),"514812")</f>
        <v>514812</v>
      </c>
      <c r="AA123" s="4" t="str">
        <f ca="1">IFERROR(__xludf.DUMMYFUNCTION("""COMPUTED_VALUE"""),"Pago de Tarjeta de Crédito")</f>
        <v>Pago de Tarjeta de Crédito</v>
      </c>
      <c r="AB123" s="4" t="str">
        <f ca="1">IFERROR(__xludf.DUMMYFUNCTION("""COMPUTED_VALUE"""),"Pago de Tarjeta de Crédito")</f>
        <v>Pago de Tarjeta de Crédito</v>
      </c>
      <c r="AC123" s="4" t="str">
        <f ca="1">IFERROR(__xludf.DUMMYFUNCTION("""COMPUTED_VALUE"""),"2Q 2023")</f>
        <v>2Q 2023</v>
      </c>
      <c r="AD123" s="4"/>
      <c r="AE123" s="4"/>
      <c r="AF123" s="4"/>
      <c r="AG123" s="4"/>
      <c r="AH123" s="4"/>
      <c r="AI123" s="4"/>
      <c r="AJ123" s="4"/>
      <c r="AK123" s="131" t="str">
        <f ca="1">IFERROR(__xludf.DUMMYFUNCTION("""COMPUTED_VALUE"""),"COLWSCANAL-13340")</f>
        <v>COLWSCANAL-13340</v>
      </c>
      <c r="AL123" s="4" t="str">
        <f ca="1">IFERROR(__xludf.DUMMYFUNCTION("""COMPUTED_VALUE"""),"Test")</f>
        <v>Test</v>
      </c>
      <c r="AM123" s="4"/>
      <c r="AN123" s="4" t="str">
        <f ca="1">IFERROR(__xludf.DUMMYFUNCTION("""COMPUTED_VALUE"""),"Entregable en Conceptualización")</f>
        <v>Entregable en Conceptualización</v>
      </c>
      <c r="AO123" s="4" t="str">
        <f ca="1">IFERROR(__xludf.DUMMYFUNCTION("""COMPUTED_VALUE"""),"Transformación de la Red")</f>
        <v>Transformación de la Red</v>
      </c>
      <c r="AP123" s="4"/>
      <c r="AQ123" s="4"/>
      <c r="AR123" s="4" t="str">
        <f ca="1">IFERROR(__xludf.DUMMYFUNCTION("""COMPUTED_VALUE"""),"SDA aprobada en PPP Q1 2023")</f>
        <v>SDA aprobada en PPP Q1 2023</v>
      </c>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row>
    <row r="124" spans="1:132" x14ac:dyDescent="0.2">
      <c r="A124" s="4">
        <f ca="1">IFERROR(__xludf.DUMMYFUNCTION("""COMPUTED_VALUE"""),124)</f>
        <v>124</v>
      </c>
      <c r="B124" s="4">
        <f ca="1">IFERROR(__xludf.DUMMYFUNCTION("""COMPUTED_VALUE"""),115)</f>
        <v>115</v>
      </c>
      <c r="C124" s="4" t="str">
        <f ca="1">IFERROR(__xludf.DUMMYFUNCTION("""COMPUTED_VALUE"""),"SDATOOL-39871")</f>
        <v>SDATOOL-39871</v>
      </c>
      <c r="D124" s="4" t="str">
        <f ca="1">IFERROR(__xludf.DUMMYFUNCTION("""COMPUTED_VALUE"""),"Cbs Gelsa Paga todo")</f>
        <v>Cbs Gelsa Paga todo</v>
      </c>
      <c r="E124" s="4" t="str">
        <f ca="1">IFERROR(__xludf.DUMMYFUNCTION("""COMPUTED_VALUE"""),"Conexión con el CB para 
Depósitos
Pago de Prestamos 
Pago deTdC")</f>
        <v>Conexión con el CB para 
Depósitos
Pago de Prestamos 
Pago deTdC</v>
      </c>
      <c r="F124" s="4" t="str">
        <f ca="1">IFERROR(__xludf.DUMMYFUNCTION("""COMPUTED_VALUE"""),"Initiative")</f>
        <v>Initiative</v>
      </c>
      <c r="G124" s="4" t="str">
        <f ca="1">IFERROR(__xludf.DUMMYFUNCTION("""COMPUTED_VALUE"""),"Stock")</f>
        <v>Stock</v>
      </c>
      <c r="H124" s="4" t="str">
        <f ca="1">IFERROR(__xludf.DUMMYFUNCTION("""COMPUTED_VALUE"""),"3Q 2023")</f>
        <v>3Q 2023</v>
      </c>
      <c r="I124" s="131" t="str">
        <f ca="1">IFERROR(__xludf.DUMMYFUNCTION("""COMPUTED_VALUE"""),"jimy.catolico-bbva.com")</f>
        <v>jimy.catolico-bbva.com</v>
      </c>
      <c r="J124" s="131" t="str">
        <f ca="1">IFERROR(__xludf.DUMMYFUNCTION("""COMPUTED_VALUE"""),"erikajulieth.ruiz-bbva.com")</f>
        <v>erikajulieth.ruiz-bbva.com</v>
      </c>
      <c r="K124" s="131" t="str">
        <f ca="1">IFERROR(__xludf.DUMMYFUNCTION("""COMPUTED_VALUE"""),"juhan.lozano-bbva.com")</f>
        <v>juhan.lozano-bbva.com</v>
      </c>
      <c r="L124" s="4"/>
      <c r="M124" s="4"/>
      <c r="N124" s="4"/>
      <c r="O124" s="4" t="str">
        <f ca="1">IFERROR(__xludf.DUMMYFUNCTION("""COMPUTED_VALUE"""),"Waterfall")</f>
        <v>Waterfall</v>
      </c>
      <c r="P124" s="4" t="str">
        <f ca="1">IFERROR(__xludf.DUMMYFUNCTION("""COMPUTED_VALUE"""),"Tradicional")</f>
        <v>Tradicional</v>
      </c>
      <c r="Q124" s="4"/>
      <c r="R124" s="130" t="str">
        <f ca="1">IFERROR(__xludf.DUMMYFUNCTION("""COMPUTED_VALUE"""),"Business Innovation &amp; Strategy")</f>
        <v>Business Innovation &amp; Strategy</v>
      </c>
      <c r="S124" s="130" t="str">
        <f ca="1">IFERROR(__xludf.DUMMYFUNCTION("""COMPUTED_VALUE"""),"Strategic Review")</f>
        <v>Strategic Review</v>
      </c>
      <c r="T124" s="130" t="str">
        <f ca="1">IFERROR(__xludf.DUMMYFUNCTION("""COMPUTED_VALUE"""),"1. Generación de Ingresos")</f>
        <v>1. Generación de Ingresos</v>
      </c>
      <c r="U124" s="130" t="str">
        <f ca="1">IFERROR(__xludf.DUMMYFUNCTION("""COMPUTED_VALUE"""),"1.5. Otros de Proyectos de Ingresos")</f>
        <v>1.5. Otros de Proyectos de Ingresos</v>
      </c>
      <c r="V124" s="4" t="str">
        <f ca="1">IFERROR(__xludf.DUMMYFUNCTION("""COMPUTED_VALUE"""),"CBs")</f>
        <v>CBs</v>
      </c>
      <c r="W124" s="4">
        <f ca="1">IFERROR(__xludf.DUMMYFUNCTION("""COMPUTED_VALUE"""),2)</f>
        <v>2</v>
      </c>
      <c r="X124" s="4" t="str">
        <f ca="1">IFERROR(__xludf.DUMMYFUNCTION("""COMPUTED_VALUE"""),"04. Relationship Models")</f>
        <v>04. Relationship Models</v>
      </c>
      <c r="Y124" s="4" t="str">
        <f ca="1">IFERROR(__xludf.DUMMYFUNCTION("""COMPUTED_VALUE"""),"5.6.6 Non Global Project")</f>
        <v>5.6.6 Non Global Project</v>
      </c>
      <c r="Z124" s="132" t="str">
        <f ca="1">IFERROR(__xludf.DUMMYFUNCTION("""COMPUTED_VALUE"""),"713346")</f>
        <v>713346</v>
      </c>
      <c r="AA124" s="4" t="str">
        <f ca="1">IFERROR(__xludf.DUMMYFUNCTION("""COMPUTED_VALUE"""),"Pago de tarjeta de cédito con honorarios")</f>
        <v>Pago de tarjeta de cédito con honorarios</v>
      </c>
      <c r="AB124" s="4" t="str">
        <f ca="1">IFERROR(__xludf.DUMMYFUNCTION("""COMPUTED_VALUE"""),"Ampliar REd")</f>
        <v>Ampliar REd</v>
      </c>
      <c r="AC124" s="4" t="str">
        <f ca="1">IFERROR(__xludf.DUMMYFUNCTION("""COMPUTED_VALUE"""),"3Q 2023")</f>
        <v>3Q 2023</v>
      </c>
      <c r="AD124" s="4"/>
      <c r="AE124" s="4"/>
      <c r="AF124" s="4"/>
      <c r="AG124" s="4"/>
      <c r="AH124" s="4"/>
      <c r="AI124" s="4"/>
      <c r="AJ124" s="4"/>
      <c r="AK124" s="131" t="str">
        <f ca="1">IFERROR(__xludf.DUMMYFUNCTION("""COMPUTED_VALUE"""),"COLWSCANAL-13468")</f>
        <v>COLWSCANAL-13468</v>
      </c>
      <c r="AL124" s="4" t="str">
        <f ca="1">IFERROR(__xludf.DUMMYFUNCTION("""COMPUTED_VALUE"""),"New")</f>
        <v>New</v>
      </c>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row>
    <row r="125" spans="1:132" x14ac:dyDescent="0.2">
      <c r="A125" s="4">
        <f ca="1">IFERROR(__xludf.DUMMYFUNCTION("""COMPUTED_VALUE"""),125)</f>
        <v>125</v>
      </c>
      <c r="B125" s="4">
        <f ca="1">IFERROR(__xludf.DUMMYFUNCTION("""COMPUTED_VALUE"""),116)</f>
        <v>116</v>
      </c>
      <c r="C125" s="4" t="str">
        <f ca="1">IFERROR(__xludf.DUMMYFUNCTION("""COMPUTED_VALUE"""),"SDATOOL-39871")</f>
        <v>SDATOOL-39871</v>
      </c>
      <c r="D125" s="4" t="str">
        <f ca="1">IFERROR(__xludf.DUMMYFUNCTION("""COMPUTED_VALUE"""),"Cbs Gelsa Paga todo")</f>
        <v>Cbs Gelsa Paga todo</v>
      </c>
      <c r="E125" s="4" t="str">
        <f ca="1">IFERROR(__xludf.DUMMYFUNCTION("""COMPUTED_VALUE"""),"Conexión con el CB para 
Depósitos
Pago de Prestamos 
Pago deTdC")</f>
        <v>Conexión con el CB para 
Depósitos
Pago de Prestamos 
Pago deTdC</v>
      </c>
      <c r="F125" s="4" t="str">
        <f ca="1">IFERROR(__xludf.DUMMYFUNCTION("""COMPUTED_VALUE"""),"Initiative")</f>
        <v>Initiative</v>
      </c>
      <c r="G125" s="4" t="str">
        <f ca="1">IFERROR(__xludf.DUMMYFUNCTION("""COMPUTED_VALUE"""),"Stock")</f>
        <v>Stock</v>
      </c>
      <c r="H125" s="4" t="str">
        <f ca="1">IFERROR(__xludf.DUMMYFUNCTION("""COMPUTED_VALUE"""),"3Q 2023")</f>
        <v>3Q 2023</v>
      </c>
      <c r="I125" s="131" t="str">
        <f ca="1">IFERROR(__xludf.DUMMYFUNCTION("""COMPUTED_VALUE"""),"jimy.catolico-bbva.com")</f>
        <v>jimy.catolico-bbva.com</v>
      </c>
      <c r="J125" s="131" t="str">
        <f ca="1">IFERROR(__xludf.DUMMYFUNCTION("""COMPUTED_VALUE"""),"erikajulieth.ruiz-bbva.com")</f>
        <v>erikajulieth.ruiz-bbva.com</v>
      </c>
      <c r="K125" s="131" t="str">
        <f ca="1">IFERROR(__xludf.DUMMYFUNCTION("""COMPUTED_VALUE"""),"juhan.lozano-bbva.com")</f>
        <v>juhan.lozano-bbva.com</v>
      </c>
      <c r="L125" s="4"/>
      <c r="M125" s="4"/>
      <c r="N125" s="4"/>
      <c r="O125" s="4" t="str">
        <f ca="1">IFERROR(__xludf.DUMMYFUNCTION("""COMPUTED_VALUE"""),"Waterfall")</f>
        <v>Waterfall</v>
      </c>
      <c r="P125" s="4" t="str">
        <f ca="1">IFERROR(__xludf.DUMMYFUNCTION("""COMPUTED_VALUE"""),"Tradicional")</f>
        <v>Tradicional</v>
      </c>
      <c r="Q125" s="4"/>
      <c r="R125" s="130" t="str">
        <f ca="1">IFERROR(__xludf.DUMMYFUNCTION("""COMPUTED_VALUE"""),"Business Innovation &amp; Strategy")</f>
        <v>Business Innovation &amp; Strategy</v>
      </c>
      <c r="S125" s="130" t="str">
        <f ca="1">IFERROR(__xludf.DUMMYFUNCTION("""COMPUTED_VALUE"""),"Strategic Review")</f>
        <v>Strategic Review</v>
      </c>
      <c r="T125" s="130" t="str">
        <f ca="1">IFERROR(__xludf.DUMMYFUNCTION("""COMPUTED_VALUE"""),"1. Generación de Ingresos")</f>
        <v>1. Generación de Ingresos</v>
      </c>
      <c r="U125" s="130" t="str">
        <f ca="1">IFERROR(__xludf.DUMMYFUNCTION("""COMPUTED_VALUE"""),"1.5. Otros de Proyectos de Ingresos")</f>
        <v>1.5. Otros de Proyectos de Ingresos</v>
      </c>
      <c r="V125" s="4" t="str">
        <f ca="1">IFERROR(__xludf.DUMMYFUNCTION("""COMPUTED_VALUE"""),"CBs")</f>
        <v>CBs</v>
      </c>
      <c r="W125" s="4">
        <f ca="1">IFERROR(__xludf.DUMMYFUNCTION("""COMPUTED_VALUE"""),2)</f>
        <v>2</v>
      </c>
      <c r="X125" s="4" t="str">
        <f ca="1">IFERROR(__xludf.DUMMYFUNCTION("""COMPUTED_VALUE"""),"04. Relationship Models")</f>
        <v>04. Relationship Models</v>
      </c>
      <c r="Y125" s="4" t="str">
        <f ca="1">IFERROR(__xludf.DUMMYFUNCTION("""COMPUTED_VALUE"""),"5.6.6 Non Global Project")</f>
        <v>5.6.6 Non Global Project</v>
      </c>
      <c r="Z125" s="132" t="str">
        <f ca="1">IFERROR(__xludf.DUMMYFUNCTION("""COMPUTED_VALUE"""),"713345")</f>
        <v>713345</v>
      </c>
      <c r="AA125" s="4" t="str">
        <f ca="1">IFERROR(__xludf.DUMMYFUNCTION("""COMPUTED_VALUE"""),"Pago prestamos con honorarios")</f>
        <v>Pago prestamos con honorarios</v>
      </c>
      <c r="AB125" s="4" t="str">
        <f ca="1">IFERROR(__xludf.DUMMYFUNCTION("""COMPUTED_VALUE"""),"Ampliar Red")</f>
        <v>Ampliar Red</v>
      </c>
      <c r="AC125" s="4" t="str">
        <f ca="1">IFERROR(__xludf.DUMMYFUNCTION("""COMPUTED_VALUE"""),"3Q 2023")</f>
        <v>3Q 2023</v>
      </c>
      <c r="AD125" s="4"/>
      <c r="AE125" s="4"/>
      <c r="AF125" s="4"/>
      <c r="AG125" s="4"/>
      <c r="AH125" s="4"/>
      <c r="AI125" s="4"/>
      <c r="AJ125" s="4"/>
      <c r="AK125" s="131" t="str">
        <f ca="1">IFERROR(__xludf.DUMMYFUNCTION("""COMPUTED_VALUE"""),"COLWSCANAL-13467")</f>
        <v>COLWSCANAL-13467</v>
      </c>
      <c r="AL125" s="4" t="str">
        <f ca="1">IFERROR(__xludf.DUMMYFUNCTION("""COMPUTED_VALUE"""),"New")</f>
        <v>New</v>
      </c>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row>
    <row r="126" spans="1:132" x14ac:dyDescent="0.2">
      <c r="A126" s="4">
        <f ca="1">IFERROR(__xludf.DUMMYFUNCTION("""COMPUTED_VALUE"""),126)</f>
        <v>126</v>
      </c>
      <c r="B126" s="4">
        <f ca="1">IFERROR(__xludf.DUMMYFUNCTION("""COMPUTED_VALUE"""),117)</f>
        <v>117</v>
      </c>
      <c r="C126" s="4" t="str">
        <f ca="1">IFERROR(__xludf.DUMMYFUNCTION("""COMPUTED_VALUE"""),"SDATOOL-41709")</f>
        <v>SDATOOL-41709</v>
      </c>
      <c r="D126" s="4" t="str">
        <f ca="1">IFERROR(__xludf.DUMMYFUNCTION("""COMPUTED_VALUE"""),"Fraccionamiento de transacciones en CBs")</f>
        <v>Fraccionamiento de transacciones en CBs</v>
      </c>
      <c r="E126" s="4" t="str">
        <f ca="1">IFERROR(__xludf.DUMMYFUNCTION("""COMPUTED_VALUE"""),"Realizar los ajustes solicitados en la acción 1.4 del INFORME DE AUDITORÍA: 22-Q2-2418 CBS relacionado con el FRACCIONAMIENTO DE TX EN LOS CORRESPONSALES BANCARIOS.")</f>
        <v>Realizar los ajustes solicitados en la acción 1.4 del INFORME DE AUDITORÍA: 22-Q2-2418 CBS relacionado con el FRACCIONAMIENTO DE TX EN LOS CORRESPONSALES BANCARIOS.</v>
      </c>
      <c r="F126" s="4" t="str">
        <f ca="1">IFERROR(__xludf.DUMMYFUNCTION("""COMPUTED_VALUE"""),"Initiative")</f>
        <v>Initiative</v>
      </c>
      <c r="G126" s="4" t="str">
        <f ca="1">IFERROR(__xludf.DUMMYFUNCTION("""COMPUTED_VALUE"""),"Stock")</f>
        <v>Stock</v>
      </c>
      <c r="H126" s="4" t="str">
        <f ca="1">IFERROR(__xludf.DUMMYFUNCTION("""COMPUTED_VALUE"""),"3Q 2023")</f>
        <v>3Q 2023</v>
      </c>
      <c r="I126" s="131" t="str">
        <f ca="1">IFERROR(__xludf.DUMMYFUNCTION("""COMPUTED_VALUE"""),"jimy.catolico-bbva.com")</f>
        <v>jimy.catolico-bbva.com</v>
      </c>
      <c r="J126" s="131" t="str">
        <f ca="1">IFERROR(__xludf.DUMMYFUNCTION("""COMPUTED_VALUE"""),"giulianaandrea.guarin-bbva.com")</f>
        <v>giulianaandrea.guarin-bbva.com</v>
      </c>
      <c r="K126" s="131" t="str">
        <f ca="1">IFERROR(__xludf.DUMMYFUNCTION("""COMPUTED_VALUE"""),"juhan.lozano-bbva.com")</f>
        <v>juhan.lozano-bbva.com</v>
      </c>
      <c r="L126" s="130">
        <f ca="1">IFERROR(__xludf.DUMMYFUNCTION("""COMPUTED_VALUE"""),0.25)</f>
        <v>0.25</v>
      </c>
      <c r="M126" s="130">
        <f ca="1">IFERROR(__xludf.DUMMYFUNCTION("""COMPUTED_VALUE"""),0.7)</f>
        <v>0.7</v>
      </c>
      <c r="N126" s="130">
        <f ca="1">IFERROR(__xludf.DUMMYFUNCTION("""COMPUTED_VALUE"""),0.87)</f>
        <v>0.87</v>
      </c>
      <c r="O126" s="4" t="str">
        <f ca="1">IFERROR(__xludf.DUMMYFUNCTION("""COMPUTED_VALUE"""),"Waterfall")</f>
        <v>Waterfall</v>
      </c>
      <c r="P126" s="4" t="str">
        <f ca="1">IFERROR(__xludf.DUMMYFUNCTION("""COMPUTED_VALUE"""),"Tradicional")</f>
        <v>Tradicional</v>
      </c>
      <c r="Q126" s="4"/>
      <c r="R126" s="130" t="str">
        <f ca="1">IFERROR(__xludf.DUMMYFUNCTION("""COMPUTED_VALUE"""),"Business Innovation &amp; Strategy")</f>
        <v>Business Innovation &amp; Strategy</v>
      </c>
      <c r="S126" s="130" t="str">
        <f ca="1">IFERROR(__xludf.DUMMYFUNCTION("""COMPUTED_VALUE"""),"Otros")</f>
        <v>Otros</v>
      </c>
      <c r="T126" s="130" t="str">
        <f ca="1">IFERROR(__xludf.DUMMYFUNCTION("""COMPUTED_VALUE"""),"1. Generación de Ingresos")</f>
        <v>1. Generación de Ingresos</v>
      </c>
      <c r="U126" s="130" t="str">
        <f ca="1">IFERROR(__xludf.DUMMYFUNCTION("""COMPUTED_VALUE"""),"1.5. Otros de Proyectos de Ingresos")</f>
        <v>1.5. Otros de Proyectos de Ingresos</v>
      </c>
      <c r="V126" s="4" t="str">
        <f ca="1">IFERROR(__xludf.DUMMYFUNCTION("""COMPUTED_VALUE"""),"TX")</f>
        <v>TX</v>
      </c>
      <c r="W126" s="4">
        <f ca="1">IFERROR(__xludf.DUMMYFUNCTION("""COMPUTED_VALUE"""),2)</f>
        <v>2</v>
      </c>
      <c r="X126" s="4" t="str">
        <f ca="1">IFERROR(__xludf.DUMMYFUNCTION("""COMPUTED_VALUE"""),"10. Otros")</f>
        <v>10. Otros</v>
      </c>
      <c r="Y126" s="4" t="str">
        <f ca="1">IFERROR(__xludf.DUMMYFUNCTION("""COMPUTED_VALUE"""),"Otros")</f>
        <v>Otros</v>
      </c>
      <c r="Z126" s="132" t="str">
        <f ca="1">IFERROR(__xludf.DUMMYFUNCTION("""COMPUTED_VALUE"""),"674621")</f>
        <v>674621</v>
      </c>
      <c r="AA126" s="4" t="str">
        <f ca="1">IFERROR(__xludf.DUMMYFUNCTION("""COMPUTED_VALUE"""),"Reporte en procesos Batch - Credibanco / Redeban")</f>
        <v>Reporte en procesos Batch - Credibanco / Redeban</v>
      </c>
      <c r="AB126" s="4" t="str">
        <f ca="1">IFERROR(__xludf.DUMMYFUNCTION("""COMPUTED_VALUE"""),"Generar un reporte en procesos batch con la operación del día D, incluyendo transacciones que el sistema detecta como anómalas bajo la repetición de las variables: la referencia, punto de venta, tipo de transacción, convenio de recaudo, cuenta.. Los campo"&amp;"s que debe incluir el informe son: UPC, tipo tx, fecha y hora contable, fecha y hora operación, valor, Nombre y código CB, punto y terminal; Cód convenio, Nombre convenio, referencia convenio, # Cuenta (retiros y depósitos), # Producto.")</f>
        <v>Generar un reporte en procesos batch con la operación del día D, incluyendo transacciones que el sistema detecta como anómalas bajo la repetición de las variables: la referencia, punto de venta, tipo de transacción, convenio de recaudo, cuenta.. Los campos que debe incluir el informe son: UPC, tipo tx, fecha y hora contable, fecha y hora operación, valor, Nombre y código CB, punto y terminal; Cód convenio, Nombre convenio, referencia convenio, # Cuenta (retiros y depósitos), # Producto.</v>
      </c>
      <c r="AC126" s="4" t="str">
        <f ca="1">IFERROR(__xludf.DUMMYFUNCTION("""COMPUTED_VALUE"""),"2Q 2023")</f>
        <v>2Q 2023</v>
      </c>
      <c r="AD126" s="4"/>
      <c r="AE126" s="4"/>
      <c r="AF126" s="4"/>
      <c r="AG126" s="4"/>
      <c r="AH126" s="4"/>
      <c r="AI126" s="4"/>
      <c r="AJ126" s="4"/>
      <c r="AK126" s="131" t="str">
        <f ca="1">IFERROR(__xludf.DUMMYFUNCTION("""COMPUTED_VALUE"""),"COLWSMEDIO-4584")</f>
        <v>COLWSMEDIO-4584</v>
      </c>
      <c r="AL126" s="4" t="str">
        <f ca="1">IFERROR(__xludf.DUMMYFUNCTION("""COMPUTED_VALUE"""),"En progreso")</f>
        <v>En progreso</v>
      </c>
      <c r="AM126" s="4"/>
      <c r="AN126" s="4" t="str">
        <f ca="1">IFERROR(__xludf.DUMMYFUNCTION("""COMPUTED_VALUE"""),"Iniciativa en Discovery")</f>
        <v>Iniciativa en Discovery</v>
      </c>
      <c r="AO126" s="4" t="str">
        <f ca="1">IFERROR(__xludf.DUMMYFUNCTION("""COMPUTED_VALUE"""),"Transformación de la Red")</f>
        <v>Transformación de la Red</v>
      </c>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133">
        <f ca="1">IFERROR(__xludf.DUMMYFUNCTION("""COMPUTED_VALUE"""),0)</f>
        <v>0</v>
      </c>
      <c r="DV126" s="133">
        <f ca="1">IFERROR(__xludf.DUMMYFUNCTION("""COMPUTED_VALUE"""),0)</f>
        <v>0</v>
      </c>
      <c r="DW126" s="133">
        <f ca="1">IFERROR(__xludf.DUMMYFUNCTION("""COMPUTED_VALUE"""),0)</f>
        <v>0</v>
      </c>
      <c r="DX126" s="133">
        <f ca="1">IFERROR(__xludf.DUMMYFUNCTION("""COMPUTED_VALUE"""),67059871)</f>
        <v>67059871</v>
      </c>
      <c r="DY126" s="133">
        <f ca="1">IFERROR(__xludf.DUMMYFUNCTION("""COMPUTED_VALUE"""),0)</f>
        <v>0</v>
      </c>
      <c r="DZ126" s="133">
        <f ca="1">IFERROR(__xludf.DUMMYFUNCTION("""COMPUTED_VALUE"""),67059871)</f>
        <v>67059871</v>
      </c>
      <c r="EA126" s="4"/>
      <c r="EB126" s="4"/>
    </row>
    <row r="127" spans="1:132" x14ac:dyDescent="0.2">
      <c r="A127" s="4">
        <f ca="1">IFERROR(__xludf.DUMMYFUNCTION("""COMPUTED_VALUE"""),127)</f>
        <v>127</v>
      </c>
      <c r="B127" s="4">
        <f ca="1">IFERROR(__xludf.DUMMYFUNCTION("""COMPUTED_VALUE"""),118)</f>
        <v>118</v>
      </c>
      <c r="C127" s="4" t="str">
        <f ca="1">IFERROR(__xludf.DUMMYFUNCTION("""COMPUTED_VALUE"""),"SDATOOL-41709")</f>
        <v>SDATOOL-41709</v>
      </c>
      <c r="D127" s="4" t="str">
        <f ca="1">IFERROR(__xludf.DUMMYFUNCTION("""COMPUTED_VALUE"""),"Fraccionamiento de transacciones en CBs")</f>
        <v>Fraccionamiento de transacciones en CBs</v>
      </c>
      <c r="E127" s="4" t="str">
        <f ca="1">IFERROR(__xludf.DUMMYFUNCTION("""COMPUTED_VALUE"""),"Realizar los ajustes solicitados en la acción 1.4 del INFORME DE AUDITORÍA: 22-Q2-2418 CBS relacionado con el FRACCIONAMIENTO DE TX EN LOS CORRESPONSALES BANCARIOS.")</f>
        <v>Realizar los ajustes solicitados en la acción 1.4 del INFORME DE AUDITORÍA: 22-Q2-2418 CBS relacionado con el FRACCIONAMIENTO DE TX EN LOS CORRESPONSALES BANCARIOS.</v>
      </c>
      <c r="F127" s="4" t="str">
        <f ca="1">IFERROR(__xludf.DUMMYFUNCTION("""COMPUTED_VALUE"""),"Initiative")</f>
        <v>Initiative</v>
      </c>
      <c r="G127" s="4" t="str">
        <f ca="1">IFERROR(__xludf.DUMMYFUNCTION("""COMPUTED_VALUE"""),"Stock")</f>
        <v>Stock</v>
      </c>
      <c r="H127" s="4" t="str">
        <f ca="1">IFERROR(__xludf.DUMMYFUNCTION("""COMPUTED_VALUE"""),"3Q 2023")</f>
        <v>3Q 2023</v>
      </c>
      <c r="I127" s="131" t="str">
        <f ca="1">IFERROR(__xludf.DUMMYFUNCTION("""COMPUTED_VALUE"""),"jimy.catolico-bbva.com")</f>
        <v>jimy.catolico-bbva.com</v>
      </c>
      <c r="J127" s="131" t="str">
        <f ca="1">IFERROR(__xludf.DUMMYFUNCTION("""COMPUTED_VALUE"""),"giulianaandrea.guarin-bbva.com")</f>
        <v>giulianaandrea.guarin-bbva.com</v>
      </c>
      <c r="K127" s="131" t="str">
        <f ca="1">IFERROR(__xludf.DUMMYFUNCTION("""COMPUTED_VALUE"""),"juhan.lozano-bbva.com")</f>
        <v>juhan.lozano-bbva.com</v>
      </c>
      <c r="L127" s="4"/>
      <c r="M127" s="4"/>
      <c r="N127" s="4"/>
      <c r="O127" s="4" t="str">
        <f ca="1">IFERROR(__xludf.DUMMYFUNCTION("""COMPUTED_VALUE"""),"Waterfall")</f>
        <v>Waterfall</v>
      </c>
      <c r="P127" s="4" t="str">
        <f ca="1">IFERROR(__xludf.DUMMYFUNCTION("""COMPUTED_VALUE"""),"Tradicional")</f>
        <v>Tradicional</v>
      </c>
      <c r="Q127" s="4"/>
      <c r="R127" s="130" t="str">
        <f ca="1">IFERROR(__xludf.DUMMYFUNCTION("""COMPUTED_VALUE"""),"Business Innovation &amp; Strategy")</f>
        <v>Business Innovation &amp; Strategy</v>
      </c>
      <c r="S127" s="130" t="str">
        <f ca="1">IFERROR(__xludf.DUMMYFUNCTION("""COMPUTED_VALUE"""),"Otros")</f>
        <v>Otros</v>
      </c>
      <c r="T127" s="130" t="str">
        <f ca="1">IFERROR(__xludf.DUMMYFUNCTION("""COMPUTED_VALUE"""),"1. Generación de Ingresos")</f>
        <v>1. Generación de Ingresos</v>
      </c>
      <c r="U127" s="130" t="str">
        <f ca="1">IFERROR(__xludf.DUMMYFUNCTION("""COMPUTED_VALUE"""),"1.5. Otros de Proyectos de Ingresos")</f>
        <v>1.5. Otros de Proyectos de Ingresos</v>
      </c>
      <c r="V127" s="4" t="str">
        <f ca="1">IFERROR(__xludf.DUMMYFUNCTION("""COMPUTED_VALUE"""),"TX")</f>
        <v>TX</v>
      </c>
      <c r="W127" s="4">
        <f ca="1">IFERROR(__xludf.DUMMYFUNCTION("""COMPUTED_VALUE"""),2)</f>
        <v>2</v>
      </c>
      <c r="X127" s="4" t="str">
        <f ca="1">IFERROR(__xludf.DUMMYFUNCTION("""COMPUTED_VALUE"""),"10. Otros")</f>
        <v>10. Otros</v>
      </c>
      <c r="Y127" s="4" t="str">
        <f ca="1">IFERROR(__xludf.DUMMYFUNCTION("""COMPUTED_VALUE"""),"Otros")</f>
        <v>Otros</v>
      </c>
      <c r="Z127" s="132" t="str">
        <f ca="1">IFERROR(__xludf.DUMMYFUNCTION("""COMPUTED_VALUE"""),"628433")</f>
        <v>628433</v>
      </c>
      <c r="AA127" s="4" t="str">
        <f ca="1">IFERROR(__xludf.DUMMYFUNCTION("""COMPUTED_VALUE"""),"Reporte en procesos Batch - WS ASO")</f>
        <v>Reporte en procesos Batch - WS ASO</v>
      </c>
      <c r="AB127" s="4" t="str">
        <f ca="1">IFERROR(__xludf.DUMMYFUNCTION("""COMPUTED_VALUE"""),"Generar un reporte en procesos batch con la operación del día D, incluyendo transacciones que el sistema detecta como anómalas bajo la repetición de las variables: la referencia, punto de venta, tipo de transacción, convenio de recaudo, cuenta.. Los campo"&amp;"s que debe incluir el informe son: UPC, tipo tx, fecha y hora contable, fecha y hora operación, valor, Nombre y código CB, punto y terminal; Cód convenio, Nombre convenio, referencia convenio, # Cuenta (retiros y depósitos), # Producto.")</f>
        <v>Generar un reporte en procesos batch con la operación del día D, incluyendo transacciones que el sistema detecta como anómalas bajo la repetición de las variables: la referencia, punto de venta, tipo de transacción, convenio de recaudo, cuenta.. Los campos que debe incluir el informe son: UPC, tipo tx, fecha y hora contable, fecha y hora operación, valor, Nombre y código CB, punto y terminal; Cód convenio, Nombre convenio, referencia convenio, # Cuenta (retiros y depósitos), # Producto.</v>
      </c>
      <c r="AC127" s="4" t="str">
        <f ca="1">IFERROR(__xludf.DUMMYFUNCTION("""COMPUTED_VALUE"""),"1Q 2023")</f>
        <v>1Q 2023</v>
      </c>
      <c r="AD127" s="4"/>
      <c r="AE127" s="4"/>
      <c r="AF127" s="4"/>
      <c r="AG127" s="4"/>
      <c r="AH127" s="4"/>
      <c r="AI127" s="4"/>
      <c r="AJ127" s="4"/>
      <c r="AK127" s="131" t="str">
        <f ca="1">IFERROR(__xludf.DUMMYFUNCTION("""COMPUTED_VALUE"""),"COLWSCANAL-12681")</f>
        <v>COLWSCANAL-12681</v>
      </c>
      <c r="AL127" s="4" t="str">
        <f ca="1">IFERROR(__xludf.DUMMYFUNCTION("""COMPUTED_VALUE"""),"Deployed")</f>
        <v>Deployed</v>
      </c>
      <c r="AM127" s="4"/>
      <c r="AN127" s="4" t="str">
        <f ca="1">IFERROR(__xludf.DUMMYFUNCTION("""COMPUTED_VALUE"""),"Iniciativa en Discovery")</f>
        <v>Iniciativa en Discovery</v>
      </c>
      <c r="AO127" s="4" t="str">
        <f ca="1">IFERROR(__xludf.DUMMYFUNCTION("""COMPUTED_VALUE"""),"Transformación de la Red")</f>
        <v>Transformación de la Red</v>
      </c>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row>
    <row r="128" spans="1:132" x14ac:dyDescent="0.2">
      <c r="A128" s="4">
        <f ca="1">IFERROR(__xludf.DUMMYFUNCTION("""COMPUTED_VALUE"""),128)</f>
        <v>128</v>
      </c>
      <c r="B128" s="4"/>
      <c r="C128" s="4" t="str">
        <f ca="1">IFERROR(__xludf.DUMMYFUNCTION("""COMPUTED_VALUE"""),"SDATOOL-42573")</f>
        <v>SDATOOL-42573</v>
      </c>
      <c r="D128" s="4" t="str">
        <f ca="1">IFERROR(__xludf.DUMMYFUNCTION("""COMPUTED_VALUE"""),"CBS Efecty")</f>
        <v>CBS Efecty</v>
      </c>
      <c r="E128" s="4" t="str">
        <f ca="1">IFERROR(__xludf.DUMMYFUNCTION("""COMPUTED_VALUE"""),"Ampliar RED de CBS")</f>
        <v>Ampliar RED de CBS</v>
      </c>
      <c r="F128" s="4" t="str">
        <f ca="1">IFERROR(__xludf.DUMMYFUNCTION("""COMPUTED_VALUE"""),"Project")</f>
        <v>Project</v>
      </c>
      <c r="G128" s="4" t="str">
        <f ca="1">IFERROR(__xludf.DUMMYFUNCTION("""COMPUTED_VALUE"""),"Flow")</f>
        <v>Flow</v>
      </c>
      <c r="H128" s="4" t="str">
        <f ca="1">IFERROR(__xludf.DUMMYFUNCTION("""COMPUTED_VALUE"""),"2Q 2024")</f>
        <v>2Q 2024</v>
      </c>
      <c r="I128" s="131" t="str">
        <f ca="1">IFERROR(__xludf.DUMMYFUNCTION("""COMPUTED_VALUE"""),"jimy.catolico-bbva.com")</f>
        <v>jimy.catolico-bbva.com</v>
      </c>
      <c r="J128" s="131" t="str">
        <f ca="1">IFERROR(__xludf.DUMMYFUNCTION("""COMPUTED_VALUE"""),"erikajulieth.ruiz-bbva.com")</f>
        <v>erikajulieth.ruiz-bbva.com</v>
      </c>
      <c r="K128" s="131" t="str">
        <f ca="1">IFERROR(__xludf.DUMMYFUNCTION("""COMPUTED_VALUE"""),"juhan.lozano-bbva.com")</f>
        <v>juhan.lozano-bbva.com</v>
      </c>
      <c r="L128" s="130">
        <f ca="1">IFERROR(__xludf.DUMMYFUNCTION("""COMPUTED_VALUE"""),0)</f>
        <v>0</v>
      </c>
      <c r="M128" s="130">
        <f ca="1">IFERROR(__xludf.DUMMYFUNCTION("""COMPUTED_VALUE"""),0)</f>
        <v>0</v>
      </c>
      <c r="N128" s="130">
        <f ca="1">IFERROR(__xludf.DUMMYFUNCTION("""COMPUTED_VALUE"""),0)</f>
        <v>0</v>
      </c>
      <c r="O128" s="4" t="str">
        <f ca="1">IFERROR(__xludf.DUMMYFUNCTION("""COMPUTED_VALUE"""),"Waterfall")</f>
        <v>Waterfall</v>
      </c>
      <c r="P128" s="4" t="str">
        <f ca="1">IFERROR(__xludf.DUMMYFUNCTION("""COMPUTED_VALUE"""),"Tradicional")</f>
        <v>Tradicional</v>
      </c>
      <c r="Q128" s="4"/>
      <c r="R128" s="130" t="str">
        <f ca="1">IFERROR(__xludf.DUMMYFUNCTION("""COMPUTED_VALUE"""),"Business Innovation &amp; Strategy")</f>
        <v>Business Innovation &amp; Strategy</v>
      </c>
      <c r="S128" s="130" t="str">
        <f ca="1">IFERROR(__xludf.DUMMYFUNCTION("""COMPUTED_VALUE"""),"Otros")</f>
        <v>Otros</v>
      </c>
      <c r="T128" s="130" t="str">
        <f ca="1">IFERROR(__xludf.DUMMYFUNCTION("""COMPUTED_VALUE"""),"1. Generación de Ingresos")</f>
        <v>1. Generación de Ingresos</v>
      </c>
      <c r="U128" s="130" t="str">
        <f ca="1">IFERROR(__xludf.DUMMYFUNCTION("""COMPUTED_VALUE"""),"1.5. Otros de Proyectos de Ingresos")</f>
        <v>1.5. Otros de Proyectos de Ingresos</v>
      </c>
      <c r="V128" s="4" t="str">
        <f ca="1">IFERROR(__xludf.DUMMYFUNCTION("""COMPUTED_VALUE"""),"CBs")</f>
        <v>CBs</v>
      </c>
      <c r="W128" s="4">
        <f ca="1">IFERROR(__xludf.DUMMYFUNCTION("""COMPUTED_VALUE"""),2)</f>
        <v>2</v>
      </c>
      <c r="X128" s="4" t="str">
        <f ca="1">IFERROR(__xludf.DUMMYFUNCTION("""COMPUTED_VALUE"""),"04. Relationship Models")</f>
        <v>04. Relationship Models</v>
      </c>
      <c r="Y128" s="4" t="str">
        <f ca="1">IFERROR(__xludf.DUMMYFUNCTION("""COMPUTED_VALUE"""),"5.6.6 Non Global Project")</f>
        <v>5.6.6 Non Global Project</v>
      </c>
      <c r="Z128" s="132" t="str">
        <f ca="1">IFERROR(__xludf.DUMMYFUNCTION("""COMPUTED_VALUE"""),"773963")</f>
        <v>773963</v>
      </c>
      <c r="AA128" s="4" t="str">
        <f ca="1">IFERROR(__xludf.DUMMYFUNCTION("""COMPUTED_VALUE"""),"TX pago de préstamos")</f>
        <v>TX pago de préstamos</v>
      </c>
      <c r="AB128" s="4" t="str">
        <f ca="1">IFERROR(__xludf.DUMMYFUNCTION("""COMPUTED_VALUE"""),"Mayor Red")</f>
        <v>Mayor Red</v>
      </c>
      <c r="AC128" s="4" t="str">
        <f ca="1">IFERROR(__xludf.DUMMYFUNCTION("""COMPUTED_VALUE"""),"4Q 2023")</f>
        <v>4Q 2023</v>
      </c>
      <c r="AD128" s="4"/>
      <c r="AE128" s="4"/>
      <c r="AF128" s="4"/>
      <c r="AG128" s="4"/>
      <c r="AH128" s="4"/>
      <c r="AI128" s="4"/>
      <c r="AJ128" s="4"/>
      <c r="AK128" s="4" t="str">
        <f ca="1">IFERROR(__xludf.DUMMYFUNCTION("""COMPUTED_VALUE"""),"Sin asignar")</f>
        <v>Sin asignar</v>
      </c>
      <c r="AL128" s="4" t="str">
        <f ca="1">IFERROR(__xludf.DUMMYFUNCTION("""COMPUTED_VALUE"""),"Sin asignar")</f>
        <v>Sin asignar</v>
      </c>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row>
    <row r="129" spans="1:132" x14ac:dyDescent="0.2">
      <c r="A129" s="4">
        <f ca="1">IFERROR(__xludf.DUMMYFUNCTION("""COMPUTED_VALUE"""),129)</f>
        <v>129</v>
      </c>
      <c r="B129" s="4"/>
      <c r="C129" s="4" t="str">
        <f ca="1">IFERROR(__xludf.DUMMYFUNCTION("""COMPUTED_VALUE"""),"SDATOOL-42573")</f>
        <v>SDATOOL-42573</v>
      </c>
      <c r="D129" s="4" t="str">
        <f ca="1">IFERROR(__xludf.DUMMYFUNCTION("""COMPUTED_VALUE"""),"CBS Efecty")</f>
        <v>CBS Efecty</v>
      </c>
      <c r="E129" s="4" t="str">
        <f ca="1">IFERROR(__xludf.DUMMYFUNCTION("""COMPUTED_VALUE"""),"Ampliar RED de CBS")</f>
        <v>Ampliar RED de CBS</v>
      </c>
      <c r="F129" s="4" t="str">
        <f ca="1">IFERROR(__xludf.DUMMYFUNCTION("""COMPUTED_VALUE"""),"Project")</f>
        <v>Project</v>
      </c>
      <c r="G129" s="4" t="str">
        <f ca="1">IFERROR(__xludf.DUMMYFUNCTION("""COMPUTED_VALUE"""),"Flow")</f>
        <v>Flow</v>
      </c>
      <c r="H129" s="4" t="str">
        <f ca="1">IFERROR(__xludf.DUMMYFUNCTION("""COMPUTED_VALUE"""),"2Q 2024")</f>
        <v>2Q 2024</v>
      </c>
      <c r="I129" s="131" t="str">
        <f ca="1">IFERROR(__xludf.DUMMYFUNCTION("""COMPUTED_VALUE"""),"jimy.catolico-bbva.com")</f>
        <v>jimy.catolico-bbva.com</v>
      </c>
      <c r="J129" s="131" t="str">
        <f ca="1">IFERROR(__xludf.DUMMYFUNCTION("""COMPUTED_VALUE"""),"erikajulieth.ruiz-bbva.com")</f>
        <v>erikajulieth.ruiz-bbva.com</v>
      </c>
      <c r="K129" s="131" t="str">
        <f ca="1">IFERROR(__xludf.DUMMYFUNCTION("""COMPUTED_VALUE"""),"juhan.lozano-bbva.com")</f>
        <v>juhan.lozano-bbva.com</v>
      </c>
      <c r="L129" s="4"/>
      <c r="M129" s="4"/>
      <c r="N129" s="4"/>
      <c r="O129" s="4" t="str">
        <f ca="1">IFERROR(__xludf.DUMMYFUNCTION("""COMPUTED_VALUE"""),"Waterfall")</f>
        <v>Waterfall</v>
      </c>
      <c r="P129" s="4" t="str">
        <f ca="1">IFERROR(__xludf.DUMMYFUNCTION("""COMPUTED_VALUE"""),"Tradicional")</f>
        <v>Tradicional</v>
      </c>
      <c r="Q129" s="4"/>
      <c r="R129" s="130" t="str">
        <f ca="1">IFERROR(__xludf.DUMMYFUNCTION("""COMPUTED_VALUE"""),"Business Innovation &amp; Strategy")</f>
        <v>Business Innovation &amp; Strategy</v>
      </c>
      <c r="S129" s="130" t="str">
        <f ca="1">IFERROR(__xludf.DUMMYFUNCTION("""COMPUTED_VALUE"""),"Otros")</f>
        <v>Otros</v>
      </c>
      <c r="T129" s="130" t="str">
        <f ca="1">IFERROR(__xludf.DUMMYFUNCTION("""COMPUTED_VALUE"""),"1. Generación de Ingresos")</f>
        <v>1. Generación de Ingresos</v>
      </c>
      <c r="U129" s="130" t="str">
        <f ca="1">IFERROR(__xludf.DUMMYFUNCTION("""COMPUTED_VALUE"""),"1.5. Otros de Proyectos de Ingresos")</f>
        <v>1.5. Otros de Proyectos de Ingresos</v>
      </c>
      <c r="V129" s="4" t="str">
        <f ca="1">IFERROR(__xludf.DUMMYFUNCTION("""COMPUTED_VALUE"""),"CBs")</f>
        <v>CBs</v>
      </c>
      <c r="W129" s="4">
        <f ca="1">IFERROR(__xludf.DUMMYFUNCTION("""COMPUTED_VALUE"""),2)</f>
        <v>2</v>
      </c>
      <c r="X129" s="4" t="str">
        <f ca="1">IFERROR(__xludf.DUMMYFUNCTION("""COMPUTED_VALUE"""),"04. Relationship Models")</f>
        <v>04. Relationship Models</v>
      </c>
      <c r="Y129" s="4" t="str">
        <f ca="1">IFERROR(__xludf.DUMMYFUNCTION("""COMPUTED_VALUE"""),"5.6.6 Non Global Project")</f>
        <v>5.6.6 Non Global Project</v>
      </c>
      <c r="Z129" s="132" t="str">
        <f ca="1">IFERROR(__xludf.DUMMYFUNCTION("""COMPUTED_VALUE"""),"773964")</f>
        <v>773964</v>
      </c>
      <c r="AA129" s="4" t="str">
        <f ca="1">IFERROR(__xludf.DUMMYFUNCTION("""COMPUTED_VALUE"""),"Tx pago de Tarjeta de cédito")</f>
        <v>Tx pago de Tarjeta de cédito</v>
      </c>
      <c r="AB129" s="4" t="str">
        <f ca="1">IFERROR(__xludf.DUMMYFUNCTION("""COMPUTED_VALUE"""),"Mayor Red")</f>
        <v>Mayor Red</v>
      </c>
      <c r="AC129" s="4" t="str">
        <f ca="1">IFERROR(__xludf.DUMMYFUNCTION("""COMPUTED_VALUE"""),"4Q 2023")</f>
        <v>4Q 2023</v>
      </c>
      <c r="AD129" s="4"/>
      <c r="AE129" s="4"/>
      <c r="AF129" s="4"/>
      <c r="AG129" s="4"/>
      <c r="AH129" s="4"/>
      <c r="AI129" s="4"/>
      <c r="AJ129" s="4"/>
      <c r="AK129" s="4" t="str">
        <f ca="1">IFERROR(__xludf.DUMMYFUNCTION("""COMPUTED_VALUE"""),"Sin asignar")</f>
        <v>Sin asignar</v>
      </c>
      <c r="AL129" s="4" t="str">
        <f ca="1">IFERROR(__xludf.DUMMYFUNCTION("""COMPUTED_VALUE"""),"Sin asignar")</f>
        <v>Sin asignar</v>
      </c>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row>
    <row r="130" spans="1:132" x14ac:dyDescent="0.2">
      <c r="A130" s="4">
        <f ca="1">IFERROR(__xludf.DUMMYFUNCTION("""COMPUTED_VALUE"""),130)</f>
        <v>130</v>
      </c>
      <c r="B130" s="4"/>
      <c r="C130" s="4" t="str">
        <f ca="1">IFERROR(__xludf.DUMMYFUNCTION("""COMPUTED_VALUE"""),"SDATOOL-42573")</f>
        <v>SDATOOL-42573</v>
      </c>
      <c r="D130" s="4" t="str">
        <f ca="1">IFERROR(__xludf.DUMMYFUNCTION("""COMPUTED_VALUE"""),"CBS Efecty")</f>
        <v>CBS Efecty</v>
      </c>
      <c r="E130" s="4" t="str">
        <f ca="1">IFERROR(__xludf.DUMMYFUNCTION("""COMPUTED_VALUE"""),"Ampliar RED de CBS")</f>
        <v>Ampliar RED de CBS</v>
      </c>
      <c r="F130" s="4" t="str">
        <f ca="1">IFERROR(__xludf.DUMMYFUNCTION("""COMPUTED_VALUE"""),"Project")</f>
        <v>Project</v>
      </c>
      <c r="G130" s="4" t="str">
        <f ca="1">IFERROR(__xludf.DUMMYFUNCTION("""COMPUTED_VALUE"""),"Flow")</f>
        <v>Flow</v>
      </c>
      <c r="H130" s="4" t="str">
        <f ca="1">IFERROR(__xludf.DUMMYFUNCTION("""COMPUTED_VALUE"""),"2Q 2024")</f>
        <v>2Q 2024</v>
      </c>
      <c r="I130" s="131" t="str">
        <f ca="1">IFERROR(__xludf.DUMMYFUNCTION("""COMPUTED_VALUE"""),"jimy.catolico-bbva.com")</f>
        <v>jimy.catolico-bbva.com</v>
      </c>
      <c r="J130" s="131" t="str">
        <f ca="1">IFERROR(__xludf.DUMMYFUNCTION("""COMPUTED_VALUE"""),"erikajulieth.ruiz-bbva.com")</f>
        <v>erikajulieth.ruiz-bbva.com</v>
      </c>
      <c r="K130" s="131" t="str">
        <f ca="1">IFERROR(__xludf.DUMMYFUNCTION("""COMPUTED_VALUE"""),"juhan.lozano-bbva.com")</f>
        <v>juhan.lozano-bbva.com</v>
      </c>
      <c r="L130" s="4"/>
      <c r="M130" s="4"/>
      <c r="N130" s="4"/>
      <c r="O130" s="4" t="str">
        <f ca="1">IFERROR(__xludf.DUMMYFUNCTION("""COMPUTED_VALUE"""),"Waterfall")</f>
        <v>Waterfall</v>
      </c>
      <c r="P130" s="4" t="str">
        <f ca="1">IFERROR(__xludf.DUMMYFUNCTION("""COMPUTED_VALUE"""),"Tradicional")</f>
        <v>Tradicional</v>
      </c>
      <c r="Q130" s="4"/>
      <c r="R130" s="130" t="str">
        <f ca="1">IFERROR(__xludf.DUMMYFUNCTION("""COMPUTED_VALUE"""),"Business Innovation &amp; Strategy")</f>
        <v>Business Innovation &amp; Strategy</v>
      </c>
      <c r="S130" s="130" t="str">
        <f ca="1">IFERROR(__xludf.DUMMYFUNCTION("""COMPUTED_VALUE"""),"Otros")</f>
        <v>Otros</v>
      </c>
      <c r="T130" s="130" t="str">
        <f ca="1">IFERROR(__xludf.DUMMYFUNCTION("""COMPUTED_VALUE"""),"1. Generación de Ingresos")</f>
        <v>1. Generación de Ingresos</v>
      </c>
      <c r="U130" s="130" t="str">
        <f ca="1">IFERROR(__xludf.DUMMYFUNCTION("""COMPUTED_VALUE"""),"1.5. Otros de Proyectos de Ingresos")</f>
        <v>1.5. Otros de Proyectos de Ingresos</v>
      </c>
      <c r="V130" s="4" t="str">
        <f ca="1">IFERROR(__xludf.DUMMYFUNCTION("""COMPUTED_VALUE"""),"CBs")</f>
        <v>CBs</v>
      </c>
      <c r="W130" s="4">
        <f ca="1">IFERROR(__xludf.DUMMYFUNCTION("""COMPUTED_VALUE"""),2)</f>
        <v>2</v>
      </c>
      <c r="X130" s="4" t="str">
        <f ca="1">IFERROR(__xludf.DUMMYFUNCTION("""COMPUTED_VALUE"""),"04. Relationship Models")</f>
        <v>04. Relationship Models</v>
      </c>
      <c r="Y130" s="4" t="str">
        <f ca="1">IFERROR(__xludf.DUMMYFUNCTION("""COMPUTED_VALUE"""),"5.6.6 Non Global Project")</f>
        <v>5.6.6 Non Global Project</v>
      </c>
      <c r="Z130" s="132" t="str">
        <f ca="1">IFERROR(__xludf.DUMMYFUNCTION("""COMPUTED_VALUE"""),"773962")</f>
        <v>773962</v>
      </c>
      <c r="AA130" s="4" t="str">
        <f ca="1">IFERROR(__xludf.DUMMYFUNCTION("""COMPUTED_VALUE"""),"TXDepósito")</f>
        <v>TXDepósito</v>
      </c>
      <c r="AB130" s="4" t="str">
        <f ca="1">IFERROR(__xludf.DUMMYFUNCTION("""COMPUTED_VALUE"""),"Mayor Red")</f>
        <v>Mayor Red</v>
      </c>
      <c r="AC130" s="4" t="str">
        <f ca="1">IFERROR(__xludf.DUMMYFUNCTION("""COMPUTED_VALUE"""),"4Q 2023")</f>
        <v>4Q 2023</v>
      </c>
      <c r="AD130" s="4"/>
      <c r="AE130" s="4"/>
      <c r="AF130" s="4"/>
      <c r="AG130" s="4"/>
      <c r="AH130" s="4"/>
      <c r="AI130" s="4"/>
      <c r="AJ130" s="4"/>
      <c r="AK130" s="4" t="str">
        <f ca="1">IFERROR(__xludf.DUMMYFUNCTION("""COMPUTED_VALUE"""),"Sin asignar")</f>
        <v>Sin asignar</v>
      </c>
      <c r="AL130" s="4" t="str">
        <f ca="1">IFERROR(__xludf.DUMMYFUNCTION("""COMPUTED_VALUE"""),"Sin asignar")</f>
        <v>Sin asignar</v>
      </c>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row>
    <row r="131" spans="1:132" x14ac:dyDescent="0.2">
      <c r="A131" s="4">
        <f ca="1">IFERROR(__xludf.DUMMYFUNCTION("""COMPUTED_VALUE"""),131)</f>
        <v>131</v>
      </c>
      <c r="B131" s="4"/>
      <c r="C131" s="4" t="str">
        <f ca="1">IFERROR(__xludf.DUMMYFUNCTION("""COMPUTED_VALUE"""),"SDATOOL-42573")</f>
        <v>SDATOOL-42573</v>
      </c>
      <c r="D131" s="4" t="str">
        <f ca="1">IFERROR(__xludf.DUMMYFUNCTION("""COMPUTED_VALUE"""),"CBS Efecty")</f>
        <v>CBS Efecty</v>
      </c>
      <c r="E131" s="4" t="str">
        <f ca="1">IFERROR(__xludf.DUMMYFUNCTION("""COMPUTED_VALUE"""),"Ampliar RED de CBS")</f>
        <v>Ampliar RED de CBS</v>
      </c>
      <c r="F131" s="4" t="str">
        <f ca="1">IFERROR(__xludf.DUMMYFUNCTION("""COMPUTED_VALUE"""),"Project")</f>
        <v>Project</v>
      </c>
      <c r="G131" s="4" t="str">
        <f ca="1">IFERROR(__xludf.DUMMYFUNCTION("""COMPUTED_VALUE"""),"Flow")</f>
        <v>Flow</v>
      </c>
      <c r="H131" s="4" t="str">
        <f ca="1">IFERROR(__xludf.DUMMYFUNCTION("""COMPUTED_VALUE"""),"2Q 2024")</f>
        <v>2Q 2024</v>
      </c>
      <c r="I131" s="131" t="str">
        <f ca="1">IFERROR(__xludf.DUMMYFUNCTION("""COMPUTED_VALUE"""),"jimy.catolico-bbva.com")</f>
        <v>jimy.catolico-bbva.com</v>
      </c>
      <c r="J131" s="131" t="str">
        <f ca="1">IFERROR(__xludf.DUMMYFUNCTION("""COMPUTED_VALUE"""),"erikajulieth.ruiz-bbva.com")</f>
        <v>erikajulieth.ruiz-bbva.com</v>
      </c>
      <c r="K131" s="131" t="str">
        <f ca="1">IFERROR(__xludf.DUMMYFUNCTION("""COMPUTED_VALUE"""),"juhan.lozano-bbva.com")</f>
        <v>juhan.lozano-bbva.com</v>
      </c>
      <c r="L131" s="4"/>
      <c r="M131" s="4"/>
      <c r="N131" s="4"/>
      <c r="O131" s="4" t="str">
        <f ca="1">IFERROR(__xludf.DUMMYFUNCTION("""COMPUTED_VALUE"""),"Waterfall")</f>
        <v>Waterfall</v>
      </c>
      <c r="P131" s="4" t="str">
        <f ca="1">IFERROR(__xludf.DUMMYFUNCTION("""COMPUTED_VALUE"""),"Tradicional")</f>
        <v>Tradicional</v>
      </c>
      <c r="Q131" s="4"/>
      <c r="R131" s="130" t="str">
        <f ca="1">IFERROR(__xludf.DUMMYFUNCTION("""COMPUTED_VALUE"""),"Business Innovation &amp; Strategy")</f>
        <v>Business Innovation &amp; Strategy</v>
      </c>
      <c r="S131" s="130" t="str">
        <f ca="1">IFERROR(__xludf.DUMMYFUNCTION("""COMPUTED_VALUE"""),"Otros")</f>
        <v>Otros</v>
      </c>
      <c r="T131" s="130" t="str">
        <f ca="1">IFERROR(__xludf.DUMMYFUNCTION("""COMPUTED_VALUE"""),"1. Generación de Ingresos")</f>
        <v>1. Generación de Ingresos</v>
      </c>
      <c r="U131" s="130" t="str">
        <f ca="1">IFERROR(__xludf.DUMMYFUNCTION("""COMPUTED_VALUE"""),"1.5. Otros de Proyectos de Ingresos")</f>
        <v>1.5. Otros de Proyectos de Ingresos</v>
      </c>
      <c r="V131" s="4" t="str">
        <f ca="1">IFERROR(__xludf.DUMMYFUNCTION("""COMPUTED_VALUE"""),"CBs")</f>
        <v>CBs</v>
      </c>
      <c r="W131" s="4">
        <f ca="1">IFERROR(__xludf.DUMMYFUNCTION("""COMPUTED_VALUE"""),2)</f>
        <v>2</v>
      </c>
      <c r="X131" s="4" t="str">
        <f ca="1">IFERROR(__xludf.DUMMYFUNCTION("""COMPUTED_VALUE"""),"04. Relationship Models")</f>
        <v>04. Relationship Models</v>
      </c>
      <c r="Y131" s="4" t="str">
        <f ca="1">IFERROR(__xludf.DUMMYFUNCTION("""COMPUTED_VALUE"""),"5.6.6 Non Global Project")</f>
        <v>5.6.6 Non Global Project</v>
      </c>
      <c r="Z131" s="132" t="str">
        <f ca="1">IFERROR(__xludf.DUMMYFUNCTION("""COMPUTED_VALUE"""),"773960")</f>
        <v>773960</v>
      </c>
      <c r="AA131" s="4" t="str">
        <f ca="1">IFERROR(__xludf.DUMMYFUNCTION("""COMPUTED_VALUE"""),"TXRecaudo")</f>
        <v>TXRecaudo</v>
      </c>
      <c r="AB131" s="4" t="str">
        <f ca="1">IFERROR(__xludf.DUMMYFUNCTION("""COMPUTED_VALUE"""),"MAyor Red")</f>
        <v>MAyor Red</v>
      </c>
      <c r="AC131" s="4" t="str">
        <f ca="1">IFERROR(__xludf.DUMMYFUNCTION("""COMPUTED_VALUE"""),"3Q 2023")</f>
        <v>3Q 2023</v>
      </c>
      <c r="AD131" s="4"/>
      <c r="AE131" s="4"/>
      <c r="AF131" s="4"/>
      <c r="AG131" s="4"/>
      <c r="AH131" s="4"/>
      <c r="AI131" s="4"/>
      <c r="AJ131" s="4"/>
      <c r="AK131" s="4" t="str">
        <f ca="1">IFERROR(__xludf.DUMMYFUNCTION("""COMPUTED_VALUE"""),"Sin asignar")</f>
        <v>Sin asignar</v>
      </c>
      <c r="AL131" s="4" t="str">
        <f ca="1">IFERROR(__xludf.DUMMYFUNCTION("""COMPUTED_VALUE"""),"Sin asignar")</f>
        <v>Sin asignar</v>
      </c>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row>
    <row r="132" spans="1:132" x14ac:dyDescent="0.2">
      <c r="A132" s="4">
        <f ca="1">IFERROR(__xludf.DUMMYFUNCTION("""COMPUTED_VALUE"""),132)</f>
        <v>132</v>
      </c>
      <c r="B132" s="4"/>
      <c r="C132" s="4" t="str">
        <f ca="1">IFERROR(__xludf.DUMMYFUNCTION("""COMPUTED_VALUE"""),"SDATOOL-42573")</f>
        <v>SDATOOL-42573</v>
      </c>
      <c r="D132" s="4" t="str">
        <f ca="1">IFERROR(__xludf.DUMMYFUNCTION("""COMPUTED_VALUE"""),"CBS Efecty")</f>
        <v>CBS Efecty</v>
      </c>
      <c r="E132" s="4" t="str">
        <f ca="1">IFERROR(__xludf.DUMMYFUNCTION("""COMPUTED_VALUE"""),"Ampliar RED de CBS")</f>
        <v>Ampliar RED de CBS</v>
      </c>
      <c r="F132" s="4" t="str">
        <f ca="1">IFERROR(__xludf.DUMMYFUNCTION("""COMPUTED_VALUE"""),"Project")</f>
        <v>Project</v>
      </c>
      <c r="G132" s="4" t="str">
        <f ca="1">IFERROR(__xludf.DUMMYFUNCTION("""COMPUTED_VALUE"""),"Flow")</f>
        <v>Flow</v>
      </c>
      <c r="H132" s="4" t="str">
        <f ca="1">IFERROR(__xludf.DUMMYFUNCTION("""COMPUTED_VALUE"""),"2Q 2024")</f>
        <v>2Q 2024</v>
      </c>
      <c r="I132" s="131" t="str">
        <f ca="1">IFERROR(__xludf.DUMMYFUNCTION("""COMPUTED_VALUE"""),"jimy.catolico-bbva.com")</f>
        <v>jimy.catolico-bbva.com</v>
      </c>
      <c r="J132" s="131" t="str">
        <f ca="1">IFERROR(__xludf.DUMMYFUNCTION("""COMPUTED_VALUE"""),"erikajulieth.ruiz-bbva.com")</f>
        <v>erikajulieth.ruiz-bbva.com</v>
      </c>
      <c r="K132" s="131" t="str">
        <f ca="1">IFERROR(__xludf.DUMMYFUNCTION("""COMPUTED_VALUE"""),"juhan.lozano-bbva.com")</f>
        <v>juhan.lozano-bbva.com</v>
      </c>
      <c r="L132" s="4"/>
      <c r="M132" s="4"/>
      <c r="N132" s="4"/>
      <c r="O132" s="4" t="str">
        <f ca="1">IFERROR(__xludf.DUMMYFUNCTION("""COMPUTED_VALUE"""),"Waterfall")</f>
        <v>Waterfall</v>
      </c>
      <c r="P132" s="4" t="str">
        <f ca="1">IFERROR(__xludf.DUMMYFUNCTION("""COMPUTED_VALUE"""),"Tradicional")</f>
        <v>Tradicional</v>
      </c>
      <c r="Q132" s="4"/>
      <c r="R132" s="130" t="str">
        <f ca="1">IFERROR(__xludf.DUMMYFUNCTION("""COMPUTED_VALUE"""),"Business Innovation &amp; Strategy")</f>
        <v>Business Innovation &amp; Strategy</v>
      </c>
      <c r="S132" s="130" t="str">
        <f ca="1">IFERROR(__xludf.DUMMYFUNCTION("""COMPUTED_VALUE"""),"Otros")</f>
        <v>Otros</v>
      </c>
      <c r="T132" s="130" t="str">
        <f ca="1">IFERROR(__xludf.DUMMYFUNCTION("""COMPUTED_VALUE"""),"1. Generación de Ingresos")</f>
        <v>1. Generación de Ingresos</v>
      </c>
      <c r="U132" s="130" t="str">
        <f ca="1">IFERROR(__xludf.DUMMYFUNCTION("""COMPUTED_VALUE"""),"1.5. Otros de Proyectos de Ingresos")</f>
        <v>1.5. Otros de Proyectos de Ingresos</v>
      </c>
      <c r="V132" s="4" t="str">
        <f ca="1">IFERROR(__xludf.DUMMYFUNCTION("""COMPUTED_VALUE"""),"CBs")</f>
        <v>CBs</v>
      </c>
      <c r="W132" s="4">
        <f ca="1">IFERROR(__xludf.DUMMYFUNCTION("""COMPUTED_VALUE"""),2)</f>
        <v>2</v>
      </c>
      <c r="X132" s="4" t="str">
        <f ca="1">IFERROR(__xludf.DUMMYFUNCTION("""COMPUTED_VALUE"""),"04. Relationship Models")</f>
        <v>04. Relationship Models</v>
      </c>
      <c r="Y132" s="4" t="str">
        <f ca="1">IFERROR(__xludf.DUMMYFUNCTION("""COMPUTED_VALUE"""),"5.6.6 Non Global Project")</f>
        <v>5.6.6 Non Global Project</v>
      </c>
      <c r="Z132" s="132" t="str">
        <f ca="1">IFERROR(__xludf.DUMMYFUNCTION("""COMPUTED_VALUE"""),"773961")</f>
        <v>773961</v>
      </c>
      <c r="AA132" s="4" t="str">
        <f ca="1">IFERROR(__xludf.DUMMYFUNCTION("""COMPUTED_VALUE"""),"TXRetiro con OTP")</f>
        <v>TXRetiro con OTP</v>
      </c>
      <c r="AB132" s="4" t="str">
        <f ca="1">IFERROR(__xludf.DUMMYFUNCTION("""COMPUTED_VALUE"""),"MayorRed")</f>
        <v>MayorRed</v>
      </c>
      <c r="AC132" s="4" t="str">
        <f ca="1">IFERROR(__xludf.DUMMYFUNCTION("""COMPUTED_VALUE"""),"3Q 2023")</f>
        <v>3Q 2023</v>
      </c>
      <c r="AD132" s="4"/>
      <c r="AE132" s="4"/>
      <c r="AF132" s="4"/>
      <c r="AG132" s="4"/>
      <c r="AH132" s="4"/>
      <c r="AI132" s="4"/>
      <c r="AJ132" s="4"/>
      <c r="AK132" s="4" t="str">
        <f ca="1">IFERROR(__xludf.DUMMYFUNCTION("""COMPUTED_VALUE"""),"Sin asignar")</f>
        <v>Sin asignar</v>
      </c>
      <c r="AL132" s="4" t="str">
        <f ca="1">IFERROR(__xludf.DUMMYFUNCTION("""COMPUTED_VALUE"""),"Sin asignar")</f>
        <v>Sin asignar</v>
      </c>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row>
    <row r="133" spans="1:132" x14ac:dyDescent="0.2">
      <c r="A133" s="4">
        <f ca="1">IFERROR(__xludf.DUMMYFUNCTION("""COMPUTED_VALUE"""),133)</f>
        <v>133</v>
      </c>
      <c r="B133" s="4"/>
      <c r="C133" s="4" t="str">
        <f ca="1">IFERROR(__xludf.DUMMYFUNCTION("""COMPUTED_VALUE"""),"SDATOOL-42574")</f>
        <v>SDATOOL-42574</v>
      </c>
      <c r="D133" s="4" t="str">
        <f ca="1">IFERROR(__xludf.DUMMYFUNCTION("""COMPUTED_VALUE"""),"CBs Punto Red")</f>
        <v>CBs Punto Red</v>
      </c>
      <c r="E133" s="4" t="str">
        <f ca="1">IFERROR(__xludf.DUMMYFUNCTION("""COMPUTED_VALUE"""),"Ampliar Red")</f>
        <v>Ampliar Red</v>
      </c>
      <c r="F133" s="4" t="str">
        <f ca="1">IFERROR(__xludf.DUMMYFUNCTION("""COMPUTED_VALUE"""),"Project")</f>
        <v>Project</v>
      </c>
      <c r="G133" s="4" t="str">
        <f ca="1">IFERROR(__xludf.DUMMYFUNCTION("""COMPUTED_VALUE"""),"Flow")</f>
        <v>Flow</v>
      </c>
      <c r="H133" s="4" t="str">
        <f ca="1">IFERROR(__xludf.DUMMYFUNCTION("""COMPUTED_VALUE"""),"2Q 2024")</f>
        <v>2Q 2024</v>
      </c>
      <c r="I133" s="131" t="str">
        <f ca="1">IFERROR(__xludf.DUMMYFUNCTION("""COMPUTED_VALUE"""),"jimy.catolico-bbva.com")</f>
        <v>jimy.catolico-bbva.com</v>
      </c>
      <c r="J133" s="131" t="str">
        <f ca="1">IFERROR(__xludf.DUMMYFUNCTION("""COMPUTED_VALUE"""),"giulianaandrea.guarin-bbva.com")</f>
        <v>giulianaandrea.guarin-bbva.com</v>
      </c>
      <c r="K133" s="131" t="str">
        <f ca="1">IFERROR(__xludf.DUMMYFUNCTION("""COMPUTED_VALUE"""),"juhan.lozano-bbva.com")</f>
        <v>juhan.lozano-bbva.com</v>
      </c>
      <c r="L133" s="130">
        <f ca="1">IFERROR(__xludf.DUMMYFUNCTION("""COMPUTED_VALUE"""),0)</f>
        <v>0</v>
      </c>
      <c r="M133" s="130">
        <f ca="1">IFERROR(__xludf.DUMMYFUNCTION("""COMPUTED_VALUE"""),0)</f>
        <v>0</v>
      </c>
      <c r="N133" s="130">
        <f ca="1">IFERROR(__xludf.DUMMYFUNCTION("""COMPUTED_VALUE"""),0)</f>
        <v>0</v>
      </c>
      <c r="O133" s="4" t="str">
        <f ca="1">IFERROR(__xludf.DUMMYFUNCTION("""COMPUTED_VALUE"""),"Waterfall")</f>
        <v>Waterfall</v>
      </c>
      <c r="P133" s="4" t="str">
        <f ca="1">IFERROR(__xludf.DUMMYFUNCTION("""COMPUTED_VALUE"""),"Tradicional")</f>
        <v>Tradicional</v>
      </c>
      <c r="Q133" s="4"/>
      <c r="R133" s="130" t="str">
        <f ca="1">IFERROR(__xludf.DUMMYFUNCTION("""COMPUTED_VALUE"""),"Business Innovation &amp; Strategy")</f>
        <v>Business Innovation &amp; Strategy</v>
      </c>
      <c r="S133" s="130" t="str">
        <f ca="1">IFERROR(__xludf.DUMMYFUNCTION("""COMPUTED_VALUE"""),"Otros")</f>
        <v>Otros</v>
      </c>
      <c r="T133" s="130" t="str">
        <f ca="1">IFERROR(__xludf.DUMMYFUNCTION("""COMPUTED_VALUE"""),"1. Generación de Ingresos")</f>
        <v>1. Generación de Ingresos</v>
      </c>
      <c r="U133" s="130" t="str">
        <f ca="1">IFERROR(__xludf.DUMMYFUNCTION("""COMPUTED_VALUE"""),"1.5. Otros de Proyectos de Ingresos")</f>
        <v>1.5. Otros de Proyectos de Ingresos</v>
      </c>
      <c r="V133" s="4" t="str">
        <f ca="1">IFERROR(__xludf.DUMMYFUNCTION("""COMPUTED_VALUE"""),"CBs")</f>
        <v>CBs</v>
      </c>
      <c r="W133" s="4">
        <f ca="1">IFERROR(__xludf.DUMMYFUNCTION("""COMPUTED_VALUE"""),2)</f>
        <v>2</v>
      </c>
      <c r="X133" s="4" t="str">
        <f ca="1">IFERROR(__xludf.DUMMYFUNCTION("""COMPUTED_VALUE"""),"04. Relationship Models")</f>
        <v>04. Relationship Models</v>
      </c>
      <c r="Y133" s="4" t="str">
        <f ca="1">IFERROR(__xludf.DUMMYFUNCTION("""COMPUTED_VALUE"""),"5.6.6 Non Global Project")</f>
        <v>5.6.6 Non Global Project</v>
      </c>
      <c r="Z133" s="132" t="str">
        <f ca="1">IFERROR(__xludf.DUMMYFUNCTION("""COMPUTED_VALUE"""),"773967")</f>
        <v>773967</v>
      </c>
      <c r="AA133" s="4" t="str">
        <f ca="1">IFERROR(__xludf.DUMMYFUNCTION("""COMPUTED_VALUE"""),"TX Depósito")</f>
        <v>TX Depósito</v>
      </c>
      <c r="AB133" s="4" t="str">
        <f ca="1">IFERROR(__xludf.DUMMYFUNCTION("""COMPUTED_VALUE"""),"Mayor Red")</f>
        <v>Mayor Red</v>
      </c>
      <c r="AC133" s="4" t="str">
        <f ca="1">IFERROR(__xludf.DUMMYFUNCTION("""COMPUTED_VALUE"""),"4Q 2023")</f>
        <v>4Q 2023</v>
      </c>
      <c r="AD133" s="4"/>
      <c r="AE133" s="4"/>
      <c r="AF133" s="4"/>
      <c r="AG133" s="4"/>
      <c r="AH133" s="4"/>
      <c r="AI133" s="4"/>
      <c r="AJ133" s="4"/>
      <c r="AK133" s="4" t="str">
        <f ca="1">IFERROR(__xludf.DUMMYFUNCTION("""COMPUTED_VALUE"""),"Sin asignar")</f>
        <v>Sin asignar</v>
      </c>
      <c r="AL133" s="4" t="str">
        <f ca="1">IFERROR(__xludf.DUMMYFUNCTION("""COMPUTED_VALUE"""),"Sin asignar")</f>
        <v>Sin asignar</v>
      </c>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row>
    <row r="134" spans="1:132" x14ac:dyDescent="0.2">
      <c r="A134" s="4">
        <f ca="1">IFERROR(__xludf.DUMMYFUNCTION("""COMPUTED_VALUE"""),134)</f>
        <v>134</v>
      </c>
      <c r="B134" s="4"/>
      <c r="C134" s="4" t="str">
        <f ca="1">IFERROR(__xludf.DUMMYFUNCTION("""COMPUTED_VALUE"""),"SDATOOL-42574")</f>
        <v>SDATOOL-42574</v>
      </c>
      <c r="D134" s="4" t="str">
        <f ca="1">IFERROR(__xludf.DUMMYFUNCTION("""COMPUTED_VALUE"""),"CBs Punto Red")</f>
        <v>CBs Punto Red</v>
      </c>
      <c r="E134" s="4" t="str">
        <f ca="1">IFERROR(__xludf.DUMMYFUNCTION("""COMPUTED_VALUE"""),"Ampliar Red")</f>
        <v>Ampliar Red</v>
      </c>
      <c r="F134" s="4" t="str">
        <f ca="1">IFERROR(__xludf.DUMMYFUNCTION("""COMPUTED_VALUE"""),"Project")</f>
        <v>Project</v>
      </c>
      <c r="G134" s="4" t="str">
        <f ca="1">IFERROR(__xludf.DUMMYFUNCTION("""COMPUTED_VALUE"""),"Flow")</f>
        <v>Flow</v>
      </c>
      <c r="H134" s="4" t="str">
        <f ca="1">IFERROR(__xludf.DUMMYFUNCTION("""COMPUTED_VALUE"""),"2Q 2024")</f>
        <v>2Q 2024</v>
      </c>
      <c r="I134" s="131" t="str">
        <f ca="1">IFERROR(__xludf.DUMMYFUNCTION("""COMPUTED_VALUE"""),"jimy.catolico-bbva.com")</f>
        <v>jimy.catolico-bbva.com</v>
      </c>
      <c r="J134" s="131" t="str">
        <f ca="1">IFERROR(__xludf.DUMMYFUNCTION("""COMPUTED_VALUE"""),"giulianaandrea.guarin-bbva.com")</f>
        <v>giulianaandrea.guarin-bbva.com</v>
      </c>
      <c r="K134" s="131" t="str">
        <f ca="1">IFERROR(__xludf.DUMMYFUNCTION("""COMPUTED_VALUE"""),"juhan.lozano-bbva.com")</f>
        <v>juhan.lozano-bbva.com</v>
      </c>
      <c r="L134" s="4"/>
      <c r="M134" s="4"/>
      <c r="N134" s="4"/>
      <c r="O134" s="4" t="str">
        <f ca="1">IFERROR(__xludf.DUMMYFUNCTION("""COMPUTED_VALUE"""),"Waterfall")</f>
        <v>Waterfall</v>
      </c>
      <c r="P134" s="4" t="str">
        <f ca="1">IFERROR(__xludf.DUMMYFUNCTION("""COMPUTED_VALUE"""),"Tradicional")</f>
        <v>Tradicional</v>
      </c>
      <c r="Q134" s="4"/>
      <c r="R134" s="130" t="str">
        <f ca="1">IFERROR(__xludf.DUMMYFUNCTION("""COMPUTED_VALUE"""),"Business Innovation &amp; Strategy")</f>
        <v>Business Innovation &amp; Strategy</v>
      </c>
      <c r="S134" s="130" t="str">
        <f ca="1">IFERROR(__xludf.DUMMYFUNCTION("""COMPUTED_VALUE"""),"Otros")</f>
        <v>Otros</v>
      </c>
      <c r="T134" s="130" t="str">
        <f ca="1">IFERROR(__xludf.DUMMYFUNCTION("""COMPUTED_VALUE"""),"1. Generación de Ingresos")</f>
        <v>1. Generación de Ingresos</v>
      </c>
      <c r="U134" s="130" t="str">
        <f ca="1">IFERROR(__xludf.DUMMYFUNCTION("""COMPUTED_VALUE"""),"1.5. Otros de Proyectos de Ingresos")</f>
        <v>1.5. Otros de Proyectos de Ingresos</v>
      </c>
      <c r="V134" s="4" t="str">
        <f ca="1">IFERROR(__xludf.DUMMYFUNCTION("""COMPUTED_VALUE"""),"CBs")</f>
        <v>CBs</v>
      </c>
      <c r="W134" s="4">
        <f ca="1">IFERROR(__xludf.DUMMYFUNCTION("""COMPUTED_VALUE"""),2)</f>
        <v>2</v>
      </c>
      <c r="X134" s="4" t="str">
        <f ca="1">IFERROR(__xludf.DUMMYFUNCTION("""COMPUTED_VALUE"""),"04. Relationship Models")</f>
        <v>04. Relationship Models</v>
      </c>
      <c r="Y134" s="4" t="str">
        <f ca="1">IFERROR(__xludf.DUMMYFUNCTION("""COMPUTED_VALUE"""),"5.6.6 Non Global Project")</f>
        <v>5.6.6 Non Global Project</v>
      </c>
      <c r="Z134" s="132" t="str">
        <f ca="1">IFERROR(__xludf.DUMMYFUNCTION("""COMPUTED_VALUE"""),"773968")</f>
        <v>773968</v>
      </c>
      <c r="AA134" s="4" t="str">
        <f ca="1">IFERROR(__xludf.DUMMYFUNCTION("""COMPUTED_VALUE"""),"TX pago de préstamos")</f>
        <v>TX pago de préstamos</v>
      </c>
      <c r="AB134" s="4" t="str">
        <f ca="1">IFERROR(__xludf.DUMMYFUNCTION("""COMPUTED_VALUE"""),"Mayor Red")</f>
        <v>Mayor Red</v>
      </c>
      <c r="AC134" s="4" t="str">
        <f ca="1">IFERROR(__xludf.DUMMYFUNCTION("""COMPUTED_VALUE"""),"4Q 2023")</f>
        <v>4Q 2023</v>
      </c>
      <c r="AD134" s="4"/>
      <c r="AE134" s="4"/>
      <c r="AF134" s="4"/>
      <c r="AG134" s="4"/>
      <c r="AH134" s="4"/>
      <c r="AI134" s="4"/>
      <c r="AJ134" s="4"/>
      <c r="AK134" s="4" t="str">
        <f ca="1">IFERROR(__xludf.DUMMYFUNCTION("""COMPUTED_VALUE"""),"Sin asignar")</f>
        <v>Sin asignar</v>
      </c>
      <c r="AL134" s="4" t="str">
        <f ca="1">IFERROR(__xludf.DUMMYFUNCTION("""COMPUTED_VALUE"""),"Sin asignar")</f>
        <v>Sin asignar</v>
      </c>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row>
    <row r="135" spans="1:132" x14ac:dyDescent="0.2">
      <c r="A135" s="4">
        <f ca="1">IFERROR(__xludf.DUMMYFUNCTION("""COMPUTED_VALUE"""),135)</f>
        <v>135</v>
      </c>
      <c r="B135" s="4"/>
      <c r="C135" s="4" t="str">
        <f ca="1">IFERROR(__xludf.DUMMYFUNCTION("""COMPUTED_VALUE"""),"SDATOOL-42574")</f>
        <v>SDATOOL-42574</v>
      </c>
      <c r="D135" s="4" t="str">
        <f ca="1">IFERROR(__xludf.DUMMYFUNCTION("""COMPUTED_VALUE"""),"CBs Punto Red")</f>
        <v>CBs Punto Red</v>
      </c>
      <c r="E135" s="4" t="str">
        <f ca="1">IFERROR(__xludf.DUMMYFUNCTION("""COMPUTED_VALUE"""),"Ampliar Red")</f>
        <v>Ampliar Red</v>
      </c>
      <c r="F135" s="4" t="str">
        <f ca="1">IFERROR(__xludf.DUMMYFUNCTION("""COMPUTED_VALUE"""),"Project")</f>
        <v>Project</v>
      </c>
      <c r="G135" s="4" t="str">
        <f ca="1">IFERROR(__xludf.DUMMYFUNCTION("""COMPUTED_VALUE"""),"Flow")</f>
        <v>Flow</v>
      </c>
      <c r="H135" s="4" t="str">
        <f ca="1">IFERROR(__xludf.DUMMYFUNCTION("""COMPUTED_VALUE"""),"2Q 2024")</f>
        <v>2Q 2024</v>
      </c>
      <c r="I135" s="131" t="str">
        <f ca="1">IFERROR(__xludf.DUMMYFUNCTION("""COMPUTED_VALUE"""),"jimy.catolico-bbva.com")</f>
        <v>jimy.catolico-bbva.com</v>
      </c>
      <c r="J135" s="131" t="str">
        <f ca="1">IFERROR(__xludf.DUMMYFUNCTION("""COMPUTED_VALUE"""),"giulianaandrea.guarin-bbva.com")</f>
        <v>giulianaandrea.guarin-bbva.com</v>
      </c>
      <c r="K135" s="131" t="str">
        <f ca="1">IFERROR(__xludf.DUMMYFUNCTION("""COMPUTED_VALUE"""),"juhan.lozano-bbva.com")</f>
        <v>juhan.lozano-bbva.com</v>
      </c>
      <c r="L135" s="4"/>
      <c r="M135" s="4"/>
      <c r="N135" s="4"/>
      <c r="O135" s="4" t="str">
        <f ca="1">IFERROR(__xludf.DUMMYFUNCTION("""COMPUTED_VALUE"""),"Waterfall")</f>
        <v>Waterfall</v>
      </c>
      <c r="P135" s="4" t="str">
        <f ca="1">IFERROR(__xludf.DUMMYFUNCTION("""COMPUTED_VALUE"""),"Tradicional")</f>
        <v>Tradicional</v>
      </c>
      <c r="Q135" s="4"/>
      <c r="R135" s="130" t="str">
        <f ca="1">IFERROR(__xludf.DUMMYFUNCTION("""COMPUTED_VALUE"""),"Business Innovation &amp; Strategy")</f>
        <v>Business Innovation &amp; Strategy</v>
      </c>
      <c r="S135" s="130" t="str">
        <f ca="1">IFERROR(__xludf.DUMMYFUNCTION("""COMPUTED_VALUE"""),"Otros")</f>
        <v>Otros</v>
      </c>
      <c r="T135" s="130" t="str">
        <f ca="1">IFERROR(__xludf.DUMMYFUNCTION("""COMPUTED_VALUE"""),"1. Generación de Ingresos")</f>
        <v>1. Generación de Ingresos</v>
      </c>
      <c r="U135" s="130" t="str">
        <f ca="1">IFERROR(__xludf.DUMMYFUNCTION("""COMPUTED_VALUE"""),"1.5. Otros de Proyectos de Ingresos")</f>
        <v>1.5. Otros de Proyectos de Ingresos</v>
      </c>
      <c r="V135" s="4" t="str">
        <f ca="1">IFERROR(__xludf.DUMMYFUNCTION("""COMPUTED_VALUE"""),"CBs")</f>
        <v>CBs</v>
      </c>
      <c r="W135" s="4">
        <f ca="1">IFERROR(__xludf.DUMMYFUNCTION("""COMPUTED_VALUE"""),2)</f>
        <v>2</v>
      </c>
      <c r="X135" s="4" t="str">
        <f ca="1">IFERROR(__xludf.DUMMYFUNCTION("""COMPUTED_VALUE"""),"04. Relationship Models")</f>
        <v>04. Relationship Models</v>
      </c>
      <c r="Y135" s="4" t="str">
        <f ca="1">IFERROR(__xludf.DUMMYFUNCTION("""COMPUTED_VALUE"""),"5.6.6 Non Global Project")</f>
        <v>5.6.6 Non Global Project</v>
      </c>
      <c r="Z135" s="132" t="str">
        <f ca="1">IFERROR(__xludf.DUMMYFUNCTION("""COMPUTED_VALUE"""),"773969")</f>
        <v>773969</v>
      </c>
      <c r="AA135" s="4" t="str">
        <f ca="1">IFERROR(__xludf.DUMMYFUNCTION("""COMPUTED_VALUE"""),"Tx pago de Tarjeta de cédito")</f>
        <v>Tx pago de Tarjeta de cédito</v>
      </c>
      <c r="AB135" s="4" t="str">
        <f ca="1">IFERROR(__xludf.DUMMYFUNCTION("""COMPUTED_VALUE"""),"Mayor Red")</f>
        <v>Mayor Red</v>
      </c>
      <c r="AC135" s="4" t="str">
        <f ca="1">IFERROR(__xludf.DUMMYFUNCTION("""COMPUTED_VALUE"""),"4Q 2023")</f>
        <v>4Q 2023</v>
      </c>
      <c r="AD135" s="4"/>
      <c r="AE135" s="4"/>
      <c r="AF135" s="4"/>
      <c r="AG135" s="4"/>
      <c r="AH135" s="4"/>
      <c r="AI135" s="4"/>
      <c r="AJ135" s="4"/>
      <c r="AK135" s="4" t="str">
        <f ca="1">IFERROR(__xludf.DUMMYFUNCTION("""COMPUTED_VALUE"""),"Sin asignar")</f>
        <v>Sin asignar</v>
      </c>
      <c r="AL135" s="4" t="str">
        <f ca="1">IFERROR(__xludf.DUMMYFUNCTION("""COMPUTED_VALUE"""),"Sin asignar")</f>
        <v>Sin asignar</v>
      </c>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row>
    <row r="136" spans="1:132" x14ac:dyDescent="0.2">
      <c r="A136" s="4">
        <f ca="1">IFERROR(__xludf.DUMMYFUNCTION("""COMPUTED_VALUE"""),136)</f>
        <v>136</v>
      </c>
      <c r="B136" s="4"/>
      <c r="C136" s="4" t="str">
        <f ca="1">IFERROR(__xludf.DUMMYFUNCTION("""COMPUTED_VALUE"""),"SDATOOL-42574")</f>
        <v>SDATOOL-42574</v>
      </c>
      <c r="D136" s="4" t="str">
        <f ca="1">IFERROR(__xludf.DUMMYFUNCTION("""COMPUTED_VALUE"""),"CBs Punto Red")</f>
        <v>CBs Punto Red</v>
      </c>
      <c r="E136" s="4" t="str">
        <f ca="1">IFERROR(__xludf.DUMMYFUNCTION("""COMPUTED_VALUE"""),"Ampliar Red")</f>
        <v>Ampliar Red</v>
      </c>
      <c r="F136" s="4" t="str">
        <f ca="1">IFERROR(__xludf.DUMMYFUNCTION("""COMPUTED_VALUE"""),"Project")</f>
        <v>Project</v>
      </c>
      <c r="G136" s="4" t="str">
        <f ca="1">IFERROR(__xludf.DUMMYFUNCTION("""COMPUTED_VALUE"""),"Flow")</f>
        <v>Flow</v>
      </c>
      <c r="H136" s="4" t="str">
        <f ca="1">IFERROR(__xludf.DUMMYFUNCTION("""COMPUTED_VALUE"""),"2Q 2024")</f>
        <v>2Q 2024</v>
      </c>
      <c r="I136" s="131" t="str">
        <f ca="1">IFERROR(__xludf.DUMMYFUNCTION("""COMPUTED_VALUE"""),"jimy.catolico-bbva.com")</f>
        <v>jimy.catolico-bbva.com</v>
      </c>
      <c r="J136" s="131" t="str">
        <f ca="1">IFERROR(__xludf.DUMMYFUNCTION("""COMPUTED_VALUE"""),"giulianaandrea.guarin-bbva.com")</f>
        <v>giulianaandrea.guarin-bbva.com</v>
      </c>
      <c r="K136" s="131" t="str">
        <f ca="1">IFERROR(__xludf.DUMMYFUNCTION("""COMPUTED_VALUE"""),"juhan.lozano-bbva.com")</f>
        <v>juhan.lozano-bbva.com</v>
      </c>
      <c r="L136" s="4"/>
      <c r="M136" s="4"/>
      <c r="N136" s="4"/>
      <c r="O136" s="4" t="str">
        <f ca="1">IFERROR(__xludf.DUMMYFUNCTION("""COMPUTED_VALUE"""),"Waterfall")</f>
        <v>Waterfall</v>
      </c>
      <c r="P136" s="4" t="str">
        <f ca="1">IFERROR(__xludf.DUMMYFUNCTION("""COMPUTED_VALUE"""),"Tradicional")</f>
        <v>Tradicional</v>
      </c>
      <c r="Q136" s="4"/>
      <c r="R136" s="130" t="str">
        <f ca="1">IFERROR(__xludf.DUMMYFUNCTION("""COMPUTED_VALUE"""),"Business Innovation &amp; Strategy")</f>
        <v>Business Innovation &amp; Strategy</v>
      </c>
      <c r="S136" s="130" t="str">
        <f ca="1">IFERROR(__xludf.DUMMYFUNCTION("""COMPUTED_VALUE"""),"Otros")</f>
        <v>Otros</v>
      </c>
      <c r="T136" s="130" t="str">
        <f ca="1">IFERROR(__xludf.DUMMYFUNCTION("""COMPUTED_VALUE"""),"1. Generación de Ingresos")</f>
        <v>1. Generación de Ingresos</v>
      </c>
      <c r="U136" s="130" t="str">
        <f ca="1">IFERROR(__xludf.DUMMYFUNCTION("""COMPUTED_VALUE"""),"1.5. Otros de Proyectos de Ingresos")</f>
        <v>1.5. Otros de Proyectos de Ingresos</v>
      </c>
      <c r="V136" s="4" t="str">
        <f ca="1">IFERROR(__xludf.DUMMYFUNCTION("""COMPUTED_VALUE"""),"CBs")</f>
        <v>CBs</v>
      </c>
      <c r="W136" s="4">
        <f ca="1">IFERROR(__xludf.DUMMYFUNCTION("""COMPUTED_VALUE"""),2)</f>
        <v>2</v>
      </c>
      <c r="X136" s="4" t="str">
        <f ca="1">IFERROR(__xludf.DUMMYFUNCTION("""COMPUTED_VALUE"""),"04. Relationship Models")</f>
        <v>04. Relationship Models</v>
      </c>
      <c r="Y136" s="4" t="str">
        <f ca="1">IFERROR(__xludf.DUMMYFUNCTION("""COMPUTED_VALUE"""),"5.6.6 Non Global Project")</f>
        <v>5.6.6 Non Global Project</v>
      </c>
      <c r="Z136" s="132" t="str">
        <f ca="1">IFERROR(__xludf.DUMMYFUNCTION("""COMPUTED_VALUE"""),"773965")</f>
        <v>773965</v>
      </c>
      <c r="AA136" s="4" t="str">
        <f ca="1">IFERROR(__xludf.DUMMYFUNCTION("""COMPUTED_VALUE"""),"TX Recaudo")</f>
        <v>TX Recaudo</v>
      </c>
      <c r="AB136" s="4" t="str">
        <f ca="1">IFERROR(__xludf.DUMMYFUNCTION("""COMPUTED_VALUE"""),"Mayor Red")</f>
        <v>Mayor Red</v>
      </c>
      <c r="AC136" s="4" t="str">
        <f ca="1">IFERROR(__xludf.DUMMYFUNCTION("""COMPUTED_VALUE"""),"3Q 2023")</f>
        <v>3Q 2023</v>
      </c>
      <c r="AD136" s="4"/>
      <c r="AE136" s="4"/>
      <c r="AF136" s="4"/>
      <c r="AG136" s="4"/>
      <c r="AH136" s="4"/>
      <c r="AI136" s="4"/>
      <c r="AJ136" s="4"/>
      <c r="AK136" s="4" t="str">
        <f ca="1">IFERROR(__xludf.DUMMYFUNCTION("""COMPUTED_VALUE"""),"Sin asignar")</f>
        <v>Sin asignar</v>
      </c>
      <c r="AL136" s="4" t="str">
        <f ca="1">IFERROR(__xludf.DUMMYFUNCTION("""COMPUTED_VALUE"""),"Sin asignar")</f>
        <v>Sin asignar</v>
      </c>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row>
    <row r="137" spans="1:132" x14ac:dyDescent="0.2">
      <c r="A137" s="4">
        <f ca="1">IFERROR(__xludf.DUMMYFUNCTION("""COMPUTED_VALUE"""),137)</f>
        <v>137</v>
      </c>
      <c r="B137" s="4"/>
      <c r="C137" s="4" t="str">
        <f ca="1">IFERROR(__xludf.DUMMYFUNCTION("""COMPUTED_VALUE"""),"SDATOOL-42574")</f>
        <v>SDATOOL-42574</v>
      </c>
      <c r="D137" s="4" t="str">
        <f ca="1">IFERROR(__xludf.DUMMYFUNCTION("""COMPUTED_VALUE"""),"CBs Punto Red")</f>
        <v>CBs Punto Red</v>
      </c>
      <c r="E137" s="4" t="str">
        <f ca="1">IFERROR(__xludf.DUMMYFUNCTION("""COMPUTED_VALUE"""),"Ampliar Red")</f>
        <v>Ampliar Red</v>
      </c>
      <c r="F137" s="4" t="str">
        <f ca="1">IFERROR(__xludf.DUMMYFUNCTION("""COMPUTED_VALUE"""),"Project")</f>
        <v>Project</v>
      </c>
      <c r="G137" s="4" t="str">
        <f ca="1">IFERROR(__xludf.DUMMYFUNCTION("""COMPUTED_VALUE"""),"Flow")</f>
        <v>Flow</v>
      </c>
      <c r="H137" s="4" t="str">
        <f ca="1">IFERROR(__xludf.DUMMYFUNCTION("""COMPUTED_VALUE"""),"2Q 2024")</f>
        <v>2Q 2024</v>
      </c>
      <c r="I137" s="131" t="str">
        <f ca="1">IFERROR(__xludf.DUMMYFUNCTION("""COMPUTED_VALUE"""),"jimy.catolico-bbva.com")</f>
        <v>jimy.catolico-bbva.com</v>
      </c>
      <c r="J137" s="131" t="str">
        <f ca="1">IFERROR(__xludf.DUMMYFUNCTION("""COMPUTED_VALUE"""),"giulianaandrea.guarin-bbva.com")</f>
        <v>giulianaandrea.guarin-bbva.com</v>
      </c>
      <c r="K137" s="131" t="str">
        <f ca="1">IFERROR(__xludf.DUMMYFUNCTION("""COMPUTED_VALUE"""),"juhan.lozano-bbva.com")</f>
        <v>juhan.lozano-bbva.com</v>
      </c>
      <c r="L137" s="4"/>
      <c r="M137" s="4"/>
      <c r="N137" s="4"/>
      <c r="O137" s="4" t="str">
        <f ca="1">IFERROR(__xludf.DUMMYFUNCTION("""COMPUTED_VALUE"""),"Waterfall")</f>
        <v>Waterfall</v>
      </c>
      <c r="P137" s="4" t="str">
        <f ca="1">IFERROR(__xludf.DUMMYFUNCTION("""COMPUTED_VALUE"""),"Tradicional")</f>
        <v>Tradicional</v>
      </c>
      <c r="Q137" s="4"/>
      <c r="R137" s="130" t="str">
        <f ca="1">IFERROR(__xludf.DUMMYFUNCTION("""COMPUTED_VALUE"""),"Business Innovation &amp; Strategy")</f>
        <v>Business Innovation &amp; Strategy</v>
      </c>
      <c r="S137" s="130" t="str">
        <f ca="1">IFERROR(__xludf.DUMMYFUNCTION("""COMPUTED_VALUE"""),"Otros")</f>
        <v>Otros</v>
      </c>
      <c r="T137" s="130" t="str">
        <f ca="1">IFERROR(__xludf.DUMMYFUNCTION("""COMPUTED_VALUE"""),"1. Generación de Ingresos")</f>
        <v>1. Generación de Ingresos</v>
      </c>
      <c r="U137" s="130" t="str">
        <f ca="1">IFERROR(__xludf.DUMMYFUNCTION("""COMPUTED_VALUE"""),"1.5. Otros de Proyectos de Ingresos")</f>
        <v>1.5. Otros de Proyectos de Ingresos</v>
      </c>
      <c r="V137" s="4" t="str">
        <f ca="1">IFERROR(__xludf.DUMMYFUNCTION("""COMPUTED_VALUE"""),"CBs")</f>
        <v>CBs</v>
      </c>
      <c r="W137" s="4">
        <f ca="1">IFERROR(__xludf.DUMMYFUNCTION("""COMPUTED_VALUE"""),2)</f>
        <v>2</v>
      </c>
      <c r="X137" s="4" t="str">
        <f ca="1">IFERROR(__xludf.DUMMYFUNCTION("""COMPUTED_VALUE"""),"04. Relationship Models")</f>
        <v>04. Relationship Models</v>
      </c>
      <c r="Y137" s="4" t="str">
        <f ca="1">IFERROR(__xludf.DUMMYFUNCTION("""COMPUTED_VALUE"""),"5.6.6 Non Global Project")</f>
        <v>5.6.6 Non Global Project</v>
      </c>
      <c r="Z137" s="132" t="str">
        <f ca="1">IFERROR(__xludf.DUMMYFUNCTION("""COMPUTED_VALUE"""),"773966")</f>
        <v>773966</v>
      </c>
      <c r="AA137" s="4" t="str">
        <f ca="1">IFERROR(__xludf.DUMMYFUNCTION("""COMPUTED_VALUE"""),"TX Retiro con OTP")</f>
        <v>TX Retiro con OTP</v>
      </c>
      <c r="AB137" s="4" t="str">
        <f ca="1">IFERROR(__xludf.DUMMYFUNCTION("""COMPUTED_VALUE"""),"MAyor Red")</f>
        <v>MAyor Red</v>
      </c>
      <c r="AC137" s="4" t="str">
        <f ca="1">IFERROR(__xludf.DUMMYFUNCTION("""COMPUTED_VALUE"""),"3Q 2023")</f>
        <v>3Q 2023</v>
      </c>
      <c r="AD137" s="4"/>
      <c r="AE137" s="4"/>
      <c r="AF137" s="4"/>
      <c r="AG137" s="4"/>
      <c r="AH137" s="4"/>
      <c r="AI137" s="4"/>
      <c r="AJ137" s="4"/>
      <c r="AK137" s="4" t="str">
        <f ca="1">IFERROR(__xludf.DUMMYFUNCTION("""COMPUTED_VALUE"""),"Sin asignar")</f>
        <v>Sin asignar</v>
      </c>
      <c r="AL137" s="4" t="str">
        <f ca="1">IFERROR(__xludf.DUMMYFUNCTION("""COMPUTED_VALUE"""),"Sin asignar")</f>
        <v>Sin asignar</v>
      </c>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row>
    <row r="138" spans="1:132" x14ac:dyDescent="0.2">
      <c r="A138" s="4">
        <f ca="1">IFERROR(__xludf.DUMMYFUNCTION("""COMPUTED_VALUE"""),138)</f>
        <v>138</v>
      </c>
      <c r="B138" s="4"/>
      <c r="C138" s="4" t="str">
        <f ca="1">IFERROR(__xludf.DUMMYFUNCTION("""COMPUTED_VALUE"""),"SDATOOL-42590")</f>
        <v>SDATOOL-42590</v>
      </c>
      <c r="D138" s="4" t="str">
        <f ca="1">IFERROR(__xludf.DUMMYFUNCTION("""COMPUTED_VALUE"""),"Modulo de autenticación canales asistidos")</f>
        <v>Modulo de autenticación canales asistidos</v>
      </c>
      <c r="E138"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38" s="4" t="str">
        <f ca="1">IFERROR(__xludf.DUMMYFUNCTION("""COMPUTED_VALUE"""),"Project")</f>
        <v>Project</v>
      </c>
      <c r="G138" s="4" t="str">
        <f ca="1">IFERROR(__xludf.DUMMYFUNCTION("""COMPUTED_VALUE"""),"Flow")</f>
        <v>Flow</v>
      </c>
      <c r="H138" s="4" t="str">
        <f ca="1">IFERROR(__xludf.DUMMYFUNCTION("""COMPUTED_VALUE"""),"2Q 2024")</f>
        <v>2Q 2024</v>
      </c>
      <c r="I138" s="131" t="str">
        <f ca="1">IFERROR(__xludf.DUMMYFUNCTION("""COMPUTED_VALUE"""),"jimy.catolico-bbva.com")</f>
        <v>jimy.catolico-bbva.com</v>
      </c>
      <c r="J138" s="131" t="str">
        <f ca="1">IFERROR(__xludf.DUMMYFUNCTION("""COMPUTED_VALUE"""),"giulianaandrea.guarin-bbva.com")</f>
        <v>giulianaandrea.guarin-bbva.com</v>
      </c>
      <c r="K138" s="131" t="str">
        <f ca="1">IFERROR(__xludf.DUMMYFUNCTION("""COMPUTED_VALUE"""),"monica.zamudio-bbva.com")</f>
        <v>monica.zamudio-bbva.com</v>
      </c>
      <c r="L138" s="4"/>
      <c r="M138" s="4"/>
      <c r="N138" s="4"/>
      <c r="O138" s="4" t="str">
        <f ca="1">IFERROR(__xludf.DUMMYFUNCTION("""COMPUTED_VALUE"""),"Waterfall")</f>
        <v>Waterfall</v>
      </c>
      <c r="P138" s="4" t="str">
        <f ca="1">IFERROR(__xludf.DUMMYFUNCTION("""COMPUTED_VALUE"""),"Tradicional")</f>
        <v>Tradicional</v>
      </c>
      <c r="Q138" s="4"/>
      <c r="R138" s="130" t="str">
        <f ca="1">IFERROR(__xludf.DUMMYFUNCTION("""COMPUTED_VALUE"""),"Retail Execution")</f>
        <v>Retail Execution</v>
      </c>
      <c r="S138" s="4"/>
      <c r="T138" s="130" t="str">
        <f ca="1">IFERROR(__xludf.DUMMYFUNCTION("""COMPUTED_VALUE"""),"1. Generación de Ingresos")</f>
        <v>1. Generación de Ingresos</v>
      </c>
      <c r="U138" s="130" t="str">
        <f ca="1">IFERROR(__xludf.DUMMYFUNCTION("""COMPUTED_VALUE"""),"1.5. Otros de Proyectos de Ingresos")</f>
        <v>1.5. Otros de Proyectos de Ingresos</v>
      </c>
      <c r="V138" s="4" t="str">
        <f ca="1">IFERROR(__xludf.DUMMYFUNCTION("""COMPUTED_VALUE"""),"TX")</f>
        <v>TX</v>
      </c>
      <c r="W138" s="4">
        <f ca="1">IFERROR(__xludf.DUMMYFUNCTION("""COMPUTED_VALUE"""),2)</f>
        <v>2</v>
      </c>
      <c r="X138" s="4" t="str">
        <f ca="1">IFERROR(__xludf.DUMMYFUNCTION("""COMPUTED_VALUE"""),"10. Otros")</f>
        <v>10. Otros</v>
      </c>
      <c r="Y138" s="4" t="str">
        <f ca="1">IFERROR(__xludf.DUMMYFUNCTION("""COMPUTED_VALUE"""),"Otros")</f>
        <v>Otros</v>
      </c>
      <c r="Z138" s="132" t="str">
        <f ca="1">IFERROR(__xludf.DUMMYFUNCTION("""COMPUTED_VALUE"""),"774041")</f>
        <v>774041</v>
      </c>
      <c r="AA138" s="4" t="str">
        <f ca="1">IFERROR(__xludf.DUMMYFUNCTION("""COMPUTED_VALUE"""),"APP de veridas la CSF y RED")</f>
        <v>APP de veridas la CSF y RED</v>
      </c>
      <c r="AB138" s="4" t="str">
        <f ca="1">IFERROR(__xludf.DUMMYFUNCTION("""COMPUTED_VALUE"""),"Generar un modelo de autenticación para la fuerza de venta apalancados en única consulta que tenga almacenados los datos de los siguientes métodos para cliente y no cliente basados en el modelo de venta presencial y asistido.")</f>
        <v>Generar un modelo de autenticación para la fuerza de venta apalancados en única consulta que tenga almacenados los datos de los siguientes métodos para cliente y no cliente basados en el modelo de venta presencial y asistido.</v>
      </c>
      <c r="AC138" s="4" t="str">
        <f ca="1">IFERROR(__xludf.DUMMYFUNCTION("""COMPUTED_VALUE"""),"4Q 2023")</f>
        <v>4Q 2023</v>
      </c>
      <c r="AD138" s="4"/>
      <c r="AE138" s="4"/>
      <c r="AF138" s="4"/>
      <c r="AG138" s="4"/>
      <c r="AH138" s="4"/>
      <c r="AI138" s="4"/>
      <c r="AJ138" s="4"/>
      <c r="AK138" s="4" t="str">
        <f ca="1">IFERROR(__xludf.DUMMYFUNCTION("""COMPUTED_VALUE"""),"Sin asignar")</f>
        <v>Sin asignar</v>
      </c>
      <c r="AL138" s="4" t="str">
        <f ca="1">IFERROR(__xludf.DUMMYFUNCTION("""COMPUTED_VALUE"""),"Sin asignar")</f>
        <v>Sin asignar</v>
      </c>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row>
    <row r="139" spans="1:132" x14ac:dyDescent="0.2">
      <c r="A139" s="4">
        <f ca="1">IFERROR(__xludf.DUMMYFUNCTION("""COMPUTED_VALUE"""),139)</f>
        <v>139</v>
      </c>
      <c r="B139" s="4"/>
      <c r="C139" s="4" t="str">
        <f ca="1">IFERROR(__xludf.DUMMYFUNCTION("""COMPUTED_VALUE"""),"SDATOOL-42590")</f>
        <v>SDATOOL-42590</v>
      </c>
      <c r="D139" s="4" t="str">
        <f ca="1">IFERROR(__xludf.DUMMYFUNCTION("""COMPUTED_VALUE"""),"Modulo de autenticación canales asistidos")</f>
        <v>Modulo de autenticación canales asistidos</v>
      </c>
      <c r="E139"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39" s="4" t="str">
        <f ca="1">IFERROR(__xludf.DUMMYFUNCTION("""COMPUTED_VALUE"""),"Project")</f>
        <v>Project</v>
      </c>
      <c r="G139" s="4" t="str">
        <f ca="1">IFERROR(__xludf.DUMMYFUNCTION("""COMPUTED_VALUE"""),"Flow")</f>
        <v>Flow</v>
      </c>
      <c r="H139" s="4" t="str">
        <f ca="1">IFERROR(__xludf.DUMMYFUNCTION("""COMPUTED_VALUE"""),"2Q 2024")</f>
        <v>2Q 2024</v>
      </c>
      <c r="I139" s="131" t="str">
        <f ca="1">IFERROR(__xludf.DUMMYFUNCTION("""COMPUTED_VALUE"""),"jimy.catolico-bbva.com")</f>
        <v>jimy.catolico-bbva.com</v>
      </c>
      <c r="J139" s="131" t="str">
        <f ca="1">IFERROR(__xludf.DUMMYFUNCTION("""COMPUTED_VALUE"""),"giulianaandrea.guarin-bbva.com")</f>
        <v>giulianaandrea.guarin-bbva.com</v>
      </c>
      <c r="K139" s="131" t="str">
        <f ca="1">IFERROR(__xludf.DUMMYFUNCTION("""COMPUTED_VALUE"""),"monica.zamudio-bbva.com")</f>
        <v>monica.zamudio-bbva.com</v>
      </c>
      <c r="L139" s="4"/>
      <c r="M139" s="4"/>
      <c r="N139" s="4"/>
      <c r="O139" s="4" t="str">
        <f ca="1">IFERROR(__xludf.DUMMYFUNCTION("""COMPUTED_VALUE"""),"Waterfall")</f>
        <v>Waterfall</v>
      </c>
      <c r="P139" s="4" t="str">
        <f ca="1">IFERROR(__xludf.DUMMYFUNCTION("""COMPUTED_VALUE"""),"Tradicional")</f>
        <v>Tradicional</v>
      </c>
      <c r="Q139" s="4"/>
      <c r="R139" s="130" t="str">
        <f ca="1">IFERROR(__xludf.DUMMYFUNCTION("""COMPUTED_VALUE"""),"Retail Execution")</f>
        <v>Retail Execution</v>
      </c>
      <c r="S139" s="4"/>
      <c r="T139" s="130" t="str">
        <f ca="1">IFERROR(__xludf.DUMMYFUNCTION("""COMPUTED_VALUE"""),"1. Generación de Ingresos")</f>
        <v>1. Generación de Ingresos</v>
      </c>
      <c r="U139" s="130" t="str">
        <f ca="1">IFERROR(__xludf.DUMMYFUNCTION("""COMPUTED_VALUE"""),"1.5. Otros de Proyectos de Ingresos")</f>
        <v>1.5. Otros de Proyectos de Ingresos</v>
      </c>
      <c r="V139" s="4" t="str">
        <f ca="1">IFERROR(__xludf.DUMMYFUNCTION("""COMPUTED_VALUE"""),"TX")</f>
        <v>TX</v>
      </c>
      <c r="W139" s="4">
        <f ca="1">IFERROR(__xludf.DUMMYFUNCTION("""COMPUTED_VALUE"""),2)</f>
        <v>2</v>
      </c>
      <c r="X139" s="4" t="str">
        <f ca="1">IFERROR(__xludf.DUMMYFUNCTION("""COMPUTED_VALUE"""),"10. Otros")</f>
        <v>10. Otros</v>
      </c>
      <c r="Y139" s="4" t="str">
        <f ca="1">IFERROR(__xludf.DUMMYFUNCTION("""COMPUTED_VALUE"""),"Otros")</f>
        <v>Otros</v>
      </c>
      <c r="Z139" s="132" t="str">
        <f ca="1">IFERROR(__xludf.DUMMYFUNCTION("""COMPUTED_VALUE"""),"774044")</f>
        <v>774044</v>
      </c>
      <c r="AA139" s="4" t="str">
        <f ca="1">IFERROR(__xludf.DUMMYFUNCTION("""COMPUTED_VALUE"""),"Biometría dactilar en Nácar para procesos de contratación en CAP")</f>
        <v>Biometría dactilar en Nácar para procesos de contratación en CAP</v>
      </c>
      <c r="AB139" s="4" t="str">
        <f ca="1">IFERROR(__xludf.DUMMYFUNCTION("""COMPUTED_VALUE"""),"Acceso independiente para autenticar al cliente")</f>
        <v>Acceso independiente para autenticar al cliente</v>
      </c>
      <c r="AC139" s="4" t="str">
        <f ca="1">IFERROR(__xludf.DUMMYFUNCTION("""COMPUTED_VALUE"""),"2Q 2024")</f>
        <v>2Q 2024</v>
      </c>
      <c r="AD139" s="4"/>
      <c r="AE139" s="4"/>
      <c r="AF139" s="4"/>
      <c r="AG139" s="4"/>
      <c r="AH139" s="4"/>
      <c r="AI139" s="4"/>
      <c r="AJ139" s="4"/>
      <c r="AK139" s="4" t="str">
        <f ca="1">IFERROR(__xludf.DUMMYFUNCTION("""COMPUTED_VALUE"""),"Sin asignar")</f>
        <v>Sin asignar</v>
      </c>
      <c r="AL139" s="4" t="str">
        <f ca="1">IFERROR(__xludf.DUMMYFUNCTION("""COMPUTED_VALUE"""),"Sin asignar")</f>
        <v>Sin asignar</v>
      </c>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row>
    <row r="140" spans="1:132" x14ac:dyDescent="0.2">
      <c r="A140" s="4">
        <f ca="1">IFERROR(__xludf.DUMMYFUNCTION("""COMPUTED_VALUE"""),140)</f>
        <v>140</v>
      </c>
      <c r="B140" s="4"/>
      <c r="C140" s="4" t="str">
        <f ca="1">IFERROR(__xludf.DUMMYFUNCTION("""COMPUTED_VALUE"""),"SDATOOL-42590")</f>
        <v>SDATOOL-42590</v>
      </c>
      <c r="D140" s="4" t="str">
        <f ca="1">IFERROR(__xludf.DUMMYFUNCTION("""COMPUTED_VALUE"""),"Modulo de autenticación canales asistidos")</f>
        <v>Modulo de autenticación canales asistidos</v>
      </c>
      <c r="E140"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40" s="4" t="str">
        <f ca="1">IFERROR(__xludf.DUMMYFUNCTION("""COMPUTED_VALUE"""),"Project")</f>
        <v>Project</v>
      </c>
      <c r="G140" s="4" t="str">
        <f ca="1">IFERROR(__xludf.DUMMYFUNCTION("""COMPUTED_VALUE"""),"Flow")</f>
        <v>Flow</v>
      </c>
      <c r="H140" s="4" t="str">
        <f ca="1">IFERROR(__xludf.DUMMYFUNCTION("""COMPUTED_VALUE"""),"2Q 2024")</f>
        <v>2Q 2024</v>
      </c>
      <c r="I140" s="131" t="str">
        <f ca="1">IFERROR(__xludf.DUMMYFUNCTION("""COMPUTED_VALUE"""),"jimy.catolico-bbva.com")</f>
        <v>jimy.catolico-bbva.com</v>
      </c>
      <c r="J140" s="131" t="str">
        <f ca="1">IFERROR(__xludf.DUMMYFUNCTION("""COMPUTED_VALUE"""),"giulianaandrea.guarin-bbva.com")</f>
        <v>giulianaandrea.guarin-bbva.com</v>
      </c>
      <c r="K140" s="131" t="str">
        <f ca="1">IFERROR(__xludf.DUMMYFUNCTION("""COMPUTED_VALUE"""),"monica.zamudio-bbva.com")</f>
        <v>monica.zamudio-bbva.com</v>
      </c>
      <c r="L140" s="4"/>
      <c r="M140" s="4"/>
      <c r="N140" s="4"/>
      <c r="O140" s="4" t="str">
        <f ca="1">IFERROR(__xludf.DUMMYFUNCTION("""COMPUTED_VALUE"""),"Waterfall")</f>
        <v>Waterfall</v>
      </c>
      <c r="P140" s="4" t="str">
        <f ca="1">IFERROR(__xludf.DUMMYFUNCTION("""COMPUTED_VALUE"""),"Tradicional")</f>
        <v>Tradicional</v>
      </c>
      <c r="Q140" s="4"/>
      <c r="R140" s="130" t="str">
        <f ca="1">IFERROR(__xludf.DUMMYFUNCTION("""COMPUTED_VALUE"""),"Retail Execution")</f>
        <v>Retail Execution</v>
      </c>
      <c r="S140" s="4"/>
      <c r="T140" s="130" t="str">
        <f ca="1">IFERROR(__xludf.DUMMYFUNCTION("""COMPUTED_VALUE"""),"1. Generación de Ingresos")</f>
        <v>1. Generación de Ingresos</v>
      </c>
      <c r="U140" s="130" t="str">
        <f ca="1">IFERROR(__xludf.DUMMYFUNCTION("""COMPUTED_VALUE"""),"1.5. Otros de Proyectos de Ingresos")</f>
        <v>1.5. Otros de Proyectos de Ingresos</v>
      </c>
      <c r="V140" s="4" t="str">
        <f ca="1">IFERROR(__xludf.DUMMYFUNCTION("""COMPUTED_VALUE"""),"TX")</f>
        <v>TX</v>
      </c>
      <c r="W140" s="4">
        <f ca="1">IFERROR(__xludf.DUMMYFUNCTION("""COMPUTED_VALUE"""),2)</f>
        <v>2</v>
      </c>
      <c r="X140" s="4" t="str">
        <f ca="1">IFERROR(__xludf.DUMMYFUNCTION("""COMPUTED_VALUE"""),"10. Otros")</f>
        <v>10. Otros</v>
      </c>
      <c r="Y140" s="4" t="str">
        <f ca="1">IFERROR(__xludf.DUMMYFUNCTION("""COMPUTED_VALUE"""),"Otros")</f>
        <v>Otros</v>
      </c>
      <c r="Z140" s="132" t="str">
        <f ca="1">IFERROR(__xludf.DUMMYFUNCTION("""COMPUTED_VALUE"""),"774043")</f>
        <v>774043</v>
      </c>
      <c r="AA140" s="4" t="str">
        <f ca="1">IFERROR(__xludf.DUMMYFUNCTION("""COMPUTED_VALUE"""),"Conexión Biometría facial Registraduría")</f>
        <v>Conexión Biometría facial Registraduría</v>
      </c>
      <c r="AB140" s="4" t="str">
        <f ca="1">IFERROR(__xludf.DUMMYFUNCTION("""COMPUTED_VALUE"""),"Integrar los servicios técnicos de registraduría para ser integrados al APP de veridas y quede como habilitador para los flujos digitales.")</f>
        <v>Integrar los servicios técnicos de registraduría para ser integrados al APP de veridas y quede como habilitador para los flujos digitales.</v>
      </c>
      <c r="AC140" s="4" t="str">
        <f ca="1">IFERROR(__xludf.DUMMYFUNCTION("""COMPUTED_VALUE"""),"1Q 2024")</f>
        <v>1Q 2024</v>
      </c>
      <c r="AD140" s="4"/>
      <c r="AE140" s="4"/>
      <c r="AF140" s="4"/>
      <c r="AG140" s="4"/>
      <c r="AH140" s="4"/>
      <c r="AI140" s="4"/>
      <c r="AJ140" s="4"/>
      <c r="AK140" s="4" t="str">
        <f ca="1">IFERROR(__xludf.DUMMYFUNCTION("""COMPUTED_VALUE"""),"Sin asignar")</f>
        <v>Sin asignar</v>
      </c>
      <c r="AL140" s="4" t="str">
        <f ca="1">IFERROR(__xludf.DUMMYFUNCTION("""COMPUTED_VALUE"""),"Sin asignar")</f>
        <v>Sin asignar</v>
      </c>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row>
    <row r="141" spans="1:132" x14ac:dyDescent="0.2">
      <c r="A141" s="4">
        <f ca="1">IFERROR(__xludf.DUMMYFUNCTION("""COMPUTED_VALUE"""),141)</f>
        <v>141</v>
      </c>
      <c r="B141" s="4">
        <f ca="1">IFERROR(__xludf.DUMMYFUNCTION("""COMPUTED_VALUE"""),119)</f>
        <v>119</v>
      </c>
      <c r="C141" s="4" t="str">
        <f ca="1">IFERROR(__xludf.DUMMYFUNCTION("""COMPUTED_VALUE"""),"SDATOOL-36509")</f>
        <v>SDATOOL-36509</v>
      </c>
      <c r="D141" s="4" t="str">
        <f ca="1">IFERROR(__xludf.DUMMYFUNCTION("""COMPUTED_VALUE"""),"Centralización de la formalización de desembolsos Pymes")</f>
        <v>Centralización de la formalización de desembolsos Pymes</v>
      </c>
      <c r="E141"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1" s="4" t="str">
        <f ca="1">IFERROR(__xludf.DUMMYFUNCTION("""COMPUTED_VALUE"""),"Project")</f>
        <v>Project</v>
      </c>
      <c r="G141" s="4" t="str">
        <f ca="1">IFERROR(__xludf.DUMMYFUNCTION("""COMPUTED_VALUE"""),"Stock")</f>
        <v>Stock</v>
      </c>
      <c r="H141" s="4" t="str">
        <f ca="1">IFERROR(__xludf.DUMMYFUNCTION("""COMPUTED_VALUE"""),"2Q 2023")</f>
        <v>2Q 2023</v>
      </c>
      <c r="I141" s="131" t="str">
        <f ca="1">IFERROR(__xludf.DUMMYFUNCTION("""COMPUTED_VALUE"""),"jimy.catolico-bbva.com")</f>
        <v>jimy.catolico-bbva.com</v>
      </c>
      <c r="J141" s="131" t="str">
        <f ca="1">IFERROR(__xludf.DUMMYFUNCTION("""COMPUTED_VALUE"""),"oscar.bejarano-bbva.com")</f>
        <v>oscar.bejarano-bbva.com</v>
      </c>
      <c r="K141" s="131" t="str">
        <f ca="1">IFERROR(__xludf.DUMMYFUNCTION("""COMPUTED_VALUE"""),"marthaconsuelo.parra-bbva.com")</f>
        <v>marthaconsuelo.parra-bbva.com</v>
      </c>
      <c r="L141" s="130">
        <f ca="1">IFERROR(__xludf.DUMMYFUNCTION("""COMPUTED_VALUE"""),0.4)</f>
        <v>0.4</v>
      </c>
      <c r="M141" s="130">
        <f ca="1">IFERROR(__xludf.DUMMYFUNCTION("""COMPUTED_VALUE"""),2.15)</f>
        <v>2.15</v>
      </c>
      <c r="N141" s="130">
        <f ca="1">IFERROR(__xludf.DUMMYFUNCTION("""COMPUTED_VALUE"""),1.25)</f>
        <v>1.25</v>
      </c>
      <c r="O141" s="4" t="str">
        <f ca="1">IFERROR(__xludf.DUMMYFUNCTION("""COMPUTED_VALUE"""),"Waterfall")</f>
        <v>Waterfall</v>
      </c>
      <c r="P141" s="4" t="str">
        <f ca="1">IFERROR(__xludf.DUMMYFUNCTION("""COMPUTED_VALUE"""),"Tradicional")</f>
        <v>Tradicional</v>
      </c>
      <c r="Q141" s="4"/>
      <c r="R141" s="130" t="str">
        <f ca="1">IFERROR(__xludf.DUMMYFUNCTION("""COMPUTED_VALUE"""),"Business Innovation &amp; Strategy")</f>
        <v>Business Innovation &amp; Strategy</v>
      </c>
      <c r="S141" s="130" t="str">
        <f ca="1">IFERROR(__xludf.DUMMYFUNCTION("""COMPUTED_VALUE"""),"Strategic Review")</f>
        <v>Strategic Review</v>
      </c>
      <c r="T141" s="130" t="str">
        <f ca="1">IFERROR(__xludf.DUMMYFUNCTION("""COMPUTED_VALUE"""),"2. Modelo de relación y distribución")</f>
        <v>2. Modelo de relación y distribución</v>
      </c>
      <c r="U141" s="130" t="str">
        <f ca="1">IFERROR(__xludf.DUMMYFUNCTION("""COMPUTED_VALUE"""),"2.1. Transformación de Oficinas")</f>
        <v>2.1. Transformación de Oficinas</v>
      </c>
      <c r="V141" s="4" t="str">
        <f ca="1">IFERROR(__xludf.DUMMYFUNCTION("""COMPUTED_VALUE"""),"descarga operativa")</f>
        <v>descarga operativa</v>
      </c>
      <c r="W141" s="4">
        <f ca="1">IFERROR(__xludf.DUMMYFUNCTION("""COMPUTED_VALUE"""),1)</f>
        <v>1</v>
      </c>
      <c r="X141" s="4" t="str">
        <f ca="1">IFERROR(__xludf.DUMMYFUNCTION("""COMPUTED_VALUE"""),"03. SMEs &amp; Self-employed")</f>
        <v>03. SMEs &amp; Self-employed</v>
      </c>
      <c r="Y141" s="4" t="str">
        <f ca="1">IFERROR(__xludf.DUMMYFUNCTION("""COMPUTED_VALUE"""),"5.6.2 RM - Enterprises")</f>
        <v>5.6.2 RM - Enterprises</v>
      </c>
      <c r="Z141" s="132" t="str">
        <f ca="1">IFERROR(__xludf.DUMMYFUNCTION("""COMPUTED_VALUE"""),"262159")</f>
        <v>262159</v>
      </c>
      <c r="AA141" s="4" t="str">
        <f ca="1">IFERROR(__xludf.DUMMYFUNCTION("""COMPUTED_VALUE"""),"Centralización operaciones comerciales con FNG")</f>
        <v>Centralización operaciones comerciales con FNG</v>
      </c>
      <c r="AB141" s="4" t="str">
        <f ca="1">IFERROR(__xludf.DUMMYFUNCTION("""COMPUTED_VALUE"""),"Centralización operaciones comerciales con FNG")</f>
        <v>Centralización operaciones comerciales con FNG</v>
      </c>
      <c r="AC141" s="4" t="str">
        <f ca="1">IFERROR(__xludf.DUMMYFUNCTION("""COMPUTED_VALUE"""),"1Q 2022")</f>
        <v>1Q 2022</v>
      </c>
      <c r="AD141" s="128">
        <f ca="1">IFERROR(__xludf.DUMMYFUNCTION("""COMPUTED_VALUE"""),44256)</f>
        <v>44256</v>
      </c>
      <c r="AE141" s="128">
        <f ca="1">IFERROR(__xludf.DUMMYFUNCTION("""COMPUTED_VALUE"""),44338)</f>
        <v>44338</v>
      </c>
      <c r="AF141" s="128">
        <f ca="1">IFERROR(__xludf.DUMMYFUNCTION("""COMPUTED_VALUE"""),44348)</f>
        <v>44348</v>
      </c>
      <c r="AG141" s="128">
        <f ca="1">IFERROR(__xludf.DUMMYFUNCTION("""COMPUTED_VALUE"""),44561)</f>
        <v>44561</v>
      </c>
      <c r="AH141" s="128">
        <f ca="1">IFERROR(__xludf.DUMMYFUNCTION("""COMPUTED_VALUE"""),44564)</f>
        <v>44564</v>
      </c>
      <c r="AI141" s="128">
        <f ca="1">IFERROR(__xludf.DUMMYFUNCTION("""COMPUTED_VALUE"""),44593)</f>
        <v>44593</v>
      </c>
      <c r="AJ141" s="128">
        <f ca="1">IFERROR(__xludf.DUMMYFUNCTION("""COMPUTED_VALUE"""),44651)</f>
        <v>44651</v>
      </c>
      <c r="AK141" s="131" t="str">
        <f ca="1">IFERROR(__xludf.DUMMYFUNCTION("""COMPUTED_VALUE"""),"CCSS-7138")</f>
        <v>CCSS-7138</v>
      </c>
      <c r="AL141" s="4" t="str">
        <f ca="1">IFERROR(__xludf.DUMMYFUNCTION("""COMPUTED_VALUE"""),"Deployed")</f>
        <v>Deployed</v>
      </c>
      <c r="AM141"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1" s="4" t="str">
        <f ca="1">IFERROR(__xludf.DUMMYFUNCTION("""COMPUTED_VALUE"""),"Finalizado")</f>
        <v>Finalizado</v>
      </c>
      <c r="AO141" s="4"/>
      <c r="AP141" s="4"/>
      <c r="AQ141" s="4"/>
      <c r="AR141" s="4" t="str">
        <f ca="1">IFERROR(__xludf.DUMMYFUNCTION("""COMPUTED_VALUE"""),"SDA aprobada en PPP Q1 2023")</f>
        <v>SDA aprobada en PPP Q1 2023</v>
      </c>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133">
        <f ca="1">IFERROR(__xludf.DUMMYFUNCTION("""COMPUTED_VALUE"""),0)</f>
        <v>0</v>
      </c>
      <c r="DV141" s="133">
        <f ca="1">IFERROR(__xludf.DUMMYFUNCTION("""COMPUTED_VALUE"""),138988769)</f>
        <v>138988769</v>
      </c>
      <c r="DW141" s="133">
        <f ca="1">IFERROR(__xludf.DUMMYFUNCTION("""COMPUTED_VALUE"""),82998883)</f>
        <v>82998883</v>
      </c>
      <c r="DX141" s="133">
        <f ca="1">IFERROR(__xludf.DUMMYFUNCTION("""COMPUTED_VALUE"""),49999959)</f>
        <v>49999959</v>
      </c>
      <c r="DY141" s="133">
        <f ca="1">IFERROR(__xludf.DUMMYFUNCTION("""COMPUTED_VALUE"""),0)</f>
        <v>0</v>
      </c>
      <c r="DZ141" s="133">
        <f ca="1">IFERROR(__xludf.DUMMYFUNCTION("""COMPUTED_VALUE"""),271987611)</f>
        <v>271987611</v>
      </c>
      <c r="EA141" s="4"/>
      <c r="EB141" s="4"/>
    </row>
    <row r="142" spans="1:132" x14ac:dyDescent="0.2">
      <c r="A142" s="4">
        <f ca="1">IFERROR(__xludf.DUMMYFUNCTION("""COMPUTED_VALUE"""),142)</f>
        <v>142</v>
      </c>
      <c r="B142" s="4">
        <f ca="1">IFERROR(__xludf.DUMMYFUNCTION("""COMPUTED_VALUE"""),120)</f>
        <v>120</v>
      </c>
      <c r="C142" s="4" t="str">
        <f ca="1">IFERROR(__xludf.DUMMYFUNCTION("""COMPUTED_VALUE"""),"SDATOOL-36509")</f>
        <v>SDATOOL-36509</v>
      </c>
      <c r="D142" s="4" t="str">
        <f ca="1">IFERROR(__xludf.DUMMYFUNCTION("""COMPUTED_VALUE"""),"Centralización de la formalización de desembolsos Pymes")</f>
        <v>Centralización de la formalización de desembolsos Pymes</v>
      </c>
      <c r="E142"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2" s="4" t="str">
        <f ca="1">IFERROR(__xludf.DUMMYFUNCTION("""COMPUTED_VALUE"""),"Project")</f>
        <v>Project</v>
      </c>
      <c r="G142" s="4" t="str">
        <f ca="1">IFERROR(__xludf.DUMMYFUNCTION("""COMPUTED_VALUE"""),"Stock")</f>
        <v>Stock</v>
      </c>
      <c r="H142" s="4" t="str">
        <f ca="1">IFERROR(__xludf.DUMMYFUNCTION("""COMPUTED_VALUE"""),"2Q 2023")</f>
        <v>2Q 2023</v>
      </c>
      <c r="I142" s="131" t="str">
        <f ca="1">IFERROR(__xludf.DUMMYFUNCTION("""COMPUTED_VALUE"""),"jimy.catolico-bbva.com")</f>
        <v>jimy.catolico-bbva.com</v>
      </c>
      <c r="J142" s="131" t="str">
        <f ca="1">IFERROR(__xludf.DUMMYFUNCTION("""COMPUTED_VALUE"""),"oscar.bejarano-bbva.com")</f>
        <v>oscar.bejarano-bbva.com</v>
      </c>
      <c r="K142" s="131" t="str">
        <f ca="1">IFERROR(__xludf.DUMMYFUNCTION("""COMPUTED_VALUE"""),"andres.carrandi-bbva.com")</f>
        <v>andres.carrandi-bbva.com</v>
      </c>
      <c r="L142" s="4"/>
      <c r="M142" s="4"/>
      <c r="N142" s="4"/>
      <c r="O142" s="4" t="str">
        <f ca="1">IFERROR(__xludf.DUMMYFUNCTION("""COMPUTED_VALUE"""),"Waterfall")</f>
        <v>Waterfall</v>
      </c>
      <c r="P142" s="4" t="str">
        <f ca="1">IFERROR(__xludf.DUMMYFUNCTION("""COMPUTED_VALUE"""),"Tradicional")</f>
        <v>Tradicional</v>
      </c>
      <c r="Q142" s="4"/>
      <c r="R142" s="130" t="str">
        <f ca="1">IFERROR(__xludf.DUMMYFUNCTION("""COMPUTED_VALUE"""),"Business Innovation &amp; Strategy")</f>
        <v>Business Innovation &amp; Strategy</v>
      </c>
      <c r="S142" s="130" t="str">
        <f ca="1">IFERROR(__xludf.DUMMYFUNCTION("""COMPUTED_VALUE"""),"Strategic Review")</f>
        <v>Strategic Review</v>
      </c>
      <c r="T142" s="130" t="str">
        <f ca="1">IFERROR(__xludf.DUMMYFUNCTION("""COMPUTED_VALUE"""),"2. Modelo de relación y distribución")</f>
        <v>2. Modelo de relación y distribución</v>
      </c>
      <c r="U142" s="130" t="str">
        <f ca="1">IFERROR(__xludf.DUMMYFUNCTION("""COMPUTED_VALUE"""),"2.1. Transformación de Oficinas")</f>
        <v>2.1. Transformación de Oficinas</v>
      </c>
      <c r="V142" s="4" t="str">
        <f ca="1">IFERROR(__xludf.DUMMYFUNCTION("""COMPUTED_VALUE"""),"descarga operativa")</f>
        <v>descarga operativa</v>
      </c>
      <c r="W142" s="4">
        <f ca="1">IFERROR(__xludf.DUMMYFUNCTION("""COMPUTED_VALUE"""),1)</f>
        <v>1</v>
      </c>
      <c r="X142" s="4" t="str">
        <f ca="1">IFERROR(__xludf.DUMMYFUNCTION("""COMPUTED_VALUE"""),"03. SMEs &amp; Self-employed")</f>
        <v>03. SMEs &amp; Self-employed</v>
      </c>
      <c r="Y142" s="4" t="str">
        <f ca="1">IFERROR(__xludf.DUMMYFUNCTION("""COMPUTED_VALUE"""),"5.6.2 RM - Enterprises")</f>
        <v>5.6.2 RM - Enterprises</v>
      </c>
      <c r="Z142" s="132" t="str">
        <f ca="1">IFERROR(__xludf.DUMMYFUNCTION("""COMPUTED_VALUE"""),"262159")</f>
        <v>262159</v>
      </c>
      <c r="AA142" s="4" t="str">
        <f ca="1">IFERROR(__xludf.DUMMYFUNCTION("""COMPUTED_VALUE"""),"Centralización operaciones comerciales con FNG")</f>
        <v>Centralización operaciones comerciales con FNG</v>
      </c>
      <c r="AB142" s="4" t="str">
        <f ca="1">IFERROR(__xludf.DUMMYFUNCTION("""COMPUTED_VALUE"""),"Centralización operaciones comerciales con FNG")</f>
        <v>Centralización operaciones comerciales con FNG</v>
      </c>
      <c r="AC142" s="4" t="str">
        <f ca="1">IFERROR(__xludf.DUMMYFUNCTION("""COMPUTED_VALUE"""),"1Q 2022")</f>
        <v>1Q 2022</v>
      </c>
      <c r="AD142" s="128">
        <f ca="1">IFERROR(__xludf.DUMMYFUNCTION("""COMPUTED_VALUE"""),44256)</f>
        <v>44256</v>
      </c>
      <c r="AE142" s="128">
        <f ca="1">IFERROR(__xludf.DUMMYFUNCTION("""COMPUTED_VALUE"""),44338)</f>
        <v>44338</v>
      </c>
      <c r="AF142" s="128">
        <f ca="1">IFERROR(__xludf.DUMMYFUNCTION("""COMPUTED_VALUE"""),44348)</f>
        <v>44348</v>
      </c>
      <c r="AG142" s="128">
        <f ca="1">IFERROR(__xludf.DUMMYFUNCTION("""COMPUTED_VALUE"""),44561)</f>
        <v>44561</v>
      </c>
      <c r="AH142" s="128">
        <f ca="1">IFERROR(__xludf.DUMMYFUNCTION("""COMPUTED_VALUE"""),44564)</f>
        <v>44564</v>
      </c>
      <c r="AI142" s="128">
        <f ca="1">IFERROR(__xludf.DUMMYFUNCTION("""COMPUTED_VALUE"""),44593)</f>
        <v>44593</v>
      </c>
      <c r="AJ142" s="128">
        <f ca="1">IFERROR(__xludf.DUMMYFUNCTION("""COMPUTED_VALUE"""),44651)</f>
        <v>44651</v>
      </c>
      <c r="AK142" s="131" t="str">
        <f ca="1">IFERROR(__xludf.DUMMYFUNCTION("""COMPUTED_VALUE"""),"CCSS-7138")</f>
        <v>CCSS-7138</v>
      </c>
      <c r="AL142" s="4" t="str">
        <f ca="1">IFERROR(__xludf.DUMMYFUNCTION("""COMPUTED_VALUE"""),"Deployed")</f>
        <v>Deployed</v>
      </c>
      <c r="AM142"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2" s="4" t="str">
        <f ca="1">IFERROR(__xludf.DUMMYFUNCTION("""COMPUTED_VALUE"""),"Finalizado")</f>
        <v>Finalizado</v>
      </c>
      <c r="AO142" s="4"/>
      <c r="AP142" s="4"/>
      <c r="AQ142" s="4"/>
      <c r="AR142" s="4" t="str">
        <f ca="1">IFERROR(__xludf.DUMMYFUNCTION("""COMPUTED_VALUE"""),"SDA aprobada en PPP Q1 2023")</f>
        <v>SDA aprobada en PPP Q1 2023</v>
      </c>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row>
    <row r="143" spans="1:132" x14ac:dyDescent="0.2">
      <c r="A143" s="4">
        <f ca="1">IFERROR(__xludf.DUMMYFUNCTION("""COMPUTED_VALUE"""),143)</f>
        <v>143</v>
      </c>
      <c r="B143" s="4">
        <f ca="1">IFERROR(__xludf.DUMMYFUNCTION("""COMPUTED_VALUE"""),121)</f>
        <v>121</v>
      </c>
      <c r="C143" s="4" t="str">
        <f ca="1">IFERROR(__xludf.DUMMYFUNCTION("""COMPUTED_VALUE"""),"SDATOOL-36509")</f>
        <v>SDATOOL-36509</v>
      </c>
      <c r="D143" s="4" t="str">
        <f ca="1">IFERROR(__xludf.DUMMYFUNCTION("""COMPUTED_VALUE"""),"Centralización de la formalización de desembolsos Pymes")</f>
        <v>Centralización de la formalización de desembolsos Pymes</v>
      </c>
      <c r="E143"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3" s="4" t="str">
        <f ca="1">IFERROR(__xludf.DUMMYFUNCTION("""COMPUTED_VALUE"""),"Project")</f>
        <v>Project</v>
      </c>
      <c r="G143" s="4" t="str">
        <f ca="1">IFERROR(__xludf.DUMMYFUNCTION("""COMPUTED_VALUE"""),"Stock")</f>
        <v>Stock</v>
      </c>
      <c r="H143" s="4" t="str">
        <f ca="1">IFERROR(__xludf.DUMMYFUNCTION("""COMPUTED_VALUE"""),"2Q 2023")</f>
        <v>2Q 2023</v>
      </c>
      <c r="I143" s="131" t="str">
        <f ca="1">IFERROR(__xludf.DUMMYFUNCTION("""COMPUTED_VALUE"""),"jimy.catolico-bbva.com")</f>
        <v>jimy.catolico-bbva.com</v>
      </c>
      <c r="J143" s="131" t="str">
        <f ca="1">IFERROR(__xludf.DUMMYFUNCTION("""COMPUTED_VALUE"""),"oscar.bejarano-bbva.com")</f>
        <v>oscar.bejarano-bbva.com</v>
      </c>
      <c r="K143" s="131" t="str">
        <f ca="1">IFERROR(__xludf.DUMMYFUNCTION("""COMPUTED_VALUE"""),"andres.carrandi-bbva.com")</f>
        <v>andres.carrandi-bbva.com</v>
      </c>
      <c r="L143" s="4"/>
      <c r="M143" s="4"/>
      <c r="N143" s="4"/>
      <c r="O143" s="4" t="str">
        <f ca="1">IFERROR(__xludf.DUMMYFUNCTION("""COMPUTED_VALUE"""),"Waterfall")</f>
        <v>Waterfall</v>
      </c>
      <c r="P143" s="4" t="str">
        <f ca="1">IFERROR(__xludf.DUMMYFUNCTION("""COMPUTED_VALUE"""),"Tradicional")</f>
        <v>Tradicional</v>
      </c>
      <c r="Q143" s="4"/>
      <c r="R143" s="130" t="str">
        <f ca="1">IFERROR(__xludf.DUMMYFUNCTION("""COMPUTED_VALUE"""),"Business Innovation &amp; Strategy")</f>
        <v>Business Innovation &amp; Strategy</v>
      </c>
      <c r="S143" s="130" t="str">
        <f ca="1">IFERROR(__xludf.DUMMYFUNCTION("""COMPUTED_VALUE"""),"Strategic Review")</f>
        <v>Strategic Review</v>
      </c>
      <c r="T143" s="130" t="str">
        <f ca="1">IFERROR(__xludf.DUMMYFUNCTION("""COMPUTED_VALUE"""),"2. Modelo de relación y distribución")</f>
        <v>2. Modelo de relación y distribución</v>
      </c>
      <c r="U143" s="130" t="str">
        <f ca="1">IFERROR(__xludf.DUMMYFUNCTION("""COMPUTED_VALUE"""),"2.1. Transformación de Oficinas")</f>
        <v>2.1. Transformación de Oficinas</v>
      </c>
      <c r="V143" s="4" t="str">
        <f ca="1">IFERROR(__xludf.DUMMYFUNCTION("""COMPUTED_VALUE"""),"descarga operativa")</f>
        <v>descarga operativa</v>
      </c>
      <c r="W143" s="4">
        <f ca="1">IFERROR(__xludf.DUMMYFUNCTION("""COMPUTED_VALUE"""),1)</f>
        <v>1</v>
      </c>
      <c r="X143" s="4" t="str">
        <f ca="1">IFERROR(__xludf.DUMMYFUNCTION("""COMPUTED_VALUE"""),"03. SMEs &amp; Self-employed")</f>
        <v>03. SMEs &amp; Self-employed</v>
      </c>
      <c r="Y143" s="4" t="str">
        <f ca="1">IFERROR(__xludf.DUMMYFUNCTION("""COMPUTED_VALUE"""),"5.6.2 RM - Enterprises")</f>
        <v>5.6.2 RM - Enterprises</v>
      </c>
      <c r="Z143" s="132" t="str">
        <f ca="1">IFERROR(__xludf.DUMMYFUNCTION("""COMPUTED_VALUE"""),"262159")</f>
        <v>262159</v>
      </c>
      <c r="AA143" s="4" t="str">
        <f ca="1">IFERROR(__xludf.DUMMYFUNCTION("""COMPUTED_VALUE"""),"Centralización operaciones comerciales con FNG")</f>
        <v>Centralización operaciones comerciales con FNG</v>
      </c>
      <c r="AB143" s="4" t="str">
        <f ca="1">IFERROR(__xludf.DUMMYFUNCTION("""COMPUTED_VALUE"""),"Centralización operaciones comerciales con FNG")</f>
        <v>Centralización operaciones comerciales con FNG</v>
      </c>
      <c r="AC143" s="4" t="str">
        <f ca="1">IFERROR(__xludf.DUMMYFUNCTION("""COMPUTED_VALUE"""),"1Q 2022")</f>
        <v>1Q 2022</v>
      </c>
      <c r="AD143" s="128">
        <f ca="1">IFERROR(__xludf.DUMMYFUNCTION("""COMPUTED_VALUE"""),44256)</f>
        <v>44256</v>
      </c>
      <c r="AE143" s="128">
        <f ca="1">IFERROR(__xludf.DUMMYFUNCTION("""COMPUTED_VALUE"""),44338)</f>
        <v>44338</v>
      </c>
      <c r="AF143" s="128">
        <f ca="1">IFERROR(__xludf.DUMMYFUNCTION("""COMPUTED_VALUE"""),44348)</f>
        <v>44348</v>
      </c>
      <c r="AG143" s="128">
        <f ca="1">IFERROR(__xludf.DUMMYFUNCTION("""COMPUTED_VALUE"""),44561)</f>
        <v>44561</v>
      </c>
      <c r="AH143" s="128">
        <f ca="1">IFERROR(__xludf.DUMMYFUNCTION("""COMPUTED_VALUE"""),44564)</f>
        <v>44564</v>
      </c>
      <c r="AI143" s="128">
        <f ca="1">IFERROR(__xludf.DUMMYFUNCTION("""COMPUTED_VALUE"""),44593)</f>
        <v>44593</v>
      </c>
      <c r="AJ143" s="128">
        <f ca="1">IFERROR(__xludf.DUMMYFUNCTION("""COMPUTED_VALUE"""),44651)</f>
        <v>44651</v>
      </c>
      <c r="AK143" s="131" t="str">
        <f ca="1">IFERROR(__xludf.DUMMYFUNCTION("""COMPUTED_VALUE"""),"CCSS-7138")</f>
        <v>CCSS-7138</v>
      </c>
      <c r="AL143" s="4" t="str">
        <f ca="1">IFERROR(__xludf.DUMMYFUNCTION("""COMPUTED_VALUE"""),"Deployed")</f>
        <v>Deployed</v>
      </c>
      <c r="AM143"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3" s="4" t="str">
        <f ca="1">IFERROR(__xludf.DUMMYFUNCTION("""COMPUTED_VALUE"""),"Finalizado")</f>
        <v>Finalizado</v>
      </c>
      <c r="AO143" s="4"/>
      <c r="AP143" s="4"/>
      <c r="AQ143" s="4"/>
      <c r="AR143" s="4" t="str">
        <f ca="1">IFERROR(__xludf.DUMMYFUNCTION("""COMPUTED_VALUE"""),"SDA aprobada en PPP Q1 2023")</f>
        <v>SDA aprobada en PPP Q1 2023</v>
      </c>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row>
    <row r="144" spans="1:132" x14ac:dyDescent="0.2">
      <c r="A144" s="4">
        <f ca="1">IFERROR(__xludf.DUMMYFUNCTION("""COMPUTED_VALUE"""),144)</f>
        <v>144</v>
      </c>
      <c r="B144" s="4">
        <f ca="1">IFERROR(__xludf.DUMMYFUNCTION("""COMPUTED_VALUE"""),122)</f>
        <v>122</v>
      </c>
      <c r="C144" s="4" t="str">
        <f ca="1">IFERROR(__xludf.DUMMYFUNCTION("""COMPUTED_VALUE"""),"SDATOOL-36509")</f>
        <v>SDATOOL-36509</v>
      </c>
      <c r="D144" s="4" t="str">
        <f ca="1">IFERROR(__xludf.DUMMYFUNCTION("""COMPUTED_VALUE"""),"Centralización de la formalización de desembolsos Pymes")</f>
        <v>Centralización de la formalización de desembolsos Pymes</v>
      </c>
      <c r="E144"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4" s="4" t="str">
        <f ca="1">IFERROR(__xludf.DUMMYFUNCTION("""COMPUTED_VALUE"""),"Project")</f>
        <v>Project</v>
      </c>
      <c r="G144" s="4" t="str">
        <f ca="1">IFERROR(__xludf.DUMMYFUNCTION("""COMPUTED_VALUE"""),"Stock")</f>
        <v>Stock</v>
      </c>
      <c r="H144" s="4" t="str">
        <f ca="1">IFERROR(__xludf.DUMMYFUNCTION("""COMPUTED_VALUE"""),"2Q 2023")</f>
        <v>2Q 2023</v>
      </c>
      <c r="I144" s="131" t="str">
        <f ca="1">IFERROR(__xludf.DUMMYFUNCTION("""COMPUTED_VALUE"""),"jimy.catolico-bbva.com")</f>
        <v>jimy.catolico-bbva.com</v>
      </c>
      <c r="J144" s="131" t="str">
        <f ca="1">IFERROR(__xludf.DUMMYFUNCTION("""COMPUTED_VALUE"""),"oscar.bejarano-bbva.com")</f>
        <v>oscar.bejarano-bbva.com</v>
      </c>
      <c r="K144" s="131" t="str">
        <f ca="1">IFERROR(__xludf.DUMMYFUNCTION("""COMPUTED_VALUE"""),"marthaconsuelo.parra-bbva.com")</f>
        <v>marthaconsuelo.parra-bbva.com</v>
      </c>
      <c r="L144" s="4"/>
      <c r="M144" s="4"/>
      <c r="N144" s="4"/>
      <c r="O144" s="4" t="str">
        <f ca="1">IFERROR(__xludf.DUMMYFUNCTION("""COMPUTED_VALUE"""),"Waterfall")</f>
        <v>Waterfall</v>
      </c>
      <c r="P144" s="4" t="str">
        <f ca="1">IFERROR(__xludf.DUMMYFUNCTION("""COMPUTED_VALUE"""),"Tradicional")</f>
        <v>Tradicional</v>
      </c>
      <c r="Q144" s="4"/>
      <c r="R144" s="130" t="str">
        <f ca="1">IFERROR(__xludf.DUMMYFUNCTION("""COMPUTED_VALUE"""),"Business Innovation &amp; Strategy")</f>
        <v>Business Innovation &amp; Strategy</v>
      </c>
      <c r="S144" s="130" t="str">
        <f ca="1">IFERROR(__xludf.DUMMYFUNCTION("""COMPUTED_VALUE"""),"Strategic Review")</f>
        <v>Strategic Review</v>
      </c>
      <c r="T144" s="130" t="str">
        <f ca="1">IFERROR(__xludf.DUMMYFUNCTION("""COMPUTED_VALUE"""),"2. Modelo de relación y distribución")</f>
        <v>2. Modelo de relación y distribución</v>
      </c>
      <c r="U144" s="130" t="str">
        <f ca="1">IFERROR(__xludf.DUMMYFUNCTION("""COMPUTED_VALUE"""),"2.1. Transformación de Oficinas")</f>
        <v>2.1. Transformación de Oficinas</v>
      </c>
      <c r="V144" s="4" t="str">
        <f ca="1">IFERROR(__xludf.DUMMYFUNCTION("""COMPUTED_VALUE"""),"descarga operativa")</f>
        <v>descarga operativa</v>
      </c>
      <c r="W144" s="4">
        <f ca="1">IFERROR(__xludf.DUMMYFUNCTION("""COMPUTED_VALUE"""),1)</f>
        <v>1</v>
      </c>
      <c r="X144" s="4" t="str">
        <f ca="1">IFERROR(__xludf.DUMMYFUNCTION("""COMPUTED_VALUE"""),"03. SMEs &amp; Self-employed")</f>
        <v>03. SMEs &amp; Self-employed</v>
      </c>
      <c r="Y144" s="4" t="str">
        <f ca="1">IFERROR(__xludf.DUMMYFUNCTION("""COMPUTED_VALUE"""),"5.6.2 RM - Enterprises")</f>
        <v>5.6.2 RM - Enterprises</v>
      </c>
      <c r="Z144" s="132" t="str">
        <f ca="1">IFERROR(__xludf.DUMMYFUNCTION("""COMPUTED_VALUE"""),"262160")</f>
        <v>262160</v>
      </c>
      <c r="AA144" s="4" t="str">
        <f ca="1">IFERROR(__xludf.DUMMYFUNCTION("""COMPUTED_VALUE"""),"Mejoras Post Implantación")</f>
        <v>Mejoras Post Implantación</v>
      </c>
      <c r="AB144" s="4" t="str">
        <f ca="1">IFERROR(__xludf.DUMMYFUNCTION("""COMPUTED_VALUE"""),"Centralización resto productos")</f>
        <v>Centralización resto productos</v>
      </c>
      <c r="AC144" s="4" t="str">
        <f ca="1">IFERROR(__xludf.DUMMYFUNCTION("""COMPUTED_VALUE"""),"2Q 2023")</f>
        <v>2Q 2023</v>
      </c>
      <c r="AD144" s="4"/>
      <c r="AE144" s="4"/>
      <c r="AF144" s="4"/>
      <c r="AG144" s="4"/>
      <c r="AH144" s="4"/>
      <c r="AI144" s="4"/>
      <c r="AJ144" s="4"/>
      <c r="AK144" s="131" t="str">
        <f ca="1">IFERROR(__xludf.DUMMYFUNCTION("""COMPUTED_VALUE"""),"COLWSCANAL-2103")</f>
        <v>COLWSCANAL-2103</v>
      </c>
      <c r="AL144" s="4" t="str">
        <f ca="1">IFERROR(__xludf.DUMMYFUNCTION("""COMPUTED_VALUE"""),"Accepted")</f>
        <v>Accepted</v>
      </c>
      <c r="AM144" s="4"/>
      <c r="AN144" s="4" t="str">
        <f ca="1">IFERROR(__xludf.DUMMYFUNCTION("""COMPUTED_VALUE"""),"Entregable en Conceptualización")</f>
        <v>Entregable en Conceptualización</v>
      </c>
      <c r="AO144" s="4"/>
      <c r="AP144" s="4"/>
      <c r="AQ144" s="4"/>
      <c r="AR144" s="4" t="str">
        <f ca="1">IFERROR(__xludf.DUMMYFUNCTION("""COMPUTED_VALUE"""),"SDA aprobada en PPP Q1 2023")</f>
        <v>SDA aprobada en PPP Q1 2023</v>
      </c>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row>
    <row r="145" spans="1:132" x14ac:dyDescent="0.2">
      <c r="A145" s="4">
        <f ca="1">IFERROR(__xludf.DUMMYFUNCTION("""COMPUTED_VALUE"""),145)</f>
        <v>145</v>
      </c>
      <c r="B145" s="4">
        <f ca="1">IFERROR(__xludf.DUMMYFUNCTION("""COMPUTED_VALUE"""),123)</f>
        <v>123</v>
      </c>
      <c r="C145" s="4" t="str">
        <f ca="1">IFERROR(__xludf.DUMMYFUNCTION("""COMPUTED_VALUE"""),"SDATOOL-36509")</f>
        <v>SDATOOL-36509</v>
      </c>
      <c r="D145" s="4" t="str">
        <f ca="1">IFERROR(__xludf.DUMMYFUNCTION("""COMPUTED_VALUE"""),"Centralización de la formalización de desembolsos Pymes")</f>
        <v>Centralización de la formalización de desembolsos Pymes</v>
      </c>
      <c r="E145"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5" s="4" t="str">
        <f ca="1">IFERROR(__xludf.DUMMYFUNCTION("""COMPUTED_VALUE"""),"Project")</f>
        <v>Project</v>
      </c>
      <c r="G145" s="4" t="str">
        <f ca="1">IFERROR(__xludf.DUMMYFUNCTION("""COMPUTED_VALUE"""),"Stock")</f>
        <v>Stock</v>
      </c>
      <c r="H145" s="4" t="str">
        <f ca="1">IFERROR(__xludf.DUMMYFUNCTION("""COMPUTED_VALUE"""),"2Q 2023")</f>
        <v>2Q 2023</v>
      </c>
      <c r="I145" s="131" t="str">
        <f ca="1">IFERROR(__xludf.DUMMYFUNCTION("""COMPUTED_VALUE"""),"jimy.catolico-bbva.com")</f>
        <v>jimy.catolico-bbva.com</v>
      </c>
      <c r="J145" s="131" t="str">
        <f ca="1">IFERROR(__xludf.DUMMYFUNCTION("""COMPUTED_VALUE"""),"oscar.bejarano-bbva.com")</f>
        <v>oscar.bejarano-bbva.com</v>
      </c>
      <c r="K145" s="131" t="str">
        <f ca="1">IFERROR(__xludf.DUMMYFUNCTION("""COMPUTED_VALUE"""),"marthaconsuelo.parra-bbva.com")</f>
        <v>marthaconsuelo.parra-bbva.com</v>
      </c>
      <c r="L145" s="4"/>
      <c r="M145" s="4"/>
      <c r="N145" s="4"/>
      <c r="O145" s="4" t="str">
        <f ca="1">IFERROR(__xludf.DUMMYFUNCTION("""COMPUTED_VALUE"""),"Waterfall")</f>
        <v>Waterfall</v>
      </c>
      <c r="P145" s="4" t="str">
        <f ca="1">IFERROR(__xludf.DUMMYFUNCTION("""COMPUTED_VALUE"""),"Tradicional")</f>
        <v>Tradicional</v>
      </c>
      <c r="Q145" s="4"/>
      <c r="R145" s="130" t="str">
        <f ca="1">IFERROR(__xludf.DUMMYFUNCTION("""COMPUTED_VALUE"""),"Business Innovation &amp; Strategy")</f>
        <v>Business Innovation &amp; Strategy</v>
      </c>
      <c r="S145" s="130" t="str">
        <f ca="1">IFERROR(__xludf.DUMMYFUNCTION("""COMPUTED_VALUE"""),"Strategic Review")</f>
        <v>Strategic Review</v>
      </c>
      <c r="T145" s="130" t="str">
        <f ca="1">IFERROR(__xludf.DUMMYFUNCTION("""COMPUTED_VALUE"""),"2. Modelo de relación y distribución")</f>
        <v>2. Modelo de relación y distribución</v>
      </c>
      <c r="U145" s="130" t="str">
        <f ca="1">IFERROR(__xludf.DUMMYFUNCTION("""COMPUTED_VALUE"""),"2.1. Transformación de Oficinas")</f>
        <v>2.1. Transformación de Oficinas</v>
      </c>
      <c r="V145" s="4" t="str">
        <f ca="1">IFERROR(__xludf.DUMMYFUNCTION("""COMPUTED_VALUE"""),"descarga operativa")</f>
        <v>descarga operativa</v>
      </c>
      <c r="W145" s="4">
        <f ca="1">IFERROR(__xludf.DUMMYFUNCTION("""COMPUTED_VALUE"""),1)</f>
        <v>1</v>
      </c>
      <c r="X145" s="4" t="str">
        <f ca="1">IFERROR(__xludf.DUMMYFUNCTION("""COMPUTED_VALUE"""),"03. SMEs &amp; Self-employed")</f>
        <v>03. SMEs &amp; Self-employed</v>
      </c>
      <c r="Y145" s="4" t="str">
        <f ca="1">IFERROR(__xludf.DUMMYFUNCTION("""COMPUTED_VALUE"""),"5.6.2 RM - Enterprises")</f>
        <v>5.6.2 RM - Enterprises</v>
      </c>
      <c r="Z145" s="132" t="str">
        <f ca="1">IFERROR(__xludf.DUMMYFUNCTION("""COMPUTED_VALUE"""),"430671")</f>
        <v>430671</v>
      </c>
      <c r="AA145" s="4" t="str">
        <f ca="1">IFERROR(__xludf.DUMMYFUNCTION("""COMPUTED_VALUE"""),"Generación automática de documentos")</f>
        <v>Generación automática de documentos</v>
      </c>
      <c r="AB145" s="4" t="str">
        <f ca="1">IFERROR(__xludf.DUMMYFUNCTION("""COMPUTED_VALUE"""),"TBD")</f>
        <v>TBD</v>
      </c>
      <c r="AC145" s="4" t="str">
        <f ca="1">IFERROR(__xludf.DUMMYFUNCTION("""COMPUTED_VALUE"""),"3Q 2023")</f>
        <v>3Q 2023</v>
      </c>
      <c r="AD145" s="4"/>
      <c r="AE145" s="4"/>
      <c r="AF145" s="4"/>
      <c r="AG145" s="4"/>
      <c r="AH145" s="4"/>
      <c r="AI145" s="4"/>
      <c r="AJ145" s="4"/>
      <c r="AK145" s="4" t="str">
        <f ca="1">IFERROR(__xludf.DUMMYFUNCTION("""COMPUTED_VALUE"""),"Sin asignar")</f>
        <v>Sin asignar</v>
      </c>
      <c r="AL145" s="4" t="str">
        <f ca="1">IFERROR(__xludf.DUMMYFUNCTION("""COMPUTED_VALUE"""),"Sin asignar")</f>
        <v>Sin asignar</v>
      </c>
      <c r="AM145" s="4" t="str">
        <f ca="1">IFERROR(__xludf.DUMMYFUNCTION("""COMPUTED_VALUE"""),"No hay capacidad de FTE de ENG")</f>
        <v>No hay capacidad de FTE de ENG</v>
      </c>
      <c r="AN145" s="4" t="str">
        <f ca="1">IFERROR(__xludf.DUMMYFUNCTION("""COMPUTED_VALUE"""),"Entregable detenido")</f>
        <v>Entregable detenido</v>
      </c>
      <c r="AO145" s="4"/>
      <c r="AP145" s="4"/>
      <c r="AQ145" s="4"/>
      <c r="AR145" s="4" t="str">
        <f ca="1">IFERROR(__xludf.DUMMYFUNCTION("""COMPUTED_VALUE"""),"SDA aprobada en PPP Q1 2023")</f>
        <v>SDA aprobada en PPP Q1 2023</v>
      </c>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row>
    <row r="146" spans="1:132" x14ac:dyDescent="0.2">
      <c r="A146" s="4">
        <f ca="1">IFERROR(__xludf.DUMMYFUNCTION("""COMPUTED_VALUE"""),146)</f>
        <v>146</v>
      </c>
      <c r="B146" s="4">
        <f ca="1">IFERROR(__xludf.DUMMYFUNCTION("""COMPUTED_VALUE"""),124)</f>
        <v>124</v>
      </c>
      <c r="C146" s="4" t="str">
        <f ca="1">IFERROR(__xludf.DUMMYFUNCTION("""COMPUTED_VALUE"""),"SDATOOL-39837")</f>
        <v>SDATOOL-39837</v>
      </c>
      <c r="D146" s="4" t="str">
        <f ca="1">IFERROR(__xludf.DUMMYFUNCTION("""COMPUTED_VALUE"""),"Alta masiva Fase II")</f>
        <v>Alta masiva Fase II</v>
      </c>
      <c r="E146" s="4" t="str">
        <f ca="1">IFERROR(__xludf.DUMMYFUNCTION("""COMPUTED_VALUE"""),"Habilitar un front desde la fábrica,  para el  cargue de archivos de las empresas que por convenio no lo hacen por Net cash.")</f>
        <v>Habilitar un front desde la fábrica,  para el  cargue de archivos de las empresas que por convenio no lo hacen por Net cash.</v>
      </c>
      <c r="F146" s="4" t="str">
        <f ca="1">IFERROR(__xludf.DUMMYFUNCTION("""COMPUTED_VALUE"""),"Initiative")</f>
        <v>Initiative</v>
      </c>
      <c r="G146" s="4" t="str">
        <f ca="1">IFERROR(__xludf.DUMMYFUNCTION("""COMPUTED_VALUE"""),"On hold")</f>
        <v>On hold</v>
      </c>
      <c r="H146" s="4" t="str">
        <f ca="1">IFERROR(__xludf.DUMMYFUNCTION("""COMPUTED_VALUE"""),"4Q 2023")</f>
        <v>4Q 2023</v>
      </c>
      <c r="I146" s="131" t="str">
        <f ca="1">IFERROR(__xludf.DUMMYFUNCTION("""COMPUTED_VALUE"""),"jimy.catolico-bbva.com")</f>
        <v>jimy.catolico-bbva.com</v>
      </c>
      <c r="J146" s="131" t="str">
        <f ca="1">IFERROR(__xludf.DUMMYFUNCTION("""COMPUTED_VALUE"""),"daniela.cifuentes.ariza-bbva.com")</f>
        <v>daniela.cifuentes.ariza-bbva.com</v>
      </c>
      <c r="K146" s="131" t="str">
        <f ca="1">IFERROR(__xludf.DUMMYFUNCTION("""COMPUTED_VALUE"""),"paolaandrea.hermosa-bbva.com")</f>
        <v>paolaandrea.hermosa-bbva.com</v>
      </c>
      <c r="L146" s="130">
        <f ca="1">IFERROR(__xludf.DUMMYFUNCTION("""COMPUTED_VALUE"""),0.1)</f>
        <v>0.1</v>
      </c>
      <c r="M146" s="130">
        <f ca="1">IFERROR(__xludf.DUMMYFUNCTION("""COMPUTED_VALUE"""),0)</f>
        <v>0</v>
      </c>
      <c r="N146" s="130">
        <f ca="1">IFERROR(__xludf.DUMMYFUNCTION("""COMPUTED_VALUE"""),0)</f>
        <v>0</v>
      </c>
      <c r="O146" s="4" t="str">
        <f ca="1">IFERROR(__xludf.DUMMYFUNCTION("""COMPUTED_VALUE"""),"Waterfall")</f>
        <v>Waterfall</v>
      </c>
      <c r="P146" s="4" t="str">
        <f ca="1">IFERROR(__xludf.DUMMYFUNCTION("""COMPUTED_VALUE"""),"Tradicional")</f>
        <v>Tradicional</v>
      </c>
      <c r="Q146" s="4"/>
      <c r="R146" s="130" t="str">
        <f ca="1">IFERROR(__xludf.DUMMYFUNCTION("""COMPUTED_VALUE"""),"Retail Execution")</f>
        <v>Retail Execution</v>
      </c>
      <c r="S146" s="130" t="str">
        <f ca="1">IFERROR(__xludf.DUMMYFUNCTION("""COMPUTED_VALUE"""),"Strategic Review")</f>
        <v>Strategic Review</v>
      </c>
      <c r="T146" s="130" t="str">
        <f ca="1">IFERROR(__xludf.DUMMYFUNCTION("""COMPUTED_VALUE"""),"1. Generación de Ingresos")</f>
        <v>1. Generación de Ingresos</v>
      </c>
      <c r="U146" s="130" t="str">
        <f ca="1">IFERROR(__xludf.DUMMYFUNCTION("""COMPUTED_VALUE"""),"1.3. Pasivos PPNN y PYMEs")</f>
        <v>1.3. Pasivos PPNN y PYMEs</v>
      </c>
      <c r="V146" s="4" t="str">
        <f ca="1">IFERROR(__xludf.DUMMYFUNCTION("""COMPUTED_VALUE"""),"Pasivo")</f>
        <v>Pasivo</v>
      </c>
      <c r="W146" s="4">
        <f ca="1">IFERROR(__xludf.DUMMYFUNCTION("""COMPUTED_VALUE"""),2)</f>
        <v>2</v>
      </c>
      <c r="X146" s="4" t="str">
        <f ca="1">IFERROR(__xludf.DUMMYFUNCTION("""COMPUTED_VALUE"""),"05. Cross-sell")</f>
        <v>05. Cross-sell</v>
      </c>
      <c r="Y146" s="4" t="str">
        <f ca="1">IFERROR(__xludf.DUMMYFUNCTION("""COMPUTED_VALUE"""),"4.1.1. Own channels")</f>
        <v>4.1.1. Own channels</v>
      </c>
      <c r="Z146" s="132" t="str">
        <f ca="1">IFERROR(__xludf.DUMMYFUNCTION("""COMPUTED_VALUE"""),"557966")</f>
        <v>557966</v>
      </c>
      <c r="AA146" s="4" t="str">
        <f ca="1">IFERROR(__xludf.DUMMYFUNCTION("""COMPUTED_VALUE"""),"Alta masiva fase II")</f>
        <v>Alta masiva fase II</v>
      </c>
      <c r="AB146" s="4" t="str">
        <f ca="1">IFERROR(__xludf.DUMMYFUNCTION("""COMPUTED_VALUE"""),"Alta masiva fase II")</f>
        <v>Alta masiva fase II</v>
      </c>
      <c r="AC146" s="4" t="str">
        <f ca="1">IFERROR(__xludf.DUMMYFUNCTION("""COMPUTED_VALUE"""),"3Q 2023")</f>
        <v>3Q 2023</v>
      </c>
      <c r="AD146" s="4"/>
      <c r="AE146" s="4"/>
      <c r="AF146" s="4"/>
      <c r="AG146" s="4"/>
      <c r="AH146" s="4"/>
      <c r="AI146" s="4"/>
      <c r="AJ146" s="4"/>
      <c r="AK146" s="131" t="str">
        <f ca="1">IFERROR(__xludf.DUMMYFUNCTION("""COMPUTED_VALUE"""),"COLWSCUENT-2220")</f>
        <v>COLWSCUENT-2220</v>
      </c>
      <c r="AL146" s="4" t="str">
        <f ca="1">IFERROR(__xludf.DUMMYFUNCTION("""COMPUTED_VALUE"""),"New")</f>
        <v>New</v>
      </c>
      <c r="AM146" s="4"/>
      <c r="AN146" s="4" t="str">
        <f ca="1">IFERROR(__xludf.DUMMYFUNCTION("""COMPUTED_VALUE"""),"Iniciativa en Discovery")</f>
        <v>Iniciativa en Discovery</v>
      </c>
      <c r="AO146" s="4" t="str">
        <f ca="1">IFERROR(__xludf.DUMMYFUNCTION("""COMPUTED_VALUE"""),"Pasivos")</f>
        <v>Pasivos</v>
      </c>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133">
        <f ca="1">IFERROR(__xludf.DUMMYFUNCTION("""COMPUTED_VALUE"""),0)</f>
        <v>0</v>
      </c>
      <c r="DV146" s="133">
        <f ca="1">IFERROR(__xludf.DUMMYFUNCTION("""COMPUTED_VALUE"""),0)</f>
        <v>0</v>
      </c>
      <c r="DW146" s="133">
        <f ca="1">IFERROR(__xludf.DUMMYFUNCTION("""COMPUTED_VALUE"""),0)</f>
        <v>0</v>
      </c>
      <c r="DX146" s="133">
        <f ca="1">IFERROR(__xludf.DUMMYFUNCTION("""COMPUTED_VALUE"""),0)</f>
        <v>0</v>
      </c>
      <c r="DY146" s="133">
        <f ca="1">IFERROR(__xludf.DUMMYFUNCTION("""COMPUTED_VALUE"""),0)</f>
        <v>0</v>
      </c>
      <c r="DZ146" s="133">
        <f ca="1">IFERROR(__xludf.DUMMYFUNCTION("""COMPUTED_VALUE"""),0)</f>
        <v>0</v>
      </c>
      <c r="EA146" s="4"/>
      <c r="EB146" s="4"/>
    </row>
    <row r="147" spans="1:132" x14ac:dyDescent="0.2">
      <c r="A147" s="4">
        <f ca="1">IFERROR(__xludf.DUMMYFUNCTION("""COMPUTED_VALUE"""),147)</f>
        <v>147</v>
      </c>
      <c r="B147" s="4">
        <f ca="1">IFERROR(__xludf.DUMMYFUNCTION("""COMPUTED_VALUE"""),125)</f>
        <v>125</v>
      </c>
      <c r="C147" s="4" t="str">
        <f ca="1">IFERROR(__xludf.DUMMYFUNCTION("""COMPUTED_VALUE"""),"SDATOOL-40629")</f>
        <v>SDATOOL-40629</v>
      </c>
      <c r="D147" s="4" t="str">
        <f ca="1">IFERROR(__xludf.DUMMYFUNCTION("""COMPUTED_VALUE"""),"Cedula Digital")</f>
        <v>Cedula Digital</v>
      </c>
      <c r="E147" s="4" t="str">
        <f ca="1">IFERROR(__xludf.DUMMYFUNCTION("""COMPUTED_VALUE"""),"A partir del mes de agosto del 2022 la registraduria elimina la cedula de hologramas para dar paso a la cedula digital la cual se podra obtener a traves de una aplicacion movil y un plastico con el que los ciudadanos podran identificarse. Adicionalmente l"&amp;"a registraduria a dispuesto tambien de una contraseña digital la cual servira como documento de identidad mientras la cedula digital termina su tramite.")</f>
        <v>A partir del mes de agosto del 2022 la registraduria elimina la cedula de hologramas para dar paso a la cedula digital la cual se podra obtener a traves de una aplicacion movil y un plastico con el que los ciudadanos podran identificarse. Adicionalmente la registraduria a dispuesto tambien de una contraseña digital la cual servira como documento de identidad mientras la cedula digital termina su tramite.</v>
      </c>
      <c r="F147" s="4" t="str">
        <f ca="1">IFERROR(__xludf.DUMMYFUNCTION("""COMPUTED_VALUE"""),"Initiative")</f>
        <v>Initiative</v>
      </c>
      <c r="G147" s="4" t="str">
        <f ca="1">IFERROR(__xludf.DUMMYFUNCTION("""COMPUTED_VALUE"""),"Ended")</f>
        <v>Ended</v>
      </c>
      <c r="H147" s="4" t="str">
        <f ca="1">IFERROR(__xludf.DUMMYFUNCTION("""COMPUTED_VALUE"""),"1Q 2023")</f>
        <v>1Q 2023</v>
      </c>
      <c r="I147" s="131" t="str">
        <f ca="1">IFERROR(__xludf.DUMMYFUNCTION("""COMPUTED_VALUE"""),"jimy.catolico-bbva.com")</f>
        <v>jimy.catolico-bbva.com</v>
      </c>
      <c r="J147" s="4"/>
      <c r="K147" s="131" t="str">
        <f ca="1">IFERROR(__xludf.DUMMYFUNCTION("""COMPUTED_VALUE"""),"monica.zamudio-bbva.com")</f>
        <v>monica.zamudio-bbva.com</v>
      </c>
      <c r="L147" s="130">
        <f ca="1">IFERROR(__xludf.DUMMYFUNCTION("""COMPUTED_VALUE"""),0)</f>
        <v>0</v>
      </c>
      <c r="M147" s="130">
        <f ca="1">IFERROR(__xludf.DUMMYFUNCTION("""COMPUTED_VALUE"""),0)</f>
        <v>0</v>
      </c>
      <c r="N147" s="130">
        <f ca="1">IFERROR(__xludf.DUMMYFUNCTION("""COMPUTED_VALUE"""),0)</f>
        <v>0</v>
      </c>
      <c r="O147" s="4" t="str">
        <f ca="1">IFERROR(__xludf.DUMMYFUNCTION("""COMPUTED_VALUE"""),"Waterfall")</f>
        <v>Waterfall</v>
      </c>
      <c r="P147" s="4" t="str">
        <f ca="1">IFERROR(__xludf.DUMMYFUNCTION("""COMPUTED_VALUE"""),"Tradicional")</f>
        <v>Tradicional</v>
      </c>
      <c r="Q147" s="4"/>
      <c r="R147" s="130" t="str">
        <f ca="1">IFERROR(__xludf.DUMMYFUNCTION("""COMPUTED_VALUE"""),"Retail Execution")</f>
        <v>Retail Execution</v>
      </c>
      <c r="S147" s="130" t="str">
        <f ca="1">IFERROR(__xludf.DUMMYFUNCTION("""COMPUTED_VALUE"""),"Otros")</f>
        <v>Otros</v>
      </c>
      <c r="T147" s="130" t="str">
        <f ca="1">IFERROR(__xludf.DUMMYFUNCTION("""COMPUTED_VALUE"""),"1. Generación de Ingresos")</f>
        <v>1. Generación de Ingresos</v>
      </c>
      <c r="U147" s="130" t="str">
        <f ca="1">IFERROR(__xludf.DUMMYFUNCTION("""COMPUTED_VALUE"""),"1.5. Otros de Proyectos de Ingresos")</f>
        <v>1.5. Otros de Proyectos de Ingresos</v>
      </c>
      <c r="V147" s="4" t="str">
        <f ca="1">IFERROR(__xludf.DUMMYFUNCTION("""COMPUTED_VALUE"""),"Otros")</f>
        <v>Otros</v>
      </c>
      <c r="W147" s="4">
        <f ca="1">IFERROR(__xludf.DUMMYFUNCTION("""COMPUTED_VALUE"""),2)</f>
        <v>2</v>
      </c>
      <c r="X147" s="4" t="str">
        <f ca="1">IFERROR(__xludf.DUMMYFUNCTION("""COMPUTED_VALUE"""),"10. Otros")</f>
        <v>10. Otros</v>
      </c>
      <c r="Y147" s="130" t="str">
        <f ca="1">IFERROR(__xludf.DUMMYFUNCTION("""COMPUTED_VALUE"""),"Otros")</f>
        <v>Otros</v>
      </c>
      <c r="Z147" s="132" t="str">
        <f ca="1">IFERROR(__xludf.DUMMYFUNCTION("""COMPUTED_VALUE"""),"625910")</f>
        <v>625910</v>
      </c>
      <c r="AA147" s="4" t="str">
        <f ca="1">IFERROR(__xludf.DUMMYFUNCTION("""COMPUTED_VALUE"""),"Iniciativa en Backlog, en espera de priorización")</f>
        <v>Iniciativa en Backlog, en espera de priorización</v>
      </c>
      <c r="AB147" s="4" t="str">
        <f ca="1">IFERROR(__xludf.DUMMYFUNCTION("""COMPUTED_VALUE"""),"Iniciativa en Backlog, en espera de priorización")</f>
        <v>Iniciativa en Backlog, en espera de priorización</v>
      </c>
      <c r="AC147" s="4" t="str">
        <f ca="1">IFERROR(__xludf.DUMMYFUNCTION("""COMPUTED_VALUE"""),"4Q 2023")</f>
        <v>4Q 2023</v>
      </c>
      <c r="AD147" s="4"/>
      <c r="AE147" s="4"/>
      <c r="AF147" s="4"/>
      <c r="AG147" s="4"/>
      <c r="AH147" s="4"/>
      <c r="AI147" s="4"/>
      <c r="AJ147" s="4"/>
      <c r="AK147" s="4" t="str">
        <f ca="1">IFERROR(__xludf.DUMMYFUNCTION("""COMPUTED_VALUE"""),"Sin asignar")</f>
        <v>Sin asignar</v>
      </c>
      <c r="AL147" s="4" t="str">
        <f ca="1">IFERROR(__xludf.DUMMYFUNCTION("""COMPUTED_VALUE"""),"Sin asignar")</f>
        <v>Sin asignar</v>
      </c>
      <c r="AM147" s="4"/>
      <c r="AN147" s="4" t="str">
        <f ca="1">IFERROR(__xludf.DUMMYFUNCTION("""COMPUTED_VALUE"""),"Iniciativa en Discovery")</f>
        <v>Iniciativa en Discovery</v>
      </c>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133">
        <f ca="1">IFERROR(__xludf.DUMMYFUNCTION("""COMPUTED_VALUE"""),0)</f>
        <v>0</v>
      </c>
      <c r="DV147" s="133">
        <f ca="1">IFERROR(__xludf.DUMMYFUNCTION("""COMPUTED_VALUE"""),0)</f>
        <v>0</v>
      </c>
      <c r="DW147" s="133">
        <f ca="1">IFERROR(__xludf.DUMMYFUNCTION("""COMPUTED_VALUE"""),0)</f>
        <v>0</v>
      </c>
      <c r="DX147" s="133">
        <f ca="1">IFERROR(__xludf.DUMMYFUNCTION("""COMPUTED_VALUE"""),0)</f>
        <v>0</v>
      </c>
      <c r="DY147" s="133">
        <f ca="1">IFERROR(__xludf.DUMMYFUNCTION("""COMPUTED_VALUE"""),0)</f>
        <v>0</v>
      </c>
      <c r="DZ147" s="133">
        <f ca="1">IFERROR(__xludf.DUMMYFUNCTION("""COMPUTED_VALUE"""),0)</f>
        <v>0</v>
      </c>
      <c r="EA147" s="4"/>
      <c r="EB147" s="4"/>
    </row>
    <row r="148" spans="1:132" x14ac:dyDescent="0.2">
      <c r="A148" s="4">
        <f ca="1">IFERROR(__xludf.DUMMYFUNCTION("""COMPUTED_VALUE"""),148)</f>
        <v>148</v>
      </c>
      <c r="B148" s="4">
        <f ca="1">IFERROR(__xludf.DUMMYFUNCTION("""COMPUTED_VALUE"""),126)</f>
        <v>126</v>
      </c>
      <c r="C148" s="4" t="str">
        <f ca="1">IFERROR(__xludf.DUMMYFUNCTION("""COMPUTED_VALUE"""),"SDATOOL-40555")</f>
        <v>SDATOOL-40555</v>
      </c>
      <c r="D148" s="4" t="str">
        <f ca="1">IFERROR(__xludf.DUMMYFUNCTION("""COMPUTED_VALUE"""),"ADELANTO DE VENTA EN GEMA")</f>
        <v>ADELANTO DE VENTA EN GEMA</v>
      </c>
      <c r="E148"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48" s="4" t="str">
        <f ca="1">IFERROR(__xludf.DUMMYFUNCTION("""COMPUTED_VALUE"""),"Initiative")</f>
        <v>Initiative</v>
      </c>
      <c r="G148" s="4" t="str">
        <f ca="1">IFERROR(__xludf.DUMMYFUNCTION("""COMPUTED_VALUE"""),"On hold")</f>
        <v>On hold</v>
      </c>
      <c r="H148" s="4" t="str">
        <f ca="1">IFERROR(__xludf.DUMMYFUNCTION("""COMPUTED_VALUE"""),"4Q 2023")</f>
        <v>4Q 2023</v>
      </c>
      <c r="I148" s="131" t="str">
        <f ca="1">IFERROR(__xludf.DUMMYFUNCTION("""COMPUTED_VALUE"""),"catalina.villamil-bbva.com")</f>
        <v>catalina.villamil-bbva.com</v>
      </c>
      <c r="J148" s="131" t="str">
        <f ca="1">IFERROR(__xludf.DUMMYFUNCTION("""COMPUTED_VALUE"""),"irene.angel-bbva.com")</f>
        <v>irene.angel-bbva.com</v>
      </c>
      <c r="K148" s="131" t="str">
        <f ca="1">IFERROR(__xludf.DUMMYFUNCTION("""COMPUTED_VALUE"""),"jhon.molina-bbva.com")</f>
        <v>jhon.molina-bbva.com</v>
      </c>
      <c r="L148" s="130">
        <f ca="1">IFERROR(__xludf.DUMMYFUNCTION("""COMPUTED_VALUE"""),0.5)</f>
        <v>0.5</v>
      </c>
      <c r="M148" s="130">
        <f ca="1">IFERROR(__xludf.DUMMYFUNCTION("""COMPUTED_VALUE"""),4.25)</f>
        <v>4.25</v>
      </c>
      <c r="N148" s="130">
        <f ca="1">IFERROR(__xludf.DUMMYFUNCTION("""COMPUTED_VALUE"""),9)</f>
        <v>9</v>
      </c>
      <c r="O148" s="4" t="str">
        <f ca="1">IFERROR(__xludf.DUMMYFUNCTION("""COMPUTED_VALUE"""),"Scrum")</f>
        <v>Scrum</v>
      </c>
      <c r="P148" s="4" t="str">
        <f ca="1">IFERROR(__xludf.DUMMYFUNCTION("""COMPUTED_VALUE"""),"Maverick")</f>
        <v>Maverick</v>
      </c>
      <c r="Q148" s="130">
        <f ca="1">IFERROR(__xludf.DUMMYFUNCTION("""COMPUTED_VALUE"""),1)</f>
        <v>1</v>
      </c>
      <c r="R148" s="130" t="str">
        <f ca="1">IFERROR(__xludf.DUMMYFUNCTION("""COMPUTED_VALUE"""),"Enterprises")</f>
        <v>Enterprises</v>
      </c>
      <c r="S148" s="130" t="str">
        <f ca="1">IFERROR(__xludf.DUMMYFUNCTION("""COMPUTED_VALUE"""),"Area Review")</f>
        <v>Area Review</v>
      </c>
      <c r="T148" s="130" t="str">
        <f ca="1">IFERROR(__xludf.DUMMYFUNCTION("""COMPUTED_VALUE"""),"1. Generación de Ingresos")</f>
        <v>1. Generación de Ingresos</v>
      </c>
      <c r="U148" s="130" t="str">
        <f ca="1">IFERROR(__xludf.DUMMYFUNCTION("""COMPUTED_VALUE"""),"1.5. Otros de Proyectos de Ingresos")</f>
        <v>1.5. Otros de Proyectos de Ingresos</v>
      </c>
      <c r="V148" s="4" t="str">
        <f ca="1">IFERROR(__xludf.DUMMYFUNCTION("""COMPUTED_VALUE"""),"Digital Sales")</f>
        <v>Digital Sales</v>
      </c>
      <c r="W148" s="4">
        <f ca="1">IFERROR(__xludf.DUMMYFUNCTION("""COMPUTED_VALUE"""),1)</f>
        <v>1</v>
      </c>
      <c r="X148" s="4" t="str">
        <f ca="1">IFERROR(__xludf.DUMMYFUNCTION("""COMPUTED_VALUE"""),"03. SMEs &amp; Self-employed")</f>
        <v>03. SMEs &amp; Self-employed</v>
      </c>
      <c r="Y148" s="4" t="str">
        <f ca="1">IFERROR(__xludf.DUMMYFUNCTION("""COMPUTED_VALUE"""),"4.2.1 SMEs POS Linked Loans")</f>
        <v>4.2.1 SMEs POS Linked Loans</v>
      </c>
      <c r="Z148" s="132" t="str">
        <f ca="1">IFERROR(__xludf.DUMMYFUNCTION("""COMPUTED_VALUE"""),"560585")</f>
        <v>560585</v>
      </c>
      <c r="AA148" s="4" t="str">
        <f ca="1">IFERROR(__xludf.DUMMYFUNCTION("""COMPUTED_VALUE"""),"Adelanto de Venta Fase 1 /GEMA")</f>
        <v>Adelanto de Venta Fase 1 /GEMA</v>
      </c>
      <c r="AB148" s="4" t="str">
        <f ca="1">IFERROR(__xludf.DUMMYFUNCTION("""COMPUTED_VALUE"""),"Fase de Contratación de Adelanto de Venta")</f>
        <v>Fase de Contratación de Adelanto de Venta</v>
      </c>
      <c r="AC148" s="4" t="str">
        <f ca="1">IFERROR(__xludf.DUMMYFUNCTION("""COMPUTED_VALUE"""),"3Q 2023")</f>
        <v>3Q 2023</v>
      </c>
      <c r="AD148" s="4"/>
      <c r="AE148" s="4"/>
      <c r="AF148" s="4"/>
      <c r="AG148" s="4"/>
      <c r="AH148" s="4"/>
      <c r="AI148" s="4"/>
      <c r="AJ148" s="4"/>
      <c r="AK148" s="131" t="str">
        <f ca="1">IFERROR(__xludf.DUMMYFUNCTION("""COMPUTED_VALUE"""),"COLWSCANAL-14990")</f>
        <v>COLWSCANAL-14990</v>
      </c>
      <c r="AL148" s="4" t="str">
        <f ca="1">IFERROR(__xludf.DUMMYFUNCTION("""COMPUTED_VALUE"""),"New")</f>
        <v>New</v>
      </c>
      <c r="AM148" s="4"/>
      <c r="AN148" s="4" t="str">
        <f ca="1">IFERROR(__xludf.DUMMYFUNCTION("""COMPUTED_VALUE"""),"Entregable en Conceptualización")</f>
        <v>Entregable en Conceptualización</v>
      </c>
      <c r="AO148" s="4" t="str">
        <f ca="1">IFERROR(__xludf.DUMMYFUNCTION("""COMPUTED_VALUE"""),"Pymes")</f>
        <v>Pymes</v>
      </c>
      <c r="AP148" s="4"/>
      <c r="AQ148" s="4"/>
      <c r="AR148" s="4" t="str">
        <f ca="1">IFERROR(__xludf.DUMMYFUNCTION("""COMPUTED_VALUE"""),"SDA aprobada en PPP Q1 2023")</f>
        <v>SDA aprobada en PPP Q1 2023</v>
      </c>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133">
        <f ca="1">IFERROR(__xludf.DUMMYFUNCTION("""COMPUTED_VALUE"""),0)</f>
        <v>0</v>
      </c>
      <c r="DV148" s="133">
        <f ca="1">IFERROR(__xludf.DUMMYFUNCTION("""COMPUTED_VALUE"""),0)</f>
        <v>0</v>
      </c>
      <c r="DW148" s="133">
        <f ca="1">IFERROR(__xludf.DUMMYFUNCTION("""COMPUTED_VALUE"""),0)</f>
        <v>0</v>
      </c>
      <c r="DX148" s="133">
        <f ca="1">IFERROR(__xludf.DUMMYFUNCTION("""COMPUTED_VALUE"""),1560500000)</f>
        <v>1560500000</v>
      </c>
      <c r="DY148" s="133">
        <f ca="1">IFERROR(__xludf.DUMMYFUNCTION("""COMPUTED_VALUE"""),0)</f>
        <v>0</v>
      </c>
      <c r="DZ148" s="133">
        <f ca="1">IFERROR(__xludf.DUMMYFUNCTION("""COMPUTED_VALUE"""),1560500000)</f>
        <v>1560500000</v>
      </c>
      <c r="EA148" s="4"/>
      <c r="EB148" s="4"/>
    </row>
    <row r="149" spans="1:132" x14ac:dyDescent="0.2">
      <c r="A149" s="4">
        <f ca="1">IFERROR(__xludf.DUMMYFUNCTION("""COMPUTED_VALUE"""),149)</f>
        <v>149</v>
      </c>
      <c r="B149" s="4">
        <f ca="1">IFERROR(__xludf.DUMMYFUNCTION("""COMPUTED_VALUE"""),127)</f>
        <v>127</v>
      </c>
      <c r="C149" s="4" t="str">
        <f ca="1">IFERROR(__xludf.DUMMYFUNCTION("""COMPUTED_VALUE"""),"SDATOOL-40555")</f>
        <v>SDATOOL-40555</v>
      </c>
      <c r="D149" s="4" t="str">
        <f ca="1">IFERROR(__xludf.DUMMYFUNCTION("""COMPUTED_VALUE"""),"ADELANTO DE VENTA EN GEMA")</f>
        <v>ADELANTO DE VENTA EN GEMA</v>
      </c>
      <c r="E149"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49" s="4" t="str">
        <f ca="1">IFERROR(__xludf.DUMMYFUNCTION("""COMPUTED_VALUE"""),"Initiative")</f>
        <v>Initiative</v>
      </c>
      <c r="G149" s="4" t="str">
        <f ca="1">IFERROR(__xludf.DUMMYFUNCTION("""COMPUTED_VALUE"""),"On hold")</f>
        <v>On hold</v>
      </c>
      <c r="H149" s="4" t="str">
        <f ca="1">IFERROR(__xludf.DUMMYFUNCTION("""COMPUTED_VALUE"""),"4Q 2023")</f>
        <v>4Q 2023</v>
      </c>
      <c r="I149" s="131" t="str">
        <f ca="1">IFERROR(__xludf.DUMMYFUNCTION("""COMPUTED_VALUE"""),"catalina.villamil-bbva.com")</f>
        <v>catalina.villamil-bbva.com</v>
      </c>
      <c r="J149" s="131" t="str">
        <f ca="1">IFERROR(__xludf.DUMMYFUNCTION("""COMPUTED_VALUE"""),"irene.angel-bbva.com")</f>
        <v>irene.angel-bbva.com</v>
      </c>
      <c r="K149" s="131" t="str">
        <f ca="1">IFERROR(__xludf.DUMMYFUNCTION("""COMPUTED_VALUE"""),"jhon.molina-bbva.com")</f>
        <v>jhon.molina-bbva.com</v>
      </c>
      <c r="L149" s="4"/>
      <c r="M149" s="4"/>
      <c r="N149" s="4"/>
      <c r="O149" s="4" t="str">
        <f ca="1">IFERROR(__xludf.DUMMYFUNCTION("""COMPUTED_VALUE"""),"Scrum")</f>
        <v>Scrum</v>
      </c>
      <c r="P149" s="4" t="str">
        <f ca="1">IFERROR(__xludf.DUMMYFUNCTION("""COMPUTED_VALUE"""),"Maverick")</f>
        <v>Maverick</v>
      </c>
      <c r="Q149" s="4"/>
      <c r="R149" s="130" t="str">
        <f ca="1">IFERROR(__xludf.DUMMYFUNCTION("""COMPUTED_VALUE"""),"Enterprises")</f>
        <v>Enterprises</v>
      </c>
      <c r="S149" s="130" t="str">
        <f ca="1">IFERROR(__xludf.DUMMYFUNCTION("""COMPUTED_VALUE"""),"Area Review")</f>
        <v>Area Review</v>
      </c>
      <c r="T149" s="130" t="str">
        <f ca="1">IFERROR(__xludf.DUMMYFUNCTION("""COMPUTED_VALUE"""),"1. Generación de Ingresos")</f>
        <v>1. Generación de Ingresos</v>
      </c>
      <c r="U149" s="130" t="str">
        <f ca="1">IFERROR(__xludf.DUMMYFUNCTION("""COMPUTED_VALUE"""),"1.5. Otros de Proyectos de Ingresos")</f>
        <v>1.5. Otros de Proyectos de Ingresos</v>
      </c>
      <c r="V149" s="4" t="str">
        <f ca="1">IFERROR(__xludf.DUMMYFUNCTION("""COMPUTED_VALUE"""),"Digital Sales")</f>
        <v>Digital Sales</v>
      </c>
      <c r="W149" s="4">
        <f ca="1">IFERROR(__xludf.DUMMYFUNCTION("""COMPUTED_VALUE"""),1)</f>
        <v>1</v>
      </c>
      <c r="X149" s="4" t="str">
        <f ca="1">IFERROR(__xludf.DUMMYFUNCTION("""COMPUTED_VALUE"""),"03. SMEs &amp; Self-employed")</f>
        <v>03. SMEs &amp; Self-employed</v>
      </c>
      <c r="Y149" s="4" t="str">
        <f ca="1">IFERROR(__xludf.DUMMYFUNCTION("""COMPUTED_VALUE"""),"4.2.1 SMEs POS Linked Loans")</f>
        <v>4.2.1 SMEs POS Linked Loans</v>
      </c>
      <c r="Z149" s="132" t="str">
        <f ca="1">IFERROR(__xludf.DUMMYFUNCTION("""COMPUTED_VALUE"""),"626172")</f>
        <v>626172</v>
      </c>
      <c r="AA149" s="4" t="str">
        <f ca="1">IFERROR(__xludf.DUMMYFUNCTION("""COMPUTED_VALUE"""),"Adelanto de Venta Fase 2 /GEMA")</f>
        <v>Adelanto de Venta Fase 2 /GEMA</v>
      </c>
      <c r="AB149" s="4" t="str">
        <f ca="1">IFERROR(__xludf.DUMMYFUNCTION("""COMPUTED_VALUE"""),"Fase 2 Pagos fijos")</f>
        <v>Fase 2 Pagos fijos</v>
      </c>
      <c r="AC149" s="4" t="str">
        <f ca="1">IFERROR(__xludf.DUMMYFUNCTION("""COMPUTED_VALUE"""),"4Q 2023")</f>
        <v>4Q 2023</v>
      </c>
      <c r="AD149" s="4"/>
      <c r="AE149" s="4"/>
      <c r="AF149" s="4"/>
      <c r="AG149" s="4"/>
      <c r="AH149" s="4"/>
      <c r="AI149" s="4"/>
      <c r="AJ149" s="4"/>
      <c r="AK149" s="131" t="str">
        <f ca="1">IFERROR(__xludf.DUMMYFUNCTION("""COMPUTED_VALUE"""),"COLWSCANAL-8736")</f>
        <v>COLWSCANAL-8736</v>
      </c>
      <c r="AL149" s="4" t="str">
        <f ca="1">IFERROR(__xludf.DUMMYFUNCTION("""COMPUTED_VALUE"""),"Analysing")</f>
        <v>Analysing</v>
      </c>
      <c r="AM149" s="4"/>
      <c r="AN149" s="4" t="str">
        <f ca="1">IFERROR(__xludf.DUMMYFUNCTION("""COMPUTED_VALUE"""),"Entregable en Conceptualización")</f>
        <v>Entregable en Conceptualización</v>
      </c>
      <c r="AO149" s="4" t="str">
        <f ca="1">IFERROR(__xludf.DUMMYFUNCTION("""COMPUTED_VALUE"""),"Pymes")</f>
        <v>Pymes</v>
      </c>
      <c r="AP149" s="4"/>
      <c r="AQ149" s="4"/>
      <c r="AR149" s="4" t="str">
        <f ca="1">IFERROR(__xludf.DUMMYFUNCTION("""COMPUTED_VALUE"""),"SDA aprobada en PPP Q1 2023")</f>
        <v>SDA aprobada en PPP Q1 2023</v>
      </c>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row>
    <row r="150" spans="1:132" x14ac:dyDescent="0.2">
      <c r="A150" s="4">
        <f ca="1">IFERROR(__xludf.DUMMYFUNCTION("""COMPUTED_VALUE"""),150)</f>
        <v>150</v>
      </c>
      <c r="B150" s="4">
        <f ca="1">IFERROR(__xludf.DUMMYFUNCTION("""COMPUTED_VALUE"""),128)</f>
        <v>128</v>
      </c>
      <c r="C150" s="4" t="str">
        <f ca="1">IFERROR(__xludf.DUMMYFUNCTION("""COMPUTED_VALUE"""),"SDATOOL-40555")</f>
        <v>SDATOOL-40555</v>
      </c>
      <c r="D150" s="4" t="str">
        <f ca="1">IFERROR(__xludf.DUMMYFUNCTION("""COMPUTED_VALUE"""),"ADELANTO DE VENTA EN GEMA")</f>
        <v>ADELANTO DE VENTA EN GEMA</v>
      </c>
      <c r="E150"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50" s="4" t="str">
        <f ca="1">IFERROR(__xludf.DUMMYFUNCTION("""COMPUTED_VALUE"""),"Initiative")</f>
        <v>Initiative</v>
      </c>
      <c r="G150" s="4" t="str">
        <f ca="1">IFERROR(__xludf.DUMMYFUNCTION("""COMPUTED_VALUE"""),"On hold")</f>
        <v>On hold</v>
      </c>
      <c r="H150" s="4" t="str">
        <f ca="1">IFERROR(__xludf.DUMMYFUNCTION("""COMPUTED_VALUE"""),"4Q 2023")</f>
        <v>4Q 2023</v>
      </c>
      <c r="I150" s="131" t="str">
        <f ca="1">IFERROR(__xludf.DUMMYFUNCTION("""COMPUTED_VALUE"""),"catalina.villamil-bbva.com")</f>
        <v>catalina.villamil-bbva.com</v>
      </c>
      <c r="J150" s="131" t="str">
        <f ca="1">IFERROR(__xludf.DUMMYFUNCTION("""COMPUTED_VALUE"""),"irene.angel-bbva.com")</f>
        <v>irene.angel-bbva.com</v>
      </c>
      <c r="K150" s="131" t="str">
        <f ca="1">IFERROR(__xludf.DUMMYFUNCTION("""COMPUTED_VALUE"""),"jhon.molina-bbva.com")</f>
        <v>jhon.molina-bbva.com</v>
      </c>
      <c r="L150" s="4"/>
      <c r="M150" s="4"/>
      <c r="N150" s="4"/>
      <c r="O150" s="4" t="str">
        <f ca="1">IFERROR(__xludf.DUMMYFUNCTION("""COMPUTED_VALUE"""),"Scrum")</f>
        <v>Scrum</v>
      </c>
      <c r="P150" s="4" t="str">
        <f ca="1">IFERROR(__xludf.DUMMYFUNCTION("""COMPUTED_VALUE"""),"Maverick")</f>
        <v>Maverick</v>
      </c>
      <c r="Q150" s="4"/>
      <c r="R150" s="130" t="str">
        <f ca="1">IFERROR(__xludf.DUMMYFUNCTION("""COMPUTED_VALUE"""),"Enterprises")</f>
        <v>Enterprises</v>
      </c>
      <c r="S150" s="130" t="str">
        <f ca="1">IFERROR(__xludf.DUMMYFUNCTION("""COMPUTED_VALUE"""),"Area Review")</f>
        <v>Area Review</v>
      </c>
      <c r="T150" s="130" t="str">
        <f ca="1">IFERROR(__xludf.DUMMYFUNCTION("""COMPUTED_VALUE"""),"1. Generación de Ingresos")</f>
        <v>1. Generación de Ingresos</v>
      </c>
      <c r="U150" s="130" t="str">
        <f ca="1">IFERROR(__xludf.DUMMYFUNCTION("""COMPUTED_VALUE"""),"1.5. Otros de Proyectos de Ingresos")</f>
        <v>1.5. Otros de Proyectos de Ingresos</v>
      </c>
      <c r="V150" s="4" t="str">
        <f ca="1">IFERROR(__xludf.DUMMYFUNCTION("""COMPUTED_VALUE"""),"Digital Sales")</f>
        <v>Digital Sales</v>
      </c>
      <c r="W150" s="4">
        <f ca="1">IFERROR(__xludf.DUMMYFUNCTION("""COMPUTED_VALUE"""),1)</f>
        <v>1</v>
      </c>
      <c r="X150" s="4" t="str">
        <f ca="1">IFERROR(__xludf.DUMMYFUNCTION("""COMPUTED_VALUE"""),"03. SMEs &amp; Self-employed")</f>
        <v>03. SMEs &amp; Self-employed</v>
      </c>
      <c r="Y150" s="4" t="str">
        <f ca="1">IFERROR(__xludf.DUMMYFUNCTION("""COMPUTED_VALUE"""),"4.2.1 SMEs POS Linked Loans")</f>
        <v>4.2.1 SMEs POS Linked Loans</v>
      </c>
      <c r="Z150" s="132" t="str">
        <f ca="1">IFERROR(__xludf.DUMMYFUNCTION("""COMPUTED_VALUE"""),"626173")</f>
        <v>626173</v>
      </c>
      <c r="AA150" s="4" t="str">
        <f ca="1">IFERROR(__xludf.DUMMYFUNCTION("""COMPUTED_VALUE"""),"Adelanto de Venta Fase 3 /GEMA")</f>
        <v>Adelanto de Venta Fase 3 /GEMA</v>
      </c>
      <c r="AB150" s="4" t="str">
        <f ca="1">IFERROR(__xludf.DUMMYFUNCTION("""COMPUTED_VALUE"""),"Fase 3 Pagos Flexibles")</f>
        <v>Fase 3 Pagos Flexibles</v>
      </c>
      <c r="AC150" s="4" t="str">
        <f ca="1">IFERROR(__xludf.DUMMYFUNCTION("""COMPUTED_VALUE"""),"4Q 2023")</f>
        <v>4Q 2023</v>
      </c>
      <c r="AD150" s="4"/>
      <c r="AE150" s="4"/>
      <c r="AF150" s="4"/>
      <c r="AG150" s="4"/>
      <c r="AH150" s="4"/>
      <c r="AI150" s="4"/>
      <c r="AJ150" s="4"/>
      <c r="AK150" s="131" t="str">
        <f ca="1">IFERROR(__xludf.DUMMYFUNCTION("""COMPUTED_VALUE"""),"COLWSCANAL-12251")</f>
        <v>COLWSCANAL-12251</v>
      </c>
      <c r="AL150" s="4" t="str">
        <f ca="1">IFERROR(__xludf.DUMMYFUNCTION("""COMPUTED_VALUE"""),"New")</f>
        <v>New</v>
      </c>
      <c r="AM150" s="4"/>
      <c r="AN150" s="4" t="str">
        <f ca="1">IFERROR(__xludf.DUMMYFUNCTION("""COMPUTED_VALUE"""),"Entregable en Conceptualización")</f>
        <v>Entregable en Conceptualización</v>
      </c>
      <c r="AO150" s="4" t="str">
        <f ca="1">IFERROR(__xludf.DUMMYFUNCTION("""COMPUTED_VALUE"""),"Pymes")</f>
        <v>Pymes</v>
      </c>
      <c r="AP150" s="4"/>
      <c r="AQ150" s="4"/>
      <c r="AR150" s="4" t="str">
        <f ca="1">IFERROR(__xludf.DUMMYFUNCTION("""COMPUTED_VALUE"""),"SDA aprobada en PPP Q1 2023")</f>
        <v>SDA aprobada en PPP Q1 2023</v>
      </c>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row>
    <row r="151" spans="1:132" x14ac:dyDescent="0.2">
      <c r="A151" s="4">
        <f ca="1">IFERROR(__xludf.DUMMYFUNCTION("""COMPUTED_VALUE"""),151)</f>
        <v>151</v>
      </c>
      <c r="B151" s="4">
        <f ca="1">IFERROR(__xludf.DUMMYFUNCTION("""COMPUTED_VALUE"""),129)</f>
        <v>129</v>
      </c>
      <c r="C151" s="4" t="str">
        <f ca="1">IFERROR(__xludf.DUMMYFUNCTION("""COMPUTED_VALUE"""),"SDATOOL-39358")</f>
        <v>SDATOOL-39358</v>
      </c>
      <c r="D151" s="4" t="str">
        <f ca="1">IFERROR(__xludf.DUMMYFUNCTION("""COMPUTED_VALUE"""),"Crédito Virtual")</f>
        <v>Crédito Virtual</v>
      </c>
      <c r="E151"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1" s="4" t="str">
        <f ca="1">IFERROR(__xludf.DUMMYFUNCTION("""COMPUTED_VALUE"""),"Project")</f>
        <v>Project</v>
      </c>
      <c r="G151" s="4" t="str">
        <f ca="1">IFERROR(__xludf.DUMMYFUNCTION("""COMPUTED_VALUE"""),"Stock")</f>
        <v>Stock</v>
      </c>
      <c r="H151" s="4" t="str">
        <f ca="1">IFERROR(__xludf.DUMMYFUNCTION("""COMPUTED_VALUE"""),"3Q 2023")</f>
        <v>3Q 2023</v>
      </c>
      <c r="I151" s="131" t="str">
        <f ca="1">IFERROR(__xludf.DUMMYFUNCTION("""COMPUTED_VALUE"""),"catalina.villamil-bbva.com")</f>
        <v>catalina.villamil-bbva.com</v>
      </c>
      <c r="J151" s="131" t="str">
        <f ca="1">IFERROR(__xludf.DUMMYFUNCTION("""COMPUTED_VALUE"""),"irene.angel-bbva.com")</f>
        <v>irene.angel-bbva.com</v>
      </c>
      <c r="K151" s="131" t="str">
        <f ca="1">IFERROR(__xludf.DUMMYFUNCTION("""COMPUTED_VALUE"""),"ivan_dario.ariza-bbva.com")</f>
        <v>ivan_dario.ariza-bbva.com</v>
      </c>
      <c r="L151" s="130">
        <f ca="1">IFERROR(__xludf.DUMMYFUNCTION("""COMPUTED_VALUE"""),0.5)</f>
        <v>0.5</v>
      </c>
      <c r="M151" s="130">
        <f ca="1">IFERROR(__xludf.DUMMYFUNCTION("""COMPUTED_VALUE"""),3.75)</f>
        <v>3.75</v>
      </c>
      <c r="N151" s="130">
        <f ca="1">IFERROR(__xludf.DUMMYFUNCTION("""COMPUTED_VALUE"""),4.25)</f>
        <v>4.25</v>
      </c>
      <c r="O151" s="4" t="str">
        <f ca="1">IFERROR(__xludf.DUMMYFUNCTION("""COMPUTED_VALUE"""),"Scrum")</f>
        <v>Scrum</v>
      </c>
      <c r="P151" s="4" t="str">
        <f ca="1">IFERROR(__xludf.DUMMYFUNCTION("""COMPUTED_VALUE"""),"Red Bull")</f>
        <v>Red Bull</v>
      </c>
      <c r="Q151" s="130">
        <f ca="1">IFERROR(__xludf.DUMMYFUNCTION("""COMPUTED_VALUE"""),1)</f>
        <v>1</v>
      </c>
      <c r="R151" s="130" t="str">
        <f ca="1">IFERROR(__xludf.DUMMYFUNCTION("""COMPUTED_VALUE"""),"Enterprises")</f>
        <v>Enterprises</v>
      </c>
      <c r="S151" s="130" t="str">
        <f ca="1">IFERROR(__xludf.DUMMYFUNCTION("""COMPUTED_VALUE"""),"Strategic Review")</f>
        <v>Strategic Review</v>
      </c>
      <c r="T151" s="130" t="str">
        <f ca="1">IFERROR(__xludf.DUMMYFUNCTION("""COMPUTED_VALUE"""),"1. Generación de Ingresos")</f>
        <v>1. Generación de Ingresos</v>
      </c>
      <c r="U151" s="130" t="str">
        <f ca="1">IFERROR(__xludf.DUMMYFUNCTION("""COMPUTED_VALUE"""),"1.5. Otros de Proyectos de Ingresos")</f>
        <v>1.5. Otros de Proyectos de Ingresos</v>
      </c>
      <c r="V151" s="4" t="str">
        <f ca="1">IFERROR(__xludf.DUMMYFUNCTION("""COMPUTED_VALUE"""),"Digital Sales")</f>
        <v>Digital Sales</v>
      </c>
      <c r="W151" s="4">
        <f ca="1">IFERROR(__xludf.DUMMYFUNCTION("""COMPUTED_VALUE"""),1)</f>
        <v>1</v>
      </c>
      <c r="X151" s="4" t="str">
        <f ca="1">IFERROR(__xludf.DUMMYFUNCTION("""COMPUTED_VALUE"""),"03. SMEs &amp; Self-employed")</f>
        <v>03. SMEs &amp; Self-employed</v>
      </c>
      <c r="Y151" s="4" t="str">
        <f ca="1">IFERROR(__xludf.DUMMYFUNCTION("""COMPUTED_VALUE"""),"4.2.2 SMEs- OCDL")</f>
        <v>4.2.2 SMEs- OCDL</v>
      </c>
      <c r="Z151" s="132" t="str">
        <f ca="1">IFERROR(__xludf.DUMMYFUNCTION("""COMPUTED_VALUE"""),"532325")</f>
        <v>532325</v>
      </c>
      <c r="AA151" s="4" t="str">
        <f ca="1">IFERROR(__xludf.DUMMYFUNCTION("""COMPUTED_VALUE"""),"Actualización de datos y representante legal")</f>
        <v>Actualización de datos y representante legal</v>
      </c>
      <c r="AB151" s="4" t="str">
        <f ca="1">IFERROR(__xludf.DUMMYFUNCTION("""COMPUTED_VALUE"""),"Permitir que los clientes actualicen datos financieros, de accionistas y junta directiva
Permitir la validación en offline de los clientes que no tengan la información actualizada en experian")</f>
        <v>Permitir que los clientes actualicen datos financieros, de accionistas y junta directiva
Permitir la validación en offline de los clientes que no tengan la información actualizada en experian</v>
      </c>
      <c r="AC151" s="4" t="str">
        <f ca="1">IFERROR(__xludf.DUMMYFUNCTION("""COMPUTED_VALUE"""),"4Q 2022")</f>
        <v>4Q 2022</v>
      </c>
      <c r="AD151" s="128">
        <f ca="1">IFERROR(__xludf.DUMMYFUNCTION("""COMPUTED_VALUE"""),44470)</f>
        <v>44470</v>
      </c>
      <c r="AE151" s="128">
        <f ca="1">IFERROR(__xludf.DUMMYFUNCTION("""COMPUTED_VALUE"""),44561)</f>
        <v>44561</v>
      </c>
      <c r="AF151" s="128">
        <f ca="1">IFERROR(__xludf.DUMMYFUNCTION("""COMPUTED_VALUE"""),44696)</f>
        <v>44696</v>
      </c>
      <c r="AG151" s="128">
        <f ca="1">IFERROR(__xludf.DUMMYFUNCTION("""COMPUTED_VALUE"""),44767)</f>
        <v>44767</v>
      </c>
      <c r="AH151" s="128">
        <f ca="1">IFERROR(__xludf.DUMMYFUNCTION("""COMPUTED_VALUE"""),44797)</f>
        <v>44797</v>
      </c>
      <c r="AI151" s="128">
        <f ca="1">IFERROR(__xludf.DUMMYFUNCTION("""COMPUTED_VALUE"""),44827)</f>
        <v>44827</v>
      </c>
      <c r="AJ151" s="128">
        <f ca="1">IFERROR(__xludf.DUMMYFUNCTION("""COMPUTED_VALUE"""),44834)</f>
        <v>44834</v>
      </c>
      <c r="AK151" s="131" t="str">
        <f ca="1">IFERROR(__xludf.DUMMYFUNCTION("""COMPUTED_VALUE"""),"COLWSPREST-2157")</f>
        <v>COLWSPREST-2157</v>
      </c>
      <c r="AL151" s="4" t="str">
        <f ca="1">IFERROR(__xludf.DUMMYFUNCTION("""COMPUTED_VALUE"""),"Deployed")</f>
        <v>Deployed</v>
      </c>
      <c r="AM151" s="4" t="str">
        <f ca="1">IFERROR(__xludf.DUMMYFUNCTION("""COMPUTED_VALUE"""),"Tagging está en producción, la actualización de datos está en curso")</f>
        <v>Tagging está en producción, la actualización de datos está en curso</v>
      </c>
      <c r="AN151" s="4" t="str">
        <f ca="1">IFERROR(__xludf.DUMMYFUNCTION("""COMPUTED_VALUE"""),"Finalizado")</f>
        <v>Finalizado</v>
      </c>
      <c r="AO151" s="4" t="str">
        <f ca="1">IFERROR(__xludf.DUMMYFUNCTION("""COMPUTED_VALUE"""),"Pymes")</f>
        <v>Pymes</v>
      </c>
      <c r="AP151" s="4"/>
      <c r="AQ151" s="4"/>
      <c r="AR151" s="4" t="str">
        <f ca="1">IFERROR(__xludf.DUMMYFUNCTION("""COMPUTED_VALUE"""),"SDA aprobada en PPP Q1 2023")</f>
        <v>SDA aprobada en PPP Q1 2023</v>
      </c>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133">
        <f ca="1">IFERROR(__xludf.DUMMYFUNCTION("""COMPUTED_VALUE"""),0)</f>
        <v>0</v>
      </c>
      <c r="DV151" s="133">
        <f ca="1">IFERROR(__xludf.DUMMYFUNCTION("""COMPUTED_VALUE"""),0)</f>
        <v>0</v>
      </c>
      <c r="DW151" s="133">
        <f ca="1">IFERROR(__xludf.DUMMYFUNCTION("""COMPUTED_VALUE"""),167261396)</f>
        <v>167261396</v>
      </c>
      <c r="DX151" s="133">
        <f ca="1">IFERROR(__xludf.DUMMYFUNCTION("""COMPUTED_VALUE"""),389972690)</f>
        <v>389972690</v>
      </c>
      <c r="DY151" s="133">
        <f ca="1">IFERROR(__xludf.DUMMYFUNCTION("""COMPUTED_VALUE"""),0)</f>
        <v>0</v>
      </c>
      <c r="DZ151" s="133">
        <f ca="1">IFERROR(__xludf.DUMMYFUNCTION("""COMPUTED_VALUE"""),557234086)</f>
        <v>557234086</v>
      </c>
      <c r="EA151" s="4"/>
      <c r="EB151" s="4"/>
    </row>
    <row r="152" spans="1:132" x14ac:dyDescent="0.2">
      <c r="A152" s="4">
        <f ca="1">IFERROR(__xludf.DUMMYFUNCTION("""COMPUTED_VALUE"""),152)</f>
        <v>152</v>
      </c>
      <c r="B152" s="4">
        <f ca="1">IFERROR(__xludf.DUMMYFUNCTION("""COMPUTED_VALUE"""),130)</f>
        <v>130</v>
      </c>
      <c r="C152" s="4" t="str">
        <f ca="1">IFERROR(__xludf.DUMMYFUNCTION("""COMPUTED_VALUE"""),"SDATOOL-39358")</f>
        <v>SDATOOL-39358</v>
      </c>
      <c r="D152" s="4" t="str">
        <f ca="1">IFERROR(__xludf.DUMMYFUNCTION("""COMPUTED_VALUE"""),"Crédito Virtual")</f>
        <v>Crédito Virtual</v>
      </c>
      <c r="E152"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2" s="4" t="str">
        <f ca="1">IFERROR(__xludf.DUMMYFUNCTION("""COMPUTED_VALUE"""),"Project")</f>
        <v>Project</v>
      </c>
      <c r="G152" s="4" t="str">
        <f ca="1">IFERROR(__xludf.DUMMYFUNCTION("""COMPUTED_VALUE"""),"Stock")</f>
        <v>Stock</v>
      </c>
      <c r="H152" s="4" t="str">
        <f ca="1">IFERROR(__xludf.DUMMYFUNCTION("""COMPUTED_VALUE"""),"3Q 2023")</f>
        <v>3Q 2023</v>
      </c>
      <c r="I152" s="131" t="str">
        <f ca="1">IFERROR(__xludf.DUMMYFUNCTION("""COMPUTED_VALUE"""),"catalina.villamil-bbva.com")</f>
        <v>catalina.villamil-bbva.com</v>
      </c>
      <c r="J152" s="131" t="str">
        <f ca="1">IFERROR(__xludf.DUMMYFUNCTION("""COMPUTED_VALUE"""),"irene.angel-bbva.com")</f>
        <v>irene.angel-bbva.com</v>
      </c>
      <c r="K152" s="131" t="str">
        <f ca="1">IFERROR(__xludf.DUMMYFUNCTION("""COMPUTED_VALUE"""),"ivan_dario.ariza-bbva.com")</f>
        <v>ivan_dario.ariza-bbva.com</v>
      </c>
      <c r="L152" s="4"/>
      <c r="M152" s="4"/>
      <c r="N152" s="4"/>
      <c r="O152" s="4" t="str">
        <f ca="1">IFERROR(__xludf.DUMMYFUNCTION("""COMPUTED_VALUE"""),"Scrum")</f>
        <v>Scrum</v>
      </c>
      <c r="P152" s="4" t="str">
        <f ca="1">IFERROR(__xludf.DUMMYFUNCTION("""COMPUTED_VALUE"""),"Red Bull")</f>
        <v>Red Bull</v>
      </c>
      <c r="Q152" s="4"/>
      <c r="R152" s="130" t="str">
        <f ca="1">IFERROR(__xludf.DUMMYFUNCTION("""COMPUTED_VALUE"""),"Enterprises")</f>
        <v>Enterprises</v>
      </c>
      <c r="S152" s="130" t="str">
        <f ca="1">IFERROR(__xludf.DUMMYFUNCTION("""COMPUTED_VALUE"""),"Strategic Review")</f>
        <v>Strategic Review</v>
      </c>
      <c r="T152" s="130" t="str">
        <f ca="1">IFERROR(__xludf.DUMMYFUNCTION("""COMPUTED_VALUE"""),"1. Generación de Ingresos")</f>
        <v>1. Generación de Ingresos</v>
      </c>
      <c r="U152" s="130" t="str">
        <f ca="1">IFERROR(__xludf.DUMMYFUNCTION("""COMPUTED_VALUE"""),"1.5. Otros de Proyectos de Ingresos")</f>
        <v>1.5. Otros de Proyectos de Ingresos</v>
      </c>
      <c r="V152" s="4" t="str">
        <f ca="1">IFERROR(__xludf.DUMMYFUNCTION("""COMPUTED_VALUE"""),"Digital Sales")</f>
        <v>Digital Sales</v>
      </c>
      <c r="W152" s="4">
        <f ca="1">IFERROR(__xludf.DUMMYFUNCTION("""COMPUTED_VALUE"""),1)</f>
        <v>1</v>
      </c>
      <c r="X152" s="4" t="str">
        <f ca="1">IFERROR(__xludf.DUMMYFUNCTION("""COMPUTED_VALUE"""),"03. SMEs &amp; Self-employed")</f>
        <v>03. SMEs &amp; Self-employed</v>
      </c>
      <c r="Y152" s="4" t="str">
        <f ca="1">IFERROR(__xludf.DUMMYFUNCTION("""COMPUTED_VALUE"""),"4.2.2 SMEs- OCDL")</f>
        <v>4.2.2 SMEs- OCDL</v>
      </c>
      <c r="Z152" s="132" t="str">
        <f ca="1">IFERROR(__xludf.DUMMYFUNCTION("""COMPUTED_VALUE"""),"491882")</f>
        <v>491882</v>
      </c>
      <c r="AA152" s="4" t="str">
        <f ca="1">IFERROR(__xludf.DUMMYFUNCTION("""COMPUTED_VALUE"""),"Automatización Crédito Virtual PJ")</f>
        <v>Automatización Crédito Virtual PJ</v>
      </c>
      <c r="AB152" s="4" t="str">
        <f ca="1">IFERROR(__xludf.DUMMYFUNCTION("""COMPUTED_VALUE"""),"Este entregable tiene como objetivo la automatización del producto, para que al cargar una base de pre aprobados, se cargue automáticamente la oferta al canal, incluyendo precio diferenciado por cliente y pagaré digital.
Eliminando las manualidades actua"&amp;"les de pre alta en fabrica y/o oficina.")</f>
        <v>Este entregable tiene como objetivo la automatización del producto, para que al cargar una base de pre aprobados, se cargue automáticamente la oferta al canal, incluyendo precio diferenciado por cliente y pagaré digital.
Eliminando las manualidades actuales de pre alta en fabrica y/o oficina.</v>
      </c>
      <c r="AC152" s="4" t="str">
        <f ca="1">IFERROR(__xludf.DUMMYFUNCTION("""COMPUTED_VALUE"""),"1Q 2023")</f>
        <v>1Q 2023</v>
      </c>
      <c r="AD152" s="4"/>
      <c r="AE152" s="4"/>
      <c r="AF152" s="4"/>
      <c r="AG152" s="4"/>
      <c r="AH152" s="4"/>
      <c r="AI152" s="4"/>
      <c r="AJ152" s="4"/>
      <c r="AK152" s="131" t="str">
        <f ca="1">IFERROR(__xludf.DUMMYFUNCTION("""COMPUTED_VALUE"""),"COLWSPREST-10567")</f>
        <v>COLWSPREST-10567</v>
      </c>
      <c r="AL152" s="4" t="str">
        <f ca="1">IFERROR(__xludf.DUMMYFUNCTION("""COMPUTED_VALUE"""),"Deployed")</f>
        <v>Deployed</v>
      </c>
      <c r="AM152" s="4"/>
      <c r="AN152" s="4" t="str">
        <f ca="1">IFERROR(__xludf.DUMMYFUNCTION("""COMPUTED_VALUE"""),"Entregable en desarrollo")</f>
        <v>Entregable en desarrollo</v>
      </c>
      <c r="AO152" s="4" t="str">
        <f ca="1">IFERROR(__xludf.DUMMYFUNCTION("""COMPUTED_VALUE"""),"Pymes")</f>
        <v>Pymes</v>
      </c>
      <c r="AP152" s="4"/>
      <c r="AQ152" s="4"/>
      <c r="AR152" s="4" t="str">
        <f ca="1">IFERROR(__xludf.DUMMYFUNCTION("""COMPUTED_VALUE"""),"SDA aprobada en PPP Q1 2023")</f>
        <v>SDA aprobada en PPP Q1 2023</v>
      </c>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row>
    <row r="153" spans="1:132" x14ac:dyDescent="0.2">
      <c r="A153" s="4">
        <f ca="1">IFERROR(__xludf.DUMMYFUNCTION("""COMPUTED_VALUE"""),153)</f>
        <v>153</v>
      </c>
      <c r="B153" s="4">
        <f ca="1">IFERROR(__xludf.DUMMYFUNCTION("""COMPUTED_VALUE"""),131)</f>
        <v>131</v>
      </c>
      <c r="C153" s="4" t="str">
        <f ca="1">IFERROR(__xludf.DUMMYFUNCTION("""COMPUTED_VALUE"""),"SDATOOL-39358")</f>
        <v>SDATOOL-39358</v>
      </c>
      <c r="D153" s="4" t="str">
        <f ca="1">IFERROR(__xludf.DUMMYFUNCTION("""COMPUTED_VALUE"""),"Crédito Virtual")</f>
        <v>Crédito Virtual</v>
      </c>
      <c r="E153"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3" s="4" t="str">
        <f ca="1">IFERROR(__xludf.DUMMYFUNCTION("""COMPUTED_VALUE"""),"Project")</f>
        <v>Project</v>
      </c>
      <c r="G153" s="4" t="str">
        <f ca="1">IFERROR(__xludf.DUMMYFUNCTION("""COMPUTED_VALUE"""),"Stock")</f>
        <v>Stock</v>
      </c>
      <c r="H153" s="4" t="str">
        <f ca="1">IFERROR(__xludf.DUMMYFUNCTION("""COMPUTED_VALUE"""),"3Q 2023")</f>
        <v>3Q 2023</v>
      </c>
      <c r="I153" s="131" t="str">
        <f ca="1">IFERROR(__xludf.DUMMYFUNCTION("""COMPUTED_VALUE"""),"catalina.villamil-bbva.com")</f>
        <v>catalina.villamil-bbva.com</v>
      </c>
      <c r="J153" s="131" t="str">
        <f ca="1">IFERROR(__xludf.DUMMYFUNCTION("""COMPUTED_VALUE"""),"irene.angel-bbva.com")</f>
        <v>irene.angel-bbva.com</v>
      </c>
      <c r="K153" s="131" t="str">
        <f ca="1">IFERROR(__xludf.DUMMYFUNCTION("""COMPUTED_VALUE"""),"ivan_dario.ariza-bbva.com")</f>
        <v>ivan_dario.ariza-bbva.com</v>
      </c>
      <c r="L153" s="4"/>
      <c r="M153" s="4"/>
      <c r="N153" s="4"/>
      <c r="O153" s="4" t="str">
        <f ca="1">IFERROR(__xludf.DUMMYFUNCTION("""COMPUTED_VALUE"""),"Scrum")</f>
        <v>Scrum</v>
      </c>
      <c r="P153" s="4" t="str">
        <f ca="1">IFERROR(__xludf.DUMMYFUNCTION("""COMPUTED_VALUE"""),"Red Bull")</f>
        <v>Red Bull</v>
      </c>
      <c r="Q153" s="4"/>
      <c r="R153" s="130" t="str">
        <f ca="1">IFERROR(__xludf.DUMMYFUNCTION("""COMPUTED_VALUE"""),"Enterprises")</f>
        <v>Enterprises</v>
      </c>
      <c r="S153" s="130" t="str">
        <f ca="1">IFERROR(__xludf.DUMMYFUNCTION("""COMPUTED_VALUE"""),"Strategic Review")</f>
        <v>Strategic Review</v>
      </c>
      <c r="T153" s="130" t="str">
        <f ca="1">IFERROR(__xludf.DUMMYFUNCTION("""COMPUTED_VALUE"""),"1. Generación de Ingresos")</f>
        <v>1. Generación de Ingresos</v>
      </c>
      <c r="U153" s="130" t="str">
        <f ca="1">IFERROR(__xludf.DUMMYFUNCTION("""COMPUTED_VALUE"""),"1.5. Otros de Proyectos de Ingresos")</f>
        <v>1.5. Otros de Proyectos de Ingresos</v>
      </c>
      <c r="V153" s="4" t="str">
        <f ca="1">IFERROR(__xludf.DUMMYFUNCTION("""COMPUTED_VALUE"""),"Digital Sales")</f>
        <v>Digital Sales</v>
      </c>
      <c r="W153" s="4">
        <f ca="1">IFERROR(__xludf.DUMMYFUNCTION("""COMPUTED_VALUE"""),1)</f>
        <v>1</v>
      </c>
      <c r="X153" s="4" t="str">
        <f ca="1">IFERROR(__xludf.DUMMYFUNCTION("""COMPUTED_VALUE"""),"03. SMEs &amp; Self-employed")</f>
        <v>03. SMEs &amp; Self-employed</v>
      </c>
      <c r="Y153" s="4" t="str">
        <f ca="1">IFERROR(__xludf.DUMMYFUNCTION("""COMPUTED_VALUE"""),"4.2.2 SMEs- OCDL")</f>
        <v>4.2.2 SMEs- OCDL</v>
      </c>
      <c r="Z153" s="132" t="str">
        <f ca="1">IFERROR(__xludf.DUMMYFUNCTION("""COMPUTED_VALUE"""),"618950")</f>
        <v>618950</v>
      </c>
      <c r="AA153" s="4" t="str">
        <f ca="1">IFERROR(__xludf.DUMMYFUNCTION("""COMPUTED_VALUE"""),"Automatización Crédito Virtual PNN")</f>
        <v>Automatización Crédito Virtual PNN</v>
      </c>
      <c r="AB153" s="4" t="str">
        <f ca="1">IFERROR(__xludf.DUMMYFUNCTION("""COMPUTED_VALUE"""),"Este entregable tiene como objetivo la automatización del producto, para que al cargar una base de pre aprobados, se cargue automáticamente la oferta al canal, incluyendo precio diferenciado por cliente y pagaré digital.
Eliminando las manualidades actua"&amp;"les de pre alta en fabrica y/o oficina.")</f>
        <v>Este entregable tiene como objetivo la automatización del producto, para que al cargar una base de pre aprobados, se cargue automáticamente la oferta al canal, incluyendo precio diferenciado por cliente y pagaré digital.
Eliminando las manualidades actuales de pre alta en fabrica y/o oficina.</v>
      </c>
      <c r="AC153" s="4" t="str">
        <f ca="1">IFERROR(__xludf.DUMMYFUNCTION("""COMPUTED_VALUE"""),"2Q 2023")</f>
        <v>2Q 2023</v>
      </c>
      <c r="AD153" s="4"/>
      <c r="AE153" s="4"/>
      <c r="AF153" s="4"/>
      <c r="AG153" s="4"/>
      <c r="AH153" s="4"/>
      <c r="AI153" s="4"/>
      <c r="AJ153" s="4"/>
      <c r="AK153" s="131" t="str">
        <f ca="1">IFERROR(__xludf.DUMMYFUNCTION("""COMPUTED_VALUE"""),"COLWSPREST-11677")</f>
        <v>COLWSPREST-11677</v>
      </c>
      <c r="AL153" s="4" t="str">
        <f ca="1">IFERROR(__xludf.DUMMYFUNCTION("""COMPUTED_VALUE"""),"En progreso")</f>
        <v>En progreso</v>
      </c>
      <c r="AM153" s="4"/>
      <c r="AN153" s="4" t="str">
        <f ca="1">IFERROR(__xludf.DUMMYFUNCTION("""COMPUTED_VALUE"""),"Entregable en desarrollo")</f>
        <v>Entregable en desarrollo</v>
      </c>
      <c r="AO153" s="4" t="str">
        <f ca="1">IFERROR(__xludf.DUMMYFUNCTION("""COMPUTED_VALUE"""),"Pymes")</f>
        <v>Pymes</v>
      </c>
      <c r="AP153" s="4"/>
      <c r="AQ153" s="4"/>
      <c r="AR153" s="4" t="str">
        <f ca="1">IFERROR(__xludf.DUMMYFUNCTION("""COMPUTED_VALUE"""),"SDA aprobada en PPP Q1 2023")</f>
        <v>SDA aprobada en PPP Q1 2023</v>
      </c>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row>
    <row r="154" spans="1:132" x14ac:dyDescent="0.2">
      <c r="A154" s="4">
        <f ca="1">IFERROR(__xludf.DUMMYFUNCTION("""COMPUTED_VALUE"""),154)</f>
        <v>154</v>
      </c>
      <c r="B154" s="4">
        <f ca="1">IFERROR(__xludf.DUMMYFUNCTION("""COMPUTED_VALUE"""),132)</f>
        <v>132</v>
      </c>
      <c r="C154" s="4" t="str">
        <f ca="1">IFERROR(__xludf.DUMMYFUNCTION("""COMPUTED_VALUE"""),"SDATOOL-40554")</f>
        <v>SDATOOL-40554</v>
      </c>
      <c r="D154" s="4" t="str">
        <f ca="1">IFERROR(__xludf.DUMMYFUNCTION("""COMPUTED_VALUE"""),"CRÉDITO VIRTUAL EN GEMA")</f>
        <v>CRÉDITO VIRTUAL EN GEMA</v>
      </c>
      <c r="E154" s="4" t="str">
        <f ca="1">IFERROR(__xludf.DUMMYFUNCTION("""COMPUTED_VALUE"""),"Incorporar la funcionalidad de financiación de crédito capital de trabajo por medio de crédito virtual que hoy se ofrece por net cash, es habilitarlo en la app GEMA para PJ Y PNN con la mejoras que se está trabajando en el producto")</f>
        <v>Incorporar la funcionalidad de financiación de crédito capital de trabajo por medio de crédito virtual que hoy se ofrece por net cash, es habilitarlo en la app GEMA para PJ Y PNN con la mejoras que se está trabajando en el producto</v>
      </c>
      <c r="F154" s="4" t="str">
        <f ca="1">IFERROR(__xludf.DUMMYFUNCTION("""COMPUTED_VALUE"""),"Initiative")</f>
        <v>Initiative</v>
      </c>
      <c r="G154" s="4" t="str">
        <f ca="1">IFERROR(__xludf.DUMMYFUNCTION("""COMPUTED_VALUE"""),"On hold")</f>
        <v>On hold</v>
      </c>
      <c r="H154" s="4" t="str">
        <f ca="1">IFERROR(__xludf.DUMMYFUNCTION("""COMPUTED_VALUE"""),"4Q 2023")</f>
        <v>4Q 2023</v>
      </c>
      <c r="I154" s="131" t="str">
        <f ca="1">IFERROR(__xludf.DUMMYFUNCTION("""COMPUTED_VALUE"""),"catalina.villamil-bbva.com")</f>
        <v>catalina.villamil-bbva.com</v>
      </c>
      <c r="J154" s="131" t="str">
        <f ca="1">IFERROR(__xludf.DUMMYFUNCTION("""COMPUTED_VALUE"""),"irene.angel-bbva.com")</f>
        <v>irene.angel-bbva.com</v>
      </c>
      <c r="K154" s="131" t="str">
        <f ca="1">IFERROR(__xludf.DUMMYFUNCTION("""COMPUTED_VALUE"""),"ivan_dario.ariza-bbva.com")</f>
        <v>ivan_dario.ariza-bbva.com</v>
      </c>
      <c r="L154" s="130">
        <f ca="1">IFERROR(__xludf.DUMMYFUNCTION("""COMPUTED_VALUE"""),0)</f>
        <v>0</v>
      </c>
      <c r="M154" s="130">
        <f ca="1">IFERROR(__xludf.DUMMYFUNCTION("""COMPUTED_VALUE"""),0)</f>
        <v>0</v>
      </c>
      <c r="N154" s="130">
        <f ca="1">IFERROR(__xludf.DUMMYFUNCTION("""COMPUTED_VALUE"""),0)</f>
        <v>0</v>
      </c>
      <c r="O154" s="4" t="str">
        <f ca="1">IFERROR(__xludf.DUMMYFUNCTION("""COMPUTED_VALUE"""),"Scrum")</f>
        <v>Scrum</v>
      </c>
      <c r="P154" s="4" t="str">
        <f ca="1">IFERROR(__xludf.DUMMYFUNCTION("""COMPUTED_VALUE"""),"Red Bull")</f>
        <v>Red Bull</v>
      </c>
      <c r="Q154" s="130">
        <f ca="1">IFERROR(__xludf.DUMMYFUNCTION("""COMPUTED_VALUE"""),0)</f>
        <v>0</v>
      </c>
      <c r="R154" s="130" t="str">
        <f ca="1">IFERROR(__xludf.DUMMYFUNCTION("""COMPUTED_VALUE"""),"Enterprises")</f>
        <v>Enterprises</v>
      </c>
      <c r="S154" s="130" t="str">
        <f ca="1">IFERROR(__xludf.DUMMYFUNCTION("""COMPUTED_VALUE"""),"Strategic Review")</f>
        <v>Strategic Review</v>
      </c>
      <c r="T154" s="130" t="str">
        <f ca="1">IFERROR(__xludf.DUMMYFUNCTION("""COMPUTED_VALUE"""),"1. Generación de Ingresos")</f>
        <v>1. Generación de Ingresos</v>
      </c>
      <c r="U154" s="130" t="str">
        <f ca="1">IFERROR(__xludf.DUMMYFUNCTION("""COMPUTED_VALUE"""),"1.5. Otros de Proyectos de Ingresos")</f>
        <v>1.5. Otros de Proyectos de Ingresos</v>
      </c>
      <c r="V154" s="4" t="str">
        <f ca="1">IFERROR(__xludf.DUMMYFUNCTION("""COMPUTED_VALUE"""),"Digital Sales")</f>
        <v>Digital Sales</v>
      </c>
      <c r="W154" s="4">
        <f ca="1">IFERROR(__xludf.DUMMYFUNCTION("""COMPUTED_VALUE"""),2)</f>
        <v>2</v>
      </c>
      <c r="X154" s="4" t="str">
        <f ca="1">IFERROR(__xludf.DUMMYFUNCTION("""COMPUTED_VALUE"""),"03. SMEs &amp; Self-employed")</f>
        <v>03. SMEs &amp; Self-employed</v>
      </c>
      <c r="Y154" s="4" t="str">
        <f ca="1">IFERROR(__xludf.DUMMYFUNCTION("""COMPUTED_VALUE"""),"4.2.2 SMEs- OCDL")</f>
        <v>4.2.2 SMEs- OCDL</v>
      </c>
      <c r="Z154" s="132" t="str">
        <f ca="1">IFERROR(__xludf.DUMMYFUNCTION("""COMPUTED_VALUE"""),"560584")</f>
        <v>560584</v>
      </c>
      <c r="AA154" s="4" t="str">
        <f ca="1">IFERROR(__xludf.DUMMYFUNCTION("""COMPUTED_VALUE"""),"Iniciativa priorizada para el Q1 2023 en proceso de Discovery")</f>
        <v>Iniciativa priorizada para el Q1 2023 en proceso de Discovery</v>
      </c>
      <c r="AB154" s="4" t="str">
        <f ca="1">IFERROR(__xludf.DUMMYFUNCTION("""COMPUTED_VALUE"""),"Iniciativa priorizada para el Q1 2023 en proceso de Discovery")</f>
        <v>Iniciativa priorizada para el Q1 2023 en proceso de Discovery</v>
      </c>
      <c r="AC154" s="4" t="str">
        <f ca="1">IFERROR(__xludf.DUMMYFUNCTION("""COMPUTED_VALUE"""),"3Q 2023")</f>
        <v>3Q 2023</v>
      </c>
      <c r="AD154" s="4"/>
      <c r="AE154" s="4"/>
      <c r="AF154" s="4"/>
      <c r="AG154" s="4"/>
      <c r="AH154" s="4"/>
      <c r="AI154" s="4"/>
      <c r="AJ154" s="4"/>
      <c r="AK154" s="4" t="str">
        <f ca="1">IFERROR(__xludf.DUMMYFUNCTION("""COMPUTED_VALUE"""),"Sin asignar")</f>
        <v>Sin asignar</v>
      </c>
      <c r="AL154" s="4" t="str">
        <f ca="1">IFERROR(__xludf.DUMMYFUNCTION("""COMPUTED_VALUE"""),"Sin asignar")</f>
        <v>Sin asignar</v>
      </c>
      <c r="AM154" s="4" t="str">
        <f ca="1">IFERROR(__xludf.DUMMYFUNCTION("""COMPUTED_VALUE"""),"Financiera no lo presentó en PSM por Payback")</f>
        <v>Financiera no lo presentó en PSM por Payback</v>
      </c>
      <c r="AN154" s="4" t="str">
        <f ca="1">IFERROR(__xludf.DUMMYFUNCTION("""COMPUTED_VALUE"""),"Iniciativa detenida")</f>
        <v>Iniciativa detenida</v>
      </c>
      <c r="AO154" s="4" t="str">
        <f ca="1">IFERROR(__xludf.DUMMYFUNCTION("""COMPUTED_VALUE"""),"Pymes")</f>
        <v>Pymes</v>
      </c>
      <c r="AP154" s="4"/>
      <c r="AQ154" s="4"/>
      <c r="AR154" s="4" t="str">
        <f ca="1">IFERROR(__xludf.DUMMYFUNCTION("""COMPUTED_VALUE"""),"SDA aprobada en PPP Q1 2023")</f>
        <v>SDA aprobada en PPP Q1 2023</v>
      </c>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133">
        <f ca="1">IFERROR(__xludf.DUMMYFUNCTION("""COMPUTED_VALUE"""),0)</f>
        <v>0</v>
      </c>
      <c r="DV154" s="133">
        <f ca="1">IFERROR(__xludf.DUMMYFUNCTION("""COMPUTED_VALUE"""),0)</f>
        <v>0</v>
      </c>
      <c r="DW154" s="133">
        <f ca="1">IFERROR(__xludf.DUMMYFUNCTION("""COMPUTED_VALUE"""),0)</f>
        <v>0</v>
      </c>
      <c r="DX154" s="133">
        <f ca="1">IFERROR(__xludf.DUMMYFUNCTION("""COMPUTED_VALUE"""),669000000)</f>
        <v>669000000</v>
      </c>
      <c r="DY154" s="133">
        <f ca="1">IFERROR(__xludf.DUMMYFUNCTION("""COMPUTED_VALUE"""),0)</f>
        <v>0</v>
      </c>
      <c r="DZ154" s="133">
        <f ca="1">IFERROR(__xludf.DUMMYFUNCTION("""COMPUTED_VALUE"""),669000000)</f>
        <v>669000000</v>
      </c>
      <c r="EA154" s="4"/>
      <c r="EB154" s="4"/>
    </row>
    <row r="155" spans="1:132" x14ac:dyDescent="0.2">
      <c r="A155" s="4">
        <f ca="1">IFERROR(__xludf.DUMMYFUNCTION("""COMPUTED_VALUE"""),155)</f>
        <v>155</v>
      </c>
      <c r="B155" s="4">
        <f ca="1">IFERROR(__xludf.DUMMYFUNCTION("""COMPUTED_VALUE"""),133)</f>
        <v>133</v>
      </c>
      <c r="C155" s="4" t="str">
        <f ca="1">IFERROR(__xludf.DUMMYFUNCTION("""COMPUTED_VALUE"""),"SDATOOL-39354")</f>
        <v>SDATOOL-39354</v>
      </c>
      <c r="D155" s="4" t="str">
        <f ca="1">IFERROR(__xludf.DUMMYFUNCTION("""COMPUTED_VALUE"""),"My business Open Pay - Plan Ascenso Mercurio")</f>
        <v>My business Open Pay - Plan Ascenso Mercurio</v>
      </c>
      <c r="E155" s="4" t="str">
        <f ca="1">IFERROR(__xludf.DUMMYFUNCTION("""COMPUTED_VALUE"""),"Integrar la información de ventas por Open Pay de los clientes a Gema, dentro de la experiencia de My business de adquirencias, para que el cliente tenga toda su información centralizada en un mismo lugar")</f>
        <v>Integrar la información de ventas por Open Pay de los clientes a Gema, dentro de la experiencia de My business de adquirencias, para que el cliente tenga toda su información centralizada en un mismo lugar</v>
      </c>
      <c r="F155" s="4" t="str">
        <f ca="1">IFERROR(__xludf.DUMMYFUNCTION("""COMPUTED_VALUE"""),"Project")</f>
        <v>Project</v>
      </c>
      <c r="G155" s="4" t="str">
        <f ca="1">IFERROR(__xludf.DUMMYFUNCTION("""COMPUTED_VALUE"""),"Stock")</f>
        <v>Stock</v>
      </c>
      <c r="H155" s="4" t="str">
        <f ca="1">IFERROR(__xludf.DUMMYFUNCTION("""COMPUTED_VALUE"""),"4Q 2023")</f>
        <v>4Q 2023</v>
      </c>
      <c r="I155" s="131" t="str">
        <f ca="1">IFERROR(__xludf.DUMMYFUNCTION("""COMPUTED_VALUE"""),"catalina.villamil-bbva.com")</f>
        <v>catalina.villamil-bbva.com</v>
      </c>
      <c r="J155" s="131" t="str">
        <f ca="1">IFERROR(__xludf.DUMMYFUNCTION("""COMPUTED_VALUE"""),"freddyorlando.guzman-bbva.com")</f>
        <v>freddyorlando.guzman-bbva.com</v>
      </c>
      <c r="K155" s="131" t="str">
        <f ca="1">IFERROR(__xludf.DUMMYFUNCTION("""COMPUTED_VALUE"""),"nathaliamaria.torres-bbva.com")</f>
        <v>nathaliamaria.torres-bbva.com</v>
      </c>
      <c r="L155" s="130">
        <f ca="1">IFERROR(__xludf.DUMMYFUNCTION("""COMPUTED_VALUE"""),0.5)</f>
        <v>0.5</v>
      </c>
      <c r="M155" s="130">
        <f ca="1">IFERROR(__xludf.DUMMYFUNCTION("""COMPUTED_VALUE"""),2.45)</f>
        <v>2.4500000000000002</v>
      </c>
      <c r="N155" s="130">
        <f ca="1">IFERROR(__xludf.DUMMYFUNCTION("""COMPUTED_VALUE"""),3)</f>
        <v>3</v>
      </c>
      <c r="O155" s="4" t="str">
        <f ca="1">IFERROR(__xludf.DUMMYFUNCTION("""COMPUTED_VALUE"""),"Scrum")</f>
        <v>Scrum</v>
      </c>
      <c r="P155" s="4" t="str">
        <f ca="1">IFERROR(__xludf.DUMMYFUNCTION("""COMPUTED_VALUE"""),"Equipo Scrum Ascenso en proceso de creación")</f>
        <v>Equipo Scrum Ascenso en proceso de creación</v>
      </c>
      <c r="Q155" s="130">
        <f ca="1">IFERROR(__xludf.DUMMYFUNCTION("""COMPUTED_VALUE"""),1)</f>
        <v>1</v>
      </c>
      <c r="R155" s="130" t="str">
        <f ca="1">IFERROR(__xludf.DUMMYFUNCTION("""COMPUTED_VALUE"""),"Payments &amp; Partnerships")</f>
        <v>Payments &amp; Partnerships</v>
      </c>
      <c r="S155" s="130" t="str">
        <f ca="1">IFERROR(__xludf.DUMMYFUNCTION("""COMPUTED_VALUE"""),"Plan Ascenso")</f>
        <v>Plan Ascenso</v>
      </c>
      <c r="T155" s="130" t="str">
        <f ca="1">IFERROR(__xludf.DUMMYFUNCTION("""COMPUTED_VALUE"""),"1. Generación de Ingresos")</f>
        <v>1. Generación de Ingresos</v>
      </c>
      <c r="U155" s="130" t="str">
        <f ca="1">IFERROR(__xludf.DUMMYFUNCTION("""COMPUTED_VALUE"""),"1.4. Proyectos de Pagos y Adquirencia")</f>
        <v>1.4. Proyectos de Pagos y Adquirencia</v>
      </c>
      <c r="V155" s="4" t="str">
        <f ca="1">IFERROR(__xludf.DUMMYFUNCTION("""COMPUTED_VALUE"""),"Mercurio")</f>
        <v>Mercurio</v>
      </c>
      <c r="W155" s="4">
        <f ca="1">IFERROR(__xludf.DUMMYFUNCTION("""COMPUTED_VALUE"""),1)</f>
        <v>1</v>
      </c>
      <c r="X155" s="4" t="str">
        <f ca="1">IFERROR(__xludf.DUMMYFUNCTION("""COMPUTED_VALUE"""),"02. Open Pay &amp; Mercurio")</f>
        <v>02. Open Pay &amp; Mercurio</v>
      </c>
      <c r="Y155" s="4" t="str">
        <f ca="1">IFERROR(__xludf.DUMMYFUNCTION("""COMPUTED_VALUE"""),"4.2.3 Acquiring - Mercurio")</f>
        <v>4.2.3 Acquiring - Mercurio</v>
      </c>
      <c r="Z155" s="132" t="str">
        <f ca="1">IFERROR(__xludf.DUMMYFUNCTION("""COMPUTED_VALUE"""),"532298")</f>
        <v>532298</v>
      </c>
      <c r="AA155" s="4" t="str">
        <f ca="1">IFERROR(__xludf.DUMMYFUNCTION("""COMPUTED_VALUE"""),"My business Adquirencias")</f>
        <v>My business Adquirencias</v>
      </c>
      <c r="AB155" s="4" t="str">
        <f ca="1">IFERROR(__xludf.DUMMYFUNCTION("""COMPUTED_VALUE"""),"Esta iniciativa contempla la migración de la información del cliente que haga a través de adquirencias dentro del módulo de ""mis ventas"" en Gema, para enriquecer la  funcionalidad del servicio y poder entregar un informe mas detallado y amplio de las Ve"&amp;"ntas, abonos y liquidaciones dentro del módulo de mis ventas en gema y glomo. 
Se espera migrar 
Posición Global
Detalle de  ventas 
Detalle de abonos 
Módulo temporal
Resumen ventas
Resumen abonos
Liquidaciones
Reportes de contracargos")</f>
        <v>Esta iniciativa contempla la migración de la información del cliente que haga a través de adquirencias dentro del módulo de "mis ventas" en Gema, para enriquecer la  funcionalidad del servicio y poder entregar un informe mas detallado y amplio de las Ventas, abonos y liquidaciones dentro del módulo de mis ventas en gema y glomo. 
Se espera migrar 
Posición Global
Detalle de  ventas 
Detalle de abonos 
Módulo temporal
Resumen ventas
Resumen abonos
Liquidaciones
Reportes de contracargos</v>
      </c>
      <c r="AC155" s="4" t="str">
        <f ca="1">IFERROR(__xludf.DUMMYFUNCTION("""COMPUTED_VALUE"""),"3Q 2023")</f>
        <v>3Q 2023</v>
      </c>
      <c r="AD155" s="4"/>
      <c r="AE155" s="4"/>
      <c r="AF155" s="4"/>
      <c r="AG155" s="4"/>
      <c r="AH155" s="4"/>
      <c r="AI155" s="4"/>
      <c r="AJ155" s="4"/>
      <c r="AK155" s="131" t="str">
        <f ca="1">IFERROR(__xludf.DUMMYFUNCTION("""COMPUTED_VALUE"""),"COLWSCANAL-3414")</f>
        <v>COLWSCANAL-3414</v>
      </c>
      <c r="AL155" s="4" t="str">
        <f ca="1">IFERROR(__xludf.DUMMYFUNCTION("""COMPUTED_VALUE"""),"Deployed")</f>
        <v>Deployed</v>
      </c>
      <c r="AM155" s="4"/>
      <c r="AN155" s="4" t="str">
        <f ca="1">IFERROR(__xludf.DUMMYFUNCTION("""COMPUTED_VALUE"""),"Finalizado")</f>
        <v>Finalizado</v>
      </c>
      <c r="AO155" s="4" t="str">
        <f ca="1">IFERROR(__xludf.DUMMYFUNCTION("""COMPUTED_VALUE"""),"Mercurio y Adquirencia")</f>
        <v>Mercurio y Adquirencia</v>
      </c>
      <c r="AP155" s="4"/>
      <c r="AQ155" s="4"/>
      <c r="AR155" s="4" t="str">
        <f ca="1">IFERROR(__xludf.DUMMYFUNCTION("""COMPUTED_VALUE"""),"SDA aprobada en PPP Q1 2023")</f>
        <v>SDA aprobada en PPP Q1 2023</v>
      </c>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133">
        <f ca="1">IFERROR(__xludf.DUMMYFUNCTION("""COMPUTED_VALUE"""),0)</f>
        <v>0</v>
      </c>
      <c r="DV155" s="133">
        <f ca="1">IFERROR(__xludf.DUMMYFUNCTION("""COMPUTED_VALUE"""),0)</f>
        <v>0</v>
      </c>
      <c r="DW155" s="133">
        <f ca="1">IFERROR(__xludf.DUMMYFUNCTION("""COMPUTED_VALUE"""),0)</f>
        <v>0</v>
      </c>
      <c r="DX155" s="133">
        <f ca="1">IFERROR(__xludf.DUMMYFUNCTION("""COMPUTED_VALUE"""),550000000)</f>
        <v>550000000</v>
      </c>
      <c r="DY155" s="133">
        <f ca="1">IFERROR(__xludf.DUMMYFUNCTION("""COMPUTED_VALUE"""),0)</f>
        <v>0</v>
      </c>
      <c r="DZ155" s="133">
        <f ca="1">IFERROR(__xludf.DUMMYFUNCTION("""COMPUTED_VALUE"""),550000000)</f>
        <v>550000000</v>
      </c>
      <c r="EA155" s="4"/>
      <c r="EB155" s="4"/>
    </row>
    <row r="156" spans="1:132" x14ac:dyDescent="0.2">
      <c r="A156" s="4">
        <f ca="1">IFERROR(__xludf.DUMMYFUNCTION("""COMPUTED_VALUE"""),156)</f>
        <v>156</v>
      </c>
      <c r="B156" s="4">
        <f ca="1">IFERROR(__xludf.DUMMYFUNCTION("""COMPUTED_VALUE"""),134)</f>
        <v>134</v>
      </c>
      <c r="C156" s="4" t="str">
        <f ca="1">IFERROR(__xludf.DUMMYFUNCTION("""COMPUTED_VALUE"""),"SDATOOL-39354")</f>
        <v>SDATOOL-39354</v>
      </c>
      <c r="D156" s="4" t="str">
        <f ca="1">IFERROR(__xludf.DUMMYFUNCTION("""COMPUTED_VALUE"""),"My business Open Pay - Plan Ascenso Mercurio")</f>
        <v>My business Open Pay - Plan Ascenso Mercurio</v>
      </c>
      <c r="E156" s="4" t="str">
        <f ca="1">IFERROR(__xludf.DUMMYFUNCTION("""COMPUTED_VALUE"""),"Integrar la información de ventas por Open Pay de los clientes a Gema, dentro de la experiencia de My business de adquirencias, para que el cliente tenga toda su información centralizada en un mismo lugar")</f>
        <v>Integrar la información de ventas por Open Pay de los clientes a Gema, dentro de la experiencia de My business de adquirencias, para que el cliente tenga toda su información centralizada en un mismo lugar</v>
      </c>
      <c r="F156" s="4" t="str">
        <f ca="1">IFERROR(__xludf.DUMMYFUNCTION("""COMPUTED_VALUE"""),"Project")</f>
        <v>Project</v>
      </c>
      <c r="G156" s="4" t="str">
        <f ca="1">IFERROR(__xludf.DUMMYFUNCTION("""COMPUTED_VALUE"""),"Stock")</f>
        <v>Stock</v>
      </c>
      <c r="H156" s="4" t="str">
        <f ca="1">IFERROR(__xludf.DUMMYFUNCTION("""COMPUTED_VALUE"""),"4Q 2023")</f>
        <v>4Q 2023</v>
      </c>
      <c r="I156" s="131" t="str">
        <f ca="1">IFERROR(__xludf.DUMMYFUNCTION("""COMPUTED_VALUE"""),"catalina.villamil-bbva.com")</f>
        <v>catalina.villamil-bbva.com</v>
      </c>
      <c r="J156" s="131" t="str">
        <f ca="1">IFERROR(__xludf.DUMMYFUNCTION("""COMPUTED_VALUE"""),"freddyorlando.guzman-bbva.com")</f>
        <v>freddyorlando.guzman-bbva.com</v>
      </c>
      <c r="K156" s="131" t="str">
        <f ca="1">IFERROR(__xludf.DUMMYFUNCTION("""COMPUTED_VALUE"""),"nathaliamaria.torres-bbva.com")</f>
        <v>nathaliamaria.torres-bbva.com</v>
      </c>
      <c r="L156" s="4"/>
      <c r="M156" s="4"/>
      <c r="N156" s="4"/>
      <c r="O156" s="4" t="str">
        <f ca="1">IFERROR(__xludf.DUMMYFUNCTION("""COMPUTED_VALUE"""),"Scrum")</f>
        <v>Scrum</v>
      </c>
      <c r="P156" s="4" t="str">
        <f ca="1">IFERROR(__xludf.DUMMYFUNCTION("""COMPUTED_VALUE"""),"Equipo Scrum Ascenso en proceso de creación")</f>
        <v>Equipo Scrum Ascenso en proceso de creación</v>
      </c>
      <c r="Q156" s="4"/>
      <c r="R156" s="130" t="str">
        <f ca="1">IFERROR(__xludf.DUMMYFUNCTION("""COMPUTED_VALUE"""),"Payments &amp; Partnerships")</f>
        <v>Payments &amp; Partnerships</v>
      </c>
      <c r="S156" s="130" t="str">
        <f ca="1">IFERROR(__xludf.DUMMYFUNCTION("""COMPUTED_VALUE"""),"Plan Ascenso")</f>
        <v>Plan Ascenso</v>
      </c>
      <c r="T156" s="130" t="str">
        <f ca="1">IFERROR(__xludf.DUMMYFUNCTION("""COMPUTED_VALUE"""),"1. Generación de Ingresos")</f>
        <v>1. Generación de Ingresos</v>
      </c>
      <c r="U156" s="130" t="str">
        <f ca="1">IFERROR(__xludf.DUMMYFUNCTION("""COMPUTED_VALUE"""),"1.4. Proyectos de Pagos y Adquirencia")</f>
        <v>1.4. Proyectos de Pagos y Adquirencia</v>
      </c>
      <c r="V156" s="4" t="str">
        <f ca="1">IFERROR(__xludf.DUMMYFUNCTION("""COMPUTED_VALUE"""),"Mercurio")</f>
        <v>Mercurio</v>
      </c>
      <c r="W156" s="4">
        <f ca="1">IFERROR(__xludf.DUMMYFUNCTION("""COMPUTED_VALUE"""),1)</f>
        <v>1</v>
      </c>
      <c r="X156" s="4" t="str">
        <f ca="1">IFERROR(__xludf.DUMMYFUNCTION("""COMPUTED_VALUE"""),"02. Open Pay &amp; Mercurio")</f>
        <v>02. Open Pay &amp; Mercurio</v>
      </c>
      <c r="Y156" s="4" t="str">
        <f ca="1">IFERROR(__xludf.DUMMYFUNCTION("""COMPUTED_VALUE"""),"4.2.3 Acquiring - Mercurio")</f>
        <v>4.2.3 Acquiring - Mercurio</v>
      </c>
      <c r="Z156" s="132" t="str">
        <f ca="1">IFERROR(__xludf.DUMMYFUNCTION("""COMPUTED_VALUE"""),"485019")</f>
        <v>485019</v>
      </c>
      <c r="AA156" s="4" t="str">
        <f ca="1">IFERROR(__xludf.DUMMYFUNCTION("""COMPUTED_VALUE"""),"My business Openpay")</f>
        <v>My business Openpay</v>
      </c>
      <c r="AB156" s="4" t="str">
        <f ca="1">IFERROR(__xludf.DUMMYFUNCTION("""COMPUTED_VALUE"""),"Esta iniciativa contempla la integración de open pay dentro del módulo de mis ventas en gema y glomo. 
Se espera incorporar las ventas del cliente que haga a través de open pay dentro del módulo de ""mis ventas"" en Gema, para enriquecer la  funcionalidad"&amp;" del servicio y poder entregar un informe mas detallado y amplio de las Ventas, abonos y liquidaciones
Posición Global
Detalle de  ventas 
Detalle de abonos 
Módulo temporal
resumen ventas
Resumen abonos
Liquidaciones
Reportes de contracargos")</f>
        <v>Esta iniciativa contempla la integración de open pay dentro del módulo de mis ventas en gema y glomo. 
Se espera incorporar las ventas del cliente que haga a través de open pay dentro del módulo de "mis ventas" en Gema, para enriquecer la  funcionalidad del servicio y poder entregar un informe mas detallado y amplio de las Ventas, abonos y liquidaciones
Posición Global
Detalle de  ventas 
Detalle de abonos 
Módulo temporal
resumen ventas
Resumen abonos
Liquidaciones
Reportes de contracargos</v>
      </c>
      <c r="AC156" s="4" t="str">
        <f ca="1">IFERROR(__xludf.DUMMYFUNCTION("""COMPUTED_VALUE"""),"3Q 2023")</f>
        <v>3Q 2023</v>
      </c>
      <c r="AD156" s="4"/>
      <c r="AE156" s="4"/>
      <c r="AF156" s="4"/>
      <c r="AG156" s="4"/>
      <c r="AH156" s="4"/>
      <c r="AI156" s="4"/>
      <c r="AJ156" s="4"/>
      <c r="AK156" s="131" t="str">
        <f ca="1">IFERROR(__xludf.DUMMYFUNCTION("""COMPUTED_VALUE"""),"COLWSCANAL-2788")</f>
        <v>COLWSCANAL-2788</v>
      </c>
      <c r="AL156" s="4" t="str">
        <f ca="1">IFERROR(__xludf.DUMMYFUNCTION("""COMPUTED_VALUE"""),"New")</f>
        <v>New</v>
      </c>
      <c r="AM156" s="4"/>
      <c r="AN156" s="4" t="str">
        <f ca="1">IFERROR(__xludf.DUMMYFUNCTION("""COMPUTED_VALUE"""),"Entregable en backlog")</f>
        <v>Entregable en backlog</v>
      </c>
      <c r="AO156" s="4" t="str">
        <f ca="1">IFERROR(__xludf.DUMMYFUNCTION("""COMPUTED_VALUE"""),"Mercurio y Adquirencia")</f>
        <v>Mercurio y Adquirencia</v>
      </c>
      <c r="AP156" s="4"/>
      <c r="AQ156" s="4"/>
      <c r="AR156" s="4" t="str">
        <f ca="1">IFERROR(__xludf.DUMMYFUNCTION("""COMPUTED_VALUE"""),"SDA aprobada en PPP Q1 2023")</f>
        <v>SDA aprobada en PPP Q1 2023</v>
      </c>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row>
    <row r="157" spans="1:132" x14ac:dyDescent="0.2">
      <c r="A157" s="4">
        <f ca="1">IFERROR(__xludf.DUMMYFUNCTION("""COMPUTED_VALUE"""),157)</f>
        <v>157</v>
      </c>
      <c r="B157" s="4">
        <f ca="1">IFERROR(__xludf.DUMMYFUNCTION("""COMPUTED_VALUE"""),135)</f>
        <v>135</v>
      </c>
      <c r="C157" s="4" t="str">
        <f ca="1">IFERROR(__xludf.DUMMYFUNCTION("""COMPUTED_VALUE"""),"SDATOOL-37061")</f>
        <v>SDATOOL-37061</v>
      </c>
      <c r="D157" s="4" t="str">
        <f ca="1">IFERROR(__xludf.DUMMYFUNCTION("""COMPUTED_VALUE"""),"Plan de Lealtad Comecios -Plan Ascenso Autónomos")</f>
        <v>Plan de Lealtad Comecios -Plan Ascenso Autónomos</v>
      </c>
      <c r="E157" s="4" t="str">
        <f ca="1">IFERROR(__xludf.DUMMYFUNCTION("""COMPUTED_VALUE"""),"Ofrecer un plan de lealtad a los comercios a través de la adquirencia con el Banco")</f>
        <v>Ofrecer un plan de lealtad a los comercios a través de la adquirencia con el Banco</v>
      </c>
      <c r="F157" s="4" t="str">
        <f ca="1">IFERROR(__xludf.DUMMYFUNCTION("""COMPUTED_VALUE"""),"Project")</f>
        <v>Project</v>
      </c>
      <c r="G157" s="4" t="str">
        <f ca="1">IFERROR(__xludf.DUMMYFUNCTION("""COMPUTED_VALUE"""),"Ended")</f>
        <v>Ended</v>
      </c>
      <c r="H157" s="4" t="str">
        <f ca="1">IFERROR(__xludf.DUMMYFUNCTION("""COMPUTED_VALUE"""),"1Q 2023")</f>
        <v>1Q 2023</v>
      </c>
      <c r="I157" s="131" t="str">
        <f ca="1">IFERROR(__xludf.DUMMYFUNCTION("""COMPUTED_VALUE"""),"catalina.villamil-bbva.com")</f>
        <v>catalina.villamil-bbva.com</v>
      </c>
      <c r="J157" s="131" t="str">
        <f ca="1">IFERROR(__xludf.DUMMYFUNCTION("""COMPUTED_VALUE"""),"freddyorlando.guzman-bbva.com")</f>
        <v>freddyorlando.guzman-bbva.com</v>
      </c>
      <c r="K157" s="131" t="str">
        <f ca="1">IFERROR(__xludf.DUMMYFUNCTION("""COMPUTED_VALUE"""),"nathaliamaria.torres-bbva.com")</f>
        <v>nathaliamaria.torres-bbva.com</v>
      </c>
      <c r="L157" s="130">
        <f ca="1">IFERROR(__xludf.DUMMYFUNCTION("""COMPUTED_VALUE"""),0)</f>
        <v>0</v>
      </c>
      <c r="M157" s="130">
        <f ca="1">IFERROR(__xludf.DUMMYFUNCTION("""COMPUTED_VALUE"""),3)</f>
        <v>3</v>
      </c>
      <c r="N157" s="130">
        <f ca="1">IFERROR(__xludf.DUMMYFUNCTION("""COMPUTED_VALUE"""),1.5)</f>
        <v>1.5</v>
      </c>
      <c r="O157" s="4" t="str">
        <f ca="1">IFERROR(__xludf.DUMMYFUNCTION("""COMPUTED_VALUE"""),"Scrum")</f>
        <v>Scrum</v>
      </c>
      <c r="P157" s="4" t="str">
        <f ca="1">IFERROR(__xludf.DUMMYFUNCTION("""COMPUTED_VALUE"""),"Underground")</f>
        <v>Underground</v>
      </c>
      <c r="Q157" s="130">
        <f ca="1">IFERROR(__xludf.DUMMYFUNCTION("""COMPUTED_VALUE"""),1)</f>
        <v>1</v>
      </c>
      <c r="R157" s="130" t="str">
        <f ca="1">IFERROR(__xludf.DUMMYFUNCTION("""COMPUTED_VALUE"""),"Payments &amp; Partnerships")</f>
        <v>Payments &amp; Partnerships</v>
      </c>
      <c r="S157" s="130" t="str">
        <f ca="1">IFERROR(__xludf.DUMMYFUNCTION("""COMPUTED_VALUE"""),"Plan Ascenso")</f>
        <v>Plan Ascenso</v>
      </c>
      <c r="T157" s="130" t="str">
        <f ca="1">IFERROR(__xludf.DUMMYFUNCTION("""COMPUTED_VALUE"""),"1. Generación de Ingresos")</f>
        <v>1. Generación de Ingresos</v>
      </c>
      <c r="U157" s="130" t="str">
        <f ca="1">IFERROR(__xludf.DUMMYFUNCTION("""COMPUTED_VALUE"""),"1.4. Proyectos de Pagos y Adquirencia")</f>
        <v>1.4. Proyectos de Pagos y Adquirencia</v>
      </c>
      <c r="V157" s="4" t="str">
        <f ca="1">IFERROR(__xludf.DUMMYFUNCTION("""COMPUTED_VALUE"""),"Mercurio")</f>
        <v>Mercurio</v>
      </c>
      <c r="W157" s="4">
        <f ca="1">IFERROR(__xludf.DUMMYFUNCTION("""COMPUTED_VALUE"""),2)</f>
        <v>2</v>
      </c>
      <c r="X157" s="4" t="str">
        <f ca="1">IFERROR(__xludf.DUMMYFUNCTION("""COMPUTED_VALUE"""),"02. Open Pay &amp; Mercurio")</f>
        <v>02. Open Pay &amp; Mercurio</v>
      </c>
      <c r="Y157" s="4" t="str">
        <f ca="1">IFERROR(__xludf.DUMMYFUNCTION("""COMPUTED_VALUE"""),"4.2.3 Acquiring - Mercurio")</f>
        <v>4.2.3 Acquiring - Mercurio</v>
      </c>
      <c r="Z157" s="132" t="str">
        <f ca="1">IFERROR(__xludf.DUMMYFUNCTION("""COMPUTED_VALUE"""),"383139")</f>
        <v>383139</v>
      </c>
      <c r="AA157" s="4" t="str">
        <f ca="1">IFERROR(__xludf.DUMMYFUNCTION("""COMPUTED_VALUE"""),"Modulo de campañas para comercios y acumulación de puntos en EVERILION")</f>
        <v>Modulo de campañas para comercios y acumulación de puntos en EVERILION</v>
      </c>
      <c r="AB157" s="4" t="str">
        <f ca="1">IFERROR(__xludf.DUMMYFUNCTION("""COMPUTED_VALUE"""),"Portal para la creación de campañas dirigidas a los comercios que tienen la adquirencia con BBVA y acceso al portal de persona jurídica (NETCASH) en el backoffice de EVERILION: Este será desarrollado por EVERILION y administrado por personas de BBVA 
Des"&amp;"arrollo para la acumulación de puntos de acuerdo a las campañas que sean definidas y parametrizadas. Módulo para la consulta y redención de puntos, donde se tendrán dos opciones en NETCASH: El cliente podrá canjear los puntos en cash back")</f>
        <v>Portal para la creación de campañas dirigidas a los comercios que tienen la adquirencia con BBVA y acceso al portal de persona jurídica (NETCASH) en el backoffice de EVERILION: Este será desarrollado por EVERILION y administrado por personas de BBVA 
Desarrollo para la acumulación de puntos de acuerdo a las campañas que sean definidas y parametrizadas. Módulo para la consulta y redención de puntos, donde se tendrán dos opciones en NETCASH: El cliente podrá canjear los puntos en cash back</v>
      </c>
      <c r="AC157" s="4" t="str">
        <f ca="1">IFERROR(__xludf.DUMMYFUNCTION("""COMPUTED_VALUE"""),"1Q 2023")</f>
        <v>1Q 2023</v>
      </c>
      <c r="AD157" s="128">
        <f ca="1">IFERROR(__xludf.DUMMYFUNCTION("""COMPUTED_VALUE"""),44531)</f>
        <v>44531</v>
      </c>
      <c r="AE157" s="128">
        <f ca="1">IFERROR(__xludf.DUMMYFUNCTION("""COMPUTED_VALUE"""),44592)</f>
        <v>44592</v>
      </c>
      <c r="AF157" s="128">
        <f ca="1">IFERROR(__xludf.DUMMYFUNCTION("""COMPUTED_VALUE"""),44593)</f>
        <v>44593</v>
      </c>
      <c r="AG157" s="128">
        <f ca="1">IFERROR(__xludf.DUMMYFUNCTION("""COMPUTED_VALUE"""),44742)</f>
        <v>44742</v>
      </c>
      <c r="AH157" s="128">
        <f ca="1">IFERROR(__xludf.DUMMYFUNCTION("""COMPUTED_VALUE"""),44743)</f>
        <v>44743</v>
      </c>
      <c r="AI157" s="128">
        <f ca="1">IFERROR(__xludf.DUMMYFUNCTION("""COMPUTED_VALUE"""),44804)</f>
        <v>44804</v>
      </c>
      <c r="AJ157" s="128">
        <f ca="1">IFERROR(__xludf.DUMMYFUNCTION("""COMPUTED_VALUE"""),44834)</f>
        <v>44834</v>
      </c>
      <c r="AK157" s="131" t="str">
        <f ca="1">IFERROR(__xludf.DUMMYFUNCTION("""COMPUTED_VALUE"""),"COLWSCANAL-710")</f>
        <v>COLWSCANAL-710</v>
      </c>
      <c r="AL157" s="4" t="str">
        <f ca="1">IFERROR(__xludf.DUMMYFUNCTION("""COMPUTED_VALUE"""),"En progreso")</f>
        <v>En progreso</v>
      </c>
      <c r="AM157" s="4" t="str">
        <f ca="1">IFERROR(__xludf.DUMMYFUNCTION("""COMPUTED_VALUE"""),"02/02 Definiciones cerradas, se inició desarrollo 26/01")</f>
        <v>02/02 Definiciones cerradas, se inició desarrollo 26/01</v>
      </c>
      <c r="AN157" s="4" t="str">
        <f ca="1">IFERROR(__xludf.DUMMYFUNCTION("""COMPUTED_VALUE"""),"Entregable en desarrollo")</f>
        <v>Entregable en desarrollo</v>
      </c>
      <c r="AO157" s="4" t="str">
        <f ca="1">IFERROR(__xludf.DUMMYFUNCTION("""COMPUTED_VALUE"""),"Mercurio y Adquirencia")</f>
        <v>Mercurio y Adquirencia</v>
      </c>
      <c r="AP157" s="4"/>
      <c r="AQ157" s="4"/>
      <c r="AR157" s="4" t="str">
        <f ca="1">IFERROR(__xludf.DUMMYFUNCTION("""COMPUTED_VALUE"""),"SDA aprobada en PPP Q1 2023")</f>
        <v>SDA aprobada en PPP Q1 2023</v>
      </c>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133">
        <f ca="1">IFERROR(__xludf.DUMMYFUNCTION("""COMPUTED_VALUE"""),0)</f>
        <v>0</v>
      </c>
      <c r="DV157" s="133">
        <f ca="1">IFERROR(__xludf.DUMMYFUNCTION("""COMPUTED_VALUE"""),0)</f>
        <v>0</v>
      </c>
      <c r="DW157" s="133">
        <f ca="1">IFERROR(__xludf.DUMMYFUNCTION("""COMPUTED_VALUE"""),362535713)</f>
        <v>362535713</v>
      </c>
      <c r="DX157" s="133">
        <f ca="1">IFERROR(__xludf.DUMMYFUNCTION("""COMPUTED_VALUE"""),211748434)</f>
        <v>211748434</v>
      </c>
      <c r="DY157" s="133">
        <f ca="1">IFERROR(__xludf.DUMMYFUNCTION("""COMPUTED_VALUE"""),0)</f>
        <v>0</v>
      </c>
      <c r="DZ157" s="133">
        <f ca="1">IFERROR(__xludf.DUMMYFUNCTION("""COMPUTED_VALUE"""),574284147)</f>
        <v>574284147</v>
      </c>
      <c r="EA157" s="4"/>
      <c r="EB157" s="4"/>
    </row>
    <row r="158" spans="1:132" x14ac:dyDescent="0.2">
      <c r="A158" s="4">
        <f ca="1">IFERROR(__xludf.DUMMYFUNCTION("""COMPUTED_VALUE"""),158)</f>
        <v>158</v>
      </c>
      <c r="B158" s="4">
        <f ca="1">IFERROR(__xludf.DUMMYFUNCTION("""COMPUTED_VALUE"""),136)</f>
        <v>136</v>
      </c>
      <c r="C158" s="4" t="str">
        <f ca="1">IFERROR(__xludf.DUMMYFUNCTION("""COMPUTED_VALUE"""),"SDATOOL-40579")</f>
        <v>SDATOOL-40579</v>
      </c>
      <c r="D158" s="4" t="str">
        <f ca="1">IFERROR(__xludf.DUMMYFUNCTION("""COMPUTED_VALUE"""),"Evolutivo programa de Lealtad Modelo Agregador")</f>
        <v>Evolutivo programa de Lealtad Modelo Agregador</v>
      </c>
      <c r="E158" s="4" t="str">
        <f ca="1">IFERROR(__xludf.DUMMYFUNCTION("""COMPUTED_VALUE"""),"Esta solicitud se radica con el objetivo de incluir a los clientes del modelo agregador en el programa de lealtad. Los clientes del modelo agregador podrán entrar en el programa, acumular puntos y redimir a través de cashback, también podrán ver el estado"&amp;" de sus puntos desde su app.")</f>
        <v>Esta solicitud se radica con el objetivo de incluir a los clientes del modelo agregador en el programa de lealtad. Los clientes del modelo agregador podrán entrar en el programa, acumular puntos y redimir a través de cashback, también podrán ver el estado de sus puntos desde su app.</v>
      </c>
      <c r="F158" s="4" t="str">
        <f ca="1">IFERROR(__xludf.DUMMYFUNCTION("""COMPUTED_VALUE"""),"Initiative")</f>
        <v>Initiative</v>
      </c>
      <c r="G158" s="4" t="str">
        <f ca="1">IFERROR(__xludf.DUMMYFUNCTION("""COMPUTED_VALUE"""),"On hold")</f>
        <v>On hold</v>
      </c>
      <c r="H158" s="4" t="str">
        <f ca="1">IFERROR(__xludf.DUMMYFUNCTION("""COMPUTED_VALUE"""),"3Q 2023")</f>
        <v>3Q 2023</v>
      </c>
      <c r="I158" s="131" t="str">
        <f ca="1">IFERROR(__xludf.DUMMYFUNCTION("""COMPUTED_VALUE"""),"catalina.villamil-bbva.com")</f>
        <v>catalina.villamil-bbva.com</v>
      </c>
      <c r="J158" s="131" t="str">
        <f ca="1">IFERROR(__xludf.DUMMYFUNCTION("""COMPUTED_VALUE"""),"nelson.ramirez-bbva.com")</f>
        <v>nelson.ramirez-bbva.com</v>
      </c>
      <c r="K158" s="131" t="str">
        <f ca="1">IFERROR(__xludf.DUMMYFUNCTION("""COMPUTED_VALUE"""),"nathaliamaria.torres-bbva.com")</f>
        <v>nathaliamaria.torres-bbva.com</v>
      </c>
      <c r="L158" s="130">
        <f ca="1">IFERROR(__xludf.DUMMYFUNCTION("""COMPUTED_VALUE"""),0.5)</f>
        <v>0.5</v>
      </c>
      <c r="M158" s="130">
        <f ca="1">IFERROR(__xludf.DUMMYFUNCTION("""COMPUTED_VALUE"""),0)</f>
        <v>0</v>
      </c>
      <c r="N158" s="130">
        <f ca="1">IFERROR(__xludf.DUMMYFUNCTION("""COMPUTED_VALUE"""),0)</f>
        <v>0</v>
      </c>
      <c r="O158" s="4" t="str">
        <f ca="1">IFERROR(__xludf.DUMMYFUNCTION("""COMPUTED_VALUE"""),"Scrum")</f>
        <v>Scrum</v>
      </c>
      <c r="P158" s="4" t="str">
        <f ca="1">IFERROR(__xludf.DUMMYFUNCTION("""COMPUTED_VALUE"""),"Underground")</f>
        <v>Underground</v>
      </c>
      <c r="Q158" s="130">
        <f ca="1">IFERROR(__xludf.DUMMYFUNCTION("""COMPUTED_VALUE"""),0)</f>
        <v>0</v>
      </c>
      <c r="R158" s="130" t="str">
        <f ca="1">IFERROR(__xludf.DUMMYFUNCTION("""COMPUTED_VALUE"""),"Payments &amp; Partnerships")</f>
        <v>Payments &amp; Partnerships</v>
      </c>
      <c r="S158" s="130" t="str">
        <f ca="1">IFERROR(__xludf.DUMMYFUNCTION("""COMPUTED_VALUE"""),"Plan Ascenso")</f>
        <v>Plan Ascenso</v>
      </c>
      <c r="T158" s="130" t="str">
        <f ca="1">IFERROR(__xludf.DUMMYFUNCTION("""COMPUTED_VALUE"""),"1. Generación de Ingresos")</f>
        <v>1. Generación de Ingresos</v>
      </c>
      <c r="U158" s="130" t="str">
        <f ca="1">IFERROR(__xludf.DUMMYFUNCTION("""COMPUTED_VALUE"""),"1.4. Proyectos de Pagos y Adquirencia")</f>
        <v>1.4. Proyectos de Pagos y Adquirencia</v>
      </c>
      <c r="V158" s="4" t="str">
        <f ca="1">IFERROR(__xludf.DUMMYFUNCTION("""COMPUTED_VALUE"""),"Mercurio")</f>
        <v>Mercurio</v>
      </c>
      <c r="W158" s="4">
        <f ca="1">IFERROR(__xludf.DUMMYFUNCTION("""COMPUTED_VALUE"""),2)</f>
        <v>2</v>
      </c>
      <c r="X158" s="4" t="str">
        <f ca="1">IFERROR(__xludf.DUMMYFUNCTION("""COMPUTED_VALUE"""),"02. Open Pay &amp; Mercurio")</f>
        <v>02. Open Pay &amp; Mercurio</v>
      </c>
      <c r="Y158" s="4" t="str">
        <f ca="1">IFERROR(__xludf.DUMMYFUNCTION("""COMPUTED_VALUE"""),"4.2.3 Acquiring - Mercurio")</f>
        <v>4.2.3 Acquiring - Mercurio</v>
      </c>
      <c r="Z158" s="132" t="str">
        <f ca="1">IFERROR(__xludf.DUMMYFUNCTION("""COMPUTED_VALUE"""),"564725")</f>
        <v>564725</v>
      </c>
      <c r="AA158" s="4" t="str">
        <f ca="1">IFERROR(__xludf.DUMMYFUNCTION("""COMPUTED_VALUE"""),"Lealtad de comercios para el modelo agregador")</f>
        <v>Lealtad de comercios para el modelo agregador</v>
      </c>
      <c r="AB158" s="4" t="str">
        <f ca="1">IFERROR(__xludf.DUMMYFUNCTION("""COMPUTED_VALUE"""),"Los clientes del modelo agregador que tengan Netcash podrán hacer parte del programa de lealtad para comercios, realizar acumulación de puntos y redención en el canal.")</f>
        <v>Los clientes del modelo agregador que tengan Netcash podrán hacer parte del programa de lealtad para comercios, realizar acumulación de puntos y redención en el canal.</v>
      </c>
      <c r="AC158" s="4" t="str">
        <f ca="1">IFERROR(__xludf.DUMMYFUNCTION("""COMPUTED_VALUE"""),"3Q 2023")</f>
        <v>3Q 2023</v>
      </c>
      <c r="AD158" s="4"/>
      <c r="AE158" s="4"/>
      <c r="AF158" s="4"/>
      <c r="AG158" s="4"/>
      <c r="AH158" s="4"/>
      <c r="AI158" s="4"/>
      <c r="AJ158" s="4"/>
      <c r="AK158" s="131" t="str">
        <f ca="1">IFERROR(__xludf.DUMMYFUNCTION("""COMPUTED_VALUE"""),"COLWSCANAL-8508")</f>
        <v>COLWSCANAL-8508</v>
      </c>
      <c r="AL158" s="4" t="str">
        <f ca="1">IFERROR(__xludf.DUMMYFUNCTION("""COMPUTED_VALUE"""),"New")</f>
        <v>New</v>
      </c>
      <c r="AM158" s="4"/>
      <c r="AN158" s="4" t="str">
        <f ca="1">IFERROR(__xludf.DUMMYFUNCTION("""COMPUTED_VALUE"""),"Entregable en Conceptualización")</f>
        <v>Entregable en Conceptualización</v>
      </c>
      <c r="AO158" s="4" t="str">
        <f ca="1">IFERROR(__xludf.DUMMYFUNCTION("""COMPUTED_VALUE"""),"Mercurio y Adquirencia")</f>
        <v>Mercurio y Adquirencia</v>
      </c>
      <c r="AP158" s="4"/>
      <c r="AQ158" s="4"/>
      <c r="AR158" s="4" t="str">
        <f ca="1">IFERROR(__xludf.DUMMYFUNCTION("""COMPUTED_VALUE"""),"SDA aprobada en PPP Q1 2023")</f>
        <v>SDA aprobada en PPP Q1 2023</v>
      </c>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133">
        <f ca="1">IFERROR(__xludf.DUMMYFUNCTION("""COMPUTED_VALUE"""),0)</f>
        <v>0</v>
      </c>
      <c r="DV158" s="133">
        <f ca="1">IFERROR(__xludf.DUMMYFUNCTION("""COMPUTED_VALUE"""),0)</f>
        <v>0</v>
      </c>
      <c r="DW158" s="133">
        <f ca="1">IFERROR(__xludf.DUMMYFUNCTION("""COMPUTED_VALUE"""),0)</f>
        <v>0</v>
      </c>
      <c r="DX158" s="133">
        <f ca="1">IFERROR(__xludf.DUMMYFUNCTION("""COMPUTED_VALUE"""),60000000)</f>
        <v>60000000</v>
      </c>
      <c r="DY158" s="133">
        <f ca="1">IFERROR(__xludf.DUMMYFUNCTION("""COMPUTED_VALUE"""),0)</f>
        <v>0</v>
      </c>
      <c r="DZ158" s="133">
        <f ca="1">IFERROR(__xludf.DUMMYFUNCTION("""COMPUTED_VALUE"""),60000000)</f>
        <v>60000000</v>
      </c>
      <c r="EA158" s="4"/>
      <c r="EB158" s="4"/>
    </row>
    <row r="159" spans="1:132" x14ac:dyDescent="0.2">
      <c r="A159" s="4">
        <f ca="1">IFERROR(__xludf.DUMMYFUNCTION("""COMPUTED_VALUE"""),159)</f>
        <v>159</v>
      </c>
      <c r="B159" s="4">
        <f ca="1">IFERROR(__xludf.DUMMYFUNCTION("""COMPUTED_VALUE"""),137)</f>
        <v>137</v>
      </c>
      <c r="C159" s="4" t="str">
        <f ca="1">IFERROR(__xludf.DUMMYFUNCTION("""COMPUTED_VALUE"""),"SDATOOL-39353")</f>
        <v>SDATOOL-39353</v>
      </c>
      <c r="D159" s="4" t="str">
        <f ca="1">IFERROR(__xludf.DUMMYFUNCTION("""COMPUTED_VALUE"""),"Redirección Mobile POS")</f>
        <v>Redirección Mobile POS</v>
      </c>
      <c r="E159"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59" s="4" t="str">
        <f ca="1">IFERROR(__xludf.DUMMYFUNCTION("""COMPUTED_VALUE"""),"Project")</f>
        <v>Project</v>
      </c>
      <c r="G159" s="4" t="str">
        <f ca="1">IFERROR(__xludf.DUMMYFUNCTION("""COMPUTED_VALUE"""),"Ended")</f>
        <v>Ended</v>
      </c>
      <c r="H159" s="4" t="str">
        <f ca="1">IFERROR(__xludf.DUMMYFUNCTION("""COMPUTED_VALUE"""),"1Q 2023")</f>
        <v>1Q 2023</v>
      </c>
      <c r="I159" s="131" t="str">
        <f ca="1">IFERROR(__xludf.DUMMYFUNCTION("""COMPUTED_VALUE"""),"catalina.villamil-bbva.com")</f>
        <v>catalina.villamil-bbva.com</v>
      </c>
      <c r="J159" s="131" t="str">
        <f ca="1">IFERROR(__xludf.DUMMYFUNCTION("""COMPUTED_VALUE"""),"jennymaria.urdaneta-bbva.com")</f>
        <v>jennymaria.urdaneta-bbva.com</v>
      </c>
      <c r="K159" s="131" t="str">
        <f ca="1">IFERROR(__xludf.DUMMYFUNCTION("""COMPUTED_VALUE"""),"nathaliamaria.torres-bbva.com")</f>
        <v>nathaliamaria.torres-bbva.com</v>
      </c>
      <c r="L159" s="130">
        <f ca="1">IFERROR(__xludf.DUMMYFUNCTION("""COMPUTED_VALUE"""),1)</f>
        <v>1</v>
      </c>
      <c r="M159" s="130">
        <f ca="1">IFERROR(__xludf.DUMMYFUNCTION("""COMPUTED_VALUE"""),1.5)</f>
        <v>1.5</v>
      </c>
      <c r="N159" s="130">
        <f ca="1">IFERROR(__xludf.DUMMYFUNCTION("""COMPUTED_VALUE"""),1)</f>
        <v>1</v>
      </c>
      <c r="O159" s="4" t="str">
        <f ca="1">IFERROR(__xludf.DUMMYFUNCTION("""COMPUTED_VALUE"""),"Scrum")</f>
        <v>Scrum</v>
      </c>
      <c r="P159" s="4" t="str">
        <f ca="1">IFERROR(__xludf.DUMMYFUNCTION("""COMPUTED_VALUE"""),"Gamma Team")</f>
        <v>Gamma Team</v>
      </c>
      <c r="Q159" s="130">
        <f ca="1">IFERROR(__xludf.DUMMYFUNCTION("""COMPUTED_VALUE"""),1)</f>
        <v>1</v>
      </c>
      <c r="R159" s="130" t="str">
        <f ca="1">IFERROR(__xludf.DUMMYFUNCTION("""COMPUTED_VALUE"""),"Payments &amp; Partnerships")</f>
        <v>Payments &amp; Partnerships</v>
      </c>
      <c r="S159" s="130" t="str">
        <f ca="1">IFERROR(__xludf.DUMMYFUNCTION("""COMPUTED_VALUE"""),"Area Review")</f>
        <v>Area Review</v>
      </c>
      <c r="T159" s="130" t="str">
        <f ca="1">IFERROR(__xludf.DUMMYFUNCTION("""COMPUTED_VALUE"""),"1. Generación de Ingresos")</f>
        <v>1. Generación de Ingresos</v>
      </c>
      <c r="U159" s="130" t="str">
        <f ca="1">IFERROR(__xludf.DUMMYFUNCTION("""COMPUTED_VALUE"""),"1.4. Proyectos de Pagos y Adquirencia")</f>
        <v>1.4. Proyectos de Pagos y Adquirencia</v>
      </c>
      <c r="V159" s="4" t="str">
        <f ca="1">IFERROR(__xludf.DUMMYFUNCTION("""COMPUTED_VALUE"""),"Mercurio")</f>
        <v>Mercurio</v>
      </c>
      <c r="W159" s="4">
        <f ca="1">IFERROR(__xludf.DUMMYFUNCTION("""COMPUTED_VALUE"""),1)</f>
        <v>1</v>
      </c>
      <c r="X159" s="4" t="str">
        <f ca="1">IFERROR(__xludf.DUMMYFUNCTION("""COMPUTED_VALUE"""),"02. Open Pay &amp; Mercurio")</f>
        <v>02. Open Pay &amp; Mercurio</v>
      </c>
      <c r="Y159" s="4" t="str">
        <f ca="1">IFERROR(__xludf.DUMMYFUNCTION("""COMPUTED_VALUE"""),"4.2.3 Acquiring - Mercurio")</f>
        <v>4.2.3 Acquiring - Mercurio</v>
      </c>
      <c r="Z159" s="132" t="str">
        <f ca="1">IFERROR(__xludf.DUMMYFUNCTION("""COMPUTED_VALUE"""),"490305")</f>
        <v>490305</v>
      </c>
      <c r="AA159" s="4" t="str">
        <f ca="1">IFERROR(__xludf.DUMMYFUNCTION("""COMPUTED_VALUE"""),"Redirección MPOS GEMA")</f>
        <v>Redirección MPOS GEMA</v>
      </c>
      <c r="AB159" s="4" t="str">
        <f ca="1">IFERROR(__xludf.DUMMYFUNCTION("""COMPUTED_VALUE"""),"Redirección para contratación del mobile POS de Openpay a GEMA")</f>
        <v>Redirección para contratación del mobile POS de Openpay a GEMA</v>
      </c>
      <c r="AC159" s="4" t="str">
        <f ca="1">IFERROR(__xludf.DUMMYFUNCTION("""COMPUTED_VALUE"""),"1Q 2023")</f>
        <v>1Q 2023</v>
      </c>
      <c r="AD159" s="128">
        <f ca="1">IFERROR(__xludf.DUMMYFUNCTION("""COMPUTED_VALUE"""),44743)</f>
        <v>44743</v>
      </c>
      <c r="AE159" s="128">
        <f ca="1">IFERROR(__xludf.DUMMYFUNCTION("""COMPUTED_VALUE"""),44865)</f>
        <v>44865</v>
      </c>
      <c r="AF159" s="128" t="str">
        <f ca="1">IFERROR(__xludf.DUMMYFUNCTION("""COMPUTED_VALUE"""),"-")</f>
        <v>-</v>
      </c>
      <c r="AG159" s="128" t="str">
        <f ca="1">IFERROR(__xludf.DUMMYFUNCTION("""COMPUTED_VALUE"""),"-")</f>
        <v>-</v>
      </c>
      <c r="AH159" s="128" t="str">
        <f ca="1">IFERROR(__xludf.DUMMYFUNCTION("""COMPUTED_VALUE"""),"-")</f>
        <v>-</v>
      </c>
      <c r="AI159" s="128" t="str">
        <f ca="1">IFERROR(__xludf.DUMMYFUNCTION("""COMPUTED_VALUE"""),"-")</f>
        <v>-</v>
      </c>
      <c r="AJ159" s="128">
        <f ca="1">IFERROR(__xludf.DUMMYFUNCTION("""COMPUTED_VALUE"""),45272)</f>
        <v>45272</v>
      </c>
      <c r="AK159" s="131" t="str">
        <f ca="1">IFERROR(__xludf.DUMMYFUNCTION("""COMPUTED_VALUE"""),"COLWSCANAL-8564")</f>
        <v>COLWSCANAL-8564</v>
      </c>
      <c r="AL159" s="4" t="str">
        <f ca="1">IFERROR(__xludf.DUMMYFUNCTION("""COMPUTED_VALUE"""),"Test")</f>
        <v>Test</v>
      </c>
      <c r="AM159" s="4"/>
      <c r="AN159" s="4" t="str">
        <f ca="1">IFERROR(__xludf.DUMMYFUNCTION("""COMPUTED_VALUE"""),"Entregable en desarrollo")</f>
        <v>Entregable en desarrollo</v>
      </c>
      <c r="AO159" s="4" t="str">
        <f ca="1">IFERROR(__xludf.DUMMYFUNCTION("""COMPUTED_VALUE"""),"Mercurio y Adquirencia")</f>
        <v>Mercurio y Adquirencia</v>
      </c>
      <c r="AP159" s="4"/>
      <c r="AQ159" s="4"/>
      <c r="AR159" s="4" t="str">
        <f ca="1">IFERROR(__xludf.DUMMYFUNCTION("""COMPUTED_VALUE"""),"SDA aprobada en PPP Q1 2023")</f>
        <v>SDA aprobada en PPP Q1 2023</v>
      </c>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133">
        <f ca="1">IFERROR(__xludf.DUMMYFUNCTION("""COMPUTED_VALUE"""),0)</f>
        <v>0</v>
      </c>
      <c r="DV159" s="133">
        <f ca="1">IFERROR(__xludf.DUMMYFUNCTION("""COMPUTED_VALUE"""),0)</f>
        <v>0</v>
      </c>
      <c r="DW159" s="133">
        <f ca="1">IFERROR(__xludf.DUMMYFUNCTION("""COMPUTED_VALUE"""),0)</f>
        <v>0</v>
      </c>
      <c r="DX159" s="133">
        <f ca="1">IFERROR(__xludf.DUMMYFUNCTION("""COMPUTED_VALUE"""),32878328)</f>
        <v>32878328</v>
      </c>
      <c r="DY159" s="133">
        <f ca="1">IFERROR(__xludf.DUMMYFUNCTION("""COMPUTED_VALUE"""),0)</f>
        <v>0</v>
      </c>
      <c r="DZ159" s="133">
        <f ca="1">IFERROR(__xludf.DUMMYFUNCTION("""COMPUTED_VALUE"""),32878328)</f>
        <v>32878328</v>
      </c>
      <c r="EA159" s="4"/>
      <c r="EB159" s="4"/>
    </row>
    <row r="160" spans="1:132" x14ac:dyDescent="0.2">
      <c r="A160" s="4">
        <f ca="1">IFERROR(__xludf.DUMMYFUNCTION("""COMPUTED_VALUE"""),160)</f>
        <v>160</v>
      </c>
      <c r="B160" s="4">
        <f ca="1">IFERROR(__xludf.DUMMYFUNCTION("""COMPUTED_VALUE"""),138)</f>
        <v>138</v>
      </c>
      <c r="C160" s="4" t="str">
        <f ca="1">IFERROR(__xludf.DUMMYFUNCTION("""COMPUTED_VALUE"""),"SDATOOL-40676")</f>
        <v>SDATOOL-40676</v>
      </c>
      <c r="D160" s="4" t="str">
        <f ca="1">IFERROR(__xludf.DUMMYFUNCTION("""COMPUTED_VALUE"""),"Contratación y uso de mPOS desde APPs BBVA")</f>
        <v>Contratación y uso de mPOS desde APPs BBVA</v>
      </c>
      <c r="E160"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60" s="4" t="str">
        <f ca="1">IFERROR(__xludf.DUMMYFUNCTION("""COMPUTED_VALUE"""),"Initiative")</f>
        <v>Initiative</v>
      </c>
      <c r="G160" s="4" t="str">
        <f ca="1">IFERROR(__xludf.DUMMYFUNCTION("""COMPUTED_VALUE"""),"On hold")</f>
        <v>On hold</v>
      </c>
      <c r="H160" s="4" t="str">
        <f ca="1">IFERROR(__xludf.DUMMYFUNCTION("""COMPUTED_VALUE"""),"1Q 2024")</f>
        <v>1Q 2024</v>
      </c>
      <c r="I160" s="131" t="str">
        <f ca="1">IFERROR(__xludf.DUMMYFUNCTION("""COMPUTED_VALUE"""),"catalina.villamil-bbva.com")</f>
        <v>catalina.villamil-bbva.com</v>
      </c>
      <c r="J160" s="131" t="str">
        <f ca="1">IFERROR(__xludf.DUMMYFUNCTION("""COMPUTED_VALUE"""),"freddyorlando.guzman-bbva.com")</f>
        <v>freddyorlando.guzman-bbva.com</v>
      </c>
      <c r="K160" s="131" t="str">
        <f ca="1">IFERROR(__xludf.DUMMYFUNCTION("""COMPUTED_VALUE"""),"nathaliamaria.torres-bbva.com")</f>
        <v>nathaliamaria.torres-bbva.com</v>
      </c>
      <c r="L160" s="130">
        <f ca="1">IFERROR(__xludf.DUMMYFUNCTION("""COMPUTED_VALUE"""),0.5)</f>
        <v>0.5</v>
      </c>
      <c r="M160" s="130">
        <f ca="1">IFERROR(__xludf.DUMMYFUNCTION("""COMPUTED_VALUE"""),0.75)</f>
        <v>0.75</v>
      </c>
      <c r="N160" s="130">
        <f ca="1">IFERROR(__xludf.DUMMYFUNCTION("""COMPUTED_VALUE"""),0)</f>
        <v>0</v>
      </c>
      <c r="O160" s="4" t="str">
        <f ca="1">IFERROR(__xludf.DUMMYFUNCTION("""COMPUTED_VALUE"""),"Scrum")</f>
        <v>Scrum</v>
      </c>
      <c r="P160" s="4" t="str">
        <f ca="1">IFERROR(__xludf.DUMMYFUNCTION("""COMPUTED_VALUE"""),"Gamma Team")</f>
        <v>Gamma Team</v>
      </c>
      <c r="Q160" s="130">
        <f ca="1">IFERROR(__xludf.DUMMYFUNCTION("""COMPUTED_VALUE"""),0)</f>
        <v>0</v>
      </c>
      <c r="R160" s="130" t="str">
        <f ca="1">IFERROR(__xludf.DUMMYFUNCTION("""COMPUTED_VALUE"""),"Payments &amp; Partnerships")</f>
        <v>Payments &amp; Partnerships</v>
      </c>
      <c r="S160" s="130" t="str">
        <f ca="1">IFERROR(__xludf.DUMMYFUNCTION("""COMPUTED_VALUE"""),"Area Review")</f>
        <v>Area Review</v>
      </c>
      <c r="T160" s="130" t="str">
        <f ca="1">IFERROR(__xludf.DUMMYFUNCTION("""COMPUTED_VALUE"""),"1. Generación de Ingresos")</f>
        <v>1. Generación de Ingresos</v>
      </c>
      <c r="U160" s="130" t="str">
        <f ca="1">IFERROR(__xludf.DUMMYFUNCTION("""COMPUTED_VALUE"""),"1.4. Proyectos de Pagos y Adquirencia")</f>
        <v>1.4. Proyectos de Pagos y Adquirencia</v>
      </c>
      <c r="V160" s="4" t="str">
        <f ca="1">IFERROR(__xludf.DUMMYFUNCTION("""COMPUTED_VALUE"""),"Mercurio")</f>
        <v>Mercurio</v>
      </c>
      <c r="W160" s="4">
        <f ca="1">IFERROR(__xludf.DUMMYFUNCTION("""COMPUTED_VALUE"""),1)</f>
        <v>1</v>
      </c>
      <c r="X160" s="4" t="str">
        <f ca="1">IFERROR(__xludf.DUMMYFUNCTION("""COMPUTED_VALUE"""),"02. Open Pay &amp; Mercurio")</f>
        <v>02. Open Pay &amp; Mercurio</v>
      </c>
      <c r="Y160" s="4" t="str">
        <f ca="1">IFERROR(__xludf.DUMMYFUNCTION("""COMPUTED_VALUE"""),"4.2.3 Acquiring - Mercurio")</f>
        <v>4.2.3 Acquiring - Mercurio</v>
      </c>
      <c r="Z160" s="132" t="str">
        <f ca="1">IFERROR(__xludf.DUMMYFUNCTION("""COMPUTED_VALUE"""),"620430")</f>
        <v>620430</v>
      </c>
      <c r="AA160" s="4" t="str">
        <f ca="1">IFERROR(__xludf.DUMMYFUNCTION("""COMPUTED_VALUE"""),"Mobile POS GEMA")</f>
        <v>Mobile POS GEMA</v>
      </c>
      <c r="AB160" s="4" t="str">
        <f ca="1">IFERROR(__xludf.DUMMYFUNCTION("""COMPUTED_VALUE"""),"TBD")</f>
        <v>TBD</v>
      </c>
      <c r="AC160" s="4" t="str">
        <f ca="1">IFERROR(__xludf.DUMMYFUNCTION("""COMPUTED_VALUE"""),"4Q 2023")</f>
        <v>4Q 2023</v>
      </c>
      <c r="AD160" s="4"/>
      <c r="AE160" s="4"/>
      <c r="AF160" s="4"/>
      <c r="AG160" s="4"/>
      <c r="AH160" s="4"/>
      <c r="AI160" s="4"/>
      <c r="AJ160" s="4"/>
      <c r="AK160" s="131" t="str">
        <f ca="1">IFERROR(__xludf.DUMMYFUNCTION("""COMPUTED_VALUE"""),"COLWSCANAL-8589")</f>
        <v>COLWSCANAL-8589</v>
      </c>
      <c r="AL160" s="4" t="str">
        <f ca="1">IFERROR(__xludf.DUMMYFUNCTION("""COMPUTED_VALUE"""),"New")</f>
        <v>New</v>
      </c>
      <c r="AM160" s="4"/>
      <c r="AN160" s="4" t="str">
        <f ca="1">IFERROR(__xludf.DUMMYFUNCTION("""COMPUTED_VALUE"""),"Iniciativa en Discovery")</f>
        <v>Iniciativa en Discovery</v>
      </c>
      <c r="AO160" s="4" t="str">
        <f ca="1">IFERROR(__xludf.DUMMYFUNCTION("""COMPUTED_VALUE"""),"Mercurio y Adquirencia")</f>
        <v>Mercurio y Adquirencia</v>
      </c>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133">
        <f ca="1">IFERROR(__xludf.DUMMYFUNCTION("""COMPUTED_VALUE"""),0)</f>
        <v>0</v>
      </c>
      <c r="DV160" s="133">
        <f ca="1">IFERROR(__xludf.DUMMYFUNCTION("""COMPUTED_VALUE"""),0)</f>
        <v>0</v>
      </c>
      <c r="DW160" s="133">
        <f ca="1">IFERROR(__xludf.DUMMYFUNCTION("""COMPUTED_VALUE"""),0)</f>
        <v>0</v>
      </c>
      <c r="DX160" s="133">
        <f ca="1">IFERROR(__xludf.DUMMYFUNCTION("""COMPUTED_VALUE"""),1250000000)</f>
        <v>1250000000</v>
      </c>
      <c r="DY160" s="133">
        <f ca="1">IFERROR(__xludf.DUMMYFUNCTION("""COMPUTED_VALUE"""),600000000)</f>
        <v>600000000</v>
      </c>
      <c r="DZ160" s="133">
        <f ca="1">IFERROR(__xludf.DUMMYFUNCTION("""COMPUTED_VALUE"""),1850000000)</f>
        <v>1850000000</v>
      </c>
      <c r="EA160" s="4"/>
      <c r="EB160" s="4"/>
    </row>
    <row r="161" spans="1:132" x14ac:dyDescent="0.2">
      <c r="A161" s="4">
        <f ca="1">IFERROR(__xludf.DUMMYFUNCTION("""COMPUTED_VALUE"""),161)</f>
        <v>161</v>
      </c>
      <c r="B161" s="4">
        <f ca="1">IFERROR(__xludf.DUMMYFUNCTION("""COMPUTED_VALUE"""),139)</f>
        <v>139</v>
      </c>
      <c r="C161" s="4" t="str">
        <f ca="1">IFERROR(__xludf.DUMMYFUNCTION("""COMPUTED_VALUE"""),"SDATOOL-40676")</f>
        <v>SDATOOL-40676</v>
      </c>
      <c r="D161" s="4" t="str">
        <f ca="1">IFERROR(__xludf.DUMMYFUNCTION("""COMPUTED_VALUE"""),"Contratación y uso de mPOS desde APPs BBVA")</f>
        <v>Contratación y uso de mPOS desde APPs BBVA</v>
      </c>
      <c r="E161"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61" s="4" t="str">
        <f ca="1">IFERROR(__xludf.DUMMYFUNCTION("""COMPUTED_VALUE"""),"Initiative")</f>
        <v>Initiative</v>
      </c>
      <c r="G161" s="4" t="str">
        <f ca="1">IFERROR(__xludf.DUMMYFUNCTION("""COMPUTED_VALUE"""),"On hold")</f>
        <v>On hold</v>
      </c>
      <c r="H161" s="4" t="str">
        <f ca="1">IFERROR(__xludf.DUMMYFUNCTION("""COMPUTED_VALUE"""),"1Q 2024")</f>
        <v>1Q 2024</v>
      </c>
      <c r="I161" s="131" t="str">
        <f ca="1">IFERROR(__xludf.DUMMYFUNCTION("""COMPUTED_VALUE"""),"catalina.villamil-bbva.com")</f>
        <v>catalina.villamil-bbva.com</v>
      </c>
      <c r="J161" s="131" t="str">
        <f ca="1">IFERROR(__xludf.DUMMYFUNCTION("""COMPUTED_VALUE"""),"freddyorlando.guzman-bbva.com")</f>
        <v>freddyorlando.guzman-bbva.com</v>
      </c>
      <c r="K161" s="131" t="str">
        <f ca="1">IFERROR(__xludf.DUMMYFUNCTION("""COMPUTED_VALUE"""),"nathaliamaria.torres-bbva.com")</f>
        <v>nathaliamaria.torres-bbva.com</v>
      </c>
      <c r="L161" s="4"/>
      <c r="M161" s="4"/>
      <c r="N161" s="4"/>
      <c r="O161" s="4" t="str">
        <f ca="1">IFERROR(__xludf.DUMMYFUNCTION("""COMPUTED_VALUE"""),"Scrum")</f>
        <v>Scrum</v>
      </c>
      <c r="P161" s="4" t="str">
        <f ca="1">IFERROR(__xludf.DUMMYFUNCTION("""COMPUTED_VALUE"""),"Gamma Team")</f>
        <v>Gamma Team</v>
      </c>
      <c r="Q161" s="4"/>
      <c r="R161" s="130" t="str">
        <f ca="1">IFERROR(__xludf.DUMMYFUNCTION("""COMPUTED_VALUE"""),"Payments &amp; Partnerships")</f>
        <v>Payments &amp; Partnerships</v>
      </c>
      <c r="S161" s="130" t="str">
        <f ca="1">IFERROR(__xludf.DUMMYFUNCTION("""COMPUTED_VALUE"""),"Area Review")</f>
        <v>Area Review</v>
      </c>
      <c r="T161" s="130" t="str">
        <f ca="1">IFERROR(__xludf.DUMMYFUNCTION("""COMPUTED_VALUE"""),"1. Generación de Ingresos")</f>
        <v>1. Generación de Ingresos</v>
      </c>
      <c r="U161" s="130" t="str">
        <f ca="1">IFERROR(__xludf.DUMMYFUNCTION("""COMPUTED_VALUE"""),"1.4. Proyectos de Pagos y Adquirencia")</f>
        <v>1.4. Proyectos de Pagos y Adquirencia</v>
      </c>
      <c r="V161" s="4" t="str">
        <f ca="1">IFERROR(__xludf.DUMMYFUNCTION("""COMPUTED_VALUE"""),"Mercurio")</f>
        <v>Mercurio</v>
      </c>
      <c r="W161" s="4">
        <f ca="1">IFERROR(__xludf.DUMMYFUNCTION("""COMPUTED_VALUE"""),1)</f>
        <v>1</v>
      </c>
      <c r="X161" s="4" t="str">
        <f ca="1">IFERROR(__xludf.DUMMYFUNCTION("""COMPUTED_VALUE"""),"02. Open Pay &amp; Mercurio")</f>
        <v>02. Open Pay &amp; Mercurio</v>
      </c>
      <c r="Y161" s="4" t="str">
        <f ca="1">IFERROR(__xludf.DUMMYFUNCTION("""COMPUTED_VALUE"""),"4.2.3 Acquiring - Mercurio")</f>
        <v>4.2.3 Acquiring - Mercurio</v>
      </c>
      <c r="Z161" s="132" t="str">
        <f ca="1">IFERROR(__xludf.DUMMYFUNCTION("""COMPUTED_VALUE"""),"626217")</f>
        <v>626217</v>
      </c>
      <c r="AA161" s="4" t="str">
        <f ca="1">IFERROR(__xludf.DUMMYFUNCTION("""COMPUTED_VALUE"""),"Mobile POS GLOMO")</f>
        <v>Mobile POS GLOMO</v>
      </c>
      <c r="AB161" s="4" t="str">
        <f ca="1">IFERROR(__xludf.DUMMYFUNCTION("""COMPUTED_VALUE"""),"Mobile POS GLOMO")</f>
        <v>Mobile POS GLOMO</v>
      </c>
      <c r="AC161" s="4" t="str">
        <f ca="1">IFERROR(__xludf.DUMMYFUNCTION("""COMPUTED_VALUE"""),"4Q 2023")</f>
        <v>4Q 2023</v>
      </c>
      <c r="AD161" s="4"/>
      <c r="AE161" s="4"/>
      <c r="AF161" s="4"/>
      <c r="AG161" s="4"/>
      <c r="AH161" s="4"/>
      <c r="AI161" s="4"/>
      <c r="AJ161" s="4"/>
      <c r="AK161" s="131" t="str">
        <f ca="1">IFERROR(__xludf.DUMMYFUNCTION("""COMPUTED_VALUE"""),"COLWSCANAL-8592")</f>
        <v>COLWSCANAL-8592</v>
      </c>
      <c r="AL161" s="4" t="str">
        <f ca="1">IFERROR(__xludf.DUMMYFUNCTION("""COMPUTED_VALUE"""),"New")</f>
        <v>New</v>
      </c>
      <c r="AM161" s="4"/>
      <c r="AN161" s="4" t="str">
        <f ca="1">IFERROR(__xludf.DUMMYFUNCTION("""COMPUTED_VALUE"""),"Iniciativa en Discovery")</f>
        <v>Iniciativa en Discovery</v>
      </c>
      <c r="AO161" s="4" t="str">
        <f ca="1">IFERROR(__xludf.DUMMYFUNCTION("""COMPUTED_VALUE"""),"Mercurio y Adquirencia")</f>
        <v>Mercurio y Adquirencia</v>
      </c>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row>
    <row r="162" spans="1:132" x14ac:dyDescent="0.2">
      <c r="A162" s="4">
        <f ca="1">IFERROR(__xludf.DUMMYFUNCTION("""COMPUTED_VALUE"""),162)</f>
        <v>162</v>
      </c>
      <c r="B162" s="4">
        <f ca="1">IFERROR(__xludf.DUMMYFUNCTION("""COMPUTED_VALUE"""),140)</f>
        <v>140</v>
      </c>
      <c r="C162" s="4" t="str">
        <f ca="1">IFERROR(__xludf.DUMMYFUNCTION("""COMPUTED_VALUE"""),"SDATOOL-32905")</f>
        <v>SDATOOL-32905</v>
      </c>
      <c r="D162" s="4" t="str">
        <f ca="1">IFERROR(__xludf.DUMMYFUNCTION("""COMPUTED_VALUE"""),"Global Enterprises Mobile App (GEMA)")</f>
        <v>Global Enterprises Mobile App (GEMA)</v>
      </c>
      <c r="E162"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2" s="4" t="str">
        <f ca="1">IFERROR(__xludf.DUMMYFUNCTION("""COMPUTED_VALUE"""),"Project")</f>
        <v>Project</v>
      </c>
      <c r="G162" s="4" t="str">
        <f ca="1">IFERROR(__xludf.DUMMYFUNCTION("""COMPUTED_VALUE"""),"Ended")</f>
        <v>Ended</v>
      </c>
      <c r="H162" s="4" t="str">
        <f ca="1">IFERROR(__xludf.DUMMYFUNCTION("""COMPUTED_VALUE"""),"1Q 2023")</f>
        <v>1Q 2023</v>
      </c>
      <c r="I162" s="131" t="str">
        <f ca="1">IFERROR(__xludf.DUMMYFUNCTION("""COMPUTED_VALUE"""),"catalina.villamil-bbva.com")</f>
        <v>catalina.villamil-bbva.com</v>
      </c>
      <c r="J162" s="131" t="str">
        <f ca="1">IFERROR(__xludf.DUMMYFUNCTION("""COMPUTED_VALUE"""),"jennymaria.urdaneta-bbva.com")</f>
        <v>jennymaria.urdaneta-bbva.com</v>
      </c>
      <c r="K162" s="131" t="str">
        <f ca="1">IFERROR(__xludf.DUMMYFUNCTION("""COMPUTED_VALUE"""),"elizabeth.diaz-bbva.com")</f>
        <v>elizabeth.diaz-bbva.com</v>
      </c>
      <c r="L162" s="130">
        <f ca="1">IFERROR(__xludf.DUMMYFUNCTION("""COMPUTED_VALUE"""),0)</f>
        <v>0</v>
      </c>
      <c r="M162" s="130">
        <f ca="1">IFERROR(__xludf.DUMMYFUNCTION("""COMPUTED_VALUE"""),3)</f>
        <v>3</v>
      </c>
      <c r="N162" s="130">
        <f ca="1">IFERROR(__xludf.DUMMYFUNCTION("""COMPUTED_VALUE"""),11.5)</f>
        <v>11.5</v>
      </c>
      <c r="O162" s="4" t="str">
        <f ca="1">IFERROR(__xludf.DUMMYFUNCTION("""COMPUTED_VALUE"""),"Scrum")</f>
        <v>Scrum</v>
      </c>
      <c r="P162" s="4" t="str">
        <f ca="1">IFERROR(__xludf.DUMMYFUNCTION("""COMPUTED_VALUE"""),"Sirio Team")</f>
        <v>Sirio Team</v>
      </c>
      <c r="Q162" s="130">
        <f ca="1">IFERROR(__xludf.DUMMYFUNCTION("""COMPUTED_VALUE"""),1)</f>
        <v>1</v>
      </c>
      <c r="R162" s="130" t="str">
        <f ca="1">IFERROR(__xludf.DUMMYFUNCTION("""COMPUTED_VALUE"""),"Enterprises")</f>
        <v>Enterprises</v>
      </c>
      <c r="S162" s="130" t="str">
        <f ca="1">IFERROR(__xludf.DUMMYFUNCTION("""COMPUTED_VALUE"""),"Area Review")</f>
        <v>Area Review</v>
      </c>
      <c r="T162" s="130" t="str">
        <f ca="1">IFERROR(__xludf.DUMMYFUNCTION("""COMPUTED_VALUE"""),"2. Modelo de relación y distribución")</f>
        <v>2. Modelo de relación y distribución</v>
      </c>
      <c r="U162" s="130" t="str">
        <f ca="1">IFERROR(__xludf.DUMMYFUNCTION("""COMPUTED_VALUE"""),"2.4. Herramientas de clientes")</f>
        <v>2.4. Herramientas de clientes</v>
      </c>
      <c r="V162" s="4" t="str">
        <f ca="1">IFERROR(__xludf.DUMMYFUNCTION("""COMPUTED_VALUE"""),"GeMa")</f>
        <v>GeMa</v>
      </c>
      <c r="W162" s="4">
        <f ca="1">IFERROR(__xludf.DUMMYFUNCTION("""COMPUTED_VALUE"""),1)</f>
        <v>1</v>
      </c>
      <c r="X162" s="4" t="str">
        <f ca="1">IFERROR(__xludf.DUMMYFUNCTION("""COMPUTED_VALUE"""),"03. SMEs &amp; Self-employed")</f>
        <v>03. SMEs &amp; Self-employed</v>
      </c>
      <c r="Y162" s="4" t="str">
        <f ca="1">IFERROR(__xludf.DUMMYFUNCTION("""COMPUTED_VALUE"""),"5.3.3 SMES- GEMA")</f>
        <v>5.3.3 SMES- GEMA</v>
      </c>
      <c r="Z162" s="132" t="str">
        <f ca="1">IFERROR(__xludf.DUMMYFUNCTION("""COMPUTED_VALUE"""),"173390")</f>
        <v>173390</v>
      </c>
      <c r="AA162" s="4" t="str">
        <f ca="1">IFERROR(__xludf.DUMMYFUNCTION("""COMPUTED_VALUE"""),"Bloque 1")</f>
        <v>Bloque 1</v>
      </c>
      <c r="AB162" s="4" t="str">
        <f ca="1">IFERROR(__xludf.DUMMYFUNCTION("""COMPUTED_VALUE"""),"Bloque 1")</f>
        <v>Bloque 1</v>
      </c>
      <c r="AC162" s="4" t="str">
        <f ca="1">IFERROR(__xludf.DUMMYFUNCTION("""COMPUTED_VALUE"""),"3Q 2021")</f>
        <v>3Q 2021</v>
      </c>
      <c r="AD162" s="128">
        <f ca="1">IFERROR(__xludf.DUMMYFUNCTION("""COMPUTED_VALUE"""),44564)</f>
        <v>44564</v>
      </c>
      <c r="AE162" s="128">
        <f ca="1">IFERROR(__xludf.DUMMYFUNCTION("""COMPUTED_VALUE"""),44592)</f>
        <v>44592</v>
      </c>
      <c r="AF162" s="128">
        <f ca="1">IFERROR(__xludf.DUMMYFUNCTION("""COMPUTED_VALUE"""),44592)</f>
        <v>44592</v>
      </c>
      <c r="AG162" s="128">
        <f ca="1">IFERROR(__xludf.DUMMYFUNCTION("""COMPUTED_VALUE"""),44711)</f>
        <v>44711</v>
      </c>
      <c r="AH162" s="128">
        <f ca="1">IFERROR(__xludf.DUMMYFUNCTION("""COMPUTED_VALUE"""),44677)</f>
        <v>44677</v>
      </c>
      <c r="AI162" s="128">
        <f ca="1">IFERROR(__xludf.DUMMYFUNCTION("""COMPUTED_VALUE"""),44742)</f>
        <v>44742</v>
      </c>
      <c r="AJ162" s="128">
        <f ca="1">IFERROR(__xludf.DUMMYFUNCTION("""COMPUTED_VALUE"""),44772)</f>
        <v>44772</v>
      </c>
      <c r="AK162" s="4" t="str">
        <f ca="1">IFERROR(__xludf.DUMMYFUNCTION("""COMPUTED_VALUE"""),"Sin asignar")</f>
        <v>Sin asignar</v>
      </c>
      <c r="AL162" s="4" t="str">
        <f ca="1">IFERROR(__xludf.DUMMYFUNCTION("""COMPUTED_VALUE"""),"Sin asignar")</f>
        <v>Sin asignar</v>
      </c>
      <c r="AM162" s="4" t="str">
        <f ca="1">IFERROR(__xludf.DUMMYFUNCTION("""COMPUTED_VALUE"""),"Producción")</f>
        <v>Producción</v>
      </c>
      <c r="AN162" s="4" t="str">
        <f ca="1">IFERROR(__xludf.DUMMYFUNCTION("""COMPUTED_VALUE"""),"Finalizado")</f>
        <v>Finalizado</v>
      </c>
      <c r="AO162" s="4" t="str">
        <f ca="1">IFERROR(__xludf.DUMMYFUNCTION("""COMPUTED_VALUE"""),"Data &amp; Tecnology")</f>
        <v>Data &amp; Tecnology</v>
      </c>
      <c r="AP162" s="4"/>
      <c r="AQ162" s="4"/>
      <c r="AR162" s="4" t="str">
        <f ca="1">IFERROR(__xludf.DUMMYFUNCTION("""COMPUTED_VALUE"""),"SDA aprobada en PPP Q1 2023")</f>
        <v>SDA aprobada en PPP Q1 2023</v>
      </c>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133">
        <f ca="1">IFERROR(__xludf.DUMMYFUNCTION("""COMPUTED_VALUE"""),0)</f>
        <v>0</v>
      </c>
      <c r="DV162" s="133">
        <f ca="1">IFERROR(__xludf.DUMMYFUNCTION("""COMPUTED_VALUE"""),1637700549)</f>
        <v>1637700549</v>
      </c>
      <c r="DW162" s="133">
        <f ca="1">IFERROR(__xludf.DUMMYFUNCTION("""COMPUTED_VALUE"""),2273078807)</f>
        <v>2273078807</v>
      </c>
      <c r="DX162" s="133">
        <f ca="1">IFERROR(__xludf.DUMMYFUNCTION("""COMPUTED_VALUE"""),296683365)</f>
        <v>296683365</v>
      </c>
      <c r="DY162" s="133">
        <f ca="1">IFERROR(__xludf.DUMMYFUNCTION("""COMPUTED_VALUE"""),0)</f>
        <v>0</v>
      </c>
      <c r="DZ162" s="133">
        <f ca="1">IFERROR(__xludf.DUMMYFUNCTION("""COMPUTED_VALUE"""),4207462721)</f>
        <v>4207462721</v>
      </c>
      <c r="EA162" s="4"/>
      <c r="EB162" s="4"/>
    </row>
    <row r="163" spans="1:132" x14ac:dyDescent="0.2">
      <c r="A163" s="4">
        <f ca="1">IFERROR(__xludf.DUMMYFUNCTION("""COMPUTED_VALUE"""),163)</f>
        <v>163</v>
      </c>
      <c r="B163" s="4">
        <f ca="1">IFERROR(__xludf.DUMMYFUNCTION("""COMPUTED_VALUE"""),141)</f>
        <v>141</v>
      </c>
      <c r="C163" s="4" t="str">
        <f ca="1">IFERROR(__xludf.DUMMYFUNCTION("""COMPUTED_VALUE"""),"SDATOOL-32905")</f>
        <v>SDATOOL-32905</v>
      </c>
      <c r="D163" s="4" t="str">
        <f ca="1">IFERROR(__xludf.DUMMYFUNCTION("""COMPUTED_VALUE"""),"Global Enterprises Mobile App (GEMA)")</f>
        <v>Global Enterprises Mobile App (GEMA)</v>
      </c>
      <c r="E163"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3" s="4" t="str">
        <f ca="1">IFERROR(__xludf.DUMMYFUNCTION("""COMPUTED_VALUE"""),"Project")</f>
        <v>Project</v>
      </c>
      <c r="G163" s="4" t="str">
        <f ca="1">IFERROR(__xludf.DUMMYFUNCTION("""COMPUTED_VALUE"""),"Ended")</f>
        <v>Ended</v>
      </c>
      <c r="H163" s="4" t="str">
        <f ca="1">IFERROR(__xludf.DUMMYFUNCTION("""COMPUTED_VALUE"""),"1Q 2023")</f>
        <v>1Q 2023</v>
      </c>
      <c r="I163" s="131" t="str">
        <f ca="1">IFERROR(__xludf.DUMMYFUNCTION("""COMPUTED_VALUE"""),"catalina.villamil-bbva.com")</f>
        <v>catalina.villamil-bbva.com</v>
      </c>
      <c r="J163" s="131" t="str">
        <f ca="1">IFERROR(__xludf.DUMMYFUNCTION("""COMPUTED_VALUE"""),"jennymaria.urdaneta-bbva.com")</f>
        <v>jennymaria.urdaneta-bbva.com</v>
      </c>
      <c r="K163" s="131" t="str">
        <f ca="1">IFERROR(__xludf.DUMMYFUNCTION("""COMPUTED_VALUE"""),"elizabeth.diaz-bbva.com")</f>
        <v>elizabeth.diaz-bbva.com</v>
      </c>
      <c r="L163" s="4"/>
      <c r="M163" s="4"/>
      <c r="N163" s="4"/>
      <c r="O163" s="4" t="str">
        <f ca="1">IFERROR(__xludf.DUMMYFUNCTION("""COMPUTED_VALUE"""),"Scrum")</f>
        <v>Scrum</v>
      </c>
      <c r="P163" s="4" t="str">
        <f ca="1">IFERROR(__xludf.DUMMYFUNCTION("""COMPUTED_VALUE"""),"Sirio Team")</f>
        <v>Sirio Team</v>
      </c>
      <c r="Q163" s="4"/>
      <c r="R163" s="130" t="str">
        <f ca="1">IFERROR(__xludf.DUMMYFUNCTION("""COMPUTED_VALUE"""),"Enterprises")</f>
        <v>Enterprises</v>
      </c>
      <c r="S163" s="130" t="str">
        <f ca="1">IFERROR(__xludf.DUMMYFUNCTION("""COMPUTED_VALUE"""),"Area Review")</f>
        <v>Area Review</v>
      </c>
      <c r="T163" s="130" t="str">
        <f ca="1">IFERROR(__xludf.DUMMYFUNCTION("""COMPUTED_VALUE"""),"2. Modelo de relación y distribución")</f>
        <v>2. Modelo de relación y distribución</v>
      </c>
      <c r="U163" s="130" t="str">
        <f ca="1">IFERROR(__xludf.DUMMYFUNCTION("""COMPUTED_VALUE"""),"2.4. Herramientas de clientes")</f>
        <v>2.4. Herramientas de clientes</v>
      </c>
      <c r="V163" s="4" t="str">
        <f ca="1">IFERROR(__xludf.DUMMYFUNCTION("""COMPUTED_VALUE"""),"GeMa")</f>
        <v>GeMa</v>
      </c>
      <c r="W163" s="4">
        <f ca="1">IFERROR(__xludf.DUMMYFUNCTION("""COMPUTED_VALUE"""),1)</f>
        <v>1</v>
      </c>
      <c r="X163" s="4" t="str">
        <f ca="1">IFERROR(__xludf.DUMMYFUNCTION("""COMPUTED_VALUE"""),"03. SMEs &amp; Self-employed")</f>
        <v>03. SMEs &amp; Self-employed</v>
      </c>
      <c r="Y163" s="4" t="str">
        <f ca="1">IFERROR(__xludf.DUMMYFUNCTION("""COMPUTED_VALUE"""),"5.3.3 SMES- GEMA")</f>
        <v>5.3.3 SMES- GEMA</v>
      </c>
      <c r="Z163" s="132" t="str">
        <f ca="1">IFERROR(__xludf.DUMMYFUNCTION("""COMPUTED_VALUE"""),"173391")</f>
        <v>173391</v>
      </c>
      <c r="AA163" s="4" t="str">
        <f ca="1">IFERROR(__xludf.DUMMYFUNCTION("""COMPUTED_VALUE"""),"Bloque 2")</f>
        <v>Bloque 2</v>
      </c>
      <c r="AB163" s="4" t="str">
        <f ca="1">IFERROR(__xludf.DUMMYFUNCTION("""COMPUTED_VALUE"""),"Bloque 2")</f>
        <v>Bloque 2</v>
      </c>
      <c r="AC163" s="4" t="str">
        <f ca="1">IFERROR(__xludf.DUMMYFUNCTION("""COMPUTED_VALUE"""),"3Q 2021")</f>
        <v>3Q 2021</v>
      </c>
      <c r="AD163" s="128">
        <f ca="1">IFERROR(__xludf.DUMMYFUNCTION("""COMPUTED_VALUE"""),44105)</f>
        <v>44105</v>
      </c>
      <c r="AE163" s="128">
        <f ca="1">IFERROR(__xludf.DUMMYFUNCTION("""COMPUTED_VALUE"""),44196)</f>
        <v>44196</v>
      </c>
      <c r="AF163" s="128">
        <f ca="1">IFERROR(__xludf.DUMMYFUNCTION("""COMPUTED_VALUE"""),44197)</f>
        <v>44197</v>
      </c>
      <c r="AG163" s="128">
        <f ca="1">IFERROR(__xludf.DUMMYFUNCTION("""COMPUTED_VALUE"""),44347)</f>
        <v>44347</v>
      </c>
      <c r="AH163" s="128">
        <f ca="1">IFERROR(__xludf.DUMMYFUNCTION("""COMPUTED_VALUE"""),44348)</f>
        <v>44348</v>
      </c>
      <c r="AI163" s="128">
        <f ca="1">IFERROR(__xludf.DUMMYFUNCTION("""COMPUTED_VALUE"""),44377)</f>
        <v>44377</v>
      </c>
      <c r="AJ163" s="128">
        <f ca="1">IFERROR(__xludf.DUMMYFUNCTION("""COMPUTED_VALUE"""),44378)</f>
        <v>44378</v>
      </c>
      <c r="AK163" s="4" t="str">
        <f ca="1">IFERROR(__xludf.DUMMYFUNCTION("""COMPUTED_VALUE"""),"Sin asignar")</f>
        <v>Sin asignar</v>
      </c>
      <c r="AL163" s="4" t="str">
        <f ca="1">IFERROR(__xludf.DUMMYFUNCTION("""COMPUTED_VALUE"""),"Sin asignar")</f>
        <v>Sin asignar</v>
      </c>
      <c r="AM163" s="4" t="str">
        <f ca="1">IFERROR(__xludf.DUMMYFUNCTION("""COMPUTED_VALUE"""),"Producción")</f>
        <v>Producción</v>
      </c>
      <c r="AN163" s="4" t="str">
        <f ca="1">IFERROR(__xludf.DUMMYFUNCTION("""COMPUTED_VALUE"""),"Finalizado")</f>
        <v>Finalizado</v>
      </c>
      <c r="AO163" s="4" t="str">
        <f ca="1">IFERROR(__xludf.DUMMYFUNCTION("""COMPUTED_VALUE"""),"Data &amp; Tecnology")</f>
        <v>Data &amp; Tecnology</v>
      </c>
      <c r="AP163" s="4"/>
      <c r="AQ163" s="4"/>
      <c r="AR163" s="4" t="str">
        <f ca="1">IFERROR(__xludf.DUMMYFUNCTION("""COMPUTED_VALUE"""),"SDA aprobada en PPP Q1 2023")</f>
        <v>SDA aprobada en PPP Q1 2023</v>
      </c>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row>
    <row r="164" spans="1:132" x14ac:dyDescent="0.2">
      <c r="A164" s="4">
        <f ca="1">IFERROR(__xludf.DUMMYFUNCTION("""COMPUTED_VALUE"""),164)</f>
        <v>164</v>
      </c>
      <c r="B164" s="4">
        <f ca="1">IFERROR(__xludf.DUMMYFUNCTION("""COMPUTED_VALUE"""),142)</f>
        <v>142</v>
      </c>
      <c r="C164" s="4" t="str">
        <f ca="1">IFERROR(__xludf.DUMMYFUNCTION("""COMPUTED_VALUE"""),"SDATOOL-32905")</f>
        <v>SDATOOL-32905</v>
      </c>
      <c r="D164" s="4" t="str">
        <f ca="1">IFERROR(__xludf.DUMMYFUNCTION("""COMPUTED_VALUE"""),"Global Enterprises Mobile App (GEMA)")</f>
        <v>Global Enterprises Mobile App (GEMA)</v>
      </c>
      <c r="E164"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4" s="4" t="str">
        <f ca="1">IFERROR(__xludf.DUMMYFUNCTION("""COMPUTED_VALUE"""),"Project")</f>
        <v>Project</v>
      </c>
      <c r="G164" s="4" t="str">
        <f ca="1">IFERROR(__xludf.DUMMYFUNCTION("""COMPUTED_VALUE"""),"Ended")</f>
        <v>Ended</v>
      </c>
      <c r="H164" s="4" t="str">
        <f ca="1">IFERROR(__xludf.DUMMYFUNCTION("""COMPUTED_VALUE"""),"1Q 2023")</f>
        <v>1Q 2023</v>
      </c>
      <c r="I164" s="131" t="str">
        <f ca="1">IFERROR(__xludf.DUMMYFUNCTION("""COMPUTED_VALUE"""),"catalina.villamil-bbva.com")</f>
        <v>catalina.villamil-bbva.com</v>
      </c>
      <c r="J164" s="131" t="str">
        <f ca="1">IFERROR(__xludf.DUMMYFUNCTION("""COMPUTED_VALUE"""),"jennymaria.urdaneta-bbva.com")</f>
        <v>jennymaria.urdaneta-bbva.com</v>
      </c>
      <c r="K164" s="131" t="str">
        <f ca="1">IFERROR(__xludf.DUMMYFUNCTION("""COMPUTED_VALUE"""),"elizabeth.diaz-bbva.com")</f>
        <v>elizabeth.diaz-bbva.com</v>
      </c>
      <c r="L164" s="4"/>
      <c r="M164" s="4"/>
      <c r="N164" s="4"/>
      <c r="O164" s="4" t="str">
        <f ca="1">IFERROR(__xludf.DUMMYFUNCTION("""COMPUTED_VALUE"""),"Scrum")</f>
        <v>Scrum</v>
      </c>
      <c r="P164" s="4" t="str">
        <f ca="1">IFERROR(__xludf.DUMMYFUNCTION("""COMPUTED_VALUE"""),"Sirio Team")</f>
        <v>Sirio Team</v>
      </c>
      <c r="Q164" s="4"/>
      <c r="R164" s="130" t="str">
        <f ca="1">IFERROR(__xludf.DUMMYFUNCTION("""COMPUTED_VALUE"""),"Enterprises")</f>
        <v>Enterprises</v>
      </c>
      <c r="S164" s="130" t="str">
        <f ca="1">IFERROR(__xludf.DUMMYFUNCTION("""COMPUTED_VALUE"""),"Area Review")</f>
        <v>Area Review</v>
      </c>
      <c r="T164" s="130" t="str">
        <f ca="1">IFERROR(__xludf.DUMMYFUNCTION("""COMPUTED_VALUE"""),"2. Modelo de relación y distribución")</f>
        <v>2. Modelo de relación y distribución</v>
      </c>
      <c r="U164" s="130" t="str">
        <f ca="1">IFERROR(__xludf.DUMMYFUNCTION("""COMPUTED_VALUE"""),"2.4. Herramientas de clientes")</f>
        <v>2.4. Herramientas de clientes</v>
      </c>
      <c r="V164" s="4" t="str">
        <f ca="1">IFERROR(__xludf.DUMMYFUNCTION("""COMPUTED_VALUE"""),"GeMa")</f>
        <v>GeMa</v>
      </c>
      <c r="W164" s="4">
        <f ca="1">IFERROR(__xludf.DUMMYFUNCTION("""COMPUTED_VALUE"""),1)</f>
        <v>1</v>
      </c>
      <c r="X164" s="4" t="str">
        <f ca="1">IFERROR(__xludf.DUMMYFUNCTION("""COMPUTED_VALUE"""),"03. SMEs &amp; Self-employed")</f>
        <v>03. SMEs &amp; Self-employed</v>
      </c>
      <c r="Y164" s="4" t="str">
        <f ca="1">IFERROR(__xludf.DUMMYFUNCTION("""COMPUTED_VALUE"""),"5.3.3 SMES- GEMA")</f>
        <v>5.3.3 SMES- GEMA</v>
      </c>
      <c r="Z164" s="132" t="str">
        <f ca="1">IFERROR(__xludf.DUMMYFUNCTION("""COMPUTED_VALUE"""),"173392")</f>
        <v>173392</v>
      </c>
      <c r="AA164" s="4" t="str">
        <f ca="1">IFERROR(__xludf.DUMMYFUNCTION("""COMPUTED_VALUE"""),"Bloque 3")</f>
        <v>Bloque 3</v>
      </c>
      <c r="AB164" s="4" t="str">
        <f ca="1">IFERROR(__xludf.DUMMYFUNCTION("""COMPUTED_VALUE"""),"Bloque 3")</f>
        <v>Bloque 3</v>
      </c>
      <c r="AC164" s="4" t="str">
        <f ca="1">IFERROR(__xludf.DUMMYFUNCTION("""COMPUTED_VALUE"""),"4Q 2021")</f>
        <v>4Q 2021</v>
      </c>
      <c r="AD164" s="128">
        <f ca="1">IFERROR(__xludf.DUMMYFUNCTION("""COMPUTED_VALUE"""),44197)</f>
        <v>44197</v>
      </c>
      <c r="AE164" s="128">
        <f ca="1">IFERROR(__xludf.DUMMYFUNCTION("""COMPUTED_VALUE"""),44255)</f>
        <v>44255</v>
      </c>
      <c r="AF164" s="128">
        <f ca="1">IFERROR(__xludf.DUMMYFUNCTION("""COMPUTED_VALUE"""),44256)</f>
        <v>44256</v>
      </c>
      <c r="AG164" s="128">
        <f ca="1">IFERROR(__xludf.DUMMYFUNCTION("""COMPUTED_VALUE"""),44347)</f>
        <v>44347</v>
      </c>
      <c r="AH164" s="128">
        <f ca="1">IFERROR(__xludf.DUMMYFUNCTION("""COMPUTED_VALUE"""),44348)</f>
        <v>44348</v>
      </c>
      <c r="AI164" s="128">
        <f ca="1">IFERROR(__xludf.DUMMYFUNCTION("""COMPUTED_VALUE"""),44377)</f>
        <v>44377</v>
      </c>
      <c r="AJ164" s="128">
        <f ca="1">IFERROR(__xludf.DUMMYFUNCTION("""COMPUTED_VALUE"""),44378)</f>
        <v>44378</v>
      </c>
      <c r="AK164" s="4" t="str">
        <f ca="1">IFERROR(__xludf.DUMMYFUNCTION("""COMPUTED_VALUE"""),"Sin asignar")</f>
        <v>Sin asignar</v>
      </c>
      <c r="AL164" s="4" t="str">
        <f ca="1">IFERROR(__xludf.DUMMYFUNCTION("""COMPUTED_VALUE"""),"Sin asignar")</f>
        <v>Sin asignar</v>
      </c>
      <c r="AM164" s="4" t="str">
        <f ca="1">IFERROR(__xludf.DUMMYFUNCTION("""COMPUTED_VALUE"""),"Producción")</f>
        <v>Producción</v>
      </c>
      <c r="AN164" s="4" t="str">
        <f ca="1">IFERROR(__xludf.DUMMYFUNCTION("""COMPUTED_VALUE"""),"Finalizado")</f>
        <v>Finalizado</v>
      </c>
      <c r="AO164" s="4" t="str">
        <f ca="1">IFERROR(__xludf.DUMMYFUNCTION("""COMPUTED_VALUE"""),"Data &amp; Tecnology")</f>
        <v>Data &amp; Tecnology</v>
      </c>
      <c r="AP164" s="4"/>
      <c r="AQ164" s="4"/>
      <c r="AR164" s="4" t="str">
        <f ca="1">IFERROR(__xludf.DUMMYFUNCTION("""COMPUTED_VALUE"""),"SDA aprobada en PPP Q1 2023")</f>
        <v>SDA aprobada en PPP Q1 2023</v>
      </c>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row>
    <row r="165" spans="1:132" x14ac:dyDescent="0.2">
      <c r="A165" s="4">
        <f ca="1">IFERROR(__xludf.DUMMYFUNCTION("""COMPUTED_VALUE"""),165)</f>
        <v>165</v>
      </c>
      <c r="B165" s="4">
        <f ca="1">IFERROR(__xludf.DUMMYFUNCTION("""COMPUTED_VALUE"""),143)</f>
        <v>143</v>
      </c>
      <c r="C165" s="4" t="str">
        <f ca="1">IFERROR(__xludf.DUMMYFUNCTION("""COMPUTED_VALUE"""),"SDATOOL-32905")</f>
        <v>SDATOOL-32905</v>
      </c>
      <c r="D165" s="4" t="str">
        <f ca="1">IFERROR(__xludf.DUMMYFUNCTION("""COMPUTED_VALUE"""),"Global Enterprises Mobile App (GEMA)")</f>
        <v>Global Enterprises Mobile App (GEMA)</v>
      </c>
      <c r="E165"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5" s="4" t="str">
        <f ca="1">IFERROR(__xludf.DUMMYFUNCTION("""COMPUTED_VALUE"""),"Project")</f>
        <v>Project</v>
      </c>
      <c r="G165" s="4" t="str">
        <f ca="1">IFERROR(__xludf.DUMMYFUNCTION("""COMPUTED_VALUE"""),"Ended")</f>
        <v>Ended</v>
      </c>
      <c r="H165" s="4" t="str">
        <f ca="1">IFERROR(__xludf.DUMMYFUNCTION("""COMPUTED_VALUE"""),"1Q 2023")</f>
        <v>1Q 2023</v>
      </c>
      <c r="I165" s="131" t="str">
        <f ca="1">IFERROR(__xludf.DUMMYFUNCTION("""COMPUTED_VALUE"""),"catalina.villamil-bbva.com")</f>
        <v>catalina.villamil-bbva.com</v>
      </c>
      <c r="J165" s="131" t="str">
        <f ca="1">IFERROR(__xludf.DUMMYFUNCTION("""COMPUTED_VALUE"""),"jennymaria.urdaneta-bbva.com")</f>
        <v>jennymaria.urdaneta-bbva.com</v>
      </c>
      <c r="K165" s="131" t="str">
        <f ca="1">IFERROR(__xludf.DUMMYFUNCTION("""COMPUTED_VALUE"""),"elizabeth.diaz-bbva.com")</f>
        <v>elizabeth.diaz-bbva.com</v>
      </c>
      <c r="L165" s="4"/>
      <c r="M165" s="4"/>
      <c r="N165" s="4"/>
      <c r="O165" s="4" t="str">
        <f ca="1">IFERROR(__xludf.DUMMYFUNCTION("""COMPUTED_VALUE"""),"Scrum")</f>
        <v>Scrum</v>
      </c>
      <c r="P165" s="4" t="str">
        <f ca="1">IFERROR(__xludf.DUMMYFUNCTION("""COMPUTED_VALUE"""),"Sirio Team")</f>
        <v>Sirio Team</v>
      </c>
      <c r="Q165" s="4"/>
      <c r="R165" s="130" t="str">
        <f ca="1">IFERROR(__xludf.DUMMYFUNCTION("""COMPUTED_VALUE"""),"Enterprises")</f>
        <v>Enterprises</v>
      </c>
      <c r="S165" s="130" t="str">
        <f ca="1">IFERROR(__xludf.DUMMYFUNCTION("""COMPUTED_VALUE"""),"Area Review")</f>
        <v>Area Review</v>
      </c>
      <c r="T165" s="130" t="str">
        <f ca="1">IFERROR(__xludf.DUMMYFUNCTION("""COMPUTED_VALUE"""),"2. Modelo de relación y distribución")</f>
        <v>2. Modelo de relación y distribución</v>
      </c>
      <c r="U165" s="130" t="str">
        <f ca="1">IFERROR(__xludf.DUMMYFUNCTION("""COMPUTED_VALUE"""),"2.4. Herramientas de clientes")</f>
        <v>2.4. Herramientas de clientes</v>
      </c>
      <c r="V165" s="4" t="str">
        <f ca="1">IFERROR(__xludf.DUMMYFUNCTION("""COMPUTED_VALUE"""),"GeMa")</f>
        <v>GeMa</v>
      </c>
      <c r="W165" s="4">
        <f ca="1">IFERROR(__xludf.DUMMYFUNCTION("""COMPUTED_VALUE"""),1)</f>
        <v>1</v>
      </c>
      <c r="X165" s="4" t="str">
        <f ca="1">IFERROR(__xludf.DUMMYFUNCTION("""COMPUTED_VALUE"""),"03. SMEs &amp; Self-employed")</f>
        <v>03. SMEs &amp; Self-employed</v>
      </c>
      <c r="Y165" s="4" t="str">
        <f ca="1">IFERROR(__xludf.DUMMYFUNCTION("""COMPUTED_VALUE"""),"5.3.3 SMES- GEMA")</f>
        <v>5.3.3 SMES- GEMA</v>
      </c>
      <c r="Z165" s="132" t="str">
        <f ca="1">IFERROR(__xludf.DUMMYFUNCTION("""COMPUTED_VALUE"""),"173393")</f>
        <v>173393</v>
      </c>
      <c r="AA165" s="4" t="str">
        <f ca="1">IFERROR(__xludf.DUMMYFUNCTION("""COMPUTED_VALUE"""),"Bloque 4")</f>
        <v>Bloque 4</v>
      </c>
      <c r="AB165" s="4" t="str">
        <f ca="1">IFERROR(__xludf.DUMMYFUNCTION("""COMPUTED_VALUE"""),"Bloque 4")</f>
        <v>Bloque 4</v>
      </c>
      <c r="AC165" s="4" t="str">
        <f ca="1">IFERROR(__xludf.DUMMYFUNCTION("""COMPUTED_VALUE"""),"4Q 2021")</f>
        <v>4Q 2021</v>
      </c>
      <c r="AD165" s="128">
        <f ca="1">IFERROR(__xludf.DUMMYFUNCTION("""COMPUTED_VALUE"""),44348)</f>
        <v>44348</v>
      </c>
      <c r="AE165" s="128">
        <f ca="1">IFERROR(__xludf.DUMMYFUNCTION("""COMPUTED_VALUE"""),44408)</f>
        <v>44408</v>
      </c>
      <c r="AF165" s="128">
        <f ca="1">IFERROR(__xludf.DUMMYFUNCTION("""COMPUTED_VALUE"""),44409)</f>
        <v>44409</v>
      </c>
      <c r="AG165" s="128">
        <f ca="1">IFERROR(__xludf.DUMMYFUNCTION("""COMPUTED_VALUE"""),44500)</f>
        <v>44500</v>
      </c>
      <c r="AH165" s="128">
        <f ca="1">IFERROR(__xludf.DUMMYFUNCTION("""COMPUTED_VALUE"""),44501)</f>
        <v>44501</v>
      </c>
      <c r="AI165" s="128">
        <f ca="1">IFERROR(__xludf.DUMMYFUNCTION("""COMPUTED_VALUE"""),44530)</f>
        <v>44530</v>
      </c>
      <c r="AJ165" s="128">
        <f ca="1">IFERROR(__xludf.DUMMYFUNCTION("""COMPUTED_VALUE"""),44531)</f>
        <v>44531</v>
      </c>
      <c r="AK165" s="4" t="str">
        <f ca="1">IFERROR(__xludf.DUMMYFUNCTION("""COMPUTED_VALUE"""),"Sin asignar")</f>
        <v>Sin asignar</v>
      </c>
      <c r="AL165" s="4" t="str">
        <f ca="1">IFERROR(__xludf.DUMMYFUNCTION("""COMPUTED_VALUE"""),"Sin asignar")</f>
        <v>Sin asignar</v>
      </c>
      <c r="AM165" s="4" t="str">
        <f ca="1">IFERROR(__xludf.DUMMYFUNCTION("""COMPUTED_VALUE"""),"Producción")</f>
        <v>Producción</v>
      </c>
      <c r="AN165" s="4" t="str">
        <f ca="1">IFERROR(__xludf.DUMMYFUNCTION("""COMPUTED_VALUE"""),"Finalizado")</f>
        <v>Finalizado</v>
      </c>
      <c r="AO165" s="4" t="str">
        <f ca="1">IFERROR(__xludf.DUMMYFUNCTION("""COMPUTED_VALUE"""),"Data &amp; Tecnology")</f>
        <v>Data &amp; Tecnology</v>
      </c>
      <c r="AP165" s="4"/>
      <c r="AQ165" s="4"/>
      <c r="AR165" s="4" t="str">
        <f ca="1">IFERROR(__xludf.DUMMYFUNCTION("""COMPUTED_VALUE"""),"SDA aprobada en PPP Q1 2023")</f>
        <v>SDA aprobada en PPP Q1 2023</v>
      </c>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row>
    <row r="166" spans="1:132" x14ac:dyDescent="0.2">
      <c r="A166" s="4">
        <f ca="1">IFERROR(__xludf.DUMMYFUNCTION("""COMPUTED_VALUE"""),166)</f>
        <v>166</v>
      </c>
      <c r="B166" s="4">
        <f ca="1">IFERROR(__xludf.DUMMYFUNCTION("""COMPUTED_VALUE"""),144)</f>
        <v>144</v>
      </c>
      <c r="C166" s="4" t="str">
        <f ca="1">IFERROR(__xludf.DUMMYFUNCTION("""COMPUTED_VALUE"""),"SDATOOL-32905")</f>
        <v>SDATOOL-32905</v>
      </c>
      <c r="D166" s="4" t="str">
        <f ca="1">IFERROR(__xludf.DUMMYFUNCTION("""COMPUTED_VALUE"""),"Global Enterprises Mobile App (GEMA)")</f>
        <v>Global Enterprises Mobile App (GEMA)</v>
      </c>
      <c r="E166"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6" s="4" t="str">
        <f ca="1">IFERROR(__xludf.DUMMYFUNCTION("""COMPUTED_VALUE"""),"Project")</f>
        <v>Project</v>
      </c>
      <c r="G166" s="4" t="str">
        <f ca="1">IFERROR(__xludf.DUMMYFUNCTION("""COMPUTED_VALUE"""),"Ended")</f>
        <v>Ended</v>
      </c>
      <c r="H166" s="4" t="str">
        <f ca="1">IFERROR(__xludf.DUMMYFUNCTION("""COMPUTED_VALUE"""),"1Q 2023")</f>
        <v>1Q 2023</v>
      </c>
      <c r="I166" s="131" t="str">
        <f ca="1">IFERROR(__xludf.DUMMYFUNCTION("""COMPUTED_VALUE"""),"catalina.villamil-bbva.com")</f>
        <v>catalina.villamil-bbva.com</v>
      </c>
      <c r="J166" s="131" t="str">
        <f ca="1">IFERROR(__xludf.DUMMYFUNCTION("""COMPUTED_VALUE"""),"jennymaria.urdaneta-bbva.com")</f>
        <v>jennymaria.urdaneta-bbva.com</v>
      </c>
      <c r="K166" s="131" t="str">
        <f ca="1">IFERROR(__xludf.DUMMYFUNCTION("""COMPUTED_VALUE"""),"elizabeth.diaz-bbva.com")</f>
        <v>elizabeth.diaz-bbva.com</v>
      </c>
      <c r="L166" s="4"/>
      <c r="M166" s="4"/>
      <c r="N166" s="4"/>
      <c r="O166" s="4" t="str">
        <f ca="1">IFERROR(__xludf.DUMMYFUNCTION("""COMPUTED_VALUE"""),"Scrum")</f>
        <v>Scrum</v>
      </c>
      <c r="P166" s="4" t="str">
        <f ca="1">IFERROR(__xludf.DUMMYFUNCTION("""COMPUTED_VALUE"""),"Sirio Team")</f>
        <v>Sirio Team</v>
      </c>
      <c r="Q166" s="4"/>
      <c r="R166" s="130" t="str">
        <f ca="1">IFERROR(__xludf.DUMMYFUNCTION("""COMPUTED_VALUE"""),"Enterprises")</f>
        <v>Enterprises</v>
      </c>
      <c r="S166" s="130" t="str">
        <f ca="1">IFERROR(__xludf.DUMMYFUNCTION("""COMPUTED_VALUE"""),"Area Review")</f>
        <v>Area Review</v>
      </c>
      <c r="T166" s="130" t="str">
        <f ca="1">IFERROR(__xludf.DUMMYFUNCTION("""COMPUTED_VALUE"""),"2. Modelo de relación y distribución")</f>
        <v>2. Modelo de relación y distribución</v>
      </c>
      <c r="U166" s="130" t="str">
        <f ca="1">IFERROR(__xludf.DUMMYFUNCTION("""COMPUTED_VALUE"""),"2.4. Herramientas de clientes")</f>
        <v>2.4. Herramientas de clientes</v>
      </c>
      <c r="V166" s="4" t="str">
        <f ca="1">IFERROR(__xludf.DUMMYFUNCTION("""COMPUTED_VALUE"""),"GeMa")</f>
        <v>GeMa</v>
      </c>
      <c r="W166" s="4">
        <f ca="1">IFERROR(__xludf.DUMMYFUNCTION("""COMPUTED_VALUE"""),1)</f>
        <v>1</v>
      </c>
      <c r="X166" s="4" t="str">
        <f ca="1">IFERROR(__xludf.DUMMYFUNCTION("""COMPUTED_VALUE"""),"03. SMEs &amp; Self-employed")</f>
        <v>03. SMEs &amp; Self-employed</v>
      </c>
      <c r="Y166" s="4" t="str">
        <f ca="1">IFERROR(__xludf.DUMMYFUNCTION("""COMPUTED_VALUE"""),"5.3.3 SMES- GEMA")</f>
        <v>5.3.3 SMES- GEMA</v>
      </c>
      <c r="Z166" s="132" t="str">
        <f ca="1">IFERROR(__xludf.DUMMYFUNCTION("""COMPUTED_VALUE"""),"491772")</f>
        <v>491772</v>
      </c>
      <c r="AA166" s="4" t="str">
        <f ca="1">IFERROR(__xludf.DUMMYFUNCTION("""COMPUTED_VALUE"""),"Filtro de movimientos, FIDO, Notificaciones y Multi-token")</f>
        <v>Filtro de movimientos, FIDO, Notificaciones y Multi-token</v>
      </c>
      <c r="AB166" s="4" t="str">
        <f ca="1">IFERROR(__xludf.DUMMYFUNCTION("""COMPUTED_VALUE"""),"Filtro de movimientos, FIDO, Notificaciones y Multi-token")</f>
        <v>Filtro de movimientos, FIDO, Notificaciones y Multi-token</v>
      </c>
      <c r="AC166" s="4" t="str">
        <f ca="1">IFERROR(__xludf.DUMMYFUNCTION("""COMPUTED_VALUE"""),"1Q 2023")</f>
        <v>1Q 2023</v>
      </c>
      <c r="AD166" s="128">
        <f ca="1">IFERROR(__xludf.DUMMYFUNCTION("""COMPUTED_VALUE"""),44287)</f>
        <v>44287</v>
      </c>
      <c r="AE166" s="128">
        <f ca="1">IFERROR(__xludf.DUMMYFUNCTION("""COMPUTED_VALUE"""),44377)</f>
        <v>44377</v>
      </c>
      <c r="AF166" s="128">
        <f ca="1">IFERROR(__xludf.DUMMYFUNCTION("""COMPUTED_VALUE"""),44378)</f>
        <v>44378</v>
      </c>
      <c r="AG166" s="128">
        <f ca="1">IFERROR(__xludf.DUMMYFUNCTION("""COMPUTED_VALUE"""),44500)</f>
        <v>44500</v>
      </c>
      <c r="AH166" s="128">
        <f ca="1">IFERROR(__xludf.DUMMYFUNCTION("""COMPUTED_VALUE"""),44501)</f>
        <v>44501</v>
      </c>
      <c r="AI166" s="128">
        <f ca="1">IFERROR(__xludf.DUMMYFUNCTION("""COMPUTED_VALUE"""),44530)</f>
        <v>44530</v>
      </c>
      <c r="AJ166" s="128">
        <f ca="1">IFERROR(__xludf.DUMMYFUNCTION("""COMPUTED_VALUE"""),44531)</f>
        <v>44531</v>
      </c>
      <c r="AK166" s="131" t="str">
        <f ca="1">IFERROR(__xludf.DUMMYFUNCTION("""COMPUTED_VALUE"""),"CCSS-4103")</f>
        <v>CCSS-4103</v>
      </c>
      <c r="AL166" s="4" t="str">
        <f ca="1">IFERROR(__xludf.DUMMYFUNCTION("""COMPUTED_VALUE"""),"En progreso")</f>
        <v>En progreso</v>
      </c>
      <c r="AM166" s="4"/>
      <c r="AN166" s="4" t="str">
        <f ca="1">IFERROR(__xludf.DUMMYFUNCTION("""COMPUTED_VALUE"""),"Entregable en desarrollo")</f>
        <v>Entregable en desarrollo</v>
      </c>
      <c r="AO166" s="4" t="str">
        <f ca="1">IFERROR(__xludf.DUMMYFUNCTION("""COMPUTED_VALUE"""),"Data &amp; Tecnology")</f>
        <v>Data &amp; Tecnology</v>
      </c>
      <c r="AP166" s="4"/>
      <c r="AQ166" s="4"/>
      <c r="AR166" s="4" t="str">
        <f ca="1">IFERROR(__xludf.DUMMYFUNCTION("""COMPUTED_VALUE"""),"SDA aprobada en PPP Q1 2023")</f>
        <v>SDA aprobada en PPP Q1 2023</v>
      </c>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row>
    <row r="167" spans="1:132" x14ac:dyDescent="0.2">
      <c r="A167" s="4">
        <f ca="1">IFERROR(__xludf.DUMMYFUNCTION("""COMPUTED_VALUE"""),167)</f>
        <v>167</v>
      </c>
      <c r="B167" s="4">
        <f ca="1">IFERROR(__xludf.DUMMYFUNCTION("""COMPUTED_VALUE"""),145)</f>
        <v>145</v>
      </c>
      <c r="C167" s="4" t="str">
        <f ca="1">IFERROR(__xludf.DUMMYFUNCTION("""COMPUTED_VALUE"""),"SDATOOL-41448")</f>
        <v>SDATOOL-41448</v>
      </c>
      <c r="D167" s="4" t="str">
        <f ca="1">IFERROR(__xludf.DUMMYFUNCTION("""COMPUTED_VALUE"""),"Compra de divisas mediante APP Empresas GEMA")</f>
        <v>Compra de divisas mediante APP Empresas GEMA</v>
      </c>
      <c r="E167" s="4" t="str">
        <f ca="1">IFERROR(__xludf.DUMMYFUNCTION("""COMPUTED_VALUE"""),"Habilitar la negociación de divisas y autorizaciones mediante la app empresas (GEMA) para clientes jurídicos y PNN")</f>
        <v>Habilitar la negociación de divisas y autorizaciones mediante la app empresas (GEMA) para clientes jurídicos y PNN</v>
      </c>
      <c r="F167" s="4" t="str">
        <f ca="1">IFERROR(__xludf.DUMMYFUNCTION("""COMPUTED_VALUE"""),"Initiative")</f>
        <v>Initiative</v>
      </c>
      <c r="G167" s="4" t="str">
        <f ca="1">IFERROR(__xludf.DUMMYFUNCTION("""COMPUTED_VALUE"""),"Stock")</f>
        <v>Stock</v>
      </c>
      <c r="H167" s="4" t="str">
        <f ca="1">IFERROR(__xludf.DUMMYFUNCTION("""COMPUTED_VALUE"""),"4Q 2023")</f>
        <v>4Q 2023</v>
      </c>
      <c r="I167" s="131" t="str">
        <f ca="1">IFERROR(__xludf.DUMMYFUNCTION("""COMPUTED_VALUE"""),"catalina.villamil-bbva.com")</f>
        <v>catalina.villamil-bbva.com</v>
      </c>
      <c r="J167" s="131" t="str">
        <f ca="1">IFERROR(__xludf.DUMMYFUNCTION("""COMPUTED_VALUE"""),"angiez.cubides-bbva.com")</f>
        <v>angiez.cubides-bbva.com</v>
      </c>
      <c r="K167" s="131" t="str">
        <f ca="1">IFERROR(__xludf.DUMMYFUNCTION("""COMPUTED_VALUE"""),"ivan_dario.ariza-bbva.com")</f>
        <v>ivan_dario.ariza-bbva.com</v>
      </c>
      <c r="L167" s="130">
        <f ca="1">IFERROR(__xludf.DUMMYFUNCTION("""COMPUTED_VALUE"""),0.5)</f>
        <v>0.5</v>
      </c>
      <c r="M167" s="130">
        <f ca="1">IFERROR(__xludf.DUMMYFUNCTION("""COMPUTED_VALUE"""),0.5)</f>
        <v>0.5</v>
      </c>
      <c r="N167" s="130">
        <f ca="1">IFERROR(__xludf.DUMMYFUNCTION("""COMPUTED_VALUE"""),0)</f>
        <v>0</v>
      </c>
      <c r="O167" s="4" t="str">
        <f ca="1">IFERROR(__xludf.DUMMYFUNCTION("""COMPUTED_VALUE"""),"Scrum")</f>
        <v>Scrum</v>
      </c>
      <c r="P167" s="4" t="str">
        <f ca="1">IFERROR(__xludf.DUMMYFUNCTION("""COMPUTED_VALUE"""),"Sirio Team")</f>
        <v>Sirio Team</v>
      </c>
      <c r="Q167" s="130">
        <f ca="1">IFERROR(__xludf.DUMMYFUNCTION("""COMPUTED_VALUE"""),0)</f>
        <v>0</v>
      </c>
      <c r="R167" s="130" t="str">
        <f ca="1">IFERROR(__xludf.DUMMYFUNCTION("""COMPUTED_VALUE"""),"Enterprises")</f>
        <v>Enterprises</v>
      </c>
      <c r="S167" s="130" t="str">
        <f ca="1">IFERROR(__xludf.DUMMYFUNCTION("""COMPUTED_VALUE""")," Otros")</f>
        <v xml:space="preserve"> Otros</v>
      </c>
      <c r="T167" s="130" t="str">
        <f ca="1">IFERROR(__xludf.DUMMYFUNCTION("""COMPUTED_VALUE"""),"1. Generación de Ingresos")</f>
        <v>1. Generación de Ingresos</v>
      </c>
      <c r="U167" s="130" t="str">
        <f ca="1">IFERROR(__xludf.DUMMYFUNCTION("""COMPUTED_VALUE"""),"1.5. Otros de Proyectos de Ingresos")</f>
        <v>1.5. Otros de Proyectos de Ingresos</v>
      </c>
      <c r="V167" s="4" t="str">
        <f ca="1">IFERROR(__xludf.DUMMYFUNCTION("""COMPUTED_VALUE"""),"GeMa")</f>
        <v>GeMa</v>
      </c>
      <c r="W167" s="4">
        <f ca="1">IFERROR(__xludf.DUMMYFUNCTION("""COMPUTED_VALUE"""),2)</f>
        <v>2</v>
      </c>
      <c r="X167" s="4" t="str">
        <f ca="1">IFERROR(__xludf.DUMMYFUNCTION("""COMPUTED_VALUE"""),"03. SMEs &amp; Self-employed")</f>
        <v>03. SMEs &amp; Self-employed</v>
      </c>
      <c r="Y167" s="4" t="str">
        <f ca="1">IFERROR(__xludf.DUMMYFUNCTION("""COMPUTED_VALUE""")," Otros")</f>
        <v xml:space="preserve"> Otros</v>
      </c>
      <c r="Z167" s="132" t="str">
        <f ca="1">IFERROR(__xludf.DUMMYFUNCTION("""COMPUTED_VALUE"""),"626042")</f>
        <v>626042</v>
      </c>
      <c r="AA167" s="4" t="str">
        <f ca="1">IFERROR(__xludf.DUMMYFUNCTION("""COMPUTED_VALUE"""),"Iniciativa en Backlog, en espera de priorización")</f>
        <v>Iniciativa en Backlog, en espera de priorización</v>
      </c>
      <c r="AB167" s="4" t="str">
        <f ca="1">IFERROR(__xludf.DUMMYFUNCTION("""COMPUTED_VALUE"""),"Iniciativa en Backlog, en espera de priorización")</f>
        <v>Iniciativa en Backlog, en espera de priorización</v>
      </c>
      <c r="AC167" s="4" t="str">
        <f ca="1">IFERROR(__xludf.DUMMYFUNCTION("""COMPUTED_VALUE"""),"4Q 2023")</f>
        <v>4Q 2023</v>
      </c>
      <c r="AD167" s="4"/>
      <c r="AE167" s="4"/>
      <c r="AF167" s="4"/>
      <c r="AG167" s="4"/>
      <c r="AH167" s="4"/>
      <c r="AI167" s="4"/>
      <c r="AJ167" s="4"/>
      <c r="AK167" s="131" t="str">
        <f ca="1">IFERROR(__xludf.DUMMYFUNCTION("""COMPUTED_VALUE"""),"COLWSCANAL-14527")</f>
        <v>COLWSCANAL-14527</v>
      </c>
      <c r="AL167" s="4" t="str">
        <f ca="1">IFERROR(__xludf.DUMMYFUNCTION("""COMPUTED_VALUE"""),"New")</f>
        <v>New</v>
      </c>
      <c r="AM167" s="4"/>
      <c r="AN167" s="4" t="str">
        <f ca="1">IFERROR(__xludf.DUMMYFUNCTION("""COMPUTED_VALUE"""),"Iniciativa en Discovery")</f>
        <v>Iniciativa en Discovery</v>
      </c>
      <c r="AO167" s="4" t="str">
        <f ca="1">IFERROR(__xludf.DUMMYFUNCTION("""COMPUTED_VALUE"""),"Pymes")</f>
        <v>Pymes</v>
      </c>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133">
        <f ca="1">IFERROR(__xludf.DUMMYFUNCTION("""COMPUTED_VALUE"""),0)</f>
        <v>0</v>
      </c>
      <c r="DV167" s="133">
        <f ca="1">IFERROR(__xludf.DUMMYFUNCTION("""COMPUTED_VALUE"""),0)</f>
        <v>0</v>
      </c>
      <c r="DW167" s="133">
        <f ca="1">IFERROR(__xludf.DUMMYFUNCTION("""COMPUTED_VALUE"""),0)</f>
        <v>0</v>
      </c>
      <c r="DX167" s="133">
        <f ca="1">IFERROR(__xludf.DUMMYFUNCTION("""COMPUTED_VALUE"""),1097000000)</f>
        <v>1097000000</v>
      </c>
      <c r="DY167" s="133">
        <f ca="1">IFERROR(__xludf.DUMMYFUNCTION("""COMPUTED_VALUE"""),0)</f>
        <v>0</v>
      </c>
      <c r="DZ167" s="133">
        <f ca="1">IFERROR(__xludf.DUMMYFUNCTION("""COMPUTED_VALUE"""),1097000000)</f>
        <v>1097000000</v>
      </c>
      <c r="EA167" s="4"/>
      <c r="EB167" s="4"/>
    </row>
    <row r="168" spans="1:132" x14ac:dyDescent="0.2">
      <c r="A168" s="4">
        <f ca="1">IFERROR(__xludf.DUMMYFUNCTION("""COMPUTED_VALUE"""),168)</f>
        <v>168</v>
      </c>
      <c r="B168" s="4">
        <f ca="1">IFERROR(__xludf.DUMMYFUNCTION("""COMPUTED_VALUE"""),146)</f>
        <v>146</v>
      </c>
      <c r="C168" s="4" t="str">
        <f ca="1">IFERROR(__xludf.DUMMYFUNCTION("""COMPUTED_VALUE"""),"SDATOOL-35771")</f>
        <v>SDATOOL-35771</v>
      </c>
      <c r="D168" s="4" t="str">
        <f ca="1">IFERROR(__xludf.DUMMYFUNCTION("""COMPUTED_VALUE"""),"Pricing enterprises products - Plan Ascenso Autónomos")</f>
        <v>Pricing enterprises products - Plan Ascenso Autónomos</v>
      </c>
      <c r="E168" s="4" t="str">
        <f ca="1">IFERROR(__xludf.DUMMYFUNCTION("""COMPUTED_VALUE"""),"Desarrollar una herramienta, que nos permita cobrar tasas de acuerdo al perfil de riesgo, sensibilidad e indicadores de rentabilidad (RORc, RAROEC).")</f>
        <v>Desarrollar una herramienta, que nos permita cobrar tasas de acuerdo al perfil de riesgo, sensibilidad e indicadores de rentabilidad (RORc, RAROEC).</v>
      </c>
      <c r="F168" s="4" t="str">
        <f ca="1">IFERROR(__xludf.DUMMYFUNCTION("""COMPUTED_VALUE"""),"Project")</f>
        <v>Project</v>
      </c>
      <c r="G168" s="4" t="str">
        <f ca="1">IFERROR(__xludf.DUMMYFUNCTION("""COMPUTED_VALUE"""),"Ended")</f>
        <v>Ended</v>
      </c>
      <c r="H168" s="4" t="str">
        <f ca="1">IFERROR(__xludf.DUMMYFUNCTION("""COMPUTED_VALUE"""),"1Q 2023")</f>
        <v>1Q 2023</v>
      </c>
      <c r="I168" s="131" t="str">
        <f ca="1">IFERROR(__xludf.DUMMYFUNCTION("""COMPUTED_VALUE"""),"catalina.villamil-bbva.com")</f>
        <v>catalina.villamil-bbva.com</v>
      </c>
      <c r="J168" s="131" t="str">
        <f ca="1">IFERROR(__xludf.DUMMYFUNCTION("""COMPUTED_VALUE"""),"angiez.cubides-bbva.com")</f>
        <v>angiez.cubides-bbva.com</v>
      </c>
      <c r="K168" s="131" t="str">
        <f ca="1">IFERROR(__xludf.DUMMYFUNCTION("""COMPUTED_VALUE"""),"jhon.molina-bbva.com")</f>
        <v>jhon.molina-bbva.com</v>
      </c>
      <c r="L168" s="130">
        <f ca="1">IFERROR(__xludf.DUMMYFUNCTION("""COMPUTED_VALUE"""),0)</f>
        <v>0</v>
      </c>
      <c r="M168" s="130">
        <f ca="1">IFERROR(__xludf.DUMMYFUNCTION("""COMPUTED_VALUE"""),0.75)</f>
        <v>0.75</v>
      </c>
      <c r="N168" s="130">
        <f ca="1">IFERROR(__xludf.DUMMYFUNCTION("""COMPUTED_VALUE"""),0)</f>
        <v>0</v>
      </c>
      <c r="O168" s="4" t="str">
        <f ca="1">IFERROR(__xludf.DUMMYFUNCTION("""COMPUTED_VALUE"""),"Scrum")</f>
        <v>Scrum</v>
      </c>
      <c r="P168" s="4" t="str">
        <f ca="1">IFERROR(__xludf.DUMMYFUNCTION("""COMPUTED_VALUE"""),"Akiyama")</f>
        <v>Akiyama</v>
      </c>
      <c r="Q168" s="130">
        <f ca="1">IFERROR(__xludf.DUMMYFUNCTION("""COMPUTED_VALUE"""),1)</f>
        <v>1</v>
      </c>
      <c r="R168" s="130" t="str">
        <f ca="1">IFERROR(__xludf.DUMMYFUNCTION("""COMPUTED_VALUE"""),"Enterprises")</f>
        <v>Enterprises</v>
      </c>
      <c r="S168" s="130" t="str">
        <f ca="1">IFERROR(__xludf.DUMMYFUNCTION("""COMPUTED_VALUE"""),"Plan Ascenso")</f>
        <v>Plan Ascenso</v>
      </c>
      <c r="T168" s="130" t="str">
        <f ca="1">IFERROR(__xludf.DUMMYFUNCTION("""COMPUTED_VALUE"""),"1. Generación de Ingresos")</f>
        <v>1. Generación de Ingresos</v>
      </c>
      <c r="U168" s="130" t="str">
        <f ca="1">IFERROR(__xludf.DUMMYFUNCTION("""COMPUTED_VALUE"""),"1.5. Otros de Proyectos de Ingresos")</f>
        <v>1.5. Otros de Proyectos de Ingresos</v>
      </c>
      <c r="V168" s="4" t="str">
        <f ca="1">IFERROR(__xludf.DUMMYFUNCTION("""COMPUTED_VALUE"""),"Pricing")</f>
        <v>Pricing</v>
      </c>
      <c r="W168" s="4">
        <f ca="1">IFERROR(__xludf.DUMMYFUNCTION("""COMPUTED_VALUE"""),1)</f>
        <v>1</v>
      </c>
      <c r="X168" s="4" t="str">
        <f ca="1">IFERROR(__xludf.DUMMYFUNCTION("""COMPUTED_VALUE"""),"09. Data")</f>
        <v>09. Data</v>
      </c>
      <c r="Y168" s="4" t="str">
        <f ca="1">IFERROR(__xludf.DUMMYFUNCTION("""COMPUTED_VALUE"""),"4.2.2 SMEs- OCDL")</f>
        <v>4.2.2 SMEs- OCDL</v>
      </c>
      <c r="Z168" s="132" t="str">
        <f ca="1">IFERROR(__xludf.DUMMYFUNCTION("""COMPUTED_VALUE"""),"262129")</f>
        <v>262129</v>
      </c>
      <c r="AA168" s="4" t="str">
        <f ca="1">IFERROR(__xludf.DUMMYFUNCTION("""COMPUTED_VALUE"""),"Modelo automático para diferenciar precios a los clientes")</f>
        <v>Modelo automático para diferenciar precios a los clientes</v>
      </c>
      <c r="AB168" s="4" t="str">
        <f ca="1">IFERROR(__xludf.DUMMYFUNCTION("""COMPUTED_VALUE"""),"Modelo automático para diferenciar precios a los clientes dependiendo de su perfil (tasa política)")</f>
        <v>Modelo automático para diferenciar precios a los clientes dependiendo de su perfil (tasa política)</v>
      </c>
      <c r="AC168" s="4" t="str">
        <f ca="1">IFERROR(__xludf.DUMMYFUNCTION("""COMPUTED_VALUE"""),"1Q 2023")</f>
        <v>1Q 2023</v>
      </c>
      <c r="AD168" s="128">
        <f ca="1">IFERROR(__xludf.DUMMYFUNCTION("""COMPUTED_VALUE"""),44557)</f>
        <v>44557</v>
      </c>
      <c r="AE168" s="128">
        <f ca="1">IFERROR(__xludf.DUMMYFUNCTION("""COMPUTED_VALUE"""),44651)</f>
        <v>44651</v>
      </c>
      <c r="AF168" s="128">
        <f ca="1">IFERROR(__xludf.DUMMYFUNCTION("""COMPUTED_VALUE"""),44666)</f>
        <v>44666</v>
      </c>
      <c r="AG168" s="128">
        <f ca="1">IFERROR(__xludf.DUMMYFUNCTION("""COMPUTED_VALUE"""),44788)</f>
        <v>44788</v>
      </c>
      <c r="AH168" s="128">
        <f ca="1">IFERROR(__xludf.DUMMYFUNCTION("""COMPUTED_VALUE"""),44819)</f>
        <v>44819</v>
      </c>
      <c r="AI168" s="128">
        <f ca="1">IFERROR(__xludf.DUMMYFUNCTION("""COMPUTED_VALUE"""),44849)</f>
        <v>44849</v>
      </c>
      <c r="AJ168" s="128">
        <f ca="1">IFERROR(__xludf.DUMMYFUNCTION("""COMPUTED_VALUE"""),44854)</f>
        <v>44854</v>
      </c>
      <c r="AK168" s="131" t="str">
        <f ca="1">IFERROR(__xludf.DUMMYFUNCTION("""COMPUTED_VALUE"""),"COLWSCANAL-1036")</f>
        <v>COLWSCANAL-1036</v>
      </c>
      <c r="AL168" s="4" t="str">
        <f ca="1">IFERROR(__xludf.DUMMYFUNCTION("""COMPUTED_VALUE"""),"Deployed")</f>
        <v>Deployed</v>
      </c>
      <c r="AM168" s="4" t="str">
        <f ca="1">IFERROR(__xludf.DUMMYFUNCTION("""COMPUTED_VALUE"""),"""Plan ascenso: 
- Contratación y onboarding: 4Q21
- Conceptualización: Q122
- Desarrollo: Q222 - Q123""")</f>
        <v>"Plan ascenso: 
- Contratación y onboarding: 4Q21
- Conceptualización: Q122
- Desarrollo: Q222 - Q123"</v>
      </c>
      <c r="AN168" s="4" t="str">
        <f ca="1">IFERROR(__xludf.DUMMYFUNCTION("""COMPUTED_VALUE"""),"Finalizado")</f>
        <v>Finalizado</v>
      </c>
      <c r="AO168" s="4" t="str">
        <f ca="1">IFERROR(__xludf.DUMMYFUNCTION("""COMPUTED_VALUE"""),"Data &amp; Tecnology")</f>
        <v>Data &amp; Tecnology</v>
      </c>
      <c r="AP168" s="4"/>
      <c r="AQ168" s="4"/>
      <c r="AR168" s="4" t="str">
        <f ca="1">IFERROR(__xludf.DUMMYFUNCTION("""COMPUTED_VALUE"""),"SDA aprobada en PPP Q1 2023")</f>
        <v>SDA aprobada en PPP Q1 2023</v>
      </c>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133">
        <f ca="1">IFERROR(__xludf.DUMMYFUNCTION("""COMPUTED_VALUE"""),0)</f>
        <v>0</v>
      </c>
      <c r="DV168" s="133">
        <f ca="1">IFERROR(__xludf.DUMMYFUNCTION("""COMPUTED_VALUE"""),0)</f>
        <v>0</v>
      </c>
      <c r="DW168" s="133">
        <f ca="1">IFERROR(__xludf.DUMMYFUNCTION("""COMPUTED_VALUE"""),105464133)</f>
        <v>105464133</v>
      </c>
      <c r="DX168" s="133">
        <f ca="1">IFERROR(__xludf.DUMMYFUNCTION("""COMPUTED_VALUE"""),25466948)</f>
        <v>25466948</v>
      </c>
      <c r="DY168" s="133">
        <f ca="1">IFERROR(__xludf.DUMMYFUNCTION("""COMPUTED_VALUE"""),0)</f>
        <v>0</v>
      </c>
      <c r="DZ168" s="133">
        <f ca="1">IFERROR(__xludf.DUMMYFUNCTION("""COMPUTED_VALUE"""),130931081)</f>
        <v>130931081</v>
      </c>
      <c r="EA168" s="4"/>
      <c r="EB168" s="4"/>
    </row>
    <row r="169" spans="1:132" x14ac:dyDescent="0.2">
      <c r="A169" s="4">
        <f ca="1">IFERROR(__xludf.DUMMYFUNCTION("""COMPUTED_VALUE"""),169)</f>
        <v>169</v>
      </c>
      <c r="B169" s="4">
        <f ca="1">IFERROR(__xludf.DUMMYFUNCTION("""COMPUTED_VALUE"""),147)</f>
        <v>147</v>
      </c>
      <c r="C169" s="4" t="str">
        <f ca="1">IFERROR(__xludf.DUMMYFUNCTION("""COMPUTED_VALUE"""),"SDATOOL-39897")</f>
        <v>SDATOOL-39897</v>
      </c>
      <c r="D169" s="4" t="str">
        <f ca="1">IFERROR(__xludf.DUMMYFUNCTION("""COMPUTED_VALUE"""),"Despriorizado - Pricing Preaprobados")</f>
        <v>Despriorizado - Pricing Preaprobados</v>
      </c>
      <c r="E169" s="4" t="str">
        <f ca="1">IFERROR(__xludf.DUMMYFUNCTION("""COMPUTED_VALUE"""),"Esta iniciativa busca poder aumentar la colocación de nuevos créditos pre aprobados para pymes, al generar precios acorde a las características de los clientes.")</f>
        <v>Esta iniciativa busca poder aumentar la colocación de nuevos créditos pre aprobados para pymes, al generar precios acorde a las características de los clientes.</v>
      </c>
      <c r="F169" s="4" t="str">
        <f ca="1">IFERROR(__xludf.DUMMYFUNCTION("""COMPUTED_VALUE"""),"Initiative")</f>
        <v>Initiative</v>
      </c>
      <c r="G169" s="4" t="str">
        <f ca="1">IFERROR(__xludf.DUMMYFUNCTION("""COMPUTED_VALUE"""),"On hold")</f>
        <v>On hold</v>
      </c>
      <c r="H169" s="4" t="str">
        <f ca="1">IFERROR(__xludf.DUMMYFUNCTION("""COMPUTED_VALUE"""),"2Q 2023")</f>
        <v>2Q 2023</v>
      </c>
      <c r="I169" s="131" t="str">
        <f ca="1">IFERROR(__xludf.DUMMYFUNCTION("""COMPUTED_VALUE"""),"catalina.villamil-bbva.com")</f>
        <v>catalina.villamil-bbva.com</v>
      </c>
      <c r="J169" s="131" t="str">
        <f ca="1">IFERROR(__xludf.DUMMYFUNCTION("""COMPUTED_VALUE"""),"angiez.cubides-bbva.com")</f>
        <v>angiez.cubides-bbva.com</v>
      </c>
      <c r="K169" s="131" t="str">
        <f ca="1">IFERROR(__xludf.DUMMYFUNCTION("""COMPUTED_VALUE"""),"jhon.molina-bbva.com")</f>
        <v>jhon.molina-bbva.com</v>
      </c>
      <c r="L169" s="130">
        <f ca="1">IFERROR(__xludf.DUMMYFUNCTION("""COMPUTED_VALUE"""),0.5)</f>
        <v>0.5</v>
      </c>
      <c r="M169" s="130">
        <f ca="1">IFERROR(__xludf.DUMMYFUNCTION("""COMPUTED_VALUE"""),0)</f>
        <v>0</v>
      </c>
      <c r="N169" s="130">
        <f ca="1">IFERROR(__xludf.DUMMYFUNCTION("""COMPUTED_VALUE"""),0)</f>
        <v>0</v>
      </c>
      <c r="O169" s="4" t="str">
        <f ca="1">IFERROR(__xludf.DUMMYFUNCTION("""COMPUTED_VALUE"""),"Scrum")</f>
        <v>Scrum</v>
      </c>
      <c r="P169" s="4" t="str">
        <f ca="1">IFERROR(__xludf.DUMMYFUNCTION("""COMPUTED_VALUE"""),"Akiyama")</f>
        <v>Akiyama</v>
      </c>
      <c r="Q169" s="130">
        <f ca="1">IFERROR(__xludf.DUMMYFUNCTION("""COMPUTED_VALUE"""),0)</f>
        <v>0</v>
      </c>
      <c r="R169" s="130" t="str">
        <f ca="1">IFERROR(__xludf.DUMMYFUNCTION("""COMPUTED_VALUE"""),"Enterprises")</f>
        <v>Enterprises</v>
      </c>
      <c r="S169" s="130" t="str">
        <f ca="1">IFERROR(__xludf.DUMMYFUNCTION("""COMPUTED_VALUE"""),"Strategic Review")</f>
        <v>Strategic Review</v>
      </c>
      <c r="T169" s="130" t="str">
        <f ca="1">IFERROR(__xludf.DUMMYFUNCTION("""COMPUTED_VALUE"""),"1. Generación de Ingresos")</f>
        <v>1. Generación de Ingresos</v>
      </c>
      <c r="U169" s="130" t="str">
        <f ca="1">IFERROR(__xludf.DUMMYFUNCTION("""COMPUTED_VALUE"""),"1.5. Otros de Proyectos de Ingresos")</f>
        <v>1.5. Otros de Proyectos de Ingresos</v>
      </c>
      <c r="V169" s="4" t="str">
        <f ca="1">IFERROR(__xludf.DUMMYFUNCTION("""COMPUTED_VALUE"""),"Pricing")</f>
        <v>Pricing</v>
      </c>
      <c r="W169" s="4">
        <f ca="1">IFERROR(__xludf.DUMMYFUNCTION("""COMPUTED_VALUE"""),2)</f>
        <v>2</v>
      </c>
      <c r="X169" s="4" t="str">
        <f ca="1">IFERROR(__xludf.DUMMYFUNCTION("""COMPUTED_VALUE"""),"09. Data")</f>
        <v>09. Data</v>
      </c>
      <c r="Y169" s="4" t="str">
        <f ca="1">IFERROR(__xludf.DUMMYFUNCTION("""COMPUTED_VALUE"""),"4.2.2 SMEs- OCDL")</f>
        <v>4.2.2 SMEs- OCDL</v>
      </c>
      <c r="Z169" s="132" t="str">
        <f ca="1">IFERROR(__xludf.DUMMYFUNCTION("""COMPUTED_VALUE"""),"532308")</f>
        <v>532308</v>
      </c>
      <c r="AA169" s="4" t="str">
        <f ca="1">IFERROR(__xludf.DUMMYFUNCTION("""COMPUTED_VALUE"""),"Tasa diferencial pre aprobados")</f>
        <v>Tasa diferencial pre aprobados</v>
      </c>
      <c r="AB169" s="4" t="str">
        <f ca="1">IFERROR(__xludf.DUMMYFUNCTION("""COMPUTED_VALUE"""),"Entregar tasas diferenciales en Nacar  para los clientes que tengan pre aprobados en productos del activo de la banca pyme.")</f>
        <v>Entregar tasas diferenciales en Nacar  para los clientes que tengan pre aprobados en productos del activo de la banca pyme.</v>
      </c>
      <c r="AC169" s="4" t="str">
        <f ca="1">IFERROR(__xludf.DUMMYFUNCTION("""COMPUTED_VALUE"""),"2Q 2023")</f>
        <v>2Q 2023</v>
      </c>
      <c r="AD169" s="4"/>
      <c r="AE169" s="4"/>
      <c r="AF169" s="4"/>
      <c r="AG169" s="4"/>
      <c r="AH169" s="4"/>
      <c r="AI169" s="4"/>
      <c r="AJ169" s="4"/>
      <c r="AK169" s="131" t="str">
        <f ca="1">IFERROR(__xludf.DUMMYFUNCTION("""COMPUTED_VALUE"""),"COLWSCANAL-3395")</f>
        <v>COLWSCANAL-3395</v>
      </c>
      <c r="AL169" s="4" t="str">
        <f ca="1">IFERROR(__xludf.DUMMYFUNCTION("""COMPUTED_VALUE"""),"New")</f>
        <v>New</v>
      </c>
      <c r="AM169" s="4"/>
      <c r="AN169" s="4" t="str">
        <f ca="1">IFERROR(__xludf.DUMMYFUNCTION("""COMPUTED_VALUE"""),"Iniciativa en Discovery")</f>
        <v>Iniciativa en Discovery</v>
      </c>
      <c r="AO169" s="4" t="str">
        <f ca="1">IFERROR(__xludf.DUMMYFUNCTION("""COMPUTED_VALUE"""),"Data &amp; Tecnology")</f>
        <v>Data &amp; Tecnology</v>
      </c>
      <c r="AP169" s="4"/>
      <c r="AQ169" s="4"/>
      <c r="AR169" s="4" t="str">
        <f ca="1">IFERROR(__xludf.DUMMYFUNCTION("""COMPUTED_VALUE"""),"SDA aprobada en PPP Q1 2023")</f>
        <v>SDA aprobada en PPP Q1 2023</v>
      </c>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133">
        <f ca="1">IFERROR(__xludf.DUMMYFUNCTION("""COMPUTED_VALUE"""),0)</f>
        <v>0</v>
      </c>
      <c r="DV169" s="133">
        <f ca="1">IFERROR(__xludf.DUMMYFUNCTION("""COMPUTED_VALUE"""),0)</f>
        <v>0</v>
      </c>
      <c r="DW169" s="133">
        <f ca="1">IFERROR(__xludf.DUMMYFUNCTION("""COMPUTED_VALUE"""),0)</f>
        <v>0</v>
      </c>
      <c r="DX169" s="133">
        <f ca="1">IFERROR(__xludf.DUMMYFUNCTION("""COMPUTED_VALUE"""),0)</f>
        <v>0</v>
      </c>
      <c r="DY169" s="133">
        <f ca="1">IFERROR(__xludf.DUMMYFUNCTION("""COMPUTED_VALUE"""),0)</f>
        <v>0</v>
      </c>
      <c r="DZ169" s="133">
        <f ca="1">IFERROR(__xludf.DUMMYFUNCTION("""COMPUTED_VALUE"""),0)</f>
        <v>0</v>
      </c>
      <c r="EA169" s="4"/>
      <c r="EB169" s="4"/>
    </row>
    <row r="170" spans="1:132" x14ac:dyDescent="0.2">
      <c r="A170" s="4">
        <f ca="1">IFERROR(__xludf.DUMMYFUNCTION("""COMPUTED_VALUE"""),170)</f>
        <v>170</v>
      </c>
      <c r="B170" s="4">
        <f ca="1">IFERROR(__xludf.DUMMYFUNCTION("""COMPUTED_VALUE"""),148)</f>
        <v>148</v>
      </c>
      <c r="C170" s="4" t="str">
        <f ca="1">IFERROR(__xludf.DUMMYFUNCTION("""COMPUTED_VALUE"""),"SDATOOL-41750")</f>
        <v>SDATOOL-41750</v>
      </c>
      <c r="D170" s="4" t="str">
        <f ca="1">IFERROR(__xludf.DUMMYFUNCTION("""COMPUTED_VALUE"""),"Single APP")</f>
        <v>Single APP</v>
      </c>
      <c r="E170"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0" s="4" t="str">
        <f ca="1">IFERROR(__xludf.DUMMYFUNCTION("""COMPUTED_VALUE"""),"Project")</f>
        <v>Project</v>
      </c>
      <c r="G170" s="4" t="str">
        <f ca="1">IFERROR(__xludf.DUMMYFUNCTION("""COMPUTED_VALUE"""),"Stock")</f>
        <v>Stock</v>
      </c>
      <c r="H170" s="4" t="str">
        <f ca="1">IFERROR(__xludf.DUMMYFUNCTION("""COMPUTED_VALUE"""),"4Q 2023")</f>
        <v>4Q 2023</v>
      </c>
      <c r="I170" s="131" t="str">
        <f ca="1">IFERROR(__xludf.DUMMYFUNCTION("""COMPUTED_VALUE"""),"catalina.villamil-bbva.com")</f>
        <v>catalina.villamil-bbva.com</v>
      </c>
      <c r="J170" s="131" t="str">
        <f ca="1">IFERROR(__xludf.DUMMYFUNCTION("""COMPUTED_VALUE"""),"wilder.suarez-bbva.com")</f>
        <v>wilder.suarez-bbva.com</v>
      </c>
      <c r="K170" s="131" t="str">
        <f ca="1">IFERROR(__xludf.DUMMYFUNCTION("""COMPUTED_VALUE"""),"josealejandro.duenas-bbva.com")</f>
        <v>josealejandro.duenas-bbva.com</v>
      </c>
      <c r="L170" s="130">
        <f ca="1">IFERROR(__xludf.DUMMYFUNCTION("""COMPUTED_VALUE"""),1)</f>
        <v>1</v>
      </c>
      <c r="M170" s="130">
        <f ca="1">IFERROR(__xludf.DUMMYFUNCTION("""COMPUTED_VALUE"""),0.25)</f>
        <v>0.25</v>
      </c>
      <c r="N170" s="130">
        <f ca="1">IFERROR(__xludf.DUMMYFUNCTION("""COMPUTED_VALUE"""),0)</f>
        <v>0</v>
      </c>
      <c r="O170" s="4" t="str">
        <f ca="1">IFERROR(__xludf.DUMMYFUNCTION("""COMPUTED_VALUE"""),"Scrum")</f>
        <v>Scrum</v>
      </c>
      <c r="P170" s="4" t="str">
        <f ca="1">IFERROR(__xludf.DUMMYFUNCTION("""COMPUTED_VALUE"""),"Shadow Brokers")</f>
        <v>Shadow Brokers</v>
      </c>
      <c r="Q170" s="130">
        <f ca="1">IFERROR(__xludf.DUMMYFUNCTION("""COMPUTED_VALUE"""),1)</f>
        <v>1</v>
      </c>
      <c r="R170" s="130" t="str">
        <f ca="1">IFERROR(__xludf.DUMMYFUNCTION("""COMPUTED_VALUE"""),"Enterprises")</f>
        <v>Enterprises</v>
      </c>
      <c r="S170" s="130" t="str">
        <f ca="1">IFERROR(__xludf.DUMMYFUNCTION("""COMPUTED_VALUE"""),"Strategic Review")</f>
        <v>Strategic Review</v>
      </c>
      <c r="T170" s="130" t="str">
        <f ca="1">IFERROR(__xludf.DUMMYFUNCTION("""COMPUTED_VALUE"""),"1. Generación de Ingresos")</f>
        <v>1. Generación de Ingresos</v>
      </c>
      <c r="U170" s="130" t="str">
        <f ca="1">IFERROR(__xludf.DUMMYFUNCTION("""COMPUTED_VALUE"""),"1.5. Otros de Proyectos de Ingresos")</f>
        <v>1.5. Otros de Proyectos de Ingresos</v>
      </c>
      <c r="V170" s="4" t="str">
        <f ca="1">IFERROR(__xludf.DUMMYFUNCTION("""COMPUTED_VALUE"""),"GeMa")</f>
        <v>GeMa</v>
      </c>
      <c r="W170" s="4">
        <f ca="1">IFERROR(__xludf.DUMMYFUNCTION("""COMPUTED_VALUE"""),1)</f>
        <v>1</v>
      </c>
      <c r="X170" s="4" t="str">
        <f ca="1">IFERROR(__xludf.DUMMYFUNCTION("""COMPUTED_VALUE"""),"03. SMEs &amp; Self-employed")</f>
        <v>03. SMEs &amp; Self-employed</v>
      </c>
      <c r="Y170" s="4" t="str">
        <f ca="1">IFERROR(__xludf.DUMMYFUNCTION("""COMPUTED_VALUE"""),"2.1.1 Horizon - Enterprise")</f>
        <v>2.1.1 Horizon - Enterprise</v>
      </c>
      <c r="Z170" s="132" t="str">
        <f ca="1">IFERROR(__xludf.DUMMYFUNCTION("""COMPUTED_VALUE"""),"626289")</f>
        <v>626289</v>
      </c>
      <c r="AA170" s="4" t="str">
        <f ca="1">IFERROR(__xludf.DUMMYFUNCTION("""COMPUTED_VALUE"""),"2. Mecanismos de autenticación y utilización de servicios")</f>
        <v>2. Mecanismos de autenticación y utilización de servicios</v>
      </c>
      <c r="AB170" s="4" t="str">
        <f ca="1">IFERROR(__xludf.DUMMYFUNCTION("""COMPUTED_VALUE"""),"2. Mecanismos de autenticación y utilización de servicios")</f>
        <v>2. Mecanismos de autenticación y utilización de servicios</v>
      </c>
      <c r="AC170" s="4" t="str">
        <f ca="1">IFERROR(__xludf.DUMMYFUNCTION("""COMPUTED_VALUE"""),"4Q 2023")</f>
        <v>4Q 2023</v>
      </c>
      <c r="AD170" s="4"/>
      <c r="AE170" s="4"/>
      <c r="AF170" s="4"/>
      <c r="AG170" s="4"/>
      <c r="AH170" s="4"/>
      <c r="AI170" s="4"/>
      <c r="AJ170" s="4"/>
      <c r="AK170" s="131" t="str">
        <f ca="1">IFERROR(__xludf.DUMMYFUNCTION("""COMPUTED_VALUE"""),"COLWSCANAL-11392")</f>
        <v>COLWSCANAL-11392</v>
      </c>
      <c r="AL170" s="4" t="str">
        <f ca="1">IFERROR(__xludf.DUMMYFUNCTION("""COMPUTED_VALUE"""),"Analysing")</f>
        <v>Analysing</v>
      </c>
      <c r="AM170" s="4"/>
      <c r="AN170" s="4" t="str">
        <f ca="1">IFERROR(__xludf.DUMMYFUNCTION("""COMPUTED_VALUE"""),"Entregable en Conceptualización")</f>
        <v>Entregable en Conceptualización</v>
      </c>
      <c r="AO170" s="4" t="str">
        <f ca="1">IFERROR(__xludf.DUMMYFUNCTION("""COMPUTED_VALUE"""),"Pymes")</f>
        <v>Pymes</v>
      </c>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133">
        <f ca="1">IFERROR(__xludf.DUMMYFUNCTION("""COMPUTED_VALUE"""),0)</f>
        <v>0</v>
      </c>
      <c r="DV170" s="133">
        <f ca="1">IFERROR(__xludf.DUMMYFUNCTION("""COMPUTED_VALUE"""),0)</f>
        <v>0</v>
      </c>
      <c r="DW170" s="133">
        <f ca="1">IFERROR(__xludf.DUMMYFUNCTION("""COMPUTED_VALUE"""),0)</f>
        <v>0</v>
      </c>
      <c r="DX170" s="133">
        <f ca="1">IFERROR(__xludf.DUMMYFUNCTION("""COMPUTED_VALUE"""),800000000)</f>
        <v>800000000</v>
      </c>
      <c r="DY170" s="133">
        <f ca="1">IFERROR(__xludf.DUMMYFUNCTION("""COMPUTED_VALUE"""),0)</f>
        <v>0</v>
      </c>
      <c r="DZ170" s="133">
        <f ca="1">IFERROR(__xludf.DUMMYFUNCTION("""COMPUTED_VALUE"""),800000000)</f>
        <v>800000000</v>
      </c>
      <c r="EA170" s="4"/>
      <c r="EB170" s="4"/>
    </row>
    <row r="171" spans="1:132" x14ac:dyDescent="0.2">
      <c r="A171" s="4">
        <f ca="1">IFERROR(__xludf.DUMMYFUNCTION("""COMPUTED_VALUE"""),171)</f>
        <v>171</v>
      </c>
      <c r="B171" s="4">
        <f ca="1">IFERROR(__xludf.DUMMYFUNCTION("""COMPUTED_VALUE"""),149)</f>
        <v>149</v>
      </c>
      <c r="C171" s="4" t="str">
        <f ca="1">IFERROR(__xludf.DUMMYFUNCTION("""COMPUTED_VALUE"""),"SDATOOL-41750")</f>
        <v>SDATOOL-41750</v>
      </c>
      <c r="D171" s="4" t="str">
        <f ca="1">IFERROR(__xludf.DUMMYFUNCTION("""COMPUTED_VALUE"""),"Single APP")</f>
        <v>Single APP</v>
      </c>
      <c r="E171"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1" s="4" t="str">
        <f ca="1">IFERROR(__xludf.DUMMYFUNCTION("""COMPUTED_VALUE"""),"Project")</f>
        <v>Project</v>
      </c>
      <c r="G171" s="4" t="str">
        <f ca="1">IFERROR(__xludf.DUMMYFUNCTION("""COMPUTED_VALUE"""),"Stock")</f>
        <v>Stock</v>
      </c>
      <c r="H171" s="4" t="str">
        <f ca="1">IFERROR(__xludf.DUMMYFUNCTION("""COMPUTED_VALUE"""),"4Q 2023")</f>
        <v>4Q 2023</v>
      </c>
      <c r="I171" s="131" t="str">
        <f ca="1">IFERROR(__xludf.DUMMYFUNCTION("""COMPUTED_VALUE"""),"catalina.villamil-bbva.com")</f>
        <v>catalina.villamil-bbva.com</v>
      </c>
      <c r="J171" s="131" t="str">
        <f ca="1">IFERROR(__xludf.DUMMYFUNCTION("""COMPUTED_VALUE"""),"wilder.suarez-bbva.com")</f>
        <v>wilder.suarez-bbva.com</v>
      </c>
      <c r="K171" s="131" t="str">
        <f ca="1">IFERROR(__xludf.DUMMYFUNCTION("""COMPUTED_VALUE"""),"josealejandro.duenas-bbva.com")</f>
        <v>josealejandro.duenas-bbva.com</v>
      </c>
      <c r="L171" s="4"/>
      <c r="M171" s="4"/>
      <c r="N171" s="4"/>
      <c r="O171" s="4" t="str">
        <f ca="1">IFERROR(__xludf.DUMMYFUNCTION("""COMPUTED_VALUE"""),"Scrum")</f>
        <v>Scrum</v>
      </c>
      <c r="P171" s="4" t="str">
        <f ca="1">IFERROR(__xludf.DUMMYFUNCTION("""COMPUTED_VALUE"""),"Shadow Brokers")</f>
        <v>Shadow Brokers</v>
      </c>
      <c r="Q171" s="4"/>
      <c r="R171" s="130" t="str">
        <f ca="1">IFERROR(__xludf.DUMMYFUNCTION("""COMPUTED_VALUE"""),"Enterprises")</f>
        <v>Enterprises</v>
      </c>
      <c r="S171" s="130" t="str">
        <f ca="1">IFERROR(__xludf.DUMMYFUNCTION("""COMPUTED_VALUE"""),"Strategic Review")</f>
        <v>Strategic Review</v>
      </c>
      <c r="T171" s="130" t="str">
        <f ca="1">IFERROR(__xludf.DUMMYFUNCTION("""COMPUTED_VALUE"""),"1. Generación de Ingresos")</f>
        <v>1. Generación de Ingresos</v>
      </c>
      <c r="U171" s="130" t="str">
        <f ca="1">IFERROR(__xludf.DUMMYFUNCTION("""COMPUTED_VALUE"""),"1.5. Otros de Proyectos de Ingresos")</f>
        <v>1.5. Otros de Proyectos de Ingresos</v>
      </c>
      <c r="V171" s="4" t="str">
        <f ca="1">IFERROR(__xludf.DUMMYFUNCTION("""COMPUTED_VALUE"""),"GeMa")</f>
        <v>GeMa</v>
      </c>
      <c r="W171" s="4">
        <f ca="1">IFERROR(__xludf.DUMMYFUNCTION("""COMPUTED_VALUE"""),1)</f>
        <v>1</v>
      </c>
      <c r="X171" s="4" t="str">
        <f ca="1">IFERROR(__xludf.DUMMYFUNCTION("""COMPUTED_VALUE"""),"03. SMEs &amp; Self-employed")</f>
        <v>03. SMEs &amp; Self-employed</v>
      </c>
      <c r="Y171" s="4" t="str">
        <f ca="1">IFERROR(__xludf.DUMMYFUNCTION("""COMPUTED_VALUE"""),"2.1.1 Horizon - Enterprise")</f>
        <v>2.1.1 Horizon - Enterprise</v>
      </c>
      <c r="Z171" s="132" t="str">
        <f ca="1">IFERROR(__xludf.DUMMYFUNCTION("""COMPUTED_VALUE"""),"626290")</f>
        <v>626290</v>
      </c>
      <c r="AA171" s="4" t="str">
        <f ca="1">IFERROR(__xludf.DUMMYFUNCTION("""COMPUTED_VALUE"""),"3. Posición global cuentas/Tarjetas/Préstamos (GEMA)")</f>
        <v>3. Posición global cuentas/Tarjetas/Préstamos (GEMA)</v>
      </c>
      <c r="AB171" s="4" t="str">
        <f ca="1">IFERROR(__xludf.DUMMYFUNCTION("""COMPUTED_VALUE"""),"3. Posición global cuentas/Tarjetas/Préstamos (GEMA)")</f>
        <v>3. Posición global cuentas/Tarjetas/Préstamos (GEMA)</v>
      </c>
      <c r="AC171" s="4" t="str">
        <f ca="1">IFERROR(__xludf.DUMMYFUNCTION("""COMPUTED_VALUE"""),"4Q 2023")</f>
        <v>4Q 2023</v>
      </c>
      <c r="AD171" s="4"/>
      <c r="AE171" s="4"/>
      <c r="AF171" s="4"/>
      <c r="AG171" s="4"/>
      <c r="AH171" s="4"/>
      <c r="AI171" s="4"/>
      <c r="AJ171" s="4"/>
      <c r="AK171" s="131" t="str">
        <f ca="1">IFERROR(__xludf.DUMMYFUNCTION("""COMPUTED_VALUE"""),"COLWSCANAL-11393")</f>
        <v>COLWSCANAL-11393</v>
      </c>
      <c r="AL171" s="4" t="str">
        <f ca="1">IFERROR(__xludf.DUMMYFUNCTION("""COMPUTED_VALUE"""),"Analysing")</f>
        <v>Analysing</v>
      </c>
      <c r="AM171" s="4"/>
      <c r="AN171" s="4" t="str">
        <f ca="1">IFERROR(__xludf.DUMMYFUNCTION("""COMPUTED_VALUE"""),"Entregable en Conceptualización")</f>
        <v>Entregable en Conceptualización</v>
      </c>
      <c r="AO171" s="4" t="str">
        <f ca="1">IFERROR(__xludf.DUMMYFUNCTION("""COMPUTED_VALUE"""),"Pymes")</f>
        <v>Pymes</v>
      </c>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row>
    <row r="172" spans="1:132" x14ac:dyDescent="0.2">
      <c r="A172" s="4">
        <f ca="1">IFERROR(__xludf.DUMMYFUNCTION("""COMPUTED_VALUE"""),172)</f>
        <v>172</v>
      </c>
      <c r="B172" s="4">
        <f ca="1">IFERROR(__xludf.DUMMYFUNCTION("""COMPUTED_VALUE"""),150)</f>
        <v>150</v>
      </c>
      <c r="C172" s="4" t="str">
        <f ca="1">IFERROR(__xludf.DUMMYFUNCTION("""COMPUTED_VALUE"""),"SDATOOL-41750")</f>
        <v>SDATOOL-41750</v>
      </c>
      <c r="D172" s="4" t="str">
        <f ca="1">IFERROR(__xludf.DUMMYFUNCTION("""COMPUTED_VALUE"""),"Single APP")</f>
        <v>Single APP</v>
      </c>
      <c r="E172"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2" s="4" t="str">
        <f ca="1">IFERROR(__xludf.DUMMYFUNCTION("""COMPUTED_VALUE"""),"Project")</f>
        <v>Project</v>
      </c>
      <c r="G172" s="4" t="str">
        <f ca="1">IFERROR(__xludf.DUMMYFUNCTION("""COMPUTED_VALUE"""),"Stock")</f>
        <v>Stock</v>
      </c>
      <c r="H172" s="4" t="str">
        <f ca="1">IFERROR(__xludf.DUMMYFUNCTION("""COMPUTED_VALUE"""),"4Q 2023")</f>
        <v>4Q 2023</v>
      </c>
      <c r="I172" s="131" t="str">
        <f ca="1">IFERROR(__xludf.DUMMYFUNCTION("""COMPUTED_VALUE"""),"catalina.villamil-bbva.com")</f>
        <v>catalina.villamil-bbva.com</v>
      </c>
      <c r="J172" s="131" t="str">
        <f ca="1">IFERROR(__xludf.DUMMYFUNCTION("""COMPUTED_VALUE"""),"wilder.suarez-bbva.com")</f>
        <v>wilder.suarez-bbva.com</v>
      </c>
      <c r="K172" s="131" t="str">
        <f ca="1">IFERROR(__xludf.DUMMYFUNCTION("""COMPUTED_VALUE"""),"josealejandro.duenas-bbva.com")</f>
        <v>josealejandro.duenas-bbva.com</v>
      </c>
      <c r="L172" s="4"/>
      <c r="M172" s="4"/>
      <c r="N172" s="4"/>
      <c r="O172" s="4" t="str">
        <f ca="1">IFERROR(__xludf.DUMMYFUNCTION("""COMPUTED_VALUE"""),"Scrum")</f>
        <v>Scrum</v>
      </c>
      <c r="P172" s="4" t="str">
        <f ca="1">IFERROR(__xludf.DUMMYFUNCTION("""COMPUTED_VALUE"""),"Shadow Brokers")</f>
        <v>Shadow Brokers</v>
      </c>
      <c r="Q172" s="4"/>
      <c r="R172" s="130" t="str">
        <f ca="1">IFERROR(__xludf.DUMMYFUNCTION("""COMPUTED_VALUE"""),"Enterprises")</f>
        <v>Enterprises</v>
      </c>
      <c r="S172" s="130" t="str">
        <f ca="1">IFERROR(__xludf.DUMMYFUNCTION("""COMPUTED_VALUE"""),"Strategic Review")</f>
        <v>Strategic Review</v>
      </c>
      <c r="T172" s="130" t="str">
        <f ca="1">IFERROR(__xludf.DUMMYFUNCTION("""COMPUTED_VALUE"""),"1. Generación de Ingresos")</f>
        <v>1. Generación de Ingresos</v>
      </c>
      <c r="U172" s="130" t="str">
        <f ca="1">IFERROR(__xludf.DUMMYFUNCTION("""COMPUTED_VALUE"""),"1.5. Otros de Proyectos de Ingresos")</f>
        <v>1.5. Otros de Proyectos de Ingresos</v>
      </c>
      <c r="V172" s="4" t="str">
        <f ca="1">IFERROR(__xludf.DUMMYFUNCTION("""COMPUTED_VALUE"""),"GeMa")</f>
        <v>GeMa</v>
      </c>
      <c r="W172" s="4">
        <f ca="1">IFERROR(__xludf.DUMMYFUNCTION("""COMPUTED_VALUE"""),1)</f>
        <v>1</v>
      </c>
      <c r="X172" s="4" t="str">
        <f ca="1">IFERROR(__xludf.DUMMYFUNCTION("""COMPUTED_VALUE"""),"03. SMEs &amp; Self-employed")</f>
        <v>03. SMEs &amp; Self-employed</v>
      </c>
      <c r="Y172" s="4" t="str">
        <f ca="1">IFERROR(__xludf.DUMMYFUNCTION("""COMPUTED_VALUE"""),"2.1.1 Horizon - Enterprise")</f>
        <v>2.1.1 Horizon - Enterprise</v>
      </c>
      <c r="Z172" s="132" t="str">
        <f ca="1">IFERROR(__xludf.DUMMYFUNCTION("""COMPUTED_VALUE"""),"626288")</f>
        <v>626288</v>
      </c>
      <c r="AA172" s="4" t="str">
        <f ca="1">IFERROR(__xludf.DUMMYFUNCTION("""COMPUTED_VALUE"""),"Login de la aplicación")</f>
        <v>Login de la aplicación</v>
      </c>
      <c r="AB172" s="4" t="str">
        <f ca="1">IFERROR(__xludf.DUMMYFUNCTION("""COMPUTED_VALUE"""),"Login de la aplicación")</f>
        <v>Login de la aplicación</v>
      </c>
      <c r="AC172" s="4" t="str">
        <f ca="1">IFERROR(__xludf.DUMMYFUNCTION("""COMPUTED_VALUE"""),"3Q 2023")</f>
        <v>3Q 2023</v>
      </c>
      <c r="AD172" s="4"/>
      <c r="AE172" s="4"/>
      <c r="AF172" s="4"/>
      <c r="AG172" s="4"/>
      <c r="AH172" s="4"/>
      <c r="AI172" s="4"/>
      <c r="AJ172" s="4"/>
      <c r="AK172" s="131" t="str">
        <f ca="1">IFERROR(__xludf.DUMMYFUNCTION("""COMPUTED_VALUE"""),"COLWSCANAL-11383")</f>
        <v>COLWSCANAL-11383</v>
      </c>
      <c r="AL172" s="4" t="str">
        <f ca="1">IFERROR(__xludf.DUMMYFUNCTION("""COMPUTED_VALUE"""),"Analysing")</f>
        <v>Analysing</v>
      </c>
      <c r="AM172" s="4"/>
      <c r="AN172" s="4" t="str">
        <f ca="1">IFERROR(__xludf.DUMMYFUNCTION("""COMPUTED_VALUE"""),"Entregable en Conceptualización")</f>
        <v>Entregable en Conceptualización</v>
      </c>
      <c r="AO172" s="4" t="str">
        <f ca="1">IFERROR(__xludf.DUMMYFUNCTION("""COMPUTED_VALUE"""),"Pymes")</f>
        <v>Pymes</v>
      </c>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row>
    <row r="173" spans="1:132" x14ac:dyDescent="0.2">
      <c r="A173" s="4">
        <f ca="1">IFERROR(__xludf.DUMMYFUNCTION("""COMPUTED_VALUE"""),173)</f>
        <v>173</v>
      </c>
      <c r="B173" s="4">
        <f ca="1">IFERROR(__xludf.DUMMYFUNCTION("""COMPUTED_VALUE"""),151)</f>
        <v>151</v>
      </c>
      <c r="C173" s="4" t="str">
        <f ca="1">IFERROR(__xludf.DUMMYFUNCTION("""COMPUTED_VALUE"""),"SDATOOL-38428")</f>
        <v>SDATOOL-38428</v>
      </c>
      <c r="D173" s="4" t="str">
        <f ca="1">IFERROR(__xludf.DUMMYFUNCTION("""COMPUTED_VALUE"""),"Traditional POS Net Cash (traslados)")</f>
        <v>Traditional POS Net Cash (traslados)</v>
      </c>
      <c r="E173" s="4" t="str">
        <f ca="1">IFERROR(__xludf.DUMMYFUNCTION("""COMPUTED_VALUE"""),"Incluir una opción en el canal Net Cash web, para que un cliente que tenga el producto de adquirencias con otro Banco tenga la posibilidad de cambiar su adquirencia a BBVA")</f>
        <v>Incluir una opción en el canal Net Cash web, para que un cliente que tenga el producto de adquirencias con otro Banco tenga la posibilidad de cambiar su adquirencia a BBVA</v>
      </c>
      <c r="F173" s="4" t="str">
        <f ca="1">IFERROR(__xludf.DUMMYFUNCTION("""COMPUTED_VALUE"""),"Project")</f>
        <v>Project</v>
      </c>
      <c r="G173" s="4" t="str">
        <f ca="1">IFERROR(__xludf.DUMMYFUNCTION("""COMPUTED_VALUE"""),"Ended")</f>
        <v>Ended</v>
      </c>
      <c r="H173" s="4" t="str">
        <f ca="1">IFERROR(__xludf.DUMMYFUNCTION("""COMPUTED_VALUE"""),"1Q 2023")</f>
        <v>1Q 2023</v>
      </c>
      <c r="I173" s="131" t="str">
        <f ca="1">IFERROR(__xludf.DUMMYFUNCTION("""COMPUTED_VALUE"""),"catalina.villamil-bbva.com")</f>
        <v>catalina.villamil-bbva.com</v>
      </c>
      <c r="J173" s="131" t="str">
        <f ca="1">IFERROR(__xludf.DUMMYFUNCTION("""COMPUTED_VALUE"""),"leidyviviana.patino-bbva.com")</f>
        <v>leidyviviana.patino-bbva.com</v>
      </c>
      <c r="K173" s="131" t="str">
        <f ca="1">IFERROR(__xludf.DUMMYFUNCTION("""COMPUTED_VALUE"""),"nathaliamaria.torres-bbva.com")</f>
        <v>nathaliamaria.torres-bbva.com</v>
      </c>
      <c r="L173" s="130">
        <f ca="1">IFERROR(__xludf.DUMMYFUNCTION("""COMPUTED_VALUE"""),0)</f>
        <v>0</v>
      </c>
      <c r="M173" s="130">
        <f ca="1">IFERROR(__xludf.DUMMYFUNCTION("""COMPUTED_VALUE"""),0)</f>
        <v>0</v>
      </c>
      <c r="N173" s="130">
        <f ca="1">IFERROR(__xludf.DUMMYFUNCTION("""COMPUTED_VALUE"""),0)</f>
        <v>0</v>
      </c>
      <c r="O173" s="4" t="str">
        <f ca="1">IFERROR(__xludf.DUMMYFUNCTION("""COMPUTED_VALUE"""),"Scrum")</f>
        <v>Scrum</v>
      </c>
      <c r="P173" s="4" t="str">
        <f ca="1">IFERROR(__xludf.DUMMYFUNCTION("""COMPUTED_VALUE"""),"The witcher")</f>
        <v>The witcher</v>
      </c>
      <c r="Q173" s="130">
        <f ca="1">IFERROR(__xludf.DUMMYFUNCTION("""COMPUTED_VALUE"""),1)</f>
        <v>1</v>
      </c>
      <c r="R173" s="130" t="str">
        <f ca="1">IFERROR(__xludf.DUMMYFUNCTION("""COMPUTED_VALUE"""),"Payments &amp; Partnerships")</f>
        <v>Payments &amp; Partnerships</v>
      </c>
      <c r="S173" s="130" t="str">
        <f ca="1">IFERROR(__xludf.DUMMYFUNCTION("""COMPUTED_VALUE"""),"Strategic Review")</f>
        <v>Strategic Review</v>
      </c>
      <c r="T173" s="130" t="str">
        <f ca="1">IFERROR(__xludf.DUMMYFUNCTION("""COMPUTED_VALUE"""),"1. Generación de Ingresos")</f>
        <v>1. Generación de Ingresos</v>
      </c>
      <c r="U173" s="130" t="str">
        <f ca="1">IFERROR(__xludf.DUMMYFUNCTION("""COMPUTED_VALUE"""),"1.4. Proyectos de Pagos y Adquirencia")</f>
        <v>1.4. Proyectos de Pagos y Adquirencia</v>
      </c>
      <c r="V173" s="4" t="str">
        <f ca="1">IFERROR(__xludf.DUMMYFUNCTION("""COMPUTED_VALUE"""),"Mercurio")</f>
        <v>Mercurio</v>
      </c>
      <c r="W173" s="4">
        <f ca="1">IFERROR(__xludf.DUMMYFUNCTION("""COMPUTED_VALUE"""),1)</f>
        <v>1</v>
      </c>
      <c r="X173" s="4" t="str">
        <f ca="1">IFERROR(__xludf.DUMMYFUNCTION("""COMPUTED_VALUE"""),"02. Open Pay &amp; Mercurio")</f>
        <v>02. Open Pay &amp; Mercurio</v>
      </c>
      <c r="Y173" s="4" t="str">
        <f ca="1">IFERROR(__xludf.DUMMYFUNCTION("""COMPUTED_VALUE"""),"4.2.3 Acquiring - Mercurio")</f>
        <v>4.2.3 Acquiring - Mercurio</v>
      </c>
      <c r="Z173" s="132" t="str">
        <f ca="1">IFERROR(__xludf.DUMMYFUNCTION("""COMPUTED_VALUE"""),"368745")</f>
        <v>368745</v>
      </c>
      <c r="AA173" s="4" t="str">
        <f ca="1">IFERROR(__xludf.DUMMYFUNCTION("""COMPUTED_VALUE"""),"Generación de Lead para traslados")</f>
        <v>Generación de Lead para traslados</v>
      </c>
      <c r="AB173" s="4" t="str">
        <f ca="1">IFERROR(__xludf.DUMMYFUNCTION("""COMPUTED_VALUE"""),"Generación de Lead para traslados")</f>
        <v>Generación de Lead para traslados</v>
      </c>
      <c r="AC173" s="4" t="str">
        <f ca="1">IFERROR(__xludf.DUMMYFUNCTION("""COMPUTED_VALUE"""),"2Q 2022")</f>
        <v>2Q 2022</v>
      </c>
      <c r="AD173" s="128">
        <f ca="1">IFERROR(__xludf.DUMMYFUNCTION("""COMPUTED_VALUE"""),44557)</f>
        <v>44557</v>
      </c>
      <c r="AE173" s="128">
        <f ca="1">IFERROR(__xludf.DUMMYFUNCTION("""COMPUTED_VALUE"""),44620)</f>
        <v>44620</v>
      </c>
      <c r="AF173" s="128">
        <f ca="1">IFERROR(__xludf.DUMMYFUNCTION("""COMPUTED_VALUE"""),44620)</f>
        <v>44620</v>
      </c>
      <c r="AG173" s="128">
        <f ca="1">IFERROR(__xludf.DUMMYFUNCTION("""COMPUTED_VALUE"""),44673)</f>
        <v>44673</v>
      </c>
      <c r="AH173" s="128">
        <f ca="1">IFERROR(__xludf.DUMMYFUNCTION("""COMPUTED_VALUE"""),44687)</f>
        <v>44687</v>
      </c>
      <c r="AI173" s="128">
        <f ca="1">IFERROR(__xludf.DUMMYFUNCTION("""COMPUTED_VALUE"""),44694)</f>
        <v>44694</v>
      </c>
      <c r="AJ173" s="128">
        <f ca="1">IFERROR(__xludf.DUMMYFUNCTION("""COMPUTED_VALUE"""),44708)</f>
        <v>44708</v>
      </c>
      <c r="AK173" s="131" t="str">
        <f ca="1">IFERROR(__xludf.DUMMYFUNCTION("""COMPUTED_VALUE"""),"COLWSMEDIO-431")</f>
        <v>COLWSMEDIO-431</v>
      </c>
      <c r="AL173" s="4" t="str">
        <f ca="1">IFERROR(__xludf.DUMMYFUNCTION("""COMPUTED_VALUE"""),"Deployed")</f>
        <v>Deployed</v>
      </c>
      <c r="AM173" s="4"/>
      <c r="AN173" s="4" t="str">
        <f ca="1">IFERROR(__xludf.DUMMYFUNCTION("""COMPUTED_VALUE"""),"Finalizado")</f>
        <v>Finalizado</v>
      </c>
      <c r="AO173" s="4" t="str">
        <f ca="1">IFERROR(__xludf.DUMMYFUNCTION("""COMPUTED_VALUE"""),"Mercurio y Adquirencia")</f>
        <v>Mercurio y Adquirencia</v>
      </c>
      <c r="AP173" s="4"/>
      <c r="AQ173" s="4"/>
      <c r="AR173" s="4" t="str">
        <f ca="1">IFERROR(__xludf.DUMMYFUNCTION("""COMPUTED_VALUE"""),"SDA aprobada en PPP Q1 2023")</f>
        <v>SDA aprobada en PPP Q1 2023</v>
      </c>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133">
        <f ca="1">IFERROR(__xludf.DUMMYFUNCTION("""COMPUTED_VALUE"""),0)</f>
        <v>0</v>
      </c>
      <c r="DV173" s="133">
        <f ca="1">IFERROR(__xludf.DUMMYFUNCTION("""COMPUTED_VALUE"""),0)</f>
        <v>0</v>
      </c>
      <c r="DW173" s="133">
        <f ca="1">IFERROR(__xludf.DUMMYFUNCTION("""COMPUTED_VALUE"""),291133461)</f>
        <v>291133461</v>
      </c>
      <c r="DX173" s="133">
        <f ca="1">IFERROR(__xludf.DUMMYFUNCTION("""COMPUTED_VALUE"""),74930325)</f>
        <v>74930325</v>
      </c>
      <c r="DY173" s="133">
        <f ca="1">IFERROR(__xludf.DUMMYFUNCTION("""COMPUTED_VALUE"""),0)</f>
        <v>0</v>
      </c>
      <c r="DZ173" s="133">
        <f ca="1">IFERROR(__xludf.DUMMYFUNCTION("""COMPUTED_VALUE"""),366063786)</f>
        <v>366063786</v>
      </c>
      <c r="EA173" s="4"/>
      <c r="EB173" s="4"/>
    </row>
    <row r="174" spans="1:132" x14ac:dyDescent="0.2">
      <c r="A174" s="4">
        <f ca="1">IFERROR(__xludf.DUMMYFUNCTION("""COMPUTED_VALUE"""),174)</f>
        <v>174</v>
      </c>
      <c r="B174" s="4">
        <f ca="1">IFERROR(__xludf.DUMMYFUNCTION("""COMPUTED_VALUE"""),152)</f>
        <v>152</v>
      </c>
      <c r="C174" s="4" t="str">
        <f ca="1">IFERROR(__xludf.DUMMYFUNCTION("""COMPUTED_VALUE"""),"SDATOOL-38428")</f>
        <v>SDATOOL-38428</v>
      </c>
      <c r="D174" s="4" t="str">
        <f ca="1">IFERROR(__xludf.DUMMYFUNCTION("""COMPUTED_VALUE"""),"Traditional POS Net Cash (traslados)")</f>
        <v>Traditional POS Net Cash (traslados)</v>
      </c>
      <c r="E174" s="4" t="str">
        <f ca="1">IFERROR(__xludf.DUMMYFUNCTION("""COMPUTED_VALUE"""),"Incluir una opción en el canal Net Cash web, para que un cliente que tenga el producto de adquirencias con otro Banco tenga la posibilidad de cambiar su adquirencia a BBVA")</f>
        <v>Incluir una opción en el canal Net Cash web, para que un cliente que tenga el producto de adquirencias con otro Banco tenga la posibilidad de cambiar su adquirencia a BBVA</v>
      </c>
      <c r="F174" s="4" t="str">
        <f ca="1">IFERROR(__xludf.DUMMYFUNCTION("""COMPUTED_VALUE"""),"Project")</f>
        <v>Project</v>
      </c>
      <c r="G174" s="4" t="str">
        <f ca="1">IFERROR(__xludf.DUMMYFUNCTION("""COMPUTED_VALUE"""),"Ended")</f>
        <v>Ended</v>
      </c>
      <c r="H174" s="4" t="str">
        <f ca="1">IFERROR(__xludf.DUMMYFUNCTION("""COMPUTED_VALUE"""),"1Q 2023")</f>
        <v>1Q 2023</v>
      </c>
      <c r="I174" s="131" t="str">
        <f ca="1">IFERROR(__xludf.DUMMYFUNCTION("""COMPUTED_VALUE"""),"catalina.villamil-bbva.com")</f>
        <v>catalina.villamil-bbva.com</v>
      </c>
      <c r="J174" s="131" t="str">
        <f ca="1">IFERROR(__xludf.DUMMYFUNCTION("""COMPUTED_VALUE"""),"leidyviviana.patino-bbva.com")</f>
        <v>leidyviviana.patino-bbva.com</v>
      </c>
      <c r="K174" s="131" t="str">
        <f ca="1">IFERROR(__xludf.DUMMYFUNCTION("""COMPUTED_VALUE"""),"nathaliamaria.torres-bbva.com")</f>
        <v>nathaliamaria.torres-bbva.com</v>
      </c>
      <c r="L174" s="4"/>
      <c r="M174" s="4"/>
      <c r="N174" s="4"/>
      <c r="O174" s="4" t="str">
        <f ca="1">IFERROR(__xludf.DUMMYFUNCTION("""COMPUTED_VALUE"""),"Scrum")</f>
        <v>Scrum</v>
      </c>
      <c r="P174" s="4" t="str">
        <f ca="1">IFERROR(__xludf.DUMMYFUNCTION("""COMPUTED_VALUE"""),"The witcher")</f>
        <v>The witcher</v>
      </c>
      <c r="Q174" s="4"/>
      <c r="R174" s="130" t="str">
        <f ca="1">IFERROR(__xludf.DUMMYFUNCTION("""COMPUTED_VALUE"""),"Payments &amp; Partnerships")</f>
        <v>Payments &amp; Partnerships</v>
      </c>
      <c r="S174" s="130" t="str">
        <f ca="1">IFERROR(__xludf.DUMMYFUNCTION("""COMPUTED_VALUE"""),"Strategic Review")</f>
        <v>Strategic Review</v>
      </c>
      <c r="T174" s="130" t="str">
        <f ca="1">IFERROR(__xludf.DUMMYFUNCTION("""COMPUTED_VALUE"""),"1. Generación de Ingresos")</f>
        <v>1. Generación de Ingresos</v>
      </c>
      <c r="U174" s="130" t="str">
        <f ca="1">IFERROR(__xludf.DUMMYFUNCTION("""COMPUTED_VALUE"""),"1.4. Proyectos de Pagos y Adquirencia")</f>
        <v>1.4. Proyectos de Pagos y Adquirencia</v>
      </c>
      <c r="V174" s="4" t="str">
        <f ca="1">IFERROR(__xludf.DUMMYFUNCTION("""COMPUTED_VALUE"""),"Mercurio")</f>
        <v>Mercurio</v>
      </c>
      <c r="W174" s="4">
        <f ca="1">IFERROR(__xludf.DUMMYFUNCTION("""COMPUTED_VALUE"""),1)</f>
        <v>1</v>
      </c>
      <c r="X174" s="4" t="str">
        <f ca="1">IFERROR(__xludf.DUMMYFUNCTION("""COMPUTED_VALUE"""),"02. Open Pay &amp; Mercurio")</f>
        <v>02. Open Pay &amp; Mercurio</v>
      </c>
      <c r="Y174" s="4" t="str">
        <f ca="1">IFERROR(__xludf.DUMMYFUNCTION("""COMPUTED_VALUE"""),"4.2.3 Acquiring - Mercurio")</f>
        <v>4.2.3 Acquiring - Mercurio</v>
      </c>
      <c r="Z174" s="132" t="str">
        <f ca="1">IFERROR(__xludf.DUMMYFUNCTION("""COMPUTED_VALUE"""),"471666")</f>
        <v>471666</v>
      </c>
      <c r="AA174" s="4" t="str">
        <f ca="1">IFERROR(__xludf.DUMMYFUNCTION("""COMPUTED_VALUE"""),"Traslados de adquirencias")</f>
        <v>Traslados de adquirencias</v>
      </c>
      <c r="AB174" s="4" t="str">
        <f ca="1">IFERROR(__xludf.DUMMYFUNCTION("""COMPUTED_VALUE"""),"2) Traslados de adquirencias")</f>
        <v>2) Traslados de adquirencias</v>
      </c>
      <c r="AC174" s="4" t="str">
        <f ca="1">IFERROR(__xludf.DUMMYFUNCTION("""COMPUTED_VALUE"""),"4Q 2022")</f>
        <v>4Q 2022</v>
      </c>
      <c r="AD174" s="128">
        <f ca="1">IFERROR(__xludf.DUMMYFUNCTION("""COMPUTED_VALUE"""),44557)</f>
        <v>44557</v>
      </c>
      <c r="AE174" s="128">
        <f ca="1">IFERROR(__xludf.DUMMYFUNCTION("""COMPUTED_VALUE"""),44620)</f>
        <v>44620</v>
      </c>
      <c r="AF174" s="128">
        <f ca="1">IFERROR(__xludf.DUMMYFUNCTION("""COMPUTED_VALUE"""),44620)</f>
        <v>44620</v>
      </c>
      <c r="AG174" s="128">
        <f ca="1">IFERROR(__xludf.DUMMYFUNCTION("""COMPUTED_VALUE"""),44795)</f>
        <v>44795</v>
      </c>
      <c r="AH174" s="128">
        <f ca="1">IFERROR(__xludf.DUMMYFUNCTION("""COMPUTED_VALUE"""),44831)</f>
        <v>44831</v>
      </c>
      <c r="AI174" s="128">
        <f ca="1">IFERROR(__xludf.DUMMYFUNCTION("""COMPUTED_VALUE"""),44844)</f>
        <v>44844</v>
      </c>
      <c r="AJ174" s="128">
        <f ca="1">IFERROR(__xludf.DUMMYFUNCTION("""COMPUTED_VALUE"""),44884)</f>
        <v>44884</v>
      </c>
      <c r="AK174" s="131" t="str">
        <f ca="1">IFERROR(__xludf.DUMMYFUNCTION("""COMPUTED_VALUE"""),"COLWSMEDIO-437")</f>
        <v>COLWSMEDIO-437</v>
      </c>
      <c r="AL174" s="4" t="str">
        <f ca="1">IFERROR(__xludf.DUMMYFUNCTION("""COMPUTED_VALUE"""),"Deployed")</f>
        <v>Deployed</v>
      </c>
      <c r="AM174" s="4"/>
      <c r="AN174" s="4" t="str">
        <f ca="1">IFERROR(__xludf.DUMMYFUNCTION("""COMPUTED_VALUE"""),"Finalizado")</f>
        <v>Finalizado</v>
      </c>
      <c r="AO174" s="4" t="str">
        <f ca="1">IFERROR(__xludf.DUMMYFUNCTION("""COMPUTED_VALUE"""),"Mercurio y Adquirencia")</f>
        <v>Mercurio y Adquirencia</v>
      </c>
      <c r="AP174" s="4"/>
      <c r="AQ174" s="4"/>
      <c r="AR174" s="4" t="str">
        <f ca="1">IFERROR(__xludf.DUMMYFUNCTION("""COMPUTED_VALUE"""),"SDA aprobada en PPP Q1 2023")</f>
        <v>SDA aprobada en PPP Q1 2023</v>
      </c>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row>
    <row r="175" spans="1:132" x14ac:dyDescent="0.2">
      <c r="A175" s="4">
        <f ca="1">IFERROR(__xludf.DUMMYFUNCTION("""COMPUTED_VALUE"""),175)</f>
        <v>175</v>
      </c>
      <c r="B175" s="4">
        <f ca="1">IFERROR(__xludf.DUMMYFUNCTION("""COMPUTED_VALUE"""),153)</f>
        <v>153</v>
      </c>
      <c r="C175" s="4" t="str">
        <f ca="1">IFERROR(__xludf.DUMMYFUNCTION("""COMPUTED_VALUE"""),"SDATOOL-40482")</f>
        <v>SDATOOL-40482</v>
      </c>
      <c r="D175" s="4" t="str">
        <f ca="1">IFERROR(__xludf.DUMMYFUNCTION("""COMPUTED_VALUE"""),"Incluir tasa ponderada en Adquirencia Onboarding digital - Netcash")</f>
        <v>Incluir tasa ponderada en Adquirencia Onboarding digital - Netcash</v>
      </c>
      <c r="E175" s="4" t="str">
        <f ca="1">IFERROR(__xludf.DUMMYFUNCTION("""COMPUTED_VALUE"""),"En el desarrollo actual de Adquirencia onboarding digital por Netcash no existe la opción de cotizar tasa ponderada como lo hay en Adquirencia tradicional y que muchas veces es más conveniente para los clientes, lo que ocasiona una desventaja al cotizar A"&amp;"dquirencia por este canal.")</f>
        <v>En el desarrollo actual de Adquirencia onboarding digital por Netcash no existe la opción de cotizar tasa ponderada como lo hay en Adquirencia tradicional y que muchas veces es más conveniente para los clientes, lo que ocasiona una desventaja al cotizar Adquirencia por este canal.</v>
      </c>
      <c r="F175" s="4" t="str">
        <f ca="1">IFERROR(__xludf.DUMMYFUNCTION("""COMPUTED_VALUE"""),"Initiative")</f>
        <v>Initiative</v>
      </c>
      <c r="G175" s="4" t="str">
        <f ca="1">IFERROR(__xludf.DUMMYFUNCTION("""COMPUTED_VALUE"""),"Stock")</f>
        <v>Stock</v>
      </c>
      <c r="H175" s="4" t="str">
        <f ca="1">IFERROR(__xludf.DUMMYFUNCTION("""COMPUTED_VALUE"""),"2Q 2023")</f>
        <v>2Q 2023</v>
      </c>
      <c r="I175" s="131" t="str">
        <f ca="1">IFERROR(__xludf.DUMMYFUNCTION("""COMPUTED_VALUE"""),"catalina.villamil-bbva.com")</f>
        <v>catalina.villamil-bbva.com</v>
      </c>
      <c r="J175" s="131" t="str">
        <f ca="1">IFERROR(__xludf.DUMMYFUNCTION("""COMPUTED_VALUE"""),"leidyviviana.patino-bbva.com")</f>
        <v>leidyviviana.patino-bbva.com</v>
      </c>
      <c r="K175" s="131" t="str">
        <f ca="1">IFERROR(__xludf.DUMMYFUNCTION("""COMPUTED_VALUE"""),"nathaliamaria.torres-bbva.com")</f>
        <v>nathaliamaria.torres-bbva.com</v>
      </c>
      <c r="L175" s="130">
        <f ca="1">IFERROR(__xludf.DUMMYFUNCTION("""COMPUTED_VALUE"""),1)</f>
        <v>1</v>
      </c>
      <c r="M175" s="130">
        <f ca="1">IFERROR(__xludf.DUMMYFUNCTION("""COMPUTED_VALUE"""),2.75)</f>
        <v>2.75</v>
      </c>
      <c r="N175" s="130">
        <f ca="1">IFERROR(__xludf.DUMMYFUNCTION("""COMPUTED_VALUE"""),2)</f>
        <v>2</v>
      </c>
      <c r="O175" s="4" t="str">
        <f ca="1">IFERROR(__xludf.DUMMYFUNCTION("""COMPUTED_VALUE"""),"Scrum")</f>
        <v>Scrum</v>
      </c>
      <c r="P175" s="4" t="str">
        <f ca="1">IFERROR(__xludf.DUMMYFUNCTION("""COMPUTED_VALUE"""),"The witcher")</f>
        <v>The witcher</v>
      </c>
      <c r="Q175" s="130">
        <f ca="1">IFERROR(__xludf.DUMMYFUNCTION("""COMPUTED_VALUE"""),0)</f>
        <v>0</v>
      </c>
      <c r="R175" s="130" t="str">
        <f ca="1">IFERROR(__xludf.DUMMYFUNCTION("""COMPUTED_VALUE"""),"Payments &amp; Partnerships")</f>
        <v>Payments &amp; Partnerships</v>
      </c>
      <c r="S175" s="130" t="str">
        <f ca="1">IFERROR(__xludf.DUMMYFUNCTION("""COMPUTED_VALUE"""),"Strategic Review")</f>
        <v>Strategic Review</v>
      </c>
      <c r="T175" s="130" t="str">
        <f ca="1">IFERROR(__xludf.DUMMYFUNCTION("""COMPUTED_VALUE"""),"1. Generación de Ingresos")</f>
        <v>1. Generación de Ingresos</v>
      </c>
      <c r="U175" s="130" t="str">
        <f ca="1">IFERROR(__xludf.DUMMYFUNCTION("""COMPUTED_VALUE"""),"1.4. Proyectos de Pagos y Adquirencia")</f>
        <v>1.4. Proyectos de Pagos y Adquirencia</v>
      </c>
      <c r="V175" s="4" t="str">
        <f ca="1">IFERROR(__xludf.DUMMYFUNCTION("""COMPUTED_VALUE"""),"Mercurio")</f>
        <v>Mercurio</v>
      </c>
      <c r="W175" s="4">
        <f ca="1">IFERROR(__xludf.DUMMYFUNCTION("""COMPUTED_VALUE"""),2)</f>
        <v>2</v>
      </c>
      <c r="X175" s="4" t="str">
        <f ca="1">IFERROR(__xludf.DUMMYFUNCTION("""COMPUTED_VALUE"""),"02. Open Pay &amp; Mercurio")</f>
        <v>02. Open Pay &amp; Mercurio</v>
      </c>
      <c r="Y175" s="4" t="str">
        <f ca="1">IFERROR(__xludf.DUMMYFUNCTION("""COMPUTED_VALUE"""),"4.2.3 Acquiring - Mercurio")</f>
        <v>4.2.3 Acquiring - Mercurio</v>
      </c>
      <c r="Z175" s="132" t="str">
        <f ca="1">IFERROR(__xludf.DUMMYFUNCTION("""COMPUTED_VALUE"""),"560528")</f>
        <v>560528</v>
      </c>
      <c r="AA175" s="4" t="str">
        <f ca="1">IFERROR(__xludf.DUMMYFUNCTION("""COMPUTED_VALUE"""),"Iniciativa")</f>
        <v>Iniciativa</v>
      </c>
      <c r="AB175" s="4" t="str">
        <f ca="1">IFERROR(__xludf.DUMMYFUNCTION("""COMPUTED_VALUE"""),"Iniciativa priorizada para el Q1 2023 en proceso de discovery.")</f>
        <v>Iniciativa priorizada para el Q1 2023 en proceso de discovery.</v>
      </c>
      <c r="AC175" s="4" t="str">
        <f ca="1">IFERROR(__xludf.DUMMYFUNCTION("""COMPUTED_VALUE"""),"2Q 2023")</f>
        <v>2Q 2023</v>
      </c>
      <c r="AD175" s="4"/>
      <c r="AE175" s="4"/>
      <c r="AF175" s="4"/>
      <c r="AG175" s="4"/>
      <c r="AH175" s="4"/>
      <c r="AI175" s="4"/>
      <c r="AJ175" s="4"/>
      <c r="AK175" s="131" t="str">
        <f ca="1">IFERROR(__xludf.DUMMYFUNCTION("""COMPUTED_VALUE"""),"COLWSMEDIO-6449")</f>
        <v>COLWSMEDIO-6449</v>
      </c>
      <c r="AL175" s="4" t="str">
        <f ca="1">IFERROR(__xludf.DUMMYFUNCTION("""COMPUTED_VALUE"""),"New")</f>
        <v>New</v>
      </c>
      <c r="AM175" s="4" t="str">
        <f ca="1">IFERROR(__xludf.DUMMYFUNCTION("""COMPUTED_VALUE"""),"Financiera no lo presentó en PSM")</f>
        <v>Financiera no lo presentó en PSM</v>
      </c>
      <c r="AN175" s="4" t="str">
        <f ca="1">IFERROR(__xludf.DUMMYFUNCTION("""COMPUTED_VALUE"""),"Entregable en desarrollo")</f>
        <v>Entregable en desarrollo</v>
      </c>
      <c r="AO175" s="4" t="str">
        <f ca="1">IFERROR(__xludf.DUMMYFUNCTION("""COMPUTED_VALUE"""),"Mercurio y Adquirencia")</f>
        <v>Mercurio y Adquirencia</v>
      </c>
      <c r="AP175" s="4"/>
      <c r="AQ175" s="4"/>
      <c r="AR175" s="4" t="str">
        <f ca="1">IFERROR(__xludf.DUMMYFUNCTION("""COMPUTED_VALUE"""),"SDA aprobada en PPP Q1 2023")</f>
        <v>SDA aprobada en PPP Q1 2023</v>
      </c>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133">
        <f ca="1">IFERROR(__xludf.DUMMYFUNCTION("""COMPUTED_VALUE"""),0)</f>
        <v>0</v>
      </c>
      <c r="DV175" s="133">
        <f ca="1">IFERROR(__xludf.DUMMYFUNCTION("""COMPUTED_VALUE"""),0)</f>
        <v>0</v>
      </c>
      <c r="DW175" s="133">
        <f ca="1">IFERROR(__xludf.DUMMYFUNCTION("""COMPUTED_VALUE"""),0)</f>
        <v>0</v>
      </c>
      <c r="DX175" s="133">
        <f ca="1">IFERROR(__xludf.DUMMYFUNCTION("""COMPUTED_VALUE"""),260000000)</f>
        <v>260000000</v>
      </c>
      <c r="DY175" s="133">
        <f ca="1">IFERROR(__xludf.DUMMYFUNCTION("""COMPUTED_VALUE"""),0)</f>
        <v>0</v>
      </c>
      <c r="DZ175" s="133">
        <f ca="1">IFERROR(__xludf.DUMMYFUNCTION("""COMPUTED_VALUE"""),260000000)</f>
        <v>260000000</v>
      </c>
      <c r="EA175" s="4"/>
      <c r="EB175" s="4"/>
    </row>
    <row r="176" spans="1:132" x14ac:dyDescent="0.2">
      <c r="A176" s="4">
        <f ca="1">IFERROR(__xludf.DUMMYFUNCTION("""COMPUTED_VALUE"""),176)</f>
        <v>176</v>
      </c>
      <c r="B176" s="4">
        <f ca="1">IFERROR(__xludf.DUMMYFUNCTION("""COMPUTED_VALUE"""),154)</f>
        <v>154</v>
      </c>
      <c r="C176" s="4" t="str">
        <f ca="1">IFERROR(__xludf.DUMMYFUNCTION("""COMPUTED_VALUE"""),"SDATOOL-34782")</f>
        <v>SDATOOL-34782</v>
      </c>
      <c r="D176" s="4" t="str">
        <f ca="1">IFERROR(__xludf.DUMMYFUNCTION("""COMPUTED_VALUE"""),"Solicitud de cupo DIY")</f>
        <v>Solicitud de cupo DIY</v>
      </c>
      <c r="E176" s="4" t="str">
        <f ca="1">IFERROR(__xludf.DUMMYFUNCTION("""COMPUTED_VALUE"""),"El objetivo de este entregable es que el cliente desde net cash pueda hacer una solicitud para estudio de un cupo de crédito con el Banco. Este entregable tiene asociado workflow de contratación para las diferentes etapas, gestión documental y retroalimen"&amp;"tación al cliente de las diferentes etapas del proceso.")</f>
        <v>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v>
      </c>
      <c r="F176" s="4" t="str">
        <f ca="1">IFERROR(__xludf.DUMMYFUNCTION("""COMPUTED_VALUE"""),"Project")</f>
        <v>Project</v>
      </c>
      <c r="G176" s="4" t="str">
        <f ca="1">IFERROR(__xludf.DUMMYFUNCTION("""COMPUTED_VALUE"""),"Ended")</f>
        <v>Ended</v>
      </c>
      <c r="H176" s="4" t="str">
        <f ca="1">IFERROR(__xludf.DUMMYFUNCTION("""COMPUTED_VALUE"""),"1Q 2023")</f>
        <v>1Q 2023</v>
      </c>
      <c r="I176" s="131" t="str">
        <f ca="1">IFERROR(__xludf.DUMMYFUNCTION("""COMPUTED_VALUE"""),"catalina.villamil-bbva.com")</f>
        <v>catalina.villamil-bbva.com</v>
      </c>
      <c r="J176" s="131" t="str">
        <f ca="1">IFERROR(__xludf.DUMMYFUNCTION("""COMPUTED_VALUE"""),"nelson.ramirez-bbva.com")</f>
        <v>nelson.ramirez-bbva.com</v>
      </c>
      <c r="K176" s="131" t="str">
        <f ca="1">IFERROR(__xludf.DUMMYFUNCTION("""COMPUTED_VALUE"""),"jhon.molina-bbva.com")</f>
        <v>jhon.molina-bbva.com</v>
      </c>
      <c r="L176" s="130">
        <f ca="1">IFERROR(__xludf.DUMMYFUNCTION("""COMPUTED_VALUE"""),0)</f>
        <v>0</v>
      </c>
      <c r="M176" s="130">
        <f ca="1">IFERROR(__xludf.DUMMYFUNCTION("""COMPUTED_VALUE"""),0.05)</f>
        <v>0.05</v>
      </c>
      <c r="N176" s="130">
        <f ca="1">IFERROR(__xludf.DUMMYFUNCTION("""COMPUTED_VALUE"""),0)</f>
        <v>0</v>
      </c>
      <c r="O176" s="4" t="str">
        <f ca="1">IFERROR(__xludf.DUMMYFUNCTION("""COMPUTED_VALUE"""),"Scrum")</f>
        <v>Scrum</v>
      </c>
      <c r="P176" s="4" t="str">
        <f ca="1">IFERROR(__xludf.DUMMYFUNCTION("""COMPUTED_VALUE"""),"Scavengers")</f>
        <v>Scavengers</v>
      </c>
      <c r="Q176" s="130">
        <f ca="1">IFERROR(__xludf.DUMMYFUNCTION("""COMPUTED_VALUE"""),1)</f>
        <v>1</v>
      </c>
      <c r="R176" s="130" t="str">
        <f ca="1">IFERROR(__xludf.DUMMYFUNCTION("""COMPUTED_VALUE"""),"Enterprises")</f>
        <v>Enterprises</v>
      </c>
      <c r="S176" s="130" t="str">
        <f ca="1">IFERROR(__xludf.DUMMYFUNCTION("""COMPUTED_VALUE""")," Otros")</f>
        <v xml:space="preserve"> Otros</v>
      </c>
      <c r="T176" s="130" t="str">
        <f ca="1">IFERROR(__xludf.DUMMYFUNCTION("""COMPUTED_VALUE"""),"1. Generación de Ingresos")</f>
        <v>1. Generación de Ingresos</v>
      </c>
      <c r="U176" s="130" t="str">
        <f ca="1">IFERROR(__xludf.DUMMYFUNCTION("""COMPUTED_VALUE"""),"1.5. Otros de Proyectos de Ingresos")</f>
        <v>1.5. Otros de Proyectos de Ingresos</v>
      </c>
      <c r="V176" s="4" t="str">
        <f ca="1">IFERROR(__xludf.DUMMYFUNCTION("""COMPUTED_VALUE"""),"Digital Sales")</f>
        <v>Digital Sales</v>
      </c>
      <c r="W176" s="4">
        <f ca="1">IFERROR(__xludf.DUMMYFUNCTION("""COMPUTED_VALUE"""),3)</f>
        <v>3</v>
      </c>
      <c r="X176" s="4" t="str">
        <f ca="1">IFERROR(__xludf.DUMMYFUNCTION("""COMPUTED_VALUE"""),"03. SMEs &amp; Self-employed")</f>
        <v>03. SMEs &amp; Self-employed</v>
      </c>
      <c r="Y176" s="4" t="str">
        <f ca="1">IFERROR(__xludf.DUMMYFUNCTION("""COMPUTED_VALUE""")," Otros")</f>
        <v xml:space="preserve"> Otros</v>
      </c>
      <c r="Z176" s="132" t="str">
        <f ca="1">IFERROR(__xludf.DUMMYFUNCTION("""COMPUTED_VALUE"""),"366489")</f>
        <v>366489</v>
      </c>
      <c r="AA176" s="4" t="str">
        <f ca="1">IFERROR(__xludf.DUMMYFUNCTION("""COMPUTED_VALUE"""),"Solicitud de Cupo DIY fase II")</f>
        <v>Solicitud de Cupo DIY fase II</v>
      </c>
      <c r="AB176" s="4" t="str">
        <f ca="1">IFERROR(__xludf.DUMMYFUNCTION("""COMPUTED_VALUE"""),"1. Crear una opción  en Net Cash para que los clientes del segmento Pyme puedan autogestionar la actualización de su información financiera sin necesidad de ir a la oficina.
2. La información y documentación aportada por el cliente se debe integrar al flu"&amp;"jo en BPM y enviará al área de riesgos para revisión")</f>
        <v>1. Crear una opción  en Net Cash para que los clientes del segmento Pyme puedan autogestionar la actualización de su información financiera sin necesidad de ir a la oficina.
2. La información y documentación aportada por el cliente se debe integrar al flujo en BPM y enviará al área de riesgos para revisión</v>
      </c>
      <c r="AC176" s="4" t="str">
        <f ca="1">IFERROR(__xludf.DUMMYFUNCTION("""COMPUTED_VALUE"""),"4Q 2022")</f>
        <v>4Q 2022</v>
      </c>
      <c r="AD176" s="128" t="str">
        <f ca="1">IFERROR(__xludf.DUMMYFUNCTION("""COMPUTED_VALUE"""),"-")</f>
        <v>-</v>
      </c>
      <c r="AE176" s="128" t="str">
        <f ca="1">IFERROR(__xludf.DUMMYFUNCTION("""COMPUTED_VALUE"""),"-")</f>
        <v>-</v>
      </c>
      <c r="AF176" s="128" t="str">
        <f ca="1">IFERROR(__xludf.DUMMYFUNCTION("""COMPUTED_VALUE"""),"-")</f>
        <v>-</v>
      </c>
      <c r="AG176" s="128" t="str">
        <f ca="1">IFERROR(__xludf.DUMMYFUNCTION("""COMPUTED_VALUE"""),"-")</f>
        <v>-</v>
      </c>
      <c r="AH176" s="128">
        <f ca="1">IFERROR(__xludf.DUMMYFUNCTION("""COMPUTED_VALUE"""),44564)</f>
        <v>44564</v>
      </c>
      <c r="AI176" s="128">
        <f ca="1">IFERROR(__xludf.DUMMYFUNCTION("""COMPUTED_VALUE"""),44592)</f>
        <v>44592</v>
      </c>
      <c r="AJ176" s="128">
        <f ca="1">IFERROR(__xludf.DUMMYFUNCTION("""COMPUTED_VALUE"""),44650)</f>
        <v>44650</v>
      </c>
      <c r="AK176" s="131" t="str">
        <f ca="1">IFERROR(__xludf.DUMMYFUNCTION("""COMPUTED_VALUE"""),"COLWSPREST-1948")</f>
        <v>COLWSPREST-1948</v>
      </c>
      <c r="AL176" s="4" t="str">
        <f ca="1">IFERROR(__xludf.DUMMYFUNCTION("""COMPUTED_VALUE"""),"Deployed")</f>
        <v>Deployed</v>
      </c>
      <c r="AM176" s="4" t="str">
        <f ca="1">IFERROR(__xludf.DUMMYFUNCTION("""COMPUTED_VALUE"""),"EL proyecto está en producción, pero está en ajustes de posproducción que se espera que finalicen en Agosto/22")</f>
        <v>EL proyecto está en producción, pero está en ajustes de posproducción que se espera que finalicen en Agosto/22</v>
      </c>
      <c r="AN176" s="4" t="str">
        <f ca="1">IFERROR(__xludf.DUMMYFUNCTION("""COMPUTED_VALUE"""),"Finalizado")</f>
        <v>Finalizado</v>
      </c>
      <c r="AO176" s="4" t="str">
        <f ca="1">IFERROR(__xludf.DUMMYFUNCTION("""COMPUTED_VALUE"""),"Pymes")</f>
        <v>Pymes</v>
      </c>
      <c r="AP176" s="4"/>
      <c r="AQ176" s="4"/>
      <c r="AR176" s="4" t="str">
        <f ca="1">IFERROR(__xludf.DUMMYFUNCTION("""COMPUTED_VALUE"""),"SDA aprobada en PPP Q1 2023")</f>
        <v>SDA aprobada en PPP Q1 2023</v>
      </c>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133">
        <f ca="1">IFERROR(__xludf.DUMMYFUNCTION("""COMPUTED_VALUE"""),0)</f>
        <v>0</v>
      </c>
      <c r="DV176" s="133">
        <f ca="1">IFERROR(__xludf.DUMMYFUNCTION("""COMPUTED_VALUE"""),664822561)</f>
        <v>664822561</v>
      </c>
      <c r="DW176" s="133">
        <f ca="1">IFERROR(__xludf.DUMMYFUNCTION("""COMPUTED_VALUE"""),788142311)</f>
        <v>788142311</v>
      </c>
      <c r="DX176" s="133">
        <f ca="1">IFERROR(__xludf.DUMMYFUNCTION("""COMPUTED_VALUE"""),0)</f>
        <v>0</v>
      </c>
      <c r="DY176" s="133">
        <f ca="1">IFERROR(__xludf.DUMMYFUNCTION("""COMPUTED_VALUE"""),0)</f>
        <v>0</v>
      </c>
      <c r="DZ176" s="133">
        <f ca="1">IFERROR(__xludf.DUMMYFUNCTION("""COMPUTED_VALUE"""),1452964872)</f>
        <v>1452964872</v>
      </c>
      <c r="EA176" s="4"/>
      <c r="EB176" s="4"/>
    </row>
    <row r="177" spans="1:132" x14ac:dyDescent="0.2">
      <c r="A177" s="4">
        <f ca="1">IFERROR(__xludf.DUMMYFUNCTION("""COMPUTED_VALUE"""),177)</f>
        <v>177</v>
      </c>
      <c r="B177" s="4">
        <f ca="1">IFERROR(__xludf.DUMMYFUNCTION("""COMPUTED_VALUE"""),155)</f>
        <v>155</v>
      </c>
      <c r="C177" s="4" t="str">
        <f ca="1">IFERROR(__xludf.DUMMYFUNCTION("""COMPUTED_VALUE"""),"SDATOOL-34782")</f>
        <v>SDATOOL-34782</v>
      </c>
      <c r="D177" s="4" t="str">
        <f ca="1">IFERROR(__xludf.DUMMYFUNCTION("""COMPUTED_VALUE"""),"Solicitud de cupo DIY")</f>
        <v>Solicitud de cupo DIY</v>
      </c>
      <c r="E177" s="4" t="str">
        <f ca="1">IFERROR(__xludf.DUMMYFUNCTION("""COMPUTED_VALUE"""),"El objetivo de este entregable es que el cliente desde net cash pueda hacer una solicitud para estudio de un cupo de crédito con el Banco. Este entregable tiene asociado workflow de contratación para las diferentes etapas, gestión documental y retroalimen"&amp;"tación al cliente de las diferentes etapas del proceso.")</f>
        <v>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v>
      </c>
      <c r="F177" s="4" t="str">
        <f ca="1">IFERROR(__xludf.DUMMYFUNCTION("""COMPUTED_VALUE"""),"Project")</f>
        <v>Project</v>
      </c>
      <c r="G177" s="4" t="str">
        <f ca="1">IFERROR(__xludf.DUMMYFUNCTION("""COMPUTED_VALUE"""),"Ended")</f>
        <v>Ended</v>
      </c>
      <c r="H177" s="4" t="str">
        <f ca="1">IFERROR(__xludf.DUMMYFUNCTION("""COMPUTED_VALUE"""),"1Q 2023")</f>
        <v>1Q 2023</v>
      </c>
      <c r="I177" s="131" t="str">
        <f ca="1">IFERROR(__xludf.DUMMYFUNCTION("""COMPUTED_VALUE"""),"catalina.villamil-bbva.com")</f>
        <v>catalina.villamil-bbva.com</v>
      </c>
      <c r="J177" s="131" t="str">
        <f ca="1">IFERROR(__xludf.DUMMYFUNCTION("""COMPUTED_VALUE"""),"nelson.ramirez-bbva.com")</f>
        <v>nelson.ramirez-bbva.com</v>
      </c>
      <c r="K177" s="131" t="str">
        <f ca="1">IFERROR(__xludf.DUMMYFUNCTION("""COMPUTED_VALUE"""),"jhon.molina-bbva.com")</f>
        <v>jhon.molina-bbva.com</v>
      </c>
      <c r="L177" s="4"/>
      <c r="M177" s="4"/>
      <c r="N177" s="4"/>
      <c r="O177" s="4" t="str">
        <f ca="1">IFERROR(__xludf.DUMMYFUNCTION("""COMPUTED_VALUE"""),"Scrum")</f>
        <v>Scrum</v>
      </c>
      <c r="P177" s="4" t="str">
        <f ca="1">IFERROR(__xludf.DUMMYFUNCTION("""COMPUTED_VALUE"""),"Scavengers")</f>
        <v>Scavengers</v>
      </c>
      <c r="Q177" s="4"/>
      <c r="R177" s="130" t="str">
        <f ca="1">IFERROR(__xludf.DUMMYFUNCTION("""COMPUTED_VALUE"""),"Enterprises")</f>
        <v>Enterprises</v>
      </c>
      <c r="S177" s="130" t="str">
        <f ca="1">IFERROR(__xludf.DUMMYFUNCTION("""COMPUTED_VALUE""")," Otros")</f>
        <v xml:space="preserve"> Otros</v>
      </c>
      <c r="T177" s="130" t="str">
        <f ca="1">IFERROR(__xludf.DUMMYFUNCTION("""COMPUTED_VALUE"""),"1. Generación de Ingresos")</f>
        <v>1. Generación de Ingresos</v>
      </c>
      <c r="U177" s="130" t="str">
        <f ca="1">IFERROR(__xludf.DUMMYFUNCTION("""COMPUTED_VALUE"""),"1.5. Otros de Proyectos de Ingresos")</f>
        <v>1.5. Otros de Proyectos de Ingresos</v>
      </c>
      <c r="V177" s="4" t="str">
        <f ca="1">IFERROR(__xludf.DUMMYFUNCTION("""COMPUTED_VALUE"""),"Digital Sales")</f>
        <v>Digital Sales</v>
      </c>
      <c r="W177" s="4">
        <f ca="1">IFERROR(__xludf.DUMMYFUNCTION("""COMPUTED_VALUE"""),3)</f>
        <v>3</v>
      </c>
      <c r="X177" s="4" t="str">
        <f ca="1">IFERROR(__xludf.DUMMYFUNCTION("""COMPUTED_VALUE"""),"03. SMEs &amp; Self-employed")</f>
        <v>03. SMEs &amp; Self-employed</v>
      </c>
      <c r="Y177" s="4" t="str">
        <f ca="1">IFERROR(__xludf.DUMMYFUNCTION("""COMPUTED_VALUE""")," Otros")</f>
        <v xml:space="preserve"> Otros</v>
      </c>
      <c r="Z177" s="132" t="str">
        <f ca="1">IFERROR(__xludf.DUMMYFUNCTION("""COMPUTED_VALUE"""),"173387")</f>
        <v>173387</v>
      </c>
      <c r="AA177" s="4" t="str">
        <f ca="1">IFERROR(__xludf.DUMMYFUNCTION("""COMPUTED_VALUE"""),"Solicitud de un cupo de crédito para Pymes desde Net Cash")</f>
        <v>Solicitud de un cupo de crédito para Pymes desde Net Cash</v>
      </c>
      <c r="AB177" s="4" t="str">
        <f ca="1">IFERROR(__xludf.DUMMYFUNCTION("""COMPUTED_VALUE"""),"Solicitud de un cupo de crédito para Pymes desde Net Cash, con documentos adjuntos")</f>
        <v>Solicitud de un cupo de crédito para Pymes desde Net Cash, con documentos adjuntos</v>
      </c>
      <c r="AC177" s="4" t="str">
        <f ca="1">IFERROR(__xludf.DUMMYFUNCTION("""COMPUTED_VALUE"""),"1Q 2022")</f>
        <v>1Q 2022</v>
      </c>
      <c r="AD177" s="4"/>
      <c r="AE177" s="4"/>
      <c r="AF177" s="4"/>
      <c r="AG177" s="4"/>
      <c r="AH177" s="4"/>
      <c r="AI177" s="4"/>
      <c r="AJ177" s="128">
        <f ca="1">IFERROR(__xludf.DUMMYFUNCTION("""COMPUTED_VALUE"""),44846)</f>
        <v>44846</v>
      </c>
      <c r="AK177" s="131" t="str">
        <f ca="1">IFERROR(__xludf.DUMMYFUNCTION("""COMPUTED_VALUE"""),"COLWSPREST-1277")</f>
        <v>COLWSPREST-1277</v>
      </c>
      <c r="AL177" s="4" t="str">
        <f ca="1">IFERROR(__xludf.DUMMYFUNCTION("""COMPUTED_VALUE"""),"Deployed")</f>
        <v>Deployed</v>
      </c>
      <c r="AM177" s="4"/>
      <c r="AN177" s="4" t="str">
        <f ca="1">IFERROR(__xludf.DUMMYFUNCTION("""COMPUTED_VALUE"""),"Finalizado")</f>
        <v>Finalizado</v>
      </c>
      <c r="AO177" s="4" t="str">
        <f ca="1">IFERROR(__xludf.DUMMYFUNCTION("""COMPUTED_VALUE"""),"Pymes")</f>
        <v>Pymes</v>
      </c>
      <c r="AP177" s="4"/>
      <c r="AQ177" s="4"/>
      <c r="AR177" s="4" t="str">
        <f ca="1">IFERROR(__xludf.DUMMYFUNCTION("""COMPUTED_VALUE"""),"SDA aprobada en PPP Q1 2023")</f>
        <v>SDA aprobada en PPP Q1 2023</v>
      </c>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row>
    <row r="178" spans="1:132" x14ac:dyDescent="0.2">
      <c r="A178" s="4">
        <f ca="1">IFERROR(__xludf.DUMMYFUNCTION("""COMPUTED_VALUE"""),178)</f>
        <v>178</v>
      </c>
      <c r="B178" s="4">
        <f ca="1">IFERROR(__xludf.DUMMYFUNCTION("""COMPUTED_VALUE"""),156)</f>
        <v>156</v>
      </c>
      <c r="C178" s="4" t="str">
        <f ca="1">IFERROR(__xludf.DUMMYFUNCTION("""COMPUTED_VALUE"""),"SDATOOL-42211")</f>
        <v>SDATOOL-42211</v>
      </c>
      <c r="D178" s="4" t="str">
        <f ca="1">IFERROR(__xludf.DUMMYFUNCTION("""COMPUTED_VALUE"""),"Onboarding cash management Netcash/Gema")</f>
        <v>Onboarding cash management Netcash/Gema</v>
      </c>
      <c r="E178" s="4" t="str">
        <f ca="1">IFERROR(__xludf.DUMMYFUNCTION("""COMPUTED_VALUE"""),"Iniciativa para lograr ajustar el flujo de contratación del canal web (net cash) y APP empresas (Gema) eliminando barreras como:
1. a). Contratar canal dentro de la vinculación inicial del cliente personas jurídicas y natural (PNN/Autónomos)
b). Eliminar "&amp;"requisito de tiempo de vinculación (1 mes) para que los cliente nuevos puedan contratar el canal de forma asistida y... 
Iniciativa para lograr ajustar el flujo de contratación del canal web (net cash) y APP empresas (Gema) eliminando barreras como:
1. a"&amp;"). Contratar canal dentro de la vinculación inicial del cliente personas jurídicas y natural (PNN/Autónomos)
b). Eliminar requisito de tiempo de vinculación (1 mes) para que los cliente nuevos puedan contratar el canal de forma asistida y DIY.
2. Eliminar"&amp;" el requisito de tener canal web (net cash) para contratar app empresas (GEMA)
3. Revisar el módulo de autogestión para valorar si se pueden incluir más opciones.
4. Firma digital para los temas que no van por autogestión, para eliminar manualidades. Most"&amp;"rar menos")</f>
        <v>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v>
      </c>
      <c r="F178" s="4" t="str">
        <f ca="1">IFERROR(__xludf.DUMMYFUNCTION("""COMPUTED_VALUE"""),"Project")</f>
        <v>Project</v>
      </c>
      <c r="G178" s="4" t="str">
        <f ca="1">IFERROR(__xludf.DUMMYFUNCTION("""COMPUTED_VALUE"""),"Stock")</f>
        <v>Stock</v>
      </c>
      <c r="H178" s="4" t="str">
        <f ca="1">IFERROR(__xludf.DUMMYFUNCTION("""COMPUTED_VALUE"""),"4Q 2023")</f>
        <v>4Q 2023</v>
      </c>
      <c r="I178" s="131" t="str">
        <f ca="1">IFERROR(__xludf.DUMMYFUNCTION("""COMPUTED_VALUE"""),"catalina.villamil-bbva.com")</f>
        <v>catalina.villamil-bbva.com</v>
      </c>
      <c r="J178" s="131" t="str">
        <f ca="1">IFERROR(__xludf.DUMMYFUNCTION("""COMPUTED_VALUE"""),"angiejulieth.rodriguez.chaves-bbva.com")</f>
        <v>angiejulieth.rodriguez.chaves-bbva.com</v>
      </c>
      <c r="K178" s="131" t="str">
        <f ca="1">IFERROR(__xludf.DUMMYFUNCTION("""COMPUTED_VALUE"""),"elizabeth.diaz-bbva.com")</f>
        <v>elizabeth.diaz-bbva.com</v>
      </c>
      <c r="L178" s="130">
        <f ca="1">IFERROR(__xludf.DUMMYFUNCTION("""COMPUTED_VALUE"""),1)</f>
        <v>1</v>
      </c>
      <c r="M178" s="130">
        <f ca="1">IFERROR(__xludf.DUMMYFUNCTION("""COMPUTED_VALUE"""),0)</f>
        <v>0</v>
      </c>
      <c r="N178" s="130">
        <f ca="1">IFERROR(__xludf.DUMMYFUNCTION("""COMPUTED_VALUE"""),0)</f>
        <v>0</v>
      </c>
      <c r="O178" s="4" t="str">
        <f ca="1">IFERROR(__xludf.DUMMYFUNCTION("""COMPUTED_VALUE"""),"Scrum")</f>
        <v>Scrum</v>
      </c>
      <c r="P178" s="4" t="str">
        <f ca="1">IFERROR(__xludf.DUMMYFUNCTION("""COMPUTED_VALUE"""),"Scavengers")</f>
        <v>Scavengers</v>
      </c>
      <c r="Q178" s="130">
        <f ca="1">IFERROR(__xludf.DUMMYFUNCTION("""COMPUTED_VALUE"""),0)</f>
        <v>0</v>
      </c>
      <c r="R178" s="130" t="str">
        <f ca="1">IFERROR(__xludf.DUMMYFUNCTION("""COMPUTED_VALUE"""),"Enterprises")</f>
        <v>Enterprises</v>
      </c>
      <c r="S178" s="130" t="str">
        <f ca="1">IFERROR(__xludf.DUMMYFUNCTION("""COMPUTED_VALUE""")," Otros")</f>
        <v xml:space="preserve"> Otros</v>
      </c>
      <c r="T178" s="130" t="str">
        <f ca="1">IFERROR(__xludf.DUMMYFUNCTION("""COMPUTED_VALUE"""),"1. Generación de Ingresos")</f>
        <v>1. Generación de Ingresos</v>
      </c>
      <c r="U178" s="130" t="str">
        <f ca="1">IFERROR(__xludf.DUMMYFUNCTION("""COMPUTED_VALUE"""),"1.5. Otros de Proyectos de Ingresos")</f>
        <v>1.5. Otros de Proyectos de Ingresos</v>
      </c>
      <c r="V178" s="4" t="str">
        <f ca="1">IFERROR(__xludf.DUMMYFUNCTION("""COMPUTED_VALUE"""),"GeMa")</f>
        <v>GeMa</v>
      </c>
      <c r="W178" s="4">
        <f ca="1">IFERROR(__xludf.DUMMYFUNCTION("""COMPUTED_VALUE"""),1)</f>
        <v>1</v>
      </c>
      <c r="X178" s="4" t="str">
        <f ca="1">IFERROR(__xludf.DUMMYFUNCTION("""COMPUTED_VALUE"""),"03. SMEs &amp; Self-employed")</f>
        <v>03. SMEs &amp; Self-employed</v>
      </c>
      <c r="Y178" s="4" t="str">
        <f ca="1">IFERROR(__xludf.DUMMYFUNCTION("""COMPUTED_VALUE""")," Otros")</f>
        <v xml:space="preserve"> Otros</v>
      </c>
      <c r="Z178" s="132" t="str">
        <f ca="1">IFERROR(__xludf.DUMMYFUNCTION("""COMPUTED_VALUE"""),"711858")</f>
        <v>711858</v>
      </c>
      <c r="AA178" s="4" t="str">
        <f ca="1">IFERROR(__xludf.DUMMYFUNCTION("""COMPUTED_VALUE"""),"EMC 1")</f>
        <v>EMC 1</v>
      </c>
      <c r="AB178" s="4" t="str">
        <f ca="1">IFERROR(__xludf.DUMMYFUNCTION("""COMPUTED_VALUE"""),"TBD")</f>
        <v>TBD</v>
      </c>
      <c r="AC178" s="4" t="str">
        <f ca="1">IFERROR(__xludf.DUMMYFUNCTION("""COMPUTED_VALUE"""),"3Q 2023")</f>
        <v>3Q 2023</v>
      </c>
      <c r="AD178" s="4"/>
      <c r="AE178" s="4"/>
      <c r="AF178" s="4"/>
      <c r="AG178" s="4"/>
      <c r="AH178" s="4"/>
      <c r="AI178" s="4"/>
      <c r="AJ178" s="4"/>
      <c r="AK178" s="131" t="str">
        <f ca="1">IFERROR(__xludf.DUMMYFUNCTION("""COMPUTED_VALUE"""),"COLWSCANAL-13437")</f>
        <v>COLWSCANAL-13437</v>
      </c>
      <c r="AL178" s="4" t="str">
        <f ca="1">IFERROR(__xludf.DUMMYFUNCTION("""COMPUTED_VALUE"""),"New")</f>
        <v>New</v>
      </c>
      <c r="AM178" s="4"/>
      <c r="AN178" s="4" t="str">
        <f ca="1">IFERROR(__xludf.DUMMYFUNCTION("""COMPUTED_VALUE"""),"Iniciativa en Discovery")</f>
        <v>Iniciativa en Discovery</v>
      </c>
      <c r="AO178" s="4" t="str">
        <f ca="1">IFERROR(__xludf.DUMMYFUNCTION("""COMPUTED_VALUE"""),"Pymes")</f>
        <v>Pymes</v>
      </c>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133">
        <f ca="1">IFERROR(__xludf.DUMMYFUNCTION("""COMPUTED_VALUE"""),0)</f>
        <v>0</v>
      </c>
      <c r="DV178" s="133">
        <f ca="1">IFERROR(__xludf.DUMMYFUNCTION("""COMPUTED_VALUE"""),0)</f>
        <v>0</v>
      </c>
      <c r="DW178" s="133">
        <f ca="1">IFERROR(__xludf.DUMMYFUNCTION("""COMPUTED_VALUE"""),0)</f>
        <v>0</v>
      </c>
      <c r="DX178" s="133">
        <f ca="1">IFERROR(__xludf.DUMMYFUNCTION("""COMPUTED_VALUE"""),960000000)</f>
        <v>960000000</v>
      </c>
      <c r="DY178" s="133">
        <f ca="1">IFERROR(__xludf.DUMMYFUNCTION("""COMPUTED_VALUE"""),0)</f>
        <v>0</v>
      </c>
      <c r="DZ178" s="133">
        <f ca="1">IFERROR(__xludf.DUMMYFUNCTION("""COMPUTED_VALUE"""),960000000)</f>
        <v>960000000</v>
      </c>
      <c r="EA178" s="4"/>
      <c r="EB178" s="4"/>
    </row>
    <row r="179" spans="1:132" x14ac:dyDescent="0.2">
      <c r="A179" s="4">
        <f ca="1">IFERROR(__xludf.DUMMYFUNCTION("""COMPUTED_VALUE"""),179)</f>
        <v>179</v>
      </c>
      <c r="B179" s="4">
        <f ca="1">IFERROR(__xludf.DUMMYFUNCTION("""COMPUTED_VALUE"""),157)</f>
        <v>157</v>
      </c>
      <c r="C179" s="4" t="str">
        <f ca="1">IFERROR(__xludf.DUMMYFUNCTION("""COMPUTED_VALUE"""),"SDATOOL-42211")</f>
        <v>SDATOOL-42211</v>
      </c>
      <c r="D179" s="4" t="str">
        <f ca="1">IFERROR(__xludf.DUMMYFUNCTION("""COMPUTED_VALUE"""),"Onboarding cash management Netcash/Gema")</f>
        <v>Onboarding cash management Netcash/Gema</v>
      </c>
      <c r="E179" s="4" t="str">
        <f ca="1">IFERROR(__xludf.DUMMYFUNCTION("""COMPUTED_VALUE"""),"Iniciativa para lograr ajustar el flujo de contratación del canal web (net cash) y APP empresas (Gema) eliminando barreras como:
1. a). Contratar canal dentro de la vinculación inicial del cliente personas jurídicas y natural (PNN/Autónomos)
b). Eliminar "&amp;"requisito de tiempo de vinculación (1 mes) para que los cliente nuevos puedan contratar el canal de forma asistida y... 
Iniciativa para lograr ajustar el flujo de contratación del canal web (net cash) y APP empresas (Gema) eliminando barreras como:
1. a"&amp;"). Contratar canal dentro de la vinculación inicial del cliente personas jurídicas y natural (PNN/Autónomos)
b). Eliminar requisito de tiempo de vinculación (1 mes) para que los cliente nuevos puedan contratar el canal de forma asistida y DIY.
2. Eliminar"&amp;" el requisito de tener canal web (net cash) para contratar app empresas (GEMA)
3. Revisar el módulo de autogestión para valorar si se pueden incluir más opciones.
4. Firma digital para los temas que no van por autogestión, para eliminar manualidades. Most"&amp;"rar menos")</f>
        <v>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v>
      </c>
      <c r="F179" s="4" t="str">
        <f ca="1">IFERROR(__xludf.DUMMYFUNCTION("""COMPUTED_VALUE"""),"Project")</f>
        <v>Project</v>
      </c>
      <c r="G179" s="4" t="str">
        <f ca="1">IFERROR(__xludf.DUMMYFUNCTION("""COMPUTED_VALUE"""),"Stock")</f>
        <v>Stock</v>
      </c>
      <c r="H179" s="4" t="str">
        <f ca="1">IFERROR(__xludf.DUMMYFUNCTION("""COMPUTED_VALUE"""),"4Q 2023")</f>
        <v>4Q 2023</v>
      </c>
      <c r="I179" s="131" t="str">
        <f ca="1">IFERROR(__xludf.DUMMYFUNCTION("""COMPUTED_VALUE"""),"catalina.villamil-bbva.com")</f>
        <v>catalina.villamil-bbva.com</v>
      </c>
      <c r="J179" s="131" t="str">
        <f ca="1">IFERROR(__xludf.DUMMYFUNCTION("""COMPUTED_VALUE"""),"angiejulieth.rodriguez.chaves-bbva.com")</f>
        <v>angiejulieth.rodriguez.chaves-bbva.com</v>
      </c>
      <c r="K179" s="131" t="str">
        <f ca="1">IFERROR(__xludf.DUMMYFUNCTION("""COMPUTED_VALUE"""),"elizabeth.diaz-bbva.com")</f>
        <v>elizabeth.diaz-bbva.com</v>
      </c>
      <c r="L179" s="4"/>
      <c r="M179" s="4"/>
      <c r="N179" s="4"/>
      <c r="O179" s="4" t="str">
        <f ca="1">IFERROR(__xludf.DUMMYFUNCTION("""COMPUTED_VALUE"""),"Scrum")</f>
        <v>Scrum</v>
      </c>
      <c r="P179" s="4" t="str">
        <f ca="1">IFERROR(__xludf.DUMMYFUNCTION("""COMPUTED_VALUE"""),"Scavengers")</f>
        <v>Scavengers</v>
      </c>
      <c r="Q179" s="4"/>
      <c r="R179" s="130" t="str">
        <f ca="1">IFERROR(__xludf.DUMMYFUNCTION("""COMPUTED_VALUE"""),"Enterprises")</f>
        <v>Enterprises</v>
      </c>
      <c r="S179" s="130" t="str">
        <f ca="1">IFERROR(__xludf.DUMMYFUNCTION("""COMPUTED_VALUE""")," Otros")</f>
        <v xml:space="preserve"> Otros</v>
      </c>
      <c r="T179" s="130" t="str">
        <f ca="1">IFERROR(__xludf.DUMMYFUNCTION("""COMPUTED_VALUE"""),"1. Generación de Ingresos")</f>
        <v>1. Generación de Ingresos</v>
      </c>
      <c r="U179" s="130" t="str">
        <f ca="1">IFERROR(__xludf.DUMMYFUNCTION("""COMPUTED_VALUE"""),"1.5. Otros de Proyectos de Ingresos")</f>
        <v>1.5. Otros de Proyectos de Ingresos</v>
      </c>
      <c r="V179" s="4" t="str">
        <f ca="1">IFERROR(__xludf.DUMMYFUNCTION("""COMPUTED_VALUE"""),"GeMa")</f>
        <v>GeMa</v>
      </c>
      <c r="W179" s="4">
        <f ca="1">IFERROR(__xludf.DUMMYFUNCTION("""COMPUTED_VALUE"""),1)</f>
        <v>1</v>
      </c>
      <c r="X179" s="4" t="str">
        <f ca="1">IFERROR(__xludf.DUMMYFUNCTION("""COMPUTED_VALUE"""),"03. SMEs &amp; Self-employed")</f>
        <v>03. SMEs &amp; Self-employed</v>
      </c>
      <c r="Y179" s="4" t="str">
        <f ca="1">IFERROR(__xludf.DUMMYFUNCTION("""COMPUTED_VALUE""")," Otros")</f>
        <v xml:space="preserve"> Otros</v>
      </c>
      <c r="Z179" s="132" t="str">
        <f ca="1">IFERROR(__xludf.DUMMYFUNCTION("""COMPUTED_VALUE"""),"711857")</f>
        <v>711857</v>
      </c>
      <c r="AA179" s="4" t="str">
        <f ca="1">IFERROR(__xludf.DUMMYFUNCTION("""COMPUTED_VALUE"""),"MVP -Contratación")</f>
        <v>MVP -Contratación</v>
      </c>
      <c r="AB179" s="4" t="str">
        <f ca="1">IFERROR(__xludf.DUMMYFUNCTION("""COMPUTED_VALUE"""),"El cliente podrá realizar la activación en el canal GEMA y/o NETCASH.
Saldrá de la oficina con credenciales de un solo uso, permitiéndole después el cambio de contraseña.
Le permitirá el enroll de soft token.
Tendrá un referencia 100% configurada con t"&amp;"odos los servicios")</f>
        <v>El cliente podrá realizar la activación en el canal GEMA y/o NETCASH.
Saldrá de la oficina con credenciales de un solo uso, permitiéndole después el cambio de contraseña.
Le permitirá el enroll de soft token.
Tendrá un referencia 100% configurada con todos los servicios</v>
      </c>
      <c r="AC179" s="4" t="str">
        <f ca="1">IFERROR(__xludf.DUMMYFUNCTION("""COMPUTED_VALUE"""),"3Q 2023")</f>
        <v>3Q 2023</v>
      </c>
      <c r="AD179" s="4"/>
      <c r="AE179" s="4"/>
      <c r="AF179" s="4"/>
      <c r="AG179" s="4"/>
      <c r="AH179" s="4"/>
      <c r="AI179" s="4"/>
      <c r="AJ179" s="4"/>
      <c r="AK179" s="131" t="str">
        <f ca="1">IFERROR(__xludf.DUMMYFUNCTION("""COMPUTED_VALUE"""),"COLWSCANAL-11607")</f>
        <v>COLWSCANAL-11607</v>
      </c>
      <c r="AL179" s="4" t="str">
        <f ca="1">IFERROR(__xludf.DUMMYFUNCTION("""COMPUTED_VALUE"""),"New")</f>
        <v>New</v>
      </c>
      <c r="AM179" s="4"/>
      <c r="AN179" s="4" t="str">
        <f ca="1">IFERROR(__xludf.DUMMYFUNCTION("""COMPUTED_VALUE"""),"Iniciativa en Discovery")</f>
        <v>Iniciativa en Discovery</v>
      </c>
      <c r="AO179" s="4" t="str">
        <f ca="1">IFERROR(__xludf.DUMMYFUNCTION("""COMPUTED_VALUE"""),"Pymes")</f>
        <v>Pymes</v>
      </c>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row>
    <row r="180" spans="1:132" x14ac:dyDescent="0.2">
      <c r="A180" s="4">
        <f ca="1">IFERROR(__xludf.DUMMYFUNCTION("""COMPUTED_VALUE"""),180)</f>
        <v>180</v>
      </c>
      <c r="B180" s="4">
        <f ca="1">IFERROR(__xludf.DUMMYFUNCTION("""COMPUTED_VALUE"""),158)</f>
        <v>158</v>
      </c>
      <c r="C180" s="4" t="str">
        <f ca="1">IFERROR(__xludf.DUMMYFUNCTION("""COMPUTED_VALUE"""),"SDATOOL-35656")</f>
        <v>SDATOOL-35656</v>
      </c>
      <c r="D180" s="4" t="str">
        <f ca="1">IFERROR(__xludf.DUMMYFUNCTION("""COMPUTED_VALUE"""),"Cupos y límites")</f>
        <v>Cupos y límites</v>
      </c>
      <c r="E180" s="4" t="str">
        <f ca="1">IFERROR(__xludf.DUMMYFUNCTION("""COMPUTED_VALUE"""),"Herramienta para controlar cupos de crédito de clientes Pymes y Empresariales, generar reportería, conectarse con los canales digitales, para lograr hacer ofertas digitales a los clientes empresariales sin el riesgo actual de sobre endeudamiento")</f>
        <v>Herramienta para controlar cupos de crédito de clientes Pymes y Empresariales, generar reportería, conectarse con los canales digitales, para lograr hacer ofertas digitales a los clientes empresariales sin el riesgo actual de sobre endeudamiento</v>
      </c>
      <c r="F180" s="4" t="str">
        <f ca="1">IFERROR(__xludf.DUMMYFUNCTION("""COMPUTED_VALUE"""),"Project")</f>
        <v>Project</v>
      </c>
      <c r="G180" s="4" t="str">
        <f ca="1">IFERROR(__xludf.DUMMYFUNCTION("""COMPUTED_VALUE"""),"Stock")</f>
        <v>Stock</v>
      </c>
      <c r="H180" s="4" t="str">
        <f ca="1">IFERROR(__xludf.DUMMYFUNCTION("""COMPUTED_VALUE"""),"3Q 2023")</f>
        <v>3Q 2023</v>
      </c>
      <c r="I180" s="131" t="str">
        <f ca="1">IFERROR(__xludf.DUMMYFUNCTION("""COMPUTED_VALUE"""),"catalina.villamil-bbva.com")</f>
        <v>catalina.villamil-bbva.com</v>
      </c>
      <c r="J180" s="131" t="str">
        <f ca="1">IFERROR(__xludf.DUMMYFUNCTION("""COMPUTED_VALUE"""),"nelson.ramirez-bbva.com")</f>
        <v>nelson.ramirez-bbva.com</v>
      </c>
      <c r="K180" s="131" t="str">
        <f ca="1">IFERROR(__xludf.DUMMYFUNCTION("""COMPUTED_VALUE"""),"jhon.molina-bbva.com")</f>
        <v>jhon.molina-bbva.com</v>
      </c>
      <c r="L180" s="130">
        <f ca="1">IFERROR(__xludf.DUMMYFUNCTION("""COMPUTED_VALUE"""),0.5)</f>
        <v>0.5</v>
      </c>
      <c r="M180" s="130">
        <f ca="1">IFERROR(__xludf.DUMMYFUNCTION("""COMPUTED_VALUE"""),0.85)</f>
        <v>0.85</v>
      </c>
      <c r="N180" s="130">
        <f ca="1">IFERROR(__xludf.DUMMYFUNCTION("""COMPUTED_VALUE"""),0)</f>
        <v>0</v>
      </c>
      <c r="O180" s="4" t="str">
        <f ca="1">IFERROR(__xludf.DUMMYFUNCTION("""COMPUTED_VALUE"""),"Scrum")</f>
        <v>Scrum</v>
      </c>
      <c r="P180" s="4" t="str">
        <f ca="1">IFERROR(__xludf.DUMMYFUNCTION("""COMPUTED_VALUE"""),"Equipo GRM")</f>
        <v>Equipo GRM</v>
      </c>
      <c r="Q180" s="4"/>
      <c r="R180" s="130" t="str">
        <f ca="1">IFERROR(__xludf.DUMMYFUNCTION("""COMPUTED_VALUE"""),"Enterprises")</f>
        <v>Enterprises</v>
      </c>
      <c r="S180" s="130" t="str">
        <f ca="1">IFERROR(__xludf.DUMMYFUNCTION("""COMPUTED_VALUE"""),"Strategic Review")</f>
        <v>Strategic Review</v>
      </c>
      <c r="T180" s="130" t="str">
        <f ca="1">IFERROR(__xludf.DUMMYFUNCTION("""COMPUTED_VALUE"""),"1. Generación de Ingresos")</f>
        <v>1. Generación de Ingresos</v>
      </c>
      <c r="U180" s="130" t="str">
        <f ca="1">IFERROR(__xludf.DUMMYFUNCTION("""COMPUTED_VALUE"""),"1.5. Otros de Proyectos de Ingresos")</f>
        <v>1.5. Otros de Proyectos de Ingresos</v>
      </c>
      <c r="V180" s="4" t="str">
        <f ca="1">IFERROR(__xludf.DUMMYFUNCTION("""COMPUTED_VALUE"""),"Digital Sales")</f>
        <v>Digital Sales</v>
      </c>
      <c r="W180" s="4">
        <f ca="1">IFERROR(__xludf.DUMMYFUNCTION("""COMPUTED_VALUE"""),1)</f>
        <v>1</v>
      </c>
      <c r="X180" s="4" t="str">
        <f ca="1">IFERROR(__xludf.DUMMYFUNCTION("""COMPUTED_VALUE"""),"03. SMEs &amp; Self-employed")</f>
        <v>03. SMEs &amp; Self-employed</v>
      </c>
      <c r="Y180" s="4" t="str">
        <f ca="1">IFERROR(__xludf.DUMMYFUNCTION("""COMPUTED_VALUE"""),"4.2.2 SMEs- OCDL")</f>
        <v>4.2.2 SMEs- OCDL</v>
      </c>
      <c r="Z180" s="132" t="str">
        <f ca="1">IFERROR(__xludf.DUMMYFUNCTION("""COMPUTED_VALUE"""),"212846")</f>
        <v>212846</v>
      </c>
      <c r="AA180" s="4" t="str">
        <f ca="1">IFERROR(__xludf.DUMMYFUNCTION("""COMPUTED_VALUE"""),"Control techo y límite de riesgos")</f>
        <v>Control techo y límite de riesgos</v>
      </c>
      <c r="AB180" s="4" t="str">
        <f ca="1">IFERROR(__xludf.DUMMYFUNCTION("""COMPUTED_VALUE"""),"Control techo y límite de riesgos")</f>
        <v>Control techo y límite de riesgos</v>
      </c>
      <c r="AC180" s="4" t="str">
        <f ca="1">IFERROR(__xludf.DUMMYFUNCTION("""COMPUTED_VALUE"""),"3Q 2023")</f>
        <v>3Q 2023</v>
      </c>
      <c r="AD180" s="128" t="str">
        <f ca="1">IFERROR(__xludf.DUMMYFUNCTION("""COMPUTED_VALUE"""),"-")</f>
        <v>-</v>
      </c>
      <c r="AE180" s="128" t="str">
        <f ca="1">IFERROR(__xludf.DUMMYFUNCTION("""COMPUTED_VALUE"""),"-")</f>
        <v>-</v>
      </c>
      <c r="AF180" s="128" t="str">
        <f ca="1">IFERROR(__xludf.DUMMYFUNCTION("""COMPUTED_VALUE"""),"-")</f>
        <v>-</v>
      </c>
      <c r="AG180" s="128" t="str">
        <f ca="1">IFERROR(__xludf.DUMMYFUNCTION("""COMPUTED_VALUE"""),"-")</f>
        <v>-</v>
      </c>
      <c r="AH180" s="128" t="str">
        <f ca="1">IFERROR(__xludf.DUMMYFUNCTION("""COMPUTED_VALUE"""),"-")</f>
        <v>-</v>
      </c>
      <c r="AI180" s="128" t="str">
        <f ca="1">IFERROR(__xludf.DUMMYFUNCTION("""COMPUTED_VALUE"""),"-")</f>
        <v>-</v>
      </c>
      <c r="AJ180" s="128" t="str">
        <f ca="1">IFERROR(__xludf.DUMMYFUNCTION("""COMPUTED_VALUE"""),"-")</f>
        <v>-</v>
      </c>
      <c r="AK180" s="131" t="str">
        <f ca="1">IFERROR(__xludf.DUMMYFUNCTION("""COMPUTED_VALUE"""),"COLWSRIESG-3631")</f>
        <v>COLWSRIESG-3631</v>
      </c>
      <c r="AL180" s="4" t="str">
        <f ca="1">IFERROR(__xludf.DUMMYFUNCTION("""COMPUTED_VALUE"""),"New")</f>
        <v>New</v>
      </c>
      <c r="AM180" s="4"/>
      <c r="AN180" s="4" t="str">
        <f ca="1">IFERROR(__xludf.DUMMYFUNCTION("""COMPUTED_VALUE"""),"Entregable en backlog")</f>
        <v>Entregable en backlog</v>
      </c>
      <c r="AO180" s="4" t="str">
        <f ca="1">IFERROR(__xludf.DUMMYFUNCTION("""COMPUTED_VALUE"""),"Pymes")</f>
        <v>Pymes</v>
      </c>
      <c r="AP180" s="4"/>
      <c r="AQ180" s="4"/>
      <c r="AR180" s="4" t="str">
        <f ca="1">IFERROR(__xludf.DUMMYFUNCTION("""COMPUTED_VALUE"""),"SDA aprobada en PPP Q1 2023")</f>
        <v>SDA aprobada en PPP Q1 2023</v>
      </c>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133">
        <f ca="1">IFERROR(__xludf.DUMMYFUNCTION("""COMPUTED_VALUE"""),0)</f>
        <v>0</v>
      </c>
      <c r="DV180" s="133">
        <f ca="1">IFERROR(__xludf.DUMMYFUNCTION("""COMPUTED_VALUE"""),0)</f>
        <v>0</v>
      </c>
      <c r="DW180" s="133">
        <f ca="1">IFERROR(__xludf.DUMMYFUNCTION("""COMPUTED_VALUE"""),0)</f>
        <v>0</v>
      </c>
      <c r="DX180" s="133">
        <f ca="1">IFERROR(__xludf.DUMMYFUNCTION("""COMPUTED_VALUE"""),982610852)</f>
        <v>982610852</v>
      </c>
      <c r="DY180" s="133">
        <f ca="1">IFERROR(__xludf.DUMMYFUNCTION("""COMPUTED_VALUE"""),0)</f>
        <v>0</v>
      </c>
      <c r="DZ180" s="133">
        <f ca="1">IFERROR(__xludf.DUMMYFUNCTION("""COMPUTED_VALUE"""),982610852)</f>
        <v>982610852</v>
      </c>
      <c r="EA180" s="4"/>
      <c r="EB180" s="4"/>
    </row>
    <row r="181" spans="1:132" x14ac:dyDescent="0.2">
      <c r="A181" s="4">
        <f ca="1">IFERROR(__xludf.DUMMYFUNCTION("""COMPUTED_VALUE"""),181)</f>
        <v>181</v>
      </c>
      <c r="B181" s="4">
        <f ca="1">IFERROR(__xludf.DUMMYFUNCTION("""COMPUTED_VALUE"""),159)</f>
        <v>159</v>
      </c>
      <c r="C181" s="4" t="str">
        <f ca="1">IFERROR(__xludf.DUMMYFUNCTION("""COMPUTED_VALUE"""),"SDATOOL-37169")</f>
        <v>SDATOOL-37169</v>
      </c>
      <c r="D181" s="4" t="str">
        <f ca="1">IFERROR(__xludf.DUMMYFUNCTION("""COMPUTED_VALUE"""),"EGS: Salto país y softoken")</f>
        <v>EGS: Salto país y softoken</v>
      </c>
      <c r="E181"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1" s="4" t="str">
        <f ca="1">IFERROR(__xludf.DUMMYFUNCTION("""COMPUTED_VALUE"""),"Project")</f>
        <v>Project</v>
      </c>
      <c r="G181" s="4" t="str">
        <f ca="1">IFERROR(__xludf.DUMMYFUNCTION("""COMPUTED_VALUE"""),"Stock")</f>
        <v>Stock</v>
      </c>
      <c r="H181" s="4" t="str">
        <f ca="1">IFERROR(__xludf.DUMMYFUNCTION("""COMPUTED_VALUE"""),"2Q 2023")</f>
        <v>2Q 2023</v>
      </c>
      <c r="I181" s="131" t="str">
        <f ca="1">IFERROR(__xludf.DUMMYFUNCTION("""COMPUTED_VALUE"""),"nathiahayosara.amado-bbva.com")</f>
        <v>nathiahayosara.amado-bbva.com</v>
      </c>
      <c r="J181" s="131" t="str">
        <f ca="1">IFERROR(__xludf.DUMMYFUNCTION("""COMPUTED_VALUE"""),"huvertyadir.ramirez-bbva.com")</f>
        <v>huvertyadir.ramirez-bbva.com</v>
      </c>
      <c r="K181" s="131" t="str">
        <f ca="1">IFERROR(__xludf.DUMMYFUNCTION("""COMPUTED_VALUE"""),"elizabeth.diaz-bbva.com")</f>
        <v>elizabeth.diaz-bbva.com</v>
      </c>
      <c r="L181" s="130">
        <f ca="1">IFERROR(__xludf.DUMMYFUNCTION("""COMPUTED_VALUE"""),0.9)</f>
        <v>0.9</v>
      </c>
      <c r="M181" s="130">
        <f ca="1">IFERROR(__xludf.DUMMYFUNCTION("""COMPUTED_VALUE"""),0.5)</f>
        <v>0.5</v>
      </c>
      <c r="N181" s="130">
        <f ca="1">IFERROR(__xludf.DUMMYFUNCTION("""COMPUTED_VALUE"""),3.25)</f>
        <v>3.25</v>
      </c>
      <c r="O181" s="4" t="str">
        <f ca="1">IFERROR(__xludf.DUMMYFUNCTION("""COMPUTED_VALUE"""),"Scrum")</f>
        <v>Scrum</v>
      </c>
      <c r="P181" s="4" t="str">
        <f ca="1">IFERROR(__xludf.DUMMYFUNCTION("""COMPUTED_VALUE"""),"AlphaTauri Team")</f>
        <v>AlphaTauri Team</v>
      </c>
      <c r="Q181" s="130">
        <f ca="1">IFERROR(__xludf.DUMMYFUNCTION("""COMPUTED_VALUE"""),1)</f>
        <v>1</v>
      </c>
      <c r="R181" s="130" t="str">
        <f ca="1">IFERROR(__xludf.DUMMYFUNCTION("""COMPUTED_VALUE"""),"Enterprises")</f>
        <v>Enterprises</v>
      </c>
      <c r="S181" s="130" t="str">
        <f ca="1">IFERROR(__xludf.DUMMYFUNCTION("""COMPUTED_VALUE"""),"Strategic Review")</f>
        <v>Strategic Review</v>
      </c>
      <c r="T181" s="130" t="str">
        <f ca="1">IFERROR(__xludf.DUMMYFUNCTION("""COMPUTED_VALUE"""),"Otros")</f>
        <v>Otros</v>
      </c>
      <c r="U181" s="130" t="str">
        <f ca="1">IFERROR(__xludf.DUMMYFUNCTION("""COMPUTED_VALUE"""),"No Aplica")</f>
        <v>No Aplica</v>
      </c>
      <c r="V181" s="4" t="str">
        <f ca="1">IFERROR(__xludf.DUMMYFUNCTION("""COMPUTED_VALUE"""),"EGS")</f>
        <v>EGS</v>
      </c>
      <c r="W181" s="4">
        <f ca="1">IFERROR(__xludf.DUMMYFUNCTION("""COMPUTED_VALUE"""),2)</f>
        <v>2</v>
      </c>
      <c r="X181" s="4" t="str">
        <f ca="1">IFERROR(__xludf.DUMMYFUNCTION("""COMPUTED_VALUE"""),"08. Enterprise Transactionality")</f>
        <v>08. Enterprise Transactionality</v>
      </c>
      <c r="Y181" s="4" t="str">
        <f ca="1">IFERROR(__xludf.DUMMYFUNCTION("""COMPUTED_VALUE"""),"5.3.1 IBS")</f>
        <v>5.3.1 IBS</v>
      </c>
      <c r="Z181" s="132" t="str">
        <f ca="1">IFERROR(__xludf.DUMMYFUNCTION("""COMPUTED_VALUE"""),"310212")</f>
        <v>310212</v>
      </c>
      <c r="AA181" s="4" t="str">
        <f ca="1">IFERROR(__xludf.DUMMYFUNCTION("""COMPUTED_VALUE"""),"Salto país")</f>
        <v>Salto país</v>
      </c>
      <c r="AB181" s="4" t="str">
        <f ca="1">IFERROR(__xludf.DUMMYFUNCTION("""COMPUTED_VALUE"""),"Ajustes a Módulos productivos de clientes Pivot. Incidentes")</f>
        <v>Ajustes a Módulos productivos de clientes Pivot. Incidentes</v>
      </c>
      <c r="AC181" s="4" t="str">
        <f ca="1">IFERROR(__xludf.DUMMYFUNCTION("""COMPUTED_VALUE"""),"4Q 2022")</f>
        <v>4Q 2022</v>
      </c>
      <c r="AD181" s="128">
        <f ca="1">IFERROR(__xludf.DUMMYFUNCTION("""COMPUTED_VALUE"""),44557)</f>
        <v>44557</v>
      </c>
      <c r="AE181" s="128">
        <f ca="1">IFERROR(__xludf.DUMMYFUNCTION("""COMPUTED_VALUE"""),44620)</f>
        <v>44620</v>
      </c>
      <c r="AF181" s="128">
        <f ca="1">IFERROR(__xludf.DUMMYFUNCTION("""COMPUTED_VALUE"""),44623)</f>
        <v>44623</v>
      </c>
      <c r="AG181" s="128">
        <f ca="1">IFERROR(__xludf.DUMMYFUNCTION("""COMPUTED_VALUE"""),44810)</f>
        <v>44810</v>
      </c>
      <c r="AH181" s="128">
        <f ca="1">IFERROR(__xludf.DUMMYFUNCTION("""COMPUTED_VALUE"""),44813)</f>
        <v>44813</v>
      </c>
      <c r="AI181" s="128">
        <f ca="1">IFERROR(__xludf.DUMMYFUNCTION("""COMPUTED_VALUE"""),44841)</f>
        <v>44841</v>
      </c>
      <c r="AJ181" s="128">
        <f ca="1">IFERROR(__xludf.DUMMYFUNCTION("""COMPUTED_VALUE"""),44849)</f>
        <v>44849</v>
      </c>
      <c r="AK181" s="131" t="str">
        <f ca="1">IFERROR(__xludf.DUMMYFUNCTION("""COMPUTED_VALUE"""),"COLWSCANAL-5806")</f>
        <v>COLWSCANAL-5806</v>
      </c>
      <c r="AL181" s="4" t="str">
        <f ca="1">IFERROR(__xludf.DUMMYFUNCTION("""COMPUTED_VALUE"""),"Deployed")</f>
        <v>Deployed</v>
      </c>
      <c r="AM181" s="4" t="str">
        <f ca="1">IFERROR(__xludf.DUMMYFUNCTION("""COMPUTED_VALUE"""),"- Teníamos un PO de holding con esta iniciativa que cambió de rol en el Banco y no tenemos capacidades locales para abordarlo
- Se aborda con PO local - En contratación PO final")</f>
        <v>- Teníamos un PO de holding con esta iniciativa que cambió de rol en el Banco y no tenemos capacidades locales para abordarlo
- Se aborda con PO local - En contratación PO final</v>
      </c>
      <c r="AN181" s="4" t="str">
        <f ca="1">IFERROR(__xludf.DUMMYFUNCTION("""COMPUTED_VALUE"""),"Entregable en desarrollo")</f>
        <v>Entregable en desarrollo</v>
      </c>
      <c r="AO181" s="4" t="str">
        <f ca="1">IFERROR(__xludf.DUMMYFUNCTION("""COMPUTED_VALUE"""),"Transversales")</f>
        <v>Transversales</v>
      </c>
      <c r="AP181" s="4"/>
      <c r="AQ181" s="4"/>
      <c r="AR181" s="4" t="str">
        <f ca="1">IFERROR(__xludf.DUMMYFUNCTION("""COMPUTED_VALUE"""),"SDA aprobada en PPP Q1 2023")</f>
        <v>SDA aprobada en PPP Q1 2023</v>
      </c>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133">
        <f ca="1">IFERROR(__xludf.DUMMYFUNCTION("""COMPUTED_VALUE"""),0)</f>
        <v>0</v>
      </c>
      <c r="DV181" s="133">
        <f ca="1">IFERROR(__xludf.DUMMYFUNCTION("""COMPUTED_VALUE"""),0)</f>
        <v>0</v>
      </c>
      <c r="DW181" s="133">
        <f ca="1">IFERROR(__xludf.DUMMYFUNCTION("""COMPUTED_VALUE"""),437361044)</f>
        <v>437361044</v>
      </c>
      <c r="DX181" s="133">
        <f ca="1">IFERROR(__xludf.DUMMYFUNCTION("""COMPUTED_VALUE"""),205746476)</f>
        <v>205746476</v>
      </c>
      <c r="DY181" s="133">
        <f ca="1">IFERROR(__xludf.DUMMYFUNCTION("""COMPUTED_VALUE"""),0)</f>
        <v>0</v>
      </c>
      <c r="DZ181" s="133">
        <f ca="1">IFERROR(__xludf.DUMMYFUNCTION("""COMPUTED_VALUE"""),643107520)</f>
        <v>643107520</v>
      </c>
      <c r="EA181" s="4"/>
      <c r="EB181" s="4"/>
    </row>
    <row r="182" spans="1:132" x14ac:dyDescent="0.2">
      <c r="A182" s="4">
        <f ca="1">IFERROR(__xludf.DUMMYFUNCTION("""COMPUTED_VALUE"""),182)</f>
        <v>182</v>
      </c>
      <c r="B182" s="4">
        <f ca="1">IFERROR(__xludf.DUMMYFUNCTION("""COMPUTED_VALUE"""),160)</f>
        <v>160</v>
      </c>
      <c r="C182" s="4" t="str">
        <f ca="1">IFERROR(__xludf.DUMMYFUNCTION("""COMPUTED_VALUE"""),"SDATOOL-37169")</f>
        <v>SDATOOL-37169</v>
      </c>
      <c r="D182" s="4" t="str">
        <f ca="1">IFERROR(__xludf.DUMMYFUNCTION("""COMPUTED_VALUE"""),"EGS: Salto país y softoken")</f>
        <v>EGS: Salto país y softoken</v>
      </c>
      <c r="E182"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2" s="4" t="str">
        <f ca="1">IFERROR(__xludf.DUMMYFUNCTION("""COMPUTED_VALUE"""),"Project")</f>
        <v>Project</v>
      </c>
      <c r="G182" s="4" t="str">
        <f ca="1">IFERROR(__xludf.DUMMYFUNCTION("""COMPUTED_VALUE"""),"Stock")</f>
        <v>Stock</v>
      </c>
      <c r="H182" s="4" t="str">
        <f ca="1">IFERROR(__xludf.DUMMYFUNCTION("""COMPUTED_VALUE"""),"2Q 2023")</f>
        <v>2Q 2023</v>
      </c>
      <c r="I182" s="131" t="str">
        <f ca="1">IFERROR(__xludf.DUMMYFUNCTION("""COMPUTED_VALUE"""),"nathiahayosara.amado-bbva.com")</f>
        <v>nathiahayosara.amado-bbva.com</v>
      </c>
      <c r="J182" s="131" t="str">
        <f ca="1">IFERROR(__xludf.DUMMYFUNCTION("""COMPUTED_VALUE"""),"huvertyadir.ramirez-bbva.com")</f>
        <v>huvertyadir.ramirez-bbva.com</v>
      </c>
      <c r="K182" s="131" t="str">
        <f ca="1">IFERROR(__xludf.DUMMYFUNCTION("""COMPUTED_VALUE"""),"elizabeth.diaz-bbva.com")</f>
        <v>elizabeth.diaz-bbva.com</v>
      </c>
      <c r="L182" s="4"/>
      <c r="M182" s="4"/>
      <c r="N182" s="4"/>
      <c r="O182" s="4" t="str">
        <f ca="1">IFERROR(__xludf.DUMMYFUNCTION("""COMPUTED_VALUE"""),"Scrum")</f>
        <v>Scrum</v>
      </c>
      <c r="P182" s="4" t="str">
        <f ca="1">IFERROR(__xludf.DUMMYFUNCTION("""COMPUTED_VALUE"""),"AlphaTauri Team")</f>
        <v>AlphaTauri Team</v>
      </c>
      <c r="Q182" s="4"/>
      <c r="R182" s="130" t="str">
        <f ca="1">IFERROR(__xludf.DUMMYFUNCTION("""COMPUTED_VALUE"""),"Enterprises")</f>
        <v>Enterprises</v>
      </c>
      <c r="S182" s="130" t="str">
        <f ca="1">IFERROR(__xludf.DUMMYFUNCTION("""COMPUTED_VALUE"""),"Strategic Review")</f>
        <v>Strategic Review</v>
      </c>
      <c r="T182" s="130" t="str">
        <f ca="1">IFERROR(__xludf.DUMMYFUNCTION("""COMPUTED_VALUE"""),"Otros")</f>
        <v>Otros</v>
      </c>
      <c r="U182" s="130" t="str">
        <f ca="1">IFERROR(__xludf.DUMMYFUNCTION("""COMPUTED_VALUE"""),"No Aplica")</f>
        <v>No Aplica</v>
      </c>
      <c r="V182" s="4" t="str">
        <f ca="1">IFERROR(__xludf.DUMMYFUNCTION("""COMPUTED_VALUE"""),"EGS")</f>
        <v>EGS</v>
      </c>
      <c r="W182" s="4">
        <f ca="1">IFERROR(__xludf.DUMMYFUNCTION("""COMPUTED_VALUE"""),2)</f>
        <v>2</v>
      </c>
      <c r="X182" s="4" t="str">
        <f ca="1">IFERROR(__xludf.DUMMYFUNCTION("""COMPUTED_VALUE"""),"08. Enterprise Transactionality")</f>
        <v>08. Enterprise Transactionality</v>
      </c>
      <c r="Y182" s="4" t="str">
        <f ca="1">IFERROR(__xludf.DUMMYFUNCTION("""COMPUTED_VALUE"""),"5.3.1 IBS")</f>
        <v>5.3.1 IBS</v>
      </c>
      <c r="Z182" s="132" t="str">
        <f ca="1">IFERROR(__xludf.DUMMYFUNCTION("""COMPUTED_VALUE"""),"712042")</f>
        <v>712042</v>
      </c>
      <c r="AA182" s="4" t="str">
        <f ca="1">IFERROR(__xludf.DUMMYFUNCTION("""COMPUTED_VALUE"""),"Traducciones Softoken (Paquete 1)")</f>
        <v>Traducciones Softoken (Paquete 1)</v>
      </c>
      <c r="AB182" s="4" t="str">
        <f ca="1">IFERROR(__xludf.DUMMYFUNCTION("""COMPUTED_VALUE"""),"Literales en inglés del primer paquete, envío directo, gestión de pagos masivos, preinscripción de cuentas, transferencias online y multitransferencias online.")</f>
        <v>Literales en inglés del primer paquete, envío directo, gestión de pagos masivos, preinscripción de cuentas, transferencias online y multitransferencias online.</v>
      </c>
      <c r="AC182" s="4" t="str">
        <f ca="1">IFERROR(__xludf.DUMMYFUNCTION("""COMPUTED_VALUE"""),"2Q 2023")</f>
        <v>2Q 2023</v>
      </c>
      <c r="AD182" s="4"/>
      <c r="AE182" s="4"/>
      <c r="AF182" s="4"/>
      <c r="AG182" s="4"/>
      <c r="AH182" s="4"/>
      <c r="AI182" s="4"/>
      <c r="AJ182" s="4"/>
      <c r="AK182" s="131" t="str">
        <f ca="1">IFERROR(__xludf.DUMMYFUNCTION("""COMPUTED_VALUE"""),"COLWSCANAL-8971")</f>
        <v>COLWSCANAL-8971</v>
      </c>
      <c r="AL182" s="4" t="str">
        <f ca="1">IFERROR(__xludf.DUMMYFUNCTION("""COMPUTED_VALUE"""),"Deployed")</f>
        <v>Deployed</v>
      </c>
      <c r="AM182" s="4"/>
      <c r="AN182" s="4" t="str">
        <f ca="1">IFERROR(__xludf.DUMMYFUNCTION("""COMPUTED_VALUE"""),"Entregable en backlog")</f>
        <v>Entregable en backlog</v>
      </c>
      <c r="AO182" s="4" t="str">
        <f ca="1">IFERROR(__xludf.DUMMYFUNCTION("""COMPUTED_VALUE"""),"Transversales")</f>
        <v>Transversales</v>
      </c>
      <c r="AP182" s="4"/>
      <c r="AQ182" s="4"/>
      <c r="AR182" s="4" t="str">
        <f ca="1">IFERROR(__xludf.DUMMYFUNCTION("""COMPUTED_VALUE"""),"SDA aprobada en PPP Q1 2023")</f>
        <v>SDA aprobada en PPP Q1 2023</v>
      </c>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row>
    <row r="183" spans="1:132" x14ac:dyDescent="0.2">
      <c r="A183" s="4">
        <f ca="1">IFERROR(__xludf.DUMMYFUNCTION("""COMPUTED_VALUE"""),183)</f>
        <v>183</v>
      </c>
      <c r="B183" s="4">
        <f ca="1">IFERROR(__xludf.DUMMYFUNCTION("""COMPUTED_VALUE"""),161)</f>
        <v>161</v>
      </c>
      <c r="C183" s="4" t="str">
        <f ca="1">IFERROR(__xludf.DUMMYFUNCTION("""COMPUTED_VALUE"""),"SDATOOL-37169")</f>
        <v>SDATOOL-37169</v>
      </c>
      <c r="D183" s="4" t="str">
        <f ca="1">IFERROR(__xludf.DUMMYFUNCTION("""COMPUTED_VALUE"""),"EGS: Salto país y softoken")</f>
        <v>EGS: Salto país y softoken</v>
      </c>
      <c r="E183"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3" s="4" t="str">
        <f ca="1">IFERROR(__xludf.DUMMYFUNCTION("""COMPUTED_VALUE"""),"Project")</f>
        <v>Project</v>
      </c>
      <c r="G183" s="4" t="str">
        <f ca="1">IFERROR(__xludf.DUMMYFUNCTION("""COMPUTED_VALUE"""),"Stock")</f>
        <v>Stock</v>
      </c>
      <c r="H183" s="4" t="str">
        <f ca="1">IFERROR(__xludf.DUMMYFUNCTION("""COMPUTED_VALUE"""),"2Q 2023")</f>
        <v>2Q 2023</v>
      </c>
      <c r="I183" s="131" t="str">
        <f ca="1">IFERROR(__xludf.DUMMYFUNCTION("""COMPUTED_VALUE"""),"nathiahayosara.amado-bbva.com")</f>
        <v>nathiahayosara.amado-bbva.com</v>
      </c>
      <c r="J183" s="131" t="str">
        <f ca="1">IFERROR(__xludf.DUMMYFUNCTION("""COMPUTED_VALUE"""),"huvertyadir.ramirez-bbva.com")</f>
        <v>huvertyadir.ramirez-bbva.com</v>
      </c>
      <c r="K183" s="131" t="str">
        <f ca="1">IFERROR(__xludf.DUMMYFUNCTION("""COMPUTED_VALUE"""),"elizabeth.diaz-bbva.com")</f>
        <v>elizabeth.diaz-bbva.com</v>
      </c>
      <c r="L183" s="4"/>
      <c r="M183" s="4"/>
      <c r="N183" s="4"/>
      <c r="O183" s="4" t="str">
        <f ca="1">IFERROR(__xludf.DUMMYFUNCTION("""COMPUTED_VALUE"""),"Scrum")</f>
        <v>Scrum</v>
      </c>
      <c r="P183" s="4" t="str">
        <f ca="1">IFERROR(__xludf.DUMMYFUNCTION("""COMPUTED_VALUE"""),"AlphaTauri Team")</f>
        <v>AlphaTauri Team</v>
      </c>
      <c r="Q183" s="4"/>
      <c r="R183" s="130" t="str">
        <f ca="1">IFERROR(__xludf.DUMMYFUNCTION("""COMPUTED_VALUE"""),"Enterprises")</f>
        <v>Enterprises</v>
      </c>
      <c r="S183" s="130" t="str">
        <f ca="1">IFERROR(__xludf.DUMMYFUNCTION("""COMPUTED_VALUE"""),"Strategic Review")</f>
        <v>Strategic Review</v>
      </c>
      <c r="T183" s="130" t="str">
        <f ca="1">IFERROR(__xludf.DUMMYFUNCTION("""COMPUTED_VALUE"""),"Otros")</f>
        <v>Otros</v>
      </c>
      <c r="U183" s="130" t="str">
        <f ca="1">IFERROR(__xludf.DUMMYFUNCTION("""COMPUTED_VALUE"""),"No Aplica")</f>
        <v>No Aplica</v>
      </c>
      <c r="V183" s="4" t="str">
        <f ca="1">IFERROR(__xludf.DUMMYFUNCTION("""COMPUTED_VALUE"""),"EGS")</f>
        <v>EGS</v>
      </c>
      <c r="W183" s="4">
        <f ca="1">IFERROR(__xludf.DUMMYFUNCTION("""COMPUTED_VALUE"""),2)</f>
        <v>2</v>
      </c>
      <c r="X183" s="4" t="str">
        <f ca="1">IFERROR(__xludf.DUMMYFUNCTION("""COMPUTED_VALUE"""),"08. Enterprise Transactionality")</f>
        <v>08. Enterprise Transactionality</v>
      </c>
      <c r="Y183" s="4" t="str">
        <f ca="1">IFERROR(__xludf.DUMMYFUNCTION("""COMPUTED_VALUE"""),"5.3.1 IBS")</f>
        <v>5.3.1 IBS</v>
      </c>
      <c r="Z183" s="132" t="str">
        <f ca="1">IFERROR(__xludf.DUMMYFUNCTION("""COMPUTED_VALUE"""),"310775")</f>
        <v>310775</v>
      </c>
      <c r="AA183" s="4" t="str">
        <f ca="1">IFERROR(__xludf.DUMMYFUNCTION("""COMPUTED_VALUE"""),"Softoken Pivot")</f>
        <v>Softoken Pivot</v>
      </c>
      <c r="AB183" s="4" t="str">
        <f ca="1">IFERROR(__xludf.DUMMYFUNCTION("""COMPUTED_VALUE"""),"Permitir a los clientes realizar la firma de sus órdenes en los diferentes módulos con softoken.")</f>
        <v>Permitir a los clientes realizar la firma de sus órdenes en los diferentes módulos con softoken.</v>
      </c>
      <c r="AC183" s="4" t="str">
        <f ca="1">IFERROR(__xludf.DUMMYFUNCTION("""COMPUTED_VALUE"""),"1Q 2023")</f>
        <v>1Q 2023</v>
      </c>
      <c r="AD183" s="128">
        <f ca="1">IFERROR(__xludf.DUMMYFUNCTION("""COMPUTED_VALUE"""),44557)</f>
        <v>44557</v>
      </c>
      <c r="AE183" s="128">
        <f ca="1">IFERROR(__xludf.DUMMYFUNCTION("""COMPUTED_VALUE"""),44620)</f>
        <v>44620</v>
      </c>
      <c r="AF183" s="128">
        <f ca="1">IFERROR(__xludf.DUMMYFUNCTION("""COMPUTED_VALUE"""),44635)</f>
        <v>44635</v>
      </c>
      <c r="AG183" s="128">
        <f ca="1">IFERROR(__xludf.DUMMYFUNCTION("""COMPUTED_VALUE"""),44995)</f>
        <v>44995</v>
      </c>
      <c r="AH183" s="128">
        <f ca="1">IFERROR(__xludf.DUMMYFUNCTION("""COMPUTED_VALUE"""),45000)</f>
        <v>45000</v>
      </c>
      <c r="AI183" s="128">
        <f ca="1">IFERROR(__xludf.DUMMYFUNCTION("""COMPUTED_VALUE"""),45065)</f>
        <v>45065</v>
      </c>
      <c r="AJ183" s="128">
        <f ca="1">IFERROR(__xludf.DUMMYFUNCTION("""COMPUTED_VALUE"""),45073)</f>
        <v>45073</v>
      </c>
      <c r="AK183" s="131" t="str">
        <f ca="1">IFERROR(__xludf.DUMMYFUNCTION("""COMPUTED_VALUE"""),"COLWSCANAL-11452")</f>
        <v>COLWSCANAL-11452</v>
      </c>
      <c r="AL183" s="4" t="str">
        <f ca="1">IFERROR(__xludf.DUMMYFUNCTION("""COMPUTED_VALUE"""),"Deployed")</f>
        <v>Deployed</v>
      </c>
      <c r="AM183" s="4" t="str">
        <f ca="1">IFERROR(__xludf.DUMMYFUNCTION("""COMPUTED_VALUE"""),"- Teníamos un PO de holding con esta iniciativa que cambió de rol en el Banco y no tenemos capacidades locales para abordarlo.
- Se aborda con PO local - En contratación PO final.")</f>
        <v>- Teníamos un PO de holding con esta iniciativa que cambió de rol en el Banco y no tenemos capacidades locales para abordarlo.
- Se aborda con PO local - En contratación PO final.</v>
      </c>
      <c r="AN183" s="4" t="str">
        <f ca="1">IFERROR(__xludf.DUMMYFUNCTION("""COMPUTED_VALUE"""),"Finalizado")</f>
        <v>Finalizado</v>
      </c>
      <c r="AO183" s="4" t="str">
        <f ca="1">IFERROR(__xludf.DUMMYFUNCTION("""COMPUTED_VALUE"""),"Transversales")</f>
        <v>Transversales</v>
      </c>
      <c r="AP183" s="4"/>
      <c r="AQ183" s="4"/>
      <c r="AR183" s="4" t="str">
        <f ca="1">IFERROR(__xludf.DUMMYFUNCTION("""COMPUTED_VALUE"""),"SDA aprobada en PPP Q1 2023")</f>
        <v>SDA aprobada en PPP Q1 2023</v>
      </c>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row>
    <row r="184" spans="1:132" x14ac:dyDescent="0.2">
      <c r="A184" s="4">
        <f ca="1">IFERROR(__xludf.DUMMYFUNCTION("""COMPUTED_VALUE"""),184)</f>
        <v>184</v>
      </c>
      <c r="B184" s="4">
        <f ca="1">IFERROR(__xludf.DUMMYFUNCTION("""COMPUTED_VALUE"""),162)</f>
        <v>162</v>
      </c>
      <c r="C184" s="4" t="str">
        <f ca="1">IFERROR(__xludf.DUMMYFUNCTION("""COMPUTED_VALUE"""),"SDATOOL-37169")</f>
        <v>SDATOOL-37169</v>
      </c>
      <c r="D184" s="4" t="str">
        <f ca="1">IFERROR(__xludf.DUMMYFUNCTION("""COMPUTED_VALUE"""),"EGS: Salto país y softoken")</f>
        <v>EGS: Salto país y softoken</v>
      </c>
      <c r="E184"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4" s="4" t="str">
        <f ca="1">IFERROR(__xludf.DUMMYFUNCTION("""COMPUTED_VALUE"""),"Project")</f>
        <v>Project</v>
      </c>
      <c r="G184" s="4" t="str">
        <f ca="1">IFERROR(__xludf.DUMMYFUNCTION("""COMPUTED_VALUE"""),"Stock")</f>
        <v>Stock</v>
      </c>
      <c r="H184" s="4" t="str">
        <f ca="1">IFERROR(__xludf.DUMMYFUNCTION("""COMPUTED_VALUE"""),"2Q 2023")</f>
        <v>2Q 2023</v>
      </c>
      <c r="I184" s="131" t="str">
        <f ca="1">IFERROR(__xludf.DUMMYFUNCTION("""COMPUTED_VALUE"""),"nathiahayosara.amado-bbva.com")</f>
        <v>nathiahayosara.amado-bbva.com</v>
      </c>
      <c r="J184" s="131" t="str">
        <f ca="1">IFERROR(__xludf.DUMMYFUNCTION("""COMPUTED_VALUE"""),"huvertyadir.ramirez-bbva.com")</f>
        <v>huvertyadir.ramirez-bbva.com</v>
      </c>
      <c r="K184" s="131" t="str">
        <f ca="1">IFERROR(__xludf.DUMMYFUNCTION("""COMPUTED_VALUE"""),"elizabeth.diaz-bbva.com")</f>
        <v>elizabeth.diaz-bbva.com</v>
      </c>
      <c r="L184" s="4"/>
      <c r="M184" s="4"/>
      <c r="N184" s="4"/>
      <c r="O184" s="4" t="str">
        <f ca="1">IFERROR(__xludf.DUMMYFUNCTION("""COMPUTED_VALUE"""),"Scrum")</f>
        <v>Scrum</v>
      </c>
      <c r="P184" s="4" t="str">
        <f ca="1">IFERROR(__xludf.DUMMYFUNCTION("""COMPUTED_VALUE"""),"AlphaTauri Team")</f>
        <v>AlphaTauri Team</v>
      </c>
      <c r="Q184" s="4"/>
      <c r="R184" s="130" t="str">
        <f ca="1">IFERROR(__xludf.DUMMYFUNCTION("""COMPUTED_VALUE"""),"Enterprises")</f>
        <v>Enterprises</v>
      </c>
      <c r="S184" s="130" t="str">
        <f ca="1">IFERROR(__xludf.DUMMYFUNCTION("""COMPUTED_VALUE"""),"Strategic Review")</f>
        <v>Strategic Review</v>
      </c>
      <c r="T184" s="130" t="str">
        <f ca="1">IFERROR(__xludf.DUMMYFUNCTION("""COMPUTED_VALUE"""),"Otros")</f>
        <v>Otros</v>
      </c>
      <c r="U184" s="130" t="str">
        <f ca="1">IFERROR(__xludf.DUMMYFUNCTION("""COMPUTED_VALUE"""),"No Aplica")</f>
        <v>No Aplica</v>
      </c>
      <c r="V184" s="4" t="str">
        <f ca="1">IFERROR(__xludf.DUMMYFUNCTION("""COMPUTED_VALUE"""),"EGS")</f>
        <v>EGS</v>
      </c>
      <c r="W184" s="4">
        <f ca="1">IFERROR(__xludf.DUMMYFUNCTION("""COMPUTED_VALUE"""),2)</f>
        <v>2</v>
      </c>
      <c r="X184" s="4" t="str">
        <f ca="1">IFERROR(__xludf.DUMMYFUNCTION("""COMPUTED_VALUE"""),"08. Enterprise Transactionality")</f>
        <v>08. Enterprise Transactionality</v>
      </c>
      <c r="Y184" s="4" t="str">
        <f ca="1">IFERROR(__xludf.DUMMYFUNCTION("""COMPUTED_VALUE"""),"5.3.1 IBS")</f>
        <v>5.3.1 IBS</v>
      </c>
      <c r="Z184" s="132" t="str">
        <f ca="1">IFERROR(__xludf.DUMMYFUNCTION("""COMPUTED_VALUE"""),"713010")</f>
        <v>713010</v>
      </c>
      <c r="AA184" s="4" t="str">
        <f ca="1">IFERROR(__xludf.DUMMYFUNCTION("""COMPUTED_VALUE"""),"Softoken Módulos Finales")</f>
        <v>Softoken Módulos Finales</v>
      </c>
      <c r="AB184" s="4" t="str">
        <f ca="1">IFERROR(__xludf.DUMMYFUNCTION("""COMPUTED_VALUE"""),"Módulos Pago de facturas, Negociación de divisas, Recaudaciones, Crédito liquido y Gestión de pagos PSE")</f>
        <v>Módulos Pago de facturas, Negociación de divisas, Recaudaciones, Crédito liquido y Gestión de pagos PSE</v>
      </c>
      <c r="AC184" s="4" t="str">
        <f ca="1">IFERROR(__xludf.DUMMYFUNCTION("""COMPUTED_VALUE"""),"2Q 2023")</f>
        <v>2Q 2023</v>
      </c>
      <c r="AD184" s="4"/>
      <c r="AE184" s="4"/>
      <c r="AF184" s="4"/>
      <c r="AG184" s="4"/>
      <c r="AH184" s="4"/>
      <c r="AI184" s="4"/>
      <c r="AJ184" s="4"/>
      <c r="AK184" s="131" t="str">
        <f ca="1">IFERROR(__xludf.DUMMYFUNCTION("""COMPUTED_VALUE"""),"COLWSCANAL-14514")</f>
        <v>COLWSCANAL-14514</v>
      </c>
      <c r="AL184" s="4" t="str">
        <f ca="1">IFERROR(__xludf.DUMMYFUNCTION("""COMPUTED_VALUE"""),"New")</f>
        <v>New</v>
      </c>
      <c r="AM184" s="4"/>
      <c r="AN184" s="4" t="str">
        <f ca="1">IFERROR(__xludf.DUMMYFUNCTION("""COMPUTED_VALUE"""),"Entregable en backlog")</f>
        <v>Entregable en backlog</v>
      </c>
      <c r="AO184" s="4" t="str">
        <f ca="1">IFERROR(__xludf.DUMMYFUNCTION("""COMPUTED_VALUE"""),"Transversales")</f>
        <v>Transversales</v>
      </c>
      <c r="AP184" s="4"/>
      <c r="AQ184" s="4"/>
      <c r="AR184" s="4" t="str">
        <f ca="1">IFERROR(__xludf.DUMMYFUNCTION("""COMPUTED_VALUE"""),"SDA aprobada en PPP Q1 2023")</f>
        <v>SDA aprobada en PPP Q1 2023</v>
      </c>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row>
    <row r="185" spans="1:132" x14ac:dyDescent="0.2">
      <c r="A185" s="4">
        <f ca="1">IFERROR(__xludf.DUMMYFUNCTION("""COMPUTED_VALUE"""),185)</f>
        <v>185</v>
      </c>
      <c r="B185" s="4">
        <f ca="1">IFERROR(__xludf.DUMMYFUNCTION("""COMPUTED_VALUE"""),163)</f>
        <v>163</v>
      </c>
      <c r="C185" s="4" t="str">
        <f ca="1">IFERROR(__xludf.DUMMYFUNCTION("""COMPUTED_VALUE"""),"SDATOOL-42212")</f>
        <v>SDATOOL-42212</v>
      </c>
      <c r="D185" s="4" t="str">
        <f ca="1">IFERROR(__xludf.DUMMYFUNCTION("""COMPUTED_VALUE"""),"Capa Gestora Light - Colombia")</f>
        <v>Capa Gestora Light - Colombia</v>
      </c>
      <c r="E185" s="4" t="str">
        <f ca="1">IFERROR(__xludf.DUMMYFUNCTION("""COMPUTED_VALUE"""),"Se necesita mejorar los tiempos para el procesamiento de los archivos que llegan de canales directos a capa gestora.")</f>
        <v>Se necesita mejorar los tiempos para el procesamiento de los archivos que llegan de canales directos a capa gestora.</v>
      </c>
      <c r="F185" s="4" t="str">
        <f ca="1">IFERROR(__xludf.DUMMYFUNCTION("""COMPUTED_VALUE"""),"Project")</f>
        <v>Project</v>
      </c>
      <c r="G185" s="4" t="str">
        <f ca="1">IFERROR(__xludf.DUMMYFUNCTION("""COMPUTED_VALUE"""),"On hold")</f>
        <v>On hold</v>
      </c>
      <c r="H185" s="4" t="str">
        <f ca="1">IFERROR(__xludf.DUMMYFUNCTION("""COMPUTED_VALUE"""),"4Q 2023")</f>
        <v>4Q 2023</v>
      </c>
      <c r="I185" s="131" t="str">
        <f ca="1">IFERROR(__xludf.DUMMYFUNCTION("""COMPUTED_VALUE"""),"nathiahayosara.amado-bbva.com")</f>
        <v>nathiahayosara.amado-bbva.com</v>
      </c>
      <c r="J185" s="131" t="str">
        <f ca="1">IFERROR(__xludf.DUMMYFUNCTION("""COMPUTED_VALUE"""),"huvertyadir.ramirez-bbva.com")</f>
        <v>huvertyadir.ramirez-bbva.com</v>
      </c>
      <c r="K185" s="131" t="str">
        <f ca="1">IFERROR(__xludf.DUMMYFUNCTION("""COMPUTED_VALUE"""),"elizabeth.diaz-bbva.com")</f>
        <v>elizabeth.diaz-bbva.com</v>
      </c>
      <c r="L185" s="130">
        <f ca="1">IFERROR(__xludf.DUMMYFUNCTION("""COMPUTED_VALUE"""),0.05)</f>
        <v>0.05</v>
      </c>
      <c r="M185" s="130">
        <f ca="1">IFERROR(__xludf.DUMMYFUNCTION("""COMPUTED_VALUE"""),0)</f>
        <v>0</v>
      </c>
      <c r="N185" s="130">
        <f ca="1">IFERROR(__xludf.DUMMYFUNCTION("""COMPUTED_VALUE"""),0)</f>
        <v>0</v>
      </c>
      <c r="O185" s="4" t="str">
        <f ca="1">IFERROR(__xludf.DUMMYFUNCTION("""COMPUTED_VALUE"""),"Scrum")</f>
        <v>Scrum</v>
      </c>
      <c r="P185" s="4" t="str">
        <f ca="1">IFERROR(__xludf.DUMMYFUNCTION("""COMPUTED_VALUE"""),"AlphaTauri Team")</f>
        <v>AlphaTauri Team</v>
      </c>
      <c r="Q185" s="130">
        <f ca="1">IFERROR(__xludf.DUMMYFUNCTION("""COMPUTED_VALUE"""),0)</f>
        <v>0</v>
      </c>
      <c r="R185" s="130" t="str">
        <f ca="1">IFERROR(__xludf.DUMMYFUNCTION("""COMPUTED_VALUE"""),"Enterprises")</f>
        <v>Enterprises</v>
      </c>
      <c r="S185" s="130" t="str">
        <f ca="1">IFERROR(__xludf.DUMMYFUNCTION("""COMPUTED_VALUE"""),"Strategic Review")</f>
        <v>Strategic Review</v>
      </c>
      <c r="T185" s="130" t="str">
        <f ca="1">IFERROR(__xludf.DUMMYFUNCTION("""COMPUTED_VALUE"""),"1. Generación de Ingresos")</f>
        <v>1. Generación de Ingresos</v>
      </c>
      <c r="U185" s="130" t="str">
        <f ca="1">IFERROR(__xludf.DUMMYFUNCTION("""COMPUTED_VALUE"""),"1.5. Otros de Proyectos de Ingresos")</f>
        <v>1.5. Otros de Proyectos de Ingresos</v>
      </c>
      <c r="V185" s="4" t="str">
        <f ca="1">IFERROR(__xludf.DUMMYFUNCTION("""COMPUTED_VALUE"""),"GeMa")</f>
        <v>GeMa</v>
      </c>
      <c r="W185" s="4">
        <f ca="1">IFERROR(__xludf.DUMMYFUNCTION("""COMPUTED_VALUE"""),1)</f>
        <v>1</v>
      </c>
      <c r="X185" s="4" t="str">
        <f ca="1">IFERROR(__xludf.DUMMYFUNCTION("""COMPUTED_VALUE"""),"03. SMEs &amp; Self-employed")</f>
        <v>03. SMEs &amp; Self-employed</v>
      </c>
      <c r="Y185" s="4" t="str">
        <f ca="1">IFERROR(__xludf.DUMMYFUNCTION("""COMPUTED_VALUE"""),"5.3.1 IBS")</f>
        <v>5.3.1 IBS</v>
      </c>
      <c r="Z185" s="132" t="str">
        <f ca="1">IFERROR(__xludf.DUMMYFUNCTION("""COMPUTED_VALUE"""),"711957")</f>
        <v>711957</v>
      </c>
      <c r="AA185" s="4" t="str">
        <f ca="1">IFERROR(__xludf.DUMMYFUNCTION("""COMPUTED_VALUE"""),"Iniciativa priorizada para el Q2 2023 en proceso de Discovery")</f>
        <v>Iniciativa priorizada para el Q2 2023 en proceso de Discovery</v>
      </c>
      <c r="AB185" s="4" t="str">
        <f ca="1">IFERROR(__xludf.DUMMYFUNCTION("""COMPUTED_VALUE"""),"""Discovery Q1 2023
Conceptualización Q2 2023
Inicio de desarrollos Q3 2023""")</f>
        <v>"Discovery Q1 2023
Conceptualización Q2 2023
Inicio de desarrollos Q3 2023"</v>
      </c>
      <c r="AC185" s="4" t="str">
        <f ca="1">IFERROR(__xludf.DUMMYFUNCTION("""COMPUTED_VALUE"""),"4Q 2023")</f>
        <v>4Q 2023</v>
      </c>
      <c r="AD185" s="4"/>
      <c r="AE185" s="4"/>
      <c r="AF185" s="4"/>
      <c r="AG185" s="4"/>
      <c r="AH185" s="4"/>
      <c r="AI185" s="4"/>
      <c r="AJ185" s="4"/>
      <c r="AK185" s="4" t="str">
        <f ca="1">IFERROR(__xludf.DUMMYFUNCTION("""COMPUTED_VALUE"""),"Sin asignar")</f>
        <v>Sin asignar</v>
      </c>
      <c r="AL185" s="4" t="str">
        <f ca="1">IFERROR(__xludf.DUMMYFUNCTION("""COMPUTED_VALUE"""),"Sin asignar")</f>
        <v>Sin asignar</v>
      </c>
      <c r="AM185" s="4"/>
      <c r="AN185" s="4" t="str">
        <f ca="1">IFERROR(__xludf.DUMMYFUNCTION("""COMPUTED_VALUE"""),"Iniciativa en Discovery")</f>
        <v>Iniciativa en Discovery</v>
      </c>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133">
        <f ca="1">IFERROR(__xludf.DUMMYFUNCTION("""COMPUTED_VALUE"""),0)</f>
        <v>0</v>
      </c>
      <c r="DV185" s="133">
        <f ca="1">IFERROR(__xludf.DUMMYFUNCTION("""COMPUTED_VALUE"""),0)</f>
        <v>0</v>
      </c>
      <c r="DW185" s="133">
        <f ca="1">IFERROR(__xludf.DUMMYFUNCTION("""COMPUTED_VALUE"""),0)</f>
        <v>0</v>
      </c>
      <c r="DX185" s="133">
        <f ca="1">IFERROR(__xludf.DUMMYFUNCTION("""COMPUTED_VALUE"""),0)</f>
        <v>0</v>
      </c>
      <c r="DY185" s="133">
        <f ca="1">IFERROR(__xludf.DUMMYFUNCTION("""COMPUTED_VALUE"""),0)</f>
        <v>0</v>
      </c>
      <c r="DZ185" s="133">
        <f ca="1">IFERROR(__xludf.DUMMYFUNCTION("""COMPUTED_VALUE"""),0)</f>
        <v>0</v>
      </c>
      <c r="EA185" s="4"/>
      <c r="EB185" s="4"/>
    </row>
    <row r="186" spans="1:132" x14ac:dyDescent="0.2">
      <c r="A186" s="4">
        <f ca="1">IFERROR(__xludf.DUMMYFUNCTION("""COMPUTED_VALUE"""),186)</f>
        <v>186</v>
      </c>
      <c r="B186" s="4">
        <f ca="1">IFERROR(__xludf.DUMMYFUNCTION("""COMPUTED_VALUE"""),164)</f>
        <v>164</v>
      </c>
      <c r="C186" s="4" t="str">
        <f ca="1">IFERROR(__xludf.DUMMYFUNCTION("""COMPUTED_VALUE"""),"SDATOOL-42227")</f>
        <v>SDATOOL-42227</v>
      </c>
      <c r="D186" s="4" t="str">
        <f ca="1">IFERROR(__xludf.DUMMYFUNCTION("""COMPUTED_VALUE"""),"Valores en GLOMO")</f>
        <v>Valores en GLOMO</v>
      </c>
      <c r="E186" s="4" t="str">
        <f ca="1">IFERROR(__xludf.DUMMYFUNCTION("""COMPUTED_VALUE"""),"El cliente de la comisionista de Bolsa podrá ver su portafolio en GLOMO. La información que podrá ver es Renta Fija, Variable, Encargo del FIC, extractos y movimientos de los últimos 30 días.
El cliente de BBVA podrá consultar su portafolio invertido en "&amp;"la firma comisionista. Solo se pretende presentar información y no interacción transaccional (compra de producto de la comisionista)")</f>
        <v>El cliente de la comisionista de Bolsa podrá ver su portafolio en GLOMO. La información que podrá ver es Renta Fija, Variable, Encargo del FIC, extractos y movimientos de los últimos 30 días.
El cliente de BBVA podrá consultar su portafolio invertido en la firma comisionista. Solo se pretende presentar información y no interacción transaccional (compra de producto de la comisionista)</v>
      </c>
      <c r="F186" s="4" t="str">
        <f ca="1">IFERROR(__xludf.DUMMYFUNCTION("""COMPUTED_VALUE"""),"Initiative")</f>
        <v>Initiative</v>
      </c>
      <c r="G186" s="4" t="str">
        <f ca="1">IFERROR(__xludf.DUMMYFUNCTION("""COMPUTED_VALUE"""),"On hold")</f>
        <v>On hold</v>
      </c>
      <c r="H186" s="4" t="str">
        <f ca="1">IFERROR(__xludf.DUMMYFUNCTION("""COMPUTED_VALUE"""),"4Q 2023")</f>
        <v>4Q 2023</v>
      </c>
      <c r="I186" s="131" t="str">
        <f ca="1">IFERROR(__xludf.DUMMYFUNCTION("""COMPUTED_VALUE"""),"nathiahayosara.amado-bbva.com")</f>
        <v>nathiahayosara.amado-bbva.com</v>
      </c>
      <c r="J186" s="131" t="str">
        <f ca="1">IFERROR(__xludf.DUMMYFUNCTION("""COMPUTED_VALUE"""),"huvertyadir.ramirez-bbva.com")</f>
        <v>huvertyadir.ramirez-bbva.com</v>
      </c>
      <c r="K186" s="131" t="str">
        <f ca="1">IFERROR(__xludf.DUMMYFUNCTION("""COMPUTED_VALUE"""),"andres.carrandi-bbva.com")</f>
        <v>andres.carrandi-bbva.com</v>
      </c>
      <c r="L186" s="130">
        <f ca="1">IFERROR(__xludf.DUMMYFUNCTION("""COMPUTED_VALUE"""),0.05)</f>
        <v>0.05</v>
      </c>
      <c r="M186" s="130">
        <f ca="1">IFERROR(__xludf.DUMMYFUNCTION("""COMPUTED_VALUE"""),0)</f>
        <v>0</v>
      </c>
      <c r="N186" s="130">
        <f ca="1">IFERROR(__xludf.DUMMYFUNCTION("""COMPUTED_VALUE"""),0)</f>
        <v>0</v>
      </c>
      <c r="O186" s="4" t="str">
        <f ca="1">IFERROR(__xludf.DUMMYFUNCTION("""COMPUTED_VALUE"""),"Waterfall")</f>
        <v>Waterfall</v>
      </c>
      <c r="P186" s="4" t="str">
        <f ca="1">IFERROR(__xludf.DUMMYFUNCTION("""COMPUTED_VALUE"""),"Tradicional")</f>
        <v>Tradicional</v>
      </c>
      <c r="Q186" s="130">
        <f ca="1">IFERROR(__xludf.DUMMYFUNCTION("""COMPUTED_VALUE"""),0)</f>
        <v>0</v>
      </c>
      <c r="R186" s="130" t="str">
        <f ca="1">IFERROR(__xludf.DUMMYFUNCTION("""COMPUTED_VALUE"""),"Business Innovation &amp; Strategy")</f>
        <v>Business Innovation &amp; Strategy</v>
      </c>
      <c r="S186" s="130" t="str">
        <f ca="1">IFERROR(__xludf.DUMMYFUNCTION("""COMPUTED_VALUE"""),"Otros")</f>
        <v>Otros</v>
      </c>
      <c r="T186" s="130" t="str">
        <f ca="1">IFERROR(__xludf.DUMMYFUNCTION("""COMPUTED_VALUE"""),"1. Generación de Ingresos")</f>
        <v>1. Generación de Ingresos</v>
      </c>
      <c r="U186" s="130" t="str">
        <f ca="1">IFERROR(__xludf.DUMMYFUNCTION("""COMPUTED_VALUE"""),"1.5. Otros de Proyectos de Ingresos")</f>
        <v>1.5. Otros de Proyectos de Ingresos</v>
      </c>
      <c r="V186" s="4" t="str">
        <f ca="1">IFERROR(__xludf.DUMMYFUNCTION("""COMPUTED_VALUE"""),"Valores")</f>
        <v>Valores</v>
      </c>
      <c r="W186" s="4">
        <f ca="1">IFERROR(__xludf.DUMMYFUNCTION("""COMPUTED_VALUE"""),1)</f>
        <v>1</v>
      </c>
      <c r="X186" s="4" t="str">
        <f ca="1">IFERROR(__xludf.DUMMYFUNCTION("""COMPUTED_VALUE"""),"07. Asset management")</f>
        <v>07. Asset management</v>
      </c>
      <c r="Y186" s="4" t="str">
        <f ca="1">IFERROR(__xludf.DUMMYFUNCTION("""COMPUTED_VALUE"""),"5.7.1 Keep the Bank Running")</f>
        <v>5.7.1 Keep the Bank Running</v>
      </c>
      <c r="Z186" s="132" t="str">
        <f ca="1">IFERROR(__xludf.DUMMYFUNCTION("""COMPUTED_VALUE"""),"711846")</f>
        <v>711846</v>
      </c>
      <c r="AA186" s="4" t="str">
        <f ca="1">IFERROR(__xludf.DUMMYFUNCTION("""COMPUTED_VALUE"""),"Iniciativa priorizada para el Q2 2023 en proceso de Discovery")</f>
        <v>Iniciativa priorizada para el Q2 2023 en proceso de Discovery</v>
      </c>
      <c r="AB186" s="4" t="str">
        <f ca="1">IFERROR(__xludf.DUMMYFUNCTION("""COMPUTED_VALUE"""),"Brindar a los clientes del Banco BBVA que tengan inversiones en BBVA Valores la posibilidad de consultar el saldo en Caja y portafolio valorado al corte del día inmediatamente anterior en Valores.")</f>
        <v>Brindar a los clientes del Banco BBVA que tengan inversiones en BBVA Valores la posibilidad de consultar el saldo en Caja y portafolio valorado al corte del día inmediatamente anterior en Valores.</v>
      </c>
      <c r="AC186" s="4" t="str">
        <f ca="1">IFERROR(__xludf.DUMMYFUNCTION("""COMPUTED_VALUE"""),"4Q 2023")</f>
        <v>4Q 2023</v>
      </c>
      <c r="AD186" s="4"/>
      <c r="AE186" s="4"/>
      <c r="AF186" s="4"/>
      <c r="AG186" s="4"/>
      <c r="AH186" s="4"/>
      <c r="AI186" s="4"/>
      <c r="AJ186" s="4"/>
      <c r="AK186" s="131" t="str">
        <f ca="1">IFERROR(__xludf.DUMMYFUNCTION("""COMPUTED_VALUE"""),"COLWSCANAL-11470")</f>
        <v>COLWSCANAL-11470</v>
      </c>
      <c r="AL186" s="4" t="str">
        <f ca="1">IFERROR(__xludf.DUMMYFUNCTION("""COMPUTED_VALUE"""),"New")</f>
        <v>New</v>
      </c>
      <c r="AM186" s="4"/>
      <c r="AN186" s="4" t="str">
        <f ca="1">IFERROR(__xludf.DUMMYFUNCTION("""COMPUTED_VALUE"""),"Iniciativa en Discovery")</f>
        <v>Iniciativa en Discovery</v>
      </c>
      <c r="AO186" s="4" t="str">
        <f ca="1">IFERROR(__xludf.DUMMYFUNCTION("""COMPUTED_VALUE"""),"Banca Wealth")</f>
        <v>Banca Wealth</v>
      </c>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133">
        <f ca="1">IFERROR(__xludf.DUMMYFUNCTION("""COMPUTED_VALUE"""),0)</f>
        <v>0</v>
      </c>
      <c r="DV186" s="133">
        <f ca="1">IFERROR(__xludf.DUMMYFUNCTION("""COMPUTED_VALUE"""),0)</f>
        <v>0</v>
      </c>
      <c r="DW186" s="133">
        <f ca="1">IFERROR(__xludf.DUMMYFUNCTION("""COMPUTED_VALUE"""),0)</f>
        <v>0</v>
      </c>
      <c r="DX186" s="133">
        <f ca="1">IFERROR(__xludf.DUMMYFUNCTION("""COMPUTED_VALUE"""),0)</f>
        <v>0</v>
      </c>
      <c r="DY186" s="133">
        <f ca="1">IFERROR(__xludf.DUMMYFUNCTION("""COMPUTED_VALUE"""),0)</f>
        <v>0</v>
      </c>
      <c r="DZ186" s="133">
        <f ca="1">IFERROR(__xludf.DUMMYFUNCTION("""COMPUTED_VALUE"""),0)</f>
        <v>0</v>
      </c>
      <c r="EA186" s="4"/>
      <c r="EB186" s="4"/>
    </row>
    <row r="187" spans="1:132" x14ac:dyDescent="0.2">
      <c r="A187" s="4">
        <f ca="1">IFERROR(__xludf.DUMMYFUNCTION("""COMPUTED_VALUE"""),187)</f>
        <v>187</v>
      </c>
      <c r="B187" s="4">
        <f ca="1">IFERROR(__xludf.DUMMYFUNCTION("""COMPUTED_VALUE"""),165)</f>
        <v>165</v>
      </c>
      <c r="C187" s="4" t="str">
        <f ca="1">IFERROR(__xludf.DUMMYFUNCTION("""COMPUTED_VALUE"""),"SDATOOL-39840")</f>
        <v>SDATOOL-39840</v>
      </c>
      <c r="D187" s="4" t="str">
        <f ca="1">IFERROR(__xludf.DUMMYFUNCTION("""COMPUTED_VALUE"""),"BBVA Valores en Canales (Net Cash / Net)")</f>
        <v>BBVA Valores en Canales (Net Cash / Net)</v>
      </c>
      <c r="E187"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7" s="4" t="str">
        <f ca="1">IFERROR(__xludf.DUMMYFUNCTION("""COMPUTED_VALUE"""),"Project")</f>
        <v>Project</v>
      </c>
      <c r="G187" s="4" t="str">
        <f ca="1">IFERROR(__xludf.DUMMYFUNCTION("""COMPUTED_VALUE"""),"Stock")</f>
        <v>Stock</v>
      </c>
      <c r="H187" s="4" t="str">
        <f ca="1">IFERROR(__xludf.DUMMYFUNCTION("""COMPUTED_VALUE"""),"3Q 2023")</f>
        <v>3Q 2023</v>
      </c>
      <c r="I187" s="131" t="str">
        <f ca="1">IFERROR(__xludf.DUMMYFUNCTION("""COMPUTED_VALUE"""),"nathiahayosara.amado-bbva.com")</f>
        <v>nathiahayosara.amado-bbva.com</v>
      </c>
      <c r="J187" s="4"/>
      <c r="K187" s="131" t="str">
        <f ca="1">IFERROR(__xludf.DUMMYFUNCTION("""COMPUTED_VALUE"""),"hugoalberto.abreo-bbva.com")</f>
        <v>hugoalberto.abreo-bbva.com</v>
      </c>
      <c r="L187" s="130">
        <f ca="1">IFERROR(__xludf.DUMMYFUNCTION("""COMPUTED_VALUE"""),0)</f>
        <v>0</v>
      </c>
      <c r="M187" s="130">
        <f ca="1">IFERROR(__xludf.DUMMYFUNCTION("""COMPUTED_VALUE"""),0)</f>
        <v>0</v>
      </c>
      <c r="N187" s="130">
        <f ca="1">IFERROR(__xludf.DUMMYFUNCTION("""COMPUTED_VALUE"""),1.03)</f>
        <v>1.03</v>
      </c>
      <c r="O187" s="4" t="str">
        <f ca="1">IFERROR(__xludf.DUMMYFUNCTION("""COMPUTED_VALUE"""),"Waterfall")</f>
        <v>Waterfall</v>
      </c>
      <c r="P187" s="4" t="str">
        <f ca="1">IFERROR(__xludf.DUMMYFUNCTION("""COMPUTED_VALUE"""),"Tradicional")</f>
        <v>Tradicional</v>
      </c>
      <c r="Q187" s="130">
        <f ca="1">IFERROR(__xludf.DUMMYFUNCTION("""COMPUTED_VALUE"""),0)</f>
        <v>0</v>
      </c>
      <c r="R187" s="130" t="str">
        <f ca="1">IFERROR(__xludf.DUMMYFUNCTION("""COMPUTED_VALUE"""),"Enterprises")</f>
        <v>Enterprises</v>
      </c>
      <c r="S187" s="130" t="str">
        <f ca="1">IFERROR(__xludf.DUMMYFUNCTION("""COMPUTED_VALUE"""),"Strategic Review")</f>
        <v>Strategic Review</v>
      </c>
      <c r="T187" s="130" t="str">
        <f ca="1">IFERROR(__xludf.DUMMYFUNCTION("""COMPUTED_VALUE"""),"Otros")</f>
        <v>Otros</v>
      </c>
      <c r="U187" s="130" t="str">
        <f ca="1">IFERROR(__xludf.DUMMYFUNCTION("""COMPUTED_VALUE"""),"No Aplica")</f>
        <v>No Aplica</v>
      </c>
      <c r="V187" s="4" t="str">
        <f ca="1">IFERROR(__xludf.DUMMYFUNCTION("""COMPUTED_VALUE"""),"Valores")</f>
        <v>Valores</v>
      </c>
      <c r="W187" s="4">
        <f ca="1">IFERROR(__xludf.DUMMYFUNCTION("""COMPUTED_VALUE"""),1)</f>
        <v>1</v>
      </c>
      <c r="X187" s="4" t="str">
        <f ca="1">IFERROR(__xludf.DUMMYFUNCTION("""COMPUTED_VALUE"""),"07. Asset management")</f>
        <v>07. Asset management</v>
      </c>
      <c r="Y187" s="4" t="str">
        <f ca="1">IFERROR(__xludf.DUMMYFUNCTION("""COMPUTED_VALUE"""),"5.7.1 Keep the Bank Running")</f>
        <v>5.7.1 Keep the Bank Running</v>
      </c>
      <c r="Z187" s="132" t="str">
        <f ca="1">IFERROR(__xludf.DUMMYFUNCTION("""COMPUTED_VALUE"""),"496338")</f>
        <v>496338</v>
      </c>
      <c r="AA187" s="4" t="str">
        <f ca="1">IFERROR(__xludf.DUMMYFUNCTION("""COMPUTED_VALUE"""),"BBVA Valores Net")</f>
        <v>BBVA Valores Net</v>
      </c>
      <c r="AB187" s="4" t="str">
        <f ca="1">IFERROR(__xludf.DUMMYFUNCTION("""COMPUTED_VALUE"""),"Brindar a los clientes del Banco BBVA que tengan inversiones en BBVA Valores la posibilidad de consultar el saldo en Caja y portafolio valorado al corte del día inmediatamente anterior en la Net.")</f>
        <v>Brindar a los clientes del Banco BBVA que tengan inversiones en BBVA Valores la posibilidad de consultar el saldo en Caja y portafolio valorado al corte del día inmediatamente anterior en la Net.</v>
      </c>
      <c r="AC187" s="4" t="str">
        <f ca="1">IFERROR(__xludf.DUMMYFUNCTION("""COMPUTED_VALUE"""),"2Q 2023")</f>
        <v>2Q 2023</v>
      </c>
      <c r="AD187" s="128">
        <f ca="1">IFERROR(__xludf.DUMMYFUNCTION("""COMPUTED_VALUE"""),44725)</f>
        <v>44725</v>
      </c>
      <c r="AE187" s="128">
        <f ca="1">IFERROR(__xludf.DUMMYFUNCTION("""COMPUTED_VALUE"""),44728)</f>
        <v>44728</v>
      </c>
      <c r="AF187" s="128">
        <f ca="1">IFERROR(__xludf.DUMMYFUNCTION("""COMPUTED_VALUE"""),44789)</f>
        <v>44789</v>
      </c>
      <c r="AG187" s="128">
        <f ca="1">IFERROR(__xludf.DUMMYFUNCTION("""COMPUTED_VALUE"""),44911)</f>
        <v>44911</v>
      </c>
      <c r="AH187" s="128">
        <f ca="1">IFERROR(__xludf.DUMMYFUNCTION("""COMPUTED_VALUE"""),44915)</f>
        <v>44915</v>
      </c>
      <c r="AI187" s="128">
        <f ca="1">IFERROR(__xludf.DUMMYFUNCTION("""COMPUTED_VALUE"""),44913)</f>
        <v>44913</v>
      </c>
      <c r="AJ187" s="128">
        <f ca="1">IFERROR(__xludf.DUMMYFUNCTION("""COMPUTED_VALUE"""),44589)</f>
        <v>44589</v>
      </c>
      <c r="AK187" s="131" t="str">
        <f ca="1">IFERROR(__xludf.DUMMYFUNCTION("""COMPUTED_VALUE"""),"COLWSCANAL-3186")</f>
        <v>COLWSCANAL-3186</v>
      </c>
      <c r="AL187" s="4" t="str">
        <f ca="1">IFERROR(__xludf.DUMMYFUNCTION("""COMPUTED_VALUE"""),"Test")</f>
        <v>Test</v>
      </c>
      <c r="AM187" s="4" t="str">
        <f ca="1">IFERROR(__xludf.DUMMYFUNCTION("""COMPUTED_VALUE"""),"Estimación Alto Nivel CS SolDev")</f>
        <v>Estimación Alto Nivel CS SolDev</v>
      </c>
      <c r="AN187" s="4" t="str">
        <f ca="1">IFERROR(__xludf.DUMMYFUNCTION("""COMPUTED_VALUE"""),"Entregable en desarrollo")</f>
        <v>Entregable en desarrollo</v>
      </c>
      <c r="AO187" s="4" t="str">
        <f ca="1">IFERROR(__xludf.DUMMYFUNCTION("""COMPUTED_VALUE"""),"Banca Wealth")</f>
        <v>Banca Wealth</v>
      </c>
      <c r="AP187" s="4"/>
      <c r="AQ187" s="4"/>
      <c r="AR187" s="4" t="str">
        <f ca="1">IFERROR(__xludf.DUMMYFUNCTION("""COMPUTED_VALUE"""),"SDA aprobada en PPP Q1 2023")</f>
        <v>SDA aprobada en PPP Q1 2023</v>
      </c>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133">
        <f ca="1">IFERROR(__xludf.DUMMYFUNCTION("""COMPUTED_VALUE"""),0)</f>
        <v>0</v>
      </c>
      <c r="DV187" s="133">
        <f ca="1">IFERROR(__xludf.DUMMYFUNCTION("""COMPUTED_VALUE"""),0)</f>
        <v>0</v>
      </c>
      <c r="DW187" s="133">
        <f ca="1">IFERROR(__xludf.DUMMYFUNCTION("""COMPUTED_VALUE"""),274419838)</f>
        <v>274419838</v>
      </c>
      <c r="DX187" s="133">
        <f ca="1">IFERROR(__xludf.DUMMYFUNCTION("""COMPUTED_VALUE"""),498986944)</f>
        <v>498986944</v>
      </c>
      <c r="DY187" s="133">
        <f ca="1">IFERROR(__xludf.DUMMYFUNCTION("""COMPUTED_VALUE"""),0)</f>
        <v>0</v>
      </c>
      <c r="DZ187" s="133">
        <f ca="1">IFERROR(__xludf.DUMMYFUNCTION("""COMPUTED_VALUE"""),773406782)</f>
        <v>773406782</v>
      </c>
      <c r="EA187" s="4"/>
      <c r="EB187" s="4"/>
    </row>
    <row r="188" spans="1:132" x14ac:dyDescent="0.2">
      <c r="A188" s="4">
        <f ca="1">IFERROR(__xludf.DUMMYFUNCTION("""COMPUTED_VALUE"""),188)</f>
        <v>188</v>
      </c>
      <c r="B188" s="4">
        <f ca="1">IFERROR(__xludf.DUMMYFUNCTION("""COMPUTED_VALUE"""),166)</f>
        <v>166</v>
      </c>
      <c r="C188" s="4" t="str">
        <f ca="1">IFERROR(__xludf.DUMMYFUNCTION("""COMPUTED_VALUE"""),"SDATOOL-39840")</f>
        <v>SDATOOL-39840</v>
      </c>
      <c r="D188" s="4" t="str">
        <f ca="1">IFERROR(__xludf.DUMMYFUNCTION("""COMPUTED_VALUE"""),"BBVA Valores en Canales (Net Cash / Net)")</f>
        <v>BBVA Valores en Canales (Net Cash / Net)</v>
      </c>
      <c r="E188"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8" s="4" t="str">
        <f ca="1">IFERROR(__xludf.DUMMYFUNCTION("""COMPUTED_VALUE"""),"Project")</f>
        <v>Project</v>
      </c>
      <c r="G188" s="4" t="str">
        <f ca="1">IFERROR(__xludf.DUMMYFUNCTION("""COMPUTED_VALUE"""),"Stock")</f>
        <v>Stock</v>
      </c>
      <c r="H188" s="4" t="str">
        <f ca="1">IFERROR(__xludf.DUMMYFUNCTION("""COMPUTED_VALUE"""),"3Q 2023")</f>
        <v>3Q 2023</v>
      </c>
      <c r="I188" s="131" t="str">
        <f ca="1">IFERROR(__xludf.DUMMYFUNCTION("""COMPUTED_VALUE"""),"nathiahayosara.amado-bbva.com")</f>
        <v>nathiahayosara.amado-bbva.com</v>
      </c>
      <c r="J188" s="4"/>
      <c r="K188" s="131" t="str">
        <f ca="1">IFERROR(__xludf.DUMMYFUNCTION("""COMPUTED_VALUE"""),"hugoalberto.abreo-bbva.com")</f>
        <v>hugoalberto.abreo-bbva.com</v>
      </c>
      <c r="L188" s="4"/>
      <c r="M188" s="4"/>
      <c r="N188" s="4"/>
      <c r="O188" s="4" t="str">
        <f ca="1">IFERROR(__xludf.DUMMYFUNCTION("""COMPUTED_VALUE"""),"Waterfall")</f>
        <v>Waterfall</v>
      </c>
      <c r="P188" s="4" t="str">
        <f ca="1">IFERROR(__xludf.DUMMYFUNCTION("""COMPUTED_VALUE"""),"Tradicional")</f>
        <v>Tradicional</v>
      </c>
      <c r="Q188" s="4"/>
      <c r="R188" s="130" t="str">
        <f ca="1">IFERROR(__xludf.DUMMYFUNCTION("""COMPUTED_VALUE"""),"Enterprises")</f>
        <v>Enterprises</v>
      </c>
      <c r="S188" s="130" t="str">
        <f ca="1">IFERROR(__xludf.DUMMYFUNCTION("""COMPUTED_VALUE"""),"Strategic Review")</f>
        <v>Strategic Review</v>
      </c>
      <c r="T188" s="130" t="str">
        <f ca="1">IFERROR(__xludf.DUMMYFUNCTION("""COMPUTED_VALUE"""),"Otros")</f>
        <v>Otros</v>
      </c>
      <c r="U188" s="130" t="str">
        <f ca="1">IFERROR(__xludf.DUMMYFUNCTION("""COMPUTED_VALUE"""),"No Aplica")</f>
        <v>No Aplica</v>
      </c>
      <c r="V188" s="4" t="str">
        <f ca="1">IFERROR(__xludf.DUMMYFUNCTION("""COMPUTED_VALUE"""),"Valores")</f>
        <v>Valores</v>
      </c>
      <c r="W188" s="4">
        <f ca="1">IFERROR(__xludf.DUMMYFUNCTION("""COMPUTED_VALUE"""),1)</f>
        <v>1</v>
      </c>
      <c r="X188" s="4" t="str">
        <f ca="1">IFERROR(__xludf.DUMMYFUNCTION("""COMPUTED_VALUE"""),"07. Asset management")</f>
        <v>07. Asset management</v>
      </c>
      <c r="Y188" s="4" t="str">
        <f ca="1">IFERROR(__xludf.DUMMYFUNCTION("""COMPUTED_VALUE"""),"5.7.1 Keep the Bank Running")</f>
        <v>5.7.1 Keep the Bank Running</v>
      </c>
      <c r="Z188" s="132" t="str">
        <f ca="1">IFERROR(__xludf.DUMMYFUNCTION("""COMPUTED_VALUE"""),"496337")</f>
        <v>496337</v>
      </c>
      <c r="AA188" s="4" t="str">
        <f ca="1">IFERROR(__xludf.DUMMYFUNCTION("""COMPUTED_VALUE"""),"Valores en Net Cash")</f>
        <v>Valores en Net Cash</v>
      </c>
      <c r="AB188" s="4" t="str">
        <f ca="1">IFERROR(__xludf.DUMMYFUNCTION("""COMPUTED_VALUE"""),"Brindar a los clientes del Banco BBVA que tengan inversiones en BBVA Valores la posibilidad de consultar el saldo en Caja y portafolio valorado al corte del día inmediatamente anterior en Net Cash")</f>
        <v>Brindar a los clientes del Banco BBVA que tengan inversiones en BBVA Valores la posibilidad de consultar el saldo en Caja y portafolio valorado al corte del día inmediatamente anterior en Net Cash</v>
      </c>
      <c r="AC188" s="4" t="str">
        <f ca="1">IFERROR(__xludf.DUMMYFUNCTION("""COMPUTED_VALUE"""),"1Q 2023")</f>
        <v>1Q 2023</v>
      </c>
      <c r="AD188" s="128">
        <f ca="1">IFERROR(__xludf.DUMMYFUNCTION("""COMPUTED_VALUE"""),44725)</f>
        <v>44725</v>
      </c>
      <c r="AE188" s="128">
        <f ca="1">IFERROR(__xludf.DUMMYFUNCTION("""COMPUTED_VALUE"""),44727)</f>
        <v>44727</v>
      </c>
      <c r="AF188" s="128">
        <f ca="1">IFERROR(__xludf.DUMMYFUNCTION("""COMPUTED_VALUE"""),44788)</f>
        <v>44788</v>
      </c>
      <c r="AG188" s="128">
        <f ca="1">IFERROR(__xludf.DUMMYFUNCTION("""COMPUTED_VALUE"""),44910)</f>
        <v>44910</v>
      </c>
      <c r="AH188" s="128">
        <f ca="1">IFERROR(__xludf.DUMMYFUNCTION("""COMPUTED_VALUE"""),44914)</f>
        <v>44914</v>
      </c>
      <c r="AI188" s="128">
        <f ca="1">IFERROR(__xludf.DUMMYFUNCTION("""COMPUTED_VALUE"""),44912)</f>
        <v>44912</v>
      </c>
      <c r="AJ188" s="128">
        <f ca="1">IFERROR(__xludf.DUMMYFUNCTION("""COMPUTED_VALUE"""),44588)</f>
        <v>44588</v>
      </c>
      <c r="AK188" s="131" t="str">
        <f ca="1">IFERROR(__xludf.DUMMYFUNCTION("""COMPUTED_VALUE"""),"COLWSCANAL-3040")</f>
        <v>COLWSCANAL-3040</v>
      </c>
      <c r="AL188" s="4" t="str">
        <f ca="1">IFERROR(__xludf.DUMMYFUNCTION("""COMPUTED_VALUE"""),"Test")</f>
        <v>Test</v>
      </c>
      <c r="AM188" s="4" t="str">
        <f ca="1">IFERROR(__xludf.DUMMYFUNCTION("""COMPUTED_VALUE"""),"Estimación Alto Nivel CS SolDev")</f>
        <v>Estimación Alto Nivel CS SolDev</v>
      </c>
      <c r="AN188" s="4" t="str">
        <f ca="1">IFERROR(__xludf.DUMMYFUNCTION("""COMPUTED_VALUE"""),"Entregable en desarrollo")</f>
        <v>Entregable en desarrollo</v>
      </c>
      <c r="AO188" s="4" t="str">
        <f ca="1">IFERROR(__xludf.DUMMYFUNCTION("""COMPUTED_VALUE"""),"Banca Wealth")</f>
        <v>Banca Wealth</v>
      </c>
      <c r="AP188" s="4"/>
      <c r="AQ188" s="4"/>
      <c r="AR188" s="4" t="str">
        <f ca="1">IFERROR(__xludf.DUMMYFUNCTION("""COMPUTED_VALUE"""),"SDA aprobada en PPP Q1 2023")</f>
        <v>SDA aprobada en PPP Q1 2023</v>
      </c>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row>
    <row r="189" spans="1:132" x14ac:dyDescent="0.2">
      <c r="A189" s="4">
        <f ca="1">IFERROR(__xludf.DUMMYFUNCTION("""COMPUTED_VALUE"""),189)</f>
        <v>189</v>
      </c>
      <c r="B189" s="4">
        <f ca="1">IFERROR(__xludf.DUMMYFUNCTION("""COMPUTED_VALUE"""),167)</f>
        <v>167</v>
      </c>
      <c r="C189" s="4" t="str">
        <f ca="1">IFERROR(__xludf.DUMMYFUNCTION("""COMPUTED_VALUE"""),"SDATOOL-39840")</f>
        <v>SDATOOL-39840</v>
      </c>
      <c r="D189" s="4" t="str">
        <f ca="1">IFERROR(__xludf.DUMMYFUNCTION("""COMPUTED_VALUE"""),"BBVA Valores en Canales (Net Cash / Net)")</f>
        <v>BBVA Valores en Canales (Net Cash / Net)</v>
      </c>
      <c r="E189"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9" s="4" t="str">
        <f ca="1">IFERROR(__xludf.DUMMYFUNCTION("""COMPUTED_VALUE"""),"Project")</f>
        <v>Project</v>
      </c>
      <c r="G189" s="4" t="str">
        <f ca="1">IFERROR(__xludf.DUMMYFUNCTION("""COMPUTED_VALUE"""),"Stock")</f>
        <v>Stock</v>
      </c>
      <c r="H189" s="4" t="str">
        <f ca="1">IFERROR(__xludf.DUMMYFUNCTION("""COMPUTED_VALUE"""),"3Q 2023")</f>
        <v>3Q 2023</v>
      </c>
      <c r="I189" s="131" t="str">
        <f ca="1">IFERROR(__xludf.DUMMYFUNCTION("""COMPUTED_VALUE"""),"nathiahayosara.amado-bbva.com")</f>
        <v>nathiahayosara.amado-bbva.com</v>
      </c>
      <c r="J189" s="4"/>
      <c r="K189" s="131" t="str">
        <f ca="1">IFERROR(__xludf.DUMMYFUNCTION("""COMPUTED_VALUE"""),"hugoalberto.abreo-bbva.com")</f>
        <v>hugoalberto.abreo-bbva.com</v>
      </c>
      <c r="L189" s="4"/>
      <c r="M189" s="4"/>
      <c r="N189" s="4"/>
      <c r="O189" s="4" t="str">
        <f ca="1">IFERROR(__xludf.DUMMYFUNCTION("""COMPUTED_VALUE"""),"Waterfall")</f>
        <v>Waterfall</v>
      </c>
      <c r="P189" s="4" t="str">
        <f ca="1">IFERROR(__xludf.DUMMYFUNCTION("""COMPUTED_VALUE"""),"Tradicional")</f>
        <v>Tradicional</v>
      </c>
      <c r="Q189" s="4"/>
      <c r="R189" s="130" t="str">
        <f ca="1">IFERROR(__xludf.DUMMYFUNCTION("""COMPUTED_VALUE"""),"Enterprises")</f>
        <v>Enterprises</v>
      </c>
      <c r="S189" s="130" t="str">
        <f ca="1">IFERROR(__xludf.DUMMYFUNCTION("""COMPUTED_VALUE"""),"Strategic Review")</f>
        <v>Strategic Review</v>
      </c>
      <c r="T189" s="130" t="str">
        <f ca="1">IFERROR(__xludf.DUMMYFUNCTION("""COMPUTED_VALUE"""),"Otros")</f>
        <v>Otros</v>
      </c>
      <c r="U189" s="130" t="str">
        <f ca="1">IFERROR(__xludf.DUMMYFUNCTION("""COMPUTED_VALUE"""),"No Aplica")</f>
        <v>No Aplica</v>
      </c>
      <c r="V189" s="4" t="str">
        <f ca="1">IFERROR(__xludf.DUMMYFUNCTION("""COMPUTED_VALUE"""),"Valores")</f>
        <v>Valores</v>
      </c>
      <c r="W189" s="4">
        <f ca="1">IFERROR(__xludf.DUMMYFUNCTION("""COMPUTED_VALUE"""),1)</f>
        <v>1</v>
      </c>
      <c r="X189" s="4" t="str">
        <f ca="1">IFERROR(__xludf.DUMMYFUNCTION("""COMPUTED_VALUE"""),"07. Asset management")</f>
        <v>07. Asset management</v>
      </c>
      <c r="Y189" s="4" t="str">
        <f ca="1">IFERROR(__xludf.DUMMYFUNCTION("""COMPUTED_VALUE"""),"5.7.1 Keep the Bank Running")</f>
        <v>5.7.1 Keep the Bank Running</v>
      </c>
      <c r="Z189" s="132" t="str">
        <f ca="1">IFERROR(__xludf.DUMMYFUNCTION("""COMPUTED_VALUE"""),"713025")</f>
        <v>713025</v>
      </c>
      <c r="AA189" s="4" t="str">
        <f ca="1">IFERROR(__xludf.DUMMYFUNCTION("""COMPUTED_VALUE"""),"Descarga de extractos en Net y Net Cash")</f>
        <v>Descarga de extractos en Net y Net Cash</v>
      </c>
      <c r="AB189" s="4" t="str">
        <f ca="1">IFERROR(__xludf.DUMMYFUNCTION("""COMPUTED_VALUE"""),"El cliente podrá descargar los extractos con la información de sus movimientos con en tiempo real desde la Net o Net Cash.")</f>
        <v>El cliente podrá descargar los extractos con la información de sus movimientos con en tiempo real desde la Net o Net Cash.</v>
      </c>
      <c r="AC189" s="4" t="str">
        <f ca="1">IFERROR(__xludf.DUMMYFUNCTION("""COMPUTED_VALUE"""),"3Q 2023")</f>
        <v>3Q 2023</v>
      </c>
      <c r="AD189" s="4"/>
      <c r="AE189" s="4"/>
      <c r="AF189" s="4"/>
      <c r="AG189" s="4"/>
      <c r="AH189" s="4"/>
      <c r="AI189" s="4"/>
      <c r="AJ189" s="4"/>
      <c r="AK189" s="4" t="str">
        <f ca="1">IFERROR(__xludf.DUMMYFUNCTION("""COMPUTED_VALUE"""),"Sin asignar")</f>
        <v>Sin asignar</v>
      </c>
      <c r="AL189" s="4" t="str">
        <f ca="1">IFERROR(__xludf.DUMMYFUNCTION("""COMPUTED_VALUE"""),"Sin asignar")</f>
        <v>Sin asignar</v>
      </c>
      <c r="AM189" s="4"/>
      <c r="AN189" s="4" t="str">
        <f ca="1">IFERROR(__xludf.DUMMYFUNCTION("""COMPUTED_VALUE"""),"Entregable en backlog")</f>
        <v>Entregable en backlog</v>
      </c>
      <c r="AO189" s="4" t="str">
        <f ca="1">IFERROR(__xludf.DUMMYFUNCTION("""COMPUTED_VALUE"""),"Banca Wealth")</f>
        <v>Banca Wealth</v>
      </c>
      <c r="AP189" s="4"/>
      <c r="AQ189" s="4"/>
      <c r="AR189" s="4" t="str">
        <f ca="1">IFERROR(__xludf.DUMMYFUNCTION("""COMPUTED_VALUE"""),"SDA aprobada en PPP Q1 2023")</f>
        <v>SDA aprobada en PPP Q1 2023</v>
      </c>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row>
    <row r="190" spans="1:132" x14ac:dyDescent="0.2">
      <c r="A190" s="4">
        <f ca="1">IFERROR(__xludf.DUMMYFUNCTION("""COMPUTED_VALUE"""),190)</f>
        <v>190</v>
      </c>
      <c r="B190" s="4">
        <f ca="1">IFERROR(__xludf.DUMMYFUNCTION("""COMPUTED_VALUE"""),168)</f>
        <v>168</v>
      </c>
      <c r="C190" s="4" t="str">
        <f ca="1">IFERROR(__xludf.DUMMYFUNCTION("""COMPUTED_VALUE"""),"SDATOOL-40457")</f>
        <v>SDATOOL-40457</v>
      </c>
      <c r="D190" s="4" t="str">
        <f ca="1">IFERROR(__xludf.DUMMYFUNCTION("""COMPUTED_VALUE"""),"SENDA (Base)")</f>
        <v>SENDA (Base)</v>
      </c>
      <c r="E190"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0" s="4" t="str">
        <f ca="1">IFERROR(__xludf.DUMMYFUNCTION("""COMPUTED_VALUE"""),"Project")</f>
        <v>Project</v>
      </c>
      <c r="G190" s="4" t="str">
        <f ca="1">IFERROR(__xludf.DUMMYFUNCTION("""COMPUTED_VALUE"""),"Stock")</f>
        <v>Stock</v>
      </c>
      <c r="H190" s="4" t="str">
        <f ca="1">IFERROR(__xludf.DUMMYFUNCTION("""COMPUTED_VALUE"""),"4Q 2023")</f>
        <v>4Q 2023</v>
      </c>
      <c r="I190" s="131" t="str">
        <f ca="1">IFERROR(__xludf.DUMMYFUNCTION("""COMPUTED_VALUE"""),"nathiahayosara.amado-bbva.com")</f>
        <v>nathiahayosara.amado-bbva.com</v>
      </c>
      <c r="J190" s="131" t="str">
        <f ca="1">IFERROR(__xludf.DUMMYFUNCTION("""COMPUTED_VALUE"""),"leidyjohanna.zambrano-bbva.com")</f>
        <v>leidyjohanna.zambrano-bbva.com</v>
      </c>
      <c r="K190" s="131" t="str">
        <f ca="1">IFERROR(__xludf.DUMMYFUNCTION("""COMPUTED_VALUE"""),"elizabeth.diaz-bbva.com")</f>
        <v>elizabeth.diaz-bbva.com</v>
      </c>
      <c r="L190" s="130">
        <f ca="1">IFERROR(__xludf.DUMMYFUNCTION("""COMPUTED_VALUE"""),0.5)</f>
        <v>0.5</v>
      </c>
      <c r="M190" s="130">
        <f ca="1">IFERROR(__xludf.DUMMYFUNCTION("""COMPUTED_VALUE"""),2)</f>
        <v>2</v>
      </c>
      <c r="N190" s="130">
        <f ca="1">IFERROR(__xludf.DUMMYFUNCTION("""COMPUTED_VALUE"""),5)</f>
        <v>5</v>
      </c>
      <c r="O190" s="4" t="str">
        <f ca="1">IFERROR(__xludf.DUMMYFUNCTION("""COMPUTED_VALUE"""),"Scrum")</f>
        <v>Scrum</v>
      </c>
      <c r="P190" s="4" t="str">
        <f ca="1">IFERROR(__xludf.DUMMYFUNCTION("""COMPUTED_VALUE"""),"ULTRON")</f>
        <v>ULTRON</v>
      </c>
      <c r="Q190" s="130">
        <f ca="1">IFERROR(__xludf.DUMMYFUNCTION("""COMPUTED_VALUE"""),1)</f>
        <v>1</v>
      </c>
      <c r="R190" s="130" t="str">
        <f ca="1">IFERROR(__xludf.DUMMYFUNCTION("""COMPUTED_VALUE"""),"Enterprises")</f>
        <v>Enterprises</v>
      </c>
      <c r="S190" s="130" t="str">
        <f ca="1">IFERROR(__xludf.DUMMYFUNCTION("""COMPUTED_VALUE"""),"Strategic Review")</f>
        <v>Strategic Review</v>
      </c>
      <c r="T190" s="130" t="str">
        <f ca="1">IFERROR(__xludf.DUMMYFUNCTION("""COMPUTED_VALUE"""),"1. Generación de Ingresos")</f>
        <v>1. Generación de Ingresos</v>
      </c>
      <c r="U190" s="130" t="str">
        <f ca="1">IFERROR(__xludf.DUMMYFUNCTION("""COMPUTED_VALUE"""),"1.5. Otros de Proyectos de Ingresos")</f>
        <v>1.5. Otros de Proyectos de Ingresos</v>
      </c>
      <c r="V190" s="4" t="str">
        <f ca="1">IFERROR(__xludf.DUMMYFUNCTION("""COMPUTED_VALUE"""),"Senda")</f>
        <v>Senda</v>
      </c>
      <c r="W190" s="4">
        <f ca="1">IFERROR(__xludf.DUMMYFUNCTION("""COMPUTED_VALUE"""),1)</f>
        <v>1</v>
      </c>
      <c r="X190" s="4" t="str">
        <f ca="1">IFERROR(__xludf.DUMMYFUNCTION("""COMPUTED_VALUE"""),"08. Enterprise Transactionality")</f>
        <v>08. Enterprise Transactionality</v>
      </c>
      <c r="Y190" s="4" t="str">
        <f ca="1">IFERROR(__xludf.DUMMYFUNCTION("""COMPUTED_VALUE"""),"2.1.1 Horizon - Enterprise")</f>
        <v>2.1.1 Horizon - Enterprise</v>
      </c>
      <c r="Z190" s="132" t="str">
        <f ca="1">IFERROR(__xludf.DUMMYFUNCTION("""COMPUTED_VALUE"""),"619279")</f>
        <v>619279</v>
      </c>
      <c r="AA190" s="4" t="str">
        <f ca="1">IFERROR(__xludf.DUMMYFUNCTION("""COMPUTED_VALUE"""),"Convivencia accesos - NETCASH y SENDA")</f>
        <v>Convivencia accesos - NETCASH y SENDA</v>
      </c>
      <c r="AB190" s="4" t="str">
        <f ca="1">IFERROR(__xludf.DUMMYFUNCTION("""COMPUTED_VALUE"""),"Se permitirá a los clientes de los dos aplicativos (NETCASH y SENDA) acceder sin novedad con las mismas credenciales")</f>
        <v>Se permitirá a los clientes de los dos aplicativos (NETCASH y SENDA) acceder sin novedad con las mismas credenciales</v>
      </c>
      <c r="AC190" s="4" t="str">
        <f ca="1">IFERROR(__xludf.DUMMYFUNCTION("""COMPUTED_VALUE"""),"2Q 2023")</f>
        <v>2Q 2023</v>
      </c>
      <c r="AD190" s="4"/>
      <c r="AE190" s="4"/>
      <c r="AF190" s="4"/>
      <c r="AG190" s="4"/>
      <c r="AH190" s="4"/>
      <c r="AI190" s="4"/>
      <c r="AJ190" s="4"/>
      <c r="AK190" s="131" t="str">
        <f ca="1">IFERROR(__xludf.DUMMYFUNCTION("""COMPUTED_VALUE"""),"COLWSCANAL-13913")</f>
        <v>COLWSCANAL-13913</v>
      </c>
      <c r="AL190" s="4" t="str">
        <f ca="1">IFERROR(__xludf.DUMMYFUNCTION("""COMPUTED_VALUE"""),"En progreso")</f>
        <v>En progreso</v>
      </c>
      <c r="AM190" s="4"/>
      <c r="AN190" s="4" t="str">
        <f ca="1">IFERROR(__xludf.DUMMYFUNCTION("""COMPUTED_VALUE"""),"Entregable en desarrollo")</f>
        <v>Entregable en desarrollo</v>
      </c>
      <c r="AO190" s="4" t="str">
        <f ca="1">IFERROR(__xludf.DUMMYFUNCTION("""COMPUTED_VALUE"""),"Transversales")</f>
        <v>Transversales</v>
      </c>
      <c r="AP190" s="4"/>
      <c r="AQ190" s="4"/>
      <c r="AR190" s="4" t="str">
        <f ca="1">IFERROR(__xludf.DUMMYFUNCTION("""COMPUTED_VALUE"""),"SDA aprobada en PPP Q1 2023")</f>
        <v>SDA aprobada en PPP Q1 2023</v>
      </c>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133">
        <f ca="1">IFERROR(__xludf.DUMMYFUNCTION("""COMPUTED_VALUE"""),0)</f>
        <v>0</v>
      </c>
      <c r="DV190" s="133">
        <f ca="1">IFERROR(__xludf.DUMMYFUNCTION("""COMPUTED_VALUE"""),0)</f>
        <v>0</v>
      </c>
      <c r="DW190" s="133">
        <f ca="1">IFERROR(__xludf.DUMMYFUNCTION("""COMPUTED_VALUE"""),72152664)</f>
        <v>72152664</v>
      </c>
      <c r="DX190" s="133">
        <f ca="1">IFERROR(__xludf.DUMMYFUNCTION("""COMPUTED_VALUE"""),1426771534)</f>
        <v>1426771534</v>
      </c>
      <c r="DY190" s="133">
        <f ca="1">IFERROR(__xludf.DUMMYFUNCTION("""COMPUTED_VALUE"""),0)</f>
        <v>0</v>
      </c>
      <c r="DZ190" s="133">
        <f ca="1">IFERROR(__xludf.DUMMYFUNCTION("""COMPUTED_VALUE"""),1498924198)</f>
        <v>1498924198</v>
      </c>
      <c r="EA190" s="4"/>
      <c r="EB190" s="4"/>
    </row>
    <row r="191" spans="1:132" x14ac:dyDescent="0.2">
      <c r="A191" s="4">
        <f ca="1">IFERROR(__xludf.DUMMYFUNCTION("""COMPUTED_VALUE"""),191)</f>
        <v>191</v>
      </c>
      <c r="B191" s="4">
        <f ca="1">IFERROR(__xludf.DUMMYFUNCTION("""COMPUTED_VALUE"""),169)</f>
        <v>169</v>
      </c>
      <c r="C191" s="4" t="str">
        <f ca="1">IFERROR(__xludf.DUMMYFUNCTION("""COMPUTED_VALUE"""),"SDATOOL-40457")</f>
        <v>SDATOOL-40457</v>
      </c>
      <c r="D191" s="4" t="str">
        <f ca="1">IFERROR(__xludf.DUMMYFUNCTION("""COMPUTED_VALUE"""),"SENDA (Base)")</f>
        <v>SENDA (Base)</v>
      </c>
      <c r="E191"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1" s="4" t="str">
        <f ca="1">IFERROR(__xludf.DUMMYFUNCTION("""COMPUTED_VALUE"""),"Project")</f>
        <v>Project</v>
      </c>
      <c r="G191" s="4" t="str">
        <f ca="1">IFERROR(__xludf.DUMMYFUNCTION("""COMPUTED_VALUE"""),"Stock")</f>
        <v>Stock</v>
      </c>
      <c r="H191" s="4" t="str">
        <f ca="1">IFERROR(__xludf.DUMMYFUNCTION("""COMPUTED_VALUE"""),"4Q 2023")</f>
        <v>4Q 2023</v>
      </c>
      <c r="I191" s="131" t="str">
        <f ca="1">IFERROR(__xludf.DUMMYFUNCTION("""COMPUTED_VALUE"""),"nathiahayosara.amado-bbva.com")</f>
        <v>nathiahayosara.amado-bbva.com</v>
      </c>
      <c r="J191" s="131" t="str">
        <f ca="1">IFERROR(__xludf.DUMMYFUNCTION("""COMPUTED_VALUE"""),"leidyjohanna.zambrano-bbva.com")</f>
        <v>leidyjohanna.zambrano-bbva.com</v>
      </c>
      <c r="K191" s="131" t="str">
        <f ca="1">IFERROR(__xludf.DUMMYFUNCTION("""COMPUTED_VALUE"""),"elizabeth.diaz-bbva.com")</f>
        <v>elizabeth.diaz-bbva.com</v>
      </c>
      <c r="L191" s="4"/>
      <c r="M191" s="4"/>
      <c r="N191" s="4"/>
      <c r="O191" s="4" t="str">
        <f ca="1">IFERROR(__xludf.DUMMYFUNCTION("""COMPUTED_VALUE"""),"Scrum")</f>
        <v>Scrum</v>
      </c>
      <c r="P191" s="4" t="str">
        <f ca="1">IFERROR(__xludf.DUMMYFUNCTION("""COMPUTED_VALUE"""),"ULTRON")</f>
        <v>ULTRON</v>
      </c>
      <c r="Q191" s="4"/>
      <c r="R191" s="130" t="str">
        <f ca="1">IFERROR(__xludf.DUMMYFUNCTION("""COMPUTED_VALUE"""),"Enterprises")</f>
        <v>Enterprises</v>
      </c>
      <c r="S191" s="130" t="str">
        <f ca="1">IFERROR(__xludf.DUMMYFUNCTION("""COMPUTED_VALUE"""),"Strategic Review")</f>
        <v>Strategic Review</v>
      </c>
      <c r="T191" s="130" t="str">
        <f ca="1">IFERROR(__xludf.DUMMYFUNCTION("""COMPUTED_VALUE"""),"1. Generación de Ingresos")</f>
        <v>1. Generación de Ingresos</v>
      </c>
      <c r="U191" s="130" t="str">
        <f ca="1">IFERROR(__xludf.DUMMYFUNCTION("""COMPUTED_VALUE"""),"1.5. Otros de Proyectos de Ingresos")</f>
        <v>1.5. Otros de Proyectos de Ingresos</v>
      </c>
      <c r="V191" s="4" t="str">
        <f ca="1">IFERROR(__xludf.DUMMYFUNCTION("""COMPUTED_VALUE"""),"Senda")</f>
        <v>Senda</v>
      </c>
      <c r="W191" s="4">
        <f ca="1">IFERROR(__xludf.DUMMYFUNCTION("""COMPUTED_VALUE"""),1)</f>
        <v>1</v>
      </c>
      <c r="X191" s="4" t="str">
        <f ca="1">IFERROR(__xludf.DUMMYFUNCTION("""COMPUTED_VALUE"""),"08. Enterprise Transactionality")</f>
        <v>08. Enterprise Transactionality</v>
      </c>
      <c r="Y191" s="4" t="str">
        <f ca="1">IFERROR(__xludf.DUMMYFUNCTION("""COMPUTED_VALUE"""),"2.1.1 Horizon - Enterprise")</f>
        <v>2.1.1 Horizon - Enterprise</v>
      </c>
      <c r="Z191" s="132" t="str">
        <f ca="1">IFERROR(__xludf.DUMMYFUNCTION("""COMPUTED_VALUE"""),"711293")</f>
        <v>711293</v>
      </c>
      <c r="AA191" s="4" t="str">
        <f ca="1">IFERROR(__xludf.DUMMYFUNCTION("""COMPUTED_VALUE"""),"Convivencia de funcionalidades NET CASH y SENDA")</f>
        <v>Convivencia de funcionalidades NET CASH y SENDA</v>
      </c>
      <c r="AB191" s="4" t="str">
        <f ca="1">IFERROR(__xludf.DUMMYFUNCTION("""COMPUTED_VALUE"""),"Control de opciones de menú que tiene el cliente (direcciona a funcionalidad Net Cash o funcionalidad nextgen)")</f>
        <v>Control de opciones de menú que tiene el cliente (direcciona a funcionalidad Net Cash o funcionalidad nextgen)</v>
      </c>
      <c r="AC191" s="4" t="str">
        <f ca="1">IFERROR(__xludf.DUMMYFUNCTION("""COMPUTED_VALUE"""),"3Q 2023")</f>
        <v>3Q 2023</v>
      </c>
      <c r="AD191" s="4"/>
      <c r="AE191" s="4"/>
      <c r="AF191" s="4"/>
      <c r="AG191" s="4"/>
      <c r="AH191" s="4"/>
      <c r="AI191" s="4"/>
      <c r="AJ191" s="4"/>
      <c r="AK191" s="131" t="str">
        <f ca="1">IFERROR(__xludf.DUMMYFUNCTION("""COMPUTED_VALUE"""),"COLWSCANAL-11454")</f>
        <v>COLWSCANAL-11454</v>
      </c>
      <c r="AL191" s="4" t="str">
        <f ca="1">IFERROR(__xludf.DUMMYFUNCTION("""COMPUTED_VALUE"""),"New")</f>
        <v>New</v>
      </c>
      <c r="AM191" s="4"/>
      <c r="AN191" s="4" t="str">
        <f ca="1">IFERROR(__xludf.DUMMYFUNCTION("""COMPUTED_VALUE"""),"Entregable en Conceptualización")</f>
        <v>Entregable en Conceptualización</v>
      </c>
      <c r="AO191" s="4" t="str">
        <f ca="1">IFERROR(__xludf.DUMMYFUNCTION("""COMPUTED_VALUE"""),"Tranversales")</f>
        <v>Tranversales</v>
      </c>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row>
    <row r="192" spans="1:132" x14ac:dyDescent="0.2">
      <c r="A192" s="4">
        <f ca="1">IFERROR(__xludf.DUMMYFUNCTION("""COMPUTED_VALUE"""),192)</f>
        <v>192</v>
      </c>
      <c r="B192" s="4">
        <f ca="1">IFERROR(__xludf.DUMMYFUNCTION("""COMPUTED_VALUE"""),170)</f>
        <v>170</v>
      </c>
      <c r="C192" s="4" t="str">
        <f ca="1">IFERROR(__xludf.DUMMYFUNCTION("""COMPUTED_VALUE"""),"SDATOOL-40457")</f>
        <v>SDATOOL-40457</v>
      </c>
      <c r="D192" s="4" t="str">
        <f ca="1">IFERROR(__xludf.DUMMYFUNCTION("""COMPUTED_VALUE"""),"SENDA (Base)")</f>
        <v>SENDA (Base)</v>
      </c>
      <c r="E192"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2" s="4" t="str">
        <f ca="1">IFERROR(__xludf.DUMMYFUNCTION("""COMPUTED_VALUE"""),"Project")</f>
        <v>Project</v>
      </c>
      <c r="G192" s="4" t="str">
        <f ca="1">IFERROR(__xludf.DUMMYFUNCTION("""COMPUTED_VALUE"""),"Stock")</f>
        <v>Stock</v>
      </c>
      <c r="H192" s="4" t="str">
        <f ca="1">IFERROR(__xludf.DUMMYFUNCTION("""COMPUTED_VALUE"""),"4Q 2023")</f>
        <v>4Q 2023</v>
      </c>
      <c r="I192" s="131" t="str">
        <f ca="1">IFERROR(__xludf.DUMMYFUNCTION("""COMPUTED_VALUE"""),"nathiahayosara.amado-bbva.com")</f>
        <v>nathiahayosara.amado-bbva.com</v>
      </c>
      <c r="J192" s="131" t="str">
        <f ca="1">IFERROR(__xludf.DUMMYFUNCTION("""COMPUTED_VALUE"""),"leidyjohanna.zambrano-bbva.com")</f>
        <v>leidyjohanna.zambrano-bbva.com</v>
      </c>
      <c r="K192" s="131" t="str">
        <f ca="1">IFERROR(__xludf.DUMMYFUNCTION("""COMPUTED_VALUE"""),"elizabeth.diaz-bbva.com")</f>
        <v>elizabeth.diaz-bbva.com</v>
      </c>
      <c r="L192" s="4"/>
      <c r="M192" s="4"/>
      <c r="N192" s="4"/>
      <c r="O192" s="4" t="str">
        <f ca="1">IFERROR(__xludf.DUMMYFUNCTION("""COMPUTED_VALUE"""),"Scrum")</f>
        <v>Scrum</v>
      </c>
      <c r="P192" s="4" t="str">
        <f ca="1">IFERROR(__xludf.DUMMYFUNCTION("""COMPUTED_VALUE"""),"ULTRON")</f>
        <v>ULTRON</v>
      </c>
      <c r="Q192" s="4"/>
      <c r="R192" s="130" t="str">
        <f ca="1">IFERROR(__xludf.DUMMYFUNCTION("""COMPUTED_VALUE"""),"Enterprises")</f>
        <v>Enterprises</v>
      </c>
      <c r="S192" s="130" t="str">
        <f ca="1">IFERROR(__xludf.DUMMYFUNCTION("""COMPUTED_VALUE"""),"Strategic Review")</f>
        <v>Strategic Review</v>
      </c>
      <c r="T192" s="130" t="str">
        <f ca="1">IFERROR(__xludf.DUMMYFUNCTION("""COMPUTED_VALUE"""),"1. Generación de Ingresos")</f>
        <v>1. Generación de Ingresos</v>
      </c>
      <c r="U192" s="130" t="str">
        <f ca="1">IFERROR(__xludf.DUMMYFUNCTION("""COMPUTED_VALUE"""),"1.5. Otros de Proyectos de Ingresos")</f>
        <v>1.5. Otros de Proyectos de Ingresos</v>
      </c>
      <c r="V192" s="4" t="str">
        <f ca="1">IFERROR(__xludf.DUMMYFUNCTION("""COMPUTED_VALUE"""),"Senda")</f>
        <v>Senda</v>
      </c>
      <c r="W192" s="4">
        <f ca="1">IFERROR(__xludf.DUMMYFUNCTION("""COMPUTED_VALUE"""),1)</f>
        <v>1</v>
      </c>
      <c r="X192" s="4" t="str">
        <f ca="1">IFERROR(__xludf.DUMMYFUNCTION("""COMPUTED_VALUE"""),"08. Enterprise Transactionality")</f>
        <v>08. Enterprise Transactionality</v>
      </c>
      <c r="Y192" s="4" t="str">
        <f ca="1">IFERROR(__xludf.DUMMYFUNCTION("""COMPUTED_VALUE"""),"2.1.1 Horizon - Enterprise")</f>
        <v>2.1.1 Horizon - Enterprise</v>
      </c>
      <c r="Z192" s="132" t="str">
        <f ca="1">IFERROR(__xludf.DUMMYFUNCTION("""COMPUTED_VALUE"""),"711290")</f>
        <v>711290</v>
      </c>
      <c r="AA192" s="4" t="str">
        <f ca="1">IFERROR(__xludf.DUMMYFUNCTION("""COMPUTED_VALUE"""),"Convivencia funcionalidades NETCASH")</f>
        <v>Convivencia funcionalidades NETCASH</v>
      </c>
      <c r="AB192" s="4" t="str">
        <f ca="1">IFERROR(__xludf.DUMMYFUNCTION("""COMPUTED_VALUE"""),"Convivencia del funcionamiento de servicios de NET CASH en el portal de SENDA")</f>
        <v>Convivencia del funcionamiento de servicios de NET CASH en el portal de SENDA</v>
      </c>
      <c r="AC192" s="4" t="str">
        <f ca="1">IFERROR(__xludf.DUMMYFUNCTION("""COMPUTED_VALUE"""),"2Q 2023")</f>
        <v>2Q 2023</v>
      </c>
      <c r="AD192" s="4"/>
      <c r="AE192" s="4"/>
      <c r="AF192" s="4"/>
      <c r="AG192" s="4"/>
      <c r="AH192" s="4"/>
      <c r="AI192" s="4"/>
      <c r="AJ192" s="4"/>
      <c r="AK192" s="4" t="str">
        <f ca="1">IFERROR(__xludf.DUMMYFUNCTION("""COMPUTED_VALUE"""),"Sin asignar")</f>
        <v>Sin asignar</v>
      </c>
      <c r="AL192" s="4" t="str">
        <f ca="1">IFERROR(__xludf.DUMMYFUNCTION("""COMPUTED_VALUE"""),"Sin asignar")</f>
        <v>Sin asignar</v>
      </c>
      <c r="AM192" s="4"/>
      <c r="AN192" s="4" t="str">
        <f ca="1">IFERROR(__xludf.DUMMYFUNCTION("""COMPUTED_VALUE"""),"Entregable en Conceptualización")</f>
        <v>Entregable en Conceptualización</v>
      </c>
      <c r="AO192" s="4" t="str">
        <f ca="1">IFERROR(__xludf.DUMMYFUNCTION("""COMPUTED_VALUE"""),"Tranversales")</f>
        <v>Tranversales</v>
      </c>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row>
    <row r="193" spans="1:132" x14ac:dyDescent="0.2">
      <c r="A193" s="4">
        <f ca="1">IFERROR(__xludf.DUMMYFUNCTION("""COMPUTED_VALUE"""),193)</f>
        <v>193</v>
      </c>
      <c r="B193" s="4">
        <f ca="1">IFERROR(__xludf.DUMMYFUNCTION("""COMPUTED_VALUE"""),171)</f>
        <v>171</v>
      </c>
      <c r="C193" s="4" t="str">
        <f ca="1">IFERROR(__xludf.DUMMYFUNCTION("""COMPUTED_VALUE"""),"SDATOOL-40457")</f>
        <v>SDATOOL-40457</v>
      </c>
      <c r="D193" s="4" t="str">
        <f ca="1">IFERROR(__xludf.DUMMYFUNCTION("""COMPUTED_VALUE"""),"SENDA (Base)")</f>
        <v>SENDA (Base)</v>
      </c>
      <c r="E193"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3" s="4" t="str">
        <f ca="1">IFERROR(__xludf.DUMMYFUNCTION("""COMPUTED_VALUE"""),"Project")</f>
        <v>Project</v>
      </c>
      <c r="G193" s="4" t="str">
        <f ca="1">IFERROR(__xludf.DUMMYFUNCTION("""COMPUTED_VALUE"""),"Stock")</f>
        <v>Stock</v>
      </c>
      <c r="H193" s="4" t="str">
        <f ca="1">IFERROR(__xludf.DUMMYFUNCTION("""COMPUTED_VALUE"""),"4Q 2023")</f>
        <v>4Q 2023</v>
      </c>
      <c r="I193" s="131" t="str">
        <f ca="1">IFERROR(__xludf.DUMMYFUNCTION("""COMPUTED_VALUE"""),"nathiahayosara.amado-bbva.com")</f>
        <v>nathiahayosara.amado-bbva.com</v>
      </c>
      <c r="J193" s="131" t="str">
        <f ca="1">IFERROR(__xludf.DUMMYFUNCTION("""COMPUTED_VALUE"""),"leidyjohanna.zambrano-bbva.com")</f>
        <v>leidyjohanna.zambrano-bbva.com</v>
      </c>
      <c r="K193" s="131" t="str">
        <f ca="1">IFERROR(__xludf.DUMMYFUNCTION("""COMPUTED_VALUE"""),"elizabeth.diaz-bbva.com")</f>
        <v>elizabeth.diaz-bbva.com</v>
      </c>
      <c r="L193" s="4"/>
      <c r="M193" s="4"/>
      <c r="N193" s="4"/>
      <c r="O193" s="4" t="str">
        <f ca="1">IFERROR(__xludf.DUMMYFUNCTION("""COMPUTED_VALUE"""),"Scrum")</f>
        <v>Scrum</v>
      </c>
      <c r="P193" s="4" t="str">
        <f ca="1">IFERROR(__xludf.DUMMYFUNCTION("""COMPUTED_VALUE"""),"ULTRON")</f>
        <v>ULTRON</v>
      </c>
      <c r="Q193" s="4"/>
      <c r="R193" s="130" t="str">
        <f ca="1">IFERROR(__xludf.DUMMYFUNCTION("""COMPUTED_VALUE"""),"Enterprises")</f>
        <v>Enterprises</v>
      </c>
      <c r="S193" s="130" t="str">
        <f ca="1">IFERROR(__xludf.DUMMYFUNCTION("""COMPUTED_VALUE"""),"Strategic Review")</f>
        <v>Strategic Review</v>
      </c>
      <c r="T193" s="130" t="str">
        <f ca="1">IFERROR(__xludf.DUMMYFUNCTION("""COMPUTED_VALUE"""),"1. Generación de Ingresos")</f>
        <v>1. Generación de Ingresos</v>
      </c>
      <c r="U193" s="130" t="str">
        <f ca="1">IFERROR(__xludf.DUMMYFUNCTION("""COMPUTED_VALUE"""),"1.5. Otros de Proyectos de Ingresos")</f>
        <v>1.5. Otros de Proyectos de Ingresos</v>
      </c>
      <c r="V193" s="4" t="str">
        <f ca="1">IFERROR(__xludf.DUMMYFUNCTION("""COMPUTED_VALUE"""),"Senda")</f>
        <v>Senda</v>
      </c>
      <c r="W193" s="4">
        <f ca="1">IFERROR(__xludf.DUMMYFUNCTION("""COMPUTED_VALUE"""),1)</f>
        <v>1</v>
      </c>
      <c r="X193" s="4" t="str">
        <f ca="1">IFERROR(__xludf.DUMMYFUNCTION("""COMPUTED_VALUE"""),"08. Enterprise Transactionality")</f>
        <v>08. Enterprise Transactionality</v>
      </c>
      <c r="Y193" s="4" t="str">
        <f ca="1">IFERROR(__xludf.DUMMYFUNCTION("""COMPUTED_VALUE"""),"2.1.1 Horizon - Enterprise")</f>
        <v>2.1.1 Horizon - Enterprise</v>
      </c>
      <c r="Z193" s="132" t="str">
        <f ca="1">IFERROR(__xludf.DUMMYFUNCTION("""COMPUTED_VALUE"""),"711292")</f>
        <v>711292</v>
      </c>
      <c r="AA193" s="4" t="str">
        <f ca="1">IFERROR(__xludf.DUMMYFUNCTION("""COMPUTED_VALUE"""),"Menurización de servicios SENDA")</f>
        <v>Menurización de servicios SENDA</v>
      </c>
      <c r="AB193" s="4" t="str">
        <f ca="1">IFERROR(__xludf.DUMMYFUNCTION("""COMPUTED_VALUE"""),"Generación del menú literal izquierdo, de acuerdo a los servicios contratados por el cliente")</f>
        <v>Generación del menú literal izquierdo, de acuerdo a los servicios contratados por el cliente</v>
      </c>
      <c r="AC193" s="4" t="str">
        <f ca="1">IFERROR(__xludf.DUMMYFUNCTION("""COMPUTED_VALUE"""),"3Q 2023")</f>
        <v>3Q 2023</v>
      </c>
      <c r="AD193" s="4"/>
      <c r="AE193" s="4"/>
      <c r="AF193" s="4"/>
      <c r="AG193" s="4"/>
      <c r="AH193" s="4"/>
      <c r="AI193" s="4"/>
      <c r="AJ193" s="4"/>
      <c r="AK193" s="131" t="str">
        <f ca="1">IFERROR(__xludf.DUMMYFUNCTION("""COMPUTED_VALUE"""),"COLWSCANAL-12773")</f>
        <v>COLWSCANAL-12773</v>
      </c>
      <c r="AL193" s="4" t="str">
        <f ca="1">IFERROR(__xludf.DUMMYFUNCTION("""COMPUTED_VALUE"""),"New")</f>
        <v>New</v>
      </c>
      <c r="AM193" s="4"/>
      <c r="AN193" s="4" t="str">
        <f ca="1">IFERROR(__xludf.DUMMYFUNCTION("""COMPUTED_VALUE"""),"Entregable en Conceptualización")</f>
        <v>Entregable en Conceptualización</v>
      </c>
      <c r="AO193" s="4" t="str">
        <f ca="1">IFERROR(__xludf.DUMMYFUNCTION("""COMPUTED_VALUE"""),"Tranversales")</f>
        <v>Tranversales</v>
      </c>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row>
    <row r="194" spans="1:132" x14ac:dyDescent="0.2">
      <c r="A194" s="4">
        <f ca="1">IFERROR(__xludf.DUMMYFUNCTION("""COMPUTED_VALUE"""),194)</f>
        <v>194</v>
      </c>
      <c r="B194" s="4">
        <f ca="1">IFERROR(__xludf.DUMMYFUNCTION("""COMPUTED_VALUE"""),172)</f>
        <v>172</v>
      </c>
      <c r="C194" s="4" t="str">
        <f ca="1">IFERROR(__xludf.DUMMYFUNCTION("""COMPUTED_VALUE"""),"SDATOOL-40457")</f>
        <v>SDATOOL-40457</v>
      </c>
      <c r="D194" s="4" t="str">
        <f ca="1">IFERROR(__xludf.DUMMYFUNCTION("""COMPUTED_VALUE"""),"SENDA (Base)")</f>
        <v>SENDA (Base)</v>
      </c>
      <c r="E194"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4" s="4" t="str">
        <f ca="1">IFERROR(__xludf.DUMMYFUNCTION("""COMPUTED_VALUE"""),"Project")</f>
        <v>Project</v>
      </c>
      <c r="G194" s="4" t="str">
        <f ca="1">IFERROR(__xludf.DUMMYFUNCTION("""COMPUTED_VALUE"""),"Stock")</f>
        <v>Stock</v>
      </c>
      <c r="H194" s="4" t="str">
        <f ca="1">IFERROR(__xludf.DUMMYFUNCTION("""COMPUTED_VALUE"""),"4Q 2023")</f>
        <v>4Q 2023</v>
      </c>
      <c r="I194" s="131" t="str">
        <f ca="1">IFERROR(__xludf.DUMMYFUNCTION("""COMPUTED_VALUE"""),"nathiahayosara.amado-bbva.com")</f>
        <v>nathiahayosara.amado-bbva.com</v>
      </c>
      <c r="J194" s="131" t="str">
        <f ca="1">IFERROR(__xludf.DUMMYFUNCTION("""COMPUTED_VALUE"""),"leidyjohanna.zambrano-bbva.com")</f>
        <v>leidyjohanna.zambrano-bbva.com</v>
      </c>
      <c r="K194" s="131" t="str">
        <f ca="1">IFERROR(__xludf.DUMMYFUNCTION("""COMPUTED_VALUE"""),"elizabeth.diaz-bbva.com")</f>
        <v>elizabeth.diaz-bbva.com</v>
      </c>
      <c r="L194" s="4"/>
      <c r="M194" s="4"/>
      <c r="N194" s="4"/>
      <c r="O194" s="4" t="str">
        <f ca="1">IFERROR(__xludf.DUMMYFUNCTION("""COMPUTED_VALUE"""),"Scrum")</f>
        <v>Scrum</v>
      </c>
      <c r="P194" s="4" t="str">
        <f ca="1">IFERROR(__xludf.DUMMYFUNCTION("""COMPUTED_VALUE"""),"ULTRON")</f>
        <v>ULTRON</v>
      </c>
      <c r="Q194" s="4"/>
      <c r="R194" s="130" t="str">
        <f ca="1">IFERROR(__xludf.DUMMYFUNCTION("""COMPUTED_VALUE"""),"Enterprises")</f>
        <v>Enterprises</v>
      </c>
      <c r="S194" s="130" t="str">
        <f ca="1">IFERROR(__xludf.DUMMYFUNCTION("""COMPUTED_VALUE"""),"Strategic Review")</f>
        <v>Strategic Review</v>
      </c>
      <c r="T194" s="130" t="str">
        <f ca="1">IFERROR(__xludf.DUMMYFUNCTION("""COMPUTED_VALUE"""),"1. Generación de Ingresos")</f>
        <v>1. Generación de Ingresos</v>
      </c>
      <c r="U194" s="130" t="str">
        <f ca="1">IFERROR(__xludf.DUMMYFUNCTION("""COMPUTED_VALUE"""),"1.5. Otros de Proyectos de Ingresos")</f>
        <v>1.5. Otros de Proyectos de Ingresos</v>
      </c>
      <c r="V194" s="4" t="str">
        <f ca="1">IFERROR(__xludf.DUMMYFUNCTION("""COMPUTED_VALUE"""),"Senda")</f>
        <v>Senda</v>
      </c>
      <c r="W194" s="4">
        <f ca="1">IFERROR(__xludf.DUMMYFUNCTION("""COMPUTED_VALUE"""),1)</f>
        <v>1</v>
      </c>
      <c r="X194" s="4" t="str">
        <f ca="1">IFERROR(__xludf.DUMMYFUNCTION("""COMPUTED_VALUE"""),"08. Enterprise Transactionality")</f>
        <v>08. Enterprise Transactionality</v>
      </c>
      <c r="Y194" s="4" t="str">
        <f ca="1">IFERROR(__xludf.DUMMYFUNCTION("""COMPUTED_VALUE"""),"2.1.1 Horizon - Enterprise")</f>
        <v>2.1.1 Horizon - Enterprise</v>
      </c>
      <c r="Z194" s="132" t="str">
        <f ca="1">IFERROR(__xludf.DUMMYFUNCTION("""COMPUTED_VALUE"""),"711294")</f>
        <v>711294</v>
      </c>
      <c r="AA194" s="4" t="str">
        <f ca="1">IFERROR(__xludf.DUMMYFUNCTION("""COMPUTED_VALUE"""),"Multiidioma canal SENDA (Traducciones)")</f>
        <v>Multiidioma canal SENDA (Traducciones)</v>
      </c>
      <c r="AB194" s="4" t="str">
        <f ca="1">IFERROR(__xludf.DUMMYFUNCTION("""COMPUTED_VALUE"""),"Se entregará al cliente el portal de SENDA en idioma inglés")</f>
        <v>Se entregará al cliente el portal de SENDA en idioma inglés</v>
      </c>
      <c r="AC194" s="4" t="str">
        <f ca="1">IFERROR(__xludf.DUMMYFUNCTION("""COMPUTED_VALUE"""),"3Q 2023")</f>
        <v>3Q 2023</v>
      </c>
      <c r="AD194" s="4"/>
      <c r="AE194" s="4"/>
      <c r="AF194" s="4"/>
      <c r="AG194" s="4"/>
      <c r="AH194" s="4"/>
      <c r="AI194" s="4"/>
      <c r="AJ194" s="4"/>
      <c r="AK194" s="131" t="str">
        <f ca="1">IFERROR(__xludf.DUMMYFUNCTION("""COMPUTED_VALUE"""),"COLWSCANAL-14307")</f>
        <v>COLWSCANAL-14307</v>
      </c>
      <c r="AL194" s="4" t="str">
        <f ca="1">IFERROR(__xludf.DUMMYFUNCTION("""COMPUTED_VALUE"""),"New")</f>
        <v>New</v>
      </c>
      <c r="AM194" s="4"/>
      <c r="AN194" s="4" t="str">
        <f ca="1">IFERROR(__xludf.DUMMYFUNCTION("""COMPUTED_VALUE"""),"Entregable en Conceptualización")</f>
        <v>Entregable en Conceptualización</v>
      </c>
      <c r="AO194" s="4" t="str">
        <f ca="1">IFERROR(__xludf.DUMMYFUNCTION("""COMPUTED_VALUE"""),"Tranversales")</f>
        <v>Tranversales</v>
      </c>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row>
    <row r="195" spans="1:132" x14ac:dyDescent="0.2">
      <c r="A195" s="4">
        <f ca="1">IFERROR(__xludf.DUMMYFUNCTION("""COMPUTED_VALUE"""),195)</f>
        <v>195</v>
      </c>
      <c r="B195" s="4">
        <f ca="1">IFERROR(__xludf.DUMMYFUNCTION("""COMPUTED_VALUE"""),173)</f>
        <v>173</v>
      </c>
      <c r="C195" s="4" t="str">
        <f ca="1">IFERROR(__xludf.DUMMYFUNCTION("""COMPUTED_VALUE"""),"SDATOOL-40457")</f>
        <v>SDATOOL-40457</v>
      </c>
      <c r="D195" s="4" t="str">
        <f ca="1">IFERROR(__xludf.DUMMYFUNCTION("""COMPUTED_VALUE"""),"SENDA (Base)")</f>
        <v>SENDA (Base)</v>
      </c>
      <c r="E195"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5" s="4" t="str">
        <f ca="1">IFERROR(__xludf.DUMMYFUNCTION("""COMPUTED_VALUE"""),"Project")</f>
        <v>Project</v>
      </c>
      <c r="G195" s="4" t="str">
        <f ca="1">IFERROR(__xludf.DUMMYFUNCTION("""COMPUTED_VALUE"""),"Stock")</f>
        <v>Stock</v>
      </c>
      <c r="H195" s="4" t="str">
        <f ca="1">IFERROR(__xludf.DUMMYFUNCTION("""COMPUTED_VALUE"""),"4Q 2023")</f>
        <v>4Q 2023</v>
      </c>
      <c r="I195" s="131" t="str">
        <f ca="1">IFERROR(__xludf.DUMMYFUNCTION("""COMPUTED_VALUE"""),"nathiahayosara.amado-bbva.com")</f>
        <v>nathiahayosara.amado-bbva.com</v>
      </c>
      <c r="J195" s="131" t="str">
        <f ca="1">IFERROR(__xludf.DUMMYFUNCTION("""COMPUTED_VALUE"""),"leidyjohanna.zambrano-bbva.com")</f>
        <v>leidyjohanna.zambrano-bbva.com</v>
      </c>
      <c r="K195" s="131" t="str">
        <f ca="1">IFERROR(__xludf.DUMMYFUNCTION("""COMPUTED_VALUE"""),"elizabeth.diaz-bbva.com")</f>
        <v>elizabeth.diaz-bbva.com</v>
      </c>
      <c r="L195" s="4"/>
      <c r="M195" s="4"/>
      <c r="N195" s="4"/>
      <c r="O195" s="4" t="str">
        <f ca="1">IFERROR(__xludf.DUMMYFUNCTION("""COMPUTED_VALUE"""),"Scrum")</f>
        <v>Scrum</v>
      </c>
      <c r="P195" s="4" t="str">
        <f ca="1">IFERROR(__xludf.DUMMYFUNCTION("""COMPUTED_VALUE"""),"ULTRON")</f>
        <v>ULTRON</v>
      </c>
      <c r="Q195" s="4"/>
      <c r="R195" s="130" t="str">
        <f ca="1">IFERROR(__xludf.DUMMYFUNCTION("""COMPUTED_VALUE"""),"Enterprises")</f>
        <v>Enterprises</v>
      </c>
      <c r="S195" s="130" t="str">
        <f ca="1">IFERROR(__xludf.DUMMYFUNCTION("""COMPUTED_VALUE"""),"Strategic Review")</f>
        <v>Strategic Review</v>
      </c>
      <c r="T195" s="130" t="str">
        <f ca="1">IFERROR(__xludf.DUMMYFUNCTION("""COMPUTED_VALUE"""),"1. Generación de Ingresos")</f>
        <v>1. Generación de Ingresos</v>
      </c>
      <c r="U195" s="130" t="str">
        <f ca="1">IFERROR(__xludf.DUMMYFUNCTION("""COMPUTED_VALUE"""),"1.5. Otros de Proyectos de Ingresos")</f>
        <v>1.5. Otros de Proyectos de Ingresos</v>
      </c>
      <c r="V195" s="4" t="str">
        <f ca="1">IFERROR(__xludf.DUMMYFUNCTION("""COMPUTED_VALUE"""),"Senda")</f>
        <v>Senda</v>
      </c>
      <c r="W195" s="4">
        <f ca="1">IFERROR(__xludf.DUMMYFUNCTION("""COMPUTED_VALUE"""),1)</f>
        <v>1</v>
      </c>
      <c r="X195" s="4" t="str">
        <f ca="1">IFERROR(__xludf.DUMMYFUNCTION("""COMPUTED_VALUE"""),"08. Enterprise Transactionality")</f>
        <v>08. Enterprise Transactionality</v>
      </c>
      <c r="Y195" s="4" t="str">
        <f ca="1">IFERROR(__xludf.DUMMYFUNCTION("""COMPUTED_VALUE"""),"2.1.1 Horizon - Enterprise")</f>
        <v>2.1.1 Horizon - Enterprise</v>
      </c>
      <c r="Z195" s="132" t="str">
        <f ca="1">IFERROR(__xludf.DUMMYFUNCTION("""COMPUTED_VALUE"""),"711291")</f>
        <v>711291</v>
      </c>
      <c r="AA195" s="4" t="str">
        <f ca="1">IFERROR(__xludf.DUMMYFUNCTION("""COMPUTED_VALUE"""),"Portalización de usuarios")</f>
        <v>Portalización de usuarios</v>
      </c>
      <c r="AB195" s="4" t="str">
        <f ca="1">IFERROR(__xludf.DUMMYFUNCTION("""COMPUTED_VALUE"""),"Gestión de configuraciones de acceso a usuarios sobre los servicios y mostrar las opciones correspondientes")</f>
        <v>Gestión de configuraciones de acceso a usuarios sobre los servicios y mostrar las opciones correspondientes</v>
      </c>
      <c r="AC195" s="4" t="str">
        <f ca="1">IFERROR(__xludf.DUMMYFUNCTION("""COMPUTED_VALUE"""),"3Q 2023")</f>
        <v>3Q 2023</v>
      </c>
      <c r="AD195" s="4"/>
      <c r="AE195" s="4"/>
      <c r="AF195" s="4"/>
      <c r="AG195" s="4"/>
      <c r="AH195" s="4"/>
      <c r="AI195" s="4"/>
      <c r="AJ195" s="4"/>
      <c r="AK195" s="131" t="str">
        <f ca="1">IFERROR(__xludf.DUMMYFUNCTION("""COMPUTED_VALUE"""),"COLWSCANAL-12747")</f>
        <v>COLWSCANAL-12747</v>
      </c>
      <c r="AL195" s="4" t="str">
        <f ca="1">IFERROR(__xludf.DUMMYFUNCTION("""COMPUTED_VALUE"""),"New")</f>
        <v>New</v>
      </c>
      <c r="AM195" s="4"/>
      <c r="AN195" s="4" t="str">
        <f ca="1">IFERROR(__xludf.DUMMYFUNCTION("""COMPUTED_VALUE"""),"Entregable en Conceptualización")</f>
        <v>Entregable en Conceptualización</v>
      </c>
      <c r="AO195" s="4" t="str">
        <f ca="1">IFERROR(__xludf.DUMMYFUNCTION("""COMPUTED_VALUE"""),"Tranversales")</f>
        <v>Tranversales</v>
      </c>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row>
    <row r="196" spans="1:132" x14ac:dyDescent="0.2">
      <c r="A196" s="4">
        <f ca="1">IFERROR(__xludf.DUMMYFUNCTION("""COMPUTED_VALUE"""),196)</f>
        <v>196</v>
      </c>
      <c r="B196" s="4">
        <f ca="1">IFERROR(__xludf.DUMMYFUNCTION("""COMPUTED_VALUE"""),174)</f>
        <v>174</v>
      </c>
      <c r="C196" s="4" t="str">
        <f ca="1">IFERROR(__xludf.DUMMYFUNCTION("""COMPUTED_VALUE"""),"SDATOOL-40457")</f>
        <v>SDATOOL-40457</v>
      </c>
      <c r="D196" s="4" t="str">
        <f ca="1">IFERROR(__xludf.DUMMYFUNCTION("""COMPUTED_VALUE"""),"SENDA (Base)")</f>
        <v>SENDA (Base)</v>
      </c>
      <c r="E196"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6" s="4" t="str">
        <f ca="1">IFERROR(__xludf.DUMMYFUNCTION("""COMPUTED_VALUE"""),"Project")</f>
        <v>Project</v>
      </c>
      <c r="G196" s="4" t="str">
        <f ca="1">IFERROR(__xludf.DUMMYFUNCTION("""COMPUTED_VALUE"""),"Stock")</f>
        <v>Stock</v>
      </c>
      <c r="H196" s="4" t="str">
        <f ca="1">IFERROR(__xludf.DUMMYFUNCTION("""COMPUTED_VALUE"""),"4Q 2023")</f>
        <v>4Q 2023</v>
      </c>
      <c r="I196" s="131" t="str">
        <f ca="1">IFERROR(__xludf.DUMMYFUNCTION("""COMPUTED_VALUE"""),"nathiahayosara.amado-bbva.com")</f>
        <v>nathiahayosara.amado-bbva.com</v>
      </c>
      <c r="J196" s="131" t="str">
        <f ca="1">IFERROR(__xludf.DUMMYFUNCTION("""COMPUTED_VALUE"""),"leidyjohanna.zambrano-bbva.com")</f>
        <v>leidyjohanna.zambrano-bbva.com</v>
      </c>
      <c r="K196" s="131" t="str">
        <f ca="1">IFERROR(__xludf.DUMMYFUNCTION("""COMPUTED_VALUE"""),"elizabeth.diaz-bbva.com")</f>
        <v>elizabeth.diaz-bbva.com</v>
      </c>
      <c r="L196" s="4"/>
      <c r="M196" s="4"/>
      <c r="N196" s="4"/>
      <c r="O196" s="4" t="str">
        <f ca="1">IFERROR(__xludf.DUMMYFUNCTION("""COMPUTED_VALUE"""),"Scrum")</f>
        <v>Scrum</v>
      </c>
      <c r="P196" s="4" t="str">
        <f ca="1">IFERROR(__xludf.DUMMYFUNCTION("""COMPUTED_VALUE"""),"ULTRON")</f>
        <v>ULTRON</v>
      </c>
      <c r="Q196" s="4"/>
      <c r="R196" s="130" t="str">
        <f ca="1">IFERROR(__xludf.DUMMYFUNCTION("""COMPUTED_VALUE"""),"Enterprises")</f>
        <v>Enterprises</v>
      </c>
      <c r="S196" s="130" t="str">
        <f ca="1">IFERROR(__xludf.DUMMYFUNCTION("""COMPUTED_VALUE"""),"Strategic Review")</f>
        <v>Strategic Review</v>
      </c>
      <c r="T196" s="130" t="str">
        <f ca="1">IFERROR(__xludf.DUMMYFUNCTION("""COMPUTED_VALUE"""),"1. Generación de Ingresos")</f>
        <v>1. Generación de Ingresos</v>
      </c>
      <c r="U196" s="130" t="str">
        <f ca="1">IFERROR(__xludf.DUMMYFUNCTION("""COMPUTED_VALUE"""),"1.5. Otros de Proyectos de Ingresos")</f>
        <v>1.5. Otros de Proyectos de Ingresos</v>
      </c>
      <c r="V196" s="4" t="str">
        <f ca="1">IFERROR(__xludf.DUMMYFUNCTION("""COMPUTED_VALUE"""),"Senda")</f>
        <v>Senda</v>
      </c>
      <c r="W196" s="4">
        <f ca="1">IFERROR(__xludf.DUMMYFUNCTION("""COMPUTED_VALUE"""),1)</f>
        <v>1</v>
      </c>
      <c r="X196" s="4" t="str">
        <f ca="1">IFERROR(__xludf.DUMMYFUNCTION("""COMPUTED_VALUE"""),"08. Enterprise Transactionality")</f>
        <v>08. Enterprise Transactionality</v>
      </c>
      <c r="Y196" s="4" t="str">
        <f ca="1">IFERROR(__xludf.DUMMYFUNCTION("""COMPUTED_VALUE"""),"2.1.1 Horizon - Enterprise")</f>
        <v>2.1.1 Horizon - Enterprise</v>
      </c>
      <c r="Z196" s="132" t="str">
        <f ca="1">IFERROR(__xludf.DUMMYFUNCTION("""COMPUTED_VALUE"""),"711289")</f>
        <v>711289</v>
      </c>
      <c r="AA196" s="4" t="str">
        <f ca="1">IFERROR(__xludf.DUMMYFUNCTION("""COMPUTED_VALUE"""),"Redirección de clientes - NETCASH y SENDA")</f>
        <v>Redirección de clientes - NETCASH y SENDA</v>
      </c>
      <c r="AB196" s="4" t="str">
        <f ca="1">IFERROR(__xludf.DUMMYFUNCTION("""COMPUTED_VALUE"""),"Redirección de clientes - NETCASH y SENDA")</f>
        <v>Redirección de clientes - NETCASH y SENDA</v>
      </c>
      <c r="AC196" s="4" t="str">
        <f ca="1">IFERROR(__xludf.DUMMYFUNCTION("""COMPUTED_VALUE"""),"2Q 2023")</f>
        <v>2Q 2023</v>
      </c>
      <c r="AD196" s="4"/>
      <c r="AE196" s="4"/>
      <c r="AF196" s="4"/>
      <c r="AG196" s="4"/>
      <c r="AH196" s="4"/>
      <c r="AI196" s="4"/>
      <c r="AJ196" s="4"/>
      <c r="AK196" s="131" t="str">
        <f ca="1">IFERROR(__xludf.DUMMYFUNCTION("""COMPUTED_VALUE"""),"COLWSCANAL-11453")</f>
        <v>COLWSCANAL-11453</v>
      </c>
      <c r="AL196" s="4" t="str">
        <f ca="1">IFERROR(__xludf.DUMMYFUNCTION("""COMPUTED_VALUE"""),"New")</f>
        <v>New</v>
      </c>
      <c r="AM196" s="4"/>
      <c r="AN196" s="4" t="str">
        <f ca="1">IFERROR(__xludf.DUMMYFUNCTION("""COMPUTED_VALUE"""),"Entregable en Conceptualización")</f>
        <v>Entregable en Conceptualización</v>
      </c>
      <c r="AO196" s="4" t="str">
        <f ca="1">IFERROR(__xludf.DUMMYFUNCTION("""COMPUTED_VALUE"""),"Tranversales")</f>
        <v>Tranversales</v>
      </c>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row>
    <row r="197" spans="1:132" x14ac:dyDescent="0.2">
      <c r="A197" s="4">
        <f ca="1">IFERROR(__xludf.DUMMYFUNCTION("""COMPUTED_VALUE"""),197)</f>
        <v>197</v>
      </c>
      <c r="B197" s="4">
        <f ca="1">IFERROR(__xludf.DUMMYFUNCTION("""COMPUTED_VALUE"""),175)</f>
        <v>175</v>
      </c>
      <c r="C197" s="4" t="str">
        <f ca="1">IFERROR(__xludf.DUMMYFUNCTION("""COMPUTED_VALUE"""),"SDATOOL-40528")</f>
        <v>SDATOOL-40528</v>
      </c>
      <c r="D197" s="4" t="str">
        <f ca="1">IFERROR(__xludf.DUMMYFUNCTION("""COMPUTED_VALUE"""),"ETPB - SENDA PAGOS")</f>
        <v>ETPB - SENDA PAGOS</v>
      </c>
      <c r="E197"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7" s="4" t="str">
        <f ca="1">IFERROR(__xludf.DUMMYFUNCTION("""COMPUTED_VALUE"""),"Project")</f>
        <v>Project</v>
      </c>
      <c r="G197" s="4" t="str">
        <f ca="1">IFERROR(__xludf.DUMMYFUNCTION("""COMPUTED_VALUE"""),"Stock")</f>
        <v>Stock</v>
      </c>
      <c r="H197" s="4" t="str">
        <f ca="1">IFERROR(__xludf.DUMMYFUNCTION("""COMPUTED_VALUE"""),"4Q 2023")</f>
        <v>4Q 2023</v>
      </c>
      <c r="I197" s="131" t="str">
        <f ca="1">IFERROR(__xludf.DUMMYFUNCTION("""COMPUTED_VALUE"""),"nathiahayosara.amado-bbva.com")</f>
        <v>nathiahayosara.amado-bbva.com</v>
      </c>
      <c r="J197" s="131" t="str">
        <f ca="1">IFERROR(__xludf.DUMMYFUNCTION("""COMPUTED_VALUE"""),"leidyjohanna.zambrano-bbva.com")</f>
        <v>leidyjohanna.zambrano-bbva.com</v>
      </c>
      <c r="K197" s="131" t="str">
        <f ca="1">IFERROR(__xludf.DUMMYFUNCTION("""COMPUTED_VALUE"""),"elizabeth.diaz-bbva.com")</f>
        <v>elizabeth.diaz-bbva.com</v>
      </c>
      <c r="L197" s="130">
        <f ca="1">IFERROR(__xludf.DUMMYFUNCTION("""COMPUTED_VALUE"""),0.5)</f>
        <v>0.5</v>
      </c>
      <c r="M197" s="130">
        <f ca="1">IFERROR(__xludf.DUMMYFUNCTION("""COMPUTED_VALUE"""),2.5)</f>
        <v>2.5</v>
      </c>
      <c r="N197" s="130">
        <f ca="1">IFERROR(__xludf.DUMMYFUNCTION("""COMPUTED_VALUE"""),6)</f>
        <v>6</v>
      </c>
      <c r="O197" s="4" t="str">
        <f ca="1">IFERROR(__xludf.DUMMYFUNCTION("""COMPUTED_VALUE"""),"Scrum")</f>
        <v>Scrum</v>
      </c>
      <c r="P197" s="4" t="str">
        <f ca="1">IFERROR(__xludf.DUMMYFUNCTION("""COMPUTED_VALUE"""),"DRACARYS")</f>
        <v>DRACARYS</v>
      </c>
      <c r="Q197" s="130">
        <f ca="1">IFERROR(__xludf.DUMMYFUNCTION("""COMPUTED_VALUE"""),1)</f>
        <v>1</v>
      </c>
      <c r="R197" s="130" t="str">
        <f ca="1">IFERROR(__xludf.DUMMYFUNCTION("""COMPUTED_VALUE"""),"Enterprises")</f>
        <v>Enterprises</v>
      </c>
      <c r="S197" s="130" t="str">
        <f ca="1">IFERROR(__xludf.DUMMYFUNCTION("""COMPUTED_VALUE"""),"Strategic Review")</f>
        <v>Strategic Review</v>
      </c>
      <c r="T197" s="130" t="str">
        <f ca="1">IFERROR(__xludf.DUMMYFUNCTION("""COMPUTED_VALUE"""),"1. Generación de Ingresos")</f>
        <v>1. Generación de Ingresos</v>
      </c>
      <c r="U197" s="130" t="str">
        <f ca="1">IFERROR(__xludf.DUMMYFUNCTION("""COMPUTED_VALUE"""),"1.5. Otros de Proyectos de Ingresos")</f>
        <v>1.5. Otros de Proyectos de Ingresos</v>
      </c>
      <c r="V197" s="4" t="str">
        <f ca="1">IFERROR(__xludf.DUMMYFUNCTION("""COMPUTED_VALUE"""),"Senda")</f>
        <v>Senda</v>
      </c>
      <c r="W197" s="4">
        <f ca="1">IFERROR(__xludf.DUMMYFUNCTION("""COMPUTED_VALUE"""),1)</f>
        <v>1</v>
      </c>
      <c r="X197" s="4" t="str">
        <f ca="1">IFERROR(__xludf.DUMMYFUNCTION("""COMPUTED_VALUE"""),"08. Enterprise Transactionality")</f>
        <v>08. Enterprise Transactionality</v>
      </c>
      <c r="Y197" s="4" t="str">
        <f ca="1">IFERROR(__xludf.DUMMYFUNCTION("""COMPUTED_VALUE"""),"2.1.1 Horizon - Enterprise")</f>
        <v>2.1.1 Horizon - Enterprise</v>
      </c>
      <c r="Z197" s="132" t="str">
        <f ca="1">IFERROR(__xludf.DUMMYFUNCTION("""COMPUTED_VALUE"""),"560505")</f>
        <v>560505</v>
      </c>
      <c r="AA197" s="4" t="str">
        <f ca="1">IFERROR(__xludf.DUMMYFUNCTION("""COMPUTED_VALUE"""),"Transferencias flujo por archivo - (creación y procesamiento)")</f>
        <v>Transferencias flujo por archivo - (creación y procesamiento)</v>
      </c>
      <c r="AB197" s="4" t="str">
        <f ca="1">IFERROR(__xludf.DUMMYFUNCTION("""COMPUTED_VALUE"""),"Se generá la entrega del flujo de pago mediante la carga de un archivo en la estructura por incorporación, se realizaran las validaciones correspondientes de estructuras, limites por usuario y limites de firma")</f>
        <v>Se generá la entrega del flujo de pago mediante la carga de un archivo en la estructura por incorporación, se realizaran las validaciones correspondientes de estructuras, limites por usuario y limites de firma</v>
      </c>
      <c r="AC197" s="4" t="str">
        <f ca="1">IFERROR(__xludf.DUMMYFUNCTION("""COMPUTED_VALUE"""),"3Q 2023")</f>
        <v>3Q 2023</v>
      </c>
      <c r="AD197" s="4"/>
      <c r="AE197" s="4"/>
      <c r="AF197" s="4"/>
      <c r="AG197" s="4"/>
      <c r="AH197" s="4"/>
      <c r="AI197" s="4"/>
      <c r="AJ197" s="4"/>
      <c r="AK197" s="131" t="str">
        <f ca="1">IFERROR(__xludf.DUMMYFUNCTION("""COMPUTED_VALUE"""),"COLWSCANAL-7085")</f>
        <v>COLWSCANAL-7085</v>
      </c>
      <c r="AL197" s="4" t="str">
        <f ca="1">IFERROR(__xludf.DUMMYFUNCTION("""COMPUTED_VALUE"""),"New")</f>
        <v>New</v>
      </c>
      <c r="AM197" s="4"/>
      <c r="AN197" s="4" t="str">
        <f ca="1">IFERROR(__xludf.DUMMYFUNCTION("""COMPUTED_VALUE"""),"Entregable en desarrollo")</f>
        <v>Entregable en desarrollo</v>
      </c>
      <c r="AO197" s="4" t="str">
        <f ca="1">IFERROR(__xludf.DUMMYFUNCTION("""COMPUTED_VALUE"""),"Transversales")</f>
        <v>Transversales</v>
      </c>
      <c r="AP197" s="4"/>
      <c r="AQ197" s="4"/>
      <c r="AR197" s="4" t="str">
        <f ca="1">IFERROR(__xludf.DUMMYFUNCTION("""COMPUTED_VALUE"""),"SDA aprobada en PPP Q1 2023")</f>
        <v>SDA aprobada en PPP Q1 2023</v>
      </c>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133">
        <f ca="1">IFERROR(__xludf.DUMMYFUNCTION("""COMPUTED_VALUE"""),0)</f>
        <v>0</v>
      </c>
      <c r="DV197" s="133">
        <f ca="1">IFERROR(__xludf.DUMMYFUNCTION("""COMPUTED_VALUE"""),0)</f>
        <v>0</v>
      </c>
      <c r="DW197" s="133">
        <f ca="1">IFERROR(__xludf.DUMMYFUNCTION("""COMPUTED_VALUE"""),0)</f>
        <v>0</v>
      </c>
      <c r="DX197" s="133">
        <f ca="1">IFERROR(__xludf.DUMMYFUNCTION("""COMPUTED_VALUE"""),1525200457)</f>
        <v>1525200457</v>
      </c>
      <c r="DY197" s="133">
        <f ca="1">IFERROR(__xludf.DUMMYFUNCTION("""COMPUTED_VALUE"""),0)</f>
        <v>0</v>
      </c>
      <c r="DZ197" s="133">
        <f ca="1">IFERROR(__xludf.DUMMYFUNCTION("""COMPUTED_VALUE"""),1525200457)</f>
        <v>1525200457</v>
      </c>
      <c r="EA197" s="4"/>
      <c r="EB197" s="4"/>
    </row>
    <row r="198" spans="1:132" x14ac:dyDescent="0.2">
      <c r="A198" s="4">
        <f ca="1">IFERROR(__xludf.DUMMYFUNCTION("""COMPUTED_VALUE"""),198)</f>
        <v>198</v>
      </c>
      <c r="B198" s="4">
        <f ca="1">IFERROR(__xludf.DUMMYFUNCTION("""COMPUTED_VALUE"""),176)</f>
        <v>176</v>
      </c>
      <c r="C198" s="4" t="str">
        <f ca="1">IFERROR(__xludf.DUMMYFUNCTION("""COMPUTED_VALUE"""),"SDATOOL-40528")</f>
        <v>SDATOOL-40528</v>
      </c>
      <c r="D198" s="4" t="str">
        <f ca="1">IFERROR(__xludf.DUMMYFUNCTION("""COMPUTED_VALUE"""),"ETPB - SENDA PAGOS")</f>
        <v>ETPB - SENDA PAGOS</v>
      </c>
      <c r="E198"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8" s="4" t="str">
        <f ca="1">IFERROR(__xludf.DUMMYFUNCTION("""COMPUTED_VALUE"""),"Project")</f>
        <v>Project</v>
      </c>
      <c r="G198" s="4" t="str">
        <f ca="1">IFERROR(__xludf.DUMMYFUNCTION("""COMPUTED_VALUE"""),"Stock")</f>
        <v>Stock</v>
      </c>
      <c r="H198" s="4" t="str">
        <f ca="1">IFERROR(__xludf.DUMMYFUNCTION("""COMPUTED_VALUE"""),"4Q 2023")</f>
        <v>4Q 2023</v>
      </c>
      <c r="I198" s="131" t="str">
        <f ca="1">IFERROR(__xludf.DUMMYFUNCTION("""COMPUTED_VALUE"""),"nathiahayosara.amado-bbva.com")</f>
        <v>nathiahayosara.amado-bbva.com</v>
      </c>
      <c r="J198" s="131" t="str">
        <f ca="1">IFERROR(__xludf.DUMMYFUNCTION("""COMPUTED_VALUE"""),"leidyjohanna.zambrano-bbva.com")</f>
        <v>leidyjohanna.zambrano-bbva.com</v>
      </c>
      <c r="K198" s="131" t="str">
        <f ca="1">IFERROR(__xludf.DUMMYFUNCTION("""COMPUTED_VALUE"""),"elizabeth.diaz-bbva.com")</f>
        <v>elizabeth.diaz-bbva.com</v>
      </c>
      <c r="L198" s="4"/>
      <c r="M198" s="4"/>
      <c r="N198" s="4"/>
      <c r="O198" s="4" t="str">
        <f ca="1">IFERROR(__xludf.DUMMYFUNCTION("""COMPUTED_VALUE"""),"Scrum")</f>
        <v>Scrum</v>
      </c>
      <c r="P198" s="4" t="str">
        <f ca="1">IFERROR(__xludf.DUMMYFUNCTION("""COMPUTED_VALUE"""),"DRACARYS")</f>
        <v>DRACARYS</v>
      </c>
      <c r="Q198" s="4"/>
      <c r="R198" s="130" t="str">
        <f ca="1">IFERROR(__xludf.DUMMYFUNCTION("""COMPUTED_VALUE"""),"Enterprises")</f>
        <v>Enterprises</v>
      </c>
      <c r="S198" s="130" t="str">
        <f ca="1">IFERROR(__xludf.DUMMYFUNCTION("""COMPUTED_VALUE"""),"Strategic Review")</f>
        <v>Strategic Review</v>
      </c>
      <c r="T198" s="130" t="str">
        <f ca="1">IFERROR(__xludf.DUMMYFUNCTION("""COMPUTED_VALUE"""),"1. Generación de Ingresos")</f>
        <v>1. Generación de Ingresos</v>
      </c>
      <c r="U198" s="130" t="str">
        <f ca="1">IFERROR(__xludf.DUMMYFUNCTION("""COMPUTED_VALUE"""),"1.5. Otros de Proyectos de Ingresos")</f>
        <v>1.5. Otros de Proyectos de Ingresos</v>
      </c>
      <c r="V198" s="4" t="str">
        <f ca="1">IFERROR(__xludf.DUMMYFUNCTION("""COMPUTED_VALUE"""),"Senda")</f>
        <v>Senda</v>
      </c>
      <c r="W198" s="4">
        <f ca="1">IFERROR(__xludf.DUMMYFUNCTION("""COMPUTED_VALUE"""),1)</f>
        <v>1</v>
      </c>
      <c r="X198" s="4" t="str">
        <f ca="1">IFERROR(__xludf.DUMMYFUNCTION("""COMPUTED_VALUE"""),"08. Enterprise Transactionality")</f>
        <v>08. Enterprise Transactionality</v>
      </c>
      <c r="Y198" s="4" t="str">
        <f ca="1">IFERROR(__xludf.DUMMYFUNCTION("""COMPUTED_VALUE"""),"2.1.1 Horizon - Enterprise")</f>
        <v>2.1.1 Horizon - Enterprise</v>
      </c>
      <c r="Z198" s="132" t="str">
        <f ca="1">IFERROR(__xludf.DUMMYFUNCTION("""COMPUTED_VALUE"""),"711283")</f>
        <v>711283</v>
      </c>
      <c r="AA198" s="4" t="str">
        <f ca="1">IFERROR(__xludf.DUMMYFUNCTION("""COMPUTED_VALUE"""),"Dashboard modulo de pagos - Servicios transferencias")</f>
        <v>Dashboard modulo de pagos - Servicios transferencias</v>
      </c>
      <c r="AB198" s="4" t="str">
        <f ca="1">IFERROR(__xludf.DUMMYFUNCTION("""COMPUTED_VALUE"""),"Permitiraá los clientes realizar el tracking de los pagos generados en los pagos SENDA")</f>
        <v>Permitiraá los clientes realizar el tracking de los pagos generados en los pagos SENDA</v>
      </c>
      <c r="AC198" s="4" t="str">
        <f ca="1">IFERROR(__xludf.DUMMYFUNCTION("""COMPUTED_VALUE"""),"4Q 2023")</f>
        <v>4Q 2023</v>
      </c>
      <c r="AD198" s="4"/>
      <c r="AE198" s="4"/>
      <c r="AF198" s="4"/>
      <c r="AG198" s="4"/>
      <c r="AH198" s="4"/>
      <c r="AI198" s="4"/>
      <c r="AJ198" s="4"/>
      <c r="AK198" s="4" t="str">
        <f ca="1">IFERROR(__xludf.DUMMYFUNCTION("""COMPUTED_VALUE"""),"Sin asignar")</f>
        <v>Sin asignar</v>
      </c>
      <c r="AL198" s="4" t="str">
        <f ca="1">IFERROR(__xludf.DUMMYFUNCTION("""COMPUTED_VALUE"""),"Sin asignar")</f>
        <v>Sin asignar</v>
      </c>
      <c r="AM198" s="4"/>
      <c r="AN198" s="4" t="str">
        <f ca="1">IFERROR(__xludf.DUMMYFUNCTION("""COMPUTED_VALUE"""),"Entregable en Conceptualización")</f>
        <v>Entregable en Conceptualización</v>
      </c>
      <c r="AO198" s="4" t="str">
        <f ca="1">IFERROR(__xludf.DUMMYFUNCTION("""COMPUTED_VALUE"""),"Tranversales")</f>
        <v>Tranversales</v>
      </c>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row>
    <row r="199" spans="1:132" x14ac:dyDescent="0.2">
      <c r="A199" s="4">
        <f ca="1">IFERROR(__xludf.DUMMYFUNCTION("""COMPUTED_VALUE"""),199)</f>
        <v>199</v>
      </c>
      <c r="B199" s="4">
        <f ca="1">IFERROR(__xludf.DUMMYFUNCTION("""COMPUTED_VALUE"""),177)</f>
        <v>177</v>
      </c>
      <c r="C199" s="4" t="str">
        <f ca="1">IFERROR(__xludf.DUMMYFUNCTION("""COMPUTED_VALUE"""),"SDATOOL-40528")</f>
        <v>SDATOOL-40528</v>
      </c>
      <c r="D199" s="4" t="str">
        <f ca="1">IFERROR(__xludf.DUMMYFUNCTION("""COMPUTED_VALUE"""),"ETPB - SENDA PAGOS")</f>
        <v>ETPB - SENDA PAGOS</v>
      </c>
      <c r="E199"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9" s="4" t="str">
        <f ca="1">IFERROR(__xludf.DUMMYFUNCTION("""COMPUTED_VALUE"""),"Project")</f>
        <v>Project</v>
      </c>
      <c r="G199" s="4" t="str">
        <f ca="1">IFERROR(__xludf.DUMMYFUNCTION("""COMPUTED_VALUE"""),"Stock")</f>
        <v>Stock</v>
      </c>
      <c r="H199" s="4" t="str">
        <f ca="1">IFERROR(__xludf.DUMMYFUNCTION("""COMPUTED_VALUE"""),"4Q 2023")</f>
        <v>4Q 2023</v>
      </c>
      <c r="I199" s="131" t="str">
        <f ca="1">IFERROR(__xludf.DUMMYFUNCTION("""COMPUTED_VALUE"""),"nathiahayosara.amado-bbva.com")</f>
        <v>nathiahayosara.amado-bbva.com</v>
      </c>
      <c r="J199" s="131" t="str">
        <f ca="1">IFERROR(__xludf.DUMMYFUNCTION("""COMPUTED_VALUE"""),"leidyjohanna.zambrano-bbva.com")</f>
        <v>leidyjohanna.zambrano-bbva.com</v>
      </c>
      <c r="K199" s="131" t="str">
        <f ca="1">IFERROR(__xludf.DUMMYFUNCTION("""COMPUTED_VALUE"""),"elizabeth.diaz-bbva.com")</f>
        <v>elizabeth.diaz-bbva.com</v>
      </c>
      <c r="L199" s="4"/>
      <c r="M199" s="4"/>
      <c r="N199" s="4"/>
      <c r="O199" s="4" t="str">
        <f ca="1">IFERROR(__xludf.DUMMYFUNCTION("""COMPUTED_VALUE"""),"Scrum")</f>
        <v>Scrum</v>
      </c>
      <c r="P199" s="4" t="str">
        <f ca="1">IFERROR(__xludf.DUMMYFUNCTION("""COMPUTED_VALUE"""),"DRACARYS")</f>
        <v>DRACARYS</v>
      </c>
      <c r="Q199" s="4"/>
      <c r="R199" s="130" t="str">
        <f ca="1">IFERROR(__xludf.DUMMYFUNCTION("""COMPUTED_VALUE"""),"Enterprises")</f>
        <v>Enterprises</v>
      </c>
      <c r="S199" s="130" t="str">
        <f ca="1">IFERROR(__xludf.DUMMYFUNCTION("""COMPUTED_VALUE"""),"Strategic Review")</f>
        <v>Strategic Review</v>
      </c>
      <c r="T199" s="130" t="str">
        <f ca="1">IFERROR(__xludf.DUMMYFUNCTION("""COMPUTED_VALUE"""),"1. Generación de Ingresos")</f>
        <v>1. Generación de Ingresos</v>
      </c>
      <c r="U199" s="130" t="str">
        <f ca="1">IFERROR(__xludf.DUMMYFUNCTION("""COMPUTED_VALUE"""),"1.5. Otros de Proyectos de Ingresos")</f>
        <v>1.5. Otros de Proyectos de Ingresos</v>
      </c>
      <c r="V199" s="4" t="str">
        <f ca="1">IFERROR(__xludf.DUMMYFUNCTION("""COMPUTED_VALUE"""),"Senda")</f>
        <v>Senda</v>
      </c>
      <c r="W199" s="4">
        <f ca="1">IFERROR(__xludf.DUMMYFUNCTION("""COMPUTED_VALUE"""),1)</f>
        <v>1</v>
      </c>
      <c r="X199" s="4" t="str">
        <f ca="1">IFERROR(__xludf.DUMMYFUNCTION("""COMPUTED_VALUE"""),"08. Enterprise Transactionality")</f>
        <v>08. Enterprise Transactionality</v>
      </c>
      <c r="Y199" s="4" t="str">
        <f ca="1">IFERROR(__xludf.DUMMYFUNCTION("""COMPUTED_VALUE"""),"2.1.1 Horizon - Enterprise")</f>
        <v>2.1.1 Horizon - Enterprise</v>
      </c>
      <c r="Z199" s="132" t="str">
        <f ca="1">IFERROR(__xludf.DUMMYFUNCTION("""COMPUTED_VALUE"""),"711280")</f>
        <v>711280</v>
      </c>
      <c r="AA199" s="4" t="str">
        <f ca="1">IFERROR(__xludf.DUMMYFUNCTION("""COMPUTED_VALUE"""),"Dashboard modulo de pagos - Servicios Nóminas")</f>
        <v>Dashboard modulo de pagos - Servicios Nóminas</v>
      </c>
      <c r="AB199" s="4" t="str">
        <f ca="1">IFERROR(__xludf.DUMMYFUNCTION("""COMPUTED_VALUE"""),"Permitirá a los clientes realizar el tracking de los pagos generados en los pagos SENDA")</f>
        <v>Permitirá a los clientes realizar el tracking de los pagos generados en los pagos SENDA</v>
      </c>
      <c r="AC199" s="4" t="str">
        <f ca="1">IFERROR(__xludf.DUMMYFUNCTION("""COMPUTED_VALUE"""),"3Q 2023")</f>
        <v>3Q 2023</v>
      </c>
      <c r="AD199" s="4"/>
      <c r="AE199" s="4"/>
      <c r="AF199" s="4"/>
      <c r="AG199" s="4"/>
      <c r="AH199" s="4"/>
      <c r="AI199" s="4"/>
      <c r="AJ199" s="4"/>
      <c r="AK199" s="131" t="str">
        <f ca="1">IFERROR(__xludf.DUMMYFUNCTION("""COMPUTED_VALUE"""),"COLWSCANAL-13939")</f>
        <v>COLWSCANAL-13939</v>
      </c>
      <c r="AL199" s="4" t="str">
        <f ca="1">IFERROR(__xludf.DUMMYFUNCTION("""COMPUTED_VALUE"""),"New")</f>
        <v>New</v>
      </c>
      <c r="AM199" s="4"/>
      <c r="AN199" s="4" t="str">
        <f ca="1">IFERROR(__xludf.DUMMYFUNCTION("""COMPUTED_VALUE"""),"Entregable en Conceptualización")</f>
        <v>Entregable en Conceptualización</v>
      </c>
      <c r="AO199" s="4" t="str">
        <f ca="1">IFERROR(__xludf.DUMMYFUNCTION("""COMPUTED_VALUE"""),"Tranversales")</f>
        <v>Tranversales</v>
      </c>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row>
    <row r="200" spans="1:132" x14ac:dyDescent="0.2">
      <c r="A200" s="4">
        <f ca="1">IFERROR(__xludf.DUMMYFUNCTION("""COMPUTED_VALUE"""),200)</f>
        <v>200</v>
      </c>
      <c r="B200" s="4">
        <f ca="1">IFERROR(__xludf.DUMMYFUNCTION("""COMPUTED_VALUE"""),178)</f>
        <v>178</v>
      </c>
      <c r="C200" s="4" t="str">
        <f ca="1">IFERROR(__xludf.DUMMYFUNCTION("""COMPUTED_VALUE"""),"SDATOOL-40528")</f>
        <v>SDATOOL-40528</v>
      </c>
      <c r="D200" s="4" t="str">
        <f ca="1">IFERROR(__xludf.DUMMYFUNCTION("""COMPUTED_VALUE"""),"ETPB - SENDA PAGOS")</f>
        <v>ETPB - SENDA PAGOS</v>
      </c>
      <c r="E200"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0" s="4" t="str">
        <f ca="1">IFERROR(__xludf.DUMMYFUNCTION("""COMPUTED_VALUE"""),"Project")</f>
        <v>Project</v>
      </c>
      <c r="G200" s="4" t="str">
        <f ca="1">IFERROR(__xludf.DUMMYFUNCTION("""COMPUTED_VALUE"""),"Stock")</f>
        <v>Stock</v>
      </c>
      <c r="H200" s="4" t="str">
        <f ca="1">IFERROR(__xludf.DUMMYFUNCTION("""COMPUTED_VALUE"""),"4Q 2023")</f>
        <v>4Q 2023</v>
      </c>
      <c r="I200" s="131" t="str">
        <f ca="1">IFERROR(__xludf.DUMMYFUNCTION("""COMPUTED_VALUE"""),"nathiahayosara.amado-bbva.com")</f>
        <v>nathiahayosara.amado-bbva.com</v>
      </c>
      <c r="J200" s="131" t="str">
        <f ca="1">IFERROR(__xludf.DUMMYFUNCTION("""COMPUTED_VALUE"""),"leidyjohanna.zambrano-bbva.com")</f>
        <v>leidyjohanna.zambrano-bbva.com</v>
      </c>
      <c r="K200" s="131" t="str">
        <f ca="1">IFERROR(__xludf.DUMMYFUNCTION("""COMPUTED_VALUE"""),"elizabeth.diaz-bbva.com")</f>
        <v>elizabeth.diaz-bbva.com</v>
      </c>
      <c r="L200" s="4"/>
      <c r="M200" s="4"/>
      <c r="N200" s="4"/>
      <c r="O200" s="4" t="str">
        <f ca="1">IFERROR(__xludf.DUMMYFUNCTION("""COMPUTED_VALUE"""),"Scrum")</f>
        <v>Scrum</v>
      </c>
      <c r="P200" s="4" t="str">
        <f ca="1">IFERROR(__xludf.DUMMYFUNCTION("""COMPUTED_VALUE"""),"DRACARYS")</f>
        <v>DRACARYS</v>
      </c>
      <c r="Q200" s="4"/>
      <c r="R200" s="130" t="str">
        <f ca="1">IFERROR(__xludf.DUMMYFUNCTION("""COMPUTED_VALUE"""),"Enterprises")</f>
        <v>Enterprises</v>
      </c>
      <c r="S200" s="130" t="str">
        <f ca="1">IFERROR(__xludf.DUMMYFUNCTION("""COMPUTED_VALUE"""),"Strategic Review")</f>
        <v>Strategic Review</v>
      </c>
      <c r="T200" s="130" t="str">
        <f ca="1">IFERROR(__xludf.DUMMYFUNCTION("""COMPUTED_VALUE"""),"1. Generación de Ingresos")</f>
        <v>1. Generación de Ingresos</v>
      </c>
      <c r="U200" s="130" t="str">
        <f ca="1">IFERROR(__xludf.DUMMYFUNCTION("""COMPUTED_VALUE"""),"1.5. Otros de Proyectos de Ingresos")</f>
        <v>1.5. Otros de Proyectos de Ingresos</v>
      </c>
      <c r="V200" s="4" t="str">
        <f ca="1">IFERROR(__xludf.DUMMYFUNCTION("""COMPUTED_VALUE"""),"Senda")</f>
        <v>Senda</v>
      </c>
      <c r="W200" s="4">
        <f ca="1">IFERROR(__xludf.DUMMYFUNCTION("""COMPUTED_VALUE"""),1)</f>
        <v>1</v>
      </c>
      <c r="X200" s="4" t="str">
        <f ca="1">IFERROR(__xludf.DUMMYFUNCTION("""COMPUTED_VALUE"""),"08. Enterprise Transactionality")</f>
        <v>08. Enterprise Transactionality</v>
      </c>
      <c r="Y200" s="4" t="str">
        <f ca="1">IFERROR(__xludf.DUMMYFUNCTION("""COMPUTED_VALUE"""),"2.1.1 Horizon - Enterprise")</f>
        <v>2.1.1 Horizon - Enterprise</v>
      </c>
      <c r="Z200" s="132" t="str">
        <f ca="1">IFERROR(__xludf.DUMMYFUNCTION("""COMPUTED_VALUE"""),"711279")</f>
        <v>711279</v>
      </c>
      <c r="AA200" s="4" t="str">
        <f ca="1">IFERROR(__xludf.DUMMYFUNCTION("""COMPUTED_VALUE"""),"Liquidación de pagos nominas y transferencias - ETPB SENDA")</f>
        <v>Liquidación de pagos nominas y transferencias - ETPB SENDA</v>
      </c>
      <c r="AB200" s="4" t="str">
        <f ca="1">IFERROR(__xludf.DUMMYFUNCTION("""COMPUTED_VALUE"""),"Liquidación de pagos nominas y transferencias - ETPB SENDA")</f>
        <v>Liquidación de pagos nominas y transferencias - ETPB SENDA</v>
      </c>
      <c r="AC200" s="4" t="str">
        <f ca="1">IFERROR(__xludf.DUMMYFUNCTION("""COMPUTED_VALUE"""),"3Q 2023")</f>
        <v>3Q 2023</v>
      </c>
      <c r="AD200" s="4"/>
      <c r="AE200" s="4"/>
      <c r="AF200" s="4"/>
      <c r="AG200" s="4"/>
      <c r="AH200" s="4"/>
      <c r="AI200" s="4"/>
      <c r="AJ200" s="4"/>
      <c r="AK200" s="131" t="str">
        <f ca="1">IFERROR(__xludf.DUMMYFUNCTION("""COMPUTED_VALUE"""),"COLWSCANAL-14064")</f>
        <v>COLWSCANAL-14064</v>
      </c>
      <c r="AL200" s="4" t="str">
        <f ca="1">IFERROR(__xludf.DUMMYFUNCTION("""COMPUTED_VALUE"""),"New")</f>
        <v>New</v>
      </c>
      <c r="AM200" s="4"/>
      <c r="AN200" s="4" t="str">
        <f ca="1">IFERROR(__xludf.DUMMYFUNCTION("""COMPUTED_VALUE"""),"Entregable en desarrollo")</f>
        <v>Entregable en desarrollo</v>
      </c>
      <c r="AO200" s="4" t="str">
        <f ca="1">IFERROR(__xludf.DUMMYFUNCTION("""COMPUTED_VALUE"""),"Tranversales")</f>
        <v>Tranversales</v>
      </c>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row>
    <row r="201" spans="1:132" x14ac:dyDescent="0.2">
      <c r="A201" s="4">
        <f ca="1">IFERROR(__xludf.DUMMYFUNCTION("""COMPUTED_VALUE"""),201)</f>
        <v>201</v>
      </c>
      <c r="B201" s="4">
        <f ca="1">IFERROR(__xludf.DUMMYFUNCTION("""COMPUTED_VALUE"""),179)</f>
        <v>179</v>
      </c>
      <c r="C201" s="4" t="str">
        <f ca="1">IFERROR(__xludf.DUMMYFUNCTION("""COMPUTED_VALUE"""),"SDATOOL-40528")</f>
        <v>SDATOOL-40528</v>
      </c>
      <c r="D201" s="4" t="str">
        <f ca="1">IFERROR(__xludf.DUMMYFUNCTION("""COMPUTED_VALUE"""),"ETPB - SENDA PAGOS")</f>
        <v>ETPB - SENDA PAGOS</v>
      </c>
      <c r="E201"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1" s="4" t="str">
        <f ca="1">IFERROR(__xludf.DUMMYFUNCTION("""COMPUTED_VALUE"""),"Project")</f>
        <v>Project</v>
      </c>
      <c r="G201" s="4" t="str">
        <f ca="1">IFERROR(__xludf.DUMMYFUNCTION("""COMPUTED_VALUE"""),"Stock")</f>
        <v>Stock</v>
      </c>
      <c r="H201" s="4" t="str">
        <f ca="1">IFERROR(__xludf.DUMMYFUNCTION("""COMPUTED_VALUE"""),"4Q 2023")</f>
        <v>4Q 2023</v>
      </c>
      <c r="I201" s="131" t="str">
        <f ca="1">IFERROR(__xludf.DUMMYFUNCTION("""COMPUTED_VALUE"""),"nathiahayosara.amado-bbva.com")</f>
        <v>nathiahayosara.amado-bbva.com</v>
      </c>
      <c r="J201" s="131" t="str">
        <f ca="1">IFERROR(__xludf.DUMMYFUNCTION("""COMPUTED_VALUE"""),"leidyjohanna.zambrano-bbva.com")</f>
        <v>leidyjohanna.zambrano-bbva.com</v>
      </c>
      <c r="K201" s="131" t="str">
        <f ca="1">IFERROR(__xludf.DUMMYFUNCTION("""COMPUTED_VALUE"""),"elizabeth.diaz-bbva.com")</f>
        <v>elizabeth.diaz-bbva.com</v>
      </c>
      <c r="L201" s="4"/>
      <c r="M201" s="4"/>
      <c r="N201" s="4"/>
      <c r="O201" s="4" t="str">
        <f ca="1">IFERROR(__xludf.DUMMYFUNCTION("""COMPUTED_VALUE"""),"Scrum")</f>
        <v>Scrum</v>
      </c>
      <c r="P201" s="4" t="str">
        <f ca="1">IFERROR(__xludf.DUMMYFUNCTION("""COMPUTED_VALUE"""),"DRACARYS")</f>
        <v>DRACARYS</v>
      </c>
      <c r="Q201" s="4"/>
      <c r="R201" s="130" t="str">
        <f ca="1">IFERROR(__xludf.DUMMYFUNCTION("""COMPUTED_VALUE"""),"Enterprises")</f>
        <v>Enterprises</v>
      </c>
      <c r="S201" s="130" t="str">
        <f ca="1">IFERROR(__xludf.DUMMYFUNCTION("""COMPUTED_VALUE"""),"Strategic Review")</f>
        <v>Strategic Review</v>
      </c>
      <c r="T201" s="130" t="str">
        <f ca="1">IFERROR(__xludf.DUMMYFUNCTION("""COMPUTED_VALUE"""),"1. Generación de Ingresos")</f>
        <v>1. Generación de Ingresos</v>
      </c>
      <c r="U201" s="130" t="str">
        <f ca="1">IFERROR(__xludf.DUMMYFUNCTION("""COMPUTED_VALUE"""),"1.5. Otros de Proyectos de Ingresos")</f>
        <v>1.5. Otros de Proyectos de Ingresos</v>
      </c>
      <c r="V201" s="4" t="str">
        <f ca="1">IFERROR(__xludf.DUMMYFUNCTION("""COMPUTED_VALUE"""),"Senda")</f>
        <v>Senda</v>
      </c>
      <c r="W201" s="4">
        <f ca="1">IFERROR(__xludf.DUMMYFUNCTION("""COMPUTED_VALUE"""),1)</f>
        <v>1</v>
      </c>
      <c r="X201" s="4" t="str">
        <f ca="1">IFERROR(__xludf.DUMMYFUNCTION("""COMPUTED_VALUE"""),"08. Enterprise Transactionality")</f>
        <v>08. Enterprise Transactionality</v>
      </c>
      <c r="Y201" s="4" t="str">
        <f ca="1">IFERROR(__xludf.DUMMYFUNCTION("""COMPUTED_VALUE"""),"2.1.1 Horizon - Enterprise")</f>
        <v>2.1.1 Horizon - Enterprise</v>
      </c>
      <c r="Z201" s="132" t="str">
        <f ca="1">IFERROR(__xludf.DUMMYFUNCTION("""COMPUTED_VALUE"""),"711287")</f>
        <v>711287</v>
      </c>
      <c r="AA201" s="4" t="str">
        <f ca="1">IFERROR(__xludf.DUMMYFUNCTION("""COMPUTED_VALUE"""),"Modulo de pagos - Conceptos áreas de valor")</f>
        <v>Modulo de pagos - Conceptos áreas de valor</v>
      </c>
      <c r="AB201" s="4" t="str">
        <f ca="1">IFERROR(__xludf.DUMMYFUNCTION("""COMPUTED_VALUE"""),"Se dará cumplimiento a cada uno de los conceptos emitidos por las diferentes áreas de valor")</f>
        <v>Se dará cumplimiento a cada uno de los conceptos emitidos por las diferentes áreas de valor</v>
      </c>
      <c r="AC201" s="4" t="str">
        <f ca="1">IFERROR(__xludf.DUMMYFUNCTION("""COMPUTED_VALUE"""),"3Q 2023")</f>
        <v>3Q 2023</v>
      </c>
      <c r="AD201" s="4"/>
      <c r="AE201" s="4"/>
      <c r="AF201" s="4"/>
      <c r="AG201" s="4"/>
      <c r="AH201" s="4"/>
      <c r="AI201" s="4"/>
      <c r="AJ201" s="4"/>
      <c r="AK201" s="131" t="str">
        <f ca="1">IFERROR(__xludf.DUMMYFUNCTION("""COMPUTED_VALUE"""),"COLWSCANAL-11018")</f>
        <v>COLWSCANAL-11018</v>
      </c>
      <c r="AL201" s="4" t="str">
        <f ca="1">IFERROR(__xludf.DUMMYFUNCTION("""COMPUTED_VALUE"""),"New")</f>
        <v>New</v>
      </c>
      <c r="AM201" s="4"/>
      <c r="AN201" s="4" t="str">
        <f ca="1">IFERROR(__xludf.DUMMYFUNCTION("""COMPUTED_VALUE"""),"Entregable en Conceptualización")</f>
        <v>Entregable en Conceptualización</v>
      </c>
      <c r="AO201" s="4" t="str">
        <f ca="1">IFERROR(__xludf.DUMMYFUNCTION("""COMPUTED_VALUE"""),"Tranversales")</f>
        <v>Tranversales</v>
      </c>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row>
    <row r="202" spans="1:132" x14ac:dyDescent="0.2">
      <c r="A202" s="4">
        <f ca="1">IFERROR(__xludf.DUMMYFUNCTION("""COMPUTED_VALUE"""),202)</f>
        <v>202</v>
      </c>
      <c r="B202" s="4">
        <f ca="1">IFERROR(__xludf.DUMMYFUNCTION("""COMPUTED_VALUE"""),180)</f>
        <v>180</v>
      </c>
      <c r="C202" s="4" t="str">
        <f ca="1">IFERROR(__xludf.DUMMYFUNCTION("""COMPUTED_VALUE"""),"SDATOOL-40528")</f>
        <v>SDATOOL-40528</v>
      </c>
      <c r="D202" s="4" t="str">
        <f ca="1">IFERROR(__xludf.DUMMYFUNCTION("""COMPUTED_VALUE"""),"ETPB - SENDA PAGOS")</f>
        <v>ETPB - SENDA PAGOS</v>
      </c>
      <c r="E202"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2" s="4" t="str">
        <f ca="1">IFERROR(__xludf.DUMMYFUNCTION("""COMPUTED_VALUE"""),"Project")</f>
        <v>Project</v>
      </c>
      <c r="G202" s="4" t="str">
        <f ca="1">IFERROR(__xludf.DUMMYFUNCTION("""COMPUTED_VALUE"""),"Stock")</f>
        <v>Stock</v>
      </c>
      <c r="H202" s="4" t="str">
        <f ca="1">IFERROR(__xludf.DUMMYFUNCTION("""COMPUTED_VALUE"""),"4Q 2023")</f>
        <v>4Q 2023</v>
      </c>
      <c r="I202" s="131" t="str">
        <f ca="1">IFERROR(__xludf.DUMMYFUNCTION("""COMPUTED_VALUE"""),"nathiahayosara.amado-bbva.com")</f>
        <v>nathiahayosara.amado-bbva.com</v>
      </c>
      <c r="J202" s="131" t="str">
        <f ca="1">IFERROR(__xludf.DUMMYFUNCTION("""COMPUTED_VALUE"""),"leidyjohanna.zambrano-bbva.com")</f>
        <v>leidyjohanna.zambrano-bbva.com</v>
      </c>
      <c r="K202" s="131" t="str">
        <f ca="1">IFERROR(__xludf.DUMMYFUNCTION("""COMPUTED_VALUE"""),"elizabeth.diaz-bbva.com")</f>
        <v>elizabeth.diaz-bbva.com</v>
      </c>
      <c r="L202" s="4"/>
      <c r="M202" s="4"/>
      <c r="N202" s="4"/>
      <c r="O202" s="4" t="str">
        <f ca="1">IFERROR(__xludf.DUMMYFUNCTION("""COMPUTED_VALUE"""),"Scrum")</f>
        <v>Scrum</v>
      </c>
      <c r="P202" s="4" t="str">
        <f ca="1">IFERROR(__xludf.DUMMYFUNCTION("""COMPUTED_VALUE"""),"DRACARYS")</f>
        <v>DRACARYS</v>
      </c>
      <c r="Q202" s="4"/>
      <c r="R202" s="130" t="str">
        <f ca="1">IFERROR(__xludf.DUMMYFUNCTION("""COMPUTED_VALUE"""),"Enterprises")</f>
        <v>Enterprises</v>
      </c>
      <c r="S202" s="130" t="str">
        <f ca="1">IFERROR(__xludf.DUMMYFUNCTION("""COMPUTED_VALUE"""),"Strategic Review")</f>
        <v>Strategic Review</v>
      </c>
      <c r="T202" s="130" t="str">
        <f ca="1">IFERROR(__xludf.DUMMYFUNCTION("""COMPUTED_VALUE"""),"1. Generación de Ingresos")</f>
        <v>1. Generación de Ingresos</v>
      </c>
      <c r="U202" s="130" t="str">
        <f ca="1">IFERROR(__xludf.DUMMYFUNCTION("""COMPUTED_VALUE"""),"1.5. Otros de Proyectos de Ingresos")</f>
        <v>1.5. Otros de Proyectos de Ingresos</v>
      </c>
      <c r="V202" s="4" t="str">
        <f ca="1">IFERROR(__xludf.DUMMYFUNCTION("""COMPUTED_VALUE"""),"Senda")</f>
        <v>Senda</v>
      </c>
      <c r="W202" s="4">
        <f ca="1">IFERROR(__xludf.DUMMYFUNCTION("""COMPUTED_VALUE"""),1)</f>
        <v>1</v>
      </c>
      <c r="X202" s="4" t="str">
        <f ca="1">IFERROR(__xludf.DUMMYFUNCTION("""COMPUTED_VALUE"""),"08. Enterprise Transactionality")</f>
        <v>08. Enterprise Transactionality</v>
      </c>
      <c r="Y202" s="4" t="str">
        <f ca="1">IFERROR(__xludf.DUMMYFUNCTION("""COMPUTED_VALUE"""),"2.1.1 Horizon - Enterprise")</f>
        <v>2.1.1 Horizon - Enterprise</v>
      </c>
      <c r="Z202" s="132" t="str">
        <f ca="1">IFERROR(__xludf.DUMMYFUNCTION("""COMPUTED_VALUE"""),"711286")</f>
        <v>711286</v>
      </c>
      <c r="AA202" s="4" t="str">
        <f ca="1">IFERROR(__xludf.DUMMYFUNCTION("""COMPUTED_VALUE"""),"Modulo de pagos - Servicio de mensajería de pagos")</f>
        <v>Modulo de pagos - Servicio de mensajería de pagos</v>
      </c>
      <c r="AB202" s="4" t="str">
        <f ca="1">IFERROR(__xludf.DUMMYFUNCTION("""COMPUTED_VALUE"""),"Se entregará al cliente el servicio de mensajería para informar carga de pagos y procesamiento de pagos desde ETPB")</f>
        <v>Se entregará al cliente el servicio de mensajería para informar carga de pagos y procesamiento de pagos desde ETPB</v>
      </c>
      <c r="AC202" s="4" t="str">
        <f ca="1">IFERROR(__xludf.DUMMYFUNCTION("""COMPUTED_VALUE"""),"3Q 2023")</f>
        <v>3Q 2023</v>
      </c>
      <c r="AD202" s="4"/>
      <c r="AE202" s="4"/>
      <c r="AF202" s="4"/>
      <c r="AG202" s="4"/>
      <c r="AH202" s="4"/>
      <c r="AI202" s="4"/>
      <c r="AJ202" s="4"/>
      <c r="AK202" s="131" t="str">
        <f ca="1">IFERROR(__xludf.DUMMYFUNCTION("""COMPUTED_VALUE"""),"COLWSCANAL-11832")</f>
        <v>COLWSCANAL-11832</v>
      </c>
      <c r="AL202" s="4" t="str">
        <f ca="1">IFERROR(__xludf.DUMMYFUNCTION("""COMPUTED_VALUE"""),"New")</f>
        <v>New</v>
      </c>
      <c r="AM202" s="4"/>
      <c r="AN202" s="4" t="str">
        <f ca="1">IFERROR(__xludf.DUMMYFUNCTION("""COMPUTED_VALUE"""),"Entregable en Conceptualización")</f>
        <v>Entregable en Conceptualización</v>
      </c>
      <c r="AO202" s="4" t="str">
        <f ca="1">IFERROR(__xludf.DUMMYFUNCTION("""COMPUTED_VALUE"""),"Tranversales")</f>
        <v>Tranversales</v>
      </c>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row>
    <row r="203" spans="1:132" x14ac:dyDescent="0.2">
      <c r="A203" s="4">
        <f ca="1">IFERROR(__xludf.DUMMYFUNCTION("""COMPUTED_VALUE"""),203)</f>
        <v>203</v>
      </c>
      <c r="B203" s="4">
        <f ca="1">IFERROR(__xludf.DUMMYFUNCTION("""COMPUTED_VALUE"""),181)</f>
        <v>181</v>
      </c>
      <c r="C203" s="4" t="str">
        <f ca="1">IFERROR(__xludf.DUMMYFUNCTION("""COMPUTED_VALUE"""),"SDATOOL-40528")</f>
        <v>SDATOOL-40528</v>
      </c>
      <c r="D203" s="4" t="str">
        <f ca="1">IFERROR(__xludf.DUMMYFUNCTION("""COMPUTED_VALUE"""),"ETPB - SENDA PAGOS")</f>
        <v>ETPB - SENDA PAGOS</v>
      </c>
      <c r="E203"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3" s="4" t="str">
        <f ca="1">IFERROR(__xludf.DUMMYFUNCTION("""COMPUTED_VALUE"""),"Project")</f>
        <v>Project</v>
      </c>
      <c r="G203" s="4" t="str">
        <f ca="1">IFERROR(__xludf.DUMMYFUNCTION("""COMPUTED_VALUE"""),"Stock")</f>
        <v>Stock</v>
      </c>
      <c r="H203" s="4" t="str">
        <f ca="1">IFERROR(__xludf.DUMMYFUNCTION("""COMPUTED_VALUE"""),"4Q 2023")</f>
        <v>4Q 2023</v>
      </c>
      <c r="I203" s="131" t="str">
        <f ca="1">IFERROR(__xludf.DUMMYFUNCTION("""COMPUTED_VALUE"""),"nathiahayosara.amado-bbva.com")</f>
        <v>nathiahayosara.amado-bbva.com</v>
      </c>
      <c r="J203" s="131" t="str">
        <f ca="1">IFERROR(__xludf.DUMMYFUNCTION("""COMPUTED_VALUE"""),"leidyjohanna.zambrano-bbva.com")</f>
        <v>leidyjohanna.zambrano-bbva.com</v>
      </c>
      <c r="K203" s="131" t="str">
        <f ca="1">IFERROR(__xludf.DUMMYFUNCTION("""COMPUTED_VALUE"""),"elizabeth.diaz-bbva.com")</f>
        <v>elizabeth.diaz-bbva.com</v>
      </c>
      <c r="L203" s="4"/>
      <c r="M203" s="4"/>
      <c r="N203" s="4"/>
      <c r="O203" s="4" t="str">
        <f ca="1">IFERROR(__xludf.DUMMYFUNCTION("""COMPUTED_VALUE"""),"Scrum")</f>
        <v>Scrum</v>
      </c>
      <c r="P203" s="4" t="str">
        <f ca="1">IFERROR(__xludf.DUMMYFUNCTION("""COMPUTED_VALUE"""),"DRACARYS")</f>
        <v>DRACARYS</v>
      </c>
      <c r="Q203" s="4"/>
      <c r="R203" s="130" t="str">
        <f ca="1">IFERROR(__xludf.DUMMYFUNCTION("""COMPUTED_VALUE"""),"Enterprises")</f>
        <v>Enterprises</v>
      </c>
      <c r="S203" s="130" t="str">
        <f ca="1">IFERROR(__xludf.DUMMYFUNCTION("""COMPUTED_VALUE"""),"Strategic Review")</f>
        <v>Strategic Review</v>
      </c>
      <c r="T203" s="130" t="str">
        <f ca="1">IFERROR(__xludf.DUMMYFUNCTION("""COMPUTED_VALUE"""),"1. Generación de Ingresos")</f>
        <v>1. Generación de Ingresos</v>
      </c>
      <c r="U203" s="130" t="str">
        <f ca="1">IFERROR(__xludf.DUMMYFUNCTION("""COMPUTED_VALUE"""),"1.5. Otros de Proyectos de Ingresos")</f>
        <v>1.5. Otros de Proyectos de Ingresos</v>
      </c>
      <c r="V203" s="4" t="str">
        <f ca="1">IFERROR(__xludf.DUMMYFUNCTION("""COMPUTED_VALUE"""),"Senda")</f>
        <v>Senda</v>
      </c>
      <c r="W203" s="4">
        <f ca="1">IFERROR(__xludf.DUMMYFUNCTION("""COMPUTED_VALUE"""),1)</f>
        <v>1</v>
      </c>
      <c r="X203" s="4" t="str">
        <f ca="1">IFERROR(__xludf.DUMMYFUNCTION("""COMPUTED_VALUE"""),"08. Enterprise Transactionality")</f>
        <v>08. Enterprise Transactionality</v>
      </c>
      <c r="Y203" s="4" t="str">
        <f ca="1">IFERROR(__xludf.DUMMYFUNCTION("""COMPUTED_VALUE"""),"2.1.1 Horizon - Enterprise")</f>
        <v>2.1.1 Horizon - Enterprise</v>
      </c>
      <c r="Z203" s="132" t="str">
        <f ca="1">IFERROR(__xludf.DUMMYFUNCTION("""COMPUTED_VALUE"""),"711281")</f>
        <v>711281</v>
      </c>
      <c r="AA203" s="4" t="str">
        <f ca="1">IFERROR(__xludf.DUMMYFUNCTION("""COMPUTED_VALUE"""),"Modulo de pagos - Servicio Nominas por carga de archivo")</f>
        <v>Modulo de pagos - Servicio Nominas por carga de archivo</v>
      </c>
      <c r="AB203" s="4" t="str">
        <f ca="1">IFERROR(__xludf.DUMMYFUNCTION("""COMPUTED_VALUE"""),"Se generará la entrega del flujo de pago mediante la carga de un archivo en la estructura por incorporación, se realizaran las validaciones correspondientes de estructuras, limites por usuario y limites de firma")</f>
        <v>Se generará la entrega del flujo de pago mediante la carga de un archivo en la estructura por incorporación, se realizaran las validaciones correspondientes de estructuras, limites por usuario y limites de firma</v>
      </c>
      <c r="AC203" s="4" t="str">
        <f ca="1">IFERROR(__xludf.DUMMYFUNCTION("""COMPUTED_VALUE"""),"3Q 2023")</f>
        <v>3Q 2023</v>
      </c>
      <c r="AD203" s="4"/>
      <c r="AE203" s="4"/>
      <c r="AF203" s="4"/>
      <c r="AG203" s="4"/>
      <c r="AH203" s="4"/>
      <c r="AI203" s="4"/>
      <c r="AJ203" s="4"/>
      <c r="AK203" s="131" t="str">
        <f ca="1">IFERROR(__xludf.DUMMYFUNCTION("""COMPUTED_VALUE"""),"COLWSCANAL-13934")</f>
        <v>COLWSCANAL-13934</v>
      </c>
      <c r="AL203" s="4" t="str">
        <f ca="1">IFERROR(__xludf.DUMMYFUNCTION("""COMPUTED_VALUE"""),"New")</f>
        <v>New</v>
      </c>
      <c r="AM203" s="4"/>
      <c r="AN203" s="4" t="str">
        <f ca="1">IFERROR(__xludf.DUMMYFUNCTION("""COMPUTED_VALUE"""),"Entregable en Conceptualización")</f>
        <v>Entregable en Conceptualización</v>
      </c>
      <c r="AO203" s="4" t="str">
        <f ca="1">IFERROR(__xludf.DUMMYFUNCTION("""COMPUTED_VALUE"""),"Tranversales")</f>
        <v>Tranversales</v>
      </c>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row>
    <row r="204" spans="1:132" x14ac:dyDescent="0.2">
      <c r="A204" s="4">
        <f ca="1">IFERROR(__xludf.DUMMYFUNCTION("""COMPUTED_VALUE"""),204)</f>
        <v>204</v>
      </c>
      <c r="B204" s="4">
        <f ca="1">IFERROR(__xludf.DUMMYFUNCTION("""COMPUTED_VALUE"""),182)</f>
        <v>182</v>
      </c>
      <c r="C204" s="4" t="str">
        <f ca="1">IFERROR(__xludf.DUMMYFUNCTION("""COMPUTED_VALUE"""),"SDATOOL-40528")</f>
        <v>SDATOOL-40528</v>
      </c>
      <c r="D204" s="4" t="str">
        <f ca="1">IFERROR(__xludf.DUMMYFUNCTION("""COMPUTED_VALUE"""),"ETPB - SENDA PAGOS")</f>
        <v>ETPB - SENDA PAGOS</v>
      </c>
      <c r="E204"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4" s="4" t="str">
        <f ca="1">IFERROR(__xludf.DUMMYFUNCTION("""COMPUTED_VALUE"""),"Project")</f>
        <v>Project</v>
      </c>
      <c r="G204" s="4" t="str">
        <f ca="1">IFERROR(__xludf.DUMMYFUNCTION("""COMPUTED_VALUE"""),"Stock")</f>
        <v>Stock</v>
      </c>
      <c r="H204" s="4" t="str">
        <f ca="1">IFERROR(__xludf.DUMMYFUNCTION("""COMPUTED_VALUE"""),"4Q 2023")</f>
        <v>4Q 2023</v>
      </c>
      <c r="I204" s="131" t="str">
        <f ca="1">IFERROR(__xludf.DUMMYFUNCTION("""COMPUTED_VALUE"""),"nathiahayosara.amado-bbva.com")</f>
        <v>nathiahayosara.amado-bbva.com</v>
      </c>
      <c r="J204" s="131" t="str">
        <f ca="1">IFERROR(__xludf.DUMMYFUNCTION("""COMPUTED_VALUE"""),"leidyjohanna.zambrano-bbva.com")</f>
        <v>leidyjohanna.zambrano-bbva.com</v>
      </c>
      <c r="K204" s="131" t="str">
        <f ca="1">IFERROR(__xludf.DUMMYFUNCTION("""COMPUTED_VALUE"""),"elizabeth.diaz-bbva.com")</f>
        <v>elizabeth.diaz-bbva.com</v>
      </c>
      <c r="L204" s="4"/>
      <c r="M204" s="4"/>
      <c r="N204" s="4"/>
      <c r="O204" s="4" t="str">
        <f ca="1">IFERROR(__xludf.DUMMYFUNCTION("""COMPUTED_VALUE"""),"Scrum")</f>
        <v>Scrum</v>
      </c>
      <c r="P204" s="4" t="str">
        <f ca="1">IFERROR(__xludf.DUMMYFUNCTION("""COMPUTED_VALUE"""),"DRACARYS")</f>
        <v>DRACARYS</v>
      </c>
      <c r="Q204" s="4"/>
      <c r="R204" s="130" t="str">
        <f ca="1">IFERROR(__xludf.DUMMYFUNCTION("""COMPUTED_VALUE"""),"Enterprises")</f>
        <v>Enterprises</v>
      </c>
      <c r="S204" s="130" t="str">
        <f ca="1">IFERROR(__xludf.DUMMYFUNCTION("""COMPUTED_VALUE"""),"Strategic Review")</f>
        <v>Strategic Review</v>
      </c>
      <c r="T204" s="130" t="str">
        <f ca="1">IFERROR(__xludf.DUMMYFUNCTION("""COMPUTED_VALUE"""),"1. Generación de Ingresos")</f>
        <v>1. Generación de Ingresos</v>
      </c>
      <c r="U204" s="130" t="str">
        <f ca="1">IFERROR(__xludf.DUMMYFUNCTION("""COMPUTED_VALUE"""),"1.5. Otros de Proyectos de Ingresos")</f>
        <v>1.5. Otros de Proyectos de Ingresos</v>
      </c>
      <c r="V204" s="4" t="str">
        <f ca="1">IFERROR(__xludf.DUMMYFUNCTION("""COMPUTED_VALUE"""),"Senda")</f>
        <v>Senda</v>
      </c>
      <c r="W204" s="4">
        <f ca="1">IFERROR(__xludf.DUMMYFUNCTION("""COMPUTED_VALUE"""),1)</f>
        <v>1</v>
      </c>
      <c r="X204" s="4" t="str">
        <f ca="1">IFERROR(__xludf.DUMMYFUNCTION("""COMPUTED_VALUE"""),"08. Enterprise Transactionality")</f>
        <v>08. Enterprise Transactionality</v>
      </c>
      <c r="Y204" s="4" t="str">
        <f ca="1">IFERROR(__xludf.DUMMYFUNCTION("""COMPUTED_VALUE"""),"2.1.1 Horizon - Enterprise")</f>
        <v>2.1.1 Horizon - Enterprise</v>
      </c>
      <c r="Z204" s="132" t="str">
        <f ca="1">IFERROR(__xludf.DUMMYFUNCTION("""COMPUTED_VALUE"""),"711282")</f>
        <v>711282</v>
      </c>
      <c r="AA204" s="4" t="str">
        <f ca="1">IFERROR(__xludf.DUMMYFUNCTION("""COMPUTED_VALUE"""),"Modulo de pagos - Servicio Nominas por creación manual")</f>
        <v>Modulo de pagos - Servicio Nominas por creación manual</v>
      </c>
      <c r="AB204" s="4" t="str">
        <f ca="1">IFERROR(__xludf.DUMMYFUNCTION("""COMPUTED_VALUE"""),"Se generá la entrega del flujo de pago de manera manual, se realizaran las validaciones correspondientes limites por usuario y limites de firma")</f>
        <v>Se generá la entrega del flujo de pago de manera manual, se realizaran las validaciones correspondientes limites por usuario y limites de firma</v>
      </c>
      <c r="AC204" s="4" t="str">
        <f ca="1">IFERROR(__xludf.DUMMYFUNCTION("""COMPUTED_VALUE"""),"4Q 2023")</f>
        <v>4Q 2023</v>
      </c>
      <c r="AD204" s="4"/>
      <c r="AE204" s="4"/>
      <c r="AF204" s="4"/>
      <c r="AG204" s="4"/>
      <c r="AH204" s="4"/>
      <c r="AI204" s="4"/>
      <c r="AJ204" s="4"/>
      <c r="AK204" s="131" t="str">
        <f ca="1">IFERROR(__xludf.DUMMYFUNCTION("""COMPUTED_VALUE"""),"COLWSCANAL-13936")</f>
        <v>COLWSCANAL-13936</v>
      </c>
      <c r="AL204" s="4" t="str">
        <f ca="1">IFERROR(__xludf.DUMMYFUNCTION("""COMPUTED_VALUE"""),"New")</f>
        <v>New</v>
      </c>
      <c r="AM204" s="4"/>
      <c r="AN204" s="4" t="str">
        <f ca="1">IFERROR(__xludf.DUMMYFUNCTION("""COMPUTED_VALUE"""),"Entregable en Conceptualización")</f>
        <v>Entregable en Conceptualización</v>
      </c>
      <c r="AO204" s="4" t="str">
        <f ca="1">IFERROR(__xludf.DUMMYFUNCTION("""COMPUTED_VALUE"""),"Tranversales")</f>
        <v>Tranversales</v>
      </c>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row>
    <row r="205" spans="1:132" x14ac:dyDescent="0.2">
      <c r="A205" s="4">
        <f ca="1">IFERROR(__xludf.DUMMYFUNCTION("""COMPUTED_VALUE"""),205)</f>
        <v>205</v>
      </c>
      <c r="B205" s="4">
        <f ca="1">IFERROR(__xludf.DUMMYFUNCTION("""COMPUTED_VALUE"""),183)</f>
        <v>183</v>
      </c>
      <c r="C205" s="4" t="str">
        <f ca="1">IFERROR(__xludf.DUMMYFUNCTION("""COMPUTED_VALUE"""),"SDATOOL-40528")</f>
        <v>SDATOOL-40528</v>
      </c>
      <c r="D205" s="4" t="str">
        <f ca="1">IFERROR(__xludf.DUMMYFUNCTION("""COMPUTED_VALUE"""),"ETPB - SENDA PAGOS")</f>
        <v>ETPB - SENDA PAGOS</v>
      </c>
      <c r="E205"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5" s="4" t="str">
        <f ca="1">IFERROR(__xludf.DUMMYFUNCTION("""COMPUTED_VALUE"""),"Project")</f>
        <v>Project</v>
      </c>
      <c r="G205" s="4" t="str">
        <f ca="1">IFERROR(__xludf.DUMMYFUNCTION("""COMPUTED_VALUE"""),"Stock")</f>
        <v>Stock</v>
      </c>
      <c r="H205" s="4" t="str">
        <f ca="1">IFERROR(__xludf.DUMMYFUNCTION("""COMPUTED_VALUE"""),"4Q 2023")</f>
        <v>4Q 2023</v>
      </c>
      <c r="I205" s="131" t="str">
        <f ca="1">IFERROR(__xludf.DUMMYFUNCTION("""COMPUTED_VALUE"""),"nathiahayosara.amado-bbva.com")</f>
        <v>nathiahayosara.amado-bbva.com</v>
      </c>
      <c r="J205" s="131" t="str">
        <f ca="1">IFERROR(__xludf.DUMMYFUNCTION("""COMPUTED_VALUE"""),"leidyjohanna.zambrano-bbva.com")</f>
        <v>leidyjohanna.zambrano-bbva.com</v>
      </c>
      <c r="K205" s="131" t="str">
        <f ca="1">IFERROR(__xludf.DUMMYFUNCTION("""COMPUTED_VALUE"""),"elizabeth.diaz-bbva.com")</f>
        <v>elizabeth.diaz-bbva.com</v>
      </c>
      <c r="L205" s="4"/>
      <c r="M205" s="4"/>
      <c r="N205" s="4"/>
      <c r="O205" s="4" t="str">
        <f ca="1">IFERROR(__xludf.DUMMYFUNCTION("""COMPUTED_VALUE"""),"Scrum")</f>
        <v>Scrum</v>
      </c>
      <c r="P205" s="4" t="str">
        <f ca="1">IFERROR(__xludf.DUMMYFUNCTION("""COMPUTED_VALUE"""),"DRACARYS")</f>
        <v>DRACARYS</v>
      </c>
      <c r="Q205" s="4"/>
      <c r="R205" s="130" t="str">
        <f ca="1">IFERROR(__xludf.DUMMYFUNCTION("""COMPUTED_VALUE"""),"Enterprises")</f>
        <v>Enterprises</v>
      </c>
      <c r="S205" s="130" t="str">
        <f ca="1">IFERROR(__xludf.DUMMYFUNCTION("""COMPUTED_VALUE"""),"Strategic Review")</f>
        <v>Strategic Review</v>
      </c>
      <c r="T205" s="130" t="str">
        <f ca="1">IFERROR(__xludf.DUMMYFUNCTION("""COMPUTED_VALUE"""),"1. Generación de Ingresos")</f>
        <v>1. Generación de Ingresos</v>
      </c>
      <c r="U205" s="130" t="str">
        <f ca="1">IFERROR(__xludf.DUMMYFUNCTION("""COMPUTED_VALUE"""),"1.5. Otros de Proyectos de Ingresos")</f>
        <v>1.5. Otros de Proyectos de Ingresos</v>
      </c>
      <c r="V205" s="4" t="str">
        <f ca="1">IFERROR(__xludf.DUMMYFUNCTION("""COMPUTED_VALUE"""),"Senda")</f>
        <v>Senda</v>
      </c>
      <c r="W205" s="4">
        <f ca="1">IFERROR(__xludf.DUMMYFUNCTION("""COMPUTED_VALUE"""),1)</f>
        <v>1</v>
      </c>
      <c r="X205" s="4" t="str">
        <f ca="1">IFERROR(__xludf.DUMMYFUNCTION("""COMPUTED_VALUE"""),"08. Enterprise Transactionality")</f>
        <v>08. Enterprise Transactionality</v>
      </c>
      <c r="Y205" s="4" t="str">
        <f ca="1">IFERROR(__xludf.DUMMYFUNCTION("""COMPUTED_VALUE"""),"2.1.1 Horizon - Enterprise")</f>
        <v>2.1.1 Horizon - Enterprise</v>
      </c>
      <c r="Z205" s="132" t="str">
        <f ca="1">IFERROR(__xludf.DUMMYFUNCTION("""COMPUTED_VALUE"""),"711278")</f>
        <v>711278</v>
      </c>
      <c r="AA205" s="4" t="str">
        <f ca="1">IFERROR(__xludf.DUMMYFUNCTION("""COMPUTED_VALUE"""),"Modulo de pagos - Servicio transferencias por creación manual")</f>
        <v>Modulo de pagos - Servicio transferencias por creación manual</v>
      </c>
      <c r="AB205" s="4" t="str">
        <f ca="1">IFERROR(__xludf.DUMMYFUNCTION("""COMPUTED_VALUE"""),"Se generá la entrega del flujo de pago de manera manual, se realizaran las validaciones correspondientes limites por usuario y limites de firma")</f>
        <v>Se generá la entrega del flujo de pago de manera manual, se realizaran las validaciones correspondientes limites por usuario y limites de firma</v>
      </c>
      <c r="AC205" s="4" t="str">
        <f ca="1">IFERROR(__xludf.DUMMYFUNCTION("""COMPUTED_VALUE"""),"3Q 2023")</f>
        <v>3Q 2023</v>
      </c>
      <c r="AD205" s="4"/>
      <c r="AE205" s="4"/>
      <c r="AF205" s="4"/>
      <c r="AG205" s="4"/>
      <c r="AH205" s="4"/>
      <c r="AI205" s="4"/>
      <c r="AJ205" s="4"/>
      <c r="AK205" s="131" t="str">
        <f ca="1">IFERROR(__xludf.DUMMYFUNCTION("""COMPUTED_VALUE"""),"COLWSCANAL-11469")</f>
        <v>COLWSCANAL-11469</v>
      </c>
      <c r="AL205" s="4" t="str">
        <f ca="1">IFERROR(__xludf.DUMMYFUNCTION("""COMPUTED_VALUE"""),"New")</f>
        <v>New</v>
      </c>
      <c r="AM205" s="4"/>
      <c r="AN205" s="4" t="str">
        <f ca="1">IFERROR(__xludf.DUMMYFUNCTION("""COMPUTED_VALUE"""),"Entregable en Conceptualización")</f>
        <v>Entregable en Conceptualización</v>
      </c>
      <c r="AO205" s="4" t="str">
        <f ca="1">IFERROR(__xludf.DUMMYFUNCTION("""COMPUTED_VALUE"""),"Tranversales")</f>
        <v>Tranversales</v>
      </c>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row>
    <row r="206" spans="1:132" x14ac:dyDescent="0.2">
      <c r="A206" s="4">
        <f ca="1">IFERROR(__xludf.DUMMYFUNCTION("""COMPUTED_VALUE"""),206)</f>
        <v>206</v>
      </c>
      <c r="B206" s="4">
        <f ca="1">IFERROR(__xludf.DUMMYFUNCTION("""COMPUTED_VALUE"""),184)</f>
        <v>184</v>
      </c>
      <c r="C206" s="4" t="str">
        <f ca="1">IFERROR(__xludf.DUMMYFUNCTION("""COMPUTED_VALUE"""),"SDATOOL-40528")</f>
        <v>SDATOOL-40528</v>
      </c>
      <c r="D206" s="4" t="str">
        <f ca="1">IFERROR(__xludf.DUMMYFUNCTION("""COMPUTED_VALUE"""),"ETPB - SENDA PAGOS")</f>
        <v>ETPB - SENDA PAGOS</v>
      </c>
      <c r="E206"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6" s="4" t="str">
        <f ca="1">IFERROR(__xludf.DUMMYFUNCTION("""COMPUTED_VALUE"""),"Project")</f>
        <v>Project</v>
      </c>
      <c r="G206" s="4" t="str">
        <f ca="1">IFERROR(__xludf.DUMMYFUNCTION("""COMPUTED_VALUE"""),"Stock")</f>
        <v>Stock</v>
      </c>
      <c r="H206" s="4" t="str">
        <f ca="1">IFERROR(__xludf.DUMMYFUNCTION("""COMPUTED_VALUE"""),"4Q 2023")</f>
        <v>4Q 2023</v>
      </c>
      <c r="I206" s="131" t="str">
        <f ca="1">IFERROR(__xludf.DUMMYFUNCTION("""COMPUTED_VALUE"""),"nathiahayosara.amado-bbva.com")</f>
        <v>nathiahayosara.amado-bbva.com</v>
      </c>
      <c r="J206" s="131" t="str">
        <f ca="1">IFERROR(__xludf.DUMMYFUNCTION("""COMPUTED_VALUE"""),"leidyjohanna.zambrano-bbva.com")</f>
        <v>leidyjohanna.zambrano-bbva.com</v>
      </c>
      <c r="K206" s="131" t="str">
        <f ca="1">IFERROR(__xludf.DUMMYFUNCTION("""COMPUTED_VALUE"""),"elizabeth.diaz-bbva.com")</f>
        <v>elizabeth.diaz-bbva.com</v>
      </c>
      <c r="L206" s="4"/>
      <c r="M206" s="4"/>
      <c r="N206" s="4"/>
      <c r="O206" s="4" t="str">
        <f ca="1">IFERROR(__xludf.DUMMYFUNCTION("""COMPUTED_VALUE"""),"Scrum")</f>
        <v>Scrum</v>
      </c>
      <c r="P206" s="4" t="str">
        <f ca="1">IFERROR(__xludf.DUMMYFUNCTION("""COMPUTED_VALUE"""),"DRACARYS")</f>
        <v>DRACARYS</v>
      </c>
      <c r="Q206" s="4"/>
      <c r="R206" s="130" t="str">
        <f ca="1">IFERROR(__xludf.DUMMYFUNCTION("""COMPUTED_VALUE"""),"Enterprises")</f>
        <v>Enterprises</v>
      </c>
      <c r="S206" s="130" t="str">
        <f ca="1">IFERROR(__xludf.DUMMYFUNCTION("""COMPUTED_VALUE"""),"Strategic Review")</f>
        <v>Strategic Review</v>
      </c>
      <c r="T206" s="130" t="str">
        <f ca="1">IFERROR(__xludf.DUMMYFUNCTION("""COMPUTED_VALUE"""),"1. Generación de Ingresos")</f>
        <v>1. Generación de Ingresos</v>
      </c>
      <c r="U206" s="130" t="str">
        <f ca="1">IFERROR(__xludf.DUMMYFUNCTION("""COMPUTED_VALUE"""),"1.5. Otros de Proyectos de Ingresos")</f>
        <v>1.5. Otros de Proyectos de Ingresos</v>
      </c>
      <c r="V206" s="4" t="str">
        <f ca="1">IFERROR(__xludf.DUMMYFUNCTION("""COMPUTED_VALUE"""),"Senda")</f>
        <v>Senda</v>
      </c>
      <c r="W206" s="4">
        <f ca="1">IFERROR(__xludf.DUMMYFUNCTION("""COMPUTED_VALUE"""),1)</f>
        <v>1</v>
      </c>
      <c r="X206" s="4" t="str">
        <f ca="1">IFERROR(__xludf.DUMMYFUNCTION("""COMPUTED_VALUE"""),"08. Enterprise Transactionality")</f>
        <v>08. Enterprise Transactionality</v>
      </c>
      <c r="Y206" s="4" t="str">
        <f ca="1">IFERROR(__xludf.DUMMYFUNCTION("""COMPUTED_VALUE"""),"2.1.1 Horizon - Enterprise")</f>
        <v>2.1.1 Horizon - Enterprise</v>
      </c>
      <c r="Z206" s="132" t="str">
        <f ca="1">IFERROR(__xludf.DUMMYFUNCTION("""COMPUTED_VALUE"""),"711288")</f>
        <v>711288</v>
      </c>
      <c r="AA206" s="4" t="str">
        <f ca="1">IFERROR(__xludf.DUMMYFUNCTION("""COMPUTED_VALUE"""),"Modulo de saldos y movimientos - Información de cuentas")</f>
        <v>Modulo de saldos y movimientos - Información de cuentas</v>
      </c>
      <c r="AB206" s="4" t="str">
        <f ca="1">IFERROR(__xludf.DUMMYFUNCTION("""COMPUTED_VALUE"""),"Movimientos que el cliente podrá validar en SENDA")</f>
        <v>Movimientos que el cliente podrá validar en SENDA</v>
      </c>
      <c r="AC206" s="4" t="str">
        <f ca="1">IFERROR(__xludf.DUMMYFUNCTION("""COMPUTED_VALUE"""),"4Q 2023")</f>
        <v>4Q 2023</v>
      </c>
      <c r="AD206" s="4"/>
      <c r="AE206" s="4"/>
      <c r="AF206" s="4"/>
      <c r="AG206" s="4"/>
      <c r="AH206" s="4"/>
      <c r="AI206" s="4"/>
      <c r="AJ206" s="4"/>
      <c r="AK206" s="4" t="str">
        <f ca="1">IFERROR(__xludf.DUMMYFUNCTION("""COMPUTED_VALUE"""),"Sin asignar")</f>
        <v>Sin asignar</v>
      </c>
      <c r="AL206" s="4" t="str">
        <f ca="1">IFERROR(__xludf.DUMMYFUNCTION("""COMPUTED_VALUE"""),"Sin asignar")</f>
        <v>Sin asignar</v>
      </c>
      <c r="AM206" s="4"/>
      <c r="AN206" s="4" t="str">
        <f ca="1">IFERROR(__xludf.DUMMYFUNCTION("""COMPUTED_VALUE"""),"Entregable en Conceptualización")</f>
        <v>Entregable en Conceptualización</v>
      </c>
      <c r="AO206" s="4" t="str">
        <f ca="1">IFERROR(__xludf.DUMMYFUNCTION("""COMPUTED_VALUE"""),"Tranversales")</f>
        <v>Tranversales</v>
      </c>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row>
    <row r="207" spans="1:132" x14ac:dyDescent="0.2">
      <c r="A207" s="4">
        <f ca="1">IFERROR(__xludf.DUMMYFUNCTION("""COMPUTED_VALUE"""),207)</f>
        <v>207</v>
      </c>
      <c r="B207" s="4">
        <f ca="1">IFERROR(__xludf.DUMMYFUNCTION("""COMPUTED_VALUE"""),185)</f>
        <v>185</v>
      </c>
      <c r="C207" s="4" t="str">
        <f ca="1">IFERROR(__xludf.DUMMYFUNCTION("""COMPUTED_VALUE"""),"SDATOOL-40528")</f>
        <v>SDATOOL-40528</v>
      </c>
      <c r="D207" s="4" t="str">
        <f ca="1">IFERROR(__xludf.DUMMYFUNCTION("""COMPUTED_VALUE"""),"ETPB - SENDA PAGOS")</f>
        <v>ETPB - SENDA PAGOS</v>
      </c>
      <c r="E207"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7" s="4" t="str">
        <f ca="1">IFERROR(__xludf.DUMMYFUNCTION("""COMPUTED_VALUE"""),"Project")</f>
        <v>Project</v>
      </c>
      <c r="G207" s="4" t="str">
        <f ca="1">IFERROR(__xludf.DUMMYFUNCTION("""COMPUTED_VALUE"""),"Stock")</f>
        <v>Stock</v>
      </c>
      <c r="H207" s="4" t="str">
        <f ca="1">IFERROR(__xludf.DUMMYFUNCTION("""COMPUTED_VALUE"""),"4Q 2023")</f>
        <v>4Q 2023</v>
      </c>
      <c r="I207" s="131" t="str">
        <f ca="1">IFERROR(__xludf.DUMMYFUNCTION("""COMPUTED_VALUE"""),"nathiahayosara.amado-bbva.com")</f>
        <v>nathiahayosara.amado-bbva.com</v>
      </c>
      <c r="J207" s="131" t="str">
        <f ca="1">IFERROR(__xludf.DUMMYFUNCTION("""COMPUTED_VALUE"""),"leidyjohanna.zambrano-bbva.com")</f>
        <v>leidyjohanna.zambrano-bbva.com</v>
      </c>
      <c r="K207" s="131" t="str">
        <f ca="1">IFERROR(__xludf.DUMMYFUNCTION("""COMPUTED_VALUE"""),"elizabeth.diaz-bbva.com")</f>
        <v>elizabeth.diaz-bbva.com</v>
      </c>
      <c r="L207" s="4"/>
      <c r="M207" s="4"/>
      <c r="N207" s="4"/>
      <c r="O207" s="4" t="str">
        <f ca="1">IFERROR(__xludf.DUMMYFUNCTION("""COMPUTED_VALUE"""),"Scrum")</f>
        <v>Scrum</v>
      </c>
      <c r="P207" s="4" t="str">
        <f ca="1">IFERROR(__xludf.DUMMYFUNCTION("""COMPUTED_VALUE"""),"DRACARYS")</f>
        <v>DRACARYS</v>
      </c>
      <c r="Q207" s="4"/>
      <c r="R207" s="130" t="str">
        <f ca="1">IFERROR(__xludf.DUMMYFUNCTION("""COMPUTED_VALUE"""),"Enterprises")</f>
        <v>Enterprises</v>
      </c>
      <c r="S207" s="130" t="str">
        <f ca="1">IFERROR(__xludf.DUMMYFUNCTION("""COMPUTED_VALUE"""),"Strategic Review")</f>
        <v>Strategic Review</v>
      </c>
      <c r="T207" s="130" t="str">
        <f ca="1">IFERROR(__xludf.DUMMYFUNCTION("""COMPUTED_VALUE"""),"1. Generación de Ingresos")</f>
        <v>1. Generación de Ingresos</v>
      </c>
      <c r="U207" s="130" t="str">
        <f ca="1">IFERROR(__xludf.DUMMYFUNCTION("""COMPUTED_VALUE"""),"1.5. Otros de Proyectos de Ingresos")</f>
        <v>1.5. Otros de Proyectos de Ingresos</v>
      </c>
      <c r="V207" s="4" t="str">
        <f ca="1">IFERROR(__xludf.DUMMYFUNCTION("""COMPUTED_VALUE"""),"Senda")</f>
        <v>Senda</v>
      </c>
      <c r="W207" s="4">
        <f ca="1">IFERROR(__xludf.DUMMYFUNCTION("""COMPUTED_VALUE"""),1)</f>
        <v>1</v>
      </c>
      <c r="X207" s="4" t="str">
        <f ca="1">IFERROR(__xludf.DUMMYFUNCTION("""COMPUTED_VALUE"""),"08. Enterprise Transactionality")</f>
        <v>08. Enterprise Transactionality</v>
      </c>
      <c r="Y207" s="4" t="str">
        <f ca="1">IFERROR(__xludf.DUMMYFUNCTION("""COMPUTED_VALUE"""),"2.1.1 Horizon - Enterprise")</f>
        <v>2.1.1 Horizon - Enterprise</v>
      </c>
      <c r="Z207" s="132" t="str">
        <f ca="1">IFERROR(__xludf.DUMMYFUNCTION("""COMPUTED_VALUE"""),"711284")</f>
        <v>711284</v>
      </c>
      <c r="AA207" s="4" t="str">
        <f ca="1">IFERROR(__xludf.DUMMYFUNCTION("""COMPUTED_VALUE"""),"Monitor de pagos funcional SENDA")</f>
        <v>Monitor de pagos funcional SENDA</v>
      </c>
      <c r="AB207" s="4" t="str">
        <f ca="1">IFERROR(__xludf.DUMMYFUNCTION("""COMPUTED_VALUE"""),"Monitor de pagos funcional SENDA")</f>
        <v>Monitor de pagos funcional SENDA</v>
      </c>
      <c r="AC207" s="4" t="str">
        <f ca="1">IFERROR(__xludf.DUMMYFUNCTION("""COMPUTED_VALUE"""),"4Q 2023")</f>
        <v>4Q 2023</v>
      </c>
      <c r="AD207" s="4"/>
      <c r="AE207" s="4"/>
      <c r="AF207" s="4"/>
      <c r="AG207" s="4"/>
      <c r="AH207" s="4"/>
      <c r="AI207" s="4"/>
      <c r="AJ207" s="4"/>
      <c r="AK207" s="131" t="str">
        <f ca="1">IFERROR(__xludf.DUMMYFUNCTION("""COMPUTED_VALUE"""),"COLWSCANAL-14060")</f>
        <v>COLWSCANAL-14060</v>
      </c>
      <c r="AL207" s="4" t="str">
        <f ca="1">IFERROR(__xludf.DUMMYFUNCTION("""COMPUTED_VALUE"""),"New")</f>
        <v>New</v>
      </c>
      <c r="AM207" s="4"/>
      <c r="AN207" s="4" t="str">
        <f ca="1">IFERROR(__xludf.DUMMYFUNCTION("""COMPUTED_VALUE"""),"Entregable en Conceptualización")</f>
        <v>Entregable en Conceptualización</v>
      </c>
      <c r="AO207" s="4" t="str">
        <f ca="1">IFERROR(__xludf.DUMMYFUNCTION("""COMPUTED_VALUE"""),"Tranversales")</f>
        <v>Tranversales</v>
      </c>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row>
    <row r="208" spans="1:132" x14ac:dyDescent="0.2">
      <c r="A208" s="4">
        <f ca="1">IFERROR(__xludf.DUMMYFUNCTION("""COMPUTED_VALUE"""),208)</f>
        <v>208</v>
      </c>
      <c r="B208" s="4">
        <f ca="1">IFERROR(__xludf.DUMMYFUNCTION("""COMPUTED_VALUE"""),186)</f>
        <v>186</v>
      </c>
      <c r="C208" s="4" t="str">
        <f ca="1">IFERROR(__xludf.DUMMYFUNCTION("""COMPUTED_VALUE"""),"SDATOOL-40528")</f>
        <v>SDATOOL-40528</v>
      </c>
      <c r="D208" s="4" t="str">
        <f ca="1">IFERROR(__xludf.DUMMYFUNCTION("""COMPUTED_VALUE"""),"ETPB - SENDA PAGOS")</f>
        <v>ETPB - SENDA PAGOS</v>
      </c>
      <c r="E208"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8" s="4" t="str">
        <f ca="1">IFERROR(__xludf.DUMMYFUNCTION("""COMPUTED_VALUE"""),"Project")</f>
        <v>Project</v>
      </c>
      <c r="G208" s="4" t="str">
        <f ca="1">IFERROR(__xludf.DUMMYFUNCTION("""COMPUTED_VALUE"""),"Stock")</f>
        <v>Stock</v>
      </c>
      <c r="H208" s="4" t="str">
        <f ca="1">IFERROR(__xludf.DUMMYFUNCTION("""COMPUTED_VALUE"""),"4Q 2023")</f>
        <v>4Q 2023</v>
      </c>
      <c r="I208" s="131" t="str">
        <f ca="1">IFERROR(__xludf.DUMMYFUNCTION("""COMPUTED_VALUE"""),"nathiahayosara.amado-bbva.com")</f>
        <v>nathiahayosara.amado-bbva.com</v>
      </c>
      <c r="J208" s="131" t="str">
        <f ca="1">IFERROR(__xludf.DUMMYFUNCTION("""COMPUTED_VALUE"""),"leidyjohanna.zambrano-bbva.com")</f>
        <v>leidyjohanna.zambrano-bbva.com</v>
      </c>
      <c r="K208" s="131" t="str">
        <f ca="1">IFERROR(__xludf.DUMMYFUNCTION("""COMPUTED_VALUE"""),"elizabeth.diaz-bbva.com")</f>
        <v>elizabeth.diaz-bbva.com</v>
      </c>
      <c r="L208" s="4"/>
      <c r="M208" s="4"/>
      <c r="N208" s="4"/>
      <c r="O208" s="4" t="str">
        <f ca="1">IFERROR(__xludf.DUMMYFUNCTION("""COMPUTED_VALUE"""),"Scrum")</f>
        <v>Scrum</v>
      </c>
      <c r="P208" s="4" t="str">
        <f ca="1">IFERROR(__xludf.DUMMYFUNCTION("""COMPUTED_VALUE"""),"DRACARYS")</f>
        <v>DRACARYS</v>
      </c>
      <c r="Q208" s="4"/>
      <c r="R208" s="130" t="str">
        <f ca="1">IFERROR(__xludf.DUMMYFUNCTION("""COMPUTED_VALUE"""),"Enterprises")</f>
        <v>Enterprises</v>
      </c>
      <c r="S208" s="130" t="str">
        <f ca="1">IFERROR(__xludf.DUMMYFUNCTION("""COMPUTED_VALUE"""),"Strategic Review")</f>
        <v>Strategic Review</v>
      </c>
      <c r="T208" s="130" t="str">
        <f ca="1">IFERROR(__xludf.DUMMYFUNCTION("""COMPUTED_VALUE"""),"1. Generación de Ingresos")</f>
        <v>1. Generación de Ingresos</v>
      </c>
      <c r="U208" s="130" t="str">
        <f ca="1">IFERROR(__xludf.DUMMYFUNCTION("""COMPUTED_VALUE"""),"1.5. Otros de Proyectos de Ingresos")</f>
        <v>1.5. Otros de Proyectos de Ingresos</v>
      </c>
      <c r="V208" s="4" t="str">
        <f ca="1">IFERROR(__xludf.DUMMYFUNCTION("""COMPUTED_VALUE"""),"Senda")</f>
        <v>Senda</v>
      </c>
      <c r="W208" s="4">
        <f ca="1">IFERROR(__xludf.DUMMYFUNCTION("""COMPUTED_VALUE"""),1)</f>
        <v>1</v>
      </c>
      <c r="X208" s="4" t="str">
        <f ca="1">IFERROR(__xludf.DUMMYFUNCTION("""COMPUTED_VALUE"""),"08. Enterprise Transactionality")</f>
        <v>08. Enterprise Transactionality</v>
      </c>
      <c r="Y208" s="4" t="str">
        <f ca="1">IFERROR(__xludf.DUMMYFUNCTION("""COMPUTED_VALUE"""),"2.1.1 Horizon - Enterprise")</f>
        <v>2.1.1 Horizon - Enterprise</v>
      </c>
      <c r="Z208" s="132" t="str">
        <f ca="1">IFERROR(__xludf.DUMMYFUNCTION("""COMPUTED_VALUE"""),"711285")</f>
        <v>711285</v>
      </c>
      <c r="AA208" s="4" t="str">
        <f ca="1">IFERROR(__xludf.DUMMYFUNCTION("""COMPUTED_VALUE"""),"Monitor de pagos Técnico SENDA")</f>
        <v>Monitor de pagos Técnico SENDA</v>
      </c>
      <c r="AB208" s="4" t="str">
        <f ca="1">IFERROR(__xludf.DUMMYFUNCTION("""COMPUTED_VALUE"""),"Monitor de pagos Técnico SENDA")</f>
        <v>Monitor de pagos Técnico SENDA</v>
      </c>
      <c r="AC208" s="4" t="str">
        <f ca="1">IFERROR(__xludf.DUMMYFUNCTION("""COMPUTED_VALUE"""),"4Q 2023")</f>
        <v>4Q 2023</v>
      </c>
      <c r="AD208" s="4"/>
      <c r="AE208" s="4"/>
      <c r="AF208" s="4"/>
      <c r="AG208" s="4"/>
      <c r="AH208" s="4"/>
      <c r="AI208" s="4"/>
      <c r="AJ208" s="4"/>
      <c r="AK208" s="131" t="str">
        <f ca="1">IFERROR(__xludf.DUMMYFUNCTION("""COMPUTED_VALUE"""),"COLWSCANAL-14061")</f>
        <v>COLWSCANAL-14061</v>
      </c>
      <c r="AL208" s="4" t="str">
        <f ca="1">IFERROR(__xludf.DUMMYFUNCTION("""COMPUTED_VALUE"""),"New")</f>
        <v>New</v>
      </c>
      <c r="AM208" s="4"/>
      <c r="AN208" s="4" t="str">
        <f ca="1">IFERROR(__xludf.DUMMYFUNCTION("""COMPUTED_VALUE"""),"Entregable en Conceptualización")</f>
        <v>Entregable en Conceptualización</v>
      </c>
      <c r="AO208" s="4" t="str">
        <f ca="1">IFERROR(__xludf.DUMMYFUNCTION("""COMPUTED_VALUE"""),"Tranversales")</f>
        <v>Tranversales</v>
      </c>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row>
    <row r="209" spans="1:132" x14ac:dyDescent="0.2">
      <c r="A209" s="4">
        <f ca="1">IFERROR(__xludf.DUMMYFUNCTION("""COMPUTED_VALUE"""),209)</f>
        <v>209</v>
      </c>
      <c r="B209" s="4">
        <f ca="1">IFERROR(__xludf.DUMMYFUNCTION("""COMPUTED_VALUE"""),187)</f>
        <v>187</v>
      </c>
      <c r="C209" s="4" t="str">
        <f ca="1">IFERROR(__xludf.DUMMYFUNCTION("""COMPUTED_VALUE"""),"SDATOOL-37130")</f>
        <v>SDATOOL-37130</v>
      </c>
      <c r="D209" s="4" t="str">
        <f ca="1">IFERROR(__xludf.DUMMYFUNCTION("""COMPUTED_VALUE"""),"Pago y domiciliación de recaudo")</f>
        <v>Pago y domiciliación de recaudo</v>
      </c>
      <c r="E209"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09" s="4" t="str">
        <f ca="1">IFERROR(__xludf.DUMMYFUNCTION("""COMPUTED_VALUE"""),"Project")</f>
        <v>Project</v>
      </c>
      <c r="G209" s="4" t="str">
        <f ca="1">IFERROR(__xludf.DUMMYFUNCTION("""COMPUTED_VALUE"""),"Ended")</f>
        <v>Ended</v>
      </c>
      <c r="H209" s="4" t="str">
        <f ca="1">IFERROR(__xludf.DUMMYFUNCTION("""COMPUTED_VALUE"""),"1Q 2023")</f>
        <v>1Q 2023</v>
      </c>
      <c r="I209" s="131" t="str">
        <f ca="1">IFERROR(__xludf.DUMMYFUNCTION("""COMPUTED_VALUE"""),"nathiahayosara.amado-bbva.com")</f>
        <v>nathiahayosara.amado-bbva.com</v>
      </c>
      <c r="J209" s="131" t="str">
        <f ca="1">IFERROR(__xludf.DUMMYFUNCTION("""COMPUTED_VALUE"""),"leidyjohanna.zambrano-bbva.com")</f>
        <v>leidyjohanna.zambrano-bbva.com</v>
      </c>
      <c r="K209" s="131" t="str">
        <f ca="1">IFERROR(__xludf.DUMMYFUNCTION("""COMPUTED_VALUE"""),"elizabeth.diaz-bbva.com")</f>
        <v>elizabeth.diaz-bbva.com</v>
      </c>
      <c r="L209" s="130">
        <f ca="1">IFERROR(__xludf.DUMMYFUNCTION("""COMPUTED_VALUE"""),0)</f>
        <v>0</v>
      </c>
      <c r="M209" s="130">
        <f ca="1">IFERROR(__xludf.DUMMYFUNCTION("""COMPUTED_VALUE"""),4)</f>
        <v>4</v>
      </c>
      <c r="N209" s="130">
        <f ca="1">IFERROR(__xludf.DUMMYFUNCTION("""COMPUTED_VALUE"""),2.5)</f>
        <v>2.5</v>
      </c>
      <c r="O209" s="4" t="str">
        <f ca="1">IFERROR(__xludf.DUMMYFUNCTION("""COMPUTED_VALUE"""),"Scrum")</f>
        <v>Scrum</v>
      </c>
      <c r="P209" s="4" t="str">
        <f ca="1">IFERROR(__xludf.DUMMYFUNCTION("""COMPUTED_VALUE"""),"Nakama Team ")</f>
        <v xml:space="preserve">Nakama Team </v>
      </c>
      <c r="Q209" s="130">
        <f ca="1">IFERROR(__xludf.DUMMYFUNCTION("""COMPUTED_VALUE"""),1)</f>
        <v>1</v>
      </c>
      <c r="R209" s="130" t="str">
        <f ca="1">IFERROR(__xludf.DUMMYFUNCTION("""COMPUTED_VALUE"""),"Enterprises")</f>
        <v>Enterprises</v>
      </c>
      <c r="S209" s="130" t="str">
        <f ca="1">IFERROR(__xludf.DUMMYFUNCTION("""COMPUTED_VALUE"""),"Area Review")</f>
        <v>Area Review</v>
      </c>
      <c r="T209" s="130" t="str">
        <f ca="1">IFERROR(__xludf.DUMMYFUNCTION("""COMPUTED_VALUE"""),"1. Generación de Ingresos")</f>
        <v>1. Generación de Ingresos</v>
      </c>
      <c r="U209" s="130" t="str">
        <f ca="1">IFERROR(__xludf.DUMMYFUNCTION("""COMPUTED_VALUE"""),"1.5. Otros de Proyectos de Ingresos")</f>
        <v>1.5. Otros de Proyectos de Ingresos</v>
      </c>
      <c r="V209" s="4" t="str">
        <f ca="1">IFERROR(__xludf.DUMMYFUNCTION("""COMPUTED_VALUE"""),"Tx")</f>
        <v>Tx</v>
      </c>
      <c r="W209" s="4">
        <f ca="1">IFERROR(__xludf.DUMMYFUNCTION("""COMPUTED_VALUE"""),2)</f>
        <v>2</v>
      </c>
      <c r="X209" s="4" t="str">
        <f ca="1">IFERROR(__xludf.DUMMYFUNCTION("""COMPUTED_VALUE"""),"08. Enterprise Transactionality")</f>
        <v>08. Enterprise Transactionality</v>
      </c>
      <c r="Y209" s="4" t="str">
        <f ca="1">IFERROR(__xludf.DUMMYFUNCTION("""COMPUTED_VALUE"""),"5.7.1 Keep the Bank Running")</f>
        <v>5.7.1 Keep the Bank Running</v>
      </c>
      <c r="Z209" s="132" t="str">
        <f ca="1">IFERROR(__xludf.DUMMYFUNCTION("""COMPUTED_VALUE"""),"310203")</f>
        <v>310203</v>
      </c>
      <c r="AA209" s="4" t="str">
        <f ca="1">IFERROR(__xludf.DUMMYFUNCTION("""COMPUTED_VALUE"""),"Pago de recaudo por archivo plano")</f>
        <v>Pago de recaudo por archivo plano</v>
      </c>
      <c r="AB209" s="4" t="str">
        <f ca="1">IFERROR(__xludf.DUMMYFUNCTION("""COMPUTED_VALUE"""),"Pago masivo de recaudo por archivo plano")</f>
        <v>Pago masivo de recaudo por archivo plano</v>
      </c>
      <c r="AC209" s="4" t="str">
        <f ca="1">IFERROR(__xludf.DUMMYFUNCTION("""COMPUTED_VALUE"""),"4Q 2022")</f>
        <v>4Q 2022</v>
      </c>
      <c r="AD209" s="4"/>
      <c r="AE209" s="4"/>
      <c r="AF209" s="4"/>
      <c r="AG209" s="4"/>
      <c r="AH209" s="4"/>
      <c r="AI209" s="4"/>
      <c r="AJ209" s="4"/>
      <c r="AK209" s="131" t="str">
        <f ca="1">IFERROR(__xludf.DUMMYFUNCTION("""COMPUTED_VALUE"""),"COLWSCANAL-3268")</f>
        <v>COLWSCANAL-3268</v>
      </c>
      <c r="AL209" s="4" t="str">
        <f ca="1">IFERROR(__xludf.DUMMYFUNCTION("""COMPUTED_VALUE"""),"Deployed")</f>
        <v>Deployed</v>
      </c>
      <c r="AM209" s="4"/>
      <c r="AN209" s="4" t="str">
        <f ca="1">IFERROR(__xludf.DUMMYFUNCTION("""COMPUTED_VALUE"""),"Finalizado")</f>
        <v>Finalizado</v>
      </c>
      <c r="AO209" s="4" t="str">
        <f ca="1">IFERROR(__xludf.DUMMYFUNCTION("""COMPUTED_VALUE"""),"Transversales")</f>
        <v>Transversales</v>
      </c>
      <c r="AP209" s="4"/>
      <c r="AQ209" s="4"/>
      <c r="AR209" s="4" t="str">
        <f ca="1">IFERROR(__xludf.DUMMYFUNCTION("""COMPUTED_VALUE"""),"SDA aprobada en PPP Q1 2023")</f>
        <v>SDA aprobada en PPP Q1 2023</v>
      </c>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133">
        <f ca="1">IFERROR(__xludf.DUMMYFUNCTION("""COMPUTED_VALUE"""),0)</f>
        <v>0</v>
      </c>
      <c r="DV209" s="133">
        <f ca="1">IFERROR(__xludf.DUMMYFUNCTION("""COMPUTED_VALUE"""),0)</f>
        <v>0</v>
      </c>
      <c r="DW209" s="133">
        <f ca="1">IFERROR(__xludf.DUMMYFUNCTION("""COMPUTED_VALUE"""),775103692)</f>
        <v>775103692</v>
      </c>
      <c r="DX209" s="133">
        <f ca="1">IFERROR(__xludf.DUMMYFUNCTION("""COMPUTED_VALUE"""),163557106)</f>
        <v>163557106</v>
      </c>
      <c r="DY209" s="133">
        <f ca="1">IFERROR(__xludf.DUMMYFUNCTION("""COMPUTED_VALUE"""),0)</f>
        <v>0</v>
      </c>
      <c r="DZ209" s="133">
        <f ca="1">IFERROR(__xludf.DUMMYFUNCTION("""COMPUTED_VALUE"""),938660798)</f>
        <v>938660798</v>
      </c>
      <c r="EA209" s="4"/>
      <c r="EB209" s="4"/>
    </row>
    <row r="210" spans="1:132" x14ac:dyDescent="0.2">
      <c r="A210" s="4">
        <f ca="1">IFERROR(__xludf.DUMMYFUNCTION("""COMPUTED_VALUE"""),210)</f>
        <v>210</v>
      </c>
      <c r="B210" s="4">
        <f ca="1">IFERROR(__xludf.DUMMYFUNCTION("""COMPUTED_VALUE"""),188)</f>
        <v>188</v>
      </c>
      <c r="C210" s="4" t="str">
        <f ca="1">IFERROR(__xludf.DUMMYFUNCTION("""COMPUTED_VALUE"""),"SDATOOL-37130")</f>
        <v>SDATOOL-37130</v>
      </c>
      <c r="D210" s="4" t="str">
        <f ca="1">IFERROR(__xludf.DUMMYFUNCTION("""COMPUTED_VALUE"""),"Pago y domiciliación de recaudo")</f>
        <v>Pago y domiciliación de recaudo</v>
      </c>
      <c r="E210"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0" s="4" t="str">
        <f ca="1">IFERROR(__xludf.DUMMYFUNCTION("""COMPUTED_VALUE"""),"Project")</f>
        <v>Project</v>
      </c>
      <c r="G210" s="4" t="str">
        <f ca="1">IFERROR(__xludf.DUMMYFUNCTION("""COMPUTED_VALUE"""),"Ended")</f>
        <v>Ended</v>
      </c>
      <c r="H210" s="4" t="str">
        <f ca="1">IFERROR(__xludf.DUMMYFUNCTION("""COMPUTED_VALUE"""),"1Q 2023")</f>
        <v>1Q 2023</v>
      </c>
      <c r="I210" s="131" t="str">
        <f ca="1">IFERROR(__xludf.DUMMYFUNCTION("""COMPUTED_VALUE"""),"nathiahayosara.amado-bbva.com")</f>
        <v>nathiahayosara.amado-bbva.com</v>
      </c>
      <c r="J210" s="131" t="str">
        <f ca="1">IFERROR(__xludf.DUMMYFUNCTION("""COMPUTED_VALUE"""),"leidyjohanna.zambrano-bbva.com")</f>
        <v>leidyjohanna.zambrano-bbva.com</v>
      </c>
      <c r="K210" s="131" t="str">
        <f ca="1">IFERROR(__xludf.DUMMYFUNCTION("""COMPUTED_VALUE"""),"elizabeth.diaz-bbva.com")</f>
        <v>elizabeth.diaz-bbva.com</v>
      </c>
      <c r="L210" s="4"/>
      <c r="M210" s="4"/>
      <c r="N210" s="4"/>
      <c r="O210" s="4" t="str">
        <f ca="1">IFERROR(__xludf.DUMMYFUNCTION("""COMPUTED_VALUE"""),"Scrum")</f>
        <v>Scrum</v>
      </c>
      <c r="P210" s="4" t="str">
        <f ca="1">IFERROR(__xludf.DUMMYFUNCTION("""COMPUTED_VALUE"""),"Nakama Team ")</f>
        <v xml:space="preserve">Nakama Team </v>
      </c>
      <c r="Q210" s="4"/>
      <c r="R210" s="130" t="str">
        <f ca="1">IFERROR(__xludf.DUMMYFUNCTION("""COMPUTED_VALUE"""),"Enterprises")</f>
        <v>Enterprises</v>
      </c>
      <c r="S210" s="130" t="str">
        <f ca="1">IFERROR(__xludf.DUMMYFUNCTION("""COMPUTED_VALUE"""),"Area Review")</f>
        <v>Area Review</v>
      </c>
      <c r="T210" s="130" t="str">
        <f ca="1">IFERROR(__xludf.DUMMYFUNCTION("""COMPUTED_VALUE"""),"1. Generación de Ingresos")</f>
        <v>1. Generación de Ingresos</v>
      </c>
      <c r="U210" s="130" t="str">
        <f ca="1">IFERROR(__xludf.DUMMYFUNCTION("""COMPUTED_VALUE"""),"1.5. Otros de Proyectos de Ingresos")</f>
        <v>1.5. Otros de Proyectos de Ingresos</v>
      </c>
      <c r="V210" s="4" t="str">
        <f ca="1">IFERROR(__xludf.DUMMYFUNCTION("""COMPUTED_VALUE"""),"Tx")</f>
        <v>Tx</v>
      </c>
      <c r="W210" s="4">
        <f ca="1">IFERROR(__xludf.DUMMYFUNCTION("""COMPUTED_VALUE"""),2)</f>
        <v>2</v>
      </c>
      <c r="X210" s="4" t="str">
        <f ca="1">IFERROR(__xludf.DUMMYFUNCTION("""COMPUTED_VALUE"""),"08. Enterprise Transactionality")</f>
        <v>08. Enterprise Transactionality</v>
      </c>
      <c r="Y210" s="4" t="str">
        <f ca="1">IFERROR(__xludf.DUMMYFUNCTION("""COMPUTED_VALUE"""),"5.7.1 Keep the Bank Running")</f>
        <v>5.7.1 Keep the Bank Running</v>
      </c>
      <c r="Z210" s="132" t="str">
        <f ca="1">IFERROR(__xludf.DUMMYFUNCTION("""COMPUTED_VALUE"""),"489545")</f>
        <v>489545</v>
      </c>
      <c r="AA210" s="4" t="str">
        <f ca="1">IFERROR(__xludf.DUMMYFUNCTION("""COMPUTED_VALUE"""),"PagAtiempo y Web Service Recaudo (Solución Táctica)")</f>
        <v>PagAtiempo y Web Service Recaudo (Solución Táctica)</v>
      </c>
      <c r="AB210" s="4" t="str">
        <f ca="1">IFERROR(__xludf.DUMMYFUNCTION("""COMPUTED_VALUE"""),"Conectar el modulo de PagAtiempo que corresponde a la domiciliación del recaudo a convenios con Web Service para que pueda consultar y validar en línea las referencias de pago de los convenios de servicios públicos y privados. Este desarrollo mejora la ex"&amp;"periencia y el servicio ofertado.
Se requiere contar con una solución táctica que no implique tiempos largos de desarrollo")</f>
        <v>Conectar el modulo de PagAtiempo que corresponde a la domiciliación del recaudo a convenios con Web Service para que pueda consultar y validar en línea las referencias de pago de los convenios de servicios públicos y privados. Este desarrollo mejora la experiencia y el servicio ofertado.
Se requiere contar con una solución táctica que no implique tiempos largos de desarrollo</v>
      </c>
      <c r="AC210" s="4" t="str">
        <f ca="1">IFERROR(__xludf.DUMMYFUNCTION("""COMPUTED_VALUE"""),"1Q 2023")</f>
        <v>1Q 2023</v>
      </c>
      <c r="AD210" s="4"/>
      <c r="AE210" s="4"/>
      <c r="AF210" s="4"/>
      <c r="AG210" s="4"/>
      <c r="AH210" s="4"/>
      <c r="AI210" s="4"/>
      <c r="AJ210" s="4"/>
      <c r="AK210" s="131" t="str">
        <f ca="1">IFERROR(__xludf.DUMMYFUNCTION("""COMPUTED_VALUE"""),"COLWSCONTA-26")</f>
        <v>COLWSCONTA-26</v>
      </c>
      <c r="AL210" s="4" t="str">
        <f ca="1">IFERROR(__xludf.DUMMYFUNCTION("""COMPUTED_VALUE"""),"Deployed")</f>
        <v>Deployed</v>
      </c>
      <c r="AM210" s="4"/>
      <c r="AN210" s="4" t="str">
        <f ca="1">IFERROR(__xludf.DUMMYFUNCTION("""COMPUTED_VALUE"""),"Finalizado")</f>
        <v>Finalizado</v>
      </c>
      <c r="AO210" s="4" t="str">
        <f ca="1">IFERROR(__xludf.DUMMYFUNCTION("""COMPUTED_VALUE"""),"Transversales")</f>
        <v>Transversales</v>
      </c>
      <c r="AP210" s="4"/>
      <c r="AQ210" s="4"/>
      <c r="AR210" s="4" t="str">
        <f ca="1">IFERROR(__xludf.DUMMYFUNCTION("""COMPUTED_VALUE"""),"SDA aprobada en PPP Q1 2023")</f>
        <v>SDA aprobada en PPP Q1 2023</v>
      </c>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row>
    <row r="211" spans="1:132" x14ac:dyDescent="0.2">
      <c r="A211" s="4">
        <f ca="1">IFERROR(__xludf.DUMMYFUNCTION("""COMPUTED_VALUE"""),211)</f>
        <v>211</v>
      </c>
      <c r="B211" s="4">
        <f ca="1">IFERROR(__xludf.DUMMYFUNCTION("""COMPUTED_VALUE"""),189)</f>
        <v>189</v>
      </c>
      <c r="C211" s="4" t="str">
        <f ca="1">IFERROR(__xludf.DUMMYFUNCTION("""COMPUTED_VALUE"""),"SDATOOL-37130")</f>
        <v>SDATOOL-37130</v>
      </c>
      <c r="D211" s="4" t="str">
        <f ca="1">IFERROR(__xludf.DUMMYFUNCTION("""COMPUTED_VALUE"""),"Pago y domiciliación de recaudo")</f>
        <v>Pago y domiciliación de recaudo</v>
      </c>
      <c r="E211"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1" s="4" t="str">
        <f ca="1">IFERROR(__xludf.DUMMYFUNCTION("""COMPUTED_VALUE"""),"Project")</f>
        <v>Project</v>
      </c>
      <c r="G211" s="4" t="str">
        <f ca="1">IFERROR(__xludf.DUMMYFUNCTION("""COMPUTED_VALUE"""),"Ended")</f>
        <v>Ended</v>
      </c>
      <c r="H211" s="4" t="str">
        <f ca="1">IFERROR(__xludf.DUMMYFUNCTION("""COMPUTED_VALUE"""),"1Q 2023")</f>
        <v>1Q 2023</v>
      </c>
      <c r="I211" s="131" t="str">
        <f ca="1">IFERROR(__xludf.DUMMYFUNCTION("""COMPUTED_VALUE"""),"nathiahayosara.amado-bbva.com")</f>
        <v>nathiahayosara.amado-bbva.com</v>
      </c>
      <c r="J211" s="131" t="str">
        <f ca="1">IFERROR(__xludf.DUMMYFUNCTION("""COMPUTED_VALUE"""),"leidyjohanna.zambrano-bbva.com")</f>
        <v>leidyjohanna.zambrano-bbva.com</v>
      </c>
      <c r="K211" s="131" t="str">
        <f ca="1">IFERROR(__xludf.DUMMYFUNCTION("""COMPUTED_VALUE"""),"elizabeth.diaz-bbva.com")</f>
        <v>elizabeth.diaz-bbva.com</v>
      </c>
      <c r="L211" s="4"/>
      <c r="M211" s="4"/>
      <c r="N211" s="4"/>
      <c r="O211" s="4" t="str">
        <f ca="1">IFERROR(__xludf.DUMMYFUNCTION("""COMPUTED_VALUE"""),"Scrum")</f>
        <v>Scrum</v>
      </c>
      <c r="P211" s="4" t="str">
        <f ca="1">IFERROR(__xludf.DUMMYFUNCTION("""COMPUTED_VALUE"""),"Nakama Team ")</f>
        <v xml:space="preserve">Nakama Team </v>
      </c>
      <c r="Q211" s="4"/>
      <c r="R211" s="130" t="str">
        <f ca="1">IFERROR(__xludf.DUMMYFUNCTION("""COMPUTED_VALUE"""),"Enterprises")</f>
        <v>Enterprises</v>
      </c>
      <c r="S211" s="130" t="str">
        <f ca="1">IFERROR(__xludf.DUMMYFUNCTION("""COMPUTED_VALUE"""),"Area Review")</f>
        <v>Area Review</v>
      </c>
      <c r="T211" s="130" t="str">
        <f ca="1">IFERROR(__xludf.DUMMYFUNCTION("""COMPUTED_VALUE"""),"1. Generación de Ingresos")</f>
        <v>1. Generación de Ingresos</v>
      </c>
      <c r="U211" s="130" t="str">
        <f ca="1">IFERROR(__xludf.DUMMYFUNCTION("""COMPUTED_VALUE"""),"1.5. Otros de Proyectos de Ingresos")</f>
        <v>1.5. Otros de Proyectos de Ingresos</v>
      </c>
      <c r="V211" s="4" t="str">
        <f ca="1">IFERROR(__xludf.DUMMYFUNCTION("""COMPUTED_VALUE"""),"Tx")</f>
        <v>Tx</v>
      </c>
      <c r="W211" s="4">
        <f ca="1">IFERROR(__xludf.DUMMYFUNCTION("""COMPUTED_VALUE"""),2)</f>
        <v>2</v>
      </c>
      <c r="X211" s="4" t="str">
        <f ca="1">IFERROR(__xludf.DUMMYFUNCTION("""COMPUTED_VALUE"""),"08. Enterprise Transactionality")</f>
        <v>08. Enterprise Transactionality</v>
      </c>
      <c r="Y211" s="4" t="str">
        <f ca="1">IFERROR(__xludf.DUMMYFUNCTION("""COMPUTED_VALUE"""),"5.7.1 Keep the Bank Running")</f>
        <v>5.7.1 Keep the Bank Running</v>
      </c>
      <c r="Z211" s="132" t="str">
        <f ca="1">IFERROR(__xludf.DUMMYFUNCTION("""COMPUTED_VALUE"""),"515909")</f>
        <v>515909</v>
      </c>
      <c r="AA211" s="4" t="str">
        <f ca="1">IFERROR(__xludf.DUMMYFUNCTION("""COMPUTED_VALUE"""),"Programación de pagos de facturas NETCASH")</f>
        <v>Programación de pagos de facturas NETCASH</v>
      </c>
      <c r="AB211" s="4" t="str">
        <f ca="1">IFERROR(__xludf.DUMMYFUNCTION("""COMPUTED_VALUE"""),"Generar una opción en NETCASH que le permita a los clientes programar de manera automática el pago de sus servicios públicos y convenios de recaudo.")</f>
        <v>Generar una opción en NETCASH que le permita a los clientes programar de manera automática el pago de sus servicios públicos y convenios de recaudo.</v>
      </c>
      <c r="AC211" s="4" t="str">
        <f ca="1">IFERROR(__xludf.DUMMYFUNCTION("""COMPUTED_VALUE"""),"4Q 2022")</f>
        <v>4Q 2022</v>
      </c>
      <c r="AD211" s="4"/>
      <c r="AE211" s="4"/>
      <c r="AF211" s="4"/>
      <c r="AG211" s="4"/>
      <c r="AH211" s="4"/>
      <c r="AI211" s="4"/>
      <c r="AJ211" s="4"/>
      <c r="AK211" s="131" t="str">
        <f ca="1">IFERROR(__xludf.DUMMYFUNCTION("""COMPUTED_VALUE"""),"COLWSCANAL-3348")</f>
        <v>COLWSCANAL-3348</v>
      </c>
      <c r="AL211" s="4" t="str">
        <f ca="1">IFERROR(__xludf.DUMMYFUNCTION("""COMPUTED_VALUE"""),"Deployed")</f>
        <v>Deployed</v>
      </c>
      <c r="AM211" s="4"/>
      <c r="AN211" s="4" t="str">
        <f ca="1">IFERROR(__xludf.DUMMYFUNCTION("""COMPUTED_VALUE"""),"Finalizado")</f>
        <v>Finalizado</v>
      </c>
      <c r="AO211" s="4" t="str">
        <f ca="1">IFERROR(__xludf.DUMMYFUNCTION("""COMPUTED_VALUE"""),"Transversales")</f>
        <v>Transversales</v>
      </c>
      <c r="AP211" s="4"/>
      <c r="AQ211" s="4"/>
      <c r="AR211" s="4" t="str">
        <f ca="1">IFERROR(__xludf.DUMMYFUNCTION("""COMPUTED_VALUE"""),"SDA aprobada en PPP Q1 2023")</f>
        <v>SDA aprobada en PPP Q1 2023</v>
      </c>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row>
    <row r="212" spans="1:132" x14ac:dyDescent="0.2">
      <c r="A212" s="4">
        <f ca="1">IFERROR(__xludf.DUMMYFUNCTION("""COMPUTED_VALUE"""),212)</f>
        <v>212</v>
      </c>
      <c r="B212" s="4">
        <f ca="1">IFERROR(__xludf.DUMMYFUNCTION("""COMPUTED_VALUE"""),190)</f>
        <v>190</v>
      </c>
      <c r="C212" s="4" t="str">
        <f ca="1">IFERROR(__xludf.DUMMYFUNCTION("""COMPUTED_VALUE"""),"SDATOOL-37130")</f>
        <v>SDATOOL-37130</v>
      </c>
      <c r="D212" s="4" t="str">
        <f ca="1">IFERROR(__xludf.DUMMYFUNCTION("""COMPUTED_VALUE"""),"Pago y domiciliación de recaudo")</f>
        <v>Pago y domiciliación de recaudo</v>
      </c>
      <c r="E212"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2" s="4" t="str">
        <f ca="1">IFERROR(__xludf.DUMMYFUNCTION("""COMPUTED_VALUE"""),"Project")</f>
        <v>Project</v>
      </c>
      <c r="G212" s="4" t="str">
        <f ca="1">IFERROR(__xludf.DUMMYFUNCTION("""COMPUTED_VALUE"""),"Ended")</f>
        <v>Ended</v>
      </c>
      <c r="H212" s="4" t="str">
        <f ca="1">IFERROR(__xludf.DUMMYFUNCTION("""COMPUTED_VALUE"""),"1Q 2023")</f>
        <v>1Q 2023</v>
      </c>
      <c r="I212" s="131" t="str">
        <f ca="1">IFERROR(__xludf.DUMMYFUNCTION("""COMPUTED_VALUE"""),"nathiahayosara.amado-bbva.com")</f>
        <v>nathiahayosara.amado-bbva.com</v>
      </c>
      <c r="J212" s="131" t="str">
        <f ca="1">IFERROR(__xludf.DUMMYFUNCTION("""COMPUTED_VALUE"""),"leidyjohanna.zambrano-bbva.com")</f>
        <v>leidyjohanna.zambrano-bbva.com</v>
      </c>
      <c r="K212" s="131" t="str">
        <f ca="1">IFERROR(__xludf.DUMMYFUNCTION("""COMPUTED_VALUE"""),"elizabeth.diaz-bbva.com")</f>
        <v>elizabeth.diaz-bbva.com</v>
      </c>
      <c r="L212" s="4"/>
      <c r="M212" s="4"/>
      <c r="N212" s="4"/>
      <c r="O212" s="4" t="str">
        <f ca="1">IFERROR(__xludf.DUMMYFUNCTION("""COMPUTED_VALUE"""),"Scrum")</f>
        <v>Scrum</v>
      </c>
      <c r="P212" s="4" t="str">
        <f ca="1">IFERROR(__xludf.DUMMYFUNCTION("""COMPUTED_VALUE"""),"Nakama Team ")</f>
        <v xml:space="preserve">Nakama Team </v>
      </c>
      <c r="Q212" s="4"/>
      <c r="R212" s="130" t="str">
        <f ca="1">IFERROR(__xludf.DUMMYFUNCTION("""COMPUTED_VALUE"""),"Enterprises")</f>
        <v>Enterprises</v>
      </c>
      <c r="S212" s="130" t="str">
        <f ca="1">IFERROR(__xludf.DUMMYFUNCTION("""COMPUTED_VALUE"""),"Area Review")</f>
        <v>Area Review</v>
      </c>
      <c r="T212" s="130" t="str">
        <f ca="1">IFERROR(__xludf.DUMMYFUNCTION("""COMPUTED_VALUE"""),"1. Generación de Ingresos")</f>
        <v>1. Generación de Ingresos</v>
      </c>
      <c r="U212" s="130" t="str">
        <f ca="1">IFERROR(__xludf.DUMMYFUNCTION("""COMPUTED_VALUE"""),"1.5. Otros de Proyectos de Ingresos")</f>
        <v>1.5. Otros de Proyectos de Ingresos</v>
      </c>
      <c r="V212" s="4" t="str">
        <f ca="1">IFERROR(__xludf.DUMMYFUNCTION("""COMPUTED_VALUE"""),"Tx")</f>
        <v>Tx</v>
      </c>
      <c r="W212" s="4">
        <f ca="1">IFERROR(__xludf.DUMMYFUNCTION("""COMPUTED_VALUE"""),2)</f>
        <v>2</v>
      </c>
      <c r="X212" s="4" t="str">
        <f ca="1">IFERROR(__xludf.DUMMYFUNCTION("""COMPUTED_VALUE"""),"08. Enterprise Transactionality")</f>
        <v>08. Enterprise Transactionality</v>
      </c>
      <c r="Y212" s="4" t="str">
        <f ca="1">IFERROR(__xludf.DUMMYFUNCTION("""COMPUTED_VALUE"""),"5.7.1 Keep the Bank Running")</f>
        <v>5.7.1 Keep the Bank Running</v>
      </c>
      <c r="Z212" s="132" t="str">
        <f ca="1">IFERROR(__xludf.DUMMYFUNCTION("""COMPUTED_VALUE"""),"598030")</f>
        <v>598030</v>
      </c>
      <c r="AA212" s="4" t="str">
        <f ca="1">IFERROR(__xludf.DUMMYFUNCTION("""COMPUTED_VALUE"""),"Pago masivo webservices por archivo plano")</f>
        <v>Pago masivo webservices por archivo plano</v>
      </c>
      <c r="AB212" s="4" t="str">
        <f ca="1">IFERROR(__xludf.DUMMYFUNCTION("""COMPUTED_VALUE"""),"Habilitar la opción de pagos masivos con tipos de convenio por webservices")</f>
        <v>Habilitar la opción de pagos masivos con tipos de convenio por webservices</v>
      </c>
      <c r="AC212" s="4" t="str">
        <f ca="1">IFERROR(__xludf.DUMMYFUNCTION("""COMPUTED_VALUE"""),"1Q 2023")</f>
        <v>1Q 2023</v>
      </c>
      <c r="AD212" s="4"/>
      <c r="AE212" s="4"/>
      <c r="AF212" s="4"/>
      <c r="AG212" s="4"/>
      <c r="AH212" s="4"/>
      <c r="AI212" s="4"/>
      <c r="AJ212" s="4"/>
      <c r="AK212" s="131" t="str">
        <f ca="1">IFERROR(__xludf.DUMMYFUNCTION("""COMPUTED_VALUE"""),"COLWSCANAL-6431")</f>
        <v>COLWSCANAL-6431</v>
      </c>
      <c r="AL212" s="4" t="str">
        <f ca="1">IFERROR(__xludf.DUMMYFUNCTION("""COMPUTED_VALUE"""),"Test")</f>
        <v>Test</v>
      </c>
      <c r="AM212" s="4"/>
      <c r="AN212" s="4" t="str">
        <f ca="1">IFERROR(__xludf.DUMMYFUNCTION("""COMPUTED_VALUE"""),"Entregable en desarrollo")</f>
        <v>Entregable en desarrollo</v>
      </c>
      <c r="AO212" s="4" t="str">
        <f ca="1">IFERROR(__xludf.DUMMYFUNCTION("""COMPUTED_VALUE"""),"Transversales")</f>
        <v>Transversales</v>
      </c>
      <c r="AP212" s="4"/>
      <c r="AQ212" s="4"/>
      <c r="AR212" s="4" t="str">
        <f ca="1">IFERROR(__xludf.DUMMYFUNCTION("""COMPUTED_VALUE"""),"SDA aprobada en PPP Q1 2023")</f>
        <v>SDA aprobada en PPP Q1 2023</v>
      </c>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row>
    <row r="213" spans="1:132" x14ac:dyDescent="0.2">
      <c r="A213" s="4">
        <f ca="1">IFERROR(__xludf.DUMMYFUNCTION("""COMPUTED_VALUE"""),213)</f>
        <v>213</v>
      </c>
      <c r="B213" s="4">
        <f ca="1">IFERROR(__xludf.DUMMYFUNCTION("""COMPUTED_VALUE"""),191)</f>
        <v>191</v>
      </c>
      <c r="C213" s="4" t="str">
        <f ca="1">IFERROR(__xludf.DUMMYFUNCTION("""COMPUTED_VALUE"""),"SDATOOL-37130")</f>
        <v>SDATOOL-37130</v>
      </c>
      <c r="D213" s="4" t="str">
        <f ca="1">IFERROR(__xludf.DUMMYFUNCTION("""COMPUTED_VALUE"""),"Pago y domiciliación de recaudo")</f>
        <v>Pago y domiciliación de recaudo</v>
      </c>
      <c r="E213"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3" s="4" t="str">
        <f ca="1">IFERROR(__xludf.DUMMYFUNCTION("""COMPUTED_VALUE"""),"Project")</f>
        <v>Project</v>
      </c>
      <c r="G213" s="4" t="str">
        <f ca="1">IFERROR(__xludf.DUMMYFUNCTION("""COMPUTED_VALUE"""),"Ended")</f>
        <v>Ended</v>
      </c>
      <c r="H213" s="4" t="str">
        <f ca="1">IFERROR(__xludf.DUMMYFUNCTION("""COMPUTED_VALUE"""),"1Q 2023")</f>
        <v>1Q 2023</v>
      </c>
      <c r="I213" s="131" t="str">
        <f ca="1">IFERROR(__xludf.DUMMYFUNCTION("""COMPUTED_VALUE"""),"nathiahayosara.amado-bbva.com")</f>
        <v>nathiahayosara.amado-bbva.com</v>
      </c>
      <c r="J213" s="131" t="str">
        <f ca="1">IFERROR(__xludf.DUMMYFUNCTION("""COMPUTED_VALUE"""),"leidyjohanna.zambrano-bbva.com")</f>
        <v>leidyjohanna.zambrano-bbva.com</v>
      </c>
      <c r="K213" s="131" t="str">
        <f ca="1">IFERROR(__xludf.DUMMYFUNCTION("""COMPUTED_VALUE"""),"elizabeth.diaz-bbva.com")</f>
        <v>elizabeth.diaz-bbva.com</v>
      </c>
      <c r="L213" s="4"/>
      <c r="M213" s="4"/>
      <c r="N213" s="4"/>
      <c r="O213" s="4" t="str">
        <f ca="1">IFERROR(__xludf.DUMMYFUNCTION("""COMPUTED_VALUE"""),"Scrum")</f>
        <v>Scrum</v>
      </c>
      <c r="P213" s="4" t="str">
        <f ca="1">IFERROR(__xludf.DUMMYFUNCTION("""COMPUTED_VALUE"""),"Nakama Team ")</f>
        <v xml:space="preserve">Nakama Team </v>
      </c>
      <c r="Q213" s="4"/>
      <c r="R213" s="130" t="str">
        <f ca="1">IFERROR(__xludf.DUMMYFUNCTION("""COMPUTED_VALUE"""),"Enterprises")</f>
        <v>Enterprises</v>
      </c>
      <c r="S213" s="130" t="str">
        <f ca="1">IFERROR(__xludf.DUMMYFUNCTION("""COMPUTED_VALUE"""),"Area Review")</f>
        <v>Area Review</v>
      </c>
      <c r="T213" s="130" t="str">
        <f ca="1">IFERROR(__xludf.DUMMYFUNCTION("""COMPUTED_VALUE"""),"1. Generación de Ingresos")</f>
        <v>1. Generación de Ingresos</v>
      </c>
      <c r="U213" s="130" t="str">
        <f ca="1">IFERROR(__xludf.DUMMYFUNCTION("""COMPUTED_VALUE"""),"1.5. Otros de Proyectos de Ingresos")</f>
        <v>1.5. Otros de Proyectos de Ingresos</v>
      </c>
      <c r="V213" s="4" t="str">
        <f ca="1">IFERROR(__xludf.DUMMYFUNCTION("""COMPUTED_VALUE"""),"Tx")</f>
        <v>Tx</v>
      </c>
      <c r="W213" s="4">
        <f ca="1">IFERROR(__xludf.DUMMYFUNCTION("""COMPUTED_VALUE"""),2)</f>
        <v>2</v>
      </c>
      <c r="X213" s="4" t="str">
        <f ca="1">IFERROR(__xludf.DUMMYFUNCTION("""COMPUTED_VALUE"""),"08. Enterprise Transactionality")</f>
        <v>08. Enterprise Transactionality</v>
      </c>
      <c r="Y213" s="4" t="str">
        <f ca="1">IFERROR(__xludf.DUMMYFUNCTION("""COMPUTED_VALUE"""),"5.7.1 Keep the Bank Running")</f>
        <v>5.7.1 Keep the Bank Running</v>
      </c>
      <c r="Z213" s="132" t="str">
        <f ca="1">IFERROR(__xludf.DUMMYFUNCTION("""COMPUTED_VALUE"""),"626218")</f>
        <v>626218</v>
      </c>
      <c r="AA213" s="4" t="str">
        <f ca="1">IFERROR(__xludf.DUMMYFUNCTION("""COMPUTED_VALUE"""),"Programación masiva de pagos de facturas NETCASH")</f>
        <v>Programación masiva de pagos de facturas NETCASH</v>
      </c>
      <c r="AB213" s="4" t="str">
        <f ca="1">IFERROR(__xludf.DUMMYFUNCTION("""COMPUTED_VALUE"""),"Habilitar opción para que los clientes puedan programar el pago de varias facturas mediante la carga de un archivo plano")</f>
        <v>Habilitar opción para que los clientes puedan programar el pago de varias facturas mediante la carga de un archivo plano</v>
      </c>
      <c r="AC213" s="4" t="str">
        <f ca="1">IFERROR(__xludf.DUMMYFUNCTION("""COMPUTED_VALUE"""),"3Q 2023")</f>
        <v>3Q 2023</v>
      </c>
      <c r="AD213" s="4"/>
      <c r="AE213" s="4"/>
      <c r="AF213" s="4"/>
      <c r="AG213" s="4"/>
      <c r="AH213" s="4"/>
      <c r="AI213" s="4"/>
      <c r="AJ213" s="4"/>
      <c r="AK213" s="131" t="str">
        <f ca="1">IFERROR(__xludf.DUMMYFUNCTION("""COMPUTED_VALUE"""),"COLWSCANAL-13133")</f>
        <v>COLWSCANAL-13133</v>
      </c>
      <c r="AL213" s="4" t="str">
        <f ca="1">IFERROR(__xludf.DUMMYFUNCTION("""COMPUTED_VALUE"""),"Analysing")</f>
        <v>Analysing</v>
      </c>
      <c r="AM213" s="4"/>
      <c r="AN213" s="4" t="str">
        <f ca="1">IFERROR(__xludf.DUMMYFUNCTION("""COMPUTED_VALUE"""),"Entregable en backlog")</f>
        <v>Entregable en backlog</v>
      </c>
      <c r="AO213" s="4" t="str">
        <f ca="1">IFERROR(__xludf.DUMMYFUNCTION("""COMPUTED_VALUE"""),"Transversales")</f>
        <v>Transversales</v>
      </c>
      <c r="AP213" s="4"/>
      <c r="AQ213" s="4"/>
      <c r="AR213" s="4" t="str">
        <f ca="1">IFERROR(__xludf.DUMMYFUNCTION("""COMPUTED_VALUE"""),"SDA aprobada en PPP Q1 2023")</f>
        <v>SDA aprobada en PPP Q1 2023</v>
      </c>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row>
    <row r="214" spans="1:132" x14ac:dyDescent="0.2">
      <c r="A214" s="4">
        <f ca="1">IFERROR(__xludf.DUMMYFUNCTION("""COMPUTED_VALUE"""),214)</f>
        <v>214</v>
      </c>
      <c r="B214" s="4">
        <f ca="1">IFERROR(__xludf.DUMMYFUNCTION("""COMPUTED_VALUE"""),192)</f>
        <v>192</v>
      </c>
      <c r="C214" s="4" t="str">
        <f ca="1">IFERROR(__xludf.DUMMYFUNCTION("""COMPUTED_VALUE"""),"SDATOOL-38770")</f>
        <v>SDATOOL-38770</v>
      </c>
      <c r="D214" s="4" t="str">
        <f ca="1">IFERROR(__xludf.DUMMYFUNCTION("""COMPUTED_VALUE"""),"Marcación y cobro de comisiones PSE")</f>
        <v>Marcación y cobro de comisiones PSE</v>
      </c>
      <c r="E214" s="4" t="str">
        <f ca="1">IFERROR(__xludf.DUMMYFUNCTION("""COMPUTED_VALUE"""),"Mejora en el proceso de marcación y cobro de comisiones PSE, con el fin de desarrollar mejoras en el proceso de cobro de comisiones de PSE a los clientes que faciliten su ejecución, control y conciliación por parte del banco y los clientes")</f>
        <v>Mejora en el proceso de marcación y cobro de comisiones PSE, con el fin de desarrollar mejoras en el proceso de cobro de comisiones de PSE a los clientes que faciliten su ejecución, control y conciliación por parte del banco y los clientes</v>
      </c>
      <c r="F214" s="4" t="str">
        <f ca="1">IFERROR(__xludf.DUMMYFUNCTION("""COMPUTED_VALUE"""),"Project")</f>
        <v>Project</v>
      </c>
      <c r="G214" s="4" t="str">
        <f ca="1">IFERROR(__xludf.DUMMYFUNCTION("""COMPUTED_VALUE"""),"Stock")</f>
        <v>Stock</v>
      </c>
      <c r="H214" s="4" t="str">
        <f ca="1">IFERROR(__xludf.DUMMYFUNCTION("""COMPUTED_VALUE"""),"3Q 2023")</f>
        <v>3Q 2023</v>
      </c>
      <c r="I214" s="131" t="str">
        <f ca="1">IFERROR(__xludf.DUMMYFUNCTION("""COMPUTED_VALUE"""),"nathiahayosara.amado-bbva.com")</f>
        <v>nathiahayosara.amado-bbva.com</v>
      </c>
      <c r="J214" s="131" t="str">
        <f ca="1">IFERROR(__xludf.DUMMYFUNCTION("""COMPUTED_VALUE"""),"sirlleny.vasquez-bbva.com")</f>
        <v>sirlleny.vasquez-bbva.com</v>
      </c>
      <c r="K214" s="131" t="str">
        <f ca="1">IFERROR(__xludf.DUMMYFUNCTION("""COMPUTED_VALUE"""),"elizabeth.diaz-bbva.com")</f>
        <v>elizabeth.diaz-bbva.com</v>
      </c>
      <c r="L214" s="130">
        <f ca="1">IFERROR(__xludf.DUMMYFUNCTION("""COMPUTED_VALUE"""),0.5)</f>
        <v>0.5</v>
      </c>
      <c r="M214" s="130">
        <f ca="1">IFERROR(__xludf.DUMMYFUNCTION("""COMPUTED_VALUE"""),2.25)</f>
        <v>2.25</v>
      </c>
      <c r="N214" s="130">
        <f ca="1">IFERROR(__xludf.DUMMYFUNCTION("""COMPUTED_VALUE"""),2)</f>
        <v>2</v>
      </c>
      <c r="O214" s="4" t="str">
        <f ca="1">IFERROR(__xludf.DUMMYFUNCTION("""COMPUTED_VALUE"""),"Scrum")</f>
        <v>Scrum</v>
      </c>
      <c r="P214" s="4" t="str">
        <f ca="1">IFERROR(__xludf.DUMMYFUNCTION("""COMPUTED_VALUE"""),"Diamond")</f>
        <v>Diamond</v>
      </c>
      <c r="Q214" s="130">
        <f ca="1">IFERROR(__xludf.DUMMYFUNCTION("""COMPUTED_VALUE"""),1)</f>
        <v>1</v>
      </c>
      <c r="R214" s="130" t="str">
        <f ca="1">IFERROR(__xludf.DUMMYFUNCTION("""COMPUTED_VALUE"""),"Enterprises")</f>
        <v>Enterprises</v>
      </c>
      <c r="S214" s="130" t="str">
        <f ca="1">IFERROR(__xludf.DUMMYFUNCTION("""COMPUTED_VALUE"""),"Area Review")</f>
        <v>Area Review</v>
      </c>
      <c r="T214" s="130" t="str">
        <f ca="1">IFERROR(__xludf.DUMMYFUNCTION("""COMPUTED_VALUE"""),"1. Generación de Ingresos")</f>
        <v>1. Generación de Ingresos</v>
      </c>
      <c r="U214" s="130" t="str">
        <f ca="1">IFERROR(__xludf.DUMMYFUNCTION("""COMPUTED_VALUE"""),"1.5. Otros de Proyectos de Ingresos")</f>
        <v>1.5. Otros de Proyectos de Ingresos</v>
      </c>
      <c r="V214" s="4" t="str">
        <f ca="1">IFERROR(__xludf.DUMMYFUNCTION("""COMPUTED_VALUE"""),"Tx")</f>
        <v>Tx</v>
      </c>
      <c r="W214" s="4">
        <f ca="1">IFERROR(__xludf.DUMMYFUNCTION("""COMPUTED_VALUE"""),1)</f>
        <v>1</v>
      </c>
      <c r="X214" s="4" t="str">
        <f ca="1">IFERROR(__xludf.DUMMYFUNCTION("""COMPUTED_VALUE"""),"08. Enterprise Transactionality")</f>
        <v>08. Enterprise Transactionality</v>
      </c>
      <c r="Y214" s="4" t="str">
        <f ca="1">IFERROR(__xludf.DUMMYFUNCTION("""COMPUTED_VALUE"""),"5.7.1 Keep the Bank Running")</f>
        <v>5.7.1 Keep the Bank Running</v>
      </c>
      <c r="Z214" s="132" t="str">
        <f ca="1">IFERROR(__xludf.DUMMYFUNCTION("""COMPUTED_VALUE"""),"557945")</f>
        <v>557945</v>
      </c>
      <c r="AA214" s="4" t="str">
        <f ca="1">IFERROR(__xludf.DUMMYFUNCTION("""COMPUTED_VALUE"""),"Cobro de implementaciones más servicios adicionales PSE")</f>
        <v>Cobro de implementaciones más servicios adicionales PSE</v>
      </c>
      <c r="AB214" s="4" t="str">
        <f ca="1">IFERROR(__xludf.DUMMYFUNCTION("""COMPUTED_VALUE"""),"""- Mejora proceso de parametrización y cobro de comisiones.
- Validación parámetros modelo de convenios.
- Automatización consolidación operaciones para cobro.""...")</f>
        <v>"- Mejora proceso de parametrización y cobro de comisiones.
- Validación parámetros modelo de convenios.
- Automatización consolidación operaciones para cobro."...</v>
      </c>
      <c r="AC214" s="4" t="str">
        <f ca="1">IFERROR(__xludf.DUMMYFUNCTION("""COMPUTED_VALUE"""),"2Q 2023")</f>
        <v>2Q 2023</v>
      </c>
      <c r="AD214" s="128">
        <f ca="1">IFERROR(__xludf.DUMMYFUNCTION("""COMPUTED_VALUE"""),44557)</f>
        <v>44557</v>
      </c>
      <c r="AE214" s="128">
        <f ca="1">IFERROR(__xludf.DUMMYFUNCTION("""COMPUTED_VALUE"""),44701)</f>
        <v>44701</v>
      </c>
      <c r="AF214" s="128">
        <f ca="1">IFERROR(__xludf.DUMMYFUNCTION("""COMPUTED_VALUE"""),44890)</f>
        <v>44890</v>
      </c>
      <c r="AG214" s="128">
        <f ca="1">IFERROR(__xludf.DUMMYFUNCTION("""COMPUTED_VALUE"""),44951)</f>
        <v>44951</v>
      </c>
      <c r="AH214" s="128">
        <f ca="1">IFERROR(__xludf.DUMMYFUNCTION("""COMPUTED_VALUE"""),44953)</f>
        <v>44953</v>
      </c>
      <c r="AI214" s="128">
        <f ca="1">IFERROR(__xludf.DUMMYFUNCTION("""COMPUTED_VALUE"""),45009)</f>
        <v>45009</v>
      </c>
      <c r="AJ214" s="128">
        <f ca="1">IFERROR(__xludf.DUMMYFUNCTION("""COMPUTED_VALUE"""),45030)</f>
        <v>45030</v>
      </c>
      <c r="AK214" s="131" t="str">
        <f ca="1">IFERROR(__xludf.DUMMYFUNCTION("""COMPUTED_VALUE"""),"COLWSCANAL-6685")</f>
        <v>COLWSCANAL-6685</v>
      </c>
      <c r="AL214" s="4" t="str">
        <f ca="1">IFERROR(__xludf.DUMMYFUNCTION("""COMPUTED_VALUE"""),"En progreso")</f>
        <v>En progreso</v>
      </c>
      <c r="AM214" s="4"/>
      <c r="AN214" s="4" t="str">
        <f ca="1">IFERROR(__xludf.DUMMYFUNCTION("""COMPUTED_VALUE"""),"Entregable en desarrollo")</f>
        <v>Entregable en desarrollo</v>
      </c>
      <c r="AO214" s="4" t="str">
        <f ca="1">IFERROR(__xludf.DUMMYFUNCTION("""COMPUTED_VALUE"""),"Transversales")</f>
        <v>Transversales</v>
      </c>
      <c r="AP214" s="4"/>
      <c r="AQ214" s="4"/>
      <c r="AR214" s="4" t="str">
        <f ca="1">IFERROR(__xludf.DUMMYFUNCTION("""COMPUTED_VALUE"""),"SDA aprobada en PPP Q1 2023")</f>
        <v>SDA aprobada en PPP Q1 2023</v>
      </c>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133">
        <f ca="1">IFERROR(__xludf.DUMMYFUNCTION("""COMPUTED_VALUE"""),0)</f>
        <v>0</v>
      </c>
      <c r="DV214" s="133">
        <f ca="1">IFERROR(__xludf.DUMMYFUNCTION("""COMPUTED_VALUE"""),0)</f>
        <v>0</v>
      </c>
      <c r="DW214" s="133">
        <f ca="1">IFERROR(__xludf.DUMMYFUNCTION("""COMPUTED_VALUE"""),88856833)</f>
        <v>88856833</v>
      </c>
      <c r="DX214" s="133">
        <f ca="1">IFERROR(__xludf.DUMMYFUNCTION("""COMPUTED_VALUE"""),158165601)</f>
        <v>158165601</v>
      </c>
      <c r="DY214" s="133">
        <f ca="1">IFERROR(__xludf.DUMMYFUNCTION("""COMPUTED_VALUE"""),0)</f>
        <v>0</v>
      </c>
      <c r="DZ214" s="133">
        <f ca="1">IFERROR(__xludf.DUMMYFUNCTION("""COMPUTED_VALUE"""),247022434)</f>
        <v>247022434</v>
      </c>
      <c r="EA214" s="4"/>
      <c r="EB214" s="4"/>
    </row>
    <row r="215" spans="1:132" x14ac:dyDescent="0.2">
      <c r="A215" s="4">
        <f ca="1">IFERROR(__xludf.DUMMYFUNCTION("""COMPUTED_VALUE"""),215)</f>
        <v>215</v>
      </c>
      <c r="B215" s="4">
        <f ca="1">IFERROR(__xludf.DUMMYFUNCTION("""COMPUTED_VALUE"""),193)</f>
        <v>193</v>
      </c>
      <c r="C215" s="4" t="str">
        <f ca="1">IFERROR(__xludf.DUMMYFUNCTION("""COMPUTED_VALUE"""),"SDATOOL-38770")</f>
        <v>SDATOOL-38770</v>
      </c>
      <c r="D215" s="4" t="str">
        <f ca="1">IFERROR(__xludf.DUMMYFUNCTION("""COMPUTED_VALUE"""),"Marcación y cobro de comisiones PSE")</f>
        <v>Marcación y cobro de comisiones PSE</v>
      </c>
      <c r="E215" s="4" t="str">
        <f ca="1">IFERROR(__xludf.DUMMYFUNCTION("""COMPUTED_VALUE"""),"Mejora en el proceso de marcación y cobro de comisiones PSE, con el fin de desarrollar mejoras en el proceso de cobro de comisiones de PSE a los clientes que faciliten su ejecución, control y conciliación por parte del banco y los clientes")</f>
        <v>Mejora en el proceso de marcación y cobro de comisiones PSE, con el fin de desarrollar mejoras en el proceso de cobro de comisiones de PSE a los clientes que faciliten su ejecución, control y conciliación por parte del banco y los clientes</v>
      </c>
      <c r="F215" s="4" t="str">
        <f ca="1">IFERROR(__xludf.DUMMYFUNCTION("""COMPUTED_VALUE"""),"Project")</f>
        <v>Project</v>
      </c>
      <c r="G215" s="4" t="str">
        <f ca="1">IFERROR(__xludf.DUMMYFUNCTION("""COMPUTED_VALUE"""),"Stock")</f>
        <v>Stock</v>
      </c>
      <c r="H215" s="4" t="str">
        <f ca="1">IFERROR(__xludf.DUMMYFUNCTION("""COMPUTED_VALUE"""),"3Q 2023")</f>
        <v>3Q 2023</v>
      </c>
      <c r="I215" s="131" t="str">
        <f ca="1">IFERROR(__xludf.DUMMYFUNCTION("""COMPUTED_VALUE"""),"nathiahayosara.amado-bbva.com")</f>
        <v>nathiahayosara.amado-bbva.com</v>
      </c>
      <c r="J215" s="131" t="str">
        <f ca="1">IFERROR(__xludf.DUMMYFUNCTION("""COMPUTED_VALUE"""),"sirlleny.vasquez-bbva.com")</f>
        <v>sirlleny.vasquez-bbva.com</v>
      </c>
      <c r="K215" s="131" t="str">
        <f ca="1">IFERROR(__xludf.DUMMYFUNCTION("""COMPUTED_VALUE"""),"elizabeth.diaz-bbva.com")</f>
        <v>elizabeth.diaz-bbva.com</v>
      </c>
      <c r="L215" s="4"/>
      <c r="M215" s="4"/>
      <c r="N215" s="4"/>
      <c r="O215" s="4" t="str">
        <f ca="1">IFERROR(__xludf.DUMMYFUNCTION("""COMPUTED_VALUE"""),"Scrum")</f>
        <v>Scrum</v>
      </c>
      <c r="P215" s="4" t="str">
        <f ca="1">IFERROR(__xludf.DUMMYFUNCTION("""COMPUTED_VALUE"""),"Diamond")</f>
        <v>Diamond</v>
      </c>
      <c r="Q215" s="4"/>
      <c r="R215" s="130" t="str">
        <f ca="1">IFERROR(__xludf.DUMMYFUNCTION("""COMPUTED_VALUE"""),"Enterprises")</f>
        <v>Enterprises</v>
      </c>
      <c r="S215" s="130" t="str">
        <f ca="1">IFERROR(__xludf.DUMMYFUNCTION("""COMPUTED_VALUE"""),"Area Review")</f>
        <v>Area Review</v>
      </c>
      <c r="T215" s="130" t="str">
        <f ca="1">IFERROR(__xludf.DUMMYFUNCTION("""COMPUTED_VALUE"""),"1. Generación de Ingresos")</f>
        <v>1. Generación de Ingresos</v>
      </c>
      <c r="U215" s="130" t="str">
        <f ca="1">IFERROR(__xludf.DUMMYFUNCTION("""COMPUTED_VALUE"""),"1.5. Otros de Proyectos de Ingresos")</f>
        <v>1.5. Otros de Proyectos de Ingresos</v>
      </c>
      <c r="V215" s="4" t="str">
        <f ca="1">IFERROR(__xludf.DUMMYFUNCTION("""COMPUTED_VALUE"""),"Tx")</f>
        <v>Tx</v>
      </c>
      <c r="W215" s="4">
        <f ca="1">IFERROR(__xludf.DUMMYFUNCTION("""COMPUTED_VALUE"""),1)</f>
        <v>1</v>
      </c>
      <c r="X215" s="4" t="str">
        <f ca="1">IFERROR(__xludf.DUMMYFUNCTION("""COMPUTED_VALUE"""),"08. Enterprise Transactionality")</f>
        <v>08. Enterprise Transactionality</v>
      </c>
      <c r="Y215" s="4" t="str">
        <f ca="1">IFERROR(__xludf.DUMMYFUNCTION("""COMPUTED_VALUE"""),"5.7.1 Keep the Bank Running")</f>
        <v>5.7.1 Keep the Bank Running</v>
      </c>
      <c r="Z215" s="132" t="str">
        <f ca="1">IFERROR(__xludf.DUMMYFUNCTION("""COMPUTED_VALUE"""),"430701")</f>
        <v>430701</v>
      </c>
      <c r="AA215" s="4" t="str">
        <f ca="1">IFERROR(__xludf.DUMMYFUNCTION("""COMPUTED_VALUE"""),"Transacciones PSE no Cobradas por alguna causal")</f>
        <v>Transacciones PSE no Cobradas por alguna causal</v>
      </c>
      <c r="AB215" s="4" t="str">
        <f ca="1">IFERROR(__xludf.DUMMYFUNCTION("""COMPUTED_VALUE"""),"""- Mejora proceso de parametrización y cobro de comisiones.
- Validación parámetros modelo de convenios. 
- Automatización consolidación operaciones para cobro.""")</f>
        <v>"- Mejora proceso de parametrización y cobro de comisiones.
- Validación parámetros modelo de convenios. 
- Automatización consolidación operaciones para cobro."</v>
      </c>
      <c r="AC215" s="4" t="str">
        <f ca="1">IFERROR(__xludf.DUMMYFUNCTION("""COMPUTED_VALUE"""),"1Q 2023")</f>
        <v>1Q 2023</v>
      </c>
      <c r="AD215" s="128">
        <f ca="1">IFERROR(__xludf.DUMMYFUNCTION("""COMPUTED_VALUE"""),44557)</f>
        <v>44557</v>
      </c>
      <c r="AE215" s="128">
        <f ca="1">IFERROR(__xludf.DUMMYFUNCTION("""COMPUTED_VALUE"""),44701)</f>
        <v>44701</v>
      </c>
      <c r="AF215" s="128">
        <f ca="1">IFERROR(__xludf.DUMMYFUNCTION("""COMPUTED_VALUE"""),44747)</f>
        <v>44747</v>
      </c>
      <c r="AG215" s="128">
        <f ca="1">IFERROR(__xludf.DUMMYFUNCTION("""COMPUTED_VALUE"""),44862)</f>
        <v>44862</v>
      </c>
      <c r="AH215" s="128">
        <f ca="1">IFERROR(__xludf.DUMMYFUNCTION("""COMPUTED_VALUE"""),44866)</f>
        <v>44866</v>
      </c>
      <c r="AI215" s="128">
        <f ca="1">IFERROR(__xludf.DUMMYFUNCTION("""COMPUTED_VALUE"""),44925)</f>
        <v>44925</v>
      </c>
      <c r="AJ215" s="128">
        <f ca="1">IFERROR(__xludf.DUMMYFUNCTION("""COMPUTED_VALUE"""),44947)</f>
        <v>44947</v>
      </c>
      <c r="AK215" s="131" t="str">
        <f ca="1">IFERROR(__xludf.DUMMYFUNCTION("""COMPUTED_VALUE"""),"COLWSCANAL-1221")</f>
        <v>COLWSCANAL-1221</v>
      </c>
      <c r="AL215" s="4" t="str">
        <f ca="1">IFERROR(__xludf.DUMMYFUNCTION("""COMPUTED_VALUE"""),"Deployed")</f>
        <v>Deployed</v>
      </c>
      <c r="AM215" s="4" t="str">
        <f ca="1">IFERROR(__xludf.DUMMYFUNCTION("""COMPUTED_VALUE""")," -Se han presentado atrasos por el cierre de definiciones, adicional no se contrató a tiempo las personas que abarcarían el proyecto
-  La parte del backend será construida por el equipo de recaudos, la parte front por definición de ingeniería será constr"&amp;"uida por parte de un proveedor externo.
 - El proyecto se dividió en tres entregables por la robustés del mismo.")</f>
        <v xml:space="preserve"> -Se han presentado atrasos por el cierre de definiciones, adicional no se contrató a tiempo las personas que abarcarían el proyecto
-  La parte del backend será construida por el equipo de recaudos, la parte front por definición de ingeniería será construida por parte de un proveedor externo.
 - El proyecto se dividió en tres entregables por la robustés del mismo.</v>
      </c>
      <c r="AN215" s="4" t="str">
        <f ca="1">IFERROR(__xludf.DUMMYFUNCTION("""COMPUTED_VALUE"""),"Finalizado")</f>
        <v>Finalizado</v>
      </c>
      <c r="AO215" s="4" t="str">
        <f ca="1">IFERROR(__xludf.DUMMYFUNCTION("""COMPUTED_VALUE"""),"Transversales")</f>
        <v>Transversales</v>
      </c>
      <c r="AP215" s="4"/>
      <c r="AQ215" s="4"/>
      <c r="AR215" s="4" t="str">
        <f ca="1">IFERROR(__xludf.DUMMYFUNCTION("""COMPUTED_VALUE"""),"SDA aprobada en PPP Q1 2023")</f>
        <v>SDA aprobada en PPP Q1 2023</v>
      </c>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row>
    <row r="216" spans="1:132" x14ac:dyDescent="0.2">
      <c r="A216" s="4">
        <f ca="1">IFERROR(__xludf.DUMMYFUNCTION("""COMPUTED_VALUE"""),216)</f>
        <v>216</v>
      </c>
      <c r="B216" s="4">
        <f ca="1">IFERROR(__xludf.DUMMYFUNCTION("""COMPUTED_VALUE"""),195)</f>
        <v>195</v>
      </c>
      <c r="C216" s="4" t="str">
        <f ca="1">IFERROR(__xludf.DUMMYFUNCTION("""COMPUTED_VALUE"""),"SDATOOL-42030")</f>
        <v>SDATOOL-42030</v>
      </c>
      <c r="D216" s="4" t="str">
        <f ca="1">IFERROR(__xludf.DUMMYFUNCTION("""COMPUTED_VALUE"""),"Pago por PSE de productos del Activo de Jurídicos (Líneas Comerciales, Créditos Digitales, Redescuento, Agrocrédito, Factoring y Leasing)")</f>
        <v>Pago por PSE de productos del Activo de Jurídicos (Líneas Comerciales, Créditos Digitales, Redescuento, Agrocrédito, Factoring y Leasing)</v>
      </c>
      <c r="E216" s="4" t="str">
        <f ca="1">IFERROR(__xludf.DUMMYFUNCTION("""COMPUTED_VALUE"""),"Habilitar la posibilidad de que nuestros clientes con productos del activo del segmento de clientes jurídicos puedan pagar sus obligaciones a través del canal PSE, utilizando recursos de cuentas en BBVA o en otros bancos. El objetivo es que la posibilidad"&amp;" quede habilitada en la página blanca de BBVA, de forma que el pago se pueda realizar sin necesidad de autenticarse en las aplicaciones del banco")</f>
        <v>Habilitar la posibilidad de que nuestros clientes con productos del activo del segmento de clientes jurídicos puedan pagar sus obligaciones a través del canal PSE, utilizando recursos de cuentas en BBVA o en otros bancos. El objetivo es que la posibilidad quede habilitada en la página blanca de BBVA, de forma que el pago se pueda realizar sin necesidad de autenticarse en las aplicaciones del banco</v>
      </c>
      <c r="F216" s="4" t="str">
        <f ca="1">IFERROR(__xludf.DUMMYFUNCTION("""COMPUTED_VALUE"""),"Initiative")</f>
        <v>Initiative</v>
      </c>
      <c r="G216" s="4" t="str">
        <f ca="1">IFERROR(__xludf.DUMMYFUNCTION("""COMPUTED_VALUE"""),"Stock")</f>
        <v>Stock</v>
      </c>
      <c r="H216" s="4" t="str">
        <f ca="1">IFERROR(__xludf.DUMMYFUNCTION("""COMPUTED_VALUE"""),"4Q 2023")</f>
        <v>4Q 2023</v>
      </c>
      <c r="I216" s="131" t="str">
        <f ca="1">IFERROR(__xludf.DUMMYFUNCTION("""COMPUTED_VALUE"""),"nathiahayosara.amado-bbva.com")</f>
        <v>nathiahayosara.amado-bbva.com</v>
      </c>
      <c r="J216" s="131" t="str">
        <f ca="1">IFERROR(__xludf.DUMMYFUNCTION("""COMPUTED_VALUE"""),"sirlleny.vasquez-bbva.com")</f>
        <v>sirlleny.vasquez-bbva.com</v>
      </c>
      <c r="K216" s="131" t="str">
        <f ca="1">IFERROR(__xludf.DUMMYFUNCTION("""COMPUTED_VALUE"""),"ivan_dario.ariza-bbva.com")</f>
        <v>ivan_dario.ariza-bbva.com</v>
      </c>
      <c r="L216" s="130">
        <f ca="1">IFERROR(__xludf.DUMMYFUNCTION("""COMPUTED_VALUE"""),0.1)</f>
        <v>0.1</v>
      </c>
      <c r="M216" s="130">
        <f ca="1">IFERROR(__xludf.DUMMYFUNCTION("""COMPUTED_VALUE"""),0)</f>
        <v>0</v>
      </c>
      <c r="N216" s="130">
        <f ca="1">IFERROR(__xludf.DUMMYFUNCTION("""COMPUTED_VALUE"""),0)</f>
        <v>0</v>
      </c>
      <c r="O216" s="4" t="str">
        <f ca="1">IFERROR(__xludf.DUMMYFUNCTION("""COMPUTED_VALUE"""),"Scrum")</f>
        <v>Scrum</v>
      </c>
      <c r="P216" s="4" t="str">
        <f ca="1">IFERROR(__xludf.DUMMYFUNCTION("""COMPUTED_VALUE"""),"Diamond")</f>
        <v>Diamond</v>
      </c>
      <c r="Q216" s="130">
        <f ca="1">IFERROR(__xludf.DUMMYFUNCTION("""COMPUTED_VALUE"""),0)</f>
        <v>0</v>
      </c>
      <c r="R216" s="130" t="str">
        <f ca="1">IFERROR(__xludf.DUMMYFUNCTION("""COMPUTED_VALUE"""),"Enterprises")</f>
        <v>Enterprises</v>
      </c>
      <c r="S216" s="130" t="str">
        <f ca="1">IFERROR(__xludf.DUMMYFUNCTION("""COMPUTED_VALUE"""),"Area Review")</f>
        <v>Area Review</v>
      </c>
      <c r="T216" s="130" t="str">
        <f ca="1">IFERROR(__xludf.DUMMYFUNCTION("""COMPUTED_VALUE"""),"1. Generación de Ingresos")</f>
        <v>1. Generación de Ingresos</v>
      </c>
      <c r="U216" s="130" t="str">
        <f ca="1">IFERROR(__xludf.DUMMYFUNCTION("""COMPUTED_VALUE"""),"1.5. Otros de Proyectos de Ingresos")</f>
        <v>1.5. Otros de Proyectos de Ingresos</v>
      </c>
      <c r="V216" s="4" t="str">
        <f ca="1">IFERROR(__xludf.DUMMYFUNCTION("""COMPUTED_VALUE"""),"Tx")</f>
        <v>Tx</v>
      </c>
      <c r="W216" s="4">
        <f ca="1">IFERROR(__xludf.DUMMYFUNCTION("""COMPUTED_VALUE"""),1)</f>
        <v>1</v>
      </c>
      <c r="X216" s="4" t="str">
        <f ca="1">IFERROR(__xludf.DUMMYFUNCTION("""COMPUTED_VALUE"""),"08. Enterprise Transactionality")</f>
        <v>08. Enterprise Transactionality</v>
      </c>
      <c r="Y216" s="4" t="str">
        <f ca="1">IFERROR(__xludf.DUMMYFUNCTION("""COMPUTED_VALUE"""),"5.7.1 Keep the Bank Running")</f>
        <v>5.7.1 Keep the Bank Running</v>
      </c>
      <c r="Z216" s="132" t="str">
        <f ca="1">IFERROR(__xludf.DUMMYFUNCTION("""COMPUTED_VALUE"""),"710636")</f>
        <v>710636</v>
      </c>
      <c r="AA216" s="4" t="str">
        <f ca="1">IFERROR(__xludf.DUMMYFUNCTION("""COMPUTED_VALUE"""),"Iniciativa priorizada para el Q2 2023 en proceso de Discovery")</f>
        <v>Iniciativa priorizada para el Q2 2023 en proceso de Discovery</v>
      </c>
      <c r="AB216" s="4" t="str">
        <f ca="1">IFERROR(__xludf.DUMMYFUNCTION("""COMPUTED_VALUE"""),"Discovery Q1 2023
Conceptualización Q2 2023
Inicio de desarrollos Q3 2023")</f>
        <v>Discovery Q1 2023
Conceptualización Q2 2023
Inicio de desarrollos Q3 2023</v>
      </c>
      <c r="AC216" s="4" t="str">
        <f ca="1">IFERROR(__xludf.DUMMYFUNCTION("""COMPUTED_VALUE"""),"4Q 2023")</f>
        <v>4Q 2023</v>
      </c>
      <c r="AD216" s="4"/>
      <c r="AE216" s="4"/>
      <c r="AF216" s="4"/>
      <c r="AG216" s="4"/>
      <c r="AH216" s="4"/>
      <c r="AI216" s="4"/>
      <c r="AJ216" s="4"/>
      <c r="AK216" s="131" t="str">
        <f ca="1">IFERROR(__xludf.DUMMYFUNCTION("""COMPUTED_VALUE"""),"COLWSCANAL-13893")</f>
        <v>COLWSCANAL-13893</v>
      </c>
      <c r="AL216" s="4" t="str">
        <f ca="1">IFERROR(__xludf.DUMMYFUNCTION("""COMPUTED_VALUE"""),"New")</f>
        <v>New</v>
      </c>
      <c r="AM216" s="4"/>
      <c r="AN216" s="4" t="str">
        <f ca="1">IFERROR(__xludf.DUMMYFUNCTION("""COMPUTED_VALUE"""),"Iniciativa en Discovery")</f>
        <v>Iniciativa en Discovery</v>
      </c>
      <c r="AO216" s="4" t="str">
        <f ca="1">IFERROR(__xludf.DUMMYFUNCTION("""COMPUTED_VALUE"""),"Pymes")</f>
        <v>Pymes</v>
      </c>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133">
        <f ca="1">IFERROR(__xludf.DUMMYFUNCTION("""COMPUTED_VALUE"""),0)</f>
        <v>0</v>
      </c>
      <c r="DV216" s="133">
        <f ca="1">IFERROR(__xludf.DUMMYFUNCTION("""COMPUTED_VALUE"""),0)</f>
        <v>0</v>
      </c>
      <c r="DW216" s="133">
        <f ca="1">IFERROR(__xludf.DUMMYFUNCTION("""COMPUTED_VALUE"""),0)</f>
        <v>0</v>
      </c>
      <c r="DX216" s="133">
        <f ca="1">IFERROR(__xludf.DUMMYFUNCTION("""COMPUTED_VALUE"""),180000000)</f>
        <v>180000000</v>
      </c>
      <c r="DY216" s="133">
        <f ca="1">IFERROR(__xludf.DUMMYFUNCTION("""COMPUTED_VALUE"""),90000000)</f>
        <v>90000000</v>
      </c>
      <c r="DZ216" s="133">
        <f ca="1">IFERROR(__xludf.DUMMYFUNCTION("""COMPUTED_VALUE"""),270000000)</f>
        <v>270000000</v>
      </c>
      <c r="EA216" s="4"/>
      <c r="EB216" s="4"/>
    </row>
    <row r="217" spans="1:132" x14ac:dyDescent="0.2">
      <c r="A217" s="4">
        <f ca="1">IFERROR(__xludf.DUMMYFUNCTION("""COMPUTED_VALUE"""),217)</f>
        <v>217</v>
      </c>
      <c r="B217" s="4">
        <f ca="1">IFERROR(__xludf.DUMMYFUNCTION("""COMPUTED_VALUE"""),196)</f>
        <v>196</v>
      </c>
      <c r="C217" s="4" t="str">
        <f ca="1">IFERROR(__xludf.DUMMYFUNCTION("""COMPUTED_VALUE"""),"SDATOOL-37129")</f>
        <v>SDATOOL-37129</v>
      </c>
      <c r="D217" s="4" t="str">
        <f ca="1">IFERROR(__xludf.DUMMYFUNCTION("""COMPUTED_VALUE"""),"Conciliación Recaudo PSE")</f>
        <v>Conciliación Recaudo PSE</v>
      </c>
      <c r="E217"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7" s="4" t="str">
        <f ca="1">IFERROR(__xludf.DUMMYFUNCTION("""COMPUTED_VALUE"""),"Project")</f>
        <v>Project</v>
      </c>
      <c r="G217" s="4" t="str">
        <f ca="1">IFERROR(__xludf.DUMMYFUNCTION("""COMPUTED_VALUE"""),"Stock")</f>
        <v>Stock</v>
      </c>
      <c r="H217" s="4" t="str">
        <f ca="1">IFERROR(__xludf.DUMMYFUNCTION("""COMPUTED_VALUE"""),"2Q 2023")</f>
        <v>2Q 2023</v>
      </c>
      <c r="I217" s="131" t="str">
        <f ca="1">IFERROR(__xludf.DUMMYFUNCTION("""COMPUTED_VALUE"""),"nathiahayosara.amado-bbva.com")</f>
        <v>nathiahayosara.amado-bbva.com</v>
      </c>
      <c r="J217" s="131" t="str">
        <f ca="1">IFERROR(__xludf.DUMMYFUNCTION("""COMPUTED_VALUE"""),"sirlleny.vasquez-bbva.com")</f>
        <v>sirlleny.vasquez-bbva.com</v>
      </c>
      <c r="K217" s="131" t="str">
        <f ca="1">IFERROR(__xludf.DUMMYFUNCTION("""COMPUTED_VALUE"""),"elizabeth.diaz-bbva.com")</f>
        <v>elizabeth.diaz-bbva.com</v>
      </c>
      <c r="L217" s="130">
        <f ca="1">IFERROR(__xludf.DUMMYFUNCTION("""COMPUTED_VALUE"""),0.3)</f>
        <v>0.3</v>
      </c>
      <c r="M217" s="130">
        <f ca="1">IFERROR(__xludf.DUMMYFUNCTION("""COMPUTED_VALUE"""),2)</f>
        <v>2</v>
      </c>
      <c r="N217" s="130">
        <f ca="1">IFERROR(__xludf.DUMMYFUNCTION("""COMPUTED_VALUE"""),0)</f>
        <v>0</v>
      </c>
      <c r="O217" s="4" t="str">
        <f ca="1">IFERROR(__xludf.DUMMYFUNCTION("""COMPUTED_VALUE"""),"Scrum")</f>
        <v>Scrum</v>
      </c>
      <c r="P217" s="4" t="str">
        <f ca="1">IFERROR(__xludf.DUMMYFUNCTION("""COMPUTED_VALUE"""),"Zafiro Team")</f>
        <v>Zafiro Team</v>
      </c>
      <c r="Q217" s="130">
        <f ca="1">IFERROR(__xludf.DUMMYFUNCTION("""COMPUTED_VALUE"""),1)</f>
        <v>1</v>
      </c>
      <c r="R217" s="130" t="str">
        <f ca="1">IFERROR(__xludf.DUMMYFUNCTION("""COMPUTED_VALUE"""),"Enterprises")</f>
        <v>Enterprises</v>
      </c>
      <c r="S217" s="130" t="str">
        <f ca="1">IFERROR(__xludf.DUMMYFUNCTION("""COMPUTED_VALUE"""),"Area Review")</f>
        <v>Area Review</v>
      </c>
      <c r="T217" s="130" t="str">
        <f ca="1">IFERROR(__xludf.DUMMYFUNCTION("""COMPUTED_VALUE"""),"1. Generación de Ingresos")</f>
        <v>1. Generación de Ingresos</v>
      </c>
      <c r="U217" s="130" t="str">
        <f ca="1">IFERROR(__xludf.DUMMYFUNCTION("""COMPUTED_VALUE"""),"1.5. Otros de Proyectos de Ingresos")</f>
        <v>1.5. Otros de Proyectos de Ingresos</v>
      </c>
      <c r="V217" s="4" t="str">
        <f ca="1">IFERROR(__xludf.DUMMYFUNCTION("""COMPUTED_VALUE"""),"CBs")</f>
        <v>CBs</v>
      </c>
      <c r="W217" s="4">
        <f ca="1">IFERROR(__xludf.DUMMYFUNCTION("""COMPUTED_VALUE"""),2)</f>
        <v>2</v>
      </c>
      <c r="X217" s="4" t="str">
        <f ca="1">IFERROR(__xludf.DUMMYFUNCTION("""COMPUTED_VALUE"""),"04. Relationship Models")</f>
        <v>04. Relationship Models</v>
      </c>
      <c r="Y217" s="4" t="str">
        <f ca="1">IFERROR(__xludf.DUMMYFUNCTION("""COMPUTED_VALUE"""),"5.7.1 Keep the Bank Running")</f>
        <v>5.7.1 Keep the Bank Running</v>
      </c>
      <c r="Z217" s="132" t="str">
        <f ca="1">IFERROR(__xludf.DUMMYFUNCTION("""COMPUTED_VALUE"""),"310076")</f>
        <v>310076</v>
      </c>
      <c r="AA217" s="4" t="str">
        <f ca="1">IFERROR(__xludf.DUMMYFUNCTION("""COMPUTED_VALUE"""),"Consulta Asobancaria y reportes diarios")</f>
        <v>Consulta Asobancaria y reportes diarios</v>
      </c>
      <c r="AB217" s="4" t="str">
        <f ca="1">IFERROR(__xludf.DUMMYFUNCTION("""COMPUTED_VALUE"""),"Consulta Asobancaria y reportes diarios")</f>
        <v>Consulta Asobancaria y reportes diarios</v>
      </c>
      <c r="AC217" s="4" t="str">
        <f ca="1">IFERROR(__xludf.DUMMYFUNCTION("""COMPUTED_VALUE"""),"1Q 2023")</f>
        <v>1Q 2023</v>
      </c>
      <c r="AD217" s="4"/>
      <c r="AE217" s="4"/>
      <c r="AF217" s="4"/>
      <c r="AG217" s="4"/>
      <c r="AH217" s="4"/>
      <c r="AI217" s="4"/>
      <c r="AJ217" s="4"/>
      <c r="AK217" s="131" t="str">
        <f ca="1">IFERROR(__xludf.DUMMYFUNCTION("""COMPUTED_VALUE"""),"COLWSCANAL-2211")</f>
        <v>COLWSCANAL-2211</v>
      </c>
      <c r="AL217" s="4" t="str">
        <f ca="1">IFERROR(__xludf.DUMMYFUNCTION("""COMPUTED_VALUE"""),"Deployed")</f>
        <v>Deployed</v>
      </c>
      <c r="AM217" s="4"/>
      <c r="AN217" s="4" t="str">
        <f ca="1">IFERROR(__xludf.DUMMYFUNCTION("""COMPUTED_VALUE"""),"Entregable en desarrollo")</f>
        <v>Entregable en desarrollo</v>
      </c>
      <c r="AO217" s="4" t="str">
        <f ca="1">IFERROR(__xludf.DUMMYFUNCTION("""COMPUTED_VALUE"""),"Transversales")</f>
        <v>Transversales</v>
      </c>
      <c r="AP217" s="4"/>
      <c r="AQ217" s="4"/>
      <c r="AR217" s="4" t="str">
        <f ca="1">IFERROR(__xludf.DUMMYFUNCTION("""COMPUTED_VALUE"""),"SDA aprobada en PPP Q1 2023")</f>
        <v>SDA aprobada en PPP Q1 2023</v>
      </c>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133">
        <f ca="1">IFERROR(__xludf.DUMMYFUNCTION("""COMPUTED_VALUE"""),0)</f>
        <v>0</v>
      </c>
      <c r="DV217" s="133">
        <f ca="1">IFERROR(__xludf.DUMMYFUNCTION("""COMPUTED_VALUE"""),0)</f>
        <v>0</v>
      </c>
      <c r="DW217" s="133">
        <f ca="1">IFERROR(__xludf.DUMMYFUNCTION("""COMPUTED_VALUE"""),0)</f>
        <v>0</v>
      </c>
      <c r="DX217" s="133">
        <f ca="1">IFERROR(__xludf.DUMMYFUNCTION("""COMPUTED_VALUE"""),66389885)</f>
        <v>66389885</v>
      </c>
      <c r="DY217" s="133">
        <f ca="1">IFERROR(__xludf.DUMMYFUNCTION("""COMPUTED_VALUE"""),0)</f>
        <v>0</v>
      </c>
      <c r="DZ217" s="133">
        <f ca="1">IFERROR(__xludf.DUMMYFUNCTION("""COMPUTED_VALUE"""),66389885)</f>
        <v>66389885</v>
      </c>
      <c r="EA217" s="4"/>
      <c r="EB217" s="4"/>
    </row>
    <row r="218" spans="1:132" x14ac:dyDescent="0.2">
      <c r="A218" s="4">
        <f ca="1">IFERROR(__xludf.DUMMYFUNCTION("""COMPUTED_VALUE"""),218)</f>
        <v>218</v>
      </c>
      <c r="B218" s="4">
        <f ca="1">IFERROR(__xludf.DUMMYFUNCTION("""COMPUTED_VALUE"""),197)</f>
        <v>197</v>
      </c>
      <c r="C218" s="4" t="str">
        <f ca="1">IFERROR(__xludf.DUMMYFUNCTION("""COMPUTED_VALUE"""),"SDATOOL-37129")</f>
        <v>SDATOOL-37129</v>
      </c>
      <c r="D218" s="4" t="str">
        <f ca="1">IFERROR(__xludf.DUMMYFUNCTION("""COMPUTED_VALUE"""),"Conciliación Recaudo PSE")</f>
        <v>Conciliación Recaudo PSE</v>
      </c>
      <c r="E218"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8" s="4" t="str">
        <f ca="1">IFERROR(__xludf.DUMMYFUNCTION("""COMPUTED_VALUE"""),"Project")</f>
        <v>Project</v>
      </c>
      <c r="G218" s="4" t="str">
        <f ca="1">IFERROR(__xludf.DUMMYFUNCTION("""COMPUTED_VALUE"""),"Stock")</f>
        <v>Stock</v>
      </c>
      <c r="H218" s="4" t="str">
        <f ca="1">IFERROR(__xludf.DUMMYFUNCTION("""COMPUTED_VALUE"""),"2Q 2023")</f>
        <v>2Q 2023</v>
      </c>
      <c r="I218" s="131" t="str">
        <f ca="1">IFERROR(__xludf.DUMMYFUNCTION("""COMPUTED_VALUE"""),"nathiahayosara.amado-bbva.com")</f>
        <v>nathiahayosara.amado-bbva.com</v>
      </c>
      <c r="J218" s="131" t="str">
        <f ca="1">IFERROR(__xludf.DUMMYFUNCTION("""COMPUTED_VALUE"""),"sirlleny.vasquez-bbva.com")</f>
        <v>sirlleny.vasquez-bbva.com</v>
      </c>
      <c r="K218" s="131" t="str">
        <f ca="1">IFERROR(__xludf.DUMMYFUNCTION("""COMPUTED_VALUE"""),"elizabeth.diaz-bbva.com")</f>
        <v>elizabeth.diaz-bbva.com</v>
      </c>
      <c r="L218" s="4"/>
      <c r="M218" s="4"/>
      <c r="N218" s="4"/>
      <c r="O218" s="4" t="str">
        <f ca="1">IFERROR(__xludf.DUMMYFUNCTION("""COMPUTED_VALUE"""),"Scrum")</f>
        <v>Scrum</v>
      </c>
      <c r="P218" s="4" t="str">
        <f ca="1">IFERROR(__xludf.DUMMYFUNCTION("""COMPUTED_VALUE"""),"Zafiro Team")</f>
        <v>Zafiro Team</v>
      </c>
      <c r="Q218" s="4"/>
      <c r="R218" s="130" t="str">
        <f ca="1">IFERROR(__xludf.DUMMYFUNCTION("""COMPUTED_VALUE"""),"Enterprises")</f>
        <v>Enterprises</v>
      </c>
      <c r="S218" s="130" t="str">
        <f ca="1">IFERROR(__xludf.DUMMYFUNCTION("""COMPUTED_VALUE"""),"Area Review")</f>
        <v>Area Review</v>
      </c>
      <c r="T218" s="130" t="str">
        <f ca="1">IFERROR(__xludf.DUMMYFUNCTION("""COMPUTED_VALUE"""),"1. Generación de Ingresos")</f>
        <v>1. Generación de Ingresos</v>
      </c>
      <c r="U218" s="130" t="str">
        <f ca="1">IFERROR(__xludf.DUMMYFUNCTION("""COMPUTED_VALUE"""),"1.5. Otros de Proyectos de Ingresos")</f>
        <v>1.5. Otros de Proyectos de Ingresos</v>
      </c>
      <c r="V218" s="4" t="str">
        <f ca="1">IFERROR(__xludf.DUMMYFUNCTION("""COMPUTED_VALUE"""),"CBs")</f>
        <v>CBs</v>
      </c>
      <c r="W218" s="4">
        <f ca="1">IFERROR(__xludf.DUMMYFUNCTION("""COMPUTED_VALUE"""),2)</f>
        <v>2</v>
      </c>
      <c r="X218" s="4" t="str">
        <f ca="1">IFERROR(__xludf.DUMMYFUNCTION("""COMPUTED_VALUE"""),"04. Relationship Models")</f>
        <v>04. Relationship Models</v>
      </c>
      <c r="Y218" s="4" t="str">
        <f ca="1">IFERROR(__xludf.DUMMYFUNCTION("""COMPUTED_VALUE"""),"5.7.1 Keep the Bank Running")</f>
        <v>5.7.1 Keep the Bank Running</v>
      </c>
      <c r="Z218" s="132" t="str">
        <f ca="1">IFERROR(__xludf.DUMMYFUNCTION("""COMPUTED_VALUE"""),"557951")</f>
        <v>557951</v>
      </c>
      <c r="AA218" s="4" t="str">
        <f ca="1">IFERROR(__xludf.DUMMYFUNCTION("""COMPUTED_VALUE"""),"Movimiento histórico de recaudos")</f>
        <v>Movimiento histórico de recaudos</v>
      </c>
      <c r="AB218" s="4" t="str">
        <f ca="1">IFERROR(__xludf.DUMMYFUNCTION("""COMPUTED_VALUE"""),"Permitir a los clientes visualizar el histórico de sus recaudos en Net Cash")</f>
        <v>Permitir a los clientes visualizar el histórico de sus recaudos en Net Cash</v>
      </c>
      <c r="AC218" s="4" t="str">
        <f ca="1">IFERROR(__xludf.DUMMYFUNCTION("""COMPUTED_VALUE"""),"2Q 2023")</f>
        <v>2Q 2023</v>
      </c>
      <c r="AD218" s="4"/>
      <c r="AE218" s="4"/>
      <c r="AF218" s="4"/>
      <c r="AG218" s="4"/>
      <c r="AH218" s="4"/>
      <c r="AI218" s="4"/>
      <c r="AJ218" s="4"/>
      <c r="AK218" s="131" t="str">
        <f ca="1">IFERROR(__xludf.DUMMYFUNCTION("""COMPUTED_VALUE"""),"COLWSCANAL-5405")</f>
        <v>COLWSCANAL-5405</v>
      </c>
      <c r="AL218" s="4" t="str">
        <f ca="1">IFERROR(__xludf.DUMMYFUNCTION("""COMPUTED_VALUE"""),"New")</f>
        <v>New</v>
      </c>
      <c r="AM218" s="4"/>
      <c r="AN218" s="4" t="str">
        <f ca="1">IFERROR(__xludf.DUMMYFUNCTION("""COMPUTED_VALUE"""),"Entregable en desarrollo")</f>
        <v>Entregable en desarrollo</v>
      </c>
      <c r="AO218" s="4" t="str">
        <f ca="1">IFERROR(__xludf.DUMMYFUNCTION("""COMPUTED_VALUE"""),"Transversales")</f>
        <v>Transversales</v>
      </c>
      <c r="AP218" s="4"/>
      <c r="AQ218" s="4"/>
      <c r="AR218" s="4" t="str">
        <f ca="1">IFERROR(__xludf.DUMMYFUNCTION("""COMPUTED_VALUE"""),"SDA aprobada en PPP Q1 2023")</f>
        <v>SDA aprobada en PPP Q1 2023</v>
      </c>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row>
    <row r="219" spans="1:132" x14ac:dyDescent="0.2">
      <c r="A219" s="4">
        <f ca="1">IFERROR(__xludf.DUMMYFUNCTION("""COMPUTED_VALUE"""),219)</f>
        <v>219</v>
      </c>
      <c r="B219" s="4">
        <f ca="1">IFERROR(__xludf.DUMMYFUNCTION("""COMPUTED_VALUE"""),198)</f>
        <v>198</v>
      </c>
      <c r="C219" s="4" t="str">
        <f ca="1">IFERROR(__xludf.DUMMYFUNCTION("""COMPUTED_VALUE"""),"SDATOOL-37129")</f>
        <v>SDATOOL-37129</v>
      </c>
      <c r="D219" s="4" t="str">
        <f ca="1">IFERROR(__xludf.DUMMYFUNCTION("""COMPUTED_VALUE"""),"Conciliación Recaudo PSE")</f>
        <v>Conciliación Recaudo PSE</v>
      </c>
      <c r="E219"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9" s="4" t="str">
        <f ca="1">IFERROR(__xludf.DUMMYFUNCTION("""COMPUTED_VALUE"""),"Project")</f>
        <v>Project</v>
      </c>
      <c r="G219" s="4" t="str">
        <f ca="1">IFERROR(__xludf.DUMMYFUNCTION("""COMPUTED_VALUE"""),"Stock")</f>
        <v>Stock</v>
      </c>
      <c r="H219" s="4" t="str">
        <f ca="1">IFERROR(__xludf.DUMMYFUNCTION("""COMPUTED_VALUE"""),"2Q 2023")</f>
        <v>2Q 2023</v>
      </c>
      <c r="I219" s="131" t="str">
        <f ca="1">IFERROR(__xludf.DUMMYFUNCTION("""COMPUTED_VALUE"""),"nathiahayosara.amado-bbva.com")</f>
        <v>nathiahayosara.amado-bbva.com</v>
      </c>
      <c r="J219" s="131" t="str">
        <f ca="1">IFERROR(__xludf.DUMMYFUNCTION("""COMPUTED_VALUE"""),"sirlleny.vasquez-bbva.com")</f>
        <v>sirlleny.vasquez-bbva.com</v>
      </c>
      <c r="K219" s="131" t="str">
        <f ca="1">IFERROR(__xludf.DUMMYFUNCTION("""COMPUTED_VALUE"""),"elizabeth.diaz-bbva.com")</f>
        <v>elizabeth.diaz-bbva.com</v>
      </c>
      <c r="L219" s="4"/>
      <c r="M219" s="4"/>
      <c r="N219" s="4"/>
      <c r="O219" s="4" t="str">
        <f ca="1">IFERROR(__xludf.DUMMYFUNCTION("""COMPUTED_VALUE"""),"Scrum")</f>
        <v>Scrum</v>
      </c>
      <c r="P219" s="4" t="str">
        <f ca="1">IFERROR(__xludf.DUMMYFUNCTION("""COMPUTED_VALUE"""),"Zafiro Team")</f>
        <v>Zafiro Team</v>
      </c>
      <c r="Q219" s="4"/>
      <c r="R219" s="130" t="str">
        <f ca="1">IFERROR(__xludf.DUMMYFUNCTION("""COMPUTED_VALUE"""),"Enterprises")</f>
        <v>Enterprises</v>
      </c>
      <c r="S219" s="130" t="str">
        <f ca="1">IFERROR(__xludf.DUMMYFUNCTION("""COMPUTED_VALUE"""),"Area Review")</f>
        <v>Area Review</v>
      </c>
      <c r="T219" s="130" t="str">
        <f ca="1">IFERROR(__xludf.DUMMYFUNCTION("""COMPUTED_VALUE"""),"1. Generación de Ingresos")</f>
        <v>1. Generación de Ingresos</v>
      </c>
      <c r="U219" s="130" t="str">
        <f ca="1">IFERROR(__xludf.DUMMYFUNCTION("""COMPUTED_VALUE"""),"1.5. Otros de Proyectos de Ingresos")</f>
        <v>1.5. Otros de Proyectos de Ingresos</v>
      </c>
      <c r="V219" s="4" t="str">
        <f ca="1">IFERROR(__xludf.DUMMYFUNCTION("""COMPUTED_VALUE"""),"CBs")</f>
        <v>CBs</v>
      </c>
      <c r="W219" s="4">
        <f ca="1">IFERROR(__xludf.DUMMYFUNCTION("""COMPUTED_VALUE"""),2)</f>
        <v>2</v>
      </c>
      <c r="X219" s="4" t="str">
        <f ca="1">IFERROR(__xludf.DUMMYFUNCTION("""COMPUTED_VALUE"""),"04. Relationship Models")</f>
        <v>04. Relationship Models</v>
      </c>
      <c r="Y219" s="4" t="str">
        <f ca="1">IFERROR(__xludf.DUMMYFUNCTION("""COMPUTED_VALUE"""),"5.7.1 Keep the Bank Running")</f>
        <v>5.7.1 Keep the Bank Running</v>
      </c>
      <c r="Z219" s="132" t="str">
        <f ca="1">IFERROR(__xludf.DUMMYFUNCTION("""COMPUTED_VALUE"""),"557950")</f>
        <v>557950</v>
      </c>
      <c r="AA219" s="4" t="str">
        <f ca="1">IFERROR(__xludf.DUMMYFUNCTION("""COMPUTED_VALUE"""),"Reportes")</f>
        <v>Reportes</v>
      </c>
      <c r="AB219" s="4" t="str">
        <f ca="1">IFERROR(__xludf.DUMMYFUNCTION("""COMPUTED_VALUE"""),"Información CRM, Multicash, MT´s..")</f>
        <v>Información CRM, Multicash, MT´s..</v>
      </c>
      <c r="AC219" s="4" t="str">
        <f ca="1">IFERROR(__xludf.DUMMYFUNCTION("""COMPUTED_VALUE"""),"2Q 2023")</f>
        <v>2Q 2023</v>
      </c>
      <c r="AD219" s="4"/>
      <c r="AE219" s="4"/>
      <c r="AF219" s="4"/>
      <c r="AG219" s="4"/>
      <c r="AH219" s="4"/>
      <c r="AI219" s="4"/>
      <c r="AJ219" s="4"/>
      <c r="AK219" s="131" t="str">
        <f ca="1">IFERROR(__xludf.DUMMYFUNCTION("""COMPUTED_VALUE"""),"COLWSCANAL-5404")</f>
        <v>COLWSCANAL-5404</v>
      </c>
      <c r="AL219" s="4" t="str">
        <f ca="1">IFERROR(__xludf.DUMMYFUNCTION("""COMPUTED_VALUE"""),"Test")</f>
        <v>Test</v>
      </c>
      <c r="AM219" s="4"/>
      <c r="AN219" s="4" t="str">
        <f ca="1">IFERROR(__xludf.DUMMYFUNCTION("""COMPUTED_VALUE"""),"Entregable en desarrollo")</f>
        <v>Entregable en desarrollo</v>
      </c>
      <c r="AO219" s="4" t="str">
        <f ca="1">IFERROR(__xludf.DUMMYFUNCTION("""COMPUTED_VALUE"""),"Transversales")</f>
        <v>Transversales</v>
      </c>
      <c r="AP219" s="4"/>
      <c r="AQ219" s="4"/>
      <c r="AR219" s="4" t="str">
        <f ca="1">IFERROR(__xludf.DUMMYFUNCTION("""COMPUTED_VALUE"""),"SDA aprobada en PPP Q1 2023")</f>
        <v>SDA aprobada en PPP Q1 2023</v>
      </c>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row>
    <row r="220" spans="1:132" x14ac:dyDescent="0.2">
      <c r="A220" s="4">
        <f ca="1">IFERROR(__xludf.DUMMYFUNCTION("""COMPUTED_VALUE"""),220)</f>
        <v>220</v>
      </c>
      <c r="B220" s="4">
        <f ca="1">IFERROR(__xludf.DUMMYFUNCTION("""COMPUTED_VALUE"""),199)</f>
        <v>199</v>
      </c>
      <c r="C220" s="4" t="str">
        <f ca="1">IFERROR(__xludf.DUMMYFUNCTION("""COMPUTED_VALUE"""),"SDATOOL-41906")</f>
        <v>SDATOOL-41906</v>
      </c>
      <c r="D220" s="4" t="str">
        <f ca="1">IFERROR(__xludf.DUMMYFUNCTION("""COMPUTED_VALUE"""),"Reingeniería Débito Automático")</f>
        <v>Reingeniería Débito Automático</v>
      </c>
      <c r="E220" s="4" t="str">
        <f ca="1">IFERROR(__xludf.DUMMYFUNCTION("""COMPUTED_VALUE"""),"Realizar restructuración del servicio Débito Automático para clientes Jurídicos:
1. Vincular el servicio Débito Automático con Recaudo, es decir que el servicio esté atado a un convenio de Recaudo.
2. Reflejar los movimientos por Débito automático en los"&amp;" archivos Asobancaria reportando las referencias configuradas para el Convenio.
3. Reporte de movimientos exitosos uno a uno de los Recaudos realizados a través de Débito Automático. Debe ser un servicio contratable en las referencias Mcug y Net Cash. 
4."&amp;" Referenciar Operaciones en los archivos Multicash, MT940 y MT942. Se debe incluir Parametría que permita el reporte de las referencias de Recaudo configuradas en el Convenio atado al servicio de Débito Automático, de igual forma la opción de configurar l"&amp;"a información adicional que se entregue en los archivos identificadores en los campos: Referencia, Conceptos 1, 2, 3 y 4.
5. Se requiere que el proceso paramétrico que realice reintentos cuando las operaciones salgan rechazadas por cuenta inactiva, cuenta"&amp;" sin fondos, cliente con servicio no autorizado. El servicio debe ser contratable en las referencias Net Cash y Mcug. Se deben poder parametrizar el número de reintentos.
4. La generación de archivos de devolución cuando se contrate el servicio de reinten"&amp;"tos debe ser similar al de Pagos Masivos, es decir, se genera archivo de devolución a medida que se van generando operaciones exitosas por ciclo. Una vez cerrada la orden se debe generar un archivo final con el resultado final de todas las ordenes Débito."&amp;"
6. Crear clave de comisión única por canal. Actualmente está marcada como clave 0600 del producto 31, misma clave y producto asignado a las transferencias BBVA. 
7. Contar con un taller paramétrico del producto donde se establezcan cada uno de los paráme"&amp;"tros tanto para los clientes recaudadores como los pagadores.
8. Contar con un proceso de inscripción y aprobación de parte de los clientes o usuarios pagadores (a quien se realiza el débito) el cual debe generarse por solicitud del cliente recaudador o d"&amp;"e manera autónoma por el pagador, bien sea desde Net Cash o desde la pagina blanca del banco según corresponda.")</f>
        <v>Realizar restructuración del servicio Débito Automático para clientes Jurídicos:
1. Vincular el servicio Débito Automático con Recaudo, es decir que el servicio esté atado a un convenio de Recaudo.
2. Reflejar los movimientos por Débito automático en los archivos Asobancaria reportando las referencias configuradas para el Convenio.
3. Reporte de movimientos exitosos uno a uno de los Recaudos realizados a través de Débito Automático. Debe ser un servicio contratable en las referencias Mcug y Net Cash. 
4. Referenciar Operaciones en los archivos Multicash, MT940 y MT942. Se debe incluir Parametría que permita el reporte de las referencias de Recaudo configuradas en el Convenio atado al servicio de Débito Automático, de igual forma la opción de configurar la información adicional que se entregue en los archivos identificadores en los campos: Referencia, Conceptos 1, 2, 3 y 4.
5. Se requiere que el proceso paramétrico que realice reintentos cuando las operaciones salgan rechazadas por cuenta inactiva, cuenta sin fondos, cliente con servicio no autorizado. El servicio debe ser contratable en las referencias Net Cash y Mcug. Se deben poder parametrizar el número de reintentos.
4. La generación de archivos de devolución cuando se contrate el servicio de reintentos debe ser similar al de Pagos Masivos, es decir, se genera archivo de devolución a medida que se van generando operaciones exitosas por ciclo. Una vez cerrada la orden se debe generar un archivo final con el resultado final de todas las ordenes Débito.
6. Crear clave de comisión única por canal. Actualmente está marcada como clave 0600 del producto 31, misma clave y producto asignado a las transferencias BBVA. 
7. Contar con un taller paramétrico del producto donde se establezcan cada uno de los parámetros tanto para los clientes recaudadores como los pagadores.
8. Contar con un proceso de inscripción y aprobación de parte de los clientes o usuarios pagadores (a quien se realiza el débito) el cual debe generarse por solicitud del cliente recaudador o de manera autónoma por el pagador, bien sea desde Net Cash o desde la pagina blanca del banco según corresponda.</v>
      </c>
      <c r="F220" s="4" t="str">
        <f ca="1">IFERROR(__xludf.DUMMYFUNCTION("""COMPUTED_VALUE"""),"Project")</f>
        <v>Project</v>
      </c>
      <c r="G220" s="4" t="str">
        <f ca="1">IFERROR(__xludf.DUMMYFUNCTION("""COMPUTED_VALUE"""),"On hold")</f>
        <v>On hold</v>
      </c>
      <c r="H220" s="4" t="str">
        <f ca="1">IFERROR(__xludf.DUMMYFUNCTION("""COMPUTED_VALUE"""),"1Q 2024")</f>
        <v>1Q 2024</v>
      </c>
      <c r="I220" s="131" t="str">
        <f ca="1">IFERROR(__xludf.DUMMYFUNCTION("""COMPUTED_VALUE"""),"nathiahayosara.amado-bbva.com")</f>
        <v>nathiahayosara.amado-bbva.com</v>
      </c>
      <c r="J220" s="131" t="str">
        <f ca="1">IFERROR(__xludf.DUMMYFUNCTION("""COMPUTED_VALUE"""),"sirlleny.vasquez-bbva.com")</f>
        <v>sirlleny.vasquez-bbva.com</v>
      </c>
      <c r="K220" s="131" t="str">
        <f ca="1">IFERROR(__xludf.DUMMYFUNCTION("""COMPUTED_VALUE"""),"elizabeth.diaz-bbva.com")</f>
        <v>elizabeth.diaz-bbva.com</v>
      </c>
      <c r="L220" s="130">
        <f ca="1">IFERROR(__xludf.DUMMYFUNCTION("""COMPUTED_VALUE"""),0.1)</f>
        <v>0.1</v>
      </c>
      <c r="M220" s="130">
        <f ca="1">IFERROR(__xludf.DUMMYFUNCTION("""COMPUTED_VALUE"""),0)</f>
        <v>0</v>
      </c>
      <c r="N220" s="130">
        <f ca="1">IFERROR(__xludf.DUMMYFUNCTION("""COMPUTED_VALUE"""),0)</f>
        <v>0</v>
      </c>
      <c r="O220" s="4" t="str">
        <f ca="1">IFERROR(__xludf.DUMMYFUNCTION("""COMPUTED_VALUE"""),"Scrum")</f>
        <v>Scrum</v>
      </c>
      <c r="P220" s="4" t="str">
        <f ca="1">IFERROR(__xludf.DUMMYFUNCTION("""COMPUTED_VALUE"""),"Zafiro Team")</f>
        <v>Zafiro Team</v>
      </c>
      <c r="Q220" s="130">
        <f ca="1">IFERROR(__xludf.DUMMYFUNCTION("""COMPUTED_VALUE"""),0)</f>
        <v>0</v>
      </c>
      <c r="R220" s="130" t="str">
        <f ca="1">IFERROR(__xludf.DUMMYFUNCTION("""COMPUTED_VALUE"""),"Enterprises")</f>
        <v>Enterprises</v>
      </c>
      <c r="S220" s="130" t="str">
        <f ca="1">IFERROR(__xludf.DUMMYFUNCTION("""COMPUTED_VALUE"""),"Area Review")</f>
        <v>Area Review</v>
      </c>
      <c r="T220" s="130" t="str">
        <f ca="1">IFERROR(__xludf.DUMMYFUNCTION("""COMPUTED_VALUE"""),"1. Generación de Ingresos")</f>
        <v>1. Generación de Ingresos</v>
      </c>
      <c r="U220" s="130" t="str">
        <f ca="1">IFERROR(__xludf.DUMMYFUNCTION("""COMPUTED_VALUE"""),"1.5. Otros de Proyectos de Ingresos")</f>
        <v>1.5. Otros de Proyectos de Ingresos</v>
      </c>
      <c r="V220" s="4" t="str">
        <f ca="1">IFERROR(__xludf.DUMMYFUNCTION("""COMPUTED_VALUE"""),"Tx")</f>
        <v>Tx</v>
      </c>
      <c r="W220" s="4">
        <f ca="1">IFERROR(__xludf.DUMMYFUNCTION("""COMPUTED_VALUE"""),2)</f>
        <v>2</v>
      </c>
      <c r="X220" s="4" t="str">
        <f ca="1">IFERROR(__xludf.DUMMYFUNCTION("""COMPUTED_VALUE"""),"08. Enterprise Transactionality")</f>
        <v>08. Enterprise Transactionality</v>
      </c>
      <c r="Y220" s="4" t="str">
        <f ca="1">IFERROR(__xludf.DUMMYFUNCTION("""COMPUTED_VALUE"""),"5.7.1 Keep the Bank Running")</f>
        <v>5.7.1 Keep the Bank Running</v>
      </c>
      <c r="Z220" s="132" t="str">
        <f ca="1">IFERROR(__xludf.DUMMYFUNCTION("""COMPUTED_VALUE"""),"710634")</f>
        <v>710634</v>
      </c>
      <c r="AA220" s="4" t="str">
        <f ca="1">IFERROR(__xludf.DUMMYFUNCTION("""COMPUTED_VALUE"""),"Iniciativa priorizada para el Q2 2023 en proceso de Discovery")</f>
        <v>Iniciativa priorizada para el Q2 2023 en proceso de Discovery</v>
      </c>
      <c r="AB220" s="4" t="str">
        <f ca="1">IFERROR(__xludf.DUMMYFUNCTION("""COMPUTED_VALUE"""),"Discovery Q1 2023
Conceptualización Q2 2023
Inicio de desarrollos Q3 2023")</f>
        <v>Discovery Q1 2023
Conceptualización Q2 2023
Inicio de desarrollos Q3 2023</v>
      </c>
      <c r="AC220" s="4" t="str">
        <f ca="1">IFERROR(__xludf.DUMMYFUNCTION("""COMPUTED_VALUE"""),"4Q 2023")</f>
        <v>4Q 2023</v>
      </c>
      <c r="AD220" s="4"/>
      <c r="AE220" s="4"/>
      <c r="AF220" s="4"/>
      <c r="AG220" s="4"/>
      <c r="AH220" s="4"/>
      <c r="AI220" s="4"/>
      <c r="AJ220" s="4"/>
      <c r="AK220" s="4" t="str">
        <f ca="1">IFERROR(__xludf.DUMMYFUNCTION("""COMPUTED_VALUE"""),"Sin asignar")</f>
        <v>Sin asignar</v>
      </c>
      <c r="AL220" s="4" t="str">
        <f ca="1">IFERROR(__xludf.DUMMYFUNCTION("""COMPUTED_VALUE"""),"Sin asignar")</f>
        <v>Sin asignar</v>
      </c>
      <c r="AM220" s="4"/>
      <c r="AN220" s="4" t="str">
        <f ca="1">IFERROR(__xludf.DUMMYFUNCTION("""COMPUTED_VALUE"""),"Iniciativa en Discovery")</f>
        <v>Iniciativa en Discovery</v>
      </c>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133">
        <f ca="1">IFERROR(__xludf.DUMMYFUNCTION("""COMPUTED_VALUE"""),0)</f>
        <v>0</v>
      </c>
      <c r="DV220" s="133">
        <f ca="1">IFERROR(__xludf.DUMMYFUNCTION("""COMPUTED_VALUE"""),0)</f>
        <v>0</v>
      </c>
      <c r="DW220" s="133">
        <f ca="1">IFERROR(__xludf.DUMMYFUNCTION("""COMPUTED_VALUE"""),0)</f>
        <v>0</v>
      </c>
      <c r="DX220" s="133">
        <f ca="1">IFERROR(__xludf.DUMMYFUNCTION("""COMPUTED_VALUE"""),262000000)</f>
        <v>262000000</v>
      </c>
      <c r="DY220" s="133">
        <f ca="1">IFERROR(__xludf.DUMMYFUNCTION("""COMPUTED_VALUE"""),0)</f>
        <v>0</v>
      </c>
      <c r="DZ220" s="133">
        <f ca="1">IFERROR(__xludf.DUMMYFUNCTION("""COMPUTED_VALUE"""),262000000)</f>
        <v>262000000</v>
      </c>
      <c r="EA220" s="4"/>
      <c r="EB220" s="4"/>
    </row>
    <row r="221" spans="1:132" x14ac:dyDescent="0.2">
      <c r="A221" s="4">
        <f ca="1">IFERROR(__xludf.DUMMYFUNCTION("""COMPUTED_VALUE"""),221)</f>
        <v>221</v>
      </c>
      <c r="B221" s="4">
        <f ca="1">IFERROR(__xludf.DUMMYFUNCTION("""COMPUTED_VALUE"""),200)</f>
        <v>200</v>
      </c>
      <c r="C221" s="4" t="str">
        <f ca="1">IFERROR(__xludf.DUMMYFUNCTION("""COMPUTED_VALUE"""),"SDATOOL-37086")</f>
        <v>SDATOOL-37086</v>
      </c>
      <c r="D221" s="4" t="str">
        <f ca="1">IFERROR(__xludf.DUMMYFUNCTION("""COMPUTED_VALUE"""),"Factura electrónica (radian)")</f>
        <v>Factura electrónica (radian)</v>
      </c>
      <c r="E221"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1" s="4" t="str">
        <f ca="1">IFERROR(__xludf.DUMMYFUNCTION("""COMPUTED_VALUE"""),"Project")</f>
        <v>Project</v>
      </c>
      <c r="G221" s="4" t="str">
        <f ca="1">IFERROR(__xludf.DUMMYFUNCTION("""COMPUTED_VALUE"""),"Stock")</f>
        <v>Stock</v>
      </c>
      <c r="H221" s="4" t="str">
        <f ca="1">IFERROR(__xludf.DUMMYFUNCTION("""COMPUTED_VALUE"""),"4Q 2023")</f>
        <v>4Q 2023</v>
      </c>
      <c r="I221" s="131" t="str">
        <f ca="1">IFERROR(__xludf.DUMMYFUNCTION("""COMPUTED_VALUE"""),"nathiahayosara.amado-bbva.com")</f>
        <v>nathiahayosara.amado-bbva.com</v>
      </c>
      <c r="J221" s="131" t="str">
        <f ca="1">IFERROR(__xludf.DUMMYFUNCTION("""COMPUTED_VALUE"""),"karenalexandra.martinez-bbva.com")</f>
        <v>karenalexandra.martinez-bbva.com</v>
      </c>
      <c r="K221" s="131" t="str">
        <f ca="1">IFERROR(__xludf.DUMMYFUNCTION("""COMPUTED_VALUE"""),"ivan_dario.ariza-bbva.com")</f>
        <v>ivan_dario.ariza-bbva.com</v>
      </c>
      <c r="L221" s="130">
        <f ca="1">IFERROR(__xludf.DUMMYFUNCTION("""COMPUTED_VALUE"""),0.5)</f>
        <v>0.5</v>
      </c>
      <c r="M221" s="130">
        <f ca="1">IFERROR(__xludf.DUMMYFUNCTION("""COMPUTED_VALUE"""),0.6)</f>
        <v>0.6</v>
      </c>
      <c r="N221" s="130">
        <f ca="1">IFERROR(__xludf.DUMMYFUNCTION("""COMPUTED_VALUE"""),0)</f>
        <v>0</v>
      </c>
      <c r="O221" s="4" t="str">
        <f ca="1">IFERROR(__xludf.DUMMYFUNCTION("""COMPUTED_VALUE"""),"Waterfall")</f>
        <v>Waterfall</v>
      </c>
      <c r="P221" s="4" t="str">
        <f ca="1">IFERROR(__xludf.DUMMYFUNCTION("""COMPUTED_VALUE"""),"Tradicional")</f>
        <v>Tradicional</v>
      </c>
      <c r="Q221" s="4"/>
      <c r="R221" s="130" t="str">
        <f ca="1">IFERROR(__xludf.DUMMYFUNCTION("""COMPUTED_VALUE"""),"Enterprises")</f>
        <v>Enterprises</v>
      </c>
      <c r="S221" s="130" t="str">
        <f ca="1">IFERROR(__xludf.DUMMYFUNCTION("""COMPUTED_VALUE"""),"Strategic Review")</f>
        <v>Strategic Review</v>
      </c>
      <c r="T221" s="130" t="str">
        <f ca="1">IFERROR(__xludf.DUMMYFUNCTION("""COMPUTED_VALUE"""),"Normativo")</f>
        <v>Normativo</v>
      </c>
      <c r="U221" s="130" t="str">
        <f ca="1">IFERROR(__xludf.DUMMYFUNCTION("""COMPUTED_VALUE"""),"No Aplica")</f>
        <v>No Aplica</v>
      </c>
      <c r="V221" s="4" t="str">
        <f ca="1">IFERROR(__xludf.DUMMYFUNCTION("""COMPUTED_VALUE"""),"Factoring")</f>
        <v>Factoring</v>
      </c>
      <c r="W221" s="4">
        <f ca="1">IFERROR(__xludf.DUMMYFUNCTION("""COMPUTED_VALUE"""),2)</f>
        <v>2</v>
      </c>
      <c r="X221" s="4" t="str">
        <f ca="1">IFERROR(__xludf.DUMMYFUNCTION("""COMPUTED_VALUE"""),"08. Enterprise Transactionality")</f>
        <v>08. Enterprise Transactionality</v>
      </c>
      <c r="Y221" s="4" t="str">
        <f ca="1">IFERROR(__xludf.DUMMYFUNCTION("""COMPUTED_VALUE"""),"5.7.1 Keep the Bank Running")</f>
        <v>5.7.1 Keep the Bank Running</v>
      </c>
      <c r="Z221" s="132" t="str">
        <f ca="1">IFERROR(__xludf.DUMMYFUNCTION("""COMPUTED_VALUE"""),"369481")</f>
        <v>369481</v>
      </c>
      <c r="AA221" s="4" t="str">
        <f ca="1">IFERROR(__xludf.DUMMYFUNCTION("""COMPUTED_VALUE"""),"Contratación de proveedor")</f>
        <v>Contratación de proveedor</v>
      </c>
      <c r="AB221" s="4" t="str">
        <f ca="1">IFERROR(__xludf.DUMMYFUNCTION("""COMPUTED_VALUE"""),"Contratación de proveedor")</f>
        <v>Contratación de proveedor</v>
      </c>
      <c r="AC221" s="4" t="str">
        <f ca="1">IFERROR(__xludf.DUMMYFUNCTION("""COMPUTED_VALUE"""),"1Q 2022")</f>
        <v>1Q 2022</v>
      </c>
      <c r="AD221" s="4"/>
      <c r="AE221" s="4"/>
      <c r="AF221" s="4"/>
      <c r="AG221" s="4"/>
      <c r="AH221" s="4"/>
      <c r="AI221" s="4"/>
      <c r="AJ221" s="128">
        <f ca="1">IFERROR(__xludf.DUMMYFUNCTION("""COMPUTED_VALUE"""),44592)</f>
        <v>44592</v>
      </c>
      <c r="AK221" s="4" t="str">
        <f ca="1">IFERROR(__xludf.DUMMYFUNCTION("""COMPUTED_VALUE"""),"Sin asignar")</f>
        <v>Sin asignar</v>
      </c>
      <c r="AL221" s="4" t="str">
        <f ca="1">IFERROR(__xludf.DUMMYFUNCTION("""COMPUTED_VALUE"""),"Sin asignar")</f>
        <v>Sin asignar</v>
      </c>
      <c r="AM221" s="4" t="str">
        <f ca="1">IFERROR(__xludf.DUMMYFUNCTION("""COMPUTED_VALUE"""),"20/01/2022: Ya se eligió el proveedor de Radián (FyM Technology), Compras está en proceso de contratación ")</f>
        <v xml:space="preserve">20/01/2022: Ya se eligió el proveedor de Radián (FyM Technology), Compras está en proceso de contratación </v>
      </c>
      <c r="AN221" s="4" t="str">
        <f ca="1">IFERROR(__xludf.DUMMYFUNCTION("""COMPUTED_VALUE"""),"Finalizado")</f>
        <v>Finalizado</v>
      </c>
      <c r="AO221" s="4" t="str">
        <f ca="1">IFERROR(__xludf.DUMMYFUNCTION("""COMPUTED_VALUE"""),"Transversales")</f>
        <v>Transversales</v>
      </c>
      <c r="AP221" s="4"/>
      <c r="AQ221" s="4"/>
      <c r="AR221" s="4" t="str">
        <f ca="1">IFERROR(__xludf.DUMMYFUNCTION("""COMPUTED_VALUE"""),"SDA aprobada en PPP Q1 2023")</f>
        <v>SDA aprobada en PPP Q1 2023</v>
      </c>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133">
        <f ca="1">IFERROR(__xludf.DUMMYFUNCTION("""COMPUTED_VALUE"""),0)</f>
        <v>0</v>
      </c>
      <c r="DV221" s="133">
        <f ca="1">IFERROR(__xludf.DUMMYFUNCTION("""COMPUTED_VALUE"""),0)</f>
        <v>0</v>
      </c>
      <c r="DW221" s="133">
        <f ca="1">IFERROR(__xludf.DUMMYFUNCTION("""COMPUTED_VALUE"""),185038577)</f>
        <v>185038577</v>
      </c>
      <c r="DX221" s="133">
        <f ca="1">IFERROR(__xludf.DUMMYFUNCTION("""COMPUTED_VALUE"""),957395136)</f>
        <v>957395136</v>
      </c>
      <c r="DY221" s="133">
        <f ca="1">IFERROR(__xludf.DUMMYFUNCTION("""COMPUTED_VALUE"""),0)</f>
        <v>0</v>
      </c>
      <c r="DZ221" s="133">
        <f ca="1">IFERROR(__xludf.DUMMYFUNCTION("""COMPUTED_VALUE"""),1142433713)</f>
        <v>1142433713</v>
      </c>
      <c r="EA221" s="4"/>
      <c r="EB221" s="4"/>
    </row>
    <row r="222" spans="1:132" x14ac:dyDescent="0.2">
      <c r="A222" s="4">
        <f ca="1">IFERROR(__xludf.DUMMYFUNCTION("""COMPUTED_VALUE"""),222)</f>
        <v>222</v>
      </c>
      <c r="B222" s="4">
        <f ca="1">IFERROR(__xludf.DUMMYFUNCTION("""COMPUTED_VALUE"""),201)</f>
        <v>201</v>
      </c>
      <c r="C222" s="4" t="str">
        <f ca="1">IFERROR(__xludf.DUMMYFUNCTION("""COMPUTED_VALUE"""),"SDATOOL-37086")</f>
        <v>SDATOOL-37086</v>
      </c>
      <c r="D222" s="4" t="str">
        <f ca="1">IFERROR(__xludf.DUMMYFUNCTION("""COMPUTED_VALUE"""),"Factura electrónica (radian)")</f>
        <v>Factura electrónica (radian)</v>
      </c>
      <c r="E222"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2" s="4" t="str">
        <f ca="1">IFERROR(__xludf.DUMMYFUNCTION("""COMPUTED_VALUE"""),"Project")</f>
        <v>Project</v>
      </c>
      <c r="G222" s="4" t="str">
        <f ca="1">IFERROR(__xludf.DUMMYFUNCTION("""COMPUTED_VALUE"""),"Stock")</f>
        <v>Stock</v>
      </c>
      <c r="H222" s="4" t="str">
        <f ca="1">IFERROR(__xludf.DUMMYFUNCTION("""COMPUTED_VALUE"""),"4Q 2023")</f>
        <v>4Q 2023</v>
      </c>
      <c r="I222" s="131" t="str">
        <f ca="1">IFERROR(__xludf.DUMMYFUNCTION("""COMPUTED_VALUE"""),"nathiahayosara.amado-bbva.com")</f>
        <v>nathiahayosara.amado-bbva.com</v>
      </c>
      <c r="J222" s="131" t="str">
        <f ca="1">IFERROR(__xludf.DUMMYFUNCTION("""COMPUTED_VALUE"""),"karenalexandra.martinez-bbva.com")</f>
        <v>karenalexandra.martinez-bbva.com</v>
      </c>
      <c r="K222" s="131" t="str">
        <f ca="1">IFERROR(__xludf.DUMMYFUNCTION("""COMPUTED_VALUE"""),"ivan_dario.ariza-bbva.com")</f>
        <v>ivan_dario.ariza-bbva.com</v>
      </c>
      <c r="L222" s="4"/>
      <c r="M222" s="4"/>
      <c r="N222" s="4"/>
      <c r="O222" s="4" t="str">
        <f ca="1">IFERROR(__xludf.DUMMYFUNCTION("""COMPUTED_VALUE"""),"Waterfall")</f>
        <v>Waterfall</v>
      </c>
      <c r="P222" s="4" t="str">
        <f ca="1">IFERROR(__xludf.DUMMYFUNCTION("""COMPUTED_VALUE"""),"Tradicional")</f>
        <v>Tradicional</v>
      </c>
      <c r="Q222" s="4"/>
      <c r="R222" s="130" t="str">
        <f ca="1">IFERROR(__xludf.DUMMYFUNCTION("""COMPUTED_VALUE"""),"Enterprises")</f>
        <v>Enterprises</v>
      </c>
      <c r="S222" s="130" t="str">
        <f ca="1">IFERROR(__xludf.DUMMYFUNCTION("""COMPUTED_VALUE"""),"Strategic Review")</f>
        <v>Strategic Review</v>
      </c>
      <c r="T222" s="130" t="str">
        <f ca="1">IFERROR(__xludf.DUMMYFUNCTION("""COMPUTED_VALUE"""),"Normativo")</f>
        <v>Normativo</v>
      </c>
      <c r="U222" s="130" t="str">
        <f ca="1">IFERROR(__xludf.DUMMYFUNCTION("""COMPUTED_VALUE"""),"No Aplica")</f>
        <v>No Aplica</v>
      </c>
      <c r="V222" s="4" t="str">
        <f ca="1">IFERROR(__xludf.DUMMYFUNCTION("""COMPUTED_VALUE"""),"Factoring")</f>
        <v>Factoring</v>
      </c>
      <c r="W222" s="4">
        <f ca="1">IFERROR(__xludf.DUMMYFUNCTION("""COMPUTED_VALUE"""),2)</f>
        <v>2</v>
      </c>
      <c r="X222" s="4" t="str">
        <f ca="1">IFERROR(__xludf.DUMMYFUNCTION("""COMPUTED_VALUE"""),"08. Enterprise Transactionality")</f>
        <v>08. Enterprise Transactionality</v>
      </c>
      <c r="Y222" s="4" t="str">
        <f ca="1">IFERROR(__xludf.DUMMYFUNCTION("""COMPUTED_VALUE"""),"5.7.1 Keep the Bank Running")</f>
        <v>5.7.1 Keep the Bank Running</v>
      </c>
      <c r="Z222" s="132" t="str">
        <f ca="1">IFERROR(__xludf.DUMMYFUNCTION("""COMPUTED_VALUE"""),"369482")</f>
        <v>369482</v>
      </c>
      <c r="AA222" s="4" t="str">
        <f ca="1">IFERROR(__xludf.DUMMYFUNCTION("""COMPUTED_VALUE"""),"Proceso manual")</f>
        <v>Proceso manual</v>
      </c>
      <c r="AB222" s="4" t="str">
        <f ca="1">IFERROR(__xludf.DUMMYFUNCTION("""COMPUTED_VALUE"""),"Proceso manual")</f>
        <v>Proceso manual</v>
      </c>
      <c r="AC222" s="4" t="str">
        <f ca="1">IFERROR(__xludf.DUMMYFUNCTION("""COMPUTED_VALUE"""),"3Q 2022")</f>
        <v>3Q 2022</v>
      </c>
      <c r="AD222" s="128">
        <f ca="1">IFERROR(__xludf.DUMMYFUNCTION("""COMPUTED_VALUE"""),44819)</f>
        <v>44819</v>
      </c>
      <c r="AE222" s="128">
        <f ca="1">IFERROR(__xludf.DUMMYFUNCTION("""COMPUTED_VALUE"""),44566)</f>
        <v>44566</v>
      </c>
      <c r="AF222" s="128">
        <f ca="1">IFERROR(__xludf.DUMMYFUNCTION("""COMPUTED_VALUE"""),44597)</f>
        <v>44597</v>
      </c>
      <c r="AG222" s="128">
        <f ca="1">IFERROR(__xludf.DUMMYFUNCTION("""COMPUTED_VALUE"""),44732)</f>
        <v>44732</v>
      </c>
      <c r="AH222" s="128">
        <f ca="1">IFERROR(__xludf.DUMMYFUNCTION("""COMPUTED_VALUE"""),44715)</f>
        <v>44715</v>
      </c>
      <c r="AI222" s="128">
        <f ca="1">IFERROR(__xludf.DUMMYFUNCTION("""COMPUTED_VALUE"""),44793)</f>
        <v>44793</v>
      </c>
      <c r="AJ222" s="128">
        <f ca="1">IFERROR(__xludf.DUMMYFUNCTION("""COMPUTED_VALUE"""),44792)</f>
        <v>44792</v>
      </c>
      <c r="AK222" s="131" t="str">
        <f ca="1">IFERROR(__xludf.DUMMYFUNCTION("""COMPUTED_VALUE"""),"COLWSPREST-312")</f>
        <v>COLWSPREST-312</v>
      </c>
      <c r="AL222" s="4" t="str">
        <f ca="1">IFERROR(__xludf.DUMMYFUNCTION("""COMPUTED_VALUE"""),"Deployed")</f>
        <v>Deployed</v>
      </c>
      <c r="AM222" s="4" t="str">
        <f ca="1">IFERROR(__xludf.DUMMYFUNCTION("""COMPUTED_VALUE"""),"Estamos cerrando el proceso de definición con el proveedor elegido para poder iniciar el desarrollo del reporte requerido para la fase manual")</f>
        <v>Estamos cerrando el proceso de definición con el proveedor elegido para poder iniciar el desarrollo del reporte requerido para la fase manual</v>
      </c>
      <c r="AN222" s="4" t="str">
        <f ca="1">IFERROR(__xludf.DUMMYFUNCTION("""COMPUTED_VALUE"""),"Finalizado")</f>
        <v>Finalizado</v>
      </c>
      <c r="AO222" s="4" t="str">
        <f ca="1">IFERROR(__xludf.DUMMYFUNCTION("""COMPUTED_VALUE"""),"Transversales")</f>
        <v>Transversales</v>
      </c>
      <c r="AP222" s="4"/>
      <c r="AQ222" s="4"/>
      <c r="AR222" s="4" t="str">
        <f ca="1">IFERROR(__xludf.DUMMYFUNCTION("""COMPUTED_VALUE"""),"SDA aprobada en PPP Q1 2023")</f>
        <v>SDA aprobada en PPP Q1 2023</v>
      </c>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row>
    <row r="223" spans="1:132" x14ac:dyDescent="0.2">
      <c r="A223" s="4">
        <f ca="1">IFERROR(__xludf.DUMMYFUNCTION("""COMPUTED_VALUE"""),223)</f>
        <v>223</v>
      </c>
      <c r="B223" s="4">
        <f ca="1">IFERROR(__xludf.DUMMYFUNCTION("""COMPUTED_VALUE"""),202)</f>
        <v>202</v>
      </c>
      <c r="C223" s="4" t="str">
        <f ca="1">IFERROR(__xludf.DUMMYFUNCTION("""COMPUTED_VALUE"""),"SDATOOL-37086")</f>
        <v>SDATOOL-37086</v>
      </c>
      <c r="D223" s="4" t="str">
        <f ca="1">IFERROR(__xludf.DUMMYFUNCTION("""COMPUTED_VALUE"""),"Factura electrónica (radian)")</f>
        <v>Factura electrónica (radian)</v>
      </c>
      <c r="E223"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3" s="4" t="str">
        <f ca="1">IFERROR(__xludf.DUMMYFUNCTION("""COMPUTED_VALUE"""),"Project")</f>
        <v>Project</v>
      </c>
      <c r="G223" s="4" t="str">
        <f ca="1">IFERROR(__xludf.DUMMYFUNCTION("""COMPUTED_VALUE"""),"Stock")</f>
        <v>Stock</v>
      </c>
      <c r="H223" s="4" t="str">
        <f ca="1">IFERROR(__xludf.DUMMYFUNCTION("""COMPUTED_VALUE"""),"4Q 2023")</f>
        <v>4Q 2023</v>
      </c>
      <c r="I223" s="131" t="str">
        <f ca="1">IFERROR(__xludf.DUMMYFUNCTION("""COMPUTED_VALUE"""),"nathiahayosara.amado-bbva.com")</f>
        <v>nathiahayosara.amado-bbva.com</v>
      </c>
      <c r="J223" s="131" t="str">
        <f ca="1">IFERROR(__xludf.DUMMYFUNCTION("""COMPUTED_VALUE"""),"karenalexandra.martinez-bbva.com")</f>
        <v>karenalexandra.martinez-bbva.com</v>
      </c>
      <c r="K223" s="131" t="str">
        <f ca="1">IFERROR(__xludf.DUMMYFUNCTION("""COMPUTED_VALUE"""),"ivan_dario.ariza-bbva.com")</f>
        <v>ivan_dario.ariza-bbva.com</v>
      </c>
      <c r="L223" s="4"/>
      <c r="M223" s="4"/>
      <c r="N223" s="4"/>
      <c r="O223" s="4" t="str">
        <f ca="1">IFERROR(__xludf.DUMMYFUNCTION("""COMPUTED_VALUE"""),"Waterfall")</f>
        <v>Waterfall</v>
      </c>
      <c r="P223" s="4" t="str">
        <f ca="1">IFERROR(__xludf.DUMMYFUNCTION("""COMPUTED_VALUE"""),"Tradicional")</f>
        <v>Tradicional</v>
      </c>
      <c r="Q223" s="4"/>
      <c r="R223" s="130" t="str">
        <f ca="1">IFERROR(__xludf.DUMMYFUNCTION("""COMPUTED_VALUE"""),"Enterprises")</f>
        <v>Enterprises</v>
      </c>
      <c r="S223" s="130" t="str">
        <f ca="1">IFERROR(__xludf.DUMMYFUNCTION("""COMPUTED_VALUE"""),"Strategic Review")</f>
        <v>Strategic Review</v>
      </c>
      <c r="T223" s="130" t="str">
        <f ca="1">IFERROR(__xludf.DUMMYFUNCTION("""COMPUTED_VALUE"""),"Normativo")</f>
        <v>Normativo</v>
      </c>
      <c r="U223" s="130" t="str">
        <f ca="1">IFERROR(__xludf.DUMMYFUNCTION("""COMPUTED_VALUE"""),"No Aplica")</f>
        <v>No Aplica</v>
      </c>
      <c r="V223" s="4" t="str">
        <f ca="1">IFERROR(__xludf.DUMMYFUNCTION("""COMPUTED_VALUE"""),"Factoring")</f>
        <v>Factoring</v>
      </c>
      <c r="W223" s="4">
        <f ca="1">IFERROR(__xludf.DUMMYFUNCTION("""COMPUTED_VALUE"""),2)</f>
        <v>2</v>
      </c>
      <c r="X223" s="4" t="str">
        <f ca="1">IFERROR(__xludf.DUMMYFUNCTION("""COMPUTED_VALUE"""),"08. Enterprise Transactionality")</f>
        <v>08. Enterprise Transactionality</v>
      </c>
      <c r="Y223" s="4" t="str">
        <f ca="1">IFERROR(__xludf.DUMMYFUNCTION("""COMPUTED_VALUE"""),"5.7.1 Keep the Bank Running")</f>
        <v>5.7.1 Keep the Bank Running</v>
      </c>
      <c r="Z223" s="132" t="str">
        <f ca="1">IFERROR(__xludf.DUMMYFUNCTION("""COMPUTED_VALUE"""),"310200")</f>
        <v>310200</v>
      </c>
      <c r="AA223" s="4" t="str">
        <f ca="1">IFERROR(__xludf.DUMMYFUNCTION("""COMPUTED_VALUE"""),"Automatizacion (Dimension)")</f>
        <v>Automatizacion (Dimension)</v>
      </c>
      <c r="AB223" s="4" t="str">
        <f ca="1">IFERROR(__xludf.DUMMYFUNCTION("""COMPUTED_VALUE"""),"Desarrollar un modelo automático (en la mayoría del flujo) con el fin de optimizar las manualidades que realiza hoy operaciones y que pueden generar errores en el proceso, además de ofrecer  al cliente una solución más adecuada respecto a su necesidad.")</f>
        <v>Desarrollar un modelo automático (en la mayoría del flujo) con el fin de optimizar las manualidades que realiza hoy operaciones y que pueden generar errores en el proceso, además de ofrecer  al cliente una solución más adecuada respecto a su necesidad.</v>
      </c>
      <c r="AC223" s="4" t="str">
        <f ca="1">IFERROR(__xludf.DUMMYFUNCTION("""COMPUTED_VALUE"""),"4Q 2023")</f>
        <v>4Q 2023</v>
      </c>
      <c r="AD223" s="128">
        <f ca="1">IFERROR(__xludf.DUMMYFUNCTION("""COMPUTED_VALUE"""),44793)</f>
        <v>44793</v>
      </c>
      <c r="AE223" s="128">
        <f ca="1">IFERROR(__xludf.DUMMYFUNCTION("""COMPUTED_VALUE"""),44863)</f>
        <v>44863</v>
      </c>
      <c r="AF223" s="4"/>
      <c r="AG223" s="4"/>
      <c r="AH223" s="4"/>
      <c r="AI223" s="4"/>
      <c r="AJ223" s="4"/>
      <c r="AK223" s="131" t="str">
        <f ca="1">IFERROR(__xludf.DUMMYFUNCTION("""COMPUTED_VALUE"""),"COLWSSUPPL-36")</f>
        <v>COLWSSUPPL-36</v>
      </c>
      <c r="AL223" s="4" t="str">
        <f ca="1">IFERROR(__xludf.DUMMYFUNCTION("""COMPUTED_VALUE"""),"Analysing")</f>
        <v>Analysing</v>
      </c>
      <c r="AM223" s="4"/>
      <c r="AN223" s="4" t="str">
        <f ca="1">IFERROR(__xludf.DUMMYFUNCTION("""COMPUTED_VALUE"""),"Entregable en desarrollo")</f>
        <v>Entregable en desarrollo</v>
      </c>
      <c r="AO223" s="4" t="str">
        <f ca="1">IFERROR(__xludf.DUMMYFUNCTION("""COMPUTED_VALUE"""),"Transversales")</f>
        <v>Transversales</v>
      </c>
      <c r="AP223" s="4"/>
      <c r="AQ223" s="4"/>
      <c r="AR223" s="4" t="str">
        <f ca="1">IFERROR(__xludf.DUMMYFUNCTION("""COMPUTED_VALUE"""),"SDA aprobada en PPP Q1 2023")</f>
        <v>SDA aprobada en PPP Q1 2023</v>
      </c>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row>
    <row r="224" spans="1:132" x14ac:dyDescent="0.2">
      <c r="A224" s="4">
        <f ca="1">IFERROR(__xludf.DUMMYFUNCTION("""COMPUTED_VALUE"""),224)</f>
        <v>224</v>
      </c>
      <c r="B224" s="4">
        <f ca="1">IFERROR(__xludf.DUMMYFUNCTION("""COMPUTED_VALUE"""),203)</f>
        <v>203</v>
      </c>
      <c r="C224" s="4" t="str">
        <f ca="1">IFERROR(__xludf.DUMMYFUNCTION("""COMPUTED_VALUE"""),"SDATOOL-37125")</f>
        <v>SDATOOL-37125</v>
      </c>
      <c r="D224" s="4" t="str">
        <f ca="1">IFERROR(__xludf.DUMMYFUNCTION("""COMPUTED_VALUE"""),"Factoring - IBR")</f>
        <v>Factoring - IBR</v>
      </c>
      <c r="E224"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4" s="4" t="str">
        <f ca="1">IFERROR(__xludf.DUMMYFUNCTION("""COMPUTED_VALUE"""),"Project")</f>
        <v>Project</v>
      </c>
      <c r="G224" s="4" t="str">
        <f ca="1">IFERROR(__xludf.DUMMYFUNCTION("""COMPUTED_VALUE"""),"Stock")</f>
        <v>Stock</v>
      </c>
      <c r="H224" s="4" t="str">
        <f ca="1">IFERROR(__xludf.DUMMYFUNCTION("""COMPUTED_VALUE"""),"2Q 2023")</f>
        <v>2Q 2023</v>
      </c>
      <c r="I224" s="131" t="str">
        <f ca="1">IFERROR(__xludf.DUMMYFUNCTION("""COMPUTED_VALUE"""),"nathiahayosara.amado-bbva.com")</f>
        <v>nathiahayosara.amado-bbva.com</v>
      </c>
      <c r="J224" s="131" t="str">
        <f ca="1">IFERROR(__xludf.DUMMYFUNCTION("""COMPUTED_VALUE"""),"karenalexandra.martinez-bbva.com")</f>
        <v>karenalexandra.martinez-bbva.com</v>
      </c>
      <c r="K224" s="131" t="str">
        <f ca="1">IFERROR(__xludf.DUMMYFUNCTION("""COMPUTED_VALUE"""),"ivan_dario.ariza-bbva.com")</f>
        <v>ivan_dario.ariza-bbva.com</v>
      </c>
      <c r="L224" s="130">
        <f ca="1">IFERROR(__xludf.DUMMYFUNCTION("""COMPUTED_VALUE"""),0.5)</f>
        <v>0.5</v>
      </c>
      <c r="M224" s="130">
        <f ca="1">IFERROR(__xludf.DUMMYFUNCTION("""COMPUTED_VALUE"""),2.1)</f>
        <v>2.1</v>
      </c>
      <c r="N224" s="130">
        <f ca="1">IFERROR(__xludf.DUMMYFUNCTION("""COMPUTED_VALUE"""),4.7)</f>
        <v>4.7</v>
      </c>
      <c r="O224" s="4" t="str">
        <f ca="1">IFERROR(__xludf.DUMMYFUNCTION("""COMPUTED_VALUE"""),"Waterfall")</f>
        <v>Waterfall</v>
      </c>
      <c r="P224" s="4" t="str">
        <f ca="1">IFERROR(__xludf.DUMMYFUNCTION("""COMPUTED_VALUE"""),"Tradicional")</f>
        <v>Tradicional</v>
      </c>
      <c r="Q224" s="4"/>
      <c r="R224" s="130" t="str">
        <f ca="1">IFERROR(__xludf.DUMMYFUNCTION("""COMPUTED_VALUE"""),"Enterprises")</f>
        <v>Enterprises</v>
      </c>
      <c r="S224" s="130" t="str">
        <f ca="1">IFERROR(__xludf.DUMMYFUNCTION("""COMPUTED_VALUE"""),"Strategic Review")</f>
        <v>Strategic Review</v>
      </c>
      <c r="T224" s="130" t="str">
        <f ca="1">IFERROR(__xludf.DUMMYFUNCTION("""COMPUTED_VALUE"""),"1. Generación de Ingresos")</f>
        <v>1. Generación de Ingresos</v>
      </c>
      <c r="U224" s="130" t="str">
        <f ca="1">IFERROR(__xludf.DUMMYFUNCTION("""COMPUTED_VALUE"""),"1.5. Otros de Proyectos de Ingresos")</f>
        <v>1.5. Otros de Proyectos de Ingresos</v>
      </c>
      <c r="V224" s="4" t="str">
        <f ca="1">IFERROR(__xludf.DUMMYFUNCTION("""COMPUTED_VALUE"""),"Factoring")</f>
        <v>Factoring</v>
      </c>
      <c r="W224" s="4">
        <f ca="1">IFERROR(__xludf.DUMMYFUNCTION("""COMPUTED_VALUE"""),2)</f>
        <v>2</v>
      </c>
      <c r="X224" s="4" t="str">
        <f ca="1">IFERROR(__xludf.DUMMYFUNCTION("""COMPUTED_VALUE"""),"08. Enterprise Transactionality")</f>
        <v>08. Enterprise Transactionality</v>
      </c>
      <c r="Y224" s="4" t="str">
        <f ca="1">IFERROR(__xludf.DUMMYFUNCTION("""COMPUTED_VALUE"""),"5.7.1 Keep the Bank Running")</f>
        <v>5.7.1 Keep the Bank Running</v>
      </c>
      <c r="Z224" s="132" t="str">
        <f ca="1">IFERROR(__xludf.DUMMYFUNCTION("""COMPUTED_VALUE"""),"310202")</f>
        <v>310202</v>
      </c>
      <c r="AA224" s="4" t="str">
        <f ca="1">IFERROR(__xludf.DUMMYFUNCTION("""COMPUTED_VALUE"""),"Módulo de Parametría IBR -Transversal")</f>
        <v>Módulo de Parametría IBR -Transversal</v>
      </c>
      <c r="AB224" s="4" t="str">
        <f ca="1">IFERROR(__xludf.DUMMYFUNCTION("""COMPUTED_VALUE"""),"Creación de módulo de parametría y control dual (Transversal)")</f>
        <v>Creación de módulo de parametría y control dual (Transversal)</v>
      </c>
      <c r="AC224" s="4" t="str">
        <f ca="1">IFERROR(__xludf.DUMMYFUNCTION("""COMPUTED_VALUE"""),"4Q 2022")</f>
        <v>4Q 2022</v>
      </c>
      <c r="AD224" s="4"/>
      <c r="AE224" s="4"/>
      <c r="AF224" s="4"/>
      <c r="AG224" s="4"/>
      <c r="AH224" s="4"/>
      <c r="AI224" s="4"/>
      <c r="AJ224" s="4"/>
      <c r="AK224" s="131" t="str">
        <f ca="1">IFERROR(__xludf.DUMMYFUNCTION("""COMPUTED_VALUE"""),"COLWSPREST-2100")</f>
        <v>COLWSPREST-2100</v>
      </c>
      <c r="AL224" s="4" t="str">
        <f ca="1">IFERROR(__xludf.DUMMYFUNCTION("""COMPUTED_VALUE"""),"Deployed")</f>
        <v>Deployed</v>
      </c>
      <c r="AM224" s="4"/>
      <c r="AN224" s="4" t="str">
        <f ca="1">IFERROR(__xludf.DUMMYFUNCTION("""COMPUTED_VALUE"""),"Finalizado")</f>
        <v>Finalizado</v>
      </c>
      <c r="AO224" s="4" t="str">
        <f ca="1">IFERROR(__xludf.DUMMYFUNCTION("""COMPUTED_VALUE"""),"Transversales")</f>
        <v>Transversales</v>
      </c>
      <c r="AP224" s="4"/>
      <c r="AQ224" s="4"/>
      <c r="AR224" s="4" t="str">
        <f ca="1">IFERROR(__xludf.DUMMYFUNCTION("""COMPUTED_VALUE"""),"SDA aprobada en PPP Q1 2023")</f>
        <v>SDA aprobada en PPP Q1 2023</v>
      </c>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133">
        <f ca="1">IFERROR(__xludf.DUMMYFUNCTION("""COMPUTED_VALUE"""),0)</f>
        <v>0</v>
      </c>
      <c r="DV224" s="133">
        <f ca="1">IFERROR(__xludf.DUMMYFUNCTION("""COMPUTED_VALUE"""),0)</f>
        <v>0</v>
      </c>
      <c r="DW224" s="133">
        <f ca="1">IFERROR(__xludf.DUMMYFUNCTION("""COMPUTED_VALUE"""),931558155)</f>
        <v>931558155</v>
      </c>
      <c r="DX224" s="133">
        <f ca="1">IFERROR(__xludf.DUMMYFUNCTION("""COMPUTED_VALUE"""),1025629315)</f>
        <v>1025629315</v>
      </c>
      <c r="DY224" s="133">
        <f ca="1">IFERROR(__xludf.DUMMYFUNCTION("""COMPUTED_VALUE"""),0)</f>
        <v>0</v>
      </c>
      <c r="DZ224" s="133">
        <f ca="1">IFERROR(__xludf.DUMMYFUNCTION("""COMPUTED_VALUE"""),1957187470)</f>
        <v>1957187470</v>
      </c>
      <c r="EA224" s="4"/>
      <c r="EB224" s="4"/>
    </row>
    <row r="225" spans="1:132" x14ac:dyDescent="0.2">
      <c r="A225" s="4">
        <f ca="1">IFERROR(__xludf.DUMMYFUNCTION("""COMPUTED_VALUE"""),225)</f>
        <v>225</v>
      </c>
      <c r="B225" s="4">
        <f ca="1">IFERROR(__xludf.DUMMYFUNCTION("""COMPUTED_VALUE"""),204)</f>
        <v>204</v>
      </c>
      <c r="C225" s="4" t="str">
        <f ca="1">IFERROR(__xludf.DUMMYFUNCTION("""COMPUTED_VALUE"""),"SDATOOL-37125")</f>
        <v>SDATOOL-37125</v>
      </c>
      <c r="D225" s="4" t="str">
        <f ca="1">IFERROR(__xludf.DUMMYFUNCTION("""COMPUTED_VALUE"""),"Factoring - IBR")</f>
        <v>Factoring - IBR</v>
      </c>
      <c r="E225"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5" s="4" t="str">
        <f ca="1">IFERROR(__xludf.DUMMYFUNCTION("""COMPUTED_VALUE"""),"Project")</f>
        <v>Project</v>
      </c>
      <c r="G225" s="4" t="str">
        <f ca="1">IFERROR(__xludf.DUMMYFUNCTION("""COMPUTED_VALUE"""),"Stock")</f>
        <v>Stock</v>
      </c>
      <c r="H225" s="4" t="str">
        <f ca="1">IFERROR(__xludf.DUMMYFUNCTION("""COMPUTED_VALUE"""),"2Q 2023")</f>
        <v>2Q 2023</v>
      </c>
      <c r="I225" s="131" t="str">
        <f ca="1">IFERROR(__xludf.DUMMYFUNCTION("""COMPUTED_VALUE"""),"nathiahayosara.amado-bbva.com")</f>
        <v>nathiahayosara.amado-bbva.com</v>
      </c>
      <c r="J225" s="131" t="str">
        <f ca="1">IFERROR(__xludf.DUMMYFUNCTION("""COMPUTED_VALUE"""),"karenalexandra.martinez-bbva.com")</f>
        <v>karenalexandra.martinez-bbva.com</v>
      </c>
      <c r="K225" s="131" t="str">
        <f ca="1">IFERROR(__xludf.DUMMYFUNCTION("""COMPUTED_VALUE"""),"ivan_dario.ariza-bbva.com")</f>
        <v>ivan_dario.ariza-bbva.com</v>
      </c>
      <c r="L225" s="4"/>
      <c r="M225" s="4"/>
      <c r="N225" s="4"/>
      <c r="O225" s="4" t="str">
        <f ca="1">IFERROR(__xludf.DUMMYFUNCTION("""COMPUTED_VALUE"""),"Waterfall")</f>
        <v>Waterfall</v>
      </c>
      <c r="P225" s="4" t="str">
        <f ca="1">IFERROR(__xludf.DUMMYFUNCTION("""COMPUTED_VALUE"""),"Tradicional")</f>
        <v>Tradicional</v>
      </c>
      <c r="Q225" s="4"/>
      <c r="R225" s="130" t="str">
        <f ca="1">IFERROR(__xludf.DUMMYFUNCTION("""COMPUTED_VALUE"""),"Enterprises")</f>
        <v>Enterprises</v>
      </c>
      <c r="S225" s="130" t="str">
        <f ca="1">IFERROR(__xludf.DUMMYFUNCTION("""COMPUTED_VALUE"""),"Strategic Review")</f>
        <v>Strategic Review</v>
      </c>
      <c r="T225" s="130" t="str">
        <f ca="1">IFERROR(__xludf.DUMMYFUNCTION("""COMPUTED_VALUE"""),"1. Generación de Ingresos")</f>
        <v>1. Generación de Ingresos</v>
      </c>
      <c r="U225" s="130" t="str">
        <f ca="1">IFERROR(__xludf.DUMMYFUNCTION("""COMPUTED_VALUE"""),"1.5. Otros de Proyectos de Ingresos")</f>
        <v>1.5. Otros de Proyectos de Ingresos</v>
      </c>
      <c r="V225" s="4" t="str">
        <f ca="1">IFERROR(__xludf.DUMMYFUNCTION("""COMPUTED_VALUE"""),"Factoring")</f>
        <v>Factoring</v>
      </c>
      <c r="W225" s="4">
        <f ca="1">IFERROR(__xludf.DUMMYFUNCTION("""COMPUTED_VALUE"""),2)</f>
        <v>2</v>
      </c>
      <c r="X225" s="4" t="str">
        <f ca="1">IFERROR(__xludf.DUMMYFUNCTION("""COMPUTED_VALUE"""),"08. Enterprise Transactionality")</f>
        <v>08. Enterprise Transactionality</v>
      </c>
      <c r="Y225" s="4" t="str">
        <f ca="1">IFERROR(__xludf.DUMMYFUNCTION("""COMPUTED_VALUE"""),"5.7.1 Keep the Bank Running")</f>
        <v>5.7.1 Keep the Bank Running</v>
      </c>
      <c r="Z225" s="132" t="str">
        <f ca="1">IFERROR(__xludf.DUMMYFUNCTION("""COMPUTED_VALUE"""),"492006")</f>
        <v>492006</v>
      </c>
      <c r="AA225" s="4" t="str">
        <f ca="1">IFERROR(__xludf.DUMMYFUNCTION("""COMPUTED_VALUE"""),"Confirming - IBR")</f>
        <v>Confirming - IBR</v>
      </c>
      <c r="AB225" s="4" t="str">
        <f ca="1">IFERROR(__xludf.DUMMYFUNCTION("""COMPUTED_VALUE"""),"Implementación de planes y condiciones financieras con IBR")</f>
        <v>Implementación de planes y condiciones financieras con IBR</v>
      </c>
      <c r="AC225" s="4" t="str">
        <f ca="1">IFERROR(__xludf.DUMMYFUNCTION("""COMPUTED_VALUE"""),"2Q 2023")</f>
        <v>2Q 2023</v>
      </c>
      <c r="AD225" s="4"/>
      <c r="AE225" s="4"/>
      <c r="AF225" s="4"/>
      <c r="AG225" s="4"/>
      <c r="AH225" s="4"/>
      <c r="AI225" s="4"/>
      <c r="AJ225" s="4"/>
      <c r="AK225" s="131" t="str">
        <f ca="1">IFERROR(__xludf.DUMMYFUNCTION("""COMPUTED_VALUE"""),"COLWSSUPPL-35")</f>
        <v>COLWSSUPPL-35</v>
      </c>
      <c r="AL225" s="4" t="str">
        <f ca="1">IFERROR(__xludf.DUMMYFUNCTION("""COMPUTED_VALUE"""),"En progreso")</f>
        <v>En progreso</v>
      </c>
      <c r="AM225" s="4"/>
      <c r="AN225" s="4" t="str">
        <f ca="1">IFERROR(__xludf.DUMMYFUNCTION("""COMPUTED_VALUE"""),"Entregable en desarrollo")</f>
        <v>Entregable en desarrollo</v>
      </c>
      <c r="AO225" s="4" t="str">
        <f ca="1">IFERROR(__xludf.DUMMYFUNCTION("""COMPUTED_VALUE"""),"Transversales")</f>
        <v>Transversales</v>
      </c>
      <c r="AP225" s="4"/>
      <c r="AQ225" s="4"/>
      <c r="AR225" s="4" t="str">
        <f ca="1">IFERROR(__xludf.DUMMYFUNCTION("""COMPUTED_VALUE"""),"SDA aprobada en PPP Q1 2023")</f>
        <v>SDA aprobada en PPP Q1 2023</v>
      </c>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row>
    <row r="226" spans="1:132" x14ac:dyDescent="0.2">
      <c r="A226" s="4">
        <f ca="1">IFERROR(__xludf.DUMMYFUNCTION("""COMPUTED_VALUE"""),226)</f>
        <v>226</v>
      </c>
      <c r="B226" s="4">
        <f ca="1">IFERROR(__xludf.DUMMYFUNCTION("""COMPUTED_VALUE"""),205)</f>
        <v>205</v>
      </c>
      <c r="C226" s="4" t="str">
        <f ca="1">IFERROR(__xludf.DUMMYFUNCTION("""COMPUTED_VALUE"""),"SDATOOL-37125")</f>
        <v>SDATOOL-37125</v>
      </c>
      <c r="D226" s="4" t="str">
        <f ca="1">IFERROR(__xludf.DUMMYFUNCTION("""COMPUTED_VALUE"""),"Factoring - IBR")</f>
        <v>Factoring - IBR</v>
      </c>
      <c r="E226"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6" s="4" t="str">
        <f ca="1">IFERROR(__xludf.DUMMYFUNCTION("""COMPUTED_VALUE"""),"Project")</f>
        <v>Project</v>
      </c>
      <c r="G226" s="4" t="str">
        <f ca="1">IFERROR(__xludf.DUMMYFUNCTION("""COMPUTED_VALUE"""),"Stock")</f>
        <v>Stock</v>
      </c>
      <c r="H226" s="4" t="str">
        <f ca="1">IFERROR(__xludf.DUMMYFUNCTION("""COMPUTED_VALUE"""),"2Q 2023")</f>
        <v>2Q 2023</v>
      </c>
      <c r="I226" s="131" t="str">
        <f ca="1">IFERROR(__xludf.DUMMYFUNCTION("""COMPUTED_VALUE"""),"nathiahayosara.amado-bbva.com")</f>
        <v>nathiahayosara.amado-bbva.com</v>
      </c>
      <c r="J226" s="131" t="str">
        <f ca="1">IFERROR(__xludf.DUMMYFUNCTION("""COMPUTED_VALUE"""),"karenalexandra.martinez-bbva.com")</f>
        <v>karenalexandra.martinez-bbva.com</v>
      </c>
      <c r="K226" s="131" t="str">
        <f ca="1">IFERROR(__xludf.DUMMYFUNCTION("""COMPUTED_VALUE"""),"ivan_dario.ariza-bbva.com")</f>
        <v>ivan_dario.ariza-bbva.com</v>
      </c>
      <c r="L226" s="4"/>
      <c r="M226" s="4"/>
      <c r="N226" s="4"/>
      <c r="O226" s="4" t="str">
        <f ca="1">IFERROR(__xludf.DUMMYFUNCTION("""COMPUTED_VALUE"""),"Waterfall")</f>
        <v>Waterfall</v>
      </c>
      <c r="P226" s="4" t="str">
        <f ca="1">IFERROR(__xludf.DUMMYFUNCTION("""COMPUTED_VALUE"""),"Tradicional")</f>
        <v>Tradicional</v>
      </c>
      <c r="Q226" s="4"/>
      <c r="R226" s="130" t="str">
        <f ca="1">IFERROR(__xludf.DUMMYFUNCTION("""COMPUTED_VALUE"""),"Enterprises")</f>
        <v>Enterprises</v>
      </c>
      <c r="S226" s="130" t="str">
        <f ca="1">IFERROR(__xludf.DUMMYFUNCTION("""COMPUTED_VALUE"""),"Strategic Review")</f>
        <v>Strategic Review</v>
      </c>
      <c r="T226" s="130" t="str">
        <f ca="1">IFERROR(__xludf.DUMMYFUNCTION("""COMPUTED_VALUE"""),"1. Generación de Ingresos")</f>
        <v>1. Generación de Ingresos</v>
      </c>
      <c r="U226" s="130" t="str">
        <f ca="1">IFERROR(__xludf.DUMMYFUNCTION("""COMPUTED_VALUE"""),"1.5. Otros de Proyectos de Ingresos")</f>
        <v>1.5. Otros de Proyectos de Ingresos</v>
      </c>
      <c r="V226" s="4" t="str">
        <f ca="1">IFERROR(__xludf.DUMMYFUNCTION("""COMPUTED_VALUE"""),"Factoring")</f>
        <v>Factoring</v>
      </c>
      <c r="W226" s="4">
        <f ca="1">IFERROR(__xludf.DUMMYFUNCTION("""COMPUTED_VALUE"""),2)</f>
        <v>2</v>
      </c>
      <c r="X226" s="4" t="str">
        <f ca="1">IFERROR(__xludf.DUMMYFUNCTION("""COMPUTED_VALUE"""),"08. Enterprise Transactionality")</f>
        <v>08. Enterprise Transactionality</v>
      </c>
      <c r="Y226" s="4" t="str">
        <f ca="1">IFERROR(__xludf.DUMMYFUNCTION("""COMPUTED_VALUE"""),"5.7.1 Keep the Bank Running")</f>
        <v>5.7.1 Keep the Bank Running</v>
      </c>
      <c r="Z226" s="132" t="str">
        <f ca="1">IFERROR(__xludf.DUMMYFUNCTION("""COMPUTED_VALUE"""),"492007")</f>
        <v>492007</v>
      </c>
      <c r="AA226" s="4" t="str">
        <f ca="1">IFERROR(__xludf.DUMMYFUNCTION("""COMPUTED_VALUE"""),"Plan Mayor - Línea Triangular - IBR")</f>
        <v>Plan Mayor - Línea Triangular - IBR</v>
      </c>
      <c r="AB226" s="4" t="str">
        <f ca="1">IFERROR(__xludf.DUMMYFUNCTION("""COMPUTED_VALUE"""),"Implementación de planes financieros con tasa de referencia IBR")</f>
        <v>Implementación de planes financieros con tasa de referencia IBR</v>
      </c>
      <c r="AC226" s="4" t="str">
        <f ca="1">IFERROR(__xludf.DUMMYFUNCTION("""COMPUTED_VALUE"""),"3Q 2023")</f>
        <v>3Q 2023</v>
      </c>
      <c r="AD226" s="4"/>
      <c r="AE226" s="4"/>
      <c r="AF226" s="4"/>
      <c r="AG226" s="4"/>
      <c r="AH226" s="4"/>
      <c r="AI226" s="4"/>
      <c r="AJ226" s="4"/>
      <c r="AK226" s="131" t="str">
        <f ca="1">IFERROR(__xludf.DUMMYFUNCTION("""COMPUTED_VALUE"""),"COLWSPREST-5260")</f>
        <v>COLWSPREST-5260</v>
      </c>
      <c r="AL226" s="4" t="str">
        <f ca="1">IFERROR(__xludf.DUMMYFUNCTION("""COMPUTED_VALUE"""),"En progreso")</f>
        <v>En progreso</v>
      </c>
      <c r="AM226" s="4"/>
      <c r="AN226" s="4" t="str">
        <f ca="1">IFERROR(__xludf.DUMMYFUNCTION("""COMPUTED_VALUE"""),"Entregable en desarrollo")</f>
        <v>Entregable en desarrollo</v>
      </c>
      <c r="AO226" s="4" t="str">
        <f ca="1">IFERROR(__xludf.DUMMYFUNCTION("""COMPUTED_VALUE"""),"Transversales")</f>
        <v>Transversales</v>
      </c>
      <c r="AP226" s="4"/>
      <c r="AQ226" s="4"/>
      <c r="AR226" s="4" t="str">
        <f ca="1">IFERROR(__xludf.DUMMYFUNCTION("""COMPUTED_VALUE"""),"SDA aprobada en PPP Q1 2023")</f>
        <v>SDA aprobada en PPP Q1 2023</v>
      </c>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row>
    <row r="227" spans="1:132" x14ac:dyDescent="0.2">
      <c r="A227" s="4">
        <f ca="1">IFERROR(__xludf.DUMMYFUNCTION("""COMPUTED_VALUE"""),227)</f>
        <v>227</v>
      </c>
      <c r="B227" s="4">
        <f ca="1">IFERROR(__xludf.DUMMYFUNCTION("""COMPUTED_VALUE"""),206)</f>
        <v>206</v>
      </c>
      <c r="C227" s="4" t="str">
        <f ca="1">IFERROR(__xludf.DUMMYFUNCTION("""COMPUTED_VALUE"""),"SDATOOL-37125")</f>
        <v>SDATOOL-37125</v>
      </c>
      <c r="D227" s="4" t="str">
        <f ca="1">IFERROR(__xludf.DUMMYFUNCTION("""COMPUTED_VALUE"""),"Factoring - IBR")</f>
        <v>Factoring - IBR</v>
      </c>
      <c r="E227"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7" s="4" t="str">
        <f ca="1">IFERROR(__xludf.DUMMYFUNCTION("""COMPUTED_VALUE"""),"Project")</f>
        <v>Project</v>
      </c>
      <c r="G227" s="4" t="str">
        <f ca="1">IFERROR(__xludf.DUMMYFUNCTION("""COMPUTED_VALUE"""),"Stock")</f>
        <v>Stock</v>
      </c>
      <c r="H227" s="4" t="str">
        <f ca="1">IFERROR(__xludf.DUMMYFUNCTION("""COMPUTED_VALUE"""),"2Q 2023")</f>
        <v>2Q 2023</v>
      </c>
      <c r="I227" s="131" t="str">
        <f ca="1">IFERROR(__xludf.DUMMYFUNCTION("""COMPUTED_VALUE"""),"nathiahayosara.amado-bbva.com")</f>
        <v>nathiahayosara.amado-bbva.com</v>
      </c>
      <c r="J227" s="131" t="str">
        <f ca="1">IFERROR(__xludf.DUMMYFUNCTION("""COMPUTED_VALUE"""),"karenalexandra.martinez-bbva.com")</f>
        <v>karenalexandra.martinez-bbva.com</v>
      </c>
      <c r="K227" s="131" t="str">
        <f ca="1">IFERROR(__xludf.DUMMYFUNCTION("""COMPUTED_VALUE"""),"ivan_dario.ariza-bbva.com")</f>
        <v>ivan_dario.ariza-bbva.com</v>
      </c>
      <c r="L227" s="4"/>
      <c r="M227" s="4"/>
      <c r="N227" s="4"/>
      <c r="O227" s="4" t="str">
        <f ca="1">IFERROR(__xludf.DUMMYFUNCTION("""COMPUTED_VALUE"""),"Waterfall")</f>
        <v>Waterfall</v>
      </c>
      <c r="P227" s="4" t="str">
        <f ca="1">IFERROR(__xludf.DUMMYFUNCTION("""COMPUTED_VALUE"""),"Tradicional")</f>
        <v>Tradicional</v>
      </c>
      <c r="Q227" s="4"/>
      <c r="R227" s="130" t="str">
        <f ca="1">IFERROR(__xludf.DUMMYFUNCTION("""COMPUTED_VALUE"""),"Enterprises")</f>
        <v>Enterprises</v>
      </c>
      <c r="S227" s="130" t="str">
        <f ca="1">IFERROR(__xludf.DUMMYFUNCTION("""COMPUTED_VALUE"""),"Strategic Review")</f>
        <v>Strategic Review</v>
      </c>
      <c r="T227" s="130" t="str">
        <f ca="1">IFERROR(__xludf.DUMMYFUNCTION("""COMPUTED_VALUE"""),"1. Generación de Ingresos")</f>
        <v>1. Generación de Ingresos</v>
      </c>
      <c r="U227" s="130" t="str">
        <f ca="1">IFERROR(__xludf.DUMMYFUNCTION("""COMPUTED_VALUE"""),"1.5. Otros de Proyectos de Ingresos")</f>
        <v>1.5. Otros de Proyectos de Ingresos</v>
      </c>
      <c r="V227" s="4" t="str">
        <f ca="1">IFERROR(__xludf.DUMMYFUNCTION("""COMPUTED_VALUE"""),"Factoring")</f>
        <v>Factoring</v>
      </c>
      <c r="W227" s="4">
        <f ca="1">IFERROR(__xludf.DUMMYFUNCTION("""COMPUTED_VALUE"""),2)</f>
        <v>2</v>
      </c>
      <c r="X227" s="4" t="str">
        <f ca="1">IFERROR(__xludf.DUMMYFUNCTION("""COMPUTED_VALUE"""),"08. Enterprise Transactionality")</f>
        <v>08. Enterprise Transactionality</v>
      </c>
      <c r="Y227" s="4" t="str">
        <f ca="1">IFERROR(__xludf.DUMMYFUNCTION("""COMPUTED_VALUE"""),"5.7.1 Keep the Bank Running")</f>
        <v>5.7.1 Keep the Bank Running</v>
      </c>
      <c r="Z227" s="132" t="str">
        <f ca="1">IFERROR(__xludf.DUMMYFUNCTION("""COMPUTED_VALUE"""),"492008")</f>
        <v>492008</v>
      </c>
      <c r="AA227" s="4" t="str">
        <f ca="1">IFERROR(__xludf.DUMMYFUNCTION("""COMPUTED_VALUE"""),"Título Valor - IBR")</f>
        <v>Título Valor - IBR</v>
      </c>
      <c r="AB227" s="4" t="str">
        <f ca="1">IFERROR(__xludf.DUMMYFUNCTION("""COMPUTED_VALUE"""),"Implementación de tasa IBR en condiciones financieras")</f>
        <v>Implementación de tasa IBR en condiciones financieras</v>
      </c>
      <c r="AC227" s="4" t="str">
        <f ca="1">IFERROR(__xludf.DUMMYFUNCTION("""COMPUTED_VALUE"""),"3Q 2023")</f>
        <v>3Q 2023</v>
      </c>
      <c r="AD227" s="4"/>
      <c r="AE227" s="4"/>
      <c r="AF227" s="4"/>
      <c r="AG227" s="4"/>
      <c r="AH227" s="4"/>
      <c r="AI227" s="4"/>
      <c r="AJ227" s="4"/>
      <c r="AK227" s="131" t="str">
        <f ca="1">IFERROR(__xludf.DUMMYFUNCTION("""COMPUTED_VALUE"""),"COLWSPREST-8704")</f>
        <v>COLWSPREST-8704</v>
      </c>
      <c r="AL227" s="4" t="str">
        <f ca="1">IFERROR(__xludf.DUMMYFUNCTION("""COMPUTED_VALUE"""),"New")</f>
        <v>New</v>
      </c>
      <c r="AM227" s="4"/>
      <c r="AN227" s="4" t="str">
        <f ca="1">IFERROR(__xludf.DUMMYFUNCTION("""COMPUTED_VALUE"""),"Entregable en desarrollo")</f>
        <v>Entregable en desarrollo</v>
      </c>
      <c r="AO227" s="4" t="str">
        <f ca="1">IFERROR(__xludf.DUMMYFUNCTION("""COMPUTED_VALUE"""),"Transversales")</f>
        <v>Transversales</v>
      </c>
      <c r="AP227" s="4"/>
      <c r="AQ227" s="4"/>
      <c r="AR227" s="4" t="str">
        <f ca="1">IFERROR(__xludf.DUMMYFUNCTION("""COMPUTED_VALUE"""),"SDA aprobada en PPP Q1 2023")</f>
        <v>SDA aprobada en PPP Q1 2023</v>
      </c>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row>
    <row r="228" spans="1:132" x14ac:dyDescent="0.2">
      <c r="A228" s="4">
        <f ca="1">IFERROR(__xludf.DUMMYFUNCTION("""COMPUTED_VALUE"""),228)</f>
        <v>228</v>
      </c>
      <c r="B228" s="4">
        <f ca="1">IFERROR(__xludf.DUMMYFUNCTION("""COMPUTED_VALUE"""),207)</f>
        <v>207</v>
      </c>
      <c r="C228" s="4" t="str">
        <f ca="1">IFERROR(__xludf.DUMMYFUNCTION("""COMPUTED_VALUE"""),"SDATOOL-39894")</f>
        <v>SDATOOL-39894</v>
      </c>
      <c r="D228" s="4" t="str">
        <f ca="1">IFERROR(__xludf.DUMMYFUNCTION("""COMPUTED_VALUE"""),"PLATAFORMA DIMENSION - PLAN CORRECTOR 2- PAGOS")</f>
        <v>PLATAFORMA DIMENSION - PLAN CORRECTOR 2- PAGOS</v>
      </c>
      <c r="E228" s="4" t="str">
        <f ca="1">IFERROR(__xludf.DUMMYFUNCTION("""COMPUTED_VALUE"""),"1. Definir todos los canales y formas de pago que pueden utilizar los clientes del producto Factoring
2. Desarrollar en la plataforma Dimension todas las combinaciones canal-forma de pago para las diferente
líneas de Factoring (Confirming, LT y DTV)
Est"&amp;"e desarrollo cobijaría TODAS las operaciones que actualmente están activas y reciben pagos en esta
plataforma (Dimension)
El estado ideal es que el proceso, que es masivo y de altos valores, no se realice en forma manual, como
hoy, con los riesgos operac"&amp;"ionales asociados. Desarrollar las Tx para que el cliente realice el pago en forma
directa a su operación (sin manualidades) y que los pagos queden aplicados en línea (de acuerdo al tipo de
pago)")</f>
        <v>1. Definir todos los canales y formas de pago que pueden utilizar los clientes del producto Factoring
2. Desarrollar en la plataforma Dimension todas las combinaciones canal-forma de pago para las diferente
líneas de Factoring (Confirming, LT y DTV)
Este desarrollo cobijaría TODAS las operaciones que actualmente están activas y reciben pagos en esta
plataforma (Dimension)
El estado ideal es que el proceso, que es masivo y de altos valores, no se realice en forma manual, como
hoy, con los riesgos operacionales asociados. Desarrollar las Tx para que el cliente realice el pago en forma
directa a su operación (sin manualidades) y que los pagos queden aplicados en línea (de acuerdo al tipo de
pago)</v>
      </c>
      <c r="F228" s="4" t="str">
        <f ca="1">IFERROR(__xludf.DUMMYFUNCTION("""COMPUTED_VALUE"""),"Project")</f>
        <v>Project</v>
      </c>
      <c r="G228" s="4" t="str">
        <f ca="1">IFERROR(__xludf.DUMMYFUNCTION("""COMPUTED_VALUE"""),"On hold")</f>
        <v>On hold</v>
      </c>
      <c r="H228" s="4" t="str">
        <f ca="1">IFERROR(__xludf.DUMMYFUNCTION("""COMPUTED_VALUE"""),"4Q 2023")</f>
        <v>4Q 2023</v>
      </c>
      <c r="I228" s="131" t="str">
        <f ca="1">IFERROR(__xludf.DUMMYFUNCTION("""COMPUTED_VALUE"""),"nathiahayosara.amado-bbva.com")</f>
        <v>nathiahayosara.amado-bbva.com</v>
      </c>
      <c r="J228" s="131" t="str">
        <f ca="1">IFERROR(__xludf.DUMMYFUNCTION("""COMPUTED_VALUE"""),"lilianavictoria.rivera-bbva.com")</f>
        <v>lilianavictoria.rivera-bbva.com</v>
      </c>
      <c r="K228" s="131" t="str">
        <f ca="1">IFERROR(__xludf.DUMMYFUNCTION("""COMPUTED_VALUE"""),"josealejandro.duenas-bbva.com")</f>
        <v>josealejandro.duenas-bbva.com</v>
      </c>
      <c r="L228" s="130">
        <f ca="1">IFERROR(__xludf.DUMMYFUNCTION("""COMPUTED_VALUE"""),0)</f>
        <v>0</v>
      </c>
      <c r="M228" s="130">
        <f ca="1">IFERROR(__xludf.DUMMYFUNCTION("""COMPUTED_VALUE"""),0)</f>
        <v>0</v>
      </c>
      <c r="N228" s="130">
        <f ca="1">IFERROR(__xludf.DUMMYFUNCTION("""COMPUTED_VALUE"""),0)</f>
        <v>0</v>
      </c>
      <c r="O228" s="4" t="str">
        <f ca="1">IFERROR(__xludf.DUMMYFUNCTION("""COMPUTED_VALUE"""),"Waterfall")</f>
        <v>Waterfall</v>
      </c>
      <c r="P228" s="4" t="str">
        <f ca="1">IFERROR(__xludf.DUMMYFUNCTION("""COMPUTED_VALUE"""),"Tradicional")</f>
        <v>Tradicional</v>
      </c>
      <c r="Q228" s="4"/>
      <c r="R228" s="130" t="str">
        <f ca="1">IFERROR(__xludf.DUMMYFUNCTION("""COMPUTED_VALUE"""),"Enterprises")</f>
        <v>Enterprises</v>
      </c>
      <c r="S228" s="130" t="str">
        <f ca="1">IFERROR(__xludf.DUMMYFUNCTION("""COMPUTED_VALUE"""),"Strategic Review")</f>
        <v>Strategic Review</v>
      </c>
      <c r="T228" s="130" t="str">
        <f ca="1">IFERROR(__xludf.DUMMYFUNCTION("""COMPUTED_VALUE"""),"Otros")</f>
        <v>Otros</v>
      </c>
      <c r="U228" s="130" t="str">
        <f ca="1">IFERROR(__xludf.DUMMYFUNCTION("""COMPUTED_VALUE"""),"No Aplica")</f>
        <v>No Aplica</v>
      </c>
      <c r="V228" s="4" t="str">
        <f ca="1">IFERROR(__xludf.DUMMYFUNCTION("""COMPUTED_VALUE"""),"Factoring")</f>
        <v>Factoring</v>
      </c>
      <c r="W228" s="4">
        <f ca="1">IFERROR(__xludf.DUMMYFUNCTION("""COMPUTED_VALUE"""),2)</f>
        <v>2</v>
      </c>
      <c r="X228" s="4" t="str">
        <f ca="1">IFERROR(__xludf.DUMMYFUNCTION("""COMPUTED_VALUE"""),"08. Enterprise Transactionality")</f>
        <v>08. Enterprise Transactionality</v>
      </c>
      <c r="Y228" s="4" t="str">
        <f ca="1">IFERROR(__xludf.DUMMYFUNCTION("""COMPUTED_VALUE"""),"5.7.1 Keep the Bank Running")</f>
        <v>5.7.1 Keep the Bank Running</v>
      </c>
      <c r="Z228" s="132" t="str">
        <f ca="1">IFERROR(__xludf.DUMMYFUNCTION("""COMPUTED_VALUE"""),"532307")</f>
        <v>532307</v>
      </c>
      <c r="AA228" s="4" t="str">
        <f ca="1">IFERROR(__xludf.DUMMYFUNCTION("""COMPUTED_VALUE"""),"PLATAFORMA DIMENSION - PLAN CORRECTOR DOS PAGOS")</f>
        <v>PLATAFORMA DIMENSION - PLAN CORRECTOR DOS PAGOS</v>
      </c>
      <c r="AB228" s="4" t="str">
        <f ca="1">IFERROR(__xludf.DUMMYFUNCTION("""COMPUTED_VALUE"""),"1. Definir todos los canales y formas de pago que pueden utilizar los clientes del producto Factoring
2. Desarrollar en la plataforma Dimension todas las combinaciones canal-forma de pago para las diferente
líneas de Factoring (Confirming, LT y... 
1. De"&amp;"finir todos los canales y formas de pago que pueden utilizar los clientes del producto Factoring
2. Desarrollar en la plataforma Dimension todas las combinaciones canal-forma de pago para las diferente
líneas de Factoring (Confirming, LT y DTV)")</f>
        <v>1. Definir todos los canales y formas de pago que pueden utilizar los clientes del producto Factoring
2. Desarrollar en la plataforma Dimension todas las combinaciones canal-forma de pago para las diferente
líneas de Factoring (Confirming, LT y... 
1. Definir todos los canales y formas de pago que pueden utilizar los clientes del producto Factoring
2. Desarrollar en la plataforma Dimension todas las combinaciones canal-forma de pago para las diferente
líneas de Factoring (Confirming, LT y DTV)</v>
      </c>
      <c r="AC228" s="4" t="str">
        <f ca="1">IFERROR(__xludf.DUMMYFUNCTION("""COMPUTED_VALUE"""),"2Q 2024")</f>
        <v>2Q 2024</v>
      </c>
      <c r="AD228" s="4"/>
      <c r="AE228" s="4"/>
      <c r="AF228" s="4"/>
      <c r="AG228" s="4"/>
      <c r="AH228" s="4"/>
      <c r="AI228" s="4"/>
      <c r="AJ228" s="4"/>
      <c r="AK228" s="131" t="str">
        <f ca="1">IFERROR(__xludf.DUMMYFUNCTION("""COMPUTED_VALUE"""),"COLWSPREST-2721")</f>
        <v>COLWSPREST-2721</v>
      </c>
      <c r="AL228" s="4" t="str">
        <f ca="1">IFERROR(__xludf.DUMMYFUNCTION("""COMPUTED_VALUE"""),"New")</f>
        <v>New</v>
      </c>
      <c r="AM228" s="4"/>
      <c r="AN228" s="4" t="str">
        <f ca="1">IFERROR(__xludf.DUMMYFUNCTION("""COMPUTED_VALUE"""),"Entregable en backlog")</f>
        <v>Entregable en backlog</v>
      </c>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133">
        <f ca="1">IFERROR(__xludf.DUMMYFUNCTION("""COMPUTED_VALUE"""),0)</f>
        <v>0</v>
      </c>
      <c r="DV228" s="133">
        <f ca="1">IFERROR(__xludf.DUMMYFUNCTION("""COMPUTED_VALUE"""),0)</f>
        <v>0</v>
      </c>
      <c r="DW228" s="133">
        <f ca="1">IFERROR(__xludf.DUMMYFUNCTION("""COMPUTED_VALUE"""),0)</f>
        <v>0</v>
      </c>
      <c r="DX228" s="133">
        <f ca="1">IFERROR(__xludf.DUMMYFUNCTION("""COMPUTED_VALUE"""),2000000000)</f>
        <v>2000000000</v>
      </c>
      <c r="DY228" s="133">
        <f ca="1">IFERROR(__xludf.DUMMYFUNCTION("""COMPUTED_VALUE"""),1000000000)</f>
        <v>1000000000</v>
      </c>
      <c r="DZ228" s="133">
        <f ca="1">IFERROR(__xludf.DUMMYFUNCTION("""COMPUTED_VALUE"""),3000000000)</f>
        <v>3000000000</v>
      </c>
      <c r="EA228" s="4"/>
      <c r="EB228" s="4"/>
    </row>
    <row r="229" spans="1:132" x14ac:dyDescent="0.2">
      <c r="A229" s="4">
        <f ca="1">IFERROR(__xludf.DUMMYFUNCTION("""COMPUTED_VALUE"""),229)</f>
        <v>229</v>
      </c>
      <c r="B229" s="4">
        <f ca="1">IFERROR(__xludf.DUMMYFUNCTION("""COMPUTED_VALUE"""),208)</f>
        <v>208</v>
      </c>
      <c r="C229" s="4" t="str">
        <f ca="1">IFERROR(__xludf.DUMMYFUNCTION("""COMPUTED_VALUE"""),"SDATOOL-39895")</f>
        <v>SDATOOL-39895</v>
      </c>
      <c r="D229" s="4" t="str">
        <f ca="1">IFERROR(__xludf.DUMMYFUNCTION("""COMPUTED_VALUE"""),"MVP SUBPRODUCTOS PARA PRODUCTOS FACTORING Y MARCACIÓN DE PROGRAMAS ESPECIALES (AGROFACTORING - SOSTENIBILIDAD - TRADICIONAL)")</f>
        <v>MVP SUBPRODUCTOS PARA PRODUCTOS FACTORING Y MARCACIÓN DE PROGRAMAS ESPECIALES (AGROFACTORING - SOSTENIBILIDAD - TRADICIONAL)</v>
      </c>
      <c r="E229" s="4" t="str">
        <f ca="1">IFERROR(__xludf.DUMMYFUNCTION("""COMPUTED_VALUE"""),"Variante del producto Factoring (cualquiera de la líneas pero especialmente Confirming) que
difiere de la línea normal en la medida en que las operaciones se fondean con recursos de cartera
sustitutiva de FINAGRO
El proyecto requiere que se puedan fondea"&amp;"r las operaciones con los recursos de cartera sustitutiva
(Subproducto y contabilización) y que se pueda generar la reportería necesaria y requerida por FINAGRO (y
también seguimientos internos)
1. Creación del subproducto o subproductos para utilizarlos"&amp;" con esta línea de negocio
2. Desarrollo de todo el proceso de contabilización utilizando el fondeo de cartera sustitutiva
3. Generación de la reportería requerida por FINAGRO para confirmar la utilización correcta de los fondeos
especiales
4. Generación "&amp;"de la reportería interna requerida para seguimiento y control de gestión
Clientes: Clientes de la cadena de valor de AGRO (productores, transformadores, comercializadores y empresas de apoyo) que requieran financiación por líneas de Factoring")</f>
        <v>Variante del producto Factoring (cualquiera de la líneas pero especialmente Confirming) que
difiere de la línea normal en la medida en que las operaciones se fondean con recursos de cartera
sustitutiva de FINAGRO
El proyecto requiere que se puedan fondear las operaciones con los recursos de cartera sustitutiva
(Subproducto y contabilización) y que se pueda generar la reportería necesaria y requerida por FINAGRO (y
también seguimientos internos)
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
Clientes: Clientes de la cadena de valor de AGRO (productores, transformadores, comercializadores y empresas de apoyo) que requieran financiación por líneas de Factoring</v>
      </c>
      <c r="F229" s="4" t="str">
        <f ca="1">IFERROR(__xludf.DUMMYFUNCTION("""COMPUTED_VALUE"""),"Initiative")</f>
        <v>Initiative</v>
      </c>
      <c r="G229" s="4" t="str">
        <f ca="1">IFERROR(__xludf.DUMMYFUNCTION("""COMPUTED_VALUE"""),"On hold")</f>
        <v>On hold</v>
      </c>
      <c r="H229" s="4" t="str">
        <f ca="1">IFERROR(__xludf.DUMMYFUNCTION("""COMPUTED_VALUE"""),"4Q 2023")</f>
        <v>4Q 2023</v>
      </c>
      <c r="I229" s="131" t="str">
        <f ca="1">IFERROR(__xludf.DUMMYFUNCTION("""COMPUTED_VALUE"""),"nathiahayosara.amado-bbva.com")</f>
        <v>nathiahayosara.amado-bbva.com</v>
      </c>
      <c r="J229" s="131" t="str">
        <f ca="1">IFERROR(__xludf.DUMMYFUNCTION("""COMPUTED_VALUE"""),"clara.mora-bbva.com")</f>
        <v>clara.mora-bbva.com</v>
      </c>
      <c r="K229" s="131" t="str">
        <f ca="1">IFERROR(__xludf.DUMMYFUNCTION("""COMPUTED_VALUE"""),"ivan_dario.ariza-bbva.com")</f>
        <v>ivan_dario.ariza-bbva.com</v>
      </c>
      <c r="L229" s="130">
        <f ca="1">IFERROR(__xludf.DUMMYFUNCTION("""COMPUTED_VALUE"""),0.2)</f>
        <v>0.2</v>
      </c>
      <c r="M229" s="130">
        <f ca="1">IFERROR(__xludf.DUMMYFUNCTION("""COMPUTED_VALUE"""),0)</f>
        <v>0</v>
      </c>
      <c r="N229" s="130">
        <f ca="1">IFERROR(__xludf.DUMMYFUNCTION("""COMPUTED_VALUE"""),0)</f>
        <v>0</v>
      </c>
      <c r="O229" s="4" t="str">
        <f ca="1">IFERROR(__xludf.DUMMYFUNCTION("""COMPUTED_VALUE"""),"Waterfall")</f>
        <v>Waterfall</v>
      </c>
      <c r="P229" s="4" t="str">
        <f ca="1">IFERROR(__xludf.DUMMYFUNCTION("""COMPUTED_VALUE"""),"Tradicional")</f>
        <v>Tradicional</v>
      </c>
      <c r="Q229" s="4"/>
      <c r="R229" s="130" t="str">
        <f ca="1">IFERROR(__xludf.DUMMYFUNCTION("""COMPUTED_VALUE"""),"Enterprises")</f>
        <v>Enterprises</v>
      </c>
      <c r="S229" s="130" t="str">
        <f ca="1">IFERROR(__xludf.DUMMYFUNCTION("""COMPUTED_VALUE"""),"Strategic Review")</f>
        <v>Strategic Review</v>
      </c>
      <c r="T229" s="130" t="str">
        <f ca="1">IFERROR(__xludf.DUMMYFUNCTION("""COMPUTED_VALUE"""),"1. Generación de Ingresos")</f>
        <v>1. Generación de Ingresos</v>
      </c>
      <c r="U229" s="130" t="str">
        <f ca="1">IFERROR(__xludf.DUMMYFUNCTION("""COMPUTED_VALUE"""),"1.5. Otros de Proyectos de Ingresos")</f>
        <v>1.5. Otros de Proyectos de Ingresos</v>
      </c>
      <c r="V229" s="4" t="str">
        <f ca="1">IFERROR(__xludf.DUMMYFUNCTION("""COMPUTED_VALUE"""),"Agro")</f>
        <v>Agro</v>
      </c>
      <c r="W229" s="4">
        <f ca="1">IFERROR(__xludf.DUMMYFUNCTION("""COMPUTED_VALUE"""),2)</f>
        <v>2</v>
      </c>
      <c r="X229" s="4" t="str">
        <f ca="1">IFERROR(__xludf.DUMMYFUNCTION("""COMPUTED_VALUE"""),"08. Enterprise Transactionality")</f>
        <v>08. Enterprise Transactionality</v>
      </c>
      <c r="Y229" s="4" t="str">
        <f ca="1">IFERROR(__xludf.DUMMYFUNCTION("""COMPUTED_VALUE"""),"5.7.1 Keep the Bank Running")</f>
        <v>5.7.1 Keep the Bank Running</v>
      </c>
      <c r="Z229" s="132" t="str">
        <f ca="1">IFERROR(__xludf.DUMMYFUNCTION("""COMPUTED_VALUE"""),"532306")</f>
        <v>532306</v>
      </c>
      <c r="AA229" s="4" t="str">
        <f ca="1">IFERROR(__xludf.DUMMYFUNCTION("""COMPUTED_VALUE"""),"Producto Agrofactoring")</f>
        <v>Producto Agrofactoring</v>
      </c>
      <c r="AB229" s="4" t="str">
        <f ca="1">IFERROR(__xludf.DUMMYFUNCTION("""COMPUTED_VALUE"""),"1. Creación del subproducto o subproductos para utilizarlos con esta línea de negocio
2. Desarrollo de todo el proceso de contabilización utilizando el fondeo de cartera sustitutiva
3. Generación de la reportería requerida por FINAGRO para confirmar la ut"&amp;"ilización correcta de los fondeos
especiales
4. Generación de la reportería interna requerida para seguimiento y control de gestión")</f>
        <v>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v>
      </c>
      <c r="AC229" s="4" t="str">
        <f ca="1">IFERROR(__xludf.DUMMYFUNCTION("""COMPUTED_VALUE"""),"4Q 2023")</f>
        <v>4Q 2023</v>
      </c>
      <c r="AD229" s="128">
        <f ca="1">IFERROR(__xludf.DUMMYFUNCTION("""COMPUTED_VALUE"""),44835)</f>
        <v>44835</v>
      </c>
      <c r="AE229" s="128">
        <f ca="1">IFERROR(__xludf.DUMMYFUNCTION("""COMPUTED_VALUE"""),44921)</f>
        <v>44921</v>
      </c>
      <c r="AF229" s="128" t="str">
        <f ca="1">IFERROR(__xludf.DUMMYFUNCTION("""COMPUTED_VALUE"""),"-")</f>
        <v>-</v>
      </c>
      <c r="AG229" s="128" t="str">
        <f ca="1">IFERROR(__xludf.DUMMYFUNCTION("""COMPUTED_VALUE"""),"-")</f>
        <v>-</v>
      </c>
      <c r="AH229" s="128" t="str">
        <f ca="1">IFERROR(__xludf.DUMMYFUNCTION("""COMPUTED_VALUE"""),"-")</f>
        <v>-</v>
      </c>
      <c r="AI229" s="128" t="str">
        <f ca="1">IFERROR(__xludf.DUMMYFUNCTION("""COMPUTED_VALUE"""),"-")</f>
        <v>-</v>
      </c>
      <c r="AJ229" s="128" t="str">
        <f ca="1">IFERROR(__xludf.DUMMYFUNCTION("""COMPUTED_VALUE"""),"-")</f>
        <v>-</v>
      </c>
      <c r="AK229" s="131" t="str">
        <f ca="1">IFERROR(__xludf.DUMMYFUNCTION("""COMPUTED_VALUE"""),"COLWSPREST-2722")</f>
        <v>COLWSPREST-2722</v>
      </c>
      <c r="AL229" s="4" t="str">
        <f ca="1">IFERROR(__xludf.DUMMYFUNCTION("""COMPUTED_VALUE"""),"New")</f>
        <v>New</v>
      </c>
      <c r="AM229" s="4" t="str">
        <f ca="1">IFERROR(__xludf.DUMMYFUNCTION("""COMPUTED_VALUE"""),"Estimación Alto Nivel CS SolDev")</f>
        <v>Estimación Alto Nivel CS SolDev</v>
      </c>
      <c r="AN229" s="4" t="str">
        <f ca="1">IFERROR(__xludf.DUMMYFUNCTION("""COMPUTED_VALUE"""),"Entregable en backlog")</f>
        <v>Entregable en backlog</v>
      </c>
      <c r="AO229" s="4"/>
      <c r="AP229" s="4"/>
      <c r="AQ229" s="4"/>
      <c r="AR229" s="4" t="str">
        <f ca="1">IFERROR(__xludf.DUMMYFUNCTION("""COMPUTED_VALUE"""),"SDA aprobada en PPP Q1 2023")</f>
        <v>SDA aprobada en PPP Q1 2023</v>
      </c>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133">
        <f ca="1">IFERROR(__xludf.DUMMYFUNCTION("""COMPUTED_VALUE"""),0)</f>
        <v>0</v>
      </c>
      <c r="DV229" s="133">
        <f ca="1">IFERROR(__xludf.DUMMYFUNCTION("""COMPUTED_VALUE"""),0)</f>
        <v>0</v>
      </c>
      <c r="DW229" s="133">
        <f ca="1">IFERROR(__xludf.DUMMYFUNCTION("""COMPUTED_VALUE"""),0)</f>
        <v>0</v>
      </c>
      <c r="DX229" s="133">
        <f ca="1">IFERROR(__xludf.DUMMYFUNCTION("""COMPUTED_VALUE"""),0)</f>
        <v>0</v>
      </c>
      <c r="DY229" s="133">
        <f ca="1">IFERROR(__xludf.DUMMYFUNCTION("""COMPUTED_VALUE"""),0)</f>
        <v>0</v>
      </c>
      <c r="DZ229" s="133">
        <f ca="1">IFERROR(__xludf.DUMMYFUNCTION("""COMPUTED_VALUE"""),0)</f>
        <v>0</v>
      </c>
      <c r="EA229" s="4"/>
      <c r="EB229" s="4"/>
    </row>
    <row r="230" spans="1:132" x14ac:dyDescent="0.2">
      <c r="A230" s="4">
        <f ca="1">IFERROR(__xludf.DUMMYFUNCTION("""COMPUTED_VALUE"""),230)</f>
        <v>230</v>
      </c>
      <c r="B230" s="4">
        <f ca="1">IFERROR(__xludf.DUMMYFUNCTION("""COMPUTED_VALUE"""),209)</f>
        <v>209</v>
      </c>
      <c r="C230" s="4" t="str">
        <f ca="1">IFERROR(__xludf.DUMMYFUNCTION("""COMPUTED_VALUE"""),"SDATOOL-39893")</f>
        <v>SDATOOL-39893</v>
      </c>
      <c r="D230" s="4" t="str">
        <f ca="1">IFERROR(__xludf.DUMMYFUNCTION("""COMPUTED_VALUE"""),"PLATAFORMA DIMENSION - PLAN CORRECTOR 1 - DESEMBOLSOS")</f>
        <v>PLATAFORMA DIMENSION - PLAN CORRECTOR 1 - DESEMBOLSOS</v>
      </c>
      <c r="E230" s="4" t="str">
        <f ca="1">IFERROR(__xludf.DUMMYFUNCTION("""COMPUTED_VALUE"""),"Eliminación de manualidades en el proceso de DESEMBOLSO de las líneas de Factoring que se gestionan en la plataforma Dimension.
1. Para cada línea del producto (Confirming, LT, DTV), identificar los diferentes tipo de desembolso (cuenta
BBVA, cuenta otro"&amp;"s bancos, pago de obligaciones, etc.)
2. Para cada línea y cada tipo de desembolso desarrollar la transacción que permita hacerlo SIN
manualidades
Este desarrollo cobijaría TODAS las operaciones que actualmente se desembolsan en esta plataforma
(Dimensio"&amp;"n)")</f>
        <v>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
Este desarrollo cobijaría TODAS las operaciones que actualmente se desembolsan en esta plataforma
(Dimension)</v>
      </c>
      <c r="F230" s="4" t="str">
        <f ca="1">IFERROR(__xludf.DUMMYFUNCTION("""COMPUTED_VALUE"""),"Project")</f>
        <v>Project</v>
      </c>
      <c r="G230" s="4" t="str">
        <f ca="1">IFERROR(__xludf.DUMMYFUNCTION("""COMPUTED_VALUE"""),"On hold")</f>
        <v>On hold</v>
      </c>
      <c r="H230" s="4" t="str">
        <f ca="1">IFERROR(__xludf.DUMMYFUNCTION("""COMPUTED_VALUE"""),"4Q 2023")</f>
        <v>4Q 2023</v>
      </c>
      <c r="I230" s="131" t="str">
        <f ca="1">IFERROR(__xludf.DUMMYFUNCTION("""COMPUTED_VALUE"""),"nathiahayosara.amado-bbva.com")</f>
        <v>nathiahayosara.amado-bbva.com</v>
      </c>
      <c r="J230" s="131" t="str">
        <f ca="1">IFERROR(__xludf.DUMMYFUNCTION("""COMPUTED_VALUE"""),"clara.mora-bbva.com")</f>
        <v>clara.mora-bbva.com</v>
      </c>
      <c r="K230" s="131" t="str">
        <f ca="1">IFERROR(__xludf.DUMMYFUNCTION("""COMPUTED_VALUE"""),"josealejandro.duenas-bbva.com")</f>
        <v>josealejandro.duenas-bbva.com</v>
      </c>
      <c r="L230" s="130">
        <f ca="1">IFERROR(__xludf.DUMMYFUNCTION("""COMPUTED_VALUE"""),0)</f>
        <v>0</v>
      </c>
      <c r="M230" s="130">
        <f ca="1">IFERROR(__xludf.DUMMYFUNCTION("""COMPUTED_VALUE"""),0)</f>
        <v>0</v>
      </c>
      <c r="N230" s="130">
        <f ca="1">IFERROR(__xludf.DUMMYFUNCTION("""COMPUTED_VALUE"""),0)</f>
        <v>0</v>
      </c>
      <c r="O230" s="4" t="str">
        <f ca="1">IFERROR(__xludf.DUMMYFUNCTION("""COMPUTED_VALUE"""),"Waterfall")</f>
        <v>Waterfall</v>
      </c>
      <c r="P230" s="4" t="str">
        <f ca="1">IFERROR(__xludf.DUMMYFUNCTION("""COMPUTED_VALUE"""),"Tradicional")</f>
        <v>Tradicional</v>
      </c>
      <c r="Q230" s="4"/>
      <c r="R230" s="130" t="str">
        <f ca="1">IFERROR(__xludf.DUMMYFUNCTION("""COMPUTED_VALUE"""),"Enterprises")</f>
        <v>Enterprises</v>
      </c>
      <c r="S230" s="130" t="str">
        <f ca="1">IFERROR(__xludf.DUMMYFUNCTION("""COMPUTED_VALUE"""),"Strategic Review")</f>
        <v>Strategic Review</v>
      </c>
      <c r="T230" s="130" t="str">
        <f ca="1">IFERROR(__xludf.DUMMYFUNCTION("""COMPUTED_VALUE"""),"Otros")</f>
        <v>Otros</v>
      </c>
      <c r="U230" s="130" t="str">
        <f ca="1">IFERROR(__xludf.DUMMYFUNCTION("""COMPUTED_VALUE"""),"No Aplica")</f>
        <v>No Aplica</v>
      </c>
      <c r="V230" s="4" t="str">
        <f ca="1">IFERROR(__xludf.DUMMYFUNCTION("""COMPUTED_VALUE"""),"Factoring")</f>
        <v>Factoring</v>
      </c>
      <c r="W230" s="4">
        <f ca="1">IFERROR(__xludf.DUMMYFUNCTION("""COMPUTED_VALUE"""),2)</f>
        <v>2</v>
      </c>
      <c r="X230" s="4" t="str">
        <f ca="1">IFERROR(__xludf.DUMMYFUNCTION("""COMPUTED_VALUE"""),"08. Enterprise Transactionality")</f>
        <v>08. Enterprise Transactionality</v>
      </c>
      <c r="Y230" s="4" t="str">
        <f ca="1">IFERROR(__xludf.DUMMYFUNCTION("""COMPUTED_VALUE"""),"5.7.1 Keep the Bank Running")</f>
        <v>5.7.1 Keep the Bank Running</v>
      </c>
      <c r="Z230" s="132" t="str">
        <f ca="1">IFERROR(__xludf.DUMMYFUNCTION("""COMPUTED_VALUE"""),"532305")</f>
        <v>532305</v>
      </c>
      <c r="AA230" s="4" t="str">
        <f ca="1">IFERROR(__xludf.DUMMYFUNCTION("""COMPUTED_VALUE"""),"PLATAFORMA DIMENSION - PLAN CORRECTOR UNO DESEMBOLSOS")</f>
        <v>PLATAFORMA DIMENSION - PLAN CORRECTOR UNO DESEMBOLSOS</v>
      </c>
      <c r="AB230" s="4" t="str">
        <f ca="1">IFERROR(__xludf.DUMMYFUNCTION("""COMPUTED_VALUE"""),"Eliminación de manualidades en el proceso de DESEMBOLSO de las líneas de Factoring que se gestionan en la plataforma Dimension.
1. Para cada línea del producto (Confirming, LT, DTV), identificar los diferentes tipo de desembolso (cuenta
BBVA, cuenta otro"&amp;"s bancos, pago de obligaciones, etc.)
2. Para cada línea y cada tipo de desembolso desarrollar la transacción que permita hacerlo SIN
manualidades")</f>
        <v>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v>
      </c>
      <c r="AC230" s="4" t="str">
        <f ca="1">IFERROR(__xludf.DUMMYFUNCTION("""COMPUTED_VALUE"""),"4Q 2023")</f>
        <v>4Q 2023</v>
      </c>
      <c r="AD230" s="4"/>
      <c r="AE230" s="4"/>
      <c r="AF230" s="4"/>
      <c r="AG230" s="4"/>
      <c r="AH230" s="4"/>
      <c r="AI230" s="4"/>
      <c r="AJ230" s="4"/>
      <c r="AK230" s="131" t="str">
        <f ca="1">IFERROR(__xludf.DUMMYFUNCTION("""COMPUTED_VALUE"""),"COLWSPREST-2724")</f>
        <v>COLWSPREST-2724</v>
      </c>
      <c r="AL230" s="4" t="str">
        <f ca="1">IFERROR(__xludf.DUMMYFUNCTION("""COMPUTED_VALUE"""),"New")</f>
        <v>New</v>
      </c>
      <c r="AM230" s="4"/>
      <c r="AN230" s="4" t="str">
        <f ca="1">IFERROR(__xludf.DUMMYFUNCTION("""COMPUTED_VALUE"""),"Entregable en backlog")</f>
        <v>Entregable en backlog</v>
      </c>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133">
        <f ca="1">IFERROR(__xludf.DUMMYFUNCTION("""COMPUTED_VALUE"""),0)</f>
        <v>0</v>
      </c>
      <c r="DV230" s="133">
        <f ca="1">IFERROR(__xludf.DUMMYFUNCTION("""COMPUTED_VALUE"""),0)</f>
        <v>0</v>
      </c>
      <c r="DW230" s="133">
        <f ca="1">IFERROR(__xludf.DUMMYFUNCTION("""COMPUTED_VALUE"""),0)</f>
        <v>0</v>
      </c>
      <c r="DX230" s="133">
        <f ca="1">IFERROR(__xludf.DUMMYFUNCTION("""COMPUTED_VALUE"""),814000000)</f>
        <v>814000000</v>
      </c>
      <c r="DY230" s="133">
        <f ca="1">IFERROR(__xludf.DUMMYFUNCTION("""COMPUTED_VALUE"""),407000000)</f>
        <v>407000000</v>
      </c>
      <c r="DZ230" s="133">
        <f ca="1">IFERROR(__xludf.DUMMYFUNCTION("""COMPUTED_VALUE"""),1221000000)</f>
        <v>1221000000</v>
      </c>
      <c r="EA230" s="4"/>
      <c r="EB230" s="4"/>
    </row>
    <row r="231" spans="1:132" x14ac:dyDescent="0.2">
      <c r="A231" s="4">
        <f ca="1">IFERROR(__xludf.DUMMYFUNCTION("""COMPUTED_VALUE"""),231)</f>
        <v>231</v>
      </c>
      <c r="B231" s="4">
        <f ca="1">IFERROR(__xludf.DUMMYFUNCTION("""COMPUTED_VALUE"""),210)</f>
        <v>210</v>
      </c>
      <c r="C231" s="4" t="str">
        <f ca="1">IFERROR(__xludf.DUMMYFUNCTION("""COMPUTED_VALUE"""),"SDATOOL-36547")</f>
        <v>SDATOOL-36547</v>
      </c>
      <c r="D231" s="4" t="str">
        <f ca="1">IFERROR(__xludf.DUMMYFUNCTION("""COMPUTED_VALUE"""),"PLAN MAYOR -PLAN MENOR. Plan ascenso Open Market")</f>
        <v>PLAN MAYOR -PLAN MENOR. Plan ascenso Open Market</v>
      </c>
      <c r="E231"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1" s="4" t="str">
        <f ca="1">IFERROR(__xludf.DUMMYFUNCTION("""COMPUTED_VALUE"""),"Project")</f>
        <v>Project</v>
      </c>
      <c r="G231" s="4" t="str">
        <f ca="1">IFERROR(__xludf.DUMMYFUNCTION("""COMPUTED_VALUE"""),"Stock")</f>
        <v>Stock</v>
      </c>
      <c r="H231" s="4" t="str">
        <f ca="1">IFERROR(__xludf.DUMMYFUNCTION("""COMPUTED_VALUE"""),"4Q 2023")</f>
        <v>4Q 2023</v>
      </c>
      <c r="I231" s="131" t="str">
        <f ca="1">IFERROR(__xludf.DUMMYFUNCTION("""COMPUTED_VALUE"""),"nathiahayosara.amado-bbva.com")</f>
        <v>nathiahayosara.amado-bbva.com</v>
      </c>
      <c r="J231" s="131" t="str">
        <f ca="1">IFERROR(__xludf.DUMMYFUNCTION("""COMPUTED_VALUE"""),"karenalexandra.martinez-bbva.com")</f>
        <v>karenalexandra.martinez-bbva.com</v>
      </c>
      <c r="K231" s="131" t="str">
        <f ca="1">IFERROR(__xludf.DUMMYFUNCTION("""COMPUTED_VALUE"""),"ivan_dario.ariza-bbva.com")</f>
        <v>ivan_dario.ariza-bbva.com</v>
      </c>
      <c r="L231" s="130">
        <f ca="1">IFERROR(__xludf.DUMMYFUNCTION("""COMPUTED_VALUE"""),0.5)</f>
        <v>0.5</v>
      </c>
      <c r="M231" s="130">
        <f ca="1">IFERROR(__xludf.DUMMYFUNCTION("""COMPUTED_VALUE"""),2.5)</f>
        <v>2.5</v>
      </c>
      <c r="N231" s="130">
        <f ca="1">IFERROR(__xludf.DUMMYFUNCTION("""COMPUTED_VALUE"""),7.05)</f>
        <v>7.05</v>
      </c>
      <c r="O231" s="4" t="str">
        <f ca="1">IFERROR(__xludf.DUMMYFUNCTION("""COMPUTED_VALUE"""),"Waterfall")</f>
        <v>Waterfall</v>
      </c>
      <c r="P231" s="4" t="str">
        <f ca="1">IFERROR(__xludf.DUMMYFUNCTION("""COMPUTED_VALUE"""),"Tradicional")</f>
        <v>Tradicional</v>
      </c>
      <c r="Q231" s="4"/>
      <c r="R231" s="130" t="str">
        <f ca="1">IFERROR(__xludf.DUMMYFUNCTION("""COMPUTED_VALUE"""),"Enterprises")</f>
        <v>Enterprises</v>
      </c>
      <c r="S231" s="130" t="str">
        <f ca="1">IFERROR(__xludf.DUMMYFUNCTION("""COMPUTED_VALUE"""),"Plan Ascenso")</f>
        <v>Plan Ascenso</v>
      </c>
      <c r="T231" s="130" t="str">
        <f ca="1">IFERROR(__xludf.DUMMYFUNCTION("""COMPUTED_VALUE"""),"1. Generación de Ingresos")</f>
        <v>1. Generación de Ingresos</v>
      </c>
      <c r="U231" s="130" t="str">
        <f ca="1">IFERROR(__xludf.DUMMYFUNCTION("""COMPUTED_VALUE"""),"1.5. Otros de Proyectos de Ingresos")</f>
        <v>1.5. Otros de Proyectos de Ingresos</v>
      </c>
      <c r="V231" s="4" t="str">
        <f ca="1">IFERROR(__xludf.DUMMYFUNCTION("""COMPUTED_VALUE"""),"Vehículo")</f>
        <v>Vehículo</v>
      </c>
      <c r="W231" s="4">
        <f ca="1">IFERROR(__xludf.DUMMYFUNCTION("""COMPUTED_VALUE"""),1)</f>
        <v>1</v>
      </c>
      <c r="X231" s="4" t="str">
        <f ca="1">IFERROR(__xludf.DUMMYFUNCTION("""COMPUTED_VALUE"""),"01. Open Market &amp; Partnerships")</f>
        <v>01. Open Market &amp; Partnerships</v>
      </c>
      <c r="Y231" s="4" t="str">
        <f ca="1">IFERROR(__xludf.DUMMYFUNCTION("""COMPUTED_VALUE"""),"5.6.6 Non Global Project")</f>
        <v>5.6.6 Non Global Project</v>
      </c>
      <c r="Z231" s="132" t="str">
        <f ca="1">IFERROR(__xludf.DUMMYFUNCTION("""COMPUTED_VALUE"""),"427252")</f>
        <v>427252</v>
      </c>
      <c r="AA231" s="4" t="str">
        <f ca="1">IFERROR(__xludf.DUMMYFUNCTION("""COMPUTED_VALUE"""),"Clonación Línea Triangular y asignación códigos a concesionarios y vitrinas")</f>
        <v>Clonación Línea Triangular y asignación códigos a concesionarios y vitrinas</v>
      </c>
      <c r="AB231" s="4" t="str">
        <f ca="1">IFERROR(__xludf.DUMMYFUNCTION("""COMPUTED_VALUE"""),"Se clona el producto para homologar Proveedor a Marca y Pagador a Concesionario.
Se desarrolla funcionalidad para carga masiva de códigos de concesionarios y vitrinas por Marca o Concesionario. 
Se dellarrolla funcionalidad para asignar código de forma ma"&amp;"nual a Concesionario y Vitrinas.")</f>
        <v>Se clona el producto para homologar Proveedor a Marca y Pagador a Concesionario.
Se desarrolla funcionalidad para carga masiva de códigos de concesionarios y vitrinas por Marca o Concesionario. 
Se dellarrolla funcionalidad para asignar código de forma manual a Concesionario y Vitrinas.</v>
      </c>
      <c r="AC231" s="4" t="str">
        <f ca="1">IFERROR(__xludf.DUMMYFUNCTION("""COMPUTED_VALUE"""),"1Q 2022")</f>
        <v>1Q 2022</v>
      </c>
      <c r="AD231" s="4"/>
      <c r="AE231" s="4"/>
      <c r="AF231" s="4"/>
      <c r="AG231" s="4"/>
      <c r="AH231" s="4"/>
      <c r="AI231" s="4"/>
      <c r="AJ231" s="4"/>
      <c r="AK231" s="131" t="str">
        <f ca="1">IFERROR(__xludf.DUMMYFUNCTION("""COMPUTED_VALUE"""),"COLWSPREST-345")</f>
        <v>COLWSPREST-345</v>
      </c>
      <c r="AL231" s="4" t="str">
        <f ca="1">IFERROR(__xludf.DUMMYFUNCTION("""COMPUTED_VALUE"""),"Deployed")</f>
        <v>Deployed</v>
      </c>
      <c r="AM231" s="4"/>
      <c r="AN231" s="4" t="str">
        <f ca="1">IFERROR(__xludf.DUMMYFUNCTION("""COMPUTED_VALUE"""),"Finalizado")</f>
        <v>Finalizado</v>
      </c>
      <c r="AO231" s="4" t="str">
        <f ca="1">IFERROR(__xludf.DUMMYFUNCTION("""COMPUTED_VALUE"""),"Transversales")</f>
        <v>Transversales</v>
      </c>
      <c r="AP231" s="4"/>
      <c r="AQ231" s="4"/>
      <c r="AR231" s="4" t="str">
        <f ca="1">IFERROR(__xludf.DUMMYFUNCTION("""COMPUTED_VALUE"""),"SDA aprobada en PPP Q1 2023")</f>
        <v>SDA aprobada en PPP Q1 2023</v>
      </c>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133">
        <f ca="1">IFERROR(__xludf.DUMMYFUNCTION("""COMPUTED_VALUE"""),0)</f>
        <v>0</v>
      </c>
      <c r="DV231" s="133">
        <f ca="1">IFERROR(__xludf.DUMMYFUNCTION("""COMPUTED_VALUE"""),206149926)</f>
        <v>206149926</v>
      </c>
      <c r="DW231" s="133">
        <f ca="1">IFERROR(__xludf.DUMMYFUNCTION("""COMPUTED_VALUE"""),1985643551)</f>
        <v>1985643551</v>
      </c>
      <c r="DX231" s="133">
        <f ca="1">IFERROR(__xludf.DUMMYFUNCTION("""COMPUTED_VALUE"""),1539635583)</f>
        <v>1539635583</v>
      </c>
      <c r="DY231" s="133">
        <f ca="1">IFERROR(__xludf.DUMMYFUNCTION("""COMPUTED_VALUE"""),0)</f>
        <v>0</v>
      </c>
      <c r="DZ231" s="133">
        <f ca="1">IFERROR(__xludf.DUMMYFUNCTION("""COMPUTED_VALUE"""),3731429060)</f>
        <v>3731429060</v>
      </c>
      <c r="EA231" s="4"/>
      <c r="EB231" s="4"/>
    </row>
    <row r="232" spans="1:132" x14ac:dyDescent="0.2">
      <c r="A232" s="4">
        <f ca="1">IFERROR(__xludf.DUMMYFUNCTION("""COMPUTED_VALUE"""),232)</f>
        <v>232</v>
      </c>
      <c r="B232" s="4">
        <f ca="1">IFERROR(__xludf.DUMMYFUNCTION("""COMPUTED_VALUE"""),211)</f>
        <v>211</v>
      </c>
      <c r="C232" s="4" t="str">
        <f ca="1">IFERROR(__xludf.DUMMYFUNCTION("""COMPUTED_VALUE"""),"SDATOOL-36547")</f>
        <v>SDATOOL-36547</v>
      </c>
      <c r="D232" s="4" t="str">
        <f ca="1">IFERROR(__xludf.DUMMYFUNCTION("""COMPUTED_VALUE"""),"PLAN MAYOR -PLAN MENOR. Plan ascenso Open Market")</f>
        <v>PLAN MAYOR -PLAN MENOR. Plan ascenso Open Market</v>
      </c>
      <c r="E232"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2" s="4" t="str">
        <f ca="1">IFERROR(__xludf.DUMMYFUNCTION("""COMPUTED_VALUE"""),"Project")</f>
        <v>Project</v>
      </c>
      <c r="G232" s="4" t="str">
        <f ca="1">IFERROR(__xludf.DUMMYFUNCTION("""COMPUTED_VALUE"""),"Stock")</f>
        <v>Stock</v>
      </c>
      <c r="H232" s="4" t="str">
        <f ca="1">IFERROR(__xludf.DUMMYFUNCTION("""COMPUTED_VALUE"""),"4Q 2023")</f>
        <v>4Q 2023</v>
      </c>
      <c r="I232" s="131" t="str">
        <f ca="1">IFERROR(__xludf.DUMMYFUNCTION("""COMPUTED_VALUE"""),"nathiahayosara.amado-bbva.com")</f>
        <v>nathiahayosara.amado-bbva.com</v>
      </c>
      <c r="J232" s="131" t="str">
        <f ca="1">IFERROR(__xludf.DUMMYFUNCTION("""COMPUTED_VALUE"""),"karenalexandra.martinez-bbva.com")</f>
        <v>karenalexandra.martinez-bbva.com</v>
      </c>
      <c r="K232" s="131" t="str">
        <f ca="1">IFERROR(__xludf.DUMMYFUNCTION("""COMPUTED_VALUE"""),"ivan_dario.ariza-bbva.com")</f>
        <v>ivan_dario.ariza-bbva.com</v>
      </c>
      <c r="L232" s="4"/>
      <c r="M232" s="4"/>
      <c r="N232" s="4"/>
      <c r="O232" s="4" t="str">
        <f ca="1">IFERROR(__xludf.DUMMYFUNCTION("""COMPUTED_VALUE"""),"Waterfall")</f>
        <v>Waterfall</v>
      </c>
      <c r="P232" s="4" t="str">
        <f ca="1">IFERROR(__xludf.DUMMYFUNCTION("""COMPUTED_VALUE"""),"Tradicional")</f>
        <v>Tradicional</v>
      </c>
      <c r="Q232" s="4"/>
      <c r="R232" s="130" t="str">
        <f ca="1">IFERROR(__xludf.DUMMYFUNCTION("""COMPUTED_VALUE"""),"Enterprises")</f>
        <v>Enterprises</v>
      </c>
      <c r="S232" s="130" t="str">
        <f ca="1">IFERROR(__xludf.DUMMYFUNCTION("""COMPUTED_VALUE"""),"Plan Ascenso")</f>
        <v>Plan Ascenso</v>
      </c>
      <c r="T232" s="130" t="str">
        <f ca="1">IFERROR(__xludf.DUMMYFUNCTION("""COMPUTED_VALUE"""),"1. Generación de Ingresos")</f>
        <v>1. Generación de Ingresos</v>
      </c>
      <c r="U232" s="130" t="str">
        <f ca="1">IFERROR(__xludf.DUMMYFUNCTION("""COMPUTED_VALUE"""),"1.5. Otros de Proyectos de Ingresos")</f>
        <v>1.5. Otros de Proyectos de Ingresos</v>
      </c>
      <c r="V232" s="4" t="str">
        <f ca="1">IFERROR(__xludf.DUMMYFUNCTION("""COMPUTED_VALUE"""),"Vehículo")</f>
        <v>Vehículo</v>
      </c>
      <c r="W232" s="4">
        <f ca="1">IFERROR(__xludf.DUMMYFUNCTION("""COMPUTED_VALUE"""),1)</f>
        <v>1</v>
      </c>
      <c r="X232" s="4" t="str">
        <f ca="1">IFERROR(__xludf.DUMMYFUNCTION("""COMPUTED_VALUE"""),"01. Open Market &amp; Partnerships")</f>
        <v>01. Open Market &amp; Partnerships</v>
      </c>
      <c r="Y232" s="4" t="str">
        <f ca="1">IFERROR(__xludf.DUMMYFUNCTION("""COMPUTED_VALUE"""),"5.6.6 Non Global Project")</f>
        <v>5.6.6 Non Global Project</v>
      </c>
      <c r="Z232" s="132" t="str">
        <f ca="1">IFERROR(__xludf.DUMMYFUNCTION("""COMPUTED_VALUE"""),"427253")</f>
        <v>427253</v>
      </c>
      <c r="AA232" s="4" t="str">
        <f ca="1">IFERROR(__xludf.DUMMYFUNCTION("""COMPUTED_VALUE"""),"Dividir Línea de Financiamiento del Concesionario por Destino")</f>
        <v>Dividir Línea de Financiamiento del Concesionario por Destino</v>
      </c>
      <c r="AB232" s="4" t="str">
        <f ca="1">IFERROR(__xludf.DUMMYFUNCTION("""COMPUTED_VALUE"""),"Asignar destino a la línea de financiamiento del concesionario y a la marca según instrucción del Concesionario")</f>
        <v>Asignar destino a la línea de financiamiento del concesionario y a la marca según instrucción del Concesionario</v>
      </c>
      <c r="AC232" s="4" t="str">
        <f ca="1">IFERROR(__xludf.DUMMYFUNCTION("""COMPUTED_VALUE"""),"1Q 2022")</f>
        <v>1Q 2022</v>
      </c>
      <c r="AD232" s="4"/>
      <c r="AE232" s="4"/>
      <c r="AF232" s="4"/>
      <c r="AG232" s="4"/>
      <c r="AH232" s="4"/>
      <c r="AI232" s="4"/>
      <c r="AJ232" s="4"/>
      <c r="AK232" s="131" t="str">
        <f ca="1">IFERROR(__xludf.DUMMYFUNCTION("""COMPUTED_VALUE"""),"COLWSPREST-347")</f>
        <v>COLWSPREST-347</v>
      </c>
      <c r="AL232" s="4" t="str">
        <f ca="1">IFERROR(__xludf.DUMMYFUNCTION("""COMPUTED_VALUE"""),"Deployed")</f>
        <v>Deployed</v>
      </c>
      <c r="AM232" s="4"/>
      <c r="AN232" s="4" t="str">
        <f ca="1">IFERROR(__xludf.DUMMYFUNCTION("""COMPUTED_VALUE"""),"Finalizado")</f>
        <v>Finalizado</v>
      </c>
      <c r="AO232" s="4" t="str">
        <f ca="1">IFERROR(__xludf.DUMMYFUNCTION("""COMPUTED_VALUE"""),"Transversales")</f>
        <v>Transversales</v>
      </c>
      <c r="AP232" s="4"/>
      <c r="AQ232" s="4"/>
      <c r="AR232" s="4" t="str">
        <f ca="1">IFERROR(__xludf.DUMMYFUNCTION("""COMPUTED_VALUE"""),"SDA aprobada en PPP Q1 2023")</f>
        <v>SDA aprobada en PPP Q1 2023</v>
      </c>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row>
    <row r="233" spans="1:132" x14ac:dyDescent="0.2">
      <c r="A233" s="4">
        <f ca="1">IFERROR(__xludf.DUMMYFUNCTION("""COMPUTED_VALUE"""),233)</f>
        <v>233</v>
      </c>
      <c r="B233" s="4">
        <f ca="1">IFERROR(__xludf.DUMMYFUNCTION("""COMPUTED_VALUE"""),212)</f>
        <v>212</v>
      </c>
      <c r="C233" s="4" t="str">
        <f ca="1">IFERROR(__xludf.DUMMYFUNCTION("""COMPUTED_VALUE"""),"SDATOOL-36547")</f>
        <v>SDATOOL-36547</v>
      </c>
      <c r="D233" s="4" t="str">
        <f ca="1">IFERROR(__xludf.DUMMYFUNCTION("""COMPUTED_VALUE"""),"PLAN MAYOR -PLAN MENOR. Plan ascenso Open Market")</f>
        <v>PLAN MAYOR -PLAN MENOR. Plan ascenso Open Market</v>
      </c>
      <c r="E233"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3" s="4" t="str">
        <f ca="1">IFERROR(__xludf.DUMMYFUNCTION("""COMPUTED_VALUE"""),"Project")</f>
        <v>Project</v>
      </c>
      <c r="G233" s="4" t="str">
        <f ca="1">IFERROR(__xludf.DUMMYFUNCTION("""COMPUTED_VALUE"""),"Stock")</f>
        <v>Stock</v>
      </c>
      <c r="H233" s="4" t="str">
        <f ca="1">IFERROR(__xludf.DUMMYFUNCTION("""COMPUTED_VALUE"""),"4Q 2023")</f>
        <v>4Q 2023</v>
      </c>
      <c r="I233" s="131" t="str">
        <f ca="1">IFERROR(__xludf.DUMMYFUNCTION("""COMPUTED_VALUE"""),"nathiahayosara.amado-bbva.com")</f>
        <v>nathiahayosara.amado-bbva.com</v>
      </c>
      <c r="J233" s="131" t="str">
        <f ca="1">IFERROR(__xludf.DUMMYFUNCTION("""COMPUTED_VALUE"""),"karenalexandra.martinez-bbva.com")</f>
        <v>karenalexandra.martinez-bbva.com</v>
      </c>
      <c r="K233" s="131" t="str">
        <f ca="1">IFERROR(__xludf.DUMMYFUNCTION("""COMPUTED_VALUE"""),"ivan_dario.ariza-bbva.com")</f>
        <v>ivan_dario.ariza-bbva.com</v>
      </c>
      <c r="L233" s="4"/>
      <c r="M233" s="4"/>
      <c r="N233" s="4"/>
      <c r="O233" s="4" t="str">
        <f ca="1">IFERROR(__xludf.DUMMYFUNCTION("""COMPUTED_VALUE"""),"Waterfall")</f>
        <v>Waterfall</v>
      </c>
      <c r="P233" s="4" t="str">
        <f ca="1">IFERROR(__xludf.DUMMYFUNCTION("""COMPUTED_VALUE"""),"Tradicional")</f>
        <v>Tradicional</v>
      </c>
      <c r="Q233" s="4"/>
      <c r="R233" s="130" t="str">
        <f ca="1">IFERROR(__xludf.DUMMYFUNCTION("""COMPUTED_VALUE"""),"Enterprises")</f>
        <v>Enterprises</v>
      </c>
      <c r="S233" s="130" t="str">
        <f ca="1">IFERROR(__xludf.DUMMYFUNCTION("""COMPUTED_VALUE"""),"Plan Ascenso")</f>
        <v>Plan Ascenso</v>
      </c>
      <c r="T233" s="130" t="str">
        <f ca="1">IFERROR(__xludf.DUMMYFUNCTION("""COMPUTED_VALUE"""),"1. Generación de Ingresos")</f>
        <v>1. Generación de Ingresos</v>
      </c>
      <c r="U233" s="130" t="str">
        <f ca="1">IFERROR(__xludf.DUMMYFUNCTION("""COMPUTED_VALUE"""),"1.5. Otros de Proyectos de Ingresos")</f>
        <v>1.5. Otros de Proyectos de Ingresos</v>
      </c>
      <c r="V233" s="4" t="str">
        <f ca="1">IFERROR(__xludf.DUMMYFUNCTION("""COMPUTED_VALUE"""),"Vehículo")</f>
        <v>Vehículo</v>
      </c>
      <c r="W233" s="4">
        <f ca="1">IFERROR(__xludf.DUMMYFUNCTION("""COMPUTED_VALUE"""),1)</f>
        <v>1</v>
      </c>
      <c r="X233" s="4" t="str">
        <f ca="1">IFERROR(__xludf.DUMMYFUNCTION("""COMPUTED_VALUE"""),"01. Open Market &amp; Partnerships")</f>
        <v>01. Open Market &amp; Partnerships</v>
      </c>
      <c r="Y233" s="4" t="str">
        <f ca="1">IFERROR(__xludf.DUMMYFUNCTION("""COMPUTED_VALUE"""),"5.6.6 Non Global Project")</f>
        <v>5.6.6 Non Global Project</v>
      </c>
      <c r="Z233" s="132" t="str">
        <f ca="1">IFERROR(__xludf.DUMMYFUNCTION("""COMPUTED_VALUE"""),"427256")</f>
        <v>427256</v>
      </c>
      <c r="AA233" s="4" t="str">
        <f ca="1">IFERROR(__xludf.DUMMYFUNCTION("""COMPUTED_VALUE"""),"Desarrollos Web-Marca y Concesionario- Plan Mayor")</f>
        <v>Desarrollos Web-Marca y Concesionario- Plan Mayor</v>
      </c>
      <c r="AB233" s="4" t="str">
        <f ca="1">IFERROR(__xludf.DUMMYFUNCTION("""COMPUTED_VALUE"""),"Permite que tanto la Marca como el concesionario accedan a la Web y desde allí puedan administrar la carga y trazabilidad del negocio que se negocien a través de Factoring _ Línea Triangular")</f>
        <v>Permite que tanto la Marca como el concesionario accedan a la Web y desde allí puedan administrar la carga y trazabilidad del negocio que se negocien a través de Factoring _ Línea Triangular</v>
      </c>
      <c r="AC233" s="4" t="str">
        <f ca="1">IFERROR(__xludf.DUMMYFUNCTION("""COMPUTED_VALUE"""),"3Q 2022")</f>
        <v>3Q 2022</v>
      </c>
      <c r="AD233" s="4"/>
      <c r="AE233" s="4"/>
      <c r="AF233" s="4"/>
      <c r="AG233" s="4"/>
      <c r="AH233" s="4"/>
      <c r="AI233" s="4"/>
      <c r="AJ233" s="4"/>
      <c r="AK233" s="131" t="str">
        <f ca="1">IFERROR(__xludf.DUMMYFUNCTION("""COMPUTED_VALUE"""),"COLWSPREST-348")</f>
        <v>COLWSPREST-348</v>
      </c>
      <c r="AL233" s="4" t="str">
        <f ca="1">IFERROR(__xludf.DUMMYFUNCTION("""COMPUTED_VALUE"""),"Deployed")</f>
        <v>Deployed</v>
      </c>
      <c r="AM233" s="4"/>
      <c r="AN233" s="4" t="str">
        <f ca="1">IFERROR(__xludf.DUMMYFUNCTION("""COMPUTED_VALUE"""),"Finalizado")</f>
        <v>Finalizado</v>
      </c>
      <c r="AO233" s="4" t="str">
        <f ca="1">IFERROR(__xludf.DUMMYFUNCTION("""COMPUTED_VALUE"""),"Transversales")</f>
        <v>Transversales</v>
      </c>
      <c r="AP233" s="4"/>
      <c r="AQ233" s="4"/>
      <c r="AR233" s="4" t="str">
        <f ca="1">IFERROR(__xludf.DUMMYFUNCTION("""COMPUTED_VALUE"""),"SDA aprobada en PPP Q1 2023")</f>
        <v>SDA aprobada en PPP Q1 2023</v>
      </c>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row>
    <row r="234" spans="1:132" x14ac:dyDescent="0.2">
      <c r="A234" s="4">
        <f ca="1">IFERROR(__xludf.DUMMYFUNCTION("""COMPUTED_VALUE"""),234)</f>
        <v>234</v>
      </c>
      <c r="B234" s="4">
        <f ca="1">IFERROR(__xludf.DUMMYFUNCTION("""COMPUTED_VALUE"""),213)</f>
        <v>213</v>
      </c>
      <c r="C234" s="4" t="str">
        <f ca="1">IFERROR(__xludf.DUMMYFUNCTION("""COMPUTED_VALUE"""),"SDATOOL-36547")</f>
        <v>SDATOOL-36547</v>
      </c>
      <c r="D234" s="4" t="str">
        <f ca="1">IFERROR(__xludf.DUMMYFUNCTION("""COMPUTED_VALUE"""),"PLAN MAYOR -PLAN MENOR. Plan ascenso Open Market")</f>
        <v>PLAN MAYOR -PLAN MENOR. Plan ascenso Open Market</v>
      </c>
      <c r="E234"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4" s="4" t="str">
        <f ca="1">IFERROR(__xludf.DUMMYFUNCTION("""COMPUTED_VALUE"""),"Project")</f>
        <v>Project</v>
      </c>
      <c r="G234" s="4" t="str">
        <f ca="1">IFERROR(__xludf.DUMMYFUNCTION("""COMPUTED_VALUE"""),"Stock")</f>
        <v>Stock</v>
      </c>
      <c r="H234" s="4" t="str">
        <f ca="1">IFERROR(__xludf.DUMMYFUNCTION("""COMPUTED_VALUE"""),"4Q 2023")</f>
        <v>4Q 2023</v>
      </c>
      <c r="I234" s="131" t="str">
        <f ca="1">IFERROR(__xludf.DUMMYFUNCTION("""COMPUTED_VALUE"""),"nathiahayosara.amado-bbva.com")</f>
        <v>nathiahayosara.amado-bbva.com</v>
      </c>
      <c r="J234" s="131" t="str">
        <f ca="1">IFERROR(__xludf.DUMMYFUNCTION("""COMPUTED_VALUE"""),"karenalexandra.martinez-bbva.com")</f>
        <v>karenalexandra.martinez-bbva.com</v>
      </c>
      <c r="K234" s="131" t="str">
        <f ca="1">IFERROR(__xludf.DUMMYFUNCTION("""COMPUTED_VALUE"""),"ivan_dario.ariza-bbva.com")</f>
        <v>ivan_dario.ariza-bbva.com</v>
      </c>
      <c r="L234" s="4"/>
      <c r="M234" s="4"/>
      <c r="N234" s="4"/>
      <c r="O234" s="4" t="str">
        <f ca="1">IFERROR(__xludf.DUMMYFUNCTION("""COMPUTED_VALUE"""),"Waterfall")</f>
        <v>Waterfall</v>
      </c>
      <c r="P234" s="4" t="str">
        <f ca="1">IFERROR(__xludf.DUMMYFUNCTION("""COMPUTED_VALUE"""),"Tradicional")</f>
        <v>Tradicional</v>
      </c>
      <c r="Q234" s="4"/>
      <c r="R234" s="130" t="str">
        <f ca="1">IFERROR(__xludf.DUMMYFUNCTION("""COMPUTED_VALUE"""),"Enterprises")</f>
        <v>Enterprises</v>
      </c>
      <c r="S234" s="130" t="str">
        <f ca="1">IFERROR(__xludf.DUMMYFUNCTION("""COMPUTED_VALUE"""),"Plan Ascenso")</f>
        <v>Plan Ascenso</v>
      </c>
      <c r="T234" s="130" t="str">
        <f ca="1">IFERROR(__xludf.DUMMYFUNCTION("""COMPUTED_VALUE"""),"1. Generación de Ingresos")</f>
        <v>1. Generación de Ingresos</v>
      </c>
      <c r="U234" s="130" t="str">
        <f ca="1">IFERROR(__xludf.DUMMYFUNCTION("""COMPUTED_VALUE"""),"1.5. Otros de Proyectos de Ingresos")</f>
        <v>1.5. Otros de Proyectos de Ingresos</v>
      </c>
      <c r="V234" s="4" t="str">
        <f ca="1">IFERROR(__xludf.DUMMYFUNCTION("""COMPUTED_VALUE"""),"Vehículo")</f>
        <v>Vehículo</v>
      </c>
      <c r="W234" s="4">
        <f ca="1">IFERROR(__xludf.DUMMYFUNCTION("""COMPUTED_VALUE"""),1)</f>
        <v>1</v>
      </c>
      <c r="X234" s="4" t="str">
        <f ca="1">IFERROR(__xludf.DUMMYFUNCTION("""COMPUTED_VALUE"""),"01. Open Market &amp; Partnerships")</f>
        <v>01. Open Market &amp; Partnerships</v>
      </c>
      <c r="Y234" s="4" t="str">
        <f ca="1">IFERROR(__xludf.DUMMYFUNCTION("""COMPUTED_VALUE"""),"5.6.6 Non Global Project")</f>
        <v>5.6.6 Non Global Project</v>
      </c>
      <c r="Z234" s="132" t="str">
        <f ca="1">IFERROR(__xludf.DUMMYFUNCTION("""COMPUTED_VALUE"""),"427255")</f>
        <v>427255</v>
      </c>
      <c r="AA234" s="4" t="str">
        <f ca="1">IFERROR(__xludf.DUMMYFUNCTION("""COMPUTED_VALUE"""),"Reportería")</f>
        <v>Reportería</v>
      </c>
      <c r="AB234" s="4" t="str">
        <f ca="1">IFERROR(__xludf.DUMMYFUNCTION("""COMPUTED_VALUE"""),"Generar los reportes para la administración y control del producto, en el que se incluye reportes para las marcas, líneas de financiamiento,  convenios por marcas, condiciones de planes financiero por marca y reporte de dealers por marca.")</f>
        <v>Generar los reportes para la administración y control del producto, en el que se incluye reportes para las marcas, líneas de financiamiento,  convenios por marcas, condiciones de planes financiero por marca y reporte de dealers por marca.</v>
      </c>
      <c r="AC234" s="4" t="str">
        <f ca="1">IFERROR(__xludf.DUMMYFUNCTION("""COMPUTED_VALUE"""),"3Q 2022")</f>
        <v>3Q 2022</v>
      </c>
      <c r="AD234" s="4"/>
      <c r="AE234" s="4"/>
      <c r="AF234" s="4"/>
      <c r="AG234" s="4"/>
      <c r="AH234" s="4"/>
      <c r="AI234" s="4"/>
      <c r="AJ234" s="4"/>
      <c r="AK234" s="131" t="str">
        <f ca="1">IFERROR(__xludf.DUMMYFUNCTION("""COMPUTED_VALUE"""),"CCSS-8758")</f>
        <v>CCSS-8758</v>
      </c>
      <c r="AL234" s="4" t="str">
        <f ca="1">IFERROR(__xludf.DUMMYFUNCTION("""COMPUTED_VALUE"""),"Deployed")</f>
        <v>Deployed</v>
      </c>
      <c r="AM234" s="4"/>
      <c r="AN234" s="4" t="str">
        <f ca="1">IFERROR(__xludf.DUMMYFUNCTION("""COMPUTED_VALUE"""),"Finalizado")</f>
        <v>Finalizado</v>
      </c>
      <c r="AO234" s="4" t="str">
        <f ca="1">IFERROR(__xludf.DUMMYFUNCTION("""COMPUTED_VALUE"""),"Transversales")</f>
        <v>Transversales</v>
      </c>
      <c r="AP234" s="4"/>
      <c r="AQ234" s="4"/>
      <c r="AR234" s="4" t="str">
        <f ca="1">IFERROR(__xludf.DUMMYFUNCTION("""COMPUTED_VALUE"""),"SDA aprobada en PPP Q1 2023")</f>
        <v>SDA aprobada en PPP Q1 2023</v>
      </c>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row>
    <row r="235" spans="1:132" x14ac:dyDescent="0.2">
      <c r="A235" s="4">
        <f ca="1">IFERROR(__xludf.DUMMYFUNCTION("""COMPUTED_VALUE"""),235)</f>
        <v>235</v>
      </c>
      <c r="B235" s="4">
        <f ca="1">IFERROR(__xludf.DUMMYFUNCTION("""COMPUTED_VALUE"""),214)</f>
        <v>214</v>
      </c>
      <c r="C235" s="4" t="str">
        <f ca="1">IFERROR(__xludf.DUMMYFUNCTION("""COMPUTED_VALUE"""),"SDATOOL-36547")</f>
        <v>SDATOOL-36547</v>
      </c>
      <c r="D235" s="4" t="str">
        <f ca="1">IFERROR(__xludf.DUMMYFUNCTION("""COMPUTED_VALUE"""),"PLAN MAYOR -PLAN MENOR. Plan ascenso Open Market")</f>
        <v>PLAN MAYOR -PLAN MENOR. Plan ascenso Open Market</v>
      </c>
      <c r="E235"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5" s="4" t="str">
        <f ca="1">IFERROR(__xludf.DUMMYFUNCTION("""COMPUTED_VALUE"""),"Project")</f>
        <v>Project</v>
      </c>
      <c r="G235" s="4" t="str">
        <f ca="1">IFERROR(__xludf.DUMMYFUNCTION("""COMPUTED_VALUE"""),"Stock")</f>
        <v>Stock</v>
      </c>
      <c r="H235" s="4" t="str">
        <f ca="1">IFERROR(__xludf.DUMMYFUNCTION("""COMPUTED_VALUE"""),"4Q 2023")</f>
        <v>4Q 2023</v>
      </c>
      <c r="I235" s="131" t="str">
        <f ca="1">IFERROR(__xludf.DUMMYFUNCTION("""COMPUTED_VALUE"""),"nathiahayosara.amado-bbva.com")</f>
        <v>nathiahayosara.amado-bbva.com</v>
      </c>
      <c r="J235" s="131" t="str">
        <f ca="1">IFERROR(__xludf.DUMMYFUNCTION("""COMPUTED_VALUE"""),"karenalexandra.martinez-bbva.com")</f>
        <v>karenalexandra.martinez-bbva.com</v>
      </c>
      <c r="K235" s="131" t="str">
        <f ca="1">IFERROR(__xludf.DUMMYFUNCTION("""COMPUTED_VALUE"""),"ivan_dario.ariza-bbva.com")</f>
        <v>ivan_dario.ariza-bbva.com</v>
      </c>
      <c r="L235" s="4"/>
      <c r="M235" s="4"/>
      <c r="N235" s="4"/>
      <c r="O235" s="4" t="str">
        <f ca="1">IFERROR(__xludf.DUMMYFUNCTION("""COMPUTED_VALUE"""),"Waterfall")</f>
        <v>Waterfall</v>
      </c>
      <c r="P235" s="4" t="str">
        <f ca="1">IFERROR(__xludf.DUMMYFUNCTION("""COMPUTED_VALUE"""),"Tradicional")</f>
        <v>Tradicional</v>
      </c>
      <c r="Q235" s="4"/>
      <c r="R235" s="130" t="str">
        <f ca="1">IFERROR(__xludf.DUMMYFUNCTION("""COMPUTED_VALUE"""),"Enterprises")</f>
        <v>Enterprises</v>
      </c>
      <c r="S235" s="130" t="str">
        <f ca="1">IFERROR(__xludf.DUMMYFUNCTION("""COMPUTED_VALUE"""),"Plan Ascenso")</f>
        <v>Plan Ascenso</v>
      </c>
      <c r="T235" s="130" t="str">
        <f ca="1">IFERROR(__xludf.DUMMYFUNCTION("""COMPUTED_VALUE"""),"1. Generación de Ingresos")</f>
        <v>1. Generación de Ingresos</v>
      </c>
      <c r="U235" s="130" t="str">
        <f ca="1">IFERROR(__xludf.DUMMYFUNCTION("""COMPUTED_VALUE"""),"1.5. Otros de Proyectos de Ingresos")</f>
        <v>1.5. Otros de Proyectos de Ingresos</v>
      </c>
      <c r="V235" s="4" t="str">
        <f ca="1">IFERROR(__xludf.DUMMYFUNCTION("""COMPUTED_VALUE"""),"Vehículo")</f>
        <v>Vehículo</v>
      </c>
      <c r="W235" s="4">
        <f ca="1">IFERROR(__xludf.DUMMYFUNCTION("""COMPUTED_VALUE"""),1)</f>
        <v>1</v>
      </c>
      <c r="X235" s="4" t="str">
        <f ca="1">IFERROR(__xludf.DUMMYFUNCTION("""COMPUTED_VALUE"""),"01. Open Market &amp; Partnerships")</f>
        <v>01. Open Market &amp; Partnerships</v>
      </c>
      <c r="Y235" s="4" t="str">
        <f ca="1">IFERROR(__xludf.DUMMYFUNCTION("""COMPUTED_VALUE"""),"5.6.6 Non Global Project")</f>
        <v>5.6.6 Non Global Project</v>
      </c>
      <c r="Z235" s="132" t="str">
        <f ca="1">IFERROR(__xludf.DUMMYFUNCTION("""COMPUTED_VALUE"""),"560543")</f>
        <v>560543</v>
      </c>
      <c r="AA235" s="4" t="str">
        <f ca="1">IFERROR(__xludf.DUMMYFUNCTION("""COMPUTED_VALUE"""),"Entrega deuda técnica - Carga y Administración Códigos de Vitrinas")</f>
        <v>Entrega deuda técnica - Carga y Administración Códigos de Vitrinas</v>
      </c>
      <c r="AB235" s="4" t="str">
        <f ca="1">IFERROR(__xludf.DUMMYFUNCTION("""COMPUTED_VALUE"""),"Generar una funcionalidad completa para que marcas puedan cargar los códigos de concesionarios y vitrinas que trabajan con su empresa.
Generar códigos de vitrinas desde el sistema para cuando los clientes no utilizan este atributo")</f>
        <v>Generar una funcionalidad completa para que marcas puedan cargar los códigos de concesionarios y vitrinas que trabajan con su empresa.
Generar códigos de vitrinas desde el sistema para cuando los clientes no utilizan este atributo</v>
      </c>
      <c r="AC235" s="4" t="str">
        <f ca="1">IFERROR(__xludf.DUMMYFUNCTION("""COMPUTED_VALUE"""),"4Q 2022")</f>
        <v>4Q 2022</v>
      </c>
      <c r="AD235" s="4"/>
      <c r="AE235" s="4"/>
      <c r="AF235" s="4"/>
      <c r="AG235" s="4"/>
      <c r="AH235" s="4"/>
      <c r="AI235" s="4"/>
      <c r="AJ235" s="4"/>
      <c r="AK235" s="131" t="str">
        <f ca="1">IFERROR(__xludf.DUMMYFUNCTION("""COMPUTED_VALUE"""),"COLWSPREST-5235")</f>
        <v>COLWSPREST-5235</v>
      </c>
      <c r="AL235" s="4" t="str">
        <f ca="1">IFERROR(__xludf.DUMMYFUNCTION("""COMPUTED_VALUE"""),"Deployed")</f>
        <v>Deployed</v>
      </c>
      <c r="AM235" s="4"/>
      <c r="AN235" s="4" t="str">
        <f ca="1">IFERROR(__xludf.DUMMYFUNCTION("""COMPUTED_VALUE"""),"Finalizado")</f>
        <v>Finalizado</v>
      </c>
      <c r="AO235" s="4" t="str">
        <f ca="1">IFERROR(__xludf.DUMMYFUNCTION("""COMPUTED_VALUE"""),"Transversales")</f>
        <v>Transversales</v>
      </c>
      <c r="AP235" s="4"/>
      <c r="AQ235" s="4"/>
      <c r="AR235" s="4" t="str">
        <f ca="1">IFERROR(__xludf.DUMMYFUNCTION("""COMPUTED_VALUE"""),"SDA aprobada en PPP Q1 2023")</f>
        <v>SDA aprobada en PPP Q1 2023</v>
      </c>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row>
    <row r="236" spans="1:132" x14ac:dyDescent="0.2">
      <c r="A236" s="4">
        <f ca="1">IFERROR(__xludf.DUMMYFUNCTION("""COMPUTED_VALUE"""),236)</f>
        <v>236</v>
      </c>
      <c r="B236" s="4">
        <f ca="1">IFERROR(__xludf.DUMMYFUNCTION("""COMPUTED_VALUE"""),215)</f>
        <v>215</v>
      </c>
      <c r="C236" s="4" t="str">
        <f ca="1">IFERROR(__xludf.DUMMYFUNCTION("""COMPUTED_VALUE"""),"SDATOOL-36547")</f>
        <v>SDATOOL-36547</v>
      </c>
      <c r="D236" s="4" t="str">
        <f ca="1">IFERROR(__xludf.DUMMYFUNCTION("""COMPUTED_VALUE"""),"PLAN MAYOR -PLAN MENOR. Plan ascenso Open Market")</f>
        <v>PLAN MAYOR -PLAN MENOR. Plan ascenso Open Market</v>
      </c>
      <c r="E236"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6" s="4" t="str">
        <f ca="1">IFERROR(__xludf.DUMMYFUNCTION("""COMPUTED_VALUE"""),"Project")</f>
        <v>Project</v>
      </c>
      <c r="G236" s="4" t="str">
        <f ca="1">IFERROR(__xludf.DUMMYFUNCTION("""COMPUTED_VALUE"""),"Stock")</f>
        <v>Stock</v>
      </c>
      <c r="H236" s="4" t="str">
        <f ca="1">IFERROR(__xludf.DUMMYFUNCTION("""COMPUTED_VALUE"""),"4Q 2023")</f>
        <v>4Q 2023</v>
      </c>
      <c r="I236" s="131" t="str">
        <f ca="1">IFERROR(__xludf.DUMMYFUNCTION("""COMPUTED_VALUE"""),"nathiahayosara.amado-bbva.com")</f>
        <v>nathiahayosara.amado-bbva.com</v>
      </c>
      <c r="J236" s="131" t="str">
        <f ca="1">IFERROR(__xludf.DUMMYFUNCTION("""COMPUTED_VALUE"""),"karenalexandra.martinez-bbva.com")</f>
        <v>karenalexandra.martinez-bbva.com</v>
      </c>
      <c r="K236" s="131" t="str">
        <f ca="1">IFERROR(__xludf.DUMMYFUNCTION("""COMPUTED_VALUE"""),"ivan_dario.ariza-bbva.com")</f>
        <v>ivan_dario.ariza-bbva.com</v>
      </c>
      <c r="L236" s="4"/>
      <c r="M236" s="4"/>
      <c r="N236" s="4"/>
      <c r="O236" s="4" t="str">
        <f ca="1">IFERROR(__xludf.DUMMYFUNCTION("""COMPUTED_VALUE"""),"Waterfall")</f>
        <v>Waterfall</v>
      </c>
      <c r="P236" s="4" t="str">
        <f ca="1">IFERROR(__xludf.DUMMYFUNCTION("""COMPUTED_VALUE"""),"Tradicional")</f>
        <v>Tradicional</v>
      </c>
      <c r="Q236" s="4"/>
      <c r="R236" s="130" t="str">
        <f ca="1">IFERROR(__xludf.DUMMYFUNCTION("""COMPUTED_VALUE"""),"Enterprises")</f>
        <v>Enterprises</v>
      </c>
      <c r="S236" s="130" t="str">
        <f ca="1">IFERROR(__xludf.DUMMYFUNCTION("""COMPUTED_VALUE"""),"Plan Ascenso")</f>
        <v>Plan Ascenso</v>
      </c>
      <c r="T236" s="130" t="str">
        <f ca="1">IFERROR(__xludf.DUMMYFUNCTION("""COMPUTED_VALUE"""),"1. Generación de Ingresos")</f>
        <v>1. Generación de Ingresos</v>
      </c>
      <c r="U236" s="130" t="str">
        <f ca="1">IFERROR(__xludf.DUMMYFUNCTION("""COMPUTED_VALUE"""),"1.5. Otros de Proyectos de Ingresos")</f>
        <v>1.5. Otros de Proyectos de Ingresos</v>
      </c>
      <c r="V236" s="4" t="str">
        <f ca="1">IFERROR(__xludf.DUMMYFUNCTION("""COMPUTED_VALUE"""),"Vehículo")</f>
        <v>Vehículo</v>
      </c>
      <c r="W236" s="4">
        <f ca="1">IFERROR(__xludf.DUMMYFUNCTION("""COMPUTED_VALUE"""),1)</f>
        <v>1</v>
      </c>
      <c r="X236" s="4" t="str">
        <f ca="1">IFERROR(__xludf.DUMMYFUNCTION("""COMPUTED_VALUE"""),"01. Open Market &amp; Partnerships")</f>
        <v>01. Open Market &amp; Partnerships</v>
      </c>
      <c r="Y236" s="4" t="str">
        <f ca="1">IFERROR(__xludf.DUMMYFUNCTION("""COMPUTED_VALUE"""),"5.6.6 Non Global Project")</f>
        <v>5.6.6 Non Global Project</v>
      </c>
      <c r="Z236" s="132" t="str">
        <f ca="1">IFERROR(__xludf.DUMMYFUNCTION("""COMPUTED_VALUE"""),"489521")</f>
        <v>489521</v>
      </c>
      <c r="AA236" s="4" t="str">
        <f ca="1">IFERROR(__xludf.DUMMYFUNCTION("""COMPUTED_VALUE"""),"Enlace Plan Mayor - Plan Menor")</f>
        <v>Enlace Plan Mayor - Plan Menor</v>
      </c>
      <c r="AB236" s="4" t="str">
        <f ca="1">IFERROR(__xludf.DUMMYFUNCTION("""COMPUTED_VALUE"""),"- Validación de vehículos a financiar vs stock de inventarios en plan mayor
- Desarrollo transacción opción factoring para desembolso de crédito de vehículo en nacar.")</f>
        <v>- Validación de vehículos a financiar vs stock de inventarios en plan mayor
- Desarrollo transacción opción factoring para desembolso de crédito de vehículo en nacar.</v>
      </c>
      <c r="AC236" s="4" t="str">
        <f ca="1">IFERROR(__xludf.DUMMYFUNCTION("""COMPUTED_VALUE"""),"3Q 2023")</f>
        <v>3Q 2023</v>
      </c>
      <c r="AD236" s="4"/>
      <c r="AE236" s="4"/>
      <c r="AF236" s="4"/>
      <c r="AG236" s="4"/>
      <c r="AH236" s="4"/>
      <c r="AI236" s="4"/>
      <c r="AJ236" s="4"/>
      <c r="AK236" s="131" t="str">
        <f ca="1">IFERROR(__xludf.DUMMYFUNCTION("""COMPUTED_VALUE"""),"COLWSPREST-1318")</f>
        <v>COLWSPREST-1318</v>
      </c>
      <c r="AL236" s="4" t="str">
        <f ca="1">IFERROR(__xludf.DUMMYFUNCTION("""COMPUTED_VALUE"""),"Test")</f>
        <v>Test</v>
      </c>
      <c r="AM236" s="4"/>
      <c r="AN236" s="4" t="str">
        <f ca="1">IFERROR(__xludf.DUMMYFUNCTION("""COMPUTED_VALUE"""),"Entregable en desarrollo")</f>
        <v>Entregable en desarrollo</v>
      </c>
      <c r="AO236" s="4" t="str">
        <f ca="1">IFERROR(__xludf.DUMMYFUNCTION("""COMPUTED_VALUE"""),"Transversales")</f>
        <v>Transversales</v>
      </c>
      <c r="AP236" s="4"/>
      <c r="AQ236" s="4"/>
      <c r="AR236" s="4" t="str">
        <f ca="1">IFERROR(__xludf.DUMMYFUNCTION("""COMPUTED_VALUE"""),"SDA aprobada en PPP Q1 2023")</f>
        <v>SDA aprobada en PPP Q1 2023</v>
      </c>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row>
    <row r="237" spans="1:132" x14ac:dyDescent="0.2">
      <c r="A237" s="4">
        <f ca="1">IFERROR(__xludf.DUMMYFUNCTION("""COMPUTED_VALUE"""),237)</f>
        <v>237</v>
      </c>
      <c r="B237" s="4">
        <f ca="1">IFERROR(__xludf.DUMMYFUNCTION("""COMPUTED_VALUE"""),216)</f>
        <v>216</v>
      </c>
      <c r="C237" s="4" t="str">
        <f ca="1">IFERROR(__xludf.DUMMYFUNCTION("""COMPUTED_VALUE"""),"SDATOOL-36547")</f>
        <v>SDATOOL-36547</v>
      </c>
      <c r="D237" s="4" t="str">
        <f ca="1">IFERROR(__xludf.DUMMYFUNCTION("""COMPUTED_VALUE"""),"PLAN MAYOR -PLAN MENOR. Plan ascenso Open Market")</f>
        <v>PLAN MAYOR -PLAN MENOR. Plan ascenso Open Market</v>
      </c>
      <c r="E237"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7" s="4" t="str">
        <f ca="1">IFERROR(__xludf.DUMMYFUNCTION("""COMPUTED_VALUE"""),"Project")</f>
        <v>Project</v>
      </c>
      <c r="G237" s="4" t="str">
        <f ca="1">IFERROR(__xludf.DUMMYFUNCTION("""COMPUTED_VALUE"""),"Stock")</f>
        <v>Stock</v>
      </c>
      <c r="H237" s="4" t="str">
        <f ca="1">IFERROR(__xludf.DUMMYFUNCTION("""COMPUTED_VALUE"""),"4Q 2023")</f>
        <v>4Q 2023</v>
      </c>
      <c r="I237" s="131" t="str">
        <f ca="1">IFERROR(__xludf.DUMMYFUNCTION("""COMPUTED_VALUE"""),"nathiahayosara.amado-bbva.com")</f>
        <v>nathiahayosara.amado-bbva.com</v>
      </c>
      <c r="J237" s="131" t="str">
        <f ca="1">IFERROR(__xludf.DUMMYFUNCTION("""COMPUTED_VALUE"""),"karenalexandra.martinez-bbva.com")</f>
        <v>karenalexandra.martinez-bbva.com</v>
      </c>
      <c r="K237" s="131" t="str">
        <f ca="1">IFERROR(__xludf.DUMMYFUNCTION("""COMPUTED_VALUE"""),"ivan_dario.ariza-bbva.com")</f>
        <v>ivan_dario.ariza-bbva.com</v>
      </c>
      <c r="L237" s="4"/>
      <c r="M237" s="4"/>
      <c r="N237" s="4"/>
      <c r="O237" s="4" t="str">
        <f ca="1">IFERROR(__xludf.DUMMYFUNCTION("""COMPUTED_VALUE"""),"Waterfall")</f>
        <v>Waterfall</v>
      </c>
      <c r="P237" s="4" t="str">
        <f ca="1">IFERROR(__xludf.DUMMYFUNCTION("""COMPUTED_VALUE"""),"Tradicional")</f>
        <v>Tradicional</v>
      </c>
      <c r="Q237" s="4"/>
      <c r="R237" s="130" t="str">
        <f ca="1">IFERROR(__xludf.DUMMYFUNCTION("""COMPUTED_VALUE"""),"Enterprises")</f>
        <v>Enterprises</v>
      </c>
      <c r="S237" s="130" t="str">
        <f ca="1">IFERROR(__xludf.DUMMYFUNCTION("""COMPUTED_VALUE"""),"Plan Ascenso")</f>
        <v>Plan Ascenso</v>
      </c>
      <c r="T237" s="130" t="str">
        <f ca="1">IFERROR(__xludf.DUMMYFUNCTION("""COMPUTED_VALUE"""),"1. Generación de Ingresos")</f>
        <v>1. Generación de Ingresos</v>
      </c>
      <c r="U237" s="130" t="str">
        <f ca="1">IFERROR(__xludf.DUMMYFUNCTION("""COMPUTED_VALUE"""),"1.5. Otros de Proyectos de Ingresos")</f>
        <v>1.5. Otros de Proyectos de Ingresos</v>
      </c>
      <c r="V237" s="4" t="str">
        <f ca="1">IFERROR(__xludf.DUMMYFUNCTION("""COMPUTED_VALUE"""),"Vehículo")</f>
        <v>Vehículo</v>
      </c>
      <c r="W237" s="4">
        <f ca="1">IFERROR(__xludf.DUMMYFUNCTION("""COMPUTED_VALUE"""),1)</f>
        <v>1</v>
      </c>
      <c r="X237" s="4" t="str">
        <f ca="1">IFERROR(__xludf.DUMMYFUNCTION("""COMPUTED_VALUE"""),"01. Open Market &amp; Partnerships")</f>
        <v>01. Open Market &amp; Partnerships</v>
      </c>
      <c r="Y237" s="4" t="str">
        <f ca="1">IFERROR(__xludf.DUMMYFUNCTION("""COMPUTED_VALUE"""),"5.6.6 Non Global Project")</f>
        <v>5.6.6 Non Global Project</v>
      </c>
      <c r="Z237" s="132" t="str">
        <f ca="1">IFERROR(__xludf.DUMMYFUNCTION("""COMPUTED_VALUE"""),"431998")</f>
        <v>431998</v>
      </c>
      <c r="AA237" s="4" t="str">
        <f ca="1">IFERROR(__xludf.DUMMYFUNCTION("""COMPUTED_VALUE"""),"Roles y Firmas para Cargas de Facturas Plan Mayor y Línea Triangular")</f>
        <v>Roles y Firmas para Cargas de Facturas Plan Mayor y Línea Triangular</v>
      </c>
      <c r="AB237" s="4" t="str">
        <f ca="1">IFERROR(__xludf.DUMMYFUNCTION("""COMPUTED_VALUE"""),"- Compartir descuento al proveedor, 
- Carga y aprobación de cargas por el Pagador, 
- Plan Financiero solo Financiación, 
- Acceso a terceros a través de la Web para la autogestión empresas auditoras, 
- Desarrollo de conectividad para Generación y recep"&amp;"ción de información con el RUNT.")</f>
        <v>- Compartir descuento al proveedor, 
- Carga y aprobación de cargas por el Pagador, 
- Plan Financiero solo Financiación, 
- Acceso a terceros a través de la Web para la autogestión empresas auditoras, 
- Desarrollo de conectividad para Generación y recepción de información con el RUNT.</v>
      </c>
      <c r="AC237" s="4" t="str">
        <f ca="1">IFERROR(__xludf.DUMMYFUNCTION("""COMPUTED_VALUE"""),"3Q 2023")</f>
        <v>3Q 2023</v>
      </c>
      <c r="AD237" s="4"/>
      <c r="AE237" s="4"/>
      <c r="AF237" s="4"/>
      <c r="AG237" s="4"/>
      <c r="AH237" s="4"/>
      <c r="AI237" s="4"/>
      <c r="AJ237" s="4"/>
      <c r="AK237" s="131" t="str">
        <f ca="1">IFERROR(__xludf.DUMMYFUNCTION("""COMPUTED_VALUE"""),"COLWSPREST-1462")</f>
        <v>COLWSPREST-1462</v>
      </c>
      <c r="AL237" s="4" t="str">
        <f ca="1">IFERROR(__xludf.DUMMYFUNCTION("""COMPUTED_VALUE"""),"En progreso")</f>
        <v>En progreso</v>
      </c>
      <c r="AM237" s="4"/>
      <c r="AN237" s="4" t="str">
        <f ca="1">IFERROR(__xludf.DUMMYFUNCTION("""COMPUTED_VALUE"""),"Entregable en desarrollo")</f>
        <v>Entregable en desarrollo</v>
      </c>
      <c r="AO237" s="4" t="str">
        <f ca="1">IFERROR(__xludf.DUMMYFUNCTION("""COMPUTED_VALUE"""),"Transversales")</f>
        <v>Transversales</v>
      </c>
      <c r="AP237" s="4"/>
      <c r="AQ237" s="4"/>
      <c r="AR237" s="4" t="str">
        <f ca="1">IFERROR(__xludf.DUMMYFUNCTION("""COMPUTED_VALUE"""),"SDA aprobada en PPP Q1 2023")</f>
        <v>SDA aprobada en PPP Q1 2023</v>
      </c>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row>
    <row r="238" spans="1:132" x14ac:dyDescent="0.2">
      <c r="A238" s="4">
        <f ca="1">IFERROR(__xludf.DUMMYFUNCTION("""COMPUTED_VALUE"""),238)</f>
        <v>238</v>
      </c>
      <c r="B238" s="4">
        <f ca="1">IFERROR(__xludf.DUMMYFUNCTION("""COMPUTED_VALUE"""),217)</f>
        <v>217</v>
      </c>
      <c r="C238" s="4" t="str">
        <f ca="1">IFERROR(__xludf.DUMMYFUNCTION("""COMPUTED_VALUE"""),"SDATOOL-36547")</f>
        <v>SDATOOL-36547</v>
      </c>
      <c r="D238" s="4" t="str">
        <f ca="1">IFERROR(__xludf.DUMMYFUNCTION("""COMPUTED_VALUE"""),"PLAN MAYOR -PLAN MENOR. Plan ascenso Open Market")</f>
        <v>PLAN MAYOR -PLAN MENOR. Plan ascenso Open Market</v>
      </c>
      <c r="E238"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8" s="4" t="str">
        <f ca="1">IFERROR(__xludf.DUMMYFUNCTION("""COMPUTED_VALUE"""),"Project")</f>
        <v>Project</v>
      </c>
      <c r="G238" s="4" t="str">
        <f ca="1">IFERROR(__xludf.DUMMYFUNCTION("""COMPUTED_VALUE"""),"Stock")</f>
        <v>Stock</v>
      </c>
      <c r="H238" s="4" t="str">
        <f ca="1">IFERROR(__xludf.DUMMYFUNCTION("""COMPUTED_VALUE"""),"4Q 2023")</f>
        <v>4Q 2023</v>
      </c>
      <c r="I238" s="131" t="str">
        <f ca="1">IFERROR(__xludf.DUMMYFUNCTION("""COMPUTED_VALUE"""),"nathiahayosara.amado-bbva.com")</f>
        <v>nathiahayosara.amado-bbva.com</v>
      </c>
      <c r="J238" s="131" t="str">
        <f ca="1">IFERROR(__xludf.DUMMYFUNCTION("""COMPUTED_VALUE"""),"karenalexandra.martinez-bbva.com")</f>
        <v>karenalexandra.martinez-bbva.com</v>
      </c>
      <c r="K238" s="131" t="str">
        <f ca="1">IFERROR(__xludf.DUMMYFUNCTION("""COMPUTED_VALUE"""),"ivan_dario.ariza-bbva.com")</f>
        <v>ivan_dario.ariza-bbva.com</v>
      </c>
      <c r="L238" s="4"/>
      <c r="M238" s="4"/>
      <c r="N238" s="4"/>
      <c r="O238" s="4" t="str">
        <f ca="1">IFERROR(__xludf.DUMMYFUNCTION("""COMPUTED_VALUE"""),"Waterfall")</f>
        <v>Waterfall</v>
      </c>
      <c r="P238" s="4" t="str">
        <f ca="1">IFERROR(__xludf.DUMMYFUNCTION("""COMPUTED_VALUE"""),"Tradicional")</f>
        <v>Tradicional</v>
      </c>
      <c r="Q238" s="4"/>
      <c r="R238" s="130" t="str">
        <f ca="1">IFERROR(__xludf.DUMMYFUNCTION("""COMPUTED_VALUE"""),"Enterprises")</f>
        <v>Enterprises</v>
      </c>
      <c r="S238" s="130" t="str">
        <f ca="1">IFERROR(__xludf.DUMMYFUNCTION("""COMPUTED_VALUE"""),"Plan Ascenso")</f>
        <v>Plan Ascenso</v>
      </c>
      <c r="T238" s="130" t="str">
        <f ca="1">IFERROR(__xludf.DUMMYFUNCTION("""COMPUTED_VALUE"""),"1. Generación de Ingresos")</f>
        <v>1. Generación de Ingresos</v>
      </c>
      <c r="U238" s="130" t="str">
        <f ca="1">IFERROR(__xludf.DUMMYFUNCTION("""COMPUTED_VALUE"""),"1.5. Otros de Proyectos de Ingresos")</f>
        <v>1.5. Otros de Proyectos de Ingresos</v>
      </c>
      <c r="V238" s="4" t="str">
        <f ca="1">IFERROR(__xludf.DUMMYFUNCTION("""COMPUTED_VALUE"""),"Vehículo")</f>
        <v>Vehículo</v>
      </c>
      <c r="W238" s="4">
        <f ca="1">IFERROR(__xludf.DUMMYFUNCTION("""COMPUTED_VALUE"""),1)</f>
        <v>1</v>
      </c>
      <c r="X238" s="4" t="str">
        <f ca="1">IFERROR(__xludf.DUMMYFUNCTION("""COMPUTED_VALUE"""),"01. Open Market &amp; Partnerships")</f>
        <v>01. Open Market &amp; Partnerships</v>
      </c>
      <c r="Y238" s="4" t="str">
        <f ca="1">IFERROR(__xludf.DUMMYFUNCTION("""COMPUTED_VALUE"""),"5.6.6 Non Global Project")</f>
        <v>5.6.6 Non Global Project</v>
      </c>
      <c r="Z238" s="132" t="str">
        <f ca="1">IFERROR(__xludf.DUMMYFUNCTION("""COMPUTED_VALUE"""),"628434")</f>
        <v>628434</v>
      </c>
      <c r="AA238" s="4" t="str">
        <f ca="1">IFERROR(__xludf.DUMMYFUNCTION("""COMPUTED_VALUE"""),"Refinamiento - Deuda Técnica MVP Plan Mayor")</f>
        <v>Refinamiento - Deuda Técnica MVP Plan Mayor</v>
      </c>
      <c r="AB238" s="4" t="str">
        <f ca="1">IFERROR(__xludf.DUMMYFUNCTION("""COMPUTED_VALUE"""),"Mejorar y/o completar funcionalidades desarrolladas en MVP Plan Mayor:
- Control política general de la Línea de Financiamiento por destino paramétricamente.
- Visión y administración de Stock de forma completa y no por carga.
- Carga de Concesionarios y "&amp;"Vitrinas por Web Marca.
- Consulta de Garantía")</f>
        <v>Mejorar y/o completar funcionalidades desarrolladas en MVP Plan Mayor:
- Control política general de la Línea de Financiamiento por destino paramétricamente.
- Visión y administración de Stock de forma completa y no por carga.
- Carga de Concesionarios y Vitrinas por Web Marca.
- Consulta de Garantía</v>
      </c>
      <c r="AC238" s="4" t="str">
        <f ca="1">IFERROR(__xludf.DUMMYFUNCTION("""COMPUTED_VALUE"""),"2Q 2023")</f>
        <v>2Q 2023</v>
      </c>
      <c r="AD238" s="4"/>
      <c r="AE238" s="4"/>
      <c r="AF238" s="4"/>
      <c r="AG238" s="4"/>
      <c r="AH238" s="4"/>
      <c r="AI238" s="4"/>
      <c r="AJ238" s="4"/>
      <c r="AK238" s="131" t="str">
        <f ca="1">IFERROR(__xludf.DUMMYFUNCTION("""COMPUTED_VALUE"""),"COLWSPREST-8268")</f>
        <v>COLWSPREST-8268</v>
      </c>
      <c r="AL238" s="4" t="str">
        <f ca="1">IFERROR(__xludf.DUMMYFUNCTION("""COMPUTED_VALUE"""),"Test")</f>
        <v>Test</v>
      </c>
      <c r="AM238" s="4"/>
      <c r="AN238" s="4" t="str">
        <f ca="1">IFERROR(__xludf.DUMMYFUNCTION("""COMPUTED_VALUE"""),"Entregable en desarrollo")</f>
        <v>Entregable en desarrollo</v>
      </c>
      <c r="AO238" s="4" t="str">
        <f ca="1">IFERROR(__xludf.DUMMYFUNCTION("""COMPUTED_VALUE"""),"Transversales")</f>
        <v>Transversales</v>
      </c>
      <c r="AP238" s="4"/>
      <c r="AQ238" s="4"/>
      <c r="AR238" s="4" t="str">
        <f ca="1">IFERROR(__xludf.DUMMYFUNCTION("""COMPUTED_VALUE"""),"SDA aprobada en PPP Q1 2023")</f>
        <v>SDA aprobada en PPP Q1 2023</v>
      </c>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row>
    <row r="239" spans="1:132" x14ac:dyDescent="0.2">
      <c r="A239" s="4">
        <f ca="1">IFERROR(__xludf.DUMMYFUNCTION("""COMPUTED_VALUE"""),239)</f>
        <v>239</v>
      </c>
      <c r="B239" s="4">
        <f ca="1">IFERROR(__xludf.DUMMYFUNCTION("""COMPUTED_VALUE"""),218)</f>
        <v>218</v>
      </c>
      <c r="C239" s="4" t="str">
        <f ca="1">IFERROR(__xludf.DUMMYFUNCTION("""COMPUTED_VALUE"""),"SDATOOL-36547")</f>
        <v>SDATOOL-36547</v>
      </c>
      <c r="D239" s="4" t="str">
        <f ca="1">IFERROR(__xludf.DUMMYFUNCTION("""COMPUTED_VALUE"""),"PLAN MAYOR -PLAN MENOR. Plan ascenso Open Market")</f>
        <v>PLAN MAYOR -PLAN MENOR. Plan ascenso Open Market</v>
      </c>
      <c r="E239"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9" s="4" t="str">
        <f ca="1">IFERROR(__xludf.DUMMYFUNCTION("""COMPUTED_VALUE"""),"Project")</f>
        <v>Project</v>
      </c>
      <c r="G239" s="4" t="str">
        <f ca="1">IFERROR(__xludf.DUMMYFUNCTION("""COMPUTED_VALUE"""),"Stock")</f>
        <v>Stock</v>
      </c>
      <c r="H239" s="4" t="str">
        <f ca="1">IFERROR(__xludf.DUMMYFUNCTION("""COMPUTED_VALUE"""),"4Q 2023")</f>
        <v>4Q 2023</v>
      </c>
      <c r="I239" s="131" t="str">
        <f ca="1">IFERROR(__xludf.DUMMYFUNCTION("""COMPUTED_VALUE"""),"nathiahayosara.amado-bbva.com")</f>
        <v>nathiahayosara.amado-bbva.com</v>
      </c>
      <c r="J239" s="131" t="str">
        <f ca="1">IFERROR(__xludf.DUMMYFUNCTION("""COMPUTED_VALUE"""),"karenalexandra.martinez-bbva.com")</f>
        <v>karenalexandra.martinez-bbva.com</v>
      </c>
      <c r="K239" s="131" t="str">
        <f ca="1">IFERROR(__xludf.DUMMYFUNCTION("""COMPUTED_VALUE"""),"ivan_dario.ariza-bbva.com")</f>
        <v>ivan_dario.ariza-bbva.com</v>
      </c>
      <c r="L239" s="4"/>
      <c r="M239" s="4"/>
      <c r="N239" s="4"/>
      <c r="O239" s="4" t="str">
        <f ca="1">IFERROR(__xludf.DUMMYFUNCTION("""COMPUTED_VALUE"""),"Waterfall")</f>
        <v>Waterfall</v>
      </c>
      <c r="P239" s="4" t="str">
        <f ca="1">IFERROR(__xludf.DUMMYFUNCTION("""COMPUTED_VALUE"""),"Tradicional")</f>
        <v>Tradicional</v>
      </c>
      <c r="Q239" s="4"/>
      <c r="R239" s="130" t="str">
        <f ca="1">IFERROR(__xludf.DUMMYFUNCTION("""COMPUTED_VALUE"""),"Enterprises")</f>
        <v>Enterprises</v>
      </c>
      <c r="S239" s="130" t="str">
        <f ca="1">IFERROR(__xludf.DUMMYFUNCTION("""COMPUTED_VALUE"""),"Plan Ascenso")</f>
        <v>Plan Ascenso</v>
      </c>
      <c r="T239" s="130" t="str">
        <f ca="1">IFERROR(__xludf.DUMMYFUNCTION("""COMPUTED_VALUE"""),"1. Generación de Ingresos")</f>
        <v>1. Generación de Ingresos</v>
      </c>
      <c r="U239" s="130" t="str">
        <f ca="1">IFERROR(__xludf.DUMMYFUNCTION("""COMPUTED_VALUE"""),"1.5. Otros de Proyectos de Ingresos")</f>
        <v>1.5. Otros de Proyectos de Ingresos</v>
      </c>
      <c r="V239" s="4" t="str">
        <f ca="1">IFERROR(__xludf.DUMMYFUNCTION("""COMPUTED_VALUE"""),"Vehículo")</f>
        <v>Vehículo</v>
      </c>
      <c r="W239" s="4">
        <f ca="1">IFERROR(__xludf.DUMMYFUNCTION("""COMPUTED_VALUE"""),1)</f>
        <v>1</v>
      </c>
      <c r="X239" s="4" t="str">
        <f ca="1">IFERROR(__xludf.DUMMYFUNCTION("""COMPUTED_VALUE"""),"01. Open Market &amp; Partnerships")</f>
        <v>01. Open Market &amp; Partnerships</v>
      </c>
      <c r="Y239" s="4" t="str">
        <f ca="1">IFERROR(__xludf.DUMMYFUNCTION("""COMPUTED_VALUE"""),"4.1.1. Own channels")</f>
        <v>4.1.1. Own channels</v>
      </c>
      <c r="Z239" s="132" t="str">
        <f ca="1">IFERROR(__xludf.DUMMYFUNCTION("""COMPUTED_VALUE"""),"711018")</f>
        <v>711018</v>
      </c>
      <c r="AA239" s="4" t="str">
        <f ca="1">IFERROR(__xludf.DUMMYFUNCTION("""COMPUTED_VALUE"""),"Inclusión datos de Contacto Vitrinas  Informe Vehículos")</f>
        <v>Inclusión datos de Contacto Vitrinas  Informe Vehículos</v>
      </c>
      <c r="AB239" s="4" t="str">
        <f ca="1">IFERROR(__xludf.DUMMYFUNCTION("""COMPUTED_VALUE"""),"Adicionar campos en el informe de stock que permita unificar en un solo informe los datos de contacto de la vitrina.")</f>
        <v>Adicionar campos en el informe de stock que permita unificar en un solo informe los datos de contacto de la vitrina.</v>
      </c>
      <c r="AC239" s="4" t="str">
        <f ca="1">IFERROR(__xludf.DUMMYFUNCTION("""COMPUTED_VALUE"""),"4Q 2023")</f>
        <v>4Q 2023</v>
      </c>
      <c r="AD239" s="4"/>
      <c r="AE239" s="4"/>
      <c r="AF239" s="4"/>
      <c r="AG239" s="4"/>
      <c r="AH239" s="4"/>
      <c r="AI239" s="4"/>
      <c r="AJ239" s="4"/>
      <c r="AK239" s="4" t="str">
        <f ca="1">IFERROR(__xludf.DUMMYFUNCTION("""COMPUTED_VALUE"""),"Sin asignar")</f>
        <v>Sin asignar</v>
      </c>
      <c r="AL239" s="4" t="str">
        <f ca="1">IFERROR(__xludf.DUMMYFUNCTION("""COMPUTED_VALUE"""),"Sin asignar")</f>
        <v>Sin asignar</v>
      </c>
      <c r="AM239" s="4"/>
      <c r="AN239" s="4" t="str">
        <f ca="1">IFERROR(__xludf.DUMMYFUNCTION("""COMPUTED_VALUE"""),"Entregable en Conceptualización")</f>
        <v>Entregable en Conceptualización</v>
      </c>
      <c r="AO239" s="4" t="str">
        <f ca="1">IFERROR(__xludf.DUMMYFUNCTION("""COMPUTED_VALUE"""),"Transversales")</f>
        <v>Transversales</v>
      </c>
      <c r="AP239" s="4"/>
      <c r="AQ239" s="4"/>
      <c r="AR239" s="4" t="str">
        <f ca="1">IFERROR(__xludf.DUMMYFUNCTION("""COMPUTED_VALUE"""),"SDA aprobada en PPP Q1 2023")</f>
        <v>SDA aprobada en PPP Q1 2023</v>
      </c>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row>
    <row r="240" spans="1:132" x14ac:dyDescent="0.2">
      <c r="A240" s="4">
        <f ca="1">IFERROR(__xludf.DUMMYFUNCTION("""COMPUTED_VALUE"""),240)</f>
        <v>240</v>
      </c>
      <c r="B240" s="4">
        <f ca="1">IFERROR(__xludf.DUMMYFUNCTION("""COMPUTED_VALUE"""),219)</f>
        <v>219</v>
      </c>
      <c r="C240" s="4" t="str">
        <f ca="1">IFERROR(__xludf.DUMMYFUNCTION("""COMPUTED_VALUE"""),"SDATOOL-36547")</f>
        <v>SDATOOL-36547</v>
      </c>
      <c r="D240" s="4" t="str">
        <f ca="1">IFERROR(__xludf.DUMMYFUNCTION("""COMPUTED_VALUE"""),"PLAN MAYOR -PLAN MENOR. Plan ascenso Open Market")</f>
        <v>PLAN MAYOR -PLAN MENOR. Plan ascenso Open Market</v>
      </c>
      <c r="E240"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0" s="4" t="str">
        <f ca="1">IFERROR(__xludf.DUMMYFUNCTION("""COMPUTED_VALUE"""),"Project")</f>
        <v>Project</v>
      </c>
      <c r="G240" s="4" t="str">
        <f ca="1">IFERROR(__xludf.DUMMYFUNCTION("""COMPUTED_VALUE"""),"Stock")</f>
        <v>Stock</v>
      </c>
      <c r="H240" s="4" t="str">
        <f ca="1">IFERROR(__xludf.DUMMYFUNCTION("""COMPUTED_VALUE"""),"4Q 2023")</f>
        <v>4Q 2023</v>
      </c>
      <c r="I240" s="131" t="str">
        <f ca="1">IFERROR(__xludf.DUMMYFUNCTION("""COMPUTED_VALUE"""),"nathiahayosara.amado-bbva.com")</f>
        <v>nathiahayosara.amado-bbva.com</v>
      </c>
      <c r="J240" s="131" t="str">
        <f ca="1">IFERROR(__xludf.DUMMYFUNCTION("""COMPUTED_VALUE"""),"karenalexandra.martinez-bbva.com")</f>
        <v>karenalexandra.martinez-bbva.com</v>
      </c>
      <c r="K240" s="131" t="str">
        <f ca="1">IFERROR(__xludf.DUMMYFUNCTION("""COMPUTED_VALUE"""),"ivan_dario.ariza-bbva.com")</f>
        <v>ivan_dario.ariza-bbva.com</v>
      </c>
      <c r="L240" s="4"/>
      <c r="M240" s="4"/>
      <c r="N240" s="4"/>
      <c r="O240" s="4" t="str">
        <f ca="1">IFERROR(__xludf.DUMMYFUNCTION("""COMPUTED_VALUE"""),"Waterfall")</f>
        <v>Waterfall</v>
      </c>
      <c r="P240" s="4" t="str">
        <f ca="1">IFERROR(__xludf.DUMMYFUNCTION("""COMPUTED_VALUE"""),"Tradicional")</f>
        <v>Tradicional</v>
      </c>
      <c r="Q240" s="4"/>
      <c r="R240" s="130" t="str">
        <f ca="1">IFERROR(__xludf.DUMMYFUNCTION("""COMPUTED_VALUE"""),"Enterprises")</f>
        <v>Enterprises</v>
      </c>
      <c r="S240" s="130" t="str">
        <f ca="1">IFERROR(__xludf.DUMMYFUNCTION("""COMPUTED_VALUE"""),"Plan Ascenso")</f>
        <v>Plan Ascenso</v>
      </c>
      <c r="T240" s="130" t="str">
        <f ca="1">IFERROR(__xludf.DUMMYFUNCTION("""COMPUTED_VALUE"""),"1. Generación de Ingresos")</f>
        <v>1. Generación de Ingresos</v>
      </c>
      <c r="U240" s="130" t="str">
        <f ca="1">IFERROR(__xludf.DUMMYFUNCTION("""COMPUTED_VALUE"""),"1.5. Otros de Proyectos de Ingresos")</f>
        <v>1.5. Otros de Proyectos de Ingresos</v>
      </c>
      <c r="V240" s="4" t="str">
        <f ca="1">IFERROR(__xludf.DUMMYFUNCTION("""COMPUTED_VALUE"""),"Vehículo")</f>
        <v>Vehículo</v>
      </c>
      <c r="W240" s="4">
        <f ca="1">IFERROR(__xludf.DUMMYFUNCTION("""COMPUTED_VALUE"""),1)</f>
        <v>1</v>
      </c>
      <c r="X240" s="4" t="str">
        <f ca="1">IFERROR(__xludf.DUMMYFUNCTION("""COMPUTED_VALUE"""),"01. Open Market &amp; Partnerships")</f>
        <v>01. Open Market &amp; Partnerships</v>
      </c>
      <c r="Y240" s="4" t="str">
        <f ca="1">IFERROR(__xludf.DUMMYFUNCTION("""COMPUTED_VALUE"""),"4.1.1. Own channels")</f>
        <v>4.1.1. Own channels</v>
      </c>
      <c r="Z240" s="132" t="str">
        <f ca="1">IFERROR(__xludf.DUMMYFUNCTION("""COMPUTED_VALUE"""),"711348")</f>
        <v>711348</v>
      </c>
      <c r="AA240" s="4" t="str">
        <f ca="1">IFERROR(__xludf.DUMMYFUNCTION("""COMPUTED_VALUE"""),"Contratación de Terceros para Control Stock de Inventarios Plan Mayor")</f>
        <v>Contratación de Terceros para Control Stock de Inventarios Plan Mayor</v>
      </c>
      <c r="AB240" s="4" t="str">
        <f ca="1">IFERROR(__xludf.DUMMYFUNCTION("""COMPUTED_VALUE"""),"Asignación de presupuesto para levantamiento contratación y levantamiento de procesos de la administración de Stock de Inventario de Vehículos.")</f>
        <v>Asignación de presupuesto para levantamiento contratación y levantamiento de procesos de la administración de Stock de Inventario de Vehículos.</v>
      </c>
      <c r="AC240" s="4" t="str">
        <f ca="1">IFERROR(__xludf.DUMMYFUNCTION("""COMPUTED_VALUE"""),"4Q 2023")</f>
        <v>4Q 2023</v>
      </c>
      <c r="AD240" s="4"/>
      <c r="AE240" s="4"/>
      <c r="AF240" s="4"/>
      <c r="AG240" s="4"/>
      <c r="AH240" s="4"/>
      <c r="AI240" s="4"/>
      <c r="AJ240" s="4"/>
      <c r="AK240" s="131" t="str">
        <f ca="1">IFERROR(__xludf.DUMMYFUNCTION("""COMPUTED_VALUE"""),"COLWSPREST-10138")</f>
        <v>COLWSPREST-10138</v>
      </c>
      <c r="AL240" s="4" t="str">
        <f ca="1">IFERROR(__xludf.DUMMYFUNCTION("""COMPUTED_VALUE"""),"New")</f>
        <v>New</v>
      </c>
      <c r="AM240" s="4"/>
      <c r="AN240" s="4" t="str">
        <f ca="1">IFERROR(__xludf.DUMMYFUNCTION("""COMPUTED_VALUE"""),"Entregable en Conceptualización")</f>
        <v>Entregable en Conceptualización</v>
      </c>
      <c r="AO240" s="4" t="str">
        <f ca="1">IFERROR(__xludf.DUMMYFUNCTION("""COMPUTED_VALUE"""),"Transversales")</f>
        <v>Transversales</v>
      </c>
      <c r="AP240" s="4"/>
      <c r="AQ240" s="4"/>
      <c r="AR240" s="4" t="str">
        <f ca="1">IFERROR(__xludf.DUMMYFUNCTION("""COMPUTED_VALUE"""),"SDA aprobada en PPP Q1 2023")</f>
        <v>SDA aprobada en PPP Q1 2023</v>
      </c>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row>
    <row r="241" spans="1:132" x14ac:dyDescent="0.2">
      <c r="A241" s="4">
        <f ca="1">IFERROR(__xludf.DUMMYFUNCTION("""COMPUTED_VALUE"""),241)</f>
        <v>241</v>
      </c>
      <c r="B241" s="4">
        <f ca="1">IFERROR(__xludf.DUMMYFUNCTION("""COMPUTED_VALUE"""),220)</f>
        <v>220</v>
      </c>
      <c r="C241" s="4" t="str">
        <f ca="1">IFERROR(__xludf.DUMMYFUNCTION("""COMPUTED_VALUE"""),"SDATOOL-36547")</f>
        <v>SDATOOL-36547</v>
      </c>
      <c r="D241" s="4" t="str">
        <f ca="1">IFERROR(__xludf.DUMMYFUNCTION("""COMPUTED_VALUE"""),"PLAN MAYOR -PLAN MENOR. Plan ascenso Open Market")</f>
        <v>PLAN MAYOR -PLAN MENOR. Plan ascenso Open Market</v>
      </c>
      <c r="E241"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1" s="4" t="str">
        <f ca="1">IFERROR(__xludf.DUMMYFUNCTION("""COMPUTED_VALUE"""),"Project")</f>
        <v>Project</v>
      </c>
      <c r="G241" s="4" t="str">
        <f ca="1">IFERROR(__xludf.DUMMYFUNCTION("""COMPUTED_VALUE"""),"Stock")</f>
        <v>Stock</v>
      </c>
      <c r="H241" s="4" t="str">
        <f ca="1">IFERROR(__xludf.DUMMYFUNCTION("""COMPUTED_VALUE"""),"4Q 2023")</f>
        <v>4Q 2023</v>
      </c>
      <c r="I241" s="131" t="str">
        <f ca="1">IFERROR(__xludf.DUMMYFUNCTION("""COMPUTED_VALUE"""),"nathiahayosara.amado-bbva.com")</f>
        <v>nathiahayosara.amado-bbva.com</v>
      </c>
      <c r="J241" s="131" t="str">
        <f ca="1">IFERROR(__xludf.DUMMYFUNCTION("""COMPUTED_VALUE"""),"karenalexandra.martinez-bbva.com")</f>
        <v>karenalexandra.martinez-bbva.com</v>
      </c>
      <c r="K241" s="131" t="str">
        <f ca="1">IFERROR(__xludf.DUMMYFUNCTION("""COMPUTED_VALUE"""),"ivan_dario.ariza-bbva.com")</f>
        <v>ivan_dario.ariza-bbva.com</v>
      </c>
      <c r="L241" s="4"/>
      <c r="M241" s="4"/>
      <c r="N241" s="4"/>
      <c r="O241" s="4" t="str">
        <f ca="1">IFERROR(__xludf.DUMMYFUNCTION("""COMPUTED_VALUE"""),"Waterfall")</f>
        <v>Waterfall</v>
      </c>
      <c r="P241" s="4" t="str">
        <f ca="1">IFERROR(__xludf.DUMMYFUNCTION("""COMPUTED_VALUE"""),"Tradicional")</f>
        <v>Tradicional</v>
      </c>
      <c r="Q241" s="4"/>
      <c r="R241" s="130" t="str">
        <f ca="1">IFERROR(__xludf.DUMMYFUNCTION("""COMPUTED_VALUE"""),"Enterprises")</f>
        <v>Enterprises</v>
      </c>
      <c r="S241" s="130" t="str">
        <f ca="1">IFERROR(__xludf.DUMMYFUNCTION("""COMPUTED_VALUE"""),"Plan Ascenso")</f>
        <v>Plan Ascenso</v>
      </c>
      <c r="T241" s="130" t="str">
        <f ca="1">IFERROR(__xludf.DUMMYFUNCTION("""COMPUTED_VALUE"""),"1. Generación de Ingresos")</f>
        <v>1. Generación de Ingresos</v>
      </c>
      <c r="U241" s="130" t="str">
        <f ca="1">IFERROR(__xludf.DUMMYFUNCTION("""COMPUTED_VALUE"""),"1.5. Otros de Proyectos de Ingresos")</f>
        <v>1.5. Otros de Proyectos de Ingresos</v>
      </c>
      <c r="V241" s="4" t="str">
        <f ca="1">IFERROR(__xludf.DUMMYFUNCTION("""COMPUTED_VALUE"""),"Vehículo")</f>
        <v>Vehículo</v>
      </c>
      <c r="W241" s="4">
        <f ca="1">IFERROR(__xludf.DUMMYFUNCTION("""COMPUTED_VALUE"""),1)</f>
        <v>1</v>
      </c>
      <c r="X241" s="4" t="str">
        <f ca="1">IFERROR(__xludf.DUMMYFUNCTION("""COMPUTED_VALUE"""),"01. Open Market &amp; Partnerships")</f>
        <v>01. Open Market &amp; Partnerships</v>
      </c>
      <c r="Y241" s="4" t="str">
        <f ca="1">IFERROR(__xludf.DUMMYFUNCTION("""COMPUTED_VALUE"""),"5.6.6 Non Global Project")</f>
        <v>5.6.6 Non Global Project</v>
      </c>
      <c r="Z241" s="132" t="str">
        <f ca="1">IFERROR(__xludf.DUMMYFUNCTION("""COMPUTED_VALUE"""),"427254")</f>
        <v>427254</v>
      </c>
      <c r="AA241" s="4" t="str">
        <f ca="1">IFERROR(__xludf.DUMMYFUNCTION("""COMPUTED_VALUE"""),"Administración de Stock de Inventarios y Empresas Auditoras")</f>
        <v>Administración de Stock de Inventarios y Empresas Auditoras</v>
      </c>
      <c r="AB241" s="4" t="str">
        <f ca="1">IFERROR(__xludf.DUMMYFUNCTION("""COMPUTED_VALUE"""),"Permitir la carga de stock de inventario para la administración y permitir la carga de facturas del stock de inventarios a negociar.
Dar de alta a las empresas auditoras y asignar stock de inventarios en forma automática cada vez que cargan el detalle de"&amp;"l stock.")</f>
        <v>Permitir la carga de stock de inventario para la administración y permitir la carga de facturas del stock de inventarios a negociar.
Dar de alta a las empresas auditoras y asignar stock de inventarios en forma automática cada vez que cargan el detalle del stock.</v>
      </c>
      <c r="AC241" s="4" t="str">
        <f ca="1">IFERROR(__xludf.DUMMYFUNCTION("""COMPUTED_VALUE"""),"3Q 2022")</f>
        <v>3Q 2022</v>
      </c>
      <c r="AD241" s="4"/>
      <c r="AE241" s="4"/>
      <c r="AF241" s="4"/>
      <c r="AG241" s="4"/>
      <c r="AH241" s="4"/>
      <c r="AI241" s="4"/>
      <c r="AJ241" s="4"/>
      <c r="AK241" s="4" t="str">
        <f ca="1">IFERROR(__xludf.DUMMYFUNCTION("""COMPUTED_VALUE"""),"Sin asignar")</f>
        <v>Sin asignar</v>
      </c>
      <c r="AL241" s="4" t="str">
        <f ca="1">IFERROR(__xludf.DUMMYFUNCTION("""COMPUTED_VALUE"""),"Sin asignar")</f>
        <v>Sin asignar</v>
      </c>
      <c r="AM241" s="4"/>
      <c r="AN241" s="4" t="str">
        <f ca="1">IFERROR(__xludf.DUMMYFUNCTION("""COMPUTED_VALUE"""),"Entregable en backlog")</f>
        <v>Entregable en backlog</v>
      </c>
      <c r="AO241" s="4" t="str">
        <f ca="1">IFERROR(__xludf.DUMMYFUNCTION("""COMPUTED_VALUE"""),"Transversales")</f>
        <v>Transversales</v>
      </c>
      <c r="AP241" s="4"/>
      <c r="AQ241" s="4"/>
      <c r="AR241" s="4" t="str">
        <f ca="1">IFERROR(__xludf.DUMMYFUNCTION("""COMPUTED_VALUE"""),"SDA aprobada en PPP Q1 2023")</f>
        <v>SDA aprobada en PPP Q1 2023</v>
      </c>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row>
    <row r="242" spans="1:132" x14ac:dyDescent="0.2">
      <c r="A242" s="4">
        <f ca="1">IFERROR(__xludf.DUMMYFUNCTION("""COMPUTED_VALUE"""),242)</f>
        <v>242</v>
      </c>
      <c r="B242" s="4">
        <f ca="1">IFERROR(__xludf.DUMMYFUNCTION("""COMPUTED_VALUE"""),221)</f>
        <v>221</v>
      </c>
      <c r="C242" s="4" t="str">
        <f ca="1">IFERROR(__xludf.DUMMYFUNCTION("""COMPUTED_VALUE"""),"SDATOOL-36547")</f>
        <v>SDATOOL-36547</v>
      </c>
      <c r="D242" s="4" t="str">
        <f ca="1">IFERROR(__xludf.DUMMYFUNCTION("""COMPUTED_VALUE"""),"PLAN MAYOR -PLAN MENOR. Plan ascenso Open Market")</f>
        <v>PLAN MAYOR -PLAN MENOR. Plan ascenso Open Market</v>
      </c>
      <c r="E242"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2" s="4" t="str">
        <f ca="1">IFERROR(__xludf.DUMMYFUNCTION("""COMPUTED_VALUE"""),"Project")</f>
        <v>Project</v>
      </c>
      <c r="G242" s="4" t="str">
        <f ca="1">IFERROR(__xludf.DUMMYFUNCTION("""COMPUTED_VALUE"""),"Stock")</f>
        <v>Stock</v>
      </c>
      <c r="H242" s="4" t="str">
        <f ca="1">IFERROR(__xludf.DUMMYFUNCTION("""COMPUTED_VALUE"""),"4Q 2023")</f>
        <v>4Q 2023</v>
      </c>
      <c r="I242" s="131" t="str">
        <f ca="1">IFERROR(__xludf.DUMMYFUNCTION("""COMPUTED_VALUE"""),"nathiahayosara.amado-bbva.com")</f>
        <v>nathiahayosara.amado-bbva.com</v>
      </c>
      <c r="J242" s="131" t="str">
        <f ca="1">IFERROR(__xludf.DUMMYFUNCTION("""COMPUTED_VALUE"""),"karenalexandra.martinez-bbva.com")</f>
        <v>karenalexandra.martinez-bbva.com</v>
      </c>
      <c r="K242" s="131" t="str">
        <f ca="1">IFERROR(__xludf.DUMMYFUNCTION("""COMPUTED_VALUE"""),"ivan_dario.ariza-bbva.com")</f>
        <v>ivan_dario.ariza-bbva.com</v>
      </c>
      <c r="L242" s="4"/>
      <c r="M242" s="4"/>
      <c r="N242" s="4"/>
      <c r="O242" s="4" t="str">
        <f ca="1">IFERROR(__xludf.DUMMYFUNCTION("""COMPUTED_VALUE"""),"Waterfall")</f>
        <v>Waterfall</v>
      </c>
      <c r="P242" s="4" t="str">
        <f ca="1">IFERROR(__xludf.DUMMYFUNCTION("""COMPUTED_VALUE"""),"Tradicional")</f>
        <v>Tradicional</v>
      </c>
      <c r="Q242" s="4"/>
      <c r="R242" s="130" t="str">
        <f ca="1">IFERROR(__xludf.DUMMYFUNCTION("""COMPUTED_VALUE"""),"Enterprises")</f>
        <v>Enterprises</v>
      </c>
      <c r="S242" s="130" t="str">
        <f ca="1">IFERROR(__xludf.DUMMYFUNCTION("""COMPUTED_VALUE"""),"Plan Ascenso")</f>
        <v>Plan Ascenso</v>
      </c>
      <c r="T242" s="130" t="str">
        <f ca="1">IFERROR(__xludf.DUMMYFUNCTION("""COMPUTED_VALUE"""),"1. Generación de Ingresos")</f>
        <v>1. Generación de Ingresos</v>
      </c>
      <c r="U242" s="130" t="str">
        <f ca="1">IFERROR(__xludf.DUMMYFUNCTION("""COMPUTED_VALUE"""),"1.5. Otros de Proyectos de Ingresos")</f>
        <v>1.5. Otros de Proyectos de Ingresos</v>
      </c>
      <c r="V242" s="4" t="str">
        <f ca="1">IFERROR(__xludf.DUMMYFUNCTION("""COMPUTED_VALUE"""),"Vehículo")</f>
        <v>Vehículo</v>
      </c>
      <c r="W242" s="4">
        <f ca="1">IFERROR(__xludf.DUMMYFUNCTION("""COMPUTED_VALUE"""),1)</f>
        <v>1</v>
      </c>
      <c r="X242" s="4" t="str">
        <f ca="1">IFERROR(__xludf.DUMMYFUNCTION("""COMPUTED_VALUE"""),"01. Open Market &amp; Partnerships")</f>
        <v>01. Open Market &amp; Partnerships</v>
      </c>
      <c r="Y242" s="4" t="str">
        <f ca="1">IFERROR(__xludf.DUMMYFUNCTION("""COMPUTED_VALUE"""),"5.6.6 Non Global Project")</f>
        <v>5.6.6 Non Global Project</v>
      </c>
      <c r="Z242" s="132" t="str">
        <f ca="1">IFERROR(__xludf.DUMMYFUNCTION("""COMPUTED_VALUE"""),"712305")</f>
        <v>712305</v>
      </c>
      <c r="AA242" s="4" t="str">
        <f ca="1">IFERROR(__xludf.DUMMYFUNCTION("""COMPUTED_VALUE"""),"Activar Línea de Financiamiento Plan Mayor y Línea Triangular en un día")</f>
        <v>Activar Línea de Financiamiento Plan Mayor y Línea Triangular en un día</v>
      </c>
      <c r="AB242" s="4" t="str">
        <f ca="1">IFERROR(__xludf.DUMMYFUNCTION("""COMPUTED_VALUE"""),"- Al crear la línea de financiamiento y atar seguros y/o garantías a la misma, la línea debe activarse máximo al siguiente día tanto en el alta primera vez como en la renovación de la Línea de Financiamiento.")</f>
        <v>- Al crear la línea de financiamiento y atar seguros y/o garantías a la misma, la línea debe activarse máximo al siguiente día tanto en el alta primera vez como en la renovación de la Línea de Financiamiento.</v>
      </c>
      <c r="AC242" s="4" t="str">
        <f ca="1">IFERROR(__xludf.DUMMYFUNCTION("""COMPUTED_VALUE"""),"3Q 2023")</f>
        <v>3Q 2023</v>
      </c>
      <c r="AD242" s="4"/>
      <c r="AE242" s="4"/>
      <c r="AF242" s="4"/>
      <c r="AG242" s="4"/>
      <c r="AH242" s="4"/>
      <c r="AI242" s="4"/>
      <c r="AJ242" s="4"/>
      <c r="AK242" s="131" t="str">
        <f ca="1">IFERROR(__xludf.DUMMYFUNCTION("""COMPUTED_VALUE"""),"COLWSPREST-10349")</f>
        <v>COLWSPREST-10349</v>
      </c>
      <c r="AL242" s="4" t="str">
        <f ca="1">IFERROR(__xludf.DUMMYFUNCTION("""COMPUTED_VALUE"""),"New")</f>
        <v>New</v>
      </c>
      <c r="AM242" s="4"/>
      <c r="AN242" s="4" t="str">
        <f ca="1">IFERROR(__xludf.DUMMYFUNCTION("""COMPUTED_VALUE"""),"Entregable en backlog")</f>
        <v>Entregable en backlog</v>
      </c>
      <c r="AO242" s="4" t="str">
        <f ca="1">IFERROR(__xludf.DUMMYFUNCTION("""COMPUTED_VALUE"""),"Transversales")</f>
        <v>Transversales</v>
      </c>
      <c r="AP242" s="4"/>
      <c r="AQ242" s="4"/>
      <c r="AR242" s="4" t="str">
        <f ca="1">IFERROR(__xludf.DUMMYFUNCTION("""COMPUTED_VALUE"""),"SDA aprobada en PPP Q1 2023")</f>
        <v>SDA aprobada en PPP Q1 2023</v>
      </c>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row>
    <row r="243" spans="1:132" x14ac:dyDescent="0.2">
      <c r="A243" s="4">
        <f ca="1">IFERROR(__xludf.DUMMYFUNCTION("""COMPUTED_VALUE"""),243)</f>
        <v>243</v>
      </c>
      <c r="B243" s="4">
        <f ca="1">IFERROR(__xludf.DUMMYFUNCTION("""COMPUTED_VALUE"""),222)</f>
        <v>222</v>
      </c>
      <c r="C243" s="4" t="str">
        <f ca="1">IFERROR(__xludf.DUMMYFUNCTION("""COMPUTED_VALUE"""),"SDATOOL-42106")</f>
        <v>SDATOOL-42106</v>
      </c>
      <c r="D243" s="4" t="str">
        <f ca="1">IFERROR(__xludf.DUMMYFUNCTION("""COMPUTED_VALUE"""),"Emisión Certificados Tributarios a  proveedores en  Operaciones Sin Recurso (Proyecto Normativo)")</f>
        <v>Emisión Certificados Tributarios a  proveedores en  Operaciones Sin Recurso (Proyecto Normativo)</v>
      </c>
      <c r="E243" s="4" t="str">
        <f ca="1">IFERROR(__xludf.DUMMYFUNCTION("""COMPUTED_VALUE"""),"Cumplir con los requerimientos legales de las normas que regulan los reportes de información ingresos  y expedición de certificaciones tributarias, para el caso certificado de retenciones a título de GMF originadas en operaciones de factoring sin Recurso."&amp;"
1. Regulación gravamen a movimientos financiero – GMF (4xmil: 
“Artículo 381 del estatuto tributario ... los agentes retenedores deberán expedir anualmente un certificado de retenciones que contendrá:
   a. Año gravable y ciudad donde se consignó la r"&amp;"etención.
   b. Apellidos y nombre o razón social y NIT del retenedor.
   c .Dirección del agente retenedor.
   d. Apellidos y nombre o razón social y NIT de la persona o entidad a quien se le practicó la retención.
   e. Monto total y concepto del pago s"&amp;"ujeto a retención.
   f. Concepto y cuantía de la retención efectuada.
   g. La firma del pagador o agente retenedor. (...)”
2. Reportes de Información Exógena para la DIAN
Dando cumplimiento al artículo 19 de la resolución 000124 de octubre 28 de 2021 "&amp;"y la resolución 001255 del 26 de octubre de 2022, se deben reportar los ingresos recibidos detallando el tercero de quien se recibió el ingreso así.")</f>
        <v>Cumplir con los requerimientos legales de las normas que regulan los reportes de información ingresos  y expedición de certificaciones tributarias, para el caso certificado de retenciones a título de GMF originadas en operaciones de factoring sin Recurso.
1. Regulación gravamen a movimientos financiero – GMF (4xmil: 
“Artículo 381 del estatuto tributario ... los agentes retenedores deberán expedir anualmente un certificado de retenciones que contendrá:
   a. Año gravable y ciudad donde se consignó la retención.
   b. Apellidos y nombre o razón social y NIT del retenedor.
   c .Dirección del agente retenedor.
   d. Apellidos y nombre o razón social y NIT de la persona o entidad a quien se le practicó la retención.
   e. Monto total y concepto del pago sujeto a retención.
   f. Concepto y cuantía de la retención efectuada.
   g. La firma del pagador o agente retenedor. (...)”
2. Reportes de Información Exógena para la DIAN
Dando cumplimiento al artículo 19 de la resolución 000124 de octubre 28 de 2021 y la resolución 001255 del 26 de octubre de 2022, se deben reportar los ingresos recibidos detallando el tercero de quien se recibió el ingreso así.</v>
      </c>
      <c r="F243" s="4" t="str">
        <f ca="1">IFERROR(__xludf.DUMMYFUNCTION("""COMPUTED_VALUE"""),"Project")</f>
        <v>Project</v>
      </c>
      <c r="G243" s="4" t="str">
        <f ca="1">IFERROR(__xludf.DUMMYFUNCTION("""COMPUTED_VALUE"""),"Stock")</f>
        <v>Stock</v>
      </c>
      <c r="H243" s="4" t="str">
        <f ca="1">IFERROR(__xludf.DUMMYFUNCTION("""COMPUTED_VALUE"""),"3Q 2023")</f>
        <v>3Q 2023</v>
      </c>
      <c r="I243" s="131" t="str">
        <f ca="1">IFERROR(__xludf.DUMMYFUNCTION("""COMPUTED_VALUE"""),"nathiahayosara.amado-bbva.com")</f>
        <v>nathiahayosara.amado-bbva.com</v>
      </c>
      <c r="J243" s="131" t="str">
        <f ca="1">IFERROR(__xludf.DUMMYFUNCTION("""COMPUTED_VALUE"""),"karenalexandra.martinez-bbva.com")</f>
        <v>karenalexandra.martinez-bbva.com</v>
      </c>
      <c r="K243" s="131" t="str">
        <f ca="1">IFERROR(__xludf.DUMMYFUNCTION("""COMPUTED_VALUE"""),"ivan_dario.ariza-bbva.com")</f>
        <v>ivan_dario.ariza-bbva.com</v>
      </c>
      <c r="L243" s="130">
        <f ca="1">IFERROR(__xludf.DUMMYFUNCTION("""COMPUTED_VALUE"""),0.3)</f>
        <v>0.3</v>
      </c>
      <c r="M243" s="130">
        <f ca="1">IFERROR(__xludf.DUMMYFUNCTION("""COMPUTED_VALUE"""),0.6)</f>
        <v>0.6</v>
      </c>
      <c r="N243" s="130">
        <f ca="1">IFERROR(__xludf.DUMMYFUNCTION("""COMPUTED_VALUE"""),0)</f>
        <v>0</v>
      </c>
      <c r="O243" s="4" t="str">
        <f ca="1">IFERROR(__xludf.DUMMYFUNCTION("""COMPUTED_VALUE"""),"Waterfall")</f>
        <v>Waterfall</v>
      </c>
      <c r="P243" s="4" t="str">
        <f ca="1">IFERROR(__xludf.DUMMYFUNCTION("""COMPUTED_VALUE"""),"Tradicional")</f>
        <v>Tradicional</v>
      </c>
      <c r="Q243" s="4"/>
      <c r="R243" s="130" t="str">
        <f ca="1">IFERROR(__xludf.DUMMYFUNCTION("""COMPUTED_VALUE"""),"Enterprises")</f>
        <v>Enterprises</v>
      </c>
      <c r="S243" s="130" t="str">
        <f ca="1">IFERROR(__xludf.DUMMYFUNCTION("""COMPUTED_VALUE"""),"Otros")</f>
        <v>Otros</v>
      </c>
      <c r="T243" s="130" t="str">
        <f ca="1">IFERROR(__xludf.DUMMYFUNCTION("""COMPUTED_VALUE"""),"Normativo")</f>
        <v>Normativo</v>
      </c>
      <c r="U243" s="130" t="str">
        <f ca="1">IFERROR(__xludf.DUMMYFUNCTION("""COMPUTED_VALUE"""),"No Aplica")</f>
        <v>No Aplica</v>
      </c>
      <c r="V243" s="4" t="str">
        <f ca="1">IFERROR(__xludf.DUMMYFUNCTION("""COMPUTED_VALUE"""),"Otros")</f>
        <v>Otros</v>
      </c>
      <c r="W243" s="4">
        <f ca="1">IFERROR(__xludf.DUMMYFUNCTION("""COMPUTED_VALUE"""),2)</f>
        <v>2</v>
      </c>
      <c r="X243" s="4" t="str">
        <f ca="1">IFERROR(__xludf.DUMMYFUNCTION("""COMPUTED_VALUE"""),"10. Otros")</f>
        <v>10. Otros</v>
      </c>
      <c r="Y243" s="130" t="str">
        <f ca="1">IFERROR(__xludf.DUMMYFUNCTION("""COMPUTED_VALUE"""),"Otros")</f>
        <v>Otros</v>
      </c>
      <c r="Z243" s="132" t="str">
        <f ca="1">IFERROR(__xludf.DUMMYFUNCTION("""COMPUTED_VALUE"""),"710800")</f>
        <v>710800</v>
      </c>
      <c r="AA243" s="4" t="str">
        <f ca="1">IFERROR(__xludf.DUMMYFUNCTION("""COMPUTED_VALUE"""),"Emisión Certificados Tributarios a proveedores en Operaciones Sin Recurso")</f>
        <v>Emisión Certificados Tributarios a proveedores en Operaciones Sin Recurso</v>
      </c>
      <c r="AB243" s="4" t="str">
        <f ca="1">IFERROR(__xludf.DUMMYFUNCTION("""COMPUTED_VALUE"""),"Cumplimiento a la normativa del “Artículo 381 del estatuto tributario ... "" y ""artículo 19 de la resolución 000124 de octubre 28 de 2021 y la resolución 001255 del 26 de octubre de 2022"" 
1. Regulación gravamen a movimientos financiero – GMF (4xmil)
2"&amp;". Reportes de Información Exógena para la DIAN")</f>
        <v>Cumplimiento a la normativa del “Artículo 381 del estatuto tributario ... " y "artículo 19 de la resolución 000124 de octubre 28 de 2021 y la resolución 001255 del 26 de octubre de 2022" 
1. Regulación gravamen a movimientos financiero – GMF (4xmil)
2. Reportes de Información Exógena para la DIAN</v>
      </c>
      <c r="AC243" s="4" t="str">
        <f ca="1">IFERROR(__xludf.DUMMYFUNCTION("""COMPUTED_VALUE"""),"3Q 2023")</f>
        <v>3Q 2023</v>
      </c>
      <c r="AD243" s="4"/>
      <c r="AE243" s="4"/>
      <c r="AF243" s="4"/>
      <c r="AG243" s="4"/>
      <c r="AH243" s="4"/>
      <c r="AI243" s="4"/>
      <c r="AJ243" s="4"/>
      <c r="AK243" s="131" t="str">
        <f ca="1">IFERROR(__xludf.DUMMYFUNCTION("""COMPUTED_VALUE"""),"COLWSSUPPL-21")</f>
        <v>COLWSSUPPL-21</v>
      </c>
      <c r="AL243" s="4" t="str">
        <f ca="1">IFERROR(__xludf.DUMMYFUNCTION("""COMPUTED_VALUE"""),"En progreso")</f>
        <v>En progreso</v>
      </c>
      <c r="AM243" s="4"/>
      <c r="AN243" s="4" t="str">
        <f ca="1">IFERROR(__xludf.DUMMYFUNCTION("""COMPUTED_VALUE"""),"Entregable en backlog")</f>
        <v>Entregable en backlog</v>
      </c>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133">
        <f ca="1">IFERROR(__xludf.DUMMYFUNCTION("""COMPUTED_VALUE"""),0)</f>
        <v>0</v>
      </c>
      <c r="DV243" s="133">
        <f ca="1">IFERROR(__xludf.DUMMYFUNCTION("""COMPUTED_VALUE"""),0)</f>
        <v>0</v>
      </c>
      <c r="DW243" s="133">
        <f ca="1">IFERROR(__xludf.DUMMYFUNCTION("""COMPUTED_VALUE"""),0)</f>
        <v>0</v>
      </c>
      <c r="DX243" s="133">
        <f ca="1">IFERROR(__xludf.DUMMYFUNCTION("""COMPUTED_VALUE"""),54345393)</f>
        <v>54345393</v>
      </c>
      <c r="DY243" s="133">
        <f ca="1">IFERROR(__xludf.DUMMYFUNCTION("""COMPUTED_VALUE"""),0)</f>
        <v>0</v>
      </c>
      <c r="DZ243" s="133">
        <f ca="1">IFERROR(__xludf.DUMMYFUNCTION("""COMPUTED_VALUE"""),54345393)</f>
        <v>54345393</v>
      </c>
      <c r="EA243" s="4"/>
      <c r="EB243" s="4"/>
    </row>
    <row r="244" spans="1:132" x14ac:dyDescent="0.2">
      <c r="A244" s="4">
        <f ca="1">IFERROR(__xludf.DUMMYFUNCTION("""COMPUTED_VALUE"""),244)</f>
        <v>244</v>
      </c>
      <c r="B244" s="4">
        <f ca="1">IFERROR(__xludf.DUMMYFUNCTION("""COMPUTED_VALUE"""),223)</f>
        <v>223</v>
      </c>
      <c r="C244" s="4" t="str">
        <f ca="1">IFERROR(__xludf.DUMMYFUNCTION("""COMPUTED_VALUE"""),"SDATOOL-38427")</f>
        <v>SDATOOL-38427</v>
      </c>
      <c r="D244" s="4" t="str">
        <f ca="1">IFERROR(__xludf.DUMMYFUNCTION("""COMPUTED_VALUE"""),"Servicios transaccionales 2022")</f>
        <v>Servicios transaccionales 2022</v>
      </c>
      <c r="E24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4" s="4" t="str">
        <f ca="1">IFERROR(__xludf.DUMMYFUNCTION("""COMPUTED_VALUE"""),"Project")</f>
        <v>Project</v>
      </c>
      <c r="G244" s="4" t="str">
        <f ca="1">IFERROR(__xludf.DUMMYFUNCTION("""COMPUTED_VALUE"""),"Ended")</f>
        <v>Ended</v>
      </c>
      <c r="H244" s="4" t="str">
        <f ca="1">IFERROR(__xludf.DUMMYFUNCTION("""COMPUTED_VALUE"""),"1Q 2023")</f>
        <v>1Q 2023</v>
      </c>
      <c r="I244" s="131" t="str">
        <f ca="1">IFERROR(__xludf.DUMMYFUNCTION("""COMPUTED_VALUE"""),"nathiahayosara.amado-bbva.com")</f>
        <v>nathiahayosara.amado-bbva.com</v>
      </c>
      <c r="J244" s="131" t="str">
        <f ca="1">IFERROR(__xludf.DUMMYFUNCTION("""COMPUTED_VALUE"""),"jeissonandres.diaz.rodriguez-bbva.com")</f>
        <v>jeissonandres.diaz.rodriguez-bbva.com</v>
      </c>
      <c r="K244" s="131" t="str">
        <f ca="1">IFERROR(__xludf.DUMMYFUNCTION("""COMPUTED_VALUE"""),"elizabeth.diaz-bbva.com")</f>
        <v>elizabeth.diaz-bbva.com</v>
      </c>
      <c r="L244" s="130">
        <f ca="1">IFERROR(__xludf.DUMMYFUNCTION("""COMPUTED_VALUE"""),0)</f>
        <v>0</v>
      </c>
      <c r="M244" s="130">
        <f ca="1">IFERROR(__xludf.DUMMYFUNCTION("""COMPUTED_VALUE"""),0.75)</f>
        <v>0.75</v>
      </c>
      <c r="N244" s="130">
        <f ca="1">IFERROR(__xludf.DUMMYFUNCTION("""COMPUTED_VALUE"""),0.5)</f>
        <v>0.5</v>
      </c>
      <c r="O244" s="4" t="str">
        <f ca="1">IFERROR(__xludf.DUMMYFUNCTION("""COMPUTED_VALUE"""),"Waterfall")</f>
        <v>Waterfall</v>
      </c>
      <c r="P244" s="4" t="str">
        <f ca="1">IFERROR(__xludf.DUMMYFUNCTION("""COMPUTED_VALUE"""),"Tradicional Mesa Transaccional")</f>
        <v>Tradicional Mesa Transaccional</v>
      </c>
      <c r="Q244" s="4"/>
      <c r="R244" s="130" t="str">
        <f ca="1">IFERROR(__xludf.DUMMYFUNCTION("""COMPUTED_VALUE"""),"Enterprises")</f>
        <v>Enterprises</v>
      </c>
      <c r="S244" s="130" t="str">
        <f ca="1">IFERROR(__xludf.DUMMYFUNCTION("""COMPUTED_VALUE"""),"Strategic Review")</f>
        <v>Strategic Review</v>
      </c>
      <c r="T244" s="130" t="str">
        <f ca="1">IFERROR(__xludf.DUMMYFUNCTION("""COMPUTED_VALUE"""),"Otros")</f>
        <v>Otros</v>
      </c>
      <c r="U244" s="130" t="str">
        <f ca="1">IFERROR(__xludf.DUMMYFUNCTION("""COMPUTED_VALUE"""),"No Aplica")</f>
        <v>No Aplica</v>
      </c>
      <c r="V244" s="4" t="str">
        <f ca="1">IFERROR(__xludf.DUMMYFUNCTION("""COMPUTED_VALUE"""),"Otros")</f>
        <v>Otros</v>
      </c>
      <c r="W244" s="4">
        <f ca="1">IFERROR(__xludf.DUMMYFUNCTION("""COMPUTED_VALUE"""),3)</f>
        <v>3</v>
      </c>
      <c r="X244" s="4" t="str">
        <f ca="1">IFERROR(__xludf.DUMMYFUNCTION("""COMPUTED_VALUE"""),"08. Enterprise Transactionality")</f>
        <v>08. Enterprise Transactionality</v>
      </c>
      <c r="Y244" s="4" t="str">
        <f ca="1">IFERROR(__xludf.DUMMYFUNCTION("""COMPUTED_VALUE"""),"5.7.1 Keep the Bank Running")</f>
        <v>5.7.1 Keep the Bank Running</v>
      </c>
      <c r="Z244" s="132" t="str">
        <f ca="1">IFERROR(__xludf.DUMMYFUNCTION("""COMPUTED_VALUE"""),"429375")</f>
        <v>429375</v>
      </c>
      <c r="AA244" s="4" t="str">
        <f ca="1">IFERROR(__xludf.DUMMYFUNCTION("""COMPUTED_VALUE"""),"Ajuste Recaudo Vanti")</f>
        <v>Ajuste Recaudo Vanti</v>
      </c>
      <c r="AB244" s="4" t="str">
        <f ca="1">IFERROR(__xludf.DUMMYFUNCTION("""COMPUTED_VALUE"""),"Se requiere el desarrollo para el No repudio de la operación de confirmación de pago realizadas por el WS cliente Vanti, esto se debe a las novedades que se han venido presentando en el recaudo.
Beneficiara los diferentes canales que se tienen habilitado"&amp;"s con el banco: TF, CN, CB, CW.")</f>
        <v>Se requiere el desarrollo para el No repudio de la operación de confirmación de pago realizadas por el WS cliente Vanti, esto se debe a las novedades que se han venido presentando en el recaudo.
Beneficiara los diferentes canales que se tienen habilitados con el banco: TF, CN, CB, CW.</v>
      </c>
      <c r="AC244" s="4" t="str">
        <f ca="1">IFERROR(__xludf.DUMMYFUNCTION("""COMPUTED_VALUE"""),"2Q 2022")</f>
        <v>2Q 2022</v>
      </c>
      <c r="AD244" s="4"/>
      <c r="AE244" s="4"/>
      <c r="AF244" s="4"/>
      <c r="AG244" s="4"/>
      <c r="AH244" s="4"/>
      <c r="AI244" s="4"/>
      <c r="AJ244" s="4"/>
      <c r="AK244" s="131" t="str">
        <f ca="1">IFERROR(__xludf.DUMMYFUNCTION("""COMPUTED_VALUE"""),"COLWSCONTA-32")</f>
        <v>COLWSCONTA-32</v>
      </c>
      <c r="AL244" s="4" t="str">
        <f ca="1">IFERROR(__xludf.DUMMYFUNCTION("""COMPUTED_VALUE"""),"Deployed")</f>
        <v>Deployed</v>
      </c>
      <c r="AM244" s="4"/>
      <c r="AN244" s="4" t="str">
        <f ca="1">IFERROR(__xludf.DUMMYFUNCTION("""COMPUTED_VALUE"""),"Finalizado")</f>
        <v>Finalizado</v>
      </c>
      <c r="AO244" s="4"/>
      <c r="AP244" s="4"/>
      <c r="AQ244" s="4"/>
      <c r="AR244" s="4" t="str">
        <f ca="1">IFERROR(__xludf.DUMMYFUNCTION("""COMPUTED_VALUE"""),"SDA aprobada en PPP Q1 2023")</f>
        <v>SDA aprobada en PPP Q1 2023</v>
      </c>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133">
        <f ca="1">IFERROR(__xludf.DUMMYFUNCTION("""COMPUTED_VALUE"""),0)</f>
        <v>0</v>
      </c>
      <c r="DV244" s="133">
        <f ca="1">IFERROR(__xludf.DUMMYFUNCTION("""COMPUTED_VALUE"""),0)</f>
        <v>0</v>
      </c>
      <c r="DW244" s="133">
        <f ca="1">IFERROR(__xludf.DUMMYFUNCTION("""COMPUTED_VALUE"""),115637928)</f>
        <v>115637928</v>
      </c>
      <c r="DX244" s="133">
        <f ca="1">IFERROR(__xludf.DUMMYFUNCTION("""COMPUTED_VALUE"""),39265129)</f>
        <v>39265129</v>
      </c>
      <c r="DY244" s="133">
        <f ca="1">IFERROR(__xludf.DUMMYFUNCTION("""COMPUTED_VALUE"""),0)</f>
        <v>0</v>
      </c>
      <c r="DZ244" s="133">
        <f ca="1">IFERROR(__xludf.DUMMYFUNCTION("""COMPUTED_VALUE"""),154903057)</f>
        <v>154903057</v>
      </c>
      <c r="EA244" s="4"/>
      <c r="EB244" s="4"/>
    </row>
    <row r="245" spans="1:132" x14ac:dyDescent="0.2">
      <c r="A245" s="4">
        <f ca="1">IFERROR(__xludf.DUMMYFUNCTION("""COMPUTED_VALUE"""),245)</f>
        <v>245</v>
      </c>
      <c r="B245" s="4">
        <f ca="1">IFERROR(__xludf.DUMMYFUNCTION("""COMPUTED_VALUE"""),224)</f>
        <v>224</v>
      </c>
      <c r="C245" s="4" t="str">
        <f ca="1">IFERROR(__xludf.DUMMYFUNCTION("""COMPUTED_VALUE"""),"SDATOOL-38427")</f>
        <v>SDATOOL-38427</v>
      </c>
      <c r="D245" s="4" t="str">
        <f ca="1">IFERROR(__xludf.DUMMYFUNCTION("""COMPUTED_VALUE"""),"Servicios transaccionales 2022")</f>
        <v>Servicios transaccionales 2022</v>
      </c>
      <c r="E24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5" s="4" t="str">
        <f ca="1">IFERROR(__xludf.DUMMYFUNCTION("""COMPUTED_VALUE"""),"Project")</f>
        <v>Project</v>
      </c>
      <c r="G245" s="4" t="str">
        <f ca="1">IFERROR(__xludf.DUMMYFUNCTION("""COMPUTED_VALUE"""),"Ended")</f>
        <v>Ended</v>
      </c>
      <c r="H245" s="4" t="str">
        <f ca="1">IFERROR(__xludf.DUMMYFUNCTION("""COMPUTED_VALUE"""),"1Q 2023")</f>
        <v>1Q 2023</v>
      </c>
      <c r="I245" s="131" t="str">
        <f ca="1">IFERROR(__xludf.DUMMYFUNCTION("""COMPUTED_VALUE"""),"nathiahayosara.amado-bbva.com")</f>
        <v>nathiahayosara.amado-bbva.com</v>
      </c>
      <c r="J245" s="131" t="str">
        <f ca="1">IFERROR(__xludf.DUMMYFUNCTION("""COMPUTED_VALUE"""),"jeissonandres.diaz.rodriguez-bbva.com")</f>
        <v>jeissonandres.diaz.rodriguez-bbva.com</v>
      </c>
      <c r="K245" s="131" t="str">
        <f ca="1">IFERROR(__xludf.DUMMYFUNCTION("""COMPUTED_VALUE"""),"elizabeth.diaz-bbva.com")</f>
        <v>elizabeth.diaz-bbva.com</v>
      </c>
      <c r="L245" s="4"/>
      <c r="M245" s="4"/>
      <c r="N245" s="4"/>
      <c r="O245" s="4" t="str">
        <f ca="1">IFERROR(__xludf.DUMMYFUNCTION("""COMPUTED_VALUE"""),"Waterfall")</f>
        <v>Waterfall</v>
      </c>
      <c r="P245" s="4" t="str">
        <f ca="1">IFERROR(__xludf.DUMMYFUNCTION("""COMPUTED_VALUE"""),"Tradicional Mesa Transaccional")</f>
        <v>Tradicional Mesa Transaccional</v>
      </c>
      <c r="Q245" s="4"/>
      <c r="R245" s="130" t="str">
        <f ca="1">IFERROR(__xludf.DUMMYFUNCTION("""COMPUTED_VALUE"""),"Enterprises")</f>
        <v>Enterprises</v>
      </c>
      <c r="S245" s="130" t="str">
        <f ca="1">IFERROR(__xludf.DUMMYFUNCTION("""COMPUTED_VALUE"""),"Strategic Review")</f>
        <v>Strategic Review</v>
      </c>
      <c r="T245" s="130" t="str">
        <f ca="1">IFERROR(__xludf.DUMMYFUNCTION("""COMPUTED_VALUE"""),"Otros")</f>
        <v>Otros</v>
      </c>
      <c r="U245" s="130" t="str">
        <f ca="1">IFERROR(__xludf.DUMMYFUNCTION("""COMPUTED_VALUE"""),"No Aplica")</f>
        <v>No Aplica</v>
      </c>
      <c r="V245" s="4" t="str">
        <f ca="1">IFERROR(__xludf.DUMMYFUNCTION("""COMPUTED_VALUE"""),"Otros")</f>
        <v>Otros</v>
      </c>
      <c r="W245" s="4">
        <f ca="1">IFERROR(__xludf.DUMMYFUNCTION("""COMPUTED_VALUE"""),3)</f>
        <v>3</v>
      </c>
      <c r="X245" s="4" t="str">
        <f ca="1">IFERROR(__xludf.DUMMYFUNCTION("""COMPUTED_VALUE"""),"08. Enterprise Transactionality")</f>
        <v>08. Enterprise Transactionality</v>
      </c>
      <c r="Y245" s="4" t="str">
        <f ca="1">IFERROR(__xludf.DUMMYFUNCTION("""COMPUTED_VALUE"""),"5.7.1 Keep the Bank Running")</f>
        <v>5.7.1 Keep the Bank Running</v>
      </c>
      <c r="Z245" s="132" t="str">
        <f ca="1">IFERROR(__xludf.DUMMYFUNCTION("""COMPUTED_VALUE"""),"407812")</f>
        <v>407812</v>
      </c>
      <c r="AA245" s="4" t="str">
        <f ca="1">IFERROR(__xludf.DUMMYFUNCTION("""COMPUTED_VALUE"""),"Ajuste WS Claro Movil")</f>
        <v>Ajuste WS Claro Movil</v>
      </c>
      <c r="AB245" s="4" t="str">
        <f ca="1">IFERROR(__xludf.DUMMYFUNCTION("""COMPUTED_VALUE"""),"Se requiere realizar ajustes a los desarrollos Web Service convenio Claro Móvil para recibir nueva facturación, haciendo uso del mismo EAN de Claro móvil:
1. Numero de la referencia de pago será de 10 y 14 caracteres, información que viaja en el campo bar"&amp;"Code o paymentReference, se debe rellenar con ceros a la izquierda hasta completar 24 posiciones.
2. En el campo companyID debe viajar el valor 1 facturación anterior o 3 el cual corresponde a Inspira.")</f>
        <v>Se requiere realizar ajustes a los desarrollos Web Service convenio Claro Móvil para recibir nueva facturación, haciendo uso del mismo EAN de Claro móvil:
1. Numero de la referencia de pago será de 10 y 14 caracteres, información que viaja en el campo barCode o paymentReference, se debe rellenar con ceros a la izquierda hasta completar 24 posiciones.
2. En el campo companyID debe viajar el valor 1 facturación anterior o 3 el cual corresponde a Inspira.</v>
      </c>
      <c r="AC245" s="4" t="str">
        <f ca="1">IFERROR(__xludf.DUMMYFUNCTION("""COMPUTED_VALUE"""),"2Q 2022")</f>
        <v>2Q 2022</v>
      </c>
      <c r="AD245" s="128">
        <f ca="1">IFERROR(__xludf.DUMMYFUNCTION("""COMPUTED_VALUE"""),44470)</f>
        <v>44470</v>
      </c>
      <c r="AE245" s="128">
        <f ca="1">IFERROR(__xludf.DUMMYFUNCTION("""COMPUTED_VALUE"""),44592)</f>
        <v>44592</v>
      </c>
      <c r="AF245" s="128">
        <f ca="1">IFERROR(__xludf.DUMMYFUNCTION("""COMPUTED_VALUE"""),44593)</f>
        <v>44593</v>
      </c>
      <c r="AG245" s="128">
        <f ca="1">IFERROR(__xludf.DUMMYFUNCTION("""COMPUTED_VALUE"""),44635)</f>
        <v>44635</v>
      </c>
      <c r="AH245" s="128">
        <f ca="1">IFERROR(__xludf.DUMMYFUNCTION("""COMPUTED_VALUE"""),44636)</f>
        <v>44636</v>
      </c>
      <c r="AI245" s="128">
        <f ca="1">IFERROR(__xludf.DUMMYFUNCTION("""COMPUTED_VALUE"""),44643)</f>
        <v>44643</v>
      </c>
      <c r="AJ245" s="128">
        <f ca="1">IFERROR(__xludf.DUMMYFUNCTION("""COMPUTED_VALUE"""),44735)</f>
        <v>44735</v>
      </c>
      <c r="AK245" s="131" t="str">
        <f ca="1">IFERROR(__xludf.DUMMYFUNCTION("""COMPUTED_VALUE"""),"COLWSCONTA-10")</f>
        <v>COLWSCONTA-10</v>
      </c>
      <c r="AL245" s="4" t="str">
        <f ca="1">IFERROR(__xludf.DUMMYFUNCTION("""COMPUTED_VALUE"""),"Deployed")</f>
        <v>Deployed</v>
      </c>
      <c r="AM245" s="4" t="str">
        <f ca="1">IFERROR(__xludf.DUMMYFUNCTION("""COMPUTED_VALUE"""),"23/06/2022: Se da paso a producción a los desarrollos, se realiza pruebas y son exitosas, no hay afectación al servicio
12/05/2022: Tema certificado con aval del cliente para presentar a comité de cambios el 18 de Mayo.
28/04/22: Dependemos del cliente pa"&amp;"ra finalizar la certificación.
Cliente Detiene paso a producción, pendiente confirmación de fechas
""21/02/2022 se comparte referencias ambiente previo. 
21/02/2022, se solicita nuevamente referencias de pago ambientes previos al cliente
17/02/2022, pendi"&amp;"ente facturas, se solicitan nuevamente al cliente
15/02/2022, se solicita nuevamente facturas al equipo de CLARO
11/02/2022, se solicitan facturas al cliente por WhatsApp y Correo
10/02/2022, solicitar facturas al cliente
07/02/2022, se comparten facturas"&amp;" en ambiente previo de inspira y normales a delivery
07/02/2022, se solicitan facturas en ambiente previo al cliente
03/02/2022 Facturas en ambiente previo
Pte dotación presupuestal , fecha tentativa  prod. 25 de marzo.
04/01/2022: Se entrega valoraciòn 
"&amp;"21/12/2021, Se radica documento Agil """)</f>
        <v>23/06/2022: Se da paso a producción a los desarrollos, se realiza pruebas y son exitosas, no hay afectación al servicio
12/05/2022: Tema certificado con aval del cliente para presentar a comité de cambios el 18 de Mayo.
28/04/22: Dependemos del cliente para finalizar la certificación.
Cliente Detiene paso a producción, pendiente confirmación de fechas
"21/02/2022 se comparte referencias ambiente previo. 
21/02/2022, se solicita nuevamente referencias de pago ambientes previos al cliente
17/02/2022, pendiente facturas, se solicitan nuevamente al cliente
15/02/2022, se solicita nuevamente facturas al equipo de CLARO
11/02/2022, se solicitan facturas al cliente por WhatsApp y Correo
10/02/2022, solicitar facturas al cliente
07/02/2022, se comparten facturas en ambiente previo de inspira y normales a delivery
07/02/2022, se solicitan facturas en ambiente previo al cliente
03/02/2022 Facturas en ambiente previo
Pte dotación presupuestal , fecha tentativa  prod. 25 de marzo.
04/01/2022: Se entrega valoraciòn 
21/12/2021, Se radica documento Agil "</v>
      </c>
      <c r="AN245" s="4" t="str">
        <f ca="1">IFERROR(__xludf.DUMMYFUNCTION("""COMPUTED_VALUE"""),"Finalizado")</f>
        <v>Finalizado</v>
      </c>
      <c r="AO245" s="4"/>
      <c r="AP245" s="4"/>
      <c r="AQ245" s="4"/>
      <c r="AR245" s="4" t="str">
        <f ca="1">IFERROR(__xludf.DUMMYFUNCTION("""COMPUTED_VALUE"""),"SDA aprobada en PPP Q1 2023")</f>
        <v>SDA aprobada en PPP Q1 2023</v>
      </c>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row>
    <row r="246" spans="1:132" x14ac:dyDescent="0.2">
      <c r="A246" s="4">
        <f ca="1">IFERROR(__xludf.DUMMYFUNCTION("""COMPUTED_VALUE"""),246)</f>
        <v>246</v>
      </c>
      <c r="B246" s="4">
        <f ca="1">IFERROR(__xludf.DUMMYFUNCTION("""COMPUTED_VALUE"""),225)</f>
        <v>225</v>
      </c>
      <c r="C246" s="4" t="str">
        <f ca="1">IFERROR(__xludf.DUMMYFUNCTION("""COMPUTED_VALUE"""),"SDATOOL-38427")</f>
        <v>SDATOOL-38427</v>
      </c>
      <c r="D246" s="4" t="str">
        <f ca="1">IFERROR(__xludf.DUMMYFUNCTION("""COMPUTED_VALUE"""),"Servicios transaccionales 2022")</f>
        <v>Servicios transaccionales 2022</v>
      </c>
      <c r="E24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6" s="4" t="str">
        <f ca="1">IFERROR(__xludf.DUMMYFUNCTION("""COMPUTED_VALUE"""),"Project")</f>
        <v>Project</v>
      </c>
      <c r="G246" s="4" t="str">
        <f ca="1">IFERROR(__xludf.DUMMYFUNCTION("""COMPUTED_VALUE"""),"Ended")</f>
        <v>Ended</v>
      </c>
      <c r="H246" s="4" t="str">
        <f ca="1">IFERROR(__xludf.DUMMYFUNCTION("""COMPUTED_VALUE"""),"1Q 2023")</f>
        <v>1Q 2023</v>
      </c>
      <c r="I246" s="131" t="str">
        <f ca="1">IFERROR(__xludf.DUMMYFUNCTION("""COMPUTED_VALUE"""),"nathiahayosara.amado-bbva.com")</f>
        <v>nathiahayosara.amado-bbva.com</v>
      </c>
      <c r="J246" s="131" t="str">
        <f ca="1">IFERROR(__xludf.DUMMYFUNCTION("""COMPUTED_VALUE"""),"jeissonandres.diaz.rodriguez-bbva.com")</f>
        <v>jeissonandres.diaz.rodriguez-bbva.com</v>
      </c>
      <c r="K246" s="131" t="str">
        <f ca="1">IFERROR(__xludf.DUMMYFUNCTION("""COMPUTED_VALUE"""),"elizabeth.diaz-bbva.com")</f>
        <v>elizabeth.diaz-bbva.com</v>
      </c>
      <c r="L246" s="4"/>
      <c r="M246" s="4"/>
      <c r="N246" s="4"/>
      <c r="O246" s="4" t="str">
        <f ca="1">IFERROR(__xludf.DUMMYFUNCTION("""COMPUTED_VALUE"""),"Waterfall")</f>
        <v>Waterfall</v>
      </c>
      <c r="P246" s="4" t="str">
        <f ca="1">IFERROR(__xludf.DUMMYFUNCTION("""COMPUTED_VALUE"""),"Tradicional Mesa Transaccional")</f>
        <v>Tradicional Mesa Transaccional</v>
      </c>
      <c r="Q246" s="4"/>
      <c r="R246" s="130" t="str">
        <f ca="1">IFERROR(__xludf.DUMMYFUNCTION("""COMPUTED_VALUE"""),"Enterprises")</f>
        <v>Enterprises</v>
      </c>
      <c r="S246" s="130" t="str">
        <f ca="1">IFERROR(__xludf.DUMMYFUNCTION("""COMPUTED_VALUE"""),"Strategic Review")</f>
        <v>Strategic Review</v>
      </c>
      <c r="T246" s="130" t="str">
        <f ca="1">IFERROR(__xludf.DUMMYFUNCTION("""COMPUTED_VALUE"""),"Otros")</f>
        <v>Otros</v>
      </c>
      <c r="U246" s="130" t="str">
        <f ca="1">IFERROR(__xludf.DUMMYFUNCTION("""COMPUTED_VALUE"""),"No Aplica")</f>
        <v>No Aplica</v>
      </c>
      <c r="V246" s="4" t="str">
        <f ca="1">IFERROR(__xludf.DUMMYFUNCTION("""COMPUTED_VALUE"""),"Otros")</f>
        <v>Otros</v>
      </c>
      <c r="W246" s="4">
        <f ca="1">IFERROR(__xludf.DUMMYFUNCTION("""COMPUTED_VALUE"""),3)</f>
        <v>3</v>
      </c>
      <c r="X246" s="4" t="str">
        <f ca="1">IFERROR(__xludf.DUMMYFUNCTION("""COMPUTED_VALUE"""),"08. Enterprise Transactionality")</f>
        <v>08. Enterprise Transactionality</v>
      </c>
      <c r="Y246" s="4" t="str">
        <f ca="1">IFERROR(__xludf.DUMMYFUNCTION("""COMPUTED_VALUE"""),"5.7.1 Keep the Bank Running")</f>
        <v>5.7.1 Keep the Bank Running</v>
      </c>
      <c r="Z246" s="132" t="str">
        <f ca="1">IFERROR(__xludf.DUMMYFUNCTION("""COMPUTED_VALUE"""),"427242")</f>
        <v>427242</v>
      </c>
      <c r="AA246" s="4" t="str">
        <f ca="1">IFERROR(__xludf.DUMMYFUNCTION("""COMPUTED_VALUE"""),"Circular Cenit causales de rechazo")</f>
        <v>Circular Cenit causales de rechazo</v>
      </c>
      <c r="AB246" s="4" t="str">
        <f ca="1">IFERROR(__xludf.DUMMYFUNCTION("""COMPUTED_VALUE"""),"Se requiere efectuar cambios en las causales de rechazo de las transferencias interbancarias de órdenes de pago o transferencia de fondos tramitadas a través del CENIT, debido a acuerdo realizado con ACH Colombia , en el cual ingresaran las causales R23 ,"&amp;" R33 y R34.")</f>
        <v>Se requiere efectuar cambios en las causales de rechazo de las transferencias interbancarias de órdenes de pago o transferencia de fondos tramitadas a través del CENIT, debido a acuerdo realizado con ACH Colombia , en el cual ingresaran las causales R23 , R33 y R34.</v>
      </c>
      <c r="AC246" s="4" t="str">
        <f ca="1">IFERROR(__xludf.DUMMYFUNCTION("""COMPUTED_VALUE"""),"2Q 2022")</f>
        <v>2Q 2022</v>
      </c>
      <c r="AD246" s="4"/>
      <c r="AE246" s="4"/>
      <c r="AF246" s="4"/>
      <c r="AG246" s="4"/>
      <c r="AH246" s="4"/>
      <c r="AI246" s="4"/>
      <c r="AJ246" s="4"/>
      <c r="AK246" s="131" t="str">
        <f ca="1">IFERROR(__xludf.DUMMYFUNCTION("""COMPUTED_VALUE"""),"COLWSCANAL-1301")</f>
        <v>COLWSCANAL-1301</v>
      </c>
      <c r="AL246" s="4" t="str">
        <f ca="1">IFERROR(__xludf.DUMMYFUNCTION("""COMPUTED_VALUE"""),"Deployed")</f>
        <v>Deployed</v>
      </c>
      <c r="AM246" s="4"/>
      <c r="AN246" s="4" t="str">
        <f ca="1">IFERROR(__xludf.DUMMYFUNCTION("""COMPUTED_VALUE"""),"Finalizado")</f>
        <v>Finalizado</v>
      </c>
      <c r="AO246" s="4"/>
      <c r="AP246" s="4"/>
      <c r="AQ246" s="4"/>
      <c r="AR246" s="4" t="str">
        <f ca="1">IFERROR(__xludf.DUMMYFUNCTION("""COMPUTED_VALUE"""),"SDA aprobada en PPP Q1 2023")</f>
        <v>SDA aprobada en PPP Q1 2023</v>
      </c>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row>
    <row r="247" spans="1:132" x14ac:dyDescent="0.2">
      <c r="A247" s="4">
        <f ca="1">IFERROR(__xludf.DUMMYFUNCTION("""COMPUTED_VALUE"""),247)</f>
        <v>247</v>
      </c>
      <c r="B247" s="4">
        <f ca="1">IFERROR(__xludf.DUMMYFUNCTION("""COMPUTED_VALUE"""),226)</f>
        <v>226</v>
      </c>
      <c r="C247" s="4" t="str">
        <f ca="1">IFERROR(__xludf.DUMMYFUNCTION("""COMPUTED_VALUE"""),"SDATOOL-38427")</f>
        <v>SDATOOL-38427</v>
      </c>
      <c r="D247" s="4" t="str">
        <f ca="1">IFERROR(__xludf.DUMMYFUNCTION("""COMPUTED_VALUE"""),"Servicios transaccionales 2022")</f>
        <v>Servicios transaccionales 2022</v>
      </c>
      <c r="E24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7" s="4" t="str">
        <f ca="1">IFERROR(__xludf.DUMMYFUNCTION("""COMPUTED_VALUE"""),"Project")</f>
        <v>Project</v>
      </c>
      <c r="G247" s="4" t="str">
        <f ca="1">IFERROR(__xludf.DUMMYFUNCTION("""COMPUTED_VALUE"""),"Ended")</f>
        <v>Ended</v>
      </c>
      <c r="H247" s="4" t="str">
        <f ca="1">IFERROR(__xludf.DUMMYFUNCTION("""COMPUTED_VALUE"""),"1Q 2023")</f>
        <v>1Q 2023</v>
      </c>
      <c r="I247" s="131" t="str">
        <f ca="1">IFERROR(__xludf.DUMMYFUNCTION("""COMPUTED_VALUE"""),"nathiahayosara.amado-bbva.com")</f>
        <v>nathiahayosara.amado-bbva.com</v>
      </c>
      <c r="J247" s="131" t="str">
        <f ca="1">IFERROR(__xludf.DUMMYFUNCTION("""COMPUTED_VALUE"""),"jeissonandres.diaz.rodriguez-bbva.com")</f>
        <v>jeissonandres.diaz.rodriguez-bbva.com</v>
      </c>
      <c r="K247" s="131" t="str">
        <f ca="1">IFERROR(__xludf.DUMMYFUNCTION("""COMPUTED_VALUE"""),"elizabeth.diaz-bbva.com")</f>
        <v>elizabeth.diaz-bbva.com</v>
      </c>
      <c r="L247" s="4"/>
      <c r="M247" s="4"/>
      <c r="N247" s="4"/>
      <c r="O247" s="4" t="str">
        <f ca="1">IFERROR(__xludf.DUMMYFUNCTION("""COMPUTED_VALUE"""),"Waterfall")</f>
        <v>Waterfall</v>
      </c>
      <c r="P247" s="4" t="str">
        <f ca="1">IFERROR(__xludf.DUMMYFUNCTION("""COMPUTED_VALUE"""),"Tradicional Mesa Transaccional")</f>
        <v>Tradicional Mesa Transaccional</v>
      </c>
      <c r="Q247" s="4"/>
      <c r="R247" s="130" t="str">
        <f ca="1">IFERROR(__xludf.DUMMYFUNCTION("""COMPUTED_VALUE"""),"Enterprises")</f>
        <v>Enterprises</v>
      </c>
      <c r="S247" s="130" t="str">
        <f ca="1">IFERROR(__xludf.DUMMYFUNCTION("""COMPUTED_VALUE"""),"Strategic Review")</f>
        <v>Strategic Review</v>
      </c>
      <c r="T247" s="130" t="str">
        <f ca="1">IFERROR(__xludf.DUMMYFUNCTION("""COMPUTED_VALUE"""),"Otros")</f>
        <v>Otros</v>
      </c>
      <c r="U247" s="130" t="str">
        <f ca="1">IFERROR(__xludf.DUMMYFUNCTION("""COMPUTED_VALUE"""),"No Aplica")</f>
        <v>No Aplica</v>
      </c>
      <c r="V247" s="4" t="str">
        <f ca="1">IFERROR(__xludf.DUMMYFUNCTION("""COMPUTED_VALUE"""),"Otros")</f>
        <v>Otros</v>
      </c>
      <c r="W247" s="4">
        <f ca="1">IFERROR(__xludf.DUMMYFUNCTION("""COMPUTED_VALUE"""),3)</f>
        <v>3</v>
      </c>
      <c r="X247" s="4" t="str">
        <f ca="1">IFERROR(__xludf.DUMMYFUNCTION("""COMPUTED_VALUE"""),"08. Enterprise Transactionality")</f>
        <v>08. Enterprise Transactionality</v>
      </c>
      <c r="Y247" s="4" t="str">
        <f ca="1">IFERROR(__xludf.DUMMYFUNCTION("""COMPUTED_VALUE"""),"5.7.1 Keep the Bank Running")</f>
        <v>5.7.1 Keep the Bank Running</v>
      </c>
      <c r="Z247" s="132" t="str">
        <f ca="1">IFERROR(__xludf.DUMMYFUNCTION("""COMPUTED_VALUE"""),"427245")</f>
        <v>427245</v>
      </c>
      <c r="AA247" s="4" t="str">
        <f ca="1">IFERROR(__xludf.DUMMYFUNCTION("""COMPUTED_VALUE"""),"ENEL Cambio Asobancaria a 2011")</f>
        <v>ENEL Cambio Asobancaria a 2011</v>
      </c>
      <c r="AB247" s="4" t="str">
        <f ca="1">IFERROR(__xludf.DUMMYFUNCTION("""COMPUTED_VALUE"""),"El cliente Codensa SA. E.S.P. requiere cambiar su asobancaria 2001 a 2011 de acuerdo al proyecto FARO, se requiere validar y ajustar desarrollos Web Service para no afectar el servicio de recaudo")</f>
        <v>El cliente Codensa SA. E.S.P. requiere cambiar su asobancaria 2001 a 2011 de acuerdo al proyecto FARO, se requiere validar y ajustar desarrollos Web Service para no afectar el servicio de recaudo</v>
      </c>
      <c r="AC247" s="4" t="str">
        <f ca="1">IFERROR(__xludf.DUMMYFUNCTION("""COMPUTED_VALUE"""),"3Q 2022")</f>
        <v>3Q 2022</v>
      </c>
      <c r="AD247" s="4"/>
      <c r="AE247" s="4"/>
      <c r="AF247" s="4"/>
      <c r="AG247" s="4"/>
      <c r="AH247" s="4"/>
      <c r="AI247" s="4"/>
      <c r="AJ247" s="4"/>
      <c r="AK247" s="131" t="str">
        <f ca="1">IFERROR(__xludf.DUMMYFUNCTION("""COMPUTED_VALUE"""),"COLWSCONTA-477")</f>
        <v>COLWSCONTA-477</v>
      </c>
      <c r="AL247" s="4" t="str">
        <f ca="1">IFERROR(__xludf.DUMMYFUNCTION("""COMPUTED_VALUE"""),"Deployed")</f>
        <v>Deployed</v>
      </c>
      <c r="AM247" s="4"/>
      <c r="AN247" s="4" t="str">
        <f ca="1">IFERROR(__xludf.DUMMYFUNCTION("""COMPUTED_VALUE"""),"Finalizado")</f>
        <v>Finalizado</v>
      </c>
      <c r="AO247" s="4"/>
      <c r="AP247" s="4"/>
      <c r="AQ247" s="4"/>
      <c r="AR247" s="4" t="str">
        <f ca="1">IFERROR(__xludf.DUMMYFUNCTION("""COMPUTED_VALUE"""),"SDA aprobada en PPP Q1 2023")</f>
        <v>SDA aprobada en PPP Q1 2023</v>
      </c>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row>
    <row r="248" spans="1:132" x14ac:dyDescent="0.2">
      <c r="A248" s="4">
        <f ca="1">IFERROR(__xludf.DUMMYFUNCTION("""COMPUTED_VALUE"""),248)</f>
        <v>248</v>
      </c>
      <c r="B248" s="4">
        <f ca="1">IFERROR(__xludf.DUMMYFUNCTION("""COMPUTED_VALUE"""),227)</f>
        <v>227</v>
      </c>
      <c r="C248" s="4" t="str">
        <f ca="1">IFERROR(__xludf.DUMMYFUNCTION("""COMPUTED_VALUE"""),"SDATOOL-38427")</f>
        <v>SDATOOL-38427</v>
      </c>
      <c r="D248" s="4" t="str">
        <f ca="1">IFERROR(__xludf.DUMMYFUNCTION("""COMPUTED_VALUE"""),"Servicios transaccionales 2022")</f>
        <v>Servicios transaccionales 2022</v>
      </c>
      <c r="E24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8" s="4" t="str">
        <f ca="1">IFERROR(__xludf.DUMMYFUNCTION("""COMPUTED_VALUE"""),"Project")</f>
        <v>Project</v>
      </c>
      <c r="G248" s="4" t="str">
        <f ca="1">IFERROR(__xludf.DUMMYFUNCTION("""COMPUTED_VALUE"""),"Ended")</f>
        <v>Ended</v>
      </c>
      <c r="H248" s="4" t="str">
        <f ca="1">IFERROR(__xludf.DUMMYFUNCTION("""COMPUTED_VALUE"""),"1Q 2023")</f>
        <v>1Q 2023</v>
      </c>
      <c r="I248" s="131" t="str">
        <f ca="1">IFERROR(__xludf.DUMMYFUNCTION("""COMPUTED_VALUE"""),"nathiahayosara.amado-bbva.com")</f>
        <v>nathiahayosara.amado-bbva.com</v>
      </c>
      <c r="J248" s="131" t="str">
        <f ca="1">IFERROR(__xludf.DUMMYFUNCTION("""COMPUTED_VALUE"""),"jeissonandres.diaz.rodriguez-bbva.com")</f>
        <v>jeissonandres.diaz.rodriguez-bbva.com</v>
      </c>
      <c r="K248" s="131" t="str">
        <f ca="1">IFERROR(__xludf.DUMMYFUNCTION("""COMPUTED_VALUE"""),"elizabeth.diaz-bbva.com")</f>
        <v>elizabeth.diaz-bbva.com</v>
      </c>
      <c r="L248" s="4"/>
      <c r="M248" s="4"/>
      <c r="N248" s="4"/>
      <c r="O248" s="4" t="str">
        <f ca="1">IFERROR(__xludf.DUMMYFUNCTION("""COMPUTED_VALUE"""),"Waterfall")</f>
        <v>Waterfall</v>
      </c>
      <c r="P248" s="4" t="str">
        <f ca="1">IFERROR(__xludf.DUMMYFUNCTION("""COMPUTED_VALUE"""),"Tradicional Mesa Transaccional")</f>
        <v>Tradicional Mesa Transaccional</v>
      </c>
      <c r="Q248" s="4"/>
      <c r="R248" s="130" t="str">
        <f ca="1">IFERROR(__xludf.DUMMYFUNCTION("""COMPUTED_VALUE"""),"Enterprises")</f>
        <v>Enterprises</v>
      </c>
      <c r="S248" s="130" t="str">
        <f ca="1">IFERROR(__xludf.DUMMYFUNCTION("""COMPUTED_VALUE"""),"Strategic Review")</f>
        <v>Strategic Review</v>
      </c>
      <c r="T248" s="130" t="str">
        <f ca="1">IFERROR(__xludf.DUMMYFUNCTION("""COMPUTED_VALUE"""),"Otros")</f>
        <v>Otros</v>
      </c>
      <c r="U248" s="130" t="str">
        <f ca="1">IFERROR(__xludf.DUMMYFUNCTION("""COMPUTED_VALUE"""),"No Aplica")</f>
        <v>No Aplica</v>
      </c>
      <c r="V248" s="4" t="str">
        <f ca="1">IFERROR(__xludf.DUMMYFUNCTION("""COMPUTED_VALUE"""),"Otros")</f>
        <v>Otros</v>
      </c>
      <c r="W248" s="4">
        <f ca="1">IFERROR(__xludf.DUMMYFUNCTION("""COMPUTED_VALUE"""),3)</f>
        <v>3</v>
      </c>
      <c r="X248" s="4" t="str">
        <f ca="1">IFERROR(__xludf.DUMMYFUNCTION("""COMPUTED_VALUE"""),"08. Enterprise Transactionality")</f>
        <v>08. Enterprise Transactionality</v>
      </c>
      <c r="Y248" s="4" t="str">
        <f ca="1">IFERROR(__xludf.DUMMYFUNCTION("""COMPUTED_VALUE"""),"5.7.1 Keep the Bank Running")</f>
        <v>5.7.1 Keep the Bank Running</v>
      </c>
      <c r="Z248" s="132" t="str">
        <f ca="1">IFERROR(__xludf.DUMMYFUNCTION("""COMPUTED_VALUE"""),"427439")</f>
        <v>427439</v>
      </c>
      <c r="AA248" s="4" t="str">
        <f ca="1">IFERROR(__xludf.DUMMYFUNCTION("""COMPUTED_VALUE"""),"Habilitar convenios de recaudo Nacional en canal CB 2022 1Q")</f>
        <v>Habilitar convenios de recaudo Nacional en canal CB 2022 1Q</v>
      </c>
      <c r="AB248"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48" s="4" t="str">
        <f ca="1">IFERROR(__xludf.DUMMYFUNCTION("""COMPUTED_VALUE"""),"2Q 2022")</f>
        <v>2Q 2022</v>
      </c>
      <c r="AD248" s="4"/>
      <c r="AE248" s="4"/>
      <c r="AF248" s="4"/>
      <c r="AG248" s="4"/>
      <c r="AH248" s="4"/>
      <c r="AI248" s="4"/>
      <c r="AJ248" s="4"/>
      <c r="AK248" s="131" t="str">
        <f ca="1">IFERROR(__xludf.DUMMYFUNCTION("""COMPUTED_VALUE"""),"COLWSCONTA-24")</f>
        <v>COLWSCONTA-24</v>
      </c>
      <c r="AL248" s="4" t="str">
        <f ca="1">IFERROR(__xludf.DUMMYFUNCTION("""COMPUTED_VALUE"""),"Deployed")</f>
        <v>Deployed</v>
      </c>
      <c r="AM248" s="4"/>
      <c r="AN248" s="4" t="str">
        <f ca="1">IFERROR(__xludf.DUMMYFUNCTION("""COMPUTED_VALUE"""),"Finalizado")</f>
        <v>Finalizado</v>
      </c>
      <c r="AO248" s="4"/>
      <c r="AP248" s="4"/>
      <c r="AQ248" s="4"/>
      <c r="AR248" s="4" t="str">
        <f ca="1">IFERROR(__xludf.DUMMYFUNCTION("""COMPUTED_VALUE"""),"SDA aprobada en PPP Q1 2023")</f>
        <v>SDA aprobada en PPP Q1 2023</v>
      </c>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row>
    <row r="249" spans="1:132" x14ac:dyDescent="0.2">
      <c r="A249" s="4">
        <f ca="1">IFERROR(__xludf.DUMMYFUNCTION("""COMPUTED_VALUE"""),249)</f>
        <v>249</v>
      </c>
      <c r="B249" s="4">
        <f ca="1">IFERROR(__xludf.DUMMYFUNCTION("""COMPUTED_VALUE"""),228)</f>
        <v>228</v>
      </c>
      <c r="C249" s="4" t="str">
        <f ca="1">IFERROR(__xludf.DUMMYFUNCTION("""COMPUTED_VALUE"""),"SDATOOL-38427")</f>
        <v>SDATOOL-38427</v>
      </c>
      <c r="D249" s="4" t="str">
        <f ca="1">IFERROR(__xludf.DUMMYFUNCTION("""COMPUTED_VALUE"""),"Servicios transaccionales 2022")</f>
        <v>Servicios transaccionales 2022</v>
      </c>
      <c r="E24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9" s="4" t="str">
        <f ca="1">IFERROR(__xludf.DUMMYFUNCTION("""COMPUTED_VALUE"""),"Project")</f>
        <v>Project</v>
      </c>
      <c r="G249" s="4" t="str">
        <f ca="1">IFERROR(__xludf.DUMMYFUNCTION("""COMPUTED_VALUE"""),"Ended")</f>
        <v>Ended</v>
      </c>
      <c r="H249" s="4" t="str">
        <f ca="1">IFERROR(__xludf.DUMMYFUNCTION("""COMPUTED_VALUE"""),"1Q 2023")</f>
        <v>1Q 2023</v>
      </c>
      <c r="I249" s="131" t="str">
        <f ca="1">IFERROR(__xludf.DUMMYFUNCTION("""COMPUTED_VALUE"""),"nathiahayosara.amado-bbva.com")</f>
        <v>nathiahayosara.amado-bbva.com</v>
      </c>
      <c r="J249" s="131" t="str">
        <f ca="1">IFERROR(__xludf.DUMMYFUNCTION("""COMPUTED_VALUE"""),"jeissonandres.diaz.rodriguez-bbva.com")</f>
        <v>jeissonandres.diaz.rodriguez-bbva.com</v>
      </c>
      <c r="K249" s="131" t="str">
        <f ca="1">IFERROR(__xludf.DUMMYFUNCTION("""COMPUTED_VALUE"""),"elizabeth.diaz-bbva.com")</f>
        <v>elizabeth.diaz-bbva.com</v>
      </c>
      <c r="L249" s="4"/>
      <c r="M249" s="4"/>
      <c r="N249" s="4"/>
      <c r="O249" s="4" t="str">
        <f ca="1">IFERROR(__xludf.DUMMYFUNCTION("""COMPUTED_VALUE"""),"Waterfall")</f>
        <v>Waterfall</v>
      </c>
      <c r="P249" s="4" t="str">
        <f ca="1">IFERROR(__xludf.DUMMYFUNCTION("""COMPUTED_VALUE"""),"Tradicional Mesa Transaccional")</f>
        <v>Tradicional Mesa Transaccional</v>
      </c>
      <c r="Q249" s="4"/>
      <c r="R249" s="130" t="str">
        <f ca="1">IFERROR(__xludf.DUMMYFUNCTION("""COMPUTED_VALUE"""),"Enterprises")</f>
        <v>Enterprises</v>
      </c>
      <c r="S249" s="130" t="str">
        <f ca="1">IFERROR(__xludf.DUMMYFUNCTION("""COMPUTED_VALUE"""),"Strategic Review")</f>
        <v>Strategic Review</v>
      </c>
      <c r="T249" s="130" t="str">
        <f ca="1">IFERROR(__xludf.DUMMYFUNCTION("""COMPUTED_VALUE"""),"Otros")</f>
        <v>Otros</v>
      </c>
      <c r="U249" s="130" t="str">
        <f ca="1">IFERROR(__xludf.DUMMYFUNCTION("""COMPUTED_VALUE"""),"No Aplica")</f>
        <v>No Aplica</v>
      </c>
      <c r="V249" s="4" t="str">
        <f ca="1">IFERROR(__xludf.DUMMYFUNCTION("""COMPUTED_VALUE"""),"Otros")</f>
        <v>Otros</v>
      </c>
      <c r="W249" s="4">
        <f ca="1">IFERROR(__xludf.DUMMYFUNCTION("""COMPUTED_VALUE"""),3)</f>
        <v>3</v>
      </c>
      <c r="X249" s="4" t="str">
        <f ca="1">IFERROR(__xludf.DUMMYFUNCTION("""COMPUTED_VALUE"""),"08. Enterprise Transactionality")</f>
        <v>08. Enterprise Transactionality</v>
      </c>
      <c r="Y249" s="4" t="str">
        <f ca="1">IFERROR(__xludf.DUMMYFUNCTION("""COMPUTED_VALUE"""),"5.7.1 Keep the Bank Running")</f>
        <v>5.7.1 Keep the Bank Running</v>
      </c>
      <c r="Z249" s="132" t="str">
        <f ca="1">IFERROR(__xludf.DUMMYFUNCTION("""COMPUTED_VALUE"""),"489604")</f>
        <v>489604</v>
      </c>
      <c r="AA249" s="4" t="str">
        <f ca="1">IFERROR(__xludf.DUMMYFUNCTION("""COMPUTED_VALUE"""),"Habilitar convenios de recaudo Nacional en canal CB 2022 2Q")</f>
        <v>Habilitar convenios de recaudo Nacional en canal CB 2022 2Q</v>
      </c>
      <c r="AB249"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49" s="4" t="str">
        <f ca="1">IFERROR(__xludf.DUMMYFUNCTION("""COMPUTED_VALUE"""),"2Q 2022")</f>
        <v>2Q 2022</v>
      </c>
      <c r="AD249" s="4"/>
      <c r="AE249" s="4"/>
      <c r="AF249" s="4"/>
      <c r="AG249" s="4"/>
      <c r="AH249" s="4"/>
      <c r="AI249" s="4"/>
      <c r="AJ249" s="4"/>
      <c r="AK249" s="131" t="str">
        <f ca="1">IFERROR(__xludf.DUMMYFUNCTION("""COMPUTED_VALUE"""),"COLWSCONTA-186")</f>
        <v>COLWSCONTA-186</v>
      </c>
      <c r="AL249" s="4" t="str">
        <f ca="1">IFERROR(__xludf.DUMMYFUNCTION("""COMPUTED_VALUE"""),"Deployed")</f>
        <v>Deployed</v>
      </c>
      <c r="AM249" s="4"/>
      <c r="AN249" s="4" t="str">
        <f ca="1">IFERROR(__xludf.DUMMYFUNCTION("""COMPUTED_VALUE"""),"Finalizado")</f>
        <v>Finalizado</v>
      </c>
      <c r="AO249" s="4"/>
      <c r="AP249" s="4"/>
      <c r="AQ249" s="4"/>
      <c r="AR249" s="4" t="str">
        <f ca="1">IFERROR(__xludf.DUMMYFUNCTION("""COMPUTED_VALUE"""),"SDA aprobada en PPP Q1 2023")</f>
        <v>SDA aprobada en PPP Q1 2023</v>
      </c>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row>
    <row r="250" spans="1:132" x14ac:dyDescent="0.2">
      <c r="A250" s="4">
        <f ca="1">IFERROR(__xludf.DUMMYFUNCTION("""COMPUTED_VALUE"""),250)</f>
        <v>250</v>
      </c>
      <c r="B250" s="4">
        <f ca="1">IFERROR(__xludf.DUMMYFUNCTION("""COMPUTED_VALUE"""),229)</f>
        <v>229</v>
      </c>
      <c r="C250" s="4" t="str">
        <f ca="1">IFERROR(__xludf.DUMMYFUNCTION("""COMPUTED_VALUE"""),"SDATOOL-38427")</f>
        <v>SDATOOL-38427</v>
      </c>
      <c r="D250" s="4" t="str">
        <f ca="1">IFERROR(__xludf.DUMMYFUNCTION("""COMPUTED_VALUE"""),"Servicios transaccionales 2022")</f>
        <v>Servicios transaccionales 2022</v>
      </c>
      <c r="E25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0" s="4" t="str">
        <f ca="1">IFERROR(__xludf.DUMMYFUNCTION("""COMPUTED_VALUE"""),"Project")</f>
        <v>Project</v>
      </c>
      <c r="G250" s="4" t="str">
        <f ca="1">IFERROR(__xludf.DUMMYFUNCTION("""COMPUTED_VALUE"""),"Ended")</f>
        <v>Ended</v>
      </c>
      <c r="H250" s="4" t="str">
        <f ca="1">IFERROR(__xludf.DUMMYFUNCTION("""COMPUTED_VALUE"""),"1Q 2023")</f>
        <v>1Q 2023</v>
      </c>
      <c r="I250" s="131" t="str">
        <f ca="1">IFERROR(__xludf.DUMMYFUNCTION("""COMPUTED_VALUE"""),"nathiahayosara.amado-bbva.com")</f>
        <v>nathiahayosara.amado-bbva.com</v>
      </c>
      <c r="J250" s="131" t="str">
        <f ca="1">IFERROR(__xludf.DUMMYFUNCTION("""COMPUTED_VALUE"""),"jeissonandres.diaz.rodriguez-bbva.com")</f>
        <v>jeissonandres.diaz.rodriguez-bbva.com</v>
      </c>
      <c r="K250" s="131" t="str">
        <f ca="1">IFERROR(__xludf.DUMMYFUNCTION("""COMPUTED_VALUE"""),"elizabeth.diaz-bbva.com")</f>
        <v>elizabeth.diaz-bbva.com</v>
      </c>
      <c r="L250" s="4"/>
      <c r="M250" s="4"/>
      <c r="N250" s="4"/>
      <c r="O250" s="4" t="str">
        <f ca="1">IFERROR(__xludf.DUMMYFUNCTION("""COMPUTED_VALUE"""),"Waterfall")</f>
        <v>Waterfall</v>
      </c>
      <c r="P250" s="4" t="str">
        <f ca="1">IFERROR(__xludf.DUMMYFUNCTION("""COMPUTED_VALUE"""),"Tradicional Mesa Transaccional")</f>
        <v>Tradicional Mesa Transaccional</v>
      </c>
      <c r="Q250" s="4"/>
      <c r="R250" s="130" t="str">
        <f ca="1">IFERROR(__xludf.DUMMYFUNCTION("""COMPUTED_VALUE"""),"Enterprises")</f>
        <v>Enterprises</v>
      </c>
      <c r="S250" s="130" t="str">
        <f ca="1">IFERROR(__xludf.DUMMYFUNCTION("""COMPUTED_VALUE"""),"Strategic Review")</f>
        <v>Strategic Review</v>
      </c>
      <c r="T250" s="130" t="str">
        <f ca="1">IFERROR(__xludf.DUMMYFUNCTION("""COMPUTED_VALUE"""),"Otros")</f>
        <v>Otros</v>
      </c>
      <c r="U250" s="130" t="str">
        <f ca="1">IFERROR(__xludf.DUMMYFUNCTION("""COMPUTED_VALUE"""),"No Aplica")</f>
        <v>No Aplica</v>
      </c>
      <c r="V250" s="4" t="str">
        <f ca="1">IFERROR(__xludf.DUMMYFUNCTION("""COMPUTED_VALUE"""),"Otros")</f>
        <v>Otros</v>
      </c>
      <c r="W250" s="4">
        <f ca="1">IFERROR(__xludf.DUMMYFUNCTION("""COMPUTED_VALUE"""),3)</f>
        <v>3</v>
      </c>
      <c r="X250" s="4" t="str">
        <f ca="1">IFERROR(__xludf.DUMMYFUNCTION("""COMPUTED_VALUE"""),"08. Enterprise Transactionality")</f>
        <v>08. Enterprise Transactionality</v>
      </c>
      <c r="Y250" s="4" t="str">
        <f ca="1">IFERROR(__xludf.DUMMYFUNCTION("""COMPUTED_VALUE"""),"5.7.1 Keep the Bank Running")</f>
        <v>5.7.1 Keep the Bank Running</v>
      </c>
      <c r="Z250" s="132" t="str">
        <f ca="1">IFERROR(__xludf.DUMMYFUNCTION("""COMPUTED_VALUE"""),"422866")</f>
        <v>422866</v>
      </c>
      <c r="AA250" s="4" t="str">
        <f ca="1">IFERROR(__xludf.DUMMYFUNCTION("""COMPUTED_VALUE"""),"Pruebas en Calidad Integración América canal Mcug y 0021")</f>
        <v>Pruebas en Calidad Integración América canal Mcug y 0021</v>
      </c>
      <c r="AB250"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50" s="4" t="str">
        <f ca="1">IFERROR(__xludf.DUMMYFUNCTION("""COMPUTED_VALUE"""),"1Q 2023")</f>
        <v>1Q 2023</v>
      </c>
      <c r="AD250" s="4"/>
      <c r="AE250" s="4"/>
      <c r="AF250" s="4"/>
      <c r="AG250" s="4"/>
      <c r="AH250" s="4"/>
      <c r="AI250" s="4"/>
      <c r="AJ250" s="4"/>
      <c r="AK250" s="131" t="str">
        <f ca="1">IFERROR(__xludf.DUMMYFUNCTION("""COMPUTED_VALUE"""),"COLWSCANAL-2664")</f>
        <v>COLWSCANAL-2664</v>
      </c>
      <c r="AL250" s="4" t="str">
        <f ca="1">IFERROR(__xludf.DUMMYFUNCTION("""COMPUTED_VALUE"""),"Deployed")</f>
        <v>Deployed</v>
      </c>
      <c r="AM250" s="4"/>
      <c r="AN250" s="4" t="str">
        <f ca="1">IFERROR(__xludf.DUMMYFUNCTION("""COMPUTED_VALUE"""),"Finalizado")</f>
        <v>Finalizado</v>
      </c>
      <c r="AO250" s="4"/>
      <c r="AP250" s="4"/>
      <c r="AQ250" s="4"/>
      <c r="AR250" s="4" t="str">
        <f ca="1">IFERROR(__xludf.DUMMYFUNCTION("""COMPUTED_VALUE"""),"SDA aprobada en PPP Q1 2023")</f>
        <v>SDA aprobada en PPP Q1 2023</v>
      </c>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row>
    <row r="251" spans="1:132" x14ac:dyDescent="0.2">
      <c r="A251" s="4">
        <f ca="1">IFERROR(__xludf.DUMMYFUNCTION("""COMPUTED_VALUE"""),251)</f>
        <v>251</v>
      </c>
      <c r="B251" s="4">
        <f ca="1">IFERROR(__xludf.DUMMYFUNCTION("""COMPUTED_VALUE"""),230)</f>
        <v>230</v>
      </c>
      <c r="C251" s="4" t="str">
        <f ca="1">IFERROR(__xludf.DUMMYFUNCTION("""COMPUTED_VALUE"""),"SDATOOL-38427")</f>
        <v>SDATOOL-38427</v>
      </c>
      <c r="D251" s="4" t="str">
        <f ca="1">IFERROR(__xludf.DUMMYFUNCTION("""COMPUTED_VALUE"""),"Servicios transaccionales 2022")</f>
        <v>Servicios transaccionales 2022</v>
      </c>
      <c r="E25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1" s="4" t="str">
        <f ca="1">IFERROR(__xludf.DUMMYFUNCTION("""COMPUTED_VALUE"""),"Project")</f>
        <v>Project</v>
      </c>
      <c r="G251" s="4" t="str">
        <f ca="1">IFERROR(__xludf.DUMMYFUNCTION("""COMPUTED_VALUE"""),"Ended")</f>
        <v>Ended</v>
      </c>
      <c r="H251" s="4" t="str">
        <f ca="1">IFERROR(__xludf.DUMMYFUNCTION("""COMPUTED_VALUE"""),"1Q 2023")</f>
        <v>1Q 2023</v>
      </c>
      <c r="I251" s="131" t="str">
        <f ca="1">IFERROR(__xludf.DUMMYFUNCTION("""COMPUTED_VALUE"""),"nathiahayosara.amado-bbva.com")</f>
        <v>nathiahayosara.amado-bbva.com</v>
      </c>
      <c r="J251" s="131" t="str">
        <f ca="1">IFERROR(__xludf.DUMMYFUNCTION("""COMPUTED_VALUE"""),"jeissonandres.diaz.rodriguez-bbva.com")</f>
        <v>jeissonandres.diaz.rodriguez-bbva.com</v>
      </c>
      <c r="K251" s="131" t="str">
        <f ca="1">IFERROR(__xludf.DUMMYFUNCTION("""COMPUTED_VALUE"""),"elizabeth.diaz-bbva.com")</f>
        <v>elizabeth.diaz-bbva.com</v>
      </c>
      <c r="L251" s="4"/>
      <c r="M251" s="4"/>
      <c r="N251" s="4"/>
      <c r="O251" s="4" t="str">
        <f ca="1">IFERROR(__xludf.DUMMYFUNCTION("""COMPUTED_VALUE"""),"Waterfall")</f>
        <v>Waterfall</v>
      </c>
      <c r="P251" s="4" t="str">
        <f ca="1">IFERROR(__xludf.DUMMYFUNCTION("""COMPUTED_VALUE"""),"Tradicional Mesa Transaccional")</f>
        <v>Tradicional Mesa Transaccional</v>
      </c>
      <c r="Q251" s="4"/>
      <c r="R251" s="130" t="str">
        <f ca="1">IFERROR(__xludf.DUMMYFUNCTION("""COMPUTED_VALUE"""),"Enterprises")</f>
        <v>Enterprises</v>
      </c>
      <c r="S251" s="130" t="str">
        <f ca="1">IFERROR(__xludf.DUMMYFUNCTION("""COMPUTED_VALUE"""),"Strategic Review")</f>
        <v>Strategic Review</v>
      </c>
      <c r="T251" s="130" t="str">
        <f ca="1">IFERROR(__xludf.DUMMYFUNCTION("""COMPUTED_VALUE"""),"Otros")</f>
        <v>Otros</v>
      </c>
      <c r="U251" s="130" t="str">
        <f ca="1">IFERROR(__xludf.DUMMYFUNCTION("""COMPUTED_VALUE"""),"No Aplica")</f>
        <v>No Aplica</v>
      </c>
      <c r="V251" s="4" t="str">
        <f ca="1">IFERROR(__xludf.DUMMYFUNCTION("""COMPUTED_VALUE"""),"Otros")</f>
        <v>Otros</v>
      </c>
      <c r="W251" s="4">
        <f ca="1">IFERROR(__xludf.DUMMYFUNCTION("""COMPUTED_VALUE"""),3)</f>
        <v>3</v>
      </c>
      <c r="X251" s="4" t="str">
        <f ca="1">IFERROR(__xludf.DUMMYFUNCTION("""COMPUTED_VALUE"""),"08. Enterprise Transactionality")</f>
        <v>08. Enterprise Transactionality</v>
      </c>
      <c r="Y251" s="4" t="str">
        <f ca="1">IFERROR(__xludf.DUMMYFUNCTION("""COMPUTED_VALUE"""),"5.7.1 Keep the Bank Running")</f>
        <v>5.7.1 Keep the Bank Running</v>
      </c>
      <c r="Z251" s="132" t="str">
        <f ca="1">IFERROR(__xludf.DUMMYFUNCTION("""COMPUTED_VALUE"""),"558282")</f>
        <v>558282</v>
      </c>
      <c r="AA251" s="4" t="str">
        <f ca="1">IFERROR(__xludf.DUMMYFUNCTION("""COMPUTED_VALUE"""),"WS Municipio de Valledupar -Nueva documentación")</f>
        <v>WS Municipio de Valledupar -Nueva documentación</v>
      </c>
      <c r="AB251" s="4" t="str">
        <f ca="1">IFERROR(__xludf.DUMMYFUNCTION("""COMPUTED_VALUE"""),"Se requiere la implementación de Web Service para que pueda recaudar en línea por los canales de Terminal financiera, Banca Móvil, Corresponsales Bancarios, Net personas, Net Empresas, el cliente maneja los siguientes convenios activos con el banco: 15695"&amp;", 15696 y 32599")</f>
        <v>Se requiere la implementación de Web Service para que pueda recaudar en línea por los canales de Terminal financiera, Banca Móvil, Corresponsales Bancarios, Net personas, Net Empresas, el cliente maneja los siguientes convenios activos con el banco: 15695, 15696 y 32599</v>
      </c>
      <c r="AC251" s="4" t="str">
        <f ca="1">IFERROR(__xludf.DUMMYFUNCTION("""COMPUTED_VALUE"""),"1Q 2023")</f>
        <v>1Q 2023</v>
      </c>
      <c r="AD251" s="4"/>
      <c r="AE251" s="4"/>
      <c r="AF251" s="4"/>
      <c r="AG251" s="4"/>
      <c r="AH251" s="4"/>
      <c r="AI251" s="4"/>
      <c r="AJ251" s="4"/>
      <c r="AK251" s="131" t="str">
        <f ca="1">IFERROR(__xludf.DUMMYFUNCTION("""COMPUTED_VALUE"""),"COLWSCONTA-640")</f>
        <v>COLWSCONTA-640</v>
      </c>
      <c r="AL251" s="4" t="str">
        <f ca="1">IFERROR(__xludf.DUMMYFUNCTION("""COMPUTED_VALUE"""),"Deployed")</f>
        <v>Deployed</v>
      </c>
      <c r="AM251" s="4"/>
      <c r="AN251" s="4" t="str">
        <f ca="1">IFERROR(__xludf.DUMMYFUNCTION("""COMPUTED_VALUE"""),"Finalizado")</f>
        <v>Finalizado</v>
      </c>
      <c r="AO251" s="4"/>
      <c r="AP251" s="4"/>
      <c r="AQ251" s="4"/>
      <c r="AR251" s="4" t="str">
        <f ca="1">IFERROR(__xludf.DUMMYFUNCTION("""COMPUTED_VALUE"""),"SDA aprobada en PPP Q1 2023")</f>
        <v>SDA aprobada en PPP Q1 2023</v>
      </c>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row>
    <row r="252" spans="1:132" x14ac:dyDescent="0.2">
      <c r="A252" s="4">
        <f ca="1">IFERROR(__xludf.DUMMYFUNCTION("""COMPUTED_VALUE"""),252)</f>
        <v>252</v>
      </c>
      <c r="B252" s="4">
        <f ca="1">IFERROR(__xludf.DUMMYFUNCTION("""COMPUTED_VALUE"""),231)</f>
        <v>231</v>
      </c>
      <c r="C252" s="4" t="str">
        <f ca="1">IFERROR(__xludf.DUMMYFUNCTION("""COMPUTED_VALUE"""),"SDATOOL-38427")</f>
        <v>SDATOOL-38427</v>
      </c>
      <c r="D252" s="4" t="str">
        <f ca="1">IFERROR(__xludf.DUMMYFUNCTION("""COMPUTED_VALUE"""),"Servicios transaccionales 2022")</f>
        <v>Servicios transaccionales 2022</v>
      </c>
      <c r="E25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2" s="4" t="str">
        <f ca="1">IFERROR(__xludf.DUMMYFUNCTION("""COMPUTED_VALUE"""),"Project")</f>
        <v>Project</v>
      </c>
      <c r="G252" s="4" t="str">
        <f ca="1">IFERROR(__xludf.DUMMYFUNCTION("""COMPUTED_VALUE"""),"Ended")</f>
        <v>Ended</v>
      </c>
      <c r="H252" s="4" t="str">
        <f ca="1">IFERROR(__xludf.DUMMYFUNCTION("""COMPUTED_VALUE"""),"1Q 2023")</f>
        <v>1Q 2023</v>
      </c>
      <c r="I252" s="131" t="str">
        <f ca="1">IFERROR(__xludf.DUMMYFUNCTION("""COMPUTED_VALUE"""),"nathiahayosara.amado-bbva.com")</f>
        <v>nathiahayosara.amado-bbva.com</v>
      </c>
      <c r="J252" s="131" t="str">
        <f ca="1">IFERROR(__xludf.DUMMYFUNCTION("""COMPUTED_VALUE"""),"jeissonandres.diaz.rodriguez-bbva.com")</f>
        <v>jeissonandres.diaz.rodriguez-bbva.com</v>
      </c>
      <c r="K252" s="131" t="str">
        <f ca="1">IFERROR(__xludf.DUMMYFUNCTION("""COMPUTED_VALUE"""),"elizabeth.diaz-bbva.com")</f>
        <v>elizabeth.diaz-bbva.com</v>
      </c>
      <c r="L252" s="4"/>
      <c r="M252" s="4"/>
      <c r="N252" s="4"/>
      <c r="O252" s="4" t="str">
        <f ca="1">IFERROR(__xludf.DUMMYFUNCTION("""COMPUTED_VALUE"""),"Waterfall")</f>
        <v>Waterfall</v>
      </c>
      <c r="P252" s="4" t="str">
        <f ca="1">IFERROR(__xludf.DUMMYFUNCTION("""COMPUTED_VALUE"""),"Tradicional Mesa Transaccional")</f>
        <v>Tradicional Mesa Transaccional</v>
      </c>
      <c r="Q252" s="4"/>
      <c r="R252" s="130" t="str">
        <f ca="1">IFERROR(__xludf.DUMMYFUNCTION("""COMPUTED_VALUE"""),"Enterprises")</f>
        <v>Enterprises</v>
      </c>
      <c r="S252" s="130" t="str">
        <f ca="1">IFERROR(__xludf.DUMMYFUNCTION("""COMPUTED_VALUE"""),"Strategic Review")</f>
        <v>Strategic Review</v>
      </c>
      <c r="T252" s="130" t="str">
        <f ca="1">IFERROR(__xludf.DUMMYFUNCTION("""COMPUTED_VALUE"""),"Otros")</f>
        <v>Otros</v>
      </c>
      <c r="U252" s="130" t="str">
        <f ca="1">IFERROR(__xludf.DUMMYFUNCTION("""COMPUTED_VALUE"""),"No Aplica")</f>
        <v>No Aplica</v>
      </c>
      <c r="V252" s="4" t="str">
        <f ca="1">IFERROR(__xludf.DUMMYFUNCTION("""COMPUTED_VALUE"""),"Otros")</f>
        <v>Otros</v>
      </c>
      <c r="W252" s="4">
        <f ca="1">IFERROR(__xludf.DUMMYFUNCTION("""COMPUTED_VALUE"""),3)</f>
        <v>3</v>
      </c>
      <c r="X252" s="4" t="str">
        <f ca="1">IFERROR(__xludf.DUMMYFUNCTION("""COMPUTED_VALUE"""),"08. Enterprise Transactionality")</f>
        <v>08. Enterprise Transactionality</v>
      </c>
      <c r="Y252" s="4" t="str">
        <f ca="1">IFERROR(__xludf.DUMMYFUNCTION("""COMPUTED_VALUE"""),"5.7.1 Keep the Bank Running")</f>
        <v>5.7.1 Keep the Bank Running</v>
      </c>
      <c r="Z252" s="132" t="str">
        <f ca="1">IFERROR(__xludf.DUMMYFUNCTION("""COMPUTED_VALUE"""),"560493")</f>
        <v>560493</v>
      </c>
      <c r="AA252" s="4" t="str">
        <f ca="1">IFERROR(__xludf.DUMMYFUNCTION("""COMPUTED_VALUE"""),"Referenciación Recaudo Caja Central - Multicash")</f>
        <v>Referenciación Recaudo Caja Central - Multicash</v>
      </c>
      <c r="AB252" s="4" t="str">
        <f ca="1">IFERROR(__xludf.DUMMYFUNCTION("""COMPUTED_VALUE"""),"Reportar la referencia del recaudo que ingresa por Caja Central (Codigo Mir H17) en los archivos Multicash de forma correct")</f>
        <v>Reportar la referencia del recaudo que ingresa por Caja Central (Codigo Mir H17) en los archivos Multicash de forma correct</v>
      </c>
      <c r="AC252" s="4" t="str">
        <f ca="1">IFERROR(__xludf.DUMMYFUNCTION("""COMPUTED_VALUE"""),"1Q 2023")</f>
        <v>1Q 2023</v>
      </c>
      <c r="AD252" s="4"/>
      <c r="AE252" s="4"/>
      <c r="AF252" s="4"/>
      <c r="AG252" s="4"/>
      <c r="AH252" s="4"/>
      <c r="AI252" s="4"/>
      <c r="AJ252" s="4"/>
      <c r="AK252" s="131" t="str">
        <f ca="1">IFERROR(__xludf.DUMMYFUNCTION("""COMPUTED_VALUE"""),"COLWSCANAL-5866")</f>
        <v>COLWSCANAL-5866</v>
      </c>
      <c r="AL252" s="4" t="str">
        <f ca="1">IFERROR(__xludf.DUMMYFUNCTION("""COMPUTED_VALUE"""),"Deployed")</f>
        <v>Deployed</v>
      </c>
      <c r="AM252" s="4"/>
      <c r="AN252" s="4" t="str">
        <f ca="1">IFERROR(__xludf.DUMMYFUNCTION("""COMPUTED_VALUE"""),"Finalizado")</f>
        <v>Finalizado</v>
      </c>
      <c r="AO252" s="4"/>
      <c r="AP252" s="4"/>
      <c r="AQ252" s="4"/>
      <c r="AR252" s="4" t="str">
        <f ca="1">IFERROR(__xludf.DUMMYFUNCTION("""COMPUTED_VALUE"""),"SDA aprobada en PPP Q1 2023")</f>
        <v>SDA aprobada en PPP Q1 2023</v>
      </c>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row>
    <row r="253" spans="1:132" x14ac:dyDescent="0.2">
      <c r="A253" s="4">
        <f ca="1">IFERROR(__xludf.DUMMYFUNCTION("""COMPUTED_VALUE"""),253)</f>
        <v>253</v>
      </c>
      <c r="B253" s="4">
        <f ca="1">IFERROR(__xludf.DUMMYFUNCTION("""COMPUTED_VALUE"""),232)</f>
        <v>232</v>
      </c>
      <c r="C253" s="4" t="str">
        <f ca="1">IFERROR(__xludf.DUMMYFUNCTION("""COMPUTED_VALUE"""),"SDATOOL-38427")</f>
        <v>SDATOOL-38427</v>
      </c>
      <c r="D253" s="4" t="str">
        <f ca="1">IFERROR(__xludf.DUMMYFUNCTION("""COMPUTED_VALUE"""),"Servicios transaccionales 2022")</f>
        <v>Servicios transaccionales 2022</v>
      </c>
      <c r="E25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3" s="4" t="str">
        <f ca="1">IFERROR(__xludf.DUMMYFUNCTION("""COMPUTED_VALUE"""),"Project")</f>
        <v>Project</v>
      </c>
      <c r="G253" s="4" t="str">
        <f ca="1">IFERROR(__xludf.DUMMYFUNCTION("""COMPUTED_VALUE"""),"Ended")</f>
        <v>Ended</v>
      </c>
      <c r="H253" s="4" t="str">
        <f ca="1">IFERROR(__xludf.DUMMYFUNCTION("""COMPUTED_VALUE"""),"1Q 2023")</f>
        <v>1Q 2023</v>
      </c>
      <c r="I253" s="131" t="str">
        <f ca="1">IFERROR(__xludf.DUMMYFUNCTION("""COMPUTED_VALUE"""),"nathiahayosara.amado-bbva.com")</f>
        <v>nathiahayosara.amado-bbva.com</v>
      </c>
      <c r="J253" s="131" t="str">
        <f ca="1">IFERROR(__xludf.DUMMYFUNCTION("""COMPUTED_VALUE"""),"jeissonandres.diaz.rodriguez-bbva.com")</f>
        <v>jeissonandres.diaz.rodriguez-bbva.com</v>
      </c>
      <c r="K253" s="131" t="str">
        <f ca="1">IFERROR(__xludf.DUMMYFUNCTION("""COMPUTED_VALUE"""),"elizabeth.diaz-bbva.com")</f>
        <v>elizabeth.diaz-bbva.com</v>
      </c>
      <c r="L253" s="4"/>
      <c r="M253" s="4"/>
      <c r="N253" s="4"/>
      <c r="O253" s="4" t="str">
        <f ca="1">IFERROR(__xludf.DUMMYFUNCTION("""COMPUTED_VALUE"""),"Waterfall")</f>
        <v>Waterfall</v>
      </c>
      <c r="P253" s="4" t="str">
        <f ca="1">IFERROR(__xludf.DUMMYFUNCTION("""COMPUTED_VALUE"""),"Tradicional Mesa Transaccional")</f>
        <v>Tradicional Mesa Transaccional</v>
      </c>
      <c r="Q253" s="4"/>
      <c r="R253" s="130" t="str">
        <f ca="1">IFERROR(__xludf.DUMMYFUNCTION("""COMPUTED_VALUE"""),"Enterprises")</f>
        <v>Enterprises</v>
      </c>
      <c r="S253" s="130" t="str">
        <f ca="1">IFERROR(__xludf.DUMMYFUNCTION("""COMPUTED_VALUE"""),"Strategic Review")</f>
        <v>Strategic Review</v>
      </c>
      <c r="T253" s="130" t="str">
        <f ca="1">IFERROR(__xludf.DUMMYFUNCTION("""COMPUTED_VALUE"""),"Otros")</f>
        <v>Otros</v>
      </c>
      <c r="U253" s="130" t="str">
        <f ca="1">IFERROR(__xludf.DUMMYFUNCTION("""COMPUTED_VALUE"""),"No Aplica")</f>
        <v>No Aplica</v>
      </c>
      <c r="V253" s="4" t="str">
        <f ca="1">IFERROR(__xludf.DUMMYFUNCTION("""COMPUTED_VALUE"""),"Otros")</f>
        <v>Otros</v>
      </c>
      <c r="W253" s="4">
        <f ca="1">IFERROR(__xludf.DUMMYFUNCTION("""COMPUTED_VALUE"""),3)</f>
        <v>3</v>
      </c>
      <c r="X253" s="4" t="str">
        <f ca="1">IFERROR(__xludf.DUMMYFUNCTION("""COMPUTED_VALUE"""),"08. Enterprise Transactionality")</f>
        <v>08. Enterprise Transactionality</v>
      </c>
      <c r="Y253" s="4" t="str">
        <f ca="1">IFERROR(__xludf.DUMMYFUNCTION("""COMPUTED_VALUE"""),"5.7.1 Keep the Bank Running")</f>
        <v>5.7.1 Keep the Bank Running</v>
      </c>
      <c r="Z253" s="132" t="str">
        <f ca="1">IFERROR(__xludf.DUMMYFUNCTION("""COMPUTED_VALUE"""),"427175")</f>
        <v>427175</v>
      </c>
      <c r="AA253" s="4" t="str">
        <f ca="1">IFERROR(__xludf.DUMMYFUNCTION("""COMPUTED_VALUE"""),"WS Municipio de Floridablanca")</f>
        <v>WS Municipio de Floridablanca</v>
      </c>
      <c r="AB253" s="4" t="str">
        <f ca="1">IFERROR(__xludf.DUMMYFUNCTION("""COMPUTED_VALUE"""),"Municipio de Floridablanca requiere implementar Web Service tipología 3 con nueva documentación técnica, para el recaudo por los canales Banca móvil, Corresponsales bancarios, Terminal financiero.")</f>
        <v>Municipio de Floridablanca requiere implementar Web Service tipología 3 con nueva documentación técnica, para el recaudo por los canales Banca móvil, Corresponsales bancarios, Terminal financiero.</v>
      </c>
      <c r="AC253" s="4" t="str">
        <f ca="1">IFERROR(__xludf.DUMMYFUNCTION("""COMPUTED_VALUE"""),"2Q 2022")</f>
        <v>2Q 2022</v>
      </c>
      <c r="AD253" s="128">
        <f ca="1">IFERROR(__xludf.DUMMYFUNCTION("""COMPUTED_VALUE"""),44562)</f>
        <v>44562</v>
      </c>
      <c r="AE253" s="128">
        <f ca="1">IFERROR(__xludf.DUMMYFUNCTION("""COMPUTED_VALUE"""),44620)</f>
        <v>44620</v>
      </c>
      <c r="AF253" s="128">
        <f ca="1">IFERROR(__xludf.DUMMYFUNCTION("""COMPUTED_VALUE"""),44637)</f>
        <v>44637</v>
      </c>
      <c r="AG253" s="128">
        <f ca="1">IFERROR(__xludf.DUMMYFUNCTION("""COMPUTED_VALUE"""),44676)</f>
        <v>44676</v>
      </c>
      <c r="AH253" s="128">
        <f ca="1">IFERROR(__xludf.DUMMYFUNCTION("""COMPUTED_VALUE"""),44677)</f>
        <v>44677</v>
      </c>
      <c r="AI253" s="128">
        <f ca="1">IFERROR(__xludf.DUMMYFUNCTION("""COMPUTED_VALUE"""),44691)</f>
        <v>44691</v>
      </c>
      <c r="AJ253" s="128">
        <f ca="1">IFERROR(__xludf.DUMMYFUNCTION("""COMPUTED_VALUE"""),44694)</f>
        <v>44694</v>
      </c>
      <c r="AK253" s="131" t="str">
        <f ca="1">IFERROR(__xludf.DUMMYFUNCTION("""COMPUTED_VALUE"""),"COLWSCONTA-25")</f>
        <v>COLWSCONTA-25</v>
      </c>
      <c r="AL253" s="4" t="str">
        <f ca="1">IFERROR(__xludf.DUMMYFUNCTION("""COMPUTED_VALUE"""),"Deployed")</f>
        <v>Deployed</v>
      </c>
      <c r="AM253" s="4" t="str">
        <f ca="1">IFERROR(__xludf.DUMMYFUNCTION("""COMPUTED_VALUE"""),"19/05/2022, paso a producción , cuadrar agenda con el cliente. 
12/05/2022,. tenttivo producción 19/05/2022.
09/05/2022, se comparte datos de producciòn. 
05/05/2022, En pruebas de calidad, fecha tentativa de producción. 20 de mayo
28/04/2022, En prueb"&amp;"as de calidad, fecha tentativa de producción. 13 de mayo
18/04/2022, se solicitan facutras vigentes y de floridablanca para pruebas
11/04/2022, se reporta al cliente ""factura no encontrada""
06/04/2022 se comparten facturas solicitadas
05/04/2022,Se soli"&amp;"cita al cliente facturas de ambientes previos. 
17/03/2022, Inicio de conectividad (Desarrollo).
28-02-2022: Se remite VoBo a PMO para iniciar la dotación
24-02-2022: Neogcio envia documentación para dar inicio a los desarrollos, 
10-02-2022: PMO entrega "&amp;"valoración
24/01/2022, Se radica documento agil""")</f>
        <v>19/05/2022, paso a producción , cuadrar agenda con el cliente. 
12/05/2022,. tenttivo producción 19/05/2022.
09/05/2022, se comparte datos de producciòn. 
05/05/2022, En pruebas de calidad, fecha tentativa de producción. 20 de mayo
28/04/2022, En pruebas de calidad, fecha tentativa de producción. 13 de mayo
18/04/2022, se solicitan facutras vigentes y de floridablanca para pruebas
11/04/2022, se reporta al cliente "factura no encontrada"
06/04/2022 se comparten facturas solicitadas
05/04/2022,Se solicita al cliente facturas de ambientes previos. 
17/03/2022, Inicio de conectividad (Desarrollo).
28-02-2022: Se remite VoBo a PMO para iniciar la dotación
24-02-2022: Neogcio envia documentación para dar inicio a los desarrollos, 
10-02-2022: PMO entrega valoración
24/01/2022, Se radica documento agil"</v>
      </c>
      <c r="AN253" s="4" t="str">
        <f ca="1">IFERROR(__xludf.DUMMYFUNCTION("""COMPUTED_VALUE"""),"Finalizado")</f>
        <v>Finalizado</v>
      </c>
      <c r="AO253" s="4"/>
      <c r="AP253" s="4"/>
      <c r="AQ253" s="4"/>
      <c r="AR253" s="4" t="str">
        <f ca="1">IFERROR(__xludf.DUMMYFUNCTION("""COMPUTED_VALUE"""),"SDA aprobada en PPP Q1 2023")</f>
        <v>SDA aprobada en PPP Q1 2023</v>
      </c>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row>
    <row r="254" spans="1:132" x14ac:dyDescent="0.2">
      <c r="A254" s="4">
        <f ca="1">IFERROR(__xludf.DUMMYFUNCTION("""COMPUTED_VALUE"""),254)</f>
        <v>254</v>
      </c>
      <c r="B254" s="4">
        <f ca="1">IFERROR(__xludf.DUMMYFUNCTION("""COMPUTED_VALUE"""),233)</f>
        <v>233</v>
      </c>
      <c r="C254" s="4" t="str">
        <f ca="1">IFERROR(__xludf.DUMMYFUNCTION("""COMPUTED_VALUE"""),"SDATOOL-38427")</f>
        <v>SDATOOL-38427</v>
      </c>
      <c r="D254" s="4" t="str">
        <f ca="1">IFERROR(__xludf.DUMMYFUNCTION("""COMPUTED_VALUE"""),"Servicios transaccionales 2022")</f>
        <v>Servicios transaccionales 2022</v>
      </c>
      <c r="E25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4" s="4" t="str">
        <f ca="1">IFERROR(__xludf.DUMMYFUNCTION("""COMPUTED_VALUE"""),"Project")</f>
        <v>Project</v>
      </c>
      <c r="G254" s="4" t="str">
        <f ca="1">IFERROR(__xludf.DUMMYFUNCTION("""COMPUTED_VALUE"""),"Ended")</f>
        <v>Ended</v>
      </c>
      <c r="H254" s="4" t="str">
        <f ca="1">IFERROR(__xludf.DUMMYFUNCTION("""COMPUTED_VALUE"""),"1Q 2023")</f>
        <v>1Q 2023</v>
      </c>
      <c r="I254" s="131" t="str">
        <f ca="1">IFERROR(__xludf.DUMMYFUNCTION("""COMPUTED_VALUE"""),"nathiahayosara.amado-bbva.com")</f>
        <v>nathiahayosara.amado-bbva.com</v>
      </c>
      <c r="J254" s="131" t="str">
        <f ca="1">IFERROR(__xludf.DUMMYFUNCTION("""COMPUTED_VALUE"""),"jeissonandres.diaz.rodriguez-bbva.com")</f>
        <v>jeissonandres.diaz.rodriguez-bbva.com</v>
      </c>
      <c r="K254" s="131" t="str">
        <f ca="1">IFERROR(__xludf.DUMMYFUNCTION("""COMPUTED_VALUE"""),"elizabeth.diaz-bbva.com")</f>
        <v>elizabeth.diaz-bbva.com</v>
      </c>
      <c r="L254" s="4"/>
      <c r="M254" s="4"/>
      <c r="N254" s="4"/>
      <c r="O254" s="4" t="str">
        <f ca="1">IFERROR(__xludf.DUMMYFUNCTION("""COMPUTED_VALUE"""),"Waterfall")</f>
        <v>Waterfall</v>
      </c>
      <c r="P254" s="4" t="str">
        <f ca="1">IFERROR(__xludf.DUMMYFUNCTION("""COMPUTED_VALUE"""),"Tradicional Mesa Transaccional")</f>
        <v>Tradicional Mesa Transaccional</v>
      </c>
      <c r="Q254" s="4"/>
      <c r="R254" s="130" t="str">
        <f ca="1">IFERROR(__xludf.DUMMYFUNCTION("""COMPUTED_VALUE"""),"Enterprises")</f>
        <v>Enterprises</v>
      </c>
      <c r="S254" s="130" t="str">
        <f ca="1">IFERROR(__xludf.DUMMYFUNCTION("""COMPUTED_VALUE"""),"Strategic Review")</f>
        <v>Strategic Review</v>
      </c>
      <c r="T254" s="130" t="str">
        <f ca="1">IFERROR(__xludf.DUMMYFUNCTION("""COMPUTED_VALUE"""),"Otros")</f>
        <v>Otros</v>
      </c>
      <c r="U254" s="130" t="str">
        <f ca="1">IFERROR(__xludf.DUMMYFUNCTION("""COMPUTED_VALUE"""),"No Aplica")</f>
        <v>No Aplica</v>
      </c>
      <c r="V254" s="4" t="str">
        <f ca="1">IFERROR(__xludf.DUMMYFUNCTION("""COMPUTED_VALUE"""),"Otros")</f>
        <v>Otros</v>
      </c>
      <c r="W254" s="4">
        <f ca="1">IFERROR(__xludf.DUMMYFUNCTION("""COMPUTED_VALUE"""),3)</f>
        <v>3</v>
      </c>
      <c r="X254" s="4" t="str">
        <f ca="1">IFERROR(__xludf.DUMMYFUNCTION("""COMPUTED_VALUE"""),"08. Enterprise Transactionality")</f>
        <v>08. Enterprise Transactionality</v>
      </c>
      <c r="Y254" s="4" t="str">
        <f ca="1">IFERROR(__xludf.DUMMYFUNCTION("""COMPUTED_VALUE"""),"5.7.1 Keep the Bank Running")</f>
        <v>5.7.1 Keep the Bank Running</v>
      </c>
      <c r="Z254" s="132" t="str">
        <f ca="1">IFERROR(__xludf.DUMMYFUNCTION("""COMPUTED_VALUE"""),"418583")</f>
        <v>418583</v>
      </c>
      <c r="AA254" s="4" t="str">
        <f ca="1">IFERROR(__xludf.DUMMYFUNCTION("""COMPUTED_VALUE"""),"WS Municipio de Montería Actualizado.")</f>
        <v>WS Municipio de Montería Actualizado.</v>
      </c>
      <c r="AB254" s="4" t="str">
        <f ca="1">IFERROR(__xludf.DUMMYFUNCTION("""COMPUTED_VALUE"""),"Municipio de Montería requiere implementar Web Service tipología 3, actualmente esta recaudando en TF, se requiere habilitar recaudo en linea (WS) y habilitar BM, BBVA NET")</f>
        <v>Municipio de Montería requiere implementar Web Service tipología 3, actualmente esta recaudando en TF, se requiere habilitar recaudo en linea (WS) y habilitar BM, BBVA NET</v>
      </c>
      <c r="AC254" s="4" t="str">
        <f ca="1">IFERROR(__xludf.DUMMYFUNCTION("""COMPUTED_VALUE"""),"2Q 2022")</f>
        <v>2Q 2022</v>
      </c>
      <c r="AD254" s="128">
        <f ca="1">IFERROR(__xludf.DUMMYFUNCTION("""COMPUTED_VALUE"""),44440)</f>
        <v>44440</v>
      </c>
      <c r="AE254" s="128">
        <f ca="1">IFERROR(__xludf.DUMMYFUNCTION("""COMPUTED_VALUE"""),44561)</f>
        <v>44561</v>
      </c>
      <c r="AF254" s="128">
        <f ca="1">IFERROR(__xludf.DUMMYFUNCTION("""COMPUTED_VALUE"""),44562)</f>
        <v>44562</v>
      </c>
      <c r="AG254" s="128">
        <f ca="1">IFERROR(__xludf.DUMMYFUNCTION("""COMPUTED_VALUE"""),44620)</f>
        <v>44620</v>
      </c>
      <c r="AH254" s="128">
        <f ca="1">IFERROR(__xludf.DUMMYFUNCTION("""COMPUTED_VALUE"""),44637)</f>
        <v>44637</v>
      </c>
      <c r="AI254" s="128">
        <f ca="1">IFERROR(__xludf.DUMMYFUNCTION("""COMPUTED_VALUE"""),44659)</f>
        <v>44659</v>
      </c>
      <c r="AJ254" s="128">
        <f ca="1">IFERROR(__xludf.DUMMYFUNCTION("""COMPUTED_VALUE"""),44673)</f>
        <v>44673</v>
      </c>
      <c r="AK254" s="131" t="str">
        <f ca="1">IFERROR(__xludf.DUMMYFUNCTION("""COMPUTED_VALUE"""),"COLWSCONTA-9")</f>
        <v>COLWSCONTA-9</v>
      </c>
      <c r="AL254" s="4" t="str">
        <f ca="1">IFERROR(__xludf.DUMMYFUNCTION("""COMPUTED_VALUE"""),"Deployed")</f>
        <v>Deployed</v>
      </c>
      <c r="AM254" s="4" t="str">
        <f ca="1">IFERROR(__xludf.DUMMYFUNCTION("""COMPUTED_VALUE"""),"""22/02/2022, se envian facturas ambientes previos
16/02/2022, se envió usuario y contraseña
16/02/2022, se solicita usuario y la contraseña - Inicios de desarrollo.
03/02/2022, pendiente contratación de proveedor una vez se desembolse el dinero a la cuen"&amp;"ta de ingenieria
13/01/2022, Pendiente entrega de dotación de PMO a ingeniería
03/01/2022, Entrega de dotación a PMO pendiente entrega a ingeniería
05-11-2021: cliente remite documentación actualizada, cambia el WSDL, se radica nuevamente el proyecto a PM"&amp;"O para valoración
13-10-2021: Cliente informa que estan en proceso de migración y una vez finalicen envian documentación actualizada para continuar
15-09-2021: No se aprueba presupuesto debido a que el cliente hizo cambios en el WSDL, se validara los camb"&amp;"ios primero
08/09/2021, en ppp aprueban adición, se remite VoBo y solicitud de dotación a PMO,
Pendiente presupuesto para avanzar desarrollos""")</f>
        <v>"22/02/2022, se envian facturas ambientes previos
16/02/2022, se envió usuario y contraseña
16/02/2022, se solicita usuario y la contraseña - Inicios de desarrollo.
03/02/2022, pendiente contratación de proveedor una vez se desembolse el dinero a la cuenta de ingenieria
13/01/2022, Pendiente entrega de dotación de PMO a ingeniería
03/01/2022, Entrega de dotación a PMO pendiente entrega a ingeniería
05-11-2021: cliente remite documentación actualizada, cambia el WSDL, se radica nuevamente el proyecto a PMO para valoración
13-10-2021: Cliente informa que estan en proceso de migración y una vez finalicen envian documentación actualizada para continuar
15-09-2021: No se aprueba presupuesto debido a que el cliente hizo cambios en el WSDL, se validara los cambios primero
08/09/2021, en ppp aprueban adición, se remite VoBo y solicitud de dotación a PMO,
Pendiente presupuesto para avanzar desarrollos"</v>
      </c>
      <c r="AN254" s="4" t="str">
        <f ca="1">IFERROR(__xludf.DUMMYFUNCTION("""COMPUTED_VALUE"""),"Finalizado")</f>
        <v>Finalizado</v>
      </c>
      <c r="AO254" s="4"/>
      <c r="AP254" s="4"/>
      <c r="AQ254" s="4"/>
      <c r="AR254" s="4" t="str">
        <f ca="1">IFERROR(__xludf.DUMMYFUNCTION("""COMPUTED_VALUE"""),"SDA aprobada en PPP Q1 2023")</f>
        <v>SDA aprobada en PPP Q1 2023</v>
      </c>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row>
    <row r="255" spans="1:132" x14ac:dyDescent="0.2">
      <c r="A255" s="4">
        <f ca="1">IFERROR(__xludf.DUMMYFUNCTION("""COMPUTED_VALUE"""),255)</f>
        <v>255</v>
      </c>
      <c r="B255" s="4">
        <f ca="1">IFERROR(__xludf.DUMMYFUNCTION("""COMPUTED_VALUE"""),234)</f>
        <v>234</v>
      </c>
      <c r="C255" s="4" t="str">
        <f ca="1">IFERROR(__xludf.DUMMYFUNCTION("""COMPUTED_VALUE"""),"SDATOOL-38427")</f>
        <v>SDATOOL-38427</v>
      </c>
      <c r="D255" s="4" t="str">
        <f ca="1">IFERROR(__xludf.DUMMYFUNCTION("""COMPUTED_VALUE"""),"Servicios transaccionales 2022")</f>
        <v>Servicios transaccionales 2022</v>
      </c>
      <c r="E25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5" s="4" t="str">
        <f ca="1">IFERROR(__xludf.DUMMYFUNCTION("""COMPUTED_VALUE"""),"Project")</f>
        <v>Project</v>
      </c>
      <c r="G255" s="4" t="str">
        <f ca="1">IFERROR(__xludf.DUMMYFUNCTION("""COMPUTED_VALUE"""),"Ended")</f>
        <v>Ended</v>
      </c>
      <c r="H255" s="4" t="str">
        <f ca="1">IFERROR(__xludf.DUMMYFUNCTION("""COMPUTED_VALUE"""),"1Q 2023")</f>
        <v>1Q 2023</v>
      </c>
      <c r="I255" s="131" t="str">
        <f ca="1">IFERROR(__xludf.DUMMYFUNCTION("""COMPUTED_VALUE"""),"nathiahayosara.amado-bbva.com")</f>
        <v>nathiahayosara.amado-bbva.com</v>
      </c>
      <c r="J255" s="131" t="str">
        <f ca="1">IFERROR(__xludf.DUMMYFUNCTION("""COMPUTED_VALUE"""),"jeissonandres.diaz.rodriguez-bbva.com")</f>
        <v>jeissonandres.diaz.rodriguez-bbva.com</v>
      </c>
      <c r="K255" s="131" t="str">
        <f ca="1">IFERROR(__xludf.DUMMYFUNCTION("""COMPUTED_VALUE"""),"elizabeth.diaz-bbva.com")</f>
        <v>elizabeth.diaz-bbva.com</v>
      </c>
      <c r="L255" s="4"/>
      <c r="M255" s="4"/>
      <c r="N255" s="4"/>
      <c r="O255" s="4" t="str">
        <f ca="1">IFERROR(__xludf.DUMMYFUNCTION("""COMPUTED_VALUE"""),"Waterfall")</f>
        <v>Waterfall</v>
      </c>
      <c r="P255" s="4" t="str">
        <f ca="1">IFERROR(__xludf.DUMMYFUNCTION("""COMPUTED_VALUE"""),"Tradicional Mesa Transaccional")</f>
        <v>Tradicional Mesa Transaccional</v>
      </c>
      <c r="Q255" s="4"/>
      <c r="R255" s="130" t="str">
        <f ca="1">IFERROR(__xludf.DUMMYFUNCTION("""COMPUTED_VALUE"""),"Enterprises")</f>
        <v>Enterprises</v>
      </c>
      <c r="S255" s="130" t="str">
        <f ca="1">IFERROR(__xludf.DUMMYFUNCTION("""COMPUTED_VALUE"""),"Strategic Review")</f>
        <v>Strategic Review</v>
      </c>
      <c r="T255" s="130" t="str">
        <f ca="1">IFERROR(__xludf.DUMMYFUNCTION("""COMPUTED_VALUE"""),"Otros")</f>
        <v>Otros</v>
      </c>
      <c r="U255" s="130" t="str">
        <f ca="1">IFERROR(__xludf.DUMMYFUNCTION("""COMPUTED_VALUE"""),"No Aplica")</f>
        <v>No Aplica</v>
      </c>
      <c r="V255" s="4" t="str">
        <f ca="1">IFERROR(__xludf.DUMMYFUNCTION("""COMPUTED_VALUE"""),"Otros")</f>
        <v>Otros</v>
      </c>
      <c r="W255" s="4">
        <f ca="1">IFERROR(__xludf.DUMMYFUNCTION("""COMPUTED_VALUE"""),3)</f>
        <v>3</v>
      </c>
      <c r="X255" s="4" t="str">
        <f ca="1">IFERROR(__xludf.DUMMYFUNCTION("""COMPUTED_VALUE"""),"08. Enterprise Transactionality")</f>
        <v>08. Enterprise Transactionality</v>
      </c>
      <c r="Y255" s="4" t="str">
        <f ca="1">IFERROR(__xludf.DUMMYFUNCTION("""COMPUTED_VALUE"""),"5.7.1 Keep the Bank Running")</f>
        <v>5.7.1 Keep the Bank Running</v>
      </c>
      <c r="Z255" s="132" t="str">
        <f ca="1">IFERROR(__xludf.DUMMYFUNCTION("""COMPUTED_VALUE"""),"418581")</f>
        <v>418581</v>
      </c>
      <c r="AA255" s="4" t="str">
        <f ca="1">IFERROR(__xludf.DUMMYFUNCTION("""COMPUTED_VALUE"""),"Referenciación de Movimientos en Multicash y MT940")</f>
        <v>Referenciación de Movimientos en Multicash y MT940</v>
      </c>
      <c r="AB255" s="4" t="str">
        <f ca="1">IFERROR(__xludf.DUMMYFUNCTION("""COMPUTED_VALUE"""),"Se requiere el ajuste en BanckEnd de Banca Movil para guardar la información de cuenta y ID ordenante de las operaciones A37 Abono Terceros Banca Móvil y así reportar la información en los archivos de conciliación")</f>
        <v>Se requiere el ajuste en BanckEnd de Banca Movil para guardar la información de cuenta y ID ordenante de las operaciones A37 Abono Terceros Banca Móvil y así reportar la información en los archivos de conciliación</v>
      </c>
      <c r="AC255" s="4" t="str">
        <f ca="1">IFERROR(__xludf.DUMMYFUNCTION("""COMPUTED_VALUE"""),"2Q 2022")</f>
        <v>2Q 2022</v>
      </c>
      <c r="AD255" s="128">
        <f ca="1">IFERROR(__xludf.DUMMYFUNCTION("""COMPUTED_VALUE"""),44378)</f>
        <v>44378</v>
      </c>
      <c r="AE255" s="128">
        <f ca="1">IFERROR(__xludf.DUMMYFUNCTION("""COMPUTED_VALUE"""),44592)</f>
        <v>44592</v>
      </c>
      <c r="AF255" s="128">
        <f ca="1">IFERROR(__xludf.DUMMYFUNCTION("""COMPUTED_VALUE"""),44593)</f>
        <v>44593</v>
      </c>
      <c r="AG255" s="128">
        <f ca="1">IFERROR(__xludf.DUMMYFUNCTION("""COMPUTED_VALUE"""),44681)</f>
        <v>44681</v>
      </c>
      <c r="AH255" s="128">
        <f ca="1">IFERROR(__xludf.DUMMYFUNCTION("""COMPUTED_VALUE"""),44682)</f>
        <v>44682</v>
      </c>
      <c r="AI255" s="128">
        <f ca="1">IFERROR(__xludf.DUMMYFUNCTION("""COMPUTED_VALUE"""),44742)</f>
        <v>44742</v>
      </c>
      <c r="AJ255" s="128">
        <f ca="1">IFERROR(__xludf.DUMMYFUNCTION("""COMPUTED_VALUE"""),44743)</f>
        <v>44743</v>
      </c>
      <c r="AK255" s="131" t="str">
        <f ca="1">IFERROR(__xludf.DUMMYFUNCTION("""COMPUTED_VALUE"""),"COLWSCONTA-8")</f>
        <v>COLWSCONTA-8</v>
      </c>
      <c r="AL255" s="4" t="str">
        <f ca="1">IFERROR(__xludf.DUMMYFUNCTION("""COMPUTED_VALUE"""),"Deployed")</f>
        <v>Deployed</v>
      </c>
      <c r="AM255" s="4" t="str">
        <f ca="1">IFERROR(__xludf.DUMMYFUNCTION("""COMPUTED_VALUE"""),"15/07/2022: Entra en proceso de certificación fase 2 MT940, y finalización desarrollos ajuste en Multicash
23/06/2022: Se da paso a produción la fase 1, se evidencia correcto funcionamiento del servicio.
12/05/2022: En certificación fase 1, inicio de fase"&amp;" 2
28/04/2022: Pendiente entrega plan de trabajo por parte de la mesa de Net Cash, se aprueba dotación para inicio de desarrollos 3 fase
25/04/2022: Paso a Calidad de desarrollos BM, pendiente inicio fase 2 ajuste en Cuentas
18-02-2022: systems entrega pl"&amp;"an de trabajo, fecha estimada producción ajuste BM 10/06/2022 y paso a producción ajuste Cuentas 12/09/2022
28-10-2021: _Informa Systems que por parte del equipo de cuentas ven viable adelantar desarrollos de BM, ya que  no toca el frontEnd, se da priorid"&amp;"ad para que avancen, pendiente valoración 
16-09-2021: En conversación con Systems, informan que no hay capacidad para atender en BM ni en Net Cash, por lo cual no es posible avanzar
08/09/2021, en ppp aprueban adición, se remite VoBo y solicitud de dotac"&amp;"ión a PMO
Pendiente presupuesto
11/08/2021 PMO remite valoración completa por $84.903.594, se solicita adicion presupuestal a Edwin Barrios
Se radica el 01 de Julio a PMO para valorar nuevamente el alcance y documento ágil actualizado""
07/072022 - Cuenta"&amp;"s en producción (21 Junio-OK) Los clientes ya pueden ver información adicional de abonos en banca Móvil en los archivos. 
(29 agosto) Habilitar o deshabilitar la información.
Net Cash: va avanzando y va en fecha para Septiembre
")</f>
        <v xml:space="preserve">15/07/2022: Entra en proceso de certificación fase 2 MT940, y finalización desarrollos ajuste en Multicash
23/06/2022: Se da paso a produción la fase 1, se evidencia correcto funcionamiento del servicio.
12/05/2022: En certificación fase 1, inicio de fase 2
28/04/2022: Pendiente entrega plan de trabajo por parte de la mesa de Net Cash, se aprueba dotación para inicio de desarrollos 3 fase
25/04/2022: Paso a Calidad de desarrollos BM, pendiente inicio fase 2 ajuste en Cuentas
18-02-2022: systems entrega plan de trabajo, fecha estimada producción ajuste BM 10/06/2022 y paso a producción ajuste Cuentas 12/09/2022
28-10-2021: _Informa Systems que por parte del equipo de cuentas ven viable adelantar desarrollos de BM, ya que  no toca el frontEnd, se da prioridad para que avancen, pendiente valoración 
16-09-2021: En conversación con Systems, informan que no hay capacidad para atender en BM ni en Net Cash, por lo cual no es posible avanzar
08/09/2021, en ppp aprueban adición, se remite VoBo y solicitud de dotación a PMO
Pendiente presupuesto
11/08/2021 PMO remite valoración completa por $84.903.594, se solicita adicion presupuestal a Edwin Barrios
Se radica el 01 de Julio a PMO para valorar nuevamente el alcance y documento ágil actualizado"
07/072022 - Cuentas en producción (21 Junio-OK) Los clientes ya pueden ver información adicional de abonos en banca Móvil en los archivos. 
(29 agosto) Habilitar o deshabilitar la información.
Net Cash: va avanzando y va en fecha para Septiembre
</v>
      </c>
      <c r="AN255" s="4" t="str">
        <f ca="1">IFERROR(__xludf.DUMMYFUNCTION("""COMPUTED_VALUE"""),"Finalizado")</f>
        <v>Finalizado</v>
      </c>
      <c r="AO255" s="4"/>
      <c r="AP255" s="4"/>
      <c r="AQ255" s="4"/>
      <c r="AR255" s="4" t="str">
        <f ca="1">IFERROR(__xludf.DUMMYFUNCTION("""COMPUTED_VALUE"""),"SDA aprobada en PPP Q1 2023")</f>
        <v>SDA aprobada en PPP Q1 2023</v>
      </c>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row>
    <row r="256" spans="1:132" x14ac:dyDescent="0.2">
      <c r="A256" s="4">
        <f ca="1">IFERROR(__xludf.DUMMYFUNCTION("""COMPUTED_VALUE"""),256)</f>
        <v>256</v>
      </c>
      <c r="B256" s="4">
        <f ca="1">IFERROR(__xludf.DUMMYFUNCTION("""COMPUTED_VALUE"""),235)</f>
        <v>235</v>
      </c>
      <c r="C256" s="4" t="str">
        <f ca="1">IFERROR(__xludf.DUMMYFUNCTION("""COMPUTED_VALUE"""),"SDATOOL-38427")</f>
        <v>SDATOOL-38427</v>
      </c>
      <c r="D256" s="4" t="str">
        <f ca="1">IFERROR(__xludf.DUMMYFUNCTION("""COMPUTED_VALUE"""),"Servicios transaccionales 2022")</f>
        <v>Servicios transaccionales 2022</v>
      </c>
      <c r="E25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6" s="4" t="str">
        <f ca="1">IFERROR(__xludf.DUMMYFUNCTION("""COMPUTED_VALUE"""),"Project")</f>
        <v>Project</v>
      </c>
      <c r="G256" s="4" t="str">
        <f ca="1">IFERROR(__xludf.DUMMYFUNCTION("""COMPUTED_VALUE"""),"Ended")</f>
        <v>Ended</v>
      </c>
      <c r="H256" s="4" t="str">
        <f ca="1">IFERROR(__xludf.DUMMYFUNCTION("""COMPUTED_VALUE"""),"1Q 2023")</f>
        <v>1Q 2023</v>
      </c>
      <c r="I256" s="131" t="str">
        <f ca="1">IFERROR(__xludf.DUMMYFUNCTION("""COMPUTED_VALUE"""),"nathiahayosara.amado-bbva.com")</f>
        <v>nathiahayosara.amado-bbva.com</v>
      </c>
      <c r="J256" s="131" t="str">
        <f ca="1">IFERROR(__xludf.DUMMYFUNCTION("""COMPUTED_VALUE"""),"jeissonandres.diaz.rodriguez-bbva.com")</f>
        <v>jeissonandres.diaz.rodriguez-bbva.com</v>
      </c>
      <c r="K256" s="131" t="str">
        <f ca="1">IFERROR(__xludf.DUMMYFUNCTION("""COMPUTED_VALUE"""),"elizabeth.diaz-bbva.com")</f>
        <v>elizabeth.diaz-bbva.com</v>
      </c>
      <c r="L256" s="4"/>
      <c r="M256" s="4"/>
      <c r="N256" s="4"/>
      <c r="O256" s="4" t="str">
        <f ca="1">IFERROR(__xludf.DUMMYFUNCTION("""COMPUTED_VALUE"""),"Waterfall")</f>
        <v>Waterfall</v>
      </c>
      <c r="P256" s="4" t="str">
        <f ca="1">IFERROR(__xludf.DUMMYFUNCTION("""COMPUTED_VALUE"""),"Tradicional Mesa Transaccional")</f>
        <v>Tradicional Mesa Transaccional</v>
      </c>
      <c r="Q256" s="4"/>
      <c r="R256" s="130" t="str">
        <f ca="1">IFERROR(__xludf.DUMMYFUNCTION("""COMPUTED_VALUE"""),"Enterprises")</f>
        <v>Enterprises</v>
      </c>
      <c r="S256" s="130" t="str">
        <f ca="1">IFERROR(__xludf.DUMMYFUNCTION("""COMPUTED_VALUE"""),"Strategic Review")</f>
        <v>Strategic Review</v>
      </c>
      <c r="T256" s="130" t="str">
        <f ca="1">IFERROR(__xludf.DUMMYFUNCTION("""COMPUTED_VALUE"""),"Otros")</f>
        <v>Otros</v>
      </c>
      <c r="U256" s="130" t="str">
        <f ca="1">IFERROR(__xludf.DUMMYFUNCTION("""COMPUTED_VALUE"""),"No Aplica")</f>
        <v>No Aplica</v>
      </c>
      <c r="V256" s="4" t="str">
        <f ca="1">IFERROR(__xludf.DUMMYFUNCTION("""COMPUTED_VALUE"""),"Otros")</f>
        <v>Otros</v>
      </c>
      <c r="W256" s="4">
        <f ca="1">IFERROR(__xludf.DUMMYFUNCTION("""COMPUTED_VALUE"""),3)</f>
        <v>3</v>
      </c>
      <c r="X256" s="4" t="str">
        <f ca="1">IFERROR(__xludf.DUMMYFUNCTION("""COMPUTED_VALUE"""),"08. Enterprise Transactionality")</f>
        <v>08. Enterprise Transactionality</v>
      </c>
      <c r="Y256" s="4" t="str">
        <f ca="1">IFERROR(__xludf.DUMMYFUNCTION("""COMPUTED_VALUE"""),"5.7.1 Keep the Bank Running")</f>
        <v>5.7.1 Keep the Bank Running</v>
      </c>
      <c r="Z256" s="132" t="str">
        <f ca="1">IFERROR(__xludf.DUMMYFUNCTION("""COMPUTED_VALUE"""),"431985")</f>
        <v>431985</v>
      </c>
      <c r="AA256" s="4" t="str">
        <f ca="1">IFERROR(__xludf.DUMMYFUNCTION("""COMPUTED_VALUE"""),"WS Dtto Barranquilla Ajuste")</f>
        <v>WS Dtto Barranquilla Ajuste</v>
      </c>
      <c r="AB256" s="4" t="str">
        <f ca="1">IFERROR(__xludf.DUMMYFUNCTION("""COMPUTED_VALUE"""),"Realizar ajustes a los desarrollos de Web Service, para habilitar el recaudo por el canal banca Movil del cliente Distrito de Barranquilla sin el envio de los tag fecha de vencimiento ni valor, cliente envia documentación tecnica distinta para el canal Ba"&amp;"nca Movil")</f>
        <v>Realizar ajustes a los desarrollos de Web Service, para habilitar el recaudo por el canal banca Movil del cliente Distrito de Barranquilla sin el envio de los tag fecha de vencimiento ni valor, cliente envia documentación tecnica distinta para el canal Banca Movil</v>
      </c>
      <c r="AC256" s="4" t="str">
        <f ca="1">IFERROR(__xludf.DUMMYFUNCTION("""COMPUTED_VALUE"""),"2Q 2022")</f>
        <v>2Q 2022</v>
      </c>
      <c r="AD256" s="4"/>
      <c r="AE256" s="4"/>
      <c r="AF256" s="128">
        <f ca="1">IFERROR(__xludf.DUMMYFUNCTION("""COMPUTED_VALUE"""),44644)</f>
        <v>44644</v>
      </c>
      <c r="AG256" s="128">
        <f ca="1">IFERROR(__xludf.DUMMYFUNCTION("""COMPUTED_VALUE"""),44690)</f>
        <v>44690</v>
      </c>
      <c r="AH256" s="128">
        <f ca="1">IFERROR(__xludf.DUMMYFUNCTION("""COMPUTED_VALUE"""),44691)</f>
        <v>44691</v>
      </c>
      <c r="AI256" s="128">
        <f ca="1">IFERROR(__xludf.DUMMYFUNCTION("""COMPUTED_VALUE"""),44707)</f>
        <v>44707</v>
      </c>
      <c r="AJ256" s="128">
        <f ca="1">IFERROR(__xludf.DUMMYFUNCTION("""COMPUTED_VALUE"""),44722)</f>
        <v>44722</v>
      </c>
      <c r="AK256" s="131" t="str">
        <f ca="1">IFERROR(__xludf.DUMMYFUNCTION("""COMPUTED_VALUE"""),"COLWSCONTA-33")</f>
        <v>COLWSCONTA-33</v>
      </c>
      <c r="AL256" s="4" t="str">
        <f ca="1">IFERROR(__xludf.DUMMYFUNCTION("""COMPUTED_VALUE"""),"Deployed")</f>
        <v>Deployed</v>
      </c>
      <c r="AM256" s="4" t="str">
        <f ca="1">IFERROR(__xludf.DUMMYFUNCTION("""COMPUTED_VALUE"""),"10/06/2022: Se da paso a producción, pendiente pruebas de penny test
12/05/2022: Se encuentra en pruebas unitarias
28/04/2022: En proceso de certificación
22/04/2022, se reporta error en respuesta de servicio al gerente
19/04/2022, se comparten facturas 
"&amp;"18/02/2022, se solicitan facturas en ambiente previo. 
07/04/2022. Pruebas unitarias.
29/03/2022, sigue en desarrollo.
24/03/2022: En desarrollo, se garantiza conectividad.
17/03/2022, pendiente aval presupuestal. ")</f>
        <v xml:space="preserve">10/06/2022: Se da paso a producción, pendiente pruebas de penny test
12/05/2022: Se encuentra en pruebas unitarias
28/04/2022: En proceso de certificación
22/04/2022, se reporta error en respuesta de servicio al gerente
19/04/2022, se comparten facturas 
18/02/2022, se solicitan facturas en ambiente previo. 
07/04/2022. Pruebas unitarias.
29/03/2022, sigue en desarrollo.
24/03/2022: En desarrollo, se garantiza conectividad.
17/03/2022, pendiente aval presupuestal. </v>
      </c>
      <c r="AN256" s="4" t="str">
        <f ca="1">IFERROR(__xludf.DUMMYFUNCTION("""COMPUTED_VALUE"""),"Finalizado")</f>
        <v>Finalizado</v>
      </c>
      <c r="AO256" s="4"/>
      <c r="AP256" s="4"/>
      <c r="AQ256" s="4"/>
      <c r="AR256" s="4" t="str">
        <f ca="1">IFERROR(__xludf.DUMMYFUNCTION("""COMPUTED_VALUE"""),"SDA aprobada en PPP Q1 2023")</f>
        <v>SDA aprobada en PPP Q1 2023</v>
      </c>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row>
    <row r="257" spans="1:132" x14ac:dyDescent="0.2">
      <c r="A257" s="4">
        <f ca="1">IFERROR(__xludf.DUMMYFUNCTION("""COMPUTED_VALUE"""),257)</f>
        <v>257</v>
      </c>
      <c r="B257" s="4">
        <f ca="1">IFERROR(__xludf.DUMMYFUNCTION("""COMPUTED_VALUE"""),236)</f>
        <v>236</v>
      </c>
      <c r="C257" s="4" t="str">
        <f ca="1">IFERROR(__xludf.DUMMYFUNCTION("""COMPUTED_VALUE"""),"SDATOOL-38427")</f>
        <v>SDATOOL-38427</v>
      </c>
      <c r="D257" s="4" t="str">
        <f ca="1">IFERROR(__xludf.DUMMYFUNCTION("""COMPUTED_VALUE"""),"Servicios transaccionales 2022")</f>
        <v>Servicios transaccionales 2022</v>
      </c>
      <c r="E25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7" s="4" t="str">
        <f ca="1">IFERROR(__xludf.DUMMYFUNCTION("""COMPUTED_VALUE"""),"Project")</f>
        <v>Project</v>
      </c>
      <c r="G257" s="4" t="str">
        <f ca="1">IFERROR(__xludf.DUMMYFUNCTION("""COMPUTED_VALUE"""),"Ended")</f>
        <v>Ended</v>
      </c>
      <c r="H257" s="4" t="str">
        <f ca="1">IFERROR(__xludf.DUMMYFUNCTION("""COMPUTED_VALUE"""),"1Q 2023")</f>
        <v>1Q 2023</v>
      </c>
      <c r="I257" s="131" t="str">
        <f ca="1">IFERROR(__xludf.DUMMYFUNCTION("""COMPUTED_VALUE"""),"nathiahayosara.amado-bbva.com")</f>
        <v>nathiahayosara.amado-bbva.com</v>
      </c>
      <c r="J257" s="131" t="str">
        <f ca="1">IFERROR(__xludf.DUMMYFUNCTION("""COMPUTED_VALUE"""),"jeissonandres.diaz.rodriguez-bbva.com")</f>
        <v>jeissonandres.diaz.rodriguez-bbva.com</v>
      </c>
      <c r="K257" s="131" t="str">
        <f ca="1">IFERROR(__xludf.DUMMYFUNCTION("""COMPUTED_VALUE"""),"elizabeth.diaz-bbva.com")</f>
        <v>elizabeth.diaz-bbva.com</v>
      </c>
      <c r="L257" s="4"/>
      <c r="M257" s="4"/>
      <c r="N257" s="4"/>
      <c r="O257" s="4" t="str">
        <f ca="1">IFERROR(__xludf.DUMMYFUNCTION("""COMPUTED_VALUE"""),"Waterfall")</f>
        <v>Waterfall</v>
      </c>
      <c r="P257" s="4" t="str">
        <f ca="1">IFERROR(__xludf.DUMMYFUNCTION("""COMPUTED_VALUE"""),"Tradicional Mesa Transaccional")</f>
        <v>Tradicional Mesa Transaccional</v>
      </c>
      <c r="Q257" s="4"/>
      <c r="R257" s="130" t="str">
        <f ca="1">IFERROR(__xludf.DUMMYFUNCTION("""COMPUTED_VALUE"""),"Enterprises")</f>
        <v>Enterprises</v>
      </c>
      <c r="S257" s="130" t="str">
        <f ca="1">IFERROR(__xludf.DUMMYFUNCTION("""COMPUTED_VALUE"""),"Strategic Review")</f>
        <v>Strategic Review</v>
      </c>
      <c r="T257" s="130" t="str">
        <f ca="1">IFERROR(__xludf.DUMMYFUNCTION("""COMPUTED_VALUE"""),"Otros")</f>
        <v>Otros</v>
      </c>
      <c r="U257" s="130" t="str">
        <f ca="1">IFERROR(__xludf.DUMMYFUNCTION("""COMPUTED_VALUE"""),"No Aplica")</f>
        <v>No Aplica</v>
      </c>
      <c r="V257" s="4" t="str">
        <f ca="1">IFERROR(__xludf.DUMMYFUNCTION("""COMPUTED_VALUE"""),"Otros")</f>
        <v>Otros</v>
      </c>
      <c r="W257" s="4">
        <f ca="1">IFERROR(__xludf.DUMMYFUNCTION("""COMPUTED_VALUE"""),3)</f>
        <v>3</v>
      </c>
      <c r="X257" s="4" t="str">
        <f ca="1">IFERROR(__xludf.DUMMYFUNCTION("""COMPUTED_VALUE"""),"08. Enterprise Transactionality")</f>
        <v>08. Enterprise Transactionality</v>
      </c>
      <c r="Y257" s="4" t="str">
        <f ca="1">IFERROR(__xludf.DUMMYFUNCTION("""COMPUTED_VALUE"""),"5.7.1 Keep the Bank Running")</f>
        <v>5.7.1 Keep the Bank Running</v>
      </c>
      <c r="Z257" s="132" t="str">
        <f ca="1">IFERROR(__xludf.DUMMYFUNCTION("""COMPUTED_VALUE"""),"430944")</f>
        <v>430944</v>
      </c>
      <c r="AA257" s="4" t="str">
        <f ca="1">IFERROR(__xludf.DUMMYFUNCTION("""COMPUTED_VALUE"""),"Referenciación de Movimientos en MT940 y MT94G")</f>
        <v>Referenciación de Movimientos en MT940 y MT94G</v>
      </c>
      <c r="AB257" s="4" t="str">
        <f ca="1">IFERROR(__xludf.DUMMYFUNCTION("""COMPUTED_VALUE"""),"Reportar la cuenta y ID Ordenante de las operaciones A37 ABONO TERCEROS BANCA MÓVIL en los archivos de conciliación MT940 y MT94G")</f>
        <v>Reportar la cuenta y ID Ordenante de las operaciones A37 ABONO TERCEROS BANCA MÓVIL en los archivos de conciliación MT940 y MT94G</v>
      </c>
      <c r="AC257" s="4" t="str">
        <f ca="1">IFERROR(__xludf.DUMMYFUNCTION("""COMPUTED_VALUE"""),"3Q 2022")</f>
        <v>3Q 2022</v>
      </c>
      <c r="AD257" s="4"/>
      <c r="AE257" s="4"/>
      <c r="AF257" s="4"/>
      <c r="AG257" s="4"/>
      <c r="AH257" s="4"/>
      <c r="AI257" s="4"/>
      <c r="AJ257" s="4"/>
      <c r="AK257" s="131" t="str">
        <f ca="1">IFERROR(__xludf.DUMMYFUNCTION("""COMPUTED_VALUE"""),"COLWSCONTA-29")</f>
        <v>COLWSCONTA-29</v>
      </c>
      <c r="AL257" s="4" t="str">
        <f ca="1">IFERROR(__xludf.DUMMYFUNCTION("""COMPUTED_VALUE"""),"Deployed")</f>
        <v>Deployed</v>
      </c>
      <c r="AM257" s="4"/>
      <c r="AN257" s="4" t="str">
        <f ca="1">IFERROR(__xludf.DUMMYFUNCTION("""COMPUTED_VALUE"""),"Finalizado")</f>
        <v>Finalizado</v>
      </c>
      <c r="AO257" s="4"/>
      <c r="AP257" s="4"/>
      <c r="AQ257" s="4"/>
      <c r="AR257" s="4" t="str">
        <f ca="1">IFERROR(__xludf.DUMMYFUNCTION("""COMPUTED_VALUE"""),"SDA aprobada en PPP Q1 2023")</f>
        <v>SDA aprobada en PPP Q1 2023</v>
      </c>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row>
    <row r="258" spans="1:132" x14ac:dyDescent="0.2">
      <c r="A258" s="4">
        <f ca="1">IFERROR(__xludf.DUMMYFUNCTION("""COMPUTED_VALUE"""),258)</f>
        <v>258</v>
      </c>
      <c r="B258" s="4">
        <f ca="1">IFERROR(__xludf.DUMMYFUNCTION("""COMPUTED_VALUE"""),237)</f>
        <v>237</v>
      </c>
      <c r="C258" s="4" t="str">
        <f ca="1">IFERROR(__xludf.DUMMYFUNCTION("""COMPUTED_VALUE"""),"SDATOOL-38427")</f>
        <v>SDATOOL-38427</v>
      </c>
      <c r="D258" s="4" t="str">
        <f ca="1">IFERROR(__xludf.DUMMYFUNCTION("""COMPUTED_VALUE"""),"Servicios transaccionales 2022")</f>
        <v>Servicios transaccionales 2022</v>
      </c>
      <c r="E25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8" s="4" t="str">
        <f ca="1">IFERROR(__xludf.DUMMYFUNCTION("""COMPUTED_VALUE"""),"Project")</f>
        <v>Project</v>
      </c>
      <c r="G258" s="4" t="str">
        <f ca="1">IFERROR(__xludf.DUMMYFUNCTION("""COMPUTED_VALUE"""),"Ended")</f>
        <v>Ended</v>
      </c>
      <c r="H258" s="4" t="str">
        <f ca="1">IFERROR(__xludf.DUMMYFUNCTION("""COMPUTED_VALUE"""),"1Q 2023")</f>
        <v>1Q 2023</v>
      </c>
      <c r="I258" s="131" t="str">
        <f ca="1">IFERROR(__xludf.DUMMYFUNCTION("""COMPUTED_VALUE"""),"nathiahayosara.amado-bbva.com")</f>
        <v>nathiahayosara.amado-bbva.com</v>
      </c>
      <c r="J258" s="131" t="str">
        <f ca="1">IFERROR(__xludf.DUMMYFUNCTION("""COMPUTED_VALUE"""),"jeissonandres.diaz.rodriguez-bbva.com")</f>
        <v>jeissonandres.diaz.rodriguez-bbva.com</v>
      </c>
      <c r="K258" s="131" t="str">
        <f ca="1">IFERROR(__xludf.DUMMYFUNCTION("""COMPUTED_VALUE"""),"elizabeth.diaz-bbva.com")</f>
        <v>elizabeth.diaz-bbva.com</v>
      </c>
      <c r="L258" s="4"/>
      <c r="M258" s="4"/>
      <c r="N258" s="4"/>
      <c r="O258" s="4" t="str">
        <f ca="1">IFERROR(__xludf.DUMMYFUNCTION("""COMPUTED_VALUE"""),"Waterfall")</f>
        <v>Waterfall</v>
      </c>
      <c r="P258" s="4" t="str">
        <f ca="1">IFERROR(__xludf.DUMMYFUNCTION("""COMPUTED_VALUE"""),"Tradicional Mesa Transaccional")</f>
        <v>Tradicional Mesa Transaccional</v>
      </c>
      <c r="Q258" s="4"/>
      <c r="R258" s="130" t="str">
        <f ca="1">IFERROR(__xludf.DUMMYFUNCTION("""COMPUTED_VALUE"""),"Enterprises")</f>
        <v>Enterprises</v>
      </c>
      <c r="S258" s="130" t="str">
        <f ca="1">IFERROR(__xludf.DUMMYFUNCTION("""COMPUTED_VALUE"""),"Strategic Review")</f>
        <v>Strategic Review</v>
      </c>
      <c r="T258" s="130" t="str">
        <f ca="1">IFERROR(__xludf.DUMMYFUNCTION("""COMPUTED_VALUE"""),"Otros")</f>
        <v>Otros</v>
      </c>
      <c r="U258" s="130" t="str">
        <f ca="1">IFERROR(__xludf.DUMMYFUNCTION("""COMPUTED_VALUE"""),"No Aplica")</f>
        <v>No Aplica</v>
      </c>
      <c r="V258" s="4" t="str">
        <f ca="1">IFERROR(__xludf.DUMMYFUNCTION("""COMPUTED_VALUE"""),"Otros")</f>
        <v>Otros</v>
      </c>
      <c r="W258" s="4">
        <f ca="1">IFERROR(__xludf.DUMMYFUNCTION("""COMPUTED_VALUE"""),3)</f>
        <v>3</v>
      </c>
      <c r="X258" s="4" t="str">
        <f ca="1">IFERROR(__xludf.DUMMYFUNCTION("""COMPUTED_VALUE"""),"08. Enterprise Transactionality")</f>
        <v>08. Enterprise Transactionality</v>
      </c>
      <c r="Y258" s="4" t="str">
        <f ca="1">IFERROR(__xludf.DUMMYFUNCTION("""COMPUTED_VALUE"""),"5.7.1 Keep the Bank Running")</f>
        <v>5.7.1 Keep the Bank Running</v>
      </c>
      <c r="Z258" s="132" t="str">
        <f ca="1">IFERROR(__xludf.DUMMYFUNCTION("""COMPUTED_VALUE"""),"428805")</f>
        <v>428805</v>
      </c>
      <c r="AA258" s="4" t="str">
        <f ca="1">IFERROR(__xludf.DUMMYFUNCTION("""COMPUTED_VALUE"""),"WS Aceros América")</f>
        <v>WS Aceros América</v>
      </c>
      <c r="AB258" s="4" t="str">
        <f ca="1">IFERROR(__xludf.DUMMYFUNCTION("""COMPUTED_VALUE"""),"Implementar el modelo Web Service tipologia 3 para nuestro client Aceros America, bajo el modelo industrializado, se creara dos convenios de recaudo para pago con referencia por Nit o numero de factura
Metodo a usar:
ConsultaSC
NotificarPago
ExtornarPago")</f>
        <v>Implementar el modelo Web Service tipologia 3 para nuestro client Aceros America, bajo el modelo industrializado, se creara dos convenios de recaudo para pago con referencia por Nit o numero de factura
Metodo a usar:
ConsultaSC
NotificarPago
ExtornarPago</v>
      </c>
      <c r="AC258" s="4" t="str">
        <f ca="1">IFERROR(__xludf.DUMMYFUNCTION("""COMPUTED_VALUE"""),"3Q 2022")</f>
        <v>3Q 2022</v>
      </c>
      <c r="AD258" s="128">
        <f ca="1">IFERROR(__xludf.DUMMYFUNCTION("""COMPUTED_VALUE"""),44378)</f>
        <v>44378</v>
      </c>
      <c r="AE258" s="128">
        <f ca="1">IFERROR(__xludf.DUMMYFUNCTION("""COMPUTED_VALUE"""),44592)</f>
        <v>44592</v>
      </c>
      <c r="AF258" s="128">
        <f ca="1">IFERROR(__xludf.DUMMYFUNCTION("""COMPUTED_VALUE"""),44593)</f>
        <v>44593</v>
      </c>
      <c r="AG258" s="128">
        <f ca="1">IFERROR(__xludf.DUMMYFUNCTION("""COMPUTED_VALUE"""),44741)</f>
        <v>44741</v>
      </c>
      <c r="AH258" s="128">
        <f ca="1">IFERROR(__xludf.DUMMYFUNCTION("""COMPUTED_VALUE"""),44742)</f>
        <v>44742</v>
      </c>
      <c r="AI258" s="4"/>
      <c r="AJ258" s="128">
        <f ca="1">IFERROR(__xludf.DUMMYFUNCTION("""COMPUTED_VALUE"""),44791)</f>
        <v>44791</v>
      </c>
      <c r="AK258" s="131" t="str">
        <f ca="1">IFERROR(__xludf.DUMMYFUNCTION("""COMPUTED_VALUE"""),"COLWSCONTA-22")</f>
        <v>COLWSCONTA-22</v>
      </c>
      <c r="AL258" s="4" t="str">
        <f ca="1">IFERROR(__xludf.DUMMYFUNCTION("""COMPUTED_VALUE"""),"Deployed")</f>
        <v>Deployed</v>
      </c>
      <c r="AM258" s="4" t="str">
        <f ca="1">IFERROR(__xludf.DUMMYFUNCTION("""COMPUTED_VALUE"""),"21/07/2022, En proceso de certificación ambiente de calidad.
07/07/2022, sesion de pruebas de qa para el 08 de julio.
06/07/2022, se solicita al cliente mas data, las facturas arrojan error de factura no existe
30/06/2022, se encuentra en calidad, pendien"&amp;"te pruebas en QA, ha estado complicado por el tema de alfanumerico, pendiente definición de subida de producción por el tema de nacar
23/06/2022, se envian facturas al equipo de delivery
22/06/2022, se solicita facturas en ambiente previo para calidad
16/"&amp;"06/2022, Segiuimos con la novedad de nacar con las referencias alfanuemericas, pendiente arreglar nacar para poder seguir con aceros america. 
09/06/2022, Segiuimos con la novedad de nacar con las referencias alfanuemericas 
02/06/2022. Se encuentra en aj"&amp;"uste correspondiente a nacar para la lectura correcta de referencias alfanuméricas.
26/05/2022, Pendiente novedad del banco con la NACAR, no se han podido realizar pruebas. fecha indefinida de solución, nacar no identifica referencias alfanumerica.
19/05/"&amp;"2022, Ok ajuste delivery y cliente, se configuran los convenios, se comparten facturas 
12/05/2022, se encuentra en ajustes por parte del proveedor. .
05/05/2022, se notifica instrucciones de los dos convenios, pendiente validacion de ingenieria 
28/04/20"&amp;"22, se informa al cliente que tenemos conexión pero la facturas salen  ""Numero de referencia no existe""
21/04/2022, se envian nuevos datos de conexión de ambientes previos por decisión del cliente. 
07/04/2022, Se reporta al cliente problemas con la con"&amp;"ectividad. 
28/03/22: A la espera del proveedor para iniciar pruebas.
""02-03-2022: Se aclara inquietudes a Ingenieria, se solicita facturas a cliente para inciiar con pruebas
16-02-2022: PMO solicita a Dotaciones la dotación del presupuesto, se inicia pr"&amp;"oceso de desarrollo
11-02-2022: Se da VoBo a PMO para continuar con la dotación del presupuesto
03/02/2022, Pendiente conveniio y dotación, no se ha confirmado para donde se fue los recursos 
07/07/2022 Está en certificación - Paso a producción (29 de Jul"&amp;"io) . Error por parte del cliente por factura del cliente que no existe.
27/01/2022, Pendiente conveniio y dotación, no se ha confirmado para donde se fue los recursos 
16/12/2021, Pendiente creación de los convenios a cargo del comercial
14/12/2021, Se "&amp;"propone espacios al cliente para revisar el formato de conectividad
09/12/2021, Cliente aún no a enviado información de conectividad
06/12/2021 Continuamos atentos a recibir la información solicitada
1. Formato de conectividad.
2. El cliente nos debe info"&amp;"rmar el tipo de apuntamiento,. 
3. Convenios. 
25/11/2021, se informa pendiente de claridad del formato de conectividad. y convenios, se va para el Q1 2022
17/11/2021, se informa pendiente de claridad del formato de conectividad. y convenios
04/11/2021, S"&amp;"e retoma el caso con la nota debito
19/05/2021, Comercial informa que el cliente asumira los costos, se solicita nota debito y carta de autorización del cargue del valor //
18/05/2021, se remite correo al comercial solicitando informar el estado del anali"&amp;"sis de rentabilidad
25-03-2021: Ingeniería entrega valoración del desarrollo, se emite costos al comercial para analisis de rentabilidad
10-03-2021: Se radica iniciativa de nuevo WS por documento Agil 2""
27/07/2022 Cambio de fecha a producción --
10/10/"&amp;"2022 __ Pendiente entrega de facturs por parte del cliente ! Riesgo de devolver el tema a desarrollo")</f>
        <v>21/07/2022, En proceso de certificación ambiente de calidad.
07/07/2022, sesion de pruebas de qa para el 08 de julio.
06/07/2022, se solicita al cliente mas data, las facturas arrojan error de factura no existe
30/06/2022, se encuentra en calidad, pendiente pruebas en QA, ha estado complicado por el tema de alfanumerico, pendiente definición de subida de producción por el tema de nacar
23/06/2022, se envian facturas al equipo de delivery
22/06/2022, se solicita facturas en ambiente previo para calidad
16/06/2022, Segiuimos con la novedad de nacar con las referencias alfanuemericas, pendiente arreglar nacar para poder seguir con aceros america. 
09/06/2022, Segiuimos con la novedad de nacar con las referencias alfanuemericas 
02/06/2022. Se encuentra en ajuste correspondiente a nacar para la lectura correcta de referencias alfanuméricas.
26/05/2022, Pendiente novedad del banco con la NACAR, no se han podido realizar pruebas. fecha indefinida de solución, nacar no identifica referencias alfanumerica.
19/05/2022, Ok ajuste delivery y cliente, se configuran los convenios, se comparten facturas 
12/05/2022, se encuentra en ajustes por parte del proveedor. .
05/05/2022, se notifica instrucciones de los dos convenios, pendiente validacion de ingenieria 
28/04/2022, se informa al cliente que tenemos conexión pero la facturas salen  "Numero de referencia no existe"
21/04/2022, se envian nuevos datos de conexión de ambientes previos por decisión del cliente. 
07/04/2022, Se reporta al cliente problemas con la conectividad. 
28/03/22: A la espera del proveedor para iniciar pruebas.
"02-03-2022: Se aclara inquietudes a Ingenieria, se solicita facturas a cliente para inciiar con pruebas
16-02-2022: PMO solicita a Dotaciones la dotación del presupuesto, se inicia proceso de desarrollo
11-02-2022: Se da VoBo a PMO para continuar con la dotación del presupuesto
03/02/2022, Pendiente conveniio y dotación, no se ha confirmado para donde se fue los recursos 
07/07/2022 Está en certificación - Paso a producción (29 de Julio) . Error por parte del cliente por factura del cliente que no existe.
27/01/2022, Pendiente conveniio y dotación, no se ha confirmado para donde se fue los recursos 
16/12/2021, Pendiente creación de los convenios a cargo del comercial
14/12/2021, Se propone espacios al cliente para revisar el formato de conectividad
09/12/2021, Cliente aún no a enviado información de conectividad
06/12/2021 Continuamos atentos a recibir la información solicitada
1. Formato de conectividad.
2. El cliente nos debe informar el tipo de apuntamiento,. 
3. Convenios. 
25/11/2021, se informa pendiente de claridad del formato de conectividad. y convenios, se va para el Q1 2022
17/11/2021, se informa pendiente de claridad del formato de conectividad. y convenios
04/11/2021, Se retoma el caso con la nota debito
19/05/2021, Comercial informa que el cliente asumira los costos, se solicita nota debito y carta de autorización del cargue del valor //
18/05/2021, se remite correo al comercial solicitando informar el estado del analisis de rentabilidad
25-03-2021: Ingeniería entrega valoración del desarrollo, se emite costos al comercial para analisis de rentabilidad
10-03-2021: Se radica iniciativa de nuevo WS por documento Agil 2"
27/07/2022 Cambio de fecha a producción --
10/10/2022 __ Pendiente entrega de facturs por parte del cliente ! Riesgo de devolver el tema a desarrollo</v>
      </c>
      <c r="AN258" s="4" t="str">
        <f ca="1">IFERROR(__xludf.DUMMYFUNCTION("""COMPUTED_VALUE"""),"Finalizado")</f>
        <v>Finalizado</v>
      </c>
      <c r="AO258" s="4"/>
      <c r="AP258" s="4"/>
      <c r="AQ258" s="4"/>
      <c r="AR258" s="4" t="str">
        <f ca="1">IFERROR(__xludf.DUMMYFUNCTION("""COMPUTED_VALUE"""),"SDA aprobada en PPP Q1 2023")</f>
        <v>SDA aprobada en PPP Q1 2023</v>
      </c>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row>
    <row r="259" spans="1:132" x14ac:dyDescent="0.2">
      <c r="A259" s="4">
        <f ca="1">IFERROR(__xludf.DUMMYFUNCTION("""COMPUTED_VALUE"""),259)</f>
        <v>259</v>
      </c>
      <c r="B259" s="4">
        <f ca="1">IFERROR(__xludf.DUMMYFUNCTION("""COMPUTED_VALUE"""),238)</f>
        <v>238</v>
      </c>
      <c r="C259" s="4" t="str">
        <f ca="1">IFERROR(__xludf.DUMMYFUNCTION("""COMPUTED_VALUE"""),"SDATOOL-38427")</f>
        <v>SDATOOL-38427</v>
      </c>
      <c r="D259" s="4" t="str">
        <f ca="1">IFERROR(__xludf.DUMMYFUNCTION("""COMPUTED_VALUE"""),"Servicios transaccionales 2022")</f>
        <v>Servicios transaccionales 2022</v>
      </c>
      <c r="E25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9" s="4" t="str">
        <f ca="1">IFERROR(__xludf.DUMMYFUNCTION("""COMPUTED_VALUE"""),"Project")</f>
        <v>Project</v>
      </c>
      <c r="G259" s="4" t="str">
        <f ca="1">IFERROR(__xludf.DUMMYFUNCTION("""COMPUTED_VALUE"""),"Ended")</f>
        <v>Ended</v>
      </c>
      <c r="H259" s="4" t="str">
        <f ca="1">IFERROR(__xludf.DUMMYFUNCTION("""COMPUTED_VALUE"""),"1Q 2023")</f>
        <v>1Q 2023</v>
      </c>
      <c r="I259" s="131" t="str">
        <f ca="1">IFERROR(__xludf.DUMMYFUNCTION("""COMPUTED_VALUE"""),"nathiahayosara.amado-bbva.com")</f>
        <v>nathiahayosara.amado-bbva.com</v>
      </c>
      <c r="J259" s="131" t="str">
        <f ca="1">IFERROR(__xludf.DUMMYFUNCTION("""COMPUTED_VALUE"""),"jeissonandres.diaz.rodriguez-bbva.com")</f>
        <v>jeissonandres.diaz.rodriguez-bbva.com</v>
      </c>
      <c r="K259" s="131" t="str">
        <f ca="1">IFERROR(__xludf.DUMMYFUNCTION("""COMPUTED_VALUE"""),"elizabeth.diaz-bbva.com")</f>
        <v>elizabeth.diaz-bbva.com</v>
      </c>
      <c r="L259" s="4"/>
      <c r="M259" s="4"/>
      <c r="N259" s="4"/>
      <c r="O259" s="4" t="str">
        <f ca="1">IFERROR(__xludf.DUMMYFUNCTION("""COMPUTED_VALUE"""),"Waterfall")</f>
        <v>Waterfall</v>
      </c>
      <c r="P259" s="4" t="str">
        <f ca="1">IFERROR(__xludf.DUMMYFUNCTION("""COMPUTED_VALUE"""),"Tradicional Mesa Transaccional")</f>
        <v>Tradicional Mesa Transaccional</v>
      </c>
      <c r="Q259" s="4"/>
      <c r="R259" s="130" t="str">
        <f ca="1">IFERROR(__xludf.DUMMYFUNCTION("""COMPUTED_VALUE"""),"Enterprises")</f>
        <v>Enterprises</v>
      </c>
      <c r="S259" s="130" t="str">
        <f ca="1">IFERROR(__xludf.DUMMYFUNCTION("""COMPUTED_VALUE"""),"Strategic Review")</f>
        <v>Strategic Review</v>
      </c>
      <c r="T259" s="130" t="str">
        <f ca="1">IFERROR(__xludf.DUMMYFUNCTION("""COMPUTED_VALUE"""),"Otros")</f>
        <v>Otros</v>
      </c>
      <c r="U259" s="130" t="str">
        <f ca="1">IFERROR(__xludf.DUMMYFUNCTION("""COMPUTED_VALUE"""),"No Aplica")</f>
        <v>No Aplica</v>
      </c>
      <c r="V259" s="4" t="str">
        <f ca="1">IFERROR(__xludf.DUMMYFUNCTION("""COMPUTED_VALUE"""),"Otros")</f>
        <v>Otros</v>
      </c>
      <c r="W259" s="4">
        <f ca="1">IFERROR(__xludf.DUMMYFUNCTION("""COMPUTED_VALUE"""),3)</f>
        <v>3</v>
      </c>
      <c r="X259" s="4" t="str">
        <f ca="1">IFERROR(__xludf.DUMMYFUNCTION("""COMPUTED_VALUE"""),"08. Enterprise Transactionality")</f>
        <v>08. Enterprise Transactionality</v>
      </c>
      <c r="Y259" s="4" t="str">
        <f ca="1">IFERROR(__xludf.DUMMYFUNCTION("""COMPUTED_VALUE"""),"5.7.1 Keep the Bank Running")</f>
        <v>5.7.1 Keep the Bank Running</v>
      </c>
      <c r="Z259" s="132" t="str">
        <f ca="1">IFERROR(__xludf.DUMMYFUNCTION("""COMPUTED_VALUE"""),"427613")</f>
        <v>427613</v>
      </c>
      <c r="AA259" s="4" t="str">
        <f ca="1">IFERROR(__xludf.DUMMYFUNCTION("""COMPUTED_VALUE"""),"WS Ajuste Telefónica")</f>
        <v>WS Ajuste Telefónica</v>
      </c>
      <c r="AB259" s="4" t="str">
        <f ca="1">IFERROR(__xludf.DUMMYFUNCTION("""COMPUTED_VALUE"""),"Cliente Telefónica requiere ajustar el desarrollo del web service en el método de consulta y pago. 
Se requiere que cuando un cliente realice la consulta por número de referencia del código de barras, numero celular o numero fijo, la respuesta de Telefón"&amp;"ica en el Response devuelve el número de referencia y valor a pagar, se deberá aplicar el pago con el número de referencia devuelto, también que los pagos en asobancaria se reporten con número de referencia.")</f>
        <v>Cliente Telefónica requiere ajustar el desarrollo del web service en el método de consulta y pago. 
Se requiere que cuando un cliente realice la consulta por número de referencia del código de barras, numero celular o numero fijo, la respuesta de Telefónica en el Response devuelve el número de referencia y valor a pagar, se deberá aplicar el pago con el número de referencia devuelto, también que los pagos en asobancaria se reporten con número de referencia.</v>
      </c>
      <c r="AC259" s="4" t="str">
        <f ca="1">IFERROR(__xludf.DUMMYFUNCTION("""COMPUTED_VALUE"""),"3Q 2022")</f>
        <v>3Q 2022</v>
      </c>
      <c r="AD259" s="128">
        <f ca="1">IFERROR(__xludf.DUMMYFUNCTION("""COMPUTED_VALUE"""),44602)</f>
        <v>44602</v>
      </c>
      <c r="AE259" s="128">
        <f ca="1">IFERROR(__xludf.DUMMYFUNCTION("""COMPUTED_VALUE"""),44643)</f>
        <v>44643</v>
      </c>
      <c r="AF259" s="128">
        <f ca="1">IFERROR(__xludf.DUMMYFUNCTION("""COMPUTED_VALUE"""),44683)</f>
        <v>44683</v>
      </c>
      <c r="AG259" s="128">
        <f ca="1">IFERROR(__xludf.DUMMYFUNCTION("""COMPUTED_VALUE"""),44740)</f>
        <v>44740</v>
      </c>
      <c r="AH259" s="128">
        <f ca="1">IFERROR(__xludf.DUMMYFUNCTION("""COMPUTED_VALUE"""),44742)</f>
        <v>44742</v>
      </c>
      <c r="AI259" s="128">
        <f ca="1">IFERROR(__xludf.DUMMYFUNCTION("""COMPUTED_VALUE"""),44774)</f>
        <v>44774</v>
      </c>
      <c r="AJ259" s="128">
        <f ca="1">IFERROR(__xludf.DUMMYFUNCTION("""COMPUTED_VALUE"""),44777)</f>
        <v>44777</v>
      </c>
      <c r="AK259" s="131" t="str">
        <f ca="1">IFERROR(__xludf.DUMMYFUNCTION("""COMPUTED_VALUE"""),"COLWSCONTA-136")</f>
        <v>COLWSCONTA-136</v>
      </c>
      <c r="AL259" s="4" t="str">
        <f ca="1">IFERROR(__xludf.DUMMYFUNCTION("""COMPUTED_VALUE"""),"Deployed")</f>
        <v>Deployed</v>
      </c>
      <c r="AM259" s="4" t="str">
        <f ca="1">IFERROR(__xludf.DUMMYFUNCTION("""COMPUTED_VALUE"""),"04/08/2022: Se da paso a producción, se realiza pruebas exitosas
25/07/2022, se comparten datos de producción. 
21/07/2022, pendientes datos de producción, solcitados al cliente desde el 14
14/07/2022, ok nuevas pruebas en calidad, se esta armando versión"&amp;" 
08/07/2022, se debe hacer nuevamente pruebas en desarrollo, teniendo en cuenta la nueva logica que se debe hacer. 
07/07/2022, pruebas ok en calidad, pendiente asobancaria, tentativo producción: 22, conseguir datos producción 
30/06/2022, Entro a calida"&amp;"d 30 de junio. 
28/06/2022, se realiza seguimiento al cliente 
16/06/2022, pendiente resultados de pruebas
09/06/2022, pruebas unitarias
03/00/2022, Se comparte datos de ambiente previo, facturas y se confirma el tag a manejar. 
02/06/2022, cliente revisa"&amp;"ra al interior y confirmara fechas de reunion
28/04/2022: Se recibe aprobación de negocio para inicio de desarrollos, se solicita por JIRA la dotación a PMO
23/03/2022, Para  el ajuste de este Web Service tipología 3 se  han estimado  110 horas de  desarr"&amp;"ollo  y calidad con un estimado de  $2.500.000
10/02/2022, Se radica documento agil
Dependencia por parte del cliente en pruebas. 
07/07/2022 CALIDAD (30 Junio) - Producción 29 de Julio")</f>
        <v>04/08/2022: Se da paso a producción, se realiza pruebas exitosas
25/07/2022, se comparten datos de producción. 
21/07/2022, pendientes datos de producción, solcitados al cliente desde el 14
14/07/2022, ok nuevas pruebas en calidad, se esta armando versión 
08/07/2022, se debe hacer nuevamente pruebas en desarrollo, teniendo en cuenta la nueva logica que se debe hacer. 
07/07/2022, pruebas ok en calidad, pendiente asobancaria, tentativo producción: 22, conseguir datos producción 
30/06/2022, Entro a calidad 30 de junio. 
28/06/2022, se realiza seguimiento al cliente 
16/06/2022, pendiente resultados de pruebas
09/06/2022, pruebas unitarias
03/00/2022, Se comparte datos de ambiente previo, facturas y se confirma el tag a manejar. 
02/06/2022, cliente revisara al interior y confirmara fechas de reunion
28/04/2022: Se recibe aprobación de negocio para inicio de desarrollos, se solicita por JIRA la dotación a PMO
23/03/2022, Para  el ajuste de este Web Service tipología 3 se  han estimado  110 horas de  desarrollo  y calidad con un estimado de  $2.500.000
10/02/2022, Se radica documento agil
Dependencia por parte del cliente en pruebas. 
07/07/2022 CALIDAD (30 Junio) - Producción 29 de Julio</v>
      </c>
      <c r="AN259" s="4" t="str">
        <f ca="1">IFERROR(__xludf.DUMMYFUNCTION("""COMPUTED_VALUE"""),"Finalizado")</f>
        <v>Finalizado</v>
      </c>
      <c r="AO259" s="4"/>
      <c r="AP259" s="4"/>
      <c r="AQ259" s="4"/>
      <c r="AR259" s="4" t="str">
        <f ca="1">IFERROR(__xludf.DUMMYFUNCTION("""COMPUTED_VALUE"""),"SDA aprobada en PPP Q1 2023")</f>
        <v>SDA aprobada en PPP Q1 2023</v>
      </c>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row>
    <row r="260" spans="1:132" x14ac:dyDescent="0.2">
      <c r="A260" s="4">
        <f ca="1">IFERROR(__xludf.DUMMYFUNCTION("""COMPUTED_VALUE"""),260)</f>
        <v>260</v>
      </c>
      <c r="B260" s="4">
        <f ca="1">IFERROR(__xludf.DUMMYFUNCTION("""COMPUTED_VALUE"""),239)</f>
        <v>239</v>
      </c>
      <c r="C260" s="4" t="str">
        <f ca="1">IFERROR(__xludf.DUMMYFUNCTION("""COMPUTED_VALUE"""),"SDATOOL-38427")</f>
        <v>SDATOOL-38427</v>
      </c>
      <c r="D260" s="4" t="str">
        <f ca="1">IFERROR(__xludf.DUMMYFUNCTION("""COMPUTED_VALUE"""),"Servicios transaccionales 2022")</f>
        <v>Servicios transaccionales 2022</v>
      </c>
      <c r="E26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0" s="4" t="str">
        <f ca="1">IFERROR(__xludf.DUMMYFUNCTION("""COMPUTED_VALUE"""),"Project")</f>
        <v>Project</v>
      </c>
      <c r="G260" s="4" t="str">
        <f ca="1">IFERROR(__xludf.DUMMYFUNCTION("""COMPUTED_VALUE"""),"Ended")</f>
        <v>Ended</v>
      </c>
      <c r="H260" s="4" t="str">
        <f ca="1">IFERROR(__xludf.DUMMYFUNCTION("""COMPUTED_VALUE"""),"1Q 2023")</f>
        <v>1Q 2023</v>
      </c>
      <c r="I260" s="131" t="str">
        <f ca="1">IFERROR(__xludf.DUMMYFUNCTION("""COMPUTED_VALUE"""),"nathiahayosara.amado-bbva.com")</f>
        <v>nathiahayosara.amado-bbva.com</v>
      </c>
      <c r="J260" s="131" t="str">
        <f ca="1">IFERROR(__xludf.DUMMYFUNCTION("""COMPUTED_VALUE"""),"jeissonandres.diaz.rodriguez-bbva.com")</f>
        <v>jeissonandres.diaz.rodriguez-bbva.com</v>
      </c>
      <c r="K260" s="131" t="str">
        <f ca="1">IFERROR(__xludf.DUMMYFUNCTION("""COMPUTED_VALUE"""),"elizabeth.diaz-bbva.com")</f>
        <v>elizabeth.diaz-bbva.com</v>
      </c>
      <c r="L260" s="4"/>
      <c r="M260" s="4"/>
      <c r="N260" s="4"/>
      <c r="O260" s="4" t="str">
        <f ca="1">IFERROR(__xludf.DUMMYFUNCTION("""COMPUTED_VALUE"""),"Waterfall")</f>
        <v>Waterfall</v>
      </c>
      <c r="P260" s="4" t="str">
        <f ca="1">IFERROR(__xludf.DUMMYFUNCTION("""COMPUTED_VALUE"""),"Tradicional Mesa Transaccional")</f>
        <v>Tradicional Mesa Transaccional</v>
      </c>
      <c r="Q260" s="4"/>
      <c r="R260" s="130" t="str">
        <f ca="1">IFERROR(__xludf.DUMMYFUNCTION("""COMPUTED_VALUE"""),"Enterprises")</f>
        <v>Enterprises</v>
      </c>
      <c r="S260" s="130" t="str">
        <f ca="1">IFERROR(__xludf.DUMMYFUNCTION("""COMPUTED_VALUE"""),"Strategic Review")</f>
        <v>Strategic Review</v>
      </c>
      <c r="T260" s="130" t="str">
        <f ca="1">IFERROR(__xludf.DUMMYFUNCTION("""COMPUTED_VALUE"""),"Otros")</f>
        <v>Otros</v>
      </c>
      <c r="U260" s="130" t="str">
        <f ca="1">IFERROR(__xludf.DUMMYFUNCTION("""COMPUTED_VALUE"""),"No Aplica")</f>
        <v>No Aplica</v>
      </c>
      <c r="V260" s="4" t="str">
        <f ca="1">IFERROR(__xludf.DUMMYFUNCTION("""COMPUTED_VALUE"""),"Otros")</f>
        <v>Otros</v>
      </c>
      <c r="W260" s="4">
        <f ca="1">IFERROR(__xludf.DUMMYFUNCTION("""COMPUTED_VALUE"""),3)</f>
        <v>3</v>
      </c>
      <c r="X260" s="4" t="str">
        <f ca="1">IFERROR(__xludf.DUMMYFUNCTION("""COMPUTED_VALUE"""),"08. Enterprise Transactionality")</f>
        <v>08. Enterprise Transactionality</v>
      </c>
      <c r="Y260" s="4" t="str">
        <f ca="1">IFERROR(__xludf.DUMMYFUNCTION("""COMPUTED_VALUE"""),"5.7.1 Keep the Bank Running")</f>
        <v>5.7.1 Keep the Bank Running</v>
      </c>
      <c r="Z260" s="132" t="str">
        <f ca="1">IFERROR(__xludf.DUMMYFUNCTION("""COMPUTED_VALUE"""),"460881")</f>
        <v>460881</v>
      </c>
      <c r="AA260" s="4" t="str">
        <f ca="1">IFERROR(__xludf.DUMMYFUNCTION("""COMPUTED_VALUE"""),"Referenciación de Movimientos H55, H17 y A37 en Multicash")</f>
        <v>Referenciación de Movimientos H55, H17 y A37 en Multicash</v>
      </c>
      <c r="AB260" s="4" t="str">
        <f ca="1">IFERROR(__xludf.DUMMYFUNCTION("""COMPUTED_VALUE"""),"Reportar referencias de los movimientos H17 Recaudo Masivo Caja Central y H55 Rec. Máquina Recaudadora. e informar la cuenta Ordenante y Id Ordenante del movimiento A37 en los archivos Multicash campos 17, 18 y 19")</f>
        <v>Reportar referencias de los movimientos H17 Recaudo Masivo Caja Central y H55 Rec. Máquina Recaudadora. e informar la cuenta Ordenante y Id Ordenante del movimiento A37 en los archivos Multicash campos 17, 18 y 19</v>
      </c>
      <c r="AC260" s="4" t="str">
        <f ca="1">IFERROR(__xludf.DUMMYFUNCTION("""COMPUTED_VALUE"""),"4Q 2022")</f>
        <v>4Q 2022</v>
      </c>
      <c r="AD260" s="4"/>
      <c r="AE260" s="4"/>
      <c r="AF260" s="4"/>
      <c r="AG260" s="4"/>
      <c r="AH260" s="4"/>
      <c r="AI260" s="4"/>
      <c r="AJ260" s="4"/>
      <c r="AK260" s="131" t="str">
        <f ca="1">IFERROR(__xludf.DUMMYFUNCTION("""COMPUTED_VALUE"""),"COLWSCONTA-44")</f>
        <v>COLWSCONTA-44</v>
      </c>
      <c r="AL260" s="4" t="str">
        <f ca="1">IFERROR(__xludf.DUMMYFUNCTION("""COMPUTED_VALUE"""),"Deployed")</f>
        <v>Deployed</v>
      </c>
      <c r="AM260" s="4"/>
      <c r="AN260" s="4" t="str">
        <f ca="1">IFERROR(__xludf.DUMMYFUNCTION("""COMPUTED_VALUE"""),"Finalizado")</f>
        <v>Finalizado</v>
      </c>
      <c r="AO260" s="4"/>
      <c r="AP260" s="4"/>
      <c r="AQ260" s="4"/>
      <c r="AR260" s="4" t="str">
        <f ca="1">IFERROR(__xludf.DUMMYFUNCTION("""COMPUTED_VALUE"""),"SDA aprobada en PPP Q1 2023")</f>
        <v>SDA aprobada en PPP Q1 2023</v>
      </c>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row>
    <row r="261" spans="1:132" x14ac:dyDescent="0.2">
      <c r="A261" s="4">
        <f ca="1">IFERROR(__xludf.DUMMYFUNCTION("""COMPUTED_VALUE"""),261)</f>
        <v>261</v>
      </c>
      <c r="B261" s="4">
        <f ca="1">IFERROR(__xludf.DUMMYFUNCTION("""COMPUTED_VALUE"""),240)</f>
        <v>240</v>
      </c>
      <c r="C261" s="4" t="str">
        <f ca="1">IFERROR(__xludf.DUMMYFUNCTION("""COMPUTED_VALUE"""),"SDATOOL-38427")</f>
        <v>SDATOOL-38427</v>
      </c>
      <c r="D261" s="4" t="str">
        <f ca="1">IFERROR(__xludf.DUMMYFUNCTION("""COMPUTED_VALUE"""),"Servicios transaccionales 2022")</f>
        <v>Servicios transaccionales 2022</v>
      </c>
      <c r="E26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1" s="4" t="str">
        <f ca="1">IFERROR(__xludf.DUMMYFUNCTION("""COMPUTED_VALUE"""),"Project")</f>
        <v>Project</v>
      </c>
      <c r="G261" s="4" t="str">
        <f ca="1">IFERROR(__xludf.DUMMYFUNCTION("""COMPUTED_VALUE"""),"Ended")</f>
        <v>Ended</v>
      </c>
      <c r="H261" s="4" t="str">
        <f ca="1">IFERROR(__xludf.DUMMYFUNCTION("""COMPUTED_VALUE"""),"1Q 2023")</f>
        <v>1Q 2023</v>
      </c>
      <c r="I261" s="131" t="str">
        <f ca="1">IFERROR(__xludf.DUMMYFUNCTION("""COMPUTED_VALUE"""),"nathiahayosara.amado-bbva.com")</f>
        <v>nathiahayosara.amado-bbva.com</v>
      </c>
      <c r="J261" s="131" t="str">
        <f ca="1">IFERROR(__xludf.DUMMYFUNCTION("""COMPUTED_VALUE"""),"jeissonandres.diaz.rodriguez-bbva.com")</f>
        <v>jeissonandres.diaz.rodriguez-bbva.com</v>
      </c>
      <c r="K261" s="131" t="str">
        <f ca="1">IFERROR(__xludf.DUMMYFUNCTION("""COMPUTED_VALUE"""),"elizabeth.diaz-bbva.com")</f>
        <v>elizabeth.diaz-bbva.com</v>
      </c>
      <c r="L261" s="4"/>
      <c r="M261" s="4"/>
      <c r="N261" s="4"/>
      <c r="O261" s="4" t="str">
        <f ca="1">IFERROR(__xludf.DUMMYFUNCTION("""COMPUTED_VALUE"""),"Waterfall")</f>
        <v>Waterfall</v>
      </c>
      <c r="P261" s="4" t="str">
        <f ca="1">IFERROR(__xludf.DUMMYFUNCTION("""COMPUTED_VALUE"""),"Tradicional Mesa Transaccional")</f>
        <v>Tradicional Mesa Transaccional</v>
      </c>
      <c r="Q261" s="4"/>
      <c r="R261" s="130" t="str">
        <f ca="1">IFERROR(__xludf.DUMMYFUNCTION("""COMPUTED_VALUE"""),"Enterprises")</f>
        <v>Enterprises</v>
      </c>
      <c r="S261" s="130" t="str">
        <f ca="1">IFERROR(__xludf.DUMMYFUNCTION("""COMPUTED_VALUE"""),"Strategic Review")</f>
        <v>Strategic Review</v>
      </c>
      <c r="T261" s="130" t="str">
        <f ca="1">IFERROR(__xludf.DUMMYFUNCTION("""COMPUTED_VALUE"""),"Otros")</f>
        <v>Otros</v>
      </c>
      <c r="U261" s="130" t="str">
        <f ca="1">IFERROR(__xludf.DUMMYFUNCTION("""COMPUTED_VALUE"""),"No Aplica")</f>
        <v>No Aplica</v>
      </c>
      <c r="V261" s="4" t="str">
        <f ca="1">IFERROR(__xludf.DUMMYFUNCTION("""COMPUTED_VALUE"""),"Otros")</f>
        <v>Otros</v>
      </c>
      <c r="W261" s="4">
        <f ca="1">IFERROR(__xludf.DUMMYFUNCTION("""COMPUTED_VALUE"""),3)</f>
        <v>3</v>
      </c>
      <c r="X261" s="4" t="str">
        <f ca="1">IFERROR(__xludf.DUMMYFUNCTION("""COMPUTED_VALUE"""),"08. Enterprise Transactionality")</f>
        <v>08. Enterprise Transactionality</v>
      </c>
      <c r="Y261" s="4" t="str">
        <f ca="1">IFERROR(__xludf.DUMMYFUNCTION("""COMPUTED_VALUE"""),"5.7.1 Keep the Bank Running")</f>
        <v>5.7.1 Keep the Bank Running</v>
      </c>
      <c r="Z261" s="132" t="str">
        <f ca="1">IFERROR(__xludf.DUMMYFUNCTION("""COMPUTED_VALUE"""),"553540")</f>
        <v>553540</v>
      </c>
      <c r="AA261" s="4" t="str">
        <f ca="1">IFERROR(__xludf.DUMMYFUNCTION("""COMPUTED_VALUE"""),"Referenciación Recaudo MT940 y MT94G Entregable 3")</f>
        <v>Referenciación Recaudo MT940 y MT94G Entregable 3</v>
      </c>
      <c r="AB261" s="4" t="str">
        <f ca="1">IFERROR(__xludf.DUMMYFUNCTION("""COMPUTED_VALUE"""),"Se requiere mantenimiento del servicio Mt940 y MT94G para el envio de referencias de los recaudos de forma correcta")</f>
        <v>Se requiere mantenimiento del servicio Mt940 y MT94G para el envio de referencias de los recaudos de forma correcta</v>
      </c>
      <c r="AC261" s="4" t="str">
        <f ca="1">IFERROR(__xludf.DUMMYFUNCTION("""COMPUTED_VALUE"""),"4Q 2022")</f>
        <v>4Q 2022</v>
      </c>
      <c r="AD261" s="4"/>
      <c r="AE261" s="4"/>
      <c r="AF261" s="4"/>
      <c r="AG261" s="4"/>
      <c r="AH261" s="4"/>
      <c r="AI261" s="4"/>
      <c r="AJ261" s="4"/>
      <c r="AK261" s="131" t="str">
        <f ca="1">IFERROR(__xludf.DUMMYFUNCTION("""COMPUTED_VALUE"""),"COLWSCANAL-3799")</f>
        <v>COLWSCANAL-3799</v>
      </c>
      <c r="AL261" s="4" t="str">
        <f ca="1">IFERROR(__xludf.DUMMYFUNCTION("""COMPUTED_VALUE"""),"Deployed")</f>
        <v>Deployed</v>
      </c>
      <c r="AM261" s="4"/>
      <c r="AN261" s="4" t="str">
        <f ca="1">IFERROR(__xludf.DUMMYFUNCTION("""COMPUTED_VALUE"""),"Finalizado")</f>
        <v>Finalizado</v>
      </c>
      <c r="AO261" s="4"/>
      <c r="AP261" s="4"/>
      <c r="AQ261" s="4"/>
      <c r="AR261" s="4" t="str">
        <f ca="1">IFERROR(__xludf.DUMMYFUNCTION("""COMPUTED_VALUE"""),"SDA aprobada en PPP Q1 2023")</f>
        <v>SDA aprobada en PPP Q1 2023</v>
      </c>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row>
    <row r="262" spans="1:132" x14ac:dyDescent="0.2">
      <c r="A262" s="4">
        <f ca="1">IFERROR(__xludf.DUMMYFUNCTION("""COMPUTED_VALUE"""),262)</f>
        <v>262</v>
      </c>
      <c r="B262" s="4">
        <f ca="1">IFERROR(__xludf.DUMMYFUNCTION("""COMPUTED_VALUE"""),241)</f>
        <v>241</v>
      </c>
      <c r="C262" s="4" t="str">
        <f ca="1">IFERROR(__xludf.DUMMYFUNCTION("""COMPUTED_VALUE"""),"SDATOOL-38427")</f>
        <v>SDATOOL-38427</v>
      </c>
      <c r="D262" s="4" t="str">
        <f ca="1">IFERROR(__xludf.DUMMYFUNCTION("""COMPUTED_VALUE"""),"Servicios transaccionales 2022")</f>
        <v>Servicios transaccionales 2022</v>
      </c>
      <c r="E26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2" s="4" t="str">
        <f ca="1">IFERROR(__xludf.DUMMYFUNCTION("""COMPUTED_VALUE"""),"Project")</f>
        <v>Project</v>
      </c>
      <c r="G262" s="4" t="str">
        <f ca="1">IFERROR(__xludf.DUMMYFUNCTION("""COMPUTED_VALUE"""),"Ended")</f>
        <v>Ended</v>
      </c>
      <c r="H262" s="4" t="str">
        <f ca="1">IFERROR(__xludf.DUMMYFUNCTION("""COMPUTED_VALUE"""),"1Q 2023")</f>
        <v>1Q 2023</v>
      </c>
      <c r="I262" s="131" t="str">
        <f ca="1">IFERROR(__xludf.DUMMYFUNCTION("""COMPUTED_VALUE"""),"nathiahayosara.amado-bbva.com")</f>
        <v>nathiahayosara.amado-bbva.com</v>
      </c>
      <c r="J262" s="131" t="str">
        <f ca="1">IFERROR(__xludf.DUMMYFUNCTION("""COMPUTED_VALUE"""),"jeissonandres.diaz.rodriguez-bbva.com")</f>
        <v>jeissonandres.diaz.rodriguez-bbva.com</v>
      </c>
      <c r="K262" s="131" t="str">
        <f ca="1">IFERROR(__xludf.DUMMYFUNCTION("""COMPUTED_VALUE"""),"elizabeth.diaz-bbva.com")</f>
        <v>elizabeth.diaz-bbva.com</v>
      </c>
      <c r="L262" s="4"/>
      <c r="M262" s="4"/>
      <c r="N262" s="4"/>
      <c r="O262" s="4" t="str">
        <f ca="1">IFERROR(__xludf.DUMMYFUNCTION("""COMPUTED_VALUE"""),"Waterfall")</f>
        <v>Waterfall</v>
      </c>
      <c r="P262" s="4" t="str">
        <f ca="1">IFERROR(__xludf.DUMMYFUNCTION("""COMPUTED_VALUE"""),"Tradicional Mesa Transaccional")</f>
        <v>Tradicional Mesa Transaccional</v>
      </c>
      <c r="Q262" s="4"/>
      <c r="R262" s="130" t="str">
        <f ca="1">IFERROR(__xludf.DUMMYFUNCTION("""COMPUTED_VALUE"""),"Enterprises")</f>
        <v>Enterprises</v>
      </c>
      <c r="S262" s="130" t="str">
        <f ca="1">IFERROR(__xludf.DUMMYFUNCTION("""COMPUTED_VALUE"""),"Strategic Review")</f>
        <v>Strategic Review</v>
      </c>
      <c r="T262" s="130" t="str">
        <f ca="1">IFERROR(__xludf.DUMMYFUNCTION("""COMPUTED_VALUE"""),"Otros")</f>
        <v>Otros</v>
      </c>
      <c r="U262" s="130" t="str">
        <f ca="1">IFERROR(__xludf.DUMMYFUNCTION("""COMPUTED_VALUE"""),"No Aplica")</f>
        <v>No Aplica</v>
      </c>
      <c r="V262" s="4" t="str">
        <f ca="1">IFERROR(__xludf.DUMMYFUNCTION("""COMPUTED_VALUE"""),"Otros")</f>
        <v>Otros</v>
      </c>
      <c r="W262" s="4">
        <f ca="1">IFERROR(__xludf.DUMMYFUNCTION("""COMPUTED_VALUE"""),3)</f>
        <v>3</v>
      </c>
      <c r="X262" s="4" t="str">
        <f ca="1">IFERROR(__xludf.DUMMYFUNCTION("""COMPUTED_VALUE"""),"08. Enterprise Transactionality")</f>
        <v>08. Enterprise Transactionality</v>
      </c>
      <c r="Y262" s="4" t="str">
        <f ca="1">IFERROR(__xludf.DUMMYFUNCTION("""COMPUTED_VALUE"""),"5.7.1 Keep the Bank Running")</f>
        <v>5.7.1 Keep the Bank Running</v>
      </c>
      <c r="Z262" s="132" t="str">
        <f ca="1">IFERROR(__xludf.DUMMYFUNCTION("""COMPUTED_VALUE"""),"489862")</f>
        <v>489862</v>
      </c>
      <c r="AA262" s="4" t="str">
        <f ca="1">IFERROR(__xludf.DUMMYFUNCTION("""COMPUTED_VALUE"""),"WS Alcaldia de Barrancabermeja SOAP")</f>
        <v>WS Alcaldia de Barrancabermeja SOAP</v>
      </c>
      <c r="AB262" s="4" t="str">
        <f ca="1">IFERROR(__xludf.DUMMYFUNCTION("""COMPUTED_VALUE"""),"Implementación de Web Service Modelo Cliente para el cliente Alcaldia de Barrancabermeja")</f>
        <v>Implementación de Web Service Modelo Cliente para el cliente Alcaldia de Barrancabermeja</v>
      </c>
      <c r="AC262" s="4" t="str">
        <f ca="1">IFERROR(__xludf.DUMMYFUNCTION("""COMPUTED_VALUE"""),"4Q 2022")</f>
        <v>4Q 2022</v>
      </c>
      <c r="AD262" s="128">
        <f ca="1">IFERROR(__xludf.DUMMYFUNCTION("""COMPUTED_VALUE"""),44688)</f>
        <v>44688</v>
      </c>
      <c r="AE262" s="128">
        <f ca="1">IFERROR(__xludf.DUMMYFUNCTION("""COMPUTED_VALUE"""),44699)</f>
        <v>44699</v>
      </c>
      <c r="AF262" s="128">
        <f ca="1">IFERROR(__xludf.DUMMYFUNCTION("""COMPUTED_VALUE"""),44755)</f>
        <v>44755</v>
      </c>
      <c r="AG262" s="4"/>
      <c r="AH262" s="4"/>
      <c r="AI262" s="4"/>
      <c r="AJ262" s="4"/>
      <c r="AK262" s="131" t="str">
        <f ca="1">IFERROR(__xludf.DUMMYFUNCTION("""COMPUTED_VALUE"""),"COLWSCONTA-237")</f>
        <v>COLWSCONTA-237</v>
      </c>
      <c r="AL262" s="4" t="str">
        <f ca="1">IFERROR(__xludf.DUMMYFUNCTION("""COMPUTED_VALUE"""),"Deployed")</f>
        <v>Deployed</v>
      </c>
      <c r="AM262" s="4" t="str">
        <f ca="1">IFERROR(__xludf.DUMMYFUNCTION("""COMPUTED_VALUE"""),"07/07/2022, Se solicita certificado renovado para poder conectarnos a ambientes previos 
30/06/2022, Empieza conectividad hasta la primera semana de julio 
18/05/2022, Tipología 3 se han estimado 230 horas de esfuerzo con un equivalente presupuestal de $2"&amp;".500.000. 
05/05/2022, Se radica documento agil a Jeisson Diaz P.o.
13/07/2022, Ingeniería lo tiene para configuración de comunicación
27/07/2022 Inició Desarrollo ... Prodcucción POR CONFIRMAR")</f>
        <v>07/07/2022, Se solicita certificado renovado para poder conectarnos a ambientes previos 
30/06/2022, Empieza conectividad hasta la primera semana de julio 
18/05/2022, Tipología 3 se han estimado 230 horas de esfuerzo con un equivalente presupuestal de $2.500.000. 
05/05/2022, Se radica documento agil a Jeisson Diaz P.o.
13/07/2022, Ingeniería lo tiene para configuración de comunicación
27/07/2022 Inició Desarrollo ... Prodcucción POR CONFIRMAR</v>
      </c>
      <c r="AN262" s="4" t="str">
        <f ca="1">IFERROR(__xludf.DUMMYFUNCTION("""COMPUTED_VALUE"""),"Finalizado")</f>
        <v>Finalizado</v>
      </c>
      <c r="AO262" s="4"/>
      <c r="AP262" s="4"/>
      <c r="AQ262" s="4"/>
      <c r="AR262" s="4" t="str">
        <f ca="1">IFERROR(__xludf.DUMMYFUNCTION("""COMPUTED_VALUE"""),"SDA aprobada en PPP Q1 2023")</f>
        <v>SDA aprobada en PPP Q1 2023</v>
      </c>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row>
    <row r="263" spans="1:132" x14ac:dyDescent="0.2">
      <c r="A263" s="4">
        <f ca="1">IFERROR(__xludf.DUMMYFUNCTION("""COMPUTED_VALUE"""),263)</f>
        <v>263</v>
      </c>
      <c r="B263" s="4">
        <f ca="1">IFERROR(__xludf.DUMMYFUNCTION("""COMPUTED_VALUE"""),242)</f>
        <v>242</v>
      </c>
      <c r="C263" s="4" t="str">
        <f ca="1">IFERROR(__xludf.DUMMYFUNCTION("""COMPUTED_VALUE"""),"SDATOOL-38427")</f>
        <v>SDATOOL-38427</v>
      </c>
      <c r="D263" s="4" t="str">
        <f ca="1">IFERROR(__xludf.DUMMYFUNCTION("""COMPUTED_VALUE"""),"Servicios transaccionales 2022")</f>
        <v>Servicios transaccionales 2022</v>
      </c>
      <c r="E26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3" s="4" t="str">
        <f ca="1">IFERROR(__xludf.DUMMYFUNCTION("""COMPUTED_VALUE"""),"Project")</f>
        <v>Project</v>
      </c>
      <c r="G263" s="4" t="str">
        <f ca="1">IFERROR(__xludf.DUMMYFUNCTION("""COMPUTED_VALUE"""),"Ended")</f>
        <v>Ended</v>
      </c>
      <c r="H263" s="4" t="str">
        <f ca="1">IFERROR(__xludf.DUMMYFUNCTION("""COMPUTED_VALUE"""),"1Q 2023")</f>
        <v>1Q 2023</v>
      </c>
      <c r="I263" s="131" t="str">
        <f ca="1">IFERROR(__xludf.DUMMYFUNCTION("""COMPUTED_VALUE"""),"nathiahayosara.amado-bbva.com")</f>
        <v>nathiahayosara.amado-bbva.com</v>
      </c>
      <c r="J263" s="131" t="str">
        <f ca="1">IFERROR(__xludf.DUMMYFUNCTION("""COMPUTED_VALUE"""),"jeissonandres.diaz.rodriguez-bbva.com")</f>
        <v>jeissonandres.diaz.rodriguez-bbva.com</v>
      </c>
      <c r="K263" s="131" t="str">
        <f ca="1">IFERROR(__xludf.DUMMYFUNCTION("""COMPUTED_VALUE"""),"elizabeth.diaz-bbva.com")</f>
        <v>elizabeth.diaz-bbva.com</v>
      </c>
      <c r="L263" s="4"/>
      <c r="M263" s="4"/>
      <c r="N263" s="4"/>
      <c r="O263" s="4" t="str">
        <f ca="1">IFERROR(__xludf.DUMMYFUNCTION("""COMPUTED_VALUE"""),"Waterfall")</f>
        <v>Waterfall</v>
      </c>
      <c r="P263" s="4" t="str">
        <f ca="1">IFERROR(__xludf.DUMMYFUNCTION("""COMPUTED_VALUE"""),"Tradicional Mesa Transaccional")</f>
        <v>Tradicional Mesa Transaccional</v>
      </c>
      <c r="Q263" s="4"/>
      <c r="R263" s="130" t="str">
        <f ca="1">IFERROR(__xludf.DUMMYFUNCTION("""COMPUTED_VALUE"""),"Enterprises")</f>
        <v>Enterprises</v>
      </c>
      <c r="S263" s="130" t="str">
        <f ca="1">IFERROR(__xludf.DUMMYFUNCTION("""COMPUTED_VALUE"""),"Strategic Review")</f>
        <v>Strategic Review</v>
      </c>
      <c r="T263" s="130" t="str">
        <f ca="1">IFERROR(__xludf.DUMMYFUNCTION("""COMPUTED_VALUE"""),"Otros")</f>
        <v>Otros</v>
      </c>
      <c r="U263" s="130" t="str">
        <f ca="1">IFERROR(__xludf.DUMMYFUNCTION("""COMPUTED_VALUE"""),"No Aplica")</f>
        <v>No Aplica</v>
      </c>
      <c r="V263" s="4" t="str">
        <f ca="1">IFERROR(__xludf.DUMMYFUNCTION("""COMPUTED_VALUE"""),"Otros")</f>
        <v>Otros</v>
      </c>
      <c r="W263" s="4">
        <f ca="1">IFERROR(__xludf.DUMMYFUNCTION("""COMPUTED_VALUE"""),3)</f>
        <v>3</v>
      </c>
      <c r="X263" s="4" t="str">
        <f ca="1">IFERROR(__xludf.DUMMYFUNCTION("""COMPUTED_VALUE"""),"08. Enterprise Transactionality")</f>
        <v>08. Enterprise Transactionality</v>
      </c>
      <c r="Y263" s="4" t="str">
        <f ca="1">IFERROR(__xludf.DUMMYFUNCTION("""COMPUTED_VALUE"""),"5.7.1 Keep the Bank Running")</f>
        <v>5.7.1 Keep the Bank Running</v>
      </c>
      <c r="Z263" s="132" t="str">
        <f ca="1">IFERROR(__xludf.DUMMYFUNCTION("""COMPUTED_VALUE"""),"557687")</f>
        <v>557687</v>
      </c>
      <c r="AA263" s="4" t="str">
        <f ca="1">IFERROR(__xludf.DUMMYFUNCTION("""COMPUTED_VALUE"""),"Habilitar convenios de recaudo Nacional en canal CB 2022 4Q")</f>
        <v>Habilitar convenios de recaudo Nacional en canal CB 2022 4Q</v>
      </c>
      <c r="AB263"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63" s="4" t="str">
        <f ca="1">IFERROR(__xludf.DUMMYFUNCTION("""COMPUTED_VALUE"""),"4Q 2022")</f>
        <v>4Q 2022</v>
      </c>
      <c r="AD263" s="4"/>
      <c r="AE263" s="4"/>
      <c r="AF263" s="4"/>
      <c r="AG263" s="4"/>
      <c r="AH263" s="4"/>
      <c r="AI263" s="4"/>
      <c r="AJ263" s="4"/>
      <c r="AK263" s="131" t="str">
        <f ca="1">IFERROR(__xludf.DUMMYFUNCTION("""COMPUTED_VALUE"""),"COLWSCANAL-5005")</f>
        <v>COLWSCANAL-5005</v>
      </c>
      <c r="AL263" s="4" t="str">
        <f ca="1">IFERROR(__xludf.DUMMYFUNCTION("""COMPUTED_VALUE"""),"Deployed")</f>
        <v>Deployed</v>
      </c>
      <c r="AM263" s="4"/>
      <c r="AN263" s="4" t="str">
        <f ca="1">IFERROR(__xludf.DUMMYFUNCTION("""COMPUTED_VALUE"""),"Finalizado")</f>
        <v>Finalizado</v>
      </c>
      <c r="AO263" s="4"/>
      <c r="AP263" s="4"/>
      <c r="AQ263" s="4"/>
      <c r="AR263" s="4" t="str">
        <f ca="1">IFERROR(__xludf.DUMMYFUNCTION("""COMPUTED_VALUE"""),"SDA aprobada en PPP Q1 2023")</f>
        <v>SDA aprobada en PPP Q1 2023</v>
      </c>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row>
    <row r="264" spans="1:132" x14ac:dyDescent="0.2">
      <c r="A264" s="4">
        <f ca="1">IFERROR(__xludf.DUMMYFUNCTION("""COMPUTED_VALUE"""),264)</f>
        <v>264</v>
      </c>
      <c r="B264" s="4">
        <f ca="1">IFERROR(__xludf.DUMMYFUNCTION("""COMPUTED_VALUE"""),243)</f>
        <v>243</v>
      </c>
      <c r="C264" s="4" t="str">
        <f ca="1">IFERROR(__xludf.DUMMYFUNCTION("""COMPUTED_VALUE"""),"SDATOOL-38427")</f>
        <v>SDATOOL-38427</v>
      </c>
      <c r="D264" s="4" t="str">
        <f ca="1">IFERROR(__xludf.DUMMYFUNCTION("""COMPUTED_VALUE"""),"Servicios transaccionales 2022")</f>
        <v>Servicios transaccionales 2022</v>
      </c>
      <c r="E26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4" s="4" t="str">
        <f ca="1">IFERROR(__xludf.DUMMYFUNCTION("""COMPUTED_VALUE"""),"Project")</f>
        <v>Project</v>
      </c>
      <c r="G264" s="4" t="str">
        <f ca="1">IFERROR(__xludf.DUMMYFUNCTION("""COMPUTED_VALUE"""),"Ended")</f>
        <v>Ended</v>
      </c>
      <c r="H264" s="4" t="str">
        <f ca="1">IFERROR(__xludf.DUMMYFUNCTION("""COMPUTED_VALUE"""),"1Q 2023")</f>
        <v>1Q 2023</v>
      </c>
      <c r="I264" s="131" t="str">
        <f ca="1">IFERROR(__xludf.DUMMYFUNCTION("""COMPUTED_VALUE"""),"nathiahayosara.amado-bbva.com")</f>
        <v>nathiahayosara.amado-bbva.com</v>
      </c>
      <c r="J264" s="131" t="str">
        <f ca="1">IFERROR(__xludf.DUMMYFUNCTION("""COMPUTED_VALUE"""),"jeissonandres.diaz.rodriguez-bbva.com")</f>
        <v>jeissonandres.diaz.rodriguez-bbva.com</v>
      </c>
      <c r="K264" s="131" t="str">
        <f ca="1">IFERROR(__xludf.DUMMYFUNCTION("""COMPUTED_VALUE"""),"elizabeth.diaz-bbva.com")</f>
        <v>elizabeth.diaz-bbva.com</v>
      </c>
      <c r="L264" s="4"/>
      <c r="M264" s="4"/>
      <c r="N264" s="4"/>
      <c r="O264" s="4" t="str">
        <f ca="1">IFERROR(__xludf.DUMMYFUNCTION("""COMPUTED_VALUE"""),"Waterfall")</f>
        <v>Waterfall</v>
      </c>
      <c r="P264" s="4" t="str">
        <f ca="1">IFERROR(__xludf.DUMMYFUNCTION("""COMPUTED_VALUE"""),"Tradicional Mesa Transaccional")</f>
        <v>Tradicional Mesa Transaccional</v>
      </c>
      <c r="Q264" s="4"/>
      <c r="R264" s="130" t="str">
        <f ca="1">IFERROR(__xludf.DUMMYFUNCTION("""COMPUTED_VALUE"""),"Enterprises")</f>
        <v>Enterprises</v>
      </c>
      <c r="S264" s="130" t="str">
        <f ca="1">IFERROR(__xludf.DUMMYFUNCTION("""COMPUTED_VALUE"""),"Strategic Review")</f>
        <v>Strategic Review</v>
      </c>
      <c r="T264" s="130" t="str">
        <f ca="1">IFERROR(__xludf.DUMMYFUNCTION("""COMPUTED_VALUE"""),"Otros")</f>
        <v>Otros</v>
      </c>
      <c r="U264" s="130" t="str">
        <f ca="1">IFERROR(__xludf.DUMMYFUNCTION("""COMPUTED_VALUE"""),"No Aplica")</f>
        <v>No Aplica</v>
      </c>
      <c r="V264" s="4" t="str">
        <f ca="1">IFERROR(__xludf.DUMMYFUNCTION("""COMPUTED_VALUE"""),"Otros")</f>
        <v>Otros</v>
      </c>
      <c r="W264" s="4">
        <f ca="1">IFERROR(__xludf.DUMMYFUNCTION("""COMPUTED_VALUE"""),3)</f>
        <v>3</v>
      </c>
      <c r="X264" s="4" t="str">
        <f ca="1">IFERROR(__xludf.DUMMYFUNCTION("""COMPUTED_VALUE"""),"08. Enterprise Transactionality")</f>
        <v>08. Enterprise Transactionality</v>
      </c>
      <c r="Y264" s="4" t="str">
        <f ca="1">IFERROR(__xludf.DUMMYFUNCTION("""COMPUTED_VALUE"""),"5.7.1 Keep the Bank Running")</f>
        <v>5.7.1 Keep the Bank Running</v>
      </c>
      <c r="Z264" s="132" t="str">
        <f ca="1">IFERROR(__xludf.DUMMYFUNCTION("""COMPUTED_VALUE"""),"597926")</f>
        <v>597926</v>
      </c>
      <c r="AA264" s="4" t="str">
        <f ca="1">IFERROR(__xludf.DUMMYFUNCTION("""COMPUTED_VALUE"""),"Ajuste mensajería servicio Programación de pagos")</f>
        <v>Ajuste mensajería servicio Programación de pagos</v>
      </c>
      <c r="AB264" s="4" t="str">
        <f ca="1">IFERROR(__xludf.DUMMYFUNCTION("""COMPUTED_VALUE"""),"Se requiere el ajuste de la mensajeria Batch y en línea del canal Net Personas del servicio Programación de Pagos de Facturas (Pagatiempo), para remitir información necesaria y mejorar la experiencia del cliente.")</f>
        <v>Se requiere el ajuste de la mensajeria Batch y en línea del canal Net Personas del servicio Programación de Pagos de Facturas (Pagatiempo), para remitir información necesaria y mejorar la experiencia del cliente.</v>
      </c>
      <c r="AC264" s="4" t="str">
        <f ca="1">IFERROR(__xludf.DUMMYFUNCTION("""COMPUTED_VALUE"""),"2Q 2023")</f>
        <v>2Q 2023</v>
      </c>
      <c r="AD264" s="4"/>
      <c r="AE264" s="4"/>
      <c r="AF264" s="4"/>
      <c r="AG264" s="4"/>
      <c r="AH264" s="4"/>
      <c r="AI264" s="4"/>
      <c r="AJ264" s="4"/>
      <c r="AK264" s="131" t="str">
        <f ca="1">IFERROR(__xludf.DUMMYFUNCTION("""COMPUTED_VALUE"""),"COLWSCANAL-6391")</f>
        <v>COLWSCANAL-6391</v>
      </c>
      <c r="AL264" s="4" t="str">
        <f ca="1">IFERROR(__xludf.DUMMYFUNCTION("""COMPUTED_VALUE"""),"Test")</f>
        <v>Test</v>
      </c>
      <c r="AM264" s="4"/>
      <c r="AN264" s="4" t="str">
        <f ca="1">IFERROR(__xludf.DUMMYFUNCTION("""COMPUTED_VALUE"""),"Entregable en desarrollo")</f>
        <v>Entregable en desarrollo</v>
      </c>
      <c r="AO264" s="4"/>
      <c r="AP264" s="4"/>
      <c r="AQ264" s="4"/>
      <c r="AR264" s="4" t="str">
        <f ca="1">IFERROR(__xludf.DUMMYFUNCTION("""COMPUTED_VALUE"""),"SDA aprobada en PPP Q1 2023")</f>
        <v>SDA aprobada en PPP Q1 2023</v>
      </c>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row>
    <row r="265" spans="1:132" x14ac:dyDescent="0.2">
      <c r="A265" s="4">
        <f ca="1">IFERROR(__xludf.DUMMYFUNCTION("""COMPUTED_VALUE"""),265)</f>
        <v>265</v>
      </c>
      <c r="B265" s="4">
        <f ca="1">IFERROR(__xludf.DUMMYFUNCTION("""COMPUTED_VALUE"""),244)</f>
        <v>244</v>
      </c>
      <c r="C265" s="4" t="str">
        <f ca="1">IFERROR(__xludf.DUMMYFUNCTION("""COMPUTED_VALUE"""),"SDATOOL-38427")</f>
        <v>SDATOOL-38427</v>
      </c>
      <c r="D265" s="4" t="str">
        <f ca="1">IFERROR(__xludf.DUMMYFUNCTION("""COMPUTED_VALUE"""),"Servicios transaccionales 2022")</f>
        <v>Servicios transaccionales 2022</v>
      </c>
      <c r="E26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5" s="4" t="str">
        <f ca="1">IFERROR(__xludf.DUMMYFUNCTION("""COMPUTED_VALUE"""),"Project")</f>
        <v>Project</v>
      </c>
      <c r="G265" s="4" t="str">
        <f ca="1">IFERROR(__xludf.DUMMYFUNCTION("""COMPUTED_VALUE"""),"Ended")</f>
        <v>Ended</v>
      </c>
      <c r="H265" s="4" t="str">
        <f ca="1">IFERROR(__xludf.DUMMYFUNCTION("""COMPUTED_VALUE"""),"1Q 2023")</f>
        <v>1Q 2023</v>
      </c>
      <c r="I265" s="131" t="str">
        <f ca="1">IFERROR(__xludf.DUMMYFUNCTION("""COMPUTED_VALUE"""),"nathiahayosara.amado-bbva.com")</f>
        <v>nathiahayosara.amado-bbva.com</v>
      </c>
      <c r="J265" s="131" t="str">
        <f ca="1">IFERROR(__xludf.DUMMYFUNCTION("""COMPUTED_VALUE"""),"jeissonandres.diaz.rodriguez-bbva.com")</f>
        <v>jeissonandres.diaz.rodriguez-bbva.com</v>
      </c>
      <c r="K265" s="131" t="str">
        <f ca="1">IFERROR(__xludf.DUMMYFUNCTION("""COMPUTED_VALUE"""),"elizabeth.diaz-bbva.com")</f>
        <v>elizabeth.diaz-bbva.com</v>
      </c>
      <c r="L265" s="4"/>
      <c r="M265" s="4"/>
      <c r="N265" s="4"/>
      <c r="O265" s="4" t="str">
        <f ca="1">IFERROR(__xludf.DUMMYFUNCTION("""COMPUTED_VALUE"""),"Waterfall")</f>
        <v>Waterfall</v>
      </c>
      <c r="P265" s="4" t="str">
        <f ca="1">IFERROR(__xludf.DUMMYFUNCTION("""COMPUTED_VALUE"""),"Tradicional Mesa Transaccional")</f>
        <v>Tradicional Mesa Transaccional</v>
      </c>
      <c r="Q265" s="4"/>
      <c r="R265" s="130" t="str">
        <f ca="1">IFERROR(__xludf.DUMMYFUNCTION("""COMPUTED_VALUE"""),"Enterprises")</f>
        <v>Enterprises</v>
      </c>
      <c r="S265" s="130" t="str">
        <f ca="1">IFERROR(__xludf.DUMMYFUNCTION("""COMPUTED_VALUE"""),"Strategic Review")</f>
        <v>Strategic Review</v>
      </c>
      <c r="T265" s="130" t="str">
        <f ca="1">IFERROR(__xludf.DUMMYFUNCTION("""COMPUTED_VALUE"""),"Otros")</f>
        <v>Otros</v>
      </c>
      <c r="U265" s="130" t="str">
        <f ca="1">IFERROR(__xludf.DUMMYFUNCTION("""COMPUTED_VALUE"""),"No Aplica")</f>
        <v>No Aplica</v>
      </c>
      <c r="V265" s="4" t="str">
        <f ca="1">IFERROR(__xludf.DUMMYFUNCTION("""COMPUTED_VALUE"""),"Otros")</f>
        <v>Otros</v>
      </c>
      <c r="W265" s="4">
        <f ca="1">IFERROR(__xludf.DUMMYFUNCTION("""COMPUTED_VALUE"""),3)</f>
        <v>3</v>
      </c>
      <c r="X265" s="4" t="str">
        <f ca="1">IFERROR(__xludf.DUMMYFUNCTION("""COMPUTED_VALUE"""),"08. Enterprise Transactionality")</f>
        <v>08. Enterprise Transactionality</v>
      </c>
      <c r="Y265" s="4" t="str">
        <f ca="1">IFERROR(__xludf.DUMMYFUNCTION("""COMPUTED_VALUE"""),"5.7.1 Keep the Bank Running")</f>
        <v>5.7.1 Keep the Bank Running</v>
      </c>
      <c r="Z265" s="132" t="str">
        <f ca="1">IFERROR(__xludf.DUMMYFUNCTION("""COMPUTED_VALUE"""),"489568")</f>
        <v>489568</v>
      </c>
      <c r="AA265" s="4" t="str">
        <f ca="1">IFERROR(__xludf.DUMMYFUNCTION("""COMPUTED_VALUE"""),"Valoración Desarrollo comprimir archivos ISM a .ZIP")</f>
        <v>Valoración Desarrollo comprimir archivos ISM a .ZIP</v>
      </c>
      <c r="AB265" s="4" t="str">
        <f ca="1">IFERROR(__xludf.DUMMYFUNCTION("""COMPUTED_VALUE"""),"El objetivo de este proyecto es la mejora de entrega de archivos ISM por los diferentes canales de
transmisión al cliente para sus procesos de tesorería.")</f>
        <v>El objetivo de este proyecto es la mejora de entrega de archivos ISM por los diferentes canales de
transmisión al cliente para sus procesos de tesorería.</v>
      </c>
      <c r="AC265" s="4" t="str">
        <f ca="1">IFERROR(__xludf.DUMMYFUNCTION("""COMPUTED_VALUE"""),"3Q 2023")</f>
        <v>3Q 2023</v>
      </c>
      <c r="AD265" s="4"/>
      <c r="AE265" s="4"/>
      <c r="AF265" s="4"/>
      <c r="AG265" s="4"/>
      <c r="AH265" s="4"/>
      <c r="AI265" s="4"/>
      <c r="AJ265" s="4"/>
      <c r="AK265" s="4" t="str">
        <f ca="1">IFERROR(__xludf.DUMMYFUNCTION("""COMPUTED_VALUE"""),"Sin asignar")</f>
        <v>Sin asignar</v>
      </c>
      <c r="AL265" s="4" t="str">
        <f ca="1">IFERROR(__xludf.DUMMYFUNCTION("""COMPUTED_VALUE"""),"Sin asignar")</f>
        <v>Sin asignar</v>
      </c>
      <c r="AM265" s="4"/>
      <c r="AN265" s="4" t="str">
        <f ca="1">IFERROR(__xludf.DUMMYFUNCTION("""COMPUTED_VALUE"""),"Entregable en backlog")</f>
        <v>Entregable en backlog</v>
      </c>
      <c r="AO265" s="4"/>
      <c r="AP265" s="4"/>
      <c r="AQ265" s="4"/>
      <c r="AR265" s="4" t="str">
        <f ca="1">IFERROR(__xludf.DUMMYFUNCTION("""COMPUTED_VALUE"""),"SDA aprobada en PPP Q1 2023")</f>
        <v>SDA aprobada en PPP Q1 2023</v>
      </c>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row>
    <row r="266" spans="1:132" x14ac:dyDescent="0.2">
      <c r="A266" s="4">
        <f ca="1">IFERROR(__xludf.DUMMYFUNCTION("""COMPUTED_VALUE"""),266)</f>
        <v>266</v>
      </c>
      <c r="B266" s="4">
        <f ca="1">IFERROR(__xludf.DUMMYFUNCTION("""COMPUTED_VALUE"""),245)</f>
        <v>245</v>
      </c>
      <c r="C266" s="4" t="str">
        <f ca="1">IFERROR(__xludf.DUMMYFUNCTION("""COMPUTED_VALUE"""),"SDATOOL-38427")</f>
        <v>SDATOOL-38427</v>
      </c>
      <c r="D266" s="4" t="str">
        <f ca="1">IFERROR(__xludf.DUMMYFUNCTION("""COMPUTED_VALUE"""),"Servicios transaccionales 2022")</f>
        <v>Servicios transaccionales 2022</v>
      </c>
      <c r="E26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6" s="4" t="str">
        <f ca="1">IFERROR(__xludf.DUMMYFUNCTION("""COMPUTED_VALUE"""),"Project")</f>
        <v>Project</v>
      </c>
      <c r="G266" s="4" t="str">
        <f ca="1">IFERROR(__xludf.DUMMYFUNCTION("""COMPUTED_VALUE"""),"Ended")</f>
        <v>Ended</v>
      </c>
      <c r="H266" s="4" t="str">
        <f ca="1">IFERROR(__xludf.DUMMYFUNCTION("""COMPUTED_VALUE"""),"1Q 2023")</f>
        <v>1Q 2023</v>
      </c>
      <c r="I266" s="131" t="str">
        <f ca="1">IFERROR(__xludf.DUMMYFUNCTION("""COMPUTED_VALUE"""),"nathiahayosara.amado-bbva.com")</f>
        <v>nathiahayosara.amado-bbva.com</v>
      </c>
      <c r="J266" s="131" t="str">
        <f ca="1">IFERROR(__xludf.DUMMYFUNCTION("""COMPUTED_VALUE"""),"jeissonandres.diaz.rodriguez-bbva.com")</f>
        <v>jeissonandres.diaz.rodriguez-bbva.com</v>
      </c>
      <c r="K266" s="131" t="str">
        <f ca="1">IFERROR(__xludf.DUMMYFUNCTION("""COMPUTED_VALUE"""),"elizabeth.diaz-bbva.com")</f>
        <v>elizabeth.diaz-bbva.com</v>
      </c>
      <c r="L266" s="4"/>
      <c r="M266" s="4"/>
      <c r="N266" s="4"/>
      <c r="O266" s="4" t="str">
        <f ca="1">IFERROR(__xludf.DUMMYFUNCTION("""COMPUTED_VALUE"""),"Waterfall")</f>
        <v>Waterfall</v>
      </c>
      <c r="P266" s="4" t="str">
        <f ca="1">IFERROR(__xludf.DUMMYFUNCTION("""COMPUTED_VALUE"""),"Tradicional Mesa Transaccional")</f>
        <v>Tradicional Mesa Transaccional</v>
      </c>
      <c r="Q266" s="4"/>
      <c r="R266" s="130" t="str">
        <f ca="1">IFERROR(__xludf.DUMMYFUNCTION("""COMPUTED_VALUE"""),"Enterprises")</f>
        <v>Enterprises</v>
      </c>
      <c r="S266" s="130" t="str">
        <f ca="1">IFERROR(__xludf.DUMMYFUNCTION("""COMPUTED_VALUE"""),"Strategic Review")</f>
        <v>Strategic Review</v>
      </c>
      <c r="T266" s="130" t="str">
        <f ca="1">IFERROR(__xludf.DUMMYFUNCTION("""COMPUTED_VALUE"""),"Otros")</f>
        <v>Otros</v>
      </c>
      <c r="U266" s="130" t="str">
        <f ca="1">IFERROR(__xludf.DUMMYFUNCTION("""COMPUTED_VALUE"""),"No Aplica")</f>
        <v>No Aplica</v>
      </c>
      <c r="V266" s="4" t="str">
        <f ca="1">IFERROR(__xludf.DUMMYFUNCTION("""COMPUTED_VALUE"""),"Otros")</f>
        <v>Otros</v>
      </c>
      <c r="W266" s="4">
        <f ca="1">IFERROR(__xludf.DUMMYFUNCTION("""COMPUTED_VALUE"""),3)</f>
        <v>3</v>
      </c>
      <c r="X266" s="4" t="str">
        <f ca="1">IFERROR(__xludf.DUMMYFUNCTION("""COMPUTED_VALUE"""),"08. Enterprise Transactionality")</f>
        <v>08. Enterprise Transactionality</v>
      </c>
      <c r="Y266" s="4" t="str">
        <f ca="1">IFERROR(__xludf.DUMMYFUNCTION("""COMPUTED_VALUE"""),"5.7.1 Keep the Bank Running")</f>
        <v>5.7.1 Keep the Bank Running</v>
      </c>
      <c r="Z266" s="132" t="str">
        <f ca="1">IFERROR(__xludf.DUMMYFUNCTION("""COMPUTED_VALUE"""),"489158")</f>
        <v>489158</v>
      </c>
      <c r="AA266" s="4" t="str">
        <f ca="1">IFERROR(__xludf.DUMMYFUNCTION("""COMPUTED_VALUE"""),"Web Service Avisor - Gobernación de Cundinamarca")</f>
        <v>Web Service Avisor - Gobernación de Cundinamarca</v>
      </c>
      <c r="AB266" s="4" t="str">
        <f ca="1">IFERROR(__xludf.DUMMYFUNCTION("""COMPUTED_VALUE"""),"Objetivo: Nuestro cliente Gobernación de Cundinamarca Requiere la implementación de Web Service para que pueda recaudar en línea por los canales de Terminal financiera, Banca Móvil, Corresponsales Bancarios")</f>
        <v>Objetivo: Nuestro cliente Gobernación de Cundinamarca Requiere la implementación de Web Service para que pueda recaudar en línea por los canales de Terminal financiera, Banca Móvil, Corresponsales Bancarios</v>
      </c>
      <c r="AC266" s="4" t="str">
        <f ca="1">IFERROR(__xludf.DUMMYFUNCTION("""COMPUTED_VALUE"""),"3Q 2023")</f>
        <v>3Q 2023</v>
      </c>
      <c r="AD266" s="4"/>
      <c r="AE266" s="4"/>
      <c r="AF266" s="4"/>
      <c r="AG266" s="4"/>
      <c r="AH266" s="4"/>
      <c r="AI266" s="4"/>
      <c r="AJ266" s="4"/>
      <c r="AK266" s="4" t="str">
        <f ca="1">IFERROR(__xludf.DUMMYFUNCTION("""COMPUTED_VALUE"""),"Sin asignar")</f>
        <v>Sin asignar</v>
      </c>
      <c r="AL266" s="4" t="str">
        <f ca="1">IFERROR(__xludf.DUMMYFUNCTION("""COMPUTED_VALUE"""),"Sin asignar")</f>
        <v>Sin asignar</v>
      </c>
      <c r="AM266" s="4"/>
      <c r="AN266" s="4" t="str">
        <f ca="1">IFERROR(__xludf.DUMMYFUNCTION("""COMPUTED_VALUE"""),"Entregable en backlog")</f>
        <v>Entregable en backlog</v>
      </c>
      <c r="AO266" s="4"/>
      <c r="AP266" s="4"/>
      <c r="AQ266" s="4"/>
      <c r="AR266" s="4" t="str">
        <f ca="1">IFERROR(__xludf.DUMMYFUNCTION("""COMPUTED_VALUE"""),"SDA aprobada en PPP Q1 2023")</f>
        <v>SDA aprobada en PPP Q1 2023</v>
      </c>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row>
    <row r="267" spans="1:132" x14ac:dyDescent="0.2">
      <c r="A267" s="4">
        <f ca="1">IFERROR(__xludf.DUMMYFUNCTION("""COMPUTED_VALUE"""),267)</f>
        <v>267</v>
      </c>
      <c r="B267" s="4">
        <f ca="1">IFERROR(__xludf.DUMMYFUNCTION("""COMPUTED_VALUE"""),246)</f>
        <v>246</v>
      </c>
      <c r="C267" s="4" t="str">
        <f ca="1">IFERROR(__xludf.DUMMYFUNCTION("""COMPUTED_VALUE"""),"SDATOOL-38427")</f>
        <v>SDATOOL-38427</v>
      </c>
      <c r="D267" s="4" t="str">
        <f ca="1">IFERROR(__xludf.DUMMYFUNCTION("""COMPUTED_VALUE"""),"Servicios transaccionales 2022")</f>
        <v>Servicios transaccionales 2022</v>
      </c>
      <c r="E26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7" s="4" t="str">
        <f ca="1">IFERROR(__xludf.DUMMYFUNCTION("""COMPUTED_VALUE"""),"Project")</f>
        <v>Project</v>
      </c>
      <c r="G267" s="4" t="str">
        <f ca="1">IFERROR(__xludf.DUMMYFUNCTION("""COMPUTED_VALUE"""),"Ended")</f>
        <v>Ended</v>
      </c>
      <c r="H267" s="4" t="str">
        <f ca="1">IFERROR(__xludf.DUMMYFUNCTION("""COMPUTED_VALUE"""),"1Q 2023")</f>
        <v>1Q 2023</v>
      </c>
      <c r="I267" s="131" t="str">
        <f ca="1">IFERROR(__xludf.DUMMYFUNCTION("""COMPUTED_VALUE"""),"nathiahayosara.amado-bbva.com")</f>
        <v>nathiahayosara.amado-bbva.com</v>
      </c>
      <c r="J267" s="131" t="str">
        <f ca="1">IFERROR(__xludf.DUMMYFUNCTION("""COMPUTED_VALUE"""),"jeissonandres.diaz.rodriguez-bbva.com")</f>
        <v>jeissonandres.diaz.rodriguez-bbva.com</v>
      </c>
      <c r="K267" s="131" t="str">
        <f ca="1">IFERROR(__xludf.DUMMYFUNCTION("""COMPUTED_VALUE"""),"elizabeth.diaz-bbva.com")</f>
        <v>elizabeth.diaz-bbva.com</v>
      </c>
      <c r="L267" s="4"/>
      <c r="M267" s="4"/>
      <c r="N267" s="4"/>
      <c r="O267" s="4" t="str">
        <f ca="1">IFERROR(__xludf.DUMMYFUNCTION("""COMPUTED_VALUE"""),"Waterfall")</f>
        <v>Waterfall</v>
      </c>
      <c r="P267" s="4" t="str">
        <f ca="1">IFERROR(__xludf.DUMMYFUNCTION("""COMPUTED_VALUE"""),"Tradicional Mesa Transaccional")</f>
        <v>Tradicional Mesa Transaccional</v>
      </c>
      <c r="Q267" s="4"/>
      <c r="R267" s="130" t="str">
        <f ca="1">IFERROR(__xludf.DUMMYFUNCTION("""COMPUTED_VALUE"""),"Enterprises")</f>
        <v>Enterprises</v>
      </c>
      <c r="S267" s="130" t="str">
        <f ca="1">IFERROR(__xludf.DUMMYFUNCTION("""COMPUTED_VALUE"""),"Strategic Review")</f>
        <v>Strategic Review</v>
      </c>
      <c r="T267" s="130" t="str">
        <f ca="1">IFERROR(__xludf.DUMMYFUNCTION("""COMPUTED_VALUE"""),"Otros")</f>
        <v>Otros</v>
      </c>
      <c r="U267" s="130" t="str">
        <f ca="1">IFERROR(__xludf.DUMMYFUNCTION("""COMPUTED_VALUE"""),"No Aplica")</f>
        <v>No Aplica</v>
      </c>
      <c r="V267" s="4" t="str">
        <f ca="1">IFERROR(__xludf.DUMMYFUNCTION("""COMPUTED_VALUE"""),"Otros")</f>
        <v>Otros</v>
      </c>
      <c r="W267" s="4">
        <f ca="1">IFERROR(__xludf.DUMMYFUNCTION("""COMPUTED_VALUE"""),3)</f>
        <v>3</v>
      </c>
      <c r="X267" s="4" t="str">
        <f ca="1">IFERROR(__xludf.DUMMYFUNCTION("""COMPUTED_VALUE"""),"08. Enterprise Transactionality")</f>
        <v>08. Enterprise Transactionality</v>
      </c>
      <c r="Y267" s="4" t="str">
        <f ca="1">IFERROR(__xludf.DUMMYFUNCTION("""COMPUTED_VALUE"""),"5.7.1 Keep the Bank Running")</f>
        <v>5.7.1 Keep the Bank Running</v>
      </c>
      <c r="Z267" s="132" t="str">
        <f ca="1">IFERROR(__xludf.DUMMYFUNCTION("""COMPUTED_VALUE"""),"560471")</f>
        <v>560471</v>
      </c>
      <c r="AA267" s="4" t="str">
        <f ca="1">IFERROR(__xludf.DUMMYFUNCTION("""COMPUTED_VALUE"""),"Web Service ETB")</f>
        <v>Web Service ETB</v>
      </c>
      <c r="AB267" s="4" t="str">
        <f ca="1">IFERROR(__xludf.DUMMYFUNCTION("""COMPUTED_VALUE"""),"Se requiere la implementación de Web Service para el cliente ETB que permita recaudar en línea por los canales de Terminal financiera, Banca Móvil, Corresponsales Bancarios, Net personas, Net Empresas.")</f>
        <v>Se requiere la implementación de Web Service para el cliente ETB que permita recaudar en línea por los canales de Terminal financiera, Banca Móvil, Corresponsales Bancarios, Net personas, Net Empresas.</v>
      </c>
      <c r="AC267" s="4" t="str">
        <f ca="1">IFERROR(__xludf.DUMMYFUNCTION("""COMPUTED_VALUE"""),"2Q 2023")</f>
        <v>2Q 2023</v>
      </c>
      <c r="AD267" s="4"/>
      <c r="AE267" s="4"/>
      <c r="AF267" s="4"/>
      <c r="AG267" s="4"/>
      <c r="AH267" s="4"/>
      <c r="AI267" s="4"/>
      <c r="AJ267" s="4"/>
      <c r="AK267" s="4" t="str">
        <f ca="1">IFERROR(__xludf.DUMMYFUNCTION("""COMPUTED_VALUE"""),"Sin asignar")</f>
        <v>Sin asignar</v>
      </c>
      <c r="AL267" s="4" t="str">
        <f ca="1">IFERROR(__xludf.DUMMYFUNCTION("""COMPUTED_VALUE"""),"Sin asignar")</f>
        <v>Sin asignar</v>
      </c>
      <c r="AM267" s="4" t="str">
        <f ca="1">IFERROR(__xludf.DUMMYFUNCTION("""COMPUTED_VALUE"""),"27/10/2022: En proceso de desarrollo")</f>
        <v>27/10/2022: En proceso de desarrollo</v>
      </c>
      <c r="AN267" s="4" t="str">
        <f ca="1">IFERROR(__xludf.DUMMYFUNCTION("""COMPUTED_VALUE"""),"Entregable en backlog")</f>
        <v>Entregable en backlog</v>
      </c>
      <c r="AO267" s="4"/>
      <c r="AP267" s="4"/>
      <c r="AQ267" s="4"/>
      <c r="AR267" s="4" t="str">
        <f ca="1">IFERROR(__xludf.DUMMYFUNCTION("""COMPUTED_VALUE"""),"SDA aprobada en PPP Q1 2023")</f>
        <v>SDA aprobada en PPP Q1 2023</v>
      </c>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row>
    <row r="268" spans="1:132" x14ac:dyDescent="0.2">
      <c r="A268" s="4">
        <f ca="1">IFERROR(__xludf.DUMMYFUNCTION("""COMPUTED_VALUE"""),268)</f>
        <v>268</v>
      </c>
      <c r="B268" s="4">
        <f ca="1">IFERROR(__xludf.DUMMYFUNCTION("""COMPUTED_VALUE"""),247)</f>
        <v>247</v>
      </c>
      <c r="C268" s="4" t="str">
        <f ca="1">IFERROR(__xludf.DUMMYFUNCTION("""COMPUTED_VALUE"""),"SDATOOL-38427")</f>
        <v>SDATOOL-38427</v>
      </c>
      <c r="D268" s="4" t="str">
        <f ca="1">IFERROR(__xludf.DUMMYFUNCTION("""COMPUTED_VALUE"""),"Servicios transaccionales 2022")</f>
        <v>Servicios transaccionales 2022</v>
      </c>
      <c r="E26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8" s="4" t="str">
        <f ca="1">IFERROR(__xludf.DUMMYFUNCTION("""COMPUTED_VALUE"""),"Project")</f>
        <v>Project</v>
      </c>
      <c r="G268" s="4" t="str">
        <f ca="1">IFERROR(__xludf.DUMMYFUNCTION("""COMPUTED_VALUE"""),"Ended")</f>
        <v>Ended</v>
      </c>
      <c r="H268" s="4" t="str">
        <f ca="1">IFERROR(__xludf.DUMMYFUNCTION("""COMPUTED_VALUE"""),"1Q 2023")</f>
        <v>1Q 2023</v>
      </c>
      <c r="I268" s="131" t="str">
        <f ca="1">IFERROR(__xludf.DUMMYFUNCTION("""COMPUTED_VALUE"""),"nathiahayosara.amado-bbva.com")</f>
        <v>nathiahayosara.amado-bbva.com</v>
      </c>
      <c r="J268" s="131" t="str">
        <f ca="1">IFERROR(__xludf.DUMMYFUNCTION("""COMPUTED_VALUE"""),"jeissonandres.diaz.rodriguez-bbva.com")</f>
        <v>jeissonandres.diaz.rodriguez-bbva.com</v>
      </c>
      <c r="K268" s="131" t="str">
        <f ca="1">IFERROR(__xludf.DUMMYFUNCTION("""COMPUTED_VALUE"""),"elizabeth.diaz-bbva.com")</f>
        <v>elizabeth.diaz-bbva.com</v>
      </c>
      <c r="L268" s="4"/>
      <c r="M268" s="4"/>
      <c r="N268" s="4"/>
      <c r="O268" s="4" t="str">
        <f ca="1">IFERROR(__xludf.DUMMYFUNCTION("""COMPUTED_VALUE"""),"Waterfall")</f>
        <v>Waterfall</v>
      </c>
      <c r="P268" s="4" t="str">
        <f ca="1">IFERROR(__xludf.DUMMYFUNCTION("""COMPUTED_VALUE"""),"Tradicional Mesa Transaccional")</f>
        <v>Tradicional Mesa Transaccional</v>
      </c>
      <c r="Q268" s="4"/>
      <c r="R268" s="130" t="str">
        <f ca="1">IFERROR(__xludf.DUMMYFUNCTION("""COMPUTED_VALUE"""),"Enterprises")</f>
        <v>Enterprises</v>
      </c>
      <c r="S268" s="130" t="str">
        <f ca="1">IFERROR(__xludf.DUMMYFUNCTION("""COMPUTED_VALUE"""),"Strategic Review")</f>
        <v>Strategic Review</v>
      </c>
      <c r="T268" s="130" t="str">
        <f ca="1">IFERROR(__xludf.DUMMYFUNCTION("""COMPUTED_VALUE"""),"Otros")</f>
        <v>Otros</v>
      </c>
      <c r="U268" s="130" t="str">
        <f ca="1">IFERROR(__xludf.DUMMYFUNCTION("""COMPUTED_VALUE"""),"No Aplica")</f>
        <v>No Aplica</v>
      </c>
      <c r="V268" s="4" t="str">
        <f ca="1">IFERROR(__xludf.DUMMYFUNCTION("""COMPUTED_VALUE"""),"Otros")</f>
        <v>Otros</v>
      </c>
      <c r="W268" s="4">
        <f ca="1">IFERROR(__xludf.DUMMYFUNCTION("""COMPUTED_VALUE"""),3)</f>
        <v>3</v>
      </c>
      <c r="X268" s="4" t="str">
        <f ca="1">IFERROR(__xludf.DUMMYFUNCTION("""COMPUTED_VALUE"""),"08. Enterprise Transactionality")</f>
        <v>08. Enterprise Transactionality</v>
      </c>
      <c r="Y268" s="4" t="str">
        <f ca="1">IFERROR(__xludf.DUMMYFUNCTION("""COMPUTED_VALUE"""),"5.7.1 Keep the Bank Running")</f>
        <v>5.7.1 Keep the Bank Running</v>
      </c>
      <c r="Z268" s="132" t="str">
        <f ca="1">IFERROR(__xludf.DUMMYFUNCTION("""COMPUTED_VALUE"""),"492044")</f>
        <v>492044</v>
      </c>
      <c r="AA268" s="4" t="str">
        <f ca="1">IFERROR(__xludf.DUMMYFUNCTION("""COMPUTED_VALUE"""),"WS EMPRESAS PUBLICAS DE MEDELLIN - EPM")</f>
        <v>WS EMPRESAS PUBLICAS DE MEDELLIN - EPM</v>
      </c>
      <c r="AB268" s="4" t="str">
        <f ca="1">IFERROR(__xludf.DUMMYFUNCTION("""COMPUTED_VALUE"""),"Se requiere la implementación de Web Service con el cliente EPM, para el recaudo por los canales del banco y el reporte en línea de las operaciones")</f>
        <v>Se requiere la implementación de Web Service con el cliente EPM, para el recaudo por los canales del banco y el reporte en línea de las operaciones</v>
      </c>
      <c r="AC268" s="4" t="str">
        <f ca="1">IFERROR(__xludf.DUMMYFUNCTION("""COMPUTED_VALUE"""),"2Q 2023")</f>
        <v>2Q 2023</v>
      </c>
      <c r="AD268" s="4"/>
      <c r="AE268" s="4"/>
      <c r="AF268" s="128">
        <f ca="1">IFERROR(__xludf.DUMMYFUNCTION("""COMPUTED_VALUE"""),44774)</f>
        <v>44774</v>
      </c>
      <c r="AG268" s="4"/>
      <c r="AH268" s="4"/>
      <c r="AI268" s="4"/>
      <c r="AJ268" s="4"/>
      <c r="AK268" s="131" t="str">
        <f ca="1">IFERROR(__xludf.DUMMYFUNCTION("""COMPUTED_VALUE"""),"COLWSCONTA-307")</f>
        <v>COLWSCONTA-307</v>
      </c>
      <c r="AL268" s="4" t="str">
        <f ca="1">IFERROR(__xludf.DUMMYFUNCTION("""COMPUTED_VALUE"""),"Blocked")</f>
        <v>Blocked</v>
      </c>
      <c r="AM268" s="4" t="str">
        <f ca="1">IFERROR(__xludf.DUMMYFUNCTION("""COMPUTED_VALUE"""),"25/07/2022: Se Solicita a PMO dotación para avanzar con desarrollos")</f>
        <v>25/07/2022: Se Solicita a PMO dotación para avanzar con desarrollos</v>
      </c>
      <c r="AN268" s="4" t="str">
        <f ca="1">IFERROR(__xludf.DUMMYFUNCTION("""COMPUTED_VALUE"""),"Entregable en backlog")</f>
        <v>Entregable en backlog</v>
      </c>
      <c r="AO268" s="4"/>
      <c r="AP268" s="4"/>
      <c r="AQ268" s="4"/>
      <c r="AR268" s="4" t="str">
        <f ca="1">IFERROR(__xludf.DUMMYFUNCTION("""COMPUTED_VALUE"""),"SDA aprobada en PPP Q1 2023")</f>
        <v>SDA aprobada en PPP Q1 2023</v>
      </c>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row>
    <row r="269" spans="1:132" x14ac:dyDescent="0.2">
      <c r="A269" s="4">
        <f ca="1">IFERROR(__xludf.DUMMYFUNCTION("""COMPUTED_VALUE"""),269)</f>
        <v>269</v>
      </c>
      <c r="B269" s="4">
        <f ca="1">IFERROR(__xludf.DUMMYFUNCTION("""COMPUTED_VALUE"""),248)</f>
        <v>248</v>
      </c>
      <c r="C269" s="4" t="str">
        <f ca="1">IFERROR(__xludf.DUMMYFUNCTION("""COMPUTED_VALUE"""),"SDATOOL-41553")</f>
        <v>SDATOOL-41553</v>
      </c>
      <c r="D269" s="4" t="str">
        <f ca="1">IFERROR(__xludf.DUMMYFUNCTION("""COMPUTED_VALUE"""),"Servicios transaccionales 2023")</f>
        <v>Servicios transaccionales 2023</v>
      </c>
      <c r="E26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9" s="4" t="str">
        <f ca="1">IFERROR(__xludf.DUMMYFUNCTION("""COMPUTED_VALUE"""),"Project")</f>
        <v>Project</v>
      </c>
      <c r="G269" s="4" t="str">
        <f ca="1">IFERROR(__xludf.DUMMYFUNCTION("""COMPUTED_VALUE"""),"Stock")</f>
        <v>Stock</v>
      </c>
      <c r="H269" s="4" t="str">
        <f ca="1">IFERROR(__xludf.DUMMYFUNCTION("""COMPUTED_VALUE"""),"4Q 2023")</f>
        <v>4Q 2023</v>
      </c>
      <c r="I269" s="131" t="str">
        <f ca="1">IFERROR(__xludf.DUMMYFUNCTION("""COMPUTED_VALUE"""),"nathiahayosara.amado-bbva.com")</f>
        <v>nathiahayosara.amado-bbva.com</v>
      </c>
      <c r="J269" s="131" t="str">
        <f ca="1">IFERROR(__xludf.DUMMYFUNCTION("""COMPUTED_VALUE"""),"jeissonandres.diaz.rodriguez-bbva.com")</f>
        <v>jeissonandres.diaz.rodriguez-bbva.com</v>
      </c>
      <c r="K269" s="131" t="str">
        <f ca="1">IFERROR(__xludf.DUMMYFUNCTION("""COMPUTED_VALUE"""),"elizabeth.diaz-bbva.com")</f>
        <v>elizabeth.diaz-bbva.com</v>
      </c>
      <c r="L269" s="130">
        <f ca="1">IFERROR(__xludf.DUMMYFUNCTION("""COMPUTED_VALUE"""),1)</f>
        <v>1</v>
      </c>
      <c r="M269" s="130">
        <f ca="1">IFERROR(__xludf.DUMMYFUNCTION("""COMPUTED_VALUE"""),0)</f>
        <v>0</v>
      </c>
      <c r="N269" s="130">
        <f ca="1">IFERROR(__xludf.DUMMYFUNCTION("""COMPUTED_VALUE"""),0)</f>
        <v>0</v>
      </c>
      <c r="O269" s="4" t="str">
        <f ca="1">IFERROR(__xludf.DUMMYFUNCTION("""COMPUTED_VALUE"""),"Waterfall")</f>
        <v>Waterfall</v>
      </c>
      <c r="P269" s="4" t="str">
        <f ca="1">IFERROR(__xludf.DUMMYFUNCTION("""COMPUTED_VALUE"""),"Tradicional Mesa Transaccional")</f>
        <v>Tradicional Mesa Transaccional</v>
      </c>
      <c r="Q269" s="4"/>
      <c r="R269" s="130" t="str">
        <f ca="1">IFERROR(__xludf.DUMMYFUNCTION("""COMPUTED_VALUE"""),"Enterprises")</f>
        <v>Enterprises</v>
      </c>
      <c r="S269" s="130" t="str">
        <f ca="1">IFERROR(__xludf.DUMMYFUNCTION("""COMPUTED_VALUE"""),"Strategic Review")</f>
        <v>Strategic Review</v>
      </c>
      <c r="T269" s="130" t="str">
        <f ca="1">IFERROR(__xludf.DUMMYFUNCTION("""COMPUTED_VALUE"""),"Otros")</f>
        <v>Otros</v>
      </c>
      <c r="U269" s="130" t="str">
        <f ca="1">IFERROR(__xludf.DUMMYFUNCTION("""COMPUTED_VALUE"""),"No Aplica")</f>
        <v>No Aplica</v>
      </c>
      <c r="V269" s="4" t="str">
        <f ca="1">IFERROR(__xludf.DUMMYFUNCTION("""COMPUTED_VALUE"""),"Otros")</f>
        <v>Otros</v>
      </c>
      <c r="W269" s="4">
        <f ca="1">IFERROR(__xludf.DUMMYFUNCTION("""COMPUTED_VALUE"""),3)</f>
        <v>3</v>
      </c>
      <c r="X269" s="4" t="str">
        <f ca="1">IFERROR(__xludf.DUMMYFUNCTION("""COMPUTED_VALUE"""),"08. Enterprise Transactionality")</f>
        <v>08. Enterprise Transactionality</v>
      </c>
      <c r="Y269" s="4" t="str">
        <f ca="1">IFERROR(__xludf.DUMMYFUNCTION("""COMPUTED_VALUE"""),"5.7.1 Keep the Bank Running")</f>
        <v>5.7.1 Keep the Bank Running</v>
      </c>
      <c r="Z269" s="132" t="str">
        <f ca="1">IFERROR(__xludf.DUMMYFUNCTION("""COMPUTED_VALUE"""),"710492")</f>
        <v>710492</v>
      </c>
      <c r="AA269" s="4" t="str">
        <f ca="1">IFERROR(__xludf.DUMMYFUNCTION("""COMPUTED_VALUE"""),"Nuevo modelo NO Repudio para Convenios Web Service (O)")</f>
        <v>Nuevo modelo NO Repudio para Convenios Web Service (O)</v>
      </c>
      <c r="AB269" s="4" t="str">
        <f ca="1">IFERROR(__xludf.DUMMYFUNCTION("""COMPUTED_VALUE"""),"Contar con un modelo de No repudio para aquellos convenios que manejan validación por Web Service con modelo (O - guardar información devuelta en la consulta para enviarlo en el pago)")</f>
        <v>Contar con un modelo de No repudio para aquellos convenios que manejan validación por Web Service con modelo (O - guardar información devuelta en la consulta para enviarlo en el pago)</v>
      </c>
      <c r="AC269" s="4" t="str">
        <f ca="1">IFERROR(__xludf.DUMMYFUNCTION("""COMPUTED_VALUE"""),"1Q 2023")</f>
        <v>1Q 2023</v>
      </c>
      <c r="AD269" s="4"/>
      <c r="AE269" s="4"/>
      <c r="AF269" s="4"/>
      <c r="AG269" s="4"/>
      <c r="AH269" s="4"/>
      <c r="AI269" s="4"/>
      <c r="AJ269" s="4"/>
      <c r="AK269" s="131" t="str">
        <f ca="1">IFERROR(__xludf.DUMMYFUNCTION("""COMPUTED_VALUE"""),"COLWSCANAL-7084")</f>
        <v>COLWSCANAL-7084</v>
      </c>
      <c r="AL269" s="4" t="str">
        <f ca="1">IFERROR(__xludf.DUMMYFUNCTION("""COMPUTED_VALUE"""),"Deployed")</f>
        <v>Deployed</v>
      </c>
      <c r="AM269" s="4"/>
      <c r="AN269" s="4" t="str">
        <f ca="1">IFERROR(__xludf.DUMMYFUNCTION("""COMPUTED_VALUE"""),"Finalizado")</f>
        <v>Finalizado</v>
      </c>
      <c r="AO269" s="4"/>
      <c r="AP269" s="4"/>
      <c r="AQ269" s="4"/>
      <c r="AR269" s="4" t="str">
        <f ca="1">IFERROR(__xludf.DUMMYFUNCTION("""COMPUTED_VALUE"""),"SDA aprobada en PPP Q1 2023")</f>
        <v>SDA aprobada en PPP Q1 2023</v>
      </c>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133">
        <f ca="1">IFERROR(__xludf.DUMMYFUNCTION("""COMPUTED_VALUE"""),0)</f>
        <v>0</v>
      </c>
      <c r="DV269" s="133">
        <f ca="1">IFERROR(__xludf.DUMMYFUNCTION("""COMPUTED_VALUE"""),0)</f>
        <v>0</v>
      </c>
      <c r="DW269" s="133">
        <f ca="1">IFERROR(__xludf.DUMMYFUNCTION("""COMPUTED_VALUE"""),0)</f>
        <v>0</v>
      </c>
      <c r="DX269" s="133">
        <f ca="1">IFERROR(__xludf.DUMMYFUNCTION("""COMPUTED_VALUE"""),214919792)</f>
        <v>214919792</v>
      </c>
      <c r="DY269" s="133">
        <f ca="1">IFERROR(__xludf.DUMMYFUNCTION("""COMPUTED_VALUE"""),0)</f>
        <v>0</v>
      </c>
      <c r="DZ269" s="133">
        <f ca="1">IFERROR(__xludf.DUMMYFUNCTION("""COMPUTED_VALUE"""),214919792)</f>
        <v>214919792</v>
      </c>
      <c r="EA269" s="4"/>
      <c r="EB269" s="4"/>
    </row>
    <row r="270" spans="1:132" x14ac:dyDescent="0.2">
      <c r="A270" s="4">
        <f ca="1">IFERROR(__xludf.DUMMYFUNCTION("""COMPUTED_VALUE"""),270)</f>
        <v>270</v>
      </c>
      <c r="B270" s="4">
        <f ca="1">IFERROR(__xludf.DUMMYFUNCTION("""COMPUTED_VALUE"""),249)</f>
        <v>249</v>
      </c>
      <c r="C270" s="4" t="str">
        <f ca="1">IFERROR(__xludf.DUMMYFUNCTION("""COMPUTED_VALUE"""),"SDATOOL-41553")</f>
        <v>SDATOOL-41553</v>
      </c>
      <c r="D270" s="4" t="str">
        <f ca="1">IFERROR(__xludf.DUMMYFUNCTION("""COMPUTED_VALUE"""),"Servicios transaccionales 2023")</f>
        <v>Servicios transaccionales 2023</v>
      </c>
      <c r="E27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0" s="4" t="str">
        <f ca="1">IFERROR(__xludf.DUMMYFUNCTION("""COMPUTED_VALUE"""),"Project")</f>
        <v>Project</v>
      </c>
      <c r="G270" s="4" t="str">
        <f ca="1">IFERROR(__xludf.DUMMYFUNCTION("""COMPUTED_VALUE"""),"Stock")</f>
        <v>Stock</v>
      </c>
      <c r="H270" s="4" t="str">
        <f ca="1">IFERROR(__xludf.DUMMYFUNCTION("""COMPUTED_VALUE"""),"4Q 2023")</f>
        <v>4Q 2023</v>
      </c>
      <c r="I270" s="131" t="str">
        <f ca="1">IFERROR(__xludf.DUMMYFUNCTION("""COMPUTED_VALUE"""),"nathiahayosara.amado-bbva.com")</f>
        <v>nathiahayosara.amado-bbva.com</v>
      </c>
      <c r="J270" s="131" t="str">
        <f ca="1">IFERROR(__xludf.DUMMYFUNCTION("""COMPUTED_VALUE"""),"jeissonandres.diaz.rodriguez-bbva.com")</f>
        <v>jeissonandres.diaz.rodriguez-bbva.com</v>
      </c>
      <c r="K270" s="131" t="str">
        <f ca="1">IFERROR(__xludf.DUMMYFUNCTION("""COMPUTED_VALUE"""),"elizabeth.diaz-bbva.com")</f>
        <v>elizabeth.diaz-bbva.com</v>
      </c>
      <c r="L270" s="4"/>
      <c r="M270" s="4"/>
      <c r="N270" s="4"/>
      <c r="O270" s="4" t="str">
        <f ca="1">IFERROR(__xludf.DUMMYFUNCTION("""COMPUTED_VALUE"""),"Waterfall")</f>
        <v>Waterfall</v>
      </c>
      <c r="P270" s="4" t="str">
        <f ca="1">IFERROR(__xludf.DUMMYFUNCTION("""COMPUTED_VALUE"""),"Tradicional Mesa Transaccional")</f>
        <v>Tradicional Mesa Transaccional</v>
      </c>
      <c r="Q270" s="4"/>
      <c r="R270" s="130" t="str">
        <f ca="1">IFERROR(__xludf.DUMMYFUNCTION("""COMPUTED_VALUE"""),"Enterprises")</f>
        <v>Enterprises</v>
      </c>
      <c r="S270" s="130" t="str">
        <f ca="1">IFERROR(__xludf.DUMMYFUNCTION("""COMPUTED_VALUE"""),"Strategic Review")</f>
        <v>Strategic Review</v>
      </c>
      <c r="T270" s="130" t="str">
        <f ca="1">IFERROR(__xludf.DUMMYFUNCTION("""COMPUTED_VALUE"""),"Otros")</f>
        <v>Otros</v>
      </c>
      <c r="U270" s="130" t="str">
        <f ca="1">IFERROR(__xludf.DUMMYFUNCTION("""COMPUTED_VALUE"""),"No Aplica")</f>
        <v>No Aplica</v>
      </c>
      <c r="V270" s="4" t="str">
        <f ca="1">IFERROR(__xludf.DUMMYFUNCTION("""COMPUTED_VALUE"""),"Otros")</f>
        <v>Otros</v>
      </c>
      <c r="W270" s="4">
        <f ca="1">IFERROR(__xludf.DUMMYFUNCTION("""COMPUTED_VALUE"""),3)</f>
        <v>3</v>
      </c>
      <c r="X270" s="4" t="str">
        <f ca="1">IFERROR(__xludf.DUMMYFUNCTION("""COMPUTED_VALUE"""),"08. Enterprise Transactionality")</f>
        <v>08. Enterprise Transactionality</v>
      </c>
      <c r="Y270" s="4" t="str">
        <f ca="1">IFERROR(__xludf.DUMMYFUNCTION("""COMPUTED_VALUE"""),"5.7.1 Keep the Bank Running")</f>
        <v>5.7.1 Keep the Bank Running</v>
      </c>
      <c r="Z270" s="132" t="str">
        <f ca="1">IFERROR(__xludf.DUMMYFUNCTION("""COMPUTED_VALUE"""),"710490")</f>
        <v>710490</v>
      </c>
      <c r="AA270" s="4" t="str">
        <f ca="1">IFERROR(__xludf.DUMMYFUNCTION("""COMPUTED_VALUE"""),"Web Service Aguas Kapital de Cúcuta SOAP")</f>
        <v>Web Service Aguas Kapital de Cúcuta SOAP</v>
      </c>
      <c r="AB270" s="4" t="str">
        <f ca="1">IFERROR(__xludf.DUMMYFUNCTION("""COMPUTED_VALUE"""),"El cliente AGUAS KAPITAL DE CUCUTA Requiere la implementación de Web Service para que pueda recaudar en línea por los canales deTF, BM y CB., teniendo en cuenta que la especificaciòn tècnica del cliente es Rest Api Json, vamos a crear un nuevo servicio co"&amp;"n Ecollect con la documentaciòn tènica del banco BBVA se encargará de implementar una fachada en SOAP convertir los campos y entregarlos al cliente en Rest Api Json")</f>
        <v>El cliente AGUAS KAPITAL DE CUCUTA Requiere la implementación de Web Service para que pueda recaudar en línea por los canales deTF, BM y CB., teniendo en cuenta que la especificaciòn tècnica del cliente es Rest Api Json, vamos a crear un nuevo servicio con Ecollect con la documentaciòn tènica del banco BBVA se encargará de implementar una fachada en SOAP convertir los campos y entregarlos al cliente en Rest Api Json</v>
      </c>
      <c r="AC270" s="4" t="str">
        <f ca="1">IFERROR(__xludf.DUMMYFUNCTION("""COMPUTED_VALUE"""),"1Q 2023")</f>
        <v>1Q 2023</v>
      </c>
      <c r="AD270" s="4"/>
      <c r="AE270" s="4"/>
      <c r="AF270" s="4"/>
      <c r="AG270" s="4"/>
      <c r="AH270" s="4"/>
      <c r="AI270" s="4"/>
      <c r="AJ270" s="4"/>
      <c r="AK270" s="131" t="str">
        <f ca="1">IFERROR(__xludf.DUMMYFUNCTION("""COMPUTED_VALUE"""),"COLWSCONTA-100")</f>
        <v>COLWSCONTA-100</v>
      </c>
      <c r="AL270" s="4" t="str">
        <f ca="1">IFERROR(__xludf.DUMMYFUNCTION("""COMPUTED_VALUE"""),"Deployed")</f>
        <v>Deployed</v>
      </c>
      <c r="AM270" s="4"/>
      <c r="AN270" s="4" t="str">
        <f ca="1">IFERROR(__xludf.DUMMYFUNCTION("""COMPUTED_VALUE"""),"Finalizado")</f>
        <v>Finalizado</v>
      </c>
      <c r="AO270" s="4"/>
      <c r="AP270" s="4"/>
      <c r="AQ270" s="4"/>
      <c r="AR270" s="4" t="str">
        <f ca="1">IFERROR(__xludf.DUMMYFUNCTION("""COMPUTED_VALUE"""),"SDA aprobada en PPP Q1 2023")</f>
        <v>SDA aprobada en PPP Q1 2023</v>
      </c>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row>
    <row r="271" spans="1:132" x14ac:dyDescent="0.2">
      <c r="A271" s="4">
        <f ca="1">IFERROR(__xludf.DUMMYFUNCTION("""COMPUTED_VALUE"""),271)</f>
        <v>271</v>
      </c>
      <c r="B271" s="4">
        <f ca="1">IFERROR(__xludf.DUMMYFUNCTION("""COMPUTED_VALUE"""),250)</f>
        <v>250</v>
      </c>
      <c r="C271" s="4" t="str">
        <f ca="1">IFERROR(__xludf.DUMMYFUNCTION("""COMPUTED_VALUE"""),"SDATOOL-41553")</f>
        <v>SDATOOL-41553</v>
      </c>
      <c r="D271" s="4" t="str">
        <f ca="1">IFERROR(__xludf.DUMMYFUNCTION("""COMPUTED_VALUE"""),"Servicios transaccionales 2023")</f>
        <v>Servicios transaccionales 2023</v>
      </c>
      <c r="E27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1" s="4" t="str">
        <f ca="1">IFERROR(__xludf.DUMMYFUNCTION("""COMPUTED_VALUE"""),"Project")</f>
        <v>Project</v>
      </c>
      <c r="G271" s="4" t="str">
        <f ca="1">IFERROR(__xludf.DUMMYFUNCTION("""COMPUTED_VALUE"""),"Stock")</f>
        <v>Stock</v>
      </c>
      <c r="H271" s="4" t="str">
        <f ca="1">IFERROR(__xludf.DUMMYFUNCTION("""COMPUTED_VALUE"""),"4Q 2023")</f>
        <v>4Q 2023</v>
      </c>
      <c r="I271" s="131" t="str">
        <f ca="1">IFERROR(__xludf.DUMMYFUNCTION("""COMPUTED_VALUE"""),"nathiahayosara.amado-bbva.com")</f>
        <v>nathiahayosara.amado-bbva.com</v>
      </c>
      <c r="J271" s="131" t="str">
        <f ca="1">IFERROR(__xludf.DUMMYFUNCTION("""COMPUTED_VALUE"""),"jeissonandres.diaz.rodriguez-bbva.com")</f>
        <v>jeissonandres.diaz.rodriguez-bbva.com</v>
      </c>
      <c r="K271" s="131" t="str">
        <f ca="1">IFERROR(__xludf.DUMMYFUNCTION("""COMPUTED_VALUE"""),"elizabeth.diaz-bbva.com")</f>
        <v>elizabeth.diaz-bbva.com</v>
      </c>
      <c r="L271" s="4"/>
      <c r="M271" s="4"/>
      <c r="N271" s="4"/>
      <c r="O271" s="4" t="str">
        <f ca="1">IFERROR(__xludf.DUMMYFUNCTION("""COMPUTED_VALUE"""),"Waterfall")</f>
        <v>Waterfall</v>
      </c>
      <c r="P271" s="4" t="str">
        <f ca="1">IFERROR(__xludf.DUMMYFUNCTION("""COMPUTED_VALUE"""),"Tradicional Mesa Transaccional")</f>
        <v>Tradicional Mesa Transaccional</v>
      </c>
      <c r="Q271" s="4"/>
      <c r="R271" s="130" t="str">
        <f ca="1">IFERROR(__xludf.DUMMYFUNCTION("""COMPUTED_VALUE"""),"Enterprises")</f>
        <v>Enterprises</v>
      </c>
      <c r="S271" s="130" t="str">
        <f ca="1">IFERROR(__xludf.DUMMYFUNCTION("""COMPUTED_VALUE"""),"Strategic Review")</f>
        <v>Strategic Review</v>
      </c>
      <c r="T271" s="130" t="str">
        <f ca="1">IFERROR(__xludf.DUMMYFUNCTION("""COMPUTED_VALUE"""),"Otros")</f>
        <v>Otros</v>
      </c>
      <c r="U271" s="130" t="str">
        <f ca="1">IFERROR(__xludf.DUMMYFUNCTION("""COMPUTED_VALUE"""),"No Aplica")</f>
        <v>No Aplica</v>
      </c>
      <c r="V271" s="4" t="str">
        <f ca="1">IFERROR(__xludf.DUMMYFUNCTION("""COMPUTED_VALUE"""),"Otros")</f>
        <v>Otros</v>
      </c>
      <c r="W271" s="4">
        <f ca="1">IFERROR(__xludf.DUMMYFUNCTION("""COMPUTED_VALUE"""),3)</f>
        <v>3</v>
      </c>
      <c r="X271" s="4" t="str">
        <f ca="1">IFERROR(__xludf.DUMMYFUNCTION("""COMPUTED_VALUE"""),"08. Enterprise Transactionality")</f>
        <v>08. Enterprise Transactionality</v>
      </c>
      <c r="Y271" s="4" t="str">
        <f ca="1">IFERROR(__xludf.DUMMYFUNCTION("""COMPUTED_VALUE"""),"5.7.1 Keep the Bank Running")</f>
        <v>5.7.1 Keep the Bank Running</v>
      </c>
      <c r="Z271" s="132" t="str">
        <f ca="1">IFERROR(__xludf.DUMMYFUNCTION("""COMPUTED_VALUE"""),"625726")</f>
        <v>625726</v>
      </c>
      <c r="AA271" s="4" t="str">
        <f ca="1">IFERROR(__xludf.DUMMYFUNCTION("""COMPUTED_VALUE"""),"Web Service Municipio de Cúcuta")</f>
        <v>Web Service Municipio de Cúcuta</v>
      </c>
      <c r="AB271" s="4" t="str">
        <f ca="1">IFERROR(__xludf.DUMMYFUNCTION("""COMPUTED_VALUE"""),"El Municipio de Cúcuta solicita la implementación de Web Service con el fin de recaudar por los diferentes canales del banco (TF, CB, CW, CN,BM) con un nuevo proveedor.")</f>
        <v>El Municipio de Cúcuta solicita la implementación de Web Service con el fin de recaudar por los diferentes canales del banco (TF, CB, CW, CN,BM) con un nuevo proveedor.</v>
      </c>
      <c r="AC271" s="4" t="str">
        <f ca="1">IFERROR(__xludf.DUMMYFUNCTION("""COMPUTED_VALUE"""),"3Q 2023")</f>
        <v>3Q 2023</v>
      </c>
      <c r="AD271" s="4"/>
      <c r="AE271" s="4"/>
      <c r="AF271" s="4"/>
      <c r="AG271" s="4"/>
      <c r="AH271" s="4"/>
      <c r="AI271" s="4"/>
      <c r="AJ271" s="4"/>
      <c r="AK271" s="131" t="str">
        <f ca="1">IFERROR(__xludf.DUMMYFUNCTION("""COMPUTED_VALUE"""),"COLWSCONTA-1101")</f>
        <v>COLWSCONTA-1101</v>
      </c>
      <c r="AL271" s="4" t="str">
        <f ca="1">IFERROR(__xludf.DUMMYFUNCTION("""COMPUTED_VALUE"""),"Deployed")</f>
        <v>Deployed</v>
      </c>
      <c r="AM271" s="4"/>
      <c r="AN271" s="4" t="str">
        <f ca="1">IFERROR(__xludf.DUMMYFUNCTION("""COMPUTED_VALUE"""),"Entregable en desarrollo")</f>
        <v>Entregable en desarrollo</v>
      </c>
      <c r="AO271" s="4"/>
      <c r="AP271" s="4"/>
      <c r="AQ271" s="4"/>
      <c r="AR271" s="4" t="str">
        <f ca="1">IFERROR(__xludf.DUMMYFUNCTION("""COMPUTED_VALUE"""),"SDA aprobada en PPP Q1 2023")</f>
        <v>SDA aprobada en PPP Q1 2023</v>
      </c>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row>
    <row r="272" spans="1:132" x14ac:dyDescent="0.2">
      <c r="A272" s="4">
        <f ca="1">IFERROR(__xludf.DUMMYFUNCTION("""COMPUTED_VALUE"""),272)</f>
        <v>272</v>
      </c>
      <c r="B272" s="4">
        <f ca="1">IFERROR(__xludf.DUMMYFUNCTION("""COMPUTED_VALUE"""),251)</f>
        <v>251</v>
      </c>
      <c r="C272" s="4" t="str">
        <f ca="1">IFERROR(__xludf.DUMMYFUNCTION("""COMPUTED_VALUE"""),"SDATOOL-41553")</f>
        <v>SDATOOL-41553</v>
      </c>
      <c r="D272" s="4" t="str">
        <f ca="1">IFERROR(__xludf.DUMMYFUNCTION("""COMPUTED_VALUE"""),"Servicios transaccionales 2023")</f>
        <v>Servicios transaccionales 2023</v>
      </c>
      <c r="E27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2" s="4" t="str">
        <f ca="1">IFERROR(__xludf.DUMMYFUNCTION("""COMPUTED_VALUE"""),"Project")</f>
        <v>Project</v>
      </c>
      <c r="G272" s="4" t="str">
        <f ca="1">IFERROR(__xludf.DUMMYFUNCTION("""COMPUTED_VALUE"""),"Stock")</f>
        <v>Stock</v>
      </c>
      <c r="H272" s="4" t="str">
        <f ca="1">IFERROR(__xludf.DUMMYFUNCTION("""COMPUTED_VALUE"""),"4Q 2023")</f>
        <v>4Q 2023</v>
      </c>
      <c r="I272" s="131" t="str">
        <f ca="1">IFERROR(__xludf.DUMMYFUNCTION("""COMPUTED_VALUE"""),"nathiahayosara.amado-bbva.com")</f>
        <v>nathiahayosara.amado-bbva.com</v>
      </c>
      <c r="J272" s="131" t="str">
        <f ca="1">IFERROR(__xludf.DUMMYFUNCTION("""COMPUTED_VALUE"""),"jeissonandres.diaz.rodriguez-bbva.com")</f>
        <v>jeissonandres.diaz.rodriguez-bbva.com</v>
      </c>
      <c r="K272" s="131" t="str">
        <f ca="1">IFERROR(__xludf.DUMMYFUNCTION("""COMPUTED_VALUE"""),"elizabeth.diaz-bbva.com")</f>
        <v>elizabeth.diaz-bbva.com</v>
      </c>
      <c r="L272" s="4"/>
      <c r="M272" s="4"/>
      <c r="N272" s="4"/>
      <c r="O272" s="4" t="str">
        <f ca="1">IFERROR(__xludf.DUMMYFUNCTION("""COMPUTED_VALUE"""),"Waterfall")</f>
        <v>Waterfall</v>
      </c>
      <c r="P272" s="4" t="str">
        <f ca="1">IFERROR(__xludf.DUMMYFUNCTION("""COMPUTED_VALUE"""),"Tradicional Mesa Transaccional")</f>
        <v>Tradicional Mesa Transaccional</v>
      </c>
      <c r="Q272" s="4"/>
      <c r="R272" s="130" t="str">
        <f ca="1">IFERROR(__xludf.DUMMYFUNCTION("""COMPUTED_VALUE"""),"Enterprises")</f>
        <v>Enterprises</v>
      </c>
      <c r="S272" s="130" t="str">
        <f ca="1">IFERROR(__xludf.DUMMYFUNCTION("""COMPUTED_VALUE"""),"Strategic Review")</f>
        <v>Strategic Review</v>
      </c>
      <c r="T272" s="130" t="str">
        <f ca="1">IFERROR(__xludf.DUMMYFUNCTION("""COMPUTED_VALUE"""),"Otros")</f>
        <v>Otros</v>
      </c>
      <c r="U272" s="130" t="str">
        <f ca="1">IFERROR(__xludf.DUMMYFUNCTION("""COMPUTED_VALUE"""),"No Aplica")</f>
        <v>No Aplica</v>
      </c>
      <c r="V272" s="4" t="str">
        <f ca="1">IFERROR(__xludf.DUMMYFUNCTION("""COMPUTED_VALUE"""),"Otros")</f>
        <v>Otros</v>
      </c>
      <c r="W272" s="4">
        <f ca="1">IFERROR(__xludf.DUMMYFUNCTION("""COMPUTED_VALUE"""),3)</f>
        <v>3</v>
      </c>
      <c r="X272" s="4" t="str">
        <f ca="1">IFERROR(__xludf.DUMMYFUNCTION("""COMPUTED_VALUE"""),"08. Enterprise Transactionality")</f>
        <v>08. Enterprise Transactionality</v>
      </c>
      <c r="Y272" s="4" t="str">
        <f ca="1">IFERROR(__xludf.DUMMYFUNCTION("""COMPUTED_VALUE"""),"5.7.1 Keep the Bank Running")</f>
        <v>5.7.1 Keep the Bank Running</v>
      </c>
      <c r="Z272" s="132" t="str">
        <f ca="1">IFERROR(__xludf.DUMMYFUNCTION("""COMPUTED_VALUE"""),"710782")</f>
        <v>710782</v>
      </c>
      <c r="AA272" s="4" t="str">
        <f ca="1">IFERROR(__xludf.DUMMYFUNCTION("""COMPUTED_VALUE"""),"Ajuste en Referenciación en convenios con base de datos")</f>
        <v>Ajuste en Referenciación en convenios con base de datos</v>
      </c>
      <c r="AB272" s="4" t="str">
        <f ca="1">IFERROR(__xludf.DUMMYFUNCTION("""COMPUTED_VALUE"""),"Nuestro cliente Electrificadora de Santander requiere que para el recaudo con validación de base de Datos, los usuarios consulten con una referencia y el pago quede aplicado en el sistema del banco con otra referencia informada en el archivo de facturació"&amp;"n.")</f>
        <v>Nuestro cliente Electrificadora de Santander requiere que para el recaudo con validación de base de Datos, los usuarios consulten con una referencia y el pago quede aplicado en el sistema del banco con otra referencia informada en el archivo de facturación.</v>
      </c>
      <c r="AC272" s="4" t="str">
        <f ca="1">IFERROR(__xludf.DUMMYFUNCTION("""COMPUTED_VALUE"""),"1Q 2024")</f>
        <v>1Q 2024</v>
      </c>
      <c r="AD272" s="4"/>
      <c r="AE272" s="4"/>
      <c r="AF272" s="4"/>
      <c r="AG272" s="4"/>
      <c r="AH272" s="4"/>
      <c r="AI272" s="4"/>
      <c r="AJ272" s="4"/>
      <c r="AK272" s="131" t="str">
        <f ca="1">IFERROR(__xludf.DUMMYFUNCTION("""COMPUTED_VALUE"""),"COLWSCANAL-6436")</f>
        <v>COLWSCANAL-6436</v>
      </c>
      <c r="AL272" s="4" t="str">
        <f ca="1">IFERROR(__xludf.DUMMYFUNCTION("""COMPUTED_VALUE"""),"New")</f>
        <v>New</v>
      </c>
      <c r="AM272" s="4"/>
      <c r="AN272" s="4" t="str">
        <f ca="1">IFERROR(__xludf.DUMMYFUNCTION("""COMPUTED_VALUE"""),"Entregable en backlog")</f>
        <v>Entregable en backlog</v>
      </c>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row>
    <row r="273" spans="1:132" x14ac:dyDescent="0.2">
      <c r="A273" s="4">
        <f ca="1">IFERROR(__xludf.DUMMYFUNCTION("""COMPUTED_VALUE"""),273)</f>
        <v>273</v>
      </c>
      <c r="B273" s="4">
        <f ca="1">IFERROR(__xludf.DUMMYFUNCTION("""COMPUTED_VALUE"""),252)</f>
        <v>252</v>
      </c>
      <c r="C273" s="4" t="str">
        <f ca="1">IFERROR(__xludf.DUMMYFUNCTION("""COMPUTED_VALUE"""),"SDATOOL-41553")</f>
        <v>SDATOOL-41553</v>
      </c>
      <c r="D273" s="4" t="str">
        <f ca="1">IFERROR(__xludf.DUMMYFUNCTION("""COMPUTED_VALUE"""),"Servicios transaccionales 2023")</f>
        <v>Servicios transaccionales 2023</v>
      </c>
      <c r="E27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3" s="4" t="str">
        <f ca="1">IFERROR(__xludf.DUMMYFUNCTION("""COMPUTED_VALUE"""),"Project")</f>
        <v>Project</v>
      </c>
      <c r="G273" s="4" t="str">
        <f ca="1">IFERROR(__xludf.DUMMYFUNCTION("""COMPUTED_VALUE"""),"Stock")</f>
        <v>Stock</v>
      </c>
      <c r="H273" s="4" t="str">
        <f ca="1">IFERROR(__xludf.DUMMYFUNCTION("""COMPUTED_VALUE"""),"4Q 2023")</f>
        <v>4Q 2023</v>
      </c>
      <c r="I273" s="131" t="str">
        <f ca="1">IFERROR(__xludf.DUMMYFUNCTION("""COMPUTED_VALUE"""),"nathiahayosara.amado-bbva.com")</f>
        <v>nathiahayosara.amado-bbva.com</v>
      </c>
      <c r="J273" s="131" t="str">
        <f ca="1">IFERROR(__xludf.DUMMYFUNCTION("""COMPUTED_VALUE"""),"jeissonandres.diaz.rodriguez-bbva.com")</f>
        <v>jeissonandres.diaz.rodriguez-bbva.com</v>
      </c>
      <c r="K273" s="131" t="str">
        <f ca="1">IFERROR(__xludf.DUMMYFUNCTION("""COMPUTED_VALUE"""),"elizabeth.diaz-bbva.com")</f>
        <v>elizabeth.diaz-bbva.com</v>
      </c>
      <c r="L273" s="4"/>
      <c r="M273" s="4"/>
      <c r="N273" s="4"/>
      <c r="O273" s="4" t="str">
        <f ca="1">IFERROR(__xludf.DUMMYFUNCTION("""COMPUTED_VALUE"""),"Waterfall")</f>
        <v>Waterfall</v>
      </c>
      <c r="P273" s="4" t="str">
        <f ca="1">IFERROR(__xludf.DUMMYFUNCTION("""COMPUTED_VALUE"""),"Tradicional Mesa Transaccional")</f>
        <v>Tradicional Mesa Transaccional</v>
      </c>
      <c r="Q273" s="4"/>
      <c r="R273" s="130" t="str">
        <f ca="1">IFERROR(__xludf.DUMMYFUNCTION("""COMPUTED_VALUE"""),"Enterprises")</f>
        <v>Enterprises</v>
      </c>
      <c r="S273" s="130" t="str">
        <f ca="1">IFERROR(__xludf.DUMMYFUNCTION("""COMPUTED_VALUE"""),"Strategic Review")</f>
        <v>Strategic Review</v>
      </c>
      <c r="T273" s="130" t="str">
        <f ca="1">IFERROR(__xludf.DUMMYFUNCTION("""COMPUTED_VALUE"""),"Otros")</f>
        <v>Otros</v>
      </c>
      <c r="U273" s="130" t="str">
        <f ca="1">IFERROR(__xludf.DUMMYFUNCTION("""COMPUTED_VALUE"""),"No Aplica")</f>
        <v>No Aplica</v>
      </c>
      <c r="V273" s="4" t="str">
        <f ca="1">IFERROR(__xludf.DUMMYFUNCTION("""COMPUTED_VALUE"""),"Otros")</f>
        <v>Otros</v>
      </c>
      <c r="W273" s="4">
        <f ca="1">IFERROR(__xludf.DUMMYFUNCTION("""COMPUTED_VALUE"""),3)</f>
        <v>3</v>
      </c>
      <c r="X273" s="4" t="str">
        <f ca="1">IFERROR(__xludf.DUMMYFUNCTION("""COMPUTED_VALUE"""),"08. Enterprise Transactionality")</f>
        <v>08. Enterprise Transactionality</v>
      </c>
      <c r="Y273" s="4" t="str">
        <f ca="1">IFERROR(__xludf.DUMMYFUNCTION("""COMPUTED_VALUE"""),"5.7.1 Keep the Bank Running")</f>
        <v>5.7.1 Keep the Bank Running</v>
      </c>
      <c r="Z273" s="132" t="str">
        <f ca="1">IFERROR(__xludf.DUMMYFUNCTION("""COMPUTED_VALUE"""),"710781")</f>
        <v>710781</v>
      </c>
      <c r="AA273" s="4" t="str">
        <f ca="1">IFERROR(__xludf.DUMMYFUNCTION("""COMPUTED_VALUE"""),"Generación y envió Archivo Asobancaria Fines de Semana")</f>
        <v>Generación y envió Archivo Asobancaria Fines de Semana</v>
      </c>
      <c r="AB273" s="4" t="str">
        <f ca="1">IFERROR(__xludf.DUMMYFUNCTION("""COMPUTED_VALUE"""),"OBJETIVO: Nuestro cliente Electrificadora de Santander y WOM, requieren reporte de archivo Asobancaria los fines de semana y festivos para un mayor control contable.
ALCANCE: Contar con un desarrollo a la medida del cliente que le permita recaudar por BBV"&amp;"A por los diferentes canales y remitir información de los recaudos todos los días.")</f>
        <v>OBJETIVO: Nuestro cliente Electrificadora de Santander y WOM, requieren reporte de archivo Asobancaria los fines de semana y festivos para un mayor control contable.
ALCANCE: Contar con un desarrollo a la medida del cliente que le permita recaudar por BBVA por los diferentes canales y remitir información de los recaudos todos los días.</v>
      </c>
      <c r="AC273" s="4" t="str">
        <f ca="1">IFERROR(__xludf.DUMMYFUNCTION("""COMPUTED_VALUE"""),"1Q 2024")</f>
        <v>1Q 2024</v>
      </c>
      <c r="AD273" s="4"/>
      <c r="AE273" s="4"/>
      <c r="AF273" s="4"/>
      <c r="AG273" s="4"/>
      <c r="AH273" s="4"/>
      <c r="AI273" s="4"/>
      <c r="AJ273" s="4"/>
      <c r="AK273" s="131" t="str">
        <f ca="1">IFERROR(__xludf.DUMMYFUNCTION("""COMPUTED_VALUE"""),"COLWSCONTA-829")</f>
        <v>COLWSCONTA-829</v>
      </c>
      <c r="AL273" s="4" t="str">
        <f ca="1">IFERROR(__xludf.DUMMYFUNCTION("""COMPUTED_VALUE"""),"New")</f>
        <v>New</v>
      </c>
      <c r="AM273" s="4"/>
      <c r="AN273" s="4" t="str">
        <f ca="1">IFERROR(__xludf.DUMMYFUNCTION("""COMPUTED_VALUE"""),"Entregable en backlog")</f>
        <v>Entregable en backlog</v>
      </c>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row>
    <row r="274" spans="1:132" x14ac:dyDescent="0.2">
      <c r="A274" s="4">
        <f ca="1">IFERROR(__xludf.DUMMYFUNCTION("""COMPUTED_VALUE"""),274)</f>
        <v>274</v>
      </c>
      <c r="B274" s="4">
        <f ca="1">IFERROR(__xludf.DUMMYFUNCTION("""COMPUTED_VALUE"""),253)</f>
        <v>253</v>
      </c>
      <c r="C274" s="4" t="str">
        <f ca="1">IFERROR(__xludf.DUMMYFUNCTION("""COMPUTED_VALUE"""),"SDATOOL-41553")</f>
        <v>SDATOOL-41553</v>
      </c>
      <c r="D274" s="4" t="str">
        <f ca="1">IFERROR(__xludf.DUMMYFUNCTION("""COMPUTED_VALUE"""),"Servicios transaccionales 2023")</f>
        <v>Servicios transaccionales 2023</v>
      </c>
      <c r="E27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4" s="4" t="str">
        <f ca="1">IFERROR(__xludf.DUMMYFUNCTION("""COMPUTED_VALUE"""),"Project")</f>
        <v>Project</v>
      </c>
      <c r="G274" s="4" t="str">
        <f ca="1">IFERROR(__xludf.DUMMYFUNCTION("""COMPUTED_VALUE"""),"Stock")</f>
        <v>Stock</v>
      </c>
      <c r="H274" s="4" t="str">
        <f ca="1">IFERROR(__xludf.DUMMYFUNCTION("""COMPUTED_VALUE"""),"4Q 2023")</f>
        <v>4Q 2023</v>
      </c>
      <c r="I274" s="131" t="str">
        <f ca="1">IFERROR(__xludf.DUMMYFUNCTION("""COMPUTED_VALUE"""),"nathiahayosara.amado-bbva.com")</f>
        <v>nathiahayosara.amado-bbva.com</v>
      </c>
      <c r="J274" s="131" t="str">
        <f ca="1">IFERROR(__xludf.DUMMYFUNCTION("""COMPUTED_VALUE"""),"jeissonandres.diaz.rodriguez-bbva.com")</f>
        <v>jeissonandres.diaz.rodriguez-bbva.com</v>
      </c>
      <c r="K274" s="131" t="str">
        <f ca="1">IFERROR(__xludf.DUMMYFUNCTION("""COMPUTED_VALUE"""),"elizabeth.diaz-bbva.com")</f>
        <v>elizabeth.diaz-bbva.com</v>
      </c>
      <c r="L274" s="4"/>
      <c r="M274" s="4"/>
      <c r="N274" s="4"/>
      <c r="O274" s="4" t="str">
        <f ca="1">IFERROR(__xludf.DUMMYFUNCTION("""COMPUTED_VALUE"""),"Waterfall")</f>
        <v>Waterfall</v>
      </c>
      <c r="P274" s="4" t="str">
        <f ca="1">IFERROR(__xludf.DUMMYFUNCTION("""COMPUTED_VALUE"""),"Tradicional Mesa Transaccional")</f>
        <v>Tradicional Mesa Transaccional</v>
      </c>
      <c r="Q274" s="4"/>
      <c r="R274" s="130" t="str">
        <f ca="1">IFERROR(__xludf.DUMMYFUNCTION("""COMPUTED_VALUE"""),"Enterprises")</f>
        <v>Enterprises</v>
      </c>
      <c r="S274" s="130" t="str">
        <f ca="1">IFERROR(__xludf.DUMMYFUNCTION("""COMPUTED_VALUE"""),"Strategic Review")</f>
        <v>Strategic Review</v>
      </c>
      <c r="T274" s="130" t="str">
        <f ca="1">IFERROR(__xludf.DUMMYFUNCTION("""COMPUTED_VALUE"""),"Otros")</f>
        <v>Otros</v>
      </c>
      <c r="U274" s="130" t="str">
        <f ca="1">IFERROR(__xludf.DUMMYFUNCTION("""COMPUTED_VALUE"""),"No Aplica")</f>
        <v>No Aplica</v>
      </c>
      <c r="V274" s="4" t="str">
        <f ca="1">IFERROR(__xludf.DUMMYFUNCTION("""COMPUTED_VALUE"""),"Otros")</f>
        <v>Otros</v>
      </c>
      <c r="W274" s="4">
        <f ca="1">IFERROR(__xludf.DUMMYFUNCTION("""COMPUTED_VALUE"""),3)</f>
        <v>3</v>
      </c>
      <c r="X274" s="4" t="str">
        <f ca="1">IFERROR(__xludf.DUMMYFUNCTION("""COMPUTED_VALUE"""),"08. Enterprise Transactionality")</f>
        <v>08. Enterprise Transactionality</v>
      </c>
      <c r="Y274" s="4" t="str">
        <f ca="1">IFERROR(__xludf.DUMMYFUNCTION("""COMPUTED_VALUE"""),"5.7.1 Keep the Bank Running")</f>
        <v>5.7.1 Keep the Bank Running</v>
      </c>
      <c r="Z274" s="132" t="str">
        <f ca="1">IFERROR(__xludf.DUMMYFUNCTION("""COMPUTED_VALUE"""),"710592")</f>
        <v>710592</v>
      </c>
      <c r="AA274" s="4" t="str">
        <f ca="1">IFERROR(__xludf.DUMMYFUNCTION("""COMPUTED_VALUE"""),"WS AFINIA - CARIBE MAR DE LA COSTA SAS")</f>
        <v>WS AFINIA - CARIBE MAR DE LA COSTA SAS</v>
      </c>
      <c r="AB274" s="4" t="str">
        <f ca="1">IFERROR(__xludf.DUMMYFUNCTION("""COMPUTED_VALUE"""),"Se solicita la implementación de Web Service para el cliente Afinia, con el fin de recaudar por los diferentes canales del banco (TF, CB, CW, CN,BM)")</f>
        <v>Se solicita la implementación de Web Service para el cliente Afinia, con el fin de recaudar por los diferentes canales del banco (TF, CB, CW, CN,BM)</v>
      </c>
      <c r="AC274" s="4" t="str">
        <f ca="1">IFERROR(__xludf.DUMMYFUNCTION("""COMPUTED_VALUE"""),"2Q 2023")</f>
        <v>2Q 2023</v>
      </c>
      <c r="AD274" s="4"/>
      <c r="AE274" s="4"/>
      <c r="AF274" s="4"/>
      <c r="AG274" s="4"/>
      <c r="AH274" s="4"/>
      <c r="AI274" s="4"/>
      <c r="AJ274" s="4"/>
      <c r="AK274" s="131" t="str">
        <f ca="1">IFERROR(__xludf.DUMMYFUNCTION("""COMPUTED_VALUE"""),"COLWSCONTA-1448")</f>
        <v>COLWSCONTA-1448</v>
      </c>
      <c r="AL274" s="4" t="str">
        <f ca="1">IFERROR(__xludf.DUMMYFUNCTION("""COMPUTED_VALUE"""),"Test")</f>
        <v>Test</v>
      </c>
      <c r="AM274" s="4"/>
      <c r="AN274" s="4" t="str">
        <f ca="1">IFERROR(__xludf.DUMMYFUNCTION("""COMPUTED_VALUE"""),"Entregable en backlog")</f>
        <v>Entregable en backlog</v>
      </c>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row>
    <row r="275" spans="1:132" x14ac:dyDescent="0.2">
      <c r="A275" s="4">
        <f ca="1">IFERROR(__xludf.DUMMYFUNCTION("""COMPUTED_VALUE"""),275)</f>
        <v>275</v>
      </c>
      <c r="B275" s="4">
        <f ca="1">IFERROR(__xludf.DUMMYFUNCTION("""COMPUTED_VALUE"""),254)</f>
        <v>254</v>
      </c>
      <c r="C275" s="4" t="str">
        <f ca="1">IFERROR(__xludf.DUMMYFUNCTION("""COMPUTED_VALUE"""),"SDATOOL-41553")</f>
        <v>SDATOOL-41553</v>
      </c>
      <c r="D275" s="4" t="str">
        <f ca="1">IFERROR(__xludf.DUMMYFUNCTION("""COMPUTED_VALUE"""),"Servicios transaccionales 2023")</f>
        <v>Servicios transaccionales 2023</v>
      </c>
      <c r="E27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5" s="4" t="str">
        <f ca="1">IFERROR(__xludf.DUMMYFUNCTION("""COMPUTED_VALUE"""),"Project")</f>
        <v>Project</v>
      </c>
      <c r="G275" s="4" t="str">
        <f ca="1">IFERROR(__xludf.DUMMYFUNCTION("""COMPUTED_VALUE"""),"Stock")</f>
        <v>Stock</v>
      </c>
      <c r="H275" s="4" t="str">
        <f ca="1">IFERROR(__xludf.DUMMYFUNCTION("""COMPUTED_VALUE"""),"4Q 2023")</f>
        <v>4Q 2023</v>
      </c>
      <c r="I275" s="131" t="str">
        <f ca="1">IFERROR(__xludf.DUMMYFUNCTION("""COMPUTED_VALUE"""),"nathiahayosara.amado-bbva.com")</f>
        <v>nathiahayosara.amado-bbva.com</v>
      </c>
      <c r="J275" s="131" t="str">
        <f ca="1">IFERROR(__xludf.DUMMYFUNCTION("""COMPUTED_VALUE"""),"jeissonandres.diaz.rodriguez-bbva.com")</f>
        <v>jeissonandres.diaz.rodriguez-bbva.com</v>
      </c>
      <c r="K275" s="131" t="str">
        <f ca="1">IFERROR(__xludf.DUMMYFUNCTION("""COMPUTED_VALUE"""),"elizabeth.diaz-bbva.com")</f>
        <v>elizabeth.diaz-bbva.com</v>
      </c>
      <c r="L275" s="4"/>
      <c r="M275" s="4"/>
      <c r="N275" s="4"/>
      <c r="O275" s="4" t="str">
        <f ca="1">IFERROR(__xludf.DUMMYFUNCTION("""COMPUTED_VALUE"""),"Waterfall")</f>
        <v>Waterfall</v>
      </c>
      <c r="P275" s="4" t="str">
        <f ca="1">IFERROR(__xludf.DUMMYFUNCTION("""COMPUTED_VALUE"""),"Tradicional Mesa Transaccional")</f>
        <v>Tradicional Mesa Transaccional</v>
      </c>
      <c r="Q275" s="4"/>
      <c r="R275" s="130" t="str">
        <f ca="1">IFERROR(__xludf.DUMMYFUNCTION("""COMPUTED_VALUE"""),"Enterprises")</f>
        <v>Enterprises</v>
      </c>
      <c r="S275" s="130" t="str">
        <f ca="1">IFERROR(__xludf.DUMMYFUNCTION("""COMPUTED_VALUE"""),"Strategic Review")</f>
        <v>Strategic Review</v>
      </c>
      <c r="T275" s="130" t="str">
        <f ca="1">IFERROR(__xludf.DUMMYFUNCTION("""COMPUTED_VALUE"""),"Otros")</f>
        <v>Otros</v>
      </c>
      <c r="U275" s="130" t="str">
        <f ca="1">IFERROR(__xludf.DUMMYFUNCTION("""COMPUTED_VALUE"""),"No Aplica")</f>
        <v>No Aplica</v>
      </c>
      <c r="V275" s="4" t="str">
        <f ca="1">IFERROR(__xludf.DUMMYFUNCTION("""COMPUTED_VALUE"""),"Otros")</f>
        <v>Otros</v>
      </c>
      <c r="W275" s="4">
        <f ca="1">IFERROR(__xludf.DUMMYFUNCTION("""COMPUTED_VALUE"""),3)</f>
        <v>3</v>
      </c>
      <c r="X275" s="4" t="str">
        <f ca="1">IFERROR(__xludf.DUMMYFUNCTION("""COMPUTED_VALUE"""),"08. Enterprise Transactionality")</f>
        <v>08. Enterprise Transactionality</v>
      </c>
      <c r="Y275" s="4" t="str">
        <f ca="1">IFERROR(__xludf.DUMMYFUNCTION("""COMPUTED_VALUE"""),"5.7.1 Keep the Bank Running")</f>
        <v>5.7.1 Keep the Bank Running</v>
      </c>
      <c r="Z275" s="132" t="str">
        <f ca="1">IFERROR(__xludf.DUMMYFUNCTION("""COMPUTED_VALUE"""),"710777")</f>
        <v>710777</v>
      </c>
      <c r="AA275" s="4" t="str">
        <f ca="1">IFERROR(__xludf.DUMMYFUNCTION("""COMPUTED_VALUE"""),"WS Aguas de Barrancabermeja")</f>
        <v>WS Aguas de Barrancabermeja</v>
      </c>
      <c r="AB275" s="4" t="str">
        <f ca="1">IFERROR(__xludf.DUMMYFUNCTION("""COMPUTED_VALUE"""),"El cliente Aguas de Barrancabermeja requiere conexión por Web Service para poder recaudar en línea por los canales de Terminal Financiero, Banca Móvil, Corresponsales Bancarios, Net's, cliente maneja los siguientes convenios activos con el banco: 127")</f>
        <v>El cliente Aguas de Barrancabermeja requiere conexión por Web Service para poder recaudar en línea por los canales de Terminal Financiero, Banca Móvil, Corresponsales Bancarios, Net's, cliente maneja los siguientes convenios activos con el banco: 127</v>
      </c>
      <c r="AC275" s="4" t="str">
        <f ca="1">IFERROR(__xludf.DUMMYFUNCTION("""COMPUTED_VALUE"""),"2Q 2024")</f>
        <v>2Q 2024</v>
      </c>
      <c r="AD275" s="4"/>
      <c r="AE275" s="4"/>
      <c r="AF275" s="4"/>
      <c r="AG275" s="4"/>
      <c r="AH275" s="4"/>
      <c r="AI275" s="4"/>
      <c r="AJ275" s="4"/>
      <c r="AK275" s="131" t="str">
        <f ca="1">IFERROR(__xludf.DUMMYFUNCTION("""COMPUTED_VALUE"""),"COLWSCONTA-472")</f>
        <v>COLWSCONTA-472</v>
      </c>
      <c r="AL275" s="4" t="str">
        <f ca="1">IFERROR(__xludf.DUMMYFUNCTION("""COMPUTED_VALUE"""),"New")</f>
        <v>New</v>
      </c>
      <c r="AM275" s="4"/>
      <c r="AN275" s="4" t="str">
        <f ca="1">IFERROR(__xludf.DUMMYFUNCTION("""COMPUTED_VALUE"""),"Entregable en backlog")</f>
        <v>Entregable en backlog</v>
      </c>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row>
    <row r="276" spans="1:132" x14ac:dyDescent="0.2">
      <c r="A276" s="4">
        <f ca="1">IFERROR(__xludf.DUMMYFUNCTION("""COMPUTED_VALUE"""),276)</f>
        <v>276</v>
      </c>
      <c r="B276" s="4">
        <f ca="1">IFERROR(__xludf.DUMMYFUNCTION("""COMPUTED_VALUE"""),255)</f>
        <v>255</v>
      </c>
      <c r="C276" s="4" t="str">
        <f ca="1">IFERROR(__xludf.DUMMYFUNCTION("""COMPUTED_VALUE"""),"SDATOOL-41553")</f>
        <v>SDATOOL-41553</v>
      </c>
      <c r="D276" s="4" t="str">
        <f ca="1">IFERROR(__xludf.DUMMYFUNCTION("""COMPUTED_VALUE"""),"Servicios transaccionales 2023")</f>
        <v>Servicios transaccionales 2023</v>
      </c>
      <c r="E27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6" s="4" t="str">
        <f ca="1">IFERROR(__xludf.DUMMYFUNCTION("""COMPUTED_VALUE"""),"Project")</f>
        <v>Project</v>
      </c>
      <c r="G276" s="4" t="str">
        <f ca="1">IFERROR(__xludf.DUMMYFUNCTION("""COMPUTED_VALUE"""),"Stock")</f>
        <v>Stock</v>
      </c>
      <c r="H276" s="4" t="str">
        <f ca="1">IFERROR(__xludf.DUMMYFUNCTION("""COMPUTED_VALUE"""),"4Q 2023")</f>
        <v>4Q 2023</v>
      </c>
      <c r="I276" s="131" t="str">
        <f ca="1">IFERROR(__xludf.DUMMYFUNCTION("""COMPUTED_VALUE"""),"nathiahayosara.amado-bbva.com")</f>
        <v>nathiahayosara.amado-bbva.com</v>
      </c>
      <c r="J276" s="131" t="str">
        <f ca="1">IFERROR(__xludf.DUMMYFUNCTION("""COMPUTED_VALUE"""),"jeissonandres.diaz.rodriguez-bbva.com")</f>
        <v>jeissonandres.diaz.rodriguez-bbva.com</v>
      </c>
      <c r="K276" s="131" t="str">
        <f ca="1">IFERROR(__xludf.DUMMYFUNCTION("""COMPUTED_VALUE"""),"elizabeth.diaz-bbva.com")</f>
        <v>elizabeth.diaz-bbva.com</v>
      </c>
      <c r="L276" s="4"/>
      <c r="M276" s="4"/>
      <c r="N276" s="4"/>
      <c r="O276" s="4" t="str">
        <f ca="1">IFERROR(__xludf.DUMMYFUNCTION("""COMPUTED_VALUE"""),"Waterfall")</f>
        <v>Waterfall</v>
      </c>
      <c r="P276" s="4" t="str">
        <f ca="1">IFERROR(__xludf.DUMMYFUNCTION("""COMPUTED_VALUE"""),"Tradicional Mesa Transaccional")</f>
        <v>Tradicional Mesa Transaccional</v>
      </c>
      <c r="Q276" s="4"/>
      <c r="R276" s="130" t="str">
        <f ca="1">IFERROR(__xludf.DUMMYFUNCTION("""COMPUTED_VALUE"""),"Enterprises")</f>
        <v>Enterprises</v>
      </c>
      <c r="S276" s="130" t="str">
        <f ca="1">IFERROR(__xludf.DUMMYFUNCTION("""COMPUTED_VALUE"""),"Strategic Review")</f>
        <v>Strategic Review</v>
      </c>
      <c r="T276" s="130" t="str">
        <f ca="1">IFERROR(__xludf.DUMMYFUNCTION("""COMPUTED_VALUE"""),"Otros")</f>
        <v>Otros</v>
      </c>
      <c r="U276" s="130" t="str">
        <f ca="1">IFERROR(__xludf.DUMMYFUNCTION("""COMPUTED_VALUE"""),"No Aplica")</f>
        <v>No Aplica</v>
      </c>
      <c r="V276" s="4" t="str">
        <f ca="1">IFERROR(__xludf.DUMMYFUNCTION("""COMPUTED_VALUE"""),"Otros")</f>
        <v>Otros</v>
      </c>
      <c r="W276" s="4">
        <f ca="1">IFERROR(__xludf.DUMMYFUNCTION("""COMPUTED_VALUE"""),3)</f>
        <v>3</v>
      </c>
      <c r="X276" s="4" t="str">
        <f ca="1">IFERROR(__xludf.DUMMYFUNCTION("""COMPUTED_VALUE"""),"08. Enterprise Transactionality")</f>
        <v>08. Enterprise Transactionality</v>
      </c>
      <c r="Y276" s="4" t="str">
        <f ca="1">IFERROR(__xludf.DUMMYFUNCTION("""COMPUTED_VALUE"""),"5.7.1 Keep the Bank Running")</f>
        <v>5.7.1 Keep the Bank Running</v>
      </c>
      <c r="Z276" s="132" t="str">
        <f ca="1">IFERROR(__xludf.DUMMYFUNCTION("""COMPUTED_VALUE"""),"710776")</f>
        <v>710776</v>
      </c>
      <c r="AA276" s="4" t="str">
        <f ca="1">IFERROR(__xludf.DUMMYFUNCTION("""COMPUTED_VALUE"""),"WS AIR-E SAS")</f>
        <v>WS AIR-E SAS</v>
      </c>
      <c r="AB276" s="4" t="str">
        <f ca="1">IFERROR(__xludf.DUMMYFUNCTION("""COMPUTED_VALUE"""),"Cliente requiere implementación Web Service para el convenio 234, valida única referencia con opción de captura mixta (manual / codigo de barras), se requiere habilitar Web Service para los canales: TF, BM, NET, y corresponsales")</f>
        <v>Cliente requiere implementación Web Service para el convenio 234, valida única referencia con opción de captura mixta (manual / codigo de barras), se requiere habilitar Web Service para los canales: TF, BM, NET, y corresponsales</v>
      </c>
      <c r="AC276" s="4" t="str">
        <f ca="1">IFERROR(__xludf.DUMMYFUNCTION("""COMPUTED_VALUE"""),"2Q 2024")</f>
        <v>2Q 2024</v>
      </c>
      <c r="AD276" s="4"/>
      <c r="AE276" s="4"/>
      <c r="AF276" s="4"/>
      <c r="AG276" s="4"/>
      <c r="AH276" s="4"/>
      <c r="AI276" s="4"/>
      <c r="AJ276" s="4"/>
      <c r="AK276" s="131" t="str">
        <f ca="1">IFERROR(__xludf.DUMMYFUNCTION("""COMPUTED_VALUE"""),"COLWSCONTA-428")</f>
        <v>COLWSCONTA-428</v>
      </c>
      <c r="AL276" s="4" t="str">
        <f ca="1">IFERROR(__xludf.DUMMYFUNCTION("""COMPUTED_VALUE"""),"New")</f>
        <v>New</v>
      </c>
      <c r="AM276" s="4"/>
      <c r="AN276" s="4" t="str">
        <f ca="1">IFERROR(__xludf.DUMMYFUNCTION("""COMPUTED_VALUE"""),"Entregable en backlog")</f>
        <v>Entregable en backlog</v>
      </c>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row>
    <row r="277" spans="1:132" x14ac:dyDescent="0.2">
      <c r="A277" s="4">
        <f ca="1">IFERROR(__xludf.DUMMYFUNCTION("""COMPUTED_VALUE"""),277)</f>
        <v>277</v>
      </c>
      <c r="B277" s="4">
        <f ca="1">IFERROR(__xludf.DUMMYFUNCTION("""COMPUTED_VALUE"""),256)</f>
        <v>256</v>
      </c>
      <c r="C277" s="4" t="str">
        <f ca="1">IFERROR(__xludf.DUMMYFUNCTION("""COMPUTED_VALUE"""),"SDATOOL-41553")</f>
        <v>SDATOOL-41553</v>
      </c>
      <c r="D277" s="4" t="str">
        <f ca="1">IFERROR(__xludf.DUMMYFUNCTION("""COMPUTED_VALUE"""),"Servicios transaccionales 2023")</f>
        <v>Servicios transaccionales 2023</v>
      </c>
      <c r="E27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7" s="4" t="str">
        <f ca="1">IFERROR(__xludf.DUMMYFUNCTION("""COMPUTED_VALUE"""),"Project")</f>
        <v>Project</v>
      </c>
      <c r="G277" s="4" t="str">
        <f ca="1">IFERROR(__xludf.DUMMYFUNCTION("""COMPUTED_VALUE"""),"Stock")</f>
        <v>Stock</v>
      </c>
      <c r="H277" s="4" t="str">
        <f ca="1">IFERROR(__xludf.DUMMYFUNCTION("""COMPUTED_VALUE"""),"4Q 2023")</f>
        <v>4Q 2023</v>
      </c>
      <c r="I277" s="131" t="str">
        <f ca="1">IFERROR(__xludf.DUMMYFUNCTION("""COMPUTED_VALUE"""),"nathiahayosara.amado-bbva.com")</f>
        <v>nathiahayosara.amado-bbva.com</v>
      </c>
      <c r="J277" s="131" t="str">
        <f ca="1">IFERROR(__xludf.DUMMYFUNCTION("""COMPUTED_VALUE"""),"jeissonandres.diaz.rodriguez-bbva.com")</f>
        <v>jeissonandres.diaz.rodriguez-bbva.com</v>
      </c>
      <c r="K277" s="131" t="str">
        <f ca="1">IFERROR(__xludf.DUMMYFUNCTION("""COMPUTED_VALUE"""),"elizabeth.diaz-bbva.com")</f>
        <v>elizabeth.diaz-bbva.com</v>
      </c>
      <c r="L277" s="4"/>
      <c r="M277" s="4"/>
      <c r="N277" s="4"/>
      <c r="O277" s="4" t="str">
        <f ca="1">IFERROR(__xludf.DUMMYFUNCTION("""COMPUTED_VALUE"""),"Waterfall")</f>
        <v>Waterfall</v>
      </c>
      <c r="P277" s="4" t="str">
        <f ca="1">IFERROR(__xludf.DUMMYFUNCTION("""COMPUTED_VALUE"""),"Tradicional Mesa Transaccional")</f>
        <v>Tradicional Mesa Transaccional</v>
      </c>
      <c r="Q277" s="4"/>
      <c r="R277" s="130" t="str">
        <f ca="1">IFERROR(__xludf.DUMMYFUNCTION("""COMPUTED_VALUE"""),"Enterprises")</f>
        <v>Enterprises</v>
      </c>
      <c r="S277" s="130" t="str">
        <f ca="1">IFERROR(__xludf.DUMMYFUNCTION("""COMPUTED_VALUE"""),"Strategic Review")</f>
        <v>Strategic Review</v>
      </c>
      <c r="T277" s="130" t="str">
        <f ca="1">IFERROR(__xludf.DUMMYFUNCTION("""COMPUTED_VALUE"""),"Otros")</f>
        <v>Otros</v>
      </c>
      <c r="U277" s="130" t="str">
        <f ca="1">IFERROR(__xludf.DUMMYFUNCTION("""COMPUTED_VALUE"""),"No Aplica")</f>
        <v>No Aplica</v>
      </c>
      <c r="V277" s="4" t="str">
        <f ca="1">IFERROR(__xludf.DUMMYFUNCTION("""COMPUTED_VALUE"""),"Otros")</f>
        <v>Otros</v>
      </c>
      <c r="W277" s="4">
        <f ca="1">IFERROR(__xludf.DUMMYFUNCTION("""COMPUTED_VALUE"""),3)</f>
        <v>3</v>
      </c>
      <c r="X277" s="4" t="str">
        <f ca="1">IFERROR(__xludf.DUMMYFUNCTION("""COMPUTED_VALUE"""),"08. Enterprise Transactionality")</f>
        <v>08. Enterprise Transactionality</v>
      </c>
      <c r="Y277" s="4" t="str">
        <f ca="1">IFERROR(__xludf.DUMMYFUNCTION("""COMPUTED_VALUE"""),"5.7.1 Keep the Bank Running")</f>
        <v>5.7.1 Keep the Bank Running</v>
      </c>
      <c r="Z277" s="132" t="str">
        <f ca="1">IFERROR(__xludf.DUMMYFUNCTION("""COMPUTED_VALUE"""),"710779")</f>
        <v>710779</v>
      </c>
      <c r="AA277" s="4" t="str">
        <f ca="1">IFERROR(__xludf.DUMMYFUNCTION("""COMPUTED_VALUE"""),"WS Covinoc")</f>
        <v>WS Covinoc</v>
      </c>
      <c r="AB277" s="4" t="str">
        <f ca="1">IFERROR(__xludf.DUMMYFUNCTION("""COMPUTED_VALUE"""),"Se requiere la implementación de Web Service para que el cliente Covinoc pueda recaudar en línea por los canales de Terminal financiera, Banca Móvil, Corresponsales Bancarios, Net personas, Net Empresas, el cliente se encuentra en proceso de aperturar con"&amp;"venios.")</f>
        <v>Se requiere la implementación de Web Service para que el cliente Covinoc pueda recaudar en línea por los canales de Terminal financiera, Banca Móvil, Corresponsales Bancarios, Net personas, Net Empresas, el cliente se encuentra en proceso de aperturar convenios.</v>
      </c>
      <c r="AC277" s="4" t="str">
        <f ca="1">IFERROR(__xludf.DUMMYFUNCTION("""COMPUTED_VALUE"""),"2Q 2024")</f>
        <v>2Q 2024</v>
      </c>
      <c r="AD277" s="4"/>
      <c r="AE277" s="4"/>
      <c r="AF277" s="4"/>
      <c r="AG277" s="4"/>
      <c r="AH277" s="4"/>
      <c r="AI277" s="4"/>
      <c r="AJ277" s="4"/>
      <c r="AK277" s="131" t="str">
        <f ca="1">IFERROR(__xludf.DUMMYFUNCTION("""COMPUTED_VALUE"""),"COLWSCONTA-512")</f>
        <v>COLWSCONTA-512</v>
      </c>
      <c r="AL277" s="4" t="str">
        <f ca="1">IFERROR(__xludf.DUMMYFUNCTION("""COMPUTED_VALUE"""),"New")</f>
        <v>New</v>
      </c>
      <c r="AM277" s="4"/>
      <c r="AN277" s="4" t="str">
        <f ca="1">IFERROR(__xludf.DUMMYFUNCTION("""COMPUTED_VALUE"""),"Entregable en backlog")</f>
        <v>Entregable en backlog</v>
      </c>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row>
    <row r="278" spans="1:132" x14ac:dyDescent="0.2">
      <c r="A278" s="4">
        <f ca="1">IFERROR(__xludf.DUMMYFUNCTION("""COMPUTED_VALUE"""),278)</f>
        <v>278</v>
      </c>
      <c r="B278" s="4">
        <f ca="1">IFERROR(__xludf.DUMMYFUNCTION("""COMPUTED_VALUE"""),257)</f>
        <v>257</v>
      </c>
      <c r="C278" s="4" t="str">
        <f ca="1">IFERROR(__xludf.DUMMYFUNCTION("""COMPUTED_VALUE"""),"SDATOOL-41553")</f>
        <v>SDATOOL-41553</v>
      </c>
      <c r="D278" s="4" t="str">
        <f ca="1">IFERROR(__xludf.DUMMYFUNCTION("""COMPUTED_VALUE"""),"Servicios transaccionales 2023")</f>
        <v>Servicios transaccionales 2023</v>
      </c>
      <c r="E27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8" s="4" t="str">
        <f ca="1">IFERROR(__xludf.DUMMYFUNCTION("""COMPUTED_VALUE"""),"Project")</f>
        <v>Project</v>
      </c>
      <c r="G278" s="4" t="str">
        <f ca="1">IFERROR(__xludf.DUMMYFUNCTION("""COMPUTED_VALUE"""),"Stock")</f>
        <v>Stock</v>
      </c>
      <c r="H278" s="4" t="str">
        <f ca="1">IFERROR(__xludf.DUMMYFUNCTION("""COMPUTED_VALUE"""),"4Q 2023")</f>
        <v>4Q 2023</v>
      </c>
      <c r="I278" s="131" t="str">
        <f ca="1">IFERROR(__xludf.DUMMYFUNCTION("""COMPUTED_VALUE"""),"nathiahayosara.amado-bbva.com")</f>
        <v>nathiahayosara.amado-bbva.com</v>
      </c>
      <c r="J278" s="131" t="str">
        <f ca="1">IFERROR(__xludf.DUMMYFUNCTION("""COMPUTED_VALUE"""),"jeissonandres.diaz.rodriguez-bbva.com")</f>
        <v>jeissonandres.diaz.rodriguez-bbva.com</v>
      </c>
      <c r="K278" s="131" t="str">
        <f ca="1">IFERROR(__xludf.DUMMYFUNCTION("""COMPUTED_VALUE"""),"elizabeth.diaz-bbva.com")</f>
        <v>elizabeth.diaz-bbva.com</v>
      </c>
      <c r="L278" s="4"/>
      <c r="M278" s="4"/>
      <c r="N278" s="4"/>
      <c r="O278" s="4" t="str">
        <f ca="1">IFERROR(__xludf.DUMMYFUNCTION("""COMPUTED_VALUE"""),"Waterfall")</f>
        <v>Waterfall</v>
      </c>
      <c r="P278" s="4" t="str">
        <f ca="1">IFERROR(__xludf.DUMMYFUNCTION("""COMPUTED_VALUE"""),"Tradicional Mesa Transaccional")</f>
        <v>Tradicional Mesa Transaccional</v>
      </c>
      <c r="Q278" s="4"/>
      <c r="R278" s="130" t="str">
        <f ca="1">IFERROR(__xludf.DUMMYFUNCTION("""COMPUTED_VALUE"""),"Enterprises")</f>
        <v>Enterprises</v>
      </c>
      <c r="S278" s="130" t="str">
        <f ca="1">IFERROR(__xludf.DUMMYFUNCTION("""COMPUTED_VALUE"""),"Strategic Review")</f>
        <v>Strategic Review</v>
      </c>
      <c r="T278" s="130" t="str">
        <f ca="1">IFERROR(__xludf.DUMMYFUNCTION("""COMPUTED_VALUE"""),"Otros")</f>
        <v>Otros</v>
      </c>
      <c r="U278" s="130" t="str">
        <f ca="1">IFERROR(__xludf.DUMMYFUNCTION("""COMPUTED_VALUE"""),"No Aplica")</f>
        <v>No Aplica</v>
      </c>
      <c r="V278" s="4" t="str">
        <f ca="1">IFERROR(__xludf.DUMMYFUNCTION("""COMPUTED_VALUE"""),"Otros")</f>
        <v>Otros</v>
      </c>
      <c r="W278" s="4">
        <f ca="1">IFERROR(__xludf.DUMMYFUNCTION("""COMPUTED_VALUE"""),3)</f>
        <v>3</v>
      </c>
      <c r="X278" s="4" t="str">
        <f ca="1">IFERROR(__xludf.DUMMYFUNCTION("""COMPUTED_VALUE"""),"08. Enterprise Transactionality")</f>
        <v>08. Enterprise Transactionality</v>
      </c>
      <c r="Y278" s="4" t="str">
        <f ca="1">IFERROR(__xludf.DUMMYFUNCTION("""COMPUTED_VALUE"""),"5.7.1 Keep the Bank Running")</f>
        <v>5.7.1 Keep the Bank Running</v>
      </c>
      <c r="Z278" s="132" t="str">
        <f ca="1">IFERROR(__xludf.DUMMYFUNCTION("""COMPUTED_VALUE"""),"710780")</f>
        <v>710780</v>
      </c>
      <c r="AA278" s="4" t="str">
        <f ca="1">IFERROR(__xludf.DUMMYFUNCTION("""COMPUTED_VALUE"""),"WS Emserfusa")</f>
        <v>WS Emserfusa</v>
      </c>
      <c r="AB278" s="4" t="str">
        <f ca="1">IFERROR(__xludf.DUMMYFUNCTION("""COMPUTED_VALUE"""),"Se requiere la implementación de Web Service para que nuestro cliente EmserFusa pueda recaudar en línea por los canales de Terminal financiera, Banca Móvil, Corresponsales Bancarios, el cliente maneja el convenio 195 para el recaudo")</f>
        <v>Se requiere la implementación de Web Service para que nuestro cliente EmserFusa pueda recaudar en línea por los canales de Terminal financiera, Banca Móvil, Corresponsales Bancarios, el cliente maneja el convenio 195 para el recaudo</v>
      </c>
      <c r="AC278" s="4" t="str">
        <f ca="1">IFERROR(__xludf.DUMMYFUNCTION("""COMPUTED_VALUE"""),"1Q 2024")</f>
        <v>1Q 2024</v>
      </c>
      <c r="AD278" s="4"/>
      <c r="AE278" s="4"/>
      <c r="AF278" s="4"/>
      <c r="AG278" s="4"/>
      <c r="AH278" s="4"/>
      <c r="AI278" s="4"/>
      <c r="AJ278" s="4"/>
      <c r="AK278" s="131" t="str">
        <f ca="1">IFERROR(__xludf.DUMMYFUNCTION("""COMPUTED_VALUE"""),"COLWSCONTA-567")</f>
        <v>COLWSCONTA-567</v>
      </c>
      <c r="AL278" s="4" t="str">
        <f ca="1">IFERROR(__xludf.DUMMYFUNCTION("""COMPUTED_VALUE"""),"New")</f>
        <v>New</v>
      </c>
      <c r="AM278" s="4"/>
      <c r="AN278" s="4" t="str">
        <f ca="1">IFERROR(__xludf.DUMMYFUNCTION("""COMPUTED_VALUE"""),"Entregable en backlog")</f>
        <v>Entregable en backlog</v>
      </c>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row>
    <row r="279" spans="1:132" x14ac:dyDescent="0.2">
      <c r="A279" s="4">
        <f ca="1">IFERROR(__xludf.DUMMYFUNCTION("""COMPUTED_VALUE"""),279)</f>
        <v>279</v>
      </c>
      <c r="B279" s="4">
        <f ca="1">IFERROR(__xludf.DUMMYFUNCTION("""COMPUTED_VALUE"""),258)</f>
        <v>258</v>
      </c>
      <c r="C279" s="4" t="str">
        <f ca="1">IFERROR(__xludf.DUMMYFUNCTION("""COMPUTED_VALUE"""),"SDATOOL-41553")</f>
        <v>SDATOOL-41553</v>
      </c>
      <c r="D279" s="4" t="str">
        <f ca="1">IFERROR(__xludf.DUMMYFUNCTION("""COMPUTED_VALUE"""),"Servicios transaccionales 2023")</f>
        <v>Servicios transaccionales 2023</v>
      </c>
      <c r="E27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9" s="4" t="str">
        <f ca="1">IFERROR(__xludf.DUMMYFUNCTION("""COMPUTED_VALUE"""),"Project")</f>
        <v>Project</v>
      </c>
      <c r="G279" s="4" t="str">
        <f ca="1">IFERROR(__xludf.DUMMYFUNCTION("""COMPUTED_VALUE"""),"Stock")</f>
        <v>Stock</v>
      </c>
      <c r="H279" s="4" t="str">
        <f ca="1">IFERROR(__xludf.DUMMYFUNCTION("""COMPUTED_VALUE"""),"4Q 2023")</f>
        <v>4Q 2023</v>
      </c>
      <c r="I279" s="131" t="str">
        <f ca="1">IFERROR(__xludf.DUMMYFUNCTION("""COMPUTED_VALUE"""),"nathiahayosara.amado-bbva.com")</f>
        <v>nathiahayosara.amado-bbva.com</v>
      </c>
      <c r="J279" s="131" t="str">
        <f ca="1">IFERROR(__xludf.DUMMYFUNCTION("""COMPUTED_VALUE"""),"jeissonandres.diaz.rodriguez-bbva.com")</f>
        <v>jeissonandres.diaz.rodriguez-bbva.com</v>
      </c>
      <c r="K279" s="131" t="str">
        <f ca="1">IFERROR(__xludf.DUMMYFUNCTION("""COMPUTED_VALUE"""),"elizabeth.diaz-bbva.com")</f>
        <v>elizabeth.diaz-bbva.com</v>
      </c>
      <c r="L279" s="4"/>
      <c r="M279" s="4"/>
      <c r="N279" s="4"/>
      <c r="O279" s="4" t="str">
        <f ca="1">IFERROR(__xludf.DUMMYFUNCTION("""COMPUTED_VALUE"""),"Waterfall")</f>
        <v>Waterfall</v>
      </c>
      <c r="P279" s="4" t="str">
        <f ca="1">IFERROR(__xludf.DUMMYFUNCTION("""COMPUTED_VALUE"""),"Tradicional Mesa Transaccional")</f>
        <v>Tradicional Mesa Transaccional</v>
      </c>
      <c r="Q279" s="4"/>
      <c r="R279" s="130" t="str">
        <f ca="1">IFERROR(__xludf.DUMMYFUNCTION("""COMPUTED_VALUE"""),"Enterprises")</f>
        <v>Enterprises</v>
      </c>
      <c r="S279" s="130" t="str">
        <f ca="1">IFERROR(__xludf.DUMMYFUNCTION("""COMPUTED_VALUE"""),"Strategic Review")</f>
        <v>Strategic Review</v>
      </c>
      <c r="T279" s="130" t="str">
        <f ca="1">IFERROR(__xludf.DUMMYFUNCTION("""COMPUTED_VALUE"""),"Otros")</f>
        <v>Otros</v>
      </c>
      <c r="U279" s="130" t="str">
        <f ca="1">IFERROR(__xludf.DUMMYFUNCTION("""COMPUTED_VALUE"""),"No Aplica")</f>
        <v>No Aplica</v>
      </c>
      <c r="V279" s="4" t="str">
        <f ca="1">IFERROR(__xludf.DUMMYFUNCTION("""COMPUTED_VALUE"""),"Otros")</f>
        <v>Otros</v>
      </c>
      <c r="W279" s="4">
        <f ca="1">IFERROR(__xludf.DUMMYFUNCTION("""COMPUTED_VALUE"""),3)</f>
        <v>3</v>
      </c>
      <c r="X279" s="4" t="str">
        <f ca="1">IFERROR(__xludf.DUMMYFUNCTION("""COMPUTED_VALUE"""),"08. Enterprise Transactionality")</f>
        <v>08. Enterprise Transactionality</v>
      </c>
      <c r="Y279" s="4" t="str">
        <f ca="1">IFERROR(__xludf.DUMMYFUNCTION("""COMPUTED_VALUE"""),"5.7.1 Keep the Bank Running")</f>
        <v>5.7.1 Keep the Bank Running</v>
      </c>
      <c r="Z279" s="132" t="str">
        <f ca="1">IFERROR(__xludf.DUMMYFUNCTION("""COMPUTED_VALUE"""),"710672")</f>
        <v>710672</v>
      </c>
      <c r="AA279" s="4" t="str">
        <f ca="1">IFERROR(__xludf.DUMMYFUNCTION("""COMPUTED_VALUE"""),"WS Gobernación de Magdalena")</f>
        <v>WS Gobernación de Magdalena</v>
      </c>
      <c r="AB279" s="4" t="str">
        <f ca="1">IFERROR(__xludf.DUMMYFUNCTION("""COMPUTED_VALUE"""),"Nuestro cliente Gobernación del Magdalena Requiere la implementación de Web Service tipología 3 para que pueda recaudar en línea por los canales de Terminal financiera, Banca Móvil, Corresponsales Bancarios, Net personas, Net Empresas")</f>
        <v>Nuestro cliente Gobernación del Magdalena Requiere la implementación de Web Service tipología 3 para que pueda recaudar en línea por los canales de Terminal financiera, Banca Móvil, Corresponsales Bancarios, Net personas, Net Empresas</v>
      </c>
      <c r="AC279" s="4" t="str">
        <f ca="1">IFERROR(__xludf.DUMMYFUNCTION("""COMPUTED_VALUE"""),"1Q 2024")</f>
        <v>1Q 2024</v>
      </c>
      <c r="AD279" s="4"/>
      <c r="AE279" s="4"/>
      <c r="AF279" s="4"/>
      <c r="AG279" s="4"/>
      <c r="AH279" s="4"/>
      <c r="AI279" s="4"/>
      <c r="AJ279" s="4"/>
      <c r="AK279" s="131" t="str">
        <f ca="1">IFERROR(__xludf.DUMMYFUNCTION("""COMPUTED_VALUE"""),"COLWSCONTA-575")</f>
        <v>COLWSCONTA-575</v>
      </c>
      <c r="AL279" s="4" t="str">
        <f ca="1">IFERROR(__xludf.DUMMYFUNCTION("""COMPUTED_VALUE"""),"New")</f>
        <v>New</v>
      </c>
      <c r="AM279" s="4"/>
      <c r="AN279" s="4" t="str">
        <f ca="1">IFERROR(__xludf.DUMMYFUNCTION("""COMPUTED_VALUE"""),"Entregable en backlog")</f>
        <v>Entregable en backlog</v>
      </c>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row>
    <row r="280" spans="1:132" x14ac:dyDescent="0.2">
      <c r="A280" s="4">
        <f ca="1">IFERROR(__xludf.DUMMYFUNCTION("""COMPUTED_VALUE"""),280)</f>
        <v>280</v>
      </c>
      <c r="B280" s="4">
        <f ca="1">IFERROR(__xludf.DUMMYFUNCTION("""COMPUTED_VALUE"""),259)</f>
        <v>259</v>
      </c>
      <c r="C280" s="4" t="str">
        <f ca="1">IFERROR(__xludf.DUMMYFUNCTION("""COMPUTED_VALUE"""),"SDATOOL-41553")</f>
        <v>SDATOOL-41553</v>
      </c>
      <c r="D280" s="4" t="str">
        <f ca="1">IFERROR(__xludf.DUMMYFUNCTION("""COMPUTED_VALUE"""),"Servicios transaccionales 2023")</f>
        <v>Servicios transaccionales 2023</v>
      </c>
      <c r="E28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0" s="4" t="str">
        <f ca="1">IFERROR(__xludf.DUMMYFUNCTION("""COMPUTED_VALUE"""),"Project")</f>
        <v>Project</v>
      </c>
      <c r="G280" s="4" t="str">
        <f ca="1">IFERROR(__xludf.DUMMYFUNCTION("""COMPUTED_VALUE"""),"Stock")</f>
        <v>Stock</v>
      </c>
      <c r="H280" s="4" t="str">
        <f ca="1">IFERROR(__xludf.DUMMYFUNCTION("""COMPUTED_VALUE"""),"4Q 2023")</f>
        <v>4Q 2023</v>
      </c>
      <c r="I280" s="131" t="str">
        <f ca="1">IFERROR(__xludf.DUMMYFUNCTION("""COMPUTED_VALUE"""),"nathiahayosara.amado-bbva.com")</f>
        <v>nathiahayosara.amado-bbva.com</v>
      </c>
      <c r="J280" s="131" t="str">
        <f ca="1">IFERROR(__xludf.DUMMYFUNCTION("""COMPUTED_VALUE"""),"jeissonandres.diaz.rodriguez-bbva.com")</f>
        <v>jeissonandres.diaz.rodriguez-bbva.com</v>
      </c>
      <c r="K280" s="131" t="str">
        <f ca="1">IFERROR(__xludf.DUMMYFUNCTION("""COMPUTED_VALUE"""),"elizabeth.diaz-bbva.com")</f>
        <v>elizabeth.diaz-bbva.com</v>
      </c>
      <c r="L280" s="4"/>
      <c r="M280" s="4"/>
      <c r="N280" s="4"/>
      <c r="O280" s="4" t="str">
        <f ca="1">IFERROR(__xludf.DUMMYFUNCTION("""COMPUTED_VALUE"""),"Waterfall")</f>
        <v>Waterfall</v>
      </c>
      <c r="P280" s="4" t="str">
        <f ca="1">IFERROR(__xludf.DUMMYFUNCTION("""COMPUTED_VALUE"""),"Tradicional Mesa Transaccional")</f>
        <v>Tradicional Mesa Transaccional</v>
      </c>
      <c r="Q280" s="4"/>
      <c r="R280" s="130" t="str">
        <f ca="1">IFERROR(__xludf.DUMMYFUNCTION("""COMPUTED_VALUE"""),"Enterprises")</f>
        <v>Enterprises</v>
      </c>
      <c r="S280" s="130" t="str">
        <f ca="1">IFERROR(__xludf.DUMMYFUNCTION("""COMPUTED_VALUE"""),"Strategic Review")</f>
        <v>Strategic Review</v>
      </c>
      <c r="T280" s="130" t="str">
        <f ca="1">IFERROR(__xludf.DUMMYFUNCTION("""COMPUTED_VALUE"""),"Otros")</f>
        <v>Otros</v>
      </c>
      <c r="U280" s="130" t="str">
        <f ca="1">IFERROR(__xludf.DUMMYFUNCTION("""COMPUTED_VALUE"""),"No Aplica")</f>
        <v>No Aplica</v>
      </c>
      <c r="V280" s="4" t="str">
        <f ca="1">IFERROR(__xludf.DUMMYFUNCTION("""COMPUTED_VALUE"""),"Otros")</f>
        <v>Otros</v>
      </c>
      <c r="W280" s="4">
        <f ca="1">IFERROR(__xludf.DUMMYFUNCTION("""COMPUTED_VALUE"""),3)</f>
        <v>3</v>
      </c>
      <c r="X280" s="4" t="str">
        <f ca="1">IFERROR(__xludf.DUMMYFUNCTION("""COMPUTED_VALUE"""),"08. Enterprise Transactionality")</f>
        <v>08. Enterprise Transactionality</v>
      </c>
      <c r="Y280" s="4" t="str">
        <f ca="1">IFERROR(__xludf.DUMMYFUNCTION("""COMPUTED_VALUE"""),"5.7.1 Keep the Bank Running")</f>
        <v>5.7.1 Keep the Bank Running</v>
      </c>
      <c r="Z280" s="132" t="str">
        <f ca="1">IFERROR(__xludf.DUMMYFUNCTION("""COMPUTED_VALUE"""),"710778")</f>
        <v>710778</v>
      </c>
      <c r="AA280" s="4" t="str">
        <f ca="1">IFERROR(__xludf.DUMMYFUNCTION("""COMPUTED_VALUE"""),"WS Red Efectiva")</f>
        <v>WS Red Efectiva</v>
      </c>
      <c r="AB280" s="4" t="str">
        <f ca="1">IFERROR(__xludf.DUMMYFUNCTION("""COMPUTED_VALUE"""),"Se requiere al implementación de Web Service tipologia 3 (modelo cliente) para el recaudo por los canales del banco para nuestro cliente Red Efectiva")</f>
        <v>Se requiere al implementación de Web Service tipologia 3 (modelo cliente) para el recaudo por los canales del banco para nuestro cliente Red Efectiva</v>
      </c>
      <c r="AC280" s="4" t="str">
        <f ca="1">IFERROR(__xludf.DUMMYFUNCTION("""COMPUTED_VALUE"""),"4Q 2023")</f>
        <v>4Q 2023</v>
      </c>
      <c r="AD280" s="4"/>
      <c r="AE280" s="4"/>
      <c r="AF280" s="4"/>
      <c r="AG280" s="4"/>
      <c r="AH280" s="4"/>
      <c r="AI280" s="4"/>
      <c r="AJ280" s="4"/>
      <c r="AK280" s="131" t="str">
        <f ca="1">IFERROR(__xludf.DUMMYFUNCTION("""COMPUTED_VALUE"""),"COLWSCONTA-484")</f>
        <v>COLWSCONTA-484</v>
      </c>
      <c r="AL280" s="4" t="str">
        <f ca="1">IFERROR(__xludf.DUMMYFUNCTION("""COMPUTED_VALUE"""),"New")</f>
        <v>New</v>
      </c>
      <c r="AM280" s="4"/>
      <c r="AN280" s="4" t="str">
        <f ca="1">IFERROR(__xludf.DUMMYFUNCTION("""COMPUTED_VALUE"""),"Entregable en backlog")</f>
        <v>Entregable en backlog</v>
      </c>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row>
    <row r="281" spans="1:132" x14ac:dyDescent="0.2">
      <c r="A281" s="4">
        <f ca="1">IFERROR(__xludf.DUMMYFUNCTION("""COMPUTED_VALUE"""),281)</f>
        <v>281</v>
      </c>
      <c r="B281" s="4">
        <f ca="1">IFERROR(__xludf.DUMMYFUNCTION("""COMPUTED_VALUE"""),260)</f>
        <v>260</v>
      </c>
      <c r="C281" s="4" t="str">
        <f ca="1">IFERROR(__xludf.DUMMYFUNCTION("""COMPUTED_VALUE"""),"SDATOOL-41553")</f>
        <v>SDATOOL-41553</v>
      </c>
      <c r="D281" s="4" t="str">
        <f ca="1">IFERROR(__xludf.DUMMYFUNCTION("""COMPUTED_VALUE"""),"Servicios transaccionales 2023")</f>
        <v>Servicios transaccionales 2023</v>
      </c>
      <c r="E28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1" s="4" t="str">
        <f ca="1">IFERROR(__xludf.DUMMYFUNCTION("""COMPUTED_VALUE"""),"Project")</f>
        <v>Project</v>
      </c>
      <c r="G281" s="4" t="str">
        <f ca="1">IFERROR(__xludf.DUMMYFUNCTION("""COMPUTED_VALUE"""),"Stock")</f>
        <v>Stock</v>
      </c>
      <c r="H281" s="4" t="str">
        <f ca="1">IFERROR(__xludf.DUMMYFUNCTION("""COMPUTED_VALUE"""),"4Q 2023")</f>
        <v>4Q 2023</v>
      </c>
      <c r="I281" s="131" t="str">
        <f ca="1">IFERROR(__xludf.DUMMYFUNCTION("""COMPUTED_VALUE"""),"nathiahayosara.amado-bbva.com")</f>
        <v>nathiahayosara.amado-bbva.com</v>
      </c>
      <c r="J281" s="131" t="str">
        <f ca="1">IFERROR(__xludf.DUMMYFUNCTION("""COMPUTED_VALUE"""),"jeissonandres.diaz.rodriguez-bbva.com")</f>
        <v>jeissonandres.diaz.rodriguez-bbva.com</v>
      </c>
      <c r="K281" s="131" t="str">
        <f ca="1">IFERROR(__xludf.DUMMYFUNCTION("""COMPUTED_VALUE"""),"elizabeth.diaz-bbva.com")</f>
        <v>elizabeth.diaz-bbva.com</v>
      </c>
      <c r="L281" s="4"/>
      <c r="M281" s="4"/>
      <c r="N281" s="4"/>
      <c r="O281" s="4" t="str">
        <f ca="1">IFERROR(__xludf.DUMMYFUNCTION("""COMPUTED_VALUE"""),"Waterfall")</f>
        <v>Waterfall</v>
      </c>
      <c r="P281" s="4" t="str">
        <f ca="1">IFERROR(__xludf.DUMMYFUNCTION("""COMPUTED_VALUE"""),"Tradicional Mesa Transaccional")</f>
        <v>Tradicional Mesa Transaccional</v>
      </c>
      <c r="Q281" s="4"/>
      <c r="R281" s="130" t="str">
        <f ca="1">IFERROR(__xludf.DUMMYFUNCTION("""COMPUTED_VALUE"""),"Enterprises")</f>
        <v>Enterprises</v>
      </c>
      <c r="S281" s="130" t="str">
        <f ca="1">IFERROR(__xludf.DUMMYFUNCTION("""COMPUTED_VALUE"""),"Strategic Review")</f>
        <v>Strategic Review</v>
      </c>
      <c r="T281" s="130" t="str">
        <f ca="1">IFERROR(__xludf.DUMMYFUNCTION("""COMPUTED_VALUE"""),"Otros")</f>
        <v>Otros</v>
      </c>
      <c r="U281" s="130" t="str">
        <f ca="1">IFERROR(__xludf.DUMMYFUNCTION("""COMPUTED_VALUE"""),"No Aplica")</f>
        <v>No Aplica</v>
      </c>
      <c r="V281" s="4" t="str">
        <f ca="1">IFERROR(__xludf.DUMMYFUNCTION("""COMPUTED_VALUE"""),"Otros")</f>
        <v>Otros</v>
      </c>
      <c r="W281" s="4">
        <f ca="1">IFERROR(__xludf.DUMMYFUNCTION("""COMPUTED_VALUE"""),3)</f>
        <v>3</v>
      </c>
      <c r="X281" s="4" t="str">
        <f ca="1">IFERROR(__xludf.DUMMYFUNCTION("""COMPUTED_VALUE"""),"08. Enterprise Transactionality")</f>
        <v>08. Enterprise Transactionality</v>
      </c>
      <c r="Y281" s="4" t="str">
        <f ca="1">IFERROR(__xludf.DUMMYFUNCTION("""COMPUTED_VALUE"""),"5.7.1 Keep the Bank Running")</f>
        <v>5.7.1 Keep the Bank Running</v>
      </c>
      <c r="Z281" s="132" t="str">
        <f ca="1">IFERROR(__xludf.DUMMYFUNCTION("""COMPUTED_VALUE"""),"711746")</f>
        <v>711746</v>
      </c>
      <c r="AA281" s="4" t="str">
        <f ca="1">IFERROR(__xludf.DUMMYFUNCTION("""COMPUTED_VALUE"""),"Pruebas Calidad Integración América Mcug y 0021")</f>
        <v>Pruebas Calidad Integración América Mcug y 0021</v>
      </c>
      <c r="AB281"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81" s="4" t="str">
        <f ca="1">IFERROR(__xludf.DUMMYFUNCTION("""COMPUTED_VALUE"""),"2Q 2023")</f>
        <v>2Q 2023</v>
      </c>
      <c r="AD281" s="4"/>
      <c r="AE281" s="4"/>
      <c r="AF281" s="4"/>
      <c r="AG281" s="4"/>
      <c r="AH281" s="4"/>
      <c r="AI281" s="4"/>
      <c r="AJ281" s="4"/>
      <c r="AK281" s="131" t="str">
        <f ca="1">IFERROR(__xludf.DUMMYFUNCTION("""COMPUTED_VALUE"""),"COLWSCANAL-11448")</f>
        <v>COLWSCANAL-11448</v>
      </c>
      <c r="AL281" s="4" t="str">
        <f ca="1">IFERROR(__xludf.DUMMYFUNCTION("""COMPUTED_VALUE"""),"En progreso")</f>
        <v>En progreso</v>
      </c>
      <c r="AM281" s="4"/>
      <c r="AN281" s="4" t="str">
        <f ca="1">IFERROR(__xludf.DUMMYFUNCTION("""COMPUTED_VALUE"""),"Entregable en backlog")</f>
        <v>Entregable en backlog</v>
      </c>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row>
    <row r="282" spans="1:132" x14ac:dyDescent="0.2">
      <c r="A282" s="4">
        <f ca="1">IFERROR(__xludf.DUMMYFUNCTION("""COMPUTED_VALUE"""),282)</f>
        <v>282</v>
      </c>
      <c r="B282" s="4">
        <f ca="1">IFERROR(__xludf.DUMMYFUNCTION("""COMPUTED_VALUE"""),261)</f>
        <v>261</v>
      </c>
      <c r="C282" s="4" t="str">
        <f ca="1">IFERROR(__xludf.DUMMYFUNCTION("""COMPUTED_VALUE"""),"SDATOOL-41553")</f>
        <v>SDATOOL-41553</v>
      </c>
      <c r="D282" s="4" t="str">
        <f ca="1">IFERROR(__xludf.DUMMYFUNCTION("""COMPUTED_VALUE"""),"Servicios transaccionales 2023")</f>
        <v>Servicios transaccionales 2023</v>
      </c>
      <c r="E28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2" s="4" t="str">
        <f ca="1">IFERROR(__xludf.DUMMYFUNCTION("""COMPUTED_VALUE"""),"Project")</f>
        <v>Project</v>
      </c>
      <c r="G282" s="4" t="str">
        <f ca="1">IFERROR(__xludf.DUMMYFUNCTION("""COMPUTED_VALUE"""),"Stock")</f>
        <v>Stock</v>
      </c>
      <c r="H282" s="4" t="str">
        <f ca="1">IFERROR(__xludf.DUMMYFUNCTION("""COMPUTED_VALUE"""),"4Q 2023")</f>
        <v>4Q 2023</v>
      </c>
      <c r="I282" s="131" t="str">
        <f ca="1">IFERROR(__xludf.DUMMYFUNCTION("""COMPUTED_VALUE"""),"nathiahayosara.amado-bbva.com")</f>
        <v>nathiahayosara.amado-bbva.com</v>
      </c>
      <c r="J282" s="131" t="str">
        <f ca="1">IFERROR(__xludf.DUMMYFUNCTION("""COMPUTED_VALUE"""),"jeissonandres.diaz.rodriguez-bbva.com")</f>
        <v>jeissonandres.diaz.rodriguez-bbva.com</v>
      </c>
      <c r="K282" s="131" t="str">
        <f ca="1">IFERROR(__xludf.DUMMYFUNCTION("""COMPUTED_VALUE"""),"elizabeth.diaz-bbva.com")</f>
        <v>elizabeth.diaz-bbva.com</v>
      </c>
      <c r="L282" s="4"/>
      <c r="M282" s="4"/>
      <c r="N282" s="4"/>
      <c r="O282" s="4" t="str">
        <f ca="1">IFERROR(__xludf.DUMMYFUNCTION("""COMPUTED_VALUE"""),"Waterfall")</f>
        <v>Waterfall</v>
      </c>
      <c r="P282" s="4" t="str">
        <f ca="1">IFERROR(__xludf.DUMMYFUNCTION("""COMPUTED_VALUE"""),"Tradicional Mesa Transaccional")</f>
        <v>Tradicional Mesa Transaccional</v>
      </c>
      <c r="Q282" s="4"/>
      <c r="R282" s="130" t="str">
        <f ca="1">IFERROR(__xludf.DUMMYFUNCTION("""COMPUTED_VALUE"""),"Enterprises")</f>
        <v>Enterprises</v>
      </c>
      <c r="S282" s="130" t="str">
        <f ca="1">IFERROR(__xludf.DUMMYFUNCTION("""COMPUTED_VALUE"""),"Strategic Review")</f>
        <v>Strategic Review</v>
      </c>
      <c r="T282" s="130" t="str">
        <f ca="1">IFERROR(__xludf.DUMMYFUNCTION("""COMPUTED_VALUE"""),"Otros")</f>
        <v>Otros</v>
      </c>
      <c r="U282" s="130" t="str">
        <f ca="1">IFERROR(__xludf.DUMMYFUNCTION("""COMPUTED_VALUE"""),"No Aplica")</f>
        <v>No Aplica</v>
      </c>
      <c r="V282" s="4" t="str">
        <f ca="1">IFERROR(__xludf.DUMMYFUNCTION("""COMPUTED_VALUE"""),"Otros")</f>
        <v>Otros</v>
      </c>
      <c r="W282" s="4">
        <f ca="1">IFERROR(__xludf.DUMMYFUNCTION("""COMPUTED_VALUE"""),3)</f>
        <v>3</v>
      </c>
      <c r="X282" s="4" t="str">
        <f ca="1">IFERROR(__xludf.DUMMYFUNCTION("""COMPUTED_VALUE"""),"08. Enterprise Transactionality")</f>
        <v>08. Enterprise Transactionality</v>
      </c>
      <c r="Y282" s="4" t="str">
        <f ca="1">IFERROR(__xludf.DUMMYFUNCTION("""COMPUTED_VALUE"""),"5.7.1 Keep the Bank Running")</f>
        <v>5.7.1 Keep the Bank Running</v>
      </c>
      <c r="Z282" s="132" t="str">
        <f ca="1">IFERROR(__xludf.DUMMYFUNCTION("""COMPUTED_VALUE"""),"710775")</f>
        <v>710775</v>
      </c>
      <c r="AA282" s="4" t="str">
        <f ca="1">IFERROR(__xludf.DUMMYFUNCTION("""COMPUTED_VALUE"""),"WS Universidad Católica Manizales")</f>
        <v>WS Universidad Católica Manizales</v>
      </c>
      <c r="AB282" s="4" t="str">
        <f ca="1">IFERROR(__xludf.DUMMYFUNCTION("""COMPUTED_VALUE"""),"Nuestro Universidad Católica De Manizales Requiere la implementación de Web Service modelo banco para que pueda recaudar en línea por los canales de Terminal financiera, Banca Móvil, Corresponsales Bancarios, Net personas, el cliente maneja los siguientes"&amp;" convenios activos con el banco: 3054")</f>
        <v>Nuestro Universidad Católica De Manizales Requiere la implementación de Web Service modelo banco para que pueda recaudar en línea por los canales de Terminal financiera, Banca Móvil, Corresponsales Bancarios, Net personas, el cliente maneja los siguientes convenios activos con el banco: 3054</v>
      </c>
      <c r="AC282" s="4" t="str">
        <f ca="1">IFERROR(__xludf.DUMMYFUNCTION("""COMPUTED_VALUE"""),"3Q 2023")</f>
        <v>3Q 2023</v>
      </c>
      <c r="AD282" s="4"/>
      <c r="AE282" s="4"/>
      <c r="AF282" s="4"/>
      <c r="AG282" s="4"/>
      <c r="AH282" s="4"/>
      <c r="AI282" s="4"/>
      <c r="AJ282" s="4"/>
      <c r="AK282" s="131" t="str">
        <f ca="1">IFERROR(__xludf.DUMMYFUNCTION("""COMPUTED_VALUE"""),"COLWSCONTA-363")</f>
        <v>COLWSCONTA-363</v>
      </c>
      <c r="AL282" s="4" t="str">
        <f ca="1">IFERROR(__xludf.DUMMYFUNCTION("""COMPUTED_VALUE"""),"En progreso")</f>
        <v>En progreso</v>
      </c>
      <c r="AM282" s="4"/>
      <c r="AN282" s="4" t="str">
        <f ca="1">IFERROR(__xludf.DUMMYFUNCTION("""COMPUTED_VALUE"""),"Entregable en Conceptualización")</f>
        <v>Entregable en Conceptualización</v>
      </c>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row>
    <row r="283" spans="1:132" x14ac:dyDescent="0.2">
      <c r="A283" s="4">
        <f ca="1">IFERROR(__xludf.DUMMYFUNCTION("""COMPUTED_VALUE"""),283)</f>
        <v>283</v>
      </c>
      <c r="B283" s="4">
        <f ca="1">IFERROR(__xludf.DUMMYFUNCTION("""COMPUTED_VALUE"""),262)</f>
        <v>262</v>
      </c>
      <c r="C283" s="4" t="str">
        <f ca="1">IFERROR(__xludf.DUMMYFUNCTION("""COMPUTED_VALUE"""),"SDATOOL-41553")</f>
        <v>SDATOOL-41553</v>
      </c>
      <c r="D283" s="4" t="str">
        <f ca="1">IFERROR(__xludf.DUMMYFUNCTION("""COMPUTED_VALUE"""),"Servicios transaccionales 2023")</f>
        <v>Servicios transaccionales 2023</v>
      </c>
      <c r="E28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3" s="4" t="str">
        <f ca="1">IFERROR(__xludf.DUMMYFUNCTION("""COMPUTED_VALUE"""),"Project")</f>
        <v>Project</v>
      </c>
      <c r="G283" s="4" t="str">
        <f ca="1">IFERROR(__xludf.DUMMYFUNCTION("""COMPUTED_VALUE"""),"Stock")</f>
        <v>Stock</v>
      </c>
      <c r="H283" s="4" t="str">
        <f ca="1">IFERROR(__xludf.DUMMYFUNCTION("""COMPUTED_VALUE"""),"4Q 2023")</f>
        <v>4Q 2023</v>
      </c>
      <c r="I283" s="131" t="str">
        <f ca="1">IFERROR(__xludf.DUMMYFUNCTION("""COMPUTED_VALUE"""),"nathiahayosara.amado-bbva.com")</f>
        <v>nathiahayosara.amado-bbva.com</v>
      </c>
      <c r="J283" s="131" t="str">
        <f ca="1">IFERROR(__xludf.DUMMYFUNCTION("""COMPUTED_VALUE"""),"jeissonandres.diaz.rodriguez-bbva.com")</f>
        <v>jeissonandres.diaz.rodriguez-bbva.com</v>
      </c>
      <c r="K283" s="131" t="str">
        <f ca="1">IFERROR(__xludf.DUMMYFUNCTION("""COMPUTED_VALUE"""),"elizabeth.diaz-bbva.com")</f>
        <v>elizabeth.diaz-bbva.com</v>
      </c>
      <c r="L283" s="4"/>
      <c r="M283" s="4"/>
      <c r="N283" s="4"/>
      <c r="O283" s="4" t="str">
        <f ca="1">IFERROR(__xludf.DUMMYFUNCTION("""COMPUTED_VALUE"""),"Waterfall")</f>
        <v>Waterfall</v>
      </c>
      <c r="P283" s="4" t="str">
        <f ca="1">IFERROR(__xludf.DUMMYFUNCTION("""COMPUTED_VALUE"""),"Tradicional Mesa Transaccional")</f>
        <v>Tradicional Mesa Transaccional</v>
      </c>
      <c r="Q283" s="4"/>
      <c r="R283" s="130" t="str">
        <f ca="1">IFERROR(__xludf.DUMMYFUNCTION("""COMPUTED_VALUE"""),"Enterprises")</f>
        <v>Enterprises</v>
      </c>
      <c r="S283" s="130" t="str">
        <f ca="1">IFERROR(__xludf.DUMMYFUNCTION("""COMPUTED_VALUE"""),"Strategic Review")</f>
        <v>Strategic Review</v>
      </c>
      <c r="T283" s="130" t="str">
        <f ca="1">IFERROR(__xludf.DUMMYFUNCTION("""COMPUTED_VALUE"""),"Otros")</f>
        <v>Otros</v>
      </c>
      <c r="U283" s="130" t="str">
        <f ca="1">IFERROR(__xludf.DUMMYFUNCTION("""COMPUTED_VALUE"""),"No Aplica")</f>
        <v>No Aplica</v>
      </c>
      <c r="V283" s="4" t="str">
        <f ca="1">IFERROR(__xludf.DUMMYFUNCTION("""COMPUTED_VALUE"""),"Otros")</f>
        <v>Otros</v>
      </c>
      <c r="W283" s="4">
        <f ca="1">IFERROR(__xludf.DUMMYFUNCTION("""COMPUTED_VALUE"""),3)</f>
        <v>3</v>
      </c>
      <c r="X283" s="4" t="str">
        <f ca="1">IFERROR(__xludf.DUMMYFUNCTION("""COMPUTED_VALUE"""),"08. Enterprise Transactionality")</f>
        <v>08. Enterprise Transactionality</v>
      </c>
      <c r="Y283" s="4" t="str">
        <f ca="1">IFERROR(__xludf.DUMMYFUNCTION("""COMPUTED_VALUE"""),"5.7.1 Keep the Bank Running")</f>
        <v>5.7.1 Keep the Bank Running</v>
      </c>
      <c r="Z283" s="132" t="str">
        <f ca="1">IFERROR(__xludf.DUMMYFUNCTION("""COMPUTED_VALUE"""),"712295")</f>
        <v>712295</v>
      </c>
      <c r="AA283" s="4" t="str">
        <f ca="1">IFERROR(__xludf.DUMMYFUNCTION("""COMPUTED_VALUE"""),"Ajuste WS WOM")</f>
        <v>Ajuste WS WOM</v>
      </c>
      <c r="AB283" s="4" t="str">
        <f ca="1">IFERROR(__xludf.DUMMYFUNCTION("""COMPUTED_VALUE"""),"Se requiere el ajuste a los desarrollos Web Service para recaudo con el objetivo de enviar el numero de convenio de forma industrializada")</f>
        <v>Se requiere el ajuste a los desarrollos Web Service para recaudo con el objetivo de enviar el numero de convenio de forma industrializada</v>
      </c>
      <c r="AC283" s="4" t="str">
        <f ca="1">IFERROR(__xludf.DUMMYFUNCTION("""COMPUTED_VALUE"""),"3Q 2023")</f>
        <v>3Q 2023</v>
      </c>
      <c r="AD283" s="4"/>
      <c r="AE283" s="4"/>
      <c r="AF283" s="4"/>
      <c r="AG283" s="4"/>
      <c r="AH283" s="4"/>
      <c r="AI283" s="4"/>
      <c r="AJ283" s="4"/>
      <c r="AK283" s="4" t="str">
        <f ca="1">IFERROR(__xludf.DUMMYFUNCTION("""COMPUTED_VALUE"""),"Sin asignar")</f>
        <v>Sin asignar</v>
      </c>
      <c r="AL283" s="4" t="str">
        <f ca="1">IFERROR(__xludf.DUMMYFUNCTION("""COMPUTED_VALUE"""),"Sin asignar")</f>
        <v>Sin asignar</v>
      </c>
      <c r="AM283" s="4"/>
      <c r="AN283" s="4" t="str">
        <f ca="1">IFERROR(__xludf.DUMMYFUNCTION("""COMPUTED_VALUE"""),"Entregable en backlog")</f>
        <v>Entregable en backlog</v>
      </c>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row>
    <row r="284" spans="1:132" x14ac:dyDescent="0.2">
      <c r="A284" s="4">
        <f ca="1">IFERROR(__xludf.DUMMYFUNCTION("""COMPUTED_VALUE"""),284)</f>
        <v>284</v>
      </c>
      <c r="B284" s="4">
        <f ca="1">IFERROR(__xludf.DUMMYFUNCTION("""COMPUTED_VALUE"""),263)</f>
        <v>263</v>
      </c>
      <c r="C284" s="4" t="str">
        <f ca="1">IFERROR(__xludf.DUMMYFUNCTION("""COMPUTED_VALUE"""),"SDATOOL-41553")</f>
        <v>SDATOOL-41553</v>
      </c>
      <c r="D284" s="4" t="str">
        <f ca="1">IFERROR(__xludf.DUMMYFUNCTION("""COMPUTED_VALUE"""),"Servicios transaccionales 2023")</f>
        <v>Servicios transaccionales 2023</v>
      </c>
      <c r="E28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4" s="4" t="str">
        <f ca="1">IFERROR(__xludf.DUMMYFUNCTION("""COMPUTED_VALUE"""),"Project")</f>
        <v>Project</v>
      </c>
      <c r="G284" s="4" t="str">
        <f ca="1">IFERROR(__xludf.DUMMYFUNCTION("""COMPUTED_VALUE"""),"Stock")</f>
        <v>Stock</v>
      </c>
      <c r="H284" s="4" t="str">
        <f ca="1">IFERROR(__xludf.DUMMYFUNCTION("""COMPUTED_VALUE"""),"4Q 2023")</f>
        <v>4Q 2023</v>
      </c>
      <c r="I284" s="131" t="str">
        <f ca="1">IFERROR(__xludf.DUMMYFUNCTION("""COMPUTED_VALUE"""),"nathiahayosara.amado-bbva.com")</f>
        <v>nathiahayosara.amado-bbva.com</v>
      </c>
      <c r="J284" s="131" t="str">
        <f ca="1">IFERROR(__xludf.DUMMYFUNCTION("""COMPUTED_VALUE"""),"jeissonandres.diaz.rodriguez-bbva.com")</f>
        <v>jeissonandres.diaz.rodriguez-bbva.com</v>
      </c>
      <c r="K284" s="131" t="str">
        <f ca="1">IFERROR(__xludf.DUMMYFUNCTION("""COMPUTED_VALUE"""),"elizabeth.diaz-bbva.com")</f>
        <v>elizabeth.diaz-bbva.com</v>
      </c>
      <c r="L284" s="4"/>
      <c r="M284" s="4"/>
      <c r="N284" s="4"/>
      <c r="O284" s="4" t="str">
        <f ca="1">IFERROR(__xludf.DUMMYFUNCTION("""COMPUTED_VALUE"""),"Waterfall")</f>
        <v>Waterfall</v>
      </c>
      <c r="P284" s="4" t="str">
        <f ca="1">IFERROR(__xludf.DUMMYFUNCTION("""COMPUTED_VALUE"""),"Tradicional Mesa Transaccional")</f>
        <v>Tradicional Mesa Transaccional</v>
      </c>
      <c r="Q284" s="4"/>
      <c r="R284" s="130" t="str">
        <f ca="1">IFERROR(__xludf.DUMMYFUNCTION("""COMPUTED_VALUE"""),"Enterprises")</f>
        <v>Enterprises</v>
      </c>
      <c r="S284" s="130" t="str">
        <f ca="1">IFERROR(__xludf.DUMMYFUNCTION("""COMPUTED_VALUE"""),"Strategic Review")</f>
        <v>Strategic Review</v>
      </c>
      <c r="T284" s="130" t="str">
        <f ca="1">IFERROR(__xludf.DUMMYFUNCTION("""COMPUTED_VALUE"""),"Otros")</f>
        <v>Otros</v>
      </c>
      <c r="U284" s="130" t="str">
        <f ca="1">IFERROR(__xludf.DUMMYFUNCTION("""COMPUTED_VALUE"""),"No Aplica")</f>
        <v>No Aplica</v>
      </c>
      <c r="V284" s="4" t="str">
        <f ca="1">IFERROR(__xludf.DUMMYFUNCTION("""COMPUTED_VALUE"""),"Otros")</f>
        <v>Otros</v>
      </c>
      <c r="W284" s="4">
        <f ca="1">IFERROR(__xludf.DUMMYFUNCTION("""COMPUTED_VALUE"""),3)</f>
        <v>3</v>
      </c>
      <c r="X284" s="4" t="str">
        <f ca="1">IFERROR(__xludf.DUMMYFUNCTION("""COMPUTED_VALUE"""),"08. Enterprise Transactionality")</f>
        <v>08. Enterprise Transactionality</v>
      </c>
      <c r="Y284" s="4" t="str">
        <f ca="1">IFERROR(__xludf.DUMMYFUNCTION("""COMPUTED_VALUE"""),"5.7.1 Keep the Bank Running")</f>
        <v>5.7.1 Keep the Bank Running</v>
      </c>
      <c r="Z284" s="132" t="str">
        <f ca="1">IFERROR(__xludf.DUMMYFUNCTION("""COMPUTED_VALUE"""),"712986")</f>
        <v>712986</v>
      </c>
      <c r="AA284" s="4" t="str">
        <f ca="1">IFERROR(__xludf.DUMMYFUNCTION("""COMPUTED_VALUE"""),"Cambio NACHAM - Estructura BANREP")</f>
        <v>Cambio NACHAM - Estructura BANREP</v>
      </c>
      <c r="AB284" s="4" t="str">
        <f ca="1">IFERROR(__xludf.DUMMYFUNCTION("""COMPUTED_VALUE"""),"se requiere el ajuste en el archivo Nacham en la descripción del lote de acuerdo al requerimiento normativo de Banco de la Republica")</f>
        <v>se requiere el ajuste en el archivo Nacham en la descripción del lote de acuerdo al requerimiento normativo de Banco de la Republica</v>
      </c>
      <c r="AC284" s="4" t="str">
        <f ca="1">IFERROR(__xludf.DUMMYFUNCTION("""COMPUTED_VALUE"""),"3Q 2023")</f>
        <v>3Q 2023</v>
      </c>
      <c r="AD284" s="4"/>
      <c r="AE284" s="4"/>
      <c r="AF284" s="4"/>
      <c r="AG284" s="4"/>
      <c r="AH284" s="4"/>
      <c r="AI284" s="4"/>
      <c r="AJ284" s="4"/>
      <c r="AK284" s="131" t="str">
        <f ca="1">IFERROR(__xludf.DUMMYFUNCTION("""COMPUTED_VALUE"""),"COLWSCANAL-12471")</f>
        <v>COLWSCANAL-12471</v>
      </c>
      <c r="AL284" s="4" t="str">
        <f ca="1">IFERROR(__xludf.DUMMYFUNCTION("""COMPUTED_VALUE"""),"New")</f>
        <v>New</v>
      </c>
      <c r="AM284" s="4"/>
      <c r="AN284" s="4" t="str">
        <f ca="1">IFERROR(__xludf.DUMMYFUNCTION("""COMPUTED_VALUE"""),"Entregable en backlog")</f>
        <v>Entregable en backlog</v>
      </c>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row>
    <row r="285" spans="1:132" x14ac:dyDescent="0.2">
      <c r="A285" s="4">
        <f ca="1">IFERROR(__xludf.DUMMYFUNCTION("""COMPUTED_VALUE"""),285)</f>
        <v>285</v>
      </c>
      <c r="B285" s="4">
        <f ca="1">IFERROR(__xludf.DUMMYFUNCTION("""COMPUTED_VALUE"""),264)</f>
        <v>264</v>
      </c>
      <c r="C285" s="4" t="str">
        <f ca="1">IFERROR(__xludf.DUMMYFUNCTION("""COMPUTED_VALUE"""),"SDATOOL-41553")</f>
        <v>SDATOOL-41553</v>
      </c>
      <c r="D285" s="4" t="str">
        <f ca="1">IFERROR(__xludf.DUMMYFUNCTION("""COMPUTED_VALUE"""),"Servicios transaccionales 2023")</f>
        <v>Servicios transaccionales 2023</v>
      </c>
      <c r="E28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5" s="4" t="str">
        <f ca="1">IFERROR(__xludf.DUMMYFUNCTION("""COMPUTED_VALUE"""),"Project")</f>
        <v>Project</v>
      </c>
      <c r="G285" s="4" t="str">
        <f ca="1">IFERROR(__xludf.DUMMYFUNCTION("""COMPUTED_VALUE"""),"Stock")</f>
        <v>Stock</v>
      </c>
      <c r="H285" s="4" t="str">
        <f ca="1">IFERROR(__xludf.DUMMYFUNCTION("""COMPUTED_VALUE"""),"4Q 2023")</f>
        <v>4Q 2023</v>
      </c>
      <c r="I285" s="131" t="str">
        <f ca="1">IFERROR(__xludf.DUMMYFUNCTION("""COMPUTED_VALUE"""),"nathiahayosara.amado-bbva.com")</f>
        <v>nathiahayosara.amado-bbva.com</v>
      </c>
      <c r="J285" s="131" t="str">
        <f ca="1">IFERROR(__xludf.DUMMYFUNCTION("""COMPUTED_VALUE"""),"jeissonandres.diaz.rodriguez-bbva.com")</f>
        <v>jeissonandres.diaz.rodriguez-bbva.com</v>
      </c>
      <c r="K285" s="131" t="str">
        <f ca="1">IFERROR(__xludf.DUMMYFUNCTION("""COMPUTED_VALUE"""),"elizabeth.diaz-bbva.com")</f>
        <v>elizabeth.diaz-bbva.com</v>
      </c>
      <c r="L285" s="4"/>
      <c r="M285" s="4"/>
      <c r="N285" s="4"/>
      <c r="O285" s="4" t="str">
        <f ca="1">IFERROR(__xludf.DUMMYFUNCTION("""COMPUTED_VALUE"""),"Waterfall")</f>
        <v>Waterfall</v>
      </c>
      <c r="P285" s="4" t="str">
        <f ca="1">IFERROR(__xludf.DUMMYFUNCTION("""COMPUTED_VALUE"""),"Tradicional Mesa Transaccional")</f>
        <v>Tradicional Mesa Transaccional</v>
      </c>
      <c r="Q285" s="4"/>
      <c r="R285" s="130" t="str">
        <f ca="1">IFERROR(__xludf.DUMMYFUNCTION("""COMPUTED_VALUE"""),"Enterprises")</f>
        <v>Enterprises</v>
      </c>
      <c r="S285" s="130" t="str">
        <f ca="1">IFERROR(__xludf.DUMMYFUNCTION("""COMPUTED_VALUE"""),"Strategic Review")</f>
        <v>Strategic Review</v>
      </c>
      <c r="T285" s="130" t="str">
        <f ca="1">IFERROR(__xludf.DUMMYFUNCTION("""COMPUTED_VALUE"""),"Otros")</f>
        <v>Otros</v>
      </c>
      <c r="U285" s="130" t="str">
        <f ca="1">IFERROR(__xludf.DUMMYFUNCTION("""COMPUTED_VALUE"""),"No Aplica")</f>
        <v>No Aplica</v>
      </c>
      <c r="V285" s="4" t="str">
        <f ca="1">IFERROR(__xludf.DUMMYFUNCTION("""COMPUTED_VALUE"""),"Otros")</f>
        <v>Otros</v>
      </c>
      <c r="W285" s="4">
        <f ca="1">IFERROR(__xludf.DUMMYFUNCTION("""COMPUTED_VALUE"""),3)</f>
        <v>3</v>
      </c>
      <c r="X285" s="4" t="str">
        <f ca="1">IFERROR(__xludf.DUMMYFUNCTION("""COMPUTED_VALUE"""),"08. Enterprise Transactionality")</f>
        <v>08. Enterprise Transactionality</v>
      </c>
      <c r="Y285" s="4" t="str">
        <f ca="1">IFERROR(__xludf.DUMMYFUNCTION("""COMPUTED_VALUE"""),"5.7.1 Keep the Bank Running")</f>
        <v>5.7.1 Keep the Bank Running</v>
      </c>
      <c r="Z285" s="132" t="str">
        <f ca="1">IFERROR(__xludf.DUMMYFUNCTION("""COMPUTED_VALUE"""),"713032")</f>
        <v>713032</v>
      </c>
      <c r="AA285" s="4" t="str">
        <f ca="1">IFERROR(__xludf.DUMMYFUNCTION("""COMPUTED_VALUE"""),"Web Service Municipio de Tocancipa")</f>
        <v>Web Service Municipio de Tocancipa</v>
      </c>
      <c r="AB285" s="4" t="str">
        <f ca="1">IFERROR(__xludf.DUMMYFUNCTION("""COMPUTED_VALUE"""),"El municipio de Tocancipá solicita la implementación de Web Service tipología 2 con el fin de recaudar por los diferentes canales del banco (TF, CB, CW, CN,BM)")</f>
        <v>El municipio de Tocancipá solicita la implementación de Web Service tipología 2 con el fin de recaudar por los diferentes canales del banco (TF, CB, CW, CN,BM)</v>
      </c>
      <c r="AC285" s="4" t="str">
        <f ca="1">IFERROR(__xludf.DUMMYFUNCTION("""COMPUTED_VALUE"""),"3Q 2023")</f>
        <v>3Q 2023</v>
      </c>
      <c r="AD285" s="4"/>
      <c r="AE285" s="4"/>
      <c r="AF285" s="4"/>
      <c r="AG285" s="4"/>
      <c r="AH285" s="4"/>
      <c r="AI285" s="4"/>
      <c r="AJ285" s="4"/>
      <c r="AK285" s="131" t="str">
        <f ca="1">IFERROR(__xludf.DUMMYFUNCTION("""COMPUTED_VALUE"""),"COLWSCONTA-1604")</f>
        <v>COLWSCONTA-1604</v>
      </c>
      <c r="AL285" s="4" t="str">
        <f ca="1">IFERROR(__xludf.DUMMYFUNCTION("""COMPUTED_VALUE"""),"En progreso")</f>
        <v>En progreso</v>
      </c>
      <c r="AM285" s="4"/>
      <c r="AN285" s="4" t="str">
        <f ca="1">IFERROR(__xludf.DUMMYFUNCTION("""COMPUTED_VALUE"""),"Entregable en backlog")</f>
        <v>Entregable en backlog</v>
      </c>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row>
    <row r="286" spans="1:132" x14ac:dyDescent="0.2">
      <c r="A286" s="4">
        <f ca="1">IFERROR(__xludf.DUMMYFUNCTION("""COMPUTED_VALUE"""),286)</f>
        <v>286</v>
      </c>
      <c r="B286" s="4">
        <f ca="1">IFERROR(__xludf.DUMMYFUNCTION("""COMPUTED_VALUE"""),265)</f>
        <v>265</v>
      </c>
      <c r="C286" s="4" t="str">
        <f ca="1">IFERROR(__xludf.DUMMYFUNCTION("""COMPUTED_VALUE"""),"SDATOOL-41553")</f>
        <v>SDATOOL-41553</v>
      </c>
      <c r="D286" s="4" t="str">
        <f ca="1">IFERROR(__xludf.DUMMYFUNCTION("""COMPUTED_VALUE"""),"Servicios transaccionales 2023")</f>
        <v>Servicios transaccionales 2023</v>
      </c>
      <c r="E28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6" s="4" t="str">
        <f ca="1">IFERROR(__xludf.DUMMYFUNCTION("""COMPUTED_VALUE"""),"Project")</f>
        <v>Project</v>
      </c>
      <c r="G286" s="4" t="str">
        <f ca="1">IFERROR(__xludf.DUMMYFUNCTION("""COMPUTED_VALUE"""),"Stock")</f>
        <v>Stock</v>
      </c>
      <c r="H286" s="4" t="str">
        <f ca="1">IFERROR(__xludf.DUMMYFUNCTION("""COMPUTED_VALUE"""),"4Q 2023")</f>
        <v>4Q 2023</v>
      </c>
      <c r="I286" s="131" t="str">
        <f ca="1">IFERROR(__xludf.DUMMYFUNCTION("""COMPUTED_VALUE"""),"nathiahayosara.amado-bbva.com")</f>
        <v>nathiahayosara.amado-bbva.com</v>
      </c>
      <c r="J286" s="131" t="str">
        <f ca="1">IFERROR(__xludf.DUMMYFUNCTION("""COMPUTED_VALUE"""),"jeissonandres.diaz.rodriguez-bbva.com")</f>
        <v>jeissonandres.diaz.rodriguez-bbva.com</v>
      </c>
      <c r="K286" s="131" t="str">
        <f ca="1">IFERROR(__xludf.DUMMYFUNCTION("""COMPUTED_VALUE"""),"elizabeth.diaz-bbva.com")</f>
        <v>elizabeth.diaz-bbva.com</v>
      </c>
      <c r="L286" s="4"/>
      <c r="M286" s="4"/>
      <c r="N286" s="4"/>
      <c r="O286" s="4" t="str">
        <f ca="1">IFERROR(__xludf.DUMMYFUNCTION("""COMPUTED_VALUE"""),"Waterfall")</f>
        <v>Waterfall</v>
      </c>
      <c r="P286" s="4" t="str">
        <f ca="1">IFERROR(__xludf.DUMMYFUNCTION("""COMPUTED_VALUE"""),"Tradicional Mesa Transaccional")</f>
        <v>Tradicional Mesa Transaccional</v>
      </c>
      <c r="Q286" s="4"/>
      <c r="R286" s="130" t="str">
        <f ca="1">IFERROR(__xludf.DUMMYFUNCTION("""COMPUTED_VALUE"""),"Enterprises")</f>
        <v>Enterprises</v>
      </c>
      <c r="S286" s="130" t="str">
        <f ca="1">IFERROR(__xludf.DUMMYFUNCTION("""COMPUTED_VALUE"""),"Strategic Review")</f>
        <v>Strategic Review</v>
      </c>
      <c r="T286" s="130" t="str">
        <f ca="1">IFERROR(__xludf.DUMMYFUNCTION("""COMPUTED_VALUE"""),"Otros")</f>
        <v>Otros</v>
      </c>
      <c r="U286" s="130" t="str">
        <f ca="1">IFERROR(__xludf.DUMMYFUNCTION("""COMPUTED_VALUE"""),"No Aplica")</f>
        <v>No Aplica</v>
      </c>
      <c r="V286" s="4" t="str">
        <f ca="1">IFERROR(__xludf.DUMMYFUNCTION("""COMPUTED_VALUE"""),"Otros")</f>
        <v>Otros</v>
      </c>
      <c r="W286" s="4">
        <f ca="1">IFERROR(__xludf.DUMMYFUNCTION("""COMPUTED_VALUE"""),3)</f>
        <v>3</v>
      </c>
      <c r="X286" s="4" t="str">
        <f ca="1">IFERROR(__xludf.DUMMYFUNCTION("""COMPUTED_VALUE"""),"08. Enterprise Transactionality")</f>
        <v>08. Enterprise Transactionality</v>
      </c>
      <c r="Y286" s="4" t="str">
        <f ca="1">IFERROR(__xludf.DUMMYFUNCTION("""COMPUTED_VALUE"""),"5.7.1 Keep the Bank Running")</f>
        <v>5.7.1 Keep the Bank Running</v>
      </c>
      <c r="Z286" s="132" t="str">
        <f ca="1">IFERROR(__xludf.DUMMYFUNCTION("""COMPUTED_VALUE"""),"713301")</f>
        <v>713301</v>
      </c>
      <c r="AA286" s="4" t="str">
        <f ca="1">IFERROR(__xludf.DUMMYFUNCTION("""COMPUTED_VALUE"""),"Pruebas Calidad Integración América Mcug y 0021 2Q")</f>
        <v>Pruebas Calidad Integración América Mcug y 0021 2Q</v>
      </c>
      <c r="AB286"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86" s="4" t="str">
        <f ca="1">IFERROR(__xludf.DUMMYFUNCTION("""COMPUTED_VALUE"""),"3Q 2023")</f>
        <v>3Q 2023</v>
      </c>
      <c r="AD286" s="4"/>
      <c r="AE286" s="4"/>
      <c r="AF286" s="4"/>
      <c r="AG286" s="4"/>
      <c r="AH286" s="4"/>
      <c r="AI286" s="4"/>
      <c r="AJ286" s="4"/>
      <c r="AK286" s="131" t="str">
        <f ca="1">IFERROR(__xludf.DUMMYFUNCTION("""COMPUTED_VALUE"""),"COLWSCANAL-13302")</f>
        <v>COLWSCANAL-13302</v>
      </c>
      <c r="AL286" s="4" t="str">
        <f ca="1">IFERROR(__xludf.DUMMYFUNCTION("""COMPUTED_VALUE"""),"New")</f>
        <v>New</v>
      </c>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row>
    <row r="287" spans="1:132" x14ac:dyDescent="0.2">
      <c r="A287" s="4">
        <f ca="1">IFERROR(__xludf.DUMMYFUNCTION("""COMPUTED_VALUE"""),287)</f>
        <v>287</v>
      </c>
      <c r="B287" s="4">
        <f ca="1">IFERROR(__xludf.DUMMYFUNCTION("""COMPUTED_VALUE"""),266)</f>
        <v>266</v>
      </c>
      <c r="C287" s="4" t="str">
        <f ca="1">IFERROR(__xludf.DUMMYFUNCTION("""COMPUTED_VALUE"""),"SDATOOL-41553")</f>
        <v>SDATOOL-41553</v>
      </c>
      <c r="D287" s="4" t="str">
        <f ca="1">IFERROR(__xludf.DUMMYFUNCTION("""COMPUTED_VALUE"""),"Servicios transaccionales 2023")</f>
        <v>Servicios transaccionales 2023</v>
      </c>
      <c r="E28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7" s="4" t="str">
        <f ca="1">IFERROR(__xludf.DUMMYFUNCTION("""COMPUTED_VALUE"""),"Project")</f>
        <v>Project</v>
      </c>
      <c r="G287" s="4" t="str">
        <f ca="1">IFERROR(__xludf.DUMMYFUNCTION("""COMPUTED_VALUE"""),"Stock")</f>
        <v>Stock</v>
      </c>
      <c r="H287" s="4" t="str">
        <f ca="1">IFERROR(__xludf.DUMMYFUNCTION("""COMPUTED_VALUE"""),"4Q 2023")</f>
        <v>4Q 2023</v>
      </c>
      <c r="I287" s="131" t="str">
        <f ca="1">IFERROR(__xludf.DUMMYFUNCTION("""COMPUTED_VALUE"""),"nathiahayosara.amado-bbva.com")</f>
        <v>nathiahayosara.amado-bbva.com</v>
      </c>
      <c r="J287" s="131" t="str">
        <f ca="1">IFERROR(__xludf.DUMMYFUNCTION("""COMPUTED_VALUE"""),"jeissonandres.diaz.rodriguez-bbva.com")</f>
        <v>jeissonandres.diaz.rodriguez-bbva.com</v>
      </c>
      <c r="K287" s="131" t="str">
        <f ca="1">IFERROR(__xludf.DUMMYFUNCTION("""COMPUTED_VALUE"""),"elizabeth.diaz-bbva.com")</f>
        <v>elizabeth.diaz-bbva.com</v>
      </c>
      <c r="L287" s="4"/>
      <c r="M287" s="4"/>
      <c r="N287" s="4"/>
      <c r="O287" s="4" t="str">
        <f ca="1">IFERROR(__xludf.DUMMYFUNCTION("""COMPUTED_VALUE"""),"Waterfall")</f>
        <v>Waterfall</v>
      </c>
      <c r="P287" s="4" t="str">
        <f ca="1">IFERROR(__xludf.DUMMYFUNCTION("""COMPUTED_VALUE"""),"Tradicional Mesa Transaccional")</f>
        <v>Tradicional Mesa Transaccional</v>
      </c>
      <c r="Q287" s="4"/>
      <c r="R287" s="130" t="str">
        <f ca="1">IFERROR(__xludf.DUMMYFUNCTION("""COMPUTED_VALUE"""),"Enterprises")</f>
        <v>Enterprises</v>
      </c>
      <c r="S287" s="130" t="str">
        <f ca="1">IFERROR(__xludf.DUMMYFUNCTION("""COMPUTED_VALUE"""),"Strategic Review")</f>
        <v>Strategic Review</v>
      </c>
      <c r="T287" s="130" t="str">
        <f ca="1">IFERROR(__xludf.DUMMYFUNCTION("""COMPUTED_VALUE"""),"Otros")</f>
        <v>Otros</v>
      </c>
      <c r="U287" s="130" t="str">
        <f ca="1">IFERROR(__xludf.DUMMYFUNCTION("""COMPUTED_VALUE"""),"No Aplica")</f>
        <v>No Aplica</v>
      </c>
      <c r="V287" s="4" t="str">
        <f ca="1">IFERROR(__xludf.DUMMYFUNCTION("""COMPUTED_VALUE"""),"Otros")</f>
        <v>Otros</v>
      </c>
      <c r="W287" s="4">
        <f ca="1">IFERROR(__xludf.DUMMYFUNCTION("""COMPUTED_VALUE"""),3)</f>
        <v>3</v>
      </c>
      <c r="X287" s="4" t="str">
        <f ca="1">IFERROR(__xludf.DUMMYFUNCTION("""COMPUTED_VALUE"""),"08. Enterprise Transactionality")</f>
        <v>08. Enterprise Transactionality</v>
      </c>
      <c r="Y287" s="4" t="str">
        <f ca="1">IFERROR(__xludf.DUMMYFUNCTION("""COMPUTED_VALUE"""),"5.7.1 Keep the Bank Running")</f>
        <v>5.7.1 Keep the Bank Running</v>
      </c>
      <c r="Z287" s="132" t="str">
        <f ca="1">IFERROR(__xludf.DUMMYFUNCTION("""COMPUTED_VALUE"""),"713358")</f>
        <v>713358</v>
      </c>
      <c r="AA287" s="4" t="str">
        <f ca="1">IFERROR(__xludf.DUMMYFUNCTION("""COMPUTED_VALUE"""),"Web Service Municipio de Sincelejo")</f>
        <v>Web Service Municipio de Sincelejo</v>
      </c>
      <c r="AB287" s="4" t="str">
        <f ca="1">IFERROR(__xludf.DUMMYFUNCTION("""COMPUTED_VALUE"""),"Nuestro cliente Municipio de Sincelejo solicita la actualización de su Web Service con el fin de recaudar por los diferentes canales del banco (TF, CB, CW, CN, BM)  .")</f>
        <v>Nuestro cliente Municipio de Sincelejo solicita la actualización de su Web Service con el fin de recaudar por los diferentes canales del banco (TF, CB, CW, CN, BM)  .</v>
      </c>
      <c r="AC287" s="4" t="str">
        <f ca="1">IFERROR(__xludf.DUMMYFUNCTION("""COMPUTED_VALUE"""),"2Q 2023")</f>
        <v>2Q 2023</v>
      </c>
      <c r="AD287" s="4"/>
      <c r="AE287" s="4"/>
      <c r="AF287" s="4"/>
      <c r="AG287" s="4"/>
      <c r="AH287" s="4"/>
      <c r="AI287" s="4"/>
      <c r="AJ287" s="4"/>
      <c r="AK287" s="131" t="str">
        <f ca="1">IFERROR(__xludf.DUMMYFUNCTION("""COMPUTED_VALUE"""),"COLWSCONTA-1690")</f>
        <v>COLWSCONTA-1690</v>
      </c>
      <c r="AL287" s="4" t="str">
        <f ca="1">IFERROR(__xludf.DUMMYFUNCTION("""COMPUTED_VALUE"""),"En progreso")</f>
        <v>En progreso</v>
      </c>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row>
    <row r="288" spans="1:132" x14ac:dyDescent="0.2">
      <c r="A288" s="4">
        <f ca="1">IFERROR(__xludf.DUMMYFUNCTION("""COMPUTED_VALUE"""),288)</f>
        <v>288</v>
      </c>
      <c r="B288" s="4">
        <f ca="1">IFERROR(__xludf.DUMMYFUNCTION("""COMPUTED_VALUE"""),267)</f>
        <v>267</v>
      </c>
      <c r="C288" s="4" t="str">
        <f ca="1">IFERROR(__xludf.DUMMYFUNCTION("""COMPUTED_VALUE"""),"SDATOOL-39892")</f>
        <v>SDATOOL-39892</v>
      </c>
      <c r="D288" s="4" t="str">
        <f ca="1">IFERROR(__xludf.DUMMYFUNCTION("""COMPUTED_VALUE"""),"Firma Digital")</f>
        <v>Firma Digital</v>
      </c>
      <c r="E288" s="4" t="str">
        <f ca="1">IFERROR(__xludf.DUMMYFUNCTION("""COMPUTED_VALUE"""),"Herramienta corporativa que se denomina Portal de Firmas a través de la cual tanto el banco como los clientes podrán firma de manera digital los diferentes contratos y documentos para la contratación y/o modificaciones o actualizaciones de los mismos. Est"&amp;"a herramienta se complementa con un gestor documental con el cual se podrá contar con carpetas por cliente por producto donde se almacenarán los documentos firmados y requeridos para la contratación de los productos.
https://drive.google.com/drive/folders"&amp;"/19ZQfacTPZH8YGW3IkmR2xgql2PHF_zIR?usp=sharing")</f>
        <v>Herramienta corporativa que se denomina Portal de Firmas a través de la cual tanto el banco como los clientes podrán firma de manera digital los diferentes contratos y documentos para la contratación y/o modificaciones o actualizaciones de los mismos. Esta herramienta se complementa con un gestor documental con el cual se podrá contar con carpetas por cliente por producto donde se almacenarán los documentos firmados y requeridos para la contratación de los productos.
https://drive.google.com/drive/folders/19ZQfacTPZH8YGW3IkmR2xgql2PHF_zIR?usp=sharing</v>
      </c>
      <c r="F288" s="4" t="str">
        <f ca="1">IFERROR(__xludf.DUMMYFUNCTION("""COMPUTED_VALUE"""),"Initiative")</f>
        <v>Initiative</v>
      </c>
      <c r="G288" s="4" t="str">
        <f ca="1">IFERROR(__xludf.DUMMYFUNCTION("""COMPUTED_VALUE"""),"Stock")</f>
        <v>Stock</v>
      </c>
      <c r="H288" s="4" t="str">
        <f ca="1">IFERROR(__xludf.DUMMYFUNCTION("""COMPUTED_VALUE"""),"2Q 2023")</f>
        <v>2Q 2023</v>
      </c>
      <c r="I288" s="131" t="str">
        <f ca="1">IFERROR(__xludf.DUMMYFUNCTION("""COMPUTED_VALUE"""),"nathiahayosara.amado-bbva.com")</f>
        <v>nathiahayosara.amado-bbva.com</v>
      </c>
      <c r="J288" s="131" t="str">
        <f ca="1">IFERROR(__xludf.DUMMYFUNCTION("""COMPUTED_VALUE"""),"jeissonandres.diaz.rodriguez-bbva.com")</f>
        <v>jeissonandres.diaz.rodriguez-bbva.com</v>
      </c>
      <c r="K288" s="131" t="str">
        <f ca="1">IFERROR(__xludf.DUMMYFUNCTION("""COMPUTED_VALUE"""),"elizabeth.diaz-bbva.com")</f>
        <v>elizabeth.diaz-bbva.com</v>
      </c>
      <c r="L288" s="130">
        <f ca="1">IFERROR(__xludf.DUMMYFUNCTION("""COMPUTED_VALUE"""),0)</f>
        <v>0</v>
      </c>
      <c r="M288" s="130">
        <f ca="1">IFERROR(__xludf.DUMMYFUNCTION("""COMPUTED_VALUE"""),0)</f>
        <v>0</v>
      </c>
      <c r="N288" s="130">
        <f ca="1">IFERROR(__xludf.DUMMYFUNCTION("""COMPUTED_VALUE"""),0)</f>
        <v>0</v>
      </c>
      <c r="O288" s="4" t="str">
        <f ca="1">IFERROR(__xludf.DUMMYFUNCTION("""COMPUTED_VALUE"""),"Waterfall")</f>
        <v>Waterfall</v>
      </c>
      <c r="P288" s="4" t="str">
        <f ca="1">IFERROR(__xludf.DUMMYFUNCTION("""COMPUTED_VALUE"""),"Tradicional Mesa Transaccional")</f>
        <v>Tradicional Mesa Transaccional</v>
      </c>
      <c r="Q288" s="4"/>
      <c r="R288" s="130" t="str">
        <f ca="1">IFERROR(__xludf.DUMMYFUNCTION("""COMPUTED_VALUE"""),"Enterprises")</f>
        <v>Enterprises</v>
      </c>
      <c r="S288" s="130" t="str">
        <f ca="1">IFERROR(__xludf.DUMMYFUNCTION("""COMPUTED_VALUE"""),"Strategic Review")</f>
        <v>Strategic Review</v>
      </c>
      <c r="T288" s="130" t="str">
        <f ca="1">IFERROR(__xludf.DUMMYFUNCTION("""COMPUTED_VALUE"""),"Otros")</f>
        <v>Otros</v>
      </c>
      <c r="U288" s="130" t="str">
        <f ca="1">IFERROR(__xludf.DUMMYFUNCTION("""COMPUTED_VALUE"""),"No Aplica")</f>
        <v>No Aplica</v>
      </c>
      <c r="V288" s="4" t="str">
        <f ca="1">IFERROR(__xludf.DUMMYFUNCTION("""COMPUTED_VALUE"""),"Digital Sales")</f>
        <v>Digital Sales</v>
      </c>
      <c r="W288" s="4">
        <f ca="1">IFERROR(__xludf.DUMMYFUNCTION("""COMPUTED_VALUE"""),2)</f>
        <v>2</v>
      </c>
      <c r="X288" s="4" t="str">
        <f ca="1">IFERROR(__xludf.DUMMYFUNCTION("""COMPUTED_VALUE"""),"03. SMEs &amp; Self-employed")</f>
        <v>03. SMEs &amp; Self-employed</v>
      </c>
      <c r="Y288" s="4" t="str">
        <f ca="1">IFERROR(__xludf.DUMMYFUNCTION("""COMPUTED_VALUE"""),"5.7.1 Keep the Bank Running")</f>
        <v>5.7.1 Keep the Bank Running</v>
      </c>
      <c r="Z288" s="132" t="str">
        <f ca="1">IFERROR(__xludf.DUMMYFUNCTION("""COMPUTED_VALUE"""),"532303")</f>
        <v>532303</v>
      </c>
      <c r="AA288" s="4" t="str">
        <f ca="1">IFERROR(__xludf.DUMMYFUNCTION("""COMPUTED_VALUE"""),"Firma Digital")</f>
        <v>Firma Digital</v>
      </c>
      <c r="AB288" s="4" t="str">
        <f ca="1">IFERROR(__xludf.DUMMYFUNCTION("""COMPUTED_VALUE"""),"Herramienta corporativa que se denomina Portal de Firmas a través de la cual tanto el banco como los clientes podrán firma de manera digital los diferentes contratos y documentos para la contratación y/o modificaciones o actualizaciones de los mismos.")</f>
        <v>Herramienta corporativa que se denomina Portal de Firmas a través de la cual tanto el banco como los clientes podrán firma de manera digital los diferentes contratos y documentos para la contratación y/o modificaciones o actualizaciones de los mismos.</v>
      </c>
      <c r="AC288" s="4" t="str">
        <f ca="1">IFERROR(__xludf.DUMMYFUNCTION("""COMPUTED_VALUE"""),"2Q 2023")</f>
        <v>2Q 2023</v>
      </c>
      <c r="AD288" s="128">
        <f ca="1">IFERROR(__xludf.DUMMYFUNCTION("""COMPUTED_VALUE"""),44748)</f>
        <v>44748</v>
      </c>
      <c r="AE288" s="128">
        <f ca="1">IFERROR(__xludf.DUMMYFUNCTION("""COMPUTED_VALUE"""),44803)</f>
        <v>44803</v>
      </c>
      <c r="AF288" s="128">
        <f ca="1">IFERROR(__xludf.DUMMYFUNCTION("""COMPUTED_VALUE"""),44835)</f>
        <v>44835</v>
      </c>
      <c r="AG288" s="128">
        <f ca="1">IFERROR(__xludf.DUMMYFUNCTION("""COMPUTED_VALUE"""),44918)</f>
        <v>44918</v>
      </c>
      <c r="AH288" s="128">
        <f ca="1">IFERROR(__xludf.DUMMYFUNCTION("""COMPUTED_VALUE"""),44920)</f>
        <v>44920</v>
      </c>
      <c r="AI288" s="128">
        <f ca="1">IFERROR(__xludf.DUMMYFUNCTION("""COMPUTED_VALUE"""),44918)</f>
        <v>44918</v>
      </c>
      <c r="AJ288" s="128">
        <f ca="1">IFERROR(__xludf.DUMMYFUNCTION("""COMPUTED_VALUE"""),44956)</f>
        <v>44956</v>
      </c>
      <c r="AK288" s="131" t="str">
        <f ca="1">IFERROR(__xludf.DUMMYFUNCTION("""COMPUTED_VALUE"""),"COLWSCANAL-3390")</f>
        <v>COLWSCANAL-3390</v>
      </c>
      <c r="AL288" s="4" t="str">
        <f ca="1">IFERROR(__xludf.DUMMYFUNCTION("""COMPUTED_VALUE"""),"New")</f>
        <v>New</v>
      </c>
      <c r="AM288" s="4" t="str">
        <f ca="1">IFERROR(__xludf.DUMMYFUNCTION("""COMPUTED_VALUE"""),"06/07/2022: Se radica petición a PMO para valoración correpondiente, se agenda sesión con ingenieria y Sponsor para entender solicitud
Se requiere validar si se necesiatn desarrollos o no por parte de ingeniería (Sesión entendimiento 02/08/2022)")</f>
        <v>06/07/2022: Se radica petición a PMO para valoración correpondiente, se agenda sesión con ingenieria y Sponsor para entender solicitud
Se requiere validar si se necesiatn desarrollos o no por parte de ingeniería (Sesión entendimiento 02/08/2022)</v>
      </c>
      <c r="AN288" s="4" t="str">
        <f ca="1">IFERROR(__xludf.DUMMYFUNCTION("""COMPUTED_VALUE"""),"Entregable en backlog")</f>
        <v>Entregable en backlog</v>
      </c>
      <c r="AO288" s="4" t="str">
        <f ca="1">IFERROR(__xludf.DUMMYFUNCTION("""COMPUTED_VALUE"""),"Transversales")</f>
        <v>Transversales</v>
      </c>
      <c r="AP288" s="4"/>
      <c r="AQ288" s="4"/>
      <c r="AR288" s="4" t="str">
        <f ca="1">IFERROR(__xludf.DUMMYFUNCTION("""COMPUTED_VALUE"""),"SDA aprobada en PPP Q1 2023")</f>
        <v>SDA aprobada en PPP Q1 2023</v>
      </c>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133">
        <f ca="1">IFERROR(__xludf.DUMMYFUNCTION("""COMPUTED_VALUE"""),0)</f>
        <v>0</v>
      </c>
      <c r="DV288" s="133">
        <f ca="1">IFERROR(__xludf.DUMMYFUNCTION("""COMPUTED_VALUE"""),0)</f>
        <v>0</v>
      </c>
      <c r="DW288" s="133">
        <f ca="1">IFERROR(__xludf.DUMMYFUNCTION("""COMPUTED_VALUE"""),0)</f>
        <v>0</v>
      </c>
      <c r="DX288" s="133">
        <f ca="1">IFERROR(__xludf.DUMMYFUNCTION("""COMPUTED_VALUE"""),0)</f>
        <v>0</v>
      </c>
      <c r="DY288" s="133">
        <f ca="1">IFERROR(__xludf.DUMMYFUNCTION("""COMPUTED_VALUE"""),0)</f>
        <v>0</v>
      </c>
      <c r="DZ288" s="133">
        <f ca="1">IFERROR(__xludf.DUMMYFUNCTION("""COMPUTED_VALUE"""),0)</f>
        <v>0</v>
      </c>
      <c r="EA288" s="4"/>
      <c r="EB288" s="4"/>
    </row>
    <row r="289" spans="1:132" x14ac:dyDescent="0.2">
      <c r="A289" s="4">
        <f ca="1">IFERROR(__xludf.DUMMYFUNCTION("""COMPUTED_VALUE"""),289)</f>
        <v>289</v>
      </c>
      <c r="B289" s="4">
        <f ca="1">IFERROR(__xludf.DUMMYFUNCTION("""COMPUTED_VALUE"""),268)</f>
        <v>268</v>
      </c>
      <c r="C289" s="4" t="str">
        <f ca="1">IFERROR(__xludf.DUMMYFUNCTION("""COMPUTED_VALUE"""),"SDATOOL-41980")</f>
        <v>SDATOOL-41980</v>
      </c>
      <c r="D289" s="4" t="str">
        <f ca="1">IFERROR(__xludf.DUMMYFUNCTION("""COMPUTED_VALUE"""),"Modelo API´S Recaudo (CB´s)")</f>
        <v>Modelo API´S Recaudo (CB´s)</v>
      </c>
      <c r="E289" s="4" t="str">
        <f ca="1">IFERROR(__xludf.DUMMYFUNCTION("""COMPUTED_VALUE"""),"Brindar una solución bajo conexión de API´S a los clientes/Convenio que funcionen bajo esta conexión con el fin de estar a la vanguardia del mercado")</f>
        <v>Brindar una solución bajo conexión de API´S a los clientes/Convenio que funcionen bajo esta conexión con el fin de estar a la vanguardia del mercado</v>
      </c>
      <c r="F289" s="4" t="str">
        <f ca="1">IFERROR(__xludf.DUMMYFUNCTION("""COMPUTED_VALUE"""),"Project")</f>
        <v>Project</v>
      </c>
      <c r="G289" s="4" t="str">
        <f ca="1">IFERROR(__xludf.DUMMYFUNCTION("""COMPUTED_VALUE"""),"Stock")</f>
        <v>Stock</v>
      </c>
      <c r="H289" s="4" t="str">
        <f ca="1">IFERROR(__xludf.DUMMYFUNCTION("""COMPUTED_VALUE"""),"3Q 2023")</f>
        <v>3Q 2023</v>
      </c>
      <c r="I289" s="131" t="str">
        <f ca="1">IFERROR(__xludf.DUMMYFUNCTION("""COMPUTED_VALUE"""),"nathiahayosara.amado-bbva.com")</f>
        <v>nathiahayosara.amado-bbva.com</v>
      </c>
      <c r="J289" s="131" t="str">
        <f ca="1">IFERROR(__xludf.DUMMYFUNCTION("""COMPUTED_VALUE"""),"jeissonandres.diaz.rodriguez-bbva.com")</f>
        <v>jeissonandres.diaz.rodriguez-bbva.com</v>
      </c>
      <c r="K289" s="131" t="str">
        <f ca="1">IFERROR(__xludf.DUMMYFUNCTION("""COMPUTED_VALUE"""),"elizabeth.diaz-bbva.com")</f>
        <v>elizabeth.diaz-bbva.com</v>
      </c>
      <c r="L289" s="130">
        <f ca="1">IFERROR(__xludf.DUMMYFUNCTION("""COMPUTED_VALUE"""),0)</f>
        <v>0</v>
      </c>
      <c r="M289" s="130">
        <f ca="1">IFERROR(__xludf.DUMMYFUNCTION("""COMPUTED_VALUE"""),0.5)</f>
        <v>0.5</v>
      </c>
      <c r="N289" s="130">
        <f ca="1">IFERROR(__xludf.DUMMYFUNCTION("""COMPUTED_VALUE"""),0)</f>
        <v>0</v>
      </c>
      <c r="O289" s="4" t="str">
        <f ca="1">IFERROR(__xludf.DUMMYFUNCTION("""COMPUTED_VALUE"""),"Waterfall")</f>
        <v>Waterfall</v>
      </c>
      <c r="P289" s="4" t="str">
        <f ca="1">IFERROR(__xludf.DUMMYFUNCTION("""COMPUTED_VALUE"""),"Tradicional Mesa Transaccional")</f>
        <v>Tradicional Mesa Transaccional</v>
      </c>
      <c r="Q289" s="4"/>
      <c r="R289" s="130" t="str">
        <f ca="1">IFERROR(__xludf.DUMMYFUNCTION("""COMPUTED_VALUE"""),"Enterprises")</f>
        <v>Enterprises</v>
      </c>
      <c r="S289" s="130" t="str">
        <f ca="1">IFERROR(__xludf.DUMMYFUNCTION("""COMPUTED_VALUE"""),"Strategic Review")</f>
        <v>Strategic Review</v>
      </c>
      <c r="T289" s="130" t="str">
        <f ca="1">IFERROR(__xludf.DUMMYFUNCTION("""COMPUTED_VALUE"""),"Otros")</f>
        <v>Otros</v>
      </c>
      <c r="U289" s="130" t="str">
        <f ca="1">IFERROR(__xludf.DUMMYFUNCTION("""COMPUTED_VALUE"""),"No Aplica")</f>
        <v>No Aplica</v>
      </c>
      <c r="V289" s="4" t="str">
        <f ca="1">IFERROR(__xludf.DUMMYFUNCTION("""COMPUTED_VALUE"""),"CBs")</f>
        <v>CBs</v>
      </c>
      <c r="W289" s="4">
        <f ca="1">IFERROR(__xludf.DUMMYFUNCTION("""COMPUTED_VALUE"""),2)</f>
        <v>2</v>
      </c>
      <c r="X289" s="4" t="str">
        <f ca="1">IFERROR(__xludf.DUMMYFUNCTION("""COMPUTED_VALUE"""),"04. Relationship Models")</f>
        <v>04. Relationship Models</v>
      </c>
      <c r="Y289" s="4" t="str">
        <f ca="1">IFERROR(__xludf.DUMMYFUNCTION("""COMPUTED_VALUE"""),"5.7.1 Keep the Bank Running")</f>
        <v>5.7.1 Keep the Bank Running</v>
      </c>
      <c r="Z289" s="132" t="str">
        <f ca="1">IFERROR(__xludf.DUMMYFUNCTION("""COMPUTED_VALUE"""),"693985")</f>
        <v>693985</v>
      </c>
      <c r="AA289" s="4" t="str">
        <f ca="1">IFERROR(__xludf.DUMMYFUNCTION("""COMPUTED_VALUE"""),"Recaudo API Aguas Kpital")</f>
        <v>Recaudo API Aguas Kpital</v>
      </c>
      <c r="AB289" s="4" t="str">
        <f ca="1">IFERROR(__xludf.DUMMYFUNCTION("""COMPUTED_VALUE"""),"Conexión API con el cliente Aguas Kpital para el recaudo, fase I Corresponsal Bancario")</f>
        <v>Conexión API con el cliente Aguas Kpital para el recaudo, fase I Corresponsal Bancario</v>
      </c>
      <c r="AC289" s="4" t="str">
        <f ca="1">IFERROR(__xludf.DUMMYFUNCTION("""COMPUTED_VALUE"""),"3Q 2023")</f>
        <v>3Q 2023</v>
      </c>
      <c r="AD289" s="4"/>
      <c r="AE289" s="4"/>
      <c r="AF289" s="4"/>
      <c r="AG289" s="4"/>
      <c r="AH289" s="4"/>
      <c r="AI289" s="4"/>
      <c r="AJ289" s="4"/>
      <c r="AK289" s="131" t="str">
        <f ca="1">IFERROR(__xludf.DUMMYFUNCTION("""COMPUTED_VALUE"""),"COLWSCONTA-313")</f>
        <v>COLWSCONTA-313</v>
      </c>
      <c r="AL289" s="4" t="str">
        <f ca="1">IFERROR(__xludf.DUMMYFUNCTION("""COMPUTED_VALUE"""),"New")</f>
        <v>New</v>
      </c>
      <c r="AM289" s="4"/>
      <c r="AN289" s="4" t="str">
        <f ca="1">IFERROR(__xludf.DUMMYFUNCTION("""COMPUTED_VALUE"""),"Entregable en desarrollo")</f>
        <v>Entregable en desarrollo</v>
      </c>
      <c r="AO289" s="4"/>
      <c r="AP289" s="4"/>
      <c r="AQ289" s="4"/>
      <c r="AR289" s="4" t="str">
        <f ca="1">IFERROR(__xludf.DUMMYFUNCTION("""COMPUTED_VALUE"""),"SDA aprobada en PPP Q1 2023")</f>
        <v>SDA aprobada en PPP Q1 2023</v>
      </c>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133">
        <f ca="1">IFERROR(__xludf.DUMMYFUNCTION("""COMPUTED_VALUE"""),0)</f>
        <v>0</v>
      </c>
      <c r="DV289" s="133">
        <f ca="1">IFERROR(__xludf.DUMMYFUNCTION("""COMPUTED_VALUE"""),0)</f>
        <v>0</v>
      </c>
      <c r="DW289" s="133">
        <f ca="1">IFERROR(__xludf.DUMMYFUNCTION("""COMPUTED_VALUE"""),0)</f>
        <v>0</v>
      </c>
      <c r="DX289" s="133">
        <f ca="1">IFERROR(__xludf.DUMMYFUNCTION("""COMPUTED_VALUE"""),364999700)</f>
        <v>364999700</v>
      </c>
      <c r="DY289" s="133">
        <f ca="1">IFERROR(__xludf.DUMMYFUNCTION("""COMPUTED_VALUE"""),0)</f>
        <v>0</v>
      </c>
      <c r="DZ289" s="133">
        <f ca="1">IFERROR(__xludf.DUMMYFUNCTION("""COMPUTED_VALUE"""),364999700)</f>
        <v>364999700</v>
      </c>
      <c r="EA289" s="4"/>
      <c r="EB289" s="4"/>
    </row>
    <row r="290" spans="1:132" x14ac:dyDescent="0.2">
      <c r="A290" s="4">
        <f ca="1">IFERROR(__xludf.DUMMYFUNCTION("""COMPUTED_VALUE"""),290)</f>
        <v>290</v>
      </c>
      <c r="B290" s="4">
        <f ca="1">IFERROR(__xludf.DUMMYFUNCTION("""COMPUTED_VALUE"""),269)</f>
        <v>269</v>
      </c>
      <c r="C290" s="4" t="str">
        <f ca="1">IFERROR(__xludf.DUMMYFUNCTION("""COMPUTED_VALUE"""),"SDATOOL-41980")</f>
        <v>SDATOOL-41980</v>
      </c>
      <c r="D290" s="4" t="str">
        <f ca="1">IFERROR(__xludf.DUMMYFUNCTION("""COMPUTED_VALUE"""),"Modelo API´S Recaudo (CB´s)")</f>
        <v>Modelo API´S Recaudo (CB´s)</v>
      </c>
      <c r="E290" s="4" t="str">
        <f ca="1">IFERROR(__xludf.DUMMYFUNCTION("""COMPUTED_VALUE"""),"Brindar una solución bajo conexión de API´S a los clientes/Convenio que funcionen bajo esta conexión con el fin de estar a la vanguardia del mercado")</f>
        <v>Brindar una solución bajo conexión de API´S a los clientes/Convenio que funcionen bajo esta conexión con el fin de estar a la vanguardia del mercado</v>
      </c>
      <c r="F290" s="4" t="str">
        <f ca="1">IFERROR(__xludf.DUMMYFUNCTION("""COMPUTED_VALUE"""),"Project")</f>
        <v>Project</v>
      </c>
      <c r="G290" s="4" t="str">
        <f ca="1">IFERROR(__xludf.DUMMYFUNCTION("""COMPUTED_VALUE"""),"Stock")</f>
        <v>Stock</v>
      </c>
      <c r="H290" s="4" t="str">
        <f ca="1">IFERROR(__xludf.DUMMYFUNCTION("""COMPUTED_VALUE"""),"3Q 2023")</f>
        <v>3Q 2023</v>
      </c>
      <c r="I290" s="131" t="str">
        <f ca="1">IFERROR(__xludf.DUMMYFUNCTION("""COMPUTED_VALUE"""),"nathiahayosara.amado-bbva.com")</f>
        <v>nathiahayosara.amado-bbva.com</v>
      </c>
      <c r="J290" s="131" t="str">
        <f ca="1">IFERROR(__xludf.DUMMYFUNCTION("""COMPUTED_VALUE"""),"jeissonandres.diaz.rodriguez-bbva.com")</f>
        <v>jeissonandres.diaz.rodriguez-bbva.com</v>
      </c>
      <c r="K290" s="131" t="str">
        <f ca="1">IFERROR(__xludf.DUMMYFUNCTION("""COMPUTED_VALUE"""),"elizabeth.diaz-bbva.com")</f>
        <v>elizabeth.diaz-bbva.com</v>
      </c>
      <c r="L290" s="4"/>
      <c r="M290" s="4"/>
      <c r="N290" s="4"/>
      <c r="O290" s="4" t="str">
        <f ca="1">IFERROR(__xludf.DUMMYFUNCTION("""COMPUTED_VALUE"""),"Waterfall")</f>
        <v>Waterfall</v>
      </c>
      <c r="P290" s="4" t="str">
        <f ca="1">IFERROR(__xludf.DUMMYFUNCTION("""COMPUTED_VALUE"""),"Tradicional Mesa Transaccional")</f>
        <v>Tradicional Mesa Transaccional</v>
      </c>
      <c r="Q290" s="4"/>
      <c r="R290" s="130" t="str">
        <f ca="1">IFERROR(__xludf.DUMMYFUNCTION("""COMPUTED_VALUE"""),"Enterprises")</f>
        <v>Enterprises</v>
      </c>
      <c r="S290" s="130" t="str">
        <f ca="1">IFERROR(__xludf.DUMMYFUNCTION("""COMPUTED_VALUE"""),"Strategic Review")</f>
        <v>Strategic Review</v>
      </c>
      <c r="T290" s="130" t="str">
        <f ca="1">IFERROR(__xludf.DUMMYFUNCTION("""COMPUTED_VALUE"""),"Otros")</f>
        <v>Otros</v>
      </c>
      <c r="U290" s="130" t="str">
        <f ca="1">IFERROR(__xludf.DUMMYFUNCTION("""COMPUTED_VALUE"""),"No Aplica")</f>
        <v>No Aplica</v>
      </c>
      <c r="V290" s="4" t="str">
        <f ca="1">IFERROR(__xludf.DUMMYFUNCTION("""COMPUTED_VALUE"""),"CBs")</f>
        <v>CBs</v>
      </c>
      <c r="W290" s="4">
        <f ca="1">IFERROR(__xludf.DUMMYFUNCTION("""COMPUTED_VALUE"""),2)</f>
        <v>2</v>
      </c>
      <c r="X290" s="4" t="str">
        <f ca="1">IFERROR(__xludf.DUMMYFUNCTION("""COMPUTED_VALUE"""),"04. Relationship Models")</f>
        <v>04. Relationship Models</v>
      </c>
      <c r="Y290" s="4" t="str">
        <f ca="1">IFERROR(__xludf.DUMMYFUNCTION("""COMPUTED_VALUE"""),"5.7.1 Keep the Bank Running")</f>
        <v>5.7.1 Keep the Bank Running</v>
      </c>
      <c r="Z290" s="132" t="str">
        <f ca="1">IFERROR(__xludf.DUMMYFUNCTION("""COMPUTED_VALUE"""),"693986")</f>
        <v>693986</v>
      </c>
      <c r="AA290" s="4" t="str">
        <f ca="1">IFERROR(__xludf.DUMMYFUNCTION("""COMPUTED_VALUE"""),"Recaudo API OpenPay")</f>
        <v>Recaudo API OpenPay</v>
      </c>
      <c r="AB290" s="4" t="str">
        <f ca="1">IFERROR(__xludf.DUMMYFUNCTION("""COMPUTED_VALUE"""),"Conexión API para recaudo con Openpay, fase I Corresponsal Bancario")</f>
        <v>Conexión API para recaudo con Openpay, fase I Corresponsal Bancario</v>
      </c>
      <c r="AC290" s="4" t="str">
        <f ca="1">IFERROR(__xludf.DUMMYFUNCTION("""COMPUTED_VALUE"""),"3Q 2023")</f>
        <v>3Q 2023</v>
      </c>
      <c r="AD290" s="4"/>
      <c r="AE290" s="4"/>
      <c r="AF290" s="4"/>
      <c r="AG290" s="4"/>
      <c r="AH290" s="4"/>
      <c r="AI290" s="4"/>
      <c r="AJ290" s="4"/>
      <c r="AK290" s="131" t="str">
        <f ca="1">IFERROR(__xludf.DUMMYFUNCTION("""COMPUTED_VALUE"""),"COLWSCONTA-481")</f>
        <v>COLWSCONTA-481</v>
      </c>
      <c r="AL290" s="4" t="str">
        <f ca="1">IFERROR(__xludf.DUMMYFUNCTION("""COMPUTED_VALUE"""),"En progreso")</f>
        <v>En progreso</v>
      </c>
      <c r="AM290" s="4"/>
      <c r="AN290" s="4" t="str">
        <f ca="1">IFERROR(__xludf.DUMMYFUNCTION("""COMPUTED_VALUE"""),"Entregable en desarrollo")</f>
        <v>Entregable en desarrollo</v>
      </c>
      <c r="AO290" s="4"/>
      <c r="AP290" s="4"/>
      <c r="AQ290" s="4"/>
      <c r="AR290" s="4" t="str">
        <f ca="1">IFERROR(__xludf.DUMMYFUNCTION("""COMPUTED_VALUE"""),"SDA aprobada en PPP Q1 2023")</f>
        <v>SDA aprobada en PPP Q1 2023</v>
      </c>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row>
    <row r="291" spans="1:132" x14ac:dyDescent="0.2">
      <c r="A291" s="4">
        <f ca="1">IFERROR(__xludf.DUMMYFUNCTION("""COMPUTED_VALUE"""),291)</f>
        <v>291</v>
      </c>
      <c r="B291" s="4">
        <f ca="1">IFERROR(__xludf.DUMMYFUNCTION("""COMPUTED_VALUE"""),270)</f>
        <v>270</v>
      </c>
      <c r="C291" s="4" t="str">
        <f ca="1">IFERROR(__xludf.DUMMYFUNCTION("""COMPUTED_VALUE"""),"SDATOOL-34910")</f>
        <v>SDATOOL-34910</v>
      </c>
      <c r="D291" s="4" t="str">
        <f ca="1">IFERROR(__xludf.DUMMYFUNCTION("""COMPUTED_VALUE"""),"Libranza Digital")</f>
        <v>Libranza Digital</v>
      </c>
      <c r="E291"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1" s="4" t="str">
        <f ca="1">IFERROR(__xludf.DUMMYFUNCTION("""COMPUTED_VALUE"""),"Project")</f>
        <v>Project</v>
      </c>
      <c r="G291" s="4" t="str">
        <f ca="1">IFERROR(__xludf.DUMMYFUNCTION("""COMPUTED_VALUE"""),"Stock")</f>
        <v>Stock</v>
      </c>
      <c r="H291" s="4" t="str">
        <f ca="1">IFERROR(__xludf.DUMMYFUNCTION("""COMPUTED_VALUE"""),"2Q 2023")</f>
        <v>2Q 2023</v>
      </c>
      <c r="I291" s="131" t="str">
        <f ca="1">IFERROR(__xludf.DUMMYFUNCTION("""COMPUTED_VALUE"""),"angie.castaneda-bbva.com")</f>
        <v>angie.castaneda-bbva.com</v>
      </c>
      <c r="J291" s="131" t="str">
        <f ca="1">IFERROR(__xludf.DUMMYFUNCTION("""COMPUTED_VALUE"""),"brigitteyesenia.beltran-bbva.com")</f>
        <v>brigitteyesenia.beltran-bbva.com</v>
      </c>
      <c r="K291" s="131" t="str">
        <f ca="1">IFERROR(__xludf.DUMMYFUNCTION("""COMPUTED_VALUE"""),"rociomarcela.lopez-bbva.com")</f>
        <v>rociomarcela.lopez-bbva.com</v>
      </c>
      <c r="L291" s="130">
        <f ca="1">IFERROR(__xludf.DUMMYFUNCTION("""COMPUTED_VALUE"""),0.5)</f>
        <v>0.5</v>
      </c>
      <c r="M291" s="130">
        <f ca="1">IFERROR(__xludf.DUMMYFUNCTION("""COMPUTED_VALUE"""),2.59999999999999)</f>
        <v>2.5999999999999899</v>
      </c>
      <c r="N291" s="130">
        <f ca="1">IFERROR(__xludf.DUMMYFUNCTION("""COMPUTED_VALUE"""),5.2)</f>
        <v>5.2</v>
      </c>
      <c r="O291" s="4" t="str">
        <f ca="1">IFERROR(__xludf.DUMMYFUNCTION("""COMPUTED_VALUE"""),"Scrum")</f>
        <v>Scrum</v>
      </c>
      <c r="P291" s="4" t="str">
        <f ca="1">IFERROR(__xludf.DUMMYFUNCTION("""COMPUTED_VALUE"""),"Cobra Kai")</f>
        <v>Cobra Kai</v>
      </c>
      <c r="Q291" s="130">
        <f ca="1">IFERROR(__xludf.DUMMYFUNCTION("""COMPUTED_VALUE"""),1)</f>
        <v>1</v>
      </c>
      <c r="R291" s="130" t="str">
        <f ca="1">IFERROR(__xludf.DUMMYFUNCTION("""COMPUTED_VALUE"""),"Retail Execution")</f>
        <v>Retail Execution</v>
      </c>
      <c r="S291" s="130" t="str">
        <f ca="1">IFERROR(__xludf.DUMMYFUNCTION("""COMPUTED_VALUE"""),"Area Review")</f>
        <v>Area Review</v>
      </c>
      <c r="T291" s="130" t="str">
        <f ca="1">IFERROR(__xludf.DUMMYFUNCTION("""COMPUTED_VALUE"""),"1. Generación de Ingresos")</f>
        <v>1. Generación de Ingresos</v>
      </c>
      <c r="U291" s="130" t="str">
        <f ca="1">IFERROR(__xludf.DUMMYFUNCTION("""COMPUTED_VALUE"""),"1.2. Proyectos de Consumo")</f>
        <v>1.2. Proyectos de Consumo</v>
      </c>
      <c r="V291" s="4" t="str">
        <f ca="1">IFERROR(__xludf.DUMMYFUNCTION("""COMPUTED_VALUE"""),"Libranza")</f>
        <v>Libranza</v>
      </c>
      <c r="W291" s="4">
        <f ca="1">IFERROR(__xludf.DUMMYFUNCTION("""COMPUTED_VALUE"""),1)</f>
        <v>1</v>
      </c>
      <c r="X291" s="4" t="str">
        <f ca="1">IFERROR(__xludf.DUMMYFUNCTION("""COMPUTED_VALUE"""),"01. Open Market &amp; Partnerships")</f>
        <v>01. Open Market &amp; Partnerships</v>
      </c>
      <c r="Y291" s="4" t="str">
        <f ca="1">IFERROR(__xludf.DUMMYFUNCTION("""COMPUTED_VALUE"""),"4.1.1. Own channels")</f>
        <v>4.1.1. Own channels</v>
      </c>
      <c r="Z291" s="132" t="str">
        <f ca="1">IFERROR(__xludf.DUMMYFUNCTION("""COMPUTED_VALUE"""),"173808")</f>
        <v>173808</v>
      </c>
      <c r="AA291" s="4" t="str">
        <f ca="1">IFERROR(__xludf.DUMMYFUNCTION("""COMPUTED_VALUE"""),"Desarrollo de lead para aprobación de scoring en línea líbre inversión")</f>
        <v>Desarrollo de lead para aprobación de scoring en línea líbre inversión</v>
      </c>
      <c r="AB291" s="4" t="str">
        <f ca="1">IFERROR(__xludf.DUMMYFUNCTION("""COMPUTED_VALUE"""),"Desarrollo de lead para aprobación de scoring en línea y desembolso en fábrica. Libre inversión")</f>
        <v>Desarrollo de lead para aprobación de scoring en línea y desembolso en fábrica. Libre inversión</v>
      </c>
      <c r="AC291" s="4" t="str">
        <f ca="1">IFERROR(__xludf.DUMMYFUNCTION("""COMPUTED_VALUE"""),"3Q 2022")</f>
        <v>3Q 2022</v>
      </c>
      <c r="AD291" s="128">
        <f ca="1">IFERROR(__xludf.DUMMYFUNCTION("""COMPUTED_VALUE"""),44136)</f>
        <v>44136</v>
      </c>
      <c r="AE291" s="128">
        <f ca="1">IFERROR(__xludf.DUMMYFUNCTION("""COMPUTED_VALUE"""),44227)</f>
        <v>44227</v>
      </c>
      <c r="AF291" s="128">
        <f ca="1">IFERROR(__xludf.DUMMYFUNCTION("""COMPUTED_VALUE"""),44319)</f>
        <v>44319</v>
      </c>
      <c r="AG291" s="128">
        <f ca="1">IFERROR(__xludf.DUMMYFUNCTION("""COMPUTED_VALUE"""),44620)</f>
        <v>44620</v>
      </c>
      <c r="AH291" s="128">
        <f ca="1">IFERROR(__xludf.DUMMYFUNCTION("""COMPUTED_VALUE"""),44651)</f>
        <v>44651</v>
      </c>
      <c r="AI291" s="128">
        <f ca="1">IFERROR(__xludf.DUMMYFUNCTION("""COMPUTED_VALUE"""),44804)</f>
        <v>44804</v>
      </c>
      <c r="AJ291" s="128">
        <f ca="1">IFERROR(__xludf.DUMMYFUNCTION("""COMPUTED_VALUE"""),44804)</f>
        <v>44804</v>
      </c>
      <c r="AK291" s="131" t="str">
        <f ca="1">IFERROR(__xludf.DUMMYFUNCTION("""COMPUTED_VALUE"""),"CCSS-5190")</f>
        <v>CCSS-5190</v>
      </c>
      <c r="AL291" s="4" t="str">
        <f ca="1">IFERROR(__xludf.DUMMYFUNCTION("""COMPUTED_VALUE"""),"Deployed")</f>
        <v>Deployed</v>
      </c>
      <c r="AM291" s="4" t="str">
        <f ca="1">IFERROR(__xludf.DUMMYFUNCTION("""COMPUTED_VALUE"""),"Libre inversión 
- En producción y en piloto post proudcción. ")</f>
        <v xml:space="preserve">Libre inversión 
- En producción y en piloto post proudcción. </v>
      </c>
      <c r="AN291" s="4" t="str">
        <f ca="1">IFERROR(__xludf.DUMMYFUNCTION("""COMPUTED_VALUE"""),"Finalizado")</f>
        <v>Finalizado</v>
      </c>
      <c r="AO291" s="4" t="str">
        <f ca="1">IFERROR(__xludf.DUMMYFUNCTION("""COMPUTED_VALUE"""),"Consumo partnerships")</f>
        <v>Consumo partnerships</v>
      </c>
      <c r="AP291" s="4"/>
      <c r="AQ291" s="4"/>
      <c r="AR291" s="4" t="str">
        <f ca="1">IFERROR(__xludf.DUMMYFUNCTION("""COMPUTED_VALUE"""),"SDA aprobada en PPP Q1 2023")</f>
        <v>SDA aprobada en PPP Q1 2023</v>
      </c>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133">
        <f ca="1">IFERROR(__xludf.DUMMYFUNCTION("""COMPUTED_VALUE"""),0)</f>
        <v>0</v>
      </c>
      <c r="DV291" s="133">
        <f ca="1">IFERROR(__xludf.DUMMYFUNCTION("""COMPUTED_VALUE"""),385581872)</f>
        <v>385581872</v>
      </c>
      <c r="DW291" s="133">
        <f ca="1">IFERROR(__xludf.DUMMYFUNCTION("""COMPUTED_VALUE"""),555245063)</f>
        <v>555245063</v>
      </c>
      <c r="DX291" s="133">
        <f ca="1">IFERROR(__xludf.DUMMYFUNCTION("""COMPUTED_VALUE"""),486469953)</f>
        <v>486469953</v>
      </c>
      <c r="DY291" s="133">
        <f ca="1">IFERROR(__xludf.DUMMYFUNCTION("""COMPUTED_VALUE"""),0)</f>
        <v>0</v>
      </c>
      <c r="DZ291" s="133">
        <f ca="1">IFERROR(__xludf.DUMMYFUNCTION("""COMPUTED_VALUE"""),1427296888)</f>
        <v>1427296888</v>
      </c>
      <c r="EA291" s="4"/>
      <c r="EB291" s="4"/>
    </row>
    <row r="292" spans="1:132" x14ac:dyDescent="0.2">
      <c r="A292" s="4">
        <f ca="1">IFERROR(__xludf.DUMMYFUNCTION("""COMPUTED_VALUE"""),292)</f>
        <v>292</v>
      </c>
      <c r="B292" s="4">
        <f ca="1">IFERROR(__xludf.DUMMYFUNCTION("""COMPUTED_VALUE"""),271)</f>
        <v>271</v>
      </c>
      <c r="C292" s="4" t="str">
        <f ca="1">IFERROR(__xludf.DUMMYFUNCTION("""COMPUTED_VALUE"""),"SDATOOL-34910")</f>
        <v>SDATOOL-34910</v>
      </c>
      <c r="D292" s="4" t="str">
        <f ca="1">IFERROR(__xludf.DUMMYFUNCTION("""COMPUTED_VALUE"""),"Libranza Digital")</f>
        <v>Libranza Digital</v>
      </c>
      <c r="E292"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2" s="4" t="str">
        <f ca="1">IFERROR(__xludf.DUMMYFUNCTION("""COMPUTED_VALUE"""),"Project")</f>
        <v>Project</v>
      </c>
      <c r="G292" s="4" t="str">
        <f ca="1">IFERROR(__xludf.DUMMYFUNCTION("""COMPUTED_VALUE"""),"Stock")</f>
        <v>Stock</v>
      </c>
      <c r="H292" s="4" t="str">
        <f ca="1">IFERROR(__xludf.DUMMYFUNCTION("""COMPUTED_VALUE"""),"2Q 2023")</f>
        <v>2Q 2023</v>
      </c>
      <c r="I292" s="131" t="str">
        <f ca="1">IFERROR(__xludf.DUMMYFUNCTION("""COMPUTED_VALUE"""),"angie.castaneda-bbva.com")</f>
        <v>angie.castaneda-bbva.com</v>
      </c>
      <c r="J292" s="131" t="str">
        <f ca="1">IFERROR(__xludf.DUMMYFUNCTION("""COMPUTED_VALUE"""),"brigitteyesenia.beltran-bbva.com")</f>
        <v>brigitteyesenia.beltran-bbva.com</v>
      </c>
      <c r="K292" s="131" t="str">
        <f ca="1">IFERROR(__xludf.DUMMYFUNCTION("""COMPUTED_VALUE"""),"rociomarcela.lopez-bbva.com")</f>
        <v>rociomarcela.lopez-bbva.com</v>
      </c>
      <c r="L292" s="4"/>
      <c r="M292" s="4"/>
      <c r="N292" s="4"/>
      <c r="O292" s="4" t="str">
        <f ca="1">IFERROR(__xludf.DUMMYFUNCTION("""COMPUTED_VALUE"""),"Scrum")</f>
        <v>Scrum</v>
      </c>
      <c r="P292" s="4" t="str">
        <f ca="1">IFERROR(__xludf.DUMMYFUNCTION("""COMPUTED_VALUE"""),"Cobra Kai")</f>
        <v>Cobra Kai</v>
      </c>
      <c r="Q292" s="4"/>
      <c r="R292" s="130" t="str">
        <f ca="1">IFERROR(__xludf.DUMMYFUNCTION("""COMPUTED_VALUE"""),"Retail Execution")</f>
        <v>Retail Execution</v>
      </c>
      <c r="S292" s="130" t="str">
        <f ca="1">IFERROR(__xludf.DUMMYFUNCTION("""COMPUTED_VALUE"""),"Area Review")</f>
        <v>Area Review</v>
      </c>
      <c r="T292" s="130" t="str">
        <f ca="1">IFERROR(__xludf.DUMMYFUNCTION("""COMPUTED_VALUE"""),"1. Generación de Ingresos")</f>
        <v>1. Generación de Ingresos</v>
      </c>
      <c r="U292" s="130" t="str">
        <f ca="1">IFERROR(__xludf.DUMMYFUNCTION("""COMPUTED_VALUE"""),"1.2. Proyectos de Consumo")</f>
        <v>1.2. Proyectos de Consumo</v>
      </c>
      <c r="V292" s="4" t="str">
        <f ca="1">IFERROR(__xludf.DUMMYFUNCTION("""COMPUTED_VALUE"""),"Libranza")</f>
        <v>Libranza</v>
      </c>
      <c r="W292" s="4">
        <f ca="1">IFERROR(__xludf.DUMMYFUNCTION("""COMPUTED_VALUE"""),1)</f>
        <v>1</v>
      </c>
      <c r="X292" s="4" t="str">
        <f ca="1">IFERROR(__xludf.DUMMYFUNCTION("""COMPUTED_VALUE"""),"01. Open Market &amp; Partnerships")</f>
        <v>01. Open Market &amp; Partnerships</v>
      </c>
      <c r="Y292" s="4" t="str">
        <f ca="1">IFERROR(__xludf.DUMMYFUNCTION("""COMPUTED_VALUE"""),"4.1.1. Own channels")</f>
        <v>4.1.1. Own channels</v>
      </c>
      <c r="Z292" s="132" t="str">
        <f ca="1">IFERROR(__xludf.DUMMYFUNCTION("""COMPUTED_VALUE"""),"368629")</f>
        <v>368629</v>
      </c>
      <c r="AA292" s="4" t="str">
        <f ca="1">IFERROR(__xludf.DUMMYFUNCTION("""COMPUTED_VALUE"""),"Libranza Digital: BPM")</f>
        <v>Libranza Digital: BPM</v>
      </c>
      <c r="AB292" s="4" t="str">
        <f ca="1">IFERROR(__xludf.DUMMYFUNCTION("""COMPUTED_VALUE"""),"Implentar a traves de una herramienta workflow - BPM Bonita - la gestiòn de opèraciones aprobadas por la página publica, para el tremite de la fabrica de creidto con la entidad pagadora la gestiòn de VoBo. de la operaciòn.")</f>
        <v>Implentar a traves de una herramienta workflow - BPM Bonita - la gestiòn de opèraciones aprobadas por la página publica, para el tremite de la fabrica de creidto con la entidad pagadora la gestiòn de VoBo. de la operaciòn.</v>
      </c>
      <c r="AC292" s="4" t="str">
        <f ca="1">IFERROR(__xludf.DUMMYFUNCTION("""COMPUTED_VALUE"""),"4Q 2022")</f>
        <v>4Q 2022</v>
      </c>
      <c r="AD292" s="128">
        <f ca="1">IFERROR(__xludf.DUMMYFUNCTION("""COMPUTED_VALUE"""),44614)</f>
        <v>44614</v>
      </c>
      <c r="AE292" s="128">
        <f ca="1">IFERROR(__xludf.DUMMYFUNCTION("""COMPUTED_VALUE"""),44651)</f>
        <v>44651</v>
      </c>
      <c r="AF292" s="128">
        <f ca="1">IFERROR(__xludf.DUMMYFUNCTION("""COMPUTED_VALUE"""),44681)</f>
        <v>44681</v>
      </c>
      <c r="AG292" s="128">
        <f ca="1">IFERROR(__xludf.DUMMYFUNCTION("""COMPUTED_VALUE"""),44772)</f>
        <v>44772</v>
      </c>
      <c r="AH292" s="128">
        <f ca="1">IFERROR(__xludf.DUMMYFUNCTION("""COMPUTED_VALUE"""),44804)</f>
        <v>44804</v>
      </c>
      <c r="AI292" s="128">
        <f ca="1">IFERROR(__xludf.DUMMYFUNCTION("""COMPUTED_VALUE"""),44834)</f>
        <v>44834</v>
      </c>
      <c r="AJ292" s="128">
        <f ca="1">IFERROR(__xludf.DUMMYFUNCTION("""COMPUTED_VALUE"""),44865)</f>
        <v>44865</v>
      </c>
      <c r="AK292" s="131" t="str">
        <f ca="1">IFERROR(__xludf.DUMMYFUNCTION("""COMPUTED_VALUE"""),"COLWSHERRA-1")</f>
        <v>COLWSHERRA-1</v>
      </c>
      <c r="AL292" s="4" t="str">
        <f ca="1">IFERROR(__xludf.DUMMYFUNCTION("""COMPUTED_VALUE"""),"Deployed")</f>
        <v>Deployed</v>
      </c>
      <c r="AM292" s="4" t="str">
        <f ca="1">IFERROR(__xludf.DUMMYFUNCTION("""COMPUTED_VALUE"""),"Instalado en producción el 23/Nov. ")</f>
        <v xml:space="preserve">Instalado en producción el 23/Nov. </v>
      </c>
      <c r="AN292" s="4" t="str">
        <f ca="1">IFERROR(__xludf.DUMMYFUNCTION("""COMPUTED_VALUE"""),"Finalizado")</f>
        <v>Finalizado</v>
      </c>
      <c r="AO292" s="4" t="str">
        <f ca="1">IFERROR(__xludf.DUMMYFUNCTION("""COMPUTED_VALUE"""),"Consumo partnerships")</f>
        <v>Consumo partnerships</v>
      </c>
      <c r="AP292" s="4"/>
      <c r="AQ292" s="4"/>
      <c r="AR292" s="4" t="str">
        <f ca="1">IFERROR(__xludf.DUMMYFUNCTION("""COMPUTED_VALUE"""),"SDA aprobada en PPP Q1 2023")</f>
        <v>SDA aprobada en PPP Q1 2023</v>
      </c>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row>
    <row r="293" spans="1:132" x14ac:dyDescent="0.2">
      <c r="A293" s="4">
        <f ca="1">IFERROR(__xludf.DUMMYFUNCTION("""COMPUTED_VALUE"""),293)</f>
        <v>293</v>
      </c>
      <c r="B293" s="4">
        <f ca="1">IFERROR(__xludf.DUMMYFUNCTION("""COMPUTED_VALUE"""),272)</f>
        <v>272</v>
      </c>
      <c r="C293" s="4" t="str">
        <f ca="1">IFERROR(__xludf.DUMMYFUNCTION("""COMPUTED_VALUE"""),"SDATOOL-34910")</f>
        <v>SDATOOL-34910</v>
      </c>
      <c r="D293" s="4" t="str">
        <f ca="1">IFERROR(__xludf.DUMMYFUNCTION("""COMPUTED_VALUE"""),"Libranza Digital")</f>
        <v>Libranza Digital</v>
      </c>
      <c r="E293"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3" s="4" t="str">
        <f ca="1">IFERROR(__xludf.DUMMYFUNCTION("""COMPUTED_VALUE"""),"Project")</f>
        <v>Project</v>
      </c>
      <c r="G293" s="4" t="str">
        <f ca="1">IFERROR(__xludf.DUMMYFUNCTION("""COMPUTED_VALUE"""),"Stock")</f>
        <v>Stock</v>
      </c>
      <c r="H293" s="4" t="str">
        <f ca="1">IFERROR(__xludf.DUMMYFUNCTION("""COMPUTED_VALUE"""),"2Q 2023")</f>
        <v>2Q 2023</v>
      </c>
      <c r="I293" s="131" t="str">
        <f ca="1">IFERROR(__xludf.DUMMYFUNCTION("""COMPUTED_VALUE"""),"angie.castaneda-bbva.com")</f>
        <v>angie.castaneda-bbva.com</v>
      </c>
      <c r="J293" s="131" t="str">
        <f ca="1">IFERROR(__xludf.DUMMYFUNCTION("""COMPUTED_VALUE"""),"brigitteyesenia.beltran-bbva.com")</f>
        <v>brigitteyesenia.beltran-bbva.com</v>
      </c>
      <c r="K293" s="131" t="str">
        <f ca="1">IFERROR(__xludf.DUMMYFUNCTION("""COMPUTED_VALUE"""),"rociomarcela.lopez-bbva.com")</f>
        <v>rociomarcela.lopez-bbva.com</v>
      </c>
      <c r="L293" s="4"/>
      <c r="M293" s="4"/>
      <c r="N293" s="4"/>
      <c r="O293" s="4" t="str">
        <f ca="1">IFERROR(__xludf.DUMMYFUNCTION("""COMPUTED_VALUE"""),"Scrum")</f>
        <v>Scrum</v>
      </c>
      <c r="P293" s="4" t="str">
        <f ca="1">IFERROR(__xludf.DUMMYFUNCTION("""COMPUTED_VALUE"""),"Cobra Kai")</f>
        <v>Cobra Kai</v>
      </c>
      <c r="Q293" s="4"/>
      <c r="R293" s="130" t="str">
        <f ca="1">IFERROR(__xludf.DUMMYFUNCTION("""COMPUTED_VALUE"""),"Retail Execution")</f>
        <v>Retail Execution</v>
      </c>
      <c r="S293" s="130" t="str">
        <f ca="1">IFERROR(__xludf.DUMMYFUNCTION("""COMPUTED_VALUE"""),"Area Review")</f>
        <v>Area Review</v>
      </c>
      <c r="T293" s="130" t="str">
        <f ca="1">IFERROR(__xludf.DUMMYFUNCTION("""COMPUTED_VALUE"""),"1. Generación de Ingresos")</f>
        <v>1. Generación de Ingresos</v>
      </c>
      <c r="U293" s="130" t="str">
        <f ca="1">IFERROR(__xludf.DUMMYFUNCTION("""COMPUTED_VALUE"""),"1.2. Proyectos de Consumo")</f>
        <v>1.2. Proyectos de Consumo</v>
      </c>
      <c r="V293" s="4" t="str">
        <f ca="1">IFERROR(__xludf.DUMMYFUNCTION("""COMPUTED_VALUE"""),"Libranza")</f>
        <v>Libranza</v>
      </c>
      <c r="W293" s="4">
        <f ca="1">IFERROR(__xludf.DUMMYFUNCTION("""COMPUTED_VALUE"""),1)</f>
        <v>1</v>
      </c>
      <c r="X293" s="4" t="str">
        <f ca="1">IFERROR(__xludf.DUMMYFUNCTION("""COMPUTED_VALUE"""),"01. Open Market &amp; Partnerships")</f>
        <v>01. Open Market &amp; Partnerships</v>
      </c>
      <c r="Y293" s="4" t="str">
        <f ca="1">IFERROR(__xludf.DUMMYFUNCTION("""COMPUTED_VALUE"""),"4.1.1. Own channels")</f>
        <v>4.1.1. Own channels</v>
      </c>
      <c r="Z293" s="132" t="str">
        <f ca="1">IFERROR(__xludf.DUMMYFUNCTION("""COMPUTED_VALUE"""),"560515")</f>
        <v>560515</v>
      </c>
      <c r="AA293" s="4" t="str">
        <f ca="1">IFERROR(__xludf.DUMMYFUNCTION("""COMPUTED_VALUE"""),"Desarrollo de lead para aprobación de scoring en línea en compra de cartera")</f>
        <v>Desarrollo de lead para aprobación de scoring en línea en compra de cartera</v>
      </c>
      <c r="AB293" s="4" t="str">
        <f ca="1">IFERROR(__xludf.DUMMYFUNCTION("""COMPUTED_VALUE"""),"Desarrollo de lead para aprobación de scoring en línea y desembolso en fábrica en Compra de cartera")</f>
        <v>Desarrollo de lead para aprobación de scoring en línea y desembolso en fábrica en Compra de cartera</v>
      </c>
      <c r="AC293" s="4" t="str">
        <f ca="1">IFERROR(__xludf.DUMMYFUNCTION("""COMPUTED_VALUE"""),"4Q 2022")</f>
        <v>4Q 2022</v>
      </c>
      <c r="AD293" s="128">
        <f ca="1">IFERROR(__xludf.DUMMYFUNCTION("""COMPUTED_VALUE"""),44136)</f>
        <v>44136</v>
      </c>
      <c r="AE293" s="128">
        <f ca="1">IFERROR(__xludf.DUMMYFUNCTION("""COMPUTED_VALUE"""),44227)</f>
        <v>44227</v>
      </c>
      <c r="AF293" s="128">
        <f ca="1">IFERROR(__xludf.DUMMYFUNCTION("""COMPUTED_VALUE"""),44378)</f>
        <v>44378</v>
      </c>
      <c r="AG293" s="129">
        <f ca="1">IFERROR(__xludf.DUMMYFUNCTION("""COMPUTED_VALUE"""),44804)</f>
        <v>44804</v>
      </c>
      <c r="AH293" s="129">
        <f ca="1">IFERROR(__xludf.DUMMYFUNCTION("""COMPUTED_VALUE"""),44805)</f>
        <v>44805</v>
      </c>
      <c r="AI293" s="128">
        <f ca="1">IFERROR(__xludf.DUMMYFUNCTION("""COMPUTED_VALUE"""),44834)</f>
        <v>44834</v>
      </c>
      <c r="AJ293" s="4"/>
      <c r="AK293" s="131" t="str">
        <f ca="1">IFERROR(__xludf.DUMMYFUNCTION("""COMPUTED_VALUE"""),"COLWSPREST-793")</f>
        <v>COLWSPREST-793</v>
      </c>
      <c r="AL293" s="4" t="str">
        <f ca="1">IFERROR(__xludf.DUMMYFUNCTION("""COMPUTED_VALUE"""),"Deployed")</f>
        <v>Deployed</v>
      </c>
      <c r="AM293" s="4" t="str">
        <f ca="1">IFERROR(__xludf.DUMMYFUNCTION("""COMPUTED_VALUE"""),"Instalado en producción en el 23/Nov. Pdte cerrar vobo con contabilidad y riesgos. 
 ")</f>
        <v xml:space="preserve">Instalado en producción en el 23/Nov. Pdte cerrar vobo con contabilidad y riesgos. 
 </v>
      </c>
      <c r="AN293" s="4" t="str">
        <f ca="1">IFERROR(__xludf.DUMMYFUNCTION("""COMPUTED_VALUE"""),"Finalizado")</f>
        <v>Finalizado</v>
      </c>
      <c r="AO293" s="4" t="str">
        <f ca="1">IFERROR(__xludf.DUMMYFUNCTION("""COMPUTED_VALUE"""),"Consumo partnerships")</f>
        <v>Consumo partnerships</v>
      </c>
      <c r="AP293" s="4"/>
      <c r="AQ293" s="4"/>
      <c r="AR293" s="4" t="str">
        <f ca="1">IFERROR(__xludf.DUMMYFUNCTION("""COMPUTED_VALUE"""),"SDA aprobada en PPP Q1 2023")</f>
        <v>SDA aprobada en PPP Q1 2023</v>
      </c>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row>
    <row r="294" spans="1:132" x14ac:dyDescent="0.2">
      <c r="A294" s="4">
        <f ca="1">IFERROR(__xludf.DUMMYFUNCTION("""COMPUTED_VALUE"""),294)</f>
        <v>294</v>
      </c>
      <c r="B294" s="4">
        <f ca="1">IFERROR(__xludf.DUMMYFUNCTION("""COMPUTED_VALUE"""),273)</f>
        <v>273</v>
      </c>
      <c r="C294" s="4" t="str">
        <f ca="1">IFERROR(__xludf.DUMMYFUNCTION("""COMPUTED_VALUE"""),"SDATOOL-34910")</f>
        <v>SDATOOL-34910</v>
      </c>
      <c r="D294" s="4" t="str">
        <f ca="1">IFERROR(__xludf.DUMMYFUNCTION("""COMPUTED_VALUE"""),"Libranza Digital")</f>
        <v>Libranza Digital</v>
      </c>
      <c r="E294"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4" s="4" t="str">
        <f ca="1">IFERROR(__xludf.DUMMYFUNCTION("""COMPUTED_VALUE"""),"Project")</f>
        <v>Project</v>
      </c>
      <c r="G294" s="4" t="str">
        <f ca="1">IFERROR(__xludf.DUMMYFUNCTION("""COMPUTED_VALUE"""),"Stock")</f>
        <v>Stock</v>
      </c>
      <c r="H294" s="4" t="str">
        <f ca="1">IFERROR(__xludf.DUMMYFUNCTION("""COMPUTED_VALUE"""),"2Q 2023")</f>
        <v>2Q 2023</v>
      </c>
      <c r="I294" s="131" t="str">
        <f ca="1">IFERROR(__xludf.DUMMYFUNCTION("""COMPUTED_VALUE"""),"angie.castaneda-bbva.com")</f>
        <v>angie.castaneda-bbva.com</v>
      </c>
      <c r="J294" s="131" t="str">
        <f ca="1">IFERROR(__xludf.DUMMYFUNCTION("""COMPUTED_VALUE"""),"brigitteyesenia.beltran-bbva.com")</f>
        <v>brigitteyesenia.beltran-bbva.com</v>
      </c>
      <c r="K294" s="131" t="str">
        <f ca="1">IFERROR(__xludf.DUMMYFUNCTION("""COMPUTED_VALUE"""),"rociomarcela.lopez-bbva.com")</f>
        <v>rociomarcela.lopez-bbva.com</v>
      </c>
      <c r="L294" s="4"/>
      <c r="M294" s="4"/>
      <c r="N294" s="4"/>
      <c r="O294" s="4" t="str">
        <f ca="1">IFERROR(__xludf.DUMMYFUNCTION("""COMPUTED_VALUE"""),"Scrum")</f>
        <v>Scrum</v>
      </c>
      <c r="P294" s="4" t="str">
        <f ca="1">IFERROR(__xludf.DUMMYFUNCTION("""COMPUTED_VALUE"""),"Cobra Kai")</f>
        <v>Cobra Kai</v>
      </c>
      <c r="Q294" s="4"/>
      <c r="R294" s="130" t="str">
        <f ca="1">IFERROR(__xludf.DUMMYFUNCTION("""COMPUTED_VALUE"""),"Retail Execution")</f>
        <v>Retail Execution</v>
      </c>
      <c r="S294" s="130" t="str">
        <f ca="1">IFERROR(__xludf.DUMMYFUNCTION("""COMPUTED_VALUE"""),"Area Review")</f>
        <v>Area Review</v>
      </c>
      <c r="T294" s="130" t="str">
        <f ca="1">IFERROR(__xludf.DUMMYFUNCTION("""COMPUTED_VALUE"""),"1. Generación de Ingresos")</f>
        <v>1. Generación de Ingresos</v>
      </c>
      <c r="U294" s="130" t="str">
        <f ca="1">IFERROR(__xludf.DUMMYFUNCTION("""COMPUTED_VALUE"""),"1.2. Proyectos de Consumo")</f>
        <v>1.2. Proyectos de Consumo</v>
      </c>
      <c r="V294" s="4" t="str">
        <f ca="1">IFERROR(__xludf.DUMMYFUNCTION("""COMPUTED_VALUE"""),"Libranza")</f>
        <v>Libranza</v>
      </c>
      <c r="W294" s="4">
        <f ca="1">IFERROR(__xludf.DUMMYFUNCTION("""COMPUTED_VALUE"""),1)</f>
        <v>1</v>
      </c>
      <c r="X294" s="4" t="str">
        <f ca="1">IFERROR(__xludf.DUMMYFUNCTION("""COMPUTED_VALUE"""),"01. Open Market &amp; Partnerships")</f>
        <v>01. Open Market &amp; Partnerships</v>
      </c>
      <c r="Y294" s="4" t="str">
        <f ca="1">IFERROR(__xludf.DUMMYFUNCTION("""COMPUTED_VALUE"""),"4.1.1. Own channels")</f>
        <v>4.1.1. Own channels</v>
      </c>
      <c r="Z294" s="132" t="str">
        <f ca="1">IFERROR(__xludf.DUMMYFUNCTION("""COMPUTED_VALUE"""),"560516")</f>
        <v>560516</v>
      </c>
      <c r="AA294" s="4" t="str">
        <f ca="1">IFERROR(__xludf.DUMMYFUNCTION("""COMPUTED_VALUE"""),"Desarrollo de lead para aprobación de scoring en línea en retanqueo")</f>
        <v>Desarrollo de lead para aprobación de scoring en línea en retanqueo</v>
      </c>
      <c r="AB294" s="4" t="str">
        <f ca="1">IFERROR(__xludf.DUMMYFUNCTION("""COMPUTED_VALUE"""),"Desarrollo de lead para aprobación de scoring en línea en retanqueo")</f>
        <v>Desarrollo de lead para aprobación de scoring en línea en retanqueo</v>
      </c>
      <c r="AC294" s="4" t="str">
        <f ca="1">IFERROR(__xludf.DUMMYFUNCTION("""COMPUTED_VALUE"""),"3Q 2023")</f>
        <v>3Q 2023</v>
      </c>
      <c r="AD294" s="128">
        <f ca="1">IFERROR(__xludf.DUMMYFUNCTION("""COMPUTED_VALUE"""),44136)</f>
        <v>44136</v>
      </c>
      <c r="AE294" s="128">
        <f ca="1">IFERROR(__xludf.DUMMYFUNCTION("""COMPUTED_VALUE"""),44227)</f>
        <v>44227</v>
      </c>
      <c r="AF294" s="128">
        <f ca="1">IFERROR(__xludf.DUMMYFUNCTION("""COMPUTED_VALUE"""),44319)</f>
        <v>44319</v>
      </c>
      <c r="AG294" s="129">
        <f ca="1">IFERROR(__xludf.DUMMYFUNCTION("""COMPUTED_VALUE"""),44620)</f>
        <v>44620</v>
      </c>
      <c r="AH294" s="129">
        <f ca="1">IFERROR(__xludf.DUMMYFUNCTION("""COMPUTED_VALUE"""),44651)</f>
        <v>44651</v>
      </c>
      <c r="AI294" s="128">
        <f ca="1">IFERROR(__xludf.DUMMYFUNCTION("""COMPUTED_VALUE"""),44804)</f>
        <v>44804</v>
      </c>
      <c r="AJ294" s="129">
        <f ca="1">IFERROR(__xludf.DUMMYFUNCTION("""COMPUTED_VALUE"""),44957)</f>
        <v>44957</v>
      </c>
      <c r="AK294" s="131" t="str">
        <f ca="1">IFERROR(__xludf.DUMMYFUNCTION("""COMPUTED_VALUE"""),"COLWSPREST-6782")</f>
        <v>COLWSPREST-6782</v>
      </c>
      <c r="AL294" s="4" t="str">
        <f ca="1">IFERROR(__xludf.DUMMYFUNCTION("""COMPUTED_VALUE"""),"Deployed")</f>
        <v>Deployed</v>
      </c>
      <c r="AM294" s="4" t="str">
        <f ca="1">IFERROR(__xludf.DUMMYFUNCTION("""COMPUTED_VALUE"""),"Retanqueo: En ajustes para instalar en Ene/23. ")</f>
        <v xml:space="preserve">Retanqueo: En ajustes para instalar en Ene/23. </v>
      </c>
      <c r="AN294" s="4" t="str">
        <f ca="1">IFERROR(__xludf.DUMMYFUNCTION("""COMPUTED_VALUE"""),"Entregable en desarrollo")</f>
        <v>Entregable en desarrollo</v>
      </c>
      <c r="AO294" s="4" t="str">
        <f ca="1">IFERROR(__xludf.DUMMYFUNCTION("""COMPUTED_VALUE"""),"Consumo partnerships")</f>
        <v>Consumo partnerships</v>
      </c>
      <c r="AP294" s="4"/>
      <c r="AQ294" s="4"/>
      <c r="AR294" s="4" t="str">
        <f ca="1">IFERROR(__xludf.DUMMYFUNCTION("""COMPUTED_VALUE"""),"SDA aprobada en PPP Q1 2023")</f>
        <v>SDA aprobada en PPP Q1 2023</v>
      </c>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row>
    <row r="295" spans="1:132" x14ac:dyDescent="0.2">
      <c r="A295" s="4">
        <f ca="1">IFERROR(__xludf.DUMMYFUNCTION("""COMPUTED_VALUE"""),295)</f>
        <v>295</v>
      </c>
      <c r="B295" s="4">
        <f ca="1">IFERROR(__xludf.DUMMYFUNCTION("""COMPUTED_VALUE"""),274)</f>
        <v>274</v>
      </c>
      <c r="C295" s="4" t="str">
        <f ca="1">IFERROR(__xludf.DUMMYFUNCTION("""COMPUTED_VALUE"""),"SDATOOL-34910")</f>
        <v>SDATOOL-34910</v>
      </c>
      <c r="D295" s="4" t="str">
        <f ca="1">IFERROR(__xludf.DUMMYFUNCTION("""COMPUTED_VALUE"""),"Libranza Digital")</f>
        <v>Libranza Digital</v>
      </c>
      <c r="E295"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5" s="4" t="str">
        <f ca="1">IFERROR(__xludf.DUMMYFUNCTION("""COMPUTED_VALUE"""),"Project")</f>
        <v>Project</v>
      </c>
      <c r="G295" s="4" t="str">
        <f ca="1">IFERROR(__xludf.DUMMYFUNCTION("""COMPUTED_VALUE"""),"Stock")</f>
        <v>Stock</v>
      </c>
      <c r="H295" s="4" t="str">
        <f ca="1">IFERROR(__xludf.DUMMYFUNCTION("""COMPUTED_VALUE"""),"2Q 2023")</f>
        <v>2Q 2023</v>
      </c>
      <c r="I295" s="131" t="str">
        <f ca="1">IFERROR(__xludf.DUMMYFUNCTION("""COMPUTED_VALUE"""),"angie.castaneda-bbva.com")</f>
        <v>angie.castaneda-bbva.com</v>
      </c>
      <c r="J295" s="131" t="str">
        <f ca="1">IFERROR(__xludf.DUMMYFUNCTION("""COMPUTED_VALUE"""),"brigitteyesenia.beltran-bbva.com")</f>
        <v>brigitteyesenia.beltran-bbva.com</v>
      </c>
      <c r="K295" s="131" t="str">
        <f ca="1">IFERROR(__xludf.DUMMYFUNCTION("""COMPUTED_VALUE"""),"rociomarcela.lopez-bbva.com")</f>
        <v>rociomarcela.lopez-bbva.com</v>
      </c>
      <c r="L295" s="4"/>
      <c r="M295" s="4"/>
      <c r="N295" s="4"/>
      <c r="O295" s="4" t="str">
        <f ca="1">IFERROR(__xludf.DUMMYFUNCTION("""COMPUTED_VALUE"""),"Scrum")</f>
        <v>Scrum</v>
      </c>
      <c r="P295" s="4" t="str">
        <f ca="1">IFERROR(__xludf.DUMMYFUNCTION("""COMPUTED_VALUE"""),"Cobra Kai")</f>
        <v>Cobra Kai</v>
      </c>
      <c r="Q295" s="4"/>
      <c r="R295" s="130" t="str">
        <f ca="1">IFERROR(__xludf.DUMMYFUNCTION("""COMPUTED_VALUE"""),"Retail Execution")</f>
        <v>Retail Execution</v>
      </c>
      <c r="S295" s="130" t="str">
        <f ca="1">IFERROR(__xludf.DUMMYFUNCTION("""COMPUTED_VALUE"""),"Area Review")</f>
        <v>Area Review</v>
      </c>
      <c r="T295" s="130" t="str">
        <f ca="1">IFERROR(__xludf.DUMMYFUNCTION("""COMPUTED_VALUE"""),"1. Generación de Ingresos")</f>
        <v>1. Generación de Ingresos</v>
      </c>
      <c r="U295" s="130" t="str">
        <f ca="1">IFERROR(__xludf.DUMMYFUNCTION("""COMPUTED_VALUE"""),"1.2. Proyectos de Consumo")</f>
        <v>1.2. Proyectos de Consumo</v>
      </c>
      <c r="V295" s="4" t="str">
        <f ca="1">IFERROR(__xludf.DUMMYFUNCTION("""COMPUTED_VALUE"""),"Libranza")</f>
        <v>Libranza</v>
      </c>
      <c r="W295" s="4">
        <f ca="1">IFERROR(__xludf.DUMMYFUNCTION("""COMPUTED_VALUE"""),1)</f>
        <v>1</v>
      </c>
      <c r="X295" s="4" t="str">
        <f ca="1">IFERROR(__xludf.DUMMYFUNCTION("""COMPUTED_VALUE"""),"01. Open Market &amp; Partnerships")</f>
        <v>01. Open Market &amp; Partnerships</v>
      </c>
      <c r="Y295" s="4" t="str">
        <f ca="1">IFERROR(__xludf.DUMMYFUNCTION("""COMPUTED_VALUE"""),"4.1.1. Own channels")</f>
        <v>4.1.1. Own channels</v>
      </c>
      <c r="Z295" s="132" t="str">
        <f ca="1">IFERROR(__xludf.DUMMYFUNCTION("""COMPUTED_VALUE"""),"711361")</f>
        <v>711361</v>
      </c>
      <c r="AA295" s="4" t="str">
        <f ca="1">IFERROR(__xludf.DUMMYFUNCTION("""COMPUTED_VALUE"""),"Actualización SDK Veridas")</f>
        <v>Actualización SDK Veridas</v>
      </c>
      <c r="AB295" s="4" t="str">
        <f ca="1">IFERROR(__xludf.DUMMYFUNCTION("""COMPUTED_VALUE"""),"Actualización SDK Veridas 2.0")</f>
        <v>Actualización SDK Veridas 2.0</v>
      </c>
      <c r="AC295" s="4" t="str">
        <f ca="1">IFERROR(__xludf.DUMMYFUNCTION("""COMPUTED_VALUE"""),"2Q 2023")</f>
        <v>2Q 2023</v>
      </c>
      <c r="AD295" s="4"/>
      <c r="AE295" s="4"/>
      <c r="AF295" s="4"/>
      <c r="AG295" s="4"/>
      <c r="AH295" s="4"/>
      <c r="AI295" s="4"/>
      <c r="AJ295" s="4"/>
      <c r="AK295" s="131" t="str">
        <f ca="1">IFERROR(__xludf.DUMMYFUNCTION("""COMPUTED_VALUE"""),"COLWSPREST-10164")</f>
        <v>COLWSPREST-10164</v>
      </c>
      <c r="AL295" s="4" t="str">
        <f ca="1">IFERROR(__xludf.DUMMYFUNCTION("""COMPUTED_VALUE"""),"Test")</f>
        <v>Test</v>
      </c>
      <c r="AM295" s="4"/>
      <c r="AN295" s="4" t="str">
        <f ca="1">IFERROR(__xludf.DUMMYFUNCTION("""COMPUTED_VALUE"""),"Entregable en backlog")</f>
        <v>Entregable en backlog</v>
      </c>
      <c r="AO295" s="4" t="str">
        <f ca="1">IFERROR(__xludf.DUMMYFUNCTION("""COMPUTED_VALUE"""),"Consumo partnerships")</f>
        <v>Consumo partnerships</v>
      </c>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row>
    <row r="296" spans="1:132" x14ac:dyDescent="0.2">
      <c r="A296" s="4">
        <f ca="1">IFERROR(__xludf.DUMMYFUNCTION("""COMPUTED_VALUE"""),296)</f>
        <v>296</v>
      </c>
      <c r="B296" s="4">
        <f ca="1">IFERROR(__xludf.DUMMYFUNCTION("""COMPUTED_VALUE"""),275)</f>
        <v>275</v>
      </c>
      <c r="C296" s="4" t="str">
        <f ca="1">IFERROR(__xludf.DUMMYFUNCTION("""COMPUTED_VALUE"""),"SDATOOL-34910")</f>
        <v>SDATOOL-34910</v>
      </c>
      <c r="D296" s="4" t="str">
        <f ca="1">IFERROR(__xludf.DUMMYFUNCTION("""COMPUTED_VALUE"""),"Libranza Digital")</f>
        <v>Libranza Digital</v>
      </c>
      <c r="E296"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6" s="4" t="str">
        <f ca="1">IFERROR(__xludf.DUMMYFUNCTION("""COMPUTED_VALUE"""),"Project")</f>
        <v>Project</v>
      </c>
      <c r="G296" s="4" t="str">
        <f ca="1">IFERROR(__xludf.DUMMYFUNCTION("""COMPUTED_VALUE"""),"Stock")</f>
        <v>Stock</v>
      </c>
      <c r="H296" s="4" t="str">
        <f ca="1">IFERROR(__xludf.DUMMYFUNCTION("""COMPUTED_VALUE"""),"2Q 2023")</f>
        <v>2Q 2023</v>
      </c>
      <c r="I296" s="131" t="str">
        <f ca="1">IFERROR(__xludf.DUMMYFUNCTION("""COMPUTED_VALUE"""),"angie.castaneda-bbva.com")</f>
        <v>angie.castaneda-bbva.com</v>
      </c>
      <c r="J296" s="131" t="str">
        <f ca="1">IFERROR(__xludf.DUMMYFUNCTION("""COMPUTED_VALUE"""),"brigitteyesenia.beltran-bbva.com")</f>
        <v>brigitteyesenia.beltran-bbva.com</v>
      </c>
      <c r="K296" s="131" t="str">
        <f ca="1">IFERROR(__xludf.DUMMYFUNCTION("""COMPUTED_VALUE"""),"rociomarcela.lopez-bbva.com")</f>
        <v>rociomarcela.lopez-bbva.com</v>
      </c>
      <c r="L296" s="4"/>
      <c r="M296" s="4"/>
      <c r="N296" s="4"/>
      <c r="O296" s="4" t="str">
        <f ca="1">IFERROR(__xludf.DUMMYFUNCTION("""COMPUTED_VALUE"""),"Scrum")</f>
        <v>Scrum</v>
      </c>
      <c r="P296" s="4" t="str">
        <f ca="1">IFERROR(__xludf.DUMMYFUNCTION("""COMPUTED_VALUE"""),"Cobra Kai")</f>
        <v>Cobra Kai</v>
      </c>
      <c r="Q296" s="4"/>
      <c r="R296" s="130" t="str">
        <f ca="1">IFERROR(__xludf.DUMMYFUNCTION("""COMPUTED_VALUE"""),"Retail Execution")</f>
        <v>Retail Execution</v>
      </c>
      <c r="S296" s="130" t="str">
        <f ca="1">IFERROR(__xludf.DUMMYFUNCTION("""COMPUTED_VALUE"""),"Area Review")</f>
        <v>Area Review</v>
      </c>
      <c r="T296" s="130" t="str">
        <f ca="1">IFERROR(__xludf.DUMMYFUNCTION("""COMPUTED_VALUE"""),"1. Generación de Ingresos")</f>
        <v>1. Generación de Ingresos</v>
      </c>
      <c r="U296" s="130" t="str">
        <f ca="1">IFERROR(__xludf.DUMMYFUNCTION("""COMPUTED_VALUE"""),"1.2. Proyectos de Consumo")</f>
        <v>1.2. Proyectos de Consumo</v>
      </c>
      <c r="V296" s="4" t="str">
        <f ca="1">IFERROR(__xludf.DUMMYFUNCTION("""COMPUTED_VALUE"""),"Libranza")</f>
        <v>Libranza</v>
      </c>
      <c r="W296" s="4">
        <f ca="1">IFERROR(__xludf.DUMMYFUNCTION("""COMPUTED_VALUE"""),1)</f>
        <v>1</v>
      </c>
      <c r="X296" s="4" t="str">
        <f ca="1">IFERROR(__xludf.DUMMYFUNCTION("""COMPUTED_VALUE"""),"01. Open Market &amp; Partnerships")</f>
        <v>01. Open Market &amp; Partnerships</v>
      </c>
      <c r="Y296" s="4" t="str">
        <f ca="1">IFERROR(__xludf.DUMMYFUNCTION("""COMPUTED_VALUE"""),"4.1.1. Own channels")</f>
        <v>4.1.1. Own channels</v>
      </c>
      <c r="Z296" s="132" t="str">
        <f ca="1">IFERROR(__xludf.DUMMYFUNCTION("""COMPUTED_VALUE"""),"598037")</f>
        <v>598037</v>
      </c>
      <c r="AA296" s="4" t="str">
        <f ca="1">IFERROR(__xludf.DUMMYFUNCTION("""COMPUTED_VALUE"""),"Reingeniería front Libranza digital")</f>
        <v>Reingeniería front Libranza digital</v>
      </c>
      <c r="AB296" s="4" t="str">
        <f ca="1">IFERROR(__xludf.DUMMYFUNCTION("""COMPUTED_VALUE"""),"Reingeniería a la capa  front de la funcionalidad de aprobación en línea.")</f>
        <v>Reingeniería a la capa  front de la funcionalidad de aprobación en línea.</v>
      </c>
      <c r="AC296" s="4" t="str">
        <f ca="1">IFERROR(__xludf.DUMMYFUNCTION("""COMPUTED_VALUE"""),"3Q 2023")</f>
        <v>3Q 2023</v>
      </c>
      <c r="AD296" s="4"/>
      <c r="AE296" s="4"/>
      <c r="AF296" s="4"/>
      <c r="AG296" s="4"/>
      <c r="AH296" s="4"/>
      <c r="AI296" s="4"/>
      <c r="AJ296" s="4"/>
      <c r="AK296" s="131" t="str">
        <f ca="1">IFERROR(__xludf.DUMMYFUNCTION("""COMPUTED_VALUE"""),"COLWSCANAL-6538")</f>
        <v>COLWSCANAL-6538</v>
      </c>
      <c r="AL296" s="4" t="str">
        <f ca="1">IFERROR(__xludf.DUMMYFUNCTION("""COMPUTED_VALUE"""),"New")</f>
        <v>New</v>
      </c>
      <c r="AM296" s="4"/>
      <c r="AN296" s="4" t="str">
        <f ca="1">IFERROR(__xludf.DUMMYFUNCTION("""COMPUTED_VALUE"""),"Entregable en backlog")</f>
        <v>Entregable en backlog</v>
      </c>
      <c r="AO296" s="4" t="str">
        <f ca="1">IFERROR(__xludf.DUMMYFUNCTION("""COMPUTED_VALUE"""),"Consumo partnerships")</f>
        <v>Consumo partnerships</v>
      </c>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row>
    <row r="297" spans="1:132" x14ac:dyDescent="0.2">
      <c r="A297" s="4">
        <f ca="1">IFERROR(__xludf.DUMMYFUNCTION("""COMPUTED_VALUE"""),297)</f>
        <v>297</v>
      </c>
      <c r="B297" s="4">
        <f ca="1">IFERROR(__xludf.DUMMYFUNCTION("""COMPUTED_VALUE"""),276)</f>
        <v>276</v>
      </c>
      <c r="C297" s="4" t="str">
        <f ca="1">IFERROR(__xludf.DUMMYFUNCTION("""COMPUTED_VALUE"""),"SDATOOL-39839")</f>
        <v>SDATOOL-39839</v>
      </c>
      <c r="D297" s="4" t="str">
        <f ca="1">IFERROR(__xludf.DUMMYFUNCTION("""COMPUTED_VALUE"""),"Fase 2 Libranza digital  Front Cliente retoma y tracking")</f>
        <v>Fase 2 Libranza digital  Front Cliente retoma y tracking</v>
      </c>
      <c r="E297" s="4" t="str">
        <f ca="1">IFERROR(__xludf.DUMMYFUNCTION("""COMPUTED_VALUE"""),"Habilitar el proceso de retoma en canales alternos, para clientes que no contratan con éxito la libranza en canal digital.")</f>
        <v>Habilitar el proceso de retoma en canales alternos, para clientes que no contratan con éxito la libranza en canal digital.</v>
      </c>
      <c r="F297" s="4" t="str">
        <f ca="1">IFERROR(__xludf.DUMMYFUNCTION("""COMPUTED_VALUE"""),"Initiative")</f>
        <v>Initiative</v>
      </c>
      <c r="G297" s="4" t="str">
        <f ca="1">IFERROR(__xludf.DUMMYFUNCTION("""COMPUTED_VALUE"""),"On hold")</f>
        <v>On hold</v>
      </c>
      <c r="H297" s="4" t="str">
        <f ca="1">IFERROR(__xludf.DUMMYFUNCTION("""COMPUTED_VALUE"""),"4Q 2023")</f>
        <v>4Q 2023</v>
      </c>
      <c r="I297" s="131" t="str">
        <f ca="1">IFERROR(__xludf.DUMMYFUNCTION("""COMPUTED_VALUE"""),"angie.castaneda-bbva.com")</f>
        <v>angie.castaneda-bbva.com</v>
      </c>
      <c r="J297" s="131" t="str">
        <f ca="1">IFERROR(__xludf.DUMMYFUNCTION("""COMPUTED_VALUE"""),"brigitteyesenia.beltran-bbva.com")</f>
        <v>brigitteyesenia.beltran-bbva.com</v>
      </c>
      <c r="K297" s="131" t="str">
        <f ca="1">IFERROR(__xludf.DUMMYFUNCTION("""COMPUTED_VALUE"""),"monica.zamudio-bbva.com")</f>
        <v>monica.zamudio-bbva.com</v>
      </c>
      <c r="L297" s="130">
        <f ca="1">IFERROR(__xludf.DUMMYFUNCTION("""COMPUTED_VALUE"""),0)</f>
        <v>0</v>
      </c>
      <c r="M297" s="130">
        <f ca="1">IFERROR(__xludf.DUMMYFUNCTION("""COMPUTED_VALUE"""),0)</f>
        <v>0</v>
      </c>
      <c r="N297" s="130">
        <f ca="1">IFERROR(__xludf.DUMMYFUNCTION("""COMPUTED_VALUE"""),0)</f>
        <v>0</v>
      </c>
      <c r="O297" s="4" t="str">
        <f ca="1">IFERROR(__xludf.DUMMYFUNCTION("""COMPUTED_VALUE"""),"Scrum")</f>
        <v>Scrum</v>
      </c>
      <c r="P297" s="4" t="str">
        <f ca="1">IFERROR(__xludf.DUMMYFUNCTION("""COMPUTED_VALUE"""),"Cobra Kai")</f>
        <v>Cobra Kai</v>
      </c>
      <c r="Q297" s="4"/>
      <c r="R297" s="130" t="str">
        <f ca="1">IFERROR(__xludf.DUMMYFUNCTION("""COMPUTED_VALUE"""),"Retail Execution")</f>
        <v>Retail Execution</v>
      </c>
      <c r="S297" s="130" t="str">
        <f ca="1">IFERROR(__xludf.DUMMYFUNCTION("""COMPUTED_VALUE"""),"Strategic Review")</f>
        <v>Strategic Review</v>
      </c>
      <c r="T297" s="130" t="str">
        <f ca="1">IFERROR(__xludf.DUMMYFUNCTION("""COMPUTED_VALUE"""),"1. Generación de Ingresos")</f>
        <v>1. Generación de Ingresos</v>
      </c>
      <c r="U297" s="130" t="str">
        <f ca="1">IFERROR(__xludf.DUMMYFUNCTION("""COMPUTED_VALUE"""),"1.2. Proyectos de Consumo")</f>
        <v>1.2. Proyectos de Consumo</v>
      </c>
      <c r="V297" s="4" t="str">
        <f ca="1">IFERROR(__xludf.DUMMYFUNCTION("""COMPUTED_VALUE"""),"Libranza")</f>
        <v>Libranza</v>
      </c>
      <c r="W297" s="4">
        <f ca="1">IFERROR(__xludf.DUMMYFUNCTION("""COMPUTED_VALUE"""),1)</f>
        <v>1</v>
      </c>
      <c r="X297" s="4" t="str">
        <f ca="1">IFERROR(__xludf.DUMMYFUNCTION("""COMPUTED_VALUE"""),"01. Open Market &amp; Partnerships")</f>
        <v>01. Open Market &amp; Partnerships</v>
      </c>
      <c r="Y297" s="4" t="str">
        <f ca="1">IFERROR(__xludf.DUMMYFUNCTION("""COMPUTED_VALUE"""),"4.1.1. Own channels")</f>
        <v>4.1.1. Own channels</v>
      </c>
      <c r="Z297" s="132" t="str">
        <f ca="1">IFERROR(__xludf.DUMMYFUNCTION("""COMPUTED_VALUE"""),"514829")</f>
        <v>514829</v>
      </c>
      <c r="AA297" s="4" t="str">
        <f ca="1">IFERROR(__xludf.DUMMYFUNCTION("""COMPUTED_VALUE"""),"Retoma de solicitud y traking.")</f>
        <v>Retoma de solicitud y traking.</v>
      </c>
      <c r="AB297" s="4" t="str">
        <f ca="1">IFERROR(__xludf.DUMMYFUNCTION("""COMPUTED_VALUE"""),"Retoma de solicitud y traking.")</f>
        <v>Retoma de solicitud y traking.</v>
      </c>
      <c r="AC297" s="4" t="str">
        <f ca="1">IFERROR(__xludf.DUMMYFUNCTION("""COMPUTED_VALUE"""),"3Q 2023")</f>
        <v>3Q 2023</v>
      </c>
      <c r="AD297" s="128" t="str">
        <f ca="1">IFERROR(__xludf.DUMMYFUNCTION("""COMPUTED_VALUE"""),"-")</f>
        <v>-</v>
      </c>
      <c r="AE297" s="128" t="str">
        <f ca="1">IFERROR(__xludf.DUMMYFUNCTION("""COMPUTED_VALUE"""),"-")</f>
        <v>-</v>
      </c>
      <c r="AF297" s="128" t="str">
        <f ca="1">IFERROR(__xludf.DUMMYFUNCTION("""COMPUTED_VALUE"""),"-")</f>
        <v>-</v>
      </c>
      <c r="AG297" s="128" t="str">
        <f ca="1">IFERROR(__xludf.DUMMYFUNCTION("""COMPUTED_VALUE"""),"-")</f>
        <v>-</v>
      </c>
      <c r="AH297" s="128" t="str">
        <f ca="1">IFERROR(__xludf.DUMMYFUNCTION("""COMPUTED_VALUE"""),"-")</f>
        <v>-</v>
      </c>
      <c r="AI297" s="128" t="str">
        <f ca="1">IFERROR(__xludf.DUMMYFUNCTION("""COMPUTED_VALUE"""),"-")</f>
        <v>-</v>
      </c>
      <c r="AJ297" s="128" t="str">
        <f ca="1">IFERROR(__xludf.DUMMYFUNCTION("""COMPUTED_VALUE"""),"-")</f>
        <v>-</v>
      </c>
      <c r="AK297" s="131" t="str">
        <f ca="1">IFERROR(__xludf.DUMMYFUNCTION("""COMPUTED_VALUE"""),"COLWSCANAL-3400")</f>
        <v>COLWSCANAL-3400</v>
      </c>
      <c r="AL297" s="4" t="str">
        <f ca="1">IFERROR(__xludf.DUMMYFUNCTION("""COMPUTED_VALUE"""),"New")</f>
        <v>New</v>
      </c>
      <c r="AM297" s="4" t="str">
        <f ca="1">IFERROR(__xludf.DUMMYFUNCTION("""COMPUTED_VALUE"""),"Sin iniciar. Se proyecta iniciar en Q3/23")</f>
        <v>Sin iniciar. Se proyecta iniciar en Q3/23</v>
      </c>
      <c r="AN297" s="4" t="str">
        <f ca="1">IFERROR(__xludf.DUMMYFUNCTION("""COMPUTED_VALUE"""),"Entregable en backlog")</f>
        <v>Entregable en backlog</v>
      </c>
      <c r="AO297" s="4" t="str">
        <f ca="1">IFERROR(__xludf.DUMMYFUNCTION("""COMPUTED_VALUE"""),"Consumo partnerships")</f>
        <v>Consumo partnerships</v>
      </c>
      <c r="AP297" s="4"/>
      <c r="AQ297" s="4"/>
      <c r="AR297" s="4" t="str">
        <f ca="1">IFERROR(__xludf.DUMMYFUNCTION("""COMPUTED_VALUE"""),"SDA aprobada en PPP Q1 2023")</f>
        <v>SDA aprobada en PPP Q1 2023</v>
      </c>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133">
        <f ca="1">IFERROR(__xludf.DUMMYFUNCTION("""COMPUTED_VALUE"""),0)</f>
        <v>0</v>
      </c>
      <c r="DV297" s="133">
        <f ca="1">IFERROR(__xludf.DUMMYFUNCTION("""COMPUTED_VALUE"""),0)</f>
        <v>0</v>
      </c>
      <c r="DW297" s="133">
        <f ca="1">IFERROR(__xludf.DUMMYFUNCTION("""COMPUTED_VALUE"""),0)</f>
        <v>0</v>
      </c>
      <c r="DX297" s="133">
        <f ca="1">IFERROR(__xludf.DUMMYFUNCTION("""COMPUTED_VALUE"""),450000000)</f>
        <v>450000000</v>
      </c>
      <c r="DY297" s="133">
        <f ca="1">IFERROR(__xludf.DUMMYFUNCTION("""COMPUTED_VALUE"""),0)</f>
        <v>0</v>
      </c>
      <c r="DZ297" s="133">
        <f ca="1">IFERROR(__xludf.DUMMYFUNCTION("""COMPUTED_VALUE"""),450000000)</f>
        <v>450000000</v>
      </c>
      <c r="EA297" s="4"/>
      <c r="EB297" s="4"/>
    </row>
    <row r="298" spans="1:132" x14ac:dyDescent="0.2">
      <c r="A298" s="4">
        <f ca="1">IFERROR(__xludf.DUMMYFUNCTION("""COMPUTED_VALUE"""),298)</f>
        <v>298</v>
      </c>
      <c r="B298" s="4">
        <f ca="1">IFERROR(__xludf.DUMMYFUNCTION("""COMPUTED_VALUE"""),277)</f>
        <v>277</v>
      </c>
      <c r="C298" s="4" t="str">
        <f ca="1">IFERROR(__xludf.DUMMYFUNCTION("""COMPUTED_VALUE"""),"SDATOOL-36522")</f>
        <v>SDATOOL-36522</v>
      </c>
      <c r="D298" s="4" t="str">
        <f ca="1">IFERROR(__xludf.DUMMYFUNCTION("""COMPUTED_VALUE"""),"Libranza E2E digital Fase III - Plan Ascenso Privado")</f>
        <v>Libranza E2E digital Fase III - Plan Ascenso Privado</v>
      </c>
      <c r="E298"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298" s="4" t="str">
        <f ca="1">IFERROR(__xludf.DUMMYFUNCTION("""COMPUTED_VALUE"""),"Project")</f>
        <v>Project</v>
      </c>
      <c r="G298" s="4" t="str">
        <f ca="1">IFERROR(__xludf.DUMMYFUNCTION("""COMPUTED_VALUE"""),"Stock")</f>
        <v>Stock</v>
      </c>
      <c r="H298" s="4" t="str">
        <f ca="1">IFERROR(__xludf.DUMMYFUNCTION("""COMPUTED_VALUE"""),"4Q 2023")</f>
        <v>4Q 2023</v>
      </c>
      <c r="I298" s="131" t="str">
        <f ca="1">IFERROR(__xludf.DUMMYFUNCTION("""COMPUTED_VALUE"""),"angie.castaneda-bbva.com")</f>
        <v>angie.castaneda-bbva.com</v>
      </c>
      <c r="J298" s="131" t="str">
        <f ca="1">IFERROR(__xludf.DUMMYFUNCTION("""COMPUTED_VALUE"""),"brigitteyesenia.beltran-bbva.com")</f>
        <v>brigitteyesenia.beltran-bbva.com</v>
      </c>
      <c r="K298" s="131" t="str">
        <f ca="1">IFERROR(__xludf.DUMMYFUNCTION("""COMPUTED_VALUE"""),"rociomarcela.lopez-bbva.com")</f>
        <v>rociomarcela.lopez-bbva.com</v>
      </c>
      <c r="L298" s="130">
        <f ca="1">IFERROR(__xludf.DUMMYFUNCTION("""COMPUTED_VALUE"""),0.5)</f>
        <v>0.5</v>
      </c>
      <c r="M298" s="130">
        <f ca="1">IFERROR(__xludf.DUMMYFUNCTION("""COMPUTED_VALUE"""),2.5)</f>
        <v>2.5</v>
      </c>
      <c r="N298" s="130">
        <f ca="1">IFERROR(__xludf.DUMMYFUNCTION("""COMPUTED_VALUE"""),1)</f>
        <v>1</v>
      </c>
      <c r="O298" s="4" t="str">
        <f ca="1">IFERROR(__xludf.DUMMYFUNCTION("""COMPUTED_VALUE"""),"Scrum")</f>
        <v>Scrum</v>
      </c>
      <c r="P298" s="4" t="str">
        <f ca="1">IFERROR(__xludf.DUMMYFUNCTION("""COMPUTED_VALUE"""),"DEV+")</f>
        <v>DEV+</v>
      </c>
      <c r="Q298" s="130">
        <f ca="1">IFERROR(__xludf.DUMMYFUNCTION("""COMPUTED_VALUE"""),1)</f>
        <v>1</v>
      </c>
      <c r="R298" s="130" t="str">
        <f ca="1">IFERROR(__xludf.DUMMYFUNCTION("""COMPUTED_VALUE"""),"Retail Execution")</f>
        <v>Retail Execution</v>
      </c>
      <c r="S298" s="130" t="str">
        <f ca="1">IFERROR(__xludf.DUMMYFUNCTION("""COMPUTED_VALUE"""),"Plan Ascenso")</f>
        <v>Plan Ascenso</v>
      </c>
      <c r="T298" s="130" t="str">
        <f ca="1">IFERROR(__xludf.DUMMYFUNCTION("""COMPUTED_VALUE"""),"1. Generación de Ingresos")</f>
        <v>1. Generación de Ingresos</v>
      </c>
      <c r="U298" s="130" t="str">
        <f ca="1">IFERROR(__xludf.DUMMYFUNCTION("""COMPUTED_VALUE"""),"1.2. Proyectos de Consumo")</f>
        <v>1.2. Proyectos de Consumo</v>
      </c>
      <c r="V298" s="4" t="str">
        <f ca="1">IFERROR(__xludf.DUMMYFUNCTION("""COMPUTED_VALUE"""),"Libranza")</f>
        <v>Libranza</v>
      </c>
      <c r="W298" s="4">
        <f ca="1">IFERROR(__xludf.DUMMYFUNCTION("""COMPUTED_VALUE"""),1)</f>
        <v>1</v>
      </c>
      <c r="X298" s="4" t="str">
        <f ca="1">IFERROR(__xludf.DUMMYFUNCTION("""COMPUTED_VALUE"""),"01. Open Market &amp; Partnerships")</f>
        <v>01. Open Market &amp; Partnerships</v>
      </c>
      <c r="Y298" s="4" t="str">
        <f ca="1">IFERROR(__xludf.DUMMYFUNCTION("""COMPUTED_VALUE"""),"4.1.1. Own channels")</f>
        <v>4.1.1. Own channels</v>
      </c>
      <c r="Z298" s="132" t="str">
        <f ca="1">IFERROR(__xludf.DUMMYFUNCTION("""COMPUTED_VALUE"""),"382093")</f>
        <v>382093</v>
      </c>
      <c r="AA298" s="4" t="str">
        <f ca="1">IFERROR(__xludf.DUMMYFUNCTION("""COMPUTED_VALUE"""),"Bancarizados E2E libre inversión")</f>
        <v>Bancarizados E2E libre inversión</v>
      </c>
      <c r="AB298" s="4" t="str">
        <f ca="1">IFERROR(__xludf.DUMMYFUNCTION("""COMPUTED_VALUE"""),"Descricpion
Bancarizados E2E
Corresponde a los usuarios de Fiduprevisora, los cuales al ser clientes bancarizados se dispone de la información de capacidad de descuento y no requiere VoBo. pagador, en estos casos se podría formalizar en línea. Con este pr"&amp;"imer entregable se garantiza una alta usabilidad del proceso digital y ver resultados de forma inmediata además que corresponde al 10,43% del total de la cartera siendo uno de los principales convenios.")</f>
        <v>Descricpion
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298" s="4" t="str">
        <f ca="1">IFERROR(__xludf.DUMMYFUNCTION("""COMPUTED_VALUE"""),"1Q 2023")</f>
        <v>1Q 2023</v>
      </c>
      <c r="AD298" s="128">
        <f ca="1">IFERROR(__xludf.DUMMYFUNCTION("""COMPUTED_VALUE"""),44473)</f>
        <v>44473</v>
      </c>
      <c r="AE298" s="128">
        <f ca="1">IFERROR(__xludf.DUMMYFUNCTION("""COMPUTED_VALUE"""),44561)</f>
        <v>44561</v>
      </c>
      <c r="AF298" s="128">
        <f ca="1">IFERROR(__xludf.DUMMYFUNCTION("""COMPUTED_VALUE"""),44713)</f>
        <v>44713</v>
      </c>
      <c r="AG298" s="128">
        <f ca="1">IFERROR(__xludf.DUMMYFUNCTION("""COMPUTED_VALUE"""),44895)</f>
        <v>44895</v>
      </c>
      <c r="AH298" s="128">
        <f ca="1">IFERROR(__xludf.DUMMYFUNCTION("""COMPUTED_VALUE"""),44896)</f>
        <v>44896</v>
      </c>
      <c r="AI298" s="128">
        <f ca="1">IFERROR(__xludf.DUMMYFUNCTION("""COMPUTED_VALUE"""),44926)</f>
        <v>44926</v>
      </c>
      <c r="AJ298" s="128">
        <f ca="1">IFERROR(__xludf.DUMMYFUNCTION("""COMPUTED_VALUE"""),44957)</f>
        <v>44957</v>
      </c>
      <c r="AK298" s="131" t="str">
        <f ca="1">IFERROR(__xludf.DUMMYFUNCTION("""COMPUTED_VALUE"""),"COLWSCANAL-3396")</f>
        <v>COLWSCANAL-3396</v>
      </c>
      <c r="AL298" s="4" t="str">
        <f ca="1">IFERROR(__xludf.DUMMYFUNCTION("""COMPUTED_VALUE"""),"En progreso")</f>
        <v>En progreso</v>
      </c>
      <c r="AM298" s="4" t="str">
        <f ca="1">IFERROR(__xludf.DUMMYFUNCTION("""COMPUTED_VALUE""")," En desarrollo para instalar en Ene/23")</f>
        <v xml:space="preserve"> En desarrollo para instalar en Ene/23</v>
      </c>
      <c r="AN298" s="4" t="str">
        <f ca="1">IFERROR(__xludf.DUMMYFUNCTION("""COMPUTED_VALUE"""),"Entregable en desarrollo")</f>
        <v>Entregable en desarrollo</v>
      </c>
      <c r="AO298" s="4" t="str">
        <f ca="1">IFERROR(__xludf.DUMMYFUNCTION("""COMPUTED_VALUE"""),"Consumo partnerships")</f>
        <v>Consumo partnerships</v>
      </c>
      <c r="AP298" s="4"/>
      <c r="AQ298" s="4"/>
      <c r="AR298" s="4" t="str">
        <f ca="1">IFERROR(__xludf.DUMMYFUNCTION("""COMPUTED_VALUE"""),"SDA aprobada en PPP Q1 2023")</f>
        <v>SDA aprobada en PPP Q1 2023</v>
      </c>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133">
        <f ca="1">IFERROR(__xludf.DUMMYFUNCTION("""COMPUTED_VALUE"""),0)</f>
        <v>0</v>
      </c>
      <c r="DV298" s="133">
        <f ca="1">IFERROR(__xludf.DUMMYFUNCTION("""COMPUTED_VALUE"""),0)</f>
        <v>0</v>
      </c>
      <c r="DW298" s="133">
        <f ca="1">IFERROR(__xludf.DUMMYFUNCTION("""COMPUTED_VALUE"""),500877813)</f>
        <v>500877813</v>
      </c>
      <c r="DX298" s="133">
        <f ca="1">IFERROR(__xludf.DUMMYFUNCTION("""COMPUTED_VALUE"""),447811150)</f>
        <v>447811150</v>
      </c>
      <c r="DY298" s="133">
        <f ca="1">IFERROR(__xludf.DUMMYFUNCTION("""COMPUTED_VALUE"""),0)</f>
        <v>0</v>
      </c>
      <c r="DZ298" s="133">
        <f ca="1">IFERROR(__xludf.DUMMYFUNCTION("""COMPUTED_VALUE"""),948688963)</f>
        <v>948688963</v>
      </c>
      <c r="EA298" s="4"/>
      <c r="EB298" s="4"/>
    </row>
    <row r="299" spans="1:132" x14ac:dyDescent="0.2">
      <c r="A299" s="4">
        <f ca="1">IFERROR(__xludf.DUMMYFUNCTION("""COMPUTED_VALUE"""),299)</f>
        <v>299</v>
      </c>
      <c r="B299" s="4">
        <f ca="1">IFERROR(__xludf.DUMMYFUNCTION("""COMPUTED_VALUE"""),278)</f>
        <v>278</v>
      </c>
      <c r="C299" s="4" t="str">
        <f ca="1">IFERROR(__xludf.DUMMYFUNCTION("""COMPUTED_VALUE"""),"SDATOOL-36522")</f>
        <v>SDATOOL-36522</v>
      </c>
      <c r="D299" s="4" t="str">
        <f ca="1">IFERROR(__xludf.DUMMYFUNCTION("""COMPUTED_VALUE"""),"Libranza E2E digital Fase III - Plan Ascenso Privado")</f>
        <v>Libranza E2E digital Fase III - Plan Ascenso Privado</v>
      </c>
      <c r="E299"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299" s="4" t="str">
        <f ca="1">IFERROR(__xludf.DUMMYFUNCTION("""COMPUTED_VALUE"""),"Project")</f>
        <v>Project</v>
      </c>
      <c r="G299" s="4" t="str">
        <f ca="1">IFERROR(__xludf.DUMMYFUNCTION("""COMPUTED_VALUE"""),"Stock")</f>
        <v>Stock</v>
      </c>
      <c r="H299" s="4" t="str">
        <f ca="1">IFERROR(__xludf.DUMMYFUNCTION("""COMPUTED_VALUE"""),"4Q 2023")</f>
        <v>4Q 2023</v>
      </c>
      <c r="I299" s="131" t="str">
        <f ca="1">IFERROR(__xludf.DUMMYFUNCTION("""COMPUTED_VALUE"""),"angie.castaneda-bbva.com")</f>
        <v>angie.castaneda-bbva.com</v>
      </c>
      <c r="J299" s="131" t="str">
        <f ca="1">IFERROR(__xludf.DUMMYFUNCTION("""COMPUTED_VALUE"""),"brigitteyesenia.beltran-bbva.com")</f>
        <v>brigitteyesenia.beltran-bbva.com</v>
      </c>
      <c r="K299" s="131" t="str">
        <f ca="1">IFERROR(__xludf.DUMMYFUNCTION("""COMPUTED_VALUE"""),"rociomarcela.lopez-bbva.com")</f>
        <v>rociomarcela.lopez-bbva.com</v>
      </c>
      <c r="L299" s="4"/>
      <c r="M299" s="4"/>
      <c r="N299" s="4"/>
      <c r="O299" s="4" t="str">
        <f ca="1">IFERROR(__xludf.DUMMYFUNCTION("""COMPUTED_VALUE"""),"Scrum")</f>
        <v>Scrum</v>
      </c>
      <c r="P299" s="4" t="str">
        <f ca="1">IFERROR(__xludf.DUMMYFUNCTION("""COMPUTED_VALUE"""),"DEV+")</f>
        <v>DEV+</v>
      </c>
      <c r="Q299" s="4"/>
      <c r="R299" s="130" t="str">
        <f ca="1">IFERROR(__xludf.DUMMYFUNCTION("""COMPUTED_VALUE"""),"Retail Execution")</f>
        <v>Retail Execution</v>
      </c>
      <c r="S299" s="130" t="str">
        <f ca="1">IFERROR(__xludf.DUMMYFUNCTION("""COMPUTED_VALUE"""),"Plan Ascenso")</f>
        <v>Plan Ascenso</v>
      </c>
      <c r="T299" s="130" t="str">
        <f ca="1">IFERROR(__xludf.DUMMYFUNCTION("""COMPUTED_VALUE"""),"1. Generación de Ingresos")</f>
        <v>1. Generación de Ingresos</v>
      </c>
      <c r="U299" s="130" t="str">
        <f ca="1">IFERROR(__xludf.DUMMYFUNCTION("""COMPUTED_VALUE"""),"1.2. Proyectos de Consumo")</f>
        <v>1.2. Proyectos de Consumo</v>
      </c>
      <c r="V299" s="4" t="str">
        <f ca="1">IFERROR(__xludf.DUMMYFUNCTION("""COMPUTED_VALUE"""),"Libranza")</f>
        <v>Libranza</v>
      </c>
      <c r="W299" s="4">
        <f ca="1">IFERROR(__xludf.DUMMYFUNCTION("""COMPUTED_VALUE"""),1)</f>
        <v>1</v>
      </c>
      <c r="X299" s="4" t="str">
        <f ca="1">IFERROR(__xludf.DUMMYFUNCTION("""COMPUTED_VALUE"""),"01. Open Market &amp; Partnerships")</f>
        <v>01. Open Market &amp; Partnerships</v>
      </c>
      <c r="Y299" s="4" t="str">
        <f ca="1">IFERROR(__xludf.DUMMYFUNCTION("""COMPUTED_VALUE"""),"4.1.1. Own channels")</f>
        <v>4.1.1. Own channels</v>
      </c>
      <c r="Z299" s="132" t="str">
        <f ca="1">IFERROR(__xludf.DUMMYFUNCTION("""COMPUTED_VALUE"""),"514832")</f>
        <v>514832</v>
      </c>
      <c r="AA299" s="4" t="str">
        <f ca="1">IFERROR(__xludf.DUMMYFUNCTION("""COMPUTED_VALUE"""),"Bancarizados E2E compra de cartera")</f>
        <v>Bancarizados E2E compra de cartera</v>
      </c>
      <c r="AB299" s="4" t="str">
        <f ca="1">IFERROR(__xludf.DUMMYFUNCTION("""COMPUTED_VALUE"""),"Bancarizados E2E
Corresponde a los usuarios de Fiduprevisora, los cuales al ser clientes bancarizados se dispone de la información de capacidad de descuento y no requiere VoBo. pagador, en estos casos se podría formalizar en línea. Con este primer entrega"&amp;"ble se garantiza una alta usabilidad del proceso digital y ver resultados de forma inmediata además que corresponde al 10,43% del total de la cartera siendo uno de los principales convenios.")</f>
        <v>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299" s="4" t="str">
        <f ca="1">IFERROR(__xludf.DUMMYFUNCTION("""COMPUTED_VALUE"""),"3Q 2023")</f>
        <v>3Q 2023</v>
      </c>
      <c r="AD299" s="128">
        <f ca="1">IFERROR(__xludf.DUMMYFUNCTION("""COMPUTED_VALUE"""),44473)</f>
        <v>44473</v>
      </c>
      <c r="AE299" s="128">
        <f ca="1">IFERROR(__xludf.DUMMYFUNCTION("""COMPUTED_VALUE"""),44561)</f>
        <v>44561</v>
      </c>
      <c r="AF299" s="128">
        <f ca="1">IFERROR(__xludf.DUMMYFUNCTION("""COMPUTED_VALUE"""),44774)</f>
        <v>44774</v>
      </c>
      <c r="AG299" s="128">
        <f ca="1">IFERROR(__xludf.DUMMYFUNCTION("""COMPUTED_VALUE"""),44926)</f>
        <v>44926</v>
      </c>
      <c r="AH299" s="128">
        <f ca="1">IFERROR(__xludf.DUMMYFUNCTION("""COMPUTED_VALUE"""),44927)</f>
        <v>44927</v>
      </c>
      <c r="AI299" s="128">
        <f ca="1">IFERROR(__xludf.DUMMYFUNCTION("""COMPUTED_VALUE"""),44985)</f>
        <v>44985</v>
      </c>
      <c r="AJ299" s="128">
        <f ca="1">IFERROR(__xludf.DUMMYFUNCTION("""COMPUTED_VALUE"""),45016)</f>
        <v>45016</v>
      </c>
      <c r="AK299" s="4" t="str">
        <f ca="1">IFERROR(__xludf.DUMMYFUNCTION("""COMPUTED_VALUE"""),"Sin asignar")</f>
        <v>Sin asignar</v>
      </c>
      <c r="AL299" s="4" t="str">
        <f ca="1">IFERROR(__xludf.DUMMYFUNCTION("""COMPUTED_VALUE"""),"Sin asignar")</f>
        <v>Sin asignar</v>
      </c>
      <c r="AM299" s="4" t="str">
        <f ca="1">IFERROR(__xludf.DUMMYFUNCTION("""COMPUTED_VALUE""")," En desarrollo para instalar en Mar/23")</f>
        <v xml:space="preserve"> En desarrollo para instalar en Mar/23</v>
      </c>
      <c r="AN299" s="4" t="str">
        <f ca="1">IFERROR(__xludf.DUMMYFUNCTION("""COMPUTED_VALUE"""),"Entregable en desarrollo")</f>
        <v>Entregable en desarrollo</v>
      </c>
      <c r="AO299" s="4" t="str">
        <f ca="1">IFERROR(__xludf.DUMMYFUNCTION("""COMPUTED_VALUE"""),"Consumo partnerships")</f>
        <v>Consumo partnerships</v>
      </c>
      <c r="AP299" s="4"/>
      <c r="AQ299" s="4"/>
      <c r="AR299" s="4" t="str">
        <f ca="1">IFERROR(__xludf.DUMMYFUNCTION("""COMPUTED_VALUE"""),"SDA aprobada en PPP Q1 2023")</f>
        <v>SDA aprobada en PPP Q1 2023</v>
      </c>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row>
    <row r="300" spans="1:132" x14ac:dyDescent="0.2">
      <c r="A300" s="4">
        <f ca="1">IFERROR(__xludf.DUMMYFUNCTION("""COMPUTED_VALUE"""),300)</f>
        <v>300</v>
      </c>
      <c r="B300" s="4">
        <f ca="1">IFERROR(__xludf.DUMMYFUNCTION("""COMPUTED_VALUE"""),279)</f>
        <v>279</v>
      </c>
      <c r="C300" s="4" t="str">
        <f ca="1">IFERROR(__xludf.DUMMYFUNCTION("""COMPUTED_VALUE"""),"SDATOOL-36522")</f>
        <v>SDATOOL-36522</v>
      </c>
      <c r="D300" s="4" t="str">
        <f ca="1">IFERROR(__xludf.DUMMYFUNCTION("""COMPUTED_VALUE"""),"Libranza E2E digital Fase III - Plan Ascenso Privado")</f>
        <v>Libranza E2E digital Fase III - Plan Ascenso Privado</v>
      </c>
      <c r="E300"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0" s="4" t="str">
        <f ca="1">IFERROR(__xludf.DUMMYFUNCTION("""COMPUTED_VALUE"""),"Project")</f>
        <v>Project</v>
      </c>
      <c r="G300" s="4" t="str">
        <f ca="1">IFERROR(__xludf.DUMMYFUNCTION("""COMPUTED_VALUE"""),"Stock")</f>
        <v>Stock</v>
      </c>
      <c r="H300" s="4" t="str">
        <f ca="1">IFERROR(__xludf.DUMMYFUNCTION("""COMPUTED_VALUE"""),"4Q 2023")</f>
        <v>4Q 2023</v>
      </c>
      <c r="I300" s="131" t="str">
        <f ca="1">IFERROR(__xludf.DUMMYFUNCTION("""COMPUTED_VALUE"""),"angie.castaneda-bbva.com")</f>
        <v>angie.castaneda-bbva.com</v>
      </c>
      <c r="J300" s="131" t="str">
        <f ca="1">IFERROR(__xludf.DUMMYFUNCTION("""COMPUTED_VALUE"""),"brigitteyesenia.beltran-bbva.com")</f>
        <v>brigitteyesenia.beltran-bbva.com</v>
      </c>
      <c r="K300" s="131" t="str">
        <f ca="1">IFERROR(__xludf.DUMMYFUNCTION("""COMPUTED_VALUE"""),"rociomarcela.lopez-bbva.com")</f>
        <v>rociomarcela.lopez-bbva.com</v>
      </c>
      <c r="L300" s="4"/>
      <c r="M300" s="4"/>
      <c r="N300" s="4"/>
      <c r="O300" s="4" t="str">
        <f ca="1">IFERROR(__xludf.DUMMYFUNCTION("""COMPUTED_VALUE"""),"Scrum")</f>
        <v>Scrum</v>
      </c>
      <c r="P300" s="4" t="str">
        <f ca="1">IFERROR(__xludf.DUMMYFUNCTION("""COMPUTED_VALUE"""),"DEV+")</f>
        <v>DEV+</v>
      </c>
      <c r="Q300" s="4"/>
      <c r="R300" s="130" t="str">
        <f ca="1">IFERROR(__xludf.DUMMYFUNCTION("""COMPUTED_VALUE"""),"Retail Execution")</f>
        <v>Retail Execution</v>
      </c>
      <c r="S300" s="130" t="str">
        <f ca="1">IFERROR(__xludf.DUMMYFUNCTION("""COMPUTED_VALUE"""),"Plan Ascenso")</f>
        <v>Plan Ascenso</v>
      </c>
      <c r="T300" s="130" t="str">
        <f ca="1">IFERROR(__xludf.DUMMYFUNCTION("""COMPUTED_VALUE"""),"1. Generación de Ingresos")</f>
        <v>1. Generación de Ingresos</v>
      </c>
      <c r="U300" s="130" t="str">
        <f ca="1">IFERROR(__xludf.DUMMYFUNCTION("""COMPUTED_VALUE"""),"1.2. Proyectos de Consumo")</f>
        <v>1.2. Proyectos de Consumo</v>
      </c>
      <c r="V300" s="4" t="str">
        <f ca="1">IFERROR(__xludf.DUMMYFUNCTION("""COMPUTED_VALUE"""),"Libranza")</f>
        <v>Libranza</v>
      </c>
      <c r="W300" s="4">
        <f ca="1">IFERROR(__xludf.DUMMYFUNCTION("""COMPUTED_VALUE"""),1)</f>
        <v>1</v>
      </c>
      <c r="X300" s="4" t="str">
        <f ca="1">IFERROR(__xludf.DUMMYFUNCTION("""COMPUTED_VALUE"""),"01. Open Market &amp; Partnerships")</f>
        <v>01. Open Market &amp; Partnerships</v>
      </c>
      <c r="Y300" s="4" t="str">
        <f ca="1">IFERROR(__xludf.DUMMYFUNCTION("""COMPUTED_VALUE"""),"4.1.1. Own channels")</f>
        <v>4.1.1. Own channels</v>
      </c>
      <c r="Z300" s="132" t="str">
        <f ca="1">IFERROR(__xludf.DUMMYFUNCTION("""COMPUTED_VALUE"""),"514828")</f>
        <v>514828</v>
      </c>
      <c r="AA300" s="4" t="str">
        <f ca="1">IFERROR(__xludf.DUMMYFUNCTION("""COMPUTED_VALUE"""),"Bancarizados E2E retanqueo")</f>
        <v>Bancarizados E2E retanqueo</v>
      </c>
      <c r="AB300" s="4" t="str">
        <f ca="1">IFERROR(__xludf.DUMMYFUNCTION("""COMPUTED_VALUE"""),"Bancarizados E2E
Corresponde a los usuarios de Fiduprevisora, los cuales al ser clientes bancarizados se dispone de la información de capacidad de descuento y no requiere VoBo. pagador, en estos casos se podría formalizar en línea. Con este primer entrega"&amp;"ble se garantiza una alta usabilidad del proceso digital y ver resultados de forma inmediata además que corresponde al 10,43% del total de la cartera siendo uno de los principales convenios")</f>
        <v>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300" s="4" t="str">
        <f ca="1">IFERROR(__xludf.DUMMYFUNCTION("""COMPUTED_VALUE"""),"4Q 2023")</f>
        <v>4Q 2023</v>
      </c>
      <c r="AD300" s="128">
        <f ca="1">IFERROR(__xludf.DUMMYFUNCTION("""COMPUTED_VALUE"""),44473)</f>
        <v>44473</v>
      </c>
      <c r="AE300" s="128">
        <f ca="1">IFERROR(__xludf.DUMMYFUNCTION("""COMPUTED_VALUE"""),44561)</f>
        <v>44561</v>
      </c>
      <c r="AF300" s="4"/>
      <c r="AG300" s="4"/>
      <c r="AH300" s="4"/>
      <c r="AI300" s="4"/>
      <c r="AJ300" s="4"/>
      <c r="AK300" s="4" t="str">
        <f ca="1">IFERROR(__xludf.DUMMYFUNCTION("""COMPUTED_VALUE"""),"Sin asignar")</f>
        <v>Sin asignar</v>
      </c>
      <c r="AL300" s="4" t="str">
        <f ca="1">IFERROR(__xludf.DUMMYFUNCTION("""COMPUTED_VALUE"""),"Sin asignar")</f>
        <v>Sin asignar</v>
      </c>
      <c r="AM300" s="4" t="str">
        <f ca="1">IFERROR(__xludf.DUMMYFUNCTION("""COMPUTED_VALUE""")," TBD plan de trabajo y sin iniciar  ")</f>
        <v xml:space="preserve"> TBD plan de trabajo y sin iniciar  </v>
      </c>
      <c r="AN300" s="4" t="str">
        <f ca="1">IFERROR(__xludf.DUMMYFUNCTION("""COMPUTED_VALUE"""),"Entregable en backlog")</f>
        <v>Entregable en backlog</v>
      </c>
      <c r="AO300" s="4" t="str">
        <f ca="1">IFERROR(__xludf.DUMMYFUNCTION("""COMPUTED_VALUE"""),"Consumo partnerships")</f>
        <v>Consumo partnerships</v>
      </c>
      <c r="AP300" s="4"/>
      <c r="AQ300" s="4"/>
      <c r="AR300" s="4" t="str">
        <f ca="1">IFERROR(__xludf.DUMMYFUNCTION("""COMPUTED_VALUE"""),"SDA aprobada en PPP Q1 2023")</f>
        <v>SDA aprobada en PPP Q1 2023</v>
      </c>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row>
    <row r="301" spans="1:132" x14ac:dyDescent="0.2">
      <c r="A301" s="4">
        <f ca="1">IFERROR(__xludf.DUMMYFUNCTION("""COMPUTED_VALUE"""),301)</f>
        <v>301</v>
      </c>
      <c r="B301" s="4">
        <f ca="1">IFERROR(__xludf.DUMMYFUNCTION("""COMPUTED_VALUE"""),280)</f>
        <v>280</v>
      </c>
      <c r="C301" s="4" t="str">
        <f ca="1">IFERROR(__xludf.DUMMYFUNCTION("""COMPUTED_VALUE"""),"SDATOOL-36522")</f>
        <v>SDATOOL-36522</v>
      </c>
      <c r="D301" s="4" t="str">
        <f ca="1">IFERROR(__xludf.DUMMYFUNCTION("""COMPUTED_VALUE"""),"Libranza E2E digital Fase III - Plan Ascenso Privado")</f>
        <v>Libranza E2E digital Fase III - Plan Ascenso Privado</v>
      </c>
      <c r="E301"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1" s="4" t="str">
        <f ca="1">IFERROR(__xludf.DUMMYFUNCTION("""COMPUTED_VALUE"""),"Project")</f>
        <v>Project</v>
      </c>
      <c r="G301" s="4" t="str">
        <f ca="1">IFERROR(__xludf.DUMMYFUNCTION("""COMPUTED_VALUE"""),"Stock")</f>
        <v>Stock</v>
      </c>
      <c r="H301" s="4" t="str">
        <f ca="1">IFERROR(__xludf.DUMMYFUNCTION("""COMPUTED_VALUE"""),"4Q 2023")</f>
        <v>4Q 2023</v>
      </c>
      <c r="I301" s="131" t="str">
        <f ca="1">IFERROR(__xludf.DUMMYFUNCTION("""COMPUTED_VALUE"""),"angie.castaneda-bbva.com")</f>
        <v>angie.castaneda-bbva.com</v>
      </c>
      <c r="J301" s="131" t="str">
        <f ca="1">IFERROR(__xludf.DUMMYFUNCTION("""COMPUTED_VALUE"""),"brigitteyesenia.beltran-bbva.com")</f>
        <v>brigitteyesenia.beltran-bbva.com</v>
      </c>
      <c r="K301" s="131" t="str">
        <f ca="1">IFERROR(__xludf.DUMMYFUNCTION("""COMPUTED_VALUE"""),"rociomarcela.lopez-bbva.com")</f>
        <v>rociomarcela.lopez-bbva.com</v>
      </c>
      <c r="L301" s="4"/>
      <c r="M301" s="4"/>
      <c r="N301" s="4"/>
      <c r="O301" s="4" t="str">
        <f ca="1">IFERROR(__xludf.DUMMYFUNCTION("""COMPUTED_VALUE"""),"Scrum")</f>
        <v>Scrum</v>
      </c>
      <c r="P301" s="4" t="str">
        <f ca="1">IFERROR(__xludf.DUMMYFUNCTION("""COMPUTED_VALUE"""),"DEV+")</f>
        <v>DEV+</v>
      </c>
      <c r="Q301" s="4"/>
      <c r="R301" s="130" t="str">
        <f ca="1">IFERROR(__xludf.DUMMYFUNCTION("""COMPUTED_VALUE"""),"Retail Execution")</f>
        <v>Retail Execution</v>
      </c>
      <c r="S301" s="130" t="str">
        <f ca="1">IFERROR(__xludf.DUMMYFUNCTION("""COMPUTED_VALUE"""),"Plan Ascenso")</f>
        <v>Plan Ascenso</v>
      </c>
      <c r="T301" s="130" t="str">
        <f ca="1">IFERROR(__xludf.DUMMYFUNCTION("""COMPUTED_VALUE"""),"1. Generación de Ingresos")</f>
        <v>1. Generación de Ingresos</v>
      </c>
      <c r="U301" s="130" t="str">
        <f ca="1">IFERROR(__xludf.DUMMYFUNCTION("""COMPUTED_VALUE"""),"1.2. Proyectos de Consumo")</f>
        <v>1.2. Proyectos de Consumo</v>
      </c>
      <c r="V301" s="4" t="str">
        <f ca="1">IFERROR(__xludf.DUMMYFUNCTION("""COMPUTED_VALUE"""),"Libranza")</f>
        <v>Libranza</v>
      </c>
      <c r="W301" s="4">
        <f ca="1">IFERROR(__xludf.DUMMYFUNCTION("""COMPUTED_VALUE"""),1)</f>
        <v>1</v>
      </c>
      <c r="X301" s="4" t="str">
        <f ca="1">IFERROR(__xludf.DUMMYFUNCTION("""COMPUTED_VALUE"""),"01. Open Market &amp; Partnerships")</f>
        <v>01. Open Market &amp; Partnerships</v>
      </c>
      <c r="Y301" s="4" t="str">
        <f ca="1">IFERROR(__xludf.DUMMYFUNCTION("""COMPUTED_VALUE"""),"4.1.1. Own channels")</f>
        <v>4.1.1. Own channels</v>
      </c>
      <c r="Z301" s="132" t="str">
        <f ca="1">IFERROR(__xludf.DUMMYFUNCTION("""COMPUTED_VALUE"""),"382094")</f>
        <v>382094</v>
      </c>
      <c r="AA301" s="4" t="str">
        <f ca="1">IFERROR(__xludf.DUMMYFUNCTION("""COMPUTED_VALUE"""),"Front Pagador NetCash")</f>
        <v>Front Pagador NetCash</v>
      </c>
      <c r="AB301" s="4" t="str">
        <f ca="1">IFERROR(__xludf.DUMMYFUNCTION("""COMPUTED_VALUE"""),"Corresponde a las empresas privadas, usuarias de netcash. En este caso se plantea inicialmente empresas del segmento privado dado que el proceso de VoBo a través de un front es potencialmente más fácil de gestionar a través de las Bancas que si fuera sobr"&amp;"e empresas públicas.")</f>
        <v>Corresponde a las empresas privadas, usuarias de netcash. En este caso se plantea inicialmente empresas del segmento privado dado que el proceso de VoBo a través de un front es potencialmente más fácil de gestionar a través de las Bancas que si fuera sobre empresas públicas.</v>
      </c>
      <c r="AC301" s="4" t="str">
        <f ca="1">IFERROR(__xludf.DUMMYFUNCTION("""COMPUTED_VALUE"""),"4Q 2023")</f>
        <v>4Q 2023</v>
      </c>
      <c r="AD301" s="4"/>
      <c r="AE301" s="4"/>
      <c r="AF301" s="128" t="str">
        <f ca="1">IFERROR(__xludf.DUMMYFUNCTION("""COMPUTED_VALUE"""),"-")</f>
        <v>-</v>
      </c>
      <c r="AG301" s="128" t="str">
        <f ca="1">IFERROR(__xludf.DUMMYFUNCTION("""COMPUTED_VALUE"""),"-")</f>
        <v>-</v>
      </c>
      <c r="AH301" s="128" t="str">
        <f ca="1">IFERROR(__xludf.DUMMYFUNCTION("""COMPUTED_VALUE"""),"-")</f>
        <v>-</v>
      </c>
      <c r="AI301" s="128" t="str">
        <f ca="1">IFERROR(__xludf.DUMMYFUNCTION("""COMPUTED_VALUE"""),"-")</f>
        <v>-</v>
      </c>
      <c r="AJ301" s="128" t="str">
        <f ca="1">IFERROR(__xludf.DUMMYFUNCTION("""COMPUTED_VALUE"""),"-")</f>
        <v>-</v>
      </c>
      <c r="AK301" s="131" t="str">
        <f ca="1">IFERROR(__xludf.DUMMYFUNCTION("""COMPUTED_VALUE"""),"COLWSPREST-2745")</f>
        <v>COLWSPREST-2745</v>
      </c>
      <c r="AL301" s="4" t="str">
        <f ca="1">IFERROR(__xludf.DUMMYFUNCTION("""COMPUTED_VALUE"""),"New")</f>
        <v>New</v>
      </c>
      <c r="AM301" s="4" t="str">
        <f ca="1">IFERROR(__xludf.DUMMYFUNCTION("""COMPUTED_VALUE"""),"Sin iniciar.")</f>
        <v>Sin iniciar.</v>
      </c>
      <c r="AN301" s="4" t="str">
        <f ca="1">IFERROR(__xludf.DUMMYFUNCTION("""COMPUTED_VALUE"""),"Entregable en backlog")</f>
        <v>Entregable en backlog</v>
      </c>
      <c r="AO301" s="4" t="str">
        <f ca="1">IFERROR(__xludf.DUMMYFUNCTION("""COMPUTED_VALUE"""),"Consumo partnerships")</f>
        <v>Consumo partnerships</v>
      </c>
      <c r="AP301" s="4"/>
      <c r="AQ301" s="4"/>
      <c r="AR301" s="4" t="str">
        <f ca="1">IFERROR(__xludf.DUMMYFUNCTION("""COMPUTED_VALUE"""),"SDA aprobada en PPP Q1 2023")</f>
        <v>SDA aprobada en PPP Q1 2023</v>
      </c>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row>
    <row r="302" spans="1:132" x14ac:dyDescent="0.2">
      <c r="A302" s="4">
        <f ca="1">IFERROR(__xludf.DUMMYFUNCTION("""COMPUTED_VALUE"""),302)</f>
        <v>302</v>
      </c>
      <c r="B302" s="4">
        <f ca="1">IFERROR(__xludf.DUMMYFUNCTION("""COMPUTED_VALUE"""),281)</f>
        <v>281</v>
      </c>
      <c r="C302" s="4" t="str">
        <f ca="1">IFERROR(__xludf.DUMMYFUNCTION("""COMPUTED_VALUE"""),"SDATOOL-36522")</f>
        <v>SDATOOL-36522</v>
      </c>
      <c r="D302" s="4" t="str">
        <f ca="1">IFERROR(__xludf.DUMMYFUNCTION("""COMPUTED_VALUE"""),"Libranza E2E digital Fase III - Plan Ascenso Privado")</f>
        <v>Libranza E2E digital Fase III - Plan Ascenso Privado</v>
      </c>
      <c r="E302"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2" s="4" t="str">
        <f ca="1">IFERROR(__xludf.DUMMYFUNCTION("""COMPUTED_VALUE"""),"Project")</f>
        <v>Project</v>
      </c>
      <c r="G302" s="4" t="str">
        <f ca="1">IFERROR(__xludf.DUMMYFUNCTION("""COMPUTED_VALUE"""),"Stock")</f>
        <v>Stock</v>
      </c>
      <c r="H302" s="4" t="str">
        <f ca="1">IFERROR(__xludf.DUMMYFUNCTION("""COMPUTED_VALUE"""),"4Q 2023")</f>
        <v>4Q 2023</v>
      </c>
      <c r="I302" s="131" t="str">
        <f ca="1">IFERROR(__xludf.DUMMYFUNCTION("""COMPUTED_VALUE"""),"angie.castaneda-bbva.com")</f>
        <v>angie.castaneda-bbva.com</v>
      </c>
      <c r="J302" s="131" t="str">
        <f ca="1">IFERROR(__xludf.DUMMYFUNCTION("""COMPUTED_VALUE"""),"brigitteyesenia.beltran-bbva.com")</f>
        <v>brigitteyesenia.beltran-bbva.com</v>
      </c>
      <c r="K302" s="131" t="str">
        <f ca="1">IFERROR(__xludf.DUMMYFUNCTION("""COMPUTED_VALUE"""),"rociomarcela.lopez-bbva.com")</f>
        <v>rociomarcela.lopez-bbva.com</v>
      </c>
      <c r="L302" s="4"/>
      <c r="M302" s="4"/>
      <c r="N302" s="4"/>
      <c r="O302" s="4" t="str">
        <f ca="1">IFERROR(__xludf.DUMMYFUNCTION("""COMPUTED_VALUE"""),"Scrum")</f>
        <v>Scrum</v>
      </c>
      <c r="P302" s="4" t="str">
        <f ca="1">IFERROR(__xludf.DUMMYFUNCTION("""COMPUTED_VALUE"""),"DEV+")</f>
        <v>DEV+</v>
      </c>
      <c r="Q302" s="4"/>
      <c r="R302" s="130" t="str">
        <f ca="1">IFERROR(__xludf.DUMMYFUNCTION("""COMPUTED_VALUE"""),"Retail Execution")</f>
        <v>Retail Execution</v>
      </c>
      <c r="S302" s="130" t="str">
        <f ca="1">IFERROR(__xludf.DUMMYFUNCTION("""COMPUTED_VALUE"""),"Plan Ascenso")</f>
        <v>Plan Ascenso</v>
      </c>
      <c r="T302" s="130" t="str">
        <f ca="1">IFERROR(__xludf.DUMMYFUNCTION("""COMPUTED_VALUE"""),"1. Generación de Ingresos")</f>
        <v>1. Generación de Ingresos</v>
      </c>
      <c r="U302" s="130" t="str">
        <f ca="1">IFERROR(__xludf.DUMMYFUNCTION("""COMPUTED_VALUE"""),"1.2. Proyectos de Consumo")</f>
        <v>1.2. Proyectos de Consumo</v>
      </c>
      <c r="V302" s="4" t="str">
        <f ca="1">IFERROR(__xludf.DUMMYFUNCTION("""COMPUTED_VALUE"""),"Libranza")</f>
        <v>Libranza</v>
      </c>
      <c r="W302" s="4">
        <f ca="1">IFERROR(__xludf.DUMMYFUNCTION("""COMPUTED_VALUE"""),1)</f>
        <v>1</v>
      </c>
      <c r="X302" s="4" t="str">
        <f ca="1">IFERROR(__xludf.DUMMYFUNCTION("""COMPUTED_VALUE"""),"01. Open Market &amp; Partnerships")</f>
        <v>01. Open Market &amp; Partnerships</v>
      </c>
      <c r="Y302" s="4" t="str">
        <f ca="1">IFERROR(__xludf.DUMMYFUNCTION("""COMPUTED_VALUE"""),"4.1.1. Own channels")</f>
        <v>4.1.1. Own channels</v>
      </c>
      <c r="Z302" s="132" t="str">
        <f ca="1">IFERROR(__xludf.DUMMYFUNCTION("""COMPUTED_VALUE"""),"382095")</f>
        <v>382095</v>
      </c>
      <c r="AA302" s="4" t="str">
        <f ca="1">IFERROR(__xludf.DUMMYFUNCTION("""COMPUTED_VALUE"""),"Automatización VoBo")</f>
        <v>Automatización VoBo</v>
      </c>
      <c r="AB302" s="4" t="str">
        <f ca="1">IFERROR(__xludf.DUMMYFUNCTION("""COMPUTED_VALUE"""),"Implemanar mecanismos para la gestión y formalización de operaciones de libranza de forma automatica sea por procesos E2E o procesos BATCH en el tramite de VoBo. y contabilización.")</f>
        <v>Implemanar mecanismos para la gestión y formalización de operaciones de libranza de forma automatica sea por procesos E2E o procesos BATCH en el tramite de VoBo. y contabilización.</v>
      </c>
      <c r="AC302" s="4" t="str">
        <f ca="1">IFERROR(__xludf.DUMMYFUNCTION("""COMPUTED_VALUE"""),"4Q 2023")</f>
        <v>4Q 2023</v>
      </c>
      <c r="AD302" s="4"/>
      <c r="AE302" s="4"/>
      <c r="AF302" s="128" t="str">
        <f ca="1">IFERROR(__xludf.DUMMYFUNCTION("""COMPUTED_VALUE"""),"-")</f>
        <v>-</v>
      </c>
      <c r="AG302" s="128" t="str">
        <f ca="1">IFERROR(__xludf.DUMMYFUNCTION("""COMPUTED_VALUE"""),"-")</f>
        <v>-</v>
      </c>
      <c r="AH302" s="128" t="str">
        <f ca="1">IFERROR(__xludf.DUMMYFUNCTION("""COMPUTED_VALUE"""),"-")</f>
        <v>-</v>
      </c>
      <c r="AI302" s="128" t="str">
        <f ca="1">IFERROR(__xludf.DUMMYFUNCTION("""COMPUTED_VALUE"""),"-")</f>
        <v>-</v>
      </c>
      <c r="AJ302" s="128" t="str">
        <f ca="1">IFERROR(__xludf.DUMMYFUNCTION("""COMPUTED_VALUE"""),"-")</f>
        <v>-</v>
      </c>
      <c r="AK302" s="4" t="str">
        <f ca="1">IFERROR(__xludf.DUMMYFUNCTION("""COMPUTED_VALUE"""),"Sin asignar")</f>
        <v>Sin asignar</v>
      </c>
      <c r="AL302" s="4" t="str">
        <f ca="1">IFERROR(__xludf.DUMMYFUNCTION("""COMPUTED_VALUE"""),"Sin asignar")</f>
        <v>Sin asignar</v>
      </c>
      <c r="AM302" s="4" t="str">
        <f ca="1">IFERROR(__xludf.DUMMYFUNCTION("""COMPUTED_VALUE"""),"""- Sin iniciar")</f>
        <v>"- Sin iniciar</v>
      </c>
      <c r="AN302" s="4" t="str">
        <f ca="1">IFERROR(__xludf.DUMMYFUNCTION("""COMPUTED_VALUE"""),"Entregable en backlog")</f>
        <v>Entregable en backlog</v>
      </c>
      <c r="AO302" s="4" t="str">
        <f ca="1">IFERROR(__xludf.DUMMYFUNCTION("""COMPUTED_VALUE"""),"Consumo partnerships")</f>
        <v>Consumo partnerships</v>
      </c>
      <c r="AP302" s="4"/>
      <c r="AQ302" s="4"/>
      <c r="AR302" s="4" t="str">
        <f ca="1">IFERROR(__xludf.DUMMYFUNCTION("""COMPUTED_VALUE"""),"SDA aprobada en PPP Q1 2023")</f>
        <v>SDA aprobada en PPP Q1 2023</v>
      </c>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row>
    <row r="303" spans="1:132" x14ac:dyDescent="0.2">
      <c r="A303" s="4">
        <f ca="1">IFERROR(__xludf.DUMMYFUNCTION("""COMPUTED_VALUE"""),303)</f>
        <v>303</v>
      </c>
      <c r="B303" s="4">
        <f ca="1">IFERROR(__xludf.DUMMYFUNCTION("""COMPUTED_VALUE"""),282)</f>
        <v>282</v>
      </c>
      <c r="C303" s="4" t="str">
        <f ca="1">IFERROR(__xludf.DUMMYFUNCTION("""COMPUTED_VALUE"""),"SDATOOL-38693")</f>
        <v>SDATOOL-38693</v>
      </c>
      <c r="D303" s="4" t="str">
        <f ca="1">IFERROR(__xludf.DUMMYFUNCTION("""COMPUTED_VALUE"""),"Optimización oferta  D+0 y ADN en canal digital")</f>
        <v>Optimización oferta  D+0 y ADN en canal digital</v>
      </c>
      <c r="E303"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3" s="4" t="str">
        <f ca="1">IFERROR(__xludf.DUMMYFUNCTION("""COMPUTED_VALUE"""),"Project")</f>
        <v>Project</v>
      </c>
      <c r="G303" s="4" t="str">
        <f ca="1">IFERROR(__xludf.DUMMYFUNCTION("""COMPUTED_VALUE"""),"Ended")</f>
        <v>Ended</v>
      </c>
      <c r="H303" s="4" t="str">
        <f ca="1">IFERROR(__xludf.DUMMYFUNCTION("""COMPUTED_VALUE"""),"1Q 2023")</f>
        <v>1Q 2023</v>
      </c>
      <c r="I303" s="131" t="str">
        <f ca="1">IFERROR(__xludf.DUMMYFUNCTION("""COMPUTED_VALUE"""),"angie.castaneda-bbva.com")</f>
        <v>angie.castaneda-bbva.com</v>
      </c>
      <c r="J303" s="131" t="str">
        <f ca="1">IFERROR(__xludf.DUMMYFUNCTION("""COMPUTED_VALUE"""),"diegoandres.rodriguez-bbva.com")</f>
        <v>diegoandres.rodriguez-bbva.com</v>
      </c>
      <c r="K303" s="131" t="str">
        <f ca="1">IFERROR(__xludf.DUMMYFUNCTION("""COMPUTED_VALUE"""),"andresfelipe.granados-bbva.com")</f>
        <v>andresfelipe.granados-bbva.com</v>
      </c>
      <c r="L303" s="130">
        <f ca="1">IFERROR(__xludf.DUMMYFUNCTION("""COMPUTED_VALUE"""),0)</f>
        <v>0</v>
      </c>
      <c r="M303" s="130">
        <f ca="1">IFERROR(__xludf.DUMMYFUNCTION("""COMPUTED_VALUE"""),0)</f>
        <v>0</v>
      </c>
      <c r="N303" s="130">
        <f ca="1">IFERROR(__xludf.DUMMYFUNCTION("""COMPUTED_VALUE"""),0)</f>
        <v>0</v>
      </c>
      <c r="O303" s="4" t="str">
        <f ca="1">IFERROR(__xludf.DUMMYFUNCTION("""COMPUTED_VALUE"""),"Waterfall")</f>
        <v>Waterfall</v>
      </c>
      <c r="P303" s="4" t="str">
        <f ca="1">IFERROR(__xludf.DUMMYFUNCTION("""COMPUTED_VALUE"""),"Tradicional")</f>
        <v>Tradicional</v>
      </c>
      <c r="Q303" s="4"/>
      <c r="R303" s="130" t="str">
        <f ca="1">IFERROR(__xludf.DUMMYFUNCTION("""COMPUTED_VALUE"""),"Retail Execution")</f>
        <v>Retail Execution</v>
      </c>
      <c r="S303" s="130" t="str">
        <f ca="1">IFERROR(__xludf.DUMMYFUNCTION("""COMPUTED_VALUE"""),"Area Review")</f>
        <v>Area Review</v>
      </c>
      <c r="T303" s="130" t="str">
        <f ca="1">IFERROR(__xludf.DUMMYFUNCTION("""COMPUTED_VALUE"""),"1. Generación de Ingresos")</f>
        <v>1. Generación de Ingresos</v>
      </c>
      <c r="U303" s="130" t="str">
        <f ca="1">IFERROR(__xludf.DUMMYFUNCTION("""COMPUTED_VALUE"""),"1.5. Otros de Proyectos de Ingresos")</f>
        <v>1.5. Otros de Proyectos de Ingresos</v>
      </c>
      <c r="V303" s="4" t="str">
        <f ca="1">IFERROR(__xludf.DUMMYFUNCTION("""COMPUTED_VALUE"""),"TdC")</f>
        <v>TdC</v>
      </c>
      <c r="W303" s="4">
        <f ca="1">IFERROR(__xludf.DUMMYFUNCTION("""COMPUTED_VALUE"""),2)</f>
        <v>2</v>
      </c>
      <c r="X303" s="4" t="str">
        <f ca="1">IFERROR(__xludf.DUMMYFUNCTION("""COMPUTED_VALUE"""),"05. Cross-sell")</f>
        <v>05. Cross-sell</v>
      </c>
      <c r="Y303" s="4" t="str">
        <f ca="1">IFERROR(__xludf.DUMMYFUNCTION("""COMPUTED_VALUE"""),"4.1.1. Own channels")</f>
        <v>4.1.1. Own channels</v>
      </c>
      <c r="Z303" s="132" t="str">
        <f ca="1">IFERROR(__xludf.DUMMYFUNCTION("""COMPUTED_VALUE"""),"492057")</f>
        <v>492057</v>
      </c>
      <c r="AA303" s="4" t="str">
        <f ca="1">IFERROR(__xludf.DUMMYFUNCTION("""COMPUTED_VALUE"""),"Aprobación oferta clientes con scoring duda")</f>
        <v>Aprobación oferta clientes con scoring duda</v>
      </c>
      <c r="AB303" s="4" t="str">
        <f ca="1">IFERROR(__xludf.DUMMYFUNCTION("""COMPUTED_VALUE"""),"1) Aprobación oferta clientes con scoring duda")</f>
        <v>1) Aprobación oferta clientes con scoring duda</v>
      </c>
      <c r="AC303" s="4" t="str">
        <f ca="1">IFERROR(__xludf.DUMMYFUNCTION("""COMPUTED_VALUE"""),"2Q 2022")</f>
        <v>2Q 2022</v>
      </c>
      <c r="AD303" s="128">
        <f ca="1">IFERROR(__xludf.DUMMYFUNCTION("""COMPUTED_VALUE"""),44501)</f>
        <v>44501</v>
      </c>
      <c r="AE303" s="128">
        <f ca="1">IFERROR(__xludf.DUMMYFUNCTION("""COMPUTED_VALUE"""),44592)</f>
        <v>44592</v>
      </c>
      <c r="AF303" s="128">
        <f ca="1">IFERROR(__xludf.DUMMYFUNCTION("""COMPUTED_VALUE"""),44599)</f>
        <v>44599</v>
      </c>
      <c r="AG303" s="128">
        <f ca="1">IFERROR(__xludf.DUMMYFUNCTION("""COMPUTED_VALUE"""),44620)</f>
        <v>44620</v>
      </c>
      <c r="AH303" s="128">
        <f ca="1">IFERROR(__xludf.DUMMYFUNCTION("""COMPUTED_VALUE"""),44621)</f>
        <v>44621</v>
      </c>
      <c r="AI303" s="128">
        <f ca="1">IFERROR(__xludf.DUMMYFUNCTION("""COMPUTED_VALUE"""),44651)</f>
        <v>44651</v>
      </c>
      <c r="AJ303" s="128">
        <f ca="1">IFERROR(__xludf.DUMMYFUNCTION("""COMPUTED_VALUE"""),44681)</f>
        <v>44681</v>
      </c>
      <c r="AK303" s="4" t="str">
        <f ca="1">IFERROR(__xludf.DUMMYFUNCTION("""COMPUTED_VALUE"""),"Sin asignar")</f>
        <v>Sin asignar</v>
      </c>
      <c r="AL303" s="4" t="str">
        <f ca="1">IFERROR(__xludf.DUMMYFUNCTION("""COMPUTED_VALUE"""),"Sin asignar")</f>
        <v>Sin asignar</v>
      </c>
      <c r="AM303" s="4" t="str">
        <f ca="1">IFERROR(__xludf.DUMMYFUNCTION("""COMPUTED_VALUE""")," En producción 19/Mar""")</f>
        <v xml:space="preserve"> En producción 19/Mar"</v>
      </c>
      <c r="AN303" s="4" t="str">
        <f ca="1">IFERROR(__xludf.DUMMYFUNCTION("""COMPUTED_VALUE"""),"Finalizado")</f>
        <v>Finalizado</v>
      </c>
      <c r="AO303" s="4" t="str">
        <f ca="1">IFERROR(__xludf.DUMMYFUNCTION("""COMPUTED_VALUE"""),"Tarjeta de crédito /medios de pago")</f>
        <v>Tarjeta de crédito /medios de pago</v>
      </c>
      <c r="AP303" s="4"/>
      <c r="AQ303" s="4"/>
      <c r="AR303" s="4" t="str">
        <f ca="1">IFERROR(__xludf.DUMMYFUNCTION("""COMPUTED_VALUE"""),"SDA aprobada en PPP Q1 2023")</f>
        <v>SDA aprobada en PPP Q1 2023</v>
      </c>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133">
        <f ca="1">IFERROR(__xludf.DUMMYFUNCTION("""COMPUTED_VALUE"""),0)</f>
        <v>0</v>
      </c>
      <c r="DV303" s="133">
        <f ca="1">IFERROR(__xludf.DUMMYFUNCTION("""COMPUTED_VALUE"""),0)</f>
        <v>0</v>
      </c>
      <c r="DW303" s="133">
        <f ca="1">IFERROR(__xludf.DUMMYFUNCTION("""COMPUTED_VALUE"""),333795638)</f>
        <v>333795638</v>
      </c>
      <c r="DX303" s="133">
        <f ca="1">IFERROR(__xludf.DUMMYFUNCTION("""COMPUTED_VALUE"""),80484614)</f>
        <v>80484614</v>
      </c>
      <c r="DY303" s="133">
        <f ca="1">IFERROR(__xludf.DUMMYFUNCTION("""COMPUTED_VALUE"""),0)</f>
        <v>0</v>
      </c>
      <c r="DZ303" s="133">
        <f ca="1">IFERROR(__xludf.DUMMYFUNCTION("""COMPUTED_VALUE"""),414280252)</f>
        <v>414280252</v>
      </c>
      <c r="EA303" s="4"/>
      <c r="EB303" s="4"/>
    </row>
    <row r="304" spans="1:132" x14ac:dyDescent="0.2">
      <c r="A304" s="4">
        <f ca="1">IFERROR(__xludf.DUMMYFUNCTION("""COMPUTED_VALUE"""),304)</f>
        <v>304</v>
      </c>
      <c r="B304" s="4">
        <f ca="1">IFERROR(__xludf.DUMMYFUNCTION("""COMPUTED_VALUE"""),283)</f>
        <v>283</v>
      </c>
      <c r="C304" s="4" t="str">
        <f ca="1">IFERROR(__xludf.DUMMYFUNCTION("""COMPUTED_VALUE"""),"SDATOOL-38693")</f>
        <v>SDATOOL-38693</v>
      </c>
      <c r="D304" s="4" t="str">
        <f ca="1">IFERROR(__xludf.DUMMYFUNCTION("""COMPUTED_VALUE"""),"Optimización oferta  D+0 y ADN en canal digital")</f>
        <v>Optimización oferta  D+0 y ADN en canal digital</v>
      </c>
      <c r="E304"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4" s="4" t="str">
        <f ca="1">IFERROR(__xludf.DUMMYFUNCTION("""COMPUTED_VALUE"""),"Project")</f>
        <v>Project</v>
      </c>
      <c r="G304" s="4" t="str">
        <f ca="1">IFERROR(__xludf.DUMMYFUNCTION("""COMPUTED_VALUE"""),"Ended")</f>
        <v>Ended</v>
      </c>
      <c r="H304" s="4" t="str">
        <f ca="1">IFERROR(__xludf.DUMMYFUNCTION("""COMPUTED_VALUE"""),"1Q 2023")</f>
        <v>1Q 2023</v>
      </c>
      <c r="I304" s="131" t="str">
        <f ca="1">IFERROR(__xludf.DUMMYFUNCTION("""COMPUTED_VALUE"""),"angie.castaneda-bbva.com")</f>
        <v>angie.castaneda-bbva.com</v>
      </c>
      <c r="J304" s="131" t="str">
        <f ca="1">IFERROR(__xludf.DUMMYFUNCTION("""COMPUTED_VALUE"""),"diegoandres.rodriguez-bbva.com")</f>
        <v>diegoandres.rodriguez-bbva.com</v>
      </c>
      <c r="K304" s="131" t="str">
        <f ca="1">IFERROR(__xludf.DUMMYFUNCTION("""COMPUTED_VALUE"""),"andresfelipe.granados-bbva.com")</f>
        <v>andresfelipe.granados-bbva.com</v>
      </c>
      <c r="L304" s="4"/>
      <c r="M304" s="4"/>
      <c r="N304" s="4"/>
      <c r="O304" s="4" t="str">
        <f ca="1">IFERROR(__xludf.DUMMYFUNCTION("""COMPUTED_VALUE"""),"Waterfall")</f>
        <v>Waterfall</v>
      </c>
      <c r="P304" s="4" t="str">
        <f ca="1">IFERROR(__xludf.DUMMYFUNCTION("""COMPUTED_VALUE"""),"Tradicional")</f>
        <v>Tradicional</v>
      </c>
      <c r="Q304" s="4"/>
      <c r="R304" s="130" t="str">
        <f ca="1">IFERROR(__xludf.DUMMYFUNCTION("""COMPUTED_VALUE"""),"Retail Execution")</f>
        <v>Retail Execution</v>
      </c>
      <c r="S304" s="130" t="str">
        <f ca="1">IFERROR(__xludf.DUMMYFUNCTION("""COMPUTED_VALUE"""),"Area Review")</f>
        <v>Area Review</v>
      </c>
      <c r="T304" s="130" t="str">
        <f ca="1">IFERROR(__xludf.DUMMYFUNCTION("""COMPUTED_VALUE"""),"1. Generación de Ingresos")</f>
        <v>1. Generación de Ingresos</v>
      </c>
      <c r="U304" s="130" t="str">
        <f ca="1">IFERROR(__xludf.DUMMYFUNCTION("""COMPUTED_VALUE"""),"1.5. Otros de Proyectos de Ingresos")</f>
        <v>1.5. Otros de Proyectos de Ingresos</v>
      </c>
      <c r="V304" s="4" t="str">
        <f ca="1">IFERROR(__xludf.DUMMYFUNCTION("""COMPUTED_VALUE"""),"TdC")</f>
        <v>TdC</v>
      </c>
      <c r="W304" s="4">
        <f ca="1">IFERROR(__xludf.DUMMYFUNCTION("""COMPUTED_VALUE"""),2)</f>
        <v>2</v>
      </c>
      <c r="X304" s="4" t="str">
        <f ca="1">IFERROR(__xludf.DUMMYFUNCTION("""COMPUTED_VALUE"""),"05. Cross-sell")</f>
        <v>05. Cross-sell</v>
      </c>
      <c r="Y304" s="4" t="str">
        <f ca="1">IFERROR(__xludf.DUMMYFUNCTION("""COMPUTED_VALUE"""),"4.1.1. Own channels")</f>
        <v>4.1.1. Own channels</v>
      </c>
      <c r="Z304" s="132" t="str">
        <f ca="1">IFERROR(__xludf.DUMMYFUNCTION("""COMPUTED_VALUE"""),"430690")</f>
        <v>430690</v>
      </c>
      <c r="AA304" s="4" t="str">
        <f ca="1">IFERROR(__xludf.DUMMYFUNCTION("""COMPUTED_VALUE"""),"Campo codigo Asesor")</f>
        <v>Campo codigo Asesor</v>
      </c>
      <c r="AB304"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AC304" s="4" t="str">
        <f ca="1">IFERROR(__xludf.DUMMYFUNCTION("""COMPUTED_VALUE"""),"2Q 2022")</f>
        <v>2Q 2022</v>
      </c>
      <c r="AD304" s="128">
        <f ca="1">IFERROR(__xludf.DUMMYFUNCTION("""COMPUTED_VALUE"""),44593)</f>
        <v>44593</v>
      </c>
      <c r="AE304" s="128">
        <f ca="1">IFERROR(__xludf.DUMMYFUNCTION("""COMPUTED_VALUE"""),44619)</f>
        <v>44619</v>
      </c>
      <c r="AF304" s="128">
        <f ca="1">IFERROR(__xludf.DUMMYFUNCTION("""COMPUTED_VALUE"""),44621)</f>
        <v>44621</v>
      </c>
      <c r="AG304" s="128">
        <f ca="1">IFERROR(__xludf.DUMMYFUNCTION("""COMPUTED_VALUE"""),44648)</f>
        <v>44648</v>
      </c>
      <c r="AH304" s="128">
        <f ca="1">IFERROR(__xludf.DUMMYFUNCTION("""COMPUTED_VALUE"""),44652)</f>
        <v>44652</v>
      </c>
      <c r="AI304" s="128">
        <f ca="1">IFERROR(__xludf.DUMMYFUNCTION("""COMPUTED_VALUE"""),44681)</f>
        <v>44681</v>
      </c>
      <c r="AJ304" s="128">
        <f ca="1">IFERROR(__xludf.DUMMYFUNCTION("""COMPUTED_VALUE"""),44688)</f>
        <v>44688</v>
      </c>
      <c r="AK304" s="131" t="str">
        <f ca="1">IFERROR(__xludf.DUMMYFUNCTION("""COMPUTED_VALUE"""),"COLWSCUENT-363")</f>
        <v>COLWSCUENT-363</v>
      </c>
      <c r="AL304" s="4" t="str">
        <f ca="1">IFERROR(__xludf.DUMMYFUNCTION("""COMPUTED_VALUE"""),"Deployed")</f>
        <v>Deployed</v>
      </c>
      <c r="AM304" s="4" t="str">
        <f ca="1">IFERROR(__xludf.DUMMYFUNCTION("""COMPUTED_VALUE""")," se instaló el 7/May. ")</f>
        <v xml:space="preserve"> se instaló el 7/May. </v>
      </c>
      <c r="AN304" s="4" t="str">
        <f ca="1">IFERROR(__xludf.DUMMYFUNCTION("""COMPUTED_VALUE"""),"Finalizado")</f>
        <v>Finalizado</v>
      </c>
      <c r="AO304" s="4" t="str">
        <f ca="1">IFERROR(__xludf.DUMMYFUNCTION("""COMPUTED_VALUE"""),"Tarjeta de crédito /medios de pago")</f>
        <v>Tarjeta de crédito /medios de pago</v>
      </c>
      <c r="AP304" s="4"/>
      <c r="AQ304" s="4"/>
      <c r="AR304" s="4" t="str">
        <f ca="1">IFERROR(__xludf.DUMMYFUNCTION("""COMPUTED_VALUE"""),"SDA aprobada en PPP Q1 2023")</f>
        <v>SDA aprobada en PPP Q1 2023</v>
      </c>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row>
    <row r="305" spans="1:132" x14ac:dyDescent="0.2">
      <c r="A305" s="4">
        <f ca="1">IFERROR(__xludf.DUMMYFUNCTION("""COMPUTED_VALUE"""),305)</f>
        <v>305</v>
      </c>
      <c r="B305" s="4">
        <f ca="1">IFERROR(__xludf.DUMMYFUNCTION("""COMPUTED_VALUE"""),284)</f>
        <v>284</v>
      </c>
      <c r="C305" s="4" t="str">
        <f ca="1">IFERROR(__xludf.DUMMYFUNCTION("""COMPUTED_VALUE"""),"SDATOOL-38693")</f>
        <v>SDATOOL-38693</v>
      </c>
      <c r="D305" s="4" t="str">
        <f ca="1">IFERROR(__xludf.DUMMYFUNCTION("""COMPUTED_VALUE"""),"Optimización oferta  D+0 y ADN en canal digital")</f>
        <v>Optimización oferta  D+0 y ADN en canal digital</v>
      </c>
      <c r="E305"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5" s="4" t="str">
        <f ca="1">IFERROR(__xludf.DUMMYFUNCTION("""COMPUTED_VALUE"""),"Project")</f>
        <v>Project</v>
      </c>
      <c r="G305" s="4" t="str">
        <f ca="1">IFERROR(__xludf.DUMMYFUNCTION("""COMPUTED_VALUE"""),"Ended")</f>
        <v>Ended</v>
      </c>
      <c r="H305" s="4" t="str">
        <f ca="1">IFERROR(__xludf.DUMMYFUNCTION("""COMPUTED_VALUE"""),"1Q 2023")</f>
        <v>1Q 2023</v>
      </c>
      <c r="I305" s="131" t="str">
        <f ca="1">IFERROR(__xludf.DUMMYFUNCTION("""COMPUTED_VALUE"""),"angie.castaneda-bbva.com")</f>
        <v>angie.castaneda-bbva.com</v>
      </c>
      <c r="J305" s="131" t="str">
        <f ca="1">IFERROR(__xludf.DUMMYFUNCTION("""COMPUTED_VALUE"""),"diegoandres.rodriguez-bbva.com")</f>
        <v>diegoandres.rodriguez-bbva.com</v>
      </c>
      <c r="K305" s="131" t="str">
        <f ca="1">IFERROR(__xludf.DUMMYFUNCTION("""COMPUTED_VALUE"""),"andresfelipe.granados-bbva.com")</f>
        <v>andresfelipe.granados-bbva.com</v>
      </c>
      <c r="L305" s="4"/>
      <c r="M305" s="4"/>
      <c r="N305" s="4"/>
      <c r="O305" s="4" t="str">
        <f ca="1">IFERROR(__xludf.DUMMYFUNCTION("""COMPUTED_VALUE"""),"Waterfall")</f>
        <v>Waterfall</v>
      </c>
      <c r="P305" s="4" t="str">
        <f ca="1">IFERROR(__xludf.DUMMYFUNCTION("""COMPUTED_VALUE"""),"Tradicional")</f>
        <v>Tradicional</v>
      </c>
      <c r="Q305" s="4"/>
      <c r="R305" s="130" t="str">
        <f ca="1">IFERROR(__xludf.DUMMYFUNCTION("""COMPUTED_VALUE"""),"Retail Execution")</f>
        <v>Retail Execution</v>
      </c>
      <c r="S305" s="130" t="str">
        <f ca="1">IFERROR(__xludf.DUMMYFUNCTION("""COMPUTED_VALUE"""),"Area Review")</f>
        <v>Area Review</v>
      </c>
      <c r="T305" s="130" t="str">
        <f ca="1">IFERROR(__xludf.DUMMYFUNCTION("""COMPUTED_VALUE"""),"1. Generación de Ingresos")</f>
        <v>1. Generación de Ingresos</v>
      </c>
      <c r="U305" s="130" t="str">
        <f ca="1">IFERROR(__xludf.DUMMYFUNCTION("""COMPUTED_VALUE"""),"1.5. Otros de Proyectos de Ingresos")</f>
        <v>1.5. Otros de Proyectos de Ingresos</v>
      </c>
      <c r="V305" s="4" t="str">
        <f ca="1">IFERROR(__xludf.DUMMYFUNCTION("""COMPUTED_VALUE"""),"TdC")</f>
        <v>TdC</v>
      </c>
      <c r="W305" s="4">
        <f ca="1">IFERROR(__xludf.DUMMYFUNCTION("""COMPUTED_VALUE"""),2)</f>
        <v>2</v>
      </c>
      <c r="X305" s="4" t="str">
        <f ca="1">IFERROR(__xludf.DUMMYFUNCTION("""COMPUTED_VALUE"""),"05. Cross-sell")</f>
        <v>05. Cross-sell</v>
      </c>
      <c r="Y305" s="4" t="str">
        <f ca="1">IFERROR(__xludf.DUMMYFUNCTION("""COMPUTED_VALUE"""),"4.1.1. Own channels")</f>
        <v>4.1.1. Own channels</v>
      </c>
      <c r="Z305" s="132" t="str">
        <f ca="1">IFERROR(__xludf.DUMMYFUNCTION("""COMPUTED_VALUE"""),"492059")</f>
        <v>492059</v>
      </c>
      <c r="AA305" s="4" t="str">
        <f ca="1">IFERROR(__xludf.DUMMYFUNCTION("""COMPUTED_VALUE"""),"Paquete ajuste mejoras UX")</f>
        <v>Paquete ajuste mejoras UX</v>
      </c>
      <c r="AB305" s="4" t="str">
        <f ca="1">IFERROR(__xludf.DUMMYFUNCTION("""COMPUTED_VALUE"""),"3) Paquete ajuste mejoras UX")</f>
        <v>3) Paquete ajuste mejoras UX</v>
      </c>
      <c r="AC305" s="4" t="str">
        <f ca="1">IFERROR(__xludf.DUMMYFUNCTION("""COMPUTED_VALUE"""),"4Q 2022")</f>
        <v>4Q 2022</v>
      </c>
      <c r="AD305" s="128">
        <f ca="1">IFERROR(__xludf.DUMMYFUNCTION("""COMPUTED_VALUE"""),44501)</f>
        <v>44501</v>
      </c>
      <c r="AE305" s="128">
        <f ca="1">IFERROR(__xludf.DUMMYFUNCTION("""COMPUTED_VALUE"""),44592)</f>
        <v>44592</v>
      </c>
      <c r="AF305" s="128">
        <f ca="1">IFERROR(__xludf.DUMMYFUNCTION("""COMPUTED_VALUE"""),44599)</f>
        <v>44599</v>
      </c>
      <c r="AG305" s="128">
        <f ca="1">IFERROR(__xludf.DUMMYFUNCTION("""COMPUTED_VALUE"""),44712)</f>
        <v>44712</v>
      </c>
      <c r="AH305" s="128">
        <f ca="1">IFERROR(__xludf.DUMMYFUNCTION("""COMPUTED_VALUE"""),44713)</f>
        <v>44713</v>
      </c>
      <c r="AI305" s="128">
        <f ca="1">IFERROR(__xludf.DUMMYFUNCTION("""COMPUTED_VALUE"""),44804)</f>
        <v>44804</v>
      </c>
      <c r="AJ305" s="128">
        <f ca="1">IFERROR(__xludf.DUMMYFUNCTION("""COMPUTED_VALUE"""),44806)</f>
        <v>44806</v>
      </c>
      <c r="AK305" s="131" t="str">
        <f ca="1">IFERROR(__xludf.DUMMYFUNCTION("""COMPUTED_VALUE"""),"COLWSCUENT-268")</f>
        <v>COLWSCUENT-268</v>
      </c>
      <c r="AL305" s="4" t="str">
        <f ca="1">IFERROR(__xludf.DUMMYFUNCTION("""COMPUTED_VALUE"""),"Deployed")</f>
        <v>Deployed</v>
      </c>
      <c r="AM305" s="4" t="str">
        <f ca="1">IFERROR(__xludf.DUMMYFUNCTION("""COMPUTED_VALUE"""),"
- Se instala el 17/Sep. ")</f>
        <v xml:space="preserve">
- Se instala el 17/Sep. </v>
      </c>
      <c r="AN305" s="4" t="str">
        <f ca="1">IFERROR(__xludf.DUMMYFUNCTION("""COMPUTED_VALUE"""),"Finalizado")</f>
        <v>Finalizado</v>
      </c>
      <c r="AO305" s="4" t="str">
        <f ca="1">IFERROR(__xludf.DUMMYFUNCTION("""COMPUTED_VALUE"""),"Tarjeta de crédito /medios de pago")</f>
        <v>Tarjeta de crédito /medios de pago</v>
      </c>
      <c r="AP305" s="4"/>
      <c r="AQ305" s="4"/>
      <c r="AR305" s="4" t="str">
        <f ca="1">IFERROR(__xludf.DUMMYFUNCTION("""COMPUTED_VALUE"""),"SDA aprobada en PPP Q1 2023")</f>
        <v>SDA aprobada en PPP Q1 2023</v>
      </c>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row>
    <row r="306" spans="1:132" x14ac:dyDescent="0.2">
      <c r="A306" s="4">
        <f ca="1">IFERROR(__xludf.DUMMYFUNCTION("""COMPUTED_VALUE"""),306)</f>
        <v>306</v>
      </c>
      <c r="B306" s="4">
        <f ca="1">IFERROR(__xludf.DUMMYFUNCTION("""COMPUTED_VALUE"""),285)</f>
        <v>285</v>
      </c>
      <c r="C306" s="4" t="str">
        <f ca="1">IFERROR(__xludf.DUMMYFUNCTION("""COMPUTED_VALUE"""),"SDATOOL-38693")</f>
        <v>SDATOOL-38693</v>
      </c>
      <c r="D306" s="4" t="str">
        <f ca="1">IFERROR(__xludf.DUMMYFUNCTION("""COMPUTED_VALUE"""),"Optimización oferta  D+0 y ADN en canal digital")</f>
        <v>Optimización oferta  D+0 y ADN en canal digital</v>
      </c>
      <c r="E306"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6" s="4" t="str">
        <f ca="1">IFERROR(__xludf.DUMMYFUNCTION("""COMPUTED_VALUE"""),"Project")</f>
        <v>Project</v>
      </c>
      <c r="G306" s="4" t="str">
        <f ca="1">IFERROR(__xludf.DUMMYFUNCTION("""COMPUTED_VALUE"""),"Ended")</f>
        <v>Ended</v>
      </c>
      <c r="H306" s="4" t="str">
        <f ca="1">IFERROR(__xludf.DUMMYFUNCTION("""COMPUTED_VALUE"""),"1Q 2023")</f>
        <v>1Q 2023</v>
      </c>
      <c r="I306" s="131" t="str">
        <f ca="1">IFERROR(__xludf.DUMMYFUNCTION("""COMPUTED_VALUE"""),"angie.castaneda-bbva.com")</f>
        <v>angie.castaneda-bbva.com</v>
      </c>
      <c r="J306" s="131" t="str">
        <f ca="1">IFERROR(__xludf.DUMMYFUNCTION("""COMPUTED_VALUE"""),"diegoandres.rodriguez-bbva.com")</f>
        <v>diegoandres.rodriguez-bbva.com</v>
      </c>
      <c r="K306" s="131" t="str">
        <f ca="1">IFERROR(__xludf.DUMMYFUNCTION("""COMPUTED_VALUE"""),"andresfelipe.granados-bbva.com")</f>
        <v>andresfelipe.granados-bbva.com</v>
      </c>
      <c r="L306" s="4"/>
      <c r="M306" s="4"/>
      <c r="N306" s="4"/>
      <c r="O306" s="4" t="str">
        <f ca="1">IFERROR(__xludf.DUMMYFUNCTION("""COMPUTED_VALUE"""),"Waterfall")</f>
        <v>Waterfall</v>
      </c>
      <c r="P306" s="4" t="str">
        <f ca="1">IFERROR(__xludf.DUMMYFUNCTION("""COMPUTED_VALUE"""),"Tradicional")</f>
        <v>Tradicional</v>
      </c>
      <c r="Q306" s="4"/>
      <c r="R306" s="130" t="str">
        <f ca="1">IFERROR(__xludf.DUMMYFUNCTION("""COMPUTED_VALUE"""),"Retail Execution")</f>
        <v>Retail Execution</v>
      </c>
      <c r="S306" s="130" t="str">
        <f ca="1">IFERROR(__xludf.DUMMYFUNCTION("""COMPUTED_VALUE"""),"Area Review")</f>
        <v>Area Review</v>
      </c>
      <c r="T306" s="130" t="str">
        <f ca="1">IFERROR(__xludf.DUMMYFUNCTION("""COMPUTED_VALUE"""),"1. Generación de Ingresos")</f>
        <v>1. Generación de Ingresos</v>
      </c>
      <c r="U306" s="130" t="str">
        <f ca="1">IFERROR(__xludf.DUMMYFUNCTION("""COMPUTED_VALUE"""),"1.5. Otros de Proyectos de Ingresos")</f>
        <v>1.5. Otros de Proyectos de Ingresos</v>
      </c>
      <c r="V306" s="4" t="str">
        <f ca="1">IFERROR(__xludf.DUMMYFUNCTION("""COMPUTED_VALUE"""),"TdC")</f>
        <v>TdC</v>
      </c>
      <c r="W306" s="4">
        <f ca="1">IFERROR(__xludf.DUMMYFUNCTION("""COMPUTED_VALUE"""),2)</f>
        <v>2</v>
      </c>
      <c r="X306" s="4" t="str">
        <f ca="1">IFERROR(__xludf.DUMMYFUNCTION("""COMPUTED_VALUE"""),"05. Cross-sell")</f>
        <v>05. Cross-sell</v>
      </c>
      <c r="Y306" s="4" t="str">
        <f ca="1">IFERROR(__xludf.DUMMYFUNCTION("""COMPUTED_VALUE"""),"4.1.1. Own channels")</f>
        <v>4.1.1. Own channels</v>
      </c>
      <c r="Z306" s="132" t="str">
        <f ca="1">IFERROR(__xludf.DUMMYFUNCTION("""COMPUTED_VALUE"""),"492058")</f>
        <v>492058</v>
      </c>
      <c r="AA306" s="4" t="str">
        <f ca="1">IFERROR(__xludf.DUMMYFUNCTION("""COMPUTED_VALUE"""),"Pre cargue automático Nit en el front")</f>
        <v>Pre cargue automático Nit en el front</v>
      </c>
      <c r="AB306" s="4" t="str">
        <f ca="1">IFERROR(__xludf.DUMMYFUNCTION("""COMPUTED_VALUE"""),"2) Pre cargue automático Nit en el front")</f>
        <v>2) Pre cargue automático Nit en el front</v>
      </c>
      <c r="AC306" s="4" t="str">
        <f ca="1">IFERROR(__xludf.DUMMYFUNCTION("""COMPUTED_VALUE"""),"2Q 2022")</f>
        <v>2Q 2022</v>
      </c>
      <c r="AD306" s="128">
        <f ca="1">IFERROR(__xludf.DUMMYFUNCTION("""COMPUTED_VALUE"""),44501)</f>
        <v>44501</v>
      </c>
      <c r="AE306" s="128">
        <f ca="1">IFERROR(__xludf.DUMMYFUNCTION("""COMPUTED_VALUE"""),44592)</f>
        <v>44592</v>
      </c>
      <c r="AF306" s="128">
        <f ca="1">IFERROR(__xludf.DUMMYFUNCTION("""COMPUTED_VALUE"""),44614)</f>
        <v>44614</v>
      </c>
      <c r="AG306" s="128">
        <f ca="1">IFERROR(__xludf.DUMMYFUNCTION("""COMPUTED_VALUE"""),44648)</f>
        <v>44648</v>
      </c>
      <c r="AH306" s="128">
        <f ca="1">IFERROR(__xludf.DUMMYFUNCTION("""COMPUTED_VALUE"""),44652)</f>
        <v>44652</v>
      </c>
      <c r="AI306" s="128">
        <f ca="1">IFERROR(__xludf.DUMMYFUNCTION("""COMPUTED_VALUE"""),44680)</f>
        <v>44680</v>
      </c>
      <c r="AJ306" s="128">
        <f ca="1">IFERROR(__xludf.DUMMYFUNCTION("""COMPUTED_VALUE"""),44712)</f>
        <v>44712</v>
      </c>
      <c r="AK306" s="4" t="str">
        <f ca="1">IFERROR(__xludf.DUMMYFUNCTION("""COMPUTED_VALUE"""),"Sin asignar")</f>
        <v>Sin asignar</v>
      </c>
      <c r="AL306" s="4" t="str">
        <f ca="1">IFERROR(__xludf.DUMMYFUNCTION("""COMPUTED_VALUE"""),"Sin asignar")</f>
        <v>Sin asignar</v>
      </c>
      <c r="AM306" s="4" t="str">
        <f ca="1">IFERROR(__xludf.DUMMYFUNCTION("""COMPUTED_VALUE""")," se instaló el 7/May. ")</f>
        <v xml:space="preserve"> se instaló el 7/May. </v>
      </c>
      <c r="AN306" s="4" t="str">
        <f ca="1">IFERROR(__xludf.DUMMYFUNCTION("""COMPUTED_VALUE"""),"Finalizado")</f>
        <v>Finalizado</v>
      </c>
      <c r="AO306" s="4" t="str">
        <f ca="1">IFERROR(__xludf.DUMMYFUNCTION("""COMPUTED_VALUE"""),"Tarjeta de crédito /medios de pago")</f>
        <v>Tarjeta de crédito /medios de pago</v>
      </c>
      <c r="AP306" s="4"/>
      <c r="AQ306" s="4"/>
      <c r="AR306" s="4" t="str">
        <f ca="1">IFERROR(__xludf.DUMMYFUNCTION("""COMPUTED_VALUE"""),"SDA aprobada en PPP Q1 2023")</f>
        <v>SDA aprobada en PPP Q1 2023</v>
      </c>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row>
    <row r="307" spans="1:132" x14ac:dyDescent="0.2">
      <c r="A307" s="4">
        <f ca="1">IFERROR(__xludf.DUMMYFUNCTION("""COMPUTED_VALUE"""),307)</f>
        <v>307</v>
      </c>
      <c r="B307" s="4">
        <f ca="1">IFERROR(__xludf.DUMMYFUNCTION("""COMPUTED_VALUE"""),286)</f>
        <v>286</v>
      </c>
      <c r="C307" s="4" t="str">
        <f ca="1">IFERROR(__xludf.DUMMYFUNCTION("""COMPUTED_VALUE"""),"SDATOOL-38693")</f>
        <v>SDATOOL-38693</v>
      </c>
      <c r="D307" s="4" t="str">
        <f ca="1">IFERROR(__xludf.DUMMYFUNCTION("""COMPUTED_VALUE"""),"Optimización oferta  D+0 y ADN en canal digital")</f>
        <v>Optimización oferta  D+0 y ADN en canal digital</v>
      </c>
      <c r="E307"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7" s="4" t="str">
        <f ca="1">IFERROR(__xludf.DUMMYFUNCTION("""COMPUTED_VALUE"""),"Project")</f>
        <v>Project</v>
      </c>
      <c r="G307" s="4" t="str">
        <f ca="1">IFERROR(__xludf.DUMMYFUNCTION("""COMPUTED_VALUE"""),"Ended")</f>
        <v>Ended</v>
      </c>
      <c r="H307" s="4" t="str">
        <f ca="1">IFERROR(__xludf.DUMMYFUNCTION("""COMPUTED_VALUE"""),"1Q 2023")</f>
        <v>1Q 2023</v>
      </c>
      <c r="I307" s="131" t="str">
        <f ca="1">IFERROR(__xludf.DUMMYFUNCTION("""COMPUTED_VALUE"""),"angie.castaneda-bbva.com")</f>
        <v>angie.castaneda-bbva.com</v>
      </c>
      <c r="J307" s="131" t="str">
        <f ca="1">IFERROR(__xludf.DUMMYFUNCTION("""COMPUTED_VALUE"""),"diegoandres.rodriguez-bbva.com")</f>
        <v>diegoandres.rodriguez-bbva.com</v>
      </c>
      <c r="K307" s="131" t="str">
        <f ca="1">IFERROR(__xludf.DUMMYFUNCTION("""COMPUTED_VALUE"""),"andresfelipe.granados-bbva.com")</f>
        <v>andresfelipe.granados-bbva.com</v>
      </c>
      <c r="L307" s="4"/>
      <c r="M307" s="4"/>
      <c r="N307" s="4"/>
      <c r="O307" s="4" t="str">
        <f ca="1">IFERROR(__xludf.DUMMYFUNCTION("""COMPUTED_VALUE"""),"Waterfall")</f>
        <v>Waterfall</v>
      </c>
      <c r="P307" s="4" t="str">
        <f ca="1">IFERROR(__xludf.DUMMYFUNCTION("""COMPUTED_VALUE"""),"Tradicional")</f>
        <v>Tradicional</v>
      </c>
      <c r="Q307" s="4"/>
      <c r="R307" s="130" t="str">
        <f ca="1">IFERROR(__xludf.DUMMYFUNCTION("""COMPUTED_VALUE"""),"Retail Execution")</f>
        <v>Retail Execution</v>
      </c>
      <c r="S307" s="130" t="str">
        <f ca="1">IFERROR(__xludf.DUMMYFUNCTION("""COMPUTED_VALUE"""),"Area Review")</f>
        <v>Area Review</v>
      </c>
      <c r="T307" s="130" t="str">
        <f ca="1">IFERROR(__xludf.DUMMYFUNCTION("""COMPUTED_VALUE"""),"1. Generación de Ingresos")</f>
        <v>1. Generación de Ingresos</v>
      </c>
      <c r="U307" s="130" t="str">
        <f ca="1">IFERROR(__xludf.DUMMYFUNCTION("""COMPUTED_VALUE"""),"1.5. Otros de Proyectos de Ingresos")</f>
        <v>1.5. Otros de Proyectos de Ingresos</v>
      </c>
      <c r="V307" s="4" t="str">
        <f ca="1">IFERROR(__xludf.DUMMYFUNCTION("""COMPUTED_VALUE"""),"TdC")</f>
        <v>TdC</v>
      </c>
      <c r="W307" s="4">
        <f ca="1">IFERROR(__xludf.DUMMYFUNCTION("""COMPUTED_VALUE"""),2)</f>
        <v>2</v>
      </c>
      <c r="X307" s="4" t="str">
        <f ca="1">IFERROR(__xludf.DUMMYFUNCTION("""COMPUTED_VALUE"""),"05. Cross-sell")</f>
        <v>05. Cross-sell</v>
      </c>
      <c r="Y307" s="4" t="str">
        <f ca="1">IFERROR(__xludf.DUMMYFUNCTION("""COMPUTED_VALUE"""),"4.1.1. Own channels")</f>
        <v>4.1.1. Own channels</v>
      </c>
      <c r="Z307" s="132" t="str">
        <f ca="1">IFERROR(__xludf.DUMMYFUNCTION("""COMPUTED_VALUE"""),"492060")</f>
        <v>492060</v>
      </c>
      <c r="AA307" s="4" t="str">
        <f ca="1">IFERROR(__xludf.DUMMYFUNCTION("""COMPUTED_VALUE"""),"Reporte automático oferta ADN - Mensaje push automático")</f>
        <v>Reporte automático oferta ADN - Mensaje push automático</v>
      </c>
      <c r="AB307" s="4" t="str">
        <f ca="1">IFERROR(__xludf.DUMMYFUNCTION("""COMPUTED_VALUE"""),"""- Reporte automático oferta ADN
- Mensaje push automático 
- Ajuste calculo oferta al 85% del SMMLV """)</f>
        <v>"- Reporte automático oferta ADN
- Mensaje push automático 
- Ajuste calculo oferta al 85% del SMMLV "</v>
      </c>
      <c r="AC307" s="4" t="str">
        <f ca="1">IFERROR(__xludf.DUMMYFUNCTION("""COMPUTED_VALUE"""),"2Q 2022")</f>
        <v>2Q 2022</v>
      </c>
      <c r="AD307" s="128">
        <f ca="1">IFERROR(__xludf.DUMMYFUNCTION("""COMPUTED_VALUE"""),44621)</f>
        <v>44621</v>
      </c>
      <c r="AE307" s="128">
        <f ca="1">IFERROR(__xludf.DUMMYFUNCTION("""COMPUTED_VALUE"""),44651)</f>
        <v>44651</v>
      </c>
      <c r="AF307" s="128">
        <f ca="1">IFERROR(__xludf.DUMMYFUNCTION("""COMPUTED_VALUE"""),44652)</f>
        <v>44652</v>
      </c>
      <c r="AG307" s="128">
        <f ca="1">IFERROR(__xludf.DUMMYFUNCTION("""COMPUTED_VALUE"""),44712)</f>
        <v>44712</v>
      </c>
      <c r="AH307" s="128">
        <f ca="1">IFERROR(__xludf.DUMMYFUNCTION("""COMPUTED_VALUE"""),44713)</f>
        <v>44713</v>
      </c>
      <c r="AI307" s="128">
        <f ca="1">IFERROR(__xludf.DUMMYFUNCTION("""COMPUTED_VALUE"""),44742)</f>
        <v>44742</v>
      </c>
      <c r="AJ307" s="128">
        <f ca="1">IFERROR(__xludf.DUMMYFUNCTION("""COMPUTED_VALUE"""),44773)</f>
        <v>44773</v>
      </c>
      <c r="AK307" s="131" t="str">
        <f ca="1">IFERROR(__xludf.DUMMYFUNCTION("""COMPUTED_VALUE"""),"COLWSCUENT-1595")</f>
        <v>COLWSCUENT-1595</v>
      </c>
      <c r="AL307" s="4" t="str">
        <f ca="1">IFERROR(__xludf.DUMMYFUNCTION("""COMPUTED_VALUE"""),"Blocked")</f>
        <v>Blocked</v>
      </c>
      <c r="AM307" s="4" t="str">
        <f ca="1">IFERROR(__xludf.DUMMYFUNCTION("""COMPUTED_VALUE"""),"se instaló el 17/Jun")</f>
        <v>se instaló el 17/Jun</v>
      </c>
      <c r="AN307" s="4" t="str">
        <f ca="1">IFERROR(__xludf.DUMMYFUNCTION("""COMPUTED_VALUE"""),"Finalizado")</f>
        <v>Finalizado</v>
      </c>
      <c r="AO307" s="4" t="str">
        <f ca="1">IFERROR(__xludf.DUMMYFUNCTION("""COMPUTED_VALUE"""),"Tarjeta de crédito /medios de pago")</f>
        <v>Tarjeta de crédito /medios de pago</v>
      </c>
      <c r="AP307" s="4"/>
      <c r="AQ307" s="4"/>
      <c r="AR307" s="4" t="str">
        <f ca="1">IFERROR(__xludf.DUMMYFUNCTION("""COMPUTED_VALUE"""),"SDA aprobada en PPP Q1 2023")</f>
        <v>SDA aprobada en PPP Q1 2023</v>
      </c>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row>
    <row r="308" spans="1:132" x14ac:dyDescent="0.2">
      <c r="A308" s="4">
        <f ca="1">IFERROR(__xludf.DUMMYFUNCTION("""COMPUTED_VALUE"""),308)</f>
        <v>308</v>
      </c>
      <c r="B308" s="4">
        <f ca="1">IFERROR(__xludf.DUMMYFUNCTION("""COMPUTED_VALUE"""),287)</f>
        <v>287</v>
      </c>
      <c r="C308" s="4" t="str">
        <f ca="1">IFERROR(__xludf.DUMMYFUNCTION("""COMPUTED_VALUE"""),"SDATOOL-39921")</f>
        <v>SDATOOL-39921</v>
      </c>
      <c r="D308" s="4" t="str">
        <f ca="1">IFERROR(__xludf.DUMMYFUNCTION("""COMPUTED_VALUE"""),"Mejoras cuenta en línea BBVA Móvil")</f>
        <v>Mejoras cuenta en línea BBVA Móvil</v>
      </c>
      <c r="E308" s="4" t="str">
        <f ca="1">IFERROR(__xludf.DUMMYFUNCTION("""COMPUTED_VALUE"""),"Se realizarán varias mejoras de UX en el proceso de contratación de cuenta en línea en BBVA Móvil. Adicionalmente, se realizarán optimización a la integración del SDK de Veridas, que recientemente fue instalado en producción para optimizar los tiempos de "&amp;"respuesta y de ejecución de los servicios.")</f>
        <v>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v>
      </c>
      <c r="F308" s="4" t="str">
        <f ca="1">IFERROR(__xludf.DUMMYFUNCTION("""COMPUTED_VALUE"""),"Project")</f>
        <v>Project</v>
      </c>
      <c r="G308" s="4" t="str">
        <f ca="1">IFERROR(__xludf.DUMMYFUNCTION("""COMPUTED_VALUE"""),"Ended")</f>
        <v>Ended</v>
      </c>
      <c r="H308" s="4" t="str">
        <f ca="1">IFERROR(__xludf.DUMMYFUNCTION("""COMPUTED_VALUE"""),"1Q 2023")</f>
        <v>1Q 2023</v>
      </c>
      <c r="I308" s="131" t="str">
        <f ca="1">IFERROR(__xludf.DUMMYFUNCTION("""COMPUTED_VALUE"""),"angie.castaneda-bbva.com")</f>
        <v>angie.castaneda-bbva.com</v>
      </c>
      <c r="J308" s="131" t="str">
        <f ca="1">IFERROR(__xludf.DUMMYFUNCTION("""COMPUTED_VALUE"""),"katherine.pardo-bbva.com")</f>
        <v>katherine.pardo-bbva.com</v>
      </c>
      <c r="K308" s="131" t="str">
        <f ca="1">IFERROR(__xludf.DUMMYFUNCTION("""COMPUTED_VALUE"""),"juana.vergara-bbva.com")</f>
        <v>juana.vergara-bbva.com</v>
      </c>
      <c r="L308" s="130">
        <f ca="1">IFERROR(__xludf.DUMMYFUNCTION("""COMPUTED_VALUE"""),0)</f>
        <v>0</v>
      </c>
      <c r="M308" s="130">
        <f ca="1">IFERROR(__xludf.DUMMYFUNCTION("""COMPUTED_VALUE"""),0)</f>
        <v>0</v>
      </c>
      <c r="N308" s="130">
        <f ca="1">IFERROR(__xludf.DUMMYFUNCTION("""COMPUTED_VALUE"""),0)</f>
        <v>0</v>
      </c>
      <c r="O308" s="4" t="str">
        <f ca="1">IFERROR(__xludf.DUMMYFUNCTION("""COMPUTED_VALUE"""),"Waterfall")</f>
        <v>Waterfall</v>
      </c>
      <c r="P308" s="4" t="str">
        <f ca="1">IFERROR(__xludf.DUMMYFUNCTION("""COMPUTED_VALUE"""),"Tradicional")</f>
        <v>Tradicional</v>
      </c>
      <c r="Q308" s="4"/>
      <c r="R308" s="130" t="str">
        <f ca="1">IFERROR(__xludf.DUMMYFUNCTION("""COMPUTED_VALUE"""),"Retail Execution")</f>
        <v>Retail Execution</v>
      </c>
      <c r="S308" s="130" t="str">
        <f ca="1">IFERROR(__xludf.DUMMYFUNCTION("""COMPUTED_VALUE""")," Otros")</f>
        <v xml:space="preserve"> Otros</v>
      </c>
      <c r="T308" s="130" t="str">
        <f ca="1">IFERROR(__xludf.DUMMYFUNCTION("""COMPUTED_VALUE"""),"1. Generación de Ingresos")</f>
        <v>1. Generación de Ingresos</v>
      </c>
      <c r="U308" s="130" t="str">
        <f ca="1">IFERROR(__xludf.DUMMYFUNCTION("""COMPUTED_VALUE"""),"1.3. Pasivos PPNN y PYMEs")</f>
        <v>1.3. Pasivos PPNN y PYMEs</v>
      </c>
      <c r="V308" s="4" t="str">
        <f ca="1">IFERROR(__xludf.DUMMYFUNCTION("""COMPUTED_VALUE"""),"Pasivo")</f>
        <v>Pasivo</v>
      </c>
      <c r="W308" s="4">
        <f ca="1">IFERROR(__xludf.DUMMYFUNCTION("""COMPUTED_VALUE"""),1)</f>
        <v>1</v>
      </c>
      <c r="X308" s="4" t="str">
        <f ca="1">IFERROR(__xludf.DUMMYFUNCTION("""COMPUTED_VALUE"""),"01. Open Market &amp; Partnerships")</f>
        <v>01. Open Market &amp; Partnerships</v>
      </c>
      <c r="Y308" s="4" t="str">
        <f ca="1">IFERROR(__xludf.DUMMYFUNCTION("""COMPUTED_VALUE""")," Otros")</f>
        <v xml:space="preserve"> Otros</v>
      </c>
      <c r="Z308" s="132" t="str">
        <f ca="1">IFERROR(__xludf.DUMMYFUNCTION("""COMPUTED_VALUE"""),"644819")</f>
        <v>644819</v>
      </c>
      <c r="AA308" s="4" t="str">
        <f ca="1">IFERROR(__xludf.DUMMYFUNCTION("""COMPUTED_VALUE"""),"Mejas integración Veridas")</f>
        <v>Mejas integración Veridas</v>
      </c>
      <c r="AB308" s="4" t="str">
        <f ca="1">IFERROR(__xludf.DUMMYFUNCTION("""COMPUTED_VALUE"""),"Realizar unas mejoras en la integración del nuevo SDK de veridasy qu eestan generando error H084. Es una incidencia.")</f>
        <v>Realizar unas mejoras en la integración del nuevo SDK de veridasy qu eestan generando error H084. Es una incidencia.</v>
      </c>
      <c r="AC308" s="4" t="str">
        <f ca="1">IFERROR(__xludf.DUMMYFUNCTION("""COMPUTED_VALUE"""),"2Q 2023")</f>
        <v>2Q 2023</v>
      </c>
      <c r="AD308" s="4"/>
      <c r="AE308" s="4"/>
      <c r="AF308" s="4"/>
      <c r="AG308" s="4"/>
      <c r="AH308" s="4"/>
      <c r="AI308" s="4"/>
      <c r="AJ308" s="4"/>
      <c r="AK308" s="4" t="str">
        <f ca="1">IFERROR(__xludf.DUMMYFUNCTION("""COMPUTED_VALUE"""),"Sin asignar")</f>
        <v>Sin asignar</v>
      </c>
      <c r="AL308" s="4" t="str">
        <f ca="1">IFERROR(__xludf.DUMMYFUNCTION("""COMPUTED_VALUE"""),"Sin asignar")</f>
        <v>Sin asignar</v>
      </c>
      <c r="AM308" s="4" t="str">
        <f ca="1">IFERROR(__xludf.DUMMYFUNCTION("""COMPUTED_VALUE"""),"Instalado en producción en mayo. ")</f>
        <v xml:space="preserve">Instalado en producción en mayo. </v>
      </c>
      <c r="AN308" s="4" t="str">
        <f ca="1">IFERROR(__xludf.DUMMYFUNCTION("""COMPUTED_VALUE"""),"Finalizado")</f>
        <v>Finalizado</v>
      </c>
      <c r="AO308" s="4" t="str">
        <f ca="1">IFERROR(__xludf.DUMMYFUNCTION("""COMPUTED_VALUE"""),"Pasivos")</f>
        <v>Pasivos</v>
      </c>
      <c r="AP308" s="4"/>
      <c r="AQ308" s="4"/>
      <c r="AR308" s="4" t="str">
        <f ca="1">IFERROR(__xludf.DUMMYFUNCTION("""COMPUTED_VALUE"""),"SDA aprobada en PPP Q1 2023")</f>
        <v>SDA aprobada en PPP Q1 2023</v>
      </c>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133">
        <f ca="1">IFERROR(__xludf.DUMMYFUNCTION("""COMPUTED_VALUE"""),0)</f>
        <v>0</v>
      </c>
      <c r="DV308" s="133">
        <f ca="1">IFERROR(__xludf.DUMMYFUNCTION("""COMPUTED_VALUE"""),0)</f>
        <v>0</v>
      </c>
      <c r="DW308" s="133">
        <f ca="1">IFERROR(__xludf.DUMMYFUNCTION("""COMPUTED_VALUE"""),0)</f>
        <v>0</v>
      </c>
      <c r="DX308" s="133">
        <f ca="1">IFERROR(__xludf.DUMMYFUNCTION("""COMPUTED_VALUE"""),41032372)</f>
        <v>41032372</v>
      </c>
      <c r="DY308" s="133">
        <f ca="1">IFERROR(__xludf.DUMMYFUNCTION("""COMPUTED_VALUE"""),0)</f>
        <v>0</v>
      </c>
      <c r="DZ308" s="133">
        <f ca="1">IFERROR(__xludf.DUMMYFUNCTION("""COMPUTED_VALUE"""),41032372)</f>
        <v>41032372</v>
      </c>
      <c r="EA308" s="4"/>
      <c r="EB308" s="4"/>
    </row>
    <row r="309" spans="1:132" x14ac:dyDescent="0.2">
      <c r="A309" s="4">
        <f ca="1">IFERROR(__xludf.DUMMYFUNCTION("""COMPUTED_VALUE"""),309)</f>
        <v>309</v>
      </c>
      <c r="B309" s="4">
        <f ca="1">IFERROR(__xludf.DUMMYFUNCTION("""COMPUTED_VALUE"""),288)</f>
        <v>288</v>
      </c>
      <c r="C309" s="4" t="str">
        <f ca="1">IFERROR(__xludf.DUMMYFUNCTION("""COMPUTED_VALUE"""),"SDATOOL-39921")</f>
        <v>SDATOOL-39921</v>
      </c>
      <c r="D309" s="4" t="str">
        <f ca="1">IFERROR(__xludf.DUMMYFUNCTION("""COMPUTED_VALUE"""),"Mejoras cuenta en línea BBVA Móvil")</f>
        <v>Mejoras cuenta en línea BBVA Móvil</v>
      </c>
      <c r="E309" s="4" t="str">
        <f ca="1">IFERROR(__xludf.DUMMYFUNCTION("""COMPUTED_VALUE"""),"Se realizarán varias mejoras de UX en el proceso de contratación de cuenta en línea en BBVA Móvil. Adicionalmente, se realizarán optimización a la integración del SDK de Veridas, que recientemente fue instalado en producción para optimizar los tiempos de "&amp;"respuesta y de ejecución de los servicios.")</f>
        <v>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v>
      </c>
      <c r="F309" s="4" t="str">
        <f ca="1">IFERROR(__xludf.DUMMYFUNCTION("""COMPUTED_VALUE"""),"Project")</f>
        <v>Project</v>
      </c>
      <c r="G309" s="4" t="str">
        <f ca="1">IFERROR(__xludf.DUMMYFUNCTION("""COMPUTED_VALUE"""),"Ended")</f>
        <v>Ended</v>
      </c>
      <c r="H309" s="4" t="str">
        <f ca="1">IFERROR(__xludf.DUMMYFUNCTION("""COMPUTED_VALUE"""),"1Q 2023")</f>
        <v>1Q 2023</v>
      </c>
      <c r="I309" s="131" t="str">
        <f ca="1">IFERROR(__xludf.DUMMYFUNCTION("""COMPUTED_VALUE"""),"angie.castaneda-bbva.com")</f>
        <v>angie.castaneda-bbva.com</v>
      </c>
      <c r="J309" s="131" t="str">
        <f ca="1">IFERROR(__xludf.DUMMYFUNCTION("""COMPUTED_VALUE"""),"katherine.pardo-bbva.com")</f>
        <v>katherine.pardo-bbva.com</v>
      </c>
      <c r="K309" s="131" t="str">
        <f ca="1">IFERROR(__xludf.DUMMYFUNCTION("""COMPUTED_VALUE"""),"juana.vergara-bbva.com")</f>
        <v>juana.vergara-bbva.com</v>
      </c>
      <c r="L309" s="4"/>
      <c r="M309" s="4"/>
      <c r="N309" s="4"/>
      <c r="O309" s="4" t="str">
        <f ca="1">IFERROR(__xludf.DUMMYFUNCTION("""COMPUTED_VALUE"""),"Waterfall")</f>
        <v>Waterfall</v>
      </c>
      <c r="P309" s="4" t="str">
        <f ca="1">IFERROR(__xludf.DUMMYFUNCTION("""COMPUTED_VALUE"""),"Tradicional")</f>
        <v>Tradicional</v>
      </c>
      <c r="Q309" s="4"/>
      <c r="R309" s="130" t="str">
        <f ca="1">IFERROR(__xludf.DUMMYFUNCTION("""COMPUTED_VALUE"""),"Retail Execution")</f>
        <v>Retail Execution</v>
      </c>
      <c r="S309" s="130" t="str">
        <f ca="1">IFERROR(__xludf.DUMMYFUNCTION("""COMPUTED_VALUE""")," Otros")</f>
        <v xml:space="preserve"> Otros</v>
      </c>
      <c r="T309" s="130" t="str">
        <f ca="1">IFERROR(__xludf.DUMMYFUNCTION("""COMPUTED_VALUE"""),"1. Generación de Ingresos")</f>
        <v>1. Generación de Ingresos</v>
      </c>
      <c r="U309" s="130" t="str">
        <f ca="1">IFERROR(__xludf.DUMMYFUNCTION("""COMPUTED_VALUE"""),"1.3. Pasivos PPNN y PYMEs")</f>
        <v>1.3. Pasivos PPNN y PYMEs</v>
      </c>
      <c r="V309" s="4" t="str">
        <f ca="1">IFERROR(__xludf.DUMMYFUNCTION("""COMPUTED_VALUE"""),"Pasivo")</f>
        <v>Pasivo</v>
      </c>
      <c r="W309" s="4">
        <f ca="1">IFERROR(__xludf.DUMMYFUNCTION("""COMPUTED_VALUE"""),1)</f>
        <v>1</v>
      </c>
      <c r="X309" s="4" t="str">
        <f ca="1">IFERROR(__xludf.DUMMYFUNCTION("""COMPUTED_VALUE"""),"01. Open Market &amp; Partnerships")</f>
        <v>01. Open Market &amp; Partnerships</v>
      </c>
      <c r="Y309" s="4" t="str">
        <f ca="1">IFERROR(__xludf.DUMMYFUNCTION("""COMPUTED_VALUE""")," Otros")</f>
        <v xml:space="preserve"> Otros</v>
      </c>
      <c r="Z309" s="132" t="str">
        <f ca="1">IFERROR(__xludf.DUMMYFUNCTION("""COMPUTED_VALUE"""),"557963")</f>
        <v>557963</v>
      </c>
      <c r="AA309" s="4" t="str">
        <f ca="1">IFERROR(__xludf.DUMMYFUNCTION("""COMPUTED_VALUE"""),"Mejoras cuenta en línea BBVA Móvil")</f>
        <v>Mejoras cuenta en línea BBVA Móvil</v>
      </c>
      <c r="AB309" s="4" t="str">
        <f ca="1">IFERROR(__xludf.DUMMYFUNCTION("""COMPUTED_VALUE"""),"Mejoras de UX y a la integración del nuevo SDK de verdias instalado en producción.")</f>
        <v>Mejoras de UX y a la integración del nuevo SDK de verdias instalado en producción.</v>
      </c>
      <c r="AC309" s="4" t="str">
        <f ca="1">IFERROR(__xludf.DUMMYFUNCTION("""COMPUTED_VALUE"""),"4Q 2022")</f>
        <v>4Q 2022</v>
      </c>
      <c r="AD309" s="128">
        <f ca="1">IFERROR(__xludf.DUMMYFUNCTION("""COMPUTED_VALUE"""),44743)</f>
        <v>44743</v>
      </c>
      <c r="AE309" s="128">
        <f ca="1">IFERROR(__xludf.DUMMYFUNCTION("""COMPUTED_VALUE"""),44773)</f>
        <v>44773</v>
      </c>
      <c r="AF309" s="128">
        <f ca="1">IFERROR(__xludf.DUMMYFUNCTION("""COMPUTED_VALUE"""),44788)</f>
        <v>44788</v>
      </c>
      <c r="AG309" s="128">
        <f ca="1">IFERROR(__xludf.DUMMYFUNCTION("""COMPUTED_VALUE"""),44834)</f>
        <v>44834</v>
      </c>
      <c r="AH309" s="128">
        <f ca="1">IFERROR(__xludf.DUMMYFUNCTION("""COMPUTED_VALUE"""),44835)</f>
        <v>44835</v>
      </c>
      <c r="AI309" s="128">
        <f ca="1">IFERROR(__xludf.DUMMYFUNCTION("""COMPUTED_VALUE"""),44865)</f>
        <v>44865</v>
      </c>
      <c r="AJ309" s="128">
        <f ca="1">IFERROR(__xludf.DUMMYFUNCTION("""COMPUTED_VALUE"""),44880)</f>
        <v>44880</v>
      </c>
      <c r="AK309" s="131" t="str">
        <f ca="1">IFERROR(__xludf.DUMMYFUNCTION("""COMPUTED_VALUE"""),"COLWSCUENT-895")</f>
        <v>COLWSCUENT-895</v>
      </c>
      <c r="AL309" s="4" t="str">
        <f ca="1">IFERROR(__xludf.DUMMYFUNCTION("""COMPUTED_VALUE"""),"Deployed")</f>
        <v>Deployed</v>
      </c>
      <c r="AM309" s="4" t="str">
        <f ca="1">IFERROR(__xludf.DUMMYFUNCTION("""COMPUTED_VALUE"""),"Instalado en producción. ")</f>
        <v xml:space="preserve">Instalado en producción. </v>
      </c>
      <c r="AN309" s="4" t="str">
        <f ca="1">IFERROR(__xludf.DUMMYFUNCTION("""COMPUTED_VALUE"""),"Finalizado")</f>
        <v>Finalizado</v>
      </c>
      <c r="AO309" s="4" t="str">
        <f ca="1">IFERROR(__xludf.DUMMYFUNCTION("""COMPUTED_VALUE"""),"Pasivos")</f>
        <v>Pasivos</v>
      </c>
      <c r="AP309" s="4"/>
      <c r="AQ309" s="4"/>
      <c r="AR309" s="4" t="str">
        <f ca="1">IFERROR(__xludf.DUMMYFUNCTION("""COMPUTED_VALUE"""),"SDA aprobada en PPP Q1 2023")</f>
        <v>SDA aprobada en PPP Q1 2023</v>
      </c>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row>
    <row r="310" spans="1:132" x14ac:dyDescent="0.2">
      <c r="A310" s="4">
        <f ca="1">IFERROR(__xludf.DUMMYFUNCTION("""COMPUTED_VALUE"""),310)</f>
        <v>310</v>
      </c>
      <c r="B310" s="4">
        <f ca="1">IFERROR(__xludf.DUMMYFUNCTION("""COMPUTED_VALUE"""),289)</f>
        <v>289</v>
      </c>
      <c r="C310" s="4" t="str">
        <f ca="1">IFERROR(__xludf.DUMMYFUNCTION("""COMPUTED_VALUE"""),"SDATOOL-38419")</f>
        <v>SDATOOL-38419</v>
      </c>
      <c r="D310" s="4" t="str">
        <f ca="1">IFERROR(__xludf.DUMMYFUNCTION("""COMPUTED_VALUE"""),"Contratación cuenta en línea en Glomo")</f>
        <v>Contratación cuenta en línea en Glomo</v>
      </c>
      <c r="E310" s="4" t="str">
        <f ca="1">IFERROR(__xludf.DUMMYFUNCTION("""COMPUTED_VALUE"""),"Contratación de cuenta de ahorros y de nómina para clientes nuevos, en la aplicación Glomo.")</f>
        <v>Contratación de cuenta de ahorros y de nómina para clientes nuevos, en la aplicación Glomo.</v>
      </c>
      <c r="F310" s="4" t="str">
        <f ca="1">IFERROR(__xludf.DUMMYFUNCTION("""COMPUTED_VALUE"""),"Project")</f>
        <v>Project</v>
      </c>
      <c r="G310" s="4" t="str">
        <f ca="1">IFERROR(__xludf.DUMMYFUNCTION("""COMPUTED_VALUE"""),"Stock")</f>
        <v>Stock</v>
      </c>
      <c r="H310" s="4" t="str">
        <f ca="1">IFERROR(__xludf.DUMMYFUNCTION("""COMPUTED_VALUE"""),"4Q 2023")</f>
        <v>4Q 2023</v>
      </c>
      <c r="I310" s="131" t="str">
        <f ca="1">IFERROR(__xludf.DUMMYFUNCTION("""COMPUTED_VALUE"""),"angie.castaneda-bbva.com")</f>
        <v>angie.castaneda-bbva.com</v>
      </c>
      <c r="J310" s="131" t="str">
        <f ca="1">IFERROR(__xludf.DUMMYFUNCTION("""COMPUTED_VALUE"""),"katherine.pardo-bbva.com")</f>
        <v>katherine.pardo-bbva.com</v>
      </c>
      <c r="K310" s="131" t="str">
        <f ca="1">IFERROR(__xludf.DUMMYFUNCTION("""COMPUTED_VALUE"""),"paolaandrea.hermosa-bbva.com")</f>
        <v>paolaandrea.hermosa-bbva.com</v>
      </c>
      <c r="L310" s="130">
        <f ca="1">IFERROR(__xludf.DUMMYFUNCTION("""COMPUTED_VALUE"""),0.5)</f>
        <v>0.5</v>
      </c>
      <c r="M310" s="130">
        <f ca="1">IFERROR(__xludf.DUMMYFUNCTION("""COMPUTED_VALUE"""),5)</f>
        <v>5</v>
      </c>
      <c r="N310" s="130">
        <f ca="1">IFERROR(__xludf.DUMMYFUNCTION("""COMPUTED_VALUE"""),7.03)</f>
        <v>7.03</v>
      </c>
      <c r="O310" s="4" t="str">
        <f ca="1">IFERROR(__xludf.DUMMYFUNCTION("""COMPUTED_VALUE"""),"Scrum")</f>
        <v>Scrum</v>
      </c>
      <c r="P310" s="4" t="str">
        <f ca="1">IFERROR(__xludf.DUMMYFUNCTION("""COMPUTED_VALUE"""),"Wolves")</f>
        <v>Wolves</v>
      </c>
      <c r="Q310" s="130">
        <f ca="1">IFERROR(__xludf.DUMMYFUNCTION("""COMPUTED_VALUE"""),1)</f>
        <v>1</v>
      </c>
      <c r="R310" s="130" t="str">
        <f ca="1">IFERROR(__xludf.DUMMYFUNCTION("""COMPUTED_VALUE"""),"Retail Execution")</f>
        <v>Retail Execution</v>
      </c>
      <c r="S310" s="130" t="str">
        <f ca="1">IFERROR(__xludf.DUMMYFUNCTION("""COMPUTED_VALUE"""),"Strategic Review")</f>
        <v>Strategic Review</v>
      </c>
      <c r="T310" s="130" t="str">
        <f ca="1">IFERROR(__xludf.DUMMYFUNCTION("""COMPUTED_VALUE"""),"2. Modelo de relación y distribución")</f>
        <v>2. Modelo de relación y distribución</v>
      </c>
      <c r="U310" s="130" t="str">
        <f ca="1">IFERROR(__xludf.DUMMYFUNCTION("""COMPUTED_VALUE"""),"2.4. Herramientas de clientes")</f>
        <v>2.4. Herramientas de clientes</v>
      </c>
      <c r="V310" s="4" t="str">
        <f ca="1">IFERROR(__xludf.DUMMYFUNCTION("""COMPUTED_VALUE"""),"Pasivo")</f>
        <v>Pasivo</v>
      </c>
      <c r="W310" s="4">
        <f ca="1">IFERROR(__xludf.DUMMYFUNCTION("""COMPUTED_VALUE"""),1)</f>
        <v>1</v>
      </c>
      <c r="X310" s="4" t="str">
        <f ca="1">IFERROR(__xludf.DUMMYFUNCTION("""COMPUTED_VALUE"""),"01. Open Market &amp; Partnerships")</f>
        <v>01. Open Market &amp; Partnerships</v>
      </c>
      <c r="Y310" s="4" t="str">
        <f ca="1">IFERROR(__xludf.DUMMYFUNCTION("""COMPUTED_VALUE"""),"5.6.4 GloMo")</f>
        <v>5.6.4 GloMo</v>
      </c>
      <c r="Z310" s="132" t="str">
        <f ca="1">IFERROR(__xludf.DUMMYFUNCTION("""COMPUTED_VALUE"""),"369152")</f>
        <v>369152</v>
      </c>
      <c r="AA310" s="4" t="str">
        <f ca="1">IFERROR(__xludf.DUMMYFUNCTION("""COMPUTED_VALUE"""),"Cuenta de ahorro y nómina E2E")</f>
        <v>Cuenta de ahorro y nómina E2E</v>
      </c>
      <c r="AB310" s="4" t="str">
        <f ca="1">IFERROR(__xludf.DUMMYFUNCTION("""COMPUTED_VALUE"""),"Contratación cuenta de ahorro y nómina E2E con rescate en oficina")</f>
        <v>Contratación cuenta de ahorro y nómina E2E con rescate en oficina</v>
      </c>
      <c r="AC310" s="4" t="str">
        <f ca="1">IFERROR(__xludf.DUMMYFUNCTION("""COMPUTED_VALUE"""),"4Q 2022")</f>
        <v>4Q 2022</v>
      </c>
      <c r="AD310" s="4"/>
      <c r="AE310" s="4"/>
      <c r="AF310" s="4"/>
      <c r="AG310" s="4"/>
      <c r="AH310" s="4"/>
      <c r="AI310" s="4"/>
      <c r="AJ310" s="4"/>
      <c r="AK310" s="131" t="str">
        <f ca="1">IFERROR(__xludf.DUMMYFUNCTION("""COMPUTED_VALUE"""),"COLWSCUENT-2822")</f>
        <v>COLWSCUENT-2822</v>
      </c>
      <c r="AL310" s="4" t="str">
        <f ca="1">IFERROR(__xludf.DUMMYFUNCTION("""COMPUTED_VALUE"""),"Deployed")</f>
        <v>Deployed</v>
      </c>
      <c r="AM310" s="4" t="str">
        <f ca="1">IFERROR(__xludf.DUMMYFUNCTION("""COMPUTED_VALUE"""),"- En pruebas post producción con pruebas controladas. Se tiene planificado prender funcionalidad el 27/Enero. 
- Error contraseña yu black list para enero. 
- En gestión   de incidentes de primer paquete, pdte fecha. 
- En valoración técnica de como consu"&amp;"mir el gestor documental. ")</f>
        <v xml:space="preserve">- En pruebas post producción con pruebas controladas. Se tiene planificado prender funcionalidad el 27/Enero. 
- Error contraseña yu black list para enero. 
- En gestión   de incidentes de primer paquete, pdte fecha. 
- En valoración técnica de como consumir el gestor documental. </v>
      </c>
      <c r="AN310" s="4" t="str">
        <f ca="1">IFERROR(__xludf.DUMMYFUNCTION("""COMPUTED_VALUE"""),"Finalizado")</f>
        <v>Finalizado</v>
      </c>
      <c r="AO310" s="4" t="str">
        <f ca="1">IFERROR(__xludf.DUMMYFUNCTION("""COMPUTED_VALUE"""),"Pasivos")</f>
        <v>Pasivos</v>
      </c>
      <c r="AP310" s="4"/>
      <c r="AQ310" s="4"/>
      <c r="AR310" s="4" t="str">
        <f ca="1">IFERROR(__xludf.DUMMYFUNCTION("""COMPUTED_VALUE"""),"SDA aprobada en PPP Q1 2023")</f>
        <v>SDA aprobada en PPP Q1 2023</v>
      </c>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133">
        <f ca="1">IFERROR(__xludf.DUMMYFUNCTION("""COMPUTED_VALUE"""),0)</f>
        <v>0</v>
      </c>
      <c r="DV310" s="133">
        <f ca="1">IFERROR(__xludf.DUMMYFUNCTION("""COMPUTED_VALUE"""),0)</f>
        <v>0</v>
      </c>
      <c r="DW310" s="133">
        <f ca="1">IFERROR(__xludf.DUMMYFUNCTION("""COMPUTED_VALUE"""),1624904824)</f>
        <v>1624904824</v>
      </c>
      <c r="DX310" s="133">
        <f ca="1">IFERROR(__xludf.DUMMYFUNCTION("""COMPUTED_VALUE"""),902573012)</f>
        <v>902573012</v>
      </c>
      <c r="DY310" s="133">
        <f ca="1">IFERROR(__xludf.DUMMYFUNCTION("""COMPUTED_VALUE"""),0)</f>
        <v>0</v>
      </c>
      <c r="DZ310" s="133">
        <f ca="1">IFERROR(__xludf.DUMMYFUNCTION("""COMPUTED_VALUE"""),2527477836)</f>
        <v>2527477836</v>
      </c>
      <c r="EA310" s="4"/>
      <c r="EB310" s="4"/>
    </row>
    <row r="311" spans="1:132" x14ac:dyDescent="0.2">
      <c r="A311" s="4">
        <f ca="1">IFERROR(__xludf.DUMMYFUNCTION("""COMPUTED_VALUE"""),311)</f>
        <v>311</v>
      </c>
      <c r="B311" s="4">
        <f ca="1">IFERROR(__xludf.DUMMYFUNCTION("""COMPUTED_VALUE"""),290)</f>
        <v>290</v>
      </c>
      <c r="C311" s="4" t="str">
        <f ca="1">IFERROR(__xludf.DUMMYFUNCTION("""COMPUTED_VALUE"""),"SDATOOL-38419")</f>
        <v>SDATOOL-38419</v>
      </c>
      <c r="D311" s="4" t="str">
        <f ca="1">IFERROR(__xludf.DUMMYFUNCTION("""COMPUTED_VALUE"""),"Contratación cuenta en línea en Glomo")</f>
        <v>Contratación cuenta en línea en Glomo</v>
      </c>
      <c r="E311" s="4" t="str">
        <f ca="1">IFERROR(__xludf.DUMMYFUNCTION("""COMPUTED_VALUE"""),"Contratación de cuenta de ahorros y de nómina para clientes nuevos, en la aplicación Glomo.")</f>
        <v>Contratación de cuenta de ahorros y de nómina para clientes nuevos, en la aplicación Glomo.</v>
      </c>
      <c r="F311" s="4" t="str">
        <f ca="1">IFERROR(__xludf.DUMMYFUNCTION("""COMPUTED_VALUE"""),"Project")</f>
        <v>Project</v>
      </c>
      <c r="G311" s="4" t="str">
        <f ca="1">IFERROR(__xludf.DUMMYFUNCTION("""COMPUTED_VALUE"""),"Stock")</f>
        <v>Stock</v>
      </c>
      <c r="H311" s="4" t="str">
        <f ca="1">IFERROR(__xludf.DUMMYFUNCTION("""COMPUTED_VALUE"""),"4Q 2023")</f>
        <v>4Q 2023</v>
      </c>
      <c r="I311" s="131" t="str">
        <f ca="1">IFERROR(__xludf.DUMMYFUNCTION("""COMPUTED_VALUE"""),"angie.castaneda-bbva.com")</f>
        <v>angie.castaneda-bbva.com</v>
      </c>
      <c r="J311" s="131" t="str">
        <f ca="1">IFERROR(__xludf.DUMMYFUNCTION("""COMPUTED_VALUE"""),"katherine.pardo-bbva.com")</f>
        <v>katherine.pardo-bbva.com</v>
      </c>
      <c r="K311" s="131" t="str">
        <f ca="1">IFERROR(__xludf.DUMMYFUNCTION("""COMPUTED_VALUE"""),"paolaandrea.hermosa-bbva.com")</f>
        <v>paolaandrea.hermosa-bbva.com</v>
      </c>
      <c r="L311" s="4"/>
      <c r="M311" s="4"/>
      <c r="N311" s="4"/>
      <c r="O311" s="4" t="str">
        <f ca="1">IFERROR(__xludf.DUMMYFUNCTION("""COMPUTED_VALUE"""),"Scrum")</f>
        <v>Scrum</v>
      </c>
      <c r="P311" s="4" t="str">
        <f ca="1">IFERROR(__xludf.DUMMYFUNCTION("""COMPUTED_VALUE"""),"Wolves")</f>
        <v>Wolves</v>
      </c>
      <c r="Q311" s="4"/>
      <c r="R311" s="130" t="str">
        <f ca="1">IFERROR(__xludf.DUMMYFUNCTION("""COMPUTED_VALUE"""),"Retail Execution")</f>
        <v>Retail Execution</v>
      </c>
      <c r="S311" s="130" t="str">
        <f ca="1">IFERROR(__xludf.DUMMYFUNCTION("""COMPUTED_VALUE"""),"Strategic Review")</f>
        <v>Strategic Review</v>
      </c>
      <c r="T311" s="130" t="str">
        <f ca="1">IFERROR(__xludf.DUMMYFUNCTION("""COMPUTED_VALUE"""),"2. Modelo de relación y distribución")</f>
        <v>2. Modelo de relación y distribución</v>
      </c>
      <c r="U311" s="130" t="str">
        <f ca="1">IFERROR(__xludf.DUMMYFUNCTION("""COMPUTED_VALUE"""),"2.4. Herramientas de clientes")</f>
        <v>2.4. Herramientas de clientes</v>
      </c>
      <c r="V311" s="4" t="str">
        <f ca="1">IFERROR(__xludf.DUMMYFUNCTION("""COMPUTED_VALUE"""),"Pasivo")</f>
        <v>Pasivo</v>
      </c>
      <c r="W311" s="4">
        <f ca="1">IFERROR(__xludf.DUMMYFUNCTION("""COMPUTED_VALUE"""),1)</f>
        <v>1</v>
      </c>
      <c r="X311" s="4" t="str">
        <f ca="1">IFERROR(__xludf.DUMMYFUNCTION("""COMPUTED_VALUE"""),"01. Open Market &amp; Partnerships")</f>
        <v>01. Open Market &amp; Partnerships</v>
      </c>
      <c r="Y311" s="4" t="str">
        <f ca="1">IFERROR(__xludf.DUMMYFUNCTION("""COMPUTED_VALUE"""),"5.6.4 GloMo")</f>
        <v>5.6.4 GloMo</v>
      </c>
      <c r="Z311" s="132" t="str">
        <f ca="1">IFERROR(__xludf.DUMMYFUNCTION("""COMPUTED_VALUE"""),"626317")</f>
        <v>626317</v>
      </c>
      <c r="AA311" s="4" t="str">
        <f ca="1">IFERROR(__xludf.DUMMYFUNCTION("""COMPUTED_VALUE"""),"Mejoras cuenta en línea fase I")</f>
        <v>Mejoras cuenta en línea fase I</v>
      </c>
      <c r="AB311" s="4" t="str">
        <f ca="1">IFERROR(__xludf.DUMMYFUNCTION("""COMPUTED_VALUE"""),"- Integración servicio 4. 1000
- Mejoras de UX")</f>
        <v>- Integración servicio 4. 1000
- Mejoras de UX</v>
      </c>
      <c r="AC311" s="4" t="str">
        <f ca="1">IFERROR(__xludf.DUMMYFUNCTION("""COMPUTED_VALUE"""),"1Q 2023")</f>
        <v>1Q 2023</v>
      </c>
      <c r="AD311" s="4"/>
      <c r="AE311" s="4"/>
      <c r="AF311" s="4"/>
      <c r="AG311" s="4"/>
      <c r="AH311" s="4"/>
      <c r="AI311" s="4"/>
      <c r="AJ311" s="4"/>
      <c r="AK311" s="131" t="str">
        <f ca="1">IFERROR(__xludf.DUMMYFUNCTION("""COMPUTED_VALUE"""),"COLWSCUENT-2943")</f>
        <v>COLWSCUENT-2943</v>
      </c>
      <c r="AL311" s="4" t="str">
        <f ca="1">IFERROR(__xludf.DUMMYFUNCTION("""COMPUTED_VALUE"""),"En progreso")</f>
        <v>En progreso</v>
      </c>
      <c r="AM311" s="4" t="str">
        <f ca="1">IFERROR(__xludf.DUMMYFUNCTION("""COMPUTED_VALUE"""),"En paso a producción para Ene/23. ")</f>
        <v xml:space="preserve">En paso a producción para Ene/23. </v>
      </c>
      <c r="AN311" s="4" t="str">
        <f ca="1">IFERROR(__xludf.DUMMYFUNCTION("""COMPUTED_VALUE"""),"Entregable en desarrollo")</f>
        <v>Entregable en desarrollo</v>
      </c>
      <c r="AO311" s="4" t="str">
        <f ca="1">IFERROR(__xludf.DUMMYFUNCTION("""COMPUTED_VALUE"""),"Pasivos")</f>
        <v>Pasivos</v>
      </c>
      <c r="AP311" s="4"/>
      <c r="AQ311" s="4"/>
      <c r="AR311" s="4" t="str">
        <f ca="1">IFERROR(__xludf.DUMMYFUNCTION("""COMPUTED_VALUE"""),"SDA aprobada en PPP Q1 2023")</f>
        <v>SDA aprobada en PPP Q1 2023</v>
      </c>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row>
    <row r="312" spans="1:132" x14ac:dyDescent="0.2">
      <c r="A312" s="4">
        <f ca="1">IFERROR(__xludf.DUMMYFUNCTION("""COMPUTED_VALUE"""),312)</f>
        <v>312</v>
      </c>
      <c r="B312" s="4">
        <f ca="1">IFERROR(__xludf.DUMMYFUNCTION("""COMPUTED_VALUE"""),291)</f>
        <v>291</v>
      </c>
      <c r="C312" s="4" t="str">
        <f ca="1">IFERROR(__xludf.DUMMYFUNCTION("""COMPUTED_VALUE"""),"SDATOOL-38419")</f>
        <v>SDATOOL-38419</v>
      </c>
      <c r="D312" s="4" t="str">
        <f ca="1">IFERROR(__xludf.DUMMYFUNCTION("""COMPUTED_VALUE"""),"Contratación cuenta en línea en Glomo")</f>
        <v>Contratación cuenta en línea en Glomo</v>
      </c>
      <c r="E312" s="4" t="str">
        <f ca="1">IFERROR(__xludf.DUMMYFUNCTION("""COMPUTED_VALUE"""),"Contratación de cuenta de ahorros y de nómina para clientes nuevos, en la aplicación Glomo.")</f>
        <v>Contratación de cuenta de ahorros y de nómina para clientes nuevos, en la aplicación Glomo.</v>
      </c>
      <c r="F312" s="4" t="str">
        <f ca="1">IFERROR(__xludf.DUMMYFUNCTION("""COMPUTED_VALUE"""),"Project")</f>
        <v>Project</v>
      </c>
      <c r="G312" s="4" t="str">
        <f ca="1">IFERROR(__xludf.DUMMYFUNCTION("""COMPUTED_VALUE"""),"Stock")</f>
        <v>Stock</v>
      </c>
      <c r="H312" s="4" t="str">
        <f ca="1">IFERROR(__xludf.DUMMYFUNCTION("""COMPUTED_VALUE"""),"4Q 2023")</f>
        <v>4Q 2023</v>
      </c>
      <c r="I312" s="131" t="str">
        <f ca="1">IFERROR(__xludf.DUMMYFUNCTION("""COMPUTED_VALUE"""),"angie.castaneda-bbva.com")</f>
        <v>angie.castaneda-bbva.com</v>
      </c>
      <c r="J312" s="131" t="str">
        <f ca="1">IFERROR(__xludf.DUMMYFUNCTION("""COMPUTED_VALUE"""),"katherine.pardo-bbva.com")</f>
        <v>katherine.pardo-bbva.com</v>
      </c>
      <c r="K312" s="131" t="str">
        <f ca="1">IFERROR(__xludf.DUMMYFUNCTION("""COMPUTED_VALUE"""),"paolaandrea.hermosa-bbva.com")</f>
        <v>paolaandrea.hermosa-bbva.com</v>
      </c>
      <c r="L312" s="4"/>
      <c r="M312" s="4"/>
      <c r="N312" s="4"/>
      <c r="O312" s="4" t="str">
        <f ca="1">IFERROR(__xludf.DUMMYFUNCTION("""COMPUTED_VALUE"""),"Scrum")</f>
        <v>Scrum</v>
      </c>
      <c r="P312" s="4" t="str">
        <f ca="1">IFERROR(__xludf.DUMMYFUNCTION("""COMPUTED_VALUE"""),"Wolves")</f>
        <v>Wolves</v>
      </c>
      <c r="Q312" s="4"/>
      <c r="R312" s="130" t="str">
        <f ca="1">IFERROR(__xludf.DUMMYFUNCTION("""COMPUTED_VALUE"""),"Retail Execution")</f>
        <v>Retail Execution</v>
      </c>
      <c r="S312" s="130" t="str">
        <f ca="1">IFERROR(__xludf.DUMMYFUNCTION("""COMPUTED_VALUE"""),"Strategic Review")</f>
        <v>Strategic Review</v>
      </c>
      <c r="T312" s="130" t="str">
        <f ca="1">IFERROR(__xludf.DUMMYFUNCTION("""COMPUTED_VALUE"""),"2. Modelo de relación y distribución")</f>
        <v>2. Modelo de relación y distribución</v>
      </c>
      <c r="U312" s="130" t="str">
        <f ca="1">IFERROR(__xludf.DUMMYFUNCTION("""COMPUTED_VALUE"""),"2.4. Herramientas de clientes")</f>
        <v>2.4. Herramientas de clientes</v>
      </c>
      <c r="V312" s="4" t="str">
        <f ca="1">IFERROR(__xludf.DUMMYFUNCTION("""COMPUTED_VALUE"""),"Pasivo")</f>
        <v>Pasivo</v>
      </c>
      <c r="W312" s="4">
        <f ca="1">IFERROR(__xludf.DUMMYFUNCTION("""COMPUTED_VALUE"""),1)</f>
        <v>1</v>
      </c>
      <c r="X312" s="4" t="str">
        <f ca="1">IFERROR(__xludf.DUMMYFUNCTION("""COMPUTED_VALUE"""),"01. Open Market &amp; Partnerships")</f>
        <v>01. Open Market &amp; Partnerships</v>
      </c>
      <c r="Y312" s="4" t="str">
        <f ca="1">IFERROR(__xludf.DUMMYFUNCTION("""COMPUTED_VALUE"""),"5.6.4 GloMo")</f>
        <v>5.6.4 GloMo</v>
      </c>
      <c r="Z312" s="132" t="str">
        <f ca="1">IFERROR(__xludf.DUMMYFUNCTION("""COMPUTED_VALUE"""),"514839")</f>
        <v>514839</v>
      </c>
      <c r="AA312" s="4" t="str">
        <f ca="1">IFERROR(__xludf.DUMMYFUNCTION("""COMPUTED_VALUE"""),"Oferta D+0")</f>
        <v>Oferta D+0</v>
      </c>
      <c r="AB312" s="4" t="str">
        <f ca="1">IFERROR(__xludf.DUMMYFUNCTION("""COMPUTED_VALUE"""),"Oferta tarjeta de crédito D+0 durante el proceso de contratación en glomo")</f>
        <v>Oferta tarjeta de crédito D+0 durante el proceso de contratación en glomo</v>
      </c>
      <c r="AC312" s="4" t="str">
        <f ca="1">IFERROR(__xludf.DUMMYFUNCTION("""COMPUTED_VALUE"""),"4Q 2023")</f>
        <v>4Q 2023</v>
      </c>
      <c r="AD312" s="4"/>
      <c r="AE312" s="4"/>
      <c r="AF312" s="4"/>
      <c r="AG312" s="4"/>
      <c r="AH312" s="4"/>
      <c r="AI312" s="4"/>
      <c r="AJ312" s="4"/>
      <c r="AK312" s="131" t="str">
        <f ca="1">IFERROR(__xludf.DUMMYFUNCTION("""COMPUTED_VALUE"""),"COLWSCUENT-2017")</f>
        <v>COLWSCUENT-2017</v>
      </c>
      <c r="AL312" s="4" t="str">
        <f ca="1">IFERROR(__xludf.DUMMYFUNCTION("""COMPUTED_VALUE"""),"Blocked")</f>
        <v>Blocked</v>
      </c>
      <c r="AM312" s="4" t="str">
        <f ca="1">IFERROR(__xludf.DUMMYFUNCTION("""COMPUTED_VALUE"""),"En alerta dado que el equipo no ha podido iniciar desarrollos. Para instalar en Mar/23. ")</f>
        <v xml:space="preserve">En alerta dado que el equipo no ha podido iniciar desarrollos. Para instalar en Mar/23. </v>
      </c>
      <c r="AN312" s="4" t="str">
        <f ca="1">IFERROR(__xludf.DUMMYFUNCTION("""COMPUTED_VALUE"""),"Entregable en desarrollo")</f>
        <v>Entregable en desarrollo</v>
      </c>
      <c r="AO312" s="4" t="str">
        <f ca="1">IFERROR(__xludf.DUMMYFUNCTION("""COMPUTED_VALUE"""),"Pasivos")</f>
        <v>Pasivos</v>
      </c>
      <c r="AP312" s="4"/>
      <c r="AQ312" s="4"/>
      <c r="AR312" s="4" t="str">
        <f ca="1">IFERROR(__xludf.DUMMYFUNCTION("""COMPUTED_VALUE"""),"SDA aprobada en PPP Q1 2023")</f>
        <v>SDA aprobada en PPP Q1 2023</v>
      </c>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row>
    <row r="313" spans="1:132" x14ac:dyDescent="0.2">
      <c r="A313" s="4">
        <f ca="1">IFERROR(__xludf.DUMMYFUNCTION("""COMPUTED_VALUE"""),313)</f>
        <v>313</v>
      </c>
      <c r="B313" s="4">
        <f ca="1">IFERROR(__xludf.DUMMYFUNCTION("""COMPUTED_VALUE"""),292)</f>
        <v>292</v>
      </c>
      <c r="C313" s="4" t="str">
        <f ca="1">IFERROR(__xludf.DUMMYFUNCTION("""COMPUTED_VALUE"""),"SDATOOL-38419")</f>
        <v>SDATOOL-38419</v>
      </c>
      <c r="D313" s="4" t="str">
        <f ca="1">IFERROR(__xludf.DUMMYFUNCTION("""COMPUTED_VALUE"""),"Contratación cuenta en línea en Glomo")</f>
        <v>Contratación cuenta en línea en Glomo</v>
      </c>
      <c r="E313" s="4" t="str">
        <f ca="1">IFERROR(__xludf.DUMMYFUNCTION("""COMPUTED_VALUE"""),"Contratación de cuenta de ahorros y de nómina para clientes nuevos, en la aplicación Glomo.")</f>
        <v>Contratación de cuenta de ahorros y de nómina para clientes nuevos, en la aplicación Glomo.</v>
      </c>
      <c r="F313" s="4" t="str">
        <f ca="1">IFERROR(__xludf.DUMMYFUNCTION("""COMPUTED_VALUE"""),"Project")</f>
        <v>Project</v>
      </c>
      <c r="G313" s="4" t="str">
        <f ca="1">IFERROR(__xludf.DUMMYFUNCTION("""COMPUTED_VALUE"""),"Stock")</f>
        <v>Stock</v>
      </c>
      <c r="H313" s="4" t="str">
        <f ca="1">IFERROR(__xludf.DUMMYFUNCTION("""COMPUTED_VALUE"""),"4Q 2023")</f>
        <v>4Q 2023</v>
      </c>
      <c r="I313" s="131" t="str">
        <f ca="1">IFERROR(__xludf.DUMMYFUNCTION("""COMPUTED_VALUE"""),"angie.castaneda-bbva.com")</f>
        <v>angie.castaneda-bbva.com</v>
      </c>
      <c r="J313" s="131" t="str">
        <f ca="1">IFERROR(__xludf.DUMMYFUNCTION("""COMPUTED_VALUE"""),"katherine.pardo-bbva.com")</f>
        <v>katherine.pardo-bbva.com</v>
      </c>
      <c r="K313" s="131" t="str">
        <f ca="1">IFERROR(__xludf.DUMMYFUNCTION("""COMPUTED_VALUE"""),"paolaandrea.hermosa-bbva.com")</f>
        <v>paolaandrea.hermosa-bbva.com</v>
      </c>
      <c r="L313" s="4"/>
      <c r="M313" s="4"/>
      <c r="N313" s="4"/>
      <c r="O313" s="4" t="str">
        <f ca="1">IFERROR(__xludf.DUMMYFUNCTION("""COMPUTED_VALUE"""),"Scrum")</f>
        <v>Scrum</v>
      </c>
      <c r="P313" s="4" t="str">
        <f ca="1">IFERROR(__xludf.DUMMYFUNCTION("""COMPUTED_VALUE"""),"Wolves")</f>
        <v>Wolves</v>
      </c>
      <c r="Q313" s="4"/>
      <c r="R313" s="130" t="str">
        <f ca="1">IFERROR(__xludf.DUMMYFUNCTION("""COMPUTED_VALUE"""),"Retail Execution")</f>
        <v>Retail Execution</v>
      </c>
      <c r="S313" s="130" t="str">
        <f ca="1">IFERROR(__xludf.DUMMYFUNCTION("""COMPUTED_VALUE"""),"Strategic Review")</f>
        <v>Strategic Review</v>
      </c>
      <c r="T313" s="130" t="str">
        <f ca="1">IFERROR(__xludf.DUMMYFUNCTION("""COMPUTED_VALUE"""),"2. Modelo de relación y distribución")</f>
        <v>2. Modelo de relación y distribución</v>
      </c>
      <c r="U313" s="130" t="str">
        <f ca="1">IFERROR(__xludf.DUMMYFUNCTION("""COMPUTED_VALUE"""),"2.4. Herramientas de clientes")</f>
        <v>2.4. Herramientas de clientes</v>
      </c>
      <c r="V313" s="4" t="str">
        <f ca="1">IFERROR(__xludf.DUMMYFUNCTION("""COMPUTED_VALUE"""),"Pasivo")</f>
        <v>Pasivo</v>
      </c>
      <c r="W313" s="4">
        <f ca="1">IFERROR(__xludf.DUMMYFUNCTION("""COMPUTED_VALUE"""),1)</f>
        <v>1</v>
      </c>
      <c r="X313" s="4" t="str">
        <f ca="1">IFERROR(__xludf.DUMMYFUNCTION("""COMPUTED_VALUE"""),"01. Open Market &amp; Partnerships")</f>
        <v>01. Open Market &amp; Partnerships</v>
      </c>
      <c r="Y313" s="4" t="str">
        <f ca="1">IFERROR(__xludf.DUMMYFUNCTION("""COMPUTED_VALUE"""),"5.6.4 GloMo")</f>
        <v>5.6.4 GloMo</v>
      </c>
      <c r="Z313" s="132" t="str">
        <f ca="1">IFERROR(__xludf.DUMMYFUNCTION("""COMPUTED_VALUE"""),"514849")</f>
        <v>514849</v>
      </c>
      <c r="AA313" s="4" t="str">
        <f ca="1">IFERROR(__xludf.DUMMYFUNCTION("""COMPUTED_VALUE"""),"Alta masiva")</f>
        <v>Alta masiva</v>
      </c>
      <c r="AB313" s="4" t="str">
        <f ca="1">IFERROR(__xludf.DUMMYFUNCTION("""COMPUTED_VALUE"""),"Habilitar el proceso de ata masiva para las cuentas de nómina y pensional en Glomo")</f>
        <v>Habilitar el proceso de ata masiva para las cuentas de nómina y pensional en Glomo</v>
      </c>
      <c r="AC313" s="4" t="str">
        <f ca="1">IFERROR(__xludf.DUMMYFUNCTION("""COMPUTED_VALUE"""),"1Q 2024")</f>
        <v>1Q 2024</v>
      </c>
      <c r="AD313" s="4"/>
      <c r="AE313" s="4"/>
      <c r="AF313" s="4"/>
      <c r="AG313" s="4"/>
      <c r="AH313" s="4"/>
      <c r="AI313" s="4"/>
      <c r="AJ313" s="4"/>
      <c r="AK313" s="4" t="str">
        <f ca="1">IFERROR(__xludf.DUMMYFUNCTION("""COMPUTED_VALUE"""),"Sin asignar")</f>
        <v>Sin asignar</v>
      </c>
      <c r="AL313" s="4" t="str">
        <f ca="1">IFERROR(__xludf.DUMMYFUNCTION("""COMPUTED_VALUE"""),"Sin asignar")</f>
        <v>Sin asignar</v>
      </c>
      <c r="AM313" s="4" t="str">
        <f ca="1">IFERROR(__xludf.DUMMYFUNCTION("""COMPUTED_VALUE"""),"Sin iniciar. Se estima iniicar despúes de cuenta pensional ")</f>
        <v xml:space="preserve">Sin iniciar. Se estima iniicar despúes de cuenta pensional </v>
      </c>
      <c r="AN313" s="4" t="str">
        <f ca="1">IFERROR(__xludf.DUMMYFUNCTION("""COMPUTED_VALUE"""),"Entregable en backlog")</f>
        <v>Entregable en backlog</v>
      </c>
      <c r="AO313" s="4" t="str">
        <f ca="1">IFERROR(__xludf.DUMMYFUNCTION("""COMPUTED_VALUE"""),"Pasivos")</f>
        <v>Pasivos</v>
      </c>
      <c r="AP313" s="4"/>
      <c r="AQ313" s="4"/>
      <c r="AR313" s="4" t="str">
        <f ca="1">IFERROR(__xludf.DUMMYFUNCTION("""COMPUTED_VALUE"""),"SDA aprobada en PPP Q1 2023")</f>
        <v>SDA aprobada en PPP Q1 2023</v>
      </c>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row>
    <row r="314" spans="1:132" x14ac:dyDescent="0.2">
      <c r="A314" s="4">
        <f ca="1">IFERROR(__xludf.DUMMYFUNCTION("""COMPUTED_VALUE"""),314)</f>
        <v>314</v>
      </c>
      <c r="B314" s="4">
        <f ca="1">IFERROR(__xludf.DUMMYFUNCTION("""COMPUTED_VALUE"""),293)</f>
        <v>293</v>
      </c>
      <c r="C314" s="4" t="str">
        <f ca="1">IFERROR(__xludf.DUMMYFUNCTION("""COMPUTED_VALUE"""),"SDATOOL-38419")</f>
        <v>SDATOOL-38419</v>
      </c>
      <c r="D314" s="4" t="str">
        <f ca="1">IFERROR(__xludf.DUMMYFUNCTION("""COMPUTED_VALUE"""),"Contratación cuenta en línea en Glomo")</f>
        <v>Contratación cuenta en línea en Glomo</v>
      </c>
      <c r="E314" s="4" t="str">
        <f ca="1">IFERROR(__xludf.DUMMYFUNCTION("""COMPUTED_VALUE"""),"Contratación de cuenta de ahorros y de nómina para clientes nuevos, en la aplicación Glomo.")</f>
        <v>Contratación de cuenta de ahorros y de nómina para clientes nuevos, en la aplicación Glomo.</v>
      </c>
      <c r="F314" s="4" t="str">
        <f ca="1">IFERROR(__xludf.DUMMYFUNCTION("""COMPUTED_VALUE"""),"Project")</f>
        <v>Project</v>
      </c>
      <c r="G314" s="4" t="str">
        <f ca="1">IFERROR(__xludf.DUMMYFUNCTION("""COMPUTED_VALUE"""),"Stock")</f>
        <v>Stock</v>
      </c>
      <c r="H314" s="4" t="str">
        <f ca="1">IFERROR(__xludf.DUMMYFUNCTION("""COMPUTED_VALUE"""),"4Q 2023")</f>
        <v>4Q 2023</v>
      </c>
      <c r="I314" s="131" t="str">
        <f ca="1">IFERROR(__xludf.DUMMYFUNCTION("""COMPUTED_VALUE"""),"angie.castaneda-bbva.com")</f>
        <v>angie.castaneda-bbva.com</v>
      </c>
      <c r="J314" s="131" t="str">
        <f ca="1">IFERROR(__xludf.DUMMYFUNCTION("""COMPUTED_VALUE"""),"katherine.pardo-bbva.com")</f>
        <v>katherine.pardo-bbva.com</v>
      </c>
      <c r="K314" s="131" t="str">
        <f ca="1">IFERROR(__xludf.DUMMYFUNCTION("""COMPUTED_VALUE"""),"paolaandrea.hermosa-bbva.com")</f>
        <v>paolaandrea.hermosa-bbva.com</v>
      </c>
      <c r="L314" s="4"/>
      <c r="M314" s="4"/>
      <c r="N314" s="4"/>
      <c r="O314" s="4" t="str">
        <f ca="1">IFERROR(__xludf.DUMMYFUNCTION("""COMPUTED_VALUE"""),"Scrum")</f>
        <v>Scrum</v>
      </c>
      <c r="P314" s="4" t="str">
        <f ca="1">IFERROR(__xludf.DUMMYFUNCTION("""COMPUTED_VALUE"""),"Wolves")</f>
        <v>Wolves</v>
      </c>
      <c r="Q314" s="4"/>
      <c r="R314" s="130" t="str">
        <f ca="1">IFERROR(__xludf.DUMMYFUNCTION("""COMPUTED_VALUE"""),"Retail Execution")</f>
        <v>Retail Execution</v>
      </c>
      <c r="S314" s="130" t="str">
        <f ca="1">IFERROR(__xludf.DUMMYFUNCTION("""COMPUTED_VALUE"""),"Strategic Review")</f>
        <v>Strategic Review</v>
      </c>
      <c r="T314" s="130" t="str">
        <f ca="1">IFERROR(__xludf.DUMMYFUNCTION("""COMPUTED_VALUE"""),"2. Modelo de relación y distribución")</f>
        <v>2. Modelo de relación y distribución</v>
      </c>
      <c r="U314" s="130" t="str">
        <f ca="1">IFERROR(__xludf.DUMMYFUNCTION("""COMPUTED_VALUE"""),"2.4. Herramientas de clientes")</f>
        <v>2.4. Herramientas de clientes</v>
      </c>
      <c r="V314" s="4" t="str">
        <f ca="1">IFERROR(__xludf.DUMMYFUNCTION("""COMPUTED_VALUE"""),"Pasivo")</f>
        <v>Pasivo</v>
      </c>
      <c r="W314" s="4">
        <f ca="1">IFERROR(__xludf.DUMMYFUNCTION("""COMPUTED_VALUE"""),1)</f>
        <v>1</v>
      </c>
      <c r="X314" s="4" t="str">
        <f ca="1">IFERROR(__xludf.DUMMYFUNCTION("""COMPUTED_VALUE"""),"01. Open Market &amp; Partnerships")</f>
        <v>01. Open Market &amp; Partnerships</v>
      </c>
      <c r="Y314" s="4" t="str">
        <f ca="1">IFERROR(__xludf.DUMMYFUNCTION("""COMPUTED_VALUE"""),"5.6.4 GloMo")</f>
        <v>5.6.4 GloMo</v>
      </c>
      <c r="Z314" s="132" t="str">
        <f ca="1">IFERROR(__xludf.DUMMYFUNCTION("""COMPUTED_VALUE"""),"514850")</f>
        <v>514850</v>
      </c>
      <c r="AA314" s="4" t="str">
        <f ca="1">IFERROR(__xludf.DUMMYFUNCTION("""COMPUTED_VALUE"""),"Dinero móvil y ADN")</f>
        <v>Dinero móvil y ADN</v>
      </c>
      <c r="AB314" s="4" t="str">
        <f ca="1">IFERROR(__xludf.DUMMYFUNCTION("""COMPUTED_VALUE"""),"Habilitar el proceso de contratación de Dinero móvil y ADN en Glomo.")</f>
        <v>Habilitar el proceso de contratación de Dinero móvil y ADN en Glomo.</v>
      </c>
      <c r="AC314" s="4" t="str">
        <f ca="1">IFERROR(__xludf.DUMMYFUNCTION("""COMPUTED_VALUE"""),"2Q 2024")</f>
        <v>2Q 2024</v>
      </c>
      <c r="AD314" s="4"/>
      <c r="AE314" s="4"/>
      <c r="AF314" s="4"/>
      <c r="AG314" s="4"/>
      <c r="AH314" s="4"/>
      <c r="AI314" s="4"/>
      <c r="AJ314" s="4"/>
      <c r="AK314" s="4" t="str">
        <f ca="1">IFERROR(__xludf.DUMMYFUNCTION("""COMPUTED_VALUE"""),"Sin asignar")</f>
        <v>Sin asignar</v>
      </c>
      <c r="AL314" s="4" t="str">
        <f ca="1">IFERROR(__xludf.DUMMYFUNCTION("""COMPUTED_VALUE"""),"Sin asignar")</f>
        <v>Sin asignar</v>
      </c>
      <c r="AM314" s="4" t="str">
        <f ca="1">IFERROR(__xludf.DUMMYFUNCTION("""COMPUTED_VALUE"""),"Sin iniciar. Se estima iniicar despúes de cuenta pensional ")</f>
        <v xml:space="preserve">Sin iniciar. Se estima iniicar despúes de cuenta pensional </v>
      </c>
      <c r="AN314" s="4" t="str">
        <f ca="1">IFERROR(__xludf.DUMMYFUNCTION("""COMPUTED_VALUE"""),"Entregable en backlog")</f>
        <v>Entregable en backlog</v>
      </c>
      <c r="AO314" s="4" t="str">
        <f ca="1">IFERROR(__xludf.DUMMYFUNCTION("""COMPUTED_VALUE"""),"Pasivos")</f>
        <v>Pasivos</v>
      </c>
      <c r="AP314" s="4"/>
      <c r="AQ314" s="4"/>
      <c r="AR314" s="4" t="str">
        <f ca="1">IFERROR(__xludf.DUMMYFUNCTION("""COMPUTED_VALUE"""),"SDA aprobada en PPP Q1 2023")</f>
        <v>SDA aprobada en PPP Q1 2023</v>
      </c>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row>
    <row r="315" spans="1:132" x14ac:dyDescent="0.2">
      <c r="A315" s="4">
        <f ca="1">IFERROR(__xludf.DUMMYFUNCTION("""COMPUTED_VALUE"""),315)</f>
        <v>315</v>
      </c>
      <c r="B315" s="4"/>
      <c r="C315" s="4" t="str">
        <f ca="1">IFERROR(__xludf.DUMMYFUNCTION("""COMPUTED_VALUE"""),"SDATOOL-38419")</f>
        <v>SDATOOL-38419</v>
      </c>
      <c r="D315" s="4" t="str">
        <f ca="1">IFERROR(__xludf.DUMMYFUNCTION("""COMPUTED_VALUE"""),"Contratación cuenta en línea en Glomo")</f>
        <v>Contratación cuenta en línea en Glomo</v>
      </c>
      <c r="E315" s="4" t="str">
        <f ca="1">IFERROR(__xludf.DUMMYFUNCTION("""COMPUTED_VALUE"""),"Contratación de cuenta de ahorros y de nómina para clientes nuevos, en la aplicación Glomo.")</f>
        <v>Contratación de cuenta de ahorros y de nómina para clientes nuevos, en la aplicación Glomo.</v>
      </c>
      <c r="F315" s="4" t="str">
        <f ca="1">IFERROR(__xludf.DUMMYFUNCTION("""COMPUTED_VALUE"""),"Project")</f>
        <v>Project</v>
      </c>
      <c r="G315" s="4" t="str">
        <f ca="1">IFERROR(__xludf.DUMMYFUNCTION("""COMPUTED_VALUE"""),"Stock")</f>
        <v>Stock</v>
      </c>
      <c r="H315" s="4" t="str">
        <f ca="1">IFERROR(__xludf.DUMMYFUNCTION("""COMPUTED_VALUE"""),"4Q 2023")</f>
        <v>4Q 2023</v>
      </c>
      <c r="I315" s="131" t="str">
        <f ca="1">IFERROR(__xludf.DUMMYFUNCTION("""COMPUTED_VALUE"""),"angie.castaneda-bbva.com")</f>
        <v>angie.castaneda-bbva.com</v>
      </c>
      <c r="J315" s="131" t="str">
        <f ca="1">IFERROR(__xludf.DUMMYFUNCTION("""COMPUTED_VALUE"""),"katherine.pardo-bbva.com")</f>
        <v>katherine.pardo-bbva.com</v>
      </c>
      <c r="K315" s="131" t="str">
        <f ca="1">IFERROR(__xludf.DUMMYFUNCTION("""COMPUTED_VALUE"""),"paolaandrea.hermosa-bbva.com")</f>
        <v>paolaandrea.hermosa-bbva.com</v>
      </c>
      <c r="L315" s="4"/>
      <c r="M315" s="4"/>
      <c r="N315" s="4"/>
      <c r="O315" s="4" t="str">
        <f ca="1">IFERROR(__xludf.DUMMYFUNCTION("""COMPUTED_VALUE"""),"Scrum")</f>
        <v>Scrum</v>
      </c>
      <c r="P315" s="4" t="str">
        <f ca="1">IFERROR(__xludf.DUMMYFUNCTION("""COMPUTED_VALUE"""),"Wolves")</f>
        <v>Wolves</v>
      </c>
      <c r="Q315" s="4"/>
      <c r="R315" s="130" t="str">
        <f ca="1">IFERROR(__xludf.DUMMYFUNCTION("""COMPUTED_VALUE"""),"Retail Execution")</f>
        <v>Retail Execution</v>
      </c>
      <c r="S315" s="130" t="str">
        <f ca="1">IFERROR(__xludf.DUMMYFUNCTION("""COMPUTED_VALUE"""),"Strategic Review")</f>
        <v>Strategic Review</v>
      </c>
      <c r="T315" s="130" t="str">
        <f ca="1">IFERROR(__xludf.DUMMYFUNCTION("""COMPUTED_VALUE"""),"2. Modelo de relación y distribución")</f>
        <v>2. Modelo de relación y distribución</v>
      </c>
      <c r="U315" s="130" t="str">
        <f ca="1">IFERROR(__xludf.DUMMYFUNCTION("""COMPUTED_VALUE"""),"2.4. Herramientas de clientes")</f>
        <v>2.4. Herramientas de clientes</v>
      </c>
      <c r="V315" s="4" t="str">
        <f ca="1">IFERROR(__xludf.DUMMYFUNCTION("""COMPUTED_VALUE"""),"Pasivo")</f>
        <v>Pasivo</v>
      </c>
      <c r="W315" s="4">
        <f ca="1">IFERROR(__xludf.DUMMYFUNCTION("""COMPUTED_VALUE"""),1)</f>
        <v>1</v>
      </c>
      <c r="X315" s="4" t="str">
        <f ca="1">IFERROR(__xludf.DUMMYFUNCTION("""COMPUTED_VALUE"""),"01. Open Market &amp; Partnerships")</f>
        <v>01. Open Market &amp; Partnerships</v>
      </c>
      <c r="Y315" s="4" t="str">
        <f ca="1">IFERROR(__xludf.DUMMYFUNCTION("""COMPUTED_VALUE"""),"5.6.4 GloMo")</f>
        <v>5.6.4 GloMo</v>
      </c>
      <c r="Z315" s="132" t="str">
        <f ca="1">IFERROR(__xludf.DUMMYFUNCTION("""COMPUTED_VALUE"""),"773912")</f>
        <v>773912</v>
      </c>
      <c r="AA315" s="4" t="str">
        <f ca="1">IFERROR(__xludf.DUMMYFUNCTION("""COMPUTED_VALUE"""),"Integración Backend Veridas")</f>
        <v>Integración Backend Veridas</v>
      </c>
      <c r="AB315" s="4" t="str">
        <f ca="1">IFERROR(__xludf.DUMMYFUNCTION("""COMPUTED_VALUE"""),"Integrar al proceso de cuenta en línea glomo la consola de almacenamiento de imágenes del  Veridas")</f>
        <v>Integrar al proceso de cuenta en línea glomo la consola de almacenamiento de imágenes del  Veridas</v>
      </c>
      <c r="AC315" s="4" t="str">
        <f ca="1">IFERROR(__xludf.DUMMYFUNCTION("""COMPUTED_VALUE"""),"2Q 2023")</f>
        <v>2Q 2023</v>
      </c>
      <c r="AD315" s="4"/>
      <c r="AE315" s="4"/>
      <c r="AF315" s="4"/>
      <c r="AG315" s="4"/>
      <c r="AH315" s="4"/>
      <c r="AI315" s="4"/>
      <c r="AJ315" s="4"/>
      <c r="AK315" s="4" t="str">
        <f ca="1">IFERROR(__xludf.DUMMYFUNCTION("""COMPUTED_VALUE"""),"Sin asignar")</f>
        <v>Sin asignar</v>
      </c>
      <c r="AL315" s="4" t="str">
        <f ca="1">IFERROR(__xludf.DUMMYFUNCTION("""COMPUTED_VALUE"""),"Sin asignar")</f>
        <v>Sin asignar</v>
      </c>
      <c r="AM315" s="4"/>
      <c r="AN315" s="4" t="str">
        <f ca="1">IFERROR(__xludf.DUMMYFUNCTION("""COMPUTED_VALUE"""),"Entregable en backlog")</f>
        <v>Entregable en backlog</v>
      </c>
      <c r="AO315" s="4" t="str">
        <f ca="1">IFERROR(__xludf.DUMMYFUNCTION("""COMPUTED_VALUE"""),"Pasivos")</f>
        <v>Pasivos</v>
      </c>
      <c r="AP315" s="4"/>
      <c r="AQ315" s="4"/>
      <c r="AR315" s="4" t="str">
        <f ca="1">IFERROR(__xludf.DUMMYFUNCTION("""COMPUTED_VALUE"""),"SDA aprobada en PPP Q1 2023")</f>
        <v>SDA aprobada en PPP Q1 2023</v>
      </c>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row>
    <row r="316" spans="1:132" x14ac:dyDescent="0.2">
      <c r="A316" s="4">
        <f ca="1">IFERROR(__xludf.DUMMYFUNCTION("""COMPUTED_VALUE"""),316)</f>
        <v>316</v>
      </c>
      <c r="B316" s="4"/>
      <c r="C316" s="4" t="str">
        <f ca="1">IFERROR(__xludf.DUMMYFUNCTION("""COMPUTED_VALUE"""),"SDATOOL-38419")</f>
        <v>SDATOOL-38419</v>
      </c>
      <c r="D316" s="4" t="str">
        <f ca="1">IFERROR(__xludf.DUMMYFUNCTION("""COMPUTED_VALUE"""),"Contratación cuenta en línea en Glomo")</f>
        <v>Contratación cuenta en línea en Glomo</v>
      </c>
      <c r="E316" s="4" t="str">
        <f ca="1">IFERROR(__xludf.DUMMYFUNCTION("""COMPUTED_VALUE"""),"Contratación de cuenta de ahorros y de nómina para clientes nuevos, en la aplicación Glomo.")</f>
        <v>Contratación de cuenta de ahorros y de nómina para clientes nuevos, en la aplicación Glomo.</v>
      </c>
      <c r="F316" s="4" t="str">
        <f ca="1">IFERROR(__xludf.DUMMYFUNCTION("""COMPUTED_VALUE"""),"Project")</f>
        <v>Project</v>
      </c>
      <c r="G316" s="4" t="str">
        <f ca="1">IFERROR(__xludf.DUMMYFUNCTION("""COMPUTED_VALUE"""),"Stock")</f>
        <v>Stock</v>
      </c>
      <c r="H316" s="4" t="str">
        <f ca="1">IFERROR(__xludf.DUMMYFUNCTION("""COMPUTED_VALUE"""),"4Q 2023")</f>
        <v>4Q 2023</v>
      </c>
      <c r="I316" s="131" t="str">
        <f ca="1">IFERROR(__xludf.DUMMYFUNCTION("""COMPUTED_VALUE"""),"angie.castaneda-bbva.com")</f>
        <v>angie.castaneda-bbva.com</v>
      </c>
      <c r="J316" s="131" t="str">
        <f ca="1">IFERROR(__xludf.DUMMYFUNCTION("""COMPUTED_VALUE"""),"katherine.pardo-bbva.com")</f>
        <v>katherine.pardo-bbva.com</v>
      </c>
      <c r="K316" s="131" t="str">
        <f ca="1">IFERROR(__xludf.DUMMYFUNCTION("""COMPUTED_VALUE"""),"paolaandrea.hermosa-bbva.com")</f>
        <v>paolaandrea.hermosa-bbva.com</v>
      </c>
      <c r="L316" s="4"/>
      <c r="M316" s="4"/>
      <c r="N316" s="4"/>
      <c r="O316" s="4" t="str">
        <f ca="1">IFERROR(__xludf.DUMMYFUNCTION("""COMPUTED_VALUE"""),"Scrum")</f>
        <v>Scrum</v>
      </c>
      <c r="P316" s="4" t="str">
        <f ca="1">IFERROR(__xludf.DUMMYFUNCTION("""COMPUTED_VALUE"""),"Wolves")</f>
        <v>Wolves</v>
      </c>
      <c r="Q316" s="4"/>
      <c r="R316" s="130" t="str">
        <f ca="1">IFERROR(__xludf.DUMMYFUNCTION("""COMPUTED_VALUE"""),"Retail Execution")</f>
        <v>Retail Execution</v>
      </c>
      <c r="S316" s="130" t="str">
        <f ca="1">IFERROR(__xludf.DUMMYFUNCTION("""COMPUTED_VALUE"""),"Strategic Review")</f>
        <v>Strategic Review</v>
      </c>
      <c r="T316" s="130" t="str">
        <f ca="1">IFERROR(__xludf.DUMMYFUNCTION("""COMPUTED_VALUE"""),"2. Modelo de relación y distribución")</f>
        <v>2. Modelo de relación y distribución</v>
      </c>
      <c r="U316" s="130" t="str">
        <f ca="1">IFERROR(__xludf.DUMMYFUNCTION("""COMPUTED_VALUE"""),"2.4. Herramientas de clientes")</f>
        <v>2.4. Herramientas de clientes</v>
      </c>
      <c r="V316" s="4" t="str">
        <f ca="1">IFERROR(__xludf.DUMMYFUNCTION("""COMPUTED_VALUE"""),"Pasivo")</f>
        <v>Pasivo</v>
      </c>
      <c r="W316" s="4">
        <f ca="1">IFERROR(__xludf.DUMMYFUNCTION("""COMPUTED_VALUE"""),1)</f>
        <v>1</v>
      </c>
      <c r="X316" s="4" t="str">
        <f ca="1">IFERROR(__xludf.DUMMYFUNCTION("""COMPUTED_VALUE"""),"01. Open Market &amp; Partnerships")</f>
        <v>01. Open Market &amp; Partnerships</v>
      </c>
      <c r="Y316" s="4" t="str">
        <f ca="1">IFERROR(__xludf.DUMMYFUNCTION("""COMPUTED_VALUE"""),"5.6.4 GloMo")</f>
        <v>5.6.4 GloMo</v>
      </c>
      <c r="Z316" s="132" t="str">
        <f ca="1">IFERROR(__xludf.DUMMYFUNCTION("""COMPUTED_VALUE"""),"773958")</f>
        <v>773958</v>
      </c>
      <c r="AA316" s="4" t="str">
        <f ca="1">IFERROR(__xludf.DUMMYFUNCTION("""COMPUTED_VALUE"""),"Mejoras paquete 2")</f>
        <v>Mejoras paquete 2</v>
      </c>
      <c r="AB316" s="4" t="str">
        <f ca="1">IFERROR(__xludf.DUMMYFUNCTION("""COMPUTED_VALUE"""),"-Tagging modulo Veridas 
- Guardado SOI/APL y CIFIN")</f>
        <v>-Tagging modulo Veridas 
- Guardado SOI/APL y CIFIN</v>
      </c>
      <c r="AC316" s="4" t="str">
        <f ca="1">IFERROR(__xludf.DUMMYFUNCTION("""COMPUTED_VALUE"""),"2Q 2023")</f>
        <v>2Q 2023</v>
      </c>
      <c r="AD316" s="4"/>
      <c r="AE316" s="4"/>
      <c r="AF316" s="4"/>
      <c r="AG316" s="4"/>
      <c r="AH316" s="4"/>
      <c r="AI316" s="4"/>
      <c r="AJ316" s="4"/>
      <c r="AK316" s="131" t="str">
        <f ca="1">IFERROR(__xludf.DUMMYFUNCTION("""COMPUTED_VALUE"""),"COLWSCUENT-2992")</f>
        <v>COLWSCUENT-2992</v>
      </c>
      <c r="AL316" s="4" t="str">
        <f ca="1">IFERROR(__xludf.DUMMYFUNCTION("""COMPUTED_VALUE"""),"New")</f>
        <v>New</v>
      </c>
      <c r="AM316" s="4"/>
      <c r="AN316" s="4" t="str">
        <f ca="1">IFERROR(__xludf.DUMMYFUNCTION("""COMPUTED_VALUE"""),"Entregable en backlog")</f>
        <v>Entregable en backlog</v>
      </c>
      <c r="AO316" s="4" t="str">
        <f ca="1">IFERROR(__xludf.DUMMYFUNCTION("""COMPUTED_VALUE"""),"Pasivos")</f>
        <v>Pasivos</v>
      </c>
      <c r="AP316" s="4"/>
      <c r="AQ316" s="4"/>
      <c r="AR316" s="4" t="str">
        <f ca="1">IFERROR(__xludf.DUMMYFUNCTION("""COMPUTED_VALUE"""),"SDA aprobada en PPP Q1 2023")</f>
        <v>SDA aprobada en PPP Q1 2023</v>
      </c>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row>
    <row r="317" spans="1:132" x14ac:dyDescent="0.2">
      <c r="A317" s="4">
        <f ca="1">IFERROR(__xludf.DUMMYFUNCTION("""COMPUTED_VALUE"""),317)</f>
        <v>317</v>
      </c>
      <c r="B317" s="4">
        <f ca="1">IFERROR(__xludf.DUMMYFUNCTION("""COMPUTED_VALUE"""),295)</f>
        <v>295</v>
      </c>
      <c r="C317" s="4" t="str">
        <f ca="1">IFERROR(__xludf.DUMMYFUNCTION("""COMPUTED_VALUE"""),"SDATOOL-42039")</f>
        <v>SDATOOL-42039</v>
      </c>
      <c r="D317" s="4" t="str">
        <f ca="1">IFERROR(__xludf.DUMMYFUNCTION("""COMPUTED_VALUE"""),"Cuenta digital pensional")</f>
        <v>Cuenta digital pensional</v>
      </c>
      <c r="E317" s="4" t="str">
        <f ca="1">IFERROR(__xludf.DUMMYFUNCTION("""COMPUTED_VALUE"""),"1)Habilitar la contratación de cuentas pensionales subproducto 12 y 14  en el aplicativo Glomo  clientes y no clientes reutilizando el flujo de contratación de cuentas de online actual, realizando las adaptaciones que sean necesarias para adecuarlo a la n"&amp;"ecesidad propia de cuenta pensional. 
2) Como negocio esperamos que se cree una pantalla de oferta de pensión donde se encuentra el listado de cuentas digitales. 
3) Como negocio  se debe  incluir una pregunta para la asociación del fondo de pensión (list"&amp;"ado de  búsqueda del convenio) es importante tener esta opción conectada con la parametría que hoy en día se utiliza para Nacar. 
4)Se requiere garantizar  la conexión a la reportería de Npc de Colpensiones y al reporte de novedades. Es Importante que al "&amp;"convenio de  Colpensiones únicamente se le notifique en el reporte aquella cuenta que tenga su tarjeta débito entregada para el reporte del SNP tal como se hace hoy en día para las cuentas de este subproducto. 
5) Se debe incluir en el listado un campo de"&amp;" selección cuando el cliente no tenga convenio creado en la parametría, ""Otro y derivar a un alta de subproducto 14""
6)Como negocio quiero que este proyecto se conecte  con el proyecto de Colpensiones SDA35337 para incluir el proceso de legalización en "&amp;"digital. 
7) Se requiere conectar el proyecto de cuenta pensional al gestor documental del banco o para el proceso de faltante documental y generación de faltante de firmas si se duplica el proceso actual de cuenta on-line se debe crear un subproducto dif"&amp;"erente al 24 y ajustar el proceso para que el faltante quede sobre la oficina que realiza la operación y no sobre la gestora.  
6)Se debe incluir la oferta de d+0  Tener en cuenta que a Colpensiones no se le puede ofrecer todos los BINTP de tarjetas ya qu"&amp;"e ellos únicamente tienen exoneradas las tarjetas nómina cero  los bintp son:(HW,HY,IY,KL,KT,KW,KX,KY,NY) Resto de pensionados se le pueden ofrecer los demás bintp     y adelanto de nómina ( pensión) para la contratación. 
7) Es necesario que las cuentas "&amp;"nazcan con el portafolio 183 para subproducto 12 y 14, pero este puede ser modificado en el futuro. 
8) Como negocio requerimos que en el informe de altas dirarias se encuentre la marcación de las alta digital y por oficias de pensionados
9) Es necesario "&amp;"la generación de mensajes legales, ejemplo recuerda que para recibir el pago es necesario llevar tu certificación laboral y de la cuenta  . incluir botón para descargar certificación 
10)TD especial para pensionado, creación de TP.
11)Se debe tener taggin"&amp;"g del producto y conectarse al repositorio de ventas digitales")</f>
        <v>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v>
      </c>
      <c r="F317" s="4" t="str">
        <f ca="1">IFERROR(__xludf.DUMMYFUNCTION("""COMPUTED_VALUE"""),"Initiative")</f>
        <v>Initiative</v>
      </c>
      <c r="G317" s="4" t="str">
        <f ca="1">IFERROR(__xludf.DUMMYFUNCTION("""COMPUTED_VALUE"""),"Stock")</f>
        <v>Stock</v>
      </c>
      <c r="H317" s="4" t="str">
        <f ca="1">IFERROR(__xludf.DUMMYFUNCTION("""COMPUTED_VALUE"""),"3Q 2023")</f>
        <v>3Q 2023</v>
      </c>
      <c r="I317" s="131" t="str">
        <f ca="1">IFERROR(__xludf.DUMMYFUNCTION("""COMPUTED_VALUE"""),"angie.castaneda-bbva.com")</f>
        <v>angie.castaneda-bbva.com</v>
      </c>
      <c r="J317" s="131" t="str">
        <f ca="1">IFERROR(__xludf.DUMMYFUNCTION("""COMPUTED_VALUE"""),"katherine.pardo-bbva.com")</f>
        <v>katherine.pardo-bbva.com</v>
      </c>
      <c r="K317" s="131" t="str">
        <f ca="1">IFERROR(__xludf.DUMMYFUNCTION("""COMPUTED_VALUE"""),"paolaandrea.hermosa-bbva.com")</f>
        <v>paolaandrea.hermosa-bbva.com</v>
      </c>
      <c r="L317" s="130">
        <f ca="1">IFERROR(__xludf.DUMMYFUNCTION("""COMPUTED_VALUE"""),0.5)</f>
        <v>0.5</v>
      </c>
      <c r="M317" s="130">
        <f ca="1">IFERROR(__xludf.DUMMYFUNCTION("""COMPUTED_VALUE"""),0)</f>
        <v>0</v>
      </c>
      <c r="N317" s="130">
        <f ca="1">IFERROR(__xludf.DUMMYFUNCTION("""COMPUTED_VALUE"""),0)</f>
        <v>0</v>
      </c>
      <c r="O317" s="4" t="str">
        <f ca="1">IFERROR(__xludf.DUMMYFUNCTION("""COMPUTED_VALUE"""),"Scrum")</f>
        <v>Scrum</v>
      </c>
      <c r="P317" s="4" t="str">
        <f ca="1">IFERROR(__xludf.DUMMYFUNCTION("""COMPUTED_VALUE"""),"Wolves")</f>
        <v>Wolves</v>
      </c>
      <c r="Q317" s="130">
        <f ca="1">IFERROR(__xludf.DUMMYFUNCTION("""COMPUTED_VALUE"""),0)</f>
        <v>0</v>
      </c>
      <c r="R317" s="130" t="str">
        <f ca="1">IFERROR(__xludf.DUMMYFUNCTION("""COMPUTED_VALUE"""),"Retail Execution")</f>
        <v>Retail Execution</v>
      </c>
      <c r="S317" s="130" t="str">
        <f ca="1">IFERROR(__xludf.DUMMYFUNCTION("""COMPUTED_VALUE"""),"Strategic Review")</f>
        <v>Strategic Review</v>
      </c>
      <c r="T317" s="130" t="str">
        <f ca="1">IFERROR(__xludf.DUMMYFUNCTION("""COMPUTED_VALUE"""),"1. Generación de Ingresos")</f>
        <v>1. Generación de Ingresos</v>
      </c>
      <c r="U317" s="130" t="str">
        <f ca="1">IFERROR(__xludf.DUMMYFUNCTION("""COMPUTED_VALUE"""),"1.3. Pasivos PPNN y PYMEs")</f>
        <v>1.3. Pasivos PPNN y PYMEs</v>
      </c>
      <c r="V317" s="4" t="str">
        <f ca="1">IFERROR(__xludf.DUMMYFUNCTION("""COMPUTED_VALUE"""),"Pasivo")</f>
        <v>Pasivo</v>
      </c>
      <c r="W317" s="4">
        <f ca="1">IFERROR(__xludf.DUMMYFUNCTION("""COMPUTED_VALUE"""),1)</f>
        <v>1</v>
      </c>
      <c r="X317" s="4" t="str">
        <f ca="1">IFERROR(__xludf.DUMMYFUNCTION("""COMPUTED_VALUE"""),"01. Open Market &amp; Partnerships")</f>
        <v>01. Open Market &amp; Partnerships</v>
      </c>
      <c r="Y317" s="4" t="str">
        <f ca="1">IFERROR(__xludf.DUMMYFUNCTION("""COMPUTED_VALUE"""),"5.6.4 GloMo")</f>
        <v>5.6.4 GloMo</v>
      </c>
      <c r="Z317" s="132" t="str">
        <f ca="1">IFERROR(__xludf.DUMMYFUNCTION("""COMPUTED_VALUE"""),"710491")</f>
        <v>710491</v>
      </c>
      <c r="AA317" s="4" t="str">
        <f ca="1">IFERROR(__xludf.DUMMYFUNCTION("""COMPUTED_VALUE"""),"Cuenta pensional Open market")</f>
        <v>Cuenta pensional Open market</v>
      </c>
      <c r="AB317" s="4" t="str">
        <f ca="1">IFERROR(__xludf.DUMMYFUNCTION("""COMPUTED_VALUE"""),"Habilitar la contratación del subproducto de cuenta pensional en el proceso de OM de glomo.")</f>
        <v>Habilitar la contratación del subproducto de cuenta pensional en el proceso de OM de glomo.</v>
      </c>
      <c r="AC317" s="4" t="str">
        <f ca="1">IFERROR(__xludf.DUMMYFUNCTION("""COMPUTED_VALUE"""),"2Q 2023")</f>
        <v>2Q 2023</v>
      </c>
      <c r="AD317" s="4"/>
      <c r="AE317" s="4"/>
      <c r="AF317" s="4"/>
      <c r="AG317" s="4"/>
      <c r="AH317" s="4"/>
      <c r="AI317" s="4"/>
      <c r="AJ317" s="4"/>
      <c r="AK317" s="131" t="str">
        <f ca="1">IFERROR(__xludf.DUMMYFUNCTION("""COMPUTED_VALUE"""),"COLWSCUENT-2484")</f>
        <v>COLWSCUENT-2484</v>
      </c>
      <c r="AL317" s="4" t="str">
        <f ca="1">IFERROR(__xludf.DUMMYFUNCTION("""COMPUTED_VALUE"""),"New")</f>
        <v>New</v>
      </c>
      <c r="AM317" s="4" t="str">
        <f ca="1">IFERROR(__xludf.DUMMYFUNCTION("""COMPUTED_VALUE"""),"En conceptualización al 90%. Pdte regresar a WP. ")</f>
        <v xml:space="preserve">En conceptualización al 90%. Pdte regresar a WP. </v>
      </c>
      <c r="AN317" s="4" t="str">
        <f ca="1">IFERROR(__xludf.DUMMYFUNCTION("""COMPUTED_VALUE"""),"Iniciativa en Discovery")</f>
        <v>Iniciativa en Discovery</v>
      </c>
      <c r="AO317" s="4" t="str">
        <f ca="1">IFERROR(__xludf.DUMMYFUNCTION("""COMPUTED_VALUE"""),"Pasivos")</f>
        <v>Pasivos</v>
      </c>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133">
        <f ca="1">IFERROR(__xludf.DUMMYFUNCTION("""COMPUTED_VALUE"""),0)</f>
        <v>0</v>
      </c>
      <c r="DV317" s="133">
        <f ca="1">IFERROR(__xludf.DUMMYFUNCTION("""COMPUTED_VALUE"""),0)</f>
        <v>0</v>
      </c>
      <c r="DW317" s="133">
        <f ca="1">IFERROR(__xludf.DUMMYFUNCTION("""COMPUTED_VALUE"""),0)</f>
        <v>0</v>
      </c>
      <c r="DX317" s="133">
        <f ca="1">IFERROR(__xludf.DUMMYFUNCTION("""COMPUTED_VALUE"""),930000000)</f>
        <v>930000000</v>
      </c>
      <c r="DY317" s="133">
        <f ca="1">IFERROR(__xludf.DUMMYFUNCTION("""COMPUTED_VALUE"""),0)</f>
        <v>0</v>
      </c>
      <c r="DZ317" s="133">
        <f ca="1">IFERROR(__xludf.DUMMYFUNCTION("""COMPUTED_VALUE"""),930000000)</f>
        <v>930000000</v>
      </c>
      <c r="EA317" s="4"/>
      <c r="EB317" s="4"/>
    </row>
    <row r="318" spans="1:132" x14ac:dyDescent="0.2">
      <c r="A318" s="4">
        <f ca="1">IFERROR(__xludf.DUMMYFUNCTION("""COMPUTED_VALUE"""),318)</f>
        <v>318</v>
      </c>
      <c r="B318" s="4">
        <f ca="1">IFERROR(__xludf.DUMMYFUNCTION("""COMPUTED_VALUE"""),296)</f>
        <v>296</v>
      </c>
      <c r="C318" s="4" t="str">
        <f ca="1">IFERROR(__xludf.DUMMYFUNCTION("""COMPUTED_VALUE"""),"SDATOOL-42039")</f>
        <v>SDATOOL-42039</v>
      </c>
      <c r="D318" s="4" t="str">
        <f ca="1">IFERROR(__xludf.DUMMYFUNCTION("""COMPUTED_VALUE"""),"Cuenta digital pensional")</f>
        <v>Cuenta digital pensional</v>
      </c>
      <c r="E318" s="4" t="str">
        <f ca="1">IFERROR(__xludf.DUMMYFUNCTION("""COMPUTED_VALUE"""),"1)Habilitar la contratación de cuentas pensionales subproducto 12 y 14  en el aplicativo Glomo  clientes y no clientes reutilizando el flujo de contratación de cuentas de online actual, realizando las adaptaciones que sean necesarias para adecuarlo a la n"&amp;"ecesidad propia de cuenta pensional. 
2) Como negocio esperamos que se cree una pantalla de oferta de pensión donde se encuentra el listado de cuentas digitales. 
3) Como negocio  se debe  incluir una pregunta para la asociación del fondo de pensión (list"&amp;"ado de  búsqueda del convenio) es importante tener esta opción conectada con la parametría que hoy en día se utiliza para Nacar. 
4)Se requiere garantizar  la conexión a la reportería de Npc de Colpensiones y al reporte de novedades. Es Importante que al "&amp;"convenio de  Colpensiones únicamente se le notifique en el reporte aquella cuenta que tenga su tarjeta débito entregada para el reporte del SNP tal como se hace hoy en día para las cuentas de este subproducto. 
5) Se debe incluir en el listado un campo de"&amp;" selección cuando el cliente no tenga convenio creado en la parametría, ""Otro y derivar a un alta de subproducto 14""
6)Como negocio quiero que este proyecto se conecte  con el proyecto de Colpensiones SDA35337 para incluir el proceso de legalización en "&amp;"digital. 
7) Se requiere conectar el proyecto de cuenta pensional al gestor documental del banco o para el proceso de faltante documental y generación de faltante de firmas si se duplica el proceso actual de cuenta on-line se debe crear un subproducto dif"&amp;"erente al 24 y ajustar el proceso para que el faltante quede sobre la oficina que realiza la operación y no sobre la gestora.  
6)Se debe incluir la oferta de d+0  Tener en cuenta que a Colpensiones no se le puede ofrecer todos los BINTP de tarjetas ya qu"&amp;"e ellos únicamente tienen exoneradas las tarjetas nómina cero  los bintp son:(HW,HY,IY,KL,KT,KW,KX,KY,NY) Resto de pensionados se le pueden ofrecer los demás bintp     y adelanto de nómina ( pensión) para la contratación. 
7) Es necesario que las cuentas "&amp;"nazcan con el portafolio 183 para subproducto 12 y 14, pero este puede ser modificado en el futuro. 
8) Como negocio requerimos que en el informe de altas dirarias se encuentre la marcación de las alta digital y por oficias de pensionados
9) Es necesario "&amp;"la generación de mensajes legales, ejemplo recuerda que para recibir el pago es necesario llevar tu certificación laboral y de la cuenta  . incluir botón para descargar certificación 
10)TD especial para pensionado, creación de TP.
11)Se debe tener taggin"&amp;"g del producto y conectarse al repositorio de ventas digitales")</f>
        <v>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v>
      </c>
      <c r="F318" s="4" t="str">
        <f ca="1">IFERROR(__xludf.DUMMYFUNCTION("""COMPUTED_VALUE"""),"Initiative")</f>
        <v>Initiative</v>
      </c>
      <c r="G318" s="4" t="str">
        <f ca="1">IFERROR(__xludf.DUMMYFUNCTION("""COMPUTED_VALUE"""),"Stock")</f>
        <v>Stock</v>
      </c>
      <c r="H318" s="4" t="str">
        <f ca="1">IFERROR(__xludf.DUMMYFUNCTION("""COMPUTED_VALUE"""),"3Q 2023")</f>
        <v>3Q 2023</v>
      </c>
      <c r="I318" s="131" t="str">
        <f ca="1">IFERROR(__xludf.DUMMYFUNCTION("""COMPUTED_VALUE"""),"angie.castaneda-bbva.com")</f>
        <v>angie.castaneda-bbva.com</v>
      </c>
      <c r="J318" s="131" t="str">
        <f ca="1">IFERROR(__xludf.DUMMYFUNCTION("""COMPUTED_VALUE"""),"katherine.pardo-bbva.com")</f>
        <v>katherine.pardo-bbva.com</v>
      </c>
      <c r="K318" s="131" t="str">
        <f ca="1">IFERROR(__xludf.DUMMYFUNCTION("""COMPUTED_VALUE"""),"paolaandrea.hermosa-bbva.com")</f>
        <v>paolaandrea.hermosa-bbva.com</v>
      </c>
      <c r="L318" s="4"/>
      <c r="M318" s="4"/>
      <c r="N318" s="4"/>
      <c r="O318" s="4" t="str">
        <f ca="1">IFERROR(__xludf.DUMMYFUNCTION("""COMPUTED_VALUE"""),"Scrum")</f>
        <v>Scrum</v>
      </c>
      <c r="P318" s="4" t="str">
        <f ca="1">IFERROR(__xludf.DUMMYFUNCTION("""COMPUTED_VALUE"""),"Wolves")</f>
        <v>Wolves</v>
      </c>
      <c r="Q318" s="4"/>
      <c r="R318" s="130" t="str">
        <f ca="1">IFERROR(__xludf.DUMMYFUNCTION("""COMPUTED_VALUE"""),"Retail Execution")</f>
        <v>Retail Execution</v>
      </c>
      <c r="S318" s="130" t="str">
        <f ca="1">IFERROR(__xludf.DUMMYFUNCTION("""COMPUTED_VALUE"""),"Strategic Review")</f>
        <v>Strategic Review</v>
      </c>
      <c r="T318" s="130" t="str">
        <f ca="1">IFERROR(__xludf.DUMMYFUNCTION("""COMPUTED_VALUE"""),"1. Generación de Ingresos")</f>
        <v>1. Generación de Ingresos</v>
      </c>
      <c r="U318" s="130" t="str">
        <f ca="1">IFERROR(__xludf.DUMMYFUNCTION("""COMPUTED_VALUE"""),"1.3. Pasivos PPNN y PYMEs")</f>
        <v>1.3. Pasivos PPNN y PYMEs</v>
      </c>
      <c r="V318" s="4" t="str">
        <f ca="1">IFERROR(__xludf.DUMMYFUNCTION("""COMPUTED_VALUE"""),"Pasivo")</f>
        <v>Pasivo</v>
      </c>
      <c r="W318" s="4">
        <f ca="1">IFERROR(__xludf.DUMMYFUNCTION("""COMPUTED_VALUE"""),1)</f>
        <v>1</v>
      </c>
      <c r="X318" s="4" t="str">
        <f ca="1">IFERROR(__xludf.DUMMYFUNCTION("""COMPUTED_VALUE"""),"01. Open Market &amp; Partnerships")</f>
        <v>01. Open Market &amp; Partnerships</v>
      </c>
      <c r="Y318" s="4" t="str">
        <f ca="1">IFERROR(__xludf.DUMMYFUNCTION("""COMPUTED_VALUE"""),"5.6.4 GloMo")</f>
        <v>5.6.4 GloMo</v>
      </c>
      <c r="Z318" s="132" t="str">
        <f ca="1">IFERROR(__xludf.DUMMYFUNCTION("""COMPUTED_VALUE"""),"723613")</f>
        <v>723613</v>
      </c>
      <c r="AA318" s="4" t="str">
        <f ca="1">IFERROR(__xludf.DUMMYFUNCTION("""COMPUTED_VALUE"""),"Cuenta pensional cliente activo")</f>
        <v>Cuenta pensional cliente activo</v>
      </c>
      <c r="AB318" s="4" t="str">
        <f ca="1">IFERROR(__xludf.DUMMYFUNCTION("""COMPUTED_VALUE"""),"Habilitar la contratación de cuenta pensional para cliente activo desde Glomo.")</f>
        <v>Habilitar la contratación de cuenta pensional para cliente activo desde Glomo.</v>
      </c>
      <c r="AC318" s="4" t="str">
        <f ca="1">IFERROR(__xludf.DUMMYFUNCTION("""COMPUTED_VALUE"""),"3Q 2023")</f>
        <v>3Q 2023</v>
      </c>
      <c r="AD318" s="4"/>
      <c r="AE318" s="4"/>
      <c r="AF318" s="4"/>
      <c r="AG318" s="4"/>
      <c r="AH318" s="4"/>
      <c r="AI318" s="4"/>
      <c r="AJ318" s="4"/>
      <c r="AK318" s="4" t="str">
        <f ca="1">IFERROR(__xludf.DUMMYFUNCTION("""COMPUTED_VALUE"""),"Sin asignar")</f>
        <v>Sin asignar</v>
      </c>
      <c r="AL318" s="4" t="str">
        <f ca="1">IFERROR(__xludf.DUMMYFUNCTION("""COMPUTED_VALUE"""),"Sin asignar")</f>
        <v>Sin asignar</v>
      </c>
      <c r="AM318" s="4"/>
      <c r="AN318" s="4" t="str">
        <f ca="1">IFERROR(__xludf.DUMMYFUNCTION("""COMPUTED_VALUE"""),"Entregable en backlog")</f>
        <v>Entregable en backlog</v>
      </c>
      <c r="AO318" s="4" t="str">
        <f ca="1">IFERROR(__xludf.DUMMYFUNCTION("""COMPUTED_VALUE"""),"Pasivos")</f>
        <v>Pasivos</v>
      </c>
      <c r="AP318" s="4"/>
      <c r="AQ318" s="4"/>
      <c r="AR318" s="4" t="str">
        <f ca="1">IFERROR(__xludf.DUMMYFUNCTION("""COMPUTED_VALUE"""),"SDA aprobada en PPP Q1 2023")</f>
        <v>SDA aprobada en PPP Q1 2023</v>
      </c>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row>
    <row r="319" spans="1:132" x14ac:dyDescent="0.2">
      <c r="A319" s="4">
        <f ca="1">IFERROR(__xludf.DUMMYFUNCTION("""COMPUTED_VALUE"""),319)</f>
        <v>319</v>
      </c>
      <c r="B319" s="4">
        <f ca="1">IFERROR(__xludf.DUMMYFUNCTION("""COMPUTED_VALUE"""),297)</f>
        <v>297</v>
      </c>
      <c r="C319" s="4" t="str">
        <f ca="1">IFERROR(__xludf.DUMMYFUNCTION("""COMPUTED_VALUE"""),"SDATOOL-36548")</f>
        <v>SDATOOL-36548</v>
      </c>
      <c r="D319" s="4" t="str">
        <f ca="1">IFERROR(__xludf.DUMMYFUNCTION("""COMPUTED_VALUE"""),"Optimización consumo web - Plan ascenso Open Market")</f>
        <v>Optimización consumo web - Plan ascenso Open Market</v>
      </c>
      <c r="E319"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19" s="4" t="str">
        <f ca="1">IFERROR(__xludf.DUMMYFUNCTION("""COMPUTED_VALUE"""),"Project")</f>
        <v>Project</v>
      </c>
      <c r="G319" s="4" t="str">
        <f ca="1">IFERROR(__xludf.DUMMYFUNCTION("""COMPUTED_VALUE"""),"Stock")</f>
        <v>Stock</v>
      </c>
      <c r="H319" s="4" t="str">
        <f ca="1">IFERROR(__xludf.DUMMYFUNCTION("""COMPUTED_VALUE"""),"4Q 2023")</f>
        <v>4Q 2023</v>
      </c>
      <c r="I319" s="131" t="str">
        <f ca="1">IFERROR(__xludf.DUMMYFUNCTION("""COMPUTED_VALUE"""),"angie.castaneda-bbva.com")</f>
        <v>angie.castaneda-bbva.com</v>
      </c>
      <c r="J319" s="131" t="str">
        <f ca="1">IFERROR(__xludf.DUMMYFUNCTION("""COMPUTED_VALUE"""),"sandra.espinosa-bbva.com")</f>
        <v>sandra.espinosa-bbva.com</v>
      </c>
      <c r="K319" s="131" t="str">
        <f ca="1">IFERROR(__xludf.DUMMYFUNCTION("""COMPUTED_VALUE"""),"rociomarcela.lopez-bbva.com")</f>
        <v>rociomarcela.lopez-bbva.com</v>
      </c>
      <c r="L319" s="130">
        <f ca="1">IFERROR(__xludf.DUMMYFUNCTION("""COMPUTED_VALUE"""),1)</f>
        <v>1</v>
      </c>
      <c r="M319" s="130">
        <f ca="1">IFERROR(__xludf.DUMMYFUNCTION("""COMPUTED_VALUE"""),3.2)</f>
        <v>3.2</v>
      </c>
      <c r="N319" s="130">
        <f ca="1">IFERROR(__xludf.DUMMYFUNCTION("""COMPUTED_VALUE"""),4.63)</f>
        <v>4.63</v>
      </c>
      <c r="O319" s="4" t="str">
        <f ca="1">IFERROR(__xludf.DUMMYFUNCTION("""COMPUTED_VALUE"""),"Scrum")</f>
        <v>Scrum</v>
      </c>
      <c r="P319" s="4" t="str">
        <f ca="1">IFERROR(__xludf.DUMMYFUNCTION("""COMPUTED_VALUE"""),"Revolution")</f>
        <v>Revolution</v>
      </c>
      <c r="Q319" s="130">
        <f ca="1">IFERROR(__xludf.DUMMYFUNCTION("""COMPUTED_VALUE"""),1)</f>
        <v>1</v>
      </c>
      <c r="R319" s="130" t="str">
        <f ca="1">IFERROR(__xludf.DUMMYFUNCTION("""COMPUTED_VALUE"""),"Retail Execution")</f>
        <v>Retail Execution</v>
      </c>
      <c r="S319" s="130" t="str">
        <f ca="1">IFERROR(__xludf.DUMMYFUNCTION("""COMPUTED_VALUE"""),"Plan Ascenso")</f>
        <v>Plan Ascenso</v>
      </c>
      <c r="T319" s="130" t="str">
        <f ca="1">IFERROR(__xludf.DUMMYFUNCTION("""COMPUTED_VALUE"""),"1. Generación de Ingresos")</f>
        <v>1. Generación de Ingresos</v>
      </c>
      <c r="U319" s="130" t="str">
        <f ca="1">IFERROR(__xludf.DUMMYFUNCTION("""COMPUTED_VALUE"""),"1.2. Proyectos de Consumo")</f>
        <v>1.2. Proyectos de Consumo</v>
      </c>
      <c r="V319" s="4" t="str">
        <f ca="1">IFERROR(__xludf.DUMMYFUNCTION("""COMPUTED_VALUE"""),"Consumo OM")</f>
        <v>Consumo OM</v>
      </c>
      <c r="W319" s="4">
        <f ca="1">IFERROR(__xludf.DUMMYFUNCTION("""COMPUTED_VALUE"""),1)</f>
        <v>1</v>
      </c>
      <c r="X319" s="4" t="str">
        <f ca="1">IFERROR(__xludf.DUMMYFUNCTION("""COMPUTED_VALUE"""),"01. Open Market &amp; Partnerships")</f>
        <v>01. Open Market &amp; Partnerships</v>
      </c>
      <c r="Y319" s="4" t="str">
        <f ca="1">IFERROR(__xludf.DUMMYFUNCTION("""COMPUTED_VALUE"""),"4.1.1. Own channels")</f>
        <v>4.1.1. Own channels</v>
      </c>
      <c r="Z319" s="132" t="str">
        <f ca="1">IFERROR(__xludf.DUMMYFUNCTION("""COMPUTED_VALUE"""),"369428")</f>
        <v>369428</v>
      </c>
      <c r="AA319" s="4" t="str">
        <f ca="1">IFERROR(__xludf.DUMMYFUNCTION("""COMPUTED_VALUE"""),"Aprobación en firme para retoma y desembolso en oficina")</f>
        <v>Aprobación en firme para retoma y desembolso en oficina</v>
      </c>
      <c r="AB319" s="4" t="str">
        <f ca="1">IFERROR(__xludf.DUMMYFUNCTION("""COMPUTED_VALUE"""),"1. Actualización look and feel
2. Integración pagare electrónico
3. Integración predictor de ingresos
4. Rescate en oficina
5. Tagging
6. Integración pricing")</f>
        <v>1. Actualización look and feel
2. Integración pagare electrónico
3. Integración predictor de ingresos
4. Rescate en oficina
5. Tagging
6. Integración pricing</v>
      </c>
      <c r="AC319" s="4" t="str">
        <f ca="1">IFERROR(__xludf.DUMMYFUNCTION("""COMPUTED_VALUE"""),"4Q 2022")</f>
        <v>4Q 2022</v>
      </c>
      <c r="AD319" s="4"/>
      <c r="AE319" s="4"/>
      <c r="AF319" s="4"/>
      <c r="AG319" s="4"/>
      <c r="AH319" s="4"/>
      <c r="AI319" s="4"/>
      <c r="AJ319" s="4"/>
      <c r="AK319" s="131" t="str">
        <f ca="1">IFERROR(__xludf.DUMMYFUNCTION("""COMPUTED_VALUE"""),"COLWSPREST-7002")</f>
        <v>COLWSPREST-7002</v>
      </c>
      <c r="AL319" s="4" t="str">
        <f ca="1">IFERROR(__xludf.DUMMYFUNCTION("""COMPUTED_VALUE"""),"Deployed")</f>
        <v>Deployed</v>
      </c>
      <c r="AM319" s="4" t="str">
        <f ca="1">IFERROR(__xludf.DUMMYFUNCTION("""COMPUTED_VALUE"""),"En producción y seguimeinto post producción. ")</f>
        <v xml:space="preserve">En producción y seguimeinto post producción. </v>
      </c>
      <c r="AN319" s="4" t="str">
        <f ca="1">IFERROR(__xludf.DUMMYFUNCTION("""COMPUTED_VALUE"""),"Finalizado")</f>
        <v>Finalizado</v>
      </c>
      <c r="AO319" s="4" t="str">
        <f ca="1">IFERROR(__xludf.DUMMYFUNCTION("""COMPUTED_VALUE"""),"Consumo partnerships")</f>
        <v>Consumo partnerships</v>
      </c>
      <c r="AP319" s="4"/>
      <c r="AQ319" s="4"/>
      <c r="AR319" s="4" t="str">
        <f ca="1">IFERROR(__xludf.DUMMYFUNCTION("""COMPUTED_VALUE"""),"SDA aprobada en PPP Q1 2023")</f>
        <v>SDA aprobada en PPP Q1 2023</v>
      </c>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133">
        <f ca="1">IFERROR(__xludf.DUMMYFUNCTION("""COMPUTED_VALUE"""),0)</f>
        <v>0</v>
      </c>
      <c r="DV319" s="133">
        <f ca="1">IFERROR(__xludf.DUMMYFUNCTION("""COMPUTED_VALUE"""),0)</f>
        <v>0</v>
      </c>
      <c r="DW319" s="133">
        <f ca="1">IFERROR(__xludf.DUMMYFUNCTION("""COMPUTED_VALUE"""),889557412)</f>
        <v>889557412</v>
      </c>
      <c r="DX319" s="133">
        <f ca="1">IFERROR(__xludf.DUMMYFUNCTION("""COMPUTED_VALUE"""),625772127)</f>
        <v>625772127</v>
      </c>
      <c r="DY319" s="133">
        <f ca="1">IFERROR(__xludf.DUMMYFUNCTION("""COMPUTED_VALUE"""),0)</f>
        <v>0</v>
      </c>
      <c r="DZ319" s="133">
        <f ca="1">IFERROR(__xludf.DUMMYFUNCTION("""COMPUTED_VALUE"""),1515329539)</f>
        <v>1515329539</v>
      </c>
      <c r="EA319" s="4"/>
      <c r="EB319" s="4"/>
    </row>
    <row r="320" spans="1:132" x14ac:dyDescent="0.2">
      <c r="A320" s="4">
        <f ca="1">IFERROR(__xludf.DUMMYFUNCTION("""COMPUTED_VALUE"""),320)</f>
        <v>320</v>
      </c>
      <c r="B320" s="4">
        <f ca="1">IFERROR(__xludf.DUMMYFUNCTION("""COMPUTED_VALUE"""),298)</f>
        <v>298</v>
      </c>
      <c r="C320" s="4" t="str">
        <f ca="1">IFERROR(__xludf.DUMMYFUNCTION("""COMPUTED_VALUE"""),"SDATOOL-36548")</f>
        <v>SDATOOL-36548</v>
      </c>
      <c r="D320" s="4" t="str">
        <f ca="1">IFERROR(__xludf.DUMMYFUNCTION("""COMPUTED_VALUE"""),"Optimización consumo web - Plan ascenso Open Market")</f>
        <v>Optimización consumo web - Plan ascenso Open Market</v>
      </c>
      <c r="E320"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0" s="4" t="str">
        <f ca="1">IFERROR(__xludf.DUMMYFUNCTION("""COMPUTED_VALUE"""),"Project")</f>
        <v>Project</v>
      </c>
      <c r="G320" s="4" t="str">
        <f ca="1">IFERROR(__xludf.DUMMYFUNCTION("""COMPUTED_VALUE"""),"Stock")</f>
        <v>Stock</v>
      </c>
      <c r="H320" s="4" t="str">
        <f ca="1">IFERROR(__xludf.DUMMYFUNCTION("""COMPUTED_VALUE"""),"4Q 2023")</f>
        <v>4Q 2023</v>
      </c>
      <c r="I320" s="131" t="str">
        <f ca="1">IFERROR(__xludf.DUMMYFUNCTION("""COMPUTED_VALUE"""),"angie.castaneda-bbva.com")</f>
        <v>angie.castaneda-bbva.com</v>
      </c>
      <c r="J320" s="131" t="str">
        <f ca="1">IFERROR(__xludf.DUMMYFUNCTION("""COMPUTED_VALUE"""),"sandra.espinosa-bbva.com")</f>
        <v>sandra.espinosa-bbva.com</v>
      </c>
      <c r="K320" s="131" t="str">
        <f ca="1">IFERROR(__xludf.DUMMYFUNCTION("""COMPUTED_VALUE"""),"rociomarcela.lopez-bbva.com")</f>
        <v>rociomarcela.lopez-bbva.com</v>
      </c>
      <c r="L320" s="4"/>
      <c r="M320" s="4"/>
      <c r="N320" s="4"/>
      <c r="O320" s="4" t="str">
        <f ca="1">IFERROR(__xludf.DUMMYFUNCTION("""COMPUTED_VALUE"""),"Scrum")</f>
        <v>Scrum</v>
      </c>
      <c r="P320" s="4" t="str">
        <f ca="1">IFERROR(__xludf.DUMMYFUNCTION("""COMPUTED_VALUE"""),"Revolution")</f>
        <v>Revolution</v>
      </c>
      <c r="Q320" s="4"/>
      <c r="R320" s="130" t="str">
        <f ca="1">IFERROR(__xludf.DUMMYFUNCTION("""COMPUTED_VALUE"""),"Retail Execution")</f>
        <v>Retail Execution</v>
      </c>
      <c r="S320" s="130" t="str">
        <f ca="1">IFERROR(__xludf.DUMMYFUNCTION("""COMPUTED_VALUE"""),"Plan Ascenso")</f>
        <v>Plan Ascenso</v>
      </c>
      <c r="T320" s="130" t="str">
        <f ca="1">IFERROR(__xludf.DUMMYFUNCTION("""COMPUTED_VALUE"""),"1. Generación de Ingresos")</f>
        <v>1. Generación de Ingresos</v>
      </c>
      <c r="U320" s="130" t="str">
        <f ca="1">IFERROR(__xludf.DUMMYFUNCTION("""COMPUTED_VALUE"""),"1.2. Proyectos de Consumo")</f>
        <v>1.2. Proyectos de Consumo</v>
      </c>
      <c r="V320" s="4" t="str">
        <f ca="1">IFERROR(__xludf.DUMMYFUNCTION("""COMPUTED_VALUE"""),"Consumo OM")</f>
        <v>Consumo OM</v>
      </c>
      <c r="W320" s="4">
        <f ca="1">IFERROR(__xludf.DUMMYFUNCTION("""COMPUTED_VALUE"""),1)</f>
        <v>1</v>
      </c>
      <c r="X320" s="4" t="str">
        <f ca="1">IFERROR(__xludf.DUMMYFUNCTION("""COMPUTED_VALUE"""),"01. Open Market &amp; Partnerships")</f>
        <v>01. Open Market &amp; Partnerships</v>
      </c>
      <c r="Y320" s="4" t="str">
        <f ca="1">IFERROR(__xludf.DUMMYFUNCTION("""COMPUTED_VALUE"""),"4.1.1. Own channels")</f>
        <v>4.1.1. Own channels</v>
      </c>
      <c r="Z320" s="132" t="str">
        <f ca="1">IFERROR(__xludf.DUMMYFUNCTION("""COMPUTED_VALUE"""),"626311")</f>
        <v>626311</v>
      </c>
      <c r="AA320" s="4" t="str">
        <f ca="1">IFERROR(__xludf.DUMMYFUNCTION("""COMPUTED_VALUE"""),"Mejoras experiencia y flujo por desktop")</f>
        <v>Mejoras experiencia y flujo por desktop</v>
      </c>
      <c r="AB320" s="4" t="str">
        <f ca="1">IFERROR(__xludf.DUMMYFUNCTION("""COMPUTED_VALUE"""),"Incluir mejoras de experiencia y habilitar el flujo por PC")</f>
        <v>Incluir mejoras de experiencia y habilitar el flujo por PC</v>
      </c>
      <c r="AC320" s="4" t="str">
        <f ca="1">IFERROR(__xludf.DUMMYFUNCTION("""COMPUTED_VALUE"""),"1Q 2023")</f>
        <v>1Q 2023</v>
      </c>
      <c r="AD320" s="4"/>
      <c r="AE320" s="4"/>
      <c r="AF320" s="4"/>
      <c r="AG320" s="4"/>
      <c r="AH320" s="4"/>
      <c r="AI320" s="4"/>
      <c r="AJ320" s="4"/>
      <c r="AK320" s="131" t="str">
        <f ca="1">IFERROR(__xludf.DUMMYFUNCTION("""COMPUTED_VALUE"""),"COLWSPREST-7331")</f>
        <v>COLWSPREST-7331</v>
      </c>
      <c r="AL320" s="4" t="str">
        <f ca="1">IFERROR(__xludf.DUMMYFUNCTION("""COMPUTED_VALUE"""),"Deployed")</f>
        <v>Deployed</v>
      </c>
      <c r="AM320" s="4" t="str">
        <f ca="1">IFERROR(__xludf.DUMMYFUNCTION("""COMPUTED_VALUE"""),"Se instaló en Ene/23. ")</f>
        <v xml:space="preserve">Se instaló en Ene/23. </v>
      </c>
      <c r="AN320" s="4" t="str">
        <f ca="1">IFERROR(__xludf.DUMMYFUNCTION("""COMPUTED_VALUE"""),"Finalizado")</f>
        <v>Finalizado</v>
      </c>
      <c r="AO320" s="4" t="str">
        <f ca="1">IFERROR(__xludf.DUMMYFUNCTION("""COMPUTED_VALUE"""),"Consumo partnerships")</f>
        <v>Consumo partnerships</v>
      </c>
      <c r="AP320" s="4"/>
      <c r="AQ320" s="4"/>
      <c r="AR320" s="4" t="str">
        <f ca="1">IFERROR(__xludf.DUMMYFUNCTION("""COMPUTED_VALUE"""),"SDA aprobada en PPP Q1 2023")</f>
        <v>SDA aprobada en PPP Q1 2023</v>
      </c>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row>
    <row r="321" spans="1:132" x14ac:dyDescent="0.2">
      <c r="A321" s="4">
        <f ca="1">IFERROR(__xludf.DUMMYFUNCTION("""COMPUTED_VALUE"""),321)</f>
        <v>321</v>
      </c>
      <c r="B321" s="4">
        <f ca="1">IFERROR(__xludf.DUMMYFUNCTION("""COMPUTED_VALUE"""),299)</f>
        <v>299</v>
      </c>
      <c r="C321" s="4" t="str">
        <f ca="1">IFERROR(__xludf.DUMMYFUNCTION("""COMPUTED_VALUE"""),"SDATOOL-36548")</f>
        <v>SDATOOL-36548</v>
      </c>
      <c r="D321" s="4" t="str">
        <f ca="1">IFERROR(__xludf.DUMMYFUNCTION("""COMPUTED_VALUE"""),"Optimización consumo web - Plan ascenso Open Market")</f>
        <v>Optimización consumo web - Plan ascenso Open Market</v>
      </c>
      <c r="E321"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1" s="4" t="str">
        <f ca="1">IFERROR(__xludf.DUMMYFUNCTION("""COMPUTED_VALUE"""),"Project")</f>
        <v>Project</v>
      </c>
      <c r="G321" s="4" t="str">
        <f ca="1">IFERROR(__xludf.DUMMYFUNCTION("""COMPUTED_VALUE"""),"Stock")</f>
        <v>Stock</v>
      </c>
      <c r="H321" s="4" t="str">
        <f ca="1">IFERROR(__xludf.DUMMYFUNCTION("""COMPUTED_VALUE"""),"4Q 2023")</f>
        <v>4Q 2023</v>
      </c>
      <c r="I321" s="131" t="str">
        <f ca="1">IFERROR(__xludf.DUMMYFUNCTION("""COMPUTED_VALUE"""),"angie.castaneda-bbva.com")</f>
        <v>angie.castaneda-bbva.com</v>
      </c>
      <c r="J321" s="131" t="str">
        <f ca="1">IFERROR(__xludf.DUMMYFUNCTION("""COMPUTED_VALUE"""),"sandra.espinosa-bbva.com")</f>
        <v>sandra.espinosa-bbva.com</v>
      </c>
      <c r="K321" s="131" t="str">
        <f ca="1">IFERROR(__xludf.DUMMYFUNCTION("""COMPUTED_VALUE"""),"rociomarcela.lopez-bbva.com")</f>
        <v>rociomarcela.lopez-bbva.com</v>
      </c>
      <c r="L321" s="4"/>
      <c r="M321" s="4"/>
      <c r="N321" s="4"/>
      <c r="O321" s="4" t="str">
        <f ca="1">IFERROR(__xludf.DUMMYFUNCTION("""COMPUTED_VALUE"""),"Scrum")</f>
        <v>Scrum</v>
      </c>
      <c r="P321" s="4" t="str">
        <f ca="1">IFERROR(__xludf.DUMMYFUNCTION("""COMPUTED_VALUE"""),"Revolution")</f>
        <v>Revolution</v>
      </c>
      <c r="Q321" s="4"/>
      <c r="R321" s="130" t="str">
        <f ca="1">IFERROR(__xludf.DUMMYFUNCTION("""COMPUTED_VALUE"""),"Retail Execution")</f>
        <v>Retail Execution</v>
      </c>
      <c r="S321" s="130" t="str">
        <f ca="1">IFERROR(__xludf.DUMMYFUNCTION("""COMPUTED_VALUE"""),"Plan Ascenso")</f>
        <v>Plan Ascenso</v>
      </c>
      <c r="T321" s="130" t="str">
        <f ca="1">IFERROR(__xludf.DUMMYFUNCTION("""COMPUTED_VALUE"""),"1. Generación de Ingresos")</f>
        <v>1. Generación de Ingresos</v>
      </c>
      <c r="U321" s="130" t="str">
        <f ca="1">IFERROR(__xludf.DUMMYFUNCTION("""COMPUTED_VALUE"""),"1.2. Proyectos de Consumo")</f>
        <v>1.2. Proyectos de Consumo</v>
      </c>
      <c r="V321" s="4" t="str">
        <f ca="1">IFERROR(__xludf.DUMMYFUNCTION("""COMPUTED_VALUE"""),"Consumo OM")</f>
        <v>Consumo OM</v>
      </c>
      <c r="W321" s="4">
        <f ca="1">IFERROR(__xludf.DUMMYFUNCTION("""COMPUTED_VALUE"""),1)</f>
        <v>1</v>
      </c>
      <c r="X321" s="4" t="str">
        <f ca="1">IFERROR(__xludf.DUMMYFUNCTION("""COMPUTED_VALUE"""),"01. Open Market &amp; Partnerships")</f>
        <v>01. Open Market &amp; Partnerships</v>
      </c>
      <c r="Y321" s="4" t="str">
        <f ca="1">IFERROR(__xludf.DUMMYFUNCTION("""COMPUTED_VALUE"""),"4.1.1. Own channels")</f>
        <v>4.1.1. Own channels</v>
      </c>
      <c r="Z321" s="132" t="str">
        <f ca="1">IFERROR(__xludf.DUMMYFUNCTION("""COMPUTED_VALUE"""),"626310")</f>
        <v>626310</v>
      </c>
      <c r="AA321" s="4" t="str">
        <f ca="1">IFERROR(__xludf.DUMMYFUNCTION("""COMPUTED_VALUE"""),"TASA RAR")</f>
        <v>TASA RAR</v>
      </c>
      <c r="AB321" s="4" t="str">
        <f ca="1">IFERROR(__xludf.DUMMYFUNCTION("""COMPUTED_VALUE"""),"Integrar al proceso de consumo web de Open market, el modelo de tasa RAR")</f>
        <v>Integrar al proceso de consumo web de Open market, el modelo de tasa RAR</v>
      </c>
      <c r="AC321" s="4" t="str">
        <f ca="1">IFERROR(__xludf.DUMMYFUNCTION("""COMPUTED_VALUE"""),"2Q 2023")</f>
        <v>2Q 2023</v>
      </c>
      <c r="AD321" s="4"/>
      <c r="AE321" s="4"/>
      <c r="AF321" s="4"/>
      <c r="AG321" s="4"/>
      <c r="AH321" s="4"/>
      <c r="AI321" s="4"/>
      <c r="AJ321" s="4"/>
      <c r="AK321" s="131" t="str">
        <f ca="1">IFERROR(__xludf.DUMMYFUNCTION("""COMPUTED_VALUE"""),"COLWSPREST-11951")</f>
        <v>COLWSPREST-11951</v>
      </c>
      <c r="AL321" s="4" t="str">
        <f ca="1">IFERROR(__xludf.DUMMYFUNCTION("""COMPUTED_VALUE"""),"Analysing")</f>
        <v>Analysing</v>
      </c>
      <c r="AM321" s="4" t="str">
        <f ca="1">IFERROR(__xludf.DUMMYFUNCTION("""COMPUTED_VALUE"""),"En desarrollos para instalar en Abri/23. ")</f>
        <v xml:space="preserve">En desarrollos para instalar en Abri/23. </v>
      </c>
      <c r="AN321" s="4" t="str">
        <f ca="1">IFERROR(__xludf.DUMMYFUNCTION("""COMPUTED_VALUE"""),"Entregable en desarrollo")</f>
        <v>Entregable en desarrollo</v>
      </c>
      <c r="AO321" s="4" t="str">
        <f ca="1">IFERROR(__xludf.DUMMYFUNCTION("""COMPUTED_VALUE"""),"Consumo partnerships")</f>
        <v>Consumo partnerships</v>
      </c>
      <c r="AP321" s="4"/>
      <c r="AQ321" s="4"/>
      <c r="AR321" s="4" t="str">
        <f ca="1">IFERROR(__xludf.DUMMYFUNCTION("""COMPUTED_VALUE"""),"SDA aprobada en PPP Q1 2023")</f>
        <v>SDA aprobada en PPP Q1 2023</v>
      </c>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row>
    <row r="322" spans="1:132" x14ac:dyDescent="0.2">
      <c r="A322" s="4">
        <f ca="1">IFERROR(__xludf.DUMMYFUNCTION("""COMPUTED_VALUE"""),322)</f>
        <v>322</v>
      </c>
      <c r="B322" s="4">
        <f ca="1">IFERROR(__xludf.DUMMYFUNCTION("""COMPUTED_VALUE"""),300)</f>
        <v>300</v>
      </c>
      <c r="C322" s="4" t="str">
        <f ca="1">IFERROR(__xludf.DUMMYFUNCTION("""COMPUTED_VALUE"""),"SDATOOL-36548")</f>
        <v>SDATOOL-36548</v>
      </c>
      <c r="D322" s="4" t="str">
        <f ca="1">IFERROR(__xludf.DUMMYFUNCTION("""COMPUTED_VALUE"""),"Optimización consumo web - Plan ascenso Open Market")</f>
        <v>Optimización consumo web - Plan ascenso Open Market</v>
      </c>
      <c r="E322"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2" s="4" t="str">
        <f ca="1">IFERROR(__xludf.DUMMYFUNCTION("""COMPUTED_VALUE"""),"Project")</f>
        <v>Project</v>
      </c>
      <c r="G322" s="4" t="str">
        <f ca="1">IFERROR(__xludf.DUMMYFUNCTION("""COMPUTED_VALUE"""),"Stock")</f>
        <v>Stock</v>
      </c>
      <c r="H322" s="4" t="str">
        <f ca="1">IFERROR(__xludf.DUMMYFUNCTION("""COMPUTED_VALUE"""),"4Q 2023")</f>
        <v>4Q 2023</v>
      </c>
      <c r="I322" s="131" t="str">
        <f ca="1">IFERROR(__xludf.DUMMYFUNCTION("""COMPUTED_VALUE"""),"angie.castaneda-bbva.com")</f>
        <v>angie.castaneda-bbva.com</v>
      </c>
      <c r="J322" s="131" t="str">
        <f ca="1">IFERROR(__xludf.DUMMYFUNCTION("""COMPUTED_VALUE"""),"sandra.espinosa-bbva.com")</f>
        <v>sandra.espinosa-bbva.com</v>
      </c>
      <c r="K322" s="131" t="str">
        <f ca="1">IFERROR(__xludf.DUMMYFUNCTION("""COMPUTED_VALUE"""),"rociomarcela.lopez-bbva.com")</f>
        <v>rociomarcela.lopez-bbva.com</v>
      </c>
      <c r="L322" s="4"/>
      <c r="M322" s="4"/>
      <c r="N322" s="4"/>
      <c r="O322" s="4" t="str">
        <f ca="1">IFERROR(__xludf.DUMMYFUNCTION("""COMPUTED_VALUE"""),"Scrum")</f>
        <v>Scrum</v>
      </c>
      <c r="P322" s="4" t="str">
        <f ca="1">IFERROR(__xludf.DUMMYFUNCTION("""COMPUTED_VALUE"""),"Revolution")</f>
        <v>Revolution</v>
      </c>
      <c r="Q322" s="4"/>
      <c r="R322" s="130" t="str">
        <f ca="1">IFERROR(__xludf.DUMMYFUNCTION("""COMPUTED_VALUE"""),"Retail Execution")</f>
        <v>Retail Execution</v>
      </c>
      <c r="S322" s="130" t="str">
        <f ca="1">IFERROR(__xludf.DUMMYFUNCTION("""COMPUTED_VALUE"""),"Plan Ascenso")</f>
        <v>Plan Ascenso</v>
      </c>
      <c r="T322" s="130" t="str">
        <f ca="1">IFERROR(__xludf.DUMMYFUNCTION("""COMPUTED_VALUE"""),"1. Generación de Ingresos")</f>
        <v>1. Generación de Ingresos</v>
      </c>
      <c r="U322" s="130" t="str">
        <f ca="1">IFERROR(__xludf.DUMMYFUNCTION("""COMPUTED_VALUE"""),"1.2. Proyectos de Consumo")</f>
        <v>1.2. Proyectos de Consumo</v>
      </c>
      <c r="V322" s="4" t="str">
        <f ca="1">IFERROR(__xludf.DUMMYFUNCTION("""COMPUTED_VALUE"""),"Consumo OM")</f>
        <v>Consumo OM</v>
      </c>
      <c r="W322" s="4">
        <f ca="1">IFERROR(__xludf.DUMMYFUNCTION("""COMPUTED_VALUE"""),1)</f>
        <v>1</v>
      </c>
      <c r="X322" s="4" t="str">
        <f ca="1">IFERROR(__xludf.DUMMYFUNCTION("""COMPUTED_VALUE"""),"01. Open Market &amp; Partnerships")</f>
        <v>01. Open Market &amp; Partnerships</v>
      </c>
      <c r="Y322" s="4" t="str">
        <f ca="1">IFERROR(__xludf.DUMMYFUNCTION("""COMPUTED_VALUE"""),"4.1.1. Own channels")</f>
        <v>4.1.1. Own channels</v>
      </c>
      <c r="Z322" s="132" t="str">
        <f ca="1">IFERROR(__xludf.DUMMYFUNCTION("""COMPUTED_VALUE"""),"262110")</f>
        <v>262110</v>
      </c>
      <c r="AA322" s="4" t="str">
        <f ca="1">IFERROR(__xludf.DUMMYFUNCTION("""COMPUTED_VALUE"""),"Desembolso E2E")</f>
        <v>Desembolso E2E</v>
      </c>
      <c r="AB322" s="4" t="str">
        <f ca="1">IFERROR(__xludf.DUMMYFUNCTION("""COMPUTED_VALUE"""),"- Aprobación y desembolso E2E
- Integración Vridas con rescate en oficina 
- A/B testing")</f>
        <v>- Aprobación y desembolso E2E
- Integración Vridas con rescate en oficina 
- A/B testing</v>
      </c>
      <c r="AC322" s="4" t="str">
        <f ca="1">IFERROR(__xludf.DUMMYFUNCTION("""COMPUTED_VALUE"""),"4Q 2023")</f>
        <v>4Q 2023</v>
      </c>
      <c r="AD322" s="4"/>
      <c r="AE322" s="4"/>
      <c r="AF322" s="4"/>
      <c r="AG322" s="4"/>
      <c r="AH322" s="4"/>
      <c r="AI322" s="4"/>
      <c r="AJ322" s="4"/>
      <c r="AK322" s="131" t="str">
        <f ca="1">IFERROR(__xludf.DUMMYFUNCTION("""COMPUTED_VALUE"""),"COLWSPREST-806")</f>
        <v>COLWSPREST-806</v>
      </c>
      <c r="AL322" s="4" t="str">
        <f ca="1">IFERROR(__xludf.DUMMYFUNCTION("""COMPUTED_VALUE"""),"Blocked")</f>
        <v>Blocked</v>
      </c>
      <c r="AM322" s="4" t="str">
        <f ca="1">IFERROR(__xludf.DUMMYFUNCTION("""COMPUTED_VALUE"""),"En desarrollo poara instalar en Abir/23. ")</f>
        <v xml:space="preserve">En desarrollo poara instalar en Abir/23. </v>
      </c>
      <c r="AN322" s="4" t="str">
        <f ca="1">IFERROR(__xludf.DUMMYFUNCTION("""COMPUTED_VALUE"""),"Entregable en backlog")</f>
        <v>Entregable en backlog</v>
      </c>
      <c r="AO322" s="4" t="str">
        <f ca="1">IFERROR(__xludf.DUMMYFUNCTION("""COMPUTED_VALUE"""),"Consumo partnerships")</f>
        <v>Consumo partnerships</v>
      </c>
      <c r="AP322" s="4"/>
      <c r="AQ322" s="4"/>
      <c r="AR322" s="4" t="str">
        <f ca="1">IFERROR(__xludf.DUMMYFUNCTION("""COMPUTED_VALUE"""),"SDA aprobada en PPP Q1 2023")</f>
        <v>SDA aprobada en PPP Q1 2023</v>
      </c>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row>
    <row r="323" spans="1:132" x14ac:dyDescent="0.2">
      <c r="A323" s="4">
        <f ca="1">IFERROR(__xludf.DUMMYFUNCTION("""COMPUTED_VALUE"""),323)</f>
        <v>323</v>
      </c>
      <c r="B323" s="4">
        <f ca="1">IFERROR(__xludf.DUMMYFUNCTION("""COMPUTED_VALUE"""),301)</f>
        <v>301</v>
      </c>
      <c r="C323" s="4" t="str">
        <f ca="1">IFERROR(__xludf.DUMMYFUNCTION("""COMPUTED_VALUE"""),"SDATOOL-36548")</f>
        <v>SDATOOL-36548</v>
      </c>
      <c r="D323" s="4" t="str">
        <f ca="1">IFERROR(__xludf.DUMMYFUNCTION("""COMPUTED_VALUE"""),"Optimización consumo web - Plan ascenso Open Market")</f>
        <v>Optimización consumo web - Plan ascenso Open Market</v>
      </c>
      <c r="E323"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3" s="4" t="str">
        <f ca="1">IFERROR(__xludf.DUMMYFUNCTION("""COMPUTED_VALUE"""),"Project")</f>
        <v>Project</v>
      </c>
      <c r="G323" s="4" t="str">
        <f ca="1">IFERROR(__xludf.DUMMYFUNCTION("""COMPUTED_VALUE"""),"Stock")</f>
        <v>Stock</v>
      </c>
      <c r="H323" s="4" t="str">
        <f ca="1">IFERROR(__xludf.DUMMYFUNCTION("""COMPUTED_VALUE"""),"4Q 2023")</f>
        <v>4Q 2023</v>
      </c>
      <c r="I323" s="131" t="str">
        <f ca="1">IFERROR(__xludf.DUMMYFUNCTION("""COMPUTED_VALUE"""),"angie.castaneda-bbva.com")</f>
        <v>angie.castaneda-bbva.com</v>
      </c>
      <c r="J323" s="131" t="str">
        <f ca="1">IFERROR(__xludf.DUMMYFUNCTION("""COMPUTED_VALUE"""),"sandra.espinosa-bbva.com")</f>
        <v>sandra.espinosa-bbva.com</v>
      </c>
      <c r="K323" s="131" t="str">
        <f ca="1">IFERROR(__xludf.DUMMYFUNCTION("""COMPUTED_VALUE"""),"rociomarcela.lopez-bbva.com")</f>
        <v>rociomarcela.lopez-bbva.com</v>
      </c>
      <c r="L323" s="4"/>
      <c r="M323" s="4"/>
      <c r="N323" s="4"/>
      <c r="O323" s="4" t="str">
        <f ca="1">IFERROR(__xludf.DUMMYFUNCTION("""COMPUTED_VALUE"""),"Scrum")</f>
        <v>Scrum</v>
      </c>
      <c r="P323" s="4" t="str">
        <f ca="1">IFERROR(__xludf.DUMMYFUNCTION("""COMPUTED_VALUE"""),"Revolution")</f>
        <v>Revolution</v>
      </c>
      <c r="Q323" s="4"/>
      <c r="R323" s="130" t="str">
        <f ca="1">IFERROR(__xludf.DUMMYFUNCTION("""COMPUTED_VALUE"""),"Retail Execution")</f>
        <v>Retail Execution</v>
      </c>
      <c r="S323" s="130" t="str">
        <f ca="1">IFERROR(__xludf.DUMMYFUNCTION("""COMPUTED_VALUE"""),"Plan Ascenso")</f>
        <v>Plan Ascenso</v>
      </c>
      <c r="T323" s="130" t="str">
        <f ca="1">IFERROR(__xludf.DUMMYFUNCTION("""COMPUTED_VALUE"""),"1. Generación de Ingresos")</f>
        <v>1. Generación de Ingresos</v>
      </c>
      <c r="U323" s="130" t="str">
        <f ca="1">IFERROR(__xludf.DUMMYFUNCTION("""COMPUTED_VALUE"""),"1.2. Proyectos de Consumo")</f>
        <v>1.2. Proyectos de Consumo</v>
      </c>
      <c r="V323" s="4" t="str">
        <f ca="1">IFERROR(__xludf.DUMMYFUNCTION("""COMPUTED_VALUE"""),"Consumo OM")</f>
        <v>Consumo OM</v>
      </c>
      <c r="W323" s="4">
        <f ca="1">IFERROR(__xludf.DUMMYFUNCTION("""COMPUTED_VALUE"""),1)</f>
        <v>1</v>
      </c>
      <c r="X323" s="4" t="str">
        <f ca="1">IFERROR(__xludf.DUMMYFUNCTION("""COMPUTED_VALUE"""),"01. Open Market &amp; Partnerships")</f>
        <v>01. Open Market &amp; Partnerships</v>
      </c>
      <c r="Y323" s="4" t="str">
        <f ca="1">IFERROR(__xludf.DUMMYFUNCTION("""COMPUTED_VALUE"""),"4.1.1. Own channels")</f>
        <v>4.1.1. Own channels</v>
      </c>
      <c r="Z323" s="132" t="str">
        <f ca="1">IFERROR(__xludf.DUMMYFUNCTION("""COMPUTED_VALUE"""),"514865")</f>
        <v>514865</v>
      </c>
      <c r="AA323" s="4" t="str">
        <f ca="1">IFERROR(__xludf.DUMMYFUNCTION("""COMPUTED_VALUE"""),"Retargeting e integración preaprobados")</f>
        <v>Retargeting e integración preaprobados</v>
      </c>
      <c r="AB323" s="4" t="str">
        <f ca="1">IFERROR(__xludf.DUMMYFUNCTION("""COMPUTED_VALUE"""),"Retargeting e integración preaprobados")</f>
        <v>Retargeting e integración preaprobados</v>
      </c>
      <c r="AC323" s="4" t="str">
        <f ca="1">IFERROR(__xludf.DUMMYFUNCTION("""COMPUTED_VALUE"""),"4Q 2023")</f>
        <v>4Q 2023</v>
      </c>
      <c r="AD323" s="128">
        <f ca="1">IFERROR(__xludf.DUMMYFUNCTION("""COMPUTED_VALUE"""),44470)</f>
        <v>44470</v>
      </c>
      <c r="AE323" s="128">
        <f ca="1">IFERROR(__xludf.DUMMYFUNCTION("""COMPUTED_VALUE"""),44561)</f>
        <v>44561</v>
      </c>
      <c r="AF323" s="128">
        <f ca="1">IFERROR(__xludf.DUMMYFUNCTION("""COMPUTED_VALUE"""),44866)</f>
        <v>44866</v>
      </c>
      <c r="AG323" s="128">
        <f ca="1">IFERROR(__xludf.DUMMYFUNCTION("""COMPUTED_VALUE"""),44957)</f>
        <v>44957</v>
      </c>
      <c r="AH323" s="128">
        <f ca="1">IFERROR(__xludf.DUMMYFUNCTION("""COMPUTED_VALUE"""),44958)</f>
        <v>44958</v>
      </c>
      <c r="AI323" s="128">
        <f ca="1">IFERROR(__xludf.DUMMYFUNCTION("""COMPUTED_VALUE"""),45016)</f>
        <v>45016</v>
      </c>
      <c r="AJ323" s="128">
        <f ca="1">IFERROR(__xludf.DUMMYFUNCTION("""COMPUTED_VALUE"""),45024)</f>
        <v>45024</v>
      </c>
      <c r="AK323" s="4" t="str">
        <f ca="1">IFERROR(__xludf.DUMMYFUNCTION("""COMPUTED_VALUE"""),"Sin asignar")</f>
        <v>Sin asignar</v>
      </c>
      <c r="AL323" s="4" t="str">
        <f ca="1">IFERROR(__xludf.DUMMYFUNCTION("""COMPUTED_VALUE"""),"Sin asignar")</f>
        <v>Sin asignar</v>
      </c>
      <c r="AM323" s="4" t="str">
        <f ca="1">IFERROR(__xludf.DUMMYFUNCTION("""COMPUTED_VALUE"""),"Sin iniciar. Se proyecta iniciar desarrollos en 4Q/23. 
")</f>
        <v xml:space="preserve">Sin iniciar. Se proyecta iniciar desarrollos en 4Q/23. 
</v>
      </c>
      <c r="AN323" s="4" t="str">
        <f ca="1">IFERROR(__xludf.DUMMYFUNCTION("""COMPUTED_VALUE"""),"Entregable en backlog")</f>
        <v>Entregable en backlog</v>
      </c>
      <c r="AO323" s="4" t="str">
        <f ca="1">IFERROR(__xludf.DUMMYFUNCTION("""COMPUTED_VALUE"""),"Consumo partnerships")</f>
        <v>Consumo partnerships</v>
      </c>
      <c r="AP323" s="4"/>
      <c r="AQ323" s="4"/>
      <c r="AR323" s="4" t="str">
        <f ca="1">IFERROR(__xludf.DUMMYFUNCTION("""COMPUTED_VALUE"""),"SDA aprobada en PPP Q1 2023")</f>
        <v>SDA aprobada en PPP Q1 2023</v>
      </c>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row>
    <row r="324" spans="1:132" x14ac:dyDescent="0.2">
      <c r="A324" s="4">
        <f ca="1">IFERROR(__xludf.DUMMYFUNCTION("""COMPUTED_VALUE"""),324)</f>
        <v>324</v>
      </c>
      <c r="B324" s="4">
        <f ca="1">IFERROR(__xludf.DUMMYFUNCTION("""COMPUTED_VALUE"""),302)</f>
        <v>302</v>
      </c>
      <c r="C324" s="4" t="str">
        <f ca="1">IFERROR(__xludf.DUMMYFUNCTION("""COMPUTED_VALUE"""),"SDATOOL-36548")</f>
        <v>SDATOOL-36548</v>
      </c>
      <c r="D324" s="4" t="str">
        <f ca="1">IFERROR(__xludf.DUMMYFUNCTION("""COMPUTED_VALUE"""),"Optimización consumo web - Plan ascenso Open Market")</f>
        <v>Optimización consumo web - Plan ascenso Open Market</v>
      </c>
      <c r="E324"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4" s="4" t="str">
        <f ca="1">IFERROR(__xludf.DUMMYFUNCTION("""COMPUTED_VALUE"""),"Project")</f>
        <v>Project</v>
      </c>
      <c r="G324" s="4" t="str">
        <f ca="1">IFERROR(__xludf.DUMMYFUNCTION("""COMPUTED_VALUE"""),"Stock")</f>
        <v>Stock</v>
      </c>
      <c r="H324" s="4" t="str">
        <f ca="1">IFERROR(__xludf.DUMMYFUNCTION("""COMPUTED_VALUE"""),"4Q 2023")</f>
        <v>4Q 2023</v>
      </c>
      <c r="I324" s="131" t="str">
        <f ca="1">IFERROR(__xludf.DUMMYFUNCTION("""COMPUTED_VALUE"""),"angie.castaneda-bbva.com")</f>
        <v>angie.castaneda-bbva.com</v>
      </c>
      <c r="J324" s="131" t="str">
        <f ca="1">IFERROR(__xludf.DUMMYFUNCTION("""COMPUTED_VALUE"""),"sandra.espinosa-bbva.com")</f>
        <v>sandra.espinosa-bbva.com</v>
      </c>
      <c r="K324" s="131" t="str">
        <f ca="1">IFERROR(__xludf.DUMMYFUNCTION("""COMPUTED_VALUE"""),"rociomarcela.lopez-bbva.com")</f>
        <v>rociomarcela.lopez-bbva.com</v>
      </c>
      <c r="L324" s="4"/>
      <c r="M324" s="4"/>
      <c r="N324" s="4"/>
      <c r="O324" s="4" t="str">
        <f ca="1">IFERROR(__xludf.DUMMYFUNCTION("""COMPUTED_VALUE"""),"Scrum")</f>
        <v>Scrum</v>
      </c>
      <c r="P324" s="4" t="str">
        <f ca="1">IFERROR(__xludf.DUMMYFUNCTION("""COMPUTED_VALUE"""),"Revolution")</f>
        <v>Revolution</v>
      </c>
      <c r="Q324" s="4"/>
      <c r="R324" s="130" t="str">
        <f ca="1">IFERROR(__xludf.DUMMYFUNCTION("""COMPUTED_VALUE"""),"Retail Execution")</f>
        <v>Retail Execution</v>
      </c>
      <c r="S324" s="130" t="str">
        <f ca="1">IFERROR(__xludf.DUMMYFUNCTION("""COMPUTED_VALUE"""),"Plan Ascenso")</f>
        <v>Plan Ascenso</v>
      </c>
      <c r="T324" s="130" t="str">
        <f ca="1">IFERROR(__xludf.DUMMYFUNCTION("""COMPUTED_VALUE"""),"1. Generación de Ingresos")</f>
        <v>1. Generación de Ingresos</v>
      </c>
      <c r="U324" s="130" t="str">
        <f ca="1">IFERROR(__xludf.DUMMYFUNCTION("""COMPUTED_VALUE"""),"1.2. Proyectos de Consumo")</f>
        <v>1.2. Proyectos de Consumo</v>
      </c>
      <c r="V324" s="4" t="str">
        <f ca="1">IFERROR(__xludf.DUMMYFUNCTION("""COMPUTED_VALUE"""),"Consumo OM")</f>
        <v>Consumo OM</v>
      </c>
      <c r="W324" s="4">
        <f ca="1">IFERROR(__xludf.DUMMYFUNCTION("""COMPUTED_VALUE"""),1)</f>
        <v>1</v>
      </c>
      <c r="X324" s="4" t="str">
        <f ca="1">IFERROR(__xludf.DUMMYFUNCTION("""COMPUTED_VALUE"""),"01. Open Market &amp; Partnerships")</f>
        <v>01. Open Market &amp; Partnerships</v>
      </c>
      <c r="Y324" s="4" t="str">
        <f ca="1">IFERROR(__xludf.DUMMYFUNCTION("""COMPUTED_VALUE"""),"4.1.1. Own channels")</f>
        <v>4.1.1. Own channels</v>
      </c>
      <c r="Z324" s="132" t="str">
        <f ca="1">IFERROR(__xludf.DUMMYFUNCTION("""COMPUTED_VALUE"""),"514866")</f>
        <v>514866</v>
      </c>
      <c r="AA324" s="4" t="str">
        <f ca="1">IFERROR(__xludf.DUMMYFUNCTION("""COMPUTED_VALUE"""),"Venta cruzada")</f>
        <v>Venta cruzada</v>
      </c>
      <c r="AB324" s="4" t="str">
        <f ca="1">IFERROR(__xludf.DUMMYFUNCTION("""COMPUTED_VALUE"""),"- Venta cruzada
- seguro de desempleo 
- compra de cartera")</f>
        <v>- Venta cruzada
- seguro de desempleo 
- compra de cartera</v>
      </c>
      <c r="AC324" s="4" t="str">
        <f ca="1">IFERROR(__xludf.DUMMYFUNCTION("""COMPUTED_VALUE"""),"4Q 2023")</f>
        <v>4Q 2023</v>
      </c>
      <c r="AD324" s="4"/>
      <c r="AE324" s="4"/>
      <c r="AF324" s="4"/>
      <c r="AG324" s="4"/>
      <c r="AH324" s="4"/>
      <c r="AI324" s="4"/>
      <c r="AJ324" s="4"/>
      <c r="AK324" s="131" t="str">
        <f ca="1">IFERROR(__xludf.DUMMYFUNCTION("""COMPUTED_VALUE"""),"COLWSPREST-2740")</f>
        <v>COLWSPREST-2740</v>
      </c>
      <c r="AL324" s="4" t="str">
        <f ca="1">IFERROR(__xludf.DUMMYFUNCTION("""COMPUTED_VALUE"""),"Analysing")</f>
        <v>Analysing</v>
      </c>
      <c r="AM324" s="4" t="str">
        <f ca="1">IFERROR(__xludf.DUMMYFUNCTION("""COMPUTED_VALUE"""),"Sin iniciar ")</f>
        <v xml:space="preserve">Sin iniciar </v>
      </c>
      <c r="AN324" s="4" t="str">
        <f ca="1">IFERROR(__xludf.DUMMYFUNCTION("""COMPUTED_VALUE"""),"Entregable en backlog")</f>
        <v>Entregable en backlog</v>
      </c>
      <c r="AO324" s="4" t="str">
        <f ca="1">IFERROR(__xludf.DUMMYFUNCTION("""COMPUTED_VALUE"""),"Consumo partnerships")</f>
        <v>Consumo partnerships</v>
      </c>
      <c r="AP324" s="4"/>
      <c r="AQ324" s="4"/>
      <c r="AR324" s="4" t="str">
        <f ca="1">IFERROR(__xludf.DUMMYFUNCTION("""COMPUTED_VALUE"""),"SDA aprobada en PPP Q1 2023")</f>
        <v>SDA aprobada en PPP Q1 2023</v>
      </c>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row>
    <row r="325" spans="1:132" x14ac:dyDescent="0.2">
      <c r="A325" s="4">
        <f ca="1">IFERROR(__xludf.DUMMYFUNCTION("""COMPUTED_VALUE"""),325)</f>
        <v>325</v>
      </c>
      <c r="B325" s="4">
        <f ca="1">IFERROR(__xludf.DUMMYFUNCTION("""COMPUTED_VALUE"""),303)</f>
        <v>303</v>
      </c>
      <c r="C325" s="4" t="str">
        <f ca="1">IFERROR(__xludf.DUMMYFUNCTION("""COMPUTED_VALUE"""),"SDATOOL-41752")</f>
        <v>SDATOOL-41752</v>
      </c>
      <c r="D325" s="4" t="str">
        <f ca="1">IFERROR(__xludf.DUMMYFUNCTION("""COMPUTED_VALUE"""),"Consumo Openmk con Biometría Obligatoria por Nácar para desembolsar")</f>
        <v>Consumo Openmk con Biometría Obligatoria por Nácar para desembolsar</v>
      </c>
      <c r="E325" s="4" t="str">
        <f ca="1">IFERROR(__xludf.DUMMYFUNCTION("""COMPUTED_VALUE"""),"En el flujo Consumo Openmk exigir biometría para desembolsar el negocio con opción de contingencia la visación cuando la biometría falle.")</f>
        <v>En el flujo Consumo Openmk exigir biometría para desembolsar el negocio con opción de contingencia la visación cuando la biometría falle.</v>
      </c>
      <c r="F325" s="4" t="str">
        <f ca="1">IFERROR(__xludf.DUMMYFUNCTION("""COMPUTED_VALUE"""),"Project")</f>
        <v>Project</v>
      </c>
      <c r="G325" s="4" t="str">
        <f ca="1">IFERROR(__xludf.DUMMYFUNCTION("""COMPUTED_VALUE"""),"Ended")</f>
        <v>Ended</v>
      </c>
      <c r="H325" s="4" t="str">
        <f ca="1">IFERROR(__xludf.DUMMYFUNCTION("""COMPUTED_VALUE"""),"1Q 2023")</f>
        <v>1Q 2023</v>
      </c>
      <c r="I325" s="131" t="str">
        <f ca="1">IFERROR(__xludf.DUMMYFUNCTION("""COMPUTED_VALUE"""),"angie.castaneda-bbva.com")</f>
        <v>angie.castaneda-bbva.com</v>
      </c>
      <c r="J325" s="131" t="str">
        <f ca="1">IFERROR(__xludf.DUMMYFUNCTION("""COMPUTED_VALUE"""),"sandra.espinosa-bbva.com")</f>
        <v>sandra.espinosa-bbva.com</v>
      </c>
      <c r="K325" s="131" t="str">
        <f ca="1">IFERROR(__xludf.DUMMYFUNCTION("""COMPUTED_VALUE"""),"rociomarcela.lopez-bbva.com")</f>
        <v>rociomarcela.lopez-bbva.com</v>
      </c>
      <c r="L325" s="130">
        <f ca="1">IFERROR(__xludf.DUMMYFUNCTION("""COMPUTED_VALUE"""),0)</f>
        <v>0</v>
      </c>
      <c r="M325" s="130">
        <f ca="1">IFERROR(__xludf.DUMMYFUNCTION("""COMPUTED_VALUE"""),0.1)</f>
        <v>0.1</v>
      </c>
      <c r="N325" s="130">
        <f ca="1">IFERROR(__xludf.DUMMYFUNCTION("""COMPUTED_VALUE"""),1)</f>
        <v>1</v>
      </c>
      <c r="O325" s="4" t="str">
        <f ca="1">IFERROR(__xludf.DUMMYFUNCTION("""COMPUTED_VALUE"""),"Scrum")</f>
        <v>Scrum</v>
      </c>
      <c r="P325" s="4" t="str">
        <f ca="1">IFERROR(__xludf.DUMMYFUNCTION("""COMPUTED_VALUE"""),"Revolution")</f>
        <v>Revolution</v>
      </c>
      <c r="Q325" s="130">
        <f ca="1">IFERROR(__xludf.DUMMYFUNCTION("""COMPUTED_VALUE"""),0)</f>
        <v>0</v>
      </c>
      <c r="R325" s="130" t="str">
        <f ca="1">IFERROR(__xludf.DUMMYFUNCTION("""COMPUTED_VALUE"""),"Retail Execution")</f>
        <v>Retail Execution</v>
      </c>
      <c r="S325" s="130" t="str">
        <f ca="1">IFERROR(__xludf.DUMMYFUNCTION("""COMPUTED_VALUE"""),"Strategic Review")</f>
        <v>Strategic Review</v>
      </c>
      <c r="T325" s="130" t="str">
        <f ca="1">IFERROR(__xludf.DUMMYFUNCTION("""COMPUTED_VALUE"""),"1. Generación de Ingresos")</f>
        <v>1. Generación de Ingresos</v>
      </c>
      <c r="U325" s="130" t="str">
        <f ca="1">IFERROR(__xludf.DUMMYFUNCTION("""COMPUTED_VALUE"""),"1.2. Proyectos de Consumo")</f>
        <v>1.2. Proyectos de Consumo</v>
      </c>
      <c r="V325" s="4" t="str">
        <f ca="1">IFERROR(__xludf.DUMMYFUNCTION("""COMPUTED_VALUE"""),"Consumo OM")</f>
        <v>Consumo OM</v>
      </c>
      <c r="W325" s="4">
        <f ca="1">IFERROR(__xludf.DUMMYFUNCTION("""COMPUTED_VALUE"""),1)</f>
        <v>1</v>
      </c>
      <c r="X325" s="4" t="str">
        <f ca="1">IFERROR(__xludf.DUMMYFUNCTION("""COMPUTED_VALUE"""),"01. Open Market &amp; Partnerships")</f>
        <v>01. Open Market &amp; Partnerships</v>
      </c>
      <c r="Y325" s="4" t="str">
        <f ca="1">IFERROR(__xludf.DUMMYFUNCTION("""COMPUTED_VALUE"""),"4.1.1. Own channels")</f>
        <v>4.1.1. Own channels</v>
      </c>
      <c r="Z325" s="132" t="str">
        <f ca="1">IFERROR(__xludf.DUMMYFUNCTION("""COMPUTED_VALUE"""),"626296")</f>
        <v>626296</v>
      </c>
      <c r="AA325" s="4" t="str">
        <f ca="1">IFERROR(__xludf.DUMMYFUNCTION("""COMPUTED_VALUE"""),"Biometría en la cascada de desembolso de consumo OM")</f>
        <v>Biometría en la cascada de desembolso de consumo OM</v>
      </c>
      <c r="AB325" s="4" t="str">
        <f ca="1">IFERROR(__xludf.DUMMYFUNCTION("""COMPUTED_VALUE"""),"Se realizará ajuste en Nacar a la transacción de desembolso de créditos de consumo aprobados por OM apara dejar obligatorio el paso por biometría. Adicionalmente, se integrará una facultad en el proceso que permitirá aprobar por los usuarios definidos la "&amp;"autenticación con visación.")</f>
        <v>Se realizará ajuste en Nacar a la transacción de desembolso de créditos de consumo aprobados por OM apara dejar obligatorio el paso por biometría. Adicionalmente, se integrará una facultad en el proceso que permitirá aprobar por los usuarios definidos la autenticación con visación.</v>
      </c>
      <c r="AC325" s="4" t="str">
        <f ca="1">IFERROR(__xludf.DUMMYFUNCTION("""COMPUTED_VALUE"""),"1Q 2023")</f>
        <v>1Q 2023</v>
      </c>
      <c r="AD325" s="4"/>
      <c r="AE325" s="4"/>
      <c r="AF325" s="4"/>
      <c r="AG325" s="4"/>
      <c r="AH325" s="4"/>
      <c r="AI325" s="4"/>
      <c r="AJ325" s="4"/>
      <c r="AK325" s="131" t="str">
        <f ca="1">IFERROR(__xludf.DUMMYFUNCTION("""COMPUTED_VALUE"""),"COLWSPREST-7932")</f>
        <v>COLWSPREST-7932</v>
      </c>
      <c r="AL325" s="4" t="str">
        <f ca="1">IFERROR(__xludf.DUMMYFUNCTION("""COMPUTED_VALUE"""),"Deployed")</f>
        <v>Deployed</v>
      </c>
      <c r="AM325" s="4" t="str">
        <f ca="1">IFERROR(__xludf.DUMMYFUNCTION("""COMPUTED_VALUE"""),"En desarrollos para instalar en Mar/23. ")</f>
        <v xml:space="preserve">En desarrollos para instalar en Mar/23. </v>
      </c>
      <c r="AN325" s="4" t="str">
        <f ca="1">IFERROR(__xludf.DUMMYFUNCTION("""COMPUTED_VALUE"""),"Entregable en desarrollo")</f>
        <v>Entregable en desarrollo</v>
      </c>
      <c r="AO325" s="4" t="str">
        <f ca="1">IFERROR(__xludf.DUMMYFUNCTION("""COMPUTED_VALUE"""),"Consumo partnerships")</f>
        <v>Consumo partnerships</v>
      </c>
      <c r="AP325" s="4"/>
      <c r="AQ325" s="4"/>
      <c r="AR325" s="4" t="str">
        <f ca="1">IFERROR(__xludf.DUMMYFUNCTION("""COMPUTED_VALUE"""),"SDA aprobada en PPP Q1 2023")</f>
        <v>SDA aprobada en PPP Q1 2023</v>
      </c>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133">
        <f ca="1">IFERROR(__xludf.DUMMYFUNCTION("""COMPUTED_VALUE"""),0)</f>
        <v>0</v>
      </c>
      <c r="DV325" s="133">
        <f ca="1">IFERROR(__xludf.DUMMYFUNCTION("""COMPUTED_VALUE"""),0)</f>
        <v>0</v>
      </c>
      <c r="DW325" s="133">
        <f ca="1">IFERROR(__xludf.DUMMYFUNCTION("""COMPUTED_VALUE"""),0)</f>
        <v>0</v>
      </c>
      <c r="DX325" s="133">
        <f ca="1">IFERROR(__xludf.DUMMYFUNCTION("""COMPUTED_VALUE"""),49999951)</f>
        <v>49999951</v>
      </c>
      <c r="DY325" s="133">
        <f ca="1">IFERROR(__xludf.DUMMYFUNCTION("""COMPUTED_VALUE"""),0)</f>
        <v>0</v>
      </c>
      <c r="DZ325" s="133">
        <f ca="1">IFERROR(__xludf.DUMMYFUNCTION("""COMPUTED_VALUE"""),49999951)</f>
        <v>49999951</v>
      </c>
      <c r="EA325" s="4"/>
      <c r="EB325" s="4"/>
    </row>
    <row r="326" spans="1:132" x14ac:dyDescent="0.2">
      <c r="A326" s="4">
        <f ca="1">IFERROR(__xludf.DUMMYFUNCTION("""COMPUTED_VALUE"""),326)</f>
        <v>326</v>
      </c>
      <c r="B326" s="4">
        <f ca="1">IFERROR(__xludf.DUMMYFUNCTION("""COMPUTED_VALUE"""),304)</f>
        <v>304</v>
      </c>
      <c r="C326" s="4" t="str">
        <f ca="1">IFERROR(__xludf.DUMMYFUNCTION("""COMPUTED_VALUE"""),"SDATOOL-37136")</f>
        <v>SDATOOL-37136</v>
      </c>
      <c r="D326" s="4" t="str">
        <f ca="1">IFERROR(__xludf.DUMMYFUNCTION("""COMPUTED_VALUE"""),"Conexión simulador vía API Vehículo digital")</f>
        <v>Conexión simulador vía API Vehículo digital</v>
      </c>
      <c r="E326" s="4" t="str">
        <f ca="1">IFERROR(__xludf.DUMMYFUNCTION("""COMPUTED_VALUE"""),"Disponibilizar los servicios BBVA del simulador de vehículo web,  para que puedan ser consumidos por el front de Mazda.")</f>
        <v>Disponibilizar los servicios BBVA del simulador de vehículo web,  para que puedan ser consumidos por el front de Mazda.</v>
      </c>
      <c r="F326" s="4" t="str">
        <f ca="1">IFERROR(__xludf.DUMMYFUNCTION("""COMPUTED_VALUE"""),"Project")</f>
        <v>Project</v>
      </c>
      <c r="G326" s="4" t="str">
        <f ca="1">IFERROR(__xludf.DUMMYFUNCTION("""COMPUTED_VALUE"""),"Ended")</f>
        <v>Ended</v>
      </c>
      <c r="H326" s="4" t="str">
        <f ca="1">IFERROR(__xludf.DUMMYFUNCTION("""COMPUTED_VALUE"""),"1Q 2023")</f>
        <v>1Q 2023</v>
      </c>
      <c r="I326" s="131" t="str">
        <f ca="1">IFERROR(__xludf.DUMMYFUNCTION("""COMPUTED_VALUE"""),"angie.castaneda-bbva.com")</f>
        <v>angie.castaneda-bbva.com</v>
      </c>
      <c r="J326" s="131" t="str">
        <f ca="1">IFERROR(__xludf.DUMMYFUNCTION("""COMPUTED_VALUE"""),"diegoandres.rodriguez-bbva.com")</f>
        <v>diegoandres.rodriguez-bbva.com</v>
      </c>
      <c r="K326" s="131" t="str">
        <f ca="1">IFERROR(__xludf.DUMMYFUNCTION("""COMPUTED_VALUE"""),"monica.zamudio-bbva.com")</f>
        <v>monica.zamudio-bbva.com</v>
      </c>
      <c r="L326" s="130">
        <f ca="1">IFERROR(__xludf.DUMMYFUNCTION("""COMPUTED_VALUE"""),0)</f>
        <v>0</v>
      </c>
      <c r="M326" s="130">
        <f ca="1">IFERROR(__xludf.DUMMYFUNCTION("""COMPUTED_VALUE"""),1.35)</f>
        <v>1.35</v>
      </c>
      <c r="N326" s="130">
        <f ca="1">IFERROR(__xludf.DUMMYFUNCTION("""COMPUTED_VALUE"""),1.03)</f>
        <v>1.03</v>
      </c>
      <c r="O326" s="4" t="str">
        <f ca="1">IFERROR(__xludf.DUMMYFUNCTION("""COMPUTED_VALUE"""),"Scrum")</f>
        <v>Scrum</v>
      </c>
      <c r="P326" s="4" t="str">
        <f ca="1">IFERROR(__xludf.DUMMYFUNCTION("""COMPUTED_VALUE"""),"SpaceX")</f>
        <v>SpaceX</v>
      </c>
      <c r="Q326" s="130">
        <f ca="1">IFERROR(__xludf.DUMMYFUNCTION("""COMPUTED_VALUE"""),1)</f>
        <v>1</v>
      </c>
      <c r="R326" s="130" t="str">
        <f ca="1">IFERROR(__xludf.DUMMYFUNCTION("""COMPUTED_VALUE"""),"Retail Execution")</f>
        <v>Retail Execution</v>
      </c>
      <c r="S326" s="130" t="str">
        <f ca="1">IFERROR(__xludf.DUMMYFUNCTION("""COMPUTED_VALUE"""),"Otros")</f>
        <v>Otros</v>
      </c>
      <c r="T326" s="130" t="str">
        <f ca="1">IFERROR(__xludf.DUMMYFUNCTION("""COMPUTED_VALUE"""),"1. Generación de Ingresos")</f>
        <v>1. Generación de Ingresos</v>
      </c>
      <c r="U326" s="130" t="str">
        <f ca="1">IFERROR(__xludf.DUMMYFUNCTION("""COMPUTED_VALUE"""),"1.2. Proyectos de Consumo")</f>
        <v>1.2. Proyectos de Consumo</v>
      </c>
      <c r="V326" s="4" t="str">
        <f ca="1">IFERROR(__xludf.DUMMYFUNCTION("""COMPUTED_VALUE"""),"Vehículo")</f>
        <v>Vehículo</v>
      </c>
      <c r="W326" s="4">
        <f ca="1">IFERROR(__xludf.DUMMYFUNCTION("""COMPUTED_VALUE"""),3)</f>
        <v>3</v>
      </c>
      <c r="X326" s="4" t="str">
        <f ca="1">IFERROR(__xludf.DUMMYFUNCTION("""COMPUTED_VALUE"""),"01. Open Market &amp; Partnerships")</f>
        <v>01. Open Market &amp; Partnerships</v>
      </c>
      <c r="Y326" s="4" t="str">
        <f ca="1">IFERROR(__xludf.DUMMYFUNCTION("""COMPUTED_VALUE"""),"4.1.1. Own channels")</f>
        <v>4.1.1. Own channels</v>
      </c>
      <c r="Z326" s="132" t="str">
        <f ca="1">IFERROR(__xludf.DUMMYFUNCTION("""COMPUTED_VALUE"""),"514868")</f>
        <v>514868</v>
      </c>
      <c r="AA326" s="4" t="str">
        <f ca="1">IFERROR(__xludf.DUMMYFUNCTION("""COMPUTED_VALUE"""),"Reportería caídas")</f>
        <v>Reportería caídas</v>
      </c>
      <c r="AB326" s="4" t="str">
        <f ca="1">IFERROR(__xludf.DUMMYFUNCTION("""COMPUTED_VALUE"""),"Reportería caídas")</f>
        <v>Reportería caídas</v>
      </c>
      <c r="AC326" s="4" t="str">
        <f ca="1">IFERROR(__xludf.DUMMYFUNCTION("""COMPUTED_VALUE"""),"1Q 2023")</f>
        <v>1Q 2023</v>
      </c>
      <c r="AD326" s="4"/>
      <c r="AE326" s="4"/>
      <c r="AF326" s="4"/>
      <c r="AG326" s="4"/>
      <c r="AH326" s="4"/>
      <c r="AI326" s="4"/>
      <c r="AJ326" s="4"/>
      <c r="AK326" s="131" t="str">
        <f ca="1">IFERROR(__xludf.DUMMYFUNCTION("""COMPUTED_VALUE"""),"COLWSPREST-5219")</f>
        <v>COLWSPREST-5219</v>
      </c>
      <c r="AL326" s="4" t="str">
        <f ca="1">IFERROR(__xludf.DUMMYFUNCTION("""COMPUTED_VALUE"""),"Deployed")</f>
        <v>Deployed</v>
      </c>
      <c r="AM326" s="4" t="str">
        <f ca="1">IFERROR(__xludf.DUMMYFUNCTION("""COMPUTED_VALUE"""),"En calidad para instalar en Mar/23. ")</f>
        <v xml:space="preserve">En calidad para instalar en Mar/23. </v>
      </c>
      <c r="AN326" s="4" t="str">
        <f ca="1">IFERROR(__xludf.DUMMYFUNCTION("""COMPUTED_VALUE"""),"Entregable en desarrollo")</f>
        <v>Entregable en desarrollo</v>
      </c>
      <c r="AO326" s="4" t="str">
        <f ca="1">IFERROR(__xludf.DUMMYFUNCTION("""COMPUTED_VALUE"""),"Consumo partnerships")</f>
        <v>Consumo partnerships</v>
      </c>
      <c r="AP326" s="4"/>
      <c r="AQ326" s="4"/>
      <c r="AR326" s="4" t="str">
        <f ca="1">IFERROR(__xludf.DUMMYFUNCTION("""COMPUTED_VALUE"""),"SDA aprobada en PPP Q1 2023")</f>
        <v>SDA aprobada en PPP Q1 2023</v>
      </c>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133">
        <f ca="1">IFERROR(__xludf.DUMMYFUNCTION("""COMPUTED_VALUE"""),0)</f>
        <v>0</v>
      </c>
      <c r="DV326" s="133">
        <f ca="1">IFERROR(__xludf.DUMMYFUNCTION("""COMPUTED_VALUE"""),0)</f>
        <v>0</v>
      </c>
      <c r="DW326" s="133">
        <f ca="1">IFERROR(__xludf.DUMMYFUNCTION("""COMPUTED_VALUE"""),58857943)</f>
        <v>58857943</v>
      </c>
      <c r="DX326" s="133">
        <f ca="1">IFERROR(__xludf.DUMMYFUNCTION("""COMPUTED_VALUE"""),67063610)</f>
        <v>67063610</v>
      </c>
      <c r="DY326" s="133">
        <f ca="1">IFERROR(__xludf.DUMMYFUNCTION("""COMPUTED_VALUE"""),0)</f>
        <v>0</v>
      </c>
      <c r="DZ326" s="133">
        <f ca="1">IFERROR(__xludf.DUMMYFUNCTION("""COMPUTED_VALUE"""),125921553)</f>
        <v>125921553</v>
      </c>
      <c r="EA326" s="4"/>
      <c r="EB326" s="4"/>
    </row>
    <row r="327" spans="1:132" x14ac:dyDescent="0.2">
      <c r="A327" s="4">
        <f ca="1">IFERROR(__xludf.DUMMYFUNCTION("""COMPUTED_VALUE"""),327)</f>
        <v>327</v>
      </c>
      <c r="B327" s="4">
        <f ca="1">IFERROR(__xludf.DUMMYFUNCTION("""COMPUTED_VALUE"""),305)</f>
        <v>305</v>
      </c>
      <c r="C327" s="4" t="str">
        <f ca="1">IFERROR(__xludf.DUMMYFUNCTION("""COMPUTED_VALUE"""),"SDATOOL-37136")</f>
        <v>SDATOOL-37136</v>
      </c>
      <c r="D327" s="4" t="str">
        <f ca="1">IFERROR(__xludf.DUMMYFUNCTION("""COMPUTED_VALUE"""),"Conexión simulador vía API Vehículo digital")</f>
        <v>Conexión simulador vía API Vehículo digital</v>
      </c>
      <c r="E327" s="4" t="str">
        <f ca="1">IFERROR(__xludf.DUMMYFUNCTION("""COMPUTED_VALUE"""),"Disponibilizar los servicios BBVA del simulador de vehículo web,  para que puedan ser consumidos por el front de Mazda.")</f>
        <v>Disponibilizar los servicios BBVA del simulador de vehículo web,  para que puedan ser consumidos por el front de Mazda.</v>
      </c>
      <c r="F327" s="4" t="str">
        <f ca="1">IFERROR(__xludf.DUMMYFUNCTION("""COMPUTED_VALUE"""),"Project")</f>
        <v>Project</v>
      </c>
      <c r="G327" s="4" t="str">
        <f ca="1">IFERROR(__xludf.DUMMYFUNCTION("""COMPUTED_VALUE"""),"Ended")</f>
        <v>Ended</v>
      </c>
      <c r="H327" s="4" t="str">
        <f ca="1">IFERROR(__xludf.DUMMYFUNCTION("""COMPUTED_VALUE"""),"1Q 2023")</f>
        <v>1Q 2023</v>
      </c>
      <c r="I327" s="131" t="str">
        <f ca="1">IFERROR(__xludf.DUMMYFUNCTION("""COMPUTED_VALUE"""),"angie.castaneda-bbva.com")</f>
        <v>angie.castaneda-bbva.com</v>
      </c>
      <c r="J327" s="131" t="str">
        <f ca="1">IFERROR(__xludf.DUMMYFUNCTION("""COMPUTED_VALUE"""),"diegoandres.rodriguez-bbva.com")</f>
        <v>diegoandres.rodriguez-bbva.com</v>
      </c>
      <c r="K327" s="131" t="str">
        <f ca="1">IFERROR(__xludf.DUMMYFUNCTION("""COMPUTED_VALUE"""),"monica.zamudio-bbva.com")</f>
        <v>monica.zamudio-bbva.com</v>
      </c>
      <c r="L327" s="4"/>
      <c r="M327" s="4"/>
      <c r="N327" s="4"/>
      <c r="O327" s="4" t="str">
        <f ca="1">IFERROR(__xludf.DUMMYFUNCTION("""COMPUTED_VALUE"""),"Scrum")</f>
        <v>Scrum</v>
      </c>
      <c r="P327" s="4" t="str">
        <f ca="1">IFERROR(__xludf.DUMMYFUNCTION("""COMPUTED_VALUE"""),"SpaceX")</f>
        <v>SpaceX</v>
      </c>
      <c r="Q327" s="4"/>
      <c r="R327" s="130" t="str">
        <f ca="1">IFERROR(__xludf.DUMMYFUNCTION("""COMPUTED_VALUE"""),"Retail Execution")</f>
        <v>Retail Execution</v>
      </c>
      <c r="S327" s="130" t="str">
        <f ca="1">IFERROR(__xludf.DUMMYFUNCTION("""COMPUTED_VALUE"""),"Otros")</f>
        <v>Otros</v>
      </c>
      <c r="T327" s="130" t="str">
        <f ca="1">IFERROR(__xludf.DUMMYFUNCTION("""COMPUTED_VALUE"""),"1. Generación de Ingresos")</f>
        <v>1. Generación de Ingresos</v>
      </c>
      <c r="U327" s="130" t="str">
        <f ca="1">IFERROR(__xludf.DUMMYFUNCTION("""COMPUTED_VALUE"""),"1.2. Proyectos de Consumo")</f>
        <v>1.2. Proyectos de Consumo</v>
      </c>
      <c r="V327" s="4" t="str">
        <f ca="1">IFERROR(__xludf.DUMMYFUNCTION("""COMPUTED_VALUE"""),"Vehículo")</f>
        <v>Vehículo</v>
      </c>
      <c r="W327" s="4">
        <f ca="1">IFERROR(__xludf.DUMMYFUNCTION("""COMPUTED_VALUE"""),3)</f>
        <v>3</v>
      </c>
      <c r="X327" s="4" t="str">
        <f ca="1">IFERROR(__xludf.DUMMYFUNCTION("""COMPUTED_VALUE"""),"01. Open Market &amp; Partnerships")</f>
        <v>01. Open Market &amp; Partnerships</v>
      </c>
      <c r="Y327" s="4" t="str">
        <f ca="1">IFERROR(__xludf.DUMMYFUNCTION("""COMPUTED_VALUE"""),"4.1.1. Own channels")</f>
        <v>4.1.1. Own channels</v>
      </c>
      <c r="Z327" s="132" t="str">
        <f ca="1">IFERROR(__xludf.DUMMYFUNCTION("""COMPUTED_VALUE"""),"489164")</f>
        <v>489164</v>
      </c>
      <c r="AA327" s="4" t="str">
        <f ca="1">IFERROR(__xludf.DUMMYFUNCTION("""COMPUTED_VALUE"""),"Vehiculo web - API Aliados táctico")</f>
        <v>Vehiculo web - API Aliados táctico</v>
      </c>
      <c r="AB327" s="4" t="str">
        <f ca="1">IFERROR(__xludf.DUMMYFUNCTION("""COMPUTED_VALUE"""),"Integrar la herramienta de aprobación automática en las web de los aliados comerciales")</f>
        <v>Integrar la herramienta de aprobación automática en las web de los aliados comerciales</v>
      </c>
      <c r="AC327" s="4" t="str">
        <f ca="1">IFERROR(__xludf.DUMMYFUNCTION("""COMPUTED_VALUE"""),"1Q 2023")</f>
        <v>1Q 2023</v>
      </c>
      <c r="AD327" s="4"/>
      <c r="AE327" s="4"/>
      <c r="AF327" s="4"/>
      <c r="AG327" s="4"/>
      <c r="AH327" s="4"/>
      <c r="AI327" s="4"/>
      <c r="AJ327" s="4"/>
      <c r="AK327" s="131" t="str">
        <f ca="1">IFERROR(__xludf.DUMMYFUNCTION("""COMPUTED_VALUE"""),"COLWSPREST-11645")</f>
        <v>COLWSPREST-11645</v>
      </c>
      <c r="AL327" s="4" t="str">
        <f ca="1">IFERROR(__xludf.DUMMYFUNCTION("""COMPUTED_VALUE"""),"En progreso")</f>
        <v>En progreso</v>
      </c>
      <c r="AM327" s="4" t="str">
        <f ca="1">IFERROR(__xludf.DUMMYFUNCTION("""COMPUTED_VALUE"""),"En calidad para instalar en Mar/23. ")</f>
        <v xml:space="preserve">En calidad para instalar en Mar/23. </v>
      </c>
      <c r="AN327" s="4" t="str">
        <f ca="1">IFERROR(__xludf.DUMMYFUNCTION("""COMPUTED_VALUE"""),"Entregable en desarrollo")</f>
        <v>Entregable en desarrollo</v>
      </c>
      <c r="AO327" s="4" t="str">
        <f ca="1">IFERROR(__xludf.DUMMYFUNCTION("""COMPUTED_VALUE"""),"Consumo partnerships")</f>
        <v>Consumo partnerships</v>
      </c>
      <c r="AP327" s="4"/>
      <c r="AQ327" s="4"/>
      <c r="AR327" s="4" t="str">
        <f ca="1">IFERROR(__xludf.DUMMYFUNCTION("""COMPUTED_VALUE"""),"SDA aprobada en PPP Q1 2023")</f>
        <v>SDA aprobada en PPP Q1 2023</v>
      </c>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row>
    <row r="328" spans="1:132" x14ac:dyDescent="0.2">
      <c r="A328" s="4">
        <f ca="1">IFERROR(__xludf.DUMMYFUNCTION("""COMPUTED_VALUE"""),328)</f>
        <v>328</v>
      </c>
      <c r="B328" s="4">
        <f ca="1">IFERROR(__xludf.DUMMYFUNCTION("""COMPUTED_VALUE"""),306)</f>
        <v>306</v>
      </c>
      <c r="C328" s="4" t="str">
        <f ca="1">IFERROR(__xludf.DUMMYFUNCTION("""COMPUTED_VALUE"""),"SDATOOL-41797")</f>
        <v>SDATOOL-41797</v>
      </c>
      <c r="D328" s="4" t="str">
        <f ca="1">IFERROR(__xludf.DUMMYFUNCTION("""COMPUTED_VALUE"""),"Optimización Cuenta en línea Web")</f>
        <v>Optimización Cuenta en línea Web</v>
      </c>
      <c r="E328" s="4" t="str">
        <f ca="1">IFERROR(__xludf.DUMMYFUNCTION("""COMPUTED_VALUE"""),"Se rediseñará el 100% del proceso actual de contratación de cuenta en línea en página web. 
-Rediseño total del UX
-Eliminación de campos
- Actualización a la nueva versión del SDK del veridas.
- Integración rescate en oficina.")</f>
        <v>Se rediseñará el 100% del proceso actual de contratación de cuenta en línea en página web. 
-Rediseño total del UX
-Eliminación de campos
- Actualización a la nueva versión del SDK del veridas.
- Integración rescate en oficina.</v>
      </c>
      <c r="F328" s="4" t="str">
        <f ca="1">IFERROR(__xludf.DUMMYFUNCTION("""COMPUTED_VALUE"""),"Initiative")</f>
        <v>Initiative</v>
      </c>
      <c r="G328" s="4" t="str">
        <f ca="1">IFERROR(__xludf.DUMMYFUNCTION("""COMPUTED_VALUE"""),"Stock")</f>
        <v>Stock</v>
      </c>
      <c r="H328" s="4" t="str">
        <f ca="1">IFERROR(__xludf.DUMMYFUNCTION("""COMPUTED_VALUE"""),"4Q 2023")</f>
        <v>4Q 2023</v>
      </c>
      <c r="I328" s="131" t="str">
        <f ca="1">IFERROR(__xludf.DUMMYFUNCTION("""COMPUTED_VALUE"""),"angie.castaneda-bbva.com")</f>
        <v>angie.castaneda-bbva.com</v>
      </c>
      <c r="J328" s="131" t="str">
        <f ca="1">IFERROR(__xludf.DUMMYFUNCTION("""COMPUTED_VALUE"""),"katryn.verjel-bbva.com")</f>
        <v>katryn.verjel-bbva.com</v>
      </c>
      <c r="K328" s="131" t="str">
        <f ca="1">IFERROR(__xludf.DUMMYFUNCTION("""COMPUTED_VALUE"""),"monica.zamudio-bbva.com")</f>
        <v>monica.zamudio-bbva.com</v>
      </c>
      <c r="L328" s="130">
        <f ca="1">IFERROR(__xludf.DUMMYFUNCTION("""COMPUTED_VALUE"""),1)</f>
        <v>1</v>
      </c>
      <c r="M328" s="130">
        <f ca="1">IFERROR(__xludf.DUMMYFUNCTION("""COMPUTED_VALUE"""),1)</f>
        <v>1</v>
      </c>
      <c r="N328" s="130">
        <f ca="1">IFERROR(__xludf.DUMMYFUNCTION("""COMPUTED_VALUE"""),0)</f>
        <v>0</v>
      </c>
      <c r="O328" s="4" t="str">
        <f ca="1">IFERROR(__xludf.DUMMYFUNCTION("""COMPUTED_VALUE"""),"Scrum")</f>
        <v>Scrum</v>
      </c>
      <c r="P328" s="4" t="str">
        <f ca="1">IFERROR(__xludf.DUMMYFUNCTION("""COMPUTED_VALUE"""),"SpaceX")</f>
        <v>SpaceX</v>
      </c>
      <c r="Q328" s="130">
        <f ca="1">IFERROR(__xludf.DUMMYFUNCTION("""COMPUTED_VALUE"""),0)</f>
        <v>0</v>
      </c>
      <c r="R328" s="130" t="str">
        <f ca="1">IFERROR(__xludf.DUMMYFUNCTION("""COMPUTED_VALUE"""),"Retail Execution")</f>
        <v>Retail Execution</v>
      </c>
      <c r="S328" s="130" t="str">
        <f ca="1">IFERROR(__xludf.DUMMYFUNCTION("""COMPUTED_VALUE"""),"Otros")</f>
        <v>Otros</v>
      </c>
      <c r="T328" s="130" t="str">
        <f ca="1">IFERROR(__xludf.DUMMYFUNCTION("""COMPUTED_VALUE"""),"1. Generación de Ingresos")</f>
        <v>1. Generación de Ingresos</v>
      </c>
      <c r="U328" s="130" t="str">
        <f ca="1">IFERROR(__xludf.DUMMYFUNCTION("""COMPUTED_VALUE"""),"1.3. Pasivos PPNN y PYMEs")</f>
        <v>1.3. Pasivos PPNN y PYMEs</v>
      </c>
      <c r="V328" s="4" t="str">
        <f ca="1">IFERROR(__xludf.DUMMYFUNCTION("""COMPUTED_VALUE"""),"Pasivo")</f>
        <v>Pasivo</v>
      </c>
      <c r="W328" s="4">
        <f ca="1">IFERROR(__xludf.DUMMYFUNCTION("""COMPUTED_VALUE"""),1)</f>
        <v>1</v>
      </c>
      <c r="X328" s="4" t="str">
        <f ca="1">IFERROR(__xludf.DUMMYFUNCTION("""COMPUTED_VALUE"""),"01. Open Market &amp; Partnerships")</f>
        <v>01. Open Market &amp; Partnerships</v>
      </c>
      <c r="Y328" s="130" t="str">
        <f ca="1">IFERROR(__xludf.DUMMYFUNCTION("""COMPUTED_VALUE"""),"Otros")</f>
        <v>Otros</v>
      </c>
      <c r="Z328" s="132" t="str">
        <f ca="1">IFERROR(__xludf.DUMMYFUNCTION("""COMPUTED_VALUE"""),"626323")</f>
        <v>626323</v>
      </c>
      <c r="AA328" s="4" t="str">
        <f ca="1">IFERROR(__xludf.DUMMYFUNCTION("""COMPUTED_VALUE"""),"Optimización cuenta en línea en Web O")</f>
        <v>Optimización cuenta en línea en Web O</v>
      </c>
      <c r="AB328" s="4" t="str">
        <f ca="1">IFERROR(__xludf.DUMMYFUNCTION("""COMPUTED_VALUE"""),"Rediseño total del proceso de contratación de cuenta en línea en página blanca para OM y revinculados")</f>
        <v>Rediseño total del proceso de contratación de cuenta en línea en página blanca para OM y revinculados</v>
      </c>
      <c r="AC328" s="4" t="str">
        <f ca="1">IFERROR(__xludf.DUMMYFUNCTION("""COMPUTED_VALUE"""),"3Q 2023")</f>
        <v>3Q 2023</v>
      </c>
      <c r="AD328" s="4"/>
      <c r="AE328" s="4"/>
      <c r="AF328" s="4"/>
      <c r="AG328" s="4"/>
      <c r="AH328" s="4"/>
      <c r="AI328" s="4"/>
      <c r="AJ328" s="4"/>
      <c r="AK328" s="131" t="str">
        <f ca="1">IFERROR(__xludf.DUMMYFUNCTION("""COMPUTED_VALUE"""),"COLWSCUENT-2269")</f>
        <v>COLWSCUENT-2269</v>
      </c>
      <c r="AL328" s="4" t="str">
        <f ca="1">IFERROR(__xludf.DUMMYFUNCTION("""COMPUTED_VALUE"""),"New")</f>
        <v>New</v>
      </c>
      <c r="AM328" s="4" t="str">
        <f ca="1">IFERROR(__xludf.DUMMYFUNCTION("""COMPUTED_VALUE"""),"Inicia desarrollos el 14/Abril. Discovery y BC cerrado. ")</f>
        <v xml:space="preserve">Inicia desarrollos el 14/Abril. Discovery y BC cerrado. </v>
      </c>
      <c r="AN328" s="4" t="str">
        <f ca="1">IFERROR(__xludf.DUMMYFUNCTION("""COMPUTED_VALUE"""),"Entregable en Conceptualización")</f>
        <v>Entregable en Conceptualización</v>
      </c>
      <c r="AO328" s="4" t="str">
        <f ca="1">IFERROR(__xludf.DUMMYFUNCTION("""COMPUTED_VALUE"""),"Pasivos")</f>
        <v>Pasivos</v>
      </c>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133">
        <f ca="1">IFERROR(__xludf.DUMMYFUNCTION("""COMPUTED_VALUE"""),0)</f>
        <v>0</v>
      </c>
      <c r="DV328" s="133">
        <f ca="1">IFERROR(__xludf.DUMMYFUNCTION("""COMPUTED_VALUE"""),0)</f>
        <v>0</v>
      </c>
      <c r="DW328" s="133">
        <f ca="1">IFERROR(__xludf.DUMMYFUNCTION("""COMPUTED_VALUE"""),0)</f>
        <v>0</v>
      </c>
      <c r="DX328" s="133">
        <f ca="1">IFERROR(__xludf.DUMMYFUNCTION("""COMPUTED_VALUE"""),1180000000)</f>
        <v>1180000000</v>
      </c>
      <c r="DY328" s="133">
        <f ca="1">IFERROR(__xludf.DUMMYFUNCTION("""COMPUTED_VALUE"""),0)</f>
        <v>0</v>
      </c>
      <c r="DZ328" s="133">
        <f ca="1">IFERROR(__xludf.DUMMYFUNCTION("""COMPUTED_VALUE"""),1180000000)</f>
        <v>1180000000</v>
      </c>
      <c r="EA328" s="4"/>
      <c r="EB328" s="4"/>
    </row>
    <row r="329" spans="1:132" x14ac:dyDescent="0.2">
      <c r="A329" s="4">
        <f ca="1">IFERROR(__xludf.DUMMYFUNCTION("""COMPUTED_VALUE"""),329)</f>
        <v>329</v>
      </c>
      <c r="B329" s="4"/>
      <c r="C329" s="4" t="str">
        <f ca="1">IFERROR(__xludf.DUMMYFUNCTION("""COMPUTED_VALUE"""),"SDATOOL-41797")</f>
        <v>SDATOOL-41797</v>
      </c>
      <c r="D329" s="4" t="str">
        <f ca="1">IFERROR(__xludf.DUMMYFUNCTION("""COMPUTED_VALUE"""),"Optimización Cuenta en línea Web")</f>
        <v>Optimización Cuenta en línea Web</v>
      </c>
      <c r="E329" s="4" t="str">
        <f ca="1">IFERROR(__xludf.DUMMYFUNCTION("""COMPUTED_VALUE"""),"Se rediseñará el 100% del proceso actual de contratación de cuenta en línea en página web. 
-Rediseño total del UX
-Eliminación de campos
- Actualización a la nueva versión del SDK del veridas.
- Integración rescate en oficina.")</f>
        <v>Se rediseñará el 100% del proceso actual de contratación de cuenta en línea en página web. 
-Rediseño total del UX
-Eliminación de campos
- Actualización a la nueva versión del SDK del veridas.
- Integración rescate en oficina.</v>
      </c>
      <c r="F329" s="4" t="str">
        <f ca="1">IFERROR(__xludf.DUMMYFUNCTION("""COMPUTED_VALUE"""),"Initiative")</f>
        <v>Initiative</v>
      </c>
      <c r="G329" s="4" t="str">
        <f ca="1">IFERROR(__xludf.DUMMYFUNCTION("""COMPUTED_VALUE"""),"Stock")</f>
        <v>Stock</v>
      </c>
      <c r="H329" s="4" t="str">
        <f ca="1">IFERROR(__xludf.DUMMYFUNCTION("""COMPUTED_VALUE"""),"4Q 2023")</f>
        <v>4Q 2023</v>
      </c>
      <c r="I329" s="131" t="str">
        <f ca="1">IFERROR(__xludf.DUMMYFUNCTION("""COMPUTED_VALUE"""),"angie.castaneda-bbva.com")</f>
        <v>angie.castaneda-bbva.com</v>
      </c>
      <c r="J329" s="131" t="str">
        <f ca="1">IFERROR(__xludf.DUMMYFUNCTION("""COMPUTED_VALUE"""),"katryn.verjel-bbva.com")</f>
        <v>katryn.verjel-bbva.com</v>
      </c>
      <c r="K329" s="131" t="str">
        <f ca="1">IFERROR(__xludf.DUMMYFUNCTION("""COMPUTED_VALUE"""),"monica.zamudio-bbva.com")</f>
        <v>monica.zamudio-bbva.com</v>
      </c>
      <c r="L329" s="4"/>
      <c r="M329" s="4"/>
      <c r="N329" s="4"/>
      <c r="O329" s="4" t="str">
        <f ca="1">IFERROR(__xludf.DUMMYFUNCTION("""COMPUTED_VALUE"""),"Scrum")</f>
        <v>Scrum</v>
      </c>
      <c r="P329" s="4" t="str">
        <f ca="1">IFERROR(__xludf.DUMMYFUNCTION("""COMPUTED_VALUE"""),"SpaceX")</f>
        <v>SpaceX</v>
      </c>
      <c r="Q329" s="4"/>
      <c r="R329" s="130" t="str">
        <f ca="1">IFERROR(__xludf.DUMMYFUNCTION("""COMPUTED_VALUE"""),"Retail Execution")</f>
        <v>Retail Execution</v>
      </c>
      <c r="S329" s="130" t="str">
        <f ca="1">IFERROR(__xludf.DUMMYFUNCTION("""COMPUTED_VALUE"""),"Otros")</f>
        <v>Otros</v>
      </c>
      <c r="T329" s="130" t="str">
        <f ca="1">IFERROR(__xludf.DUMMYFUNCTION("""COMPUTED_VALUE"""),"1. Generación de Ingresos")</f>
        <v>1. Generación de Ingresos</v>
      </c>
      <c r="U329" s="130" t="str">
        <f ca="1">IFERROR(__xludf.DUMMYFUNCTION("""COMPUTED_VALUE"""),"1.3. Pasivos PPNN y PYMEs")</f>
        <v>1.3. Pasivos PPNN y PYMEs</v>
      </c>
      <c r="V329" s="4" t="str">
        <f ca="1">IFERROR(__xludf.DUMMYFUNCTION("""COMPUTED_VALUE"""),"Pasivo")</f>
        <v>Pasivo</v>
      </c>
      <c r="W329" s="4">
        <f ca="1">IFERROR(__xludf.DUMMYFUNCTION("""COMPUTED_VALUE"""),1)</f>
        <v>1</v>
      </c>
      <c r="X329" s="4" t="str">
        <f ca="1">IFERROR(__xludf.DUMMYFUNCTION("""COMPUTED_VALUE"""),"01. Open Market &amp; Partnerships")</f>
        <v>01. Open Market &amp; Partnerships</v>
      </c>
      <c r="Y329" s="130" t="str">
        <f ca="1">IFERROR(__xludf.DUMMYFUNCTION("""COMPUTED_VALUE"""),"Otros")</f>
        <v>Otros</v>
      </c>
      <c r="Z329" s="132" t="str">
        <f ca="1">IFERROR(__xludf.DUMMYFUNCTION("""COMPUTED_VALUE"""),"724734")</f>
        <v>724734</v>
      </c>
      <c r="AA329" s="4" t="str">
        <f ca="1">IFERROR(__xludf.DUMMYFUNCTION("""COMPUTED_VALUE"""),"Optimización Cuenta en línea Web fase II")</f>
        <v>Optimización Cuenta en línea Web fase II</v>
      </c>
      <c r="AB329" s="4" t="str">
        <f ca="1">IFERROR(__xludf.DUMMYFUNCTION("""COMPUTED_VALUE"""),"Habilitar la contratación de cuenta en línea web para clientes activos")</f>
        <v>Habilitar la contratación de cuenta en línea web para clientes activos</v>
      </c>
      <c r="AC329" s="4" t="str">
        <f ca="1">IFERROR(__xludf.DUMMYFUNCTION("""COMPUTED_VALUE"""),"4Q 2023")</f>
        <v>4Q 2023</v>
      </c>
      <c r="AD329" s="4"/>
      <c r="AE329" s="4"/>
      <c r="AF329" s="4"/>
      <c r="AG329" s="4"/>
      <c r="AH329" s="4"/>
      <c r="AI329" s="4"/>
      <c r="AJ329" s="4"/>
      <c r="AK329" s="131" t="str">
        <f ca="1">IFERROR(__xludf.DUMMYFUNCTION("""COMPUTED_VALUE"""),"COLWSCUENT-2996")</f>
        <v>COLWSCUENT-2996</v>
      </c>
      <c r="AL329" s="4" t="str">
        <f ca="1">IFERROR(__xludf.DUMMYFUNCTION("""COMPUTED_VALUE"""),"New")</f>
        <v>New</v>
      </c>
      <c r="AM329" s="4"/>
      <c r="AN329" s="4" t="str">
        <f ca="1">IFERROR(__xludf.DUMMYFUNCTION("""COMPUTED_VALUE"""),"Entregable en backlog")</f>
        <v>Entregable en backlog</v>
      </c>
      <c r="AO329" s="4" t="str">
        <f ca="1">IFERROR(__xludf.DUMMYFUNCTION("""COMPUTED_VALUE"""),"Pasivos")</f>
        <v>Pasivos</v>
      </c>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133">
        <f ca="1">IFERROR(__xludf.DUMMYFUNCTION("""COMPUTED_VALUE"""),0)</f>
        <v>0</v>
      </c>
      <c r="DV329" s="133">
        <f ca="1">IFERROR(__xludf.DUMMYFUNCTION("""COMPUTED_VALUE"""),0)</f>
        <v>0</v>
      </c>
      <c r="DW329" s="133">
        <f ca="1">IFERROR(__xludf.DUMMYFUNCTION("""COMPUTED_VALUE"""),0)</f>
        <v>0</v>
      </c>
      <c r="DX329" s="133">
        <f ca="1">IFERROR(__xludf.DUMMYFUNCTION("""COMPUTED_VALUE"""),1180000000)</f>
        <v>1180000000</v>
      </c>
      <c r="DY329" s="133">
        <f ca="1">IFERROR(__xludf.DUMMYFUNCTION("""COMPUTED_VALUE"""),0)</f>
        <v>0</v>
      </c>
      <c r="DZ329" s="133">
        <f ca="1">IFERROR(__xludf.DUMMYFUNCTION("""COMPUTED_VALUE"""),1180000000)</f>
        <v>1180000000</v>
      </c>
      <c r="EA329" s="4"/>
      <c r="EB329" s="4"/>
    </row>
    <row r="330" spans="1:132" x14ac:dyDescent="0.2">
      <c r="A330" s="4">
        <f ca="1">IFERROR(__xludf.DUMMYFUNCTION("""COMPUTED_VALUE"""),330)</f>
        <v>330</v>
      </c>
      <c r="B330" s="4">
        <f ca="1">IFERROR(__xludf.DUMMYFUNCTION("""COMPUTED_VALUE"""),307)</f>
        <v>307</v>
      </c>
      <c r="C330" s="4" t="str">
        <f ca="1">IFERROR(__xludf.DUMMYFUNCTION("""COMPUTED_VALUE"""),"SDATOOL-34157")</f>
        <v>SDATOOL-34157</v>
      </c>
      <c r="D330" s="4" t="str">
        <f ca="1">IFERROR(__xludf.DUMMYFUNCTION("""COMPUTED_VALUE"""),"Evolutivo Parthnership - Crédito en punto de venta de Aliados")</f>
        <v>Evolutivo Parthnership - Crédito en punto de venta de Aliados</v>
      </c>
      <c r="E330"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0" s="4" t="str">
        <f ca="1">IFERROR(__xludf.DUMMYFUNCTION("""COMPUTED_VALUE"""),"Project")</f>
        <v>Project</v>
      </c>
      <c r="G330" s="4" t="str">
        <f ca="1">IFERROR(__xludf.DUMMYFUNCTION("""COMPUTED_VALUE"""),"Ended")</f>
        <v>Ended</v>
      </c>
      <c r="H330" s="4" t="str">
        <f ca="1">IFERROR(__xludf.DUMMYFUNCTION("""COMPUTED_VALUE"""),"1Q 2023")</f>
        <v>1Q 2023</v>
      </c>
      <c r="I330" s="131" t="str">
        <f ca="1">IFERROR(__xludf.DUMMYFUNCTION("""COMPUTED_VALUE"""),"angie.castaneda-bbva.com")</f>
        <v>angie.castaneda-bbva.com</v>
      </c>
      <c r="J330" s="4"/>
      <c r="K330" s="131" t="str">
        <f ca="1">IFERROR(__xludf.DUMMYFUNCTION("""COMPUTED_VALUE"""),"paolaandrea.guzman-bbva.com")</f>
        <v>paolaandrea.guzman-bbva.com</v>
      </c>
      <c r="L330" s="130">
        <f ca="1">IFERROR(__xludf.DUMMYFUNCTION("""COMPUTED_VALUE"""),0)</f>
        <v>0</v>
      </c>
      <c r="M330" s="130">
        <f ca="1">IFERROR(__xludf.DUMMYFUNCTION("""COMPUTED_VALUE"""),0.85)</f>
        <v>0.85</v>
      </c>
      <c r="N330" s="130">
        <f ca="1">IFERROR(__xludf.DUMMYFUNCTION("""COMPUTED_VALUE"""),2)</f>
        <v>2</v>
      </c>
      <c r="O330" s="4" t="str">
        <f ca="1">IFERROR(__xludf.DUMMYFUNCTION("""COMPUTED_VALUE"""),"Scrum")</f>
        <v>Scrum</v>
      </c>
      <c r="P330" s="4" t="str">
        <f ca="1">IFERROR(__xludf.DUMMYFUNCTION("""COMPUTED_VALUE"""),"The Doors")</f>
        <v>The Doors</v>
      </c>
      <c r="Q330" s="130">
        <f ca="1">IFERROR(__xludf.DUMMYFUNCTION("""COMPUTED_VALUE"""),1)</f>
        <v>1</v>
      </c>
      <c r="R330" s="130" t="str">
        <f ca="1">IFERROR(__xludf.DUMMYFUNCTION("""COMPUTED_VALUE"""),"Payments &amp; Partnerships")</f>
        <v>Payments &amp; Partnerships</v>
      </c>
      <c r="S330" s="130" t="str">
        <f ca="1">IFERROR(__xludf.DUMMYFUNCTION("""COMPUTED_VALUE"""),"Strategic Review")</f>
        <v>Strategic Review</v>
      </c>
      <c r="T330" s="130" t="str">
        <f ca="1">IFERROR(__xludf.DUMMYFUNCTION("""COMPUTED_VALUE"""),"1. Generación de Ingresos")</f>
        <v>1. Generación de Ingresos</v>
      </c>
      <c r="U330" s="130" t="str">
        <f ca="1">IFERROR(__xludf.DUMMYFUNCTION("""COMPUTED_VALUE"""),"1.2. Proyectos de Consumo")</f>
        <v>1.2. Proyectos de Consumo</v>
      </c>
      <c r="V330" s="4" t="str">
        <f ca="1">IFERROR(__xludf.DUMMYFUNCTION("""COMPUTED_VALUE"""),"TPS")</f>
        <v>TPS</v>
      </c>
      <c r="W330" s="4">
        <f ca="1">IFERROR(__xludf.DUMMYFUNCTION("""COMPUTED_VALUE"""),2)</f>
        <v>2</v>
      </c>
      <c r="X330" s="4" t="str">
        <f ca="1">IFERROR(__xludf.DUMMYFUNCTION("""COMPUTED_VALUE"""),"01. Open Market &amp; Partnerships")</f>
        <v>01. Open Market &amp; Partnerships</v>
      </c>
      <c r="Y330" s="4" t="str">
        <f ca="1">IFERROR(__xludf.DUMMYFUNCTION("""COMPUTED_VALUE"""),"5.4.1 Partnerships &amp; OB")</f>
        <v>5.4.1 Partnerships &amp; OB</v>
      </c>
      <c r="Z330" s="132" t="str">
        <f ca="1">IFERROR(__xludf.DUMMYFUNCTION("""COMPUTED_VALUE"""),"492063")</f>
        <v>492063</v>
      </c>
      <c r="AA330" s="4" t="str">
        <f ca="1">IFERROR(__xludf.DUMMYFUNCTION("""COMPUTED_VALUE"""),"Eliminación campos por defectos del scoring y datos de la empresa")</f>
        <v>Eliminación campos por defectos del scoring y datos de la empresa</v>
      </c>
      <c r="AB330" s="4" t="str">
        <f ca="1">IFERROR(__xludf.DUMMYFUNCTION("""COMPUTED_VALUE"""),"3) Eliminación campos por defectos del scoring y datos de la empresa")</f>
        <v>3) Eliminación campos por defectos del scoring y datos de la empresa</v>
      </c>
      <c r="AC330" s="4" t="str">
        <f ca="1">IFERROR(__xludf.DUMMYFUNCTION("""COMPUTED_VALUE"""),"3Q 2022")</f>
        <v>3Q 2022</v>
      </c>
      <c r="AD330" s="128">
        <f ca="1">IFERROR(__xludf.DUMMYFUNCTION("""COMPUTED_VALUE"""),44530)</f>
        <v>44530</v>
      </c>
      <c r="AE330" s="128">
        <f ca="1">IFERROR(__xludf.DUMMYFUNCTION("""COMPUTED_VALUE"""),44561)</f>
        <v>44561</v>
      </c>
      <c r="AF330" s="128">
        <f ca="1">IFERROR(__xludf.DUMMYFUNCTION("""COMPUTED_VALUE"""),44591)</f>
        <v>44591</v>
      </c>
      <c r="AG330" s="128">
        <f ca="1">IFERROR(__xludf.DUMMYFUNCTION("""COMPUTED_VALUE"""),44681)</f>
        <v>44681</v>
      </c>
      <c r="AH330" s="128">
        <f ca="1">IFERROR(__xludf.DUMMYFUNCTION("""COMPUTED_VALUE"""),44682)</f>
        <v>44682</v>
      </c>
      <c r="AI330" s="128">
        <f ca="1">IFERROR(__xludf.DUMMYFUNCTION("""COMPUTED_VALUE"""),44712)</f>
        <v>44712</v>
      </c>
      <c r="AJ330" s="128">
        <f ca="1">IFERROR(__xludf.DUMMYFUNCTION("""COMPUTED_VALUE"""),44742)</f>
        <v>44742</v>
      </c>
      <c r="AK330" s="131" t="str">
        <f ca="1">IFERROR(__xludf.DUMMYFUNCTION("""COMPUTED_VALUE"""),"CCSS-15566")</f>
        <v>CCSS-15566</v>
      </c>
      <c r="AL330" s="4" t="str">
        <f ca="1">IFERROR(__xludf.DUMMYFUNCTION("""COMPUTED_VALUE"""),"Deployed")</f>
        <v>Deployed</v>
      </c>
      <c r="AM330" s="4" t="str">
        <f ca="1">IFERROR(__xludf.DUMMYFUNCTION("""COMPUTED_VALUE"""),"En producción, se instaló el 27/Jul. ")</f>
        <v xml:space="preserve">En producción, se instaló el 27/Jul. </v>
      </c>
      <c r="AN330" s="4" t="str">
        <f ca="1">IFERROR(__xludf.DUMMYFUNCTION("""COMPUTED_VALUE"""),"Finalizado")</f>
        <v>Finalizado</v>
      </c>
      <c r="AO330" s="4" t="str">
        <f ca="1">IFERROR(__xludf.DUMMYFUNCTION("""COMPUTED_VALUE"""),"Consumo partnerships")</f>
        <v>Consumo partnerships</v>
      </c>
      <c r="AP330" s="4"/>
      <c r="AQ330" s="4"/>
      <c r="AR330" s="4" t="str">
        <f ca="1">IFERROR(__xludf.DUMMYFUNCTION("""COMPUTED_VALUE"""),"SDA aprobada en PPP Q1 2023")</f>
        <v>SDA aprobada en PPP Q1 2023</v>
      </c>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133">
        <f ca="1">IFERROR(__xludf.DUMMYFUNCTION("""COMPUTED_VALUE"""),0)</f>
        <v>0</v>
      </c>
      <c r="DV330" s="133">
        <f ca="1">IFERROR(__xludf.DUMMYFUNCTION("""COMPUTED_VALUE"""),0)</f>
        <v>0</v>
      </c>
      <c r="DW330" s="133">
        <f ca="1">IFERROR(__xludf.DUMMYFUNCTION("""COMPUTED_VALUE"""),0)</f>
        <v>0</v>
      </c>
      <c r="DX330" s="133">
        <f ca="1">IFERROR(__xludf.DUMMYFUNCTION("""COMPUTED_VALUE"""),158446955)</f>
        <v>158446955</v>
      </c>
      <c r="DY330" s="133">
        <f ca="1">IFERROR(__xludf.DUMMYFUNCTION("""COMPUTED_VALUE"""),0)</f>
        <v>0</v>
      </c>
      <c r="DZ330" s="133">
        <f ca="1">IFERROR(__xludf.DUMMYFUNCTION("""COMPUTED_VALUE"""),158446955)</f>
        <v>158446955</v>
      </c>
      <c r="EA330" s="4"/>
      <c r="EB330" s="4"/>
    </row>
    <row r="331" spans="1:132" x14ac:dyDescent="0.2">
      <c r="A331" s="4">
        <f ca="1">IFERROR(__xludf.DUMMYFUNCTION("""COMPUTED_VALUE"""),331)</f>
        <v>331</v>
      </c>
      <c r="B331" s="4">
        <f ca="1">IFERROR(__xludf.DUMMYFUNCTION("""COMPUTED_VALUE"""),308)</f>
        <v>308</v>
      </c>
      <c r="C331" s="4" t="str">
        <f ca="1">IFERROR(__xludf.DUMMYFUNCTION("""COMPUTED_VALUE"""),"SDATOOL-34157")</f>
        <v>SDATOOL-34157</v>
      </c>
      <c r="D331" s="4" t="str">
        <f ca="1">IFERROR(__xludf.DUMMYFUNCTION("""COMPUTED_VALUE"""),"Evolutivo Parthnership - Crédito en punto de venta de Aliados")</f>
        <v>Evolutivo Parthnership - Crédito en punto de venta de Aliados</v>
      </c>
      <c r="E331"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1" s="4" t="str">
        <f ca="1">IFERROR(__xludf.DUMMYFUNCTION("""COMPUTED_VALUE"""),"Project")</f>
        <v>Project</v>
      </c>
      <c r="G331" s="4" t="str">
        <f ca="1">IFERROR(__xludf.DUMMYFUNCTION("""COMPUTED_VALUE"""),"Ended")</f>
        <v>Ended</v>
      </c>
      <c r="H331" s="4" t="str">
        <f ca="1">IFERROR(__xludf.DUMMYFUNCTION("""COMPUTED_VALUE"""),"1Q 2023")</f>
        <v>1Q 2023</v>
      </c>
      <c r="I331" s="131" t="str">
        <f ca="1">IFERROR(__xludf.DUMMYFUNCTION("""COMPUTED_VALUE"""),"angie.castaneda-bbva.com")</f>
        <v>angie.castaneda-bbva.com</v>
      </c>
      <c r="J331" s="4"/>
      <c r="K331" s="131" t="str">
        <f ca="1">IFERROR(__xludf.DUMMYFUNCTION("""COMPUTED_VALUE"""),"paolaandrea.guzman-bbva.com")</f>
        <v>paolaandrea.guzman-bbva.com</v>
      </c>
      <c r="L331" s="4"/>
      <c r="M331" s="4"/>
      <c r="N331" s="4"/>
      <c r="O331" s="4" t="str">
        <f ca="1">IFERROR(__xludf.DUMMYFUNCTION("""COMPUTED_VALUE"""),"Scrum")</f>
        <v>Scrum</v>
      </c>
      <c r="P331" s="4" t="str">
        <f ca="1">IFERROR(__xludf.DUMMYFUNCTION("""COMPUTED_VALUE"""),"The Doors")</f>
        <v>The Doors</v>
      </c>
      <c r="Q331" s="4"/>
      <c r="R331" s="130" t="str">
        <f ca="1">IFERROR(__xludf.DUMMYFUNCTION("""COMPUTED_VALUE"""),"Payments &amp; Partnerships")</f>
        <v>Payments &amp; Partnerships</v>
      </c>
      <c r="S331" s="130" t="str">
        <f ca="1">IFERROR(__xludf.DUMMYFUNCTION("""COMPUTED_VALUE"""),"Strategic Review")</f>
        <v>Strategic Review</v>
      </c>
      <c r="T331" s="130" t="str">
        <f ca="1">IFERROR(__xludf.DUMMYFUNCTION("""COMPUTED_VALUE"""),"1. Generación de Ingresos")</f>
        <v>1. Generación de Ingresos</v>
      </c>
      <c r="U331" s="130" t="str">
        <f ca="1">IFERROR(__xludf.DUMMYFUNCTION("""COMPUTED_VALUE"""),"1.2. Proyectos de Consumo")</f>
        <v>1.2. Proyectos de Consumo</v>
      </c>
      <c r="V331" s="4" t="str">
        <f ca="1">IFERROR(__xludf.DUMMYFUNCTION("""COMPUTED_VALUE"""),"TPS")</f>
        <v>TPS</v>
      </c>
      <c r="W331" s="4">
        <f ca="1">IFERROR(__xludf.DUMMYFUNCTION("""COMPUTED_VALUE"""),2)</f>
        <v>2</v>
      </c>
      <c r="X331" s="4" t="str">
        <f ca="1">IFERROR(__xludf.DUMMYFUNCTION("""COMPUTED_VALUE"""),"01. Open Market &amp; Partnerships")</f>
        <v>01. Open Market &amp; Partnerships</v>
      </c>
      <c r="Y331" s="4" t="str">
        <f ca="1">IFERROR(__xludf.DUMMYFUNCTION("""COMPUTED_VALUE"""),"5.4.1 Partnerships &amp; OB")</f>
        <v>5.4.1 Partnerships &amp; OB</v>
      </c>
      <c r="Z331" s="132" t="str">
        <f ca="1">IFERROR(__xludf.DUMMYFUNCTION("""COMPUTED_VALUE"""),"173801")</f>
        <v>173801</v>
      </c>
      <c r="AA331" s="4" t="str">
        <f ca="1">IFERROR(__xludf.DUMMYFUNCTION("""COMPUTED_VALUE"""),"Integración predictor de ingresos campos declarativos SOI/APL")</f>
        <v>Integración predictor de ingresos campos declarativos SOI/APL</v>
      </c>
      <c r="AB331" s="4" t="str">
        <f ca="1">IFERROR(__xludf.DUMMYFUNCTION("""COMPUTED_VALUE"""),"Integración predictor de ingresos campos declarativos SOI/APL")</f>
        <v>Integración predictor de ingresos campos declarativos SOI/APL</v>
      </c>
      <c r="AC331" s="4" t="str">
        <f ca="1">IFERROR(__xludf.DUMMYFUNCTION("""COMPUTED_VALUE"""),"3Q 2021")</f>
        <v>3Q 2021</v>
      </c>
      <c r="AD331" s="128">
        <f ca="1">IFERROR(__xludf.DUMMYFUNCTION("""COMPUTED_VALUE"""),44136)</f>
        <v>44136</v>
      </c>
      <c r="AE331" s="128">
        <f ca="1">IFERROR(__xludf.DUMMYFUNCTION("""COMPUTED_VALUE"""),44196)</f>
        <v>44196</v>
      </c>
      <c r="AF331" s="128">
        <f ca="1">IFERROR(__xludf.DUMMYFUNCTION("""COMPUTED_VALUE"""),44470)</f>
        <v>44470</v>
      </c>
      <c r="AG331" s="128">
        <f ca="1">IFERROR(__xludf.DUMMYFUNCTION("""COMPUTED_VALUE"""),44561)</f>
        <v>44561</v>
      </c>
      <c r="AH331" s="128">
        <f ca="1">IFERROR(__xludf.DUMMYFUNCTION("""COMPUTED_VALUE"""),44562)</f>
        <v>44562</v>
      </c>
      <c r="AI331" s="128">
        <f ca="1">IFERROR(__xludf.DUMMYFUNCTION("""COMPUTED_VALUE"""),44592)</f>
        <v>44592</v>
      </c>
      <c r="AJ331" s="128">
        <f ca="1">IFERROR(__xludf.DUMMYFUNCTION("""COMPUTED_VALUE"""),44593)</f>
        <v>44593</v>
      </c>
      <c r="AK331" s="4" t="str">
        <f ca="1">IFERROR(__xludf.DUMMYFUNCTION("""COMPUTED_VALUE"""),"Sin asignar")</f>
        <v>Sin asignar</v>
      </c>
      <c r="AL331" s="4" t="str">
        <f ca="1">IFERROR(__xludf.DUMMYFUNCTION("""COMPUTED_VALUE"""),"Sin asignar")</f>
        <v>Sin asignar</v>
      </c>
      <c r="AM331" s="4" t="str">
        <f ca="1">IFERROR(__xludf.DUMMYFUNCTION("""COMPUTED_VALUE"""),"En producción")</f>
        <v>En producción</v>
      </c>
      <c r="AN331" s="4" t="str">
        <f ca="1">IFERROR(__xludf.DUMMYFUNCTION("""COMPUTED_VALUE"""),"Finalizado")</f>
        <v>Finalizado</v>
      </c>
      <c r="AO331" s="4" t="str">
        <f ca="1">IFERROR(__xludf.DUMMYFUNCTION("""COMPUTED_VALUE"""),"Consumo partnerships")</f>
        <v>Consumo partnerships</v>
      </c>
      <c r="AP331" s="4"/>
      <c r="AQ331" s="4"/>
      <c r="AR331" s="4" t="str">
        <f ca="1">IFERROR(__xludf.DUMMYFUNCTION("""COMPUTED_VALUE"""),"SDA aprobada en PPP Q1 2023")</f>
        <v>SDA aprobada en PPP Q1 2023</v>
      </c>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row>
    <row r="332" spans="1:132" x14ac:dyDescent="0.2">
      <c r="A332" s="4">
        <f ca="1">IFERROR(__xludf.DUMMYFUNCTION("""COMPUTED_VALUE"""),332)</f>
        <v>332</v>
      </c>
      <c r="B332" s="4">
        <f ca="1">IFERROR(__xludf.DUMMYFUNCTION("""COMPUTED_VALUE"""),309)</f>
        <v>309</v>
      </c>
      <c r="C332" s="4" t="str">
        <f ca="1">IFERROR(__xludf.DUMMYFUNCTION("""COMPUTED_VALUE"""),"SDATOOL-34157")</f>
        <v>SDATOOL-34157</v>
      </c>
      <c r="D332" s="4" t="str">
        <f ca="1">IFERROR(__xludf.DUMMYFUNCTION("""COMPUTED_VALUE"""),"Evolutivo Parthnership - Crédito en punto de venta de Aliados")</f>
        <v>Evolutivo Parthnership - Crédito en punto de venta de Aliados</v>
      </c>
      <c r="E332"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2" s="4" t="str">
        <f ca="1">IFERROR(__xludf.DUMMYFUNCTION("""COMPUTED_VALUE"""),"Project")</f>
        <v>Project</v>
      </c>
      <c r="G332" s="4" t="str">
        <f ca="1">IFERROR(__xludf.DUMMYFUNCTION("""COMPUTED_VALUE"""),"Ended")</f>
        <v>Ended</v>
      </c>
      <c r="H332" s="4" t="str">
        <f ca="1">IFERROR(__xludf.DUMMYFUNCTION("""COMPUTED_VALUE"""),"1Q 2023")</f>
        <v>1Q 2023</v>
      </c>
      <c r="I332" s="131" t="str">
        <f ca="1">IFERROR(__xludf.DUMMYFUNCTION("""COMPUTED_VALUE"""),"angie.castaneda-bbva.com")</f>
        <v>angie.castaneda-bbva.com</v>
      </c>
      <c r="J332" s="4"/>
      <c r="K332" s="131" t="str">
        <f ca="1">IFERROR(__xludf.DUMMYFUNCTION("""COMPUTED_VALUE"""),"paolaandrea.guzman-bbva.com")</f>
        <v>paolaandrea.guzman-bbva.com</v>
      </c>
      <c r="L332" s="4"/>
      <c r="M332" s="4"/>
      <c r="N332" s="4"/>
      <c r="O332" s="4" t="str">
        <f ca="1">IFERROR(__xludf.DUMMYFUNCTION("""COMPUTED_VALUE"""),"Scrum")</f>
        <v>Scrum</v>
      </c>
      <c r="P332" s="4" t="str">
        <f ca="1">IFERROR(__xludf.DUMMYFUNCTION("""COMPUTED_VALUE"""),"The Doors")</f>
        <v>The Doors</v>
      </c>
      <c r="Q332" s="4"/>
      <c r="R332" s="130" t="str">
        <f ca="1">IFERROR(__xludf.DUMMYFUNCTION("""COMPUTED_VALUE"""),"Payments &amp; Partnerships")</f>
        <v>Payments &amp; Partnerships</v>
      </c>
      <c r="S332" s="130" t="str">
        <f ca="1">IFERROR(__xludf.DUMMYFUNCTION("""COMPUTED_VALUE"""),"Strategic Review")</f>
        <v>Strategic Review</v>
      </c>
      <c r="T332" s="130" t="str">
        <f ca="1">IFERROR(__xludf.DUMMYFUNCTION("""COMPUTED_VALUE"""),"1. Generación de Ingresos")</f>
        <v>1. Generación de Ingresos</v>
      </c>
      <c r="U332" s="130" t="str">
        <f ca="1">IFERROR(__xludf.DUMMYFUNCTION("""COMPUTED_VALUE"""),"1.2. Proyectos de Consumo")</f>
        <v>1.2. Proyectos de Consumo</v>
      </c>
      <c r="V332" s="4" t="str">
        <f ca="1">IFERROR(__xludf.DUMMYFUNCTION("""COMPUTED_VALUE"""),"TPS")</f>
        <v>TPS</v>
      </c>
      <c r="W332" s="4">
        <f ca="1">IFERROR(__xludf.DUMMYFUNCTION("""COMPUTED_VALUE"""),2)</f>
        <v>2</v>
      </c>
      <c r="X332" s="4" t="str">
        <f ca="1">IFERROR(__xludf.DUMMYFUNCTION("""COMPUTED_VALUE"""),"01. Open Market &amp; Partnerships")</f>
        <v>01. Open Market &amp; Partnerships</v>
      </c>
      <c r="Y332" s="4" t="str">
        <f ca="1">IFERROR(__xludf.DUMMYFUNCTION("""COMPUTED_VALUE"""),"5.4.1 Partnerships &amp; OB")</f>
        <v>5.4.1 Partnerships &amp; OB</v>
      </c>
      <c r="Z332" s="132" t="str">
        <f ca="1">IFERROR(__xludf.DUMMYFUNCTION("""COMPUTED_VALUE"""),"492062")</f>
        <v>492062</v>
      </c>
      <c r="AA332" s="4" t="str">
        <f ca="1">IFERROR(__xludf.DUMMYFUNCTION("""COMPUTED_VALUE"""),"Modificación  Informe Avisor con migración a SFTPS")</f>
        <v>Modificación  Informe Avisor con migración a SFTPS</v>
      </c>
      <c r="AB332" s="4" t="str">
        <f ca="1">IFERROR(__xludf.DUMMYFUNCTION("""COMPUTED_VALUE"""),"1) Modificación  Informe Avisor con migración a SFTPS")</f>
        <v>1) Modificación  Informe Avisor con migración a SFTPS</v>
      </c>
      <c r="AC332" s="4" t="str">
        <f ca="1">IFERROR(__xludf.DUMMYFUNCTION("""COMPUTED_VALUE"""),"1Q 2022")</f>
        <v>1Q 2022</v>
      </c>
      <c r="AD332" s="128">
        <f ca="1">IFERROR(__xludf.DUMMYFUNCTION("""COMPUTED_VALUE"""),44348)</f>
        <v>44348</v>
      </c>
      <c r="AE332" s="128">
        <f ca="1">IFERROR(__xludf.DUMMYFUNCTION("""COMPUTED_VALUE"""),44377)</f>
        <v>44377</v>
      </c>
      <c r="AF332" s="128">
        <f ca="1">IFERROR(__xludf.DUMMYFUNCTION("""COMPUTED_VALUE"""),44378)</f>
        <v>44378</v>
      </c>
      <c r="AG332" s="128">
        <f ca="1">IFERROR(__xludf.DUMMYFUNCTION("""COMPUTED_VALUE"""),44408)</f>
        <v>44408</v>
      </c>
      <c r="AH332" s="128">
        <f ca="1">IFERROR(__xludf.DUMMYFUNCTION("""COMPUTED_VALUE"""),44409)</f>
        <v>44409</v>
      </c>
      <c r="AI332" s="128">
        <f ca="1">IFERROR(__xludf.DUMMYFUNCTION("""COMPUTED_VALUE"""),44439)</f>
        <v>44439</v>
      </c>
      <c r="AJ332" s="128">
        <f ca="1">IFERROR(__xludf.DUMMYFUNCTION("""COMPUTED_VALUE"""),44469)</f>
        <v>44469</v>
      </c>
      <c r="AK332" s="4" t="str">
        <f ca="1">IFERROR(__xludf.DUMMYFUNCTION("""COMPUTED_VALUE"""),"Sin asignar")</f>
        <v>Sin asignar</v>
      </c>
      <c r="AL332" s="4" t="str">
        <f ca="1">IFERROR(__xludf.DUMMYFUNCTION("""COMPUTED_VALUE"""),"Sin asignar")</f>
        <v>Sin asignar</v>
      </c>
      <c r="AM332" s="4" t="str">
        <f ca="1">IFERROR(__xludf.DUMMYFUNCTION("""COMPUTED_VALUE"""),"En producción")</f>
        <v>En producción</v>
      </c>
      <c r="AN332" s="4" t="str">
        <f ca="1">IFERROR(__xludf.DUMMYFUNCTION("""COMPUTED_VALUE"""),"Finalizado")</f>
        <v>Finalizado</v>
      </c>
      <c r="AO332" s="4" t="str">
        <f ca="1">IFERROR(__xludf.DUMMYFUNCTION("""COMPUTED_VALUE"""),"Consumo partnerships")</f>
        <v>Consumo partnerships</v>
      </c>
      <c r="AP332" s="4"/>
      <c r="AQ332" s="4"/>
      <c r="AR332" s="4" t="str">
        <f ca="1">IFERROR(__xludf.DUMMYFUNCTION("""COMPUTED_VALUE"""),"SDA aprobada en PPP Q1 2023")</f>
        <v>SDA aprobada en PPP Q1 2023</v>
      </c>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row>
    <row r="333" spans="1:132" x14ac:dyDescent="0.2">
      <c r="A333" s="4">
        <f ca="1">IFERROR(__xludf.DUMMYFUNCTION("""COMPUTED_VALUE"""),333)</f>
        <v>333</v>
      </c>
      <c r="B333" s="4">
        <f ca="1">IFERROR(__xludf.DUMMYFUNCTION("""COMPUTED_VALUE"""),310)</f>
        <v>310</v>
      </c>
      <c r="C333" s="4" t="str">
        <f ca="1">IFERROR(__xludf.DUMMYFUNCTION("""COMPUTED_VALUE"""),"SDATOOL-34157")</f>
        <v>SDATOOL-34157</v>
      </c>
      <c r="D333" s="4" t="str">
        <f ca="1">IFERROR(__xludf.DUMMYFUNCTION("""COMPUTED_VALUE"""),"Evolutivo Parthnership - Crédito en punto de venta de Aliados")</f>
        <v>Evolutivo Parthnership - Crédito en punto de venta de Aliados</v>
      </c>
      <c r="E333"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3" s="4" t="str">
        <f ca="1">IFERROR(__xludf.DUMMYFUNCTION("""COMPUTED_VALUE"""),"Project")</f>
        <v>Project</v>
      </c>
      <c r="G333" s="4" t="str">
        <f ca="1">IFERROR(__xludf.DUMMYFUNCTION("""COMPUTED_VALUE"""),"Ended")</f>
        <v>Ended</v>
      </c>
      <c r="H333" s="4" t="str">
        <f ca="1">IFERROR(__xludf.DUMMYFUNCTION("""COMPUTED_VALUE"""),"1Q 2023")</f>
        <v>1Q 2023</v>
      </c>
      <c r="I333" s="131" t="str">
        <f ca="1">IFERROR(__xludf.DUMMYFUNCTION("""COMPUTED_VALUE"""),"angie.castaneda-bbva.com")</f>
        <v>angie.castaneda-bbva.com</v>
      </c>
      <c r="J333" s="4"/>
      <c r="K333" s="131" t="str">
        <f ca="1">IFERROR(__xludf.DUMMYFUNCTION("""COMPUTED_VALUE"""),"paolaandrea.guzman-bbva.com")</f>
        <v>paolaandrea.guzman-bbva.com</v>
      </c>
      <c r="L333" s="4"/>
      <c r="M333" s="4"/>
      <c r="N333" s="4"/>
      <c r="O333" s="4" t="str">
        <f ca="1">IFERROR(__xludf.DUMMYFUNCTION("""COMPUTED_VALUE"""),"Scrum")</f>
        <v>Scrum</v>
      </c>
      <c r="P333" s="4" t="str">
        <f ca="1">IFERROR(__xludf.DUMMYFUNCTION("""COMPUTED_VALUE"""),"The Doors")</f>
        <v>The Doors</v>
      </c>
      <c r="Q333" s="4"/>
      <c r="R333" s="130" t="str">
        <f ca="1">IFERROR(__xludf.DUMMYFUNCTION("""COMPUTED_VALUE"""),"Payments &amp; Partnerships")</f>
        <v>Payments &amp; Partnerships</v>
      </c>
      <c r="S333" s="130" t="str">
        <f ca="1">IFERROR(__xludf.DUMMYFUNCTION("""COMPUTED_VALUE"""),"Strategic Review")</f>
        <v>Strategic Review</v>
      </c>
      <c r="T333" s="130" t="str">
        <f ca="1">IFERROR(__xludf.DUMMYFUNCTION("""COMPUTED_VALUE"""),"1. Generación de Ingresos")</f>
        <v>1. Generación de Ingresos</v>
      </c>
      <c r="U333" s="130" t="str">
        <f ca="1">IFERROR(__xludf.DUMMYFUNCTION("""COMPUTED_VALUE"""),"1.2. Proyectos de Consumo")</f>
        <v>1.2. Proyectos de Consumo</v>
      </c>
      <c r="V333" s="4" t="str">
        <f ca="1">IFERROR(__xludf.DUMMYFUNCTION("""COMPUTED_VALUE"""),"TPS")</f>
        <v>TPS</v>
      </c>
      <c r="W333" s="4">
        <f ca="1">IFERROR(__xludf.DUMMYFUNCTION("""COMPUTED_VALUE"""),2)</f>
        <v>2</v>
      </c>
      <c r="X333" s="4" t="str">
        <f ca="1">IFERROR(__xludf.DUMMYFUNCTION("""COMPUTED_VALUE"""),"01. Open Market &amp; Partnerships")</f>
        <v>01. Open Market &amp; Partnerships</v>
      </c>
      <c r="Y333" s="4" t="str">
        <f ca="1">IFERROR(__xludf.DUMMYFUNCTION("""COMPUTED_VALUE"""),"5.4.1 Partnerships &amp; OB")</f>
        <v>5.4.1 Partnerships &amp; OB</v>
      </c>
      <c r="Z333" s="132" t="str">
        <f ca="1">IFERROR(__xludf.DUMMYFUNCTION("""COMPUTED_VALUE"""),"262668")</f>
        <v>262668</v>
      </c>
      <c r="AA333" s="4" t="str">
        <f ca="1">IFERROR(__xludf.DUMMYFUNCTION("""COMPUTED_VALUE"""),"Modificación  Informe Avisor- Allianz")</f>
        <v>Modificación  Informe Avisor- Allianz</v>
      </c>
      <c r="AB333" s="4" t="str">
        <f ca="1">IFERROR(__xludf.DUMMYFUNCTION("""COMPUTED_VALUE"""),"Enviar la información de altas al aplicativo de Allianz con el fin de poder realizar las conciliaciones necesarias")</f>
        <v>Enviar la información de altas al aplicativo de Allianz con el fin de poder realizar las conciliaciones necesarias</v>
      </c>
      <c r="AC333" s="4" t="str">
        <f ca="1">IFERROR(__xludf.DUMMYFUNCTION("""COMPUTED_VALUE"""),"2Q 2022")</f>
        <v>2Q 2022</v>
      </c>
      <c r="AD333" s="4"/>
      <c r="AE333" s="4"/>
      <c r="AF333" s="4"/>
      <c r="AG333" s="4"/>
      <c r="AH333" s="4"/>
      <c r="AI333" s="4"/>
      <c r="AJ333" s="4"/>
      <c r="AK333" s="131" t="str">
        <f ca="1">IFERROR(__xludf.DUMMYFUNCTION("""COMPUTED_VALUE"""),"CCSS-6820")</f>
        <v>CCSS-6820</v>
      </c>
      <c r="AL333" s="4" t="str">
        <f ca="1">IFERROR(__xludf.DUMMYFUNCTION("""COMPUTED_VALUE"""),"Deployed")</f>
        <v>Deployed</v>
      </c>
      <c r="AM333" s="4" t="str">
        <f ca="1">IFERROR(__xludf.DUMMYFUNCTION("""COMPUTED_VALUE"""),"En producción")</f>
        <v>En producción</v>
      </c>
      <c r="AN333" s="4" t="str">
        <f ca="1">IFERROR(__xludf.DUMMYFUNCTION("""COMPUTED_VALUE"""),"Finalizado")</f>
        <v>Finalizado</v>
      </c>
      <c r="AO333" s="4" t="str">
        <f ca="1">IFERROR(__xludf.DUMMYFUNCTION("""COMPUTED_VALUE"""),"Consumo partnerships")</f>
        <v>Consumo partnerships</v>
      </c>
      <c r="AP333" s="4"/>
      <c r="AQ333" s="4"/>
      <c r="AR333" s="4" t="str">
        <f ca="1">IFERROR(__xludf.DUMMYFUNCTION("""COMPUTED_VALUE"""),"SDA aprobada en PPP Q1 2023")</f>
        <v>SDA aprobada en PPP Q1 2023</v>
      </c>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row>
    <row r="334" spans="1:132" x14ac:dyDescent="0.2">
      <c r="A334" s="4">
        <f ca="1">IFERROR(__xludf.DUMMYFUNCTION("""COMPUTED_VALUE"""),334)</f>
        <v>334</v>
      </c>
      <c r="B334" s="4">
        <f ca="1">IFERROR(__xludf.DUMMYFUNCTION("""COMPUTED_VALUE"""),311)</f>
        <v>311</v>
      </c>
      <c r="C334" s="4" t="str">
        <f ca="1">IFERROR(__xludf.DUMMYFUNCTION("""COMPUTED_VALUE"""),"SDATOOL-34157")</f>
        <v>SDATOOL-34157</v>
      </c>
      <c r="D334" s="4" t="str">
        <f ca="1">IFERROR(__xludf.DUMMYFUNCTION("""COMPUTED_VALUE"""),"Evolutivo Parthnership - Crédito en punto de venta de Aliados")</f>
        <v>Evolutivo Parthnership - Crédito en punto de venta de Aliados</v>
      </c>
      <c r="E334"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4" s="4" t="str">
        <f ca="1">IFERROR(__xludf.DUMMYFUNCTION("""COMPUTED_VALUE"""),"Project")</f>
        <v>Project</v>
      </c>
      <c r="G334" s="4" t="str">
        <f ca="1">IFERROR(__xludf.DUMMYFUNCTION("""COMPUTED_VALUE"""),"Ended")</f>
        <v>Ended</v>
      </c>
      <c r="H334" s="4" t="str">
        <f ca="1">IFERROR(__xludf.DUMMYFUNCTION("""COMPUTED_VALUE"""),"1Q 2023")</f>
        <v>1Q 2023</v>
      </c>
      <c r="I334" s="131" t="str">
        <f ca="1">IFERROR(__xludf.DUMMYFUNCTION("""COMPUTED_VALUE"""),"angie.castaneda-bbva.com")</f>
        <v>angie.castaneda-bbva.com</v>
      </c>
      <c r="J334" s="4"/>
      <c r="K334" s="131" t="str">
        <f ca="1">IFERROR(__xludf.DUMMYFUNCTION("""COMPUTED_VALUE"""),"paolaandrea.guzman-bbva.com")</f>
        <v>paolaandrea.guzman-bbva.com</v>
      </c>
      <c r="L334" s="4"/>
      <c r="M334" s="4"/>
      <c r="N334" s="4"/>
      <c r="O334" s="4" t="str">
        <f ca="1">IFERROR(__xludf.DUMMYFUNCTION("""COMPUTED_VALUE"""),"Scrum")</f>
        <v>Scrum</v>
      </c>
      <c r="P334" s="4" t="str">
        <f ca="1">IFERROR(__xludf.DUMMYFUNCTION("""COMPUTED_VALUE"""),"The Doors")</f>
        <v>The Doors</v>
      </c>
      <c r="Q334" s="4"/>
      <c r="R334" s="130" t="str">
        <f ca="1">IFERROR(__xludf.DUMMYFUNCTION("""COMPUTED_VALUE"""),"Payments &amp; Partnerships")</f>
        <v>Payments &amp; Partnerships</v>
      </c>
      <c r="S334" s="130" t="str">
        <f ca="1">IFERROR(__xludf.DUMMYFUNCTION("""COMPUTED_VALUE"""),"Strategic Review")</f>
        <v>Strategic Review</v>
      </c>
      <c r="T334" s="130" t="str">
        <f ca="1">IFERROR(__xludf.DUMMYFUNCTION("""COMPUTED_VALUE"""),"1. Generación de Ingresos")</f>
        <v>1. Generación de Ingresos</v>
      </c>
      <c r="U334" s="130" t="str">
        <f ca="1">IFERROR(__xludf.DUMMYFUNCTION("""COMPUTED_VALUE"""),"1.2. Proyectos de Consumo")</f>
        <v>1.2. Proyectos de Consumo</v>
      </c>
      <c r="V334" s="4" t="str">
        <f ca="1">IFERROR(__xludf.DUMMYFUNCTION("""COMPUTED_VALUE"""),"TPS")</f>
        <v>TPS</v>
      </c>
      <c r="W334" s="4">
        <f ca="1">IFERROR(__xludf.DUMMYFUNCTION("""COMPUTED_VALUE"""),2)</f>
        <v>2</v>
      </c>
      <c r="X334" s="4" t="str">
        <f ca="1">IFERROR(__xludf.DUMMYFUNCTION("""COMPUTED_VALUE"""),"01. Open Market &amp; Partnerships")</f>
        <v>01. Open Market &amp; Partnerships</v>
      </c>
      <c r="Y334" s="4" t="str">
        <f ca="1">IFERROR(__xludf.DUMMYFUNCTION("""COMPUTED_VALUE"""),"5.4.1 Partnerships &amp; OB")</f>
        <v>5.4.1 Partnerships &amp; OB</v>
      </c>
      <c r="Z334" s="132" t="str">
        <f ca="1">IFERROR(__xludf.DUMMYFUNCTION("""COMPUTED_VALUE"""),"626313")</f>
        <v>626313</v>
      </c>
      <c r="AA334" s="4" t="str">
        <f ca="1">IFERROR(__xludf.DUMMYFUNCTION("""COMPUTED_VALUE"""),"Mejoras de UX y backend")</f>
        <v>Mejoras de UX y backend</v>
      </c>
      <c r="AB334" s="4" t="str">
        <f ca="1">IFERROR(__xludf.DUMMYFUNCTION("""COMPUTED_VALUE"""),"Integración Mejoras de UX y backend al proceso de aprobación de crédito de consumo y aliados.")</f>
        <v>Integración Mejoras de UX y backend al proceso de aprobación de crédito de consumo y aliados.</v>
      </c>
      <c r="AC334" s="4" t="str">
        <f ca="1">IFERROR(__xludf.DUMMYFUNCTION("""COMPUTED_VALUE"""),"1Q 2023")</f>
        <v>1Q 2023</v>
      </c>
      <c r="AD334" s="4"/>
      <c r="AE334" s="4"/>
      <c r="AF334" s="4"/>
      <c r="AG334" s="4"/>
      <c r="AH334" s="4"/>
      <c r="AI334" s="4"/>
      <c r="AJ334" s="4"/>
      <c r="AK334" s="131" t="str">
        <f ca="1">IFERROR(__xludf.DUMMYFUNCTION("""COMPUTED_VALUE"""),"COLWSPREST-7326")</f>
        <v>COLWSPREST-7326</v>
      </c>
      <c r="AL334" s="4" t="str">
        <f ca="1">IFERROR(__xludf.DUMMYFUNCTION("""COMPUTED_VALUE"""),"Deployed")</f>
        <v>Deployed</v>
      </c>
      <c r="AM334" s="4"/>
      <c r="AN334" s="4" t="str">
        <f ca="1">IFERROR(__xludf.DUMMYFUNCTION("""COMPUTED_VALUE"""),"Finalizado")</f>
        <v>Finalizado</v>
      </c>
      <c r="AO334" s="4" t="str">
        <f ca="1">IFERROR(__xludf.DUMMYFUNCTION("""COMPUTED_VALUE"""),"Consumo partnerships")</f>
        <v>Consumo partnerships</v>
      </c>
      <c r="AP334" s="4"/>
      <c r="AQ334" s="4"/>
      <c r="AR334" s="4" t="str">
        <f ca="1">IFERROR(__xludf.DUMMYFUNCTION("""COMPUTED_VALUE"""),"SDA aprobada en PPP Q1 2023")</f>
        <v>SDA aprobada en PPP Q1 2023</v>
      </c>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row>
    <row r="335" spans="1:132" x14ac:dyDescent="0.2">
      <c r="A335" s="4">
        <f ca="1">IFERROR(__xludf.DUMMYFUNCTION("""COMPUTED_VALUE"""),335)</f>
        <v>335</v>
      </c>
      <c r="B335" s="4">
        <f ca="1">IFERROR(__xludf.DUMMYFUNCTION("""COMPUTED_VALUE"""),312)</f>
        <v>312</v>
      </c>
      <c r="C335" s="4" t="str">
        <f ca="1">IFERROR(__xludf.DUMMYFUNCTION("""COMPUTED_VALUE"""),"SDATOOL-34157")</f>
        <v>SDATOOL-34157</v>
      </c>
      <c r="D335" s="4" t="str">
        <f ca="1">IFERROR(__xludf.DUMMYFUNCTION("""COMPUTED_VALUE"""),"Evolutivo Parthnership - Crédito en punto de venta de Aliados")</f>
        <v>Evolutivo Parthnership - Crédito en punto de venta de Aliados</v>
      </c>
      <c r="E335"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5" s="4" t="str">
        <f ca="1">IFERROR(__xludf.DUMMYFUNCTION("""COMPUTED_VALUE"""),"Project")</f>
        <v>Project</v>
      </c>
      <c r="G335" s="4" t="str">
        <f ca="1">IFERROR(__xludf.DUMMYFUNCTION("""COMPUTED_VALUE"""),"Ended")</f>
        <v>Ended</v>
      </c>
      <c r="H335" s="4" t="str">
        <f ca="1">IFERROR(__xludf.DUMMYFUNCTION("""COMPUTED_VALUE"""),"1Q 2023")</f>
        <v>1Q 2023</v>
      </c>
      <c r="I335" s="131" t="str">
        <f ca="1">IFERROR(__xludf.DUMMYFUNCTION("""COMPUTED_VALUE"""),"angie.castaneda-bbva.com")</f>
        <v>angie.castaneda-bbva.com</v>
      </c>
      <c r="J335" s="4"/>
      <c r="K335" s="131" t="str">
        <f ca="1">IFERROR(__xludf.DUMMYFUNCTION("""COMPUTED_VALUE"""),"paolaandrea.guzman-bbva.com")</f>
        <v>paolaandrea.guzman-bbva.com</v>
      </c>
      <c r="L335" s="4"/>
      <c r="M335" s="4"/>
      <c r="N335" s="4"/>
      <c r="O335" s="4" t="str">
        <f ca="1">IFERROR(__xludf.DUMMYFUNCTION("""COMPUTED_VALUE"""),"Scrum")</f>
        <v>Scrum</v>
      </c>
      <c r="P335" s="4" t="str">
        <f ca="1">IFERROR(__xludf.DUMMYFUNCTION("""COMPUTED_VALUE"""),"The Doors")</f>
        <v>The Doors</v>
      </c>
      <c r="Q335" s="4"/>
      <c r="R335" s="130" t="str">
        <f ca="1">IFERROR(__xludf.DUMMYFUNCTION("""COMPUTED_VALUE"""),"Payments &amp; Partnerships")</f>
        <v>Payments &amp; Partnerships</v>
      </c>
      <c r="S335" s="130" t="str">
        <f ca="1">IFERROR(__xludf.DUMMYFUNCTION("""COMPUTED_VALUE"""),"Strategic Review")</f>
        <v>Strategic Review</v>
      </c>
      <c r="T335" s="130" t="str">
        <f ca="1">IFERROR(__xludf.DUMMYFUNCTION("""COMPUTED_VALUE"""),"1. Generación de Ingresos")</f>
        <v>1. Generación de Ingresos</v>
      </c>
      <c r="U335" s="130" t="str">
        <f ca="1">IFERROR(__xludf.DUMMYFUNCTION("""COMPUTED_VALUE"""),"1.2. Proyectos de Consumo")</f>
        <v>1.2. Proyectos de Consumo</v>
      </c>
      <c r="V335" s="4" t="str">
        <f ca="1">IFERROR(__xludf.DUMMYFUNCTION("""COMPUTED_VALUE"""),"TPS")</f>
        <v>TPS</v>
      </c>
      <c r="W335" s="4">
        <f ca="1">IFERROR(__xludf.DUMMYFUNCTION("""COMPUTED_VALUE"""),2)</f>
        <v>2</v>
      </c>
      <c r="X335" s="4" t="str">
        <f ca="1">IFERROR(__xludf.DUMMYFUNCTION("""COMPUTED_VALUE"""),"01. Open Market &amp; Partnerships")</f>
        <v>01. Open Market &amp; Partnerships</v>
      </c>
      <c r="Y335" s="4" t="str">
        <f ca="1">IFERROR(__xludf.DUMMYFUNCTION("""COMPUTED_VALUE"""),"5.4.1 Partnerships &amp; OB")</f>
        <v>5.4.1 Partnerships &amp; OB</v>
      </c>
      <c r="Z335" s="132" t="str">
        <f ca="1">IFERROR(__xludf.DUMMYFUNCTION("""COMPUTED_VALUE"""),"514807")</f>
        <v>514807</v>
      </c>
      <c r="AA335" s="4" t="str">
        <f ca="1">IFERROR(__xludf.DUMMYFUNCTION("""COMPUTED_VALUE"""),"Paquete Ajustes tagging")</f>
        <v>Paquete Ajustes tagging</v>
      </c>
      <c r="AB335" s="4" t="str">
        <f ca="1">IFERROR(__xludf.DUMMYFUNCTION("""COMPUTED_VALUE"""),"Se integrará al taggin todo el paquete de caídas.")</f>
        <v>Se integrará al taggin todo el paquete de caídas.</v>
      </c>
      <c r="AC335" s="4" t="str">
        <f ca="1">IFERROR(__xludf.DUMMYFUNCTION("""COMPUTED_VALUE"""),"3Q 2022")</f>
        <v>3Q 2022</v>
      </c>
      <c r="AD335" s="4"/>
      <c r="AE335" s="4"/>
      <c r="AF335" s="4"/>
      <c r="AG335" s="4"/>
      <c r="AH335" s="4"/>
      <c r="AI335" s="4"/>
      <c r="AJ335" s="4"/>
      <c r="AK335" s="4" t="str">
        <f ca="1">IFERROR(__xludf.DUMMYFUNCTION("""COMPUTED_VALUE"""),"Sin asignar")</f>
        <v>Sin asignar</v>
      </c>
      <c r="AL335" s="4" t="str">
        <f ca="1">IFERROR(__xludf.DUMMYFUNCTION("""COMPUTED_VALUE"""),"Sin asignar")</f>
        <v>Sin asignar</v>
      </c>
      <c r="AM335" s="4" t="str">
        <f ca="1">IFERROR(__xludf.DUMMYFUNCTION("""COMPUTED_VALUE"""),"En producción")</f>
        <v>En producción</v>
      </c>
      <c r="AN335" s="4" t="str">
        <f ca="1">IFERROR(__xludf.DUMMYFUNCTION("""COMPUTED_VALUE"""),"Finalizado")</f>
        <v>Finalizado</v>
      </c>
      <c r="AO335" s="4" t="str">
        <f ca="1">IFERROR(__xludf.DUMMYFUNCTION("""COMPUTED_VALUE"""),"Consumo partnerships")</f>
        <v>Consumo partnerships</v>
      </c>
      <c r="AP335" s="4"/>
      <c r="AQ335" s="4"/>
      <c r="AR335" s="4" t="str">
        <f ca="1">IFERROR(__xludf.DUMMYFUNCTION("""COMPUTED_VALUE"""),"SDA aprobada en PPP Q1 2023")</f>
        <v>SDA aprobada en PPP Q1 2023</v>
      </c>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row>
    <row r="336" spans="1:132" x14ac:dyDescent="0.2">
      <c r="A336" s="4">
        <f ca="1">IFERROR(__xludf.DUMMYFUNCTION("""COMPUTED_VALUE"""),336)</f>
        <v>336</v>
      </c>
      <c r="B336" s="4">
        <f ca="1">IFERROR(__xludf.DUMMYFUNCTION("""COMPUTED_VALUE"""),313)</f>
        <v>313</v>
      </c>
      <c r="C336" s="4" t="str">
        <f ca="1">IFERROR(__xludf.DUMMYFUNCTION("""COMPUTED_VALUE"""),"SDATOOL-34157")</f>
        <v>SDATOOL-34157</v>
      </c>
      <c r="D336" s="4" t="str">
        <f ca="1">IFERROR(__xludf.DUMMYFUNCTION("""COMPUTED_VALUE"""),"Evolutivo Parthnership - Crédito en punto de venta de Aliados")</f>
        <v>Evolutivo Parthnership - Crédito en punto de venta de Aliados</v>
      </c>
      <c r="E336"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6" s="4" t="str">
        <f ca="1">IFERROR(__xludf.DUMMYFUNCTION("""COMPUTED_VALUE"""),"Project")</f>
        <v>Project</v>
      </c>
      <c r="G336" s="4" t="str">
        <f ca="1">IFERROR(__xludf.DUMMYFUNCTION("""COMPUTED_VALUE"""),"Ended")</f>
        <v>Ended</v>
      </c>
      <c r="H336" s="4" t="str">
        <f ca="1">IFERROR(__xludf.DUMMYFUNCTION("""COMPUTED_VALUE"""),"1Q 2023")</f>
        <v>1Q 2023</v>
      </c>
      <c r="I336" s="131" t="str">
        <f ca="1">IFERROR(__xludf.DUMMYFUNCTION("""COMPUTED_VALUE"""),"angie.castaneda-bbva.com")</f>
        <v>angie.castaneda-bbva.com</v>
      </c>
      <c r="J336" s="4"/>
      <c r="K336" s="131" t="str">
        <f ca="1">IFERROR(__xludf.DUMMYFUNCTION("""COMPUTED_VALUE"""),"paolaandrea.guzman-bbva.com")</f>
        <v>paolaandrea.guzman-bbva.com</v>
      </c>
      <c r="L336" s="4"/>
      <c r="M336" s="4"/>
      <c r="N336" s="4"/>
      <c r="O336" s="4" t="str">
        <f ca="1">IFERROR(__xludf.DUMMYFUNCTION("""COMPUTED_VALUE"""),"Scrum")</f>
        <v>Scrum</v>
      </c>
      <c r="P336" s="4" t="str">
        <f ca="1">IFERROR(__xludf.DUMMYFUNCTION("""COMPUTED_VALUE"""),"The Doors")</f>
        <v>The Doors</v>
      </c>
      <c r="Q336" s="4"/>
      <c r="R336" s="130" t="str">
        <f ca="1">IFERROR(__xludf.DUMMYFUNCTION("""COMPUTED_VALUE"""),"Payments &amp; Partnerships")</f>
        <v>Payments &amp; Partnerships</v>
      </c>
      <c r="S336" s="130" t="str">
        <f ca="1">IFERROR(__xludf.DUMMYFUNCTION("""COMPUTED_VALUE"""),"Strategic Review")</f>
        <v>Strategic Review</v>
      </c>
      <c r="T336" s="130" t="str">
        <f ca="1">IFERROR(__xludf.DUMMYFUNCTION("""COMPUTED_VALUE"""),"1. Generación de Ingresos")</f>
        <v>1. Generación de Ingresos</v>
      </c>
      <c r="U336" s="130" t="str">
        <f ca="1">IFERROR(__xludf.DUMMYFUNCTION("""COMPUTED_VALUE"""),"1.2. Proyectos de Consumo")</f>
        <v>1.2. Proyectos de Consumo</v>
      </c>
      <c r="V336" s="4" t="str">
        <f ca="1">IFERROR(__xludf.DUMMYFUNCTION("""COMPUTED_VALUE"""),"TPS")</f>
        <v>TPS</v>
      </c>
      <c r="W336" s="4">
        <f ca="1">IFERROR(__xludf.DUMMYFUNCTION("""COMPUTED_VALUE"""),2)</f>
        <v>2</v>
      </c>
      <c r="X336" s="4" t="str">
        <f ca="1">IFERROR(__xludf.DUMMYFUNCTION("""COMPUTED_VALUE"""),"01. Open Market &amp; Partnerships")</f>
        <v>01. Open Market &amp; Partnerships</v>
      </c>
      <c r="Y336" s="4" t="str">
        <f ca="1">IFERROR(__xludf.DUMMYFUNCTION("""COMPUTED_VALUE"""),"5.4.1 Partnerships &amp; OB")</f>
        <v>5.4.1 Partnerships &amp; OB</v>
      </c>
      <c r="Z336" s="132" t="str">
        <f ca="1">IFERROR(__xludf.DUMMYFUNCTION("""COMPUTED_VALUE"""),"626312")</f>
        <v>626312</v>
      </c>
      <c r="AA336" s="4" t="str">
        <f ca="1">IFERROR(__xludf.DUMMYFUNCTION("""COMPUTED_VALUE"""),"Diferenciación BURO e ingresos por aliados")</f>
        <v>Diferenciación BURO e ingresos por aliados</v>
      </c>
      <c r="AB336" s="4" t="str">
        <f ca="1">IFERROR(__xludf.DUMMYFUNCTION("""COMPUTED_VALUE"""),"Diferenciación BURO e ingresos por aliados en el flujo de contratación de consumo libre inversión en aliados.")</f>
        <v>Diferenciación BURO e ingresos por aliados en el flujo de contratación de consumo libre inversión en aliados.</v>
      </c>
      <c r="AC336" s="4" t="str">
        <f ca="1">IFERROR(__xludf.DUMMYFUNCTION("""COMPUTED_VALUE"""),"1Q 2023")</f>
        <v>1Q 2023</v>
      </c>
      <c r="AD336" s="4"/>
      <c r="AE336" s="4"/>
      <c r="AF336" s="4"/>
      <c r="AG336" s="4"/>
      <c r="AH336" s="4"/>
      <c r="AI336" s="4"/>
      <c r="AJ336" s="4"/>
      <c r="AK336" s="131" t="str">
        <f ca="1">IFERROR(__xludf.DUMMYFUNCTION("""COMPUTED_VALUE"""),"COLWSPREST-7327")</f>
        <v>COLWSPREST-7327</v>
      </c>
      <c r="AL336" s="4" t="str">
        <f ca="1">IFERROR(__xludf.DUMMYFUNCTION("""COMPUTED_VALUE"""),"Deployed")</f>
        <v>Deployed</v>
      </c>
      <c r="AM336" s="4" t="str">
        <f ca="1">IFERROR(__xludf.DUMMYFUNCTION("""COMPUTED_VALUE"""),"En calidad para instalar en Mar/23. ")</f>
        <v xml:space="preserve">En calidad para instalar en Mar/23. </v>
      </c>
      <c r="AN336" s="4" t="str">
        <f ca="1">IFERROR(__xludf.DUMMYFUNCTION("""COMPUTED_VALUE"""),"Entregable en desarrollo")</f>
        <v>Entregable en desarrollo</v>
      </c>
      <c r="AO336" s="4" t="str">
        <f ca="1">IFERROR(__xludf.DUMMYFUNCTION("""COMPUTED_VALUE"""),"Consumo partnerships")</f>
        <v>Consumo partnerships</v>
      </c>
      <c r="AP336" s="4"/>
      <c r="AQ336" s="4"/>
      <c r="AR336" s="4" t="str">
        <f ca="1">IFERROR(__xludf.DUMMYFUNCTION("""COMPUTED_VALUE"""),"SDA aprobada en PPP Q1 2023")</f>
        <v>SDA aprobada en PPP Q1 2023</v>
      </c>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row>
    <row r="337" spans="1:132" x14ac:dyDescent="0.2">
      <c r="A337" s="4">
        <f ca="1">IFERROR(__xludf.DUMMYFUNCTION("""COMPUTED_VALUE"""),337)</f>
        <v>337</v>
      </c>
      <c r="B337" s="4">
        <f ca="1">IFERROR(__xludf.DUMMYFUNCTION("""COMPUTED_VALUE"""),314)</f>
        <v>314</v>
      </c>
      <c r="C337" s="4" t="str">
        <f ca="1">IFERROR(__xludf.DUMMYFUNCTION("""COMPUTED_VALUE"""),"SDATOOL-40062")</f>
        <v>SDATOOL-40062</v>
      </c>
      <c r="D337" s="4" t="str">
        <f ca="1">IFERROR(__xludf.DUMMYFUNCTION("""COMPUTED_VALUE"""),"Implementación FGA en flujos de contratación digital")</f>
        <v>Implementación FGA en flujos de contratación digital</v>
      </c>
      <c r="E337"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7" s="4" t="str">
        <f ca="1">IFERROR(__xludf.DUMMYFUNCTION("""COMPUTED_VALUE"""),"Project")</f>
        <v>Project</v>
      </c>
      <c r="G337" s="4" t="str">
        <f ca="1">IFERROR(__xludf.DUMMYFUNCTION("""COMPUTED_VALUE"""),"Stock")</f>
        <v>Stock</v>
      </c>
      <c r="H337" s="4" t="str">
        <f ca="1">IFERROR(__xludf.DUMMYFUNCTION("""COMPUTED_VALUE"""),"4Q 2023")</f>
        <v>4Q 2023</v>
      </c>
      <c r="I337" s="131" t="str">
        <f ca="1">IFERROR(__xludf.DUMMYFUNCTION("""COMPUTED_VALUE"""),"angie.castaneda-bbva.com")</f>
        <v>angie.castaneda-bbva.com</v>
      </c>
      <c r="J337" s="131" t="str">
        <f ca="1">IFERROR(__xludf.DUMMYFUNCTION("""COMPUTED_VALUE"""),"diegoandres.rodriguez-bbva.com")</f>
        <v>diegoandres.rodriguez-bbva.com</v>
      </c>
      <c r="K337" s="131" t="str">
        <f ca="1">IFERROR(__xludf.DUMMYFUNCTION("""COMPUTED_VALUE"""),"paolaandrea.guzman-bbva.com")</f>
        <v>paolaandrea.guzman-bbva.com</v>
      </c>
      <c r="L337" s="130">
        <f ca="1">IFERROR(__xludf.DUMMYFUNCTION("""COMPUTED_VALUE"""),0.8)</f>
        <v>0.8</v>
      </c>
      <c r="M337" s="130">
        <f ca="1">IFERROR(__xludf.DUMMYFUNCTION("""COMPUTED_VALUE"""),1.7)</f>
        <v>1.7</v>
      </c>
      <c r="N337" s="130">
        <f ca="1">IFERROR(__xludf.DUMMYFUNCTION("""COMPUTED_VALUE"""),0)</f>
        <v>0</v>
      </c>
      <c r="O337" s="4" t="str">
        <f ca="1">IFERROR(__xludf.DUMMYFUNCTION("""COMPUTED_VALUE"""),"Scrum")</f>
        <v>Scrum</v>
      </c>
      <c r="P337" s="4" t="str">
        <f ca="1">IFERROR(__xludf.DUMMYFUNCTION("""COMPUTED_VALUE"""),"The Doors")</f>
        <v>The Doors</v>
      </c>
      <c r="Q337" s="130">
        <f ca="1">IFERROR(__xludf.DUMMYFUNCTION("""COMPUTED_VALUE"""),0)</f>
        <v>0</v>
      </c>
      <c r="R337" s="130" t="str">
        <f ca="1">IFERROR(__xludf.DUMMYFUNCTION("""COMPUTED_VALUE"""),"Payments &amp; Partnerships")</f>
        <v>Payments &amp; Partnerships</v>
      </c>
      <c r="S337" s="130" t="str">
        <f ca="1">IFERROR(__xludf.DUMMYFUNCTION("""COMPUTED_VALUE"""),"Area Review")</f>
        <v>Area Review</v>
      </c>
      <c r="T337" s="130" t="str">
        <f ca="1">IFERROR(__xludf.DUMMYFUNCTION("""COMPUTED_VALUE"""),"1. Generación de Ingresos")</f>
        <v>1. Generación de Ingresos</v>
      </c>
      <c r="U337" s="130" t="str">
        <f ca="1">IFERROR(__xludf.DUMMYFUNCTION("""COMPUTED_VALUE"""),"1.2. Proyectos de Consumo")</f>
        <v>1.2. Proyectos de Consumo</v>
      </c>
      <c r="V337" s="4" t="str">
        <f ca="1">IFERROR(__xludf.DUMMYFUNCTION("""COMPUTED_VALUE"""),"OM")</f>
        <v>OM</v>
      </c>
      <c r="W337" s="4">
        <f ca="1">IFERROR(__xludf.DUMMYFUNCTION("""COMPUTED_VALUE"""),1)</f>
        <v>1</v>
      </c>
      <c r="X337" s="4" t="str">
        <f ca="1">IFERROR(__xludf.DUMMYFUNCTION("""COMPUTED_VALUE"""),"01. Open Market &amp; Partnerships")</f>
        <v>01. Open Market &amp; Partnerships</v>
      </c>
      <c r="Y337" s="4" t="str">
        <f ca="1">IFERROR(__xludf.DUMMYFUNCTION("""COMPUTED_VALUE"""),"5.4.1 Partnerships &amp; OB")</f>
        <v>5.4.1 Partnerships &amp; OB</v>
      </c>
      <c r="Z337" s="132" t="str">
        <f ca="1">IFERROR(__xludf.DUMMYFUNCTION("""COMPUTED_VALUE"""),"557964")</f>
        <v>557964</v>
      </c>
      <c r="AA337" s="4" t="str">
        <f ca="1">IFERROR(__xludf.DUMMYFUNCTION("""COMPUTED_VALUE"""),"Creación pieza transversal FGA")</f>
        <v>Creación pieza transversal FGA</v>
      </c>
      <c r="AB337" s="4" t="str">
        <f ca="1">IFERROR(__xludf.DUMMYFUNCTION("""COMPUTED_VALUE"""),"1.Matriz perfilamiento variabales Riesgos")</f>
        <v>1.Matriz perfilamiento variabales Riesgos</v>
      </c>
      <c r="AC337" s="4" t="str">
        <f ca="1">IFERROR(__xludf.DUMMYFUNCTION("""COMPUTED_VALUE"""),"3Q 2023")</f>
        <v>3Q 2023</v>
      </c>
      <c r="AD337" s="128">
        <f ca="1">IFERROR(__xludf.DUMMYFUNCTION("""COMPUTED_VALUE"""),44781)</f>
        <v>44781</v>
      </c>
      <c r="AE337" s="128">
        <f ca="1">IFERROR(__xludf.DUMMYFUNCTION("""COMPUTED_VALUE"""),44865)</f>
        <v>44865</v>
      </c>
      <c r="AF337" s="128">
        <f ca="1">IFERROR(__xludf.DUMMYFUNCTION("""COMPUTED_VALUE"""),44896)</f>
        <v>44896</v>
      </c>
      <c r="AG337" s="128">
        <f ca="1">IFERROR(__xludf.DUMMYFUNCTION("""COMPUTED_VALUE"""),45046)</f>
        <v>45046</v>
      </c>
      <c r="AH337" s="128">
        <f ca="1">IFERROR(__xludf.DUMMYFUNCTION("""COMPUTED_VALUE"""),45047)</f>
        <v>45047</v>
      </c>
      <c r="AI337" s="128">
        <f ca="1">IFERROR(__xludf.DUMMYFUNCTION("""COMPUTED_VALUE"""),45101)</f>
        <v>45101</v>
      </c>
      <c r="AJ337" s="128">
        <f ca="1">IFERROR(__xludf.DUMMYFUNCTION("""COMPUTED_VALUE"""),45107)</f>
        <v>45107</v>
      </c>
      <c r="AK337" s="131" t="str">
        <f ca="1">IFERROR(__xludf.DUMMYFUNCTION("""COMPUTED_VALUE"""),"COLWSPREST-12045")</f>
        <v>COLWSPREST-12045</v>
      </c>
      <c r="AL337" s="4" t="str">
        <f ca="1">IFERROR(__xludf.DUMMYFUNCTION("""COMPUTED_VALUE"""),"New")</f>
        <v>New</v>
      </c>
      <c r="AM337" s="4" t="str">
        <f ca="1">IFERROR(__xludf.DUMMYFUNCTION("""COMPUTED_VALUE"""),"En desarrollos. ")</f>
        <v xml:space="preserve">En desarrollos. </v>
      </c>
      <c r="AN337" s="4" t="str">
        <f ca="1">IFERROR(__xludf.DUMMYFUNCTION("""COMPUTED_VALUE"""),"Entregable en Conceptualización")</f>
        <v>Entregable en Conceptualización</v>
      </c>
      <c r="AO337" s="4" t="str">
        <f ca="1">IFERROR(__xludf.DUMMYFUNCTION("""COMPUTED_VALUE"""),"Consumo partnerships")</f>
        <v>Consumo partnerships</v>
      </c>
      <c r="AP337" s="4"/>
      <c r="AQ337" s="4"/>
      <c r="AR337" s="4" t="str">
        <f ca="1">IFERROR(__xludf.DUMMYFUNCTION("""COMPUTED_VALUE"""),"SDA aprobada en PPP Q1 2023")</f>
        <v>SDA aprobada en PPP Q1 2023</v>
      </c>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133">
        <f ca="1">IFERROR(__xludf.DUMMYFUNCTION("""COMPUTED_VALUE"""),0)</f>
        <v>0</v>
      </c>
      <c r="DV337" s="133">
        <f ca="1">IFERROR(__xludf.DUMMYFUNCTION("""COMPUTED_VALUE"""),0)</f>
        <v>0</v>
      </c>
      <c r="DW337" s="133">
        <f ca="1">IFERROR(__xludf.DUMMYFUNCTION("""COMPUTED_VALUE"""),0)</f>
        <v>0</v>
      </c>
      <c r="DX337" s="133">
        <f ca="1">IFERROR(__xludf.DUMMYFUNCTION("""COMPUTED_VALUE"""),1000000000)</f>
        <v>1000000000</v>
      </c>
      <c r="DY337" s="133">
        <f ca="1">IFERROR(__xludf.DUMMYFUNCTION("""COMPUTED_VALUE"""),0)</f>
        <v>0</v>
      </c>
      <c r="DZ337" s="133">
        <f ca="1">IFERROR(__xludf.DUMMYFUNCTION("""COMPUTED_VALUE"""),1000000000)</f>
        <v>1000000000</v>
      </c>
      <c r="EA337" s="4"/>
      <c r="EB337" s="4"/>
    </row>
    <row r="338" spans="1:132" x14ac:dyDescent="0.2">
      <c r="A338" s="4">
        <f ca="1">IFERROR(__xludf.DUMMYFUNCTION("""COMPUTED_VALUE"""),338)</f>
        <v>338</v>
      </c>
      <c r="B338" s="4">
        <f ca="1">IFERROR(__xludf.DUMMYFUNCTION("""COMPUTED_VALUE"""),315)</f>
        <v>315</v>
      </c>
      <c r="C338" s="4" t="str">
        <f ca="1">IFERROR(__xludf.DUMMYFUNCTION("""COMPUTED_VALUE"""),"SDATOOL-40062")</f>
        <v>SDATOOL-40062</v>
      </c>
      <c r="D338" s="4" t="str">
        <f ca="1">IFERROR(__xludf.DUMMYFUNCTION("""COMPUTED_VALUE"""),"Implementación FGA en flujos de contratación digital")</f>
        <v>Implementación FGA en flujos de contratación digital</v>
      </c>
      <c r="E338"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8" s="4" t="str">
        <f ca="1">IFERROR(__xludf.DUMMYFUNCTION("""COMPUTED_VALUE"""),"Project")</f>
        <v>Project</v>
      </c>
      <c r="G338" s="4" t="str">
        <f ca="1">IFERROR(__xludf.DUMMYFUNCTION("""COMPUTED_VALUE"""),"Stock")</f>
        <v>Stock</v>
      </c>
      <c r="H338" s="4" t="str">
        <f ca="1">IFERROR(__xludf.DUMMYFUNCTION("""COMPUTED_VALUE"""),"4Q 2023")</f>
        <v>4Q 2023</v>
      </c>
      <c r="I338" s="131" t="str">
        <f ca="1">IFERROR(__xludf.DUMMYFUNCTION("""COMPUTED_VALUE"""),"angie.castaneda-bbva.com")</f>
        <v>angie.castaneda-bbva.com</v>
      </c>
      <c r="J338" s="131" t="str">
        <f ca="1">IFERROR(__xludf.DUMMYFUNCTION("""COMPUTED_VALUE"""),"diegoandres.rodriguez-bbva.com")</f>
        <v>diegoandres.rodriguez-bbva.com</v>
      </c>
      <c r="K338" s="131" t="str">
        <f ca="1">IFERROR(__xludf.DUMMYFUNCTION("""COMPUTED_VALUE"""),"paolaandrea.guzman-bbva.com")</f>
        <v>paolaandrea.guzman-bbva.com</v>
      </c>
      <c r="L338" s="4"/>
      <c r="M338" s="4"/>
      <c r="N338" s="4"/>
      <c r="O338" s="4" t="str">
        <f ca="1">IFERROR(__xludf.DUMMYFUNCTION("""COMPUTED_VALUE"""),"Scrum")</f>
        <v>Scrum</v>
      </c>
      <c r="P338" s="4" t="str">
        <f ca="1">IFERROR(__xludf.DUMMYFUNCTION("""COMPUTED_VALUE"""),"The Doors")</f>
        <v>The Doors</v>
      </c>
      <c r="Q338" s="4"/>
      <c r="R338" s="130" t="str">
        <f ca="1">IFERROR(__xludf.DUMMYFUNCTION("""COMPUTED_VALUE"""),"Payments &amp; Partnerships")</f>
        <v>Payments &amp; Partnerships</v>
      </c>
      <c r="S338" s="130" t="str">
        <f ca="1">IFERROR(__xludf.DUMMYFUNCTION("""COMPUTED_VALUE"""),"Area Review")</f>
        <v>Area Review</v>
      </c>
      <c r="T338" s="130" t="str">
        <f ca="1">IFERROR(__xludf.DUMMYFUNCTION("""COMPUTED_VALUE"""),"1. Generación de Ingresos")</f>
        <v>1. Generación de Ingresos</v>
      </c>
      <c r="U338" s="130" t="str">
        <f ca="1">IFERROR(__xludf.DUMMYFUNCTION("""COMPUTED_VALUE"""),"1.2. Proyectos de Consumo")</f>
        <v>1.2. Proyectos de Consumo</v>
      </c>
      <c r="V338" s="4" t="str">
        <f ca="1">IFERROR(__xludf.DUMMYFUNCTION("""COMPUTED_VALUE"""),"OM")</f>
        <v>OM</v>
      </c>
      <c r="W338" s="4">
        <f ca="1">IFERROR(__xludf.DUMMYFUNCTION("""COMPUTED_VALUE"""),1)</f>
        <v>1</v>
      </c>
      <c r="X338" s="4" t="str">
        <f ca="1">IFERROR(__xludf.DUMMYFUNCTION("""COMPUTED_VALUE"""),"01. Open Market &amp; Partnerships")</f>
        <v>01. Open Market &amp; Partnerships</v>
      </c>
      <c r="Y338" s="4" t="str">
        <f ca="1">IFERROR(__xludf.DUMMYFUNCTION("""COMPUTED_VALUE"""),"5.4.1 Partnerships &amp; OB")</f>
        <v>5.4.1 Partnerships &amp; OB</v>
      </c>
      <c r="Z338" s="132" t="str">
        <f ca="1">IFERROR(__xludf.DUMMYFUNCTION("""COMPUTED_VALUE"""),"710466")</f>
        <v>710466</v>
      </c>
      <c r="AA338" s="4" t="str">
        <f ca="1">IFERROR(__xludf.DUMMYFUNCTION("""COMPUTED_VALUE"""),"Implementación FGA en el flujo de contratación de consumo OM")</f>
        <v>Implementación FGA en el flujo de contratación de consumo OM</v>
      </c>
      <c r="AB338" s="4" t="str">
        <f ca="1">IFERROR(__xludf.DUMMYFUNCTION("""COMPUTED_VALUE"""),"Implementación FGA en el flujo de contratación de consumo OM")</f>
        <v>Implementación FGA en el flujo de contratación de consumo OM</v>
      </c>
      <c r="AC338" s="4" t="str">
        <f ca="1">IFERROR(__xludf.DUMMYFUNCTION("""COMPUTED_VALUE"""),"3Q 2023")</f>
        <v>3Q 2023</v>
      </c>
      <c r="AD338" s="4"/>
      <c r="AE338" s="4"/>
      <c r="AF338" s="4"/>
      <c r="AG338" s="4"/>
      <c r="AH338" s="4"/>
      <c r="AI338" s="4"/>
      <c r="AJ338" s="4"/>
      <c r="AK338" s="131" t="str">
        <f ca="1">IFERROR(__xludf.DUMMYFUNCTION("""COMPUTED_VALUE"""),"COLWSPREST-10649")</f>
        <v>COLWSPREST-10649</v>
      </c>
      <c r="AL338" s="4" t="str">
        <f ca="1">IFERROR(__xludf.DUMMYFUNCTION("""COMPUTED_VALUE"""),"New")</f>
        <v>New</v>
      </c>
      <c r="AM338" s="4" t="str">
        <f ca="1">IFERROR(__xludf.DUMMYFUNCTION("""COMPUTED_VALUE"""),"Iniciará desarrollos en May/23")</f>
        <v>Iniciará desarrollos en May/23</v>
      </c>
      <c r="AN338" s="4" t="str">
        <f ca="1">IFERROR(__xludf.DUMMYFUNCTION("""COMPUTED_VALUE"""),"Entregable en Conceptualización")</f>
        <v>Entregable en Conceptualización</v>
      </c>
      <c r="AO338" s="4" t="str">
        <f ca="1">IFERROR(__xludf.DUMMYFUNCTION("""COMPUTED_VALUE"""),"Consumo partnerships")</f>
        <v>Consumo partnerships</v>
      </c>
      <c r="AP338" s="4"/>
      <c r="AQ338" s="4"/>
      <c r="AR338" s="4" t="str">
        <f ca="1">IFERROR(__xludf.DUMMYFUNCTION("""COMPUTED_VALUE"""),"SDA aprobada en PPP Q1 2023")</f>
        <v>SDA aprobada en PPP Q1 2023</v>
      </c>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row>
    <row r="339" spans="1:132" x14ac:dyDescent="0.2">
      <c r="A339" s="4">
        <f ca="1">IFERROR(__xludf.DUMMYFUNCTION("""COMPUTED_VALUE"""),339)</f>
        <v>339</v>
      </c>
      <c r="B339" s="4">
        <f ca="1">IFERROR(__xludf.DUMMYFUNCTION("""COMPUTED_VALUE"""),316)</f>
        <v>316</v>
      </c>
      <c r="C339" s="4" t="str">
        <f ca="1">IFERROR(__xludf.DUMMYFUNCTION("""COMPUTED_VALUE"""),"SDATOOL-40062")</f>
        <v>SDATOOL-40062</v>
      </c>
      <c r="D339" s="4" t="str">
        <f ca="1">IFERROR(__xludf.DUMMYFUNCTION("""COMPUTED_VALUE"""),"Implementación FGA en flujos de contratación digital")</f>
        <v>Implementación FGA en flujos de contratación digital</v>
      </c>
      <c r="E339"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9" s="4" t="str">
        <f ca="1">IFERROR(__xludf.DUMMYFUNCTION("""COMPUTED_VALUE"""),"Project")</f>
        <v>Project</v>
      </c>
      <c r="G339" s="4" t="str">
        <f ca="1">IFERROR(__xludf.DUMMYFUNCTION("""COMPUTED_VALUE"""),"Stock")</f>
        <v>Stock</v>
      </c>
      <c r="H339" s="4" t="str">
        <f ca="1">IFERROR(__xludf.DUMMYFUNCTION("""COMPUTED_VALUE"""),"4Q 2023")</f>
        <v>4Q 2023</v>
      </c>
      <c r="I339" s="131" t="str">
        <f ca="1">IFERROR(__xludf.DUMMYFUNCTION("""COMPUTED_VALUE"""),"angie.castaneda-bbva.com")</f>
        <v>angie.castaneda-bbva.com</v>
      </c>
      <c r="J339" s="131" t="str">
        <f ca="1">IFERROR(__xludf.DUMMYFUNCTION("""COMPUTED_VALUE"""),"diegoandres.rodriguez-bbva.com")</f>
        <v>diegoandres.rodriguez-bbva.com</v>
      </c>
      <c r="K339" s="131" t="str">
        <f ca="1">IFERROR(__xludf.DUMMYFUNCTION("""COMPUTED_VALUE"""),"paolaandrea.guzman-bbva.com")</f>
        <v>paolaandrea.guzman-bbva.com</v>
      </c>
      <c r="L339" s="4"/>
      <c r="M339" s="4"/>
      <c r="N339" s="4"/>
      <c r="O339" s="4" t="str">
        <f ca="1">IFERROR(__xludf.DUMMYFUNCTION("""COMPUTED_VALUE"""),"Scrum")</f>
        <v>Scrum</v>
      </c>
      <c r="P339" s="4" t="str">
        <f ca="1">IFERROR(__xludf.DUMMYFUNCTION("""COMPUTED_VALUE"""),"The Doors")</f>
        <v>The Doors</v>
      </c>
      <c r="Q339" s="4"/>
      <c r="R339" s="130" t="str">
        <f ca="1">IFERROR(__xludf.DUMMYFUNCTION("""COMPUTED_VALUE"""),"Payments &amp; Partnerships")</f>
        <v>Payments &amp; Partnerships</v>
      </c>
      <c r="S339" s="130" t="str">
        <f ca="1">IFERROR(__xludf.DUMMYFUNCTION("""COMPUTED_VALUE"""),"Area Review")</f>
        <v>Area Review</v>
      </c>
      <c r="T339" s="130" t="str">
        <f ca="1">IFERROR(__xludf.DUMMYFUNCTION("""COMPUTED_VALUE"""),"1. Generación de Ingresos")</f>
        <v>1. Generación de Ingresos</v>
      </c>
      <c r="U339" s="130" t="str">
        <f ca="1">IFERROR(__xludf.DUMMYFUNCTION("""COMPUTED_VALUE"""),"1.2. Proyectos de Consumo")</f>
        <v>1.2. Proyectos de Consumo</v>
      </c>
      <c r="V339" s="4" t="str">
        <f ca="1">IFERROR(__xludf.DUMMYFUNCTION("""COMPUTED_VALUE"""),"OM")</f>
        <v>OM</v>
      </c>
      <c r="W339" s="4">
        <f ca="1">IFERROR(__xludf.DUMMYFUNCTION("""COMPUTED_VALUE"""),1)</f>
        <v>1</v>
      </c>
      <c r="X339" s="4" t="str">
        <f ca="1">IFERROR(__xludf.DUMMYFUNCTION("""COMPUTED_VALUE"""),"01. Open Market &amp; Partnerships")</f>
        <v>01. Open Market &amp; Partnerships</v>
      </c>
      <c r="Y339" s="4" t="str">
        <f ca="1">IFERROR(__xludf.DUMMYFUNCTION("""COMPUTED_VALUE"""),"5.4.1 Partnerships &amp; OB")</f>
        <v>5.4.1 Partnerships &amp; OB</v>
      </c>
      <c r="Z339" s="132" t="str">
        <f ca="1">IFERROR(__xludf.DUMMYFUNCTION("""COMPUTED_VALUE"""),"710467")</f>
        <v>710467</v>
      </c>
      <c r="AA339" s="4" t="str">
        <f ca="1">IFERROR(__xludf.DUMMYFUNCTION("""COMPUTED_VALUE"""),"Implementación FGA en el flujo de tarjeta de crédito OM:AQUA y aliados")</f>
        <v>Implementación FGA en el flujo de tarjeta de crédito OM:AQUA y aliados</v>
      </c>
      <c r="AB339" s="4" t="str">
        <f ca="1">IFERROR(__xludf.DUMMYFUNCTION("""COMPUTED_VALUE"""),"Implementación FGA en el flujo de tarjeta de crédito OM:AQUA y aliados (E commerce y punto físico)")</f>
        <v>Implementación FGA en el flujo de tarjeta de crédito OM:AQUA y aliados (E commerce y punto físico)</v>
      </c>
      <c r="AC339" s="4" t="str">
        <f ca="1">IFERROR(__xludf.DUMMYFUNCTION("""COMPUTED_VALUE"""),"4Q 2023")</f>
        <v>4Q 2023</v>
      </c>
      <c r="AD339" s="4"/>
      <c r="AE339" s="4"/>
      <c r="AF339" s="4"/>
      <c r="AG339" s="4"/>
      <c r="AH339" s="4"/>
      <c r="AI339" s="4"/>
      <c r="AJ339" s="4"/>
      <c r="AK339" s="4" t="str">
        <f ca="1">IFERROR(__xludf.DUMMYFUNCTION("""COMPUTED_VALUE"""),"Sin asignar")</f>
        <v>Sin asignar</v>
      </c>
      <c r="AL339" s="4" t="str">
        <f ca="1">IFERROR(__xludf.DUMMYFUNCTION("""COMPUTED_VALUE"""),"Sin asignar")</f>
        <v>Sin asignar</v>
      </c>
      <c r="AM339" s="4" t="str">
        <f ca="1">IFERROR(__xludf.DUMMYFUNCTION("""COMPUTED_VALUE"""),"Iniciará desarrollos cuando finalice modulo transversal ")</f>
        <v xml:space="preserve">Iniciará desarrollos cuando finalice modulo transversal </v>
      </c>
      <c r="AN339" s="4" t="str">
        <f ca="1">IFERROR(__xludf.DUMMYFUNCTION("""COMPUTED_VALUE"""),"Entregable en Conceptualización")</f>
        <v>Entregable en Conceptualización</v>
      </c>
      <c r="AO339" s="4" t="str">
        <f ca="1">IFERROR(__xludf.DUMMYFUNCTION("""COMPUTED_VALUE"""),"Consumo partnerships")</f>
        <v>Consumo partnerships</v>
      </c>
      <c r="AP339" s="4"/>
      <c r="AQ339" s="4"/>
      <c r="AR339" s="4" t="str">
        <f ca="1">IFERROR(__xludf.DUMMYFUNCTION("""COMPUTED_VALUE"""),"SDA aprobada en PPP Q1 2023")</f>
        <v>SDA aprobada en PPP Q1 2023</v>
      </c>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row>
    <row r="340" spans="1:132" x14ac:dyDescent="0.2">
      <c r="A340" s="4">
        <f ca="1">IFERROR(__xludf.DUMMYFUNCTION("""COMPUTED_VALUE"""),340)</f>
        <v>340</v>
      </c>
      <c r="B340" s="4">
        <f ca="1">IFERROR(__xludf.DUMMYFUNCTION("""COMPUTED_VALUE"""),317)</f>
        <v>317</v>
      </c>
      <c r="C340" s="4" t="str">
        <f ca="1">IFERROR(__xludf.DUMMYFUNCTION("""COMPUTED_VALUE"""),"SDATOOL-40062")</f>
        <v>SDATOOL-40062</v>
      </c>
      <c r="D340" s="4" t="str">
        <f ca="1">IFERROR(__xludf.DUMMYFUNCTION("""COMPUTED_VALUE"""),"Implementación FGA en flujos de contratación digital")</f>
        <v>Implementación FGA en flujos de contratación digital</v>
      </c>
      <c r="E340"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0" s="4" t="str">
        <f ca="1">IFERROR(__xludf.DUMMYFUNCTION("""COMPUTED_VALUE"""),"Project")</f>
        <v>Project</v>
      </c>
      <c r="G340" s="4" t="str">
        <f ca="1">IFERROR(__xludf.DUMMYFUNCTION("""COMPUTED_VALUE"""),"Stock")</f>
        <v>Stock</v>
      </c>
      <c r="H340" s="4" t="str">
        <f ca="1">IFERROR(__xludf.DUMMYFUNCTION("""COMPUTED_VALUE"""),"4Q 2023")</f>
        <v>4Q 2023</v>
      </c>
      <c r="I340" s="131" t="str">
        <f ca="1">IFERROR(__xludf.DUMMYFUNCTION("""COMPUTED_VALUE"""),"angie.castaneda-bbva.com")</f>
        <v>angie.castaneda-bbva.com</v>
      </c>
      <c r="J340" s="131" t="str">
        <f ca="1">IFERROR(__xludf.DUMMYFUNCTION("""COMPUTED_VALUE"""),"diegoandres.rodriguez-bbva.com")</f>
        <v>diegoandres.rodriguez-bbva.com</v>
      </c>
      <c r="K340" s="131" t="str">
        <f ca="1">IFERROR(__xludf.DUMMYFUNCTION("""COMPUTED_VALUE"""),"paolaandrea.guzman-bbva.com")</f>
        <v>paolaandrea.guzman-bbva.com</v>
      </c>
      <c r="L340" s="4"/>
      <c r="M340" s="4"/>
      <c r="N340" s="4"/>
      <c r="O340" s="4" t="str">
        <f ca="1">IFERROR(__xludf.DUMMYFUNCTION("""COMPUTED_VALUE"""),"Scrum")</f>
        <v>Scrum</v>
      </c>
      <c r="P340" s="4" t="str">
        <f ca="1">IFERROR(__xludf.DUMMYFUNCTION("""COMPUTED_VALUE"""),"The Doors")</f>
        <v>The Doors</v>
      </c>
      <c r="Q340" s="4"/>
      <c r="R340" s="130" t="str">
        <f ca="1">IFERROR(__xludf.DUMMYFUNCTION("""COMPUTED_VALUE"""),"Payments &amp; Partnerships")</f>
        <v>Payments &amp; Partnerships</v>
      </c>
      <c r="S340" s="130" t="str">
        <f ca="1">IFERROR(__xludf.DUMMYFUNCTION("""COMPUTED_VALUE"""),"Area Review")</f>
        <v>Area Review</v>
      </c>
      <c r="T340" s="130" t="str">
        <f ca="1">IFERROR(__xludf.DUMMYFUNCTION("""COMPUTED_VALUE"""),"1. Generación de Ingresos")</f>
        <v>1. Generación de Ingresos</v>
      </c>
      <c r="U340" s="130" t="str">
        <f ca="1">IFERROR(__xludf.DUMMYFUNCTION("""COMPUTED_VALUE"""),"1.2. Proyectos de Consumo")</f>
        <v>1.2. Proyectos de Consumo</v>
      </c>
      <c r="V340" s="4" t="str">
        <f ca="1">IFERROR(__xludf.DUMMYFUNCTION("""COMPUTED_VALUE"""),"OM")</f>
        <v>OM</v>
      </c>
      <c r="W340" s="4">
        <f ca="1">IFERROR(__xludf.DUMMYFUNCTION("""COMPUTED_VALUE"""),1)</f>
        <v>1</v>
      </c>
      <c r="X340" s="4" t="str">
        <f ca="1">IFERROR(__xludf.DUMMYFUNCTION("""COMPUTED_VALUE"""),"01. Open Market &amp; Partnerships")</f>
        <v>01. Open Market &amp; Partnerships</v>
      </c>
      <c r="Y340" s="4" t="str">
        <f ca="1">IFERROR(__xludf.DUMMYFUNCTION("""COMPUTED_VALUE"""),"5.4.1 Partnerships &amp; OB")</f>
        <v>5.4.1 Partnerships &amp; OB</v>
      </c>
      <c r="Z340" s="132" t="str">
        <f ca="1">IFERROR(__xludf.DUMMYFUNCTION("""COMPUTED_VALUE"""),"710468")</f>
        <v>710468</v>
      </c>
      <c r="AA340" s="4" t="str">
        <f ca="1">IFERROR(__xludf.DUMMYFUNCTION("""COMPUTED_VALUE"""),"Implementación FGA en los flujos de pre aprobados")</f>
        <v>Implementación FGA en los flujos de pre aprobados</v>
      </c>
      <c r="AB340" s="4" t="str">
        <f ca="1">IFERROR(__xludf.DUMMYFUNCTION("""COMPUTED_VALUE"""),"Implementación FGA en los flujos de pre aprobados: Tarjeta de crédito y consumo")</f>
        <v>Implementación FGA en los flujos de pre aprobados: Tarjeta de crédito y consumo</v>
      </c>
      <c r="AC340" s="4" t="str">
        <f ca="1">IFERROR(__xludf.DUMMYFUNCTION("""COMPUTED_VALUE"""),"1Q 2024")</f>
        <v>1Q 2024</v>
      </c>
      <c r="AD340" s="4"/>
      <c r="AE340" s="4"/>
      <c r="AF340" s="4"/>
      <c r="AG340" s="4"/>
      <c r="AH340" s="4"/>
      <c r="AI340" s="4"/>
      <c r="AJ340" s="4"/>
      <c r="AK340" s="4" t="str">
        <f ca="1">IFERROR(__xludf.DUMMYFUNCTION("""COMPUTED_VALUE"""),"Sin asignar")</f>
        <v>Sin asignar</v>
      </c>
      <c r="AL340" s="4" t="str">
        <f ca="1">IFERROR(__xludf.DUMMYFUNCTION("""COMPUTED_VALUE"""),"Sin asignar")</f>
        <v>Sin asignar</v>
      </c>
      <c r="AM340" s="4" t="str">
        <f ca="1">IFERROR(__xludf.DUMMYFUNCTION("""COMPUTED_VALUE"""),"Iniciará desarrollos cuando finalice modulo transversal ")</f>
        <v xml:space="preserve">Iniciará desarrollos cuando finalice modulo transversal </v>
      </c>
      <c r="AN340" s="4" t="str">
        <f ca="1">IFERROR(__xludf.DUMMYFUNCTION("""COMPUTED_VALUE"""),"Entregable en Conceptualización")</f>
        <v>Entregable en Conceptualización</v>
      </c>
      <c r="AO340" s="4" t="str">
        <f ca="1">IFERROR(__xludf.DUMMYFUNCTION("""COMPUTED_VALUE"""),"Consumo partnerships")</f>
        <v>Consumo partnerships</v>
      </c>
      <c r="AP340" s="4"/>
      <c r="AQ340" s="4"/>
      <c r="AR340" s="4" t="str">
        <f ca="1">IFERROR(__xludf.DUMMYFUNCTION("""COMPUTED_VALUE"""),"SDA aprobada en PPP Q1 2023")</f>
        <v>SDA aprobada en PPP Q1 2023</v>
      </c>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row>
    <row r="341" spans="1:132" x14ac:dyDescent="0.2">
      <c r="A341" s="4">
        <f ca="1">IFERROR(__xludf.DUMMYFUNCTION("""COMPUTED_VALUE"""),341)</f>
        <v>341</v>
      </c>
      <c r="B341" s="4">
        <f ca="1">IFERROR(__xludf.DUMMYFUNCTION("""COMPUTED_VALUE"""),318)</f>
        <v>318</v>
      </c>
      <c r="C341" s="4" t="str">
        <f ca="1">IFERROR(__xludf.DUMMYFUNCTION("""COMPUTED_VALUE"""),"SDATOOL-40062")</f>
        <v>SDATOOL-40062</v>
      </c>
      <c r="D341" s="4" t="str">
        <f ca="1">IFERROR(__xludf.DUMMYFUNCTION("""COMPUTED_VALUE"""),"Implementación FGA en flujos de contratación digital")</f>
        <v>Implementación FGA en flujos de contratación digital</v>
      </c>
      <c r="E341"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1" s="4" t="str">
        <f ca="1">IFERROR(__xludf.DUMMYFUNCTION("""COMPUTED_VALUE"""),"Project")</f>
        <v>Project</v>
      </c>
      <c r="G341" s="4" t="str">
        <f ca="1">IFERROR(__xludf.DUMMYFUNCTION("""COMPUTED_VALUE"""),"Stock")</f>
        <v>Stock</v>
      </c>
      <c r="H341" s="4" t="str">
        <f ca="1">IFERROR(__xludf.DUMMYFUNCTION("""COMPUTED_VALUE"""),"4Q 2023")</f>
        <v>4Q 2023</v>
      </c>
      <c r="I341" s="131" t="str">
        <f ca="1">IFERROR(__xludf.DUMMYFUNCTION("""COMPUTED_VALUE"""),"angie.castaneda-bbva.com")</f>
        <v>angie.castaneda-bbva.com</v>
      </c>
      <c r="J341" s="131" t="str">
        <f ca="1">IFERROR(__xludf.DUMMYFUNCTION("""COMPUTED_VALUE"""),"diegoandres.rodriguez-bbva.com")</f>
        <v>diegoandres.rodriguez-bbva.com</v>
      </c>
      <c r="K341" s="131" t="str">
        <f ca="1">IFERROR(__xludf.DUMMYFUNCTION("""COMPUTED_VALUE"""),"paolaandrea.guzman-bbva.com")</f>
        <v>paolaandrea.guzman-bbva.com</v>
      </c>
      <c r="L341" s="4"/>
      <c r="M341" s="4"/>
      <c r="N341" s="4"/>
      <c r="O341" s="4" t="str">
        <f ca="1">IFERROR(__xludf.DUMMYFUNCTION("""COMPUTED_VALUE"""),"Scrum")</f>
        <v>Scrum</v>
      </c>
      <c r="P341" s="4" t="str">
        <f ca="1">IFERROR(__xludf.DUMMYFUNCTION("""COMPUTED_VALUE"""),"The Doors")</f>
        <v>The Doors</v>
      </c>
      <c r="Q341" s="4"/>
      <c r="R341" s="130" t="str">
        <f ca="1">IFERROR(__xludf.DUMMYFUNCTION("""COMPUTED_VALUE"""),"Payments &amp; Partnerships")</f>
        <v>Payments &amp; Partnerships</v>
      </c>
      <c r="S341" s="130" t="str">
        <f ca="1">IFERROR(__xludf.DUMMYFUNCTION("""COMPUTED_VALUE"""),"Area Review")</f>
        <v>Area Review</v>
      </c>
      <c r="T341" s="130" t="str">
        <f ca="1">IFERROR(__xludf.DUMMYFUNCTION("""COMPUTED_VALUE"""),"1. Generación de Ingresos")</f>
        <v>1. Generación de Ingresos</v>
      </c>
      <c r="U341" s="130" t="str">
        <f ca="1">IFERROR(__xludf.DUMMYFUNCTION("""COMPUTED_VALUE"""),"1.2. Proyectos de Consumo")</f>
        <v>1.2. Proyectos de Consumo</v>
      </c>
      <c r="V341" s="4" t="str">
        <f ca="1">IFERROR(__xludf.DUMMYFUNCTION("""COMPUTED_VALUE"""),"OM")</f>
        <v>OM</v>
      </c>
      <c r="W341" s="4">
        <f ca="1">IFERROR(__xludf.DUMMYFUNCTION("""COMPUTED_VALUE"""),1)</f>
        <v>1</v>
      </c>
      <c r="X341" s="4" t="str">
        <f ca="1">IFERROR(__xludf.DUMMYFUNCTION("""COMPUTED_VALUE"""),"01. Open Market &amp; Partnerships")</f>
        <v>01. Open Market &amp; Partnerships</v>
      </c>
      <c r="Y341" s="4" t="str">
        <f ca="1">IFERROR(__xludf.DUMMYFUNCTION("""COMPUTED_VALUE"""),"5.4.1 Partnerships &amp; OB")</f>
        <v>5.4.1 Partnerships &amp; OB</v>
      </c>
      <c r="Z341" s="132" t="str">
        <f ca="1">IFERROR(__xludf.DUMMYFUNCTION("""COMPUTED_VALUE"""),"713237")</f>
        <v>713237</v>
      </c>
      <c r="AA341" s="4" t="str">
        <f ca="1">IFERROR(__xludf.DUMMYFUNCTION("""COMPUTED_VALUE"""),"Creación módulo reportaria FGA")</f>
        <v>Creación módulo reportaria FGA</v>
      </c>
      <c r="AB341" s="4" t="str">
        <f ca="1">IFERROR(__xludf.DUMMYFUNCTION("""COMPUTED_VALUE"""),"1.creación tabla maestra FGA 
2. Generación reportería conciliación 
3. Desarrollos cuentas contables")</f>
        <v>1.creación tabla maestra FGA 
2. Generación reportería conciliación 
3. Desarrollos cuentas contables</v>
      </c>
      <c r="AC341" s="4" t="str">
        <f ca="1">IFERROR(__xludf.DUMMYFUNCTION("""COMPUTED_VALUE"""),"3Q 2023")</f>
        <v>3Q 2023</v>
      </c>
      <c r="AD341" s="4"/>
      <c r="AE341" s="4"/>
      <c r="AF341" s="4"/>
      <c r="AG341" s="4"/>
      <c r="AH341" s="4"/>
      <c r="AI341" s="4"/>
      <c r="AJ341" s="4"/>
      <c r="AK341" s="4" t="str">
        <f ca="1">IFERROR(__xludf.DUMMYFUNCTION("""COMPUTED_VALUE"""),"Sin asignar")</f>
        <v>Sin asignar</v>
      </c>
      <c r="AL341" s="4" t="str">
        <f ca="1">IFERROR(__xludf.DUMMYFUNCTION("""COMPUTED_VALUE"""),"Sin asignar")</f>
        <v>Sin asignar</v>
      </c>
      <c r="AM341" s="4" t="str">
        <f ca="1">IFERROR(__xludf.DUMMYFUNCTION("""COMPUTED_VALUE"""),"En desarrollos. ")</f>
        <v xml:space="preserve">En desarrollos. </v>
      </c>
      <c r="AN341" s="4" t="str">
        <f ca="1">IFERROR(__xludf.DUMMYFUNCTION("""COMPUTED_VALUE"""),"Entregable en backlog")</f>
        <v>Entregable en backlog</v>
      </c>
      <c r="AO341" s="4" t="str">
        <f ca="1">IFERROR(__xludf.DUMMYFUNCTION("""COMPUTED_VALUE"""),"Consumo partnerships")</f>
        <v>Consumo partnerships</v>
      </c>
      <c r="AP341" s="4"/>
      <c r="AQ341" s="4"/>
      <c r="AR341" s="4" t="str">
        <f ca="1">IFERROR(__xludf.DUMMYFUNCTION("""COMPUTED_VALUE"""),"SDA aprobada en PPP Q1 2023")</f>
        <v>SDA aprobada en PPP Q1 2023</v>
      </c>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row>
    <row r="342" spans="1:132" x14ac:dyDescent="0.2">
      <c r="A342" s="4">
        <f ca="1">IFERROR(__xludf.DUMMYFUNCTION("""COMPUTED_VALUE"""),342)</f>
        <v>342</v>
      </c>
      <c r="B342" s="4">
        <f ca="1">IFERROR(__xludf.DUMMYFUNCTION("""COMPUTED_VALUE"""),319)</f>
        <v>319</v>
      </c>
      <c r="C342" s="4" t="str">
        <f ca="1">IFERROR(__xludf.DUMMYFUNCTION("""COMPUTED_VALUE"""),"SDATOOL-40062")</f>
        <v>SDATOOL-40062</v>
      </c>
      <c r="D342" s="4" t="str">
        <f ca="1">IFERROR(__xludf.DUMMYFUNCTION("""COMPUTED_VALUE"""),"Implementación FGA en flujos de contratación digital")</f>
        <v>Implementación FGA en flujos de contratación digital</v>
      </c>
      <c r="E342"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2" s="4" t="str">
        <f ca="1">IFERROR(__xludf.DUMMYFUNCTION("""COMPUTED_VALUE"""),"Project")</f>
        <v>Project</v>
      </c>
      <c r="G342" s="4" t="str">
        <f ca="1">IFERROR(__xludf.DUMMYFUNCTION("""COMPUTED_VALUE"""),"Stock")</f>
        <v>Stock</v>
      </c>
      <c r="H342" s="4" t="str">
        <f ca="1">IFERROR(__xludf.DUMMYFUNCTION("""COMPUTED_VALUE"""),"4Q 2023")</f>
        <v>4Q 2023</v>
      </c>
      <c r="I342" s="131" t="str">
        <f ca="1">IFERROR(__xludf.DUMMYFUNCTION("""COMPUTED_VALUE"""),"angie.castaneda-bbva.com")</f>
        <v>angie.castaneda-bbva.com</v>
      </c>
      <c r="J342" s="131" t="str">
        <f ca="1">IFERROR(__xludf.DUMMYFUNCTION("""COMPUTED_VALUE"""),"diegoandres.rodriguez-bbva.com")</f>
        <v>diegoandres.rodriguez-bbva.com</v>
      </c>
      <c r="K342" s="131" t="str">
        <f ca="1">IFERROR(__xludf.DUMMYFUNCTION("""COMPUTED_VALUE"""),"paolaandrea.guzman-bbva.com")</f>
        <v>paolaandrea.guzman-bbva.com</v>
      </c>
      <c r="L342" s="4"/>
      <c r="M342" s="4"/>
      <c r="N342" s="4"/>
      <c r="O342" s="4" t="str">
        <f ca="1">IFERROR(__xludf.DUMMYFUNCTION("""COMPUTED_VALUE"""),"Scrum")</f>
        <v>Scrum</v>
      </c>
      <c r="P342" s="4" t="str">
        <f ca="1">IFERROR(__xludf.DUMMYFUNCTION("""COMPUTED_VALUE"""),"The Doors")</f>
        <v>The Doors</v>
      </c>
      <c r="Q342" s="4"/>
      <c r="R342" s="130" t="str">
        <f ca="1">IFERROR(__xludf.DUMMYFUNCTION("""COMPUTED_VALUE"""),"Payments &amp; Partnerships")</f>
        <v>Payments &amp; Partnerships</v>
      </c>
      <c r="S342" s="130" t="str">
        <f ca="1">IFERROR(__xludf.DUMMYFUNCTION("""COMPUTED_VALUE"""),"Area Review")</f>
        <v>Area Review</v>
      </c>
      <c r="T342" s="130" t="str">
        <f ca="1">IFERROR(__xludf.DUMMYFUNCTION("""COMPUTED_VALUE"""),"1. Generación de Ingresos")</f>
        <v>1. Generación de Ingresos</v>
      </c>
      <c r="U342" s="130" t="str">
        <f ca="1">IFERROR(__xludf.DUMMYFUNCTION("""COMPUTED_VALUE"""),"1.2. Proyectos de Consumo")</f>
        <v>1.2. Proyectos de Consumo</v>
      </c>
      <c r="V342" s="4" t="str">
        <f ca="1">IFERROR(__xludf.DUMMYFUNCTION("""COMPUTED_VALUE"""),"OM")</f>
        <v>OM</v>
      </c>
      <c r="W342" s="4">
        <f ca="1">IFERROR(__xludf.DUMMYFUNCTION("""COMPUTED_VALUE"""),1)</f>
        <v>1</v>
      </c>
      <c r="X342" s="4" t="str">
        <f ca="1">IFERROR(__xludf.DUMMYFUNCTION("""COMPUTED_VALUE"""),"01. Open Market &amp; Partnerships")</f>
        <v>01. Open Market &amp; Partnerships</v>
      </c>
      <c r="Y342" s="4" t="str">
        <f ca="1">IFERROR(__xludf.DUMMYFUNCTION("""COMPUTED_VALUE"""),"5.4.1 Partnerships &amp; OB")</f>
        <v>5.4.1 Partnerships &amp; OB</v>
      </c>
      <c r="Z342" s="132" t="str">
        <f ca="1">IFERROR(__xludf.DUMMYFUNCTION("""COMPUTED_VALUE"""),"713238")</f>
        <v>713238</v>
      </c>
      <c r="AA342" s="4" t="str">
        <f ca="1">IFERROR(__xludf.DUMMYFUNCTION("""COMPUTED_VALUE"""),"Desarrollo gestor documental FGA")</f>
        <v>Desarrollo gestor documental FGA</v>
      </c>
      <c r="AB342" s="4" t="str">
        <f ca="1">IFERROR(__xludf.DUMMYFUNCTION("""COMPUTED_VALUE"""),"Creación front almacenamiento  consulta documento FGA .")</f>
        <v>Creación front almacenamiento  consulta documento FGA .</v>
      </c>
      <c r="AC342" s="4" t="str">
        <f ca="1">IFERROR(__xludf.DUMMYFUNCTION("""COMPUTED_VALUE"""),"3Q 2023")</f>
        <v>3Q 2023</v>
      </c>
      <c r="AD342" s="4"/>
      <c r="AE342" s="4"/>
      <c r="AF342" s="4"/>
      <c r="AG342" s="4"/>
      <c r="AH342" s="4"/>
      <c r="AI342" s="4"/>
      <c r="AJ342" s="4"/>
      <c r="AK342" s="131" t="str">
        <f ca="1">IFERROR(__xludf.DUMMYFUNCTION("""COMPUTED_VALUE"""),"COLWSPREST-10626")</f>
        <v>COLWSPREST-10626</v>
      </c>
      <c r="AL342" s="4" t="str">
        <f ca="1">IFERROR(__xludf.DUMMYFUNCTION("""COMPUTED_VALUE"""),"New")</f>
        <v>New</v>
      </c>
      <c r="AM342" s="4" t="str">
        <f ca="1">IFERROR(__xludf.DUMMYFUNCTION("""COMPUTED_VALUE"""),"En desarrollos. ")</f>
        <v xml:space="preserve">En desarrollos. </v>
      </c>
      <c r="AN342" s="4" t="str">
        <f ca="1">IFERROR(__xludf.DUMMYFUNCTION("""COMPUTED_VALUE"""),"Entregable en backlog")</f>
        <v>Entregable en backlog</v>
      </c>
      <c r="AO342" s="4" t="str">
        <f ca="1">IFERROR(__xludf.DUMMYFUNCTION("""COMPUTED_VALUE"""),"Consumo partnerships")</f>
        <v>Consumo partnerships</v>
      </c>
      <c r="AP342" s="4"/>
      <c r="AQ342" s="4"/>
      <c r="AR342" s="4" t="str">
        <f ca="1">IFERROR(__xludf.DUMMYFUNCTION("""COMPUTED_VALUE"""),"SDA aprobada en PPP Q1 2023")</f>
        <v>SDA aprobada en PPP Q1 2023</v>
      </c>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row>
    <row r="343" spans="1:132" x14ac:dyDescent="0.2">
      <c r="A343" s="4">
        <f ca="1">IFERROR(__xludf.DUMMYFUNCTION("""COMPUTED_VALUE"""),343)</f>
        <v>343</v>
      </c>
      <c r="B343" s="4">
        <f ca="1">IFERROR(__xludf.DUMMYFUNCTION("""COMPUTED_VALUE"""),320)</f>
        <v>320</v>
      </c>
      <c r="C343" s="4" t="str">
        <f ca="1">IFERROR(__xludf.DUMMYFUNCTION("""COMPUTED_VALUE"""),"SDATOOL-42053")</f>
        <v>SDATOOL-42053</v>
      </c>
      <c r="D343" s="4" t="str">
        <f ca="1">IFERROR(__xludf.DUMMYFUNCTION("""COMPUTED_VALUE"""),"Huella Digital")</f>
        <v>Huella Digital</v>
      </c>
      <c r="E343" s="4" t="str">
        <f ca="1">IFERROR(__xludf.DUMMYFUNCTION("""COMPUTED_VALUE"""),"Utilizar la información digital de los clientes que ingresan al formulario de Open Market en la pagina blanca del banco e identificar clientes con buen comportamiento de pago a través de los datos de huella digital y transaccional para contrastar la infor"&amp;"mación y aplicar reglas de negocio y algoritmos de perfilamiento y segmentación de clientes que permitan ingresar a nuevos nichos de mercado.
Impactar el motor de riesgos que esta en medio del funnel  para que se capture la información digital del client"&amp;"e a través del formulario de OM y se complemente con la información que ya se tiene del cliente como ingreso, Buro y demás y después de aplicar las reglas de negocio dentro del funnel y facilitar que el cliente reciba el risk ok.")</f>
        <v>Utilizar la información digital de los clientes que ingresan al formulario de Open Market en la pagina blanca del banco e identificar clientes con buen comportamiento de pago a través de los datos de huella digital y transaccional para contrastar la información y aplicar reglas de negocio y algoritmos de perfilamiento y segmentación de clientes que permitan ingresar a nuevos nichos de mercado.
Impactar el motor de riesgos que esta en medio del funnel  para que se capture la información digital del cliente a través del formulario de OM y se complemente con la información que ya se tiene del cliente como ingreso, Buro y demás y después de aplicar las reglas de negocio dentro del funnel y facilitar que el cliente reciba el risk ok.</v>
      </c>
      <c r="F343" s="4" t="str">
        <f ca="1">IFERROR(__xludf.DUMMYFUNCTION("""COMPUTED_VALUE"""),"Project")</f>
        <v>Project</v>
      </c>
      <c r="G343" s="4" t="str">
        <f ca="1">IFERROR(__xludf.DUMMYFUNCTION("""COMPUTED_VALUE"""),"On hold")</f>
        <v>On hold</v>
      </c>
      <c r="H343" s="4" t="str">
        <f ca="1">IFERROR(__xludf.DUMMYFUNCTION("""COMPUTED_VALUE"""),"3Q 2023")</f>
        <v>3Q 2023</v>
      </c>
      <c r="I343" s="131" t="str">
        <f ca="1">IFERROR(__xludf.DUMMYFUNCTION("""COMPUTED_VALUE"""),"angie.castaneda-bbva.com")</f>
        <v>angie.castaneda-bbva.com</v>
      </c>
      <c r="J343" s="131" t="str">
        <f ca="1">IFERROR(__xludf.DUMMYFUNCTION("""COMPUTED_VALUE"""),"diegoandres.rodriguez-bbva.com")</f>
        <v>diegoandres.rodriguez-bbva.com</v>
      </c>
      <c r="K343" s="131" t="str">
        <f ca="1">IFERROR(__xludf.DUMMYFUNCTION("""COMPUTED_VALUE"""),"john.calvo-bbva.com")</f>
        <v>john.calvo-bbva.com</v>
      </c>
      <c r="L343" s="130">
        <f ca="1">IFERROR(__xludf.DUMMYFUNCTION("""COMPUTED_VALUE"""),0.2)</f>
        <v>0.2</v>
      </c>
      <c r="M343" s="130">
        <f ca="1">IFERROR(__xludf.DUMMYFUNCTION("""COMPUTED_VALUE"""),0)</f>
        <v>0</v>
      </c>
      <c r="N343" s="130">
        <f ca="1">IFERROR(__xludf.DUMMYFUNCTION("""COMPUTED_VALUE"""),0)</f>
        <v>0</v>
      </c>
      <c r="O343" s="4" t="str">
        <f ca="1">IFERROR(__xludf.DUMMYFUNCTION("""COMPUTED_VALUE"""),"Scrum")</f>
        <v>Scrum</v>
      </c>
      <c r="P343" s="4" t="str">
        <f ca="1">IFERROR(__xludf.DUMMYFUNCTION("""COMPUTED_VALUE"""),"The Doors")</f>
        <v>The Doors</v>
      </c>
      <c r="Q343" s="130">
        <f ca="1">IFERROR(__xludf.DUMMYFUNCTION("""COMPUTED_VALUE"""),0)</f>
        <v>0</v>
      </c>
      <c r="R343" s="130" t="str">
        <f ca="1">IFERROR(__xludf.DUMMYFUNCTION("""COMPUTED_VALUE"""),"Advanced Analytics")</f>
        <v>Advanced Analytics</v>
      </c>
      <c r="S343" s="130" t="str">
        <f ca="1">IFERROR(__xludf.DUMMYFUNCTION("""COMPUTED_VALUE"""),"Otros")</f>
        <v>Otros</v>
      </c>
      <c r="T343" s="130" t="str">
        <f ca="1">IFERROR(__xludf.DUMMYFUNCTION("""COMPUTED_VALUE"""),"1. Generación de Ingresos")</f>
        <v>1. Generación de Ingresos</v>
      </c>
      <c r="U343" s="130" t="str">
        <f ca="1">IFERROR(__xludf.DUMMYFUNCTION("""COMPUTED_VALUE"""),"1.5. Otros de Proyectos de Ingresos")</f>
        <v>1.5. Otros de Proyectos de Ingresos</v>
      </c>
      <c r="V343" s="4" t="str">
        <f ca="1">IFERROR(__xludf.DUMMYFUNCTION("""COMPUTED_VALUE"""),"Habilitador")</f>
        <v>Habilitador</v>
      </c>
      <c r="W343" s="4">
        <f ca="1">IFERROR(__xludf.DUMMYFUNCTION("""COMPUTED_VALUE"""),1)</f>
        <v>1</v>
      </c>
      <c r="X343" s="4" t="str">
        <f ca="1">IFERROR(__xludf.DUMMYFUNCTION("""COMPUTED_VALUE"""),"01. Open Market &amp; Partnerships")</f>
        <v>01. Open Market &amp; Partnerships</v>
      </c>
      <c r="Y343" s="4" t="str">
        <f ca="1">IFERROR(__xludf.DUMMYFUNCTION("""COMPUTED_VALUE"""),"Otros")</f>
        <v>Otros</v>
      </c>
      <c r="Z343" s="132" t="str">
        <f ca="1">IFERROR(__xludf.DUMMYFUNCTION("""COMPUTED_VALUE"""),"710668")</f>
        <v>710668</v>
      </c>
      <c r="AA343" s="4" t="str">
        <f ca="1">IFERROR(__xludf.DUMMYFUNCTION("""COMPUTED_VALUE"""),"Creación módulo Huella digital")</f>
        <v>Creación módulo Huella digital</v>
      </c>
      <c r="AB343" s="4" t="str">
        <f ca="1">IFERROR(__xludf.DUMMYFUNCTION("""COMPUTED_VALUE"""),"Creación módulo Huella digital")</f>
        <v>Creación módulo Huella digital</v>
      </c>
      <c r="AC343" s="4" t="str">
        <f ca="1">IFERROR(__xludf.DUMMYFUNCTION("""COMPUTED_VALUE"""),"3Q 2023")</f>
        <v>3Q 2023</v>
      </c>
      <c r="AD343" s="4"/>
      <c r="AE343" s="4"/>
      <c r="AF343" s="4"/>
      <c r="AG343" s="4"/>
      <c r="AH343" s="4"/>
      <c r="AI343" s="4"/>
      <c r="AJ343" s="4"/>
      <c r="AK343" s="4" t="str">
        <f ca="1">IFERROR(__xludf.DUMMYFUNCTION("""COMPUTED_VALUE"""),"Sin asignar")</f>
        <v>Sin asignar</v>
      </c>
      <c r="AL343" s="4" t="str">
        <f ca="1">IFERROR(__xludf.DUMMYFUNCTION("""COMPUTED_VALUE"""),"Sin asignar")</f>
        <v>Sin asignar</v>
      </c>
      <c r="AM343" s="4" t="str">
        <f ca="1">IFERROR(__xludf.DUMMYFUNCTION("""COMPUTED_VALUE"""),"Sin Iniciar")</f>
        <v>Sin Iniciar</v>
      </c>
      <c r="AN343" s="4" t="str">
        <f ca="1">IFERROR(__xludf.DUMMYFUNCTION("""COMPUTED_VALUE"""),"Iniciativa en Discovery")</f>
        <v>Iniciativa en Discovery</v>
      </c>
      <c r="AO343" s="4" t="str">
        <f ca="1">IFERROR(__xludf.DUMMYFUNCTION("""COMPUTED_VALUE"""),"Tarjeta de crédito /medios de pago")</f>
        <v>Tarjeta de crédito /medios de pago</v>
      </c>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133">
        <f ca="1">IFERROR(__xludf.DUMMYFUNCTION("""COMPUTED_VALUE"""),0)</f>
        <v>0</v>
      </c>
      <c r="DV343" s="133">
        <f ca="1">IFERROR(__xludf.DUMMYFUNCTION("""COMPUTED_VALUE"""),0)</f>
        <v>0</v>
      </c>
      <c r="DW343" s="133">
        <f ca="1">IFERROR(__xludf.DUMMYFUNCTION("""COMPUTED_VALUE"""),0)</f>
        <v>0</v>
      </c>
      <c r="DX343" s="133">
        <f ca="1">IFERROR(__xludf.DUMMYFUNCTION("""COMPUTED_VALUE"""),600000000)</f>
        <v>600000000</v>
      </c>
      <c r="DY343" s="133">
        <f ca="1">IFERROR(__xludf.DUMMYFUNCTION("""COMPUTED_VALUE"""),200000000)</f>
        <v>200000000</v>
      </c>
      <c r="DZ343" s="133">
        <f ca="1">IFERROR(__xludf.DUMMYFUNCTION("""COMPUTED_VALUE"""),800000000)</f>
        <v>800000000</v>
      </c>
      <c r="EA343" s="4"/>
      <c r="EB343" s="4"/>
    </row>
    <row r="344" spans="1:132" x14ac:dyDescent="0.2">
      <c r="A344" s="4">
        <f ca="1">IFERROR(__xludf.DUMMYFUNCTION("""COMPUTED_VALUE"""),344)</f>
        <v>344</v>
      </c>
      <c r="B344" s="4">
        <f ca="1">IFERROR(__xludf.DUMMYFUNCTION("""COMPUTED_VALUE"""),321)</f>
        <v>321</v>
      </c>
      <c r="C344" s="4" t="str">
        <f ca="1">IFERROR(__xludf.DUMMYFUNCTION("""COMPUTED_VALUE"""),"SDATOOL-34887")</f>
        <v>SDATOOL-34887</v>
      </c>
      <c r="D344" s="4" t="str">
        <f ca="1">IFERROR(__xludf.DUMMYFUNCTION("""COMPUTED_VALUE"""),"Vivienda Digital Open Market")</f>
        <v>Vivienda Digital Open Market</v>
      </c>
      <c r="E344"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4" s="4" t="str">
        <f ca="1">IFERROR(__xludf.DUMMYFUNCTION("""COMPUTED_VALUE"""),"Project")</f>
        <v>Project</v>
      </c>
      <c r="G344" s="4" t="str">
        <f ca="1">IFERROR(__xludf.DUMMYFUNCTION("""COMPUTED_VALUE"""),"Ended")</f>
        <v>Ended</v>
      </c>
      <c r="H344" s="4" t="str">
        <f ca="1">IFERROR(__xludf.DUMMYFUNCTION("""COMPUTED_VALUE"""),"1Q 2023")</f>
        <v>1Q 2023</v>
      </c>
      <c r="I344" s="131" t="str">
        <f ca="1">IFERROR(__xludf.DUMMYFUNCTION("""COMPUTED_VALUE"""),"angie.castaneda-bbva.com")</f>
        <v>angie.castaneda-bbva.com</v>
      </c>
      <c r="J344" s="131" t="str">
        <f ca="1">IFERROR(__xludf.DUMMYFUNCTION("""COMPUTED_VALUE"""),"liliana.marquez-bbva.com")</f>
        <v>liliana.marquez-bbva.com</v>
      </c>
      <c r="K344" s="131" t="str">
        <f ca="1">IFERROR(__xludf.DUMMYFUNCTION("""COMPUTED_VALUE"""),"monica.zamudio-bbva.com")</f>
        <v>monica.zamudio-bbva.com</v>
      </c>
      <c r="L344" s="130">
        <f ca="1">IFERROR(__xludf.DUMMYFUNCTION("""COMPUTED_VALUE"""),0)</f>
        <v>0</v>
      </c>
      <c r="M344" s="130">
        <f ca="1">IFERROR(__xludf.DUMMYFUNCTION("""COMPUTED_VALUE"""),0.8)</f>
        <v>0.8</v>
      </c>
      <c r="N344" s="130">
        <f ca="1">IFERROR(__xludf.DUMMYFUNCTION("""COMPUTED_VALUE"""),1.25)</f>
        <v>1.25</v>
      </c>
      <c r="O344" s="4" t="str">
        <f ca="1">IFERROR(__xludf.DUMMYFUNCTION("""COMPUTED_VALUE"""),"Scrum")</f>
        <v>Scrum</v>
      </c>
      <c r="P344" s="4" t="str">
        <f ca="1">IFERROR(__xludf.DUMMYFUNCTION("""COMPUTED_VALUE"""),"The Matrix")</f>
        <v>The Matrix</v>
      </c>
      <c r="Q344" s="130">
        <f ca="1">IFERROR(__xludf.DUMMYFUNCTION("""COMPUTED_VALUE"""),0)</f>
        <v>0</v>
      </c>
      <c r="R344" s="130" t="str">
        <f ca="1">IFERROR(__xludf.DUMMYFUNCTION("""COMPUTED_VALUE"""),"Retail Execution")</f>
        <v>Retail Execution</v>
      </c>
      <c r="S344" s="130" t="str">
        <f ca="1">IFERROR(__xludf.DUMMYFUNCTION("""COMPUTED_VALUE"""),"Area Review")</f>
        <v>Area Review</v>
      </c>
      <c r="T344" s="130" t="str">
        <f ca="1">IFERROR(__xludf.DUMMYFUNCTION("""COMPUTED_VALUE"""),"1. Generación de Ingresos")</f>
        <v>1. Generación de Ingresos</v>
      </c>
      <c r="U344" s="130" t="str">
        <f ca="1">IFERROR(__xludf.DUMMYFUNCTION("""COMPUTED_VALUE"""),"1.1. Proyectos de Hipotecario")</f>
        <v>1.1. Proyectos de Hipotecario</v>
      </c>
      <c r="V344" s="4" t="str">
        <f ca="1">IFERROR(__xludf.DUMMYFUNCTION("""COMPUTED_VALUE"""),"Vivienda")</f>
        <v>Vivienda</v>
      </c>
      <c r="W344" s="4">
        <f ca="1">IFERROR(__xludf.DUMMYFUNCTION("""COMPUTED_VALUE"""),1)</f>
        <v>1</v>
      </c>
      <c r="X344" s="4" t="str">
        <f ca="1">IFERROR(__xludf.DUMMYFUNCTION("""COMPUTED_VALUE"""),"01. Open Market &amp; Partnerships")</f>
        <v>01. Open Market &amp; Partnerships</v>
      </c>
      <c r="Y344" s="4" t="str">
        <f ca="1">IFERROR(__xludf.DUMMYFUNCTION("""COMPUTED_VALUE"""),"4.1.1. Own channels")</f>
        <v>4.1.1. Own channels</v>
      </c>
      <c r="Z344" s="132" t="str">
        <f ca="1">IFERROR(__xludf.DUMMYFUNCTION("""COMPUTED_VALUE"""),"310453")</f>
        <v>310453</v>
      </c>
      <c r="AA344" s="4" t="str">
        <f ca="1">IFERROR(__xludf.DUMMYFUNCTION("""COMPUTED_VALUE"""),"Migración a servicio Historial de crédito")</f>
        <v>Migración a servicio Historial de crédito</v>
      </c>
      <c r="AB344" s="4" t="str">
        <f ca="1">IFERROR(__xludf.DUMMYFUNCTION("""COMPUTED_VALUE"""),"Migración a servicio Historial de crédito")</f>
        <v>Migración a servicio Historial de crédito</v>
      </c>
      <c r="AC344" s="4" t="str">
        <f ca="1">IFERROR(__xludf.DUMMYFUNCTION("""COMPUTED_VALUE"""),"3Q 2021")</f>
        <v>3Q 2021</v>
      </c>
      <c r="AD344" s="4"/>
      <c r="AE344" s="4"/>
      <c r="AF344" s="4"/>
      <c r="AG344" s="4"/>
      <c r="AH344" s="4"/>
      <c r="AI344" s="4"/>
      <c r="AJ344" s="4"/>
      <c r="AK344" s="4" t="str">
        <f ca="1">IFERROR(__xludf.DUMMYFUNCTION("""COMPUTED_VALUE"""),"Sin asignar")</f>
        <v>Sin asignar</v>
      </c>
      <c r="AL344" s="4" t="str">
        <f ca="1">IFERROR(__xludf.DUMMYFUNCTION("""COMPUTED_VALUE"""),"Sin asignar")</f>
        <v>Sin asignar</v>
      </c>
      <c r="AM344" s="4" t="str">
        <f ca="1">IFERROR(__xludf.DUMMYFUNCTION("""COMPUTED_VALUE"""),"En producción")</f>
        <v>En producción</v>
      </c>
      <c r="AN344" s="4" t="str">
        <f ca="1">IFERROR(__xludf.DUMMYFUNCTION("""COMPUTED_VALUE"""),"Finalizado")</f>
        <v>Finalizado</v>
      </c>
      <c r="AO344" s="4" t="str">
        <f ca="1">IFERROR(__xludf.DUMMYFUNCTION("""COMPUTED_VALUE"""),"Vivienda")</f>
        <v>Vivienda</v>
      </c>
      <c r="AP344" s="4"/>
      <c r="AQ344" s="4"/>
      <c r="AR344" s="4" t="str">
        <f ca="1">IFERROR(__xludf.DUMMYFUNCTION("""COMPUTED_VALUE"""),"SDA aprobada en PPP Q1 2023")</f>
        <v>SDA aprobada en PPP Q1 2023</v>
      </c>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133">
        <f ca="1">IFERROR(__xludf.DUMMYFUNCTION("""COMPUTED_VALUE"""),0)</f>
        <v>0</v>
      </c>
      <c r="DV344" s="133">
        <f ca="1">IFERROR(__xludf.DUMMYFUNCTION("""COMPUTED_VALUE"""),167611514)</f>
        <v>167611514</v>
      </c>
      <c r="DW344" s="133">
        <f ca="1">IFERROR(__xludf.DUMMYFUNCTION("""COMPUTED_VALUE"""),1341609017)</f>
        <v>1341609017</v>
      </c>
      <c r="DX344" s="133">
        <f ca="1">IFERROR(__xludf.DUMMYFUNCTION("""COMPUTED_VALUE"""),311409780)</f>
        <v>311409780</v>
      </c>
      <c r="DY344" s="133">
        <f ca="1">IFERROR(__xludf.DUMMYFUNCTION("""COMPUTED_VALUE"""),0)</f>
        <v>0</v>
      </c>
      <c r="DZ344" s="133">
        <f ca="1">IFERROR(__xludf.DUMMYFUNCTION("""COMPUTED_VALUE"""),1820630311)</f>
        <v>1820630311</v>
      </c>
      <c r="EA344" s="4"/>
      <c r="EB344" s="4"/>
    </row>
    <row r="345" spans="1:132" x14ac:dyDescent="0.2">
      <c r="A345" s="4">
        <f ca="1">IFERROR(__xludf.DUMMYFUNCTION("""COMPUTED_VALUE"""),345)</f>
        <v>345</v>
      </c>
      <c r="B345" s="4">
        <f ca="1">IFERROR(__xludf.DUMMYFUNCTION("""COMPUTED_VALUE"""),322)</f>
        <v>322</v>
      </c>
      <c r="C345" s="4" t="str">
        <f ca="1">IFERROR(__xludf.DUMMYFUNCTION("""COMPUTED_VALUE"""),"SDATOOL-34887")</f>
        <v>SDATOOL-34887</v>
      </c>
      <c r="D345" s="4" t="str">
        <f ca="1">IFERROR(__xludf.DUMMYFUNCTION("""COMPUTED_VALUE"""),"Vivienda Digital Open Market")</f>
        <v>Vivienda Digital Open Market</v>
      </c>
      <c r="E345"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5" s="4" t="str">
        <f ca="1">IFERROR(__xludf.DUMMYFUNCTION("""COMPUTED_VALUE"""),"Project")</f>
        <v>Project</v>
      </c>
      <c r="G345" s="4" t="str">
        <f ca="1">IFERROR(__xludf.DUMMYFUNCTION("""COMPUTED_VALUE"""),"Ended")</f>
        <v>Ended</v>
      </c>
      <c r="H345" s="4" t="str">
        <f ca="1">IFERROR(__xludf.DUMMYFUNCTION("""COMPUTED_VALUE"""),"1Q 2023")</f>
        <v>1Q 2023</v>
      </c>
      <c r="I345" s="131" t="str">
        <f ca="1">IFERROR(__xludf.DUMMYFUNCTION("""COMPUTED_VALUE"""),"angie.castaneda-bbva.com")</f>
        <v>angie.castaneda-bbva.com</v>
      </c>
      <c r="J345" s="131" t="str">
        <f ca="1">IFERROR(__xludf.DUMMYFUNCTION("""COMPUTED_VALUE"""),"liliana.marquez-bbva.com")</f>
        <v>liliana.marquez-bbva.com</v>
      </c>
      <c r="K345" s="131" t="str">
        <f ca="1">IFERROR(__xludf.DUMMYFUNCTION("""COMPUTED_VALUE"""),"monica.zamudio-bbva.com")</f>
        <v>monica.zamudio-bbva.com</v>
      </c>
      <c r="L345" s="4"/>
      <c r="M345" s="4"/>
      <c r="N345" s="4"/>
      <c r="O345" s="4" t="str">
        <f ca="1">IFERROR(__xludf.DUMMYFUNCTION("""COMPUTED_VALUE"""),"Scrum")</f>
        <v>Scrum</v>
      </c>
      <c r="P345" s="4" t="str">
        <f ca="1">IFERROR(__xludf.DUMMYFUNCTION("""COMPUTED_VALUE"""),"The Matrix")</f>
        <v>The Matrix</v>
      </c>
      <c r="Q345" s="4"/>
      <c r="R345" s="130" t="str">
        <f ca="1">IFERROR(__xludf.DUMMYFUNCTION("""COMPUTED_VALUE"""),"Retail Execution")</f>
        <v>Retail Execution</v>
      </c>
      <c r="S345" s="130" t="str">
        <f ca="1">IFERROR(__xludf.DUMMYFUNCTION("""COMPUTED_VALUE"""),"Area Review")</f>
        <v>Area Review</v>
      </c>
      <c r="T345" s="130" t="str">
        <f ca="1">IFERROR(__xludf.DUMMYFUNCTION("""COMPUTED_VALUE"""),"1. Generación de Ingresos")</f>
        <v>1. Generación de Ingresos</v>
      </c>
      <c r="U345" s="130" t="str">
        <f ca="1">IFERROR(__xludf.DUMMYFUNCTION("""COMPUTED_VALUE"""),"1.1. Proyectos de Hipotecario")</f>
        <v>1.1. Proyectos de Hipotecario</v>
      </c>
      <c r="V345" s="4" t="str">
        <f ca="1">IFERROR(__xludf.DUMMYFUNCTION("""COMPUTED_VALUE"""),"Vivienda")</f>
        <v>Vivienda</v>
      </c>
      <c r="W345" s="4">
        <f ca="1">IFERROR(__xludf.DUMMYFUNCTION("""COMPUTED_VALUE"""),1)</f>
        <v>1</v>
      </c>
      <c r="X345" s="4" t="str">
        <f ca="1">IFERROR(__xludf.DUMMYFUNCTION("""COMPUTED_VALUE"""),"01. Open Market &amp; Partnerships")</f>
        <v>01. Open Market &amp; Partnerships</v>
      </c>
      <c r="Y345" s="4" t="str">
        <f ca="1">IFERROR(__xludf.DUMMYFUNCTION("""COMPUTED_VALUE"""),"4.1.1. Own channels")</f>
        <v>4.1.1. Own channels</v>
      </c>
      <c r="Z345" s="132" t="str">
        <f ca="1">IFERROR(__xludf.DUMMYFUNCTION("""COMPUTED_VALUE"""),"514867")</f>
        <v>514867</v>
      </c>
      <c r="AA345" s="4" t="str">
        <f ca="1">IFERROR(__xludf.DUMMYFUNCTION("""COMPUTED_VALUE"""),"Pricing táctico")</f>
        <v>Pricing táctico</v>
      </c>
      <c r="AB345" s="4" t="str">
        <f ca="1">IFERROR(__xludf.DUMMYFUNCTION("""COMPUTED_VALUE"""),"Pricing táctico")</f>
        <v>Pricing táctico</v>
      </c>
      <c r="AC345" s="4" t="str">
        <f ca="1">IFERROR(__xludf.DUMMYFUNCTION("""COMPUTED_VALUE"""),"4Q 2022")</f>
        <v>4Q 2022</v>
      </c>
      <c r="AD345" s="128">
        <f ca="1">IFERROR(__xludf.DUMMYFUNCTION("""COMPUTED_VALUE"""),44531)</f>
        <v>44531</v>
      </c>
      <c r="AE345" s="128">
        <f ca="1">IFERROR(__xludf.DUMMYFUNCTION("""COMPUTED_VALUE"""),44590)</f>
        <v>44590</v>
      </c>
      <c r="AF345" s="128">
        <f ca="1">IFERROR(__xludf.DUMMYFUNCTION("""COMPUTED_VALUE"""),44681)</f>
        <v>44681</v>
      </c>
      <c r="AG345" s="128">
        <f ca="1">IFERROR(__xludf.DUMMYFUNCTION("""COMPUTED_VALUE"""),44804)</f>
        <v>44804</v>
      </c>
      <c r="AH345" s="128">
        <f ca="1">IFERROR(__xludf.DUMMYFUNCTION("""COMPUTED_VALUE"""),44805)</f>
        <v>44805</v>
      </c>
      <c r="AI345" s="128">
        <f ca="1">IFERROR(__xludf.DUMMYFUNCTION("""COMPUTED_VALUE"""),44895)</f>
        <v>44895</v>
      </c>
      <c r="AJ345" s="128">
        <f ca="1">IFERROR(__xludf.DUMMYFUNCTION("""COMPUTED_VALUE"""),44926)</f>
        <v>44926</v>
      </c>
      <c r="AK345" s="4" t="str">
        <f ca="1">IFERROR(__xludf.DUMMYFUNCTION("""COMPUTED_VALUE"""),"Sin asignar")</f>
        <v>Sin asignar</v>
      </c>
      <c r="AL345" s="4" t="str">
        <f ca="1">IFERROR(__xludf.DUMMYFUNCTION("""COMPUTED_VALUE"""),"Sin asignar")</f>
        <v>Sin asignar</v>
      </c>
      <c r="AM345" s="4" t="str">
        <f ca="1">IFERROR(__xludf.DUMMYFUNCTION("""COMPUTED_VALUE"""),"En producción")</f>
        <v>En producción</v>
      </c>
      <c r="AN345" s="4" t="str">
        <f ca="1">IFERROR(__xludf.DUMMYFUNCTION("""COMPUTED_VALUE"""),"Finalizado")</f>
        <v>Finalizado</v>
      </c>
      <c r="AO345" s="4" t="str">
        <f ca="1">IFERROR(__xludf.DUMMYFUNCTION("""COMPUTED_VALUE"""),"Vivienda")</f>
        <v>Vivienda</v>
      </c>
      <c r="AP345" s="4"/>
      <c r="AQ345" s="4"/>
      <c r="AR345" s="4" t="str">
        <f ca="1">IFERROR(__xludf.DUMMYFUNCTION("""COMPUTED_VALUE"""),"SDA aprobada en PPP Q1 2023")</f>
        <v>SDA aprobada en PPP Q1 2023</v>
      </c>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row>
    <row r="346" spans="1:132" x14ac:dyDescent="0.2">
      <c r="A346" s="4">
        <f ca="1">IFERROR(__xludf.DUMMYFUNCTION("""COMPUTED_VALUE"""),346)</f>
        <v>346</v>
      </c>
      <c r="B346" s="4">
        <f ca="1">IFERROR(__xludf.DUMMYFUNCTION("""COMPUTED_VALUE"""),323)</f>
        <v>323</v>
      </c>
      <c r="C346" s="4" t="str">
        <f ca="1">IFERROR(__xludf.DUMMYFUNCTION("""COMPUTED_VALUE"""),"SDATOOL-34887")</f>
        <v>SDATOOL-34887</v>
      </c>
      <c r="D346" s="4" t="str">
        <f ca="1">IFERROR(__xludf.DUMMYFUNCTION("""COMPUTED_VALUE"""),"Vivienda Digital Open Market")</f>
        <v>Vivienda Digital Open Market</v>
      </c>
      <c r="E346"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6" s="4" t="str">
        <f ca="1">IFERROR(__xludf.DUMMYFUNCTION("""COMPUTED_VALUE"""),"Project")</f>
        <v>Project</v>
      </c>
      <c r="G346" s="4" t="str">
        <f ca="1">IFERROR(__xludf.DUMMYFUNCTION("""COMPUTED_VALUE"""),"Ended")</f>
        <v>Ended</v>
      </c>
      <c r="H346" s="4" t="str">
        <f ca="1">IFERROR(__xludf.DUMMYFUNCTION("""COMPUTED_VALUE"""),"1Q 2023")</f>
        <v>1Q 2023</v>
      </c>
      <c r="I346" s="131" t="str">
        <f ca="1">IFERROR(__xludf.DUMMYFUNCTION("""COMPUTED_VALUE"""),"angie.castaneda-bbva.com")</f>
        <v>angie.castaneda-bbva.com</v>
      </c>
      <c r="J346" s="131" t="str">
        <f ca="1">IFERROR(__xludf.DUMMYFUNCTION("""COMPUTED_VALUE"""),"liliana.marquez-bbva.com")</f>
        <v>liliana.marquez-bbva.com</v>
      </c>
      <c r="K346" s="131" t="str">
        <f ca="1">IFERROR(__xludf.DUMMYFUNCTION("""COMPUTED_VALUE"""),"monica.zamudio-bbva.com")</f>
        <v>monica.zamudio-bbva.com</v>
      </c>
      <c r="L346" s="4"/>
      <c r="M346" s="4"/>
      <c r="N346" s="4"/>
      <c r="O346" s="4" t="str">
        <f ca="1">IFERROR(__xludf.DUMMYFUNCTION("""COMPUTED_VALUE"""),"Scrum")</f>
        <v>Scrum</v>
      </c>
      <c r="P346" s="4" t="str">
        <f ca="1">IFERROR(__xludf.DUMMYFUNCTION("""COMPUTED_VALUE"""),"The Matrix")</f>
        <v>The Matrix</v>
      </c>
      <c r="Q346" s="4"/>
      <c r="R346" s="130" t="str">
        <f ca="1">IFERROR(__xludf.DUMMYFUNCTION("""COMPUTED_VALUE"""),"Retail Execution")</f>
        <v>Retail Execution</v>
      </c>
      <c r="S346" s="130" t="str">
        <f ca="1">IFERROR(__xludf.DUMMYFUNCTION("""COMPUTED_VALUE"""),"Area Review")</f>
        <v>Area Review</v>
      </c>
      <c r="T346" s="130" t="str">
        <f ca="1">IFERROR(__xludf.DUMMYFUNCTION("""COMPUTED_VALUE"""),"1. Generación de Ingresos")</f>
        <v>1. Generación de Ingresos</v>
      </c>
      <c r="U346" s="130" t="str">
        <f ca="1">IFERROR(__xludf.DUMMYFUNCTION("""COMPUTED_VALUE"""),"1.1. Proyectos de Hipotecario")</f>
        <v>1.1. Proyectos de Hipotecario</v>
      </c>
      <c r="V346" s="4" t="str">
        <f ca="1">IFERROR(__xludf.DUMMYFUNCTION("""COMPUTED_VALUE"""),"Vivienda")</f>
        <v>Vivienda</v>
      </c>
      <c r="W346" s="4">
        <f ca="1">IFERROR(__xludf.DUMMYFUNCTION("""COMPUTED_VALUE"""),1)</f>
        <v>1</v>
      </c>
      <c r="X346" s="4" t="str">
        <f ca="1">IFERROR(__xludf.DUMMYFUNCTION("""COMPUTED_VALUE"""),"01. Open Market &amp; Partnerships")</f>
        <v>01. Open Market &amp; Partnerships</v>
      </c>
      <c r="Y346" s="4" t="str">
        <f ca="1">IFERROR(__xludf.DUMMYFUNCTION("""COMPUTED_VALUE"""),"4.1.1. Own channels")</f>
        <v>4.1.1. Own channels</v>
      </c>
      <c r="Z346" s="132" t="str">
        <f ca="1">IFERROR(__xludf.DUMMYFUNCTION("""COMPUTED_VALUE"""),"173811")</f>
        <v>173811</v>
      </c>
      <c r="AA346" s="4" t="str">
        <f ca="1">IFERROR(__xludf.DUMMYFUNCTION("""COMPUTED_VALUE"""),"Versión 1.0: Formulario  web,  con generación de carta de preaprobación")</f>
        <v>Versión 1.0: Formulario  web,  con generación de carta de preaprobación</v>
      </c>
      <c r="AB346" s="4" t="str">
        <f ca="1">IFERROR(__xludf.DUMMYFUNCTION("""COMPUTED_VALUE"""),"Versión 1.0: Formulario  web,  con generación de carta de preaprobación y generación de  agendamiento.")</f>
        <v>Versión 1.0: Formulario  web,  con generación de carta de preaprobación y generación de  agendamiento.</v>
      </c>
      <c r="AC346" s="4" t="str">
        <f ca="1">IFERROR(__xludf.DUMMYFUNCTION("""COMPUTED_VALUE"""),"3Q 2021")</f>
        <v>3Q 2021</v>
      </c>
      <c r="AD346" s="128">
        <f ca="1">IFERROR(__xludf.DUMMYFUNCTION("""COMPUTED_VALUE"""),44200)</f>
        <v>44200</v>
      </c>
      <c r="AE346" s="128">
        <f ca="1">IFERROR(__xludf.DUMMYFUNCTION("""COMPUTED_VALUE"""),44254)</f>
        <v>44254</v>
      </c>
      <c r="AF346" s="128">
        <f ca="1">IFERROR(__xludf.DUMMYFUNCTION("""COMPUTED_VALUE"""),44319)</f>
        <v>44319</v>
      </c>
      <c r="AG346" s="128">
        <f ca="1">IFERROR(__xludf.DUMMYFUNCTION("""COMPUTED_VALUE"""),44407)</f>
        <v>44407</v>
      </c>
      <c r="AH346" s="128">
        <f ca="1">IFERROR(__xludf.DUMMYFUNCTION("""COMPUTED_VALUE"""),44834)</f>
        <v>44834</v>
      </c>
      <c r="AI346" s="128">
        <f ca="1">IFERROR(__xludf.DUMMYFUNCTION("""COMPUTED_VALUE"""),44498)</f>
        <v>44498</v>
      </c>
      <c r="AJ346" s="128">
        <f ca="1">IFERROR(__xludf.DUMMYFUNCTION("""COMPUTED_VALUE"""),44505)</f>
        <v>44505</v>
      </c>
      <c r="AK346" s="131" t="str">
        <f ca="1">IFERROR(__xludf.DUMMYFUNCTION("""COMPUTED_VALUE"""),"CCSS-6000")</f>
        <v>CCSS-6000</v>
      </c>
      <c r="AL346" s="4" t="str">
        <f ca="1">IFERROR(__xludf.DUMMYFUNCTION("""COMPUTED_VALUE"""),"Deployed")</f>
        <v>Deployed</v>
      </c>
      <c r="AM346" s="4" t="str">
        <f ca="1">IFERROR(__xludf.DUMMYFUNCTION("""COMPUTED_VALUE"""),"En producción")</f>
        <v>En producción</v>
      </c>
      <c r="AN346" s="4" t="str">
        <f ca="1">IFERROR(__xludf.DUMMYFUNCTION("""COMPUTED_VALUE"""),"Finalizado")</f>
        <v>Finalizado</v>
      </c>
      <c r="AO346" s="4" t="str">
        <f ca="1">IFERROR(__xludf.DUMMYFUNCTION("""COMPUTED_VALUE"""),"Vivienda")</f>
        <v>Vivienda</v>
      </c>
      <c r="AP346" s="4"/>
      <c r="AQ346" s="4"/>
      <c r="AR346" s="4" t="str">
        <f ca="1">IFERROR(__xludf.DUMMYFUNCTION("""COMPUTED_VALUE"""),"SDA aprobada en PPP Q1 2023")</f>
        <v>SDA aprobada en PPP Q1 2023</v>
      </c>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row>
    <row r="347" spans="1:132" x14ac:dyDescent="0.2">
      <c r="A347" s="4">
        <f ca="1">IFERROR(__xludf.DUMMYFUNCTION("""COMPUTED_VALUE"""),347)</f>
        <v>347</v>
      </c>
      <c r="B347" s="4">
        <f ca="1">IFERROR(__xludf.DUMMYFUNCTION("""COMPUTED_VALUE"""),324)</f>
        <v>324</v>
      </c>
      <c r="C347" s="4" t="str">
        <f ca="1">IFERROR(__xludf.DUMMYFUNCTION("""COMPUTED_VALUE"""),"SDATOOL-34887")</f>
        <v>SDATOOL-34887</v>
      </c>
      <c r="D347" s="4" t="str">
        <f ca="1">IFERROR(__xludf.DUMMYFUNCTION("""COMPUTED_VALUE"""),"Vivienda Digital Open Market")</f>
        <v>Vivienda Digital Open Market</v>
      </c>
      <c r="E347"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7" s="4" t="str">
        <f ca="1">IFERROR(__xludf.DUMMYFUNCTION("""COMPUTED_VALUE"""),"Project")</f>
        <v>Project</v>
      </c>
      <c r="G347" s="4" t="str">
        <f ca="1">IFERROR(__xludf.DUMMYFUNCTION("""COMPUTED_VALUE"""),"Ended")</f>
        <v>Ended</v>
      </c>
      <c r="H347" s="4" t="str">
        <f ca="1">IFERROR(__xludf.DUMMYFUNCTION("""COMPUTED_VALUE"""),"1Q 2023")</f>
        <v>1Q 2023</v>
      </c>
      <c r="I347" s="131" t="str">
        <f ca="1">IFERROR(__xludf.DUMMYFUNCTION("""COMPUTED_VALUE"""),"angie.castaneda-bbva.com")</f>
        <v>angie.castaneda-bbva.com</v>
      </c>
      <c r="J347" s="131" t="str">
        <f ca="1">IFERROR(__xludf.DUMMYFUNCTION("""COMPUTED_VALUE"""),"liliana.marquez-bbva.com")</f>
        <v>liliana.marquez-bbva.com</v>
      </c>
      <c r="K347" s="131" t="str">
        <f ca="1">IFERROR(__xludf.DUMMYFUNCTION("""COMPUTED_VALUE"""),"monica.zamudio-bbva.com")</f>
        <v>monica.zamudio-bbva.com</v>
      </c>
      <c r="L347" s="4"/>
      <c r="M347" s="4"/>
      <c r="N347" s="4"/>
      <c r="O347" s="4" t="str">
        <f ca="1">IFERROR(__xludf.DUMMYFUNCTION("""COMPUTED_VALUE"""),"Scrum")</f>
        <v>Scrum</v>
      </c>
      <c r="P347" s="4" t="str">
        <f ca="1">IFERROR(__xludf.DUMMYFUNCTION("""COMPUTED_VALUE"""),"The Matrix")</f>
        <v>The Matrix</v>
      </c>
      <c r="Q347" s="4"/>
      <c r="R347" s="130" t="str">
        <f ca="1">IFERROR(__xludf.DUMMYFUNCTION("""COMPUTED_VALUE"""),"Retail Execution")</f>
        <v>Retail Execution</v>
      </c>
      <c r="S347" s="130" t="str">
        <f ca="1">IFERROR(__xludf.DUMMYFUNCTION("""COMPUTED_VALUE"""),"Area Review")</f>
        <v>Area Review</v>
      </c>
      <c r="T347" s="130" t="str">
        <f ca="1">IFERROR(__xludf.DUMMYFUNCTION("""COMPUTED_VALUE"""),"1. Generación de Ingresos")</f>
        <v>1. Generación de Ingresos</v>
      </c>
      <c r="U347" s="130" t="str">
        <f ca="1">IFERROR(__xludf.DUMMYFUNCTION("""COMPUTED_VALUE"""),"1.1. Proyectos de Hipotecario")</f>
        <v>1.1. Proyectos de Hipotecario</v>
      </c>
      <c r="V347" s="4" t="str">
        <f ca="1">IFERROR(__xludf.DUMMYFUNCTION("""COMPUTED_VALUE"""),"Vivienda")</f>
        <v>Vivienda</v>
      </c>
      <c r="W347" s="4">
        <f ca="1">IFERROR(__xludf.DUMMYFUNCTION("""COMPUTED_VALUE"""),1)</f>
        <v>1</v>
      </c>
      <c r="X347" s="4" t="str">
        <f ca="1">IFERROR(__xludf.DUMMYFUNCTION("""COMPUTED_VALUE"""),"01. Open Market &amp; Partnerships")</f>
        <v>01. Open Market &amp; Partnerships</v>
      </c>
      <c r="Y347" s="4" t="str">
        <f ca="1">IFERROR(__xludf.DUMMYFUNCTION("""COMPUTED_VALUE"""),"4.1.1. Own channels")</f>
        <v>4.1.1. Own channels</v>
      </c>
      <c r="Z347" s="132" t="str">
        <f ca="1">IFERROR(__xludf.DUMMYFUNCTION("""COMPUTED_VALUE"""),"310452")</f>
        <v>310452</v>
      </c>
      <c r="AA347" s="4" t="str">
        <f ca="1">IFERROR(__xludf.DUMMYFUNCTION("""COMPUTED_VALUE"""),"Versión 1.5:venta asistida")</f>
        <v>Versión 1.5:venta asistida</v>
      </c>
      <c r="AB347" s="4" t="str">
        <f ca="1">IFERROR(__xludf.DUMMYFUNCTION("""COMPUTED_VALUE"""),"Versión 1.5: venta asistida funcionarios banco y comer")</f>
        <v>Versión 1.5: venta asistida funcionarios banco y comer</v>
      </c>
      <c r="AC347" s="4" t="str">
        <f ca="1">IFERROR(__xludf.DUMMYFUNCTION("""COMPUTED_VALUE"""),"3Q 2022")</f>
        <v>3Q 2022</v>
      </c>
      <c r="AD347" s="4"/>
      <c r="AE347" s="4"/>
      <c r="AF347" s="4"/>
      <c r="AG347" s="4"/>
      <c r="AH347" s="4"/>
      <c r="AI347" s="4"/>
      <c r="AJ347" s="4"/>
      <c r="AK347" s="131" t="str">
        <f ca="1">IFERROR(__xludf.DUMMYFUNCTION("""COMPUTED_VALUE"""),"COLWSPREST-386")</f>
        <v>COLWSPREST-386</v>
      </c>
      <c r="AL347" s="4" t="str">
        <f ca="1">IFERROR(__xludf.DUMMYFUNCTION("""COMPUTED_VALUE"""),"Deployed")</f>
        <v>Deployed</v>
      </c>
      <c r="AM347" s="4" t="str">
        <f ca="1">IFERROR(__xludf.DUMMYFUNCTION("""COMPUTED_VALUE"""),"En producción")</f>
        <v>En producción</v>
      </c>
      <c r="AN347" s="4" t="str">
        <f ca="1">IFERROR(__xludf.DUMMYFUNCTION("""COMPUTED_VALUE"""),"Finalizado")</f>
        <v>Finalizado</v>
      </c>
      <c r="AO347" s="4" t="str">
        <f ca="1">IFERROR(__xludf.DUMMYFUNCTION("""COMPUTED_VALUE"""),"Vivienda")</f>
        <v>Vivienda</v>
      </c>
      <c r="AP347" s="4"/>
      <c r="AQ347" s="4"/>
      <c r="AR347" s="4" t="str">
        <f ca="1">IFERROR(__xludf.DUMMYFUNCTION("""COMPUTED_VALUE"""),"SDA aprobada en PPP Q1 2023")</f>
        <v>SDA aprobada en PPP Q1 2023</v>
      </c>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row>
    <row r="348" spans="1:132" x14ac:dyDescent="0.2">
      <c r="A348" s="4">
        <f ca="1">IFERROR(__xludf.DUMMYFUNCTION("""COMPUTED_VALUE"""),348)</f>
        <v>348</v>
      </c>
      <c r="B348" s="4">
        <f ca="1">IFERROR(__xludf.DUMMYFUNCTION("""COMPUTED_VALUE"""),325)</f>
        <v>325</v>
      </c>
      <c r="C348" s="4" t="str">
        <f ca="1">IFERROR(__xludf.DUMMYFUNCTION("""COMPUTED_VALUE"""),"SDATOOL-34887")</f>
        <v>SDATOOL-34887</v>
      </c>
      <c r="D348" s="4" t="str">
        <f ca="1">IFERROR(__xludf.DUMMYFUNCTION("""COMPUTED_VALUE"""),"Vivienda Digital Open Market")</f>
        <v>Vivienda Digital Open Market</v>
      </c>
      <c r="E348"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8" s="4" t="str">
        <f ca="1">IFERROR(__xludf.DUMMYFUNCTION("""COMPUTED_VALUE"""),"Project")</f>
        <v>Project</v>
      </c>
      <c r="G348" s="4" t="str">
        <f ca="1">IFERROR(__xludf.DUMMYFUNCTION("""COMPUTED_VALUE"""),"Ended")</f>
        <v>Ended</v>
      </c>
      <c r="H348" s="4" t="str">
        <f ca="1">IFERROR(__xludf.DUMMYFUNCTION("""COMPUTED_VALUE"""),"1Q 2023")</f>
        <v>1Q 2023</v>
      </c>
      <c r="I348" s="131" t="str">
        <f ca="1">IFERROR(__xludf.DUMMYFUNCTION("""COMPUTED_VALUE"""),"angie.castaneda-bbva.com")</f>
        <v>angie.castaneda-bbva.com</v>
      </c>
      <c r="J348" s="131" t="str">
        <f ca="1">IFERROR(__xludf.DUMMYFUNCTION("""COMPUTED_VALUE"""),"liliana.marquez-bbva.com")</f>
        <v>liliana.marquez-bbva.com</v>
      </c>
      <c r="K348" s="131" t="str">
        <f ca="1">IFERROR(__xludf.DUMMYFUNCTION("""COMPUTED_VALUE"""),"monica.zamudio-bbva.com")</f>
        <v>monica.zamudio-bbva.com</v>
      </c>
      <c r="L348" s="4"/>
      <c r="M348" s="4"/>
      <c r="N348" s="4"/>
      <c r="O348" s="4" t="str">
        <f ca="1">IFERROR(__xludf.DUMMYFUNCTION("""COMPUTED_VALUE"""),"Scrum")</f>
        <v>Scrum</v>
      </c>
      <c r="P348" s="4" t="str">
        <f ca="1">IFERROR(__xludf.DUMMYFUNCTION("""COMPUTED_VALUE"""),"The Matrix")</f>
        <v>The Matrix</v>
      </c>
      <c r="Q348" s="4"/>
      <c r="R348" s="130" t="str">
        <f ca="1">IFERROR(__xludf.DUMMYFUNCTION("""COMPUTED_VALUE"""),"Retail Execution")</f>
        <v>Retail Execution</v>
      </c>
      <c r="S348" s="130" t="str">
        <f ca="1">IFERROR(__xludf.DUMMYFUNCTION("""COMPUTED_VALUE"""),"Area Review")</f>
        <v>Area Review</v>
      </c>
      <c r="T348" s="130" t="str">
        <f ca="1">IFERROR(__xludf.DUMMYFUNCTION("""COMPUTED_VALUE"""),"1. Generación de Ingresos")</f>
        <v>1. Generación de Ingresos</v>
      </c>
      <c r="U348" s="130" t="str">
        <f ca="1">IFERROR(__xludf.DUMMYFUNCTION("""COMPUTED_VALUE"""),"1.1. Proyectos de Hipotecario")</f>
        <v>1.1. Proyectos de Hipotecario</v>
      </c>
      <c r="V348" s="4" t="str">
        <f ca="1">IFERROR(__xludf.DUMMYFUNCTION("""COMPUTED_VALUE"""),"Vivienda")</f>
        <v>Vivienda</v>
      </c>
      <c r="W348" s="4">
        <f ca="1">IFERROR(__xludf.DUMMYFUNCTION("""COMPUTED_VALUE"""),1)</f>
        <v>1</v>
      </c>
      <c r="X348" s="4" t="str">
        <f ca="1">IFERROR(__xludf.DUMMYFUNCTION("""COMPUTED_VALUE"""),"01. Open Market &amp; Partnerships")</f>
        <v>01. Open Market &amp; Partnerships</v>
      </c>
      <c r="Y348" s="4" t="str">
        <f ca="1">IFERROR(__xludf.DUMMYFUNCTION("""COMPUTED_VALUE"""),"4.1.1. Own channels")</f>
        <v>4.1.1. Own channels</v>
      </c>
      <c r="Z348" s="132" t="str">
        <f ca="1">IFERROR(__xludf.DUMMYFUNCTION("""COMPUTED_VALUE"""),"514808")</f>
        <v>514808</v>
      </c>
      <c r="AA348" s="4" t="str">
        <f ca="1">IFERROR(__xludf.DUMMYFUNCTION("""COMPUTED_VALUE"""),"Versión 2.0: Generación de lead en página web para aprobación en línea")</f>
        <v>Versión 2.0: Generación de lead en página web para aprobación en línea</v>
      </c>
      <c r="AB348" s="4" t="str">
        <f ca="1">IFERROR(__xludf.DUMMYFUNCTION("""COMPUTED_VALUE"""),"Versión 2.0: Generación de lead en página web para aprobación en línea y legalización/ formalización en fábrica.")</f>
        <v>Versión 2.0: Generación de lead en página web para aprobación en línea y legalización/ formalización en fábrica.</v>
      </c>
      <c r="AC348" s="4" t="str">
        <f ca="1">IFERROR(__xludf.DUMMYFUNCTION("""COMPUTED_VALUE"""),"4Q 2022")</f>
        <v>4Q 2022</v>
      </c>
      <c r="AD348" s="128">
        <f ca="1">IFERROR(__xludf.DUMMYFUNCTION("""COMPUTED_VALUE"""),44531)</f>
        <v>44531</v>
      </c>
      <c r="AE348" s="128">
        <f ca="1">IFERROR(__xludf.DUMMYFUNCTION("""COMPUTED_VALUE"""),44590)</f>
        <v>44590</v>
      </c>
      <c r="AF348" s="128">
        <f ca="1">IFERROR(__xludf.DUMMYFUNCTION("""COMPUTED_VALUE"""),44681)</f>
        <v>44681</v>
      </c>
      <c r="AG348" s="128">
        <f ca="1">IFERROR(__xludf.DUMMYFUNCTION("""COMPUTED_VALUE"""),44804)</f>
        <v>44804</v>
      </c>
      <c r="AH348" s="128">
        <f ca="1">IFERROR(__xludf.DUMMYFUNCTION("""COMPUTED_VALUE"""),44805)</f>
        <v>44805</v>
      </c>
      <c r="AI348" s="128">
        <f ca="1">IFERROR(__xludf.DUMMYFUNCTION("""COMPUTED_VALUE"""),44895)</f>
        <v>44895</v>
      </c>
      <c r="AJ348" s="128">
        <f ca="1">IFERROR(__xludf.DUMMYFUNCTION("""COMPUTED_VALUE"""),44926)</f>
        <v>44926</v>
      </c>
      <c r="AK348" s="131" t="str">
        <f ca="1">IFERROR(__xludf.DUMMYFUNCTION("""COMPUTED_VALUE"""),"COLWSPREST-400")</f>
        <v>COLWSPREST-400</v>
      </c>
      <c r="AL348" s="4" t="str">
        <f ca="1">IFERROR(__xludf.DUMMYFUNCTION("""COMPUTED_VALUE"""),"Deployed")</f>
        <v>Deployed</v>
      </c>
      <c r="AM348" s="4" t="str">
        <f ca="1">IFERROR(__xludf.DUMMYFUNCTION("""COMPUTED_VALUE"""),"En producción")</f>
        <v>En producción</v>
      </c>
      <c r="AN348" s="4" t="str">
        <f ca="1">IFERROR(__xludf.DUMMYFUNCTION("""COMPUTED_VALUE"""),"Finalizado")</f>
        <v>Finalizado</v>
      </c>
      <c r="AO348" s="4" t="str">
        <f ca="1">IFERROR(__xludf.DUMMYFUNCTION("""COMPUTED_VALUE"""),"Vivienda")</f>
        <v>Vivienda</v>
      </c>
      <c r="AP348" s="4"/>
      <c r="AQ348" s="4"/>
      <c r="AR348" s="4" t="str">
        <f ca="1">IFERROR(__xludf.DUMMYFUNCTION("""COMPUTED_VALUE"""),"SDA aprobada en PPP Q1 2023")</f>
        <v>SDA aprobada en PPP Q1 2023</v>
      </c>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row>
    <row r="349" spans="1:132" x14ac:dyDescent="0.2">
      <c r="A349" s="4">
        <f ca="1">IFERROR(__xludf.DUMMYFUNCTION("""COMPUTED_VALUE"""),349)</f>
        <v>349</v>
      </c>
      <c r="B349" s="4">
        <f ca="1">IFERROR(__xludf.DUMMYFUNCTION("""COMPUTED_VALUE"""),326)</f>
        <v>326</v>
      </c>
      <c r="C349" s="4" t="str">
        <f ca="1">IFERROR(__xludf.DUMMYFUNCTION("""COMPUTED_VALUE"""),"SDATOOL-34887")</f>
        <v>SDATOOL-34887</v>
      </c>
      <c r="D349" s="4" t="str">
        <f ca="1">IFERROR(__xludf.DUMMYFUNCTION("""COMPUTED_VALUE"""),"Vivienda Digital Open Market")</f>
        <v>Vivienda Digital Open Market</v>
      </c>
      <c r="E349"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9" s="4" t="str">
        <f ca="1">IFERROR(__xludf.DUMMYFUNCTION("""COMPUTED_VALUE"""),"Project")</f>
        <v>Project</v>
      </c>
      <c r="G349" s="4" t="str">
        <f ca="1">IFERROR(__xludf.DUMMYFUNCTION("""COMPUTED_VALUE"""),"Ended")</f>
        <v>Ended</v>
      </c>
      <c r="H349" s="4" t="str">
        <f ca="1">IFERROR(__xludf.DUMMYFUNCTION("""COMPUTED_VALUE"""),"1Q 2023")</f>
        <v>1Q 2023</v>
      </c>
      <c r="I349" s="131" t="str">
        <f ca="1">IFERROR(__xludf.DUMMYFUNCTION("""COMPUTED_VALUE"""),"angie.castaneda-bbva.com")</f>
        <v>angie.castaneda-bbva.com</v>
      </c>
      <c r="J349" s="131" t="str">
        <f ca="1">IFERROR(__xludf.DUMMYFUNCTION("""COMPUTED_VALUE"""),"liliana.marquez-bbva.com")</f>
        <v>liliana.marquez-bbva.com</v>
      </c>
      <c r="K349" s="131" t="str">
        <f ca="1">IFERROR(__xludf.DUMMYFUNCTION("""COMPUTED_VALUE"""),"monica.zamudio-bbva.com")</f>
        <v>monica.zamudio-bbva.com</v>
      </c>
      <c r="L349" s="4"/>
      <c r="M349" s="4"/>
      <c r="N349" s="4"/>
      <c r="O349" s="4" t="str">
        <f ca="1">IFERROR(__xludf.DUMMYFUNCTION("""COMPUTED_VALUE"""),"Scrum")</f>
        <v>Scrum</v>
      </c>
      <c r="P349" s="4" t="str">
        <f ca="1">IFERROR(__xludf.DUMMYFUNCTION("""COMPUTED_VALUE"""),"The Matrix")</f>
        <v>The Matrix</v>
      </c>
      <c r="Q349" s="4"/>
      <c r="R349" s="130" t="str">
        <f ca="1">IFERROR(__xludf.DUMMYFUNCTION("""COMPUTED_VALUE"""),"Retail Execution")</f>
        <v>Retail Execution</v>
      </c>
      <c r="S349" s="130" t="str">
        <f ca="1">IFERROR(__xludf.DUMMYFUNCTION("""COMPUTED_VALUE"""),"Area Review")</f>
        <v>Area Review</v>
      </c>
      <c r="T349" s="130" t="str">
        <f ca="1">IFERROR(__xludf.DUMMYFUNCTION("""COMPUTED_VALUE"""),"1. Generación de Ingresos")</f>
        <v>1. Generación de Ingresos</v>
      </c>
      <c r="U349" s="130" t="str">
        <f ca="1">IFERROR(__xludf.DUMMYFUNCTION("""COMPUTED_VALUE"""),"1.1. Proyectos de Hipotecario")</f>
        <v>1.1. Proyectos de Hipotecario</v>
      </c>
      <c r="V349" s="4" t="str">
        <f ca="1">IFERROR(__xludf.DUMMYFUNCTION("""COMPUTED_VALUE"""),"Vivienda")</f>
        <v>Vivienda</v>
      </c>
      <c r="W349" s="4">
        <f ca="1">IFERROR(__xludf.DUMMYFUNCTION("""COMPUTED_VALUE"""),1)</f>
        <v>1</v>
      </c>
      <c r="X349" s="4" t="str">
        <f ca="1">IFERROR(__xludf.DUMMYFUNCTION("""COMPUTED_VALUE"""),"01. Open Market &amp; Partnerships")</f>
        <v>01. Open Market &amp; Partnerships</v>
      </c>
      <c r="Y349" s="4" t="str">
        <f ca="1">IFERROR(__xludf.DUMMYFUNCTION("""COMPUTED_VALUE"""),"4.1.1. Own channels")</f>
        <v>4.1.1. Own channels</v>
      </c>
      <c r="Z349" s="132" t="str">
        <f ca="1">IFERROR(__xludf.DUMMYFUNCTION("""COMPUTED_VALUE"""),"710510")</f>
        <v>710510</v>
      </c>
      <c r="AA349" s="4" t="str">
        <f ca="1">IFERROR(__xludf.DUMMYFUNCTION("""COMPUTED_VALUE"""),"Mejoras de experiencia y estabilización fase II")</f>
        <v>Mejoras de experiencia y estabilización fase II</v>
      </c>
      <c r="AB349" s="4" t="str">
        <f ca="1">IFERROR(__xludf.DUMMYFUNCTION("""COMPUTED_VALUE"""),"- Eliminar le modulo de evidente master 
- Eliminar el código QR cuando el cliente inicia por PC 
- Pasa el campo de ciudad al inicio del flujo.")</f>
        <v>- Eliminar le modulo de evidente master 
- Eliminar el código QR cuando el cliente inicia por PC 
- Pasa el campo de ciudad al inicio del flujo.</v>
      </c>
      <c r="AC349" s="4" t="str">
        <f ca="1">IFERROR(__xludf.DUMMYFUNCTION("""COMPUTED_VALUE"""),"1Q 2023")</f>
        <v>1Q 2023</v>
      </c>
      <c r="AD349" s="4"/>
      <c r="AE349" s="4"/>
      <c r="AF349" s="4"/>
      <c r="AG349" s="4"/>
      <c r="AH349" s="4"/>
      <c r="AI349" s="4"/>
      <c r="AJ349" s="4"/>
      <c r="AK349" s="131" t="str">
        <f ca="1">IFERROR(__xludf.DUMMYFUNCTION("""COMPUTED_VALUE"""),"COLWSPREST-10008")</f>
        <v>COLWSPREST-10008</v>
      </c>
      <c r="AL349" s="4" t="str">
        <f ca="1">IFERROR(__xludf.DUMMYFUNCTION("""COMPUTED_VALUE"""),"Deployed")</f>
        <v>Deployed</v>
      </c>
      <c r="AM349" s="4" t="str">
        <f ca="1">IFERROR(__xludf.DUMMYFUNCTION("""COMPUTED_VALUE"""),"En producción")</f>
        <v>En producción</v>
      </c>
      <c r="AN349" s="4" t="str">
        <f ca="1">IFERROR(__xludf.DUMMYFUNCTION("""COMPUTED_VALUE"""),"Finalizado")</f>
        <v>Finalizado</v>
      </c>
      <c r="AO349" s="4" t="str">
        <f ca="1">IFERROR(__xludf.DUMMYFUNCTION("""COMPUTED_VALUE"""),"Vivienda")</f>
        <v>Vivienda</v>
      </c>
      <c r="AP349" s="4"/>
      <c r="AQ349" s="4"/>
      <c r="AR349" s="4" t="str">
        <f ca="1">IFERROR(__xludf.DUMMYFUNCTION("""COMPUTED_VALUE"""),"SDA aprobada en PPP Q1 2023")</f>
        <v>SDA aprobada en PPP Q1 2023</v>
      </c>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row>
    <row r="350" spans="1:132" x14ac:dyDescent="0.2">
      <c r="A350" s="4">
        <f ca="1">IFERROR(__xludf.DUMMYFUNCTION("""COMPUTED_VALUE"""),350)</f>
        <v>350</v>
      </c>
      <c r="B350" s="4">
        <f ca="1">IFERROR(__xludf.DUMMYFUNCTION("""COMPUTED_VALUE"""),327)</f>
        <v>327</v>
      </c>
      <c r="C350" s="4" t="str">
        <f ca="1">IFERROR(__xludf.DUMMYFUNCTION("""COMPUTED_VALUE"""),"SDATOOL-39836")</f>
        <v>SDATOOL-39836</v>
      </c>
      <c r="D350" s="4" t="str">
        <f ca="1">IFERROR(__xludf.DUMMYFUNCTION("""COMPUTED_VALUE"""),"Vivienda digital fase III")</f>
        <v>Vivienda digital fase III</v>
      </c>
      <c r="E350"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0" s="4" t="str">
        <f ca="1">IFERROR(__xludf.DUMMYFUNCTION("""COMPUTED_VALUE"""),"Initiative")</f>
        <v>Initiative</v>
      </c>
      <c r="G350" s="4" t="str">
        <f ca="1">IFERROR(__xludf.DUMMYFUNCTION("""COMPUTED_VALUE"""),"Stock")</f>
        <v>Stock</v>
      </c>
      <c r="H350" s="4" t="str">
        <f ca="1">IFERROR(__xludf.DUMMYFUNCTION("""COMPUTED_VALUE"""),"4Q 2023")</f>
        <v>4Q 2023</v>
      </c>
      <c r="I350" s="131" t="str">
        <f ca="1">IFERROR(__xludf.DUMMYFUNCTION("""COMPUTED_VALUE"""),"angie.castaneda-bbva.com")</f>
        <v>angie.castaneda-bbva.com</v>
      </c>
      <c r="J350" s="131" t="str">
        <f ca="1">IFERROR(__xludf.DUMMYFUNCTION("""COMPUTED_VALUE"""),"liliana.marquez-bbva.com")</f>
        <v>liliana.marquez-bbva.com</v>
      </c>
      <c r="K350" s="131" t="str">
        <f ca="1">IFERROR(__xludf.DUMMYFUNCTION("""COMPUTED_VALUE"""),"monica.zamudio-bbva.com")</f>
        <v>monica.zamudio-bbva.com</v>
      </c>
      <c r="L350" s="130">
        <f ca="1">IFERROR(__xludf.DUMMYFUNCTION("""COMPUTED_VALUE"""),1)</f>
        <v>1</v>
      </c>
      <c r="M350" s="130">
        <f ca="1">IFERROR(__xludf.DUMMYFUNCTION("""COMPUTED_VALUE"""),4.35)</f>
        <v>4.3499999999999996</v>
      </c>
      <c r="N350" s="130">
        <f ca="1">IFERROR(__xludf.DUMMYFUNCTION("""COMPUTED_VALUE"""),5.53)</f>
        <v>5.53</v>
      </c>
      <c r="O350" s="4" t="str">
        <f ca="1">IFERROR(__xludf.DUMMYFUNCTION("""COMPUTED_VALUE"""),"Scrum")</f>
        <v>Scrum</v>
      </c>
      <c r="P350" s="4" t="str">
        <f ca="1">IFERROR(__xludf.DUMMYFUNCTION("""COMPUTED_VALUE"""),"The Matrix")</f>
        <v>The Matrix</v>
      </c>
      <c r="Q350" s="130">
        <f ca="1">IFERROR(__xludf.DUMMYFUNCTION("""COMPUTED_VALUE"""),1)</f>
        <v>1</v>
      </c>
      <c r="R350" s="130" t="str">
        <f ca="1">IFERROR(__xludf.DUMMYFUNCTION("""COMPUTED_VALUE"""),"Retail Execution")</f>
        <v>Retail Execution</v>
      </c>
      <c r="S350" s="130" t="str">
        <f ca="1">IFERROR(__xludf.DUMMYFUNCTION("""COMPUTED_VALUE"""),"Strategic Review")</f>
        <v>Strategic Review</v>
      </c>
      <c r="T350" s="130" t="str">
        <f ca="1">IFERROR(__xludf.DUMMYFUNCTION("""COMPUTED_VALUE"""),"1. Generación de Ingresos")</f>
        <v>1. Generación de Ingresos</v>
      </c>
      <c r="U350" s="130" t="str">
        <f ca="1">IFERROR(__xludf.DUMMYFUNCTION("""COMPUTED_VALUE"""),"1.1. Proyectos de Hipotecario")</f>
        <v>1.1. Proyectos de Hipotecario</v>
      </c>
      <c r="V350" s="4" t="str">
        <f ca="1">IFERROR(__xludf.DUMMYFUNCTION("""COMPUTED_VALUE"""),"Vivienda")</f>
        <v>Vivienda</v>
      </c>
      <c r="W350" s="4">
        <f ca="1">IFERROR(__xludf.DUMMYFUNCTION("""COMPUTED_VALUE"""),1)</f>
        <v>1</v>
      </c>
      <c r="X350" s="4" t="str">
        <f ca="1">IFERROR(__xludf.DUMMYFUNCTION("""COMPUTED_VALUE"""),"01. Open Market &amp; Partnerships")</f>
        <v>01. Open Market &amp; Partnerships</v>
      </c>
      <c r="Y350" s="4" t="str">
        <f ca="1">IFERROR(__xludf.DUMMYFUNCTION("""COMPUTED_VALUE"""),"4.1.1. Own channels")</f>
        <v>4.1.1. Own channels</v>
      </c>
      <c r="Z350" s="132" t="str">
        <f ca="1">IFERROR(__xludf.DUMMYFUNCTION("""COMPUTED_VALUE"""),"626314")</f>
        <v>626314</v>
      </c>
      <c r="AA350" s="4" t="str">
        <f ca="1">IFERROR(__xludf.DUMMYFUNCTION("""COMPUTED_VALUE"""),"Eliminación SDK de Veridas")</f>
        <v>Eliminación SDK de Veridas</v>
      </c>
      <c r="AB350" s="4" t="str">
        <f ca="1">IFERROR(__xludf.DUMMYFUNCTION("""COMPUTED_VALUE"""),"Eliminación del  proceso de aprobación de vivienda, la versión 2.0 del SDK del veridas.")</f>
        <v>Eliminación del  proceso de aprobación de vivienda, la versión 2.0 del SDK del veridas.</v>
      </c>
      <c r="AC350" s="4" t="str">
        <f ca="1">IFERROR(__xludf.DUMMYFUNCTION("""COMPUTED_VALUE"""),"1Q 2023")</f>
        <v>1Q 2023</v>
      </c>
      <c r="AD350" s="4"/>
      <c r="AE350" s="4"/>
      <c r="AF350" s="4"/>
      <c r="AG350" s="4"/>
      <c r="AH350" s="4"/>
      <c r="AI350" s="4"/>
      <c r="AJ350" s="4"/>
      <c r="AK350" s="4" t="str">
        <f ca="1">IFERROR(__xludf.DUMMYFUNCTION("""COMPUTED_VALUE"""),"Sin asignar")</f>
        <v>Sin asignar</v>
      </c>
      <c r="AL350" s="4" t="str">
        <f ca="1">IFERROR(__xludf.DUMMYFUNCTION("""COMPUTED_VALUE"""),"Sin asignar")</f>
        <v>Sin asignar</v>
      </c>
      <c r="AM350" s="4" t="str">
        <f ca="1">IFERROR(__xludf.DUMMYFUNCTION("""COMPUTED_VALUE"""),"En desarrollo. ")</f>
        <v xml:space="preserve">En desarrollo. </v>
      </c>
      <c r="AN350" s="4" t="str">
        <f ca="1">IFERROR(__xludf.DUMMYFUNCTION("""COMPUTED_VALUE"""),"Entregable en desarrollo")</f>
        <v>Entregable en desarrollo</v>
      </c>
      <c r="AO350" s="4" t="str">
        <f ca="1">IFERROR(__xludf.DUMMYFUNCTION("""COMPUTED_VALUE"""),"Vivienda")</f>
        <v>Vivienda</v>
      </c>
      <c r="AP350" s="4"/>
      <c r="AQ350" s="4"/>
      <c r="AR350" s="4" t="str">
        <f ca="1">IFERROR(__xludf.DUMMYFUNCTION("""COMPUTED_VALUE"""),"SDA aprobada en PPP Q1 2023")</f>
        <v>SDA aprobada en PPP Q1 2023</v>
      </c>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133">
        <f ca="1">IFERROR(__xludf.DUMMYFUNCTION("""COMPUTED_VALUE"""),0)</f>
        <v>0</v>
      </c>
      <c r="DV350" s="133">
        <f ca="1">IFERROR(__xludf.DUMMYFUNCTION("""COMPUTED_VALUE"""),0)</f>
        <v>0</v>
      </c>
      <c r="DW350" s="133">
        <f ca="1">IFERROR(__xludf.DUMMYFUNCTION("""COMPUTED_VALUE"""),0)</f>
        <v>0</v>
      </c>
      <c r="DX350" s="133">
        <f ca="1">IFERROR(__xludf.DUMMYFUNCTION("""COMPUTED_VALUE"""),953000000)</f>
        <v>953000000</v>
      </c>
      <c r="DY350" s="133">
        <f ca="1">IFERROR(__xludf.DUMMYFUNCTION("""COMPUTED_VALUE"""),0)</f>
        <v>0</v>
      </c>
      <c r="DZ350" s="133">
        <f ca="1">IFERROR(__xludf.DUMMYFUNCTION("""COMPUTED_VALUE"""),953000000)</f>
        <v>953000000</v>
      </c>
      <c r="EA350" s="4"/>
      <c r="EB350" s="4"/>
    </row>
    <row r="351" spans="1:132" x14ac:dyDescent="0.2">
      <c r="A351" s="4">
        <f ca="1">IFERROR(__xludf.DUMMYFUNCTION("""COMPUTED_VALUE"""),351)</f>
        <v>351</v>
      </c>
      <c r="B351" s="4">
        <f ca="1">IFERROR(__xludf.DUMMYFUNCTION("""COMPUTED_VALUE"""),328)</f>
        <v>328</v>
      </c>
      <c r="C351" s="4" t="str">
        <f ca="1">IFERROR(__xludf.DUMMYFUNCTION("""COMPUTED_VALUE"""),"SDATOOL-39836")</f>
        <v>SDATOOL-39836</v>
      </c>
      <c r="D351" s="4" t="str">
        <f ca="1">IFERROR(__xludf.DUMMYFUNCTION("""COMPUTED_VALUE"""),"Vivienda digital fase III")</f>
        <v>Vivienda digital fase III</v>
      </c>
      <c r="E351"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1" s="4" t="str">
        <f ca="1">IFERROR(__xludf.DUMMYFUNCTION("""COMPUTED_VALUE"""),"Initiative")</f>
        <v>Initiative</v>
      </c>
      <c r="G351" s="4" t="str">
        <f ca="1">IFERROR(__xludf.DUMMYFUNCTION("""COMPUTED_VALUE"""),"Stock")</f>
        <v>Stock</v>
      </c>
      <c r="H351" s="4" t="str">
        <f ca="1">IFERROR(__xludf.DUMMYFUNCTION("""COMPUTED_VALUE"""),"4Q 2023")</f>
        <v>4Q 2023</v>
      </c>
      <c r="I351" s="131" t="str">
        <f ca="1">IFERROR(__xludf.DUMMYFUNCTION("""COMPUTED_VALUE"""),"angie.castaneda-bbva.com")</f>
        <v>angie.castaneda-bbva.com</v>
      </c>
      <c r="J351" s="131" t="str">
        <f ca="1">IFERROR(__xludf.DUMMYFUNCTION("""COMPUTED_VALUE"""),"liliana.marquez-bbva.com")</f>
        <v>liliana.marquez-bbva.com</v>
      </c>
      <c r="K351" s="131" t="str">
        <f ca="1">IFERROR(__xludf.DUMMYFUNCTION("""COMPUTED_VALUE"""),"monica.zamudio-bbva.com")</f>
        <v>monica.zamudio-bbva.com</v>
      </c>
      <c r="L351" s="4"/>
      <c r="M351" s="4"/>
      <c r="N351" s="4"/>
      <c r="O351" s="4" t="str">
        <f ca="1">IFERROR(__xludf.DUMMYFUNCTION("""COMPUTED_VALUE"""),"Scrum")</f>
        <v>Scrum</v>
      </c>
      <c r="P351" s="4" t="str">
        <f ca="1">IFERROR(__xludf.DUMMYFUNCTION("""COMPUTED_VALUE"""),"The Matrix")</f>
        <v>The Matrix</v>
      </c>
      <c r="Q351" s="4"/>
      <c r="R351" s="130" t="str">
        <f ca="1">IFERROR(__xludf.DUMMYFUNCTION("""COMPUTED_VALUE"""),"Retail Execution")</f>
        <v>Retail Execution</v>
      </c>
      <c r="S351" s="130" t="str">
        <f ca="1">IFERROR(__xludf.DUMMYFUNCTION("""COMPUTED_VALUE"""),"Strategic Review")</f>
        <v>Strategic Review</v>
      </c>
      <c r="T351" s="130" t="str">
        <f ca="1">IFERROR(__xludf.DUMMYFUNCTION("""COMPUTED_VALUE"""),"1. Generación de Ingresos")</f>
        <v>1. Generación de Ingresos</v>
      </c>
      <c r="U351" s="130" t="str">
        <f ca="1">IFERROR(__xludf.DUMMYFUNCTION("""COMPUTED_VALUE"""),"1.1. Proyectos de Hipotecario")</f>
        <v>1.1. Proyectos de Hipotecario</v>
      </c>
      <c r="V351" s="4" t="str">
        <f ca="1">IFERROR(__xludf.DUMMYFUNCTION("""COMPUTED_VALUE"""),"Vivienda")</f>
        <v>Vivienda</v>
      </c>
      <c r="W351" s="4">
        <f ca="1">IFERROR(__xludf.DUMMYFUNCTION("""COMPUTED_VALUE"""),1)</f>
        <v>1</v>
      </c>
      <c r="X351" s="4" t="str">
        <f ca="1">IFERROR(__xludf.DUMMYFUNCTION("""COMPUTED_VALUE"""),"01. Open Market &amp; Partnerships")</f>
        <v>01. Open Market &amp; Partnerships</v>
      </c>
      <c r="Y351" s="4" t="str">
        <f ca="1">IFERROR(__xludf.DUMMYFUNCTION("""COMPUTED_VALUE"""),"4.1.1. Own channels")</f>
        <v>4.1.1. Own channels</v>
      </c>
      <c r="Z351" s="132" t="str">
        <f ca="1">IFERROR(__xludf.DUMMYFUNCTION("""COMPUTED_VALUE"""),"557965")</f>
        <v>557965</v>
      </c>
      <c r="AA351" s="4" t="str">
        <f ca="1">IFERROR(__xludf.DUMMYFUNCTION("""COMPUTED_VALUE"""),"Open Market Vivienda Digital Fase 3 aprobación más de un titular")</f>
        <v>Open Market Vivienda Digital Fase 3 aprobación más de un titular</v>
      </c>
      <c r="AB351" s="4" t="str">
        <f ca="1">IFERROR(__xludf.DUMMYFUNCTION("""COMPUTED_VALUE"""),"Inclusión de más de un titular, incluyendo la actualización de motor laboral y realizando aprobaciones con la consolidación de ingresos")</f>
        <v>Inclusión de más de un titular, incluyendo la actualización de motor laboral y realizando aprobaciones con la consolidación de ingresos</v>
      </c>
      <c r="AC351" s="4" t="str">
        <f ca="1">IFERROR(__xludf.DUMMYFUNCTION("""COMPUTED_VALUE"""),"3Q 2023")</f>
        <v>3Q 2023</v>
      </c>
      <c r="AD351" s="128">
        <f ca="1">IFERROR(__xludf.DUMMYFUNCTION("""COMPUTED_VALUE"""),44835)</f>
        <v>44835</v>
      </c>
      <c r="AE351" s="128">
        <f ca="1">IFERROR(__xludf.DUMMYFUNCTION("""COMPUTED_VALUE"""),44926)</f>
        <v>44926</v>
      </c>
      <c r="AF351" s="128">
        <f ca="1">IFERROR(__xludf.DUMMYFUNCTION("""COMPUTED_VALUE"""),44977)</f>
        <v>44977</v>
      </c>
      <c r="AG351" s="128">
        <f ca="1">IFERROR(__xludf.DUMMYFUNCTION("""COMPUTED_VALUE"""),45138)</f>
        <v>45138</v>
      </c>
      <c r="AH351" s="128">
        <f ca="1">IFERROR(__xludf.DUMMYFUNCTION("""COMPUTED_VALUE"""),45139)</f>
        <v>45139</v>
      </c>
      <c r="AI351" s="128">
        <f ca="1">IFERROR(__xludf.DUMMYFUNCTION("""COMPUTED_VALUE"""),45192)</f>
        <v>45192</v>
      </c>
      <c r="AJ351" s="128">
        <f ca="1">IFERROR(__xludf.DUMMYFUNCTION("""COMPUTED_VALUE"""),45195)</f>
        <v>45195</v>
      </c>
      <c r="AK351" s="131" t="str">
        <f ca="1">IFERROR(__xludf.DUMMYFUNCTION("""COMPUTED_VALUE"""),"COLWSRIESG-3247")</f>
        <v>COLWSRIESG-3247</v>
      </c>
      <c r="AL351" s="4" t="str">
        <f ca="1">IFERROR(__xludf.DUMMYFUNCTION("""COMPUTED_VALUE"""),"En progreso")</f>
        <v>En progreso</v>
      </c>
      <c r="AM351" s="4" t="str">
        <f ca="1">IFERROR(__xludf.DUMMYFUNCTION("""COMPUTED_VALUE"""),"Financiera no lo presentó en PSM")</f>
        <v>Financiera no lo presentó en PSM</v>
      </c>
      <c r="AN351" s="4" t="str">
        <f ca="1">IFERROR(__xludf.DUMMYFUNCTION("""COMPUTED_VALUE"""),"Iniciativa detenida")</f>
        <v>Iniciativa detenida</v>
      </c>
      <c r="AO351" s="4" t="str">
        <f ca="1">IFERROR(__xludf.DUMMYFUNCTION("""COMPUTED_VALUE"""),"Vivienda")</f>
        <v>Vivienda</v>
      </c>
      <c r="AP351" s="4"/>
      <c r="AQ351" s="4"/>
      <c r="AR351" s="4" t="str">
        <f ca="1">IFERROR(__xludf.DUMMYFUNCTION("""COMPUTED_VALUE"""),"SDA aprobada en PPP Q1 2023")</f>
        <v>SDA aprobada en PPP Q1 2023</v>
      </c>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row>
    <row r="352" spans="1:132" x14ac:dyDescent="0.2">
      <c r="A352" s="4">
        <f ca="1">IFERROR(__xludf.DUMMYFUNCTION("""COMPUTED_VALUE"""),352)</f>
        <v>352</v>
      </c>
      <c r="B352" s="4">
        <f ca="1">IFERROR(__xludf.DUMMYFUNCTION("""COMPUTED_VALUE"""),329)</f>
        <v>329</v>
      </c>
      <c r="C352" s="4" t="str">
        <f ca="1">IFERROR(__xludf.DUMMYFUNCTION("""COMPUTED_VALUE"""),"SDATOOL-39836")</f>
        <v>SDATOOL-39836</v>
      </c>
      <c r="D352" s="4" t="str">
        <f ca="1">IFERROR(__xludf.DUMMYFUNCTION("""COMPUTED_VALUE"""),"Vivienda digital fase III")</f>
        <v>Vivienda digital fase III</v>
      </c>
      <c r="E352"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2" s="4" t="str">
        <f ca="1">IFERROR(__xludf.DUMMYFUNCTION("""COMPUTED_VALUE"""),"Initiative")</f>
        <v>Initiative</v>
      </c>
      <c r="G352" s="4" t="str">
        <f ca="1">IFERROR(__xludf.DUMMYFUNCTION("""COMPUTED_VALUE"""),"Stock")</f>
        <v>Stock</v>
      </c>
      <c r="H352" s="4" t="str">
        <f ca="1">IFERROR(__xludf.DUMMYFUNCTION("""COMPUTED_VALUE"""),"4Q 2023")</f>
        <v>4Q 2023</v>
      </c>
      <c r="I352" s="131" t="str">
        <f ca="1">IFERROR(__xludf.DUMMYFUNCTION("""COMPUTED_VALUE"""),"angie.castaneda-bbva.com")</f>
        <v>angie.castaneda-bbva.com</v>
      </c>
      <c r="J352" s="131" t="str">
        <f ca="1">IFERROR(__xludf.DUMMYFUNCTION("""COMPUTED_VALUE"""),"liliana.marquez-bbva.com")</f>
        <v>liliana.marquez-bbva.com</v>
      </c>
      <c r="K352" s="131" t="str">
        <f ca="1">IFERROR(__xludf.DUMMYFUNCTION("""COMPUTED_VALUE"""),"monica.zamudio-bbva.com")</f>
        <v>monica.zamudio-bbva.com</v>
      </c>
      <c r="L352" s="4"/>
      <c r="M352" s="4"/>
      <c r="N352" s="4"/>
      <c r="O352" s="4" t="str">
        <f ca="1">IFERROR(__xludf.DUMMYFUNCTION("""COMPUTED_VALUE"""),"Scrum")</f>
        <v>Scrum</v>
      </c>
      <c r="P352" s="4" t="str">
        <f ca="1">IFERROR(__xludf.DUMMYFUNCTION("""COMPUTED_VALUE"""),"The Matrix")</f>
        <v>The Matrix</v>
      </c>
      <c r="Q352" s="4"/>
      <c r="R352" s="130" t="str">
        <f ca="1">IFERROR(__xludf.DUMMYFUNCTION("""COMPUTED_VALUE"""),"Retail Execution")</f>
        <v>Retail Execution</v>
      </c>
      <c r="S352" s="130" t="str">
        <f ca="1">IFERROR(__xludf.DUMMYFUNCTION("""COMPUTED_VALUE"""),"Strategic Review")</f>
        <v>Strategic Review</v>
      </c>
      <c r="T352" s="130" t="str">
        <f ca="1">IFERROR(__xludf.DUMMYFUNCTION("""COMPUTED_VALUE"""),"1. Generación de Ingresos")</f>
        <v>1. Generación de Ingresos</v>
      </c>
      <c r="U352" s="130" t="str">
        <f ca="1">IFERROR(__xludf.DUMMYFUNCTION("""COMPUTED_VALUE"""),"1.1. Proyectos de Hipotecario")</f>
        <v>1.1. Proyectos de Hipotecario</v>
      </c>
      <c r="V352" s="4" t="str">
        <f ca="1">IFERROR(__xludf.DUMMYFUNCTION("""COMPUTED_VALUE"""),"Vivienda")</f>
        <v>Vivienda</v>
      </c>
      <c r="W352" s="4">
        <f ca="1">IFERROR(__xludf.DUMMYFUNCTION("""COMPUTED_VALUE"""),1)</f>
        <v>1</v>
      </c>
      <c r="X352" s="4" t="str">
        <f ca="1">IFERROR(__xludf.DUMMYFUNCTION("""COMPUTED_VALUE"""),"01. Open Market &amp; Partnerships")</f>
        <v>01. Open Market &amp; Partnerships</v>
      </c>
      <c r="Y352" s="4" t="str">
        <f ca="1">IFERROR(__xludf.DUMMYFUNCTION("""COMPUTED_VALUE"""),"4.1.1. Own channels")</f>
        <v>4.1.1. Own channels</v>
      </c>
      <c r="Z352" s="132" t="str">
        <f ca="1">IFERROR(__xludf.DUMMYFUNCTION("""COMPUTED_VALUE"""),"710463")</f>
        <v>710463</v>
      </c>
      <c r="AA352" s="4" t="str">
        <f ca="1">IFERROR(__xludf.DUMMYFUNCTION("""COMPUTED_VALUE"""),"VIS/NO VIS")</f>
        <v>VIS/NO VIS</v>
      </c>
      <c r="AB352" s="4" t="str">
        <f ca="1">IFERROR(__xludf.DUMMYFUNCTION("""COMPUTED_VALUE"""),"Integrar al proceso de aprobación en línea de vivienda digital, la línea de vivienda VIS.")</f>
        <v>Integrar al proceso de aprobación en línea de vivienda digital, la línea de vivienda VIS.</v>
      </c>
      <c r="AC352" s="4" t="str">
        <f ca="1">IFERROR(__xludf.DUMMYFUNCTION("""COMPUTED_VALUE"""),"4Q 2023")</f>
        <v>4Q 2023</v>
      </c>
      <c r="AD352" s="4"/>
      <c r="AE352" s="4"/>
      <c r="AF352" s="4"/>
      <c r="AG352" s="4"/>
      <c r="AH352" s="4"/>
      <c r="AI352" s="4"/>
      <c r="AJ352" s="4"/>
      <c r="AK352" s="4" t="str">
        <f ca="1">IFERROR(__xludf.DUMMYFUNCTION("""COMPUTED_VALUE"""),"Sin asignar")</f>
        <v>Sin asignar</v>
      </c>
      <c r="AL352" s="4" t="str">
        <f ca="1">IFERROR(__xludf.DUMMYFUNCTION("""COMPUTED_VALUE"""),"Sin asignar")</f>
        <v>Sin asignar</v>
      </c>
      <c r="AM352" s="4" t="str">
        <f ca="1">IFERROR(__xludf.DUMMYFUNCTION("""COMPUTED_VALUE"""),"Financiera no lo presentó en PSM")</f>
        <v>Financiera no lo presentó en PSM</v>
      </c>
      <c r="AN352" s="4" t="str">
        <f ca="1">IFERROR(__xludf.DUMMYFUNCTION("""COMPUTED_VALUE"""),"Iniciativa detenida")</f>
        <v>Iniciativa detenida</v>
      </c>
      <c r="AO352" s="4" t="str">
        <f ca="1">IFERROR(__xludf.DUMMYFUNCTION("""COMPUTED_VALUE"""),"Vivienda")</f>
        <v>Vivienda</v>
      </c>
      <c r="AP352" s="4"/>
      <c r="AQ352" s="4"/>
      <c r="AR352" s="4" t="str">
        <f ca="1">IFERROR(__xludf.DUMMYFUNCTION("""COMPUTED_VALUE"""),"SDA aprobada en PPP Q1 2023")</f>
        <v>SDA aprobada en PPP Q1 2023</v>
      </c>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row>
    <row r="353" spans="1:132" x14ac:dyDescent="0.2">
      <c r="A353" s="4">
        <f ca="1">IFERROR(__xludf.DUMMYFUNCTION("""COMPUTED_VALUE"""),353)</f>
        <v>353</v>
      </c>
      <c r="B353" s="4"/>
      <c r="C353" s="4" t="str">
        <f ca="1">IFERROR(__xludf.DUMMYFUNCTION("""COMPUTED_VALUE"""),"SDATOOL-39836")</f>
        <v>SDATOOL-39836</v>
      </c>
      <c r="D353" s="4" t="str">
        <f ca="1">IFERROR(__xludf.DUMMYFUNCTION("""COMPUTED_VALUE"""),"Vivienda digital fase III")</f>
        <v>Vivienda digital fase III</v>
      </c>
      <c r="E353"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3" s="4" t="str">
        <f ca="1">IFERROR(__xludf.DUMMYFUNCTION("""COMPUTED_VALUE"""),"Initiative")</f>
        <v>Initiative</v>
      </c>
      <c r="G353" s="4" t="str">
        <f ca="1">IFERROR(__xludf.DUMMYFUNCTION("""COMPUTED_VALUE"""),"Stock")</f>
        <v>Stock</v>
      </c>
      <c r="H353" s="4" t="str">
        <f ca="1">IFERROR(__xludf.DUMMYFUNCTION("""COMPUTED_VALUE"""),"4Q 2023")</f>
        <v>4Q 2023</v>
      </c>
      <c r="I353" s="131" t="str">
        <f ca="1">IFERROR(__xludf.DUMMYFUNCTION("""COMPUTED_VALUE"""),"angie.castaneda-bbva.com")</f>
        <v>angie.castaneda-bbva.com</v>
      </c>
      <c r="J353" s="131" t="str">
        <f ca="1">IFERROR(__xludf.DUMMYFUNCTION("""COMPUTED_VALUE"""),"liliana.marquez-bbva.com")</f>
        <v>liliana.marquez-bbva.com</v>
      </c>
      <c r="K353" s="131" t="str">
        <f ca="1">IFERROR(__xludf.DUMMYFUNCTION("""COMPUTED_VALUE"""),"monica.zamudio-bbva.com")</f>
        <v>monica.zamudio-bbva.com</v>
      </c>
      <c r="L353" s="4"/>
      <c r="M353" s="4"/>
      <c r="N353" s="4"/>
      <c r="O353" s="4" t="str">
        <f ca="1">IFERROR(__xludf.DUMMYFUNCTION("""COMPUTED_VALUE"""),"Scrum")</f>
        <v>Scrum</v>
      </c>
      <c r="P353" s="4" t="str">
        <f ca="1">IFERROR(__xludf.DUMMYFUNCTION("""COMPUTED_VALUE"""),"The Matrix")</f>
        <v>The Matrix</v>
      </c>
      <c r="Q353" s="4"/>
      <c r="R353" s="130" t="str">
        <f ca="1">IFERROR(__xludf.DUMMYFUNCTION("""COMPUTED_VALUE"""),"Retail Execution")</f>
        <v>Retail Execution</v>
      </c>
      <c r="S353" s="130" t="str">
        <f ca="1">IFERROR(__xludf.DUMMYFUNCTION("""COMPUTED_VALUE"""),"Strategic Review")</f>
        <v>Strategic Review</v>
      </c>
      <c r="T353" s="130" t="str">
        <f ca="1">IFERROR(__xludf.DUMMYFUNCTION("""COMPUTED_VALUE"""),"1. Generación de Ingresos")</f>
        <v>1. Generación de Ingresos</v>
      </c>
      <c r="U353" s="130" t="str">
        <f ca="1">IFERROR(__xludf.DUMMYFUNCTION("""COMPUTED_VALUE"""),"1.1. Proyectos de Hipotecario")</f>
        <v>1.1. Proyectos de Hipotecario</v>
      </c>
      <c r="V353" s="4" t="str">
        <f ca="1">IFERROR(__xludf.DUMMYFUNCTION("""COMPUTED_VALUE"""),"Vivienda")</f>
        <v>Vivienda</v>
      </c>
      <c r="W353" s="4">
        <f ca="1">IFERROR(__xludf.DUMMYFUNCTION("""COMPUTED_VALUE"""),1)</f>
        <v>1</v>
      </c>
      <c r="X353" s="4" t="str">
        <f ca="1">IFERROR(__xludf.DUMMYFUNCTION("""COMPUTED_VALUE"""),"01. Open Market &amp; Partnerships")</f>
        <v>01. Open Market &amp; Partnerships</v>
      </c>
      <c r="Y353" s="4" t="str">
        <f ca="1">IFERROR(__xludf.DUMMYFUNCTION("""COMPUTED_VALUE"""),"4.1.1. Own channels")</f>
        <v>4.1.1. Own channels</v>
      </c>
      <c r="Z353" s="132" t="str">
        <f ca="1">IFERROR(__xludf.DUMMYFUNCTION("""COMPUTED_VALUE"""),"773910")</f>
        <v>773910</v>
      </c>
      <c r="AA353" s="4" t="str">
        <f ca="1">IFERROR(__xludf.DUMMYFUNCTION("""COMPUTED_VALUE"""),"Mejoras Riesgos")</f>
        <v>Mejoras Riesgos</v>
      </c>
      <c r="AB353" s="4" t="str">
        <f ca="1">IFERROR(__xludf.DUMMYFUNCTION("""COMPUTED_VALUE"""),"Ajustes política vectores, mayor 3 meses continúe en el flujo.
Rechazar caída por Nit inactivo.
reportes adversos continúe en el flujo
Calificación actual, continúa flujo")</f>
        <v>Ajustes política vectores, mayor 3 meses continúe en el flujo.
Rechazar caída por Nit inactivo.
reportes adversos continúe en el flujo
Calificación actual, continúa flujo</v>
      </c>
      <c r="AC353" s="4" t="str">
        <f ca="1">IFERROR(__xludf.DUMMYFUNCTION("""COMPUTED_VALUE"""),"2Q 2023")</f>
        <v>2Q 2023</v>
      </c>
      <c r="AD353" s="4"/>
      <c r="AE353" s="4"/>
      <c r="AF353" s="4"/>
      <c r="AG353" s="4"/>
      <c r="AH353" s="4"/>
      <c r="AI353" s="4"/>
      <c r="AJ353" s="4"/>
      <c r="AK353" s="4" t="str">
        <f ca="1">IFERROR(__xludf.DUMMYFUNCTION("""COMPUTED_VALUE"""),"Sin asignar")</f>
        <v>Sin asignar</v>
      </c>
      <c r="AL353" s="4" t="str">
        <f ca="1">IFERROR(__xludf.DUMMYFUNCTION("""COMPUTED_VALUE"""),"Sin asignar")</f>
        <v>Sin asignar</v>
      </c>
      <c r="AM353" s="4"/>
      <c r="AN353" s="4" t="str">
        <f ca="1">IFERROR(__xludf.DUMMYFUNCTION("""COMPUTED_VALUE"""),"Entregable en backlog")</f>
        <v>Entregable en backlog</v>
      </c>
      <c r="AO353" s="4" t="str">
        <f ca="1">IFERROR(__xludf.DUMMYFUNCTION("""COMPUTED_VALUE"""),"Vivienda")</f>
        <v>Vivienda</v>
      </c>
      <c r="AP353" s="4"/>
      <c r="AQ353" s="4"/>
      <c r="AR353" s="4" t="str">
        <f ca="1">IFERROR(__xludf.DUMMYFUNCTION("""COMPUTED_VALUE"""),"SDA aprobada en PPP Q1 2023")</f>
        <v>SDA aprobada en PPP Q1 2023</v>
      </c>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row>
    <row r="354" spans="1:132" x14ac:dyDescent="0.2">
      <c r="A354" s="4">
        <f ca="1">IFERROR(__xludf.DUMMYFUNCTION("""COMPUTED_VALUE"""),354)</f>
        <v>354</v>
      </c>
      <c r="B354" s="4">
        <f ca="1">IFERROR(__xludf.DUMMYFUNCTION("""COMPUTED_VALUE"""),330)</f>
        <v>330</v>
      </c>
      <c r="C354" s="4" t="str">
        <f ca="1">IFERROR(__xludf.DUMMYFUNCTION("""COMPUTED_VALUE"""),"SDATOOL-36556")</f>
        <v>SDATOOL-36556</v>
      </c>
      <c r="D354" s="4" t="str">
        <f ca="1">IFERROR(__xludf.DUMMYFUNCTION("""COMPUTED_VALUE"""),"Parthnerships - Tarjeta de crédito en punto de venta físico  aliados")</f>
        <v>Parthnerships - Tarjeta de crédito en punto de venta físico  aliados</v>
      </c>
      <c r="E354"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4" s="4" t="str">
        <f ca="1">IFERROR(__xludf.DUMMYFUNCTION("""COMPUTED_VALUE"""),"Project")</f>
        <v>Project</v>
      </c>
      <c r="G354" s="4" t="str">
        <f ca="1">IFERROR(__xludf.DUMMYFUNCTION("""COMPUTED_VALUE"""),"Stock")</f>
        <v>Stock</v>
      </c>
      <c r="H354" s="4" t="str">
        <f ca="1">IFERROR(__xludf.DUMMYFUNCTION("""COMPUTED_VALUE"""),"2Q 2023")</f>
        <v>2Q 2023</v>
      </c>
      <c r="I354" s="131" t="str">
        <f ca="1">IFERROR(__xludf.DUMMYFUNCTION("""COMPUTED_VALUE"""),"angie.castaneda-bbva.com")</f>
        <v>angie.castaneda-bbva.com</v>
      </c>
      <c r="J354" s="131" t="str">
        <f ca="1">IFERROR(__xludf.DUMMYFUNCTION("""COMPUTED_VALUE"""),"judy.prieto-bbva.com")</f>
        <v>judy.prieto-bbva.com</v>
      </c>
      <c r="K354" s="131" t="str">
        <f ca="1">IFERROR(__xludf.DUMMYFUNCTION("""COMPUTED_VALUE"""),"paolaandrea.guzman-bbva.com")</f>
        <v>paolaandrea.guzman-bbva.com</v>
      </c>
      <c r="L354" s="130">
        <f ca="1">IFERROR(__xludf.DUMMYFUNCTION("""COMPUTED_VALUE"""),0.5)</f>
        <v>0.5</v>
      </c>
      <c r="M354" s="130">
        <f ca="1">IFERROR(__xludf.DUMMYFUNCTION("""COMPUTED_VALUE"""),4)</f>
        <v>4</v>
      </c>
      <c r="N354" s="130">
        <f ca="1">IFERROR(__xludf.DUMMYFUNCTION("""COMPUTED_VALUE"""),3.5)</f>
        <v>3.5</v>
      </c>
      <c r="O354" s="4" t="str">
        <f ca="1">IFERROR(__xludf.DUMMYFUNCTION("""COMPUTED_VALUE"""),"Scrum")</f>
        <v>Scrum</v>
      </c>
      <c r="P354" s="4" t="str">
        <f ca="1">IFERROR(__xludf.DUMMYFUNCTION("""COMPUTED_VALUE"""),"Kairos")</f>
        <v>Kairos</v>
      </c>
      <c r="Q354" s="130">
        <f ca="1">IFERROR(__xludf.DUMMYFUNCTION("""COMPUTED_VALUE"""),1)</f>
        <v>1</v>
      </c>
      <c r="R354" s="130" t="str">
        <f ca="1">IFERROR(__xludf.DUMMYFUNCTION("""COMPUTED_VALUE"""),"Payments &amp; Partnerships")</f>
        <v>Payments &amp; Partnerships</v>
      </c>
      <c r="S354" s="130" t="str">
        <f ca="1">IFERROR(__xludf.DUMMYFUNCTION("""COMPUTED_VALUE"""),"Area Review")</f>
        <v>Area Review</v>
      </c>
      <c r="T354" s="130" t="str">
        <f ca="1">IFERROR(__xludf.DUMMYFUNCTION("""COMPUTED_VALUE"""),"1. Generación de Ingresos")</f>
        <v>1. Generación de Ingresos</v>
      </c>
      <c r="U354" s="130" t="str">
        <f ca="1">IFERROR(__xludf.DUMMYFUNCTION("""COMPUTED_VALUE"""),"1.2. Proyectos de Consumo")</f>
        <v>1.2. Proyectos de Consumo</v>
      </c>
      <c r="V354" s="4" t="str">
        <f ca="1">IFERROR(__xludf.DUMMYFUNCTION("""COMPUTED_VALUE"""),"TdC")</f>
        <v>TdC</v>
      </c>
      <c r="W354" s="4">
        <f ca="1">IFERROR(__xludf.DUMMYFUNCTION("""COMPUTED_VALUE"""),1)</f>
        <v>1</v>
      </c>
      <c r="X354" s="4" t="str">
        <f ca="1">IFERROR(__xludf.DUMMYFUNCTION("""COMPUTED_VALUE"""),"01. Open Market &amp; Partnerships")</f>
        <v>01. Open Market &amp; Partnerships</v>
      </c>
      <c r="Y354" s="4" t="str">
        <f ca="1">IFERROR(__xludf.DUMMYFUNCTION("""COMPUTED_VALUE"""),"5.4.1 Partnerships &amp; OB")</f>
        <v>5.4.1 Partnerships &amp; OB</v>
      </c>
      <c r="Z354" s="132" t="str">
        <f ca="1">IFERROR(__xludf.DUMMYFUNCTION("""COMPUTED_VALUE"""),"514838")</f>
        <v>514838</v>
      </c>
      <c r="AA354" s="4" t="str">
        <f ca="1">IFERROR(__xludf.DUMMYFUNCTION("""COMPUTED_VALUE"""),"Creación TP marca compartida ARA")</f>
        <v>Creación TP marca compartida ARA</v>
      </c>
      <c r="AB354" s="4" t="str">
        <f ca="1">IFERROR(__xludf.DUMMYFUNCTION("""COMPUTED_VALUE"""),"Creación TP marca compartida ARA")</f>
        <v>Creación TP marca compartida ARA</v>
      </c>
      <c r="AC354" s="4" t="str">
        <f ca="1">IFERROR(__xludf.DUMMYFUNCTION("""COMPUTED_VALUE"""),"3Q 2022")</f>
        <v>3Q 2022</v>
      </c>
      <c r="AD354" s="128">
        <f ca="1">IFERROR(__xludf.DUMMYFUNCTION("""COMPUTED_VALUE"""),44501)</f>
        <v>44501</v>
      </c>
      <c r="AE354" s="128">
        <f ca="1">IFERROR(__xludf.DUMMYFUNCTION("""COMPUTED_VALUE"""),44592)</f>
        <v>44592</v>
      </c>
      <c r="AF354" s="128">
        <f ca="1">IFERROR(__xludf.DUMMYFUNCTION("""COMPUTED_VALUE"""),44621)</f>
        <v>44621</v>
      </c>
      <c r="AG354" s="128">
        <f ca="1">IFERROR(__xludf.DUMMYFUNCTION("""COMPUTED_VALUE"""),44742)</f>
        <v>44742</v>
      </c>
      <c r="AH354" s="128">
        <f ca="1">IFERROR(__xludf.DUMMYFUNCTION("""COMPUTED_VALUE"""),44746)</f>
        <v>44746</v>
      </c>
      <c r="AI354" s="128">
        <f ca="1">IFERROR(__xludf.DUMMYFUNCTION("""COMPUTED_VALUE"""),44820)</f>
        <v>44820</v>
      </c>
      <c r="AJ354" s="128">
        <f ca="1">IFERROR(__xludf.DUMMYFUNCTION("""COMPUTED_VALUE"""),44834)</f>
        <v>44834</v>
      </c>
      <c r="AK354" s="131" t="str">
        <f ca="1">IFERROR(__xludf.DUMMYFUNCTION("""COMPUTED_VALUE"""),"COLWSMEDIO-429")</f>
        <v>COLWSMEDIO-429</v>
      </c>
      <c r="AL354" s="4" t="str">
        <f ca="1">IFERROR(__xludf.DUMMYFUNCTION("""COMPUTED_VALUE"""),"Deployed")</f>
        <v>Deployed</v>
      </c>
      <c r="AM354" s="4" t="str">
        <f ca="1">IFERROR(__xludf.DUMMYFUNCTION("""COMPUTED_VALUE"""),"Se instalo a finales de sept/22")</f>
        <v>Se instalo a finales de sept/22</v>
      </c>
      <c r="AN354" s="4" t="str">
        <f ca="1">IFERROR(__xludf.DUMMYFUNCTION("""COMPUTED_VALUE"""),"Finalizado")</f>
        <v>Finalizado</v>
      </c>
      <c r="AO354" s="4" t="str">
        <f ca="1">IFERROR(__xludf.DUMMYFUNCTION("""COMPUTED_VALUE"""),"Consumo partnerships")</f>
        <v>Consumo partnerships</v>
      </c>
      <c r="AP354" s="4"/>
      <c r="AQ354" s="4"/>
      <c r="AR354" s="4" t="str">
        <f ca="1">IFERROR(__xludf.DUMMYFUNCTION("""COMPUTED_VALUE"""),"SDA aprobada en PPP Q1 2023")</f>
        <v>SDA aprobada en PPP Q1 2023</v>
      </c>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133">
        <f ca="1">IFERROR(__xludf.DUMMYFUNCTION("""COMPUTED_VALUE"""),0)</f>
        <v>0</v>
      </c>
      <c r="DV354" s="133">
        <f ca="1">IFERROR(__xludf.DUMMYFUNCTION("""COMPUTED_VALUE"""),0)</f>
        <v>0</v>
      </c>
      <c r="DW354" s="133">
        <f ca="1">IFERROR(__xludf.DUMMYFUNCTION("""COMPUTED_VALUE"""),864627869)</f>
        <v>864627869</v>
      </c>
      <c r="DX354" s="133">
        <f ca="1">IFERROR(__xludf.DUMMYFUNCTION("""COMPUTED_VALUE"""),506266109)</f>
        <v>506266109</v>
      </c>
      <c r="DY354" s="133">
        <f ca="1">IFERROR(__xludf.DUMMYFUNCTION("""COMPUTED_VALUE"""),0)</f>
        <v>0</v>
      </c>
      <c r="DZ354" s="133">
        <f ca="1">IFERROR(__xludf.DUMMYFUNCTION("""COMPUTED_VALUE"""),1370893978)</f>
        <v>1370893978</v>
      </c>
      <c r="EA354" s="4"/>
      <c r="EB354" s="4"/>
    </row>
    <row r="355" spans="1:132" x14ac:dyDescent="0.2">
      <c r="A355" s="4">
        <f ca="1">IFERROR(__xludf.DUMMYFUNCTION("""COMPUTED_VALUE"""),355)</f>
        <v>355</v>
      </c>
      <c r="B355" s="4">
        <f ca="1">IFERROR(__xludf.DUMMYFUNCTION("""COMPUTED_VALUE"""),331)</f>
        <v>331</v>
      </c>
      <c r="C355" s="4" t="str">
        <f ca="1">IFERROR(__xludf.DUMMYFUNCTION("""COMPUTED_VALUE"""),"SDATOOL-36556")</f>
        <v>SDATOOL-36556</v>
      </c>
      <c r="D355" s="4" t="str">
        <f ca="1">IFERROR(__xludf.DUMMYFUNCTION("""COMPUTED_VALUE"""),"Parthnerships - Tarjeta de crédito en punto de venta físico  aliados")</f>
        <v>Parthnerships - Tarjeta de crédito en punto de venta físico  aliados</v>
      </c>
      <c r="E355"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5" s="4" t="str">
        <f ca="1">IFERROR(__xludf.DUMMYFUNCTION("""COMPUTED_VALUE"""),"Project")</f>
        <v>Project</v>
      </c>
      <c r="G355" s="4" t="str">
        <f ca="1">IFERROR(__xludf.DUMMYFUNCTION("""COMPUTED_VALUE"""),"Stock")</f>
        <v>Stock</v>
      </c>
      <c r="H355" s="4" t="str">
        <f ca="1">IFERROR(__xludf.DUMMYFUNCTION("""COMPUTED_VALUE"""),"2Q 2023")</f>
        <v>2Q 2023</v>
      </c>
      <c r="I355" s="131" t="str">
        <f ca="1">IFERROR(__xludf.DUMMYFUNCTION("""COMPUTED_VALUE"""),"angie.castaneda-bbva.com")</f>
        <v>angie.castaneda-bbva.com</v>
      </c>
      <c r="J355" s="131" t="str">
        <f ca="1">IFERROR(__xludf.DUMMYFUNCTION("""COMPUTED_VALUE"""),"judy.prieto-bbva.com")</f>
        <v>judy.prieto-bbva.com</v>
      </c>
      <c r="K355" s="131" t="str">
        <f ca="1">IFERROR(__xludf.DUMMYFUNCTION("""COMPUTED_VALUE"""),"paolaandrea.guzman-bbva.com")</f>
        <v>paolaandrea.guzman-bbva.com</v>
      </c>
      <c r="L355" s="4"/>
      <c r="M355" s="4"/>
      <c r="N355" s="4"/>
      <c r="O355" s="4" t="str">
        <f ca="1">IFERROR(__xludf.DUMMYFUNCTION("""COMPUTED_VALUE"""),"Scrum")</f>
        <v>Scrum</v>
      </c>
      <c r="P355" s="4" t="str">
        <f ca="1">IFERROR(__xludf.DUMMYFUNCTION("""COMPUTED_VALUE"""),"Kairos")</f>
        <v>Kairos</v>
      </c>
      <c r="Q355" s="4"/>
      <c r="R355" s="130" t="str">
        <f ca="1">IFERROR(__xludf.DUMMYFUNCTION("""COMPUTED_VALUE"""),"Payments &amp; Partnerships")</f>
        <v>Payments &amp; Partnerships</v>
      </c>
      <c r="S355" s="130" t="str">
        <f ca="1">IFERROR(__xludf.DUMMYFUNCTION("""COMPUTED_VALUE"""),"Area Review")</f>
        <v>Area Review</v>
      </c>
      <c r="T355" s="130" t="str">
        <f ca="1">IFERROR(__xludf.DUMMYFUNCTION("""COMPUTED_VALUE"""),"1. Generación de Ingresos")</f>
        <v>1. Generación de Ingresos</v>
      </c>
      <c r="U355" s="130" t="str">
        <f ca="1">IFERROR(__xludf.DUMMYFUNCTION("""COMPUTED_VALUE"""),"1.2. Proyectos de Consumo")</f>
        <v>1.2. Proyectos de Consumo</v>
      </c>
      <c r="V355" s="4" t="str">
        <f ca="1">IFERROR(__xludf.DUMMYFUNCTION("""COMPUTED_VALUE"""),"TdC")</f>
        <v>TdC</v>
      </c>
      <c r="W355" s="4">
        <f ca="1">IFERROR(__xludf.DUMMYFUNCTION("""COMPUTED_VALUE"""),1)</f>
        <v>1</v>
      </c>
      <c r="X355" s="4" t="str">
        <f ca="1">IFERROR(__xludf.DUMMYFUNCTION("""COMPUTED_VALUE"""),"01. Open Market &amp; Partnerships")</f>
        <v>01. Open Market &amp; Partnerships</v>
      </c>
      <c r="Y355" s="4" t="str">
        <f ca="1">IFERROR(__xludf.DUMMYFUNCTION("""COMPUTED_VALUE"""),"5.4.1 Partnerships &amp; OB")</f>
        <v>5.4.1 Partnerships &amp; OB</v>
      </c>
      <c r="Z355" s="132" t="str">
        <f ca="1">IFERROR(__xludf.DUMMYFUNCTION("""COMPUTED_VALUE"""),"429387")</f>
        <v>429387</v>
      </c>
      <c r="AA355" s="4" t="str">
        <f ca="1">IFERROR(__xludf.DUMMYFUNCTION("""COMPUTED_VALUE"""),"Primera compra Tarjeta de crédito en Datáfono")</f>
        <v>Primera compra Tarjeta de crédito en Datáfono</v>
      </c>
      <c r="AB355" s="4" t="str">
        <f ca="1">IFERROR(__xludf.DUMMYFUNCTION("""COMPUTED_VALUE"""),"Permitir el pago de la primera compra con OTP en datáfono en los puntos de venta")</f>
        <v>Permitir el pago de la primera compra con OTP en datáfono en los puntos de venta</v>
      </c>
      <c r="AC355" s="4" t="str">
        <f ca="1">IFERROR(__xludf.DUMMYFUNCTION("""COMPUTED_VALUE"""),"4Q 2022")</f>
        <v>4Q 2022</v>
      </c>
      <c r="AD355" s="128">
        <f ca="1">IFERROR(__xludf.DUMMYFUNCTION("""COMPUTED_VALUE"""),44501)</f>
        <v>44501</v>
      </c>
      <c r="AE355" s="128">
        <f ca="1">IFERROR(__xludf.DUMMYFUNCTION("""COMPUTED_VALUE"""),44592)</f>
        <v>44592</v>
      </c>
      <c r="AF355" s="128">
        <f ca="1">IFERROR(__xludf.DUMMYFUNCTION("""COMPUTED_VALUE"""),44621)</f>
        <v>44621</v>
      </c>
      <c r="AG355" s="128">
        <f ca="1">IFERROR(__xludf.DUMMYFUNCTION("""COMPUTED_VALUE"""),44820)</f>
        <v>44820</v>
      </c>
      <c r="AH355" s="128">
        <f ca="1">IFERROR(__xludf.DUMMYFUNCTION("""COMPUTED_VALUE"""),44824)</f>
        <v>44824</v>
      </c>
      <c r="AI355" s="128">
        <f ca="1">IFERROR(__xludf.DUMMYFUNCTION("""COMPUTED_VALUE"""),44884)</f>
        <v>44884</v>
      </c>
      <c r="AJ355" s="128">
        <f ca="1">IFERROR(__xludf.DUMMYFUNCTION("""COMPUTED_VALUE"""),44891)</f>
        <v>44891</v>
      </c>
      <c r="AK355" s="131" t="str">
        <f ca="1">IFERROR(__xludf.DUMMYFUNCTION("""COMPUTED_VALUE"""),"COLWSMEDIO-433")</f>
        <v>COLWSMEDIO-433</v>
      </c>
      <c r="AL355" s="4" t="str">
        <f ca="1">IFERROR(__xludf.DUMMYFUNCTION("""COMPUTED_VALUE"""),"Deployed")</f>
        <v>Deployed</v>
      </c>
      <c r="AM355" s="4" t="str">
        <f ca="1">IFERROR(__xludf.DUMMYFUNCTION("""COMPUTED_VALUE"""),"Se instaló en Ene/23. ")</f>
        <v xml:space="preserve">Se instaló en Ene/23. </v>
      </c>
      <c r="AN355" s="4" t="str">
        <f ca="1">IFERROR(__xludf.DUMMYFUNCTION("""COMPUTED_VALUE"""),"Finalizado")</f>
        <v>Finalizado</v>
      </c>
      <c r="AO355" s="4" t="str">
        <f ca="1">IFERROR(__xludf.DUMMYFUNCTION("""COMPUTED_VALUE"""),"Consumo partnerships")</f>
        <v>Consumo partnerships</v>
      </c>
      <c r="AP355" s="4"/>
      <c r="AQ355" s="4"/>
      <c r="AR355" s="4" t="str">
        <f ca="1">IFERROR(__xludf.DUMMYFUNCTION("""COMPUTED_VALUE"""),"SDA aprobada en PPP Q1 2023")</f>
        <v>SDA aprobada en PPP Q1 2023</v>
      </c>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row>
    <row r="356" spans="1:132" x14ac:dyDescent="0.2">
      <c r="A356" s="4">
        <f ca="1">IFERROR(__xludf.DUMMYFUNCTION("""COMPUTED_VALUE"""),356)</f>
        <v>356</v>
      </c>
      <c r="B356" s="4">
        <f ca="1">IFERROR(__xludf.DUMMYFUNCTION("""COMPUTED_VALUE"""),332)</f>
        <v>332</v>
      </c>
      <c r="C356" s="4" t="str">
        <f ca="1">IFERROR(__xludf.DUMMYFUNCTION("""COMPUTED_VALUE"""),"SDATOOL-36556")</f>
        <v>SDATOOL-36556</v>
      </c>
      <c r="D356" s="4" t="str">
        <f ca="1">IFERROR(__xludf.DUMMYFUNCTION("""COMPUTED_VALUE"""),"Parthnerships - Tarjeta de crédito en punto de venta físico  aliados")</f>
        <v>Parthnerships - Tarjeta de crédito en punto de venta físico  aliados</v>
      </c>
      <c r="E356"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6" s="4" t="str">
        <f ca="1">IFERROR(__xludf.DUMMYFUNCTION("""COMPUTED_VALUE"""),"Project")</f>
        <v>Project</v>
      </c>
      <c r="G356" s="4" t="str">
        <f ca="1">IFERROR(__xludf.DUMMYFUNCTION("""COMPUTED_VALUE"""),"Stock")</f>
        <v>Stock</v>
      </c>
      <c r="H356" s="4" t="str">
        <f ca="1">IFERROR(__xludf.DUMMYFUNCTION("""COMPUTED_VALUE"""),"2Q 2023")</f>
        <v>2Q 2023</v>
      </c>
      <c r="I356" s="131" t="str">
        <f ca="1">IFERROR(__xludf.DUMMYFUNCTION("""COMPUTED_VALUE"""),"angie.castaneda-bbva.com")</f>
        <v>angie.castaneda-bbva.com</v>
      </c>
      <c r="J356" s="131" t="str">
        <f ca="1">IFERROR(__xludf.DUMMYFUNCTION("""COMPUTED_VALUE"""),"judy.prieto-bbva.com")</f>
        <v>judy.prieto-bbva.com</v>
      </c>
      <c r="K356" s="131" t="str">
        <f ca="1">IFERROR(__xludf.DUMMYFUNCTION("""COMPUTED_VALUE"""),"paolaandrea.guzman-bbva.com")</f>
        <v>paolaandrea.guzman-bbva.com</v>
      </c>
      <c r="L356" s="4"/>
      <c r="M356" s="4"/>
      <c r="N356" s="4"/>
      <c r="O356" s="4" t="str">
        <f ca="1">IFERROR(__xludf.DUMMYFUNCTION("""COMPUTED_VALUE"""),"Scrum")</f>
        <v>Scrum</v>
      </c>
      <c r="P356" s="4" t="str">
        <f ca="1">IFERROR(__xludf.DUMMYFUNCTION("""COMPUTED_VALUE"""),"Kairos")</f>
        <v>Kairos</v>
      </c>
      <c r="Q356" s="4"/>
      <c r="R356" s="130" t="str">
        <f ca="1">IFERROR(__xludf.DUMMYFUNCTION("""COMPUTED_VALUE"""),"Payments &amp; Partnerships")</f>
        <v>Payments &amp; Partnerships</v>
      </c>
      <c r="S356" s="130" t="str">
        <f ca="1">IFERROR(__xludf.DUMMYFUNCTION("""COMPUTED_VALUE"""),"Area Review")</f>
        <v>Area Review</v>
      </c>
      <c r="T356" s="130" t="str">
        <f ca="1">IFERROR(__xludf.DUMMYFUNCTION("""COMPUTED_VALUE"""),"1. Generación de Ingresos")</f>
        <v>1. Generación de Ingresos</v>
      </c>
      <c r="U356" s="130" t="str">
        <f ca="1">IFERROR(__xludf.DUMMYFUNCTION("""COMPUTED_VALUE"""),"1.2. Proyectos de Consumo")</f>
        <v>1.2. Proyectos de Consumo</v>
      </c>
      <c r="V356" s="4" t="str">
        <f ca="1">IFERROR(__xludf.DUMMYFUNCTION("""COMPUTED_VALUE"""),"TdC")</f>
        <v>TdC</v>
      </c>
      <c r="W356" s="4">
        <f ca="1">IFERROR(__xludf.DUMMYFUNCTION("""COMPUTED_VALUE"""),1)</f>
        <v>1</v>
      </c>
      <c r="X356" s="4" t="str">
        <f ca="1">IFERROR(__xludf.DUMMYFUNCTION("""COMPUTED_VALUE"""),"01. Open Market &amp; Partnerships")</f>
        <v>01. Open Market &amp; Partnerships</v>
      </c>
      <c r="Y356" s="4" t="str">
        <f ca="1">IFERROR(__xludf.DUMMYFUNCTION("""COMPUTED_VALUE"""),"5.4.1 Partnerships &amp; OB")</f>
        <v>5.4.1 Partnerships &amp; OB</v>
      </c>
      <c r="Z356" s="132" t="str">
        <f ca="1">IFERROR(__xludf.DUMMYFUNCTION("""COMPUTED_VALUE"""),"710893")</f>
        <v>710893</v>
      </c>
      <c r="AA356" s="4" t="str">
        <f ca="1">IFERROR(__xludf.DUMMYFUNCTION("""COMPUTED_VALUE"""),"Continuidad preaprobados en flujo Aliados")</f>
        <v>Continuidad preaprobados en flujo Aliados</v>
      </c>
      <c r="AB356" s="4" t="str">
        <f ca="1">IFERROR(__xludf.DUMMYFUNCTION("""COMPUTED_VALUE"""),"Continuidad preaprobados en flujo Aliados")</f>
        <v>Continuidad preaprobados en flujo Aliados</v>
      </c>
      <c r="AC356" s="4" t="str">
        <f ca="1">IFERROR(__xludf.DUMMYFUNCTION("""COMPUTED_VALUE"""),"2Q 2023")</f>
        <v>2Q 2023</v>
      </c>
      <c r="AD356" s="4"/>
      <c r="AE356" s="4"/>
      <c r="AF356" s="4"/>
      <c r="AG356" s="4"/>
      <c r="AH356" s="4"/>
      <c r="AI356" s="4"/>
      <c r="AJ356" s="4"/>
      <c r="AK356" s="131" t="str">
        <f ca="1">IFERROR(__xludf.DUMMYFUNCTION("""COMPUTED_VALUE"""),"COLWSMEDIO-4866")</f>
        <v>COLWSMEDIO-4866</v>
      </c>
      <c r="AL356" s="4" t="str">
        <f ca="1">IFERROR(__xludf.DUMMYFUNCTION("""COMPUTED_VALUE"""),"New")</f>
        <v>New</v>
      </c>
      <c r="AM356" s="4"/>
      <c r="AN356" s="4" t="str">
        <f ca="1">IFERROR(__xludf.DUMMYFUNCTION("""COMPUTED_VALUE"""),"Entregable en backlog")</f>
        <v>Entregable en backlog</v>
      </c>
      <c r="AO356" s="4" t="str">
        <f ca="1">IFERROR(__xludf.DUMMYFUNCTION("""COMPUTED_VALUE"""),"Consumo partnerships")</f>
        <v>Consumo partnerships</v>
      </c>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row>
    <row r="357" spans="1:132" x14ac:dyDescent="0.2">
      <c r="A357" s="4">
        <f ca="1">IFERROR(__xludf.DUMMYFUNCTION("""COMPUTED_VALUE"""),357)</f>
        <v>357</v>
      </c>
      <c r="B357" s="4">
        <f ca="1">IFERROR(__xludf.DUMMYFUNCTION("""COMPUTED_VALUE"""),333)</f>
        <v>333</v>
      </c>
      <c r="C357" s="4" t="str">
        <f ca="1">IFERROR(__xludf.DUMMYFUNCTION("""COMPUTED_VALUE"""),"SDATOOL-36556")</f>
        <v>SDATOOL-36556</v>
      </c>
      <c r="D357" s="4" t="str">
        <f ca="1">IFERROR(__xludf.DUMMYFUNCTION("""COMPUTED_VALUE"""),"Parthnerships - Tarjeta de crédito en punto de venta físico  aliados")</f>
        <v>Parthnerships - Tarjeta de crédito en punto de venta físico  aliados</v>
      </c>
      <c r="E357"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7" s="4" t="str">
        <f ca="1">IFERROR(__xludf.DUMMYFUNCTION("""COMPUTED_VALUE"""),"Project")</f>
        <v>Project</v>
      </c>
      <c r="G357" s="4" t="str">
        <f ca="1">IFERROR(__xludf.DUMMYFUNCTION("""COMPUTED_VALUE"""),"Stock")</f>
        <v>Stock</v>
      </c>
      <c r="H357" s="4" t="str">
        <f ca="1">IFERROR(__xludf.DUMMYFUNCTION("""COMPUTED_VALUE"""),"2Q 2023")</f>
        <v>2Q 2023</v>
      </c>
      <c r="I357" s="131" t="str">
        <f ca="1">IFERROR(__xludf.DUMMYFUNCTION("""COMPUTED_VALUE"""),"angie.castaneda-bbva.com")</f>
        <v>angie.castaneda-bbva.com</v>
      </c>
      <c r="J357" s="131" t="str">
        <f ca="1">IFERROR(__xludf.DUMMYFUNCTION("""COMPUTED_VALUE"""),"judy.prieto-bbva.com")</f>
        <v>judy.prieto-bbva.com</v>
      </c>
      <c r="K357" s="131" t="str">
        <f ca="1">IFERROR(__xludf.DUMMYFUNCTION("""COMPUTED_VALUE"""),"paolaandrea.guzman-bbva.com")</f>
        <v>paolaandrea.guzman-bbva.com</v>
      </c>
      <c r="L357" s="4"/>
      <c r="M357" s="4"/>
      <c r="N357" s="4"/>
      <c r="O357" s="4" t="str">
        <f ca="1">IFERROR(__xludf.DUMMYFUNCTION("""COMPUTED_VALUE"""),"Scrum")</f>
        <v>Scrum</v>
      </c>
      <c r="P357" s="4" t="str">
        <f ca="1">IFERROR(__xludf.DUMMYFUNCTION("""COMPUTED_VALUE"""),"Kairos")</f>
        <v>Kairos</v>
      </c>
      <c r="Q357" s="4"/>
      <c r="R357" s="130" t="str">
        <f ca="1">IFERROR(__xludf.DUMMYFUNCTION("""COMPUTED_VALUE"""),"Payments &amp; Partnerships")</f>
        <v>Payments &amp; Partnerships</v>
      </c>
      <c r="S357" s="130" t="str">
        <f ca="1">IFERROR(__xludf.DUMMYFUNCTION("""COMPUTED_VALUE"""),"Area Review")</f>
        <v>Area Review</v>
      </c>
      <c r="T357" s="130" t="str">
        <f ca="1">IFERROR(__xludf.DUMMYFUNCTION("""COMPUTED_VALUE"""),"1. Generación de Ingresos")</f>
        <v>1. Generación de Ingresos</v>
      </c>
      <c r="U357" s="130" t="str">
        <f ca="1">IFERROR(__xludf.DUMMYFUNCTION("""COMPUTED_VALUE"""),"1.2. Proyectos de Consumo")</f>
        <v>1.2. Proyectos de Consumo</v>
      </c>
      <c r="V357" s="4" t="str">
        <f ca="1">IFERROR(__xludf.DUMMYFUNCTION("""COMPUTED_VALUE"""),"TdC")</f>
        <v>TdC</v>
      </c>
      <c r="W357" s="4">
        <f ca="1">IFERROR(__xludf.DUMMYFUNCTION("""COMPUTED_VALUE"""),1)</f>
        <v>1</v>
      </c>
      <c r="X357" s="4" t="str">
        <f ca="1">IFERROR(__xludf.DUMMYFUNCTION("""COMPUTED_VALUE"""),"01. Open Market &amp; Partnerships")</f>
        <v>01. Open Market &amp; Partnerships</v>
      </c>
      <c r="Y357" s="4" t="str">
        <f ca="1">IFERROR(__xludf.DUMMYFUNCTION("""COMPUTED_VALUE"""),"5.4.1 Partnerships &amp; OB")</f>
        <v>5.4.1 Partnerships &amp; OB</v>
      </c>
      <c r="Z357" s="132" t="str">
        <f ca="1">IFERROR(__xludf.DUMMYFUNCTION("""COMPUTED_VALUE"""),"710891")</f>
        <v>710891</v>
      </c>
      <c r="AA357" s="4" t="str">
        <f ca="1">IFERROR(__xludf.DUMMYFUNCTION("""COMPUTED_VALUE"""),"Deuda Técnica Arquitectura en pantalla Contraseña NET")</f>
        <v>Deuda Técnica Arquitectura en pantalla Contraseña NET</v>
      </c>
      <c r="AB357" s="4" t="str">
        <f ca="1">IFERROR(__xludf.DUMMYFUNCTION("""COMPUTED_VALUE"""),"Deuda Técnica Arquitectura en pantalla Contraseña NET")</f>
        <v>Deuda Técnica Arquitectura en pantalla Contraseña NET</v>
      </c>
      <c r="AC357" s="4" t="str">
        <f ca="1">IFERROR(__xludf.DUMMYFUNCTION("""COMPUTED_VALUE"""),"1Q 2023")</f>
        <v>1Q 2023</v>
      </c>
      <c r="AD357" s="4"/>
      <c r="AE357" s="4"/>
      <c r="AF357" s="4"/>
      <c r="AG357" s="4"/>
      <c r="AH357" s="4"/>
      <c r="AI357" s="4"/>
      <c r="AJ357" s="4"/>
      <c r="AK357" s="131" t="str">
        <f ca="1">IFERROR(__xludf.DUMMYFUNCTION("""COMPUTED_VALUE"""),"COLWSMEDIO-4857")</f>
        <v>COLWSMEDIO-4857</v>
      </c>
      <c r="AL357" s="4" t="str">
        <f ca="1">IFERROR(__xludf.DUMMYFUNCTION("""COMPUTED_VALUE"""),"Analysing")</f>
        <v>Analysing</v>
      </c>
      <c r="AM357" s="4"/>
      <c r="AN357" s="4" t="str">
        <f ca="1">IFERROR(__xludf.DUMMYFUNCTION("""COMPUTED_VALUE"""),"Entregable en backlog")</f>
        <v>Entregable en backlog</v>
      </c>
      <c r="AO357" s="4" t="str">
        <f ca="1">IFERROR(__xludf.DUMMYFUNCTION("""COMPUTED_VALUE"""),"Consumo partnerships")</f>
        <v>Consumo partnerships</v>
      </c>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row>
    <row r="358" spans="1:132" x14ac:dyDescent="0.2">
      <c r="A358" s="4">
        <f ca="1">IFERROR(__xludf.DUMMYFUNCTION("""COMPUTED_VALUE"""),358)</f>
        <v>358</v>
      </c>
      <c r="B358" s="4">
        <f ca="1">IFERROR(__xludf.DUMMYFUNCTION("""COMPUTED_VALUE"""),334)</f>
        <v>334</v>
      </c>
      <c r="C358" s="4" t="str">
        <f ca="1">IFERROR(__xludf.DUMMYFUNCTION("""COMPUTED_VALUE"""),"SDATOOL-36556")</f>
        <v>SDATOOL-36556</v>
      </c>
      <c r="D358" s="4" t="str">
        <f ca="1">IFERROR(__xludf.DUMMYFUNCTION("""COMPUTED_VALUE"""),"Parthnerships - Tarjeta de crédito en punto de venta físico  aliados")</f>
        <v>Parthnerships - Tarjeta de crédito en punto de venta físico  aliados</v>
      </c>
      <c r="E358"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8" s="4" t="str">
        <f ca="1">IFERROR(__xludf.DUMMYFUNCTION("""COMPUTED_VALUE"""),"Project")</f>
        <v>Project</v>
      </c>
      <c r="G358" s="4" t="str">
        <f ca="1">IFERROR(__xludf.DUMMYFUNCTION("""COMPUTED_VALUE"""),"Stock")</f>
        <v>Stock</v>
      </c>
      <c r="H358" s="4" t="str">
        <f ca="1">IFERROR(__xludf.DUMMYFUNCTION("""COMPUTED_VALUE"""),"2Q 2023")</f>
        <v>2Q 2023</v>
      </c>
      <c r="I358" s="131" t="str">
        <f ca="1">IFERROR(__xludf.DUMMYFUNCTION("""COMPUTED_VALUE"""),"angie.castaneda-bbva.com")</f>
        <v>angie.castaneda-bbva.com</v>
      </c>
      <c r="J358" s="131" t="str">
        <f ca="1">IFERROR(__xludf.DUMMYFUNCTION("""COMPUTED_VALUE"""),"judy.prieto-bbva.com")</f>
        <v>judy.prieto-bbva.com</v>
      </c>
      <c r="K358" s="131" t="str">
        <f ca="1">IFERROR(__xludf.DUMMYFUNCTION("""COMPUTED_VALUE"""),"paolaandrea.guzman-bbva.com")</f>
        <v>paolaandrea.guzman-bbva.com</v>
      </c>
      <c r="L358" s="4"/>
      <c r="M358" s="4"/>
      <c r="N358" s="4"/>
      <c r="O358" s="4" t="str">
        <f ca="1">IFERROR(__xludf.DUMMYFUNCTION("""COMPUTED_VALUE"""),"Scrum")</f>
        <v>Scrum</v>
      </c>
      <c r="P358" s="4" t="str">
        <f ca="1">IFERROR(__xludf.DUMMYFUNCTION("""COMPUTED_VALUE"""),"Kairos")</f>
        <v>Kairos</v>
      </c>
      <c r="Q358" s="4"/>
      <c r="R358" s="130" t="str">
        <f ca="1">IFERROR(__xludf.DUMMYFUNCTION("""COMPUTED_VALUE"""),"Payments &amp; Partnerships")</f>
        <v>Payments &amp; Partnerships</v>
      </c>
      <c r="S358" s="130" t="str">
        <f ca="1">IFERROR(__xludf.DUMMYFUNCTION("""COMPUTED_VALUE"""),"Area Review")</f>
        <v>Area Review</v>
      </c>
      <c r="T358" s="130" t="str">
        <f ca="1">IFERROR(__xludf.DUMMYFUNCTION("""COMPUTED_VALUE"""),"1. Generación de Ingresos")</f>
        <v>1. Generación de Ingresos</v>
      </c>
      <c r="U358" s="130" t="str">
        <f ca="1">IFERROR(__xludf.DUMMYFUNCTION("""COMPUTED_VALUE"""),"1.2. Proyectos de Consumo")</f>
        <v>1.2. Proyectos de Consumo</v>
      </c>
      <c r="V358" s="4" t="str">
        <f ca="1">IFERROR(__xludf.DUMMYFUNCTION("""COMPUTED_VALUE"""),"TdC")</f>
        <v>TdC</v>
      </c>
      <c r="W358" s="4">
        <f ca="1">IFERROR(__xludf.DUMMYFUNCTION("""COMPUTED_VALUE"""),1)</f>
        <v>1</v>
      </c>
      <c r="X358" s="4" t="str">
        <f ca="1">IFERROR(__xludf.DUMMYFUNCTION("""COMPUTED_VALUE"""),"01. Open Market &amp; Partnerships")</f>
        <v>01. Open Market &amp; Partnerships</v>
      </c>
      <c r="Y358" s="4" t="str">
        <f ca="1">IFERROR(__xludf.DUMMYFUNCTION("""COMPUTED_VALUE"""),"5.4.1 Partnerships &amp; OB")</f>
        <v>5.4.1 Partnerships &amp; OB</v>
      </c>
      <c r="Z358" s="132" t="str">
        <f ca="1">IFERROR(__xludf.DUMMYFUNCTION("""COMPUTED_VALUE"""),"710890")</f>
        <v>710890</v>
      </c>
      <c r="AA358" s="4" t="str">
        <f ca="1">IFERROR(__xludf.DUMMYFUNCTION("""COMPUTED_VALUE"""),"Integración versión Veridas con Back y guardado de imágenes")</f>
        <v>Integración versión Veridas con Back y guardado de imágenes</v>
      </c>
      <c r="AB358" s="4" t="str">
        <f ca="1">IFERROR(__xludf.DUMMYFUNCTION("""COMPUTED_VALUE"""),"Integración versión Veridas con Back y guardado de imágenes")</f>
        <v>Integración versión Veridas con Back y guardado de imágenes</v>
      </c>
      <c r="AC358" s="4" t="str">
        <f ca="1">IFERROR(__xludf.DUMMYFUNCTION("""COMPUTED_VALUE"""),"2Q 2023")</f>
        <v>2Q 2023</v>
      </c>
      <c r="AD358" s="4"/>
      <c r="AE358" s="4"/>
      <c r="AF358" s="4"/>
      <c r="AG358" s="4"/>
      <c r="AH358" s="4"/>
      <c r="AI358" s="4"/>
      <c r="AJ358" s="4"/>
      <c r="AK358" s="131" t="str">
        <f ca="1">IFERROR(__xludf.DUMMYFUNCTION("""COMPUTED_VALUE"""),"COLWSMEDIO-4859")</f>
        <v>COLWSMEDIO-4859</v>
      </c>
      <c r="AL358" s="4" t="str">
        <f ca="1">IFERROR(__xludf.DUMMYFUNCTION("""COMPUTED_VALUE"""),"En progreso")</f>
        <v>En progreso</v>
      </c>
      <c r="AM358" s="4"/>
      <c r="AN358" s="4" t="str">
        <f ca="1">IFERROR(__xludf.DUMMYFUNCTION("""COMPUTED_VALUE"""),"Entregable en backlog")</f>
        <v>Entregable en backlog</v>
      </c>
      <c r="AO358" s="4" t="str">
        <f ca="1">IFERROR(__xludf.DUMMYFUNCTION("""COMPUTED_VALUE"""),"Consumo partnerships")</f>
        <v>Consumo partnerships</v>
      </c>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row>
    <row r="359" spans="1:132" x14ac:dyDescent="0.2">
      <c r="A359" s="4">
        <f ca="1">IFERROR(__xludf.DUMMYFUNCTION("""COMPUTED_VALUE"""),359)</f>
        <v>359</v>
      </c>
      <c r="B359" s="4">
        <f ca="1">IFERROR(__xludf.DUMMYFUNCTION("""COMPUTED_VALUE"""),335)</f>
        <v>335</v>
      </c>
      <c r="C359" s="4" t="str">
        <f ca="1">IFERROR(__xludf.DUMMYFUNCTION("""COMPUTED_VALUE"""),"SDATOOL-36556")</f>
        <v>SDATOOL-36556</v>
      </c>
      <c r="D359" s="4" t="str">
        <f ca="1">IFERROR(__xludf.DUMMYFUNCTION("""COMPUTED_VALUE"""),"Parthnerships - Tarjeta de crédito en punto de venta físico  aliados")</f>
        <v>Parthnerships - Tarjeta de crédito en punto de venta físico  aliados</v>
      </c>
      <c r="E359"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9" s="4" t="str">
        <f ca="1">IFERROR(__xludf.DUMMYFUNCTION("""COMPUTED_VALUE"""),"Project")</f>
        <v>Project</v>
      </c>
      <c r="G359" s="4" t="str">
        <f ca="1">IFERROR(__xludf.DUMMYFUNCTION("""COMPUTED_VALUE"""),"Stock")</f>
        <v>Stock</v>
      </c>
      <c r="H359" s="4" t="str">
        <f ca="1">IFERROR(__xludf.DUMMYFUNCTION("""COMPUTED_VALUE"""),"2Q 2023")</f>
        <v>2Q 2023</v>
      </c>
      <c r="I359" s="131" t="str">
        <f ca="1">IFERROR(__xludf.DUMMYFUNCTION("""COMPUTED_VALUE"""),"angie.castaneda-bbva.com")</f>
        <v>angie.castaneda-bbva.com</v>
      </c>
      <c r="J359" s="131" t="str">
        <f ca="1">IFERROR(__xludf.DUMMYFUNCTION("""COMPUTED_VALUE"""),"judy.prieto-bbva.com")</f>
        <v>judy.prieto-bbva.com</v>
      </c>
      <c r="K359" s="131" t="str">
        <f ca="1">IFERROR(__xludf.DUMMYFUNCTION("""COMPUTED_VALUE"""),"paolaandrea.guzman-bbva.com")</f>
        <v>paolaandrea.guzman-bbva.com</v>
      </c>
      <c r="L359" s="4"/>
      <c r="M359" s="4"/>
      <c r="N359" s="4"/>
      <c r="O359" s="4" t="str">
        <f ca="1">IFERROR(__xludf.DUMMYFUNCTION("""COMPUTED_VALUE"""),"Scrum")</f>
        <v>Scrum</v>
      </c>
      <c r="P359" s="4" t="str">
        <f ca="1">IFERROR(__xludf.DUMMYFUNCTION("""COMPUTED_VALUE"""),"Kairos")</f>
        <v>Kairos</v>
      </c>
      <c r="Q359" s="4"/>
      <c r="R359" s="130" t="str">
        <f ca="1">IFERROR(__xludf.DUMMYFUNCTION("""COMPUTED_VALUE"""),"Payments &amp; Partnerships")</f>
        <v>Payments &amp; Partnerships</v>
      </c>
      <c r="S359" s="130" t="str">
        <f ca="1">IFERROR(__xludf.DUMMYFUNCTION("""COMPUTED_VALUE"""),"Area Review")</f>
        <v>Area Review</v>
      </c>
      <c r="T359" s="130" t="str">
        <f ca="1">IFERROR(__xludf.DUMMYFUNCTION("""COMPUTED_VALUE"""),"1. Generación de Ingresos")</f>
        <v>1. Generación de Ingresos</v>
      </c>
      <c r="U359" s="130" t="str">
        <f ca="1">IFERROR(__xludf.DUMMYFUNCTION("""COMPUTED_VALUE"""),"1.2. Proyectos de Consumo")</f>
        <v>1.2. Proyectos de Consumo</v>
      </c>
      <c r="V359" s="4" t="str">
        <f ca="1">IFERROR(__xludf.DUMMYFUNCTION("""COMPUTED_VALUE"""),"TdC")</f>
        <v>TdC</v>
      </c>
      <c r="W359" s="4">
        <f ca="1">IFERROR(__xludf.DUMMYFUNCTION("""COMPUTED_VALUE"""),1)</f>
        <v>1</v>
      </c>
      <c r="X359" s="4" t="str">
        <f ca="1">IFERROR(__xludf.DUMMYFUNCTION("""COMPUTED_VALUE"""),"01. Open Market &amp; Partnerships")</f>
        <v>01. Open Market &amp; Partnerships</v>
      </c>
      <c r="Y359" s="4" t="str">
        <f ca="1">IFERROR(__xludf.DUMMYFUNCTION("""COMPUTED_VALUE"""),"5.4.1 Partnerships &amp; OB")</f>
        <v>5.4.1 Partnerships &amp; OB</v>
      </c>
      <c r="Z359" s="132" t="str">
        <f ca="1">IFERROR(__xludf.DUMMYFUNCTION("""COMPUTED_VALUE"""),"710885")</f>
        <v>710885</v>
      </c>
      <c r="AA359" s="4" t="str">
        <f ca="1">IFERROR(__xludf.DUMMYFUNCTION("""COMPUTED_VALUE"""),"Mejora  plantilla de mensajería  valor de la primera compra")</f>
        <v>Mejora  plantilla de mensajería  valor de la primera compra</v>
      </c>
      <c r="AB359" s="4" t="str">
        <f ca="1">IFERROR(__xludf.DUMMYFUNCTION("""COMPUTED_VALUE"""),"Mejora en plantilla de mensajería E2E  para indicar valor de la primera compra")</f>
        <v>Mejora en plantilla de mensajería E2E  para indicar valor de la primera compra</v>
      </c>
      <c r="AC359" s="4" t="str">
        <f ca="1">IFERROR(__xludf.DUMMYFUNCTION("""COMPUTED_VALUE"""),"1Q 2023")</f>
        <v>1Q 2023</v>
      </c>
      <c r="AD359" s="4"/>
      <c r="AE359" s="4"/>
      <c r="AF359" s="4"/>
      <c r="AG359" s="4"/>
      <c r="AH359" s="4"/>
      <c r="AI359" s="4"/>
      <c r="AJ359" s="4"/>
      <c r="AK359" s="131" t="str">
        <f ca="1">IFERROR(__xludf.DUMMYFUNCTION("""COMPUTED_VALUE"""),"COLWSMEDIO-4853")</f>
        <v>COLWSMEDIO-4853</v>
      </c>
      <c r="AL359" s="4" t="str">
        <f ca="1">IFERROR(__xludf.DUMMYFUNCTION("""COMPUTED_VALUE"""),"Ready To Verify")</f>
        <v>Ready To Verify</v>
      </c>
      <c r="AM359" s="4"/>
      <c r="AN359" s="4" t="str">
        <f ca="1">IFERROR(__xludf.DUMMYFUNCTION("""COMPUTED_VALUE"""),"Entregable en backlog")</f>
        <v>Entregable en backlog</v>
      </c>
      <c r="AO359" s="4" t="str">
        <f ca="1">IFERROR(__xludf.DUMMYFUNCTION("""COMPUTED_VALUE"""),"Consumo partnerships")</f>
        <v>Consumo partnerships</v>
      </c>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row>
    <row r="360" spans="1:132" x14ac:dyDescent="0.2">
      <c r="A360" s="4">
        <f ca="1">IFERROR(__xludf.DUMMYFUNCTION("""COMPUTED_VALUE"""),360)</f>
        <v>360</v>
      </c>
      <c r="B360" s="4">
        <f ca="1">IFERROR(__xludf.DUMMYFUNCTION("""COMPUTED_VALUE"""),336)</f>
        <v>336</v>
      </c>
      <c r="C360" s="4" t="str">
        <f ca="1">IFERROR(__xludf.DUMMYFUNCTION("""COMPUTED_VALUE"""),"SDATOOL-36556")</f>
        <v>SDATOOL-36556</v>
      </c>
      <c r="D360" s="4" t="str">
        <f ca="1">IFERROR(__xludf.DUMMYFUNCTION("""COMPUTED_VALUE"""),"Parthnerships - Tarjeta de crédito en punto de venta físico  aliados")</f>
        <v>Parthnerships - Tarjeta de crédito en punto de venta físico  aliados</v>
      </c>
      <c r="E360"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0" s="4" t="str">
        <f ca="1">IFERROR(__xludf.DUMMYFUNCTION("""COMPUTED_VALUE"""),"Project")</f>
        <v>Project</v>
      </c>
      <c r="G360" s="4" t="str">
        <f ca="1">IFERROR(__xludf.DUMMYFUNCTION("""COMPUTED_VALUE"""),"Stock")</f>
        <v>Stock</v>
      </c>
      <c r="H360" s="4" t="str">
        <f ca="1">IFERROR(__xludf.DUMMYFUNCTION("""COMPUTED_VALUE"""),"2Q 2023")</f>
        <v>2Q 2023</v>
      </c>
      <c r="I360" s="131" t="str">
        <f ca="1">IFERROR(__xludf.DUMMYFUNCTION("""COMPUTED_VALUE"""),"angie.castaneda-bbva.com")</f>
        <v>angie.castaneda-bbva.com</v>
      </c>
      <c r="J360" s="131" t="str">
        <f ca="1">IFERROR(__xludf.DUMMYFUNCTION("""COMPUTED_VALUE"""),"judy.prieto-bbva.com")</f>
        <v>judy.prieto-bbva.com</v>
      </c>
      <c r="K360" s="131" t="str">
        <f ca="1">IFERROR(__xludf.DUMMYFUNCTION("""COMPUTED_VALUE"""),"paolaandrea.guzman-bbva.com")</f>
        <v>paolaandrea.guzman-bbva.com</v>
      </c>
      <c r="L360" s="4"/>
      <c r="M360" s="4"/>
      <c r="N360" s="4"/>
      <c r="O360" s="4" t="str">
        <f ca="1">IFERROR(__xludf.DUMMYFUNCTION("""COMPUTED_VALUE"""),"Scrum")</f>
        <v>Scrum</v>
      </c>
      <c r="P360" s="4" t="str">
        <f ca="1">IFERROR(__xludf.DUMMYFUNCTION("""COMPUTED_VALUE"""),"Kairos")</f>
        <v>Kairos</v>
      </c>
      <c r="Q360" s="4"/>
      <c r="R360" s="130" t="str">
        <f ca="1">IFERROR(__xludf.DUMMYFUNCTION("""COMPUTED_VALUE"""),"Payments &amp; Partnerships")</f>
        <v>Payments &amp; Partnerships</v>
      </c>
      <c r="S360" s="130" t="str">
        <f ca="1">IFERROR(__xludf.DUMMYFUNCTION("""COMPUTED_VALUE"""),"Area Review")</f>
        <v>Area Review</v>
      </c>
      <c r="T360" s="130" t="str">
        <f ca="1">IFERROR(__xludf.DUMMYFUNCTION("""COMPUTED_VALUE"""),"1. Generación de Ingresos")</f>
        <v>1. Generación de Ingresos</v>
      </c>
      <c r="U360" s="130" t="str">
        <f ca="1">IFERROR(__xludf.DUMMYFUNCTION("""COMPUTED_VALUE"""),"1.2. Proyectos de Consumo")</f>
        <v>1.2. Proyectos de Consumo</v>
      </c>
      <c r="V360" s="4" t="str">
        <f ca="1">IFERROR(__xludf.DUMMYFUNCTION("""COMPUTED_VALUE"""),"TdC")</f>
        <v>TdC</v>
      </c>
      <c r="W360" s="4">
        <f ca="1">IFERROR(__xludf.DUMMYFUNCTION("""COMPUTED_VALUE"""),1)</f>
        <v>1</v>
      </c>
      <c r="X360" s="4" t="str">
        <f ca="1">IFERROR(__xludf.DUMMYFUNCTION("""COMPUTED_VALUE"""),"01. Open Market &amp; Partnerships")</f>
        <v>01. Open Market &amp; Partnerships</v>
      </c>
      <c r="Y360" s="4" t="str">
        <f ca="1">IFERROR(__xludf.DUMMYFUNCTION("""COMPUTED_VALUE"""),"5.4.1 Partnerships &amp; OB")</f>
        <v>5.4.1 Partnerships &amp; OB</v>
      </c>
      <c r="Z360" s="132" t="str">
        <f ca="1">IFERROR(__xludf.DUMMYFUNCTION("""COMPUTED_VALUE"""),"710887")</f>
        <v>710887</v>
      </c>
      <c r="AA360" s="4" t="str">
        <f ca="1">IFERROR(__xludf.DUMMYFUNCTION("""COMPUTED_VALUE"""),"Mejoras de Riesgos  Flujo TDC punto de venta aliados")</f>
        <v>Mejoras de Riesgos  Flujo TDC punto de venta aliados</v>
      </c>
      <c r="AB360" s="4" t="str">
        <f ca="1">IFERROR(__xludf.DUMMYFUNCTION("""COMPUTED_VALUE"""),"Implementación caídas previas
Ajuste en gof venta de cartera para reportar el cupo aprobad")</f>
        <v>Implementación caídas previas
Ajuste en gof venta de cartera para reportar el cupo aprobad</v>
      </c>
      <c r="AC360" s="4" t="str">
        <f ca="1">IFERROR(__xludf.DUMMYFUNCTION("""COMPUTED_VALUE"""),"1Q 2023")</f>
        <v>1Q 2023</v>
      </c>
      <c r="AD360" s="4"/>
      <c r="AE360" s="4"/>
      <c r="AF360" s="4"/>
      <c r="AG360" s="4"/>
      <c r="AH360" s="4"/>
      <c r="AI360" s="4"/>
      <c r="AJ360" s="4"/>
      <c r="AK360" s="131" t="str">
        <f ca="1">IFERROR(__xludf.DUMMYFUNCTION("""COMPUTED_VALUE"""),"COLWSMEDIO-4855")</f>
        <v>COLWSMEDIO-4855</v>
      </c>
      <c r="AL360" s="4" t="str">
        <f ca="1">IFERROR(__xludf.DUMMYFUNCTION("""COMPUTED_VALUE"""),"Analysing")</f>
        <v>Analysing</v>
      </c>
      <c r="AM360" s="4"/>
      <c r="AN360" s="4" t="str">
        <f ca="1">IFERROR(__xludf.DUMMYFUNCTION("""COMPUTED_VALUE"""),"Entregable en backlog")</f>
        <v>Entregable en backlog</v>
      </c>
      <c r="AO360" s="4" t="str">
        <f ca="1">IFERROR(__xludf.DUMMYFUNCTION("""COMPUTED_VALUE"""),"Consumo partnerships")</f>
        <v>Consumo partnerships</v>
      </c>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row>
    <row r="361" spans="1:132" x14ac:dyDescent="0.2">
      <c r="A361" s="4">
        <f ca="1">IFERROR(__xludf.DUMMYFUNCTION("""COMPUTED_VALUE"""),361)</f>
        <v>361</v>
      </c>
      <c r="B361" s="4">
        <f ca="1">IFERROR(__xludf.DUMMYFUNCTION("""COMPUTED_VALUE"""),337)</f>
        <v>337</v>
      </c>
      <c r="C361" s="4" t="str">
        <f ca="1">IFERROR(__xludf.DUMMYFUNCTION("""COMPUTED_VALUE"""),"SDATOOL-36556")</f>
        <v>SDATOOL-36556</v>
      </c>
      <c r="D361" s="4" t="str">
        <f ca="1">IFERROR(__xludf.DUMMYFUNCTION("""COMPUTED_VALUE"""),"Parthnerships - Tarjeta de crédito en punto de venta físico  aliados")</f>
        <v>Parthnerships - Tarjeta de crédito en punto de venta físico  aliados</v>
      </c>
      <c r="E361"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1" s="4" t="str">
        <f ca="1">IFERROR(__xludf.DUMMYFUNCTION("""COMPUTED_VALUE"""),"Project")</f>
        <v>Project</v>
      </c>
      <c r="G361" s="4" t="str">
        <f ca="1">IFERROR(__xludf.DUMMYFUNCTION("""COMPUTED_VALUE"""),"Stock")</f>
        <v>Stock</v>
      </c>
      <c r="H361" s="4" t="str">
        <f ca="1">IFERROR(__xludf.DUMMYFUNCTION("""COMPUTED_VALUE"""),"2Q 2023")</f>
        <v>2Q 2023</v>
      </c>
      <c r="I361" s="131" t="str">
        <f ca="1">IFERROR(__xludf.DUMMYFUNCTION("""COMPUTED_VALUE"""),"angie.castaneda-bbva.com")</f>
        <v>angie.castaneda-bbva.com</v>
      </c>
      <c r="J361" s="131" t="str">
        <f ca="1">IFERROR(__xludf.DUMMYFUNCTION("""COMPUTED_VALUE"""),"judy.prieto-bbva.com")</f>
        <v>judy.prieto-bbva.com</v>
      </c>
      <c r="K361" s="131" t="str">
        <f ca="1">IFERROR(__xludf.DUMMYFUNCTION("""COMPUTED_VALUE"""),"paolaandrea.guzman-bbva.com")</f>
        <v>paolaandrea.guzman-bbva.com</v>
      </c>
      <c r="L361" s="4"/>
      <c r="M361" s="4"/>
      <c r="N361" s="4"/>
      <c r="O361" s="4" t="str">
        <f ca="1">IFERROR(__xludf.DUMMYFUNCTION("""COMPUTED_VALUE"""),"Scrum")</f>
        <v>Scrum</v>
      </c>
      <c r="P361" s="4" t="str">
        <f ca="1">IFERROR(__xludf.DUMMYFUNCTION("""COMPUTED_VALUE"""),"Kairos")</f>
        <v>Kairos</v>
      </c>
      <c r="Q361" s="4"/>
      <c r="R361" s="130" t="str">
        <f ca="1">IFERROR(__xludf.DUMMYFUNCTION("""COMPUTED_VALUE"""),"Payments &amp; Partnerships")</f>
        <v>Payments &amp; Partnerships</v>
      </c>
      <c r="S361" s="130" t="str">
        <f ca="1">IFERROR(__xludf.DUMMYFUNCTION("""COMPUTED_VALUE"""),"Area Review")</f>
        <v>Area Review</v>
      </c>
      <c r="T361" s="130" t="str">
        <f ca="1">IFERROR(__xludf.DUMMYFUNCTION("""COMPUTED_VALUE"""),"1. Generación de Ingresos")</f>
        <v>1. Generación de Ingresos</v>
      </c>
      <c r="U361" s="130" t="str">
        <f ca="1">IFERROR(__xludf.DUMMYFUNCTION("""COMPUTED_VALUE"""),"1.2. Proyectos de Consumo")</f>
        <v>1.2. Proyectos de Consumo</v>
      </c>
      <c r="V361" s="4" t="str">
        <f ca="1">IFERROR(__xludf.DUMMYFUNCTION("""COMPUTED_VALUE"""),"TdC")</f>
        <v>TdC</v>
      </c>
      <c r="W361" s="4">
        <f ca="1">IFERROR(__xludf.DUMMYFUNCTION("""COMPUTED_VALUE"""),1)</f>
        <v>1</v>
      </c>
      <c r="X361" s="4" t="str">
        <f ca="1">IFERROR(__xludf.DUMMYFUNCTION("""COMPUTED_VALUE"""),"01. Open Market &amp; Partnerships")</f>
        <v>01. Open Market &amp; Partnerships</v>
      </c>
      <c r="Y361" s="4" t="str">
        <f ca="1">IFERROR(__xludf.DUMMYFUNCTION("""COMPUTED_VALUE"""),"5.4.1 Partnerships &amp; OB")</f>
        <v>5.4.1 Partnerships &amp; OB</v>
      </c>
      <c r="Z361" s="132" t="str">
        <f ca="1">IFERROR(__xludf.DUMMYFUNCTION("""COMPUTED_VALUE"""),"710888")</f>
        <v>710888</v>
      </c>
      <c r="AA361" s="4" t="str">
        <f ca="1">IFERROR(__xludf.DUMMYFUNCTION("""COMPUTED_VALUE"""),"Mejoras Reporte Kt80 y Métricas Flujo TDC punto de venta aliados")</f>
        <v>Mejoras Reporte Kt80 y Métricas Flujo TDC punto de venta aliados</v>
      </c>
      <c r="AB361" s="4" t="str">
        <f ca="1">IFERROR(__xludf.DUMMYFUNCTION("""COMPUTED_VALUE"""),"Ajustes KT80 
Ajuste  para los campos (Plaza Oficina operación - Número de cuenta ordenante) para métricas")</f>
        <v>Ajustes KT80 
Ajuste  para los campos (Plaza Oficina operación - Número de cuenta ordenante) para métricas</v>
      </c>
      <c r="AC361" s="4" t="str">
        <f ca="1">IFERROR(__xludf.DUMMYFUNCTION("""COMPUTED_VALUE"""),"1Q 2023")</f>
        <v>1Q 2023</v>
      </c>
      <c r="AD361" s="4"/>
      <c r="AE361" s="4"/>
      <c r="AF361" s="4"/>
      <c r="AG361" s="4"/>
      <c r="AH361" s="4"/>
      <c r="AI361" s="4"/>
      <c r="AJ361" s="4"/>
      <c r="AK361" s="4" t="str">
        <f ca="1">IFERROR(__xludf.DUMMYFUNCTION("""COMPUTED_VALUE"""),"Sin asignar")</f>
        <v>Sin asignar</v>
      </c>
      <c r="AL361" s="4" t="str">
        <f ca="1">IFERROR(__xludf.DUMMYFUNCTION("""COMPUTED_VALUE"""),"Sin asignar")</f>
        <v>Sin asignar</v>
      </c>
      <c r="AM361" s="4"/>
      <c r="AN361" s="4" t="str">
        <f ca="1">IFERROR(__xludf.DUMMYFUNCTION("""COMPUTED_VALUE"""),"Entregable en backlog")</f>
        <v>Entregable en backlog</v>
      </c>
      <c r="AO361" s="4" t="str">
        <f ca="1">IFERROR(__xludf.DUMMYFUNCTION("""COMPUTED_VALUE"""),"Consumo partnerships")</f>
        <v>Consumo partnerships</v>
      </c>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row>
    <row r="362" spans="1:132" x14ac:dyDescent="0.2">
      <c r="A362" s="4">
        <f ca="1">IFERROR(__xludf.DUMMYFUNCTION("""COMPUTED_VALUE"""),362)</f>
        <v>362</v>
      </c>
      <c r="B362" s="4">
        <f ca="1">IFERROR(__xludf.DUMMYFUNCTION("""COMPUTED_VALUE"""),338)</f>
        <v>338</v>
      </c>
      <c r="C362" s="4" t="str">
        <f ca="1">IFERROR(__xludf.DUMMYFUNCTION("""COMPUTED_VALUE"""),"SDATOOL-36556")</f>
        <v>SDATOOL-36556</v>
      </c>
      <c r="D362" s="4" t="str">
        <f ca="1">IFERROR(__xludf.DUMMYFUNCTION("""COMPUTED_VALUE"""),"Parthnerships - Tarjeta de crédito en punto de venta físico  aliados")</f>
        <v>Parthnerships - Tarjeta de crédito en punto de venta físico  aliados</v>
      </c>
      <c r="E362"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2" s="4" t="str">
        <f ca="1">IFERROR(__xludf.DUMMYFUNCTION("""COMPUTED_VALUE"""),"Project")</f>
        <v>Project</v>
      </c>
      <c r="G362" s="4" t="str">
        <f ca="1">IFERROR(__xludf.DUMMYFUNCTION("""COMPUTED_VALUE"""),"Stock")</f>
        <v>Stock</v>
      </c>
      <c r="H362" s="4" t="str">
        <f ca="1">IFERROR(__xludf.DUMMYFUNCTION("""COMPUTED_VALUE"""),"2Q 2023")</f>
        <v>2Q 2023</v>
      </c>
      <c r="I362" s="131" t="str">
        <f ca="1">IFERROR(__xludf.DUMMYFUNCTION("""COMPUTED_VALUE"""),"angie.castaneda-bbva.com")</f>
        <v>angie.castaneda-bbva.com</v>
      </c>
      <c r="J362" s="131" t="str">
        <f ca="1">IFERROR(__xludf.DUMMYFUNCTION("""COMPUTED_VALUE"""),"judy.prieto-bbva.com")</f>
        <v>judy.prieto-bbva.com</v>
      </c>
      <c r="K362" s="131" t="str">
        <f ca="1">IFERROR(__xludf.DUMMYFUNCTION("""COMPUTED_VALUE"""),"paolaandrea.guzman-bbva.com")</f>
        <v>paolaandrea.guzman-bbva.com</v>
      </c>
      <c r="L362" s="4"/>
      <c r="M362" s="4"/>
      <c r="N362" s="4"/>
      <c r="O362" s="4" t="str">
        <f ca="1">IFERROR(__xludf.DUMMYFUNCTION("""COMPUTED_VALUE"""),"Scrum")</f>
        <v>Scrum</v>
      </c>
      <c r="P362" s="4" t="str">
        <f ca="1">IFERROR(__xludf.DUMMYFUNCTION("""COMPUTED_VALUE"""),"Kairos")</f>
        <v>Kairos</v>
      </c>
      <c r="Q362" s="4"/>
      <c r="R362" s="130" t="str">
        <f ca="1">IFERROR(__xludf.DUMMYFUNCTION("""COMPUTED_VALUE"""),"Payments &amp; Partnerships")</f>
        <v>Payments &amp; Partnerships</v>
      </c>
      <c r="S362" s="130" t="str">
        <f ca="1">IFERROR(__xludf.DUMMYFUNCTION("""COMPUTED_VALUE"""),"Area Review")</f>
        <v>Area Review</v>
      </c>
      <c r="T362" s="130" t="str">
        <f ca="1">IFERROR(__xludf.DUMMYFUNCTION("""COMPUTED_VALUE"""),"1. Generación de Ingresos")</f>
        <v>1. Generación de Ingresos</v>
      </c>
      <c r="U362" s="130" t="str">
        <f ca="1">IFERROR(__xludf.DUMMYFUNCTION("""COMPUTED_VALUE"""),"1.2. Proyectos de Consumo")</f>
        <v>1.2. Proyectos de Consumo</v>
      </c>
      <c r="V362" s="4" t="str">
        <f ca="1">IFERROR(__xludf.DUMMYFUNCTION("""COMPUTED_VALUE"""),"TdC")</f>
        <v>TdC</v>
      </c>
      <c r="W362" s="4">
        <f ca="1">IFERROR(__xludf.DUMMYFUNCTION("""COMPUTED_VALUE"""),1)</f>
        <v>1</v>
      </c>
      <c r="X362" s="4" t="str">
        <f ca="1">IFERROR(__xludf.DUMMYFUNCTION("""COMPUTED_VALUE"""),"01. Open Market &amp; Partnerships")</f>
        <v>01. Open Market &amp; Partnerships</v>
      </c>
      <c r="Y362" s="4" t="str">
        <f ca="1">IFERROR(__xludf.DUMMYFUNCTION("""COMPUTED_VALUE"""),"5.4.1 Partnerships &amp; OB")</f>
        <v>5.4.1 Partnerships &amp; OB</v>
      </c>
      <c r="Z362" s="132" t="str">
        <f ca="1">IFERROR(__xludf.DUMMYFUNCTION("""COMPUTED_VALUE"""),"710886")</f>
        <v>710886</v>
      </c>
      <c r="AA362" s="4" t="str">
        <f ca="1">IFERROR(__xludf.DUMMYFUNCTION("""COMPUTED_VALUE"""),"Mejoras UX para el flujo TDC punto de venta Aliados")</f>
        <v>Mejoras UX para el flujo TDC punto de venta Aliados</v>
      </c>
      <c r="AB362" s="4" t="str">
        <f ca="1">IFERROR(__xludf.DUMMYFUNCTION("""COMPUTED_VALUE"""),"Ajustes visuales requeridos por proveedor (invision ajustado)
Cambio de orden de la pantalla de registro de dirección de Cliente del flujo de contratación 
Visual otp confirmación con ultimos 4 digitos celular real base de personas
Y en  caso de que sea v"&amp;"iable el multipaso")</f>
        <v>Ajustes visuales requeridos por proveedor (invision ajustado)
Cambio de orden de la pantalla de registro de dirección de Cliente del flujo de contratación 
Visual otp confirmación con ultimos 4 digitos celular real base de personas
Y en  caso de que sea viable el multipaso</v>
      </c>
      <c r="AC362" s="4" t="str">
        <f ca="1">IFERROR(__xludf.DUMMYFUNCTION("""COMPUTED_VALUE"""),"1Q 2023")</f>
        <v>1Q 2023</v>
      </c>
      <c r="AD362" s="4"/>
      <c r="AE362" s="4"/>
      <c r="AF362" s="4"/>
      <c r="AG362" s="4"/>
      <c r="AH362" s="4"/>
      <c r="AI362" s="4"/>
      <c r="AJ362" s="4"/>
      <c r="AK362" s="131" t="str">
        <f ca="1">IFERROR(__xludf.DUMMYFUNCTION("""COMPUTED_VALUE"""),"COLWSMEDIO-4854")</f>
        <v>COLWSMEDIO-4854</v>
      </c>
      <c r="AL362" s="4" t="str">
        <f ca="1">IFERROR(__xludf.DUMMYFUNCTION("""COMPUTED_VALUE"""),"En progreso")</f>
        <v>En progreso</v>
      </c>
      <c r="AM362" s="4"/>
      <c r="AN362" s="4" t="str">
        <f ca="1">IFERROR(__xludf.DUMMYFUNCTION("""COMPUTED_VALUE"""),"Entregable en backlog")</f>
        <v>Entregable en backlog</v>
      </c>
      <c r="AO362" s="4" t="str">
        <f ca="1">IFERROR(__xludf.DUMMYFUNCTION("""COMPUTED_VALUE"""),"Consumo partnerships")</f>
        <v>Consumo partnerships</v>
      </c>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row>
    <row r="363" spans="1:132" x14ac:dyDescent="0.2">
      <c r="A363" s="4">
        <f ca="1">IFERROR(__xludf.DUMMYFUNCTION("""COMPUTED_VALUE"""),363)</f>
        <v>363</v>
      </c>
      <c r="B363" s="4">
        <f ca="1">IFERROR(__xludf.DUMMYFUNCTION("""COMPUTED_VALUE"""),340)</f>
        <v>340</v>
      </c>
      <c r="C363" s="4" t="str">
        <f ca="1">IFERROR(__xludf.DUMMYFUNCTION("""COMPUTED_VALUE"""),"SDATOOL-36556")</f>
        <v>SDATOOL-36556</v>
      </c>
      <c r="D363" s="4" t="str">
        <f ca="1">IFERROR(__xludf.DUMMYFUNCTION("""COMPUTED_VALUE"""),"Parthnerships - Tarjeta de crédito en punto de venta físico  aliados")</f>
        <v>Parthnerships - Tarjeta de crédito en punto de venta físico  aliados</v>
      </c>
      <c r="E363"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3" s="4" t="str">
        <f ca="1">IFERROR(__xludf.DUMMYFUNCTION("""COMPUTED_VALUE"""),"Project")</f>
        <v>Project</v>
      </c>
      <c r="G363" s="4" t="str">
        <f ca="1">IFERROR(__xludf.DUMMYFUNCTION("""COMPUTED_VALUE"""),"Stock")</f>
        <v>Stock</v>
      </c>
      <c r="H363" s="4" t="str">
        <f ca="1">IFERROR(__xludf.DUMMYFUNCTION("""COMPUTED_VALUE"""),"2Q 2023")</f>
        <v>2Q 2023</v>
      </c>
      <c r="I363" s="131" t="str">
        <f ca="1">IFERROR(__xludf.DUMMYFUNCTION("""COMPUTED_VALUE"""),"angie.castaneda-bbva.com")</f>
        <v>angie.castaneda-bbva.com</v>
      </c>
      <c r="J363" s="131" t="str">
        <f ca="1">IFERROR(__xludf.DUMMYFUNCTION("""COMPUTED_VALUE"""),"judy.prieto-bbva.com")</f>
        <v>judy.prieto-bbva.com</v>
      </c>
      <c r="K363" s="131" t="str">
        <f ca="1">IFERROR(__xludf.DUMMYFUNCTION("""COMPUTED_VALUE"""),"paolaandrea.guzman-bbva.com")</f>
        <v>paolaandrea.guzman-bbva.com</v>
      </c>
      <c r="L363" s="4"/>
      <c r="M363" s="4"/>
      <c r="N363" s="4"/>
      <c r="O363" s="4" t="str">
        <f ca="1">IFERROR(__xludf.DUMMYFUNCTION("""COMPUTED_VALUE"""),"Scrum")</f>
        <v>Scrum</v>
      </c>
      <c r="P363" s="4" t="str">
        <f ca="1">IFERROR(__xludf.DUMMYFUNCTION("""COMPUTED_VALUE"""),"Kairos")</f>
        <v>Kairos</v>
      </c>
      <c r="Q363" s="4"/>
      <c r="R363" s="130" t="str">
        <f ca="1">IFERROR(__xludf.DUMMYFUNCTION("""COMPUTED_VALUE"""),"Payments &amp; Partnerships")</f>
        <v>Payments &amp; Partnerships</v>
      </c>
      <c r="S363" s="130" t="str">
        <f ca="1">IFERROR(__xludf.DUMMYFUNCTION("""COMPUTED_VALUE"""),"Area Review")</f>
        <v>Area Review</v>
      </c>
      <c r="T363" s="130" t="str">
        <f ca="1">IFERROR(__xludf.DUMMYFUNCTION("""COMPUTED_VALUE"""),"1. Generación de Ingresos")</f>
        <v>1. Generación de Ingresos</v>
      </c>
      <c r="U363" s="130" t="str">
        <f ca="1">IFERROR(__xludf.DUMMYFUNCTION("""COMPUTED_VALUE"""),"1.2. Proyectos de Consumo")</f>
        <v>1.2. Proyectos de Consumo</v>
      </c>
      <c r="V363" s="4" t="str">
        <f ca="1">IFERROR(__xludf.DUMMYFUNCTION("""COMPUTED_VALUE"""),"TdC")</f>
        <v>TdC</v>
      </c>
      <c r="W363" s="4">
        <f ca="1">IFERROR(__xludf.DUMMYFUNCTION("""COMPUTED_VALUE"""),1)</f>
        <v>1</v>
      </c>
      <c r="X363" s="4" t="str">
        <f ca="1">IFERROR(__xludf.DUMMYFUNCTION("""COMPUTED_VALUE"""),"01. Open Market &amp; Partnerships")</f>
        <v>01. Open Market &amp; Partnerships</v>
      </c>
      <c r="Y363" s="4" t="str">
        <f ca="1">IFERROR(__xludf.DUMMYFUNCTION("""COMPUTED_VALUE"""),"5.4.1 Partnerships &amp; OB")</f>
        <v>5.4.1 Partnerships &amp; OB</v>
      </c>
      <c r="Z363" s="132" t="str">
        <f ca="1">IFERROR(__xludf.DUMMYFUNCTION("""COMPUTED_VALUE"""),"710889")</f>
        <v>710889</v>
      </c>
      <c r="AA363" s="4" t="str">
        <f ca="1">IFERROR(__xludf.DUMMYFUNCTION("""COMPUTED_VALUE"""),"Repositorio ventas digitales para flujo TDC  Aliados")</f>
        <v>Repositorio ventas digitales para flujo TDC  Aliados</v>
      </c>
      <c r="AB363" s="4" t="str">
        <f ca="1">IFERROR(__xludf.DUMMYFUNCTION("""COMPUTED_VALUE"""),"Repositorio ventas digitales para flujo TDC  Aliados")</f>
        <v>Repositorio ventas digitales para flujo TDC  Aliados</v>
      </c>
      <c r="AC363" s="4" t="str">
        <f ca="1">IFERROR(__xludf.DUMMYFUNCTION("""COMPUTED_VALUE"""),"3Q 2023")</f>
        <v>3Q 2023</v>
      </c>
      <c r="AD363" s="4"/>
      <c r="AE363" s="4"/>
      <c r="AF363" s="4"/>
      <c r="AG363" s="4"/>
      <c r="AH363" s="4"/>
      <c r="AI363" s="4"/>
      <c r="AJ363" s="4"/>
      <c r="AK363" s="131" t="str">
        <f ca="1">IFERROR(__xludf.DUMMYFUNCTION("""COMPUTED_VALUE"""),"COLWSMEDIO-4858")</f>
        <v>COLWSMEDIO-4858</v>
      </c>
      <c r="AL363" s="4" t="str">
        <f ca="1">IFERROR(__xludf.DUMMYFUNCTION("""COMPUTED_VALUE"""),"Analysing")</f>
        <v>Analysing</v>
      </c>
      <c r="AM363" s="4"/>
      <c r="AN363" s="4" t="str">
        <f ca="1">IFERROR(__xludf.DUMMYFUNCTION("""COMPUTED_VALUE"""),"Entregable en backlog")</f>
        <v>Entregable en backlog</v>
      </c>
      <c r="AO363" s="4" t="str">
        <f ca="1">IFERROR(__xludf.DUMMYFUNCTION("""COMPUTED_VALUE"""),"Consumo partnerships")</f>
        <v>Consumo partnerships</v>
      </c>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row>
    <row r="364" spans="1:132" x14ac:dyDescent="0.2">
      <c r="A364" s="4">
        <f ca="1">IFERROR(__xludf.DUMMYFUNCTION("""COMPUTED_VALUE"""),364)</f>
        <v>364</v>
      </c>
      <c r="B364" s="4">
        <f ca="1">IFERROR(__xludf.DUMMYFUNCTION("""COMPUTED_VALUE"""),341)</f>
        <v>341</v>
      </c>
      <c r="C364" s="4" t="str">
        <f ca="1">IFERROR(__xludf.DUMMYFUNCTION("""COMPUTED_VALUE"""),"SDATOOL-36556")</f>
        <v>SDATOOL-36556</v>
      </c>
      <c r="D364" s="4" t="str">
        <f ca="1">IFERROR(__xludf.DUMMYFUNCTION("""COMPUTED_VALUE"""),"Parthnerships - Tarjeta de crédito en punto de venta físico  aliados")</f>
        <v>Parthnerships - Tarjeta de crédito en punto de venta físico  aliados</v>
      </c>
      <c r="E364"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4" s="4" t="str">
        <f ca="1">IFERROR(__xludf.DUMMYFUNCTION("""COMPUTED_VALUE"""),"Project")</f>
        <v>Project</v>
      </c>
      <c r="G364" s="4" t="str">
        <f ca="1">IFERROR(__xludf.DUMMYFUNCTION("""COMPUTED_VALUE"""),"Stock")</f>
        <v>Stock</v>
      </c>
      <c r="H364" s="4" t="str">
        <f ca="1">IFERROR(__xludf.DUMMYFUNCTION("""COMPUTED_VALUE"""),"2Q 2023")</f>
        <v>2Q 2023</v>
      </c>
      <c r="I364" s="131" t="str">
        <f ca="1">IFERROR(__xludf.DUMMYFUNCTION("""COMPUTED_VALUE"""),"angie.castaneda-bbva.com")</f>
        <v>angie.castaneda-bbva.com</v>
      </c>
      <c r="J364" s="131" t="str">
        <f ca="1">IFERROR(__xludf.DUMMYFUNCTION("""COMPUTED_VALUE"""),"judy.prieto-bbva.com")</f>
        <v>judy.prieto-bbva.com</v>
      </c>
      <c r="K364" s="131" t="str">
        <f ca="1">IFERROR(__xludf.DUMMYFUNCTION("""COMPUTED_VALUE"""),"paolaandrea.guzman-bbva.com")</f>
        <v>paolaandrea.guzman-bbva.com</v>
      </c>
      <c r="L364" s="4"/>
      <c r="M364" s="4"/>
      <c r="N364" s="4"/>
      <c r="O364" s="4" t="str">
        <f ca="1">IFERROR(__xludf.DUMMYFUNCTION("""COMPUTED_VALUE"""),"Scrum")</f>
        <v>Scrum</v>
      </c>
      <c r="P364" s="4" t="str">
        <f ca="1">IFERROR(__xludf.DUMMYFUNCTION("""COMPUTED_VALUE"""),"Kairos")</f>
        <v>Kairos</v>
      </c>
      <c r="Q364" s="4"/>
      <c r="R364" s="130" t="str">
        <f ca="1">IFERROR(__xludf.DUMMYFUNCTION("""COMPUTED_VALUE"""),"Payments &amp; Partnerships")</f>
        <v>Payments &amp; Partnerships</v>
      </c>
      <c r="S364" s="130" t="str">
        <f ca="1">IFERROR(__xludf.DUMMYFUNCTION("""COMPUTED_VALUE"""),"Area Review")</f>
        <v>Area Review</v>
      </c>
      <c r="T364" s="130" t="str">
        <f ca="1">IFERROR(__xludf.DUMMYFUNCTION("""COMPUTED_VALUE"""),"1. Generación de Ingresos")</f>
        <v>1. Generación de Ingresos</v>
      </c>
      <c r="U364" s="130" t="str">
        <f ca="1">IFERROR(__xludf.DUMMYFUNCTION("""COMPUTED_VALUE"""),"1.2. Proyectos de Consumo")</f>
        <v>1.2. Proyectos de Consumo</v>
      </c>
      <c r="V364" s="4" t="str">
        <f ca="1">IFERROR(__xludf.DUMMYFUNCTION("""COMPUTED_VALUE"""),"TdC")</f>
        <v>TdC</v>
      </c>
      <c r="W364" s="4">
        <f ca="1">IFERROR(__xludf.DUMMYFUNCTION("""COMPUTED_VALUE"""),1)</f>
        <v>1</v>
      </c>
      <c r="X364" s="4" t="str">
        <f ca="1">IFERROR(__xludf.DUMMYFUNCTION("""COMPUTED_VALUE"""),"01. Open Market &amp; Partnerships")</f>
        <v>01. Open Market &amp; Partnerships</v>
      </c>
      <c r="Y364" s="4" t="str">
        <f ca="1">IFERROR(__xludf.DUMMYFUNCTION("""COMPUTED_VALUE"""),"5.4.1 Partnerships &amp; OB")</f>
        <v>5.4.1 Partnerships &amp; OB</v>
      </c>
      <c r="Z364" s="132" t="str">
        <f ca="1">IFERROR(__xludf.DUMMYFUNCTION("""COMPUTED_VALUE"""),"262111")</f>
        <v>262111</v>
      </c>
      <c r="AA364" s="4" t="str">
        <f ca="1">IFERROR(__xludf.DUMMYFUNCTION("""COMPUTED_VALUE"""),"Aprobación  de  tarjeta de crédito en punto físico del aliado")</f>
        <v>Aprobación  de  tarjeta de crédito en punto físico del aliado</v>
      </c>
      <c r="AB364" s="4" t="str">
        <f ca="1">IFERROR(__xludf.DUMMYFUNCTION("""COMPUTED_VALUE"""),"Aprobación  de  tarjeta de crédito en punto físico del aliado")</f>
        <v>Aprobación  de  tarjeta de crédito en punto físico del aliado</v>
      </c>
      <c r="AC364" s="4" t="str">
        <f ca="1">IFERROR(__xludf.DUMMYFUNCTION("""COMPUTED_VALUE"""),"1Q 2023")</f>
        <v>1Q 2023</v>
      </c>
      <c r="AD364" s="128">
        <f ca="1">IFERROR(__xludf.DUMMYFUNCTION("""COMPUTED_VALUE"""),44501)</f>
        <v>44501</v>
      </c>
      <c r="AE364" s="128">
        <f ca="1">IFERROR(__xludf.DUMMYFUNCTION("""COMPUTED_VALUE"""),44592)</f>
        <v>44592</v>
      </c>
      <c r="AF364" s="128">
        <f ca="1">IFERROR(__xludf.DUMMYFUNCTION("""COMPUTED_VALUE"""),44621)</f>
        <v>44621</v>
      </c>
      <c r="AG364" s="128">
        <f ca="1">IFERROR(__xludf.DUMMYFUNCTION("""COMPUTED_VALUE"""),44772)</f>
        <v>44772</v>
      </c>
      <c r="AH364" s="128">
        <f ca="1">IFERROR(__xludf.DUMMYFUNCTION("""COMPUTED_VALUE"""),44774)</f>
        <v>44774</v>
      </c>
      <c r="AI364" s="128">
        <f ca="1">IFERROR(__xludf.DUMMYFUNCTION("""COMPUTED_VALUE"""),44884)</f>
        <v>44884</v>
      </c>
      <c r="AJ364" s="128">
        <f ca="1">IFERROR(__xludf.DUMMYFUNCTION("""COMPUTED_VALUE"""),44891)</f>
        <v>44891</v>
      </c>
      <c r="AK364" s="131" t="str">
        <f ca="1">IFERROR(__xludf.DUMMYFUNCTION("""COMPUTED_VALUE"""),"COLWSMEDIO-133")</f>
        <v>COLWSMEDIO-133</v>
      </c>
      <c r="AL364" s="4" t="str">
        <f ca="1">IFERROR(__xludf.DUMMYFUNCTION("""COMPUTED_VALUE"""),"Deployed")</f>
        <v>Deployed</v>
      </c>
      <c r="AM364" s="4" t="str">
        <f ca="1">IFERROR(__xludf.DUMMYFUNCTION("""COMPUTED_VALUE"""),"En calidad para instalar en Ene/23. ")</f>
        <v xml:space="preserve">En calidad para instalar en Ene/23. </v>
      </c>
      <c r="AN364" s="4" t="str">
        <f ca="1">IFERROR(__xludf.DUMMYFUNCTION("""COMPUTED_VALUE"""),"Entregable en desarrollo")</f>
        <v>Entregable en desarrollo</v>
      </c>
      <c r="AO364" s="4" t="str">
        <f ca="1">IFERROR(__xludf.DUMMYFUNCTION("""COMPUTED_VALUE"""),"Consumo partnerships")</f>
        <v>Consumo partnerships</v>
      </c>
      <c r="AP364" s="4"/>
      <c r="AQ364" s="4"/>
      <c r="AR364" s="4" t="str">
        <f ca="1">IFERROR(__xludf.DUMMYFUNCTION("""COMPUTED_VALUE"""),"SDA aprobada en PPP Q1 2023")</f>
        <v>SDA aprobada en PPP Q1 2023</v>
      </c>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row>
    <row r="365" spans="1:132" x14ac:dyDescent="0.2">
      <c r="A365" s="4">
        <f ca="1">IFERROR(__xludf.DUMMYFUNCTION("""COMPUTED_VALUE"""),365)</f>
        <v>365</v>
      </c>
      <c r="B365" s="4">
        <f ca="1">IFERROR(__xludf.DUMMYFUNCTION("""COMPUTED_VALUE"""),342)</f>
        <v>342</v>
      </c>
      <c r="C365" s="4" t="str">
        <f ca="1">IFERROR(__xludf.DUMMYFUNCTION("""COMPUTED_VALUE"""),"SDATOOL-36556")</f>
        <v>SDATOOL-36556</v>
      </c>
      <c r="D365" s="4" t="str">
        <f ca="1">IFERROR(__xludf.DUMMYFUNCTION("""COMPUTED_VALUE"""),"Parthnerships - Tarjeta de crédito en punto de venta físico  aliados")</f>
        <v>Parthnerships - Tarjeta de crédito en punto de venta físico  aliados</v>
      </c>
      <c r="E365"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5" s="4" t="str">
        <f ca="1">IFERROR(__xludf.DUMMYFUNCTION("""COMPUTED_VALUE"""),"Project")</f>
        <v>Project</v>
      </c>
      <c r="G365" s="4" t="str">
        <f ca="1">IFERROR(__xludf.DUMMYFUNCTION("""COMPUTED_VALUE"""),"Stock")</f>
        <v>Stock</v>
      </c>
      <c r="H365" s="4" t="str">
        <f ca="1">IFERROR(__xludf.DUMMYFUNCTION("""COMPUTED_VALUE"""),"2Q 2023")</f>
        <v>2Q 2023</v>
      </c>
      <c r="I365" s="131" t="str">
        <f ca="1">IFERROR(__xludf.DUMMYFUNCTION("""COMPUTED_VALUE"""),"angie.castaneda-bbva.com")</f>
        <v>angie.castaneda-bbva.com</v>
      </c>
      <c r="J365" s="131" t="str">
        <f ca="1">IFERROR(__xludf.DUMMYFUNCTION("""COMPUTED_VALUE"""),"judy.prieto-bbva.com")</f>
        <v>judy.prieto-bbva.com</v>
      </c>
      <c r="K365" s="131" t="str">
        <f ca="1">IFERROR(__xludf.DUMMYFUNCTION("""COMPUTED_VALUE"""),"paolaandrea.guzman-bbva.com")</f>
        <v>paolaandrea.guzman-bbva.com</v>
      </c>
      <c r="L365" s="4"/>
      <c r="M365" s="4"/>
      <c r="N365" s="4"/>
      <c r="O365" s="4" t="str">
        <f ca="1">IFERROR(__xludf.DUMMYFUNCTION("""COMPUTED_VALUE"""),"Scrum")</f>
        <v>Scrum</v>
      </c>
      <c r="P365" s="4" t="str">
        <f ca="1">IFERROR(__xludf.DUMMYFUNCTION("""COMPUTED_VALUE"""),"Kairos")</f>
        <v>Kairos</v>
      </c>
      <c r="Q365" s="4"/>
      <c r="R365" s="130" t="str">
        <f ca="1">IFERROR(__xludf.DUMMYFUNCTION("""COMPUTED_VALUE"""),"Payments &amp; Partnerships")</f>
        <v>Payments &amp; Partnerships</v>
      </c>
      <c r="S365" s="130" t="str">
        <f ca="1">IFERROR(__xludf.DUMMYFUNCTION("""COMPUTED_VALUE"""),"Area Review")</f>
        <v>Area Review</v>
      </c>
      <c r="T365" s="130" t="str">
        <f ca="1">IFERROR(__xludf.DUMMYFUNCTION("""COMPUTED_VALUE"""),"1. Generación de Ingresos")</f>
        <v>1. Generación de Ingresos</v>
      </c>
      <c r="U365" s="130" t="str">
        <f ca="1">IFERROR(__xludf.DUMMYFUNCTION("""COMPUTED_VALUE"""),"1.2. Proyectos de Consumo")</f>
        <v>1.2. Proyectos de Consumo</v>
      </c>
      <c r="V365" s="4" t="str">
        <f ca="1">IFERROR(__xludf.DUMMYFUNCTION("""COMPUTED_VALUE"""),"TdC")</f>
        <v>TdC</v>
      </c>
      <c r="W365" s="4">
        <f ca="1">IFERROR(__xludf.DUMMYFUNCTION("""COMPUTED_VALUE"""),1)</f>
        <v>1</v>
      </c>
      <c r="X365" s="4" t="str">
        <f ca="1">IFERROR(__xludf.DUMMYFUNCTION("""COMPUTED_VALUE"""),"01. Open Market &amp; Partnerships")</f>
        <v>01. Open Market &amp; Partnerships</v>
      </c>
      <c r="Y365" s="4" t="str">
        <f ca="1">IFERROR(__xludf.DUMMYFUNCTION("""COMPUTED_VALUE"""),"5.4.1 Partnerships &amp; OB")</f>
        <v>5.4.1 Partnerships &amp; OB</v>
      </c>
      <c r="Z365" s="132" t="str">
        <f ca="1">IFERROR(__xludf.DUMMYFUNCTION("""COMPUTED_VALUE"""),"713154")</f>
        <v>713154</v>
      </c>
      <c r="AA365" s="4" t="str">
        <f ca="1">IFERROR(__xludf.DUMMYFUNCTION("""COMPUTED_VALUE"""),"Ajuste Everilion")</f>
        <v>Ajuste Everilion</v>
      </c>
      <c r="AB365" s="4" t="str">
        <f ca="1">IFERROR(__xludf.DUMMYFUNCTION("""COMPUTED_VALUE"""),"Ajuste en modulo de Everilion para TP ARA")</f>
        <v>Ajuste en modulo de Everilion para TP ARA</v>
      </c>
      <c r="AC365" s="4" t="str">
        <f ca="1">IFERROR(__xludf.DUMMYFUNCTION("""COMPUTED_VALUE"""),"2Q 2023")</f>
        <v>2Q 2023</v>
      </c>
      <c r="AD365" s="4"/>
      <c r="AE365" s="4"/>
      <c r="AF365" s="4"/>
      <c r="AG365" s="4"/>
      <c r="AH365" s="4"/>
      <c r="AI365" s="4"/>
      <c r="AJ365" s="4"/>
      <c r="AK365" s="131" t="str">
        <f ca="1">IFERROR(__xludf.DUMMYFUNCTION("""COMPUTED_VALUE"""),"COLWSMEDIO-6117")</f>
        <v>COLWSMEDIO-6117</v>
      </c>
      <c r="AL365" s="4" t="str">
        <f ca="1">IFERROR(__xludf.DUMMYFUNCTION("""COMPUTED_VALUE"""),"Analysing")</f>
        <v>Analysing</v>
      </c>
      <c r="AM365" s="4"/>
      <c r="AN365" s="4" t="str">
        <f ca="1">IFERROR(__xludf.DUMMYFUNCTION("""COMPUTED_VALUE"""),"Entregable en backlog")</f>
        <v>Entregable en backlog</v>
      </c>
      <c r="AO365" s="4" t="str">
        <f ca="1">IFERROR(__xludf.DUMMYFUNCTION("""COMPUTED_VALUE"""),"Consumo partnerships")</f>
        <v>Consumo partnerships</v>
      </c>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row>
    <row r="366" spans="1:132" x14ac:dyDescent="0.2">
      <c r="A366" s="4">
        <f ca="1">IFERROR(__xludf.DUMMYFUNCTION("""COMPUTED_VALUE"""),366)</f>
        <v>366</v>
      </c>
      <c r="B366" s="4" t="str">
        <f ca="1">IFERROR(__xludf.DUMMYFUNCTION("""COMPUTED_VALUE"""),"Sin prioridad")</f>
        <v>Sin prioridad</v>
      </c>
      <c r="C366" s="4" t="str">
        <f ca="1">IFERROR(__xludf.DUMMYFUNCTION("""COMPUTED_VALUE"""),"SDATOOL-42154")</f>
        <v>SDATOOL-42154</v>
      </c>
      <c r="D366" s="4" t="str">
        <f ca="1">IFERROR(__xludf.DUMMYFUNCTION("""COMPUTED_VALUE"""),"Migración Aqua al flujo de tarjeta de crédito en Aliados")</f>
        <v>Migración Aqua al flujo de tarjeta de crédito en Aliados</v>
      </c>
      <c r="E366" s="4" t="str">
        <f ca="1">IFERROR(__xludf.DUMMYFUNCTION("""COMPUTED_VALUE"""),"Realizar migración de flujo de contratación de tarjeta de crédito AQUA al flujo de contratación de tarjeta de crédito en punto de venta físico.")</f>
        <v>Realizar migración de flujo de contratación de tarjeta de crédito AQUA al flujo de contratación de tarjeta de crédito en punto de venta físico.</v>
      </c>
      <c r="F366" s="4" t="str">
        <f ca="1">IFERROR(__xludf.DUMMYFUNCTION("""COMPUTED_VALUE"""),"Project")</f>
        <v>Project</v>
      </c>
      <c r="G366" s="4" t="str">
        <f ca="1">IFERROR(__xludf.DUMMYFUNCTION("""COMPUTED_VALUE"""),"Flow")</f>
        <v>Flow</v>
      </c>
      <c r="H366" s="4" t="str">
        <f ca="1">IFERROR(__xludf.DUMMYFUNCTION("""COMPUTED_VALUE"""),"3Q 2023")</f>
        <v>3Q 2023</v>
      </c>
      <c r="I366" s="131" t="str">
        <f ca="1">IFERROR(__xludf.DUMMYFUNCTION("""COMPUTED_VALUE"""),"angie.castaneda-bbva.com")</f>
        <v>angie.castaneda-bbva.com</v>
      </c>
      <c r="J366" s="131" t="str">
        <f ca="1">IFERROR(__xludf.DUMMYFUNCTION("""COMPUTED_VALUE"""),"judy.prieto-bbva.com")</f>
        <v>judy.prieto-bbva.com</v>
      </c>
      <c r="K366" s="134" t="str">
        <f ca="1">IFERROR(__xludf.DUMMYFUNCTION("""COMPUTED_VALUE"""),"andresfelipe.granados-bbva.com")</f>
        <v>andresfelipe.granados-bbva.com</v>
      </c>
      <c r="L366" s="130">
        <f ca="1">IFERROR(__xludf.DUMMYFUNCTION("""COMPUTED_VALUE"""),0)</f>
        <v>0</v>
      </c>
      <c r="M366" s="130">
        <f ca="1">IFERROR(__xludf.DUMMYFUNCTION("""COMPUTED_VALUE"""),0)</f>
        <v>0</v>
      </c>
      <c r="N366" s="4">
        <f ca="1">IFERROR(__xludf.DUMMYFUNCTION("""COMPUTED_VALUE"""),0)</f>
        <v>0</v>
      </c>
      <c r="O366" s="4" t="str">
        <f ca="1">IFERROR(__xludf.DUMMYFUNCTION("""COMPUTED_VALUE"""),"TBD")</f>
        <v>TBD</v>
      </c>
      <c r="P366" s="4" t="str">
        <f ca="1">IFERROR(__xludf.DUMMYFUNCTION("""COMPUTED_VALUE"""),"Kairos")</f>
        <v>Kairos</v>
      </c>
      <c r="Q366" s="4"/>
      <c r="R366" s="130" t="str">
        <f ca="1">IFERROR(__xludf.DUMMYFUNCTION("""COMPUTED_VALUE"""),"Payments &amp; Partnerships")</f>
        <v>Payments &amp; Partnerships</v>
      </c>
      <c r="S366" s="130" t="str">
        <f ca="1">IFERROR(__xludf.DUMMYFUNCTION("""COMPUTED_VALUE"""),"Area Review")</f>
        <v>Area Review</v>
      </c>
      <c r="T366" s="130" t="str">
        <f ca="1">IFERROR(__xludf.DUMMYFUNCTION("""COMPUTED_VALUE"""),"1. Generación de Ingresos")</f>
        <v>1. Generación de Ingresos</v>
      </c>
      <c r="U366" s="4" t="str">
        <f ca="1">IFERROR(__xludf.DUMMYFUNCTION("""COMPUTED_VALUE"""),"1.2. Proyectos de Consumo")</f>
        <v>1.2. Proyectos de Consumo</v>
      </c>
      <c r="V366" s="4"/>
      <c r="W366" s="4">
        <f ca="1">IFERROR(__xludf.DUMMYFUNCTION("""COMPUTED_VALUE"""),1)</f>
        <v>1</v>
      </c>
      <c r="X366" s="4" t="str">
        <f ca="1">IFERROR(__xludf.DUMMYFUNCTION("""COMPUTED_VALUE"""),"01. Open Market &amp; Partnerships")</f>
        <v>01. Open Market &amp; Partnerships</v>
      </c>
      <c r="Y366" s="4" t="str">
        <f ca="1">IFERROR(__xludf.DUMMYFUNCTION("""COMPUTED_VALUE"""),"5.4.1 Partnerships &amp; OB")</f>
        <v>5.4.1 Partnerships &amp; OB</v>
      </c>
      <c r="Z366" s="4" t="str">
        <f ca="1">IFERROR(__xludf.DUMMYFUNCTION("""COMPUTED_VALUE"""),"712169")</f>
        <v>712169</v>
      </c>
      <c r="AA366" s="4" t="str">
        <f ca="1">IFERROR(__xludf.DUMMYFUNCTION("""COMPUTED_VALUE"""),"Migración  flujo TDC AQUA")</f>
        <v>Migración  flujo TDC AQUA</v>
      </c>
      <c r="AB366" s="4" t="str">
        <f ca="1">IFERROR(__xludf.DUMMYFUNCTION("""COMPUTED_VALUE"""),"1. Migración TP AQUA a aliados
2. E2E rescate en oficina
3. Parametrización dinámica por TP.")</f>
        <v>1. Migración TP AQUA a aliados
2. E2E rescate en oficina
3. Parametrización dinámica por TP.</v>
      </c>
      <c r="AC366" s="128" t="str">
        <f ca="1">IFERROR(__xludf.DUMMYFUNCTION("""COMPUTED_VALUE"""),"3Q 2024")</f>
        <v>3Q 2024</v>
      </c>
      <c r="AD366" s="4"/>
      <c r="AE366" s="4"/>
      <c r="AF366" s="4"/>
      <c r="AG366" s="4"/>
      <c r="AH366" s="4"/>
      <c r="AI366" s="4"/>
      <c r="AJ366" s="4"/>
      <c r="AK366" s="131" t="str">
        <f ca="1">IFERROR(__xludf.DUMMYFUNCTION("""COMPUTED_VALUE"""),"COLWSMEDIO-6142")</f>
        <v>COLWSMEDIO-6142</v>
      </c>
      <c r="AL366" s="4" t="str">
        <f ca="1">IFERROR(__xludf.DUMMYFUNCTION("""COMPUTED_VALUE"""),"New")</f>
        <v>New</v>
      </c>
      <c r="AM366" s="4"/>
      <c r="AN366" s="4" t="str">
        <f ca="1">IFERROR(__xludf.DUMMYFUNCTION("""COMPUTED_VALUE"""),"Iniciativa en Discovery")</f>
        <v>Iniciativa en Discovery</v>
      </c>
      <c r="AO366" s="4" t="str">
        <f ca="1">IFERROR(__xludf.DUMMYFUNCTION("""COMPUTED_VALUE"""),"Consumo partnerships")</f>
        <v>Consumo partnerships</v>
      </c>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133">
        <f ca="1">IFERROR(__xludf.DUMMYFUNCTION("""COMPUTED_VALUE"""),0)</f>
        <v>0</v>
      </c>
      <c r="DV366" s="133">
        <f ca="1">IFERROR(__xludf.DUMMYFUNCTION("""COMPUTED_VALUE"""),0)</f>
        <v>0</v>
      </c>
      <c r="DW366" s="133">
        <f ca="1">IFERROR(__xludf.DUMMYFUNCTION("""COMPUTED_VALUE"""),0)</f>
        <v>0</v>
      </c>
      <c r="DX366" s="133">
        <f ca="1">IFERROR(__xludf.DUMMYFUNCTION("""COMPUTED_VALUE"""),800000000)</f>
        <v>800000000</v>
      </c>
      <c r="DY366" s="133">
        <f ca="1">IFERROR(__xludf.DUMMYFUNCTION("""COMPUTED_VALUE"""),0)</f>
        <v>0</v>
      </c>
      <c r="DZ366" s="133">
        <f ca="1">IFERROR(__xludf.DUMMYFUNCTION("""COMPUTED_VALUE"""),800000000)</f>
        <v>800000000</v>
      </c>
      <c r="EA366" s="4"/>
      <c r="EB366" s="4"/>
    </row>
    <row r="367" spans="1:132" x14ac:dyDescent="0.2">
      <c r="A367" s="4">
        <f ca="1">IFERROR(__xludf.DUMMYFUNCTION("""COMPUTED_VALUE"""),367)</f>
        <v>367</v>
      </c>
      <c r="B367" s="4">
        <f ca="1">IFERROR(__xludf.DUMMYFUNCTION("""COMPUTED_VALUE"""),343)</f>
        <v>343</v>
      </c>
      <c r="C367" s="4" t="str">
        <f ca="1">IFERROR(__xludf.DUMMYFUNCTION("""COMPUTED_VALUE"""),"SDATOOL-36740")</f>
        <v>SDATOOL-36740</v>
      </c>
      <c r="D367" s="4" t="str">
        <f ca="1">IFERROR(__xludf.DUMMYFUNCTION("""COMPUTED_VALUE"""),"Third Parties Sales e-commerce credit cards")</f>
        <v>Third Parties Sales e-commerce credit cards</v>
      </c>
      <c r="E367" s="4" t="str">
        <f ca="1">IFERROR(__xludf.DUMMYFUNCTION("""COMPUTED_VALUE"""),"Generar la aprobación 100% digital de tarjeta de crédito en las plataformas de Ecommerce de los aliados; estará dirigida para clientes y no clientes del Banco,  sin documentación física ni back office.")</f>
        <v>Generar la aprobación 100% digital de tarjeta de crédito en las plataformas de Ecommerce de los aliados; estará dirigida para clientes y no clientes del Banco,  sin documentación física ni back office.</v>
      </c>
      <c r="F367" s="4" t="str">
        <f ca="1">IFERROR(__xludf.DUMMYFUNCTION("""COMPUTED_VALUE"""),"Project")</f>
        <v>Project</v>
      </c>
      <c r="G367" s="4" t="str">
        <f ca="1">IFERROR(__xludf.DUMMYFUNCTION("""COMPUTED_VALUE"""),"Stock")</f>
        <v>Stock</v>
      </c>
      <c r="H367" s="4" t="str">
        <f ca="1">IFERROR(__xludf.DUMMYFUNCTION("""COMPUTED_VALUE"""),"2Q 2024")</f>
        <v>2Q 2024</v>
      </c>
      <c r="I367" s="131" t="str">
        <f ca="1">IFERROR(__xludf.DUMMYFUNCTION("""COMPUTED_VALUE"""),"angie.castaneda-bbva.com")</f>
        <v>angie.castaneda-bbva.com</v>
      </c>
      <c r="J367" s="131" t="str">
        <f ca="1">IFERROR(__xludf.DUMMYFUNCTION("""COMPUTED_VALUE"""),"judy.prieto-bbva.com")</f>
        <v>judy.prieto-bbva.com</v>
      </c>
      <c r="K367" s="131" t="str">
        <f ca="1">IFERROR(__xludf.DUMMYFUNCTION("""COMPUTED_VALUE"""),"paolaandrea.guzman-bbva.com")</f>
        <v>paolaandrea.guzman-bbva.com</v>
      </c>
      <c r="L367" s="130">
        <f ca="1">IFERROR(__xludf.DUMMYFUNCTION("""COMPUTED_VALUE"""),0.2)</f>
        <v>0.2</v>
      </c>
      <c r="M367" s="130">
        <f ca="1">IFERROR(__xludf.DUMMYFUNCTION("""COMPUTED_VALUE"""),0)</f>
        <v>0</v>
      </c>
      <c r="N367" s="130">
        <f ca="1">IFERROR(__xludf.DUMMYFUNCTION("""COMPUTED_VALUE"""),0)</f>
        <v>0</v>
      </c>
      <c r="O367" s="4" t="str">
        <f ca="1">IFERROR(__xludf.DUMMYFUNCTION("""COMPUTED_VALUE"""),"Scrum")</f>
        <v>Scrum</v>
      </c>
      <c r="P367" s="4" t="str">
        <f ca="1">IFERROR(__xludf.DUMMYFUNCTION("""COMPUTED_VALUE"""),"Kairos")</f>
        <v>Kairos</v>
      </c>
      <c r="Q367" s="4"/>
      <c r="R367" s="130" t="str">
        <f ca="1">IFERROR(__xludf.DUMMYFUNCTION("""COMPUTED_VALUE"""),"Payments &amp; Partnerships")</f>
        <v>Payments &amp; Partnerships</v>
      </c>
      <c r="S367" s="130" t="str">
        <f ca="1">IFERROR(__xludf.DUMMYFUNCTION("""COMPUTED_VALUE"""),"Area Review")</f>
        <v>Area Review</v>
      </c>
      <c r="T367" s="130" t="str">
        <f ca="1">IFERROR(__xludf.DUMMYFUNCTION("""COMPUTED_VALUE"""),"1. Generación de Ingresos")</f>
        <v>1. Generación de Ingresos</v>
      </c>
      <c r="U367" s="130" t="str">
        <f ca="1">IFERROR(__xludf.DUMMYFUNCTION("""COMPUTED_VALUE"""),"1.2. Proyectos de Consumo")</f>
        <v>1.2. Proyectos de Consumo</v>
      </c>
      <c r="V367" s="4" t="str">
        <f ca="1">IFERROR(__xludf.DUMMYFUNCTION("""COMPUTED_VALUE"""),"TdC")</f>
        <v>TdC</v>
      </c>
      <c r="W367" s="4">
        <f ca="1">IFERROR(__xludf.DUMMYFUNCTION("""COMPUTED_VALUE"""),3)</f>
        <v>3</v>
      </c>
      <c r="X367" s="4" t="str">
        <f ca="1">IFERROR(__xludf.DUMMYFUNCTION("""COMPUTED_VALUE"""),"01. Open Market &amp; Partnerships")</f>
        <v>01. Open Market &amp; Partnerships</v>
      </c>
      <c r="Y367" s="4" t="str">
        <f ca="1">IFERROR(__xludf.DUMMYFUNCTION("""COMPUTED_VALUE"""),"5.4.1 Partnerships &amp; OB")</f>
        <v>5.4.1 Partnerships &amp; OB</v>
      </c>
      <c r="Z367" s="132" t="str">
        <f ca="1">IFERROR(__xludf.DUMMYFUNCTION("""COMPUTED_VALUE"""),"262230")</f>
        <v>262230</v>
      </c>
      <c r="AA367" s="4" t="str">
        <f ca="1">IFERROR(__xludf.DUMMYFUNCTION("""COMPUTED_VALUE"""),"Aprobación y desembolso de tarjeta de crédito en plataformas de aliados")</f>
        <v>Aprobación y desembolso de tarjeta de crédito en plataformas de aliados</v>
      </c>
      <c r="AB367" s="4" t="str">
        <f ca="1">IFERROR(__xludf.DUMMYFUNCTION("""COMPUTED_VALUE"""),"Aprobación y desembolso de tarjeta de crédito en plataformas de aliados Ecommerce con primera compra virtual")</f>
        <v>Aprobación y desembolso de tarjeta de crédito en plataformas de aliados Ecommerce con primera compra virtual</v>
      </c>
      <c r="AC367" s="4" t="str">
        <f ca="1">IFERROR(__xludf.DUMMYFUNCTION("""COMPUTED_VALUE"""),"3Q 2023")</f>
        <v>3Q 2023</v>
      </c>
      <c r="AD367" s="128">
        <f ca="1">IFERROR(__xludf.DUMMYFUNCTION("""COMPUTED_VALUE"""),44470)</f>
        <v>44470</v>
      </c>
      <c r="AE367" s="128">
        <f ca="1">IFERROR(__xludf.DUMMYFUNCTION("""COMPUTED_VALUE"""),44561)</f>
        <v>44561</v>
      </c>
      <c r="AF367" s="128">
        <f ca="1">IFERROR(__xludf.DUMMYFUNCTION("""COMPUTED_VALUE"""),44942)</f>
        <v>44942</v>
      </c>
      <c r="AG367" s="128">
        <f ca="1">IFERROR(__xludf.DUMMYFUNCTION("""COMPUTED_VALUE"""),45046)</f>
        <v>45046</v>
      </c>
      <c r="AH367" s="128">
        <f ca="1">IFERROR(__xludf.DUMMYFUNCTION("""COMPUTED_VALUE"""),45047)</f>
        <v>45047</v>
      </c>
      <c r="AI367" s="128">
        <f ca="1">IFERROR(__xludf.DUMMYFUNCTION("""COMPUTED_VALUE"""),45101)</f>
        <v>45101</v>
      </c>
      <c r="AJ367" s="128">
        <f ca="1">IFERROR(__xludf.DUMMYFUNCTION("""COMPUTED_VALUE"""),45195)</f>
        <v>45195</v>
      </c>
      <c r="AK367" s="131" t="str">
        <f ca="1">IFERROR(__xludf.DUMMYFUNCTION("""COMPUTED_VALUE"""),"COLWSMEDIO-4606")</f>
        <v>COLWSMEDIO-4606</v>
      </c>
      <c r="AL367" s="4" t="str">
        <f ca="1">IFERROR(__xludf.DUMMYFUNCTION("""COMPUTED_VALUE"""),"New")</f>
        <v>New</v>
      </c>
      <c r="AM367" s="4" t="str">
        <f ca="1">IFERROR(__xludf.DUMMYFUNCTION("""COMPUTED_VALUE"""),"Tema despriorizado para atender en segundo semestre/23. ")</f>
        <v xml:space="preserve">Tema despriorizado para atender en segundo semestre/23. </v>
      </c>
      <c r="AN367" s="4" t="str">
        <f ca="1">IFERROR(__xludf.DUMMYFUNCTION("""COMPUTED_VALUE"""),"Entregable en backlog")</f>
        <v>Entregable en backlog</v>
      </c>
      <c r="AO367" s="4" t="str">
        <f ca="1">IFERROR(__xludf.DUMMYFUNCTION("""COMPUTED_VALUE"""),"Consumo partnerships")</f>
        <v>Consumo partnerships</v>
      </c>
      <c r="AP367" s="4"/>
      <c r="AQ367" s="4"/>
      <c r="AR367" s="4" t="str">
        <f ca="1">IFERROR(__xludf.DUMMYFUNCTION("""COMPUTED_VALUE"""),"SDA aprobada en PPP Q1 2023")</f>
        <v>SDA aprobada en PPP Q1 2023</v>
      </c>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133">
        <f ca="1">IFERROR(__xludf.DUMMYFUNCTION("""COMPUTED_VALUE"""),0)</f>
        <v>0</v>
      </c>
      <c r="DV367" s="133">
        <f ca="1">IFERROR(__xludf.DUMMYFUNCTION("""COMPUTED_VALUE"""),0)</f>
        <v>0</v>
      </c>
      <c r="DW367" s="133">
        <f ca="1">IFERROR(__xludf.DUMMYFUNCTION("""COMPUTED_VALUE"""),0)</f>
        <v>0</v>
      </c>
      <c r="DX367" s="133">
        <f ca="1">IFERROR(__xludf.DUMMYFUNCTION("""COMPUTED_VALUE"""),0)</f>
        <v>0</v>
      </c>
      <c r="DY367" s="133">
        <f ca="1">IFERROR(__xludf.DUMMYFUNCTION("""COMPUTED_VALUE"""),300000000)</f>
        <v>300000000</v>
      </c>
      <c r="DZ367" s="133">
        <f ca="1">IFERROR(__xludf.DUMMYFUNCTION("""COMPUTED_VALUE"""),300000000)</f>
        <v>300000000</v>
      </c>
      <c r="EA367" s="4"/>
      <c r="EB367" s="4"/>
    </row>
    <row r="368" spans="1:132" x14ac:dyDescent="0.2">
      <c r="A368" s="4">
        <f ca="1">IFERROR(__xludf.DUMMYFUNCTION("""COMPUTED_VALUE"""),368)</f>
        <v>368</v>
      </c>
      <c r="B368" s="4">
        <f ca="1">IFERROR(__xludf.DUMMYFUNCTION("""COMPUTED_VALUE"""),344)</f>
        <v>344</v>
      </c>
      <c r="C368" s="4" t="str">
        <f ca="1">IFERROR(__xludf.DUMMYFUNCTION("""COMPUTED_VALUE"""),"SDATOOL-39348")</f>
        <v>SDATOOL-39348</v>
      </c>
      <c r="D368" s="4" t="str">
        <f ca="1">IFERROR(__xludf.DUMMYFUNCTION("""COMPUTED_VALUE"""),"tarjeta de crédito Open Market Fallback product")</f>
        <v>tarjeta de crédito Open Market Fallback product</v>
      </c>
      <c r="E368" s="4" t="str">
        <f ca="1">IFERROR(__xludf.DUMMYFUNCTION("""COMPUTED_VALUE"""),"Realizar oferta de contratación de cuenta/tarjeta débito a los clientes que por política no se les aprobó la tarjeta de crédito. Una vez el cliente cumpla las condiciones de ahorro establecidas, se aprobará y dará de alta la tarjeta de crédito.")</f>
        <v>Realizar oferta de contratación de cuenta/tarjeta débito a los clientes que por política no se les aprobó la tarjeta de crédito. Una vez el cliente cumpla las condiciones de ahorro establecidas, se aprobará y dará de alta la tarjeta de crédito.</v>
      </c>
      <c r="F368" s="4" t="str">
        <f ca="1">IFERROR(__xludf.DUMMYFUNCTION("""COMPUTED_VALUE"""),"Project")</f>
        <v>Project</v>
      </c>
      <c r="G368" s="4" t="str">
        <f ca="1">IFERROR(__xludf.DUMMYFUNCTION("""COMPUTED_VALUE"""),"Stock")</f>
        <v>Stock</v>
      </c>
      <c r="H368" s="4" t="str">
        <f ca="1">IFERROR(__xludf.DUMMYFUNCTION("""COMPUTED_VALUE"""),"2Q 2023")</f>
        <v>2Q 2023</v>
      </c>
      <c r="I368" s="131" t="str">
        <f ca="1">IFERROR(__xludf.DUMMYFUNCTION("""COMPUTED_VALUE"""),"angie.castaneda-bbva.com")</f>
        <v>angie.castaneda-bbva.com</v>
      </c>
      <c r="J368" s="131" t="str">
        <f ca="1">IFERROR(__xludf.DUMMYFUNCTION("""COMPUTED_VALUE"""),"judy.prieto-bbva.com")</f>
        <v>judy.prieto-bbva.com</v>
      </c>
      <c r="K368" s="131" t="str">
        <f ca="1">IFERROR(__xludf.DUMMYFUNCTION("""COMPUTED_VALUE"""),"andresfelipe.granados-bbva.com")</f>
        <v>andresfelipe.granados-bbva.com</v>
      </c>
      <c r="L368" s="130">
        <f ca="1">IFERROR(__xludf.DUMMYFUNCTION("""COMPUTED_VALUE"""),0.3)</f>
        <v>0.3</v>
      </c>
      <c r="M368" s="130">
        <f ca="1">IFERROR(__xludf.DUMMYFUNCTION("""COMPUTED_VALUE"""),3.2)</f>
        <v>3.2</v>
      </c>
      <c r="N368" s="130">
        <f ca="1">IFERROR(__xludf.DUMMYFUNCTION("""COMPUTED_VALUE"""),2.53)</f>
        <v>2.5299999999999998</v>
      </c>
      <c r="O368" s="4" t="str">
        <f ca="1">IFERROR(__xludf.DUMMYFUNCTION("""COMPUTED_VALUE"""),"Scrum")</f>
        <v>Scrum</v>
      </c>
      <c r="P368" s="4" t="str">
        <f ca="1">IFERROR(__xludf.DUMMYFUNCTION("""COMPUTED_VALUE"""),"Yoshi")</f>
        <v>Yoshi</v>
      </c>
      <c r="Q368" s="130">
        <f ca="1">IFERROR(__xludf.DUMMYFUNCTION("""COMPUTED_VALUE"""),1)</f>
        <v>1</v>
      </c>
      <c r="R368" s="130" t="str">
        <f ca="1">IFERROR(__xludf.DUMMYFUNCTION("""COMPUTED_VALUE"""),"Payments &amp; Partnerships")</f>
        <v>Payments &amp; Partnerships</v>
      </c>
      <c r="S368" s="130" t="str">
        <f ca="1">IFERROR(__xludf.DUMMYFUNCTION("""COMPUTED_VALUE"""),"Area Review")</f>
        <v>Area Review</v>
      </c>
      <c r="T368" s="130" t="str">
        <f ca="1">IFERROR(__xludf.DUMMYFUNCTION("""COMPUTED_VALUE"""),"1. Generación de Ingresos")</f>
        <v>1. Generación de Ingresos</v>
      </c>
      <c r="U368" s="130" t="str">
        <f ca="1">IFERROR(__xludf.DUMMYFUNCTION("""COMPUTED_VALUE"""),"1.4. Proyectos de Pagos y Adquirencia")</f>
        <v>1.4. Proyectos de Pagos y Adquirencia</v>
      </c>
      <c r="V368" s="4" t="str">
        <f ca="1">IFERROR(__xludf.DUMMYFUNCTION("""COMPUTED_VALUE"""),"TdC")</f>
        <v>TdC</v>
      </c>
      <c r="W368" s="4">
        <f ca="1">IFERROR(__xludf.DUMMYFUNCTION("""COMPUTED_VALUE"""),1)</f>
        <v>1</v>
      </c>
      <c r="X368" s="4" t="str">
        <f ca="1">IFERROR(__xludf.DUMMYFUNCTION("""COMPUTED_VALUE"""),"01. Open Market &amp; Partnerships")</f>
        <v>01. Open Market &amp; Partnerships</v>
      </c>
      <c r="Y368" s="4" t="str">
        <f ca="1">IFERROR(__xludf.DUMMYFUNCTION("""COMPUTED_VALUE"""),"4.1.1. Own channels")</f>
        <v>4.1.1. Own channels</v>
      </c>
      <c r="Z368" s="132" t="str">
        <f ca="1">IFERROR(__xludf.DUMMYFUNCTION("""COMPUTED_VALUE"""),"490279")</f>
        <v>490279</v>
      </c>
      <c r="AA368" s="4" t="str">
        <f ca="1">IFERROR(__xludf.DUMMYFUNCTION("""COMPUTED_VALUE"""),"Fase I Fall Back Product cuenta en línea")</f>
        <v>Fase I Fall Back Product cuenta en línea</v>
      </c>
      <c r="AB368" s="4" t="str">
        <f ca="1">IFERROR(__xludf.DUMMYFUNCTION("""COMPUTED_VALUE"""),"Otorgar tarjeta débito a los clientes que por política no cumplen los requisitos para entrega de tarjeta de crédito.")</f>
        <v>Otorgar tarjeta débito a los clientes que por política no cumplen los requisitos para entrega de tarjeta de crédito.</v>
      </c>
      <c r="AC368" s="4" t="str">
        <f ca="1">IFERROR(__xludf.DUMMYFUNCTION("""COMPUTED_VALUE"""),"3Q 2023")</f>
        <v>3Q 2023</v>
      </c>
      <c r="AD368" s="128">
        <f ca="1">IFERROR(__xludf.DUMMYFUNCTION("""COMPUTED_VALUE"""),44691)</f>
        <v>44691</v>
      </c>
      <c r="AE368" s="128">
        <f ca="1">IFERROR(__xludf.DUMMYFUNCTION("""COMPUTED_VALUE"""),44758)</f>
        <v>44758</v>
      </c>
      <c r="AF368" s="4"/>
      <c r="AG368" s="4"/>
      <c r="AH368" s="4"/>
      <c r="AI368" s="4"/>
      <c r="AJ368" s="4"/>
      <c r="AK368" s="131" t="str">
        <f ca="1">IFERROR(__xludf.DUMMYFUNCTION("""COMPUTED_VALUE"""),"COLWSOPENM-3")</f>
        <v>COLWSOPENM-3</v>
      </c>
      <c r="AL368" s="4" t="str">
        <f ca="1">IFERROR(__xludf.DUMMYFUNCTION("""COMPUTED_VALUE"""),"Analysing")</f>
        <v>Analysing</v>
      </c>
      <c r="AM368" s="4" t="str">
        <f ca="1">IFERROR(__xludf.DUMMYFUNCTION("""COMPUTED_VALUE"""),"En desarrollo para instalar en Jul/23.")</f>
        <v>En desarrollo para instalar en Jul/23.</v>
      </c>
      <c r="AN368" s="4" t="str">
        <f ca="1">IFERROR(__xludf.DUMMYFUNCTION("""COMPUTED_VALUE"""),"Entregable en desarrollo")</f>
        <v>Entregable en desarrollo</v>
      </c>
      <c r="AO368" s="4" t="str">
        <f ca="1">IFERROR(__xludf.DUMMYFUNCTION("""COMPUTED_VALUE"""),"Tarjeta de crédito /medios de pago")</f>
        <v>Tarjeta de crédito /medios de pago</v>
      </c>
      <c r="AP368" s="4"/>
      <c r="AQ368" s="4"/>
      <c r="AR368" s="4" t="str">
        <f ca="1">IFERROR(__xludf.DUMMYFUNCTION("""COMPUTED_VALUE"""),"SDA aprobada en PPP Q1 2023")</f>
        <v>SDA aprobada en PPP Q1 2023</v>
      </c>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133">
        <f ca="1">IFERROR(__xludf.DUMMYFUNCTION("""COMPUTED_VALUE"""),0)</f>
        <v>0</v>
      </c>
      <c r="DV368" s="133">
        <f ca="1">IFERROR(__xludf.DUMMYFUNCTION("""COMPUTED_VALUE"""),0)</f>
        <v>0</v>
      </c>
      <c r="DW368" s="133">
        <f ca="1">IFERROR(__xludf.DUMMYFUNCTION("""COMPUTED_VALUE"""),74964127)</f>
        <v>74964127</v>
      </c>
      <c r="DX368" s="133">
        <f ca="1">IFERROR(__xludf.DUMMYFUNCTION("""COMPUTED_VALUE"""),284341042)</f>
        <v>284341042</v>
      </c>
      <c r="DY368" s="133">
        <f ca="1">IFERROR(__xludf.DUMMYFUNCTION("""COMPUTED_VALUE"""),400000000)</f>
        <v>400000000</v>
      </c>
      <c r="DZ368" s="133">
        <f ca="1">IFERROR(__xludf.DUMMYFUNCTION("""COMPUTED_VALUE"""),759305169)</f>
        <v>759305169</v>
      </c>
      <c r="EA368" s="4"/>
      <c r="EB368" s="4"/>
    </row>
    <row r="369" spans="1:132" x14ac:dyDescent="0.2">
      <c r="A369" s="4">
        <f ca="1">IFERROR(__xludf.DUMMYFUNCTION("""COMPUTED_VALUE"""),369)</f>
        <v>369</v>
      </c>
      <c r="B369" s="4">
        <f ca="1">IFERROR(__xludf.DUMMYFUNCTION("""COMPUTED_VALUE"""),345)</f>
        <v>345</v>
      </c>
      <c r="C369" s="4" t="str">
        <f ca="1">IFERROR(__xludf.DUMMYFUNCTION("""COMPUTED_VALUE"""),"SDATOOL-39348")</f>
        <v>SDATOOL-39348</v>
      </c>
      <c r="D369" s="4" t="str">
        <f ca="1">IFERROR(__xludf.DUMMYFUNCTION("""COMPUTED_VALUE"""),"tarjeta de crédito Open Market Fallback product")</f>
        <v>tarjeta de crédito Open Market Fallback product</v>
      </c>
      <c r="E369" s="4" t="str">
        <f ca="1">IFERROR(__xludf.DUMMYFUNCTION("""COMPUTED_VALUE"""),"Realizar oferta de contratación de cuenta/tarjeta débito a los clientes que por política no se les aprobó la tarjeta de crédito. Una vez el cliente cumpla las condiciones de ahorro establecidas, se aprobará y dará de alta la tarjeta de crédito.")</f>
        <v>Realizar oferta de contratación de cuenta/tarjeta débito a los clientes que por política no se les aprobó la tarjeta de crédito. Una vez el cliente cumpla las condiciones de ahorro establecidas, se aprobará y dará de alta la tarjeta de crédito.</v>
      </c>
      <c r="F369" s="4" t="str">
        <f ca="1">IFERROR(__xludf.DUMMYFUNCTION("""COMPUTED_VALUE"""),"Project")</f>
        <v>Project</v>
      </c>
      <c r="G369" s="4" t="str">
        <f ca="1">IFERROR(__xludf.DUMMYFUNCTION("""COMPUTED_VALUE"""),"Stock")</f>
        <v>Stock</v>
      </c>
      <c r="H369" s="4" t="str">
        <f ca="1">IFERROR(__xludf.DUMMYFUNCTION("""COMPUTED_VALUE"""),"2Q 2023")</f>
        <v>2Q 2023</v>
      </c>
      <c r="I369" s="131" t="str">
        <f ca="1">IFERROR(__xludf.DUMMYFUNCTION("""COMPUTED_VALUE"""),"angie.castaneda-bbva.com")</f>
        <v>angie.castaneda-bbva.com</v>
      </c>
      <c r="J369" s="131" t="str">
        <f ca="1">IFERROR(__xludf.DUMMYFUNCTION("""COMPUTED_VALUE"""),"judy.prieto-bbva.com")</f>
        <v>judy.prieto-bbva.com</v>
      </c>
      <c r="K369" s="131" t="str">
        <f ca="1">IFERROR(__xludf.DUMMYFUNCTION("""COMPUTED_VALUE"""),"andresfelipe.granados-bbva.com")</f>
        <v>andresfelipe.granados-bbva.com</v>
      </c>
      <c r="L369" s="4"/>
      <c r="M369" s="4"/>
      <c r="N369" s="4"/>
      <c r="O369" s="4" t="str">
        <f ca="1">IFERROR(__xludf.DUMMYFUNCTION("""COMPUTED_VALUE"""),"Scrum")</f>
        <v>Scrum</v>
      </c>
      <c r="P369" s="4" t="str">
        <f ca="1">IFERROR(__xludf.DUMMYFUNCTION("""COMPUTED_VALUE"""),"Yoshi")</f>
        <v>Yoshi</v>
      </c>
      <c r="Q369" s="4"/>
      <c r="R369" s="130" t="str">
        <f ca="1">IFERROR(__xludf.DUMMYFUNCTION("""COMPUTED_VALUE"""),"Payments &amp; Partnerships")</f>
        <v>Payments &amp; Partnerships</v>
      </c>
      <c r="S369" s="130" t="str">
        <f ca="1">IFERROR(__xludf.DUMMYFUNCTION("""COMPUTED_VALUE"""),"Area Review")</f>
        <v>Area Review</v>
      </c>
      <c r="T369" s="130" t="str">
        <f ca="1">IFERROR(__xludf.DUMMYFUNCTION("""COMPUTED_VALUE"""),"1. Generación de Ingresos")</f>
        <v>1. Generación de Ingresos</v>
      </c>
      <c r="U369" s="130" t="str">
        <f ca="1">IFERROR(__xludf.DUMMYFUNCTION("""COMPUTED_VALUE"""),"1.4. Proyectos de Pagos y Adquirencia")</f>
        <v>1.4. Proyectos de Pagos y Adquirencia</v>
      </c>
      <c r="V369" s="4" t="str">
        <f ca="1">IFERROR(__xludf.DUMMYFUNCTION("""COMPUTED_VALUE"""),"TdC")</f>
        <v>TdC</v>
      </c>
      <c r="W369" s="4">
        <f ca="1">IFERROR(__xludf.DUMMYFUNCTION("""COMPUTED_VALUE"""),1)</f>
        <v>1</v>
      </c>
      <c r="X369" s="4" t="str">
        <f ca="1">IFERROR(__xludf.DUMMYFUNCTION("""COMPUTED_VALUE"""),"01. Open Market &amp; Partnerships")</f>
        <v>01. Open Market &amp; Partnerships</v>
      </c>
      <c r="Y369" s="4" t="str">
        <f ca="1">IFERROR(__xludf.DUMMYFUNCTION("""COMPUTED_VALUE"""),"4.1.1. Own channels")</f>
        <v>4.1.1. Own channels</v>
      </c>
      <c r="Z369" s="132" t="str">
        <f ca="1">IFERROR(__xludf.DUMMYFUNCTION("""COMPUTED_VALUE"""),"710464")</f>
        <v>710464</v>
      </c>
      <c r="AA369" s="4" t="str">
        <f ca="1">IFERROR(__xludf.DUMMYFUNCTION("""COMPUTED_VALUE"""),"Fase II Fall back tarjeta de crédito")</f>
        <v>Fase II Fall back tarjeta de crédito</v>
      </c>
      <c r="AB369" s="4" t="str">
        <f ca="1">IFERROR(__xludf.DUMMYFUNCTION("""COMPUTED_VALUE"""),"Esta funcionalidad esta dirigida a los clientes que por decisión del modelo de riesgos en el momento cero no se le pueda aprobar una tarjeta AQUA. Si el cliente cumple  unas condiciones de saldos medios durante los 4 meses siguientes,  se le otorga al fin"&amp;"al de este periodo de forma automática la tarjeta de crédito.")</f>
        <v>Esta funcionalidad esta dirigida a los clientes que por decisión del modelo de riesgos en el momento cero no se le pueda aprobar una tarjeta AQUA. Si el cliente cumple  unas condiciones de saldos medios durante los 4 meses siguientes,  se le otorga al final de este periodo de forma automática la tarjeta de crédito.</v>
      </c>
      <c r="AC369" s="4" t="str">
        <f ca="1">IFERROR(__xludf.DUMMYFUNCTION("""COMPUTED_VALUE"""),"4Q 2023")</f>
        <v>4Q 2023</v>
      </c>
      <c r="AD369" s="4"/>
      <c r="AE369" s="4"/>
      <c r="AF369" s="4"/>
      <c r="AG369" s="4"/>
      <c r="AH369" s="4"/>
      <c r="AI369" s="4"/>
      <c r="AJ369" s="4"/>
      <c r="AK369" s="4" t="str">
        <f ca="1">IFERROR(__xludf.DUMMYFUNCTION("""COMPUTED_VALUE"""),"Sin asignar")</f>
        <v>Sin asignar</v>
      </c>
      <c r="AL369" s="4" t="str">
        <f ca="1">IFERROR(__xludf.DUMMYFUNCTION("""COMPUTED_VALUE"""),"Sin asignar")</f>
        <v>Sin asignar</v>
      </c>
      <c r="AM369" s="4" t="str">
        <f ca="1">IFERROR(__xludf.DUMMYFUNCTION("""COMPUTED_VALUE"""),"Conceptualización cerrada. Iniciará desarrollos cuando finalice retargeting estratégico.")</f>
        <v>Conceptualización cerrada. Iniciará desarrollos cuando finalice retargeting estratégico.</v>
      </c>
      <c r="AN369" s="4" t="str">
        <f ca="1">IFERROR(__xludf.DUMMYFUNCTION("""COMPUTED_VALUE"""),"Entregable en backlog")</f>
        <v>Entregable en backlog</v>
      </c>
      <c r="AO369" s="4" t="str">
        <f ca="1">IFERROR(__xludf.DUMMYFUNCTION("""COMPUTED_VALUE"""),"Tarjeta de crédito /medios de pago")</f>
        <v>Tarjeta de crédito /medios de pago</v>
      </c>
      <c r="AP369" s="4"/>
      <c r="AQ369" s="4"/>
      <c r="AR369" s="4" t="str">
        <f ca="1">IFERROR(__xludf.DUMMYFUNCTION("""COMPUTED_VALUE"""),"SDA aprobada en PPP Q1 2023")</f>
        <v>SDA aprobada en PPP Q1 2023</v>
      </c>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row>
    <row r="370" spans="1:132" x14ac:dyDescent="0.2">
      <c r="A370" s="4">
        <f ca="1">IFERROR(__xludf.DUMMYFUNCTION("""COMPUTED_VALUE"""),370)</f>
        <v>370</v>
      </c>
      <c r="B370" s="4">
        <f ca="1">IFERROR(__xludf.DUMMYFUNCTION("""COMPUTED_VALUE"""),346)</f>
        <v>346</v>
      </c>
      <c r="C370" s="4" t="str">
        <f ca="1">IFERROR(__xludf.DUMMYFUNCTION("""COMPUTED_VALUE"""),"SDATOOL-41216")</f>
        <v>SDATOOL-41216</v>
      </c>
      <c r="D370" s="4" t="str">
        <f ca="1">IFERROR(__xludf.DUMMYFUNCTION("""COMPUTED_VALUE"""),"Retargeting Estrategico tarjeta de crédito  Open Market")</f>
        <v>Retargeting Estrategico tarjeta de crédito  Open Market</v>
      </c>
      <c r="E370" s="4" t="str">
        <f ca="1">IFERROR(__xludf.DUMMYFUNCTION("""COMPUTED_VALUE"""),"Iniciativa para lograr retomar la venta efectiva no culminada a través del flujo de Open Market y lograr cerrarla a través de nuestros canales")</f>
        <v>Iniciativa para lograr retomar la venta efectiva no culminada a través del flujo de Open Market y lograr cerrarla a través de nuestros canales</v>
      </c>
      <c r="F370" s="4" t="str">
        <f ca="1">IFERROR(__xludf.DUMMYFUNCTION("""COMPUTED_VALUE"""),"Initiative")</f>
        <v>Initiative</v>
      </c>
      <c r="G370" s="4" t="str">
        <f ca="1">IFERROR(__xludf.DUMMYFUNCTION("""COMPUTED_VALUE"""),"On hold")</f>
        <v>On hold</v>
      </c>
      <c r="H370" s="4" t="str">
        <f ca="1">IFERROR(__xludf.DUMMYFUNCTION("""COMPUTED_VALUE"""),"4Q 2023")</f>
        <v>4Q 2023</v>
      </c>
      <c r="I370" s="131" t="str">
        <f ca="1">IFERROR(__xludf.DUMMYFUNCTION("""COMPUTED_VALUE"""),"angie.castaneda-bbva.com")</f>
        <v>angie.castaneda-bbva.com</v>
      </c>
      <c r="J370" s="131" t="str">
        <f ca="1">IFERROR(__xludf.DUMMYFUNCTION("""COMPUTED_VALUE"""),"judy.prieto-bbva.com")</f>
        <v>judy.prieto-bbva.com</v>
      </c>
      <c r="K370" s="131" t="str">
        <f ca="1">IFERROR(__xludf.DUMMYFUNCTION("""COMPUTED_VALUE"""),"andresfelipe.granados-bbva.com")</f>
        <v>andresfelipe.granados-bbva.com</v>
      </c>
      <c r="L370" s="130">
        <f ca="1">IFERROR(__xludf.DUMMYFUNCTION("""COMPUTED_VALUE"""),0)</f>
        <v>0</v>
      </c>
      <c r="M370" s="130">
        <f ca="1">IFERROR(__xludf.DUMMYFUNCTION("""COMPUTED_VALUE"""),0)</f>
        <v>0</v>
      </c>
      <c r="N370" s="130">
        <f ca="1">IFERROR(__xludf.DUMMYFUNCTION("""COMPUTED_VALUE"""),0)</f>
        <v>0</v>
      </c>
      <c r="O370" s="4" t="str">
        <f ca="1">IFERROR(__xludf.DUMMYFUNCTION("""COMPUTED_VALUE"""),"Scrum")</f>
        <v>Scrum</v>
      </c>
      <c r="P370" s="4" t="str">
        <f ca="1">IFERROR(__xludf.DUMMYFUNCTION("""COMPUTED_VALUE"""),"Yoshi")</f>
        <v>Yoshi</v>
      </c>
      <c r="Q370" s="130">
        <f ca="1">IFERROR(__xludf.DUMMYFUNCTION("""COMPUTED_VALUE"""),0)</f>
        <v>0</v>
      </c>
      <c r="R370" s="130" t="str">
        <f ca="1">IFERROR(__xludf.DUMMYFUNCTION("""COMPUTED_VALUE"""),"Payments &amp; Partnerships")</f>
        <v>Payments &amp; Partnerships</v>
      </c>
      <c r="S370" s="130" t="str">
        <f ca="1">IFERROR(__xludf.DUMMYFUNCTION("""COMPUTED_VALUE"""),"Area Review")</f>
        <v>Area Review</v>
      </c>
      <c r="T370" s="130" t="str">
        <f ca="1">IFERROR(__xludf.DUMMYFUNCTION("""COMPUTED_VALUE"""),"1. Generación de Ingresos")</f>
        <v>1. Generación de Ingresos</v>
      </c>
      <c r="U370" s="130" t="str">
        <f ca="1">IFERROR(__xludf.DUMMYFUNCTION("""COMPUTED_VALUE"""),"1.4. Proyectos de Pagos y Adquirencia")</f>
        <v>1.4. Proyectos de Pagos y Adquirencia</v>
      </c>
      <c r="V370" s="4" t="str">
        <f ca="1">IFERROR(__xludf.DUMMYFUNCTION("""COMPUTED_VALUE"""),"TdC")</f>
        <v>TdC</v>
      </c>
      <c r="W370" s="4">
        <f ca="1">IFERROR(__xludf.DUMMYFUNCTION("""COMPUTED_VALUE"""),1)</f>
        <v>1</v>
      </c>
      <c r="X370" s="4" t="str">
        <f ca="1">IFERROR(__xludf.DUMMYFUNCTION("""COMPUTED_VALUE"""),"01. Open Market &amp; Partnerships")</f>
        <v>01. Open Market &amp; Partnerships</v>
      </c>
      <c r="Y370" s="4" t="str">
        <f ca="1">IFERROR(__xludf.DUMMYFUNCTION("""COMPUTED_VALUE"""),"4.1.1. Own channels")</f>
        <v>4.1.1. Own channels</v>
      </c>
      <c r="Z370" s="132" t="str">
        <f ca="1">IFERROR(__xludf.DUMMYFUNCTION("""COMPUTED_VALUE"""),"625914")</f>
        <v>625914</v>
      </c>
      <c r="AA370" s="4" t="str">
        <f ca="1">IFERROR(__xludf.DUMMYFUNCTION("""COMPUTED_VALUE"""),"Retargeting Estrategico tarjeta de crédito  Open Market")</f>
        <v>Retargeting Estrategico tarjeta de crédito  Open Market</v>
      </c>
      <c r="AB370" s="4" t="str">
        <f ca="1">IFERROR(__xludf.DUMMYFUNCTION("""COMPUTED_VALUE"""),"Lograr la retoma de las tarjetas de crédito aprobadas en el proceso digital  y que por alguna razón el cliente no finalizó. El objetivo es retomar la venta en el call center para finalizarla con éxito.")</f>
        <v>Lograr la retoma de las tarjetas de crédito aprobadas en el proceso digital  y que por alguna razón el cliente no finalizó. El objetivo es retomar la venta en el call center para finalizarla con éxito.</v>
      </c>
      <c r="AC370" s="4" t="str">
        <f ca="1">IFERROR(__xludf.DUMMYFUNCTION("""COMPUTED_VALUE"""),"4Q 2023")</f>
        <v>4Q 2023</v>
      </c>
      <c r="AD370" s="4"/>
      <c r="AE370" s="4"/>
      <c r="AF370" s="4"/>
      <c r="AG370" s="4"/>
      <c r="AH370" s="4"/>
      <c r="AI370" s="4"/>
      <c r="AJ370" s="4"/>
      <c r="AK370" s="131" t="str">
        <f ca="1">IFERROR(__xludf.DUMMYFUNCTION("""COMPUTED_VALUE"""),"COLWSMEDIO-4823")</f>
        <v>COLWSMEDIO-4823</v>
      </c>
      <c r="AL370" s="4" t="str">
        <f ca="1">IFERROR(__xludf.DUMMYFUNCTION("""COMPUTED_VALUE"""),"Analysing")</f>
        <v>Analysing</v>
      </c>
      <c r="AM370" s="4" t="str">
        <f ca="1">IFERROR(__xludf.DUMMYFUNCTION("""COMPUTED_VALUE"""),"En conceptualización y discovery. ")</f>
        <v xml:space="preserve">En conceptualización y discovery. </v>
      </c>
      <c r="AN370" s="4" t="str">
        <f ca="1">IFERROR(__xludf.DUMMYFUNCTION("""COMPUTED_VALUE"""),"Iniciativa en Discovery")</f>
        <v>Iniciativa en Discovery</v>
      </c>
      <c r="AO370" s="4" t="str">
        <f ca="1">IFERROR(__xludf.DUMMYFUNCTION("""COMPUTED_VALUE"""),"Tarjeta de crédito /medios de pago")</f>
        <v>Tarjeta de crédito /medios de pago</v>
      </c>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133">
        <f ca="1">IFERROR(__xludf.DUMMYFUNCTION("""COMPUTED_VALUE"""),0)</f>
        <v>0</v>
      </c>
      <c r="DV370" s="133">
        <f ca="1">IFERROR(__xludf.DUMMYFUNCTION("""COMPUTED_VALUE"""),0)</f>
        <v>0</v>
      </c>
      <c r="DW370" s="133">
        <f ca="1">IFERROR(__xludf.DUMMYFUNCTION("""COMPUTED_VALUE"""),0)</f>
        <v>0</v>
      </c>
      <c r="DX370" s="133">
        <f ca="1">IFERROR(__xludf.DUMMYFUNCTION("""COMPUTED_VALUE"""),330000000)</f>
        <v>330000000</v>
      </c>
      <c r="DY370" s="133">
        <f ca="1">IFERROR(__xludf.DUMMYFUNCTION("""COMPUTED_VALUE"""),0)</f>
        <v>0</v>
      </c>
      <c r="DZ370" s="133">
        <f ca="1">IFERROR(__xludf.DUMMYFUNCTION("""COMPUTED_VALUE"""),330000000)</f>
        <v>330000000</v>
      </c>
      <c r="EA370" s="4"/>
      <c r="EB370" s="4"/>
    </row>
    <row r="371" spans="1:132" x14ac:dyDescent="0.2">
      <c r="A371" s="4">
        <f ca="1">IFERROR(__xludf.DUMMYFUNCTION("""COMPUTED_VALUE"""),371)</f>
        <v>371</v>
      </c>
      <c r="B371" s="4" t="str">
        <f ca="1">IFERROR(__xludf.DUMMYFUNCTION("""COMPUTED_VALUE"""),"Sin prioridad")</f>
        <v>Sin prioridad</v>
      </c>
      <c r="C371" s="4" t="str">
        <f ca="1">IFERROR(__xludf.DUMMYFUNCTION("""COMPUTED_VALUE"""),"SDATOOL-42572")</f>
        <v>SDATOOL-42572</v>
      </c>
      <c r="D371" s="4" t="str">
        <f ca="1">IFERROR(__xludf.DUMMYFUNCTION("""COMPUTED_VALUE"""),"Integración Cuenta en línea en flujo TC Open Market")</f>
        <v>Integración Cuenta en línea en flujo TC Open Market</v>
      </c>
      <c r="E371" s="4" t="str">
        <f ca="1">IFERROR(__xludf.DUMMYFUNCTION("""COMPUTED_VALUE"""),"Realzar oferta de una cuenta de ahorros ó nómina a todos los clientes que finalicen con éxito la contratación de una tarjeta de crédito AQUA")</f>
        <v>Realzar oferta de una cuenta de ahorros ó nómina a todos los clientes que finalicen con éxito la contratación de una tarjeta de crédito AQUA</v>
      </c>
      <c r="F371" s="4" t="str">
        <f ca="1">IFERROR(__xludf.DUMMYFUNCTION("""COMPUTED_VALUE"""),"Project")</f>
        <v>Project</v>
      </c>
      <c r="G371" s="4" t="str">
        <f ca="1">IFERROR(__xludf.DUMMYFUNCTION("""COMPUTED_VALUE"""),"Flow")</f>
        <v>Flow</v>
      </c>
      <c r="H371" s="4" t="str">
        <f ca="1">IFERROR(__xludf.DUMMYFUNCTION("""COMPUTED_VALUE"""),"4Q 2023")</f>
        <v>4Q 2023</v>
      </c>
      <c r="I371" s="131" t="str">
        <f ca="1">IFERROR(__xludf.DUMMYFUNCTION("""COMPUTED_VALUE"""),"angie.castaneda-bbva.com")</f>
        <v>angie.castaneda-bbva.com</v>
      </c>
      <c r="J371" s="131" t="str">
        <f ca="1">IFERROR(__xludf.DUMMYFUNCTION("""COMPUTED_VALUE"""),"judy.prieto-bbva.com")</f>
        <v>judy.prieto-bbva.com</v>
      </c>
      <c r="K371" s="131" t="str">
        <f ca="1">IFERROR(__xludf.DUMMYFUNCTION("""COMPUTED_VALUE"""),"andresfelipe.granados-bbva.com")</f>
        <v>andresfelipe.granados-bbva.com</v>
      </c>
      <c r="L371" s="130">
        <f ca="1">IFERROR(__xludf.DUMMYFUNCTION("""COMPUTED_VALUE"""),0)</f>
        <v>0</v>
      </c>
      <c r="M371" s="130">
        <f ca="1">IFERROR(__xludf.DUMMYFUNCTION("""COMPUTED_VALUE"""),0)</f>
        <v>0</v>
      </c>
      <c r="N371" s="130">
        <f ca="1">IFERROR(__xludf.DUMMYFUNCTION("""COMPUTED_VALUE"""),0)</f>
        <v>0</v>
      </c>
      <c r="O371" s="4" t="str">
        <f ca="1">IFERROR(__xludf.DUMMYFUNCTION("""COMPUTED_VALUE"""),"Scrum")</f>
        <v>Scrum</v>
      </c>
      <c r="P371" s="4" t="str">
        <f ca="1">IFERROR(__xludf.DUMMYFUNCTION("""COMPUTED_VALUE"""),"Yoshi")</f>
        <v>Yoshi</v>
      </c>
      <c r="Q371" s="130">
        <f ca="1">IFERROR(__xludf.DUMMYFUNCTION("""COMPUTED_VALUE"""),0)</f>
        <v>0</v>
      </c>
      <c r="R371" s="130" t="str">
        <f ca="1">IFERROR(__xludf.DUMMYFUNCTION("""COMPUTED_VALUE"""),"Payments &amp; Partnerships")</f>
        <v>Payments &amp; Partnerships</v>
      </c>
      <c r="S371" s="130" t="str">
        <f ca="1">IFERROR(__xludf.DUMMYFUNCTION("""COMPUTED_VALUE"""),"Area Review")</f>
        <v>Area Review</v>
      </c>
      <c r="T371" s="130" t="str">
        <f ca="1">IFERROR(__xludf.DUMMYFUNCTION("""COMPUTED_VALUE"""),"1. Generación de Ingresos")</f>
        <v>1. Generación de Ingresos</v>
      </c>
      <c r="U371" s="130" t="str">
        <f ca="1">IFERROR(__xludf.DUMMYFUNCTION("""COMPUTED_VALUE"""),"1.4. Proyectos de Pagos y Adquirencia")</f>
        <v>1.4. Proyectos de Pagos y Adquirencia</v>
      </c>
      <c r="V371" s="4" t="str">
        <f ca="1">IFERROR(__xludf.DUMMYFUNCTION("""COMPUTED_VALUE"""),"TdC")</f>
        <v>TdC</v>
      </c>
      <c r="W371" s="4">
        <f ca="1">IFERROR(__xludf.DUMMYFUNCTION("""COMPUTED_VALUE"""),1)</f>
        <v>1</v>
      </c>
      <c r="X371" s="4" t="str">
        <f ca="1">IFERROR(__xludf.DUMMYFUNCTION("""COMPUTED_VALUE"""),"01. Open Market &amp; Partnerships")</f>
        <v>01. Open Market &amp; Partnerships</v>
      </c>
      <c r="Y371" s="4" t="str">
        <f ca="1">IFERROR(__xludf.DUMMYFUNCTION("""COMPUTED_VALUE"""),"4.1.1. Own channels")</f>
        <v>4.1.1. Own channels</v>
      </c>
      <c r="Z371" s="132" t="str">
        <f ca="1">IFERROR(__xludf.DUMMYFUNCTION("""COMPUTED_VALUE"""),"773959")</f>
        <v>773959</v>
      </c>
      <c r="AA371" s="4" t="str">
        <f ca="1">IFERROR(__xludf.DUMMYFUNCTION("""COMPUTED_VALUE"""),"Oferta cuenta en línea en TC OM")</f>
        <v>Oferta cuenta en línea en TC OM</v>
      </c>
      <c r="AB371" s="4" t="str">
        <f ca="1">IFERROR(__xludf.DUMMYFUNCTION("""COMPUTED_VALUE"""),"Realizar oferta de una cuenta de ahorros ó nómina a todos los clientes que finalicen con éxito la contratación de una tarjeta de crédito AQUA")</f>
        <v>Realizar oferta de una cuenta de ahorros ó nómina a todos los clientes que finalicen con éxito la contratación de una tarjeta de crédito AQUA</v>
      </c>
      <c r="AC371" s="4" t="str">
        <f ca="1">IFERROR(__xludf.DUMMYFUNCTION("""COMPUTED_VALUE"""),"4Q 2023")</f>
        <v>4Q 2023</v>
      </c>
      <c r="AD371" s="4"/>
      <c r="AE371" s="4"/>
      <c r="AF371" s="4"/>
      <c r="AG371" s="4"/>
      <c r="AH371" s="4"/>
      <c r="AI371" s="4"/>
      <c r="AJ371" s="4"/>
      <c r="AK371" s="131" t="str">
        <f ca="1">IFERROR(__xludf.DUMMYFUNCTION("""COMPUTED_VALUE"""),"COLWSMEDIO-6505")</f>
        <v>COLWSMEDIO-6505</v>
      </c>
      <c r="AL371" s="4" t="str">
        <f ca="1">IFERROR(__xludf.DUMMYFUNCTION("""COMPUTED_VALUE"""),"New")</f>
        <v>New</v>
      </c>
      <c r="AM371" s="4"/>
      <c r="AN371" s="4" t="str">
        <f ca="1">IFERROR(__xludf.DUMMYFUNCTION("""COMPUTED_VALUE"""),"Iniciativa en Discovery")</f>
        <v>Iniciativa en Discovery</v>
      </c>
      <c r="AO371" s="4" t="str">
        <f ca="1">IFERROR(__xludf.DUMMYFUNCTION("""COMPUTED_VALUE"""),"Tarjeta de crédito /medios de pago")</f>
        <v>Tarjeta de crédito /medios de pago</v>
      </c>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133">
        <f ca="1">IFERROR(__xludf.DUMMYFUNCTION("""COMPUTED_VALUE"""),0)</f>
        <v>0</v>
      </c>
      <c r="DV371" s="133">
        <f ca="1">IFERROR(__xludf.DUMMYFUNCTION("""COMPUTED_VALUE"""),0)</f>
        <v>0</v>
      </c>
      <c r="DW371" s="133">
        <f ca="1">IFERROR(__xludf.DUMMYFUNCTION("""COMPUTED_VALUE"""),0)</f>
        <v>0</v>
      </c>
      <c r="DX371" s="133">
        <f ca="1">IFERROR(__xludf.DUMMYFUNCTION("""COMPUTED_VALUE"""),600000000)</f>
        <v>600000000</v>
      </c>
      <c r="DY371" s="133">
        <f ca="1">IFERROR(__xludf.DUMMYFUNCTION("""COMPUTED_VALUE"""),200000000)</f>
        <v>200000000</v>
      </c>
      <c r="DZ371" s="133">
        <f ca="1">IFERROR(__xludf.DUMMYFUNCTION("""COMPUTED_VALUE"""),800000000)</f>
        <v>800000000</v>
      </c>
      <c r="EA371" s="4"/>
      <c r="EB371" s="4"/>
    </row>
    <row r="372" spans="1:132" x14ac:dyDescent="0.2">
      <c r="A372" s="4">
        <f ca="1">IFERROR(__xludf.DUMMYFUNCTION("""COMPUTED_VALUE"""),372)</f>
        <v>372</v>
      </c>
      <c r="B372" s="4">
        <f ca="1">IFERROR(__xludf.DUMMYFUNCTION("""COMPUTED_VALUE"""),347)</f>
        <v>347</v>
      </c>
      <c r="C372" s="4" t="str">
        <f ca="1">IFERROR(__xludf.DUMMYFUNCTION("""COMPUTED_VALUE"""),"SDATOOL-36048")</f>
        <v>SDATOOL-36048</v>
      </c>
      <c r="D372" s="4" t="str">
        <f ca="1">IFERROR(__xludf.DUMMYFUNCTION("""COMPUTED_VALUE"""),"Repositorio flujos  ventas digitales flujos - Plan Ascenso Open Market")</f>
        <v>Repositorio flujos  ventas digitales flujos - Plan Ascenso Open Market</v>
      </c>
      <c r="E372"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2" s="4" t="str">
        <f ca="1">IFERROR(__xludf.DUMMYFUNCTION("""COMPUTED_VALUE"""),"Project")</f>
        <v>Project</v>
      </c>
      <c r="G372" s="4" t="str">
        <f ca="1">IFERROR(__xludf.DUMMYFUNCTION("""COMPUTED_VALUE"""),"Stock")</f>
        <v>Stock</v>
      </c>
      <c r="H372" s="4" t="str">
        <f ca="1">IFERROR(__xludf.DUMMYFUNCTION("""COMPUTED_VALUE"""),"2Q 2023")</f>
        <v>2Q 2023</v>
      </c>
      <c r="I372" s="131" t="str">
        <f ca="1">IFERROR(__xludf.DUMMYFUNCTION("""COMPUTED_VALUE"""),"hugofernando.parra-bbva.com")</f>
        <v>hugofernando.parra-bbva.com</v>
      </c>
      <c r="J372" s="131" t="str">
        <f ca="1">IFERROR(__xludf.DUMMYFUNCTION("""COMPUTED_VALUE"""),"geovany.ramirez-bbva.com")</f>
        <v>geovany.ramirez-bbva.com</v>
      </c>
      <c r="K372" s="131" t="str">
        <f ca="1">IFERROR(__xludf.DUMMYFUNCTION("""COMPUTED_VALUE"""),"juana.vergara-bbva.com")</f>
        <v>juana.vergara-bbva.com</v>
      </c>
      <c r="L372" s="130">
        <f ca="1">IFERROR(__xludf.DUMMYFUNCTION("""COMPUTED_VALUE"""),0.5)</f>
        <v>0.5</v>
      </c>
      <c r="M372" s="130">
        <f ca="1">IFERROR(__xludf.DUMMYFUNCTION("""COMPUTED_VALUE"""),2)</f>
        <v>2</v>
      </c>
      <c r="N372" s="130">
        <f ca="1">IFERROR(__xludf.DUMMYFUNCTION("""COMPUTED_VALUE"""),4.03)</f>
        <v>4.03</v>
      </c>
      <c r="O372" s="4" t="str">
        <f ca="1">IFERROR(__xludf.DUMMYFUNCTION("""COMPUTED_VALUE"""),"Scrum")</f>
        <v>Scrum</v>
      </c>
      <c r="P372" s="4" t="str">
        <f ca="1">IFERROR(__xludf.DUMMYFUNCTION("""COMPUTED_VALUE"""),"Jarvis")</f>
        <v>Jarvis</v>
      </c>
      <c r="Q372" s="130">
        <f ca="1">IFERROR(__xludf.DUMMYFUNCTION("""COMPUTED_VALUE"""),1)</f>
        <v>1</v>
      </c>
      <c r="R372" s="130" t="str">
        <f ca="1">IFERROR(__xludf.DUMMYFUNCTION("""COMPUTED_VALUE"""),"Marketing &amp; Digital Sales")</f>
        <v>Marketing &amp; Digital Sales</v>
      </c>
      <c r="S372" s="130" t="str">
        <f ca="1">IFERROR(__xludf.DUMMYFUNCTION("""COMPUTED_VALUE"""),"Plan Ascenso")</f>
        <v>Plan Ascenso</v>
      </c>
      <c r="T372" s="130" t="str">
        <f ca="1">IFERROR(__xludf.DUMMYFUNCTION("""COMPUTED_VALUE"""),"1. Generación de Ingresos")</f>
        <v>1. Generación de Ingresos</v>
      </c>
      <c r="U372" s="130" t="str">
        <f ca="1">IFERROR(__xludf.DUMMYFUNCTION("""COMPUTED_VALUE"""),"1.2. Proyectos de Consumo")</f>
        <v>1.2. Proyectos de Consumo</v>
      </c>
      <c r="V372" s="4" t="str">
        <f ca="1">IFERROR(__xludf.DUMMYFUNCTION("""COMPUTED_VALUE"""),"Habilitador")</f>
        <v>Habilitador</v>
      </c>
      <c r="W372" s="4">
        <f ca="1">IFERROR(__xludf.DUMMYFUNCTION("""COMPUTED_VALUE"""),1)</f>
        <v>1</v>
      </c>
      <c r="X372" s="4" t="str">
        <f ca="1">IFERROR(__xludf.DUMMYFUNCTION("""COMPUTED_VALUE"""),"01. Open Market &amp; Partnerships")</f>
        <v>01. Open Market &amp; Partnerships</v>
      </c>
      <c r="Y372" s="4" t="str">
        <f ca="1">IFERROR(__xludf.DUMMYFUNCTION("""COMPUTED_VALUE"""),"4.1.1. Own channels")</f>
        <v>4.1.1. Own channels</v>
      </c>
      <c r="Z372" s="132" t="str">
        <f ca="1">IFERROR(__xludf.DUMMYFUNCTION("""COMPUTED_VALUE"""),"213685")</f>
        <v>213685</v>
      </c>
      <c r="AA372" s="4" t="str">
        <f ca="1">IFERROR(__xludf.DUMMYFUNCTION("""COMPUTED_VALUE"""),"Modelo de gestión de datos (TC Página Blanca)")</f>
        <v>Modelo de gestión de datos (TC Página Blanca)</v>
      </c>
      <c r="AB372" s="4" t="str">
        <f ca="1">IFERROR(__xludf.DUMMYFUNCTION("""COMPUTED_VALUE"""),"Herramienta que permita generar consultas masivas y en el uno a uno de los procesos de ventas digitales de cada producto")</f>
        <v>Herramienta que permita generar consultas masivas y en el uno a uno de los procesos de ventas digitales de cada producto</v>
      </c>
      <c r="AC372" s="4" t="str">
        <f ca="1">IFERROR(__xludf.DUMMYFUNCTION("""COMPUTED_VALUE"""),"3Q 2022")</f>
        <v>3Q 2022</v>
      </c>
      <c r="AD372" s="128">
        <f ca="1">IFERROR(__xludf.DUMMYFUNCTION("""COMPUTED_VALUE"""),44470)</f>
        <v>44470</v>
      </c>
      <c r="AE372" s="128">
        <f ca="1">IFERROR(__xludf.DUMMYFUNCTION("""COMPUTED_VALUE"""),44561)</f>
        <v>44561</v>
      </c>
      <c r="AF372" s="128">
        <f ca="1">IFERROR(__xludf.DUMMYFUNCTION("""COMPUTED_VALUE"""),44627)</f>
        <v>44627</v>
      </c>
      <c r="AG372" s="128">
        <f ca="1">IFERROR(__xludf.DUMMYFUNCTION("""COMPUTED_VALUE"""),45031)</f>
        <v>45031</v>
      </c>
      <c r="AH372" s="128">
        <f ca="1">IFERROR(__xludf.DUMMYFUNCTION("""COMPUTED_VALUE"""),45046)</f>
        <v>45046</v>
      </c>
      <c r="AI372" s="128">
        <f ca="1">IFERROR(__xludf.DUMMYFUNCTION("""COMPUTED_VALUE"""),45076)</f>
        <v>45076</v>
      </c>
      <c r="AJ372" s="128">
        <f ca="1">IFERROR(__xludf.DUMMYFUNCTION("""COMPUTED_VALUE"""),45107)</f>
        <v>45107</v>
      </c>
      <c r="AK372" s="131" t="str">
        <f ca="1">IFERROR(__xludf.DUMMYFUNCTION("""COMPUTED_VALUE"""),"COLWSMEDIO-6274")</f>
        <v>COLWSMEDIO-6274</v>
      </c>
      <c r="AL372" s="4" t="str">
        <f ca="1">IFERROR(__xludf.DUMMYFUNCTION("""COMPUTED_VALUE"""),"Deployed")</f>
        <v>Deployed</v>
      </c>
      <c r="AM372" s="4" t="str">
        <f ca="1">IFERROR(__xludf.DUMMYFUNCTION("""COMPUTED_VALUE"""),"7/Feb: 
- Definición cerrada al 100%. 
- En constitución de equipo por ing ")</f>
        <v xml:space="preserve">7/Feb: 
- Definición cerrada al 100%. 
- En constitución de equipo por ing </v>
      </c>
      <c r="AN372" s="4" t="str">
        <f ca="1">IFERROR(__xludf.DUMMYFUNCTION("""COMPUTED_VALUE"""),"Finalizado")</f>
        <v>Finalizado</v>
      </c>
      <c r="AO372" s="4" t="str">
        <f ca="1">IFERROR(__xludf.DUMMYFUNCTION("""COMPUTED_VALUE"""),"Consumo partnerships")</f>
        <v>Consumo partnerships</v>
      </c>
      <c r="AP372" s="4"/>
      <c r="AQ372" s="4"/>
      <c r="AR372" s="4" t="str">
        <f ca="1">IFERROR(__xludf.DUMMYFUNCTION("""COMPUTED_VALUE"""),"SDA aprobada en PPP Q1 2023")</f>
        <v>SDA aprobada en PPP Q1 2023</v>
      </c>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133">
        <f ca="1">IFERROR(__xludf.DUMMYFUNCTION("""COMPUTED_VALUE"""),0)</f>
        <v>0</v>
      </c>
      <c r="DV372" s="133">
        <f ca="1">IFERROR(__xludf.DUMMYFUNCTION("""COMPUTED_VALUE"""),0)</f>
        <v>0</v>
      </c>
      <c r="DW372" s="133">
        <f ca="1">IFERROR(__xludf.DUMMYFUNCTION("""COMPUTED_VALUE"""),719284717)</f>
        <v>719284717</v>
      </c>
      <c r="DX372" s="133">
        <f ca="1">IFERROR(__xludf.DUMMYFUNCTION("""COMPUTED_VALUE"""),1492782128)</f>
        <v>1492782128</v>
      </c>
      <c r="DY372" s="133">
        <f ca="1">IFERROR(__xludf.DUMMYFUNCTION("""COMPUTED_VALUE"""),0)</f>
        <v>0</v>
      </c>
      <c r="DZ372" s="133">
        <f ca="1">IFERROR(__xludf.DUMMYFUNCTION("""COMPUTED_VALUE"""),2212066845)</f>
        <v>2212066845</v>
      </c>
      <c r="EA372" s="4"/>
      <c r="EB372" s="4"/>
    </row>
    <row r="373" spans="1:132" x14ac:dyDescent="0.2">
      <c r="A373" s="4">
        <f ca="1">IFERROR(__xludf.DUMMYFUNCTION("""COMPUTED_VALUE"""),373)</f>
        <v>373</v>
      </c>
      <c r="B373" s="4">
        <f ca="1">IFERROR(__xludf.DUMMYFUNCTION("""COMPUTED_VALUE"""),348)</f>
        <v>348</v>
      </c>
      <c r="C373" s="4" t="str">
        <f ca="1">IFERROR(__xludf.DUMMYFUNCTION("""COMPUTED_VALUE"""),"SDATOOL-36048")</f>
        <v>SDATOOL-36048</v>
      </c>
      <c r="D373" s="4" t="str">
        <f ca="1">IFERROR(__xludf.DUMMYFUNCTION("""COMPUTED_VALUE"""),"Repositorio flujos  ventas digitales flujos - Plan Ascenso Open Market")</f>
        <v>Repositorio flujos  ventas digitales flujos - Plan Ascenso Open Market</v>
      </c>
      <c r="E373"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3" s="4" t="str">
        <f ca="1">IFERROR(__xludf.DUMMYFUNCTION("""COMPUTED_VALUE"""),"Project")</f>
        <v>Project</v>
      </c>
      <c r="G373" s="4" t="str">
        <f ca="1">IFERROR(__xludf.DUMMYFUNCTION("""COMPUTED_VALUE"""),"Stock")</f>
        <v>Stock</v>
      </c>
      <c r="H373" s="4" t="str">
        <f ca="1">IFERROR(__xludf.DUMMYFUNCTION("""COMPUTED_VALUE"""),"2Q 2023")</f>
        <v>2Q 2023</v>
      </c>
      <c r="I373" s="131" t="str">
        <f ca="1">IFERROR(__xludf.DUMMYFUNCTION("""COMPUTED_VALUE"""),"hugofernando.parra-bbva.com")</f>
        <v>hugofernando.parra-bbva.com</v>
      </c>
      <c r="J373" s="131" t="str">
        <f ca="1">IFERROR(__xludf.DUMMYFUNCTION("""COMPUTED_VALUE"""),"geovany.ramirez-bbva.com")</f>
        <v>geovany.ramirez-bbva.com</v>
      </c>
      <c r="K373" s="131" t="str">
        <f ca="1">IFERROR(__xludf.DUMMYFUNCTION("""COMPUTED_VALUE"""),"juana.vergara-bbva.com")</f>
        <v>juana.vergara-bbva.com</v>
      </c>
      <c r="L373" s="4"/>
      <c r="M373" s="4"/>
      <c r="N373" s="4"/>
      <c r="O373" s="4" t="str">
        <f ca="1">IFERROR(__xludf.DUMMYFUNCTION("""COMPUTED_VALUE"""),"Scrum")</f>
        <v>Scrum</v>
      </c>
      <c r="P373" s="4" t="str">
        <f ca="1">IFERROR(__xludf.DUMMYFUNCTION("""COMPUTED_VALUE"""),"Jarvis")</f>
        <v>Jarvis</v>
      </c>
      <c r="Q373" s="4"/>
      <c r="R373" s="130" t="str">
        <f ca="1">IFERROR(__xludf.DUMMYFUNCTION("""COMPUTED_VALUE"""),"Marketing &amp; Digital Sales")</f>
        <v>Marketing &amp; Digital Sales</v>
      </c>
      <c r="S373" s="130" t="str">
        <f ca="1">IFERROR(__xludf.DUMMYFUNCTION("""COMPUTED_VALUE"""),"Plan Ascenso")</f>
        <v>Plan Ascenso</v>
      </c>
      <c r="T373" s="130" t="str">
        <f ca="1">IFERROR(__xludf.DUMMYFUNCTION("""COMPUTED_VALUE"""),"1. Generación de Ingresos")</f>
        <v>1. Generación de Ingresos</v>
      </c>
      <c r="U373" s="130" t="str">
        <f ca="1">IFERROR(__xludf.DUMMYFUNCTION("""COMPUTED_VALUE"""),"1.2. Proyectos de Consumo")</f>
        <v>1.2. Proyectos de Consumo</v>
      </c>
      <c r="V373" s="4" t="str">
        <f ca="1">IFERROR(__xludf.DUMMYFUNCTION("""COMPUTED_VALUE"""),"Habilitador")</f>
        <v>Habilitador</v>
      </c>
      <c r="W373" s="4">
        <f ca="1">IFERROR(__xludf.DUMMYFUNCTION("""COMPUTED_VALUE"""),1)</f>
        <v>1</v>
      </c>
      <c r="X373" s="4" t="str">
        <f ca="1">IFERROR(__xludf.DUMMYFUNCTION("""COMPUTED_VALUE"""),"01. Open Market &amp; Partnerships")</f>
        <v>01. Open Market &amp; Partnerships</v>
      </c>
      <c r="Y373" s="4" t="str">
        <f ca="1">IFERROR(__xludf.DUMMYFUNCTION("""COMPUTED_VALUE"""),"4.1.1. Own channels")</f>
        <v>4.1.1. Own channels</v>
      </c>
      <c r="Z373" s="132" t="str">
        <f ca="1">IFERROR(__xludf.DUMMYFUNCTION("""COMPUTED_VALUE"""),"489128")</f>
        <v>489128</v>
      </c>
      <c r="AA373" s="4" t="str">
        <f ca="1">IFERROR(__xludf.DUMMYFUNCTION("""COMPUTED_VALUE"""),"DATIO + SANDBOX")</f>
        <v>DATIO + SANDBOX</v>
      </c>
      <c r="AB373" s="4" t="str">
        <f ca="1">IFERROR(__xludf.DUMMYFUNCTION("""COMPUTED_VALUE"""),"Que la información almacenada de ventas digitales que repose en Datio pueda ser visualizada y utilizada por una herramienta de reportes.  De tal forma que Permita la explotación de Data y facilite conocer el motivo de las caídas de las ventas, así poder f"&amp;"acilitar la generación y el diseño de reportes que permita un analisis para el área de negocio donde se puedan generar acciones o estrategias.")</f>
        <v>Que la información almacenada de ventas digitales que repose en Datio pueda ser visualizada y utilizada por una herramienta de reportes.  De tal forma que Permita la explotación de Data y facilite conocer el motivo de las caídas de las ventas, así poder facilitar la generación y el diseño de reportes que permita un analisis para el área de negocio donde se puedan generar acciones o estrategias.</v>
      </c>
      <c r="AC373" s="4" t="str">
        <f ca="1">IFERROR(__xludf.DUMMYFUNCTION("""COMPUTED_VALUE"""),"4Q 2022")</f>
        <v>4Q 2022</v>
      </c>
      <c r="AD373" s="4"/>
      <c r="AE373" s="4"/>
      <c r="AF373" s="4"/>
      <c r="AG373" s="4"/>
      <c r="AH373" s="4"/>
      <c r="AI373" s="4"/>
      <c r="AJ373" s="4"/>
      <c r="AK373" s="131" t="str">
        <f ca="1">IFERROR(__xludf.DUMMYFUNCTION("""COMPUTED_VALUE"""),"COLWSMEDIO-6273")</f>
        <v>COLWSMEDIO-6273</v>
      </c>
      <c r="AL373" s="4" t="str">
        <f ca="1">IFERROR(__xludf.DUMMYFUNCTION("""COMPUTED_VALUE"""),"Deployed")</f>
        <v>Deployed</v>
      </c>
      <c r="AM373" s="4"/>
      <c r="AN373" s="4" t="str">
        <f ca="1">IFERROR(__xludf.DUMMYFUNCTION("""COMPUTED_VALUE"""),"Entregable en desarrollo")</f>
        <v>Entregable en desarrollo</v>
      </c>
      <c r="AO373" s="4" t="str">
        <f ca="1">IFERROR(__xludf.DUMMYFUNCTION("""COMPUTED_VALUE"""),"Consumo partnerships")</f>
        <v>Consumo partnerships</v>
      </c>
      <c r="AP373" s="4"/>
      <c r="AQ373" s="4"/>
      <c r="AR373" s="4" t="str">
        <f ca="1">IFERROR(__xludf.DUMMYFUNCTION("""COMPUTED_VALUE"""),"SDA aprobada en PPP Q1 2023")</f>
        <v>SDA aprobada en PPP Q1 2023</v>
      </c>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row>
    <row r="374" spans="1:132" x14ac:dyDescent="0.2">
      <c r="A374" s="4">
        <f ca="1">IFERROR(__xludf.DUMMYFUNCTION("""COMPUTED_VALUE"""),374)</f>
        <v>374</v>
      </c>
      <c r="B374" s="4">
        <f ca="1">IFERROR(__xludf.DUMMYFUNCTION("""COMPUTED_VALUE"""),349)</f>
        <v>349</v>
      </c>
      <c r="C374" s="4" t="str">
        <f ca="1">IFERROR(__xludf.DUMMYFUNCTION("""COMPUTED_VALUE"""),"SDATOOL-36048")</f>
        <v>SDATOOL-36048</v>
      </c>
      <c r="D374" s="4" t="str">
        <f ca="1">IFERROR(__xludf.DUMMYFUNCTION("""COMPUTED_VALUE"""),"Repositorio flujos  ventas digitales flujos - Plan Ascenso Open Market")</f>
        <v>Repositorio flujos  ventas digitales flujos - Plan Ascenso Open Market</v>
      </c>
      <c r="E374"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4" s="4" t="str">
        <f ca="1">IFERROR(__xludf.DUMMYFUNCTION("""COMPUTED_VALUE"""),"Project")</f>
        <v>Project</v>
      </c>
      <c r="G374" s="4" t="str">
        <f ca="1">IFERROR(__xludf.DUMMYFUNCTION("""COMPUTED_VALUE"""),"Stock")</f>
        <v>Stock</v>
      </c>
      <c r="H374" s="4" t="str">
        <f ca="1">IFERROR(__xludf.DUMMYFUNCTION("""COMPUTED_VALUE"""),"2Q 2023")</f>
        <v>2Q 2023</v>
      </c>
      <c r="I374" s="131" t="str">
        <f ca="1">IFERROR(__xludf.DUMMYFUNCTION("""COMPUTED_VALUE"""),"hugofernando.parra-bbva.com")</f>
        <v>hugofernando.parra-bbva.com</v>
      </c>
      <c r="J374" s="131" t="str">
        <f ca="1">IFERROR(__xludf.DUMMYFUNCTION("""COMPUTED_VALUE"""),"geovany.ramirez-bbva.com")</f>
        <v>geovany.ramirez-bbva.com</v>
      </c>
      <c r="K374" s="131" t="str">
        <f ca="1">IFERROR(__xludf.DUMMYFUNCTION("""COMPUTED_VALUE"""),"juana.vergara-bbva.com")</f>
        <v>juana.vergara-bbva.com</v>
      </c>
      <c r="L374" s="4"/>
      <c r="M374" s="4"/>
      <c r="N374" s="4"/>
      <c r="O374" s="4" t="str">
        <f ca="1">IFERROR(__xludf.DUMMYFUNCTION("""COMPUTED_VALUE"""),"Scrum")</f>
        <v>Scrum</v>
      </c>
      <c r="P374" s="4" t="str">
        <f ca="1">IFERROR(__xludf.DUMMYFUNCTION("""COMPUTED_VALUE"""),"Jarvis")</f>
        <v>Jarvis</v>
      </c>
      <c r="Q374" s="4"/>
      <c r="R374" s="130" t="str">
        <f ca="1">IFERROR(__xludf.DUMMYFUNCTION("""COMPUTED_VALUE"""),"Marketing &amp; Digital Sales")</f>
        <v>Marketing &amp; Digital Sales</v>
      </c>
      <c r="S374" s="130" t="str">
        <f ca="1">IFERROR(__xludf.DUMMYFUNCTION("""COMPUTED_VALUE"""),"Plan Ascenso")</f>
        <v>Plan Ascenso</v>
      </c>
      <c r="T374" s="130" t="str">
        <f ca="1">IFERROR(__xludf.DUMMYFUNCTION("""COMPUTED_VALUE"""),"1. Generación de Ingresos")</f>
        <v>1. Generación de Ingresos</v>
      </c>
      <c r="U374" s="130" t="str">
        <f ca="1">IFERROR(__xludf.DUMMYFUNCTION("""COMPUTED_VALUE"""),"1.2. Proyectos de Consumo")</f>
        <v>1.2. Proyectos de Consumo</v>
      </c>
      <c r="V374" s="4" t="str">
        <f ca="1">IFERROR(__xludf.DUMMYFUNCTION("""COMPUTED_VALUE"""),"Habilitador")</f>
        <v>Habilitador</v>
      </c>
      <c r="W374" s="4">
        <f ca="1">IFERROR(__xludf.DUMMYFUNCTION("""COMPUTED_VALUE"""),1)</f>
        <v>1</v>
      </c>
      <c r="X374" s="4" t="str">
        <f ca="1">IFERROR(__xludf.DUMMYFUNCTION("""COMPUTED_VALUE"""),"01. Open Market &amp; Partnerships")</f>
        <v>01. Open Market &amp; Partnerships</v>
      </c>
      <c r="Y374" s="4" t="str">
        <f ca="1">IFERROR(__xludf.DUMMYFUNCTION("""COMPUTED_VALUE"""),"4.1.1. Own channels")</f>
        <v>4.1.1. Own channels</v>
      </c>
      <c r="Z374" s="132" t="str">
        <f ca="1">IFERROR(__xludf.DUMMYFUNCTION("""COMPUTED_VALUE"""),"553133")</f>
        <v>553133</v>
      </c>
      <c r="AA374" s="4" t="str">
        <f ca="1">IFERROR(__xludf.DUMMYFUNCTION("""COMPUTED_VALUE"""),"Disponibilidad de datos para retargeting o análisis de comportamientos")</f>
        <v>Disponibilidad de datos para retargeting o análisis de comportamientos</v>
      </c>
      <c r="AB374" s="4" t="str">
        <f ca="1">IFERROR(__xludf.DUMMYFUNCTION("""COMPUTED_VALUE"""),"Que la información almacenada de ventas digitales que repose en la Base de Datos Operacional pueda ser disponibilizada por medio de la capacidad que ofrece Salesforce Marketing Cloud.")</f>
        <v>Que la información almacenada de ventas digitales que repose en la Base de Datos Operacional pueda ser disponibilizada por medio de la capacidad que ofrece Salesforce Marketing Cloud.</v>
      </c>
      <c r="AC374" s="4" t="str">
        <f ca="1">IFERROR(__xludf.DUMMYFUNCTION("""COMPUTED_VALUE"""),"1Q 2023")</f>
        <v>1Q 2023</v>
      </c>
      <c r="AD374" s="4"/>
      <c r="AE374" s="4"/>
      <c r="AF374" s="4"/>
      <c r="AG374" s="4"/>
      <c r="AH374" s="4"/>
      <c r="AI374" s="4"/>
      <c r="AJ374" s="4"/>
      <c r="AK374" s="131" t="str">
        <f ca="1">IFERROR(__xludf.DUMMYFUNCTION("""COMPUTED_VALUE"""),"COLWSDATIO-640")</f>
        <v>COLWSDATIO-640</v>
      </c>
      <c r="AL374" s="4" t="str">
        <f ca="1">IFERROR(__xludf.DUMMYFUNCTION("""COMPUTED_VALUE"""),"Deployed")</f>
        <v>Deployed</v>
      </c>
      <c r="AM374" s="4"/>
      <c r="AN374" s="4" t="str">
        <f ca="1">IFERROR(__xludf.DUMMYFUNCTION("""COMPUTED_VALUE"""),"Finalizado")</f>
        <v>Finalizado</v>
      </c>
      <c r="AO374" s="4" t="str">
        <f ca="1">IFERROR(__xludf.DUMMYFUNCTION("""COMPUTED_VALUE"""),"Consumo partnerships")</f>
        <v>Consumo partnerships</v>
      </c>
      <c r="AP374" s="4"/>
      <c r="AQ374" s="4"/>
      <c r="AR374" s="4" t="str">
        <f ca="1">IFERROR(__xludf.DUMMYFUNCTION("""COMPUTED_VALUE"""),"SDA aprobada en PPP Q1 2023")</f>
        <v>SDA aprobada en PPP Q1 2023</v>
      </c>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row>
    <row r="375" spans="1:132" x14ac:dyDescent="0.2">
      <c r="A375" s="4">
        <f ca="1">IFERROR(__xludf.DUMMYFUNCTION("""COMPUTED_VALUE"""),375)</f>
        <v>375</v>
      </c>
      <c r="B375" s="4">
        <f ca="1">IFERROR(__xludf.DUMMYFUNCTION("""COMPUTED_VALUE"""),350)</f>
        <v>350</v>
      </c>
      <c r="C375" s="4" t="str">
        <f ca="1">IFERROR(__xludf.DUMMYFUNCTION("""COMPUTED_VALUE"""),"SDATOOL-36048")</f>
        <v>SDATOOL-36048</v>
      </c>
      <c r="D375" s="4" t="str">
        <f ca="1">IFERROR(__xludf.DUMMYFUNCTION("""COMPUTED_VALUE"""),"Repositorio flujos  ventas digitales flujos - Plan Ascenso Open Market")</f>
        <v>Repositorio flujos  ventas digitales flujos - Plan Ascenso Open Market</v>
      </c>
      <c r="E375"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5" s="4" t="str">
        <f ca="1">IFERROR(__xludf.DUMMYFUNCTION("""COMPUTED_VALUE"""),"Project")</f>
        <v>Project</v>
      </c>
      <c r="G375" s="4" t="str">
        <f ca="1">IFERROR(__xludf.DUMMYFUNCTION("""COMPUTED_VALUE"""),"Stock")</f>
        <v>Stock</v>
      </c>
      <c r="H375" s="4" t="str">
        <f ca="1">IFERROR(__xludf.DUMMYFUNCTION("""COMPUTED_VALUE"""),"2Q 2023")</f>
        <v>2Q 2023</v>
      </c>
      <c r="I375" s="131" t="str">
        <f ca="1">IFERROR(__xludf.DUMMYFUNCTION("""COMPUTED_VALUE"""),"hugofernando.parra-bbva.com")</f>
        <v>hugofernando.parra-bbva.com</v>
      </c>
      <c r="J375" s="131" t="str">
        <f ca="1">IFERROR(__xludf.DUMMYFUNCTION("""COMPUTED_VALUE"""),"geovany.ramirez-bbva.com")</f>
        <v>geovany.ramirez-bbva.com</v>
      </c>
      <c r="K375" s="131" t="str">
        <f ca="1">IFERROR(__xludf.DUMMYFUNCTION("""COMPUTED_VALUE"""),"juana.vergara-bbva.com")</f>
        <v>juana.vergara-bbva.com</v>
      </c>
      <c r="L375" s="4"/>
      <c r="M375" s="4"/>
      <c r="N375" s="4"/>
      <c r="O375" s="4" t="str">
        <f ca="1">IFERROR(__xludf.DUMMYFUNCTION("""COMPUTED_VALUE"""),"Scrum")</f>
        <v>Scrum</v>
      </c>
      <c r="P375" s="4" t="str">
        <f ca="1">IFERROR(__xludf.DUMMYFUNCTION("""COMPUTED_VALUE"""),"Jarvis")</f>
        <v>Jarvis</v>
      </c>
      <c r="Q375" s="4"/>
      <c r="R375" s="130" t="str">
        <f ca="1">IFERROR(__xludf.DUMMYFUNCTION("""COMPUTED_VALUE"""),"Marketing &amp; Digital Sales")</f>
        <v>Marketing &amp; Digital Sales</v>
      </c>
      <c r="S375" s="130" t="str">
        <f ca="1">IFERROR(__xludf.DUMMYFUNCTION("""COMPUTED_VALUE"""),"Plan Ascenso")</f>
        <v>Plan Ascenso</v>
      </c>
      <c r="T375" s="130" t="str">
        <f ca="1">IFERROR(__xludf.DUMMYFUNCTION("""COMPUTED_VALUE"""),"1. Generación de Ingresos")</f>
        <v>1. Generación de Ingresos</v>
      </c>
      <c r="U375" s="130" t="str">
        <f ca="1">IFERROR(__xludf.DUMMYFUNCTION("""COMPUTED_VALUE"""),"1.2. Proyectos de Consumo")</f>
        <v>1.2. Proyectos de Consumo</v>
      </c>
      <c r="V375" s="4" t="str">
        <f ca="1">IFERROR(__xludf.DUMMYFUNCTION("""COMPUTED_VALUE"""),"Habilitador")</f>
        <v>Habilitador</v>
      </c>
      <c r="W375" s="4">
        <f ca="1">IFERROR(__xludf.DUMMYFUNCTION("""COMPUTED_VALUE"""),1)</f>
        <v>1</v>
      </c>
      <c r="X375" s="4" t="str">
        <f ca="1">IFERROR(__xludf.DUMMYFUNCTION("""COMPUTED_VALUE"""),"01. Open Market &amp; Partnerships")</f>
        <v>01. Open Market &amp; Partnerships</v>
      </c>
      <c r="Y375" s="4" t="str">
        <f ca="1">IFERROR(__xludf.DUMMYFUNCTION("""COMPUTED_VALUE"""),"4.1.1. Own channels")</f>
        <v>4.1.1. Own channels</v>
      </c>
      <c r="Z375" s="132" t="str">
        <f ca="1">IFERROR(__xludf.DUMMYFUNCTION("""COMPUTED_VALUE"""),"489138")</f>
        <v>489138</v>
      </c>
      <c r="AA375" s="4" t="str">
        <f ca="1">IFERROR(__xludf.DUMMYFUNCTION("""COMPUTED_VALUE"""),"Reportería en herramienta MS")</f>
        <v>Reportería en herramienta MS</v>
      </c>
      <c r="AB375" s="4" t="str">
        <f ca="1">IFERROR(__xludf.DUMMYFUNCTION("""COMPUTED_VALUE"""),"Generar los reportes en MS  en las plantillas definidas para los equipos interesados")</f>
        <v>Generar los reportes en MS  en las plantillas definidas para los equipos interesados</v>
      </c>
      <c r="AC375" s="4" t="str">
        <f ca="1">IFERROR(__xludf.DUMMYFUNCTION("""COMPUTED_VALUE"""),"1Q 2023")</f>
        <v>1Q 2023</v>
      </c>
      <c r="AD375" s="4"/>
      <c r="AE375" s="4"/>
      <c r="AF375" s="4"/>
      <c r="AG375" s="4"/>
      <c r="AH375" s="4"/>
      <c r="AI375" s="4"/>
      <c r="AJ375" s="4"/>
      <c r="AK375" s="4" t="str">
        <f ca="1">IFERROR(__xludf.DUMMYFUNCTION("""COMPUTED_VALUE"""),"Sin asignar")</f>
        <v>Sin asignar</v>
      </c>
      <c r="AL375" s="4" t="str">
        <f ca="1">IFERROR(__xludf.DUMMYFUNCTION("""COMPUTED_VALUE"""),"Sin asignar")</f>
        <v>Sin asignar</v>
      </c>
      <c r="AM375" s="4"/>
      <c r="AN375" s="4" t="str">
        <f ca="1">IFERROR(__xludf.DUMMYFUNCTION("""COMPUTED_VALUE"""),"Entregable en backlog")</f>
        <v>Entregable en backlog</v>
      </c>
      <c r="AO375" s="4" t="str">
        <f ca="1">IFERROR(__xludf.DUMMYFUNCTION("""COMPUTED_VALUE"""),"Consumo partnerships")</f>
        <v>Consumo partnerships</v>
      </c>
      <c r="AP375" s="4"/>
      <c r="AQ375" s="4"/>
      <c r="AR375" s="4" t="str">
        <f ca="1">IFERROR(__xludf.DUMMYFUNCTION("""COMPUTED_VALUE"""),"SDA aprobada en PPP Q1 2023")</f>
        <v>SDA aprobada en PPP Q1 2023</v>
      </c>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row>
    <row r="376" spans="1:132" x14ac:dyDescent="0.2">
      <c r="A376" s="4">
        <f ca="1">IFERROR(__xludf.DUMMYFUNCTION("""COMPUTED_VALUE"""),376)</f>
        <v>376</v>
      </c>
      <c r="B376" s="4">
        <f ca="1">IFERROR(__xludf.DUMMYFUNCTION("""COMPUTED_VALUE"""),351)</f>
        <v>351</v>
      </c>
      <c r="C376" s="4" t="str">
        <f ca="1">IFERROR(__xludf.DUMMYFUNCTION("""COMPUTED_VALUE"""),"SDATOOL-36048")</f>
        <v>SDATOOL-36048</v>
      </c>
      <c r="D376" s="4" t="str">
        <f ca="1">IFERROR(__xludf.DUMMYFUNCTION("""COMPUTED_VALUE"""),"Repositorio flujos  ventas digitales flujos - Plan Ascenso Open Market")</f>
        <v>Repositorio flujos  ventas digitales flujos - Plan Ascenso Open Market</v>
      </c>
      <c r="E376"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6" s="4" t="str">
        <f ca="1">IFERROR(__xludf.DUMMYFUNCTION("""COMPUTED_VALUE"""),"Project")</f>
        <v>Project</v>
      </c>
      <c r="G376" s="4" t="str">
        <f ca="1">IFERROR(__xludf.DUMMYFUNCTION("""COMPUTED_VALUE"""),"Stock")</f>
        <v>Stock</v>
      </c>
      <c r="H376" s="4" t="str">
        <f ca="1">IFERROR(__xludf.DUMMYFUNCTION("""COMPUTED_VALUE"""),"2Q 2023")</f>
        <v>2Q 2023</v>
      </c>
      <c r="I376" s="131" t="str">
        <f ca="1">IFERROR(__xludf.DUMMYFUNCTION("""COMPUTED_VALUE"""),"hugofernando.parra-bbva.com")</f>
        <v>hugofernando.parra-bbva.com</v>
      </c>
      <c r="J376" s="131" t="str">
        <f ca="1">IFERROR(__xludf.DUMMYFUNCTION("""COMPUTED_VALUE"""),"geovany.ramirez-bbva.com")</f>
        <v>geovany.ramirez-bbva.com</v>
      </c>
      <c r="K376" s="131" t="str">
        <f ca="1">IFERROR(__xludf.DUMMYFUNCTION("""COMPUTED_VALUE"""),"juana.vergara-bbva.com")</f>
        <v>juana.vergara-bbva.com</v>
      </c>
      <c r="L376" s="4"/>
      <c r="M376" s="4"/>
      <c r="N376" s="4"/>
      <c r="O376" s="4" t="str">
        <f ca="1">IFERROR(__xludf.DUMMYFUNCTION("""COMPUTED_VALUE"""),"Scrum")</f>
        <v>Scrum</v>
      </c>
      <c r="P376" s="4" t="str">
        <f ca="1">IFERROR(__xludf.DUMMYFUNCTION("""COMPUTED_VALUE"""),"Jarvis")</f>
        <v>Jarvis</v>
      </c>
      <c r="Q376" s="4"/>
      <c r="R376" s="130" t="str">
        <f ca="1">IFERROR(__xludf.DUMMYFUNCTION("""COMPUTED_VALUE"""),"Marketing &amp; Digital Sales")</f>
        <v>Marketing &amp; Digital Sales</v>
      </c>
      <c r="S376" s="130" t="str">
        <f ca="1">IFERROR(__xludf.DUMMYFUNCTION("""COMPUTED_VALUE"""),"Plan Ascenso")</f>
        <v>Plan Ascenso</v>
      </c>
      <c r="T376" s="130" t="str">
        <f ca="1">IFERROR(__xludf.DUMMYFUNCTION("""COMPUTED_VALUE"""),"1. Generación de Ingresos")</f>
        <v>1. Generación de Ingresos</v>
      </c>
      <c r="U376" s="130" t="str">
        <f ca="1">IFERROR(__xludf.DUMMYFUNCTION("""COMPUTED_VALUE"""),"1.2. Proyectos de Consumo")</f>
        <v>1.2. Proyectos de Consumo</v>
      </c>
      <c r="V376" s="4" t="str">
        <f ca="1">IFERROR(__xludf.DUMMYFUNCTION("""COMPUTED_VALUE"""),"Habilitador")</f>
        <v>Habilitador</v>
      </c>
      <c r="W376" s="4">
        <f ca="1">IFERROR(__xludf.DUMMYFUNCTION("""COMPUTED_VALUE"""),1)</f>
        <v>1</v>
      </c>
      <c r="X376" s="4" t="str">
        <f ca="1">IFERROR(__xludf.DUMMYFUNCTION("""COMPUTED_VALUE"""),"01. Open Market &amp; Partnerships")</f>
        <v>01. Open Market &amp; Partnerships</v>
      </c>
      <c r="Y376" s="4" t="str">
        <f ca="1">IFERROR(__xludf.DUMMYFUNCTION("""COMPUTED_VALUE"""),"4.1.1. Own channels")</f>
        <v>4.1.1. Own channels</v>
      </c>
      <c r="Z376" s="132" t="str">
        <f ca="1">IFERROR(__xludf.DUMMYFUNCTION("""COMPUTED_VALUE"""),"489135")</f>
        <v>489135</v>
      </c>
      <c r="AA376" s="4" t="str">
        <f ca="1">IFERROR(__xludf.DUMMYFUNCTION("""COMPUTED_VALUE"""),"Modelo de gestión de datos (CONSUMO Página Blanca)")</f>
        <v>Modelo de gestión de datos (CONSUMO Página Blanca)</v>
      </c>
      <c r="AB376" s="4" t="str">
        <f ca="1">IFERROR(__xludf.DUMMYFUNCTION("""COMPUTED_VALUE"""),"Que toda la información de las ventas digitales relacionada por Página Blanca (Web) de Consumo, repose en Datio")</f>
        <v>Que toda la información de las ventas digitales relacionada por Página Blanca (Web) de Consumo, repose en Datio</v>
      </c>
      <c r="AC376" s="4" t="str">
        <f ca="1">IFERROR(__xludf.DUMMYFUNCTION("""COMPUTED_VALUE"""),"2Q 2023")</f>
        <v>2Q 2023</v>
      </c>
      <c r="AD376" s="4"/>
      <c r="AE376" s="4"/>
      <c r="AF376" s="4"/>
      <c r="AG376" s="4"/>
      <c r="AH376" s="4"/>
      <c r="AI376" s="4"/>
      <c r="AJ376" s="4"/>
      <c r="AK376" s="4" t="str">
        <f ca="1">IFERROR(__xludf.DUMMYFUNCTION("""COMPUTED_VALUE"""),"Sin asignar")</f>
        <v>Sin asignar</v>
      </c>
      <c r="AL376" s="4" t="str">
        <f ca="1">IFERROR(__xludf.DUMMYFUNCTION("""COMPUTED_VALUE"""),"Sin asignar")</f>
        <v>Sin asignar</v>
      </c>
      <c r="AM376" s="4"/>
      <c r="AN376" s="4" t="str">
        <f ca="1">IFERROR(__xludf.DUMMYFUNCTION("""COMPUTED_VALUE"""),"Entregable en backlog")</f>
        <v>Entregable en backlog</v>
      </c>
      <c r="AO376" s="4" t="str">
        <f ca="1">IFERROR(__xludf.DUMMYFUNCTION("""COMPUTED_VALUE"""),"Consumo partnerships")</f>
        <v>Consumo partnerships</v>
      </c>
      <c r="AP376" s="4"/>
      <c r="AQ376" s="4"/>
      <c r="AR376" s="4" t="str">
        <f ca="1">IFERROR(__xludf.DUMMYFUNCTION("""COMPUTED_VALUE"""),"SDA aprobada en PPP Q1 2023")</f>
        <v>SDA aprobada en PPP Q1 2023</v>
      </c>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row>
    <row r="377" spans="1:132" x14ac:dyDescent="0.2">
      <c r="A377" s="4">
        <f ca="1">IFERROR(__xludf.DUMMYFUNCTION("""COMPUTED_VALUE"""),377)</f>
        <v>377</v>
      </c>
      <c r="B377" s="4">
        <f ca="1">IFERROR(__xludf.DUMMYFUNCTION("""COMPUTED_VALUE"""),352)</f>
        <v>352</v>
      </c>
      <c r="C377" s="4" t="str">
        <f ca="1">IFERROR(__xludf.DUMMYFUNCTION("""COMPUTED_VALUE"""),"SDATOOL-36048")</f>
        <v>SDATOOL-36048</v>
      </c>
      <c r="D377" s="4" t="str">
        <f ca="1">IFERROR(__xludf.DUMMYFUNCTION("""COMPUTED_VALUE"""),"Repositorio flujos  ventas digitales flujos - Plan Ascenso Open Market")</f>
        <v>Repositorio flujos  ventas digitales flujos - Plan Ascenso Open Market</v>
      </c>
      <c r="E377"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7" s="4" t="str">
        <f ca="1">IFERROR(__xludf.DUMMYFUNCTION("""COMPUTED_VALUE"""),"Project")</f>
        <v>Project</v>
      </c>
      <c r="G377" s="4" t="str">
        <f ca="1">IFERROR(__xludf.DUMMYFUNCTION("""COMPUTED_VALUE"""),"Stock")</f>
        <v>Stock</v>
      </c>
      <c r="H377" s="4" t="str">
        <f ca="1">IFERROR(__xludf.DUMMYFUNCTION("""COMPUTED_VALUE"""),"2Q 2023")</f>
        <v>2Q 2023</v>
      </c>
      <c r="I377" s="131" t="str">
        <f ca="1">IFERROR(__xludf.DUMMYFUNCTION("""COMPUTED_VALUE"""),"hugofernando.parra-bbva.com")</f>
        <v>hugofernando.parra-bbva.com</v>
      </c>
      <c r="J377" s="131" t="str">
        <f ca="1">IFERROR(__xludf.DUMMYFUNCTION("""COMPUTED_VALUE"""),"geovany.ramirez-bbva.com")</f>
        <v>geovany.ramirez-bbva.com</v>
      </c>
      <c r="K377" s="131" t="str">
        <f ca="1">IFERROR(__xludf.DUMMYFUNCTION("""COMPUTED_VALUE"""),"juana.vergara-bbva.com")</f>
        <v>juana.vergara-bbva.com</v>
      </c>
      <c r="L377" s="4"/>
      <c r="M377" s="4"/>
      <c r="N377" s="4"/>
      <c r="O377" s="4" t="str">
        <f ca="1">IFERROR(__xludf.DUMMYFUNCTION("""COMPUTED_VALUE"""),"Scrum")</f>
        <v>Scrum</v>
      </c>
      <c r="P377" s="4" t="str">
        <f ca="1">IFERROR(__xludf.DUMMYFUNCTION("""COMPUTED_VALUE"""),"Jarvis")</f>
        <v>Jarvis</v>
      </c>
      <c r="Q377" s="4"/>
      <c r="R377" s="130" t="str">
        <f ca="1">IFERROR(__xludf.DUMMYFUNCTION("""COMPUTED_VALUE"""),"Marketing &amp; Digital Sales")</f>
        <v>Marketing &amp; Digital Sales</v>
      </c>
      <c r="S377" s="130" t="str">
        <f ca="1">IFERROR(__xludf.DUMMYFUNCTION("""COMPUTED_VALUE"""),"Plan Ascenso")</f>
        <v>Plan Ascenso</v>
      </c>
      <c r="T377" s="130" t="str">
        <f ca="1">IFERROR(__xludf.DUMMYFUNCTION("""COMPUTED_VALUE"""),"1. Generación de Ingresos")</f>
        <v>1. Generación de Ingresos</v>
      </c>
      <c r="U377" s="130" t="str">
        <f ca="1">IFERROR(__xludf.DUMMYFUNCTION("""COMPUTED_VALUE"""),"1.2. Proyectos de Consumo")</f>
        <v>1.2. Proyectos de Consumo</v>
      </c>
      <c r="V377" s="4" t="str">
        <f ca="1">IFERROR(__xludf.DUMMYFUNCTION("""COMPUTED_VALUE"""),"Habilitador")</f>
        <v>Habilitador</v>
      </c>
      <c r="W377" s="4">
        <f ca="1">IFERROR(__xludf.DUMMYFUNCTION("""COMPUTED_VALUE"""),1)</f>
        <v>1</v>
      </c>
      <c r="X377" s="4" t="str">
        <f ca="1">IFERROR(__xludf.DUMMYFUNCTION("""COMPUTED_VALUE"""),"01. Open Market &amp; Partnerships")</f>
        <v>01. Open Market &amp; Partnerships</v>
      </c>
      <c r="Y377" s="4" t="str">
        <f ca="1">IFERROR(__xludf.DUMMYFUNCTION("""COMPUTED_VALUE"""),"4.1.1. Own channels")</f>
        <v>4.1.1. Own channels</v>
      </c>
      <c r="Z377" s="132" t="str">
        <f ca="1">IFERROR(__xludf.DUMMYFUNCTION("""COMPUTED_VALUE"""),"489133")</f>
        <v>489133</v>
      </c>
      <c r="AA377" s="4" t="str">
        <f ca="1">IFERROR(__xludf.DUMMYFUNCTION("""COMPUTED_VALUE"""),"Adición campos de perfilado para clientes")</f>
        <v>Adición campos de perfilado para clientes</v>
      </c>
      <c r="AB377" s="4" t="str">
        <f ca="1">IFERROR(__xludf.DUMMYFUNCTION("""COMPUTED_VALUE"""),"Como nuevo alcance el equipo de Advanced Analytics solicita adicionar campos de perfilado de clientes.")</f>
        <v>Como nuevo alcance el equipo de Advanced Analytics solicita adicionar campos de perfilado de clientes.</v>
      </c>
      <c r="AC377" s="4" t="str">
        <f ca="1">IFERROR(__xludf.DUMMYFUNCTION("""COMPUTED_VALUE"""),"1Q 2023")</f>
        <v>1Q 2023</v>
      </c>
      <c r="AD377" s="4"/>
      <c r="AE377" s="4"/>
      <c r="AF377" s="4"/>
      <c r="AG377" s="4"/>
      <c r="AH377" s="4"/>
      <c r="AI377" s="4"/>
      <c r="AJ377" s="4"/>
      <c r="AK377" s="4" t="str">
        <f ca="1">IFERROR(__xludf.DUMMYFUNCTION("""COMPUTED_VALUE"""),"Sin asignar")</f>
        <v>Sin asignar</v>
      </c>
      <c r="AL377" s="4" t="str">
        <f ca="1">IFERROR(__xludf.DUMMYFUNCTION("""COMPUTED_VALUE"""),"Sin asignar")</f>
        <v>Sin asignar</v>
      </c>
      <c r="AM377" s="4"/>
      <c r="AN377" s="4" t="str">
        <f ca="1">IFERROR(__xludf.DUMMYFUNCTION("""COMPUTED_VALUE"""),"Entregable en backlog")</f>
        <v>Entregable en backlog</v>
      </c>
      <c r="AO377" s="4" t="str">
        <f ca="1">IFERROR(__xludf.DUMMYFUNCTION("""COMPUTED_VALUE"""),"Consumo partnerships")</f>
        <v>Consumo partnerships</v>
      </c>
      <c r="AP377" s="4"/>
      <c r="AQ377" s="4"/>
      <c r="AR377" s="4" t="str">
        <f ca="1">IFERROR(__xludf.DUMMYFUNCTION("""COMPUTED_VALUE"""),"SDA aprobada en PPP Q1 2023")</f>
        <v>SDA aprobada en PPP Q1 2023</v>
      </c>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row>
    <row r="378" spans="1:132" x14ac:dyDescent="0.2">
      <c r="A378" s="4">
        <f ca="1">IFERROR(__xludf.DUMMYFUNCTION("""COMPUTED_VALUE"""),378)</f>
        <v>378</v>
      </c>
      <c r="B378" s="4">
        <f ca="1">IFERROR(__xludf.DUMMYFUNCTION("""COMPUTED_VALUE"""),353)</f>
        <v>353</v>
      </c>
      <c r="C378" s="4" t="str">
        <f ca="1">IFERROR(__xludf.DUMMYFUNCTION("""COMPUTED_VALUE"""),"SDATOOL-36048")</f>
        <v>SDATOOL-36048</v>
      </c>
      <c r="D378" s="4" t="str">
        <f ca="1">IFERROR(__xludf.DUMMYFUNCTION("""COMPUTED_VALUE"""),"Repositorio flujos  ventas digitales flujos - Plan Ascenso Open Market")</f>
        <v>Repositorio flujos  ventas digitales flujos - Plan Ascenso Open Market</v>
      </c>
      <c r="E378"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8" s="4" t="str">
        <f ca="1">IFERROR(__xludf.DUMMYFUNCTION("""COMPUTED_VALUE"""),"Project")</f>
        <v>Project</v>
      </c>
      <c r="G378" s="4" t="str">
        <f ca="1">IFERROR(__xludf.DUMMYFUNCTION("""COMPUTED_VALUE"""),"Stock")</f>
        <v>Stock</v>
      </c>
      <c r="H378" s="4" t="str">
        <f ca="1">IFERROR(__xludf.DUMMYFUNCTION("""COMPUTED_VALUE"""),"2Q 2023")</f>
        <v>2Q 2023</v>
      </c>
      <c r="I378" s="131" t="str">
        <f ca="1">IFERROR(__xludf.DUMMYFUNCTION("""COMPUTED_VALUE"""),"hugofernando.parra-bbva.com")</f>
        <v>hugofernando.parra-bbva.com</v>
      </c>
      <c r="J378" s="131" t="str">
        <f ca="1">IFERROR(__xludf.DUMMYFUNCTION("""COMPUTED_VALUE"""),"geovany.ramirez-bbva.com")</f>
        <v>geovany.ramirez-bbva.com</v>
      </c>
      <c r="K378" s="131" t="str">
        <f ca="1">IFERROR(__xludf.DUMMYFUNCTION("""COMPUTED_VALUE"""),"juana.vergara-bbva.com")</f>
        <v>juana.vergara-bbva.com</v>
      </c>
      <c r="L378" s="4"/>
      <c r="M378" s="4"/>
      <c r="N378" s="4"/>
      <c r="O378" s="4" t="str">
        <f ca="1">IFERROR(__xludf.DUMMYFUNCTION("""COMPUTED_VALUE"""),"Scrum")</f>
        <v>Scrum</v>
      </c>
      <c r="P378" s="4" t="str">
        <f ca="1">IFERROR(__xludf.DUMMYFUNCTION("""COMPUTED_VALUE"""),"Jarvis")</f>
        <v>Jarvis</v>
      </c>
      <c r="Q378" s="4"/>
      <c r="R378" s="130" t="str">
        <f ca="1">IFERROR(__xludf.DUMMYFUNCTION("""COMPUTED_VALUE"""),"Marketing &amp; Digital Sales")</f>
        <v>Marketing &amp; Digital Sales</v>
      </c>
      <c r="S378" s="130" t="str">
        <f ca="1">IFERROR(__xludf.DUMMYFUNCTION("""COMPUTED_VALUE"""),"Plan Ascenso")</f>
        <v>Plan Ascenso</v>
      </c>
      <c r="T378" s="130" t="str">
        <f ca="1">IFERROR(__xludf.DUMMYFUNCTION("""COMPUTED_VALUE"""),"1. Generación de Ingresos")</f>
        <v>1. Generación de Ingresos</v>
      </c>
      <c r="U378" s="130" t="str">
        <f ca="1">IFERROR(__xludf.DUMMYFUNCTION("""COMPUTED_VALUE"""),"1.2. Proyectos de Consumo")</f>
        <v>1.2. Proyectos de Consumo</v>
      </c>
      <c r="V378" s="4" t="str">
        <f ca="1">IFERROR(__xludf.DUMMYFUNCTION("""COMPUTED_VALUE"""),"Habilitador")</f>
        <v>Habilitador</v>
      </c>
      <c r="W378" s="4">
        <f ca="1">IFERROR(__xludf.DUMMYFUNCTION("""COMPUTED_VALUE"""),1)</f>
        <v>1</v>
      </c>
      <c r="X378" s="4" t="str">
        <f ca="1">IFERROR(__xludf.DUMMYFUNCTION("""COMPUTED_VALUE"""),"01. Open Market &amp; Partnerships")</f>
        <v>01. Open Market &amp; Partnerships</v>
      </c>
      <c r="Y378" s="4" t="str">
        <f ca="1">IFERROR(__xludf.DUMMYFUNCTION("""COMPUTED_VALUE"""),"4.1.1. Own channels")</f>
        <v>4.1.1. Own channels</v>
      </c>
      <c r="Z378" s="132" t="str">
        <f ca="1">IFERROR(__xludf.DUMMYFUNCTION("""COMPUTED_VALUE"""),"489137")</f>
        <v>489137</v>
      </c>
      <c r="AA378" s="4" t="str">
        <f ca="1">IFERROR(__xludf.DUMMYFUNCTION("""COMPUTED_VALUE"""),"Modelo de gestión de datos (FONDOS Página Blanca)")</f>
        <v>Modelo de gestión de datos (FONDOS Página Blanca)</v>
      </c>
      <c r="AB378" s="4" t="str">
        <f ca="1">IFERROR(__xludf.DUMMYFUNCTION("""COMPUTED_VALUE"""),"Que toda la información de las ventas digitales relacionada por Página Blanca (Web) de Fondos de Inversión, repose en Datio.")</f>
        <v>Que toda la información de las ventas digitales relacionada por Página Blanca (Web) de Fondos de Inversión, repose en Datio.</v>
      </c>
      <c r="AC378" s="4" t="str">
        <f ca="1">IFERROR(__xludf.DUMMYFUNCTION("""COMPUTED_VALUE"""),"2Q 2023")</f>
        <v>2Q 2023</v>
      </c>
      <c r="AD378" s="4"/>
      <c r="AE378" s="4"/>
      <c r="AF378" s="4"/>
      <c r="AG378" s="4"/>
      <c r="AH378" s="4"/>
      <c r="AI378" s="4"/>
      <c r="AJ378" s="4"/>
      <c r="AK378" s="4" t="str">
        <f ca="1">IFERROR(__xludf.DUMMYFUNCTION("""COMPUTED_VALUE"""),"Sin asignar")</f>
        <v>Sin asignar</v>
      </c>
      <c r="AL378" s="4" t="str">
        <f ca="1">IFERROR(__xludf.DUMMYFUNCTION("""COMPUTED_VALUE"""),"Sin asignar")</f>
        <v>Sin asignar</v>
      </c>
      <c r="AM378" s="4"/>
      <c r="AN378" s="4" t="str">
        <f ca="1">IFERROR(__xludf.DUMMYFUNCTION("""COMPUTED_VALUE"""),"Entregable en backlog")</f>
        <v>Entregable en backlog</v>
      </c>
      <c r="AO378" s="4" t="str">
        <f ca="1">IFERROR(__xludf.DUMMYFUNCTION("""COMPUTED_VALUE"""),"Consumo partnerships")</f>
        <v>Consumo partnerships</v>
      </c>
      <c r="AP378" s="4"/>
      <c r="AQ378" s="4"/>
      <c r="AR378" s="4" t="str">
        <f ca="1">IFERROR(__xludf.DUMMYFUNCTION("""COMPUTED_VALUE"""),"SDA aprobada en PPP Q1 2023")</f>
        <v>SDA aprobada en PPP Q1 2023</v>
      </c>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row>
    <row r="379" spans="1:132" x14ac:dyDescent="0.2">
      <c r="A379" s="4">
        <f ca="1">IFERROR(__xludf.DUMMYFUNCTION("""COMPUTED_VALUE"""),379)</f>
        <v>379</v>
      </c>
      <c r="B379" s="4">
        <f ca="1">IFERROR(__xludf.DUMMYFUNCTION("""COMPUTED_VALUE"""),354)</f>
        <v>354</v>
      </c>
      <c r="C379" s="4" t="str">
        <f ca="1">IFERROR(__xludf.DUMMYFUNCTION("""COMPUTED_VALUE"""),"SDATOOL-36048")</f>
        <v>SDATOOL-36048</v>
      </c>
      <c r="D379" s="4" t="str">
        <f ca="1">IFERROR(__xludf.DUMMYFUNCTION("""COMPUTED_VALUE"""),"Repositorio flujos  ventas digitales flujos - Plan Ascenso Open Market")</f>
        <v>Repositorio flujos  ventas digitales flujos - Plan Ascenso Open Market</v>
      </c>
      <c r="E379"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9" s="4" t="str">
        <f ca="1">IFERROR(__xludf.DUMMYFUNCTION("""COMPUTED_VALUE"""),"Project")</f>
        <v>Project</v>
      </c>
      <c r="G379" s="4" t="str">
        <f ca="1">IFERROR(__xludf.DUMMYFUNCTION("""COMPUTED_VALUE"""),"Stock")</f>
        <v>Stock</v>
      </c>
      <c r="H379" s="4" t="str">
        <f ca="1">IFERROR(__xludf.DUMMYFUNCTION("""COMPUTED_VALUE"""),"2Q 2023")</f>
        <v>2Q 2023</v>
      </c>
      <c r="I379" s="131" t="str">
        <f ca="1">IFERROR(__xludf.DUMMYFUNCTION("""COMPUTED_VALUE"""),"hugofernando.parra-bbva.com")</f>
        <v>hugofernando.parra-bbva.com</v>
      </c>
      <c r="J379" s="131" t="str">
        <f ca="1">IFERROR(__xludf.DUMMYFUNCTION("""COMPUTED_VALUE"""),"geovany.ramirez-bbva.com")</f>
        <v>geovany.ramirez-bbva.com</v>
      </c>
      <c r="K379" s="131" t="str">
        <f ca="1">IFERROR(__xludf.DUMMYFUNCTION("""COMPUTED_VALUE"""),"juana.vergara-bbva.com")</f>
        <v>juana.vergara-bbva.com</v>
      </c>
      <c r="L379" s="4"/>
      <c r="M379" s="4"/>
      <c r="N379" s="4"/>
      <c r="O379" s="4" t="str">
        <f ca="1">IFERROR(__xludf.DUMMYFUNCTION("""COMPUTED_VALUE"""),"Scrum")</f>
        <v>Scrum</v>
      </c>
      <c r="P379" s="4" t="str">
        <f ca="1">IFERROR(__xludf.DUMMYFUNCTION("""COMPUTED_VALUE"""),"Jarvis")</f>
        <v>Jarvis</v>
      </c>
      <c r="Q379" s="4"/>
      <c r="R379" s="130" t="str">
        <f ca="1">IFERROR(__xludf.DUMMYFUNCTION("""COMPUTED_VALUE"""),"Marketing &amp; Digital Sales")</f>
        <v>Marketing &amp; Digital Sales</v>
      </c>
      <c r="S379" s="130" t="str">
        <f ca="1">IFERROR(__xludf.DUMMYFUNCTION("""COMPUTED_VALUE"""),"Plan Ascenso")</f>
        <v>Plan Ascenso</v>
      </c>
      <c r="T379" s="130" t="str">
        <f ca="1">IFERROR(__xludf.DUMMYFUNCTION("""COMPUTED_VALUE"""),"1. Generación de Ingresos")</f>
        <v>1. Generación de Ingresos</v>
      </c>
      <c r="U379" s="130" t="str">
        <f ca="1">IFERROR(__xludf.DUMMYFUNCTION("""COMPUTED_VALUE"""),"1.2. Proyectos de Consumo")</f>
        <v>1.2. Proyectos de Consumo</v>
      </c>
      <c r="V379" s="4" t="str">
        <f ca="1">IFERROR(__xludf.DUMMYFUNCTION("""COMPUTED_VALUE"""),"Habilitador")</f>
        <v>Habilitador</v>
      </c>
      <c r="W379" s="4">
        <f ca="1">IFERROR(__xludf.DUMMYFUNCTION("""COMPUTED_VALUE"""),1)</f>
        <v>1</v>
      </c>
      <c r="X379" s="4" t="str">
        <f ca="1">IFERROR(__xludf.DUMMYFUNCTION("""COMPUTED_VALUE"""),"01. Open Market &amp; Partnerships")</f>
        <v>01. Open Market &amp; Partnerships</v>
      </c>
      <c r="Y379" s="4" t="str">
        <f ca="1">IFERROR(__xludf.DUMMYFUNCTION("""COMPUTED_VALUE"""),"4.1.1. Own channels")</f>
        <v>4.1.1. Own channels</v>
      </c>
      <c r="Z379" s="132" t="str">
        <f ca="1">IFERROR(__xludf.DUMMYFUNCTION("""COMPUTED_VALUE"""),"489132")</f>
        <v>489132</v>
      </c>
      <c r="AA379" s="4" t="str">
        <f ca="1">IFERROR(__xludf.DUMMYFUNCTION("""COMPUTED_VALUE"""),"Modelo de gestión de datos (LIBRANZA Página Blanca)")</f>
        <v>Modelo de gestión de datos (LIBRANZA Página Blanca)</v>
      </c>
      <c r="AB379" s="4" t="str">
        <f ca="1">IFERROR(__xludf.DUMMYFUNCTION("""COMPUTED_VALUE"""),"Que toda la información de las ventas digitales relacionada por Página Blanca (Web) de Libranza, repose en Datio")</f>
        <v>Que toda la información de las ventas digitales relacionada por Página Blanca (Web) de Libranza, repose en Datio</v>
      </c>
      <c r="AC379" s="4" t="str">
        <f ca="1">IFERROR(__xludf.DUMMYFUNCTION("""COMPUTED_VALUE"""),"3Q 2023")</f>
        <v>3Q 2023</v>
      </c>
      <c r="AD379" s="4"/>
      <c r="AE379" s="4"/>
      <c r="AF379" s="4"/>
      <c r="AG379" s="4"/>
      <c r="AH379" s="4"/>
      <c r="AI379" s="4"/>
      <c r="AJ379" s="4"/>
      <c r="AK379" s="4" t="str">
        <f ca="1">IFERROR(__xludf.DUMMYFUNCTION("""COMPUTED_VALUE"""),"Sin asignar")</f>
        <v>Sin asignar</v>
      </c>
      <c r="AL379" s="4" t="str">
        <f ca="1">IFERROR(__xludf.DUMMYFUNCTION("""COMPUTED_VALUE"""),"Sin asignar")</f>
        <v>Sin asignar</v>
      </c>
      <c r="AM379" s="4"/>
      <c r="AN379" s="4" t="str">
        <f ca="1">IFERROR(__xludf.DUMMYFUNCTION("""COMPUTED_VALUE"""),"Entregable en backlog")</f>
        <v>Entregable en backlog</v>
      </c>
      <c r="AO379" s="4" t="str">
        <f ca="1">IFERROR(__xludf.DUMMYFUNCTION("""COMPUTED_VALUE"""),"Consumo partnerships")</f>
        <v>Consumo partnerships</v>
      </c>
      <c r="AP379" s="4"/>
      <c r="AQ379" s="4"/>
      <c r="AR379" s="4" t="str">
        <f ca="1">IFERROR(__xludf.DUMMYFUNCTION("""COMPUTED_VALUE"""),"SDA aprobada en PPP Q1 2023")</f>
        <v>SDA aprobada en PPP Q1 2023</v>
      </c>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row>
    <row r="380" spans="1:132" x14ac:dyDescent="0.2">
      <c r="A380" s="4">
        <f ca="1">IFERROR(__xludf.DUMMYFUNCTION("""COMPUTED_VALUE"""),380)</f>
        <v>380</v>
      </c>
      <c r="B380" s="4">
        <f ca="1">IFERROR(__xludf.DUMMYFUNCTION("""COMPUTED_VALUE"""),355)</f>
        <v>355</v>
      </c>
      <c r="C380" s="4" t="str">
        <f ca="1">IFERROR(__xludf.DUMMYFUNCTION("""COMPUTED_VALUE"""),"SDATOOL-36048")</f>
        <v>SDATOOL-36048</v>
      </c>
      <c r="D380" s="4" t="str">
        <f ca="1">IFERROR(__xludf.DUMMYFUNCTION("""COMPUTED_VALUE"""),"Repositorio flujos  ventas digitales flujos - Plan Ascenso Open Market")</f>
        <v>Repositorio flujos  ventas digitales flujos - Plan Ascenso Open Market</v>
      </c>
      <c r="E380"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80" s="4" t="str">
        <f ca="1">IFERROR(__xludf.DUMMYFUNCTION("""COMPUTED_VALUE"""),"Project")</f>
        <v>Project</v>
      </c>
      <c r="G380" s="4" t="str">
        <f ca="1">IFERROR(__xludf.DUMMYFUNCTION("""COMPUTED_VALUE"""),"Stock")</f>
        <v>Stock</v>
      </c>
      <c r="H380" s="4" t="str">
        <f ca="1">IFERROR(__xludf.DUMMYFUNCTION("""COMPUTED_VALUE"""),"2Q 2023")</f>
        <v>2Q 2023</v>
      </c>
      <c r="I380" s="131" t="str">
        <f ca="1">IFERROR(__xludf.DUMMYFUNCTION("""COMPUTED_VALUE"""),"hugofernando.parra-bbva.com")</f>
        <v>hugofernando.parra-bbva.com</v>
      </c>
      <c r="J380" s="131" t="str">
        <f ca="1">IFERROR(__xludf.DUMMYFUNCTION("""COMPUTED_VALUE"""),"geovany.ramirez-bbva.com")</f>
        <v>geovany.ramirez-bbva.com</v>
      </c>
      <c r="K380" s="131" t="str">
        <f ca="1">IFERROR(__xludf.DUMMYFUNCTION("""COMPUTED_VALUE"""),"juana.vergara-bbva.com")</f>
        <v>juana.vergara-bbva.com</v>
      </c>
      <c r="L380" s="4"/>
      <c r="M380" s="4"/>
      <c r="N380" s="4"/>
      <c r="O380" s="4" t="str">
        <f ca="1">IFERROR(__xludf.DUMMYFUNCTION("""COMPUTED_VALUE"""),"Scrum")</f>
        <v>Scrum</v>
      </c>
      <c r="P380" s="4" t="str">
        <f ca="1">IFERROR(__xludf.DUMMYFUNCTION("""COMPUTED_VALUE"""),"Jarvis")</f>
        <v>Jarvis</v>
      </c>
      <c r="Q380" s="4"/>
      <c r="R380" s="130" t="str">
        <f ca="1">IFERROR(__xludf.DUMMYFUNCTION("""COMPUTED_VALUE"""),"Marketing &amp; Digital Sales")</f>
        <v>Marketing &amp; Digital Sales</v>
      </c>
      <c r="S380" s="130" t="str">
        <f ca="1">IFERROR(__xludf.DUMMYFUNCTION("""COMPUTED_VALUE"""),"Plan Ascenso")</f>
        <v>Plan Ascenso</v>
      </c>
      <c r="T380" s="130" t="str">
        <f ca="1">IFERROR(__xludf.DUMMYFUNCTION("""COMPUTED_VALUE"""),"1. Generación de Ingresos")</f>
        <v>1. Generación de Ingresos</v>
      </c>
      <c r="U380" s="130" t="str">
        <f ca="1">IFERROR(__xludf.DUMMYFUNCTION("""COMPUTED_VALUE"""),"1.2. Proyectos de Consumo")</f>
        <v>1.2. Proyectos de Consumo</v>
      </c>
      <c r="V380" s="4" t="str">
        <f ca="1">IFERROR(__xludf.DUMMYFUNCTION("""COMPUTED_VALUE"""),"Habilitador")</f>
        <v>Habilitador</v>
      </c>
      <c r="W380" s="4">
        <f ca="1">IFERROR(__xludf.DUMMYFUNCTION("""COMPUTED_VALUE"""),1)</f>
        <v>1</v>
      </c>
      <c r="X380" s="4" t="str">
        <f ca="1">IFERROR(__xludf.DUMMYFUNCTION("""COMPUTED_VALUE"""),"01. Open Market &amp; Partnerships")</f>
        <v>01. Open Market &amp; Partnerships</v>
      </c>
      <c r="Y380" s="4" t="str">
        <f ca="1">IFERROR(__xludf.DUMMYFUNCTION("""COMPUTED_VALUE"""),"4.1.1. Own channels")</f>
        <v>4.1.1. Own channels</v>
      </c>
      <c r="Z380" s="132" t="str">
        <f ca="1">IFERROR(__xludf.DUMMYFUNCTION("""COMPUTED_VALUE"""),"489134")</f>
        <v>489134</v>
      </c>
      <c r="AA380" s="4" t="str">
        <f ca="1">IFERROR(__xludf.DUMMYFUNCTION("""COMPUTED_VALUE"""),"Modelo de gestión de datos (VEHICULOS Página Blanca)")</f>
        <v>Modelo de gestión de datos (VEHICULOS Página Blanca)</v>
      </c>
      <c r="AB380" s="4" t="str">
        <f ca="1">IFERROR(__xludf.DUMMYFUNCTION("""COMPUTED_VALUE"""),"Que toda la información de las ventas digitales relacionada por Página Blanca (Web) de Vehículos, repose en Datio.")</f>
        <v>Que toda la información de las ventas digitales relacionada por Página Blanca (Web) de Vehículos, repose en Datio.</v>
      </c>
      <c r="AC380" s="4" t="str">
        <f ca="1">IFERROR(__xludf.DUMMYFUNCTION("""COMPUTED_VALUE"""),"3Q 2023")</f>
        <v>3Q 2023</v>
      </c>
      <c r="AD380" s="4"/>
      <c r="AE380" s="4"/>
      <c r="AF380" s="4"/>
      <c r="AG380" s="4"/>
      <c r="AH380" s="4"/>
      <c r="AI380" s="4"/>
      <c r="AJ380" s="4"/>
      <c r="AK380" s="4" t="str">
        <f ca="1">IFERROR(__xludf.DUMMYFUNCTION("""COMPUTED_VALUE"""),"Sin asignar")</f>
        <v>Sin asignar</v>
      </c>
      <c r="AL380" s="4" t="str">
        <f ca="1">IFERROR(__xludf.DUMMYFUNCTION("""COMPUTED_VALUE"""),"Sin asignar")</f>
        <v>Sin asignar</v>
      </c>
      <c r="AM380" s="4"/>
      <c r="AN380" s="4" t="str">
        <f ca="1">IFERROR(__xludf.DUMMYFUNCTION("""COMPUTED_VALUE"""),"Entregable en backlog")</f>
        <v>Entregable en backlog</v>
      </c>
      <c r="AO380" s="4" t="str">
        <f ca="1">IFERROR(__xludf.DUMMYFUNCTION("""COMPUTED_VALUE"""),"Consumo partnerships")</f>
        <v>Consumo partnerships</v>
      </c>
      <c r="AP380" s="4"/>
      <c r="AQ380" s="4"/>
      <c r="AR380" s="4" t="str">
        <f ca="1">IFERROR(__xludf.DUMMYFUNCTION("""COMPUTED_VALUE"""),"SDA aprobada en PPP Q1 2023")</f>
        <v>SDA aprobada en PPP Q1 2023</v>
      </c>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row>
    <row r="381" spans="1:132" x14ac:dyDescent="0.2">
      <c r="A381" s="4">
        <f ca="1">IFERROR(__xludf.DUMMYFUNCTION("""COMPUTED_VALUE"""),381)</f>
        <v>381</v>
      </c>
      <c r="B381" s="4">
        <f ca="1">IFERROR(__xludf.DUMMYFUNCTION("""COMPUTED_VALUE"""),356)</f>
        <v>356</v>
      </c>
      <c r="C381" s="4" t="str">
        <f ca="1">IFERROR(__xludf.DUMMYFUNCTION("""COMPUTED_VALUE"""),"SDATOOL-36048")</f>
        <v>SDATOOL-36048</v>
      </c>
      <c r="D381" s="4" t="str">
        <f ca="1">IFERROR(__xludf.DUMMYFUNCTION("""COMPUTED_VALUE"""),"Repositorio flujos  ventas digitales flujos - Plan Ascenso Open Market")</f>
        <v>Repositorio flujos  ventas digitales flujos - Plan Ascenso Open Market</v>
      </c>
      <c r="E381"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81" s="4" t="str">
        <f ca="1">IFERROR(__xludf.DUMMYFUNCTION("""COMPUTED_VALUE"""),"Project")</f>
        <v>Project</v>
      </c>
      <c r="G381" s="4" t="str">
        <f ca="1">IFERROR(__xludf.DUMMYFUNCTION("""COMPUTED_VALUE"""),"Stock")</f>
        <v>Stock</v>
      </c>
      <c r="H381" s="4" t="str">
        <f ca="1">IFERROR(__xludf.DUMMYFUNCTION("""COMPUTED_VALUE"""),"2Q 2023")</f>
        <v>2Q 2023</v>
      </c>
      <c r="I381" s="131" t="str">
        <f ca="1">IFERROR(__xludf.DUMMYFUNCTION("""COMPUTED_VALUE"""),"hugofernando.parra-bbva.com")</f>
        <v>hugofernando.parra-bbva.com</v>
      </c>
      <c r="J381" s="131" t="str">
        <f ca="1">IFERROR(__xludf.DUMMYFUNCTION("""COMPUTED_VALUE"""),"geovany.ramirez-bbva.com")</f>
        <v>geovany.ramirez-bbva.com</v>
      </c>
      <c r="K381" s="131" t="str">
        <f ca="1">IFERROR(__xludf.DUMMYFUNCTION("""COMPUTED_VALUE"""),"juana.vergara-bbva.com")</f>
        <v>juana.vergara-bbva.com</v>
      </c>
      <c r="L381" s="4"/>
      <c r="M381" s="4"/>
      <c r="N381" s="4"/>
      <c r="O381" s="4" t="str">
        <f ca="1">IFERROR(__xludf.DUMMYFUNCTION("""COMPUTED_VALUE"""),"Scrum")</f>
        <v>Scrum</v>
      </c>
      <c r="P381" s="4" t="str">
        <f ca="1">IFERROR(__xludf.DUMMYFUNCTION("""COMPUTED_VALUE"""),"Jarvis")</f>
        <v>Jarvis</v>
      </c>
      <c r="Q381" s="4"/>
      <c r="R381" s="130" t="str">
        <f ca="1">IFERROR(__xludf.DUMMYFUNCTION("""COMPUTED_VALUE"""),"Marketing &amp; Digital Sales")</f>
        <v>Marketing &amp; Digital Sales</v>
      </c>
      <c r="S381" s="130" t="str">
        <f ca="1">IFERROR(__xludf.DUMMYFUNCTION("""COMPUTED_VALUE"""),"Plan Ascenso")</f>
        <v>Plan Ascenso</v>
      </c>
      <c r="T381" s="130" t="str">
        <f ca="1">IFERROR(__xludf.DUMMYFUNCTION("""COMPUTED_VALUE"""),"1. Generación de Ingresos")</f>
        <v>1. Generación de Ingresos</v>
      </c>
      <c r="U381" s="130" t="str">
        <f ca="1">IFERROR(__xludf.DUMMYFUNCTION("""COMPUTED_VALUE"""),"1.2. Proyectos de Consumo")</f>
        <v>1.2. Proyectos de Consumo</v>
      </c>
      <c r="V381" s="4" t="str">
        <f ca="1">IFERROR(__xludf.DUMMYFUNCTION("""COMPUTED_VALUE"""),"Habilitador")</f>
        <v>Habilitador</v>
      </c>
      <c r="W381" s="4">
        <f ca="1">IFERROR(__xludf.DUMMYFUNCTION("""COMPUTED_VALUE"""),1)</f>
        <v>1</v>
      </c>
      <c r="X381" s="4" t="str">
        <f ca="1">IFERROR(__xludf.DUMMYFUNCTION("""COMPUTED_VALUE"""),"01. Open Market &amp; Partnerships")</f>
        <v>01. Open Market &amp; Partnerships</v>
      </c>
      <c r="Y381" s="4" t="str">
        <f ca="1">IFERROR(__xludf.DUMMYFUNCTION("""COMPUTED_VALUE"""),"4.1.1. Own channels")</f>
        <v>4.1.1. Own channels</v>
      </c>
      <c r="Z381" s="132" t="str">
        <f ca="1">IFERROR(__xludf.DUMMYFUNCTION("""COMPUTED_VALUE"""),"489136")</f>
        <v>489136</v>
      </c>
      <c r="AA381" s="4" t="str">
        <f ca="1">IFERROR(__xludf.DUMMYFUNCTION("""COMPUTED_VALUE"""),"Modelo de gestión de datos (VIVIENDA Página Blanca)")</f>
        <v>Modelo de gestión de datos (VIVIENDA Página Blanca)</v>
      </c>
      <c r="AB381" s="4" t="str">
        <f ca="1">IFERROR(__xludf.DUMMYFUNCTION("""COMPUTED_VALUE"""),"Que toda la información de las ventas digitales relacionada por Página Blanca (Web) de Vivienda, repose en Datio.")</f>
        <v>Que toda la información de las ventas digitales relacionada por Página Blanca (Web) de Vivienda, repose en Datio.</v>
      </c>
      <c r="AC381" s="4" t="str">
        <f ca="1">IFERROR(__xludf.DUMMYFUNCTION("""COMPUTED_VALUE"""),"2Q 2023")</f>
        <v>2Q 2023</v>
      </c>
      <c r="AD381" s="4"/>
      <c r="AE381" s="4"/>
      <c r="AF381" s="4"/>
      <c r="AG381" s="4"/>
      <c r="AH381" s="4"/>
      <c r="AI381" s="4"/>
      <c r="AJ381" s="4"/>
      <c r="AK381" s="131" t="str">
        <f ca="1">IFERROR(__xludf.DUMMYFUNCTION("""COMPUTED_VALUE"""),"COLWSCANAL-14125")</f>
        <v>COLWSCANAL-14125</v>
      </c>
      <c r="AL381" s="4" t="str">
        <f ca="1">IFERROR(__xludf.DUMMYFUNCTION("""COMPUTED_VALUE"""),"Analysing")</f>
        <v>Analysing</v>
      </c>
      <c r="AM381" s="4"/>
      <c r="AN381" s="4" t="str">
        <f ca="1">IFERROR(__xludf.DUMMYFUNCTION("""COMPUTED_VALUE"""),"Entregable en backlog")</f>
        <v>Entregable en backlog</v>
      </c>
      <c r="AO381" s="4" t="str">
        <f ca="1">IFERROR(__xludf.DUMMYFUNCTION("""COMPUTED_VALUE"""),"Consumo partnerships")</f>
        <v>Consumo partnerships</v>
      </c>
      <c r="AP381" s="4"/>
      <c r="AQ381" s="4"/>
      <c r="AR381" s="4" t="str">
        <f ca="1">IFERROR(__xludf.DUMMYFUNCTION("""COMPUTED_VALUE"""),"SDA aprobada en PPP Q1 2023")</f>
        <v>SDA aprobada en PPP Q1 2023</v>
      </c>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row>
    <row r="382" spans="1:132" x14ac:dyDescent="0.2">
      <c r="A382" s="4">
        <f ca="1">IFERROR(__xludf.DUMMYFUNCTION("""COMPUTED_VALUE"""),382)</f>
        <v>382</v>
      </c>
      <c r="B382" s="4">
        <f ca="1">IFERROR(__xludf.DUMMYFUNCTION("""COMPUTED_VALUE"""),357)</f>
        <v>357</v>
      </c>
      <c r="C382" s="4" t="str">
        <f ca="1">IFERROR(__xludf.DUMMYFUNCTION("""COMPUTED_VALUE"""),"SDATOOL-41333")</f>
        <v>SDATOOL-41333</v>
      </c>
      <c r="D382" s="4" t="str">
        <f ca="1">IFERROR(__xludf.DUMMYFUNCTION("""COMPUTED_VALUE"""),"Meta Conversion API")</f>
        <v>Meta Conversion API</v>
      </c>
      <c r="E382" s="4" t="str">
        <f ca="1">IFERROR(__xludf.DUMMYFUNCTION("""COMPUTED_VALUE"""),"Centralizar las conversiones exitosas realizadas por la la plataformas e META (Facebook intagram etc) en repositorios propios del banco para desligarse del uso de las cookies de terceros a que estan van a ser deprecadas. 
Conversion API Es una herramient"&amp;"a que permite a las marcas compartir datos, tanto de eventos online como offline, directamente desde su servidor a Facebook. De esta manera, los anunciantes pueden utilizar la información y los datos que controlan y registran para optimizar las campañas y"&amp;" lograr los resultados que desean.
Al utilizar la API de Conversiones, las marcas pasan a tener una fuente de datos confiable - y que respeta las opciones de privacidad de los usuarios de Facebook.")</f>
        <v>Centralizar las conversiones exitosas realizadas por la la plataformas e META (Facebook intagram etc) en repositorios propios del banco para desligarse del uso de las cookies de terceros a que estan van a ser deprecadas. 
Conversion API Es una herramienta que permite a las marcas compartir datos, tanto de eventos online como offline, directamente desde su servidor a Facebook. De esta manera, los anunciantes pueden utilizar la información y los datos que controlan y registran para optimizar las campañas y lograr los resultados que desean.
Al utilizar la API de Conversiones, las marcas pasan a tener una fuente de datos confiable - y que respeta las opciones de privacidad de los usuarios de Facebook.</v>
      </c>
      <c r="F382" s="4" t="str">
        <f ca="1">IFERROR(__xludf.DUMMYFUNCTION("""COMPUTED_VALUE"""),"Initiative")</f>
        <v>Initiative</v>
      </c>
      <c r="G382" s="4" t="str">
        <f ca="1">IFERROR(__xludf.DUMMYFUNCTION("""COMPUTED_VALUE"""),"On hold")</f>
        <v>On hold</v>
      </c>
      <c r="H382" s="4" t="str">
        <f ca="1">IFERROR(__xludf.DUMMYFUNCTION("""COMPUTED_VALUE"""),"4Q 2023")</f>
        <v>4Q 2023</v>
      </c>
      <c r="I382" s="131" t="str">
        <f ca="1">IFERROR(__xludf.DUMMYFUNCTION("""COMPUTED_VALUE"""),"hugofernando.parra-bbva.com")</f>
        <v>hugofernando.parra-bbva.com</v>
      </c>
      <c r="J382" s="131" t="str">
        <f ca="1">IFERROR(__xludf.DUMMYFUNCTION("""COMPUTED_VALUE"""),"geovany.ramirez-bbva.com")</f>
        <v>geovany.ramirez-bbva.com</v>
      </c>
      <c r="K382" s="131" t="str">
        <f ca="1">IFERROR(__xludf.DUMMYFUNCTION("""COMPUTED_VALUE"""),"santiago.campuzano-bbva.com")</f>
        <v>santiago.campuzano-bbva.com</v>
      </c>
      <c r="L382" s="130">
        <f ca="1">IFERROR(__xludf.DUMMYFUNCTION("""COMPUTED_VALUE"""),0.1)</f>
        <v>0.1</v>
      </c>
      <c r="M382" s="130">
        <f ca="1">IFERROR(__xludf.DUMMYFUNCTION("""COMPUTED_VALUE"""),0)</f>
        <v>0</v>
      </c>
      <c r="N382" s="130">
        <f ca="1">IFERROR(__xludf.DUMMYFUNCTION("""COMPUTED_VALUE"""),0)</f>
        <v>0</v>
      </c>
      <c r="O382" s="4" t="str">
        <f ca="1">IFERROR(__xludf.DUMMYFUNCTION("""COMPUTED_VALUE"""),"Waterfall")</f>
        <v>Waterfall</v>
      </c>
      <c r="P382" s="4" t="str">
        <f ca="1">IFERROR(__xludf.DUMMYFUNCTION("""COMPUTED_VALUE"""),"Tradicional")</f>
        <v>Tradicional</v>
      </c>
      <c r="Q382" s="130">
        <f ca="1">IFERROR(__xludf.DUMMYFUNCTION("""COMPUTED_VALUE"""),0)</f>
        <v>0</v>
      </c>
      <c r="R382" s="130" t="str">
        <f ca="1">IFERROR(__xludf.DUMMYFUNCTION("""COMPUTED_VALUE"""),"Marketing &amp; Digital Sales")</f>
        <v>Marketing &amp; Digital Sales</v>
      </c>
      <c r="S382" s="130" t="str">
        <f ca="1">IFERROR(__xludf.DUMMYFUNCTION("""COMPUTED_VALUE"""),"Otros")</f>
        <v>Otros</v>
      </c>
      <c r="T382" s="130" t="str">
        <f ca="1">IFERROR(__xludf.DUMMYFUNCTION("""COMPUTED_VALUE"""),"1. Generación de Ingresos")</f>
        <v>1. Generación de Ingresos</v>
      </c>
      <c r="U382" s="130" t="str">
        <f ca="1">IFERROR(__xludf.DUMMYFUNCTION("""COMPUTED_VALUE"""),"1.5. Otros de Proyectos de Ingresos")</f>
        <v>1.5. Otros de Proyectos de Ingresos</v>
      </c>
      <c r="V382" s="4" t="str">
        <f ca="1">IFERROR(__xludf.DUMMYFUNCTION("""COMPUTED_VALUE"""),"Digital Sales")</f>
        <v>Digital Sales</v>
      </c>
      <c r="W382" s="4">
        <f ca="1">IFERROR(__xludf.DUMMYFUNCTION("""COMPUTED_VALUE"""),2)</f>
        <v>2</v>
      </c>
      <c r="X382" s="4" t="str">
        <f ca="1">IFERROR(__xludf.DUMMYFUNCTION("""COMPUTED_VALUE"""),"10. Otros")</f>
        <v>10. Otros</v>
      </c>
      <c r="Y382" s="130" t="str">
        <f ca="1">IFERROR(__xludf.DUMMYFUNCTION("""COMPUTED_VALUE"""),"Otros")</f>
        <v>Otros</v>
      </c>
      <c r="Z382" s="132" t="str">
        <f ca="1">IFERROR(__xludf.DUMMYFUNCTION("""COMPUTED_VALUE"""),"625915")</f>
        <v>625915</v>
      </c>
      <c r="AA382" s="4" t="str">
        <f ca="1">IFERROR(__xludf.DUMMYFUNCTION("""COMPUTED_VALUE"""),"Iniciativa en Backlog, en espera de priorización")</f>
        <v>Iniciativa en Backlog, en espera de priorización</v>
      </c>
      <c r="AB382" s="4" t="str">
        <f ca="1">IFERROR(__xludf.DUMMYFUNCTION("""COMPUTED_VALUE"""),"Iniciativa en Backlog, en espera de priorización")</f>
        <v>Iniciativa en Backlog, en espera de priorización</v>
      </c>
      <c r="AC382" s="4" t="str">
        <f ca="1">IFERROR(__xludf.DUMMYFUNCTION("""COMPUTED_VALUE"""),"4Q 2023")</f>
        <v>4Q 2023</v>
      </c>
      <c r="AD382" s="4"/>
      <c r="AE382" s="4"/>
      <c r="AF382" s="4"/>
      <c r="AG382" s="4"/>
      <c r="AH382" s="4"/>
      <c r="AI382" s="4"/>
      <c r="AJ382" s="4"/>
      <c r="AK382" s="4" t="str">
        <f ca="1">IFERROR(__xludf.DUMMYFUNCTION("""COMPUTED_VALUE"""),"Sin asignar")</f>
        <v>Sin asignar</v>
      </c>
      <c r="AL382" s="4" t="str">
        <f ca="1">IFERROR(__xludf.DUMMYFUNCTION("""COMPUTED_VALUE"""),"Sin asignar")</f>
        <v>Sin asignar</v>
      </c>
      <c r="AM382" s="4"/>
      <c r="AN382" s="4" t="str">
        <f ca="1">IFERROR(__xludf.DUMMYFUNCTION("""COMPUTED_VALUE"""),"Iniciativa en Discovery")</f>
        <v>Iniciativa en Discovery</v>
      </c>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133">
        <f ca="1">IFERROR(__xludf.DUMMYFUNCTION("""COMPUTED_VALUE"""),0)</f>
        <v>0</v>
      </c>
      <c r="DV382" s="133">
        <f ca="1">IFERROR(__xludf.DUMMYFUNCTION("""COMPUTED_VALUE"""),0)</f>
        <v>0</v>
      </c>
      <c r="DW382" s="133">
        <f ca="1">IFERROR(__xludf.DUMMYFUNCTION("""COMPUTED_VALUE"""),0)</f>
        <v>0</v>
      </c>
      <c r="DX382" s="133">
        <f ca="1">IFERROR(__xludf.DUMMYFUNCTION("""COMPUTED_VALUE"""),0)</f>
        <v>0</v>
      </c>
      <c r="DY382" s="133">
        <f ca="1">IFERROR(__xludf.DUMMYFUNCTION("""COMPUTED_VALUE"""),0)</f>
        <v>0</v>
      </c>
      <c r="DZ382" s="133">
        <f ca="1">IFERROR(__xludf.DUMMYFUNCTION("""COMPUTED_VALUE"""),0)</f>
        <v>0</v>
      </c>
      <c r="EA382" s="4"/>
      <c r="EB382" s="4"/>
    </row>
    <row r="383" spans="1:132" x14ac:dyDescent="0.2">
      <c r="A383" s="4">
        <f ca="1">IFERROR(__xludf.DUMMYFUNCTION("""COMPUTED_VALUE"""),383)</f>
        <v>383</v>
      </c>
      <c r="B383" s="4">
        <f ca="1">IFERROR(__xludf.DUMMYFUNCTION("""COMPUTED_VALUE"""),358)</f>
        <v>358</v>
      </c>
      <c r="C383" s="4" t="str">
        <f ca="1">IFERROR(__xludf.DUMMYFUNCTION("""COMPUTED_VALUE"""),"SDATOOL-41334")</f>
        <v>SDATOOL-41334</v>
      </c>
      <c r="D383" s="4" t="str">
        <f ca="1">IFERROR(__xludf.DUMMYFUNCTION("""COMPUTED_VALUE"""),"Google enhanced conversion")</f>
        <v>Google enhanced conversion</v>
      </c>
      <c r="E383" s="4" t="str">
        <f ca="1">IFERROR(__xludf.DUMMYFUNCTION("""COMPUTED_VALUE"""),"Las conversiones mejoradas son una función que puede mejorar la precisión de la medición de conversión y desbloquear ofertas más potentes. Complementa las etiquetas de conversión existentes mediante el envío de datos de conversión propios cifrados desde e"&amp;"l sitio web a Google de una manera segura para la privacidad.")</f>
        <v>Las conversiones mejoradas son una función que puede mejorar la precisión de la medición de conversión y desbloquear ofertas más potentes. Complementa las etiquetas de conversión existentes mediante el envío de datos de conversión propios cifrados desde el sitio web a Google de una manera segura para la privacidad.</v>
      </c>
      <c r="F383" s="4" t="str">
        <f ca="1">IFERROR(__xludf.DUMMYFUNCTION("""COMPUTED_VALUE"""),"Initiative")</f>
        <v>Initiative</v>
      </c>
      <c r="G383" s="4" t="str">
        <f ca="1">IFERROR(__xludf.DUMMYFUNCTION("""COMPUTED_VALUE"""),"On hold")</f>
        <v>On hold</v>
      </c>
      <c r="H383" s="4" t="str">
        <f ca="1">IFERROR(__xludf.DUMMYFUNCTION("""COMPUTED_VALUE"""),"4Q 2023")</f>
        <v>4Q 2023</v>
      </c>
      <c r="I383" s="131" t="str">
        <f ca="1">IFERROR(__xludf.DUMMYFUNCTION("""COMPUTED_VALUE"""),"hugofernando.parra-bbva.com")</f>
        <v>hugofernando.parra-bbva.com</v>
      </c>
      <c r="J383" s="131" t="str">
        <f ca="1">IFERROR(__xludf.DUMMYFUNCTION("""COMPUTED_VALUE"""),"geovany.ramirez-bbva.com")</f>
        <v>geovany.ramirez-bbva.com</v>
      </c>
      <c r="K383" s="131" t="str">
        <f ca="1">IFERROR(__xludf.DUMMYFUNCTION("""COMPUTED_VALUE"""),"santiago.campuzano-bbva.com")</f>
        <v>santiago.campuzano-bbva.com</v>
      </c>
      <c r="L383" s="130">
        <f ca="1">IFERROR(__xludf.DUMMYFUNCTION("""COMPUTED_VALUE"""),0.1)</f>
        <v>0.1</v>
      </c>
      <c r="M383" s="130">
        <f ca="1">IFERROR(__xludf.DUMMYFUNCTION("""COMPUTED_VALUE"""),0)</f>
        <v>0</v>
      </c>
      <c r="N383" s="130">
        <f ca="1">IFERROR(__xludf.DUMMYFUNCTION("""COMPUTED_VALUE"""),0)</f>
        <v>0</v>
      </c>
      <c r="O383" s="4" t="str">
        <f ca="1">IFERROR(__xludf.DUMMYFUNCTION("""COMPUTED_VALUE"""),"Waterfall")</f>
        <v>Waterfall</v>
      </c>
      <c r="P383" s="4" t="str">
        <f ca="1">IFERROR(__xludf.DUMMYFUNCTION("""COMPUTED_VALUE"""),"Tradicional")</f>
        <v>Tradicional</v>
      </c>
      <c r="Q383" s="130">
        <f ca="1">IFERROR(__xludf.DUMMYFUNCTION("""COMPUTED_VALUE"""),0)</f>
        <v>0</v>
      </c>
      <c r="R383" s="130" t="str">
        <f ca="1">IFERROR(__xludf.DUMMYFUNCTION("""COMPUTED_VALUE"""),"Marketing &amp; Digital Sales")</f>
        <v>Marketing &amp; Digital Sales</v>
      </c>
      <c r="S383" s="130" t="str">
        <f ca="1">IFERROR(__xludf.DUMMYFUNCTION("""COMPUTED_VALUE"""),"Otros")</f>
        <v>Otros</v>
      </c>
      <c r="T383" s="130" t="str">
        <f ca="1">IFERROR(__xludf.DUMMYFUNCTION("""COMPUTED_VALUE"""),"1. Generación de Ingresos")</f>
        <v>1. Generación de Ingresos</v>
      </c>
      <c r="U383" s="130" t="str">
        <f ca="1">IFERROR(__xludf.DUMMYFUNCTION("""COMPUTED_VALUE"""),"1.5. Otros de Proyectos de Ingresos")</f>
        <v>1.5. Otros de Proyectos de Ingresos</v>
      </c>
      <c r="V383" s="4" t="str">
        <f ca="1">IFERROR(__xludf.DUMMYFUNCTION("""COMPUTED_VALUE"""),"Digital Sales")</f>
        <v>Digital Sales</v>
      </c>
      <c r="W383" s="4">
        <f ca="1">IFERROR(__xludf.DUMMYFUNCTION("""COMPUTED_VALUE"""),2)</f>
        <v>2</v>
      </c>
      <c r="X383" s="4" t="str">
        <f ca="1">IFERROR(__xludf.DUMMYFUNCTION("""COMPUTED_VALUE"""),"10. Otros")</f>
        <v>10. Otros</v>
      </c>
      <c r="Y383" s="130" t="str">
        <f ca="1">IFERROR(__xludf.DUMMYFUNCTION("""COMPUTED_VALUE"""),"Otros")</f>
        <v>Otros</v>
      </c>
      <c r="Z383" s="132" t="str">
        <f ca="1">IFERROR(__xludf.DUMMYFUNCTION("""COMPUTED_VALUE"""),"625916")</f>
        <v>625916</v>
      </c>
      <c r="AA383" s="4" t="str">
        <f ca="1">IFERROR(__xludf.DUMMYFUNCTION("""COMPUTED_VALUE"""),"Iniciativa en Backlog, en espera de priorización")</f>
        <v>Iniciativa en Backlog, en espera de priorización</v>
      </c>
      <c r="AB383" s="4" t="str">
        <f ca="1">IFERROR(__xludf.DUMMYFUNCTION("""COMPUTED_VALUE"""),"Iniciativa en Backlog, en espera de priorización")</f>
        <v>Iniciativa en Backlog, en espera de priorización</v>
      </c>
      <c r="AC383" s="4" t="str">
        <f ca="1">IFERROR(__xludf.DUMMYFUNCTION("""COMPUTED_VALUE"""),"4Q 2023")</f>
        <v>4Q 2023</v>
      </c>
      <c r="AD383" s="4"/>
      <c r="AE383" s="4"/>
      <c r="AF383" s="4"/>
      <c r="AG383" s="4"/>
      <c r="AH383" s="4"/>
      <c r="AI383" s="4"/>
      <c r="AJ383" s="4"/>
      <c r="AK383" s="4" t="str">
        <f ca="1">IFERROR(__xludf.DUMMYFUNCTION("""COMPUTED_VALUE"""),"Sin asignar")</f>
        <v>Sin asignar</v>
      </c>
      <c r="AL383" s="4" t="str">
        <f ca="1">IFERROR(__xludf.DUMMYFUNCTION("""COMPUTED_VALUE"""),"Sin asignar")</f>
        <v>Sin asignar</v>
      </c>
      <c r="AM383" s="4"/>
      <c r="AN383" s="4" t="str">
        <f ca="1">IFERROR(__xludf.DUMMYFUNCTION("""COMPUTED_VALUE"""),"Iniciativa en Discovery")</f>
        <v>Iniciativa en Discovery</v>
      </c>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133">
        <f ca="1">IFERROR(__xludf.DUMMYFUNCTION("""COMPUTED_VALUE"""),0)</f>
        <v>0</v>
      </c>
      <c r="DV383" s="133">
        <f ca="1">IFERROR(__xludf.DUMMYFUNCTION("""COMPUTED_VALUE"""),0)</f>
        <v>0</v>
      </c>
      <c r="DW383" s="133">
        <f ca="1">IFERROR(__xludf.DUMMYFUNCTION("""COMPUTED_VALUE"""),0)</f>
        <v>0</v>
      </c>
      <c r="DX383" s="133">
        <f ca="1">IFERROR(__xludf.DUMMYFUNCTION("""COMPUTED_VALUE"""),0)</f>
        <v>0</v>
      </c>
      <c r="DY383" s="133">
        <f ca="1">IFERROR(__xludf.DUMMYFUNCTION("""COMPUTED_VALUE"""),0)</f>
        <v>0</v>
      </c>
      <c r="DZ383" s="133">
        <f ca="1">IFERROR(__xludf.DUMMYFUNCTION("""COMPUTED_VALUE"""),0)</f>
        <v>0</v>
      </c>
      <c r="EA383" s="4"/>
      <c r="EB383" s="4"/>
    </row>
    <row r="384" spans="1:132" x14ac:dyDescent="0.2">
      <c r="A384" s="4">
        <f ca="1">IFERROR(__xludf.DUMMYFUNCTION("""COMPUTED_VALUE"""),384)</f>
        <v>384</v>
      </c>
      <c r="B384" s="4">
        <f ca="1">IFERROR(__xludf.DUMMYFUNCTION("""COMPUTED_VALUE"""),359)</f>
        <v>359</v>
      </c>
      <c r="C384" s="4" t="str">
        <f ca="1">IFERROR(__xludf.DUMMYFUNCTION("""COMPUTED_VALUE"""),"SDATOOL-39197")</f>
        <v>SDATOOL-39197</v>
      </c>
      <c r="D384" s="4" t="str">
        <f ca="1">IFERROR(__xludf.DUMMYFUNCTION("""COMPUTED_VALUE"""),"Tealeaf SaaS")</f>
        <v>Tealeaf SaaS</v>
      </c>
      <c r="E384" s="4" t="str">
        <f ca="1">IFERROR(__xludf.DUMMYFUNCTION("""COMPUTED_VALUE"""),"Actualización de la plataforma Tealeaf actual (OnPremises), hacia la optimizada en Cloud como (SaaS).")</f>
        <v>Actualización de la plataforma Tealeaf actual (OnPremises), hacia la optimizada en Cloud como (SaaS).</v>
      </c>
      <c r="F384" s="4" t="str">
        <f ca="1">IFERROR(__xludf.DUMMYFUNCTION("""COMPUTED_VALUE"""),"Project")</f>
        <v>Project</v>
      </c>
      <c r="G384" s="4" t="str">
        <f ca="1">IFERROR(__xludf.DUMMYFUNCTION("""COMPUTED_VALUE"""),"Stock")</f>
        <v>Stock</v>
      </c>
      <c r="H384" s="4" t="str">
        <f ca="1">IFERROR(__xludf.DUMMYFUNCTION("""COMPUTED_VALUE"""),"4Q 2023")</f>
        <v>4Q 2023</v>
      </c>
      <c r="I384" s="131" t="str">
        <f ca="1">IFERROR(__xludf.DUMMYFUNCTION("""COMPUTED_VALUE"""),"hugofernando.parra-bbva.com")</f>
        <v>hugofernando.parra-bbva.com</v>
      </c>
      <c r="J384" s="131" t="str">
        <f ca="1">IFERROR(__xludf.DUMMYFUNCTION("""COMPUTED_VALUE"""),"geovany.ramirez-bbva.com")</f>
        <v>geovany.ramirez-bbva.com</v>
      </c>
      <c r="K384" s="131" t="str">
        <f ca="1">IFERROR(__xludf.DUMMYFUNCTION("""COMPUTED_VALUE"""),"juana.vergara-bbva.com")</f>
        <v>juana.vergara-bbva.com</v>
      </c>
      <c r="L384" s="130">
        <f ca="1">IFERROR(__xludf.DUMMYFUNCTION("""COMPUTED_VALUE"""),0.1)</f>
        <v>0.1</v>
      </c>
      <c r="M384" s="130">
        <f ca="1">IFERROR(__xludf.DUMMYFUNCTION("""COMPUTED_VALUE"""),1)</f>
        <v>1</v>
      </c>
      <c r="N384" s="130">
        <f ca="1">IFERROR(__xludf.DUMMYFUNCTION("""COMPUTED_VALUE"""),2.02)</f>
        <v>2.02</v>
      </c>
      <c r="O384" s="4" t="str">
        <f ca="1">IFERROR(__xludf.DUMMYFUNCTION("""COMPUTED_VALUE"""),"Waterfall")</f>
        <v>Waterfall</v>
      </c>
      <c r="P384" s="4" t="str">
        <f ca="1">IFERROR(__xludf.DUMMYFUNCTION("""COMPUTED_VALUE"""),"Tradicional")</f>
        <v>Tradicional</v>
      </c>
      <c r="Q384" s="4"/>
      <c r="R384" s="130" t="str">
        <f ca="1">IFERROR(__xludf.DUMMYFUNCTION("""COMPUTED_VALUE"""),"Marketing &amp; Digital Sales")</f>
        <v>Marketing &amp; Digital Sales</v>
      </c>
      <c r="S384" s="130" t="str">
        <f ca="1">IFERROR(__xludf.DUMMYFUNCTION("""COMPUTED_VALUE""")," Otros")</f>
        <v xml:space="preserve"> Otros</v>
      </c>
      <c r="T384" s="130" t="str">
        <f ca="1">IFERROR(__xludf.DUMMYFUNCTION("""COMPUTED_VALUE"""),"1. Generación de Ingresos")</f>
        <v>1. Generación de Ingresos</v>
      </c>
      <c r="U384" s="130" t="str">
        <f ca="1">IFERROR(__xludf.DUMMYFUNCTION("""COMPUTED_VALUE"""),"1.5. Otros de Proyectos de Ingresos")</f>
        <v>1.5. Otros de Proyectos de Ingresos</v>
      </c>
      <c r="V384" s="4" t="str">
        <f ca="1">IFERROR(__xludf.DUMMYFUNCTION("""COMPUTED_VALUE"""),"Digital Sales")</f>
        <v>Digital Sales</v>
      </c>
      <c r="W384" s="4">
        <f ca="1">IFERROR(__xludf.DUMMYFUNCTION("""COMPUTED_VALUE"""),2)</f>
        <v>2</v>
      </c>
      <c r="X384" s="4" t="str">
        <f ca="1">IFERROR(__xludf.DUMMYFUNCTION("""COMPUTED_VALUE"""),"10. Otros")</f>
        <v>10. Otros</v>
      </c>
      <c r="Y384" s="4" t="str">
        <f ca="1">IFERROR(__xludf.DUMMYFUNCTION("""COMPUTED_VALUE""")," Otros")</f>
        <v xml:space="preserve"> Otros</v>
      </c>
      <c r="Z384" s="132" t="str">
        <f ca="1">IFERROR(__xludf.DUMMYFUNCTION("""COMPUTED_VALUE"""),"492100")</f>
        <v>492100</v>
      </c>
      <c r="AA384" s="4" t="str">
        <f ca="1">IFERROR(__xludf.DUMMYFUNCTION("""COMPUTED_VALUE"""),"Tealeaf SaaS open market de la página pública - TDC")</f>
        <v>Tealeaf SaaS open market de la página pública - TDC</v>
      </c>
      <c r="AB384" s="4" t="str">
        <f ca="1">IFERROR(__xludf.DUMMYFUNCTION("""COMPUTED_VALUE"""),"Implementar Tealeaf SaaS en el flujo de contratación open market de la página pública de Tarjeta de Crédito, dicha implementación tiene como objetivo la identificación de posibles fricciones en la navegación que hacen los usuarios en el flujo digital, la "&amp;"detección de errores técnicos y mejorar la experiencia de la navegación.")</f>
        <v>Implementar Tealeaf SaaS en el flujo de contratación open market de la página pública de Tarjeta de Crédito, dicha implementación tiene como objetivo la identificación de posibles fricciones en la navegación que hacen los usuarios en el flujo digital, la detección de errores técnicos y mejorar la experiencia de la navegación.</v>
      </c>
      <c r="AC384" s="4" t="str">
        <f ca="1">IFERROR(__xludf.DUMMYFUNCTION("""COMPUTED_VALUE"""),"1Q 2023")</f>
        <v>1Q 2023</v>
      </c>
      <c r="AD384" s="4"/>
      <c r="AE384" s="4"/>
      <c r="AF384" s="4"/>
      <c r="AG384" s="4"/>
      <c r="AH384" s="4"/>
      <c r="AI384" s="4"/>
      <c r="AJ384" s="4"/>
      <c r="AK384" s="131" t="str">
        <f ca="1">IFERROR(__xludf.DUMMYFUNCTION("""COMPUTED_VALUE"""),"COLWSPREST-2155")</f>
        <v>COLWSPREST-2155</v>
      </c>
      <c r="AL384" s="4" t="str">
        <f ca="1">IFERROR(__xludf.DUMMYFUNCTION("""COMPUTED_VALUE"""),"Deployed")</f>
        <v>Deployed</v>
      </c>
      <c r="AM384" s="4"/>
      <c r="AN384" s="4" t="str">
        <f ca="1">IFERROR(__xludf.DUMMYFUNCTION("""COMPUTED_VALUE"""),"Finalizado")</f>
        <v>Finalizado</v>
      </c>
      <c r="AO384" s="4"/>
      <c r="AP384" s="4"/>
      <c r="AQ384" s="4"/>
      <c r="AR384" s="4" t="str">
        <f ca="1">IFERROR(__xludf.DUMMYFUNCTION("""COMPUTED_VALUE"""),"SDA aprobada en PPP Q1 2023")</f>
        <v>SDA aprobada en PPP Q1 2023</v>
      </c>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133">
        <f ca="1">IFERROR(__xludf.DUMMYFUNCTION("""COMPUTED_VALUE"""),0)</f>
        <v>0</v>
      </c>
      <c r="DV384" s="133">
        <f ca="1">IFERROR(__xludf.DUMMYFUNCTION("""COMPUTED_VALUE"""),0)</f>
        <v>0</v>
      </c>
      <c r="DW384" s="133">
        <f ca="1">IFERROR(__xludf.DUMMYFUNCTION("""COMPUTED_VALUE"""),7848522)</f>
        <v>7848522</v>
      </c>
      <c r="DX384" s="133">
        <f ca="1">IFERROR(__xludf.DUMMYFUNCTION("""COMPUTED_VALUE"""),125844182)</f>
        <v>125844182</v>
      </c>
      <c r="DY384" s="133">
        <f ca="1">IFERROR(__xludf.DUMMYFUNCTION("""COMPUTED_VALUE"""),0)</f>
        <v>0</v>
      </c>
      <c r="DZ384" s="133">
        <f ca="1">IFERROR(__xludf.DUMMYFUNCTION("""COMPUTED_VALUE"""),133692704)</f>
        <v>133692704</v>
      </c>
      <c r="EA384" s="4"/>
      <c r="EB384" s="4"/>
    </row>
    <row r="385" spans="1:132" x14ac:dyDescent="0.2">
      <c r="A385" s="4">
        <f ca="1">IFERROR(__xludf.DUMMYFUNCTION("""COMPUTED_VALUE"""),385)</f>
        <v>385</v>
      </c>
      <c r="B385" s="4">
        <f ca="1">IFERROR(__xludf.DUMMYFUNCTION("""COMPUTED_VALUE"""),360)</f>
        <v>360</v>
      </c>
      <c r="C385" s="4" t="str">
        <f ca="1">IFERROR(__xludf.DUMMYFUNCTION("""COMPUTED_VALUE"""),"SDATOOL-39197")</f>
        <v>SDATOOL-39197</v>
      </c>
      <c r="D385" s="4" t="str">
        <f ca="1">IFERROR(__xludf.DUMMYFUNCTION("""COMPUTED_VALUE"""),"Tealeaf SaaS")</f>
        <v>Tealeaf SaaS</v>
      </c>
      <c r="E385" s="4" t="str">
        <f ca="1">IFERROR(__xludf.DUMMYFUNCTION("""COMPUTED_VALUE"""),"Actualización de la plataforma Tealeaf actual (OnPremises), hacia la optimizada en Cloud como (SaaS).")</f>
        <v>Actualización de la plataforma Tealeaf actual (OnPremises), hacia la optimizada en Cloud como (SaaS).</v>
      </c>
      <c r="F385" s="4" t="str">
        <f ca="1">IFERROR(__xludf.DUMMYFUNCTION("""COMPUTED_VALUE"""),"Project")</f>
        <v>Project</v>
      </c>
      <c r="G385" s="4" t="str">
        <f ca="1">IFERROR(__xludf.DUMMYFUNCTION("""COMPUTED_VALUE"""),"Stock")</f>
        <v>Stock</v>
      </c>
      <c r="H385" s="4" t="str">
        <f ca="1">IFERROR(__xludf.DUMMYFUNCTION("""COMPUTED_VALUE"""),"4Q 2023")</f>
        <v>4Q 2023</v>
      </c>
      <c r="I385" s="131" t="str">
        <f ca="1">IFERROR(__xludf.DUMMYFUNCTION("""COMPUTED_VALUE"""),"hugofernando.parra-bbva.com")</f>
        <v>hugofernando.parra-bbva.com</v>
      </c>
      <c r="J385" s="131" t="str">
        <f ca="1">IFERROR(__xludf.DUMMYFUNCTION("""COMPUTED_VALUE"""),"geovany.ramirez-bbva.com")</f>
        <v>geovany.ramirez-bbva.com</v>
      </c>
      <c r="K385" s="131" t="str">
        <f ca="1">IFERROR(__xludf.DUMMYFUNCTION("""COMPUTED_VALUE"""),"juana.vergara-bbva.com")</f>
        <v>juana.vergara-bbva.com</v>
      </c>
      <c r="L385" s="4"/>
      <c r="M385" s="4"/>
      <c r="N385" s="4"/>
      <c r="O385" s="4" t="str">
        <f ca="1">IFERROR(__xludf.DUMMYFUNCTION("""COMPUTED_VALUE"""),"Waterfall")</f>
        <v>Waterfall</v>
      </c>
      <c r="P385" s="4" t="str">
        <f ca="1">IFERROR(__xludf.DUMMYFUNCTION("""COMPUTED_VALUE"""),"Tradicional")</f>
        <v>Tradicional</v>
      </c>
      <c r="Q385" s="4"/>
      <c r="R385" s="130" t="str">
        <f ca="1">IFERROR(__xludf.DUMMYFUNCTION("""COMPUTED_VALUE"""),"Marketing &amp; Digital Sales")</f>
        <v>Marketing &amp; Digital Sales</v>
      </c>
      <c r="S385" s="130" t="str">
        <f ca="1">IFERROR(__xludf.DUMMYFUNCTION("""COMPUTED_VALUE""")," Otros")</f>
        <v xml:space="preserve"> Otros</v>
      </c>
      <c r="T385" s="130" t="str">
        <f ca="1">IFERROR(__xludf.DUMMYFUNCTION("""COMPUTED_VALUE"""),"1. Generación de Ingresos")</f>
        <v>1. Generación de Ingresos</v>
      </c>
      <c r="U385" s="130" t="str">
        <f ca="1">IFERROR(__xludf.DUMMYFUNCTION("""COMPUTED_VALUE"""),"1.5. Otros de Proyectos de Ingresos")</f>
        <v>1.5. Otros de Proyectos de Ingresos</v>
      </c>
      <c r="V385" s="4" t="str">
        <f ca="1">IFERROR(__xludf.DUMMYFUNCTION("""COMPUTED_VALUE"""),"Digital Sales")</f>
        <v>Digital Sales</v>
      </c>
      <c r="W385" s="4">
        <f ca="1">IFERROR(__xludf.DUMMYFUNCTION("""COMPUTED_VALUE"""),2)</f>
        <v>2</v>
      </c>
      <c r="X385" s="4" t="str">
        <f ca="1">IFERROR(__xludf.DUMMYFUNCTION("""COMPUTED_VALUE"""),"10. Otros")</f>
        <v>10. Otros</v>
      </c>
      <c r="Y385" s="4" t="str">
        <f ca="1">IFERROR(__xludf.DUMMYFUNCTION("""COMPUTED_VALUE""")," Otros")</f>
        <v xml:space="preserve"> Otros</v>
      </c>
      <c r="Z385" s="132" t="str">
        <f ca="1">IFERROR(__xludf.DUMMYFUNCTION("""COMPUTED_VALUE"""),"492105")</f>
        <v>492105</v>
      </c>
      <c r="AA385" s="4" t="str">
        <f ca="1">IFERROR(__xludf.DUMMYFUNCTION("""COMPUTED_VALUE"""),"Tealeaf SaaS open market de la página pública - Consumo")</f>
        <v>Tealeaf SaaS open market de la página pública - Consumo</v>
      </c>
      <c r="AB385" s="4" t="str">
        <f ca="1">IFERROR(__xludf.DUMMYFUNCTION("""COMPUTED_VALUE"""),"Implementar Tealeaf SaaS en el flujo de contratación open market de la página pública de Consumo, dicha implementación tiene como objetivo la identificación de posibles fricciones en la navegación que hacen los usuarios en el flujo digital, la detección d"&amp;"e errores técnicos y mejorar la experiencia de la navegación.")</f>
        <v>Implementar Tealeaf SaaS en el flujo de contratación open market de la página pública de Consumo, dicha implementación tiene como objetivo la identificación de posibles fricciones en la navegación que hacen los usuarios en el flujo digital, la detección de errores técnicos y mejorar la experiencia de la navegación.</v>
      </c>
      <c r="AC385" s="4" t="str">
        <f ca="1">IFERROR(__xludf.DUMMYFUNCTION("""COMPUTED_VALUE"""),"3Q 2023")</f>
        <v>3Q 2023</v>
      </c>
      <c r="AD385" s="4"/>
      <c r="AE385" s="4"/>
      <c r="AF385" s="4"/>
      <c r="AG385" s="4"/>
      <c r="AH385" s="4"/>
      <c r="AI385" s="4"/>
      <c r="AJ385" s="4"/>
      <c r="AK385" s="131" t="str">
        <f ca="1">IFERROR(__xludf.DUMMYFUNCTION("""COMPUTED_VALUE"""),"COLWSPREST-2206")</f>
        <v>COLWSPREST-2206</v>
      </c>
      <c r="AL385" s="4" t="str">
        <f ca="1">IFERROR(__xludf.DUMMYFUNCTION("""COMPUTED_VALUE"""),"Analysing")</f>
        <v>Analysing</v>
      </c>
      <c r="AM385" s="4"/>
      <c r="AN385" s="4" t="str">
        <f ca="1">IFERROR(__xludf.DUMMYFUNCTION("""COMPUTED_VALUE"""),"Entregable en backlog")</f>
        <v>Entregable en backlog</v>
      </c>
      <c r="AO385" s="4"/>
      <c r="AP385" s="4"/>
      <c r="AQ385" s="4"/>
      <c r="AR385" s="4" t="str">
        <f ca="1">IFERROR(__xludf.DUMMYFUNCTION("""COMPUTED_VALUE"""),"SDA aprobada en PPP Q1 2023")</f>
        <v>SDA aprobada en PPP Q1 2023</v>
      </c>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row>
    <row r="386" spans="1:132" x14ac:dyDescent="0.2">
      <c r="A386" s="4">
        <f ca="1">IFERROR(__xludf.DUMMYFUNCTION("""COMPUTED_VALUE"""),386)</f>
        <v>386</v>
      </c>
      <c r="B386" s="4">
        <f ca="1">IFERROR(__xludf.DUMMYFUNCTION("""COMPUTED_VALUE"""),361)</f>
        <v>361</v>
      </c>
      <c r="C386" s="4" t="str">
        <f ca="1">IFERROR(__xludf.DUMMYFUNCTION("""COMPUTED_VALUE"""),"SDATOOL-39197")</f>
        <v>SDATOOL-39197</v>
      </c>
      <c r="D386" s="4" t="str">
        <f ca="1">IFERROR(__xludf.DUMMYFUNCTION("""COMPUTED_VALUE"""),"Tealeaf SaaS")</f>
        <v>Tealeaf SaaS</v>
      </c>
      <c r="E386" s="4" t="str">
        <f ca="1">IFERROR(__xludf.DUMMYFUNCTION("""COMPUTED_VALUE"""),"Actualización de la plataforma Tealeaf actual (OnPremises), hacia la optimizada en Cloud como (SaaS).")</f>
        <v>Actualización de la plataforma Tealeaf actual (OnPremises), hacia la optimizada en Cloud como (SaaS).</v>
      </c>
      <c r="F386" s="4" t="str">
        <f ca="1">IFERROR(__xludf.DUMMYFUNCTION("""COMPUTED_VALUE"""),"Project")</f>
        <v>Project</v>
      </c>
      <c r="G386" s="4" t="str">
        <f ca="1">IFERROR(__xludf.DUMMYFUNCTION("""COMPUTED_VALUE"""),"Stock")</f>
        <v>Stock</v>
      </c>
      <c r="H386" s="4" t="str">
        <f ca="1">IFERROR(__xludf.DUMMYFUNCTION("""COMPUTED_VALUE"""),"4Q 2023")</f>
        <v>4Q 2023</v>
      </c>
      <c r="I386" s="131" t="str">
        <f ca="1">IFERROR(__xludf.DUMMYFUNCTION("""COMPUTED_VALUE"""),"hugofernando.parra-bbva.com")</f>
        <v>hugofernando.parra-bbva.com</v>
      </c>
      <c r="J386" s="131" t="str">
        <f ca="1">IFERROR(__xludf.DUMMYFUNCTION("""COMPUTED_VALUE"""),"geovany.ramirez-bbva.com")</f>
        <v>geovany.ramirez-bbva.com</v>
      </c>
      <c r="K386" s="131" t="str">
        <f ca="1">IFERROR(__xludf.DUMMYFUNCTION("""COMPUTED_VALUE"""),"juana.vergara-bbva.com")</f>
        <v>juana.vergara-bbva.com</v>
      </c>
      <c r="L386" s="4"/>
      <c r="M386" s="4"/>
      <c r="N386" s="4"/>
      <c r="O386" s="4" t="str">
        <f ca="1">IFERROR(__xludf.DUMMYFUNCTION("""COMPUTED_VALUE"""),"Waterfall")</f>
        <v>Waterfall</v>
      </c>
      <c r="P386" s="4" t="str">
        <f ca="1">IFERROR(__xludf.DUMMYFUNCTION("""COMPUTED_VALUE"""),"Tradicional")</f>
        <v>Tradicional</v>
      </c>
      <c r="Q386" s="4"/>
      <c r="R386" s="130" t="str">
        <f ca="1">IFERROR(__xludf.DUMMYFUNCTION("""COMPUTED_VALUE"""),"Marketing &amp; Digital Sales")</f>
        <v>Marketing &amp; Digital Sales</v>
      </c>
      <c r="S386" s="130" t="str">
        <f ca="1">IFERROR(__xludf.DUMMYFUNCTION("""COMPUTED_VALUE""")," Otros")</f>
        <v xml:space="preserve"> Otros</v>
      </c>
      <c r="T386" s="130" t="str">
        <f ca="1">IFERROR(__xludf.DUMMYFUNCTION("""COMPUTED_VALUE"""),"1. Generación de Ingresos")</f>
        <v>1. Generación de Ingresos</v>
      </c>
      <c r="U386" s="130" t="str">
        <f ca="1">IFERROR(__xludf.DUMMYFUNCTION("""COMPUTED_VALUE"""),"1.5. Otros de Proyectos de Ingresos")</f>
        <v>1.5. Otros de Proyectos de Ingresos</v>
      </c>
      <c r="V386" s="4" t="str">
        <f ca="1">IFERROR(__xludf.DUMMYFUNCTION("""COMPUTED_VALUE"""),"Digital Sales")</f>
        <v>Digital Sales</v>
      </c>
      <c r="W386" s="4">
        <f ca="1">IFERROR(__xludf.DUMMYFUNCTION("""COMPUTED_VALUE"""),2)</f>
        <v>2</v>
      </c>
      <c r="X386" s="4" t="str">
        <f ca="1">IFERROR(__xludf.DUMMYFUNCTION("""COMPUTED_VALUE"""),"10. Otros")</f>
        <v>10. Otros</v>
      </c>
      <c r="Y386" s="4" t="str">
        <f ca="1">IFERROR(__xludf.DUMMYFUNCTION("""COMPUTED_VALUE""")," Otros")</f>
        <v xml:space="preserve"> Otros</v>
      </c>
      <c r="Z386" s="132" t="str">
        <f ca="1">IFERROR(__xludf.DUMMYFUNCTION("""COMPUTED_VALUE"""),"492101")</f>
        <v>492101</v>
      </c>
      <c r="AA386" s="4" t="str">
        <f ca="1">IFERROR(__xludf.DUMMYFUNCTION("""COMPUTED_VALUE"""),"Tealeaf SaaS open market - Cuenta")</f>
        <v>Tealeaf SaaS open market - Cuenta</v>
      </c>
      <c r="AB386" s="4" t="str">
        <f ca="1">IFERROR(__xludf.DUMMYFUNCTION("""COMPUTED_VALUE"""),"Implementar Tealeaf SaaS en el flujo de contratación open market de la página pública de Cuenta, dicha implementación tiene como objetivo la identificación de posibles fricciones en la navegación que hacen los usuarios en el flujo digital, la detección de"&amp;" errores técnicos y mejorar la experiencia de la navegación.")</f>
        <v>Implementar Tealeaf SaaS en el flujo de contratación open market de la página pública de Cuenta, dicha implementación tiene como objetivo la identificación de posibles fricciones en la navegación que hacen los usuarios en el flujo digital, la detección de errores técnicos y mejorar la experiencia de la navegación.</v>
      </c>
      <c r="AC386" s="4" t="str">
        <f ca="1">IFERROR(__xludf.DUMMYFUNCTION("""COMPUTED_VALUE"""),"4Q 2023")</f>
        <v>4Q 2023</v>
      </c>
      <c r="AD386" s="4"/>
      <c r="AE386" s="4"/>
      <c r="AF386" s="4"/>
      <c r="AG386" s="4"/>
      <c r="AH386" s="4"/>
      <c r="AI386" s="4"/>
      <c r="AJ386" s="4"/>
      <c r="AK386" s="131" t="str">
        <f ca="1">IFERROR(__xludf.DUMMYFUNCTION("""COMPUTED_VALUE"""),"COLWSPREST-2202")</f>
        <v>COLWSPREST-2202</v>
      </c>
      <c r="AL386" s="4" t="str">
        <f ca="1">IFERROR(__xludf.DUMMYFUNCTION("""COMPUTED_VALUE"""),"New")</f>
        <v>New</v>
      </c>
      <c r="AM386" s="4"/>
      <c r="AN386" s="4" t="str">
        <f ca="1">IFERROR(__xludf.DUMMYFUNCTION("""COMPUTED_VALUE"""),"Entregable en backlog")</f>
        <v>Entregable en backlog</v>
      </c>
      <c r="AO386" s="4"/>
      <c r="AP386" s="4"/>
      <c r="AQ386" s="4"/>
      <c r="AR386" s="4" t="str">
        <f ca="1">IFERROR(__xludf.DUMMYFUNCTION("""COMPUTED_VALUE"""),"SDA aprobada en PPP Q1 2023")</f>
        <v>SDA aprobada en PPP Q1 2023</v>
      </c>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row>
    <row r="387" spans="1:132" x14ac:dyDescent="0.2">
      <c r="A387" s="4">
        <f ca="1">IFERROR(__xludf.DUMMYFUNCTION("""COMPUTED_VALUE"""),387)</f>
        <v>387</v>
      </c>
      <c r="B387" s="4">
        <f ca="1">IFERROR(__xludf.DUMMYFUNCTION("""COMPUTED_VALUE"""),362)</f>
        <v>362</v>
      </c>
      <c r="C387" s="4" t="str">
        <f ca="1">IFERROR(__xludf.DUMMYFUNCTION("""COMPUTED_VALUE"""),"SDATOOL-39197")</f>
        <v>SDATOOL-39197</v>
      </c>
      <c r="D387" s="4" t="str">
        <f ca="1">IFERROR(__xludf.DUMMYFUNCTION("""COMPUTED_VALUE"""),"Tealeaf SaaS")</f>
        <v>Tealeaf SaaS</v>
      </c>
      <c r="E387" s="4" t="str">
        <f ca="1">IFERROR(__xludf.DUMMYFUNCTION("""COMPUTED_VALUE"""),"Actualización de la plataforma Tealeaf actual (OnPremises), hacia la optimizada en Cloud como (SaaS).")</f>
        <v>Actualización de la plataforma Tealeaf actual (OnPremises), hacia la optimizada en Cloud como (SaaS).</v>
      </c>
      <c r="F387" s="4" t="str">
        <f ca="1">IFERROR(__xludf.DUMMYFUNCTION("""COMPUTED_VALUE"""),"Project")</f>
        <v>Project</v>
      </c>
      <c r="G387" s="4" t="str">
        <f ca="1">IFERROR(__xludf.DUMMYFUNCTION("""COMPUTED_VALUE"""),"Stock")</f>
        <v>Stock</v>
      </c>
      <c r="H387" s="4" t="str">
        <f ca="1">IFERROR(__xludf.DUMMYFUNCTION("""COMPUTED_VALUE"""),"4Q 2023")</f>
        <v>4Q 2023</v>
      </c>
      <c r="I387" s="131" t="str">
        <f ca="1">IFERROR(__xludf.DUMMYFUNCTION("""COMPUTED_VALUE"""),"hugofernando.parra-bbva.com")</f>
        <v>hugofernando.parra-bbva.com</v>
      </c>
      <c r="J387" s="131" t="str">
        <f ca="1">IFERROR(__xludf.DUMMYFUNCTION("""COMPUTED_VALUE"""),"geovany.ramirez-bbva.com")</f>
        <v>geovany.ramirez-bbva.com</v>
      </c>
      <c r="K387" s="131" t="str">
        <f ca="1">IFERROR(__xludf.DUMMYFUNCTION("""COMPUTED_VALUE"""),"juana.vergara-bbva.com")</f>
        <v>juana.vergara-bbva.com</v>
      </c>
      <c r="L387" s="4"/>
      <c r="M387" s="4"/>
      <c r="N387" s="4"/>
      <c r="O387" s="4" t="str">
        <f ca="1">IFERROR(__xludf.DUMMYFUNCTION("""COMPUTED_VALUE"""),"Waterfall")</f>
        <v>Waterfall</v>
      </c>
      <c r="P387" s="4" t="str">
        <f ca="1">IFERROR(__xludf.DUMMYFUNCTION("""COMPUTED_VALUE"""),"Tradicional")</f>
        <v>Tradicional</v>
      </c>
      <c r="Q387" s="4"/>
      <c r="R387" s="130" t="str">
        <f ca="1">IFERROR(__xludf.DUMMYFUNCTION("""COMPUTED_VALUE"""),"Marketing &amp; Digital Sales")</f>
        <v>Marketing &amp; Digital Sales</v>
      </c>
      <c r="S387" s="130" t="str">
        <f ca="1">IFERROR(__xludf.DUMMYFUNCTION("""COMPUTED_VALUE""")," Otros")</f>
        <v xml:space="preserve"> Otros</v>
      </c>
      <c r="T387" s="130" t="str">
        <f ca="1">IFERROR(__xludf.DUMMYFUNCTION("""COMPUTED_VALUE"""),"1. Generación de Ingresos")</f>
        <v>1. Generación de Ingresos</v>
      </c>
      <c r="U387" s="130" t="str">
        <f ca="1">IFERROR(__xludf.DUMMYFUNCTION("""COMPUTED_VALUE"""),"1.5. Otros de Proyectos de Ingresos")</f>
        <v>1.5. Otros de Proyectos de Ingresos</v>
      </c>
      <c r="V387" s="4" t="str">
        <f ca="1">IFERROR(__xludf.DUMMYFUNCTION("""COMPUTED_VALUE"""),"Digital Sales")</f>
        <v>Digital Sales</v>
      </c>
      <c r="W387" s="4">
        <f ca="1">IFERROR(__xludf.DUMMYFUNCTION("""COMPUTED_VALUE"""),2)</f>
        <v>2</v>
      </c>
      <c r="X387" s="4" t="str">
        <f ca="1">IFERROR(__xludf.DUMMYFUNCTION("""COMPUTED_VALUE"""),"10. Otros")</f>
        <v>10. Otros</v>
      </c>
      <c r="Y387" s="4" t="str">
        <f ca="1">IFERROR(__xludf.DUMMYFUNCTION("""COMPUTED_VALUE""")," Otros")</f>
        <v xml:space="preserve"> Otros</v>
      </c>
      <c r="Z387" s="132" t="str">
        <f ca="1">IFERROR(__xludf.DUMMYFUNCTION("""COMPUTED_VALUE"""),"492104")</f>
        <v>492104</v>
      </c>
      <c r="AA387" s="4" t="str">
        <f ca="1">IFERROR(__xludf.DUMMYFUNCTION("""COMPUTED_VALUE"""),"Tealeaf SaaS open market de la página pública - Libranza")</f>
        <v>Tealeaf SaaS open market de la página pública - Libranza</v>
      </c>
      <c r="AB387" s="4" t="str">
        <f ca="1">IFERROR(__xludf.DUMMYFUNCTION("""COMPUTED_VALUE"""),"Implementar Tealeaf SaaS en el flujo de contratación open market de la página pública de Libranza,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Libranza, dicha implementación tiene como objetivo la identificación de posibles fricciones en la navegación que hacen los usuarios en el flujo digital, la detección de errores técnicos y mejorar la experiencia de la navegación.</v>
      </c>
      <c r="AC387" s="4" t="str">
        <f ca="1">IFERROR(__xludf.DUMMYFUNCTION("""COMPUTED_VALUE"""),"4Q 2023")</f>
        <v>4Q 2023</v>
      </c>
      <c r="AD387" s="4"/>
      <c r="AE387" s="4"/>
      <c r="AF387" s="4"/>
      <c r="AG387" s="4"/>
      <c r="AH387" s="4"/>
      <c r="AI387" s="4"/>
      <c r="AJ387" s="4"/>
      <c r="AK387" s="131" t="str">
        <f ca="1">IFERROR(__xludf.DUMMYFUNCTION("""COMPUTED_VALUE"""),"COLWSPREST-2205")</f>
        <v>COLWSPREST-2205</v>
      </c>
      <c r="AL387" s="4" t="str">
        <f ca="1">IFERROR(__xludf.DUMMYFUNCTION("""COMPUTED_VALUE"""),"New")</f>
        <v>New</v>
      </c>
      <c r="AM387" s="4"/>
      <c r="AN387" s="4" t="str">
        <f ca="1">IFERROR(__xludf.DUMMYFUNCTION("""COMPUTED_VALUE"""),"Entregable en backlog")</f>
        <v>Entregable en backlog</v>
      </c>
      <c r="AO387" s="4"/>
      <c r="AP387" s="4"/>
      <c r="AQ387" s="4"/>
      <c r="AR387" s="4" t="str">
        <f ca="1">IFERROR(__xludf.DUMMYFUNCTION("""COMPUTED_VALUE"""),"SDA aprobada en PPP Q1 2023")</f>
        <v>SDA aprobada en PPP Q1 2023</v>
      </c>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row>
    <row r="388" spans="1:132" x14ac:dyDescent="0.2">
      <c r="A388" s="4">
        <f ca="1">IFERROR(__xludf.DUMMYFUNCTION("""COMPUTED_VALUE"""),388)</f>
        <v>388</v>
      </c>
      <c r="B388" s="4">
        <f ca="1">IFERROR(__xludf.DUMMYFUNCTION("""COMPUTED_VALUE"""),363)</f>
        <v>363</v>
      </c>
      <c r="C388" s="4" t="str">
        <f ca="1">IFERROR(__xludf.DUMMYFUNCTION("""COMPUTED_VALUE"""),"SDATOOL-39197")</f>
        <v>SDATOOL-39197</v>
      </c>
      <c r="D388" s="4" t="str">
        <f ca="1">IFERROR(__xludf.DUMMYFUNCTION("""COMPUTED_VALUE"""),"Tealeaf SaaS")</f>
        <v>Tealeaf SaaS</v>
      </c>
      <c r="E388" s="4" t="str">
        <f ca="1">IFERROR(__xludf.DUMMYFUNCTION("""COMPUTED_VALUE"""),"Actualización de la plataforma Tealeaf actual (OnPremises), hacia la optimizada en Cloud como (SaaS).")</f>
        <v>Actualización de la plataforma Tealeaf actual (OnPremises), hacia la optimizada en Cloud como (SaaS).</v>
      </c>
      <c r="F388" s="4" t="str">
        <f ca="1">IFERROR(__xludf.DUMMYFUNCTION("""COMPUTED_VALUE"""),"Project")</f>
        <v>Project</v>
      </c>
      <c r="G388" s="4" t="str">
        <f ca="1">IFERROR(__xludf.DUMMYFUNCTION("""COMPUTED_VALUE"""),"Stock")</f>
        <v>Stock</v>
      </c>
      <c r="H388" s="4" t="str">
        <f ca="1">IFERROR(__xludf.DUMMYFUNCTION("""COMPUTED_VALUE"""),"4Q 2023")</f>
        <v>4Q 2023</v>
      </c>
      <c r="I388" s="131" t="str">
        <f ca="1">IFERROR(__xludf.DUMMYFUNCTION("""COMPUTED_VALUE"""),"hugofernando.parra-bbva.com")</f>
        <v>hugofernando.parra-bbva.com</v>
      </c>
      <c r="J388" s="131" t="str">
        <f ca="1">IFERROR(__xludf.DUMMYFUNCTION("""COMPUTED_VALUE"""),"geovany.ramirez-bbva.com")</f>
        <v>geovany.ramirez-bbva.com</v>
      </c>
      <c r="K388" s="131" t="str">
        <f ca="1">IFERROR(__xludf.DUMMYFUNCTION("""COMPUTED_VALUE"""),"juana.vergara-bbva.com")</f>
        <v>juana.vergara-bbva.com</v>
      </c>
      <c r="L388" s="4"/>
      <c r="M388" s="4"/>
      <c r="N388" s="4"/>
      <c r="O388" s="4" t="str">
        <f ca="1">IFERROR(__xludf.DUMMYFUNCTION("""COMPUTED_VALUE"""),"Waterfall")</f>
        <v>Waterfall</v>
      </c>
      <c r="P388" s="4" t="str">
        <f ca="1">IFERROR(__xludf.DUMMYFUNCTION("""COMPUTED_VALUE"""),"Tradicional")</f>
        <v>Tradicional</v>
      </c>
      <c r="Q388" s="4"/>
      <c r="R388" s="130" t="str">
        <f ca="1">IFERROR(__xludf.DUMMYFUNCTION("""COMPUTED_VALUE"""),"Marketing &amp; Digital Sales")</f>
        <v>Marketing &amp; Digital Sales</v>
      </c>
      <c r="S388" s="130" t="str">
        <f ca="1">IFERROR(__xludf.DUMMYFUNCTION("""COMPUTED_VALUE""")," Otros")</f>
        <v xml:space="preserve"> Otros</v>
      </c>
      <c r="T388" s="130" t="str">
        <f ca="1">IFERROR(__xludf.DUMMYFUNCTION("""COMPUTED_VALUE"""),"1. Generación de Ingresos")</f>
        <v>1. Generación de Ingresos</v>
      </c>
      <c r="U388" s="130" t="str">
        <f ca="1">IFERROR(__xludf.DUMMYFUNCTION("""COMPUTED_VALUE"""),"1.5. Otros de Proyectos de Ingresos")</f>
        <v>1.5. Otros de Proyectos de Ingresos</v>
      </c>
      <c r="V388" s="4" t="str">
        <f ca="1">IFERROR(__xludf.DUMMYFUNCTION("""COMPUTED_VALUE"""),"Digital Sales")</f>
        <v>Digital Sales</v>
      </c>
      <c r="W388" s="4">
        <f ca="1">IFERROR(__xludf.DUMMYFUNCTION("""COMPUTED_VALUE"""),2)</f>
        <v>2</v>
      </c>
      <c r="X388" s="4" t="str">
        <f ca="1">IFERROR(__xludf.DUMMYFUNCTION("""COMPUTED_VALUE"""),"10. Otros")</f>
        <v>10. Otros</v>
      </c>
      <c r="Y388" s="4" t="str">
        <f ca="1">IFERROR(__xludf.DUMMYFUNCTION("""COMPUTED_VALUE""")," Otros")</f>
        <v xml:space="preserve"> Otros</v>
      </c>
      <c r="Z388" s="132" t="str">
        <f ca="1">IFERROR(__xludf.DUMMYFUNCTION("""COMPUTED_VALUE"""),"492102")</f>
        <v>492102</v>
      </c>
      <c r="AA388" s="4" t="str">
        <f ca="1">IFERROR(__xludf.DUMMYFUNCTION("""COMPUTED_VALUE"""),"Tealeaf SaaS open market de la página pública - Vehículo")</f>
        <v>Tealeaf SaaS open market de la página pública - Vehículo</v>
      </c>
      <c r="AB388" s="4" t="str">
        <f ca="1">IFERROR(__xludf.DUMMYFUNCTION("""COMPUTED_VALUE"""),"Implementar Tealeaf SaaS en el flujo de contratación open market de la página pública de Vehículo,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Vehículo, dicha implementación tiene como objetivo la identificación de posibles fricciones en la navegación que hacen los usuarios en el flujo digital, la detección de errores técnicos y mejorar la experiencia de la navegación.</v>
      </c>
      <c r="AC388" s="4" t="str">
        <f ca="1">IFERROR(__xludf.DUMMYFUNCTION("""COMPUTED_VALUE"""),"4Q 2023")</f>
        <v>4Q 2023</v>
      </c>
      <c r="AD388" s="4"/>
      <c r="AE388" s="4"/>
      <c r="AF388" s="4"/>
      <c r="AG388" s="4"/>
      <c r="AH388" s="4"/>
      <c r="AI388" s="4"/>
      <c r="AJ388" s="4"/>
      <c r="AK388" s="131" t="str">
        <f ca="1">IFERROR(__xludf.DUMMYFUNCTION("""COMPUTED_VALUE"""),"COLWSPREST-2203")</f>
        <v>COLWSPREST-2203</v>
      </c>
      <c r="AL388" s="4" t="str">
        <f ca="1">IFERROR(__xludf.DUMMYFUNCTION("""COMPUTED_VALUE"""),"New")</f>
        <v>New</v>
      </c>
      <c r="AM388" s="4"/>
      <c r="AN388" s="4" t="str">
        <f ca="1">IFERROR(__xludf.DUMMYFUNCTION("""COMPUTED_VALUE"""),"Entregable en backlog")</f>
        <v>Entregable en backlog</v>
      </c>
      <c r="AO388" s="4"/>
      <c r="AP388" s="4"/>
      <c r="AQ388" s="4"/>
      <c r="AR388" s="4" t="str">
        <f ca="1">IFERROR(__xludf.DUMMYFUNCTION("""COMPUTED_VALUE"""),"SDA aprobada en PPP Q1 2023")</f>
        <v>SDA aprobada en PPP Q1 2023</v>
      </c>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row>
    <row r="389" spans="1:132" x14ac:dyDescent="0.2">
      <c r="A389" s="4">
        <f ca="1">IFERROR(__xludf.DUMMYFUNCTION("""COMPUTED_VALUE"""),389)</f>
        <v>389</v>
      </c>
      <c r="B389" s="4">
        <f ca="1">IFERROR(__xludf.DUMMYFUNCTION("""COMPUTED_VALUE"""),364)</f>
        <v>364</v>
      </c>
      <c r="C389" s="4" t="str">
        <f ca="1">IFERROR(__xludf.DUMMYFUNCTION("""COMPUTED_VALUE"""),"SDATOOL-39197")</f>
        <v>SDATOOL-39197</v>
      </c>
      <c r="D389" s="4" t="str">
        <f ca="1">IFERROR(__xludf.DUMMYFUNCTION("""COMPUTED_VALUE"""),"Tealeaf SaaS")</f>
        <v>Tealeaf SaaS</v>
      </c>
      <c r="E389" s="4" t="str">
        <f ca="1">IFERROR(__xludf.DUMMYFUNCTION("""COMPUTED_VALUE"""),"Actualización de la plataforma Tealeaf actual (OnPremises), hacia la optimizada en Cloud como (SaaS).")</f>
        <v>Actualización de la plataforma Tealeaf actual (OnPremises), hacia la optimizada en Cloud como (SaaS).</v>
      </c>
      <c r="F389" s="4" t="str">
        <f ca="1">IFERROR(__xludf.DUMMYFUNCTION("""COMPUTED_VALUE"""),"Project")</f>
        <v>Project</v>
      </c>
      <c r="G389" s="4" t="str">
        <f ca="1">IFERROR(__xludf.DUMMYFUNCTION("""COMPUTED_VALUE"""),"Stock")</f>
        <v>Stock</v>
      </c>
      <c r="H389" s="4" t="str">
        <f ca="1">IFERROR(__xludf.DUMMYFUNCTION("""COMPUTED_VALUE"""),"4Q 2023")</f>
        <v>4Q 2023</v>
      </c>
      <c r="I389" s="131" t="str">
        <f ca="1">IFERROR(__xludf.DUMMYFUNCTION("""COMPUTED_VALUE"""),"hugofernando.parra-bbva.com")</f>
        <v>hugofernando.parra-bbva.com</v>
      </c>
      <c r="J389" s="131" t="str">
        <f ca="1">IFERROR(__xludf.DUMMYFUNCTION("""COMPUTED_VALUE"""),"geovany.ramirez-bbva.com")</f>
        <v>geovany.ramirez-bbva.com</v>
      </c>
      <c r="K389" s="131" t="str">
        <f ca="1">IFERROR(__xludf.DUMMYFUNCTION("""COMPUTED_VALUE"""),"juana.vergara-bbva.com")</f>
        <v>juana.vergara-bbva.com</v>
      </c>
      <c r="L389" s="4"/>
      <c r="M389" s="4"/>
      <c r="N389" s="4"/>
      <c r="O389" s="4" t="str">
        <f ca="1">IFERROR(__xludf.DUMMYFUNCTION("""COMPUTED_VALUE"""),"Waterfall")</f>
        <v>Waterfall</v>
      </c>
      <c r="P389" s="4" t="str">
        <f ca="1">IFERROR(__xludf.DUMMYFUNCTION("""COMPUTED_VALUE"""),"Tradicional")</f>
        <v>Tradicional</v>
      </c>
      <c r="Q389" s="4"/>
      <c r="R389" s="130" t="str">
        <f ca="1">IFERROR(__xludf.DUMMYFUNCTION("""COMPUTED_VALUE"""),"Marketing &amp; Digital Sales")</f>
        <v>Marketing &amp; Digital Sales</v>
      </c>
      <c r="S389" s="130" t="str">
        <f ca="1">IFERROR(__xludf.DUMMYFUNCTION("""COMPUTED_VALUE""")," Otros")</f>
        <v xml:space="preserve"> Otros</v>
      </c>
      <c r="T389" s="130" t="str">
        <f ca="1">IFERROR(__xludf.DUMMYFUNCTION("""COMPUTED_VALUE"""),"1. Generación de Ingresos")</f>
        <v>1. Generación de Ingresos</v>
      </c>
      <c r="U389" s="130" t="str">
        <f ca="1">IFERROR(__xludf.DUMMYFUNCTION("""COMPUTED_VALUE"""),"1.5. Otros de Proyectos de Ingresos")</f>
        <v>1.5. Otros de Proyectos de Ingresos</v>
      </c>
      <c r="V389" s="4" t="str">
        <f ca="1">IFERROR(__xludf.DUMMYFUNCTION("""COMPUTED_VALUE"""),"Digital Sales")</f>
        <v>Digital Sales</v>
      </c>
      <c r="W389" s="4">
        <f ca="1">IFERROR(__xludf.DUMMYFUNCTION("""COMPUTED_VALUE"""),2)</f>
        <v>2</v>
      </c>
      <c r="X389" s="4" t="str">
        <f ca="1">IFERROR(__xludf.DUMMYFUNCTION("""COMPUTED_VALUE"""),"10. Otros")</f>
        <v>10. Otros</v>
      </c>
      <c r="Y389" s="4" t="str">
        <f ca="1">IFERROR(__xludf.DUMMYFUNCTION("""COMPUTED_VALUE""")," Otros")</f>
        <v xml:space="preserve"> Otros</v>
      </c>
      <c r="Z389" s="132" t="str">
        <f ca="1">IFERROR(__xludf.DUMMYFUNCTION("""COMPUTED_VALUE"""),"492103")</f>
        <v>492103</v>
      </c>
      <c r="AA389" s="4" t="str">
        <f ca="1">IFERROR(__xludf.DUMMYFUNCTION("""COMPUTED_VALUE"""),"Tealeaf SaaS open market de la página pública - Vivienda")</f>
        <v>Tealeaf SaaS open market de la página pública - Vivienda</v>
      </c>
      <c r="AB389" s="4" t="str">
        <f ca="1">IFERROR(__xludf.DUMMYFUNCTION("""COMPUTED_VALUE"""),"Implementar Tealeaf SaaS en el flujo de contratación open market de la página pública de Vivienda,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Vivienda, dicha implementación tiene como objetivo la identificación de posibles fricciones en la navegación que hacen los usuarios en el flujo digital, la detección de errores técnicos y mejorar la experiencia de la navegación.</v>
      </c>
      <c r="AC389" s="4" t="str">
        <f ca="1">IFERROR(__xludf.DUMMYFUNCTION("""COMPUTED_VALUE"""),"4Q 2023")</f>
        <v>4Q 2023</v>
      </c>
      <c r="AD389" s="4"/>
      <c r="AE389" s="4"/>
      <c r="AF389" s="4"/>
      <c r="AG389" s="4"/>
      <c r="AH389" s="4"/>
      <c r="AI389" s="4"/>
      <c r="AJ389" s="4"/>
      <c r="AK389" s="131" t="str">
        <f ca="1">IFERROR(__xludf.DUMMYFUNCTION("""COMPUTED_VALUE"""),"COLWSPREST-2204")</f>
        <v>COLWSPREST-2204</v>
      </c>
      <c r="AL389" s="4" t="str">
        <f ca="1">IFERROR(__xludf.DUMMYFUNCTION("""COMPUTED_VALUE"""),"Analysing")</f>
        <v>Analysing</v>
      </c>
      <c r="AM389" s="4"/>
      <c r="AN389" s="4" t="str">
        <f ca="1">IFERROR(__xludf.DUMMYFUNCTION("""COMPUTED_VALUE"""),"Entregable en backlog")</f>
        <v>Entregable en backlog</v>
      </c>
      <c r="AO389" s="4"/>
      <c r="AP389" s="4"/>
      <c r="AQ389" s="4"/>
      <c r="AR389" s="4" t="str">
        <f ca="1">IFERROR(__xludf.DUMMYFUNCTION("""COMPUTED_VALUE"""),"SDA aprobada en PPP Q1 2023")</f>
        <v>SDA aprobada en PPP Q1 2023</v>
      </c>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row>
    <row r="390" spans="1:132" x14ac:dyDescent="0.2">
      <c r="A390" s="4">
        <f ca="1">IFERROR(__xludf.DUMMYFUNCTION("""COMPUTED_VALUE"""),390)</f>
        <v>390</v>
      </c>
      <c r="B390" s="4">
        <f ca="1">IFERROR(__xludf.DUMMYFUNCTION("""COMPUTED_VALUE"""),365)</f>
        <v>365</v>
      </c>
      <c r="C390" s="4" t="str">
        <f ca="1">IFERROR(__xludf.DUMMYFUNCTION("""COMPUTED_VALUE"""),"SDATOOL-40536")</f>
        <v>SDATOOL-40536</v>
      </c>
      <c r="D390" s="4" t="str">
        <f ca="1">IFERROR(__xludf.DUMMYFUNCTION("""COMPUTED_VALUE"""),"Google analitycs 4")</f>
        <v>Google analitycs 4</v>
      </c>
      <c r="E390"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0" s="4" t="str">
        <f ca="1">IFERROR(__xludf.DUMMYFUNCTION("""COMPUTED_VALUE"""),"Initiative")</f>
        <v>Initiative</v>
      </c>
      <c r="G390" s="4" t="str">
        <f ca="1">IFERROR(__xludf.DUMMYFUNCTION("""COMPUTED_VALUE"""),"Stock")</f>
        <v>Stock</v>
      </c>
      <c r="H390" s="4" t="str">
        <f ca="1">IFERROR(__xludf.DUMMYFUNCTION("""COMPUTED_VALUE"""),"3Q 2023")</f>
        <v>3Q 2023</v>
      </c>
      <c r="I390" s="131" t="str">
        <f ca="1">IFERROR(__xludf.DUMMYFUNCTION("""COMPUTED_VALUE"""),"hugofernando.parra-bbva.com")</f>
        <v>hugofernando.parra-bbva.com</v>
      </c>
      <c r="J390" s="131" t="str">
        <f ca="1">IFERROR(__xludf.DUMMYFUNCTION("""COMPUTED_VALUE"""),"geovany.ramirez-bbva.com")</f>
        <v>geovany.ramirez-bbva.com</v>
      </c>
      <c r="K390" s="131" t="str">
        <f ca="1">IFERROR(__xludf.DUMMYFUNCTION("""COMPUTED_VALUE"""),"santiago.campuzano-bbva.com")</f>
        <v>santiago.campuzano-bbva.com</v>
      </c>
      <c r="L390" s="130">
        <f ca="1">IFERROR(__xludf.DUMMYFUNCTION("""COMPUTED_VALUE"""),0.1)</f>
        <v>0.1</v>
      </c>
      <c r="M390" s="130">
        <f ca="1">IFERROR(__xludf.DUMMYFUNCTION("""COMPUTED_VALUE"""),0)</f>
        <v>0</v>
      </c>
      <c r="N390" s="130">
        <f ca="1">IFERROR(__xludf.DUMMYFUNCTION("""COMPUTED_VALUE"""),0)</f>
        <v>0</v>
      </c>
      <c r="O390" s="4" t="str">
        <f ca="1">IFERROR(__xludf.DUMMYFUNCTION("""COMPUTED_VALUE"""),"Waterfall")</f>
        <v>Waterfall</v>
      </c>
      <c r="P390" s="4" t="str">
        <f ca="1">IFERROR(__xludf.DUMMYFUNCTION("""COMPUTED_VALUE"""),"Tradicional")</f>
        <v>Tradicional</v>
      </c>
      <c r="Q390" s="4"/>
      <c r="R390" s="130" t="str">
        <f ca="1">IFERROR(__xludf.DUMMYFUNCTION("""COMPUTED_VALUE"""),"Marketing &amp; Digital Sales")</f>
        <v>Marketing &amp; Digital Sales</v>
      </c>
      <c r="S390" s="130" t="str">
        <f ca="1">IFERROR(__xludf.DUMMYFUNCTION("""COMPUTED_VALUE""")," Otros")</f>
        <v xml:space="preserve"> Otros</v>
      </c>
      <c r="T390" s="130" t="str">
        <f ca="1">IFERROR(__xludf.DUMMYFUNCTION("""COMPUTED_VALUE"""),"Otros")</f>
        <v>Otros</v>
      </c>
      <c r="U390" s="130" t="str">
        <f ca="1">IFERROR(__xludf.DUMMYFUNCTION("""COMPUTED_VALUE"""),"No Aplica")</f>
        <v>No Aplica</v>
      </c>
      <c r="V390" s="4" t="str">
        <f ca="1">IFERROR(__xludf.DUMMYFUNCTION("""COMPUTED_VALUE"""),"Digital Sales")</f>
        <v>Digital Sales</v>
      </c>
      <c r="W390" s="4">
        <f ca="1">IFERROR(__xludf.DUMMYFUNCTION("""COMPUTED_VALUE"""),2)</f>
        <v>2</v>
      </c>
      <c r="X390" s="4" t="str">
        <f ca="1">IFERROR(__xludf.DUMMYFUNCTION("""COMPUTED_VALUE"""),"10. Otros")</f>
        <v>10. Otros</v>
      </c>
      <c r="Y390" s="4" t="str">
        <f ca="1">IFERROR(__xludf.DUMMYFUNCTION("""COMPUTED_VALUE""")," Otros")</f>
        <v xml:space="preserve"> Otros</v>
      </c>
      <c r="Z390" s="132" t="str">
        <f ca="1">IFERROR(__xludf.DUMMYFUNCTION("""COMPUTED_VALUE"""),"560577")</f>
        <v>560577</v>
      </c>
      <c r="AA390" s="4" t="str">
        <f ca="1">IFERROR(__xludf.DUMMYFUNCTION("""COMPUTED_VALUE"""),"Google Analytics - TDC")</f>
        <v>Google Analytics - TDC</v>
      </c>
      <c r="AB390"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0" s="4" t="str">
        <f ca="1">IFERROR(__xludf.DUMMYFUNCTION("""COMPUTED_VALUE"""),"3Q 2023")</f>
        <v>3Q 2023</v>
      </c>
      <c r="AD390" s="4"/>
      <c r="AE390" s="4"/>
      <c r="AF390" s="4"/>
      <c r="AG390" s="4"/>
      <c r="AH390" s="4"/>
      <c r="AI390" s="4"/>
      <c r="AJ390" s="4"/>
      <c r="AK390" s="131" t="str">
        <f ca="1">IFERROR(__xludf.DUMMYFUNCTION("""COMPUTED_VALUE"""),"COLWSPREST-7861")</f>
        <v>COLWSPREST-7861</v>
      </c>
      <c r="AL390" s="4" t="str">
        <f ca="1">IFERROR(__xludf.DUMMYFUNCTION("""COMPUTED_VALUE"""),"New")</f>
        <v>New</v>
      </c>
      <c r="AM390" s="4"/>
      <c r="AN390" s="4" t="str">
        <f ca="1">IFERROR(__xludf.DUMMYFUNCTION("""COMPUTED_VALUE"""),"Entregable en backlog")</f>
        <v>Entregable en backlog</v>
      </c>
      <c r="AO390" s="4"/>
      <c r="AP390" s="4"/>
      <c r="AQ390" s="4"/>
      <c r="AR390" s="4" t="str">
        <f ca="1">IFERROR(__xludf.DUMMYFUNCTION("""COMPUTED_VALUE"""),"SDA aprobada en PPP Q1 2023")</f>
        <v>SDA aprobada en PPP Q1 2023</v>
      </c>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133">
        <f ca="1">IFERROR(__xludf.DUMMYFUNCTION("""COMPUTED_VALUE"""),0)</f>
        <v>0</v>
      </c>
      <c r="DV390" s="133">
        <f ca="1">IFERROR(__xludf.DUMMYFUNCTION("""COMPUTED_VALUE"""),0)</f>
        <v>0</v>
      </c>
      <c r="DW390" s="133">
        <f ca="1">IFERROR(__xludf.DUMMYFUNCTION("""COMPUTED_VALUE"""),0)</f>
        <v>0</v>
      </c>
      <c r="DX390" s="133">
        <f ca="1">IFERROR(__xludf.DUMMYFUNCTION("""COMPUTED_VALUE"""),30000000)</f>
        <v>30000000</v>
      </c>
      <c r="DY390" s="133">
        <f ca="1">IFERROR(__xludf.DUMMYFUNCTION("""COMPUTED_VALUE"""),0)</f>
        <v>0</v>
      </c>
      <c r="DZ390" s="133">
        <f ca="1">IFERROR(__xludf.DUMMYFUNCTION("""COMPUTED_VALUE"""),30000000)</f>
        <v>30000000</v>
      </c>
      <c r="EA390" s="4"/>
      <c r="EB390" s="4"/>
    </row>
    <row r="391" spans="1:132" x14ac:dyDescent="0.2">
      <c r="A391" s="4">
        <f ca="1">IFERROR(__xludf.DUMMYFUNCTION("""COMPUTED_VALUE"""),391)</f>
        <v>391</v>
      </c>
      <c r="B391" s="4">
        <f ca="1">IFERROR(__xludf.DUMMYFUNCTION("""COMPUTED_VALUE"""),366)</f>
        <v>366</v>
      </c>
      <c r="C391" s="4" t="str">
        <f ca="1">IFERROR(__xludf.DUMMYFUNCTION("""COMPUTED_VALUE"""),"SDATOOL-40536")</f>
        <v>SDATOOL-40536</v>
      </c>
      <c r="D391" s="4" t="str">
        <f ca="1">IFERROR(__xludf.DUMMYFUNCTION("""COMPUTED_VALUE"""),"Google analitycs 4")</f>
        <v>Google analitycs 4</v>
      </c>
      <c r="E391"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1" s="4" t="str">
        <f ca="1">IFERROR(__xludf.DUMMYFUNCTION("""COMPUTED_VALUE"""),"Initiative")</f>
        <v>Initiative</v>
      </c>
      <c r="G391" s="4" t="str">
        <f ca="1">IFERROR(__xludf.DUMMYFUNCTION("""COMPUTED_VALUE"""),"Stock")</f>
        <v>Stock</v>
      </c>
      <c r="H391" s="4" t="str">
        <f ca="1">IFERROR(__xludf.DUMMYFUNCTION("""COMPUTED_VALUE"""),"3Q 2023")</f>
        <v>3Q 2023</v>
      </c>
      <c r="I391" s="131" t="str">
        <f ca="1">IFERROR(__xludf.DUMMYFUNCTION("""COMPUTED_VALUE"""),"hugofernando.parra-bbva.com")</f>
        <v>hugofernando.parra-bbva.com</v>
      </c>
      <c r="J391" s="131" t="str">
        <f ca="1">IFERROR(__xludf.DUMMYFUNCTION("""COMPUTED_VALUE"""),"geovany.ramirez-bbva.com")</f>
        <v>geovany.ramirez-bbva.com</v>
      </c>
      <c r="K391" s="131" t="str">
        <f ca="1">IFERROR(__xludf.DUMMYFUNCTION("""COMPUTED_VALUE"""),"santiago.campuzano-bbva.com")</f>
        <v>santiago.campuzano-bbva.com</v>
      </c>
      <c r="L391" s="4"/>
      <c r="M391" s="4"/>
      <c r="N391" s="4"/>
      <c r="O391" s="4" t="str">
        <f ca="1">IFERROR(__xludf.DUMMYFUNCTION("""COMPUTED_VALUE"""),"Waterfall")</f>
        <v>Waterfall</v>
      </c>
      <c r="P391" s="4" t="str">
        <f ca="1">IFERROR(__xludf.DUMMYFUNCTION("""COMPUTED_VALUE"""),"Tradicional")</f>
        <v>Tradicional</v>
      </c>
      <c r="Q391" s="4"/>
      <c r="R391" s="130" t="str">
        <f ca="1">IFERROR(__xludf.DUMMYFUNCTION("""COMPUTED_VALUE"""),"Marketing &amp; Digital Sales")</f>
        <v>Marketing &amp; Digital Sales</v>
      </c>
      <c r="S391" s="130" t="str">
        <f ca="1">IFERROR(__xludf.DUMMYFUNCTION("""COMPUTED_VALUE""")," Otros")</f>
        <v xml:space="preserve"> Otros</v>
      </c>
      <c r="T391" s="130" t="str">
        <f ca="1">IFERROR(__xludf.DUMMYFUNCTION("""COMPUTED_VALUE"""),"Otros")</f>
        <v>Otros</v>
      </c>
      <c r="U391" s="130" t="str">
        <f ca="1">IFERROR(__xludf.DUMMYFUNCTION("""COMPUTED_VALUE"""),"No Aplica")</f>
        <v>No Aplica</v>
      </c>
      <c r="V391" s="4" t="str">
        <f ca="1">IFERROR(__xludf.DUMMYFUNCTION("""COMPUTED_VALUE"""),"Digital Sales")</f>
        <v>Digital Sales</v>
      </c>
      <c r="W391" s="4">
        <f ca="1">IFERROR(__xludf.DUMMYFUNCTION("""COMPUTED_VALUE"""),2)</f>
        <v>2</v>
      </c>
      <c r="X391" s="4" t="str">
        <f ca="1">IFERROR(__xludf.DUMMYFUNCTION("""COMPUTED_VALUE"""),"10. Otros")</f>
        <v>10. Otros</v>
      </c>
      <c r="Y391" s="4" t="str">
        <f ca="1">IFERROR(__xludf.DUMMYFUNCTION("""COMPUTED_VALUE""")," Otros")</f>
        <v xml:space="preserve"> Otros</v>
      </c>
      <c r="Z391" s="132" t="str">
        <f ca="1">IFERROR(__xludf.DUMMYFUNCTION("""COMPUTED_VALUE"""),"626142")</f>
        <v>626142</v>
      </c>
      <c r="AA391" s="4" t="str">
        <f ca="1">IFERROR(__xludf.DUMMYFUNCTION("""COMPUTED_VALUE"""),"Google Analytics - Consumos")</f>
        <v>Google Analytics - Consumos</v>
      </c>
      <c r="AB391"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1" s="4" t="str">
        <f ca="1">IFERROR(__xludf.DUMMYFUNCTION("""COMPUTED_VALUE"""),"3Q 2023")</f>
        <v>3Q 2023</v>
      </c>
      <c r="AD391" s="4"/>
      <c r="AE391" s="4"/>
      <c r="AF391" s="4"/>
      <c r="AG391" s="4"/>
      <c r="AH391" s="4"/>
      <c r="AI391" s="4"/>
      <c r="AJ391" s="4"/>
      <c r="AK391" s="131" t="str">
        <f ca="1">IFERROR(__xludf.DUMMYFUNCTION("""COMPUTED_VALUE"""),"COLWSPREST-7866")</f>
        <v>COLWSPREST-7866</v>
      </c>
      <c r="AL391" s="4" t="str">
        <f ca="1">IFERROR(__xludf.DUMMYFUNCTION("""COMPUTED_VALUE"""),"New")</f>
        <v>New</v>
      </c>
      <c r="AM391" s="4"/>
      <c r="AN391" s="4" t="str">
        <f ca="1">IFERROR(__xludf.DUMMYFUNCTION("""COMPUTED_VALUE"""),"Entregable en backlog")</f>
        <v>Entregable en backlog</v>
      </c>
      <c r="AO391" s="4"/>
      <c r="AP391" s="4"/>
      <c r="AQ391" s="4"/>
      <c r="AR391" s="4" t="str">
        <f ca="1">IFERROR(__xludf.DUMMYFUNCTION("""COMPUTED_VALUE"""),"SDA aprobada en PPP Q1 2023")</f>
        <v>SDA aprobada en PPP Q1 2023</v>
      </c>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row>
    <row r="392" spans="1:132" x14ac:dyDescent="0.2">
      <c r="A392" s="4">
        <f ca="1">IFERROR(__xludf.DUMMYFUNCTION("""COMPUTED_VALUE"""),392)</f>
        <v>392</v>
      </c>
      <c r="B392" s="4">
        <f ca="1">IFERROR(__xludf.DUMMYFUNCTION("""COMPUTED_VALUE"""),367)</f>
        <v>367</v>
      </c>
      <c r="C392" s="4" t="str">
        <f ca="1">IFERROR(__xludf.DUMMYFUNCTION("""COMPUTED_VALUE"""),"SDATOOL-40536")</f>
        <v>SDATOOL-40536</v>
      </c>
      <c r="D392" s="4" t="str">
        <f ca="1">IFERROR(__xludf.DUMMYFUNCTION("""COMPUTED_VALUE"""),"Google analitycs 4")</f>
        <v>Google analitycs 4</v>
      </c>
      <c r="E392"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2" s="4" t="str">
        <f ca="1">IFERROR(__xludf.DUMMYFUNCTION("""COMPUTED_VALUE"""),"Initiative")</f>
        <v>Initiative</v>
      </c>
      <c r="G392" s="4" t="str">
        <f ca="1">IFERROR(__xludf.DUMMYFUNCTION("""COMPUTED_VALUE"""),"Stock")</f>
        <v>Stock</v>
      </c>
      <c r="H392" s="4" t="str">
        <f ca="1">IFERROR(__xludf.DUMMYFUNCTION("""COMPUTED_VALUE"""),"3Q 2023")</f>
        <v>3Q 2023</v>
      </c>
      <c r="I392" s="131" t="str">
        <f ca="1">IFERROR(__xludf.DUMMYFUNCTION("""COMPUTED_VALUE"""),"hugofernando.parra-bbva.com")</f>
        <v>hugofernando.parra-bbva.com</v>
      </c>
      <c r="J392" s="131" t="str">
        <f ca="1">IFERROR(__xludf.DUMMYFUNCTION("""COMPUTED_VALUE"""),"geovany.ramirez-bbva.com")</f>
        <v>geovany.ramirez-bbva.com</v>
      </c>
      <c r="K392" s="131" t="str">
        <f ca="1">IFERROR(__xludf.DUMMYFUNCTION("""COMPUTED_VALUE"""),"santiago.campuzano-bbva.com")</f>
        <v>santiago.campuzano-bbva.com</v>
      </c>
      <c r="L392" s="4"/>
      <c r="M392" s="4"/>
      <c r="N392" s="4"/>
      <c r="O392" s="4" t="str">
        <f ca="1">IFERROR(__xludf.DUMMYFUNCTION("""COMPUTED_VALUE"""),"Waterfall")</f>
        <v>Waterfall</v>
      </c>
      <c r="P392" s="4" t="str">
        <f ca="1">IFERROR(__xludf.DUMMYFUNCTION("""COMPUTED_VALUE"""),"Tradicional")</f>
        <v>Tradicional</v>
      </c>
      <c r="Q392" s="4"/>
      <c r="R392" s="130" t="str">
        <f ca="1">IFERROR(__xludf.DUMMYFUNCTION("""COMPUTED_VALUE"""),"Marketing &amp; Digital Sales")</f>
        <v>Marketing &amp; Digital Sales</v>
      </c>
      <c r="S392" s="130" t="str">
        <f ca="1">IFERROR(__xludf.DUMMYFUNCTION("""COMPUTED_VALUE""")," Otros")</f>
        <v xml:space="preserve"> Otros</v>
      </c>
      <c r="T392" s="130" t="str">
        <f ca="1">IFERROR(__xludf.DUMMYFUNCTION("""COMPUTED_VALUE"""),"Otros")</f>
        <v>Otros</v>
      </c>
      <c r="U392" s="130" t="str">
        <f ca="1">IFERROR(__xludf.DUMMYFUNCTION("""COMPUTED_VALUE"""),"No Aplica")</f>
        <v>No Aplica</v>
      </c>
      <c r="V392" s="4" t="str">
        <f ca="1">IFERROR(__xludf.DUMMYFUNCTION("""COMPUTED_VALUE"""),"Digital Sales")</f>
        <v>Digital Sales</v>
      </c>
      <c r="W392" s="4">
        <f ca="1">IFERROR(__xludf.DUMMYFUNCTION("""COMPUTED_VALUE"""),2)</f>
        <v>2</v>
      </c>
      <c r="X392" s="4" t="str">
        <f ca="1">IFERROR(__xludf.DUMMYFUNCTION("""COMPUTED_VALUE"""),"10. Otros")</f>
        <v>10. Otros</v>
      </c>
      <c r="Y392" s="4" t="str">
        <f ca="1">IFERROR(__xludf.DUMMYFUNCTION("""COMPUTED_VALUE""")," Otros")</f>
        <v xml:space="preserve"> Otros</v>
      </c>
      <c r="Z392" s="132" t="str">
        <f ca="1">IFERROR(__xludf.DUMMYFUNCTION("""COMPUTED_VALUE"""),"626141")</f>
        <v>626141</v>
      </c>
      <c r="AA392" s="4" t="str">
        <f ca="1">IFERROR(__xludf.DUMMYFUNCTION("""COMPUTED_VALUE"""),"Google Analytics - Cuentas")</f>
        <v>Google Analytics - Cuentas</v>
      </c>
      <c r="AB392"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2" s="4" t="str">
        <f ca="1">IFERROR(__xludf.DUMMYFUNCTION("""COMPUTED_VALUE"""),"3Q 2023")</f>
        <v>3Q 2023</v>
      </c>
      <c r="AD392" s="4"/>
      <c r="AE392" s="4"/>
      <c r="AF392" s="4"/>
      <c r="AG392" s="4"/>
      <c r="AH392" s="4"/>
      <c r="AI392" s="4"/>
      <c r="AJ392" s="4"/>
      <c r="AK392" s="131" t="str">
        <f ca="1">IFERROR(__xludf.DUMMYFUNCTION("""COMPUTED_VALUE"""),"COLWSPREST-7865")</f>
        <v>COLWSPREST-7865</v>
      </c>
      <c r="AL392" s="4" t="str">
        <f ca="1">IFERROR(__xludf.DUMMYFUNCTION("""COMPUTED_VALUE"""),"New")</f>
        <v>New</v>
      </c>
      <c r="AM392" s="4"/>
      <c r="AN392" s="4" t="str">
        <f ca="1">IFERROR(__xludf.DUMMYFUNCTION("""COMPUTED_VALUE"""),"Entregable en backlog")</f>
        <v>Entregable en backlog</v>
      </c>
      <c r="AO392" s="4"/>
      <c r="AP392" s="4"/>
      <c r="AQ392" s="4"/>
      <c r="AR392" s="4" t="str">
        <f ca="1">IFERROR(__xludf.DUMMYFUNCTION("""COMPUTED_VALUE"""),"SDA aprobada en PPP Q1 2023")</f>
        <v>SDA aprobada en PPP Q1 2023</v>
      </c>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row>
    <row r="393" spans="1:132" x14ac:dyDescent="0.2">
      <c r="A393" s="4">
        <f ca="1">IFERROR(__xludf.DUMMYFUNCTION("""COMPUTED_VALUE"""),393)</f>
        <v>393</v>
      </c>
      <c r="B393" s="4">
        <f ca="1">IFERROR(__xludf.DUMMYFUNCTION("""COMPUTED_VALUE"""),368)</f>
        <v>368</v>
      </c>
      <c r="C393" s="4" t="str">
        <f ca="1">IFERROR(__xludf.DUMMYFUNCTION("""COMPUTED_VALUE"""),"SDATOOL-40536")</f>
        <v>SDATOOL-40536</v>
      </c>
      <c r="D393" s="4" t="str">
        <f ca="1">IFERROR(__xludf.DUMMYFUNCTION("""COMPUTED_VALUE"""),"Google analitycs 4")</f>
        <v>Google analitycs 4</v>
      </c>
      <c r="E393"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3" s="4" t="str">
        <f ca="1">IFERROR(__xludf.DUMMYFUNCTION("""COMPUTED_VALUE"""),"Initiative")</f>
        <v>Initiative</v>
      </c>
      <c r="G393" s="4" t="str">
        <f ca="1">IFERROR(__xludf.DUMMYFUNCTION("""COMPUTED_VALUE"""),"Stock")</f>
        <v>Stock</v>
      </c>
      <c r="H393" s="4" t="str">
        <f ca="1">IFERROR(__xludf.DUMMYFUNCTION("""COMPUTED_VALUE"""),"3Q 2023")</f>
        <v>3Q 2023</v>
      </c>
      <c r="I393" s="131" t="str">
        <f ca="1">IFERROR(__xludf.DUMMYFUNCTION("""COMPUTED_VALUE"""),"hugofernando.parra-bbva.com")</f>
        <v>hugofernando.parra-bbva.com</v>
      </c>
      <c r="J393" s="131" t="str">
        <f ca="1">IFERROR(__xludf.DUMMYFUNCTION("""COMPUTED_VALUE"""),"geovany.ramirez-bbva.com")</f>
        <v>geovany.ramirez-bbva.com</v>
      </c>
      <c r="K393" s="131" t="str">
        <f ca="1">IFERROR(__xludf.DUMMYFUNCTION("""COMPUTED_VALUE"""),"santiago.campuzano-bbva.com")</f>
        <v>santiago.campuzano-bbva.com</v>
      </c>
      <c r="L393" s="4"/>
      <c r="M393" s="4"/>
      <c r="N393" s="4"/>
      <c r="O393" s="4" t="str">
        <f ca="1">IFERROR(__xludf.DUMMYFUNCTION("""COMPUTED_VALUE"""),"Waterfall")</f>
        <v>Waterfall</v>
      </c>
      <c r="P393" s="4" t="str">
        <f ca="1">IFERROR(__xludf.DUMMYFUNCTION("""COMPUTED_VALUE"""),"Tradicional")</f>
        <v>Tradicional</v>
      </c>
      <c r="Q393" s="4"/>
      <c r="R393" s="130" t="str">
        <f ca="1">IFERROR(__xludf.DUMMYFUNCTION("""COMPUTED_VALUE"""),"Marketing &amp; Digital Sales")</f>
        <v>Marketing &amp; Digital Sales</v>
      </c>
      <c r="S393" s="130" t="str">
        <f ca="1">IFERROR(__xludf.DUMMYFUNCTION("""COMPUTED_VALUE""")," Otros")</f>
        <v xml:space="preserve"> Otros</v>
      </c>
      <c r="T393" s="130" t="str">
        <f ca="1">IFERROR(__xludf.DUMMYFUNCTION("""COMPUTED_VALUE"""),"Otros")</f>
        <v>Otros</v>
      </c>
      <c r="U393" s="130" t="str">
        <f ca="1">IFERROR(__xludf.DUMMYFUNCTION("""COMPUTED_VALUE"""),"No Aplica")</f>
        <v>No Aplica</v>
      </c>
      <c r="V393" s="4" t="str">
        <f ca="1">IFERROR(__xludf.DUMMYFUNCTION("""COMPUTED_VALUE"""),"Digital Sales")</f>
        <v>Digital Sales</v>
      </c>
      <c r="W393" s="4">
        <f ca="1">IFERROR(__xludf.DUMMYFUNCTION("""COMPUTED_VALUE"""),2)</f>
        <v>2</v>
      </c>
      <c r="X393" s="4" t="str">
        <f ca="1">IFERROR(__xludf.DUMMYFUNCTION("""COMPUTED_VALUE"""),"10. Otros")</f>
        <v>10. Otros</v>
      </c>
      <c r="Y393" s="4" t="str">
        <f ca="1">IFERROR(__xludf.DUMMYFUNCTION("""COMPUTED_VALUE""")," Otros")</f>
        <v xml:space="preserve"> Otros</v>
      </c>
      <c r="Z393" s="132" t="str">
        <f ca="1">IFERROR(__xludf.DUMMYFUNCTION("""COMPUTED_VALUE"""),"626140")</f>
        <v>626140</v>
      </c>
      <c r="AA393" s="4" t="str">
        <f ca="1">IFERROR(__xludf.DUMMYFUNCTION("""COMPUTED_VALUE"""),"Google Analytics - Libranza")</f>
        <v>Google Analytics - Libranza</v>
      </c>
      <c r="AB393"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3" s="4" t="str">
        <f ca="1">IFERROR(__xludf.DUMMYFUNCTION("""COMPUTED_VALUE"""),"3Q 2023")</f>
        <v>3Q 2023</v>
      </c>
      <c r="AD393" s="4"/>
      <c r="AE393" s="4"/>
      <c r="AF393" s="4"/>
      <c r="AG393" s="4"/>
      <c r="AH393" s="4"/>
      <c r="AI393" s="4"/>
      <c r="AJ393" s="4"/>
      <c r="AK393" s="131" t="str">
        <f ca="1">IFERROR(__xludf.DUMMYFUNCTION("""COMPUTED_VALUE"""),"COLWSPREST-7864")</f>
        <v>COLWSPREST-7864</v>
      </c>
      <c r="AL393" s="4" t="str">
        <f ca="1">IFERROR(__xludf.DUMMYFUNCTION("""COMPUTED_VALUE"""),"New")</f>
        <v>New</v>
      </c>
      <c r="AM393" s="4"/>
      <c r="AN393" s="4" t="str">
        <f ca="1">IFERROR(__xludf.DUMMYFUNCTION("""COMPUTED_VALUE"""),"Entregable en backlog")</f>
        <v>Entregable en backlog</v>
      </c>
      <c r="AO393" s="4"/>
      <c r="AP393" s="4"/>
      <c r="AQ393" s="4"/>
      <c r="AR393" s="4" t="str">
        <f ca="1">IFERROR(__xludf.DUMMYFUNCTION("""COMPUTED_VALUE"""),"SDA aprobada en PPP Q1 2023")</f>
        <v>SDA aprobada en PPP Q1 2023</v>
      </c>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row>
    <row r="394" spans="1:132" x14ac:dyDescent="0.2">
      <c r="A394" s="4">
        <f ca="1">IFERROR(__xludf.DUMMYFUNCTION("""COMPUTED_VALUE"""),394)</f>
        <v>394</v>
      </c>
      <c r="B394" s="4">
        <f ca="1">IFERROR(__xludf.DUMMYFUNCTION("""COMPUTED_VALUE"""),369)</f>
        <v>369</v>
      </c>
      <c r="C394" s="4" t="str">
        <f ca="1">IFERROR(__xludf.DUMMYFUNCTION("""COMPUTED_VALUE"""),"SDATOOL-40536")</f>
        <v>SDATOOL-40536</v>
      </c>
      <c r="D394" s="4" t="str">
        <f ca="1">IFERROR(__xludf.DUMMYFUNCTION("""COMPUTED_VALUE"""),"Google analitycs 4")</f>
        <v>Google analitycs 4</v>
      </c>
      <c r="E394"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4" s="4" t="str">
        <f ca="1">IFERROR(__xludf.DUMMYFUNCTION("""COMPUTED_VALUE"""),"Initiative")</f>
        <v>Initiative</v>
      </c>
      <c r="G394" s="4" t="str">
        <f ca="1">IFERROR(__xludf.DUMMYFUNCTION("""COMPUTED_VALUE"""),"Stock")</f>
        <v>Stock</v>
      </c>
      <c r="H394" s="4" t="str">
        <f ca="1">IFERROR(__xludf.DUMMYFUNCTION("""COMPUTED_VALUE"""),"3Q 2023")</f>
        <v>3Q 2023</v>
      </c>
      <c r="I394" s="131" t="str">
        <f ca="1">IFERROR(__xludf.DUMMYFUNCTION("""COMPUTED_VALUE"""),"hugofernando.parra-bbva.com")</f>
        <v>hugofernando.parra-bbva.com</v>
      </c>
      <c r="J394" s="131" t="str">
        <f ca="1">IFERROR(__xludf.DUMMYFUNCTION("""COMPUTED_VALUE"""),"geovany.ramirez-bbva.com")</f>
        <v>geovany.ramirez-bbva.com</v>
      </c>
      <c r="K394" s="131" t="str">
        <f ca="1">IFERROR(__xludf.DUMMYFUNCTION("""COMPUTED_VALUE"""),"santiago.campuzano-bbva.com")</f>
        <v>santiago.campuzano-bbva.com</v>
      </c>
      <c r="L394" s="4"/>
      <c r="M394" s="4"/>
      <c r="N394" s="4"/>
      <c r="O394" s="4" t="str">
        <f ca="1">IFERROR(__xludf.DUMMYFUNCTION("""COMPUTED_VALUE"""),"Waterfall")</f>
        <v>Waterfall</v>
      </c>
      <c r="P394" s="4" t="str">
        <f ca="1">IFERROR(__xludf.DUMMYFUNCTION("""COMPUTED_VALUE"""),"Tradicional")</f>
        <v>Tradicional</v>
      </c>
      <c r="Q394" s="4"/>
      <c r="R394" s="130" t="str">
        <f ca="1">IFERROR(__xludf.DUMMYFUNCTION("""COMPUTED_VALUE"""),"Marketing &amp; Digital Sales")</f>
        <v>Marketing &amp; Digital Sales</v>
      </c>
      <c r="S394" s="130" t="str">
        <f ca="1">IFERROR(__xludf.DUMMYFUNCTION("""COMPUTED_VALUE""")," Otros")</f>
        <v xml:space="preserve"> Otros</v>
      </c>
      <c r="T394" s="130" t="str">
        <f ca="1">IFERROR(__xludf.DUMMYFUNCTION("""COMPUTED_VALUE"""),"Otros")</f>
        <v>Otros</v>
      </c>
      <c r="U394" s="130" t="str">
        <f ca="1">IFERROR(__xludf.DUMMYFUNCTION("""COMPUTED_VALUE"""),"No Aplica")</f>
        <v>No Aplica</v>
      </c>
      <c r="V394" s="4" t="str">
        <f ca="1">IFERROR(__xludf.DUMMYFUNCTION("""COMPUTED_VALUE"""),"Digital Sales")</f>
        <v>Digital Sales</v>
      </c>
      <c r="W394" s="4">
        <f ca="1">IFERROR(__xludf.DUMMYFUNCTION("""COMPUTED_VALUE"""),2)</f>
        <v>2</v>
      </c>
      <c r="X394" s="4" t="str">
        <f ca="1">IFERROR(__xludf.DUMMYFUNCTION("""COMPUTED_VALUE"""),"10. Otros")</f>
        <v>10. Otros</v>
      </c>
      <c r="Y394" s="4" t="str">
        <f ca="1">IFERROR(__xludf.DUMMYFUNCTION("""COMPUTED_VALUE""")," Otros")</f>
        <v xml:space="preserve"> Otros</v>
      </c>
      <c r="Z394" s="132" t="str">
        <f ca="1">IFERROR(__xludf.DUMMYFUNCTION("""COMPUTED_VALUE"""),"626139")</f>
        <v>626139</v>
      </c>
      <c r="AA394" s="4" t="str">
        <f ca="1">IFERROR(__xludf.DUMMYFUNCTION("""COMPUTED_VALUE"""),"Google Analytics - Vehículo")</f>
        <v>Google Analytics - Vehículo</v>
      </c>
      <c r="AB394"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4" s="4" t="str">
        <f ca="1">IFERROR(__xludf.DUMMYFUNCTION("""COMPUTED_VALUE"""),"3Q 2023")</f>
        <v>3Q 2023</v>
      </c>
      <c r="AD394" s="4"/>
      <c r="AE394" s="4"/>
      <c r="AF394" s="4"/>
      <c r="AG394" s="4"/>
      <c r="AH394" s="4"/>
      <c r="AI394" s="4"/>
      <c r="AJ394" s="4"/>
      <c r="AK394" s="131" t="str">
        <f ca="1">IFERROR(__xludf.DUMMYFUNCTION("""COMPUTED_VALUE"""),"COLWSPREST-7863")</f>
        <v>COLWSPREST-7863</v>
      </c>
      <c r="AL394" s="4" t="str">
        <f ca="1">IFERROR(__xludf.DUMMYFUNCTION("""COMPUTED_VALUE"""),"New")</f>
        <v>New</v>
      </c>
      <c r="AM394" s="4"/>
      <c r="AN394" s="4" t="str">
        <f ca="1">IFERROR(__xludf.DUMMYFUNCTION("""COMPUTED_VALUE"""),"Entregable en backlog")</f>
        <v>Entregable en backlog</v>
      </c>
      <c r="AO394" s="4"/>
      <c r="AP394" s="4"/>
      <c r="AQ394" s="4"/>
      <c r="AR394" s="4" t="str">
        <f ca="1">IFERROR(__xludf.DUMMYFUNCTION("""COMPUTED_VALUE"""),"SDA aprobada en PPP Q1 2023")</f>
        <v>SDA aprobada en PPP Q1 2023</v>
      </c>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row>
    <row r="395" spans="1:132" x14ac:dyDescent="0.2">
      <c r="A395" s="4">
        <f ca="1">IFERROR(__xludf.DUMMYFUNCTION("""COMPUTED_VALUE"""),395)</f>
        <v>395</v>
      </c>
      <c r="B395" s="4">
        <f ca="1">IFERROR(__xludf.DUMMYFUNCTION("""COMPUTED_VALUE"""),370)</f>
        <v>370</v>
      </c>
      <c r="C395" s="4" t="str">
        <f ca="1">IFERROR(__xludf.DUMMYFUNCTION("""COMPUTED_VALUE"""),"SDATOOL-40536")</f>
        <v>SDATOOL-40536</v>
      </c>
      <c r="D395" s="4" t="str">
        <f ca="1">IFERROR(__xludf.DUMMYFUNCTION("""COMPUTED_VALUE"""),"Google analitycs 4")</f>
        <v>Google analitycs 4</v>
      </c>
      <c r="E395"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5" s="4" t="str">
        <f ca="1">IFERROR(__xludf.DUMMYFUNCTION("""COMPUTED_VALUE"""),"Initiative")</f>
        <v>Initiative</v>
      </c>
      <c r="G395" s="4" t="str">
        <f ca="1">IFERROR(__xludf.DUMMYFUNCTION("""COMPUTED_VALUE"""),"Stock")</f>
        <v>Stock</v>
      </c>
      <c r="H395" s="4" t="str">
        <f ca="1">IFERROR(__xludf.DUMMYFUNCTION("""COMPUTED_VALUE"""),"3Q 2023")</f>
        <v>3Q 2023</v>
      </c>
      <c r="I395" s="131" t="str">
        <f ca="1">IFERROR(__xludf.DUMMYFUNCTION("""COMPUTED_VALUE"""),"hugofernando.parra-bbva.com")</f>
        <v>hugofernando.parra-bbva.com</v>
      </c>
      <c r="J395" s="131" t="str">
        <f ca="1">IFERROR(__xludf.DUMMYFUNCTION("""COMPUTED_VALUE"""),"geovany.ramirez-bbva.com")</f>
        <v>geovany.ramirez-bbva.com</v>
      </c>
      <c r="K395" s="131" t="str">
        <f ca="1">IFERROR(__xludf.DUMMYFUNCTION("""COMPUTED_VALUE"""),"santiago.campuzano-bbva.com")</f>
        <v>santiago.campuzano-bbva.com</v>
      </c>
      <c r="L395" s="4"/>
      <c r="M395" s="4"/>
      <c r="N395" s="4"/>
      <c r="O395" s="4" t="str">
        <f ca="1">IFERROR(__xludf.DUMMYFUNCTION("""COMPUTED_VALUE"""),"Waterfall")</f>
        <v>Waterfall</v>
      </c>
      <c r="P395" s="4" t="str">
        <f ca="1">IFERROR(__xludf.DUMMYFUNCTION("""COMPUTED_VALUE"""),"Tradicional")</f>
        <v>Tradicional</v>
      </c>
      <c r="Q395" s="4"/>
      <c r="R395" s="130" t="str">
        <f ca="1">IFERROR(__xludf.DUMMYFUNCTION("""COMPUTED_VALUE"""),"Marketing &amp; Digital Sales")</f>
        <v>Marketing &amp; Digital Sales</v>
      </c>
      <c r="S395" s="130" t="str">
        <f ca="1">IFERROR(__xludf.DUMMYFUNCTION("""COMPUTED_VALUE""")," Otros")</f>
        <v xml:space="preserve"> Otros</v>
      </c>
      <c r="T395" s="130" t="str">
        <f ca="1">IFERROR(__xludf.DUMMYFUNCTION("""COMPUTED_VALUE"""),"Otros")</f>
        <v>Otros</v>
      </c>
      <c r="U395" s="130" t="str">
        <f ca="1">IFERROR(__xludf.DUMMYFUNCTION("""COMPUTED_VALUE"""),"No Aplica")</f>
        <v>No Aplica</v>
      </c>
      <c r="V395" s="4" t="str">
        <f ca="1">IFERROR(__xludf.DUMMYFUNCTION("""COMPUTED_VALUE"""),"Digital Sales")</f>
        <v>Digital Sales</v>
      </c>
      <c r="W395" s="4">
        <f ca="1">IFERROR(__xludf.DUMMYFUNCTION("""COMPUTED_VALUE"""),2)</f>
        <v>2</v>
      </c>
      <c r="X395" s="4" t="str">
        <f ca="1">IFERROR(__xludf.DUMMYFUNCTION("""COMPUTED_VALUE"""),"10. Otros")</f>
        <v>10. Otros</v>
      </c>
      <c r="Y395" s="4" t="str">
        <f ca="1">IFERROR(__xludf.DUMMYFUNCTION("""COMPUTED_VALUE""")," Otros")</f>
        <v xml:space="preserve"> Otros</v>
      </c>
      <c r="Z395" s="132" t="str">
        <f ca="1">IFERROR(__xludf.DUMMYFUNCTION("""COMPUTED_VALUE"""),"626138")</f>
        <v>626138</v>
      </c>
      <c r="AA395" s="4" t="str">
        <f ca="1">IFERROR(__xludf.DUMMYFUNCTION("""COMPUTED_VALUE"""),"Google Analytics - Vivienda")</f>
        <v>Google Analytics - Vivienda</v>
      </c>
      <c r="AB395"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5" s="4" t="str">
        <f ca="1">IFERROR(__xludf.DUMMYFUNCTION("""COMPUTED_VALUE"""),"3Q 2023")</f>
        <v>3Q 2023</v>
      </c>
      <c r="AD395" s="4"/>
      <c r="AE395" s="4"/>
      <c r="AF395" s="4"/>
      <c r="AG395" s="4"/>
      <c r="AH395" s="4"/>
      <c r="AI395" s="4"/>
      <c r="AJ395" s="4"/>
      <c r="AK395" s="131" t="str">
        <f ca="1">IFERROR(__xludf.DUMMYFUNCTION("""COMPUTED_VALUE"""),"COLWSPREST-7862")</f>
        <v>COLWSPREST-7862</v>
      </c>
      <c r="AL395" s="4" t="str">
        <f ca="1">IFERROR(__xludf.DUMMYFUNCTION("""COMPUTED_VALUE"""),"New")</f>
        <v>New</v>
      </c>
      <c r="AM395" s="4"/>
      <c r="AN395" s="4" t="str">
        <f ca="1">IFERROR(__xludf.DUMMYFUNCTION("""COMPUTED_VALUE"""),"Entregable en backlog")</f>
        <v>Entregable en backlog</v>
      </c>
      <c r="AO395" s="4"/>
      <c r="AP395" s="4"/>
      <c r="AQ395" s="4"/>
      <c r="AR395" s="4" t="str">
        <f ca="1">IFERROR(__xludf.DUMMYFUNCTION("""COMPUTED_VALUE"""),"SDA aprobada en PPP Q1 2023")</f>
        <v>SDA aprobada en PPP Q1 2023</v>
      </c>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row>
    <row r="396" spans="1:132" x14ac:dyDescent="0.2">
      <c r="A396" s="4">
        <f ca="1">IFERROR(__xludf.DUMMYFUNCTION("""COMPUTED_VALUE"""),396)</f>
        <v>396</v>
      </c>
      <c r="B396" s="4">
        <f ca="1">IFERROR(__xludf.DUMMYFUNCTION("""COMPUTED_VALUE"""),371)</f>
        <v>371</v>
      </c>
      <c r="C396" s="4" t="str">
        <f ca="1">IFERROR(__xludf.DUMMYFUNCTION("""COMPUTED_VALUE"""),"SDATOOL-40578")</f>
        <v>SDATOOL-40578</v>
      </c>
      <c r="D396" s="4" t="str">
        <f ca="1">IFERROR(__xludf.DUMMYFUNCTION("""COMPUTED_VALUE"""),"Ad Verification")</f>
        <v>Ad Verification</v>
      </c>
      <c r="E396" s="4" t="str">
        <f ca="1">IFERROR(__xludf.DUMMYFUNCTION("""COMPUTED_VALUE"""),"Para considerar que una campaña ha tenido un mínimo nivel de calidad es necesario asegurar que sus anuncios:
Han sido entregados a un usuario humano
Que esta entrega realmente haya sido vista
Que el contenido que rodea al anuncio no suponga un riesgo para"&amp;" la marca BBVA
Para ello se recomienda el uso de herramientas de Ad Verification, que nos ayudarán con 3 tipos de soluciones: Brand safety / Ad viewability / Ad fraud.")</f>
        <v>Para considerar que una campaña ha tenido un mínimo nivel de calidad es necesario asegurar que sus anuncios:
Han sido entregados a un usuario humano
Que esta entrega realmente haya sido vista
Que el contenido que rodea al anuncio no suponga un riesgo para la marca BBVA
Para ello se recomienda el uso de herramientas de Ad Verification, que nos ayudarán con 3 tipos de soluciones: Brand safety / Ad viewability / Ad fraud.</v>
      </c>
      <c r="F396" s="4" t="str">
        <f ca="1">IFERROR(__xludf.DUMMYFUNCTION("""COMPUTED_VALUE"""),"Initiative")</f>
        <v>Initiative</v>
      </c>
      <c r="G396" s="4" t="str">
        <f ca="1">IFERROR(__xludf.DUMMYFUNCTION("""COMPUTED_VALUE"""),"Stock")</f>
        <v>Stock</v>
      </c>
      <c r="H396" s="4" t="str">
        <f ca="1">IFERROR(__xludf.DUMMYFUNCTION("""COMPUTED_VALUE"""),"4Q 2023")</f>
        <v>4Q 2023</v>
      </c>
      <c r="I396" s="131" t="str">
        <f ca="1">IFERROR(__xludf.DUMMYFUNCTION("""COMPUTED_VALUE"""),"hugofernando.parra-bbva.com")</f>
        <v>hugofernando.parra-bbva.com</v>
      </c>
      <c r="J396" s="131" t="str">
        <f ca="1">IFERROR(__xludf.DUMMYFUNCTION("""COMPUTED_VALUE"""),"geovany.ramirez-bbva.com")</f>
        <v>geovany.ramirez-bbva.com</v>
      </c>
      <c r="K396" s="131" t="str">
        <f ca="1">IFERROR(__xludf.DUMMYFUNCTION("""COMPUTED_VALUE"""),"juana.vergara-bbva.com")</f>
        <v>juana.vergara-bbva.com</v>
      </c>
      <c r="L396" s="130">
        <f ca="1">IFERROR(__xludf.DUMMYFUNCTION("""COMPUTED_VALUE"""),0.1)</f>
        <v>0.1</v>
      </c>
      <c r="M396" s="130">
        <f ca="1">IFERROR(__xludf.DUMMYFUNCTION("""COMPUTED_VALUE"""),0)</f>
        <v>0</v>
      </c>
      <c r="N396" s="130">
        <f ca="1">IFERROR(__xludf.DUMMYFUNCTION("""COMPUTED_VALUE"""),0)</f>
        <v>0</v>
      </c>
      <c r="O396" s="4" t="str">
        <f ca="1">IFERROR(__xludf.DUMMYFUNCTION("""COMPUTED_VALUE"""),"Waterfall")</f>
        <v>Waterfall</v>
      </c>
      <c r="P396" s="4" t="str">
        <f ca="1">IFERROR(__xludf.DUMMYFUNCTION("""COMPUTED_VALUE"""),"Tradicional")</f>
        <v>Tradicional</v>
      </c>
      <c r="Q396" s="4"/>
      <c r="R396" s="130" t="str">
        <f ca="1">IFERROR(__xludf.DUMMYFUNCTION("""COMPUTED_VALUE"""),"Marketing &amp; Digital Sales")</f>
        <v>Marketing &amp; Digital Sales</v>
      </c>
      <c r="S396" s="130" t="str">
        <f ca="1">IFERROR(__xludf.DUMMYFUNCTION("""COMPUTED_VALUE""")," Otros")</f>
        <v xml:space="preserve"> Otros</v>
      </c>
      <c r="T396" s="130" t="str">
        <f ca="1">IFERROR(__xludf.DUMMYFUNCTION("""COMPUTED_VALUE"""),"Otros")</f>
        <v>Otros</v>
      </c>
      <c r="U396" s="130" t="str">
        <f ca="1">IFERROR(__xludf.DUMMYFUNCTION("""COMPUTED_VALUE"""),"No Aplica")</f>
        <v>No Aplica</v>
      </c>
      <c r="V396" s="4" t="str">
        <f ca="1">IFERROR(__xludf.DUMMYFUNCTION("""COMPUTED_VALUE"""),"Otros")</f>
        <v>Otros</v>
      </c>
      <c r="W396" s="4">
        <f ca="1">IFERROR(__xludf.DUMMYFUNCTION("""COMPUTED_VALUE"""),3)</f>
        <v>3</v>
      </c>
      <c r="X396" s="4" t="str">
        <f ca="1">IFERROR(__xludf.DUMMYFUNCTION("""COMPUTED_VALUE"""),"10. Otros")</f>
        <v>10. Otros</v>
      </c>
      <c r="Y396" s="4" t="str">
        <f ca="1">IFERROR(__xludf.DUMMYFUNCTION("""COMPUTED_VALUE""")," Otros")</f>
        <v xml:space="preserve"> Otros</v>
      </c>
      <c r="Z396" s="132" t="str">
        <f ca="1">IFERROR(__xludf.DUMMYFUNCTION("""COMPUTED_VALUE"""),"626039")</f>
        <v>626039</v>
      </c>
      <c r="AA396" s="4" t="str">
        <f ca="1">IFERROR(__xludf.DUMMYFUNCTION("""COMPUTED_VALUE"""),"Ad Verification")</f>
        <v>Ad Verification</v>
      </c>
      <c r="AB396" s="4" t="str">
        <f ca="1">IFERROR(__xludf.DUMMYFUNCTION("""COMPUTED_VALUE"""),"Garantizar que las pautas sean vistas por humanos, que salgan en portales no polémicos (sexuales, violencia, accidentes, etc) o que se vea por completo lo que permitirá optimizar, como mínimo, el 30% de las impresiones generadas, Esto significa que se ten"&amp;"drá un 30% (aprox) adicional de tráfico de calidad gracias a los anuncios de BBVA.")</f>
        <v>Garantizar que las pautas sean vistas por humanos, que salgan en portales no polémicos (sexuales, violencia, accidentes, etc) o que se vea por completo lo que permitirá optimizar, como mínimo, el 30% de las impresiones generadas, Esto significa que se tendrá un 30% (aprox) adicional de tráfico de calidad gracias a los anuncios de BBVA.</v>
      </c>
      <c r="AC396" s="4" t="str">
        <f ca="1">IFERROR(__xludf.DUMMYFUNCTION("""COMPUTED_VALUE"""),"4Q 2023")</f>
        <v>4Q 2023</v>
      </c>
      <c r="AD396" s="4"/>
      <c r="AE396" s="4"/>
      <c r="AF396" s="4"/>
      <c r="AG396" s="4"/>
      <c r="AH396" s="4"/>
      <c r="AI396" s="4"/>
      <c r="AJ396" s="4"/>
      <c r="AK396" s="131" t="str">
        <f ca="1">IFERROR(__xludf.DUMMYFUNCTION("""COMPUTED_VALUE"""),"COLWSPREST-7867")</f>
        <v>COLWSPREST-7867</v>
      </c>
      <c r="AL396" s="4" t="str">
        <f ca="1">IFERROR(__xludf.DUMMYFUNCTION("""COMPUTED_VALUE"""),"New")</f>
        <v>New</v>
      </c>
      <c r="AM396" s="4"/>
      <c r="AN396" s="4" t="str">
        <f ca="1">IFERROR(__xludf.DUMMYFUNCTION("""COMPUTED_VALUE"""),"Entregable en backlog")</f>
        <v>Entregable en backlog</v>
      </c>
      <c r="AO396" s="4"/>
      <c r="AP396" s="4"/>
      <c r="AQ396" s="4"/>
      <c r="AR396" s="4" t="str">
        <f ca="1">IFERROR(__xludf.DUMMYFUNCTION("""COMPUTED_VALUE"""),"SDA aprobada en PPP Q1 2023")</f>
        <v>SDA aprobada en PPP Q1 2023</v>
      </c>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133">
        <f ca="1">IFERROR(__xludf.DUMMYFUNCTION("""COMPUTED_VALUE"""),0)</f>
        <v>0</v>
      </c>
      <c r="DV396" s="133">
        <f ca="1">IFERROR(__xludf.DUMMYFUNCTION("""COMPUTED_VALUE"""),0)</f>
        <v>0</v>
      </c>
      <c r="DW396" s="133">
        <f ca="1">IFERROR(__xludf.DUMMYFUNCTION("""COMPUTED_VALUE"""),0)</f>
        <v>0</v>
      </c>
      <c r="DX396" s="133">
        <f ca="1">IFERROR(__xludf.DUMMYFUNCTION("""COMPUTED_VALUE"""),30000000)</f>
        <v>30000000</v>
      </c>
      <c r="DY396" s="133">
        <f ca="1">IFERROR(__xludf.DUMMYFUNCTION("""COMPUTED_VALUE"""),0)</f>
        <v>0</v>
      </c>
      <c r="DZ396" s="133">
        <f ca="1">IFERROR(__xludf.DUMMYFUNCTION("""COMPUTED_VALUE"""),30000000)</f>
        <v>30000000</v>
      </c>
      <c r="EA396" s="4"/>
      <c r="EB396" s="4"/>
    </row>
    <row r="397" spans="1:132" x14ac:dyDescent="0.2">
      <c r="A397" s="4">
        <f ca="1">IFERROR(__xludf.DUMMYFUNCTION("""COMPUTED_VALUE"""),397)</f>
        <v>397</v>
      </c>
      <c r="B397" s="4">
        <f ca="1">IFERROR(__xludf.DUMMYFUNCTION("""COMPUTED_VALUE"""),372)</f>
        <v>372</v>
      </c>
      <c r="C397" s="4" t="str">
        <f ca="1">IFERROR(__xludf.DUMMYFUNCTION("""COMPUTED_VALUE"""),"SDATOOL-38527")</f>
        <v>SDATOOL-38527</v>
      </c>
      <c r="D397" s="4" t="str">
        <f ca="1">IFERROR(__xludf.DUMMYFUNCTION("""COMPUTED_VALUE"""),"Pagaré Electrónico en flujos de Contratación digital")</f>
        <v>Pagaré Electrónico en flujos de Contratación digital</v>
      </c>
      <c r="E397" s="4" t="str">
        <f ca="1">IFERROR(__xludf.DUMMYFUNCTION("""COMPUTED_VALUE"""),"Incorporar el ""pagaré electrónico"" a los flujos de contratación de ofertas proactivas, que se encuentran en consumo en los canales Net, Móvil y ATM")</f>
        <v>Incorporar el "pagaré electrónico" a los flujos de contratación de ofertas proactivas, que se encuentran en consumo en los canales Net, Móvil y ATM</v>
      </c>
      <c r="F397" s="4" t="str">
        <f ca="1">IFERROR(__xludf.DUMMYFUNCTION("""COMPUTED_VALUE"""),"Project")</f>
        <v>Project</v>
      </c>
      <c r="G397" s="4" t="str">
        <f ca="1">IFERROR(__xludf.DUMMYFUNCTION("""COMPUTED_VALUE"""),"On hold")</f>
        <v>On hold</v>
      </c>
      <c r="H397" s="4" t="str">
        <f ca="1">IFERROR(__xludf.DUMMYFUNCTION("""COMPUTED_VALUE"""),"2Q 2023")</f>
        <v>2Q 2023</v>
      </c>
      <c r="I397" s="131" t="str">
        <f ca="1">IFERROR(__xludf.DUMMYFUNCTION("""COMPUTED_VALUE"""),"hugofernando.parra-bbva.com")</f>
        <v>hugofernando.parra-bbva.com</v>
      </c>
      <c r="J397" s="131" t="str">
        <f ca="1">IFERROR(__xludf.DUMMYFUNCTION("""COMPUTED_VALUE"""),"fredy.pineda-bbva.com")</f>
        <v>fredy.pineda-bbva.com</v>
      </c>
      <c r="K397" s="131" t="str">
        <f ca="1">IFERROR(__xludf.DUMMYFUNCTION("""COMPUTED_VALUE"""),"monica.zamudio-bbva.com")</f>
        <v>monica.zamudio-bbva.com</v>
      </c>
      <c r="L397" s="130">
        <f ca="1">IFERROR(__xludf.DUMMYFUNCTION("""COMPUTED_VALUE"""),0)</f>
        <v>0</v>
      </c>
      <c r="M397" s="130">
        <f ca="1">IFERROR(__xludf.DUMMYFUNCTION("""COMPUTED_VALUE"""),0)</f>
        <v>0</v>
      </c>
      <c r="N397" s="130">
        <f ca="1">IFERROR(__xludf.DUMMYFUNCTION("""COMPUTED_VALUE"""),4.03)</f>
        <v>4.03</v>
      </c>
      <c r="O397" s="4" t="str">
        <f ca="1">IFERROR(__xludf.DUMMYFUNCTION("""COMPUTED_VALUE"""),"Scrum")</f>
        <v>Scrum</v>
      </c>
      <c r="P397" s="4" t="str">
        <f ca="1">IFERROR(__xludf.DUMMYFUNCTION("""COMPUTED_VALUE"""),"Raido")</f>
        <v>Raido</v>
      </c>
      <c r="Q397" s="130">
        <f ca="1">IFERROR(__xludf.DUMMYFUNCTION("""COMPUTED_VALUE"""),1)</f>
        <v>1</v>
      </c>
      <c r="R397" s="130" t="str">
        <f ca="1">IFERROR(__xludf.DUMMYFUNCTION("""COMPUTED_VALUE"""),"Retail Execution")</f>
        <v>Retail Execution</v>
      </c>
      <c r="S397" s="130" t="str">
        <f ca="1">IFERROR(__xludf.DUMMYFUNCTION("""COMPUTED_VALUE"""),"Area Review")</f>
        <v>Area Review</v>
      </c>
      <c r="T397" s="130" t="str">
        <f ca="1">IFERROR(__xludf.DUMMYFUNCTION("""COMPUTED_VALUE"""),"1. Generación de Ingresos")</f>
        <v>1. Generación de Ingresos</v>
      </c>
      <c r="U397" s="130" t="str">
        <f ca="1">IFERROR(__xludf.DUMMYFUNCTION("""COMPUTED_VALUE"""),"1.2. Proyectos de Consumo")</f>
        <v>1.2. Proyectos de Consumo</v>
      </c>
      <c r="V397" s="4" t="str">
        <f ca="1">IFERROR(__xludf.DUMMYFUNCTION("""COMPUTED_VALUE"""),"Preaprobados")</f>
        <v>Preaprobados</v>
      </c>
      <c r="W397" s="4">
        <f ca="1">IFERROR(__xludf.DUMMYFUNCTION("""COMPUTED_VALUE"""),1)</f>
        <v>1</v>
      </c>
      <c r="X397" s="4" t="str">
        <f ca="1">IFERROR(__xludf.DUMMYFUNCTION("""COMPUTED_VALUE"""),"05. Cross-sell")</f>
        <v>05. Cross-sell</v>
      </c>
      <c r="Y397" s="4" t="str">
        <f ca="1">IFERROR(__xludf.DUMMYFUNCTION("""COMPUTED_VALUE"""),"5.7.1 Keep the Bank Running")</f>
        <v>5.7.1 Keep the Bank Running</v>
      </c>
      <c r="Z397" s="132" t="str">
        <f ca="1">IFERROR(__xludf.DUMMYFUNCTION("""COMPUTED_VALUE"""),"369578")</f>
        <v>369578</v>
      </c>
      <c r="AA397" s="4" t="str">
        <f ca="1">IFERROR(__xludf.DUMMYFUNCTION("""COMPUTED_VALUE"""),"Integrar a los procesos de pre aprobados de consumo y retanq consumos")</f>
        <v>Integrar a los procesos de pre aprobados de consumo y retanq consumos</v>
      </c>
      <c r="AB397" s="4" t="str">
        <f ca="1">IFERROR(__xludf.DUMMYFUNCTION("""COMPUTED_VALUE"""),"Integrar a los procesos de pre aprobados de consumo y tarjeta de crédito  la pieza de pagaré electrónico")</f>
        <v>Integrar a los procesos de pre aprobados de consumo y tarjeta de crédito  la pieza de pagaré electrónico</v>
      </c>
      <c r="AC397" s="4" t="str">
        <f ca="1">IFERROR(__xludf.DUMMYFUNCTION("""COMPUTED_VALUE"""),"1Q 2023")</f>
        <v>1Q 2023</v>
      </c>
      <c r="AD397" s="128">
        <f ca="1">IFERROR(__xludf.DUMMYFUNCTION("""COMPUTED_VALUE"""),44729)</f>
        <v>44729</v>
      </c>
      <c r="AE397" s="128">
        <f ca="1">IFERROR(__xludf.DUMMYFUNCTION("""COMPUTED_VALUE"""),44757)</f>
        <v>44757</v>
      </c>
      <c r="AF397" s="128">
        <f ca="1">IFERROR(__xludf.DUMMYFUNCTION("""COMPUTED_VALUE"""),44772)</f>
        <v>44772</v>
      </c>
      <c r="AG397" s="128">
        <f ca="1">IFERROR(__xludf.DUMMYFUNCTION("""COMPUTED_VALUE"""),44956)</f>
        <v>44956</v>
      </c>
      <c r="AH397" s="128">
        <f ca="1">IFERROR(__xludf.DUMMYFUNCTION("""COMPUTED_VALUE"""),44972)</f>
        <v>44972</v>
      </c>
      <c r="AI397" s="128">
        <f ca="1">IFERROR(__xludf.DUMMYFUNCTION("""COMPUTED_VALUE"""),45000)</f>
        <v>45000</v>
      </c>
      <c r="AJ397" s="128">
        <f ca="1">IFERROR(__xludf.DUMMYFUNCTION("""COMPUTED_VALUE"""),45015)</f>
        <v>45015</v>
      </c>
      <c r="AK397" s="131" t="str">
        <f ca="1">IFERROR(__xludf.DUMMYFUNCTION("""COMPUTED_VALUE"""),"COLWSCANAL-2520")</f>
        <v>COLWSCANAL-2520</v>
      </c>
      <c r="AL397" s="4" t="str">
        <f ca="1">IFERROR(__xludf.DUMMYFUNCTION("""COMPUTED_VALUE"""),"Deployed")</f>
        <v>Deployed</v>
      </c>
      <c r="AM397" s="4" t="str">
        <f ca="1">IFERROR(__xludf.DUMMYFUNCTION("""COMPUTED_VALUE"""),"En re-definición, Fechas alto nivel CS Soldev.")</f>
        <v>En re-definición, Fechas alto nivel CS Soldev.</v>
      </c>
      <c r="AN397" s="4" t="str">
        <f ca="1">IFERROR(__xludf.DUMMYFUNCTION("""COMPUTED_VALUE"""),"Finalizado")</f>
        <v>Finalizado</v>
      </c>
      <c r="AO397" s="4" t="str">
        <f ca="1">IFERROR(__xludf.DUMMYFUNCTION("""COMPUTED_VALUE"""),"Consumo partnerships")</f>
        <v>Consumo partnerships</v>
      </c>
      <c r="AP397" s="4"/>
      <c r="AQ397" s="4"/>
      <c r="AR397" s="4" t="str">
        <f ca="1">IFERROR(__xludf.DUMMYFUNCTION("""COMPUTED_VALUE"""),"SDA aprobada en PPP Q1 2023")</f>
        <v>SDA aprobada en PPP Q1 2023</v>
      </c>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133">
        <f ca="1">IFERROR(__xludf.DUMMYFUNCTION("""COMPUTED_VALUE"""),0)</f>
        <v>0</v>
      </c>
      <c r="DV397" s="133">
        <f ca="1">IFERROR(__xludf.DUMMYFUNCTION("""COMPUTED_VALUE"""),0)</f>
        <v>0</v>
      </c>
      <c r="DW397" s="133">
        <f ca="1">IFERROR(__xludf.DUMMYFUNCTION("""COMPUTED_VALUE"""),399385751)</f>
        <v>399385751</v>
      </c>
      <c r="DX397" s="133">
        <f ca="1">IFERROR(__xludf.DUMMYFUNCTION("""COMPUTED_VALUE"""),264580818)</f>
        <v>264580818</v>
      </c>
      <c r="DY397" s="133">
        <f ca="1">IFERROR(__xludf.DUMMYFUNCTION("""COMPUTED_VALUE"""),0)</f>
        <v>0</v>
      </c>
      <c r="DZ397" s="133">
        <f ca="1">IFERROR(__xludf.DUMMYFUNCTION("""COMPUTED_VALUE"""),663966569)</f>
        <v>663966569</v>
      </c>
      <c r="EA397" s="4"/>
      <c r="EB397" s="4"/>
    </row>
    <row r="398" spans="1:132" x14ac:dyDescent="0.2">
      <c r="A398" s="4">
        <f ca="1">IFERROR(__xludf.DUMMYFUNCTION("""COMPUTED_VALUE"""),398)</f>
        <v>398</v>
      </c>
      <c r="B398" s="4">
        <f ca="1">IFERROR(__xludf.DUMMYFUNCTION("""COMPUTED_VALUE"""),373)</f>
        <v>373</v>
      </c>
      <c r="C398" s="4" t="str">
        <f ca="1">IFERROR(__xludf.DUMMYFUNCTION("""COMPUTED_VALUE"""),"SDATOOL-38527")</f>
        <v>SDATOOL-38527</v>
      </c>
      <c r="D398" s="4" t="str">
        <f ca="1">IFERROR(__xludf.DUMMYFUNCTION("""COMPUTED_VALUE"""),"Pagaré Electrónico en flujos de Contratación digital")</f>
        <v>Pagaré Electrónico en flujos de Contratación digital</v>
      </c>
      <c r="E398" s="4" t="str">
        <f ca="1">IFERROR(__xludf.DUMMYFUNCTION("""COMPUTED_VALUE"""),"Incorporar el ""pagaré electrónico"" a los flujos de contratación de ofertas proactivas, que se encuentran en consumo en los canales Net, Móvil y ATM")</f>
        <v>Incorporar el "pagaré electrónico" a los flujos de contratación de ofertas proactivas, que se encuentran en consumo en los canales Net, Móvil y ATM</v>
      </c>
      <c r="F398" s="4" t="str">
        <f ca="1">IFERROR(__xludf.DUMMYFUNCTION("""COMPUTED_VALUE"""),"Project")</f>
        <v>Project</v>
      </c>
      <c r="G398" s="4" t="str">
        <f ca="1">IFERROR(__xludf.DUMMYFUNCTION("""COMPUTED_VALUE"""),"On hold")</f>
        <v>On hold</v>
      </c>
      <c r="H398" s="4" t="str">
        <f ca="1">IFERROR(__xludf.DUMMYFUNCTION("""COMPUTED_VALUE"""),"2Q 2023")</f>
        <v>2Q 2023</v>
      </c>
      <c r="I398" s="131" t="str">
        <f ca="1">IFERROR(__xludf.DUMMYFUNCTION("""COMPUTED_VALUE"""),"hugofernando.parra-bbva.com")</f>
        <v>hugofernando.parra-bbva.com</v>
      </c>
      <c r="J398" s="131" t="str">
        <f ca="1">IFERROR(__xludf.DUMMYFUNCTION("""COMPUTED_VALUE"""),"fredy.pineda-bbva.com")</f>
        <v>fredy.pineda-bbva.com</v>
      </c>
      <c r="K398" s="131" t="str">
        <f ca="1">IFERROR(__xludf.DUMMYFUNCTION("""COMPUTED_VALUE"""),"monica.zamudio-bbva.com")</f>
        <v>monica.zamudio-bbva.com</v>
      </c>
      <c r="L398" s="4"/>
      <c r="M398" s="4"/>
      <c r="N398" s="4"/>
      <c r="O398" s="4" t="str">
        <f ca="1">IFERROR(__xludf.DUMMYFUNCTION("""COMPUTED_VALUE"""),"Scrum")</f>
        <v>Scrum</v>
      </c>
      <c r="P398" s="4" t="str">
        <f ca="1">IFERROR(__xludf.DUMMYFUNCTION("""COMPUTED_VALUE"""),"Raido")</f>
        <v>Raido</v>
      </c>
      <c r="Q398" s="4"/>
      <c r="R398" s="130" t="str">
        <f ca="1">IFERROR(__xludf.DUMMYFUNCTION("""COMPUTED_VALUE"""),"Retail Execution")</f>
        <v>Retail Execution</v>
      </c>
      <c r="S398" s="130" t="str">
        <f ca="1">IFERROR(__xludf.DUMMYFUNCTION("""COMPUTED_VALUE"""),"Area Review")</f>
        <v>Area Review</v>
      </c>
      <c r="T398" s="130" t="str">
        <f ca="1">IFERROR(__xludf.DUMMYFUNCTION("""COMPUTED_VALUE"""),"1. Generación de Ingresos")</f>
        <v>1. Generación de Ingresos</v>
      </c>
      <c r="U398" s="130" t="str">
        <f ca="1">IFERROR(__xludf.DUMMYFUNCTION("""COMPUTED_VALUE"""),"1.2. Proyectos de Consumo")</f>
        <v>1.2. Proyectos de Consumo</v>
      </c>
      <c r="V398" s="4" t="str">
        <f ca="1">IFERROR(__xludf.DUMMYFUNCTION("""COMPUTED_VALUE"""),"Preaprobados")</f>
        <v>Preaprobados</v>
      </c>
      <c r="W398" s="4">
        <f ca="1">IFERROR(__xludf.DUMMYFUNCTION("""COMPUTED_VALUE"""),1)</f>
        <v>1</v>
      </c>
      <c r="X398" s="4" t="str">
        <f ca="1">IFERROR(__xludf.DUMMYFUNCTION("""COMPUTED_VALUE"""),"05. Cross-sell")</f>
        <v>05. Cross-sell</v>
      </c>
      <c r="Y398" s="4" t="str">
        <f ca="1">IFERROR(__xludf.DUMMYFUNCTION("""COMPUTED_VALUE"""),"5.7.1 Keep the Bank Running")</f>
        <v>5.7.1 Keep the Bank Running</v>
      </c>
      <c r="Z398" s="132" t="str">
        <f ca="1">IFERROR(__xludf.DUMMYFUNCTION("""COMPUTED_VALUE"""),"492155")</f>
        <v>492155</v>
      </c>
      <c r="AA398" s="4" t="str">
        <f ca="1">IFERROR(__xludf.DUMMYFUNCTION("""COMPUTED_VALUE"""),"Optimización Pagaré Electrónico")</f>
        <v>Optimización Pagaré Electrónico</v>
      </c>
      <c r="AB398" s="4" t="str">
        <f ca="1">IFERROR(__xludf.DUMMYFUNCTION("""COMPUTED_VALUE"""),"Optimizar la creación y disponibilidad del pagaré electrónico para que las PN puedan contratar más rápidamente la oferta de preaprobados. Así como los taging de los diferentes flujos de contratación.")</f>
        <v>Optimizar la creación y disponibilidad del pagaré electrónico para que las PN puedan contratar más rápidamente la oferta de preaprobados. Así como los taging de los diferentes flujos de contratación.</v>
      </c>
      <c r="AC398" s="4" t="str">
        <f ca="1">IFERROR(__xludf.DUMMYFUNCTION("""COMPUTED_VALUE"""),"1Q 2023")</f>
        <v>1Q 2023</v>
      </c>
      <c r="AD398" s="4"/>
      <c r="AE398" s="4"/>
      <c r="AF398" s="4"/>
      <c r="AG398" s="4"/>
      <c r="AH398" s="4"/>
      <c r="AI398" s="4"/>
      <c r="AJ398" s="4"/>
      <c r="AK398" s="131" t="str">
        <f ca="1">IFERROR(__xludf.DUMMYFUNCTION("""COMPUTED_VALUE"""),"COLWSCANAL-2977")</f>
        <v>COLWSCANAL-2977</v>
      </c>
      <c r="AL398" s="4" t="str">
        <f ca="1">IFERROR(__xludf.DUMMYFUNCTION("""COMPUTED_VALUE"""),"En progreso")</f>
        <v>En progreso</v>
      </c>
      <c r="AM398" s="4"/>
      <c r="AN398" s="4" t="str">
        <f ca="1">IFERROR(__xludf.DUMMYFUNCTION("""COMPUTED_VALUE"""),"Entregable en desarrollo")</f>
        <v>Entregable en desarrollo</v>
      </c>
      <c r="AO398" s="4" t="str">
        <f ca="1">IFERROR(__xludf.DUMMYFUNCTION("""COMPUTED_VALUE"""),"Consumo partnerships")</f>
        <v>Consumo partnerships</v>
      </c>
      <c r="AP398" s="4"/>
      <c r="AQ398" s="4"/>
      <c r="AR398" s="4" t="str">
        <f ca="1">IFERROR(__xludf.DUMMYFUNCTION("""COMPUTED_VALUE"""),"SDA aprobada en PPP Q1 2023")</f>
        <v>SDA aprobada en PPP Q1 2023</v>
      </c>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row>
    <row r="399" spans="1:132" x14ac:dyDescent="0.2">
      <c r="A399" s="4">
        <f ca="1">IFERROR(__xludf.DUMMYFUNCTION("""COMPUTED_VALUE"""),399)</f>
        <v>399</v>
      </c>
      <c r="B399" s="4">
        <f ca="1">IFERROR(__xludf.DUMMYFUNCTION("""COMPUTED_VALUE"""),374)</f>
        <v>374</v>
      </c>
      <c r="C399" s="4" t="str">
        <f ca="1">IFERROR(__xludf.DUMMYFUNCTION("""COMPUTED_VALUE"""),"SDATOOL-40472")</f>
        <v>SDATOOL-40472</v>
      </c>
      <c r="D399" s="4" t="str">
        <f ca="1">IFERROR(__xludf.DUMMYFUNCTION("""COMPUTED_VALUE"""),"OPTIMIZACION PREAPROBADOS")</f>
        <v>OPTIMIZACION PREAPROBADOS</v>
      </c>
      <c r="E399"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399" s="4" t="str">
        <f ca="1">IFERROR(__xludf.DUMMYFUNCTION("""COMPUTED_VALUE"""),"Initiative")</f>
        <v>Initiative</v>
      </c>
      <c r="G399" s="4" t="str">
        <f ca="1">IFERROR(__xludf.DUMMYFUNCTION("""COMPUTED_VALUE"""),"Stock")</f>
        <v>Stock</v>
      </c>
      <c r="H399" s="4" t="str">
        <f ca="1">IFERROR(__xludf.DUMMYFUNCTION("""COMPUTED_VALUE"""),"4Q 2023")</f>
        <v>4Q 2023</v>
      </c>
      <c r="I399" s="131" t="str">
        <f ca="1">IFERROR(__xludf.DUMMYFUNCTION("""COMPUTED_VALUE"""),"hugofernando.parra-bbva.com")</f>
        <v>hugofernando.parra-bbva.com</v>
      </c>
      <c r="J399" s="131" t="str">
        <f ca="1">IFERROR(__xludf.DUMMYFUNCTION("""COMPUTED_VALUE"""),"fredy.pineda-bbva.com")</f>
        <v>fredy.pineda-bbva.com</v>
      </c>
      <c r="K399" s="131" t="str">
        <f ca="1">IFERROR(__xludf.DUMMYFUNCTION("""COMPUTED_VALUE"""),"rociomarcela.lopez-bbva.com")</f>
        <v>rociomarcela.lopez-bbva.com</v>
      </c>
      <c r="L399" s="130">
        <f ca="1">IFERROR(__xludf.DUMMYFUNCTION("""COMPUTED_VALUE"""),1)</f>
        <v>1</v>
      </c>
      <c r="M399" s="130">
        <f ca="1">IFERROR(__xludf.DUMMYFUNCTION("""COMPUTED_VALUE"""),0)</f>
        <v>0</v>
      </c>
      <c r="N399" s="130">
        <f ca="1">IFERROR(__xludf.DUMMYFUNCTION("""COMPUTED_VALUE"""),0)</f>
        <v>0</v>
      </c>
      <c r="O399" s="4" t="str">
        <f ca="1">IFERROR(__xludf.DUMMYFUNCTION("""COMPUTED_VALUE"""),"Scrum")</f>
        <v>Scrum</v>
      </c>
      <c r="P399" s="4" t="str">
        <f ca="1">IFERROR(__xludf.DUMMYFUNCTION("""COMPUTED_VALUE"""),"Raido")</f>
        <v>Raido</v>
      </c>
      <c r="Q399" s="130">
        <f ca="1">IFERROR(__xludf.DUMMYFUNCTION("""COMPUTED_VALUE"""),0)</f>
        <v>0</v>
      </c>
      <c r="R399" s="130" t="str">
        <f ca="1">IFERROR(__xludf.DUMMYFUNCTION("""COMPUTED_VALUE"""),"Retail Execution")</f>
        <v>Retail Execution</v>
      </c>
      <c r="S399" s="130" t="str">
        <f ca="1">IFERROR(__xludf.DUMMYFUNCTION("""COMPUTED_VALUE"""),"Strategic Review")</f>
        <v>Strategic Review</v>
      </c>
      <c r="T399" s="130" t="str">
        <f ca="1">IFERROR(__xludf.DUMMYFUNCTION("""COMPUTED_VALUE"""),"1. Generación de Ingresos")</f>
        <v>1. Generación de Ingresos</v>
      </c>
      <c r="U399" s="130" t="str">
        <f ca="1">IFERROR(__xludf.DUMMYFUNCTION("""COMPUTED_VALUE"""),"1.2. Proyectos de Consumo")</f>
        <v>1.2. Proyectos de Consumo</v>
      </c>
      <c r="V399" s="4" t="str">
        <f ca="1">IFERROR(__xludf.DUMMYFUNCTION("""COMPUTED_VALUE"""),"Preaprobados")</f>
        <v>Preaprobados</v>
      </c>
      <c r="W399" s="4">
        <f ca="1">IFERROR(__xludf.DUMMYFUNCTION("""COMPUTED_VALUE"""),1)</f>
        <v>1</v>
      </c>
      <c r="X399" s="4" t="str">
        <f ca="1">IFERROR(__xludf.DUMMYFUNCTION("""COMPUTED_VALUE"""),"05. Cross-sell")</f>
        <v>05. Cross-sell</v>
      </c>
      <c r="Y399" s="4" t="str">
        <f ca="1">IFERROR(__xludf.DUMMYFUNCTION("""COMPUTED_VALUE"""),"5.7.1 Keep the Bank Running")</f>
        <v>5.7.1 Keep the Bank Running</v>
      </c>
      <c r="Z399" s="132" t="str">
        <f ca="1">IFERROR(__xludf.DUMMYFUNCTION("""COMPUTED_VALUE"""),"560531")</f>
        <v>560531</v>
      </c>
      <c r="AA399" s="4" t="str">
        <f ca="1">IFERROR(__xludf.DUMMYFUNCTION("""COMPUTED_VALUE"""),"OptPrea -Enviar mail con documentos de contratación cuando cae fábrica")</f>
        <v>OptPrea -Enviar mail con documentos de contratación cuando cae fábrica</v>
      </c>
      <c r="AB399" s="4" t="str">
        <f ca="1">IFERROR(__xludf.DUMMYFUNCTION("""COMPUTED_VALUE"""),"Como Negocio
Quiero: que a los clientes que contratan una oferta de pre-aprobado por net y en cuyo flujo la operación finaliza en Fábrica de Masivas, reciban vía email los documentos de las condiciones de la contratación y el pagaré del producto que contr"&amp;"ató")</f>
        <v>Como Negocio
Quiero: que a los clientes que contratan una oferta de pre-aprobado por net y en cuyo flujo la operación finaliza en Fábrica de Masivas, reciban vía email los documentos de las condiciones de la contratación y el pagaré del producto que contrató</v>
      </c>
      <c r="AC399" s="4" t="str">
        <f ca="1">IFERROR(__xludf.DUMMYFUNCTION("""COMPUTED_VALUE"""),"2Q 2023")</f>
        <v>2Q 2023</v>
      </c>
      <c r="AD399" s="4"/>
      <c r="AE399" s="4"/>
      <c r="AF399" s="4"/>
      <c r="AG399" s="4"/>
      <c r="AH399" s="4"/>
      <c r="AI399" s="4"/>
      <c r="AJ399" s="4"/>
      <c r="AK399" s="131" t="str">
        <f ca="1">IFERROR(__xludf.DUMMYFUNCTION("""COMPUTED_VALUE"""),"COLWSCANAL-5676")</f>
        <v>COLWSCANAL-5676</v>
      </c>
      <c r="AL399" s="4" t="str">
        <f ca="1">IFERROR(__xludf.DUMMYFUNCTION("""COMPUTED_VALUE"""),"New")</f>
        <v>New</v>
      </c>
      <c r="AM399" s="4"/>
      <c r="AN399" s="4" t="str">
        <f ca="1">IFERROR(__xludf.DUMMYFUNCTION("""COMPUTED_VALUE"""),"Entregable en backlog")</f>
        <v>Entregable en backlog</v>
      </c>
      <c r="AO399" s="4" t="str">
        <f ca="1">IFERROR(__xludf.DUMMYFUNCTION("""COMPUTED_VALUE"""),"Consumo partnerships")</f>
        <v>Consumo partnerships</v>
      </c>
      <c r="AP399" s="4"/>
      <c r="AQ399" s="4"/>
      <c r="AR399" s="4" t="str">
        <f ca="1">IFERROR(__xludf.DUMMYFUNCTION("""COMPUTED_VALUE"""),"SDA aprobada en PPP Q1 2023")</f>
        <v>SDA aprobada en PPP Q1 2023</v>
      </c>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133">
        <f ca="1">IFERROR(__xludf.DUMMYFUNCTION("""COMPUTED_VALUE"""),0)</f>
        <v>0</v>
      </c>
      <c r="DV399" s="133">
        <f ca="1">IFERROR(__xludf.DUMMYFUNCTION("""COMPUTED_VALUE"""),0)</f>
        <v>0</v>
      </c>
      <c r="DW399" s="133">
        <f ca="1">IFERROR(__xludf.DUMMYFUNCTION("""COMPUTED_VALUE"""),0)</f>
        <v>0</v>
      </c>
      <c r="DX399" s="133">
        <f ca="1">IFERROR(__xludf.DUMMYFUNCTION("""COMPUTED_VALUE"""),414000000)</f>
        <v>414000000</v>
      </c>
      <c r="DY399" s="133">
        <f ca="1">IFERROR(__xludf.DUMMYFUNCTION("""COMPUTED_VALUE"""),0)</f>
        <v>0</v>
      </c>
      <c r="DZ399" s="133">
        <f ca="1">IFERROR(__xludf.DUMMYFUNCTION("""COMPUTED_VALUE"""),414000000)</f>
        <v>414000000</v>
      </c>
      <c r="EA399" s="4"/>
      <c r="EB399" s="4"/>
    </row>
    <row r="400" spans="1:132" x14ac:dyDescent="0.2">
      <c r="A400" s="4">
        <f ca="1">IFERROR(__xludf.DUMMYFUNCTION("""COMPUTED_VALUE"""),400)</f>
        <v>400</v>
      </c>
      <c r="B400" s="4">
        <f ca="1">IFERROR(__xludf.DUMMYFUNCTION("""COMPUTED_VALUE"""),375)</f>
        <v>375</v>
      </c>
      <c r="C400" s="4" t="str">
        <f ca="1">IFERROR(__xludf.DUMMYFUNCTION("""COMPUTED_VALUE"""),"SDATOOL-40472")</f>
        <v>SDATOOL-40472</v>
      </c>
      <c r="D400" s="4" t="str">
        <f ca="1">IFERROR(__xludf.DUMMYFUNCTION("""COMPUTED_VALUE"""),"OPTIMIZACION PREAPROBADOS")</f>
        <v>OPTIMIZACION PREAPROBADOS</v>
      </c>
      <c r="E400"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0" s="4" t="str">
        <f ca="1">IFERROR(__xludf.DUMMYFUNCTION("""COMPUTED_VALUE"""),"Initiative")</f>
        <v>Initiative</v>
      </c>
      <c r="G400" s="4" t="str">
        <f ca="1">IFERROR(__xludf.DUMMYFUNCTION("""COMPUTED_VALUE"""),"Stock")</f>
        <v>Stock</v>
      </c>
      <c r="H400" s="4" t="str">
        <f ca="1">IFERROR(__xludf.DUMMYFUNCTION("""COMPUTED_VALUE"""),"4Q 2023")</f>
        <v>4Q 2023</v>
      </c>
      <c r="I400" s="131" t="str">
        <f ca="1">IFERROR(__xludf.DUMMYFUNCTION("""COMPUTED_VALUE"""),"hugofernando.parra-bbva.com")</f>
        <v>hugofernando.parra-bbva.com</v>
      </c>
      <c r="J400" s="131" t="str">
        <f ca="1">IFERROR(__xludf.DUMMYFUNCTION("""COMPUTED_VALUE"""),"fredy.pineda-bbva.com")</f>
        <v>fredy.pineda-bbva.com</v>
      </c>
      <c r="K400" s="131" t="str">
        <f ca="1">IFERROR(__xludf.DUMMYFUNCTION("""COMPUTED_VALUE"""),"rociomarcela.lopez-bbva.com")</f>
        <v>rociomarcela.lopez-bbva.com</v>
      </c>
      <c r="L400" s="4"/>
      <c r="M400" s="4"/>
      <c r="N400" s="4"/>
      <c r="O400" s="4" t="str">
        <f ca="1">IFERROR(__xludf.DUMMYFUNCTION("""COMPUTED_VALUE"""),"Scrum")</f>
        <v>Scrum</v>
      </c>
      <c r="P400" s="4" t="str">
        <f ca="1">IFERROR(__xludf.DUMMYFUNCTION("""COMPUTED_VALUE"""),"Raido")</f>
        <v>Raido</v>
      </c>
      <c r="Q400" s="4"/>
      <c r="R400" s="130" t="str">
        <f ca="1">IFERROR(__xludf.DUMMYFUNCTION("""COMPUTED_VALUE"""),"Retail Execution")</f>
        <v>Retail Execution</v>
      </c>
      <c r="S400" s="130" t="str">
        <f ca="1">IFERROR(__xludf.DUMMYFUNCTION("""COMPUTED_VALUE"""),"Strategic Review")</f>
        <v>Strategic Review</v>
      </c>
      <c r="T400" s="130" t="str">
        <f ca="1">IFERROR(__xludf.DUMMYFUNCTION("""COMPUTED_VALUE"""),"1. Generación de Ingresos")</f>
        <v>1. Generación de Ingresos</v>
      </c>
      <c r="U400" s="130" t="str">
        <f ca="1">IFERROR(__xludf.DUMMYFUNCTION("""COMPUTED_VALUE"""),"1.2. Proyectos de Consumo")</f>
        <v>1.2. Proyectos de Consumo</v>
      </c>
      <c r="V400" s="4" t="str">
        <f ca="1">IFERROR(__xludf.DUMMYFUNCTION("""COMPUTED_VALUE"""),"Preaprobados")</f>
        <v>Preaprobados</v>
      </c>
      <c r="W400" s="4">
        <f ca="1">IFERROR(__xludf.DUMMYFUNCTION("""COMPUTED_VALUE"""),1)</f>
        <v>1</v>
      </c>
      <c r="X400" s="4" t="str">
        <f ca="1">IFERROR(__xludf.DUMMYFUNCTION("""COMPUTED_VALUE"""),"05. Cross-sell")</f>
        <v>05. Cross-sell</v>
      </c>
      <c r="Y400" s="4" t="str">
        <f ca="1">IFERROR(__xludf.DUMMYFUNCTION("""COMPUTED_VALUE"""),"5.7.1 Keep the Bank Running")</f>
        <v>5.7.1 Keep the Bank Running</v>
      </c>
      <c r="Z400" s="132" t="str">
        <f ca="1">IFERROR(__xludf.DUMMYFUNCTION("""COMPUTED_VALUE"""),"713120")</f>
        <v>713120</v>
      </c>
      <c r="AA400" s="4" t="str">
        <f ca="1">IFERROR(__xludf.DUMMYFUNCTION("""COMPUTED_VALUE"""),"OptPre-Domiciliación de pagodesde cuenta de otro banco.")</f>
        <v>OptPre-Domiciliación de pagodesde cuenta de otro banco.</v>
      </c>
      <c r="AB400" s="4" t="str">
        <f ca="1">IFERROR(__xludf.DUMMYFUNCTION("""COMPUTED_VALUE"""),"Como Negocio
Quiero: Que un cliente que tenga una oferta preaprobada de consumo en BBVA Net pueda solicitar la domiciliación del pago desde una cuenta de otro banco")</f>
        <v>Como Negocio
Quiero: Que un cliente que tenga una oferta preaprobada de consumo en BBVA Net pueda solicitar la domiciliación del pago desde una cuenta de otro banco</v>
      </c>
      <c r="AC400" s="4" t="str">
        <f ca="1">IFERROR(__xludf.DUMMYFUNCTION("""COMPUTED_VALUE"""),"3Q 2023")</f>
        <v>3Q 2023</v>
      </c>
      <c r="AD400" s="4"/>
      <c r="AE400" s="4"/>
      <c r="AF400" s="4"/>
      <c r="AG400" s="4"/>
      <c r="AH400" s="4"/>
      <c r="AI400" s="4"/>
      <c r="AJ400" s="4"/>
      <c r="AK400" s="4" t="str">
        <f ca="1">IFERROR(__xludf.DUMMYFUNCTION("""COMPUTED_VALUE"""),"Sin asignar")</f>
        <v>Sin asignar</v>
      </c>
      <c r="AL400" s="4" t="str">
        <f ca="1">IFERROR(__xludf.DUMMYFUNCTION("""COMPUTED_VALUE"""),"Sin asignar")</f>
        <v>Sin asignar</v>
      </c>
      <c r="AM400" s="4"/>
      <c r="AN400" s="4" t="str">
        <f ca="1">IFERROR(__xludf.DUMMYFUNCTION("""COMPUTED_VALUE"""),"Entregable en backlog")</f>
        <v>Entregable en backlog</v>
      </c>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row>
    <row r="401" spans="1:132" x14ac:dyDescent="0.2">
      <c r="A401" s="4">
        <f ca="1">IFERROR(__xludf.DUMMYFUNCTION("""COMPUTED_VALUE"""),401)</f>
        <v>401</v>
      </c>
      <c r="B401" s="4">
        <f ca="1">IFERROR(__xludf.DUMMYFUNCTION("""COMPUTED_VALUE"""),376)</f>
        <v>376</v>
      </c>
      <c r="C401" s="4" t="str">
        <f ca="1">IFERROR(__xludf.DUMMYFUNCTION("""COMPUTED_VALUE"""),"SDATOOL-40472")</f>
        <v>SDATOOL-40472</v>
      </c>
      <c r="D401" s="4" t="str">
        <f ca="1">IFERROR(__xludf.DUMMYFUNCTION("""COMPUTED_VALUE"""),"OPTIMIZACION PREAPROBADOS")</f>
        <v>OPTIMIZACION PREAPROBADOS</v>
      </c>
      <c r="E401"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1" s="4" t="str">
        <f ca="1">IFERROR(__xludf.DUMMYFUNCTION("""COMPUTED_VALUE"""),"Initiative")</f>
        <v>Initiative</v>
      </c>
      <c r="G401" s="4" t="str">
        <f ca="1">IFERROR(__xludf.DUMMYFUNCTION("""COMPUTED_VALUE"""),"Stock")</f>
        <v>Stock</v>
      </c>
      <c r="H401" s="4" t="str">
        <f ca="1">IFERROR(__xludf.DUMMYFUNCTION("""COMPUTED_VALUE"""),"4Q 2023")</f>
        <v>4Q 2023</v>
      </c>
      <c r="I401" s="131" t="str">
        <f ca="1">IFERROR(__xludf.DUMMYFUNCTION("""COMPUTED_VALUE"""),"hugofernando.parra-bbva.com")</f>
        <v>hugofernando.parra-bbva.com</v>
      </c>
      <c r="J401" s="131" t="str">
        <f ca="1">IFERROR(__xludf.DUMMYFUNCTION("""COMPUTED_VALUE"""),"fredy.pineda-bbva.com")</f>
        <v>fredy.pineda-bbva.com</v>
      </c>
      <c r="K401" s="131" t="str">
        <f ca="1">IFERROR(__xludf.DUMMYFUNCTION("""COMPUTED_VALUE"""),"rociomarcela.lopez-bbva.com")</f>
        <v>rociomarcela.lopez-bbva.com</v>
      </c>
      <c r="L401" s="4"/>
      <c r="M401" s="4"/>
      <c r="N401" s="4"/>
      <c r="O401" s="4" t="str">
        <f ca="1">IFERROR(__xludf.DUMMYFUNCTION("""COMPUTED_VALUE"""),"Scrum")</f>
        <v>Scrum</v>
      </c>
      <c r="P401" s="4" t="str">
        <f ca="1">IFERROR(__xludf.DUMMYFUNCTION("""COMPUTED_VALUE"""),"Raido")</f>
        <v>Raido</v>
      </c>
      <c r="Q401" s="4"/>
      <c r="R401" s="130" t="str">
        <f ca="1">IFERROR(__xludf.DUMMYFUNCTION("""COMPUTED_VALUE"""),"Retail Execution")</f>
        <v>Retail Execution</v>
      </c>
      <c r="S401" s="130" t="str">
        <f ca="1">IFERROR(__xludf.DUMMYFUNCTION("""COMPUTED_VALUE"""),"Strategic Review")</f>
        <v>Strategic Review</v>
      </c>
      <c r="T401" s="130" t="str">
        <f ca="1">IFERROR(__xludf.DUMMYFUNCTION("""COMPUTED_VALUE"""),"1. Generación de Ingresos")</f>
        <v>1. Generación de Ingresos</v>
      </c>
      <c r="U401" s="130" t="str">
        <f ca="1">IFERROR(__xludf.DUMMYFUNCTION("""COMPUTED_VALUE"""),"1.2. Proyectos de Consumo")</f>
        <v>1.2. Proyectos de Consumo</v>
      </c>
      <c r="V401" s="4" t="str">
        <f ca="1">IFERROR(__xludf.DUMMYFUNCTION("""COMPUTED_VALUE"""),"Preaprobados")</f>
        <v>Preaprobados</v>
      </c>
      <c r="W401" s="4">
        <f ca="1">IFERROR(__xludf.DUMMYFUNCTION("""COMPUTED_VALUE"""),1)</f>
        <v>1</v>
      </c>
      <c r="X401" s="4" t="str">
        <f ca="1">IFERROR(__xludf.DUMMYFUNCTION("""COMPUTED_VALUE"""),"05. Cross-sell")</f>
        <v>05. Cross-sell</v>
      </c>
      <c r="Y401" s="4" t="str">
        <f ca="1">IFERROR(__xludf.DUMMYFUNCTION("""COMPUTED_VALUE"""),"5.7.1 Keep the Bank Running")</f>
        <v>5.7.1 Keep the Bank Running</v>
      </c>
      <c r="Z401" s="132" t="str">
        <f ca="1">IFERROR(__xludf.DUMMYFUNCTION("""COMPUTED_VALUE"""),"713119")</f>
        <v>713119</v>
      </c>
      <c r="AA401" s="4" t="str">
        <f ca="1">IFERROR(__xludf.DUMMYFUNCTION("""COMPUTED_VALUE"""),"OptPre-Selección de fecha de pago durante contratación consumo")</f>
        <v>OptPre-Selección de fecha de pago durante contratación consumo</v>
      </c>
      <c r="AB401" s="4" t="str">
        <f ca="1">IFERROR(__xludf.DUMMYFUNCTION("""COMPUTED_VALUE"""),"Como Negocio
Quiero: Que un cliente que esté contratando una oferta preaprobada de consumo,  libranza y retanqueo en BBVA Net, pueda seleccionar la fecha de pago del crédito")</f>
        <v>Como Negocio
Quiero: Que un cliente que esté contratando una oferta preaprobada de consumo,  libranza y retanqueo en BBVA Net, pueda seleccionar la fecha de pago del crédito</v>
      </c>
      <c r="AC401" s="4" t="str">
        <f ca="1">IFERROR(__xludf.DUMMYFUNCTION("""COMPUTED_VALUE"""),"3Q 2023")</f>
        <v>3Q 2023</v>
      </c>
      <c r="AD401" s="4"/>
      <c r="AE401" s="4"/>
      <c r="AF401" s="4"/>
      <c r="AG401" s="4"/>
      <c r="AH401" s="4"/>
      <c r="AI401" s="4"/>
      <c r="AJ401" s="4"/>
      <c r="AK401" s="4" t="str">
        <f ca="1">IFERROR(__xludf.DUMMYFUNCTION("""COMPUTED_VALUE"""),"Sin asignar")</f>
        <v>Sin asignar</v>
      </c>
      <c r="AL401" s="4" t="str">
        <f ca="1">IFERROR(__xludf.DUMMYFUNCTION("""COMPUTED_VALUE"""),"Sin asignar")</f>
        <v>Sin asignar</v>
      </c>
      <c r="AM401" s="4"/>
      <c r="AN401" s="4" t="str">
        <f ca="1">IFERROR(__xludf.DUMMYFUNCTION("""COMPUTED_VALUE"""),"Entregable en backlog")</f>
        <v>Entregable en backlog</v>
      </c>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row>
    <row r="402" spans="1:132" x14ac:dyDescent="0.2">
      <c r="A402" s="4">
        <f ca="1">IFERROR(__xludf.DUMMYFUNCTION("""COMPUTED_VALUE"""),402)</f>
        <v>402</v>
      </c>
      <c r="B402" s="4">
        <f ca="1">IFERROR(__xludf.DUMMYFUNCTION("""COMPUTED_VALUE"""),377)</f>
        <v>377</v>
      </c>
      <c r="C402" s="4" t="str">
        <f ca="1">IFERROR(__xludf.DUMMYFUNCTION("""COMPUTED_VALUE"""),"SDATOOL-40472")</f>
        <v>SDATOOL-40472</v>
      </c>
      <c r="D402" s="4" t="str">
        <f ca="1">IFERROR(__xludf.DUMMYFUNCTION("""COMPUTED_VALUE"""),"OPTIMIZACION PREAPROBADOS")</f>
        <v>OPTIMIZACION PREAPROBADOS</v>
      </c>
      <c r="E402"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2" s="4" t="str">
        <f ca="1">IFERROR(__xludf.DUMMYFUNCTION("""COMPUTED_VALUE"""),"Initiative")</f>
        <v>Initiative</v>
      </c>
      <c r="G402" s="4" t="str">
        <f ca="1">IFERROR(__xludf.DUMMYFUNCTION("""COMPUTED_VALUE"""),"Stock")</f>
        <v>Stock</v>
      </c>
      <c r="H402" s="4" t="str">
        <f ca="1">IFERROR(__xludf.DUMMYFUNCTION("""COMPUTED_VALUE"""),"4Q 2023")</f>
        <v>4Q 2023</v>
      </c>
      <c r="I402" s="131" t="str">
        <f ca="1">IFERROR(__xludf.DUMMYFUNCTION("""COMPUTED_VALUE"""),"hugofernando.parra-bbva.com")</f>
        <v>hugofernando.parra-bbva.com</v>
      </c>
      <c r="J402" s="131" t="str">
        <f ca="1">IFERROR(__xludf.DUMMYFUNCTION("""COMPUTED_VALUE"""),"fredy.pineda-bbva.com")</f>
        <v>fredy.pineda-bbva.com</v>
      </c>
      <c r="K402" s="131" t="str">
        <f ca="1">IFERROR(__xludf.DUMMYFUNCTION("""COMPUTED_VALUE"""),"rociomarcela.lopez-bbva.com")</f>
        <v>rociomarcela.lopez-bbva.com</v>
      </c>
      <c r="L402" s="4"/>
      <c r="M402" s="4"/>
      <c r="N402" s="4"/>
      <c r="O402" s="4" t="str">
        <f ca="1">IFERROR(__xludf.DUMMYFUNCTION("""COMPUTED_VALUE"""),"Scrum")</f>
        <v>Scrum</v>
      </c>
      <c r="P402" s="4" t="str">
        <f ca="1">IFERROR(__xludf.DUMMYFUNCTION("""COMPUTED_VALUE"""),"Raido")</f>
        <v>Raido</v>
      </c>
      <c r="Q402" s="4"/>
      <c r="R402" s="130" t="str">
        <f ca="1">IFERROR(__xludf.DUMMYFUNCTION("""COMPUTED_VALUE"""),"Retail Execution")</f>
        <v>Retail Execution</v>
      </c>
      <c r="S402" s="130" t="str">
        <f ca="1">IFERROR(__xludf.DUMMYFUNCTION("""COMPUTED_VALUE"""),"Strategic Review")</f>
        <v>Strategic Review</v>
      </c>
      <c r="T402" s="130" t="str">
        <f ca="1">IFERROR(__xludf.DUMMYFUNCTION("""COMPUTED_VALUE"""),"1. Generación de Ingresos")</f>
        <v>1. Generación de Ingresos</v>
      </c>
      <c r="U402" s="130" t="str">
        <f ca="1">IFERROR(__xludf.DUMMYFUNCTION("""COMPUTED_VALUE"""),"1.2. Proyectos de Consumo")</f>
        <v>1.2. Proyectos de Consumo</v>
      </c>
      <c r="V402" s="4" t="str">
        <f ca="1">IFERROR(__xludf.DUMMYFUNCTION("""COMPUTED_VALUE"""),"Preaprobados")</f>
        <v>Preaprobados</v>
      </c>
      <c r="W402" s="4">
        <f ca="1">IFERROR(__xludf.DUMMYFUNCTION("""COMPUTED_VALUE"""),1)</f>
        <v>1</v>
      </c>
      <c r="X402" s="4" t="str">
        <f ca="1">IFERROR(__xludf.DUMMYFUNCTION("""COMPUTED_VALUE"""),"05. Cross-sell")</f>
        <v>05. Cross-sell</v>
      </c>
      <c r="Y402" s="4" t="str">
        <f ca="1">IFERROR(__xludf.DUMMYFUNCTION("""COMPUTED_VALUE"""),"5.7.1 Keep the Bank Running")</f>
        <v>5.7.1 Keep the Bank Running</v>
      </c>
      <c r="Z402" s="132" t="str">
        <f ca="1">IFERROR(__xludf.DUMMYFUNCTION("""COMPUTED_VALUE"""),"713115")</f>
        <v>713115</v>
      </c>
      <c r="AA402" s="4" t="str">
        <f ca="1">IFERROR(__xludf.DUMMYFUNCTION("""COMPUTED_VALUE"""),"OptPrea - Ret, permitir cambiar oferta si el crédito inicial está cancelado")</f>
        <v>OptPrea - Ret, permitir cambiar oferta si el crédito inicial está cancelado</v>
      </c>
      <c r="AB402" s="4" t="str">
        <f ca="1">IFERROR(__xludf.DUMMYFUNCTION("""COMPUTED_VALUE"""),"Como Negocio
Quiero: Que si un cliente con una oferta de retanqueo cargada en BBVA Net ha cancelado el crédito inicial. No frenar la oferta, sino cambiarlo para el circuito de consumo libre, libranza o Consumo")</f>
        <v>Como Negocio
Quiero: Que si un cliente con una oferta de retanqueo cargada en BBVA Net ha cancelado el crédito inicial. No frenar la oferta, sino cambiarlo para el circuito de consumo libre, libranza o Consumo</v>
      </c>
      <c r="AC402" s="4" t="str">
        <f ca="1">IFERROR(__xludf.DUMMYFUNCTION("""COMPUTED_VALUE"""),"2Q 2023")</f>
        <v>2Q 2023</v>
      </c>
      <c r="AD402" s="4"/>
      <c r="AE402" s="4"/>
      <c r="AF402" s="4"/>
      <c r="AG402" s="4"/>
      <c r="AH402" s="4"/>
      <c r="AI402" s="4"/>
      <c r="AJ402" s="4"/>
      <c r="AK402" s="4" t="str">
        <f ca="1">IFERROR(__xludf.DUMMYFUNCTION("""COMPUTED_VALUE"""),"Sin asignar")</f>
        <v>Sin asignar</v>
      </c>
      <c r="AL402" s="4" t="str">
        <f ca="1">IFERROR(__xludf.DUMMYFUNCTION("""COMPUTED_VALUE"""),"Sin asignar")</f>
        <v>Sin asignar</v>
      </c>
      <c r="AM402" s="4"/>
      <c r="AN402" s="4" t="str">
        <f ca="1">IFERROR(__xludf.DUMMYFUNCTION("""COMPUTED_VALUE"""),"Entregable en backlog")</f>
        <v>Entregable en backlog</v>
      </c>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row>
    <row r="403" spans="1:132" x14ac:dyDescent="0.2">
      <c r="A403" s="4">
        <f ca="1">IFERROR(__xludf.DUMMYFUNCTION("""COMPUTED_VALUE"""),403)</f>
        <v>403</v>
      </c>
      <c r="B403" s="4">
        <f ca="1">IFERROR(__xludf.DUMMYFUNCTION("""COMPUTED_VALUE"""),378)</f>
        <v>378</v>
      </c>
      <c r="C403" s="4" t="str">
        <f ca="1">IFERROR(__xludf.DUMMYFUNCTION("""COMPUTED_VALUE"""),"SDATOOL-40472")</f>
        <v>SDATOOL-40472</v>
      </c>
      <c r="D403" s="4" t="str">
        <f ca="1">IFERROR(__xludf.DUMMYFUNCTION("""COMPUTED_VALUE"""),"OPTIMIZACION PREAPROBADOS")</f>
        <v>OPTIMIZACION PREAPROBADOS</v>
      </c>
      <c r="E403"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3" s="4" t="str">
        <f ca="1">IFERROR(__xludf.DUMMYFUNCTION("""COMPUTED_VALUE"""),"Initiative")</f>
        <v>Initiative</v>
      </c>
      <c r="G403" s="4" t="str">
        <f ca="1">IFERROR(__xludf.DUMMYFUNCTION("""COMPUTED_VALUE"""),"Stock")</f>
        <v>Stock</v>
      </c>
      <c r="H403" s="4" t="str">
        <f ca="1">IFERROR(__xludf.DUMMYFUNCTION("""COMPUTED_VALUE"""),"4Q 2023")</f>
        <v>4Q 2023</v>
      </c>
      <c r="I403" s="131" t="str">
        <f ca="1">IFERROR(__xludf.DUMMYFUNCTION("""COMPUTED_VALUE"""),"hugofernando.parra-bbva.com")</f>
        <v>hugofernando.parra-bbva.com</v>
      </c>
      <c r="J403" s="131" t="str">
        <f ca="1">IFERROR(__xludf.DUMMYFUNCTION("""COMPUTED_VALUE"""),"fredy.pineda-bbva.com")</f>
        <v>fredy.pineda-bbva.com</v>
      </c>
      <c r="K403" s="131" t="str">
        <f ca="1">IFERROR(__xludf.DUMMYFUNCTION("""COMPUTED_VALUE"""),"rociomarcela.lopez-bbva.com")</f>
        <v>rociomarcela.lopez-bbva.com</v>
      </c>
      <c r="L403" s="4"/>
      <c r="M403" s="4"/>
      <c r="N403" s="4"/>
      <c r="O403" s="4" t="str">
        <f ca="1">IFERROR(__xludf.DUMMYFUNCTION("""COMPUTED_VALUE"""),"Scrum")</f>
        <v>Scrum</v>
      </c>
      <c r="P403" s="4" t="str">
        <f ca="1">IFERROR(__xludf.DUMMYFUNCTION("""COMPUTED_VALUE"""),"Raido")</f>
        <v>Raido</v>
      </c>
      <c r="Q403" s="4"/>
      <c r="R403" s="130" t="str">
        <f ca="1">IFERROR(__xludf.DUMMYFUNCTION("""COMPUTED_VALUE"""),"Retail Execution")</f>
        <v>Retail Execution</v>
      </c>
      <c r="S403" s="130" t="str">
        <f ca="1">IFERROR(__xludf.DUMMYFUNCTION("""COMPUTED_VALUE"""),"Strategic Review")</f>
        <v>Strategic Review</v>
      </c>
      <c r="T403" s="130" t="str">
        <f ca="1">IFERROR(__xludf.DUMMYFUNCTION("""COMPUTED_VALUE"""),"1. Generación de Ingresos")</f>
        <v>1. Generación de Ingresos</v>
      </c>
      <c r="U403" s="130" t="str">
        <f ca="1">IFERROR(__xludf.DUMMYFUNCTION("""COMPUTED_VALUE"""),"1.2. Proyectos de Consumo")</f>
        <v>1.2. Proyectos de Consumo</v>
      </c>
      <c r="V403" s="4" t="str">
        <f ca="1">IFERROR(__xludf.DUMMYFUNCTION("""COMPUTED_VALUE"""),"Preaprobados")</f>
        <v>Preaprobados</v>
      </c>
      <c r="W403" s="4">
        <f ca="1">IFERROR(__xludf.DUMMYFUNCTION("""COMPUTED_VALUE"""),1)</f>
        <v>1</v>
      </c>
      <c r="X403" s="4" t="str">
        <f ca="1">IFERROR(__xludf.DUMMYFUNCTION("""COMPUTED_VALUE"""),"05. Cross-sell")</f>
        <v>05. Cross-sell</v>
      </c>
      <c r="Y403" s="4" t="str">
        <f ca="1">IFERROR(__xludf.DUMMYFUNCTION("""COMPUTED_VALUE"""),"5.7.1 Keep the Bank Running")</f>
        <v>5.7.1 Keep the Bank Running</v>
      </c>
      <c r="Z403" s="132" t="str">
        <f ca="1">IFERROR(__xludf.DUMMYFUNCTION("""COMPUTED_VALUE"""),"713114")</f>
        <v>713114</v>
      </c>
      <c r="AA403" s="4" t="str">
        <f ca="1">IFERROR(__xludf.DUMMYFUNCTION("""COMPUTED_VALUE"""),"OptPrea -Tomarbolsillos de alivios en oferta de retanqueo")</f>
        <v>OptPrea -Tomarbolsillos de alivios en oferta de retanqueo</v>
      </c>
      <c r="AB403" s="4" t="str">
        <f ca="1">IFERROR(__xludf.DUMMYFUNCTION("""COMPUTED_VALUE"""),"Como Negocio
Quiero: que cuando un cliente esté contratando un retanqueo de consumo en BBVA Net,  pueda tomar los bolsillos de operaciones con alivios para Libranza y Consumo")</f>
        <v>Como Negocio
Quiero: que cuando un cliente esté contratando un retanqueo de consumo en BBVA Net,  pueda tomar los bolsillos de operaciones con alivios para Libranza y Consumo</v>
      </c>
      <c r="AC403" s="4" t="str">
        <f ca="1">IFERROR(__xludf.DUMMYFUNCTION("""COMPUTED_VALUE"""),"2Q 2023")</f>
        <v>2Q 2023</v>
      </c>
      <c r="AD403" s="4"/>
      <c r="AE403" s="4"/>
      <c r="AF403" s="4"/>
      <c r="AG403" s="4"/>
      <c r="AH403" s="4"/>
      <c r="AI403" s="4"/>
      <c r="AJ403" s="4"/>
      <c r="AK403" s="4" t="str">
        <f ca="1">IFERROR(__xludf.DUMMYFUNCTION("""COMPUTED_VALUE"""),"Sin asignar")</f>
        <v>Sin asignar</v>
      </c>
      <c r="AL403" s="4" t="str">
        <f ca="1">IFERROR(__xludf.DUMMYFUNCTION("""COMPUTED_VALUE"""),"Sin asignar")</f>
        <v>Sin asignar</v>
      </c>
      <c r="AM403" s="4"/>
      <c r="AN403" s="4" t="str">
        <f ca="1">IFERROR(__xludf.DUMMYFUNCTION("""COMPUTED_VALUE"""),"Entregable en backlog")</f>
        <v>Entregable en backlog</v>
      </c>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row>
    <row r="404" spans="1:132" x14ac:dyDescent="0.2">
      <c r="A404" s="4">
        <f ca="1">IFERROR(__xludf.DUMMYFUNCTION("""COMPUTED_VALUE"""),404)</f>
        <v>404</v>
      </c>
      <c r="B404" s="4">
        <f ca="1">IFERROR(__xludf.DUMMYFUNCTION("""COMPUTED_VALUE"""),379)</f>
        <v>379</v>
      </c>
      <c r="C404" s="4" t="str">
        <f ca="1">IFERROR(__xludf.DUMMYFUNCTION("""COMPUTED_VALUE"""),"SDATOOL-40472")</f>
        <v>SDATOOL-40472</v>
      </c>
      <c r="D404" s="4" t="str">
        <f ca="1">IFERROR(__xludf.DUMMYFUNCTION("""COMPUTED_VALUE"""),"OPTIMIZACION PREAPROBADOS")</f>
        <v>OPTIMIZACION PREAPROBADOS</v>
      </c>
      <c r="E404"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4" s="4" t="str">
        <f ca="1">IFERROR(__xludf.DUMMYFUNCTION("""COMPUTED_VALUE"""),"Initiative")</f>
        <v>Initiative</v>
      </c>
      <c r="G404" s="4" t="str">
        <f ca="1">IFERROR(__xludf.DUMMYFUNCTION("""COMPUTED_VALUE"""),"Stock")</f>
        <v>Stock</v>
      </c>
      <c r="H404" s="4" t="str">
        <f ca="1">IFERROR(__xludf.DUMMYFUNCTION("""COMPUTED_VALUE"""),"4Q 2023")</f>
        <v>4Q 2023</v>
      </c>
      <c r="I404" s="131" t="str">
        <f ca="1">IFERROR(__xludf.DUMMYFUNCTION("""COMPUTED_VALUE"""),"hugofernando.parra-bbva.com")</f>
        <v>hugofernando.parra-bbva.com</v>
      </c>
      <c r="J404" s="131" t="str">
        <f ca="1">IFERROR(__xludf.DUMMYFUNCTION("""COMPUTED_VALUE"""),"fredy.pineda-bbva.com")</f>
        <v>fredy.pineda-bbva.com</v>
      </c>
      <c r="K404" s="131" t="str">
        <f ca="1">IFERROR(__xludf.DUMMYFUNCTION("""COMPUTED_VALUE"""),"rociomarcela.lopez-bbva.com")</f>
        <v>rociomarcela.lopez-bbva.com</v>
      </c>
      <c r="L404" s="4"/>
      <c r="M404" s="4"/>
      <c r="N404" s="4"/>
      <c r="O404" s="4" t="str">
        <f ca="1">IFERROR(__xludf.DUMMYFUNCTION("""COMPUTED_VALUE"""),"Scrum")</f>
        <v>Scrum</v>
      </c>
      <c r="P404" s="4" t="str">
        <f ca="1">IFERROR(__xludf.DUMMYFUNCTION("""COMPUTED_VALUE"""),"Raido")</f>
        <v>Raido</v>
      </c>
      <c r="Q404" s="4"/>
      <c r="R404" s="130" t="str">
        <f ca="1">IFERROR(__xludf.DUMMYFUNCTION("""COMPUTED_VALUE"""),"Retail Execution")</f>
        <v>Retail Execution</v>
      </c>
      <c r="S404" s="130" t="str">
        <f ca="1">IFERROR(__xludf.DUMMYFUNCTION("""COMPUTED_VALUE"""),"Strategic Review")</f>
        <v>Strategic Review</v>
      </c>
      <c r="T404" s="130" t="str">
        <f ca="1">IFERROR(__xludf.DUMMYFUNCTION("""COMPUTED_VALUE"""),"1. Generación de Ingresos")</f>
        <v>1. Generación de Ingresos</v>
      </c>
      <c r="U404" s="130" t="str">
        <f ca="1">IFERROR(__xludf.DUMMYFUNCTION("""COMPUTED_VALUE"""),"1.2. Proyectos de Consumo")</f>
        <v>1.2. Proyectos de Consumo</v>
      </c>
      <c r="V404" s="4" t="str">
        <f ca="1">IFERROR(__xludf.DUMMYFUNCTION("""COMPUTED_VALUE"""),"Preaprobados")</f>
        <v>Preaprobados</v>
      </c>
      <c r="W404" s="4">
        <f ca="1">IFERROR(__xludf.DUMMYFUNCTION("""COMPUTED_VALUE"""),1)</f>
        <v>1</v>
      </c>
      <c r="X404" s="4" t="str">
        <f ca="1">IFERROR(__xludf.DUMMYFUNCTION("""COMPUTED_VALUE"""),"05. Cross-sell")</f>
        <v>05. Cross-sell</v>
      </c>
      <c r="Y404" s="4" t="str">
        <f ca="1">IFERROR(__xludf.DUMMYFUNCTION("""COMPUTED_VALUE"""),"5.7.1 Keep the Bank Running")</f>
        <v>5.7.1 Keep the Bank Running</v>
      </c>
      <c r="Z404" s="132" t="str">
        <f ca="1">IFERROR(__xludf.DUMMYFUNCTION("""COMPUTED_VALUE"""),"713121")</f>
        <v>713121</v>
      </c>
      <c r="AA404" s="4" t="str">
        <f ca="1">IFERROR(__xludf.DUMMYFUNCTION("""COMPUTED_VALUE"""),"OptPrea-Ajustar el simulador de libre inv y retanqueo")</f>
        <v>OptPrea-Ajustar el simulador de libre inv y retanqueo</v>
      </c>
      <c r="AB404" s="4" t="str">
        <f ca="1">IFERROR(__xludf.DUMMYFUNCTION("""COMPUTED_VALUE"""),"Quiero: Que el simulador de libre inversión y retanqueo de BBVA Net realice el análisis sobre el valor insoluto para calcular el valor de prima de seguro vida . No sobre el valor total del preaprobado (esto es necesario dado a que el simulador entrega una"&amp;" tabla de amortización)")</f>
        <v>Quiero: Que el simulador de libre inversión y retanqueo de BBVA Net realice el análisis sobre el valor insoluto para calcular el valor de prima de seguro vida . No sobre el valor total del preaprobado (esto es necesario dado a que el simulador entrega una tabla de amortización)</v>
      </c>
      <c r="AC404" s="4" t="str">
        <f ca="1">IFERROR(__xludf.DUMMYFUNCTION("""COMPUTED_VALUE"""),"4Q 2023")</f>
        <v>4Q 2023</v>
      </c>
      <c r="AD404" s="4"/>
      <c r="AE404" s="4"/>
      <c r="AF404" s="4"/>
      <c r="AG404" s="4"/>
      <c r="AH404" s="4"/>
      <c r="AI404" s="4"/>
      <c r="AJ404" s="4"/>
      <c r="AK404" s="4" t="str">
        <f ca="1">IFERROR(__xludf.DUMMYFUNCTION("""COMPUTED_VALUE"""),"Sin asignar")</f>
        <v>Sin asignar</v>
      </c>
      <c r="AL404" s="4" t="str">
        <f ca="1">IFERROR(__xludf.DUMMYFUNCTION("""COMPUTED_VALUE"""),"Sin asignar")</f>
        <v>Sin asignar</v>
      </c>
      <c r="AM404" s="4"/>
      <c r="AN404" s="4" t="str">
        <f ca="1">IFERROR(__xludf.DUMMYFUNCTION("""COMPUTED_VALUE"""),"Entregable en backlog")</f>
        <v>Entregable en backlog</v>
      </c>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row>
    <row r="405" spans="1:132" x14ac:dyDescent="0.2">
      <c r="A405" s="4">
        <f ca="1">IFERROR(__xludf.DUMMYFUNCTION("""COMPUTED_VALUE"""),405)</f>
        <v>405</v>
      </c>
      <c r="B405" s="4">
        <f ca="1">IFERROR(__xludf.DUMMYFUNCTION("""COMPUTED_VALUE"""),380)</f>
        <v>380</v>
      </c>
      <c r="C405" s="4" t="str">
        <f ca="1">IFERROR(__xludf.DUMMYFUNCTION("""COMPUTED_VALUE"""),"SDATOOL-40472")</f>
        <v>SDATOOL-40472</v>
      </c>
      <c r="D405" s="4" t="str">
        <f ca="1">IFERROR(__xludf.DUMMYFUNCTION("""COMPUTED_VALUE"""),"OPTIMIZACION PREAPROBADOS")</f>
        <v>OPTIMIZACION PREAPROBADOS</v>
      </c>
      <c r="E405"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5" s="4" t="str">
        <f ca="1">IFERROR(__xludf.DUMMYFUNCTION("""COMPUTED_VALUE"""),"Initiative")</f>
        <v>Initiative</v>
      </c>
      <c r="G405" s="4" t="str">
        <f ca="1">IFERROR(__xludf.DUMMYFUNCTION("""COMPUTED_VALUE"""),"Stock")</f>
        <v>Stock</v>
      </c>
      <c r="H405" s="4" t="str">
        <f ca="1">IFERROR(__xludf.DUMMYFUNCTION("""COMPUTED_VALUE"""),"4Q 2023")</f>
        <v>4Q 2023</v>
      </c>
      <c r="I405" s="131" t="str">
        <f ca="1">IFERROR(__xludf.DUMMYFUNCTION("""COMPUTED_VALUE"""),"hugofernando.parra-bbva.com")</f>
        <v>hugofernando.parra-bbva.com</v>
      </c>
      <c r="J405" s="131" t="str">
        <f ca="1">IFERROR(__xludf.DUMMYFUNCTION("""COMPUTED_VALUE"""),"fredy.pineda-bbva.com")</f>
        <v>fredy.pineda-bbva.com</v>
      </c>
      <c r="K405" s="131" t="str">
        <f ca="1">IFERROR(__xludf.DUMMYFUNCTION("""COMPUTED_VALUE"""),"rociomarcela.lopez-bbva.com")</f>
        <v>rociomarcela.lopez-bbva.com</v>
      </c>
      <c r="L405" s="4"/>
      <c r="M405" s="4"/>
      <c r="N405" s="4"/>
      <c r="O405" s="4" t="str">
        <f ca="1">IFERROR(__xludf.DUMMYFUNCTION("""COMPUTED_VALUE"""),"Scrum")</f>
        <v>Scrum</v>
      </c>
      <c r="P405" s="4" t="str">
        <f ca="1">IFERROR(__xludf.DUMMYFUNCTION("""COMPUTED_VALUE"""),"Raido")</f>
        <v>Raido</v>
      </c>
      <c r="Q405" s="4"/>
      <c r="R405" s="130" t="str">
        <f ca="1">IFERROR(__xludf.DUMMYFUNCTION("""COMPUTED_VALUE"""),"Retail Execution")</f>
        <v>Retail Execution</v>
      </c>
      <c r="S405" s="130" t="str">
        <f ca="1">IFERROR(__xludf.DUMMYFUNCTION("""COMPUTED_VALUE"""),"Strategic Review")</f>
        <v>Strategic Review</v>
      </c>
      <c r="T405" s="130" t="str">
        <f ca="1">IFERROR(__xludf.DUMMYFUNCTION("""COMPUTED_VALUE"""),"1. Generación de Ingresos")</f>
        <v>1. Generación de Ingresos</v>
      </c>
      <c r="U405" s="130" t="str">
        <f ca="1">IFERROR(__xludf.DUMMYFUNCTION("""COMPUTED_VALUE"""),"1.2. Proyectos de Consumo")</f>
        <v>1.2. Proyectos de Consumo</v>
      </c>
      <c r="V405" s="4" t="str">
        <f ca="1">IFERROR(__xludf.DUMMYFUNCTION("""COMPUTED_VALUE"""),"Preaprobados")</f>
        <v>Preaprobados</v>
      </c>
      <c r="W405" s="4">
        <f ca="1">IFERROR(__xludf.DUMMYFUNCTION("""COMPUTED_VALUE"""),1)</f>
        <v>1</v>
      </c>
      <c r="X405" s="4" t="str">
        <f ca="1">IFERROR(__xludf.DUMMYFUNCTION("""COMPUTED_VALUE"""),"05. Cross-sell")</f>
        <v>05. Cross-sell</v>
      </c>
      <c r="Y405" s="4" t="str">
        <f ca="1">IFERROR(__xludf.DUMMYFUNCTION("""COMPUTED_VALUE"""),"5.7.1 Keep the Bank Running")</f>
        <v>5.7.1 Keep the Bank Running</v>
      </c>
      <c r="Z405" s="132" t="str">
        <f ca="1">IFERROR(__xludf.DUMMYFUNCTION("""COMPUTED_VALUE"""),"713118")</f>
        <v>713118</v>
      </c>
      <c r="AA405" s="4" t="str">
        <f ca="1">IFERROR(__xludf.DUMMYFUNCTION("""COMPUTED_VALUE"""),"OptPrea-Compra de cartera desembolso cheque")</f>
        <v>OptPrea-Compra de cartera desembolso cheque</v>
      </c>
      <c r="AB405" s="4" t="str">
        <f ca="1">IFERROR(__xludf.DUMMYFUNCTION("""COMPUTED_VALUE"""),"Como Negocio
Quiero: Que un cliente con una oferta de preaprobada de Consumo, pueda solicitar la compra de cartera de consumo en BBVA Net con desembolso en cheque de gerencia para reclamar en oficina y con pago exclusivo al otro banco")</f>
        <v>Como Negocio
Quiero: Que un cliente con una oferta de preaprobada de Consumo, pueda solicitar la compra de cartera de consumo en BBVA Net con desembolso en cheque de gerencia para reclamar en oficina y con pago exclusivo al otro banco</v>
      </c>
      <c r="AC405" s="4" t="str">
        <f ca="1">IFERROR(__xludf.DUMMYFUNCTION("""COMPUTED_VALUE"""),"3Q 2023")</f>
        <v>3Q 2023</v>
      </c>
      <c r="AD405" s="4"/>
      <c r="AE405" s="4"/>
      <c r="AF405" s="4"/>
      <c r="AG405" s="4"/>
      <c r="AH405" s="4"/>
      <c r="AI405" s="4"/>
      <c r="AJ405" s="4"/>
      <c r="AK405" s="4" t="str">
        <f ca="1">IFERROR(__xludf.DUMMYFUNCTION("""COMPUTED_VALUE"""),"Sin asignar")</f>
        <v>Sin asignar</v>
      </c>
      <c r="AL405" s="4" t="str">
        <f ca="1">IFERROR(__xludf.DUMMYFUNCTION("""COMPUTED_VALUE"""),"Sin asignar")</f>
        <v>Sin asignar</v>
      </c>
      <c r="AM405" s="4"/>
      <c r="AN405" s="4" t="str">
        <f ca="1">IFERROR(__xludf.DUMMYFUNCTION("""COMPUTED_VALUE"""),"Entregable en backlog")</f>
        <v>Entregable en backlog</v>
      </c>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row>
    <row r="406" spans="1:132" x14ac:dyDescent="0.2">
      <c r="A406" s="4">
        <f ca="1">IFERROR(__xludf.DUMMYFUNCTION("""COMPUTED_VALUE"""),406)</f>
        <v>406</v>
      </c>
      <c r="B406" s="4">
        <f ca="1">IFERROR(__xludf.DUMMYFUNCTION("""COMPUTED_VALUE"""),381)</f>
        <v>381</v>
      </c>
      <c r="C406" s="4" t="str">
        <f ca="1">IFERROR(__xludf.DUMMYFUNCTION("""COMPUTED_VALUE"""),"SDATOOL-40472")</f>
        <v>SDATOOL-40472</v>
      </c>
      <c r="D406" s="4" t="str">
        <f ca="1">IFERROR(__xludf.DUMMYFUNCTION("""COMPUTED_VALUE"""),"OPTIMIZACION PREAPROBADOS")</f>
        <v>OPTIMIZACION PREAPROBADOS</v>
      </c>
      <c r="E406"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6" s="4" t="str">
        <f ca="1">IFERROR(__xludf.DUMMYFUNCTION("""COMPUTED_VALUE"""),"Initiative")</f>
        <v>Initiative</v>
      </c>
      <c r="G406" s="4" t="str">
        <f ca="1">IFERROR(__xludf.DUMMYFUNCTION("""COMPUTED_VALUE"""),"Stock")</f>
        <v>Stock</v>
      </c>
      <c r="H406" s="4" t="str">
        <f ca="1">IFERROR(__xludf.DUMMYFUNCTION("""COMPUTED_VALUE"""),"4Q 2023")</f>
        <v>4Q 2023</v>
      </c>
      <c r="I406" s="131" t="str">
        <f ca="1">IFERROR(__xludf.DUMMYFUNCTION("""COMPUTED_VALUE"""),"hugofernando.parra-bbva.com")</f>
        <v>hugofernando.parra-bbva.com</v>
      </c>
      <c r="J406" s="131" t="str">
        <f ca="1">IFERROR(__xludf.DUMMYFUNCTION("""COMPUTED_VALUE"""),"fredy.pineda-bbva.com")</f>
        <v>fredy.pineda-bbva.com</v>
      </c>
      <c r="K406" s="131" t="str">
        <f ca="1">IFERROR(__xludf.DUMMYFUNCTION("""COMPUTED_VALUE"""),"rociomarcela.lopez-bbva.com")</f>
        <v>rociomarcela.lopez-bbva.com</v>
      </c>
      <c r="L406" s="4"/>
      <c r="M406" s="4"/>
      <c r="N406" s="4"/>
      <c r="O406" s="4" t="str">
        <f ca="1">IFERROR(__xludf.DUMMYFUNCTION("""COMPUTED_VALUE"""),"Scrum")</f>
        <v>Scrum</v>
      </c>
      <c r="P406" s="4" t="str">
        <f ca="1">IFERROR(__xludf.DUMMYFUNCTION("""COMPUTED_VALUE"""),"Raido")</f>
        <v>Raido</v>
      </c>
      <c r="Q406" s="4"/>
      <c r="R406" s="130" t="str">
        <f ca="1">IFERROR(__xludf.DUMMYFUNCTION("""COMPUTED_VALUE"""),"Retail Execution")</f>
        <v>Retail Execution</v>
      </c>
      <c r="S406" s="130" t="str">
        <f ca="1">IFERROR(__xludf.DUMMYFUNCTION("""COMPUTED_VALUE"""),"Strategic Review")</f>
        <v>Strategic Review</v>
      </c>
      <c r="T406" s="130" t="str">
        <f ca="1">IFERROR(__xludf.DUMMYFUNCTION("""COMPUTED_VALUE"""),"1. Generación de Ingresos")</f>
        <v>1. Generación de Ingresos</v>
      </c>
      <c r="U406" s="130" t="str">
        <f ca="1">IFERROR(__xludf.DUMMYFUNCTION("""COMPUTED_VALUE"""),"1.2. Proyectos de Consumo")</f>
        <v>1.2. Proyectos de Consumo</v>
      </c>
      <c r="V406" s="4" t="str">
        <f ca="1">IFERROR(__xludf.DUMMYFUNCTION("""COMPUTED_VALUE"""),"Preaprobados")</f>
        <v>Preaprobados</v>
      </c>
      <c r="W406" s="4">
        <f ca="1">IFERROR(__xludf.DUMMYFUNCTION("""COMPUTED_VALUE"""),1)</f>
        <v>1</v>
      </c>
      <c r="X406" s="4" t="str">
        <f ca="1">IFERROR(__xludf.DUMMYFUNCTION("""COMPUTED_VALUE"""),"05. Cross-sell")</f>
        <v>05. Cross-sell</v>
      </c>
      <c r="Y406" s="4" t="str">
        <f ca="1">IFERROR(__xludf.DUMMYFUNCTION("""COMPUTED_VALUE"""),"5.7.1 Keep the Bank Running")</f>
        <v>5.7.1 Keep the Bank Running</v>
      </c>
      <c r="Z406" s="132" t="str">
        <f ca="1">IFERROR(__xludf.DUMMYFUNCTION("""COMPUTED_VALUE"""),"713131")</f>
        <v>713131</v>
      </c>
      <c r="AA406" s="4" t="str">
        <f ca="1">IFERROR(__xludf.DUMMYFUNCTION("""COMPUTED_VALUE"""),"OptPrea-Incluir el código del asesor en flujos de contratación")</f>
        <v>OptPrea-Incluir el código del asesor en flujos de contratación</v>
      </c>
      <c r="AB406" s="4" t="str">
        <f ca="1">IFERROR(__xludf.DUMMYFUNCTION("""COMPUTED_VALUE"""),"Como Negocio
Quiero: que las ofertas contratadas por los clientes en BBVA Net y estén siendo asesorados por un Asesor, pueda registrarse el Código de asesor")</f>
        <v>Como Negocio
Quiero: que las ofertas contratadas por los clientes en BBVA Net y estén siendo asesorados por un Asesor, pueda registrarse el Código de asesor</v>
      </c>
      <c r="AC406" s="4" t="str">
        <f ca="1">IFERROR(__xludf.DUMMYFUNCTION("""COMPUTED_VALUE"""),"4Q 2023")</f>
        <v>4Q 2023</v>
      </c>
      <c r="AD406" s="4"/>
      <c r="AE406" s="4"/>
      <c r="AF406" s="4"/>
      <c r="AG406" s="4"/>
      <c r="AH406" s="4"/>
      <c r="AI406" s="4"/>
      <c r="AJ406" s="4"/>
      <c r="AK406" s="4" t="str">
        <f ca="1">IFERROR(__xludf.DUMMYFUNCTION("""COMPUTED_VALUE"""),"Sin asignar")</f>
        <v>Sin asignar</v>
      </c>
      <c r="AL406" s="4" t="str">
        <f ca="1">IFERROR(__xludf.DUMMYFUNCTION("""COMPUTED_VALUE"""),"Sin asignar")</f>
        <v>Sin asignar</v>
      </c>
      <c r="AM406" s="4"/>
      <c r="AN406" s="4" t="str">
        <f ca="1">IFERROR(__xludf.DUMMYFUNCTION("""COMPUTED_VALUE"""),"Entregable en backlog")</f>
        <v>Entregable en backlog</v>
      </c>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row>
    <row r="407" spans="1:132" x14ac:dyDescent="0.2">
      <c r="A407" s="4">
        <f ca="1">IFERROR(__xludf.DUMMYFUNCTION("""COMPUTED_VALUE"""),407)</f>
        <v>407</v>
      </c>
      <c r="B407" s="4">
        <f ca="1">IFERROR(__xludf.DUMMYFUNCTION("""COMPUTED_VALUE"""),382)</f>
        <v>382</v>
      </c>
      <c r="C407" s="4" t="str">
        <f ca="1">IFERROR(__xludf.DUMMYFUNCTION("""COMPUTED_VALUE"""),"SDATOOL-40472")</f>
        <v>SDATOOL-40472</v>
      </c>
      <c r="D407" s="4" t="str">
        <f ca="1">IFERROR(__xludf.DUMMYFUNCTION("""COMPUTED_VALUE"""),"OPTIMIZACION PREAPROBADOS")</f>
        <v>OPTIMIZACION PREAPROBADOS</v>
      </c>
      <c r="E407"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7" s="4" t="str">
        <f ca="1">IFERROR(__xludf.DUMMYFUNCTION("""COMPUTED_VALUE"""),"Initiative")</f>
        <v>Initiative</v>
      </c>
      <c r="G407" s="4" t="str">
        <f ca="1">IFERROR(__xludf.DUMMYFUNCTION("""COMPUTED_VALUE"""),"Stock")</f>
        <v>Stock</v>
      </c>
      <c r="H407" s="4" t="str">
        <f ca="1">IFERROR(__xludf.DUMMYFUNCTION("""COMPUTED_VALUE"""),"4Q 2023")</f>
        <v>4Q 2023</v>
      </c>
      <c r="I407" s="131" t="str">
        <f ca="1">IFERROR(__xludf.DUMMYFUNCTION("""COMPUTED_VALUE"""),"hugofernando.parra-bbva.com")</f>
        <v>hugofernando.parra-bbva.com</v>
      </c>
      <c r="J407" s="131" t="str">
        <f ca="1">IFERROR(__xludf.DUMMYFUNCTION("""COMPUTED_VALUE"""),"fredy.pineda-bbva.com")</f>
        <v>fredy.pineda-bbva.com</v>
      </c>
      <c r="K407" s="131" t="str">
        <f ca="1">IFERROR(__xludf.DUMMYFUNCTION("""COMPUTED_VALUE"""),"rociomarcela.lopez-bbva.com")</f>
        <v>rociomarcela.lopez-bbva.com</v>
      </c>
      <c r="L407" s="4"/>
      <c r="M407" s="4"/>
      <c r="N407" s="4"/>
      <c r="O407" s="4" t="str">
        <f ca="1">IFERROR(__xludf.DUMMYFUNCTION("""COMPUTED_VALUE"""),"Scrum")</f>
        <v>Scrum</v>
      </c>
      <c r="P407" s="4" t="str">
        <f ca="1">IFERROR(__xludf.DUMMYFUNCTION("""COMPUTED_VALUE"""),"Raido")</f>
        <v>Raido</v>
      </c>
      <c r="Q407" s="4"/>
      <c r="R407" s="130" t="str">
        <f ca="1">IFERROR(__xludf.DUMMYFUNCTION("""COMPUTED_VALUE"""),"Retail Execution")</f>
        <v>Retail Execution</v>
      </c>
      <c r="S407" s="130" t="str">
        <f ca="1">IFERROR(__xludf.DUMMYFUNCTION("""COMPUTED_VALUE"""),"Strategic Review")</f>
        <v>Strategic Review</v>
      </c>
      <c r="T407" s="130" t="str">
        <f ca="1">IFERROR(__xludf.DUMMYFUNCTION("""COMPUTED_VALUE"""),"1. Generación de Ingresos")</f>
        <v>1. Generación de Ingresos</v>
      </c>
      <c r="U407" s="130" t="str">
        <f ca="1">IFERROR(__xludf.DUMMYFUNCTION("""COMPUTED_VALUE"""),"1.2. Proyectos de Consumo")</f>
        <v>1.2. Proyectos de Consumo</v>
      </c>
      <c r="V407" s="4" t="str">
        <f ca="1">IFERROR(__xludf.DUMMYFUNCTION("""COMPUTED_VALUE"""),"Preaprobados")</f>
        <v>Preaprobados</v>
      </c>
      <c r="W407" s="4">
        <f ca="1">IFERROR(__xludf.DUMMYFUNCTION("""COMPUTED_VALUE"""),1)</f>
        <v>1</v>
      </c>
      <c r="X407" s="4" t="str">
        <f ca="1">IFERROR(__xludf.DUMMYFUNCTION("""COMPUTED_VALUE"""),"05. Cross-sell")</f>
        <v>05. Cross-sell</v>
      </c>
      <c r="Y407" s="4" t="str">
        <f ca="1">IFERROR(__xludf.DUMMYFUNCTION("""COMPUTED_VALUE"""),"5.7.1 Keep the Bank Running")</f>
        <v>5.7.1 Keep the Bank Running</v>
      </c>
      <c r="Z407" s="132" t="str">
        <f ca="1">IFERROR(__xludf.DUMMYFUNCTION("""COMPUTED_VALUE"""),"713117")</f>
        <v>713117</v>
      </c>
      <c r="AA407" s="4" t="str">
        <f ca="1">IFERROR(__xludf.DUMMYFUNCTION("""COMPUTED_VALUE"""),"OptPrea-Incluir garantía FGA en consumo y TdC")</f>
        <v>OptPrea-Incluir garantía FGA en consumo y TdC</v>
      </c>
      <c r="AB407" s="4" t="str">
        <f ca="1">IFERROR(__xludf.DUMMYFUNCTION("""COMPUTED_VALUE"""),"Como Negocio
Quiero: Incluir en los flujos de contratación Consumo libre y TdC en BBVA Net la opción de toma del FGA")</f>
        <v>Como Negocio
Quiero: Incluir en los flujos de contratación Consumo libre y TdC en BBVA Net la opción de toma del FGA</v>
      </c>
      <c r="AC407" s="4" t="str">
        <f ca="1">IFERROR(__xludf.DUMMYFUNCTION("""COMPUTED_VALUE"""),"3Q 2023")</f>
        <v>3Q 2023</v>
      </c>
      <c r="AD407" s="4"/>
      <c r="AE407" s="4"/>
      <c r="AF407" s="4"/>
      <c r="AG407" s="4"/>
      <c r="AH407" s="4"/>
      <c r="AI407" s="4"/>
      <c r="AJ407" s="4"/>
      <c r="AK407" s="4" t="str">
        <f ca="1">IFERROR(__xludf.DUMMYFUNCTION("""COMPUTED_VALUE"""),"Sin asignar")</f>
        <v>Sin asignar</v>
      </c>
      <c r="AL407" s="4" t="str">
        <f ca="1">IFERROR(__xludf.DUMMYFUNCTION("""COMPUTED_VALUE"""),"Sin asignar")</f>
        <v>Sin asignar</v>
      </c>
      <c r="AM407" s="4"/>
      <c r="AN407" s="4" t="str">
        <f ca="1">IFERROR(__xludf.DUMMYFUNCTION("""COMPUTED_VALUE"""),"Entregable en backlog")</f>
        <v>Entregable en backlog</v>
      </c>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row>
    <row r="408" spans="1:132" x14ac:dyDescent="0.2">
      <c r="A408" s="4">
        <f ca="1">IFERROR(__xludf.DUMMYFUNCTION("""COMPUTED_VALUE"""),408)</f>
        <v>408</v>
      </c>
      <c r="B408" s="4">
        <f ca="1">IFERROR(__xludf.DUMMYFUNCTION("""COMPUTED_VALUE"""),383)</f>
        <v>383</v>
      </c>
      <c r="C408" s="4" t="str">
        <f ca="1">IFERROR(__xludf.DUMMYFUNCTION("""COMPUTED_VALUE"""),"SDATOOL-40472")</f>
        <v>SDATOOL-40472</v>
      </c>
      <c r="D408" s="4" t="str">
        <f ca="1">IFERROR(__xludf.DUMMYFUNCTION("""COMPUTED_VALUE"""),"OPTIMIZACION PREAPROBADOS")</f>
        <v>OPTIMIZACION PREAPROBADOS</v>
      </c>
      <c r="E408"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8" s="4" t="str">
        <f ca="1">IFERROR(__xludf.DUMMYFUNCTION("""COMPUTED_VALUE"""),"Initiative")</f>
        <v>Initiative</v>
      </c>
      <c r="G408" s="4" t="str">
        <f ca="1">IFERROR(__xludf.DUMMYFUNCTION("""COMPUTED_VALUE"""),"Stock")</f>
        <v>Stock</v>
      </c>
      <c r="H408" s="4" t="str">
        <f ca="1">IFERROR(__xludf.DUMMYFUNCTION("""COMPUTED_VALUE"""),"4Q 2023")</f>
        <v>4Q 2023</v>
      </c>
      <c r="I408" s="131" t="str">
        <f ca="1">IFERROR(__xludf.DUMMYFUNCTION("""COMPUTED_VALUE"""),"hugofernando.parra-bbva.com")</f>
        <v>hugofernando.parra-bbva.com</v>
      </c>
      <c r="J408" s="131" t="str">
        <f ca="1">IFERROR(__xludf.DUMMYFUNCTION("""COMPUTED_VALUE"""),"fredy.pineda-bbva.com")</f>
        <v>fredy.pineda-bbva.com</v>
      </c>
      <c r="K408" s="131" t="str">
        <f ca="1">IFERROR(__xludf.DUMMYFUNCTION("""COMPUTED_VALUE"""),"rociomarcela.lopez-bbva.com")</f>
        <v>rociomarcela.lopez-bbva.com</v>
      </c>
      <c r="L408" s="4"/>
      <c r="M408" s="4"/>
      <c r="N408" s="4"/>
      <c r="O408" s="4" t="str">
        <f ca="1">IFERROR(__xludf.DUMMYFUNCTION("""COMPUTED_VALUE"""),"Scrum")</f>
        <v>Scrum</v>
      </c>
      <c r="P408" s="4" t="str">
        <f ca="1">IFERROR(__xludf.DUMMYFUNCTION("""COMPUTED_VALUE"""),"Raido")</f>
        <v>Raido</v>
      </c>
      <c r="Q408" s="4"/>
      <c r="R408" s="130" t="str">
        <f ca="1">IFERROR(__xludf.DUMMYFUNCTION("""COMPUTED_VALUE"""),"Retail Execution")</f>
        <v>Retail Execution</v>
      </c>
      <c r="S408" s="130" t="str">
        <f ca="1">IFERROR(__xludf.DUMMYFUNCTION("""COMPUTED_VALUE"""),"Strategic Review")</f>
        <v>Strategic Review</v>
      </c>
      <c r="T408" s="130" t="str">
        <f ca="1">IFERROR(__xludf.DUMMYFUNCTION("""COMPUTED_VALUE"""),"1. Generación de Ingresos")</f>
        <v>1. Generación de Ingresos</v>
      </c>
      <c r="U408" s="130" t="str">
        <f ca="1">IFERROR(__xludf.DUMMYFUNCTION("""COMPUTED_VALUE"""),"1.2. Proyectos de Consumo")</f>
        <v>1.2. Proyectos de Consumo</v>
      </c>
      <c r="V408" s="4" t="str">
        <f ca="1">IFERROR(__xludf.DUMMYFUNCTION("""COMPUTED_VALUE"""),"Preaprobados")</f>
        <v>Preaprobados</v>
      </c>
      <c r="W408" s="4">
        <f ca="1">IFERROR(__xludf.DUMMYFUNCTION("""COMPUTED_VALUE"""),1)</f>
        <v>1</v>
      </c>
      <c r="X408" s="4" t="str">
        <f ca="1">IFERROR(__xludf.DUMMYFUNCTION("""COMPUTED_VALUE"""),"05. Cross-sell")</f>
        <v>05. Cross-sell</v>
      </c>
      <c r="Y408" s="4" t="str">
        <f ca="1">IFERROR(__xludf.DUMMYFUNCTION("""COMPUTED_VALUE"""),"5.7.1 Keep the Bank Running")</f>
        <v>5.7.1 Keep the Bank Running</v>
      </c>
      <c r="Z408" s="132" t="str">
        <f ca="1">IFERROR(__xludf.DUMMYFUNCTION("""COMPUTED_VALUE"""),"713130")</f>
        <v>713130</v>
      </c>
      <c r="AA408" s="4" t="str">
        <f ca="1">IFERROR(__xludf.DUMMYFUNCTION("""COMPUTED_VALUE"""),"OptPrea-Incluir oficina de principalidad en el flujo de contratación")</f>
        <v>OptPrea-Incluir oficina de principalidad en el flujo de contratación</v>
      </c>
      <c r="AB408" s="4" t="str">
        <f ca="1">IFERROR(__xludf.DUMMYFUNCTION("""COMPUTED_VALUE"""),"Como Negocio
Quiero: Que un cliente con oferta preaprobada de consumo, libranza, TdC o Cupo Rotativo en BBVA Net y no contenga oficina de principalidad, le solicite seleccionar la oficina donde quiere que se segmente el contrato y pueda continuar con el f"&amp;"lujo y contratar E2E.")</f>
        <v>Como Negocio
Quiero: Que un cliente con oferta preaprobada de consumo, libranza, TdC o Cupo Rotativo en BBVA Net y no contenga oficina de principalidad, le solicite seleccionar la oficina donde quiere que se segmente el contrato y pueda continuar con el flujo y contratar E2E.</v>
      </c>
      <c r="AC408" s="4" t="str">
        <f ca="1">IFERROR(__xludf.DUMMYFUNCTION("""COMPUTED_VALUE"""),"4Q 2023")</f>
        <v>4Q 2023</v>
      </c>
      <c r="AD408" s="4"/>
      <c r="AE408" s="4"/>
      <c r="AF408" s="4"/>
      <c r="AG408" s="4"/>
      <c r="AH408" s="4"/>
      <c r="AI408" s="4"/>
      <c r="AJ408" s="4"/>
      <c r="AK408" s="4" t="str">
        <f ca="1">IFERROR(__xludf.DUMMYFUNCTION("""COMPUTED_VALUE"""),"Sin asignar")</f>
        <v>Sin asignar</v>
      </c>
      <c r="AL408" s="4" t="str">
        <f ca="1">IFERROR(__xludf.DUMMYFUNCTION("""COMPUTED_VALUE"""),"Sin asignar")</f>
        <v>Sin asignar</v>
      </c>
      <c r="AM408" s="4"/>
      <c r="AN408" s="4" t="str">
        <f ca="1">IFERROR(__xludf.DUMMYFUNCTION("""COMPUTED_VALUE"""),"Entregable en backlog")</f>
        <v>Entregable en backlog</v>
      </c>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row>
    <row r="409" spans="1:132" x14ac:dyDescent="0.2">
      <c r="A409" s="4">
        <f ca="1">IFERROR(__xludf.DUMMYFUNCTION("""COMPUTED_VALUE"""),409)</f>
        <v>409</v>
      </c>
      <c r="B409" s="4">
        <f ca="1">IFERROR(__xludf.DUMMYFUNCTION("""COMPUTED_VALUE"""),384)</f>
        <v>384</v>
      </c>
      <c r="C409" s="4" t="str">
        <f ca="1">IFERROR(__xludf.DUMMYFUNCTION("""COMPUTED_VALUE"""),"SDATOOL-40472")</f>
        <v>SDATOOL-40472</v>
      </c>
      <c r="D409" s="4" t="str">
        <f ca="1">IFERROR(__xludf.DUMMYFUNCTION("""COMPUTED_VALUE"""),"OPTIMIZACION PREAPROBADOS")</f>
        <v>OPTIMIZACION PREAPROBADOS</v>
      </c>
      <c r="E409"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9" s="4" t="str">
        <f ca="1">IFERROR(__xludf.DUMMYFUNCTION("""COMPUTED_VALUE"""),"Initiative")</f>
        <v>Initiative</v>
      </c>
      <c r="G409" s="4" t="str">
        <f ca="1">IFERROR(__xludf.DUMMYFUNCTION("""COMPUTED_VALUE"""),"Stock")</f>
        <v>Stock</v>
      </c>
      <c r="H409" s="4" t="str">
        <f ca="1">IFERROR(__xludf.DUMMYFUNCTION("""COMPUTED_VALUE"""),"4Q 2023")</f>
        <v>4Q 2023</v>
      </c>
      <c r="I409" s="131" t="str">
        <f ca="1">IFERROR(__xludf.DUMMYFUNCTION("""COMPUTED_VALUE"""),"hugofernando.parra-bbva.com")</f>
        <v>hugofernando.parra-bbva.com</v>
      </c>
      <c r="J409" s="131" t="str">
        <f ca="1">IFERROR(__xludf.DUMMYFUNCTION("""COMPUTED_VALUE"""),"fredy.pineda-bbva.com")</f>
        <v>fredy.pineda-bbva.com</v>
      </c>
      <c r="K409" s="131" t="str">
        <f ca="1">IFERROR(__xludf.DUMMYFUNCTION("""COMPUTED_VALUE"""),"rociomarcela.lopez-bbva.com")</f>
        <v>rociomarcela.lopez-bbva.com</v>
      </c>
      <c r="L409" s="4"/>
      <c r="M409" s="4"/>
      <c r="N409" s="4"/>
      <c r="O409" s="4" t="str">
        <f ca="1">IFERROR(__xludf.DUMMYFUNCTION("""COMPUTED_VALUE"""),"Scrum")</f>
        <v>Scrum</v>
      </c>
      <c r="P409" s="4" t="str">
        <f ca="1">IFERROR(__xludf.DUMMYFUNCTION("""COMPUTED_VALUE"""),"Raido")</f>
        <v>Raido</v>
      </c>
      <c r="Q409" s="4"/>
      <c r="R409" s="130" t="str">
        <f ca="1">IFERROR(__xludf.DUMMYFUNCTION("""COMPUTED_VALUE"""),"Retail Execution")</f>
        <v>Retail Execution</v>
      </c>
      <c r="S409" s="130" t="str">
        <f ca="1">IFERROR(__xludf.DUMMYFUNCTION("""COMPUTED_VALUE"""),"Strategic Review")</f>
        <v>Strategic Review</v>
      </c>
      <c r="T409" s="130" t="str">
        <f ca="1">IFERROR(__xludf.DUMMYFUNCTION("""COMPUTED_VALUE"""),"1. Generación de Ingresos")</f>
        <v>1. Generación de Ingresos</v>
      </c>
      <c r="U409" s="130" t="str">
        <f ca="1">IFERROR(__xludf.DUMMYFUNCTION("""COMPUTED_VALUE"""),"1.2. Proyectos de Consumo")</f>
        <v>1.2. Proyectos de Consumo</v>
      </c>
      <c r="V409" s="4" t="str">
        <f ca="1">IFERROR(__xludf.DUMMYFUNCTION("""COMPUTED_VALUE"""),"Preaprobados")</f>
        <v>Preaprobados</v>
      </c>
      <c r="W409" s="4">
        <f ca="1">IFERROR(__xludf.DUMMYFUNCTION("""COMPUTED_VALUE"""),1)</f>
        <v>1</v>
      </c>
      <c r="X409" s="4" t="str">
        <f ca="1">IFERROR(__xludf.DUMMYFUNCTION("""COMPUTED_VALUE"""),"05. Cross-sell")</f>
        <v>05. Cross-sell</v>
      </c>
      <c r="Y409" s="4" t="str">
        <f ca="1">IFERROR(__xludf.DUMMYFUNCTION("""COMPUTED_VALUE"""),"5.7.1 Keep the Bank Running")</f>
        <v>5.7.1 Keep the Bank Running</v>
      </c>
      <c r="Z409" s="132" t="str">
        <f ca="1">IFERROR(__xludf.DUMMYFUNCTION("""COMPUTED_VALUE"""),"713116")</f>
        <v>713116</v>
      </c>
      <c r="AA409" s="4" t="str">
        <f ca="1">IFERROR(__xludf.DUMMYFUNCTION("""COMPUTED_VALUE"""),"OptPrea-Permitir en flujo de consumo la creación de CoL para el desembolso")</f>
        <v>OptPrea-Permitir en flujo de consumo la creación de CoL para el desembolso</v>
      </c>
      <c r="AB409" s="4" t="str">
        <f ca="1">IFERROR(__xludf.DUMMYFUNCTION("""COMPUTED_VALUE"""),"Como Negocio
Quiero: que si el cliente que esté contratando una oferta de Consumo (Consumo libre, libranza o Cupo Rotativo) y no tiene una cuenta o está inactiva para el desembolso, le sugiera abrir una cuenta online y poder continuar con el proceso en BB"&amp;"VA Net")</f>
        <v>Como Negocio
Quiero: que si el cliente que esté contratando una oferta de Consumo (Consumo libre, libranza o Cupo Rotativo) y no tiene una cuenta o está inactiva para el desembolso, le sugiera abrir una cuenta online y poder continuar con el proceso en BBVA Net</v>
      </c>
      <c r="AC409" s="4" t="str">
        <f ca="1">IFERROR(__xludf.DUMMYFUNCTION("""COMPUTED_VALUE"""),"3Q 2023")</f>
        <v>3Q 2023</v>
      </c>
      <c r="AD409" s="4"/>
      <c r="AE409" s="4"/>
      <c r="AF409" s="4"/>
      <c r="AG409" s="4"/>
      <c r="AH409" s="4"/>
      <c r="AI409" s="4"/>
      <c r="AJ409" s="4"/>
      <c r="AK409" s="4" t="str">
        <f ca="1">IFERROR(__xludf.DUMMYFUNCTION("""COMPUTED_VALUE"""),"Sin asignar")</f>
        <v>Sin asignar</v>
      </c>
      <c r="AL409" s="4" t="str">
        <f ca="1">IFERROR(__xludf.DUMMYFUNCTION("""COMPUTED_VALUE"""),"Sin asignar")</f>
        <v>Sin asignar</v>
      </c>
      <c r="AM409" s="4"/>
      <c r="AN409" s="4" t="str">
        <f ca="1">IFERROR(__xludf.DUMMYFUNCTION("""COMPUTED_VALUE"""),"Entregable en backlog")</f>
        <v>Entregable en backlog</v>
      </c>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row>
    <row r="410" spans="1:132" x14ac:dyDescent="0.2">
      <c r="A410" s="4">
        <f ca="1">IFERROR(__xludf.DUMMYFUNCTION("""COMPUTED_VALUE"""),410)</f>
        <v>410</v>
      </c>
      <c r="B410" s="4"/>
      <c r="C410" s="4" t="str">
        <f ca="1">IFERROR(__xludf.DUMMYFUNCTION("""COMPUTED_VALUE"""),"SDATOOL-42393")</f>
        <v>SDATOOL-42393</v>
      </c>
      <c r="D410" s="4" t="str">
        <f ca="1">IFERROR(__xludf.DUMMYFUNCTION("""COMPUTED_VALUE"""),"Ahorro Fijo Digital Clientes")</f>
        <v>Ahorro Fijo Digital Clientes</v>
      </c>
      <c r="E410" s="4" t="str">
        <f ca="1">IFERROR(__xludf.DUMMYFUNCTION("""COMPUTED_VALUE"""),"La iniciativa está enfocada en habilitar el alta y administración de cuenta ahorro fijo el alta en canales digitales , con procesos E2E online, para lo cual debe existir:
1. Alta de producto: Contratación de ahorro fijo por medio de los canales digitales"&amp;" para cliente .
-Se espera que se tenga una pantalla presentación del producto con sus beneficios, una panatalla de solicitud de datos para crear cuenta, simulación, pantalla resultado de simulación con el detalle de los intereses que generará el product"&amp;"o dependiendo el plazo elegido por el cliente, firma de contrato digital y aceptaciones de producto.
-Para cargar el producto se deberá poder hacer por transferencia de cuentas bbva, desde dinero móvil, desde PSE conectado al proyecto de cash in PSE.
-S"&amp;"e debe tener una tarifa diferente para incentivar recursos traídos por PSE y cuentas acorde al origen de los recursos.
-La cuenta debe quedar con el bloqueo automático de los recursos (el mismo que se tiene en la oficina) y por el cual se activa el pact"&amp;"o de plazo y la tasa preferente.
-Al finalizar se deberá hacer un envío de certificado a email del cliente con datos de su producto contratado, el contrato y documentación necesaria.
-El producto debe nacer con subproducto 17 el cual sirve para ahorro f"&amp;"ijo
- Si es un cliente actual, que está desactualizado se espera fluya el proceso de actualización de datos de contacto.
Se debe contar con el campo código asesor (similar a cuenta online) y se deberá garantizar informacionales para seguimiento del área"&amp;" central, insumo a incentivación y enlace en las tablas necesarias para posterior extracción de información y seguimiento de esto.
Debe existir en el alta la opción de renivación automatica en el producto (similar a CDT) y guardar la traza de dicha orden"&amp;" por parte del cliente.
2. Renovación de Producto: 5 días antes del vencimiento del plazo del bloqueo de los recursos el sistema debe enviar un mensaje recordatorio por sms al celular y al email registrado con las tasas vigentes y oferta para renovación "&amp;"de Producto, pasados 3 días hábiles si el cliente no hace el proceso de cancelación o renovación el productos se renovará con las mismas condiciones de apertura.
Si el cliente está renovando, dentro del flujo debe encontrar: Monto actual precargado y sin"&amp;" modificar, monto a renovar (editable numérico), plazo de renovación; en caso de que el cliente desee renovar:
Con el mismo valor y condiciones: Se deberá presentar resultados de simulación con tasas actuales, en donde se proponga y muestre los dos sigui"&amp;"entes plazos con sus respectivo intereses, además de las nuevas condiciones del producto; si es el mismo valor, dar de alta la renovación, es decir, establecer el bloqueo por el nuevo tiempo pactado.
Mayor valor: mostrar la opción de la cuenta en donde tr"&amp;"aerá los recursos incluido PSE y los plazos ofertables, simulador y confirmación de bloqueo, y para mejor valor, la cuenta en donde se debe abonar los recursos que retirara de la cuenta, el simulador con el nuevo saldo y la confirmación de bloqueo.
Menor "&amp;"valor: Se deberá mostrar lo mismo que el punto de mayor valor cambiando la pregunta de dónde vienen los recursos adonde se debe abonar los recursos.
3. Cancelación de contrato: Para la cancelación del contrato el cliente tiene 3 días hábiles, dentro de l"&amp;"os cuales debe encontrar dentro del flujo la solicitud de cancelación del bloqueo, la cuenta en donde desea trasladar los recursos, y la aceptación para la cancelación de cuenta.
4. Pago de intereses y capital: Se deberá disponibilizar el pago a cuentas "&amp;"BBVA (MVP) y de otros bancos vía ACH.
5. Reporte: Se debe generar un reporte semanal del alta de productos en donde nos muestra claramente: 1.Nombre del cliente, 2. identificación 3.fecha de alta del producto, 4. canal por el cual fue realizado el alta, "&amp;"5. valor de la operación, 6.canal de transacción de recursos, 5. Plazo del bloqueo, 6. fecha de vencimiento del bloqueo, 7. renovación si/no.
-Creación e implementación guía de etiquetado para hacer seguimiento a la métrica digital. tagging
-Como negocio"&amp;" quiero que las aceptaciones queden almacenadas en el reporsitorio de ventas digitales")</f>
        <v>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v>
      </c>
      <c r="F410" s="4" t="str">
        <f ca="1">IFERROR(__xludf.DUMMYFUNCTION("""COMPUTED_VALUE"""),"Initiative")</f>
        <v>Initiative</v>
      </c>
      <c r="G410" s="4" t="str">
        <f ca="1">IFERROR(__xludf.DUMMYFUNCTION("""COMPUTED_VALUE"""),"On hold")</f>
        <v>On hold</v>
      </c>
      <c r="H410" s="4" t="str">
        <f ca="1">IFERROR(__xludf.DUMMYFUNCTION("""COMPUTED_VALUE"""),"4Q 2024")</f>
        <v>4Q 2024</v>
      </c>
      <c r="I410" s="131" t="str">
        <f ca="1">IFERROR(__xludf.DUMMYFUNCTION("""COMPUTED_VALUE"""),"hugofernando.parra-bbva.com")</f>
        <v>hugofernando.parra-bbva.com</v>
      </c>
      <c r="J410" s="131" t="str">
        <f ca="1">IFERROR(__xludf.DUMMYFUNCTION("""COMPUTED_VALUE"""),"judy.bernal-bbva.com")</f>
        <v>judy.bernal-bbva.com</v>
      </c>
      <c r="K410" s="131" t="str">
        <f ca="1">IFERROR(__xludf.DUMMYFUNCTION("""COMPUTED_VALUE"""),"paolaandrea.hermosa-bbva.com")</f>
        <v>paolaandrea.hermosa-bbva.com</v>
      </c>
      <c r="L410" s="130">
        <f ca="1">IFERROR(__xludf.DUMMYFUNCTION("""COMPUTED_VALUE"""),0)</f>
        <v>0</v>
      </c>
      <c r="M410" s="130">
        <f ca="1">IFERROR(__xludf.DUMMYFUNCTION("""COMPUTED_VALUE"""),0)</f>
        <v>0</v>
      </c>
      <c r="N410" s="130">
        <f ca="1">IFERROR(__xludf.DUMMYFUNCTION("""COMPUTED_VALUE"""),0)</f>
        <v>0</v>
      </c>
      <c r="O410" s="4" t="str">
        <f ca="1">IFERROR(__xludf.DUMMYFUNCTION("""COMPUTED_VALUE"""),"Scrum")</f>
        <v>Scrum</v>
      </c>
      <c r="P410" s="4" t="str">
        <f ca="1">IFERROR(__xludf.DUMMYFUNCTION("""COMPUTED_VALUE"""),"Deus")</f>
        <v>Deus</v>
      </c>
      <c r="Q410" s="130">
        <f ca="1">IFERROR(__xludf.DUMMYFUNCTION("""COMPUTED_VALUE"""),1)</f>
        <v>1</v>
      </c>
      <c r="R410" s="130" t="str">
        <f ca="1">IFERROR(__xludf.DUMMYFUNCTION("""COMPUTED_VALUE"""),"Retail Execution")</f>
        <v>Retail Execution</v>
      </c>
      <c r="S410" s="130" t="str">
        <f ca="1">IFERROR(__xludf.DUMMYFUNCTION("""COMPUTED_VALUE"""),"Strategic Review")</f>
        <v>Strategic Review</v>
      </c>
      <c r="T410" s="130" t="str">
        <f ca="1">IFERROR(__xludf.DUMMYFUNCTION("""COMPUTED_VALUE"""),"1. Generación de Ingresos")</f>
        <v>1. Generación de Ingresos</v>
      </c>
      <c r="U410" s="130" t="str">
        <f ca="1">IFERROR(__xludf.DUMMYFUNCTION("""COMPUTED_VALUE"""),"1.3. Pasivos PPNN y PYMEs")</f>
        <v>1.3. Pasivos PPNN y PYMEs</v>
      </c>
      <c r="V410" s="4" t="str">
        <f ca="1">IFERROR(__xludf.DUMMYFUNCTION("""COMPUTED_VALUE"""),"Pasivo")</f>
        <v>Pasivo</v>
      </c>
      <c r="W410" s="4">
        <f ca="1">IFERROR(__xludf.DUMMYFUNCTION("""COMPUTED_VALUE"""),1)</f>
        <v>1</v>
      </c>
      <c r="X410" s="4" t="str">
        <f ca="1">IFERROR(__xludf.DUMMYFUNCTION("""COMPUTED_VALUE"""),"05. Cross-sell")</f>
        <v>05. Cross-sell</v>
      </c>
      <c r="Y410" s="4" t="str">
        <f ca="1">IFERROR(__xludf.DUMMYFUNCTION("""COMPUTED_VALUE"""),"4.1.1. Own channels")</f>
        <v>4.1.1. Own channels</v>
      </c>
      <c r="Z410" s="132" t="str">
        <f ca="1">IFERROR(__xludf.DUMMYFUNCTION("""COMPUTED_VALUE"""),"712842")</f>
        <v>712842</v>
      </c>
      <c r="AA410" s="4" t="str">
        <f ca="1">IFERROR(__xludf.DUMMYFUNCTION("""COMPUTED_VALUE"""),"Iniciativa priorizada para el Q2 2023 en proceso de Discovery")</f>
        <v>Iniciativa priorizada para el Q2 2023 en proceso de Discovery</v>
      </c>
      <c r="AB410" s="4" t="str">
        <f ca="1">IFERROR(__xludf.DUMMYFUNCTION("""COMPUTED_VALUE"""),"Iniciativa priorizada para el Q2 2023 en proceso de Discovery")</f>
        <v>Iniciativa priorizada para el Q2 2023 en proceso de Discovery</v>
      </c>
      <c r="AC410" s="4" t="str">
        <f ca="1">IFERROR(__xludf.DUMMYFUNCTION("""COMPUTED_VALUE"""),"4Q 2023")</f>
        <v>4Q 2023</v>
      </c>
      <c r="AD410" s="4"/>
      <c r="AE410" s="4"/>
      <c r="AF410" s="4"/>
      <c r="AG410" s="4"/>
      <c r="AH410" s="4"/>
      <c r="AI410" s="4"/>
      <c r="AJ410" s="4"/>
      <c r="AK410" s="4" t="str">
        <f ca="1">IFERROR(__xludf.DUMMYFUNCTION("""COMPUTED_VALUE"""),"Sin asignar")</f>
        <v>Sin asignar</v>
      </c>
      <c r="AL410" s="4" t="str">
        <f ca="1">IFERROR(__xludf.DUMMYFUNCTION("""COMPUTED_VALUE"""),"Sin asignar")</f>
        <v>Sin asignar</v>
      </c>
      <c r="AM410" s="4"/>
      <c r="AN410" s="4" t="str">
        <f ca="1">IFERROR(__xludf.DUMMYFUNCTION("""COMPUTED_VALUE"""),"Entregable en backlog")</f>
        <v>Entregable en backlog</v>
      </c>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133">
        <f ca="1">IFERROR(__xludf.DUMMYFUNCTION("""COMPUTED_VALUE"""),0)</f>
        <v>0</v>
      </c>
      <c r="DV410" s="133">
        <f ca="1">IFERROR(__xludf.DUMMYFUNCTION("""COMPUTED_VALUE"""),0)</f>
        <v>0</v>
      </c>
      <c r="DW410" s="133">
        <f ca="1">IFERROR(__xludf.DUMMYFUNCTION("""COMPUTED_VALUE"""),0)</f>
        <v>0</v>
      </c>
      <c r="DX410" s="133">
        <f ca="1">IFERROR(__xludf.DUMMYFUNCTION("""COMPUTED_VALUE"""),733000000)</f>
        <v>733000000</v>
      </c>
      <c r="DY410" s="133">
        <f ca="1">IFERROR(__xludf.DUMMYFUNCTION("""COMPUTED_VALUE"""),0)</f>
        <v>0</v>
      </c>
      <c r="DZ410" s="133">
        <f ca="1">IFERROR(__xludf.DUMMYFUNCTION("""COMPUTED_VALUE"""),733000000)</f>
        <v>733000000</v>
      </c>
      <c r="EA410" s="4"/>
      <c r="EB410" s="4"/>
    </row>
    <row r="411" spans="1:132" x14ac:dyDescent="0.2">
      <c r="A411" s="4">
        <f ca="1">IFERROR(__xludf.DUMMYFUNCTION("""COMPUTED_VALUE"""),411)</f>
        <v>411</v>
      </c>
      <c r="B411" s="4">
        <f ca="1">IFERROR(__xludf.DUMMYFUNCTION("""COMPUTED_VALUE"""),385)</f>
        <v>385</v>
      </c>
      <c r="C411" s="4" t="str">
        <f ca="1">IFERROR(__xludf.DUMMYFUNCTION("""COMPUTED_VALUE"""),"SDATOOL-38481")</f>
        <v>SDATOOL-38481</v>
      </c>
      <c r="D411" s="4" t="str">
        <f ca="1">IFERROR(__xludf.DUMMYFUNCTION("""COMPUTED_VALUE"""),"Pricing Pasivos (optimización portafolio) - Plan Ascenso Cross Sell")</f>
        <v>Pricing Pasivos (optimización portafolio) - Plan Ascenso Cross Sell</v>
      </c>
      <c r="E411"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1" s="4" t="str">
        <f ca="1">IFERROR(__xludf.DUMMYFUNCTION("""COMPUTED_VALUE"""),"Project")</f>
        <v>Project</v>
      </c>
      <c r="G411" s="4" t="str">
        <f ca="1">IFERROR(__xludf.DUMMYFUNCTION("""COMPUTED_VALUE"""),"Stock")</f>
        <v>Stock</v>
      </c>
      <c r="H411" s="4" t="str">
        <f ca="1">IFERROR(__xludf.DUMMYFUNCTION("""COMPUTED_VALUE"""),"4Q 2023")</f>
        <v>4Q 2023</v>
      </c>
      <c r="I411" s="131" t="str">
        <f ca="1">IFERROR(__xludf.DUMMYFUNCTION("""COMPUTED_VALUE"""),"hugofernando.parra-bbva.com")</f>
        <v>hugofernando.parra-bbva.com</v>
      </c>
      <c r="J411" s="131" t="str">
        <f ca="1">IFERROR(__xludf.DUMMYFUNCTION("""COMPUTED_VALUE"""),"judy.bernal-bbva.com")</f>
        <v>judy.bernal-bbva.com</v>
      </c>
      <c r="K411" s="131" t="str">
        <f ca="1">IFERROR(__xludf.DUMMYFUNCTION("""COMPUTED_VALUE"""),"david.juvinao-bbva.com")</f>
        <v>david.juvinao-bbva.com</v>
      </c>
      <c r="L411" s="130">
        <f ca="1">IFERROR(__xludf.DUMMYFUNCTION("""COMPUTED_VALUE"""),0.5)</f>
        <v>0.5</v>
      </c>
      <c r="M411" s="130">
        <f ca="1">IFERROR(__xludf.DUMMYFUNCTION("""COMPUTED_VALUE"""),2)</f>
        <v>2</v>
      </c>
      <c r="N411" s="130">
        <f ca="1">IFERROR(__xludf.DUMMYFUNCTION("""COMPUTED_VALUE"""),2.3)</f>
        <v>2.2999999999999998</v>
      </c>
      <c r="O411" s="4" t="str">
        <f ca="1">IFERROR(__xludf.DUMMYFUNCTION("""COMPUTED_VALUE"""),"Scrum")</f>
        <v>Scrum</v>
      </c>
      <c r="P411" s="4" t="str">
        <f ca="1">IFERROR(__xludf.DUMMYFUNCTION("""COMPUTED_VALUE"""),"Argonautas")</f>
        <v>Argonautas</v>
      </c>
      <c r="Q411" s="130">
        <f ca="1">IFERROR(__xludf.DUMMYFUNCTION("""COMPUTED_VALUE"""),1)</f>
        <v>1</v>
      </c>
      <c r="R411" s="130" t="str">
        <f ca="1">IFERROR(__xludf.DUMMYFUNCTION("""COMPUTED_VALUE"""),"Advanced Analytics")</f>
        <v>Advanced Analytics</v>
      </c>
      <c r="S411" s="130" t="str">
        <f ca="1">IFERROR(__xludf.DUMMYFUNCTION("""COMPUTED_VALUE"""),"Plan Ascenso")</f>
        <v>Plan Ascenso</v>
      </c>
      <c r="T411" s="130" t="str">
        <f ca="1">IFERROR(__xludf.DUMMYFUNCTION("""COMPUTED_VALUE"""),"1. Generación de Ingresos")</f>
        <v>1. Generación de Ingresos</v>
      </c>
      <c r="U411" s="130" t="str">
        <f ca="1">IFERROR(__xludf.DUMMYFUNCTION("""COMPUTED_VALUE"""),"1.5. Otros de Proyectos de Ingresos")</f>
        <v>1.5. Otros de Proyectos de Ingresos</v>
      </c>
      <c r="V411" s="4" t="str">
        <f ca="1">IFERROR(__xludf.DUMMYFUNCTION("""COMPUTED_VALUE"""),"Pricing")</f>
        <v>Pricing</v>
      </c>
      <c r="W411" s="4">
        <f ca="1">IFERROR(__xludf.DUMMYFUNCTION("""COMPUTED_VALUE"""),1)</f>
        <v>1</v>
      </c>
      <c r="X411" s="4" t="str">
        <f ca="1">IFERROR(__xludf.DUMMYFUNCTION("""COMPUTED_VALUE"""),"09. Data")</f>
        <v>09. Data</v>
      </c>
      <c r="Y411" s="4" t="str">
        <f ca="1">IFERROR(__xludf.DUMMYFUNCTION("""COMPUTED_VALUE"""),"4.1.1. Own channels")</f>
        <v>4.1.1. Own channels</v>
      </c>
      <c r="Z411" s="132" t="str">
        <f ca="1">IFERROR(__xludf.DUMMYFUNCTION("""COMPUTED_VALUE"""),"491884")</f>
        <v>491884</v>
      </c>
      <c r="AA411" s="4" t="str">
        <f ca="1">IFERROR(__xludf.DUMMYFUNCTION("""COMPUTED_VALUE"""),"Pricing Hipotecario")</f>
        <v>Pricing Hipotecario</v>
      </c>
      <c r="AB411" s="4" t="str">
        <f ca="1">IFERROR(__xludf.DUMMYFUNCTION("""COMPUTED_VALUE"""),"Con este proyecto se busca optimizar la herramienta pricing de personas particulares mediante la inclusión de la sensibilidad del cliente frente a variables como el ingreso y el buro, esto permitirá generar grupos homogeneos con el fin de ofrecer tasas pe"&amp;"rsonalizadas.")</f>
        <v>Con este proyecto se busca optimizar la herramienta pricing de personas particulares mediante la inclusión de la sensibilidad del cliente frente a variables como el ingreso y el buro, esto permitirá generar grupos homogeneos con el fin de ofrecer tasas personalizadas.</v>
      </c>
      <c r="AC411" s="4" t="str">
        <f ca="1">IFERROR(__xludf.DUMMYFUNCTION("""COMPUTED_VALUE"""),"3Q 2022")</f>
        <v>3Q 2022</v>
      </c>
      <c r="AD411" s="4"/>
      <c r="AE411" s="4"/>
      <c r="AF411" s="4"/>
      <c r="AG411" s="4"/>
      <c r="AH411" s="4"/>
      <c r="AI411" s="4"/>
      <c r="AJ411" s="4"/>
      <c r="AK411" s="131" t="str">
        <f ca="1">IFERROR(__xludf.DUMMYFUNCTION("""COMPUTED_VALUE"""),"CCSS-703")</f>
        <v>CCSS-703</v>
      </c>
      <c r="AL411" s="4" t="str">
        <f ca="1">IFERROR(__xludf.DUMMYFUNCTION("""COMPUTED_VALUE"""),"Deployed")</f>
        <v>Deployed</v>
      </c>
      <c r="AM411" s="4"/>
      <c r="AN411" s="4" t="str">
        <f ca="1">IFERROR(__xludf.DUMMYFUNCTION("""COMPUTED_VALUE"""),"Finalizado")</f>
        <v>Finalizado</v>
      </c>
      <c r="AO411" s="4"/>
      <c r="AP411" s="4"/>
      <c r="AQ411" s="4"/>
      <c r="AR411" s="4" t="str">
        <f ca="1">IFERROR(__xludf.DUMMYFUNCTION("""COMPUTED_VALUE"""),"SDA aprobada en PPP Q1 2023")</f>
        <v>SDA aprobada en PPP Q1 2023</v>
      </c>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133">
        <f ca="1">IFERROR(__xludf.DUMMYFUNCTION("""COMPUTED_VALUE"""),0)</f>
        <v>0</v>
      </c>
      <c r="DV411" s="133">
        <f ca="1">IFERROR(__xludf.DUMMYFUNCTION("""COMPUTED_VALUE"""),0)</f>
        <v>0</v>
      </c>
      <c r="DW411" s="133">
        <f ca="1">IFERROR(__xludf.DUMMYFUNCTION("""COMPUTED_VALUE"""),6379386)</f>
        <v>6379386</v>
      </c>
      <c r="DX411" s="133">
        <f ca="1">IFERROR(__xludf.DUMMYFUNCTION("""COMPUTED_VALUE"""),275567079)</f>
        <v>275567079</v>
      </c>
      <c r="DY411" s="133">
        <f ca="1">IFERROR(__xludf.DUMMYFUNCTION("""COMPUTED_VALUE"""),0)</f>
        <v>0</v>
      </c>
      <c r="DZ411" s="133">
        <f ca="1">IFERROR(__xludf.DUMMYFUNCTION("""COMPUTED_VALUE"""),281946465)</f>
        <v>281946465</v>
      </c>
      <c r="EA411" s="4"/>
      <c r="EB411" s="4"/>
    </row>
    <row r="412" spans="1:132" x14ac:dyDescent="0.2">
      <c r="A412" s="4">
        <f ca="1">IFERROR(__xludf.DUMMYFUNCTION("""COMPUTED_VALUE"""),412)</f>
        <v>412</v>
      </c>
      <c r="B412" s="4">
        <f ca="1">IFERROR(__xludf.DUMMYFUNCTION("""COMPUTED_VALUE"""),386)</f>
        <v>386</v>
      </c>
      <c r="C412" s="4" t="str">
        <f ca="1">IFERROR(__xludf.DUMMYFUNCTION("""COMPUTED_VALUE"""),"SDATOOL-38481")</f>
        <v>SDATOOL-38481</v>
      </c>
      <c r="D412" s="4" t="str">
        <f ca="1">IFERROR(__xludf.DUMMYFUNCTION("""COMPUTED_VALUE"""),"Pricing Pasivos (optimización portafolio) - Plan Ascenso Cross Sell")</f>
        <v>Pricing Pasivos (optimización portafolio) - Plan Ascenso Cross Sell</v>
      </c>
      <c r="E412"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2" s="4" t="str">
        <f ca="1">IFERROR(__xludf.DUMMYFUNCTION("""COMPUTED_VALUE"""),"Project")</f>
        <v>Project</v>
      </c>
      <c r="G412" s="4" t="str">
        <f ca="1">IFERROR(__xludf.DUMMYFUNCTION("""COMPUTED_VALUE"""),"Stock")</f>
        <v>Stock</v>
      </c>
      <c r="H412" s="4" t="str">
        <f ca="1">IFERROR(__xludf.DUMMYFUNCTION("""COMPUTED_VALUE"""),"4Q 2023")</f>
        <v>4Q 2023</v>
      </c>
      <c r="I412" s="131" t="str">
        <f ca="1">IFERROR(__xludf.DUMMYFUNCTION("""COMPUTED_VALUE"""),"hugofernando.parra-bbva.com")</f>
        <v>hugofernando.parra-bbva.com</v>
      </c>
      <c r="J412" s="131" t="str">
        <f ca="1">IFERROR(__xludf.DUMMYFUNCTION("""COMPUTED_VALUE"""),"judy.bernal-bbva.com")</f>
        <v>judy.bernal-bbva.com</v>
      </c>
      <c r="K412" s="131" t="str">
        <f ca="1">IFERROR(__xludf.DUMMYFUNCTION("""COMPUTED_VALUE"""),"david.juvinao-bbva.com")</f>
        <v>david.juvinao-bbva.com</v>
      </c>
      <c r="L412" s="4"/>
      <c r="M412" s="4"/>
      <c r="N412" s="4"/>
      <c r="O412" s="4" t="str">
        <f ca="1">IFERROR(__xludf.DUMMYFUNCTION("""COMPUTED_VALUE"""),"Scrum")</f>
        <v>Scrum</v>
      </c>
      <c r="P412" s="4" t="str">
        <f ca="1">IFERROR(__xludf.DUMMYFUNCTION("""COMPUTED_VALUE"""),"Argonautas")</f>
        <v>Argonautas</v>
      </c>
      <c r="Q412" s="4"/>
      <c r="R412" s="130" t="str">
        <f ca="1">IFERROR(__xludf.DUMMYFUNCTION("""COMPUTED_VALUE"""),"Advanced Analytics")</f>
        <v>Advanced Analytics</v>
      </c>
      <c r="S412" s="130" t="str">
        <f ca="1">IFERROR(__xludf.DUMMYFUNCTION("""COMPUTED_VALUE"""),"Plan Ascenso")</f>
        <v>Plan Ascenso</v>
      </c>
      <c r="T412" s="130" t="str">
        <f ca="1">IFERROR(__xludf.DUMMYFUNCTION("""COMPUTED_VALUE"""),"1. Generación de Ingresos")</f>
        <v>1. Generación de Ingresos</v>
      </c>
      <c r="U412" s="130" t="str">
        <f ca="1">IFERROR(__xludf.DUMMYFUNCTION("""COMPUTED_VALUE"""),"1.5. Otros de Proyectos de Ingresos")</f>
        <v>1.5. Otros de Proyectos de Ingresos</v>
      </c>
      <c r="V412" s="4" t="str">
        <f ca="1">IFERROR(__xludf.DUMMYFUNCTION("""COMPUTED_VALUE"""),"Pricing")</f>
        <v>Pricing</v>
      </c>
      <c r="W412" s="4">
        <f ca="1">IFERROR(__xludf.DUMMYFUNCTION("""COMPUTED_VALUE"""),1)</f>
        <v>1</v>
      </c>
      <c r="X412" s="4" t="str">
        <f ca="1">IFERROR(__xludf.DUMMYFUNCTION("""COMPUTED_VALUE"""),"09. Data")</f>
        <v>09. Data</v>
      </c>
      <c r="Y412" s="4" t="str">
        <f ca="1">IFERROR(__xludf.DUMMYFUNCTION("""COMPUTED_VALUE"""),"4.1.1. Own channels")</f>
        <v>4.1.1. Own channels</v>
      </c>
      <c r="Z412" s="132" t="str">
        <f ca="1">IFERROR(__xludf.DUMMYFUNCTION("""COMPUTED_VALUE"""),"369155")</f>
        <v>369155</v>
      </c>
      <c r="AA412" s="4" t="str">
        <f ca="1">IFERROR(__xludf.DUMMYFUNCTION("""COMPUTED_VALUE"""),"Optimización al módulo de CDT (MVP1)")</f>
        <v>Optimización al módulo de CDT (MVP1)</v>
      </c>
      <c r="AB412" s="4" t="str">
        <f ca="1">IFERROR(__xludf.DUMMYFUNCTION("""COMPUTED_VALUE"""),"Optimización a los módulos actuales de paquetización de nómina, consumo")</f>
        <v>Optimización a los módulos actuales de paquetización de nómina, consumo</v>
      </c>
      <c r="AC412" s="4" t="str">
        <f ca="1">IFERROR(__xludf.DUMMYFUNCTION("""COMPUTED_VALUE"""),"3Q 2023")</f>
        <v>3Q 2023</v>
      </c>
      <c r="AD412" s="128">
        <f ca="1">IFERROR(__xludf.DUMMYFUNCTION("""COMPUTED_VALUE"""),44693)</f>
        <v>44693</v>
      </c>
      <c r="AE412" s="128">
        <f ca="1">IFERROR(__xludf.DUMMYFUNCTION("""COMPUTED_VALUE"""),44742)</f>
        <v>44742</v>
      </c>
      <c r="AF412" s="128">
        <f ca="1">IFERROR(__xludf.DUMMYFUNCTION("""COMPUTED_VALUE"""),44803)</f>
        <v>44803</v>
      </c>
      <c r="AG412" s="128">
        <f ca="1">IFERROR(__xludf.DUMMYFUNCTION("""COMPUTED_VALUE"""),44956)</f>
        <v>44956</v>
      </c>
      <c r="AH412" s="128">
        <f ca="1">IFERROR(__xludf.DUMMYFUNCTION("""COMPUTED_VALUE"""),44972)</f>
        <v>44972</v>
      </c>
      <c r="AI412" s="128">
        <f ca="1">IFERROR(__xludf.DUMMYFUNCTION("""COMPUTED_VALUE"""),45000)</f>
        <v>45000</v>
      </c>
      <c r="AJ412" s="128">
        <f ca="1">IFERROR(__xludf.DUMMYFUNCTION("""COMPUTED_VALUE"""),45015)</f>
        <v>45015</v>
      </c>
      <c r="AK412" s="131" t="str">
        <f ca="1">IFERROR(__xludf.DUMMYFUNCTION("""COMPUTED_VALUE"""),"CCIBS-1774")</f>
        <v>CCIBS-1774</v>
      </c>
      <c r="AL412" s="4" t="str">
        <f ca="1">IFERROR(__xludf.DUMMYFUNCTION("""COMPUTED_VALUE"""),"Deployed")</f>
        <v>Deployed</v>
      </c>
      <c r="AM412" s="4"/>
      <c r="AN412" s="4" t="str">
        <f ca="1">IFERROR(__xludf.DUMMYFUNCTION("""COMPUTED_VALUE"""),"Entregable en desarrollo")</f>
        <v>Entregable en desarrollo</v>
      </c>
      <c r="AO412" s="4"/>
      <c r="AP412" s="4"/>
      <c r="AQ412" s="4"/>
      <c r="AR412" s="4" t="str">
        <f ca="1">IFERROR(__xludf.DUMMYFUNCTION("""COMPUTED_VALUE"""),"SDA aprobada en PPP Q1 2023")</f>
        <v>SDA aprobada en PPP Q1 2023</v>
      </c>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row>
    <row r="413" spans="1:132" x14ac:dyDescent="0.2">
      <c r="A413" s="4">
        <f ca="1">IFERROR(__xludf.DUMMYFUNCTION("""COMPUTED_VALUE"""),413)</f>
        <v>413</v>
      </c>
      <c r="B413" s="4">
        <f ca="1">IFERROR(__xludf.DUMMYFUNCTION("""COMPUTED_VALUE"""),387)</f>
        <v>387</v>
      </c>
      <c r="C413" s="4" t="str">
        <f ca="1">IFERROR(__xludf.DUMMYFUNCTION("""COMPUTED_VALUE"""),"SDATOOL-38481")</f>
        <v>SDATOOL-38481</v>
      </c>
      <c r="D413" s="4" t="str">
        <f ca="1">IFERROR(__xludf.DUMMYFUNCTION("""COMPUTED_VALUE"""),"Pricing Pasivos (optimización portafolio) - Plan Ascenso Cross Sell")</f>
        <v>Pricing Pasivos (optimización portafolio) - Plan Ascenso Cross Sell</v>
      </c>
      <c r="E413"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3" s="4" t="str">
        <f ca="1">IFERROR(__xludf.DUMMYFUNCTION("""COMPUTED_VALUE"""),"Project")</f>
        <v>Project</v>
      </c>
      <c r="G413" s="4" t="str">
        <f ca="1">IFERROR(__xludf.DUMMYFUNCTION("""COMPUTED_VALUE"""),"Stock")</f>
        <v>Stock</v>
      </c>
      <c r="H413" s="4" t="str">
        <f ca="1">IFERROR(__xludf.DUMMYFUNCTION("""COMPUTED_VALUE"""),"4Q 2023")</f>
        <v>4Q 2023</v>
      </c>
      <c r="I413" s="131" t="str">
        <f ca="1">IFERROR(__xludf.DUMMYFUNCTION("""COMPUTED_VALUE"""),"hugofernando.parra-bbva.com")</f>
        <v>hugofernando.parra-bbva.com</v>
      </c>
      <c r="J413" s="131" t="str">
        <f ca="1">IFERROR(__xludf.DUMMYFUNCTION("""COMPUTED_VALUE"""),"judy.bernal-bbva.com")</f>
        <v>judy.bernal-bbva.com</v>
      </c>
      <c r="K413" s="131" t="str">
        <f ca="1">IFERROR(__xludf.DUMMYFUNCTION("""COMPUTED_VALUE"""),"david.juvinao-bbva.com")</f>
        <v>david.juvinao-bbva.com</v>
      </c>
      <c r="L413" s="4"/>
      <c r="M413" s="4"/>
      <c r="N413" s="4"/>
      <c r="O413" s="4" t="str">
        <f ca="1">IFERROR(__xludf.DUMMYFUNCTION("""COMPUTED_VALUE"""),"Scrum")</f>
        <v>Scrum</v>
      </c>
      <c r="P413" s="4" t="str">
        <f ca="1">IFERROR(__xludf.DUMMYFUNCTION("""COMPUTED_VALUE"""),"Argonautas")</f>
        <v>Argonautas</v>
      </c>
      <c r="Q413" s="4"/>
      <c r="R413" s="130" t="str">
        <f ca="1">IFERROR(__xludf.DUMMYFUNCTION("""COMPUTED_VALUE"""),"Advanced Analytics")</f>
        <v>Advanced Analytics</v>
      </c>
      <c r="S413" s="130" t="str">
        <f ca="1">IFERROR(__xludf.DUMMYFUNCTION("""COMPUTED_VALUE"""),"Plan Ascenso")</f>
        <v>Plan Ascenso</v>
      </c>
      <c r="T413" s="130" t="str">
        <f ca="1">IFERROR(__xludf.DUMMYFUNCTION("""COMPUTED_VALUE"""),"1. Generación de Ingresos")</f>
        <v>1. Generación de Ingresos</v>
      </c>
      <c r="U413" s="130" t="str">
        <f ca="1">IFERROR(__xludf.DUMMYFUNCTION("""COMPUTED_VALUE"""),"1.5. Otros de Proyectos de Ingresos")</f>
        <v>1.5. Otros de Proyectos de Ingresos</v>
      </c>
      <c r="V413" s="4" t="str">
        <f ca="1">IFERROR(__xludf.DUMMYFUNCTION("""COMPUTED_VALUE"""),"Pricing")</f>
        <v>Pricing</v>
      </c>
      <c r="W413" s="4">
        <f ca="1">IFERROR(__xludf.DUMMYFUNCTION("""COMPUTED_VALUE"""),1)</f>
        <v>1</v>
      </c>
      <c r="X413" s="4" t="str">
        <f ca="1">IFERROR(__xludf.DUMMYFUNCTION("""COMPUTED_VALUE"""),"09. Data")</f>
        <v>09. Data</v>
      </c>
      <c r="Y413" s="4" t="str">
        <f ca="1">IFERROR(__xludf.DUMMYFUNCTION("""COMPUTED_VALUE"""),"4.1.1. Own channels")</f>
        <v>4.1.1. Own channels</v>
      </c>
      <c r="Z413" s="132" t="str">
        <f ca="1">IFERROR(__xludf.DUMMYFUNCTION("""COMPUTED_VALUE"""),"598009")</f>
        <v>598009</v>
      </c>
      <c r="AA413" s="4" t="str">
        <f ca="1">IFERROR(__xludf.DUMMYFUNCTION("""COMPUTED_VALUE"""),"Pricing Cuentas  de Ahorro (MVP2)")</f>
        <v>Pricing Cuentas  de Ahorro (MVP2)</v>
      </c>
      <c r="AB413" s="4" t="str">
        <f ca="1">IFERROR(__xludf.DUMMYFUNCTION("""COMPUTED_VALUE"""),"Pricing Cuentas  de Ahorro (MVP2)")</f>
        <v>Pricing Cuentas  de Ahorro (MVP2)</v>
      </c>
      <c r="AC413" s="4" t="str">
        <f ca="1">IFERROR(__xludf.DUMMYFUNCTION("""COMPUTED_VALUE"""),"4Q 2023")</f>
        <v>4Q 2023</v>
      </c>
      <c r="AD413" s="4"/>
      <c r="AE413" s="4"/>
      <c r="AF413" s="4"/>
      <c r="AG413" s="4"/>
      <c r="AH413" s="4"/>
      <c r="AI413" s="4"/>
      <c r="AJ413" s="4"/>
      <c r="AK413" s="131" t="str">
        <f ca="1">IFERROR(__xludf.DUMMYFUNCTION("""COMPUTED_VALUE"""),"COLWSCUENT-2427")</f>
        <v>COLWSCUENT-2427</v>
      </c>
      <c r="AL413" s="4" t="str">
        <f ca="1">IFERROR(__xludf.DUMMYFUNCTION("""COMPUTED_VALUE"""),"New")</f>
        <v>New</v>
      </c>
      <c r="AM413" s="4"/>
      <c r="AN413" s="4" t="str">
        <f ca="1">IFERROR(__xludf.DUMMYFUNCTION("""COMPUTED_VALUE"""),"Entregable en backlog")</f>
        <v>Entregable en backlog</v>
      </c>
      <c r="AO413" s="4"/>
      <c r="AP413" s="4"/>
      <c r="AQ413" s="4"/>
      <c r="AR413" s="4" t="str">
        <f ca="1">IFERROR(__xludf.DUMMYFUNCTION("""COMPUTED_VALUE"""),"SDA aprobada en PPP Q1 2023")</f>
        <v>SDA aprobada en PPP Q1 2023</v>
      </c>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row>
    <row r="414" spans="1:132" x14ac:dyDescent="0.2">
      <c r="A414" s="4">
        <f ca="1">IFERROR(__xludf.DUMMYFUNCTION("""COMPUTED_VALUE"""),414)</f>
        <v>414</v>
      </c>
      <c r="B414" s="4">
        <f ca="1">IFERROR(__xludf.DUMMYFUNCTION("""COMPUTED_VALUE"""),388)</f>
        <v>388</v>
      </c>
      <c r="C414" s="4" t="str">
        <f ca="1">IFERROR(__xludf.DUMMYFUNCTION("""COMPUTED_VALUE"""),"SDATOOL-42144")</f>
        <v>SDATOOL-42144</v>
      </c>
      <c r="D414" s="4" t="str">
        <f ca="1">IFERROR(__xludf.DUMMYFUNCTION("""COMPUTED_VALUE"""),"Ahorro Fijo Digital Clientes")</f>
        <v>Ahorro Fijo Digital Clientes</v>
      </c>
      <c r="E414" s="4" t="str">
        <f ca="1">IFERROR(__xludf.DUMMYFUNCTION("""COMPUTED_VALUE"""),"La iniciativa está enfocada en habilitar el alta y administración de cuenta ahorro fijo el alta en canales digitales , con procesos E2E online, para lo cual debe existir:
1. Alta de producto: Contratación de ahorro fijo por medio de los canales digitales"&amp;" para cliente .
-Se espera que se tenga una pantalla presentación del producto con sus beneficios, una panatalla de solicitud de datos para crear cuenta, simulación, pantalla resultado de simulación con el detalle de los intereses que generará el product"&amp;"o dependiendo el plazo elegido por el cliente, firma de contrato digital y aceptaciones de producto.
-Para cargar el producto se deberá poder hacer por transferencia de cuentas bbva, desde dinero móvil, desde PSE conectado al proyecto de cash in PSE. 
-"&amp;"Se debe tener una tarifa diferente para incentivar recursos traídos por PSE y cuentas acorde al origen de los recursos. 
-La cuenta debe quedar con el bloqueo automático de los recursos (el mismo que se tiene en la oficina) y por el cual se activa el pa"&amp;"cto de plazo y la tasa preferente.
-Al finalizar se deberá hacer un envío de certificado a email del cliente con datos de su producto contratado, el contrato y documentación necesaria.
-El producto debe nacer con subproducto 17 el cual sirve para ahorro"&amp;" fijo
- Si es un cliente actual, que está desactualizado se espera fluya el proceso de actualización de datos de contacto.
Se debe contar con el campo código asesor (similar a cuenta online) y se deberá garantizar informacionales para seguimiento del ár"&amp;"ea central, insumo a incentivación y enlace en las tablas necesarias para posterior extracción de información y seguimiento de esto.
Debe existir en el alta la opción de renivación automatica en el producto (similar a CDT) y guardar la traza de dicha ord"&amp;"en por parte del cliente. 
2. Renovación de Producto: 5 días antes del vencimiento del plazo del bloqueo de los recursos el sistema debe enviar un mensaje recordatorio por sms al celular y al email registrado con las tasas vigentes y oferta para renovaci"&amp;"ón de Producto, pasados 3 días hábiles si el cliente no hace el proceso de cancelación o renovación el productos se renovará con las mismas condiciones de apertura.
Si el cliente está renovando, dentro del flujo debe encontrar: Monto actual precargado y "&amp;"sin modificar, monto a renovar (editable numérico), plazo de renovación; en caso de que el cliente desee renovar:
Con el mismo valor y condiciones: Se deberá presentar resultados de simulación con tasas actuales, en donde se proponga y muestre los dos si"&amp;"guientes plazos con sus respectivo intereses, además de las nuevas condiciones del producto; si es el mismo valor, dar de alta la renovación, es decir, establecer el bloqueo por el nuevo tiempo pactado.
Mayor valor: mostrar la opción de la cuenta en donde"&amp;" traerá los recursos incluido PSE y los plazos ofertables, simulador y confirmación de bloqueo, y para mejor valor, la cuenta en donde se debe abonar los recursos que retirara de la cuenta, el simulador con el nuevo saldo y la confirmación de bloqueo.
Men"&amp;"or valor: Se deberá mostrar lo mismo que el punto de mayor valor cambiando la pregunta de dónde vienen los recursos adonde se debe abonar los recursos.
3. Cancelación de contrato: Para la cancelación del contrato el cliente tiene 3 días hábiles, dentro d"&amp;"e los cuales debe encontrar dentro del flujo la solicitud de cancelación del bloqueo, la cuenta en donde desea trasladar los recursos, y la aceptación para la cancelación de cuenta.
4. Pago de intereses y capital: Se deberá disponibilizar el pago a cuent"&amp;"as BBVA (MVP)  y de otros bancos vía ACH. 
5. Reporte: Se debe generar un reporte semanal del alta de productos en donde nos muestra claramente: 1.Nombre del cliente, 2. identificación 3.fecha de alta del producto, 4. canal por el cual fue realizado el a"&amp;"lta, 5. valor de la operación, 6.canal de transacción de recursos, 5. Plazo del bloqueo, 6. fecha de vencimiento del bloqueo, 7. renovación si/no.
-Creación e implementación guía de etiquetado para hacer seguimiento a la métrica digital. tagging
-Como ne"&amp;"gocio quiero que las aceptaciones queden almacenadas en el reporsitorio de ventas digitales")</f>
        <v>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v>
      </c>
      <c r="F414" s="4" t="str">
        <f ca="1">IFERROR(__xludf.DUMMYFUNCTION("""COMPUTED_VALUE"""),"Initiative")</f>
        <v>Initiative</v>
      </c>
      <c r="G414" s="4" t="str">
        <f ca="1">IFERROR(__xludf.DUMMYFUNCTION("""COMPUTED_VALUE"""),"On hold")</f>
        <v>On hold</v>
      </c>
      <c r="H414" s="4" t="str">
        <f ca="1">IFERROR(__xludf.DUMMYFUNCTION("""COMPUTED_VALUE"""),"4Q 2026")</f>
        <v>4Q 2026</v>
      </c>
      <c r="I414" s="131" t="str">
        <f ca="1">IFERROR(__xludf.DUMMYFUNCTION("""COMPUTED_VALUE"""),"hugofernando.parra-bbva.com")</f>
        <v>hugofernando.parra-bbva.com</v>
      </c>
      <c r="J414" s="131" t="str">
        <f ca="1">IFERROR(__xludf.DUMMYFUNCTION("""COMPUTED_VALUE"""),"judy.bernal-bbva.com")</f>
        <v>judy.bernal-bbva.com</v>
      </c>
      <c r="K414" s="131" t="str">
        <f ca="1">IFERROR(__xludf.DUMMYFUNCTION("""COMPUTED_VALUE"""),"paolaandrea.hermosa-bbva.com")</f>
        <v>paolaandrea.hermosa-bbva.com</v>
      </c>
      <c r="L414" s="130">
        <f ca="1">IFERROR(__xludf.DUMMYFUNCTION("""COMPUTED_VALUE"""),0.5)</f>
        <v>0.5</v>
      </c>
      <c r="M414" s="130">
        <f ca="1">IFERROR(__xludf.DUMMYFUNCTION("""COMPUTED_VALUE"""),0)</f>
        <v>0</v>
      </c>
      <c r="N414" s="130">
        <f ca="1">IFERROR(__xludf.DUMMYFUNCTION("""COMPUTED_VALUE"""),0)</f>
        <v>0</v>
      </c>
      <c r="O414" s="4" t="str">
        <f ca="1">IFERROR(__xludf.DUMMYFUNCTION("""COMPUTED_VALUE"""),"Scrum")</f>
        <v>Scrum</v>
      </c>
      <c r="P414" s="4" t="str">
        <f ca="1">IFERROR(__xludf.DUMMYFUNCTION("""COMPUTED_VALUE"""),"TBD")</f>
        <v>TBD</v>
      </c>
      <c r="Q414" s="4"/>
      <c r="R414" s="130" t="str">
        <f ca="1">IFERROR(__xludf.DUMMYFUNCTION("""COMPUTED_VALUE"""),"Retail Execution")</f>
        <v>Retail Execution</v>
      </c>
      <c r="S414" s="130" t="str">
        <f ca="1">IFERROR(__xludf.DUMMYFUNCTION("""COMPUTED_VALUE"""),"Strategic Review")</f>
        <v>Strategic Review</v>
      </c>
      <c r="T414" s="130" t="str">
        <f ca="1">IFERROR(__xludf.DUMMYFUNCTION("""COMPUTED_VALUE"""),"1. Generación de Ingresos")</f>
        <v>1. Generación de Ingresos</v>
      </c>
      <c r="U414" s="130" t="str">
        <f ca="1">IFERROR(__xludf.DUMMYFUNCTION("""COMPUTED_VALUE"""),"1.3. Pasivos PPNN y PYMEs")</f>
        <v>1.3. Pasivos PPNN y PYMEs</v>
      </c>
      <c r="V414" s="4" t="str">
        <f ca="1">IFERROR(__xludf.DUMMYFUNCTION("""COMPUTED_VALUE"""),"Pasivo")</f>
        <v>Pasivo</v>
      </c>
      <c r="W414" s="4">
        <f ca="1">IFERROR(__xludf.DUMMYFUNCTION("""COMPUTED_VALUE"""),1)</f>
        <v>1</v>
      </c>
      <c r="X414" s="4" t="str">
        <f ca="1">IFERROR(__xludf.DUMMYFUNCTION("""COMPUTED_VALUE"""),"01. Open Market &amp; Partnerships")</f>
        <v>01. Open Market &amp; Partnerships</v>
      </c>
      <c r="Y414" s="4" t="str">
        <f ca="1">IFERROR(__xludf.DUMMYFUNCTION("""COMPUTED_VALUE"""),"4.1.1. Own channels")</f>
        <v>4.1.1. Own channels</v>
      </c>
      <c r="Z414" s="132" t="str">
        <f ca="1">IFERROR(__xludf.DUMMYFUNCTION("""COMPUTED_VALUE"""),"711126")</f>
        <v>711126</v>
      </c>
      <c r="AA414" s="4" t="str">
        <f ca="1">IFERROR(__xludf.DUMMYFUNCTION("""COMPUTED_VALUE"""),"Iniciativa priorizada para el Q2 2023 en proceso de Discovery")</f>
        <v>Iniciativa priorizada para el Q2 2023 en proceso de Discovery</v>
      </c>
      <c r="AB414" s="4" t="str">
        <f ca="1">IFERROR(__xludf.DUMMYFUNCTION("""COMPUTED_VALUE"""),"TBD")</f>
        <v>TBD</v>
      </c>
      <c r="AC414" s="4" t="str">
        <f ca="1">IFERROR(__xludf.DUMMYFUNCTION("""COMPUTED_VALUE"""),"4Q 2023")</f>
        <v>4Q 2023</v>
      </c>
      <c r="AD414" s="4"/>
      <c r="AE414" s="4"/>
      <c r="AF414" s="4"/>
      <c r="AG414" s="4"/>
      <c r="AH414" s="4"/>
      <c r="AI414" s="4"/>
      <c r="AJ414" s="4"/>
      <c r="AK414" s="4" t="str">
        <f ca="1">IFERROR(__xludf.DUMMYFUNCTION("""COMPUTED_VALUE"""),"Sin asignar")</f>
        <v>Sin asignar</v>
      </c>
      <c r="AL414" s="4" t="str">
        <f ca="1">IFERROR(__xludf.DUMMYFUNCTION("""COMPUTED_VALUE"""),"Sin asignar")</f>
        <v>Sin asignar</v>
      </c>
      <c r="AM414" s="4"/>
      <c r="AN414" s="4" t="str">
        <f ca="1">IFERROR(__xludf.DUMMYFUNCTION("""COMPUTED_VALUE"""),"Iniciativa en Discovery")</f>
        <v>Iniciativa en Discovery</v>
      </c>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133" t="str">
        <f ca="1">IFERROR(__xludf.DUMMYFUNCTION("""COMPUTED_VALUE"""),"Sin Est.")</f>
        <v>Sin Est.</v>
      </c>
      <c r="DV414" s="133" t="str">
        <f ca="1">IFERROR(__xludf.DUMMYFUNCTION("""COMPUTED_VALUE"""),"Sin Est.")</f>
        <v>Sin Est.</v>
      </c>
      <c r="DW414" s="133" t="str">
        <f ca="1">IFERROR(__xludf.DUMMYFUNCTION("""COMPUTED_VALUE"""),"Sin Est.")</f>
        <v>Sin Est.</v>
      </c>
      <c r="DX414" s="133" t="str">
        <f ca="1">IFERROR(__xludf.DUMMYFUNCTION("""COMPUTED_VALUE"""),"Sin Est.")</f>
        <v>Sin Est.</v>
      </c>
      <c r="DY414" s="133" t="str">
        <f ca="1">IFERROR(__xludf.DUMMYFUNCTION("""COMPUTED_VALUE"""),"Sin Est.")</f>
        <v>Sin Est.</v>
      </c>
      <c r="DZ414" s="4" t="str">
        <f ca="1">IFERROR(__xludf.DUMMYFUNCTION("""COMPUTED_VALUE"""),"#VALUE!")</f>
        <v>#VALUE!</v>
      </c>
      <c r="EA414" s="4"/>
      <c r="EB414" s="4"/>
    </row>
    <row r="415" spans="1:132" x14ac:dyDescent="0.2">
      <c r="A415" s="4">
        <f ca="1">IFERROR(__xludf.DUMMYFUNCTION("""COMPUTED_VALUE"""),415)</f>
        <v>415</v>
      </c>
      <c r="B415" s="4">
        <f ca="1">IFERROR(__xludf.DUMMYFUNCTION("""COMPUTED_VALUE"""),389)</f>
        <v>389</v>
      </c>
      <c r="C415" s="4" t="str">
        <f ca="1">IFERROR(__xludf.DUMMYFUNCTION("""COMPUTED_VALUE"""),"SDATOOL-40435")</f>
        <v>SDATOOL-40435</v>
      </c>
      <c r="D415" s="4" t="str">
        <f ca="1">IFERROR(__xludf.DUMMYFUNCTION("""COMPUTED_VALUE"""),"Cuota Segura créditos de libranza")</f>
        <v>Cuota Segura créditos de libranza</v>
      </c>
      <c r="E415"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5" s="4" t="str">
        <f ca="1">IFERROR(__xludf.DUMMYFUNCTION("""COMPUTED_VALUE"""),"Initiative")</f>
        <v>Initiative</v>
      </c>
      <c r="G415" s="4" t="str">
        <f ca="1">IFERROR(__xludf.DUMMYFUNCTION("""COMPUTED_VALUE"""),"Stock")</f>
        <v>Stock</v>
      </c>
      <c r="H415" s="4" t="str">
        <f ca="1">IFERROR(__xludf.DUMMYFUNCTION("""COMPUTED_VALUE"""),"4Q 2023")</f>
        <v>4Q 2023</v>
      </c>
      <c r="I415" s="131" t="str">
        <f ca="1">IFERROR(__xludf.DUMMYFUNCTION("""COMPUTED_VALUE"""),"hugofernando.parra-bbva.com")</f>
        <v>hugofernando.parra-bbva.com</v>
      </c>
      <c r="J415" s="131" t="str">
        <f ca="1">IFERROR(__xludf.DUMMYFUNCTION("""COMPUTED_VALUE"""),"nicolas.galindo-bbva.com")</f>
        <v>nicolas.galindo-bbva.com</v>
      </c>
      <c r="K415" s="131" t="str">
        <f ca="1">IFERROR(__xludf.DUMMYFUNCTION("""COMPUTED_VALUE"""),"paulocesar.sastoque-bbva.com")</f>
        <v>paulocesar.sastoque-bbva.com</v>
      </c>
      <c r="L415" s="130">
        <f ca="1">IFERROR(__xludf.DUMMYFUNCTION("""COMPUTED_VALUE"""),0.5)</f>
        <v>0.5</v>
      </c>
      <c r="M415" s="130">
        <f ca="1">IFERROR(__xludf.DUMMYFUNCTION("""COMPUTED_VALUE"""),5.1)</f>
        <v>5.0999999999999996</v>
      </c>
      <c r="N415" s="130">
        <f ca="1">IFERROR(__xludf.DUMMYFUNCTION("""COMPUTED_VALUE"""),1.3)</f>
        <v>1.3</v>
      </c>
      <c r="O415" s="4" t="str">
        <f ca="1">IFERROR(__xludf.DUMMYFUNCTION("""COMPUTED_VALUE"""),"Waterfall")</f>
        <v>Waterfall</v>
      </c>
      <c r="P415" s="4" t="str">
        <f ca="1">IFERROR(__xludf.DUMMYFUNCTION("""COMPUTED_VALUE"""),"Tradicional Banca Seguros")</f>
        <v>Tradicional Banca Seguros</v>
      </c>
      <c r="Q415" s="4"/>
      <c r="R415" s="130" t="str">
        <f ca="1">IFERROR(__xludf.DUMMYFUNCTION("""COMPUTED_VALUE"""),"Retail Execution")</f>
        <v>Retail Execution</v>
      </c>
      <c r="S415" s="130" t="str">
        <f ca="1">IFERROR(__xludf.DUMMYFUNCTION("""COMPUTED_VALUE"""),"Strategic Review")</f>
        <v>Strategic Review</v>
      </c>
      <c r="T415" s="130" t="str">
        <f ca="1">IFERROR(__xludf.DUMMYFUNCTION("""COMPUTED_VALUE"""),"1. Generación de Ingresos")</f>
        <v>1. Generación de Ingresos</v>
      </c>
      <c r="U415" s="130" t="str">
        <f ca="1">IFERROR(__xludf.DUMMYFUNCTION("""COMPUTED_VALUE"""),"1.5. Otros de Proyectos de Ingresos")</f>
        <v>1.5. Otros de Proyectos de Ingresos</v>
      </c>
      <c r="V415" s="4" t="str">
        <f ca="1">IFERROR(__xludf.DUMMYFUNCTION("""COMPUTED_VALUE"""),"Seguros")</f>
        <v>Seguros</v>
      </c>
      <c r="W415" s="4">
        <f ca="1">IFERROR(__xludf.DUMMYFUNCTION("""COMPUTED_VALUE"""),2)</f>
        <v>2</v>
      </c>
      <c r="X415" s="4" t="str">
        <f ca="1">IFERROR(__xludf.DUMMYFUNCTION("""COMPUTED_VALUE"""),"05. Cross-sell")</f>
        <v>05. Cross-sell</v>
      </c>
      <c r="Y415" s="4" t="str">
        <f ca="1">IFERROR(__xludf.DUMMYFUNCTION("""COMPUTED_VALUE"""),"5.7.1 Keep the Bank Running")</f>
        <v>5.7.1 Keep the Bank Running</v>
      </c>
      <c r="Z415" s="132" t="str">
        <f ca="1">IFERROR(__xludf.DUMMYFUNCTION("""COMPUTED_VALUE"""),"666371")</f>
        <v>666371</v>
      </c>
      <c r="AA415" s="4" t="str">
        <f ca="1">IFERROR(__xludf.DUMMYFUNCTION("""COMPUTED_VALUE"""),"MVP - BPM")</f>
        <v>MVP - BPM</v>
      </c>
      <c r="AB415" s="4" t="str">
        <f ca="1">IFERROR(__xludf.DUMMYFUNCTION("""COMPUTED_VALUE"""),"Añadir funcionalidades de seguro voluntario en Bonita 7 (Botones, reportería y visualización de campos)")</f>
        <v>Añadir funcionalidades de seguro voluntario en Bonita 7 (Botones, reportería y visualización de campos)</v>
      </c>
      <c r="AC415" s="4" t="str">
        <f ca="1">IFERROR(__xludf.DUMMYFUNCTION("""COMPUTED_VALUE"""),"2Q 2023")</f>
        <v>2Q 2023</v>
      </c>
      <c r="AD415" s="4"/>
      <c r="AE415" s="4"/>
      <c r="AF415" s="4"/>
      <c r="AG415" s="4"/>
      <c r="AH415" s="4"/>
      <c r="AI415" s="4"/>
      <c r="AJ415" s="4"/>
      <c r="AK415" s="131" t="str">
        <f ca="1">IFERROR(__xludf.DUMMYFUNCTION("""COMPUTED_VALUE"""),"COLWSCANAL-9660")</f>
        <v>COLWSCANAL-9660</v>
      </c>
      <c r="AL415" s="4" t="str">
        <f ca="1">IFERROR(__xludf.DUMMYFUNCTION("""COMPUTED_VALUE"""),"En progreso")</f>
        <v>En progreso</v>
      </c>
      <c r="AM415" s="4"/>
      <c r="AN415" s="4" t="str">
        <f ca="1">IFERROR(__xludf.DUMMYFUNCTION("""COMPUTED_VALUE"""),"Entregable en Conceptualización")</f>
        <v>Entregable en Conceptualización</v>
      </c>
      <c r="AO415" s="4"/>
      <c r="AP415" s="4"/>
      <c r="AQ415" s="4"/>
      <c r="AR415" s="4" t="str">
        <f ca="1">IFERROR(__xludf.DUMMYFUNCTION("""COMPUTED_VALUE"""),"SDA aprobada en PPP Q1 2023")</f>
        <v>SDA aprobada en PPP Q1 2023</v>
      </c>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133">
        <f ca="1">IFERROR(__xludf.DUMMYFUNCTION("""COMPUTED_VALUE"""),0)</f>
        <v>0</v>
      </c>
      <c r="DV415" s="133">
        <f ca="1">IFERROR(__xludf.DUMMYFUNCTION("""COMPUTED_VALUE"""),0)</f>
        <v>0</v>
      </c>
      <c r="DW415" s="133">
        <f ca="1">IFERROR(__xludf.DUMMYFUNCTION("""COMPUTED_VALUE"""),0)</f>
        <v>0</v>
      </c>
      <c r="DX415" s="133">
        <f ca="1">IFERROR(__xludf.DUMMYFUNCTION("""COMPUTED_VALUE"""),1115715770)</f>
        <v>1115715770</v>
      </c>
      <c r="DY415" s="133">
        <f ca="1">IFERROR(__xludf.DUMMYFUNCTION("""COMPUTED_VALUE"""),0)</f>
        <v>0</v>
      </c>
      <c r="DZ415" s="133">
        <f ca="1">IFERROR(__xludf.DUMMYFUNCTION("""COMPUTED_VALUE"""),1115715770)</f>
        <v>1115715770</v>
      </c>
      <c r="EA415" s="4"/>
      <c r="EB415" s="4"/>
    </row>
    <row r="416" spans="1:132" x14ac:dyDescent="0.2">
      <c r="A416" s="4">
        <f ca="1">IFERROR(__xludf.DUMMYFUNCTION("""COMPUTED_VALUE"""),416)</f>
        <v>416</v>
      </c>
      <c r="B416" s="4">
        <f ca="1">IFERROR(__xludf.DUMMYFUNCTION("""COMPUTED_VALUE"""),390)</f>
        <v>390</v>
      </c>
      <c r="C416" s="4" t="str">
        <f ca="1">IFERROR(__xludf.DUMMYFUNCTION("""COMPUTED_VALUE"""),"SDATOOL-40435")</f>
        <v>SDATOOL-40435</v>
      </c>
      <c r="D416" s="4" t="str">
        <f ca="1">IFERROR(__xludf.DUMMYFUNCTION("""COMPUTED_VALUE"""),"Cuota Segura créditos de libranza")</f>
        <v>Cuota Segura créditos de libranza</v>
      </c>
      <c r="E416"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6" s="4" t="str">
        <f ca="1">IFERROR(__xludf.DUMMYFUNCTION("""COMPUTED_VALUE"""),"Initiative")</f>
        <v>Initiative</v>
      </c>
      <c r="G416" s="4" t="str">
        <f ca="1">IFERROR(__xludf.DUMMYFUNCTION("""COMPUTED_VALUE"""),"Stock")</f>
        <v>Stock</v>
      </c>
      <c r="H416" s="4" t="str">
        <f ca="1">IFERROR(__xludf.DUMMYFUNCTION("""COMPUTED_VALUE"""),"4Q 2023")</f>
        <v>4Q 2023</v>
      </c>
      <c r="I416" s="131" t="str">
        <f ca="1">IFERROR(__xludf.DUMMYFUNCTION("""COMPUTED_VALUE"""),"hugofernando.parra-bbva.com")</f>
        <v>hugofernando.parra-bbva.com</v>
      </c>
      <c r="J416" s="131" t="str">
        <f ca="1">IFERROR(__xludf.DUMMYFUNCTION("""COMPUTED_VALUE"""),"nicolas.galindo-bbva.com")</f>
        <v>nicolas.galindo-bbva.com</v>
      </c>
      <c r="K416" s="131" t="str">
        <f ca="1">IFERROR(__xludf.DUMMYFUNCTION("""COMPUTED_VALUE"""),"paulocesar.sastoque-bbva.com")</f>
        <v>paulocesar.sastoque-bbva.com</v>
      </c>
      <c r="L416" s="4"/>
      <c r="M416" s="4"/>
      <c r="N416" s="4"/>
      <c r="O416" s="4" t="str">
        <f ca="1">IFERROR(__xludf.DUMMYFUNCTION("""COMPUTED_VALUE"""),"Waterfall")</f>
        <v>Waterfall</v>
      </c>
      <c r="P416" s="4" t="str">
        <f ca="1">IFERROR(__xludf.DUMMYFUNCTION("""COMPUTED_VALUE"""),"Tradicional Banca Seguros")</f>
        <v>Tradicional Banca Seguros</v>
      </c>
      <c r="Q416" s="4"/>
      <c r="R416" s="130" t="str">
        <f ca="1">IFERROR(__xludf.DUMMYFUNCTION("""COMPUTED_VALUE"""),"Retail Execution")</f>
        <v>Retail Execution</v>
      </c>
      <c r="S416" s="130" t="str">
        <f ca="1">IFERROR(__xludf.DUMMYFUNCTION("""COMPUTED_VALUE"""),"Strategic Review")</f>
        <v>Strategic Review</v>
      </c>
      <c r="T416" s="130" t="str">
        <f ca="1">IFERROR(__xludf.DUMMYFUNCTION("""COMPUTED_VALUE"""),"1. Generación de Ingresos")</f>
        <v>1. Generación de Ingresos</v>
      </c>
      <c r="U416" s="130" t="str">
        <f ca="1">IFERROR(__xludf.DUMMYFUNCTION("""COMPUTED_VALUE"""),"1.5. Otros de Proyectos de Ingresos")</f>
        <v>1.5. Otros de Proyectos de Ingresos</v>
      </c>
      <c r="V416" s="4" t="str">
        <f ca="1">IFERROR(__xludf.DUMMYFUNCTION("""COMPUTED_VALUE"""),"Seguros")</f>
        <v>Seguros</v>
      </c>
      <c r="W416" s="4">
        <f ca="1">IFERROR(__xludf.DUMMYFUNCTION("""COMPUTED_VALUE"""),2)</f>
        <v>2</v>
      </c>
      <c r="X416" s="4" t="str">
        <f ca="1">IFERROR(__xludf.DUMMYFUNCTION("""COMPUTED_VALUE"""),"05. Cross-sell")</f>
        <v>05. Cross-sell</v>
      </c>
      <c r="Y416" s="4" t="str">
        <f ca="1">IFERROR(__xludf.DUMMYFUNCTION("""COMPUTED_VALUE"""),"5.7.1 Keep the Bank Running")</f>
        <v>5.7.1 Keep the Bank Running</v>
      </c>
      <c r="Z416" s="132" t="str">
        <f ca="1">IFERROR(__xludf.DUMMYFUNCTION("""COMPUTED_VALUE"""),"666370")</f>
        <v>666370</v>
      </c>
      <c r="AA416" s="4" t="str">
        <f ca="1">IFERROR(__xludf.DUMMYFUNCTION("""COMPUTED_VALUE"""),"MVP - CAP")</f>
        <v>MVP - CAP</v>
      </c>
      <c r="AB416" s="4" t="str">
        <f ca="1">IFERROR(__xludf.DUMMYFUNCTION("""COMPUTED_VALUE"""),"Desarrollos asociados a CAP")</f>
        <v>Desarrollos asociados a CAP</v>
      </c>
      <c r="AC416" s="4" t="str">
        <f ca="1">IFERROR(__xludf.DUMMYFUNCTION("""COMPUTED_VALUE"""),"2Q 2023")</f>
        <v>2Q 2023</v>
      </c>
      <c r="AD416" s="4"/>
      <c r="AE416" s="4"/>
      <c r="AF416" s="4"/>
      <c r="AG416" s="4"/>
      <c r="AH416" s="4"/>
      <c r="AI416" s="4"/>
      <c r="AJ416" s="4"/>
      <c r="AK416" s="131" t="str">
        <f ca="1">IFERROR(__xludf.DUMMYFUNCTION("""COMPUTED_VALUE"""),"COLWSCANAL-9653")</f>
        <v>COLWSCANAL-9653</v>
      </c>
      <c r="AL416" s="4" t="str">
        <f ca="1">IFERROR(__xludf.DUMMYFUNCTION("""COMPUTED_VALUE"""),"New")</f>
        <v>New</v>
      </c>
      <c r="AM416" s="4"/>
      <c r="AN416" s="4" t="str">
        <f ca="1">IFERROR(__xludf.DUMMYFUNCTION("""COMPUTED_VALUE"""),"Entregable en Conceptualización")</f>
        <v>Entregable en Conceptualización</v>
      </c>
      <c r="AO416" s="4"/>
      <c r="AP416" s="4"/>
      <c r="AQ416" s="4"/>
      <c r="AR416" s="4" t="str">
        <f ca="1">IFERROR(__xludf.DUMMYFUNCTION("""COMPUTED_VALUE"""),"SDA aprobada en PPP Q1 2023")</f>
        <v>SDA aprobada en PPP Q1 2023</v>
      </c>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row>
    <row r="417" spans="1:132" x14ac:dyDescent="0.2">
      <c r="A417" s="4">
        <f ca="1">IFERROR(__xludf.DUMMYFUNCTION("""COMPUTED_VALUE"""),417)</f>
        <v>417</v>
      </c>
      <c r="B417" s="4">
        <f ca="1">IFERROR(__xludf.DUMMYFUNCTION("""COMPUTED_VALUE"""),391)</f>
        <v>391</v>
      </c>
      <c r="C417" s="4" t="str">
        <f ca="1">IFERROR(__xludf.DUMMYFUNCTION("""COMPUTED_VALUE"""),"SDATOOL-40435")</f>
        <v>SDATOOL-40435</v>
      </c>
      <c r="D417" s="4" t="str">
        <f ca="1">IFERROR(__xludf.DUMMYFUNCTION("""COMPUTED_VALUE"""),"Cuota Segura créditos de libranza")</f>
        <v>Cuota Segura créditos de libranza</v>
      </c>
      <c r="E417"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7" s="4" t="str">
        <f ca="1">IFERROR(__xludf.DUMMYFUNCTION("""COMPUTED_VALUE"""),"Initiative")</f>
        <v>Initiative</v>
      </c>
      <c r="G417" s="4" t="str">
        <f ca="1">IFERROR(__xludf.DUMMYFUNCTION("""COMPUTED_VALUE"""),"Stock")</f>
        <v>Stock</v>
      </c>
      <c r="H417" s="4" t="str">
        <f ca="1">IFERROR(__xludf.DUMMYFUNCTION("""COMPUTED_VALUE"""),"4Q 2023")</f>
        <v>4Q 2023</v>
      </c>
      <c r="I417" s="131" t="str">
        <f ca="1">IFERROR(__xludf.DUMMYFUNCTION("""COMPUTED_VALUE"""),"hugofernando.parra-bbva.com")</f>
        <v>hugofernando.parra-bbva.com</v>
      </c>
      <c r="J417" s="131" t="str">
        <f ca="1">IFERROR(__xludf.DUMMYFUNCTION("""COMPUTED_VALUE"""),"nicolas.galindo-bbva.com")</f>
        <v>nicolas.galindo-bbva.com</v>
      </c>
      <c r="K417" s="131" t="str">
        <f ca="1">IFERROR(__xludf.DUMMYFUNCTION("""COMPUTED_VALUE"""),"paulocesar.sastoque-bbva.com")</f>
        <v>paulocesar.sastoque-bbva.com</v>
      </c>
      <c r="L417" s="4"/>
      <c r="M417" s="4"/>
      <c r="N417" s="4"/>
      <c r="O417" s="4" t="str">
        <f ca="1">IFERROR(__xludf.DUMMYFUNCTION("""COMPUTED_VALUE"""),"Waterfall")</f>
        <v>Waterfall</v>
      </c>
      <c r="P417" s="4" t="str">
        <f ca="1">IFERROR(__xludf.DUMMYFUNCTION("""COMPUTED_VALUE"""),"Tradicional Banca Seguros")</f>
        <v>Tradicional Banca Seguros</v>
      </c>
      <c r="Q417" s="4"/>
      <c r="R417" s="130" t="str">
        <f ca="1">IFERROR(__xludf.DUMMYFUNCTION("""COMPUTED_VALUE"""),"Retail Execution")</f>
        <v>Retail Execution</v>
      </c>
      <c r="S417" s="130" t="str">
        <f ca="1">IFERROR(__xludf.DUMMYFUNCTION("""COMPUTED_VALUE"""),"Strategic Review")</f>
        <v>Strategic Review</v>
      </c>
      <c r="T417" s="130" t="str">
        <f ca="1">IFERROR(__xludf.DUMMYFUNCTION("""COMPUTED_VALUE"""),"1. Generación de Ingresos")</f>
        <v>1. Generación de Ingresos</v>
      </c>
      <c r="U417" s="130" t="str">
        <f ca="1">IFERROR(__xludf.DUMMYFUNCTION("""COMPUTED_VALUE"""),"1.5. Otros de Proyectos de Ingresos")</f>
        <v>1.5. Otros de Proyectos de Ingresos</v>
      </c>
      <c r="V417" s="4" t="str">
        <f ca="1">IFERROR(__xludf.DUMMYFUNCTION("""COMPUTED_VALUE"""),"Seguros")</f>
        <v>Seguros</v>
      </c>
      <c r="W417" s="4">
        <f ca="1">IFERROR(__xludf.DUMMYFUNCTION("""COMPUTED_VALUE"""),2)</f>
        <v>2</v>
      </c>
      <c r="X417" s="4" t="str">
        <f ca="1">IFERROR(__xludf.DUMMYFUNCTION("""COMPUTED_VALUE"""),"05. Cross-sell")</f>
        <v>05. Cross-sell</v>
      </c>
      <c r="Y417" s="4" t="str">
        <f ca="1">IFERROR(__xludf.DUMMYFUNCTION("""COMPUTED_VALUE"""),"5.7.1 Keep the Bank Running")</f>
        <v>5.7.1 Keep the Bank Running</v>
      </c>
      <c r="Z417" s="132" t="str">
        <f ca="1">IFERROR(__xludf.DUMMYFUNCTION("""COMPUTED_VALUE"""),"666372")</f>
        <v>666372</v>
      </c>
      <c r="AA417" s="4" t="str">
        <f ca="1">IFERROR(__xludf.DUMMYFUNCTION("""COMPUTED_VALUE"""),"MVP - PNB")</f>
        <v>MVP - PNB</v>
      </c>
      <c r="AB417" s="4" t="str">
        <f ca="1">IFERROR(__xludf.DUMMYFUNCTION("""COMPUTED_VALUE"""),"Incluir en el portal de negocio bancario la opción seguro voluntario en el simulador de libranzas")</f>
        <v>Incluir en el portal de negocio bancario la opción seguro voluntario en el simulador de libranzas</v>
      </c>
      <c r="AC417" s="4" t="str">
        <f ca="1">IFERROR(__xludf.DUMMYFUNCTION("""COMPUTED_VALUE"""),"2Q 2023")</f>
        <v>2Q 2023</v>
      </c>
      <c r="AD417" s="4"/>
      <c r="AE417" s="4"/>
      <c r="AF417" s="4"/>
      <c r="AG417" s="4"/>
      <c r="AH417" s="4"/>
      <c r="AI417" s="4"/>
      <c r="AJ417" s="4"/>
      <c r="AK417" s="131" t="str">
        <f ca="1">IFERROR(__xludf.DUMMYFUNCTION("""COMPUTED_VALUE"""),"COLWSSWTC-230")</f>
        <v>COLWSSWTC-230</v>
      </c>
      <c r="AL417" s="4" t="str">
        <f ca="1">IFERROR(__xludf.DUMMYFUNCTION("""COMPUTED_VALUE"""),"New")</f>
        <v>New</v>
      </c>
      <c r="AM417" s="4"/>
      <c r="AN417" s="4" t="str">
        <f ca="1">IFERROR(__xludf.DUMMYFUNCTION("""COMPUTED_VALUE"""),"Entregable en Conceptualización")</f>
        <v>Entregable en Conceptualización</v>
      </c>
      <c r="AO417" s="4"/>
      <c r="AP417" s="4"/>
      <c r="AQ417" s="4"/>
      <c r="AR417" s="4" t="str">
        <f ca="1">IFERROR(__xludf.DUMMYFUNCTION("""COMPUTED_VALUE"""),"SDA aprobada en PPP Q1 2023")</f>
        <v>SDA aprobada en PPP Q1 2023</v>
      </c>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row>
    <row r="418" spans="1:132" x14ac:dyDescent="0.2">
      <c r="A418" s="4">
        <f ca="1">IFERROR(__xludf.DUMMYFUNCTION("""COMPUTED_VALUE"""),418)</f>
        <v>418</v>
      </c>
      <c r="B418" s="4">
        <f ca="1">IFERROR(__xludf.DUMMYFUNCTION("""COMPUTED_VALUE"""),392)</f>
        <v>392</v>
      </c>
      <c r="C418" s="4" t="str">
        <f ca="1">IFERROR(__xludf.DUMMYFUNCTION("""COMPUTED_VALUE"""),"SDATOOL-40435")</f>
        <v>SDATOOL-40435</v>
      </c>
      <c r="D418" s="4" t="str">
        <f ca="1">IFERROR(__xludf.DUMMYFUNCTION("""COMPUTED_VALUE"""),"Cuota Segura créditos de libranza")</f>
        <v>Cuota Segura créditos de libranza</v>
      </c>
      <c r="E418"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8" s="4" t="str">
        <f ca="1">IFERROR(__xludf.DUMMYFUNCTION("""COMPUTED_VALUE"""),"Initiative")</f>
        <v>Initiative</v>
      </c>
      <c r="G418" s="4" t="str">
        <f ca="1">IFERROR(__xludf.DUMMYFUNCTION("""COMPUTED_VALUE"""),"Stock")</f>
        <v>Stock</v>
      </c>
      <c r="H418" s="4" t="str">
        <f ca="1">IFERROR(__xludf.DUMMYFUNCTION("""COMPUTED_VALUE"""),"4Q 2023")</f>
        <v>4Q 2023</v>
      </c>
      <c r="I418" s="131" t="str">
        <f ca="1">IFERROR(__xludf.DUMMYFUNCTION("""COMPUTED_VALUE"""),"hugofernando.parra-bbva.com")</f>
        <v>hugofernando.parra-bbva.com</v>
      </c>
      <c r="J418" s="131" t="str">
        <f ca="1">IFERROR(__xludf.DUMMYFUNCTION("""COMPUTED_VALUE"""),"nicolas.galindo-bbva.com")</f>
        <v>nicolas.galindo-bbva.com</v>
      </c>
      <c r="K418" s="131" t="str">
        <f ca="1">IFERROR(__xludf.DUMMYFUNCTION("""COMPUTED_VALUE"""),"paulocesar.sastoque-bbva.com")</f>
        <v>paulocesar.sastoque-bbva.com</v>
      </c>
      <c r="L418" s="4"/>
      <c r="M418" s="4"/>
      <c r="N418" s="4"/>
      <c r="O418" s="4" t="str">
        <f ca="1">IFERROR(__xludf.DUMMYFUNCTION("""COMPUTED_VALUE"""),"Waterfall")</f>
        <v>Waterfall</v>
      </c>
      <c r="P418" s="4" t="str">
        <f ca="1">IFERROR(__xludf.DUMMYFUNCTION("""COMPUTED_VALUE"""),"Tradicional Banca Seguros")</f>
        <v>Tradicional Banca Seguros</v>
      </c>
      <c r="Q418" s="4"/>
      <c r="R418" s="130" t="str">
        <f ca="1">IFERROR(__xludf.DUMMYFUNCTION("""COMPUTED_VALUE"""),"Retail Execution")</f>
        <v>Retail Execution</v>
      </c>
      <c r="S418" s="130" t="str">
        <f ca="1">IFERROR(__xludf.DUMMYFUNCTION("""COMPUTED_VALUE"""),"Strategic Review")</f>
        <v>Strategic Review</v>
      </c>
      <c r="T418" s="130" t="str">
        <f ca="1">IFERROR(__xludf.DUMMYFUNCTION("""COMPUTED_VALUE"""),"1. Generación de Ingresos")</f>
        <v>1. Generación de Ingresos</v>
      </c>
      <c r="U418" s="130" t="str">
        <f ca="1">IFERROR(__xludf.DUMMYFUNCTION("""COMPUTED_VALUE"""),"1.5. Otros de Proyectos de Ingresos")</f>
        <v>1.5. Otros de Proyectos de Ingresos</v>
      </c>
      <c r="V418" s="4" t="str">
        <f ca="1">IFERROR(__xludf.DUMMYFUNCTION("""COMPUTED_VALUE"""),"Seguros")</f>
        <v>Seguros</v>
      </c>
      <c r="W418" s="4">
        <f ca="1">IFERROR(__xludf.DUMMYFUNCTION("""COMPUTED_VALUE"""),2)</f>
        <v>2</v>
      </c>
      <c r="X418" s="4" t="str">
        <f ca="1">IFERROR(__xludf.DUMMYFUNCTION("""COMPUTED_VALUE"""),"05. Cross-sell")</f>
        <v>05. Cross-sell</v>
      </c>
      <c r="Y418" s="4" t="str">
        <f ca="1">IFERROR(__xludf.DUMMYFUNCTION("""COMPUTED_VALUE"""),"5.7.1 Keep the Bank Running")</f>
        <v>5.7.1 Keep the Bank Running</v>
      </c>
      <c r="Z418" s="132" t="str">
        <f ca="1">IFERROR(__xludf.DUMMYFUNCTION("""COMPUTED_VALUE"""),"560529")</f>
        <v>560529</v>
      </c>
      <c r="AA418" s="4" t="str">
        <f ca="1">IFERROR(__xludf.DUMMYFUNCTION("""COMPUTED_VALUE"""),"MVP - Prestamos / Seguros")</f>
        <v>MVP - Prestamos / Seguros</v>
      </c>
      <c r="AB418" s="4" t="str">
        <f ca="1">IFERROR(__xludf.DUMMYFUNCTION("""COMPUTED_VALUE"""),"Iniciativa priorizada para el Q1 2023 en proceso de discovery.")</f>
        <v>Iniciativa priorizada para el Q1 2023 en proceso de discovery.</v>
      </c>
      <c r="AC418" s="4" t="str">
        <f ca="1">IFERROR(__xludf.DUMMYFUNCTION("""COMPUTED_VALUE"""),"3Q 2023")</f>
        <v>3Q 2023</v>
      </c>
      <c r="AD418" s="4"/>
      <c r="AE418" s="4"/>
      <c r="AF418" s="4"/>
      <c r="AG418" s="4"/>
      <c r="AH418" s="4"/>
      <c r="AI418" s="4"/>
      <c r="AJ418" s="4"/>
      <c r="AK418" s="131" t="str">
        <f ca="1">IFERROR(__xludf.DUMMYFUNCTION("""COMPUTED_VALUE"""),"COLWSPREST-12058")</f>
        <v>COLWSPREST-12058</v>
      </c>
      <c r="AL418" s="4" t="str">
        <f ca="1">IFERROR(__xludf.DUMMYFUNCTION("""COMPUTED_VALUE"""),"New")</f>
        <v>New</v>
      </c>
      <c r="AM418" s="4"/>
      <c r="AN418" s="4" t="str">
        <f ca="1">IFERROR(__xludf.DUMMYFUNCTION("""COMPUTED_VALUE"""),"Entregable en Conceptualización")</f>
        <v>Entregable en Conceptualización</v>
      </c>
      <c r="AO418" s="4"/>
      <c r="AP418" s="4"/>
      <c r="AQ418" s="4"/>
      <c r="AR418" s="4" t="str">
        <f ca="1">IFERROR(__xludf.DUMMYFUNCTION("""COMPUTED_VALUE"""),"SDA aprobada en PPP Q1 2023")</f>
        <v>SDA aprobada en PPP Q1 2023</v>
      </c>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row>
    <row r="419" spans="1:132" x14ac:dyDescent="0.2">
      <c r="A419" s="4">
        <f ca="1">IFERROR(__xludf.DUMMYFUNCTION("""COMPUTED_VALUE"""),419)</f>
        <v>419</v>
      </c>
      <c r="B419" s="4">
        <f ca="1">IFERROR(__xludf.DUMMYFUNCTION("""COMPUTED_VALUE"""),393)</f>
        <v>393</v>
      </c>
      <c r="C419" s="4" t="str">
        <f ca="1">IFERROR(__xludf.DUMMYFUNCTION("""COMPUTED_VALUE"""),"SDATOOL-40435")</f>
        <v>SDATOOL-40435</v>
      </c>
      <c r="D419" s="4" t="str">
        <f ca="1">IFERROR(__xludf.DUMMYFUNCTION("""COMPUTED_VALUE"""),"Cuota Segura créditos de libranza")</f>
        <v>Cuota Segura créditos de libranza</v>
      </c>
      <c r="E41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9" s="4" t="str">
        <f ca="1">IFERROR(__xludf.DUMMYFUNCTION("""COMPUTED_VALUE"""),"Initiative")</f>
        <v>Initiative</v>
      </c>
      <c r="G419" s="4" t="str">
        <f ca="1">IFERROR(__xludf.DUMMYFUNCTION("""COMPUTED_VALUE"""),"Stock")</f>
        <v>Stock</v>
      </c>
      <c r="H419" s="4" t="str">
        <f ca="1">IFERROR(__xludf.DUMMYFUNCTION("""COMPUTED_VALUE"""),"4Q 2023")</f>
        <v>4Q 2023</v>
      </c>
      <c r="I419" s="131" t="str">
        <f ca="1">IFERROR(__xludf.DUMMYFUNCTION("""COMPUTED_VALUE"""),"hugofernando.parra-bbva.com")</f>
        <v>hugofernando.parra-bbva.com</v>
      </c>
      <c r="J419" s="131" t="str">
        <f ca="1">IFERROR(__xludf.DUMMYFUNCTION("""COMPUTED_VALUE"""),"nicolas.galindo-bbva.com")</f>
        <v>nicolas.galindo-bbva.com</v>
      </c>
      <c r="K419" s="131" t="str">
        <f ca="1">IFERROR(__xludf.DUMMYFUNCTION("""COMPUTED_VALUE"""),"paulocesar.sastoque-bbva.com")</f>
        <v>paulocesar.sastoque-bbva.com</v>
      </c>
      <c r="L419" s="4"/>
      <c r="M419" s="4"/>
      <c r="N419" s="4"/>
      <c r="O419" s="4" t="str">
        <f ca="1">IFERROR(__xludf.DUMMYFUNCTION("""COMPUTED_VALUE"""),"Waterfall")</f>
        <v>Waterfall</v>
      </c>
      <c r="P419" s="4" t="str">
        <f ca="1">IFERROR(__xludf.DUMMYFUNCTION("""COMPUTED_VALUE"""),"Tradicional Banca Seguros")</f>
        <v>Tradicional Banca Seguros</v>
      </c>
      <c r="Q419" s="4"/>
      <c r="R419" s="130" t="str">
        <f ca="1">IFERROR(__xludf.DUMMYFUNCTION("""COMPUTED_VALUE"""),"Retail Execution")</f>
        <v>Retail Execution</v>
      </c>
      <c r="S419" s="130" t="str">
        <f ca="1">IFERROR(__xludf.DUMMYFUNCTION("""COMPUTED_VALUE"""),"Strategic Review")</f>
        <v>Strategic Review</v>
      </c>
      <c r="T419" s="130" t="str">
        <f ca="1">IFERROR(__xludf.DUMMYFUNCTION("""COMPUTED_VALUE"""),"1. Generación de Ingresos")</f>
        <v>1. Generación de Ingresos</v>
      </c>
      <c r="U419" s="130" t="str">
        <f ca="1">IFERROR(__xludf.DUMMYFUNCTION("""COMPUTED_VALUE"""),"1.5. Otros de Proyectos de Ingresos")</f>
        <v>1.5. Otros de Proyectos de Ingresos</v>
      </c>
      <c r="V419" s="4" t="str">
        <f ca="1">IFERROR(__xludf.DUMMYFUNCTION("""COMPUTED_VALUE"""),"Seguros")</f>
        <v>Seguros</v>
      </c>
      <c r="W419" s="4">
        <f ca="1">IFERROR(__xludf.DUMMYFUNCTION("""COMPUTED_VALUE"""),2)</f>
        <v>2</v>
      </c>
      <c r="X419" s="4" t="str">
        <f ca="1">IFERROR(__xludf.DUMMYFUNCTION("""COMPUTED_VALUE"""),"05. Cross-sell")</f>
        <v>05. Cross-sell</v>
      </c>
      <c r="Y419" s="4" t="str">
        <f ca="1">IFERROR(__xludf.DUMMYFUNCTION("""COMPUTED_VALUE"""),"5.7.1 Keep the Bank Running")</f>
        <v>5.7.1 Keep the Bank Running</v>
      </c>
      <c r="Z419" s="132" t="str">
        <f ca="1">IFERROR(__xludf.DUMMYFUNCTION("""COMPUTED_VALUE"""),"713216")</f>
        <v>713216</v>
      </c>
      <c r="AA419" s="4" t="str">
        <f ca="1">IFERROR(__xludf.DUMMYFUNCTION("""COMPUTED_VALUE"""),"MVP -Facturación y Recaudo")</f>
        <v>MVP -Facturación y Recaudo</v>
      </c>
      <c r="AB419" s="4" t="str">
        <f ca="1">IFERROR(__xludf.DUMMYFUNCTION("""COMPUTED_VALUE"""),"Entregable enfocado en los procesos contables del recaudo y traslado de primas")</f>
        <v>Entregable enfocado en los procesos contables del recaudo y traslado de primas</v>
      </c>
      <c r="AC419" s="4" t="str">
        <f ca="1">IFERROR(__xludf.DUMMYFUNCTION("""COMPUTED_VALUE"""),"3Q 2023")</f>
        <v>3Q 2023</v>
      </c>
      <c r="AD419" s="4"/>
      <c r="AE419" s="4"/>
      <c r="AF419" s="4"/>
      <c r="AG419" s="4"/>
      <c r="AH419" s="4"/>
      <c r="AI419" s="4"/>
      <c r="AJ419" s="4"/>
      <c r="AK419" s="131" t="str">
        <f ca="1">IFERROR(__xludf.DUMMYFUNCTION("""COMPUTED_VALUE"""),"COLWSPREST-10436")</f>
        <v>COLWSPREST-10436</v>
      </c>
      <c r="AL419" s="4" t="str">
        <f ca="1">IFERROR(__xludf.DUMMYFUNCTION("""COMPUTED_VALUE"""),"New")</f>
        <v>New</v>
      </c>
      <c r="AM419" s="4"/>
      <c r="AN419" s="4" t="str">
        <f ca="1">IFERROR(__xludf.DUMMYFUNCTION("""COMPUTED_VALUE"""),"Entregable en backlog")</f>
        <v>Entregable en backlog</v>
      </c>
      <c r="AO419" s="4"/>
      <c r="AP419" s="4"/>
      <c r="AQ419" s="4"/>
      <c r="AR419" s="4" t="str">
        <f ca="1">IFERROR(__xludf.DUMMYFUNCTION("""COMPUTED_VALUE"""),"SDA aprobada en PPP Q1 2023")</f>
        <v>SDA aprobada en PPP Q1 2023</v>
      </c>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row>
    <row r="420" spans="1:132" x14ac:dyDescent="0.2">
      <c r="A420" s="4">
        <f ca="1">IFERROR(__xludf.DUMMYFUNCTION("""COMPUTED_VALUE"""),420)</f>
        <v>420</v>
      </c>
      <c r="B420" s="4">
        <f ca="1">IFERROR(__xludf.DUMMYFUNCTION("""COMPUTED_VALUE"""),394)</f>
        <v>394</v>
      </c>
      <c r="C420" s="4" t="str">
        <f ca="1">IFERROR(__xludf.DUMMYFUNCTION("""COMPUTED_VALUE"""),"SDATOOL-40435")</f>
        <v>SDATOOL-40435</v>
      </c>
      <c r="D420" s="4" t="str">
        <f ca="1">IFERROR(__xludf.DUMMYFUNCTION("""COMPUTED_VALUE"""),"Cuota Segura créditos de libranza")</f>
        <v>Cuota Segura créditos de libranza</v>
      </c>
      <c r="E420"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20" s="4" t="str">
        <f ca="1">IFERROR(__xludf.DUMMYFUNCTION("""COMPUTED_VALUE"""),"Initiative")</f>
        <v>Initiative</v>
      </c>
      <c r="G420" s="4" t="str">
        <f ca="1">IFERROR(__xludf.DUMMYFUNCTION("""COMPUTED_VALUE"""),"Stock")</f>
        <v>Stock</v>
      </c>
      <c r="H420" s="4" t="str">
        <f ca="1">IFERROR(__xludf.DUMMYFUNCTION("""COMPUTED_VALUE"""),"4Q 2023")</f>
        <v>4Q 2023</v>
      </c>
      <c r="I420" s="131" t="str">
        <f ca="1">IFERROR(__xludf.DUMMYFUNCTION("""COMPUTED_VALUE"""),"hugofernando.parra-bbva.com")</f>
        <v>hugofernando.parra-bbva.com</v>
      </c>
      <c r="J420" s="131" t="str">
        <f ca="1">IFERROR(__xludf.DUMMYFUNCTION("""COMPUTED_VALUE"""),"nicolas.galindo-bbva.com")</f>
        <v>nicolas.galindo-bbva.com</v>
      </c>
      <c r="K420" s="131" t="str">
        <f ca="1">IFERROR(__xludf.DUMMYFUNCTION("""COMPUTED_VALUE"""),"paulocesar.sastoque-bbva.com")</f>
        <v>paulocesar.sastoque-bbva.com</v>
      </c>
      <c r="L420" s="4"/>
      <c r="M420" s="4"/>
      <c r="N420" s="4"/>
      <c r="O420" s="4" t="str">
        <f ca="1">IFERROR(__xludf.DUMMYFUNCTION("""COMPUTED_VALUE"""),"Waterfall")</f>
        <v>Waterfall</v>
      </c>
      <c r="P420" s="4" t="str">
        <f ca="1">IFERROR(__xludf.DUMMYFUNCTION("""COMPUTED_VALUE"""),"Tradicional Banca Seguros")</f>
        <v>Tradicional Banca Seguros</v>
      </c>
      <c r="Q420" s="4"/>
      <c r="R420" s="130" t="str">
        <f ca="1">IFERROR(__xludf.DUMMYFUNCTION("""COMPUTED_VALUE"""),"Retail Execution")</f>
        <v>Retail Execution</v>
      </c>
      <c r="S420" s="130" t="str">
        <f ca="1">IFERROR(__xludf.DUMMYFUNCTION("""COMPUTED_VALUE"""),"Strategic Review")</f>
        <v>Strategic Review</v>
      </c>
      <c r="T420" s="130" t="str">
        <f ca="1">IFERROR(__xludf.DUMMYFUNCTION("""COMPUTED_VALUE"""),"1. Generación de Ingresos")</f>
        <v>1. Generación de Ingresos</v>
      </c>
      <c r="U420" s="130" t="str">
        <f ca="1">IFERROR(__xludf.DUMMYFUNCTION("""COMPUTED_VALUE"""),"1.5. Otros de Proyectos de Ingresos")</f>
        <v>1.5. Otros de Proyectos de Ingresos</v>
      </c>
      <c r="V420" s="4" t="str">
        <f ca="1">IFERROR(__xludf.DUMMYFUNCTION("""COMPUTED_VALUE"""),"Seguros")</f>
        <v>Seguros</v>
      </c>
      <c r="W420" s="4">
        <f ca="1">IFERROR(__xludf.DUMMYFUNCTION("""COMPUTED_VALUE"""),2)</f>
        <v>2</v>
      </c>
      <c r="X420" s="4" t="str">
        <f ca="1">IFERROR(__xludf.DUMMYFUNCTION("""COMPUTED_VALUE"""),"05. Cross-sell")</f>
        <v>05. Cross-sell</v>
      </c>
      <c r="Y420" s="4" t="str">
        <f ca="1">IFERROR(__xludf.DUMMYFUNCTION("""COMPUTED_VALUE"""),"5.7.1 Keep the Bank Running")</f>
        <v>5.7.1 Keep the Bank Running</v>
      </c>
      <c r="Z420" s="132" t="str">
        <f ca="1">IFERROR(__xludf.DUMMYFUNCTION("""COMPUTED_VALUE"""),"713220")</f>
        <v>713220</v>
      </c>
      <c r="AA420" s="4" t="str">
        <f ca="1">IFERROR(__xludf.DUMMYFUNCTION("""COMPUTED_VALUE"""),"MVP -Operatoria y novedades")</f>
        <v>MVP -Operatoria y novedades</v>
      </c>
      <c r="AB420" s="4" t="str">
        <f ca="1">IFERROR(__xludf.DUMMYFUNCTION("""COMPUTED_VALUE"""),"Funcionalidades Nacar del seguro voluntario y comportamiento del mismo en las diferentes operatorias que sufre la libranza")</f>
        <v>Funcionalidades Nacar del seguro voluntario y comportamiento del mismo en las diferentes operatorias que sufre la libranza</v>
      </c>
      <c r="AC420" s="4" t="str">
        <f ca="1">IFERROR(__xludf.DUMMYFUNCTION("""COMPUTED_VALUE"""),"3Q 2023")</f>
        <v>3Q 2023</v>
      </c>
      <c r="AD420" s="4"/>
      <c r="AE420" s="4"/>
      <c r="AF420" s="4"/>
      <c r="AG420" s="4"/>
      <c r="AH420" s="4"/>
      <c r="AI420" s="4"/>
      <c r="AJ420" s="4"/>
      <c r="AK420" s="131" t="str">
        <f ca="1">IFERROR(__xludf.DUMMYFUNCTION("""COMPUTED_VALUE"""),"COLWSPREST-10498")</f>
        <v>COLWSPREST-10498</v>
      </c>
      <c r="AL420" s="4" t="str">
        <f ca="1">IFERROR(__xludf.DUMMYFUNCTION("""COMPUTED_VALUE"""),"New")</f>
        <v>New</v>
      </c>
      <c r="AM420" s="4"/>
      <c r="AN420" s="4" t="str">
        <f ca="1">IFERROR(__xludf.DUMMYFUNCTION("""COMPUTED_VALUE"""),"Entregable en backlog")</f>
        <v>Entregable en backlog</v>
      </c>
      <c r="AO420" s="4"/>
      <c r="AP420" s="4"/>
      <c r="AQ420" s="4"/>
      <c r="AR420" s="4" t="str">
        <f ca="1">IFERROR(__xludf.DUMMYFUNCTION("""COMPUTED_VALUE"""),"SDA aprobada en PPP Q1 2023")</f>
        <v>SDA aprobada en PPP Q1 2023</v>
      </c>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row>
    <row r="421" spans="1:132" x14ac:dyDescent="0.2">
      <c r="A421" s="4">
        <f ca="1">IFERROR(__xludf.DUMMYFUNCTION("""COMPUTED_VALUE"""),421)</f>
        <v>421</v>
      </c>
      <c r="B421" s="4">
        <f ca="1">IFERROR(__xludf.DUMMYFUNCTION("""COMPUTED_VALUE"""),395)</f>
        <v>395</v>
      </c>
      <c r="C421" s="4" t="str">
        <f ca="1">IFERROR(__xludf.DUMMYFUNCTION("""COMPUTED_VALUE"""),"SDATOOL-40494")</f>
        <v>SDATOOL-40494</v>
      </c>
      <c r="D421" s="4" t="str">
        <f ca="1">IFERROR(__xludf.DUMMYFUNCTION("""COMPUTED_VALUE"""),"Control de cúmulos de seguros para todas las lineas del activo")</f>
        <v>Control de cúmulos de seguros para todas las lineas del activo</v>
      </c>
      <c r="E421" s="4" t="str">
        <f ca="1">IFERROR(__xludf.DUMMYFUNCTION("""COMPUTED_VALUE"""),"Ajustar el calculo de los cúmulos de seguros de acuerdo a Producto de crédito , genero del cliente , edad del cliente , numero de participantes del crédito ( aportantes ) , tasa del seguro , retribución del seguro, migración de cartera a nuevos subproduct"&amp;"os de seguros o de crédito.  Simuladores , Nacar, CAP ,Bonita, Canales ( RED, WEB, APP, CSF,ATM) ,Preaprobados.")</f>
        <v>Ajustar el calculo de los cúmulos de seguros de acuerdo a Producto de crédito , genero del cliente , edad del cliente , numero de participantes del crédito ( aportantes ) , tasa del seguro , retribución del seguro, migración de cartera a nuevos subproductos de seguros o de crédito.  Simuladores , Nacar, CAP ,Bonita, Canales ( RED, WEB, APP, CSF,ATM) ,Preaprobados.</v>
      </c>
      <c r="F421" s="4" t="str">
        <f ca="1">IFERROR(__xludf.DUMMYFUNCTION("""COMPUTED_VALUE"""),"Initiative")</f>
        <v>Initiative</v>
      </c>
      <c r="G421" s="4" t="str">
        <f ca="1">IFERROR(__xludf.DUMMYFUNCTION("""COMPUTED_VALUE"""),"Stock")</f>
        <v>Stock</v>
      </c>
      <c r="H421" s="4" t="str">
        <f ca="1">IFERROR(__xludf.DUMMYFUNCTION("""COMPUTED_VALUE"""),"3Q 2023")</f>
        <v>3Q 2023</v>
      </c>
      <c r="I421" s="131" t="str">
        <f ca="1">IFERROR(__xludf.DUMMYFUNCTION("""COMPUTED_VALUE"""),"hugofernando.parra-bbva.com")</f>
        <v>hugofernando.parra-bbva.com</v>
      </c>
      <c r="J421" s="131" t="str">
        <f ca="1">IFERROR(__xludf.DUMMYFUNCTION("""COMPUTED_VALUE"""),"nicolas.galindo-bbva.com")</f>
        <v>nicolas.galindo-bbva.com</v>
      </c>
      <c r="K421" s="131" t="str">
        <f ca="1">IFERROR(__xludf.DUMMYFUNCTION("""COMPUTED_VALUE"""),"paulocesar.sastoque-bbva.com")</f>
        <v>paulocesar.sastoque-bbva.com</v>
      </c>
      <c r="L421" s="130">
        <f ca="1">IFERROR(__xludf.DUMMYFUNCTION("""COMPUTED_VALUE"""),0.5)</f>
        <v>0.5</v>
      </c>
      <c r="M421" s="130">
        <f ca="1">IFERROR(__xludf.DUMMYFUNCTION("""COMPUTED_VALUE"""),0)</f>
        <v>0</v>
      </c>
      <c r="N421" s="130">
        <f ca="1">IFERROR(__xludf.DUMMYFUNCTION("""COMPUTED_VALUE"""),0)</f>
        <v>0</v>
      </c>
      <c r="O421" s="4" t="str">
        <f ca="1">IFERROR(__xludf.DUMMYFUNCTION("""COMPUTED_VALUE"""),"Waterfall")</f>
        <v>Waterfall</v>
      </c>
      <c r="P421" s="4" t="str">
        <f ca="1">IFERROR(__xludf.DUMMYFUNCTION("""COMPUTED_VALUE"""),"Tradicional Banca Seguros")</f>
        <v>Tradicional Banca Seguros</v>
      </c>
      <c r="Q421" s="4"/>
      <c r="R421" s="130" t="str">
        <f ca="1">IFERROR(__xludf.DUMMYFUNCTION("""COMPUTED_VALUE"""),"Retail Execution")</f>
        <v>Retail Execution</v>
      </c>
      <c r="S421" s="130" t="str">
        <f ca="1">IFERROR(__xludf.DUMMYFUNCTION("""COMPUTED_VALUE"""),"Strategic Review")</f>
        <v>Strategic Review</v>
      </c>
      <c r="T421" s="130" t="str">
        <f ca="1">IFERROR(__xludf.DUMMYFUNCTION("""COMPUTED_VALUE"""),"Otros")</f>
        <v>Otros</v>
      </c>
      <c r="U421" s="130" t="str">
        <f ca="1">IFERROR(__xludf.DUMMYFUNCTION("""COMPUTED_VALUE"""),"No Aplica")</f>
        <v>No Aplica</v>
      </c>
      <c r="V421" s="4" t="str">
        <f ca="1">IFERROR(__xludf.DUMMYFUNCTION("""COMPUTED_VALUE"""),"Seguros")</f>
        <v>Seguros</v>
      </c>
      <c r="W421" s="4">
        <f ca="1">IFERROR(__xludf.DUMMYFUNCTION("""COMPUTED_VALUE"""),2)</f>
        <v>2</v>
      </c>
      <c r="X421" s="4" t="str">
        <f ca="1">IFERROR(__xludf.DUMMYFUNCTION("""COMPUTED_VALUE"""),"05. Cross-sell")</f>
        <v>05. Cross-sell</v>
      </c>
      <c r="Y421" s="4" t="str">
        <f ca="1">IFERROR(__xludf.DUMMYFUNCTION("""COMPUTED_VALUE"""),"5.7.1 Keep the Bank Running")</f>
        <v>5.7.1 Keep the Bank Running</v>
      </c>
      <c r="Z421" s="132" t="str">
        <f ca="1">IFERROR(__xludf.DUMMYFUNCTION("""COMPUTED_VALUE"""),"560530")</f>
        <v>560530</v>
      </c>
      <c r="AA421" s="4" t="str">
        <f ca="1">IFERROR(__xludf.DUMMYFUNCTION("""COMPUTED_VALUE"""),"control de cúmulos en contratación")</f>
        <v>control de cúmulos en contratación</v>
      </c>
      <c r="AB421" s="4" t="str">
        <f ca="1">IFERROR(__xludf.DUMMYFUNCTION("""COMPUTED_VALUE"""),"Iniciativa priorizada para el Q1 2023 en proceso de discovery.")</f>
        <v>Iniciativa priorizada para el Q1 2023 en proceso de discovery.</v>
      </c>
      <c r="AC421" s="4" t="str">
        <f ca="1">IFERROR(__xludf.DUMMYFUNCTION("""COMPUTED_VALUE"""),"3Q 2023")</f>
        <v>3Q 2023</v>
      </c>
      <c r="AD421" s="4"/>
      <c r="AE421" s="4"/>
      <c r="AF421" s="4"/>
      <c r="AG421" s="4"/>
      <c r="AH421" s="4"/>
      <c r="AI421" s="4"/>
      <c r="AJ421" s="4"/>
      <c r="AK421" s="131" t="str">
        <f ca="1">IFERROR(__xludf.DUMMYFUNCTION("""COMPUTED_VALUE"""),"COLWSPREST-7670")</f>
        <v>COLWSPREST-7670</v>
      </c>
      <c r="AL421" s="4" t="str">
        <f ca="1">IFERROR(__xludf.DUMMYFUNCTION("""COMPUTED_VALUE"""),"New")</f>
        <v>New</v>
      </c>
      <c r="AM421" s="4"/>
      <c r="AN421" s="4" t="str">
        <f ca="1">IFERROR(__xludf.DUMMYFUNCTION("""COMPUTED_VALUE"""),"Entregable en Conceptualización")</f>
        <v>Entregable en Conceptualización</v>
      </c>
      <c r="AO421" s="4"/>
      <c r="AP421" s="4"/>
      <c r="AQ421" s="4"/>
      <c r="AR421" s="4" t="str">
        <f ca="1">IFERROR(__xludf.DUMMYFUNCTION("""COMPUTED_VALUE"""),"SDA aprobada en PPP Q1 2023")</f>
        <v>SDA aprobada en PPP Q1 2023</v>
      </c>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133">
        <f ca="1">IFERROR(__xludf.DUMMYFUNCTION("""COMPUTED_VALUE"""),0)</f>
        <v>0</v>
      </c>
      <c r="DV421" s="133">
        <f ca="1">IFERROR(__xludf.DUMMYFUNCTION("""COMPUTED_VALUE"""),0)</f>
        <v>0</v>
      </c>
      <c r="DW421" s="133">
        <f ca="1">IFERROR(__xludf.DUMMYFUNCTION("""COMPUTED_VALUE"""),0)</f>
        <v>0</v>
      </c>
      <c r="DX421" s="133">
        <f ca="1">IFERROR(__xludf.DUMMYFUNCTION("""COMPUTED_VALUE"""),131000000)</f>
        <v>131000000</v>
      </c>
      <c r="DY421" s="133">
        <f ca="1">IFERROR(__xludf.DUMMYFUNCTION("""COMPUTED_VALUE"""),0)</f>
        <v>0</v>
      </c>
      <c r="DZ421" s="133">
        <f ca="1">IFERROR(__xludf.DUMMYFUNCTION("""COMPUTED_VALUE"""),131000000)</f>
        <v>131000000</v>
      </c>
      <c r="EA421" s="4"/>
      <c r="EB421" s="4"/>
    </row>
    <row r="422" spans="1:132" x14ac:dyDescent="0.2">
      <c r="A422" s="4">
        <f ca="1">IFERROR(__xludf.DUMMYFUNCTION("""COMPUTED_VALUE"""),422)</f>
        <v>422</v>
      </c>
      <c r="B422" s="4">
        <f ca="1">IFERROR(__xludf.DUMMYFUNCTION("""COMPUTED_VALUE"""),396)</f>
        <v>396</v>
      </c>
      <c r="C422" s="4" t="str">
        <f ca="1">IFERROR(__xludf.DUMMYFUNCTION("""COMPUTED_VALUE"""),"SDATOOL-9053")</f>
        <v>SDATOOL-9053</v>
      </c>
      <c r="D422" s="4" t="str">
        <f ca="1">IFERROR(__xludf.DUMMYFUNCTION("""COMPUTED_VALUE"""),"GloMo Colombia")</f>
        <v>GloMo Colombia</v>
      </c>
      <c r="E422"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2" s="4" t="str">
        <f ca="1">IFERROR(__xludf.DUMMYFUNCTION("""COMPUTED_VALUE"""),"Project")</f>
        <v>Project</v>
      </c>
      <c r="G422" s="4" t="str">
        <f ca="1">IFERROR(__xludf.DUMMYFUNCTION("""COMPUTED_VALUE"""),"Stock")</f>
        <v>Stock</v>
      </c>
      <c r="H422" s="4" t="str">
        <f ca="1">IFERROR(__xludf.DUMMYFUNCTION("""COMPUTED_VALUE"""),"2Q 2023")</f>
        <v>2Q 2023</v>
      </c>
      <c r="I422" s="131" t="str">
        <f ca="1">IFERROR(__xludf.DUMMYFUNCTION("""COMPUTED_VALUE"""),"andrea.orrego-bbva.com")</f>
        <v>andrea.orrego-bbva.com</v>
      </c>
      <c r="J422" s="131" t="str">
        <f ca="1">IFERROR(__xludf.DUMMYFUNCTION("""COMPUTED_VALUE"""),"vivianamarcela.rueda-bbva.com")</f>
        <v>vivianamarcela.rueda-bbva.com</v>
      </c>
      <c r="K422" s="131" t="str">
        <f ca="1">IFERROR(__xludf.DUMMYFUNCTION("""COMPUTED_VALUE"""),"yurimilena.moreno-bbva.com")</f>
        <v>yurimilena.moreno-bbva.com</v>
      </c>
      <c r="L422" s="130">
        <f ca="1">IFERROR(__xludf.DUMMYFUNCTION("""COMPUTED_VALUE"""),4)</f>
        <v>4</v>
      </c>
      <c r="M422" s="130">
        <f ca="1">IFERROR(__xludf.DUMMYFUNCTION("""COMPUTED_VALUE"""),9.15)</f>
        <v>9.15</v>
      </c>
      <c r="N422" s="130">
        <f ca="1">IFERROR(__xludf.DUMMYFUNCTION("""COMPUTED_VALUE"""),52.5)</f>
        <v>52.5</v>
      </c>
      <c r="O422" s="4" t="str">
        <f ca="1">IFERROR(__xludf.DUMMYFUNCTION("""COMPUTED_VALUE"""),"Waterfall")</f>
        <v>Waterfall</v>
      </c>
      <c r="P422" s="4" t="str">
        <f ca="1">IFERROR(__xludf.DUMMYFUNCTION("""COMPUTED_VALUE"""),"Tradicional")</f>
        <v>Tradicional</v>
      </c>
      <c r="Q422" s="4"/>
      <c r="R422" s="130" t="str">
        <f ca="1">IFERROR(__xludf.DUMMYFUNCTION("""COMPUTED_VALUE"""),"Marketing &amp; Digital Sales")</f>
        <v>Marketing &amp; Digital Sales</v>
      </c>
      <c r="S422" s="130" t="str">
        <f ca="1">IFERROR(__xludf.DUMMYFUNCTION("""COMPUTED_VALUE"""),"Area Review")</f>
        <v>Area Review</v>
      </c>
      <c r="T422" s="130" t="str">
        <f ca="1">IFERROR(__xludf.DUMMYFUNCTION("""COMPUTED_VALUE"""),"2. Modelo de relación y distribución")</f>
        <v>2. Modelo de relación y distribución</v>
      </c>
      <c r="U422" s="130" t="str">
        <f ca="1">IFERROR(__xludf.DUMMYFUNCTION("""COMPUTED_VALUE"""),"2.4. Herramientas de clientes")</f>
        <v>2.4. Herramientas de clientes</v>
      </c>
      <c r="V422" s="4" t="str">
        <f ca="1">IFERROR(__xludf.DUMMYFUNCTION("""COMPUTED_VALUE"""),"GloMo")</f>
        <v>GloMo</v>
      </c>
      <c r="W422" s="4">
        <f ca="1">IFERROR(__xludf.DUMMYFUNCTION("""COMPUTED_VALUE"""),1)</f>
        <v>1</v>
      </c>
      <c r="X422" s="4" t="str">
        <f ca="1">IFERROR(__xludf.DUMMYFUNCTION("""COMPUTED_VALUE"""),"04. Relationship Models")</f>
        <v>04. Relationship Models</v>
      </c>
      <c r="Y422" s="4" t="str">
        <f ca="1">IFERROR(__xludf.DUMMYFUNCTION("""COMPUTED_VALUE"""),"5.6.4 GloMo")</f>
        <v>5.6.4 GloMo</v>
      </c>
      <c r="Z422" s="132" t="str">
        <f ca="1">IFERROR(__xludf.DUMMYFUNCTION("""COMPUTED_VALUE"""),"309206")</f>
        <v>309206</v>
      </c>
      <c r="AA422" s="4" t="str">
        <f ca="1">IFERROR(__xludf.DUMMYFUNCTION("""COMPUTED_VALUE"""),"5) Release 5 -  20 features")</f>
        <v>5) Release 5 -  20 features</v>
      </c>
      <c r="AB422" s="4" t="str">
        <f ca="1">IFERROR(__xludf.DUMMYFUNCTION("""COMPUTED_VALUE"""),"5) Release 5 - P2P, Bill payments, inicio mensajeria entre otras")</f>
        <v>5) Release 5 - P2P, Bill payments, inicio mensajeria entre otras</v>
      </c>
      <c r="AC422" s="4" t="str">
        <f ca="1">IFERROR(__xludf.DUMMYFUNCTION("""COMPUTED_VALUE"""),"4Q 2022")</f>
        <v>4Q 2022</v>
      </c>
      <c r="AD422" s="128">
        <f ca="1">IFERROR(__xludf.DUMMYFUNCTION("""COMPUTED_VALUE"""),44470)</f>
        <v>44470</v>
      </c>
      <c r="AE422" s="128">
        <f ca="1">IFERROR(__xludf.DUMMYFUNCTION("""COMPUTED_VALUE"""),44620)</f>
        <v>44620</v>
      </c>
      <c r="AF422" s="128">
        <f ca="1">IFERROR(__xludf.DUMMYFUNCTION("""COMPUTED_VALUE"""),44621)</f>
        <v>44621</v>
      </c>
      <c r="AG422" s="128">
        <f ca="1">IFERROR(__xludf.DUMMYFUNCTION("""COMPUTED_VALUE"""),44742)</f>
        <v>44742</v>
      </c>
      <c r="AH422" s="128">
        <f ca="1">IFERROR(__xludf.DUMMYFUNCTION("""COMPUTED_VALUE"""),44743)</f>
        <v>44743</v>
      </c>
      <c r="AI422" s="128">
        <f ca="1">IFERROR(__xludf.DUMMYFUNCTION("""COMPUTED_VALUE"""),44804)</f>
        <v>44804</v>
      </c>
      <c r="AJ422" s="128">
        <f ca="1">IFERROR(__xludf.DUMMYFUNCTION("""COMPUTED_VALUE"""),44831)</f>
        <v>44831</v>
      </c>
      <c r="AK422" s="131" t="str">
        <f ca="1">IFERROR(__xludf.DUMMYFUNCTION("""COMPUTED_VALUE"""),"COLWSCANAL-13481")</f>
        <v>COLWSCANAL-13481</v>
      </c>
      <c r="AL422" s="4" t="str">
        <f ca="1">IFERROR(__xludf.DUMMYFUNCTION("""COMPUTED_VALUE"""),"Deployed")</f>
        <v>Deployed</v>
      </c>
      <c r="AM422"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2" s="4" t="str">
        <f ca="1">IFERROR(__xludf.DUMMYFUNCTION("""COMPUTED_VALUE"""),"Finalizado")</f>
        <v>Finalizado</v>
      </c>
      <c r="AO422" s="4"/>
      <c r="AP422" s="4"/>
      <c r="AQ422" s="4"/>
      <c r="AR422" s="4" t="str">
        <f ca="1">IFERROR(__xludf.DUMMYFUNCTION("""COMPUTED_VALUE"""),"SDA aprobada en PPP Q1 2023")</f>
        <v>SDA aprobada en PPP Q1 2023</v>
      </c>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133">
        <f ca="1">IFERROR(__xludf.DUMMYFUNCTION("""COMPUTED_VALUE"""),153279253)</f>
        <v>153279253</v>
      </c>
      <c r="DV422" s="133">
        <f ca="1">IFERROR(__xludf.DUMMYFUNCTION("""COMPUTED_VALUE"""),11053432166)</f>
        <v>11053432166</v>
      </c>
      <c r="DW422" s="133">
        <f ca="1">IFERROR(__xludf.DUMMYFUNCTION("""COMPUTED_VALUE"""),15673476959)</f>
        <v>15673476959</v>
      </c>
      <c r="DX422" s="133">
        <f ca="1">IFERROR(__xludf.DUMMYFUNCTION("""COMPUTED_VALUE"""),3785649852)</f>
        <v>3785649852</v>
      </c>
      <c r="DY422" s="133">
        <f ca="1">IFERROR(__xludf.DUMMYFUNCTION("""COMPUTED_VALUE"""),0)</f>
        <v>0</v>
      </c>
      <c r="DZ422" s="133">
        <f ca="1">IFERROR(__xludf.DUMMYFUNCTION("""COMPUTED_VALUE"""),30665838230)</f>
        <v>30665838230</v>
      </c>
      <c r="EA422" s="4"/>
      <c r="EB422" s="4"/>
    </row>
    <row r="423" spans="1:132" x14ac:dyDescent="0.2">
      <c r="A423" s="4">
        <f ca="1">IFERROR(__xludf.DUMMYFUNCTION("""COMPUTED_VALUE"""),423)</f>
        <v>423</v>
      </c>
      <c r="B423" s="4">
        <f ca="1">IFERROR(__xludf.DUMMYFUNCTION("""COMPUTED_VALUE"""),397)</f>
        <v>397</v>
      </c>
      <c r="C423" s="4" t="str">
        <f ca="1">IFERROR(__xludf.DUMMYFUNCTION("""COMPUTED_VALUE"""),"SDATOOL-9053")</f>
        <v>SDATOOL-9053</v>
      </c>
      <c r="D423" s="4" t="str">
        <f ca="1">IFERROR(__xludf.DUMMYFUNCTION("""COMPUTED_VALUE"""),"GloMo Colombia")</f>
        <v>GloMo Colombia</v>
      </c>
      <c r="E423"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3" s="4" t="str">
        <f ca="1">IFERROR(__xludf.DUMMYFUNCTION("""COMPUTED_VALUE"""),"Project")</f>
        <v>Project</v>
      </c>
      <c r="G423" s="4" t="str">
        <f ca="1">IFERROR(__xludf.DUMMYFUNCTION("""COMPUTED_VALUE"""),"Stock")</f>
        <v>Stock</v>
      </c>
      <c r="H423" s="4" t="str">
        <f ca="1">IFERROR(__xludf.DUMMYFUNCTION("""COMPUTED_VALUE"""),"2Q 2023")</f>
        <v>2Q 2023</v>
      </c>
      <c r="I423" s="131" t="str">
        <f ca="1">IFERROR(__xludf.DUMMYFUNCTION("""COMPUTED_VALUE"""),"andrea.orrego-bbva.com")</f>
        <v>andrea.orrego-bbva.com</v>
      </c>
      <c r="J423" s="131" t="str">
        <f ca="1">IFERROR(__xludf.DUMMYFUNCTION("""COMPUTED_VALUE"""),"vivianamarcela.rueda-bbva.com")</f>
        <v>vivianamarcela.rueda-bbva.com</v>
      </c>
      <c r="K423" s="131" t="str">
        <f ca="1">IFERROR(__xludf.DUMMYFUNCTION("""COMPUTED_VALUE"""),"yurimilena.moreno-bbva.com")</f>
        <v>yurimilena.moreno-bbva.com</v>
      </c>
      <c r="L423" s="4"/>
      <c r="M423" s="4"/>
      <c r="N423" s="4"/>
      <c r="O423" s="4" t="str">
        <f ca="1">IFERROR(__xludf.DUMMYFUNCTION("""COMPUTED_VALUE"""),"Waterfall")</f>
        <v>Waterfall</v>
      </c>
      <c r="P423" s="4" t="str">
        <f ca="1">IFERROR(__xludf.DUMMYFUNCTION("""COMPUTED_VALUE"""),"Tradicional")</f>
        <v>Tradicional</v>
      </c>
      <c r="Q423" s="4"/>
      <c r="R423" s="130" t="str">
        <f ca="1">IFERROR(__xludf.DUMMYFUNCTION("""COMPUTED_VALUE"""),"Marketing &amp; Digital Sales")</f>
        <v>Marketing &amp; Digital Sales</v>
      </c>
      <c r="S423" s="130" t="str">
        <f ca="1">IFERROR(__xludf.DUMMYFUNCTION("""COMPUTED_VALUE"""),"Area Review")</f>
        <v>Area Review</v>
      </c>
      <c r="T423" s="130" t="str">
        <f ca="1">IFERROR(__xludf.DUMMYFUNCTION("""COMPUTED_VALUE"""),"2. Modelo de relación y distribución")</f>
        <v>2. Modelo de relación y distribución</v>
      </c>
      <c r="U423" s="130" t="str">
        <f ca="1">IFERROR(__xludf.DUMMYFUNCTION("""COMPUTED_VALUE"""),"2.4. Herramientas de clientes")</f>
        <v>2.4. Herramientas de clientes</v>
      </c>
      <c r="V423" s="4" t="str">
        <f ca="1">IFERROR(__xludf.DUMMYFUNCTION("""COMPUTED_VALUE"""),"GloMo")</f>
        <v>GloMo</v>
      </c>
      <c r="W423" s="4">
        <f ca="1">IFERROR(__xludf.DUMMYFUNCTION("""COMPUTED_VALUE"""),1)</f>
        <v>1</v>
      </c>
      <c r="X423" s="4" t="str">
        <f ca="1">IFERROR(__xludf.DUMMYFUNCTION("""COMPUTED_VALUE"""),"04. Relationship Models")</f>
        <v>04. Relationship Models</v>
      </c>
      <c r="Y423" s="4" t="str">
        <f ca="1">IFERROR(__xludf.DUMMYFUNCTION("""COMPUTED_VALUE"""),"5.6.4 GloMo")</f>
        <v>5.6.4 GloMo</v>
      </c>
      <c r="Z423" s="132" t="str">
        <f ca="1">IFERROR(__xludf.DUMMYFUNCTION("""COMPUTED_VALUE"""),"48586")</f>
        <v>48586</v>
      </c>
      <c r="AA423" s="4" t="str">
        <f ca="1">IFERROR(__xludf.DUMMYFUNCTION("""COMPUTED_VALUE"""),"Release 1 - 9 features")</f>
        <v>Release 1 - 9 features</v>
      </c>
      <c r="AB423" s="4" t="str">
        <f ca="1">IFERROR(__xludf.DUMMYFUNCTION("""COMPUTED_VALUE"""),"Features de fundamento técnico")</f>
        <v>Features de fundamento técnico</v>
      </c>
      <c r="AC423" s="4" t="str">
        <f ca="1">IFERROR(__xludf.DUMMYFUNCTION("""COMPUTED_VALUE"""),"3Q 2021")</f>
        <v>3Q 2021</v>
      </c>
      <c r="AD423" s="4"/>
      <c r="AE423" s="4"/>
      <c r="AF423" s="4"/>
      <c r="AG423" s="4"/>
      <c r="AH423" s="4"/>
      <c r="AI423" s="4"/>
      <c r="AJ423" s="128">
        <f ca="1">IFERROR(__xludf.DUMMYFUNCTION("""COMPUTED_VALUE"""),44378)</f>
        <v>44378</v>
      </c>
      <c r="AK423" s="131" t="str">
        <f ca="1">IFERROR(__xludf.DUMMYFUNCTION("""COMPUTED_VALUE"""),"CCSS-4686")</f>
        <v>CCSS-4686</v>
      </c>
      <c r="AL423" s="4" t="str">
        <f ca="1">IFERROR(__xludf.DUMMYFUNCTION("""COMPUTED_VALUE"""),"Deployed")</f>
        <v>Deployed</v>
      </c>
      <c r="AM423"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3" s="4" t="str">
        <f ca="1">IFERROR(__xludf.DUMMYFUNCTION("""COMPUTED_VALUE"""),"Finalizado")</f>
        <v>Finalizado</v>
      </c>
      <c r="AO423" s="4"/>
      <c r="AP423" s="4"/>
      <c r="AQ423" s="4"/>
      <c r="AR423" s="4" t="str">
        <f ca="1">IFERROR(__xludf.DUMMYFUNCTION("""COMPUTED_VALUE"""),"SDA aprobada en PPP Q1 2023")</f>
        <v>SDA aprobada en PPP Q1 2023</v>
      </c>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row>
    <row r="424" spans="1:132" x14ac:dyDescent="0.2">
      <c r="A424" s="4">
        <f ca="1">IFERROR(__xludf.DUMMYFUNCTION("""COMPUTED_VALUE"""),424)</f>
        <v>424</v>
      </c>
      <c r="B424" s="4">
        <f ca="1">IFERROR(__xludf.DUMMYFUNCTION("""COMPUTED_VALUE"""),398)</f>
        <v>398</v>
      </c>
      <c r="C424" s="4" t="str">
        <f ca="1">IFERROR(__xludf.DUMMYFUNCTION("""COMPUTED_VALUE"""),"SDATOOL-9053")</f>
        <v>SDATOOL-9053</v>
      </c>
      <c r="D424" s="4" t="str">
        <f ca="1">IFERROR(__xludf.DUMMYFUNCTION("""COMPUTED_VALUE"""),"GloMo Colombia")</f>
        <v>GloMo Colombia</v>
      </c>
      <c r="E424"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4" s="4" t="str">
        <f ca="1">IFERROR(__xludf.DUMMYFUNCTION("""COMPUTED_VALUE"""),"Project")</f>
        <v>Project</v>
      </c>
      <c r="G424" s="4" t="str">
        <f ca="1">IFERROR(__xludf.DUMMYFUNCTION("""COMPUTED_VALUE"""),"Stock")</f>
        <v>Stock</v>
      </c>
      <c r="H424" s="4" t="str">
        <f ca="1">IFERROR(__xludf.DUMMYFUNCTION("""COMPUTED_VALUE"""),"2Q 2023")</f>
        <v>2Q 2023</v>
      </c>
      <c r="I424" s="131" t="str">
        <f ca="1">IFERROR(__xludf.DUMMYFUNCTION("""COMPUTED_VALUE"""),"andrea.orrego-bbva.com")</f>
        <v>andrea.orrego-bbva.com</v>
      </c>
      <c r="J424" s="131" t="str">
        <f ca="1">IFERROR(__xludf.DUMMYFUNCTION("""COMPUTED_VALUE"""),"vivianamarcela.rueda-bbva.com")</f>
        <v>vivianamarcela.rueda-bbva.com</v>
      </c>
      <c r="K424" s="131" t="str">
        <f ca="1">IFERROR(__xludf.DUMMYFUNCTION("""COMPUTED_VALUE"""),"yurimilena.moreno-bbva.com")</f>
        <v>yurimilena.moreno-bbva.com</v>
      </c>
      <c r="L424" s="4"/>
      <c r="M424" s="4"/>
      <c r="N424" s="4"/>
      <c r="O424" s="4" t="str">
        <f ca="1">IFERROR(__xludf.DUMMYFUNCTION("""COMPUTED_VALUE"""),"Waterfall")</f>
        <v>Waterfall</v>
      </c>
      <c r="P424" s="4" t="str">
        <f ca="1">IFERROR(__xludf.DUMMYFUNCTION("""COMPUTED_VALUE"""),"Tradicional")</f>
        <v>Tradicional</v>
      </c>
      <c r="Q424" s="4"/>
      <c r="R424" s="130" t="str">
        <f ca="1">IFERROR(__xludf.DUMMYFUNCTION("""COMPUTED_VALUE"""),"Marketing &amp; Digital Sales")</f>
        <v>Marketing &amp; Digital Sales</v>
      </c>
      <c r="S424" s="130" t="str">
        <f ca="1">IFERROR(__xludf.DUMMYFUNCTION("""COMPUTED_VALUE"""),"Area Review")</f>
        <v>Area Review</v>
      </c>
      <c r="T424" s="130" t="str">
        <f ca="1">IFERROR(__xludf.DUMMYFUNCTION("""COMPUTED_VALUE"""),"2. Modelo de relación y distribución")</f>
        <v>2. Modelo de relación y distribución</v>
      </c>
      <c r="U424" s="130" t="str">
        <f ca="1">IFERROR(__xludf.DUMMYFUNCTION("""COMPUTED_VALUE"""),"2.4. Herramientas de clientes")</f>
        <v>2.4. Herramientas de clientes</v>
      </c>
      <c r="V424" s="4" t="str">
        <f ca="1">IFERROR(__xludf.DUMMYFUNCTION("""COMPUTED_VALUE"""),"GloMo")</f>
        <v>GloMo</v>
      </c>
      <c r="W424" s="4">
        <f ca="1">IFERROR(__xludf.DUMMYFUNCTION("""COMPUTED_VALUE"""),1)</f>
        <v>1</v>
      </c>
      <c r="X424" s="4" t="str">
        <f ca="1">IFERROR(__xludf.DUMMYFUNCTION("""COMPUTED_VALUE"""),"04. Relationship Models")</f>
        <v>04. Relationship Models</v>
      </c>
      <c r="Y424" s="4" t="str">
        <f ca="1">IFERROR(__xludf.DUMMYFUNCTION("""COMPUTED_VALUE"""),"5.6.4 GloMo")</f>
        <v>5.6.4 GloMo</v>
      </c>
      <c r="Z424" s="132" t="str">
        <f ca="1">IFERROR(__xludf.DUMMYFUNCTION("""COMPUTED_VALUE"""),"48590")</f>
        <v>48590</v>
      </c>
      <c r="AA424" s="4" t="str">
        <f ca="1">IFERROR(__xludf.DUMMYFUNCTION("""COMPUTED_VALUE"""),"Release 3 - 61 features Operaciones")</f>
        <v>Release 3 - 61 features Operaciones</v>
      </c>
      <c r="AB424" s="4" t="str">
        <f ca="1">IFERROR(__xludf.DUMMYFUNCTION("""COMPUTED_VALUE"""),"Release 3 - Operaciones (pagos, transacciones, otros) con 61 features")</f>
        <v>Release 3 - Operaciones (pagos, transacciones, otros) con 61 features</v>
      </c>
      <c r="AC424" s="4" t="str">
        <f ca="1">IFERROR(__xludf.DUMMYFUNCTION("""COMPUTED_VALUE"""),"2Q 2022")</f>
        <v>2Q 2022</v>
      </c>
      <c r="AD424" s="4"/>
      <c r="AE424" s="4"/>
      <c r="AF424" s="128">
        <f ca="1">IFERROR(__xludf.DUMMYFUNCTION("""COMPUTED_VALUE"""),44470)</f>
        <v>44470</v>
      </c>
      <c r="AG424" s="128">
        <f ca="1">IFERROR(__xludf.DUMMYFUNCTION("""COMPUTED_VALUE"""),44561)</f>
        <v>44561</v>
      </c>
      <c r="AH424" s="128">
        <f ca="1">IFERROR(__xludf.DUMMYFUNCTION("""COMPUTED_VALUE"""),44562)</f>
        <v>44562</v>
      </c>
      <c r="AI424" s="128">
        <f ca="1">IFERROR(__xludf.DUMMYFUNCTION("""COMPUTED_VALUE"""),44620)</f>
        <v>44620</v>
      </c>
      <c r="AJ424" s="128">
        <f ca="1">IFERROR(__xludf.DUMMYFUNCTION("""COMPUTED_VALUE"""),44712)</f>
        <v>44712</v>
      </c>
      <c r="AK424" s="4" t="str">
        <f ca="1">IFERROR(__xludf.DUMMYFUNCTION("""COMPUTED_VALUE"""),"Sin asignar")</f>
        <v>Sin asignar</v>
      </c>
      <c r="AL424" s="4" t="str">
        <f ca="1">IFERROR(__xludf.DUMMYFUNCTION("""COMPUTED_VALUE"""),"Sin asignar")</f>
        <v>Sin asignar</v>
      </c>
      <c r="AM424"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4" s="4" t="str">
        <f ca="1">IFERROR(__xludf.DUMMYFUNCTION("""COMPUTED_VALUE"""),"Finalizado")</f>
        <v>Finalizado</v>
      </c>
      <c r="AO424" s="4"/>
      <c r="AP424" s="4"/>
      <c r="AQ424" s="4"/>
      <c r="AR424" s="4" t="str">
        <f ca="1">IFERROR(__xludf.DUMMYFUNCTION("""COMPUTED_VALUE"""),"SDA aprobada en PPP Q1 2023")</f>
        <v>SDA aprobada en PPP Q1 2023</v>
      </c>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row>
    <row r="425" spans="1:132" x14ac:dyDescent="0.2">
      <c r="A425" s="4">
        <f ca="1">IFERROR(__xludf.DUMMYFUNCTION("""COMPUTED_VALUE"""),425)</f>
        <v>425</v>
      </c>
      <c r="B425" s="4">
        <f ca="1">IFERROR(__xludf.DUMMYFUNCTION("""COMPUTED_VALUE"""),399)</f>
        <v>399</v>
      </c>
      <c r="C425" s="4" t="str">
        <f ca="1">IFERROR(__xludf.DUMMYFUNCTION("""COMPUTED_VALUE"""),"SDATOOL-9053")</f>
        <v>SDATOOL-9053</v>
      </c>
      <c r="D425" s="4" t="str">
        <f ca="1">IFERROR(__xludf.DUMMYFUNCTION("""COMPUTED_VALUE"""),"GloMo Colombia")</f>
        <v>GloMo Colombia</v>
      </c>
      <c r="E425"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5" s="4" t="str">
        <f ca="1">IFERROR(__xludf.DUMMYFUNCTION("""COMPUTED_VALUE"""),"Project")</f>
        <v>Project</v>
      </c>
      <c r="G425" s="4" t="str">
        <f ca="1">IFERROR(__xludf.DUMMYFUNCTION("""COMPUTED_VALUE"""),"Stock")</f>
        <v>Stock</v>
      </c>
      <c r="H425" s="4" t="str">
        <f ca="1">IFERROR(__xludf.DUMMYFUNCTION("""COMPUTED_VALUE"""),"2Q 2023")</f>
        <v>2Q 2023</v>
      </c>
      <c r="I425" s="131" t="str">
        <f ca="1">IFERROR(__xludf.DUMMYFUNCTION("""COMPUTED_VALUE"""),"andrea.orrego-bbva.com")</f>
        <v>andrea.orrego-bbva.com</v>
      </c>
      <c r="J425" s="131" t="str">
        <f ca="1">IFERROR(__xludf.DUMMYFUNCTION("""COMPUTED_VALUE"""),"vivianamarcela.rueda-bbva.com")</f>
        <v>vivianamarcela.rueda-bbva.com</v>
      </c>
      <c r="K425" s="131" t="str">
        <f ca="1">IFERROR(__xludf.DUMMYFUNCTION("""COMPUTED_VALUE"""),"yurimilena.moreno-bbva.com")</f>
        <v>yurimilena.moreno-bbva.com</v>
      </c>
      <c r="L425" s="4"/>
      <c r="M425" s="4"/>
      <c r="N425" s="4"/>
      <c r="O425" s="4" t="str">
        <f ca="1">IFERROR(__xludf.DUMMYFUNCTION("""COMPUTED_VALUE"""),"Waterfall")</f>
        <v>Waterfall</v>
      </c>
      <c r="P425" s="4" t="str">
        <f ca="1">IFERROR(__xludf.DUMMYFUNCTION("""COMPUTED_VALUE"""),"Tradicional")</f>
        <v>Tradicional</v>
      </c>
      <c r="Q425" s="4"/>
      <c r="R425" s="130" t="str">
        <f ca="1">IFERROR(__xludf.DUMMYFUNCTION("""COMPUTED_VALUE"""),"Marketing &amp; Digital Sales")</f>
        <v>Marketing &amp; Digital Sales</v>
      </c>
      <c r="S425" s="130" t="str">
        <f ca="1">IFERROR(__xludf.DUMMYFUNCTION("""COMPUTED_VALUE"""),"Area Review")</f>
        <v>Area Review</v>
      </c>
      <c r="T425" s="130" t="str">
        <f ca="1">IFERROR(__xludf.DUMMYFUNCTION("""COMPUTED_VALUE"""),"2. Modelo de relación y distribución")</f>
        <v>2. Modelo de relación y distribución</v>
      </c>
      <c r="U425" s="130" t="str">
        <f ca="1">IFERROR(__xludf.DUMMYFUNCTION("""COMPUTED_VALUE"""),"2.4. Herramientas de clientes")</f>
        <v>2.4. Herramientas de clientes</v>
      </c>
      <c r="V425" s="4" t="str">
        <f ca="1">IFERROR(__xludf.DUMMYFUNCTION("""COMPUTED_VALUE"""),"GloMo")</f>
        <v>GloMo</v>
      </c>
      <c r="W425" s="4">
        <f ca="1">IFERROR(__xludf.DUMMYFUNCTION("""COMPUTED_VALUE"""),1)</f>
        <v>1</v>
      </c>
      <c r="X425" s="4" t="str">
        <f ca="1">IFERROR(__xludf.DUMMYFUNCTION("""COMPUTED_VALUE"""),"04. Relationship Models")</f>
        <v>04. Relationship Models</v>
      </c>
      <c r="Y425" s="4" t="str">
        <f ca="1">IFERROR(__xludf.DUMMYFUNCTION("""COMPUTED_VALUE"""),"5.6.4 GloMo")</f>
        <v>5.6.4 GloMo</v>
      </c>
      <c r="Z425" s="132" t="str">
        <f ca="1">IFERROR(__xludf.DUMMYFUNCTION("""COMPUTED_VALUE"""),"103464")</f>
        <v>103464</v>
      </c>
      <c r="AA425" s="4" t="str">
        <f ca="1">IFERROR(__xludf.DUMMYFUNCTION("""COMPUTED_VALUE"""),"Release 4 - Otras operaciones 38 fetures")</f>
        <v>Release 4 - Otras operaciones 38 fetures</v>
      </c>
      <c r="AB425" s="4" t="str">
        <f ca="1">IFERROR(__xludf.DUMMYFUNCTION("""COMPUTED_VALUE"""),"4) Release 4 - Otras operaciones (pagos, PSE, CVV dinámico, otros)")</f>
        <v>4) Release 4 - Otras operaciones (pagos, PSE, CVV dinámico, otros)</v>
      </c>
      <c r="AC425" s="4" t="str">
        <f ca="1">IFERROR(__xludf.DUMMYFUNCTION("""COMPUTED_VALUE"""),"3Q 2022")</f>
        <v>3Q 2022</v>
      </c>
      <c r="AD425" s="128">
        <f ca="1">IFERROR(__xludf.DUMMYFUNCTION("""COMPUTED_VALUE"""),44470)</f>
        <v>44470</v>
      </c>
      <c r="AE425" s="128">
        <f ca="1">IFERROR(__xludf.DUMMYFUNCTION("""COMPUTED_VALUE"""),44530)</f>
        <v>44530</v>
      </c>
      <c r="AF425" s="128">
        <f ca="1">IFERROR(__xludf.DUMMYFUNCTION("""COMPUTED_VALUE"""),44531)</f>
        <v>44531</v>
      </c>
      <c r="AG425" s="128">
        <f ca="1">IFERROR(__xludf.DUMMYFUNCTION("""COMPUTED_VALUE"""),44651)</f>
        <v>44651</v>
      </c>
      <c r="AH425" s="128">
        <f ca="1">IFERROR(__xludf.DUMMYFUNCTION("""COMPUTED_VALUE"""),44652)</f>
        <v>44652</v>
      </c>
      <c r="AI425" s="128">
        <f ca="1">IFERROR(__xludf.DUMMYFUNCTION("""COMPUTED_VALUE"""),44742)</f>
        <v>44742</v>
      </c>
      <c r="AJ425" s="128">
        <f ca="1">IFERROR(__xludf.DUMMYFUNCTION("""COMPUTED_VALUE"""),44796)</f>
        <v>44796</v>
      </c>
      <c r="AK425" s="131" t="str">
        <f ca="1">IFERROR(__xludf.DUMMYFUNCTION("""COMPUTED_VALUE"""),"COLWSCANAL-13434")</f>
        <v>COLWSCANAL-13434</v>
      </c>
      <c r="AL425" s="4" t="str">
        <f ca="1">IFERROR(__xludf.DUMMYFUNCTION("""COMPUTED_VALUE"""),"Deployed")</f>
        <v>Deployed</v>
      </c>
      <c r="AM425"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5" s="4" t="str">
        <f ca="1">IFERROR(__xludf.DUMMYFUNCTION("""COMPUTED_VALUE"""),"Finalizado")</f>
        <v>Finalizado</v>
      </c>
      <c r="AO425" s="4"/>
      <c r="AP425" s="4"/>
      <c r="AQ425" s="4"/>
      <c r="AR425" s="4" t="str">
        <f ca="1">IFERROR(__xludf.DUMMYFUNCTION("""COMPUTED_VALUE"""),"SDA aprobada en PPP Q1 2023")</f>
        <v>SDA aprobada en PPP Q1 2023</v>
      </c>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row>
    <row r="426" spans="1:132" x14ac:dyDescent="0.2">
      <c r="A426" s="4">
        <f ca="1">IFERROR(__xludf.DUMMYFUNCTION("""COMPUTED_VALUE"""),426)</f>
        <v>426</v>
      </c>
      <c r="B426" s="4">
        <f ca="1">IFERROR(__xludf.DUMMYFUNCTION("""COMPUTED_VALUE"""),400)</f>
        <v>400</v>
      </c>
      <c r="C426" s="4" t="str">
        <f ca="1">IFERROR(__xludf.DUMMYFUNCTION("""COMPUTED_VALUE"""),"SDATOOL-9053")</f>
        <v>SDATOOL-9053</v>
      </c>
      <c r="D426" s="4" t="str">
        <f ca="1">IFERROR(__xludf.DUMMYFUNCTION("""COMPUTED_VALUE"""),"GloMo Colombia")</f>
        <v>GloMo Colombia</v>
      </c>
      <c r="E426"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6" s="4" t="str">
        <f ca="1">IFERROR(__xludf.DUMMYFUNCTION("""COMPUTED_VALUE"""),"Project")</f>
        <v>Project</v>
      </c>
      <c r="G426" s="4" t="str">
        <f ca="1">IFERROR(__xludf.DUMMYFUNCTION("""COMPUTED_VALUE"""),"Stock")</f>
        <v>Stock</v>
      </c>
      <c r="H426" s="4" t="str">
        <f ca="1">IFERROR(__xludf.DUMMYFUNCTION("""COMPUTED_VALUE"""),"2Q 2023")</f>
        <v>2Q 2023</v>
      </c>
      <c r="I426" s="131" t="str">
        <f ca="1">IFERROR(__xludf.DUMMYFUNCTION("""COMPUTED_VALUE"""),"andrea.orrego-bbva.com")</f>
        <v>andrea.orrego-bbva.com</v>
      </c>
      <c r="J426" s="131" t="str">
        <f ca="1">IFERROR(__xludf.DUMMYFUNCTION("""COMPUTED_VALUE"""),"vivianamarcela.rueda-bbva.com")</f>
        <v>vivianamarcela.rueda-bbva.com</v>
      </c>
      <c r="K426" s="131" t="str">
        <f ca="1">IFERROR(__xludf.DUMMYFUNCTION("""COMPUTED_VALUE"""),"yurimilena.moreno-bbva.com")</f>
        <v>yurimilena.moreno-bbva.com</v>
      </c>
      <c r="L426" s="4"/>
      <c r="M426" s="4"/>
      <c r="N426" s="4"/>
      <c r="O426" s="4" t="str">
        <f ca="1">IFERROR(__xludf.DUMMYFUNCTION("""COMPUTED_VALUE"""),"Waterfall")</f>
        <v>Waterfall</v>
      </c>
      <c r="P426" s="4" t="str">
        <f ca="1">IFERROR(__xludf.DUMMYFUNCTION("""COMPUTED_VALUE"""),"Tradicional")</f>
        <v>Tradicional</v>
      </c>
      <c r="Q426" s="4"/>
      <c r="R426" s="130" t="str">
        <f ca="1">IFERROR(__xludf.DUMMYFUNCTION("""COMPUTED_VALUE"""),"Marketing &amp; Digital Sales")</f>
        <v>Marketing &amp; Digital Sales</v>
      </c>
      <c r="S426" s="130" t="str">
        <f ca="1">IFERROR(__xludf.DUMMYFUNCTION("""COMPUTED_VALUE"""),"Area Review")</f>
        <v>Area Review</v>
      </c>
      <c r="T426" s="130" t="str">
        <f ca="1">IFERROR(__xludf.DUMMYFUNCTION("""COMPUTED_VALUE"""),"2. Modelo de relación y distribución")</f>
        <v>2. Modelo de relación y distribución</v>
      </c>
      <c r="U426" s="130" t="str">
        <f ca="1">IFERROR(__xludf.DUMMYFUNCTION("""COMPUTED_VALUE"""),"2.4. Herramientas de clientes")</f>
        <v>2.4. Herramientas de clientes</v>
      </c>
      <c r="V426" s="4" t="str">
        <f ca="1">IFERROR(__xludf.DUMMYFUNCTION("""COMPUTED_VALUE"""),"GloMo")</f>
        <v>GloMo</v>
      </c>
      <c r="W426" s="4">
        <f ca="1">IFERROR(__xludf.DUMMYFUNCTION("""COMPUTED_VALUE"""),1)</f>
        <v>1</v>
      </c>
      <c r="X426" s="4" t="str">
        <f ca="1">IFERROR(__xludf.DUMMYFUNCTION("""COMPUTED_VALUE"""),"04. Relationship Models")</f>
        <v>04. Relationship Models</v>
      </c>
      <c r="Y426" s="4" t="str">
        <f ca="1">IFERROR(__xludf.DUMMYFUNCTION("""COMPUTED_VALUE"""),"5.6.4 GloMo")</f>
        <v>5.6.4 GloMo</v>
      </c>
      <c r="Z426" s="132" t="str">
        <f ca="1">IFERROR(__xludf.DUMMYFUNCTION("""COMPUTED_VALUE"""),"48587")</f>
        <v>48587</v>
      </c>
      <c r="AA426" s="4" t="str">
        <f ca="1">IFERROR(__xludf.DUMMYFUNCTION("""COMPUTED_VALUE"""),"Release 2 - Consultas y dashboard")</f>
        <v>Release 2 - Consultas y dashboard</v>
      </c>
      <c r="AB426" s="4" t="str">
        <f ca="1">IFERROR(__xludf.DUMMYFUNCTION("""COMPUTED_VALUE"""),"Consultas y dashboard todos los Productos Anticipación técnica operaciones")</f>
        <v>Consultas y dashboard todos los Productos Anticipación técnica operaciones</v>
      </c>
      <c r="AC426" s="4" t="str">
        <f ca="1">IFERROR(__xludf.DUMMYFUNCTION("""COMPUTED_VALUE"""),"3Q 2021")</f>
        <v>3Q 2021</v>
      </c>
      <c r="AD426" s="4"/>
      <c r="AE426" s="4"/>
      <c r="AF426" s="4"/>
      <c r="AG426" s="4"/>
      <c r="AH426" s="4"/>
      <c r="AI426" s="4"/>
      <c r="AJ426" s="128">
        <f ca="1">IFERROR(__xludf.DUMMYFUNCTION("""COMPUTED_VALUE"""),44531)</f>
        <v>44531</v>
      </c>
      <c r="AK426" s="131" t="str">
        <f ca="1">IFERROR(__xludf.DUMMYFUNCTION("""COMPUTED_VALUE"""),"CCSS-4687")</f>
        <v>CCSS-4687</v>
      </c>
      <c r="AL426" s="4" t="str">
        <f ca="1">IFERROR(__xludf.DUMMYFUNCTION("""COMPUTED_VALUE"""),"En progreso")</f>
        <v>En progreso</v>
      </c>
      <c r="AM426"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6" s="4" t="str">
        <f ca="1">IFERROR(__xludf.DUMMYFUNCTION("""COMPUTED_VALUE"""),"Entregable en desarrollo")</f>
        <v>Entregable en desarrollo</v>
      </c>
      <c r="AO426" s="4"/>
      <c r="AP426" s="4"/>
      <c r="AQ426" s="4"/>
      <c r="AR426" s="4" t="str">
        <f ca="1">IFERROR(__xludf.DUMMYFUNCTION("""COMPUTED_VALUE"""),"SDA aprobada en PPP Q1 2023")</f>
        <v>SDA aprobada en PPP Q1 2023</v>
      </c>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row>
    <row r="427" spans="1:132" x14ac:dyDescent="0.2">
      <c r="A427" s="4">
        <f ca="1">IFERROR(__xludf.DUMMYFUNCTION("""COMPUTED_VALUE"""),427)</f>
        <v>427</v>
      </c>
      <c r="B427" s="4">
        <f ca="1">IFERROR(__xludf.DUMMYFUNCTION("""COMPUTED_VALUE"""),401)</f>
        <v>401</v>
      </c>
      <c r="C427" s="4" t="str">
        <f ca="1">IFERROR(__xludf.DUMMYFUNCTION("""COMPUTED_VALUE"""),"SDATOOL-9053")</f>
        <v>SDATOOL-9053</v>
      </c>
      <c r="D427" s="4" t="str">
        <f ca="1">IFERROR(__xludf.DUMMYFUNCTION("""COMPUTED_VALUE"""),"GloMo Colombia")</f>
        <v>GloMo Colombia</v>
      </c>
      <c r="E427"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7" s="4" t="str">
        <f ca="1">IFERROR(__xludf.DUMMYFUNCTION("""COMPUTED_VALUE"""),"Project")</f>
        <v>Project</v>
      </c>
      <c r="G427" s="4" t="str">
        <f ca="1">IFERROR(__xludf.DUMMYFUNCTION("""COMPUTED_VALUE"""),"Stock")</f>
        <v>Stock</v>
      </c>
      <c r="H427" s="4" t="str">
        <f ca="1">IFERROR(__xludf.DUMMYFUNCTION("""COMPUTED_VALUE"""),"2Q 2023")</f>
        <v>2Q 2023</v>
      </c>
      <c r="I427" s="131" t="str">
        <f ca="1">IFERROR(__xludf.DUMMYFUNCTION("""COMPUTED_VALUE"""),"andrea.orrego-bbva.com")</f>
        <v>andrea.orrego-bbva.com</v>
      </c>
      <c r="J427" s="131" t="str">
        <f ca="1">IFERROR(__xludf.DUMMYFUNCTION("""COMPUTED_VALUE"""),"vivianamarcela.rueda-bbva.com")</f>
        <v>vivianamarcela.rueda-bbva.com</v>
      </c>
      <c r="K427" s="131" t="str">
        <f ca="1">IFERROR(__xludf.DUMMYFUNCTION("""COMPUTED_VALUE"""),"yurimilena.moreno-bbva.com")</f>
        <v>yurimilena.moreno-bbva.com</v>
      </c>
      <c r="L427" s="4"/>
      <c r="M427" s="4"/>
      <c r="N427" s="4"/>
      <c r="O427" s="4" t="str">
        <f ca="1">IFERROR(__xludf.DUMMYFUNCTION("""COMPUTED_VALUE"""),"Waterfall")</f>
        <v>Waterfall</v>
      </c>
      <c r="P427" s="4" t="str">
        <f ca="1">IFERROR(__xludf.DUMMYFUNCTION("""COMPUTED_VALUE"""),"Tradicional")</f>
        <v>Tradicional</v>
      </c>
      <c r="Q427" s="4"/>
      <c r="R427" s="130" t="str">
        <f ca="1">IFERROR(__xludf.DUMMYFUNCTION("""COMPUTED_VALUE"""),"Marketing &amp; Digital Sales")</f>
        <v>Marketing &amp; Digital Sales</v>
      </c>
      <c r="S427" s="130" t="str">
        <f ca="1">IFERROR(__xludf.DUMMYFUNCTION("""COMPUTED_VALUE"""),"Area Review")</f>
        <v>Area Review</v>
      </c>
      <c r="T427" s="130" t="str">
        <f ca="1">IFERROR(__xludf.DUMMYFUNCTION("""COMPUTED_VALUE"""),"2. Modelo de relación y distribución")</f>
        <v>2. Modelo de relación y distribución</v>
      </c>
      <c r="U427" s="130" t="str">
        <f ca="1">IFERROR(__xludf.DUMMYFUNCTION("""COMPUTED_VALUE"""),"2.4. Herramientas de clientes")</f>
        <v>2.4. Herramientas de clientes</v>
      </c>
      <c r="V427" s="4" t="str">
        <f ca="1">IFERROR(__xludf.DUMMYFUNCTION("""COMPUTED_VALUE"""),"GloMo")</f>
        <v>GloMo</v>
      </c>
      <c r="W427" s="4">
        <f ca="1">IFERROR(__xludf.DUMMYFUNCTION("""COMPUTED_VALUE"""),1)</f>
        <v>1</v>
      </c>
      <c r="X427" s="4" t="str">
        <f ca="1">IFERROR(__xludf.DUMMYFUNCTION("""COMPUTED_VALUE"""),"04. Relationship Models")</f>
        <v>04. Relationship Models</v>
      </c>
      <c r="Y427" s="4" t="str">
        <f ca="1">IFERROR(__xludf.DUMMYFUNCTION("""COMPUTED_VALUE"""),"5.6.4 GloMo")</f>
        <v>5.6.4 GloMo</v>
      </c>
      <c r="Z427" s="132" t="str">
        <f ca="1">IFERROR(__xludf.DUMMYFUNCTION("""COMPUTED_VALUE"""),"430709")</f>
        <v>430709</v>
      </c>
      <c r="AA427" s="4" t="str">
        <f ca="1">IFERROR(__xludf.DUMMYFUNCTION("""COMPUTED_VALUE"""),"Release 6: OC - DIY")</f>
        <v>Release 6: OC - DIY</v>
      </c>
      <c r="AB427" s="4" t="str">
        <f ca="1">IFERROR(__xludf.DUMMYFUNCTION("""COMPUTED_VALUE"""),"Release 6 OC - DiY productos one click, apertura de cuenta entre otras")</f>
        <v>Release 6 OC - DiY productos one click, apertura de cuenta entre otras</v>
      </c>
      <c r="AC427" s="4" t="str">
        <f ca="1">IFERROR(__xludf.DUMMYFUNCTION("""COMPUTED_VALUE"""),"2Q 2023")</f>
        <v>2Q 2023</v>
      </c>
      <c r="AD427" s="4"/>
      <c r="AE427" s="4"/>
      <c r="AF427" s="4"/>
      <c r="AG427" s="4"/>
      <c r="AH427" s="4"/>
      <c r="AI427" s="4"/>
      <c r="AJ427" s="4"/>
      <c r="AK427" s="131" t="str">
        <f ca="1">IFERROR(__xludf.DUMMYFUNCTION("""COMPUTED_VALUE"""),"GLOMOCO-25705")</f>
        <v>GLOMOCO-25705</v>
      </c>
      <c r="AL427" s="4" t="str">
        <f ca="1">IFERROR(__xludf.DUMMYFUNCTION("""COMPUTED_VALUE"""),"Analysing")</f>
        <v>Analysing</v>
      </c>
      <c r="AM427" s="4"/>
      <c r="AN427" s="4" t="str">
        <f ca="1">IFERROR(__xludf.DUMMYFUNCTION("""COMPUTED_VALUE"""),"Entregable en desarrollo")</f>
        <v>Entregable en desarrollo</v>
      </c>
      <c r="AO427" s="4"/>
      <c r="AP427" s="4"/>
      <c r="AQ427" s="4"/>
      <c r="AR427" s="4" t="str">
        <f ca="1">IFERROR(__xludf.DUMMYFUNCTION("""COMPUTED_VALUE"""),"SDA aprobada en PPP Q1 2023")</f>
        <v>SDA aprobada en PPP Q1 2023</v>
      </c>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row>
    <row r="428" spans="1:132" x14ac:dyDescent="0.2">
      <c r="A428" s="4">
        <f ca="1">IFERROR(__xludf.DUMMYFUNCTION("""COMPUTED_VALUE"""),428)</f>
        <v>428</v>
      </c>
      <c r="B428" s="4">
        <f ca="1">IFERROR(__xludf.DUMMYFUNCTION("""COMPUTED_VALUE"""),402)</f>
        <v>402</v>
      </c>
      <c r="C428" s="4" t="str">
        <f ca="1">IFERROR(__xludf.DUMMYFUNCTION("""COMPUTED_VALUE"""),"SDATOOL-40533")</f>
        <v>SDATOOL-40533</v>
      </c>
      <c r="D428" s="4" t="str">
        <f ca="1">IFERROR(__xludf.DUMMYFUNCTION("""COMPUTED_VALUE"""),"GloMo Target")</f>
        <v>GloMo Target</v>
      </c>
      <c r="E428" s="4" t="str">
        <f ca="1">IFERROR(__xludf.DUMMYFUNCTION("""COMPUTED_VALUE"""),"Ampliar nuestro portafolio de productos tanto a clientes existentes como a mercado abierto, por medio de Deep Links")</f>
        <v>Ampliar nuestro portafolio de productos tanto a clientes existentes como a mercado abierto, por medio de Deep Links</v>
      </c>
      <c r="F428" s="4" t="str">
        <f ca="1">IFERROR(__xludf.DUMMYFUNCTION("""COMPUTED_VALUE"""),"Project")</f>
        <v>Project</v>
      </c>
      <c r="G428" s="4" t="str">
        <f ca="1">IFERROR(__xludf.DUMMYFUNCTION("""COMPUTED_VALUE"""),"Stock")</f>
        <v>Stock</v>
      </c>
      <c r="H428" s="4" t="str">
        <f ca="1">IFERROR(__xludf.DUMMYFUNCTION("""COMPUTED_VALUE"""),"4Q 2023")</f>
        <v>4Q 2023</v>
      </c>
      <c r="I428" s="131" t="str">
        <f ca="1">IFERROR(__xludf.DUMMYFUNCTION("""COMPUTED_VALUE"""),"andrea.orrego-bbva.com")</f>
        <v>andrea.orrego-bbva.com</v>
      </c>
      <c r="J428" s="131" t="str">
        <f ca="1">IFERROR(__xludf.DUMMYFUNCTION("""COMPUTED_VALUE"""),"vivianamarcela.rueda-bbva.com")</f>
        <v>vivianamarcela.rueda-bbva.com</v>
      </c>
      <c r="K428" s="131" t="str">
        <f ca="1">IFERROR(__xludf.DUMMYFUNCTION("""COMPUTED_VALUE"""),"juana.vergara-bbva.com")</f>
        <v>juana.vergara-bbva.com</v>
      </c>
      <c r="L428" s="130">
        <f ca="1">IFERROR(__xludf.DUMMYFUNCTION("""COMPUTED_VALUE"""),0)</f>
        <v>0</v>
      </c>
      <c r="M428" s="130">
        <f ca="1">IFERROR(__xludf.DUMMYFUNCTION("""COMPUTED_VALUE"""),0)</f>
        <v>0</v>
      </c>
      <c r="N428" s="130">
        <f ca="1">IFERROR(__xludf.DUMMYFUNCTION("""COMPUTED_VALUE"""),0)</f>
        <v>0</v>
      </c>
      <c r="O428" s="4" t="str">
        <f ca="1">IFERROR(__xludf.DUMMYFUNCTION("""COMPUTED_VALUE"""),"Waterfall")</f>
        <v>Waterfall</v>
      </c>
      <c r="P428" s="4" t="str">
        <f ca="1">IFERROR(__xludf.DUMMYFUNCTION("""COMPUTED_VALUE"""),"GloMo Experience")</f>
        <v>GloMo Experience</v>
      </c>
      <c r="Q428" s="4"/>
      <c r="R428" s="130" t="str">
        <f ca="1">IFERROR(__xludf.DUMMYFUNCTION("""COMPUTED_VALUE"""),"Marketing &amp; Digital Sales")</f>
        <v>Marketing &amp; Digital Sales</v>
      </c>
      <c r="S428" s="130" t="str">
        <f ca="1">IFERROR(__xludf.DUMMYFUNCTION("""COMPUTED_VALUE"""),"Strategic Review")</f>
        <v>Strategic Review</v>
      </c>
      <c r="T428" s="130" t="str">
        <f ca="1">IFERROR(__xludf.DUMMYFUNCTION("""COMPUTED_VALUE"""),"2. Modelo de relación y distribución")</f>
        <v>2. Modelo de relación y distribución</v>
      </c>
      <c r="U428" s="130" t="str">
        <f ca="1">IFERROR(__xludf.DUMMYFUNCTION("""COMPUTED_VALUE"""),"2.4. Herramientas de clientes")</f>
        <v>2.4. Herramientas de clientes</v>
      </c>
      <c r="V428" s="4" t="str">
        <f ca="1">IFERROR(__xludf.DUMMYFUNCTION("""COMPUTED_VALUE"""),"GloMo")</f>
        <v>GloMo</v>
      </c>
      <c r="W428" s="4">
        <f ca="1">IFERROR(__xludf.DUMMYFUNCTION("""COMPUTED_VALUE"""),1)</f>
        <v>1</v>
      </c>
      <c r="X428" s="4" t="str">
        <f ca="1">IFERROR(__xludf.DUMMYFUNCTION("""COMPUTED_VALUE"""),"04. Relationship Models")</f>
        <v>04. Relationship Models</v>
      </c>
      <c r="Y428" s="4" t="str">
        <f ca="1">IFERROR(__xludf.DUMMYFUNCTION("""COMPUTED_VALUE"""),"5.6.4 GloMo")</f>
        <v>5.6.4 GloMo</v>
      </c>
      <c r="Z428" s="132" t="str">
        <f ca="1">IFERROR(__xludf.DUMMYFUNCTION("""COMPUTED_VALUE"""),"560575")</f>
        <v>560575</v>
      </c>
      <c r="AA428" s="4" t="str">
        <f ca="1">IFERROR(__xludf.DUMMYFUNCTION("""COMPUTED_VALUE"""),"Implementacion de Target en GloMo")</f>
        <v>Implementacion de Target en GloMo</v>
      </c>
      <c r="AB428" s="4" t="str">
        <f ca="1">IFERROR(__xludf.DUMMYFUNCTION("""COMPUTED_VALUE"""),"Implementar la libreria de Target en Glomo con el fin de poder realizar A/B testing.")</f>
        <v>Implementar la libreria de Target en Glomo con el fin de poder realizar A/B testing.</v>
      </c>
      <c r="AC428" s="4" t="str">
        <f ca="1">IFERROR(__xludf.DUMMYFUNCTION("""COMPUTED_VALUE"""),"2Q 2023")</f>
        <v>2Q 2023</v>
      </c>
      <c r="AD428" s="4"/>
      <c r="AE428" s="4"/>
      <c r="AF428" s="4"/>
      <c r="AG428" s="4"/>
      <c r="AH428" s="4"/>
      <c r="AI428" s="4"/>
      <c r="AJ428" s="4"/>
      <c r="AK428" s="4" t="str">
        <f ca="1">IFERROR(__xludf.DUMMYFUNCTION("""COMPUTED_VALUE"""),"Sin asignar")</f>
        <v>Sin asignar</v>
      </c>
      <c r="AL428" s="4" t="str">
        <f ca="1">IFERROR(__xludf.DUMMYFUNCTION("""COMPUTED_VALUE"""),"Sin asignar")</f>
        <v>Sin asignar</v>
      </c>
      <c r="AM428" s="4"/>
      <c r="AN428" s="4" t="str">
        <f ca="1">IFERROR(__xludf.DUMMYFUNCTION("""COMPUTED_VALUE"""),"Entregable en Conceptualización")</f>
        <v>Entregable en Conceptualización</v>
      </c>
      <c r="AO428" s="4" t="str">
        <f ca="1">IFERROR(__xludf.DUMMYFUNCTION("""COMPUTED_VALUE"""),"Transversales")</f>
        <v>Transversales</v>
      </c>
      <c r="AP428" s="4"/>
      <c r="AQ428" s="4"/>
      <c r="AR428" s="4" t="str">
        <f ca="1">IFERROR(__xludf.DUMMYFUNCTION("""COMPUTED_VALUE"""),"SDA aprobada en PPP Q1 2023")</f>
        <v>SDA aprobada en PPP Q1 2023</v>
      </c>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133">
        <f ca="1">IFERROR(__xludf.DUMMYFUNCTION("""COMPUTED_VALUE"""),0)</f>
        <v>0</v>
      </c>
      <c r="DV428" s="133">
        <f ca="1">IFERROR(__xludf.DUMMYFUNCTION("""COMPUTED_VALUE"""),0)</f>
        <v>0</v>
      </c>
      <c r="DW428" s="133">
        <f ca="1">IFERROR(__xludf.DUMMYFUNCTION("""COMPUTED_VALUE"""),0)</f>
        <v>0</v>
      </c>
      <c r="DX428" s="133">
        <f ca="1">IFERROR(__xludf.DUMMYFUNCTION("""COMPUTED_VALUE"""),58000000)</f>
        <v>58000000</v>
      </c>
      <c r="DY428" s="133">
        <f ca="1">IFERROR(__xludf.DUMMYFUNCTION("""COMPUTED_VALUE"""),0)</f>
        <v>0</v>
      </c>
      <c r="DZ428" s="133">
        <f ca="1">IFERROR(__xludf.DUMMYFUNCTION("""COMPUTED_VALUE"""),58000000)</f>
        <v>58000000</v>
      </c>
      <c r="EA428" s="4"/>
      <c r="EB428" s="4"/>
    </row>
    <row r="429" spans="1:132" x14ac:dyDescent="0.2">
      <c r="A429" s="4">
        <f ca="1">IFERROR(__xludf.DUMMYFUNCTION("""COMPUTED_VALUE"""),429)</f>
        <v>429</v>
      </c>
      <c r="B429" s="4">
        <f ca="1">IFERROR(__xludf.DUMMYFUNCTION("""COMPUTED_VALUE"""),403)</f>
        <v>403</v>
      </c>
      <c r="C429" s="4" t="str">
        <f ca="1">IFERROR(__xludf.DUMMYFUNCTION("""COMPUTED_VALUE"""),"SDATOOL-40534")</f>
        <v>SDATOOL-40534</v>
      </c>
      <c r="D429" s="4" t="str">
        <f ca="1">IFERROR(__xludf.DUMMYFUNCTION("""COMPUTED_VALUE"""),"Feedback Contextual")</f>
        <v>Feedback Contextual</v>
      </c>
      <c r="E429" s="4" t="str">
        <f ca="1">IFERROR(__xludf.DUMMYFUNCTION("""COMPUTED_VALUE"""),"Estrategia para mejorar la experiencia de cliente que facilite el uso de la App, incentive el uso recurrente de la misma, extendiendo a otros dispositivos móviles y creando nuevas formas de envío de dinero.")</f>
        <v>Estrategia para mejorar la experiencia de cliente que facilite el uso de la App, incentive el uso recurrente de la misma, extendiendo a otros dispositivos móviles y creando nuevas formas de envío de dinero.</v>
      </c>
      <c r="F429" s="4" t="str">
        <f ca="1">IFERROR(__xludf.DUMMYFUNCTION("""COMPUTED_VALUE"""),"Initiative")</f>
        <v>Initiative</v>
      </c>
      <c r="G429" s="4" t="str">
        <f ca="1">IFERROR(__xludf.DUMMYFUNCTION("""COMPUTED_VALUE"""),"On hold")</f>
        <v>On hold</v>
      </c>
      <c r="H429" s="4" t="str">
        <f ca="1">IFERROR(__xludf.DUMMYFUNCTION("""COMPUTED_VALUE"""),"4Q 2023")</f>
        <v>4Q 2023</v>
      </c>
      <c r="I429" s="131" t="str">
        <f ca="1">IFERROR(__xludf.DUMMYFUNCTION("""COMPUTED_VALUE"""),"andrea.orrego-bbva.com")</f>
        <v>andrea.orrego-bbva.com</v>
      </c>
      <c r="J429" s="131" t="str">
        <f ca="1">IFERROR(__xludf.DUMMYFUNCTION("""COMPUTED_VALUE"""),"vivianamarcela.rueda-bbva.com")</f>
        <v>vivianamarcela.rueda-bbva.com</v>
      </c>
      <c r="K429" s="131" t="str">
        <f ca="1">IFERROR(__xludf.DUMMYFUNCTION("""COMPUTED_VALUE"""),"carolina.monterrey-bbva.com")</f>
        <v>carolina.monterrey-bbva.com</v>
      </c>
      <c r="L429" s="130">
        <f ca="1">IFERROR(__xludf.DUMMYFUNCTION("""COMPUTED_VALUE"""),0)</f>
        <v>0</v>
      </c>
      <c r="M429" s="130">
        <f ca="1">IFERROR(__xludf.DUMMYFUNCTION("""COMPUTED_VALUE"""),0)</f>
        <v>0</v>
      </c>
      <c r="N429" s="130">
        <f ca="1">IFERROR(__xludf.DUMMYFUNCTION("""COMPUTED_VALUE"""),0)</f>
        <v>0</v>
      </c>
      <c r="O429" s="4" t="str">
        <f ca="1">IFERROR(__xludf.DUMMYFUNCTION("""COMPUTED_VALUE"""),"Waterfall")</f>
        <v>Waterfall</v>
      </c>
      <c r="P429" s="4" t="str">
        <f ca="1">IFERROR(__xludf.DUMMYFUNCTION("""COMPUTED_VALUE"""),"GloMo Experience")</f>
        <v>GloMo Experience</v>
      </c>
      <c r="Q429" s="4"/>
      <c r="R429" s="130" t="str">
        <f ca="1">IFERROR(__xludf.DUMMYFUNCTION("""COMPUTED_VALUE"""),"Marketing &amp; Digital Sales")</f>
        <v>Marketing &amp; Digital Sales</v>
      </c>
      <c r="S429" s="130" t="str">
        <f ca="1">IFERROR(__xludf.DUMMYFUNCTION("""COMPUTED_VALUE"""),"Strategic Review")</f>
        <v>Strategic Review</v>
      </c>
      <c r="T429" s="130" t="str">
        <f ca="1">IFERROR(__xludf.DUMMYFUNCTION("""COMPUTED_VALUE"""),"2. Modelo de relación y distribución")</f>
        <v>2. Modelo de relación y distribución</v>
      </c>
      <c r="U429" s="130" t="str">
        <f ca="1">IFERROR(__xludf.DUMMYFUNCTION("""COMPUTED_VALUE"""),"2.4. Herramientas de clientes")</f>
        <v>2.4. Herramientas de clientes</v>
      </c>
      <c r="V429" s="4" t="str">
        <f ca="1">IFERROR(__xludf.DUMMYFUNCTION("""COMPUTED_VALUE"""),"GloMo")</f>
        <v>GloMo</v>
      </c>
      <c r="W429" s="4">
        <f ca="1">IFERROR(__xludf.DUMMYFUNCTION("""COMPUTED_VALUE"""),2)</f>
        <v>2</v>
      </c>
      <c r="X429" s="4" t="str">
        <f ca="1">IFERROR(__xludf.DUMMYFUNCTION("""COMPUTED_VALUE"""),"04. Relationship Models")</f>
        <v>04. Relationship Models</v>
      </c>
      <c r="Y429" s="4" t="str">
        <f ca="1">IFERROR(__xludf.DUMMYFUNCTION("""COMPUTED_VALUE"""),"5.6.4 GloMo")</f>
        <v>5.6.4 GloMo</v>
      </c>
      <c r="Z429" s="132" t="str">
        <f ca="1">IFERROR(__xludf.DUMMYFUNCTION("""COMPUTED_VALUE"""),"625908")</f>
        <v>625908</v>
      </c>
      <c r="AA429" s="4" t="str">
        <f ca="1">IFERROR(__xludf.DUMMYFUNCTION("""COMPUTED_VALUE"""),"Implementación Feedback contextual en Glomo")</f>
        <v>Implementación Feedback contextual en Glomo</v>
      </c>
      <c r="AB429" s="4" t="str">
        <f ca="1">IFERROR(__xludf.DUMMYFUNCTION("""COMPUTED_VALUE"""),"Implementar la opción que permita calificar flujos específicoscon estrellas de 1 a 5 para validar la experiencia del cliente.")</f>
        <v>Implementar la opción que permita calificar flujos específicoscon estrellas de 1 a 5 para validar la experiencia del cliente.</v>
      </c>
      <c r="AC429" s="4" t="str">
        <f ca="1">IFERROR(__xludf.DUMMYFUNCTION("""COMPUTED_VALUE"""),"4Q 2023")</f>
        <v>4Q 2023</v>
      </c>
      <c r="AD429" s="4"/>
      <c r="AE429" s="4"/>
      <c r="AF429" s="4"/>
      <c r="AG429" s="4"/>
      <c r="AH429" s="4"/>
      <c r="AI429" s="4"/>
      <c r="AJ429" s="4"/>
      <c r="AK429" s="4" t="str">
        <f ca="1">IFERROR(__xludf.DUMMYFUNCTION("""COMPUTED_VALUE"""),"Sin asignar")</f>
        <v>Sin asignar</v>
      </c>
      <c r="AL429" s="4" t="str">
        <f ca="1">IFERROR(__xludf.DUMMYFUNCTION("""COMPUTED_VALUE"""),"Sin asignar")</f>
        <v>Sin asignar</v>
      </c>
      <c r="AM429" s="4"/>
      <c r="AN429" s="4" t="str">
        <f ca="1">IFERROR(__xludf.DUMMYFUNCTION("""COMPUTED_VALUE"""),"Iniciativa en Discovery")</f>
        <v>Iniciativa en Discovery</v>
      </c>
      <c r="AO429" s="4" t="str">
        <f ca="1">IFERROR(__xludf.DUMMYFUNCTION("""COMPUTED_VALUE"""),"Transversales")</f>
        <v>Transversales</v>
      </c>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133">
        <f ca="1">IFERROR(__xludf.DUMMYFUNCTION("""COMPUTED_VALUE"""),0)</f>
        <v>0</v>
      </c>
      <c r="DV429" s="133">
        <f ca="1">IFERROR(__xludf.DUMMYFUNCTION("""COMPUTED_VALUE"""),0)</f>
        <v>0</v>
      </c>
      <c r="DW429" s="133">
        <f ca="1">IFERROR(__xludf.DUMMYFUNCTION("""COMPUTED_VALUE"""),0)</f>
        <v>0</v>
      </c>
      <c r="DX429" s="133">
        <f ca="1">IFERROR(__xludf.DUMMYFUNCTION("""COMPUTED_VALUE"""),0)</f>
        <v>0</v>
      </c>
      <c r="DY429" s="133">
        <f ca="1">IFERROR(__xludf.DUMMYFUNCTION("""COMPUTED_VALUE"""),0)</f>
        <v>0</v>
      </c>
      <c r="DZ429" s="133">
        <f ca="1">IFERROR(__xludf.DUMMYFUNCTION("""COMPUTED_VALUE"""),0)</f>
        <v>0</v>
      </c>
      <c r="EA429" s="4"/>
      <c r="EB429" s="4"/>
    </row>
    <row r="430" spans="1:132" x14ac:dyDescent="0.2">
      <c r="A430" s="4">
        <f ca="1">IFERROR(__xludf.DUMMYFUNCTION("""COMPUTED_VALUE"""),430)</f>
        <v>430</v>
      </c>
      <c r="B430" s="4">
        <f ca="1">IFERROR(__xludf.DUMMYFUNCTION("""COMPUTED_VALUE"""),404)</f>
        <v>404</v>
      </c>
      <c r="C430" s="4" t="str">
        <f ca="1">IFERROR(__xludf.DUMMYFUNCTION("""COMPUTED_VALUE"""),"SDATOOL-40648")</f>
        <v>SDATOOL-40648</v>
      </c>
      <c r="D430" s="4" t="str">
        <f ca="1">IFERROR(__xludf.DUMMYFUNCTION("""COMPUTED_VALUE"""),"Feedback NPS")</f>
        <v>Feedback NPS</v>
      </c>
      <c r="E430" s="4" t="str">
        <f ca="1">IFERROR(__xludf.DUMMYFUNCTION("""COMPUTED_VALUE"""),"Estrategia para mejorar la experiencia de cliente que facilite el uso de la App, incentive el uso recurrente de la misma, extendiendo a otros dispositivos móviles y creando nuevas formas de envío de dinero.")</f>
        <v>Estrategia para mejorar la experiencia de cliente que facilite el uso de la App, incentive el uso recurrente de la misma, extendiendo a otros dispositivos móviles y creando nuevas formas de envío de dinero.</v>
      </c>
      <c r="F430" s="4" t="str">
        <f ca="1">IFERROR(__xludf.DUMMYFUNCTION("""COMPUTED_VALUE"""),"Initiative")</f>
        <v>Initiative</v>
      </c>
      <c r="G430" s="4" t="str">
        <f ca="1">IFERROR(__xludf.DUMMYFUNCTION("""COMPUTED_VALUE"""),"On hold")</f>
        <v>On hold</v>
      </c>
      <c r="H430" s="4" t="str">
        <f ca="1">IFERROR(__xludf.DUMMYFUNCTION("""COMPUTED_VALUE"""),"4Q 2024")</f>
        <v>4Q 2024</v>
      </c>
      <c r="I430" s="131" t="str">
        <f ca="1">IFERROR(__xludf.DUMMYFUNCTION("""COMPUTED_VALUE"""),"andrea.orrego-bbva.com")</f>
        <v>andrea.orrego-bbva.com</v>
      </c>
      <c r="J430" s="131" t="str">
        <f ca="1">IFERROR(__xludf.DUMMYFUNCTION("""COMPUTED_VALUE"""),"vivianamarcela.rueda-bbva.com")</f>
        <v>vivianamarcela.rueda-bbva.com</v>
      </c>
      <c r="K430" s="131" t="str">
        <f ca="1">IFERROR(__xludf.DUMMYFUNCTION("""COMPUTED_VALUE"""),"carolina.monterrey-bbva.com")</f>
        <v>carolina.monterrey-bbva.com</v>
      </c>
      <c r="L430" s="130">
        <f ca="1">IFERROR(__xludf.DUMMYFUNCTION("""COMPUTED_VALUE"""),0)</f>
        <v>0</v>
      </c>
      <c r="M430" s="130">
        <f ca="1">IFERROR(__xludf.DUMMYFUNCTION("""COMPUTED_VALUE"""),0)</f>
        <v>0</v>
      </c>
      <c r="N430" s="130">
        <f ca="1">IFERROR(__xludf.DUMMYFUNCTION("""COMPUTED_VALUE"""),0)</f>
        <v>0</v>
      </c>
      <c r="O430" s="4" t="str">
        <f ca="1">IFERROR(__xludf.DUMMYFUNCTION("""COMPUTED_VALUE"""),"Waterfall")</f>
        <v>Waterfall</v>
      </c>
      <c r="P430" s="4" t="str">
        <f ca="1">IFERROR(__xludf.DUMMYFUNCTION("""COMPUTED_VALUE"""),"GloMo Experience")</f>
        <v>GloMo Experience</v>
      </c>
      <c r="Q430" s="130">
        <f ca="1">IFERROR(__xludf.DUMMYFUNCTION("""COMPUTED_VALUE"""),0)</f>
        <v>0</v>
      </c>
      <c r="R430" s="130" t="str">
        <f ca="1">IFERROR(__xludf.DUMMYFUNCTION("""COMPUTED_VALUE"""),"Marketing &amp; Digital Sales")</f>
        <v>Marketing &amp; Digital Sales</v>
      </c>
      <c r="S430" s="130" t="str">
        <f ca="1">IFERROR(__xludf.DUMMYFUNCTION("""COMPUTED_VALUE"""),"Strategic Review")</f>
        <v>Strategic Review</v>
      </c>
      <c r="T430" s="130" t="str">
        <f ca="1">IFERROR(__xludf.DUMMYFUNCTION("""COMPUTED_VALUE"""),"2. Modelo de relación y distribución")</f>
        <v>2. Modelo de relación y distribución</v>
      </c>
      <c r="U430" s="130" t="str">
        <f ca="1">IFERROR(__xludf.DUMMYFUNCTION("""COMPUTED_VALUE"""),"2.4. Herramientas de clientes")</f>
        <v>2.4. Herramientas de clientes</v>
      </c>
      <c r="V430" s="4" t="str">
        <f ca="1">IFERROR(__xludf.DUMMYFUNCTION("""COMPUTED_VALUE"""),"GloMo")</f>
        <v>GloMo</v>
      </c>
      <c r="W430" s="4">
        <f ca="1">IFERROR(__xludf.DUMMYFUNCTION("""COMPUTED_VALUE"""),2)</f>
        <v>2</v>
      </c>
      <c r="X430" s="4" t="str">
        <f ca="1">IFERROR(__xludf.DUMMYFUNCTION("""COMPUTED_VALUE"""),"04. Relationship Models")</f>
        <v>04. Relationship Models</v>
      </c>
      <c r="Y430" s="4" t="str">
        <f ca="1">IFERROR(__xludf.DUMMYFUNCTION("""COMPUTED_VALUE"""),"5.6.4 GloMo")</f>
        <v>5.6.4 GloMo</v>
      </c>
      <c r="Z430" s="132" t="str">
        <f ca="1">IFERROR(__xludf.DUMMYFUNCTION("""COMPUTED_VALUE"""),"710666")</f>
        <v>710666</v>
      </c>
      <c r="AA430" s="4" t="str">
        <f ca="1">IFERROR(__xludf.DUMMYFUNCTION("""COMPUTED_VALUE"""),"Implementación Feedback NPS en Glomo")</f>
        <v>Implementación Feedback NPS en Glomo</v>
      </c>
      <c r="AB430" s="4" t="str">
        <f ca="1">IFERROR(__xludf.DUMMYFUNCTION("""COMPUTED_VALUE"""),"Implementación de la opción de calificar el APP modelo NPS con calificación de 1 a 10 y con comentarios")</f>
        <v>Implementación de la opción de calificar el APP modelo NPS con calificación de 1 a 10 y con comentarios</v>
      </c>
      <c r="AC430" s="4" t="str">
        <f ca="1">IFERROR(__xludf.DUMMYFUNCTION("""COMPUTED_VALUE"""),"4Q 2023")</f>
        <v>4Q 2023</v>
      </c>
      <c r="AD430" s="4"/>
      <c r="AE430" s="4"/>
      <c r="AF430" s="4"/>
      <c r="AG430" s="4"/>
      <c r="AH430" s="4"/>
      <c r="AI430" s="4"/>
      <c r="AJ430" s="4"/>
      <c r="AK430" s="4" t="str">
        <f ca="1">IFERROR(__xludf.DUMMYFUNCTION("""COMPUTED_VALUE"""),"Sin asignar")</f>
        <v>Sin asignar</v>
      </c>
      <c r="AL430" s="4" t="str">
        <f ca="1">IFERROR(__xludf.DUMMYFUNCTION("""COMPUTED_VALUE"""),"Sin asignar")</f>
        <v>Sin asignar</v>
      </c>
      <c r="AM430" s="4"/>
      <c r="AN430" s="4" t="str">
        <f ca="1">IFERROR(__xludf.DUMMYFUNCTION("""COMPUTED_VALUE"""),"Iniciativa en Discovery")</f>
        <v>Iniciativa en Discovery</v>
      </c>
      <c r="AO430" s="4" t="str">
        <f ca="1">IFERROR(__xludf.DUMMYFUNCTION("""COMPUTED_VALUE"""),"Transversales")</f>
        <v>Transversales</v>
      </c>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133">
        <f ca="1">IFERROR(__xludf.DUMMYFUNCTION("""COMPUTED_VALUE"""),0)</f>
        <v>0</v>
      </c>
      <c r="DV430" s="133">
        <f ca="1">IFERROR(__xludf.DUMMYFUNCTION("""COMPUTED_VALUE"""),0)</f>
        <v>0</v>
      </c>
      <c r="DW430" s="133">
        <f ca="1">IFERROR(__xludf.DUMMYFUNCTION("""COMPUTED_VALUE"""),0)</f>
        <v>0</v>
      </c>
      <c r="DX430" s="133">
        <f ca="1">IFERROR(__xludf.DUMMYFUNCTION("""COMPUTED_VALUE"""),0)</f>
        <v>0</v>
      </c>
      <c r="DY430" s="133">
        <f ca="1">IFERROR(__xludf.DUMMYFUNCTION("""COMPUTED_VALUE"""),0)</f>
        <v>0</v>
      </c>
      <c r="DZ430" s="133">
        <f ca="1">IFERROR(__xludf.DUMMYFUNCTION("""COMPUTED_VALUE"""),0)</f>
        <v>0</v>
      </c>
      <c r="EA430" s="4"/>
      <c r="EB430" s="4"/>
    </row>
    <row r="431" spans="1:132" x14ac:dyDescent="0.2">
      <c r="A431" s="4">
        <f ca="1">IFERROR(__xludf.DUMMYFUNCTION("""COMPUTED_VALUE"""),431)</f>
        <v>431</v>
      </c>
      <c r="B431" s="4">
        <f ca="1">IFERROR(__xludf.DUMMYFUNCTION("""COMPUTED_VALUE"""),405)</f>
        <v>405</v>
      </c>
      <c r="C431" s="4" t="str">
        <f ca="1">IFERROR(__xludf.DUMMYFUNCTION("""COMPUTED_VALUE"""),"SDATOOL-40553")</f>
        <v>SDATOOL-40553</v>
      </c>
      <c r="D431" s="4" t="str">
        <f ca="1">IFERROR(__xludf.DUMMYFUNCTION("""COMPUTED_VALUE"""),"Viajes BBVA en GloMo")</f>
        <v>Viajes BBVA en GloMo</v>
      </c>
      <c r="E431" s="4" t="str">
        <f ca="1">IFERROR(__xludf.DUMMYFUNCTION("""COMPUTED_VALUE"""),"Lo que se pretende es ofrecerle al cliente una experiencia unificada en GloMo donde de una manera más clara, fácil y rápida, pueda acceder a Viajes BBVA, lo conozca integralmente y haga uso del mismo, logrando no solo que exista un incremento en la factur"&amp;"ación y una disminución en la cantidad de cancelaciones, sino también, se incrementen sus índices de satisfacción, se genere una relación de cercanía entre el cliente y el Banco, y se atraigan clientes nuevos a través de la recomendación que realicen los "&amp;"clientes actuales sobre el beneficio de Viajes BBVA.")</f>
        <v>Lo que se pretende es ofrecerle al cliente una experiencia unificada en GloMo donde de una manera más clara, fácil y rápida, pueda acceder a Viajes BBVA, lo conozca integralmente y haga uso del mismo, logrando no solo que exista un incremento en la facturación y una disminución en la cantidad de cancelaciones, sino también, se incrementen sus índices de satisfacción, se genere una relación de cercanía entre el cliente y el Banco, y se atraigan clientes nuevos a través de la recomendación que realicen los clientes actuales sobre el beneficio de Viajes BBVA.</v>
      </c>
      <c r="F431" s="4" t="str">
        <f ca="1">IFERROR(__xludf.DUMMYFUNCTION("""COMPUTED_VALUE"""),"Initiative")</f>
        <v>Initiative</v>
      </c>
      <c r="G431" s="4" t="str">
        <f ca="1">IFERROR(__xludf.DUMMYFUNCTION("""COMPUTED_VALUE"""),"On hold")</f>
        <v>On hold</v>
      </c>
      <c r="H431" s="4" t="str">
        <f ca="1">IFERROR(__xludf.DUMMYFUNCTION("""COMPUTED_VALUE"""),"1Q 2024")</f>
        <v>1Q 2024</v>
      </c>
      <c r="I431" s="131" t="str">
        <f ca="1">IFERROR(__xludf.DUMMYFUNCTION("""COMPUTED_VALUE"""),"andrea.orrego-bbva.com")</f>
        <v>andrea.orrego-bbva.com</v>
      </c>
      <c r="J431" s="131" t="str">
        <f ca="1">IFERROR(__xludf.DUMMYFUNCTION("""COMPUTED_VALUE"""),"lizethlorena.rodriguez-bbva.com")</f>
        <v>lizethlorena.rodriguez-bbva.com</v>
      </c>
      <c r="K431" s="131" t="str">
        <f ca="1">IFERROR(__xludf.DUMMYFUNCTION("""COMPUTED_VALUE"""),"rudyyolima.aguilar-bbva.com")</f>
        <v>rudyyolima.aguilar-bbva.com</v>
      </c>
      <c r="L431" s="130">
        <f ca="1">IFERROR(__xludf.DUMMYFUNCTION("""COMPUTED_VALUE"""),0)</f>
        <v>0</v>
      </c>
      <c r="M431" s="130">
        <f ca="1">IFERROR(__xludf.DUMMYFUNCTION("""COMPUTED_VALUE"""),0)</f>
        <v>0</v>
      </c>
      <c r="N431" s="130">
        <f ca="1">IFERROR(__xludf.DUMMYFUNCTION("""COMPUTED_VALUE"""),0)</f>
        <v>0</v>
      </c>
      <c r="O431" s="4" t="str">
        <f ca="1">IFERROR(__xludf.DUMMYFUNCTION("""COMPUTED_VALUE"""),"Waterfall")</f>
        <v>Waterfall</v>
      </c>
      <c r="P431" s="4" t="str">
        <f ca="1">IFERROR(__xludf.DUMMYFUNCTION("""COMPUTED_VALUE"""),"GloMo Payments")</f>
        <v>GloMo Payments</v>
      </c>
      <c r="Q431" s="4"/>
      <c r="R431" s="130" t="str">
        <f ca="1">IFERROR(__xludf.DUMMYFUNCTION("""COMPUTED_VALUE"""),"Payments &amp; Partnerships")</f>
        <v>Payments &amp; Partnerships</v>
      </c>
      <c r="S431" s="130" t="str">
        <f ca="1">IFERROR(__xludf.DUMMYFUNCTION("""COMPUTED_VALUE"""),"Strategic Review")</f>
        <v>Strategic Review</v>
      </c>
      <c r="T431" s="130" t="str">
        <f ca="1">IFERROR(__xludf.DUMMYFUNCTION("""COMPUTED_VALUE"""),"2. Modelo de relación y distribución")</f>
        <v>2. Modelo de relación y distribución</v>
      </c>
      <c r="U431" s="130" t="str">
        <f ca="1">IFERROR(__xludf.DUMMYFUNCTION("""COMPUTED_VALUE"""),"2.4. Herramientas de clientes")</f>
        <v>2.4. Herramientas de clientes</v>
      </c>
      <c r="V431" s="4" t="str">
        <f ca="1">IFERROR(__xludf.DUMMYFUNCTION("""COMPUTED_VALUE"""),"TdC")</f>
        <v>TdC</v>
      </c>
      <c r="W431" s="4">
        <f ca="1">IFERROR(__xludf.DUMMYFUNCTION("""COMPUTED_VALUE"""),1)</f>
        <v>1</v>
      </c>
      <c r="X431" s="4" t="str">
        <f ca="1">IFERROR(__xludf.DUMMYFUNCTION("""COMPUTED_VALUE"""),"05. Cross-sell")</f>
        <v>05. Cross-sell</v>
      </c>
      <c r="Y431" s="4" t="str">
        <f ca="1">IFERROR(__xludf.DUMMYFUNCTION("""COMPUTED_VALUE"""),"5.6.4 GloMo")</f>
        <v>5.6.4 GloMo</v>
      </c>
      <c r="Z431" s="132" t="str">
        <f ca="1">IFERROR(__xludf.DUMMYFUNCTION("""COMPUTED_VALUE"""),"560581")</f>
        <v>560581</v>
      </c>
      <c r="AA431" s="4" t="str">
        <f ca="1">IFERROR(__xludf.DUMMYFUNCTION("""COMPUTED_VALUE"""),"Implementación de viajes BBVA en Glomo")</f>
        <v>Implementación de viajes BBVA en Glomo</v>
      </c>
      <c r="AB431" s="4" t="str">
        <f ca="1">IFERROR(__xludf.DUMMYFUNCTION("""COMPUTED_VALUE"""),"Implementación de viajes BBVA en Glomo como opción de redención de puntos. Se tendrá dos formas de llegar: desde side bar y desde card en el dashboard.  Se debe conectar con DESPEGAR tal como hoy lo hace la net.")</f>
        <v>Implementación de viajes BBVA en Glomo como opción de redención de puntos. Se tendrá dos formas de llegar: desde side bar y desde card en el dashboard.  Se debe conectar con DESPEGAR tal como hoy lo hace la net.</v>
      </c>
      <c r="AC431" s="4" t="str">
        <f ca="1">IFERROR(__xludf.DUMMYFUNCTION("""COMPUTED_VALUE"""),"4Q 2023")</f>
        <v>4Q 2023</v>
      </c>
      <c r="AD431" s="4"/>
      <c r="AE431" s="4"/>
      <c r="AF431" s="4"/>
      <c r="AG431" s="4"/>
      <c r="AH431" s="4"/>
      <c r="AI431" s="4"/>
      <c r="AJ431" s="4"/>
      <c r="AK431" s="131" t="str">
        <f ca="1">IFERROR(__xludf.DUMMYFUNCTION("""COMPUTED_VALUE"""),"COLWSCANAL-8632")</f>
        <v>COLWSCANAL-8632</v>
      </c>
      <c r="AL431" s="4" t="str">
        <f ca="1">IFERROR(__xludf.DUMMYFUNCTION("""COMPUTED_VALUE"""),"New")</f>
        <v>New</v>
      </c>
      <c r="AM431" s="4" t="str">
        <f ca="1">IFERROR(__xludf.DUMMYFUNCTION("""COMPUTED_VALUE"""),"Ya tenemos Business definition y está por empezar en el próximo sp el UX para continuar con el proceso local de conceptualización de áreas de valor.")</f>
        <v>Ya tenemos Business definition y está por empezar en el próximo sp el UX para continuar con el proceso local de conceptualización de áreas de valor.</v>
      </c>
      <c r="AN431" s="4" t="str">
        <f ca="1">IFERROR(__xludf.DUMMYFUNCTION("""COMPUTED_VALUE"""),"Entregable en desarrollo")</f>
        <v>Entregable en desarrollo</v>
      </c>
      <c r="AO431" s="4" t="str">
        <f ca="1">IFERROR(__xludf.DUMMYFUNCTION("""COMPUTED_VALUE"""),"Transversales")</f>
        <v>Transversales</v>
      </c>
      <c r="AP431" s="4"/>
      <c r="AQ431" s="4"/>
      <c r="AR431" s="4" t="str">
        <f ca="1">IFERROR(__xludf.DUMMYFUNCTION("""COMPUTED_VALUE"""),"SDA aprobada en PPP Q1 2023")</f>
        <v>SDA aprobada en PPP Q1 2023</v>
      </c>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133">
        <f ca="1">IFERROR(__xludf.DUMMYFUNCTION("""COMPUTED_VALUE"""),0)</f>
        <v>0</v>
      </c>
      <c r="DV431" s="133">
        <f ca="1">IFERROR(__xludf.DUMMYFUNCTION("""COMPUTED_VALUE"""),0)</f>
        <v>0</v>
      </c>
      <c r="DW431" s="133">
        <f ca="1">IFERROR(__xludf.DUMMYFUNCTION("""COMPUTED_VALUE"""),0)</f>
        <v>0</v>
      </c>
      <c r="DX431" s="133">
        <f ca="1">IFERROR(__xludf.DUMMYFUNCTION("""COMPUTED_VALUE"""),496000000)</f>
        <v>496000000</v>
      </c>
      <c r="DY431" s="133">
        <f ca="1">IFERROR(__xludf.DUMMYFUNCTION("""COMPUTED_VALUE"""),0)</f>
        <v>0</v>
      </c>
      <c r="DZ431" s="133">
        <f ca="1">IFERROR(__xludf.DUMMYFUNCTION("""COMPUTED_VALUE"""),496000000)</f>
        <v>496000000</v>
      </c>
      <c r="EA431" s="4"/>
      <c r="EB431" s="4"/>
    </row>
    <row r="432" spans="1:132" x14ac:dyDescent="0.2">
      <c r="A432" s="4">
        <f ca="1">IFERROR(__xludf.DUMMYFUNCTION("""COMPUTED_VALUE"""),432)</f>
        <v>432</v>
      </c>
      <c r="B432" s="4">
        <f ca="1">IFERROR(__xludf.DUMMYFUNCTION("""COMPUTED_VALUE"""),406)</f>
        <v>406</v>
      </c>
      <c r="C432" s="4" t="str">
        <f ca="1">IFERROR(__xludf.DUMMYFUNCTION("""COMPUTED_VALUE"""),"SDATOOL-40532")</f>
        <v>SDATOOL-40532</v>
      </c>
      <c r="D432" s="4" t="str">
        <f ca="1">IFERROR(__xludf.DUMMYFUNCTION("""COMPUTED_VALUE"""),"Dashboard Operatives Glomo")</f>
        <v>Dashboard Operatives Glomo</v>
      </c>
      <c r="E432" s="4" t="str">
        <f ca="1">IFERROR(__xludf.DUMMYFUNCTION("""COMPUTED_VALUE"""),"Operativas al ingresar a la app en primer nivel.")</f>
        <v>Operativas al ingresar a la app en primer nivel.</v>
      </c>
      <c r="F432" s="4" t="str">
        <f ca="1">IFERROR(__xludf.DUMMYFUNCTION("""COMPUTED_VALUE"""),"Initiative")</f>
        <v>Initiative</v>
      </c>
      <c r="G432" s="4" t="str">
        <f ca="1">IFERROR(__xludf.DUMMYFUNCTION("""COMPUTED_VALUE"""),"On hold")</f>
        <v>On hold</v>
      </c>
      <c r="H432" s="4" t="str">
        <f ca="1">IFERROR(__xludf.DUMMYFUNCTION("""COMPUTED_VALUE"""),"4Q 2023")</f>
        <v>4Q 2023</v>
      </c>
      <c r="I432" s="131" t="str">
        <f ca="1">IFERROR(__xludf.DUMMYFUNCTION("""COMPUTED_VALUE"""),"andrea.orrego-bbva.com")</f>
        <v>andrea.orrego-bbva.com</v>
      </c>
      <c r="J432" s="131" t="str">
        <f ca="1">IFERROR(__xludf.DUMMYFUNCTION("""COMPUTED_VALUE"""),"jorge.carvajal-bbva.com")</f>
        <v>jorge.carvajal-bbva.com</v>
      </c>
      <c r="K432" s="131" t="str">
        <f ca="1">IFERROR(__xludf.DUMMYFUNCTION("""COMPUTED_VALUE"""),"yurimilena.moreno-bbva.com")</f>
        <v>yurimilena.moreno-bbva.com</v>
      </c>
      <c r="L432" s="130">
        <f ca="1">IFERROR(__xludf.DUMMYFUNCTION("""COMPUTED_VALUE"""),0)</f>
        <v>0</v>
      </c>
      <c r="M432" s="130">
        <f ca="1">IFERROR(__xludf.DUMMYFUNCTION("""COMPUTED_VALUE"""),0)</f>
        <v>0</v>
      </c>
      <c r="N432" s="130">
        <f ca="1">IFERROR(__xludf.DUMMYFUNCTION("""COMPUTED_VALUE"""),0)</f>
        <v>0</v>
      </c>
      <c r="O432" s="4" t="str">
        <f ca="1">IFERROR(__xludf.DUMMYFUNCTION("""COMPUTED_VALUE"""),"Waterfall")</f>
        <v>Waterfall</v>
      </c>
      <c r="P432" s="4" t="str">
        <f ca="1">IFERROR(__xludf.DUMMYFUNCTION("""COMPUTED_VALUE"""),"GloMoTransactionality")</f>
        <v>GloMoTransactionality</v>
      </c>
      <c r="Q432" s="4"/>
      <c r="R432" s="130" t="str">
        <f ca="1">IFERROR(__xludf.DUMMYFUNCTION("""COMPUTED_VALUE"""),"Business Innovation &amp; Strategy")</f>
        <v>Business Innovation &amp; Strategy</v>
      </c>
      <c r="S432" s="130" t="str">
        <f ca="1">IFERROR(__xludf.DUMMYFUNCTION("""COMPUTED_VALUE"""),"Strategic Review")</f>
        <v>Strategic Review</v>
      </c>
      <c r="T432" s="130" t="str">
        <f ca="1">IFERROR(__xludf.DUMMYFUNCTION("""COMPUTED_VALUE"""),"2. Modelo de relación y distribución")</f>
        <v>2. Modelo de relación y distribución</v>
      </c>
      <c r="U432" s="130" t="str">
        <f ca="1">IFERROR(__xludf.DUMMYFUNCTION("""COMPUTED_VALUE"""),"2.4. Herramientas de clientes")</f>
        <v>2.4. Herramientas de clientes</v>
      </c>
      <c r="V432" s="4" t="str">
        <f ca="1">IFERROR(__xludf.DUMMYFUNCTION("""COMPUTED_VALUE"""),"GloMo")</f>
        <v>GloMo</v>
      </c>
      <c r="W432" s="4">
        <f ca="1">IFERROR(__xludf.DUMMYFUNCTION("""COMPUTED_VALUE"""),1)</f>
        <v>1</v>
      </c>
      <c r="X432" s="4" t="str">
        <f ca="1">IFERROR(__xludf.DUMMYFUNCTION("""COMPUTED_VALUE"""),"04. Relationship Models")</f>
        <v>04. Relationship Models</v>
      </c>
      <c r="Y432" s="4" t="str">
        <f ca="1">IFERROR(__xludf.DUMMYFUNCTION("""COMPUTED_VALUE"""),"5.6.4 GloMo")</f>
        <v>5.6.4 GloMo</v>
      </c>
      <c r="Z432" s="132" t="str">
        <f ca="1">IFERROR(__xludf.DUMMYFUNCTION("""COMPUTED_VALUE"""),"597982")</f>
        <v>597982</v>
      </c>
      <c r="AA432" s="4" t="str">
        <f ca="1">IFERROR(__xludf.DUMMYFUNCTION("""COMPUTED_VALUE"""),"Implementar la funcionalidad de Dashboard Operatives en Glomo")</f>
        <v>Implementar la funcionalidad de Dashboard Operatives en Glomo</v>
      </c>
      <c r="AB432" s="4" t="str">
        <f ca="1">IFERROR(__xludf.DUMMYFUNCTION("""COMPUTED_VALUE"""),"Implementar la funcionalidad de Dashboard Operatives en Glomo dando visibilidad a las transacciones de mayor uso por los clientes")</f>
        <v>Implementar la funcionalidad de Dashboard Operatives en Glomo dando visibilidad a las transacciones de mayor uso por los clientes</v>
      </c>
      <c r="AC432" s="4" t="str">
        <f ca="1">IFERROR(__xludf.DUMMYFUNCTION("""COMPUTED_VALUE"""),"3Q 2023")</f>
        <v>3Q 2023</v>
      </c>
      <c r="AD432" s="4"/>
      <c r="AE432" s="4"/>
      <c r="AF432" s="4"/>
      <c r="AG432" s="4"/>
      <c r="AH432" s="4"/>
      <c r="AI432" s="4"/>
      <c r="AJ432" s="4"/>
      <c r="AK432" s="131" t="str">
        <f ca="1">IFERROR(__xludf.DUMMYFUNCTION("""COMPUTED_VALUE"""),"CCSS-17843")</f>
        <v>CCSS-17843</v>
      </c>
      <c r="AL432" s="4" t="str">
        <f ca="1">IFERROR(__xludf.DUMMYFUNCTION("""COMPUTED_VALUE"""),"New")</f>
        <v>New</v>
      </c>
      <c r="AM432" s="4"/>
      <c r="AN432" s="4" t="str">
        <f ca="1">IFERROR(__xludf.DUMMYFUNCTION("""COMPUTED_VALUE"""),"Entregable en Conceptualización")</f>
        <v>Entregable en Conceptualización</v>
      </c>
      <c r="AO432" s="4" t="str">
        <f ca="1">IFERROR(__xludf.DUMMYFUNCTION("""COMPUTED_VALUE"""),"Transversales")</f>
        <v>Transversales</v>
      </c>
      <c r="AP432" s="4"/>
      <c r="AQ432" s="4"/>
      <c r="AR432" s="4" t="str">
        <f ca="1">IFERROR(__xludf.DUMMYFUNCTION("""COMPUTED_VALUE"""),"SDA aprobada en PPP Q1 2023")</f>
        <v>SDA aprobada en PPP Q1 2023</v>
      </c>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133">
        <f ca="1">IFERROR(__xludf.DUMMYFUNCTION("""COMPUTED_VALUE"""),0)</f>
        <v>0</v>
      </c>
      <c r="DV432" s="133">
        <f ca="1">IFERROR(__xludf.DUMMYFUNCTION("""COMPUTED_VALUE"""),0)</f>
        <v>0</v>
      </c>
      <c r="DW432" s="133">
        <f ca="1">IFERROR(__xludf.DUMMYFUNCTION("""COMPUTED_VALUE"""),0)</f>
        <v>0</v>
      </c>
      <c r="DX432" s="133">
        <f ca="1">IFERROR(__xludf.DUMMYFUNCTION("""COMPUTED_VALUE"""),0)</f>
        <v>0</v>
      </c>
      <c r="DY432" s="133">
        <f ca="1">IFERROR(__xludf.DUMMYFUNCTION("""COMPUTED_VALUE"""),0)</f>
        <v>0</v>
      </c>
      <c r="DZ432" s="133">
        <f ca="1">IFERROR(__xludf.DUMMYFUNCTION("""COMPUTED_VALUE"""),0)</f>
        <v>0</v>
      </c>
      <c r="EA432" s="4"/>
      <c r="EB432" s="4"/>
    </row>
    <row r="433" spans="1:132" x14ac:dyDescent="0.2">
      <c r="A433" s="4">
        <f ca="1">IFERROR(__xludf.DUMMYFUNCTION("""COMPUTED_VALUE"""),433)</f>
        <v>433</v>
      </c>
      <c r="B433" s="4">
        <f ca="1">IFERROR(__xludf.DUMMYFUNCTION("""COMPUTED_VALUE"""),407)</f>
        <v>407</v>
      </c>
      <c r="C433" s="4" t="str">
        <f ca="1">IFERROR(__xludf.DUMMYFUNCTION("""COMPUTED_VALUE"""),"SDATOOL-40623")</f>
        <v>SDATOOL-40623</v>
      </c>
      <c r="D433" s="4" t="str">
        <f ca="1">IFERROR(__xludf.DUMMYFUNCTION("""COMPUTED_VALUE"""),"Pago productos con PSE desde GloMo")</f>
        <v>Pago productos con PSE desde GloMo</v>
      </c>
      <c r="E433" s="4" t="str">
        <f ca="1">IFERROR(__xludf.DUMMYFUNCTION("""COMPUTED_VALUE"""),"Pago de productos  Honorarios con PSE.")</f>
        <v>Pago de productos  Honorarios con PSE.</v>
      </c>
      <c r="F433" s="4" t="str">
        <f ca="1">IFERROR(__xludf.DUMMYFUNCTION("""COMPUTED_VALUE"""),"Initiative")</f>
        <v>Initiative</v>
      </c>
      <c r="G433" s="4" t="str">
        <f ca="1">IFERROR(__xludf.DUMMYFUNCTION("""COMPUTED_VALUE"""),"On hold")</f>
        <v>On hold</v>
      </c>
      <c r="H433" s="4" t="str">
        <f ca="1">IFERROR(__xludf.DUMMYFUNCTION("""COMPUTED_VALUE"""),"4Q 2023")</f>
        <v>4Q 2023</v>
      </c>
      <c r="I433" s="131" t="str">
        <f ca="1">IFERROR(__xludf.DUMMYFUNCTION("""COMPUTED_VALUE"""),"andrea.orrego-bbva.com")</f>
        <v>andrea.orrego-bbva.com</v>
      </c>
      <c r="J433" s="131" t="str">
        <f ca="1">IFERROR(__xludf.DUMMYFUNCTION("""COMPUTED_VALUE"""),"jorge.carvajal-bbva.com")</f>
        <v>jorge.carvajal-bbva.com</v>
      </c>
      <c r="K433" s="131" t="str">
        <f ca="1">IFERROR(__xludf.DUMMYFUNCTION("""COMPUTED_VALUE"""),"yurimilena.moreno-bbva.com")</f>
        <v>yurimilena.moreno-bbva.com</v>
      </c>
      <c r="L433" s="130">
        <f ca="1">IFERROR(__xludf.DUMMYFUNCTION("""COMPUTED_VALUE"""),0)</f>
        <v>0</v>
      </c>
      <c r="M433" s="130">
        <f ca="1">IFERROR(__xludf.DUMMYFUNCTION("""COMPUTED_VALUE"""),0)</f>
        <v>0</v>
      </c>
      <c r="N433" s="130">
        <f ca="1">IFERROR(__xludf.DUMMYFUNCTION("""COMPUTED_VALUE"""),0)</f>
        <v>0</v>
      </c>
      <c r="O433" s="4" t="str">
        <f ca="1">IFERROR(__xludf.DUMMYFUNCTION("""COMPUTED_VALUE"""),"Waterfall")</f>
        <v>Waterfall</v>
      </c>
      <c r="P433" s="4" t="str">
        <f ca="1">IFERROR(__xludf.DUMMYFUNCTION("""COMPUTED_VALUE"""),"GloMoTransactionality")</f>
        <v>GloMoTransactionality</v>
      </c>
      <c r="Q433" s="4"/>
      <c r="R433" s="130" t="str">
        <f ca="1">IFERROR(__xludf.DUMMYFUNCTION("""COMPUTED_VALUE"""),"Business Innovation &amp; Strategy")</f>
        <v>Business Innovation &amp; Strategy</v>
      </c>
      <c r="S433" s="130" t="str">
        <f ca="1">IFERROR(__xludf.DUMMYFUNCTION("""COMPUTED_VALUE"""),"Strategic Review")</f>
        <v>Strategic Review</v>
      </c>
      <c r="T433" s="130" t="str">
        <f ca="1">IFERROR(__xludf.DUMMYFUNCTION("""COMPUTED_VALUE"""),"2. Modelo de relación y distribución")</f>
        <v>2. Modelo de relación y distribución</v>
      </c>
      <c r="U433" s="130" t="str">
        <f ca="1">IFERROR(__xludf.DUMMYFUNCTION("""COMPUTED_VALUE"""),"2.4. Herramientas de clientes")</f>
        <v>2.4. Herramientas de clientes</v>
      </c>
      <c r="V433" s="4" t="str">
        <f ca="1">IFERROR(__xludf.DUMMYFUNCTION("""COMPUTED_VALUE"""),"Tx")</f>
        <v>Tx</v>
      </c>
      <c r="W433" s="4">
        <f ca="1">IFERROR(__xludf.DUMMYFUNCTION("""COMPUTED_VALUE"""),1)</f>
        <v>1</v>
      </c>
      <c r="X433" s="4" t="str">
        <f ca="1">IFERROR(__xludf.DUMMYFUNCTION("""COMPUTED_VALUE"""),"05. Cross-sell")</f>
        <v>05. Cross-sell</v>
      </c>
      <c r="Y433" s="4" t="str">
        <f ca="1">IFERROR(__xludf.DUMMYFUNCTION("""COMPUTED_VALUE"""),"5.6.4 GloMo")</f>
        <v>5.6.4 GloMo</v>
      </c>
      <c r="Z433" s="132" t="str">
        <f ca="1">IFERROR(__xludf.DUMMYFUNCTION("""COMPUTED_VALUE"""),"597983")</f>
        <v>597983</v>
      </c>
      <c r="AA433" s="4" t="str">
        <f ca="1">IFERROR(__xludf.DUMMYFUNCTION("""COMPUTED_VALUE"""),"Implementar la opción de pago de préstamos por PSE")</f>
        <v>Implementar la opción de pago de préstamos por PSE</v>
      </c>
      <c r="AB433" s="4" t="str">
        <f ca="1">IFERROR(__xludf.DUMMYFUNCTION("""COMPUTED_VALUE"""),"Implementar la opción de pago de préstamos contra cuentas de otros bancos a través de PSE teniendo en cuentas las excepciones que lo requieran como libranzas y sistemas de amortización especiales, entre otros")</f>
        <v>Implementar la opción de pago de préstamos contra cuentas de otros bancos a través de PSE teniendo en cuentas las excepciones que lo requieran como libranzas y sistemas de amortización especiales, entre otros</v>
      </c>
      <c r="AC433" s="4" t="str">
        <f ca="1">IFERROR(__xludf.DUMMYFUNCTION("""COMPUTED_VALUE"""),"3Q 2023")</f>
        <v>3Q 2023</v>
      </c>
      <c r="AD433" s="4"/>
      <c r="AE433" s="4"/>
      <c r="AF433" s="4"/>
      <c r="AG433" s="4"/>
      <c r="AH433" s="4"/>
      <c r="AI433" s="4"/>
      <c r="AJ433" s="4"/>
      <c r="AK433" s="131" t="str">
        <f ca="1">IFERROR(__xludf.DUMMYFUNCTION("""COMPUTED_VALUE"""),"CCSS-17849")</f>
        <v>CCSS-17849</v>
      </c>
      <c r="AL433" s="4" t="str">
        <f ca="1">IFERROR(__xludf.DUMMYFUNCTION("""COMPUTED_VALUE"""),"New")</f>
        <v>New</v>
      </c>
      <c r="AM433" s="4"/>
      <c r="AN433" s="4" t="str">
        <f ca="1">IFERROR(__xludf.DUMMYFUNCTION("""COMPUTED_VALUE"""),"Entregable en Conceptualización")</f>
        <v>Entregable en Conceptualización</v>
      </c>
      <c r="AO433" s="4" t="str">
        <f ca="1">IFERROR(__xludf.DUMMYFUNCTION("""COMPUTED_VALUE"""),"Transversales")</f>
        <v>Transversales</v>
      </c>
      <c r="AP433" s="4"/>
      <c r="AQ433" s="4"/>
      <c r="AR433" s="4" t="str">
        <f ca="1">IFERROR(__xludf.DUMMYFUNCTION("""COMPUTED_VALUE"""),"SDA aprobada en PPP Q1 2023")</f>
        <v>SDA aprobada en PPP Q1 2023</v>
      </c>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133">
        <f ca="1">IFERROR(__xludf.DUMMYFUNCTION("""COMPUTED_VALUE"""),0)</f>
        <v>0</v>
      </c>
      <c r="DV433" s="133">
        <f ca="1">IFERROR(__xludf.DUMMYFUNCTION("""COMPUTED_VALUE"""),0)</f>
        <v>0</v>
      </c>
      <c r="DW433" s="133">
        <f ca="1">IFERROR(__xludf.DUMMYFUNCTION("""COMPUTED_VALUE"""),0)</f>
        <v>0</v>
      </c>
      <c r="DX433" s="133">
        <f ca="1">IFERROR(__xludf.DUMMYFUNCTION("""COMPUTED_VALUE"""),160000000)</f>
        <v>160000000</v>
      </c>
      <c r="DY433" s="133">
        <f ca="1">IFERROR(__xludf.DUMMYFUNCTION("""COMPUTED_VALUE"""),0)</f>
        <v>0</v>
      </c>
      <c r="DZ433" s="133">
        <f ca="1">IFERROR(__xludf.DUMMYFUNCTION("""COMPUTED_VALUE"""),160000000)</f>
        <v>160000000</v>
      </c>
      <c r="EA433" s="4"/>
      <c r="EB433" s="4"/>
    </row>
    <row r="434" spans="1:132" x14ac:dyDescent="0.2">
      <c r="A434" s="4">
        <f ca="1">IFERROR(__xludf.DUMMYFUNCTION("""COMPUTED_VALUE"""),434)</f>
        <v>434</v>
      </c>
      <c r="B434" s="4">
        <f ca="1">IFERROR(__xludf.DUMMYFUNCTION("""COMPUTED_VALUE"""),408)</f>
        <v>408</v>
      </c>
      <c r="C434" s="4" t="str">
        <f ca="1">IFERROR(__xludf.DUMMYFUNCTION("""COMPUTED_VALUE"""),"SDATOOL-36558")</f>
        <v>SDATOOL-36558</v>
      </c>
      <c r="D434" s="4" t="str">
        <f ca="1">IFERROR(__xludf.DUMMYFUNCTION("""COMPUTED_VALUE"""),"Transfiya:Transferencias interbancarias inmediatas - Plan Ascenso Privado")</f>
        <v>Transfiya:Transferencias interbancarias inmediatas - Plan Ascenso Privado</v>
      </c>
      <c r="E434" s="4" t="str">
        <f ca="1">IFERROR(__xludf.DUMMYFUNCTION("""COMPUTED_VALUE"""),"Buscamos enviar, solicitar y recibir dinero de Otros Bancos de manera inmediata. Así mismo, brindar una solución para los tenderos y microcomercios de Colombia ante la necesidad de pagar a los Comercios como FEMSA y otros ante los pedidos realizados. A co"&amp;"ntinuación otros puntos que hacen parte de este entregable:
- Facilitar a los Comercios el recaudo de pagos a través de canales digitales. 
- Brindar a los clientes una cuenta igual de funcional a otra entidad.
- Hacer frente a la guerra contra el efecti"&amp;"vo
- Enviar, recibir y solicitar dinero
- Faciltar el pago de dinero entre tendero/microcomercio y comercio
- Ofrecer diferentes metodos de pagos a tenderos  y microcomercios
- Open Market: Tenderos prefieran BBVA y aperturen cuentas online o dinero móvil"&amp;" para poder realizar su pago")</f>
        <v>Buscamos enviar, solicitar y recibir dinero de Otros Bancos de manera inmediata. Así mismo, brindar una solución para los tenderos y microcomercios de Colombia ante la necesidad de pagar a los Comercios como FEMSA y otros ante los pedidos realizados. A continuación otros puntos que hacen parte de este entregable:
- Facilitar a los Comercios el recaudo de pagos a través de canales digitales. 
- Brindar a los clientes una cuenta igual de funcional a otra entidad.
- Hacer frente a la guerra contra el efectivo
- Enviar, recibir y solicitar dinero
- Faciltar el pago de dinero entre tendero/microcomercio y comercio
- Ofrecer diferentes metodos de pagos a tenderos  y microcomercios
- Open Market: Tenderos prefieran BBVA y aperturen cuentas online o dinero móvil para poder realizar su pago</v>
      </c>
      <c r="F434" s="4" t="str">
        <f ca="1">IFERROR(__xludf.DUMMYFUNCTION("""COMPUTED_VALUE"""),"Project")</f>
        <v>Project</v>
      </c>
      <c r="G434" s="4" t="str">
        <f ca="1">IFERROR(__xludf.DUMMYFUNCTION("""COMPUTED_VALUE"""),"Stock")</f>
        <v>Stock</v>
      </c>
      <c r="H434" s="4" t="str">
        <f ca="1">IFERROR(__xludf.DUMMYFUNCTION("""COMPUTED_VALUE"""),"2Q 2023")</f>
        <v>2Q 2023</v>
      </c>
      <c r="I434" s="131" t="str">
        <f ca="1">IFERROR(__xludf.DUMMYFUNCTION("""COMPUTED_VALUE"""),"andrea.orrego-bbva.com")</f>
        <v>andrea.orrego-bbva.com</v>
      </c>
      <c r="J434" s="131" t="str">
        <f ca="1">IFERROR(__xludf.DUMMYFUNCTION("""COMPUTED_VALUE"""),"edilberto.morales-bbva.com")</f>
        <v>edilberto.morales-bbva.com</v>
      </c>
      <c r="K434" s="131" t="str">
        <f ca="1">IFERROR(__xludf.DUMMYFUNCTION("""COMPUTED_VALUE"""),"nathaliamaria.torres-bbva.com")</f>
        <v>nathaliamaria.torres-bbva.com</v>
      </c>
      <c r="L434" s="130">
        <f ca="1">IFERROR(__xludf.DUMMYFUNCTION("""COMPUTED_VALUE"""),1)</f>
        <v>1</v>
      </c>
      <c r="M434" s="130">
        <f ca="1">IFERROR(__xludf.DUMMYFUNCTION("""COMPUTED_VALUE"""),6)</f>
        <v>6</v>
      </c>
      <c r="N434" s="130">
        <f ca="1">IFERROR(__xludf.DUMMYFUNCTION("""COMPUTED_VALUE"""),7.02999999999999)</f>
        <v>7.0299999999999896</v>
      </c>
      <c r="O434" s="4" t="str">
        <f ca="1">IFERROR(__xludf.DUMMYFUNCTION("""COMPUTED_VALUE"""),"Scrum")</f>
        <v>Scrum</v>
      </c>
      <c r="P434" s="4" t="str">
        <f ca="1">IFERROR(__xludf.DUMMYFUNCTION("""COMPUTED_VALUE"""),"Avatar")</f>
        <v>Avatar</v>
      </c>
      <c r="Q434" s="130">
        <f ca="1">IFERROR(__xludf.DUMMYFUNCTION("""COMPUTED_VALUE"""),1)</f>
        <v>1</v>
      </c>
      <c r="R434" s="130" t="str">
        <f ca="1">IFERROR(__xludf.DUMMYFUNCTION("""COMPUTED_VALUE"""),"Payments &amp; Partnerships")</f>
        <v>Payments &amp; Partnerships</v>
      </c>
      <c r="S434" s="130" t="str">
        <f ca="1">IFERROR(__xludf.DUMMYFUNCTION("""COMPUTED_VALUE"""),"Plan Ascenso")</f>
        <v>Plan Ascenso</v>
      </c>
      <c r="T434" s="130" t="str">
        <f ca="1">IFERROR(__xludf.DUMMYFUNCTION("""COMPUTED_VALUE"""),"1. Generación de Ingresos")</f>
        <v>1. Generación de Ingresos</v>
      </c>
      <c r="U434" s="130" t="str">
        <f ca="1">IFERROR(__xludf.DUMMYFUNCTION("""COMPUTED_VALUE"""),"1.4. Proyectos de Pagos y Adquirencia")</f>
        <v>1.4. Proyectos de Pagos y Adquirencia</v>
      </c>
      <c r="V434" s="4" t="str">
        <f ca="1">IFERROR(__xludf.DUMMYFUNCTION("""COMPUTED_VALUE"""),"QR")</f>
        <v>QR</v>
      </c>
      <c r="W434" s="4">
        <f ca="1">IFERROR(__xludf.DUMMYFUNCTION("""COMPUTED_VALUE"""),1)</f>
        <v>1</v>
      </c>
      <c r="X434" s="4" t="str">
        <f ca="1">IFERROR(__xludf.DUMMYFUNCTION("""COMPUTED_VALUE"""),"02. Open Pay &amp; Mercurio")</f>
        <v>02. Open Pay &amp; Mercurio</v>
      </c>
      <c r="Y434" s="4" t="str">
        <f ca="1">IFERROR(__xludf.DUMMYFUNCTION("""COMPUTED_VALUE"""),"4.2.3 Acquiring - Mercurio")</f>
        <v>4.2.3 Acquiring - Mercurio</v>
      </c>
      <c r="Z434" s="132" t="str">
        <f ca="1">IFERROR(__xludf.DUMMYFUNCTION("""COMPUTED_VALUE"""),"262114")</f>
        <v>262114</v>
      </c>
      <c r="AA434" s="4" t="str">
        <f ca="1">IFERROR(__xludf.DUMMYFUNCTION("""COMPUTED_VALUE"""),"Transfiya proceso P2P + Net Orquidea ( Enviar, recibir y solicitar dinero )")</f>
        <v>Transfiya proceso P2P + Net Orquidea ( Enviar, recibir y solicitar dinero )</v>
      </c>
      <c r="AB434" s="4" t="str">
        <f ca="1">IFERROR(__xludf.DUMMYFUNCTION("""COMPUTED_VALUE"""),"Opción de pago P2M inmediato.")</f>
        <v>Opción de pago P2M inmediato.</v>
      </c>
      <c r="AC434" s="4" t="str">
        <f ca="1">IFERROR(__xludf.DUMMYFUNCTION("""COMPUTED_VALUE"""),"2Q 2023")</f>
        <v>2Q 2023</v>
      </c>
      <c r="AD434" s="128">
        <f ca="1">IFERROR(__xludf.DUMMYFUNCTION("""COMPUTED_VALUE"""),45078)</f>
        <v>45078</v>
      </c>
      <c r="AE434" s="128">
        <f ca="1">IFERROR(__xludf.DUMMYFUNCTION("""COMPUTED_VALUE"""),45199)</f>
        <v>45199</v>
      </c>
      <c r="AF434" s="128">
        <f ca="1">IFERROR(__xludf.DUMMYFUNCTION("""COMPUTED_VALUE"""),45200)</f>
        <v>45200</v>
      </c>
      <c r="AG434" s="128">
        <f ca="1">IFERROR(__xludf.DUMMYFUNCTION("""COMPUTED_VALUE"""),45473)</f>
        <v>45473</v>
      </c>
      <c r="AH434" s="128">
        <f ca="1">IFERROR(__xludf.DUMMYFUNCTION("""COMPUTED_VALUE"""),45474)</f>
        <v>45474</v>
      </c>
      <c r="AI434" s="128">
        <f ca="1">IFERROR(__xludf.DUMMYFUNCTION("""COMPUTED_VALUE"""),45565)</f>
        <v>45565</v>
      </c>
      <c r="AJ434" s="128">
        <f ca="1">IFERROR(__xludf.DUMMYFUNCTION("""COMPUTED_VALUE"""),45565)</f>
        <v>45565</v>
      </c>
      <c r="AK434" s="131" t="str">
        <f ca="1">IFERROR(__xludf.DUMMYFUNCTION("""COMPUTED_VALUE"""),"COLWSCANAL-15016")</f>
        <v>COLWSCANAL-15016</v>
      </c>
      <c r="AL434" s="4" t="str">
        <f ca="1">IFERROR(__xludf.DUMMYFUNCTION("""COMPUTED_VALUE"""),"New")</f>
        <v>New</v>
      </c>
      <c r="AM434" s="4" t="str">
        <f ca="1">IFERROR(__xludf.DUMMYFUNCTION("""COMPUTED_VALUE"""),"Tiempos estimados sin valoración de Ingeniería")</f>
        <v>Tiempos estimados sin valoración de Ingeniería</v>
      </c>
      <c r="AN434" s="4" t="str">
        <f ca="1">IFERROR(__xludf.DUMMYFUNCTION("""COMPUTED_VALUE"""),"Entregable en desarrollo")</f>
        <v>Entregable en desarrollo</v>
      </c>
      <c r="AO434" s="4"/>
      <c r="AP434" s="4"/>
      <c r="AQ434" s="4"/>
      <c r="AR434" s="4" t="str">
        <f ca="1">IFERROR(__xludf.DUMMYFUNCTION("""COMPUTED_VALUE"""),"SDA aprobada en PPP Q1 2023")</f>
        <v>SDA aprobada en PPP Q1 2023</v>
      </c>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133">
        <f ca="1">IFERROR(__xludf.DUMMYFUNCTION("""COMPUTED_VALUE"""),0)</f>
        <v>0</v>
      </c>
      <c r="DV434" s="133">
        <f ca="1">IFERROR(__xludf.DUMMYFUNCTION("""COMPUTED_VALUE"""),0)</f>
        <v>0</v>
      </c>
      <c r="DW434" s="133">
        <f ca="1">IFERROR(__xludf.DUMMYFUNCTION("""COMPUTED_VALUE"""),852681974)</f>
        <v>852681974</v>
      </c>
      <c r="DX434" s="133">
        <f ca="1">IFERROR(__xludf.DUMMYFUNCTION("""COMPUTED_VALUE"""),512747348)</f>
        <v>512747348</v>
      </c>
      <c r="DY434" s="133">
        <f ca="1">IFERROR(__xludf.DUMMYFUNCTION("""COMPUTED_VALUE"""),0)</f>
        <v>0</v>
      </c>
      <c r="DZ434" s="133">
        <f ca="1">IFERROR(__xludf.DUMMYFUNCTION("""COMPUTED_VALUE"""),1365429322)</f>
        <v>1365429322</v>
      </c>
      <c r="EA434" s="4"/>
      <c r="EB434" s="4"/>
    </row>
    <row r="435" spans="1:132" x14ac:dyDescent="0.2">
      <c r="A435" s="4">
        <f ca="1">IFERROR(__xludf.DUMMYFUNCTION("""COMPUTED_VALUE"""),435)</f>
        <v>435</v>
      </c>
      <c r="B435" s="4">
        <f ca="1">IFERROR(__xludf.DUMMYFUNCTION("""COMPUTED_VALUE"""),409)</f>
        <v>409</v>
      </c>
      <c r="C435" s="4" t="str">
        <f ca="1">IFERROR(__xludf.DUMMYFUNCTION("""COMPUTED_VALUE"""),"SDATOOL-42192")</f>
        <v>SDATOOL-42192</v>
      </c>
      <c r="D435" s="4" t="str">
        <f ca="1">IFERROR(__xludf.DUMMYFUNCTION("""COMPUTED_VALUE"""),"Transfiya en GloMo")</f>
        <v>Transfiya en GloMo</v>
      </c>
      <c r="E435" s="4" t="str">
        <f ca="1">IFERROR(__xludf.DUMMYFUNCTION("""COMPUTED_VALUE"""),"Enviar, solicitar y recibir dinero de Otros Bancos de manera inmediata a través de la solución ACH, Transfiya.  Usando como identificación del destino de la transferencia el número de celular.")</f>
        <v>Enviar, solicitar y recibir dinero de Otros Bancos de manera inmediata a través de la solución ACH, Transfiya.  Usando como identificación del destino de la transferencia el número de celular.</v>
      </c>
      <c r="F435" s="4" t="str">
        <f ca="1">IFERROR(__xludf.DUMMYFUNCTION("""COMPUTED_VALUE"""),"Project")</f>
        <v>Project</v>
      </c>
      <c r="G435" s="4" t="str">
        <f ca="1">IFERROR(__xludf.DUMMYFUNCTION("""COMPUTED_VALUE"""),"On hold")</f>
        <v>On hold</v>
      </c>
      <c r="H435" s="4" t="str">
        <f ca="1">IFERROR(__xludf.DUMMYFUNCTION("""COMPUTED_VALUE"""),"4Q 2023")</f>
        <v>4Q 2023</v>
      </c>
      <c r="I435" s="131" t="str">
        <f ca="1">IFERROR(__xludf.DUMMYFUNCTION("""COMPUTED_VALUE"""),"andrea.orrego-bbva.com")</f>
        <v>andrea.orrego-bbva.com</v>
      </c>
      <c r="J435" s="131" t="str">
        <f ca="1">IFERROR(__xludf.DUMMYFUNCTION("""COMPUTED_VALUE"""),"edilberto.morales-bbva.com")</f>
        <v>edilberto.morales-bbva.com</v>
      </c>
      <c r="K435" s="131" t="str">
        <f ca="1">IFERROR(__xludf.DUMMYFUNCTION("""COMPUTED_VALUE"""),"sandrajohanna.gonzalez-bbva.com")</f>
        <v>sandrajohanna.gonzalez-bbva.com</v>
      </c>
      <c r="L435" s="4"/>
      <c r="M435" s="4"/>
      <c r="N435" s="4"/>
      <c r="O435" s="4" t="str">
        <f ca="1">IFERROR(__xludf.DUMMYFUNCTION("""COMPUTED_VALUE"""),"Scrum")</f>
        <v>Scrum</v>
      </c>
      <c r="P435" s="4" t="str">
        <f ca="1">IFERROR(__xludf.DUMMYFUNCTION("""COMPUTED_VALUE"""),"Avatar")</f>
        <v>Avatar</v>
      </c>
      <c r="Q435" s="4"/>
      <c r="R435" s="130" t="str">
        <f ca="1">IFERROR(__xludf.DUMMYFUNCTION("""COMPUTED_VALUE"""),"Payments &amp; Partnerships")</f>
        <v>Payments &amp; Partnerships</v>
      </c>
      <c r="S435" s="130" t="str">
        <f ca="1">IFERROR(__xludf.DUMMYFUNCTION("""COMPUTED_VALUE"""),"Plan Ascenso")</f>
        <v>Plan Ascenso</v>
      </c>
      <c r="T435" s="130" t="str">
        <f ca="1">IFERROR(__xludf.DUMMYFUNCTION("""COMPUTED_VALUE"""),"1. Generación de Ingresos")</f>
        <v>1. Generación de Ingresos</v>
      </c>
      <c r="U435" s="130" t="str">
        <f ca="1">IFERROR(__xludf.DUMMYFUNCTION("""COMPUTED_VALUE"""),"1.4. Proyectos de Pagos y Adquirencia")</f>
        <v>1.4. Proyectos de Pagos y Adquirencia</v>
      </c>
      <c r="V435" s="4" t="str">
        <f ca="1">IFERROR(__xludf.DUMMYFUNCTION("""COMPUTED_VALUE"""),"QR")</f>
        <v>QR</v>
      </c>
      <c r="W435" s="4">
        <f ca="1">IFERROR(__xludf.DUMMYFUNCTION("""COMPUTED_VALUE"""),1)</f>
        <v>1</v>
      </c>
      <c r="X435" s="4" t="str">
        <f ca="1">IFERROR(__xludf.DUMMYFUNCTION("""COMPUTED_VALUE"""),"02. Open Pay &amp; Mercurio")</f>
        <v>02. Open Pay &amp; Mercurio</v>
      </c>
      <c r="Y435" s="4" t="str">
        <f ca="1">IFERROR(__xludf.DUMMYFUNCTION("""COMPUTED_VALUE"""),"4.2.3 Acquiring - Mercurio")</f>
        <v>4.2.3 Acquiring - Mercurio</v>
      </c>
      <c r="Z435" s="132" t="str">
        <f ca="1">IFERROR(__xludf.DUMMYFUNCTION("""COMPUTED_VALUE"""),"711346")</f>
        <v>711346</v>
      </c>
      <c r="AA435" s="4" t="str">
        <f ca="1">IFERROR(__xludf.DUMMYFUNCTION("""COMPUTED_VALUE"""),"Transfiya proceso P2P + Glomo")</f>
        <v>Transfiya proceso P2P + Glomo</v>
      </c>
      <c r="AB435" s="4" t="str">
        <f ca="1">IFERROR(__xludf.DUMMYFUNCTION("""COMPUTED_VALUE"""),"Implementar opción de enviar, recibir y solicitar dinero en App BBVA")</f>
        <v>Implementar opción de enviar, recibir y solicitar dinero en App BBVA</v>
      </c>
      <c r="AC435" s="4" t="str">
        <f ca="1">IFERROR(__xludf.DUMMYFUNCTION("""COMPUTED_VALUE"""),"4Q 2023")</f>
        <v>4Q 2023</v>
      </c>
      <c r="AD435" s="4"/>
      <c r="AE435" s="4"/>
      <c r="AF435" s="4"/>
      <c r="AG435" s="4"/>
      <c r="AH435" s="4"/>
      <c r="AI435" s="4"/>
      <c r="AJ435" s="4"/>
      <c r="AK435" s="131" t="str">
        <f ca="1">IFERROR(__xludf.DUMMYFUNCTION("""COMPUTED_VALUE"""),"COLWSCANAL-4440")</f>
        <v>COLWSCANAL-4440</v>
      </c>
      <c r="AL435" s="4" t="str">
        <f ca="1">IFERROR(__xludf.DUMMYFUNCTION("""COMPUTED_VALUE"""),"Analysing")</f>
        <v>Analysing</v>
      </c>
      <c r="AM435" s="4"/>
      <c r="AN435" s="4" t="str">
        <f ca="1">IFERROR(__xludf.DUMMYFUNCTION("""COMPUTED_VALUE"""),"Iniciativa en Discovery")</f>
        <v>Iniciativa en Discovery</v>
      </c>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133">
        <f ca="1">IFERROR(__xludf.DUMMYFUNCTION("""COMPUTED_VALUE"""),0)</f>
        <v>0</v>
      </c>
      <c r="DV435" s="133">
        <f ca="1">IFERROR(__xludf.DUMMYFUNCTION("""COMPUTED_VALUE"""),0)</f>
        <v>0</v>
      </c>
      <c r="DW435" s="133">
        <f ca="1">IFERROR(__xludf.DUMMYFUNCTION("""COMPUTED_VALUE"""),0)</f>
        <v>0</v>
      </c>
      <c r="DX435" s="133">
        <f ca="1">IFERROR(__xludf.DUMMYFUNCTION("""COMPUTED_VALUE"""),601000000)</f>
        <v>601000000</v>
      </c>
      <c r="DY435" s="133">
        <f ca="1">IFERROR(__xludf.DUMMYFUNCTION("""COMPUTED_VALUE"""),0)</f>
        <v>0</v>
      </c>
      <c r="DZ435" s="133">
        <f ca="1">IFERROR(__xludf.DUMMYFUNCTION("""COMPUTED_VALUE"""),601000000)</f>
        <v>601000000</v>
      </c>
      <c r="EA435" s="4"/>
      <c r="EB435" s="4"/>
    </row>
    <row r="436" spans="1:132" x14ac:dyDescent="0.2">
      <c r="A436" s="4">
        <f ca="1">IFERROR(__xludf.DUMMYFUNCTION("""COMPUTED_VALUE"""),436)</f>
        <v>436</v>
      </c>
      <c r="B436" s="4">
        <f ca="1">IFERROR(__xludf.DUMMYFUNCTION("""COMPUTED_VALUE"""),410)</f>
        <v>410</v>
      </c>
      <c r="C436" s="4" t="str">
        <f ca="1">IFERROR(__xludf.DUMMYFUNCTION("""COMPUTED_VALUE"""),"SDATOOL-37055")</f>
        <v>SDATOOL-37055</v>
      </c>
      <c r="D436" s="4" t="str">
        <f ca="1">IFERROR(__xludf.DUMMYFUNCTION("""COMPUTED_VALUE"""),"Cash in- PSE - Plan Ascenso Privado")</f>
        <v>Cash in- PSE - Plan Ascenso Privado</v>
      </c>
      <c r="E436"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6" s="4" t="str">
        <f ca="1">IFERROR(__xludf.DUMMYFUNCTION("""COMPUTED_VALUE"""),"Project")</f>
        <v>Project</v>
      </c>
      <c r="G436" s="4" t="str">
        <f ca="1">IFERROR(__xludf.DUMMYFUNCTION("""COMPUTED_VALUE"""),"Stock")</f>
        <v>Stock</v>
      </c>
      <c r="H436" s="4" t="str">
        <f ca="1">IFERROR(__xludf.DUMMYFUNCTION("""COMPUTED_VALUE"""),"2Q 2024")</f>
        <v>2Q 2024</v>
      </c>
      <c r="I436" s="131" t="str">
        <f ca="1">IFERROR(__xludf.DUMMYFUNCTION("""COMPUTED_VALUE"""),"andrea.orrego-bbva.com")</f>
        <v>andrea.orrego-bbva.com</v>
      </c>
      <c r="J436" s="131" t="str">
        <f ca="1">IFERROR(__xludf.DUMMYFUNCTION("""COMPUTED_VALUE"""),"leidymaritza.futinico-bbva.com")</f>
        <v>leidymaritza.futinico-bbva.com</v>
      </c>
      <c r="K436" s="131" t="str">
        <f ca="1">IFERROR(__xludf.DUMMYFUNCTION("""COMPUTED_VALUE"""),"paolaandrea.hermosa-bbva.com")</f>
        <v>paolaandrea.hermosa-bbva.com</v>
      </c>
      <c r="L436" s="130">
        <f ca="1">IFERROR(__xludf.DUMMYFUNCTION("""COMPUTED_VALUE"""),1)</f>
        <v>1</v>
      </c>
      <c r="M436" s="130">
        <f ca="1">IFERROR(__xludf.DUMMYFUNCTION("""COMPUTED_VALUE"""),1.25)</f>
        <v>1.25</v>
      </c>
      <c r="N436" s="130">
        <f ca="1">IFERROR(__xludf.DUMMYFUNCTION("""COMPUTED_VALUE"""),2.5)</f>
        <v>2.5</v>
      </c>
      <c r="O436" s="4" t="str">
        <f ca="1">IFERROR(__xludf.DUMMYFUNCTION("""COMPUTED_VALUE"""),"Scrum")</f>
        <v>Scrum</v>
      </c>
      <c r="P436" s="4" t="str">
        <f ca="1">IFERROR(__xludf.DUMMYFUNCTION("""COMPUTED_VALUE"""),"Rocket Team")</f>
        <v>Rocket Team</v>
      </c>
      <c r="Q436" s="130">
        <f ca="1">IFERROR(__xludf.DUMMYFUNCTION("""COMPUTED_VALUE"""),1)</f>
        <v>1</v>
      </c>
      <c r="R436" s="130" t="str">
        <f ca="1">IFERROR(__xludf.DUMMYFUNCTION("""COMPUTED_VALUE"""),"Retail Execution")</f>
        <v>Retail Execution</v>
      </c>
      <c r="S436" s="130" t="str">
        <f ca="1">IFERROR(__xludf.DUMMYFUNCTION("""COMPUTED_VALUE"""),"Plan Ascenso")</f>
        <v>Plan Ascenso</v>
      </c>
      <c r="T436" s="130" t="str">
        <f ca="1">IFERROR(__xludf.DUMMYFUNCTION("""COMPUTED_VALUE"""),"1. Generación de Ingresos")</f>
        <v>1. Generación de Ingresos</v>
      </c>
      <c r="U436" s="130" t="str">
        <f ca="1">IFERROR(__xludf.DUMMYFUNCTION("""COMPUTED_VALUE"""),"1.3. Pasivos PPNN y PYMEs")</f>
        <v>1.3. Pasivos PPNN y PYMEs</v>
      </c>
      <c r="V436" s="4" t="str">
        <f ca="1">IFERROR(__xludf.DUMMYFUNCTION("""COMPUTED_VALUE"""),"Pasivo")</f>
        <v>Pasivo</v>
      </c>
      <c r="W436" s="4">
        <f ca="1">IFERROR(__xludf.DUMMYFUNCTION("""COMPUTED_VALUE"""),1)</f>
        <v>1</v>
      </c>
      <c r="X436" s="4" t="str">
        <f ca="1">IFERROR(__xludf.DUMMYFUNCTION("""COMPUTED_VALUE"""),"01. Open Market &amp; Partnerships")</f>
        <v>01. Open Market &amp; Partnerships</v>
      </c>
      <c r="Y436" s="4" t="str">
        <f ca="1">IFERROR(__xludf.DUMMYFUNCTION("""COMPUTED_VALUE"""),"4.1.1. Own channels")</f>
        <v>4.1.1. Own channels</v>
      </c>
      <c r="Z436" s="132" t="str">
        <f ca="1">IFERROR(__xludf.DUMMYFUNCTION("""COMPUTED_VALUE"""),"430708")</f>
        <v>430708</v>
      </c>
      <c r="AA436" s="4" t="str">
        <f ca="1">IFERROR(__xludf.DUMMYFUNCTION("""COMPUTED_VALUE"""),"Landing_Page_pàgina_blanca: cuentas de ahorro y corriente y dinero móvil")</f>
        <v>Landing_Page_pàgina_blanca: cuentas de ahorro y corriente y dinero móvil</v>
      </c>
      <c r="AB436" s="4" t="str">
        <f ca="1">IFERROR(__xludf.DUMMYFUNCTION("""COMPUTED_VALUE"""),"Es una opción contenida en la página blanca del banco la cual permite realizar recargas de dinero a cuentas, de ahorro y corriente con recursos de otras entidades a través de PSE")</f>
        <v>Es una opción contenida en la página blanca del banco la cual permite realizar recargas de dinero a cuentas, de ahorro y corriente con recursos de otras entidades a través de PSE</v>
      </c>
      <c r="AC436" s="4" t="str">
        <f ca="1">IFERROR(__xludf.DUMMYFUNCTION("""COMPUTED_VALUE"""),"3Q 2023")</f>
        <v>3Q 2023</v>
      </c>
      <c r="AD436" s="4"/>
      <c r="AE436" s="4"/>
      <c r="AF436" s="4"/>
      <c r="AG436" s="4"/>
      <c r="AH436" s="4"/>
      <c r="AI436" s="4"/>
      <c r="AJ436" s="4"/>
      <c r="AK436" s="131" t="str">
        <f ca="1">IFERROR(__xludf.DUMMYFUNCTION("""COMPUTED_VALUE"""),"COLWSCANAL-13585")</f>
        <v>COLWSCANAL-13585</v>
      </c>
      <c r="AL436" s="4" t="str">
        <f ca="1">IFERROR(__xludf.DUMMYFUNCTION("""COMPUTED_VALUE"""),"New")</f>
        <v>New</v>
      </c>
      <c r="AM436" s="4"/>
      <c r="AN436" s="4" t="str">
        <f ca="1">IFERROR(__xludf.DUMMYFUNCTION("""COMPUTED_VALUE"""),"Entregable en desarrollo")</f>
        <v>Entregable en desarrollo</v>
      </c>
      <c r="AO436" s="4" t="str">
        <f ca="1">IFERROR(__xludf.DUMMYFUNCTION("""COMPUTED_VALUE"""),"Pasivos")</f>
        <v>Pasivos</v>
      </c>
      <c r="AP436" s="4"/>
      <c r="AQ436" s="4"/>
      <c r="AR436" s="4" t="str">
        <f ca="1">IFERROR(__xludf.DUMMYFUNCTION("""COMPUTED_VALUE"""),"SDA aprobada en PPP Q1 2023")</f>
        <v>SDA aprobada en PPP Q1 2023</v>
      </c>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133">
        <f ca="1">IFERROR(__xludf.DUMMYFUNCTION("""COMPUTED_VALUE"""),0)</f>
        <v>0</v>
      </c>
      <c r="DV436" s="133">
        <f ca="1">IFERROR(__xludf.DUMMYFUNCTION("""COMPUTED_VALUE"""),0)</f>
        <v>0</v>
      </c>
      <c r="DW436" s="133">
        <f ca="1">IFERROR(__xludf.DUMMYFUNCTION("""COMPUTED_VALUE"""),29741033)</f>
        <v>29741033</v>
      </c>
      <c r="DX436" s="133">
        <f ca="1">IFERROR(__xludf.DUMMYFUNCTION("""COMPUTED_VALUE"""),1126006940)</f>
        <v>1126006940</v>
      </c>
      <c r="DY436" s="133">
        <f ca="1">IFERROR(__xludf.DUMMYFUNCTION("""COMPUTED_VALUE"""),0)</f>
        <v>0</v>
      </c>
      <c r="DZ436" s="133">
        <f ca="1">IFERROR(__xludf.DUMMYFUNCTION("""COMPUTED_VALUE"""),1155747973)</f>
        <v>1155747973</v>
      </c>
      <c r="EA436" s="4"/>
      <c r="EB436" s="4"/>
    </row>
    <row r="437" spans="1:132" x14ac:dyDescent="0.2">
      <c r="A437" s="4">
        <f ca="1">IFERROR(__xludf.DUMMYFUNCTION("""COMPUTED_VALUE"""),437)</f>
        <v>437</v>
      </c>
      <c r="B437" s="4">
        <f ca="1">IFERROR(__xludf.DUMMYFUNCTION("""COMPUTED_VALUE"""),411)</f>
        <v>411</v>
      </c>
      <c r="C437" s="4" t="str">
        <f ca="1">IFERROR(__xludf.DUMMYFUNCTION("""COMPUTED_VALUE"""),"SDATOOL-37055")</f>
        <v>SDATOOL-37055</v>
      </c>
      <c r="D437" s="4" t="str">
        <f ca="1">IFERROR(__xludf.DUMMYFUNCTION("""COMPUTED_VALUE"""),"Cash in- PSE - Plan Ascenso Privado")</f>
        <v>Cash in- PSE - Plan Ascenso Privado</v>
      </c>
      <c r="E437"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7" s="4" t="str">
        <f ca="1">IFERROR(__xludf.DUMMYFUNCTION("""COMPUTED_VALUE"""),"Project")</f>
        <v>Project</v>
      </c>
      <c r="G437" s="4" t="str">
        <f ca="1">IFERROR(__xludf.DUMMYFUNCTION("""COMPUTED_VALUE"""),"Stock")</f>
        <v>Stock</v>
      </c>
      <c r="H437" s="4" t="str">
        <f ca="1">IFERROR(__xludf.DUMMYFUNCTION("""COMPUTED_VALUE"""),"2Q 2024")</f>
        <v>2Q 2024</v>
      </c>
      <c r="I437" s="131" t="str">
        <f ca="1">IFERROR(__xludf.DUMMYFUNCTION("""COMPUTED_VALUE"""),"andrea.orrego-bbva.com")</f>
        <v>andrea.orrego-bbva.com</v>
      </c>
      <c r="J437" s="131" t="str">
        <f ca="1">IFERROR(__xludf.DUMMYFUNCTION("""COMPUTED_VALUE"""),"leidymaritza.futinico-bbva.com")</f>
        <v>leidymaritza.futinico-bbva.com</v>
      </c>
      <c r="K437" s="131" t="str">
        <f ca="1">IFERROR(__xludf.DUMMYFUNCTION("""COMPUTED_VALUE"""),"paolaandrea.hermosa-bbva.com")</f>
        <v>paolaandrea.hermosa-bbva.com</v>
      </c>
      <c r="L437" s="4"/>
      <c r="M437" s="4"/>
      <c r="N437" s="4"/>
      <c r="O437" s="4" t="str">
        <f ca="1">IFERROR(__xludf.DUMMYFUNCTION("""COMPUTED_VALUE"""),"Scrum")</f>
        <v>Scrum</v>
      </c>
      <c r="P437" s="4" t="str">
        <f ca="1">IFERROR(__xludf.DUMMYFUNCTION("""COMPUTED_VALUE"""),"Rocket Team")</f>
        <v>Rocket Team</v>
      </c>
      <c r="Q437" s="4"/>
      <c r="R437" s="130" t="str">
        <f ca="1">IFERROR(__xludf.DUMMYFUNCTION("""COMPUTED_VALUE"""),"Retail Execution")</f>
        <v>Retail Execution</v>
      </c>
      <c r="S437" s="130" t="str">
        <f ca="1">IFERROR(__xludf.DUMMYFUNCTION("""COMPUTED_VALUE"""),"Plan Ascenso")</f>
        <v>Plan Ascenso</v>
      </c>
      <c r="T437" s="130" t="str">
        <f ca="1">IFERROR(__xludf.DUMMYFUNCTION("""COMPUTED_VALUE"""),"1. Generación de Ingresos")</f>
        <v>1. Generación de Ingresos</v>
      </c>
      <c r="U437" s="130" t="str">
        <f ca="1">IFERROR(__xludf.DUMMYFUNCTION("""COMPUTED_VALUE"""),"1.3. Pasivos PPNN y PYMEs")</f>
        <v>1.3. Pasivos PPNN y PYMEs</v>
      </c>
      <c r="V437" s="4" t="str">
        <f ca="1">IFERROR(__xludf.DUMMYFUNCTION("""COMPUTED_VALUE"""),"Pasivo")</f>
        <v>Pasivo</v>
      </c>
      <c r="W437" s="4">
        <f ca="1">IFERROR(__xludf.DUMMYFUNCTION("""COMPUTED_VALUE"""),1)</f>
        <v>1</v>
      </c>
      <c r="X437" s="4" t="str">
        <f ca="1">IFERROR(__xludf.DUMMYFUNCTION("""COMPUTED_VALUE"""),"01. Open Market &amp; Partnerships")</f>
        <v>01. Open Market &amp; Partnerships</v>
      </c>
      <c r="Y437" s="4" t="str">
        <f ca="1">IFERROR(__xludf.DUMMYFUNCTION("""COMPUTED_VALUE"""),"4.1.1. Own channels")</f>
        <v>4.1.1. Own channels</v>
      </c>
      <c r="Z437" s="132" t="str">
        <f ca="1">IFERROR(__xludf.DUMMYFUNCTION("""COMPUTED_VALUE"""),"558381")</f>
        <v>558381</v>
      </c>
      <c r="AA437" s="4" t="str">
        <f ca="1">IFERROR(__xludf.DUMMYFUNCTION("""COMPUTED_VALUE"""),"Landing Page página blanca tarjeta de crédito")</f>
        <v>Landing Page página blanca tarjeta de crédito</v>
      </c>
      <c r="AB437" s="4" t="str">
        <f ca="1">IFERROR(__xludf.DUMMYFUNCTION("""COMPUTED_VALUE"""),"Funcionalidad de recarga/pago a tarjeta de crédito BBVA desde la página blanca con cargo a cuentas de otros banco")</f>
        <v>Funcionalidad de recarga/pago a tarjeta de crédito BBVA desde la página blanca con cargo a cuentas de otros banco</v>
      </c>
      <c r="AC437" s="4" t="str">
        <f ca="1">IFERROR(__xludf.DUMMYFUNCTION("""COMPUTED_VALUE"""),"4Q 2023")</f>
        <v>4Q 2023</v>
      </c>
      <c r="AD437" s="4"/>
      <c r="AE437" s="4"/>
      <c r="AF437" s="4"/>
      <c r="AG437" s="4"/>
      <c r="AH437" s="4"/>
      <c r="AI437" s="4"/>
      <c r="AJ437" s="4"/>
      <c r="AK437" s="131" t="str">
        <f ca="1">IFERROR(__xludf.DUMMYFUNCTION("""COMPUTED_VALUE"""),"COLWSCANAL-5800")</f>
        <v>COLWSCANAL-5800</v>
      </c>
      <c r="AL437" s="4" t="str">
        <f ca="1">IFERROR(__xludf.DUMMYFUNCTION("""COMPUTED_VALUE"""),"Analysing")</f>
        <v>Analysing</v>
      </c>
      <c r="AM437" s="4"/>
      <c r="AN437" s="4" t="str">
        <f ca="1">IFERROR(__xludf.DUMMYFUNCTION("""COMPUTED_VALUE"""),"Entregable en backlog")</f>
        <v>Entregable en backlog</v>
      </c>
      <c r="AO437" s="4" t="str">
        <f ca="1">IFERROR(__xludf.DUMMYFUNCTION("""COMPUTED_VALUE"""),"Pasivos")</f>
        <v>Pasivos</v>
      </c>
      <c r="AP437" s="4"/>
      <c r="AQ437" s="4"/>
      <c r="AR437" s="4" t="str">
        <f ca="1">IFERROR(__xludf.DUMMYFUNCTION("""COMPUTED_VALUE"""),"SDA aprobada en PPP Q1 2023")</f>
        <v>SDA aprobada en PPP Q1 2023</v>
      </c>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row>
    <row r="438" spans="1:132" x14ac:dyDescent="0.2">
      <c r="A438" s="4">
        <f ca="1">IFERROR(__xludf.DUMMYFUNCTION("""COMPUTED_VALUE"""),438)</f>
        <v>438</v>
      </c>
      <c r="B438" s="4">
        <f ca="1">IFERROR(__xludf.DUMMYFUNCTION("""COMPUTED_VALUE"""),412)</f>
        <v>412</v>
      </c>
      <c r="C438" s="4" t="str">
        <f ca="1">IFERROR(__xludf.DUMMYFUNCTION("""COMPUTED_VALUE"""),"SDATOOL-37055")</f>
        <v>SDATOOL-37055</v>
      </c>
      <c r="D438" s="4" t="str">
        <f ca="1">IFERROR(__xludf.DUMMYFUNCTION("""COMPUTED_VALUE"""),"Cash in- PSE - Plan Ascenso Privado")</f>
        <v>Cash in- PSE - Plan Ascenso Privado</v>
      </c>
      <c r="E438"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8" s="4" t="str">
        <f ca="1">IFERROR(__xludf.DUMMYFUNCTION("""COMPUTED_VALUE"""),"Project")</f>
        <v>Project</v>
      </c>
      <c r="G438" s="4" t="str">
        <f ca="1">IFERROR(__xludf.DUMMYFUNCTION("""COMPUTED_VALUE"""),"Stock")</f>
        <v>Stock</v>
      </c>
      <c r="H438" s="4" t="str">
        <f ca="1">IFERROR(__xludf.DUMMYFUNCTION("""COMPUTED_VALUE"""),"2Q 2024")</f>
        <v>2Q 2024</v>
      </c>
      <c r="I438" s="131" t="str">
        <f ca="1">IFERROR(__xludf.DUMMYFUNCTION("""COMPUTED_VALUE"""),"andrea.orrego-bbva.com")</f>
        <v>andrea.orrego-bbva.com</v>
      </c>
      <c r="J438" s="131" t="str">
        <f ca="1">IFERROR(__xludf.DUMMYFUNCTION("""COMPUTED_VALUE"""),"leidymaritza.futinico-bbva.com")</f>
        <v>leidymaritza.futinico-bbva.com</v>
      </c>
      <c r="K438" s="131" t="str">
        <f ca="1">IFERROR(__xludf.DUMMYFUNCTION("""COMPUTED_VALUE"""),"paolaandrea.hermosa-bbva.com")</f>
        <v>paolaandrea.hermosa-bbva.com</v>
      </c>
      <c r="L438" s="4"/>
      <c r="M438" s="4"/>
      <c r="N438" s="4"/>
      <c r="O438" s="4" t="str">
        <f ca="1">IFERROR(__xludf.DUMMYFUNCTION("""COMPUTED_VALUE"""),"Scrum")</f>
        <v>Scrum</v>
      </c>
      <c r="P438" s="4" t="str">
        <f ca="1">IFERROR(__xludf.DUMMYFUNCTION("""COMPUTED_VALUE"""),"Rocket Team")</f>
        <v>Rocket Team</v>
      </c>
      <c r="Q438" s="4"/>
      <c r="R438" s="130" t="str">
        <f ca="1">IFERROR(__xludf.DUMMYFUNCTION("""COMPUTED_VALUE"""),"Retail Execution")</f>
        <v>Retail Execution</v>
      </c>
      <c r="S438" s="130" t="str">
        <f ca="1">IFERROR(__xludf.DUMMYFUNCTION("""COMPUTED_VALUE"""),"Plan Ascenso")</f>
        <v>Plan Ascenso</v>
      </c>
      <c r="T438" s="130" t="str">
        <f ca="1">IFERROR(__xludf.DUMMYFUNCTION("""COMPUTED_VALUE"""),"1. Generación de Ingresos")</f>
        <v>1. Generación de Ingresos</v>
      </c>
      <c r="U438" s="130" t="str">
        <f ca="1">IFERROR(__xludf.DUMMYFUNCTION("""COMPUTED_VALUE"""),"1.3. Pasivos PPNN y PYMEs")</f>
        <v>1.3. Pasivos PPNN y PYMEs</v>
      </c>
      <c r="V438" s="4" t="str">
        <f ca="1">IFERROR(__xludf.DUMMYFUNCTION("""COMPUTED_VALUE"""),"Pasivo")</f>
        <v>Pasivo</v>
      </c>
      <c r="W438" s="4">
        <f ca="1">IFERROR(__xludf.DUMMYFUNCTION("""COMPUTED_VALUE"""),1)</f>
        <v>1</v>
      </c>
      <c r="X438" s="4" t="str">
        <f ca="1">IFERROR(__xludf.DUMMYFUNCTION("""COMPUTED_VALUE"""),"01. Open Market &amp; Partnerships")</f>
        <v>01. Open Market &amp; Partnerships</v>
      </c>
      <c r="Y438" s="4" t="str">
        <f ca="1">IFERROR(__xludf.DUMMYFUNCTION("""COMPUTED_VALUE"""),"4.1.1. Own channels")</f>
        <v>4.1.1. Own channels</v>
      </c>
      <c r="Z438" s="132" t="str">
        <f ca="1">IFERROR(__xludf.DUMMYFUNCTION("""COMPUTED_VALUE"""),"492156")</f>
        <v>492156</v>
      </c>
      <c r="AA438" s="4" t="str">
        <f ca="1">IFERROR(__xludf.DUMMYFUNCTION("""COMPUTED_VALUE"""),"Solicitar, enviar y recargar dinero en GLOMO")</f>
        <v>Solicitar, enviar y recargar dinero en GLOMO</v>
      </c>
      <c r="AB438" s="4" t="str">
        <f ca="1">IFERROR(__xludf.DUMMYFUNCTION("""COMPUTED_VALUE"""),"Es una opción contenida en la móvil del banco la cual permite realizar solicitud, envió y recargas de dinero a cuentas, Tarjetas de crédito, y dinero móvil del BBVA, con recursos de otras entidades a través de PSE")</f>
        <v>Es una opción contenida en la móvil del banco la cual permite realizar solicitud, envió y recargas de dinero a cuentas, Tarjetas de crédito, y dinero móvil del BBVA, con recursos de otras entidades a través de PSE</v>
      </c>
      <c r="AC438" s="4" t="str">
        <f ca="1">IFERROR(__xludf.DUMMYFUNCTION("""COMPUTED_VALUE"""),"2Q 2024")</f>
        <v>2Q 2024</v>
      </c>
      <c r="AD438" s="4"/>
      <c r="AE438" s="4"/>
      <c r="AF438" s="4"/>
      <c r="AG438" s="4"/>
      <c r="AH438" s="4"/>
      <c r="AI438" s="4"/>
      <c r="AJ438" s="4"/>
      <c r="AK438" s="131" t="str">
        <f ca="1">IFERROR(__xludf.DUMMYFUNCTION("""COMPUTED_VALUE"""),"COLWSCANAL-2978")</f>
        <v>COLWSCANAL-2978</v>
      </c>
      <c r="AL438" s="4" t="str">
        <f ca="1">IFERROR(__xludf.DUMMYFUNCTION("""COMPUTED_VALUE"""),"New")</f>
        <v>New</v>
      </c>
      <c r="AM438" s="4"/>
      <c r="AN438" s="4" t="str">
        <f ca="1">IFERROR(__xludf.DUMMYFUNCTION("""COMPUTED_VALUE"""),"Entregable en backlog")</f>
        <v>Entregable en backlog</v>
      </c>
      <c r="AO438" s="4" t="str">
        <f ca="1">IFERROR(__xludf.DUMMYFUNCTION("""COMPUTED_VALUE"""),"Pasivos")</f>
        <v>Pasivos</v>
      </c>
      <c r="AP438" s="4"/>
      <c r="AQ438" s="4"/>
      <c r="AR438" s="4" t="str">
        <f ca="1">IFERROR(__xludf.DUMMYFUNCTION("""COMPUTED_VALUE"""),"SDA aprobada en PPP Q1 2023")</f>
        <v>SDA aprobada en PPP Q1 2023</v>
      </c>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row>
    <row r="439" spans="1:132" x14ac:dyDescent="0.2">
      <c r="A439" s="4">
        <f ca="1">IFERROR(__xludf.DUMMYFUNCTION("""COMPUTED_VALUE"""),439)</f>
        <v>439</v>
      </c>
      <c r="B439" s="4">
        <f ca="1">IFERROR(__xludf.DUMMYFUNCTION("""COMPUTED_VALUE"""),413)</f>
        <v>413</v>
      </c>
      <c r="C439" s="4" t="str">
        <f ca="1">IFERROR(__xludf.DUMMYFUNCTION("""COMPUTED_VALUE"""),"SDATOOL-32991")</f>
        <v>SDATOOL-32991</v>
      </c>
      <c r="D439" s="4" t="str">
        <f ca="1">IFERROR(__xludf.DUMMYFUNCTION("""COMPUTED_VALUE"""),"Comisión de Acceso a ATM's")</f>
        <v>Comisión de Acceso a ATM's</v>
      </c>
      <c r="E439" s="4" t="str">
        <f ca="1">IFERROR(__xludf.DUMMYFUNCTION("""COMPUTED_VALUE"""),"Generar un nuevo mecanismo de ingresos al Banco por el cobro de comisiones cuando se utilicen tarjetas débito o crédito extranjeras en los cajeros de BBVA Colombia")</f>
        <v>Generar un nuevo mecanismo de ingresos al Banco por el cobro de comisiones cuando se utilicen tarjetas débito o crédito extranjeras en los cajeros de BBVA Colombia</v>
      </c>
      <c r="F439" s="4" t="str">
        <f ca="1">IFERROR(__xludf.DUMMYFUNCTION("""COMPUTED_VALUE"""),"Project")</f>
        <v>Project</v>
      </c>
      <c r="G439" s="4" t="str">
        <f ca="1">IFERROR(__xludf.DUMMYFUNCTION("""COMPUTED_VALUE"""),"Stock")</f>
        <v>Stock</v>
      </c>
      <c r="H439" s="4" t="str">
        <f ca="1">IFERROR(__xludf.DUMMYFUNCTION("""COMPUTED_VALUE"""),"2Q 2023")</f>
        <v>2Q 2023</v>
      </c>
      <c r="I439" s="131" t="str">
        <f ca="1">IFERROR(__xludf.DUMMYFUNCTION("""COMPUTED_VALUE"""),"andrea.orrego-bbva.com")</f>
        <v>andrea.orrego-bbva.com</v>
      </c>
      <c r="J439" s="131" t="str">
        <f ca="1">IFERROR(__xludf.DUMMYFUNCTION("""COMPUTED_VALUE"""),"vickyalexandra.mora-bbva.com")</f>
        <v>vickyalexandra.mora-bbva.com</v>
      </c>
      <c r="K439" s="131" t="str">
        <f ca="1">IFERROR(__xludf.DUMMYFUNCTION("""COMPUTED_VALUE"""),"yurimilena.moreno-bbva.com")</f>
        <v>yurimilena.moreno-bbva.com</v>
      </c>
      <c r="L439" s="130">
        <f ca="1">IFERROR(__xludf.DUMMYFUNCTION("""COMPUTED_VALUE"""),0.7)</f>
        <v>0.7</v>
      </c>
      <c r="M439" s="130">
        <f ca="1">IFERROR(__xludf.DUMMYFUNCTION("""COMPUTED_VALUE"""),0.75)</f>
        <v>0.75</v>
      </c>
      <c r="N439" s="130">
        <f ca="1">IFERROR(__xludf.DUMMYFUNCTION("""COMPUTED_VALUE"""),1.52)</f>
        <v>1.52</v>
      </c>
      <c r="O439" s="4" t="str">
        <f ca="1">IFERROR(__xludf.DUMMYFUNCTION("""COMPUTED_VALUE"""),"Scrum")</f>
        <v>Scrum</v>
      </c>
      <c r="P439" s="4" t="str">
        <f ca="1">IFERROR(__xludf.DUMMYFUNCTION("""COMPUTED_VALUE"""),"Brainiac")</f>
        <v>Brainiac</v>
      </c>
      <c r="Q439" s="130">
        <f ca="1">IFERROR(__xludf.DUMMYFUNCTION("""COMPUTED_VALUE"""),1)</f>
        <v>1</v>
      </c>
      <c r="R439" s="130" t="str">
        <f ca="1">IFERROR(__xludf.DUMMYFUNCTION("""COMPUTED_VALUE"""),"Business Innovation &amp; Strategy")</f>
        <v>Business Innovation &amp; Strategy</v>
      </c>
      <c r="S439" s="130" t="str">
        <f ca="1">IFERROR(__xludf.DUMMYFUNCTION("""COMPUTED_VALUE"""),"Strategic Review")</f>
        <v>Strategic Review</v>
      </c>
      <c r="T439" s="130" t="str">
        <f ca="1">IFERROR(__xludf.DUMMYFUNCTION("""COMPUTED_VALUE"""),"1. Generación de Ingresos")</f>
        <v>1. Generación de Ingresos</v>
      </c>
      <c r="U439" s="130" t="str">
        <f ca="1">IFERROR(__xludf.DUMMYFUNCTION("""COMPUTED_VALUE"""),"1.5. Otros de Proyectos de Ingresos")</f>
        <v>1.5. Otros de Proyectos de Ingresos</v>
      </c>
      <c r="V439" s="4" t="str">
        <f ca="1">IFERROR(__xludf.DUMMYFUNCTION("""COMPUTED_VALUE"""),"Depositarios/ATM")</f>
        <v>Depositarios/ATM</v>
      </c>
      <c r="W439" s="4">
        <f ca="1">IFERROR(__xludf.DUMMYFUNCTION("""COMPUTED_VALUE"""),2)</f>
        <v>2</v>
      </c>
      <c r="X439" s="4" t="str">
        <f ca="1">IFERROR(__xludf.DUMMYFUNCTION("""COMPUTED_VALUE"""),"10. Otros")</f>
        <v>10. Otros</v>
      </c>
      <c r="Y439" s="4" t="str">
        <f ca="1">IFERROR(__xludf.DUMMYFUNCTION("""COMPUTED_VALUE"""),"5.6.6 Non Global Project")</f>
        <v>5.6.6 Non Global Project</v>
      </c>
      <c r="Z439" s="132" t="str">
        <f ca="1">IFERROR(__xludf.DUMMYFUNCTION("""COMPUTED_VALUE"""),"77453")</f>
        <v>77453</v>
      </c>
      <c r="AA439" s="4" t="str">
        <f ca="1">IFERROR(__xludf.DUMMYFUNCTION("""COMPUTED_VALUE"""),"Cobro de comisión por uso de ATM-CREDIBANCO")</f>
        <v>Cobro de comisión por uso de ATM-CREDIBANCO</v>
      </c>
      <c r="AB439" s="4" t="str">
        <f ca="1">IFERROR(__xludf.DUMMYFUNCTION("""COMPUTED_VALUE"""),"Cobro de comisión por uso de ATM a usuarios del exterior CREDIBANDO")</f>
        <v>Cobro de comisión por uso de ATM a usuarios del exterior CREDIBANDO</v>
      </c>
      <c r="AC439" s="4" t="str">
        <f ca="1">IFERROR(__xludf.DUMMYFUNCTION("""COMPUTED_VALUE"""),"3Q 2022")</f>
        <v>3Q 2022</v>
      </c>
      <c r="AD439" s="128" t="str">
        <f ca="1">IFERROR(__xludf.DUMMYFUNCTION("""COMPUTED_VALUE"""),"-")</f>
        <v>-</v>
      </c>
      <c r="AE439" s="128" t="str">
        <f ca="1">IFERROR(__xludf.DUMMYFUNCTION("""COMPUTED_VALUE"""),"-")</f>
        <v>-</v>
      </c>
      <c r="AF439" s="128" t="str">
        <f ca="1">IFERROR(__xludf.DUMMYFUNCTION("""COMPUTED_VALUE"""),"-")</f>
        <v>-</v>
      </c>
      <c r="AG439" s="128" t="str">
        <f ca="1">IFERROR(__xludf.DUMMYFUNCTION("""COMPUTED_VALUE"""),"-")</f>
        <v>-</v>
      </c>
      <c r="AH439" s="128">
        <f ca="1">IFERROR(__xludf.DUMMYFUNCTION("""COMPUTED_VALUE"""),44477)</f>
        <v>44477</v>
      </c>
      <c r="AI439" s="128">
        <f ca="1">IFERROR(__xludf.DUMMYFUNCTION("""COMPUTED_VALUE"""),44592)</f>
        <v>44592</v>
      </c>
      <c r="AJ439" s="128">
        <f ca="1">IFERROR(__xludf.DUMMYFUNCTION("""COMPUTED_VALUE"""),44650)</f>
        <v>44650</v>
      </c>
      <c r="AK439" s="131" t="str">
        <f ca="1">IFERROR(__xludf.DUMMYFUNCTION("""COMPUTED_VALUE"""),"CCSS-5044")</f>
        <v>CCSS-5044</v>
      </c>
      <c r="AL439" s="4" t="str">
        <f ca="1">IFERROR(__xludf.DUMMYFUNCTION("""COMPUTED_VALUE"""),"Deployed")</f>
        <v>Deployed</v>
      </c>
      <c r="AM439" s="4" t="str">
        <f ca="1">IFERROR(__xludf.DUMMYFUNCTION("""COMPUTED_VALUE"""),"Impactado por smart vision de Credibanco pasa a producción 21 de junio")</f>
        <v>Impactado por smart vision de Credibanco pasa a producción 21 de junio</v>
      </c>
      <c r="AN439" s="4" t="str">
        <f ca="1">IFERROR(__xludf.DUMMYFUNCTION("""COMPUTED_VALUE"""),"Finalizado")</f>
        <v>Finalizado</v>
      </c>
      <c r="AO439" s="4" t="str">
        <f ca="1">IFERROR(__xludf.DUMMYFUNCTION("""COMPUTED_VALUE"""),"Transversales")</f>
        <v>Transversales</v>
      </c>
      <c r="AP439" s="4"/>
      <c r="AQ439" s="4"/>
      <c r="AR439" s="4" t="str">
        <f ca="1">IFERROR(__xludf.DUMMYFUNCTION("""COMPUTED_VALUE"""),"SDA aprobada en PPP Q1 2023")</f>
        <v>SDA aprobada en PPP Q1 2023</v>
      </c>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133">
        <f ca="1">IFERROR(__xludf.DUMMYFUNCTION("""COMPUTED_VALUE"""),0)</f>
        <v>0</v>
      </c>
      <c r="DV439" s="133">
        <f ca="1">IFERROR(__xludf.DUMMYFUNCTION("""COMPUTED_VALUE"""),214737504)</f>
        <v>214737504</v>
      </c>
      <c r="DW439" s="133">
        <f ca="1">IFERROR(__xludf.DUMMYFUNCTION("""COMPUTED_VALUE"""),249739261)</f>
        <v>249739261</v>
      </c>
      <c r="DX439" s="133">
        <f ca="1">IFERROR(__xludf.DUMMYFUNCTION("""COMPUTED_VALUE"""),94275961)</f>
        <v>94275961</v>
      </c>
      <c r="DY439" s="133">
        <f ca="1">IFERROR(__xludf.DUMMYFUNCTION("""COMPUTED_VALUE"""),0)</f>
        <v>0</v>
      </c>
      <c r="DZ439" s="133">
        <f ca="1">IFERROR(__xludf.DUMMYFUNCTION("""COMPUTED_VALUE"""),558752726)</f>
        <v>558752726</v>
      </c>
      <c r="EA439" s="4"/>
      <c r="EB439" s="4"/>
    </row>
    <row r="440" spans="1:132" x14ac:dyDescent="0.2">
      <c r="A440" s="4">
        <f ca="1">IFERROR(__xludf.DUMMYFUNCTION("""COMPUTED_VALUE"""),440)</f>
        <v>440</v>
      </c>
      <c r="B440" s="4">
        <f ca="1">IFERROR(__xludf.DUMMYFUNCTION("""COMPUTED_VALUE"""),414)</f>
        <v>414</v>
      </c>
      <c r="C440" s="4" t="str">
        <f ca="1">IFERROR(__xludf.DUMMYFUNCTION("""COMPUTED_VALUE"""),"SDATOOL-32991")</f>
        <v>SDATOOL-32991</v>
      </c>
      <c r="D440" s="4" t="str">
        <f ca="1">IFERROR(__xludf.DUMMYFUNCTION("""COMPUTED_VALUE"""),"Comisión de Acceso a ATM's")</f>
        <v>Comisión de Acceso a ATM's</v>
      </c>
      <c r="E440" s="4" t="str">
        <f ca="1">IFERROR(__xludf.DUMMYFUNCTION("""COMPUTED_VALUE"""),"Generar un nuevo mecanismo de ingresos al Banco por el cobro de comisiones cuando se utilicen tarjetas débito o crédito extranjeras en los cajeros de BBVA Colombia")</f>
        <v>Generar un nuevo mecanismo de ingresos al Banco por el cobro de comisiones cuando se utilicen tarjetas débito o crédito extranjeras en los cajeros de BBVA Colombia</v>
      </c>
      <c r="F440" s="4" t="str">
        <f ca="1">IFERROR(__xludf.DUMMYFUNCTION("""COMPUTED_VALUE"""),"Project")</f>
        <v>Project</v>
      </c>
      <c r="G440" s="4" t="str">
        <f ca="1">IFERROR(__xludf.DUMMYFUNCTION("""COMPUTED_VALUE"""),"Stock")</f>
        <v>Stock</v>
      </c>
      <c r="H440" s="4" t="str">
        <f ca="1">IFERROR(__xludf.DUMMYFUNCTION("""COMPUTED_VALUE"""),"2Q 2023")</f>
        <v>2Q 2023</v>
      </c>
      <c r="I440" s="131" t="str">
        <f ca="1">IFERROR(__xludf.DUMMYFUNCTION("""COMPUTED_VALUE"""),"andrea.orrego-bbva.com")</f>
        <v>andrea.orrego-bbva.com</v>
      </c>
      <c r="J440" s="131" t="str">
        <f ca="1">IFERROR(__xludf.DUMMYFUNCTION("""COMPUTED_VALUE"""),"vickyalexandra.mora-bbva.com")</f>
        <v>vickyalexandra.mora-bbva.com</v>
      </c>
      <c r="K440" s="131" t="str">
        <f ca="1">IFERROR(__xludf.DUMMYFUNCTION("""COMPUTED_VALUE"""),"yurimilena.moreno-bbva.com")</f>
        <v>yurimilena.moreno-bbva.com</v>
      </c>
      <c r="L440" s="4"/>
      <c r="M440" s="4"/>
      <c r="N440" s="4"/>
      <c r="O440" s="4" t="str">
        <f ca="1">IFERROR(__xludf.DUMMYFUNCTION("""COMPUTED_VALUE"""),"Scrum")</f>
        <v>Scrum</v>
      </c>
      <c r="P440" s="4" t="str">
        <f ca="1">IFERROR(__xludf.DUMMYFUNCTION("""COMPUTED_VALUE"""),"Brainiac")</f>
        <v>Brainiac</v>
      </c>
      <c r="Q440" s="4"/>
      <c r="R440" s="130" t="str">
        <f ca="1">IFERROR(__xludf.DUMMYFUNCTION("""COMPUTED_VALUE"""),"Business Innovation &amp; Strategy")</f>
        <v>Business Innovation &amp; Strategy</v>
      </c>
      <c r="S440" s="130" t="str">
        <f ca="1">IFERROR(__xludf.DUMMYFUNCTION("""COMPUTED_VALUE"""),"Strategic Review")</f>
        <v>Strategic Review</v>
      </c>
      <c r="T440" s="130" t="str">
        <f ca="1">IFERROR(__xludf.DUMMYFUNCTION("""COMPUTED_VALUE"""),"1. Generación de Ingresos")</f>
        <v>1. Generación de Ingresos</v>
      </c>
      <c r="U440" s="130" t="str">
        <f ca="1">IFERROR(__xludf.DUMMYFUNCTION("""COMPUTED_VALUE"""),"1.5. Otros de Proyectos de Ingresos")</f>
        <v>1.5. Otros de Proyectos de Ingresos</v>
      </c>
      <c r="V440" s="4" t="str">
        <f ca="1">IFERROR(__xludf.DUMMYFUNCTION("""COMPUTED_VALUE"""),"Depositarios/ATM")</f>
        <v>Depositarios/ATM</v>
      </c>
      <c r="W440" s="4">
        <f ca="1">IFERROR(__xludf.DUMMYFUNCTION("""COMPUTED_VALUE"""),2)</f>
        <v>2</v>
      </c>
      <c r="X440" s="4" t="str">
        <f ca="1">IFERROR(__xludf.DUMMYFUNCTION("""COMPUTED_VALUE"""),"10. Otros")</f>
        <v>10. Otros</v>
      </c>
      <c r="Y440" s="4" t="str">
        <f ca="1">IFERROR(__xludf.DUMMYFUNCTION("""COMPUTED_VALUE"""),"5.6.6 Non Global Project")</f>
        <v>5.6.6 Non Global Project</v>
      </c>
      <c r="Z440" s="132" t="str">
        <f ca="1">IFERROR(__xludf.DUMMYFUNCTION("""COMPUTED_VALUE"""),"173458")</f>
        <v>173458</v>
      </c>
      <c r="AA440" s="4" t="str">
        <f ca="1">IFERROR(__xludf.DUMMYFUNCTION("""COMPUTED_VALUE"""),"Cobro de comisión por uso de ATM-REDEBAN")</f>
        <v>Cobro de comisión por uso de ATM-REDEBAN</v>
      </c>
      <c r="AB440" s="4" t="str">
        <f ca="1">IFERROR(__xludf.DUMMYFUNCTION("""COMPUTED_VALUE"""),"Cobro de comisión por uso de ATM a usuarios del exterior con REDEBAN")</f>
        <v>Cobro de comisión por uso de ATM a usuarios del exterior con REDEBAN</v>
      </c>
      <c r="AC440" s="4" t="str">
        <f ca="1">IFERROR(__xludf.DUMMYFUNCTION("""COMPUTED_VALUE"""),"2Q 2023")</f>
        <v>2Q 2023</v>
      </c>
      <c r="AD440" s="128">
        <f ca="1">IFERROR(__xludf.DUMMYFUNCTION("""COMPUTED_VALUE"""),44536)</f>
        <v>44536</v>
      </c>
      <c r="AE440" s="128">
        <f ca="1">IFERROR(__xludf.DUMMYFUNCTION("""COMPUTED_VALUE"""),44561)</f>
        <v>44561</v>
      </c>
      <c r="AF440" s="128">
        <f ca="1">IFERROR(__xludf.DUMMYFUNCTION("""COMPUTED_VALUE"""),44562)</f>
        <v>44562</v>
      </c>
      <c r="AG440" s="128">
        <f ca="1">IFERROR(__xludf.DUMMYFUNCTION("""COMPUTED_VALUE"""),44620)</f>
        <v>44620</v>
      </c>
      <c r="AH440" s="128">
        <f ca="1">IFERROR(__xludf.DUMMYFUNCTION("""COMPUTED_VALUE"""),44621)</f>
        <v>44621</v>
      </c>
      <c r="AI440" s="128">
        <f ca="1">IFERROR(__xludf.DUMMYFUNCTION("""COMPUTED_VALUE"""),44681)</f>
        <v>44681</v>
      </c>
      <c r="AJ440" s="128" t="str">
        <f ca="1">IFERROR(__xludf.DUMMYFUNCTION("""COMPUTED_VALUE"""),"TBD")</f>
        <v>TBD</v>
      </c>
      <c r="AK440" s="131" t="str">
        <f ca="1">IFERROR(__xludf.DUMMYFUNCTION("""COMPUTED_VALUE"""),"COLWSCANAL-5675")</f>
        <v>COLWSCANAL-5675</v>
      </c>
      <c r="AL440" s="4" t="str">
        <f ca="1">IFERROR(__xludf.DUMMYFUNCTION("""COMPUTED_VALUE"""),"Deployed")</f>
        <v>Deployed</v>
      </c>
      <c r="AM440" s="4" t="str">
        <f ca="1">IFERROR(__xludf.DUMMYFUNCTION("""COMPUTED_VALUE"""),"Suspendido por Redeban")</f>
        <v>Suspendido por Redeban</v>
      </c>
      <c r="AN440" s="4" t="str">
        <f ca="1">IFERROR(__xludf.DUMMYFUNCTION("""COMPUTED_VALUE"""),"Entregable en desarrollo")</f>
        <v>Entregable en desarrollo</v>
      </c>
      <c r="AO440" s="4" t="str">
        <f ca="1">IFERROR(__xludf.DUMMYFUNCTION("""COMPUTED_VALUE"""),"Transversales")</f>
        <v>Transversales</v>
      </c>
      <c r="AP440" s="4"/>
      <c r="AQ440" s="4"/>
      <c r="AR440" s="4" t="str">
        <f ca="1">IFERROR(__xludf.DUMMYFUNCTION("""COMPUTED_VALUE"""),"SDA aprobada en PPP Q1 2023")</f>
        <v>SDA aprobada en PPP Q1 2023</v>
      </c>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row>
    <row r="441" spans="1:132" x14ac:dyDescent="0.2">
      <c r="A441" s="4">
        <f ca="1">IFERROR(__xludf.DUMMYFUNCTION("""COMPUTED_VALUE"""),441)</f>
        <v>441</v>
      </c>
      <c r="B441" s="4">
        <f ca="1">IFERROR(__xludf.DUMMYFUNCTION("""COMPUTED_VALUE"""),415)</f>
        <v>415</v>
      </c>
      <c r="C441" s="4" t="str">
        <f ca="1">IFERROR(__xludf.DUMMYFUNCTION("""COMPUTED_VALUE"""),"SDATOOL-40515")</f>
        <v>SDATOOL-40515</v>
      </c>
      <c r="D441" s="4" t="str">
        <f ca="1">IFERROR(__xludf.DUMMYFUNCTION("""COMPUTED_VALUE"""),"Acción de auditoria de Cobro de Comisiones")</f>
        <v>Acción de auditoria de Cobro de Comisiones</v>
      </c>
      <c r="E441" s="4" t="str">
        <f ca="1">IFERROR(__xludf.DUMMYFUNCTION("""COMPUTED_VALUE"""),"Como parte del resultado de Auditoria en 2022, una de las acciones reportadas es la necesidad de corregir el cobro de comisiones en ATMs. Debido a que hoy en día no se están realizando los cobros de comisiones de algunas de las consultas de saldos no exon"&amp;"eradas.")</f>
        <v>Como parte del resultado de Auditoria en 2022, una de las acciones reportadas es la necesidad de corregir el cobro de comisiones en ATMs. Debido a que hoy en día no se están realizando los cobros de comisiones de algunas de las consultas de saldos no exoneradas.</v>
      </c>
      <c r="F441" s="4" t="str">
        <f ca="1">IFERROR(__xludf.DUMMYFUNCTION("""COMPUTED_VALUE"""),"Initiative")</f>
        <v>Initiative</v>
      </c>
      <c r="G441" s="4" t="str">
        <f ca="1">IFERROR(__xludf.DUMMYFUNCTION("""COMPUTED_VALUE"""),"Stock")</f>
        <v>Stock</v>
      </c>
      <c r="H441" s="4" t="str">
        <f ca="1">IFERROR(__xludf.DUMMYFUNCTION("""COMPUTED_VALUE"""),"4Q 2023")</f>
        <v>4Q 2023</v>
      </c>
      <c r="I441" s="131" t="str">
        <f ca="1">IFERROR(__xludf.DUMMYFUNCTION("""COMPUTED_VALUE"""),"andrea.orrego-bbva.com")</f>
        <v>andrea.orrego-bbva.com</v>
      </c>
      <c r="J441" s="131" t="str">
        <f ca="1">IFERROR(__xludf.DUMMYFUNCTION("""COMPUTED_VALUE"""),"vickyalexandra.mora-bbva.com")</f>
        <v>vickyalexandra.mora-bbva.com</v>
      </c>
      <c r="K441" s="131" t="str">
        <f ca="1">IFERROR(__xludf.DUMMYFUNCTION("""COMPUTED_VALUE"""),"yurimilena.moreno-bbva.com")</f>
        <v>yurimilena.moreno-bbva.com</v>
      </c>
      <c r="L441" s="130">
        <f ca="1">IFERROR(__xludf.DUMMYFUNCTION("""COMPUTED_VALUE"""),0.2)</f>
        <v>0.2</v>
      </c>
      <c r="M441" s="130">
        <f ca="1">IFERROR(__xludf.DUMMYFUNCTION("""COMPUTED_VALUE"""),0.25)</f>
        <v>0.25</v>
      </c>
      <c r="N441" s="130">
        <f ca="1">IFERROR(__xludf.DUMMYFUNCTION("""COMPUTED_VALUE"""),0.52)</f>
        <v>0.52</v>
      </c>
      <c r="O441" s="4" t="str">
        <f ca="1">IFERROR(__xludf.DUMMYFUNCTION("""COMPUTED_VALUE"""),"Scrum")</f>
        <v>Scrum</v>
      </c>
      <c r="P441" s="4" t="str">
        <f ca="1">IFERROR(__xludf.DUMMYFUNCTION("""COMPUTED_VALUE"""),"Brainiac")</f>
        <v>Brainiac</v>
      </c>
      <c r="Q441" s="130">
        <f ca="1">IFERROR(__xludf.DUMMYFUNCTION("""COMPUTED_VALUE"""),0)</f>
        <v>0</v>
      </c>
      <c r="R441" s="130" t="str">
        <f ca="1">IFERROR(__xludf.DUMMYFUNCTION("""COMPUTED_VALUE"""),"Business Innovation &amp; Strategy")</f>
        <v>Business Innovation &amp; Strategy</v>
      </c>
      <c r="S441" s="130" t="str">
        <f ca="1">IFERROR(__xludf.DUMMYFUNCTION("""COMPUTED_VALUE"""),"Strategic Review")</f>
        <v>Strategic Review</v>
      </c>
      <c r="T441" s="130" t="str">
        <f ca="1">IFERROR(__xludf.DUMMYFUNCTION("""COMPUTED_VALUE"""),"Normativo")</f>
        <v>Normativo</v>
      </c>
      <c r="U441" s="130" t="str">
        <f ca="1">IFERROR(__xludf.DUMMYFUNCTION("""COMPUTED_VALUE"""),"No Aplica")</f>
        <v>No Aplica</v>
      </c>
      <c r="V441" s="4" t="str">
        <f ca="1">IFERROR(__xludf.DUMMYFUNCTION("""COMPUTED_VALUE"""),"Depositarios/ATM")</f>
        <v>Depositarios/ATM</v>
      </c>
      <c r="W441" s="4">
        <f ca="1">IFERROR(__xludf.DUMMYFUNCTION("""COMPUTED_VALUE"""),3)</f>
        <v>3</v>
      </c>
      <c r="X441" s="4" t="str">
        <f ca="1">IFERROR(__xludf.DUMMYFUNCTION("""COMPUTED_VALUE"""),"10. Otros")</f>
        <v>10. Otros</v>
      </c>
      <c r="Y441" s="4" t="str">
        <f ca="1">IFERROR(__xludf.DUMMYFUNCTION("""COMPUTED_VALUE"""),"5.6.6 Non Global Project")</f>
        <v>5.6.6 Non Global Project</v>
      </c>
      <c r="Z441" s="132" t="str">
        <f ca="1">IFERROR(__xludf.DUMMYFUNCTION("""COMPUTED_VALUE"""),"560532")</f>
        <v>560532</v>
      </c>
      <c r="AA441" s="4" t="str">
        <f ca="1">IFERROR(__xludf.DUMMYFUNCTION("""COMPUTED_VALUE"""),"Implementación cobro de comisión en ATM (Avances y consultas)")</f>
        <v>Implementación cobro de comisión en ATM (Avances y consultas)</v>
      </c>
      <c r="AB441" s="4" t="str">
        <f ca="1">IFERROR(__xludf.DUMMYFUNCTION("""COMPUTED_VALUE"""),"Implementación cobro de comisión en ATM de avances con tarjeta débito y consultas de saldos con tarjeta débito.  Glosa de auditoría.")</f>
        <v>Implementación cobro de comisión en ATM de avances con tarjeta débito y consultas de saldos con tarjeta débito.  Glosa de auditoría.</v>
      </c>
      <c r="AC441" s="4" t="str">
        <f ca="1">IFERROR(__xludf.DUMMYFUNCTION("""COMPUTED_VALUE"""),"3Q 2023")</f>
        <v>3Q 2023</v>
      </c>
      <c r="AD441" s="4"/>
      <c r="AE441" s="4"/>
      <c r="AF441" s="4"/>
      <c r="AG441" s="4"/>
      <c r="AH441" s="4"/>
      <c r="AI441" s="4"/>
      <c r="AJ441" s="4"/>
      <c r="AK441" s="131" t="str">
        <f ca="1">IFERROR(__xludf.DUMMYFUNCTION("""COMPUTED_VALUE"""),"COLWSCANAL-14568")</f>
        <v>COLWSCANAL-14568</v>
      </c>
      <c r="AL441" s="4" t="str">
        <f ca="1">IFERROR(__xludf.DUMMYFUNCTION("""COMPUTED_VALUE"""),"New")</f>
        <v>New</v>
      </c>
      <c r="AM441" s="4"/>
      <c r="AN441" s="4" t="str">
        <f ca="1">IFERROR(__xludf.DUMMYFUNCTION("""COMPUTED_VALUE"""),"Entregable en desarrollo")</f>
        <v>Entregable en desarrollo</v>
      </c>
      <c r="AO441" s="4"/>
      <c r="AP441" s="4"/>
      <c r="AQ441" s="4"/>
      <c r="AR441" s="4" t="str">
        <f ca="1">IFERROR(__xludf.DUMMYFUNCTION("""COMPUTED_VALUE"""),"SDA aprobada en PPP Q1 2023")</f>
        <v>SDA aprobada en PPP Q1 2023</v>
      </c>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133">
        <f ca="1">IFERROR(__xludf.DUMMYFUNCTION("""COMPUTED_VALUE"""),0)</f>
        <v>0</v>
      </c>
      <c r="DV441" s="133">
        <f ca="1">IFERROR(__xludf.DUMMYFUNCTION("""COMPUTED_VALUE"""),0)</f>
        <v>0</v>
      </c>
      <c r="DW441" s="133">
        <f ca="1">IFERROR(__xludf.DUMMYFUNCTION("""COMPUTED_VALUE"""),0)</f>
        <v>0</v>
      </c>
      <c r="DX441" s="133">
        <f ca="1">IFERROR(__xludf.DUMMYFUNCTION("""COMPUTED_VALUE"""),70000000)</f>
        <v>70000000</v>
      </c>
      <c r="DY441" s="133">
        <f ca="1">IFERROR(__xludf.DUMMYFUNCTION("""COMPUTED_VALUE"""),0)</f>
        <v>0</v>
      </c>
      <c r="DZ441" s="133">
        <f ca="1">IFERROR(__xludf.DUMMYFUNCTION("""COMPUTED_VALUE"""),70000000)</f>
        <v>70000000</v>
      </c>
      <c r="EA441" s="4"/>
      <c r="EB441" s="4"/>
    </row>
    <row r="442" spans="1:132" x14ac:dyDescent="0.2">
      <c r="A442" s="4">
        <f ca="1">IFERROR(__xludf.DUMMYFUNCTION("""COMPUTED_VALUE"""),442)</f>
        <v>442</v>
      </c>
      <c r="B442" s="4">
        <f ca="1">IFERROR(__xludf.DUMMYFUNCTION("""COMPUTED_VALUE"""),416)</f>
        <v>416</v>
      </c>
      <c r="C442" s="4" t="str">
        <f ca="1">IFERROR(__xludf.DUMMYFUNCTION("""COMPUTED_VALUE"""),"SDATOOL-39896")</f>
        <v>SDATOOL-39896</v>
      </c>
      <c r="D442" s="4" t="str">
        <f ca="1">IFERROR(__xludf.DUMMYFUNCTION("""COMPUTED_VALUE"""),"DCC en ATM")</f>
        <v>DCC en ATM</v>
      </c>
      <c r="E442" s="4" t="str">
        <f ca="1">IFERROR(__xludf.DUMMYFUNCTION("""COMPUTED_VALUE"""),"Es la funcionalidad que le permitirá a usuarios extranjeros retirar efectivo en su propia moneda. Por ese servicio el banco cobra una comisión al usuario y además gana por el margen del tipo de cambio")</f>
        <v>Es la funcionalidad que le permitirá a usuarios extranjeros retirar efectivo en su propia moneda. Por ese servicio el banco cobra una comisión al usuario y además gana por el margen del tipo de cambio</v>
      </c>
      <c r="F442" s="4" t="str">
        <f ca="1">IFERROR(__xludf.DUMMYFUNCTION("""COMPUTED_VALUE"""),"Initiative")</f>
        <v>Initiative</v>
      </c>
      <c r="G442" s="4" t="str">
        <f ca="1">IFERROR(__xludf.DUMMYFUNCTION("""COMPUTED_VALUE"""),"On hold")</f>
        <v>On hold</v>
      </c>
      <c r="H442" s="4" t="str">
        <f ca="1">IFERROR(__xludf.DUMMYFUNCTION("""COMPUTED_VALUE"""),"4Q 2023")</f>
        <v>4Q 2023</v>
      </c>
      <c r="I442" s="131" t="str">
        <f ca="1">IFERROR(__xludf.DUMMYFUNCTION("""COMPUTED_VALUE"""),"andrea.orrego-bbva.com")</f>
        <v>andrea.orrego-bbva.com</v>
      </c>
      <c r="J442" s="131" t="str">
        <f ca="1">IFERROR(__xludf.DUMMYFUNCTION("""COMPUTED_VALUE"""),"vickyalexandra.mora-bbva.com")</f>
        <v>vickyalexandra.mora-bbva.com</v>
      </c>
      <c r="K442" s="131" t="str">
        <f ca="1">IFERROR(__xludf.DUMMYFUNCTION("""COMPUTED_VALUE"""),"yurimilena.moreno-bbva.com")</f>
        <v>yurimilena.moreno-bbva.com</v>
      </c>
      <c r="L442" s="130">
        <f ca="1">IFERROR(__xludf.DUMMYFUNCTION("""COMPUTED_VALUE"""),0.05)</f>
        <v>0.05</v>
      </c>
      <c r="M442" s="130">
        <f ca="1">IFERROR(__xludf.DUMMYFUNCTION("""COMPUTED_VALUE"""),0)</f>
        <v>0</v>
      </c>
      <c r="N442" s="130">
        <f ca="1">IFERROR(__xludf.DUMMYFUNCTION("""COMPUTED_VALUE"""),0)</f>
        <v>0</v>
      </c>
      <c r="O442" s="4" t="str">
        <f ca="1">IFERROR(__xludf.DUMMYFUNCTION("""COMPUTED_VALUE"""),"Scrum")</f>
        <v>Scrum</v>
      </c>
      <c r="P442" s="4" t="str">
        <f ca="1">IFERROR(__xludf.DUMMYFUNCTION("""COMPUTED_VALUE"""),"Brainiac")</f>
        <v>Brainiac</v>
      </c>
      <c r="Q442" s="130">
        <f ca="1">IFERROR(__xludf.DUMMYFUNCTION("""COMPUTED_VALUE"""),0)</f>
        <v>0</v>
      </c>
      <c r="R442" s="130" t="str">
        <f ca="1">IFERROR(__xludf.DUMMYFUNCTION("""COMPUTED_VALUE"""),"Business Innovation &amp; Strategy")</f>
        <v>Business Innovation &amp; Strategy</v>
      </c>
      <c r="S442" s="130" t="str">
        <f ca="1">IFERROR(__xludf.DUMMYFUNCTION("""COMPUTED_VALUE"""),"Strategic Review")</f>
        <v>Strategic Review</v>
      </c>
      <c r="T442" s="130" t="str">
        <f ca="1">IFERROR(__xludf.DUMMYFUNCTION("""COMPUTED_VALUE"""),"1. Generación de Ingresos")</f>
        <v>1. Generación de Ingresos</v>
      </c>
      <c r="U442" s="130" t="str">
        <f ca="1">IFERROR(__xludf.DUMMYFUNCTION("""COMPUTED_VALUE"""),"1.5. Otros de Proyectos de Ingresos")</f>
        <v>1.5. Otros de Proyectos de Ingresos</v>
      </c>
      <c r="V442" s="4" t="str">
        <f ca="1">IFERROR(__xludf.DUMMYFUNCTION("""COMPUTED_VALUE"""),"Depositarios/ATM")</f>
        <v>Depositarios/ATM</v>
      </c>
      <c r="W442" s="4">
        <f ca="1">IFERROR(__xludf.DUMMYFUNCTION("""COMPUTED_VALUE"""),2)</f>
        <v>2</v>
      </c>
      <c r="X442" s="4" t="str">
        <f ca="1">IFERROR(__xludf.DUMMYFUNCTION("""COMPUTED_VALUE"""),"10. Otros")</f>
        <v>10. Otros</v>
      </c>
      <c r="Y442" s="4" t="str">
        <f ca="1">IFERROR(__xludf.DUMMYFUNCTION("""COMPUTED_VALUE"""),"5.6.6 Non Global Project")</f>
        <v>5.6.6 Non Global Project</v>
      </c>
      <c r="Z442" s="132" t="str">
        <f ca="1">IFERROR(__xludf.DUMMYFUNCTION("""COMPUTED_VALUE"""),"625957")</f>
        <v>625957</v>
      </c>
      <c r="AA442" s="4" t="str">
        <f ca="1">IFERROR(__xludf.DUMMYFUNCTION("""COMPUTED_VALUE"""),"Iniciativa en Backlog, en espera de priorización")</f>
        <v>Iniciativa en Backlog, en espera de priorización</v>
      </c>
      <c r="AB442" s="4" t="str">
        <f ca="1">IFERROR(__xludf.DUMMYFUNCTION("""COMPUTED_VALUE"""),"Iniciativa en Backlog, en espera de priorización")</f>
        <v>Iniciativa en Backlog, en espera de priorización</v>
      </c>
      <c r="AC442" s="4" t="str">
        <f ca="1">IFERROR(__xludf.DUMMYFUNCTION("""COMPUTED_VALUE"""),"4Q 2023")</f>
        <v>4Q 2023</v>
      </c>
      <c r="AD442" s="4"/>
      <c r="AE442" s="4"/>
      <c r="AF442" s="4"/>
      <c r="AG442" s="4"/>
      <c r="AH442" s="4"/>
      <c r="AI442" s="4"/>
      <c r="AJ442" s="4"/>
      <c r="AK442" s="4" t="str">
        <f ca="1">IFERROR(__xludf.DUMMYFUNCTION("""COMPUTED_VALUE"""),"Sin asignar")</f>
        <v>Sin asignar</v>
      </c>
      <c r="AL442" s="4" t="str">
        <f ca="1">IFERROR(__xludf.DUMMYFUNCTION("""COMPUTED_VALUE"""),"Sin asignar")</f>
        <v>Sin asignar</v>
      </c>
      <c r="AM442" s="4" t="str">
        <f ca="1">IFERROR(__xludf.DUMMYFUNCTION("""COMPUTED_VALUE"""),"En backlog se va a hacer discovery feb 2")</f>
        <v>En backlog se va a hacer discovery feb 2</v>
      </c>
      <c r="AN442" s="4" t="str">
        <f ca="1">IFERROR(__xludf.DUMMYFUNCTION("""COMPUTED_VALUE"""),"Entregable en Conceptualización")</f>
        <v>Entregable en Conceptualización</v>
      </c>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133">
        <f ca="1">IFERROR(__xludf.DUMMYFUNCTION("""COMPUTED_VALUE"""),0)</f>
        <v>0</v>
      </c>
      <c r="DV442" s="133">
        <f ca="1">IFERROR(__xludf.DUMMYFUNCTION("""COMPUTED_VALUE"""),0)</f>
        <v>0</v>
      </c>
      <c r="DW442" s="133">
        <f ca="1">IFERROR(__xludf.DUMMYFUNCTION("""COMPUTED_VALUE"""),0)</f>
        <v>0</v>
      </c>
      <c r="DX442" s="133">
        <f ca="1">IFERROR(__xludf.DUMMYFUNCTION("""COMPUTED_VALUE"""),0)</f>
        <v>0</v>
      </c>
      <c r="DY442" s="133">
        <f ca="1">IFERROR(__xludf.DUMMYFUNCTION("""COMPUTED_VALUE"""),0)</f>
        <v>0</v>
      </c>
      <c r="DZ442" s="133">
        <f ca="1">IFERROR(__xludf.DUMMYFUNCTION("""COMPUTED_VALUE"""),0)</f>
        <v>0</v>
      </c>
      <c r="EA442" s="4"/>
      <c r="EB442" s="4"/>
    </row>
    <row r="443" spans="1:132" x14ac:dyDescent="0.2">
      <c r="A443" s="4">
        <f ca="1">IFERROR(__xludf.DUMMYFUNCTION("""COMPUTED_VALUE"""),443)</f>
        <v>443</v>
      </c>
      <c r="B443" s="4">
        <f ca="1">IFERROR(__xludf.DUMMYFUNCTION("""COMPUTED_VALUE"""),417)</f>
        <v>417</v>
      </c>
      <c r="C443" s="4" t="str">
        <f ca="1">IFERROR(__xludf.DUMMYFUNCTION("""COMPUTED_VALUE"""),"SDATOOL-40505")</f>
        <v>SDATOOL-40505</v>
      </c>
      <c r="D443" s="4" t="str">
        <f ca="1">IFERROR(__xludf.DUMMYFUNCTION("""COMPUTED_VALUE"""),"Pago de préstamos en ATM Recicladores")</f>
        <v>Pago de préstamos en ATM Recicladores</v>
      </c>
      <c r="E443" s="4" t="str">
        <f ca="1">IFERROR(__xludf.DUMMYFUNCTION("""COMPUTED_VALUE"""),"Como parte de las acciones para apalancar  la migración transaccional de las oficinas, es importante contar con la alternativa de realizar pago de productos propios mediante ATMs recicladores.")</f>
        <v>Como parte de las acciones para apalancar  la migración transaccional de las oficinas, es importante contar con la alternativa de realizar pago de productos propios mediante ATMs recicladores.</v>
      </c>
      <c r="F443" s="4" t="str">
        <f ca="1">IFERROR(__xludf.DUMMYFUNCTION("""COMPUTED_VALUE"""),"Initiative")</f>
        <v>Initiative</v>
      </c>
      <c r="G443" s="4" t="str">
        <f ca="1">IFERROR(__xludf.DUMMYFUNCTION("""COMPUTED_VALUE"""),"On hold")</f>
        <v>On hold</v>
      </c>
      <c r="H443" s="4" t="str">
        <f ca="1">IFERROR(__xludf.DUMMYFUNCTION("""COMPUTED_VALUE"""),"4Q 2023")</f>
        <v>4Q 2023</v>
      </c>
      <c r="I443" s="131" t="str">
        <f ca="1">IFERROR(__xludf.DUMMYFUNCTION("""COMPUTED_VALUE"""),"andrea.orrego-bbva.com")</f>
        <v>andrea.orrego-bbva.com</v>
      </c>
      <c r="J443" s="131" t="str">
        <f ca="1">IFERROR(__xludf.DUMMYFUNCTION("""COMPUTED_VALUE"""),"vickyalexandra.mora-bbva.com")</f>
        <v>vickyalexandra.mora-bbva.com</v>
      </c>
      <c r="K443" s="131" t="str">
        <f ca="1">IFERROR(__xludf.DUMMYFUNCTION("""COMPUTED_VALUE"""),"yurimilena.moreno-bbva.com")</f>
        <v>yurimilena.moreno-bbva.com</v>
      </c>
      <c r="L443" s="130">
        <f ca="1">IFERROR(__xludf.DUMMYFUNCTION("""COMPUTED_VALUE"""),0.05)</f>
        <v>0.05</v>
      </c>
      <c r="M443" s="130">
        <f ca="1">IFERROR(__xludf.DUMMYFUNCTION("""COMPUTED_VALUE"""),0)</f>
        <v>0</v>
      </c>
      <c r="N443" s="130">
        <f ca="1">IFERROR(__xludf.DUMMYFUNCTION("""COMPUTED_VALUE"""),0)</f>
        <v>0</v>
      </c>
      <c r="O443" s="4" t="str">
        <f ca="1">IFERROR(__xludf.DUMMYFUNCTION("""COMPUTED_VALUE"""),"Scrum")</f>
        <v>Scrum</v>
      </c>
      <c r="P443" s="4" t="str">
        <f ca="1">IFERROR(__xludf.DUMMYFUNCTION("""COMPUTED_VALUE"""),"Brainiac")</f>
        <v>Brainiac</v>
      </c>
      <c r="Q443" s="130">
        <f ca="1">IFERROR(__xludf.DUMMYFUNCTION("""COMPUTED_VALUE"""),0)</f>
        <v>0</v>
      </c>
      <c r="R443" s="130" t="str">
        <f ca="1">IFERROR(__xludf.DUMMYFUNCTION("""COMPUTED_VALUE"""),"Business Innovation &amp; Strategy")</f>
        <v>Business Innovation &amp; Strategy</v>
      </c>
      <c r="S443" s="130" t="str">
        <f ca="1">IFERROR(__xludf.DUMMYFUNCTION("""COMPUTED_VALUE"""),"Otros")</f>
        <v>Otros</v>
      </c>
      <c r="T443" s="130" t="str">
        <f ca="1">IFERROR(__xludf.DUMMYFUNCTION("""COMPUTED_VALUE"""),"1. Generación de Ingresos")</f>
        <v>1. Generación de Ingresos</v>
      </c>
      <c r="U443" s="130" t="str">
        <f ca="1">IFERROR(__xludf.DUMMYFUNCTION("""COMPUTED_VALUE"""),"1.5. Otros de Proyectos de Ingresos")</f>
        <v>1.5. Otros de Proyectos de Ingresos</v>
      </c>
      <c r="V443" s="4" t="str">
        <f ca="1">IFERROR(__xludf.DUMMYFUNCTION("""COMPUTED_VALUE"""),"Depositarios/ATM")</f>
        <v>Depositarios/ATM</v>
      </c>
      <c r="W443" s="4">
        <f ca="1">IFERROR(__xludf.DUMMYFUNCTION("""COMPUTED_VALUE"""),2)</f>
        <v>2</v>
      </c>
      <c r="X443" s="4" t="str">
        <f ca="1">IFERROR(__xludf.DUMMYFUNCTION("""COMPUTED_VALUE"""),"04. Relationship Models")</f>
        <v>04. Relationship Models</v>
      </c>
      <c r="Y443" s="4" t="str">
        <f ca="1">IFERROR(__xludf.DUMMYFUNCTION("""COMPUTED_VALUE"""),"Otros")</f>
        <v>Otros</v>
      </c>
      <c r="Z443" s="132" t="str">
        <f ca="1">IFERROR(__xludf.DUMMYFUNCTION("""COMPUTED_VALUE"""),"626027")</f>
        <v>626027</v>
      </c>
      <c r="AA443" s="4" t="str">
        <f ca="1">IFERROR(__xludf.DUMMYFUNCTION("""COMPUTED_VALUE"""),"Iniciativa en Backlog, en espera de priorización")</f>
        <v>Iniciativa en Backlog, en espera de priorización</v>
      </c>
      <c r="AB443" s="4" t="str">
        <f ca="1">IFERROR(__xludf.DUMMYFUNCTION("""COMPUTED_VALUE"""),"Iniciativa en Backlog, en espera de priorización")</f>
        <v>Iniciativa en Backlog, en espera de priorización</v>
      </c>
      <c r="AC443" s="4" t="str">
        <f ca="1">IFERROR(__xludf.DUMMYFUNCTION("""COMPUTED_VALUE"""),"4Q 2023")</f>
        <v>4Q 2023</v>
      </c>
      <c r="AD443" s="4"/>
      <c r="AE443" s="4"/>
      <c r="AF443" s="4"/>
      <c r="AG443" s="4"/>
      <c r="AH443" s="4"/>
      <c r="AI443" s="4"/>
      <c r="AJ443" s="4"/>
      <c r="AK443" s="4" t="str">
        <f ca="1">IFERROR(__xludf.DUMMYFUNCTION("""COMPUTED_VALUE"""),"Sin asignar")</f>
        <v>Sin asignar</v>
      </c>
      <c r="AL443" s="4" t="str">
        <f ca="1">IFERROR(__xludf.DUMMYFUNCTION("""COMPUTED_VALUE"""),"Sin asignar")</f>
        <v>Sin asignar</v>
      </c>
      <c r="AM443" s="4" t="str">
        <f ca="1">IFERROR(__xludf.DUMMYFUNCTION("""COMPUTED_VALUE"""),"En backlog se va a hacer discovery feb 2")</f>
        <v>En backlog se va a hacer discovery feb 2</v>
      </c>
      <c r="AN443" s="4" t="str">
        <f ca="1">IFERROR(__xludf.DUMMYFUNCTION("""COMPUTED_VALUE"""),"Entregable en Conceptualización")</f>
        <v>Entregable en Conceptualización</v>
      </c>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133">
        <f ca="1">IFERROR(__xludf.DUMMYFUNCTION("""COMPUTED_VALUE"""),0)</f>
        <v>0</v>
      </c>
      <c r="DV443" s="133">
        <f ca="1">IFERROR(__xludf.DUMMYFUNCTION("""COMPUTED_VALUE"""),0)</f>
        <v>0</v>
      </c>
      <c r="DW443" s="133">
        <f ca="1">IFERROR(__xludf.DUMMYFUNCTION("""COMPUTED_VALUE"""),0)</f>
        <v>0</v>
      </c>
      <c r="DX443" s="133">
        <f ca="1">IFERROR(__xludf.DUMMYFUNCTION("""COMPUTED_VALUE"""),214000000)</f>
        <v>214000000</v>
      </c>
      <c r="DY443" s="133">
        <f ca="1">IFERROR(__xludf.DUMMYFUNCTION("""COMPUTED_VALUE"""),1067000000)</f>
        <v>1067000000</v>
      </c>
      <c r="DZ443" s="133">
        <f ca="1">IFERROR(__xludf.DUMMYFUNCTION("""COMPUTED_VALUE"""),1281000000)</f>
        <v>1281000000</v>
      </c>
      <c r="EA443" s="4"/>
      <c r="EB443" s="4"/>
    </row>
    <row r="444" spans="1:132" x14ac:dyDescent="0.2">
      <c r="A444" s="4">
        <f ca="1">IFERROR(__xludf.DUMMYFUNCTION("""COMPUTED_VALUE"""),444)</f>
        <v>444</v>
      </c>
      <c r="B444" s="4">
        <f ca="1">IFERROR(__xludf.DUMMYFUNCTION("""COMPUTED_VALUE"""),419)</f>
        <v>419</v>
      </c>
      <c r="C444" s="4" t="str">
        <f ca="1">IFERROR(__xludf.DUMMYFUNCTION("""COMPUTED_VALUE"""),"SDATOOL-37057")</f>
        <v>SDATOOL-37057</v>
      </c>
      <c r="D444" s="4" t="str">
        <f ca="1">IFERROR(__xludf.DUMMYFUNCTION("""COMPUTED_VALUE"""),"Pagos QR - Entre cuentas Redeban - Plan Ascenso Mercurio")</f>
        <v>Pagos QR - Entre cuentas Redeban - Plan Ascenso Mercurio</v>
      </c>
      <c r="E444" s="4" t="str">
        <f ca="1">IFERROR(__xludf.DUMMYFUNCTION("""COMPUTED_VALUE"""),"Realizar transferencias a personas y comercios de manera inmediata por medio del uso de QR EMVco como canal de acceso.")</f>
        <v>Realizar transferencias a personas y comercios de manera inmediata por medio del uso de QR EMVco como canal de acceso.</v>
      </c>
      <c r="F444" s="4" t="str">
        <f ca="1">IFERROR(__xludf.DUMMYFUNCTION("""COMPUTED_VALUE"""),"Project")</f>
        <v>Project</v>
      </c>
      <c r="G444" s="4" t="str">
        <f ca="1">IFERROR(__xludf.DUMMYFUNCTION("""COMPUTED_VALUE"""),"Ended")</f>
        <v>Ended</v>
      </c>
      <c r="H444" s="4" t="str">
        <f ca="1">IFERROR(__xludf.DUMMYFUNCTION("""COMPUTED_VALUE"""),"1Q 2023")</f>
        <v>1Q 2023</v>
      </c>
      <c r="I444" s="131" t="str">
        <f ca="1">IFERROR(__xludf.DUMMYFUNCTION("""COMPUTED_VALUE"""),"andrea.orrego-bbva.com")</f>
        <v>andrea.orrego-bbva.com</v>
      </c>
      <c r="J444" s="131" t="str">
        <f ca="1">IFERROR(__xludf.DUMMYFUNCTION("""COMPUTED_VALUE"""),"ivethkatherine.malambo-bbva.com")</f>
        <v>ivethkatherine.malambo-bbva.com</v>
      </c>
      <c r="K444" s="131" t="str">
        <f ca="1">IFERROR(__xludf.DUMMYFUNCTION("""COMPUTED_VALUE"""),"nathaliamaria.torres-bbva.com")</f>
        <v>nathaliamaria.torres-bbva.com</v>
      </c>
      <c r="L444" s="130">
        <f ca="1">IFERROR(__xludf.DUMMYFUNCTION("""COMPUTED_VALUE"""),1)</f>
        <v>1</v>
      </c>
      <c r="M444" s="130">
        <f ca="1">IFERROR(__xludf.DUMMYFUNCTION("""COMPUTED_VALUE"""),3)</f>
        <v>3</v>
      </c>
      <c r="N444" s="130">
        <f ca="1">IFERROR(__xludf.DUMMYFUNCTION("""COMPUTED_VALUE"""),2.6)</f>
        <v>2.6</v>
      </c>
      <c r="O444" s="4" t="str">
        <f ca="1">IFERROR(__xludf.DUMMYFUNCTION("""COMPUTED_VALUE"""),"Scrum")</f>
        <v>Scrum</v>
      </c>
      <c r="P444" s="4" t="str">
        <f ca="1">IFERROR(__xludf.DUMMYFUNCTION("""COMPUTED_VALUE"""),"Tatakai")</f>
        <v>Tatakai</v>
      </c>
      <c r="Q444" s="130">
        <f ca="1">IFERROR(__xludf.DUMMYFUNCTION("""COMPUTED_VALUE"""),1)</f>
        <v>1</v>
      </c>
      <c r="R444" s="130" t="str">
        <f ca="1">IFERROR(__xludf.DUMMYFUNCTION("""COMPUTED_VALUE"""),"Payments &amp; Partnerships")</f>
        <v>Payments &amp; Partnerships</v>
      </c>
      <c r="S444" s="130" t="str">
        <f ca="1">IFERROR(__xludf.DUMMYFUNCTION("""COMPUTED_VALUE"""),"Plan Ascenso")</f>
        <v>Plan Ascenso</v>
      </c>
      <c r="T444" s="130" t="str">
        <f ca="1">IFERROR(__xludf.DUMMYFUNCTION("""COMPUTED_VALUE"""),"1. Generación de Ingresos")</f>
        <v>1. Generación de Ingresos</v>
      </c>
      <c r="U444" s="130" t="str">
        <f ca="1">IFERROR(__xludf.DUMMYFUNCTION("""COMPUTED_VALUE"""),"1.4. Proyectos de Pagos y Adquirencia")</f>
        <v>1.4. Proyectos de Pagos y Adquirencia</v>
      </c>
      <c r="V444" s="4" t="str">
        <f ca="1">IFERROR(__xludf.DUMMYFUNCTION("""COMPUTED_VALUE"""),"QR")</f>
        <v>QR</v>
      </c>
      <c r="W444" s="4">
        <f ca="1">IFERROR(__xludf.DUMMYFUNCTION("""COMPUTED_VALUE"""),1)</f>
        <v>1</v>
      </c>
      <c r="X444" s="4" t="str">
        <f ca="1">IFERROR(__xludf.DUMMYFUNCTION("""COMPUTED_VALUE"""),"02. Open Pay &amp; Mercurio")</f>
        <v>02. Open Pay &amp; Mercurio</v>
      </c>
      <c r="Y444" s="4" t="str">
        <f ca="1">IFERROR(__xludf.DUMMYFUNCTION("""COMPUTED_VALUE"""),"4.2.3 Acquiring - Mercurio")</f>
        <v>4.2.3 Acquiring - Mercurio</v>
      </c>
      <c r="Z444" s="132" t="str">
        <f ca="1">IFERROR(__xludf.DUMMYFUNCTION("""COMPUTED_VALUE"""),"310164")</f>
        <v>310164</v>
      </c>
      <c r="AA444" s="4" t="str">
        <f ca="1">IFERROR(__xludf.DUMMYFUNCTION("""COMPUTED_VALUE"""),"Opción de pago P2P inmediato con QR")</f>
        <v>Opción de pago P2P inmediato con QR</v>
      </c>
      <c r="AB444" s="4" t="str">
        <f ca="1">IFERROR(__xludf.DUMMYFUNCTION("""COMPUTED_VALUE"""),"implementar opción de pago QR en Glomo")</f>
        <v>implementar opción de pago QR en Glomo</v>
      </c>
      <c r="AC444" s="4" t="str">
        <f ca="1">IFERROR(__xludf.DUMMYFUNCTION("""COMPUTED_VALUE"""),"1Q 2023")</f>
        <v>1Q 2023</v>
      </c>
      <c r="AD444" s="128">
        <f ca="1">IFERROR(__xludf.DUMMYFUNCTION("""COMPUTED_VALUE"""),44896)</f>
        <v>44896</v>
      </c>
      <c r="AE444" s="128">
        <f ca="1">IFERROR(__xludf.DUMMYFUNCTION("""COMPUTED_VALUE"""),44956)</f>
        <v>44956</v>
      </c>
      <c r="AF444" s="128">
        <f ca="1">IFERROR(__xludf.DUMMYFUNCTION("""COMPUTED_VALUE"""),44958)</f>
        <v>44958</v>
      </c>
      <c r="AG444" s="128">
        <f ca="1">IFERROR(__xludf.DUMMYFUNCTION("""COMPUTED_VALUE"""),45107)</f>
        <v>45107</v>
      </c>
      <c r="AH444" s="128">
        <f ca="1">IFERROR(__xludf.DUMMYFUNCTION("""COMPUTED_VALUE"""),45108)</f>
        <v>45108</v>
      </c>
      <c r="AI444" s="128">
        <f ca="1">IFERROR(__xludf.DUMMYFUNCTION("""COMPUTED_VALUE"""),45137)</f>
        <v>45137</v>
      </c>
      <c r="AJ444" s="128">
        <f ca="1">IFERROR(__xludf.DUMMYFUNCTION("""COMPUTED_VALUE"""),45168)</f>
        <v>45168</v>
      </c>
      <c r="AK444" s="131" t="str">
        <f ca="1">IFERROR(__xludf.DUMMYFUNCTION("""COMPUTED_VALUE"""),"COLWSCANAL-1335")</f>
        <v>COLWSCANAL-1335</v>
      </c>
      <c r="AL444" s="4" t="str">
        <f ca="1">IFERROR(__xludf.DUMMYFUNCTION("""COMPUTED_VALUE"""),"New")</f>
        <v>New</v>
      </c>
      <c r="AM444" s="4" t="str">
        <f ca="1">IFERROR(__xludf.DUMMYFUNCTION("""COMPUTED_VALUE"""),"Tiempos estimados sin valoración de Ingenieria")</f>
        <v>Tiempos estimados sin valoración de Ingenieria</v>
      </c>
      <c r="AN444" s="4" t="str">
        <f ca="1">IFERROR(__xludf.DUMMYFUNCTION("""COMPUTED_VALUE"""),"Entregable en backlog")</f>
        <v>Entregable en backlog</v>
      </c>
      <c r="AO444" s="4"/>
      <c r="AP444" s="4"/>
      <c r="AQ444" s="4"/>
      <c r="AR444" s="4" t="str">
        <f ca="1">IFERROR(__xludf.DUMMYFUNCTION("""COMPUTED_VALUE"""),"SDA aprobada en PPP Q1 2023")</f>
        <v>SDA aprobada en PPP Q1 2023</v>
      </c>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133">
        <f ca="1">IFERROR(__xludf.DUMMYFUNCTION("""COMPUTED_VALUE"""),0)</f>
        <v>0</v>
      </c>
      <c r="DV444" s="133">
        <f ca="1">IFERROR(__xludf.DUMMYFUNCTION("""COMPUTED_VALUE"""),0)</f>
        <v>0</v>
      </c>
      <c r="DW444" s="133">
        <f ca="1">IFERROR(__xludf.DUMMYFUNCTION("""COMPUTED_VALUE"""),178537529)</f>
        <v>178537529</v>
      </c>
      <c r="DX444" s="133">
        <f ca="1">IFERROR(__xludf.DUMMYFUNCTION("""COMPUTED_VALUE"""),126192569)</f>
        <v>126192569</v>
      </c>
      <c r="DY444" s="133">
        <f ca="1">IFERROR(__xludf.DUMMYFUNCTION("""COMPUTED_VALUE"""),0)</f>
        <v>0</v>
      </c>
      <c r="DZ444" s="133">
        <f ca="1">IFERROR(__xludf.DUMMYFUNCTION("""COMPUTED_VALUE"""),304730098)</f>
        <v>304730098</v>
      </c>
      <c r="EA444" s="4"/>
      <c r="EB444" s="4"/>
    </row>
    <row r="445" spans="1:132" x14ac:dyDescent="0.2">
      <c r="A445" s="4">
        <f ca="1">IFERROR(__xludf.DUMMYFUNCTION("""COMPUTED_VALUE"""),445)</f>
        <v>445</v>
      </c>
      <c r="B445" s="4">
        <f ca="1">IFERROR(__xludf.DUMMYFUNCTION("""COMPUTED_VALUE"""),420)</f>
        <v>420</v>
      </c>
      <c r="C445" s="4" t="str">
        <f ca="1">IFERROR(__xludf.DUMMYFUNCTION("""COMPUTED_VALUE"""),"SDATOOL-40491")</f>
        <v>SDATOOL-40491</v>
      </c>
      <c r="D445" s="4" t="str">
        <f ca="1">IFERROR(__xludf.DUMMYFUNCTION("""COMPUTED_VALUE"""),"Incluir QR entre cuentas originador (parte receptora) y tarjetas")</f>
        <v>Incluir QR entre cuentas originador (parte receptora) y tarjetas</v>
      </c>
      <c r="E445" s="4" t="str">
        <f ca="1">IFERROR(__xludf.DUMMYFUNCTION("""COMPUTED_VALUE"""),"Incluir en el desarrollo actual de QR entre cuentas la parte receptora (originador) y pago con tarjetas.")</f>
        <v>Incluir en el desarrollo actual de QR entre cuentas la parte receptora (originador) y pago con tarjetas.</v>
      </c>
      <c r="F445" s="4" t="str">
        <f ca="1">IFERROR(__xludf.DUMMYFUNCTION("""COMPUTED_VALUE"""),"Initiative")</f>
        <v>Initiative</v>
      </c>
      <c r="G445" s="4" t="str">
        <f ca="1">IFERROR(__xludf.DUMMYFUNCTION("""COMPUTED_VALUE"""),"On hold")</f>
        <v>On hold</v>
      </c>
      <c r="H445" s="4" t="str">
        <f ca="1">IFERROR(__xludf.DUMMYFUNCTION("""COMPUTED_VALUE"""),"4Q 2023")</f>
        <v>4Q 2023</v>
      </c>
      <c r="I445" s="131" t="str">
        <f ca="1">IFERROR(__xludf.DUMMYFUNCTION("""COMPUTED_VALUE"""),"andrea.orrego-bbva.com")</f>
        <v>andrea.orrego-bbva.com</v>
      </c>
      <c r="J445" s="131" t="str">
        <f ca="1">IFERROR(__xludf.DUMMYFUNCTION("""COMPUTED_VALUE"""),"ivethkatherine.malambo-bbva.com")</f>
        <v>ivethkatherine.malambo-bbva.com</v>
      </c>
      <c r="K445" s="131" t="str">
        <f ca="1">IFERROR(__xludf.DUMMYFUNCTION("""COMPUTED_VALUE"""),"juanita.velasquez-bbva.com")</f>
        <v>juanita.velasquez-bbva.com</v>
      </c>
      <c r="L445" s="130">
        <f ca="1">IFERROR(__xludf.DUMMYFUNCTION("""COMPUTED_VALUE"""),0)</f>
        <v>0</v>
      </c>
      <c r="M445" s="130">
        <f ca="1">IFERROR(__xludf.DUMMYFUNCTION("""COMPUTED_VALUE"""),0)</f>
        <v>0</v>
      </c>
      <c r="N445" s="130">
        <f ca="1">IFERROR(__xludf.DUMMYFUNCTION("""COMPUTED_VALUE"""),0)</f>
        <v>0</v>
      </c>
      <c r="O445" s="4" t="str">
        <f ca="1">IFERROR(__xludf.DUMMYFUNCTION("""COMPUTED_VALUE"""),"Scrum")</f>
        <v>Scrum</v>
      </c>
      <c r="P445" s="4" t="str">
        <f ca="1">IFERROR(__xludf.DUMMYFUNCTION("""COMPUTED_VALUE"""),"Tatakai")</f>
        <v>Tatakai</v>
      </c>
      <c r="Q445" s="130">
        <f ca="1">IFERROR(__xludf.DUMMYFUNCTION("""COMPUTED_VALUE"""),0)</f>
        <v>0</v>
      </c>
      <c r="R445" s="130" t="str">
        <f ca="1">IFERROR(__xludf.DUMMYFUNCTION("""COMPUTED_VALUE"""),"Payments &amp; Partnerships")</f>
        <v>Payments &amp; Partnerships</v>
      </c>
      <c r="S445" s="130" t="str">
        <f ca="1">IFERROR(__xludf.DUMMYFUNCTION("""COMPUTED_VALUE"""),"Otros")</f>
        <v>Otros</v>
      </c>
      <c r="T445" s="130" t="str">
        <f ca="1">IFERROR(__xludf.DUMMYFUNCTION("""COMPUTED_VALUE"""),"1. Generación de Ingresos")</f>
        <v>1. Generación de Ingresos</v>
      </c>
      <c r="U445" s="130" t="str">
        <f ca="1">IFERROR(__xludf.DUMMYFUNCTION("""COMPUTED_VALUE"""),"1.4. Proyectos de Pagos y Adquirencia")</f>
        <v>1.4. Proyectos de Pagos y Adquirencia</v>
      </c>
      <c r="V445" s="4" t="str">
        <f ca="1">IFERROR(__xludf.DUMMYFUNCTION("""COMPUTED_VALUE"""),"QR")</f>
        <v>QR</v>
      </c>
      <c r="W445" s="4">
        <f ca="1">IFERROR(__xludf.DUMMYFUNCTION("""COMPUTED_VALUE"""),1)</f>
        <v>1</v>
      </c>
      <c r="X445" s="4" t="str">
        <f ca="1">IFERROR(__xludf.DUMMYFUNCTION("""COMPUTED_VALUE"""),"02. Open Pay &amp; Mercurio")</f>
        <v>02. Open Pay &amp; Mercurio</v>
      </c>
      <c r="Y445" s="4" t="str">
        <f ca="1">IFERROR(__xludf.DUMMYFUNCTION("""COMPUTED_VALUE"""),"4.2.3 Acquiring - Mercurio")</f>
        <v>4.2.3 Acquiring - Mercurio</v>
      </c>
      <c r="Z445" s="132" t="str">
        <f ca="1">IFERROR(__xludf.DUMMYFUNCTION("""COMPUTED_VALUE"""),"626007")</f>
        <v>626007</v>
      </c>
      <c r="AA445" s="4" t="str">
        <f ca="1">IFERROR(__xludf.DUMMYFUNCTION("""COMPUTED_VALUE"""),"Implementación opción pago QR con tarjetas de crédito y débito")</f>
        <v>Implementación opción pago QR con tarjetas de crédito y débito</v>
      </c>
      <c r="AB445" s="4" t="str">
        <f ca="1">IFERROR(__xludf.DUMMYFUNCTION("""COMPUTED_VALUE"""),"Utilizar el riel de adquirencia con el pago QR")</f>
        <v>Utilizar el riel de adquirencia con el pago QR</v>
      </c>
      <c r="AC445" s="4" t="str">
        <f ca="1">IFERROR(__xludf.DUMMYFUNCTION("""COMPUTED_VALUE"""),"4Q 2023")</f>
        <v>4Q 2023</v>
      </c>
      <c r="AD445" s="4"/>
      <c r="AE445" s="4"/>
      <c r="AF445" s="4"/>
      <c r="AG445" s="4"/>
      <c r="AH445" s="4"/>
      <c r="AI445" s="4"/>
      <c r="AJ445" s="4"/>
      <c r="AK445" s="131" t="str">
        <f ca="1">IFERROR(__xludf.DUMMYFUNCTION("""COMPUTED_VALUE"""),"COLWSMEDIO-6203")</f>
        <v>COLWSMEDIO-6203</v>
      </c>
      <c r="AL445" s="4" t="str">
        <f ca="1">IFERROR(__xludf.DUMMYFUNCTION("""COMPUTED_VALUE"""),"New")</f>
        <v>New</v>
      </c>
      <c r="AM445" s="4" t="str">
        <f ca="1">IFERROR(__xludf.DUMMYFUNCTION("""COMPUTED_VALUE"""),"En backlog en entendimiento con Redeban para pago contra tarjetas")</f>
        <v>En backlog en entendimiento con Redeban para pago contra tarjetas</v>
      </c>
      <c r="AN445" s="4" t="str">
        <f ca="1">IFERROR(__xludf.DUMMYFUNCTION("""COMPUTED_VALUE"""),"Iniciativa en Discovery")</f>
        <v>Iniciativa en Discovery</v>
      </c>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133">
        <f ca="1">IFERROR(__xludf.DUMMYFUNCTION("""COMPUTED_VALUE"""),0)</f>
        <v>0</v>
      </c>
      <c r="DV445" s="133">
        <f ca="1">IFERROR(__xludf.DUMMYFUNCTION("""COMPUTED_VALUE"""),0)</f>
        <v>0</v>
      </c>
      <c r="DW445" s="133">
        <f ca="1">IFERROR(__xludf.DUMMYFUNCTION("""COMPUTED_VALUE"""),0)</f>
        <v>0</v>
      </c>
      <c r="DX445" s="133">
        <f ca="1">IFERROR(__xludf.DUMMYFUNCTION("""COMPUTED_VALUE"""),270000000)</f>
        <v>270000000</v>
      </c>
      <c r="DY445" s="133">
        <f ca="1">IFERROR(__xludf.DUMMYFUNCTION("""COMPUTED_VALUE"""),0)</f>
        <v>0</v>
      </c>
      <c r="DZ445" s="133">
        <f ca="1">IFERROR(__xludf.DUMMYFUNCTION("""COMPUTED_VALUE"""),270000000)</f>
        <v>270000000</v>
      </c>
      <c r="EA445" s="4"/>
      <c r="EB445" s="4"/>
    </row>
    <row r="446" spans="1:132" x14ac:dyDescent="0.2">
      <c r="A446" s="4">
        <f ca="1">IFERROR(__xludf.DUMMYFUNCTION("""COMPUTED_VALUE"""),446)</f>
        <v>446</v>
      </c>
      <c r="B446" s="4">
        <f ca="1">IFERROR(__xludf.DUMMYFUNCTION("""COMPUTED_VALUE"""),421)</f>
        <v>421</v>
      </c>
      <c r="C446" s="4" t="str">
        <f ca="1">IFERROR(__xludf.DUMMYFUNCTION("""COMPUTED_VALUE"""),"SDATOOL-40850")</f>
        <v>SDATOOL-40850</v>
      </c>
      <c r="D446" s="4" t="str">
        <f ca="1">IFERROR(__xludf.DUMMYFUNCTION("""COMPUTED_VALUE"""),"SMART SUPERVISION - MOMENTO 4")</f>
        <v>SMART SUPERVISION - MOMENTO 4</v>
      </c>
      <c r="E446"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446" s="4" t="str">
        <f ca="1">IFERROR(__xludf.DUMMYFUNCTION("""COMPUTED_VALUE"""),"Project")</f>
        <v>Project</v>
      </c>
      <c r="G446" s="4" t="str">
        <f ca="1">IFERROR(__xludf.DUMMYFUNCTION("""COMPUTED_VALUE"""),"On hold")</f>
        <v>On hold</v>
      </c>
      <c r="H446" s="4" t="str">
        <f ca="1">IFERROR(__xludf.DUMMYFUNCTION("""COMPUTED_VALUE"""),"2Q 2023")</f>
        <v>2Q 2023</v>
      </c>
      <c r="I446" s="131" t="str">
        <f ca="1">IFERROR(__xludf.DUMMYFUNCTION("""COMPUTED_VALUE"""),"andrea.orrego-bbva.com")</f>
        <v>andrea.orrego-bbva.com</v>
      </c>
      <c r="J446" s="131" t="str">
        <f ca="1">IFERROR(__xludf.DUMMYFUNCTION("""COMPUTED_VALUE"""),"jorge.carvajal-bbva.com")</f>
        <v>jorge.carvajal-bbva.com</v>
      </c>
      <c r="K446" s="131" t="str">
        <f ca="1">IFERROR(__xludf.DUMMYFUNCTION("""COMPUTED_VALUE"""),"magnolia.aristizabal-bbva.com")</f>
        <v>magnolia.aristizabal-bbva.com</v>
      </c>
      <c r="L446" s="130">
        <f ca="1">IFERROR(__xludf.DUMMYFUNCTION("""COMPUTED_VALUE"""),0)</f>
        <v>0</v>
      </c>
      <c r="M446" s="130">
        <f ca="1">IFERROR(__xludf.DUMMYFUNCTION("""COMPUTED_VALUE"""),0)</f>
        <v>0</v>
      </c>
      <c r="N446" s="130">
        <f ca="1">IFERROR(__xludf.DUMMYFUNCTION("""COMPUTED_VALUE"""),0)</f>
        <v>0</v>
      </c>
      <c r="O446" s="4" t="str">
        <f ca="1">IFERROR(__xludf.DUMMYFUNCTION("""COMPUTED_VALUE"""),"Waterfall")</f>
        <v>Waterfall</v>
      </c>
      <c r="P446" s="4" t="str">
        <f ca="1">IFERROR(__xludf.DUMMYFUNCTION("""COMPUTED_VALUE"""),"Tradicional")</f>
        <v>Tradicional</v>
      </c>
      <c r="Q446" s="4"/>
      <c r="R446" s="130" t="str">
        <f ca="1">IFERROR(__xludf.DUMMYFUNCTION("""COMPUTED_VALUE"""),"Otros")</f>
        <v>Otros</v>
      </c>
      <c r="S446" s="130" t="str">
        <f ca="1">IFERROR(__xludf.DUMMYFUNCTION("""COMPUTED_VALUE"""),"Otros")</f>
        <v>Otros</v>
      </c>
      <c r="T446" s="130" t="str">
        <f ca="1">IFERROR(__xludf.DUMMYFUNCTION("""COMPUTED_VALUE"""),"Normativo")</f>
        <v>Normativo</v>
      </c>
      <c r="U446" s="130" t="str">
        <f ca="1">IFERROR(__xludf.DUMMYFUNCTION("""COMPUTED_VALUE"""),"No Aplica")</f>
        <v>No Aplica</v>
      </c>
      <c r="V446" s="4" t="str">
        <f ca="1">IFERROR(__xludf.DUMMYFUNCTION("""COMPUTED_VALUE"""),"Otros")</f>
        <v>Otros</v>
      </c>
      <c r="W446" s="4">
        <f ca="1">IFERROR(__xludf.DUMMYFUNCTION("""COMPUTED_VALUE"""),3)</f>
        <v>3</v>
      </c>
      <c r="X446" s="4" t="str">
        <f ca="1">IFERROR(__xludf.DUMMYFUNCTION("""COMPUTED_VALUE"""),"10. Otros")</f>
        <v>10. Otros</v>
      </c>
      <c r="Y446" s="4" t="str">
        <f ca="1">IFERROR(__xludf.DUMMYFUNCTION("""COMPUTED_VALUE"""),"Otros")</f>
        <v>Otros</v>
      </c>
      <c r="Z446" s="132" t="str">
        <f ca="1">IFERROR(__xludf.DUMMYFUNCTION("""COMPUTED_VALUE"""),"619345")</f>
        <v>619345</v>
      </c>
      <c r="AA446" s="4" t="str">
        <f ca="1">IFERROR(__xludf.DUMMYFUNCTION("""COMPUTED_VALUE"""),"Actualización de datos Clientes y cambio de entrega para Smartsupervision")</f>
        <v>Actualización de datos Clientes y cambio de entrega para Smartsupervision</v>
      </c>
      <c r="AB446" s="4" t="str">
        <f ca="1">IFERROR(__xludf.DUMMYFUNCTION("""COMPUTED_VALUE"""),"Actualización de datos Clientes y cambio de entrega para Smartsupervision")</f>
        <v>Actualización de datos Clientes y cambio de entrega para Smartsupervision</v>
      </c>
      <c r="AC446" s="4" t="str">
        <f ca="1">IFERROR(__xludf.DUMMYFUNCTION("""COMPUTED_VALUE"""),"4Q 2022")</f>
        <v>4Q 2022</v>
      </c>
      <c r="AD446" s="4"/>
      <c r="AE446" s="4"/>
      <c r="AF446" s="4"/>
      <c r="AG446" s="4"/>
      <c r="AH446" s="4"/>
      <c r="AI446" s="4"/>
      <c r="AJ446" s="4"/>
      <c r="AK446" s="131" t="str">
        <f ca="1">IFERROR(__xludf.DUMMYFUNCTION("""COMPUTED_VALUE"""),"COLWSCRM-840")</f>
        <v>COLWSCRM-840</v>
      </c>
      <c r="AL446" s="4" t="str">
        <f ca="1">IFERROR(__xludf.DUMMYFUNCTION("""COMPUTED_VALUE"""),"En progreso")</f>
        <v>En progreso</v>
      </c>
      <c r="AM446" s="4"/>
      <c r="AN446" s="4" t="str">
        <f ca="1">IFERROR(__xludf.DUMMYFUNCTION("""COMPUTED_VALUE"""),"Finalizado")</f>
        <v>Finalizado</v>
      </c>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133">
        <f ca="1">IFERROR(__xludf.DUMMYFUNCTION("""COMPUTED_VALUE"""),0)</f>
        <v>0</v>
      </c>
      <c r="DV446" s="133">
        <f ca="1">IFERROR(__xludf.DUMMYFUNCTION("""COMPUTED_VALUE"""),0)</f>
        <v>0</v>
      </c>
      <c r="DW446" s="133">
        <f ca="1">IFERROR(__xludf.DUMMYFUNCTION("""COMPUTED_VALUE"""),0)</f>
        <v>0</v>
      </c>
      <c r="DX446" s="133">
        <f ca="1">IFERROR(__xludf.DUMMYFUNCTION("""COMPUTED_VALUE"""),9457243)</f>
        <v>9457243</v>
      </c>
      <c r="DY446" s="133">
        <f ca="1">IFERROR(__xludf.DUMMYFUNCTION("""COMPUTED_VALUE"""),0)</f>
        <v>0</v>
      </c>
      <c r="DZ446" s="133">
        <f ca="1">IFERROR(__xludf.DUMMYFUNCTION("""COMPUTED_VALUE"""),9457243)</f>
        <v>9457243</v>
      </c>
      <c r="EA446" s="4"/>
      <c r="EB446" s="4"/>
    </row>
    <row r="447" spans="1:132" x14ac:dyDescent="0.2">
      <c r="A447" s="4">
        <f ca="1">IFERROR(__xludf.DUMMYFUNCTION("""COMPUTED_VALUE"""),447)</f>
        <v>447</v>
      </c>
      <c r="B447" s="4">
        <f ca="1">IFERROR(__xludf.DUMMYFUNCTION("""COMPUTED_VALUE"""),422)</f>
        <v>422</v>
      </c>
      <c r="C447" s="4" t="str">
        <f ca="1">IFERROR(__xludf.DUMMYFUNCTION("""COMPUTED_VALUE"""),"SDATOOL-35327")</f>
        <v>SDATOOL-35327</v>
      </c>
      <c r="D447" s="4" t="str">
        <f ca="1">IFERROR(__xludf.DUMMYFUNCTION("""COMPUTED_VALUE"""),"Impuestos 2021")</f>
        <v>Impuestos 2021</v>
      </c>
      <c r="E447"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7" s="4" t="str">
        <f ca="1">IFERROR(__xludf.DUMMYFUNCTION("""COMPUTED_VALUE"""),"Project")</f>
        <v>Project</v>
      </c>
      <c r="G447" s="4" t="str">
        <f ca="1">IFERROR(__xludf.DUMMYFUNCTION("""COMPUTED_VALUE"""),"Stock")</f>
        <v>Stock</v>
      </c>
      <c r="H447" s="4" t="str">
        <f ca="1">IFERROR(__xludf.DUMMYFUNCTION("""COMPUTED_VALUE"""),"2Q 2023")</f>
        <v>2Q 2023</v>
      </c>
      <c r="I447" s="131" t="str">
        <f ca="1">IFERROR(__xludf.DUMMYFUNCTION("""COMPUTED_VALUE"""),"alirio.bermudez-bbva.com")</f>
        <v>alirio.bermudez-bbva.com</v>
      </c>
      <c r="J447" s="131" t="str">
        <f ca="1">IFERROR(__xludf.DUMMYFUNCTION("""COMPUTED_VALUE"""),"nelson.ruiz-bbva.com")</f>
        <v>nelson.ruiz-bbva.com</v>
      </c>
      <c r="K447" s="131" t="str">
        <f ca="1">IFERROR(__xludf.DUMMYFUNCTION("""COMPUTED_VALUE"""),"elizabeth.diaz-bbva.com")</f>
        <v>elizabeth.diaz-bbva.com</v>
      </c>
      <c r="L447" s="130">
        <f ca="1">IFERROR(__xludf.DUMMYFUNCTION("""COMPUTED_VALUE"""),0.2)</f>
        <v>0.2</v>
      </c>
      <c r="M447" s="130">
        <f ca="1">IFERROR(__xludf.DUMMYFUNCTION("""COMPUTED_VALUE"""),1.25)</f>
        <v>1.25</v>
      </c>
      <c r="N447" s="130">
        <f ca="1">IFERROR(__xludf.DUMMYFUNCTION("""COMPUTED_VALUE"""),0.75)</f>
        <v>0.75</v>
      </c>
      <c r="O447" s="4" t="str">
        <f ca="1">IFERROR(__xludf.DUMMYFUNCTION("""COMPUTED_VALUE"""),"Waterfall")</f>
        <v>Waterfall</v>
      </c>
      <c r="P447" s="4" t="str">
        <f ca="1">IFERROR(__xludf.DUMMYFUNCTION("""COMPUTED_VALUE"""),"Tradicional")</f>
        <v>Tradicional</v>
      </c>
      <c r="Q447" s="4"/>
      <c r="R447" s="130" t="str">
        <f ca="1">IFERROR(__xludf.DUMMYFUNCTION("""COMPUTED_VALUE"""),"Enterprises")</f>
        <v>Enterprises</v>
      </c>
      <c r="S447" s="130" t="str">
        <f ca="1">IFERROR(__xludf.DUMMYFUNCTION("""COMPUTED_VALUE"""),"Strategic Review")</f>
        <v>Strategic Review</v>
      </c>
      <c r="T447" s="130" t="str">
        <f ca="1">IFERROR(__xludf.DUMMYFUNCTION("""COMPUTED_VALUE"""),"Otros")</f>
        <v>Otros</v>
      </c>
      <c r="U447" s="130" t="str">
        <f ca="1">IFERROR(__xludf.DUMMYFUNCTION("""COMPUTED_VALUE"""),"No Aplica")</f>
        <v>No Aplica</v>
      </c>
      <c r="V447" s="4" t="str">
        <f ca="1">IFERROR(__xludf.DUMMYFUNCTION("""COMPUTED_VALUE"""),"Impuestos")</f>
        <v>Impuestos</v>
      </c>
      <c r="W447" s="4">
        <f ca="1">IFERROR(__xludf.DUMMYFUNCTION("""COMPUTED_VALUE"""),3)</f>
        <v>3</v>
      </c>
      <c r="X447" s="4" t="str">
        <f ca="1">IFERROR(__xludf.DUMMYFUNCTION("""COMPUTED_VALUE"""),"08. Enterprise Transactionality")</f>
        <v>08. Enterprise Transactionality</v>
      </c>
      <c r="Y447" s="4" t="str">
        <f ca="1">IFERROR(__xludf.DUMMYFUNCTION("""COMPUTED_VALUE"""),"5.7.1 Keep the Bank Running")</f>
        <v>5.7.1 Keep the Bank Running</v>
      </c>
      <c r="Z447" s="132" t="str">
        <f ca="1">IFERROR(__xludf.DUMMYFUNCTION("""COMPUTED_VALUE"""),"310796")</f>
        <v>310796</v>
      </c>
      <c r="AA447" s="4" t="str">
        <f ca="1">IFERROR(__xludf.DUMMYFUNCTION("""COMPUTED_VALUE"""),"Automatización informe Recaudo Diario Fase I - Webservices DIAN")</f>
        <v>Automatización informe Recaudo Diario Fase I - Webservices DIAN</v>
      </c>
      <c r="AB447" s="4" t="str">
        <f ca="1">IFERROR(__xludf.DUMMYFUNCTION("""COMPUTED_VALUE"""),"Implementar el nuevo modelo de transmisión para la reportería de Recaudo Diario de Impuestos Nacionales a través del Servicio Webservice establecido en la Resolución de la DIAN 002")</f>
        <v>Implementar el nuevo modelo de transmisión para la reportería de Recaudo Diario de Impuestos Nacionales a través del Servicio Webservice establecido en la Resolución de la DIAN 002</v>
      </c>
      <c r="AC447" s="4" t="str">
        <f ca="1">IFERROR(__xludf.DUMMYFUNCTION("""COMPUTED_VALUE"""),"4Q 2021")</f>
        <v>4Q 2021</v>
      </c>
      <c r="AD447" s="4"/>
      <c r="AE447" s="4"/>
      <c r="AF447" s="4"/>
      <c r="AG447" s="4"/>
      <c r="AH447" s="4"/>
      <c r="AI447" s="4"/>
      <c r="AJ447" s="4"/>
      <c r="AK447" s="4" t="str">
        <f ca="1">IFERROR(__xludf.DUMMYFUNCTION("""COMPUTED_VALUE"""),"Sin asignar")</f>
        <v>Sin asignar</v>
      </c>
      <c r="AL447" s="4" t="str">
        <f ca="1">IFERROR(__xludf.DUMMYFUNCTION("""COMPUTED_VALUE"""),"Sin asignar")</f>
        <v>Sin asignar</v>
      </c>
      <c r="AM447" s="4" t="str">
        <f ca="1">IFERROR(__xludf.DUMMYFUNCTION("""COMPUTED_VALUE"""),"Productivo")</f>
        <v>Productivo</v>
      </c>
      <c r="AN447" s="4" t="str">
        <f ca="1">IFERROR(__xludf.DUMMYFUNCTION("""COMPUTED_VALUE"""),"Finalizado")</f>
        <v>Finalizado</v>
      </c>
      <c r="AO447" s="4"/>
      <c r="AP447" s="4"/>
      <c r="AQ447" s="4"/>
      <c r="AR447" s="4" t="str">
        <f ca="1">IFERROR(__xludf.DUMMYFUNCTION("""COMPUTED_VALUE"""),"SDA aprobada en PPP Q1 2023")</f>
        <v>SDA aprobada en PPP Q1 2023</v>
      </c>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133">
        <f ca="1">IFERROR(__xludf.DUMMYFUNCTION("""COMPUTED_VALUE"""),0)</f>
        <v>0</v>
      </c>
      <c r="DV447" s="133">
        <f ca="1">IFERROR(__xludf.DUMMYFUNCTION("""COMPUTED_VALUE"""),173766232)</f>
        <v>173766232</v>
      </c>
      <c r="DW447" s="133">
        <f ca="1">IFERROR(__xludf.DUMMYFUNCTION("""COMPUTED_VALUE"""),146834516)</f>
        <v>146834516</v>
      </c>
      <c r="DX447" s="133">
        <f ca="1">IFERROR(__xludf.DUMMYFUNCTION("""COMPUTED_VALUE"""),29241024)</f>
        <v>29241024</v>
      </c>
      <c r="DY447" s="133">
        <f ca="1">IFERROR(__xludf.DUMMYFUNCTION("""COMPUTED_VALUE"""),0)</f>
        <v>0</v>
      </c>
      <c r="DZ447" s="133">
        <f ca="1">IFERROR(__xludf.DUMMYFUNCTION("""COMPUTED_VALUE"""),349841772)</f>
        <v>349841772</v>
      </c>
      <c r="EA447" s="4"/>
      <c r="EB447" s="4"/>
    </row>
    <row r="448" spans="1:132" x14ac:dyDescent="0.2">
      <c r="A448" s="4">
        <f ca="1">IFERROR(__xludf.DUMMYFUNCTION("""COMPUTED_VALUE"""),448)</f>
        <v>448</v>
      </c>
      <c r="B448" s="4">
        <f ca="1">IFERROR(__xludf.DUMMYFUNCTION("""COMPUTED_VALUE"""),423)</f>
        <v>423</v>
      </c>
      <c r="C448" s="4" t="str">
        <f ca="1">IFERROR(__xludf.DUMMYFUNCTION("""COMPUTED_VALUE"""),"SDATOOL-35327")</f>
        <v>SDATOOL-35327</v>
      </c>
      <c r="D448" s="4" t="str">
        <f ca="1">IFERROR(__xludf.DUMMYFUNCTION("""COMPUTED_VALUE"""),"Impuestos 2021")</f>
        <v>Impuestos 2021</v>
      </c>
      <c r="E448"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8" s="4" t="str">
        <f ca="1">IFERROR(__xludf.DUMMYFUNCTION("""COMPUTED_VALUE"""),"Project")</f>
        <v>Project</v>
      </c>
      <c r="G448" s="4" t="str">
        <f ca="1">IFERROR(__xludf.DUMMYFUNCTION("""COMPUTED_VALUE"""),"Stock")</f>
        <v>Stock</v>
      </c>
      <c r="H448" s="4" t="str">
        <f ca="1">IFERROR(__xludf.DUMMYFUNCTION("""COMPUTED_VALUE"""),"2Q 2023")</f>
        <v>2Q 2023</v>
      </c>
      <c r="I448" s="131" t="str">
        <f ca="1">IFERROR(__xludf.DUMMYFUNCTION("""COMPUTED_VALUE"""),"alirio.bermudez-bbva.com")</f>
        <v>alirio.bermudez-bbva.com</v>
      </c>
      <c r="J448" s="131" t="str">
        <f ca="1">IFERROR(__xludf.DUMMYFUNCTION("""COMPUTED_VALUE"""),"nelson.ruiz-bbva.com")</f>
        <v>nelson.ruiz-bbva.com</v>
      </c>
      <c r="K448" s="131" t="str">
        <f ca="1">IFERROR(__xludf.DUMMYFUNCTION("""COMPUTED_VALUE"""),"elizabeth.diaz-bbva.com")</f>
        <v>elizabeth.diaz-bbva.com</v>
      </c>
      <c r="L448" s="4"/>
      <c r="M448" s="4"/>
      <c r="N448" s="4"/>
      <c r="O448" s="4" t="str">
        <f ca="1">IFERROR(__xludf.DUMMYFUNCTION("""COMPUTED_VALUE"""),"Waterfall")</f>
        <v>Waterfall</v>
      </c>
      <c r="P448" s="4" t="str">
        <f ca="1">IFERROR(__xludf.DUMMYFUNCTION("""COMPUTED_VALUE"""),"Tradicional")</f>
        <v>Tradicional</v>
      </c>
      <c r="Q448" s="4"/>
      <c r="R448" s="130" t="str">
        <f ca="1">IFERROR(__xludf.DUMMYFUNCTION("""COMPUTED_VALUE"""),"Enterprises")</f>
        <v>Enterprises</v>
      </c>
      <c r="S448" s="130" t="str">
        <f ca="1">IFERROR(__xludf.DUMMYFUNCTION("""COMPUTED_VALUE"""),"Strategic Review")</f>
        <v>Strategic Review</v>
      </c>
      <c r="T448" s="130" t="str">
        <f ca="1">IFERROR(__xludf.DUMMYFUNCTION("""COMPUTED_VALUE"""),"Otros")</f>
        <v>Otros</v>
      </c>
      <c r="U448" s="130" t="str">
        <f ca="1">IFERROR(__xludf.DUMMYFUNCTION("""COMPUTED_VALUE"""),"No Aplica")</f>
        <v>No Aplica</v>
      </c>
      <c r="V448" s="4" t="str">
        <f ca="1">IFERROR(__xludf.DUMMYFUNCTION("""COMPUTED_VALUE"""),"Impuestos")</f>
        <v>Impuestos</v>
      </c>
      <c r="W448" s="4">
        <f ca="1">IFERROR(__xludf.DUMMYFUNCTION("""COMPUTED_VALUE"""),3)</f>
        <v>3</v>
      </c>
      <c r="X448" s="4" t="str">
        <f ca="1">IFERROR(__xludf.DUMMYFUNCTION("""COMPUTED_VALUE"""),"08. Enterprise Transactionality")</f>
        <v>08. Enterprise Transactionality</v>
      </c>
      <c r="Y448" s="4" t="str">
        <f ca="1">IFERROR(__xludf.DUMMYFUNCTION("""COMPUTED_VALUE"""),"5.7.1 Keep the Bank Running")</f>
        <v>5.7.1 Keep the Bank Running</v>
      </c>
      <c r="Z448" s="132" t="str">
        <f ca="1">IFERROR(__xludf.DUMMYFUNCTION("""COMPUTED_VALUE"""),"310798")</f>
        <v>310798</v>
      </c>
      <c r="AA448" s="4" t="str">
        <f ca="1">IFERROR(__xludf.DUMMYFUNCTION("""COMPUTED_VALUE"""),"Automatización informe Recaudo Diario Fase II Webservices Minhacienda")</f>
        <v>Automatización informe Recaudo Diario Fase II Webservices Minhacienda</v>
      </c>
      <c r="AB448" s="4" t="str">
        <f ca="1">IFERROR(__xludf.DUMMYFUNCTION("""COMPUTED_VALUE"""),"Implementar el nuevo modelo de transmisión para la reportería de Recaudo Diario de Impuestos Nacionales a través del Servicio Webservice establecido en la Resolución del Ministerio de Hacienda Distrital.")</f>
        <v>Implementar el nuevo modelo de transmisión para la reportería de Recaudo Diario de Impuestos Nacionales a través del Servicio Webservice establecido en la Resolución del Ministerio de Hacienda Distrital.</v>
      </c>
      <c r="AC448" s="4" t="str">
        <f ca="1">IFERROR(__xludf.DUMMYFUNCTION("""COMPUTED_VALUE"""),"4Q 2021")</f>
        <v>4Q 2021</v>
      </c>
      <c r="AD448" s="4"/>
      <c r="AE448" s="4"/>
      <c r="AF448" s="4"/>
      <c r="AG448" s="4"/>
      <c r="AH448" s="4"/>
      <c r="AI448" s="4"/>
      <c r="AJ448" s="4"/>
      <c r="AK448" s="4" t="str">
        <f ca="1">IFERROR(__xludf.DUMMYFUNCTION("""COMPUTED_VALUE"""),"Sin asignar")</f>
        <v>Sin asignar</v>
      </c>
      <c r="AL448" s="4" t="str">
        <f ca="1">IFERROR(__xludf.DUMMYFUNCTION("""COMPUTED_VALUE"""),"Sin asignar")</f>
        <v>Sin asignar</v>
      </c>
      <c r="AM448" s="4" t="str">
        <f ca="1">IFERROR(__xludf.DUMMYFUNCTION("""COMPUTED_VALUE"""),"Productivo")</f>
        <v>Productivo</v>
      </c>
      <c r="AN448" s="4" t="str">
        <f ca="1">IFERROR(__xludf.DUMMYFUNCTION("""COMPUTED_VALUE"""),"Finalizado")</f>
        <v>Finalizado</v>
      </c>
      <c r="AO448" s="4"/>
      <c r="AP448" s="4"/>
      <c r="AQ448" s="4"/>
      <c r="AR448" s="4" t="str">
        <f ca="1">IFERROR(__xludf.DUMMYFUNCTION("""COMPUTED_VALUE"""),"SDA aprobada en PPP Q1 2023")</f>
        <v>SDA aprobada en PPP Q1 2023</v>
      </c>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row>
    <row r="449" spans="1:132" x14ac:dyDescent="0.2">
      <c r="A449" s="4">
        <f ca="1">IFERROR(__xludf.DUMMYFUNCTION("""COMPUTED_VALUE"""),449)</f>
        <v>449</v>
      </c>
      <c r="B449" s="4">
        <f ca="1">IFERROR(__xludf.DUMMYFUNCTION("""COMPUTED_VALUE"""),424)</f>
        <v>424</v>
      </c>
      <c r="C449" s="4" t="str">
        <f ca="1">IFERROR(__xludf.DUMMYFUNCTION("""COMPUTED_VALUE"""),"SDATOOL-35327")</f>
        <v>SDATOOL-35327</v>
      </c>
      <c r="D449" s="4" t="str">
        <f ca="1">IFERROR(__xludf.DUMMYFUNCTION("""COMPUTED_VALUE"""),"Impuestos 2021")</f>
        <v>Impuestos 2021</v>
      </c>
      <c r="E449"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9" s="4" t="str">
        <f ca="1">IFERROR(__xludf.DUMMYFUNCTION("""COMPUTED_VALUE"""),"Project")</f>
        <v>Project</v>
      </c>
      <c r="G449" s="4" t="str">
        <f ca="1">IFERROR(__xludf.DUMMYFUNCTION("""COMPUTED_VALUE"""),"Stock")</f>
        <v>Stock</v>
      </c>
      <c r="H449" s="4" t="str">
        <f ca="1">IFERROR(__xludf.DUMMYFUNCTION("""COMPUTED_VALUE"""),"2Q 2023")</f>
        <v>2Q 2023</v>
      </c>
      <c r="I449" s="131" t="str">
        <f ca="1">IFERROR(__xludf.DUMMYFUNCTION("""COMPUTED_VALUE"""),"alirio.bermudez-bbva.com")</f>
        <v>alirio.bermudez-bbva.com</v>
      </c>
      <c r="J449" s="131" t="str">
        <f ca="1">IFERROR(__xludf.DUMMYFUNCTION("""COMPUTED_VALUE"""),"nelson.ruiz-bbva.com")</f>
        <v>nelson.ruiz-bbva.com</v>
      </c>
      <c r="K449" s="131" t="str">
        <f ca="1">IFERROR(__xludf.DUMMYFUNCTION("""COMPUTED_VALUE"""),"elizabeth.diaz-bbva.com")</f>
        <v>elizabeth.diaz-bbva.com</v>
      </c>
      <c r="L449" s="4"/>
      <c r="M449" s="4"/>
      <c r="N449" s="4"/>
      <c r="O449" s="4" t="str">
        <f ca="1">IFERROR(__xludf.DUMMYFUNCTION("""COMPUTED_VALUE"""),"Waterfall")</f>
        <v>Waterfall</v>
      </c>
      <c r="P449" s="4" t="str">
        <f ca="1">IFERROR(__xludf.DUMMYFUNCTION("""COMPUTED_VALUE"""),"Tradicional")</f>
        <v>Tradicional</v>
      </c>
      <c r="Q449" s="4"/>
      <c r="R449" s="130" t="str">
        <f ca="1">IFERROR(__xludf.DUMMYFUNCTION("""COMPUTED_VALUE"""),"Enterprises")</f>
        <v>Enterprises</v>
      </c>
      <c r="S449" s="130" t="str">
        <f ca="1">IFERROR(__xludf.DUMMYFUNCTION("""COMPUTED_VALUE"""),"Strategic Review")</f>
        <v>Strategic Review</v>
      </c>
      <c r="T449" s="130" t="str">
        <f ca="1">IFERROR(__xludf.DUMMYFUNCTION("""COMPUTED_VALUE"""),"Otros")</f>
        <v>Otros</v>
      </c>
      <c r="U449" s="130" t="str">
        <f ca="1">IFERROR(__xludf.DUMMYFUNCTION("""COMPUTED_VALUE"""),"No Aplica")</f>
        <v>No Aplica</v>
      </c>
      <c r="V449" s="4" t="str">
        <f ca="1">IFERROR(__xludf.DUMMYFUNCTION("""COMPUTED_VALUE"""),"Impuestos")</f>
        <v>Impuestos</v>
      </c>
      <c r="W449" s="4">
        <f ca="1">IFERROR(__xludf.DUMMYFUNCTION("""COMPUTED_VALUE"""),3)</f>
        <v>3</v>
      </c>
      <c r="X449" s="4" t="str">
        <f ca="1">IFERROR(__xludf.DUMMYFUNCTION("""COMPUTED_VALUE"""),"08. Enterprise Transactionality")</f>
        <v>08. Enterprise Transactionality</v>
      </c>
      <c r="Y449" s="4" t="str">
        <f ca="1">IFERROR(__xludf.DUMMYFUNCTION("""COMPUTED_VALUE"""),"5.7.1 Keep the Bank Running")</f>
        <v>5.7.1 Keep the Bank Running</v>
      </c>
      <c r="Z449" s="132" t="str">
        <f ca="1">IFERROR(__xludf.DUMMYFUNCTION("""COMPUTED_VALUE"""),"310801")</f>
        <v>310801</v>
      </c>
      <c r="AA449" s="4" t="str">
        <f ca="1">IFERROR(__xludf.DUMMYFUNCTION("""COMPUTED_VALUE"""),"Mejora Proceso de  Reporteria 0043 - Informe de Recaudo Diario, ajuste indi")</f>
        <v>Mejora Proceso de  Reporteria 0043 - Informe de Recaudo Diario, ajuste indi</v>
      </c>
      <c r="AB449" s="4" t="str">
        <f ca="1">IFERROR(__xludf.DUMMYFUNCTION("""COMPUTED_VALUE"""),"TBD")</f>
        <v>TBD</v>
      </c>
      <c r="AC449" s="4" t="str">
        <f ca="1">IFERROR(__xludf.DUMMYFUNCTION("""COMPUTED_VALUE"""),"4Q 2021")</f>
        <v>4Q 2021</v>
      </c>
      <c r="AD449" s="4"/>
      <c r="AE449" s="4"/>
      <c r="AF449" s="4"/>
      <c r="AG449" s="4"/>
      <c r="AH449" s="4"/>
      <c r="AI449" s="4"/>
      <c r="AJ449" s="4"/>
      <c r="AK449" s="4" t="str">
        <f ca="1">IFERROR(__xludf.DUMMYFUNCTION("""COMPUTED_VALUE"""),"Sin asignar")</f>
        <v>Sin asignar</v>
      </c>
      <c r="AL449" s="4" t="str">
        <f ca="1">IFERROR(__xludf.DUMMYFUNCTION("""COMPUTED_VALUE"""),"Sin asignar")</f>
        <v>Sin asignar</v>
      </c>
      <c r="AM449" s="4" t="str">
        <f ca="1">IFERROR(__xludf.DUMMYFUNCTION("""COMPUTED_VALUE"""),"Productivo")</f>
        <v>Productivo</v>
      </c>
      <c r="AN449" s="4" t="str">
        <f ca="1">IFERROR(__xludf.DUMMYFUNCTION("""COMPUTED_VALUE"""),"Finalizado")</f>
        <v>Finalizado</v>
      </c>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row>
    <row r="450" spans="1:132" x14ac:dyDescent="0.2">
      <c r="A450" s="4">
        <f ca="1">IFERROR(__xludf.DUMMYFUNCTION("""COMPUTED_VALUE"""),450)</f>
        <v>450</v>
      </c>
      <c r="B450" s="4">
        <f ca="1">IFERROR(__xludf.DUMMYFUNCTION("""COMPUTED_VALUE"""),425)</f>
        <v>425</v>
      </c>
      <c r="C450" s="4" t="str">
        <f ca="1">IFERROR(__xludf.DUMMYFUNCTION("""COMPUTED_VALUE"""),"SDATOOL-35327")</f>
        <v>SDATOOL-35327</v>
      </c>
      <c r="D450" s="4" t="str">
        <f ca="1">IFERROR(__xludf.DUMMYFUNCTION("""COMPUTED_VALUE"""),"Impuestos 2021")</f>
        <v>Impuestos 2021</v>
      </c>
      <c r="E450"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0" s="4" t="str">
        <f ca="1">IFERROR(__xludf.DUMMYFUNCTION("""COMPUTED_VALUE"""),"Project")</f>
        <v>Project</v>
      </c>
      <c r="G450" s="4" t="str">
        <f ca="1">IFERROR(__xludf.DUMMYFUNCTION("""COMPUTED_VALUE"""),"Stock")</f>
        <v>Stock</v>
      </c>
      <c r="H450" s="4" t="str">
        <f ca="1">IFERROR(__xludf.DUMMYFUNCTION("""COMPUTED_VALUE"""),"2Q 2023")</f>
        <v>2Q 2023</v>
      </c>
      <c r="I450" s="131" t="str">
        <f ca="1">IFERROR(__xludf.DUMMYFUNCTION("""COMPUTED_VALUE"""),"alirio.bermudez-bbva.com")</f>
        <v>alirio.bermudez-bbva.com</v>
      </c>
      <c r="J450" s="131" t="str">
        <f ca="1">IFERROR(__xludf.DUMMYFUNCTION("""COMPUTED_VALUE"""),"nelson.ruiz-bbva.com")</f>
        <v>nelson.ruiz-bbva.com</v>
      </c>
      <c r="K450" s="131" t="str">
        <f ca="1">IFERROR(__xludf.DUMMYFUNCTION("""COMPUTED_VALUE"""),"elizabeth.diaz-bbva.com")</f>
        <v>elizabeth.diaz-bbva.com</v>
      </c>
      <c r="L450" s="4"/>
      <c r="M450" s="4"/>
      <c r="N450" s="4"/>
      <c r="O450" s="4" t="str">
        <f ca="1">IFERROR(__xludf.DUMMYFUNCTION("""COMPUTED_VALUE"""),"Waterfall")</f>
        <v>Waterfall</v>
      </c>
      <c r="P450" s="4" t="str">
        <f ca="1">IFERROR(__xludf.DUMMYFUNCTION("""COMPUTED_VALUE"""),"Tradicional")</f>
        <v>Tradicional</v>
      </c>
      <c r="Q450" s="4"/>
      <c r="R450" s="130" t="str">
        <f ca="1">IFERROR(__xludf.DUMMYFUNCTION("""COMPUTED_VALUE"""),"Enterprises")</f>
        <v>Enterprises</v>
      </c>
      <c r="S450" s="130" t="str">
        <f ca="1">IFERROR(__xludf.DUMMYFUNCTION("""COMPUTED_VALUE"""),"Strategic Review")</f>
        <v>Strategic Review</v>
      </c>
      <c r="T450" s="130" t="str">
        <f ca="1">IFERROR(__xludf.DUMMYFUNCTION("""COMPUTED_VALUE"""),"Otros")</f>
        <v>Otros</v>
      </c>
      <c r="U450" s="130" t="str">
        <f ca="1">IFERROR(__xludf.DUMMYFUNCTION("""COMPUTED_VALUE"""),"No Aplica")</f>
        <v>No Aplica</v>
      </c>
      <c r="V450" s="4" t="str">
        <f ca="1">IFERROR(__xludf.DUMMYFUNCTION("""COMPUTED_VALUE"""),"Impuestos")</f>
        <v>Impuestos</v>
      </c>
      <c r="W450" s="4">
        <f ca="1">IFERROR(__xludf.DUMMYFUNCTION("""COMPUTED_VALUE"""),3)</f>
        <v>3</v>
      </c>
      <c r="X450" s="4" t="str">
        <f ca="1">IFERROR(__xludf.DUMMYFUNCTION("""COMPUTED_VALUE"""),"08. Enterprise Transactionality")</f>
        <v>08. Enterprise Transactionality</v>
      </c>
      <c r="Y450" s="4" t="str">
        <f ca="1">IFERROR(__xludf.DUMMYFUNCTION("""COMPUTED_VALUE"""),"5.7.1 Keep the Bank Running")</f>
        <v>5.7.1 Keep the Bank Running</v>
      </c>
      <c r="Z450" s="132" t="str">
        <f ca="1">IFERROR(__xludf.DUMMYFUNCTION("""COMPUTED_VALUE"""),"310803")</f>
        <v>310803</v>
      </c>
      <c r="AA450" s="4" t="str">
        <f ca="1">IFERROR(__xludf.DUMMYFUNCTION("""COMPUTED_VALUE"""),"Mejora Proceso Contable  Terminal Financiero por nuevo Horario Adicional")</f>
        <v>Mejora Proceso Contable  Terminal Financiero por nuevo Horario Adicional</v>
      </c>
      <c r="AB450" s="4" t="str">
        <f ca="1">IFERROR(__xludf.DUMMYFUNCTION("""COMPUTED_VALUE"""),"Requerimiento de la DIAN en la cual solicita la modificación del proceso contable, operativo y reporteria del proceso de recaudo de impuestos Nacionales y Aduaneros, esto a través de la Resolución 00017 de 2021  emitida por la DIAN")</f>
        <v>Requerimiento de la DIAN en la cual solicita la modificación del proceso contable, operativo y reporteria del proceso de recaudo de impuestos Nacionales y Aduaneros, esto a través de la Resolución 00017 de 2021  emitida por la DIAN</v>
      </c>
      <c r="AC450" s="4" t="str">
        <f ca="1">IFERROR(__xludf.DUMMYFUNCTION("""COMPUTED_VALUE"""),"4Q 2021")</f>
        <v>4Q 2021</v>
      </c>
      <c r="AD450" s="4"/>
      <c r="AE450" s="4"/>
      <c r="AF450" s="4"/>
      <c r="AG450" s="4"/>
      <c r="AH450" s="4"/>
      <c r="AI450" s="4"/>
      <c r="AJ450" s="4"/>
      <c r="AK450" s="131" t="str">
        <f ca="1">IFERROR(__xludf.DUMMYFUNCTION("""COMPUTED_VALUE"""),"CCSS-5576")</f>
        <v>CCSS-5576</v>
      </c>
      <c r="AL450" s="4" t="str">
        <f ca="1">IFERROR(__xludf.DUMMYFUNCTION("""COMPUTED_VALUE"""),"Deployed")</f>
        <v>Deployed</v>
      </c>
      <c r="AM450" s="4" t="str">
        <f ca="1">IFERROR(__xludf.DUMMYFUNCTION("""COMPUTED_VALUE"""),"Productivo")</f>
        <v>Productivo</v>
      </c>
      <c r="AN450" s="4" t="str">
        <f ca="1">IFERROR(__xludf.DUMMYFUNCTION("""COMPUTED_VALUE"""),"Finalizado")</f>
        <v>Finalizado</v>
      </c>
      <c r="AO450" s="4"/>
      <c r="AP450" s="4"/>
      <c r="AQ450" s="4"/>
      <c r="AR450" s="4" t="str">
        <f ca="1">IFERROR(__xludf.DUMMYFUNCTION("""COMPUTED_VALUE"""),"SDA aprobada en PPP Q1 2023")</f>
        <v>SDA aprobada en PPP Q1 2023</v>
      </c>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row>
    <row r="451" spans="1:132" x14ac:dyDescent="0.2">
      <c r="A451" s="4">
        <f ca="1">IFERROR(__xludf.DUMMYFUNCTION("""COMPUTED_VALUE"""),451)</f>
        <v>451</v>
      </c>
      <c r="B451" s="4">
        <f ca="1">IFERROR(__xludf.DUMMYFUNCTION("""COMPUTED_VALUE"""),426)</f>
        <v>426</v>
      </c>
      <c r="C451" s="4" t="str">
        <f ca="1">IFERROR(__xludf.DUMMYFUNCTION("""COMPUTED_VALUE"""),"SDATOOL-35327")</f>
        <v>SDATOOL-35327</v>
      </c>
      <c r="D451" s="4" t="str">
        <f ca="1">IFERROR(__xludf.DUMMYFUNCTION("""COMPUTED_VALUE"""),"Impuestos 2021")</f>
        <v>Impuestos 2021</v>
      </c>
      <c r="E451"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1" s="4" t="str">
        <f ca="1">IFERROR(__xludf.DUMMYFUNCTION("""COMPUTED_VALUE"""),"Project")</f>
        <v>Project</v>
      </c>
      <c r="G451" s="4" t="str">
        <f ca="1">IFERROR(__xludf.DUMMYFUNCTION("""COMPUTED_VALUE"""),"Stock")</f>
        <v>Stock</v>
      </c>
      <c r="H451" s="4" t="str">
        <f ca="1">IFERROR(__xludf.DUMMYFUNCTION("""COMPUTED_VALUE"""),"2Q 2023")</f>
        <v>2Q 2023</v>
      </c>
      <c r="I451" s="131" t="str">
        <f ca="1">IFERROR(__xludf.DUMMYFUNCTION("""COMPUTED_VALUE"""),"alirio.bermudez-bbva.com")</f>
        <v>alirio.bermudez-bbva.com</v>
      </c>
      <c r="J451" s="131" t="str">
        <f ca="1">IFERROR(__xludf.DUMMYFUNCTION("""COMPUTED_VALUE"""),"nelson.ruiz-bbva.com")</f>
        <v>nelson.ruiz-bbva.com</v>
      </c>
      <c r="K451" s="131" t="str">
        <f ca="1">IFERROR(__xludf.DUMMYFUNCTION("""COMPUTED_VALUE"""),"elizabeth.diaz-bbva.com")</f>
        <v>elizabeth.diaz-bbva.com</v>
      </c>
      <c r="L451" s="4"/>
      <c r="M451" s="4"/>
      <c r="N451" s="4"/>
      <c r="O451" s="4" t="str">
        <f ca="1">IFERROR(__xludf.DUMMYFUNCTION("""COMPUTED_VALUE"""),"Waterfall")</f>
        <v>Waterfall</v>
      </c>
      <c r="P451" s="4" t="str">
        <f ca="1">IFERROR(__xludf.DUMMYFUNCTION("""COMPUTED_VALUE"""),"Tradicional")</f>
        <v>Tradicional</v>
      </c>
      <c r="Q451" s="4"/>
      <c r="R451" s="130" t="str">
        <f ca="1">IFERROR(__xludf.DUMMYFUNCTION("""COMPUTED_VALUE"""),"Enterprises")</f>
        <v>Enterprises</v>
      </c>
      <c r="S451" s="130" t="str">
        <f ca="1">IFERROR(__xludf.DUMMYFUNCTION("""COMPUTED_VALUE"""),"Strategic Review")</f>
        <v>Strategic Review</v>
      </c>
      <c r="T451" s="130" t="str">
        <f ca="1">IFERROR(__xludf.DUMMYFUNCTION("""COMPUTED_VALUE"""),"Otros")</f>
        <v>Otros</v>
      </c>
      <c r="U451" s="130" t="str">
        <f ca="1">IFERROR(__xludf.DUMMYFUNCTION("""COMPUTED_VALUE"""),"No Aplica")</f>
        <v>No Aplica</v>
      </c>
      <c r="V451" s="4" t="str">
        <f ca="1">IFERROR(__xludf.DUMMYFUNCTION("""COMPUTED_VALUE"""),"Impuestos")</f>
        <v>Impuestos</v>
      </c>
      <c r="W451" s="4">
        <f ca="1">IFERROR(__xludf.DUMMYFUNCTION("""COMPUTED_VALUE"""),3)</f>
        <v>3</v>
      </c>
      <c r="X451" s="4" t="str">
        <f ca="1">IFERROR(__xludf.DUMMYFUNCTION("""COMPUTED_VALUE"""),"08. Enterprise Transactionality")</f>
        <v>08. Enterprise Transactionality</v>
      </c>
      <c r="Y451" s="4" t="str">
        <f ca="1">IFERROR(__xludf.DUMMYFUNCTION("""COMPUTED_VALUE"""),"5.7.1 Keep the Bank Running")</f>
        <v>5.7.1 Keep the Bank Running</v>
      </c>
      <c r="Z451" s="132" t="str">
        <f ca="1">IFERROR(__xludf.DUMMYFUNCTION("""COMPUTED_VALUE"""),"310804")</f>
        <v>310804</v>
      </c>
      <c r="AA451" s="4" t="str">
        <f ca="1">IFERROR(__xludf.DUMMYFUNCTION("""COMPUTED_VALUE"""),"Reporte de consignación Formato 050 reporte diario - DIAN.")</f>
        <v>Reporte de consignación Formato 050 reporte diario - DIAN.</v>
      </c>
      <c r="AB451" s="4" t="str">
        <f ca="1">IFERROR(__xludf.DUMMYFUNCTION("""COMPUTED_VALUE"""),"Se requiere implementar por petición de la DIAN y la Contraloria General de la Nación, un anexo al Formato 050 un reporte con el detalle de los recaudos generados y consignados por BBVA a la Dirección Nacional de Crédito Publico. Requerimiento Legal")</f>
        <v>Se requiere implementar por petición de la DIAN y la Contraloria General de la Nación, un anexo al Formato 050 un reporte con el detalle de los recaudos generados y consignados por BBVA a la Dirección Nacional de Crédito Publico. Requerimiento Legal</v>
      </c>
      <c r="AC451" s="4" t="str">
        <f ca="1">IFERROR(__xludf.DUMMYFUNCTION("""COMPUTED_VALUE"""),"1Q 2022")</f>
        <v>1Q 2022</v>
      </c>
      <c r="AD451" s="128">
        <f ca="1">IFERROR(__xludf.DUMMYFUNCTION("""COMPUTED_VALUE"""),44498)</f>
        <v>44498</v>
      </c>
      <c r="AE451" s="128">
        <f ca="1">IFERROR(__xludf.DUMMYFUNCTION("""COMPUTED_VALUE"""),44511)</f>
        <v>44511</v>
      </c>
      <c r="AF451" s="128">
        <f ca="1">IFERROR(__xludf.DUMMYFUNCTION("""COMPUTED_VALUE"""),44545)</f>
        <v>44545</v>
      </c>
      <c r="AG451" s="128">
        <f ca="1">IFERROR(__xludf.DUMMYFUNCTION("""COMPUTED_VALUE"""),44583)</f>
        <v>44583</v>
      </c>
      <c r="AH451" s="128">
        <f ca="1">IFERROR(__xludf.DUMMYFUNCTION("""COMPUTED_VALUE"""),44595)</f>
        <v>44595</v>
      </c>
      <c r="AI451" s="128">
        <f ca="1">IFERROR(__xludf.DUMMYFUNCTION("""COMPUTED_VALUE"""),44616)</f>
        <v>44616</v>
      </c>
      <c r="AJ451" s="128">
        <f ca="1">IFERROR(__xludf.DUMMYFUNCTION("""COMPUTED_VALUE"""),44632)</f>
        <v>44632</v>
      </c>
      <c r="AK451" s="131" t="str">
        <f ca="1">IFERROR(__xludf.DUMMYFUNCTION("""COMPUTED_VALUE"""),"CCSS-4355")</f>
        <v>CCSS-4355</v>
      </c>
      <c r="AL451" s="4" t="str">
        <f ca="1">IFERROR(__xludf.DUMMYFUNCTION("""COMPUTED_VALUE"""),"Deployed")</f>
        <v>Deployed</v>
      </c>
      <c r="AM451" s="4" t="str">
        <f ca="1">IFERROR(__xludf.DUMMYFUNCTION("""COMPUTED_VALUE"""),"Productivo")</f>
        <v>Productivo</v>
      </c>
      <c r="AN451" s="4" t="str">
        <f ca="1">IFERROR(__xludf.DUMMYFUNCTION("""COMPUTED_VALUE"""),"Finalizado")</f>
        <v>Finalizado</v>
      </c>
      <c r="AO451" s="4"/>
      <c r="AP451" s="4"/>
      <c r="AQ451" s="4"/>
      <c r="AR451" s="4" t="str">
        <f ca="1">IFERROR(__xludf.DUMMYFUNCTION("""COMPUTED_VALUE"""),"SDA aprobada en PPP Q1 2023")</f>
        <v>SDA aprobada en PPP Q1 2023</v>
      </c>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row>
    <row r="452" spans="1:132" x14ac:dyDescent="0.2">
      <c r="A452" s="4">
        <f ca="1">IFERROR(__xludf.DUMMYFUNCTION("""COMPUTED_VALUE"""),452)</f>
        <v>452</v>
      </c>
      <c r="B452" s="4">
        <f ca="1">IFERROR(__xludf.DUMMYFUNCTION("""COMPUTED_VALUE"""),427)</f>
        <v>427</v>
      </c>
      <c r="C452" s="4" t="str">
        <f ca="1">IFERROR(__xludf.DUMMYFUNCTION("""COMPUTED_VALUE"""),"SDATOOL-35327")</f>
        <v>SDATOOL-35327</v>
      </c>
      <c r="D452" s="4" t="str">
        <f ca="1">IFERROR(__xludf.DUMMYFUNCTION("""COMPUTED_VALUE"""),"Impuestos 2021")</f>
        <v>Impuestos 2021</v>
      </c>
      <c r="E452"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2" s="4" t="str">
        <f ca="1">IFERROR(__xludf.DUMMYFUNCTION("""COMPUTED_VALUE"""),"Project")</f>
        <v>Project</v>
      </c>
      <c r="G452" s="4" t="str">
        <f ca="1">IFERROR(__xludf.DUMMYFUNCTION("""COMPUTED_VALUE"""),"Stock")</f>
        <v>Stock</v>
      </c>
      <c r="H452" s="4" t="str">
        <f ca="1">IFERROR(__xludf.DUMMYFUNCTION("""COMPUTED_VALUE"""),"2Q 2023")</f>
        <v>2Q 2023</v>
      </c>
      <c r="I452" s="131" t="str">
        <f ca="1">IFERROR(__xludf.DUMMYFUNCTION("""COMPUTED_VALUE"""),"alirio.bermudez-bbva.com")</f>
        <v>alirio.bermudez-bbva.com</v>
      </c>
      <c r="J452" s="131" t="str">
        <f ca="1">IFERROR(__xludf.DUMMYFUNCTION("""COMPUTED_VALUE"""),"nelson.ruiz-bbva.com")</f>
        <v>nelson.ruiz-bbva.com</v>
      </c>
      <c r="K452" s="131" t="str">
        <f ca="1">IFERROR(__xludf.DUMMYFUNCTION("""COMPUTED_VALUE"""),"elizabeth.diaz-bbva.com")</f>
        <v>elizabeth.diaz-bbva.com</v>
      </c>
      <c r="L452" s="4"/>
      <c r="M452" s="4"/>
      <c r="N452" s="4"/>
      <c r="O452" s="4" t="str">
        <f ca="1">IFERROR(__xludf.DUMMYFUNCTION("""COMPUTED_VALUE"""),"Waterfall")</f>
        <v>Waterfall</v>
      </c>
      <c r="P452" s="4" t="str">
        <f ca="1">IFERROR(__xludf.DUMMYFUNCTION("""COMPUTED_VALUE"""),"Tradicional")</f>
        <v>Tradicional</v>
      </c>
      <c r="Q452" s="4"/>
      <c r="R452" s="130" t="str">
        <f ca="1">IFERROR(__xludf.DUMMYFUNCTION("""COMPUTED_VALUE"""),"Enterprises")</f>
        <v>Enterprises</v>
      </c>
      <c r="S452" s="130" t="str">
        <f ca="1">IFERROR(__xludf.DUMMYFUNCTION("""COMPUTED_VALUE"""),"Strategic Review")</f>
        <v>Strategic Review</v>
      </c>
      <c r="T452" s="130" t="str">
        <f ca="1">IFERROR(__xludf.DUMMYFUNCTION("""COMPUTED_VALUE"""),"Otros")</f>
        <v>Otros</v>
      </c>
      <c r="U452" s="130" t="str">
        <f ca="1">IFERROR(__xludf.DUMMYFUNCTION("""COMPUTED_VALUE"""),"No Aplica")</f>
        <v>No Aplica</v>
      </c>
      <c r="V452" s="4" t="str">
        <f ca="1">IFERROR(__xludf.DUMMYFUNCTION("""COMPUTED_VALUE"""),"Impuestos")</f>
        <v>Impuestos</v>
      </c>
      <c r="W452" s="4">
        <f ca="1">IFERROR(__xludf.DUMMYFUNCTION("""COMPUTED_VALUE"""),3)</f>
        <v>3</v>
      </c>
      <c r="X452" s="4" t="str">
        <f ca="1">IFERROR(__xludf.DUMMYFUNCTION("""COMPUTED_VALUE"""),"08. Enterprise Transactionality")</f>
        <v>08. Enterprise Transactionality</v>
      </c>
      <c r="Y452" s="4" t="str">
        <f ca="1">IFERROR(__xludf.DUMMYFUNCTION("""COMPUTED_VALUE"""),"5.7.1 Keep the Bank Running")</f>
        <v>5.7.1 Keep the Bank Running</v>
      </c>
      <c r="Z452" s="132" t="str">
        <f ca="1">IFERROR(__xludf.DUMMYFUNCTION("""COMPUTED_VALUE"""),"310805")</f>
        <v>310805</v>
      </c>
      <c r="AA452" s="4" t="str">
        <f ca="1">IFERROR(__xludf.DUMMYFUNCTION("""COMPUTED_VALUE"""),"Mejora proceso Parametría Informe Diario DIAN y Minhacienda")</f>
        <v>Mejora proceso Parametría Informe Diario DIAN y Minhacienda</v>
      </c>
      <c r="AB452" s="4" t="str">
        <f ca="1">IFERROR(__xludf.DUMMYFUNCTION("""COMPUTED_VALUE"""),"Se requiere implementar para los desarrollos generados en los servicios de WS de DIAN y el Ministerio de Hacienda, un proceso paramétrico que permita generar cambios en los códigos y conceptos asociados al proceso de recaudo de las diferentes rentas de la"&amp;" DIAN y con ellos mitigar errores operativos")</f>
        <v>Se requiere implementar para los desarrollos generados en los servicios de WS de DIAN y el Ministerio de Hacienda, un proceso paramétrico que permita generar cambios en los códigos y conceptos asociados al proceso de recaudo de las diferentes rentas de la DIAN y con ellos mitigar errores operativos</v>
      </c>
      <c r="AC452" s="4" t="str">
        <f ca="1">IFERROR(__xludf.DUMMYFUNCTION("""COMPUTED_VALUE"""),"3Q 2022")</f>
        <v>3Q 2022</v>
      </c>
      <c r="AD452" s="128">
        <f ca="1">IFERROR(__xludf.DUMMYFUNCTION("""COMPUTED_VALUE"""),44522)</f>
        <v>44522</v>
      </c>
      <c r="AE452" s="128">
        <f ca="1">IFERROR(__xludf.DUMMYFUNCTION("""COMPUTED_VALUE"""),44589)</f>
        <v>44589</v>
      </c>
      <c r="AF452" s="128">
        <f ca="1">IFERROR(__xludf.DUMMYFUNCTION("""COMPUTED_VALUE"""),44593)</f>
        <v>44593</v>
      </c>
      <c r="AG452" s="128">
        <f ca="1">IFERROR(__xludf.DUMMYFUNCTION("""COMPUTED_VALUE"""),44645)</f>
        <v>44645</v>
      </c>
      <c r="AH452" s="128">
        <f ca="1">IFERROR(__xludf.DUMMYFUNCTION("""COMPUTED_VALUE"""),44684)</f>
        <v>44684</v>
      </c>
      <c r="AI452" s="128">
        <f ca="1">IFERROR(__xludf.DUMMYFUNCTION("""COMPUTED_VALUE"""),44741)</f>
        <v>44741</v>
      </c>
      <c r="AJ452" s="128">
        <f ca="1">IFERROR(__xludf.DUMMYFUNCTION("""COMPUTED_VALUE"""),44751)</f>
        <v>44751</v>
      </c>
      <c r="AK452" s="131" t="str">
        <f ca="1">IFERROR(__xludf.DUMMYFUNCTION("""COMPUTED_VALUE"""),"CCSS-6399")</f>
        <v>CCSS-6399</v>
      </c>
      <c r="AL452" s="4" t="str">
        <f ca="1">IFERROR(__xludf.DUMMYFUNCTION("""COMPUTED_VALUE"""),"Deployed")</f>
        <v>Deployed</v>
      </c>
      <c r="AM452" s="4" t="str">
        <f ca="1">IFERROR(__xludf.DUMMYFUNCTION("""COMPUTED_VALUE"""),"Productivo")</f>
        <v>Productivo</v>
      </c>
      <c r="AN452" s="4" t="str">
        <f ca="1">IFERROR(__xludf.DUMMYFUNCTION("""COMPUTED_VALUE"""),"Finalizado")</f>
        <v>Finalizado</v>
      </c>
      <c r="AO452" s="4"/>
      <c r="AP452" s="4"/>
      <c r="AQ452" s="4"/>
      <c r="AR452" s="4" t="str">
        <f ca="1">IFERROR(__xludf.DUMMYFUNCTION("""COMPUTED_VALUE"""),"SDA aprobada en PPP Q1 2023")</f>
        <v>SDA aprobada en PPP Q1 2023</v>
      </c>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row>
    <row r="453" spans="1:132" x14ac:dyDescent="0.2">
      <c r="A453" s="4">
        <f ca="1">IFERROR(__xludf.DUMMYFUNCTION("""COMPUTED_VALUE"""),453)</f>
        <v>453</v>
      </c>
      <c r="B453" s="4">
        <f ca="1">IFERROR(__xludf.DUMMYFUNCTION("""COMPUTED_VALUE"""),428)</f>
        <v>428</v>
      </c>
      <c r="C453" s="4" t="str">
        <f ca="1">IFERROR(__xludf.DUMMYFUNCTION("""COMPUTED_VALUE"""),"SDATOOL-35327")</f>
        <v>SDATOOL-35327</v>
      </c>
      <c r="D453" s="4" t="str">
        <f ca="1">IFERROR(__xludf.DUMMYFUNCTION("""COMPUTED_VALUE"""),"Impuestos 2021")</f>
        <v>Impuestos 2021</v>
      </c>
      <c r="E453"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3" s="4" t="str">
        <f ca="1">IFERROR(__xludf.DUMMYFUNCTION("""COMPUTED_VALUE"""),"Project")</f>
        <v>Project</v>
      </c>
      <c r="G453" s="4" t="str">
        <f ca="1">IFERROR(__xludf.DUMMYFUNCTION("""COMPUTED_VALUE"""),"Stock")</f>
        <v>Stock</v>
      </c>
      <c r="H453" s="4" t="str">
        <f ca="1">IFERROR(__xludf.DUMMYFUNCTION("""COMPUTED_VALUE"""),"2Q 2023")</f>
        <v>2Q 2023</v>
      </c>
      <c r="I453" s="131" t="str">
        <f ca="1">IFERROR(__xludf.DUMMYFUNCTION("""COMPUTED_VALUE"""),"alirio.bermudez-bbva.com")</f>
        <v>alirio.bermudez-bbva.com</v>
      </c>
      <c r="J453" s="131" t="str">
        <f ca="1">IFERROR(__xludf.DUMMYFUNCTION("""COMPUTED_VALUE"""),"nelson.ruiz-bbva.com")</f>
        <v>nelson.ruiz-bbva.com</v>
      </c>
      <c r="K453" s="131" t="str">
        <f ca="1">IFERROR(__xludf.DUMMYFUNCTION("""COMPUTED_VALUE"""),"elizabeth.diaz-bbva.com")</f>
        <v>elizabeth.diaz-bbva.com</v>
      </c>
      <c r="L453" s="4"/>
      <c r="M453" s="4"/>
      <c r="N453" s="4"/>
      <c r="O453" s="4" t="str">
        <f ca="1">IFERROR(__xludf.DUMMYFUNCTION("""COMPUTED_VALUE"""),"Waterfall")</f>
        <v>Waterfall</v>
      </c>
      <c r="P453" s="4" t="str">
        <f ca="1">IFERROR(__xludf.DUMMYFUNCTION("""COMPUTED_VALUE"""),"Tradicional")</f>
        <v>Tradicional</v>
      </c>
      <c r="Q453" s="4"/>
      <c r="R453" s="130" t="str">
        <f ca="1">IFERROR(__xludf.DUMMYFUNCTION("""COMPUTED_VALUE"""),"Enterprises")</f>
        <v>Enterprises</v>
      </c>
      <c r="S453" s="130" t="str">
        <f ca="1">IFERROR(__xludf.DUMMYFUNCTION("""COMPUTED_VALUE"""),"Strategic Review")</f>
        <v>Strategic Review</v>
      </c>
      <c r="T453" s="130" t="str">
        <f ca="1">IFERROR(__xludf.DUMMYFUNCTION("""COMPUTED_VALUE"""),"Otros")</f>
        <v>Otros</v>
      </c>
      <c r="U453" s="130" t="str">
        <f ca="1">IFERROR(__xludf.DUMMYFUNCTION("""COMPUTED_VALUE"""),"No Aplica")</f>
        <v>No Aplica</v>
      </c>
      <c r="V453" s="4" t="str">
        <f ca="1">IFERROR(__xludf.DUMMYFUNCTION("""COMPUTED_VALUE"""),"Impuestos")</f>
        <v>Impuestos</v>
      </c>
      <c r="W453" s="4">
        <f ca="1">IFERROR(__xludf.DUMMYFUNCTION("""COMPUTED_VALUE"""),3)</f>
        <v>3</v>
      </c>
      <c r="X453" s="4" t="str">
        <f ca="1">IFERROR(__xludf.DUMMYFUNCTION("""COMPUTED_VALUE"""),"08. Enterprise Transactionality")</f>
        <v>08. Enterprise Transactionality</v>
      </c>
      <c r="Y453" s="4" t="str">
        <f ca="1">IFERROR(__xludf.DUMMYFUNCTION("""COMPUTED_VALUE"""),"5.7.1 Keep the Bank Running")</f>
        <v>5.7.1 Keep the Bank Running</v>
      </c>
      <c r="Z453" s="132" t="str">
        <f ca="1">IFERROR(__xludf.DUMMYFUNCTION("""COMPUTED_VALUE"""),"490573")</f>
        <v>490573</v>
      </c>
      <c r="AA453" s="4" t="str">
        <f ca="1">IFERROR(__xludf.DUMMYFUNCTION("""COMPUTED_VALUE"""),"Implementar convenios de  recaudo de impuestos SHD en Banca móvil -DesHOST")</f>
        <v>Implementar convenios de  recaudo de impuestos SHD en Banca móvil -DesHOST</v>
      </c>
      <c r="AB453" s="4" t="str">
        <f ca="1">IFERROR(__xludf.DUMMYFUNCTION("""COMPUTED_VALUE"""),"Implementar convenios de  recaudo de impuestos SHD en Banca móvil, dispuestos para la consulta y pago en línea:
FU del impuesto unificado de fondo de pobres, azar y espectáculos
FU de retención y/o anticipo del impuesto unificado de fondo de pobres, azar "&amp;"y  espectáculos
Declaración Retención Impuesto de Delineación Urbana
Declaración Impuesto de Delineación Urbana
ROP Impuesto de Delineación Urbana
ROP Impuesto Industria y Comercio
ROP Retenciones Impuesto Industria y Comercio")</f>
        <v>Implementar convenios de  recaudo de impuestos SHD en Banca móvil, dispuestos para la consulta y pago en línea:
FU del impuesto unificado de fondo de pobres, azar y espectáculos
FU de retención y/o anticipo del impuesto unificado de fondo de pobres, azar y  espectáculos
Declaración Retención Impuesto de Delineación Urbana
Declaración Impuesto de Delineación Urbana
ROP Impuesto de Delineación Urbana
ROP Impuesto Industria y Comercio
ROP Retenciones Impuesto Industria y Comercio</v>
      </c>
      <c r="AC453" s="4" t="str">
        <f ca="1">IFERROR(__xludf.DUMMYFUNCTION("""COMPUTED_VALUE"""),"4Q 2022")</f>
        <v>4Q 2022</v>
      </c>
      <c r="AD453" s="4"/>
      <c r="AE453" s="4"/>
      <c r="AF453" s="4"/>
      <c r="AG453" s="4"/>
      <c r="AH453" s="4"/>
      <c r="AI453" s="4"/>
      <c r="AJ453" s="4"/>
      <c r="AK453" s="131" t="str">
        <f ca="1">IFERROR(__xludf.DUMMYFUNCTION("""COMPUTED_VALUE"""),"COLWSCONTA-258")</f>
        <v>COLWSCONTA-258</v>
      </c>
      <c r="AL453" s="4" t="str">
        <f ca="1">IFERROR(__xludf.DUMMYFUNCTION("""COMPUTED_VALUE"""),"Deployed")</f>
        <v>Deployed</v>
      </c>
      <c r="AM453" s="4" t="str">
        <f ca="1">IFERROR(__xludf.DUMMYFUNCTION("""COMPUTED_VALUE"""),"25/10/2022 Post Implantación: Instalado el 22 de octubre, sin novedad. En seguimiento post implantación.")</f>
        <v>25/10/2022 Post Implantación: Instalado el 22 de octubre, sin novedad. En seguimiento post implantación.</v>
      </c>
      <c r="AN453" s="4" t="str">
        <f ca="1">IFERROR(__xludf.DUMMYFUNCTION("""COMPUTED_VALUE"""),"Finalizado")</f>
        <v>Finalizado</v>
      </c>
      <c r="AO453" s="4"/>
      <c r="AP453" s="4"/>
      <c r="AQ453" s="4"/>
      <c r="AR453" s="4" t="str">
        <f ca="1">IFERROR(__xludf.DUMMYFUNCTION("""COMPUTED_VALUE"""),"SDA aprobada en PPP Q1 2023")</f>
        <v>SDA aprobada en PPP Q1 2023</v>
      </c>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row>
    <row r="454" spans="1:132" x14ac:dyDescent="0.2">
      <c r="A454" s="4">
        <f ca="1">IFERROR(__xludf.DUMMYFUNCTION("""COMPUTED_VALUE"""),454)</f>
        <v>454</v>
      </c>
      <c r="B454" s="4">
        <f ca="1">IFERROR(__xludf.DUMMYFUNCTION("""COMPUTED_VALUE"""),429)</f>
        <v>429</v>
      </c>
      <c r="C454" s="4" t="str">
        <f ca="1">IFERROR(__xludf.DUMMYFUNCTION("""COMPUTED_VALUE"""),"SDATOOL-35327")</f>
        <v>SDATOOL-35327</v>
      </c>
      <c r="D454" s="4" t="str">
        <f ca="1">IFERROR(__xludf.DUMMYFUNCTION("""COMPUTED_VALUE"""),"Impuestos 2021")</f>
        <v>Impuestos 2021</v>
      </c>
      <c r="E454"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4" s="4" t="str">
        <f ca="1">IFERROR(__xludf.DUMMYFUNCTION("""COMPUTED_VALUE"""),"Project")</f>
        <v>Project</v>
      </c>
      <c r="G454" s="4" t="str">
        <f ca="1">IFERROR(__xludf.DUMMYFUNCTION("""COMPUTED_VALUE"""),"Stock")</f>
        <v>Stock</v>
      </c>
      <c r="H454" s="4" t="str">
        <f ca="1">IFERROR(__xludf.DUMMYFUNCTION("""COMPUTED_VALUE"""),"2Q 2023")</f>
        <v>2Q 2023</v>
      </c>
      <c r="I454" s="131" t="str">
        <f ca="1">IFERROR(__xludf.DUMMYFUNCTION("""COMPUTED_VALUE"""),"alirio.bermudez-bbva.com")</f>
        <v>alirio.bermudez-bbva.com</v>
      </c>
      <c r="J454" s="131" t="str">
        <f ca="1">IFERROR(__xludf.DUMMYFUNCTION("""COMPUTED_VALUE"""),"nelson.ruiz-bbva.com")</f>
        <v>nelson.ruiz-bbva.com</v>
      </c>
      <c r="K454" s="131" t="str">
        <f ca="1">IFERROR(__xludf.DUMMYFUNCTION("""COMPUTED_VALUE"""),"elizabeth.diaz-bbva.com")</f>
        <v>elizabeth.diaz-bbva.com</v>
      </c>
      <c r="L454" s="4"/>
      <c r="M454" s="4"/>
      <c r="N454" s="4"/>
      <c r="O454" s="4" t="str">
        <f ca="1">IFERROR(__xludf.DUMMYFUNCTION("""COMPUTED_VALUE"""),"Waterfall")</f>
        <v>Waterfall</v>
      </c>
      <c r="P454" s="4" t="str">
        <f ca="1">IFERROR(__xludf.DUMMYFUNCTION("""COMPUTED_VALUE"""),"Tradicional")</f>
        <v>Tradicional</v>
      </c>
      <c r="Q454" s="4"/>
      <c r="R454" s="130" t="str">
        <f ca="1">IFERROR(__xludf.DUMMYFUNCTION("""COMPUTED_VALUE"""),"Enterprises")</f>
        <v>Enterprises</v>
      </c>
      <c r="S454" s="130" t="str">
        <f ca="1">IFERROR(__xludf.DUMMYFUNCTION("""COMPUTED_VALUE"""),"Strategic Review")</f>
        <v>Strategic Review</v>
      </c>
      <c r="T454" s="130" t="str">
        <f ca="1">IFERROR(__xludf.DUMMYFUNCTION("""COMPUTED_VALUE"""),"Otros")</f>
        <v>Otros</v>
      </c>
      <c r="U454" s="130" t="str">
        <f ca="1">IFERROR(__xludf.DUMMYFUNCTION("""COMPUTED_VALUE"""),"No Aplica")</f>
        <v>No Aplica</v>
      </c>
      <c r="V454" s="4" t="str">
        <f ca="1">IFERROR(__xludf.DUMMYFUNCTION("""COMPUTED_VALUE"""),"Impuestos")</f>
        <v>Impuestos</v>
      </c>
      <c r="W454" s="4">
        <f ca="1">IFERROR(__xludf.DUMMYFUNCTION("""COMPUTED_VALUE"""),3)</f>
        <v>3</v>
      </c>
      <c r="X454" s="4" t="str">
        <f ca="1">IFERROR(__xludf.DUMMYFUNCTION("""COMPUTED_VALUE"""),"08. Enterprise Transactionality")</f>
        <v>08. Enterprise Transactionality</v>
      </c>
      <c r="Y454" s="4" t="str">
        <f ca="1">IFERROR(__xludf.DUMMYFUNCTION("""COMPUTED_VALUE"""),"5.7.1 Keep the Bank Running")</f>
        <v>5.7.1 Keep the Bank Running</v>
      </c>
      <c r="Z454" s="132" t="str">
        <f ca="1">IFERROR(__xludf.DUMMYFUNCTION("""COMPUTED_VALUE"""),"618786")</f>
        <v>618786</v>
      </c>
      <c r="AA454" s="4" t="str">
        <f ca="1">IFERROR(__xludf.DUMMYFUNCTION("""COMPUTED_VALUE"""),"Implementar convenios de  recaudo de impuestos SHD en Banca móvil -DeDISTRB")</f>
        <v>Implementar convenios de  recaudo de impuestos SHD en Banca móvil -DeDISTRB</v>
      </c>
      <c r="AB454" s="4" t="str">
        <f ca="1">IFERROR(__xludf.DUMMYFUNCTION("""COMPUTED_VALUE"""),"Implementar convenios de  recaudo de impuestos SHD en Banca móvil, dispuestos para la consulta y pago en línea:
FU del impuesto unificado de fondo de pobres, azar y espectáculos
FU de retención y/o anticipo del impuesto unificado de fondo de pobres, azar "&amp;"y  espectáculos
Declaración Retención Impuesto de Delineación Urbana
Declaración Impuesto de Delineación Urbana
ROP Impuesto de Delineación Urbana
ROP Impuesto Industria y Comercio
ROP Retenciones Impuesto Industria y Comercio")</f>
        <v>Implementar convenios de  recaudo de impuestos SHD en Banca móvil, dispuestos para la consulta y pago en línea:
FU del impuesto unificado de fondo de pobres, azar y espectáculos
FU de retención y/o anticipo del impuesto unificado de fondo de pobres, azar y  espectáculos
Declaración Retención Impuesto de Delineación Urbana
Declaración Impuesto de Delineación Urbana
ROP Impuesto de Delineación Urbana
ROP Impuesto Industria y Comercio
ROP Retenciones Impuesto Industria y Comercio</v>
      </c>
      <c r="AC454" s="4" t="str">
        <f ca="1">IFERROR(__xludf.DUMMYFUNCTION("""COMPUTED_VALUE"""),"4Q 2022")</f>
        <v>4Q 2022</v>
      </c>
      <c r="AD454" s="4"/>
      <c r="AE454" s="4"/>
      <c r="AF454" s="4"/>
      <c r="AG454" s="4"/>
      <c r="AH454" s="4"/>
      <c r="AI454" s="4"/>
      <c r="AJ454" s="4"/>
      <c r="AK454" s="131" t="str">
        <f ca="1">IFERROR(__xludf.DUMMYFUNCTION("""COMPUTED_VALUE"""),"CCSS-14509")</f>
        <v>CCSS-14509</v>
      </c>
      <c r="AL454" s="4" t="str">
        <f ca="1">IFERROR(__xludf.DUMMYFUNCTION("""COMPUTED_VALUE"""),"Deployed")</f>
        <v>Deployed</v>
      </c>
      <c r="AM454" s="4" t="str">
        <f ca="1">IFERROR(__xludf.DUMMYFUNCTION("""COMPUTED_VALUE"""),"Productivo")</f>
        <v>Productivo</v>
      </c>
      <c r="AN454" s="4" t="str">
        <f ca="1">IFERROR(__xludf.DUMMYFUNCTION("""COMPUTED_VALUE"""),"Finalizado")</f>
        <v>Finalizado</v>
      </c>
      <c r="AO454" s="4"/>
      <c r="AP454" s="4"/>
      <c r="AQ454" s="4"/>
      <c r="AR454" s="4" t="str">
        <f ca="1">IFERROR(__xludf.DUMMYFUNCTION("""COMPUTED_VALUE"""),"SDA aprobada en PPP Q1 2023")</f>
        <v>SDA aprobada en PPP Q1 2023</v>
      </c>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row>
    <row r="455" spans="1:132" x14ac:dyDescent="0.2">
      <c r="A455" s="4">
        <f ca="1">IFERROR(__xludf.DUMMYFUNCTION("""COMPUTED_VALUE"""),455)</f>
        <v>455</v>
      </c>
      <c r="B455" s="4">
        <f ca="1">IFERROR(__xludf.DUMMYFUNCTION("""COMPUTED_VALUE"""),430)</f>
        <v>430</v>
      </c>
      <c r="C455" s="4" t="str">
        <f ca="1">IFERROR(__xludf.DUMMYFUNCTION("""COMPUTED_VALUE"""),"SDATOOL-35327")</f>
        <v>SDATOOL-35327</v>
      </c>
      <c r="D455" s="4" t="str">
        <f ca="1">IFERROR(__xludf.DUMMYFUNCTION("""COMPUTED_VALUE"""),"Impuestos 2021")</f>
        <v>Impuestos 2021</v>
      </c>
      <c r="E455"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5" s="4" t="str">
        <f ca="1">IFERROR(__xludf.DUMMYFUNCTION("""COMPUTED_VALUE"""),"Project")</f>
        <v>Project</v>
      </c>
      <c r="G455" s="4" t="str">
        <f ca="1">IFERROR(__xludf.DUMMYFUNCTION("""COMPUTED_VALUE"""),"Stock")</f>
        <v>Stock</v>
      </c>
      <c r="H455" s="4" t="str">
        <f ca="1">IFERROR(__xludf.DUMMYFUNCTION("""COMPUTED_VALUE"""),"2Q 2023")</f>
        <v>2Q 2023</v>
      </c>
      <c r="I455" s="131" t="str">
        <f ca="1">IFERROR(__xludf.DUMMYFUNCTION("""COMPUTED_VALUE"""),"alirio.bermudez-bbva.com")</f>
        <v>alirio.bermudez-bbva.com</v>
      </c>
      <c r="J455" s="131" t="str">
        <f ca="1">IFERROR(__xludf.DUMMYFUNCTION("""COMPUTED_VALUE"""),"nelson.ruiz-bbva.com")</f>
        <v>nelson.ruiz-bbva.com</v>
      </c>
      <c r="K455" s="131" t="str">
        <f ca="1">IFERROR(__xludf.DUMMYFUNCTION("""COMPUTED_VALUE"""),"elizabeth.diaz-bbva.com")</f>
        <v>elizabeth.diaz-bbva.com</v>
      </c>
      <c r="L455" s="4"/>
      <c r="M455" s="4"/>
      <c r="N455" s="4"/>
      <c r="O455" s="4" t="str">
        <f ca="1">IFERROR(__xludf.DUMMYFUNCTION("""COMPUTED_VALUE"""),"Waterfall")</f>
        <v>Waterfall</v>
      </c>
      <c r="P455" s="4" t="str">
        <f ca="1">IFERROR(__xludf.DUMMYFUNCTION("""COMPUTED_VALUE"""),"Tradicional")</f>
        <v>Tradicional</v>
      </c>
      <c r="Q455" s="4"/>
      <c r="R455" s="130" t="str">
        <f ca="1">IFERROR(__xludf.DUMMYFUNCTION("""COMPUTED_VALUE"""),"Enterprises")</f>
        <v>Enterprises</v>
      </c>
      <c r="S455" s="130" t="str">
        <f ca="1">IFERROR(__xludf.DUMMYFUNCTION("""COMPUTED_VALUE"""),"Strategic Review")</f>
        <v>Strategic Review</v>
      </c>
      <c r="T455" s="130" t="str">
        <f ca="1">IFERROR(__xludf.DUMMYFUNCTION("""COMPUTED_VALUE"""),"Otros")</f>
        <v>Otros</v>
      </c>
      <c r="U455" s="130" t="str">
        <f ca="1">IFERROR(__xludf.DUMMYFUNCTION("""COMPUTED_VALUE"""),"No Aplica")</f>
        <v>No Aplica</v>
      </c>
      <c r="V455" s="4" t="str">
        <f ca="1">IFERROR(__xludf.DUMMYFUNCTION("""COMPUTED_VALUE"""),"Impuestos")</f>
        <v>Impuestos</v>
      </c>
      <c r="W455" s="4">
        <f ca="1">IFERROR(__xludf.DUMMYFUNCTION("""COMPUTED_VALUE"""),3)</f>
        <v>3</v>
      </c>
      <c r="X455" s="4" t="str">
        <f ca="1">IFERROR(__xludf.DUMMYFUNCTION("""COMPUTED_VALUE"""),"08. Enterprise Transactionality")</f>
        <v>08. Enterprise Transactionality</v>
      </c>
      <c r="Y455" s="4" t="str">
        <f ca="1">IFERROR(__xludf.DUMMYFUNCTION("""COMPUTED_VALUE"""),"5.7.1 Keep the Bank Running")</f>
        <v>5.7.1 Keep the Bank Running</v>
      </c>
      <c r="Z455" s="132" t="str">
        <f ca="1">IFERROR(__xludf.DUMMYFUNCTION("""COMPUTED_VALUE"""),"553940")</f>
        <v>553940</v>
      </c>
      <c r="AA455" s="4" t="str">
        <f ca="1">IFERROR(__xludf.DUMMYFUNCTION("""COMPUTED_VALUE"""),"Ajuste téc. Oper. J T - SHD: Carga Automática compara archivos conciliación")</f>
        <v>Ajuste téc. Oper. J T - SHD: Carga Automática compara archivos conciliación</v>
      </c>
      <c r="AB455" s="4" t="str">
        <f ca="1">IFERROR(__xludf.DUMMYFUNCTION("""COMPUTED_VALUE"""),"Actualizar el proceso de conciliación automática de reportería sobre las características de la VPN entre Operaciones BBVA - Operador Jaime Torres (adscrito SHD), del servicio de transmisión en línea de la información de recaudo de los tributos distritales"&amp;" que se recaudan en BBVA por los diferentes canales, a través del Operador de Información Jaime Torres C y hace parte integral del proyecto Recaudo en Línea de la Secretaría de Hacienda Distrital- Bogotá,  Resol. – SDH No. 167 de Octubre 2018.")</f>
        <v>Actualizar el proceso de conciliación automática de reportería sobre las características de la VPN entre Operaciones BBVA - Operador Jaime Torres (adscrito SHD), del servicio de transmisión en línea de la información de recaudo de los tributos distritales que se recaudan en BBVA por los diferentes canales, a través del Operador de Información Jaime Torres C y hace parte integral del proyecto Recaudo en Línea de la Secretaría de Hacienda Distrital- Bogotá,  Resol. – SDH No. 167 de Octubre 2018.</v>
      </c>
      <c r="AC455" s="4" t="str">
        <f ca="1">IFERROR(__xludf.DUMMYFUNCTION("""COMPUTED_VALUE"""),"2Q 2023")</f>
        <v>2Q 2023</v>
      </c>
      <c r="AD455" s="4"/>
      <c r="AE455" s="4"/>
      <c r="AF455" s="4"/>
      <c r="AG455" s="4"/>
      <c r="AH455" s="4"/>
      <c r="AI455" s="4"/>
      <c r="AJ455" s="4"/>
      <c r="AK455" s="131" t="str">
        <f ca="1">IFERROR(__xludf.DUMMYFUNCTION("""COMPUTED_VALUE"""),"COLWSCONTA-1735")</f>
        <v>COLWSCONTA-1735</v>
      </c>
      <c r="AL455" s="4" t="str">
        <f ca="1">IFERROR(__xludf.DUMMYFUNCTION("""COMPUTED_VALUE"""),"New")</f>
        <v>New</v>
      </c>
      <c r="AM455" s="4" t="str">
        <f ca="1">IFERROR(__xludf.DUMMYFUNCTION("""COMPUTED_VALUE"""),"Ajustado en la SDA Suite de 4Q/2022 a 1Q/2023, tambien en JIRA.")</f>
        <v>Ajustado en la SDA Suite de 4Q/2022 a 1Q/2023, tambien en JIRA.</v>
      </c>
      <c r="AN455" s="4" t="str">
        <f ca="1">IFERROR(__xludf.DUMMYFUNCTION("""COMPUTED_VALUE"""),"Entregable en desarrollo")</f>
        <v>Entregable en desarrollo</v>
      </c>
      <c r="AO455" s="4"/>
      <c r="AP455" s="4"/>
      <c r="AQ455" s="4"/>
      <c r="AR455" s="4" t="str">
        <f ca="1">IFERROR(__xludf.DUMMYFUNCTION("""COMPUTED_VALUE"""),"SDA aprobada en PPP Q1 2023")</f>
        <v>SDA aprobada en PPP Q1 2023</v>
      </c>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row>
    <row r="456" spans="1:132" x14ac:dyDescent="0.2">
      <c r="A456" s="4">
        <f ca="1">IFERROR(__xludf.DUMMYFUNCTION("""COMPUTED_VALUE"""),456)</f>
        <v>456</v>
      </c>
      <c r="B456" s="4">
        <f ca="1">IFERROR(__xludf.DUMMYFUNCTION("""COMPUTED_VALUE"""),431)</f>
        <v>431</v>
      </c>
      <c r="C456" s="4" t="str">
        <f ca="1">IFERROR(__xludf.DUMMYFUNCTION("""COMPUTED_VALUE"""),"SDATOOL-35327")</f>
        <v>SDATOOL-35327</v>
      </c>
      <c r="D456" s="4" t="str">
        <f ca="1">IFERROR(__xludf.DUMMYFUNCTION("""COMPUTED_VALUE"""),"Impuestos 2021")</f>
        <v>Impuestos 2021</v>
      </c>
      <c r="E456"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6" s="4" t="str">
        <f ca="1">IFERROR(__xludf.DUMMYFUNCTION("""COMPUTED_VALUE"""),"Project")</f>
        <v>Project</v>
      </c>
      <c r="G456" s="4" t="str">
        <f ca="1">IFERROR(__xludf.DUMMYFUNCTION("""COMPUTED_VALUE"""),"Stock")</f>
        <v>Stock</v>
      </c>
      <c r="H456" s="4" t="str">
        <f ca="1">IFERROR(__xludf.DUMMYFUNCTION("""COMPUTED_VALUE"""),"2Q 2023")</f>
        <v>2Q 2023</v>
      </c>
      <c r="I456" s="131" t="str">
        <f ca="1">IFERROR(__xludf.DUMMYFUNCTION("""COMPUTED_VALUE"""),"alirio.bermudez-bbva.com")</f>
        <v>alirio.bermudez-bbva.com</v>
      </c>
      <c r="J456" s="131" t="str">
        <f ca="1">IFERROR(__xludf.DUMMYFUNCTION("""COMPUTED_VALUE"""),"nelson.ruiz-bbva.com")</f>
        <v>nelson.ruiz-bbva.com</v>
      </c>
      <c r="K456" s="131" t="str">
        <f ca="1">IFERROR(__xludf.DUMMYFUNCTION("""COMPUTED_VALUE"""),"elizabeth.diaz-bbva.com")</f>
        <v>elizabeth.diaz-bbva.com</v>
      </c>
      <c r="L456" s="4"/>
      <c r="M456" s="4"/>
      <c r="N456" s="4"/>
      <c r="O456" s="4" t="str">
        <f ca="1">IFERROR(__xludf.DUMMYFUNCTION("""COMPUTED_VALUE"""),"Waterfall")</f>
        <v>Waterfall</v>
      </c>
      <c r="P456" s="4" t="str">
        <f ca="1">IFERROR(__xludf.DUMMYFUNCTION("""COMPUTED_VALUE"""),"Tradicional")</f>
        <v>Tradicional</v>
      </c>
      <c r="Q456" s="4"/>
      <c r="R456" s="130" t="str">
        <f ca="1">IFERROR(__xludf.DUMMYFUNCTION("""COMPUTED_VALUE"""),"Enterprises")</f>
        <v>Enterprises</v>
      </c>
      <c r="S456" s="130" t="str">
        <f ca="1">IFERROR(__xludf.DUMMYFUNCTION("""COMPUTED_VALUE"""),"Strategic Review")</f>
        <v>Strategic Review</v>
      </c>
      <c r="T456" s="130" t="str">
        <f ca="1">IFERROR(__xludf.DUMMYFUNCTION("""COMPUTED_VALUE"""),"Otros")</f>
        <v>Otros</v>
      </c>
      <c r="U456" s="130" t="str">
        <f ca="1">IFERROR(__xludf.DUMMYFUNCTION("""COMPUTED_VALUE"""),"No Aplica")</f>
        <v>No Aplica</v>
      </c>
      <c r="V456" s="4" t="str">
        <f ca="1">IFERROR(__xludf.DUMMYFUNCTION("""COMPUTED_VALUE"""),"Impuestos")</f>
        <v>Impuestos</v>
      </c>
      <c r="W456" s="4">
        <f ca="1">IFERROR(__xludf.DUMMYFUNCTION("""COMPUTED_VALUE"""),3)</f>
        <v>3</v>
      </c>
      <c r="X456" s="4" t="str">
        <f ca="1">IFERROR(__xludf.DUMMYFUNCTION("""COMPUTED_VALUE"""),"08. Enterprise Transactionality")</f>
        <v>08. Enterprise Transactionality</v>
      </c>
      <c r="Y456" s="4" t="str">
        <f ca="1">IFERROR(__xludf.DUMMYFUNCTION("""COMPUTED_VALUE"""),"5.7.1 Keep the Bank Running")</f>
        <v>5.7.1 Keep the Bank Running</v>
      </c>
      <c r="Z456" s="132" t="str">
        <f ca="1">IFERROR(__xludf.DUMMYFUNCTION("""COMPUTED_VALUE"""),"310802")</f>
        <v>310802</v>
      </c>
      <c r="AA456" s="4" t="str">
        <f ca="1">IFERROR(__xludf.DUMMYFUNCTION("""COMPUTED_VALUE"""),"Mejora proceso apunte Contable Impuestos, nivelando saldos contrarios PSE")</f>
        <v>Mejora proceso apunte Contable Impuestos, nivelando saldos contrarios PSE</v>
      </c>
      <c r="AB456" s="4" t="str">
        <f ca="1">IFERROR(__xludf.DUMMYFUNCTION("""COMPUTED_VALUE"""),"Requerimiento de la DIAN en la cual solicita la modificación del proceso contable, operativo y reporteria del proceso de recaudo de impuestos Nacionales y Aduaneros, esto a través de la Resolución 00017 de 2021  emitida por la DIAN. 
La mejora busca evita"&amp;"r saldos contrarios en la cuenta de impuestos en PSE.")</f>
        <v>Requerimiento de la DIAN en la cual solicita la modificación del proceso contable, operativo y reporteria del proceso de recaudo de impuestos Nacionales y Aduaneros, esto a través de la Resolución 00017 de 2021  emitida por la DIAN. 
La mejora busca evitar saldos contrarios en la cuenta de impuestos en PSE.</v>
      </c>
      <c r="AC456" s="4" t="str">
        <f ca="1">IFERROR(__xludf.DUMMYFUNCTION("""COMPUTED_VALUE"""),"1Q 2023")</f>
        <v>1Q 2023</v>
      </c>
      <c r="AD456" s="4"/>
      <c r="AE456" s="4"/>
      <c r="AF456" s="4"/>
      <c r="AG456" s="4"/>
      <c r="AH456" s="4"/>
      <c r="AI456" s="4"/>
      <c r="AJ456" s="4"/>
      <c r="AK456" s="131" t="str">
        <f ca="1">IFERROR(__xludf.DUMMYFUNCTION("""COMPUTED_VALUE"""),"COLWSCANAL-1294")</f>
        <v>COLWSCANAL-1294</v>
      </c>
      <c r="AL456" s="4" t="str">
        <f ca="1">IFERROR(__xludf.DUMMYFUNCTION("""COMPUTED_VALUE"""),"Deployed")</f>
        <v>Deployed</v>
      </c>
      <c r="AM456" s="4" t="str">
        <f ca="1">IFERROR(__xludf.DUMMYFUNCTION("""COMPUTED_VALUE"""),"Ajustado en la SDA Suite de 4Q/2022 a 1Q/2023, tambien en JIRA.")</f>
        <v>Ajustado en la SDA Suite de 4Q/2022 a 1Q/2023, tambien en JIRA.</v>
      </c>
      <c r="AN456" s="4" t="str">
        <f ca="1">IFERROR(__xludf.DUMMYFUNCTION("""COMPUTED_VALUE"""),"Finalizado")</f>
        <v>Finalizado</v>
      </c>
      <c r="AO456" s="4"/>
      <c r="AP456" s="4"/>
      <c r="AQ456" s="4"/>
      <c r="AR456" s="4" t="str">
        <f ca="1">IFERROR(__xludf.DUMMYFUNCTION("""COMPUTED_VALUE"""),"SDA aprobada en PPP Q1 2023")</f>
        <v>SDA aprobada en PPP Q1 2023</v>
      </c>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row>
    <row r="457" spans="1:132" x14ac:dyDescent="0.2">
      <c r="A457" s="4">
        <f ca="1">IFERROR(__xludf.DUMMYFUNCTION("""COMPUTED_VALUE"""),457)</f>
        <v>457</v>
      </c>
      <c r="B457" s="4">
        <f ca="1">IFERROR(__xludf.DUMMYFUNCTION("""COMPUTED_VALUE"""),432)</f>
        <v>432</v>
      </c>
      <c r="C457" s="4" t="str">
        <f ca="1">IFERROR(__xludf.DUMMYFUNCTION("""COMPUTED_VALUE"""),"SDATOOL-35327")</f>
        <v>SDATOOL-35327</v>
      </c>
      <c r="D457" s="4" t="str">
        <f ca="1">IFERROR(__xludf.DUMMYFUNCTION("""COMPUTED_VALUE"""),"Impuestos 2021")</f>
        <v>Impuestos 2021</v>
      </c>
      <c r="E457"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7" s="4" t="str">
        <f ca="1">IFERROR(__xludf.DUMMYFUNCTION("""COMPUTED_VALUE"""),"Project")</f>
        <v>Project</v>
      </c>
      <c r="G457" s="4" t="str">
        <f ca="1">IFERROR(__xludf.DUMMYFUNCTION("""COMPUTED_VALUE"""),"Stock")</f>
        <v>Stock</v>
      </c>
      <c r="H457" s="4" t="str">
        <f ca="1">IFERROR(__xludf.DUMMYFUNCTION("""COMPUTED_VALUE"""),"2Q 2023")</f>
        <v>2Q 2023</v>
      </c>
      <c r="I457" s="131" t="str">
        <f ca="1">IFERROR(__xludf.DUMMYFUNCTION("""COMPUTED_VALUE"""),"alirio.bermudez-bbva.com")</f>
        <v>alirio.bermudez-bbva.com</v>
      </c>
      <c r="J457" s="131" t="str">
        <f ca="1">IFERROR(__xludf.DUMMYFUNCTION("""COMPUTED_VALUE"""),"nelson.ruiz-bbva.com")</f>
        <v>nelson.ruiz-bbva.com</v>
      </c>
      <c r="K457" s="131" t="str">
        <f ca="1">IFERROR(__xludf.DUMMYFUNCTION("""COMPUTED_VALUE"""),"elizabeth.diaz-bbva.com")</f>
        <v>elizabeth.diaz-bbva.com</v>
      </c>
      <c r="L457" s="4"/>
      <c r="M457" s="4"/>
      <c r="N457" s="4"/>
      <c r="O457" s="4" t="str">
        <f ca="1">IFERROR(__xludf.DUMMYFUNCTION("""COMPUTED_VALUE"""),"Waterfall")</f>
        <v>Waterfall</v>
      </c>
      <c r="P457" s="4" t="str">
        <f ca="1">IFERROR(__xludf.DUMMYFUNCTION("""COMPUTED_VALUE"""),"Tradicional")</f>
        <v>Tradicional</v>
      </c>
      <c r="Q457" s="4"/>
      <c r="R457" s="130" t="str">
        <f ca="1">IFERROR(__xludf.DUMMYFUNCTION("""COMPUTED_VALUE"""),"Enterprises")</f>
        <v>Enterprises</v>
      </c>
      <c r="S457" s="130" t="str">
        <f ca="1">IFERROR(__xludf.DUMMYFUNCTION("""COMPUTED_VALUE"""),"Strategic Review")</f>
        <v>Strategic Review</v>
      </c>
      <c r="T457" s="130" t="str">
        <f ca="1">IFERROR(__xludf.DUMMYFUNCTION("""COMPUTED_VALUE"""),"Otros")</f>
        <v>Otros</v>
      </c>
      <c r="U457" s="130" t="str">
        <f ca="1">IFERROR(__xludf.DUMMYFUNCTION("""COMPUTED_VALUE"""),"No Aplica")</f>
        <v>No Aplica</v>
      </c>
      <c r="V457" s="4" t="str">
        <f ca="1">IFERROR(__xludf.DUMMYFUNCTION("""COMPUTED_VALUE"""),"Impuestos")</f>
        <v>Impuestos</v>
      </c>
      <c r="W457" s="4">
        <f ca="1">IFERROR(__xludf.DUMMYFUNCTION("""COMPUTED_VALUE"""),3)</f>
        <v>3</v>
      </c>
      <c r="X457" s="4" t="str">
        <f ca="1">IFERROR(__xludf.DUMMYFUNCTION("""COMPUTED_VALUE"""),"08. Enterprise Transactionality")</f>
        <v>08. Enterprise Transactionality</v>
      </c>
      <c r="Y457" s="4" t="str">
        <f ca="1">IFERROR(__xludf.DUMMYFUNCTION("""COMPUTED_VALUE"""),"5.7.1 Keep the Bank Running")</f>
        <v>5.7.1 Keep the Bank Running</v>
      </c>
      <c r="Z457" s="132" t="str">
        <f ca="1">IFERROR(__xludf.DUMMYFUNCTION("""COMPUTED_VALUE"""),"489986")</f>
        <v>489986</v>
      </c>
      <c r="AA457" s="4" t="str">
        <f ca="1">IFERROR(__xludf.DUMMYFUNCTION("""COMPUTED_VALUE"""),"Ajuste técnico Recaudo en Línea SHD: CB´s, conexión WAS a Data power")</f>
        <v>Ajuste técnico Recaudo en Línea SHD: CB´s, conexión WAS a Data power</v>
      </c>
      <c r="AB457" s="4" t="str">
        <f ca="1">IFERROR(__xludf.DUMMYFUNCTION("""COMPUTED_VALUE"""),"Implementar el proceso establecido por las SHD para la transmisión, consultar y notificar en línea del recaudo generado a través de los Canales establecidos por BBVA el cual deberá consultar y notificar en línea a través del servicio de Webservices, cuya "&amp;"mejora busca el ajuste estratégico pagos de impuestos de SHD desde Corresponsales Bancarios Modelo asíncrono para que el llamado al WS no se realice por host evitando tiempos de latencia de red y quitándole la carga de la espera al WS.")</f>
        <v>Implementar el proceso establecido por las SHD para la transmisión, consultar y notificar en línea del recaudo generado a través de los Canales establecidos por BBVA el cual deberá consultar y notificar en línea a través del servicio de Webservices, cuya mejora busca el ajuste estratégico pagos de impuestos de SHD desde Corresponsales Bancarios Modelo asíncrono para que el llamado al WS no se realice por host evitando tiempos de latencia de red y quitándole la carga de la espera al WS.</v>
      </c>
      <c r="AC457" s="4" t="str">
        <f ca="1">IFERROR(__xludf.DUMMYFUNCTION("""COMPUTED_VALUE"""),"2Q 2023")</f>
        <v>2Q 2023</v>
      </c>
      <c r="AD457" s="4"/>
      <c r="AE457" s="4"/>
      <c r="AF457" s="4"/>
      <c r="AG457" s="4"/>
      <c r="AH457" s="4"/>
      <c r="AI457" s="4"/>
      <c r="AJ457" s="4"/>
      <c r="AK457" s="131" t="str">
        <f ca="1">IFERROR(__xludf.DUMMYFUNCTION("""COMPUTED_VALUE"""),"COLWSCONTA-243")</f>
        <v>COLWSCONTA-243</v>
      </c>
      <c r="AL457" s="4" t="str">
        <f ca="1">IFERROR(__xludf.DUMMYFUNCTION("""COMPUTED_VALUE"""),"Blocked")</f>
        <v>Blocked</v>
      </c>
      <c r="AM457" s="4" t="str">
        <f ca="1">IFERROR(__xludf.DUMMYFUNCTION("""COMPUTED_VALUE"""),"Ajustado en la SDA Suite de 4Q/2022 a 1Q/2023, tambien en JIRA.")</f>
        <v>Ajustado en la SDA Suite de 4Q/2022 a 1Q/2023, tambien en JIRA.</v>
      </c>
      <c r="AN457" s="4" t="str">
        <f ca="1">IFERROR(__xludf.DUMMYFUNCTION("""COMPUTED_VALUE"""),"Entregable en backlog")</f>
        <v>Entregable en backlog</v>
      </c>
      <c r="AO457" s="4"/>
      <c r="AP457" s="4"/>
      <c r="AQ457" s="4"/>
      <c r="AR457" s="4" t="str">
        <f ca="1">IFERROR(__xludf.DUMMYFUNCTION("""COMPUTED_VALUE"""),"SDA aprobada en PPP Q1 2023")</f>
        <v>SDA aprobada en PPP Q1 2023</v>
      </c>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row>
    <row r="458" spans="1:132" x14ac:dyDescent="0.2">
      <c r="A458" s="4">
        <f ca="1">IFERROR(__xludf.DUMMYFUNCTION("""COMPUTED_VALUE"""),458)</f>
        <v>458</v>
      </c>
      <c r="B458" s="4">
        <f ca="1">IFERROR(__xludf.DUMMYFUNCTION("""COMPUTED_VALUE"""),433)</f>
        <v>433</v>
      </c>
      <c r="C458" s="4" t="str">
        <f ca="1">IFERROR(__xludf.DUMMYFUNCTION("""COMPUTED_VALUE"""),"SDATOOL-35327")</f>
        <v>SDATOOL-35327</v>
      </c>
      <c r="D458" s="4" t="str">
        <f ca="1">IFERROR(__xludf.DUMMYFUNCTION("""COMPUTED_VALUE"""),"Impuestos 2021")</f>
        <v>Impuestos 2021</v>
      </c>
      <c r="E458"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8" s="4" t="str">
        <f ca="1">IFERROR(__xludf.DUMMYFUNCTION("""COMPUTED_VALUE"""),"Project")</f>
        <v>Project</v>
      </c>
      <c r="G458" s="4" t="str">
        <f ca="1">IFERROR(__xludf.DUMMYFUNCTION("""COMPUTED_VALUE"""),"Stock")</f>
        <v>Stock</v>
      </c>
      <c r="H458" s="4" t="str">
        <f ca="1">IFERROR(__xludf.DUMMYFUNCTION("""COMPUTED_VALUE"""),"2Q 2023")</f>
        <v>2Q 2023</v>
      </c>
      <c r="I458" s="131" t="str">
        <f ca="1">IFERROR(__xludf.DUMMYFUNCTION("""COMPUTED_VALUE"""),"alirio.bermudez-bbva.com")</f>
        <v>alirio.bermudez-bbva.com</v>
      </c>
      <c r="J458" s="131" t="str">
        <f ca="1">IFERROR(__xludf.DUMMYFUNCTION("""COMPUTED_VALUE"""),"nelson.ruiz-bbva.com")</f>
        <v>nelson.ruiz-bbva.com</v>
      </c>
      <c r="K458" s="131" t="str">
        <f ca="1">IFERROR(__xludf.DUMMYFUNCTION("""COMPUTED_VALUE"""),"elizabeth.diaz-bbva.com")</f>
        <v>elizabeth.diaz-bbva.com</v>
      </c>
      <c r="L458" s="4"/>
      <c r="M458" s="4"/>
      <c r="N458" s="4"/>
      <c r="O458" s="4" t="str">
        <f ca="1">IFERROR(__xludf.DUMMYFUNCTION("""COMPUTED_VALUE"""),"Waterfall")</f>
        <v>Waterfall</v>
      </c>
      <c r="P458" s="4" t="str">
        <f ca="1">IFERROR(__xludf.DUMMYFUNCTION("""COMPUTED_VALUE"""),"Tradicional")</f>
        <v>Tradicional</v>
      </c>
      <c r="Q458" s="4"/>
      <c r="R458" s="130" t="str">
        <f ca="1">IFERROR(__xludf.DUMMYFUNCTION("""COMPUTED_VALUE"""),"Enterprises")</f>
        <v>Enterprises</v>
      </c>
      <c r="S458" s="130" t="str">
        <f ca="1">IFERROR(__xludf.DUMMYFUNCTION("""COMPUTED_VALUE"""),"Strategic Review")</f>
        <v>Strategic Review</v>
      </c>
      <c r="T458" s="130" t="str">
        <f ca="1">IFERROR(__xludf.DUMMYFUNCTION("""COMPUTED_VALUE"""),"Otros")</f>
        <v>Otros</v>
      </c>
      <c r="U458" s="130" t="str">
        <f ca="1">IFERROR(__xludf.DUMMYFUNCTION("""COMPUTED_VALUE"""),"No Aplica")</f>
        <v>No Aplica</v>
      </c>
      <c r="V458" s="4" t="str">
        <f ca="1">IFERROR(__xludf.DUMMYFUNCTION("""COMPUTED_VALUE"""),"Impuestos")</f>
        <v>Impuestos</v>
      </c>
      <c r="W458" s="4">
        <f ca="1">IFERROR(__xludf.DUMMYFUNCTION("""COMPUTED_VALUE"""),3)</f>
        <v>3</v>
      </c>
      <c r="X458" s="4" t="str">
        <f ca="1">IFERROR(__xludf.DUMMYFUNCTION("""COMPUTED_VALUE"""),"08. Enterprise Transactionality")</f>
        <v>08. Enterprise Transactionality</v>
      </c>
      <c r="Y458" s="4" t="str">
        <f ca="1">IFERROR(__xludf.DUMMYFUNCTION("""COMPUTED_VALUE"""),"5.7.1 Keep the Bank Running")</f>
        <v>5.7.1 Keep the Bank Running</v>
      </c>
      <c r="Z458" s="132" t="str">
        <f ca="1">IFERROR(__xludf.DUMMYFUNCTION("""COMPUTED_VALUE"""),"310799")</f>
        <v>310799</v>
      </c>
      <c r="AA458" s="4" t="str">
        <f ca="1">IFERROR(__xludf.DUMMYFUNCTION("""COMPUTED_VALUE"""),"Recaudo en Línea Sec. Hacienda Bogotá")</f>
        <v>Recaudo en Línea Sec. Hacienda Bogotá</v>
      </c>
      <c r="AB458" s="4" t="str">
        <f ca="1">IFERROR(__xludf.DUMMYFUNCTION("""COMPUTED_VALUE"""),"Implementar el procedimiento establecido por las SHD para la transmisión, consulta y notificación en línea del recaudo generado a través de los Canales establecidos por BBVA el cual deberá consultar y notificar en linea a través del servicio de Webservice"&amp;"s. Requerimiento Legal")</f>
        <v>Implementar el procedimiento establecido por las SHD para la transmisión, consulta y notificación en línea del recaudo generado a través de los Canales establecidos por BBVA el cual deberá consultar y notificar en linea a través del servicio de Webservices. Requerimiento Legal</v>
      </c>
      <c r="AC458" s="4" t="str">
        <f ca="1">IFERROR(__xludf.DUMMYFUNCTION("""COMPUTED_VALUE"""),"2Q 2023")</f>
        <v>2Q 2023</v>
      </c>
      <c r="AD458" s="128">
        <f ca="1">IFERROR(__xludf.DUMMYFUNCTION("""COMPUTED_VALUE"""),43892)</f>
        <v>43892</v>
      </c>
      <c r="AE458" s="128">
        <f ca="1">IFERROR(__xludf.DUMMYFUNCTION("""COMPUTED_VALUE"""),43970)</f>
        <v>43970</v>
      </c>
      <c r="AF458" s="128">
        <f ca="1">IFERROR(__xludf.DUMMYFUNCTION("""COMPUTED_VALUE"""),44357)</f>
        <v>44357</v>
      </c>
      <c r="AG458" s="128">
        <f ca="1">IFERROR(__xludf.DUMMYFUNCTION("""COMPUTED_VALUE"""),44774)</f>
        <v>44774</v>
      </c>
      <c r="AH458" s="128">
        <f ca="1">IFERROR(__xludf.DUMMYFUNCTION("""COMPUTED_VALUE"""),44785)</f>
        <v>44785</v>
      </c>
      <c r="AI458" s="4"/>
      <c r="AJ458" s="4"/>
      <c r="AK458" s="131" t="str">
        <f ca="1">IFERROR(__xludf.DUMMYFUNCTION("""COMPUTED_VALUE"""),"CCSS-209")</f>
        <v>CCSS-209</v>
      </c>
      <c r="AL458" s="4" t="str">
        <f ca="1">IFERROR(__xludf.DUMMYFUNCTION("""COMPUTED_VALUE"""),"Blocked")</f>
        <v>Blocked</v>
      </c>
      <c r="AM458" s="4" t="str">
        <f ca="1">IFERROR(__xludf.DUMMYFUNCTION("""COMPUTED_VALUE"""),"Stand By por SHD")</f>
        <v>Stand By por SHD</v>
      </c>
      <c r="AN458" s="4" t="str">
        <f ca="1">IFERROR(__xludf.DUMMYFUNCTION("""COMPUTED_VALUE"""),"Entregable en backlog")</f>
        <v>Entregable en backlog</v>
      </c>
      <c r="AO458" s="4"/>
      <c r="AP458" s="4"/>
      <c r="AQ458" s="4"/>
      <c r="AR458" s="4" t="str">
        <f ca="1">IFERROR(__xludf.DUMMYFUNCTION("""COMPUTED_VALUE"""),"SDA aprobada en PPP Q1 2023")</f>
        <v>SDA aprobada en PPP Q1 2023</v>
      </c>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row>
    <row r="459" spans="1:132" x14ac:dyDescent="0.2">
      <c r="A459" s="4">
        <f ca="1">IFERROR(__xludf.DUMMYFUNCTION("""COMPUTED_VALUE"""),459)</f>
        <v>459</v>
      </c>
      <c r="B459" s="4">
        <f ca="1">IFERROR(__xludf.DUMMYFUNCTION("""COMPUTED_VALUE"""),434)</f>
        <v>434</v>
      </c>
      <c r="C459" s="4" t="str">
        <f ca="1">IFERROR(__xludf.DUMMYFUNCTION("""COMPUTED_VALUE"""),"SDATOOL-35327")</f>
        <v>SDATOOL-35327</v>
      </c>
      <c r="D459" s="4" t="str">
        <f ca="1">IFERROR(__xludf.DUMMYFUNCTION("""COMPUTED_VALUE"""),"Impuestos 2021")</f>
        <v>Impuestos 2021</v>
      </c>
      <c r="E459"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9" s="4" t="str">
        <f ca="1">IFERROR(__xludf.DUMMYFUNCTION("""COMPUTED_VALUE"""),"Project")</f>
        <v>Project</v>
      </c>
      <c r="G459" s="4" t="str">
        <f ca="1">IFERROR(__xludf.DUMMYFUNCTION("""COMPUTED_VALUE"""),"Stock")</f>
        <v>Stock</v>
      </c>
      <c r="H459" s="4" t="str">
        <f ca="1">IFERROR(__xludf.DUMMYFUNCTION("""COMPUTED_VALUE"""),"2Q 2023")</f>
        <v>2Q 2023</v>
      </c>
      <c r="I459" s="131" t="str">
        <f ca="1">IFERROR(__xludf.DUMMYFUNCTION("""COMPUTED_VALUE"""),"alirio.bermudez-bbva.com")</f>
        <v>alirio.bermudez-bbva.com</v>
      </c>
      <c r="J459" s="131" t="str">
        <f ca="1">IFERROR(__xludf.DUMMYFUNCTION("""COMPUTED_VALUE"""),"nelson.ruiz-bbva.com")</f>
        <v>nelson.ruiz-bbva.com</v>
      </c>
      <c r="K459" s="131" t="str">
        <f ca="1">IFERROR(__xludf.DUMMYFUNCTION("""COMPUTED_VALUE"""),"elizabeth.diaz-bbva.com")</f>
        <v>elizabeth.diaz-bbva.com</v>
      </c>
      <c r="L459" s="4"/>
      <c r="M459" s="4"/>
      <c r="N459" s="4"/>
      <c r="O459" s="4" t="str">
        <f ca="1">IFERROR(__xludf.DUMMYFUNCTION("""COMPUTED_VALUE"""),"Waterfall")</f>
        <v>Waterfall</v>
      </c>
      <c r="P459" s="4" t="str">
        <f ca="1">IFERROR(__xludf.DUMMYFUNCTION("""COMPUTED_VALUE"""),"Tradicional")</f>
        <v>Tradicional</v>
      </c>
      <c r="Q459" s="4"/>
      <c r="R459" s="130" t="str">
        <f ca="1">IFERROR(__xludf.DUMMYFUNCTION("""COMPUTED_VALUE"""),"Enterprises")</f>
        <v>Enterprises</v>
      </c>
      <c r="S459" s="130" t="str">
        <f ca="1">IFERROR(__xludf.DUMMYFUNCTION("""COMPUTED_VALUE"""),"Strategic Review")</f>
        <v>Strategic Review</v>
      </c>
      <c r="T459" s="130" t="str">
        <f ca="1">IFERROR(__xludf.DUMMYFUNCTION("""COMPUTED_VALUE"""),"Otros")</f>
        <v>Otros</v>
      </c>
      <c r="U459" s="130" t="str">
        <f ca="1">IFERROR(__xludf.DUMMYFUNCTION("""COMPUTED_VALUE"""),"No Aplica")</f>
        <v>No Aplica</v>
      </c>
      <c r="V459" s="4" t="str">
        <f ca="1">IFERROR(__xludf.DUMMYFUNCTION("""COMPUTED_VALUE"""),"Impuestos")</f>
        <v>Impuestos</v>
      </c>
      <c r="W459" s="4">
        <f ca="1">IFERROR(__xludf.DUMMYFUNCTION("""COMPUTED_VALUE"""),3)</f>
        <v>3</v>
      </c>
      <c r="X459" s="4" t="str">
        <f ca="1">IFERROR(__xludf.DUMMYFUNCTION("""COMPUTED_VALUE"""),"08. Enterprise Transactionality")</f>
        <v>08. Enterprise Transactionality</v>
      </c>
      <c r="Y459" s="4" t="str">
        <f ca="1">IFERROR(__xludf.DUMMYFUNCTION("""COMPUTED_VALUE"""),"5.7.1 Keep the Bank Running")</f>
        <v>5.7.1 Keep the Bank Running</v>
      </c>
      <c r="Z459" s="132" t="str">
        <f ca="1">IFERROR(__xludf.DUMMYFUNCTION("""COMPUTED_VALUE"""),"553989")</f>
        <v>553989</v>
      </c>
      <c r="AA459" s="4" t="str">
        <f ca="1">IFERROR(__xludf.DUMMYFUNCTION("""COMPUTED_VALUE"""),"Recaudo Línea Integrado a Módulo Impuesto SAP Secretaría Hacienda Distrital")</f>
        <v>Recaudo Línea Integrado a Módulo Impuesto SAP Secretaría Hacienda Distrital</v>
      </c>
      <c r="AB459" s="4" t="str">
        <f ca="1">IFERROR(__xludf.DUMMYFUNCTION("""COMPUTED_VALUE"""),"BBVA realizará acompañamiento a las pruebas de regresión con la Secretaría de Hacienda Distrital, debido al cambio del sistema de información que se encuentra realizando de SIT a SAP, con el propósito de re certificar y mantener la continuidad del conveni"&amp;"o entre BBVA y SHD para Recaudo de Impuestos en el 2022.")</f>
        <v>BBVA realizará acompañamiento a las pruebas de regresión con la Secretaría de Hacienda Distrital, debido al cambio del sistema de información que se encuentra realizando de SIT a SAP, con el propósito de re certificar y mantener la continuidad del convenio entre BBVA y SHD para Recaudo de Impuestos en el 2022.</v>
      </c>
      <c r="AC459" s="4" t="str">
        <f ca="1">IFERROR(__xludf.DUMMYFUNCTION("""COMPUTED_VALUE"""),"2Q 2023")</f>
        <v>2Q 2023</v>
      </c>
      <c r="AD459" s="4"/>
      <c r="AE459" s="4"/>
      <c r="AF459" s="4"/>
      <c r="AG459" s="4"/>
      <c r="AH459" s="4"/>
      <c r="AI459" s="4"/>
      <c r="AJ459" s="4"/>
      <c r="AK459" s="131" t="str">
        <f ca="1">IFERROR(__xludf.DUMMYFUNCTION("""COMPUTED_VALUE"""),"COLWSCONTA-527")</f>
        <v>COLWSCONTA-527</v>
      </c>
      <c r="AL459" s="4" t="str">
        <f ca="1">IFERROR(__xludf.DUMMYFUNCTION("""COMPUTED_VALUE"""),"Blocked")</f>
        <v>Blocked</v>
      </c>
      <c r="AM459" s="4" t="str">
        <f ca="1">IFERROR(__xludf.DUMMYFUNCTION("""COMPUTED_VALUE"""),"Stand By por SHD")</f>
        <v>Stand By por SHD</v>
      </c>
      <c r="AN459" s="4" t="str">
        <f ca="1">IFERROR(__xludf.DUMMYFUNCTION("""COMPUTED_VALUE"""),"Entregable en backlog")</f>
        <v>Entregable en backlog</v>
      </c>
      <c r="AO459" s="4"/>
      <c r="AP459" s="4"/>
      <c r="AQ459" s="4"/>
      <c r="AR459" s="4" t="str">
        <f ca="1">IFERROR(__xludf.DUMMYFUNCTION("""COMPUTED_VALUE"""),"SDA aprobada en PPP Q1 2023")</f>
        <v>SDA aprobada en PPP Q1 2023</v>
      </c>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row>
    <row r="460" spans="1:132" x14ac:dyDescent="0.2">
      <c r="A460" s="4">
        <f ca="1">IFERROR(__xludf.DUMMYFUNCTION("""COMPUTED_VALUE"""),460)</f>
        <v>460</v>
      </c>
      <c r="B460" s="4">
        <f ca="1">IFERROR(__xludf.DUMMYFUNCTION("""COMPUTED_VALUE"""),435)</f>
        <v>435</v>
      </c>
      <c r="C460" s="4" t="str">
        <f ca="1">IFERROR(__xludf.DUMMYFUNCTION("""COMPUTED_VALUE"""),"SDATOOL-37425")</f>
        <v>SDATOOL-37425</v>
      </c>
      <c r="D460"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0"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0" s="4" t="str">
        <f ca="1">IFERROR(__xludf.DUMMYFUNCTION("""COMPUTED_VALUE"""),"Project")</f>
        <v>Project</v>
      </c>
      <c r="G460" s="4" t="str">
        <f ca="1">IFERROR(__xludf.DUMMYFUNCTION("""COMPUTED_VALUE"""),"Stock")</f>
        <v>Stock</v>
      </c>
      <c r="H460" s="4" t="str">
        <f ca="1">IFERROR(__xludf.DUMMYFUNCTION("""COMPUTED_VALUE"""),"2Q 2023")</f>
        <v>2Q 2023</v>
      </c>
      <c r="I460" s="131" t="str">
        <f ca="1">IFERROR(__xludf.DUMMYFUNCTION("""COMPUTED_VALUE"""),"alirio.bermudez-bbva.com")</f>
        <v>alirio.bermudez-bbva.com</v>
      </c>
      <c r="J460" s="131" t="str">
        <f ca="1">IFERROR(__xludf.DUMMYFUNCTION("""COMPUTED_VALUE"""),"nelson.ruiz-bbva.com")</f>
        <v>nelson.ruiz-bbva.com</v>
      </c>
      <c r="K460" s="131" t="str">
        <f ca="1">IFERROR(__xludf.DUMMYFUNCTION("""COMPUTED_VALUE"""),"elizabeth.diaz-bbva.com")</f>
        <v>elizabeth.diaz-bbva.com</v>
      </c>
      <c r="L460" s="130">
        <f ca="1">IFERROR(__xludf.DUMMYFUNCTION("""COMPUTED_VALUE"""),0.2)</f>
        <v>0.2</v>
      </c>
      <c r="M460" s="130">
        <f ca="1">IFERROR(__xludf.DUMMYFUNCTION("""COMPUTED_VALUE"""),1.45)</f>
        <v>1.45</v>
      </c>
      <c r="N460" s="130">
        <f ca="1">IFERROR(__xludf.DUMMYFUNCTION("""COMPUTED_VALUE"""),1.25)</f>
        <v>1.25</v>
      </c>
      <c r="O460" s="4" t="str">
        <f ca="1">IFERROR(__xludf.DUMMYFUNCTION("""COMPUTED_VALUE"""),"Waterfall")</f>
        <v>Waterfall</v>
      </c>
      <c r="P460" s="4" t="str">
        <f ca="1">IFERROR(__xludf.DUMMYFUNCTION("""COMPUTED_VALUE"""),"Tradicional")</f>
        <v>Tradicional</v>
      </c>
      <c r="Q460" s="4"/>
      <c r="R460" s="130" t="str">
        <f ca="1">IFERROR(__xludf.DUMMYFUNCTION("""COMPUTED_VALUE"""),"Enterprises")</f>
        <v>Enterprises</v>
      </c>
      <c r="S460" s="130" t="str">
        <f ca="1">IFERROR(__xludf.DUMMYFUNCTION("""COMPUTED_VALUE"""),"Strategic Review")</f>
        <v>Strategic Review</v>
      </c>
      <c r="T460" s="130" t="str">
        <f ca="1">IFERROR(__xludf.DUMMYFUNCTION("""COMPUTED_VALUE"""),"Normativo")</f>
        <v>Normativo</v>
      </c>
      <c r="U460" s="130" t="str">
        <f ca="1">IFERROR(__xludf.DUMMYFUNCTION("""COMPUTED_VALUE"""),"No Aplica")</f>
        <v>No Aplica</v>
      </c>
      <c r="V460" s="4" t="str">
        <f ca="1">IFERROR(__xludf.DUMMYFUNCTION("""COMPUTED_VALUE"""),"Impuestos")</f>
        <v>Impuestos</v>
      </c>
      <c r="W460" s="4">
        <f ca="1">IFERROR(__xludf.DUMMYFUNCTION("""COMPUTED_VALUE"""),3)</f>
        <v>3</v>
      </c>
      <c r="X460" s="4" t="str">
        <f ca="1">IFERROR(__xludf.DUMMYFUNCTION("""COMPUTED_VALUE"""),"08. Enterprise Transactionality")</f>
        <v>08. Enterprise Transactionality</v>
      </c>
      <c r="Y460" s="4" t="str">
        <f ca="1">IFERROR(__xludf.DUMMYFUNCTION("""COMPUTED_VALUE"""),"5.7.1 Keep the Bank Running")</f>
        <v>5.7.1 Keep the Bank Running</v>
      </c>
      <c r="Z460" s="132" t="str">
        <f ca="1">IFERROR(__xludf.DUMMYFUNCTION("""COMPUTED_VALUE"""),"369419")</f>
        <v>369419</v>
      </c>
      <c r="AA460" s="4" t="str">
        <f ca="1">IFERROR(__xludf.DUMMYFUNCTION("""COMPUTED_VALUE"""),"Recaudo pago impuesto nacional y aduaneros DIAN TdC BBVA canal Net Personas")</f>
        <v>Recaudo pago impuesto nacional y aduaneros DIAN TdC BBVA canal Net Personas</v>
      </c>
      <c r="AB460"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Personas. Se requiere estructurar y desarrollar: Mejora en los procesos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Personas. Se requiere estructurar y desarrollar: Mejora en los procesos de Pago a través de Tarjeta de Crédito BBVA Incorporación de nuevos códigos para la operación y Reportería asociada al medio de pago.</v>
      </c>
      <c r="AC460" s="4" t="str">
        <f ca="1">IFERROR(__xludf.DUMMYFUNCTION("""COMPUTED_VALUE"""),"2Q 2023")</f>
        <v>2Q 2023</v>
      </c>
      <c r="AD460" s="128">
        <f ca="1">IFERROR(__xludf.DUMMYFUNCTION("""COMPUTED_VALUE"""),44462)</f>
        <v>44462</v>
      </c>
      <c r="AE460" s="128">
        <f ca="1">IFERROR(__xludf.DUMMYFUNCTION("""COMPUTED_VALUE"""),44763)</f>
        <v>44763</v>
      </c>
      <c r="AF460" s="4"/>
      <c r="AG460" s="4"/>
      <c r="AH460" s="4"/>
      <c r="AI460" s="4"/>
      <c r="AJ460" s="4"/>
      <c r="AK460" s="131" t="str">
        <f ca="1">IFERROR(__xludf.DUMMYFUNCTION("""COMPUTED_VALUE"""),"COLWSCANAL-14969")</f>
        <v>COLWSCANAL-14969</v>
      </c>
      <c r="AL460" s="4" t="str">
        <f ca="1">IFERROR(__xludf.DUMMYFUNCTION("""COMPUTED_VALUE"""),"New")</f>
        <v>New</v>
      </c>
      <c r="AM460" s="4"/>
      <c r="AN460" s="4" t="str">
        <f ca="1">IFERROR(__xludf.DUMMYFUNCTION("""COMPUTED_VALUE"""),"Entregable en desarrollo")</f>
        <v>Entregable en desarrollo</v>
      </c>
      <c r="AO460" s="4"/>
      <c r="AP460" s="4"/>
      <c r="AQ460" s="4"/>
      <c r="AR460" s="4" t="str">
        <f ca="1">IFERROR(__xludf.DUMMYFUNCTION("""COMPUTED_VALUE"""),"SDA aprobada en PPP Q1 2023")</f>
        <v>SDA aprobada en PPP Q1 2023</v>
      </c>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133">
        <f ca="1">IFERROR(__xludf.DUMMYFUNCTION("""COMPUTED_VALUE"""),0)</f>
        <v>0</v>
      </c>
      <c r="DV460" s="133">
        <f ca="1">IFERROR(__xludf.DUMMYFUNCTION("""COMPUTED_VALUE"""),0)</f>
        <v>0</v>
      </c>
      <c r="DW460" s="133">
        <f ca="1">IFERROR(__xludf.DUMMYFUNCTION("""COMPUTED_VALUE"""),54926283)</f>
        <v>54926283</v>
      </c>
      <c r="DX460" s="133">
        <f ca="1">IFERROR(__xludf.DUMMYFUNCTION("""COMPUTED_VALUE"""),243578077)</f>
        <v>243578077</v>
      </c>
      <c r="DY460" s="133">
        <f ca="1">IFERROR(__xludf.DUMMYFUNCTION("""COMPUTED_VALUE"""),0)</f>
        <v>0</v>
      </c>
      <c r="DZ460" s="133">
        <f ca="1">IFERROR(__xludf.DUMMYFUNCTION("""COMPUTED_VALUE"""),298504360)</f>
        <v>298504360</v>
      </c>
      <c r="EA460" s="4"/>
      <c r="EB460" s="4"/>
    </row>
    <row r="461" spans="1:132" x14ac:dyDescent="0.2">
      <c r="A461" s="4">
        <f ca="1">IFERROR(__xludf.DUMMYFUNCTION("""COMPUTED_VALUE"""),461)</f>
        <v>461</v>
      </c>
      <c r="B461" s="4">
        <f ca="1">IFERROR(__xludf.DUMMYFUNCTION("""COMPUTED_VALUE"""),436)</f>
        <v>436</v>
      </c>
      <c r="C461" s="4" t="str">
        <f ca="1">IFERROR(__xludf.DUMMYFUNCTION("""COMPUTED_VALUE"""),"SDATOOL-37425")</f>
        <v>SDATOOL-37425</v>
      </c>
      <c r="D461"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1"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1" s="4" t="str">
        <f ca="1">IFERROR(__xludf.DUMMYFUNCTION("""COMPUTED_VALUE"""),"Project")</f>
        <v>Project</v>
      </c>
      <c r="G461" s="4" t="str">
        <f ca="1">IFERROR(__xludf.DUMMYFUNCTION("""COMPUTED_VALUE"""),"Stock")</f>
        <v>Stock</v>
      </c>
      <c r="H461" s="4" t="str">
        <f ca="1">IFERROR(__xludf.DUMMYFUNCTION("""COMPUTED_VALUE"""),"2Q 2023")</f>
        <v>2Q 2023</v>
      </c>
      <c r="I461" s="131" t="str">
        <f ca="1">IFERROR(__xludf.DUMMYFUNCTION("""COMPUTED_VALUE"""),"alirio.bermudez-bbva.com")</f>
        <v>alirio.bermudez-bbva.com</v>
      </c>
      <c r="J461" s="131" t="str">
        <f ca="1">IFERROR(__xludf.DUMMYFUNCTION("""COMPUTED_VALUE"""),"nelson.ruiz-bbva.com")</f>
        <v>nelson.ruiz-bbva.com</v>
      </c>
      <c r="K461" s="131" t="str">
        <f ca="1">IFERROR(__xludf.DUMMYFUNCTION("""COMPUTED_VALUE"""),"elizabeth.diaz-bbva.com")</f>
        <v>elizabeth.diaz-bbva.com</v>
      </c>
      <c r="L461" s="4"/>
      <c r="M461" s="4"/>
      <c r="N461" s="4"/>
      <c r="O461" s="4" t="str">
        <f ca="1">IFERROR(__xludf.DUMMYFUNCTION("""COMPUTED_VALUE"""),"Waterfall")</f>
        <v>Waterfall</v>
      </c>
      <c r="P461" s="4" t="str">
        <f ca="1">IFERROR(__xludf.DUMMYFUNCTION("""COMPUTED_VALUE"""),"Tradicional")</f>
        <v>Tradicional</v>
      </c>
      <c r="Q461" s="4"/>
      <c r="R461" s="130" t="str">
        <f ca="1">IFERROR(__xludf.DUMMYFUNCTION("""COMPUTED_VALUE"""),"Enterprises")</f>
        <v>Enterprises</v>
      </c>
      <c r="S461" s="130" t="str">
        <f ca="1">IFERROR(__xludf.DUMMYFUNCTION("""COMPUTED_VALUE"""),"Strategic Review")</f>
        <v>Strategic Review</v>
      </c>
      <c r="T461" s="130" t="str">
        <f ca="1">IFERROR(__xludf.DUMMYFUNCTION("""COMPUTED_VALUE"""),"Normativo")</f>
        <v>Normativo</v>
      </c>
      <c r="U461" s="130" t="str">
        <f ca="1">IFERROR(__xludf.DUMMYFUNCTION("""COMPUTED_VALUE"""),"No Aplica")</f>
        <v>No Aplica</v>
      </c>
      <c r="V461" s="4" t="str">
        <f ca="1">IFERROR(__xludf.DUMMYFUNCTION("""COMPUTED_VALUE"""),"Impuestos")</f>
        <v>Impuestos</v>
      </c>
      <c r="W461" s="4">
        <f ca="1">IFERROR(__xludf.DUMMYFUNCTION("""COMPUTED_VALUE"""),3)</f>
        <v>3</v>
      </c>
      <c r="X461" s="4" t="str">
        <f ca="1">IFERROR(__xludf.DUMMYFUNCTION("""COMPUTED_VALUE"""),"08. Enterprise Transactionality")</f>
        <v>08. Enterprise Transactionality</v>
      </c>
      <c r="Y461" s="4" t="str">
        <f ca="1">IFERROR(__xludf.DUMMYFUNCTION("""COMPUTED_VALUE"""),"5.7.1 Keep the Bank Running")</f>
        <v>5.7.1 Keep the Bank Running</v>
      </c>
      <c r="Z461" s="132" t="str">
        <f ca="1">IFERROR(__xludf.DUMMYFUNCTION("""COMPUTED_VALUE"""),"711271")</f>
        <v>711271</v>
      </c>
      <c r="AA461" s="4" t="str">
        <f ca="1">IFERROR(__xludf.DUMMYFUNCTION("""COMPUTED_VALUE"""),"Recaudo pago impuestos nacionales y aduaneros DIAN TdC BBVA Net Cash-HOST")</f>
        <v>Recaudo pago impuestos nacionales y aduaneros DIAN TdC BBVA Net Cash-HOST</v>
      </c>
      <c r="AB461"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Cash. Se requiere estructurar y desarrollar: Mejora en el proceso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Cash. Se requiere estructurar y desarrollar: Mejora en el proceso de Pago a través de Tarjeta de Crédito BBVA Incorporación de nuevos códigos para la operación y Reportería asociada al medio de pago.</v>
      </c>
      <c r="AC461" s="4" t="str">
        <f ca="1">IFERROR(__xludf.DUMMYFUNCTION("""COMPUTED_VALUE"""),"3Q 2023")</f>
        <v>3Q 2023</v>
      </c>
      <c r="AD461" s="4"/>
      <c r="AE461" s="4"/>
      <c r="AF461" s="4"/>
      <c r="AG461" s="4"/>
      <c r="AH461" s="4"/>
      <c r="AI461" s="4"/>
      <c r="AJ461" s="4"/>
      <c r="AK461" s="131" t="str">
        <f ca="1">IFERROR(__xludf.DUMMYFUNCTION("""COMPUTED_VALUE"""),"COLWSCANAL-13700")</f>
        <v>COLWSCANAL-13700</v>
      </c>
      <c r="AL461" s="4" t="str">
        <f ca="1">IFERROR(__xludf.DUMMYFUNCTION("""COMPUTED_VALUE"""),"New")</f>
        <v>New</v>
      </c>
      <c r="AM461" s="4"/>
      <c r="AN461" s="4" t="str">
        <f ca="1">IFERROR(__xludf.DUMMYFUNCTION("""COMPUTED_VALUE"""),"Entregable en Conceptualización")</f>
        <v>Entregable en Conceptualización</v>
      </c>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row>
    <row r="462" spans="1:132" x14ac:dyDescent="0.2">
      <c r="A462" s="4">
        <f ca="1">IFERROR(__xludf.DUMMYFUNCTION("""COMPUTED_VALUE"""),462)</f>
        <v>462</v>
      </c>
      <c r="B462" s="4">
        <f ca="1">IFERROR(__xludf.DUMMYFUNCTION("""COMPUTED_VALUE"""),437)</f>
        <v>437</v>
      </c>
      <c r="C462" s="4" t="str">
        <f ca="1">IFERROR(__xludf.DUMMYFUNCTION("""COMPUTED_VALUE"""),"SDATOOL-37425")</f>
        <v>SDATOOL-37425</v>
      </c>
      <c r="D462"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2"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2" s="4" t="str">
        <f ca="1">IFERROR(__xludf.DUMMYFUNCTION("""COMPUTED_VALUE"""),"Project")</f>
        <v>Project</v>
      </c>
      <c r="G462" s="4" t="str">
        <f ca="1">IFERROR(__xludf.DUMMYFUNCTION("""COMPUTED_VALUE"""),"Stock")</f>
        <v>Stock</v>
      </c>
      <c r="H462" s="4" t="str">
        <f ca="1">IFERROR(__xludf.DUMMYFUNCTION("""COMPUTED_VALUE"""),"2Q 2023")</f>
        <v>2Q 2023</v>
      </c>
      <c r="I462" s="131" t="str">
        <f ca="1">IFERROR(__xludf.DUMMYFUNCTION("""COMPUTED_VALUE"""),"alirio.bermudez-bbva.com")</f>
        <v>alirio.bermudez-bbva.com</v>
      </c>
      <c r="J462" s="131" t="str">
        <f ca="1">IFERROR(__xludf.DUMMYFUNCTION("""COMPUTED_VALUE"""),"nelson.ruiz-bbva.com")</f>
        <v>nelson.ruiz-bbva.com</v>
      </c>
      <c r="K462" s="131" t="str">
        <f ca="1">IFERROR(__xludf.DUMMYFUNCTION("""COMPUTED_VALUE"""),"elizabeth.diaz-bbva.com")</f>
        <v>elizabeth.diaz-bbva.com</v>
      </c>
      <c r="L462" s="4"/>
      <c r="M462" s="4"/>
      <c r="N462" s="4"/>
      <c r="O462" s="4" t="str">
        <f ca="1">IFERROR(__xludf.DUMMYFUNCTION("""COMPUTED_VALUE"""),"Waterfall")</f>
        <v>Waterfall</v>
      </c>
      <c r="P462" s="4" t="str">
        <f ca="1">IFERROR(__xludf.DUMMYFUNCTION("""COMPUTED_VALUE"""),"Tradicional")</f>
        <v>Tradicional</v>
      </c>
      <c r="Q462" s="4"/>
      <c r="R462" s="130" t="str">
        <f ca="1">IFERROR(__xludf.DUMMYFUNCTION("""COMPUTED_VALUE"""),"Enterprises")</f>
        <v>Enterprises</v>
      </c>
      <c r="S462" s="130" t="str">
        <f ca="1">IFERROR(__xludf.DUMMYFUNCTION("""COMPUTED_VALUE"""),"Strategic Review")</f>
        <v>Strategic Review</v>
      </c>
      <c r="T462" s="130" t="str">
        <f ca="1">IFERROR(__xludf.DUMMYFUNCTION("""COMPUTED_VALUE"""),"Normativo")</f>
        <v>Normativo</v>
      </c>
      <c r="U462" s="130" t="str">
        <f ca="1">IFERROR(__xludf.DUMMYFUNCTION("""COMPUTED_VALUE"""),"No Aplica")</f>
        <v>No Aplica</v>
      </c>
      <c r="V462" s="4" t="str">
        <f ca="1">IFERROR(__xludf.DUMMYFUNCTION("""COMPUTED_VALUE"""),"Impuestos")</f>
        <v>Impuestos</v>
      </c>
      <c r="W462" s="4">
        <f ca="1">IFERROR(__xludf.DUMMYFUNCTION("""COMPUTED_VALUE"""),3)</f>
        <v>3</v>
      </c>
      <c r="X462" s="4" t="str">
        <f ca="1">IFERROR(__xludf.DUMMYFUNCTION("""COMPUTED_VALUE"""),"08. Enterprise Transactionality")</f>
        <v>08. Enterprise Transactionality</v>
      </c>
      <c r="Y462" s="4" t="str">
        <f ca="1">IFERROR(__xludf.DUMMYFUNCTION("""COMPUTED_VALUE"""),"5.7.1 Keep the Bank Running")</f>
        <v>5.7.1 Keep the Bank Running</v>
      </c>
      <c r="Z462" s="132" t="str">
        <f ca="1">IFERROR(__xludf.DUMMYFUNCTION("""COMPUTED_VALUE"""),"319647")</f>
        <v>319647</v>
      </c>
      <c r="AA462" s="4" t="str">
        <f ca="1">IFERROR(__xludf.DUMMYFUNCTION("""COMPUTED_VALUE"""),"Recaudo pago impuestos nacionales y aduaneros DIAN TdC BBVA Net Cash DISTRB")</f>
        <v>Recaudo pago impuestos nacionales y aduaneros DIAN TdC BBVA Net Cash DISTRB</v>
      </c>
      <c r="AB462"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Cash. 
Se requiere estructurar y desarrollar: Mejora en el procesos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Cash. 
Se requiere estructurar y desarrollar: Mejora en el procesos de Pago a través de Tarjeta de Crédito BBVA Incorporación de nuevos códigos para la operación y Reportería asociada al medio de pago.</v>
      </c>
      <c r="AC462" s="4" t="str">
        <f ca="1">IFERROR(__xludf.DUMMYFUNCTION("""COMPUTED_VALUE"""),"3Q 2023")</f>
        <v>3Q 2023</v>
      </c>
      <c r="AD462" s="128">
        <f ca="1">IFERROR(__xludf.DUMMYFUNCTION("""COMPUTED_VALUE"""),44462)</f>
        <v>44462</v>
      </c>
      <c r="AE462" s="4"/>
      <c r="AF462" s="4"/>
      <c r="AG462" s="4"/>
      <c r="AH462" s="4"/>
      <c r="AI462" s="4"/>
      <c r="AJ462" s="4"/>
      <c r="AK462" s="131" t="str">
        <f ca="1">IFERROR(__xludf.DUMMYFUNCTION("""COMPUTED_VALUE"""),"COLWSCANAL-6555")</f>
        <v>COLWSCANAL-6555</v>
      </c>
      <c r="AL462" s="4" t="str">
        <f ca="1">IFERROR(__xludf.DUMMYFUNCTION("""COMPUTED_VALUE"""),"En progreso")</f>
        <v>En progreso</v>
      </c>
      <c r="AM462" s="4"/>
      <c r="AN462" s="4" t="str">
        <f ca="1">IFERROR(__xludf.DUMMYFUNCTION("""COMPUTED_VALUE"""),"Entregable en desarrollo")</f>
        <v>Entregable en desarrollo</v>
      </c>
      <c r="AO462" s="4"/>
      <c r="AP462" s="4"/>
      <c r="AQ462" s="4"/>
      <c r="AR462" s="4" t="str">
        <f ca="1">IFERROR(__xludf.DUMMYFUNCTION("""COMPUTED_VALUE"""),"SDA aprobada en PPP Q1 2023")</f>
        <v>SDA aprobada en PPP Q1 2023</v>
      </c>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row>
    <row r="463" spans="1:132" x14ac:dyDescent="0.2">
      <c r="A463" s="4">
        <f ca="1">IFERROR(__xludf.DUMMYFUNCTION("""COMPUTED_VALUE"""),463)</f>
        <v>463</v>
      </c>
      <c r="B463" s="4">
        <f ca="1">IFERROR(__xludf.DUMMYFUNCTION("""COMPUTED_VALUE"""),438)</f>
        <v>438</v>
      </c>
      <c r="C463" s="4" t="str">
        <f ca="1">IFERROR(__xludf.DUMMYFUNCTION("""COMPUTED_VALUE"""),"SDATOOL-39834")</f>
        <v>SDATOOL-39834</v>
      </c>
      <c r="D463" s="4" t="str">
        <f ca="1">IFERROR(__xludf.DUMMYFUNCTION("""COMPUTED_VALUE"""),"Recaudo en Línea Secretaría de Hacienda Distrital - Fase II:  Solución paramétrica de recaudos para la inclusión de 7 formularios tributarios en Canales electrónicos Web y Corresponsal Bancario.")</f>
        <v>Recaudo en Línea Secretaría de Hacienda Distrital - Fase II:  Solución paramétrica de recaudos para la inclusión de 7 formularios tributarios en Canales electrónicos Web y Corresponsal Bancario.</v>
      </c>
      <c r="E463" s="4" t="str">
        <f ca="1">IFERROR(__xludf.DUMMYFUNCTION("""COMPUTED_VALUE"""),"Actualmente figuran en los canales (Móvil, CB´s, NET y Netcash) y oficinas (TF - NACAR) las opciones de pago para las facturas de Predial y Vehículo.
A la fecha,  no se encuentran en los canales (CB´s, NET y Netcash) los siguientes formularios faltantes "&amp;"para realizar el proceso del recaudo en línea para la Secretaría de Hacienda Distrital de Bogotá - SHD:
1. Declaración Delineación
2. Declaración RTE Delineación
3. Declaración Unificado de Fondo de Pobres y Azar
4. Declaración Anticipo Unificado de Fo"&amp;"ndo de Pobres y Azar
5. ROP ICA  
6. ROP RTE ICA  
7. ROP Delineación Urbana")</f>
        <v>Actualmente figuran en los canales (Móvil, CB´s, NET y Netcash) y oficinas (TF - NACAR) las opciones de pago para las facturas de Predial y Vehículo.
A la fecha,  no se encuentran en los canales (CB´s, NET y Netcash) los siguientes formularios faltantes para realizar el proceso del recaudo en línea para la Secretaría de Hacienda Distrital de Bogotá - SHD:
1. Declaración Delineación
2. Declaración RTE Delineación
3. Declaración Unificado de Fondo de Pobres y Azar
4. Declaración Anticipo Unificado de Fondo de Pobres y Azar
5. ROP ICA  
6. ROP RTE ICA  
7. ROP Delineación Urbana</v>
      </c>
      <c r="F463" s="4" t="str">
        <f ca="1">IFERROR(__xludf.DUMMYFUNCTION("""COMPUTED_VALUE"""),"Initiative")</f>
        <v>Initiative</v>
      </c>
      <c r="G463" s="4" t="str">
        <f ca="1">IFERROR(__xludf.DUMMYFUNCTION("""COMPUTED_VALUE"""),"On hold")</f>
        <v>On hold</v>
      </c>
      <c r="H463" s="4" t="str">
        <f ca="1">IFERROR(__xludf.DUMMYFUNCTION("""COMPUTED_VALUE"""),"4Q 2023")</f>
        <v>4Q 2023</v>
      </c>
      <c r="I463" s="131" t="str">
        <f ca="1">IFERROR(__xludf.DUMMYFUNCTION("""COMPUTED_VALUE"""),"alirio.bermudez-bbva.com")</f>
        <v>alirio.bermudez-bbva.com</v>
      </c>
      <c r="J463" s="131" t="str">
        <f ca="1">IFERROR(__xludf.DUMMYFUNCTION("""COMPUTED_VALUE"""),"nelson.ruiz-bbva.com")</f>
        <v>nelson.ruiz-bbva.com</v>
      </c>
      <c r="K463" s="131" t="str">
        <f ca="1">IFERROR(__xludf.DUMMYFUNCTION("""COMPUTED_VALUE"""),"elizabeth.diaz-bbva.com")</f>
        <v>elizabeth.diaz-bbva.com</v>
      </c>
      <c r="L463" s="130">
        <f ca="1">IFERROR(__xludf.DUMMYFUNCTION("""COMPUTED_VALUE"""),0.2)</f>
        <v>0.2</v>
      </c>
      <c r="M463" s="130">
        <f ca="1">IFERROR(__xludf.DUMMYFUNCTION("""COMPUTED_VALUE"""),0.75)</f>
        <v>0.75</v>
      </c>
      <c r="N463" s="130">
        <f ca="1">IFERROR(__xludf.DUMMYFUNCTION("""COMPUTED_VALUE"""),0.03)</f>
        <v>0.03</v>
      </c>
      <c r="O463" s="4" t="str">
        <f ca="1">IFERROR(__xludf.DUMMYFUNCTION("""COMPUTED_VALUE"""),"Waterfall")</f>
        <v>Waterfall</v>
      </c>
      <c r="P463" s="4" t="str">
        <f ca="1">IFERROR(__xludf.DUMMYFUNCTION("""COMPUTED_VALUE"""),"Tradicional")</f>
        <v>Tradicional</v>
      </c>
      <c r="Q463" s="4"/>
      <c r="R463" s="130" t="str">
        <f ca="1">IFERROR(__xludf.DUMMYFUNCTION("""COMPUTED_VALUE"""),"Enterprises")</f>
        <v>Enterprises</v>
      </c>
      <c r="S463" s="130" t="str">
        <f ca="1">IFERROR(__xludf.DUMMYFUNCTION("""COMPUTED_VALUE"""),"Strategic Review")</f>
        <v>Strategic Review</v>
      </c>
      <c r="T463" s="130" t="str">
        <f ca="1">IFERROR(__xludf.DUMMYFUNCTION("""COMPUTED_VALUE"""),"1. Generación de Ingresos")</f>
        <v>1. Generación de Ingresos</v>
      </c>
      <c r="U463" s="130" t="str">
        <f ca="1">IFERROR(__xludf.DUMMYFUNCTION("""COMPUTED_VALUE"""),"1.5. Otros de Proyectos de Ingresos")</f>
        <v>1.5. Otros de Proyectos de Ingresos</v>
      </c>
      <c r="V463" s="4" t="str">
        <f ca="1">IFERROR(__xludf.DUMMYFUNCTION("""COMPUTED_VALUE"""),"Impuestos")</f>
        <v>Impuestos</v>
      </c>
      <c r="W463" s="4">
        <f ca="1">IFERROR(__xludf.DUMMYFUNCTION("""COMPUTED_VALUE"""),3)</f>
        <v>3</v>
      </c>
      <c r="X463" s="4" t="str">
        <f ca="1">IFERROR(__xludf.DUMMYFUNCTION("""COMPUTED_VALUE"""),"08. Enterprise Transactionality")</f>
        <v>08. Enterprise Transactionality</v>
      </c>
      <c r="Y463" s="4" t="str">
        <f ca="1">IFERROR(__xludf.DUMMYFUNCTION("""COMPUTED_VALUE"""),"5.7.1 Keep the Bank Running")</f>
        <v>5.7.1 Keep the Bank Running</v>
      </c>
      <c r="Z463" s="132" t="str">
        <f ca="1">IFERROR(__xludf.DUMMYFUNCTION("""COMPUTED_VALUE"""),"625906")</f>
        <v>625906</v>
      </c>
      <c r="AA463" s="4" t="str">
        <f ca="1">IFERROR(__xludf.DUMMYFUNCTION("""COMPUTED_VALUE"""),"Iniciativa en Backlog, en espera de priorización")</f>
        <v>Iniciativa en Backlog, en espera de priorización</v>
      </c>
      <c r="AB463" s="4" t="str">
        <f ca="1">IFERROR(__xludf.DUMMYFUNCTION("""COMPUTED_VALUE"""),"Iniciativa en Backlog, en espera de priorización")</f>
        <v>Iniciativa en Backlog, en espera de priorización</v>
      </c>
      <c r="AC463" s="4" t="str">
        <f ca="1">IFERROR(__xludf.DUMMYFUNCTION("""COMPUTED_VALUE"""),"4Q 2023")</f>
        <v>4Q 2023</v>
      </c>
      <c r="AD463" s="4"/>
      <c r="AE463" s="4"/>
      <c r="AF463" s="4"/>
      <c r="AG463" s="4"/>
      <c r="AH463" s="4"/>
      <c r="AI463" s="4"/>
      <c r="AJ463" s="4"/>
      <c r="AK463" s="4" t="str">
        <f ca="1">IFERROR(__xludf.DUMMYFUNCTION("""COMPUTED_VALUE"""),"Sin asignar")</f>
        <v>Sin asignar</v>
      </c>
      <c r="AL463" s="4" t="str">
        <f ca="1">IFERROR(__xludf.DUMMYFUNCTION("""COMPUTED_VALUE"""),"Sin asignar")</f>
        <v>Sin asignar</v>
      </c>
      <c r="AM463" s="4"/>
      <c r="AN463" s="4" t="str">
        <f ca="1">IFERROR(__xludf.DUMMYFUNCTION("""COMPUTED_VALUE"""),"Iniciativa detenida")</f>
        <v>Iniciativa detenida</v>
      </c>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133">
        <f ca="1">IFERROR(__xludf.DUMMYFUNCTION("""COMPUTED_VALUE"""),0)</f>
        <v>0</v>
      </c>
      <c r="DV463" s="133">
        <f ca="1">IFERROR(__xludf.DUMMYFUNCTION("""COMPUTED_VALUE"""),0)</f>
        <v>0</v>
      </c>
      <c r="DW463" s="133">
        <f ca="1">IFERROR(__xludf.DUMMYFUNCTION("""COMPUTED_VALUE"""),0)</f>
        <v>0</v>
      </c>
      <c r="DX463" s="133">
        <f ca="1">IFERROR(__xludf.DUMMYFUNCTION("""COMPUTED_VALUE"""),0)</f>
        <v>0</v>
      </c>
      <c r="DY463" s="133">
        <f ca="1">IFERROR(__xludf.DUMMYFUNCTION("""COMPUTED_VALUE"""),0)</f>
        <v>0</v>
      </c>
      <c r="DZ463" s="133">
        <f ca="1">IFERROR(__xludf.DUMMYFUNCTION("""COMPUTED_VALUE"""),0)</f>
        <v>0</v>
      </c>
      <c r="EA463" s="4"/>
      <c r="EB463" s="4"/>
    </row>
    <row r="464" spans="1:132" x14ac:dyDescent="0.2">
      <c r="A464" s="4">
        <f ca="1">IFERROR(__xludf.DUMMYFUNCTION("""COMPUTED_VALUE"""),464)</f>
        <v>464</v>
      </c>
      <c r="B464" s="4">
        <f ca="1">IFERROR(__xludf.DUMMYFUNCTION("""COMPUTED_VALUE"""),439)</f>
        <v>439</v>
      </c>
      <c r="C464" s="4" t="str">
        <f ca="1">IFERROR(__xludf.DUMMYFUNCTION("""COMPUTED_VALUE"""),"SDATOOL-42213")</f>
        <v>SDATOOL-42213</v>
      </c>
      <c r="D464" s="4" t="str">
        <f ca="1">IFERROR(__xludf.DUMMYFUNCTION("""COMPUTED_VALUE"""),"Creación nuevos conceptos recaudo impuestos DIAN - Ley 2277 del 2022 MinHacienda")</f>
        <v>Creación nuevos conceptos recaudo impuestos DIAN - Ley 2277 del 2022 MinHacienda</v>
      </c>
      <c r="E464"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4" s="4" t="str">
        <f ca="1">IFERROR(__xludf.DUMMYFUNCTION("""COMPUTED_VALUE"""),"Project")</f>
        <v>Project</v>
      </c>
      <c r="G464" s="4" t="str">
        <f ca="1">IFERROR(__xludf.DUMMYFUNCTION("""COMPUTED_VALUE"""),"Stock")</f>
        <v>Stock</v>
      </c>
      <c r="H464" s="4" t="str">
        <f ca="1">IFERROR(__xludf.DUMMYFUNCTION("""COMPUTED_VALUE"""),"2Q 2023")</f>
        <v>2Q 2023</v>
      </c>
      <c r="I464" s="131" t="str">
        <f ca="1">IFERROR(__xludf.DUMMYFUNCTION("""COMPUTED_VALUE"""),"alirio.bermudez-bbva.com")</f>
        <v>alirio.bermudez-bbva.com</v>
      </c>
      <c r="J464" s="131" t="str">
        <f ca="1">IFERROR(__xludf.DUMMYFUNCTION("""COMPUTED_VALUE"""),"nelson.ruiz-bbva.com")</f>
        <v>nelson.ruiz-bbva.com</v>
      </c>
      <c r="K464" s="131" t="str">
        <f ca="1">IFERROR(__xludf.DUMMYFUNCTION("""COMPUTED_VALUE"""),"elizabeth.diaz-bbva.com")</f>
        <v>elizabeth.diaz-bbva.com</v>
      </c>
      <c r="L464" s="130">
        <f ca="1">IFERROR(__xludf.DUMMYFUNCTION("""COMPUTED_VALUE"""),0)</f>
        <v>0</v>
      </c>
      <c r="M464" s="130">
        <f ca="1">IFERROR(__xludf.DUMMYFUNCTION("""COMPUTED_VALUE"""),0)</f>
        <v>0</v>
      </c>
      <c r="N464" s="130">
        <f ca="1">IFERROR(__xludf.DUMMYFUNCTION("""COMPUTED_VALUE"""),0)</f>
        <v>0</v>
      </c>
      <c r="O464" s="4" t="str">
        <f ca="1">IFERROR(__xludf.DUMMYFUNCTION("""COMPUTED_VALUE"""),"Waterfall")</f>
        <v>Waterfall</v>
      </c>
      <c r="P464" s="4" t="str">
        <f ca="1">IFERROR(__xludf.DUMMYFUNCTION("""COMPUTED_VALUE"""),"Tradicional")</f>
        <v>Tradicional</v>
      </c>
      <c r="Q464" s="4"/>
      <c r="R464" s="130" t="str">
        <f ca="1">IFERROR(__xludf.DUMMYFUNCTION("""COMPUTED_VALUE"""),"Enterprises")</f>
        <v>Enterprises</v>
      </c>
      <c r="S464" s="130" t="str">
        <f ca="1">IFERROR(__xludf.DUMMYFUNCTION("""COMPUTED_VALUE"""),"Strategic Review")</f>
        <v>Strategic Review</v>
      </c>
      <c r="T464" s="130" t="str">
        <f ca="1">IFERROR(__xludf.DUMMYFUNCTION("""COMPUTED_VALUE"""),"Normativo")</f>
        <v>Normativo</v>
      </c>
      <c r="U464" s="130" t="str">
        <f ca="1">IFERROR(__xludf.DUMMYFUNCTION("""COMPUTED_VALUE"""),"No Aplica")</f>
        <v>No Aplica</v>
      </c>
      <c r="V464" s="4" t="str">
        <f ca="1">IFERROR(__xludf.DUMMYFUNCTION("""COMPUTED_VALUE"""),"GeMa")</f>
        <v>GeMa</v>
      </c>
      <c r="W464" s="4">
        <f ca="1">IFERROR(__xludf.DUMMYFUNCTION("""COMPUTED_VALUE"""),1)</f>
        <v>1</v>
      </c>
      <c r="X464" s="4" t="str">
        <f ca="1">IFERROR(__xludf.DUMMYFUNCTION("""COMPUTED_VALUE"""),"03. SMEs &amp; Self-employed")</f>
        <v>03. SMEs &amp; Self-employed</v>
      </c>
      <c r="Y464" s="4" t="str">
        <f ca="1">IFERROR(__xludf.DUMMYFUNCTION("""COMPUTED_VALUE"""),"5.7.1 Keep the Bank Running")</f>
        <v>5.7.1 Keep the Bank Running</v>
      </c>
      <c r="Z464" s="132" t="str">
        <f ca="1">IFERROR(__xludf.DUMMYFUNCTION("""COMPUTED_VALUE"""),"711851")</f>
        <v>711851</v>
      </c>
      <c r="AA464" s="4" t="str">
        <f ca="1">IFERROR(__xludf.DUMMYFUNCTION("""COMPUTED_VALUE"""),"Creación nuevos conceptos recaudo impuestos DIAN")</f>
        <v>Creación nuevos conceptos recaudo impuestos DIAN</v>
      </c>
      <c r="AB464" s="4" t="str">
        <f ca="1">IFERROR(__xludf.DUMMYFUNCTION("""COMPUTED_VALUE"""),"Cumplir con la norma de la Ley 2277 del 2022 del MinHacienda para desarrollar la inclusión en NACAR y PSE - ACH, los nuevos conceptos en las soluciones actuales de la DIAN.")</f>
        <v>Cumplir con la norma de la Ley 2277 del 2022 del MinHacienda para desarrollar la inclusión en NACAR y PSE - ACH, los nuevos conceptos en las soluciones actuales de la DIAN.</v>
      </c>
      <c r="AC464" s="4" t="str">
        <f ca="1">IFERROR(__xludf.DUMMYFUNCTION("""COMPUTED_VALUE"""),"2Q 2023")</f>
        <v>2Q 2023</v>
      </c>
      <c r="AD464" s="4"/>
      <c r="AE464" s="4"/>
      <c r="AF464" s="4"/>
      <c r="AG464" s="4"/>
      <c r="AH464" s="4"/>
      <c r="AI464" s="4"/>
      <c r="AJ464" s="4"/>
      <c r="AK464" s="131" t="str">
        <f ca="1">IFERROR(__xludf.DUMMYFUNCTION("""COMPUTED_VALUE"""),"COLWSCONTA-1557")</f>
        <v>COLWSCONTA-1557</v>
      </c>
      <c r="AL464" s="4" t="str">
        <f ca="1">IFERROR(__xludf.DUMMYFUNCTION("""COMPUTED_VALUE"""),"Test")</f>
        <v>Test</v>
      </c>
      <c r="AM464" s="4"/>
      <c r="AN464" s="4" t="str">
        <f ca="1">IFERROR(__xludf.DUMMYFUNCTION("""COMPUTED_VALUE"""),"Entregable en desarrollo")</f>
        <v>Entregable en desarrollo</v>
      </c>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133">
        <f ca="1">IFERROR(__xludf.DUMMYFUNCTION("""COMPUTED_VALUE"""),0)</f>
        <v>0</v>
      </c>
      <c r="DV464" s="133">
        <f ca="1">IFERROR(__xludf.DUMMYFUNCTION("""COMPUTED_VALUE"""),0)</f>
        <v>0</v>
      </c>
      <c r="DW464" s="133">
        <f ca="1">IFERROR(__xludf.DUMMYFUNCTION("""COMPUTED_VALUE"""),0)</f>
        <v>0</v>
      </c>
      <c r="DX464" s="133">
        <f ca="1">IFERROR(__xludf.DUMMYFUNCTION("""COMPUTED_VALUE"""),92160000)</f>
        <v>92160000</v>
      </c>
      <c r="DY464" s="133">
        <f ca="1">IFERROR(__xludf.DUMMYFUNCTION("""COMPUTED_VALUE"""),0)</f>
        <v>0</v>
      </c>
      <c r="DZ464" s="133">
        <f ca="1">IFERROR(__xludf.DUMMYFUNCTION("""COMPUTED_VALUE"""),92160000)</f>
        <v>92160000</v>
      </c>
      <c r="EA464" s="4"/>
      <c r="EB464" s="4"/>
    </row>
    <row r="465" spans="1:132" x14ac:dyDescent="0.2">
      <c r="A465" s="4">
        <f ca="1">IFERROR(__xludf.DUMMYFUNCTION("""COMPUTED_VALUE"""),465)</f>
        <v>465</v>
      </c>
      <c r="B465" s="4"/>
      <c r="C465" s="4" t="str">
        <f ca="1">IFERROR(__xludf.DUMMYFUNCTION("""COMPUTED_VALUE"""),"SDATOOL-42213")</f>
        <v>SDATOOL-42213</v>
      </c>
      <c r="D465" s="4" t="str">
        <f ca="1">IFERROR(__xludf.DUMMYFUNCTION("""COMPUTED_VALUE"""),"Creación nuevos conceptos recaudo impuestos DIAN - Ley 2277 del 2022 MinHacienda")</f>
        <v>Creación nuevos conceptos recaudo impuestos DIAN - Ley 2277 del 2022 MinHacienda</v>
      </c>
      <c r="E465"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5" s="4" t="str">
        <f ca="1">IFERROR(__xludf.DUMMYFUNCTION("""COMPUTED_VALUE"""),"Project")</f>
        <v>Project</v>
      </c>
      <c r="G465" s="4" t="str">
        <f ca="1">IFERROR(__xludf.DUMMYFUNCTION("""COMPUTED_VALUE"""),"Stock")</f>
        <v>Stock</v>
      </c>
      <c r="H465" s="4" t="str">
        <f ca="1">IFERROR(__xludf.DUMMYFUNCTION("""COMPUTED_VALUE"""),"2Q 2023")</f>
        <v>2Q 2023</v>
      </c>
      <c r="I465" s="131" t="str">
        <f ca="1">IFERROR(__xludf.DUMMYFUNCTION("""COMPUTED_VALUE"""),"alirio.bermudez-bbva.com")</f>
        <v>alirio.bermudez-bbva.com</v>
      </c>
      <c r="J465" s="131" t="str">
        <f ca="1">IFERROR(__xludf.DUMMYFUNCTION("""COMPUTED_VALUE"""),"nelson.ruiz-bbva.com")</f>
        <v>nelson.ruiz-bbva.com</v>
      </c>
      <c r="K465" s="131" t="str">
        <f ca="1">IFERROR(__xludf.DUMMYFUNCTION("""COMPUTED_VALUE"""),"elizabeth.diaz-bbva.com")</f>
        <v>elizabeth.diaz-bbva.com</v>
      </c>
      <c r="L465" s="4"/>
      <c r="M465" s="4"/>
      <c r="N465" s="4"/>
      <c r="O465" s="4" t="str">
        <f ca="1">IFERROR(__xludf.DUMMYFUNCTION("""COMPUTED_VALUE"""),"Waterfall")</f>
        <v>Waterfall</v>
      </c>
      <c r="P465" s="4" t="str">
        <f ca="1">IFERROR(__xludf.DUMMYFUNCTION("""COMPUTED_VALUE"""),"Tradicional")</f>
        <v>Tradicional</v>
      </c>
      <c r="Q465" s="4"/>
      <c r="R465" s="130" t="str">
        <f ca="1">IFERROR(__xludf.DUMMYFUNCTION("""COMPUTED_VALUE"""),"Enterprises")</f>
        <v>Enterprises</v>
      </c>
      <c r="S465" s="130" t="str">
        <f ca="1">IFERROR(__xludf.DUMMYFUNCTION("""COMPUTED_VALUE"""),"Strategic Review")</f>
        <v>Strategic Review</v>
      </c>
      <c r="T465" s="130" t="str">
        <f ca="1">IFERROR(__xludf.DUMMYFUNCTION("""COMPUTED_VALUE"""),"Normativo")</f>
        <v>Normativo</v>
      </c>
      <c r="U465" s="130" t="str">
        <f ca="1">IFERROR(__xludf.DUMMYFUNCTION("""COMPUTED_VALUE"""),"No Aplica")</f>
        <v>No Aplica</v>
      </c>
      <c r="V465" s="4" t="str">
        <f ca="1">IFERROR(__xludf.DUMMYFUNCTION("""COMPUTED_VALUE"""),"GeMa")</f>
        <v>GeMa</v>
      </c>
      <c r="W465" s="4">
        <f ca="1">IFERROR(__xludf.DUMMYFUNCTION("""COMPUTED_VALUE"""),1)</f>
        <v>1</v>
      </c>
      <c r="X465" s="4" t="str">
        <f ca="1">IFERROR(__xludf.DUMMYFUNCTION("""COMPUTED_VALUE"""),"03. SMEs &amp; Self-employed")</f>
        <v>03. SMEs &amp; Self-employed</v>
      </c>
      <c r="Y465" s="4" t="str">
        <f ca="1">IFERROR(__xludf.DUMMYFUNCTION("""COMPUTED_VALUE"""),"5.7.1 Keep the Bank Running")</f>
        <v>5.7.1 Keep the Bank Running</v>
      </c>
      <c r="Z465" s="132" t="str">
        <f ca="1">IFERROR(__xludf.DUMMYFUNCTION("""COMPUTED_VALUE"""),"724744")</f>
        <v>724744</v>
      </c>
      <c r="AA465" s="4" t="str">
        <f ca="1">IFERROR(__xludf.DUMMYFUNCTION("""COMPUTED_VALUE"""),"Admón funcioperativa Recaudo Impsto DIAN : Nvas Transacciones de Parametria")</f>
        <v>Admón funcioperativa Recaudo Impsto DIAN : Nvas Transacciones de Parametria</v>
      </c>
      <c r="AB465" s="4" t="str">
        <f ca="1">IFERROR(__xludf.DUMMYFUNCTION("""COMPUTED_VALUE"""),"Cumplir con la norma de la Ley 2277 del 2022 del MinHacienda para desarrollar la inclusión en NÁCAR de futuros conceptos en las solución actual de la DIAN, mediante la creación de nuevas transacciones en el módulo de parametria de Recaudo e Impuestos, las"&amp;" cuales permitirá la actualización paramétrica optimizando el circuito de actualización de nuevos requerimientos, tales como: cambio de año, grandes contribuyentes, nuevos conceptos y nuevos formularios en el ámbito de Impuestos.")</f>
        <v>Cumplir con la norma de la Ley 2277 del 2022 del MinHacienda para desarrollar la inclusión en NÁCAR de futuros conceptos en las solución actual de la DIAN, mediante la creación de nuevas transacciones en el módulo de parametria de Recaudo e Impuestos, las cuales permitirá la actualización paramétrica optimizando el circuito de actualización de nuevos requerimientos, tales como: cambio de año, grandes contribuyentes, nuevos conceptos y nuevos formularios en el ámbito de Impuestos.</v>
      </c>
      <c r="AC465" s="4" t="str">
        <f ca="1">IFERROR(__xludf.DUMMYFUNCTION("""COMPUTED_VALUE"""),"2Q 2023")</f>
        <v>2Q 2023</v>
      </c>
      <c r="AD465" s="4"/>
      <c r="AE465" s="4"/>
      <c r="AF465" s="4"/>
      <c r="AG465" s="4"/>
      <c r="AH465" s="4"/>
      <c r="AI465" s="4"/>
      <c r="AJ465" s="4"/>
      <c r="AK465" s="131" t="str">
        <f ca="1">IFERROR(__xludf.DUMMYFUNCTION("""COMPUTED_VALUE"""),"COLWSCONTA-1765")</f>
        <v>COLWSCONTA-1765</v>
      </c>
      <c r="AL465" s="4" t="str">
        <f ca="1">IFERROR(__xludf.DUMMYFUNCTION("""COMPUTED_VALUE"""),"New")</f>
        <v>New</v>
      </c>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row>
    <row r="466" spans="1:132" x14ac:dyDescent="0.2">
      <c r="A466" s="4">
        <f ca="1">IFERROR(__xludf.DUMMYFUNCTION("""COMPUTED_VALUE"""),466)</f>
        <v>466</v>
      </c>
      <c r="B466" s="4"/>
      <c r="C466" s="4" t="str">
        <f ca="1">IFERROR(__xludf.DUMMYFUNCTION("""COMPUTED_VALUE"""),"SDATOOL-42213")</f>
        <v>SDATOOL-42213</v>
      </c>
      <c r="D466" s="4" t="str">
        <f ca="1">IFERROR(__xludf.DUMMYFUNCTION("""COMPUTED_VALUE"""),"Creación nuevos conceptos recaudo impuestos DIAN - Ley 2277 del 2022 MinHacienda")</f>
        <v>Creación nuevos conceptos recaudo impuestos DIAN - Ley 2277 del 2022 MinHacienda</v>
      </c>
      <c r="E466"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6" s="4" t="str">
        <f ca="1">IFERROR(__xludf.DUMMYFUNCTION("""COMPUTED_VALUE"""),"Project")</f>
        <v>Project</v>
      </c>
      <c r="G466" s="4" t="str">
        <f ca="1">IFERROR(__xludf.DUMMYFUNCTION("""COMPUTED_VALUE"""),"Stock")</f>
        <v>Stock</v>
      </c>
      <c r="H466" s="4" t="str">
        <f ca="1">IFERROR(__xludf.DUMMYFUNCTION("""COMPUTED_VALUE"""),"2Q 2023")</f>
        <v>2Q 2023</v>
      </c>
      <c r="I466" s="131" t="str">
        <f ca="1">IFERROR(__xludf.DUMMYFUNCTION("""COMPUTED_VALUE"""),"alirio.bermudez-bbva.com")</f>
        <v>alirio.bermudez-bbva.com</v>
      </c>
      <c r="J466" s="131" t="str">
        <f ca="1">IFERROR(__xludf.DUMMYFUNCTION("""COMPUTED_VALUE"""),"nelson.ruiz-bbva.com")</f>
        <v>nelson.ruiz-bbva.com</v>
      </c>
      <c r="K466" s="131" t="str">
        <f ca="1">IFERROR(__xludf.DUMMYFUNCTION("""COMPUTED_VALUE"""),"elizabeth.diaz-bbva.com")</f>
        <v>elizabeth.diaz-bbva.com</v>
      </c>
      <c r="L466" s="4"/>
      <c r="M466" s="4"/>
      <c r="N466" s="4"/>
      <c r="O466" s="4" t="str">
        <f ca="1">IFERROR(__xludf.DUMMYFUNCTION("""COMPUTED_VALUE"""),"Waterfall")</f>
        <v>Waterfall</v>
      </c>
      <c r="P466" s="4" t="str">
        <f ca="1">IFERROR(__xludf.DUMMYFUNCTION("""COMPUTED_VALUE"""),"Tradicional")</f>
        <v>Tradicional</v>
      </c>
      <c r="Q466" s="4"/>
      <c r="R466" s="130" t="str">
        <f ca="1">IFERROR(__xludf.DUMMYFUNCTION("""COMPUTED_VALUE"""),"Enterprises")</f>
        <v>Enterprises</v>
      </c>
      <c r="S466" s="130" t="str">
        <f ca="1">IFERROR(__xludf.DUMMYFUNCTION("""COMPUTED_VALUE"""),"Strategic Review")</f>
        <v>Strategic Review</v>
      </c>
      <c r="T466" s="130" t="str">
        <f ca="1">IFERROR(__xludf.DUMMYFUNCTION("""COMPUTED_VALUE"""),"Normativo")</f>
        <v>Normativo</v>
      </c>
      <c r="U466" s="130" t="str">
        <f ca="1">IFERROR(__xludf.DUMMYFUNCTION("""COMPUTED_VALUE"""),"No Aplica")</f>
        <v>No Aplica</v>
      </c>
      <c r="V466" s="4" t="str">
        <f ca="1">IFERROR(__xludf.DUMMYFUNCTION("""COMPUTED_VALUE"""),"GeMa")</f>
        <v>GeMa</v>
      </c>
      <c r="W466" s="4">
        <f ca="1">IFERROR(__xludf.DUMMYFUNCTION("""COMPUTED_VALUE"""),1)</f>
        <v>1</v>
      </c>
      <c r="X466" s="4" t="str">
        <f ca="1">IFERROR(__xludf.DUMMYFUNCTION("""COMPUTED_VALUE"""),"03. SMEs &amp; Self-employed")</f>
        <v>03. SMEs &amp; Self-employed</v>
      </c>
      <c r="Y466" s="4" t="str">
        <f ca="1">IFERROR(__xludf.DUMMYFUNCTION("""COMPUTED_VALUE"""),"5.7.1 Keep the Bank Running")</f>
        <v>5.7.1 Keep the Bank Running</v>
      </c>
      <c r="Z466" s="132" t="str">
        <f ca="1">IFERROR(__xludf.DUMMYFUNCTION("""COMPUTED_VALUE"""),"773982")</f>
        <v>773982</v>
      </c>
      <c r="AA466" s="4" t="str">
        <f ca="1">IFERROR(__xludf.DUMMYFUNCTION("""COMPUTED_VALUE"""),"Integración NACAR a  NVA Parametria de Recaudo e Impuestos DIAN")</f>
        <v>Integración NACAR a  NVA Parametria de Recaudo e Impuestos DIAN</v>
      </c>
      <c r="AB466" s="4" t="str">
        <f ca="1">IFERROR(__xludf.DUMMYFUNCTION("""COMPUTED_VALUE"""),"La transacción RCTD llevará a NACAR la integración de la parametria al consumo de las nuevas funcionalidades del CORE hacia el Batch como el Online, permitiendo la migración de los conceptos actuales y actualización de los nuevos, así habilitando en cada "&amp;"uno de los campos de la pantalla en el front.")</f>
        <v>La transacción RCTD llevará a NACAR la integración de la parametria al consumo de las nuevas funcionalidades del CORE hacia el Batch como el Online, permitiendo la migración de los conceptos actuales y actualización de los nuevos, así habilitando en cada uno de los campos de la pantalla en el front.</v>
      </c>
      <c r="AC466" s="4" t="str">
        <f ca="1">IFERROR(__xludf.DUMMYFUNCTION("""COMPUTED_VALUE"""),"3Q 2023")</f>
        <v>3Q 2023</v>
      </c>
      <c r="AD466" s="4"/>
      <c r="AE466" s="4"/>
      <c r="AF466" s="4"/>
      <c r="AG466" s="4"/>
      <c r="AH466" s="4"/>
      <c r="AI466" s="4"/>
      <c r="AJ466" s="4"/>
      <c r="AK466" s="131" t="str">
        <f ca="1">IFERROR(__xludf.DUMMYFUNCTION("""COMPUTED_VALUE"""),"COLWSCONTA-1855")</f>
        <v>COLWSCONTA-1855</v>
      </c>
      <c r="AL466" s="4" t="str">
        <f ca="1">IFERROR(__xludf.DUMMYFUNCTION("""COMPUTED_VALUE"""),"New")</f>
        <v>New</v>
      </c>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row>
    <row r="467" spans="1:132" x14ac:dyDescent="0.2">
      <c r="A467" s="4">
        <f ca="1">IFERROR(__xludf.DUMMYFUNCTION("""COMPUTED_VALUE"""),467)</f>
        <v>467</v>
      </c>
      <c r="B467" s="4">
        <f ca="1">IFERROR(__xludf.DUMMYFUNCTION("""COMPUTED_VALUE"""),440)</f>
        <v>440</v>
      </c>
      <c r="C467" s="4" t="str">
        <f ca="1">IFERROR(__xludf.DUMMYFUNCTION("""COMPUTED_VALUE"""),"SDATOOL-37111")</f>
        <v>SDATOOL-37111</v>
      </c>
      <c r="D467" s="4" t="str">
        <f ca="1">IFERROR(__xludf.DUMMYFUNCTION("""COMPUTED_VALUE"""),"Cuenta Maestra Adres")</f>
        <v>Cuenta Maestra Adres</v>
      </c>
      <c r="E467"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7" s="4" t="str">
        <f ca="1">IFERROR(__xludf.DUMMYFUNCTION("""COMPUTED_VALUE"""),"Project")</f>
        <v>Project</v>
      </c>
      <c r="G467" s="4" t="str">
        <f ca="1">IFERROR(__xludf.DUMMYFUNCTION("""COMPUTED_VALUE"""),"Stock")</f>
        <v>Stock</v>
      </c>
      <c r="H467" s="4" t="str">
        <f ca="1">IFERROR(__xludf.DUMMYFUNCTION("""COMPUTED_VALUE"""),"2Q 2023")</f>
        <v>2Q 2023</v>
      </c>
      <c r="I467" s="131" t="str">
        <f ca="1">IFERROR(__xludf.DUMMYFUNCTION("""COMPUTED_VALUE"""),"alirio.bermudez-bbva.com")</f>
        <v>alirio.bermudez-bbva.com</v>
      </c>
      <c r="J467" s="131" t="str">
        <f ca="1">IFERROR(__xludf.DUMMYFUNCTION("""COMPUTED_VALUE"""),"nelson.ruiz-bbva.com")</f>
        <v>nelson.ruiz-bbva.com</v>
      </c>
      <c r="K467" s="131" t="str">
        <f ca="1">IFERROR(__xludf.DUMMYFUNCTION("""COMPUTED_VALUE"""),"elizabeth.diaz-bbva.com")</f>
        <v>elizabeth.diaz-bbva.com</v>
      </c>
      <c r="L467" s="130">
        <f ca="1">IFERROR(__xludf.DUMMYFUNCTION("""COMPUTED_VALUE"""),0.4)</f>
        <v>0.4</v>
      </c>
      <c r="M467" s="130">
        <f ca="1">IFERROR(__xludf.DUMMYFUNCTION("""COMPUTED_VALUE"""),0.5)</f>
        <v>0.5</v>
      </c>
      <c r="N467" s="130">
        <f ca="1">IFERROR(__xludf.DUMMYFUNCTION("""COMPUTED_VALUE"""),1)</f>
        <v>1</v>
      </c>
      <c r="O467" s="4" t="str">
        <f ca="1">IFERROR(__xludf.DUMMYFUNCTION("""COMPUTED_VALUE"""),"Waterfall")</f>
        <v>Waterfall</v>
      </c>
      <c r="P467" s="4" t="str">
        <f ca="1">IFERROR(__xludf.DUMMYFUNCTION("""COMPUTED_VALUE"""),"Tradicional")</f>
        <v>Tradicional</v>
      </c>
      <c r="Q467" s="4"/>
      <c r="R467" s="130" t="str">
        <f ca="1">IFERROR(__xludf.DUMMYFUNCTION("""COMPUTED_VALUE"""),"Enterprises")</f>
        <v>Enterprises</v>
      </c>
      <c r="S467" s="130" t="str">
        <f ca="1">IFERROR(__xludf.DUMMYFUNCTION("""COMPUTED_VALUE"""),"Strategic Review")</f>
        <v>Strategic Review</v>
      </c>
      <c r="T467" s="130" t="str">
        <f ca="1">IFERROR(__xludf.DUMMYFUNCTION("""COMPUTED_VALUE"""),"Normativo")</f>
        <v>Normativo</v>
      </c>
      <c r="U467" s="130" t="str">
        <f ca="1">IFERROR(__xludf.DUMMYFUNCTION("""COMPUTED_VALUE"""),"No Aplica")</f>
        <v>No Aplica</v>
      </c>
      <c r="V467" s="4" t="str">
        <f ca="1">IFERROR(__xludf.DUMMYFUNCTION("""COMPUTED_VALUE"""),"Otros")</f>
        <v>Otros</v>
      </c>
      <c r="W467" s="4">
        <f ca="1">IFERROR(__xludf.DUMMYFUNCTION("""COMPUTED_VALUE"""),3)</f>
        <v>3</v>
      </c>
      <c r="X467" s="4" t="str">
        <f ca="1">IFERROR(__xludf.DUMMYFUNCTION("""COMPUTED_VALUE"""),"08. Enterprise Transactionality")</f>
        <v>08. Enterprise Transactionality</v>
      </c>
      <c r="Y467" s="4" t="str">
        <f ca="1">IFERROR(__xludf.DUMMYFUNCTION("""COMPUTED_VALUE"""),"5.7.1 Keep the Bank Running")</f>
        <v>5.7.1 Keep the Bank Running</v>
      </c>
      <c r="Z467" s="132" t="str">
        <f ca="1">IFERROR(__xludf.DUMMYFUNCTION("""COMPUTED_VALUE"""),"309921")</f>
        <v>309921</v>
      </c>
      <c r="AA467" s="4" t="str">
        <f ca="1">IFERROR(__xludf.DUMMYFUNCTION("""COMPUTED_VALUE"""),"Ajuste Front y Posicionamiento Capa Gestora codigos de Operación")</f>
        <v>Ajuste Front y Posicionamiento Capa Gestora codigos de Operación</v>
      </c>
      <c r="AB467"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67" s="4" t="str">
        <f ca="1">IFERROR(__xludf.DUMMYFUNCTION("""COMPUTED_VALUE"""),"4Q 2021")</f>
        <v>4Q 2021</v>
      </c>
      <c r="AD467" s="4"/>
      <c r="AE467" s="4"/>
      <c r="AF467" s="4"/>
      <c r="AG467" s="4"/>
      <c r="AH467" s="4"/>
      <c r="AI467" s="4"/>
      <c r="AJ467" s="4"/>
      <c r="AK467" s="131" t="str">
        <f ca="1">IFERROR(__xludf.DUMMYFUNCTION("""COMPUTED_VALUE"""),"CCSS-7500")</f>
        <v>CCSS-7500</v>
      </c>
      <c r="AL467" s="4" t="str">
        <f ca="1">IFERROR(__xludf.DUMMYFUNCTION("""COMPUTED_VALUE"""),"Deployed")</f>
        <v>Deployed</v>
      </c>
      <c r="AM467" s="4" t="str">
        <f ca="1">IFERROR(__xludf.DUMMYFUNCTION("""COMPUTED_VALUE"""),"Productivo")</f>
        <v>Productivo</v>
      </c>
      <c r="AN467" s="4" t="str">
        <f ca="1">IFERROR(__xludf.DUMMYFUNCTION("""COMPUTED_VALUE"""),"Finalizado")</f>
        <v>Finalizado</v>
      </c>
      <c r="AO467" s="4"/>
      <c r="AP467" s="4"/>
      <c r="AQ467" s="4"/>
      <c r="AR467" s="4" t="str">
        <f ca="1">IFERROR(__xludf.DUMMYFUNCTION("""COMPUTED_VALUE"""),"SDA aprobada en PPP Q1 2023")</f>
        <v>SDA aprobada en PPP Q1 2023</v>
      </c>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133">
        <f ca="1">IFERROR(__xludf.DUMMYFUNCTION("""COMPUTED_VALUE"""),0)</f>
        <v>0</v>
      </c>
      <c r="DV467" s="133">
        <f ca="1">IFERROR(__xludf.DUMMYFUNCTION("""COMPUTED_VALUE"""),240613521)</f>
        <v>240613521</v>
      </c>
      <c r="DW467" s="133">
        <f ca="1">IFERROR(__xludf.DUMMYFUNCTION("""COMPUTED_VALUE"""),121463334)</f>
        <v>121463334</v>
      </c>
      <c r="DX467" s="133">
        <f ca="1">IFERROR(__xludf.DUMMYFUNCTION("""COMPUTED_VALUE"""),100316146)</f>
        <v>100316146</v>
      </c>
      <c r="DY467" s="133">
        <f ca="1">IFERROR(__xludf.DUMMYFUNCTION("""COMPUTED_VALUE"""),0)</f>
        <v>0</v>
      </c>
      <c r="DZ467" s="133">
        <f ca="1">IFERROR(__xludf.DUMMYFUNCTION("""COMPUTED_VALUE"""),462393001)</f>
        <v>462393001</v>
      </c>
      <c r="EA467" s="4"/>
      <c r="EB467" s="4"/>
    </row>
    <row r="468" spans="1:132" x14ac:dyDescent="0.2">
      <c r="A468" s="4">
        <f ca="1">IFERROR(__xludf.DUMMYFUNCTION("""COMPUTED_VALUE"""),468)</f>
        <v>468</v>
      </c>
      <c r="B468" s="4">
        <f ca="1">IFERROR(__xludf.DUMMYFUNCTION("""COMPUTED_VALUE"""),441)</f>
        <v>441</v>
      </c>
      <c r="C468" s="4" t="str">
        <f ca="1">IFERROR(__xludf.DUMMYFUNCTION("""COMPUTED_VALUE"""),"SDATOOL-37111")</f>
        <v>SDATOOL-37111</v>
      </c>
      <c r="D468" s="4" t="str">
        <f ca="1">IFERROR(__xludf.DUMMYFUNCTION("""COMPUTED_VALUE"""),"Cuenta Maestra Adres")</f>
        <v>Cuenta Maestra Adres</v>
      </c>
      <c r="E468"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8" s="4" t="str">
        <f ca="1">IFERROR(__xludf.DUMMYFUNCTION("""COMPUTED_VALUE"""),"Project")</f>
        <v>Project</v>
      </c>
      <c r="G468" s="4" t="str">
        <f ca="1">IFERROR(__xludf.DUMMYFUNCTION("""COMPUTED_VALUE"""),"Stock")</f>
        <v>Stock</v>
      </c>
      <c r="H468" s="4" t="str">
        <f ca="1">IFERROR(__xludf.DUMMYFUNCTION("""COMPUTED_VALUE"""),"2Q 2023")</f>
        <v>2Q 2023</v>
      </c>
      <c r="I468" s="131" t="str">
        <f ca="1">IFERROR(__xludf.DUMMYFUNCTION("""COMPUTED_VALUE"""),"alirio.bermudez-bbva.com")</f>
        <v>alirio.bermudez-bbva.com</v>
      </c>
      <c r="J468" s="131" t="str">
        <f ca="1">IFERROR(__xludf.DUMMYFUNCTION("""COMPUTED_VALUE"""),"nelson.ruiz-bbva.com")</f>
        <v>nelson.ruiz-bbva.com</v>
      </c>
      <c r="K468" s="131" t="str">
        <f ca="1">IFERROR(__xludf.DUMMYFUNCTION("""COMPUTED_VALUE"""),"elizabeth.diaz-bbva.com")</f>
        <v>elizabeth.diaz-bbva.com</v>
      </c>
      <c r="L468" s="4"/>
      <c r="M468" s="4"/>
      <c r="N468" s="4"/>
      <c r="O468" s="4" t="str">
        <f ca="1">IFERROR(__xludf.DUMMYFUNCTION("""COMPUTED_VALUE"""),"Waterfall")</f>
        <v>Waterfall</v>
      </c>
      <c r="P468" s="4" t="str">
        <f ca="1">IFERROR(__xludf.DUMMYFUNCTION("""COMPUTED_VALUE"""),"Tradicional")</f>
        <v>Tradicional</v>
      </c>
      <c r="Q468" s="4"/>
      <c r="R468" s="130" t="str">
        <f ca="1">IFERROR(__xludf.DUMMYFUNCTION("""COMPUTED_VALUE"""),"Enterprises")</f>
        <v>Enterprises</v>
      </c>
      <c r="S468" s="130" t="str">
        <f ca="1">IFERROR(__xludf.DUMMYFUNCTION("""COMPUTED_VALUE"""),"Strategic Review")</f>
        <v>Strategic Review</v>
      </c>
      <c r="T468" s="130" t="str">
        <f ca="1">IFERROR(__xludf.DUMMYFUNCTION("""COMPUTED_VALUE"""),"Normativo")</f>
        <v>Normativo</v>
      </c>
      <c r="U468" s="130" t="str">
        <f ca="1">IFERROR(__xludf.DUMMYFUNCTION("""COMPUTED_VALUE"""),"No Aplica")</f>
        <v>No Aplica</v>
      </c>
      <c r="V468" s="4" t="str">
        <f ca="1">IFERROR(__xludf.DUMMYFUNCTION("""COMPUTED_VALUE"""),"Otros")</f>
        <v>Otros</v>
      </c>
      <c r="W468" s="4">
        <f ca="1">IFERROR(__xludf.DUMMYFUNCTION("""COMPUTED_VALUE"""),3)</f>
        <v>3</v>
      </c>
      <c r="X468" s="4" t="str">
        <f ca="1">IFERROR(__xludf.DUMMYFUNCTION("""COMPUTED_VALUE"""),"08. Enterprise Transactionality")</f>
        <v>08. Enterprise Transactionality</v>
      </c>
      <c r="Y468" s="4" t="str">
        <f ca="1">IFERROR(__xludf.DUMMYFUNCTION("""COMPUTED_VALUE"""),"5.7.1 Keep the Bank Running")</f>
        <v>5.7.1 Keep the Bank Running</v>
      </c>
      <c r="Z468" s="132" t="str">
        <f ca="1">IFERROR(__xludf.DUMMYFUNCTION("""COMPUTED_VALUE"""),"309922")</f>
        <v>309922</v>
      </c>
      <c r="AA468" s="4" t="str">
        <f ca="1">IFERROR(__xludf.DUMMYFUNCTION("""COMPUTED_VALUE"""),"Ajuste proceso validación de conceptos y estrutración adenda y nacham")</f>
        <v>Ajuste proceso validación de conceptos y estrutración adenda y nacham</v>
      </c>
      <c r="AB468"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68" s="4" t="str">
        <f ca="1">IFERROR(__xludf.DUMMYFUNCTION("""COMPUTED_VALUE"""),"4Q 2021")</f>
        <v>4Q 2021</v>
      </c>
      <c r="AD468" s="4"/>
      <c r="AE468" s="4"/>
      <c r="AF468" s="4"/>
      <c r="AG468" s="4"/>
      <c r="AH468" s="4"/>
      <c r="AI468" s="4"/>
      <c r="AJ468" s="4"/>
      <c r="AK468" s="131" t="str">
        <f ca="1">IFERROR(__xludf.DUMMYFUNCTION("""COMPUTED_VALUE"""),"CCSS-7499")</f>
        <v>CCSS-7499</v>
      </c>
      <c r="AL468" s="4" t="str">
        <f ca="1">IFERROR(__xludf.DUMMYFUNCTION("""COMPUTED_VALUE"""),"Deployed")</f>
        <v>Deployed</v>
      </c>
      <c r="AM468" s="4" t="str">
        <f ca="1">IFERROR(__xludf.DUMMYFUNCTION("""COMPUTED_VALUE"""),"Productivo")</f>
        <v>Productivo</v>
      </c>
      <c r="AN468" s="4" t="str">
        <f ca="1">IFERROR(__xludf.DUMMYFUNCTION("""COMPUTED_VALUE"""),"Finalizado")</f>
        <v>Finalizado</v>
      </c>
      <c r="AO468" s="4"/>
      <c r="AP468" s="4"/>
      <c r="AQ468" s="4"/>
      <c r="AR468" s="4" t="str">
        <f ca="1">IFERROR(__xludf.DUMMYFUNCTION("""COMPUTED_VALUE"""),"SDA aprobada en PPP Q1 2023")</f>
        <v>SDA aprobada en PPP Q1 2023</v>
      </c>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row>
    <row r="469" spans="1:132" x14ac:dyDescent="0.2">
      <c r="A469" s="4">
        <f ca="1">IFERROR(__xludf.DUMMYFUNCTION("""COMPUTED_VALUE"""),469)</f>
        <v>469</v>
      </c>
      <c r="B469" s="4">
        <f ca="1">IFERROR(__xludf.DUMMYFUNCTION("""COMPUTED_VALUE"""),442)</f>
        <v>442</v>
      </c>
      <c r="C469" s="4" t="str">
        <f ca="1">IFERROR(__xludf.DUMMYFUNCTION("""COMPUTED_VALUE"""),"SDATOOL-37111")</f>
        <v>SDATOOL-37111</v>
      </c>
      <c r="D469" s="4" t="str">
        <f ca="1">IFERROR(__xludf.DUMMYFUNCTION("""COMPUTED_VALUE"""),"Cuenta Maestra Adres")</f>
        <v>Cuenta Maestra Adres</v>
      </c>
      <c r="E469"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9" s="4" t="str">
        <f ca="1">IFERROR(__xludf.DUMMYFUNCTION("""COMPUTED_VALUE"""),"Project")</f>
        <v>Project</v>
      </c>
      <c r="G469" s="4" t="str">
        <f ca="1">IFERROR(__xludf.DUMMYFUNCTION("""COMPUTED_VALUE"""),"Stock")</f>
        <v>Stock</v>
      </c>
      <c r="H469" s="4" t="str">
        <f ca="1">IFERROR(__xludf.DUMMYFUNCTION("""COMPUTED_VALUE"""),"2Q 2023")</f>
        <v>2Q 2023</v>
      </c>
      <c r="I469" s="131" t="str">
        <f ca="1">IFERROR(__xludf.DUMMYFUNCTION("""COMPUTED_VALUE"""),"alirio.bermudez-bbva.com")</f>
        <v>alirio.bermudez-bbva.com</v>
      </c>
      <c r="J469" s="131" t="str">
        <f ca="1">IFERROR(__xludf.DUMMYFUNCTION("""COMPUTED_VALUE"""),"nelson.ruiz-bbva.com")</f>
        <v>nelson.ruiz-bbva.com</v>
      </c>
      <c r="K469" s="131" t="str">
        <f ca="1">IFERROR(__xludf.DUMMYFUNCTION("""COMPUTED_VALUE"""),"elizabeth.diaz-bbva.com")</f>
        <v>elizabeth.diaz-bbva.com</v>
      </c>
      <c r="L469" s="4"/>
      <c r="M469" s="4"/>
      <c r="N469" s="4"/>
      <c r="O469" s="4" t="str">
        <f ca="1">IFERROR(__xludf.DUMMYFUNCTION("""COMPUTED_VALUE"""),"Waterfall")</f>
        <v>Waterfall</v>
      </c>
      <c r="P469" s="4" t="str">
        <f ca="1">IFERROR(__xludf.DUMMYFUNCTION("""COMPUTED_VALUE"""),"Tradicional")</f>
        <v>Tradicional</v>
      </c>
      <c r="Q469" s="4"/>
      <c r="R469" s="130" t="str">
        <f ca="1">IFERROR(__xludf.DUMMYFUNCTION("""COMPUTED_VALUE"""),"Enterprises")</f>
        <v>Enterprises</v>
      </c>
      <c r="S469" s="130" t="str">
        <f ca="1">IFERROR(__xludf.DUMMYFUNCTION("""COMPUTED_VALUE"""),"Strategic Review")</f>
        <v>Strategic Review</v>
      </c>
      <c r="T469" s="130" t="str">
        <f ca="1">IFERROR(__xludf.DUMMYFUNCTION("""COMPUTED_VALUE"""),"Normativo")</f>
        <v>Normativo</v>
      </c>
      <c r="U469" s="130" t="str">
        <f ca="1">IFERROR(__xludf.DUMMYFUNCTION("""COMPUTED_VALUE"""),"No Aplica")</f>
        <v>No Aplica</v>
      </c>
      <c r="V469" s="4" t="str">
        <f ca="1">IFERROR(__xludf.DUMMYFUNCTION("""COMPUTED_VALUE"""),"Otros")</f>
        <v>Otros</v>
      </c>
      <c r="W469" s="4">
        <f ca="1">IFERROR(__xludf.DUMMYFUNCTION("""COMPUTED_VALUE"""),3)</f>
        <v>3</v>
      </c>
      <c r="X469" s="4" t="str">
        <f ca="1">IFERROR(__xludf.DUMMYFUNCTION("""COMPUTED_VALUE"""),"08. Enterprise Transactionality")</f>
        <v>08. Enterprise Transactionality</v>
      </c>
      <c r="Y469" s="4" t="str">
        <f ca="1">IFERROR(__xludf.DUMMYFUNCTION("""COMPUTED_VALUE"""),"5.7.1 Keep the Bank Running")</f>
        <v>5.7.1 Keep the Bank Running</v>
      </c>
      <c r="Z469" s="132" t="str">
        <f ca="1">IFERROR(__xludf.DUMMYFUNCTION("""COMPUTED_VALUE"""),"368728")</f>
        <v>368728</v>
      </c>
      <c r="AA469" s="4" t="str">
        <f ca="1">IFERROR(__xludf.DUMMYFUNCTION("""COMPUTED_VALUE"""),"Cuenta Maestra Salud (Adres) FASE II: Desarrollo Reportería y transmisión")</f>
        <v>Cuenta Maestra Salud (Adres) FASE II: Desarrollo Reportería y transmisión</v>
      </c>
      <c r="AB469" s="4" t="str">
        <f ca="1">IFERROR(__xludf.DUMMYFUNCTION("""COMPUTED_VALUE"""),"Se requiere por petición del Ente Gubernamental, la generación de reporteria que refleje el manejo por separado de cada una de las cuentas pertenecientes al Régimen Contributivo y Subsidiado, como su debida transmisión con performance de procesamiento int"&amp;"erno para establecer controles del manejo de estos dineros de la Nación. Requerimiento Regulatorio.")</f>
        <v>Se requiere por petición del Ente Gubernamental, la generación de reporteria que refleje el manejo por separado de cada una de las cuentas pertenecientes al Régimen Contributivo y Subsidiado, como su debida transmisión con performance de procesamiento interno para establecer controles del manejo de estos dineros de la Nación. Requerimiento Regulatorio.</v>
      </c>
      <c r="AC469" s="4" t="str">
        <f ca="1">IFERROR(__xludf.DUMMYFUNCTION("""COMPUTED_VALUE"""),"1Q 2022")</f>
        <v>1Q 2022</v>
      </c>
      <c r="AD469" s="4"/>
      <c r="AE469" s="4"/>
      <c r="AF469" s="4"/>
      <c r="AG469" s="4"/>
      <c r="AH469" s="4"/>
      <c r="AI469" s="4"/>
      <c r="AJ469" s="4"/>
      <c r="AK469" s="131" t="str">
        <f ca="1">IFERROR(__xludf.DUMMYFUNCTION("""COMPUTED_VALUE"""),"COLWSCUENT-296")</f>
        <v>COLWSCUENT-296</v>
      </c>
      <c r="AL469" s="4" t="str">
        <f ca="1">IFERROR(__xludf.DUMMYFUNCTION("""COMPUTED_VALUE"""),"Deployed")</f>
        <v>Deployed</v>
      </c>
      <c r="AM469" s="4" t="str">
        <f ca="1">IFERROR(__xludf.DUMMYFUNCTION("""COMPUTED_VALUE"""),"Productivo")</f>
        <v>Productivo</v>
      </c>
      <c r="AN469" s="4" t="str">
        <f ca="1">IFERROR(__xludf.DUMMYFUNCTION("""COMPUTED_VALUE"""),"Finalizado")</f>
        <v>Finalizado</v>
      </c>
      <c r="AO469" s="4"/>
      <c r="AP469" s="4"/>
      <c r="AQ469" s="4"/>
      <c r="AR469" s="4" t="str">
        <f ca="1">IFERROR(__xludf.DUMMYFUNCTION("""COMPUTED_VALUE"""),"SDA aprobada en PPP Q1 2023")</f>
        <v>SDA aprobada en PPP Q1 2023</v>
      </c>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row>
    <row r="470" spans="1:132" x14ac:dyDescent="0.2">
      <c r="A470" s="4">
        <f ca="1">IFERROR(__xludf.DUMMYFUNCTION("""COMPUTED_VALUE"""),470)</f>
        <v>470</v>
      </c>
      <c r="B470" s="4">
        <f ca="1">IFERROR(__xludf.DUMMYFUNCTION("""COMPUTED_VALUE"""),443)</f>
        <v>443</v>
      </c>
      <c r="C470" s="4" t="str">
        <f ca="1">IFERROR(__xludf.DUMMYFUNCTION("""COMPUTED_VALUE"""),"SDATOOL-37111")</f>
        <v>SDATOOL-37111</v>
      </c>
      <c r="D470" s="4" t="str">
        <f ca="1">IFERROR(__xludf.DUMMYFUNCTION("""COMPUTED_VALUE"""),"Cuenta Maestra Adres")</f>
        <v>Cuenta Maestra Adres</v>
      </c>
      <c r="E470"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0" s="4" t="str">
        <f ca="1">IFERROR(__xludf.DUMMYFUNCTION("""COMPUTED_VALUE"""),"Project")</f>
        <v>Project</v>
      </c>
      <c r="G470" s="4" t="str">
        <f ca="1">IFERROR(__xludf.DUMMYFUNCTION("""COMPUTED_VALUE"""),"Stock")</f>
        <v>Stock</v>
      </c>
      <c r="H470" s="4" t="str">
        <f ca="1">IFERROR(__xludf.DUMMYFUNCTION("""COMPUTED_VALUE"""),"2Q 2023")</f>
        <v>2Q 2023</v>
      </c>
      <c r="I470" s="131" t="str">
        <f ca="1">IFERROR(__xludf.DUMMYFUNCTION("""COMPUTED_VALUE"""),"alirio.bermudez-bbva.com")</f>
        <v>alirio.bermudez-bbva.com</v>
      </c>
      <c r="J470" s="131" t="str">
        <f ca="1">IFERROR(__xludf.DUMMYFUNCTION("""COMPUTED_VALUE"""),"nelson.ruiz-bbva.com")</f>
        <v>nelson.ruiz-bbva.com</v>
      </c>
      <c r="K470" s="131" t="str">
        <f ca="1">IFERROR(__xludf.DUMMYFUNCTION("""COMPUTED_VALUE"""),"elizabeth.diaz-bbva.com")</f>
        <v>elizabeth.diaz-bbva.com</v>
      </c>
      <c r="L470" s="4"/>
      <c r="M470" s="4"/>
      <c r="N470" s="4"/>
      <c r="O470" s="4" t="str">
        <f ca="1">IFERROR(__xludf.DUMMYFUNCTION("""COMPUTED_VALUE"""),"Waterfall")</f>
        <v>Waterfall</v>
      </c>
      <c r="P470" s="4" t="str">
        <f ca="1">IFERROR(__xludf.DUMMYFUNCTION("""COMPUTED_VALUE"""),"Tradicional")</f>
        <v>Tradicional</v>
      </c>
      <c r="Q470" s="4"/>
      <c r="R470" s="130" t="str">
        <f ca="1">IFERROR(__xludf.DUMMYFUNCTION("""COMPUTED_VALUE"""),"Enterprises")</f>
        <v>Enterprises</v>
      </c>
      <c r="S470" s="130" t="str">
        <f ca="1">IFERROR(__xludf.DUMMYFUNCTION("""COMPUTED_VALUE"""),"Strategic Review")</f>
        <v>Strategic Review</v>
      </c>
      <c r="T470" s="130" t="str">
        <f ca="1">IFERROR(__xludf.DUMMYFUNCTION("""COMPUTED_VALUE"""),"Normativo")</f>
        <v>Normativo</v>
      </c>
      <c r="U470" s="130" t="str">
        <f ca="1">IFERROR(__xludf.DUMMYFUNCTION("""COMPUTED_VALUE"""),"No Aplica")</f>
        <v>No Aplica</v>
      </c>
      <c r="V470" s="4" t="str">
        <f ca="1">IFERROR(__xludf.DUMMYFUNCTION("""COMPUTED_VALUE"""),"Otros")</f>
        <v>Otros</v>
      </c>
      <c r="W470" s="4">
        <f ca="1">IFERROR(__xludf.DUMMYFUNCTION("""COMPUTED_VALUE"""),3)</f>
        <v>3</v>
      </c>
      <c r="X470" s="4" t="str">
        <f ca="1">IFERROR(__xludf.DUMMYFUNCTION("""COMPUTED_VALUE"""),"08. Enterprise Transactionality")</f>
        <v>08. Enterprise Transactionality</v>
      </c>
      <c r="Y470" s="4" t="str">
        <f ca="1">IFERROR(__xludf.DUMMYFUNCTION("""COMPUTED_VALUE"""),"5.7.1 Keep the Bank Running")</f>
        <v>5.7.1 Keep the Bank Running</v>
      </c>
      <c r="Z470" s="132" t="str">
        <f ca="1">IFERROR(__xludf.DUMMYFUNCTION("""COMPUTED_VALUE"""),"369381")</f>
        <v>369381</v>
      </c>
      <c r="AA470" s="4" t="str">
        <f ca="1">IFERROR(__xludf.DUMMYFUNCTION("""COMPUTED_VALUE"""),"Cuenta Maestra Salud (Adres) FASE II: Generación Extractos")</f>
        <v>Cuenta Maestra Salud (Adres) FASE II: Generación Extractos</v>
      </c>
      <c r="AB470" s="4" t="str">
        <f ca="1">IFERROR(__xludf.DUMMYFUNCTION("""COMPUTED_VALUE"""),"Se requiere por petición del Ente Gubernamental, la generación extractos de cada una de las cuentas pertenecientes al Régimen Contributivo y Subsidiado, conforme al requerimiento del modelo planteado por el Regulatorio.")</f>
        <v>Se requiere por petición del Ente Gubernamental, la generación extractos de cada una de las cuentas pertenecientes al Régimen Contributivo y Subsidiado, conforme al requerimiento del modelo planteado por el Regulatorio.</v>
      </c>
      <c r="AC470" s="4" t="str">
        <f ca="1">IFERROR(__xludf.DUMMYFUNCTION("""COMPUTED_VALUE"""),"1Q 2022")</f>
        <v>1Q 2022</v>
      </c>
      <c r="AD470" s="4"/>
      <c r="AE470" s="4"/>
      <c r="AF470" s="4"/>
      <c r="AG470" s="4"/>
      <c r="AH470" s="4"/>
      <c r="AI470" s="4"/>
      <c r="AJ470" s="4"/>
      <c r="AK470" s="131" t="str">
        <f ca="1">IFERROR(__xludf.DUMMYFUNCTION("""COMPUTED_VALUE"""),"COLWSCUENT-295")</f>
        <v>COLWSCUENT-295</v>
      </c>
      <c r="AL470" s="4" t="str">
        <f ca="1">IFERROR(__xludf.DUMMYFUNCTION("""COMPUTED_VALUE"""),"Deployed")</f>
        <v>Deployed</v>
      </c>
      <c r="AM470" s="4" t="str">
        <f ca="1">IFERROR(__xludf.DUMMYFUNCTION("""COMPUTED_VALUE"""),"Productivo")</f>
        <v>Productivo</v>
      </c>
      <c r="AN470" s="4" t="str">
        <f ca="1">IFERROR(__xludf.DUMMYFUNCTION("""COMPUTED_VALUE"""),"Finalizado")</f>
        <v>Finalizado</v>
      </c>
      <c r="AO470" s="4"/>
      <c r="AP470" s="4"/>
      <c r="AQ470" s="4"/>
      <c r="AR470" s="4" t="str">
        <f ca="1">IFERROR(__xludf.DUMMYFUNCTION("""COMPUTED_VALUE"""),"SDA aprobada en PPP Q1 2023")</f>
        <v>SDA aprobada en PPP Q1 2023</v>
      </c>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row>
    <row r="471" spans="1:132" x14ac:dyDescent="0.2">
      <c r="A471" s="4">
        <f ca="1">IFERROR(__xludf.DUMMYFUNCTION("""COMPUTED_VALUE"""),471)</f>
        <v>471</v>
      </c>
      <c r="B471" s="4">
        <f ca="1">IFERROR(__xludf.DUMMYFUNCTION("""COMPUTED_VALUE"""),444)</f>
        <v>444</v>
      </c>
      <c r="C471" s="4" t="str">
        <f ca="1">IFERROR(__xludf.DUMMYFUNCTION("""COMPUTED_VALUE"""),"SDATOOL-37111")</f>
        <v>SDATOOL-37111</v>
      </c>
      <c r="D471" s="4" t="str">
        <f ca="1">IFERROR(__xludf.DUMMYFUNCTION("""COMPUTED_VALUE"""),"Cuenta Maestra Adres")</f>
        <v>Cuenta Maestra Adres</v>
      </c>
      <c r="E471"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1" s="4" t="str">
        <f ca="1">IFERROR(__xludf.DUMMYFUNCTION("""COMPUTED_VALUE"""),"Project")</f>
        <v>Project</v>
      </c>
      <c r="G471" s="4" t="str">
        <f ca="1">IFERROR(__xludf.DUMMYFUNCTION("""COMPUTED_VALUE"""),"Stock")</f>
        <v>Stock</v>
      </c>
      <c r="H471" s="4" t="str">
        <f ca="1">IFERROR(__xludf.DUMMYFUNCTION("""COMPUTED_VALUE"""),"2Q 2023")</f>
        <v>2Q 2023</v>
      </c>
      <c r="I471" s="131" t="str">
        <f ca="1">IFERROR(__xludf.DUMMYFUNCTION("""COMPUTED_VALUE"""),"alirio.bermudez-bbva.com")</f>
        <v>alirio.bermudez-bbva.com</v>
      </c>
      <c r="J471" s="131" t="str">
        <f ca="1">IFERROR(__xludf.DUMMYFUNCTION("""COMPUTED_VALUE"""),"nelson.ruiz-bbva.com")</f>
        <v>nelson.ruiz-bbva.com</v>
      </c>
      <c r="K471" s="131" t="str">
        <f ca="1">IFERROR(__xludf.DUMMYFUNCTION("""COMPUTED_VALUE"""),"elizabeth.diaz-bbva.com")</f>
        <v>elizabeth.diaz-bbva.com</v>
      </c>
      <c r="L471" s="4"/>
      <c r="M471" s="4"/>
      <c r="N471" s="4"/>
      <c r="O471" s="4" t="str">
        <f ca="1">IFERROR(__xludf.DUMMYFUNCTION("""COMPUTED_VALUE"""),"Waterfall")</f>
        <v>Waterfall</v>
      </c>
      <c r="P471" s="4" t="str">
        <f ca="1">IFERROR(__xludf.DUMMYFUNCTION("""COMPUTED_VALUE"""),"Tradicional")</f>
        <v>Tradicional</v>
      </c>
      <c r="Q471" s="4"/>
      <c r="R471" s="130" t="str">
        <f ca="1">IFERROR(__xludf.DUMMYFUNCTION("""COMPUTED_VALUE"""),"Enterprises")</f>
        <v>Enterprises</v>
      </c>
      <c r="S471" s="130" t="str">
        <f ca="1">IFERROR(__xludf.DUMMYFUNCTION("""COMPUTED_VALUE"""),"Strategic Review")</f>
        <v>Strategic Review</v>
      </c>
      <c r="T471" s="130" t="str">
        <f ca="1">IFERROR(__xludf.DUMMYFUNCTION("""COMPUTED_VALUE"""),"Normativo")</f>
        <v>Normativo</v>
      </c>
      <c r="U471" s="130" t="str">
        <f ca="1">IFERROR(__xludf.DUMMYFUNCTION("""COMPUTED_VALUE"""),"No Aplica")</f>
        <v>No Aplica</v>
      </c>
      <c r="V471" s="4" t="str">
        <f ca="1">IFERROR(__xludf.DUMMYFUNCTION("""COMPUTED_VALUE"""),"Otros")</f>
        <v>Otros</v>
      </c>
      <c r="W471" s="4">
        <f ca="1">IFERROR(__xludf.DUMMYFUNCTION("""COMPUTED_VALUE"""),3)</f>
        <v>3</v>
      </c>
      <c r="X471" s="4" t="str">
        <f ca="1">IFERROR(__xludf.DUMMYFUNCTION("""COMPUTED_VALUE"""),"08. Enterprise Transactionality")</f>
        <v>08. Enterprise Transactionality</v>
      </c>
      <c r="Y471" s="4" t="str">
        <f ca="1">IFERROR(__xludf.DUMMYFUNCTION("""COMPUTED_VALUE"""),"5.7.1 Keep the Bank Running")</f>
        <v>5.7.1 Keep the Bank Running</v>
      </c>
      <c r="Z471" s="132" t="str">
        <f ca="1">IFERROR(__xludf.DUMMYFUNCTION("""COMPUTED_VALUE"""),"422757")</f>
        <v>422757</v>
      </c>
      <c r="AA471" s="4" t="str">
        <f ca="1">IFERROR(__xludf.DUMMYFUNCTION("""COMPUTED_VALUE"""),"Cuenta Maestra Salud (Adres) FASE II: Hard Core Nuevos Conceptos y STB")</f>
        <v>Cuenta Maestra Salud (Adres) FASE II: Hard Core Nuevos Conceptos y STB</v>
      </c>
      <c r="AB471" s="4" t="str">
        <f ca="1">IFERROR(__xludf.DUMMYFUNCTION("""COMPUTED_VALUE"""),"Cuenta Maestra Salud (Adres) FASE II: Reportería nuevos conceptos Débito e incluido en Transformación Bancaria y extractos, migración a nuevo servidor para ADRES")</f>
        <v>Cuenta Maestra Salud (Adres) FASE II: Reportería nuevos conceptos Débito e incluido en Transformación Bancaria y extractos, migración a nuevo servidor para ADRES</v>
      </c>
      <c r="AC471" s="4" t="str">
        <f ca="1">IFERROR(__xludf.DUMMYFUNCTION("""COMPUTED_VALUE"""),"1Q 2022")</f>
        <v>1Q 2022</v>
      </c>
      <c r="AD471" s="4"/>
      <c r="AE471" s="4"/>
      <c r="AF471" s="4"/>
      <c r="AG471" s="4"/>
      <c r="AH471" s="4"/>
      <c r="AI471" s="4"/>
      <c r="AJ471" s="4"/>
      <c r="AK471" s="131" t="str">
        <f ca="1">IFERROR(__xludf.DUMMYFUNCTION("""COMPUTED_VALUE"""),"COLWSCUENT-200")</f>
        <v>COLWSCUENT-200</v>
      </c>
      <c r="AL471" s="4" t="str">
        <f ca="1">IFERROR(__xludf.DUMMYFUNCTION("""COMPUTED_VALUE"""),"Deployed")</f>
        <v>Deployed</v>
      </c>
      <c r="AM471" s="4" t="str">
        <f ca="1">IFERROR(__xludf.DUMMYFUNCTION("""COMPUTED_VALUE"""),"Productivo")</f>
        <v>Productivo</v>
      </c>
      <c r="AN471" s="4" t="str">
        <f ca="1">IFERROR(__xludf.DUMMYFUNCTION("""COMPUTED_VALUE"""),"Finalizado")</f>
        <v>Finalizado</v>
      </c>
      <c r="AO471" s="4"/>
      <c r="AP471" s="4"/>
      <c r="AQ471" s="4"/>
      <c r="AR471" s="4" t="str">
        <f ca="1">IFERROR(__xludf.DUMMYFUNCTION("""COMPUTED_VALUE"""),"SDA aprobada en PPP Q1 2023")</f>
        <v>SDA aprobada en PPP Q1 2023</v>
      </c>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row>
    <row r="472" spans="1:132" x14ac:dyDescent="0.2">
      <c r="A472" s="4">
        <f ca="1">IFERROR(__xludf.DUMMYFUNCTION("""COMPUTED_VALUE"""),472)</f>
        <v>472</v>
      </c>
      <c r="B472" s="4">
        <f ca="1">IFERROR(__xludf.DUMMYFUNCTION("""COMPUTED_VALUE"""),445)</f>
        <v>445</v>
      </c>
      <c r="C472" s="4" t="str">
        <f ca="1">IFERROR(__xludf.DUMMYFUNCTION("""COMPUTED_VALUE"""),"SDATOOL-37111")</f>
        <v>SDATOOL-37111</v>
      </c>
      <c r="D472" s="4" t="str">
        <f ca="1">IFERROR(__xludf.DUMMYFUNCTION("""COMPUTED_VALUE"""),"Cuenta Maestra Adres")</f>
        <v>Cuenta Maestra Adres</v>
      </c>
      <c r="E472"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2" s="4" t="str">
        <f ca="1">IFERROR(__xludf.DUMMYFUNCTION("""COMPUTED_VALUE"""),"Project")</f>
        <v>Project</v>
      </c>
      <c r="G472" s="4" t="str">
        <f ca="1">IFERROR(__xludf.DUMMYFUNCTION("""COMPUTED_VALUE"""),"Stock")</f>
        <v>Stock</v>
      </c>
      <c r="H472" s="4" t="str">
        <f ca="1">IFERROR(__xludf.DUMMYFUNCTION("""COMPUTED_VALUE"""),"2Q 2023")</f>
        <v>2Q 2023</v>
      </c>
      <c r="I472" s="131" t="str">
        <f ca="1">IFERROR(__xludf.DUMMYFUNCTION("""COMPUTED_VALUE"""),"alirio.bermudez-bbva.com")</f>
        <v>alirio.bermudez-bbva.com</v>
      </c>
      <c r="J472" s="131" t="str">
        <f ca="1">IFERROR(__xludf.DUMMYFUNCTION("""COMPUTED_VALUE"""),"nelson.ruiz-bbva.com")</f>
        <v>nelson.ruiz-bbva.com</v>
      </c>
      <c r="K472" s="131" t="str">
        <f ca="1">IFERROR(__xludf.DUMMYFUNCTION("""COMPUTED_VALUE"""),"elizabeth.diaz-bbva.com")</f>
        <v>elizabeth.diaz-bbva.com</v>
      </c>
      <c r="L472" s="4"/>
      <c r="M472" s="4"/>
      <c r="N472" s="4"/>
      <c r="O472" s="4" t="str">
        <f ca="1">IFERROR(__xludf.DUMMYFUNCTION("""COMPUTED_VALUE"""),"Waterfall")</f>
        <v>Waterfall</v>
      </c>
      <c r="P472" s="4" t="str">
        <f ca="1">IFERROR(__xludf.DUMMYFUNCTION("""COMPUTED_VALUE"""),"Tradicional")</f>
        <v>Tradicional</v>
      </c>
      <c r="Q472" s="4"/>
      <c r="R472" s="130" t="str">
        <f ca="1">IFERROR(__xludf.DUMMYFUNCTION("""COMPUTED_VALUE"""),"Enterprises")</f>
        <v>Enterprises</v>
      </c>
      <c r="S472" s="130" t="str">
        <f ca="1">IFERROR(__xludf.DUMMYFUNCTION("""COMPUTED_VALUE"""),"Strategic Review")</f>
        <v>Strategic Review</v>
      </c>
      <c r="T472" s="130" t="str">
        <f ca="1">IFERROR(__xludf.DUMMYFUNCTION("""COMPUTED_VALUE"""),"Normativo")</f>
        <v>Normativo</v>
      </c>
      <c r="U472" s="130" t="str">
        <f ca="1">IFERROR(__xludf.DUMMYFUNCTION("""COMPUTED_VALUE"""),"No Aplica")</f>
        <v>No Aplica</v>
      </c>
      <c r="V472" s="4" t="str">
        <f ca="1">IFERROR(__xludf.DUMMYFUNCTION("""COMPUTED_VALUE"""),"Otros")</f>
        <v>Otros</v>
      </c>
      <c r="W472" s="4">
        <f ca="1">IFERROR(__xludf.DUMMYFUNCTION("""COMPUTED_VALUE"""),3)</f>
        <v>3</v>
      </c>
      <c r="X472" s="4" t="str">
        <f ca="1">IFERROR(__xludf.DUMMYFUNCTION("""COMPUTED_VALUE"""),"08. Enterprise Transactionality")</f>
        <v>08. Enterprise Transactionality</v>
      </c>
      <c r="Y472" s="4" t="str">
        <f ca="1">IFERROR(__xludf.DUMMYFUNCTION("""COMPUTED_VALUE"""),"5.7.1 Keep the Bank Running")</f>
        <v>5.7.1 Keep the Bank Running</v>
      </c>
      <c r="Z472" s="132" t="str">
        <f ca="1">IFERROR(__xludf.DUMMYFUNCTION("""COMPUTED_VALUE"""),"460787")</f>
        <v>460787</v>
      </c>
      <c r="AA472" s="4" t="str">
        <f ca="1">IFERROR(__xludf.DUMMYFUNCTION("""COMPUTED_VALUE"""),"Mejora Técnica y Tecnológica PILA, ADRES y otros clientes")</f>
        <v>Mejora Técnica y Tecnológica PILA, ADRES y otros clientes</v>
      </c>
      <c r="AB472" s="4" t="str">
        <f ca="1">IFERROR(__xludf.DUMMYFUNCTION("""COMPUTED_VALUE"""),"Migración de este proceso a un nuevo servidor, en los siguientes criterios: 
Migrar la transmisión del log diario del recaudo PILA a servidores actualizados para garantizar la entrega a la ADRES.
Migrar la transmisión de los archivos del movimiento a los"&amp;" clientes titulares de los recaudos PILA.
Migrar la transmisión mensual de los pagos de las cuentas maestras de recaudo PILA.
Migrar la información guardada en el servidor actual para su almacenamiento en un servidor actualizado.")</f>
        <v>Migración de este proceso a un nuevo servidor, en los siguientes criterios: 
Migrar la transmisión del log diario del recaudo PILA a servidores actualizados para garantizar la entrega a la ADRES.
Migrar la transmisión de los archivos del movimiento a los clientes titulares de los recaudos PILA.
Migrar la transmisión mensual de los pagos de las cuentas maestras de recaudo PILA.
Migrar la información guardada en el servidor actual para su almacenamiento en un servidor actualizado.</v>
      </c>
      <c r="AC472" s="4" t="str">
        <f ca="1">IFERROR(__xludf.DUMMYFUNCTION("""COMPUTED_VALUE"""),"3Q 2022")</f>
        <v>3Q 2022</v>
      </c>
      <c r="AD472" s="128">
        <f ca="1">IFERROR(__xludf.DUMMYFUNCTION("""COMPUTED_VALUE"""),44510)</f>
        <v>44510</v>
      </c>
      <c r="AE472" s="128">
        <f ca="1">IFERROR(__xludf.DUMMYFUNCTION("""COMPUTED_VALUE"""),44715)</f>
        <v>44715</v>
      </c>
      <c r="AF472" s="128">
        <f ca="1">IFERROR(__xludf.DUMMYFUNCTION("""COMPUTED_VALUE"""),44726)</f>
        <v>44726</v>
      </c>
      <c r="AG472" s="128">
        <f ca="1">IFERROR(__xludf.DUMMYFUNCTION("""COMPUTED_VALUE"""),44753)</f>
        <v>44753</v>
      </c>
      <c r="AH472" s="128">
        <f ca="1">IFERROR(__xludf.DUMMYFUNCTION("""COMPUTED_VALUE"""),44782)</f>
        <v>44782</v>
      </c>
      <c r="AI472" s="128">
        <f ca="1">IFERROR(__xludf.DUMMYFUNCTION("""COMPUTED_VALUE"""),44802)</f>
        <v>44802</v>
      </c>
      <c r="AJ472" s="128">
        <f ca="1">IFERROR(__xludf.DUMMYFUNCTION("""COMPUTED_VALUE"""),44818)</f>
        <v>44818</v>
      </c>
      <c r="AK472" s="131" t="str">
        <f ca="1">IFERROR(__xludf.DUMMYFUNCTION("""COMPUTED_VALUE"""),"COLWSCANAL-1303")</f>
        <v>COLWSCANAL-1303</v>
      </c>
      <c r="AL472" s="4" t="str">
        <f ca="1">IFERROR(__xludf.DUMMYFUNCTION("""COMPUTED_VALUE"""),"Deployed")</f>
        <v>Deployed</v>
      </c>
      <c r="AM472" s="4" t="str">
        <f ca="1">IFERROR(__xludf.DUMMYFUNCTION("""COMPUTED_VALUE"""),"Productivo")</f>
        <v>Productivo</v>
      </c>
      <c r="AN472" s="4" t="str">
        <f ca="1">IFERROR(__xludf.DUMMYFUNCTION("""COMPUTED_VALUE"""),"Finalizado")</f>
        <v>Finalizado</v>
      </c>
      <c r="AO472" s="4"/>
      <c r="AP472" s="4"/>
      <c r="AQ472" s="4"/>
      <c r="AR472" s="4" t="str">
        <f ca="1">IFERROR(__xludf.DUMMYFUNCTION("""COMPUTED_VALUE"""),"SDA aprobada en PPP Q1 2023")</f>
        <v>SDA aprobada en PPP Q1 2023</v>
      </c>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row>
    <row r="473" spans="1:132" x14ac:dyDescent="0.2">
      <c r="A473" s="4">
        <f ca="1">IFERROR(__xludf.DUMMYFUNCTION("""COMPUTED_VALUE"""),473)</f>
        <v>473</v>
      </c>
      <c r="B473" s="4">
        <f ca="1">IFERROR(__xludf.DUMMYFUNCTION("""COMPUTED_VALUE"""),446)</f>
        <v>446</v>
      </c>
      <c r="C473" s="4" t="str">
        <f ca="1">IFERROR(__xludf.DUMMYFUNCTION("""COMPUTED_VALUE"""),"SDATOOL-37111")</f>
        <v>SDATOOL-37111</v>
      </c>
      <c r="D473" s="4" t="str">
        <f ca="1">IFERROR(__xludf.DUMMYFUNCTION("""COMPUTED_VALUE"""),"Cuenta Maestra Adres")</f>
        <v>Cuenta Maestra Adres</v>
      </c>
      <c r="E473"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3" s="4" t="str">
        <f ca="1">IFERROR(__xludf.DUMMYFUNCTION("""COMPUTED_VALUE"""),"Project")</f>
        <v>Project</v>
      </c>
      <c r="G473" s="4" t="str">
        <f ca="1">IFERROR(__xludf.DUMMYFUNCTION("""COMPUTED_VALUE"""),"Stock")</f>
        <v>Stock</v>
      </c>
      <c r="H473" s="4" t="str">
        <f ca="1">IFERROR(__xludf.DUMMYFUNCTION("""COMPUTED_VALUE"""),"2Q 2023")</f>
        <v>2Q 2023</v>
      </c>
      <c r="I473" s="131" t="str">
        <f ca="1">IFERROR(__xludf.DUMMYFUNCTION("""COMPUTED_VALUE"""),"alirio.bermudez-bbva.com")</f>
        <v>alirio.bermudez-bbva.com</v>
      </c>
      <c r="J473" s="131" t="str">
        <f ca="1">IFERROR(__xludf.DUMMYFUNCTION("""COMPUTED_VALUE"""),"nelson.ruiz-bbva.com")</f>
        <v>nelson.ruiz-bbva.com</v>
      </c>
      <c r="K473" s="131" t="str">
        <f ca="1">IFERROR(__xludf.DUMMYFUNCTION("""COMPUTED_VALUE"""),"elizabeth.diaz-bbva.com")</f>
        <v>elizabeth.diaz-bbva.com</v>
      </c>
      <c r="L473" s="4"/>
      <c r="M473" s="4"/>
      <c r="N473" s="4"/>
      <c r="O473" s="4" t="str">
        <f ca="1">IFERROR(__xludf.DUMMYFUNCTION("""COMPUTED_VALUE"""),"Waterfall")</f>
        <v>Waterfall</v>
      </c>
      <c r="P473" s="4" t="str">
        <f ca="1">IFERROR(__xludf.DUMMYFUNCTION("""COMPUTED_VALUE"""),"Tradicional")</f>
        <v>Tradicional</v>
      </c>
      <c r="Q473" s="4"/>
      <c r="R473" s="130" t="str">
        <f ca="1">IFERROR(__xludf.DUMMYFUNCTION("""COMPUTED_VALUE"""),"Enterprises")</f>
        <v>Enterprises</v>
      </c>
      <c r="S473" s="130" t="str">
        <f ca="1">IFERROR(__xludf.DUMMYFUNCTION("""COMPUTED_VALUE"""),"Strategic Review")</f>
        <v>Strategic Review</v>
      </c>
      <c r="T473" s="130" t="str">
        <f ca="1">IFERROR(__xludf.DUMMYFUNCTION("""COMPUTED_VALUE"""),"Normativo")</f>
        <v>Normativo</v>
      </c>
      <c r="U473" s="130" t="str">
        <f ca="1">IFERROR(__xludf.DUMMYFUNCTION("""COMPUTED_VALUE"""),"No Aplica")</f>
        <v>No Aplica</v>
      </c>
      <c r="V473" s="4" t="str">
        <f ca="1">IFERROR(__xludf.DUMMYFUNCTION("""COMPUTED_VALUE"""),"Otros")</f>
        <v>Otros</v>
      </c>
      <c r="W473" s="4">
        <f ca="1">IFERROR(__xludf.DUMMYFUNCTION("""COMPUTED_VALUE"""),3)</f>
        <v>3</v>
      </c>
      <c r="X473" s="4" t="str">
        <f ca="1">IFERROR(__xludf.DUMMYFUNCTION("""COMPUTED_VALUE"""),"08. Enterprise Transactionality")</f>
        <v>08. Enterprise Transactionality</v>
      </c>
      <c r="Y473" s="4" t="str">
        <f ca="1">IFERROR(__xludf.DUMMYFUNCTION("""COMPUTED_VALUE"""),"5.7.1 Keep the Bank Running")</f>
        <v>5.7.1 Keep the Bank Running</v>
      </c>
      <c r="Z473" s="132" t="str">
        <f ca="1">IFERROR(__xludf.DUMMYFUNCTION("""COMPUTED_VALUE"""),"309917")</f>
        <v>309917</v>
      </c>
      <c r="AA473" s="4" t="str">
        <f ca="1">IFERROR(__xludf.DUMMYFUNCTION("""COMPUTED_VALUE"""),"Reporteria Regimen Subsidiado y Contributivo")</f>
        <v>Reporteria Regimen Subsidiado y Contributivo</v>
      </c>
      <c r="AB473"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73" s="4" t="str">
        <f ca="1">IFERROR(__xludf.DUMMYFUNCTION("""COMPUTED_VALUE"""),"4Q 2021")</f>
        <v>4Q 2021</v>
      </c>
      <c r="AD473" s="4"/>
      <c r="AE473" s="4"/>
      <c r="AF473" s="4"/>
      <c r="AG473" s="4"/>
      <c r="AH473" s="4"/>
      <c r="AI473" s="4"/>
      <c r="AJ473" s="4"/>
      <c r="AK473" s="131" t="str">
        <f ca="1">IFERROR(__xludf.DUMMYFUNCTION("""COMPUTED_VALUE"""),"CCSS-7501")</f>
        <v>CCSS-7501</v>
      </c>
      <c r="AL473" s="4" t="str">
        <f ca="1">IFERROR(__xludf.DUMMYFUNCTION("""COMPUTED_VALUE"""),"Deployed")</f>
        <v>Deployed</v>
      </c>
      <c r="AM473" s="4" t="str">
        <f ca="1">IFERROR(__xludf.DUMMYFUNCTION("""COMPUTED_VALUE"""),"Productivo")</f>
        <v>Productivo</v>
      </c>
      <c r="AN473" s="4" t="str">
        <f ca="1">IFERROR(__xludf.DUMMYFUNCTION("""COMPUTED_VALUE"""),"Finalizado")</f>
        <v>Finalizado</v>
      </c>
      <c r="AO473" s="4"/>
      <c r="AP473" s="4"/>
      <c r="AQ473" s="4"/>
      <c r="AR473" s="4" t="str">
        <f ca="1">IFERROR(__xludf.DUMMYFUNCTION("""COMPUTED_VALUE"""),"SDA aprobada en PPP Q1 2023")</f>
        <v>SDA aprobada en PPP Q1 2023</v>
      </c>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row>
    <row r="474" spans="1:132" x14ac:dyDescent="0.2">
      <c r="A474" s="4">
        <f ca="1">IFERROR(__xludf.DUMMYFUNCTION("""COMPUTED_VALUE"""),474)</f>
        <v>474</v>
      </c>
      <c r="B474" s="4">
        <f ca="1">IFERROR(__xludf.DUMMYFUNCTION("""COMPUTED_VALUE"""),447)</f>
        <v>447</v>
      </c>
      <c r="C474" s="4" t="str">
        <f ca="1">IFERROR(__xludf.DUMMYFUNCTION("""COMPUTED_VALUE"""),"SDATOOL-37111")</f>
        <v>SDATOOL-37111</v>
      </c>
      <c r="D474" s="4" t="str">
        <f ca="1">IFERROR(__xludf.DUMMYFUNCTION("""COMPUTED_VALUE"""),"Cuenta Maestra Adres")</f>
        <v>Cuenta Maestra Adres</v>
      </c>
      <c r="E474"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4" s="4" t="str">
        <f ca="1">IFERROR(__xludf.DUMMYFUNCTION("""COMPUTED_VALUE"""),"Project")</f>
        <v>Project</v>
      </c>
      <c r="G474" s="4" t="str">
        <f ca="1">IFERROR(__xludf.DUMMYFUNCTION("""COMPUTED_VALUE"""),"Stock")</f>
        <v>Stock</v>
      </c>
      <c r="H474" s="4" t="str">
        <f ca="1">IFERROR(__xludf.DUMMYFUNCTION("""COMPUTED_VALUE"""),"2Q 2023")</f>
        <v>2Q 2023</v>
      </c>
      <c r="I474" s="131" t="str">
        <f ca="1">IFERROR(__xludf.DUMMYFUNCTION("""COMPUTED_VALUE"""),"alirio.bermudez-bbva.com")</f>
        <v>alirio.bermudez-bbva.com</v>
      </c>
      <c r="J474" s="131" t="str">
        <f ca="1">IFERROR(__xludf.DUMMYFUNCTION("""COMPUTED_VALUE"""),"nelson.ruiz-bbva.com")</f>
        <v>nelson.ruiz-bbva.com</v>
      </c>
      <c r="K474" s="131" t="str">
        <f ca="1">IFERROR(__xludf.DUMMYFUNCTION("""COMPUTED_VALUE"""),"elizabeth.diaz-bbva.com")</f>
        <v>elizabeth.diaz-bbva.com</v>
      </c>
      <c r="L474" s="4"/>
      <c r="M474" s="4"/>
      <c r="N474" s="4"/>
      <c r="O474" s="4" t="str">
        <f ca="1">IFERROR(__xludf.DUMMYFUNCTION("""COMPUTED_VALUE"""),"Waterfall")</f>
        <v>Waterfall</v>
      </c>
      <c r="P474" s="4" t="str">
        <f ca="1">IFERROR(__xludf.DUMMYFUNCTION("""COMPUTED_VALUE"""),"Tradicional")</f>
        <v>Tradicional</v>
      </c>
      <c r="Q474" s="4"/>
      <c r="R474" s="130" t="str">
        <f ca="1">IFERROR(__xludf.DUMMYFUNCTION("""COMPUTED_VALUE"""),"Enterprises")</f>
        <v>Enterprises</v>
      </c>
      <c r="S474" s="130" t="str">
        <f ca="1">IFERROR(__xludf.DUMMYFUNCTION("""COMPUTED_VALUE"""),"Strategic Review")</f>
        <v>Strategic Review</v>
      </c>
      <c r="T474" s="130" t="str">
        <f ca="1">IFERROR(__xludf.DUMMYFUNCTION("""COMPUTED_VALUE"""),"Normativo")</f>
        <v>Normativo</v>
      </c>
      <c r="U474" s="130" t="str">
        <f ca="1">IFERROR(__xludf.DUMMYFUNCTION("""COMPUTED_VALUE"""),"No Aplica")</f>
        <v>No Aplica</v>
      </c>
      <c r="V474" s="4" t="str">
        <f ca="1">IFERROR(__xludf.DUMMYFUNCTION("""COMPUTED_VALUE"""),"Otros")</f>
        <v>Otros</v>
      </c>
      <c r="W474" s="4">
        <f ca="1">IFERROR(__xludf.DUMMYFUNCTION("""COMPUTED_VALUE"""),3)</f>
        <v>3</v>
      </c>
      <c r="X474" s="4" t="str">
        <f ca="1">IFERROR(__xludf.DUMMYFUNCTION("""COMPUTED_VALUE"""),"08. Enterprise Transactionality")</f>
        <v>08. Enterprise Transactionality</v>
      </c>
      <c r="Y474" s="4" t="str">
        <f ca="1">IFERROR(__xludf.DUMMYFUNCTION("""COMPUTED_VALUE"""),"5.7.1 Keep the Bank Running")</f>
        <v>5.7.1 Keep the Bank Running</v>
      </c>
      <c r="Z474" s="132" t="str">
        <f ca="1">IFERROR(__xludf.DUMMYFUNCTION("""COMPUTED_VALUE"""),"491997")</f>
        <v>491997</v>
      </c>
      <c r="AA474" s="4" t="str">
        <f ca="1">IFERROR(__xludf.DUMMYFUNCTION("""COMPUTED_VALUE"""),"Cuenta Maestra ADRES Fase 2: DATA X transmisión ADRES")</f>
        <v>Cuenta Maestra ADRES Fase 2: DATA X transmisión ADRES</v>
      </c>
      <c r="AB474" s="4" t="str">
        <f ca="1">IFERROR(__xludf.DUMMYFUNCTION("""COMPUTED_VALUE"""),"Se requiere la mejora en la configuración de compatibilidad en el servidor dispuesto por BBVA para los servicios de transmisión ADRES, mediante la herramienta DATA X de Sterling (ITAC) a SFTTP.")</f>
        <v>Se requiere la mejora en la configuración de compatibilidad en el servidor dispuesto por BBVA para los servicios de transmisión ADRES, mediante la herramienta DATA X de Sterling (ITAC) a SFTTP.</v>
      </c>
      <c r="AC474" s="4" t="str">
        <f ca="1">IFERROR(__xludf.DUMMYFUNCTION("""COMPUTED_VALUE"""),"1Q 2023")</f>
        <v>1Q 2023</v>
      </c>
      <c r="AD474" s="4"/>
      <c r="AE474" s="4"/>
      <c r="AF474" s="4"/>
      <c r="AG474" s="4"/>
      <c r="AH474" s="4"/>
      <c r="AI474" s="4"/>
      <c r="AJ474" s="4"/>
      <c r="AK474" s="131" t="str">
        <f ca="1">IFERROR(__xludf.DUMMYFUNCTION("""COMPUTED_VALUE"""),"COLWSCUENT-596")</f>
        <v>COLWSCUENT-596</v>
      </c>
      <c r="AL474" s="4" t="str">
        <f ca="1">IFERROR(__xludf.DUMMYFUNCTION("""COMPUTED_VALUE"""),"Deployed")</f>
        <v>Deployed</v>
      </c>
      <c r="AM474" s="4" t="str">
        <f ca="1">IFERROR(__xludf.DUMMYFUNCTION("""COMPUTED_VALUE"""),"Calidad: En ajustes de usuario control m, para migración malla")</f>
        <v>Calidad: En ajustes de usuario control m, para migración malla</v>
      </c>
      <c r="AN474" s="4" t="str">
        <f ca="1">IFERROR(__xludf.DUMMYFUNCTION("""COMPUTED_VALUE"""),"Finalizado")</f>
        <v>Finalizado</v>
      </c>
      <c r="AO474" s="4"/>
      <c r="AP474" s="4"/>
      <c r="AQ474" s="4"/>
      <c r="AR474" s="4" t="str">
        <f ca="1">IFERROR(__xludf.DUMMYFUNCTION("""COMPUTED_VALUE"""),"SDA aprobada en PPP Q1 2023")</f>
        <v>SDA aprobada en PPP Q1 2023</v>
      </c>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row>
    <row r="475" spans="1:132" x14ac:dyDescent="0.2">
      <c r="A475" s="4">
        <f ca="1">IFERROR(__xludf.DUMMYFUNCTION("""COMPUTED_VALUE"""),475)</f>
        <v>475</v>
      </c>
      <c r="B475" s="4">
        <f ca="1">IFERROR(__xludf.DUMMYFUNCTION("""COMPUTED_VALUE"""),448)</f>
        <v>448</v>
      </c>
      <c r="C475" s="4" t="str">
        <f ca="1">IFERROR(__xludf.DUMMYFUNCTION("""COMPUTED_VALUE"""),"SDATOOL-37111")</f>
        <v>SDATOOL-37111</v>
      </c>
      <c r="D475" s="4" t="str">
        <f ca="1">IFERROR(__xludf.DUMMYFUNCTION("""COMPUTED_VALUE"""),"Cuenta Maestra Adres")</f>
        <v>Cuenta Maestra Adres</v>
      </c>
      <c r="E475"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5" s="4" t="str">
        <f ca="1">IFERROR(__xludf.DUMMYFUNCTION("""COMPUTED_VALUE"""),"Project")</f>
        <v>Project</v>
      </c>
      <c r="G475" s="4" t="str">
        <f ca="1">IFERROR(__xludf.DUMMYFUNCTION("""COMPUTED_VALUE"""),"Stock")</f>
        <v>Stock</v>
      </c>
      <c r="H475" s="4" t="str">
        <f ca="1">IFERROR(__xludf.DUMMYFUNCTION("""COMPUTED_VALUE"""),"2Q 2023")</f>
        <v>2Q 2023</v>
      </c>
      <c r="I475" s="131" t="str">
        <f ca="1">IFERROR(__xludf.DUMMYFUNCTION("""COMPUTED_VALUE"""),"alirio.bermudez-bbva.com")</f>
        <v>alirio.bermudez-bbva.com</v>
      </c>
      <c r="J475" s="131" t="str">
        <f ca="1">IFERROR(__xludf.DUMMYFUNCTION("""COMPUTED_VALUE"""),"nelson.ruiz-bbva.com")</f>
        <v>nelson.ruiz-bbva.com</v>
      </c>
      <c r="K475" s="131" t="str">
        <f ca="1">IFERROR(__xludf.DUMMYFUNCTION("""COMPUTED_VALUE"""),"elizabeth.diaz-bbva.com")</f>
        <v>elizabeth.diaz-bbva.com</v>
      </c>
      <c r="L475" s="4"/>
      <c r="M475" s="4"/>
      <c r="N475" s="4"/>
      <c r="O475" s="4" t="str">
        <f ca="1">IFERROR(__xludf.DUMMYFUNCTION("""COMPUTED_VALUE"""),"Waterfall")</f>
        <v>Waterfall</v>
      </c>
      <c r="P475" s="4" t="str">
        <f ca="1">IFERROR(__xludf.DUMMYFUNCTION("""COMPUTED_VALUE"""),"Tradicional")</f>
        <v>Tradicional</v>
      </c>
      <c r="Q475" s="4"/>
      <c r="R475" s="130" t="str">
        <f ca="1">IFERROR(__xludf.DUMMYFUNCTION("""COMPUTED_VALUE"""),"Enterprises")</f>
        <v>Enterprises</v>
      </c>
      <c r="S475" s="130" t="str">
        <f ca="1">IFERROR(__xludf.DUMMYFUNCTION("""COMPUTED_VALUE"""),"Strategic Review")</f>
        <v>Strategic Review</v>
      </c>
      <c r="T475" s="130" t="str">
        <f ca="1">IFERROR(__xludf.DUMMYFUNCTION("""COMPUTED_VALUE"""),"Normativo")</f>
        <v>Normativo</v>
      </c>
      <c r="U475" s="130" t="str">
        <f ca="1">IFERROR(__xludf.DUMMYFUNCTION("""COMPUTED_VALUE"""),"No Aplica")</f>
        <v>No Aplica</v>
      </c>
      <c r="V475" s="4" t="str">
        <f ca="1">IFERROR(__xludf.DUMMYFUNCTION("""COMPUTED_VALUE"""),"Otros")</f>
        <v>Otros</v>
      </c>
      <c r="W475" s="4">
        <f ca="1">IFERROR(__xludf.DUMMYFUNCTION("""COMPUTED_VALUE"""),3)</f>
        <v>3</v>
      </c>
      <c r="X475" s="4" t="str">
        <f ca="1">IFERROR(__xludf.DUMMYFUNCTION("""COMPUTED_VALUE"""),"08. Enterprise Transactionality")</f>
        <v>08. Enterprise Transactionality</v>
      </c>
      <c r="Y475" s="4" t="str">
        <f ca="1">IFERROR(__xludf.DUMMYFUNCTION("""COMPUTED_VALUE"""),"5.7.1 Keep the Bank Running")</f>
        <v>5.7.1 Keep the Bank Running</v>
      </c>
      <c r="Z475" s="132" t="str">
        <f ca="1">IFERROR(__xludf.DUMMYFUNCTION("""COMPUTED_VALUE"""),"626324")</f>
        <v>626324</v>
      </c>
      <c r="AA475" s="4" t="str">
        <f ca="1">IFERROR(__xludf.DUMMYFUNCTION("""COMPUTED_VALUE"""),"Cuentas Maestras (Adres) Fase 2: Mejora transmisión diaria  PILA - ADRES.")</f>
        <v>Cuentas Maestras (Adres) Fase 2: Mejora transmisión diaria  PILA - ADRES.</v>
      </c>
      <c r="AB475" s="4" t="str">
        <f ca="1">IFERROR(__xludf.DUMMYFUNCTION("""COMPUTED_VALUE"""),"Mejorar técnica y/o tecnológica en relación al proceso de transmisión de la información diaria de recaudo correspondiente al proceso PILA - ADRES, al migrar los servicios del servidor Intralotus a un nuevo servidor actualizado para garantizar la entrega a"&amp;" la ADRES para los archivos de la Resolución 2262 del 2021.")</f>
        <v>Mejorar técnica y/o tecnológica en relación al proceso de transmisión de la información diaria de recaudo correspondiente al proceso PILA - ADRES, al migrar los servicios del servidor Intralotus a un nuevo servidor actualizado para garantizar la entrega a la ADRES para los archivos de la Resolución 2262 del 2021.</v>
      </c>
      <c r="AC475" s="4" t="str">
        <f ca="1">IFERROR(__xludf.DUMMYFUNCTION("""COMPUTED_VALUE"""),"2Q 2024")</f>
        <v>2Q 2024</v>
      </c>
      <c r="AD475" s="4"/>
      <c r="AE475" s="4"/>
      <c r="AF475" s="4"/>
      <c r="AG475" s="4"/>
      <c r="AH475" s="4"/>
      <c r="AI475" s="4"/>
      <c r="AJ475" s="4"/>
      <c r="AK475" s="131" t="str">
        <f ca="1">IFERROR(__xludf.DUMMYFUNCTION("""COMPUTED_VALUE"""),"COLWSCUENT-1970")</f>
        <v>COLWSCUENT-1970</v>
      </c>
      <c r="AL475" s="4" t="str">
        <f ca="1">IFERROR(__xludf.DUMMYFUNCTION("""COMPUTED_VALUE"""),"New")</f>
        <v>New</v>
      </c>
      <c r="AM475" s="4"/>
      <c r="AN475" s="4" t="str">
        <f ca="1">IFERROR(__xludf.DUMMYFUNCTION("""COMPUTED_VALUE"""),"Entregable en backlog")</f>
        <v>Entregable en backlog</v>
      </c>
      <c r="AO475" s="4"/>
      <c r="AP475" s="4"/>
      <c r="AQ475" s="4"/>
      <c r="AR475" s="4" t="str">
        <f ca="1">IFERROR(__xludf.DUMMYFUNCTION("""COMPUTED_VALUE"""),"SDA aprobada en PPP Q1 2023")</f>
        <v>SDA aprobada en PPP Q1 2023</v>
      </c>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row>
    <row r="476" spans="1:132" x14ac:dyDescent="0.2">
      <c r="A476" s="4">
        <f ca="1">IFERROR(__xludf.DUMMYFUNCTION("""COMPUTED_VALUE"""),476)</f>
        <v>476</v>
      </c>
      <c r="B476" s="4">
        <f ca="1">IFERROR(__xludf.DUMMYFUNCTION("""COMPUTED_VALUE"""),449)</f>
        <v>449</v>
      </c>
      <c r="C476" s="4" t="str">
        <f ca="1">IFERROR(__xludf.DUMMYFUNCTION("""COMPUTED_VALUE"""),"SDATOOL-37111")</f>
        <v>SDATOOL-37111</v>
      </c>
      <c r="D476" s="4" t="str">
        <f ca="1">IFERROR(__xludf.DUMMYFUNCTION("""COMPUTED_VALUE"""),"Cuenta Maestra Adres")</f>
        <v>Cuenta Maestra Adres</v>
      </c>
      <c r="E476"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6" s="4" t="str">
        <f ca="1">IFERROR(__xludf.DUMMYFUNCTION("""COMPUTED_VALUE"""),"Project")</f>
        <v>Project</v>
      </c>
      <c r="G476" s="4" t="str">
        <f ca="1">IFERROR(__xludf.DUMMYFUNCTION("""COMPUTED_VALUE"""),"Stock")</f>
        <v>Stock</v>
      </c>
      <c r="H476" s="4" t="str">
        <f ca="1">IFERROR(__xludf.DUMMYFUNCTION("""COMPUTED_VALUE"""),"2Q 2023")</f>
        <v>2Q 2023</v>
      </c>
      <c r="I476" s="131" t="str">
        <f ca="1">IFERROR(__xludf.DUMMYFUNCTION("""COMPUTED_VALUE"""),"alirio.bermudez-bbva.com")</f>
        <v>alirio.bermudez-bbva.com</v>
      </c>
      <c r="J476" s="131" t="str">
        <f ca="1">IFERROR(__xludf.DUMMYFUNCTION("""COMPUTED_VALUE"""),"nelson.ruiz-bbva.com")</f>
        <v>nelson.ruiz-bbva.com</v>
      </c>
      <c r="K476" s="131" t="str">
        <f ca="1">IFERROR(__xludf.DUMMYFUNCTION("""COMPUTED_VALUE"""),"elizabeth.diaz-bbva.com")</f>
        <v>elizabeth.diaz-bbva.com</v>
      </c>
      <c r="L476" s="4"/>
      <c r="M476" s="4"/>
      <c r="N476" s="4"/>
      <c r="O476" s="4" t="str">
        <f ca="1">IFERROR(__xludf.DUMMYFUNCTION("""COMPUTED_VALUE"""),"Waterfall")</f>
        <v>Waterfall</v>
      </c>
      <c r="P476" s="4" t="str">
        <f ca="1">IFERROR(__xludf.DUMMYFUNCTION("""COMPUTED_VALUE"""),"Tradicional")</f>
        <v>Tradicional</v>
      </c>
      <c r="Q476" s="4"/>
      <c r="R476" s="130" t="str">
        <f ca="1">IFERROR(__xludf.DUMMYFUNCTION("""COMPUTED_VALUE"""),"Enterprises")</f>
        <v>Enterprises</v>
      </c>
      <c r="S476" s="130" t="str">
        <f ca="1">IFERROR(__xludf.DUMMYFUNCTION("""COMPUTED_VALUE"""),"Strategic Review")</f>
        <v>Strategic Review</v>
      </c>
      <c r="T476" s="130" t="str">
        <f ca="1">IFERROR(__xludf.DUMMYFUNCTION("""COMPUTED_VALUE"""),"Normativo")</f>
        <v>Normativo</v>
      </c>
      <c r="U476" s="130" t="str">
        <f ca="1">IFERROR(__xludf.DUMMYFUNCTION("""COMPUTED_VALUE"""),"No Aplica")</f>
        <v>No Aplica</v>
      </c>
      <c r="V476" s="4" t="str">
        <f ca="1">IFERROR(__xludf.DUMMYFUNCTION("""COMPUTED_VALUE"""),"Otros")</f>
        <v>Otros</v>
      </c>
      <c r="W476" s="4">
        <f ca="1">IFERROR(__xludf.DUMMYFUNCTION("""COMPUTED_VALUE"""),3)</f>
        <v>3</v>
      </c>
      <c r="X476" s="4" t="str">
        <f ca="1">IFERROR(__xludf.DUMMYFUNCTION("""COMPUTED_VALUE"""),"08. Enterprise Transactionality")</f>
        <v>08. Enterprise Transactionality</v>
      </c>
      <c r="Y476" s="4" t="str">
        <f ca="1">IFERROR(__xludf.DUMMYFUNCTION("""COMPUTED_VALUE"""),"5.7.1 Keep the Bank Running")</f>
        <v>5.7.1 Keep the Bank Running</v>
      </c>
      <c r="Z476" s="132" t="str">
        <f ca="1">IFERROR(__xludf.DUMMYFUNCTION("""COMPUTED_VALUE"""),"711012")</f>
        <v>711012</v>
      </c>
      <c r="AA476" s="4" t="str">
        <f ca="1">IFERROR(__xludf.DUMMYFUNCTION("""COMPUTED_VALUE"""),"Cta. Maestra Adres Fase 2 (Táctico): Mejora transmisión diaria PILA – ADRES")</f>
        <v>Cta. Maestra Adres Fase 2 (Táctico): Mejora transmisión diaria PILA – ADRES</v>
      </c>
      <c r="AB476" s="4" t="str">
        <f ca="1">IFERROR(__xludf.DUMMYFUNCTION("""COMPUTED_VALUE"""),"Mejorar técnica y/o tecnológica en relación al proceso de transmisión local (táctico) de la información diaria de recaudo correspondiente al proceso PILA - ADRES, al migrar los servicios del servidor Intralotus a un nuevo servidor actualizado para garanti"&amp;"zar la entrega a la ADRES para los archivos de la Resolución 2262 del 2021.")</f>
        <v>Mejorar técnica y/o tecnológica en relación al proceso de transmisión local (táctico) de la información diaria de recaudo correspondiente al proceso PILA - ADRES, al migrar los servicios del servidor Intralotus a un nuevo servidor actualizado para garantizar la entrega a la ADRES para los archivos de la Resolución 2262 del 2021.</v>
      </c>
      <c r="AC476" s="4" t="str">
        <f ca="1">IFERROR(__xludf.DUMMYFUNCTION("""COMPUTED_VALUE"""),"2Q 2023")</f>
        <v>2Q 2023</v>
      </c>
      <c r="AD476" s="4"/>
      <c r="AE476" s="4"/>
      <c r="AF476" s="4"/>
      <c r="AG476" s="4"/>
      <c r="AH476" s="4"/>
      <c r="AI476" s="4"/>
      <c r="AJ476" s="4"/>
      <c r="AK476" s="131" t="str">
        <f ca="1">IFERROR(__xludf.DUMMYFUNCTION("""COMPUTED_VALUE"""),"COLWSCUENT-2488")</f>
        <v>COLWSCUENT-2488</v>
      </c>
      <c r="AL476" s="4" t="str">
        <f ca="1">IFERROR(__xludf.DUMMYFUNCTION("""COMPUTED_VALUE"""),"New")</f>
        <v>New</v>
      </c>
      <c r="AM476" s="4"/>
      <c r="AN476" s="4" t="str">
        <f ca="1">IFERROR(__xludf.DUMMYFUNCTION("""COMPUTED_VALUE"""),"Entregable en Conceptualización")</f>
        <v>Entregable en Conceptualización</v>
      </c>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row>
    <row r="477" spans="1:132" x14ac:dyDescent="0.2">
      <c r="A477" s="4">
        <f ca="1">IFERROR(__xludf.DUMMYFUNCTION("""COMPUTED_VALUE"""),477)</f>
        <v>477</v>
      </c>
      <c r="B477" s="4">
        <f ca="1">IFERROR(__xludf.DUMMYFUNCTION("""COMPUTED_VALUE"""),450)</f>
        <v>450</v>
      </c>
      <c r="C477" s="4" t="str">
        <f ca="1">IFERROR(__xludf.DUMMYFUNCTION("""COMPUTED_VALUE"""),"SDATOOL-37111")</f>
        <v>SDATOOL-37111</v>
      </c>
      <c r="D477" s="4" t="str">
        <f ca="1">IFERROR(__xludf.DUMMYFUNCTION("""COMPUTED_VALUE"""),"Cuenta Maestra Adres")</f>
        <v>Cuenta Maestra Adres</v>
      </c>
      <c r="E477"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7" s="4" t="str">
        <f ca="1">IFERROR(__xludf.DUMMYFUNCTION("""COMPUTED_VALUE"""),"Project")</f>
        <v>Project</v>
      </c>
      <c r="G477" s="4" t="str">
        <f ca="1">IFERROR(__xludf.DUMMYFUNCTION("""COMPUTED_VALUE"""),"Stock")</f>
        <v>Stock</v>
      </c>
      <c r="H477" s="4" t="str">
        <f ca="1">IFERROR(__xludf.DUMMYFUNCTION("""COMPUTED_VALUE"""),"2Q 2023")</f>
        <v>2Q 2023</v>
      </c>
      <c r="I477" s="131" t="str">
        <f ca="1">IFERROR(__xludf.DUMMYFUNCTION("""COMPUTED_VALUE"""),"alirio.bermudez-bbva.com")</f>
        <v>alirio.bermudez-bbva.com</v>
      </c>
      <c r="J477" s="131" t="str">
        <f ca="1">IFERROR(__xludf.DUMMYFUNCTION("""COMPUTED_VALUE"""),"nelson.ruiz-bbva.com")</f>
        <v>nelson.ruiz-bbva.com</v>
      </c>
      <c r="K477" s="131" t="str">
        <f ca="1">IFERROR(__xludf.DUMMYFUNCTION("""COMPUTED_VALUE"""),"elizabeth.diaz-bbva.com")</f>
        <v>elizabeth.diaz-bbva.com</v>
      </c>
      <c r="L477" s="4"/>
      <c r="M477" s="4"/>
      <c r="N477" s="4"/>
      <c r="O477" s="4" t="str">
        <f ca="1">IFERROR(__xludf.DUMMYFUNCTION("""COMPUTED_VALUE"""),"Waterfall")</f>
        <v>Waterfall</v>
      </c>
      <c r="P477" s="4" t="str">
        <f ca="1">IFERROR(__xludf.DUMMYFUNCTION("""COMPUTED_VALUE"""),"Tradicional")</f>
        <v>Tradicional</v>
      </c>
      <c r="Q477" s="4"/>
      <c r="R477" s="130" t="str">
        <f ca="1">IFERROR(__xludf.DUMMYFUNCTION("""COMPUTED_VALUE"""),"Enterprises")</f>
        <v>Enterprises</v>
      </c>
      <c r="S477" s="130" t="str">
        <f ca="1">IFERROR(__xludf.DUMMYFUNCTION("""COMPUTED_VALUE"""),"Strategic Review")</f>
        <v>Strategic Review</v>
      </c>
      <c r="T477" s="130" t="str">
        <f ca="1">IFERROR(__xludf.DUMMYFUNCTION("""COMPUTED_VALUE"""),"Normativo")</f>
        <v>Normativo</v>
      </c>
      <c r="U477" s="130" t="str">
        <f ca="1">IFERROR(__xludf.DUMMYFUNCTION("""COMPUTED_VALUE"""),"No Aplica")</f>
        <v>No Aplica</v>
      </c>
      <c r="V477" s="4" t="str">
        <f ca="1">IFERROR(__xludf.DUMMYFUNCTION("""COMPUTED_VALUE"""),"Otros")</f>
        <v>Otros</v>
      </c>
      <c r="W477" s="4">
        <f ca="1">IFERROR(__xludf.DUMMYFUNCTION("""COMPUTED_VALUE"""),3)</f>
        <v>3</v>
      </c>
      <c r="X477" s="4" t="str">
        <f ca="1">IFERROR(__xludf.DUMMYFUNCTION("""COMPUTED_VALUE"""),"08. Enterprise Transactionality")</f>
        <v>08. Enterprise Transactionality</v>
      </c>
      <c r="Y477" s="4" t="str">
        <f ca="1">IFERROR(__xludf.DUMMYFUNCTION("""COMPUTED_VALUE"""),"5.7.1 Keep the Bank Running")</f>
        <v>5.7.1 Keep the Bank Running</v>
      </c>
      <c r="Z477" s="132" t="str">
        <f ca="1">IFERROR(__xludf.DUMMYFUNCTION("""COMPUTED_VALUE"""),"618797")</f>
        <v>618797</v>
      </c>
      <c r="AA477" s="4" t="str">
        <f ca="1">IFERROR(__xludf.DUMMYFUNCTION("""COMPUTED_VALUE"""),"Cta Maestra (Adres) FASE 2: Campo 4  y  6 - Cta Maestra ICBF: Informe mvtos")</f>
        <v>Cta Maestra (Adres) FASE 2: Campo 4  y  6 - Cta Maestra ICBF: Informe mvtos</v>
      </c>
      <c r="AB477" s="4" t="str">
        <f ca="1">IFERROR(__xludf.DUMMYFUNCTION("""COMPUTED_VALUE"""),"- Ajustar información en los campos 4 - Número de cuenta’ de la estructura y especificación del nombre del archivo y 6 - Número de cuenta del tipo 1 – Anexo 8 de la Res 2262 de 2021, cuya longitud para ambos campos es de 20 caracteres (Longitud máxima) y "&amp;"la información reportada debe corresponder al número de cuenta de la EPS registrada en la ADRES.
- Ajustar el informe CMAICBF20220930TRAEF13 de Cuenta Maestra ICBF,  para que registre los movimientos a partir de su fecha y hora de marcación.")</f>
        <v>- Ajustar información en los campos 4 - Número de cuenta’ de la estructura y especificación del nombre del archivo y 6 - Número de cuenta del tipo 1 – Anexo 8 de la Res 2262 de 2021, cuya longitud para ambos campos es de 20 caracteres (Longitud máxima) y la información reportada debe corresponder al número de cuenta de la EPS registrada en la ADRES.
- Ajustar el informe CMAICBF20220930TRAEF13 de Cuenta Maestra ICBF,  para que registre los movimientos a partir de su fecha y hora de marcación.</v>
      </c>
      <c r="AC477" s="4" t="str">
        <f ca="1">IFERROR(__xludf.DUMMYFUNCTION("""COMPUTED_VALUE"""),"2Q 2023")</f>
        <v>2Q 2023</v>
      </c>
      <c r="AD477" s="4"/>
      <c r="AE477" s="4"/>
      <c r="AF477" s="4"/>
      <c r="AG477" s="4"/>
      <c r="AH477" s="4"/>
      <c r="AI477" s="4"/>
      <c r="AJ477" s="4"/>
      <c r="AK477" s="131" t="str">
        <f ca="1">IFERROR(__xludf.DUMMYFUNCTION("""COMPUTED_VALUE"""),"COLWSCUENT-1665")</f>
        <v>COLWSCUENT-1665</v>
      </c>
      <c r="AL477" s="4" t="str">
        <f ca="1">IFERROR(__xludf.DUMMYFUNCTION("""COMPUTED_VALUE"""),"Analysing")</f>
        <v>Analysing</v>
      </c>
      <c r="AM477" s="4" t="str">
        <f ca="1">IFERROR(__xludf.DUMMYFUNCTION("""COMPUTED_VALUE"""),"Stand Bye por Proy. PILA")</f>
        <v>Stand Bye por Proy. PILA</v>
      </c>
      <c r="AN477" s="4" t="str">
        <f ca="1">IFERROR(__xludf.DUMMYFUNCTION("""COMPUTED_VALUE"""),"Entregable en desarrollo")</f>
        <v>Entregable en desarrollo</v>
      </c>
      <c r="AO477" s="4"/>
      <c r="AP477" s="4"/>
      <c r="AQ477" s="4"/>
      <c r="AR477" s="4" t="str">
        <f ca="1">IFERROR(__xludf.DUMMYFUNCTION("""COMPUTED_VALUE"""),"SDA aprobada en PPP Q1 2023")</f>
        <v>SDA aprobada en PPP Q1 2023</v>
      </c>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row>
    <row r="478" spans="1:132" x14ac:dyDescent="0.2">
      <c r="A478" s="4">
        <f ca="1">IFERROR(__xludf.DUMMYFUNCTION("""COMPUTED_VALUE"""),478)</f>
        <v>478</v>
      </c>
      <c r="B478" s="4">
        <f ca="1">IFERROR(__xludf.DUMMYFUNCTION("""COMPUTED_VALUE"""),451)</f>
        <v>451</v>
      </c>
      <c r="C478" s="4" t="str">
        <f ca="1">IFERROR(__xludf.DUMMYFUNCTION("""COMPUTED_VALUE"""),"SDATOOL-39327")</f>
        <v>SDATOOL-39327</v>
      </c>
      <c r="D478" s="4" t="str">
        <f ca="1">IFERROR(__xludf.DUMMYFUNCTION("""COMPUTED_VALUE"""),"Subproducto Cuenta Maestra")</f>
        <v>Subproducto Cuenta Maestra</v>
      </c>
      <c r="E478" s="4" t="str">
        <f ca="1">IFERROR(__xludf.DUMMYFUNCTION("""COMPUTED_VALUE"""),"Se requiere garantizar que el nuevo subproducto de Cuenta Corriente Maestra y Cuenta de Ahorros Maestra, permitan realizar el alta, baja y modificación de Cuentas Maestras, así como el alta, baja y modificación de Cuentas Beneficiarias.")</f>
        <v>Se requiere garantizar que el nuevo subproducto de Cuenta Corriente Maestra y Cuenta de Ahorros Maestra, permitan realizar el alta, baja y modificación de Cuentas Maestras, así como el alta, baja y modificación de Cuentas Beneficiarias.</v>
      </c>
      <c r="F478" s="4" t="str">
        <f ca="1">IFERROR(__xludf.DUMMYFUNCTION("""COMPUTED_VALUE"""),"Project")</f>
        <v>Project</v>
      </c>
      <c r="G478" s="4" t="str">
        <f ca="1">IFERROR(__xludf.DUMMYFUNCTION("""COMPUTED_VALUE"""),"Stock")</f>
        <v>Stock</v>
      </c>
      <c r="H478" s="4" t="str">
        <f ca="1">IFERROR(__xludf.DUMMYFUNCTION("""COMPUTED_VALUE"""),"1Q 2024")</f>
        <v>1Q 2024</v>
      </c>
      <c r="I478" s="131" t="str">
        <f ca="1">IFERROR(__xludf.DUMMYFUNCTION("""COMPUTED_VALUE"""),"alirio.bermudez-bbva.com")</f>
        <v>alirio.bermudez-bbva.com</v>
      </c>
      <c r="J478" s="131" t="str">
        <f ca="1">IFERROR(__xludf.DUMMYFUNCTION("""COMPUTED_VALUE"""),"nelson.ruiz-bbva.com")</f>
        <v>nelson.ruiz-bbva.com</v>
      </c>
      <c r="K478" s="131" t="str">
        <f ca="1">IFERROR(__xludf.DUMMYFUNCTION("""COMPUTED_VALUE"""),"elizabeth.diaz-bbva.com")</f>
        <v>elizabeth.diaz-bbva.com</v>
      </c>
      <c r="L478" s="130">
        <f ca="1">IFERROR(__xludf.DUMMYFUNCTION("""COMPUTED_VALUE"""),0)</f>
        <v>0</v>
      </c>
      <c r="M478" s="130">
        <f ca="1">IFERROR(__xludf.DUMMYFUNCTION("""COMPUTED_VALUE"""),0)</f>
        <v>0</v>
      </c>
      <c r="N478" s="130">
        <f ca="1">IFERROR(__xludf.DUMMYFUNCTION("""COMPUTED_VALUE"""),0)</f>
        <v>0</v>
      </c>
      <c r="O478" s="4" t="str">
        <f ca="1">IFERROR(__xludf.DUMMYFUNCTION("""COMPUTED_VALUE"""),"Waterfall")</f>
        <v>Waterfall</v>
      </c>
      <c r="P478" s="4" t="str">
        <f ca="1">IFERROR(__xludf.DUMMYFUNCTION("""COMPUTED_VALUE"""),"Tradicional")</f>
        <v>Tradicional</v>
      </c>
      <c r="Q478" s="4"/>
      <c r="R478" s="130" t="str">
        <f ca="1">IFERROR(__xludf.DUMMYFUNCTION("""COMPUTED_VALUE"""),"Enterprises")</f>
        <v>Enterprises</v>
      </c>
      <c r="S478" s="130" t="str">
        <f ca="1">IFERROR(__xludf.DUMMYFUNCTION("""COMPUTED_VALUE""")," Otros")</f>
        <v xml:space="preserve"> Otros</v>
      </c>
      <c r="T478" s="130" t="str">
        <f ca="1">IFERROR(__xludf.DUMMYFUNCTION("""COMPUTED_VALUE"""),"Normativo")</f>
        <v>Normativo</v>
      </c>
      <c r="U478" s="130" t="str">
        <f ca="1">IFERROR(__xludf.DUMMYFUNCTION("""COMPUTED_VALUE"""),"No Aplica")</f>
        <v>No Aplica</v>
      </c>
      <c r="V478" s="4" t="str">
        <f ca="1">IFERROR(__xludf.DUMMYFUNCTION("""COMPUTED_VALUE"""),"Otros")</f>
        <v>Otros</v>
      </c>
      <c r="W478" s="4">
        <f ca="1">IFERROR(__xludf.DUMMYFUNCTION("""COMPUTED_VALUE"""),3)</f>
        <v>3</v>
      </c>
      <c r="X478" s="4" t="str">
        <f ca="1">IFERROR(__xludf.DUMMYFUNCTION("""COMPUTED_VALUE"""),"10. Otros")</f>
        <v>10. Otros</v>
      </c>
      <c r="Y478" s="4" t="str">
        <f ca="1">IFERROR(__xludf.DUMMYFUNCTION("""COMPUTED_VALUE""")," Otros")</f>
        <v xml:space="preserve"> Otros</v>
      </c>
      <c r="Z478" s="132" t="str">
        <f ca="1">IFERROR(__xludf.DUMMYFUNCTION("""COMPUTED_VALUE"""),"469085")</f>
        <v>469085</v>
      </c>
      <c r="AA478" s="4" t="str">
        <f ca="1">IFERROR(__xludf.DUMMYFUNCTION("""COMPUTED_VALUE"""),"Subproducto Cuenta Maestra")</f>
        <v>Subproducto Cuenta Maestra</v>
      </c>
      <c r="AB478" s="4" t="str">
        <f ca="1">IFERROR(__xludf.DUMMYFUNCTION("""COMPUTED_VALUE"""),"Se requiere garantizar que el nuevo subproducto de Cuenta Corriente Maestra y Cuenta de Ahorros Maestra, permitan realizar el alta, baja y modificación de Cuentas Maestras, así como el alta, baja y modificación de Cuentas Beneficiarias.")</f>
        <v>Se requiere garantizar que el nuevo subproducto de Cuenta Corriente Maestra y Cuenta de Ahorros Maestra, permitan realizar el alta, baja y modificación de Cuentas Maestras, así como el alta, baja y modificación de Cuentas Beneficiarias.</v>
      </c>
      <c r="AC478" s="4" t="str">
        <f ca="1">IFERROR(__xludf.DUMMYFUNCTION("""COMPUTED_VALUE"""),"4Q 2023")</f>
        <v>4Q 2023</v>
      </c>
      <c r="AD478" s="128" t="str">
        <f ca="1">IFERROR(__xludf.DUMMYFUNCTION("""COMPUTED_VALUE"""),"-")</f>
        <v>-</v>
      </c>
      <c r="AE478" s="128" t="str">
        <f ca="1">IFERROR(__xludf.DUMMYFUNCTION("""COMPUTED_VALUE"""),"-")</f>
        <v>-</v>
      </c>
      <c r="AF478" s="128" t="str">
        <f ca="1">IFERROR(__xludf.DUMMYFUNCTION("""COMPUTED_VALUE"""),"-")</f>
        <v>-</v>
      </c>
      <c r="AG478" s="128" t="str">
        <f ca="1">IFERROR(__xludf.DUMMYFUNCTION("""COMPUTED_VALUE"""),"-")</f>
        <v>-</v>
      </c>
      <c r="AH478" s="128" t="str">
        <f ca="1">IFERROR(__xludf.DUMMYFUNCTION("""COMPUTED_VALUE"""),"-")</f>
        <v>-</v>
      </c>
      <c r="AI478" s="128" t="str">
        <f ca="1">IFERROR(__xludf.DUMMYFUNCTION("""COMPUTED_VALUE"""),"-")</f>
        <v>-</v>
      </c>
      <c r="AJ478" s="128" t="str">
        <f ca="1">IFERROR(__xludf.DUMMYFUNCTION("""COMPUTED_VALUE"""),"-")</f>
        <v>-</v>
      </c>
      <c r="AK478" s="131" t="str">
        <f ca="1">IFERROR(__xludf.DUMMYFUNCTION("""COMPUTED_VALUE"""),"COLWSCUENT-338")</f>
        <v>COLWSCUENT-338</v>
      </c>
      <c r="AL478" s="4" t="str">
        <f ca="1">IFERROR(__xludf.DUMMYFUNCTION("""COMPUTED_VALUE"""),"New")</f>
        <v>New</v>
      </c>
      <c r="AM478" s="4" t="str">
        <f ca="1">IFERROR(__xludf.DUMMYFUNCTION("""COMPUTED_VALUE"""),"Radicar a PMO, DF cerrado")</f>
        <v>Radicar a PMO, DF cerrado</v>
      </c>
      <c r="AN478" s="4" t="str">
        <f ca="1">IFERROR(__xludf.DUMMYFUNCTION("""COMPUTED_VALUE"""),"Entregable en Conceptualización")</f>
        <v>Entregable en Conceptualización</v>
      </c>
      <c r="AO478" s="4"/>
      <c r="AP478" s="4"/>
      <c r="AQ478" s="4"/>
      <c r="AR478" s="4" t="str">
        <f ca="1">IFERROR(__xludf.DUMMYFUNCTION("""COMPUTED_VALUE"""),"SDA aprobada en PPP Q1 2023")</f>
        <v>SDA aprobada en PPP Q1 2023</v>
      </c>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133">
        <f ca="1">IFERROR(__xludf.DUMMYFUNCTION("""COMPUTED_VALUE"""),0)</f>
        <v>0</v>
      </c>
      <c r="DV478" s="133">
        <f ca="1">IFERROR(__xludf.DUMMYFUNCTION("""COMPUTED_VALUE"""),0)</f>
        <v>0</v>
      </c>
      <c r="DW478" s="133">
        <f ca="1">IFERROR(__xludf.DUMMYFUNCTION("""COMPUTED_VALUE"""),0)</f>
        <v>0</v>
      </c>
      <c r="DX478" s="133">
        <f ca="1">IFERROR(__xludf.DUMMYFUNCTION("""COMPUTED_VALUE"""),230000000)</f>
        <v>230000000</v>
      </c>
      <c r="DY478" s="133">
        <f ca="1">IFERROR(__xludf.DUMMYFUNCTION("""COMPUTED_VALUE"""),0)</f>
        <v>0</v>
      </c>
      <c r="DZ478" s="133">
        <f ca="1">IFERROR(__xludf.DUMMYFUNCTION("""COMPUTED_VALUE"""),230000000)</f>
        <v>230000000</v>
      </c>
      <c r="EA478" s="4"/>
      <c r="EB478" s="4"/>
    </row>
    <row r="479" spans="1:132" x14ac:dyDescent="0.2">
      <c r="A479" s="4">
        <f ca="1">IFERROR(__xludf.DUMMYFUNCTION("""COMPUTED_VALUE"""),479)</f>
        <v>479</v>
      </c>
      <c r="B479" s="4">
        <f ca="1">IFERROR(__xludf.DUMMYFUNCTION("""COMPUTED_VALUE"""),452)</f>
        <v>452</v>
      </c>
      <c r="C479" s="4" t="str">
        <f ca="1">IFERROR(__xludf.DUMMYFUNCTION("""COMPUTED_VALUE"""),"SDATOOL-40771")</f>
        <v>SDATOOL-40771</v>
      </c>
      <c r="D479" s="4" t="str">
        <f ca="1">IFERROR(__xludf.DUMMYFUNCTION("""COMPUTED_VALUE"""),"Resolución Cuentas Maestras y Cuentas Maestras para Pagos Electrónicos (PSE): Anexo Técnico - Nuevo reporte de información")</f>
        <v>Resolución Cuentas Maestras y Cuentas Maestras para Pagos Electrónicos (PSE): Anexo Técnico - Nuevo reporte de información</v>
      </c>
      <c r="E479" s="4" t="str">
        <f ca="1">IFERROR(__xludf.DUMMYFUNCTION("""COMPUTED_VALUE"""),"El cargue de los archivos planos seguirá un orden lógico en el cual se cargará primero el archivo con la información de las Cuentas Maestras y posterior a la recepción exitosa de este, se deberá cargar lo correspondiente a la información de las Cuentas Ma"&amp;"estras para Pagos Electrónicos (PSE), se debe efectuar en este orden para que el aplicativo web no arroje error.
El nuevo aplicativo realizará un proceso de validación de la información, donde primero revisa la estructura de los datos informando por corr"&amp;"eo electrónico el resultado de la validación y una vez realizada de forma exitosa la primera validación, se realiza un control de calidad del contenido de cada campo del archivo cargado informando de igual forma por correo electrónico el resultado.
De ac"&amp;"uerdo con el documento Anexo Técnico de la Resolución conjunta de Cuentas Maestras y Cuentas Maestras para Pagos Electrónicos (PSE)")</f>
        <v>El cargue de los archivos planos seguirá un orden lógico en el cual se cargará primero el archivo con la información de las Cuentas Maestras y posterior a la recepción exitosa de este, se deberá cargar lo correspondiente a la información de las Cuentas Maestras para Pagos Electrónicos (PSE), se debe efectuar en este orden para que el aplicativo web no arroje error.
El nuevo aplicativo realizará un proceso de validación de la información, donde primero revisa la estructura de los datos informando por correo electrónico el resultado de la validación y una vez realizada de forma exitosa la primera validación, se realiza un control de calidad del contenido de cada campo del archivo cargado informando de igual forma por correo electrónico el resultado.
De acuerdo con el documento Anexo Técnico de la Resolución conjunta de Cuentas Maestras y Cuentas Maestras para Pagos Electrónicos (PSE)</v>
      </c>
      <c r="F479" s="4" t="str">
        <f ca="1">IFERROR(__xludf.DUMMYFUNCTION("""COMPUTED_VALUE"""),"Project")</f>
        <v>Project</v>
      </c>
      <c r="G479" s="4" t="str">
        <f ca="1">IFERROR(__xludf.DUMMYFUNCTION("""COMPUTED_VALUE"""),"Stock")</f>
        <v>Stock</v>
      </c>
      <c r="H479" s="4" t="str">
        <f ca="1">IFERROR(__xludf.DUMMYFUNCTION("""COMPUTED_VALUE"""),"2Q 2023")</f>
        <v>2Q 2023</v>
      </c>
      <c r="I479" s="131" t="str">
        <f ca="1">IFERROR(__xludf.DUMMYFUNCTION("""COMPUTED_VALUE"""),"alirio.bermudez-bbva.com")</f>
        <v>alirio.bermudez-bbva.com</v>
      </c>
      <c r="J479" s="131" t="str">
        <f ca="1">IFERROR(__xludf.DUMMYFUNCTION("""COMPUTED_VALUE"""),"nelson.ruiz-bbva.com")</f>
        <v>nelson.ruiz-bbva.com</v>
      </c>
      <c r="K479" s="131" t="str">
        <f ca="1">IFERROR(__xludf.DUMMYFUNCTION("""COMPUTED_VALUE"""),"elizabeth.diaz-bbva.com")</f>
        <v>elizabeth.diaz-bbva.com</v>
      </c>
      <c r="L479" s="130">
        <f ca="1">IFERROR(__xludf.DUMMYFUNCTION("""COMPUTED_VALUE"""),0)</f>
        <v>0</v>
      </c>
      <c r="M479" s="130">
        <f ca="1">IFERROR(__xludf.DUMMYFUNCTION("""COMPUTED_VALUE"""),0.5)</f>
        <v>0.5</v>
      </c>
      <c r="N479" s="130">
        <f ca="1">IFERROR(__xludf.DUMMYFUNCTION("""COMPUTED_VALUE"""),0.8)</f>
        <v>0.8</v>
      </c>
      <c r="O479" s="4" t="str">
        <f ca="1">IFERROR(__xludf.DUMMYFUNCTION("""COMPUTED_VALUE"""),"Waterfall")</f>
        <v>Waterfall</v>
      </c>
      <c r="P479" s="4" t="str">
        <f ca="1">IFERROR(__xludf.DUMMYFUNCTION("""COMPUTED_VALUE"""),"Tradicional")</f>
        <v>Tradicional</v>
      </c>
      <c r="Q479" s="4"/>
      <c r="R479" s="130" t="str">
        <f ca="1">IFERROR(__xludf.DUMMYFUNCTION("""COMPUTED_VALUE"""),"Enterprises")</f>
        <v>Enterprises</v>
      </c>
      <c r="S479" s="130" t="str">
        <f ca="1">IFERROR(__xludf.DUMMYFUNCTION("""COMPUTED_VALUE""")," Otros")</f>
        <v xml:space="preserve"> Otros</v>
      </c>
      <c r="T479" s="130" t="str">
        <f ca="1">IFERROR(__xludf.DUMMYFUNCTION("""COMPUTED_VALUE"""),"Normativo")</f>
        <v>Normativo</v>
      </c>
      <c r="U479" s="130" t="str">
        <f ca="1">IFERROR(__xludf.DUMMYFUNCTION("""COMPUTED_VALUE"""),"No Aplica")</f>
        <v>No Aplica</v>
      </c>
      <c r="V479" s="4" t="str">
        <f ca="1">IFERROR(__xludf.DUMMYFUNCTION("""COMPUTED_VALUE"""),"Otros")</f>
        <v>Otros</v>
      </c>
      <c r="W479" s="4">
        <f ca="1">IFERROR(__xludf.DUMMYFUNCTION("""COMPUTED_VALUE"""),3)</f>
        <v>3</v>
      </c>
      <c r="X479" s="4" t="str">
        <f ca="1">IFERROR(__xludf.DUMMYFUNCTION("""COMPUTED_VALUE"""),"10. Otros")</f>
        <v>10. Otros</v>
      </c>
      <c r="Y479" s="4" t="str">
        <f ca="1">IFERROR(__xludf.DUMMYFUNCTION("""COMPUTED_VALUE""")," Otros")</f>
        <v xml:space="preserve"> Otros</v>
      </c>
      <c r="Z479" s="132" t="str">
        <f ca="1">IFERROR(__xludf.DUMMYFUNCTION("""COMPUTED_VALUE"""),"610350")</f>
        <v>610350</v>
      </c>
      <c r="AA479" s="4" t="str">
        <f ca="1">IFERROR(__xludf.DUMMYFUNCTION("""COMPUTED_VALUE"""),"Res.Cuenta Maestra y Cuenta Maestra Pagos Electrónicos (PSE): Anexo Técnico")</f>
        <v>Res.Cuenta Maestra y Cuenta Maestra Pagos Electrónicos (PSE): Anexo Técnico</v>
      </c>
      <c r="AB479" s="4" t="str">
        <f ca="1">IFERROR(__xludf.DUMMYFUNCTION("""COMPUTED_VALUE"""),"Reportar a  MinHacienda, Educación, Vivienda, a través del aplicativo web SISFEVAL del MinHacienda los archivos planos con la información de las C M y C M para Pagos Electrónicos (PSE) de las entidades territoriales, sus entidades descentralizadas, los Fo"&amp;"ndos de Servicios Educativos, los territorios indígenas certificados, los resguardos indígenas y las asociaciones que estos conformen autorizados para la administración directa de los recursos de la Asignación Especial para Resguardos Indígenas")</f>
        <v>Reportar a  MinHacienda, Educación, Vivienda, a través del aplicativo web SISFEVAL del MinHacienda los archivos planos con la información de las C M y C M para Pagos Electrónicos (PSE) de las entidades territoriales, sus entidades descentralizadas, los Fondos de Servicios Educativos, los territorios indígenas certificados, los resguardos indígenas y las asociaciones que estos conformen autorizados para la administración directa de los recursos de la Asignación Especial para Resguardos Indígenas</v>
      </c>
      <c r="AC479" s="4" t="str">
        <f ca="1">IFERROR(__xludf.DUMMYFUNCTION("""COMPUTED_VALUE"""),"2Q 2023")</f>
        <v>2Q 2023</v>
      </c>
      <c r="AD479" s="4"/>
      <c r="AE479" s="4"/>
      <c r="AF479" s="4"/>
      <c r="AG479" s="4"/>
      <c r="AH479" s="4"/>
      <c r="AI479" s="4"/>
      <c r="AJ479" s="4"/>
      <c r="AK479" s="131" t="str">
        <f ca="1">IFERROR(__xludf.DUMMYFUNCTION("""COMPUTED_VALUE"""),"COLWSCUENT-1636")</f>
        <v>COLWSCUENT-1636</v>
      </c>
      <c r="AL479" s="4" t="str">
        <f ca="1">IFERROR(__xludf.DUMMYFUNCTION("""COMPUTED_VALUE"""),"Test")</f>
        <v>Test</v>
      </c>
      <c r="AM479" s="4" t="str">
        <f ca="1">IFERROR(__xludf.DUMMYFUNCTION("""COMPUTED_VALUE"""),"Desarrollo: Finalizada de construcción, en diseño de casos de pruebas.")</f>
        <v>Desarrollo: Finalizada de construcción, en diseño de casos de pruebas.</v>
      </c>
      <c r="AN479" s="4" t="str">
        <f ca="1">IFERROR(__xludf.DUMMYFUNCTION("""COMPUTED_VALUE"""),"Entregable en desarrollo")</f>
        <v>Entregable en desarrollo</v>
      </c>
      <c r="AO479" s="4"/>
      <c r="AP479" s="4"/>
      <c r="AQ479" s="4"/>
      <c r="AR479" s="4" t="str">
        <f ca="1">IFERROR(__xludf.DUMMYFUNCTION("""COMPUTED_VALUE"""),"SDA aprobada en PPP Q1 2023")</f>
        <v>SDA aprobada en PPP Q1 2023</v>
      </c>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133">
        <f ca="1">IFERROR(__xludf.DUMMYFUNCTION("""COMPUTED_VALUE"""),0)</f>
        <v>0</v>
      </c>
      <c r="DV479" s="133">
        <f ca="1">IFERROR(__xludf.DUMMYFUNCTION("""COMPUTED_VALUE"""),0)</f>
        <v>0</v>
      </c>
      <c r="DW479" s="133">
        <f ca="1">IFERROR(__xludf.DUMMYFUNCTION("""COMPUTED_VALUE"""),0)</f>
        <v>0</v>
      </c>
      <c r="DX479" s="133">
        <f ca="1">IFERROR(__xludf.DUMMYFUNCTION("""COMPUTED_VALUE"""),97650284)</f>
        <v>97650284</v>
      </c>
      <c r="DY479" s="133">
        <f ca="1">IFERROR(__xludf.DUMMYFUNCTION("""COMPUTED_VALUE"""),0)</f>
        <v>0</v>
      </c>
      <c r="DZ479" s="133">
        <f ca="1">IFERROR(__xludf.DUMMYFUNCTION("""COMPUTED_VALUE"""),97650284)</f>
        <v>97650284</v>
      </c>
      <c r="EA479" s="4"/>
      <c r="EB479" s="4"/>
    </row>
    <row r="480" spans="1:132" x14ac:dyDescent="0.2">
      <c r="A480" s="4">
        <f ca="1">IFERROR(__xludf.DUMMYFUNCTION("""COMPUTED_VALUE"""),480)</f>
        <v>480</v>
      </c>
      <c r="B480" s="4"/>
      <c r="C480" s="4" t="str">
        <f ca="1">IFERROR(__xludf.DUMMYFUNCTION("""COMPUTED_VALUE"""),"SDATOOL-42484")</f>
        <v>SDATOOL-42484</v>
      </c>
      <c r="D480" s="4" t="str">
        <f ca="1">IFERROR(__xludf.DUMMYFUNCTION("""COMPUTED_VALUE"""),"Pago de Impuestos Nacionales y Aduaneros con Títulos TIDIS,CERT y TRT")</f>
        <v>Pago de Impuestos Nacionales y Aduaneros con Títulos TIDIS,CERT y TRT</v>
      </c>
      <c r="E480" s="4" t="str">
        <f ca="1">IFERROR(__xludf.DUMMYFUNCTION("""COMPUTED_VALUE"""),"Se requiere generar el E2E del proceso de recaudo a través de pago con títulos TIDIS, CERT y TRT, para el pago de las rentas nacionales de la DIAN, en donde se involucre desde el tratamiento de clientes, disposición del modulo de Impuestos Nacionales en T"&amp;"erminal para el recaudo, generación del proceso contable y operativo y finalmente la ejecución de reportes BBVA y articular este proceso con el proyecto de Webservices Recaudo Diario DIAN y MinHacienda.")</f>
        <v>Se requiere generar el E2E del proceso de recaudo a través de pago con títulos TIDIS, CERT y TRT, para el pago de las rentas nacionales de la DIAN, en donde se involucre desde el tratamiento de clientes, disposición del modulo de Impuestos Nacionales en Terminal para el recaudo, generación del proceso contable y operativo y finalmente la ejecución de reportes BBVA y articular este proceso con el proyecto de Webservices Recaudo Diario DIAN y MinHacienda.</v>
      </c>
      <c r="F480" s="4" t="str">
        <f ca="1">IFERROR(__xludf.DUMMYFUNCTION("""COMPUTED_VALUE"""),"Initiative")</f>
        <v>Initiative</v>
      </c>
      <c r="G480" s="4" t="str">
        <f ca="1">IFERROR(__xludf.DUMMYFUNCTION("""COMPUTED_VALUE"""),"Flow")</f>
        <v>Flow</v>
      </c>
      <c r="H480" s="4" t="str">
        <f ca="1">IFERROR(__xludf.DUMMYFUNCTION("""COMPUTED_VALUE"""),"4Q 2024")</f>
        <v>4Q 2024</v>
      </c>
      <c r="I480" s="131" t="str">
        <f ca="1">IFERROR(__xludf.DUMMYFUNCTION("""COMPUTED_VALUE"""),"alirio.bermudez-bbva.com")</f>
        <v>alirio.bermudez-bbva.com</v>
      </c>
      <c r="J480" s="131" t="str">
        <f ca="1">IFERROR(__xludf.DUMMYFUNCTION("""COMPUTED_VALUE"""),"nelson.ruiz-bbva.com")</f>
        <v>nelson.ruiz-bbva.com</v>
      </c>
      <c r="K480" s="131" t="str">
        <f ca="1">IFERROR(__xludf.DUMMYFUNCTION("""COMPUTED_VALUE"""),"elizabeth.diaz-bbva.com")</f>
        <v>elizabeth.diaz-bbva.com</v>
      </c>
      <c r="L480" s="130">
        <f ca="1">IFERROR(__xludf.DUMMYFUNCTION("""COMPUTED_VALUE"""),0)</f>
        <v>0</v>
      </c>
      <c r="M480" s="130">
        <f ca="1">IFERROR(__xludf.DUMMYFUNCTION("""COMPUTED_VALUE"""),0)</f>
        <v>0</v>
      </c>
      <c r="N480" s="130">
        <f ca="1">IFERROR(__xludf.DUMMYFUNCTION("""COMPUTED_VALUE"""),0)</f>
        <v>0</v>
      </c>
      <c r="O480" s="4" t="str">
        <f ca="1">IFERROR(__xludf.DUMMYFUNCTION("""COMPUTED_VALUE"""),"Waterfall")</f>
        <v>Waterfall</v>
      </c>
      <c r="P480" s="4" t="str">
        <f ca="1">IFERROR(__xludf.DUMMYFUNCTION("""COMPUTED_VALUE"""),"Tradicional")</f>
        <v>Tradicional</v>
      </c>
      <c r="Q480" s="4"/>
      <c r="R480" s="130" t="str">
        <f ca="1">IFERROR(__xludf.DUMMYFUNCTION("""COMPUTED_VALUE"""),"Enterprises")</f>
        <v>Enterprises</v>
      </c>
      <c r="S480" s="130" t="str">
        <f ca="1">IFERROR(__xludf.DUMMYFUNCTION("""COMPUTED_VALUE""")," Otros")</f>
        <v xml:space="preserve"> Otros</v>
      </c>
      <c r="T480" s="130" t="str">
        <f ca="1">IFERROR(__xludf.DUMMYFUNCTION("""COMPUTED_VALUE"""),"Normativo")</f>
        <v>Normativo</v>
      </c>
      <c r="U480" s="130" t="str">
        <f ca="1">IFERROR(__xludf.DUMMYFUNCTION("""COMPUTED_VALUE"""),"No Aplica")</f>
        <v>No Aplica</v>
      </c>
      <c r="V480" s="4" t="str">
        <f ca="1">IFERROR(__xludf.DUMMYFUNCTION("""COMPUTED_VALUE"""),"Otros")</f>
        <v>Otros</v>
      </c>
      <c r="W480" s="4">
        <f ca="1">IFERROR(__xludf.DUMMYFUNCTION("""COMPUTED_VALUE"""),3)</f>
        <v>3</v>
      </c>
      <c r="X480" s="4" t="str">
        <f ca="1">IFERROR(__xludf.DUMMYFUNCTION("""COMPUTED_VALUE"""),"10. Otros")</f>
        <v>10. Otros</v>
      </c>
      <c r="Y480" s="4" t="str">
        <f ca="1">IFERROR(__xludf.DUMMYFUNCTION("""COMPUTED_VALUE""")," Otros")</f>
        <v xml:space="preserve"> Otros</v>
      </c>
      <c r="Z480" s="132" t="str">
        <f ca="1">IFERROR(__xludf.DUMMYFUNCTION("""COMPUTED_VALUE"""),"713277")</f>
        <v>713277</v>
      </c>
      <c r="AA480" s="4" t="str">
        <f ca="1">IFERROR(__xludf.DUMMYFUNCTION("""COMPUTED_VALUE"""),"Iniciativa en Backlog, en espera de priorización")</f>
        <v>Iniciativa en Backlog, en espera de priorización</v>
      </c>
      <c r="AB480" s="4" t="str">
        <f ca="1">IFERROR(__xludf.DUMMYFUNCTION("""COMPUTED_VALUE"""),"Iniciativa en Backlog, en espera de priorización")</f>
        <v>Iniciativa en Backlog, en espera de priorización</v>
      </c>
      <c r="AC480" s="4" t="str">
        <f ca="1">IFERROR(__xludf.DUMMYFUNCTION("""COMPUTED_VALUE"""),"3Q 2024")</f>
        <v>3Q 2024</v>
      </c>
      <c r="AD480" s="4"/>
      <c r="AE480" s="4"/>
      <c r="AF480" s="4"/>
      <c r="AG480" s="4"/>
      <c r="AH480" s="4"/>
      <c r="AI480" s="4"/>
      <c r="AJ480" s="4"/>
      <c r="AK480" s="4" t="str">
        <f ca="1">IFERROR(__xludf.DUMMYFUNCTION("""COMPUTED_VALUE"""),"Sin asignar")</f>
        <v>Sin asignar</v>
      </c>
      <c r="AL480" s="4" t="str">
        <f ca="1">IFERROR(__xludf.DUMMYFUNCTION("""COMPUTED_VALUE"""),"Sin asignar")</f>
        <v>Sin asignar</v>
      </c>
      <c r="AM480" s="4"/>
      <c r="AN480" s="4" t="str">
        <f ca="1">IFERROR(__xludf.DUMMYFUNCTION("""COMPUTED_VALUE"""),"Entregable en Conceptualización")</f>
        <v>Entregable en Conceptualización</v>
      </c>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133">
        <f ca="1">IFERROR(__xludf.DUMMYFUNCTION("""COMPUTED_VALUE"""),0)</f>
        <v>0</v>
      </c>
      <c r="DV480" s="133">
        <f ca="1">IFERROR(__xludf.DUMMYFUNCTION("""COMPUTED_VALUE"""),0)</f>
        <v>0</v>
      </c>
      <c r="DW480" s="133">
        <f ca="1">IFERROR(__xludf.DUMMYFUNCTION("""COMPUTED_VALUE"""),0)</f>
        <v>0</v>
      </c>
      <c r="DX480" s="133">
        <f ca="1">IFERROR(__xludf.DUMMYFUNCTION("""COMPUTED_VALUE"""),200000000)</f>
        <v>200000000</v>
      </c>
      <c r="DY480" s="133">
        <f ca="1">IFERROR(__xludf.DUMMYFUNCTION("""COMPUTED_VALUE"""),0)</f>
        <v>0</v>
      </c>
      <c r="DZ480" s="133">
        <f ca="1">IFERROR(__xludf.DUMMYFUNCTION("""COMPUTED_VALUE"""),200000000)</f>
        <v>200000000</v>
      </c>
      <c r="EA480" s="4"/>
      <c r="EB480" s="4"/>
    </row>
    <row r="481" spans="1:132" x14ac:dyDescent="0.2">
      <c r="A481" s="4">
        <f ca="1">IFERROR(__xludf.DUMMYFUNCTION("""COMPUTED_VALUE"""),481)</f>
        <v>481</v>
      </c>
      <c r="B481" s="4">
        <f ca="1">IFERROR(__xludf.DUMMYFUNCTION("""COMPUTED_VALUE"""),453)</f>
        <v>453</v>
      </c>
      <c r="C481" s="4" t="str">
        <f ca="1">IFERROR(__xludf.DUMMYFUNCTION("""COMPUTED_VALUE"""),"SDATOOL-40268")</f>
        <v>SDATOOL-40268</v>
      </c>
      <c r="D481" s="4" t="str">
        <f ca="1">IFERROR(__xludf.DUMMYFUNCTION("""COMPUTED_VALUE"""),"CLASIFICACION DE TIPO DE PRODUCTOR -CIRCULAR 48 FINAGRO")</f>
        <v>CLASIFICACION DE TIPO DE PRODUCTOR -CIRCULAR 48 FINAGRO</v>
      </c>
      <c r="E481"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1" s="4" t="str">
        <f ca="1">IFERROR(__xludf.DUMMYFUNCTION("""COMPUTED_VALUE"""),"Project")</f>
        <v>Project</v>
      </c>
      <c r="G481" s="4" t="str">
        <f ca="1">IFERROR(__xludf.DUMMYFUNCTION("""COMPUTED_VALUE"""),"On hold")</f>
        <v>On hold</v>
      </c>
      <c r="H481" s="4" t="str">
        <f ca="1">IFERROR(__xludf.DUMMYFUNCTION("""COMPUTED_VALUE"""),"4Q 2023")</f>
        <v>4Q 2023</v>
      </c>
      <c r="I481" s="131" t="str">
        <f ca="1">IFERROR(__xludf.DUMMYFUNCTION("""COMPUTED_VALUE"""),"alirio.bermudez-bbva.com")</f>
        <v>alirio.bermudez-bbva.com</v>
      </c>
      <c r="J481" s="131" t="str">
        <f ca="1">IFERROR(__xludf.DUMMYFUNCTION("""COMPUTED_VALUE"""),"monicaandrea.abogado-bbva.com")</f>
        <v>monicaandrea.abogado-bbva.com</v>
      </c>
      <c r="K481" s="131" t="str">
        <f ca="1">IFERROR(__xludf.DUMMYFUNCTION("""COMPUTED_VALUE"""),"ivan_dario.ariza-bbva.com")</f>
        <v>ivan_dario.ariza-bbva.com</v>
      </c>
      <c r="L481" s="130">
        <f ca="1">IFERROR(__xludf.DUMMYFUNCTION("""COMPUTED_VALUE"""),0.4)</f>
        <v>0.4</v>
      </c>
      <c r="M481" s="130">
        <f ca="1">IFERROR(__xludf.DUMMYFUNCTION("""COMPUTED_VALUE"""),0)</f>
        <v>0</v>
      </c>
      <c r="N481" s="130">
        <f ca="1">IFERROR(__xludf.DUMMYFUNCTION("""COMPUTED_VALUE"""),0)</f>
        <v>0</v>
      </c>
      <c r="O481" s="4" t="str">
        <f ca="1">IFERROR(__xludf.DUMMYFUNCTION("""COMPUTED_VALUE"""),"Waterfall")</f>
        <v>Waterfall</v>
      </c>
      <c r="P481" s="4" t="str">
        <f ca="1">IFERROR(__xludf.DUMMYFUNCTION("""COMPUTED_VALUE"""),"Tradicional")</f>
        <v>Tradicional</v>
      </c>
      <c r="Q481" s="4"/>
      <c r="R481" s="130" t="str">
        <f ca="1">IFERROR(__xludf.DUMMYFUNCTION("""COMPUTED_VALUE"""),"Enterprises")</f>
        <v>Enterprises</v>
      </c>
      <c r="S481" s="130" t="str">
        <f ca="1">IFERROR(__xludf.DUMMYFUNCTION("""COMPUTED_VALUE""")," Otros")</f>
        <v xml:space="preserve"> Otros</v>
      </c>
      <c r="T481" s="130" t="str">
        <f ca="1">IFERROR(__xludf.DUMMYFUNCTION("""COMPUTED_VALUE"""),"Normativo")</f>
        <v>Normativo</v>
      </c>
      <c r="U481" s="130" t="str">
        <f ca="1">IFERROR(__xludf.DUMMYFUNCTION("""COMPUTED_VALUE"""),"No Aplica")</f>
        <v>No Aplica</v>
      </c>
      <c r="V481" s="4" t="str">
        <f ca="1">IFERROR(__xludf.DUMMYFUNCTION("""COMPUTED_VALUE"""),"Otros")</f>
        <v>Otros</v>
      </c>
      <c r="W481" s="4">
        <f ca="1">IFERROR(__xludf.DUMMYFUNCTION("""COMPUTED_VALUE"""),3)</f>
        <v>3</v>
      </c>
      <c r="X481" s="4" t="str">
        <f ca="1">IFERROR(__xludf.DUMMYFUNCTION("""COMPUTED_VALUE"""),"10. Otros")</f>
        <v>10. Otros</v>
      </c>
      <c r="Y481" s="4" t="str">
        <f ca="1">IFERROR(__xludf.DUMMYFUNCTION("""COMPUTED_VALUE""")," Otros")</f>
        <v xml:space="preserve"> Otros</v>
      </c>
      <c r="Z481" s="132" t="str">
        <f ca="1">IFERROR(__xludf.DUMMYFUNCTION("""COMPUTED_VALUE"""),"620116")</f>
        <v>620116</v>
      </c>
      <c r="AA481" s="4" t="str">
        <f ca="1">IFERROR(__xludf.DUMMYFUNCTION("""COMPUTED_VALUE"""),"Tarjeta Agropecuaria - Circular 048 de 2022 - Resolución 7 de 2021")</f>
        <v>Tarjeta Agropecuaria - Circular 048 de 2022 - Resolución 7 de 2021</v>
      </c>
      <c r="AB481" s="4" t="str">
        <f ca="1">IFERROR(__xludf.DUMMYFUNCTION("""COMPUTED_VALUE"""),"ajustar el GOF.S0020.AGROIN.UTILIZ.F221018.TD001 de Tarjetas Agropecuarias Asi
 El campo de Tipo_de_productor que está expresado en código debe quedar  parametrizable en espera que finagro defina los códigos para operar a partir de enero de 2023
X Peque"&amp;"ño productor de ingresos bajos : PEQUEÑO IB
0  Pequeño productor : PEQUEÑO PROD
1 Mediano Productor: MEDIANO PROD
X Mediano Productor 2:  MEDIANO PRO2 
3 Gran Productor: GRANDE PROD
X  Gran Productor 2:  GRANDE PRO2")</f>
        <v>ajustar el GOF.S0020.AGROIN.UTILIZ.F221018.TD001 de Tarjetas Agropecuarias Asi
 El campo de Tipo_de_productor que está expresado en código debe quedar  parametrizable en espera que finagro defina los códigos para operar a partir de enero de 2023
X Pequeño productor de ingresos bajos : PEQUEÑO IB
0  Pequeño productor : PEQUEÑO PROD
1 Mediano Productor: MEDIANO PROD
X Mediano Productor 2:  MEDIANO PRO2 
3 Gran Productor: GRANDE PROD
X  Gran Productor 2:  GRANDE PRO2</v>
      </c>
      <c r="AC481" s="4" t="str">
        <f ca="1">IFERROR(__xludf.DUMMYFUNCTION("""COMPUTED_VALUE"""),"1Q 2023")</f>
        <v>1Q 2023</v>
      </c>
      <c r="AD481" s="4"/>
      <c r="AE481" s="4"/>
      <c r="AF481" s="4"/>
      <c r="AG481" s="4"/>
      <c r="AH481" s="4"/>
      <c r="AI481" s="4"/>
      <c r="AJ481" s="4"/>
      <c r="AK481" s="131" t="str">
        <f ca="1">IFERROR(__xludf.DUMMYFUNCTION("""COMPUTED_VALUE"""),"COLWSMEDIO-3146")</f>
        <v>COLWSMEDIO-3146</v>
      </c>
      <c r="AL481" s="4" t="str">
        <f ca="1">IFERROR(__xludf.DUMMYFUNCTION("""COMPUTED_VALUE"""),"Deployed")</f>
        <v>Deployed</v>
      </c>
      <c r="AM481" s="4" t="str">
        <f ca="1">IFERROR(__xludf.DUMMYFUNCTION("""COMPUTED_VALUE"""),"Productivo: 26 enero")</f>
        <v>Productivo: 26 enero</v>
      </c>
      <c r="AN481" s="4" t="str">
        <f ca="1">IFERROR(__xludf.DUMMYFUNCTION("""COMPUTED_VALUE"""),"Finalizado")</f>
        <v>Finalizado</v>
      </c>
      <c r="AO481" s="4"/>
      <c r="AP481" s="4"/>
      <c r="AQ481" s="4"/>
      <c r="AR481" s="4" t="str">
        <f ca="1">IFERROR(__xludf.DUMMYFUNCTION("""COMPUTED_VALUE"""),"SDA aprobada en PPP Q1 2023")</f>
        <v>SDA aprobada en PPP Q1 2023</v>
      </c>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133">
        <f ca="1">IFERROR(__xludf.DUMMYFUNCTION("""COMPUTED_VALUE"""),0)</f>
        <v>0</v>
      </c>
      <c r="DV481" s="133">
        <f ca="1">IFERROR(__xludf.DUMMYFUNCTION("""COMPUTED_VALUE"""),0)</f>
        <v>0</v>
      </c>
      <c r="DW481" s="133">
        <f ca="1">IFERROR(__xludf.DUMMYFUNCTION("""COMPUTED_VALUE"""),11284884)</f>
        <v>11284884</v>
      </c>
      <c r="DX481" s="133">
        <f ca="1">IFERROR(__xludf.DUMMYFUNCTION("""COMPUTED_VALUE"""),62631299)</f>
        <v>62631299</v>
      </c>
      <c r="DY481" s="133">
        <f ca="1">IFERROR(__xludf.DUMMYFUNCTION("""COMPUTED_VALUE"""),0)</f>
        <v>0</v>
      </c>
      <c r="DZ481" s="133">
        <f ca="1">IFERROR(__xludf.DUMMYFUNCTION("""COMPUTED_VALUE"""),73916183)</f>
        <v>73916183</v>
      </c>
      <c r="EA481" s="4"/>
      <c r="EB481" s="4"/>
    </row>
    <row r="482" spans="1:132" x14ac:dyDescent="0.2">
      <c r="A482" s="4">
        <f ca="1">IFERROR(__xludf.DUMMYFUNCTION("""COMPUTED_VALUE"""),482)</f>
        <v>482</v>
      </c>
      <c r="B482" s="4">
        <f ca="1">IFERROR(__xludf.DUMMYFUNCTION("""COMPUTED_VALUE"""),454)</f>
        <v>454</v>
      </c>
      <c r="C482" s="4" t="str">
        <f ca="1">IFERROR(__xludf.DUMMYFUNCTION("""COMPUTED_VALUE"""),"SDATOOL-40268")</f>
        <v>SDATOOL-40268</v>
      </c>
      <c r="D482" s="4" t="str">
        <f ca="1">IFERROR(__xludf.DUMMYFUNCTION("""COMPUTED_VALUE"""),"CLASIFICACION DE TIPO DE PRODUCTOR -CIRCULAR 48 FINAGRO")</f>
        <v>CLASIFICACION DE TIPO DE PRODUCTOR -CIRCULAR 48 FINAGRO</v>
      </c>
      <c r="E482"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2" s="4" t="str">
        <f ca="1">IFERROR(__xludf.DUMMYFUNCTION("""COMPUTED_VALUE"""),"Project")</f>
        <v>Project</v>
      </c>
      <c r="G482" s="4" t="str">
        <f ca="1">IFERROR(__xludf.DUMMYFUNCTION("""COMPUTED_VALUE"""),"On hold")</f>
        <v>On hold</v>
      </c>
      <c r="H482" s="4" t="str">
        <f ca="1">IFERROR(__xludf.DUMMYFUNCTION("""COMPUTED_VALUE"""),"4Q 2023")</f>
        <v>4Q 2023</v>
      </c>
      <c r="I482" s="131" t="str">
        <f ca="1">IFERROR(__xludf.DUMMYFUNCTION("""COMPUTED_VALUE"""),"alirio.bermudez-bbva.com")</f>
        <v>alirio.bermudez-bbva.com</v>
      </c>
      <c r="J482" s="131" t="str">
        <f ca="1">IFERROR(__xludf.DUMMYFUNCTION("""COMPUTED_VALUE"""),"monicaandrea.abogado-bbva.com")</f>
        <v>monicaandrea.abogado-bbva.com</v>
      </c>
      <c r="K482" s="131" t="str">
        <f ca="1">IFERROR(__xludf.DUMMYFUNCTION("""COMPUTED_VALUE"""),"ivan_dario.ariza-bbva.com")</f>
        <v>ivan_dario.ariza-bbva.com</v>
      </c>
      <c r="L482" s="4"/>
      <c r="M482" s="4"/>
      <c r="N482" s="4"/>
      <c r="O482" s="4" t="str">
        <f ca="1">IFERROR(__xludf.DUMMYFUNCTION("""COMPUTED_VALUE"""),"Waterfall")</f>
        <v>Waterfall</v>
      </c>
      <c r="P482" s="4" t="str">
        <f ca="1">IFERROR(__xludf.DUMMYFUNCTION("""COMPUTED_VALUE"""),"Tradicional")</f>
        <v>Tradicional</v>
      </c>
      <c r="Q482" s="4"/>
      <c r="R482" s="130" t="str">
        <f ca="1">IFERROR(__xludf.DUMMYFUNCTION("""COMPUTED_VALUE"""),"Enterprises")</f>
        <v>Enterprises</v>
      </c>
      <c r="S482" s="130" t="str">
        <f ca="1">IFERROR(__xludf.DUMMYFUNCTION("""COMPUTED_VALUE""")," Otros")</f>
        <v xml:space="preserve"> Otros</v>
      </c>
      <c r="T482" s="130" t="str">
        <f ca="1">IFERROR(__xludf.DUMMYFUNCTION("""COMPUTED_VALUE"""),"Normativo")</f>
        <v>Normativo</v>
      </c>
      <c r="U482" s="130" t="str">
        <f ca="1">IFERROR(__xludf.DUMMYFUNCTION("""COMPUTED_VALUE"""),"No Aplica")</f>
        <v>No Aplica</v>
      </c>
      <c r="V482" s="4" t="str">
        <f ca="1">IFERROR(__xludf.DUMMYFUNCTION("""COMPUTED_VALUE"""),"Otros")</f>
        <v>Otros</v>
      </c>
      <c r="W482" s="4">
        <f ca="1">IFERROR(__xludf.DUMMYFUNCTION("""COMPUTED_VALUE"""),3)</f>
        <v>3</v>
      </c>
      <c r="X482" s="4" t="str">
        <f ca="1">IFERROR(__xludf.DUMMYFUNCTION("""COMPUTED_VALUE"""),"10. Otros")</f>
        <v>10. Otros</v>
      </c>
      <c r="Y482" s="4" t="str">
        <f ca="1">IFERROR(__xludf.DUMMYFUNCTION("""COMPUTED_VALUE""")," Otros")</f>
        <v xml:space="preserve"> Otros</v>
      </c>
      <c r="Z482" s="132" t="str">
        <f ca="1">IFERROR(__xludf.DUMMYFUNCTION("""COMPUTED_VALUE"""),"557171")</f>
        <v>557171</v>
      </c>
      <c r="AA482" s="4" t="str">
        <f ca="1">IFERROR(__xludf.DUMMYFUNCTION("""COMPUTED_VALUE"""),"Finagro -- Circular 048 de 2022 - Resolución 7 de 2021.")</f>
        <v>Finagro -- Circular 048 de 2022 - Resolución 7 de 2021.</v>
      </c>
      <c r="AB482" s="4" t="str">
        <f ca="1">IFERROR(__xludf.DUMMYFUNCTION("""COMPUTED_VALUE"""),"Ajustes Tamaño de productor -   Circular externa 048 de Finagro :Que en Nácar, en la lista desplegable de los Beneficiarios (tamaños de productor) se cree la nueva tipificación exigida por finagro y así mismo se ajusten los  rangos, Reporteria y formato 1"&amp;"26.")</f>
        <v>Ajustes Tamaño de productor -   Circular externa 048 de Finagro :Que en Nácar, en la lista desplegable de los Beneficiarios (tamaños de productor) se cree la nueva tipificación exigida por finagro y así mismo se ajusten los  rangos, Reporteria y formato 126.</v>
      </c>
      <c r="AC482" s="4" t="str">
        <f ca="1">IFERROR(__xludf.DUMMYFUNCTION("""COMPUTED_VALUE"""),"1Q 2023")</f>
        <v>1Q 2023</v>
      </c>
      <c r="AD482" s="128">
        <f ca="1">IFERROR(__xludf.DUMMYFUNCTION("""COMPUTED_VALUE"""),6692196)</f>
        <v>6692196</v>
      </c>
      <c r="AE482" s="4"/>
      <c r="AF482" s="4"/>
      <c r="AG482" s="4"/>
      <c r="AH482" s="4"/>
      <c r="AI482" s="4"/>
      <c r="AJ482" s="4"/>
      <c r="AK482" s="131" t="str">
        <f ca="1">IFERROR(__xludf.DUMMYFUNCTION("""COMPUTED_VALUE"""),"COLWSPREST-4367")</f>
        <v>COLWSPREST-4367</v>
      </c>
      <c r="AL482" s="4" t="str">
        <f ca="1">IFERROR(__xludf.DUMMYFUNCTION("""COMPUTED_VALUE"""),"Deployed")</f>
        <v>Deployed</v>
      </c>
      <c r="AM482" s="4"/>
      <c r="AN482" s="4" t="str">
        <f ca="1">IFERROR(__xludf.DUMMYFUNCTION("""COMPUTED_VALUE"""),"Finalizado")</f>
        <v>Finalizado</v>
      </c>
      <c r="AO482" s="4"/>
      <c r="AP482" s="4"/>
      <c r="AQ482" s="4"/>
      <c r="AR482" s="4" t="str">
        <f ca="1">IFERROR(__xludf.DUMMYFUNCTION("""COMPUTED_VALUE"""),"SDA aprobada en PPP Q1 2023")</f>
        <v>SDA aprobada en PPP Q1 2023</v>
      </c>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row>
    <row r="483" spans="1:132" x14ac:dyDescent="0.2">
      <c r="A483" s="4">
        <f ca="1">IFERROR(__xludf.DUMMYFUNCTION("""COMPUTED_VALUE"""),483)</f>
        <v>483</v>
      </c>
      <c r="B483" s="4">
        <f ca="1">IFERROR(__xludf.DUMMYFUNCTION("""COMPUTED_VALUE"""),455)</f>
        <v>455</v>
      </c>
      <c r="C483" s="4" t="str">
        <f ca="1">IFERROR(__xludf.DUMMYFUNCTION("""COMPUTED_VALUE"""),"SDATOOL-40268")</f>
        <v>SDATOOL-40268</v>
      </c>
      <c r="D483" s="4" t="str">
        <f ca="1">IFERROR(__xludf.DUMMYFUNCTION("""COMPUTED_VALUE"""),"CLASIFICACION DE TIPO DE PRODUCTOR -CIRCULAR 48 FINAGRO")</f>
        <v>CLASIFICACION DE TIPO DE PRODUCTOR -CIRCULAR 48 FINAGRO</v>
      </c>
      <c r="E483"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3" s="4" t="str">
        <f ca="1">IFERROR(__xludf.DUMMYFUNCTION("""COMPUTED_VALUE"""),"Project")</f>
        <v>Project</v>
      </c>
      <c r="G483" s="4" t="str">
        <f ca="1">IFERROR(__xludf.DUMMYFUNCTION("""COMPUTED_VALUE"""),"On hold")</f>
        <v>On hold</v>
      </c>
      <c r="H483" s="4" t="str">
        <f ca="1">IFERROR(__xludf.DUMMYFUNCTION("""COMPUTED_VALUE"""),"4Q 2023")</f>
        <v>4Q 2023</v>
      </c>
      <c r="I483" s="131" t="str">
        <f ca="1">IFERROR(__xludf.DUMMYFUNCTION("""COMPUTED_VALUE"""),"alirio.bermudez-bbva.com")</f>
        <v>alirio.bermudez-bbva.com</v>
      </c>
      <c r="J483" s="131" t="str">
        <f ca="1">IFERROR(__xludf.DUMMYFUNCTION("""COMPUTED_VALUE"""),"monicaandrea.abogado-bbva.com")</f>
        <v>monicaandrea.abogado-bbva.com</v>
      </c>
      <c r="K483" s="131" t="str">
        <f ca="1">IFERROR(__xludf.DUMMYFUNCTION("""COMPUTED_VALUE"""),"ivan_dario.ariza-bbva.com")</f>
        <v>ivan_dario.ariza-bbva.com</v>
      </c>
      <c r="L483" s="4"/>
      <c r="M483" s="4"/>
      <c r="N483" s="4"/>
      <c r="O483" s="4" t="str">
        <f ca="1">IFERROR(__xludf.DUMMYFUNCTION("""COMPUTED_VALUE"""),"Waterfall")</f>
        <v>Waterfall</v>
      </c>
      <c r="P483" s="4" t="str">
        <f ca="1">IFERROR(__xludf.DUMMYFUNCTION("""COMPUTED_VALUE"""),"Tradicional")</f>
        <v>Tradicional</v>
      </c>
      <c r="Q483" s="4"/>
      <c r="R483" s="130" t="str">
        <f ca="1">IFERROR(__xludf.DUMMYFUNCTION("""COMPUTED_VALUE"""),"Enterprises")</f>
        <v>Enterprises</v>
      </c>
      <c r="S483" s="130" t="str">
        <f ca="1">IFERROR(__xludf.DUMMYFUNCTION("""COMPUTED_VALUE""")," Otros")</f>
        <v xml:space="preserve"> Otros</v>
      </c>
      <c r="T483" s="130" t="str">
        <f ca="1">IFERROR(__xludf.DUMMYFUNCTION("""COMPUTED_VALUE"""),"Normativo")</f>
        <v>Normativo</v>
      </c>
      <c r="U483" s="130" t="str">
        <f ca="1">IFERROR(__xludf.DUMMYFUNCTION("""COMPUTED_VALUE"""),"No Aplica")</f>
        <v>No Aplica</v>
      </c>
      <c r="V483" s="4" t="str">
        <f ca="1">IFERROR(__xludf.DUMMYFUNCTION("""COMPUTED_VALUE"""),"Otros")</f>
        <v>Otros</v>
      </c>
      <c r="W483" s="4">
        <f ca="1">IFERROR(__xludf.DUMMYFUNCTION("""COMPUTED_VALUE"""),3)</f>
        <v>3</v>
      </c>
      <c r="X483" s="4" t="str">
        <f ca="1">IFERROR(__xludf.DUMMYFUNCTION("""COMPUTED_VALUE"""),"10. Otros")</f>
        <v>10. Otros</v>
      </c>
      <c r="Y483" s="4" t="str">
        <f ca="1">IFERROR(__xludf.DUMMYFUNCTION("""COMPUTED_VALUE""")," Otros")</f>
        <v xml:space="preserve"> Otros</v>
      </c>
      <c r="Z483" s="132" t="str">
        <f ca="1">IFERROR(__xludf.DUMMYFUNCTION("""COMPUTED_VALUE"""),"560544")</f>
        <v>560544</v>
      </c>
      <c r="AA483" s="4" t="str">
        <f ca="1">IFERROR(__xludf.DUMMYFUNCTION("""COMPUTED_VALUE"""),"Ajustes a  campos Finagro Circular 048 de 2022")</f>
        <v>Ajustes a  campos Finagro Circular 048 de 2022</v>
      </c>
      <c r="AB483" s="4" t="str">
        <f ca="1">IFERROR(__xludf.DUMMYFUNCTION("""COMPUTED_VALUE"""),"en este entregable se realizaran  ajustes a pantallas e informes derivados de la circular 048 de 2022")</f>
        <v>en este entregable se realizaran  ajustes a pantallas e informes derivados de la circular 048 de 2022</v>
      </c>
      <c r="AC483" s="4" t="str">
        <f ca="1">IFERROR(__xludf.DUMMYFUNCTION("""COMPUTED_VALUE"""),"3Q 2023")</f>
        <v>3Q 2023</v>
      </c>
      <c r="AD483" s="4"/>
      <c r="AE483" s="4"/>
      <c r="AF483" s="4"/>
      <c r="AG483" s="4"/>
      <c r="AH483" s="4"/>
      <c r="AI483" s="4"/>
      <c r="AJ483" s="4"/>
      <c r="AK483" s="131" t="str">
        <f ca="1">IFERROR(__xludf.DUMMYFUNCTION("""COMPUTED_VALUE"""),"COLWSPREST-10375")</f>
        <v>COLWSPREST-10375</v>
      </c>
      <c r="AL483" s="4" t="str">
        <f ca="1">IFERROR(__xludf.DUMMYFUNCTION("""COMPUTED_VALUE"""),"New")</f>
        <v>New</v>
      </c>
      <c r="AM483" s="4"/>
      <c r="AN483" s="4" t="str">
        <f ca="1">IFERROR(__xludf.DUMMYFUNCTION("""COMPUTED_VALUE"""),"Entregable en backlog")</f>
        <v>Entregable en backlog</v>
      </c>
      <c r="AO483" s="4"/>
      <c r="AP483" s="4"/>
      <c r="AQ483" s="4"/>
      <c r="AR483" s="4" t="str">
        <f ca="1">IFERROR(__xludf.DUMMYFUNCTION("""COMPUTED_VALUE"""),"SDA aprobada en PPP Q1 2023")</f>
        <v>SDA aprobada en PPP Q1 2023</v>
      </c>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row>
    <row r="484" spans="1:132" x14ac:dyDescent="0.2">
      <c r="A484" s="4">
        <f ca="1">IFERROR(__xludf.DUMMYFUNCTION("""COMPUTED_VALUE"""),484)</f>
        <v>484</v>
      </c>
      <c r="B484" s="4">
        <f ca="1">IFERROR(__xludf.DUMMYFUNCTION("""COMPUTED_VALUE"""),456)</f>
        <v>456</v>
      </c>
      <c r="C484" s="4" t="str">
        <f ca="1">IFERROR(__xludf.DUMMYFUNCTION("""COMPUTED_VALUE"""),"SDATOOL-40466")</f>
        <v>SDATOOL-40466</v>
      </c>
      <c r="D484" s="4" t="str">
        <f ca="1">IFERROR(__xludf.DUMMYFUNCTION("""COMPUTED_VALUE"""),"Garantía FAG")</f>
        <v>Garantía FAG</v>
      </c>
      <c r="E484"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4" s="4" t="str">
        <f ca="1">IFERROR(__xludf.DUMMYFUNCTION("""COMPUTED_VALUE"""),"Initiative")</f>
        <v>Initiative</v>
      </c>
      <c r="G484" s="4" t="str">
        <f ca="1">IFERROR(__xludf.DUMMYFUNCTION("""COMPUTED_VALUE"""),"Stock")</f>
        <v>Stock</v>
      </c>
      <c r="H484" s="4" t="str">
        <f ca="1">IFERROR(__xludf.DUMMYFUNCTION("""COMPUTED_VALUE"""),"4Q 2023")</f>
        <v>4Q 2023</v>
      </c>
      <c r="I484" s="131" t="str">
        <f ca="1">IFERROR(__xludf.DUMMYFUNCTION("""COMPUTED_VALUE"""),"alirio.bermudez-bbva.com")</f>
        <v>alirio.bermudez-bbva.com</v>
      </c>
      <c r="J484" s="131" t="str">
        <f ca="1">IFERROR(__xludf.DUMMYFUNCTION("""COMPUTED_VALUE"""),"monicaandrea.abogado-bbva.com")</f>
        <v>monicaandrea.abogado-bbva.com</v>
      </c>
      <c r="K484" s="131" t="str">
        <f ca="1">IFERROR(__xludf.DUMMYFUNCTION("""COMPUTED_VALUE"""),"ivan_dario.ariza-bbva.com")</f>
        <v>ivan_dario.ariza-bbva.com</v>
      </c>
      <c r="L484" s="130">
        <f ca="1">IFERROR(__xludf.DUMMYFUNCTION("""COMPUTED_VALUE"""),0.3)</f>
        <v>0.3</v>
      </c>
      <c r="M484" s="130">
        <f ca="1">IFERROR(__xludf.DUMMYFUNCTION("""COMPUTED_VALUE"""),0.85)</f>
        <v>0.85</v>
      </c>
      <c r="N484" s="130">
        <f ca="1">IFERROR(__xludf.DUMMYFUNCTION("""COMPUTED_VALUE"""),0)</f>
        <v>0</v>
      </c>
      <c r="O484" s="4" t="str">
        <f ca="1">IFERROR(__xludf.DUMMYFUNCTION("""COMPUTED_VALUE"""),"Waterfall")</f>
        <v>Waterfall</v>
      </c>
      <c r="P484" s="4" t="str">
        <f ca="1">IFERROR(__xludf.DUMMYFUNCTION("""COMPUTED_VALUE"""),"Tradicional")</f>
        <v>Tradicional</v>
      </c>
      <c r="Q484" s="4"/>
      <c r="R484" s="130" t="str">
        <f ca="1">IFERROR(__xludf.DUMMYFUNCTION("""COMPUTED_VALUE"""),"Enterprises")</f>
        <v>Enterprises</v>
      </c>
      <c r="S484" s="130" t="str">
        <f ca="1">IFERROR(__xludf.DUMMYFUNCTION("""COMPUTED_VALUE""")," Otros")</f>
        <v xml:space="preserve"> Otros</v>
      </c>
      <c r="T484" s="130" t="str">
        <f ca="1">IFERROR(__xludf.DUMMYFUNCTION("""COMPUTED_VALUE"""),"1. Generación de Ingresos")</f>
        <v>1. Generación de Ingresos</v>
      </c>
      <c r="U484" s="130" t="str">
        <f ca="1">IFERROR(__xludf.DUMMYFUNCTION("""COMPUTED_VALUE"""),"1.5. Otros de Proyectos de Ingresos")</f>
        <v>1.5. Otros de Proyectos de Ingresos</v>
      </c>
      <c r="V484" s="4" t="str">
        <f ca="1">IFERROR(__xludf.DUMMYFUNCTION("""COMPUTED_VALUE"""),"Agro")</f>
        <v>Agro</v>
      </c>
      <c r="W484" s="4">
        <f ca="1">IFERROR(__xludf.DUMMYFUNCTION("""COMPUTED_VALUE"""),1)</f>
        <v>1</v>
      </c>
      <c r="X484" s="4" t="str">
        <f ca="1">IFERROR(__xludf.DUMMYFUNCTION("""COMPUTED_VALUE"""),"10. Otros")</f>
        <v>10. Otros</v>
      </c>
      <c r="Y484" s="4" t="str">
        <f ca="1">IFERROR(__xludf.DUMMYFUNCTION("""COMPUTED_VALUE""")," Otros")</f>
        <v xml:space="preserve"> Otros</v>
      </c>
      <c r="Z484" s="132" t="str">
        <f ca="1">IFERROR(__xludf.DUMMYFUNCTION("""COMPUTED_VALUE"""),"560527")</f>
        <v>560527</v>
      </c>
      <c r="AA484" s="4" t="str">
        <f ca="1">IFERROR(__xludf.DUMMYFUNCTION("""COMPUTED_VALUE"""),"Garantías FAG -Prestamos")</f>
        <v>Garantías FAG -Prestamos</v>
      </c>
      <c r="AB484" s="4" t="str">
        <f ca="1">IFERROR(__xludf.DUMMYFUNCTION("""COMPUTED_VALUE"""),"Desarrollar en NACAR los ajustes que permita administrar la admisión, cobro/pago y recuperación de operaciones con garantía FAG , ajustar la reporteria y la forma 126 con destino a esta entidad, con los nuevos ajustes solicitados para FAG")</f>
        <v>Desarrollar en NACAR los ajustes que permita administrar la admisión, cobro/pago y recuperación de operaciones con garantía FAG , ajustar la reporteria y la forma 126 con destino a esta entidad, con los nuevos ajustes solicitados para FAG</v>
      </c>
      <c r="AC484" s="4" t="str">
        <f ca="1">IFERROR(__xludf.DUMMYFUNCTION("""COMPUTED_VALUE"""),"4Q 2023")</f>
        <v>4Q 2023</v>
      </c>
      <c r="AD484" s="4"/>
      <c r="AE484" s="4"/>
      <c r="AF484" s="4"/>
      <c r="AG484" s="4"/>
      <c r="AH484" s="4"/>
      <c r="AI484" s="4"/>
      <c r="AJ484" s="4"/>
      <c r="AK484" s="131" t="str">
        <f ca="1">IFERROR(__xludf.DUMMYFUNCTION("""COMPUTED_VALUE"""),"COLWSPREST-7969")</f>
        <v>COLWSPREST-7969</v>
      </c>
      <c r="AL484" s="4" t="str">
        <f ca="1">IFERROR(__xludf.DUMMYFUNCTION("""COMPUTED_VALUE"""),"Deployed")</f>
        <v>Deployed</v>
      </c>
      <c r="AM484" s="4"/>
      <c r="AN484" s="4" t="str">
        <f ca="1">IFERROR(__xludf.DUMMYFUNCTION("""COMPUTED_VALUE"""),"Entregable en Conceptualización")</f>
        <v>Entregable en Conceptualización</v>
      </c>
      <c r="AO484" s="4" t="str">
        <f ca="1">IFERROR(__xludf.DUMMYFUNCTION("""COMPUTED_VALUE"""),"Pymes")</f>
        <v>Pymes</v>
      </c>
      <c r="AP484" s="4"/>
      <c r="AQ484" s="4"/>
      <c r="AR484" s="4" t="str">
        <f ca="1">IFERROR(__xludf.DUMMYFUNCTION("""COMPUTED_VALUE"""),"SDA aprobada en PPP Q1 2023")</f>
        <v>SDA aprobada en PPP Q1 2023</v>
      </c>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133">
        <f ca="1">IFERROR(__xludf.DUMMYFUNCTION("""COMPUTED_VALUE"""),0)</f>
        <v>0</v>
      </c>
      <c r="DV484" s="133">
        <f ca="1">IFERROR(__xludf.DUMMYFUNCTION("""COMPUTED_VALUE"""),0)</f>
        <v>0</v>
      </c>
      <c r="DW484" s="133">
        <f ca="1">IFERROR(__xludf.DUMMYFUNCTION("""COMPUTED_VALUE"""),0)</f>
        <v>0</v>
      </c>
      <c r="DX484" s="133">
        <f ca="1">IFERROR(__xludf.DUMMYFUNCTION("""COMPUTED_VALUE"""),588799917)</f>
        <v>588799917</v>
      </c>
      <c r="DY484" s="133">
        <f ca="1">IFERROR(__xludf.DUMMYFUNCTION("""COMPUTED_VALUE"""),561200000)</f>
        <v>561200000</v>
      </c>
      <c r="DZ484" s="133">
        <f ca="1">IFERROR(__xludf.DUMMYFUNCTION("""COMPUTED_VALUE"""),1149999917)</f>
        <v>1149999917</v>
      </c>
      <c r="EA484" s="4"/>
      <c r="EB484" s="4"/>
    </row>
    <row r="485" spans="1:132" x14ac:dyDescent="0.2">
      <c r="A485" s="4">
        <f ca="1">IFERROR(__xludf.DUMMYFUNCTION("""COMPUTED_VALUE"""),485)</f>
        <v>485</v>
      </c>
      <c r="B485" s="4">
        <f ca="1">IFERROR(__xludf.DUMMYFUNCTION("""COMPUTED_VALUE"""),457)</f>
        <v>457</v>
      </c>
      <c r="C485" s="4" t="str">
        <f ca="1">IFERROR(__xludf.DUMMYFUNCTION("""COMPUTED_VALUE"""),"SDATOOL-40466")</f>
        <v>SDATOOL-40466</v>
      </c>
      <c r="D485" s="4" t="str">
        <f ca="1">IFERROR(__xludf.DUMMYFUNCTION("""COMPUTED_VALUE"""),"Garantía FAG")</f>
        <v>Garantía FAG</v>
      </c>
      <c r="E485"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5" s="4" t="str">
        <f ca="1">IFERROR(__xludf.DUMMYFUNCTION("""COMPUTED_VALUE"""),"Initiative")</f>
        <v>Initiative</v>
      </c>
      <c r="G485" s="4" t="str">
        <f ca="1">IFERROR(__xludf.DUMMYFUNCTION("""COMPUTED_VALUE"""),"Stock")</f>
        <v>Stock</v>
      </c>
      <c r="H485" s="4" t="str">
        <f ca="1">IFERROR(__xludf.DUMMYFUNCTION("""COMPUTED_VALUE"""),"4Q 2023")</f>
        <v>4Q 2023</v>
      </c>
      <c r="I485" s="131" t="str">
        <f ca="1">IFERROR(__xludf.DUMMYFUNCTION("""COMPUTED_VALUE"""),"alirio.bermudez-bbva.com")</f>
        <v>alirio.bermudez-bbva.com</v>
      </c>
      <c r="J485" s="131" t="str">
        <f ca="1">IFERROR(__xludf.DUMMYFUNCTION("""COMPUTED_VALUE"""),"monicaandrea.abogado-bbva.com")</f>
        <v>monicaandrea.abogado-bbva.com</v>
      </c>
      <c r="K485" s="131" t="str">
        <f ca="1">IFERROR(__xludf.DUMMYFUNCTION("""COMPUTED_VALUE"""),"ivan_dario.ariza-bbva.com")</f>
        <v>ivan_dario.ariza-bbva.com</v>
      </c>
      <c r="L485" s="4"/>
      <c r="M485" s="4"/>
      <c r="N485" s="4"/>
      <c r="O485" s="4" t="str">
        <f ca="1">IFERROR(__xludf.DUMMYFUNCTION("""COMPUTED_VALUE"""),"Waterfall")</f>
        <v>Waterfall</v>
      </c>
      <c r="P485" s="4" t="str">
        <f ca="1">IFERROR(__xludf.DUMMYFUNCTION("""COMPUTED_VALUE"""),"Tradicional")</f>
        <v>Tradicional</v>
      </c>
      <c r="Q485" s="4"/>
      <c r="R485" s="130" t="str">
        <f ca="1">IFERROR(__xludf.DUMMYFUNCTION("""COMPUTED_VALUE"""),"Enterprises")</f>
        <v>Enterprises</v>
      </c>
      <c r="S485" s="130" t="str">
        <f ca="1">IFERROR(__xludf.DUMMYFUNCTION("""COMPUTED_VALUE""")," Otros")</f>
        <v xml:space="preserve"> Otros</v>
      </c>
      <c r="T485" s="130" t="str">
        <f ca="1">IFERROR(__xludf.DUMMYFUNCTION("""COMPUTED_VALUE"""),"1. Generación de Ingresos")</f>
        <v>1. Generación de Ingresos</v>
      </c>
      <c r="U485" s="130" t="str">
        <f ca="1">IFERROR(__xludf.DUMMYFUNCTION("""COMPUTED_VALUE"""),"1.5. Otros de Proyectos de Ingresos")</f>
        <v>1.5. Otros de Proyectos de Ingresos</v>
      </c>
      <c r="V485" s="4" t="str">
        <f ca="1">IFERROR(__xludf.DUMMYFUNCTION("""COMPUTED_VALUE"""),"Agro")</f>
        <v>Agro</v>
      </c>
      <c r="W485" s="4">
        <f ca="1">IFERROR(__xludf.DUMMYFUNCTION("""COMPUTED_VALUE"""),1)</f>
        <v>1</v>
      </c>
      <c r="X485" s="4" t="str">
        <f ca="1">IFERROR(__xludf.DUMMYFUNCTION("""COMPUTED_VALUE"""),"10. Otros")</f>
        <v>10. Otros</v>
      </c>
      <c r="Y485" s="4" t="str">
        <f ca="1">IFERROR(__xludf.DUMMYFUNCTION("""COMPUTED_VALUE""")," Otros")</f>
        <v xml:space="preserve"> Otros</v>
      </c>
      <c r="Z485" s="132" t="str">
        <f ca="1">IFERROR(__xludf.DUMMYFUNCTION("""COMPUTED_VALUE"""),"625669")</f>
        <v>625669</v>
      </c>
      <c r="AA485" s="4" t="str">
        <f ca="1">IFERROR(__xludf.DUMMYFUNCTION("""COMPUTED_VALUE"""),"SDATOOL 40466 - Garantias FAG Sileasing")</f>
        <v>SDATOOL 40466 - Garantias FAG Sileasing</v>
      </c>
      <c r="AB485" s="4" t="str">
        <f ca="1">IFERROR(__xludf.DUMMYFUNCTION("""COMPUTED_VALUE"""),"Desarrollar en Sileasing los ajustes que permita administrar la admisión, cobro de operaciones con garantia FAG , ajustar la reporteria")</f>
        <v>Desarrollar en Sileasing los ajustes que permita administrar la admisión, cobro de operaciones con garantia FAG , ajustar la reporteria</v>
      </c>
      <c r="AC485" s="4" t="str">
        <f ca="1">IFERROR(__xludf.DUMMYFUNCTION("""COMPUTED_VALUE"""),"3Q 2023")</f>
        <v>3Q 2023</v>
      </c>
      <c r="AD485" s="4"/>
      <c r="AE485" s="4"/>
      <c r="AF485" s="4"/>
      <c r="AG485" s="4"/>
      <c r="AH485" s="4"/>
      <c r="AI485" s="4"/>
      <c r="AJ485" s="4"/>
      <c r="AK485" s="131" t="str">
        <f ca="1">IFERROR(__xludf.DUMMYFUNCTION("""COMPUTED_VALUE"""),"COLWSLEASI-402")</f>
        <v>COLWSLEASI-402</v>
      </c>
      <c r="AL485" s="4" t="str">
        <f ca="1">IFERROR(__xludf.DUMMYFUNCTION("""COMPUTED_VALUE"""),"Blocked")</f>
        <v>Blocked</v>
      </c>
      <c r="AM485" s="4"/>
      <c r="AN485" s="4" t="str">
        <f ca="1">IFERROR(__xludf.DUMMYFUNCTION("""COMPUTED_VALUE"""),"Entregable en Conceptualización")</f>
        <v>Entregable en Conceptualización</v>
      </c>
      <c r="AO485" s="4" t="str">
        <f ca="1">IFERROR(__xludf.DUMMYFUNCTION("""COMPUTED_VALUE"""),"Pymes")</f>
        <v>Pymes</v>
      </c>
      <c r="AP485" s="4"/>
      <c r="AQ485" s="4"/>
      <c r="AR485" s="4" t="str">
        <f ca="1">IFERROR(__xludf.DUMMYFUNCTION("""COMPUTED_VALUE"""),"SDA aprobada en PPP Q1 2023")</f>
        <v>SDA aprobada en PPP Q1 2023</v>
      </c>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row>
    <row r="486" spans="1:132" x14ac:dyDescent="0.2">
      <c r="A486" s="4">
        <f ca="1">IFERROR(__xludf.DUMMYFUNCTION("""COMPUTED_VALUE"""),486)</f>
        <v>486</v>
      </c>
      <c r="B486" s="4">
        <f ca="1">IFERROR(__xludf.DUMMYFUNCTION("""COMPUTED_VALUE"""),458)</f>
        <v>458</v>
      </c>
      <c r="C486" s="4" t="str">
        <f ca="1">IFERROR(__xludf.DUMMYFUNCTION("""COMPUTED_VALUE"""),"SDATOOL-40466")</f>
        <v>SDATOOL-40466</v>
      </c>
      <c r="D486" s="4" t="str">
        <f ca="1">IFERROR(__xludf.DUMMYFUNCTION("""COMPUTED_VALUE"""),"Garantía FAG")</f>
        <v>Garantía FAG</v>
      </c>
      <c r="E486"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6" s="4" t="str">
        <f ca="1">IFERROR(__xludf.DUMMYFUNCTION("""COMPUTED_VALUE"""),"Initiative")</f>
        <v>Initiative</v>
      </c>
      <c r="G486" s="4" t="str">
        <f ca="1">IFERROR(__xludf.DUMMYFUNCTION("""COMPUTED_VALUE"""),"Stock")</f>
        <v>Stock</v>
      </c>
      <c r="H486" s="4" t="str">
        <f ca="1">IFERROR(__xludf.DUMMYFUNCTION("""COMPUTED_VALUE"""),"4Q 2023")</f>
        <v>4Q 2023</v>
      </c>
      <c r="I486" s="131" t="str">
        <f ca="1">IFERROR(__xludf.DUMMYFUNCTION("""COMPUTED_VALUE"""),"alirio.bermudez-bbva.com")</f>
        <v>alirio.bermudez-bbva.com</v>
      </c>
      <c r="J486" s="131" t="str">
        <f ca="1">IFERROR(__xludf.DUMMYFUNCTION("""COMPUTED_VALUE"""),"monicaandrea.abogado-bbva.com")</f>
        <v>monicaandrea.abogado-bbva.com</v>
      </c>
      <c r="K486" s="131" t="str">
        <f ca="1">IFERROR(__xludf.DUMMYFUNCTION("""COMPUTED_VALUE"""),"ivan_dario.ariza-bbva.com")</f>
        <v>ivan_dario.ariza-bbva.com</v>
      </c>
      <c r="L486" s="4"/>
      <c r="M486" s="4"/>
      <c r="N486" s="4"/>
      <c r="O486" s="4" t="str">
        <f ca="1">IFERROR(__xludf.DUMMYFUNCTION("""COMPUTED_VALUE"""),"Waterfall")</f>
        <v>Waterfall</v>
      </c>
      <c r="P486" s="4" t="str">
        <f ca="1">IFERROR(__xludf.DUMMYFUNCTION("""COMPUTED_VALUE"""),"Tradicional")</f>
        <v>Tradicional</v>
      </c>
      <c r="Q486" s="4"/>
      <c r="R486" s="130" t="str">
        <f ca="1">IFERROR(__xludf.DUMMYFUNCTION("""COMPUTED_VALUE"""),"Enterprises")</f>
        <v>Enterprises</v>
      </c>
      <c r="S486" s="130" t="str">
        <f ca="1">IFERROR(__xludf.DUMMYFUNCTION("""COMPUTED_VALUE""")," Otros")</f>
        <v xml:space="preserve"> Otros</v>
      </c>
      <c r="T486" s="130" t="str">
        <f ca="1">IFERROR(__xludf.DUMMYFUNCTION("""COMPUTED_VALUE"""),"1. Generación de Ingresos")</f>
        <v>1. Generación de Ingresos</v>
      </c>
      <c r="U486" s="130" t="str">
        <f ca="1">IFERROR(__xludf.DUMMYFUNCTION("""COMPUTED_VALUE"""),"1.5. Otros de Proyectos de Ingresos")</f>
        <v>1.5. Otros de Proyectos de Ingresos</v>
      </c>
      <c r="V486" s="4" t="str">
        <f ca="1">IFERROR(__xludf.DUMMYFUNCTION("""COMPUTED_VALUE"""),"Agro")</f>
        <v>Agro</v>
      </c>
      <c r="W486" s="4">
        <f ca="1">IFERROR(__xludf.DUMMYFUNCTION("""COMPUTED_VALUE"""),1)</f>
        <v>1</v>
      </c>
      <c r="X486" s="4" t="str">
        <f ca="1">IFERROR(__xludf.DUMMYFUNCTION("""COMPUTED_VALUE"""),"10. Otros")</f>
        <v>10. Otros</v>
      </c>
      <c r="Y486" s="4" t="str">
        <f ca="1">IFERROR(__xludf.DUMMYFUNCTION("""COMPUTED_VALUE""")," Otros")</f>
        <v xml:space="preserve"> Otros</v>
      </c>
      <c r="Z486" s="132" t="str">
        <f ca="1">IFERROR(__xludf.DUMMYFUNCTION("""COMPUTED_VALUE"""),"691350")</f>
        <v>691350</v>
      </c>
      <c r="AA486" s="4" t="str">
        <f ca="1">IFERROR(__xludf.DUMMYFUNCTION("""COMPUTED_VALUE"""),"SDATOOL 40466-garantias FAG EMC1")</f>
        <v>SDATOOL 40466-garantias FAG EMC1</v>
      </c>
      <c r="AB486" s="4" t="str">
        <f ca="1">IFERROR(__xludf.DUMMYFUNCTION("""COMPUTED_VALUE"""),"Habilitar pagos PSE BBVA- FAG más Reporte
Archivo de saldos FAG  Mensuales
Ajuste a la contabilidad")</f>
        <v>Habilitar pagos PSE BBVA- FAG más Reporte
Archivo de saldos FAG  Mensuales
Ajuste a la contabilidad</v>
      </c>
      <c r="AC486" s="4" t="str">
        <f ca="1">IFERROR(__xludf.DUMMYFUNCTION("""COMPUTED_VALUE"""),"2Q 2023")</f>
        <v>2Q 2023</v>
      </c>
      <c r="AD486" s="4"/>
      <c r="AE486" s="4"/>
      <c r="AF486" s="4"/>
      <c r="AG486" s="4"/>
      <c r="AH486" s="4"/>
      <c r="AI486" s="4"/>
      <c r="AJ486" s="4"/>
      <c r="AK486" s="131" t="str">
        <f ca="1">IFERROR(__xludf.DUMMYFUNCTION("""COMPUTED_VALUE"""),"COLWSPREST-8593")</f>
        <v>COLWSPREST-8593</v>
      </c>
      <c r="AL486" s="4" t="str">
        <f ca="1">IFERROR(__xludf.DUMMYFUNCTION("""COMPUTED_VALUE"""),"Deployed")</f>
        <v>Deployed</v>
      </c>
      <c r="AM486" s="4"/>
      <c r="AN486" s="4" t="str">
        <f ca="1">IFERROR(__xludf.DUMMYFUNCTION("""COMPUTED_VALUE"""),"Entregable en Conceptualización")</f>
        <v>Entregable en Conceptualización</v>
      </c>
      <c r="AO486" s="4" t="str">
        <f ca="1">IFERROR(__xludf.DUMMYFUNCTION("""COMPUTED_VALUE"""),"Pymes")</f>
        <v>Pymes</v>
      </c>
      <c r="AP486" s="4"/>
      <c r="AQ486" s="4"/>
      <c r="AR486" s="4" t="str">
        <f ca="1">IFERROR(__xludf.DUMMYFUNCTION("""COMPUTED_VALUE"""),"SDA aprobada en PPP Q1 2023")</f>
        <v>SDA aprobada en PPP Q1 2023</v>
      </c>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row>
    <row r="487" spans="1:132" x14ac:dyDescent="0.2">
      <c r="A487" s="4">
        <f ca="1">IFERROR(__xludf.DUMMYFUNCTION("""COMPUTED_VALUE"""),487)</f>
        <v>487</v>
      </c>
      <c r="B487" s="4"/>
      <c r="C487" s="4" t="str">
        <f ca="1">IFERROR(__xludf.DUMMYFUNCTION("""COMPUTED_VALUE"""),"SDATOOL-40466")</f>
        <v>SDATOOL-40466</v>
      </c>
      <c r="D487" s="4" t="str">
        <f ca="1">IFERROR(__xludf.DUMMYFUNCTION("""COMPUTED_VALUE"""),"Garantía FAG")</f>
        <v>Garantía FAG</v>
      </c>
      <c r="E487"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7" s="4" t="str">
        <f ca="1">IFERROR(__xludf.DUMMYFUNCTION("""COMPUTED_VALUE"""),"Initiative")</f>
        <v>Initiative</v>
      </c>
      <c r="G487" s="4" t="str">
        <f ca="1">IFERROR(__xludf.DUMMYFUNCTION("""COMPUTED_VALUE"""),"Stock")</f>
        <v>Stock</v>
      </c>
      <c r="H487" s="4" t="str">
        <f ca="1">IFERROR(__xludf.DUMMYFUNCTION("""COMPUTED_VALUE"""),"4Q 2023")</f>
        <v>4Q 2023</v>
      </c>
      <c r="I487" s="131" t="str">
        <f ca="1">IFERROR(__xludf.DUMMYFUNCTION("""COMPUTED_VALUE"""),"alirio.bermudez-bbva.com")</f>
        <v>alirio.bermudez-bbva.com</v>
      </c>
      <c r="J487" s="131" t="str">
        <f ca="1">IFERROR(__xludf.DUMMYFUNCTION("""COMPUTED_VALUE"""),"monicaandrea.abogado-bbva.com")</f>
        <v>monicaandrea.abogado-bbva.com</v>
      </c>
      <c r="K487" s="131" t="str">
        <f ca="1">IFERROR(__xludf.DUMMYFUNCTION("""COMPUTED_VALUE"""),"ivan_dario.ariza-bbva.com")</f>
        <v>ivan_dario.ariza-bbva.com</v>
      </c>
      <c r="L487" s="4"/>
      <c r="M487" s="4"/>
      <c r="N487" s="4"/>
      <c r="O487" s="4" t="str">
        <f ca="1">IFERROR(__xludf.DUMMYFUNCTION("""COMPUTED_VALUE"""),"Waterfall")</f>
        <v>Waterfall</v>
      </c>
      <c r="P487" s="4" t="str">
        <f ca="1">IFERROR(__xludf.DUMMYFUNCTION("""COMPUTED_VALUE"""),"Tradicional")</f>
        <v>Tradicional</v>
      </c>
      <c r="Q487" s="4"/>
      <c r="R487" s="130" t="str">
        <f ca="1">IFERROR(__xludf.DUMMYFUNCTION("""COMPUTED_VALUE"""),"Enterprises")</f>
        <v>Enterprises</v>
      </c>
      <c r="S487" s="130" t="str">
        <f ca="1">IFERROR(__xludf.DUMMYFUNCTION("""COMPUTED_VALUE""")," Otros")</f>
        <v xml:space="preserve"> Otros</v>
      </c>
      <c r="T487" s="130" t="str">
        <f ca="1">IFERROR(__xludf.DUMMYFUNCTION("""COMPUTED_VALUE"""),"1. Generación de Ingresos")</f>
        <v>1. Generación de Ingresos</v>
      </c>
      <c r="U487" s="130" t="str">
        <f ca="1">IFERROR(__xludf.DUMMYFUNCTION("""COMPUTED_VALUE"""),"1.5. Otros de Proyectos de Ingresos")</f>
        <v>1.5. Otros de Proyectos de Ingresos</v>
      </c>
      <c r="V487" s="4" t="str">
        <f ca="1">IFERROR(__xludf.DUMMYFUNCTION("""COMPUTED_VALUE"""),"Agro")</f>
        <v>Agro</v>
      </c>
      <c r="W487" s="4">
        <f ca="1">IFERROR(__xludf.DUMMYFUNCTION("""COMPUTED_VALUE"""),1)</f>
        <v>1</v>
      </c>
      <c r="X487" s="4" t="str">
        <f ca="1">IFERROR(__xludf.DUMMYFUNCTION("""COMPUTED_VALUE"""),"10. Otros")</f>
        <v>10. Otros</v>
      </c>
      <c r="Y487" s="4" t="str">
        <f ca="1">IFERROR(__xludf.DUMMYFUNCTION("""COMPUTED_VALUE""")," Otros")</f>
        <v xml:space="preserve"> Otros</v>
      </c>
      <c r="Z487" s="132" t="str">
        <f ca="1">IFERROR(__xludf.DUMMYFUNCTION("""COMPUTED_VALUE"""),"773998")</f>
        <v>773998</v>
      </c>
      <c r="AA487" s="4" t="str">
        <f ca="1">IFERROR(__xludf.DUMMYFUNCTION("""COMPUTED_VALUE"""),"SDATOOL 40466-garantias FAG EMC2")</f>
        <v>SDATOOL 40466-garantias FAG EMC2</v>
      </c>
      <c r="AB487" s="4" t="str">
        <f ca="1">IFERROR(__xludf.DUMMYFUNCTION("""COMPUTED_VALUE"""),"Crear campo numero de Garantia FAG
Dentro del modulo actual de FNG se permita la dministracion de las Garantias FAG en Nacar y 3270 , que permita que el cobro de comisiones se realice de manera automatica y la parametria aplique tanto para comision Anual "&amp;"Anticipadaso Unica Anticipada.
Se deberá crear la parametria por códigos de garantía FAG.
Discriminar el concepto de comisión FAG en el extractos
 Vincular la Garantía FAG hasta 60 días después del desembolso
Informes: Stock, prorrogas,")</f>
        <v>Crear campo numero de Garantia FAG
Dentro del modulo actual de FNG se permita la dministracion de las Garantias FAG en Nacar y 3270 , que permita que el cobro de comisiones se realice de manera automatica y la parametria aplique tanto para comision Anual Anticipadaso Unica Anticipada.
Se deberá crear la parametria por códigos de garantía FAG.
Discriminar el concepto de comisión FAG en el extractos
 Vincular la Garantía FAG hasta 60 días después del desembolso
Informes: Stock, prorrogas,</v>
      </c>
      <c r="AC487" s="4" t="str">
        <f ca="1">IFERROR(__xludf.DUMMYFUNCTION("""COMPUTED_VALUE"""),"2Q 2023")</f>
        <v>2Q 2023</v>
      </c>
      <c r="AD487" s="4"/>
      <c r="AE487" s="4"/>
      <c r="AF487" s="4"/>
      <c r="AG487" s="4"/>
      <c r="AH487" s="4"/>
      <c r="AI487" s="4"/>
      <c r="AJ487" s="4"/>
      <c r="AK487" s="131" t="str">
        <f ca="1">IFERROR(__xludf.DUMMYFUNCTION("""COMPUTED_VALUE"""),"COLWSPREST-11894")</f>
        <v>COLWSPREST-11894</v>
      </c>
      <c r="AL487" s="4" t="str">
        <f ca="1">IFERROR(__xludf.DUMMYFUNCTION("""COMPUTED_VALUE"""),"New")</f>
        <v>New</v>
      </c>
      <c r="AM487" s="4"/>
      <c r="AN487" s="4" t="str">
        <f ca="1">IFERROR(__xludf.DUMMYFUNCTION("""COMPUTED_VALUE"""),"Entregable en backlog")</f>
        <v>Entregable en backlog</v>
      </c>
      <c r="AO487" s="4" t="str">
        <f ca="1">IFERROR(__xludf.DUMMYFUNCTION("""COMPUTED_VALUE"""),"Pymes")</f>
        <v>Pymes</v>
      </c>
      <c r="AP487" s="4"/>
      <c r="AQ487" s="4"/>
      <c r="AR487" s="4" t="str">
        <f ca="1">IFERROR(__xludf.DUMMYFUNCTION("""COMPUTED_VALUE"""),"SDA aprobada en PPP Q1 2023")</f>
        <v>SDA aprobada en PPP Q1 2023</v>
      </c>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row>
    <row r="488" spans="1:132" x14ac:dyDescent="0.2">
      <c r="A488" s="4">
        <f ca="1">IFERROR(__xludf.DUMMYFUNCTION("""COMPUTED_VALUE"""),488)</f>
        <v>488</v>
      </c>
      <c r="B488" s="4">
        <f ca="1">IFERROR(__xludf.DUMMYFUNCTION("""COMPUTED_VALUE"""),459)</f>
        <v>459</v>
      </c>
      <c r="C488" s="4" t="str">
        <f ca="1">IFERROR(__xludf.DUMMYFUNCTION("""COMPUTED_VALUE"""),"SDATOOL-40481")</f>
        <v>SDATOOL-40481</v>
      </c>
      <c r="D488" s="4" t="str">
        <f ca="1">IFERROR(__xludf.DUMMYFUNCTION("""COMPUTED_VALUE"""),"DIAN solicitud información exógena a reportar por mandatos FNG - BBVA")</f>
        <v>DIAN solicitud información exógena a reportar por mandatos FNG - BBVA</v>
      </c>
      <c r="E488" s="4" t="str">
        <f ca="1">IFERROR(__xludf.DUMMYFUNCTION("""COMPUTED_VALUE"""),"Habilitar los reportes en los sistemas para generar en forma automática el reporte que debe remitirse a la DIAN con relación a los pagos que realiza el BBVA al FNG por mandato de los clientes que utilizan ese tipo de garantías")</f>
        <v>Habilitar los reportes en los sistemas para generar en forma automática el reporte que debe remitirse a la DIAN con relación a los pagos que realiza el BBVA al FNG por mandato de los clientes que utilizan ese tipo de garantías</v>
      </c>
      <c r="F488" s="4" t="str">
        <f ca="1">IFERROR(__xludf.DUMMYFUNCTION("""COMPUTED_VALUE"""),"Initiative")</f>
        <v>Initiative</v>
      </c>
      <c r="G488" s="4" t="str">
        <f ca="1">IFERROR(__xludf.DUMMYFUNCTION("""COMPUTED_VALUE"""),"Stock")</f>
        <v>Stock</v>
      </c>
      <c r="H488" s="4" t="str">
        <f ca="1">IFERROR(__xludf.DUMMYFUNCTION("""COMPUTED_VALUE"""),"2Q 2023")</f>
        <v>2Q 2023</v>
      </c>
      <c r="I488" s="131" t="str">
        <f ca="1">IFERROR(__xludf.DUMMYFUNCTION("""COMPUTED_VALUE"""),"alirio.bermudez-bbva.com")</f>
        <v>alirio.bermudez-bbva.com</v>
      </c>
      <c r="J488" s="131" t="str">
        <f ca="1">IFERROR(__xludf.DUMMYFUNCTION("""COMPUTED_VALUE"""),"monicaandrea.abogado-bbva.com")</f>
        <v>monicaandrea.abogado-bbva.com</v>
      </c>
      <c r="K488" s="131" t="str">
        <f ca="1">IFERROR(__xludf.DUMMYFUNCTION("""COMPUTED_VALUE"""),"ivan_dario.ariza-bbva.com")</f>
        <v>ivan_dario.ariza-bbva.com</v>
      </c>
      <c r="L488" s="130">
        <f ca="1">IFERROR(__xludf.DUMMYFUNCTION("""COMPUTED_VALUE"""),0.3)</f>
        <v>0.3</v>
      </c>
      <c r="M488" s="130">
        <f ca="1">IFERROR(__xludf.DUMMYFUNCTION("""COMPUTED_VALUE"""),0)</f>
        <v>0</v>
      </c>
      <c r="N488" s="130">
        <f ca="1">IFERROR(__xludf.DUMMYFUNCTION("""COMPUTED_VALUE"""),0)</f>
        <v>0</v>
      </c>
      <c r="O488" s="4" t="str">
        <f ca="1">IFERROR(__xludf.DUMMYFUNCTION("""COMPUTED_VALUE"""),"Waterfall")</f>
        <v>Waterfall</v>
      </c>
      <c r="P488" s="4" t="str">
        <f ca="1">IFERROR(__xludf.DUMMYFUNCTION("""COMPUTED_VALUE"""),"Tradicional")</f>
        <v>Tradicional</v>
      </c>
      <c r="Q488" s="4"/>
      <c r="R488" s="130" t="str">
        <f ca="1">IFERROR(__xludf.DUMMYFUNCTION("""COMPUTED_VALUE"""),"Enterprises")</f>
        <v>Enterprises</v>
      </c>
      <c r="S488" s="130" t="str">
        <f ca="1">IFERROR(__xludf.DUMMYFUNCTION("""COMPUTED_VALUE""")," Otros")</f>
        <v xml:space="preserve"> Otros</v>
      </c>
      <c r="T488" s="130" t="str">
        <f ca="1">IFERROR(__xludf.DUMMYFUNCTION("""COMPUTED_VALUE"""),"Normativo")</f>
        <v>Normativo</v>
      </c>
      <c r="U488" s="130" t="str">
        <f ca="1">IFERROR(__xludf.DUMMYFUNCTION("""COMPUTED_VALUE"""),"No Aplica")</f>
        <v>No Aplica</v>
      </c>
      <c r="V488" s="4" t="str">
        <f ca="1">IFERROR(__xludf.DUMMYFUNCTION("""COMPUTED_VALUE"""),"Otros")</f>
        <v>Otros</v>
      </c>
      <c r="W488" s="4">
        <f ca="1">IFERROR(__xludf.DUMMYFUNCTION("""COMPUTED_VALUE"""),3)</f>
        <v>3</v>
      </c>
      <c r="X488" s="4" t="str">
        <f ca="1">IFERROR(__xludf.DUMMYFUNCTION("""COMPUTED_VALUE"""),"10. Otros")</f>
        <v>10. Otros</v>
      </c>
      <c r="Y488" s="4" t="str">
        <f ca="1">IFERROR(__xludf.DUMMYFUNCTION("""COMPUTED_VALUE""")," Otros")</f>
        <v xml:space="preserve"> Otros</v>
      </c>
      <c r="Z488" s="132" t="str">
        <f ca="1">IFERROR(__xludf.DUMMYFUNCTION("""COMPUTED_VALUE"""),"560524")</f>
        <v>560524</v>
      </c>
      <c r="AA488" s="4" t="str">
        <f ca="1">IFERROR(__xludf.DUMMYFUNCTION("""COMPUTED_VALUE"""),"Iniciativa")</f>
        <v>Iniciativa</v>
      </c>
      <c r="AB488" s="4" t="str">
        <f ca="1">IFERROR(__xludf.DUMMYFUNCTION("""COMPUTED_VALUE"""),"Iniciativa priorizada para el Q1 2023 en proceso de discovery.")</f>
        <v>Iniciativa priorizada para el Q1 2023 en proceso de discovery.</v>
      </c>
      <c r="AC488" s="4" t="str">
        <f ca="1">IFERROR(__xludf.DUMMYFUNCTION("""COMPUTED_VALUE"""),"4Q 2023")</f>
        <v>4Q 2023</v>
      </c>
      <c r="AD488" s="4"/>
      <c r="AE488" s="4"/>
      <c r="AF488" s="4"/>
      <c r="AG488" s="4"/>
      <c r="AH488" s="4"/>
      <c r="AI488" s="4"/>
      <c r="AJ488" s="4"/>
      <c r="AK488" s="4" t="str">
        <f ca="1">IFERROR(__xludf.DUMMYFUNCTION("""COMPUTED_VALUE"""),"Sin asignar")</f>
        <v>Sin asignar</v>
      </c>
      <c r="AL488" s="4" t="str">
        <f ca="1">IFERROR(__xludf.DUMMYFUNCTION("""COMPUTED_VALUE"""),"Sin asignar")</f>
        <v>Sin asignar</v>
      </c>
      <c r="AM488" s="4"/>
      <c r="AN488" s="4" t="str">
        <f ca="1">IFERROR(__xludf.DUMMYFUNCTION("""COMPUTED_VALUE"""),"Entregable en backlog")</f>
        <v>Entregable en backlog</v>
      </c>
      <c r="AO488" s="4"/>
      <c r="AP488" s="4"/>
      <c r="AQ488" s="4"/>
      <c r="AR488" s="4" t="str">
        <f ca="1">IFERROR(__xludf.DUMMYFUNCTION("""COMPUTED_VALUE"""),"SDA aprobada en PPP Q1 2023")</f>
        <v>SDA aprobada en PPP Q1 2023</v>
      </c>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133">
        <f ca="1">IFERROR(__xludf.DUMMYFUNCTION("""COMPUTED_VALUE"""),0)</f>
        <v>0</v>
      </c>
      <c r="DV488" s="133">
        <f ca="1">IFERROR(__xludf.DUMMYFUNCTION("""COMPUTED_VALUE"""),0)</f>
        <v>0</v>
      </c>
      <c r="DW488" s="133">
        <f ca="1">IFERROR(__xludf.DUMMYFUNCTION("""COMPUTED_VALUE"""),0)</f>
        <v>0</v>
      </c>
      <c r="DX488" s="133">
        <f ca="1">IFERROR(__xludf.DUMMYFUNCTION("""COMPUTED_VALUE"""),50000000)</f>
        <v>50000000</v>
      </c>
      <c r="DY488" s="133">
        <f ca="1">IFERROR(__xludf.DUMMYFUNCTION("""COMPUTED_VALUE"""),0)</f>
        <v>0</v>
      </c>
      <c r="DZ488" s="133">
        <f ca="1">IFERROR(__xludf.DUMMYFUNCTION("""COMPUTED_VALUE"""),50000000)</f>
        <v>50000000</v>
      </c>
      <c r="EA488" s="4"/>
      <c r="EB488" s="4"/>
    </row>
    <row r="489" spans="1:132" x14ac:dyDescent="0.2">
      <c r="A489" s="4">
        <f ca="1">IFERROR(__xludf.DUMMYFUNCTION("""COMPUTED_VALUE"""),489)</f>
        <v>489</v>
      </c>
      <c r="B489" s="4">
        <f ca="1">IFERROR(__xludf.DUMMYFUNCTION("""COMPUTED_VALUE"""),460)</f>
        <v>460</v>
      </c>
      <c r="C489" s="4" t="str">
        <f ca="1">IFERROR(__xludf.DUMMYFUNCTION("""COMPUTED_VALUE"""),"SDATOOL-40551")</f>
        <v>SDATOOL-40551</v>
      </c>
      <c r="D489" s="4" t="str">
        <f ca="1">IFERROR(__xludf.DUMMYFUNCTION("""COMPUTED_VALUE"""),"Leasing. Gastos atados contratos castigados")</f>
        <v>Leasing. Gastos atados contratos castigados</v>
      </c>
      <c r="E489" s="4" t="str">
        <f ca="1">IFERROR(__xludf.DUMMYFUNCTION("""COMPUTED_VALUE"""),"Habilitar en la plataforma Sileasing la posibilidad de que los gastos generados por los activos asociados a contratos castigados, activos que siguen en propiedad de BBVA, se puedan atar a la deuda de forma que la misma se pueda ir incrementando y los nuev"&amp;"os gastos se incluyan en el proceso de cobro jurídico y se recuperen con la restitución o con el pago por parte del cliente")</f>
        <v>Habilitar en la plataforma Sileasing la posibilidad de que los gastos generados por los activos asociados a contratos castigados, activos que siguen en propiedad de BBVA, se puedan atar a la deuda de forma que la misma se pueda ir incrementando y los nuevos gastos se incluyan en el proceso de cobro jurídico y se recuperen con la restitución o con el pago por parte del cliente</v>
      </c>
      <c r="F489" s="4" t="str">
        <f ca="1">IFERROR(__xludf.DUMMYFUNCTION("""COMPUTED_VALUE"""),"Initiative")</f>
        <v>Initiative</v>
      </c>
      <c r="G489" s="4" t="str">
        <f ca="1">IFERROR(__xludf.DUMMYFUNCTION("""COMPUTED_VALUE"""),"Flow")</f>
        <v>Flow</v>
      </c>
      <c r="H489" s="4" t="str">
        <f ca="1">IFERROR(__xludf.DUMMYFUNCTION("""COMPUTED_VALUE"""),"2Q 2023")</f>
        <v>2Q 2023</v>
      </c>
      <c r="I489" s="131" t="str">
        <f ca="1">IFERROR(__xludf.DUMMYFUNCTION("""COMPUTED_VALUE"""),"alirio.bermudez-bbva.com")</f>
        <v>alirio.bermudez-bbva.com</v>
      </c>
      <c r="J489" s="131" t="str">
        <f ca="1">IFERROR(__xludf.DUMMYFUNCTION("""COMPUTED_VALUE"""),"monicaandrea.abogado-bbva.com")</f>
        <v>monicaandrea.abogado-bbva.com</v>
      </c>
      <c r="K489" s="131" t="str">
        <f ca="1">IFERROR(__xludf.DUMMYFUNCTION("""COMPUTED_VALUE"""),"ivan_dario.ariza-bbva.com")</f>
        <v>ivan_dario.ariza-bbva.com</v>
      </c>
      <c r="L489" s="130">
        <f ca="1">IFERROR(__xludf.DUMMYFUNCTION("""COMPUTED_VALUE"""),0)</f>
        <v>0</v>
      </c>
      <c r="M489" s="130">
        <f ca="1">IFERROR(__xludf.DUMMYFUNCTION("""COMPUTED_VALUE"""),0)</f>
        <v>0</v>
      </c>
      <c r="N489" s="130">
        <f ca="1">IFERROR(__xludf.DUMMYFUNCTION("""COMPUTED_VALUE"""),0)</f>
        <v>0</v>
      </c>
      <c r="O489" s="4" t="str">
        <f ca="1">IFERROR(__xludf.DUMMYFUNCTION("""COMPUTED_VALUE"""),"Waterfall")</f>
        <v>Waterfall</v>
      </c>
      <c r="P489" s="4" t="str">
        <f ca="1">IFERROR(__xludf.DUMMYFUNCTION("""COMPUTED_VALUE"""),"Tradicional")</f>
        <v>Tradicional</v>
      </c>
      <c r="Q489" s="4"/>
      <c r="R489" s="130" t="str">
        <f ca="1">IFERROR(__xludf.DUMMYFUNCTION("""COMPUTED_VALUE"""),"Enterprises")</f>
        <v>Enterprises</v>
      </c>
      <c r="S489" s="130" t="str">
        <f ca="1">IFERROR(__xludf.DUMMYFUNCTION("""COMPUTED_VALUE""")," Otros")</f>
        <v xml:space="preserve"> Otros</v>
      </c>
      <c r="T489" s="130" t="str">
        <f ca="1">IFERROR(__xludf.DUMMYFUNCTION("""COMPUTED_VALUE"""),"Normativo")</f>
        <v>Normativo</v>
      </c>
      <c r="U489" s="130" t="str">
        <f ca="1">IFERROR(__xludf.DUMMYFUNCTION("""COMPUTED_VALUE"""),"No Aplica")</f>
        <v>No Aplica</v>
      </c>
      <c r="V489" s="4" t="str">
        <f ca="1">IFERROR(__xludf.DUMMYFUNCTION("""COMPUTED_VALUE"""),"Otros")</f>
        <v>Otros</v>
      </c>
      <c r="W489" s="4">
        <f ca="1">IFERROR(__xludf.DUMMYFUNCTION("""COMPUTED_VALUE"""),3)</f>
        <v>3</v>
      </c>
      <c r="X489" s="4" t="str">
        <f ca="1">IFERROR(__xludf.DUMMYFUNCTION("""COMPUTED_VALUE"""),"10. Otros")</f>
        <v>10. Otros</v>
      </c>
      <c r="Y489" s="130" t="str">
        <f ca="1">IFERROR(__xludf.DUMMYFUNCTION("""COMPUTED_VALUE""")," Otros")</f>
        <v xml:space="preserve"> Otros</v>
      </c>
      <c r="Z489" s="132" t="str">
        <f ca="1">IFERROR(__xludf.DUMMYFUNCTION("""COMPUTED_VALUE"""),"560582")</f>
        <v>560582</v>
      </c>
      <c r="AA489" s="4" t="str">
        <f ca="1">IFERROR(__xludf.DUMMYFUNCTION("""COMPUTED_VALUE"""),"Iniciativa priorizada para el Q1 2023 en proceso de Discovery")</f>
        <v>Iniciativa priorizada para el Q1 2023 en proceso de Discovery</v>
      </c>
      <c r="AB489" s="4" t="str">
        <f ca="1">IFERROR(__xludf.DUMMYFUNCTION("""COMPUTED_VALUE"""),"Iniciativa priorizada para el Q1 2023 en proceso de Discovery")</f>
        <v>Iniciativa priorizada para el Q1 2023 en proceso de Discovery</v>
      </c>
      <c r="AC489" s="4" t="str">
        <f ca="1">IFERROR(__xludf.DUMMYFUNCTION("""COMPUTED_VALUE"""),"3Q 2023")</f>
        <v>3Q 2023</v>
      </c>
      <c r="AD489" s="4"/>
      <c r="AE489" s="4"/>
      <c r="AF489" s="4"/>
      <c r="AG489" s="4"/>
      <c r="AH489" s="4"/>
      <c r="AI489" s="4"/>
      <c r="AJ489" s="4"/>
      <c r="AK489" s="4" t="str">
        <f ca="1">IFERROR(__xludf.DUMMYFUNCTION("""COMPUTED_VALUE"""),"Sin asignar")</f>
        <v>Sin asignar</v>
      </c>
      <c r="AL489" s="4" t="str">
        <f ca="1">IFERROR(__xludf.DUMMYFUNCTION("""COMPUTED_VALUE"""),"Sin asignar")</f>
        <v>Sin asignar</v>
      </c>
      <c r="AM489" s="4" t="str">
        <f ca="1">IFERROR(__xludf.DUMMYFUNCTION("""COMPUTED_VALUE"""),"Sin priorización por parte del Sponsor")</f>
        <v>Sin priorización por parte del Sponsor</v>
      </c>
      <c r="AN489" s="4" t="str">
        <f ca="1">IFERROR(__xludf.DUMMYFUNCTION("""COMPUTED_VALUE"""),"Iniciativa sin priorizar")</f>
        <v>Iniciativa sin priorizar</v>
      </c>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133">
        <f ca="1">IFERROR(__xludf.DUMMYFUNCTION("""COMPUTED_VALUE"""),0)</f>
        <v>0</v>
      </c>
      <c r="DV489" s="133">
        <f ca="1">IFERROR(__xludf.DUMMYFUNCTION("""COMPUTED_VALUE"""),0)</f>
        <v>0</v>
      </c>
      <c r="DW489" s="133">
        <f ca="1">IFERROR(__xludf.DUMMYFUNCTION("""COMPUTED_VALUE"""),0)</f>
        <v>0</v>
      </c>
      <c r="DX489" s="133">
        <f ca="1">IFERROR(__xludf.DUMMYFUNCTION("""COMPUTED_VALUE"""),0)</f>
        <v>0</v>
      </c>
      <c r="DY489" s="133">
        <f ca="1">IFERROR(__xludf.DUMMYFUNCTION("""COMPUTED_VALUE"""),0)</f>
        <v>0</v>
      </c>
      <c r="DZ489" s="133">
        <f ca="1">IFERROR(__xludf.DUMMYFUNCTION("""COMPUTED_VALUE"""),0)</f>
        <v>0</v>
      </c>
      <c r="EA489" s="4"/>
      <c r="EB489" s="4"/>
    </row>
    <row r="490" spans="1:132" x14ac:dyDescent="0.2">
      <c r="A490" s="4">
        <f ca="1">IFERROR(__xludf.DUMMYFUNCTION("""COMPUTED_VALUE"""),490)</f>
        <v>490</v>
      </c>
      <c r="B490" s="4">
        <f ca="1">IFERROR(__xludf.DUMMYFUNCTION("""COMPUTED_VALUE"""),461)</f>
        <v>461</v>
      </c>
      <c r="C490" s="4" t="str">
        <f ca="1">IFERROR(__xludf.DUMMYFUNCTION("""COMPUTED_VALUE"""),"SDATOOL-40465")</f>
        <v>SDATOOL-40465</v>
      </c>
      <c r="D490" s="4" t="str">
        <f ca="1">IFERROR(__xludf.DUMMYFUNCTION("""COMPUTED_VALUE"""),"Aplicativo Préstamos - Ajuste para control de Uso de Sobregiros para pago Capital e Intereses")</f>
        <v>Aplicativo Préstamos - Ajuste para control de Uso de Sobregiros para pago Capital e Intereses</v>
      </c>
      <c r="E490" s="4" t="str">
        <f ca="1">IFERROR(__xludf.DUMMYFUNCTION("""COMPUTED_VALUE"""),"Controlar en forma automática que NO se usen los cupos de sobregiro de los clientes para el pago de cuotas de préstamos comerciales (Capital o Intereses) ya sea que el cobro lo intenten realizar los procesos automáticos o que se esté realizando la operati"&amp;"va en forma manual")</f>
        <v>Controlar en forma automática que NO se usen los cupos de sobregiro de los clientes para el pago de cuotas de préstamos comerciales (Capital o Intereses) ya sea que el cobro lo intenten realizar los procesos automáticos o que se esté realizando la operativa en forma manual</v>
      </c>
      <c r="F490" s="4" t="str">
        <f ca="1">IFERROR(__xludf.DUMMYFUNCTION("""COMPUTED_VALUE"""),"Initiative")</f>
        <v>Initiative</v>
      </c>
      <c r="G490" s="4" t="str">
        <f ca="1">IFERROR(__xludf.DUMMYFUNCTION("""COMPUTED_VALUE"""),"Flow")</f>
        <v>Flow</v>
      </c>
      <c r="H490" s="4" t="str">
        <f ca="1">IFERROR(__xludf.DUMMYFUNCTION("""COMPUTED_VALUE"""),"4Q 2023")</f>
        <v>4Q 2023</v>
      </c>
      <c r="I490" s="131" t="str">
        <f ca="1">IFERROR(__xludf.DUMMYFUNCTION("""COMPUTED_VALUE"""),"alirio.bermudez-bbva.com")</f>
        <v>alirio.bermudez-bbva.com</v>
      </c>
      <c r="J490" s="131" t="str">
        <f ca="1">IFERROR(__xludf.DUMMYFUNCTION("""COMPUTED_VALUE"""),"monicaandrea.abogado-bbva.com")</f>
        <v>monicaandrea.abogado-bbva.com</v>
      </c>
      <c r="K490" s="131" t="str">
        <f ca="1">IFERROR(__xludf.DUMMYFUNCTION("""COMPUTED_VALUE"""),"ivan_dario.ariza-bbva.com")</f>
        <v>ivan_dario.ariza-bbva.com</v>
      </c>
      <c r="L490" s="130">
        <f ca="1">IFERROR(__xludf.DUMMYFUNCTION("""COMPUTED_VALUE"""),0)</f>
        <v>0</v>
      </c>
      <c r="M490" s="130">
        <f ca="1">IFERROR(__xludf.DUMMYFUNCTION("""COMPUTED_VALUE"""),0)</f>
        <v>0</v>
      </c>
      <c r="N490" s="130">
        <f ca="1">IFERROR(__xludf.DUMMYFUNCTION("""COMPUTED_VALUE"""),0)</f>
        <v>0</v>
      </c>
      <c r="O490" s="4" t="str">
        <f ca="1">IFERROR(__xludf.DUMMYFUNCTION("""COMPUTED_VALUE"""),"Waterfall")</f>
        <v>Waterfall</v>
      </c>
      <c r="P490" s="4" t="str">
        <f ca="1">IFERROR(__xludf.DUMMYFUNCTION("""COMPUTED_VALUE"""),"Tradicional")</f>
        <v>Tradicional</v>
      </c>
      <c r="Q490" s="4"/>
      <c r="R490" s="130" t="str">
        <f ca="1">IFERROR(__xludf.DUMMYFUNCTION("""COMPUTED_VALUE"""),"Enterprises")</f>
        <v>Enterprises</v>
      </c>
      <c r="S490" s="130" t="str">
        <f ca="1">IFERROR(__xludf.DUMMYFUNCTION("""COMPUTED_VALUE""")," Otros")</f>
        <v xml:space="preserve"> Otros</v>
      </c>
      <c r="T490" s="130" t="str">
        <f ca="1">IFERROR(__xludf.DUMMYFUNCTION("""COMPUTED_VALUE"""),"Normativo")</f>
        <v>Normativo</v>
      </c>
      <c r="U490" s="130" t="str">
        <f ca="1">IFERROR(__xludf.DUMMYFUNCTION("""COMPUTED_VALUE"""),"No Aplica")</f>
        <v>No Aplica</v>
      </c>
      <c r="V490" s="4" t="str">
        <f ca="1">IFERROR(__xludf.DUMMYFUNCTION("""COMPUTED_VALUE"""),"Otros")</f>
        <v>Otros</v>
      </c>
      <c r="W490" s="4">
        <f ca="1">IFERROR(__xludf.DUMMYFUNCTION("""COMPUTED_VALUE"""),3)</f>
        <v>3</v>
      </c>
      <c r="X490" s="4" t="str">
        <f ca="1">IFERROR(__xludf.DUMMYFUNCTION("""COMPUTED_VALUE"""),"10. Otros")</f>
        <v>10. Otros</v>
      </c>
      <c r="Y490" s="130" t="str">
        <f ca="1">IFERROR(__xludf.DUMMYFUNCTION("""COMPUTED_VALUE""")," Otros")</f>
        <v xml:space="preserve"> Otros</v>
      </c>
      <c r="Z490" s="132" t="str">
        <f ca="1">IFERROR(__xludf.DUMMYFUNCTION("""COMPUTED_VALUE"""),"625907")</f>
        <v>625907</v>
      </c>
      <c r="AA490" s="4" t="str">
        <f ca="1">IFERROR(__xludf.DUMMYFUNCTION("""COMPUTED_VALUE"""),"Iniciativa en Backlog, en espera de priorización")</f>
        <v>Iniciativa en Backlog, en espera de priorización</v>
      </c>
      <c r="AB490" s="4" t="str">
        <f ca="1">IFERROR(__xludf.DUMMYFUNCTION("""COMPUTED_VALUE"""),"Iniciativa en Backlog, en espera de priorización")</f>
        <v>Iniciativa en Backlog, en espera de priorización</v>
      </c>
      <c r="AC490" s="4" t="str">
        <f ca="1">IFERROR(__xludf.DUMMYFUNCTION("""COMPUTED_VALUE"""),"4Q 2023")</f>
        <v>4Q 2023</v>
      </c>
      <c r="AD490" s="4"/>
      <c r="AE490" s="4"/>
      <c r="AF490" s="4"/>
      <c r="AG490" s="4"/>
      <c r="AH490" s="4"/>
      <c r="AI490" s="4"/>
      <c r="AJ490" s="4"/>
      <c r="AK490" s="4" t="str">
        <f ca="1">IFERROR(__xludf.DUMMYFUNCTION("""COMPUTED_VALUE"""),"Sin asignar")</f>
        <v>Sin asignar</v>
      </c>
      <c r="AL490" s="4" t="str">
        <f ca="1">IFERROR(__xludf.DUMMYFUNCTION("""COMPUTED_VALUE"""),"Sin asignar")</f>
        <v>Sin asignar</v>
      </c>
      <c r="AM490" s="4" t="str">
        <f ca="1">IFERROR(__xludf.DUMMYFUNCTION("""COMPUTED_VALUE"""),"SIN INICIAR DEFINCIONES")</f>
        <v>SIN INICIAR DEFINCIONES</v>
      </c>
      <c r="AN490" s="4" t="str">
        <f ca="1">IFERROR(__xludf.DUMMYFUNCTION("""COMPUTED_VALUE"""),"Entregable en Conceptualización")</f>
        <v>Entregable en Conceptualización</v>
      </c>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133">
        <f ca="1">IFERROR(__xludf.DUMMYFUNCTION("""COMPUTED_VALUE"""),0)</f>
        <v>0</v>
      </c>
      <c r="DV490" s="133">
        <f ca="1">IFERROR(__xludf.DUMMYFUNCTION("""COMPUTED_VALUE"""),0)</f>
        <v>0</v>
      </c>
      <c r="DW490" s="133">
        <f ca="1">IFERROR(__xludf.DUMMYFUNCTION("""COMPUTED_VALUE"""),0)</f>
        <v>0</v>
      </c>
      <c r="DX490" s="133">
        <f ca="1">IFERROR(__xludf.DUMMYFUNCTION("""COMPUTED_VALUE"""),0)</f>
        <v>0</v>
      </c>
      <c r="DY490" s="133">
        <f ca="1">IFERROR(__xludf.DUMMYFUNCTION("""COMPUTED_VALUE"""),0)</f>
        <v>0</v>
      </c>
      <c r="DZ490" s="133">
        <f ca="1">IFERROR(__xludf.DUMMYFUNCTION("""COMPUTED_VALUE"""),0)</f>
        <v>0</v>
      </c>
      <c r="EA490" s="4"/>
      <c r="EB490" s="4"/>
    </row>
    <row r="491" spans="1:132" x14ac:dyDescent="0.2">
      <c r="A491" s="4">
        <f ca="1">IFERROR(__xludf.DUMMYFUNCTION("""COMPUTED_VALUE"""),491)</f>
        <v>491</v>
      </c>
      <c r="B491" s="4">
        <f ca="1">IFERROR(__xludf.DUMMYFUNCTION("""COMPUTED_VALUE"""),462)</f>
        <v>462</v>
      </c>
      <c r="C491" s="4" t="str">
        <f ca="1">IFERROR(__xludf.DUMMYFUNCTION("""COMPUTED_VALUE"""),"SDATOOL-39786")</f>
        <v>SDATOOL-39786</v>
      </c>
      <c r="D491" s="4" t="str">
        <f ca="1">IFERROR(__xludf.DUMMYFUNCTION("""COMPUTED_VALUE"""),"Sostenibilidad Colombia Fase 2")</f>
        <v>Sostenibilidad Colombia Fase 2</v>
      </c>
      <c r="E491" s="4" t="str">
        <f ca="1">IFERROR(__xludf.DUMMYFUNCTION("""COMPUTED_VALUE"""),"Marcación y seguimiento de las operaciones de (1) vehículos híbridos y eléctricos (2) vivienda sostenible (Hipoteca y Leasing) (3) Agro sostenible (4) líneas comerciales sostenibles (5) constructor sostenible, en las diferentes plataformas de creación de "&amp;"operaciones de financiación sostenible, para su reporte Local y Global tomando la taxonomía elaborada por el equipo de Data Holding como estándar para dicha marcación.")</f>
        <v>Marcación y seguimiento de las operaciones de (1) vehículos híbridos y eléctricos (2) vivienda sostenible (Hipoteca y Leasing) (3) Agro sostenible (4) líneas comerciales sostenibles (5) constructor sostenible, en las diferentes plataformas de creación de operaciones de financiación sostenible, para su reporte Local y Global tomando la taxonomía elaborada por el equipo de Data Holding como estándar para dicha marcación.</v>
      </c>
      <c r="F491" s="4" t="str">
        <f ca="1">IFERROR(__xludf.DUMMYFUNCTION("""COMPUTED_VALUE"""),"Project")</f>
        <v>Project</v>
      </c>
      <c r="G491" s="4" t="str">
        <f ca="1">IFERROR(__xludf.DUMMYFUNCTION("""COMPUTED_VALUE"""),"Ended")</f>
        <v>Ended</v>
      </c>
      <c r="H491" s="4" t="str">
        <f ca="1">IFERROR(__xludf.DUMMYFUNCTION("""COMPUTED_VALUE"""),"1Q 2023")</f>
        <v>1Q 2023</v>
      </c>
      <c r="I491" s="131" t="str">
        <f ca="1">IFERROR(__xludf.DUMMYFUNCTION("""COMPUTED_VALUE"""),"alirio.bermudez-bbva.com")</f>
        <v>alirio.bermudez-bbva.com</v>
      </c>
      <c r="J491" s="131" t="str">
        <f ca="1">IFERROR(__xludf.DUMMYFUNCTION("""COMPUTED_VALUE"""),"marthapatric.cruz-bbva.com")</f>
        <v>marthapatric.cruz-bbva.com</v>
      </c>
      <c r="K491" s="131" t="str">
        <f ca="1">IFERROR(__xludf.DUMMYFUNCTION("""COMPUTED_VALUE"""),"carlosdavid.pacheco-bbva.com")</f>
        <v>carlosdavid.pacheco-bbva.com</v>
      </c>
      <c r="L491" s="130">
        <f ca="1">IFERROR(__xludf.DUMMYFUNCTION("""COMPUTED_VALUE"""),0.1)</f>
        <v>0.1</v>
      </c>
      <c r="M491" s="130">
        <f ca="1">IFERROR(__xludf.DUMMYFUNCTION("""COMPUTED_VALUE"""),0.5)</f>
        <v>0.5</v>
      </c>
      <c r="N491" s="130">
        <f ca="1">IFERROR(__xludf.DUMMYFUNCTION("""COMPUTED_VALUE"""),1)</f>
        <v>1</v>
      </c>
      <c r="O491" s="4" t="str">
        <f ca="1">IFERROR(__xludf.DUMMYFUNCTION("""COMPUTED_VALUE"""),"Waterfall")</f>
        <v>Waterfall</v>
      </c>
      <c r="P491" s="4" t="str">
        <f ca="1">IFERROR(__xludf.DUMMYFUNCTION("""COMPUTED_VALUE"""),"Tradicional")</f>
        <v>Tradicional</v>
      </c>
      <c r="Q491" s="4"/>
      <c r="R491" s="4" t="str">
        <f ca="1">IFERROR(__xludf.DUMMYFUNCTION("""COMPUTED_VALUE"""),"Sustainability")</f>
        <v>Sustainability</v>
      </c>
      <c r="S491" s="4" t="str">
        <f ca="1">IFERROR(__xludf.DUMMYFUNCTION("""COMPUTED_VALUE"""),"Strategic Review")</f>
        <v>Strategic Review</v>
      </c>
      <c r="T491" s="4" t="str">
        <f ca="1">IFERROR(__xludf.DUMMYFUNCTION("""COMPUTED_VALUE"""),"Otros")</f>
        <v>Otros</v>
      </c>
      <c r="U491" s="4" t="str">
        <f ca="1">IFERROR(__xludf.DUMMYFUNCTION("""COMPUTED_VALUE"""),"No Aplica")</f>
        <v>No Aplica</v>
      </c>
      <c r="V491" s="4" t="str">
        <f ca="1">IFERROR(__xludf.DUMMYFUNCTION("""COMPUTED_VALUE"""),"Sostenibilidad")</f>
        <v>Sostenibilidad</v>
      </c>
      <c r="W491" s="4">
        <f ca="1">IFERROR(__xludf.DUMMYFUNCTION("""COMPUTED_VALUE"""),1)</f>
        <v>1</v>
      </c>
      <c r="X491" s="4" t="str">
        <f ca="1">IFERROR(__xludf.DUMMYFUNCTION("""COMPUTED_VALUE"""),"06. Sustainability")</f>
        <v>06. Sustainability</v>
      </c>
      <c r="Y491" s="4" t="str">
        <f ca="1">IFERROR(__xludf.DUMMYFUNCTION("""COMPUTED_VALUE"""),"5.2.1 Retail")</f>
        <v>5.2.1 Retail</v>
      </c>
      <c r="Z491" s="132" t="str">
        <f ca="1">IFERROR(__xludf.DUMMYFUNCTION("""COMPUTED_VALUE"""),"491810")</f>
        <v>491810</v>
      </c>
      <c r="AA491" s="4" t="str">
        <f ca="1">IFERROR(__xludf.DUMMYFUNCTION("""COMPUTED_VALUE"""),"Sostenibilidad - Ajustes Fase 2")</f>
        <v>Sostenibilidad - Ajustes Fase 2</v>
      </c>
      <c r="AB491" s="4" t="str">
        <f ca="1">IFERROR(__xludf.DUMMYFUNCTION("""COMPUTED_VALUE"""),"Se requiere realizar ajustes al circuito de marcación y reporteria en datio de operaciones sostenibles")</f>
        <v>Se requiere realizar ajustes al circuito de marcación y reporteria en datio de operaciones sostenibles</v>
      </c>
      <c r="AC491" s="4" t="str">
        <f ca="1">IFERROR(__xludf.DUMMYFUNCTION("""COMPUTED_VALUE"""),"1Q 2023")</f>
        <v>1Q 2023</v>
      </c>
      <c r="AD491" s="4"/>
      <c r="AE491" s="4"/>
      <c r="AF491" s="4"/>
      <c r="AG491" s="4"/>
      <c r="AH491" s="4"/>
      <c r="AI491" s="4"/>
      <c r="AJ491" s="4"/>
      <c r="AK491" s="131" t="str">
        <f ca="1">IFERROR(__xludf.DUMMYFUNCTION("""COMPUTED_VALUE"""),"COLWSPREST-1941")</f>
        <v>COLWSPREST-1941</v>
      </c>
      <c r="AL491" s="4" t="str">
        <f ca="1">IFERROR(__xludf.DUMMYFUNCTION("""COMPUTED_VALUE"""),"Deployed")</f>
        <v>Deployed</v>
      </c>
      <c r="AM491" s="4" t="str">
        <f ca="1">IFERROR(__xludf.DUMMYFUNCTION("""COMPUTED_VALUE"""),"Actualizado SDA Suite de 4Q/22 a 1Q/23")</f>
        <v>Actualizado SDA Suite de 4Q/22 a 1Q/23</v>
      </c>
      <c r="AN491" s="4" t="str">
        <f ca="1">IFERROR(__xludf.DUMMYFUNCTION("""COMPUTED_VALUE"""),"Entregable en desarrollo")</f>
        <v>Entregable en desarrollo</v>
      </c>
      <c r="AO491" s="4"/>
      <c r="AP491" s="4"/>
      <c r="AQ491" s="4"/>
      <c r="AR491" s="4" t="str">
        <f ca="1">IFERROR(__xludf.DUMMYFUNCTION("""COMPUTED_VALUE"""),"SDA aprobada en PPP Q1 2023")</f>
        <v>SDA aprobada en PPP Q1 2023</v>
      </c>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133">
        <f ca="1">IFERROR(__xludf.DUMMYFUNCTION("""COMPUTED_VALUE"""),0)</f>
        <v>0</v>
      </c>
      <c r="DV491" s="133">
        <f ca="1">IFERROR(__xludf.DUMMYFUNCTION("""COMPUTED_VALUE"""),0)</f>
        <v>0</v>
      </c>
      <c r="DW491" s="133">
        <f ca="1">IFERROR(__xludf.DUMMYFUNCTION("""COMPUTED_VALUE"""),44551071)</f>
        <v>44551071</v>
      </c>
      <c r="DX491" s="133">
        <f ca="1">IFERROR(__xludf.DUMMYFUNCTION("""COMPUTED_VALUE"""),22639840)</f>
        <v>22639840</v>
      </c>
      <c r="DY491" s="133">
        <f ca="1">IFERROR(__xludf.DUMMYFUNCTION("""COMPUTED_VALUE"""),0)</f>
        <v>0</v>
      </c>
      <c r="DZ491" s="133">
        <f ca="1">IFERROR(__xludf.DUMMYFUNCTION("""COMPUTED_VALUE"""),67190911)</f>
        <v>67190911</v>
      </c>
      <c r="EA491" s="4"/>
      <c r="EB491" s="4"/>
    </row>
    <row r="492" spans="1:132" x14ac:dyDescent="0.2">
      <c r="A492" s="4">
        <f ca="1">IFERROR(__xludf.DUMMYFUNCTION("""COMPUTED_VALUE"""),492)</f>
        <v>492</v>
      </c>
      <c r="B492" s="4">
        <f ca="1">IFERROR(__xludf.DUMMYFUNCTION("""COMPUTED_VALUE"""),463)</f>
        <v>463</v>
      </c>
      <c r="C492" s="4" t="str">
        <f ca="1">IFERROR(__xludf.DUMMYFUNCTION("""COMPUTED_VALUE"""),"SDATOOL-39785")</f>
        <v>SDATOOL-39785</v>
      </c>
      <c r="D492" s="4" t="str">
        <f ca="1">IFERROR(__xludf.DUMMYFUNCTION("""COMPUTED_VALUE"""),"Segmentación contratos ADN")</f>
        <v>Segmentación contratos ADN</v>
      </c>
      <c r="E492" s="4" t="str">
        <f ca="1">IFERROR(__xludf.DUMMYFUNCTION("""COMPUTED_VALUE"""),"Se requiere implementar un proceso de segmentación para los contratos de Adelanto de nómina que permita realizar el cambio del centro gestor del contrato así como el traslado de los saldos contables.")</f>
        <v>Se requiere implementar un proceso de segmentación para los contratos de Adelanto de nómina que permita realizar el cambio del centro gestor del contrato así como el traslado de los saldos contables.</v>
      </c>
      <c r="F492" s="4" t="str">
        <f ca="1">IFERROR(__xludf.DUMMYFUNCTION("""COMPUTED_VALUE"""),"Project")</f>
        <v>Project</v>
      </c>
      <c r="G492" s="4" t="str">
        <f ca="1">IFERROR(__xludf.DUMMYFUNCTION("""COMPUTED_VALUE"""),"Ended")</f>
        <v>Ended</v>
      </c>
      <c r="H492" s="4" t="str">
        <f ca="1">IFERROR(__xludf.DUMMYFUNCTION("""COMPUTED_VALUE"""),"1Q 2023")</f>
        <v>1Q 2023</v>
      </c>
      <c r="I492" s="131" t="str">
        <f ca="1">IFERROR(__xludf.DUMMYFUNCTION("""COMPUTED_VALUE"""),"alirio.bermudez-bbva.com")</f>
        <v>alirio.bermudez-bbva.com</v>
      </c>
      <c r="J492" s="131" t="str">
        <f ca="1">IFERROR(__xludf.DUMMYFUNCTION("""COMPUTED_VALUE"""),"marthapatric.cruz-bbva.com")</f>
        <v>marthapatric.cruz-bbva.com</v>
      </c>
      <c r="K492" s="131" t="str">
        <f ca="1">IFERROR(__xludf.DUMMYFUNCTION("""COMPUTED_VALUE"""),"monica.zamudio-bbva.com")</f>
        <v>monica.zamudio-bbva.com</v>
      </c>
      <c r="L492" s="130">
        <f ca="1">IFERROR(__xludf.DUMMYFUNCTION("""COMPUTED_VALUE"""),0)</f>
        <v>0</v>
      </c>
      <c r="M492" s="130">
        <f ca="1">IFERROR(__xludf.DUMMYFUNCTION("""COMPUTED_VALUE"""),0.6)</f>
        <v>0.6</v>
      </c>
      <c r="N492" s="130">
        <f ca="1">IFERROR(__xludf.DUMMYFUNCTION("""COMPUTED_VALUE"""),0)</f>
        <v>0</v>
      </c>
      <c r="O492" s="4" t="str">
        <f ca="1">IFERROR(__xludf.DUMMYFUNCTION("""COMPUTED_VALUE"""),"Waterfall")</f>
        <v>Waterfall</v>
      </c>
      <c r="P492" s="4" t="str">
        <f ca="1">IFERROR(__xludf.DUMMYFUNCTION("""COMPUTED_VALUE"""),"Tradicional")</f>
        <v>Tradicional</v>
      </c>
      <c r="Q492" s="4"/>
      <c r="R492" s="130" t="str">
        <f ca="1">IFERROR(__xludf.DUMMYFUNCTION("""COMPUTED_VALUE"""),"Retail Execution")</f>
        <v>Retail Execution</v>
      </c>
      <c r="S492" s="130" t="str">
        <f ca="1">IFERROR(__xludf.DUMMYFUNCTION("""COMPUTED_VALUE""")," Otros")</f>
        <v xml:space="preserve"> Otros</v>
      </c>
      <c r="T492" s="130" t="str">
        <f ca="1">IFERROR(__xludf.DUMMYFUNCTION("""COMPUTED_VALUE"""),"Otros")</f>
        <v>Otros</v>
      </c>
      <c r="U492" s="130" t="str">
        <f ca="1">IFERROR(__xludf.DUMMYFUNCTION("""COMPUTED_VALUE"""),"No Aplica")</f>
        <v>No Aplica</v>
      </c>
      <c r="V492" s="4" t="str">
        <f ca="1">IFERROR(__xludf.DUMMYFUNCTION("""COMPUTED_VALUE"""),"Otros")</f>
        <v>Otros</v>
      </c>
      <c r="W492" s="4">
        <f ca="1">IFERROR(__xludf.DUMMYFUNCTION("""COMPUTED_VALUE"""),3)</f>
        <v>3</v>
      </c>
      <c r="X492" s="4" t="str">
        <f ca="1">IFERROR(__xludf.DUMMYFUNCTION("""COMPUTED_VALUE"""),"10. Otros")</f>
        <v>10. Otros</v>
      </c>
      <c r="Y492" s="4" t="str">
        <f ca="1">IFERROR(__xludf.DUMMYFUNCTION("""COMPUTED_VALUE""")," Otros")</f>
        <v xml:space="preserve"> Otros</v>
      </c>
      <c r="Z492" s="132" t="str">
        <f ca="1">IFERROR(__xludf.DUMMYFUNCTION("""COMPUTED_VALUE"""),"491809")</f>
        <v>491809</v>
      </c>
      <c r="AA492" s="4" t="str">
        <f ca="1">IFERROR(__xludf.DUMMYFUNCTION("""COMPUTED_VALUE"""),"Proceso de segmentación contratos ADN")</f>
        <v>Proceso de segmentación contratos ADN</v>
      </c>
      <c r="AB492" s="4" t="str">
        <f ca="1">IFERROR(__xludf.DUMMYFUNCTION("""COMPUTED_VALUE"""),"Se requiere implementar un proceso de segmentación para los contratos de Adelanto de nómina que permita realizar
el cambio del centro gestor del contrato así como el traslado de los saldos contables.")</f>
        <v>Se requiere implementar un proceso de segmentación para los contratos de Adelanto de nómina que permita realizar
el cambio del centro gestor del contrato así como el traslado de los saldos contables.</v>
      </c>
      <c r="AC492" s="4" t="str">
        <f ca="1">IFERROR(__xludf.DUMMYFUNCTION("""COMPUTED_VALUE"""),"1Q 2023")</f>
        <v>1Q 2023</v>
      </c>
      <c r="AD492" s="128">
        <f ca="1">IFERROR(__xludf.DUMMYFUNCTION("""COMPUTED_VALUE"""),44706)</f>
        <v>44706</v>
      </c>
      <c r="AE492" s="4"/>
      <c r="AF492" s="4"/>
      <c r="AG492" s="4"/>
      <c r="AH492" s="4"/>
      <c r="AI492" s="4"/>
      <c r="AJ492" s="4"/>
      <c r="AK492" s="131" t="str">
        <f ca="1">IFERROR(__xludf.DUMMYFUNCTION("""COMPUTED_VALUE"""),"COLWSMEDIO-869")</f>
        <v>COLWSMEDIO-869</v>
      </c>
      <c r="AL492" s="4" t="str">
        <f ca="1">IFERROR(__xludf.DUMMYFUNCTION("""COMPUTED_VALUE"""),"Deployed")</f>
        <v>Deployed</v>
      </c>
      <c r="AM492" s="4" t="str">
        <f ca="1">IFERROR(__xludf.DUMMYFUNCTION("""COMPUTED_VALUE"""),"24/05/2022 Proyecto radicado en valoracion por PMO
30/06/2022 Proyecto se encuentra en valoracion por parte del equipo de ingenieria, se revisaron y aclararon dudas respecto al aclance e historias de usuario. Viviana Rodriguez quien era la Sponsor de la i"&amp;"niciatva, se esta validando con Esteban Gutierrez quien llevara el proyecto para la presentacion con Areas de valor. Programada para mitad de Julio.
6/07/2022 Actualmente se encuentra en valoracion de ingenieria y conceptos de participacion por las Areas,"&amp;" se nivela a Esteban Gutierres quien llevara el proyecto como Sponsor, Se agenda sesion para el 21 de Julio, con BPE, Arquitectura, no cuenta con participacion de Data Transformation.
2/08/2022 Se presenta sesion de entendimiento con las Areas de valor, s"&amp;"e remite correo electronico a Dcontable para su concepto dado que el equipo no usa JIRA. Para Corporate Security pendiente valoracion tecnica o diseño funcional.
10-08-2022 Se encuentra en valoracion por Ingenieria , por la parte administrativa se encuent"&amp;"ra pendiente de revision con RCS de Ennginering para validar el protocolo de cuestionario thier 0.
16/08/2022 Se cuenta con sesion con el equipo de contabilidad para el dia 18 de agosto. con el fin de aclarar algunas dudas. actualmente se encuentra en val"&amp;"oracion.
23/08/2022 Se encuentra realizando pruebas en desarrollo. El proximo martes se entrega plan de trabajo. Se repite cuestionario farid que presentaba falla en Thier 0.")</f>
        <v>24/05/2022 Proyecto radicado en valoracion por PMO
30/06/2022 Proyecto se encuentra en valoracion por parte del equipo de ingenieria, se revisaron y aclararon dudas respecto al aclance e historias de usuario. Viviana Rodriguez quien era la Sponsor de la iniciatva, se esta validando con Esteban Gutierrez quien llevara el proyecto para la presentacion con Areas de valor. Programada para mitad de Julio.
6/07/2022 Actualmente se encuentra en valoracion de ingenieria y conceptos de participacion por las Areas, se nivela a Esteban Gutierres quien llevara el proyecto como Sponsor, Se agenda sesion para el 21 de Julio, con BPE, Arquitectura, no cuenta con participacion de Data Transformation.
2/08/2022 Se presenta sesion de entendimiento con las Areas de valor, se remite correo electronico a Dcontable para su concepto dado que el equipo no usa JIRA. Para Corporate Security pendiente valoracion tecnica o diseño funcional.
10-08-2022 Se encuentra en valoracion por Ingenieria , por la parte administrativa se encuentra pendiente de revision con RCS de Ennginering para validar el protocolo de cuestionario thier 0.
16/08/2022 Se cuenta con sesion con el equipo de contabilidad para el dia 18 de agosto. con el fin de aclarar algunas dudas. actualmente se encuentra en valoracion.
23/08/2022 Se encuentra realizando pruebas en desarrollo. El proximo martes se entrega plan de trabajo. Se repite cuestionario farid que presentaba falla en Thier 0.</v>
      </c>
      <c r="AN492" s="4" t="str">
        <f ca="1">IFERROR(__xludf.DUMMYFUNCTION("""COMPUTED_VALUE"""),"Finalizado")</f>
        <v>Finalizado</v>
      </c>
      <c r="AO492" s="4"/>
      <c r="AP492" s="4"/>
      <c r="AQ492" s="4"/>
      <c r="AR492" s="4" t="str">
        <f ca="1">IFERROR(__xludf.DUMMYFUNCTION("""COMPUTED_VALUE"""),"SDA aprobada en PPP Q1 2023")</f>
        <v>SDA aprobada en PPP Q1 2023</v>
      </c>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133">
        <f ca="1">IFERROR(__xludf.DUMMYFUNCTION("""COMPUTED_VALUE"""),0)</f>
        <v>0</v>
      </c>
      <c r="DV492" s="133">
        <f ca="1">IFERROR(__xludf.DUMMYFUNCTION("""COMPUTED_VALUE"""),0)</f>
        <v>0</v>
      </c>
      <c r="DW492" s="133">
        <f ca="1">IFERROR(__xludf.DUMMYFUNCTION("""COMPUTED_VALUE"""),0)</f>
        <v>0</v>
      </c>
      <c r="DX492" s="133">
        <f ca="1">IFERROR(__xludf.DUMMYFUNCTION("""COMPUTED_VALUE"""),11999927)</f>
        <v>11999927</v>
      </c>
      <c r="DY492" s="133">
        <f ca="1">IFERROR(__xludf.DUMMYFUNCTION("""COMPUTED_VALUE"""),0)</f>
        <v>0</v>
      </c>
      <c r="DZ492" s="133">
        <f ca="1">IFERROR(__xludf.DUMMYFUNCTION("""COMPUTED_VALUE"""),11999927)</f>
        <v>11999927</v>
      </c>
      <c r="EA492" s="4"/>
      <c r="EB492" s="4"/>
    </row>
    <row r="493" spans="1:132" x14ac:dyDescent="0.2">
      <c r="A493" s="4">
        <f ca="1">IFERROR(__xludf.DUMMYFUNCTION("""COMPUTED_VALUE"""),493)</f>
        <v>493</v>
      </c>
      <c r="B493" s="4">
        <f ca="1">IFERROR(__xludf.DUMMYFUNCTION("""COMPUTED_VALUE"""),464)</f>
        <v>464</v>
      </c>
      <c r="C493" s="4" t="str">
        <f ca="1">IFERROR(__xludf.DUMMYFUNCTION("""COMPUTED_VALUE"""),"SDATOOL-40274")</f>
        <v>SDATOOL-40274</v>
      </c>
      <c r="D493" s="4" t="str">
        <f ca="1">IFERROR(__xludf.DUMMYFUNCTION("""COMPUTED_VALUE"""),"CIRCULAR 033 de 2021-SFC")</f>
        <v>CIRCULAR 033 de 2021-SFC</v>
      </c>
      <c r="E493"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3" s="4" t="str">
        <f ca="1">IFERROR(__xludf.DUMMYFUNCTION("""COMPUTED_VALUE"""),"Project")</f>
        <v>Project</v>
      </c>
      <c r="G493" s="4" t="str">
        <f ca="1">IFERROR(__xludf.DUMMYFUNCTION("""COMPUTED_VALUE"""),"Stock")</f>
        <v>Stock</v>
      </c>
      <c r="H493" s="4" t="str">
        <f ca="1">IFERROR(__xludf.DUMMYFUNCTION("""COMPUTED_VALUE"""),"3Q 2023")</f>
        <v>3Q 2023</v>
      </c>
      <c r="I493" s="131" t="str">
        <f ca="1">IFERROR(__xludf.DUMMYFUNCTION("""COMPUTED_VALUE"""),"alirio.bermudez-bbva.com")</f>
        <v>alirio.bermudez-bbva.com</v>
      </c>
      <c r="J493" s="131" t="str">
        <f ca="1">IFERROR(__xludf.DUMMYFUNCTION("""COMPUTED_VALUE"""),"marthapatric.cruz-bbva.com")</f>
        <v>marthapatric.cruz-bbva.com</v>
      </c>
      <c r="K493" s="131" t="str">
        <f ca="1">IFERROR(__xludf.DUMMYFUNCTION("""COMPUTED_VALUE"""),"yurimilena.moreno-bbva.com")</f>
        <v>yurimilena.moreno-bbva.com</v>
      </c>
      <c r="L493" s="130">
        <f ca="1">IFERROR(__xludf.DUMMYFUNCTION("""COMPUTED_VALUE"""),0.1)</f>
        <v>0.1</v>
      </c>
      <c r="M493" s="130">
        <f ca="1">IFERROR(__xludf.DUMMYFUNCTION("""COMPUTED_VALUE"""),0.15)</f>
        <v>0.15</v>
      </c>
      <c r="N493" s="130">
        <f ca="1">IFERROR(__xludf.DUMMYFUNCTION("""COMPUTED_VALUE"""),1.2)</f>
        <v>1.2</v>
      </c>
      <c r="O493" s="4" t="str">
        <f ca="1">IFERROR(__xludf.DUMMYFUNCTION("""COMPUTED_VALUE"""),"Waterfall")</f>
        <v>Waterfall</v>
      </c>
      <c r="P493" s="4" t="str">
        <f ca="1">IFERROR(__xludf.DUMMYFUNCTION("""COMPUTED_VALUE"""),"Tradicional")</f>
        <v>Tradicional</v>
      </c>
      <c r="Q493" s="4"/>
      <c r="R493" s="130" t="str">
        <f ca="1">IFERROR(__xludf.DUMMYFUNCTION("""COMPUTED_VALUE"""),"Business Innovation &amp; Strategy")</f>
        <v>Business Innovation &amp; Strategy</v>
      </c>
      <c r="S493" s="130" t="str">
        <f ca="1">IFERROR(__xludf.DUMMYFUNCTION("""COMPUTED_VALUE""")," Otros")</f>
        <v xml:space="preserve"> Otros</v>
      </c>
      <c r="T493" s="130" t="str">
        <f ca="1">IFERROR(__xludf.DUMMYFUNCTION("""COMPUTED_VALUE"""),"Normativo")</f>
        <v>Normativo</v>
      </c>
      <c r="U493" s="130" t="str">
        <f ca="1">IFERROR(__xludf.DUMMYFUNCTION("""COMPUTED_VALUE"""),"No Aplica")</f>
        <v>No Aplica</v>
      </c>
      <c r="V493" s="4" t="str">
        <f ca="1">IFERROR(__xludf.DUMMYFUNCTION("""COMPUTED_VALUE"""),"Otros")</f>
        <v>Otros</v>
      </c>
      <c r="W493" s="4">
        <f ca="1">IFERROR(__xludf.DUMMYFUNCTION("""COMPUTED_VALUE"""),3)</f>
        <v>3</v>
      </c>
      <c r="X493" s="4" t="str">
        <f ca="1">IFERROR(__xludf.DUMMYFUNCTION("""COMPUTED_VALUE"""),"10. Otros")</f>
        <v>10. Otros</v>
      </c>
      <c r="Y493" s="4" t="str">
        <f ca="1">IFERROR(__xludf.DUMMYFUNCTION("""COMPUTED_VALUE""")," Otros")</f>
        <v xml:space="preserve"> Otros</v>
      </c>
      <c r="Z493" s="132" t="str">
        <f ca="1">IFERROR(__xludf.DUMMYFUNCTION("""COMPUTED_VALUE"""),"557214")</f>
        <v>557214</v>
      </c>
      <c r="AA493" s="4" t="str">
        <f ca="1">IFERROR(__xludf.DUMMYFUNCTION("""COMPUTED_VALUE"""),"Formato 412 -Parte Host")</f>
        <v>Formato 412 -Parte Host</v>
      </c>
      <c r="AB493" s="4" t="str">
        <f ca="1">IFERROR(__xludf.DUMMYFUNCTION("""COMPUTED_VALUE"""),"Generar el formato de trasmisión con destino a la SFC del nuevo formato regulatorio 412.")</f>
        <v>Generar el formato de trasmisión con destino a la SFC del nuevo formato regulatorio 412.</v>
      </c>
      <c r="AC493" s="4" t="str">
        <f ca="1">IFERROR(__xludf.DUMMYFUNCTION("""COMPUTED_VALUE"""),"1Q 2023")</f>
        <v>1Q 2023</v>
      </c>
      <c r="AD493" s="128">
        <f ca="1">IFERROR(__xludf.DUMMYFUNCTION("""COMPUTED_VALUE"""),44740)</f>
        <v>44740</v>
      </c>
      <c r="AE493" s="4"/>
      <c r="AF493" s="4"/>
      <c r="AG493" s="4"/>
      <c r="AH493" s="4"/>
      <c r="AI493" s="4"/>
      <c r="AJ493" s="4"/>
      <c r="AK493" s="131" t="str">
        <f ca="1">IFERROR(__xludf.DUMMYFUNCTION("""COMPUTED_VALUE"""),"COLWSNORMA-337")</f>
        <v>COLWSNORMA-337</v>
      </c>
      <c r="AL493" s="4" t="str">
        <f ca="1">IFERROR(__xludf.DUMMYFUNCTION("""COMPUTED_VALUE"""),"Deployed")</f>
        <v>Deployed</v>
      </c>
      <c r="AM493" s="4" t="str">
        <f ca="1">IFERROR(__xludf.DUMMYFUNCTION("""COMPUTED_VALUE"""),"28-06-2022 Se han realizado 2 reuniones con el equipo, quien compartio informacion drive respecto a la circular externa. Actualmente el Area sponsor esta realizando un cruce de informacion para identificar cuales datos a reportar se estan reportando actua"&amp;"lmente y a traves de que herramientas y cuales datos se encuentran pendientes de definicion.
6/07/2022 Se realiza reunion con Ferney Alexei Guzman, de Canales- Cajeros, se encuentra pendiente reunion con Yuri Milena para determinar que informacion se enc"&amp;"uentra pendiente por parte de los canales restantes, para trabajar en las HU requeridas e iniciar flujo del proyecto. Pendiente validar de quien es la Base SERVICING en donde se consolida gran parte de la informacion requerida por la SUPERFINANCIERA.
13-"&amp;"07-2022 Se realiza sesion de seguimiento, se agenda espacio con Luz Angela Cifuentes quien actualmente envia el formulario 440, con la base servicing para determinar de donde sale la informacion que se reporta a la superfinenciera.
10-08-2022 Se construy"&amp;"en las HU del formato 412, el formato 413 requiere diseño funcional e intervencion por mas de una mesa de ingenieria, se estan construyendo las HU por cada canal de acuerdo a la necesidad de informacion.
16/08/2022 Se realizo sesion con la SFC con el fin"&amp;" de aclarar dudas respecto a las definiciones y condiciones de la circular.
23/08/2022 Se enviara presentacion para comite de Normtaitvos el 31 de agosto.")</f>
        <v>28-06-2022 Se han realizado 2 reuniones con el equipo, quien compartio informacion drive respecto a la circular externa. Actualmente el Area sponsor esta realizando un cruce de informacion para identificar cuales datos a reportar se estan reportando actualmente y a traves de que herramientas y cuales datos se encuentran pendientes de definicion.
6/07/2022 Se realiza reunion con Ferney Alexei Guzman, de Canales- Cajeros, se encuentra pendiente reunion con Yuri Milena para determinar que informacion se encuentra pendiente por parte de los canales restantes, para trabajar en las HU requeridas e iniciar flujo del proyecto. Pendiente validar de quien es la Base SERVICING en donde se consolida gran parte de la informacion requerida por la SUPERFINANCIERA.
13-07-2022 Se realiza sesion de seguimiento, se agenda espacio con Luz Angela Cifuentes quien actualmente envia el formulario 440, con la base servicing para determinar de donde sale la informacion que se reporta a la superfinenciera.
10-08-2022 Se construyen las HU del formato 412, el formato 413 requiere diseño funcional e intervencion por mas de una mesa de ingenieria, se estan construyendo las HU por cada canal de acuerdo a la necesidad de informacion.
16/08/2022 Se realizo sesion con la SFC con el fin de aclarar dudas respecto a las definiciones y condiciones de la circular.
23/08/2022 Se enviara presentacion para comite de Normtaitvos el 31 de agosto.</v>
      </c>
      <c r="AN493" s="4" t="str">
        <f ca="1">IFERROR(__xludf.DUMMYFUNCTION("""COMPUTED_VALUE"""),"Finalizado")</f>
        <v>Finalizado</v>
      </c>
      <c r="AO493" s="4"/>
      <c r="AP493" s="4"/>
      <c r="AQ493" s="4"/>
      <c r="AR493" s="4" t="str">
        <f ca="1">IFERROR(__xludf.DUMMYFUNCTION("""COMPUTED_VALUE"""),"SDA aprobada en PPP Q1 2023")</f>
        <v>SDA aprobada en PPP Q1 2023</v>
      </c>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133">
        <f ca="1">IFERROR(__xludf.DUMMYFUNCTION("""COMPUTED_VALUE"""),0)</f>
        <v>0</v>
      </c>
      <c r="DV493" s="133">
        <f ca="1">IFERROR(__xludf.DUMMYFUNCTION("""COMPUTED_VALUE"""),0)</f>
        <v>0</v>
      </c>
      <c r="DW493" s="133">
        <f ca="1">IFERROR(__xludf.DUMMYFUNCTION("""COMPUTED_VALUE"""),8034880)</f>
        <v>8034880</v>
      </c>
      <c r="DX493" s="133">
        <f ca="1">IFERROR(__xludf.DUMMYFUNCTION("""COMPUTED_VALUE"""),84964734)</f>
        <v>84964734</v>
      </c>
      <c r="DY493" s="133">
        <f ca="1">IFERROR(__xludf.DUMMYFUNCTION("""COMPUTED_VALUE"""),0)</f>
        <v>0</v>
      </c>
      <c r="DZ493" s="133">
        <f ca="1">IFERROR(__xludf.DUMMYFUNCTION("""COMPUTED_VALUE"""),92999614)</f>
        <v>92999614</v>
      </c>
      <c r="EA493" s="4"/>
      <c r="EB493" s="4"/>
    </row>
    <row r="494" spans="1:132" x14ac:dyDescent="0.2">
      <c r="A494" s="4">
        <f ca="1">IFERROR(__xludf.DUMMYFUNCTION("""COMPUTED_VALUE"""),494)</f>
        <v>494</v>
      </c>
      <c r="B494" s="4">
        <f ca="1">IFERROR(__xludf.DUMMYFUNCTION("""COMPUTED_VALUE"""),465)</f>
        <v>465</v>
      </c>
      <c r="C494" s="4" t="str">
        <f ca="1">IFERROR(__xludf.DUMMYFUNCTION("""COMPUTED_VALUE"""),"SDATOOL-40274")</f>
        <v>SDATOOL-40274</v>
      </c>
      <c r="D494" s="4" t="str">
        <f ca="1">IFERROR(__xludf.DUMMYFUNCTION("""COMPUTED_VALUE"""),"CIRCULAR 033 de 2021-SFC")</f>
        <v>CIRCULAR 033 de 2021-SFC</v>
      </c>
      <c r="E494"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4" s="4" t="str">
        <f ca="1">IFERROR(__xludf.DUMMYFUNCTION("""COMPUTED_VALUE"""),"Project")</f>
        <v>Project</v>
      </c>
      <c r="G494" s="4" t="str">
        <f ca="1">IFERROR(__xludf.DUMMYFUNCTION("""COMPUTED_VALUE"""),"Stock")</f>
        <v>Stock</v>
      </c>
      <c r="H494" s="4" t="str">
        <f ca="1">IFERROR(__xludf.DUMMYFUNCTION("""COMPUTED_VALUE"""),"3Q 2023")</f>
        <v>3Q 2023</v>
      </c>
      <c r="I494" s="131" t="str">
        <f ca="1">IFERROR(__xludf.DUMMYFUNCTION("""COMPUTED_VALUE"""),"alirio.bermudez-bbva.com")</f>
        <v>alirio.bermudez-bbva.com</v>
      </c>
      <c r="J494" s="131" t="str">
        <f ca="1">IFERROR(__xludf.DUMMYFUNCTION("""COMPUTED_VALUE"""),"marthapatric.cruz-bbva.com")</f>
        <v>marthapatric.cruz-bbva.com</v>
      </c>
      <c r="K494" s="131" t="str">
        <f ca="1">IFERROR(__xludf.DUMMYFUNCTION("""COMPUTED_VALUE"""),"yurimilena.moreno-bbva.com")</f>
        <v>yurimilena.moreno-bbva.com</v>
      </c>
      <c r="L494" s="4"/>
      <c r="M494" s="4"/>
      <c r="N494" s="4"/>
      <c r="O494" s="4" t="str">
        <f ca="1">IFERROR(__xludf.DUMMYFUNCTION("""COMPUTED_VALUE"""),"Waterfall")</f>
        <v>Waterfall</v>
      </c>
      <c r="P494" s="4" t="str">
        <f ca="1">IFERROR(__xludf.DUMMYFUNCTION("""COMPUTED_VALUE"""),"Tradicional")</f>
        <v>Tradicional</v>
      </c>
      <c r="Q494" s="4"/>
      <c r="R494" s="130" t="str">
        <f ca="1">IFERROR(__xludf.DUMMYFUNCTION("""COMPUTED_VALUE"""),"Business Innovation &amp; Strategy")</f>
        <v>Business Innovation &amp; Strategy</v>
      </c>
      <c r="S494" s="130" t="str">
        <f ca="1">IFERROR(__xludf.DUMMYFUNCTION("""COMPUTED_VALUE""")," Otros")</f>
        <v xml:space="preserve"> Otros</v>
      </c>
      <c r="T494" s="130" t="str">
        <f ca="1">IFERROR(__xludf.DUMMYFUNCTION("""COMPUTED_VALUE"""),"Normativo")</f>
        <v>Normativo</v>
      </c>
      <c r="U494" s="130" t="str">
        <f ca="1">IFERROR(__xludf.DUMMYFUNCTION("""COMPUTED_VALUE"""),"No Aplica")</f>
        <v>No Aplica</v>
      </c>
      <c r="V494" s="4" t="str">
        <f ca="1">IFERROR(__xludf.DUMMYFUNCTION("""COMPUTED_VALUE"""),"Otros")</f>
        <v>Otros</v>
      </c>
      <c r="W494" s="4">
        <f ca="1">IFERROR(__xludf.DUMMYFUNCTION("""COMPUTED_VALUE"""),3)</f>
        <v>3</v>
      </c>
      <c r="X494" s="4" t="str">
        <f ca="1">IFERROR(__xludf.DUMMYFUNCTION("""COMPUTED_VALUE"""),"10. Otros")</f>
        <v>10. Otros</v>
      </c>
      <c r="Y494" s="4" t="str">
        <f ca="1">IFERROR(__xludf.DUMMYFUNCTION("""COMPUTED_VALUE""")," Otros")</f>
        <v xml:space="preserve"> Otros</v>
      </c>
      <c r="Z494" s="132" t="str">
        <f ca="1">IFERROR(__xludf.DUMMYFUNCTION("""COMPUTED_VALUE"""),"557215")</f>
        <v>557215</v>
      </c>
      <c r="AA494" s="4" t="str">
        <f ca="1">IFERROR(__xludf.DUMMYFUNCTION("""COMPUTED_VALUE"""),"Formato 413 - Parte host( Atms no propios, Movil, Net, net cash)")</f>
        <v>Formato 413 - Parte host( Atms no propios, Movil, Net, net cash)</v>
      </c>
      <c r="AB494" s="4" t="str">
        <f ca="1">IFERROR(__xludf.DUMMYFUNCTION("""COMPUTED_VALUE"""),"Generar el formato de trasmisión con destino a la SFC del nuevo formato regulatorio 413")</f>
        <v>Generar el formato de trasmisión con destino a la SFC del nuevo formato regulatorio 413</v>
      </c>
      <c r="AC494" s="4" t="str">
        <f ca="1">IFERROR(__xludf.DUMMYFUNCTION("""COMPUTED_VALUE"""),"2Q 2023")</f>
        <v>2Q 2023</v>
      </c>
      <c r="AD494" s="4"/>
      <c r="AE494" s="4"/>
      <c r="AF494" s="4"/>
      <c r="AG494" s="4"/>
      <c r="AH494" s="4"/>
      <c r="AI494" s="4"/>
      <c r="AJ494" s="4"/>
      <c r="AK494" s="131" t="str">
        <f ca="1">IFERROR(__xludf.DUMMYFUNCTION("""COMPUTED_VALUE"""),"COLWSNORMA-343")</f>
        <v>COLWSNORMA-343</v>
      </c>
      <c r="AL494" s="4" t="str">
        <f ca="1">IFERROR(__xludf.DUMMYFUNCTION("""COMPUTED_VALUE"""),"Deployed")</f>
        <v>Deployed</v>
      </c>
      <c r="AM494" s="4"/>
      <c r="AN494" s="4" t="str">
        <f ca="1">IFERROR(__xludf.DUMMYFUNCTION("""COMPUTED_VALUE"""),"Entregable en desarrollo")</f>
        <v>Entregable en desarrollo</v>
      </c>
      <c r="AO494" s="4"/>
      <c r="AP494" s="4"/>
      <c r="AQ494" s="4"/>
      <c r="AR494" s="4" t="str">
        <f ca="1">IFERROR(__xludf.DUMMYFUNCTION("""COMPUTED_VALUE"""),"SDA aprobada en PPP Q1 2023")</f>
        <v>SDA aprobada en PPP Q1 2023</v>
      </c>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row>
    <row r="495" spans="1:132" x14ac:dyDescent="0.2">
      <c r="A495" s="4">
        <f ca="1">IFERROR(__xludf.DUMMYFUNCTION("""COMPUTED_VALUE"""),495)</f>
        <v>495</v>
      </c>
      <c r="B495" s="4">
        <f ca="1">IFERROR(__xludf.DUMMYFUNCTION("""COMPUTED_VALUE"""),466)</f>
        <v>466</v>
      </c>
      <c r="C495" s="4" t="str">
        <f ca="1">IFERROR(__xludf.DUMMYFUNCTION("""COMPUTED_VALUE"""),"SDATOOL-40274")</f>
        <v>SDATOOL-40274</v>
      </c>
      <c r="D495" s="4" t="str">
        <f ca="1">IFERROR(__xludf.DUMMYFUNCTION("""COMPUTED_VALUE"""),"CIRCULAR 033 de 2021-SFC")</f>
        <v>CIRCULAR 033 de 2021-SFC</v>
      </c>
      <c r="E495"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5" s="4" t="str">
        <f ca="1">IFERROR(__xludf.DUMMYFUNCTION("""COMPUTED_VALUE"""),"Project")</f>
        <v>Project</v>
      </c>
      <c r="G495" s="4" t="str">
        <f ca="1">IFERROR(__xludf.DUMMYFUNCTION("""COMPUTED_VALUE"""),"Stock")</f>
        <v>Stock</v>
      </c>
      <c r="H495" s="4" t="str">
        <f ca="1">IFERROR(__xludf.DUMMYFUNCTION("""COMPUTED_VALUE"""),"3Q 2023")</f>
        <v>3Q 2023</v>
      </c>
      <c r="I495" s="131" t="str">
        <f ca="1">IFERROR(__xludf.DUMMYFUNCTION("""COMPUTED_VALUE"""),"alirio.bermudez-bbva.com")</f>
        <v>alirio.bermudez-bbva.com</v>
      </c>
      <c r="J495" s="131" t="str">
        <f ca="1">IFERROR(__xludf.DUMMYFUNCTION("""COMPUTED_VALUE"""),"marthapatric.cruz-bbva.com")</f>
        <v>marthapatric.cruz-bbva.com</v>
      </c>
      <c r="K495" s="131" t="str">
        <f ca="1">IFERROR(__xludf.DUMMYFUNCTION("""COMPUTED_VALUE"""),"yurimilena.moreno-bbva.com")</f>
        <v>yurimilena.moreno-bbva.com</v>
      </c>
      <c r="L495" s="4"/>
      <c r="M495" s="4"/>
      <c r="N495" s="4"/>
      <c r="O495" s="4" t="str">
        <f ca="1">IFERROR(__xludf.DUMMYFUNCTION("""COMPUTED_VALUE"""),"Waterfall")</f>
        <v>Waterfall</v>
      </c>
      <c r="P495" s="4" t="str">
        <f ca="1">IFERROR(__xludf.DUMMYFUNCTION("""COMPUTED_VALUE"""),"Tradicional")</f>
        <v>Tradicional</v>
      </c>
      <c r="Q495" s="4"/>
      <c r="R495" s="130" t="str">
        <f ca="1">IFERROR(__xludf.DUMMYFUNCTION("""COMPUTED_VALUE"""),"Business Innovation &amp; Strategy")</f>
        <v>Business Innovation &amp; Strategy</v>
      </c>
      <c r="S495" s="130" t="str">
        <f ca="1">IFERROR(__xludf.DUMMYFUNCTION("""COMPUTED_VALUE""")," Otros")</f>
        <v xml:space="preserve"> Otros</v>
      </c>
      <c r="T495" s="130" t="str">
        <f ca="1">IFERROR(__xludf.DUMMYFUNCTION("""COMPUTED_VALUE"""),"Normativo")</f>
        <v>Normativo</v>
      </c>
      <c r="U495" s="130" t="str">
        <f ca="1">IFERROR(__xludf.DUMMYFUNCTION("""COMPUTED_VALUE"""),"No Aplica")</f>
        <v>No Aplica</v>
      </c>
      <c r="V495" s="4" t="str">
        <f ca="1">IFERROR(__xludf.DUMMYFUNCTION("""COMPUTED_VALUE"""),"Otros")</f>
        <v>Otros</v>
      </c>
      <c r="W495" s="4">
        <f ca="1">IFERROR(__xludf.DUMMYFUNCTION("""COMPUTED_VALUE"""),3)</f>
        <v>3</v>
      </c>
      <c r="X495" s="4" t="str">
        <f ca="1">IFERROR(__xludf.DUMMYFUNCTION("""COMPUTED_VALUE"""),"10. Otros")</f>
        <v>10. Otros</v>
      </c>
      <c r="Y495" s="4" t="str">
        <f ca="1">IFERROR(__xludf.DUMMYFUNCTION("""COMPUTED_VALUE""")," Otros")</f>
        <v xml:space="preserve"> Otros</v>
      </c>
      <c r="Z495" s="132" t="str">
        <f ca="1">IFERROR(__xludf.DUMMYFUNCTION("""COMPUTED_VALUE"""),"710549")</f>
        <v>710549</v>
      </c>
      <c r="AA495" s="4" t="str">
        <f ca="1">IFERROR(__xludf.DUMMYFUNCTION("""COMPUTED_VALUE"""),"Formato 412 - Parte Controller view")</f>
        <v>Formato 412 - Parte Controller view</v>
      </c>
      <c r="AB495" s="4" t="str">
        <f ca="1">IFERROR(__xludf.DUMMYFUNCTION("""COMPUTED_VALUE"""),"Generar el formato de trasmisión con destino a la SFC del nuevo formato regulatorio 412.")</f>
        <v>Generar el formato de trasmisión con destino a la SFC del nuevo formato regulatorio 412.</v>
      </c>
      <c r="AC495" s="4" t="str">
        <f ca="1">IFERROR(__xludf.DUMMYFUNCTION("""COMPUTED_VALUE"""),"2Q 2023")</f>
        <v>2Q 2023</v>
      </c>
      <c r="AD495" s="4"/>
      <c r="AE495" s="4"/>
      <c r="AF495" s="4"/>
      <c r="AG495" s="4"/>
      <c r="AH495" s="4"/>
      <c r="AI495" s="4"/>
      <c r="AJ495" s="4"/>
      <c r="AK495" s="131" t="str">
        <f ca="1">IFERROR(__xludf.DUMMYFUNCTION("""COMPUTED_VALUE"""),"COLWSNORMA-678")</f>
        <v>COLWSNORMA-678</v>
      </c>
      <c r="AL495" s="4" t="str">
        <f ca="1">IFERROR(__xludf.DUMMYFUNCTION("""COMPUTED_VALUE"""),"New")</f>
        <v>New</v>
      </c>
      <c r="AM495" s="4"/>
      <c r="AN495" s="4" t="str">
        <f ca="1">IFERROR(__xludf.DUMMYFUNCTION("""COMPUTED_VALUE"""),"Entregable en Conceptualización")</f>
        <v>Entregable en Conceptualización</v>
      </c>
      <c r="AO495" s="4"/>
      <c r="AP495" s="4"/>
      <c r="AQ495" s="4"/>
      <c r="AR495" s="4" t="str">
        <f ca="1">IFERROR(__xludf.DUMMYFUNCTION("""COMPUTED_VALUE"""),"SDA aprobada en PPP Q1 2023")</f>
        <v>SDA aprobada en PPP Q1 2023</v>
      </c>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row>
    <row r="496" spans="1:132" x14ac:dyDescent="0.2">
      <c r="A496" s="4">
        <f ca="1">IFERROR(__xludf.DUMMYFUNCTION("""COMPUTED_VALUE"""),496)</f>
        <v>496</v>
      </c>
      <c r="B496" s="4">
        <f ca="1">IFERROR(__xludf.DUMMYFUNCTION("""COMPUTED_VALUE"""),467)</f>
        <v>467</v>
      </c>
      <c r="C496" s="4" t="str">
        <f ca="1">IFERROR(__xludf.DUMMYFUNCTION("""COMPUTED_VALUE"""),"SDATOOL-40274")</f>
        <v>SDATOOL-40274</v>
      </c>
      <c r="D496" s="4" t="str">
        <f ca="1">IFERROR(__xludf.DUMMYFUNCTION("""COMPUTED_VALUE"""),"CIRCULAR 033 de 2021-SFC")</f>
        <v>CIRCULAR 033 de 2021-SFC</v>
      </c>
      <c r="E496"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6" s="4" t="str">
        <f ca="1">IFERROR(__xludf.DUMMYFUNCTION("""COMPUTED_VALUE"""),"Project")</f>
        <v>Project</v>
      </c>
      <c r="G496" s="4" t="str">
        <f ca="1">IFERROR(__xludf.DUMMYFUNCTION("""COMPUTED_VALUE"""),"Stock")</f>
        <v>Stock</v>
      </c>
      <c r="H496" s="4" t="str">
        <f ca="1">IFERROR(__xludf.DUMMYFUNCTION("""COMPUTED_VALUE"""),"3Q 2023")</f>
        <v>3Q 2023</v>
      </c>
      <c r="I496" s="131" t="str">
        <f ca="1">IFERROR(__xludf.DUMMYFUNCTION("""COMPUTED_VALUE"""),"alirio.bermudez-bbva.com")</f>
        <v>alirio.bermudez-bbva.com</v>
      </c>
      <c r="J496" s="131" t="str">
        <f ca="1">IFERROR(__xludf.DUMMYFUNCTION("""COMPUTED_VALUE"""),"marthapatric.cruz-bbva.com")</f>
        <v>marthapatric.cruz-bbva.com</v>
      </c>
      <c r="K496" s="131" t="str">
        <f ca="1">IFERROR(__xludf.DUMMYFUNCTION("""COMPUTED_VALUE"""),"yurimilena.moreno-bbva.com")</f>
        <v>yurimilena.moreno-bbva.com</v>
      </c>
      <c r="L496" s="4"/>
      <c r="M496" s="4"/>
      <c r="N496" s="4"/>
      <c r="O496" s="4" t="str">
        <f ca="1">IFERROR(__xludf.DUMMYFUNCTION("""COMPUTED_VALUE"""),"Waterfall")</f>
        <v>Waterfall</v>
      </c>
      <c r="P496" s="4" t="str">
        <f ca="1">IFERROR(__xludf.DUMMYFUNCTION("""COMPUTED_VALUE"""),"Tradicional")</f>
        <v>Tradicional</v>
      </c>
      <c r="Q496" s="4"/>
      <c r="R496" s="130" t="str">
        <f ca="1">IFERROR(__xludf.DUMMYFUNCTION("""COMPUTED_VALUE"""),"Business Innovation &amp; Strategy")</f>
        <v>Business Innovation &amp; Strategy</v>
      </c>
      <c r="S496" s="130" t="str">
        <f ca="1">IFERROR(__xludf.DUMMYFUNCTION("""COMPUTED_VALUE""")," Otros")</f>
        <v xml:space="preserve"> Otros</v>
      </c>
      <c r="T496" s="130" t="str">
        <f ca="1">IFERROR(__xludf.DUMMYFUNCTION("""COMPUTED_VALUE"""),"Normativo")</f>
        <v>Normativo</v>
      </c>
      <c r="U496" s="130" t="str">
        <f ca="1">IFERROR(__xludf.DUMMYFUNCTION("""COMPUTED_VALUE"""),"No Aplica")</f>
        <v>No Aplica</v>
      </c>
      <c r="V496" s="4" t="str">
        <f ca="1">IFERROR(__xludf.DUMMYFUNCTION("""COMPUTED_VALUE"""),"Otros")</f>
        <v>Otros</v>
      </c>
      <c r="W496" s="4">
        <f ca="1">IFERROR(__xludf.DUMMYFUNCTION("""COMPUTED_VALUE"""),3)</f>
        <v>3</v>
      </c>
      <c r="X496" s="4" t="str">
        <f ca="1">IFERROR(__xludf.DUMMYFUNCTION("""COMPUTED_VALUE"""),"10. Otros")</f>
        <v>10. Otros</v>
      </c>
      <c r="Y496" s="4" t="str">
        <f ca="1">IFERROR(__xludf.DUMMYFUNCTION("""COMPUTED_VALUE""")," Otros")</f>
        <v xml:space="preserve"> Otros</v>
      </c>
      <c r="Z496" s="132" t="str">
        <f ca="1">IFERROR(__xludf.DUMMYFUNCTION("""COMPUTED_VALUE"""),"712415")</f>
        <v>712415</v>
      </c>
      <c r="AA496" s="4" t="str">
        <f ca="1">IFERROR(__xludf.DUMMYFUNCTION("""COMPUTED_VALUE"""),"Formato 413 - Parte host( corresponsales web service)")</f>
        <v>Formato 413 - Parte host( corresponsales web service)</v>
      </c>
      <c r="AB496" s="4" t="str">
        <f ca="1">IFERROR(__xludf.DUMMYFUNCTION("""COMPUTED_VALUE"""),"Objetivo
Generar los reportes con destino a la Superintendencia Financiera de Colombia del formato de transmisión  413, solicitados a través de la circular 033 de 2021. En este reportes se presentan  las transacciones realizadas por cada canal  y tipo de"&amp;" cliente de las entidades financieras.
Formato 413 “Operaciones a través de los canales de distribución o servicios transaccionales dispuestos por las entidades vigiladas”.")</f>
        <v>Objetivo
Generar los reportes con destino a la Superintendencia Financiera de Colombia del formato de transmisión  413, solicitados a través de la circular 033 de 2021. En este reportes se presentan  las transacciones realizadas por cada canal  y tipo de cliente de las entidades financieras.
Formato 413 “Operaciones a través de los canales de distribución o servicios transaccionales dispuestos por las entidades vigiladas”.</v>
      </c>
      <c r="AC496" s="4" t="str">
        <f ca="1">IFERROR(__xludf.DUMMYFUNCTION("""COMPUTED_VALUE"""),"3Q 2023")</f>
        <v>3Q 2023</v>
      </c>
      <c r="AD496" s="4"/>
      <c r="AE496" s="4"/>
      <c r="AF496" s="4"/>
      <c r="AG496" s="4"/>
      <c r="AH496" s="4"/>
      <c r="AI496" s="4"/>
      <c r="AJ496" s="4"/>
      <c r="AK496" s="131" t="str">
        <f ca="1">IFERROR(__xludf.DUMMYFUNCTION("""COMPUTED_VALUE"""),"COLWSNORMA-859")</f>
        <v>COLWSNORMA-859</v>
      </c>
      <c r="AL496" s="4" t="str">
        <f ca="1">IFERROR(__xludf.DUMMYFUNCTION("""COMPUTED_VALUE"""),"Test")</f>
        <v>Test</v>
      </c>
      <c r="AM496" s="4"/>
      <c r="AN496" s="4" t="str">
        <f ca="1">IFERROR(__xludf.DUMMYFUNCTION("""COMPUTED_VALUE"""),"Entregable en Conceptualización")</f>
        <v>Entregable en Conceptualización</v>
      </c>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row>
    <row r="497" spans="1:132" x14ac:dyDescent="0.2">
      <c r="A497" s="4">
        <f ca="1">IFERROR(__xludf.DUMMYFUNCTION("""COMPUTED_VALUE"""),497)</f>
        <v>497</v>
      </c>
      <c r="B497" s="4">
        <f ca="1">IFERROR(__xludf.DUMMYFUNCTION("""COMPUTED_VALUE"""),468)</f>
        <v>468</v>
      </c>
      <c r="C497" s="4" t="str">
        <f ca="1">IFERROR(__xludf.DUMMYFUNCTION("""COMPUTED_VALUE"""),"SDATOOL-40274")</f>
        <v>SDATOOL-40274</v>
      </c>
      <c r="D497" s="4" t="str">
        <f ca="1">IFERROR(__xludf.DUMMYFUNCTION("""COMPUTED_VALUE"""),"CIRCULAR 033 de 2021-SFC")</f>
        <v>CIRCULAR 033 de 2021-SFC</v>
      </c>
      <c r="E497"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7" s="4" t="str">
        <f ca="1">IFERROR(__xludf.DUMMYFUNCTION("""COMPUTED_VALUE"""),"Project")</f>
        <v>Project</v>
      </c>
      <c r="G497" s="4" t="str">
        <f ca="1">IFERROR(__xludf.DUMMYFUNCTION("""COMPUTED_VALUE"""),"Stock")</f>
        <v>Stock</v>
      </c>
      <c r="H497" s="4" t="str">
        <f ca="1">IFERROR(__xludf.DUMMYFUNCTION("""COMPUTED_VALUE"""),"3Q 2023")</f>
        <v>3Q 2023</v>
      </c>
      <c r="I497" s="131" t="str">
        <f ca="1">IFERROR(__xludf.DUMMYFUNCTION("""COMPUTED_VALUE"""),"alirio.bermudez-bbva.com")</f>
        <v>alirio.bermudez-bbva.com</v>
      </c>
      <c r="J497" s="131" t="str">
        <f ca="1">IFERROR(__xludf.DUMMYFUNCTION("""COMPUTED_VALUE"""),"marthapatric.cruz-bbva.com")</f>
        <v>marthapatric.cruz-bbva.com</v>
      </c>
      <c r="K497" s="131" t="str">
        <f ca="1">IFERROR(__xludf.DUMMYFUNCTION("""COMPUTED_VALUE"""),"yurimilena.moreno-bbva.com")</f>
        <v>yurimilena.moreno-bbva.com</v>
      </c>
      <c r="L497" s="4"/>
      <c r="M497" s="4"/>
      <c r="N497" s="4"/>
      <c r="O497" s="4" t="str">
        <f ca="1">IFERROR(__xludf.DUMMYFUNCTION("""COMPUTED_VALUE"""),"Waterfall")</f>
        <v>Waterfall</v>
      </c>
      <c r="P497" s="4" t="str">
        <f ca="1">IFERROR(__xludf.DUMMYFUNCTION("""COMPUTED_VALUE"""),"Tradicional")</f>
        <v>Tradicional</v>
      </c>
      <c r="Q497" s="4"/>
      <c r="R497" s="130" t="str">
        <f ca="1">IFERROR(__xludf.DUMMYFUNCTION("""COMPUTED_VALUE"""),"Business Innovation &amp; Strategy")</f>
        <v>Business Innovation &amp; Strategy</v>
      </c>
      <c r="S497" s="130" t="str">
        <f ca="1">IFERROR(__xludf.DUMMYFUNCTION("""COMPUTED_VALUE""")," Otros")</f>
        <v xml:space="preserve"> Otros</v>
      </c>
      <c r="T497" s="130" t="str">
        <f ca="1">IFERROR(__xludf.DUMMYFUNCTION("""COMPUTED_VALUE"""),"Normativo")</f>
        <v>Normativo</v>
      </c>
      <c r="U497" s="130" t="str">
        <f ca="1">IFERROR(__xludf.DUMMYFUNCTION("""COMPUTED_VALUE"""),"No Aplica")</f>
        <v>No Aplica</v>
      </c>
      <c r="V497" s="4" t="str">
        <f ca="1">IFERROR(__xludf.DUMMYFUNCTION("""COMPUTED_VALUE"""),"Otros")</f>
        <v>Otros</v>
      </c>
      <c r="W497" s="4">
        <f ca="1">IFERROR(__xludf.DUMMYFUNCTION("""COMPUTED_VALUE"""),3)</f>
        <v>3</v>
      </c>
      <c r="X497" s="4" t="str">
        <f ca="1">IFERROR(__xludf.DUMMYFUNCTION("""COMPUTED_VALUE"""),"10. Otros")</f>
        <v>10. Otros</v>
      </c>
      <c r="Y497" s="4" t="str">
        <f ca="1">IFERROR(__xludf.DUMMYFUNCTION("""COMPUTED_VALUE""")," Otros")</f>
        <v xml:space="preserve"> Otros</v>
      </c>
      <c r="Z497" s="132" t="str">
        <f ca="1">IFERROR(__xludf.DUMMYFUNCTION("""COMPUTED_VALUE"""),"712657")</f>
        <v>712657</v>
      </c>
      <c r="AA497" s="4" t="str">
        <f ca="1">IFERROR(__xludf.DUMMYFUNCTION("""COMPUTED_VALUE"""),"Formato 413- Parte Controller View")</f>
        <v>Formato 413- Parte Controller View</v>
      </c>
      <c r="AB497" s="4" t="str">
        <f ca="1">IFERROR(__xludf.DUMMYFUNCTION("""COMPUTED_VALUE"""),"Se requiere generar el formato 413 a traves de controller view,para cumplir con las disposiciones de la Superintendencia financiera de colombia")</f>
        <v>Se requiere generar el formato 413 a traves de controller view,para cumplir con las disposiciones de la Superintendencia financiera de colombia</v>
      </c>
      <c r="AC497" s="4" t="str">
        <f ca="1">IFERROR(__xludf.DUMMYFUNCTION("""COMPUTED_VALUE"""),"3Q 2023")</f>
        <v>3Q 2023</v>
      </c>
      <c r="AD497" s="4"/>
      <c r="AE497" s="4"/>
      <c r="AF497" s="4"/>
      <c r="AG497" s="4"/>
      <c r="AH497" s="4"/>
      <c r="AI497" s="4"/>
      <c r="AJ497" s="4"/>
      <c r="AK497" s="131" t="str">
        <f ca="1">IFERROR(__xludf.DUMMYFUNCTION("""COMPUTED_VALUE"""),"COLWSNORMA-912")</f>
        <v>COLWSNORMA-912</v>
      </c>
      <c r="AL497" s="4" t="str">
        <f ca="1">IFERROR(__xludf.DUMMYFUNCTION("""COMPUTED_VALUE"""),"New")</f>
        <v>New</v>
      </c>
      <c r="AM497" s="4"/>
      <c r="AN497" s="4" t="str">
        <f ca="1">IFERROR(__xludf.DUMMYFUNCTION("""COMPUTED_VALUE"""),"Entregable en Conceptualización")</f>
        <v>Entregable en Conceptualización</v>
      </c>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row>
    <row r="498" spans="1:132" x14ac:dyDescent="0.2">
      <c r="A498" s="4">
        <f ca="1">IFERROR(__xludf.DUMMYFUNCTION("""COMPUTED_VALUE"""),498)</f>
        <v>498</v>
      </c>
      <c r="B498" s="4">
        <f ca="1">IFERROR(__xludf.DUMMYFUNCTION("""COMPUTED_VALUE"""),469)</f>
        <v>469</v>
      </c>
      <c r="C498" s="4" t="str">
        <f ca="1">IFERROR(__xludf.DUMMYFUNCTION("""COMPUTED_VALUE"""),"SDATOOL-40274")</f>
        <v>SDATOOL-40274</v>
      </c>
      <c r="D498" s="4" t="str">
        <f ca="1">IFERROR(__xludf.DUMMYFUNCTION("""COMPUTED_VALUE"""),"CIRCULAR 033 de 2021-SFC")</f>
        <v>CIRCULAR 033 de 2021-SFC</v>
      </c>
      <c r="E498"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8" s="4" t="str">
        <f ca="1">IFERROR(__xludf.DUMMYFUNCTION("""COMPUTED_VALUE"""),"Project")</f>
        <v>Project</v>
      </c>
      <c r="G498" s="4" t="str">
        <f ca="1">IFERROR(__xludf.DUMMYFUNCTION("""COMPUTED_VALUE"""),"Stock")</f>
        <v>Stock</v>
      </c>
      <c r="H498" s="4" t="str">
        <f ca="1">IFERROR(__xludf.DUMMYFUNCTION("""COMPUTED_VALUE"""),"3Q 2023")</f>
        <v>3Q 2023</v>
      </c>
      <c r="I498" s="131" t="str">
        <f ca="1">IFERROR(__xludf.DUMMYFUNCTION("""COMPUTED_VALUE"""),"alirio.bermudez-bbva.com")</f>
        <v>alirio.bermudez-bbva.com</v>
      </c>
      <c r="J498" s="131" t="str">
        <f ca="1">IFERROR(__xludf.DUMMYFUNCTION("""COMPUTED_VALUE"""),"marthapatric.cruz-bbva.com")</f>
        <v>marthapatric.cruz-bbva.com</v>
      </c>
      <c r="K498" s="131" t="str">
        <f ca="1">IFERROR(__xludf.DUMMYFUNCTION("""COMPUTED_VALUE"""),"yurimilena.moreno-bbva.com")</f>
        <v>yurimilena.moreno-bbva.com</v>
      </c>
      <c r="L498" s="4"/>
      <c r="M498" s="4"/>
      <c r="N498" s="4"/>
      <c r="O498" s="4" t="str">
        <f ca="1">IFERROR(__xludf.DUMMYFUNCTION("""COMPUTED_VALUE"""),"Waterfall")</f>
        <v>Waterfall</v>
      </c>
      <c r="P498" s="4" t="str">
        <f ca="1">IFERROR(__xludf.DUMMYFUNCTION("""COMPUTED_VALUE"""),"Tradicional")</f>
        <v>Tradicional</v>
      </c>
      <c r="Q498" s="4"/>
      <c r="R498" s="130" t="str">
        <f ca="1">IFERROR(__xludf.DUMMYFUNCTION("""COMPUTED_VALUE"""),"Business Innovation &amp; Strategy")</f>
        <v>Business Innovation &amp; Strategy</v>
      </c>
      <c r="S498" s="130" t="str">
        <f ca="1">IFERROR(__xludf.DUMMYFUNCTION("""COMPUTED_VALUE""")," Otros")</f>
        <v xml:space="preserve"> Otros</v>
      </c>
      <c r="T498" s="130" t="str">
        <f ca="1">IFERROR(__xludf.DUMMYFUNCTION("""COMPUTED_VALUE"""),"Normativo")</f>
        <v>Normativo</v>
      </c>
      <c r="U498" s="130" t="str">
        <f ca="1">IFERROR(__xludf.DUMMYFUNCTION("""COMPUTED_VALUE"""),"No Aplica")</f>
        <v>No Aplica</v>
      </c>
      <c r="V498" s="4" t="str">
        <f ca="1">IFERROR(__xludf.DUMMYFUNCTION("""COMPUTED_VALUE"""),"Otros")</f>
        <v>Otros</v>
      </c>
      <c r="W498" s="4">
        <f ca="1">IFERROR(__xludf.DUMMYFUNCTION("""COMPUTED_VALUE"""),3)</f>
        <v>3</v>
      </c>
      <c r="X498" s="4" t="str">
        <f ca="1">IFERROR(__xludf.DUMMYFUNCTION("""COMPUTED_VALUE"""),"10. Otros")</f>
        <v>10. Otros</v>
      </c>
      <c r="Y498" s="4" t="str">
        <f ca="1">IFERROR(__xludf.DUMMYFUNCTION("""COMPUTED_VALUE""")," Otros")</f>
        <v xml:space="preserve"> Otros</v>
      </c>
      <c r="Z498" s="132" t="str">
        <f ca="1">IFERROR(__xludf.DUMMYFUNCTION("""COMPUTED_VALUE"""),"713163")</f>
        <v>713163</v>
      </c>
      <c r="AA498" s="4" t="str">
        <f ca="1">IFERROR(__xludf.DUMMYFUNCTION("""COMPUTED_VALUE"""),"Circular 033 de 2021 - Parte host ( Atms Propios y Oficinas)")</f>
        <v>Circular 033 de 2021 - Parte host ( Atms Propios y Oficinas)</v>
      </c>
      <c r="AB498" s="4" t="str">
        <f ca="1">IFERROR(__xludf.DUMMYFUNCTION("""COMPUTED_VALUE"""),"Se requiere generar el formato 413 a traves de  host, para cumplir con las disposiciones de la Superintendencia financiera de colombia")</f>
        <v>Se requiere generar el formato 413 a traves de  host, para cumplir con las disposiciones de la Superintendencia financiera de colombia</v>
      </c>
      <c r="AC498" s="4" t="str">
        <f ca="1">IFERROR(__xludf.DUMMYFUNCTION("""COMPUTED_VALUE"""),"3Q 2023")</f>
        <v>3Q 2023</v>
      </c>
      <c r="AD498" s="4"/>
      <c r="AE498" s="4"/>
      <c r="AF498" s="4"/>
      <c r="AG498" s="4"/>
      <c r="AH498" s="4"/>
      <c r="AI498" s="4"/>
      <c r="AJ498" s="4"/>
      <c r="AK498" s="131" t="str">
        <f ca="1">IFERROR(__xludf.DUMMYFUNCTION("""COMPUTED_VALUE"""),"COLWSNORMA-1008")</f>
        <v>COLWSNORMA-1008</v>
      </c>
      <c r="AL498" s="4" t="str">
        <f ca="1">IFERROR(__xludf.DUMMYFUNCTION("""COMPUTED_VALUE"""),"En progreso")</f>
        <v>En progreso</v>
      </c>
      <c r="AM498" s="4"/>
      <c r="AN498" s="4" t="str">
        <f ca="1">IFERROR(__xludf.DUMMYFUNCTION("""COMPUTED_VALUE"""),"Entregable en backlog")</f>
        <v>Entregable en backlog</v>
      </c>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row>
    <row r="499" spans="1:132" x14ac:dyDescent="0.2">
      <c r="A499" s="4">
        <f ca="1">IFERROR(__xludf.DUMMYFUNCTION("""COMPUTED_VALUE"""),499)</f>
        <v>499</v>
      </c>
      <c r="B499" s="4">
        <f ca="1">IFERROR(__xludf.DUMMYFUNCTION("""COMPUTED_VALUE"""),470)</f>
        <v>470</v>
      </c>
      <c r="C499" s="4" t="str">
        <f ca="1">IFERROR(__xludf.DUMMYFUNCTION("""COMPUTED_VALUE"""),"SDATOOL-40274")</f>
        <v>SDATOOL-40274</v>
      </c>
      <c r="D499" s="4" t="str">
        <f ca="1">IFERROR(__xludf.DUMMYFUNCTION("""COMPUTED_VALUE"""),"CIRCULAR 033 de 2021-SFC")</f>
        <v>CIRCULAR 033 de 2021-SFC</v>
      </c>
      <c r="E499"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9" s="4" t="str">
        <f ca="1">IFERROR(__xludf.DUMMYFUNCTION("""COMPUTED_VALUE"""),"Project")</f>
        <v>Project</v>
      </c>
      <c r="G499" s="4" t="str">
        <f ca="1">IFERROR(__xludf.DUMMYFUNCTION("""COMPUTED_VALUE"""),"Stock")</f>
        <v>Stock</v>
      </c>
      <c r="H499" s="4" t="str">
        <f ca="1">IFERROR(__xludf.DUMMYFUNCTION("""COMPUTED_VALUE"""),"3Q 2023")</f>
        <v>3Q 2023</v>
      </c>
      <c r="I499" s="131" t="str">
        <f ca="1">IFERROR(__xludf.DUMMYFUNCTION("""COMPUTED_VALUE"""),"alirio.bermudez-bbva.com")</f>
        <v>alirio.bermudez-bbva.com</v>
      </c>
      <c r="J499" s="131" t="str">
        <f ca="1">IFERROR(__xludf.DUMMYFUNCTION("""COMPUTED_VALUE"""),"marthapatric.cruz-bbva.com")</f>
        <v>marthapatric.cruz-bbva.com</v>
      </c>
      <c r="K499" s="131" t="str">
        <f ca="1">IFERROR(__xludf.DUMMYFUNCTION("""COMPUTED_VALUE"""),"yurimilena.moreno-bbva.com")</f>
        <v>yurimilena.moreno-bbva.com</v>
      </c>
      <c r="L499" s="4"/>
      <c r="M499" s="4"/>
      <c r="N499" s="4"/>
      <c r="O499" s="4" t="str">
        <f ca="1">IFERROR(__xludf.DUMMYFUNCTION("""COMPUTED_VALUE"""),"Waterfall")</f>
        <v>Waterfall</v>
      </c>
      <c r="P499" s="4" t="str">
        <f ca="1">IFERROR(__xludf.DUMMYFUNCTION("""COMPUTED_VALUE"""),"Tradicional")</f>
        <v>Tradicional</v>
      </c>
      <c r="Q499" s="4"/>
      <c r="R499" s="130" t="str">
        <f ca="1">IFERROR(__xludf.DUMMYFUNCTION("""COMPUTED_VALUE"""),"Business Innovation &amp; Strategy")</f>
        <v>Business Innovation &amp; Strategy</v>
      </c>
      <c r="S499" s="130" t="str">
        <f ca="1">IFERROR(__xludf.DUMMYFUNCTION("""COMPUTED_VALUE""")," Otros")</f>
        <v xml:space="preserve"> Otros</v>
      </c>
      <c r="T499" s="130" t="str">
        <f ca="1">IFERROR(__xludf.DUMMYFUNCTION("""COMPUTED_VALUE"""),"Normativo")</f>
        <v>Normativo</v>
      </c>
      <c r="U499" s="130" t="str">
        <f ca="1">IFERROR(__xludf.DUMMYFUNCTION("""COMPUTED_VALUE"""),"No Aplica")</f>
        <v>No Aplica</v>
      </c>
      <c r="V499" s="4" t="str">
        <f ca="1">IFERROR(__xludf.DUMMYFUNCTION("""COMPUTED_VALUE"""),"Otros")</f>
        <v>Otros</v>
      </c>
      <c r="W499" s="4">
        <f ca="1">IFERROR(__xludf.DUMMYFUNCTION("""COMPUTED_VALUE"""),3)</f>
        <v>3</v>
      </c>
      <c r="X499" s="4" t="str">
        <f ca="1">IFERROR(__xludf.DUMMYFUNCTION("""COMPUTED_VALUE"""),"10. Otros")</f>
        <v>10. Otros</v>
      </c>
      <c r="Y499" s="4" t="str">
        <f ca="1">IFERROR(__xludf.DUMMYFUNCTION("""COMPUTED_VALUE""")," Otros")</f>
        <v xml:space="preserve"> Otros</v>
      </c>
      <c r="Z499" s="132" t="str">
        <f ca="1">IFERROR(__xludf.DUMMYFUNCTION("""COMPUTED_VALUE"""),"713188")</f>
        <v>713188</v>
      </c>
      <c r="AA499" s="4" t="str">
        <f ca="1">IFERROR(__xludf.DUMMYFUNCTION("""COMPUTED_VALUE"""),"Circular 033 de 2021 - Parte host (Corresponsales Redeban y Credibanco)")</f>
        <v>Circular 033 de 2021 - Parte host (Corresponsales Redeban y Credibanco)</v>
      </c>
      <c r="AB499" s="4" t="str">
        <f ca="1">IFERROR(__xludf.DUMMYFUNCTION("""COMPUTED_VALUE"""),"Generar a través de host, los desarrollos para la generación del reporte 413 con destino a la SFC.")</f>
        <v>Generar a través de host, los desarrollos para la generación del reporte 413 con destino a la SFC.</v>
      </c>
      <c r="AC499" s="4" t="str">
        <f ca="1">IFERROR(__xludf.DUMMYFUNCTION("""COMPUTED_VALUE"""),"2Q 2023")</f>
        <v>2Q 2023</v>
      </c>
      <c r="AD499" s="4"/>
      <c r="AE499" s="4"/>
      <c r="AF499" s="4"/>
      <c r="AG499" s="4"/>
      <c r="AH499" s="4"/>
      <c r="AI499" s="4"/>
      <c r="AJ499" s="4"/>
      <c r="AK499" s="131" t="str">
        <f ca="1">IFERROR(__xludf.DUMMYFUNCTION("""COMPUTED_VALUE"""),"COLWSNORMA-1014")</f>
        <v>COLWSNORMA-1014</v>
      </c>
      <c r="AL499" s="4" t="str">
        <f ca="1">IFERROR(__xludf.DUMMYFUNCTION("""COMPUTED_VALUE"""),"En progreso")</f>
        <v>En progreso</v>
      </c>
      <c r="AM499" s="4"/>
      <c r="AN499" s="4" t="str">
        <f ca="1">IFERROR(__xludf.DUMMYFUNCTION("""COMPUTED_VALUE"""),"Entregable en backlog")</f>
        <v>Entregable en backlog</v>
      </c>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row>
    <row r="500" spans="1:132" x14ac:dyDescent="0.2">
      <c r="A500" s="4">
        <f ca="1">IFERROR(__xludf.DUMMYFUNCTION("""COMPUTED_VALUE"""),500)</f>
        <v>500</v>
      </c>
      <c r="B500" s="4">
        <f ca="1">IFERROR(__xludf.DUMMYFUNCTION("""COMPUTED_VALUE"""),471)</f>
        <v>471</v>
      </c>
      <c r="C500" s="4" t="str">
        <f ca="1">IFERROR(__xludf.DUMMYFUNCTION("""COMPUTED_VALUE"""),"SDATOOL-40274")</f>
        <v>SDATOOL-40274</v>
      </c>
      <c r="D500" s="4" t="str">
        <f ca="1">IFERROR(__xludf.DUMMYFUNCTION("""COMPUTED_VALUE"""),"CIRCULAR 033 de 2021-SFC")</f>
        <v>CIRCULAR 033 de 2021-SFC</v>
      </c>
      <c r="E500"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0" s="4" t="str">
        <f ca="1">IFERROR(__xludf.DUMMYFUNCTION("""COMPUTED_VALUE"""),"Project")</f>
        <v>Project</v>
      </c>
      <c r="G500" s="4" t="str">
        <f ca="1">IFERROR(__xludf.DUMMYFUNCTION("""COMPUTED_VALUE"""),"Stock")</f>
        <v>Stock</v>
      </c>
      <c r="H500" s="4" t="str">
        <f ca="1">IFERROR(__xludf.DUMMYFUNCTION("""COMPUTED_VALUE"""),"3Q 2023")</f>
        <v>3Q 2023</v>
      </c>
      <c r="I500" s="131" t="str">
        <f ca="1">IFERROR(__xludf.DUMMYFUNCTION("""COMPUTED_VALUE"""),"alirio.bermudez-bbva.com")</f>
        <v>alirio.bermudez-bbva.com</v>
      </c>
      <c r="J500" s="131" t="str">
        <f ca="1">IFERROR(__xludf.DUMMYFUNCTION("""COMPUTED_VALUE"""),"marthapatric.cruz-bbva.com")</f>
        <v>marthapatric.cruz-bbva.com</v>
      </c>
      <c r="K500" s="131" t="str">
        <f ca="1">IFERROR(__xludf.DUMMYFUNCTION("""COMPUTED_VALUE"""),"yurimilena.moreno-bbva.com")</f>
        <v>yurimilena.moreno-bbva.com</v>
      </c>
      <c r="L500" s="4"/>
      <c r="M500" s="4"/>
      <c r="N500" s="4"/>
      <c r="O500" s="4" t="str">
        <f ca="1">IFERROR(__xludf.DUMMYFUNCTION("""COMPUTED_VALUE"""),"Waterfall")</f>
        <v>Waterfall</v>
      </c>
      <c r="P500" s="4" t="str">
        <f ca="1">IFERROR(__xludf.DUMMYFUNCTION("""COMPUTED_VALUE"""),"Tradicional")</f>
        <v>Tradicional</v>
      </c>
      <c r="Q500" s="4"/>
      <c r="R500" s="130" t="str">
        <f ca="1">IFERROR(__xludf.DUMMYFUNCTION("""COMPUTED_VALUE"""),"Business Innovation &amp; Strategy")</f>
        <v>Business Innovation &amp; Strategy</v>
      </c>
      <c r="S500" s="130" t="str">
        <f ca="1">IFERROR(__xludf.DUMMYFUNCTION("""COMPUTED_VALUE""")," Otros")</f>
        <v xml:space="preserve"> Otros</v>
      </c>
      <c r="T500" s="130" t="str">
        <f ca="1">IFERROR(__xludf.DUMMYFUNCTION("""COMPUTED_VALUE"""),"Normativo")</f>
        <v>Normativo</v>
      </c>
      <c r="U500" s="130" t="str">
        <f ca="1">IFERROR(__xludf.DUMMYFUNCTION("""COMPUTED_VALUE"""),"No Aplica")</f>
        <v>No Aplica</v>
      </c>
      <c r="V500" s="4" t="str">
        <f ca="1">IFERROR(__xludf.DUMMYFUNCTION("""COMPUTED_VALUE"""),"Otros")</f>
        <v>Otros</v>
      </c>
      <c r="W500" s="4">
        <f ca="1">IFERROR(__xludf.DUMMYFUNCTION("""COMPUTED_VALUE"""),3)</f>
        <v>3</v>
      </c>
      <c r="X500" s="4" t="str">
        <f ca="1">IFERROR(__xludf.DUMMYFUNCTION("""COMPUTED_VALUE"""),"10. Otros")</f>
        <v>10. Otros</v>
      </c>
      <c r="Y500" s="4" t="str">
        <f ca="1">IFERROR(__xludf.DUMMYFUNCTION("""COMPUTED_VALUE""")," Otros")</f>
        <v xml:space="preserve"> Otros</v>
      </c>
      <c r="Z500" s="132" t="str">
        <f ca="1">IFERROR(__xludf.DUMMYFUNCTION("""COMPUTED_VALUE"""),"713193")</f>
        <v>713193</v>
      </c>
      <c r="AA500" s="4" t="str">
        <f ca="1">IFERROR(__xludf.DUMMYFUNCTION("""COMPUTED_VALUE"""),"Circular 033 de 2021 - Parte host (H2H, POS, ACH)")</f>
        <v>Circular 033 de 2021 - Parte host (H2H, POS, ACH)</v>
      </c>
      <c r="AB500" s="4" t="str">
        <f ca="1">IFERROR(__xludf.DUMMYFUNCTION("""COMPUTED_VALUE"""),"Se requiere extraer la información del host, para el reporte con destino a la SFC -Formato 413")</f>
        <v>Se requiere extraer la información del host, para el reporte con destino a la SFC -Formato 413</v>
      </c>
      <c r="AC500" s="4" t="str">
        <f ca="1">IFERROR(__xludf.DUMMYFUNCTION("""COMPUTED_VALUE"""),"3Q 2023")</f>
        <v>3Q 2023</v>
      </c>
      <c r="AD500" s="4"/>
      <c r="AE500" s="4"/>
      <c r="AF500" s="4"/>
      <c r="AG500" s="4"/>
      <c r="AH500" s="4"/>
      <c r="AI500" s="4"/>
      <c r="AJ500" s="4"/>
      <c r="AK500" s="131" t="str">
        <f ca="1">IFERROR(__xludf.DUMMYFUNCTION("""COMPUTED_VALUE"""),"COLWSNORMA-1038")</f>
        <v>COLWSNORMA-1038</v>
      </c>
      <c r="AL500" s="4" t="str">
        <f ca="1">IFERROR(__xludf.DUMMYFUNCTION("""COMPUTED_VALUE"""),"En progreso")</f>
        <v>En progreso</v>
      </c>
      <c r="AM500" s="4"/>
      <c r="AN500" s="4" t="str">
        <f ca="1">IFERROR(__xludf.DUMMYFUNCTION("""COMPUTED_VALUE"""),"Entregable en backlog")</f>
        <v>Entregable en backlog</v>
      </c>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row>
    <row r="501" spans="1:132" x14ac:dyDescent="0.2">
      <c r="A501" s="4">
        <f ca="1">IFERROR(__xludf.DUMMYFUNCTION("""COMPUTED_VALUE"""),501)</f>
        <v>501</v>
      </c>
      <c r="B501" s="4">
        <f ca="1">IFERROR(__xludf.DUMMYFUNCTION("""COMPUTED_VALUE"""),472)</f>
        <v>472</v>
      </c>
      <c r="C501" s="4" t="str">
        <f ca="1">IFERROR(__xludf.DUMMYFUNCTION("""COMPUTED_VALUE"""),"SDATOOL-40274")</f>
        <v>SDATOOL-40274</v>
      </c>
      <c r="D501" s="4" t="str">
        <f ca="1">IFERROR(__xludf.DUMMYFUNCTION("""COMPUTED_VALUE"""),"CIRCULAR 033 de 2021-SFC")</f>
        <v>CIRCULAR 033 de 2021-SFC</v>
      </c>
      <c r="E501"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1" s="4" t="str">
        <f ca="1">IFERROR(__xludf.DUMMYFUNCTION("""COMPUTED_VALUE"""),"Project")</f>
        <v>Project</v>
      </c>
      <c r="G501" s="4" t="str">
        <f ca="1">IFERROR(__xludf.DUMMYFUNCTION("""COMPUTED_VALUE"""),"Stock")</f>
        <v>Stock</v>
      </c>
      <c r="H501" s="4" t="str">
        <f ca="1">IFERROR(__xludf.DUMMYFUNCTION("""COMPUTED_VALUE"""),"3Q 2023")</f>
        <v>3Q 2023</v>
      </c>
      <c r="I501" s="131" t="str">
        <f ca="1">IFERROR(__xludf.DUMMYFUNCTION("""COMPUTED_VALUE"""),"alirio.bermudez-bbva.com")</f>
        <v>alirio.bermudez-bbva.com</v>
      </c>
      <c r="J501" s="131" t="str">
        <f ca="1">IFERROR(__xludf.DUMMYFUNCTION("""COMPUTED_VALUE"""),"marthapatric.cruz-bbva.com")</f>
        <v>marthapatric.cruz-bbva.com</v>
      </c>
      <c r="K501" s="131" t="str">
        <f ca="1">IFERROR(__xludf.DUMMYFUNCTION("""COMPUTED_VALUE"""),"yurimilena.moreno-bbva.com")</f>
        <v>yurimilena.moreno-bbva.com</v>
      </c>
      <c r="L501" s="4"/>
      <c r="M501" s="4"/>
      <c r="N501" s="4"/>
      <c r="O501" s="4" t="str">
        <f ca="1">IFERROR(__xludf.DUMMYFUNCTION("""COMPUTED_VALUE"""),"Waterfall")</f>
        <v>Waterfall</v>
      </c>
      <c r="P501" s="4" t="str">
        <f ca="1">IFERROR(__xludf.DUMMYFUNCTION("""COMPUTED_VALUE"""),"Tradicional")</f>
        <v>Tradicional</v>
      </c>
      <c r="Q501" s="4"/>
      <c r="R501" s="130" t="str">
        <f ca="1">IFERROR(__xludf.DUMMYFUNCTION("""COMPUTED_VALUE"""),"Business Innovation &amp; Strategy")</f>
        <v>Business Innovation &amp; Strategy</v>
      </c>
      <c r="S501" s="130" t="str">
        <f ca="1">IFERROR(__xludf.DUMMYFUNCTION("""COMPUTED_VALUE""")," Otros")</f>
        <v xml:space="preserve"> Otros</v>
      </c>
      <c r="T501" s="130" t="str">
        <f ca="1">IFERROR(__xludf.DUMMYFUNCTION("""COMPUTED_VALUE"""),"Normativo")</f>
        <v>Normativo</v>
      </c>
      <c r="U501" s="130" t="str">
        <f ca="1">IFERROR(__xludf.DUMMYFUNCTION("""COMPUTED_VALUE"""),"No Aplica")</f>
        <v>No Aplica</v>
      </c>
      <c r="V501" s="4" t="str">
        <f ca="1">IFERROR(__xludf.DUMMYFUNCTION("""COMPUTED_VALUE"""),"Otros")</f>
        <v>Otros</v>
      </c>
      <c r="W501" s="4">
        <f ca="1">IFERROR(__xludf.DUMMYFUNCTION("""COMPUTED_VALUE"""),3)</f>
        <v>3</v>
      </c>
      <c r="X501" s="4" t="str">
        <f ca="1">IFERROR(__xludf.DUMMYFUNCTION("""COMPUTED_VALUE"""),"10. Otros")</f>
        <v>10. Otros</v>
      </c>
      <c r="Y501" s="4" t="str">
        <f ca="1">IFERROR(__xludf.DUMMYFUNCTION("""COMPUTED_VALUE""")," Otros")</f>
        <v xml:space="preserve"> Otros</v>
      </c>
      <c r="Z501" s="132" t="str">
        <f ca="1">IFERROR(__xludf.DUMMYFUNCTION("""COMPUTED_VALUE"""),"713224")</f>
        <v>713224</v>
      </c>
      <c r="AA501" s="4" t="str">
        <f ca="1">IFERROR(__xludf.DUMMYFUNCTION("""COMPUTED_VALUE"""),"Formato 412 - Malla para traslado de fuentes a controller view")</f>
        <v>Formato 412 - Malla para traslado de fuentes a controller view</v>
      </c>
      <c r="AB501" s="4" t="str">
        <f ca="1">IFERROR(__xludf.DUMMYFUNCTION("""COMPUTED_VALUE"""),"Se requiere generar una malla para el traslado de fuentes de informacion a controller view")</f>
        <v>Se requiere generar una malla para el traslado de fuentes de informacion a controller view</v>
      </c>
      <c r="AC501" s="4" t="str">
        <f ca="1">IFERROR(__xludf.DUMMYFUNCTION("""COMPUTED_VALUE"""),"3Q 2023")</f>
        <v>3Q 2023</v>
      </c>
      <c r="AD501" s="4"/>
      <c r="AE501" s="4"/>
      <c r="AF501" s="4"/>
      <c r="AG501" s="4"/>
      <c r="AH501" s="4"/>
      <c r="AI501" s="4"/>
      <c r="AJ501" s="4"/>
      <c r="AK501" s="131" t="str">
        <f ca="1">IFERROR(__xludf.DUMMYFUNCTION("""COMPUTED_VALUE"""),"COLWSNORMA-1057")</f>
        <v>COLWSNORMA-1057</v>
      </c>
      <c r="AL501" s="4" t="str">
        <f ca="1">IFERROR(__xludf.DUMMYFUNCTION("""COMPUTED_VALUE"""),"New")</f>
        <v>New</v>
      </c>
      <c r="AM501" s="4"/>
      <c r="AN501" s="4" t="str">
        <f ca="1">IFERROR(__xludf.DUMMYFUNCTION("""COMPUTED_VALUE"""),"Entregable en backlog")</f>
        <v>Entregable en backlog</v>
      </c>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row>
    <row r="502" spans="1:132" x14ac:dyDescent="0.2">
      <c r="A502" s="4">
        <f ca="1">IFERROR(__xludf.DUMMYFUNCTION("""COMPUTED_VALUE"""),502)</f>
        <v>502</v>
      </c>
      <c r="B502" s="4">
        <f ca="1">IFERROR(__xludf.DUMMYFUNCTION("""COMPUTED_VALUE"""),473)</f>
        <v>473</v>
      </c>
      <c r="C502" s="4" t="str">
        <f ca="1">IFERROR(__xludf.DUMMYFUNCTION("""COMPUTED_VALUE"""),"SDATOOL-40274")</f>
        <v>SDATOOL-40274</v>
      </c>
      <c r="D502" s="4" t="str">
        <f ca="1">IFERROR(__xludf.DUMMYFUNCTION("""COMPUTED_VALUE"""),"CIRCULAR 033 de 2021-SFC")</f>
        <v>CIRCULAR 033 de 2021-SFC</v>
      </c>
      <c r="E502"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2" s="4" t="str">
        <f ca="1">IFERROR(__xludf.DUMMYFUNCTION("""COMPUTED_VALUE"""),"Project")</f>
        <v>Project</v>
      </c>
      <c r="G502" s="4" t="str">
        <f ca="1">IFERROR(__xludf.DUMMYFUNCTION("""COMPUTED_VALUE"""),"Stock")</f>
        <v>Stock</v>
      </c>
      <c r="H502" s="4" t="str">
        <f ca="1">IFERROR(__xludf.DUMMYFUNCTION("""COMPUTED_VALUE"""),"3Q 2023")</f>
        <v>3Q 2023</v>
      </c>
      <c r="I502" s="131" t="str">
        <f ca="1">IFERROR(__xludf.DUMMYFUNCTION("""COMPUTED_VALUE"""),"alirio.bermudez-bbva.com")</f>
        <v>alirio.bermudez-bbva.com</v>
      </c>
      <c r="J502" s="131" t="str">
        <f ca="1">IFERROR(__xludf.DUMMYFUNCTION("""COMPUTED_VALUE"""),"marthapatric.cruz-bbva.com")</f>
        <v>marthapatric.cruz-bbva.com</v>
      </c>
      <c r="K502" s="131" t="str">
        <f ca="1">IFERROR(__xludf.DUMMYFUNCTION("""COMPUTED_VALUE"""),"yurimilena.moreno-bbva.com")</f>
        <v>yurimilena.moreno-bbva.com</v>
      </c>
      <c r="L502" s="4"/>
      <c r="M502" s="4"/>
      <c r="N502" s="4"/>
      <c r="O502" s="4" t="str">
        <f ca="1">IFERROR(__xludf.DUMMYFUNCTION("""COMPUTED_VALUE"""),"Waterfall")</f>
        <v>Waterfall</v>
      </c>
      <c r="P502" s="4" t="str">
        <f ca="1">IFERROR(__xludf.DUMMYFUNCTION("""COMPUTED_VALUE"""),"Tradicional")</f>
        <v>Tradicional</v>
      </c>
      <c r="Q502" s="4"/>
      <c r="R502" s="130" t="str">
        <f ca="1">IFERROR(__xludf.DUMMYFUNCTION("""COMPUTED_VALUE"""),"Business Innovation &amp; Strategy")</f>
        <v>Business Innovation &amp; Strategy</v>
      </c>
      <c r="S502" s="130" t="str">
        <f ca="1">IFERROR(__xludf.DUMMYFUNCTION("""COMPUTED_VALUE""")," Otros")</f>
        <v xml:space="preserve"> Otros</v>
      </c>
      <c r="T502" s="130" t="str">
        <f ca="1">IFERROR(__xludf.DUMMYFUNCTION("""COMPUTED_VALUE"""),"Normativo")</f>
        <v>Normativo</v>
      </c>
      <c r="U502" s="130" t="str">
        <f ca="1">IFERROR(__xludf.DUMMYFUNCTION("""COMPUTED_VALUE"""),"No Aplica")</f>
        <v>No Aplica</v>
      </c>
      <c r="V502" s="4" t="str">
        <f ca="1">IFERROR(__xludf.DUMMYFUNCTION("""COMPUTED_VALUE"""),"Otros")</f>
        <v>Otros</v>
      </c>
      <c r="W502" s="4">
        <f ca="1">IFERROR(__xludf.DUMMYFUNCTION("""COMPUTED_VALUE"""),3)</f>
        <v>3</v>
      </c>
      <c r="X502" s="4" t="str">
        <f ca="1">IFERROR(__xludf.DUMMYFUNCTION("""COMPUTED_VALUE"""),"10. Otros")</f>
        <v>10. Otros</v>
      </c>
      <c r="Y502" s="4" t="str">
        <f ca="1">IFERROR(__xludf.DUMMYFUNCTION("""COMPUTED_VALUE""")," Otros")</f>
        <v xml:space="preserve"> Otros</v>
      </c>
      <c r="Z502" s="132" t="str">
        <f ca="1">IFERROR(__xludf.DUMMYFUNCTION("""COMPUTED_VALUE"""),"713225")</f>
        <v>713225</v>
      </c>
      <c r="AA502" s="4" t="str">
        <f ca="1">IFERROR(__xludf.DUMMYFUNCTION("""COMPUTED_VALUE"""),"Formato 413 - Malla para traslado de fuentes a controller view")</f>
        <v>Formato 413 - Malla para traslado de fuentes a controller view</v>
      </c>
      <c r="AB502" s="4" t="str">
        <f ca="1">IFERROR(__xludf.DUMMYFUNCTION("""COMPUTED_VALUE"""),"Se requiere la generación de una malla para el traslado de fuentes de información con destino a controller view.")</f>
        <v>Se requiere la generación de una malla para el traslado de fuentes de información con destino a controller view.</v>
      </c>
      <c r="AC502" s="4" t="str">
        <f ca="1">IFERROR(__xludf.DUMMYFUNCTION("""COMPUTED_VALUE"""),"3Q 2023")</f>
        <v>3Q 2023</v>
      </c>
      <c r="AD502" s="4"/>
      <c r="AE502" s="4"/>
      <c r="AF502" s="4"/>
      <c r="AG502" s="4"/>
      <c r="AH502" s="4"/>
      <c r="AI502" s="4"/>
      <c r="AJ502" s="4"/>
      <c r="AK502" s="131" t="str">
        <f ca="1">IFERROR(__xludf.DUMMYFUNCTION("""COMPUTED_VALUE"""),"COLWSNORMA-1060")</f>
        <v>COLWSNORMA-1060</v>
      </c>
      <c r="AL502" s="4" t="str">
        <f ca="1">IFERROR(__xludf.DUMMYFUNCTION("""COMPUTED_VALUE"""),"New")</f>
        <v>New</v>
      </c>
      <c r="AM502" s="4"/>
      <c r="AN502" s="4" t="str">
        <f ca="1">IFERROR(__xludf.DUMMYFUNCTION("""COMPUTED_VALUE"""),"Entregable en backlog")</f>
        <v>Entregable en backlog</v>
      </c>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row>
    <row r="503" spans="1:132" x14ac:dyDescent="0.2">
      <c r="A503" s="4">
        <f ca="1">IFERROR(__xludf.DUMMYFUNCTION("""COMPUTED_VALUE"""),503)</f>
        <v>503</v>
      </c>
      <c r="B503" s="4">
        <f ca="1">IFERROR(__xludf.DUMMYFUNCTION("""COMPUTED_VALUE"""),474)</f>
        <v>474</v>
      </c>
      <c r="C503" s="4" t="str">
        <f ca="1">IFERROR(__xludf.DUMMYFUNCTION("""COMPUTED_VALUE"""),"SDATOOL-40433")</f>
        <v>SDATOOL-40433</v>
      </c>
      <c r="D503" s="4" t="str">
        <f ca="1">IFERROR(__xludf.DUMMYFUNCTION("""COMPUTED_VALUE"""),"Actualización de tarifas y desarrollos Multicompañía -Seguros")</f>
        <v>Actualización de tarifas y desarrollos Multicompañía -Seguros</v>
      </c>
      <c r="E503" s="4" t="str">
        <f ca="1">IFERROR(__xludf.DUMMYFUNCTION("""COMPUTED_VALUE"""),"El objetivo es permitir de manera paramétrica en nácar y vivienda digital  los cambios en tarifas de seguros vida grupo deudores e Incendio y Terremoto asociados a los créditos de vivienda que se licitan cada 2 años de acuerdo a la norma establecida y que"&amp;" próximamente se adjudicará.
Así mismo se debe convertir los desarrollos en multicompañias que permitan adecuar cambios en reportería, cobros, comisiones, sigdoc, CAP en caso de que haya cambio de compañía aseguradora, todos los campos deben ser parametr"&amp;"izables.")</f>
        <v>El objetivo es permitir de manera paramétrica en nácar y vivienda digital  los cambios en tarifas de seguros vida grupo deudores e Incendio y Terremoto asociados a los créditos de vivienda que se licitan cada 2 años de acuerdo a la norma establecida y que próximamente se adjudicará.
Así mismo se debe convertir los desarrollos en multicompañias que permitan adecuar cambios en reportería, cobros, comisiones, sigdoc, CAP en caso de que haya cambio de compañía aseguradora, todos los campos deben ser parametrizables.</v>
      </c>
      <c r="F503" s="4" t="str">
        <f ca="1">IFERROR(__xludf.DUMMYFUNCTION("""COMPUTED_VALUE"""),"Project")</f>
        <v>Project</v>
      </c>
      <c r="G503" s="4" t="str">
        <f ca="1">IFERROR(__xludf.DUMMYFUNCTION("""COMPUTED_VALUE"""),"On hold")</f>
        <v>On hold</v>
      </c>
      <c r="H503" s="4" t="str">
        <f ca="1">IFERROR(__xludf.DUMMYFUNCTION("""COMPUTED_VALUE"""),"4Q 2023")</f>
        <v>4Q 2023</v>
      </c>
      <c r="I503" s="131" t="str">
        <f ca="1">IFERROR(__xludf.DUMMYFUNCTION("""COMPUTED_VALUE"""),"alirio.bermudez-bbva.com")</f>
        <v>alirio.bermudez-bbva.com</v>
      </c>
      <c r="J503" s="131" t="str">
        <f ca="1">IFERROR(__xludf.DUMMYFUNCTION("""COMPUTED_VALUE"""),"marthapatric.cruz-bbva.com")</f>
        <v>marthapatric.cruz-bbva.com</v>
      </c>
      <c r="K503" s="131" t="str">
        <f ca="1">IFERROR(__xludf.DUMMYFUNCTION("""COMPUTED_VALUE"""),"sandramilena.rodriguez.romero-bbva.com")</f>
        <v>sandramilena.rodriguez.romero-bbva.com</v>
      </c>
      <c r="L503" s="130">
        <f ca="1">IFERROR(__xludf.DUMMYFUNCTION("""COMPUTED_VALUE"""),0.1)</f>
        <v>0.1</v>
      </c>
      <c r="M503" s="130">
        <f ca="1">IFERROR(__xludf.DUMMYFUNCTION("""COMPUTED_VALUE"""),0)</f>
        <v>0</v>
      </c>
      <c r="N503" s="130">
        <f ca="1">IFERROR(__xludf.DUMMYFUNCTION("""COMPUTED_VALUE"""),0)</f>
        <v>0</v>
      </c>
      <c r="O503" s="4" t="str">
        <f ca="1">IFERROR(__xludf.DUMMYFUNCTION("""COMPUTED_VALUE"""),"Waterfall")</f>
        <v>Waterfall</v>
      </c>
      <c r="P503" s="4" t="str">
        <f ca="1">IFERROR(__xludf.DUMMYFUNCTION("""COMPUTED_VALUE"""),"Tradicional")</f>
        <v>Tradicional</v>
      </c>
      <c r="Q503" s="4"/>
      <c r="R503" s="130" t="str">
        <f ca="1">IFERROR(__xludf.DUMMYFUNCTION("""COMPUTED_VALUE"""),"Business Innovation &amp; Strategy")</f>
        <v>Business Innovation &amp; Strategy</v>
      </c>
      <c r="S503" s="130" t="str">
        <f ca="1">IFERROR(__xludf.DUMMYFUNCTION("""COMPUTED_VALUE""")," Otros")</f>
        <v xml:space="preserve"> Otros</v>
      </c>
      <c r="T503" s="130" t="str">
        <f ca="1">IFERROR(__xludf.DUMMYFUNCTION("""COMPUTED_VALUE"""),"Normativo")</f>
        <v>Normativo</v>
      </c>
      <c r="U503" s="130" t="str">
        <f ca="1">IFERROR(__xludf.DUMMYFUNCTION("""COMPUTED_VALUE"""),"No Aplica")</f>
        <v>No Aplica</v>
      </c>
      <c r="V503" s="4" t="str">
        <f ca="1">IFERROR(__xludf.DUMMYFUNCTION("""COMPUTED_VALUE"""),"Otros")</f>
        <v>Otros</v>
      </c>
      <c r="W503" s="4">
        <f ca="1">IFERROR(__xludf.DUMMYFUNCTION("""COMPUTED_VALUE"""),3)</f>
        <v>3</v>
      </c>
      <c r="X503" s="4" t="str">
        <f ca="1">IFERROR(__xludf.DUMMYFUNCTION("""COMPUTED_VALUE"""),"10. Otros")</f>
        <v>10. Otros</v>
      </c>
      <c r="Y503" s="4" t="str">
        <f ca="1">IFERROR(__xludf.DUMMYFUNCTION("""COMPUTED_VALUE""")," Otros")</f>
        <v xml:space="preserve"> Otros</v>
      </c>
      <c r="Z503" s="132" t="str">
        <f ca="1">IFERROR(__xludf.DUMMYFUNCTION("""COMPUTED_VALUE"""),"597977")</f>
        <v>597977</v>
      </c>
      <c r="AA503" s="4" t="str">
        <f ca="1">IFERROR(__xludf.DUMMYFUNCTION("""COMPUTED_VALUE"""),"Proceso de Actualización de Parametria para seguros")</f>
        <v>Proceso de Actualización de Parametria para seguros</v>
      </c>
      <c r="AB503" s="4" t="str">
        <f ca="1">IFERROR(__xludf.DUMMYFUNCTION("""COMPUTED_VALUE"""),"Se requiere que se construya un proceso que permita subir de forma automática y en días no hábiles las actualizaciones en las tablas de parametria, para que la información de los seguros (De acuerdo a solicitud de negocio) quede formalizada de manera corr"&amp;"ecta y en los tiempos adecuados.")</f>
        <v>Se requiere que se construya un proceso que permita subir de forma automática y en días no hábiles las actualizaciones en las tablas de parametria, para que la información de los seguros (De acuerdo a solicitud de negocio) quede formalizada de manera correcta y en los tiempos adecuados.</v>
      </c>
      <c r="AC503" s="4" t="str">
        <f ca="1">IFERROR(__xludf.DUMMYFUNCTION("""COMPUTED_VALUE"""),"3Q 2023")</f>
        <v>3Q 2023</v>
      </c>
      <c r="AD503" s="4"/>
      <c r="AE503" s="4"/>
      <c r="AF503" s="4"/>
      <c r="AG503" s="4"/>
      <c r="AH503" s="4"/>
      <c r="AI503" s="4"/>
      <c r="AJ503" s="4"/>
      <c r="AK503" s="4" t="str">
        <f ca="1">IFERROR(__xludf.DUMMYFUNCTION("""COMPUTED_VALUE"""),"Sin asignar")</f>
        <v>Sin asignar</v>
      </c>
      <c r="AL503" s="4" t="str">
        <f ca="1">IFERROR(__xludf.DUMMYFUNCTION("""COMPUTED_VALUE"""),"Sin asignar")</f>
        <v>Sin asignar</v>
      </c>
      <c r="AM503" s="4"/>
      <c r="AN503" s="4" t="str">
        <f ca="1">IFERROR(__xludf.DUMMYFUNCTION("""COMPUTED_VALUE"""),"Entregable detenido")</f>
        <v>Entregable detenido</v>
      </c>
      <c r="AO503" s="4"/>
      <c r="AP503" s="4"/>
      <c r="AQ503" s="4"/>
      <c r="AR503" s="4" t="str">
        <f ca="1">IFERROR(__xludf.DUMMYFUNCTION("""COMPUTED_VALUE"""),"SDA aprobada en PPP Q1 2023")</f>
        <v>SDA aprobada en PPP Q1 2023</v>
      </c>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133">
        <f ca="1">IFERROR(__xludf.DUMMYFUNCTION("""COMPUTED_VALUE"""),0)</f>
        <v>0</v>
      </c>
      <c r="DV503" s="133">
        <f ca="1">IFERROR(__xludf.DUMMYFUNCTION("""COMPUTED_VALUE"""),0)</f>
        <v>0</v>
      </c>
      <c r="DW503" s="133">
        <f ca="1">IFERROR(__xludf.DUMMYFUNCTION("""COMPUTED_VALUE"""),0)</f>
        <v>0</v>
      </c>
      <c r="DX503" s="133">
        <f ca="1">IFERROR(__xludf.DUMMYFUNCTION("""COMPUTED_VALUE"""),0)</f>
        <v>0</v>
      </c>
      <c r="DY503" s="133">
        <f ca="1">IFERROR(__xludf.DUMMYFUNCTION("""COMPUTED_VALUE"""),0)</f>
        <v>0</v>
      </c>
      <c r="DZ503" s="133">
        <f ca="1">IFERROR(__xludf.DUMMYFUNCTION("""COMPUTED_VALUE"""),0)</f>
        <v>0</v>
      </c>
      <c r="EA503" s="4"/>
      <c r="EB503" s="4"/>
    </row>
    <row r="504" spans="1:132" x14ac:dyDescent="0.2">
      <c r="A504" s="4">
        <f ca="1">IFERROR(__xludf.DUMMYFUNCTION("""COMPUTED_VALUE"""),504)</f>
        <v>504</v>
      </c>
      <c r="B504" s="4">
        <f ca="1">IFERROR(__xludf.DUMMYFUNCTION("""COMPUTED_VALUE"""),475)</f>
        <v>475</v>
      </c>
      <c r="C504" s="4" t="str">
        <f ca="1">IFERROR(__xludf.DUMMYFUNCTION("""COMPUTED_VALUE"""),"SDATOOL-39391")</f>
        <v>SDATOOL-39391</v>
      </c>
      <c r="D504" s="4" t="str">
        <f ca="1">IFERROR(__xludf.DUMMYFUNCTION("""COMPUTED_VALUE"""),"Centralización de Contracargos")</f>
        <v>Centralización de Contracargos</v>
      </c>
      <c r="E504" s="4" t="str">
        <f ca="1">IFERROR(__xludf.DUMMYFUNCTION("""COMPUTED_VALUE"""),"""1. Se requiere contar con un área centralizadora que se encargue de la operativa de los contracargos en un mismo sistema correspondiente a Visa y Mastercard tanto para transacciones nacionales e internacionales, que actualmente realiza la red de oficina"&amp;"s y el área de operaciones. Esto con el fin de mejorar la experiencia al comercio, disminuir las reclamaciones y tener trazabilidad de los contracargos tanto para venta presente como para venta no presente. 
2. Contar con una base con la información de co"&amp;"ntacto de los comercios actualizada y que se pueda consultar de manera rápida y oportuna para la gestión de los mismos.
3. Contar con la integración en una sola base de los contracargos de Visa y Mastercard Nacional, Internacional.
4. Se requiere que la i"&amp;"nformación y proceso contable de contracargos de Visa Nacional que actualmente recibe y gestiona la oficina a través de aplicativo nacar, se transforme al proceso operativo y contable que actualmente utiliza el área de operaciones.
5. Generar parametria p"&amp;"ara los códigos de extra compensación que llegan nuevos y en nuestro sistema no se visualizan
6. Generación de la información de contracargos y ajustes extracompensación en los informes de ADQ, Multicash, MT940 y actualización de descripciones en el extra"&amp;"cto de los clientes bajo los codigos MIR ya creados para cada concepto.
7. Automatizar el proceso operativo que actualmente ejecuta el área de operaciones medios de pago, al momento de elaborar el GOF con la información de contracargos de Master Nal y Vis"&amp;"a y Master Internacional.""")</f>
        <v>"1. Se requiere contar con un área centralizadora que se encargue de la operativa de los contracargos en un mismo sistema correspondiente a Visa y Mastercard tanto para transacciones nacionales e internacionales, que actualmente realiza la red de oficinas y el área de operaciones. Esto con el fin de mejorar la experiencia al comercio, disminuir las reclamaciones y tener trazabilidad de los contracargos tanto para venta presente como para venta no presente. 
2. Contar con una base con la información de contacto de los comercios actualizada y que se pueda consultar de manera rápida y oportuna para la gestión de los mismos.
3. Contar con la integración en una sola base de los contracargos de Visa y Mastercard Nacional, Internacional.
4. Se requiere que la información y proceso contable de contracargos de Visa Nacional que actualmente recibe y gestiona la oficina a través de aplicativo nacar, se transforme al proceso operativo y contable que actualmente utiliza el área de operaciones.
5. Generar parametria para los códigos de extra compensación que llegan nuevos y en nuestro sistema no se visualizan
6. Generación de la información de contracargos y ajustes extracompensación en los informes de ADQ, Multicash, MT940 y actualización de descripciones en el extracto de los clientes bajo los codigos MIR ya creados para cada concepto.
7. Automatizar el proceso operativo que actualmente ejecuta el área de operaciones medios de pago, al momento de elaborar el GOF con la información de contracargos de Master Nal y Visa y Master Internacional."</v>
      </c>
      <c r="F504" s="4" t="str">
        <f ca="1">IFERROR(__xludf.DUMMYFUNCTION("""COMPUTED_VALUE"""),"Project")</f>
        <v>Project</v>
      </c>
      <c r="G504" s="4" t="str">
        <f ca="1">IFERROR(__xludf.DUMMYFUNCTION("""COMPUTED_VALUE"""),"Ended")</f>
        <v>Ended</v>
      </c>
      <c r="H504" s="4" t="str">
        <f ca="1">IFERROR(__xludf.DUMMYFUNCTION("""COMPUTED_VALUE"""),"1Q 2023")</f>
        <v>1Q 2023</v>
      </c>
      <c r="I504" s="131" t="str">
        <f ca="1">IFERROR(__xludf.DUMMYFUNCTION("""COMPUTED_VALUE"""),"alirio.bermudez-bbva.com")</f>
        <v>alirio.bermudez-bbva.com</v>
      </c>
      <c r="J504" s="131" t="str">
        <f ca="1">IFERROR(__xludf.DUMMYFUNCTION("""COMPUTED_VALUE"""),"marthapatric.cruz-bbva.com")</f>
        <v>marthapatric.cruz-bbva.com</v>
      </c>
      <c r="K504" s="131" t="str">
        <f ca="1">IFERROR(__xludf.DUMMYFUNCTION("""COMPUTED_VALUE"""),"sandrajohanna.gonzalez-bbva.com")</f>
        <v>sandrajohanna.gonzalez-bbva.com</v>
      </c>
      <c r="L504" s="130">
        <f ca="1">IFERROR(__xludf.DUMMYFUNCTION("""COMPUTED_VALUE"""),0)</f>
        <v>0</v>
      </c>
      <c r="M504" s="130">
        <f ca="1">IFERROR(__xludf.DUMMYFUNCTION("""COMPUTED_VALUE"""),0)</f>
        <v>0</v>
      </c>
      <c r="N504" s="130">
        <f ca="1">IFERROR(__xludf.DUMMYFUNCTION("""COMPUTED_VALUE"""),0)</f>
        <v>0</v>
      </c>
      <c r="O504" s="4" t="str">
        <f ca="1">IFERROR(__xludf.DUMMYFUNCTION("""COMPUTED_VALUE"""),"Waterfall")</f>
        <v>Waterfall</v>
      </c>
      <c r="P504" s="4" t="str">
        <f ca="1">IFERROR(__xludf.DUMMYFUNCTION("""COMPUTED_VALUE"""),"Tradicional")</f>
        <v>Tradicional</v>
      </c>
      <c r="Q504" s="4"/>
      <c r="R504" s="130" t="str">
        <f ca="1">IFERROR(__xludf.DUMMYFUNCTION("""COMPUTED_VALUE"""),"Payments &amp; Partnerships")</f>
        <v>Payments &amp; Partnerships</v>
      </c>
      <c r="S504" s="130" t="str">
        <f ca="1">IFERROR(__xludf.DUMMYFUNCTION("""COMPUTED_VALUE"""),"Area Review")</f>
        <v>Area Review</v>
      </c>
      <c r="T504" s="130" t="str">
        <f ca="1">IFERROR(__xludf.DUMMYFUNCTION("""COMPUTED_VALUE"""),"Otros")</f>
        <v>Otros</v>
      </c>
      <c r="U504" s="130" t="str">
        <f ca="1">IFERROR(__xludf.DUMMYFUNCTION("""COMPUTED_VALUE"""),"No Aplica")</f>
        <v>No Aplica</v>
      </c>
      <c r="V504" s="4" t="str">
        <f ca="1">IFERROR(__xludf.DUMMYFUNCTION("""COMPUTED_VALUE"""),"Mercurio")</f>
        <v>Mercurio</v>
      </c>
      <c r="W504" s="4">
        <f ca="1">IFERROR(__xludf.DUMMYFUNCTION("""COMPUTED_VALUE"""),2)</f>
        <v>2</v>
      </c>
      <c r="X504" s="4" t="str">
        <f ca="1">IFERROR(__xludf.DUMMYFUNCTION("""COMPUTED_VALUE"""),"02. Open Pay &amp; Mercurio")</f>
        <v>02. Open Pay &amp; Mercurio</v>
      </c>
      <c r="Y504" s="4" t="str">
        <f ca="1">IFERROR(__xludf.DUMMYFUNCTION("""COMPUTED_VALUE"""),"4.2.3 Acquiring - Mercurio")</f>
        <v>4.2.3 Acquiring - Mercurio</v>
      </c>
      <c r="Z504" s="132" t="str">
        <f ca="1">IFERROR(__xludf.DUMMYFUNCTION("""COMPUTED_VALUE"""),"489191")</f>
        <v>489191</v>
      </c>
      <c r="AA504" s="4" t="str">
        <f ca="1">IFERROR(__xludf.DUMMYFUNCTION("""COMPUTED_VALUE"""),"SDATOOL-39391  CENTRALIZACIÓN NOTIFICACIÓN Y COBRO DE CONTRACARGOS DE ADQ")</f>
        <v>SDATOOL-39391  CENTRALIZACIÓN NOTIFICACIÓN Y COBRO DE CONTRACARGOS DE ADQ</v>
      </c>
      <c r="AB504" s="4" t="str">
        <f ca="1">IFERROR(__xludf.DUMMYFUNCTION("""COMPUTED_VALUE"""),"Migrar y centralizar el proceso contable de contracargos que llevan las oficinas y dejarlo en un mismo centro.")</f>
        <v>Migrar y centralizar el proceso contable de contracargos que llevan las oficinas y dejarlo en un mismo centro.</v>
      </c>
      <c r="AC504" s="4" t="str">
        <f ca="1">IFERROR(__xludf.DUMMYFUNCTION("""COMPUTED_VALUE"""),"4Q 2022")</f>
        <v>4Q 2022</v>
      </c>
      <c r="AD504" s="128">
        <f ca="1">IFERROR(__xludf.DUMMYFUNCTION("""COMPUTED_VALUE"""),44671)</f>
        <v>44671</v>
      </c>
      <c r="AE504" s="128">
        <f ca="1">IFERROR(__xludf.DUMMYFUNCTION("""COMPUTED_VALUE"""),44713)</f>
        <v>44713</v>
      </c>
      <c r="AF504" s="128">
        <f ca="1">IFERROR(__xludf.DUMMYFUNCTION("""COMPUTED_VALUE"""),44713)</f>
        <v>44713</v>
      </c>
      <c r="AG504" s="128">
        <f ca="1">IFERROR(__xludf.DUMMYFUNCTION("""COMPUTED_VALUE"""),44778)</f>
        <v>44778</v>
      </c>
      <c r="AH504" s="128">
        <f ca="1">IFERROR(__xludf.DUMMYFUNCTION("""COMPUTED_VALUE"""),44781)</f>
        <v>44781</v>
      </c>
      <c r="AI504" s="128">
        <f ca="1">IFERROR(__xludf.DUMMYFUNCTION("""COMPUTED_VALUE"""),44848)</f>
        <v>44848</v>
      </c>
      <c r="AJ504" s="128" t="str">
        <f ca="1">IFERROR(__xludf.DUMMYFUNCTION("""COMPUTED_VALUE"""),"-")</f>
        <v>-</v>
      </c>
      <c r="AK504" s="131" t="str">
        <f ca="1">IFERROR(__xludf.DUMMYFUNCTION("""COMPUTED_VALUE"""),"COLWSMEDIO-596")</f>
        <v>COLWSMEDIO-596</v>
      </c>
      <c r="AL504" s="4" t="str">
        <f ca="1">IFERROR(__xludf.DUMMYFUNCTION("""COMPUTED_VALUE"""),"Deployed")</f>
        <v>Deployed</v>
      </c>
      <c r="AM504" s="4" t="str">
        <f ca="1">IFERROR(__xludf.DUMMYFUNCTION("""COMPUTED_VALUE"""),"""08/11/2021
- Producto envia documento ágil/petición a Solutions Deveploment
09/11/2021
- Solutions Deveploment envia correo con comentarios al documento ágil/petición ajustar sólo con lo que se requiere de desarrollos
- SD informa que es una prevaloraci"&amp;"ón de lo que se vaya a desarrollar.
- SD informa que La pre-valoración ya se está revisando
- Por definir prioridad (próximo año).
definirá la prioridad.
02/12/2021
- Producto deja en backlog pendiente definir prioridad
07/02/2022
- SD envia correo a prod"&amp;"ucto solicitando cierre definiciones para iniciar en Q2
- Preaprobado en PSM
- Pte aprobación en PPP""
18/03/2022
- Solicitar a producto el cierre de definiciones de contracargos
4/4/2022
- Producto envia documento ágil y manual de procesos con el flujo T"&amp;"OBE
- SD convoca sesión área de delivery revisar HU antes de redaicar en JIRA (sesión 6/04/2022)
12/04/2022
- Se radica en PMO a través de Jira
25/04/2022
- Se registran 5 HU en JIRA para concpeto y valoración de las áreas
26/04/2022
- PMO envia correo a "&amp;"las áreas de valor a través de JIRA solicitando  generar concepto, valoración económica y capacidad de atención, para el proyecto.
02/05/2022
- Delivery entrega valoración 641 horas por valor de $38.486.303
04/05/2022
- Se envia a SD formato G/I para pres"&amp;"entar en próximo WG PPP
- Pte solicitar dotación a la PMO
13/05/2022
- Delivery solicita a la PMO agendar una sesión con las áreas de negocio (Sponsor de Negocio), Operaciones y financiera (dcontable), esto con el fin de obtener aprobación contable, para "&amp;"seguir adelante con el proyecto. Pte citación  a la sesión
- SD solicita a financiera (Gasto/Inversión) agendar en el próximo WG PPP, este proyecto
18/05/2022
- Se presentará por el sponsor en el WG PPP del 19 de mayo de 2022
19/05/2022
- En elaboración d"&amp;"iseño técnico
- Fecha estimada producción 21/10/2022
- Se presento en WG PPP aprobado $38.486.303
- Pte solicitar dotación a la PMO cuando llegue el acta.
20/05/2022
- Se solicita dotación a la PMO en JIRA
24/05/2022
- Inicio desarrollos
27/05/2022
- Se r"&amp;"ealiza sesiòn con contabilidad (Claudia Rocio Lòpez)
- Se envia correo con link del documento àgil a contabilidad para el concepto de la definiciòn contable
- Pte PMO confirme si se hace necesario diligenciar nuevamente el documento FARIT o si se deja com"&amp;"o definitiov el diligenciado el 19 de mayo de 2022.
01/06/2022
- Pte  CorpSec confirme entrega del concepto con base en la sesión del 1 de junio dondes se ha realizado el cuestionario Farit nuevamente de acuerdo a los comentarios de CorpSec y RCA.
03/06/2"&amp;"022
- Pte Financiera/Disciplina nos envie el concepto contable para seguir con desarrollos, ANS vence la próxima semana.
8/06/2022
- Se comparte resultado Farit (tier 5) al RCA para que nos apoye revisando si se considera la necesidad de ejecutar algún mi"&amp;"tigante y de esa manera dejarlo reflejado en FMC. 
- Contabilidad informa que entregan concepto el día 9/06/2022 
-  Pte corporate security confirme entrega de los mitigantes y controles
- Corporate Security confirmo entrega de mitigantes y controles próx"&amp;"ima semana del 13 al 17 de junio.
14/06/2022
- DContable entrega definición hoy
- Continua pendiente la entrega de mitigantes y controles por parte de corporate security.
- 3 guias de parametria para actualizar.
15/06/2022
- Dcontable entrega definición c"&amp;"ontable y se deja url en Jira.
16-06-2022
- Se recibe  definición  y concepto contable, con  lo cual  se  hace solicitud de códigos MIR a Captaciones con el fin de  seguir adelante  con desarrollos
5/07/2022
- En cusro desarrollo sin novedades
15/07/2022
"&amp;"El proyecto se encuentra en etapa de desarrollo, se iniciaran trabajos de   vds la próxima semana.
21/07/2022
- El proyecto se encuentra en etapa de desarrollo, se iniciaron trabajos de  vds el 18 de julio.
28/07/2022
- El proyecto se encuentra en el paso"&amp;" a calidad , a la espera de VoBo por parte de aplicativos GT y CG.
18/08/2022 
- El proyecto se encuentra en fase de pruebas por parte de calidad .
25/08/2022
- Se ejecutan depósitos Redeban y Credibanco en ambiente de calidad exitosamente se procederá a "&amp;"armar cuadro operativo para continuar con la ejecución de contracargos
30/08/2022
- Tester envia evidencias de pruebas a usuarios para Vo.Bo. de paso a producción.
2/09/2022 
- Se realiza sesion para entendiemiento de las pruebas de certificacion, no asis"&amp;"te negocio el dia 1 de septiembre se nivela a Andrea del Pilar quien en remplazo de Joan validara las evidencias para su respectivo visto bueno. Tambien se realiza reunion con equipo de operaciones para aclarar quien sera el responsable de asumir las manu"&amp;"alidades iniciales del proceso. Andrea del Pilar queda con el compromiso de validar y enviar nota al respecto. 
- En espera de VoBo por parte de operaciones , financiera y usuarios.")</f>
        <v>"08/11/2021
- Producto envia documento ágil/petición a Solutions Deveploment
09/11/2021
- Solutions Deveploment envia correo con comentarios al documento ágil/petición ajustar sólo con lo que se requiere de desarrollos
- SD informa que es una prevaloración de lo que se vaya a desarrollar.
- SD informa que La pre-valoración ya se está revisando
- Por definir prioridad (próximo año).
definirá la prioridad.
02/12/2021
- Producto deja en backlog pendiente definir prioridad
07/02/2022
- SD envia correo a producto solicitando cierre definiciones para iniciar en Q2
- Preaprobado en PSM
- Pte aprobación en PPP"
18/03/2022
- Solicitar a producto el cierre de definiciones de contracargos
4/4/2022
- Producto envia documento ágil y manual de procesos con el flujo TOBE
- SD convoca sesión área de delivery revisar HU antes de redaicar en JIRA (sesión 6/04/2022)
12/04/2022
- Se radica en PMO a través de Jira
25/04/2022
- Se registran 5 HU en JIRA para concpeto y valoración de las áreas
26/04/2022
- PMO envia correo a las áreas de valor a través de JIRA solicitando  generar concepto, valoración económica y capacidad de atención, para el proyecto.
02/05/2022
- Delivery entrega valoración 641 horas por valor de $38.486.303
04/05/2022
- Se envia a SD formato G/I para presentar en próximo WG PPP
- Pte solicitar dotación a la PMO
13/05/2022
- Delivery solicita a la PMO agendar una sesión con las áreas de negocio (Sponsor de Negocio), Operaciones y financiera (dcontable), esto con el fin de obtener aprobación contable, para seguir adelante con el proyecto. Pte citación  a la sesión
- SD solicita a financiera (Gasto/Inversión) agendar en el próximo WG PPP, este proyecto
18/05/2022
- Se presentará por el sponsor en el WG PPP del 19 de mayo de 2022
19/05/2022
- En elaboración diseño técnico
- Fecha estimada producción 21/10/2022
- Se presento en WG PPP aprobado $38.486.303
- Pte solicitar dotación a la PMO cuando llegue el acta.
20/05/2022
- Se solicita dotación a la PMO en JIRA
24/05/2022
- Inicio desarrollos
27/05/2022
- Se realiza sesiòn con contabilidad (Claudia Rocio Lòpez)
- Se envia correo con link del documento àgil a contabilidad para el concepto de la definiciòn contable
- Pte PMO confirme si se hace necesario diligenciar nuevamente el documento FARIT o si se deja como definitiov el diligenciado el 19 de mayo de 2022.
01/06/2022
- Pte  CorpSec confirme entrega del concepto con base en la sesión del 1 de junio dondes se ha realizado el cuestionario Farit nuevamente de acuerdo a los comentarios de CorpSec y RCA.
03/06/2022
- Pte Financiera/Disciplina nos envie el concepto contable para seguir con desarrollos, ANS vence la próxima semana.
8/06/2022
- Se comparte resultado Farit (tier 5) al RCA para que nos apoye revisando si se considera la necesidad de ejecutar algún mitigante y de esa manera dejarlo reflejado en FMC. 
- Contabilidad informa que entregan concepto el día 9/06/2022 
-  Pte corporate security confirme entrega de los mitigantes y controles
- Corporate Security confirmo entrega de mitigantes y controles próxima semana del 13 al 17 de junio.
14/06/2022
- DContable entrega definición hoy
- Continua pendiente la entrega de mitigantes y controles por parte de corporate security.
- 3 guias de parametria para actualizar.
15/06/2022
- Dcontable entrega definición contable y se deja url en Jira.
16-06-2022
- Se recibe  definición  y concepto contable, con  lo cual  se  hace solicitud de códigos MIR a Captaciones con el fin de  seguir adelante  con desarrollos
5/07/2022
- En cusro desarrollo sin novedades
15/07/2022
El proyecto se encuentra en etapa de desarrollo, se iniciaran trabajos de   vds la próxima semana.
21/07/2022
- El proyecto se encuentra en etapa de desarrollo, se iniciaron trabajos de  vds el 18 de julio.
28/07/2022
- El proyecto se encuentra en el paso a calidad , a la espera de VoBo por parte de aplicativos GT y CG.
18/08/2022 
- El proyecto se encuentra en fase de pruebas por parte de calidad .
25/08/2022
- Se ejecutan depósitos Redeban y Credibanco en ambiente de calidad exitosamente se procederá a armar cuadro operativo para continuar con la ejecución de contracargos
30/08/2022
- Tester envia evidencias de pruebas a usuarios para Vo.Bo. de paso a producción.
2/09/2022 
- Se realiza sesion para entendiemiento de las pruebas de certificacion, no asiste negocio el dia 1 de septiembre se nivela a Andrea del Pilar quien en remplazo de Joan validara las evidencias para su respectivo visto bueno. Tambien se realiza reunion con equipo de operaciones para aclarar quien sera el responsable de asumir las manualidades iniciales del proceso. Andrea del Pilar queda con el compromiso de validar y enviar nota al respecto. 
- En espera de VoBo por parte de operaciones , financiera y usuarios.</v>
      </c>
      <c r="AN504" s="4" t="str">
        <f ca="1">IFERROR(__xludf.DUMMYFUNCTION("""COMPUTED_VALUE"""),"Finalizado")</f>
        <v>Finalizado</v>
      </c>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133">
        <f ca="1">IFERROR(__xludf.DUMMYFUNCTION("""COMPUTED_VALUE"""),0)</f>
        <v>0</v>
      </c>
      <c r="DV504" s="133">
        <f ca="1">IFERROR(__xludf.DUMMYFUNCTION("""COMPUTED_VALUE"""),0)</f>
        <v>0</v>
      </c>
      <c r="DW504" s="133">
        <f ca="1">IFERROR(__xludf.DUMMYFUNCTION("""COMPUTED_VALUE"""),25258456)</f>
        <v>25258456</v>
      </c>
      <c r="DX504" s="133">
        <f ca="1">IFERROR(__xludf.DUMMYFUNCTION("""COMPUTED_VALUE"""),13227740)</f>
        <v>13227740</v>
      </c>
      <c r="DY504" s="133">
        <f ca="1">IFERROR(__xludf.DUMMYFUNCTION("""COMPUTED_VALUE"""),0)</f>
        <v>0</v>
      </c>
      <c r="DZ504" s="133">
        <f ca="1">IFERROR(__xludf.DUMMYFUNCTION("""COMPUTED_VALUE"""),38486196)</f>
        <v>38486196</v>
      </c>
      <c r="EA504" s="4"/>
      <c r="EB504" s="4"/>
    </row>
    <row r="505" spans="1:132" x14ac:dyDescent="0.2">
      <c r="A505" s="4">
        <f ca="1">IFERROR(__xludf.DUMMYFUNCTION("""COMPUTED_VALUE"""),505)</f>
        <v>505</v>
      </c>
      <c r="B505" s="4">
        <f ca="1">IFERROR(__xludf.DUMMYFUNCTION("""COMPUTED_VALUE"""),476)</f>
        <v>476</v>
      </c>
      <c r="C505" s="4" t="str">
        <f ca="1">IFERROR(__xludf.DUMMYFUNCTION("""COMPUTED_VALUE"""),"SDATOOL-40462")</f>
        <v>SDATOOL-40462</v>
      </c>
      <c r="D505" s="4" t="str">
        <f ca="1">IFERROR(__xludf.DUMMYFUNCTION("""COMPUTED_VALUE"""),"Ajustes en archivo de conciliación de Adquirencia fines de semana cliente D1")</f>
        <v>Ajustes en archivo de conciliación de Adquirencia fines de semana cliente D1</v>
      </c>
      <c r="E505" s="4" t="str">
        <f ca="1">IFERROR(__xludf.DUMMYFUNCTION("""COMPUTED_VALUE"""),"Separar los archivos de conciliación de Adquirencia del fin de semana para que el aplicativo de Net cash los procese de manera individual para el cliente D1 (KOBA) y para algunos otros clientes que presenten esta misma novedad con el alto volumen transacc"&amp;"ional, el sistema debe tener la capacidad de soportar la cantidad de transacciones para generar en un solo archivo. Para el resto de comercios se debe seguir manejando de la manera actual. Es decir, tener las dos opciones dependiendo del cliente.")</f>
        <v>Separar los archivos de conciliación de Adquirencia del fin de semana para que el aplicativo de Net cash los procese de manera individual para el cliente D1 (KOBA) y para algunos otros clientes que presenten esta misma novedad con el alto volumen transaccional, el sistema debe tener la capacidad de soportar la cantidad de transacciones para generar en un solo archivo. Para el resto de comercios se debe seguir manejando de la manera actual. Es decir, tener las dos opciones dependiendo del cliente.</v>
      </c>
      <c r="F505" s="4" t="str">
        <f ca="1">IFERROR(__xludf.DUMMYFUNCTION("""COMPUTED_VALUE"""),"Project")</f>
        <v>Project</v>
      </c>
      <c r="G505" s="4" t="str">
        <f ca="1">IFERROR(__xludf.DUMMYFUNCTION("""COMPUTED_VALUE"""),"Ended")</f>
        <v>Ended</v>
      </c>
      <c r="H505" s="4" t="str">
        <f ca="1">IFERROR(__xludf.DUMMYFUNCTION("""COMPUTED_VALUE"""),"1Q 2023")</f>
        <v>1Q 2023</v>
      </c>
      <c r="I505" s="131" t="str">
        <f ca="1">IFERROR(__xludf.DUMMYFUNCTION("""COMPUTED_VALUE"""),"alirio.bermudez-bbva.com")</f>
        <v>alirio.bermudez-bbva.com</v>
      </c>
      <c r="J505" s="131" t="str">
        <f ca="1">IFERROR(__xludf.DUMMYFUNCTION("""COMPUTED_VALUE"""),"marthapatric.cruz-bbva.com")</f>
        <v>marthapatric.cruz-bbva.com</v>
      </c>
      <c r="K505" s="131" t="str">
        <f ca="1">IFERROR(__xludf.DUMMYFUNCTION("""COMPUTED_VALUE"""),"nathaliamaria.torres-bbva.com")</f>
        <v>nathaliamaria.torres-bbva.com</v>
      </c>
      <c r="L505" s="130">
        <f ca="1">IFERROR(__xludf.DUMMYFUNCTION("""COMPUTED_VALUE"""),0)</f>
        <v>0</v>
      </c>
      <c r="M505" s="130">
        <f ca="1">IFERROR(__xludf.DUMMYFUNCTION("""COMPUTED_VALUE"""),0)</f>
        <v>0</v>
      </c>
      <c r="N505" s="130">
        <f ca="1">IFERROR(__xludf.DUMMYFUNCTION("""COMPUTED_VALUE"""),0)</f>
        <v>0</v>
      </c>
      <c r="O505" s="4" t="str">
        <f ca="1">IFERROR(__xludf.DUMMYFUNCTION("""COMPUTED_VALUE"""),"Waterfall")</f>
        <v>Waterfall</v>
      </c>
      <c r="P505" s="4" t="str">
        <f ca="1">IFERROR(__xludf.DUMMYFUNCTION("""COMPUTED_VALUE"""),"Tradicional")</f>
        <v>Tradicional</v>
      </c>
      <c r="Q505" s="4"/>
      <c r="R505" s="130" t="str">
        <f ca="1">IFERROR(__xludf.DUMMYFUNCTION("""COMPUTED_VALUE"""),"Payments &amp; Partnerships")</f>
        <v>Payments &amp; Partnerships</v>
      </c>
      <c r="S505" s="130" t="str">
        <f ca="1">IFERROR(__xludf.DUMMYFUNCTION("""COMPUTED_VALUE"""),"Area Review")</f>
        <v>Area Review</v>
      </c>
      <c r="T505" s="130" t="str">
        <f ca="1">IFERROR(__xludf.DUMMYFUNCTION("""COMPUTED_VALUE"""),"Otros")</f>
        <v>Otros</v>
      </c>
      <c r="U505" s="130" t="str">
        <f ca="1">IFERROR(__xludf.DUMMYFUNCTION("""COMPUTED_VALUE"""),"No Aplica")</f>
        <v>No Aplica</v>
      </c>
      <c r="V505" s="4" t="str">
        <f ca="1">IFERROR(__xludf.DUMMYFUNCTION("""COMPUTED_VALUE"""),"Otros")</f>
        <v>Otros</v>
      </c>
      <c r="W505" s="4">
        <f ca="1">IFERROR(__xludf.DUMMYFUNCTION("""COMPUTED_VALUE"""),3)</f>
        <v>3</v>
      </c>
      <c r="X505" s="4" t="str">
        <f ca="1">IFERROR(__xludf.DUMMYFUNCTION("""COMPUTED_VALUE"""),"10. Otros")</f>
        <v>10. Otros</v>
      </c>
      <c r="Y505" s="4" t="str">
        <f ca="1">IFERROR(__xludf.DUMMYFUNCTION("""COMPUTED_VALUE""")," Otros")</f>
        <v xml:space="preserve"> Otros</v>
      </c>
      <c r="Z505" s="132" t="str">
        <f ca="1">IFERROR(__xludf.DUMMYFUNCTION("""COMPUTED_VALUE"""),"597986")</f>
        <v>597986</v>
      </c>
      <c r="AA505" s="4" t="str">
        <f ca="1">IFERROR(__xludf.DUMMYFUNCTION("""COMPUTED_VALUE"""),"Ajustes en archivo de conciliación de Adquirencia fines de semana")</f>
        <v>Ajustes en archivo de conciliación de Adquirencia fines de semana</v>
      </c>
      <c r="AB505" s="4" t="str">
        <f ca="1">IFERROR(__xludf.DUMMYFUNCTION("""COMPUTED_VALUE"""),"Separar los archivos de conciliación de Adquirencia del fin de semana para que el aplicativo de Net cash los procese de manera individual para el cliente D1 (KOBA) y para algunos otros clientes que presenten esta misma novedad con el alto volumen transacc"&amp;"ional.
Para el resto de comercios se debe seguir manejando con la metodologia tradicional definida. Es decir, el sistema debe permitir  las dos opciones dependiendo las necesidades del cliente.")</f>
        <v>Separar los archivos de conciliación de Adquirencia del fin de semana para que el aplicativo de Net cash los procese de manera individual para el cliente D1 (KOBA) y para algunos otros clientes que presenten esta misma novedad con el alto volumen transaccional.
Para el resto de comercios se debe seguir manejando con la metodologia tradicional definida. Es decir, el sistema debe permitir  las dos opciones dependiendo las necesidades del cliente.</v>
      </c>
      <c r="AC505" s="4" t="str">
        <f ca="1">IFERROR(__xludf.DUMMYFUNCTION("""COMPUTED_VALUE"""),"1Q 2023")</f>
        <v>1Q 2023</v>
      </c>
      <c r="AD505" s="128">
        <f ca="1">IFERROR(__xludf.DUMMYFUNCTION("""COMPUTED_VALUE"""),44819)</f>
        <v>44819</v>
      </c>
      <c r="AE505" s="4"/>
      <c r="AF505" s="4"/>
      <c r="AG505" s="4"/>
      <c r="AH505" s="4"/>
      <c r="AI505" s="4"/>
      <c r="AJ505" s="4"/>
      <c r="AK505" s="131" t="str">
        <f ca="1">IFERROR(__xludf.DUMMYFUNCTION("""COMPUTED_VALUE"""),"COLWSMEDIO-2558")</f>
        <v>COLWSMEDIO-2558</v>
      </c>
      <c r="AL505" s="4" t="str">
        <f ca="1">IFERROR(__xludf.DUMMYFUNCTION("""COMPUTED_VALUE"""),"Deployed")</f>
        <v>Deployed</v>
      </c>
      <c r="AM505" s="4" t="str">
        <f ca="1">IFERROR(__xludf.DUMMYFUNCTION("""COMPUTED_VALUE"""),"11/10/2022 Se radica en JIRA para valoracion de la PMO")</f>
        <v>11/10/2022 Se radica en JIRA para valoracion de la PMO</v>
      </c>
      <c r="AN505" s="4" t="str">
        <f ca="1">IFERROR(__xludf.DUMMYFUNCTION("""COMPUTED_VALUE"""),"Finalizado")</f>
        <v>Finalizado</v>
      </c>
      <c r="AO505" s="4"/>
      <c r="AP505" s="4"/>
      <c r="AQ505" s="4"/>
      <c r="AR505" s="4" t="str">
        <f ca="1">IFERROR(__xludf.DUMMYFUNCTION("""COMPUTED_VALUE"""),"SDA aprobada en PPP Q1 2023")</f>
        <v>SDA aprobada en PPP Q1 2023</v>
      </c>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133">
        <f ca="1">IFERROR(__xludf.DUMMYFUNCTION("""COMPUTED_VALUE"""),0)</f>
        <v>0</v>
      </c>
      <c r="DV505" s="133">
        <f ca="1">IFERROR(__xludf.DUMMYFUNCTION("""COMPUTED_VALUE"""),0)</f>
        <v>0</v>
      </c>
      <c r="DW505" s="133">
        <f ca="1">IFERROR(__xludf.DUMMYFUNCTION("""COMPUTED_VALUE"""),0)</f>
        <v>0</v>
      </c>
      <c r="DX505" s="133">
        <f ca="1">IFERROR(__xludf.DUMMYFUNCTION("""COMPUTED_VALUE"""),12999934)</f>
        <v>12999934</v>
      </c>
      <c r="DY505" s="133">
        <f ca="1">IFERROR(__xludf.DUMMYFUNCTION("""COMPUTED_VALUE"""),0)</f>
        <v>0</v>
      </c>
      <c r="DZ505" s="133">
        <f ca="1">IFERROR(__xludf.DUMMYFUNCTION("""COMPUTED_VALUE"""),12999934)</f>
        <v>12999934</v>
      </c>
      <c r="EA505" s="4"/>
      <c r="EB505" s="4"/>
    </row>
    <row r="506" spans="1:132" x14ac:dyDescent="0.2">
      <c r="A506" s="4">
        <f ca="1">IFERROR(__xludf.DUMMYFUNCTION("""COMPUTED_VALUE"""),506)</f>
        <v>506</v>
      </c>
      <c r="B506" s="4">
        <f ca="1">IFERROR(__xludf.DUMMYFUNCTION("""COMPUTED_VALUE"""),477)</f>
        <v>477</v>
      </c>
      <c r="C506" s="4" t="str">
        <f ca="1">IFERROR(__xludf.DUMMYFUNCTION("""COMPUTED_VALUE"""),"SDATOOL-40383")</f>
        <v>SDATOOL-40383</v>
      </c>
      <c r="D506" s="4" t="str">
        <f ca="1">IFERROR(__xludf.DUMMYFUNCTION("""COMPUTED_VALUE"""),"Procesamiento Nuevas Franquicias")</f>
        <v>Procesamiento Nuevas Franquicias</v>
      </c>
      <c r="E506"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F506" s="4" t="str">
        <f ca="1">IFERROR(__xludf.DUMMYFUNCTION("""COMPUTED_VALUE"""),"Project")</f>
        <v>Project</v>
      </c>
      <c r="G506" s="4" t="str">
        <f ca="1">IFERROR(__xludf.DUMMYFUNCTION("""COMPUTED_VALUE"""),"On hold")</f>
        <v>On hold</v>
      </c>
      <c r="H506" s="4" t="str">
        <f ca="1">IFERROR(__xludf.DUMMYFUNCTION("""COMPUTED_VALUE"""),"2Q 2023")</f>
        <v>2Q 2023</v>
      </c>
      <c r="I506" s="131" t="str">
        <f ca="1">IFERROR(__xludf.DUMMYFUNCTION("""COMPUTED_VALUE"""),"alirio.bermudez-bbva.com")</f>
        <v>alirio.bermudez-bbva.com</v>
      </c>
      <c r="J506" s="131" t="str">
        <f ca="1">IFERROR(__xludf.DUMMYFUNCTION("""COMPUTED_VALUE"""),"marthapatric.cruz-bbva.com")</f>
        <v>marthapatric.cruz-bbva.com</v>
      </c>
      <c r="K506" s="131" t="str">
        <f ca="1">IFERROR(__xludf.DUMMYFUNCTION("""COMPUTED_VALUE"""),"sandrajohanna.gonzalez-bbva.com")</f>
        <v>sandrajohanna.gonzalez-bbva.com</v>
      </c>
      <c r="L506" s="130">
        <f ca="1">IFERROR(__xludf.DUMMYFUNCTION("""COMPUTED_VALUE"""),0)</f>
        <v>0</v>
      </c>
      <c r="M506" s="130">
        <f ca="1">IFERROR(__xludf.DUMMYFUNCTION("""COMPUTED_VALUE"""),0)</f>
        <v>0</v>
      </c>
      <c r="N506" s="130">
        <f ca="1">IFERROR(__xludf.DUMMYFUNCTION("""COMPUTED_VALUE"""),0)</f>
        <v>0</v>
      </c>
      <c r="O506" s="4" t="str">
        <f ca="1">IFERROR(__xludf.DUMMYFUNCTION("""COMPUTED_VALUE"""),"Waterfall")</f>
        <v>Waterfall</v>
      </c>
      <c r="P506" s="4" t="str">
        <f ca="1">IFERROR(__xludf.DUMMYFUNCTION("""COMPUTED_VALUE"""),"Tradicional")</f>
        <v>Tradicional</v>
      </c>
      <c r="Q506" s="4"/>
      <c r="R506" s="130" t="str">
        <f ca="1">IFERROR(__xludf.DUMMYFUNCTION("""COMPUTED_VALUE"""),"Payments &amp; Partnerships")</f>
        <v>Payments &amp; Partnerships</v>
      </c>
      <c r="S506" s="130" t="str">
        <f ca="1">IFERROR(__xludf.DUMMYFUNCTION("""COMPUTED_VALUE"""),"Strategic Review")</f>
        <v>Strategic Review</v>
      </c>
      <c r="T506" s="130" t="str">
        <f ca="1">IFERROR(__xludf.DUMMYFUNCTION("""COMPUTED_VALUE"""),"1. Generación de Ingresos")</f>
        <v>1. Generación de Ingresos</v>
      </c>
      <c r="U506" s="130" t="str">
        <f ca="1">IFERROR(__xludf.DUMMYFUNCTION("""COMPUTED_VALUE"""),"1.4. Proyectos de Pagos y Adquirencia")</f>
        <v>1.4. Proyectos de Pagos y Adquirencia</v>
      </c>
      <c r="V506" s="4" t="str">
        <f ca="1">IFERROR(__xludf.DUMMYFUNCTION("""COMPUTED_VALUE"""),"Mercurio")</f>
        <v>Mercurio</v>
      </c>
      <c r="W506" s="4">
        <f ca="1">IFERROR(__xludf.DUMMYFUNCTION("""COMPUTED_VALUE"""),2)</f>
        <v>2</v>
      </c>
      <c r="X506" s="4" t="str">
        <f ca="1">IFERROR(__xludf.DUMMYFUNCTION("""COMPUTED_VALUE"""),"02. Open Pay &amp; Mercurio")</f>
        <v>02. Open Pay &amp; Mercurio</v>
      </c>
      <c r="Y506" s="4" t="str">
        <f ca="1">IFERROR(__xludf.DUMMYFUNCTION("""COMPUTED_VALUE"""),"4.2.3 Acquiring - Mercurio")</f>
        <v>4.2.3 Acquiring - Mercurio</v>
      </c>
      <c r="Z506" s="132" t="str">
        <f ca="1">IFERROR(__xludf.DUMMYFUNCTION("""COMPUTED_VALUE"""),"558062")</f>
        <v>558062</v>
      </c>
      <c r="AA506" s="4" t="str">
        <f ca="1">IFERROR(__xludf.DUMMYFUNCTION("""COMPUTED_VALUE"""),"Recepción de pagos con depositos y tarjetas de franquicia Diners Club")</f>
        <v>Recepción de pagos con depositos y tarjetas de franquicia Diners Club</v>
      </c>
      <c r="AB506" s="4" t="str">
        <f ca="1">IFERROR(__xludf.DUMMYFUNCTION("""COMPUTED_VALUE"""),"Permitir al comercio adquirente de BBVA que reciba pagos de sus venta presentes o no presentes con depositos de bajo monto (daviplata, dinero movil, nequi...) y tarjetas de franquicia Diners Club.")</f>
        <v>Permitir al comercio adquirente de BBVA que reciba pagos de sus venta presentes o no presentes con depositos de bajo monto (daviplata, dinero movil, nequi...) y tarjetas de franquicia Diners Club.</v>
      </c>
      <c r="AC506" s="4" t="str">
        <f ca="1">IFERROR(__xludf.DUMMYFUNCTION("""COMPUTED_VALUE"""),"2Q 2024")</f>
        <v>2Q 2024</v>
      </c>
      <c r="AD506" s="128" t="str">
        <f ca="1">IFERROR(__xludf.DUMMYFUNCTION("""COMPUTED_VALUE"""),"-")</f>
        <v>-</v>
      </c>
      <c r="AE506" s="128" t="str">
        <f ca="1">IFERROR(__xludf.DUMMYFUNCTION("""COMPUTED_VALUE"""),"-")</f>
        <v>-</v>
      </c>
      <c r="AF506" s="128" t="str">
        <f ca="1">IFERROR(__xludf.DUMMYFUNCTION("""COMPUTED_VALUE"""),"-")</f>
        <v>-</v>
      </c>
      <c r="AG506" s="128" t="str">
        <f ca="1">IFERROR(__xludf.DUMMYFUNCTION("""COMPUTED_VALUE"""),"-")</f>
        <v>-</v>
      </c>
      <c r="AH506" s="128" t="str">
        <f ca="1">IFERROR(__xludf.DUMMYFUNCTION("""COMPUTED_VALUE"""),"-")</f>
        <v>-</v>
      </c>
      <c r="AI506" s="128" t="str">
        <f ca="1">IFERROR(__xludf.DUMMYFUNCTION("""COMPUTED_VALUE"""),"-")</f>
        <v>-</v>
      </c>
      <c r="AJ506" s="128" t="str">
        <f ca="1">IFERROR(__xludf.DUMMYFUNCTION("""COMPUTED_VALUE"""),"-")</f>
        <v>-</v>
      </c>
      <c r="AK506" s="4" t="str">
        <f ca="1">IFERROR(__xludf.DUMMYFUNCTION("""COMPUTED_VALUE"""),"Sin asignar")</f>
        <v>Sin asignar</v>
      </c>
      <c r="AL506" s="4" t="str">
        <f ca="1">IFERROR(__xludf.DUMMYFUNCTION("""COMPUTED_VALUE"""),"Sin asignar")</f>
        <v>Sin asignar</v>
      </c>
      <c r="AM506" s="4" t="str">
        <f ca="1">IFERROR(__xludf.DUMMYFUNCTION("""COMPUTED_VALUE"""),"Sin priorización por parte del Sponsor")</f>
        <v>Sin priorización por parte del Sponsor</v>
      </c>
      <c r="AN506" s="4" t="str">
        <f ca="1">IFERROR(__xludf.DUMMYFUNCTION("""COMPUTED_VALUE"""),"Entregable en backlog")</f>
        <v>Entregable en backlog</v>
      </c>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133">
        <f ca="1">IFERROR(__xludf.DUMMYFUNCTION("""COMPUTED_VALUE"""),0)</f>
        <v>0</v>
      </c>
      <c r="DV506" s="133">
        <f ca="1">IFERROR(__xludf.DUMMYFUNCTION("""COMPUTED_VALUE"""),0)</f>
        <v>0</v>
      </c>
      <c r="DW506" s="133">
        <f ca="1">IFERROR(__xludf.DUMMYFUNCTION("""COMPUTED_VALUE"""),0)</f>
        <v>0</v>
      </c>
      <c r="DX506" s="133">
        <f ca="1">IFERROR(__xludf.DUMMYFUNCTION("""COMPUTED_VALUE"""),0)</f>
        <v>0</v>
      </c>
      <c r="DY506" s="133">
        <f ca="1">IFERROR(__xludf.DUMMYFUNCTION("""COMPUTED_VALUE"""),0)</f>
        <v>0</v>
      </c>
      <c r="DZ506" s="133">
        <f ca="1">IFERROR(__xludf.DUMMYFUNCTION("""COMPUTED_VALUE"""),0)</f>
        <v>0</v>
      </c>
      <c r="EA506" s="4"/>
      <c r="EB506" s="4"/>
    </row>
    <row r="507" spans="1:132" x14ac:dyDescent="0.2">
      <c r="A507" s="4">
        <f ca="1">IFERROR(__xludf.DUMMYFUNCTION("""COMPUTED_VALUE"""),507)</f>
        <v>507</v>
      </c>
      <c r="B507" s="4">
        <f ca="1">IFERROR(__xludf.DUMMYFUNCTION("""COMPUTED_VALUE"""),478)</f>
        <v>478</v>
      </c>
      <c r="C507" s="4" t="str">
        <f ca="1">IFERROR(__xludf.DUMMYFUNCTION("""COMPUTED_VALUE"""),"SDATOOL-40383")</f>
        <v>SDATOOL-40383</v>
      </c>
      <c r="D507" s="4" t="str">
        <f ca="1">IFERROR(__xludf.DUMMYFUNCTION("""COMPUTED_VALUE"""),"Procesamiento Nuevas Franquicias")</f>
        <v>Procesamiento Nuevas Franquicias</v>
      </c>
      <c r="E507"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F507" s="4" t="str">
        <f ca="1">IFERROR(__xludf.DUMMYFUNCTION("""COMPUTED_VALUE"""),"Project")</f>
        <v>Project</v>
      </c>
      <c r="G507" s="4" t="str">
        <f ca="1">IFERROR(__xludf.DUMMYFUNCTION("""COMPUTED_VALUE"""),"On hold")</f>
        <v>On hold</v>
      </c>
      <c r="H507" s="4" t="str">
        <f ca="1">IFERROR(__xludf.DUMMYFUNCTION("""COMPUTED_VALUE"""),"2Q 2023")</f>
        <v>2Q 2023</v>
      </c>
      <c r="I507" s="131" t="str">
        <f ca="1">IFERROR(__xludf.DUMMYFUNCTION("""COMPUTED_VALUE"""),"alirio.bermudez-bbva.com")</f>
        <v>alirio.bermudez-bbva.com</v>
      </c>
      <c r="J507" s="131" t="str">
        <f ca="1">IFERROR(__xludf.DUMMYFUNCTION("""COMPUTED_VALUE"""),"marthapatric.cruz-bbva.com")</f>
        <v>marthapatric.cruz-bbva.com</v>
      </c>
      <c r="K507" s="131" t="str">
        <f ca="1">IFERROR(__xludf.DUMMYFUNCTION("""COMPUTED_VALUE"""),"sandrajohanna.gonzalez-bbva.com")</f>
        <v>sandrajohanna.gonzalez-bbva.com</v>
      </c>
      <c r="L507" s="4"/>
      <c r="M507" s="4"/>
      <c r="N507" s="4"/>
      <c r="O507" s="4" t="str">
        <f ca="1">IFERROR(__xludf.DUMMYFUNCTION("""COMPUTED_VALUE"""),"Waterfall")</f>
        <v>Waterfall</v>
      </c>
      <c r="P507" s="4" t="str">
        <f ca="1">IFERROR(__xludf.DUMMYFUNCTION("""COMPUTED_VALUE"""),"Tradicional")</f>
        <v>Tradicional</v>
      </c>
      <c r="Q507" s="4"/>
      <c r="R507" s="130" t="str">
        <f ca="1">IFERROR(__xludf.DUMMYFUNCTION("""COMPUTED_VALUE"""),"Payments &amp; Partnerships")</f>
        <v>Payments &amp; Partnerships</v>
      </c>
      <c r="S507" s="130" t="str">
        <f ca="1">IFERROR(__xludf.DUMMYFUNCTION("""COMPUTED_VALUE"""),"Strategic Review")</f>
        <v>Strategic Review</v>
      </c>
      <c r="T507" s="130" t="str">
        <f ca="1">IFERROR(__xludf.DUMMYFUNCTION("""COMPUTED_VALUE"""),"1. Generación de Ingresos")</f>
        <v>1. Generación de Ingresos</v>
      </c>
      <c r="U507" s="130" t="str">
        <f ca="1">IFERROR(__xludf.DUMMYFUNCTION("""COMPUTED_VALUE"""),"1.4. Proyectos de Pagos y Adquirencia")</f>
        <v>1.4. Proyectos de Pagos y Adquirencia</v>
      </c>
      <c r="V507" s="4" t="str">
        <f ca="1">IFERROR(__xludf.DUMMYFUNCTION("""COMPUTED_VALUE"""),"Mercurio")</f>
        <v>Mercurio</v>
      </c>
      <c r="W507" s="4">
        <f ca="1">IFERROR(__xludf.DUMMYFUNCTION("""COMPUTED_VALUE"""),2)</f>
        <v>2</v>
      </c>
      <c r="X507" s="4" t="str">
        <f ca="1">IFERROR(__xludf.DUMMYFUNCTION("""COMPUTED_VALUE"""),"02. Open Pay &amp; Mercurio")</f>
        <v>02. Open Pay &amp; Mercurio</v>
      </c>
      <c r="Y507" s="4" t="str">
        <f ca="1">IFERROR(__xludf.DUMMYFUNCTION("""COMPUTED_VALUE"""),"4.2.3 Acquiring - Mercurio")</f>
        <v>4.2.3 Acquiring - Mercurio</v>
      </c>
      <c r="Z507" s="132" t="str">
        <f ca="1">IFERROR(__xludf.DUMMYFUNCTION("""COMPUTED_VALUE"""),"558061")</f>
        <v>558061</v>
      </c>
      <c r="AA507" s="4" t="str">
        <f ca="1">IFERROR(__xludf.DUMMYFUNCTION("""COMPUTED_VALUE"""),"Recibir de las redes las transacciones de otras marcas")</f>
        <v>Recibir de las redes las transacciones de otras marcas</v>
      </c>
      <c r="AB507"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AC507" s="4" t="str">
        <f ca="1">IFERROR(__xludf.DUMMYFUNCTION("""COMPUTED_VALUE"""),"2Q 2024")</f>
        <v>2Q 2024</v>
      </c>
      <c r="AD507" s="4"/>
      <c r="AE507" s="4"/>
      <c r="AF507" s="4"/>
      <c r="AG507" s="4"/>
      <c r="AH507" s="4"/>
      <c r="AI507" s="4"/>
      <c r="AJ507" s="4"/>
      <c r="AK507" s="4" t="str">
        <f ca="1">IFERROR(__xludf.DUMMYFUNCTION("""COMPUTED_VALUE"""),"Sin asignar")</f>
        <v>Sin asignar</v>
      </c>
      <c r="AL507" s="4" t="str">
        <f ca="1">IFERROR(__xludf.DUMMYFUNCTION("""COMPUTED_VALUE"""),"Sin asignar")</f>
        <v>Sin asignar</v>
      </c>
      <c r="AM507" s="4" t="str">
        <f ca="1">IFERROR(__xludf.DUMMYFUNCTION("""COMPUTED_VALUE"""),"Sin priorización por parte del Sponsor")</f>
        <v>Sin priorización por parte del Sponsor</v>
      </c>
      <c r="AN507" s="4" t="str">
        <f ca="1">IFERROR(__xludf.DUMMYFUNCTION("""COMPUTED_VALUE"""),"Entregable en backlog")</f>
        <v>Entregable en backlog</v>
      </c>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row>
    <row r="508" spans="1:132" x14ac:dyDescent="0.2">
      <c r="A508" s="4">
        <f ca="1">IFERROR(__xludf.DUMMYFUNCTION("""COMPUTED_VALUE"""),508)</f>
        <v>508</v>
      </c>
      <c r="B508" s="4">
        <f ca="1">IFERROR(__xludf.DUMMYFUNCTION("""COMPUTED_VALUE"""),479)</f>
        <v>479</v>
      </c>
      <c r="C508" s="4" t="str">
        <f ca="1">IFERROR(__xludf.DUMMYFUNCTION("""COMPUTED_VALUE"""),"SDATOOL-40468")</f>
        <v>SDATOOL-40468</v>
      </c>
      <c r="D508" s="4" t="str">
        <f ca="1">IFERROR(__xludf.DUMMYFUNCTION("""COMPUTED_VALUE"""),"Mapa de comercios adquirencia - Fase 2")</f>
        <v>Mapa de comercios adquirencia - Fase 2</v>
      </c>
      <c r="E508" s="4" t="str">
        <f ca="1">IFERROR(__xludf.DUMMYFUNCTION("""COMPUTED_VALUE"""),"Se requiere complementar el informe de Mapa de Adquierencias con nuevos requerimientos e informacion que nos permita llevar el correcto seguimiento de negocio de Adquierencia.")</f>
        <v>Se requiere complementar el informe de Mapa de Adquierencias con nuevos requerimientos e informacion que nos permita llevar el correcto seguimiento de negocio de Adquierencia.</v>
      </c>
      <c r="F508" s="4" t="str">
        <f ca="1">IFERROR(__xludf.DUMMYFUNCTION("""COMPUTED_VALUE"""),"Initiative")</f>
        <v>Initiative</v>
      </c>
      <c r="G508" s="4" t="str">
        <f ca="1">IFERROR(__xludf.DUMMYFUNCTION("""COMPUTED_VALUE"""),"On hold")</f>
        <v>On hold</v>
      </c>
      <c r="H508" s="4" t="str">
        <f ca="1">IFERROR(__xludf.DUMMYFUNCTION("""COMPUTED_VALUE"""),"2Q 2023")</f>
        <v>2Q 2023</v>
      </c>
      <c r="I508" s="131" t="str">
        <f ca="1">IFERROR(__xludf.DUMMYFUNCTION("""COMPUTED_VALUE"""),"alirio.bermudez-bbva.com")</f>
        <v>alirio.bermudez-bbva.com</v>
      </c>
      <c r="J508" s="131" t="str">
        <f ca="1">IFERROR(__xludf.DUMMYFUNCTION("""COMPUTED_VALUE"""),"marthapatric.cruz-bbva.com")</f>
        <v>marthapatric.cruz-bbva.com</v>
      </c>
      <c r="K508" s="131" t="str">
        <f ca="1">IFERROR(__xludf.DUMMYFUNCTION("""COMPUTED_VALUE"""),"nathaliamaria.torres-bbva.com")</f>
        <v>nathaliamaria.torres-bbva.com</v>
      </c>
      <c r="L508" s="130">
        <f ca="1">IFERROR(__xludf.DUMMYFUNCTION("""COMPUTED_VALUE"""),0)</f>
        <v>0</v>
      </c>
      <c r="M508" s="130">
        <f ca="1">IFERROR(__xludf.DUMMYFUNCTION("""COMPUTED_VALUE"""),0.4)</f>
        <v>0.4</v>
      </c>
      <c r="N508" s="130">
        <f ca="1">IFERROR(__xludf.DUMMYFUNCTION("""COMPUTED_VALUE"""),0)</f>
        <v>0</v>
      </c>
      <c r="O508" s="4" t="str">
        <f ca="1">IFERROR(__xludf.DUMMYFUNCTION("""COMPUTED_VALUE"""),"Waterfall")</f>
        <v>Waterfall</v>
      </c>
      <c r="P508" s="4" t="str">
        <f ca="1">IFERROR(__xludf.DUMMYFUNCTION("""COMPUTED_VALUE"""),"Tradicional")</f>
        <v>Tradicional</v>
      </c>
      <c r="Q508" s="4"/>
      <c r="R508" s="130" t="str">
        <f ca="1">IFERROR(__xludf.DUMMYFUNCTION("""COMPUTED_VALUE"""),"Payments &amp; Partnerships")</f>
        <v>Payments &amp; Partnerships</v>
      </c>
      <c r="S508" s="130" t="str">
        <f ca="1">IFERROR(__xludf.DUMMYFUNCTION("""COMPUTED_VALUE"""),"Strategic Review")</f>
        <v>Strategic Review</v>
      </c>
      <c r="T508" s="130" t="str">
        <f ca="1">IFERROR(__xludf.DUMMYFUNCTION("""COMPUTED_VALUE"""),"1. Generación de Ingresos")</f>
        <v>1. Generación de Ingresos</v>
      </c>
      <c r="U508" s="130" t="str">
        <f ca="1">IFERROR(__xludf.DUMMYFUNCTION("""COMPUTED_VALUE"""),"1.4. Proyectos de Pagos y Adquirencia")</f>
        <v>1.4. Proyectos de Pagos y Adquirencia</v>
      </c>
      <c r="V508" s="4" t="str">
        <f ca="1">IFERROR(__xludf.DUMMYFUNCTION("""COMPUTED_VALUE"""),"Adquirencia")</f>
        <v>Adquirencia</v>
      </c>
      <c r="W508" s="4">
        <f ca="1">IFERROR(__xludf.DUMMYFUNCTION("""COMPUTED_VALUE"""),2)</f>
        <v>2</v>
      </c>
      <c r="X508" s="4" t="str">
        <f ca="1">IFERROR(__xludf.DUMMYFUNCTION("""COMPUTED_VALUE"""),"10. Otros")</f>
        <v>10. Otros</v>
      </c>
      <c r="Y508" s="4"/>
      <c r="Z508" s="132" t="str">
        <f ca="1">IFERROR(__xludf.DUMMYFUNCTION("""COMPUTED_VALUE"""),"623096")</f>
        <v>623096</v>
      </c>
      <c r="AA508" s="4" t="str">
        <f ca="1">IFERROR(__xludf.DUMMYFUNCTION("""COMPUTED_VALUE"""),"Mapa de comercios - Ajustes orientados a cruces contables.")</f>
        <v>Mapa de comercios - Ajustes orientados a cruces contables.</v>
      </c>
      <c r="AB508" s="4" t="str">
        <f ca="1">IFERROR(__xludf.DUMMYFUNCTION("""COMPUTED_VALUE"""),"En este entregable se incluirán los ajustes en el mapa de comercios orientados a que la información de adquirencias cruce con la contabilidad, con el fin de mostrar una información mas realista y optima.")</f>
        <v>En este entregable se incluirán los ajustes en el mapa de comercios orientados a que la información de adquirencias cruce con la contabilidad, con el fin de mostrar una información mas realista y optima.</v>
      </c>
      <c r="AC508" s="4" t="str">
        <f ca="1">IFERROR(__xludf.DUMMYFUNCTION("""COMPUTED_VALUE"""),"4Q 2023")</f>
        <v>4Q 2023</v>
      </c>
      <c r="AD508" s="4"/>
      <c r="AE508" s="4"/>
      <c r="AF508" s="4"/>
      <c r="AG508" s="4"/>
      <c r="AH508" s="4"/>
      <c r="AI508" s="4"/>
      <c r="AJ508" s="4"/>
      <c r="AK508" s="131" t="str">
        <f ca="1">IFERROR(__xludf.DUMMYFUNCTION("""COMPUTED_VALUE"""),"COLWSMEDIO-6460")</f>
        <v>COLWSMEDIO-6460</v>
      </c>
      <c r="AL508" s="4" t="str">
        <f ca="1">IFERROR(__xludf.DUMMYFUNCTION("""COMPUTED_VALUE"""),"New")</f>
        <v>New</v>
      </c>
      <c r="AM508" s="4" t="str">
        <f ca="1">IFERROR(__xludf.DUMMYFUNCTION("""COMPUTED_VALUE"""),"Sin prioridad por parte de Sponsor")</f>
        <v>Sin prioridad por parte de Sponsor</v>
      </c>
      <c r="AN508" s="4" t="str">
        <f ca="1">IFERROR(__xludf.DUMMYFUNCTION("""COMPUTED_VALUE"""),"Entregable en Conceptualización")</f>
        <v>Entregable en Conceptualización</v>
      </c>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135">
        <f ca="1">IFERROR(__xludf.DUMMYFUNCTION("""COMPUTED_VALUE"""),0)</f>
        <v>0</v>
      </c>
      <c r="DV508" s="135">
        <f ca="1">IFERROR(__xludf.DUMMYFUNCTION("""COMPUTED_VALUE"""),0)</f>
        <v>0</v>
      </c>
      <c r="DW508" s="135">
        <f ca="1">IFERROR(__xludf.DUMMYFUNCTION("""COMPUTED_VALUE"""),0)</f>
        <v>0</v>
      </c>
      <c r="DX508" s="4">
        <f ca="1">IFERROR(__xludf.DUMMYFUNCTION("""COMPUTED_VALUE"""),50000000)</f>
        <v>50000000</v>
      </c>
      <c r="DY508" s="4">
        <f ca="1">IFERROR(__xludf.DUMMYFUNCTION("""COMPUTED_VALUE"""),0)</f>
        <v>0</v>
      </c>
      <c r="DZ508" s="135">
        <f ca="1">IFERROR(__xludf.DUMMYFUNCTION("""COMPUTED_VALUE"""),50000000)</f>
        <v>50000000</v>
      </c>
      <c r="EA508" s="4"/>
      <c r="EB508" s="4"/>
    </row>
    <row r="509" spans="1:132" x14ac:dyDescent="0.2">
      <c r="A509" s="4">
        <f ca="1">IFERROR(__xludf.DUMMYFUNCTION("""COMPUTED_VALUE"""),509)</f>
        <v>509</v>
      </c>
      <c r="B509" s="4">
        <f ca="1">IFERROR(__xludf.DUMMYFUNCTION("""COMPUTED_VALUE"""),480)</f>
        <v>480</v>
      </c>
      <c r="C509" s="4" t="str">
        <f ca="1">IFERROR(__xludf.DUMMYFUNCTION("""COMPUTED_VALUE"""),"SDATOOL-40469")</f>
        <v>SDATOOL-40469</v>
      </c>
      <c r="D509" s="4" t="str">
        <f ca="1">IFERROR(__xludf.DUMMYFUNCTION("""COMPUTED_VALUE"""),"Reversión reintegros parciales Adquirencia - Ajustes de comercio LATAM")</f>
        <v>Reversión reintegros parciales Adquirencia - Ajustes de comercio LATAM</v>
      </c>
      <c r="E509" s="4" t="str">
        <f ca="1">IFERROR(__xludf.DUMMYFUNCTION("""COMPUTED_VALUE"""),"Los comercios vinculados en el producto de adquirencia pueden solicitar por medio de la red de
procesamiento reversiones de las transacciones ejecutadas por la operación de venta en sus comercios, en
este caso el banco realiza el débito de la cuenta del c"&amp;"omercio y la reintegra al banco Emisor, sin embargo,
para algunos clientes como Latam, se requiere realizar reversiones parciales y el banco BBVA no tiene
soporte en el aplicativo para el procesamiento de estas solicitudes, generando impactos en los proce"&amp;"sos de
conciliación del cliente y también en el reintegro de impuestos ante la DIAN como lo son Reteiva, reteica y
retefuente, actualmente se tiene un promedio de 1000 solicitudes de reintegros al mes.")</f>
        <v>Los comercios vinculados en el producto de adquirencia pueden solicitar por medio de la red de
procesamiento reversiones de las transacciones ejecutadas por la operación de venta en sus comercios, en
este caso el banco realiza el débito de la cuenta del comercio y la reintegra al banco Emisor, sin embargo,
para algunos clientes como Latam, se requiere realizar reversiones parciales y el banco BBVA no tiene
soporte en el aplicativo para el procesamiento de estas solicitudes, generando impactos en los procesos de
conciliación del cliente y también en el reintegro de impuestos ante la DIAN como lo son Reteiva, reteica y
retefuente, actualmente se tiene un promedio de 1000 solicitudes de reintegros al mes.</v>
      </c>
      <c r="F509" s="4" t="str">
        <f ca="1">IFERROR(__xludf.DUMMYFUNCTION("""COMPUTED_VALUE"""),"Project")</f>
        <v>Project</v>
      </c>
      <c r="G509" s="4" t="str">
        <f ca="1">IFERROR(__xludf.DUMMYFUNCTION("""COMPUTED_VALUE"""),"On hold")</f>
        <v>On hold</v>
      </c>
      <c r="H509" s="4" t="str">
        <f ca="1">IFERROR(__xludf.DUMMYFUNCTION("""COMPUTED_VALUE"""),"2Q 2023")</f>
        <v>2Q 2023</v>
      </c>
      <c r="I509" s="131" t="str">
        <f ca="1">IFERROR(__xludf.DUMMYFUNCTION("""COMPUTED_VALUE"""),"alirio.bermudez-bbva.com")</f>
        <v>alirio.bermudez-bbva.com</v>
      </c>
      <c r="J509" s="131" t="str">
        <f ca="1">IFERROR(__xludf.DUMMYFUNCTION("""COMPUTED_VALUE"""),"marthapatric.cruz-bbva.com")</f>
        <v>marthapatric.cruz-bbva.com</v>
      </c>
      <c r="K509" s="131" t="str">
        <f ca="1">IFERROR(__xludf.DUMMYFUNCTION("""COMPUTED_VALUE"""),"nathaliamaria.torres-bbva.com")</f>
        <v>nathaliamaria.torres-bbva.com</v>
      </c>
      <c r="L509" s="130">
        <f ca="1">IFERROR(__xludf.DUMMYFUNCTION("""COMPUTED_VALUE"""),0)</f>
        <v>0</v>
      </c>
      <c r="M509" s="130">
        <f ca="1">IFERROR(__xludf.DUMMYFUNCTION("""COMPUTED_VALUE"""),0.3)</f>
        <v>0.3</v>
      </c>
      <c r="N509" s="130">
        <f ca="1">IFERROR(__xludf.DUMMYFUNCTION("""COMPUTED_VALUE"""),0)</f>
        <v>0</v>
      </c>
      <c r="O509" s="4" t="str">
        <f ca="1">IFERROR(__xludf.DUMMYFUNCTION("""COMPUTED_VALUE"""),"Waterfall")</f>
        <v>Waterfall</v>
      </c>
      <c r="P509" s="4" t="str">
        <f ca="1">IFERROR(__xludf.DUMMYFUNCTION("""COMPUTED_VALUE"""),"Tradicional")</f>
        <v>Tradicional</v>
      </c>
      <c r="Q509" s="4"/>
      <c r="R509" s="130" t="str">
        <f ca="1">IFERROR(__xludf.DUMMYFUNCTION("""COMPUTED_VALUE"""),"Payments &amp; Partnerships")</f>
        <v>Payments &amp; Partnerships</v>
      </c>
      <c r="S509" s="130" t="str">
        <f ca="1">IFERROR(__xludf.DUMMYFUNCTION("""COMPUTED_VALUE"""),"Strategic Review")</f>
        <v>Strategic Review</v>
      </c>
      <c r="T509" s="130" t="str">
        <f ca="1">IFERROR(__xludf.DUMMYFUNCTION("""COMPUTED_VALUE"""),"1. Generación de Ingresos")</f>
        <v>1. Generación de Ingresos</v>
      </c>
      <c r="U509" s="130" t="str">
        <f ca="1">IFERROR(__xludf.DUMMYFUNCTION("""COMPUTED_VALUE"""),"1.4. Proyectos de Pagos y Adquirencia")</f>
        <v>1.4. Proyectos de Pagos y Adquirencia</v>
      </c>
      <c r="V509" s="4" t="str">
        <f ca="1">IFERROR(__xludf.DUMMYFUNCTION("""COMPUTED_VALUE"""),"Adquirencia")</f>
        <v>Adquirencia</v>
      </c>
      <c r="W509" s="4">
        <f ca="1">IFERROR(__xludf.DUMMYFUNCTION("""COMPUTED_VALUE"""),3)</f>
        <v>3</v>
      </c>
      <c r="X509" s="4" t="str">
        <f ca="1">IFERROR(__xludf.DUMMYFUNCTION("""COMPUTED_VALUE"""),"10. Otros")</f>
        <v>10. Otros</v>
      </c>
      <c r="Y509" s="4"/>
      <c r="Z509" s="132" t="str">
        <f ca="1">IFERROR(__xludf.DUMMYFUNCTION("""COMPUTED_VALUE"""),"623095")</f>
        <v>623095</v>
      </c>
      <c r="AA509" s="4" t="str">
        <f ca="1">IFERROR(__xludf.DUMMYFUNCTION("""COMPUTED_VALUE"""),"Ajustes Latam - Reintegro Parcial")</f>
        <v>Ajustes Latam - Reintegro Parcial</v>
      </c>
      <c r="AB509" s="4" t="str">
        <f ca="1">IFERROR(__xludf.DUMMYFUNCTION("""COMPUTED_VALUE"""),"Se requiere generar un proceso de liquidación que permita realizar reintegros parciales para las solicitudes realizadas por los clientes, este proceso debe tener en cuenta los porcentajes y comisiones a reintegrar. Actualmente se están realizando de maner"&amp;"a automatizada solo los reintegros totales, lo cual conlleva a conciliaciones adicionales, por parte del banco y de los clientes.")</f>
        <v>Se requiere generar un proceso de liquidación que permita realizar reintegros parciales para las solicitudes realizadas por los clientes, este proceso debe tener en cuenta los porcentajes y comisiones a reintegrar. Actualmente se están realizando de manera automatizada solo los reintegros totales, lo cual conlleva a conciliaciones adicionales, por parte del banco y de los clientes.</v>
      </c>
      <c r="AC509" s="4" t="str">
        <f ca="1">IFERROR(__xludf.DUMMYFUNCTION("""COMPUTED_VALUE"""),"3Q 2023")</f>
        <v>3Q 2023</v>
      </c>
      <c r="AD509" s="4"/>
      <c r="AE509" s="4"/>
      <c r="AF509" s="4"/>
      <c r="AG509" s="4"/>
      <c r="AH509" s="4"/>
      <c r="AI509" s="4"/>
      <c r="AJ509" s="4"/>
      <c r="AK509" s="131" t="str">
        <f ca="1">IFERROR(__xludf.DUMMYFUNCTION("""COMPUTED_VALUE"""),"COLWSMEDIO-4794")</f>
        <v>COLWSMEDIO-4794</v>
      </c>
      <c r="AL509" s="4" t="str">
        <f ca="1">IFERROR(__xludf.DUMMYFUNCTION("""COMPUTED_VALUE"""),"New")</f>
        <v>New</v>
      </c>
      <c r="AM509" s="4" t="str">
        <f ca="1">IFERROR(__xludf.DUMMYFUNCTION("""COMPUTED_VALUE"""),"Sin prioridad por parte de Sponsor")</f>
        <v>Sin prioridad por parte de Sponsor</v>
      </c>
      <c r="AN509" s="4" t="str">
        <f ca="1">IFERROR(__xludf.DUMMYFUNCTION("""COMPUTED_VALUE"""),"Entregable en Conceptualización")</f>
        <v>Entregable en Conceptualización</v>
      </c>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135">
        <f ca="1">IFERROR(__xludf.DUMMYFUNCTION("""COMPUTED_VALUE"""),0)</f>
        <v>0</v>
      </c>
      <c r="DV509" s="135">
        <f ca="1">IFERROR(__xludf.DUMMYFUNCTION("""COMPUTED_VALUE"""),0)</f>
        <v>0</v>
      </c>
      <c r="DW509" s="135">
        <f ca="1">IFERROR(__xludf.DUMMYFUNCTION("""COMPUTED_VALUE"""),0)</f>
        <v>0</v>
      </c>
      <c r="DX509" s="4">
        <f ca="1">IFERROR(__xludf.DUMMYFUNCTION("""COMPUTED_VALUE"""),50000000)</f>
        <v>50000000</v>
      </c>
      <c r="DY509" s="4">
        <f ca="1">IFERROR(__xludf.DUMMYFUNCTION("""COMPUTED_VALUE"""),0)</f>
        <v>0</v>
      </c>
      <c r="DZ509" s="135">
        <f ca="1">IFERROR(__xludf.DUMMYFUNCTION("""COMPUTED_VALUE"""),50000000)</f>
        <v>50000000</v>
      </c>
      <c r="EA509" s="4"/>
      <c r="EB509" s="4"/>
    </row>
    <row r="510" spans="1:132" x14ac:dyDescent="0.2">
      <c r="A510" s="4">
        <f ca="1">IFERROR(__xludf.DUMMYFUNCTION("""COMPUTED_VALUE"""),510)</f>
        <v>510</v>
      </c>
      <c r="B510" s="4">
        <f ca="1">IFERROR(__xludf.DUMMYFUNCTION("""COMPUTED_VALUE"""),481)</f>
        <v>481</v>
      </c>
      <c r="C510" s="4" t="str">
        <f ca="1">IFERROR(__xludf.DUMMYFUNCTION("""COMPUTED_VALUE"""),"SDATOOL-40476")</f>
        <v>SDATOOL-40476</v>
      </c>
      <c r="D510" s="4" t="str">
        <f ca="1">IFERROR(__xludf.DUMMYFUNCTION("""COMPUTED_VALUE"""),"Conexión Directa con las Franquicias Visa y Mastercard")</f>
        <v>Conexión Directa con las Franquicias Visa y Mastercard</v>
      </c>
      <c r="E510" s="4" t="str">
        <f ca="1">IFERROR(__xludf.DUMMYFUNCTION("""COMPUTED_VALUE"""),"Se requiere realizar la conexión directa de la franquicia Visa desde nuestro procesador Redeban para Adquirencia, con el objetivo de lograr que las transacciones con tarjetas Visa que accedan a través de un POS de Redeban se enrutan directo al procesador "&amp;"emisor y no a CredibanCo. Con esto disminuir en un 50% los costos de procesamiento.")</f>
        <v>Se requiere realizar la conexión directa de la franquicia Visa desde nuestro procesador Redeban para Adquirencia, con el objetivo de lograr que las transacciones con tarjetas Visa que accedan a través de un POS de Redeban se enrutan directo al procesador emisor y no a CredibanCo. Con esto disminuir en un 50% los costos de procesamiento.</v>
      </c>
      <c r="F510" s="4" t="str">
        <f ca="1">IFERROR(__xludf.DUMMYFUNCTION("""COMPUTED_VALUE"""),"Initiative")</f>
        <v>Initiative</v>
      </c>
      <c r="G510" s="4" t="str">
        <f ca="1">IFERROR(__xludf.DUMMYFUNCTION("""COMPUTED_VALUE"""),"On hold")</f>
        <v>On hold</v>
      </c>
      <c r="H510" s="4" t="str">
        <f ca="1">IFERROR(__xludf.DUMMYFUNCTION("""COMPUTED_VALUE"""),"4Q 2023")</f>
        <v>4Q 2023</v>
      </c>
      <c r="I510" s="131" t="str">
        <f ca="1">IFERROR(__xludf.DUMMYFUNCTION("""COMPUTED_VALUE"""),"alirio.bermudez-bbva.com")</f>
        <v>alirio.bermudez-bbva.com</v>
      </c>
      <c r="J510" s="131" t="str">
        <f ca="1">IFERROR(__xludf.DUMMYFUNCTION("""COMPUTED_VALUE"""),"marthapatric.cruz-bbva.com")</f>
        <v>marthapatric.cruz-bbva.com</v>
      </c>
      <c r="K510" s="131" t="str">
        <f ca="1">IFERROR(__xludf.DUMMYFUNCTION("""COMPUTED_VALUE"""),"nathaliamaria.torres-bbva.com")</f>
        <v>nathaliamaria.torres-bbva.com</v>
      </c>
      <c r="L510" s="130">
        <f ca="1">IFERROR(__xludf.DUMMYFUNCTION("""COMPUTED_VALUE"""),0)</f>
        <v>0</v>
      </c>
      <c r="M510" s="130">
        <f ca="1">IFERROR(__xludf.DUMMYFUNCTION("""COMPUTED_VALUE"""),0)</f>
        <v>0</v>
      </c>
      <c r="N510" s="130">
        <f ca="1">IFERROR(__xludf.DUMMYFUNCTION("""COMPUTED_VALUE"""),0)</f>
        <v>0</v>
      </c>
      <c r="O510" s="4" t="str">
        <f ca="1">IFERROR(__xludf.DUMMYFUNCTION("""COMPUTED_VALUE"""),"Waterfall")</f>
        <v>Waterfall</v>
      </c>
      <c r="P510" s="4" t="str">
        <f ca="1">IFERROR(__xludf.DUMMYFUNCTION("""COMPUTED_VALUE"""),"Tradicional")</f>
        <v>Tradicional</v>
      </c>
      <c r="Q510" s="4"/>
      <c r="R510" s="130" t="str">
        <f ca="1">IFERROR(__xludf.DUMMYFUNCTION("""COMPUTED_VALUE"""),"Payments &amp; Partnerships")</f>
        <v>Payments &amp; Partnerships</v>
      </c>
      <c r="S510" s="130" t="str">
        <f ca="1">IFERROR(__xludf.DUMMYFUNCTION("""COMPUTED_VALUE"""),"Strategic Review")</f>
        <v>Strategic Review</v>
      </c>
      <c r="T510" s="130" t="str">
        <f ca="1">IFERROR(__xludf.DUMMYFUNCTION("""COMPUTED_VALUE"""),"1. Generación de Ingresos")</f>
        <v>1. Generación de Ingresos</v>
      </c>
      <c r="U510" s="130" t="str">
        <f ca="1">IFERROR(__xludf.DUMMYFUNCTION("""COMPUTED_VALUE"""),"1.4. Proyectos de Pagos y Adquirencia")</f>
        <v>1.4. Proyectos de Pagos y Adquirencia</v>
      </c>
      <c r="V510" s="4" t="str">
        <f ca="1">IFERROR(__xludf.DUMMYFUNCTION("""COMPUTED_VALUE"""),"TdC")</f>
        <v>TdC</v>
      </c>
      <c r="W510" s="4">
        <f ca="1">IFERROR(__xludf.DUMMYFUNCTION("""COMPUTED_VALUE"""),3)</f>
        <v>3</v>
      </c>
      <c r="X510" s="4" t="str">
        <f ca="1">IFERROR(__xludf.DUMMYFUNCTION("""COMPUTED_VALUE"""),"10. Otros")</f>
        <v>10. Otros</v>
      </c>
      <c r="Y510" s="4" t="str">
        <f ca="1">IFERROR(__xludf.DUMMYFUNCTION("""COMPUTED_VALUE"""),"5.3.5 Payments - Issuing")</f>
        <v>5.3.5 Payments - Issuing</v>
      </c>
      <c r="Z510" s="132" t="str">
        <f ca="1">IFERROR(__xludf.DUMMYFUNCTION("""COMPUTED_VALUE"""),"625996")</f>
        <v>625996</v>
      </c>
      <c r="AA510" s="4" t="str">
        <f ca="1">IFERROR(__xludf.DUMMYFUNCTION("""COMPUTED_VALUE"""),"Iniciativa en Backlog, en espera de priorización")</f>
        <v>Iniciativa en Backlog, en espera de priorización</v>
      </c>
      <c r="AB510" s="4" t="str">
        <f ca="1">IFERROR(__xludf.DUMMYFUNCTION("""COMPUTED_VALUE"""),"Iniciativa en Backlog, en espera de priorización")</f>
        <v>Iniciativa en Backlog, en espera de priorización</v>
      </c>
      <c r="AC510" s="4" t="str">
        <f ca="1">IFERROR(__xludf.DUMMYFUNCTION("""COMPUTED_VALUE"""),"4Q 2023")</f>
        <v>4Q 2023</v>
      </c>
      <c r="AD510" s="4"/>
      <c r="AE510" s="4"/>
      <c r="AF510" s="4"/>
      <c r="AG510" s="4"/>
      <c r="AH510" s="4"/>
      <c r="AI510" s="4"/>
      <c r="AJ510" s="4"/>
      <c r="AK510" s="4" t="str">
        <f ca="1">IFERROR(__xludf.DUMMYFUNCTION("""COMPUTED_VALUE"""),"Sin asignar")</f>
        <v>Sin asignar</v>
      </c>
      <c r="AL510" s="4" t="str">
        <f ca="1">IFERROR(__xludf.DUMMYFUNCTION("""COMPUTED_VALUE"""),"Sin asignar")</f>
        <v>Sin asignar</v>
      </c>
      <c r="AM510" s="4"/>
      <c r="AN510" s="4" t="str">
        <f ca="1">IFERROR(__xludf.DUMMYFUNCTION("""COMPUTED_VALUE"""),"Iniciativa en Discovery")</f>
        <v>Iniciativa en Discovery</v>
      </c>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133">
        <f ca="1">IFERROR(__xludf.DUMMYFUNCTION("""COMPUTED_VALUE"""),0)</f>
        <v>0</v>
      </c>
      <c r="DV510" s="133">
        <f ca="1">IFERROR(__xludf.DUMMYFUNCTION("""COMPUTED_VALUE"""),0)</f>
        <v>0</v>
      </c>
      <c r="DW510" s="133">
        <f ca="1">IFERROR(__xludf.DUMMYFUNCTION("""COMPUTED_VALUE"""),0)</f>
        <v>0</v>
      </c>
      <c r="DX510" s="133">
        <f ca="1">IFERROR(__xludf.DUMMYFUNCTION("""COMPUTED_VALUE"""),0)</f>
        <v>0</v>
      </c>
      <c r="DY510" s="133">
        <f ca="1">IFERROR(__xludf.DUMMYFUNCTION("""COMPUTED_VALUE"""),0)</f>
        <v>0</v>
      </c>
      <c r="DZ510" s="133">
        <f ca="1">IFERROR(__xludf.DUMMYFUNCTION("""COMPUTED_VALUE"""),0)</f>
        <v>0</v>
      </c>
      <c r="EA510" s="4"/>
      <c r="EB510" s="4"/>
    </row>
    <row r="511" spans="1:132" x14ac:dyDescent="0.2">
      <c r="A511" s="4">
        <f ca="1">IFERROR(__xludf.DUMMYFUNCTION("""COMPUTED_VALUE"""),511)</f>
        <v>511</v>
      </c>
      <c r="B511" s="4">
        <f ca="1">IFERROR(__xludf.DUMMYFUNCTION("""COMPUTED_VALUE"""),482)</f>
        <v>482</v>
      </c>
      <c r="C511" s="4" t="str">
        <f ca="1">IFERROR(__xludf.DUMMYFUNCTION("""COMPUTED_VALUE"""),"SDATOOL-40455")</f>
        <v>SDATOOL-40455</v>
      </c>
      <c r="D511" s="4" t="str">
        <f ca="1">IFERROR(__xludf.DUMMYFUNCTION("""COMPUTED_VALUE"""),"Comisión porcentaje compras internacionales Mastercard y Visa Fase 2")</f>
        <v>Comisión porcentaje compras internacionales Mastercard y Visa Fase 2</v>
      </c>
      <c r="E511" s="4" t="str">
        <f ca="1">IFERROR(__xludf.DUMMYFUNCTION("""COMPUTED_VALUE"""),"Ajustar la contabilidad automática para que contabilice la comisión OIF del 2.9%  por transacciones internacionales con tarjetas débito/crédito Visa y Mastercard, de acuerdo a la más reciente definición contable entregada por Financiera.
EMC:
Ajustar la d"&amp;"efinición contable para transacciones internacionales, registrando el 100% de la comisión en el rubro de ingreso.")</f>
        <v>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v>
      </c>
      <c r="F511" s="4" t="str">
        <f ca="1">IFERROR(__xludf.DUMMYFUNCTION("""COMPUTED_VALUE"""),"Initiative")</f>
        <v>Initiative</v>
      </c>
      <c r="G511" s="4" t="str">
        <f ca="1">IFERROR(__xludf.DUMMYFUNCTION("""COMPUTED_VALUE"""),"Stock")</f>
        <v>Stock</v>
      </c>
      <c r="H511" s="4" t="str">
        <f ca="1">IFERROR(__xludf.DUMMYFUNCTION("""COMPUTED_VALUE"""),"2Q 2023")</f>
        <v>2Q 2023</v>
      </c>
      <c r="I511" s="131" t="str">
        <f ca="1">IFERROR(__xludf.DUMMYFUNCTION("""COMPUTED_VALUE"""),"alirio.bermudez-bbva.com")</f>
        <v>alirio.bermudez-bbva.com</v>
      </c>
      <c r="J511" s="131" t="str">
        <f ca="1">IFERROR(__xludf.DUMMYFUNCTION("""COMPUTED_VALUE"""),"marthapatric.cruz-bbva.com")</f>
        <v>marthapatric.cruz-bbva.com</v>
      </c>
      <c r="K511" s="131" t="str">
        <f ca="1">IFERROR(__xludf.DUMMYFUNCTION("""COMPUTED_VALUE"""),"andresfelipe.granados-bbva.com")</f>
        <v>andresfelipe.granados-bbva.com</v>
      </c>
      <c r="L511" s="130">
        <f ca="1">IFERROR(__xludf.DUMMYFUNCTION("""COMPUTED_VALUE"""),0.1)</f>
        <v>0.1</v>
      </c>
      <c r="M511" s="130">
        <f ca="1">IFERROR(__xludf.DUMMYFUNCTION("""COMPUTED_VALUE"""),1.4)</f>
        <v>1.4</v>
      </c>
      <c r="N511" s="130">
        <f ca="1">IFERROR(__xludf.DUMMYFUNCTION("""COMPUTED_VALUE"""),1.2)</f>
        <v>1.2</v>
      </c>
      <c r="O511" s="4" t="str">
        <f ca="1">IFERROR(__xludf.DUMMYFUNCTION("""COMPUTED_VALUE"""),"Waterfall")</f>
        <v>Waterfall</v>
      </c>
      <c r="P511" s="4" t="str">
        <f ca="1">IFERROR(__xludf.DUMMYFUNCTION("""COMPUTED_VALUE"""),"Tradicional")</f>
        <v>Tradicional</v>
      </c>
      <c r="Q511" s="4"/>
      <c r="R511" s="130" t="str">
        <f ca="1">IFERROR(__xludf.DUMMYFUNCTION("""COMPUTED_VALUE"""),"Payments &amp; Partnerships")</f>
        <v>Payments &amp; Partnerships</v>
      </c>
      <c r="S511" s="130" t="str">
        <f ca="1">IFERROR(__xludf.DUMMYFUNCTION("""COMPUTED_VALUE"""),"Strategic Review")</f>
        <v>Strategic Review</v>
      </c>
      <c r="T511" s="130" t="str">
        <f ca="1">IFERROR(__xludf.DUMMYFUNCTION("""COMPUTED_VALUE"""),"1. Generación de Ingresos")</f>
        <v>1. Generación de Ingresos</v>
      </c>
      <c r="U511" s="130" t="str">
        <f ca="1">IFERROR(__xludf.DUMMYFUNCTION("""COMPUTED_VALUE"""),"1.4. Proyectos de Pagos y Adquirencia")</f>
        <v>1.4. Proyectos de Pagos y Adquirencia</v>
      </c>
      <c r="V511" s="4" t="str">
        <f ca="1">IFERROR(__xludf.DUMMYFUNCTION("""COMPUTED_VALUE"""),"TdC")</f>
        <v>TdC</v>
      </c>
      <c r="W511" s="4">
        <f ca="1">IFERROR(__xludf.DUMMYFUNCTION("""COMPUTED_VALUE"""),3)</f>
        <v>3</v>
      </c>
      <c r="X511" s="4" t="str">
        <f ca="1">IFERROR(__xludf.DUMMYFUNCTION("""COMPUTED_VALUE"""),"10. Otros")</f>
        <v>10. Otros</v>
      </c>
      <c r="Y511" s="4" t="str">
        <f ca="1">IFERROR(__xludf.DUMMYFUNCTION("""COMPUTED_VALUE"""),"5.3.5 Payments - Issuing")</f>
        <v>5.3.5 Payments - Issuing</v>
      </c>
      <c r="Z511" s="132" t="str">
        <f ca="1">IFERROR(__xludf.DUMMYFUNCTION("""COMPUTED_VALUE"""),"558369")</f>
        <v>558369</v>
      </c>
      <c r="AA511" s="4" t="str">
        <f ca="1">IFERROR(__xludf.DUMMYFUNCTION("""COMPUTED_VALUE"""),"Entregable 1 Comisión porcentaje compras internacionales Mastercard  Fase 2")</f>
        <v>Entregable 1 Comisión porcentaje compras internacionales Mastercard  Fase 2</v>
      </c>
      <c r="AB511" s="4" t="str">
        <f ca="1">IFERROR(__xludf.DUMMYFUNCTION("""COMPUTED_VALUE"""),"Se requiere ajustar la contabilidad automática para que contabilice la comisión OIF del 2.9%  por transacciones  internacionales con tarjetas Mastercard, de acuerdo a la más reciente definición contable entregada por Financiera.")</f>
        <v>Se requiere ajustar la contabilidad automática para que contabilice la comisión OIF del 2.9%  por transacciones  internacionales con tarjetas Mastercard, de acuerdo a la más reciente definición contable entregada por Financiera.</v>
      </c>
      <c r="AC511" s="4" t="str">
        <f ca="1">IFERROR(__xludf.DUMMYFUNCTION("""COMPUTED_VALUE"""),"2Q 2023")</f>
        <v>2Q 2023</v>
      </c>
      <c r="AD511" s="4"/>
      <c r="AE511" s="4"/>
      <c r="AF511" s="4"/>
      <c r="AG511" s="4"/>
      <c r="AH511" s="4"/>
      <c r="AI511" s="4"/>
      <c r="AJ511" s="4"/>
      <c r="AK511" s="131" t="str">
        <f ca="1">IFERROR(__xludf.DUMMYFUNCTION("""COMPUTED_VALUE"""),"COLWSMEDIO-2336")</f>
        <v>COLWSMEDIO-2336</v>
      </c>
      <c r="AL511" s="4" t="str">
        <f ca="1">IFERROR(__xludf.DUMMYFUNCTION("""COMPUTED_VALUE"""),"Test")</f>
        <v>Test</v>
      </c>
      <c r="AM511" s="4" t="str">
        <f ca="1">IFERROR(__xludf.DUMMYFUNCTION("""COMPUTED_VALUE"""),"""09/06/2021
- Se prioriza con producto
29/06/2021
- Pte delivery entregue plan de trabajo
14/09/2021
- Se estima iniciar luego de instalar en producción el Nogal.
21/09/2021
- Se estima iniciar valoración y análisi por parte de delivery en próximos días
"&amp;"08/10/2021
- Se envia HU a concepto de áreas para Vo.Bo.
- En curso desarrollos
12/10/2021
- pte definición contable
19/10/2021
- Sesión con contabilidad miércoles 20 Oct/21
- Ajustar HU 16 aclarando que NO hay una marca para identificar en las tx la mone"&amp;"da origen y destino para tarjeta debito sea de Colombia.
- Se envia correo a operaciones para Vo.Bo. HU16 aclarando lo del tipo de moneda para TD.
20/10/2021
- Delivery envia ejemplos productivos de compras y retiros de tarjetas débito visa, insumo para l"&amp;"a definición contable comisión OIF correspondiente, en Ingreso y Gasto.
- Pte revisar lo del tipo de moneda con Ricardo Cerrato y redes (credibanco y visa) antes de socializar con producto si es viable el alcance para atender lo requerido por operaciones."&amp;"
22/102021
- Se envian inquietudes a credibanco del tipo de moneda origen y destino
26/10/2021
- Pte entrega de la definición contable de la parte crédito
- Pte CBCO nos de respuesta a las inquietudes del tipo de moneda origen y destino
02/11/2021
- Se en"&amp;"via correo nuevamente a credibanco recordando respuesta a las inquietudes
11/11/2021
- Contabilidad entrega definición contable
- Impactado por cambio de prioridad Fase II del Nogal, se revisa replanificación
12/11/2021
- 2da. vez envio correo a CBCO reco"&amp;"rdando respuesta a las inquietudes
18/11/21
- Pendiente por finalizar desarrollos del Nogal para retomar Desarrollos
25/11/2021
- CBCO informa que el cálculo lo realiza directamente la franquicia, esto no viene dentro de la mensajería de forma discriminad"&amp;"a.
- Se retoman desarrollos mientras se definen ajustes del Nogal
30/11/2021
- Pendiente sesión con credibanco antes de elevar consulta con franquicia Visa (se solicito a producto gestionar esta sesión)
02/12/2021
- Se continua con desarrollos e inicio de"&amp;" pruebas unitarias
09/12/2021
- Finalizacion de pruebas unitarias e inicio de preparacion de documentacion para envio a calidad
16/12/2021 
- Tema enviado a calidad, en atención de la sanción técnica.
23/12/2021
- Finaliza sancion tecnica e inicio de prue"&amp;"bas de certificacion, se solicita por parte de calidad 4 ventanas a credibanco
06/01/2022
-  Se avanza con Prueba de certificación en ventanas con las Redes 
13/01/2022
- Pendiente de reinicio de pruebas por refresco de data en calidad
17/01/2022
- Impact"&amp;"ado 2 semanas por refresco de data de calidad, nos hace reprogramar ventanas con las redes.
21/01/2022  
- Impacto por retiro de tester que lleva el proyecto en calidad, se inician pruebas funcionales en calidad con nuevo tester el 18 de enero de 2022
- S"&amp;"e reprograman las pruebas con las redes para el 24 de enero por los problemas con el refresco de datos de calidad.
24/01/2022
- Se aplazan las ventanas de pruebas con las redes  por fallas en la conexión se mueven para el 1 y 2 de febrero
03/02/2022
- Se "&amp;"realiza primer ciclo de pruebas, se realizan ajustes,  se espera confirmacion por parte de credibanco para la solicitud de nuevas ventanas para realizar segundo ciclo de pruebas.
14/02/2022
- Se encuentran impactadas las pruebas por parte de credibanco de"&amp;"bido a que no se han entregado los archivos de canje, adicional se tiene ventanas de pruebas 16 y 17 con credibanco
21/02/2022
- Continuan pruebas impactadas por parte de credibanco y se reprograman ventanas de pruebas para los dias 22 y 23 de febrero.
24"&amp;"/02/2022
- En validacion de suspensos contables, pendiente por ventanas para cerrar  eventos con las redes
28/02/2022
- Se reprograman pruebas para 7 y 8 de marzo con credibanco, pte evento retiro ATM internacional con tarjeta Débito 
- Se estima enviar c"&amp;"uadro operativo sin el evento de retiro ATM internacional con tarjta débito
- En revisión parquete TDC para enviar a financiera
- Posible impacto por GLOMO y se lleven al tester que esta llevando las pruebas""
03/03/2022
- Por petición de financiera se de"&amp;"be solicitar concepto de tributaria, no se ha podido realizar pruebas de retiros internacionales por inconvenientes con credibanco, pendiente generar paquete de compras internacionales con tarjetas debito y pendiente envio de paquete a financiera de prueb"&amp;"as con tarjeta credito
10/03/2022
- Alertado en la validacion contable se pide revisar con tributaria como se esta contabilizando, Operacioens y negocio deben entregar soportes  para que valida el equipo de tributaria, posiblemente se debe cambiar la cont"&amp;"abilidad.
16/03/2021
- Se envia documentación solicitada a asesoria fiscal para el cocnepto
17/03/2021
- Asesoria fiscal aclara que lo requerido es el contrato reglamente de visa y contrato/reglamento de tarjeta.
- Producto envia el contrato de tarjeta de"&amp;" crédito asesoria fiscal
- Fiscal envia inquietudes a producto y este a su vez las resuelve
- Pte concpeto de asesoria fiscal
18/03/2022
- Pendiente  por concepto de Tributaria para  revisar la definicion contable.
22/03/2022
- Fiscal envia concepto, revi"&amp;"sar con delivery y determinar como proceder (sesión 28/03/2022)
31/03/2022
- Parte Visa (Tema devuelto de Certificación por impacto en definición contable por concepto de Asesoría Fiscal)
Debido al concepto de Asesoría Fiscal emitido el 22 de marzo de 202"&amp;"2, se debe generar nueva definición contable tanto para Visa como Mastercard. Esto implica ajustes en apuntes contables y planear de nuevo el desarrollo y certificación del proyecto.
5/4/2022 - tema devuelto de calidad y pendiente definición contable 
19/"&amp;"04/2022 - Se envia push a Dcontable solicitando enviar el ajuste a la contabilidad con base en el concepto del área de tributaria - Recibida la definición contable se debe solicitar concepto del área de tributaria /July Carolina Miranda para reporteria. 
"&amp;"28/04/2022 - Se envia correo a d contable/jose daniel muñoz solicitando el ajuste contable.
12/05/2022
- Dcontable ajusta la definición contable para compras y retiros internacionales, registrando el 100% de la comisión en el rubro de ingreso.
18/05/2022
"&amp;"- Se recibe nueva definición contable, sin embargo, el tema debe regresar al backlog para poder ser revisado, replanificado y atendido en otro Q ya que ahora se está trabajando en los temas comprometidos para este Q.
27/05/2022,
- Pendiente de iniciar aná"&amp;"lisis de las cambios contables definidos por financiera.
12/07/2022
- Se presentará PSM Q4, se acuerda crear nueva feature y sdatool para el proyecto
12/09/2022
- Producto define prioridad 2 para iniciar en Q4
- Se crea nueva SDATOOL 40455
- Pte sponsor p"&amp;"resente BC y WG PPP
- Pte PO document en JIRA
15/09/2022
- Se crea feature
- Pte crear HU y radicar en PMO")</f>
        <v>"09/06/2021
- Se prioriza con producto
29/06/2021
- Pte delivery entregue plan de trabajo
14/09/2021
- Se estima iniciar luego de instalar en producción el Nogal.
21/09/2021
- Se estima iniciar valoración y análisi por parte de delivery en próximos días
08/10/2021
- Se envia HU a concepto de áreas para Vo.Bo.
- En curso desarrollos
12/10/2021
- pte definición contable
19/10/2021
- Sesión con contabilidad miércoles 20 Oct/21
- Ajustar HU 16 aclarando que NO hay una marca para identificar en las tx la moneda origen y destino para tarjeta debito sea de Colombia.
- Se envia correo a operaciones para Vo.Bo. HU16 aclarando lo del tipo de moneda para TD.
20/10/2021
- Delivery envia ejemplos productivos de compras y retiros de tarjetas débito visa, insumo para la definición contable comisión OIF correspondiente, en Ingreso y Gasto.
- Pte revisar lo del tipo de moneda con Ricardo Cerrato y redes (credibanco y visa) antes de socializar con producto si es viable el alcance para atender lo requerido por operaciones.
22/102021
- Se envian inquietudes a credibanco del tipo de moneda origen y destino
26/10/2021
- Pte entrega de la definición contable de la parte crédito
- Pte CBCO nos de respuesta a las inquietudes del tipo de moneda origen y destino
02/11/2021
- Se envia correo nuevamente a credibanco recordando respuesta a las inquietudes
11/11/2021
- Contabilidad entrega definición contable
- Impactado por cambio de prioridad Fase II del Nogal, se revisa replanificación
12/11/2021
- 2da. vez envio correo a CBCO recordando respuesta a las inquietudes
18/11/21
- Pendiente por finalizar desarrollos del Nogal para retomar Desarrollos
25/11/2021
- CBCO informa que el cálculo lo realiza directamente la franquicia, esto no viene dentro de la mensajería de forma discriminada.
- Se retoman desarrollos mientras se definen ajustes del Nogal
30/11/2021
- Pendiente sesión con credibanco antes de elevar consulta con franquicia Visa (se solicito a producto gestionar esta sesión)
02/12/2021
- Se continua con desarrollos e inicio de pruebas unitarias
09/12/2021
- Finalizacion de pruebas unitarias e inicio de preparacion de documentacion para envio a calidad
16/12/2021 
- Tema enviado a calidad, en atención de la sanción técnica.
23/12/2021
- Finaliza sancion tecnica e inicio de pruebas de certificacion, se solicita por parte de calidad 4 ventanas a credibanco
06/01/2022
-  Se avanza con Prueba de certificación en ventanas con las Redes 
13/01/2022
- Pendiente de reinicio de pruebas por refresco de data en calidad
17/01/2022
- Impactado 2 semanas por refresco de data de calidad, nos hace reprogramar ventanas con las redes.
21/01/2022  
- Impacto por retiro de tester que lleva el proyecto en calidad, se inician pruebas funcionales en calidad con nuevo tester el 18 de enero de 2022
- Se reprograman las pruebas con las redes para el 24 de enero por los problemas con el refresco de datos de calidad.
24/01/2022
- Se aplazan las ventanas de pruebas con las redes  por fallas en la conexión se mueven para el 1 y 2 de febrero
03/02/2022
- Se realiza primer ciclo de pruebas, se realizan ajustes,  se espera confirmacion por parte de credibanco para la solicitud de nuevas ventanas para realizar segundo ciclo de pruebas.
14/02/2022
- Se encuentran impactadas las pruebas por parte de credibanco debido a que no se han entregado los archivos de canje, adicional se tiene ventanas de pruebas 16 y 17 con credibanco
21/02/2022
- Continuan pruebas impactadas por parte de credibanco y se reprograman ventanas de pruebas para los dias 22 y 23 de febrero.
24/02/2022
- En validacion de suspensos contables, pendiente por ventanas para cerrar  eventos con las redes
28/02/2022
- Se reprograman pruebas para 7 y 8 de marzo con credibanco, pte evento retiro ATM internacional con tarjeta Débito 
- Se estima enviar cuadro operativo sin el evento de retiro ATM internacional con tarjta débito
- En revisión parquete TDC para enviar a financiera
- Posible impacto por GLOMO y se lleven al tester que esta llevando las pruebas"
03/03/2022
- Por petición de financiera se debe solicitar concepto de tributaria, no se ha podido realizar pruebas de retiros internacionales por inconvenientes con credibanco, pendiente generar paquete de compras internacionales con tarjetas debito y pendiente envio de paquete a financiera de pruebas con tarjeta credito
10/03/2022
- Alertado en la validacion contable se pide revisar con tributaria como se esta contabilizando, Operacioens y negocio deben entregar soportes  para que valida el equipo de tributaria, posiblemente se debe cambiar la contabilidad.
16/03/2021
- Se envia documentación solicitada a asesoria fiscal para el cocnepto
17/03/2021
- Asesoria fiscal aclara que lo requerido es el contrato reglamente de visa y contrato/reglamento de tarjeta.
- Producto envia el contrato de tarjeta de crédito asesoria fiscal
- Fiscal envia inquietudes a producto y este a su vez las resuelve
- Pte concpeto de asesoria fiscal
18/03/2022
- Pendiente  por concepto de Tributaria para  revisar la definicion contable.
22/03/2022
- Fiscal envia concepto, revisar con delivery y determinar como proceder (sesión 28/03/2022)
31/03/2022
- Parte Visa (Tema devuelto de Certificación por impacto en definición contable por concepto de Asesoría Fiscal)
Debido al concepto de Asesoría Fiscal emitido el 22 de marzo de 2022, se debe generar nueva definición contable tanto para Visa como Mastercard. Esto implica ajustes en apuntes contables y planear de nuevo el desarrollo y certificación del proyecto.
5/4/2022 - tema devuelto de calidad y pendiente definición contable 
19/04/2022 - Se envia push a Dcontable solicitando enviar el ajuste a la contabilidad con base en el concepto del área de tributaria - Recibida la definición contable se debe solicitar concepto del área de tributaria /July Carolina Miranda para reporteria. 
28/04/2022 - Se envia correo a d contable/jose daniel muñoz solicitando el ajuste contable.
12/05/2022
- Dcontable ajusta la definición contable para compras y retiros internacionales, registrando el 100% de la comisión en el rubro de ingreso.
18/05/2022
- Se recibe nueva definición contable, sin embargo, el tema debe regresar al backlog para poder ser revisado, replanificado y atendido en otro Q ya que ahora se está trabajando en los temas comprometidos para este Q.
27/05/2022,
- Pendiente de iniciar análisis de las cambios contables definidos por financiera.
12/07/2022
- Se presentará PSM Q4, se acuerda crear nueva feature y sdatool para el proyecto
12/09/2022
- Producto define prioridad 2 para iniciar en Q4
- Se crea nueva SDATOOL 40455
- Pte sponsor presente BC y WG PPP
- Pte PO document en JIRA
15/09/2022
- Se crea feature
- Pte crear HU y radicar en PMO</v>
      </c>
      <c r="AN511" s="4" t="str">
        <f ca="1">IFERROR(__xludf.DUMMYFUNCTION("""COMPUTED_VALUE"""),"Entregable en desarrollo")</f>
        <v>Entregable en desarrollo</v>
      </c>
      <c r="AO511" s="4"/>
      <c r="AP511" s="4"/>
      <c r="AQ511" s="4"/>
      <c r="AR511" s="4" t="str">
        <f ca="1">IFERROR(__xludf.DUMMYFUNCTION("""COMPUTED_VALUE"""),"SDA aprobada en PPP Q1 2023")</f>
        <v>SDA aprobada en PPP Q1 2023</v>
      </c>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133">
        <f ca="1">IFERROR(__xludf.DUMMYFUNCTION("""COMPUTED_VALUE"""),0)</f>
        <v>0</v>
      </c>
      <c r="DV511" s="133">
        <f ca="1">IFERROR(__xludf.DUMMYFUNCTION("""COMPUTED_VALUE"""),0)</f>
        <v>0</v>
      </c>
      <c r="DW511" s="133">
        <f ca="1">IFERROR(__xludf.DUMMYFUNCTION("""COMPUTED_VALUE"""),0)</f>
        <v>0</v>
      </c>
      <c r="DX511" s="133">
        <f ca="1">IFERROR(__xludf.DUMMYFUNCTION("""COMPUTED_VALUE"""),49999939)</f>
        <v>49999939</v>
      </c>
      <c r="DY511" s="133">
        <f ca="1">IFERROR(__xludf.DUMMYFUNCTION("""COMPUTED_VALUE"""),0)</f>
        <v>0</v>
      </c>
      <c r="DZ511" s="133">
        <f ca="1">IFERROR(__xludf.DUMMYFUNCTION("""COMPUTED_VALUE"""),49999939)</f>
        <v>49999939</v>
      </c>
      <c r="EA511" s="4"/>
      <c r="EB511" s="4"/>
    </row>
    <row r="512" spans="1:132" x14ac:dyDescent="0.2">
      <c r="A512" s="4">
        <f ca="1">IFERROR(__xludf.DUMMYFUNCTION("""COMPUTED_VALUE"""),512)</f>
        <v>512</v>
      </c>
      <c r="B512" s="4">
        <f ca="1">IFERROR(__xludf.DUMMYFUNCTION("""COMPUTED_VALUE"""),483)</f>
        <v>483</v>
      </c>
      <c r="C512" s="4" t="str">
        <f ca="1">IFERROR(__xludf.DUMMYFUNCTION("""COMPUTED_VALUE"""),"SDATOOL-40455")</f>
        <v>SDATOOL-40455</v>
      </c>
      <c r="D512" s="4" t="str">
        <f ca="1">IFERROR(__xludf.DUMMYFUNCTION("""COMPUTED_VALUE"""),"Comisión porcentaje compras internacionales Mastercard y Visa Fase 2")</f>
        <v>Comisión porcentaje compras internacionales Mastercard y Visa Fase 2</v>
      </c>
      <c r="E512" s="4" t="str">
        <f ca="1">IFERROR(__xludf.DUMMYFUNCTION("""COMPUTED_VALUE"""),"Ajustar la contabilidad automática para que contabilice la comisión OIF del 2.9%  por transacciones internacionales con tarjetas débito/crédito Visa y Mastercard, de acuerdo a la más reciente definición contable entregada por Financiera.
EMC:
Ajustar la d"&amp;"efinición contable para transacciones internacionales, registrando el 100% de la comisión en el rubro de ingreso.")</f>
        <v>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v>
      </c>
      <c r="F512" s="4" t="str">
        <f ca="1">IFERROR(__xludf.DUMMYFUNCTION("""COMPUTED_VALUE"""),"Initiative")</f>
        <v>Initiative</v>
      </c>
      <c r="G512" s="4" t="str">
        <f ca="1">IFERROR(__xludf.DUMMYFUNCTION("""COMPUTED_VALUE"""),"Stock")</f>
        <v>Stock</v>
      </c>
      <c r="H512" s="4" t="str">
        <f ca="1">IFERROR(__xludf.DUMMYFUNCTION("""COMPUTED_VALUE"""),"2Q 2023")</f>
        <v>2Q 2023</v>
      </c>
      <c r="I512" s="131" t="str">
        <f ca="1">IFERROR(__xludf.DUMMYFUNCTION("""COMPUTED_VALUE"""),"alirio.bermudez-bbva.com")</f>
        <v>alirio.bermudez-bbva.com</v>
      </c>
      <c r="J512" s="131" t="str">
        <f ca="1">IFERROR(__xludf.DUMMYFUNCTION("""COMPUTED_VALUE"""),"marthapatric.cruz-bbva.com")</f>
        <v>marthapatric.cruz-bbva.com</v>
      </c>
      <c r="K512" s="131" t="str">
        <f ca="1">IFERROR(__xludf.DUMMYFUNCTION("""COMPUTED_VALUE"""),"andresfelipe.granados-bbva.com")</f>
        <v>andresfelipe.granados-bbva.com</v>
      </c>
      <c r="L512" s="4"/>
      <c r="M512" s="4"/>
      <c r="N512" s="4"/>
      <c r="O512" s="4" t="str">
        <f ca="1">IFERROR(__xludf.DUMMYFUNCTION("""COMPUTED_VALUE"""),"Waterfall")</f>
        <v>Waterfall</v>
      </c>
      <c r="P512" s="4" t="str">
        <f ca="1">IFERROR(__xludf.DUMMYFUNCTION("""COMPUTED_VALUE"""),"Tradicional")</f>
        <v>Tradicional</v>
      </c>
      <c r="Q512" s="4"/>
      <c r="R512" s="130" t="str">
        <f ca="1">IFERROR(__xludf.DUMMYFUNCTION("""COMPUTED_VALUE"""),"Payments &amp; Partnerships")</f>
        <v>Payments &amp; Partnerships</v>
      </c>
      <c r="S512" s="130" t="str">
        <f ca="1">IFERROR(__xludf.DUMMYFUNCTION("""COMPUTED_VALUE"""),"Strategic Review")</f>
        <v>Strategic Review</v>
      </c>
      <c r="T512" s="130" t="str">
        <f ca="1">IFERROR(__xludf.DUMMYFUNCTION("""COMPUTED_VALUE"""),"1. Generación de Ingresos")</f>
        <v>1. Generación de Ingresos</v>
      </c>
      <c r="U512" s="130" t="str">
        <f ca="1">IFERROR(__xludf.DUMMYFUNCTION("""COMPUTED_VALUE"""),"1.4. Proyectos de Pagos y Adquirencia")</f>
        <v>1.4. Proyectos de Pagos y Adquirencia</v>
      </c>
      <c r="V512" s="4" t="str">
        <f ca="1">IFERROR(__xludf.DUMMYFUNCTION("""COMPUTED_VALUE"""),"TdC")</f>
        <v>TdC</v>
      </c>
      <c r="W512" s="4">
        <f ca="1">IFERROR(__xludf.DUMMYFUNCTION("""COMPUTED_VALUE"""),3)</f>
        <v>3</v>
      </c>
      <c r="X512" s="4" t="str">
        <f ca="1">IFERROR(__xludf.DUMMYFUNCTION("""COMPUTED_VALUE"""),"10. Otros")</f>
        <v>10. Otros</v>
      </c>
      <c r="Y512" s="4" t="str">
        <f ca="1">IFERROR(__xludf.DUMMYFUNCTION("""COMPUTED_VALUE"""),"5.3.5 Payments - Issuing")</f>
        <v>5.3.5 Payments - Issuing</v>
      </c>
      <c r="Z512" s="132" t="str">
        <f ca="1">IFERROR(__xludf.DUMMYFUNCTION("""COMPUTED_VALUE"""),"558407")</f>
        <v>558407</v>
      </c>
      <c r="AA512" s="4" t="str">
        <f ca="1">IFERROR(__xludf.DUMMYFUNCTION("""COMPUTED_VALUE"""),"Entregable 2 Comisión porcentaje compras internacionales Visa  Fase 2")</f>
        <v>Entregable 2 Comisión porcentaje compras internacionales Visa  Fase 2</v>
      </c>
      <c r="AB512" s="4" t="str">
        <f ca="1">IFERROR(__xludf.DUMMYFUNCTION("""COMPUTED_VALUE"""),"Se requiere ajustar la contabilidad automática para que contabilice la comisión OIF del 2.9%  por transacciones  internacionales con tarjetas Visa, de acuerdo a la más reciente definición contable entregada por Financiera.")</f>
        <v>Se requiere ajustar la contabilidad automática para que contabilice la comisión OIF del 2.9%  por transacciones  internacionales con tarjetas Visa, de acuerdo a la más reciente definición contable entregada por Financiera.</v>
      </c>
      <c r="AC512" s="4" t="str">
        <f ca="1">IFERROR(__xludf.DUMMYFUNCTION("""COMPUTED_VALUE"""),"2Q 2023")</f>
        <v>2Q 2023</v>
      </c>
      <c r="AD512" s="4"/>
      <c r="AE512" s="4"/>
      <c r="AF512" s="4"/>
      <c r="AG512" s="4"/>
      <c r="AH512" s="4"/>
      <c r="AI512" s="4"/>
      <c r="AJ512" s="4"/>
      <c r="AK512" s="131" t="str">
        <f ca="1">IFERROR(__xludf.DUMMYFUNCTION("""COMPUTED_VALUE"""),"COLWSMEDIO-2344")</f>
        <v>COLWSMEDIO-2344</v>
      </c>
      <c r="AL512" s="4" t="str">
        <f ca="1">IFERROR(__xludf.DUMMYFUNCTION("""COMPUTED_VALUE"""),"Test")</f>
        <v>Test</v>
      </c>
      <c r="AM512" s="4" t="str">
        <f ca="1">IFERROR(__xludf.DUMMYFUNCTION("""COMPUTED_VALUE"""),"""09/06/2021
- Se prioriza con producto
29/06/2021
- Pte delivery entregue plan de trabajo
14/09/2021
- Se estima iniciar luego de instalar en producción el Nogal.
21/09/2021
- Se estima iniciar valoración y análisi por parte de delivery en próximos días
"&amp;"08/10/2021
- Se envia HU a concepto de áreas para Vo.Bo.
- En curso desarrollos
12/10/2021
- pte definición contable
19/10/2021
- Sesión con contabilidad miércoles 20 Oct/21
- Ajustar HU 16 aclarando que NO hay una marca para identificar en las tx la mone"&amp;"da origen y destino para tarjeta debito sea de Colombia.
- Se envia correo a operaciones para Vo.Bo. HU16 aclarando lo del tipo de moneda para TD.
20/10/2021
- Delivery envia ejemplos productivos de compras y retiros de tarjetas débito visa, insumo para l"&amp;"a definición contable comisión OIF correspondiente, en Ingreso y Gasto.
- Pte revisar lo del tipo de moneda con Ricardo Cerrato y redes (credibanco y visa) antes de socializar con producto si es viable el alcance para atender lo requerido por operaciones."&amp;"
22/102021
- Se envian inquietudes a credibanco del tipo de moneda origen y destino
26/10/2021
- Pte entrega de la definición contable de la parte crédito
- Pte CBCO nos de respuesta a las inquietudes del tipo de moneda origen y destino
02/11/2021
- Se en"&amp;"via correo nuevamente a credibanco recordando respuesta a las inquietudes
11/11/2021
- Contabilidad entrega definición contable
- Impactado por cambio de prioridad Fase II del Nogal, se revisa replanificación
12/11/2021
- 2da. vez envio correo a CBCO reco"&amp;"rdando respuesta a las inquietudes
18/11/21
- Pendiente por finalizar desarrollos del Nogal para retomar Desarrollos
25/11/2021
- CBCO informa que el cálculo lo realiza directamente la franquicia, esto no viene dentro de la mensajería de forma discriminad"&amp;"a.
- Se retoman desarrollos mientras se definen ajustes del Nogal
30/11/2021
- Pendiente sesión con credibanco antes de elevar consulta con franquicia Visa (se solicito a producto gestionar esta sesión)
02/12/2021
- Se continua con desarrollos e inicio de"&amp;" pruebas unitarias
09/12/2021
- Finalizacion de pruebas unitarias e inicio de preparacion de documentacion para envio a calidad
16/12/2021 
- Tema enviado a calidad, en atención de la sanción técnica.
23/12/2021
- Finaliza sancion tecnica e inicio de prue"&amp;"bas de certificacion, se solicita por parte de calidad 4 ventanas a credibanco
06/01/2022
-  Se avanza con Prueba de certificación en ventanas con las Redes 
13/01/2022
- Pendiente de reinicio de pruebas por refresco de data en calidad
17/01/2022
- Impact"&amp;"ado 2 semanas por refresco de data de calidad, nos hace reprogramar ventanas con las redes.
21/01/2022  
- Impacto por retiro de tester que lleva el proyecto en calidad, se inician pruebas funcionales en calidad con nuevo tester el 18 de enero de 2022
- S"&amp;"e reprograman las pruebas con las redes para el 24 de enero por los problemas con el refresco de datos de calidad.
24/01/2022
- Se aplazan las ventanas de pruebas con las redes  por fallas en la conexión se mueven para el 1 y 2 de febrero
03/02/2022
- Se "&amp;"realiza primer ciclo de pruebas, se realizan ajustes,  se espera confirmacion por parte de credibanco para la solicitud de nuevas ventanas para realizar segundo ciclo de pruebas.
14/02/2022
- Se encuentran impactadas las pruebas por parte de credibanco de"&amp;"bido a que no se han entregado los archivos de canje, adicional se tiene ventanas de pruebas 16 y 17 con credibanco
21/02/2022
- Continuan pruebas impactadas por parte de credibanco y se reprograman ventanas de pruebas para los dias 22 y 23 de febrero.
24"&amp;"/02/2022
- En validacion de suspensos contables, pendiente por ventanas para cerrar  eventos con las redes
28/02/2022
- Se reprograman pruebas para 7 y 8 de marzo con credibanco, pte evento retiro ATM internacional con tarjeta Débito 
- Se estima enviar c"&amp;"uadro operativo sin el evento de retiro ATM internacional con tarjta débito
- En revisión parquete TDC para enviar a financiera
- Posible impacto por GLOMO y se lleven al tester que esta llevando las pruebas""
03/03/2022
- Por petición de financiera se de"&amp;"be solicitar concepto de tributaria, no se ha podido realizar pruebas de retiros internacionales por inconvenientes con credibanco, pendiente generar paquete de compras internacionales con tarjetas debito y pendiente envio de paquete a financiera de prueb"&amp;"as con tarjeta credito
10/03/2022
- Alertado en la validacion contable se pide revisar con tributaria como se esta contabilizando, Operacioens y negocio deben entregar soportes  para que valida el equipo de tributaria, posiblemente se debe cambiar la cont"&amp;"abilidad.
16/03/2021
- Se envia documentación solicitada a asesoria fiscal para el cocnepto
17/03/2021
- Asesoria fiscal aclara que lo requerido es el contrato reglamente de visa y contrato/reglamento de tarjeta.
- Producto envia el contrato de tarjeta de"&amp;" crédito asesoria fiscal
- Fiscal envia inquietudes a producto y este a su vez las resuelve
- Pte concpeto de asesoria fiscal
18/03/2022
- Pendiente  por concepto de Tributaria para  revisar la definicion contable.
22/03/2022
- Fiscal envia concepto, revi"&amp;"sar con delivery y determinar como proceder (sesión 28/03/2022)
31/03/2022
- Parte Visa (Tema devuelto de Certificación por impacto en definición contable por concepto de Asesoría Fiscal)
Debido al concepto de Asesoría Fiscal emitido el 22 de marzo de 202"&amp;"2, se debe generar nueva definición contable tanto para Visa como Mastercard. Esto implica ajustes en apuntes contables y planear de nuevo el desarrollo y certificación del proyecto.
5/4/2022 - tema devuelto de calidad y pendiente definición contable 
19/"&amp;"04/2022 - Se envia push a Dcontable solicitando enviar el ajuste a la contabilidad con base en el concepto del área de tributaria - Recibida la definición contable se debe solicitar concepto del área de tributaria /July Carolina Miranda para reporteria. 
"&amp;"28/04/2022 - Se envia correo a d contable/jose daniel muñoz solicitando el ajuste contable.
12/05/2022
- Dcontable ajusta la definición contable para compras y retiros internacionales, registrando el 100% de la comisión en el rubro de ingreso.
18/05/2022
"&amp;"- Se recibe nueva definición contable, sin embargo, el tema debe regresar al backlog para poder ser revisado, replanificado y atendido en otro Q ya que ahora se está trabajando en los temas comprometidos para este Q.
27/05/2022,
- Pendiente de iniciar aná"&amp;"lisis de las cambios contables definidos por financiera.
12/07/2022
- Se presentará PSM Q4, se acuerda crear nueva feature y sdatool para el proyecto
12/09/2022
- Producto define prioridad 2 para iniciar en Q4
- Se crea nueva SDATOOL 40455
- Pte sponsor p"&amp;"resente BC y WG PPP
- Pte PO document en JIRA
15/09/2022
- Se crea feature
- Pte crear HU y radicar en PMO")</f>
        <v>"09/06/2021
- Se prioriza con producto
29/06/2021
- Pte delivery entregue plan de trabajo
14/09/2021
- Se estima iniciar luego de instalar en producción el Nogal.
21/09/2021
- Se estima iniciar valoración y análisi por parte de delivery en próximos días
08/10/2021
- Se envia HU a concepto de áreas para Vo.Bo.
- En curso desarrollos
12/10/2021
- pte definición contable
19/10/2021
- Sesión con contabilidad miércoles 20 Oct/21
- Ajustar HU 16 aclarando que NO hay una marca para identificar en las tx la moneda origen y destino para tarjeta debito sea de Colombia.
- Se envia correo a operaciones para Vo.Bo. HU16 aclarando lo del tipo de moneda para TD.
20/10/2021
- Delivery envia ejemplos productivos de compras y retiros de tarjetas débito visa, insumo para la definición contable comisión OIF correspondiente, en Ingreso y Gasto.
- Pte revisar lo del tipo de moneda con Ricardo Cerrato y redes (credibanco y visa) antes de socializar con producto si es viable el alcance para atender lo requerido por operaciones.
22/102021
- Se envian inquietudes a credibanco del tipo de moneda origen y destino
26/10/2021
- Pte entrega de la definición contable de la parte crédito
- Pte CBCO nos de respuesta a las inquietudes del tipo de moneda origen y destino
02/11/2021
- Se envia correo nuevamente a credibanco recordando respuesta a las inquietudes
11/11/2021
- Contabilidad entrega definición contable
- Impactado por cambio de prioridad Fase II del Nogal, se revisa replanificación
12/11/2021
- 2da. vez envio correo a CBCO recordando respuesta a las inquietudes
18/11/21
- Pendiente por finalizar desarrollos del Nogal para retomar Desarrollos
25/11/2021
- CBCO informa que el cálculo lo realiza directamente la franquicia, esto no viene dentro de la mensajería de forma discriminada.
- Se retoman desarrollos mientras se definen ajustes del Nogal
30/11/2021
- Pendiente sesión con credibanco antes de elevar consulta con franquicia Visa (se solicito a producto gestionar esta sesión)
02/12/2021
- Se continua con desarrollos e inicio de pruebas unitarias
09/12/2021
- Finalizacion de pruebas unitarias e inicio de preparacion de documentacion para envio a calidad
16/12/2021 
- Tema enviado a calidad, en atención de la sanción técnica.
23/12/2021
- Finaliza sancion tecnica e inicio de pruebas de certificacion, se solicita por parte de calidad 4 ventanas a credibanco
06/01/2022
-  Se avanza con Prueba de certificación en ventanas con las Redes 
13/01/2022
- Pendiente de reinicio de pruebas por refresco de data en calidad
17/01/2022
- Impactado 2 semanas por refresco de data de calidad, nos hace reprogramar ventanas con las redes.
21/01/2022  
- Impacto por retiro de tester que lleva el proyecto en calidad, se inician pruebas funcionales en calidad con nuevo tester el 18 de enero de 2022
- Se reprograman las pruebas con las redes para el 24 de enero por los problemas con el refresco de datos de calidad.
24/01/2022
- Se aplazan las ventanas de pruebas con las redes  por fallas en la conexión se mueven para el 1 y 2 de febrero
03/02/2022
- Se realiza primer ciclo de pruebas, se realizan ajustes,  se espera confirmacion por parte de credibanco para la solicitud de nuevas ventanas para realizar segundo ciclo de pruebas.
14/02/2022
- Se encuentran impactadas las pruebas por parte de credibanco debido a que no se han entregado los archivos de canje, adicional se tiene ventanas de pruebas 16 y 17 con credibanco
21/02/2022
- Continuan pruebas impactadas por parte de credibanco y se reprograman ventanas de pruebas para los dias 22 y 23 de febrero.
24/02/2022
- En validacion de suspensos contables, pendiente por ventanas para cerrar  eventos con las redes
28/02/2022
- Se reprograman pruebas para 7 y 8 de marzo con credibanco, pte evento retiro ATM internacional con tarjeta Débito 
- Se estima enviar cuadro operativo sin el evento de retiro ATM internacional con tarjta débito
- En revisión parquete TDC para enviar a financiera
- Posible impacto por GLOMO y se lleven al tester que esta llevando las pruebas"
03/03/2022
- Por petición de financiera se debe solicitar concepto de tributaria, no se ha podido realizar pruebas de retiros internacionales por inconvenientes con credibanco, pendiente generar paquete de compras internacionales con tarjetas debito y pendiente envio de paquete a financiera de pruebas con tarjeta credito
10/03/2022
- Alertado en la validacion contable se pide revisar con tributaria como se esta contabilizando, Operacioens y negocio deben entregar soportes  para que valida el equipo de tributaria, posiblemente se debe cambiar la contabilidad.
16/03/2021
- Se envia documentación solicitada a asesoria fiscal para el cocnepto
17/03/2021
- Asesoria fiscal aclara que lo requerido es el contrato reglamente de visa y contrato/reglamento de tarjeta.
- Producto envia el contrato de tarjeta de crédito asesoria fiscal
- Fiscal envia inquietudes a producto y este a su vez las resuelve
- Pte concpeto de asesoria fiscal
18/03/2022
- Pendiente  por concepto de Tributaria para  revisar la definicion contable.
22/03/2022
- Fiscal envia concepto, revisar con delivery y determinar como proceder (sesión 28/03/2022)
31/03/2022
- Parte Visa (Tema devuelto de Certificación por impacto en definición contable por concepto de Asesoría Fiscal)
Debido al concepto de Asesoría Fiscal emitido el 22 de marzo de 2022, se debe generar nueva definición contable tanto para Visa como Mastercard. Esto implica ajustes en apuntes contables y planear de nuevo el desarrollo y certificación del proyecto.
5/4/2022 - tema devuelto de calidad y pendiente definición contable 
19/04/2022 - Se envia push a Dcontable solicitando enviar el ajuste a la contabilidad con base en el concepto del área de tributaria - Recibida la definición contable se debe solicitar concepto del área de tributaria /July Carolina Miranda para reporteria. 
28/04/2022 - Se envia correo a d contable/jose daniel muñoz solicitando el ajuste contable.
12/05/2022
- Dcontable ajusta la definición contable para compras y retiros internacionales, registrando el 100% de la comisión en el rubro de ingreso.
18/05/2022
- Se recibe nueva definición contable, sin embargo, el tema debe regresar al backlog para poder ser revisado, replanificado y atendido en otro Q ya que ahora se está trabajando en los temas comprometidos para este Q.
27/05/2022,
- Pendiente de iniciar análisis de las cambios contables definidos por financiera.
12/07/2022
- Se presentará PSM Q4, se acuerda crear nueva feature y sdatool para el proyecto
12/09/2022
- Producto define prioridad 2 para iniciar en Q4
- Se crea nueva SDATOOL 40455
- Pte sponsor presente BC y WG PPP
- Pte PO document en JIRA
15/09/2022
- Se crea feature
- Pte crear HU y radicar en PMO</v>
      </c>
      <c r="AN512" s="4" t="str">
        <f ca="1">IFERROR(__xludf.DUMMYFUNCTION("""COMPUTED_VALUE"""),"Entregable en desarrollo")</f>
        <v>Entregable en desarrollo</v>
      </c>
      <c r="AO512" s="4"/>
      <c r="AP512" s="4"/>
      <c r="AQ512" s="4"/>
      <c r="AR512" s="4" t="str">
        <f ca="1">IFERROR(__xludf.DUMMYFUNCTION("""COMPUTED_VALUE"""),"SDA aprobada en PPP Q1 2023")</f>
        <v>SDA aprobada en PPP Q1 2023</v>
      </c>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row>
    <row r="513" spans="1:132" x14ac:dyDescent="0.2">
      <c r="A513" s="4">
        <f ca="1">IFERROR(__xludf.DUMMYFUNCTION("""COMPUTED_VALUE"""),513)</f>
        <v>513</v>
      </c>
      <c r="B513" s="4">
        <f ca="1">IFERROR(__xludf.DUMMYFUNCTION("""COMPUTED_VALUE"""),484)</f>
        <v>484</v>
      </c>
      <c r="C513" s="4" t="str">
        <f ca="1">IFERROR(__xludf.DUMMYFUNCTION("""COMPUTED_VALUE"""),"SDATOOL-40384")</f>
        <v>SDATOOL-40384</v>
      </c>
      <c r="D513" s="4" t="str">
        <f ca="1">IFERROR(__xludf.DUMMYFUNCTION("""COMPUTED_VALUE"""),"Cobrar intereses corrientes entre la transacción y la pre-cancelación")</f>
        <v>Cobrar intereses corrientes entre la transacción y la pre-cancelación</v>
      </c>
      <c r="E513" s="4" t="str">
        <f ca="1">IFERROR(__xludf.DUMMYFUNCTION("""COMPUTED_VALUE"""),"Implementación de liquidación y cobro de intereses para la compras programadas a un diferido mayor a 1 cuota pero que son pre-canceladas en la cuota numero uno")</f>
        <v>Implementación de liquidación y cobro de intereses para la compras programadas a un diferido mayor a 1 cuota pero que son pre-canceladas en la cuota numero uno</v>
      </c>
      <c r="F513" s="4" t="str">
        <f ca="1">IFERROR(__xludf.DUMMYFUNCTION("""COMPUTED_VALUE"""),"Project")</f>
        <v>Project</v>
      </c>
      <c r="G513" s="4" t="str">
        <f ca="1">IFERROR(__xludf.DUMMYFUNCTION("""COMPUTED_VALUE"""),"Stock")</f>
        <v>Stock</v>
      </c>
      <c r="H513" s="4" t="str">
        <f ca="1">IFERROR(__xludf.DUMMYFUNCTION("""COMPUTED_VALUE"""),"2Q 2023")</f>
        <v>2Q 2023</v>
      </c>
      <c r="I513" s="131" t="str">
        <f ca="1">IFERROR(__xludf.DUMMYFUNCTION("""COMPUTED_VALUE"""),"alirio.bermudez-bbva.com")</f>
        <v>alirio.bermudez-bbva.com</v>
      </c>
      <c r="J513" s="131" t="str">
        <f ca="1">IFERROR(__xludf.DUMMYFUNCTION("""COMPUTED_VALUE"""),"marthapatric.cruz-bbva.com")</f>
        <v>marthapatric.cruz-bbva.com</v>
      </c>
      <c r="K513" s="131" t="str">
        <f ca="1">IFERROR(__xludf.DUMMYFUNCTION("""COMPUTED_VALUE"""),"andresfelipe.granados-bbva.com")</f>
        <v>andresfelipe.granados-bbva.com</v>
      </c>
      <c r="L513" s="130">
        <f ca="1">IFERROR(__xludf.DUMMYFUNCTION("""COMPUTED_VALUE"""),0.1)</f>
        <v>0.1</v>
      </c>
      <c r="M513" s="130">
        <f ca="1">IFERROR(__xludf.DUMMYFUNCTION("""COMPUTED_VALUE"""),2.1)</f>
        <v>2.1</v>
      </c>
      <c r="N513" s="130">
        <f ca="1">IFERROR(__xludf.DUMMYFUNCTION("""COMPUTED_VALUE"""),0)</f>
        <v>0</v>
      </c>
      <c r="O513" s="4" t="str">
        <f ca="1">IFERROR(__xludf.DUMMYFUNCTION("""COMPUTED_VALUE"""),"Waterfall")</f>
        <v>Waterfall</v>
      </c>
      <c r="P513" s="4" t="str">
        <f ca="1">IFERROR(__xludf.DUMMYFUNCTION("""COMPUTED_VALUE"""),"Tradicional")</f>
        <v>Tradicional</v>
      </c>
      <c r="Q513" s="4"/>
      <c r="R513" s="130" t="str">
        <f ca="1">IFERROR(__xludf.DUMMYFUNCTION("""COMPUTED_VALUE"""),"Payments &amp; Partnerships")</f>
        <v>Payments &amp; Partnerships</v>
      </c>
      <c r="S513" s="130" t="str">
        <f ca="1">IFERROR(__xludf.DUMMYFUNCTION("""COMPUTED_VALUE"""),"Strategic Review")</f>
        <v>Strategic Review</v>
      </c>
      <c r="T513" s="130" t="str">
        <f ca="1">IFERROR(__xludf.DUMMYFUNCTION("""COMPUTED_VALUE"""),"1. Generación de Ingresos")</f>
        <v>1. Generación de Ingresos</v>
      </c>
      <c r="U513" s="130" t="str">
        <f ca="1">IFERROR(__xludf.DUMMYFUNCTION("""COMPUTED_VALUE"""),"1.4. Proyectos de Pagos y Adquirencia")</f>
        <v>1.4. Proyectos de Pagos y Adquirencia</v>
      </c>
      <c r="V513" s="4" t="str">
        <f ca="1">IFERROR(__xludf.DUMMYFUNCTION("""COMPUTED_VALUE"""),"TdC")</f>
        <v>TdC</v>
      </c>
      <c r="W513" s="4">
        <f ca="1">IFERROR(__xludf.DUMMYFUNCTION("""COMPUTED_VALUE"""),3)</f>
        <v>3</v>
      </c>
      <c r="X513" s="4" t="str">
        <f ca="1">IFERROR(__xludf.DUMMYFUNCTION("""COMPUTED_VALUE"""),"10. Otros")</f>
        <v>10. Otros</v>
      </c>
      <c r="Y513" s="4" t="str">
        <f ca="1">IFERROR(__xludf.DUMMYFUNCTION("""COMPUTED_VALUE"""),"5.3.5 Payments - Issuing")</f>
        <v>5.3.5 Payments - Issuing</v>
      </c>
      <c r="Z513" s="132" t="str">
        <f ca="1">IFERROR(__xludf.DUMMYFUNCTION("""COMPUTED_VALUE"""),"558069")</f>
        <v>558069</v>
      </c>
      <c r="AA513" s="4" t="str">
        <f ca="1">IFERROR(__xludf.DUMMYFUNCTION("""COMPUTED_VALUE"""),"Cobrar intereses corrientes entre la transacción y la precancelación")</f>
        <v>Cobrar intereses corrientes entre la transacción y la precancelación</v>
      </c>
      <c r="AB513" s="4" t="str">
        <f ca="1">IFERROR(__xludf.DUMMYFUNCTION("""COMPUTED_VALUE"""),"Cobrar intereses corrientes entre la transacción y la precancelación")</f>
        <v>Cobrar intereses corrientes entre la transacción y la precancelación</v>
      </c>
      <c r="AC513" s="4" t="str">
        <f ca="1">IFERROR(__xludf.DUMMYFUNCTION("""COMPUTED_VALUE"""),"2Q 2023")</f>
        <v>2Q 2023</v>
      </c>
      <c r="AD513" s="128" t="str">
        <f ca="1">IFERROR(__xludf.DUMMYFUNCTION("""COMPUTED_VALUE"""),"-")</f>
        <v>-</v>
      </c>
      <c r="AE513" s="128" t="str">
        <f ca="1">IFERROR(__xludf.DUMMYFUNCTION("""COMPUTED_VALUE"""),"-")</f>
        <v>-</v>
      </c>
      <c r="AF513" s="128" t="str">
        <f ca="1">IFERROR(__xludf.DUMMYFUNCTION("""COMPUTED_VALUE"""),"-")</f>
        <v>-</v>
      </c>
      <c r="AG513" s="128" t="str">
        <f ca="1">IFERROR(__xludf.DUMMYFUNCTION("""COMPUTED_VALUE"""),"-")</f>
        <v>-</v>
      </c>
      <c r="AH513" s="128" t="str">
        <f ca="1">IFERROR(__xludf.DUMMYFUNCTION("""COMPUTED_VALUE"""),"-")</f>
        <v>-</v>
      </c>
      <c r="AI513" s="128" t="str">
        <f ca="1">IFERROR(__xludf.DUMMYFUNCTION("""COMPUTED_VALUE"""),"-")</f>
        <v>-</v>
      </c>
      <c r="AJ513" s="128" t="str">
        <f ca="1">IFERROR(__xludf.DUMMYFUNCTION("""COMPUTED_VALUE"""),"-")</f>
        <v>-</v>
      </c>
      <c r="AK513" s="131" t="str">
        <f ca="1">IFERROR(__xludf.DUMMYFUNCTION("""COMPUTED_VALUE"""),"COLWSMEDIO-2273")</f>
        <v>COLWSMEDIO-2273</v>
      </c>
      <c r="AL513" s="4" t="str">
        <f ca="1">IFERROR(__xludf.DUMMYFUNCTION("""COMPUTED_VALUE"""),"Test")</f>
        <v>Test</v>
      </c>
      <c r="AM513" s="4" t="str">
        <f ca="1">IFERROR(__xludf.DUMMYFUNCTION("""COMPUTED_VALUE"""),"12/05/2021 
- Se crea SDATOOL nueva
- Pte definir prioridad con producto, sin presupuesto
14/05/2021
- Se radican en la PMO
19/05/2021
- Arquitectura informa que NO participa en el proyecto corresponde a un evolutivo
24/05/2021
- PMO convoca sesión de ent"&amp;"endimiento para el 1 de junio
25/05/2021
- Producto convoca sesión con financiera para revisar inquietudes enviadas por delivery (27/05/2021)
01/06/2021
- Se cancela sesión de entendiemitnos hasta tanto no esten cerradas las definiciones (sesión 11 de jun"&amp;"io con producto, delivery y operaciones)
- PO informará a PMO para convocar nuevamente a sesión de entendimiento.
09/06/2021
- Producto define prioridad
16/06/2021
- Delivery entrega valoración
- Análisis  y diseño de la solución  168  Horas  con recurso "&amp;"Interno
- Desarrollos y pruebas  unitarias  328  Horas con recurso Interno
- Soportes a calidad e instalación  112    Horas con recurso Interno
- Pruebas  en Calidad                    200   Horas  con recurso Externo de calidad.
Total Horas del proyecto:"&amp;"  808 presupuesto Solicitado:
-  Pruebas en Calidad     200  Horas   por valor de  14.000.000.00
18/06/2021
- Se comparte a Edwin valoración
- Pte solicitar plan de trabajo a delivery cuando este aprobado por WG
- Delivery estima fecha paso a producción 1"&amp;"2/11/2021
29/06/2021
- Se cita sesión con edwin y delivery revisar y aclara lo requerido para solicitar presupuesto en WG (Viernes julio 2 de 2021)
- Pte solicitar GP, épica y feature cuando aprueben presupuesto.
06/07/2021
- Se aclara en la sesión con Ed"&amp;"win que se debe mencionar las personas que van a participar en el proyecto y que delivery informe que puede abordar el proyecto.
- Presentar en WG del 14 de julio, entregar la información a Edwin el jueves 8 de julio
- Delivery envia correo informando el "&amp;"stafing óptimo
07/07/2021
- Se envio a edwin formato G/I, fecha valoración y stafing para presentar en WG de julio 14
13/07/2021
- Producto envia definción del informe (pte documentar en el ágil)
- Pte informar a la PMO para agendar sesión de entenidmient"&amp;"o con áreas de valor
14/07/2021
- presupuesto aprobado en WG
15/07/2021
- Se solicita dotación a la PMO
- Se envia correo a la PMO para agendar sesión de entendimiento despúés del 26 de julio de 2021
16/07/2021
- PMO convoca sesión entendimiento 3 de agos"&amp;"to con áreas de valor
- Se solicita a PMO crear épica y feature
26/07/2021
- PMO crea feature  CCSS-7168
29/07/2021
- Presupuesto dotado
30/07/2021
- Ralentizado por el NOGAL
07/10/2021
- Sponsor informa que continua esa prioridad 
05/02/2022
- Producto/S"&amp;"ponsor envia correo informando nueva prioridad
- Pte informen PSM de aprobación
09/03/2022
- Delivery entrega valoración
Etapa                Tiempo Estimado (Horas)        ""Tiempo Estimado
Días""
Análisis                120        15
Diseño             "&amp;"   120        15
Construcción                280        35
Certificación                240        30
Producción                112        14
Total                872        109
                69.760.000,00        
17/03/2022
- Pte presentar WG PPP para "&amp;"aprobación de presupuesto 
18/03/2022
- Se remite a edwim link del formato G/I diligenciado para presentar en WG PPP 
22/03/2022
- Producto define nueva prioridad (5)
- Se desplaza esta iniciativa por prioridad al de entrega inmediata de TDC en oficina
23"&amp;"/03/2022
- SD informa PMO que el proyecto se deplaza por nuevas prioridades definidas por producto
- PMO informa a las áreas de valor el desplazamiento de este proyecto y cancela la sesión de entendimiento.
12/07/2022
- Se presentará PSM Q4
22/08/2022
- S"&amp;"e crea SDATOOL NUEVA 40384 ANTERIOR 36518
5/09/2022
- En desarrollos
09/09/2022
- Se crea feature 2273
12/09/2022
- Producto define prioridad 1 para iniciar en Q4
- Pte sponsor presente BC y WG PPP
- Pte PO radique en PMO (crear dependencia) para valoraci"&amp;"ón y sesión entendimiento
15/09/2022
- Se convoca a sesión a producto y delivery el 26 de septiembre para revisar la definición entregada por producto
26/09/2022
- Se realiza sesión con producto
- Pte producto informe ruta para alojar el informe y cierr"&amp;"e la definición Si la CONDONACIÓN será exclusivamente para compras 
03/10/2022
- Producto informa que la condonocación de intereses corrientes es exclusivamente para compras
- Pte ruta, estructura y nombre GOF
06/10/2022
- Se ajusta alcance e HU en J"&amp;"IRA
- Se informa a la PMO para que citen a sesión de entendimiento a las áreas de valor")</f>
        <v>12/05/2021 
- Se crea SDATOOL nueva
- Pte definir prioridad con producto, sin presupuesto
14/05/2021
- Se radican en la PMO
19/05/2021
- Arquitectura informa que NO participa en el proyecto corresponde a un evolutivo
24/05/2021
- PMO convoca sesión de entendimiento para el 1 de junio
25/05/2021
- Producto convoca sesión con financiera para revisar inquietudes enviadas por delivery (27/05/2021)
01/06/2021
- Se cancela sesión de entendiemitnos hasta tanto no esten cerradas las definiciones (sesión 11 de junio con producto, delivery y operaciones)
- PO informará a PMO para convocar nuevamente a sesión de entendimiento.
09/06/2021
- Producto define prioridad
16/06/2021
- Delivery entrega valoración
- Análisis  y diseño de la solución  168  Horas  con recurso Interno
- Desarrollos y pruebas  unitarias  328  Horas con recurso Interno
- Soportes a calidad e instalación  112    Horas con recurso Interno
- Pruebas  en Calidad                    200   Horas  con recurso Externo de calidad.
Total Horas del proyecto:  808 presupuesto Solicitado:
-  Pruebas en Calidad     200  Horas   por valor de  14.000.000.00
18/06/2021
- Se comparte a Edwin valoración
- Pte solicitar plan de trabajo a delivery cuando este aprobado por WG
- Delivery estima fecha paso a producción 12/11/2021
29/06/2021
- Se cita sesión con edwin y delivery revisar y aclara lo requerido para solicitar presupuesto en WG (Viernes julio 2 de 2021)
- Pte solicitar GP, épica y feature cuando aprueben presupuesto.
06/07/2021
- Se aclara en la sesión con Edwin que se debe mencionar las personas que van a participar en el proyecto y que delivery informe que puede abordar el proyecto.
- Presentar en WG del 14 de julio, entregar la información a Edwin el jueves 8 de julio
- Delivery envia correo informando el stafing óptimo
07/07/2021
- Se envio a edwin formato G/I, fecha valoración y stafing para presentar en WG de julio 14
13/07/2021
- Producto envia definción del informe (pte documentar en el ágil)
- Pte informar a la PMO para agendar sesión de entenidmiento con áreas de valor
14/07/2021
- presupuesto aprobado en WG
15/07/2021
- Se solicita dotación a la PMO
- Se envia correo a la PMO para agendar sesión de entendimiento despúés del 26 de julio de 2021
16/07/2021
- PMO convoca sesión entendimiento 3 de agosto con áreas de valor
- Se solicita a PMO crear épica y feature
26/07/2021
- PMO crea feature  CCSS-7168
29/07/2021
- Presupuesto dotado
30/07/2021
- Ralentizado por el NOGAL
07/10/2021
- Sponsor informa que continua esa prioridad 
05/02/2022
- Producto/Sponsor envia correo informando nueva prioridad
- Pte informen PSM de aprobación
09/03/2022
- Delivery entrega valoración
Etapa                Tiempo Estimado (Horas)        "Tiempo Estimado
Días"
Análisis                120        15
Diseño                120        15
Construcción                280        35
Certificación                240        30
Producción                112        14
Total                872        109
                69.760.000,00        
17/03/2022
- Pte presentar WG PPP para aprobación de presupuesto 
18/03/2022
- Se remite a edwim link del formato G/I diligenciado para presentar en WG PPP 
22/03/2022
- Producto define nueva prioridad (5)
- Se desplaza esta iniciativa por prioridad al de entrega inmediata de TDC en oficina
23/03/2022
- SD informa PMO que el proyecto se deplaza por nuevas prioridades definidas por producto
- PMO informa a las áreas de valor el desplazamiento de este proyecto y cancela la sesión de entendimiento.
12/07/2022
- Se presentará PSM Q4
22/08/2022
- Se crea SDATOOL NUEVA 40384 ANTERIOR 36518
5/09/2022
- En desarrollos
09/09/2022
- Se crea feature 2273
12/09/2022
- Producto define prioridad 1 para iniciar en Q4
- Pte sponsor presente BC y WG PPP
- Pte PO radique en PMO (crear dependencia) para valoración y sesión entendimiento
15/09/2022
- Se convoca a sesión a producto y delivery el 26 de septiembre para revisar la definición entregada por producto
26/09/2022
- Se realiza sesión con producto
- Pte producto informe ruta para alojar el informe y cierre la definición Si la CONDONACIÓN será exclusivamente para compras 
03/10/2022
- Producto informa que la condonocación de intereses corrientes es exclusivamente para compras
- Pte ruta, estructura y nombre GOF
06/10/2022
- Se ajusta alcance e HU en JIRA
- Se informa a la PMO para que citen a sesión de entendimiento a las áreas de valor</v>
      </c>
      <c r="AN513" s="4" t="str">
        <f ca="1">IFERROR(__xludf.DUMMYFUNCTION("""COMPUTED_VALUE"""),"Entregable en desarrollo")</f>
        <v>Entregable en desarrollo</v>
      </c>
      <c r="AO513" s="4"/>
      <c r="AP513" s="4"/>
      <c r="AQ513" s="4"/>
      <c r="AR513" s="4" t="str">
        <f ca="1">IFERROR(__xludf.DUMMYFUNCTION("""COMPUTED_VALUE"""),"SDA aprobada en PPP Q1 2023")</f>
        <v>SDA aprobada en PPP Q1 2023</v>
      </c>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133">
        <f ca="1">IFERROR(__xludf.DUMMYFUNCTION("""COMPUTED_VALUE"""),0)</f>
        <v>0</v>
      </c>
      <c r="DV513" s="133">
        <f ca="1">IFERROR(__xludf.DUMMYFUNCTION("""COMPUTED_VALUE"""),0)</f>
        <v>0</v>
      </c>
      <c r="DW513" s="133">
        <f ca="1">IFERROR(__xludf.DUMMYFUNCTION("""COMPUTED_VALUE"""),0)</f>
        <v>0</v>
      </c>
      <c r="DX513" s="133">
        <f ca="1">IFERROR(__xludf.DUMMYFUNCTION("""COMPUTED_VALUE"""),33000000)</f>
        <v>33000000</v>
      </c>
      <c r="DY513" s="133">
        <f ca="1">IFERROR(__xludf.DUMMYFUNCTION("""COMPUTED_VALUE"""),0)</f>
        <v>0</v>
      </c>
      <c r="DZ513" s="133">
        <f ca="1">IFERROR(__xludf.DUMMYFUNCTION("""COMPUTED_VALUE"""),33000000)</f>
        <v>33000000</v>
      </c>
      <c r="EA513" s="4"/>
      <c r="EB513" s="4"/>
    </row>
    <row r="514" spans="1:132" x14ac:dyDescent="0.2">
      <c r="A514" s="4">
        <f ca="1">IFERROR(__xludf.DUMMYFUNCTION("""COMPUTED_VALUE"""),514)</f>
        <v>514</v>
      </c>
      <c r="B514" s="4">
        <f ca="1">IFERROR(__xludf.DUMMYFUNCTION("""COMPUTED_VALUE"""),485)</f>
        <v>485</v>
      </c>
      <c r="C514" s="4" t="str">
        <f ca="1">IFERROR(__xludf.DUMMYFUNCTION("""COMPUTED_VALUE"""),"SDATOOL-40385")</f>
        <v>SDATOOL-40385</v>
      </c>
      <c r="D514" s="4" t="str">
        <f ca="1">IFERROR(__xludf.DUMMYFUNCTION("""COMPUTED_VALUE"""),"Cobrar interés moratorio desde el primer día de atraso")</f>
        <v>Cobrar interés moratorio desde el primer día de atraso</v>
      </c>
      <c r="E514" s="4" t="str">
        <f ca="1">IFERROR(__xludf.DUMMYFUNCTION("""COMPUTED_VALUE"""),"Implementación de liquidación y cobro de intereses moratorio desde el primer día de pago para todo los clientes que no realicen pago de la tarjeta de crédito por medio de Pago interbancario.")</f>
        <v>Implementación de liquidación y cobro de intereses moratorio desde el primer día de pago para todo los clientes que no realicen pago de la tarjeta de crédito por medio de Pago interbancario.</v>
      </c>
      <c r="F514" s="4" t="str">
        <f ca="1">IFERROR(__xludf.DUMMYFUNCTION("""COMPUTED_VALUE"""),"Project")</f>
        <v>Project</v>
      </c>
      <c r="G514" s="4" t="str">
        <f ca="1">IFERROR(__xludf.DUMMYFUNCTION("""COMPUTED_VALUE"""),"On hold")</f>
        <v>On hold</v>
      </c>
      <c r="H514" s="4" t="str">
        <f ca="1">IFERROR(__xludf.DUMMYFUNCTION("""COMPUTED_VALUE"""),"2Q 2023")</f>
        <v>2Q 2023</v>
      </c>
      <c r="I514" s="131" t="str">
        <f ca="1">IFERROR(__xludf.DUMMYFUNCTION("""COMPUTED_VALUE"""),"alirio.bermudez-bbva.com")</f>
        <v>alirio.bermudez-bbva.com</v>
      </c>
      <c r="J514" s="131" t="str">
        <f ca="1">IFERROR(__xludf.DUMMYFUNCTION("""COMPUTED_VALUE"""),"marthapatric.cruz-bbva.com")</f>
        <v>marthapatric.cruz-bbva.com</v>
      </c>
      <c r="K514" s="131" t="str">
        <f ca="1">IFERROR(__xludf.DUMMYFUNCTION("""COMPUTED_VALUE"""),"sandrajohanna.gonzalez-bbva.com")</f>
        <v>sandrajohanna.gonzalez-bbva.com</v>
      </c>
      <c r="L514" s="130">
        <f ca="1">IFERROR(__xludf.DUMMYFUNCTION("""COMPUTED_VALUE"""),0)</f>
        <v>0</v>
      </c>
      <c r="M514" s="130">
        <f ca="1">IFERROR(__xludf.DUMMYFUNCTION("""COMPUTED_VALUE"""),0)</f>
        <v>0</v>
      </c>
      <c r="N514" s="130">
        <f ca="1">IFERROR(__xludf.DUMMYFUNCTION("""COMPUTED_VALUE"""),0)</f>
        <v>0</v>
      </c>
      <c r="O514" s="4" t="str">
        <f ca="1">IFERROR(__xludf.DUMMYFUNCTION("""COMPUTED_VALUE"""),"Waterfall")</f>
        <v>Waterfall</v>
      </c>
      <c r="P514" s="4" t="str">
        <f ca="1">IFERROR(__xludf.DUMMYFUNCTION("""COMPUTED_VALUE"""),"Tradicional")</f>
        <v>Tradicional</v>
      </c>
      <c r="Q514" s="4"/>
      <c r="R514" s="130" t="str">
        <f ca="1">IFERROR(__xludf.DUMMYFUNCTION("""COMPUTED_VALUE"""),"Payments &amp; Partnerships")</f>
        <v>Payments &amp; Partnerships</v>
      </c>
      <c r="S514" s="130" t="str">
        <f ca="1">IFERROR(__xludf.DUMMYFUNCTION("""COMPUTED_VALUE"""),"Strategic Review")</f>
        <v>Strategic Review</v>
      </c>
      <c r="T514" s="130" t="str">
        <f ca="1">IFERROR(__xludf.DUMMYFUNCTION("""COMPUTED_VALUE"""),"1. Generación de Ingresos")</f>
        <v>1. Generación de Ingresos</v>
      </c>
      <c r="U514" s="130" t="str">
        <f ca="1">IFERROR(__xludf.DUMMYFUNCTION("""COMPUTED_VALUE"""),"1.4. Proyectos de Pagos y Adquirencia")</f>
        <v>1.4. Proyectos de Pagos y Adquirencia</v>
      </c>
      <c r="V514" s="4" t="str">
        <f ca="1">IFERROR(__xludf.DUMMYFUNCTION("""COMPUTED_VALUE"""),"TdC")</f>
        <v>TdC</v>
      </c>
      <c r="W514" s="4">
        <f ca="1">IFERROR(__xludf.DUMMYFUNCTION("""COMPUTED_VALUE"""),3)</f>
        <v>3</v>
      </c>
      <c r="X514" s="4" t="str">
        <f ca="1">IFERROR(__xludf.DUMMYFUNCTION("""COMPUTED_VALUE"""),"10. Otros")</f>
        <v>10. Otros</v>
      </c>
      <c r="Y514" s="4" t="str">
        <f ca="1">IFERROR(__xludf.DUMMYFUNCTION("""COMPUTED_VALUE"""),"5.3.5 Payments - Issuing")</f>
        <v>5.3.5 Payments - Issuing</v>
      </c>
      <c r="Z514" s="132" t="str">
        <f ca="1">IFERROR(__xludf.DUMMYFUNCTION("""COMPUTED_VALUE"""),"558070")</f>
        <v>558070</v>
      </c>
      <c r="AA514" s="4" t="str">
        <f ca="1">IFERROR(__xludf.DUMMYFUNCTION("""COMPUTED_VALUE"""),"Liquidar y cobrar intereses de mora desde el primer día")</f>
        <v>Liquidar y cobrar intereses de mora desde el primer día</v>
      </c>
      <c r="AB514" s="4" t="str">
        <f ca="1">IFERROR(__xludf.DUMMYFUNCTION("""COMPUTED_VALUE"""),"Liquidar y cobrar intereses de mora desde el primer día, después de la fecha límite de pago, cuando los recursos llegan de una cuenta BBVA")</f>
        <v>Liquidar y cobrar intereses de mora desde el primer día, después de la fecha límite de pago, cuando los recursos llegan de una cuenta BBVA</v>
      </c>
      <c r="AC514" s="4" t="str">
        <f ca="1">IFERROR(__xludf.DUMMYFUNCTION("""COMPUTED_VALUE"""),"2Q 2024")</f>
        <v>2Q 2024</v>
      </c>
      <c r="AD514" s="128" t="str">
        <f ca="1">IFERROR(__xludf.DUMMYFUNCTION("""COMPUTED_VALUE"""),"-")</f>
        <v>-</v>
      </c>
      <c r="AE514" s="128" t="str">
        <f ca="1">IFERROR(__xludf.DUMMYFUNCTION("""COMPUTED_VALUE"""),"-")</f>
        <v>-</v>
      </c>
      <c r="AF514" s="128" t="str">
        <f ca="1">IFERROR(__xludf.DUMMYFUNCTION("""COMPUTED_VALUE"""),"-")</f>
        <v>-</v>
      </c>
      <c r="AG514" s="128" t="str">
        <f ca="1">IFERROR(__xludf.DUMMYFUNCTION("""COMPUTED_VALUE"""),"-")</f>
        <v>-</v>
      </c>
      <c r="AH514" s="128" t="str">
        <f ca="1">IFERROR(__xludf.DUMMYFUNCTION("""COMPUTED_VALUE"""),"-")</f>
        <v>-</v>
      </c>
      <c r="AI514" s="128" t="str">
        <f ca="1">IFERROR(__xludf.DUMMYFUNCTION("""COMPUTED_VALUE"""),"-")</f>
        <v>-</v>
      </c>
      <c r="AJ514" s="128" t="str">
        <f ca="1">IFERROR(__xludf.DUMMYFUNCTION("""COMPUTED_VALUE"""),"-")</f>
        <v>-</v>
      </c>
      <c r="AK514" s="4" t="str">
        <f ca="1">IFERROR(__xludf.DUMMYFUNCTION("""COMPUTED_VALUE"""),"Sin asignar")</f>
        <v>Sin asignar</v>
      </c>
      <c r="AL514" s="4" t="str">
        <f ca="1">IFERROR(__xludf.DUMMYFUNCTION("""COMPUTED_VALUE"""),"Sin asignar")</f>
        <v>Sin asignar</v>
      </c>
      <c r="AM514" s="4" t="str">
        <f ca="1">IFERROR(__xludf.DUMMYFUNCTION("""COMPUTED_VALUE"""),"""12/05/2021
- Se crea SDATOOL nueva
- Pte definir prioridad con producto, sin presupuesto
14/05/2021
- Se radica en la PMO
18/05/2021
PMO informa que se abordarán las valoraciones para Q4 que seguramente serán luego del PI de Q3.
- SD informa que para po"&amp;"der cumpli las fechas del 2022 se hace necesario iniciar en el Q3
19/05/2021
 - SD solicita a PMO enviar la iniciativa a concepto de áreas de valor (hace parte de las2 iniciativas + de cboro de intereses)
19
21/05/2021
- PMO envia documento ágil a concept"&amp;"o y valoración técnica por parte de las áreas de valor
- Arquitectura informa que NO participa, corresponde a un evolutivo
24/05/2021
- PMO convoca a sesión de entendimiento para el 2 de junio de 2021
01/06/2021
- Se cancela sesión de entendiemitnos hasta"&amp;" tanto no esten cerradas las definiciones (sesión 11 de junio con producto, delivery y operaciones)
- PO informará a PMO para convocar nuevamente a sesión de entendimiento.
09/06/2021
- Producto define prioridad
06/07/2021
- Pte cierre definición del info"&amp;"rme; preguntar a producto.
- En curso valoración
13/07/2021
- Producto envia definción del informe (pte documentar en el ágil)
- Pte informar a la PMO para agendar sesión de entenidmiento con áreas de valor
15/07/2021
- Se envia correo a la PMO para agend"&amp;"ar sesión de entendimiento despúés del 26 de julio de 2021
16/07/2021
- PMO convoca sesión entendimiento 3 de agosto con áreas de valor
30/07/2021
- Ralentizado por el NOGAL
07/10/2021
- Sponsor informa que continua esa prioridad 
05/02/2022
- Producto/Sp"&amp;"onsor envia correo informando nueva prioridad
- Pte informen PSM de aprobación""
09/03/2022
- Delivery informa que este proyecto y el de la SDATOOL 36517 se deben realizar en uno solo
- La valoración de los 2 proyectos es 
Etapa                Tiempo Esti"&amp;"mado (Horas)        ""Tiempo Estimado
Días""
Análisis                774        97
Diseño                774        97
Construcción                3870        483
Certificación                774        97
Producción                114        14
Total    "&amp;"            6306        788
        en $ aprox        504.480.000,00        
22/03/2022
- Producto define nueva prioridad (7)
12/07/2022
- Se presentará PSM Q4
22/08/2022
-  Se crea SDATOOL NUEVA 40385 ANTERIOR 36516")</f>
        <v>"12/05/2021
- Se crea SDATOOL nueva
- Pte definir prioridad con producto, sin presupuesto
14/05/2021
- Se radica en la PMO
18/05/2021
PMO informa que se abordarán las valoraciones para Q4 que seguramente serán luego del PI de Q3.
- SD informa que para poder cumpli las fechas del 2022 se hace necesario iniciar en el Q3
19/05/2021
 - SD solicita a PMO enviar la iniciativa a concepto de áreas de valor (hace parte de las2 iniciativas + de cboro de intereses)
19
21/05/2021
- PMO envia documento ágil a concepto y valoración técnica por parte de las áreas de valor
- Arquitectura informa que NO participa, corresponde a un evolutivo
24/05/2021
- PMO convoca a sesión de entendimiento para el 2 de junio de 2021
01/06/2021
- Se cancela sesión de entendiemitnos hasta tanto no esten cerradas las definiciones (sesión 11 de junio con producto, delivery y operaciones)
- PO informará a PMO para convocar nuevamente a sesión de entendimiento.
09/06/2021
- Producto define prioridad
06/07/2021
- Pte cierre definición del informe; preguntar a producto.
- En curso valoración
13/07/2021
- Producto envia definción del informe (pte documentar en el ágil)
- Pte informar a la PMO para agendar sesión de entenidmiento con áreas de valor
15/07/2021
- Se envia correo a la PMO para agendar sesión de entendimiento despúés del 26 de julio de 2021
16/07/2021
- PMO convoca sesión entendimiento 3 de agosto con áreas de valor
30/07/2021
- Ralentizado por el NOGAL
07/10/2021
- Sponsor informa que continua esa prioridad 
05/02/2022
- Producto/Sponsor envia correo informando nueva prioridad
- Pte informen PSM de aprobación"
09/03/2022
- Delivery informa que este proyecto y el de la SDATOOL 36517 se deben realizar en uno solo
- La valoración de los 2 proyectos es 
Etapa                Tiempo Estimado (Horas)        "Tiempo Estimado
Días"
Análisis                774        97
Diseño                774        97
Construcción                3870        483
Certificación                774        97
Producción                114        14
Total                6306        788
        en $ aprox        504.480.000,00        
22/03/2022
- Producto define nueva prioridad (7)
12/07/2022
- Se presentará PSM Q4
22/08/2022
-  Se crea SDATOOL NUEVA 40385 ANTERIOR 36516</v>
      </c>
      <c r="AN514" s="4" t="str">
        <f ca="1">IFERROR(__xludf.DUMMYFUNCTION("""COMPUTED_VALUE"""),"Iniciativa detenida")</f>
        <v>Iniciativa detenida</v>
      </c>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133">
        <f ca="1">IFERROR(__xludf.DUMMYFUNCTION("""COMPUTED_VALUE"""),0)</f>
        <v>0</v>
      </c>
      <c r="DV514" s="133">
        <f ca="1">IFERROR(__xludf.DUMMYFUNCTION("""COMPUTED_VALUE"""),0)</f>
        <v>0</v>
      </c>
      <c r="DW514" s="133">
        <f ca="1">IFERROR(__xludf.DUMMYFUNCTION("""COMPUTED_VALUE"""),0)</f>
        <v>0</v>
      </c>
      <c r="DX514" s="133">
        <f ca="1">IFERROR(__xludf.DUMMYFUNCTION("""COMPUTED_VALUE"""),0)</f>
        <v>0</v>
      </c>
      <c r="DY514" s="133">
        <f ca="1">IFERROR(__xludf.DUMMYFUNCTION("""COMPUTED_VALUE"""),0)</f>
        <v>0</v>
      </c>
      <c r="DZ514" s="133">
        <f ca="1">IFERROR(__xludf.DUMMYFUNCTION("""COMPUTED_VALUE"""),0)</f>
        <v>0</v>
      </c>
      <c r="EA514" s="4"/>
      <c r="EB514" s="4"/>
    </row>
    <row r="515" spans="1:132" x14ac:dyDescent="0.2">
      <c r="A515" s="4">
        <f ca="1">IFERROR(__xludf.DUMMYFUNCTION("""COMPUTED_VALUE"""),515)</f>
        <v>515</v>
      </c>
      <c r="B515" s="4">
        <f ca="1">IFERROR(__xludf.DUMMYFUNCTION("""COMPUTED_VALUE"""),486)</f>
        <v>486</v>
      </c>
      <c r="C515" s="4" t="str">
        <f ca="1">IFERROR(__xludf.DUMMYFUNCTION("""COMPUTED_VALUE"""),"SDATOOL-40385")</f>
        <v>SDATOOL-40385</v>
      </c>
      <c r="D515" s="4" t="str">
        <f ca="1">IFERROR(__xludf.DUMMYFUNCTION("""COMPUTED_VALUE"""),"Cobrar interés moratorio desde el primer día de atraso")</f>
        <v>Cobrar interés moratorio desde el primer día de atraso</v>
      </c>
      <c r="E515" s="4" t="str">
        <f ca="1">IFERROR(__xludf.DUMMYFUNCTION("""COMPUTED_VALUE"""),"Implementación de liquidación y cobro de intereses moratorio desde el primer día de pago para todo los clientes que no realicen pago de la tarjeta de crédito por medio de Pago interbancario.")</f>
        <v>Implementación de liquidación y cobro de intereses moratorio desde el primer día de pago para todo los clientes que no realicen pago de la tarjeta de crédito por medio de Pago interbancario.</v>
      </c>
      <c r="F515" s="4" t="str">
        <f ca="1">IFERROR(__xludf.DUMMYFUNCTION("""COMPUTED_VALUE"""),"Project")</f>
        <v>Project</v>
      </c>
      <c r="G515" s="4" t="str">
        <f ca="1">IFERROR(__xludf.DUMMYFUNCTION("""COMPUTED_VALUE"""),"On hold")</f>
        <v>On hold</v>
      </c>
      <c r="H515" s="4" t="str">
        <f ca="1">IFERROR(__xludf.DUMMYFUNCTION("""COMPUTED_VALUE"""),"2Q 2023")</f>
        <v>2Q 2023</v>
      </c>
      <c r="I515" s="131" t="str">
        <f ca="1">IFERROR(__xludf.DUMMYFUNCTION("""COMPUTED_VALUE"""),"alirio.bermudez-bbva.com")</f>
        <v>alirio.bermudez-bbva.com</v>
      </c>
      <c r="J515" s="131" t="str">
        <f ca="1">IFERROR(__xludf.DUMMYFUNCTION("""COMPUTED_VALUE"""),"marthapatric.cruz-bbva.com")</f>
        <v>marthapatric.cruz-bbva.com</v>
      </c>
      <c r="K515" s="131" t="str">
        <f ca="1">IFERROR(__xludf.DUMMYFUNCTION("""COMPUTED_VALUE"""),"sandrajohanna.gonzalez-bbva.com")</f>
        <v>sandrajohanna.gonzalez-bbva.com</v>
      </c>
      <c r="L515" s="4"/>
      <c r="M515" s="4"/>
      <c r="N515" s="4"/>
      <c r="O515" s="4" t="str">
        <f ca="1">IFERROR(__xludf.DUMMYFUNCTION("""COMPUTED_VALUE"""),"Waterfall")</f>
        <v>Waterfall</v>
      </c>
      <c r="P515" s="4" t="str">
        <f ca="1">IFERROR(__xludf.DUMMYFUNCTION("""COMPUTED_VALUE"""),"Tradicional")</f>
        <v>Tradicional</v>
      </c>
      <c r="Q515" s="4"/>
      <c r="R515" s="130" t="str">
        <f ca="1">IFERROR(__xludf.DUMMYFUNCTION("""COMPUTED_VALUE"""),"Payments &amp; Partnerships")</f>
        <v>Payments &amp; Partnerships</v>
      </c>
      <c r="S515" s="130" t="str">
        <f ca="1">IFERROR(__xludf.DUMMYFUNCTION("""COMPUTED_VALUE"""),"Strategic Review")</f>
        <v>Strategic Review</v>
      </c>
      <c r="T515" s="130" t="str">
        <f ca="1">IFERROR(__xludf.DUMMYFUNCTION("""COMPUTED_VALUE"""),"1. Generación de Ingresos")</f>
        <v>1. Generación de Ingresos</v>
      </c>
      <c r="U515" s="130" t="str">
        <f ca="1">IFERROR(__xludf.DUMMYFUNCTION("""COMPUTED_VALUE"""),"1.4. Proyectos de Pagos y Adquirencia")</f>
        <v>1.4. Proyectos de Pagos y Adquirencia</v>
      </c>
      <c r="V515" s="4" t="str">
        <f ca="1">IFERROR(__xludf.DUMMYFUNCTION("""COMPUTED_VALUE"""),"TdC")</f>
        <v>TdC</v>
      </c>
      <c r="W515" s="4">
        <f ca="1">IFERROR(__xludf.DUMMYFUNCTION("""COMPUTED_VALUE"""),3)</f>
        <v>3</v>
      </c>
      <c r="X515" s="4" t="str">
        <f ca="1">IFERROR(__xludf.DUMMYFUNCTION("""COMPUTED_VALUE"""),"10. Otros")</f>
        <v>10. Otros</v>
      </c>
      <c r="Y515" s="4" t="str">
        <f ca="1">IFERROR(__xludf.DUMMYFUNCTION("""COMPUTED_VALUE"""),"5.3.5 Payments - Issuing")</f>
        <v>5.3.5 Payments - Issuing</v>
      </c>
      <c r="Z515" s="132" t="str">
        <f ca="1">IFERROR(__xludf.DUMMYFUNCTION("""COMPUTED_VALUE"""),"558071")</f>
        <v>558071</v>
      </c>
      <c r="AA515" s="4" t="str">
        <f ca="1">IFERROR(__xludf.DUMMYFUNCTION("""COMPUTED_VALUE"""),"NO liquidar y cobrar intereses de mora después de 2 días de la fecha")</f>
        <v>NO liquidar y cobrar intereses de mora después de 2 días de la fecha</v>
      </c>
      <c r="AB515" s="4" t="str">
        <f ca="1">IFERROR(__xludf.DUMMYFUNCTION("""COMPUTED_VALUE"""),"NO liquidar y cobrar intereses de mora después de 2 días de la fecha límite de pago, cuando el pago llega por pago interbancario.")</f>
        <v>NO liquidar y cobrar intereses de mora después de 2 días de la fecha límite de pago, cuando el pago llega por pago interbancario.</v>
      </c>
      <c r="AC515" s="4" t="str">
        <f ca="1">IFERROR(__xludf.DUMMYFUNCTION("""COMPUTED_VALUE"""),"2Q 2024")</f>
        <v>2Q 2024</v>
      </c>
      <c r="AD515" s="4"/>
      <c r="AE515" s="4"/>
      <c r="AF515" s="4"/>
      <c r="AG515" s="4"/>
      <c r="AH515" s="4"/>
      <c r="AI515" s="4"/>
      <c r="AJ515" s="4"/>
      <c r="AK515" s="4" t="str">
        <f ca="1">IFERROR(__xludf.DUMMYFUNCTION("""COMPUTED_VALUE"""),"Sin asignar")</f>
        <v>Sin asignar</v>
      </c>
      <c r="AL515" s="4" t="str">
        <f ca="1">IFERROR(__xludf.DUMMYFUNCTION("""COMPUTED_VALUE"""),"Sin asignar")</f>
        <v>Sin asignar</v>
      </c>
      <c r="AM515" s="4"/>
      <c r="AN515" s="4" t="str">
        <f ca="1">IFERROR(__xludf.DUMMYFUNCTION("""COMPUTED_VALUE"""),"Iniciativa detenida")</f>
        <v>Iniciativa detenida</v>
      </c>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row>
    <row r="516" spans="1:132" x14ac:dyDescent="0.2">
      <c r="A516" s="4">
        <f ca="1">IFERROR(__xludf.DUMMYFUNCTION("""COMPUTED_VALUE"""),516)</f>
        <v>516</v>
      </c>
      <c r="B516" s="4">
        <f ca="1">IFERROR(__xludf.DUMMYFUNCTION("""COMPUTED_VALUE"""),487)</f>
        <v>487</v>
      </c>
      <c r="C516" s="4" t="str">
        <f ca="1">IFERROR(__xludf.DUMMYFUNCTION("""COMPUTED_VALUE"""),"SDATOOL-38589")</f>
        <v>SDATOOL-38589</v>
      </c>
      <c r="D516" s="4" t="str">
        <f ca="1">IFERROR(__xludf.DUMMYFUNCTION("""COMPUTED_VALUE"""),"Mandatorio tokenización")</f>
        <v>Mandatorio tokenización</v>
      </c>
      <c r="E516" s="4" t="str">
        <f ca="1">IFERROR(__xludf.DUMMYFUNCTION("""COMPUTED_VALUE"""),"Ampliar el campo Token ""TK"" por donde hoy fluyen las transacciones de tokenización en producción. Pasamos de 20 a 90 posiciones, razón por la cual es importante certificar (Credibanco &amp; BBVA) este cambio para garantizar:
1. Cumplimiento de los artículo"&amp;"s 3.1 y 3.2 de tokenización de este año.
2. La solución completa de tokenización y tener más información y cumplir con el estandar.
Ajustar o incluir marcas adicionales para la lectura de la compensación")</f>
        <v>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estandar.
Ajustar o incluir marcas adicionales para la lectura de la compensación</v>
      </c>
      <c r="F516" s="4" t="str">
        <f ca="1">IFERROR(__xludf.DUMMYFUNCTION("""COMPUTED_VALUE"""),"Project")</f>
        <v>Project</v>
      </c>
      <c r="G516" s="4" t="str">
        <f ca="1">IFERROR(__xludf.DUMMYFUNCTION("""COMPUTED_VALUE"""),"Stock")</f>
        <v>Stock</v>
      </c>
      <c r="H516" s="4" t="str">
        <f ca="1">IFERROR(__xludf.DUMMYFUNCTION("""COMPUTED_VALUE"""),"3Q 2023")</f>
        <v>3Q 2023</v>
      </c>
      <c r="I516" s="131" t="str">
        <f ca="1">IFERROR(__xludf.DUMMYFUNCTION("""COMPUTED_VALUE"""),"alirio.bermudez-bbva.com")</f>
        <v>alirio.bermudez-bbva.com</v>
      </c>
      <c r="J516" s="131" t="str">
        <f ca="1">IFERROR(__xludf.DUMMYFUNCTION("""COMPUTED_VALUE"""),"marthapatric.cruz-bbva.com")</f>
        <v>marthapatric.cruz-bbva.com</v>
      </c>
      <c r="K516" s="131" t="str">
        <f ca="1">IFERROR(__xludf.DUMMYFUNCTION("""COMPUTED_VALUE"""),"andresfelipe.granados-bbva.com")</f>
        <v>andresfelipe.granados-bbva.com</v>
      </c>
      <c r="L516" s="130">
        <f ca="1">IFERROR(__xludf.DUMMYFUNCTION("""COMPUTED_VALUE"""),0.1)</f>
        <v>0.1</v>
      </c>
      <c r="M516" s="130">
        <f ca="1">IFERROR(__xludf.DUMMYFUNCTION("""COMPUTED_VALUE"""),0.3)</f>
        <v>0.3</v>
      </c>
      <c r="N516" s="130">
        <f ca="1">IFERROR(__xludf.DUMMYFUNCTION("""COMPUTED_VALUE"""),0)</f>
        <v>0</v>
      </c>
      <c r="O516" s="4" t="str">
        <f ca="1">IFERROR(__xludf.DUMMYFUNCTION("""COMPUTED_VALUE"""),"Waterfall")</f>
        <v>Waterfall</v>
      </c>
      <c r="P516" s="4" t="str">
        <f ca="1">IFERROR(__xludf.DUMMYFUNCTION("""COMPUTED_VALUE"""),"Tradicional")</f>
        <v>Tradicional</v>
      </c>
      <c r="Q516" s="4"/>
      <c r="R516" s="130" t="str">
        <f ca="1">IFERROR(__xludf.DUMMYFUNCTION("""COMPUTED_VALUE"""),"Payments &amp; Partnerships")</f>
        <v>Payments &amp; Partnerships</v>
      </c>
      <c r="S516" s="130" t="str">
        <f ca="1">IFERROR(__xludf.DUMMYFUNCTION("""COMPUTED_VALUE"""),"Strategic Review")</f>
        <v>Strategic Review</v>
      </c>
      <c r="T516" s="130" t="str">
        <f ca="1">IFERROR(__xludf.DUMMYFUNCTION("""COMPUTED_VALUE"""),"Normativo")</f>
        <v>Normativo</v>
      </c>
      <c r="U516" s="130" t="str">
        <f ca="1">IFERROR(__xludf.DUMMYFUNCTION("""COMPUTED_VALUE"""),"No Aplica")</f>
        <v>No Aplica</v>
      </c>
      <c r="V516" s="4" t="str">
        <f ca="1">IFERROR(__xludf.DUMMYFUNCTION("""COMPUTED_VALUE"""),"TdC")</f>
        <v>TdC</v>
      </c>
      <c r="W516" s="4">
        <f ca="1">IFERROR(__xludf.DUMMYFUNCTION("""COMPUTED_VALUE"""),3)</f>
        <v>3</v>
      </c>
      <c r="X516" s="4" t="str">
        <f ca="1">IFERROR(__xludf.DUMMYFUNCTION("""COMPUTED_VALUE"""),"01. Open Market &amp; Partnerships")</f>
        <v>01. Open Market &amp; Partnerships</v>
      </c>
      <c r="Y516" s="4" t="str">
        <f ca="1">IFERROR(__xludf.DUMMYFUNCTION("""COMPUTED_VALUE"""),"5.7.1 Keep the Bank Running")</f>
        <v>5.7.1 Keep the Bank Running</v>
      </c>
      <c r="Z516" s="132" t="str">
        <f ca="1">IFERROR(__xludf.DUMMYFUNCTION("""COMPUTED_VALUE"""),"427131")</f>
        <v>427131</v>
      </c>
      <c r="AA516" s="4" t="str">
        <f ca="1">IFERROR(__xludf.DUMMYFUNCTION("""COMPUTED_VALUE"""),"Mandatorio tokenización")</f>
        <v>Mandatorio tokenización</v>
      </c>
      <c r="AB516" s="4" t="str">
        <f ca="1">IFERROR(__xludf.DUMMYFUNCTION("""COMPUTED_VALUE"""),"Ampliar el campo Token ""TK"" por donde hoy fluyen las transacciones de tokenización en producción. Pasamos de 20 a 90 posiciones, razón por la cual es importante certificar (Credibanco &amp; BBVA) este cambio para garantizar:
1. Cumplimiento de los artículos"&amp;" 3.1 y 3.2 de tokenización de este año. 
2. La solución completa de tokenización y tener más información y cumplir con el estándar.
* Ajustar o incluir marcas adicionales para la lectura de la compensación")</f>
        <v>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estándar.
* Ajustar o incluir marcas adicionales para la lectura de la compensación</v>
      </c>
      <c r="AC516" s="4" t="str">
        <f ca="1">IFERROR(__xludf.DUMMYFUNCTION("""COMPUTED_VALUE"""),"3Q 2023")</f>
        <v>3Q 2023</v>
      </c>
      <c r="AD516" s="128">
        <f ca="1">IFERROR(__xludf.DUMMYFUNCTION("""COMPUTED_VALUE"""),44578)</f>
        <v>44578</v>
      </c>
      <c r="AE516" s="128">
        <f ca="1">IFERROR(__xludf.DUMMYFUNCTION("""COMPUTED_VALUE"""),44589)</f>
        <v>44589</v>
      </c>
      <c r="AF516" s="128">
        <f ca="1">IFERROR(__xludf.DUMMYFUNCTION("""COMPUTED_VALUE"""),44592)</f>
        <v>44592</v>
      </c>
      <c r="AG516" s="128">
        <f ca="1">IFERROR(__xludf.DUMMYFUNCTION("""COMPUTED_VALUE"""),44692)</f>
        <v>44692</v>
      </c>
      <c r="AH516" s="128">
        <f ca="1">IFERROR(__xludf.DUMMYFUNCTION("""COMPUTED_VALUE"""),44693)</f>
        <v>44693</v>
      </c>
      <c r="AI516" s="128">
        <f ca="1">IFERROR(__xludf.DUMMYFUNCTION("""COMPUTED_VALUE"""),44743)</f>
        <v>44743</v>
      </c>
      <c r="AJ516" s="4"/>
      <c r="AK516" s="131" t="str">
        <f ca="1">IFERROR(__xludf.DUMMYFUNCTION("""COMPUTED_VALUE"""),"COLWSMEDIO-194")</f>
        <v>COLWSMEDIO-194</v>
      </c>
      <c r="AL516" s="4" t="str">
        <f ca="1">IFERROR(__xludf.DUMMYFUNCTION("""COMPUTED_VALUE"""),"Blocked")</f>
        <v>Blocked</v>
      </c>
      <c r="AM516" s="4" t="s">
        <v>5928</v>
      </c>
      <c r="AN516" s="4" t="str">
        <f ca="1">IFERROR(__xludf.DUMMYFUNCTION("""COMPUTED_VALUE"""),"Entregable en desarrollo")</f>
        <v>Entregable en desarrollo</v>
      </c>
      <c r="AO516" s="4"/>
      <c r="AP516" s="4"/>
      <c r="AQ516" s="4"/>
      <c r="AR516" s="4" t="str">
        <f ca="1">IFERROR(__xludf.DUMMYFUNCTION("""COMPUTED_VALUE"""),"SDA aprobada en PPP Q1 2023")</f>
        <v>SDA aprobada en PPP Q1 2023</v>
      </c>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133">
        <f ca="1">IFERROR(__xludf.DUMMYFUNCTION("""COMPUTED_VALUE"""),0)</f>
        <v>0</v>
      </c>
      <c r="DV516" s="133">
        <f ca="1">IFERROR(__xludf.DUMMYFUNCTION("""COMPUTED_VALUE"""),0)</f>
        <v>0</v>
      </c>
      <c r="DW516" s="133">
        <f ca="1">IFERROR(__xludf.DUMMYFUNCTION("""COMPUTED_VALUE"""),26845816)</f>
        <v>26845816</v>
      </c>
      <c r="DX516" s="133">
        <f ca="1">IFERROR(__xludf.DUMMYFUNCTION("""COMPUTED_VALUE"""),7729628)</f>
        <v>7729628</v>
      </c>
      <c r="DY516" s="133">
        <f ca="1">IFERROR(__xludf.DUMMYFUNCTION("""COMPUTED_VALUE"""),0)</f>
        <v>0</v>
      </c>
      <c r="DZ516" s="133">
        <f ca="1">IFERROR(__xludf.DUMMYFUNCTION("""COMPUTED_VALUE"""),34575444)</f>
        <v>34575444</v>
      </c>
      <c r="EA516" s="4"/>
      <c r="EB516" s="4"/>
    </row>
    <row r="517" spans="1:132" x14ac:dyDescent="0.2">
      <c r="A517" s="4">
        <f ca="1">IFERROR(__xludf.DUMMYFUNCTION("""COMPUTED_VALUE"""),517)</f>
        <v>517</v>
      </c>
      <c r="B517" s="4">
        <f ca="1">IFERROR(__xludf.DUMMYFUNCTION("""COMPUTED_VALUE"""),488)</f>
        <v>488</v>
      </c>
      <c r="C517" s="4" t="str">
        <f ca="1">IFERROR(__xludf.DUMMYFUNCTION("""COMPUTED_VALUE"""),"SDATOOL-40295")</f>
        <v>SDATOOL-40295</v>
      </c>
      <c r="D517" s="4" t="str">
        <f ca="1">IFERROR(__xludf.DUMMYFUNCTION("""COMPUTED_VALUE"""),"Tokenización COF")</f>
        <v>Tokenización COF</v>
      </c>
      <c r="E517" s="4" t="str">
        <f ca="1">IFERROR(__xludf.DUMMYFUNCTION("""COMPUTED_VALUE"""),"Atender el requerimiento de Visa en ampliar las reglas de autenticación y requisitos de procesamiento; para respaldar la introducción de un marco de autenticación digital que se aplicará a PAN o números de tarjetas; y transacciones de comercio electrónico"&amp;" con token de pago de Visa utilizando""""Visa Token Service""")</f>
        <v>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v>
      </c>
      <c r="F517" s="4" t="str">
        <f ca="1">IFERROR(__xludf.DUMMYFUNCTION("""COMPUTED_VALUE"""),"Project")</f>
        <v>Project</v>
      </c>
      <c r="G517" s="4" t="str">
        <f ca="1">IFERROR(__xludf.DUMMYFUNCTION("""COMPUTED_VALUE"""),"Stock")</f>
        <v>Stock</v>
      </c>
      <c r="H517" s="4" t="str">
        <f ca="1">IFERROR(__xludf.DUMMYFUNCTION("""COMPUTED_VALUE"""),"3Q 2023")</f>
        <v>3Q 2023</v>
      </c>
      <c r="I517" s="131" t="str">
        <f ca="1">IFERROR(__xludf.DUMMYFUNCTION("""COMPUTED_VALUE"""),"alirio.bermudez-bbva.com")</f>
        <v>alirio.bermudez-bbva.com</v>
      </c>
      <c r="J517" s="131" t="str">
        <f ca="1">IFERROR(__xludf.DUMMYFUNCTION("""COMPUTED_VALUE"""),"marthapatric.cruz-bbva.com")</f>
        <v>marthapatric.cruz-bbva.com</v>
      </c>
      <c r="K517" s="131" t="str">
        <f ca="1">IFERROR(__xludf.DUMMYFUNCTION("""COMPUTED_VALUE"""),"andresfelipe.granados-bbva.com")</f>
        <v>andresfelipe.granados-bbva.com</v>
      </c>
      <c r="L517" s="130">
        <f ca="1">IFERROR(__xludf.DUMMYFUNCTION("""COMPUTED_VALUE"""),0.1)</f>
        <v>0.1</v>
      </c>
      <c r="M517" s="130">
        <f ca="1">IFERROR(__xludf.DUMMYFUNCTION("""COMPUTED_VALUE"""),0.7)</f>
        <v>0.7</v>
      </c>
      <c r="N517" s="130">
        <f ca="1">IFERROR(__xludf.DUMMYFUNCTION("""COMPUTED_VALUE"""),0.7)</f>
        <v>0.7</v>
      </c>
      <c r="O517" s="4" t="str">
        <f ca="1">IFERROR(__xludf.DUMMYFUNCTION("""COMPUTED_VALUE"""),"Waterfall")</f>
        <v>Waterfall</v>
      </c>
      <c r="P517" s="4" t="str">
        <f ca="1">IFERROR(__xludf.DUMMYFUNCTION("""COMPUTED_VALUE"""),"Tradicional")</f>
        <v>Tradicional</v>
      </c>
      <c r="Q517" s="4"/>
      <c r="R517" s="130" t="str">
        <f ca="1">IFERROR(__xludf.DUMMYFUNCTION("""COMPUTED_VALUE"""),"Payments &amp; Partnerships")</f>
        <v>Payments &amp; Partnerships</v>
      </c>
      <c r="S517" s="130" t="str">
        <f ca="1">IFERROR(__xludf.DUMMYFUNCTION("""COMPUTED_VALUE"""),"Strategic Review")</f>
        <v>Strategic Review</v>
      </c>
      <c r="T517" s="130" t="str">
        <f ca="1">IFERROR(__xludf.DUMMYFUNCTION("""COMPUTED_VALUE"""),"Normativo")</f>
        <v>Normativo</v>
      </c>
      <c r="U517" s="130" t="str">
        <f ca="1">IFERROR(__xludf.DUMMYFUNCTION("""COMPUTED_VALUE"""),"No Aplica")</f>
        <v>No Aplica</v>
      </c>
      <c r="V517" s="4" t="str">
        <f ca="1">IFERROR(__xludf.DUMMYFUNCTION("""COMPUTED_VALUE"""),"TdC")</f>
        <v>TdC</v>
      </c>
      <c r="W517" s="4">
        <f ca="1">IFERROR(__xludf.DUMMYFUNCTION("""COMPUTED_VALUE"""),3)</f>
        <v>3</v>
      </c>
      <c r="X517" s="4" t="str">
        <f ca="1">IFERROR(__xludf.DUMMYFUNCTION("""COMPUTED_VALUE"""),"10. Otros")</f>
        <v>10. Otros</v>
      </c>
      <c r="Y517" s="4" t="str">
        <f ca="1">IFERROR(__xludf.DUMMYFUNCTION("""COMPUTED_VALUE"""),"5.7.1 Keep the Bank Running")</f>
        <v>5.7.1 Keep the Bank Running</v>
      </c>
      <c r="Z517" s="132" t="str">
        <f ca="1">IFERROR(__xludf.DUMMYFUNCTION("""COMPUTED_VALUE"""),"558060")</f>
        <v>558060</v>
      </c>
      <c r="AA517" s="4" t="str">
        <f ca="1">IFERROR(__xludf.DUMMYFUNCTION("""COMPUTED_VALUE"""),"Tokenización CoF Entregable 1 Habilitar tockens y tasa aprovisionamiento")</f>
        <v>Tokenización CoF Entregable 1 Habilitar tockens y tasa aprovisionamiento</v>
      </c>
      <c r="AB517" s="4" t="str">
        <f ca="1">IFERROR(__xludf.DUMMYFUNCTION("""COMPUTED_VALUE"""),"""Mejore las experiencias de pago digital de los titulares de tarjetas que conlleva:
HU1. Habilitación de tokens: Los tokens VNP deben estar habilitados para todos los BIN, para los emisores que no estén habilitados para VTS, Visa se habilitará a través d"&amp;"e la tokenización básica. -Tasa de aprovisionamiento mínima: del 90% (solo emisores activos).")</f>
        <v>"Mejore las experiencias de pago digital de los titulares de tarjetas que conlleva:
HU1. Habilitación de tokens: Los tokens VNP deben estar habilitados para todos los BIN, para los emisores que no estén habilitados para VTS, Visa se habilitará a través de la tokenización básica. -Tasa de aprovisionamiento mínima: del 90% (solo emisores activos).</v>
      </c>
      <c r="AC517" s="4" t="str">
        <f ca="1">IFERROR(__xludf.DUMMYFUNCTION("""COMPUTED_VALUE"""),"2Q 2023")</f>
        <v>2Q 2023</v>
      </c>
      <c r="AD517" s="4"/>
      <c r="AE517" s="4"/>
      <c r="AF517" s="4"/>
      <c r="AG517" s="4"/>
      <c r="AH517" s="4"/>
      <c r="AI517" s="4"/>
      <c r="AJ517" s="4"/>
      <c r="AK517" s="131" t="str">
        <f ca="1">IFERROR(__xludf.DUMMYFUNCTION("""COMPUTED_VALUE"""),"COLWSMEDIO-2243")</f>
        <v>COLWSMEDIO-2243</v>
      </c>
      <c r="AL517" s="4" t="str">
        <f ca="1">IFERROR(__xludf.DUMMYFUNCTION("""COMPUTED_VALUE"""),"Deployed")</f>
        <v>Deployed</v>
      </c>
      <c r="AM517" s="4" t="str">
        <f ca="1">IFERROR(__xludf.DUMMYFUNCTION("""COMPUTED_VALUE"""),"10/05/2022
- Delivery se encuentra realizando valoración a alto nivel, estima entregar en el curso de esta semana del 9 al 13 de mayo de 2022
- Producto enviará respuesta a Visa con base en valoración; para waiver y evitar multas.
17/05/2022
- Delivery en"&amp;"via a producto valoración y cronograma a alto nivel del proyecto, las fechas son estimadas iniciando en el Q3 2022, siempre y cuando el proyecto se priorice y curse todo el circuito de radicación del mismo, es posible que el tiempo cambie de acuerdo a los"&amp;" conceptos de las áreas de valor (Arquitectura, seguridad, etc).
12/07/2022
- Se presentará PSM Q4
22/07/2022
- Delivery comparte cronogrma alto nivel a producto fecha estimada producción 14/04/2023
25/08/2022
- Delivery envia valoración del proyecto tota"&amp;"l 1544 horas $52.100.000
01/09/2022
- Aprobado en comité de Normativos
02/09/2022
- Se estima presentar en WG PPP del 14 de septiembre de 2022
03/09/2022
- Se crea feature COLWSMEDIO-2243
- HU1 COLWSMEDIO- 2244
- Pendiente radicar en la PMO para valoració"&amp;"n
06/09/2022
- Radicado en PMO
- Pte delivery entregue plan de trabajo y valoración ajustados
08/09/2022
-PMO cita a sesión de entendimiento el 12 de septiembre y solicita valoración y concepto a las áreas de valor 
12/09/2022
- Producto define prio"&amp;"ridad 1 para iniciar en Q4 2022
- Pte. sponsor elabore BC, presente en WG PPP
- Se realiza sesión de entendimiento
- Pte PMO cite sesión para diligenciar FARIT
13/09/2022
- Se convoca sesión el 15 sep/22 a producto, fraude e ingeniera para definir qu"&amp;"e tipo de bloqueos y tipos de bajas vamos a reportar a Visa
- Se convoca sesión el 16 sep/22 a producto para definir casos de uso y volumetria")</f>
        <v>10/05/2022
- Delivery se encuentra realizando valoración a alto nivel, estima entregar en el curso de esta semana del 9 al 13 de mayo de 2022
- Producto enviará respuesta a Visa con base en valoración; para waiver y evitar multas.
17/05/2022
- Delivery envia a producto valoración y cronograma a alto nivel del proyecto, las fechas son estimadas iniciando en el Q3 2022, siempre y cuando el proyecto se priorice y curse todo el circuito de radicación del mismo, es posible que el tiempo cambie de acuerdo a los conceptos de las áreas de valor (Arquitectura, seguridad, etc).
12/07/2022
- Se presentará PSM Q4
22/07/2022
- Delivery comparte cronogrma alto nivel a producto fecha estimada producción 14/04/2023
25/08/2022
- Delivery envia valoración del proyecto total 1544 horas $52.100.000
01/09/2022
- Aprobado en comité de Normativos
02/09/2022
- Se estima presentar en WG PPP del 14 de septiembre de 2022
03/09/2022
- Se crea feature COLWSMEDIO-2243
- HU1 COLWSMEDIO- 2244
- Pendiente radicar en la PMO para valoración
06/09/2022
- Radicado en PMO
- Pte delivery entregue plan de trabajo y valoración ajustados
08/09/2022
-PMO cita a sesión de entendimiento el 12 de septiembre y solicita valoración y concepto a las áreas de valor 
12/09/2022
- Producto define prioridad 1 para iniciar en Q4 2022
- Pte. sponsor elabore BC, presente en WG PPP
- Se realiza sesión de entendimiento
- Pte PMO cite sesión para diligenciar FARIT
13/09/2022
- Se convoca sesión el 15 sep/22 a producto, fraude e ingeniera para definir que tipo de bloqueos y tipos de bajas vamos a reportar a Visa
- Se convoca sesión el 16 sep/22 a producto para definir casos de uso y volumetria</v>
      </c>
      <c r="AN517" s="4" t="str">
        <f ca="1">IFERROR(__xludf.DUMMYFUNCTION("""COMPUTED_VALUE"""),"Finalizado")</f>
        <v>Finalizado</v>
      </c>
      <c r="AO517" s="4"/>
      <c r="AP517" s="4"/>
      <c r="AQ517" s="4"/>
      <c r="AR517" s="4" t="str">
        <f ca="1">IFERROR(__xludf.DUMMYFUNCTION("""COMPUTED_VALUE"""),"SDA aprobada en PPP Q1 2023")</f>
        <v>SDA aprobada en PPP Q1 2023</v>
      </c>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133">
        <f ca="1">IFERROR(__xludf.DUMMYFUNCTION("""COMPUTED_VALUE"""),0)</f>
        <v>0</v>
      </c>
      <c r="DV517" s="133">
        <f ca="1">IFERROR(__xludf.DUMMYFUNCTION("""COMPUTED_VALUE"""),0)</f>
        <v>0</v>
      </c>
      <c r="DW517" s="133">
        <f ca="1">IFERROR(__xludf.DUMMYFUNCTION("""COMPUTED_VALUE"""),0)</f>
        <v>0</v>
      </c>
      <c r="DX517" s="133">
        <f ca="1">IFERROR(__xludf.DUMMYFUNCTION("""COMPUTED_VALUE"""),75099882)</f>
        <v>75099882</v>
      </c>
      <c r="DY517" s="133">
        <f ca="1">IFERROR(__xludf.DUMMYFUNCTION("""COMPUTED_VALUE"""),0)</f>
        <v>0</v>
      </c>
      <c r="DZ517" s="133">
        <f ca="1">IFERROR(__xludf.DUMMYFUNCTION("""COMPUTED_VALUE"""),75099882)</f>
        <v>75099882</v>
      </c>
      <c r="EA517" s="4"/>
      <c r="EB517" s="4"/>
    </row>
    <row r="518" spans="1:132" x14ac:dyDescent="0.2">
      <c r="A518" s="4">
        <f ca="1">IFERROR(__xludf.DUMMYFUNCTION("""COMPUTED_VALUE"""),518)</f>
        <v>518</v>
      </c>
      <c r="B518" s="4">
        <f ca="1">IFERROR(__xludf.DUMMYFUNCTION("""COMPUTED_VALUE"""),489)</f>
        <v>489</v>
      </c>
      <c r="C518" s="4" t="str">
        <f ca="1">IFERROR(__xludf.DUMMYFUNCTION("""COMPUTED_VALUE"""),"SDATOOL-40295")</f>
        <v>SDATOOL-40295</v>
      </c>
      <c r="D518" s="4" t="str">
        <f ca="1">IFERROR(__xludf.DUMMYFUNCTION("""COMPUTED_VALUE"""),"Tokenización COF")</f>
        <v>Tokenización COF</v>
      </c>
      <c r="E518" s="4" t="str">
        <f ca="1">IFERROR(__xludf.DUMMYFUNCTION("""COMPUTED_VALUE"""),"Atender el requerimiento de Visa en ampliar las reglas de autenticación y requisitos de procesamiento; para respaldar la introducción de un marco de autenticación digital que se aplicará a PAN o números de tarjetas; y transacciones de comercio electrónico"&amp;" con token de pago de Visa utilizando""""Visa Token Service""")</f>
        <v>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v>
      </c>
      <c r="F518" s="4" t="str">
        <f ca="1">IFERROR(__xludf.DUMMYFUNCTION("""COMPUTED_VALUE"""),"Project")</f>
        <v>Project</v>
      </c>
      <c r="G518" s="4" t="str">
        <f ca="1">IFERROR(__xludf.DUMMYFUNCTION("""COMPUTED_VALUE"""),"Stock")</f>
        <v>Stock</v>
      </c>
      <c r="H518" s="4" t="str">
        <f ca="1">IFERROR(__xludf.DUMMYFUNCTION("""COMPUTED_VALUE"""),"3Q 2023")</f>
        <v>3Q 2023</v>
      </c>
      <c r="I518" s="131" t="str">
        <f ca="1">IFERROR(__xludf.DUMMYFUNCTION("""COMPUTED_VALUE"""),"alirio.bermudez-bbva.com")</f>
        <v>alirio.bermudez-bbva.com</v>
      </c>
      <c r="J518" s="131" t="str">
        <f ca="1">IFERROR(__xludf.DUMMYFUNCTION("""COMPUTED_VALUE"""),"marthapatric.cruz-bbva.com")</f>
        <v>marthapatric.cruz-bbva.com</v>
      </c>
      <c r="K518" s="131" t="str">
        <f ca="1">IFERROR(__xludf.DUMMYFUNCTION("""COMPUTED_VALUE"""),"andresfelipe.granados-bbva.com")</f>
        <v>andresfelipe.granados-bbva.com</v>
      </c>
      <c r="L518" s="4"/>
      <c r="M518" s="4"/>
      <c r="N518" s="4"/>
      <c r="O518" s="4" t="str">
        <f ca="1">IFERROR(__xludf.DUMMYFUNCTION("""COMPUTED_VALUE"""),"Waterfall")</f>
        <v>Waterfall</v>
      </c>
      <c r="P518" s="4" t="str">
        <f ca="1">IFERROR(__xludf.DUMMYFUNCTION("""COMPUTED_VALUE"""),"Tradicional")</f>
        <v>Tradicional</v>
      </c>
      <c r="Q518" s="4"/>
      <c r="R518" s="130" t="str">
        <f ca="1">IFERROR(__xludf.DUMMYFUNCTION("""COMPUTED_VALUE"""),"Payments &amp; Partnerships")</f>
        <v>Payments &amp; Partnerships</v>
      </c>
      <c r="S518" s="130" t="str">
        <f ca="1">IFERROR(__xludf.DUMMYFUNCTION("""COMPUTED_VALUE"""),"Strategic Review")</f>
        <v>Strategic Review</v>
      </c>
      <c r="T518" s="130" t="str">
        <f ca="1">IFERROR(__xludf.DUMMYFUNCTION("""COMPUTED_VALUE"""),"Normativo")</f>
        <v>Normativo</v>
      </c>
      <c r="U518" s="130" t="str">
        <f ca="1">IFERROR(__xludf.DUMMYFUNCTION("""COMPUTED_VALUE"""),"No Aplica")</f>
        <v>No Aplica</v>
      </c>
      <c r="V518" s="4" t="str">
        <f ca="1">IFERROR(__xludf.DUMMYFUNCTION("""COMPUTED_VALUE"""),"TdC")</f>
        <v>TdC</v>
      </c>
      <c r="W518" s="4">
        <f ca="1">IFERROR(__xludf.DUMMYFUNCTION("""COMPUTED_VALUE"""),3)</f>
        <v>3</v>
      </c>
      <c r="X518" s="4" t="str">
        <f ca="1">IFERROR(__xludf.DUMMYFUNCTION("""COMPUTED_VALUE"""),"10. Otros")</f>
        <v>10. Otros</v>
      </c>
      <c r="Y518" s="4" t="str">
        <f ca="1">IFERROR(__xludf.DUMMYFUNCTION("""COMPUTED_VALUE"""),"5.7.1 Keep the Bank Running")</f>
        <v>5.7.1 Keep the Bank Running</v>
      </c>
      <c r="Z518" s="132" t="str">
        <f ca="1">IFERROR(__xludf.DUMMYFUNCTION("""COMPUTED_VALUE"""),"558246")</f>
        <v>558246</v>
      </c>
      <c r="AA518" s="4" t="str">
        <f ca="1">IFERROR(__xludf.DUMMYFUNCTION("""COMPUTED_VALUE"""),"Tokenización COF Entregable 2 Participación ciclo de vida")</f>
        <v>Tokenización COF Entregable 2 Participación ciclo de vida</v>
      </c>
      <c r="AB518" s="4" t="str">
        <f ca="1">IFERROR(__xludf.DUMMYFUNCTION("""COMPUTED_VALUE"""),"Mejore las experiencias de pago digital de los titulares de tarjetas que conlleva:
-Participación Ciclo de Vida: Los tokens deben reflejar los datos del PAN más actualizados y nunca deben caducar (sólo emisores activos)")</f>
        <v>Mejore las experiencias de pago digital de los titulares de tarjetas que conlleva:
-Participación Ciclo de Vida: Los tokens deben reflejar los datos del PAN más actualizados y nunca deben caducar (sólo emisores activos)</v>
      </c>
      <c r="AC518" s="4" t="str">
        <f ca="1">IFERROR(__xludf.DUMMYFUNCTION("""COMPUTED_VALUE"""),"3Q 2023")</f>
        <v>3Q 2023</v>
      </c>
      <c r="AD518" s="4"/>
      <c r="AE518" s="4"/>
      <c r="AF518" s="4"/>
      <c r="AG518" s="4"/>
      <c r="AH518" s="4"/>
      <c r="AI518" s="4"/>
      <c r="AJ518" s="4"/>
      <c r="AK518" s="131" t="str">
        <f ca="1">IFERROR(__xludf.DUMMYFUNCTION("""COMPUTED_VALUE"""),"COLWSMEDIO-2250")</f>
        <v>COLWSMEDIO-2250</v>
      </c>
      <c r="AL518" s="4" t="str">
        <f ca="1">IFERROR(__xludf.DUMMYFUNCTION("""COMPUTED_VALUE"""),"En progreso")</f>
        <v>En progreso</v>
      </c>
      <c r="AM518" s="4" t="str">
        <f ca="1">IFERROR(__xludf.DUMMYFUNCTION("""COMPUTED_VALUE"""),"10/05/2022 - Delivery se encuentra realizando valoración a alto nivel, estima entregar en el curso de esta semana del 9 al 13 de mayo de 2022 - Producto enviará respuesta a Visa con base en valoración; para waiver y evitar multas. 
17/05/2022 - Delivery e"&amp;"nvia a producto valoración y cronograma a alto nivel del proyecto, las fechas son estimadas iniciando en el Q3 2022, siempre y cuando el proyecto se priorice y curse todo el circuito de radicación del mismo, es posible que el tiempo cambie de acuerdo a lo"&amp;"s conceptos de las áreas de valor (Arquitectura, seguridad, etc). 
12/07/2022 - Se presentará PSM Q4 22/07/2022 - Delivery comparte cronogrma alto nivel a producto fecha estimada producción 14/04/2023 
25/08/2022 - Delivery envia valoración del proyecto t"&amp;"otal 1544 horas $52.100.000 01/09/2022 
- Aprobado en comité de Normativos 02/09/2022
- Se estima presentar en WG PPP del 14 de septiembre de 2022 
03/09/2022 - Se crea feature COLWSMEDIO-2250 - HU1 COLWSMEDIO- 2251 - Pendiente radicar en la PMO para valo"&amp;"ración 
06/09/2022
- Radicado en PMO
- Pte delivery entregue plan de trabajo y valoración ajustados
08/08/2022
-PMO cita a sesión de entendimiento el 12 de septiembre y solicita valoración y concepto a las áreas de valor 
12/09/2022
- Producto defin"&amp;"e prioridad 1 para iniciar en Q4 2022
- Pte. sponsor elabore BC, presente en WG PPP
- Se realiza sesión de entendimiento
- Pte PMO cite sesión para diligenciar FARIT
- Arquitectura solicita insumos para el MSA /Reunión con el equipo Holding que desarr"&amp;"ollo el MSA, casos de uso, ficha Marco de Control (Mitigantes), Diagrama Técnico ACTUAL (Líder Técnico) y Volumetría
13/09/2022
- Se convoca sesión el 15 sep/22 a producto, fraude e ingeniera para definir que tipo de bloqueos y tipos de bajas vamos a re"&amp;"portar a Visa
- Se convoca sesión el 16 sep/22 a producto para definir casos de uso y volumetria")</f>
        <v>10/05/2022 - Delivery se encuentra realizando valoración a alto nivel, estima entregar en el curso de esta semana del 9 al 13 de mayo de 2022 - Producto enviará respuesta a Visa con base en valoración; para waiver y evitar multas. 
17/05/2022 - Delivery envia a producto valoración y cronograma a alto nivel del proyecto, las fechas son estimadas iniciando en el Q3 2022, siempre y cuando el proyecto se priorice y curse todo el circuito de radicación del mismo, es posible que el tiempo cambie de acuerdo a los conceptos de las áreas de valor (Arquitectura, seguridad, etc). 
12/07/2022 - Se presentará PSM Q4 22/07/2022 - Delivery comparte cronogrma alto nivel a producto fecha estimada producción 14/04/2023 
25/08/2022 - Delivery envia valoración del proyecto total 1544 horas $52.100.000 01/09/2022 
- Aprobado en comité de Normativos 02/09/2022
- Se estima presentar en WG PPP del 14 de septiembre de 2022 
03/09/2022 - Se crea feature COLWSMEDIO-2250 - HU1 COLWSMEDIO- 2251 - Pendiente radicar en la PMO para valoración 
06/09/2022
- Radicado en PMO
- Pte delivery entregue plan de trabajo y valoración ajustados
08/08/2022
-PMO cita a sesión de entendimiento el 12 de septiembre y solicita valoración y concepto a las áreas de valor 
12/09/2022
- Producto define prioridad 1 para iniciar en Q4 2022
- Pte. sponsor elabore BC, presente en WG PPP
- Se realiza sesión de entendimiento
- Pte PMO cite sesión para diligenciar FARIT
- Arquitectura solicita insumos para el MSA /Reunión con el equipo Holding que desarrollo el MSA, casos de uso, ficha Marco de Control (Mitigantes), Diagrama Técnico ACTUAL (Líder Técnico) y Volumetría
13/09/2022
- Se convoca sesión el 15 sep/22 a producto, fraude e ingeniera para definir que tipo de bloqueos y tipos de bajas vamos a reportar a Visa
- Se convoca sesión el 16 sep/22 a producto para definir casos de uso y volumetria</v>
      </c>
      <c r="AN518" s="4" t="str">
        <f ca="1">IFERROR(__xludf.DUMMYFUNCTION("""COMPUTED_VALUE"""),"Entregable en desarrollo")</f>
        <v>Entregable en desarrollo</v>
      </c>
      <c r="AO518" s="4"/>
      <c r="AP518" s="4"/>
      <c r="AQ518" s="4"/>
      <c r="AR518" s="4" t="str">
        <f ca="1">IFERROR(__xludf.DUMMYFUNCTION("""COMPUTED_VALUE"""),"SDA aprobada en PPP Q1 2023")</f>
        <v>SDA aprobada en PPP Q1 2023</v>
      </c>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row>
    <row r="519" spans="1:132" x14ac:dyDescent="0.2">
      <c r="A519" s="4">
        <f ca="1">IFERROR(__xludf.DUMMYFUNCTION("""COMPUTED_VALUE"""),519)</f>
        <v>519</v>
      </c>
      <c r="B519" s="4">
        <f ca="1">IFERROR(__xludf.DUMMYFUNCTION("""COMPUTED_VALUE"""),490)</f>
        <v>490</v>
      </c>
      <c r="C519" s="4" t="str">
        <f ca="1">IFERROR(__xludf.DUMMYFUNCTION("""COMPUTED_VALUE"""),"SDATOOL-40442")</f>
        <v>SDATOOL-40442</v>
      </c>
      <c r="D519" s="4" t="str">
        <f ca="1">IFERROR(__xludf.DUMMYFUNCTION("""COMPUTED_VALUE"""),"M4M - Tokenización Mastercard")</f>
        <v>M4M - Tokenización Mastercard</v>
      </c>
      <c r="E519" s="4" t="str">
        <f ca="1">IFERROR(__xludf.DUMMYFUNCTION("""COMPUTED_VALUE"""),"Para el 1 de junio de 2019, los emisores que participan en MDES deben habilitar todos sus rangos de cuenta
para MDES para comerciantes (incluidos los que actualmente no están habilitados para MDES), con la
excepción de aquellos rangos de cuenta que no pue"&amp;"den participar en Card-Not. -Transacciones presentes
por regulación local, donde BBVA el 27 de noviembre de 2020 solicito Waiver por un período de dos años
que finaliza el 8 de diciembre de 2022, el cual presentara una multa de US $25.000 si no comienza e"&amp;"l
proyecto.")</f>
        <v>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v>
      </c>
      <c r="F519" s="4" t="str">
        <f ca="1">IFERROR(__xludf.DUMMYFUNCTION("""COMPUTED_VALUE"""),"Project")</f>
        <v>Project</v>
      </c>
      <c r="G519" s="4" t="str">
        <f ca="1">IFERROR(__xludf.DUMMYFUNCTION("""COMPUTED_VALUE"""),"Stock")</f>
        <v>Stock</v>
      </c>
      <c r="H519" s="4" t="str">
        <f ca="1">IFERROR(__xludf.DUMMYFUNCTION("""COMPUTED_VALUE"""),"2Q 2023")</f>
        <v>2Q 2023</v>
      </c>
      <c r="I519" s="131" t="str">
        <f ca="1">IFERROR(__xludf.DUMMYFUNCTION("""COMPUTED_VALUE"""),"alirio.bermudez-bbva.com")</f>
        <v>alirio.bermudez-bbva.com</v>
      </c>
      <c r="J519" s="131" t="str">
        <f ca="1">IFERROR(__xludf.DUMMYFUNCTION("""COMPUTED_VALUE"""),"marthapatric.cruz-bbva.com")</f>
        <v>marthapatric.cruz-bbva.com</v>
      </c>
      <c r="K519" s="131" t="str">
        <f ca="1">IFERROR(__xludf.DUMMYFUNCTION("""COMPUTED_VALUE"""),"andresfelipe.granados-bbva.com")</f>
        <v>andresfelipe.granados-bbva.com</v>
      </c>
      <c r="L519" s="130">
        <f ca="1">IFERROR(__xludf.DUMMYFUNCTION("""COMPUTED_VALUE"""),0.2)</f>
        <v>0.2</v>
      </c>
      <c r="M519" s="130">
        <f ca="1">IFERROR(__xludf.DUMMYFUNCTION("""COMPUTED_VALUE"""),1.05)</f>
        <v>1.05</v>
      </c>
      <c r="N519" s="130">
        <f ca="1">IFERROR(__xludf.DUMMYFUNCTION("""COMPUTED_VALUE"""),1.5)</f>
        <v>1.5</v>
      </c>
      <c r="O519" s="4" t="str">
        <f ca="1">IFERROR(__xludf.DUMMYFUNCTION("""COMPUTED_VALUE"""),"Waterfall")</f>
        <v>Waterfall</v>
      </c>
      <c r="P519" s="4" t="str">
        <f ca="1">IFERROR(__xludf.DUMMYFUNCTION("""COMPUTED_VALUE"""),"Tradicional")</f>
        <v>Tradicional</v>
      </c>
      <c r="Q519" s="4"/>
      <c r="R519" s="130" t="str">
        <f ca="1">IFERROR(__xludf.DUMMYFUNCTION("""COMPUTED_VALUE"""),"Payments &amp; Partnerships")</f>
        <v>Payments &amp; Partnerships</v>
      </c>
      <c r="S519" s="130" t="str">
        <f ca="1">IFERROR(__xludf.DUMMYFUNCTION("""COMPUTED_VALUE"""),"Strategic Review")</f>
        <v>Strategic Review</v>
      </c>
      <c r="T519" s="130" t="str">
        <f ca="1">IFERROR(__xludf.DUMMYFUNCTION("""COMPUTED_VALUE"""),"Normativo")</f>
        <v>Normativo</v>
      </c>
      <c r="U519" s="130" t="str">
        <f ca="1">IFERROR(__xludf.DUMMYFUNCTION("""COMPUTED_VALUE"""),"No Aplica")</f>
        <v>No Aplica</v>
      </c>
      <c r="V519" s="4" t="str">
        <f ca="1">IFERROR(__xludf.DUMMYFUNCTION("""COMPUTED_VALUE"""),"TdC")</f>
        <v>TdC</v>
      </c>
      <c r="W519" s="4">
        <f ca="1">IFERROR(__xludf.DUMMYFUNCTION("""COMPUTED_VALUE"""),3)</f>
        <v>3</v>
      </c>
      <c r="X519" s="4" t="str">
        <f ca="1">IFERROR(__xludf.DUMMYFUNCTION("""COMPUTED_VALUE"""),"01. Open Market &amp; Partnerships")</f>
        <v>01. Open Market &amp; Partnerships</v>
      </c>
      <c r="Y519" s="4" t="str">
        <f ca="1">IFERROR(__xludf.DUMMYFUNCTION("""COMPUTED_VALUE"""),"5.7.1 Keep the Bank Running")</f>
        <v>5.7.1 Keep the Bank Running</v>
      </c>
      <c r="Z519" s="132" t="str">
        <f ca="1">IFERROR(__xludf.DUMMYFUNCTION("""COMPUTED_VALUE"""),"558347")</f>
        <v>558347</v>
      </c>
      <c r="AA519" s="4" t="str">
        <f ca="1">IFERROR(__xludf.DUMMYFUNCTION("""COMPUTED_VALUE"""),"Tokenización Mastercard Entregable 1 Habilitar y validar M4M en Mastercard")</f>
        <v>Tokenización Mastercard Entregable 1 Habilitar y validar M4M en Mastercard</v>
      </c>
      <c r="AB519" s="4" t="str">
        <f ca="1">IFERROR(__xludf.DUMMYFUNCTION("""COMPUTED_VALUE"""),"-Habilitar los tokens de venta no presente para todos los BIN Mastercard, para los emisores que no estén habilitados para MDES (MasterCard Digital Enablement Service/Servicio de Habilitación Digital de Mastercard). 
-Desarrollar Tasa de aprovisionamiento "&amp;"mínima, implementando la validación de tarjetas para MDES.")</f>
        <v>-Habilitar los tokens de venta no presente para todos los BIN Mastercard, para los emisores que no estén habilitados para MDES (MasterCard Digital Enablement Service/Servicio de Habilitación Digital de Mastercard). 
-Desarrollar Tasa de aprovisionamiento mínima, implementando la validación de tarjetas para MDES.</v>
      </c>
      <c r="AC519" s="4" t="str">
        <f ca="1">IFERROR(__xludf.DUMMYFUNCTION("""COMPUTED_VALUE"""),"2Q 2023")</f>
        <v>2Q 2023</v>
      </c>
      <c r="AD519" s="128" t="str">
        <f ca="1">IFERROR(__xludf.DUMMYFUNCTION("""COMPUTED_VALUE"""),"-")</f>
        <v>-</v>
      </c>
      <c r="AE519" s="128" t="str">
        <f ca="1">IFERROR(__xludf.DUMMYFUNCTION("""COMPUTED_VALUE"""),"-")</f>
        <v>-</v>
      </c>
      <c r="AF519" s="128" t="str">
        <f ca="1">IFERROR(__xludf.DUMMYFUNCTION("""COMPUTED_VALUE"""),"-")</f>
        <v>-</v>
      </c>
      <c r="AG519" s="128" t="str">
        <f ca="1">IFERROR(__xludf.DUMMYFUNCTION("""COMPUTED_VALUE"""),"-")</f>
        <v>-</v>
      </c>
      <c r="AH519" s="128" t="str">
        <f ca="1">IFERROR(__xludf.DUMMYFUNCTION("""COMPUTED_VALUE"""),"-")</f>
        <v>-</v>
      </c>
      <c r="AI519" s="128" t="str">
        <f ca="1">IFERROR(__xludf.DUMMYFUNCTION("""COMPUTED_VALUE"""),"-")</f>
        <v>-</v>
      </c>
      <c r="AJ519" s="128" t="str">
        <f ca="1">IFERROR(__xludf.DUMMYFUNCTION("""COMPUTED_VALUE"""),"-")</f>
        <v>-</v>
      </c>
      <c r="AK519" s="131" t="str">
        <f ca="1">IFERROR(__xludf.DUMMYFUNCTION("""COMPUTED_VALUE"""),"COLWSMEDIO-2345")</f>
        <v>COLWSMEDIO-2345</v>
      </c>
      <c r="AL519" s="4" t="str">
        <f ca="1">IFERROR(__xludf.DUMMYFUNCTION("""COMPUTED_VALUE"""),"Deployed")</f>
        <v>Deployed</v>
      </c>
      <c r="AM519" s="4" t="str">
        <f ca="1">IFERROR(__xludf.DUMMYFUNCTION("""COMPUTED_VALUE"""),"12/07/2022 
- Se presentará PSM Q4 
07/09/2022
 - Se solicito a Edwin crear SDATOOL - Se solicito a producto presentar en comité de normativos - Se convoco a producto y delivery para revisar la definición de lo que se requiere desarrollar
08/09/2022
 - Se"&amp;" crea SDATOOL 40442 
09/09/2022 
- Se cierra definición con el producto - Pte delivery entregue valoración y plan de trabajo
12/09/2022 
- Producto define prioridad 2 para iniciar en Q4 2022 
- Pte. sponsor elabore BC, presente en WG PPP 
- Pte PO documen"&amp;"te en JIRA (feature, HU, y radique PMO)
14/09/2022
- Proyecto aprobado en comité de normativos
15/09/2022
- Se crea feature 
- Se crea HU
- Se radica en PMO
- Pte PMO convoque sesión entendimiento")</f>
        <v>12/07/2022 
- Se presentará PSM Q4 
07/09/2022
 - Se solicito a Edwin crear SDATOOL - Se solicito a producto presentar en comité de normativos - Se convoco a producto y delivery para revisar la definición de lo que se requiere desarrollar
08/09/2022
 - Se crea SDATOOL 40442 
09/09/2022 
- Se cierra definición con el producto - Pte delivery entregue valoración y plan de trabajo
12/09/2022 
- Producto define prioridad 2 para iniciar en Q4 2022 
- Pte. sponsor elabore BC, presente en WG PPP 
- Pte PO documente en JIRA (feature, HU, y radique PMO)
14/09/2022
- Proyecto aprobado en comité de normativos
15/09/2022
- Se crea feature 
- Se crea HU
- Se radica en PMO
- Pte PMO convoque sesión entendimiento</v>
      </c>
      <c r="AN519" s="4" t="str">
        <f ca="1">IFERROR(__xludf.DUMMYFUNCTION("""COMPUTED_VALUE"""),"Entregable en desarrollo")</f>
        <v>Entregable en desarrollo</v>
      </c>
      <c r="AO519" s="4"/>
      <c r="AP519" s="4"/>
      <c r="AQ519" s="4"/>
      <c r="AR519" s="4" t="str">
        <f ca="1">IFERROR(__xludf.DUMMYFUNCTION("""COMPUTED_VALUE"""),"SDA aprobada en PPP Q1 2023")</f>
        <v>SDA aprobada en PPP Q1 2023</v>
      </c>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133">
        <f ca="1">IFERROR(__xludf.DUMMYFUNCTION("""COMPUTED_VALUE"""),0)</f>
        <v>0</v>
      </c>
      <c r="DV519" s="133">
        <f ca="1">IFERROR(__xludf.DUMMYFUNCTION("""COMPUTED_VALUE"""),0)</f>
        <v>0</v>
      </c>
      <c r="DW519" s="133">
        <f ca="1">IFERROR(__xludf.DUMMYFUNCTION("""COMPUTED_VALUE"""),8686743)</f>
        <v>8686743</v>
      </c>
      <c r="DX519" s="133">
        <f ca="1">IFERROR(__xludf.DUMMYFUNCTION("""COMPUTED_VALUE"""),189512561)</f>
        <v>189512561</v>
      </c>
      <c r="DY519" s="133">
        <f ca="1">IFERROR(__xludf.DUMMYFUNCTION("""COMPUTED_VALUE"""),0)</f>
        <v>0</v>
      </c>
      <c r="DZ519" s="133">
        <f ca="1">IFERROR(__xludf.DUMMYFUNCTION("""COMPUTED_VALUE"""),198199304)</f>
        <v>198199304</v>
      </c>
      <c r="EA519" s="4"/>
      <c r="EB519" s="4"/>
    </row>
    <row r="520" spans="1:132" x14ac:dyDescent="0.2">
      <c r="A520" s="4">
        <f ca="1">IFERROR(__xludf.DUMMYFUNCTION("""COMPUTED_VALUE"""),520)</f>
        <v>520</v>
      </c>
      <c r="B520" s="4">
        <f ca="1">IFERROR(__xludf.DUMMYFUNCTION("""COMPUTED_VALUE"""),491)</f>
        <v>491</v>
      </c>
      <c r="C520" s="4" t="str">
        <f ca="1">IFERROR(__xludf.DUMMYFUNCTION("""COMPUTED_VALUE"""),"SDATOOL-40442")</f>
        <v>SDATOOL-40442</v>
      </c>
      <c r="D520" s="4" t="str">
        <f ca="1">IFERROR(__xludf.DUMMYFUNCTION("""COMPUTED_VALUE"""),"M4M - Tokenización Mastercard")</f>
        <v>M4M - Tokenización Mastercard</v>
      </c>
      <c r="E520" s="4" t="str">
        <f ca="1">IFERROR(__xludf.DUMMYFUNCTION("""COMPUTED_VALUE"""),"Para el 1 de junio de 2019, los emisores que participan en MDES deben habilitar todos sus rangos de cuenta
para MDES para comerciantes (incluidos los que actualmente no están habilitados para MDES), con la
excepción de aquellos rangos de cuenta que no pue"&amp;"den participar en Card-Not. -Transacciones presentes
por regulación local, donde BBVA el 27 de noviembre de 2020 solicito Waiver por un período de dos años
que finaliza el 8 de diciembre de 2022, el cual presentara una multa de US $25.000 si no comienza e"&amp;"l
proyecto.")</f>
        <v>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v>
      </c>
      <c r="F520" s="4" t="str">
        <f ca="1">IFERROR(__xludf.DUMMYFUNCTION("""COMPUTED_VALUE"""),"Project")</f>
        <v>Project</v>
      </c>
      <c r="G520" s="4" t="str">
        <f ca="1">IFERROR(__xludf.DUMMYFUNCTION("""COMPUTED_VALUE"""),"Stock")</f>
        <v>Stock</v>
      </c>
      <c r="H520" s="4" t="str">
        <f ca="1">IFERROR(__xludf.DUMMYFUNCTION("""COMPUTED_VALUE"""),"2Q 2023")</f>
        <v>2Q 2023</v>
      </c>
      <c r="I520" s="131" t="str">
        <f ca="1">IFERROR(__xludf.DUMMYFUNCTION("""COMPUTED_VALUE"""),"alirio.bermudez-bbva.com")</f>
        <v>alirio.bermudez-bbva.com</v>
      </c>
      <c r="J520" s="131" t="str">
        <f ca="1">IFERROR(__xludf.DUMMYFUNCTION("""COMPUTED_VALUE"""),"marthapatric.cruz-bbva.com")</f>
        <v>marthapatric.cruz-bbva.com</v>
      </c>
      <c r="K520" s="131" t="str">
        <f ca="1">IFERROR(__xludf.DUMMYFUNCTION("""COMPUTED_VALUE"""),"andresfelipe.granados-bbva.com")</f>
        <v>andresfelipe.granados-bbva.com</v>
      </c>
      <c r="L520" s="4"/>
      <c r="M520" s="4"/>
      <c r="N520" s="4"/>
      <c r="O520" s="4" t="str">
        <f ca="1">IFERROR(__xludf.DUMMYFUNCTION("""COMPUTED_VALUE"""),"Waterfall")</f>
        <v>Waterfall</v>
      </c>
      <c r="P520" s="4" t="str">
        <f ca="1">IFERROR(__xludf.DUMMYFUNCTION("""COMPUTED_VALUE"""),"Tradicional")</f>
        <v>Tradicional</v>
      </c>
      <c r="Q520" s="4"/>
      <c r="R520" s="130" t="str">
        <f ca="1">IFERROR(__xludf.DUMMYFUNCTION("""COMPUTED_VALUE"""),"Payments &amp; Partnerships")</f>
        <v>Payments &amp; Partnerships</v>
      </c>
      <c r="S520" s="130" t="str">
        <f ca="1">IFERROR(__xludf.DUMMYFUNCTION("""COMPUTED_VALUE"""),"Strategic Review")</f>
        <v>Strategic Review</v>
      </c>
      <c r="T520" s="130" t="str">
        <f ca="1">IFERROR(__xludf.DUMMYFUNCTION("""COMPUTED_VALUE"""),"Normativo")</f>
        <v>Normativo</v>
      </c>
      <c r="U520" s="130" t="str">
        <f ca="1">IFERROR(__xludf.DUMMYFUNCTION("""COMPUTED_VALUE"""),"No Aplica")</f>
        <v>No Aplica</v>
      </c>
      <c r="V520" s="4" t="str">
        <f ca="1">IFERROR(__xludf.DUMMYFUNCTION("""COMPUTED_VALUE"""),"TdC")</f>
        <v>TdC</v>
      </c>
      <c r="W520" s="4">
        <f ca="1">IFERROR(__xludf.DUMMYFUNCTION("""COMPUTED_VALUE"""),3)</f>
        <v>3</v>
      </c>
      <c r="X520" s="4" t="str">
        <f ca="1">IFERROR(__xludf.DUMMYFUNCTION("""COMPUTED_VALUE"""),"01. Open Market &amp; Partnerships")</f>
        <v>01. Open Market &amp; Partnerships</v>
      </c>
      <c r="Y520" s="4" t="str">
        <f ca="1">IFERROR(__xludf.DUMMYFUNCTION("""COMPUTED_VALUE"""),"5.7.1 Keep the Bank Running")</f>
        <v>5.7.1 Keep the Bank Running</v>
      </c>
      <c r="Z520" s="132" t="str">
        <f ca="1">IFERROR(__xludf.DUMMYFUNCTION("""COMPUTED_VALUE"""),"558348")</f>
        <v>558348</v>
      </c>
      <c r="AA520" s="4" t="str">
        <f ca="1">IFERROR(__xludf.DUMMYFUNCTION("""COMPUTED_VALUE"""),"Tokenización Mastercard Entregable 2 Ciclo de vida de los tockens")</f>
        <v>Tokenización Mastercard Entregable 2 Ciclo de vida de los tockens</v>
      </c>
      <c r="AB520" s="4" t="str">
        <f ca="1">IFERROR(__xludf.DUMMYFUNCTION("""COMPUTED_VALUE"""),"Ciclo de vida ABU - tokens - Los tokens deben reflejar los datos del PAN o número de tarjetas más actualizados")</f>
        <v>Ciclo de vida ABU - tokens - Los tokens deben reflejar los datos del PAN o número de tarjetas más actualizados</v>
      </c>
      <c r="AC520" s="4" t="str">
        <f ca="1">IFERROR(__xludf.DUMMYFUNCTION("""COMPUTED_VALUE"""),"3Q 2023")</f>
        <v>3Q 2023</v>
      </c>
      <c r="AD520" s="128" t="str">
        <f ca="1">IFERROR(__xludf.DUMMYFUNCTION("""COMPUTED_VALUE"""),"-")</f>
        <v>-</v>
      </c>
      <c r="AE520" s="128" t="str">
        <f ca="1">IFERROR(__xludf.DUMMYFUNCTION("""COMPUTED_VALUE"""),"-")</f>
        <v>-</v>
      </c>
      <c r="AF520" s="128" t="str">
        <f ca="1">IFERROR(__xludf.DUMMYFUNCTION("""COMPUTED_VALUE"""),"-")</f>
        <v>-</v>
      </c>
      <c r="AG520" s="128" t="str">
        <f ca="1">IFERROR(__xludf.DUMMYFUNCTION("""COMPUTED_VALUE"""),"-")</f>
        <v>-</v>
      </c>
      <c r="AH520" s="128" t="str">
        <f ca="1">IFERROR(__xludf.DUMMYFUNCTION("""COMPUTED_VALUE"""),"-")</f>
        <v>-</v>
      </c>
      <c r="AI520" s="128" t="str">
        <f ca="1">IFERROR(__xludf.DUMMYFUNCTION("""COMPUTED_VALUE"""),"-")</f>
        <v>-</v>
      </c>
      <c r="AJ520" s="128" t="str">
        <f ca="1">IFERROR(__xludf.DUMMYFUNCTION("""COMPUTED_VALUE"""),"-")</f>
        <v>-</v>
      </c>
      <c r="AK520" s="131" t="str">
        <f ca="1">IFERROR(__xludf.DUMMYFUNCTION("""COMPUTED_VALUE"""),"COLWSMEDIO-2346")</f>
        <v>COLWSMEDIO-2346</v>
      </c>
      <c r="AL520" s="4" t="str">
        <f ca="1">IFERROR(__xludf.DUMMYFUNCTION("""COMPUTED_VALUE"""),"En progreso")</f>
        <v>En progreso</v>
      </c>
      <c r="AM520" s="4" t="str">
        <f ca="1">IFERROR(__xludf.DUMMYFUNCTION("""COMPUTED_VALUE"""),"12/07/2022 
- Se presentará PSM Q4 
07/09/2022 
- Se solicito a Edwin crear SDATOOL 
- Se solicito a producto presentar en comité de normativos 
- Se convoco a producto y delivery para revisar la definición de lo que se requiere desarrollar 
08/09/2022 - "&amp;"Se crea SDATOOL 40442 
09/09/2022 - Se cierra definición con el producto - Se documenta en sda suite el emc 
12/09/2022 
- Producto define prioridad 2 para iniciar en Q4 2022 
- Pte. sponsor elabore BC, presente en WG PPP 
- Pte PO documente en JIRA (feat"&amp;"ure, HU, y radique PMO)
14/09/2022
- Proyecto aprobado en comité de normativos
15/09/2022
- Se crea feature 
- Se crea HU
- Se radica en PMO
- Pte PMO convoque sesión entendimiento")</f>
        <v>12/07/2022 
- Se presentará PSM Q4 
07/09/2022 
- Se solicito a Edwin crear SDATOOL 
- Se solicito a producto presentar en comité de normativos 
- Se convoco a producto y delivery para revisar la definición de lo que se requiere desarrollar 
08/09/2022 - Se crea SDATOOL 40442 
09/09/2022 - Se cierra definición con el producto - Se documenta en sda suite el emc 
12/09/2022 
- Producto define prioridad 2 para iniciar en Q4 2022 
- Pte. sponsor elabore BC, presente en WG PPP 
- Pte PO documente en JIRA (feature, HU, y radique PMO)
14/09/2022
- Proyecto aprobado en comité de normativos
15/09/2022
- Se crea feature 
- Se crea HU
- Se radica en PMO
- Pte PMO convoque sesión entendimiento</v>
      </c>
      <c r="AN520" s="4" t="str">
        <f ca="1">IFERROR(__xludf.DUMMYFUNCTION("""COMPUTED_VALUE"""),"Entregable en desarrollo")</f>
        <v>Entregable en desarrollo</v>
      </c>
      <c r="AO520" s="4"/>
      <c r="AP520" s="4"/>
      <c r="AQ520" s="4"/>
      <c r="AR520" s="4" t="str">
        <f ca="1">IFERROR(__xludf.DUMMYFUNCTION("""COMPUTED_VALUE"""),"SDA aprobada en PPP Q1 2023")</f>
        <v>SDA aprobada en PPP Q1 2023</v>
      </c>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row>
    <row r="521" spans="1:132" x14ac:dyDescent="0.2">
      <c r="A521" s="4">
        <f ca="1">IFERROR(__xludf.DUMMYFUNCTION("""COMPUTED_VALUE"""),521)</f>
        <v>521</v>
      </c>
      <c r="B521" s="4">
        <f ca="1">IFERROR(__xludf.DUMMYFUNCTION("""COMPUTED_VALUE"""),492)</f>
        <v>492</v>
      </c>
      <c r="C521" s="4" t="str">
        <f ca="1">IFERROR(__xludf.DUMMYFUNCTION("""COMPUTED_VALUE"""),"SDATOOL-40382")</f>
        <v>SDATOOL-40382</v>
      </c>
      <c r="D521" s="4" t="str">
        <f ca="1">IFERROR(__xludf.DUMMYFUNCTION("""COMPUTED_VALUE"""),"NUEVA Eliminar el PAN ( Orange 1.0)")</f>
        <v>NUEVA Eliminar el PAN ( Orange 1.0)</v>
      </c>
      <c r="E521" s="4" t="str">
        <f ca="1">IFERROR(__xludf.DUMMYFUNCTION("""COMPUTED_VALUE"""),"Esta iniciativa nace para dar cumplimiento al proyecto global de Orange 1.0, en el cual consiste en emitir las tarjetas sin los datos sensibles visibles en el anverso de la tarjeta, se entiende como datos sensibles (16 dígitos de la tarjeta, Nombre del ta"&amp;"rjetahabiente, CVV y fecha de vencimiento).")</f>
        <v>Esta iniciativa nace para dar cumplimiento al proyecto global de Orange 1.0, en el cual consiste en emitir las tarjetas sin los datos sensibles visibles en el anverso de la tarjeta, se entiende como datos sensibles (16 dígitos de la tarjeta, Nombre del tarjetahabiente, CVV y fecha de vencimiento).</v>
      </c>
      <c r="F521" s="4" t="str">
        <f ca="1">IFERROR(__xludf.DUMMYFUNCTION("""COMPUTED_VALUE"""),"Project")</f>
        <v>Project</v>
      </c>
      <c r="G521" s="4" t="str">
        <f ca="1">IFERROR(__xludf.DUMMYFUNCTION("""COMPUTED_VALUE"""),"Stock")</f>
        <v>Stock</v>
      </c>
      <c r="H521" s="4" t="str">
        <f ca="1">IFERROR(__xludf.DUMMYFUNCTION("""COMPUTED_VALUE"""),"2Q 2023")</f>
        <v>2Q 2023</v>
      </c>
      <c r="I521" s="131" t="str">
        <f ca="1">IFERROR(__xludf.DUMMYFUNCTION("""COMPUTED_VALUE"""),"alirio.bermudez-bbva.com")</f>
        <v>alirio.bermudez-bbva.com</v>
      </c>
      <c r="J521" s="131" t="str">
        <f ca="1">IFERROR(__xludf.DUMMYFUNCTION("""COMPUTED_VALUE"""),"marthapatric.cruz-bbva.com")</f>
        <v>marthapatric.cruz-bbva.com</v>
      </c>
      <c r="K521" s="131" t="str">
        <f ca="1">IFERROR(__xludf.DUMMYFUNCTION("""COMPUTED_VALUE"""),"johnbayron.zambrano-bbva.com")</f>
        <v>johnbayron.zambrano-bbva.com</v>
      </c>
      <c r="L521" s="130">
        <f ca="1">IFERROR(__xludf.DUMMYFUNCTION("""COMPUTED_VALUE"""),0)</f>
        <v>0</v>
      </c>
      <c r="M521" s="130">
        <f ca="1">IFERROR(__xludf.DUMMYFUNCTION("""COMPUTED_VALUE"""),0)</f>
        <v>0</v>
      </c>
      <c r="N521" s="130">
        <f ca="1">IFERROR(__xludf.DUMMYFUNCTION("""COMPUTED_VALUE"""),0)</f>
        <v>0</v>
      </c>
      <c r="O521" s="4" t="str">
        <f ca="1">IFERROR(__xludf.DUMMYFUNCTION("""COMPUTED_VALUE"""),"Waterfall")</f>
        <v>Waterfall</v>
      </c>
      <c r="P521" s="4" t="str">
        <f ca="1">IFERROR(__xludf.DUMMYFUNCTION("""COMPUTED_VALUE"""),"Tradicional")</f>
        <v>Tradicional</v>
      </c>
      <c r="Q521" s="4"/>
      <c r="R521" s="130" t="str">
        <f ca="1">IFERROR(__xludf.DUMMYFUNCTION("""COMPUTED_VALUE"""),"Payments &amp; Partnerships")</f>
        <v>Payments &amp; Partnerships</v>
      </c>
      <c r="S521" s="130" t="str">
        <f ca="1">IFERROR(__xludf.DUMMYFUNCTION("""COMPUTED_VALUE"""),"Strategic Review")</f>
        <v>Strategic Review</v>
      </c>
      <c r="T521" s="130" t="str">
        <f ca="1">IFERROR(__xludf.DUMMYFUNCTION("""COMPUTED_VALUE"""),"1. Generación de Ingresos")</f>
        <v>1. Generación de Ingresos</v>
      </c>
      <c r="U521" s="130" t="str">
        <f ca="1">IFERROR(__xludf.DUMMYFUNCTION("""COMPUTED_VALUE"""),"1.4. Proyectos de Pagos y Adquirencia")</f>
        <v>1.4. Proyectos de Pagos y Adquirencia</v>
      </c>
      <c r="V521" s="4" t="str">
        <f ca="1">IFERROR(__xludf.DUMMYFUNCTION("""COMPUTED_VALUE"""),"TdC")</f>
        <v>TdC</v>
      </c>
      <c r="W521" s="4">
        <f ca="1">IFERROR(__xludf.DUMMYFUNCTION("""COMPUTED_VALUE"""),2)</f>
        <v>2</v>
      </c>
      <c r="X521" s="4" t="str">
        <f ca="1">IFERROR(__xludf.DUMMYFUNCTION("""COMPUTED_VALUE"""),"05. Cross-sell")</f>
        <v>05. Cross-sell</v>
      </c>
      <c r="Y521" s="4" t="str">
        <f ca="1">IFERROR(__xludf.DUMMYFUNCTION("""COMPUTED_VALUE"""),"5.3.5 Payments - Issuing")</f>
        <v>5.3.5 Payments - Issuing</v>
      </c>
      <c r="Z521" s="132" t="str">
        <f ca="1">IFERROR(__xludf.DUMMYFUNCTION("""COMPUTED_VALUE"""),"558058")</f>
        <v>558058</v>
      </c>
      <c r="AA521" s="4" t="str">
        <f ca="1">IFERROR(__xludf.DUMMYFUNCTION("""COMPUTED_VALUE"""),"Eliminar el PAN")</f>
        <v>Eliminar el PAN</v>
      </c>
      <c r="AB521" s="4" t="str">
        <f ca="1">IFERROR(__xludf.DUMMYFUNCTION("""COMPUTED_VALUE"""),"Eliminar el PAN")</f>
        <v>Eliminar el PAN</v>
      </c>
      <c r="AC521" s="4" t="str">
        <f ca="1">IFERROR(__xludf.DUMMYFUNCTION("""COMPUTED_VALUE"""),"2Q 2024")</f>
        <v>2Q 2024</v>
      </c>
      <c r="AD521" s="4"/>
      <c r="AE521" s="4"/>
      <c r="AF521" s="4"/>
      <c r="AG521" s="4"/>
      <c r="AH521" s="4"/>
      <c r="AI521" s="4"/>
      <c r="AJ521" s="4"/>
      <c r="AK521" s="4" t="str">
        <f ca="1">IFERROR(__xludf.DUMMYFUNCTION("""COMPUTED_VALUE"""),"Sin asignar")</f>
        <v>Sin asignar</v>
      </c>
      <c r="AL521" s="4" t="str">
        <f ca="1">IFERROR(__xludf.DUMMYFUNCTION("""COMPUTED_VALUE"""),"Sin asignar")</f>
        <v>Sin asignar</v>
      </c>
      <c r="AM521" s="4" t="str">
        <f ca="1">IFERROR(__xludf.DUMMYFUNCTION("""COMPUTED_VALUE"""),"12/07/2022 
- Se presentará PSM Q4
22/08/2022
- Se crea SDATOOL 40382
12/09/2022
- Producto define prioridad 2 para iniciar en Q4 2022 (trabjar en paralelo con el de ajuste contable del 2,9%)
- Pte. sponsor elabore BC, presente en WG PPP
- Pte Edwin compa"&amp;"rta formulario
- Pte PO convoque sesión discovery con Product manager y delivery
- Pte PO documente en JIRA (feature, HU, y radique PMO)")</f>
        <v>12/07/2022 
- Se presentará PSM Q4
22/08/2022
- Se crea SDATOOL 40382
12/09/2022
- Producto define prioridad 2 para iniciar en Q4 2022 (trabjar en paralelo con el de ajuste contable del 2,9%)
- Pte. sponsor elabore BC, presente en WG PPP
- Pte Edwin comparta formulario
- Pte PO convoque sesión discovery con Product manager y delivery
- Pte PO documente en JIRA (feature, HU, y radique PMO)</v>
      </c>
      <c r="AN521" s="4" t="str">
        <f ca="1">IFERROR(__xludf.DUMMYFUNCTION("""COMPUTED_VALUE"""),"Entregable en backlog")</f>
        <v>Entregable en backlog</v>
      </c>
      <c r="AO521" s="4"/>
      <c r="AP521" s="4"/>
      <c r="AQ521" s="4"/>
      <c r="AR521" s="4" t="str">
        <f ca="1">IFERROR(__xludf.DUMMYFUNCTION("""COMPUTED_VALUE"""),"SDA aprobada en PPP Q1 2023")</f>
        <v>SDA aprobada en PPP Q1 2023</v>
      </c>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133">
        <f ca="1">IFERROR(__xludf.DUMMYFUNCTION("""COMPUTED_VALUE"""),0)</f>
        <v>0</v>
      </c>
      <c r="DV521" s="133">
        <f ca="1">IFERROR(__xludf.DUMMYFUNCTION("""COMPUTED_VALUE"""),0)</f>
        <v>0</v>
      </c>
      <c r="DW521" s="133">
        <f ca="1">IFERROR(__xludf.DUMMYFUNCTION("""COMPUTED_VALUE"""),0)</f>
        <v>0</v>
      </c>
      <c r="DX521" s="133">
        <f ca="1">IFERROR(__xludf.DUMMYFUNCTION("""COMPUTED_VALUE"""),100000000)</f>
        <v>100000000</v>
      </c>
      <c r="DY521" s="133">
        <f ca="1">IFERROR(__xludf.DUMMYFUNCTION("""COMPUTED_VALUE"""),0)</f>
        <v>0</v>
      </c>
      <c r="DZ521" s="133">
        <f ca="1">IFERROR(__xludf.DUMMYFUNCTION("""COMPUTED_VALUE"""),100000000)</f>
        <v>100000000</v>
      </c>
      <c r="EA521" s="4"/>
      <c r="EB521" s="4"/>
    </row>
    <row r="522" spans="1:132" x14ac:dyDescent="0.2">
      <c r="A522" s="4">
        <f ca="1">IFERROR(__xludf.DUMMYFUNCTION("""COMPUTED_VALUE"""),522)</f>
        <v>522</v>
      </c>
      <c r="B522" s="4">
        <f ca="1">IFERROR(__xludf.DUMMYFUNCTION("""COMPUTED_VALUE"""),493)</f>
        <v>493</v>
      </c>
      <c r="C522" s="4" t="str">
        <f ca="1">IFERROR(__xludf.DUMMYFUNCTION("""COMPUTED_VALUE"""),"SDATOOL-40613")</f>
        <v>SDATOOL-40613</v>
      </c>
      <c r="D522" s="4" t="str">
        <f ca="1">IFERROR(__xludf.DUMMYFUNCTION("""COMPUTED_VALUE"""),"Códigos MAC")</f>
        <v>Códigos MAC</v>
      </c>
      <c r="E522" s="4" t="str">
        <f ca="1">IFERROR(__xludf.DUMMYFUNCTION("""COMPUTED_VALUE"""),"""Los códigos MAC, buscan el manejo de los códigos de respuesta en las autorizaciones, con el animo de mejorar el ecosistema de pagos aumentando la transparencia cuando se declina una autorización y reduciendo los reintentos de transacciones no necesarias"&amp;".
▪ Emisores usen códigos de respuesta descriptivos.
▪ Limitar reintentos de comercios/adquirentes.
▪ Uso consistente de datos de reintentos.""")</f>
        <v>"Los códigos MAC, buscan el manejo de los códigos de respuesta en las autorizaciones, con el animo de mejorar el ecosistema de pagos aumentando la transparencia cuando se declina una autorización y reduciendo los reintentos de transacciones no necesarias.
▪ Emisores usen códigos de respuesta descriptivos.
▪ Limitar reintentos de comercios/adquirentes.
▪ Uso consistente de datos de reintentos."</v>
      </c>
      <c r="F522" s="4" t="str">
        <f ca="1">IFERROR(__xludf.DUMMYFUNCTION("""COMPUTED_VALUE"""),"Initiative")</f>
        <v>Initiative</v>
      </c>
      <c r="G522" s="4" t="str">
        <f ca="1">IFERROR(__xludf.DUMMYFUNCTION("""COMPUTED_VALUE"""),"On hold")</f>
        <v>On hold</v>
      </c>
      <c r="H522" s="4" t="str">
        <f ca="1">IFERROR(__xludf.DUMMYFUNCTION("""COMPUTED_VALUE"""),"2Q 2023")</f>
        <v>2Q 2023</v>
      </c>
      <c r="I522" s="131" t="str">
        <f ca="1">IFERROR(__xludf.DUMMYFUNCTION("""COMPUTED_VALUE"""),"alirio.bermudez-bbva.com")</f>
        <v>alirio.bermudez-bbva.com</v>
      </c>
      <c r="J522" s="131" t="str">
        <f ca="1">IFERROR(__xludf.DUMMYFUNCTION("""COMPUTED_VALUE"""),"marthapatric.cruz-bbva.com")</f>
        <v>marthapatric.cruz-bbva.com</v>
      </c>
      <c r="K522" s="131" t="str">
        <f ca="1">IFERROR(__xludf.DUMMYFUNCTION("""COMPUTED_VALUE"""),"andresfelipe.granados-bbva.com")</f>
        <v>andresfelipe.granados-bbva.com</v>
      </c>
      <c r="L522" s="130">
        <f ca="1">IFERROR(__xludf.DUMMYFUNCTION("""COMPUTED_VALUE"""),0.1)</f>
        <v>0.1</v>
      </c>
      <c r="M522" s="130">
        <f ca="1">IFERROR(__xludf.DUMMYFUNCTION("""COMPUTED_VALUE"""),0.5)</f>
        <v>0.5</v>
      </c>
      <c r="N522" s="130">
        <f ca="1">IFERROR(__xludf.DUMMYFUNCTION("""COMPUTED_VALUE"""),0.15)</f>
        <v>0.15</v>
      </c>
      <c r="O522" s="4" t="str">
        <f ca="1">IFERROR(__xludf.DUMMYFUNCTION("""COMPUTED_VALUE"""),"Waterfall")</f>
        <v>Waterfall</v>
      </c>
      <c r="P522" s="4" t="str">
        <f ca="1">IFERROR(__xludf.DUMMYFUNCTION("""COMPUTED_VALUE"""),"Tradicional")</f>
        <v>Tradicional</v>
      </c>
      <c r="Q522" s="4"/>
      <c r="R522" s="130" t="str">
        <f ca="1">IFERROR(__xludf.DUMMYFUNCTION("""COMPUTED_VALUE"""),"Payments &amp; Partnerships")</f>
        <v>Payments &amp; Partnerships</v>
      </c>
      <c r="S522" s="130" t="str">
        <f ca="1">IFERROR(__xludf.DUMMYFUNCTION("""COMPUTED_VALUE"""),"Strategic Review")</f>
        <v>Strategic Review</v>
      </c>
      <c r="T522" s="130" t="str">
        <f ca="1">IFERROR(__xludf.DUMMYFUNCTION("""COMPUTED_VALUE"""),"Normativo")</f>
        <v>Normativo</v>
      </c>
      <c r="U522" s="130" t="str">
        <f ca="1">IFERROR(__xludf.DUMMYFUNCTION("""COMPUTED_VALUE"""),"No Aplica")</f>
        <v>No Aplica</v>
      </c>
      <c r="V522" s="4" t="str">
        <f ca="1">IFERROR(__xludf.DUMMYFUNCTION("""COMPUTED_VALUE"""),"TdC")</f>
        <v>TdC</v>
      </c>
      <c r="W522" s="4">
        <f ca="1">IFERROR(__xludf.DUMMYFUNCTION("""COMPUTED_VALUE"""),3)</f>
        <v>3</v>
      </c>
      <c r="X522" s="4" t="str">
        <f ca="1">IFERROR(__xludf.DUMMYFUNCTION("""COMPUTED_VALUE"""),"10. Otros")</f>
        <v>10. Otros</v>
      </c>
      <c r="Y522" s="4" t="str">
        <f ca="1">IFERROR(__xludf.DUMMYFUNCTION("""COMPUTED_VALUE"""),"5.3.5 Payments - Issuing")</f>
        <v>5.3.5 Payments - Issuing</v>
      </c>
      <c r="Z522" s="132" t="str">
        <f ca="1">IFERROR(__xludf.DUMMYFUNCTION("""COMPUTED_VALUE"""),"597998")</f>
        <v>597998</v>
      </c>
      <c r="AA522" s="4" t="str">
        <f ca="1">IFERROR(__xludf.DUMMYFUNCTION("""COMPUTED_VALUE"""),"Códigos MAC")</f>
        <v>Códigos MAC</v>
      </c>
      <c r="AB522" s="4" t="str">
        <f ca="1">IFERROR(__xludf.DUMMYFUNCTION("""COMPUTED_VALUE"""),"Enviar el código MAC (Merchant Advice Code) como respuesta a las solicitudes de autorización rechazadas.
El código MAC busca avisar al comercio solicitante acerca de las condiciones en que se encuentra la tarjeta de cliente para que pueda decidir cómo man"&amp;"ejar los reintentos futuros de solicitud (Si debe reenviar con nuevos datos y Si debe intentar más tarde o si no debe persistir con esta tarjeta)")</f>
        <v>Enviar el código MAC (Merchant Advice Code) como respuesta a las solicitudes de autorización rechazadas.
El código MAC busca avisar al comercio solicitante acerca de las condiciones en que se encuentra la tarjeta de cliente para que pueda decidir cómo manejar los reintentos futuros de solicitud (Si debe reenviar con nuevos datos y Si debe intentar más tarde o si no debe persistir con esta tarjeta)</v>
      </c>
      <c r="AC522" s="4" t="str">
        <f ca="1">IFERROR(__xludf.DUMMYFUNCTION("""COMPUTED_VALUE"""),"3Q 2023")</f>
        <v>3Q 2023</v>
      </c>
      <c r="AD522" s="4"/>
      <c r="AE522" s="4"/>
      <c r="AF522" s="4"/>
      <c r="AG522" s="4"/>
      <c r="AH522" s="4"/>
      <c r="AI522" s="4"/>
      <c r="AJ522" s="4"/>
      <c r="AK522" s="131" t="str">
        <f ca="1">IFERROR(__xludf.DUMMYFUNCTION("""COMPUTED_VALUE"""),"COLWSMEDIO-2569")</f>
        <v>COLWSMEDIO-2569</v>
      </c>
      <c r="AL522" s="4" t="str">
        <f ca="1">IFERROR(__xludf.DUMMYFUNCTION("""COMPUTED_VALUE"""),"Analysing")</f>
        <v>Analysing</v>
      </c>
      <c r="AM522" s="4"/>
      <c r="AN522" s="4" t="str">
        <f ca="1">IFERROR(__xludf.DUMMYFUNCTION("""COMPUTED_VALUE"""),"Entregable en desarrollo")</f>
        <v>Entregable en desarrollo</v>
      </c>
      <c r="AO522" s="4"/>
      <c r="AP522" s="4"/>
      <c r="AQ522" s="4"/>
      <c r="AR522" s="4" t="str">
        <f ca="1">IFERROR(__xludf.DUMMYFUNCTION("""COMPUTED_VALUE"""),"SDA aprobada en PPP Q1 2023")</f>
        <v>SDA aprobada en PPP Q1 2023</v>
      </c>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133">
        <f ca="1">IFERROR(__xludf.DUMMYFUNCTION("""COMPUTED_VALUE"""),0)</f>
        <v>0</v>
      </c>
      <c r="DV522" s="133">
        <f ca="1">IFERROR(__xludf.DUMMYFUNCTION("""COMPUTED_VALUE"""),0)</f>
        <v>0</v>
      </c>
      <c r="DW522" s="133">
        <f ca="1">IFERROR(__xludf.DUMMYFUNCTION("""COMPUTED_VALUE"""),0)</f>
        <v>0</v>
      </c>
      <c r="DX522" s="133">
        <f ca="1">IFERROR(__xludf.DUMMYFUNCTION("""COMPUTED_VALUE"""),30000000)</f>
        <v>30000000</v>
      </c>
      <c r="DY522" s="133">
        <f ca="1">IFERROR(__xludf.DUMMYFUNCTION("""COMPUTED_VALUE"""),0)</f>
        <v>0</v>
      </c>
      <c r="DZ522" s="133">
        <f ca="1">IFERROR(__xludf.DUMMYFUNCTION("""COMPUTED_VALUE"""),30000000)</f>
        <v>30000000</v>
      </c>
      <c r="EA522" s="4"/>
      <c r="EB522" s="4"/>
    </row>
    <row r="523" spans="1:132" x14ac:dyDescent="0.2">
      <c r="A523" s="4">
        <f ca="1">IFERROR(__xludf.DUMMYFUNCTION("""COMPUTED_VALUE"""),523)</f>
        <v>523</v>
      </c>
      <c r="B523" s="4">
        <f ca="1">IFERROR(__xludf.DUMMYFUNCTION("""COMPUTED_VALUE"""),494)</f>
        <v>494</v>
      </c>
      <c r="C523" s="4" t="str">
        <f ca="1">IFERROR(__xludf.DUMMYFUNCTION("""COMPUTED_VALUE"""),"SDATOOL-41726")</f>
        <v>SDATOOL-41726</v>
      </c>
      <c r="D523" s="4" t="str">
        <f ca="1">IFERROR(__xludf.DUMMYFUNCTION("""COMPUTED_VALUE"""),"EXTRACUPO TARJETA DE CREDITO")</f>
        <v>EXTRACUPO TARJETA DE CREDITO</v>
      </c>
      <c r="E523" s="4" t="str">
        <f ca="1">IFERROR(__xludf.DUMMYFUNCTION("""COMPUTED_VALUE"""),"Desarrollo de la herramienta de extracupo de tarjeta de crédito en nuestro autorizador.
Se contemplaría asignar el 10% ""marginal"" del cupo de la tarjeta del cliente, teniendo en cuenta (Capital + intereses+ )
El objetivo es el siguiente: desde el área d"&amp;"e riesgos se va a generar una base de clientes a los cuales por su calificación o comportamiento crediticio, son viables para asignar un % de extracupo, sobre esta base el aplicativo va a realizar al asignación del extracupo a cada uno de los clientes de "&amp;"manera ""Automática"".
Esto se va a poder ejecutar de manera automática.")</f>
        <v>Desarrollo de la herramienta de extracupo de tarjeta de crédito en nuestro autorizador.
Se contemplaría asignar el 10% "marginal" del cupo de la tarjeta del cliente, teniendo en cuenta (Capital + intereses+ )
El objetivo es el siguiente: desde el área de riesgos se va a generar una base de clientes a los cuales por su calificación o comportamiento crediticio, son viables para asignar un % de extracupo, sobre esta base el aplicativo va a realizar al asignación del extracupo a cada uno de los clientes de manera "Automática".
Esto se va a poder ejecutar de manera automática.</v>
      </c>
      <c r="F523" s="4" t="str">
        <f ca="1">IFERROR(__xludf.DUMMYFUNCTION("""COMPUTED_VALUE"""),"Project")</f>
        <v>Project</v>
      </c>
      <c r="G523" s="4" t="str">
        <f ca="1">IFERROR(__xludf.DUMMYFUNCTION("""COMPUTED_VALUE"""),"Stock")</f>
        <v>Stock</v>
      </c>
      <c r="H523" s="4" t="str">
        <f ca="1">IFERROR(__xludf.DUMMYFUNCTION("""COMPUTED_VALUE"""),"4Q 2023")</f>
        <v>4Q 2023</v>
      </c>
      <c r="I523" s="131" t="str">
        <f ca="1">IFERROR(__xludf.DUMMYFUNCTION("""COMPUTED_VALUE"""),"alirio.bermudez-bbva.com")</f>
        <v>alirio.bermudez-bbva.com</v>
      </c>
      <c r="J523" s="131" t="str">
        <f ca="1">IFERROR(__xludf.DUMMYFUNCTION("""COMPUTED_VALUE"""),"marthapatric.cruz-bbva.com")</f>
        <v>marthapatric.cruz-bbva.com</v>
      </c>
      <c r="K523" s="131" t="str">
        <f ca="1">IFERROR(__xludf.DUMMYFUNCTION("""COMPUTED_VALUE"""),"andresfelipe.granados-bbva.com")</f>
        <v>andresfelipe.granados-bbva.com</v>
      </c>
      <c r="L523" s="130">
        <f ca="1">IFERROR(__xludf.DUMMYFUNCTION("""COMPUTED_VALUE"""),0)</f>
        <v>0</v>
      </c>
      <c r="M523" s="130">
        <f ca="1">IFERROR(__xludf.DUMMYFUNCTION("""COMPUTED_VALUE"""),0.3)</f>
        <v>0.3</v>
      </c>
      <c r="N523" s="130">
        <f ca="1">IFERROR(__xludf.DUMMYFUNCTION("""COMPUTED_VALUE"""),0.15)</f>
        <v>0.15</v>
      </c>
      <c r="O523" s="4" t="str">
        <f ca="1">IFERROR(__xludf.DUMMYFUNCTION("""COMPUTED_VALUE"""),"Waterfall")</f>
        <v>Waterfall</v>
      </c>
      <c r="P523" s="4" t="str">
        <f ca="1">IFERROR(__xludf.DUMMYFUNCTION("""COMPUTED_VALUE"""),"Tradicional")</f>
        <v>Tradicional</v>
      </c>
      <c r="Q523" s="4"/>
      <c r="R523" s="130" t="str">
        <f ca="1">IFERROR(__xludf.DUMMYFUNCTION("""COMPUTED_VALUE"""),"Payments &amp; Partnerships")</f>
        <v>Payments &amp; Partnerships</v>
      </c>
      <c r="S523" s="130" t="str">
        <f ca="1">IFERROR(__xludf.DUMMYFUNCTION("""COMPUTED_VALUE"""),"Strategic Review")</f>
        <v>Strategic Review</v>
      </c>
      <c r="T523" s="130" t="str">
        <f ca="1">IFERROR(__xludf.DUMMYFUNCTION("""COMPUTED_VALUE"""),"1. Generación de Ingresos")</f>
        <v>1. Generación de Ingresos</v>
      </c>
      <c r="U523" s="130" t="str">
        <f ca="1">IFERROR(__xludf.DUMMYFUNCTION("""COMPUTED_VALUE"""),"1.5. Otros de Proyectos de Ingresos")</f>
        <v>1.5. Otros de Proyectos de Ingresos</v>
      </c>
      <c r="V523" s="4" t="str">
        <f ca="1">IFERROR(__xludf.DUMMYFUNCTION("""COMPUTED_VALUE"""),"TdC")</f>
        <v>TdC</v>
      </c>
      <c r="W523" s="4">
        <f ca="1">IFERROR(__xludf.DUMMYFUNCTION("""COMPUTED_VALUE"""),2)</f>
        <v>2</v>
      </c>
      <c r="X523" s="4" t="str">
        <f ca="1">IFERROR(__xludf.DUMMYFUNCTION("""COMPUTED_VALUE"""),"10. Otros")</f>
        <v>10. Otros</v>
      </c>
      <c r="Y523" s="4" t="str">
        <f ca="1">IFERROR(__xludf.DUMMYFUNCTION("""COMPUTED_VALUE"""),"Otros")</f>
        <v>Otros</v>
      </c>
      <c r="Z523" s="132" t="str">
        <f ca="1">IFERROR(__xludf.DUMMYFUNCTION("""COMPUTED_VALUE"""),"691358")</f>
        <v>691358</v>
      </c>
      <c r="AA523" s="4" t="str">
        <f ca="1">IFERROR(__xludf.DUMMYFUNCTION("""COMPUTED_VALUE"""),"Extracupo Tarjeta de credito")</f>
        <v>Extracupo Tarjeta de credito</v>
      </c>
      <c r="AB523" s="4" t="str">
        <f ca="1">IFERROR(__xludf.DUMMYFUNCTION("""COMPUTED_VALUE"""),"Implementar un desarrollo que permita a los clientes acceder a un cupo extra o adicional en su tarjeta de crédito, previo análisis realizado por el área de riesgos, con el fin de evitar pérdidas al Banco por transacciones declinadas y cartera no recuperad"&amp;"a. Cabe aclarar que no se trata de un aumento en el cupo de las tarjetas de crédito, sino de un cupo extra que permitirá mejorar los niveles de servicio generando satisfacción en los clientes")</f>
        <v>Implementar un desarrollo que permita a los clientes acceder a un cupo extra o adicional en su tarjeta de crédito, previo análisis realizado por el área de riesgos, con el fin de evitar pérdidas al Banco por transacciones declinadas y cartera no recuperada. Cabe aclarar que no se trata de un aumento en el cupo de las tarjetas de crédito, sino de un cupo extra que permitirá mejorar los niveles de servicio generando satisfacción en los clientes</v>
      </c>
      <c r="AC523" s="4" t="str">
        <f ca="1">IFERROR(__xludf.DUMMYFUNCTION("""COMPUTED_VALUE"""),"4Q 2023")</f>
        <v>4Q 2023</v>
      </c>
      <c r="AD523" s="4"/>
      <c r="AE523" s="4"/>
      <c r="AF523" s="4"/>
      <c r="AG523" s="4"/>
      <c r="AH523" s="4"/>
      <c r="AI523" s="4"/>
      <c r="AJ523" s="4"/>
      <c r="AK523" s="131" t="str">
        <f ca="1">IFERROR(__xludf.DUMMYFUNCTION("""COMPUTED_VALUE"""),"COLWSMEDIO-4488")</f>
        <v>COLWSMEDIO-4488</v>
      </c>
      <c r="AL523" s="4" t="str">
        <f ca="1">IFERROR(__xludf.DUMMYFUNCTION("""COMPUTED_VALUE"""),"Test")</f>
        <v>Test</v>
      </c>
      <c r="AM523" s="4" t="str">
        <f ca="1">IFERROR(__xludf.DUMMYFUNCTION("""COMPUTED_VALUE"""),"En definiciones")</f>
        <v>En definiciones</v>
      </c>
      <c r="AN523" s="4" t="str">
        <f ca="1">IFERROR(__xludf.DUMMYFUNCTION("""COMPUTED_VALUE"""),"Entregable en Conceptualización")</f>
        <v>Entregable en Conceptualización</v>
      </c>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133">
        <f ca="1">IFERROR(__xludf.DUMMYFUNCTION("""COMPUTED_VALUE"""),0)</f>
        <v>0</v>
      </c>
      <c r="DV523" s="133">
        <f ca="1">IFERROR(__xludf.DUMMYFUNCTION("""COMPUTED_VALUE"""),0)</f>
        <v>0</v>
      </c>
      <c r="DW523" s="133">
        <f ca="1">IFERROR(__xludf.DUMMYFUNCTION("""COMPUTED_VALUE"""),0)</f>
        <v>0</v>
      </c>
      <c r="DX523" s="133">
        <f ca="1">IFERROR(__xludf.DUMMYFUNCTION("""COMPUTED_VALUE"""),62499965)</f>
        <v>62499965</v>
      </c>
      <c r="DY523" s="133">
        <f ca="1">IFERROR(__xludf.DUMMYFUNCTION("""COMPUTED_VALUE"""),0)</f>
        <v>0</v>
      </c>
      <c r="DZ523" s="133">
        <f ca="1">IFERROR(__xludf.DUMMYFUNCTION("""COMPUTED_VALUE"""),62499965)</f>
        <v>62499965</v>
      </c>
      <c r="EA523" s="4"/>
      <c r="EB523" s="4"/>
    </row>
    <row r="524" spans="1:132" x14ac:dyDescent="0.2">
      <c r="A524" s="4">
        <f ca="1">IFERROR(__xludf.DUMMYFUNCTION("""COMPUTED_VALUE"""),524)</f>
        <v>524</v>
      </c>
      <c r="B524" s="4">
        <f ca="1">IFERROR(__xludf.DUMMYFUNCTION("""COMPUTED_VALUE"""),495)</f>
        <v>495</v>
      </c>
      <c r="C524" s="4" t="str">
        <f ca="1">IFERROR(__xludf.DUMMYFUNCTION("""COMPUTED_VALUE"""),"SDATOOL-37342")</f>
        <v>SDATOOL-37342</v>
      </c>
      <c r="D524" s="4" t="str">
        <f ca="1">IFERROR(__xludf.DUMMYFUNCTION("""COMPUTED_VALUE"""),"SWIFT ISO20022  Ajuste de mensajes Swift a la nueva estructura")</f>
        <v>SWIFT ISO20022  Ajuste de mensajes Swift a la nueva estructura</v>
      </c>
      <c r="E524"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4" s="4" t="str">
        <f ca="1">IFERROR(__xludf.DUMMYFUNCTION("""COMPUTED_VALUE"""),"Project")</f>
        <v>Project</v>
      </c>
      <c r="G524" s="4" t="str">
        <f ca="1">IFERROR(__xludf.DUMMYFUNCTION("""COMPUTED_VALUE"""),"Stock")</f>
        <v>Stock</v>
      </c>
      <c r="H524" s="4" t="str">
        <f ca="1">IFERROR(__xludf.DUMMYFUNCTION("""COMPUTED_VALUE"""),"4Q 2023")</f>
        <v>4Q 2023</v>
      </c>
      <c r="I524" s="131" t="str">
        <f ca="1">IFERROR(__xludf.DUMMYFUNCTION("""COMPUTED_VALUE"""),"alirio.bermudez-bbva.com")</f>
        <v>alirio.bermudez-bbva.com</v>
      </c>
      <c r="J524" s="131" t="str">
        <f ca="1">IFERROR(__xludf.DUMMYFUNCTION("""COMPUTED_VALUE"""),"yeraldineandrea.sierra-bbva.com")</f>
        <v>yeraldineandrea.sierra-bbva.com</v>
      </c>
      <c r="K524" s="131" t="str">
        <f ca="1">IFERROR(__xludf.DUMMYFUNCTION("""COMPUTED_VALUE"""),"ivan_dario.ariza-bbva.com")</f>
        <v>ivan_dario.ariza-bbva.com</v>
      </c>
      <c r="L524" s="130">
        <f ca="1">IFERROR(__xludf.DUMMYFUNCTION("""COMPUTED_VALUE"""),0.5)</f>
        <v>0.5</v>
      </c>
      <c r="M524" s="130">
        <f ca="1">IFERROR(__xludf.DUMMYFUNCTION("""COMPUTED_VALUE"""),1.25)</f>
        <v>1.25</v>
      </c>
      <c r="N524" s="130">
        <f ca="1">IFERROR(__xludf.DUMMYFUNCTION("""COMPUTED_VALUE"""),1.25)</f>
        <v>1.25</v>
      </c>
      <c r="O524" s="4" t="str">
        <f ca="1">IFERROR(__xludf.DUMMYFUNCTION("""COMPUTED_VALUE"""),"Waterfall")</f>
        <v>Waterfall</v>
      </c>
      <c r="P524" s="4" t="str">
        <f ca="1">IFERROR(__xludf.DUMMYFUNCTION("""COMPUTED_VALUE"""),"Tradicional")</f>
        <v>Tradicional</v>
      </c>
      <c r="Q524" s="4"/>
      <c r="R524" s="130" t="str">
        <f ca="1">IFERROR(__xludf.DUMMYFUNCTION("""COMPUTED_VALUE"""),"Enterprises")</f>
        <v>Enterprises</v>
      </c>
      <c r="S524" s="130" t="str">
        <f ca="1">IFERROR(__xludf.DUMMYFUNCTION("""COMPUTED_VALUE"""),"Strategic Review")</f>
        <v>Strategic Review</v>
      </c>
      <c r="T524" s="130" t="str">
        <f ca="1">IFERROR(__xludf.DUMMYFUNCTION("""COMPUTED_VALUE"""),"Normativo")</f>
        <v>Normativo</v>
      </c>
      <c r="U524" s="130" t="str">
        <f ca="1">IFERROR(__xludf.DUMMYFUNCTION("""COMPUTED_VALUE"""),"No Aplica")</f>
        <v>No Aplica</v>
      </c>
      <c r="V524" s="4" t="str">
        <f ca="1">IFERROR(__xludf.DUMMYFUNCTION("""COMPUTED_VALUE"""),"Comex")</f>
        <v>Comex</v>
      </c>
      <c r="W524" s="4">
        <f ca="1">IFERROR(__xludf.DUMMYFUNCTION("""COMPUTED_VALUE"""),2)</f>
        <v>2</v>
      </c>
      <c r="X524" s="4" t="str">
        <f ca="1">IFERROR(__xludf.DUMMYFUNCTION("""COMPUTED_VALUE"""),"08. Enterprise Transactionality")</f>
        <v>08. Enterprise Transactionality</v>
      </c>
      <c r="Y524" s="4" t="str">
        <f ca="1">IFERROR(__xludf.DUMMYFUNCTION("""COMPUTED_VALUE"""),"5.7.1 Keep the Bank Running")</f>
        <v>5.7.1 Keep the Bank Running</v>
      </c>
      <c r="Z524" s="132" t="str">
        <f ca="1">IFERROR(__xludf.DUMMYFUNCTION("""COMPUTED_VALUE"""),"310770")</f>
        <v>310770</v>
      </c>
      <c r="AA524" s="4" t="str">
        <f ca="1">IFERROR(__xludf.DUMMYFUNCTION("""COMPUTED_VALUE"""),"Iso 20022 Extranjero.")</f>
        <v>Iso 20022 Extranjero.</v>
      </c>
      <c r="AB524" s="4" t="str">
        <f ca="1">IFERROR(__xludf.DUMMYFUNCTION("""COMPUTED_VALUE"""),"Iso 20022 Extranjero.")</f>
        <v>Iso 20022 Extranjero.</v>
      </c>
      <c r="AC524" s="4" t="str">
        <f ca="1">IFERROR(__xludf.DUMMYFUNCTION("""COMPUTED_VALUE"""),"2Q 2023")</f>
        <v>2Q 2023</v>
      </c>
      <c r="AD524" s="128">
        <f ca="1">IFERROR(__xludf.DUMMYFUNCTION("""COMPUTED_VALUE"""),44566)</f>
        <v>44566</v>
      </c>
      <c r="AE524" s="128">
        <f ca="1">IFERROR(__xludf.DUMMYFUNCTION("""COMPUTED_VALUE"""),44681)</f>
        <v>44681</v>
      </c>
      <c r="AF524" s="128">
        <f ca="1">IFERROR(__xludf.DUMMYFUNCTION("""COMPUTED_VALUE"""),44683)</f>
        <v>44683</v>
      </c>
      <c r="AG524" s="128">
        <f ca="1">IFERROR(__xludf.DUMMYFUNCTION("""COMPUTED_VALUE"""),44742)</f>
        <v>44742</v>
      </c>
      <c r="AH524" s="128">
        <f ca="1">IFERROR(__xludf.DUMMYFUNCTION("""COMPUTED_VALUE"""),44743)</f>
        <v>44743</v>
      </c>
      <c r="AI524" s="128">
        <f ca="1">IFERROR(__xludf.DUMMYFUNCTION("""COMPUTED_VALUE"""),44865)</f>
        <v>44865</v>
      </c>
      <c r="AJ524" s="128">
        <f ca="1">IFERROR(__xludf.DUMMYFUNCTION("""COMPUTED_VALUE"""),44884)</f>
        <v>44884</v>
      </c>
      <c r="AK524" s="131" t="str">
        <f ca="1">IFERROR(__xludf.DUMMYFUNCTION("""COMPUTED_VALUE"""),"COLWSMONED-1143")</f>
        <v>COLWSMONED-1143</v>
      </c>
      <c r="AL524" s="4" t="str">
        <f ca="1">IFERROR(__xludf.DUMMYFUNCTION("""COMPUTED_VALUE"""),"Test")</f>
        <v>Test</v>
      </c>
      <c r="AM524" s="4" t="str">
        <f ca="1">IFERROR(__xludf.DUMMYFUNCTION("""COMPUTED_VALUE"""),"08/04/2022 Socialización de actas entregadas por el proveedor para la configuración de componentes.
06/04/2022 Definición de mallas y horarios
01/04/2022: Definición de configuración para el modulo extranjero
""27/01 Sesisón de entendimiento con Aquitectu"&amp;"ra y validación del MSA Mexico validación de inputs que solicitan las áreas para la entrega.
14/01 Revisión pendiente por MSA Mexico 
22/12 Reunión con arquitectura para el modelo de solución y pendiente MSA
17/11 Sesión Arquitectura ingenieria para valid"&amp;"ar la si participación 
04/11 Revisión Ejercicio demo adopción XML ISO20022 en Mexico
28/10 Valoración Mexico adopción ISO20022 XML
14/10 Espera a validación deficinión Arquitectura Col- Mex
16/09 Pendiente valoración Ingenieria .                         "&amp;"                                                                                              
03/09 Se recibio por parte de Arquitectura el Concepto.                                                                                                         "&amp;"                                                                                                                                                                  20/08 Se realizo sesiones de entendimiento""")</f>
        <v>08/04/2022 Socialización de actas entregadas por el proveedor para la configuración de componentes.
06/04/2022 Definición de mallas y horarios
01/04/2022: Definición de configuración para el modulo extranjero
"27/01 Sesisón de entendimiento con Aquitectura y validación del MSA Mexico validación de inputs que solicitan las áreas para la entrega.
14/01 Revisión pendiente por MSA Mexico 
22/12 Reunión con arquitectura para el modelo de solución y pendiente MSA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4" s="4" t="str">
        <f ca="1">IFERROR(__xludf.DUMMYFUNCTION("""COMPUTED_VALUE"""),"Entregable en desarrollo")</f>
        <v>Entregable en desarrollo</v>
      </c>
      <c r="AO524" s="4"/>
      <c r="AP524" s="4"/>
      <c r="AQ524" s="4"/>
      <c r="AR524" s="4" t="str">
        <f ca="1">IFERROR(__xludf.DUMMYFUNCTION("""COMPUTED_VALUE"""),"SDA aprobada en PPP Q1 2023")</f>
        <v>SDA aprobada en PPP Q1 2023</v>
      </c>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133">
        <f ca="1">IFERROR(__xludf.DUMMYFUNCTION("""COMPUTED_VALUE"""),0)</f>
        <v>0</v>
      </c>
      <c r="DV524" s="133">
        <f ca="1">IFERROR(__xludf.DUMMYFUNCTION("""COMPUTED_VALUE"""),0)</f>
        <v>0</v>
      </c>
      <c r="DW524" s="133">
        <f ca="1">IFERROR(__xludf.DUMMYFUNCTION("""COMPUTED_VALUE"""),1052507437)</f>
        <v>1052507437</v>
      </c>
      <c r="DX524" s="133">
        <f ca="1">IFERROR(__xludf.DUMMYFUNCTION("""COMPUTED_VALUE"""),559598383)</f>
        <v>559598383</v>
      </c>
      <c r="DY524" s="133">
        <f ca="1">IFERROR(__xludf.DUMMYFUNCTION("""COMPUTED_VALUE"""),0)</f>
        <v>0</v>
      </c>
      <c r="DZ524" s="133">
        <f ca="1">IFERROR(__xludf.DUMMYFUNCTION("""COMPUTED_VALUE"""),1612105820)</f>
        <v>1612105820</v>
      </c>
      <c r="EA524" s="4"/>
      <c r="EB524" s="4"/>
    </row>
    <row r="525" spans="1:132" x14ac:dyDescent="0.2">
      <c r="A525" s="4">
        <f ca="1">IFERROR(__xludf.DUMMYFUNCTION("""COMPUTED_VALUE"""),525)</f>
        <v>525</v>
      </c>
      <c r="B525" s="4">
        <f ca="1">IFERROR(__xludf.DUMMYFUNCTION("""COMPUTED_VALUE"""),496)</f>
        <v>496</v>
      </c>
      <c r="C525" s="4" t="str">
        <f ca="1">IFERROR(__xludf.DUMMYFUNCTION("""COMPUTED_VALUE"""),"SDATOOL-37342")</f>
        <v>SDATOOL-37342</v>
      </c>
      <c r="D525" s="4" t="str">
        <f ca="1">IFERROR(__xludf.DUMMYFUNCTION("""COMPUTED_VALUE"""),"SWIFT ISO20022  Ajuste de mensajes Swift a la nueva estructura")</f>
        <v>SWIFT ISO20022  Ajuste de mensajes Swift a la nueva estructura</v>
      </c>
      <c r="E525"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5" s="4" t="str">
        <f ca="1">IFERROR(__xludf.DUMMYFUNCTION("""COMPUTED_VALUE"""),"Project")</f>
        <v>Project</v>
      </c>
      <c r="G525" s="4" t="str">
        <f ca="1">IFERROR(__xludf.DUMMYFUNCTION("""COMPUTED_VALUE"""),"Stock")</f>
        <v>Stock</v>
      </c>
      <c r="H525" s="4" t="str">
        <f ca="1">IFERROR(__xludf.DUMMYFUNCTION("""COMPUTED_VALUE"""),"4Q 2023")</f>
        <v>4Q 2023</v>
      </c>
      <c r="I525" s="131" t="str">
        <f ca="1">IFERROR(__xludf.DUMMYFUNCTION("""COMPUTED_VALUE"""),"alirio.bermudez-bbva.com")</f>
        <v>alirio.bermudez-bbva.com</v>
      </c>
      <c r="J525" s="131" t="str">
        <f ca="1">IFERROR(__xludf.DUMMYFUNCTION("""COMPUTED_VALUE"""),"yeraldineandrea.sierra-bbva.com")</f>
        <v>yeraldineandrea.sierra-bbva.com</v>
      </c>
      <c r="K525" s="131" t="str">
        <f ca="1">IFERROR(__xludf.DUMMYFUNCTION("""COMPUTED_VALUE"""),"ivan_dario.ariza-bbva.com")</f>
        <v>ivan_dario.ariza-bbva.com</v>
      </c>
      <c r="L525" s="4"/>
      <c r="M525" s="4"/>
      <c r="N525" s="4"/>
      <c r="O525" s="4" t="str">
        <f ca="1">IFERROR(__xludf.DUMMYFUNCTION("""COMPUTED_VALUE"""),"Waterfall")</f>
        <v>Waterfall</v>
      </c>
      <c r="P525" s="4" t="str">
        <f ca="1">IFERROR(__xludf.DUMMYFUNCTION("""COMPUTED_VALUE"""),"Tradicional")</f>
        <v>Tradicional</v>
      </c>
      <c r="Q525" s="4"/>
      <c r="R525" s="130" t="str">
        <f ca="1">IFERROR(__xludf.DUMMYFUNCTION("""COMPUTED_VALUE"""),"Enterprises")</f>
        <v>Enterprises</v>
      </c>
      <c r="S525" s="130" t="str">
        <f ca="1">IFERROR(__xludf.DUMMYFUNCTION("""COMPUTED_VALUE"""),"Strategic Review")</f>
        <v>Strategic Review</v>
      </c>
      <c r="T525" s="130" t="str">
        <f ca="1">IFERROR(__xludf.DUMMYFUNCTION("""COMPUTED_VALUE"""),"Normativo")</f>
        <v>Normativo</v>
      </c>
      <c r="U525" s="130" t="str">
        <f ca="1">IFERROR(__xludf.DUMMYFUNCTION("""COMPUTED_VALUE"""),"No Aplica")</f>
        <v>No Aplica</v>
      </c>
      <c r="V525" s="4" t="str">
        <f ca="1">IFERROR(__xludf.DUMMYFUNCTION("""COMPUTED_VALUE"""),"Comex")</f>
        <v>Comex</v>
      </c>
      <c r="W525" s="4">
        <f ca="1">IFERROR(__xludf.DUMMYFUNCTION("""COMPUTED_VALUE"""),2)</f>
        <v>2</v>
      </c>
      <c r="X525" s="4" t="str">
        <f ca="1">IFERROR(__xludf.DUMMYFUNCTION("""COMPUTED_VALUE"""),"08. Enterprise Transactionality")</f>
        <v>08. Enterprise Transactionality</v>
      </c>
      <c r="Y525" s="4" t="str">
        <f ca="1">IFERROR(__xludf.DUMMYFUNCTION("""COMPUTED_VALUE"""),"5.7.1 Keep the Bank Running")</f>
        <v>5.7.1 Keep the Bank Running</v>
      </c>
      <c r="Z525" s="132" t="str">
        <f ca="1">IFERROR(__xludf.DUMMYFUNCTION("""COMPUTED_VALUE"""),"310771")</f>
        <v>310771</v>
      </c>
      <c r="AA525" s="4" t="str">
        <f ca="1">IFERROR(__xludf.DUMMYFUNCTION("""COMPUTED_VALUE"""),"Iso 20022 Alliance mail point.")</f>
        <v>Iso 20022 Alliance mail point.</v>
      </c>
      <c r="AB525" s="4" t="str">
        <f ca="1">IFERROR(__xludf.DUMMYFUNCTION("""COMPUTED_VALUE"""),"Iso 20022 Alliance mail point.")</f>
        <v>Iso 20022 Alliance mail point.</v>
      </c>
      <c r="AC525" s="4" t="str">
        <f ca="1">IFERROR(__xludf.DUMMYFUNCTION("""COMPUTED_VALUE"""),"2Q 2023")</f>
        <v>2Q 2023</v>
      </c>
      <c r="AD525" s="128">
        <f ca="1">IFERROR(__xludf.DUMMYFUNCTION("""COMPUTED_VALUE"""),6691979)</f>
        <v>6691979</v>
      </c>
      <c r="AE525" s="128">
        <f ca="1">IFERROR(__xludf.DUMMYFUNCTION("""COMPUTED_VALUE"""),44681)</f>
        <v>44681</v>
      </c>
      <c r="AF525" s="128">
        <f ca="1">IFERROR(__xludf.DUMMYFUNCTION("""COMPUTED_VALUE"""),44683)</f>
        <v>44683</v>
      </c>
      <c r="AG525" s="128">
        <f ca="1">IFERROR(__xludf.DUMMYFUNCTION("""COMPUTED_VALUE"""),44742)</f>
        <v>44742</v>
      </c>
      <c r="AH525" s="128">
        <f ca="1">IFERROR(__xludf.DUMMYFUNCTION("""COMPUTED_VALUE"""),44743)</f>
        <v>44743</v>
      </c>
      <c r="AI525" s="128">
        <f ca="1">IFERROR(__xludf.DUMMYFUNCTION("""COMPUTED_VALUE"""),44865)</f>
        <v>44865</v>
      </c>
      <c r="AJ525" s="128">
        <f ca="1">IFERROR(__xludf.DUMMYFUNCTION("""COMPUTED_VALUE"""),44884)</f>
        <v>44884</v>
      </c>
      <c r="AK525" s="131" t="str">
        <f ca="1">IFERROR(__xludf.DUMMYFUNCTION("""COMPUTED_VALUE"""),"COLWSMONED-3")</f>
        <v>COLWSMONED-3</v>
      </c>
      <c r="AL525" s="4" t="str">
        <f ca="1">IFERROR(__xludf.DUMMYFUNCTION("""COMPUTED_VALUE"""),"Deployed")</f>
        <v>Deployed</v>
      </c>
      <c r="AM525" s="4" t="str">
        <f ca="1">IFERROR(__xludf.DUMMYFUNCTION("""COMPUTED_VALUE"""),"""27/01 Sesión de entendimiento validación arquitectura 
17/11 Sesión Arquitectura ingenieria para validar la si participación 
04/11 Revisión Ejercicio demo adopción XML ISO20022 en Mexico
28/10 Valoración Mexico adopción ISO20022 XML
14/10 Espera a vali"&amp;"dación deficinión Arquitectura Col- Mex
16/09 Pendiente valoración Ingenieria .                                                                                                                       
03/09 Se recibio por parte de Arquitectura el Concepto. "&amp;"                                                                                                                                                                                                                                                               "&amp;"           20/08 Se realizo sesiones de entendimiento""")</f>
        <v>"27/01 Sesión de entendimiento validación arquitectura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5" s="4" t="str">
        <f ca="1">IFERROR(__xludf.DUMMYFUNCTION("""COMPUTED_VALUE"""),"Entregable en desarrollo")</f>
        <v>Entregable en desarrollo</v>
      </c>
      <c r="AO525" s="4"/>
      <c r="AP525" s="4"/>
      <c r="AQ525" s="4"/>
      <c r="AR525" s="4" t="str">
        <f ca="1">IFERROR(__xludf.DUMMYFUNCTION("""COMPUTED_VALUE"""),"SDA aprobada en PPP Q1 2023")</f>
        <v>SDA aprobada en PPP Q1 2023</v>
      </c>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row>
    <row r="526" spans="1:132" x14ac:dyDescent="0.2">
      <c r="A526" s="4">
        <f ca="1">IFERROR(__xludf.DUMMYFUNCTION("""COMPUTED_VALUE"""),526)</f>
        <v>526</v>
      </c>
      <c r="B526" s="4">
        <f ca="1">IFERROR(__xludf.DUMMYFUNCTION("""COMPUTED_VALUE"""),497)</f>
        <v>497</v>
      </c>
      <c r="C526" s="4" t="str">
        <f ca="1">IFERROR(__xludf.DUMMYFUNCTION("""COMPUTED_VALUE"""),"SDATOOL-37342")</f>
        <v>SDATOOL-37342</v>
      </c>
      <c r="D526" s="4" t="str">
        <f ca="1">IFERROR(__xludf.DUMMYFUNCTION("""COMPUTED_VALUE"""),"SWIFT ISO20022  Ajuste de mensajes Swift a la nueva estructura")</f>
        <v>SWIFT ISO20022  Ajuste de mensajes Swift a la nueva estructura</v>
      </c>
      <c r="E526"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6" s="4" t="str">
        <f ca="1">IFERROR(__xludf.DUMMYFUNCTION("""COMPUTED_VALUE"""),"Project")</f>
        <v>Project</v>
      </c>
      <c r="G526" s="4" t="str">
        <f ca="1">IFERROR(__xludf.DUMMYFUNCTION("""COMPUTED_VALUE"""),"Stock")</f>
        <v>Stock</v>
      </c>
      <c r="H526" s="4" t="str">
        <f ca="1">IFERROR(__xludf.DUMMYFUNCTION("""COMPUTED_VALUE"""),"4Q 2023")</f>
        <v>4Q 2023</v>
      </c>
      <c r="I526" s="131" t="str">
        <f ca="1">IFERROR(__xludf.DUMMYFUNCTION("""COMPUTED_VALUE"""),"alirio.bermudez-bbva.com")</f>
        <v>alirio.bermudez-bbva.com</v>
      </c>
      <c r="J526" s="131" t="str">
        <f ca="1">IFERROR(__xludf.DUMMYFUNCTION("""COMPUTED_VALUE"""),"yeraldineandrea.sierra-bbva.com")</f>
        <v>yeraldineandrea.sierra-bbva.com</v>
      </c>
      <c r="K526" s="131" t="str">
        <f ca="1">IFERROR(__xludf.DUMMYFUNCTION("""COMPUTED_VALUE"""),"ivan_dario.ariza-bbva.com")</f>
        <v>ivan_dario.ariza-bbva.com</v>
      </c>
      <c r="L526" s="4"/>
      <c r="M526" s="4"/>
      <c r="N526" s="4"/>
      <c r="O526" s="4" t="str">
        <f ca="1">IFERROR(__xludf.DUMMYFUNCTION("""COMPUTED_VALUE"""),"Waterfall")</f>
        <v>Waterfall</v>
      </c>
      <c r="P526" s="4" t="str">
        <f ca="1">IFERROR(__xludf.DUMMYFUNCTION("""COMPUTED_VALUE"""),"Tradicional")</f>
        <v>Tradicional</v>
      </c>
      <c r="Q526" s="4"/>
      <c r="R526" s="130" t="str">
        <f ca="1">IFERROR(__xludf.DUMMYFUNCTION("""COMPUTED_VALUE"""),"Enterprises")</f>
        <v>Enterprises</v>
      </c>
      <c r="S526" s="130" t="str">
        <f ca="1">IFERROR(__xludf.DUMMYFUNCTION("""COMPUTED_VALUE"""),"Strategic Review")</f>
        <v>Strategic Review</v>
      </c>
      <c r="T526" s="130" t="str">
        <f ca="1">IFERROR(__xludf.DUMMYFUNCTION("""COMPUTED_VALUE"""),"Normativo")</f>
        <v>Normativo</v>
      </c>
      <c r="U526" s="130" t="str">
        <f ca="1">IFERROR(__xludf.DUMMYFUNCTION("""COMPUTED_VALUE"""),"No Aplica")</f>
        <v>No Aplica</v>
      </c>
      <c r="V526" s="4" t="str">
        <f ca="1">IFERROR(__xludf.DUMMYFUNCTION("""COMPUTED_VALUE"""),"Comex")</f>
        <v>Comex</v>
      </c>
      <c r="W526" s="4">
        <f ca="1">IFERROR(__xludf.DUMMYFUNCTION("""COMPUTED_VALUE"""),2)</f>
        <v>2</v>
      </c>
      <c r="X526" s="4" t="str">
        <f ca="1">IFERROR(__xludf.DUMMYFUNCTION("""COMPUTED_VALUE"""),"08. Enterprise Transactionality")</f>
        <v>08. Enterprise Transactionality</v>
      </c>
      <c r="Y526" s="4" t="str">
        <f ca="1">IFERROR(__xludf.DUMMYFUNCTION("""COMPUTED_VALUE"""),"5.7.1 Keep the Bank Running")</f>
        <v>5.7.1 Keep the Bank Running</v>
      </c>
      <c r="Z526" s="132" t="str">
        <f ca="1">IFERROR(__xludf.DUMMYFUNCTION("""COMPUTED_VALUE"""),"310772")</f>
        <v>310772</v>
      </c>
      <c r="AA526" s="4" t="str">
        <f ca="1">IFERROR(__xludf.DUMMYFUNCTION("""COMPUTED_VALUE"""),"Iso 20022 Impresora virtual.")</f>
        <v>Iso 20022 Impresora virtual.</v>
      </c>
      <c r="AB526" s="4" t="str">
        <f ca="1">IFERROR(__xludf.DUMMYFUNCTION("""COMPUTED_VALUE"""),"Iso 20022 Impresora virtual.")</f>
        <v>Iso 20022 Impresora virtual.</v>
      </c>
      <c r="AC526" s="4" t="str">
        <f ca="1">IFERROR(__xludf.DUMMYFUNCTION("""COMPUTED_VALUE"""),"2Q 2023")</f>
        <v>2Q 2023</v>
      </c>
      <c r="AD526" s="128">
        <f ca="1">IFERROR(__xludf.DUMMYFUNCTION("""COMPUTED_VALUE"""),44566)</f>
        <v>44566</v>
      </c>
      <c r="AE526" s="128">
        <f ca="1">IFERROR(__xludf.DUMMYFUNCTION("""COMPUTED_VALUE"""),44681)</f>
        <v>44681</v>
      </c>
      <c r="AF526" s="128">
        <f ca="1">IFERROR(__xludf.DUMMYFUNCTION("""COMPUTED_VALUE"""),44683)</f>
        <v>44683</v>
      </c>
      <c r="AG526" s="128">
        <f ca="1">IFERROR(__xludf.DUMMYFUNCTION("""COMPUTED_VALUE"""),44742)</f>
        <v>44742</v>
      </c>
      <c r="AH526" s="128">
        <f ca="1">IFERROR(__xludf.DUMMYFUNCTION("""COMPUTED_VALUE"""),44743)</f>
        <v>44743</v>
      </c>
      <c r="AI526" s="128">
        <f ca="1">IFERROR(__xludf.DUMMYFUNCTION("""COMPUTED_VALUE"""),44865)</f>
        <v>44865</v>
      </c>
      <c r="AJ526" s="128">
        <f ca="1">IFERROR(__xludf.DUMMYFUNCTION("""COMPUTED_VALUE"""),44884)</f>
        <v>44884</v>
      </c>
      <c r="AK526" s="131" t="str">
        <f ca="1">IFERROR(__xludf.DUMMYFUNCTION("""COMPUTED_VALUE"""),"COLWSMONED-2")</f>
        <v>COLWSMONED-2</v>
      </c>
      <c r="AL526" s="4" t="str">
        <f ca="1">IFERROR(__xludf.DUMMYFUNCTION("""COMPUTED_VALUE"""),"Deployed")</f>
        <v>Deployed</v>
      </c>
      <c r="AM526" s="4" t="str">
        <f ca="1">IFERROR(__xludf.DUMMYFUNCTION("""COMPUTED_VALUE"""),"""03/01/2021 Revisión del proceso y los participantes
04/11 Revisión Ejercicio demo adopción XML ISO20022 en Mexico
28/10 Valoración Mexico adopción ISO20022 XML
14/10 Espera a validación deficinión Arquitectura Col- Mex
16/09 Pendiente valoración Ingenie"&amp;"ria .                                                                                                                       
03/09 Se recibio por parte de Arquitectura el Concepto.                                                                           "&amp;"                                                                                                                                                                                                20/08 Se realizo sesiones de entendimiento""")</f>
        <v>"03/01/2021 Revisión del proceso y los participantes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6" s="4" t="str">
        <f ca="1">IFERROR(__xludf.DUMMYFUNCTION("""COMPUTED_VALUE"""),"Finalizado")</f>
        <v>Finalizado</v>
      </c>
      <c r="AO526" s="4"/>
      <c r="AP526" s="4"/>
      <c r="AQ526" s="4"/>
      <c r="AR526" s="4" t="str">
        <f ca="1">IFERROR(__xludf.DUMMYFUNCTION("""COMPUTED_VALUE"""),"SDA aprobada en PPP Q1 2023")</f>
        <v>SDA aprobada en PPP Q1 2023</v>
      </c>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row>
    <row r="527" spans="1:132" x14ac:dyDescent="0.2">
      <c r="A527" s="4">
        <f ca="1">IFERROR(__xludf.DUMMYFUNCTION("""COMPUTED_VALUE"""),527)</f>
        <v>527</v>
      </c>
      <c r="B527" s="4">
        <f ca="1">IFERROR(__xludf.DUMMYFUNCTION("""COMPUTED_VALUE"""),498)</f>
        <v>498</v>
      </c>
      <c r="C527" s="4" t="str">
        <f ca="1">IFERROR(__xludf.DUMMYFUNCTION("""COMPUTED_VALUE"""),"SDATOOL-37342")</f>
        <v>SDATOOL-37342</v>
      </c>
      <c r="D527" s="4" t="str">
        <f ca="1">IFERROR(__xludf.DUMMYFUNCTION("""COMPUTED_VALUE"""),"SWIFT ISO20022  Ajuste de mensajes Swift a la nueva estructura")</f>
        <v>SWIFT ISO20022  Ajuste de mensajes Swift a la nueva estructura</v>
      </c>
      <c r="E527"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7" s="4" t="str">
        <f ca="1">IFERROR(__xludf.DUMMYFUNCTION("""COMPUTED_VALUE"""),"Project")</f>
        <v>Project</v>
      </c>
      <c r="G527" s="4" t="str">
        <f ca="1">IFERROR(__xludf.DUMMYFUNCTION("""COMPUTED_VALUE"""),"Stock")</f>
        <v>Stock</v>
      </c>
      <c r="H527" s="4" t="str">
        <f ca="1">IFERROR(__xludf.DUMMYFUNCTION("""COMPUTED_VALUE"""),"4Q 2023")</f>
        <v>4Q 2023</v>
      </c>
      <c r="I527" s="131" t="str">
        <f ca="1">IFERROR(__xludf.DUMMYFUNCTION("""COMPUTED_VALUE"""),"alirio.bermudez-bbva.com")</f>
        <v>alirio.bermudez-bbva.com</v>
      </c>
      <c r="J527" s="131" t="str">
        <f ca="1">IFERROR(__xludf.DUMMYFUNCTION("""COMPUTED_VALUE"""),"yeraldineandrea.sierra-bbva.com")</f>
        <v>yeraldineandrea.sierra-bbva.com</v>
      </c>
      <c r="K527" s="131" t="str">
        <f ca="1">IFERROR(__xludf.DUMMYFUNCTION("""COMPUTED_VALUE"""),"ivan_dario.ariza-bbva.com")</f>
        <v>ivan_dario.ariza-bbva.com</v>
      </c>
      <c r="L527" s="4"/>
      <c r="M527" s="4"/>
      <c r="N527" s="4"/>
      <c r="O527" s="4" t="str">
        <f ca="1">IFERROR(__xludf.DUMMYFUNCTION("""COMPUTED_VALUE"""),"Waterfall")</f>
        <v>Waterfall</v>
      </c>
      <c r="P527" s="4" t="str">
        <f ca="1">IFERROR(__xludf.DUMMYFUNCTION("""COMPUTED_VALUE"""),"Tradicional")</f>
        <v>Tradicional</v>
      </c>
      <c r="Q527" s="4"/>
      <c r="R527" s="130" t="str">
        <f ca="1">IFERROR(__xludf.DUMMYFUNCTION("""COMPUTED_VALUE"""),"Enterprises")</f>
        <v>Enterprises</v>
      </c>
      <c r="S527" s="130" t="str">
        <f ca="1">IFERROR(__xludf.DUMMYFUNCTION("""COMPUTED_VALUE"""),"Strategic Review")</f>
        <v>Strategic Review</v>
      </c>
      <c r="T527" s="130" t="str">
        <f ca="1">IFERROR(__xludf.DUMMYFUNCTION("""COMPUTED_VALUE"""),"Normativo")</f>
        <v>Normativo</v>
      </c>
      <c r="U527" s="130" t="str">
        <f ca="1">IFERROR(__xludf.DUMMYFUNCTION("""COMPUTED_VALUE"""),"No Aplica")</f>
        <v>No Aplica</v>
      </c>
      <c r="V527" s="4" t="str">
        <f ca="1">IFERROR(__xludf.DUMMYFUNCTION("""COMPUTED_VALUE"""),"Comex")</f>
        <v>Comex</v>
      </c>
      <c r="W527" s="4">
        <f ca="1">IFERROR(__xludf.DUMMYFUNCTION("""COMPUTED_VALUE"""),2)</f>
        <v>2</v>
      </c>
      <c r="X527" s="4" t="str">
        <f ca="1">IFERROR(__xludf.DUMMYFUNCTION("""COMPUTED_VALUE"""),"08. Enterprise Transactionality")</f>
        <v>08. Enterprise Transactionality</v>
      </c>
      <c r="Y527" s="4" t="str">
        <f ca="1">IFERROR(__xludf.DUMMYFUNCTION("""COMPUTED_VALUE"""),"5.7.1 Keep the Bank Running")</f>
        <v>5.7.1 Keep the Bank Running</v>
      </c>
      <c r="Z527" s="132" t="str">
        <f ca="1">IFERROR(__xludf.DUMMYFUNCTION("""COMPUTED_VALUE"""),"489171")</f>
        <v>489171</v>
      </c>
      <c r="AA527" s="4" t="str">
        <f ca="1">IFERROR(__xludf.DUMMYFUNCTION("""COMPUTED_VALUE"""),"Configuración Plataforma CCR")</f>
        <v>Configuración Plataforma CCR</v>
      </c>
      <c r="AB527" s="4" t="str">
        <f ca="1">IFERROR(__xludf.DUMMYFUNCTION("""COMPUTED_VALUE"""),"configuración para las plataformas en los mensajes Swift a la nueva estructura debido a los cambios implementados de manera obligatoria por el canal SWIFT, siendo este el canal de comunicación de todos los bancos que actualmente maneja BBVA Colombia.")</f>
        <v>configuración para las plataformas en los mensajes Swift a la nueva estructura debido a los cambios implementados de manera obligatoria por el canal SWIFT, siendo este el canal de comunicación de todos los bancos que actualmente maneja BBVA Colombia.</v>
      </c>
      <c r="AC527" s="4" t="str">
        <f ca="1">IFERROR(__xludf.DUMMYFUNCTION("""COMPUTED_VALUE"""),"2Q 2023")</f>
        <v>2Q 2023</v>
      </c>
      <c r="AD527" s="4"/>
      <c r="AE527" s="4"/>
      <c r="AF527" s="4"/>
      <c r="AG527" s="4"/>
      <c r="AH527" s="4"/>
      <c r="AI527" s="4"/>
      <c r="AJ527" s="4"/>
      <c r="AK527" s="131" t="str">
        <f ca="1">IFERROR(__xludf.DUMMYFUNCTION("""COMPUTED_VALUE"""),"COLWSMONED-1")</f>
        <v>COLWSMONED-1</v>
      </c>
      <c r="AL527" s="4" t="str">
        <f ca="1">IFERROR(__xludf.DUMMYFUNCTION("""COMPUTED_VALUE"""),"Deployed")</f>
        <v>Deployed</v>
      </c>
      <c r="AM527" s="4"/>
      <c r="AN527" s="4" t="str">
        <f ca="1">IFERROR(__xludf.DUMMYFUNCTION("""COMPUTED_VALUE"""),"Entregable en backlog")</f>
        <v>Entregable en backlog</v>
      </c>
      <c r="AO527" s="4"/>
      <c r="AP527" s="4"/>
      <c r="AQ527" s="4"/>
      <c r="AR527" s="4" t="str">
        <f ca="1">IFERROR(__xludf.DUMMYFUNCTION("""COMPUTED_VALUE"""),"SDA aprobada en PPP Q1 2023")</f>
        <v>SDA aprobada en PPP Q1 2023</v>
      </c>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row>
    <row r="528" spans="1:132" x14ac:dyDescent="0.2">
      <c r="A528" s="4">
        <f ca="1">IFERROR(__xludf.DUMMYFUNCTION("""COMPUTED_VALUE"""),528)</f>
        <v>528</v>
      </c>
      <c r="B528" s="4">
        <f ca="1">IFERROR(__xludf.DUMMYFUNCTION("""COMPUTED_VALUE"""),499)</f>
        <v>499</v>
      </c>
      <c r="C528" s="4" t="str">
        <f ca="1">IFERROR(__xludf.DUMMYFUNCTION("""COMPUTED_VALUE"""),"SDATOOL-37342")</f>
        <v>SDATOOL-37342</v>
      </c>
      <c r="D528" s="4" t="str">
        <f ca="1">IFERROR(__xludf.DUMMYFUNCTION("""COMPUTED_VALUE"""),"SWIFT ISO20022  Ajuste de mensajes Swift a la nueva estructura")</f>
        <v>SWIFT ISO20022  Ajuste de mensajes Swift a la nueva estructura</v>
      </c>
      <c r="E528"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8" s="4" t="str">
        <f ca="1">IFERROR(__xludf.DUMMYFUNCTION("""COMPUTED_VALUE"""),"Project")</f>
        <v>Project</v>
      </c>
      <c r="G528" s="4" t="str">
        <f ca="1">IFERROR(__xludf.DUMMYFUNCTION("""COMPUTED_VALUE"""),"Stock")</f>
        <v>Stock</v>
      </c>
      <c r="H528" s="4" t="str">
        <f ca="1">IFERROR(__xludf.DUMMYFUNCTION("""COMPUTED_VALUE"""),"4Q 2023")</f>
        <v>4Q 2023</v>
      </c>
      <c r="I528" s="131" t="str">
        <f ca="1">IFERROR(__xludf.DUMMYFUNCTION("""COMPUTED_VALUE"""),"alirio.bermudez-bbva.com")</f>
        <v>alirio.bermudez-bbva.com</v>
      </c>
      <c r="J528" s="131" t="str">
        <f ca="1">IFERROR(__xludf.DUMMYFUNCTION("""COMPUTED_VALUE"""),"yeraldineandrea.sierra-bbva.com")</f>
        <v>yeraldineandrea.sierra-bbva.com</v>
      </c>
      <c r="K528" s="131" t="str">
        <f ca="1">IFERROR(__xludf.DUMMYFUNCTION("""COMPUTED_VALUE"""),"ivan_dario.ariza-bbva.com")</f>
        <v>ivan_dario.ariza-bbva.com</v>
      </c>
      <c r="L528" s="4"/>
      <c r="M528" s="4"/>
      <c r="N528" s="4"/>
      <c r="O528" s="4" t="str">
        <f ca="1">IFERROR(__xludf.DUMMYFUNCTION("""COMPUTED_VALUE"""),"Waterfall")</f>
        <v>Waterfall</v>
      </c>
      <c r="P528" s="4" t="str">
        <f ca="1">IFERROR(__xludf.DUMMYFUNCTION("""COMPUTED_VALUE"""),"Tradicional")</f>
        <v>Tradicional</v>
      </c>
      <c r="Q528" s="4"/>
      <c r="R528" s="130" t="str">
        <f ca="1">IFERROR(__xludf.DUMMYFUNCTION("""COMPUTED_VALUE"""),"Enterprises")</f>
        <v>Enterprises</v>
      </c>
      <c r="S528" s="130" t="str">
        <f ca="1">IFERROR(__xludf.DUMMYFUNCTION("""COMPUTED_VALUE"""),"Strategic Review")</f>
        <v>Strategic Review</v>
      </c>
      <c r="T528" s="130" t="str">
        <f ca="1">IFERROR(__xludf.DUMMYFUNCTION("""COMPUTED_VALUE"""),"Normativo")</f>
        <v>Normativo</v>
      </c>
      <c r="U528" s="130" t="str">
        <f ca="1">IFERROR(__xludf.DUMMYFUNCTION("""COMPUTED_VALUE"""),"No Aplica")</f>
        <v>No Aplica</v>
      </c>
      <c r="V528" s="4" t="str">
        <f ca="1">IFERROR(__xludf.DUMMYFUNCTION("""COMPUTED_VALUE"""),"Comex")</f>
        <v>Comex</v>
      </c>
      <c r="W528" s="4">
        <f ca="1">IFERROR(__xludf.DUMMYFUNCTION("""COMPUTED_VALUE"""),2)</f>
        <v>2</v>
      </c>
      <c r="X528" s="4" t="str">
        <f ca="1">IFERROR(__xludf.DUMMYFUNCTION("""COMPUTED_VALUE"""),"08. Enterprise Transactionality")</f>
        <v>08. Enterprise Transactionality</v>
      </c>
      <c r="Y528" s="4" t="str">
        <f ca="1">IFERROR(__xludf.DUMMYFUNCTION("""COMPUTED_VALUE"""),"5.7.1 Keep the Bank Running")</f>
        <v>5.7.1 Keep the Bank Running</v>
      </c>
      <c r="Z528" s="132" t="str">
        <f ca="1">IFERROR(__xludf.DUMMYFUNCTION("""COMPUTED_VALUE"""),"310769")</f>
        <v>310769</v>
      </c>
      <c r="AA528" s="4" t="str">
        <f ca="1">IFERROR(__xludf.DUMMYFUNCTION("""COMPUTED_VALUE"""),"Iso 20022 Banktrade.")</f>
        <v>Iso 20022 Banktrade.</v>
      </c>
      <c r="AB528" s="4" t="str">
        <f ca="1">IFERROR(__xludf.DUMMYFUNCTION("""COMPUTED_VALUE"""),"Iso 20022 Banktrade.")</f>
        <v>Iso 20022 Banktrade.</v>
      </c>
      <c r="AC528" s="4" t="str">
        <f ca="1">IFERROR(__xludf.DUMMYFUNCTION("""COMPUTED_VALUE"""),"4Q 2023")</f>
        <v>4Q 2023</v>
      </c>
      <c r="AD528" s="128">
        <f ca="1">IFERROR(__xludf.DUMMYFUNCTION("""COMPUTED_VALUE"""),44566)</f>
        <v>44566</v>
      </c>
      <c r="AE528" s="128">
        <f ca="1">IFERROR(__xludf.DUMMYFUNCTION("""COMPUTED_VALUE"""),44681)</f>
        <v>44681</v>
      </c>
      <c r="AF528" s="128">
        <f ca="1">IFERROR(__xludf.DUMMYFUNCTION("""COMPUTED_VALUE"""),44683)</f>
        <v>44683</v>
      </c>
      <c r="AG528" s="128">
        <f ca="1">IFERROR(__xludf.DUMMYFUNCTION("""COMPUTED_VALUE"""),44742)</f>
        <v>44742</v>
      </c>
      <c r="AH528" s="128">
        <f ca="1">IFERROR(__xludf.DUMMYFUNCTION("""COMPUTED_VALUE"""),44743)</f>
        <v>44743</v>
      </c>
      <c r="AI528" s="128">
        <f ca="1">IFERROR(__xludf.DUMMYFUNCTION("""COMPUTED_VALUE"""),44865)</f>
        <v>44865</v>
      </c>
      <c r="AJ528" s="128">
        <f ca="1">IFERROR(__xludf.DUMMYFUNCTION("""COMPUTED_VALUE"""),44884)</f>
        <v>44884</v>
      </c>
      <c r="AK528" s="131" t="str">
        <f ca="1">IFERROR(__xludf.DUMMYFUNCTION("""COMPUTED_VALUE"""),"COLWSMONED-1296")</f>
        <v>COLWSMONED-1296</v>
      </c>
      <c r="AL528" s="4" t="str">
        <f ca="1">IFERROR(__xludf.DUMMYFUNCTION("""COMPUTED_VALUE"""),"New")</f>
        <v>New</v>
      </c>
      <c r="AM528" s="4" t="str">
        <f ca="1">IFERROR(__xludf.DUMMYFUNCTION("""COMPUTED_VALUE"""),"""27/01 Sesión de entendimiento
03/01/2021 Plan de trabajo con Swift y proceso 
09/12 Socialización de propuesta con el proveedor con negocio
17/11 Sesión Arquitectura ingenieria para validar la si participación 
04/11 Revisión Ejercicio demo adopción XML"&amp;" ISO20022 en Mexico
28/10 Valoración Mexico adopción ISO20022 XML
14/10 Espera a validación deficinión Arquitectura Col- Mex
16/09 Pendiente valoración Ingenieria .                                                                                           "&amp;"                            
03/09 Se recibio por parte de Arquitectura el Concepto.                                                                                                                                                                           "&amp;"                                                                                                20/08 Se realizo sesiones de entendimiento""")</f>
        <v>"27/01 Sesión de entendimiento
03/01/2021 Plan de trabajo con Swift y proceso 
09/12 Socialización de propuesta con el proveedor con negocio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8" s="4" t="str">
        <f ca="1">IFERROR(__xludf.DUMMYFUNCTION("""COMPUTED_VALUE"""),"Entregable en backlog")</f>
        <v>Entregable en backlog</v>
      </c>
      <c r="AO528" s="4"/>
      <c r="AP528" s="4"/>
      <c r="AQ528" s="4"/>
      <c r="AR528" s="4" t="str">
        <f ca="1">IFERROR(__xludf.DUMMYFUNCTION("""COMPUTED_VALUE"""),"SDA aprobada en PPP Q1 2023")</f>
        <v>SDA aprobada en PPP Q1 2023</v>
      </c>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row>
    <row r="529" spans="1:132" x14ac:dyDescent="0.2">
      <c r="A529" s="4">
        <f ca="1">IFERROR(__xludf.DUMMYFUNCTION("""COMPUTED_VALUE"""),529)</f>
        <v>529</v>
      </c>
      <c r="B529" s="4">
        <f ca="1">IFERROR(__xludf.DUMMYFUNCTION("""COMPUTED_VALUE"""),500)</f>
        <v>500</v>
      </c>
      <c r="C529" s="4" t="str">
        <f ca="1">IFERROR(__xludf.DUMMYFUNCTION("""COMPUTED_VALUE"""),"SDATOOL-36047")</f>
        <v>SDATOOL-36047</v>
      </c>
      <c r="D529" s="4" t="str">
        <f ca="1">IFERROR(__xludf.DUMMYFUNCTION("""COMPUTED_VALUE"""),"Bloqueo Sobregiro para Pago Capital e Intereses")</f>
        <v>Bloqueo Sobregiro para Pago Capital e Intereses</v>
      </c>
      <c r="E529" s="4" t="str">
        <f ca="1">IFERROR(__xludf.DUMMYFUNCTION("""COMPUTED_VALUE"""),"Implementar un control en el sistema, el cual bloquee el uso de sobre giros para  la ejecución de operaciones de moneda extrajera.")</f>
        <v>Implementar un control en el sistema, el cual bloquee el uso de sobre giros para  la ejecución de operaciones de moneda extrajera.</v>
      </c>
      <c r="F529" s="4" t="str">
        <f ca="1">IFERROR(__xludf.DUMMYFUNCTION("""COMPUTED_VALUE"""),"Project")</f>
        <v>Project</v>
      </c>
      <c r="G529" s="4" t="str">
        <f ca="1">IFERROR(__xludf.DUMMYFUNCTION("""COMPUTED_VALUE"""),"Stock")</f>
        <v>Stock</v>
      </c>
      <c r="H529" s="4" t="str">
        <f ca="1">IFERROR(__xludf.DUMMYFUNCTION("""COMPUTED_VALUE"""),"2Q 2023")</f>
        <v>2Q 2023</v>
      </c>
      <c r="I529" s="131" t="str">
        <f ca="1">IFERROR(__xludf.DUMMYFUNCTION("""COMPUTED_VALUE"""),"alirio.bermudez-bbva.com")</f>
        <v>alirio.bermudez-bbva.com</v>
      </c>
      <c r="J529" s="131" t="str">
        <f ca="1">IFERROR(__xludf.DUMMYFUNCTION("""COMPUTED_VALUE"""),"yeraldineandrea.sierra-bbva.com")</f>
        <v>yeraldineandrea.sierra-bbva.com</v>
      </c>
      <c r="K529" s="131" t="str">
        <f ca="1">IFERROR(__xludf.DUMMYFUNCTION("""COMPUTED_VALUE"""),"ivan_dario.ariza-bbva.com")</f>
        <v>ivan_dario.ariza-bbva.com</v>
      </c>
      <c r="L529" s="130">
        <f ca="1">IFERROR(__xludf.DUMMYFUNCTION("""COMPUTED_VALUE"""),0.5)</f>
        <v>0.5</v>
      </c>
      <c r="M529" s="130">
        <f ca="1">IFERROR(__xludf.DUMMYFUNCTION("""COMPUTED_VALUE"""),1.25)</f>
        <v>1.25</v>
      </c>
      <c r="N529" s="130">
        <f ca="1">IFERROR(__xludf.DUMMYFUNCTION("""COMPUTED_VALUE"""),0.75)</f>
        <v>0.75</v>
      </c>
      <c r="O529" s="4" t="str">
        <f ca="1">IFERROR(__xludf.DUMMYFUNCTION("""COMPUTED_VALUE"""),"Waterfall")</f>
        <v>Waterfall</v>
      </c>
      <c r="P529" s="4" t="str">
        <f ca="1">IFERROR(__xludf.DUMMYFUNCTION("""COMPUTED_VALUE"""),"Tradicional")</f>
        <v>Tradicional</v>
      </c>
      <c r="Q529" s="4"/>
      <c r="R529" s="130" t="str">
        <f ca="1">IFERROR(__xludf.DUMMYFUNCTION("""COMPUTED_VALUE"""),"Enterprises")</f>
        <v>Enterprises</v>
      </c>
      <c r="S529" s="130" t="str">
        <f ca="1">IFERROR(__xludf.DUMMYFUNCTION("""COMPUTED_VALUE"""),"Strategic Review")</f>
        <v>Strategic Review</v>
      </c>
      <c r="T529" s="130" t="str">
        <f ca="1">IFERROR(__xludf.DUMMYFUNCTION("""COMPUTED_VALUE"""),"Normativo")</f>
        <v>Normativo</v>
      </c>
      <c r="U529" s="130" t="str">
        <f ca="1">IFERROR(__xludf.DUMMYFUNCTION("""COMPUTED_VALUE"""),"No Aplica")</f>
        <v>No Aplica</v>
      </c>
      <c r="V529" s="4" t="str">
        <f ca="1">IFERROR(__xludf.DUMMYFUNCTION("""COMPUTED_VALUE"""),"Otros")</f>
        <v>Otros</v>
      </c>
      <c r="W529" s="4">
        <f ca="1">IFERROR(__xludf.DUMMYFUNCTION("""COMPUTED_VALUE"""),3)</f>
        <v>3</v>
      </c>
      <c r="X529" s="4" t="str">
        <f ca="1">IFERROR(__xludf.DUMMYFUNCTION("""COMPUTED_VALUE"""),"10. Otros")</f>
        <v>10. Otros</v>
      </c>
      <c r="Y529" s="4" t="str">
        <f ca="1">IFERROR(__xludf.DUMMYFUNCTION("""COMPUTED_VALUE"""),"5.7.1 Keep the Bank Running")</f>
        <v>5.7.1 Keep the Bank Running</v>
      </c>
      <c r="Z529" s="132" t="str">
        <f ca="1">IFERROR(__xludf.DUMMYFUNCTION("""COMPUTED_VALUE"""),"213079")</f>
        <v>213079</v>
      </c>
      <c r="AA529" s="4" t="str">
        <f ca="1">IFERROR(__xludf.DUMMYFUNCTION("""COMPUTED_VALUE"""),"Bloqueo Sobregiro para  Pago Capital e Intereses")</f>
        <v>Bloqueo Sobregiro para  Pago Capital e Intereses</v>
      </c>
      <c r="AB529" s="4" t="str">
        <f ca="1">IFERROR(__xludf.DUMMYFUNCTION("""COMPUTED_VALUE"""),"Bloquear la posibilidad de generación de sobregiros para pago de creditos en ME y comisiones")</f>
        <v>Bloquear la posibilidad de generación de sobregiros para pago de creditos en ME y comisiones</v>
      </c>
      <c r="AC529" s="4" t="str">
        <f ca="1">IFERROR(__xludf.DUMMYFUNCTION("""COMPUTED_VALUE"""),"2Q 2023")</f>
        <v>2Q 2023</v>
      </c>
      <c r="AD529" s="4"/>
      <c r="AE529" s="4"/>
      <c r="AF529" s="4"/>
      <c r="AG529" s="4"/>
      <c r="AH529" s="4"/>
      <c r="AI529" s="4"/>
      <c r="AJ529" s="4"/>
      <c r="AK529" s="131" t="str">
        <f ca="1">IFERROR(__xludf.DUMMYFUNCTION("""COMPUTED_VALUE"""),"CCIBS-1776")</f>
        <v>CCIBS-1776</v>
      </c>
      <c r="AL529" s="4" t="str">
        <f ca="1">IFERROR(__xludf.DUMMYFUNCTION("""COMPUTED_VALUE"""),"Deployed")</f>
        <v>Deployed</v>
      </c>
      <c r="AM529" s="4" t="str">
        <f ca="1">IFERROR(__xludf.DUMMYFUNCTION("""COMPUTED_VALUE"""),"10/02 Cierre de deficiones por parte de operaciones
15/12 Socialización del proceso con negocio y operaciones 
10/06 Ingenieria indica que no tiene capacidad para su atención, en espera de proceso de contratación de vacante Banco. Proyecto valorado y apro"&amp;"bado en comite de legales.
26/05 Pendiente capacidad para inicio del proyecto
20/05 Aprobado en comite de Legales, pendiente  envio de comunicado de auditoria por parte de Jaime Gomez a Mauricio Borrero y Miryam Cala para oficilliazar el aprobado")</f>
        <v>10/02 Cierre de deficiones por parte de operaciones
15/12 Socialización del proceso con negocio y operaciones 
10/06 Ingenieria indica que no tiene capacidad para su atención, en espera de proceso de contratación de vacante Banco. Proyecto valorado y aprobado en comite de legales.
26/05 Pendiente capacidad para inicio del proyecto
20/05 Aprobado en comite de Legales, pendiente  envio de comunicado de auditoria por parte de Jaime Gomez a Mauricio Borrero y Miryam Cala para oficilliazar el aprobado</v>
      </c>
      <c r="AN529" s="4" t="str">
        <f ca="1">IFERROR(__xludf.DUMMYFUNCTION("""COMPUTED_VALUE"""),"Entregable en desarrollo")</f>
        <v>Entregable en desarrollo</v>
      </c>
      <c r="AO529" s="4"/>
      <c r="AP529" s="4"/>
      <c r="AQ529" s="4"/>
      <c r="AR529" s="4" t="str">
        <f ca="1">IFERROR(__xludf.DUMMYFUNCTION("""COMPUTED_VALUE"""),"SDA aprobada en PPP Q1 2023")</f>
        <v>SDA aprobada en PPP Q1 2023</v>
      </c>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133">
        <f ca="1">IFERROR(__xludf.DUMMYFUNCTION("""COMPUTED_VALUE"""),0)</f>
        <v>0</v>
      </c>
      <c r="DV529" s="133">
        <f ca="1">IFERROR(__xludf.DUMMYFUNCTION("""COMPUTED_VALUE"""),0)</f>
        <v>0</v>
      </c>
      <c r="DW529" s="133">
        <f ca="1">IFERROR(__xludf.DUMMYFUNCTION("""COMPUTED_VALUE"""),0)</f>
        <v>0</v>
      </c>
      <c r="DX529" s="133">
        <f ca="1">IFERROR(__xludf.DUMMYFUNCTION("""COMPUTED_VALUE"""),59989219)</f>
        <v>59989219</v>
      </c>
      <c r="DY529" s="133">
        <f ca="1">IFERROR(__xludf.DUMMYFUNCTION("""COMPUTED_VALUE"""),0)</f>
        <v>0</v>
      </c>
      <c r="DZ529" s="133">
        <f ca="1">IFERROR(__xludf.DUMMYFUNCTION("""COMPUTED_VALUE"""),59989219)</f>
        <v>59989219</v>
      </c>
      <c r="EA529" s="4"/>
      <c r="EB529" s="4"/>
    </row>
    <row r="530" spans="1:132" x14ac:dyDescent="0.2">
      <c r="A530" s="4">
        <f ca="1">IFERROR(__xludf.DUMMYFUNCTION("""COMPUTED_VALUE"""),530)</f>
        <v>530</v>
      </c>
      <c r="B530" s="4">
        <f ca="1">IFERROR(__xludf.DUMMYFUNCTION("""COMPUTED_VALUE"""),501)</f>
        <v>501</v>
      </c>
      <c r="C530" s="4" t="str">
        <f ca="1">IFERROR(__xludf.DUMMYFUNCTION("""COMPUTED_VALUE"""),"SDATOOL-40269")</f>
        <v>SDATOOL-40269</v>
      </c>
      <c r="D530" s="4" t="str">
        <f ca="1">IFERROR(__xludf.DUMMYFUNCTION("""COMPUTED_VALUE"""),"Actualización y transmisión Declaraciones de Cambio – Banco de la República Abril 2022.")</f>
        <v>Actualización y transmisión Declaraciones de Cambio – Banco de la República Abril 2022.</v>
      </c>
      <c r="E530"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0" s="4" t="str">
        <f ca="1">IFERROR(__xludf.DUMMYFUNCTION("""COMPUTED_VALUE"""),"Initiative")</f>
        <v>Initiative</v>
      </c>
      <c r="G530" s="4" t="str">
        <f ca="1">IFERROR(__xludf.DUMMYFUNCTION("""COMPUTED_VALUE"""),"Stock")</f>
        <v>Stock</v>
      </c>
      <c r="H530" s="4" t="str">
        <f ca="1">IFERROR(__xludf.DUMMYFUNCTION("""COMPUTED_VALUE"""),"3Q 2023")</f>
        <v>3Q 2023</v>
      </c>
      <c r="I530" s="131" t="str">
        <f ca="1">IFERROR(__xludf.DUMMYFUNCTION("""COMPUTED_VALUE"""),"alirio.bermudez-bbva.com")</f>
        <v>alirio.bermudez-bbva.com</v>
      </c>
      <c r="J530" s="131" t="str">
        <f ca="1">IFERROR(__xludf.DUMMYFUNCTION("""COMPUTED_VALUE"""),"yeraldineandrea.sierra-bbva.com")</f>
        <v>yeraldineandrea.sierra-bbva.com</v>
      </c>
      <c r="K530" s="131" t="str">
        <f ca="1">IFERROR(__xludf.DUMMYFUNCTION("""COMPUTED_VALUE"""),"ivan_dario.ariza-bbva.com")</f>
        <v>ivan_dario.ariza-bbva.com</v>
      </c>
      <c r="L530" s="130">
        <f ca="1">IFERROR(__xludf.DUMMYFUNCTION("""COMPUTED_VALUE"""),0)</f>
        <v>0</v>
      </c>
      <c r="M530" s="130">
        <f ca="1">IFERROR(__xludf.DUMMYFUNCTION("""COMPUTED_VALUE"""),1.5)</f>
        <v>1.5</v>
      </c>
      <c r="N530" s="130">
        <f ca="1">IFERROR(__xludf.DUMMYFUNCTION("""COMPUTED_VALUE"""),2.28)</f>
        <v>2.2799999999999998</v>
      </c>
      <c r="O530" s="4" t="str">
        <f ca="1">IFERROR(__xludf.DUMMYFUNCTION("""COMPUTED_VALUE"""),"Waterfall")</f>
        <v>Waterfall</v>
      </c>
      <c r="P530" s="4" t="str">
        <f ca="1">IFERROR(__xludf.DUMMYFUNCTION("""COMPUTED_VALUE"""),"Tradicional")</f>
        <v>Tradicional</v>
      </c>
      <c r="Q530" s="4"/>
      <c r="R530" s="130" t="str">
        <f ca="1">IFERROR(__xludf.DUMMYFUNCTION("""COMPUTED_VALUE"""),"Enterprises")</f>
        <v>Enterprises</v>
      </c>
      <c r="S530" s="130" t="str">
        <f ca="1">IFERROR(__xludf.DUMMYFUNCTION("""COMPUTED_VALUE"""),"Strategic Review")</f>
        <v>Strategic Review</v>
      </c>
      <c r="T530" s="130" t="str">
        <f ca="1">IFERROR(__xludf.DUMMYFUNCTION("""COMPUTED_VALUE"""),"Normativo")</f>
        <v>Normativo</v>
      </c>
      <c r="U530" s="130" t="str">
        <f ca="1">IFERROR(__xludf.DUMMYFUNCTION("""COMPUTED_VALUE"""),"No Aplica")</f>
        <v>No Aplica</v>
      </c>
      <c r="V530" s="4" t="str">
        <f ca="1">IFERROR(__xludf.DUMMYFUNCTION("""COMPUTED_VALUE"""),"Comex")</f>
        <v>Comex</v>
      </c>
      <c r="W530" s="4">
        <f ca="1">IFERROR(__xludf.DUMMYFUNCTION("""COMPUTED_VALUE"""),3)</f>
        <v>3</v>
      </c>
      <c r="X530" s="4" t="str">
        <f ca="1">IFERROR(__xludf.DUMMYFUNCTION("""COMPUTED_VALUE"""),"10. Otros")</f>
        <v>10. Otros</v>
      </c>
      <c r="Y530" s="4" t="str">
        <f ca="1">IFERROR(__xludf.DUMMYFUNCTION("""COMPUTED_VALUE"""),"5.7.1 Keep the Bank Running")</f>
        <v>5.7.1 Keep the Bank Running</v>
      </c>
      <c r="Z530" s="132" t="str">
        <f ca="1">IFERROR(__xludf.DUMMYFUNCTION("""COMPUTED_VALUE"""),"557159")</f>
        <v>557159</v>
      </c>
      <c r="AA530" s="4" t="str">
        <f ca="1">IFERROR(__xludf.DUMMYFUNCTION("""COMPUTED_VALUE"""),"Online 3270")</f>
        <v>Online 3270</v>
      </c>
      <c r="AB530"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0" s="4" t="str">
        <f ca="1">IFERROR(__xludf.DUMMYFUNCTION("""COMPUTED_VALUE"""),"3Q 2023")</f>
        <v>3Q 2023</v>
      </c>
      <c r="AD530" s="4"/>
      <c r="AE530" s="4"/>
      <c r="AF530" s="4"/>
      <c r="AG530" s="4"/>
      <c r="AH530" s="4"/>
      <c r="AI530" s="4"/>
      <c r="AJ530" s="4"/>
      <c r="AK530" s="131" t="str">
        <f ca="1">IFERROR(__xludf.DUMMYFUNCTION("""COMPUTED_VALUE"""),"COLWSMONED-1366")</f>
        <v>COLWSMONED-1366</v>
      </c>
      <c r="AL530" s="4" t="str">
        <f ca="1">IFERROR(__xludf.DUMMYFUNCTION("""COMPUTED_VALUE"""),"New")</f>
        <v>New</v>
      </c>
      <c r="AM530" s="4"/>
      <c r="AN530" s="4" t="str">
        <f ca="1">IFERROR(__xludf.DUMMYFUNCTION("""COMPUTED_VALUE"""),"Entregable en desarrollo")</f>
        <v>Entregable en desarrollo</v>
      </c>
      <c r="AO530" s="4"/>
      <c r="AP530" s="4"/>
      <c r="AQ530" s="4"/>
      <c r="AR530" s="4" t="str">
        <f ca="1">IFERROR(__xludf.DUMMYFUNCTION("""COMPUTED_VALUE"""),"SDA aprobada en PPP Q1 2023")</f>
        <v>SDA aprobada en PPP Q1 2023</v>
      </c>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133">
        <f ca="1">IFERROR(__xludf.DUMMYFUNCTION("""COMPUTED_VALUE"""),0)</f>
        <v>0</v>
      </c>
      <c r="DV530" s="133">
        <f ca="1">IFERROR(__xludf.DUMMYFUNCTION("""COMPUTED_VALUE"""),0)</f>
        <v>0</v>
      </c>
      <c r="DW530" s="133">
        <f ca="1">IFERROR(__xludf.DUMMYFUNCTION("""COMPUTED_VALUE"""),0)</f>
        <v>0</v>
      </c>
      <c r="DX530" s="133">
        <f ca="1">IFERROR(__xludf.DUMMYFUNCTION("""COMPUTED_VALUE"""),321167281)</f>
        <v>321167281</v>
      </c>
      <c r="DY530" s="133">
        <f ca="1">IFERROR(__xludf.DUMMYFUNCTION("""COMPUTED_VALUE"""),0)</f>
        <v>0</v>
      </c>
      <c r="DZ530" s="133">
        <f ca="1">IFERROR(__xludf.DUMMYFUNCTION("""COMPUTED_VALUE"""),321167281)</f>
        <v>321167281</v>
      </c>
      <c r="EA530" s="4"/>
      <c r="EB530" s="4"/>
    </row>
    <row r="531" spans="1:132" x14ac:dyDescent="0.2">
      <c r="A531" s="4">
        <f ca="1">IFERROR(__xludf.DUMMYFUNCTION("""COMPUTED_VALUE"""),531)</f>
        <v>531</v>
      </c>
      <c r="B531" s="4">
        <f ca="1">IFERROR(__xludf.DUMMYFUNCTION("""COMPUTED_VALUE"""),502)</f>
        <v>502</v>
      </c>
      <c r="C531" s="4" t="str">
        <f ca="1">IFERROR(__xludf.DUMMYFUNCTION("""COMPUTED_VALUE"""),"SDATOOL-40269")</f>
        <v>SDATOOL-40269</v>
      </c>
      <c r="D531" s="4" t="str">
        <f ca="1">IFERROR(__xludf.DUMMYFUNCTION("""COMPUTED_VALUE"""),"Actualización y transmisión Declaraciones de Cambio – Banco de la República Abril 2022.")</f>
        <v>Actualización y transmisión Declaraciones de Cambio – Banco de la República Abril 2022.</v>
      </c>
      <c r="E531"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1" s="4" t="str">
        <f ca="1">IFERROR(__xludf.DUMMYFUNCTION("""COMPUTED_VALUE"""),"Initiative")</f>
        <v>Initiative</v>
      </c>
      <c r="G531" s="4" t="str">
        <f ca="1">IFERROR(__xludf.DUMMYFUNCTION("""COMPUTED_VALUE"""),"Stock")</f>
        <v>Stock</v>
      </c>
      <c r="H531" s="4" t="str">
        <f ca="1">IFERROR(__xludf.DUMMYFUNCTION("""COMPUTED_VALUE"""),"3Q 2023")</f>
        <v>3Q 2023</v>
      </c>
      <c r="I531" s="131" t="str">
        <f ca="1">IFERROR(__xludf.DUMMYFUNCTION("""COMPUTED_VALUE"""),"alirio.bermudez-bbva.com")</f>
        <v>alirio.bermudez-bbva.com</v>
      </c>
      <c r="J531" s="131" t="str">
        <f ca="1">IFERROR(__xludf.DUMMYFUNCTION("""COMPUTED_VALUE"""),"yeraldineandrea.sierra-bbva.com")</f>
        <v>yeraldineandrea.sierra-bbva.com</v>
      </c>
      <c r="K531" s="131" t="str">
        <f ca="1">IFERROR(__xludf.DUMMYFUNCTION("""COMPUTED_VALUE"""),"ivan_dario.ariza-bbva.com")</f>
        <v>ivan_dario.ariza-bbva.com</v>
      </c>
      <c r="L531" s="4"/>
      <c r="M531" s="4"/>
      <c r="N531" s="4"/>
      <c r="O531" s="4" t="str">
        <f ca="1">IFERROR(__xludf.DUMMYFUNCTION("""COMPUTED_VALUE"""),"Waterfall")</f>
        <v>Waterfall</v>
      </c>
      <c r="P531" s="4" t="str">
        <f ca="1">IFERROR(__xludf.DUMMYFUNCTION("""COMPUTED_VALUE"""),"Tradicional")</f>
        <v>Tradicional</v>
      </c>
      <c r="Q531" s="4"/>
      <c r="R531" s="130" t="str">
        <f ca="1">IFERROR(__xludf.DUMMYFUNCTION("""COMPUTED_VALUE"""),"Enterprises")</f>
        <v>Enterprises</v>
      </c>
      <c r="S531" s="130" t="str">
        <f ca="1">IFERROR(__xludf.DUMMYFUNCTION("""COMPUTED_VALUE"""),"Strategic Review")</f>
        <v>Strategic Review</v>
      </c>
      <c r="T531" s="130" t="str">
        <f ca="1">IFERROR(__xludf.DUMMYFUNCTION("""COMPUTED_VALUE"""),"Normativo")</f>
        <v>Normativo</v>
      </c>
      <c r="U531" s="130" t="str">
        <f ca="1">IFERROR(__xludf.DUMMYFUNCTION("""COMPUTED_VALUE"""),"No Aplica")</f>
        <v>No Aplica</v>
      </c>
      <c r="V531" s="4" t="str">
        <f ca="1">IFERROR(__xludf.DUMMYFUNCTION("""COMPUTED_VALUE"""),"Comex")</f>
        <v>Comex</v>
      </c>
      <c r="W531" s="4">
        <f ca="1">IFERROR(__xludf.DUMMYFUNCTION("""COMPUTED_VALUE"""),3)</f>
        <v>3</v>
      </c>
      <c r="X531" s="4" t="str">
        <f ca="1">IFERROR(__xludf.DUMMYFUNCTION("""COMPUTED_VALUE"""),"10. Otros")</f>
        <v>10. Otros</v>
      </c>
      <c r="Y531" s="4" t="str">
        <f ca="1">IFERROR(__xludf.DUMMYFUNCTION("""COMPUTED_VALUE"""),"5.7.1 Keep the Bank Running")</f>
        <v>5.7.1 Keep the Bank Running</v>
      </c>
      <c r="Z531" s="132" t="str">
        <f ca="1">IFERROR(__xludf.DUMMYFUNCTION("""COMPUTED_VALUE"""),"598018")</f>
        <v>598018</v>
      </c>
      <c r="AA531" s="4" t="str">
        <f ca="1">IFERROR(__xludf.DUMMYFUNCTION("""COMPUTED_VALUE"""),"Nacar")</f>
        <v>Nacar</v>
      </c>
      <c r="AB531"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1" s="4" t="str">
        <f ca="1">IFERROR(__xludf.DUMMYFUNCTION("""COMPUTED_VALUE"""),"3Q 2023")</f>
        <v>3Q 2023</v>
      </c>
      <c r="AD531" s="4"/>
      <c r="AE531" s="4"/>
      <c r="AF531" s="4"/>
      <c r="AG531" s="4"/>
      <c r="AH531" s="4"/>
      <c r="AI531" s="4"/>
      <c r="AJ531" s="4"/>
      <c r="AK531" s="131" t="str">
        <f ca="1">IFERROR(__xludf.DUMMYFUNCTION("""COMPUTED_VALUE"""),"COLWSMONED-1365")</f>
        <v>COLWSMONED-1365</v>
      </c>
      <c r="AL531" s="4" t="str">
        <f ca="1">IFERROR(__xludf.DUMMYFUNCTION("""COMPUTED_VALUE"""),"New")</f>
        <v>New</v>
      </c>
      <c r="AM531" s="4"/>
      <c r="AN531" s="4" t="str">
        <f ca="1">IFERROR(__xludf.DUMMYFUNCTION("""COMPUTED_VALUE"""),"Entregable en desarrollo")</f>
        <v>Entregable en desarrollo</v>
      </c>
      <c r="AO531" s="4"/>
      <c r="AP531" s="4"/>
      <c r="AQ531" s="4"/>
      <c r="AR531" s="4" t="str">
        <f ca="1">IFERROR(__xludf.DUMMYFUNCTION("""COMPUTED_VALUE"""),"SDA aprobada en PPP Q1 2023")</f>
        <v>SDA aprobada en PPP Q1 2023</v>
      </c>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row>
    <row r="532" spans="1:132" x14ac:dyDescent="0.2">
      <c r="A532" s="4">
        <f ca="1">IFERROR(__xludf.DUMMYFUNCTION("""COMPUTED_VALUE"""),532)</f>
        <v>532</v>
      </c>
      <c r="B532" s="4">
        <f ca="1">IFERROR(__xludf.DUMMYFUNCTION("""COMPUTED_VALUE"""),503)</f>
        <v>503</v>
      </c>
      <c r="C532" s="4" t="str">
        <f ca="1">IFERROR(__xludf.DUMMYFUNCTION("""COMPUTED_VALUE"""),"SDATOOL-40269")</f>
        <v>SDATOOL-40269</v>
      </c>
      <c r="D532" s="4" t="str">
        <f ca="1">IFERROR(__xludf.DUMMYFUNCTION("""COMPUTED_VALUE"""),"Actualización y transmisión Declaraciones de Cambio – Banco de la República Abril 2022.")</f>
        <v>Actualización y transmisión Declaraciones de Cambio – Banco de la República Abril 2022.</v>
      </c>
      <c r="E532"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2" s="4" t="str">
        <f ca="1">IFERROR(__xludf.DUMMYFUNCTION("""COMPUTED_VALUE"""),"Initiative")</f>
        <v>Initiative</v>
      </c>
      <c r="G532" s="4" t="str">
        <f ca="1">IFERROR(__xludf.DUMMYFUNCTION("""COMPUTED_VALUE"""),"Stock")</f>
        <v>Stock</v>
      </c>
      <c r="H532" s="4" t="str">
        <f ca="1">IFERROR(__xludf.DUMMYFUNCTION("""COMPUTED_VALUE"""),"3Q 2023")</f>
        <v>3Q 2023</v>
      </c>
      <c r="I532" s="131" t="str">
        <f ca="1">IFERROR(__xludf.DUMMYFUNCTION("""COMPUTED_VALUE"""),"alirio.bermudez-bbva.com")</f>
        <v>alirio.bermudez-bbva.com</v>
      </c>
      <c r="J532" s="131" t="str">
        <f ca="1">IFERROR(__xludf.DUMMYFUNCTION("""COMPUTED_VALUE"""),"yeraldineandrea.sierra-bbva.com")</f>
        <v>yeraldineandrea.sierra-bbva.com</v>
      </c>
      <c r="K532" s="131" t="str">
        <f ca="1">IFERROR(__xludf.DUMMYFUNCTION("""COMPUTED_VALUE"""),"ivan_dario.ariza-bbva.com")</f>
        <v>ivan_dario.ariza-bbva.com</v>
      </c>
      <c r="L532" s="4"/>
      <c r="M532" s="4"/>
      <c r="N532" s="4"/>
      <c r="O532" s="4" t="str">
        <f ca="1">IFERROR(__xludf.DUMMYFUNCTION("""COMPUTED_VALUE"""),"Waterfall")</f>
        <v>Waterfall</v>
      </c>
      <c r="P532" s="4" t="str">
        <f ca="1">IFERROR(__xludf.DUMMYFUNCTION("""COMPUTED_VALUE"""),"Tradicional")</f>
        <v>Tradicional</v>
      </c>
      <c r="Q532" s="4"/>
      <c r="R532" s="130" t="str">
        <f ca="1">IFERROR(__xludf.DUMMYFUNCTION("""COMPUTED_VALUE"""),"Enterprises")</f>
        <v>Enterprises</v>
      </c>
      <c r="S532" s="130" t="str">
        <f ca="1">IFERROR(__xludf.DUMMYFUNCTION("""COMPUTED_VALUE"""),"Strategic Review")</f>
        <v>Strategic Review</v>
      </c>
      <c r="T532" s="130" t="str">
        <f ca="1">IFERROR(__xludf.DUMMYFUNCTION("""COMPUTED_VALUE"""),"Normativo")</f>
        <v>Normativo</v>
      </c>
      <c r="U532" s="130" t="str">
        <f ca="1">IFERROR(__xludf.DUMMYFUNCTION("""COMPUTED_VALUE"""),"No Aplica")</f>
        <v>No Aplica</v>
      </c>
      <c r="V532" s="4" t="str">
        <f ca="1">IFERROR(__xludf.DUMMYFUNCTION("""COMPUTED_VALUE"""),"Comex")</f>
        <v>Comex</v>
      </c>
      <c r="W532" s="4">
        <f ca="1">IFERROR(__xludf.DUMMYFUNCTION("""COMPUTED_VALUE"""),3)</f>
        <v>3</v>
      </c>
      <c r="X532" s="4" t="str">
        <f ca="1">IFERROR(__xludf.DUMMYFUNCTION("""COMPUTED_VALUE"""),"10. Otros")</f>
        <v>10. Otros</v>
      </c>
      <c r="Y532" s="4" t="str">
        <f ca="1">IFERROR(__xludf.DUMMYFUNCTION("""COMPUTED_VALUE"""),"5.7.1 Keep the Bank Running")</f>
        <v>5.7.1 Keep the Bank Running</v>
      </c>
      <c r="Z532" s="132" t="str">
        <f ca="1">IFERROR(__xludf.DUMMYFUNCTION("""COMPUTED_VALUE"""),"598019")</f>
        <v>598019</v>
      </c>
      <c r="AA532" s="4" t="str">
        <f ca="1">IFERROR(__xludf.DUMMYFUNCTION("""COMPUTED_VALUE"""),"Batch 3270")</f>
        <v>Batch 3270</v>
      </c>
      <c r="AB532"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2" s="4" t="str">
        <f ca="1">IFERROR(__xludf.DUMMYFUNCTION("""COMPUTED_VALUE"""),"3Q 2023")</f>
        <v>3Q 2023</v>
      </c>
      <c r="AD532" s="4"/>
      <c r="AE532" s="4"/>
      <c r="AF532" s="4"/>
      <c r="AG532" s="4"/>
      <c r="AH532" s="4"/>
      <c r="AI532" s="4"/>
      <c r="AJ532" s="4"/>
      <c r="AK532" s="131" t="str">
        <f ca="1">IFERROR(__xludf.DUMMYFUNCTION("""COMPUTED_VALUE"""),"COLWSMONED-1368")</f>
        <v>COLWSMONED-1368</v>
      </c>
      <c r="AL532" s="4" t="str">
        <f ca="1">IFERROR(__xludf.DUMMYFUNCTION("""COMPUTED_VALUE"""),"New")</f>
        <v>New</v>
      </c>
      <c r="AM532" s="4" t="str">
        <f ca="1">IFERROR(__xludf.DUMMYFUNCTION("""COMPUTED_VALUE"""),"Actualizado 4Q/22 a 4Q/23")</f>
        <v>Actualizado 4Q/22 a 4Q/23</v>
      </c>
      <c r="AN532" s="4" t="str">
        <f ca="1">IFERROR(__xludf.DUMMYFUNCTION("""COMPUTED_VALUE"""),"Entregable en desarrollo")</f>
        <v>Entregable en desarrollo</v>
      </c>
      <c r="AO532" s="4"/>
      <c r="AP532" s="4"/>
      <c r="AQ532" s="4"/>
      <c r="AR532" s="4" t="str">
        <f ca="1">IFERROR(__xludf.DUMMYFUNCTION("""COMPUTED_VALUE"""),"SDA aprobada en PPP Q1 2023")</f>
        <v>SDA aprobada en PPP Q1 2023</v>
      </c>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row>
    <row r="533" spans="1:132" x14ac:dyDescent="0.2">
      <c r="A533" s="4">
        <f ca="1">IFERROR(__xludf.DUMMYFUNCTION("""COMPUTED_VALUE"""),533)</f>
        <v>533</v>
      </c>
      <c r="B533" s="4">
        <f ca="1">IFERROR(__xludf.DUMMYFUNCTION("""COMPUTED_VALUE"""),504)</f>
        <v>504</v>
      </c>
      <c r="C533" s="4" t="str">
        <f ca="1">IFERROR(__xludf.DUMMYFUNCTION("""COMPUTED_VALUE"""),"SDATOOL-41737")</f>
        <v>SDATOOL-41737</v>
      </c>
      <c r="D533" s="4" t="str">
        <f ca="1">IFERROR(__xludf.DUMMYFUNCTION("""COMPUTED_VALUE"""),"Moneda Extranjera - Inclusión en SIGDOC")</f>
        <v>Moneda Extranjera - Inclusión en SIGDOC</v>
      </c>
      <c r="E533" s="4" t="str">
        <f ca="1">IFERROR(__xludf.DUMMYFUNCTION("""COMPUTED_VALUE"""),"Se requiere la inclusión de las operaciones de Moneda Extranjera (aplicativo Banktrade) en las interfaces que se remiten a MTI para que este tipo de operaciones queden incluidas en el gestor documental SIGDOC. Previamente se debe realizar un procesamiento"&amp;" del fichero de altas de Banktrade para que se genere una (1) sola operación por desembolso (dado que Banktrade genera un contrato por cada cuota)")</f>
        <v>Se requiere la inclusión de las operaciones de Moneda Extranjera (aplicativo Banktrade) en las interfaces que se remiten a MTI para que este tipo de operaciones queden incluidas en el gestor documental SIGDOC. Previamente se debe realizar un procesamiento del fichero de altas de Banktrade para que se genere una (1) sola operación por desembolso (dado que Banktrade genera un contrato por cada cuota)</v>
      </c>
      <c r="F533" s="4" t="str">
        <f ca="1">IFERROR(__xludf.DUMMYFUNCTION("""COMPUTED_VALUE"""),"Initiative")</f>
        <v>Initiative</v>
      </c>
      <c r="G533" s="4" t="str">
        <f ca="1">IFERROR(__xludf.DUMMYFUNCTION("""COMPUTED_VALUE"""),"Stock")</f>
        <v>Stock</v>
      </c>
      <c r="H533" s="4" t="str">
        <f ca="1">IFERROR(__xludf.DUMMYFUNCTION("""COMPUTED_VALUE"""),"4Q 2023")</f>
        <v>4Q 2023</v>
      </c>
      <c r="I533" s="131" t="str">
        <f ca="1">IFERROR(__xludf.DUMMYFUNCTION("""COMPUTED_VALUE"""),"alirio.bermudez-bbva.com")</f>
        <v>alirio.bermudez-bbva.com</v>
      </c>
      <c r="J533" s="131" t="str">
        <f ca="1">IFERROR(__xludf.DUMMYFUNCTION("""COMPUTED_VALUE"""),"yeraldineandrea.sierra-bbva.com")</f>
        <v>yeraldineandrea.sierra-bbva.com</v>
      </c>
      <c r="K533" s="131" t="str">
        <f ca="1">IFERROR(__xludf.DUMMYFUNCTION("""COMPUTED_VALUE"""),"ivan_dario.ariza-bbva.com")</f>
        <v>ivan_dario.ariza-bbva.com</v>
      </c>
      <c r="L533" s="130">
        <f ca="1">IFERROR(__xludf.DUMMYFUNCTION("""COMPUTED_VALUE"""),0)</f>
        <v>0</v>
      </c>
      <c r="M533" s="130">
        <f ca="1">IFERROR(__xludf.DUMMYFUNCTION("""COMPUTED_VALUE"""),0.25)</f>
        <v>0.25</v>
      </c>
      <c r="N533" s="130">
        <f ca="1">IFERROR(__xludf.DUMMYFUNCTION("""COMPUTED_VALUE"""),0)</f>
        <v>0</v>
      </c>
      <c r="O533" s="4" t="str">
        <f ca="1">IFERROR(__xludf.DUMMYFUNCTION("""COMPUTED_VALUE"""),"Waterfall")</f>
        <v>Waterfall</v>
      </c>
      <c r="P533" s="4" t="str">
        <f ca="1">IFERROR(__xludf.DUMMYFUNCTION("""COMPUTED_VALUE"""),"Tradicional")</f>
        <v>Tradicional</v>
      </c>
      <c r="Q533" s="4"/>
      <c r="R533" s="130" t="str">
        <f ca="1">IFERROR(__xludf.DUMMYFUNCTION("""COMPUTED_VALUE"""),"Enterprises")</f>
        <v>Enterprises</v>
      </c>
      <c r="S533" s="130" t="str">
        <f ca="1">IFERROR(__xludf.DUMMYFUNCTION("""COMPUTED_VALUE"""),"Strategic Review")</f>
        <v>Strategic Review</v>
      </c>
      <c r="T533" s="130" t="str">
        <f ca="1">IFERROR(__xludf.DUMMYFUNCTION("""COMPUTED_VALUE"""),"Normativo")</f>
        <v>Normativo</v>
      </c>
      <c r="U533" s="130" t="str">
        <f ca="1">IFERROR(__xludf.DUMMYFUNCTION("""COMPUTED_VALUE"""),"No Aplica")</f>
        <v>No Aplica</v>
      </c>
      <c r="V533" s="4" t="str">
        <f ca="1">IFERROR(__xludf.DUMMYFUNCTION("""COMPUTED_VALUE"""),"Comex")</f>
        <v>Comex</v>
      </c>
      <c r="W533" s="4">
        <f ca="1">IFERROR(__xludf.DUMMYFUNCTION("""COMPUTED_VALUE"""),3)</f>
        <v>3</v>
      </c>
      <c r="X533" s="4" t="str">
        <f ca="1">IFERROR(__xludf.DUMMYFUNCTION("""COMPUTED_VALUE"""),"08. Enterprise Transactionality")</f>
        <v>08. Enterprise Transactionality</v>
      </c>
      <c r="Y533" s="4" t="str">
        <f ca="1">IFERROR(__xludf.DUMMYFUNCTION("""COMPUTED_VALUE"""),"5.7.1 Keep the Bank Running")</f>
        <v>5.7.1 Keep the Bank Running</v>
      </c>
      <c r="Z533" s="132" t="str">
        <f ca="1">IFERROR(__xludf.DUMMYFUNCTION("""COMPUTED_VALUE"""),"710633")</f>
        <v>710633</v>
      </c>
      <c r="AA533" s="4" t="str">
        <f ca="1">IFERROR(__xludf.DUMMYFUNCTION("""COMPUTED_VALUE"""),"Iniciativa priorizada para el Q2 2023 en proceso de Discovery")</f>
        <v>Iniciativa priorizada para el Q2 2023 en proceso de Discovery</v>
      </c>
      <c r="AB533" s="4" t="str">
        <f ca="1">IFERROR(__xludf.DUMMYFUNCTION("""COMPUTED_VALUE"""),"Discovery Q1 2023
Conceptualización Q2 2023
Inicio de desarrollos Q3 2023")</f>
        <v>Discovery Q1 2023
Conceptualización Q2 2023
Inicio de desarrollos Q3 2023</v>
      </c>
      <c r="AC533" s="4" t="str">
        <f ca="1">IFERROR(__xludf.DUMMYFUNCTION("""COMPUTED_VALUE"""),"4Q 2023")</f>
        <v>4Q 2023</v>
      </c>
      <c r="AD533" s="4"/>
      <c r="AE533" s="4"/>
      <c r="AF533" s="4"/>
      <c r="AG533" s="4"/>
      <c r="AH533" s="4"/>
      <c r="AI533" s="4"/>
      <c r="AJ533" s="4"/>
      <c r="AK533" s="4" t="str">
        <f ca="1">IFERROR(__xludf.DUMMYFUNCTION("""COMPUTED_VALUE"""),"Sin asignar")</f>
        <v>Sin asignar</v>
      </c>
      <c r="AL533" s="4" t="str">
        <f ca="1">IFERROR(__xludf.DUMMYFUNCTION("""COMPUTED_VALUE"""),"Sin asignar")</f>
        <v>Sin asignar</v>
      </c>
      <c r="AM533" s="4"/>
      <c r="AN533" s="4" t="str">
        <f ca="1">IFERROR(__xludf.DUMMYFUNCTION("""COMPUTED_VALUE"""),"Iniciativa en Discovery")</f>
        <v>Iniciativa en Discovery</v>
      </c>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133">
        <f ca="1">IFERROR(__xludf.DUMMYFUNCTION("""COMPUTED_VALUE"""),0)</f>
        <v>0</v>
      </c>
      <c r="DV533" s="133">
        <f ca="1">IFERROR(__xludf.DUMMYFUNCTION("""COMPUTED_VALUE"""),0)</f>
        <v>0</v>
      </c>
      <c r="DW533" s="133">
        <f ca="1">IFERROR(__xludf.DUMMYFUNCTION("""COMPUTED_VALUE"""),0)</f>
        <v>0</v>
      </c>
      <c r="DX533" s="133">
        <f ca="1">IFERROR(__xludf.DUMMYFUNCTION("""COMPUTED_VALUE"""),35000000)</f>
        <v>35000000</v>
      </c>
      <c r="DY533" s="133">
        <f ca="1">IFERROR(__xludf.DUMMYFUNCTION("""COMPUTED_VALUE"""),0)</f>
        <v>0</v>
      </c>
      <c r="DZ533" s="133">
        <f ca="1">IFERROR(__xludf.DUMMYFUNCTION("""COMPUTED_VALUE"""),35000000)</f>
        <v>35000000</v>
      </c>
      <c r="EA533" s="4"/>
      <c r="EB533" s="4"/>
    </row>
    <row r="534" spans="1:132" x14ac:dyDescent="0.2">
      <c r="A534" s="4">
        <f ca="1">IFERROR(__xludf.DUMMYFUNCTION("""COMPUTED_VALUE"""),534)</f>
        <v>534</v>
      </c>
      <c r="B534" s="4">
        <f ca="1">IFERROR(__xludf.DUMMYFUNCTION("""COMPUTED_VALUE"""),505)</f>
        <v>505</v>
      </c>
      <c r="C534" s="4" t="str">
        <f ca="1">IFERROR(__xludf.DUMMYFUNCTION("""COMPUTED_VALUE"""),"SDATOOL-42274")</f>
        <v>SDATOOL-42274</v>
      </c>
      <c r="D534" s="4" t="str">
        <f ca="1">IFERROR(__xludf.DUMMYFUNCTION("""COMPUTED_VALUE"""),"Correcta actualización Garantías FNG en Banktrade")</f>
        <v>Correcta actualización Garantías FNG en Banktrade</v>
      </c>
      <c r="E534" s="4" t="str">
        <f ca="1">IFERROR(__xludf.DUMMYFUNCTION("""COMPUTED_VALUE"""),"Ajustar la plataforma Banktrade para que el sistema NO desmarque las garantías de los créditos que están respaldados por garantías FNG cada vez que se haga una actualización o modificación, pago parcial o cualquier tipo de cambio en la operación, que no t"&amp;"enga nada que ver con la garantía.  Ajustar el stock de la cartera en Moneda Extranjera que tiene actualmente FNG, operaciones que en casi su totalidad están desmarcadas y están generando provisiones erradas")</f>
        <v>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v>
      </c>
      <c r="F534" s="4" t="str">
        <f ca="1">IFERROR(__xludf.DUMMYFUNCTION("""COMPUTED_VALUE"""),"Initiative")</f>
        <v>Initiative</v>
      </c>
      <c r="G534" s="4" t="str">
        <f ca="1">IFERROR(__xludf.DUMMYFUNCTION("""COMPUTED_VALUE"""),"Flow")</f>
        <v>Flow</v>
      </c>
      <c r="H534" s="4" t="str">
        <f ca="1">IFERROR(__xludf.DUMMYFUNCTION("""COMPUTED_VALUE"""),"3Q 2023")</f>
        <v>3Q 2023</v>
      </c>
      <c r="I534" s="131" t="str">
        <f ca="1">IFERROR(__xludf.DUMMYFUNCTION("""COMPUTED_VALUE"""),"alirio.bermudez-bbva.com")</f>
        <v>alirio.bermudez-bbva.com</v>
      </c>
      <c r="J534" s="131" t="str">
        <f ca="1">IFERROR(__xludf.DUMMYFUNCTION("""COMPUTED_VALUE"""),"yeraldineandrea.sierra-bbva.com")</f>
        <v>yeraldineandrea.sierra-bbva.com</v>
      </c>
      <c r="K534" s="131" t="str">
        <f ca="1">IFERROR(__xludf.DUMMYFUNCTION("""COMPUTED_VALUE"""),"ivan_dario.ariza-bbva.com")</f>
        <v>ivan_dario.ariza-bbva.com</v>
      </c>
      <c r="L534" s="130">
        <f ca="1">IFERROR(__xludf.DUMMYFUNCTION("""COMPUTED_VALUE"""),0)</f>
        <v>0</v>
      </c>
      <c r="M534" s="130">
        <f ca="1">IFERROR(__xludf.DUMMYFUNCTION("""COMPUTED_VALUE"""),0)</f>
        <v>0</v>
      </c>
      <c r="N534" s="130">
        <f ca="1">IFERROR(__xludf.DUMMYFUNCTION("""COMPUTED_VALUE"""),0)</f>
        <v>0</v>
      </c>
      <c r="O534" s="4" t="str">
        <f ca="1">IFERROR(__xludf.DUMMYFUNCTION("""COMPUTED_VALUE"""),"Waterfall")</f>
        <v>Waterfall</v>
      </c>
      <c r="P534" s="4" t="str">
        <f ca="1">IFERROR(__xludf.DUMMYFUNCTION("""COMPUTED_VALUE"""),"Tradicional")</f>
        <v>Tradicional</v>
      </c>
      <c r="Q534" s="4"/>
      <c r="R534" s="130" t="str">
        <f ca="1">IFERROR(__xludf.DUMMYFUNCTION("""COMPUTED_VALUE"""),"Enterprises")</f>
        <v>Enterprises</v>
      </c>
      <c r="S534" s="130" t="str">
        <f ca="1">IFERROR(__xludf.DUMMYFUNCTION("""COMPUTED_VALUE"""),"Strategic Review")</f>
        <v>Strategic Review</v>
      </c>
      <c r="T534" s="130" t="str">
        <f ca="1">IFERROR(__xludf.DUMMYFUNCTION("""COMPUTED_VALUE"""),"Normativo")</f>
        <v>Normativo</v>
      </c>
      <c r="U534" s="130" t="str">
        <f ca="1">IFERROR(__xludf.DUMMYFUNCTION("""COMPUTED_VALUE"""),"No Aplica")</f>
        <v>No Aplica</v>
      </c>
      <c r="V534" s="4" t="str">
        <f ca="1">IFERROR(__xludf.DUMMYFUNCTION("""COMPUTED_VALUE"""),"Comex")</f>
        <v>Comex</v>
      </c>
      <c r="W534" s="4">
        <f ca="1">IFERROR(__xludf.DUMMYFUNCTION("""COMPUTED_VALUE"""),3)</f>
        <v>3</v>
      </c>
      <c r="X534" s="4" t="str">
        <f ca="1">IFERROR(__xludf.DUMMYFUNCTION("""COMPUTED_VALUE"""),"08. Enterprise Transactionality")</f>
        <v>08. Enterprise Transactionality</v>
      </c>
      <c r="Y534" s="4" t="str">
        <f ca="1">IFERROR(__xludf.DUMMYFUNCTION("""COMPUTED_VALUE"""),"5.7.1 Keep the Bank Running")</f>
        <v>5.7.1 Keep the Bank Running</v>
      </c>
      <c r="Z534" s="132" t="str">
        <f ca="1">IFERROR(__xludf.DUMMYFUNCTION("""COMPUTED_VALUE"""),"713028")</f>
        <v>713028</v>
      </c>
      <c r="AA534" s="4" t="str">
        <f ca="1">IFERROR(__xludf.DUMMYFUNCTION("""COMPUTED_VALUE"""),"actualización Garantías FNG en Banktrade")</f>
        <v>actualización Garantías FNG en Banktrade</v>
      </c>
      <c r="AB534" s="4" t="str">
        <f ca="1">IFERROR(__xludf.DUMMYFUNCTION("""COMPUTED_VALUE"""),"Ajustar la plataforma Banktrade para que el sistema NO desmarque las garantías de los créditos que están respaldados por garantías FNG cada vez que se haga una actualización o modificación, pago parcial o cualquier tipo de cambio en la operación, que no t"&amp;"enga nada que ver con la garantía. Ajustar el stock de la cartera en Moneda Extranjera que tiene actualmente FNG, operaciones que en casi su totalidad están desmarcadas y están generando provisiones erradas")</f>
        <v>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v>
      </c>
      <c r="AC534" s="4" t="str">
        <f ca="1">IFERROR(__xludf.DUMMYFUNCTION("""COMPUTED_VALUE"""),"3Q 2023")</f>
        <v>3Q 2023</v>
      </c>
      <c r="AD534" s="4"/>
      <c r="AE534" s="4"/>
      <c r="AF534" s="4"/>
      <c r="AG534" s="4"/>
      <c r="AH534" s="4"/>
      <c r="AI534" s="4"/>
      <c r="AJ534" s="4"/>
      <c r="AK534" s="4" t="str">
        <f ca="1">IFERROR(__xludf.DUMMYFUNCTION("""COMPUTED_VALUE"""),"Sin asignar")</f>
        <v>Sin asignar</v>
      </c>
      <c r="AL534" s="4" t="str">
        <f ca="1">IFERROR(__xludf.DUMMYFUNCTION("""COMPUTED_VALUE"""),"Sin asignar")</f>
        <v>Sin asignar</v>
      </c>
      <c r="AM534" s="4"/>
      <c r="AN534" s="4" t="str">
        <f ca="1">IFERROR(__xludf.DUMMYFUNCTION("""COMPUTED_VALUE"""),"Iniciativa sin priorizar")</f>
        <v>Iniciativa sin priorizar</v>
      </c>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133">
        <f ca="1">IFERROR(__xludf.DUMMYFUNCTION("""COMPUTED_VALUE"""),0)</f>
        <v>0</v>
      </c>
      <c r="DV534" s="133">
        <f ca="1">IFERROR(__xludf.DUMMYFUNCTION("""COMPUTED_VALUE"""),0)</f>
        <v>0</v>
      </c>
      <c r="DW534" s="133">
        <f ca="1">IFERROR(__xludf.DUMMYFUNCTION("""COMPUTED_VALUE"""),0)</f>
        <v>0</v>
      </c>
      <c r="DX534" s="133">
        <f ca="1">IFERROR(__xludf.DUMMYFUNCTION("""COMPUTED_VALUE"""),0)</f>
        <v>0</v>
      </c>
      <c r="DY534" s="133">
        <f ca="1">IFERROR(__xludf.DUMMYFUNCTION("""COMPUTED_VALUE"""),0)</f>
        <v>0</v>
      </c>
      <c r="DZ534" s="133">
        <f ca="1">IFERROR(__xludf.DUMMYFUNCTION("""COMPUTED_VALUE"""),0)</f>
        <v>0</v>
      </c>
      <c r="EA534" s="4"/>
      <c r="EB534" s="4"/>
    </row>
    <row r="535" spans="1:132" x14ac:dyDescent="0.2">
      <c r="A535" s="4">
        <f ca="1">IFERROR(__xludf.DUMMYFUNCTION("""COMPUTED_VALUE"""),535)</f>
        <v>535</v>
      </c>
      <c r="B535" s="4">
        <f ca="1">IFERROR(__xludf.DUMMYFUNCTION("""COMPUTED_VALUE"""),506)</f>
        <v>506</v>
      </c>
      <c r="C535" s="4" t="str">
        <f ca="1">IFERROR(__xludf.DUMMYFUNCTION("""COMPUTED_VALUE"""),"SDATOOL-39384")</f>
        <v>SDATOOL-39384</v>
      </c>
      <c r="D535" s="4" t="str">
        <f ca="1">IFERROR(__xludf.DUMMYFUNCTION("""COMPUTED_VALUE"""),"Abonos a préstamos por canales")</f>
        <v>Abonos a préstamos por canales</v>
      </c>
      <c r="E535" s="4" t="str">
        <f ca="1">IFERROR(__xludf.DUMMYFUNCTION("""COMPUTED_VALUE"""),"Permitir a los clientes realizar abonos a capital de sus obligaciones BBVA a través de canales digitales.")</f>
        <v>Permitir a los clientes realizar abonos a capital de sus obligaciones BBVA a través de canales digitales.</v>
      </c>
      <c r="F535" s="4" t="str">
        <f ca="1">IFERROR(__xludf.DUMMYFUNCTION("""COMPUTED_VALUE"""),"Project")</f>
        <v>Project</v>
      </c>
      <c r="G535" s="4" t="str">
        <f ca="1">IFERROR(__xludf.DUMMYFUNCTION("""COMPUTED_VALUE"""),"Stock")</f>
        <v>Stock</v>
      </c>
      <c r="H535" s="4" t="str">
        <f ca="1">IFERROR(__xludf.DUMMYFUNCTION("""COMPUTED_VALUE"""),"4Q 2023")</f>
        <v>4Q 2023</v>
      </c>
      <c r="I535" s="131" t="str">
        <f ca="1">IFERROR(__xludf.DUMMYFUNCTION("""COMPUTED_VALUE"""),"alirio.bermudez-bbva.com")</f>
        <v>alirio.bermudez-bbva.com</v>
      </c>
      <c r="J535" s="131" t="str">
        <f ca="1">IFERROR(__xludf.DUMMYFUNCTION("""COMPUTED_VALUE"""),"olga.lara-bbva.com")</f>
        <v>olga.lara-bbva.com</v>
      </c>
      <c r="K535" s="131" t="str">
        <f ca="1">IFERROR(__xludf.DUMMYFUNCTION("""COMPUTED_VALUE"""),"monica.zamudio-bbva.com")</f>
        <v>monica.zamudio-bbva.com</v>
      </c>
      <c r="L535" s="130">
        <f ca="1">IFERROR(__xludf.DUMMYFUNCTION("""COMPUTED_VALUE"""),0.25)</f>
        <v>0.25</v>
      </c>
      <c r="M535" s="130">
        <f ca="1">IFERROR(__xludf.DUMMYFUNCTION("""COMPUTED_VALUE"""),2)</f>
        <v>2</v>
      </c>
      <c r="N535" s="130">
        <f ca="1">IFERROR(__xludf.DUMMYFUNCTION("""COMPUTED_VALUE"""),0)</f>
        <v>0</v>
      </c>
      <c r="O535" s="4" t="str">
        <f ca="1">IFERROR(__xludf.DUMMYFUNCTION("""COMPUTED_VALUE"""),"Waterfall")</f>
        <v>Waterfall</v>
      </c>
      <c r="P535" s="4" t="str">
        <f ca="1">IFERROR(__xludf.DUMMYFUNCTION("""COMPUTED_VALUE"""),"Tradicional")</f>
        <v>Tradicional</v>
      </c>
      <c r="Q535" s="4"/>
      <c r="R535" s="130" t="str">
        <f ca="1">IFERROR(__xludf.DUMMYFUNCTION("""COMPUTED_VALUE"""),"Marketing &amp; Digital Sales")</f>
        <v>Marketing &amp; Digital Sales</v>
      </c>
      <c r="S535" s="130" t="str">
        <f ca="1">IFERROR(__xludf.DUMMYFUNCTION("""COMPUTED_VALUE""")," Otros")</f>
        <v xml:space="preserve"> Otros</v>
      </c>
      <c r="T535" s="130" t="str">
        <f ca="1">IFERROR(__xludf.DUMMYFUNCTION("""COMPUTED_VALUE"""),"Normativo")</f>
        <v>Normativo</v>
      </c>
      <c r="U535" s="130" t="str">
        <f ca="1">IFERROR(__xludf.DUMMYFUNCTION("""COMPUTED_VALUE"""),"No Aplica")</f>
        <v>No Aplica</v>
      </c>
      <c r="V535" s="4" t="str">
        <f ca="1">IFERROR(__xludf.DUMMYFUNCTION("""COMPUTED_VALUE"""),"Migración transaccional")</f>
        <v>Migración transaccional</v>
      </c>
      <c r="W535" s="4">
        <f ca="1">IFERROR(__xludf.DUMMYFUNCTION("""COMPUTED_VALUE"""),2)</f>
        <v>2</v>
      </c>
      <c r="X535" s="4" t="str">
        <f ca="1">IFERROR(__xludf.DUMMYFUNCTION("""COMPUTED_VALUE"""),"04. Relationship Models")</f>
        <v>04. Relationship Models</v>
      </c>
      <c r="Y535" s="4" t="str">
        <f ca="1">IFERROR(__xludf.DUMMYFUNCTION("""COMPUTED_VALUE""")," Otros")</f>
        <v xml:space="preserve"> Otros</v>
      </c>
      <c r="Z535" s="132" t="str">
        <f ca="1">IFERROR(__xludf.DUMMYFUNCTION("""COMPUTED_VALUE"""),"489174")</f>
        <v>489174</v>
      </c>
      <c r="AA535" s="4" t="str">
        <f ca="1">IFERROR(__xludf.DUMMYFUNCTION("""COMPUTED_VALUE"""),"Georeferenciación de puntos físicos en página web")</f>
        <v>Georeferenciación de puntos físicos en página web</v>
      </c>
      <c r="AB535" s="4" t="str">
        <f ca="1">IFERROR(__xludf.DUMMYFUNCTION("""COMPUTED_VALUE"""),"Implementar la opción de georeferenciar oficinas, ATMS y CBs desde la página web del banco acorde con la ubicación del ususario.")</f>
        <v>Implementar la opción de georeferenciar oficinas, ATMS y CBs desde la página web del banco acorde con la ubicación del ususario.</v>
      </c>
      <c r="AC535" s="4" t="str">
        <f ca="1">IFERROR(__xludf.DUMMYFUNCTION("""COMPUTED_VALUE"""),"4Q 2022")</f>
        <v>4Q 2022</v>
      </c>
      <c r="AD535" s="4"/>
      <c r="AE535" s="4"/>
      <c r="AF535" s="4"/>
      <c r="AG535" s="4"/>
      <c r="AH535" s="4"/>
      <c r="AI535" s="4"/>
      <c r="AJ535" s="4"/>
      <c r="AK535" s="131" t="str">
        <f ca="1">IFERROR(__xludf.DUMMYFUNCTION("""COMPUTED_VALUE"""),"COLWSCANAL-2225")</f>
        <v>COLWSCANAL-2225</v>
      </c>
      <c r="AL535" s="4" t="str">
        <f ca="1">IFERROR(__xludf.DUMMYFUNCTION("""COMPUTED_VALUE"""),"En progreso")</f>
        <v>En progreso</v>
      </c>
      <c r="AM535" s="4"/>
      <c r="AN535" s="4" t="str">
        <f ca="1">IFERROR(__xludf.DUMMYFUNCTION("""COMPUTED_VALUE"""),"Entregable en desarrollo")</f>
        <v>Entregable en desarrollo</v>
      </c>
      <c r="AO535" s="4"/>
      <c r="AP535" s="4"/>
      <c r="AQ535" s="4"/>
      <c r="AR535" s="4" t="str">
        <f ca="1">IFERROR(__xludf.DUMMYFUNCTION("""COMPUTED_VALUE"""),"SDA aprobada en PPP Q1 2023")</f>
        <v>SDA aprobada en PPP Q1 2023</v>
      </c>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133">
        <f ca="1">IFERROR(__xludf.DUMMYFUNCTION("""COMPUTED_VALUE"""),0)</f>
        <v>0</v>
      </c>
      <c r="DV535" s="133">
        <f ca="1">IFERROR(__xludf.DUMMYFUNCTION("""COMPUTED_VALUE"""),0)</f>
        <v>0</v>
      </c>
      <c r="DW535" s="133">
        <f ca="1">IFERROR(__xludf.DUMMYFUNCTION("""COMPUTED_VALUE"""),42668)</f>
        <v>42668</v>
      </c>
      <c r="DX535" s="133">
        <f ca="1">IFERROR(__xludf.DUMMYFUNCTION("""COMPUTED_VALUE"""),105210530)</f>
        <v>105210530</v>
      </c>
      <c r="DY535" s="133">
        <f ca="1">IFERROR(__xludf.DUMMYFUNCTION("""COMPUTED_VALUE"""),0)</f>
        <v>0</v>
      </c>
      <c r="DZ535" s="133">
        <f ca="1">IFERROR(__xludf.DUMMYFUNCTION("""COMPUTED_VALUE"""),105253198)</f>
        <v>105253198</v>
      </c>
      <c r="EA535" s="4"/>
      <c r="EB535" s="4"/>
    </row>
    <row r="536" spans="1:132" x14ac:dyDescent="0.2">
      <c r="A536" s="4">
        <f ca="1">IFERROR(__xludf.DUMMYFUNCTION("""COMPUTED_VALUE"""),536)</f>
        <v>536</v>
      </c>
      <c r="B536" s="4">
        <f ca="1">IFERROR(__xludf.DUMMYFUNCTION("""COMPUTED_VALUE"""),507)</f>
        <v>507</v>
      </c>
      <c r="C536" s="4" t="str">
        <f ca="1">IFERROR(__xludf.DUMMYFUNCTION("""COMPUTED_VALUE"""),"SDATOOL-39384")</f>
        <v>SDATOOL-39384</v>
      </c>
      <c r="D536" s="4" t="str">
        <f ca="1">IFERROR(__xludf.DUMMYFUNCTION("""COMPUTED_VALUE"""),"Abonos a préstamos por canales")</f>
        <v>Abonos a préstamos por canales</v>
      </c>
      <c r="E536" s="4" t="str">
        <f ca="1">IFERROR(__xludf.DUMMYFUNCTION("""COMPUTED_VALUE"""),"Permitir a los clientes realizar abonos a capital de sus obligaciones BBVA a través de canales digitales.")</f>
        <v>Permitir a los clientes realizar abonos a capital de sus obligaciones BBVA a través de canales digitales.</v>
      </c>
      <c r="F536" s="4" t="str">
        <f ca="1">IFERROR(__xludf.DUMMYFUNCTION("""COMPUTED_VALUE"""),"Project")</f>
        <v>Project</v>
      </c>
      <c r="G536" s="4" t="str">
        <f ca="1">IFERROR(__xludf.DUMMYFUNCTION("""COMPUTED_VALUE"""),"Stock")</f>
        <v>Stock</v>
      </c>
      <c r="H536" s="4" t="str">
        <f ca="1">IFERROR(__xludf.DUMMYFUNCTION("""COMPUTED_VALUE"""),"4Q 2023")</f>
        <v>4Q 2023</v>
      </c>
      <c r="I536" s="131" t="str">
        <f ca="1">IFERROR(__xludf.DUMMYFUNCTION("""COMPUTED_VALUE"""),"alirio.bermudez-bbva.com")</f>
        <v>alirio.bermudez-bbva.com</v>
      </c>
      <c r="J536" s="131" t="str">
        <f ca="1">IFERROR(__xludf.DUMMYFUNCTION("""COMPUTED_VALUE"""),"olga.lara-bbva.com")</f>
        <v>olga.lara-bbva.com</v>
      </c>
      <c r="K536" s="131" t="str">
        <f ca="1">IFERROR(__xludf.DUMMYFUNCTION("""COMPUTED_VALUE"""),"monica.zamudio-bbva.com")</f>
        <v>monica.zamudio-bbva.com</v>
      </c>
      <c r="L536" s="4"/>
      <c r="M536" s="4"/>
      <c r="N536" s="4"/>
      <c r="O536" s="4" t="str">
        <f ca="1">IFERROR(__xludf.DUMMYFUNCTION("""COMPUTED_VALUE"""),"Waterfall")</f>
        <v>Waterfall</v>
      </c>
      <c r="P536" s="4" t="str">
        <f ca="1">IFERROR(__xludf.DUMMYFUNCTION("""COMPUTED_VALUE"""),"Tradicional")</f>
        <v>Tradicional</v>
      </c>
      <c r="Q536" s="4"/>
      <c r="R536" s="130" t="str">
        <f ca="1">IFERROR(__xludf.DUMMYFUNCTION("""COMPUTED_VALUE"""),"Marketing &amp; Digital Sales")</f>
        <v>Marketing &amp; Digital Sales</v>
      </c>
      <c r="S536" s="130" t="str">
        <f ca="1">IFERROR(__xludf.DUMMYFUNCTION("""COMPUTED_VALUE""")," Otros")</f>
        <v xml:space="preserve"> Otros</v>
      </c>
      <c r="T536" s="130" t="str">
        <f ca="1">IFERROR(__xludf.DUMMYFUNCTION("""COMPUTED_VALUE"""),"Normativo")</f>
        <v>Normativo</v>
      </c>
      <c r="U536" s="130" t="str">
        <f ca="1">IFERROR(__xludf.DUMMYFUNCTION("""COMPUTED_VALUE"""),"No Aplica")</f>
        <v>No Aplica</v>
      </c>
      <c r="V536" s="4" t="str">
        <f ca="1">IFERROR(__xludf.DUMMYFUNCTION("""COMPUTED_VALUE"""),"Migración transaccional")</f>
        <v>Migración transaccional</v>
      </c>
      <c r="W536" s="4">
        <f ca="1">IFERROR(__xludf.DUMMYFUNCTION("""COMPUTED_VALUE"""),2)</f>
        <v>2</v>
      </c>
      <c r="X536" s="4" t="str">
        <f ca="1">IFERROR(__xludf.DUMMYFUNCTION("""COMPUTED_VALUE"""),"04. Relationship Models")</f>
        <v>04. Relationship Models</v>
      </c>
      <c r="Y536" s="4" t="str">
        <f ca="1">IFERROR(__xludf.DUMMYFUNCTION("""COMPUTED_VALUE""")," Otros")</f>
        <v xml:space="preserve"> Otros</v>
      </c>
      <c r="Z536" s="132" t="str">
        <f ca="1">IFERROR(__xludf.DUMMYFUNCTION("""COMPUTED_VALUE"""),"489175")</f>
        <v>489175</v>
      </c>
      <c r="AA536" s="4" t="str">
        <f ca="1">IFERROR(__xludf.DUMMYFUNCTION("""COMPUTED_VALUE"""),"Abono a obligaciones BBVA a travès de BBVA net - Consumo")</f>
        <v>Abono a obligaciones BBVA a travès de BBVA net - Consumo</v>
      </c>
      <c r="AB536" s="4" t="str">
        <f ca="1">IFERROR(__xludf.DUMMYFUNCTION("""COMPUTED_VALUE"""),"Implementar opciòn de pago de abono a capital a las obligaciones BBVA a travès de BBVA net")</f>
        <v>Implementar opciòn de pago de abono a capital a las obligaciones BBVA a travès de BBVA net</v>
      </c>
      <c r="AC536" s="4" t="str">
        <f ca="1">IFERROR(__xludf.DUMMYFUNCTION("""COMPUTED_VALUE"""),"1Q 2023")</f>
        <v>1Q 2023</v>
      </c>
      <c r="AD536" s="4"/>
      <c r="AE536" s="4"/>
      <c r="AF536" s="4"/>
      <c r="AG536" s="4"/>
      <c r="AH536" s="4"/>
      <c r="AI536" s="4"/>
      <c r="AJ536" s="4"/>
      <c r="AK536" s="131" t="str">
        <f ca="1">IFERROR(__xludf.DUMMYFUNCTION("""COMPUTED_VALUE"""),"COLWSCANAL-2231")</f>
        <v>COLWSCANAL-2231</v>
      </c>
      <c r="AL536" s="4" t="str">
        <f ca="1">IFERROR(__xludf.DUMMYFUNCTION("""COMPUTED_VALUE"""),"Deployed")</f>
        <v>Deployed</v>
      </c>
      <c r="AM536" s="4"/>
      <c r="AN536" s="4" t="str">
        <f ca="1">IFERROR(__xludf.DUMMYFUNCTION("""COMPUTED_VALUE"""),"Entregable en desarrollo")</f>
        <v>Entregable en desarrollo</v>
      </c>
      <c r="AO536" s="4"/>
      <c r="AP536" s="4"/>
      <c r="AQ536" s="4"/>
      <c r="AR536" s="4" t="str">
        <f ca="1">IFERROR(__xludf.DUMMYFUNCTION("""COMPUTED_VALUE"""),"SDA aprobada en PPP Q1 2023")</f>
        <v>SDA aprobada en PPP Q1 2023</v>
      </c>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row>
    <row r="537" spans="1:132" x14ac:dyDescent="0.2">
      <c r="A537" s="4">
        <f ca="1">IFERROR(__xludf.DUMMYFUNCTION("""COMPUTED_VALUE"""),537)</f>
        <v>537</v>
      </c>
      <c r="B537" s="4">
        <f ca="1">IFERROR(__xludf.DUMMYFUNCTION("""COMPUTED_VALUE"""),508)</f>
        <v>508</v>
      </c>
      <c r="C537" s="4" t="str">
        <f ca="1">IFERROR(__xludf.DUMMYFUNCTION("""COMPUTED_VALUE"""),"SDATOOL-39384")</f>
        <v>SDATOOL-39384</v>
      </c>
      <c r="D537" s="4" t="str">
        <f ca="1">IFERROR(__xludf.DUMMYFUNCTION("""COMPUTED_VALUE"""),"Abonos a préstamos por canales")</f>
        <v>Abonos a préstamos por canales</v>
      </c>
      <c r="E537" s="4" t="str">
        <f ca="1">IFERROR(__xludf.DUMMYFUNCTION("""COMPUTED_VALUE"""),"Permitir a los clientes realizar abonos a capital de sus obligaciones BBVA a través de canales digitales.")</f>
        <v>Permitir a los clientes realizar abonos a capital de sus obligaciones BBVA a través de canales digitales.</v>
      </c>
      <c r="F537" s="4" t="str">
        <f ca="1">IFERROR(__xludf.DUMMYFUNCTION("""COMPUTED_VALUE"""),"Project")</f>
        <v>Project</v>
      </c>
      <c r="G537" s="4" t="str">
        <f ca="1">IFERROR(__xludf.DUMMYFUNCTION("""COMPUTED_VALUE"""),"Stock")</f>
        <v>Stock</v>
      </c>
      <c r="H537" s="4" t="str">
        <f ca="1">IFERROR(__xludf.DUMMYFUNCTION("""COMPUTED_VALUE"""),"4Q 2023")</f>
        <v>4Q 2023</v>
      </c>
      <c r="I537" s="131" t="str">
        <f ca="1">IFERROR(__xludf.DUMMYFUNCTION("""COMPUTED_VALUE"""),"alirio.bermudez-bbva.com")</f>
        <v>alirio.bermudez-bbva.com</v>
      </c>
      <c r="J537" s="131" t="str">
        <f ca="1">IFERROR(__xludf.DUMMYFUNCTION("""COMPUTED_VALUE"""),"olga.lara-bbva.com")</f>
        <v>olga.lara-bbva.com</v>
      </c>
      <c r="K537" s="131" t="str">
        <f ca="1">IFERROR(__xludf.DUMMYFUNCTION("""COMPUTED_VALUE"""),"monica.zamudio-bbva.com")</f>
        <v>monica.zamudio-bbva.com</v>
      </c>
      <c r="L537" s="4"/>
      <c r="M537" s="4"/>
      <c r="N537" s="4"/>
      <c r="O537" s="4" t="str">
        <f ca="1">IFERROR(__xludf.DUMMYFUNCTION("""COMPUTED_VALUE"""),"Waterfall")</f>
        <v>Waterfall</v>
      </c>
      <c r="P537" s="4" t="str">
        <f ca="1">IFERROR(__xludf.DUMMYFUNCTION("""COMPUTED_VALUE"""),"Tradicional")</f>
        <v>Tradicional</v>
      </c>
      <c r="Q537" s="4"/>
      <c r="R537" s="130" t="str">
        <f ca="1">IFERROR(__xludf.DUMMYFUNCTION("""COMPUTED_VALUE"""),"Retail Execution")</f>
        <v>Retail Execution</v>
      </c>
      <c r="S537" s="130" t="str">
        <f ca="1">IFERROR(__xludf.DUMMYFUNCTION("""COMPUTED_VALUE""")," Otros")</f>
        <v xml:space="preserve"> Otros</v>
      </c>
      <c r="T537" s="130" t="str">
        <f ca="1">IFERROR(__xludf.DUMMYFUNCTION("""COMPUTED_VALUE"""),"Normativo")</f>
        <v>Normativo</v>
      </c>
      <c r="U537" s="130" t="str">
        <f ca="1">IFERROR(__xludf.DUMMYFUNCTION("""COMPUTED_VALUE"""),"No Aplica")</f>
        <v>No Aplica</v>
      </c>
      <c r="V537" s="4" t="str">
        <f ca="1">IFERROR(__xludf.DUMMYFUNCTION("""COMPUTED_VALUE"""),"Migración transaccional")</f>
        <v>Migración transaccional</v>
      </c>
      <c r="W537" s="4">
        <f ca="1">IFERROR(__xludf.DUMMYFUNCTION("""COMPUTED_VALUE"""),2)</f>
        <v>2</v>
      </c>
      <c r="X537" s="4" t="str">
        <f ca="1">IFERROR(__xludf.DUMMYFUNCTION("""COMPUTED_VALUE"""),"04. Relationship Models")</f>
        <v>04. Relationship Models</v>
      </c>
      <c r="Y537" s="4" t="str">
        <f ca="1">IFERROR(__xludf.DUMMYFUNCTION("""COMPUTED_VALUE""")," Otros")</f>
        <v xml:space="preserve"> Otros</v>
      </c>
      <c r="Z537" s="132" t="str">
        <f ca="1">IFERROR(__xludf.DUMMYFUNCTION("""COMPUTED_VALUE"""),"558403")</f>
        <v>558403</v>
      </c>
      <c r="AA537" s="4" t="str">
        <f ca="1">IFERROR(__xludf.DUMMYFUNCTION("""COMPUTED_VALUE"""),"Abono a Obligaciones en Bbvanet -Crédito de Vehículo")</f>
        <v>Abono a Obligaciones en Bbvanet -Crédito de Vehículo</v>
      </c>
      <c r="AB537"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37" s="4" t="str">
        <f ca="1">IFERROR(__xludf.DUMMYFUNCTION("""COMPUTED_VALUE"""),"2Q 2023")</f>
        <v>2Q 2023</v>
      </c>
      <c r="AD537" s="4"/>
      <c r="AE537" s="4"/>
      <c r="AF537" s="4"/>
      <c r="AG537" s="4"/>
      <c r="AH537" s="4"/>
      <c r="AI537" s="4"/>
      <c r="AJ537" s="4"/>
      <c r="AK537" s="131" t="str">
        <f ca="1">IFERROR(__xludf.DUMMYFUNCTION("""COMPUTED_VALUE"""),"COLWSCANAL-12931")</f>
        <v>COLWSCANAL-12931</v>
      </c>
      <c r="AL537" s="4" t="str">
        <f ca="1">IFERROR(__xludf.DUMMYFUNCTION("""COMPUTED_VALUE"""),"Test")</f>
        <v>Test</v>
      </c>
      <c r="AM537" s="4"/>
      <c r="AN537" s="4" t="str">
        <f ca="1">IFERROR(__xludf.DUMMYFUNCTION("""COMPUTED_VALUE"""),"Entregable en desarrollo")</f>
        <v>Entregable en desarrollo</v>
      </c>
      <c r="AO537" s="4"/>
      <c r="AP537" s="4"/>
      <c r="AQ537" s="4"/>
      <c r="AR537" s="4" t="str">
        <f ca="1">IFERROR(__xludf.DUMMYFUNCTION("""COMPUTED_VALUE"""),"SDA aprobada en PPP Q1 2023")</f>
        <v>SDA aprobada en PPP Q1 2023</v>
      </c>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row>
    <row r="538" spans="1:132" x14ac:dyDescent="0.2">
      <c r="A538" s="4">
        <f ca="1">IFERROR(__xludf.DUMMYFUNCTION("""COMPUTED_VALUE"""),538)</f>
        <v>538</v>
      </c>
      <c r="B538" s="4">
        <f ca="1">IFERROR(__xludf.DUMMYFUNCTION("""COMPUTED_VALUE"""),509)</f>
        <v>509</v>
      </c>
      <c r="C538" s="4" t="str">
        <f ca="1">IFERROR(__xludf.DUMMYFUNCTION("""COMPUTED_VALUE"""),"SDATOOL-39384")</f>
        <v>SDATOOL-39384</v>
      </c>
      <c r="D538" s="4" t="str">
        <f ca="1">IFERROR(__xludf.DUMMYFUNCTION("""COMPUTED_VALUE"""),"Abonos a préstamos por canales")</f>
        <v>Abonos a préstamos por canales</v>
      </c>
      <c r="E538" s="4" t="str">
        <f ca="1">IFERROR(__xludf.DUMMYFUNCTION("""COMPUTED_VALUE"""),"Permitir a los clientes realizar abonos a capital de sus obligaciones BBVA a través de canales digitales.")</f>
        <v>Permitir a los clientes realizar abonos a capital de sus obligaciones BBVA a través de canales digitales.</v>
      </c>
      <c r="F538" s="4" t="str">
        <f ca="1">IFERROR(__xludf.DUMMYFUNCTION("""COMPUTED_VALUE"""),"Project")</f>
        <v>Project</v>
      </c>
      <c r="G538" s="4" t="str">
        <f ca="1">IFERROR(__xludf.DUMMYFUNCTION("""COMPUTED_VALUE"""),"Stock")</f>
        <v>Stock</v>
      </c>
      <c r="H538" s="4" t="str">
        <f ca="1">IFERROR(__xludf.DUMMYFUNCTION("""COMPUTED_VALUE"""),"4Q 2023")</f>
        <v>4Q 2023</v>
      </c>
      <c r="I538" s="131" t="str">
        <f ca="1">IFERROR(__xludf.DUMMYFUNCTION("""COMPUTED_VALUE"""),"alirio.bermudez-bbva.com")</f>
        <v>alirio.bermudez-bbva.com</v>
      </c>
      <c r="J538" s="131" t="str">
        <f ca="1">IFERROR(__xludf.DUMMYFUNCTION("""COMPUTED_VALUE"""),"olga.lara-bbva.com")</f>
        <v>olga.lara-bbva.com</v>
      </c>
      <c r="K538" s="131" t="str">
        <f ca="1">IFERROR(__xludf.DUMMYFUNCTION("""COMPUTED_VALUE"""),"monica.zamudio-bbva.com")</f>
        <v>monica.zamudio-bbva.com</v>
      </c>
      <c r="L538" s="4"/>
      <c r="M538" s="4"/>
      <c r="N538" s="4"/>
      <c r="O538" s="4" t="str">
        <f ca="1">IFERROR(__xludf.DUMMYFUNCTION("""COMPUTED_VALUE"""),"Waterfall")</f>
        <v>Waterfall</v>
      </c>
      <c r="P538" s="4" t="str">
        <f ca="1">IFERROR(__xludf.DUMMYFUNCTION("""COMPUTED_VALUE"""),"Tradicional")</f>
        <v>Tradicional</v>
      </c>
      <c r="Q538" s="4"/>
      <c r="R538" s="130" t="str">
        <f ca="1">IFERROR(__xludf.DUMMYFUNCTION("""COMPUTED_VALUE"""),"Retail Execution")</f>
        <v>Retail Execution</v>
      </c>
      <c r="S538" s="130" t="str">
        <f ca="1">IFERROR(__xludf.DUMMYFUNCTION("""COMPUTED_VALUE""")," Otros")</f>
        <v xml:space="preserve"> Otros</v>
      </c>
      <c r="T538" s="130" t="str">
        <f ca="1">IFERROR(__xludf.DUMMYFUNCTION("""COMPUTED_VALUE"""),"Normativo")</f>
        <v>Normativo</v>
      </c>
      <c r="U538" s="130" t="str">
        <f ca="1">IFERROR(__xludf.DUMMYFUNCTION("""COMPUTED_VALUE"""),"No Aplica")</f>
        <v>No Aplica</v>
      </c>
      <c r="V538" s="4" t="str">
        <f ca="1">IFERROR(__xludf.DUMMYFUNCTION("""COMPUTED_VALUE"""),"Migración transaccional")</f>
        <v>Migración transaccional</v>
      </c>
      <c r="W538" s="4">
        <f ca="1">IFERROR(__xludf.DUMMYFUNCTION("""COMPUTED_VALUE"""),2)</f>
        <v>2</v>
      </c>
      <c r="X538" s="4" t="str">
        <f ca="1">IFERROR(__xludf.DUMMYFUNCTION("""COMPUTED_VALUE"""),"04. Relationship Models")</f>
        <v>04. Relationship Models</v>
      </c>
      <c r="Y538" s="4" t="str">
        <f ca="1">IFERROR(__xludf.DUMMYFUNCTION("""COMPUTED_VALUE""")," Otros")</f>
        <v xml:space="preserve"> Otros</v>
      </c>
      <c r="Z538" s="132" t="str">
        <f ca="1">IFERROR(__xludf.DUMMYFUNCTION("""COMPUTED_VALUE"""),"558402")</f>
        <v>558402</v>
      </c>
      <c r="AA538" s="4" t="str">
        <f ca="1">IFERROR(__xludf.DUMMYFUNCTION("""COMPUTED_VALUE"""),"Abono a Obligaciones en Bbvanet - Retenciones")</f>
        <v>Abono a Obligaciones en Bbvanet - Retenciones</v>
      </c>
      <c r="AB538" s="4" t="str">
        <f ca="1">IFERROR(__xludf.DUMMYFUNCTION("""COMPUTED_VALUE"""),"Proceso de retención  (Oferta de productos o mejora de condiciones) cuando el cliente va a realizar un Abono a capital o cancelación anticipada de un crédito.")</f>
        <v>Proceso de retención  (Oferta de productos o mejora de condiciones) cuando el cliente va a realizar un Abono a capital o cancelación anticipada de un crédito.</v>
      </c>
      <c r="AC538" s="4" t="str">
        <f ca="1">IFERROR(__xludf.DUMMYFUNCTION("""COMPUTED_VALUE"""),"2Q 2024")</f>
        <v>2Q 2024</v>
      </c>
      <c r="AD538" s="4"/>
      <c r="AE538" s="4"/>
      <c r="AF538" s="4"/>
      <c r="AG538" s="4"/>
      <c r="AH538" s="4"/>
      <c r="AI538" s="4"/>
      <c r="AJ538" s="4"/>
      <c r="AK538" s="131" t="str">
        <f ca="1">IFERROR(__xludf.DUMMYFUNCTION("""COMPUTED_VALUE"""),"COLWSCANAL-5619")</f>
        <v>COLWSCANAL-5619</v>
      </c>
      <c r="AL538" s="4" t="str">
        <f ca="1">IFERROR(__xludf.DUMMYFUNCTION("""COMPUTED_VALUE"""),"New")</f>
        <v>New</v>
      </c>
      <c r="AM538" s="4"/>
      <c r="AN538" s="4" t="str">
        <f ca="1">IFERROR(__xludf.DUMMYFUNCTION("""COMPUTED_VALUE"""),"Entregable en backlog")</f>
        <v>Entregable en backlog</v>
      </c>
      <c r="AO538" s="4"/>
      <c r="AP538" s="4"/>
      <c r="AQ538" s="4"/>
      <c r="AR538" s="4" t="str">
        <f ca="1">IFERROR(__xludf.DUMMYFUNCTION("""COMPUTED_VALUE"""),"SDA aprobada en PPP Q1 2023")</f>
        <v>SDA aprobada en PPP Q1 2023</v>
      </c>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row>
    <row r="539" spans="1:132" x14ac:dyDescent="0.2">
      <c r="A539" s="4">
        <f ca="1">IFERROR(__xludf.DUMMYFUNCTION("""COMPUTED_VALUE"""),539)</f>
        <v>539</v>
      </c>
      <c r="B539" s="4">
        <f ca="1">IFERROR(__xludf.DUMMYFUNCTION("""COMPUTED_VALUE"""),510)</f>
        <v>510</v>
      </c>
      <c r="C539" s="4" t="str">
        <f ca="1">IFERROR(__xludf.DUMMYFUNCTION("""COMPUTED_VALUE"""),"SDATOOL-39384")</f>
        <v>SDATOOL-39384</v>
      </c>
      <c r="D539" s="4" t="str">
        <f ca="1">IFERROR(__xludf.DUMMYFUNCTION("""COMPUTED_VALUE"""),"Abonos a préstamos por canales")</f>
        <v>Abonos a préstamos por canales</v>
      </c>
      <c r="E539" s="4" t="str">
        <f ca="1">IFERROR(__xludf.DUMMYFUNCTION("""COMPUTED_VALUE"""),"Permitir a los clientes realizar abonos a capital de sus obligaciones BBVA a través de canales digitales.")</f>
        <v>Permitir a los clientes realizar abonos a capital de sus obligaciones BBVA a través de canales digitales.</v>
      </c>
      <c r="F539" s="4" t="str">
        <f ca="1">IFERROR(__xludf.DUMMYFUNCTION("""COMPUTED_VALUE"""),"Project")</f>
        <v>Project</v>
      </c>
      <c r="G539" s="4" t="str">
        <f ca="1">IFERROR(__xludf.DUMMYFUNCTION("""COMPUTED_VALUE"""),"Stock")</f>
        <v>Stock</v>
      </c>
      <c r="H539" s="4" t="str">
        <f ca="1">IFERROR(__xludf.DUMMYFUNCTION("""COMPUTED_VALUE"""),"4Q 2023")</f>
        <v>4Q 2023</v>
      </c>
      <c r="I539" s="131" t="str">
        <f ca="1">IFERROR(__xludf.DUMMYFUNCTION("""COMPUTED_VALUE"""),"alirio.bermudez-bbva.com")</f>
        <v>alirio.bermudez-bbva.com</v>
      </c>
      <c r="J539" s="131" t="str">
        <f ca="1">IFERROR(__xludf.DUMMYFUNCTION("""COMPUTED_VALUE"""),"olga.lara-bbva.com")</f>
        <v>olga.lara-bbva.com</v>
      </c>
      <c r="K539" s="131" t="str">
        <f ca="1">IFERROR(__xludf.DUMMYFUNCTION("""COMPUTED_VALUE"""),"monica.zamudio-bbva.com")</f>
        <v>monica.zamudio-bbva.com</v>
      </c>
      <c r="L539" s="4"/>
      <c r="M539" s="4"/>
      <c r="N539" s="4"/>
      <c r="O539" s="4" t="str">
        <f ca="1">IFERROR(__xludf.DUMMYFUNCTION("""COMPUTED_VALUE"""),"Waterfall")</f>
        <v>Waterfall</v>
      </c>
      <c r="P539" s="4" t="str">
        <f ca="1">IFERROR(__xludf.DUMMYFUNCTION("""COMPUTED_VALUE"""),"Tradicional")</f>
        <v>Tradicional</v>
      </c>
      <c r="Q539" s="4"/>
      <c r="R539" s="130" t="str">
        <f ca="1">IFERROR(__xludf.DUMMYFUNCTION("""COMPUTED_VALUE"""),"Retail Execution")</f>
        <v>Retail Execution</v>
      </c>
      <c r="S539" s="130" t="str">
        <f ca="1">IFERROR(__xludf.DUMMYFUNCTION("""COMPUTED_VALUE""")," Otros")</f>
        <v xml:space="preserve"> Otros</v>
      </c>
      <c r="T539" s="130" t="str">
        <f ca="1">IFERROR(__xludf.DUMMYFUNCTION("""COMPUTED_VALUE"""),"Normativo")</f>
        <v>Normativo</v>
      </c>
      <c r="U539" s="130" t="str">
        <f ca="1">IFERROR(__xludf.DUMMYFUNCTION("""COMPUTED_VALUE"""),"No Aplica")</f>
        <v>No Aplica</v>
      </c>
      <c r="V539" s="4" t="str">
        <f ca="1">IFERROR(__xludf.DUMMYFUNCTION("""COMPUTED_VALUE"""),"Migración transaccional")</f>
        <v>Migración transaccional</v>
      </c>
      <c r="W539" s="4">
        <f ca="1">IFERROR(__xludf.DUMMYFUNCTION("""COMPUTED_VALUE"""),2)</f>
        <v>2</v>
      </c>
      <c r="X539" s="4" t="str">
        <f ca="1">IFERROR(__xludf.DUMMYFUNCTION("""COMPUTED_VALUE"""),"04. Relationship Models")</f>
        <v>04. Relationship Models</v>
      </c>
      <c r="Y539" s="4" t="str">
        <f ca="1">IFERROR(__xludf.DUMMYFUNCTION("""COMPUTED_VALUE""")," Otros")</f>
        <v xml:space="preserve"> Otros</v>
      </c>
      <c r="Z539" s="132" t="str">
        <f ca="1">IFERROR(__xludf.DUMMYFUNCTION("""COMPUTED_VALUE"""),"558404")</f>
        <v>558404</v>
      </c>
      <c r="AA539" s="4" t="str">
        <f ca="1">IFERROR(__xludf.DUMMYFUNCTION("""COMPUTED_VALUE"""),"Abono a Obligaciones en Bbvanet -Crédito de Libranza")</f>
        <v>Abono a Obligaciones en Bbvanet -Crédito de Libranza</v>
      </c>
      <c r="AB539"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39" s="4" t="str">
        <f ca="1">IFERROR(__xludf.DUMMYFUNCTION("""COMPUTED_VALUE"""),"4Q 2023")</f>
        <v>4Q 2023</v>
      </c>
      <c r="AD539" s="4"/>
      <c r="AE539" s="4"/>
      <c r="AF539" s="4"/>
      <c r="AG539" s="4"/>
      <c r="AH539" s="4"/>
      <c r="AI539" s="4"/>
      <c r="AJ539" s="4"/>
      <c r="AK539" s="131" t="str">
        <f ca="1">IFERROR(__xludf.DUMMYFUNCTION("""COMPUTED_VALUE"""),"COLWSPREST-11498")</f>
        <v>COLWSPREST-11498</v>
      </c>
      <c r="AL539" s="4" t="str">
        <f ca="1">IFERROR(__xludf.DUMMYFUNCTION("""COMPUTED_VALUE"""),"New")</f>
        <v>New</v>
      </c>
      <c r="AM539" s="4"/>
      <c r="AN539" s="4" t="str">
        <f ca="1">IFERROR(__xludf.DUMMYFUNCTION("""COMPUTED_VALUE"""),"Entregable en backlog")</f>
        <v>Entregable en backlog</v>
      </c>
      <c r="AO539" s="4"/>
      <c r="AP539" s="4"/>
      <c r="AQ539" s="4"/>
      <c r="AR539" s="4" t="str">
        <f ca="1">IFERROR(__xludf.DUMMYFUNCTION("""COMPUTED_VALUE"""),"SDA aprobada en PPP Q1 2023")</f>
        <v>SDA aprobada en PPP Q1 2023</v>
      </c>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row>
    <row r="540" spans="1:132" x14ac:dyDescent="0.2">
      <c r="A540" s="4">
        <f ca="1">IFERROR(__xludf.DUMMYFUNCTION("""COMPUTED_VALUE"""),540)</f>
        <v>540</v>
      </c>
      <c r="B540" s="4">
        <f ca="1">IFERROR(__xludf.DUMMYFUNCTION("""COMPUTED_VALUE"""),511)</f>
        <v>511</v>
      </c>
      <c r="C540" s="4" t="str">
        <f ca="1">IFERROR(__xludf.DUMMYFUNCTION("""COMPUTED_VALUE"""),"SDATOOL-39384")</f>
        <v>SDATOOL-39384</v>
      </c>
      <c r="D540" s="4" t="str">
        <f ca="1">IFERROR(__xludf.DUMMYFUNCTION("""COMPUTED_VALUE"""),"Abonos a préstamos por canales")</f>
        <v>Abonos a préstamos por canales</v>
      </c>
      <c r="E540" s="4" t="str">
        <f ca="1">IFERROR(__xludf.DUMMYFUNCTION("""COMPUTED_VALUE"""),"Permitir a los clientes realizar abonos a capital de sus obligaciones BBVA a través de canales digitales.")</f>
        <v>Permitir a los clientes realizar abonos a capital de sus obligaciones BBVA a través de canales digitales.</v>
      </c>
      <c r="F540" s="4" t="str">
        <f ca="1">IFERROR(__xludf.DUMMYFUNCTION("""COMPUTED_VALUE"""),"Project")</f>
        <v>Project</v>
      </c>
      <c r="G540" s="4" t="str">
        <f ca="1">IFERROR(__xludf.DUMMYFUNCTION("""COMPUTED_VALUE"""),"Stock")</f>
        <v>Stock</v>
      </c>
      <c r="H540" s="4" t="str">
        <f ca="1">IFERROR(__xludf.DUMMYFUNCTION("""COMPUTED_VALUE"""),"4Q 2023")</f>
        <v>4Q 2023</v>
      </c>
      <c r="I540" s="131" t="str">
        <f ca="1">IFERROR(__xludf.DUMMYFUNCTION("""COMPUTED_VALUE"""),"alirio.bermudez-bbva.com")</f>
        <v>alirio.bermudez-bbva.com</v>
      </c>
      <c r="J540" s="131" t="str">
        <f ca="1">IFERROR(__xludf.DUMMYFUNCTION("""COMPUTED_VALUE"""),"olga.lara-bbva.com")</f>
        <v>olga.lara-bbva.com</v>
      </c>
      <c r="K540" s="131" t="str">
        <f ca="1">IFERROR(__xludf.DUMMYFUNCTION("""COMPUTED_VALUE"""),"monica.zamudio-bbva.com")</f>
        <v>monica.zamudio-bbva.com</v>
      </c>
      <c r="L540" s="4"/>
      <c r="M540" s="4"/>
      <c r="N540" s="4"/>
      <c r="O540" s="4" t="str">
        <f ca="1">IFERROR(__xludf.DUMMYFUNCTION("""COMPUTED_VALUE"""),"Waterfall")</f>
        <v>Waterfall</v>
      </c>
      <c r="P540" s="4" t="str">
        <f ca="1">IFERROR(__xludf.DUMMYFUNCTION("""COMPUTED_VALUE"""),"Tradicional")</f>
        <v>Tradicional</v>
      </c>
      <c r="Q540" s="4"/>
      <c r="R540" s="130" t="str">
        <f ca="1">IFERROR(__xludf.DUMMYFUNCTION("""COMPUTED_VALUE"""),"Retail Execution")</f>
        <v>Retail Execution</v>
      </c>
      <c r="S540" s="130" t="str">
        <f ca="1">IFERROR(__xludf.DUMMYFUNCTION("""COMPUTED_VALUE""")," Otros")</f>
        <v xml:space="preserve"> Otros</v>
      </c>
      <c r="T540" s="130" t="str">
        <f ca="1">IFERROR(__xludf.DUMMYFUNCTION("""COMPUTED_VALUE"""),"Normativo")</f>
        <v>Normativo</v>
      </c>
      <c r="U540" s="130" t="str">
        <f ca="1">IFERROR(__xludf.DUMMYFUNCTION("""COMPUTED_VALUE"""),"No Aplica")</f>
        <v>No Aplica</v>
      </c>
      <c r="V540" s="4" t="str">
        <f ca="1">IFERROR(__xludf.DUMMYFUNCTION("""COMPUTED_VALUE"""),"Migración transaccional")</f>
        <v>Migración transaccional</v>
      </c>
      <c r="W540" s="4">
        <f ca="1">IFERROR(__xludf.DUMMYFUNCTION("""COMPUTED_VALUE"""),2)</f>
        <v>2</v>
      </c>
      <c r="X540" s="4" t="str">
        <f ca="1">IFERROR(__xludf.DUMMYFUNCTION("""COMPUTED_VALUE"""),"04. Relationship Models")</f>
        <v>04. Relationship Models</v>
      </c>
      <c r="Y540" s="4" t="str">
        <f ca="1">IFERROR(__xludf.DUMMYFUNCTION("""COMPUTED_VALUE""")," Otros")</f>
        <v xml:space="preserve"> Otros</v>
      </c>
      <c r="Z540" s="132" t="str">
        <f ca="1">IFERROR(__xludf.DUMMYFUNCTION("""COMPUTED_VALUE"""),"558405")</f>
        <v>558405</v>
      </c>
      <c r="AA540" s="4" t="str">
        <f ca="1">IFERROR(__xludf.DUMMYFUNCTION("""COMPUTED_VALUE"""),"Abono a Obligaciones en Bbvanet -Crédito Hipotecario y Leasing Habitacional")</f>
        <v>Abono a Obligaciones en Bbvanet -Crédito Hipotecario y Leasing Habitacional</v>
      </c>
      <c r="AB540"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40" s="4" t="str">
        <f ca="1">IFERROR(__xludf.DUMMYFUNCTION("""COMPUTED_VALUE"""),"1Q 2024")</f>
        <v>1Q 2024</v>
      </c>
      <c r="AD540" s="4"/>
      <c r="AE540" s="4"/>
      <c r="AF540" s="4"/>
      <c r="AG540" s="4"/>
      <c r="AH540" s="4"/>
      <c r="AI540" s="4"/>
      <c r="AJ540" s="4"/>
      <c r="AK540" s="4" t="str">
        <f ca="1">IFERROR(__xludf.DUMMYFUNCTION("""COMPUTED_VALUE"""),"Sin asignar")</f>
        <v>Sin asignar</v>
      </c>
      <c r="AL540" s="4" t="str">
        <f ca="1">IFERROR(__xludf.DUMMYFUNCTION("""COMPUTED_VALUE"""),"Sin asignar")</f>
        <v>Sin asignar</v>
      </c>
      <c r="AM540" s="4"/>
      <c r="AN540" s="4" t="str">
        <f ca="1">IFERROR(__xludf.DUMMYFUNCTION("""COMPUTED_VALUE"""),"Entregable en backlog")</f>
        <v>Entregable en backlog</v>
      </c>
      <c r="AO540" s="4"/>
      <c r="AP540" s="4"/>
      <c r="AQ540" s="4"/>
      <c r="AR540" s="4" t="str">
        <f ca="1">IFERROR(__xludf.DUMMYFUNCTION("""COMPUTED_VALUE"""),"SDA aprobada en PPP Q1 2023")</f>
        <v>SDA aprobada en PPP Q1 2023</v>
      </c>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row>
    <row r="541" spans="1:132" x14ac:dyDescent="0.2">
      <c r="A541" s="4">
        <f ca="1">IFERROR(__xludf.DUMMYFUNCTION("""COMPUTED_VALUE"""),541)</f>
        <v>541</v>
      </c>
      <c r="B541" s="4">
        <f ca="1">IFERROR(__xludf.DUMMYFUNCTION("""COMPUTED_VALUE"""),513)</f>
        <v>513</v>
      </c>
      <c r="C541" s="4" t="str">
        <f ca="1">IFERROR(__xludf.DUMMYFUNCTION("""COMPUTED_VALUE"""),"SDATOOL-37119")</f>
        <v>SDATOOL-37119</v>
      </c>
      <c r="D541" s="4" t="str">
        <f ca="1">IFERROR(__xludf.DUMMYFUNCTION("""COMPUTED_VALUE"""),"Compra Inteligente Vehículo")</f>
        <v>Compra Inteligente Vehículo</v>
      </c>
      <c r="E541" s="4" t="str">
        <f ca="1">IFERROR(__xludf.DUMMYFUNCTION("""COMPUTED_VALUE"""),"Ampliar la oferta de producto, brindando un nuevo sistema de amortización que le permite al cliente tener una cuota mensual mas baja y la oportunidad de renovar su vehículo cada 2 o 3 años.")</f>
        <v>Ampliar la oferta de producto, brindando un nuevo sistema de amortización que le permite al cliente tener una cuota mensual mas baja y la oportunidad de renovar su vehículo cada 2 o 3 años.</v>
      </c>
      <c r="F541" s="4" t="str">
        <f ca="1">IFERROR(__xludf.DUMMYFUNCTION("""COMPUTED_VALUE"""),"Project")</f>
        <v>Project</v>
      </c>
      <c r="G541" s="4" t="str">
        <f ca="1">IFERROR(__xludf.DUMMYFUNCTION("""COMPUTED_VALUE"""),"On hold")</f>
        <v>On hold</v>
      </c>
      <c r="H541" s="4" t="str">
        <f ca="1">IFERROR(__xludf.DUMMYFUNCTION("""COMPUTED_VALUE"""),"2Q 2023")</f>
        <v>2Q 2023</v>
      </c>
      <c r="I541" s="131" t="str">
        <f ca="1">IFERROR(__xludf.DUMMYFUNCTION("""COMPUTED_VALUE"""),"alirio.bermudez-bbva.com")</f>
        <v>alirio.bermudez-bbva.com</v>
      </c>
      <c r="J541" s="131" t="str">
        <f ca="1">IFERROR(__xludf.DUMMYFUNCTION("""COMPUTED_VALUE"""),"olga.lara-bbva.com")</f>
        <v>olga.lara-bbva.com</v>
      </c>
      <c r="K541" s="131" t="str">
        <f ca="1">IFERROR(__xludf.DUMMYFUNCTION("""COMPUTED_VALUE"""),"monica.zamudio-bbva.com")</f>
        <v>monica.zamudio-bbva.com</v>
      </c>
      <c r="L541" s="130">
        <f ca="1">IFERROR(__xludf.DUMMYFUNCTION("""COMPUTED_VALUE"""),0)</f>
        <v>0</v>
      </c>
      <c r="M541" s="130">
        <f ca="1">IFERROR(__xludf.DUMMYFUNCTION("""COMPUTED_VALUE"""),0)</f>
        <v>0</v>
      </c>
      <c r="N541" s="130">
        <f ca="1">IFERROR(__xludf.DUMMYFUNCTION("""COMPUTED_VALUE"""),0)</f>
        <v>0</v>
      </c>
      <c r="O541" s="4" t="str">
        <f ca="1">IFERROR(__xludf.DUMMYFUNCTION("""COMPUTED_VALUE"""),"Waterfall")</f>
        <v>Waterfall</v>
      </c>
      <c r="P541" s="4" t="str">
        <f ca="1">IFERROR(__xludf.DUMMYFUNCTION("""COMPUTED_VALUE"""),"Tradicional")</f>
        <v>Tradicional</v>
      </c>
      <c r="Q541" s="4"/>
      <c r="R541" s="130" t="str">
        <f ca="1">IFERROR(__xludf.DUMMYFUNCTION("""COMPUTED_VALUE"""),"Retail Execution")</f>
        <v>Retail Execution</v>
      </c>
      <c r="S541" s="130" t="str">
        <f ca="1">IFERROR(__xludf.DUMMYFUNCTION("""COMPUTED_VALUE"""),"Strategic Review")</f>
        <v>Strategic Review</v>
      </c>
      <c r="T541" s="130" t="str">
        <f ca="1">IFERROR(__xludf.DUMMYFUNCTION("""COMPUTED_VALUE"""),"1. Generación de Ingresos")</f>
        <v>1. Generación de Ingresos</v>
      </c>
      <c r="U541" s="130" t="str">
        <f ca="1">IFERROR(__xludf.DUMMYFUNCTION("""COMPUTED_VALUE"""),"1.2. Proyectos de Consumo")</f>
        <v>1.2. Proyectos de Consumo</v>
      </c>
      <c r="V541" s="4" t="str">
        <f ca="1">IFERROR(__xludf.DUMMYFUNCTION("""COMPUTED_VALUE"""),"Vehículo")</f>
        <v>Vehículo</v>
      </c>
      <c r="W541" s="4">
        <f ca="1">IFERROR(__xludf.DUMMYFUNCTION("""COMPUTED_VALUE"""),2)</f>
        <v>2</v>
      </c>
      <c r="X541" s="4" t="str">
        <f ca="1">IFERROR(__xludf.DUMMYFUNCTION("""COMPUTED_VALUE"""),"05. Cross-sell")</f>
        <v>05. Cross-sell</v>
      </c>
      <c r="Y541" s="4" t="str">
        <f ca="1">IFERROR(__xludf.DUMMYFUNCTION("""COMPUTED_VALUE"""),"5.7.1 Keep the Bank Running")</f>
        <v>5.7.1 Keep the Bank Running</v>
      </c>
      <c r="Z541" s="132" t="str">
        <f ca="1">IFERROR(__xludf.DUMMYFUNCTION("""COMPUTED_VALUE"""),"310205")</f>
        <v>310205</v>
      </c>
      <c r="AA541" s="4" t="str">
        <f ca="1">IFERROR(__xludf.DUMMYFUNCTION("""COMPUTED_VALUE"""),"Vehículo - Compra Inteligente")</f>
        <v>Vehículo - Compra Inteligente</v>
      </c>
      <c r="AB541" s="4" t="str">
        <f ca="1">IFERROR(__xludf.DUMMYFUNCTION("""COMPUTED_VALUE"""),"Nuevo sistema de amortización que permite pagar al cliente entre el 30% y 40% del vehículo en plazos de 24 ó 36 meses, brindan  un Valor Futuro Mínimo Garantizasdo (VFNG)  y al final el plazo del crédito el cliente puede 1) Renovar el vehículo, 2) Quedars"&amp;"e con el vehïculo ó devolver el auto.  Es todas las opciones el cliente debe cancelar el saldo del crédito.")</f>
        <v>Nuevo sistema de amortización que permite pagar al cliente entre el 30% y 40% del vehículo en plazos de 24 ó 36 meses, brindan  un Valor Futuro Mínimo Garantizasdo (VFNG)  y al final el plazo del crédito el cliente puede 1) Renovar el vehículo, 2) Quedarse con el vehïculo ó devolver el auto.  Es todas las opciones el cliente debe cancelar el saldo del crédito.</v>
      </c>
      <c r="AC541" s="4" t="str">
        <f ca="1">IFERROR(__xludf.DUMMYFUNCTION("""COMPUTED_VALUE"""),"2Q 2023")</f>
        <v>2Q 2023</v>
      </c>
      <c r="AD541" s="128">
        <f ca="1">IFERROR(__xludf.DUMMYFUNCTION("""COMPUTED_VALUE"""),44510)</f>
        <v>44510</v>
      </c>
      <c r="AE541" s="128">
        <f ca="1">IFERROR(__xludf.DUMMYFUNCTION("""COMPUTED_VALUE"""),44636)</f>
        <v>44636</v>
      </c>
      <c r="AF541" s="4"/>
      <c r="AG541" s="4"/>
      <c r="AH541" s="4"/>
      <c r="AI541" s="4"/>
      <c r="AJ541" s="4"/>
      <c r="AK541" s="131" t="str">
        <f ca="1">IFERROR(__xludf.DUMMYFUNCTION("""COMPUTED_VALUE"""),"COLWSPREST-620")</f>
        <v>COLWSPREST-620</v>
      </c>
      <c r="AL541" s="4" t="str">
        <f ca="1">IFERROR(__xludf.DUMMYFUNCTION("""COMPUTED_VALUE"""),"New")</f>
        <v>New</v>
      </c>
      <c r="AM541" s="4" t="str">
        <f ca="1">IFERROR(__xludf.DUMMYFUNCTION("""COMPUTED_VALUE"""),"SIN BUSINESS CASE -
 SE REASIGNÓ CAPACITY")</f>
        <v>SIN BUSINESS CASE -
 SE REASIGNÓ CAPACITY</v>
      </c>
      <c r="AN541" s="4" t="str">
        <f ca="1">IFERROR(__xludf.DUMMYFUNCTION("""COMPUTED_VALUE"""),"Iniciativa detenida")</f>
        <v>Iniciativa detenida</v>
      </c>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133">
        <f ca="1">IFERROR(__xludf.DUMMYFUNCTION("""COMPUTED_VALUE"""),0)</f>
        <v>0</v>
      </c>
      <c r="DV541" s="133">
        <f ca="1">IFERROR(__xludf.DUMMYFUNCTION("""COMPUTED_VALUE"""),0)</f>
        <v>0</v>
      </c>
      <c r="DW541" s="133">
        <f ca="1">IFERROR(__xludf.DUMMYFUNCTION("""COMPUTED_VALUE"""),0)</f>
        <v>0</v>
      </c>
      <c r="DX541" s="133">
        <f ca="1">IFERROR(__xludf.DUMMYFUNCTION("""COMPUTED_VALUE"""),0)</f>
        <v>0</v>
      </c>
      <c r="DY541" s="133">
        <f ca="1">IFERROR(__xludf.DUMMYFUNCTION("""COMPUTED_VALUE"""),0)</f>
        <v>0</v>
      </c>
      <c r="DZ541" s="133">
        <f ca="1">IFERROR(__xludf.DUMMYFUNCTION("""COMPUTED_VALUE"""),0)</f>
        <v>0</v>
      </c>
      <c r="EA541" s="4"/>
      <c r="EB541" s="4"/>
    </row>
    <row r="542" spans="1:132" x14ac:dyDescent="0.2">
      <c r="A542" s="4">
        <f ca="1">IFERROR(__xludf.DUMMYFUNCTION("""COMPUTED_VALUE"""),542)</f>
        <v>542</v>
      </c>
      <c r="B542" s="4">
        <f ca="1">IFERROR(__xludf.DUMMYFUNCTION("""COMPUTED_VALUE"""),514)</f>
        <v>514</v>
      </c>
      <c r="C542" s="4" t="str">
        <f ca="1">IFERROR(__xludf.DUMMYFUNCTION("""COMPUTED_VALUE"""),"SDATOOL-41729")</f>
        <v>SDATOOL-41729</v>
      </c>
      <c r="D542" s="4" t="str">
        <f ca="1">IFERROR(__xludf.DUMMYFUNCTION("""COMPUTED_VALUE"""),"Segunda Libranza - Aplicación pagos y Visto Bueno pagador")</f>
        <v>Segunda Libranza - Aplicación pagos y Visto Bueno pagador</v>
      </c>
      <c r="E542" s="4" t="str">
        <f ca="1">IFERROR(__xludf.DUMMYFUNCTION("""COMPUTED_VALUE"""),"1. Identificar los créditos y aplicar los pagos a los créditos de libranzas teniendo en cuenta las reglas establecidas cuando una persona tiene más de un crédito de libranzas con el mismo convenio,  (pueden ser 2, 3 ,4 etc libranzas) y cuando existen créd"&amp;"itos residuales.
2. Para el Vo.Bo pagador se requiere creación de consulta para visualizad detalle de la cuota y plazo de los créditos de un mismo cliente.")</f>
        <v>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v>
      </c>
      <c r="F542" s="4" t="str">
        <f ca="1">IFERROR(__xludf.DUMMYFUNCTION("""COMPUTED_VALUE"""),"Project")</f>
        <v>Project</v>
      </c>
      <c r="G542" s="4" t="str">
        <f ca="1">IFERROR(__xludf.DUMMYFUNCTION("""COMPUTED_VALUE"""),"Stock")</f>
        <v>Stock</v>
      </c>
      <c r="H542" s="4" t="str">
        <f ca="1">IFERROR(__xludf.DUMMYFUNCTION("""COMPUTED_VALUE"""),"4Q 2023")</f>
        <v>4Q 2023</v>
      </c>
      <c r="I542" s="131" t="str">
        <f ca="1">IFERROR(__xludf.DUMMYFUNCTION("""COMPUTED_VALUE"""),"alirio.bermudez-bbva.com")</f>
        <v>alirio.bermudez-bbva.com</v>
      </c>
      <c r="J542" s="131" t="str">
        <f ca="1">IFERROR(__xludf.DUMMYFUNCTION("""COMPUTED_VALUE"""),"olga.lara-bbva.com")</f>
        <v>olga.lara-bbva.com</v>
      </c>
      <c r="K542" s="131" t="str">
        <f ca="1">IFERROR(__xludf.DUMMYFUNCTION("""COMPUTED_VALUE"""),"rociomarcela.lopez-bbva.com")</f>
        <v>rociomarcela.lopez-bbva.com</v>
      </c>
      <c r="L542" s="130">
        <f ca="1">IFERROR(__xludf.DUMMYFUNCTION("""COMPUTED_VALUE"""),0.5)</f>
        <v>0.5</v>
      </c>
      <c r="M542" s="130">
        <f ca="1">IFERROR(__xludf.DUMMYFUNCTION("""COMPUTED_VALUE"""),0.9)</f>
        <v>0.9</v>
      </c>
      <c r="N542" s="130">
        <f ca="1">IFERROR(__xludf.DUMMYFUNCTION("""COMPUTED_VALUE"""),0)</f>
        <v>0</v>
      </c>
      <c r="O542" s="4" t="str">
        <f ca="1">IFERROR(__xludf.DUMMYFUNCTION("""COMPUTED_VALUE"""),"Waterfall")</f>
        <v>Waterfall</v>
      </c>
      <c r="P542" s="4" t="str">
        <f ca="1">IFERROR(__xludf.DUMMYFUNCTION("""COMPUTED_VALUE"""),"Tradicional")</f>
        <v>Tradicional</v>
      </c>
      <c r="Q542" s="4"/>
      <c r="R542" s="130" t="str">
        <f ca="1">IFERROR(__xludf.DUMMYFUNCTION("""COMPUTED_VALUE"""),"Retail Execution")</f>
        <v>Retail Execution</v>
      </c>
      <c r="S542" s="130" t="str">
        <f ca="1">IFERROR(__xludf.DUMMYFUNCTION("""COMPUTED_VALUE""")," Otros")</f>
        <v xml:space="preserve"> Otros</v>
      </c>
      <c r="T542" s="130" t="str">
        <f ca="1">IFERROR(__xludf.DUMMYFUNCTION("""COMPUTED_VALUE"""),"1. Generación de Ingresos")</f>
        <v>1. Generación de Ingresos</v>
      </c>
      <c r="U542" s="130" t="str">
        <f ca="1">IFERROR(__xludf.DUMMYFUNCTION("""COMPUTED_VALUE"""),"1.2. Proyectos de Consumo")</f>
        <v>1.2. Proyectos de Consumo</v>
      </c>
      <c r="V542" s="4" t="str">
        <f ca="1">IFERROR(__xludf.DUMMYFUNCTION("""COMPUTED_VALUE"""),"Libranza")</f>
        <v>Libranza</v>
      </c>
      <c r="W542" s="4">
        <f ca="1">IFERROR(__xludf.DUMMYFUNCTION("""COMPUTED_VALUE"""),2)</f>
        <v>2</v>
      </c>
      <c r="X542" s="4" t="str">
        <f ca="1">IFERROR(__xludf.DUMMYFUNCTION("""COMPUTED_VALUE"""),"05. Cross-sell")</f>
        <v>05. Cross-sell</v>
      </c>
      <c r="Y542" s="4" t="str">
        <f ca="1">IFERROR(__xludf.DUMMYFUNCTION("""COMPUTED_VALUE""")," Otros")</f>
        <v xml:space="preserve"> Otros</v>
      </c>
      <c r="Z542" s="132" t="str">
        <f ca="1">IFERROR(__xludf.DUMMYFUNCTION("""COMPUTED_VALUE"""),"626174")</f>
        <v>626174</v>
      </c>
      <c r="AA542" s="4" t="str">
        <f ca="1">IFERROR(__xludf.DUMMYFUNCTION("""COMPUTED_VALUE"""),"Aplicación de Pagos Segunda Libranza")</f>
        <v>Aplicación de Pagos Segunda Libranza</v>
      </c>
      <c r="AB542" s="4" t="str">
        <f ca="1">IFERROR(__xludf.DUMMYFUNCTION("""COMPUTED_VALUE"""),"Identificar los créditos y aplicar los pagos a los créditos de libranzas teniendo en cuenta las reglas establecidas cuando una persona tiene más de un crédito de libranzas con el mismo convenio,  (pueden ser 2, 3 ,4 etc libranzas) y cuando existen crédito"&amp;"s residuales.")</f>
        <v>Identificar los créditos y aplicar los pagos a los créditos de libranzas teniendo en cuenta las reglas establecidas cuando una persona tiene más de un crédito de libranzas con el mismo convenio,  (pueden ser 2, 3 ,4 etc libranzas) y cuando existen créditos residuales.</v>
      </c>
      <c r="AC542" s="4" t="str">
        <f ca="1">IFERROR(__xludf.DUMMYFUNCTION("""COMPUTED_VALUE"""),"4Q 2023")</f>
        <v>4Q 2023</v>
      </c>
      <c r="AD542" s="4"/>
      <c r="AE542" s="4"/>
      <c r="AF542" s="4"/>
      <c r="AG542" s="4"/>
      <c r="AH542" s="4"/>
      <c r="AI542" s="4"/>
      <c r="AJ542" s="4"/>
      <c r="AK542" s="131" t="str">
        <f ca="1">IFERROR(__xludf.DUMMYFUNCTION("""COMPUTED_VALUE"""),"COLWSPREST-11665")</f>
        <v>COLWSPREST-11665</v>
      </c>
      <c r="AL542" s="4" t="str">
        <f ca="1">IFERROR(__xludf.DUMMYFUNCTION("""COMPUTED_VALUE"""),"New")</f>
        <v>New</v>
      </c>
      <c r="AM542" s="4" t="str">
        <f ca="1">IFERROR(__xludf.DUMMYFUNCTION("""COMPUTED_VALUE"""),"SIN BUSINESS CASE -
 SE REASIGNÓ CAPACITY")</f>
        <v>SIN BUSINESS CASE -
 SE REASIGNÓ CAPACITY</v>
      </c>
      <c r="AN542" s="4" t="str">
        <f ca="1">IFERROR(__xludf.DUMMYFUNCTION("""COMPUTED_VALUE"""),"Iniciativa en Discovery")</f>
        <v>Iniciativa en Discovery</v>
      </c>
      <c r="AO542" s="4" t="str">
        <f ca="1">IFERROR(__xludf.DUMMYFUNCTION("""COMPUTED_VALUE"""),"Consumo partnerships")</f>
        <v>Consumo partnerships</v>
      </c>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133">
        <f ca="1">IFERROR(__xludf.DUMMYFUNCTION("""COMPUTED_VALUE"""),0)</f>
        <v>0</v>
      </c>
      <c r="DV542" s="133">
        <f ca="1">IFERROR(__xludf.DUMMYFUNCTION("""COMPUTED_VALUE"""),0)</f>
        <v>0</v>
      </c>
      <c r="DW542" s="133">
        <f ca="1">IFERROR(__xludf.DUMMYFUNCTION("""COMPUTED_VALUE"""),0)</f>
        <v>0</v>
      </c>
      <c r="DX542" s="133">
        <f ca="1">IFERROR(__xludf.DUMMYFUNCTION("""COMPUTED_VALUE"""),332000000)</f>
        <v>332000000</v>
      </c>
      <c r="DY542" s="133">
        <f ca="1">IFERROR(__xludf.DUMMYFUNCTION("""COMPUTED_VALUE"""),0)</f>
        <v>0</v>
      </c>
      <c r="DZ542" s="133">
        <f ca="1">IFERROR(__xludf.DUMMYFUNCTION("""COMPUTED_VALUE"""),332000000)</f>
        <v>332000000</v>
      </c>
      <c r="EA542" s="4"/>
      <c r="EB542" s="4"/>
    </row>
    <row r="543" spans="1:132" x14ac:dyDescent="0.2">
      <c r="A543" s="4">
        <f ca="1">IFERROR(__xludf.DUMMYFUNCTION("""COMPUTED_VALUE"""),543)</f>
        <v>543</v>
      </c>
      <c r="B543" s="4">
        <f ca="1">IFERROR(__xludf.DUMMYFUNCTION("""COMPUTED_VALUE"""),515)</f>
        <v>515</v>
      </c>
      <c r="C543" s="4" t="str">
        <f ca="1">IFERROR(__xludf.DUMMYFUNCTION("""COMPUTED_VALUE"""),"SDATOOL-41729")</f>
        <v>SDATOOL-41729</v>
      </c>
      <c r="D543" s="4" t="str">
        <f ca="1">IFERROR(__xludf.DUMMYFUNCTION("""COMPUTED_VALUE"""),"Segunda Libranza - Aplicación pagos y Visto Bueno pagador")</f>
        <v>Segunda Libranza - Aplicación pagos y Visto Bueno pagador</v>
      </c>
      <c r="E543" s="4" t="str">
        <f ca="1">IFERROR(__xludf.DUMMYFUNCTION("""COMPUTED_VALUE"""),"1. Identificar los créditos y aplicar los pagos a los créditos de libranzas teniendo en cuenta las reglas establecidas cuando una persona tiene más de un crédito de libranzas con el mismo convenio,  (pueden ser 2, 3 ,4 etc libranzas) y cuando existen créd"&amp;"itos residuales.
2. Para el Vo.Bo pagador se requiere creación de consulta para visualizad detalle de la cuota y plazo de los créditos de un mismo cliente.")</f>
        <v>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v>
      </c>
      <c r="F543" s="4" t="str">
        <f ca="1">IFERROR(__xludf.DUMMYFUNCTION("""COMPUTED_VALUE"""),"Project")</f>
        <v>Project</v>
      </c>
      <c r="G543" s="4" t="str">
        <f ca="1">IFERROR(__xludf.DUMMYFUNCTION("""COMPUTED_VALUE"""),"Stock")</f>
        <v>Stock</v>
      </c>
      <c r="H543" s="4" t="str">
        <f ca="1">IFERROR(__xludf.DUMMYFUNCTION("""COMPUTED_VALUE"""),"4Q 2023")</f>
        <v>4Q 2023</v>
      </c>
      <c r="I543" s="131" t="str">
        <f ca="1">IFERROR(__xludf.DUMMYFUNCTION("""COMPUTED_VALUE"""),"alirio.bermudez-bbva.com")</f>
        <v>alirio.bermudez-bbva.com</v>
      </c>
      <c r="J543" s="131" t="str">
        <f ca="1">IFERROR(__xludf.DUMMYFUNCTION("""COMPUTED_VALUE"""),"olga.lara-bbva.com")</f>
        <v>olga.lara-bbva.com</v>
      </c>
      <c r="K543" s="131" t="str">
        <f ca="1">IFERROR(__xludf.DUMMYFUNCTION("""COMPUTED_VALUE"""),"rociomarcela.lopez-bbva.com")</f>
        <v>rociomarcela.lopez-bbva.com</v>
      </c>
      <c r="L543" s="4"/>
      <c r="M543" s="4"/>
      <c r="N543" s="4"/>
      <c r="O543" s="4" t="str">
        <f ca="1">IFERROR(__xludf.DUMMYFUNCTION("""COMPUTED_VALUE"""),"Waterfall")</f>
        <v>Waterfall</v>
      </c>
      <c r="P543" s="4" t="str">
        <f ca="1">IFERROR(__xludf.DUMMYFUNCTION("""COMPUTED_VALUE"""),"Tradicional")</f>
        <v>Tradicional</v>
      </c>
      <c r="Q543" s="4"/>
      <c r="R543" s="130" t="str">
        <f ca="1">IFERROR(__xludf.DUMMYFUNCTION("""COMPUTED_VALUE"""),"Retail Execution")</f>
        <v>Retail Execution</v>
      </c>
      <c r="S543" s="130" t="str">
        <f ca="1">IFERROR(__xludf.DUMMYFUNCTION("""COMPUTED_VALUE""")," Otros")</f>
        <v xml:space="preserve"> Otros</v>
      </c>
      <c r="T543" s="130" t="str">
        <f ca="1">IFERROR(__xludf.DUMMYFUNCTION("""COMPUTED_VALUE"""),"1. Generación de Ingresos")</f>
        <v>1. Generación de Ingresos</v>
      </c>
      <c r="U543" s="130" t="str">
        <f ca="1">IFERROR(__xludf.DUMMYFUNCTION("""COMPUTED_VALUE"""),"1.2. Proyectos de Consumo")</f>
        <v>1.2. Proyectos de Consumo</v>
      </c>
      <c r="V543" s="4" t="str">
        <f ca="1">IFERROR(__xludf.DUMMYFUNCTION("""COMPUTED_VALUE"""),"Libranza")</f>
        <v>Libranza</v>
      </c>
      <c r="W543" s="4">
        <f ca="1">IFERROR(__xludf.DUMMYFUNCTION("""COMPUTED_VALUE"""),2)</f>
        <v>2</v>
      </c>
      <c r="X543" s="4" t="str">
        <f ca="1">IFERROR(__xludf.DUMMYFUNCTION("""COMPUTED_VALUE"""),"05. Cross-sell")</f>
        <v>05. Cross-sell</v>
      </c>
      <c r="Y543" s="4" t="str">
        <f ca="1">IFERROR(__xludf.DUMMYFUNCTION("""COMPUTED_VALUE""")," Otros")</f>
        <v xml:space="preserve"> Otros</v>
      </c>
      <c r="Z543" s="132" t="str">
        <f ca="1">IFERROR(__xludf.DUMMYFUNCTION("""COMPUTED_VALUE"""),"710462")</f>
        <v>710462</v>
      </c>
      <c r="AA543" s="4" t="str">
        <f ca="1">IFERROR(__xludf.DUMMYFUNCTION("""COMPUTED_VALUE"""),"Consulta Vo. Bo. Pagador - Segunda Libranza")</f>
        <v>Consulta Vo. Bo. Pagador - Segunda Libranza</v>
      </c>
      <c r="AB543" s="4" t="str">
        <f ca="1">IFERROR(__xludf.DUMMYFUNCTION("""COMPUTED_VALUE"""),"Crear una consulta en 3270 en la cual se pueda visualizar por cliente,  el detalle de las operaciones de libranzas que tenga en  todos los convenios consecutivos y empresas con estado Activo (0) y Aprobado no desembolsado (8).")</f>
        <v>Crear una consulta en 3270 en la cual se pueda visualizar por cliente,  el detalle de las operaciones de libranzas que tenga en  todos los convenios consecutivos y empresas con estado Activo (0) y Aprobado no desembolsado (8).</v>
      </c>
      <c r="AC543" s="4" t="str">
        <f ca="1">IFERROR(__xludf.DUMMYFUNCTION("""COMPUTED_VALUE"""),"4Q 2023")</f>
        <v>4Q 2023</v>
      </c>
      <c r="AD543" s="4"/>
      <c r="AE543" s="4"/>
      <c r="AF543" s="4"/>
      <c r="AG543" s="4"/>
      <c r="AH543" s="4"/>
      <c r="AI543" s="4"/>
      <c r="AJ543" s="4"/>
      <c r="AK543" s="131" t="str">
        <f ca="1">IFERROR(__xludf.DUMMYFUNCTION("""COMPUTED_VALUE"""),"COLWSPREST-9364")</f>
        <v>COLWSPREST-9364</v>
      </c>
      <c r="AL543" s="4" t="str">
        <f ca="1">IFERROR(__xludf.DUMMYFUNCTION("""COMPUTED_VALUE"""),"En progreso")</f>
        <v>En progreso</v>
      </c>
      <c r="AM543" s="4" t="str">
        <f ca="1">IFERROR(__xludf.DUMMYFUNCTION("""COMPUTED_VALUE"""),"SIN BUSINESS CASE -
 SE REASIGNÓ CAPACITY")</f>
        <v>SIN BUSINESS CASE -
 SE REASIGNÓ CAPACITY</v>
      </c>
      <c r="AN543" s="4" t="str">
        <f ca="1">IFERROR(__xludf.DUMMYFUNCTION("""COMPUTED_VALUE"""),"Iniciativa en Discovery")</f>
        <v>Iniciativa en Discovery</v>
      </c>
      <c r="AO543" s="4" t="str">
        <f ca="1">IFERROR(__xludf.DUMMYFUNCTION("""COMPUTED_VALUE"""),"Consumo partnerships")</f>
        <v>Consumo partnerships</v>
      </c>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row>
    <row r="544" spans="1:132" x14ac:dyDescent="0.2">
      <c r="A544" s="4">
        <f ca="1">IFERROR(__xludf.DUMMYFUNCTION("""COMPUTED_VALUE"""),544)</f>
        <v>544</v>
      </c>
      <c r="B544" s="4">
        <f ca="1">IFERROR(__xludf.DUMMYFUNCTION("""COMPUTED_VALUE"""),516)</f>
        <v>516</v>
      </c>
      <c r="C544" s="4" t="str">
        <f ca="1">IFERROR(__xludf.DUMMYFUNCTION("""COMPUTED_VALUE"""),"SDATOOL-41730")</f>
        <v>SDATOOL-41730</v>
      </c>
      <c r="D544" s="4" t="str">
        <f ca="1">IFERROR(__xludf.DUMMYFUNCTION("""COMPUTED_VALUE"""),"SEGUNDA LIBRANZA - GENERACION REPORTES DE LIBRANZA")</f>
        <v>SEGUNDA LIBRANZA - GENERACION REPORTES DE LIBRANZA</v>
      </c>
      <c r="E544" s="4" t="str">
        <f ca="1">IFERROR(__xludf.DUMMYFUNCTION("""COMPUTED_VALUE"""),"Realizar y enviar el reporte para activación de descuentos a las empresas con el formato definido por la empresa  incluyendo la cuota unificada para la segunda libranza")</f>
        <v>Realizar y enviar el reporte para activación de descuentos a las empresas con el formato definido por la empresa  incluyendo la cuota unificada para la segunda libranza</v>
      </c>
      <c r="F544" s="4" t="str">
        <f ca="1">IFERROR(__xludf.DUMMYFUNCTION("""COMPUTED_VALUE"""),"Initiative")</f>
        <v>Initiative</v>
      </c>
      <c r="G544" s="4" t="str">
        <f ca="1">IFERROR(__xludf.DUMMYFUNCTION("""COMPUTED_VALUE"""),"On hold")</f>
        <v>On hold</v>
      </c>
      <c r="H544" s="4" t="str">
        <f ca="1">IFERROR(__xludf.DUMMYFUNCTION("""COMPUTED_VALUE"""),"4Q 2023")</f>
        <v>4Q 2023</v>
      </c>
      <c r="I544" s="131" t="str">
        <f ca="1">IFERROR(__xludf.DUMMYFUNCTION("""COMPUTED_VALUE"""),"alirio.bermudez-bbva.com")</f>
        <v>alirio.bermudez-bbva.com</v>
      </c>
      <c r="J544" s="131" t="str">
        <f ca="1">IFERROR(__xludf.DUMMYFUNCTION("""COMPUTED_VALUE"""),"olga.lara-bbva.com")</f>
        <v>olga.lara-bbva.com</v>
      </c>
      <c r="K544" s="131" t="str">
        <f ca="1">IFERROR(__xludf.DUMMYFUNCTION("""COMPUTED_VALUE"""),"rociomarcela.lopez-bbva.com")</f>
        <v>rociomarcela.lopez-bbva.com</v>
      </c>
      <c r="L544" s="130">
        <f ca="1">IFERROR(__xludf.DUMMYFUNCTION("""COMPUTED_VALUE"""),0)</f>
        <v>0</v>
      </c>
      <c r="M544" s="130">
        <f ca="1">IFERROR(__xludf.DUMMYFUNCTION("""COMPUTED_VALUE"""),0)</f>
        <v>0</v>
      </c>
      <c r="N544" s="130">
        <f ca="1">IFERROR(__xludf.DUMMYFUNCTION("""COMPUTED_VALUE"""),0)</f>
        <v>0</v>
      </c>
      <c r="O544" s="4" t="str">
        <f ca="1">IFERROR(__xludf.DUMMYFUNCTION("""COMPUTED_VALUE"""),"Waterfall")</f>
        <v>Waterfall</v>
      </c>
      <c r="P544" s="4" t="str">
        <f ca="1">IFERROR(__xludf.DUMMYFUNCTION("""COMPUTED_VALUE"""),"Tradicional")</f>
        <v>Tradicional</v>
      </c>
      <c r="Q544" s="4"/>
      <c r="R544" s="130" t="str">
        <f ca="1">IFERROR(__xludf.DUMMYFUNCTION("""COMPUTED_VALUE"""),"Retail Execution")</f>
        <v>Retail Execution</v>
      </c>
      <c r="S544" s="130" t="str">
        <f ca="1">IFERROR(__xludf.DUMMYFUNCTION("""COMPUTED_VALUE""")," Otros")</f>
        <v xml:space="preserve"> Otros</v>
      </c>
      <c r="T544" s="130" t="str">
        <f ca="1">IFERROR(__xludf.DUMMYFUNCTION("""COMPUTED_VALUE"""),"1. Generación de Ingresos")</f>
        <v>1. Generación de Ingresos</v>
      </c>
      <c r="U544" s="130" t="str">
        <f ca="1">IFERROR(__xludf.DUMMYFUNCTION("""COMPUTED_VALUE"""),"1.2. Proyectos de Consumo")</f>
        <v>1.2. Proyectos de Consumo</v>
      </c>
      <c r="V544" s="4" t="str">
        <f ca="1">IFERROR(__xludf.DUMMYFUNCTION("""COMPUTED_VALUE"""),"Libranza")</f>
        <v>Libranza</v>
      </c>
      <c r="W544" s="4">
        <f ca="1">IFERROR(__xludf.DUMMYFUNCTION("""COMPUTED_VALUE"""),2)</f>
        <v>2</v>
      </c>
      <c r="X544" s="4" t="str">
        <f ca="1">IFERROR(__xludf.DUMMYFUNCTION("""COMPUTED_VALUE"""),"05. Cross-sell")</f>
        <v>05. Cross-sell</v>
      </c>
      <c r="Y544" s="4" t="str">
        <f ca="1">IFERROR(__xludf.DUMMYFUNCTION("""COMPUTED_VALUE""")," Otros")</f>
        <v xml:space="preserve"> Otros</v>
      </c>
      <c r="Z544" s="132" t="str">
        <f ca="1">IFERROR(__xludf.DUMMYFUNCTION("""COMPUTED_VALUE"""),"710665")</f>
        <v>710665</v>
      </c>
      <c r="AA544" s="4" t="str">
        <f ca="1">IFERROR(__xludf.DUMMYFUNCTION("""COMPUTED_VALUE"""),"Iniciativa priorizada para el Q2 2023 en proceso de Discovery")</f>
        <v>Iniciativa priorizada para el Q2 2023 en proceso de Discovery</v>
      </c>
      <c r="AB544" s="4" t="str">
        <f ca="1">IFERROR(__xludf.DUMMYFUNCTION("""COMPUTED_VALUE"""),"""Discovery Q1 2023
Conceptualización Q2 2023
Inicio de desarrollos Q3 2023""")</f>
        <v>"Discovery Q1 2023
Conceptualización Q2 2023
Inicio de desarrollos Q3 2023"</v>
      </c>
      <c r="AC544" s="4" t="str">
        <f ca="1">IFERROR(__xludf.DUMMYFUNCTION("""COMPUTED_VALUE"""),"4Q 2023")</f>
        <v>4Q 2023</v>
      </c>
      <c r="AD544" s="4"/>
      <c r="AE544" s="4"/>
      <c r="AF544" s="4"/>
      <c r="AG544" s="4"/>
      <c r="AH544" s="4"/>
      <c r="AI544" s="4"/>
      <c r="AJ544" s="4"/>
      <c r="AK544" s="4" t="str">
        <f ca="1">IFERROR(__xludf.DUMMYFUNCTION("""COMPUTED_VALUE"""),"Sin asignar")</f>
        <v>Sin asignar</v>
      </c>
      <c r="AL544" s="4" t="str">
        <f ca="1">IFERROR(__xludf.DUMMYFUNCTION("""COMPUTED_VALUE"""),"Sin asignar")</f>
        <v>Sin asignar</v>
      </c>
      <c r="AM544" s="4" t="str">
        <f ca="1">IFERROR(__xludf.DUMMYFUNCTION("""COMPUTED_VALUE"""),"SIN BUSINESS CASE -
 SE REASIGNÓ CAPACITY")</f>
        <v>SIN BUSINESS CASE -
 SE REASIGNÓ CAPACITY</v>
      </c>
      <c r="AN544" s="4" t="str">
        <f ca="1">IFERROR(__xludf.DUMMYFUNCTION("""COMPUTED_VALUE"""),"Iniciativa detenida")</f>
        <v>Iniciativa detenida</v>
      </c>
      <c r="AO544" s="4" t="str">
        <f ca="1">IFERROR(__xludf.DUMMYFUNCTION("""COMPUTED_VALUE"""),"Consumo partnerships")</f>
        <v>Consumo partnerships</v>
      </c>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133">
        <f ca="1">IFERROR(__xludf.DUMMYFUNCTION("""COMPUTED_VALUE"""),0)</f>
        <v>0</v>
      </c>
      <c r="DV544" s="133">
        <f ca="1">IFERROR(__xludf.DUMMYFUNCTION("""COMPUTED_VALUE"""),0)</f>
        <v>0</v>
      </c>
      <c r="DW544" s="133">
        <f ca="1">IFERROR(__xludf.DUMMYFUNCTION("""COMPUTED_VALUE"""),0)</f>
        <v>0</v>
      </c>
      <c r="DX544" s="133">
        <f ca="1">IFERROR(__xludf.DUMMYFUNCTION("""COMPUTED_VALUE"""),0)</f>
        <v>0</v>
      </c>
      <c r="DY544" s="133">
        <f ca="1">IFERROR(__xludf.DUMMYFUNCTION("""COMPUTED_VALUE"""),0)</f>
        <v>0</v>
      </c>
      <c r="DZ544" s="133">
        <f ca="1">IFERROR(__xludf.DUMMYFUNCTION("""COMPUTED_VALUE"""),0)</f>
        <v>0</v>
      </c>
      <c r="EA544" s="4"/>
      <c r="EB544" s="4"/>
    </row>
    <row r="545" spans="1:132" x14ac:dyDescent="0.2">
      <c r="A545" s="4">
        <f ca="1">IFERROR(__xludf.DUMMYFUNCTION("""COMPUTED_VALUE"""),545)</f>
        <v>545</v>
      </c>
      <c r="B545" s="4">
        <f ca="1">IFERROR(__xludf.DUMMYFUNCTION("""COMPUTED_VALUE"""),517)</f>
        <v>517</v>
      </c>
      <c r="C545" s="4" t="str">
        <f ca="1">IFERROR(__xludf.DUMMYFUNCTION("""COMPUTED_VALUE"""),"SDATOOL-41748")</f>
        <v>SDATOOL-41748</v>
      </c>
      <c r="D545" s="4" t="str">
        <f ca="1">IFERROR(__xludf.DUMMYFUNCTION("""COMPUTED_VALUE"""),"Cuota Fija - Tasa Variable para créditos  de Consumo y Vehículo")</f>
        <v>Cuota Fija - Tasa Variable para créditos  de Consumo y Vehículo</v>
      </c>
      <c r="E545" s="4" t="str">
        <f ca="1">IFERROR(__xludf.DUMMYFUNCTION("""COMPUTED_VALUE"""),"Crear la opción de Tasa Variable para el producto Vehículo, libranza y consumo.")</f>
        <v>Crear la opción de Tasa Variable para el producto Vehículo, libranza y consumo.</v>
      </c>
      <c r="F545" s="4" t="str">
        <f ca="1">IFERROR(__xludf.DUMMYFUNCTION("""COMPUTED_VALUE"""),"Project")</f>
        <v>Project</v>
      </c>
      <c r="G545" s="4" t="str">
        <f ca="1">IFERROR(__xludf.DUMMYFUNCTION("""COMPUTED_VALUE"""),"On hold")</f>
        <v>On hold</v>
      </c>
      <c r="H545" s="4" t="str">
        <f ca="1">IFERROR(__xludf.DUMMYFUNCTION("""COMPUTED_VALUE"""),"3Q 2023")</f>
        <v>3Q 2023</v>
      </c>
      <c r="I545" s="131" t="str">
        <f ca="1">IFERROR(__xludf.DUMMYFUNCTION("""COMPUTED_VALUE"""),"alirio.bermudez-bbva.com")</f>
        <v>alirio.bermudez-bbva.com</v>
      </c>
      <c r="J545" s="131" t="str">
        <f ca="1">IFERROR(__xludf.DUMMYFUNCTION("""COMPUTED_VALUE"""),"olga.lara-bbva.com")</f>
        <v>olga.lara-bbva.com</v>
      </c>
      <c r="K545" s="131" t="str">
        <f ca="1">IFERROR(__xludf.DUMMYFUNCTION("""COMPUTED_VALUE"""),"rociomarcela.lopez-bbva.com")</f>
        <v>rociomarcela.lopez-bbva.com</v>
      </c>
      <c r="L545" s="130">
        <f ca="1">IFERROR(__xludf.DUMMYFUNCTION("""COMPUTED_VALUE"""),0.25)</f>
        <v>0.25</v>
      </c>
      <c r="M545" s="130">
        <f ca="1">IFERROR(__xludf.DUMMYFUNCTION("""COMPUTED_VALUE"""),0)</f>
        <v>0</v>
      </c>
      <c r="N545" s="130">
        <f ca="1">IFERROR(__xludf.DUMMYFUNCTION("""COMPUTED_VALUE"""),0)</f>
        <v>0</v>
      </c>
      <c r="O545" s="4" t="str">
        <f ca="1">IFERROR(__xludf.DUMMYFUNCTION("""COMPUTED_VALUE"""),"Waterfall")</f>
        <v>Waterfall</v>
      </c>
      <c r="P545" s="4" t="str">
        <f ca="1">IFERROR(__xludf.DUMMYFUNCTION("""COMPUTED_VALUE"""),"Tradicional")</f>
        <v>Tradicional</v>
      </c>
      <c r="Q545" s="4"/>
      <c r="R545" s="130" t="str">
        <f ca="1">IFERROR(__xludf.DUMMYFUNCTION("""COMPUTED_VALUE"""),"Retail Execution")</f>
        <v>Retail Execution</v>
      </c>
      <c r="S545" s="130" t="str">
        <f ca="1">IFERROR(__xludf.DUMMYFUNCTION("""COMPUTED_VALUE""")," Otros")</f>
        <v xml:space="preserve"> Otros</v>
      </c>
      <c r="T545" s="130" t="str">
        <f ca="1">IFERROR(__xludf.DUMMYFUNCTION("""COMPUTED_VALUE"""),"1. Generación de Ingresos")</f>
        <v>1. Generación de Ingresos</v>
      </c>
      <c r="U545" s="130" t="str">
        <f ca="1">IFERROR(__xludf.DUMMYFUNCTION("""COMPUTED_VALUE"""),"1.2. Proyectos de Consumo")</f>
        <v>1.2. Proyectos de Consumo</v>
      </c>
      <c r="V545" s="4" t="str">
        <f ca="1">IFERROR(__xludf.DUMMYFUNCTION("""COMPUTED_VALUE"""),"Pricing")</f>
        <v>Pricing</v>
      </c>
      <c r="W545" s="4">
        <f ca="1">IFERROR(__xludf.DUMMYFUNCTION("""COMPUTED_VALUE"""),1)</f>
        <v>1</v>
      </c>
      <c r="X545" s="4" t="str">
        <f ca="1">IFERROR(__xludf.DUMMYFUNCTION("""COMPUTED_VALUE"""),"09. Data")</f>
        <v>09. Data</v>
      </c>
      <c r="Y545" s="4"/>
      <c r="Z545" s="132" t="str">
        <f ca="1">IFERROR(__xludf.DUMMYFUNCTION("""COMPUTED_VALUE"""),"710659")</f>
        <v>710659</v>
      </c>
      <c r="AA545" s="4" t="str">
        <f ca="1">IFERROR(__xludf.DUMMYFUNCTION("""COMPUTED_VALUE"""),"Cuota Fija - Tasa Variable para créditos  de Consumo y Vehículo")</f>
        <v>Cuota Fija - Tasa Variable para créditos  de Consumo y Vehículo</v>
      </c>
      <c r="AB545" s="4" t="str">
        <f ca="1">IFERROR(__xludf.DUMMYFUNCTION("""COMPUTED_VALUE"""),"Crear el sistema de amortización de Tasa Variable - Cuota fija para créditos de Consumo y Vehículo de personas naturales")</f>
        <v>Crear el sistema de amortización de Tasa Variable - Cuota fija para créditos de Consumo y Vehículo de personas naturales</v>
      </c>
      <c r="AC545" s="4" t="str">
        <f ca="1">IFERROR(__xludf.DUMMYFUNCTION("""COMPUTED_VALUE"""),"4Q 2023")</f>
        <v>4Q 2023</v>
      </c>
      <c r="AD545" s="4"/>
      <c r="AE545" s="4"/>
      <c r="AF545" s="4"/>
      <c r="AG545" s="4"/>
      <c r="AH545" s="4"/>
      <c r="AI545" s="4"/>
      <c r="AJ545" s="4"/>
      <c r="AK545" s="131" t="str">
        <f ca="1">IFERROR(__xludf.DUMMYFUNCTION("""COMPUTED_VALUE"""),"COLWSPREST-11486")</f>
        <v>COLWSPREST-11486</v>
      </c>
      <c r="AL545" s="4" t="str">
        <f ca="1">IFERROR(__xludf.DUMMYFUNCTION("""COMPUTED_VALUE"""),"New")</f>
        <v>New</v>
      </c>
      <c r="AM545" s="4"/>
      <c r="AN545" s="4" t="str">
        <f ca="1">IFERROR(__xludf.DUMMYFUNCTION("""COMPUTED_VALUE"""),"Entregable en Conceptualización")</f>
        <v>Entregable en Conceptualización</v>
      </c>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133">
        <f ca="1">IFERROR(__xludf.DUMMYFUNCTION("""COMPUTED_VALUE"""),0)</f>
        <v>0</v>
      </c>
      <c r="DV545" s="133">
        <f ca="1">IFERROR(__xludf.DUMMYFUNCTION("""COMPUTED_VALUE"""),0)</f>
        <v>0</v>
      </c>
      <c r="DW545" s="133">
        <f ca="1">IFERROR(__xludf.DUMMYFUNCTION("""COMPUTED_VALUE"""),0)</f>
        <v>0</v>
      </c>
      <c r="DX545" s="133">
        <f ca="1">IFERROR(__xludf.DUMMYFUNCTION("""COMPUTED_VALUE"""),150000000)</f>
        <v>150000000</v>
      </c>
      <c r="DY545" s="133">
        <f ca="1">IFERROR(__xludf.DUMMYFUNCTION("""COMPUTED_VALUE"""),0)</f>
        <v>0</v>
      </c>
      <c r="DZ545" s="133">
        <f ca="1">IFERROR(__xludf.DUMMYFUNCTION("""COMPUTED_VALUE"""),150000000)</f>
        <v>150000000</v>
      </c>
      <c r="EA545" s="4"/>
      <c r="EB545" s="4"/>
    </row>
    <row r="546" spans="1:132" x14ac:dyDescent="0.2">
      <c r="A546" s="4">
        <f ca="1">IFERROR(__xludf.DUMMYFUNCTION("""COMPUTED_VALUE"""),546)</f>
        <v>546</v>
      </c>
      <c r="B546" s="4">
        <f ca="1">IFERROR(__xludf.DUMMYFUNCTION("""COMPUTED_VALUE"""),518)</f>
        <v>518</v>
      </c>
      <c r="C546" s="4" t="str">
        <f ca="1">IFERROR(__xludf.DUMMYFUNCTION("""COMPUTED_VALUE"""),"SDATOOL-35329")</f>
        <v>SDATOOL-35329</v>
      </c>
      <c r="D546" s="4" t="str">
        <f ca="1">IFERROR(__xludf.DUMMYFUNCTION("""COMPUTED_VALUE"""),"Activo Particular 2021")</f>
        <v>Activo Particular 2021</v>
      </c>
      <c r="E546"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6" s="4" t="str">
        <f ca="1">IFERROR(__xludf.DUMMYFUNCTION("""COMPUTED_VALUE"""),"Project")</f>
        <v>Project</v>
      </c>
      <c r="G546" s="4" t="str">
        <f ca="1">IFERROR(__xludf.DUMMYFUNCTION("""COMPUTED_VALUE"""),"On hold")</f>
        <v>On hold</v>
      </c>
      <c r="H546" s="4" t="str">
        <f ca="1">IFERROR(__xludf.DUMMYFUNCTION("""COMPUTED_VALUE"""),"2Q 2023")</f>
        <v>2Q 2023</v>
      </c>
      <c r="I546" s="131" t="str">
        <f ca="1">IFERROR(__xludf.DUMMYFUNCTION("""COMPUTED_VALUE"""),"alirio.bermudez-bbva.com")</f>
        <v>alirio.bermudez-bbva.com</v>
      </c>
      <c r="J546" s="131" t="str">
        <f ca="1">IFERROR(__xludf.DUMMYFUNCTION("""COMPUTED_VALUE"""),"marthapatric.cruz-bbva.com")</f>
        <v>marthapatric.cruz-bbva.com</v>
      </c>
      <c r="K546" s="131" t="str">
        <f ca="1">IFERROR(__xludf.DUMMYFUNCTION("""COMPUTED_VALUE"""),"monica.zamudio-bbva.com")</f>
        <v>monica.zamudio-bbva.com</v>
      </c>
      <c r="L546" s="130">
        <f ca="1">IFERROR(__xludf.DUMMYFUNCTION("""COMPUTED_VALUE"""),0)</f>
        <v>0</v>
      </c>
      <c r="M546" s="130">
        <f ca="1">IFERROR(__xludf.DUMMYFUNCTION("""COMPUTED_VALUE"""),0.3)</f>
        <v>0.3</v>
      </c>
      <c r="N546" s="130">
        <f ca="1">IFERROR(__xludf.DUMMYFUNCTION("""COMPUTED_VALUE"""),0)</f>
        <v>0</v>
      </c>
      <c r="O546" s="4" t="str">
        <f ca="1">IFERROR(__xludf.DUMMYFUNCTION("""COMPUTED_VALUE"""),"Waterfall")</f>
        <v>Waterfall</v>
      </c>
      <c r="P546" s="4" t="str">
        <f ca="1">IFERROR(__xludf.DUMMYFUNCTION("""COMPUTED_VALUE"""),"Tradicional")</f>
        <v>Tradicional</v>
      </c>
      <c r="Q546" s="4"/>
      <c r="R546" s="130" t="str">
        <f ca="1">IFERROR(__xludf.DUMMYFUNCTION("""COMPUTED_VALUE"""),"Retail Execution")</f>
        <v>Retail Execution</v>
      </c>
      <c r="S546" s="130" t="str">
        <f ca="1">IFERROR(__xludf.DUMMYFUNCTION("""COMPUTED_VALUE""")," Otros")</f>
        <v xml:space="preserve"> Otros</v>
      </c>
      <c r="T546" s="130" t="str">
        <f ca="1">IFERROR(__xludf.DUMMYFUNCTION("""COMPUTED_VALUE"""),"Otros")</f>
        <v>Otros</v>
      </c>
      <c r="U546" s="130" t="str">
        <f ca="1">IFERROR(__xludf.DUMMYFUNCTION("""COMPUTED_VALUE"""),"No Aplica")</f>
        <v>No Aplica</v>
      </c>
      <c r="V546" s="4" t="str">
        <f ca="1">IFERROR(__xludf.DUMMYFUNCTION("""COMPUTED_VALUE"""),"Seguros")</f>
        <v>Seguros</v>
      </c>
      <c r="W546" s="4">
        <f ca="1">IFERROR(__xludf.DUMMYFUNCTION("""COMPUTED_VALUE"""),3)</f>
        <v>3</v>
      </c>
      <c r="X546" s="4" t="str">
        <f ca="1">IFERROR(__xludf.DUMMYFUNCTION("""COMPUTED_VALUE"""),"10. Otros")</f>
        <v>10. Otros</v>
      </c>
      <c r="Y546" s="4" t="str">
        <f ca="1">IFERROR(__xludf.DUMMYFUNCTION("""COMPUTED_VALUE""")," Otros")</f>
        <v xml:space="preserve"> Otros</v>
      </c>
      <c r="Z546" s="132" t="str">
        <f ca="1">IFERROR(__xludf.DUMMYFUNCTION("""COMPUTED_VALUE"""),"215001")</f>
        <v>215001</v>
      </c>
      <c r="AA546" s="4" t="str">
        <f ca="1">IFERROR(__xludf.DUMMYFUNCTION("""COMPUTED_VALUE"""),"""CF Planes Especiales - Subvención planes tradicionales cuota fija")</f>
        <v>"CF Planes Especiales - Subvención planes tradicionales cuota fija</v>
      </c>
      <c r="AB546" s="4" t="str">
        <f ca="1">IFERROR(__xludf.DUMMYFUNCTION("""COMPUTED_VALUE"""),"""CF Planes Especiales - Subvención planes tradicionales cuota fija
GP 16916  Fase 4 - Tradicional con subvención y capitalización  """)</f>
        <v>"CF Planes Especiales - Subvención planes tradicionales cuota fija
GP 16916  Fase 4 - Tradicional con subvención y capitalización  "</v>
      </c>
      <c r="AC546" s="4" t="str">
        <f ca="1">IFERROR(__xludf.DUMMYFUNCTION("""COMPUTED_VALUE"""),"2Q 2021")</f>
        <v>2Q 2021</v>
      </c>
      <c r="AD546" s="4"/>
      <c r="AE546" s="4"/>
      <c r="AF546" s="4"/>
      <c r="AG546" s="4"/>
      <c r="AH546" s="4"/>
      <c r="AI546" s="4"/>
      <c r="AJ546" s="4"/>
      <c r="AK546" s="4" t="str">
        <f ca="1">IFERROR(__xludf.DUMMYFUNCTION("""COMPUTED_VALUE"""),"Sin asignar")</f>
        <v>Sin asignar</v>
      </c>
      <c r="AL546" s="4" t="str">
        <f ca="1">IFERROR(__xludf.DUMMYFUNCTION("""COMPUTED_VALUE"""),"Sin asignar")</f>
        <v>Sin asignar</v>
      </c>
      <c r="AM546" s="4" t="str">
        <f ca="1">IFERROR(__xludf.DUMMYFUNCTION("""COMPUTED_VALUE"""),"Entregable Finalizado")</f>
        <v>Entregable Finalizado</v>
      </c>
      <c r="AN546" s="4" t="str">
        <f ca="1">IFERROR(__xludf.DUMMYFUNCTION("""COMPUTED_VALUE"""),"Finalizado")</f>
        <v>Finalizado</v>
      </c>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133">
        <f ca="1">IFERROR(__xludf.DUMMYFUNCTION("""COMPUTED_VALUE"""),0)</f>
        <v>0</v>
      </c>
      <c r="DV546" s="133">
        <f ca="1">IFERROR(__xludf.DUMMYFUNCTION("""COMPUTED_VALUE"""),0)</f>
        <v>0</v>
      </c>
      <c r="DW546" s="133">
        <f ca="1">IFERROR(__xludf.DUMMYFUNCTION("""COMPUTED_VALUE"""),0)</f>
        <v>0</v>
      </c>
      <c r="DX546" s="133">
        <f ca="1">IFERROR(__xludf.DUMMYFUNCTION("""COMPUTED_VALUE"""),13043742)</f>
        <v>13043742</v>
      </c>
      <c r="DY546" s="133">
        <f ca="1">IFERROR(__xludf.DUMMYFUNCTION("""COMPUTED_VALUE"""),0)</f>
        <v>0</v>
      </c>
      <c r="DZ546" s="133">
        <f ca="1">IFERROR(__xludf.DUMMYFUNCTION("""COMPUTED_VALUE"""),13043742)</f>
        <v>13043742</v>
      </c>
      <c r="EA546" s="4"/>
      <c r="EB546" s="4"/>
    </row>
    <row r="547" spans="1:132" x14ac:dyDescent="0.2">
      <c r="A547" s="4">
        <f ca="1">IFERROR(__xludf.DUMMYFUNCTION("""COMPUTED_VALUE"""),547)</f>
        <v>547</v>
      </c>
      <c r="B547" s="4">
        <f ca="1">IFERROR(__xludf.DUMMYFUNCTION("""COMPUTED_VALUE"""),519)</f>
        <v>519</v>
      </c>
      <c r="C547" s="4" t="str">
        <f ca="1">IFERROR(__xludf.DUMMYFUNCTION("""COMPUTED_VALUE"""),"SDATOOL-35329")</f>
        <v>SDATOOL-35329</v>
      </c>
      <c r="D547" s="4" t="str">
        <f ca="1">IFERROR(__xludf.DUMMYFUNCTION("""COMPUTED_VALUE"""),"Activo Particular 2021")</f>
        <v>Activo Particular 2021</v>
      </c>
      <c r="E547"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7" s="4" t="str">
        <f ca="1">IFERROR(__xludf.DUMMYFUNCTION("""COMPUTED_VALUE"""),"Project")</f>
        <v>Project</v>
      </c>
      <c r="G547" s="4" t="str">
        <f ca="1">IFERROR(__xludf.DUMMYFUNCTION("""COMPUTED_VALUE"""),"On hold")</f>
        <v>On hold</v>
      </c>
      <c r="H547" s="4" t="str">
        <f ca="1">IFERROR(__xludf.DUMMYFUNCTION("""COMPUTED_VALUE"""),"2Q 2023")</f>
        <v>2Q 2023</v>
      </c>
      <c r="I547" s="131" t="str">
        <f ca="1">IFERROR(__xludf.DUMMYFUNCTION("""COMPUTED_VALUE"""),"alirio.bermudez-bbva.com")</f>
        <v>alirio.bermudez-bbva.com</v>
      </c>
      <c r="J547" s="131" t="str">
        <f ca="1">IFERROR(__xludf.DUMMYFUNCTION("""COMPUTED_VALUE"""),"marthapatric.cruz-bbva.com")</f>
        <v>marthapatric.cruz-bbva.com</v>
      </c>
      <c r="K547" s="131" t="str">
        <f ca="1">IFERROR(__xludf.DUMMYFUNCTION("""COMPUTED_VALUE"""),"monica.zamudio-bbva.com")</f>
        <v>monica.zamudio-bbva.com</v>
      </c>
      <c r="L547" s="4"/>
      <c r="M547" s="4"/>
      <c r="N547" s="4"/>
      <c r="O547" s="4" t="str">
        <f ca="1">IFERROR(__xludf.DUMMYFUNCTION("""COMPUTED_VALUE"""),"Waterfall")</f>
        <v>Waterfall</v>
      </c>
      <c r="P547" s="4" t="str">
        <f ca="1">IFERROR(__xludf.DUMMYFUNCTION("""COMPUTED_VALUE"""),"Tradicional")</f>
        <v>Tradicional</v>
      </c>
      <c r="Q547" s="4"/>
      <c r="R547" s="130" t="str">
        <f ca="1">IFERROR(__xludf.DUMMYFUNCTION("""COMPUTED_VALUE"""),"Retail Execution")</f>
        <v>Retail Execution</v>
      </c>
      <c r="S547" s="130" t="str">
        <f ca="1">IFERROR(__xludf.DUMMYFUNCTION("""COMPUTED_VALUE""")," Otros")</f>
        <v xml:space="preserve"> Otros</v>
      </c>
      <c r="T547" s="130" t="str">
        <f ca="1">IFERROR(__xludf.DUMMYFUNCTION("""COMPUTED_VALUE"""),"Otros")</f>
        <v>Otros</v>
      </c>
      <c r="U547" s="130" t="str">
        <f ca="1">IFERROR(__xludf.DUMMYFUNCTION("""COMPUTED_VALUE"""),"No Aplica")</f>
        <v>No Aplica</v>
      </c>
      <c r="V547" s="4" t="str">
        <f ca="1">IFERROR(__xludf.DUMMYFUNCTION("""COMPUTED_VALUE"""),"Seguros")</f>
        <v>Seguros</v>
      </c>
      <c r="W547" s="4">
        <f ca="1">IFERROR(__xludf.DUMMYFUNCTION("""COMPUTED_VALUE"""),3)</f>
        <v>3</v>
      </c>
      <c r="X547" s="4" t="str">
        <f ca="1">IFERROR(__xludf.DUMMYFUNCTION("""COMPUTED_VALUE"""),"10. Otros")</f>
        <v>10. Otros</v>
      </c>
      <c r="Y547" s="4" t="str">
        <f ca="1">IFERROR(__xludf.DUMMYFUNCTION("""COMPUTED_VALUE""")," Otros")</f>
        <v xml:space="preserve"> Otros</v>
      </c>
      <c r="Z547" s="132" t="str">
        <f ca="1">IFERROR(__xludf.DUMMYFUNCTION("""COMPUTED_VALUE"""),"213506")</f>
        <v>213506</v>
      </c>
      <c r="AA547" s="4" t="str">
        <f ca="1">IFERROR(__xludf.DUMMYFUNCTION("""COMPUTED_VALUE"""),"Adn garantizado")</f>
        <v>Adn garantizado</v>
      </c>
      <c r="AB547" s="4" t="str">
        <f ca="1">IFERROR(__xludf.DUMMYFUNCTION("""COMPUTED_VALUE"""),"Adn garantizado")</f>
        <v>Adn garantizado</v>
      </c>
      <c r="AC547" s="4" t="str">
        <f ca="1">IFERROR(__xludf.DUMMYFUNCTION("""COMPUTED_VALUE"""),"1Q 2021")</f>
        <v>1Q 2021</v>
      </c>
      <c r="AD547" s="4"/>
      <c r="AE547" s="4"/>
      <c r="AF547" s="4"/>
      <c r="AG547" s="4"/>
      <c r="AH547" s="4"/>
      <c r="AI547" s="4"/>
      <c r="AJ547" s="4"/>
      <c r="AK547" s="4" t="str">
        <f ca="1">IFERROR(__xludf.DUMMYFUNCTION("""COMPUTED_VALUE"""),"Sin asignar")</f>
        <v>Sin asignar</v>
      </c>
      <c r="AL547" s="4" t="str">
        <f ca="1">IFERROR(__xludf.DUMMYFUNCTION("""COMPUTED_VALUE"""),"Sin asignar")</f>
        <v>Sin asignar</v>
      </c>
      <c r="AM547" s="4" t="str">
        <f ca="1">IFERROR(__xludf.DUMMYFUNCTION("""COMPUTED_VALUE"""),"Entregable Finalizado")</f>
        <v>Entregable Finalizado</v>
      </c>
      <c r="AN547" s="4" t="str">
        <f ca="1">IFERROR(__xludf.DUMMYFUNCTION("""COMPUTED_VALUE"""),"Finalizado")</f>
        <v>Finalizado</v>
      </c>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row>
    <row r="548" spans="1:132" x14ac:dyDescent="0.2">
      <c r="A548" s="4">
        <f ca="1">IFERROR(__xludf.DUMMYFUNCTION("""COMPUTED_VALUE"""),548)</f>
        <v>548</v>
      </c>
      <c r="B548" s="4">
        <f ca="1">IFERROR(__xludf.DUMMYFUNCTION("""COMPUTED_VALUE"""),520)</f>
        <v>520</v>
      </c>
      <c r="C548" s="4" t="str">
        <f ca="1">IFERROR(__xludf.DUMMYFUNCTION("""COMPUTED_VALUE"""),"SDATOOL-35329")</f>
        <v>SDATOOL-35329</v>
      </c>
      <c r="D548" s="4" t="str">
        <f ca="1">IFERROR(__xludf.DUMMYFUNCTION("""COMPUTED_VALUE"""),"Activo Particular 2021")</f>
        <v>Activo Particular 2021</v>
      </c>
      <c r="E548"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8" s="4" t="str">
        <f ca="1">IFERROR(__xludf.DUMMYFUNCTION("""COMPUTED_VALUE"""),"Project")</f>
        <v>Project</v>
      </c>
      <c r="G548" s="4" t="str">
        <f ca="1">IFERROR(__xludf.DUMMYFUNCTION("""COMPUTED_VALUE"""),"On hold")</f>
        <v>On hold</v>
      </c>
      <c r="H548" s="4" t="str">
        <f ca="1">IFERROR(__xludf.DUMMYFUNCTION("""COMPUTED_VALUE"""),"2Q 2023")</f>
        <v>2Q 2023</v>
      </c>
      <c r="I548" s="131" t="str">
        <f ca="1">IFERROR(__xludf.DUMMYFUNCTION("""COMPUTED_VALUE"""),"alirio.bermudez-bbva.com")</f>
        <v>alirio.bermudez-bbva.com</v>
      </c>
      <c r="J548" s="131" t="str">
        <f ca="1">IFERROR(__xludf.DUMMYFUNCTION("""COMPUTED_VALUE"""),"marthapatric.cruz-bbva.com")</f>
        <v>marthapatric.cruz-bbva.com</v>
      </c>
      <c r="K548" s="131" t="str">
        <f ca="1">IFERROR(__xludf.DUMMYFUNCTION("""COMPUTED_VALUE"""),"monica.zamudio-bbva.com")</f>
        <v>monica.zamudio-bbva.com</v>
      </c>
      <c r="L548" s="4"/>
      <c r="M548" s="4"/>
      <c r="N548" s="4"/>
      <c r="O548" s="4" t="str">
        <f ca="1">IFERROR(__xludf.DUMMYFUNCTION("""COMPUTED_VALUE"""),"Waterfall")</f>
        <v>Waterfall</v>
      </c>
      <c r="P548" s="4" t="str">
        <f ca="1">IFERROR(__xludf.DUMMYFUNCTION("""COMPUTED_VALUE"""),"Tradicional")</f>
        <v>Tradicional</v>
      </c>
      <c r="Q548" s="4"/>
      <c r="R548" s="130" t="str">
        <f ca="1">IFERROR(__xludf.DUMMYFUNCTION("""COMPUTED_VALUE"""),"Retail Execution")</f>
        <v>Retail Execution</v>
      </c>
      <c r="S548" s="130" t="str">
        <f ca="1">IFERROR(__xludf.DUMMYFUNCTION("""COMPUTED_VALUE""")," Otros")</f>
        <v xml:space="preserve"> Otros</v>
      </c>
      <c r="T548" s="130" t="str">
        <f ca="1">IFERROR(__xludf.DUMMYFUNCTION("""COMPUTED_VALUE"""),"Otros")</f>
        <v>Otros</v>
      </c>
      <c r="U548" s="130" t="str">
        <f ca="1">IFERROR(__xludf.DUMMYFUNCTION("""COMPUTED_VALUE"""),"No Aplica")</f>
        <v>No Aplica</v>
      </c>
      <c r="V548" s="4" t="str">
        <f ca="1">IFERROR(__xludf.DUMMYFUNCTION("""COMPUTED_VALUE"""),"Seguros")</f>
        <v>Seguros</v>
      </c>
      <c r="W548" s="4">
        <f ca="1">IFERROR(__xludf.DUMMYFUNCTION("""COMPUTED_VALUE"""),3)</f>
        <v>3</v>
      </c>
      <c r="X548" s="4" t="str">
        <f ca="1">IFERROR(__xludf.DUMMYFUNCTION("""COMPUTED_VALUE"""),"10. Otros")</f>
        <v>10. Otros</v>
      </c>
      <c r="Y548" s="4" t="str">
        <f ca="1">IFERROR(__xludf.DUMMYFUNCTION("""COMPUTED_VALUE""")," Otros")</f>
        <v xml:space="preserve"> Otros</v>
      </c>
      <c r="Z548" s="132" t="str">
        <f ca="1">IFERROR(__xludf.DUMMYFUNCTION("""COMPUTED_VALUE"""),"309213")</f>
        <v>309213</v>
      </c>
      <c r="AA548" s="4" t="str">
        <f ca="1">IFERROR(__xludf.DUMMYFUNCTION("""COMPUTED_VALUE"""),"Ajuste del aplicativo grannet .")</f>
        <v>Ajuste del aplicativo grannet .</v>
      </c>
      <c r="AB548" s="4" t="str">
        <f ca="1">IFERROR(__xludf.DUMMYFUNCTION("""COMPUTED_VALUE"""),"Incluir en el aplicativo de Grannet, el modelo de régimen simple de tributación para los concesionarios y vendedores alidados")</f>
        <v>Incluir en el aplicativo de Grannet, el modelo de régimen simple de tributación para los concesionarios y vendedores alidados</v>
      </c>
      <c r="AC548" s="4" t="str">
        <f ca="1">IFERROR(__xludf.DUMMYFUNCTION("""COMPUTED_VALUE"""),"3Q 2021")</f>
        <v>3Q 2021</v>
      </c>
      <c r="AD548" s="4"/>
      <c r="AE548" s="4"/>
      <c r="AF548" s="4"/>
      <c r="AG548" s="4"/>
      <c r="AH548" s="4"/>
      <c r="AI548" s="4"/>
      <c r="AJ548" s="4"/>
      <c r="AK548" s="4" t="str">
        <f ca="1">IFERROR(__xludf.DUMMYFUNCTION("""COMPUTED_VALUE"""),"Sin asignar")</f>
        <v>Sin asignar</v>
      </c>
      <c r="AL548" s="4" t="str">
        <f ca="1">IFERROR(__xludf.DUMMYFUNCTION("""COMPUTED_VALUE"""),"Sin asignar")</f>
        <v>Sin asignar</v>
      </c>
      <c r="AM548" s="4" t="str">
        <f ca="1">IFERROR(__xludf.DUMMYFUNCTION("""COMPUTED_VALUE"""),"Entregable Finalizado")</f>
        <v>Entregable Finalizado</v>
      </c>
      <c r="AN548" s="4" t="str">
        <f ca="1">IFERROR(__xludf.DUMMYFUNCTION("""COMPUTED_VALUE"""),"Finalizado")</f>
        <v>Finalizado</v>
      </c>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row>
    <row r="549" spans="1:132" x14ac:dyDescent="0.2">
      <c r="A549" s="4">
        <f ca="1">IFERROR(__xludf.DUMMYFUNCTION("""COMPUTED_VALUE"""),549)</f>
        <v>549</v>
      </c>
      <c r="B549" s="4">
        <f ca="1">IFERROR(__xludf.DUMMYFUNCTION("""COMPUTED_VALUE"""),521)</f>
        <v>521</v>
      </c>
      <c r="C549" s="4" t="str">
        <f ca="1">IFERROR(__xludf.DUMMYFUNCTION("""COMPUTED_VALUE"""),"SDATOOL-35329")</f>
        <v>SDATOOL-35329</v>
      </c>
      <c r="D549" s="4" t="str">
        <f ca="1">IFERROR(__xludf.DUMMYFUNCTION("""COMPUTED_VALUE"""),"Activo Particular 2021")</f>
        <v>Activo Particular 2021</v>
      </c>
      <c r="E549"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9" s="4" t="str">
        <f ca="1">IFERROR(__xludf.DUMMYFUNCTION("""COMPUTED_VALUE"""),"Project")</f>
        <v>Project</v>
      </c>
      <c r="G549" s="4" t="str">
        <f ca="1">IFERROR(__xludf.DUMMYFUNCTION("""COMPUTED_VALUE"""),"On hold")</f>
        <v>On hold</v>
      </c>
      <c r="H549" s="4" t="str">
        <f ca="1">IFERROR(__xludf.DUMMYFUNCTION("""COMPUTED_VALUE"""),"2Q 2023")</f>
        <v>2Q 2023</v>
      </c>
      <c r="I549" s="131" t="str">
        <f ca="1">IFERROR(__xludf.DUMMYFUNCTION("""COMPUTED_VALUE"""),"alirio.bermudez-bbva.com")</f>
        <v>alirio.bermudez-bbva.com</v>
      </c>
      <c r="J549" s="131" t="str">
        <f ca="1">IFERROR(__xludf.DUMMYFUNCTION("""COMPUTED_VALUE"""),"marthapatric.cruz-bbva.com")</f>
        <v>marthapatric.cruz-bbva.com</v>
      </c>
      <c r="K549" s="131" t="str">
        <f ca="1">IFERROR(__xludf.DUMMYFUNCTION("""COMPUTED_VALUE"""),"monica.zamudio-bbva.com")</f>
        <v>monica.zamudio-bbva.com</v>
      </c>
      <c r="L549" s="4"/>
      <c r="M549" s="4"/>
      <c r="N549" s="4"/>
      <c r="O549" s="4" t="str">
        <f ca="1">IFERROR(__xludf.DUMMYFUNCTION("""COMPUTED_VALUE"""),"Waterfall")</f>
        <v>Waterfall</v>
      </c>
      <c r="P549" s="4" t="str">
        <f ca="1">IFERROR(__xludf.DUMMYFUNCTION("""COMPUTED_VALUE"""),"Tradicional")</f>
        <v>Tradicional</v>
      </c>
      <c r="Q549" s="4"/>
      <c r="R549" s="130" t="str">
        <f ca="1">IFERROR(__xludf.DUMMYFUNCTION("""COMPUTED_VALUE"""),"Retail Execution")</f>
        <v>Retail Execution</v>
      </c>
      <c r="S549" s="130" t="str">
        <f ca="1">IFERROR(__xludf.DUMMYFUNCTION("""COMPUTED_VALUE""")," Otros")</f>
        <v xml:space="preserve"> Otros</v>
      </c>
      <c r="T549" s="130" t="str">
        <f ca="1">IFERROR(__xludf.DUMMYFUNCTION("""COMPUTED_VALUE"""),"Otros")</f>
        <v>Otros</v>
      </c>
      <c r="U549" s="130" t="str">
        <f ca="1">IFERROR(__xludf.DUMMYFUNCTION("""COMPUTED_VALUE"""),"No Aplica")</f>
        <v>No Aplica</v>
      </c>
      <c r="V549" s="4" t="str">
        <f ca="1">IFERROR(__xludf.DUMMYFUNCTION("""COMPUTED_VALUE"""),"Seguros")</f>
        <v>Seguros</v>
      </c>
      <c r="W549" s="4">
        <f ca="1">IFERROR(__xludf.DUMMYFUNCTION("""COMPUTED_VALUE"""),3)</f>
        <v>3</v>
      </c>
      <c r="X549" s="4" t="str">
        <f ca="1">IFERROR(__xludf.DUMMYFUNCTION("""COMPUTED_VALUE"""),"10. Otros")</f>
        <v>10. Otros</v>
      </c>
      <c r="Y549" s="4" t="str">
        <f ca="1">IFERROR(__xludf.DUMMYFUNCTION("""COMPUTED_VALUE""")," Otros")</f>
        <v xml:space="preserve"> Otros</v>
      </c>
      <c r="Z549" s="132" t="str">
        <f ca="1">IFERROR(__xludf.DUMMYFUNCTION("""COMPUTED_VALUE"""),"309689")</f>
        <v>309689</v>
      </c>
      <c r="AA549" s="4" t="str">
        <f ca="1">IFERROR(__xludf.DUMMYFUNCTION("""COMPUTED_VALUE"""),"Ajuste fichero cargos y abonos 2021")</f>
        <v>Ajuste fichero cargos y abonos 2021</v>
      </c>
      <c r="AB549" s="4" t="str">
        <f ca="1">IFERROR(__xludf.DUMMYFUNCTION("""COMPUTED_VALUE"""),"ADN- Cargos y Abonos por cambio de Nit MinHacienda")</f>
        <v>ADN- Cargos y Abonos por cambio de Nit MinHacienda</v>
      </c>
      <c r="AC549" s="4" t="str">
        <f ca="1">IFERROR(__xludf.DUMMYFUNCTION("""COMPUTED_VALUE"""),"4Q 2021")</f>
        <v>4Q 2021</v>
      </c>
      <c r="AD549" s="4"/>
      <c r="AE549" s="4"/>
      <c r="AF549" s="4"/>
      <c r="AG549" s="4"/>
      <c r="AH549" s="4"/>
      <c r="AI549" s="4"/>
      <c r="AJ549" s="4"/>
      <c r="AK549" s="131" t="str">
        <f ca="1">IFERROR(__xludf.DUMMYFUNCTION("""COMPUTED_VALUE"""),"CCSS-7120")</f>
        <v>CCSS-7120</v>
      </c>
      <c r="AL549" s="4" t="str">
        <f ca="1">IFERROR(__xludf.DUMMYFUNCTION("""COMPUTED_VALUE"""),"Deployed")</f>
        <v>Deployed</v>
      </c>
      <c r="AM549" s="4" t="str">
        <f ca="1">IFERROR(__xludf.DUMMYFUNCTION("""COMPUTED_VALUE"""),"Entregable Finalizado")</f>
        <v>Entregable Finalizado</v>
      </c>
      <c r="AN549" s="4" t="str">
        <f ca="1">IFERROR(__xludf.DUMMYFUNCTION("""COMPUTED_VALUE"""),"Finalizado")</f>
        <v>Finalizado</v>
      </c>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row>
    <row r="550" spans="1:132" x14ac:dyDescent="0.2">
      <c r="A550" s="4">
        <f ca="1">IFERROR(__xludf.DUMMYFUNCTION("""COMPUTED_VALUE"""),550)</f>
        <v>550</v>
      </c>
      <c r="B550" s="4">
        <f ca="1">IFERROR(__xludf.DUMMYFUNCTION("""COMPUTED_VALUE"""),522)</f>
        <v>522</v>
      </c>
      <c r="C550" s="4" t="str">
        <f ca="1">IFERROR(__xludf.DUMMYFUNCTION("""COMPUTED_VALUE"""),"SDATOOL-35329")</f>
        <v>SDATOOL-35329</v>
      </c>
      <c r="D550" s="4" t="str">
        <f ca="1">IFERROR(__xludf.DUMMYFUNCTION("""COMPUTED_VALUE"""),"Activo Particular 2021")</f>
        <v>Activo Particular 2021</v>
      </c>
      <c r="E550"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0" s="4" t="str">
        <f ca="1">IFERROR(__xludf.DUMMYFUNCTION("""COMPUTED_VALUE"""),"Project")</f>
        <v>Project</v>
      </c>
      <c r="G550" s="4" t="str">
        <f ca="1">IFERROR(__xludf.DUMMYFUNCTION("""COMPUTED_VALUE"""),"On hold")</f>
        <v>On hold</v>
      </c>
      <c r="H550" s="4" t="str">
        <f ca="1">IFERROR(__xludf.DUMMYFUNCTION("""COMPUTED_VALUE"""),"2Q 2023")</f>
        <v>2Q 2023</v>
      </c>
      <c r="I550" s="131" t="str">
        <f ca="1">IFERROR(__xludf.DUMMYFUNCTION("""COMPUTED_VALUE"""),"alirio.bermudez-bbva.com")</f>
        <v>alirio.bermudez-bbva.com</v>
      </c>
      <c r="J550" s="131" t="str">
        <f ca="1">IFERROR(__xludf.DUMMYFUNCTION("""COMPUTED_VALUE"""),"marthapatric.cruz-bbva.com")</f>
        <v>marthapatric.cruz-bbva.com</v>
      </c>
      <c r="K550" s="131" t="str">
        <f ca="1">IFERROR(__xludf.DUMMYFUNCTION("""COMPUTED_VALUE"""),"monica.zamudio-bbva.com")</f>
        <v>monica.zamudio-bbva.com</v>
      </c>
      <c r="L550" s="4"/>
      <c r="M550" s="4"/>
      <c r="N550" s="4"/>
      <c r="O550" s="4" t="str">
        <f ca="1">IFERROR(__xludf.DUMMYFUNCTION("""COMPUTED_VALUE"""),"Waterfall")</f>
        <v>Waterfall</v>
      </c>
      <c r="P550" s="4" t="str">
        <f ca="1">IFERROR(__xludf.DUMMYFUNCTION("""COMPUTED_VALUE"""),"Tradicional")</f>
        <v>Tradicional</v>
      </c>
      <c r="Q550" s="4"/>
      <c r="R550" s="130" t="str">
        <f ca="1">IFERROR(__xludf.DUMMYFUNCTION("""COMPUTED_VALUE"""),"Retail Execution")</f>
        <v>Retail Execution</v>
      </c>
      <c r="S550" s="130" t="str">
        <f ca="1">IFERROR(__xludf.DUMMYFUNCTION("""COMPUTED_VALUE""")," Otros")</f>
        <v xml:space="preserve"> Otros</v>
      </c>
      <c r="T550" s="130" t="str">
        <f ca="1">IFERROR(__xludf.DUMMYFUNCTION("""COMPUTED_VALUE"""),"Otros")</f>
        <v>Otros</v>
      </c>
      <c r="U550" s="130" t="str">
        <f ca="1">IFERROR(__xludf.DUMMYFUNCTION("""COMPUTED_VALUE"""),"No Aplica")</f>
        <v>No Aplica</v>
      </c>
      <c r="V550" s="4" t="str">
        <f ca="1">IFERROR(__xludf.DUMMYFUNCTION("""COMPUTED_VALUE"""),"Seguros")</f>
        <v>Seguros</v>
      </c>
      <c r="W550" s="4">
        <f ca="1">IFERROR(__xludf.DUMMYFUNCTION("""COMPUTED_VALUE"""),3)</f>
        <v>3</v>
      </c>
      <c r="X550" s="4" t="str">
        <f ca="1">IFERROR(__xludf.DUMMYFUNCTION("""COMPUTED_VALUE"""),"10. Otros")</f>
        <v>10. Otros</v>
      </c>
      <c r="Y550" s="4" t="str">
        <f ca="1">IFERROR(__xludf.DUMMYFUNCTION("""COMPUTED_VALUE""")," Otros")</f>
        <v xml:space="preserve"> Otros</v>
      </c>
      <c r="Z550" s="132" t="str">
        <f ca="1">IFERROR(__xludf.DUMMYFUNCTION("""COMPUTED_VALUE"""),"261870")</f>
        <v>261870</v>
      </c>
      <c r="AA550" s="4" t="str">
        <f ca="1">IFERROR(__xludf.DUMMYFUNCTION("""COMPUTED_VALUE"""),"Bonita 7 - Consumer Finance")</f>
        <v>Bonita 7 - Consumer Finance</v>
      </c>
      <c r="AB550" s="4" t="str">
        <f ca="1">IFERROR(__xludf.DUMMYFUNCTION("""COMPUTED_VALUE"""),"Bonita 7 - Consumer Finance")</f>
        <v>Bonita 7 - Consumer Finance</v>
      </c>
      <c r="AC550" s="4" t="str">
        <f ca="1">IFERROR(__xludf.DUMMYFUNCTION("""COMPUTED_VALUE"""),"1Q 2021")</f>
        <v>1Q 2021</v>
      </c>
      <c r="AD550" s="4"/>
      <c r="AE550" s="4"/>
      <c r="AF550" s="4"/>
      <c r="AG550" s="4"/>
      <c r="AH550" s="4"/>
      <c r="AI550" s="4"/>
      <c r="AJ550" s="4"/>
      <c r="AK550" s="4" t="str">
        <f ca="1">IFERROR(__xludf.DUMMYFUNCTION("""COMPUTED_VALUE"""),"Sin asignar")</f>
        <v>Sin asignar</v>
      </c>
      <c r="AL550" s="4" t="str">
        <f ca="1">IFERROR(__xludf.DUMMYFUNCTION("""COMPUTED_VALUE"""),"Sin asignar")</f>
        <v>Sin asignar</v>
      </c>
      <c r="AM550" s="4" t="str">
        <f ca="1">IFERROR(__xludf.DUMMYFUNCTION("""COMPUTED_VALUE"""),"Entregable Finalizado")</f>
        <v>Entregable Finalizado</v>
      </c>
      <c r="AN550" s="4" t="str">
        <f ca="1">IFERROR(__xludf.DUMMYFUNCTION("""COMPUTED_VALUE"""),"Finalizado")</f>
        <v>Finalizado</v>
      </c>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row>
    <row r="551" spans="1:132" x14ac:dyDescent="0.2">
      <c r="A551" s="4">
        <f ca="1">IFERROR(__xludf.DUMMYFUNCTION("""COMPUTED_VALUE"""),551)</f>
        <v>551</v>
      </c>
      <c r="B551" s="4">
        <f ca="1">IFERROR(__xludf.DUMMYFUNCTION("""COMPUTED_VALUE"""),523)</f>
        <v>523</v>
      </c>
      <c r="C551" s="4" t="str">
        <f ca="1">IFERROR(__xludf.DUMMYFUNCTION("""COMPUTED_VALUE"""),"SDATOOL-35329")</f>
        <v>SDATOOL-35329</v>
      </c>
      <c r="D551" s="4" t="str">
        <f ca="1">IFERROR(__xludf.DUMMYFUNCTION("""COMPUTED_VALUE"""),"Activo Particular 2021")</f>
        <v>Activo Particular 2021</v>
      </c>
      <c r="E551"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1" s="4" t="str">
        <f ca="1">IFERROR(__xludf.DUMMYFUNCTION("""COMPUTED_VALUE"""),"Project")</f>
        <v>Project</v>
      </c>
      <c r="G551" s="4" t="str">
        <f ca="1">IFERROR(__xludf.DUMMYFUNCTION("""COMPUTED_VALUE"""),"On hold")</f>
        <v>On hold</v>
      </c>
      <c r="H551" s="4" t="str">
        <f ca="1">IFERROR(__xludf.DUMMYFUNCTION("""COMPUTED_VALUE"""),"2Q 2023")</f>
        <v>2Q 2023</v>
      </c>
      <c r="I551" s="131" t="str">
        <f ca="1">IFERROR(__xludf.DUMMYFUNCTION("""COMPUTED_VALUE"""),"alirio.bermudez-bbva.com")</f>
        <v>alirio.bermudez-bbva.com</v>
      </c>
      <c r="J551" s="131" t="str">
        <f ca="1">IFERROR(__xludf.DUMMYFUNCTION("""COMPUTED_VALUE"""),"marthapatric.cruz-bbva.com")</f>
        <v>marthapatric.cruz-bbva.com</v>
      </c>
      <c r="K551" s="131" t="str">
        <f ca="1">IFERROR(__xludf.DUMMYFUNCTION("""COMPUTED_VALUE"""),"monica.zamudio-bbva.com")</f>
        <v>monica.zamudio-bbva.com</v>
      </c>
      <c r="L551" s="4"/>
      <c r="M551" s="4"/>
      <c r="N551" s="4"/>
      <c r="O551" s="4" t="str">
        <f ca="1">IFERROR(__xludf.DUMMYFUNCTION("""COMPUTED_VALUE"""),"Waterfall")</f>
        <v>Waterfall</v>
      </c>
      <c r="P551" s="4" t="str">
        <f ca="1">IFERROR(__xludf.DUMMYFUNCTION("""COMPUTED_VALUE"""),"Tradicional")</f>
        <v>Tradicional</v>
      </c>
      <c r="Q551" s="4"/>
      <c r="R551" s="130" t="str">
        <f ca="1">IFERROR(__xludf.DUMMYFUNCTION("""COMPUTED_VALUE"""),"Retail Execution")</f>
        <v>Retail Execution</v>
      </c>
      <c r="S551" s="130" t="str">
        <f ca="1">IFERROR(__xludf.DUMMYFUNCTION("""COMPUTED_VALUE""")," Otros")</f>
        <v xml:space="preserve"> Otros</v>
      </c>
      <c r="T551" s="130" t="str">
        <f ca="1">IFERROR(__xludf.DUMMYFUNCTION("""COMPUTED_VALUE"""),"Otros")</f>
        <v>Otros</v>
      </c>
      <c r="U551" s="130" t="str">
        <f ca="1">IFERROR(__xludf.DUMMYFUNCTION("""COMPUTED_VALUE"""),"No Aplica")</f>
        <v>No Aplica</v>
      </c>
      <c r="V551" s="4" t="str">
        <f ca="1">IFERROR(__xludf.DUMMYFUNCTION("""COMPUTED_VALUE"""),"Seguros")</f>
        <v>Seguros</v>
      </c>
      <c r="W551" s="4">
        <f ca="1">IFERROR(__xludf.DUMMYFUNCTION("""COMPUTED_VALUE"""),3)</f>
        <v>3</v>
      </c>
      <c r="X551" s="4" t="str">
        <f ca="1">IFERROR(__xludf.DUMMYFUNCTION("""COMPUTED_VALUE"""),"10. Otros")</f>
        <v>10. Otros</v>
      </c>
      <c r="Y551" s="4" t="str">
        <f ca="1">IFERROR(__xludf.DUMMYFUNCTION("""COMPUTED_VALUE""")," Otros")</f>
        <v xml:space="preserve"> Otros</v>
      </c>
      <c r="Z551" s="132" t="str">
        <f ca="1">IFERROR(__xludf.DUMMYFUNCTION("""COMPUTED_VALUE"""),"261877")</f>
        <v>261877</v>
      </c>
      <c r="AA551" s="4" t="str">
        <f ca="1">IFERROR(__xludf.DUMMYFUNCTION("""COMPUTED_VALUE"""),"CF Bonita 7 - Ajuste Mini Sábana")</f>
        <v>CF Bonita 7 - Ajuste Mini Sábana</v>
      </c>
      <c r="AB551" s="4" t="str">
        <f ca="1">IFERROR(__xludf.DUMMYFUNCTION("""COMPUTED_VALUE"""),"CF Bonita 7 - Ajuste Mini Sábana")</f>
        <v>CF Bonita 7 - Ajuste Mini Sábana</v>
      </c>
      <c r="AC551" s="4" t="str">
        <f ca="1">IFERROR(__xludf.DUMMYFUNCTION("""COMPUTED_VALUE"""),"2Q 2021")</f>
        <v>2Q 2021</v>
      </c>
      <c r="AD551" s="4"/>
      <c r="AE551" s="4"/>
      <c r="AF551" s="4"/>
      <c r="AG551" s="4"/>
      <c r="AH551" s="4"/>
      <c r="AI551" s="4"/>
      <c r="AJ551" s="4"/>
      <c r="AK551" s="4" t="str">
        <f ca="1">IFERROR(__xludf.DUMMYFUNCTION("""COMPUTED_VALUE"""),"Sin asignar")</f>
        <v>Sin asignar</v>
      </c>
      <c r="AL551" s="4" t="str">
        <f ca="1">IFERROR(__xludf.DUMMYFUNCTION("""COMPUTED_VALUE"""),"Sin asignar")</f>
        <v>Sin asignar</v>
      </c>
      <c r="AM551" s="4" t="str">
        <f ca="1">IFERROR(__xludf.DUMMYFUNCTION("""COMPUTED_VALUE"""),"Entregable Finalizado")</f>
        <v>Entregable Finalizado</v>
      </c>
      <c r="AN551" s="4" t="str">
        <f ca="1">IFERROR(__xludf.DUMMYFUNCTION("""COMPUTED_VALUE"""),"Finalizado")</f>
        <v>Finalizado</v>
      </c>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row>
    <row r="552" spans="1:132" x14ac:dyDescent="0.2">
      <c r="A552" s="4">
        <f ca="1">IFERROR(__xludf.DUMMYFUNCTION("""COMPUTED_VALUE"""),552)</f>
        <v>552</v>
      </c>
      <c r="B552" s="4">
        <f ca="1">IFERROR(__xludf.DUMMYFUNCTION("""COMPUTED_VALUE"""),524)</f>
        <v>524</v>
      </c>
      <c r="C552" s="4" t="str">
        <f ca="1">IFERROR(__xludf.DUMMYFUNCTION("""COMPUTED_VALUE"""),"SDATOOL-35329")</f>
        <v>SDATOOL-35329</v>
      </c>
      <c r="D552" s="4" t="str">
        <f ca="1">IFERROR(__xludf.DUMMYFUNCTION("""COMPUTED_VALUE"""),"Activo Particular 2021")</f>
        <v>Activo Particular 2021</v>
      </c>
      <c r="E552"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2" s="4" t="str">
        <f ca="1">IFERROR(__xludf.DUMMYFUNCTION("""COMPUTED_VALUE"""),"Project")</f>
        <v>Project</v>
      </c>
      <c r="G552" s="4" t="str">
        <f ca="1">IFERROR(__xludf.DUMMYFUNCTION("""COMPUTED_VALUE"""),"On hold")</f>
        <v>On hold</v>
      </c>
      <c r="H552" s="4" t="str">
        <f ca="1">IFERROR(__xludf.DUMMYFUNCTION("""COMPUTED_VALUE"""),"2Q 2023")</f>
        <v>2Q 2023</v>
      </c>
      <c r="I552" s="131" t="str">
        <f ca="1">IFERROR(__xludf.DUMMYFUNCTION("""COMPUTED_VALUE"""),"alirio.bermudez-bbva.com")</f>
        <v>alirio.bermudez-bbva.com</v>
      </c>
      <c r="J552" s="131" t="str">
        <f ca="1">IFERROR(__xludf.DUMMYFUNCTION("""COMPUTED_VALUE"""),"marthapatric.cruz-bbva.com")</f>
        <v>marthapatric.cruz-bbva.com</v>
      </c>
      <c r="K552" s="131" t="str">
        <f ca="1">IFERROR(__xludf.DUMMYFUNCTION("""COMPUTED_VALUE"""),"monica.zamudio-bbva.com")</f>
        <v>monica.zamudio-bbva.com</v>
      </c>
      <c r="L552" s="4"/>
      <c r="M552" s="4"/>
      <c r="N552" s="4"/>
      <c r="O552" s="4" t="str">
        <f ca="1">IFERROR(__xludf.DUMMYFUNCTION("""COMPUTED_VALUE"""),"Waterfall")</f>
        <v>Waterfall</v>
      </c>
      <c r="P552" s="4" t="str">
        <f ca="1">IFERROR(__xludf.DUMMYFUNCTION("""COMPUTED_VALUE"""),"Tradicional")</f>
        <v>Tradicional</v>
      </c>
      <c r="Q552" s="4"/>
      <c r="R552" s="130" t="str">
        <f ca="1">IFERROR(__xludf.DUMMYFUNCTION("""COMPUTED_VALUE"""),"Retail Execution")</f>
        <v>Retail Execution</v>
      </c>
      <c r="S552" s="130" t="str">
        <f ca="1">IFERROR(__xludf.DUMMYFUNCTION("""COMPUTED_VALUE""")," Otros")</f>
        <v xml:space="preserve"> Otros</v>
      </c>
      <c r="T552" s="130" t="str">
        <f ca="1">IFERROR(__xludf.DUMMYFUNCTION("""COMPUTED_VALUE"""),"Otros")</f>
        <v>Otros</v>
      </c>
      <c r="U552" s="130" t="str">
        <f ca="1">IFERROR(__xludf.DUMMYFUNCTION("""COMPUTED_VALUE"""),"No Aplica")</f>
        <v>No Aplica</v>
      </c>
      <c r="V552" s="4" t="str">
        <f ca="1">IFERROR(__xludf.DUMMYFUNCTION("""COMPUTED_VALUE"""),"Seguros")</f>
        <v>Seguros</v>
      </c>
      <c r="W552" s="4">
        <f ca="1">IFERROR(__xludf.DUMMYFUNCTION("""COMPUTED_VALUE"""),3)</f>
        <v>3</v>
      </c>
      <c r="X552" s="4" t="str">
        <f ca="1">IFERROR(__xludf.DUMMYFUNCTION("""COMPUTED_VALUE"""),"10. Otros")</f>
        <v>10. Otros</v>
      </c>
      <c r="Y552" s="4" t="str">
        <f ca="1">IFERROR(__xludf.DUMMYFUNCTION("""COMPUTED_VALUE""")," Otros")</f>
        <v xml:space="preserve"> Otros</v>
      </c>
      <c r="Z552" s="132" t="str">
        <f ca="1">IFERROR(__xludf.DUMMYFUNCTION("""COMPUTED_VALUE"""),"213591")</f>
        <v>213591</v>
      </c>
      <c r="AA552" s="4" t="str">
        <f ca="1">IFERROR(__xludf.DUMMYFUNCTION("""COMPUTED_VALUE"""),"Coberturas planas para VIS")</f>
        <v>Coberturas planas para VIS</v>
      </c>
      <c r="AB552" s="4" t="str">
        <f ca="1">IFERROR(__xludf.DUMMYFUNCTION("""COMPUTED_VALUE"""),"Coberturas planas para VIS")</f>
        <v>Coberturas planas para VIS</v>
      </c>
      <c r="AC552" s="4" t="str">
        <f ca="1">IFERROR(__xludf.DUMMYFUNCTION("""COMPUTED_VALUE"""),"1Q 2022")</f>
        <v>1Q 2022</v>
      </c>
      <c r="AD552" s="4"/>
      <c r="AE552" s="4"/>
      <c r="AF552" s="4"/>
      <c r="AG552" s="4"/>
      <c r="AH552" s="4"/>
      <c r="AI552" s="4"/>
      <c r="AJ552" s="4"/>
      <c r="AK552" s="4" t="str">
        <f ca="1">IFERROR(__xludf.DUMMYFUNCTION("""COMPUTED_VALUE"""),"Sin asignar")</f>
        <v>Sin asignar</v>
      </c>
      <c r="AL552" s="4" t="str">
        <f ca="1">IFERROR(__xludf.DUMMYFUNCTION("""COMPUTED_VALUE"""),"Sin asignar")</f>
        <v>Sin asignar</v>
      </c>
      <c r="AM552" s="4" t="str">
        <f ca="1">IFERROR(__xludf.DUMMYFUNCTION("""COMPUTED_VALUE"""),"Entregable Finalizado")</f>
        <v>Entregable Finalizado</v>
      </c>
      <c r="AN552" s="4" t="str">
        <f ca="1">IFERROR(__xludf.DUMMYFUNCTION("""COMPUTED_VALUE"""),"Finalizado")</f>
        <v>Finalizado</v>
      </c>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row>
    <row r="553" spans="1:132" x14ac:dyDescent="0.2">
      <c r="A553" s="4">
        <f ca="1">IFERROR(__xludf.DUMMYFUNCTION("""COMPUTED_VALUE"""),553)</f>
        <v>553</v>
      </c>
      <c r="B553" s="4">
        <f ca="1">IFERROR(__xludf.DUMMYFUNCTION("""COMPUTED_VALUE"""),525)</f>
        <v>525</v>
      </c>
      <c r="C553" s="4" t="str">
        <f ca="1">IFERROR(__xludf.DUMMYFUNCTION("""COMPUTED_VALUE"""),"SDATOOL-35329")</f>
        <v>SDATOOL-35329</v>
      </c>
      <c r="D553" s="4" t="str">
        <f ca="1">IFERROR(__xludf.DUMMYFUNCTION("""COMPUTED_VALUE"""),"Activo Particular 2021")</f>
        <v>Activo Particular 2021</v>
      </c>
      <c r="E553"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3" s="4" t="str">
        <f ca="1">IFERROR(__xludf.DUMMYFUNCTION("""COMPUTED_VALUE"""),"Project")</f>
        <v>Project</v>
      </c>
      <c r="G553" s="4" t="str">
        <f ca="1">IFERROR(__xludf.DUMMYFUNCTION("""COMPUTED_VALUE"""),"On hold")</f>
        <v>On hold</v>
      </c>
      <c r="H553" s="4" t="str">
        <f ca="1">IFERROR(__xludf.DUMMYFUNCTION("""COMPUTED_VALUE"""),"2Q 2023")</f>
        <v>2Q 2023</v>
      </c>
      <c r="I553" s="131" t="str">
        <f ca="1">IFERROR(__xludf.DUMMYFUNCTION("""COMPUTED_VALUE"""),"alirio.bermudez-bbva.com")</f>
        <v>alirio.bermudez-bbva.com</v>
      </c>
      <c r="J553" s="131" t="str">
        <f ca="1">IFERROR(__xludf.DUMMYFUNCTION("""COMPUTED_VALUE"""),"marthapatric.cruz-bbva.com")</f>
        <v>marthapatric.cruz-bbva.com</v>
      </c>
      <c r="K553" s="131" t="str">
        <f ca="1">IFERROR(__xludf.DUMMYFUNCTION("""COMPUTED_VALUE"""),"monica.zamudio-bbva.com")</f>
        <v>monica.zamudio-bbva.com</v>
      </c>
      <c r="L553" s="4"/>
      <c r="M553" s="4"/>
      <c r="N553" s="4"/>
      <c r="O553" s="4" t="str">
        <f ca="1">IFERROR(__xludf.DUMMYFUNCTION("""COMPUTED_VALUE"""),"Waterfall")</f>
        <v>Waterfall</v>
      </c>
      <c r="P553" s="4" t="str">
        <f ca="1">IFERROR(__xludf.DUMMYFUNCTION("""COMPUTED_VALUE"""),"Tradicional")</f>
        <v>Tradicional</v>
      </c>
      <c r="Q553" s="4"/>
      <c r="R553" s="130" t="str">
        <f ca="1">IFERROR(__xludf.DUMMYFUNCTION("""COMPUTED_VALUE"""),"Retail Execution")</f>
        <v>Retail Execution</v>
      </c>
      <c r="S553" s="130" t="str">
        <f ca="1">IFERROR(__xludf.DUMMYFUNCTION("""COMPUTED_VALUE""")," Otros")</f>
        <v xml:space="preserve"> Otros</v>
      </c>
      <c r="T553" s="130" t="str">
        <f ca="1">IFERROR(__xludf.DUMMYFUNCTION("""COMPUTED_VALUE"""),"Otros")</f>
        <v>Otros</v>
      </c>
      <c r="U553" s="130" t="str">
        <f ca="1">IFERROR(__xludf.DUMMYFUNCTION("""COMPUTED_VALUE"""),"No Aplica")</f>
        <v>No Aplica</v>
      </c>
      <c r="V553" s="4" t="str">
        <f ca="1">IFERROR(__xludf.DUMMYFUNCTION("""COMPUTED_VALUE"""),"Seguros")</f>
        <v>Seguros</v>
      </c>
      <c r="W553" s="4">
        <f ca="1">IFERROR(__xludf.DUMMYFUNCTION("""COMPUTED_VALUE"""),3)</f>
        <v>3</v>
      </c>
      <c r="X553" s="4" t="str">
        <f ca="1">IFERROR(__xludf.DUMMYFUNCTION("""COMPUTED_VALUE"""),"10. Otros")</f>
        <v>10. Otros</v>
      </c>
      <c r="Y553" s="4" t="str">
        <f ca="1">IFERROR(__xludf.DUMMYFUNCTION("""COMPUTED_VALUE""")," Otros")</f>
        <v xml:space="preserve"> Otros</v>
      </c>
      <c r="Z553" s="132" t="str">
        <f ca="1">IFERROR(__xludf.DUMMYFUNCTION("""COMPUTED_VALUE"""),"213592")</f>
        <v>213592</v>
      </c>
      <c r="AA553" s="4" t="str">
        <f ca="1">IFERROR(__xludf.DUMMYFUNCTION("""COMPUTED_VALUE"""),"Créditos Hipotecarios y LH")</f>
        <v>Créditos Hipotecarios y LH</v>
      </c>
      <c r="AB553" s="4" t="str">
        <f ca="1">IFERROR(__xludf.DUMMYFUNCTION("""COMPUTED_VALUE"""),"Créditos Hipotecarios y LH")</f>
        <v>Créditos Hipotecarios y LH</v>
      </c>
      <c r="AC553" s="4" t="str">
        <f ca="1">IFERROR(__xludf.DUMMYFUNCTION("""COMPUTED_VALUE"""),"1Q 2022")</f>
        <v>1Q 2022</v>
      </c>
      <c r="AD553" s="4"/>
      <c r="AE553" s="4"/>
      <c r="AF553" s="4"/>
      <c r="AG553" s="4"/>
      <c r="AH553" s="4"/>
      <c r="AI553" s="4"/>
      <c r="AJ553" s="4"/>
      <c r="AK553" s="4" t="str">
        <f ca="1">IFERROR(__xludf.DUMMYFUNCTION("""COMPUTED_VALUE"""),"Sin asignar")</f>
        <v>Sin asignar</v>
      </c>
      <c r="AL553" s="4" t="str">
        <f ca="1">IFERROR(__xludf.DUMMYFUNCTION("""COMPUTED_VALUE"""),"Sin asignar")</f>
        <v>Sin asignar</v>
      </c>
      <c r="AM553" s="4" t="str">
        <f ca="1">IFERROR(__xludf.DUMMYFUNCTION("""COMPUTED_VALUE"""),"Entregable Finalizado")</f>
        <v>Entregable Finalizado</v>
      </c>
      <c r="AN553" s="4" t="str">
        <f ca="1">IFERROR(__xludf.DUMMYFUNCTION("""COMPUTED_VALUE"""),"Finalizado")</f>
        <v>Finalizado</v>
      </c>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row>
    <row r="554" spans="1:132" x14ac:dyDescent="0.2">
      <c r="A554" s="4">
        <f ca="1">IFERROR(__xludf.DUMMYFUNCTION("""COMPUTED_VALUE"""),554)</f>
        <v>554</v>
      </c>
      <c r="B554" s="4">
        <f ca="1">IFERROR(__xludf.DUMMYFUNCTION("""COMPUTED_VALUE"""),526)</f>
        <v>526</v>
      </c>
      <c r="C554" s="4" t="str">
        <f ca="1">IFERROR(__xludf.DUMMYFUNCTION("""COMPUTED_VALUE"""),"SDATOOL-35329")</f>
        <v>SDATOOL-35329</v>
      </c>
      <c r="D554" s="4" t="str">
        <f ca="1">IFERROR(__xludf.DUMMYFUNCTION("""COMPUTED_VALUE"""),"Activo Particular 2021")</f>
        <v>Activo Particular 2021</v>
      </c>
      <c r="E554"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4" s="4" t="str">
        <f ca="1">IFERROR(__xludf.DUMMYFUNCTION("""COMPUTED_VALUE"""),"Project")</f>
        <v>Project</v>
      </c>
      <c r="G554" s="4" t="str">
        <f ca="1">IFERROR(__xludf.DUMMYFUNCTION("""COMPUTED_VALUE"""),"On hold")</f>
        <v>On hold</v>
      </c>
      <c r="H554" s="4" t="str">
        <f ca="1">IFERROR(__xludf.DUMMYFUNCTION("""COMPUTED_VALUE"""),"2Q 2023")</f>
        <v>2Q 2023</v>
      </c>
      <c r="I554" s="131" t="str">
        <f ca="1">IFERROR(__xludf.DUMMYFUNCTION("""COMPUTED_VALUE"""),"alirio.bermudez-bbva.com")</f>
        <v>alirio.bermudez-bbva.com</v>
      </c>
      <c r="J554" s="131" t="str">
        <f ca="1">IFERROR(__xludf.DUMMYFUNCTION("""COMPUTED_VALUE"""),"marthapatric.cruz-bbva.com")</f>
        <v>marthapatric.cruz-bbva.com</v>
      </c>
      <c r="K554" s="131" t="str">
        <f ca="1">IFERROR(__xludf.DUMMYFUNCTION("""COMPUTED_VALUE"""),"monica.zamudio-bbva.com")</f>
        <v>monica.zamudio-bbva.com</v>
      </c>
      <c r="L554" s="4"/>
      <c r="M554" s="4"/>
      <c r="N554" s="4"/>
      <c r="O554" s="4" t="str">
        <f ca="1">IFERROR(__xludf.DUMMYFUNCTION("""COMPUTED_VALUE"""),"Waterfall")</f>
        <v>Waterfall</v>
      </c>
      <c r="P554" s="4" t="str">
        <f ca="1">IFERROR(__xludf.DUMMYFUNCTION("""COMPUTED_VALUE"""),"Tradicional")</f>
        <v>Tradicional</v>
      </c>
      <c r="Q554" s="4"/>
      <c r="R554" s="130" t="str">
        <f ca="1">IFERROR(__xludf.DUMMYFUNCTION("""COMPUTED_VALUE"""),"Retail Execution")</f>
        <v>Retail Execution</v>
      </c>
      <c r="S554" s="130" t="str">
        <f ca="1">IFERROR(__xludf.DUMMYFUNCTION("""COMPUTED_VALUE""")," Otros")</f>
        <v xml:space="preserve"> Otros</v>
      </c>
      <c r="T554" s="130" t="str">
        <f ca="1">IFERROR(__xludf.DUMMYFUNCTION("""COMPUTED_VALUE"""),"Otros")</f>
        <v>Otros</v>
      </c>
      <c r="U554" s="130" t="str">
        <f ca="1">IFERROR(__xludf.DUMMYFUNCTION("""COMPUTED_VALUE"""),"No Aplica")</f>
        <v>No Aplica</v>
      </c>
      <c r="V554" s="4" t="str">
        <f ca="1">IFERROR(__xludf.DUMMYFUNCTION("""COMPUTED_VALUE"""),"Seguros")</f>
        <v>Seguros</v>
      </c>
      <c r="W554" s="4">
        <f ca="1">IFERROR(__xludf.DUMMYFUNCTION("""COMPUTED_VALUE"""),3)</f>
        <v>3</v>
      </c>
      <c r="X554" s="4" t="str">
        <f ca="1">IFERROR(__xludf.DUMMYFUNCTION("""COMPUTED_VALUE"""),"10. Otros")</f>
        <v>10. Otros</v>
      </c>
      <c r="Y554" s="4" t="str">
        <f ca="1">IFERROR(__xludf.DUMMYFUNCTION("""COMPUTED_VALUE""")," Otros")</f>
        <v xml:space="preserve"> Otros</v>
      </c>
      <c r="Z554" s="132" t="str">
        <f ca="1">IFERROR(__xludf.DUMMYFUNCTION("""COMPUTED_VALUE"""),"175066")</f>
        <v>175066</v>
      </c>
      <c r="AA554" s="4" t="str">
        <f ca="1">IFERROR(__xludf.DUMMYFUNCTION("""COMPUTED_VALUE"""),"Diferir Leasing habitacional entregable 4")</f>
        <v>Diferir Leasing habitacional entregable 4</v>
      </c>
      <c r="AB554" s="4" t="str">
        <f ca="1">IFERROR(__xludf.DUMMYFUNCTION("""COMPUTED_VALUE"""),"Diferir Leasing habitacional entregable 4")</f>
        <v>Diferir Leasing habitacional entregable 4</v>
      </c>
      <c r="AC554" s="4" t="str">
        <f ca="1">IFERROR(__xludf.DUMMYFUNCTION("""COMPUTED_VALUE"""),"2Q 2021")</f>
        <v>2Q 2021</v>
      </c>
      <c r="AD554" s="4"/>
      <c r="AE554" s="4"/>
      <c r="AF554" s="4"/>
      <c r="AG554" s="4"/>
      <c r="AH554" s="4"/>
      <c r="AI554" s="4"/>
      <c r="AJ554" s="4"/>
      <c r="AK554" s="4" t="str">
        <f ca="1">IFERROR(__xludf.DUMMYFUNCTION("""COMPUTED_VALUE"""),"Sin asignar")</f>
        <v>Sin asignar</v>
      </c>
      <c r="AL554" s="4" t="str">
        <f ca="1">IFERROR(__xludf.DUMMYFUNCTION("""COMPUTED_VALUE"""),"Sin asignar")</f>
        <v>Sin asignar</v>
      </c>
      <c r="AM554" s="4" t="str">
        <f ca="1">IFERROR(__xludf.DUMMYFUNCTION("""COMPUTED_VALUE"""),"Entregable Finalizado")</f>
        <v>Entregable Finalizado</v>
      </c>
      <c r="AN554" s="4" t="str">
        <f ca="1">IFERROR(__xludf.DUMMYFUNCTION("""COMPUTED_VALUE"""),"Finalizado")</f>
        <v>Finalizado</v>
      </c>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row>
    <row r="555" spans="1:132" x14ac:dyDescent="0.2">
      <c r="A555" s="4">
        <f ca="1">IFERROR(__xludf.DUMMYFUNCTION("""COMPUTED_VALUE"""),555)</f>
        <v>555</v>
      </c>
      <c r="B555" s="4">
        <f ca="1">IFERROR(__xludf.DUMMYFUNCTION("""COMPUTED_VALUE"""),527)</f>
        <v>527</v>
      </c>
      <c r="C555" s="4" t="str">
        <f ca="1">IFERROR(__xludf.DUMMYFUNCTION("""COMPUTED_VALUE"""),"SDATOOL-35329")</f>
        <v>SDATOOL-35329</v>
      </c>
      <c r="D555" s="4" t="str">
        <f ca="1">IFERROR(__xludf.DUMMYFUNCTION("""COMPUTED_VALUE"""),"Activo Particular 2021")</f>
        <v>Activo Particular 2021</v>
      </c>
      <c r="E555"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5" s="4" t="str">
        <f ca="1">IFERROR(__xludf.DUMMYFUNCTION("""COMPUTED_VALUE"""),"Project")</f>
        <v>Project</v>
      </c>
      <c r="G555" s="4" t="str">
        <f ca="1">IFERROR(__xludf.DUMMYFUNCTION("""COMPUTED_VALUE"""),"On hold")</f>
        <v>On hold</v>
      </c>
      <c r="H555" s="4" t="str">
        <f ca="1">IFERROR(__xludf.DUMMYFUNCTION("""COMPUTED_VALUE"""),"2Q 2023")</f>
        <v>2Q 2023</v>
      </c>
      <c r="I555" s="131" t="str">
        <f ca="1">IFERROR(__xludf.DUMMYFUNCTION("""COMPUTED_VALUE"""),"alirio.bermudez-bbva.com")</f>
        <v>alirio.bermudez-bbva.com</v>
      </c>
      <c r="J555" s="131" t="str">
        <f ca="1">IFERROR(__xludf.DUMMYFUNCTION("""COMPUTED_VALUE"""),"marthapatric.cruz-bbva.com")</f>
        <v>marthapatric.cruz-bbva.com</v>
      </c>
      <c r="K555" s="131" t="str">
        <f ca="1">IFERROR(__xludf.DUMMYFUNCTION("""COMPUTED_VALUE"""),"monica.zamudio-bbva.com")</f>
        <v>monica.zamudio-bbva.com</v>
      </c>
      <c r="L555" s="4"/>
      <c r="M555" s="4"/>
      <c r="N555" s="4"/>
      <c r="O555" s="4" t="str">
        <f ca="1">IFERROR(__xludf.DUMMYFUNCTION("""COMPUTED_VALUE"""),"Waterfall")</f>
        <v>Waterfall</v>
      </c>
      <c r="P555" s="4" t="str">
        <f ca="1">IFERROR(__xludf.DUMMYFUNCTION("""COMPUTED_VALUE"""),"Tradicional")</f>
        <v>Tradicional</v>
      </c>
      <c r="Q555" s="4"/>
      <c r="R555" s="130" t="str">
        <f ca="1">IFERROR(__xludf.DUMMYFUNCTION("""COMPUTED_VALUE"""),"Retail Execution")</f>
        <v>Retail Execution</v>
      </c>
      <c r="S555" s="130" t="str">
        <f ca="1">IFERROR(__xludf.DUMMYFUNCTION("""COMPUTED_VALUE""")," Otros")</f>
        <v xml:space="preserve"> Otros</v>
      </c>
      <c r="T555" s="130" t="str">
        <f ca="1">IFERROR(__xludf.DUMMYFUNCTION("""COMPUTED_VALUE"""),"Otros")</f>
        <v>Otros</v>
      </c>
      <c r="U555" s="130" t="str">
        <f ca="1">IFERROR(__xludf.DUMMYFUNCTION("""COMPUTED_VALUE"""),"No Aplica")</f>
        <v>No Aplica</v>
      </c>
      <c r="V555" s="4" t="str">
        <f ca="1">IFERROR(__xludf.DUMMYFUNCTION("""COMPUTED_VALUE"""),"Seguros")</f>
        <v>Seguros</v>
      </c>
      <c r="W555" s="4">
        <f ca="1">IFERROR(__xludf.DUMMYFUNCTION("""COMPUTED_VALUE"""),3)</f>
        <v>3</v>
      </c>
      <c r="X555" s="4" t="str">
        <f ca="1">IFERROR(__xludf.DUMMYFUNCTION("""COMPUTED_VALUE"""),"10. Otros")</f>
        <v>10. Otros</v>
      </c>
      <c r="Y555" s="4" t="str">
        <f ca="1">IFERROR(__xludf.DUMMYFUNCTION("""COMPUTED_VALUE""")," Otros")</f>
        <v xml:space="preserve"> Otros</v>
      </c>
      <c r="Z555" s="132" t="str">
        <f ca="1">IFERROR(__xludf.DUMMYFUNCTION("""COMPUTED_VALUE"""),"261874")</f>
        <v>261874</v>
      </c>
      <c r="AA555" s="4" t="str">
        <f ca="1">IFERROR(__xludf.DUMMYFUNCTION("""COMPUTED_VALUE"""),"Libranzas - Parametría Línea Base en Bonita 7")</f>
        <v>Libranzas - Parametría Línea Base en Bonita 7</v>
      </c>
      <c r="AB555" s="4" t="str">
        <f ca="1">IFERROR(__xludf.DUMMYFUNCTION("""COMPUTED_VALUE"""),"Libranzas - Parametría Línea Base en Bonita 7")</f>
        <v>Libranzas - Parametría Línea Base en Bonita 7</v>
      </c>
      <c r="AC555" s="4" t="str">
        <f ca="1">IFERROR(__xludf.DUMMYFUNCTION("""COMPUTED_VALUE"""),"1Q 2022")</f>
        <v>1Q 2022</v>
      </c>
      <c r="AD555" s="4"/>
      <c r="AE555" s="4"/>
      <c r="AF555" s="4"/>
      <c r="AG555" s="4"/>
      <c r="AH555" s="4"/>
      <c r="AI555" s="4"/>
      <c r="AJ555" s="4"/>
      <c r="AK555" s="4" t="str">
        <f ca="1">IFERROR(__xludf.DUMMYFUNCTION("""COMPUTED_VALUE"""),"Sin asignar")</f>
        <v>Sin asignar</v>
      </c>
      <c r="AL555" s="4" t="str">
        <f ca="1">IFERROR(__xludf.DUMMYFUNCTION("""COMPUTED_VALUE"""),"Sin asignar")</f>
        <v>Sin asignar</v>
      </c>
      <c r="AM555" s="4" t="str">
        <f ca="1">IFERROR(__xludf.DUMMYFUNCTION("""COMPUTED_VALUE"""),"Entregable Finalizado")</f>
        <v>Entregable Finalizado</v>
      </c>
      <c r="AN555" s="4" t="str">
        <f ca="1">IFERROR(__xludf.DUMMYFUNCTION("""COMPUTED_VALUE"""),"Finalizado")</f>
        <v>Finalizado</v>
      </c>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row>
    <row r="556" spans="1:132" x14ac:dyDescent="0.2">
      <c r="A556" s="4">
        <f ca="1">IFERROR(__xludf.DUMMYFUNCTION("""COMPUTED_VALUE"""),556)</f>
        <v>556</v>
      </c>
      <c r="B556" s="4">
        <f ca="1">IFERROR(__xludf.DUMMYFUNCTION("""COMPUTED_VALUE"""),528)</f>
        <v>528</v>
      </c>
      <c r="C556" s="4" t="str">
        <f ca="1">IFERROR(__xludf.DUMMYFUNCTION("""COMPUTED_VALUE"""),"SDATOOL-35329")</f>
        <v>SDATOOL-35329</v>
      </c>
      <c r="D556" s="4" t="str">
        <f ca="1">IFERROR(__xludf.DUMMYFUNCTION("""COMPUTED_VALUE"""),"Activo Particular 2021")</f>
        <v>Activo Particular 2021</v>
      </c>
      <c r="E556"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6" s="4" t="str">
        <f ca="1">IFERROR(__xludf.DUMMYFUNCTION("""COMPUTED_VALUE"""),"Project")</f>
        <v>Project</v>
      </c>
      <c r="G556" s="4" t="str">
        <f ca="1">IFERROR(__xludf.DUMMYFUNCTION("""COMPUTED_VALUE"""),"On hold")</f>
        <v>On hold</v>
      </c>
      <c r="H556" s="4" t="str">
        <f ca="1">IFERROR(__xludf.DUMMYFUNCTION("""COMPUTED_VALUE"""),"2Q 2023")</f>
        <v>2Q 2023</v>
      </c>
      <c r="I556" s="131" t="str">
        <f ca="1">IFERROR(__xludf.DUMMYFUNCTION("""COMPUTED_VALUE"""),"alirio.bermudez-bbva.com")</f>
        <v>alirio.bermudez-bbva.com</v>
      </c>
      <c r="J556" s="131" t="str">
        <f ca="1">IFERROR(__xludf.DUMMYFUNCTION("""COMPUTED_VALUE"""),"marthapatric.cruz-bbva.com")</f>
        <v>marthapatric.cruz-bbva.com</v>
      </c>
      <c r="K556" s="131" t="str">
        <f ca="1">IFERROR(__xludf.DUMMYFUNCTION("""COMPUTED_VALUE"""),"monica.zamudio-bbva.com")</f>
        <v>monica.zamudio-bbva.com</v>
      </c>
      <c r="L556" s="4"/>
      <c r="M556" s="4"/>
      <c r="N556" s="4"/>
      <c r="O556" s="4" t="str">
        <f ca="1">IFERROR(__xludf.DUMMYFUNCTION("""COMPUTED_VALUE"""),"Waterfall")</f>
        <v>Waterfall</v>
      </c>
      <c r="P556" s="4" t="str">
        <f ca="1">IFERROR(__xludf.DUMMYFUNCTION("""COMPUTED_VALUE"""),"Tradicional")</f>
        <v>Tradicional</v>
      </c>
      <c r="Q556" s="4"/>
      <c r="R556" s="130" t="str">
        <f ca="1">IFERROR(__xludf.DUMMYFUNCTION("""COMPUTED_VALUE"""),"Retail Execution")</f>
        <v>Retail Execution</v>
      </c>
      <c r="S556" s="130" t="str">
        <f ca="1">IFERROR(__xludf.DUMMYFUNCTION("""COMPUTED_VALUE""")," Otros")</f>
        <v xml:space="preserve"> Otros</v>
      </c>
      <c r="T556" s="130" t="str">
        <f ca="1">IFERROR(__xludf.DUMMYFUNCTION("""COMPUTED_VALUE"""),"Otros")</f>
        <v>Otros</v>
      </c>
      <c r="U556" s="130" t="str">
        <f ca="1">IFERROR(__xludf.DUMMYFUNCTION("""COMPUTED_VALUE"""),"No Aplica")</f>
        <v>No Aplica</v>
      </c>
      <c r="V556" s="4" t="str">
        <f ca="1">IFERROR(__xludf.DUMMYFUNCTION("""COMPUTED_VALUE"""),"Seguros")</f>
        <v>Seguros</v>
      </c>
      <c r="W556" s="4">
        <f ca="1">IFERROR(__xludf.DUMMYFUNCTION("""COMPUTED_VALUE"""),3)</f>
        <v>3</v>
      </c>
      <c r="X556" s="4" t="str">
        <f ca="1">IFERROR(__xludf.DUMMYFUNCTION("""COMPUTED_VALUE"""),"10. Otros")</f>
        <v>10. Otros</v>
      </c>
      <c r="Y556" s="4" t="str">
        <f ca="1">IFERROR(__xludf.DUMMYFUNCTION("""COMPUTED_VALUE""")," Otros")</f>
        <v xml:space="preserve"> Otros</v>
      </c>
      <c r="Z556" s="132" t="str">
        <f ca="1">IFERROR(__xludf.DUMMYFUNCTION("""COMPUTED_VALUE"""),"489997")</f>
        <v>489997</v>
      </c>
      <c r="AA556" s="4" t="str">
        <f ca="1">IFERROR(__xludf.DUMMYFUNCTION("""COMPUTED_VALUE"""),"Pruebas Consumo Flexible - Consumo Puro")</f>
        <v>Pruebas Consumo Flexible - Consumo Puro</v>
      </c>
      <c r="AB556" s="4" t="str">
        <f ca="1">IFERROR(__xludf.DUMMYFUNCTION("""COMPUTED_VALUE"""),"Pruebas de la funcionalidad de consumo flexible con los subproductos de consumo puro.")</f>
        <v>Pruebas de la funcionalidad de consumo flexible con los subproductos de consumo puro.</v>
      </c>
      <c r="AC556" s="4" t="str">
        <f ca="1">IFERROR(__xludf.DUMMYFUNCTION("""COMPUTED_VALUE"""),"4Q 2022")</f>
        <v>4Q 2022</v>
      </c>
      <c r="AD556" s="4"/>
      <c r="AE556" s="4"/>
      <c r="AF556" s="4"/>
      <c r="AG556" s="4"/>
      <c r="AH556" s="4"/>
      <c r="AI556" s="4"/>
      <c r="AJ556" s="4"/>
      <c r="AK556" s="4" t="str">
        <f ca="1">IFERROR(__xludf.DUMMYFUNCTION("""COMPUTED_VALUE"""),"Sin asignar")</f>
        <v>Sin asignar</v>
      </c>
      <c r="AL556" s="4" t="str">
        <f ca="1">IFERROR(__xludf.DUMMYFUNCTION("""COMPUTED_VALUE"""),"Sin asignar")</f>
        <v>Sin asignar</v>
      </c>
      <c r="AM556" s="4" t="str">
        <f ca="1">IFERROR(__xludf.DUMMYFUNCTION("""COMPUTED_VALUE"""),"Entregable Finalizado")</f>
        <v>Entregable Finalizado</v>
      </c>
      <c r="AN556" s="4" t="str">
        <f ca="1">IFERROR(__xludf.DUMMYFUNCTION("""COMPUTED_VALUE"""),"Finalizado")</f>
        <v>Finalizado</v>
      </c>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row>
    <row r="557" spans="1:132" x14ac:dyDescent="0.2">
      <c r="A557" s="4">
        <f ca="1">IFERROR(__xludf.DUMMYFUNCTION("""COMPUTED_VALUE"""),557)</f>
        <v>557</v>
      </c>
      <c r="B557" s="4">
        <f ca="1">IFERROR(__xludf.DUMMYFUNCTION("""COMPUTED_VALUE"""),529)</f>
        <v>529</v>
      </c>
      <c r="C557" s="4" t="str">
        <f ca="1">IFERROR(__xludf.DUMMYFUNCTION("""COMPUTED_VALUE"""),"SDATOOL-35329")</f>
        <v>SDATOOL-35329</v>
      </c>
      <c r="D557" s="4" t="str">
        <f ca="1">IFERROR(__xludf.DUMMYFUNCTION("""COMPUTED_VALUE"""),"Activo Particular 2021")</f>
        <v>Activo Particular 2021</v>
      </c>
      <c r="E557"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7" s="4" t="str">
        <f ca="1">IFERROR(__xludf.DUMMYFUNCTION("""COMPUTED_VALUE"""),"Project")</f>
        <v>Project</v>
      </c>
      <c r="G557" s="4" t="str">
        <f ca="1">IFERROR(__xludf.DUMMYFUNCTION("""COMPUTED_VALUE"""),"On hold")</f>
        <v>On hold</v>
      </c>
      <c r="H557" s="4" t="str">
        <f ca="1">IFERROR(__xludf.DUMMYFUNCTION("""COMPUTED_VALUE"""),"2Q 2023")</f>
        <v>2Q 2023</v>
      </c>
      <c r="I557" s="131" t="str">
        <f ca="1">IFERROR(__xludf.DUMMYFUNCTION("""COMPUTED_VALUE"""),"alirio.bermudez-bbva.com")</f>
        <v>alirio.bermudez-bbva.com</v>
      </c>
      <c r="J557" s="131" t="str">
        <f ca="1">IFERROR(__xludf.DUMMYFUNCTION("""COMPUTED_VALUE"""),"marthapatric.cruz-bbva.com")</f>
        <v>marthapatric.cruz-bbva.com</v>
      </c>
      <c r="K557" s="131" t="str">
        <f ca="1">IFERROR(__xludf.DUMMYFUNCTION("""COMPUTED_VALUE"""),"monica.zamudio-bbva.com")</f>
        <v>monica.zamudio-bbva.com</v>
      </c>
      <c r="L557" s="4"/>
      <c r="M557" s="4"/>
      <c r="N557" s="4"/>
      <c r="O557" s="4" t="str">
        <f ca="1">IFERROR(__xludf.DUMMYFUNCTION("""COMPUTED_VALUE"""),"Waterfall")</f>
        <v>Waterfall</v>
      </c>
      <c r="P557" s="4" t="str">
        <f ca="1">IFERROR(__xludf.DUMMYFUNCTION("""COMPUTED_VALUE"""),"Tradicional")</f>
        <v>Tradicional</v>
      </c>
      <c r="Q557" s="4"/>
      <c r="R557" s="130" t="str">
        <f ca="1">IFERROR(__xludf.DUMMYFUNCTION("""COMPUTED_VALUE"""),"Retail Execution")</f>
        <v>Retail Execution</v>
      </c>
      <c r="S557" s="130" t="str">
        <f ca="1">IFERROR(__xludf.DUMMYFUNCTION("""COMPUTED_VALUE""")," Otros")</f>
        <v xml:space="preserve"> Otros</v>
      </c>
      <c r="T557" s="130" t="str">
        <f ca="1">IFERROR(__xludf.DUMMYFUNCTION("""COMPUTED_VALUE"""),"Otros")</f>
        <v>Otros</v>
      </c>
      <c r="U557" s="130" t="str">
        <f ca="1">IFERROR(__xludf.DUMMYFUNCTION("""COMPUTED_VALUE"""),"No Aplica")</f>
        <v>No Aplica</v>
      </c>
      <c r="V557" s="4" t="str">
        <f ca="1">IFERROR(__xludf.DUMMYFUNCTION("""COMPUTED_VALUE"""),"Seguros")</f>
        <v>Seguros</v>
      </c>
      <c r="W557" s="4">
        <f ca="1">IFERROR(__xludf.DUMMYFUNCTION("""COMPUTED_VALUE"""),3)</f>
        <v>3</v>
      </c>
      <c r="X557" s="4" t="str">
        <f ca="1">IFERROR(__xludf.DUMMYFUNCTION("""COMPUTED_VALUE"""),"10. Otros")</f>
        <v>10. Otros</v>
      </c>
      <c r="Y557" s="4" t="str">
        <f ca="1">IFERROR(__xludf.DUMMYFUNCTION("""COMPUTED_VALUE""")," Otros")</f>
        <v xml:space="preserve"> Otros</v>
      </c>
      <c r="Z557" s="132" t="str">
        <f ca="1">IFERROR(__xludf.DUMMYFUNCTION("""COMPUTED_VALUE"""),"436110")</f>
        <v>436110</v>
      </c>
      <c r="AA557" s="4" t="str">
        <f ca="1">IFERROR(__xludf.DUMMYFUNCTION("""COMPUTED_VALUE"""),"Pruebas Vehículos Tasa Variable")</f>
        <v>Pruebas Vehículos Tasa Variable</v>
      </c>
      <c r="AB557" s="4" t="str">
        <f ca="1">IFERROR(__xludf.DUMMYFUNCTION("""COMPUTED_VALUE"""),"Pruebas Vehículos Tasa Variable")</f>
        <v>Pruebas Vehículos Tasa Variable</v>
      </c>
      <c r="AC557" s="4" t="str">
        <f ca="1">IFERROR(__xludf.DUMMYFUNCTION("""COMPUTED_VALUE"""),"4Q 2022")</f>
        <v>4Q 2022</v>
      </c>
      <c r="AD557" s="4"/>
      <c r="AE557" s="4"/>
      <c r="AF557" s="4"/>
      <c r="AG557" s="4"/>
      <c r="AH557" s="4"/>
      <c r="AI557" s="4"/>
      <c r="AJ557" s="4"/>
      <c r="AK557" s="131" t="str">
        <f ca="1">IFERROR(__xludf.DUMMYFUNCTION("""COMPUTED_VALUE"""),"COLWSPREST-759")</f>
        <v>COLWSPREST-759</v>
      </c>
      <c r="AL557" s="4" t="str">
        <f ca="1">IFERROR(__xludf.DUMMYFUNCTION("""COMPUTED_VALUE"""),"Deployed")</f>
        <v>Deployed</v>
      </c>
      <c r="AM557" s="4" t="str">
        <f ca="1">IFERROR(__xludf.DUMMYFUNCTION("""COMPUTED_VALUE"""),"Entregable Finalizado")</f>
        <v>Entregable Finalizado</v>
      </c>
      <c r="AN557" s="4" t="str">
        <f ca="1">IFERROR(__xludf.DUMMYFUNCTION("""COMPUTED_VALUE"""),"Finalizado")</f>
        <v>Finalizado</v>
      </c>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row>
    <row r="558" spans="1:132" x14ac:dyDescent="0.2">
      <c r="A558" s="4">
        <f ca="1">IFERROR(__xludf.DUMMYFUNCTION("""COMPUTED_VALUE"""),558)</f>
        <v>558</v>
      </c>
      <c r="B558" s="4">
        <f ca="1">IFERROR(__xludf.DUMMYFUNCTION("""COMPUTED_VALUE"""),530)</f>
        <v>530</v>
      </c>
      <c r="C558" s="4" t="str">
        <f ca="1">IFERROR(__xludf.DUMMYFUNCTION("""COMPUTED_VALUE"""),"SDATOOL-35329")</f>
        <v>SDATOOL-35329</v>
      </c>
      <c r="D558" s="4" t="str">
        <f ca="1">IFERROR(__xludf.DUMMYFUNCTION("""COMPUTED_VALUE"""),"Activo Particular 2021")</f>
        <v>Activo Particular 2021</v>
      </c>
      <c r="E558"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8" s="4" t="str">
        <f ca="1">IFERROR(__xludf.DUMMYFUNCTION("""COMPUTED_VALUE"""),"Project")</f>
        <v>Project</v>
      </c>
      <c r="G558" s="4" t="str">
        <f ca="1">IFERROR(__xludf.DUMMYFUNCTION("""COMPUTED_VALUE"""),"On hold")</f>
        <v>On hold</v>
      </c>
      <c r="H558" s="4" t="str">
        <f ca="1">IFERROR(__xludf.DUMMYFUNCTION("""COMPUTED_VALUE"""),"2Q 2023")</f>
        <v>2Q 2023</v>
      </c>
      <c r="I558" s="131" t="str">
        <f ca="1">IFERROR(__xludf.DUMMYFUNCTION("""COMPUTED_VALUE"""),"alirio.bermudez-bbva.com")</f>
        <v>alirio.bermudez-bbva.com</v>
      </c>
      <c r="J558" s="131" t="str">
        <f ca="1">IFERROR(__xludf.DUMMYFUNCTION("""COMPUTED_VALUE"""),"marthapatric.cruz-bbva.com")</f>
        <v>marthapatric.cruz-bbva.com</v>
      </c>
      <c r="K558" s="131" t="str">
        <f ca="1">IFERROR(__xludf.DUMMYFUNCTION("""COMPUTED_VALUE"""),"monica.zamudio-bbva.com")</f>
        <v>monica.zamudio-bbva.com</v>
      </c>
      <c r="L558" s="4"/>
      <c r="M558" s="4"/>
      <c r="N558" s="4"/>
      <c r="O558" s="4" t="str">
        <f ca="1">IFERROR(__xludf.DUMMYFUNCTION("""COMPUTED_VALUE"""),"Waterfall")</f>
        <v>Waterfall</v>
      </c>
      <c r="P558" s="4" t="str">
        <f ca="1">IFERROR(__xludf.DUMMYFUNCTION("""COMPUTED_VALUE"""),"Tradicional")</f>
        <v>Tradicional</v>
      </c>
      <c r="Q558" s="4"/>
      <c r="R558" s="130" t="str">
        <f ca="1">IFERROR(__xludf.DUMMYFUNCTION("""COMPUTED_VALUE"""),"Retail Execution")</f>
        <v>Retail Execution</v>
      </c>
      <c r="S558" s="130" t="str">
        <f ca="1">IFERROR(__xludf.DUMMYFUNCTION("""COMPUTED_VALUE""")," Otros")</f>
        <v xml:space="preserve"> Otros</v>
      </c>
      <c r="T558" s="130" t="str">
        <f ca="1">IFERROR(__xludf.DUMMYFUNCTION("""COMPUTED_VALUE"""),"Otros")</f>
        <v>Otros</v>
      </c>
      <c r="U558" s="130" t="str">
        <f ca="1">IFERROR(__xludf.DUMMYFUNCTION("""COMPUTED_VALUE"""),"No Aplica")</f>
        <v>No Aplica</v>
      </c>
      <c r="V558" s="4" t="str">
        <f ca="1">IFERROR(__xludf.DUMMYFUNCTION("""COMPUTED_VALUE"""),"Seguros")</f>
        <v>Seguros</v>
      </c>
      <c r="W558" s="4">
        <f ca="1">IFERROR(__xludf.DUMMYFUNCTION("""COMPUTED_VALUE"""),3)</f>
        <v>3</v>
      </c>
      <c r="X558" s="4" t="str">
        <f ca="1">IFERROR(__xludf.DUMMYFUNCTION("""COMPUTED_VALUE"""),"10. Otros")</f>
        <v>10. Otros</v>
      </c>
      <c r="Y558" s="4" t="str">
        <f ca="1">IFERROR(__xludf.DUMMYFUNCTION("""COMPUTED_VALUE""")," Otros")</f>
        <v xml:space="preserve"> Otros</v>
      </c>
      <c r="Z558" s="132" t="str">
        <f ca="1">IFERROR(__xludf.DUMMYFUNCTION("""COMPUTED_VALUE"""),"213587")</f>
        <v>213587</v>
      </c>
      <c r="AA558" s="4" t="str">
        <f ca="1">IFERROR(__xludf.DUMMYFUNCTION("""COMPUTED_VALUE"""),"Subsidios no VIS fase 1")</f>
        <v>Subsidios no VIS fase 1</v>
      </c>
      <c r="AB558" s="4" t="str">
        <f ca="1">IFERROR(__xludf.DUMMYFUNCTION("""COMPUTED_VALUE"""),"Fase 1 
Alta del producto
Parámetrias 
Definiciones contables 
Simuladores financieros")</f>
        <v>Fase 1 
Alta del producto
Parámetrias 
Definiciones contables 
Simuladores financieros</v>
      </c>
      <c r="AC558" s="4" t="str">
        <f ca="1">IFERROR(__xludf.DUMMYFUNCTION("""COMPUTED_VALUE"""),"2Q 2021")</f>
        <v>2Q 2021</v>
      </c>
      <c r="AD558" s="4"/>
      <c r="AE558" s="4"/>
      <c r="AF558" s="4"/>
      <c r="AG558" s="4"/>
      <c r="AH558" s="4"/>
      <c r="AI558" s="4"/>
      <c r="AJ558" s="4"/>
      <c r="AK558" s="4" t="str">
        <f ca="1">IFERROR(__xludf.DUMMYFUNCTION("""COMPUTED_VALUE"""),"Sin asignar")</f>
        <v>Sin asignar</v>
      </c>
      <c r="AL558" s="4" t="str">
        <f ca="1">IFERROR(__xludf.DUMMYFUNCTION("""COMPUTED_VALUE"""),"Sin asignar")</f>
        <v>Sin asignar</v>
      </c>
      <c r="AM558" s="4" t="str">
        <f ca="1">IFERROR(__xludf.DUMMYFUNCTION("""COMPUTED_VALUE"""),"Entregable Finalizado")</f>
        <v>Entregable Finalizado</v>
      </c>
      <c r="AN558" s="4" t="str">
        <f ca="1">IFERROR(__xludf.DUMMYFUNCTION("""COMPUTED_VALUE"""),"Finalizado")</f>
        <v>Finalizado</v>
      </c>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row>
    <row r="559" spans="1:132" x14ac:dyDescent="0.2">
      <c r="A559" s="4">
        <f ca="1">IFERROR(__xludf.DUMMYFUNCTION("""COMPUTED_VALUE"""),559)</f>
        <v>559</v>
      </c>
      <c r="B559" s="4">
        <f ca="1">IFERROR(__xludf.DUMMYFUNCTION("""COMPUTED_VALUE"""),531)</f>
        <v>531</v>
      </c>
      <c r="C559" s="4" t="str">
        <f ca="1">IFERROR(__xludf.DUMMYFUNCTION("""COMPUTED_VALUE"""),"SDATOOL-35329")</f>
        <v>SDATOOL-35329</v>
      </c>
      <c r="D559" s="4" t="str">
        <f ca="1">IFERROR(__xludf.DUMMYFUNCTION("""COMPUTED_VALUE"""),"Activo Particular 2021")</f>
        <v>Activo Particular 2021</v>
      </c>
      <c r="E559"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9" s="4" t="str">
        <f ca="1">IFERROR(__xludf.DUMMYFUNCTION("""COMPUTED_VALUE"""),"Project")</f>
        <v>Project</v>
      </c>
      <c r="G559" s="4" t="str">
        <f ca="1">IFERROR(__xludf.DUMMYFUNCTION("""COMPUTED_VALUE"""),"On hold")</f>
        <v>On hold</v>
      </c>
      <c r="H559" s="4" t="str">
        <f ca="1">IFERROR(__xludf.DUMMYFUNCTION("""COMPUTED_VALUE"""),"2Q 2023")</f>
        <v>2Q 2023</v>
      </c>
      <c r="I559" s="131" t="str">
        <f ca="1">IFERROR(__xludf.DUMMYFUNCTION("""COMPUTED_VALUE"""),"alirio.bermudez-bbva.com")</f>
        <v>alirio.bermudez-bbva.com</v>
      </c>
      <c r="J559" s="131" t="str">
        <f ca="1">IFERROR(__xludf.DUMMYFUNCTION("""COMPUTED_VALUE"""),"marthapatric.cruz-bbva.com")</f>
        <v>marthapatric.cruz-bbva.com</v>
      </c>
      <c r="K559" s="131" t="str">
        <f ca="1">IFERROR(__xludf.DUMMYFUNCTION("""COMPUTED_VALUE"""),"monica.zamudio-bbva.com")</f>
        <v>monica.zamudio-bbva.com</v>
      </c>
      <c r="L559" s="4"/>
      <c r="M559" s="4"/>
      <c r="N559" s="4"/>
      <c r="O559" s="4" t="str">
        <f ca="1">IFERROR(__xludf.DUMMYFUNCTION("""COMPUTED_VALUE"""),"Waterfall")</f>
        <v>Waterfall</v>
      </c>
      <c r="P559" s="4" t="str">
        <f ca="1">IFERROR(__xludf.DUMMYFUNCTION("""COMPUTED_VALUE"""),"Tradicional")</f>
        <v>Tradicional</v>
      </c>
      <c r="Q559" s="4"/>
      <c r="R559" s="130" t="str">
        <f ca="1">IFERROR(__xludf.DUMMYFUNCTION("""COMPUTED_VALUE"""),"Retail Execution")</f>
        <v>Retail Execution</v>
      </c>
      <c r="S559" s="130" t="str">
        <f ca="1">IFERROR(__xludf.DUMMYFUNCTION("""COMPUTED_VALUE""")," Otros")</f>
        <v xml:space="preserve"> Otros</v>
      </c>
      <c r="T559" s="130" t="str">
        <f ca="1">IFERROR(__xludf.DUMMYFUNCTION("""COMPUTED_VALUE"""),"Otros")</f>
        <v>Otros</v>
      </c>
      <c r="U559" s="130" t="str">
        <f ca="1">IFERROR(__xludf.DUMMYFUNCTION("""COMPUTED_VALUE"""),"No Aplica")</f>
        <v>No Aplica</v>
      </c>
      <c r="V559" s="4" t="str">
        <f ca="1">IFERROR(__xludf.DUMMYFUNCTION("""COMPUTED_VALUE"""),"Seguros")</f>
        <v>Seguros</v>
      </c>
      <c r="W559" s="4">
        <f ca="1">IFERROR(__xludf.DUMMYFUNCTION("""COMPUTED_VALUE"""),3)</f>
        <v>3</v>
      </c>
      <c r="X559" s="4" t="str">
        <f ca="1">IFERROR(__xludf.DUMMYFUNCTION("""COMPUTED_VALUE"""),"10. Otros")</f>
        <v>10. Otros</v>
      </c>
      <c r="Y559" s="4" t="str">
        <f ca="1">IFERROR(__xludf.DUMMYFUNCTION("""COMPUTED_VALUE""")," Otros")</f>
        <v xml:space="preserve"> Otros</v>
      </c>
      <c r="Z559" s="132" t="str">
        <f ca="1">IFERROR(__xludf.DUMMYFUNCTION("""COMPUTED_VALUE"""),"213588")</f>
        <v>213588</v>
      </c>
      <c r="AA559" s="4" t="str">
        <f ca="1">IFERROR(__xludf.DUMMYFUNCTION("""COMPUTED_VALUE"""),"Subsidios no VIS FASE 2")</f>
        <v>Subsidios no VIS FASE 2</v>
      </c>
      <c r="AB559" s="4" t="str">
        <f ca="1">IFERROR(__xludf.DUMMYFUNCTION("""COMPUTED_VALUE"""),"Fase 2
Amortizaciones pagos y Abonos   
Desarrollos para UVR
Extractos")</f>
        <v>Fase 2
Amortizaciones pagos y Abonos   
Desarrollos para UVR
Extractos</v>
      </c>
      <c r="AC559" s="4" t="str">
        <f ca="1">IFERROR(__xludf.DUMMYFUNCTION("""COMPUTED_VALUE"""),"2Q 2021")</f>
        <v>2Q 2021</v>
      </c>
      <c r="AD559" s="4"/>
      <c r="AE559" s="4"/>
      <c r="AF559" s="4"/>
      <c r="AG559" s="4"/>
      <c r="AH559" s="4"/>
      <c r="AI559" s="4"/>
      <c r="AJ559" s="4"/>
      <c r="AK559" s="4" t="str">
        <f ca="1">IFERROR(__xludf.DUMMYFUNCTION("""COMPUTED_VALUE"""),"Sin asignar")</f>
        <v>Sin asignar</v>
      </c>
      <c r="AL559" s="4" t="str">
        <f ca="1">IFERROR(__xludf.DUMMYFUNCTION("""COMPUTED_VALUE"""),"Sin asignar")</f>
        <v>Sin asignar</v>
      </c>
      <c r="AM559" s="4" t="str">
        <f ca="1">IFERROR(__xludf.DUMMYFUNCTION("""COMPUTED_VALUE"""),"Entregable Finalizado")</f>
        <v>Entregable Finalizado</v>
      </c>
      <c r="AN559" s="4" t="str">
        <f ca="1">IFERROR(__xludf.DUMMYFUNCTION("""COMPUTED_VALUE"""),"Finalizado")</f>
        <v>Finalizado</v>
      </c>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row>
    <row r="560" spans="1:132" x14ac:dyDescent="0.2">
      <c r="A560" s="4">
        <f ca="1">IFERROR(__xludf.DUMMYFUNCTION("""COMPUTED_VALUE"""),560)</f>
        <v>560</v>
      </c>
      <c r="B560" s="4">
        <f ca="1">IFERROR(__xludf.DUMMYFUNCTION("""COMPUTED_VALUE"""),532)</f>
        <v>532</v>
      </c>
      <c r="C560" s="4" t="str">
        <f ca="1">IFERROR(__xludf.DUMMYFUNCTION("""COMPUTED_VALUE"""),"SDATOOL-35329")</f>
        <v>SDATOOL-35329</v>
      </c>
      <c r="D560" s="4" t="str">
        <f ca="1">IFERROR(__xludf.DUMMYFUNCTION("""COMPUTED_VALUE"""),"Activo Particular 2021")</f>
        <v>Activo Particular 2021</v>
      </c>
      <c r="E560"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0" s="4" t="str">
        <f ca="1">IFERROR(__xludf.DUMMYFUNCTION("""COMPUTED_VALUE"""),"Project")</f>
        <v>Project</v>
      </c>
      <c r="G560" s="4" t="str">
        <f ca="1">IFERROR(__xludf.DUMMYFUNCTION("""COMPUTED_VALUE"""),"On hold")</f>
        <v>On hold</v>
      </c>
      <c r="H560" s="4" t="str">
        <f ca="1">IFERROR(__xludf.DUMMYFUNCTION("""COMPUTED_VALUE"""),"2Q 2023")</f>
        <v>2Q 2023</v>
      </c>
      <c r="I560" s="131" t="str">
        <f ca="1">IFERROR(__xludf.DUMMYFUNCTION("""COMPUTED_VALUE"""),"alirio.bermudez-bbva.com")</f>
        <v>alirio.bermudez-bbva.com</v>
      </c>
      <c r="J560" s="131" t="str">
        <f ca="1">IFERROR(__xludf.DUMMYFUNCTION("""COMPUTED_VALUE"""),"marthapatric.cruz-bbva.com")</f>
        <v>marthapatric.cruz-bbva.com</v>
      </c>
      <c r="K560" s="131" t="str">
        <f ca="1">IFERROR(__xludf.DUMMYFUNCTION("""COMPUTED_VALUE"""),"monica.zamudio-bbva.com")</f>
        <v>monica.zamudio-bbva.com</v>
      </c>
      <c r="L560" s="4"/>
      <c r="M560" s="4"/>
      <c r="N560" s="4"/>
      <c r="O560" s="4" t="str">
        <f ca="1">IFERROR(__xludf.DUMMYFUNCTION("""COMPUTED_VALUE"""),"Waterfall")</f>
        <v>Waterfall</v>
      </c>
      <c r="P560" s="4" t="str">
        <f ca="1">IFERROR(__xludf.DUMMYFUNCTION("""COMPUTED_VALUE"""),"Tradicional")</f>
        <v>Tradicional</v>
      </c>
      <c r="Q560" s="4"/>
      <c r="R560" s="130" t="str">
        <f ca="1">IFERROR(__xludf.DUMMYFUNCTION("""COMPUTED_VALUE"""),"Retail Execution")</f>
        <v>Retail Execution</v>
      </c>
      <c r="S560" s="130" t="str">
        <f ca="1">IFERROR(__xludf.DUMMYFUNCTION("""COMPUTED_VALUE""")," Otros")</f>
        <v xml:space="preserve"> Otros</v>
      </c>
      <c r="T560" s="130" t="str">
        <f ca="1">IFERROR(__xludf.DUMMYFUNCTION("""COMPUTED_VALUE"""),"Otros")</f>
        <v>Otros</v>
      </c>
      <c r="U560" s="130" t="str">
        <f ca="1">IFERROR(__xludf.DUMMYFUNCTION("""COMPUTED_VALUE"""),"No Aplica")</f>
        <v>No Aplica</v>
      </c>
      <c r="V560" s="4" t="str">
        <f ca="1">IFERROR(__xludf.DUMMYFUNCTION("""COMPUTED_VALUE"""),"Seguros")</f>
        <v>Seguros</v>
      </c>
      <c r="W560" s="4">
        <f ca="1">IFERROR(__xludf.DUMMYFUNCTION("""COMPUTED_VALUE"""),3)</f>
        <v>3</v>
      </c>
      <c r="X560" s="4" t="str">
        <f ca="1">IFERROR(__xludf.DUMMYFUNCTION("""COMPUTED_VALUE"""),"10. Otros")</f>
        <v>10. Otros</v>
      </c>
      <c r="Y560" s="4" t="str">
        <f ca="1">IFERROR(__xludf.DUMMYFUNCTION("""COMPUTED_VALUE""")," Otros")</f>
        <v xml:space="preserve"> Otros</v>
      </c>
      <c r="Z560" s="132" t="str">
        <f ca="1">IFERROR(__xludf.DUMMYFUNCTION("""COMPUTED_VALUE"""),"213589")</f>
        <v>213589</v>
      </c>
      <c r="AA560" s="4" t="str">
        <f ca="1">IFERROR(__xludf.DUMMYFUNCTION("""COMPUTED_VALUE"""),"Subsidios no VIS fase 3")</f>
        <v>Subsidios no VIS fase 3</v>
      </c>
      <c r="AB560" s="4" t="str">
        <f ca="1">IFERROR(__xludf.DUMMYFUNCTION("""COMPUTED_VALUE"""),"Fase 3
Migracion operaciones manuales")</f>
        <v>Fase 3
Migracion operaciones manuales</v>
      </c>
      <c r="AC560" s="4" t="str">
        <f ca="1">IFERROR(__xludf.DUMMYFUNCTION("""COMPUTED_VALUE"""),"3Q 2021")</f>
        <v>3Q 2021</v>
      </c>
      <c r="AD560" s="4"/>
      <c r="AE560" s="4"/>
      <c r="AF560" s="4"/>
      <c r="AG560" s="4"/>
      <c r="AH560" s="4"/>
      <c r="AI560" s="4"/>
      <c r="AJ560" s="4"/>
      <c r="AK560" s="4" t="str">
        <f ca="1">IFERROR(__xludf.DUMMYFUNCTION("""COMPUTED_VALUE"""),"Sin asignar")</f>
        <v>Sin asignar</v>
      </c>
      <c r="AL560" s="4" t="str">
        <f ca="1">IFERROR(__xludf.DUMMYFUNCTION("""COMPUTED_VALUE"""),"Sin asignar")</f>
        <v>Sin asignar</v>
      </c>
      <c r="AM560" s="4" t="str">
        <f ca="1">IFERROR(__xludf.DUMMYFUNCTION("""COMPUTED_VALUE"""),"Entregable Finalizado")</f>
        <v>Entregable Finalizado</v>
      </c>
      <c r="AN560" s="4" t="str">
        <f ca="1">IFERROR(__xludf.DUMMYFUNCTION("""COMPUTED_VALUE"""),"Finalizado")</f>
        <v>Finalizado</v>
      </c>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row>
    <row r="561" spans="1:132" x14ac:dyDescent="0.2">
      <c r="A561" s="4">
        <f ca="1">IFERROR(__xludf.DUMMYFUNCTION("""COMPUTED_VALUE"""),561)</f>
        <v>561</v>
      </c>
      <c r="B561" s="4">
        <f ca="1">IFERROR(__xludf.DUMMYFUNCTION("""COMPUTED_VALUE"""),533)</f>
        <v>533</v>
      </c>
      <c r="C561" s="4" t="str">
        <f ca="1">IFERROR(__xludf.DUMMYFUNCTION("""COMPUTED_VALUE"""),"SDATOOL-35329")</f>
        <v>SDATOOL-35329</v>
      </c>
      <c r="D561" s="4" t="str">
        <f ca="1">IFERROR(__xludf.DUMMYFUNCTION("""COMPUTED_VALUE"""),"Activo Particular 2021")</f>
        <v>Activo Particular 2021</v>
      </c>
      <c r="E561"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1" s="4" t="str">
        <f ca="1">IFERROR(__xludf.DUMMYFUNCTION("""COMPUTED_VALUE"""),"Project")</f>
        <v>Project</v>
      </c>
      <c r="G561" s="4" t="str">
        <f ca="1">IFERROR(__xludf.DUMMYFUNCTION("""COMPUTED_VALUE"""),"On hold")</f>
        <v>On hold</v>
      </c>
      <c r="H561" s="4" t="str">
        <f ca="1">IFERROR(__xludf.DUMMYFUNCTION("""COMPUTED_VALUE"""),"2Q 2023")</f>
        <v>2Q 2023</v>
      </c>
      <c r="I561" s="131" t="str">
        <f ca="1">IFERROR(__xludf.DUMMYFUNCTION("""COMPUTED_VALUE"""),"alirio.bermudez-bbva.com")</f>
        <v>alirio.bermudez-bbva.com</v>
      </c>
      <c r="J561" s="131" t="str">
        <f ca="1">IFERROR(__xludf.DUMMYFUNCTION("""COMPUTED_VALUE"""),"marthapatric.cruz-bbva.com")</f>
        <v>marthapatric.cruz-bbva.com</v>
      </c>
      <c r="K561" s="131" t="str">
        <f ca="1">IFERROR(__xludf.DUMMYFUNCTION("""COMPUTED_VALUE"""),"monica.zamudio-bbva.com")</f>
        <v>monica.zamudio-bbva.com</v>
      </c>
      <c r="L561" s="4"/>
      <c r="M561" s="4"/>
      <c r="N561" s="4"/>
      <c r="O561" s="4" t="str">
        <f ca="1">IFERROR(__xludf.DUMMYFUNCTION("""COMPUTED_VALUE"""),"Waterfall")</f>
        <v>Waterfall</v>
      </c>
      <c r="P561" s="4" t="str">
        <f ca="1">IFERROR(__xludf.DUMMYFUNCTION("""COMPUTED_VALUE"""),"Tradicional")</f>
        <v>Tradicional</v>
      </c>
      <c r="Q561" s="4"/>
      <c r="R561" s="130" t="str">
        <f ca="1">IFERROR(__xludf.DUMMYFUNCTION("""COMPUTED_VALUE"""),"Retail Execution")</f>
        <v>Retail Execution</v>
      </c>
      <c r="S561" s="130" t="str">
        <f ca="1">IFERROR(__xludf.DUMMYFUNCTION("""COMPUTED_VALUE""")," Otros")</f>
        <v xml:space="preserve"> Otros</v>
      </c>
      <c r="T561" s="130" t="str">
        <f ca="1">IFERROR(__xludf.DUMMYFUNCTION("""COMPUTED_VALUE"""),"Otros")</f>
        <v>Otros</v>
      </c>
      <c r="U561" s="130" t="str">
        <f ca="1">IFERROR(__xludf.DUMMYFUNCTION("""COMPUTED_VALUE"""),"No Aplica")</f>
        <v>No Aplica</v>
      </c>
      <c r="V561" s="4" t="str">
        <f ca="1">IFERROR(__xludf.DUMMYFUNCTION("""COMPUTED_VALUE"""),"Seguros")</f>
        <v>Seguros</v>
      </c>
      <c r="W561" s="4">
        <f ca="1">IFERROR(__xludf.DUMMYFUNCTION("""COMPUTED_VALUE"""),3)</f>
        <v>3</v>
      </c>
      <c r="X561" s="4" t="str">
        <f ca="1">IFERROR(__xludf.DUMMYFUNCTION("""COMPUTED_VALUE"""),"10. Otros")</f>
        <v>10. Otros</v>
      </c>
      <c r="Y561" s="4" t="str">
        <f ca="1">IFERROR(__xludf.DUMMYFUNCTION("""COMPUTED_VALUE""")," Otros")</f>
        <v xml:space="preserve"> Otros</v>
      </c>
      <c r="Z561" s="132" t="str">
        <f ca="1">IFERROR(__xludf.DUMMYFUNCTION("""COMPUTED_VALUE"""),"213590")</f>
        <v>213590</v>
      </c>
      <c r="AA561" s="4" t="str">
        <f ca="1">IFERROR(__xludf.DUMMYFUNCTION("""COMPUTED_VALUE"""),"Subsidios no VIS fase 4")</f>
        <v>Subsidios no VIS fase 4</v>
      </c>
      <c r="AB561" s="4" t="str">
        <f ca="1">IFERROR(__xludf.DUMMYFUNCTION("""COMPUTED_VALUE"""),"Fase 4
Reportería Banco de la república 
Cancelaciones 
Ajustes")</f>
        <v>Fase 4
Reportería Banco de la república 
Cancelaciones 
Ajustes</v>
      </c>
      <c r="AC561" s="4" t="str">
        <f ca="1">IFERROR(__xludf.DUMMYFUNCTION("""COMPUTED_VALUE"""),"4Q 2021")</f>
        <v>4Q 2021</v>
      </c>
      <c r="AD561" s="4"/>
      <c r="AE561" s="4"/>
      <c r="AF561" s="4"/>
      <c r="AG561" s="4"/>
      <c r="AH561" s="4"/>
      <c r="AI561" s="4"/>
      <c r="AJ561" s="4"/>
      <c r="AK561" s="4" t="str">
        <f ca="1">IFERROR(__xludf.DUMMYFUNCTION("""COMPUTED_VALUE"""),"Sin asignar")</f>
        <v>Sin asignar</v>
      </c>
      <c r="AL561" s="4" t="str">
        <f ca="1">IFERROR(__xludf.DUMMYFUNCTION("""COMPUTED_VALUE"""),"Sin asignar")</f>
        <v>Sin asignar</v>
      </c>
      <c r="AM561" s="4" t="str">
        <f ca="1">IFERROR(__xludf.DUMMYFUNCTION("""COMPUTED_VALUE"""),"Entregable Finalizado")</f>
        <v>Entregable Finalizado</v>
      </c>
      <c r="AN561" s="4" t="str">
        <f ca="1">IFERROR(__xludf.DUMMYFUNCTION("""COMPUTED_VALUE"""),"Finalizado")</f>
        <v>Finalizado</v>
      </c>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row>
    <row r="562" spans="1:132" x14ac:dyDescent="0.2">
      <c r="A562" s="4">
        <f ca="1">IFERROR(__xludf.DUMMYFUNCTION("""COMPUTED_VALUE"""),562)</f>
        <v>562</v>
      </c>
      <c r="B562" s="4">
        <f ca="1">IFERROR(__xludf.DUMMYFUNCTION("""COMPUTED_VALUE"""),534)</f>
        <v>534</v>
      </c>
      <c r="C562" s="4" t="str">
        <f ca="1">IFERROR(__xludf.DUMMYFUNCTION("""COMPUTED_VALUE"""),"SDATOOL-35329")</f>
        <v>SDATOOL-35329</v>
      </c>
      <c r="D562" s="4" t="str">
        <f ca="1">IFERROR(__xludf.DUMMYFUNCTION("""COMPUTED_VALUE"""),"Activo Particular 2021")</f>
        <v>Activo Particular 2021</v>
      </c>
      <c r="E562"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2" s="4" t="str">
        <f ca="1">IFERROR(__xludf.DUMMYFUNCTION("""COMPUTED_VALUE"""),"Project")</f>
        <v>Project</v>
      </c>
      <c r="G562" s="4" t="str">
        <f ca="1">IFERROR(__xludf.DUMMYFUNCTION("""COMPUTED_VALUE"""),"On hold")</f>
        <v>On hold</v>
      </c>
      <c r="H562" s="4" t="str">
        <f ca="1">IFERROR(__xludf.DUMMYFUNCTION("""COMPUTED_VALUE"""),"2Q 2023")</f>
        <v>2Q 2023</v>
      </c>
      <c r="I562" s="131" t="str">
        <f ca="1">IFERROR(__xludf.DUMMYFUNCTION("""COMPUTED_VALUE"""),"alirio.bermudez-bbva.com")</f>
        <v>alirio.bermudez-bbva.com</v>
      </c>
      <c r="J562" s="131" t="str">
        <f ca="1">IFERROR(__xludf.DUMMYFUNCTION("""COMPUTED_VALUE"""),"marthapatric.cruz-bbva.com")</f>
        <v>marthapatric.cruz-bbva.com</v>
      </c>
      <c r="K562" s="131" t="str">
        <f ca="1">IFERROR(__xludf.DUMMYFUNCTION("""COMPUTED_VALUE"""),"monica.zamudio-bbva.com")</f>
        <v>monica.zamudio-bbva.com</v>
      </c>
      <c r="L562" s="4"/>
      <c r="M562" s="4"/>
      <c r="N562" s="4"/>
      <c r="O562" s="4" t="str">
        <f ca="1">IFERROR(__xludf.DUMMYFUNCTION("""COMPUTED_VALUE"""),"Waterfall")</f>
        <v>Waterfall</v>
      </c>
      <c r="P562" s="4" t="str">
        <f ca="1">IFERROR(__xludf.DUMMYFUNCTION("""COMPUTED_VALUE"""),"Tradicional")</f>
        <v>Tradicional</v>
      </c>
      <c r="Q562" s="4"/>
      <c r="R562" s="130" t="str">
        <f ca="1">IFERROR(__xludf.DUMMYFUNCTION("""COMPUTED_VALUE"""),"Retail Execution")</f>
        <v>Retail Execution</v>
      </c>
      <c r="S562" s="130" t="str">
        <f ca="1">IFERROR(__xludf.DUMMYFUNCTION("""COMPUTED_VALUE""")," Otros")</f>
        <v xml:space="preserve"> Otros</v>
      </c>
      <c r="T562" s="130" t="str">
        <f ca="1">IFERROR(__xludf.DUMMYFUNCTION("""COMPUTED_VALUE"""),"Otros")</f>
        <v>Otros</v>
      </c>
      <c r="U562" s="130" t="str">
        <f ca="1">IFERROR(__xludf.DUMMYFUNCTION("""COMPUTED_VALUE"""),"No Aplica")</f>
        <v>No Aplica</v>
      </c>
      <c r="V562" s="4" t="str">
        <f ca="1">IFERROR(__xludf.DUMMYFUNCTION("""COMPUTED_VALUE"""),"Seguros")</f>
        <v>Seguros</v>
      </c>
      <c r="W562" s="4">
        <f ca="1">IFERROR(__xludf.DUMMYFUNCTION("""COMPUTED_VALUE"""),3)</f>
        <v>3</v>
      </c>
      <c r="X562" s="4" t="str">
        <f ca="1">IFERROR(__xludf.DUMMYFUNCTION("""COMPUTED_VALUE"""),"10. Otros")</f>
        <v>10. Otros</v>
      </c>
      <c r="Y562" s="4" t="str">
        <f ca="1">IFERROR(__xludf.DUMMYFUNCTION("""COMPUTED_VALUE""")," Otros")</f>
        <v xml:space="preserve"> Otros</v>
      </c>
      <c r="Z562" s="132" t="str">
        <f ca="1">IFERROR(__xludf.DUMMYFUNCTION("""COMPUTED_VALUE"""),"261876")</f>
        <v>261876</v>
      </c>
      <c r="AA562" s="4" t="str">
        <f ca="1">IFERROR(__xludf.DUMMYFUNCTION("""COMPUTED_VALUE"""),"Grannet - Módulo nuevo de liquidaciòn de comisiones Concesionarios")</f>
        <v>Grannet - Módulo nuevo de liquidaciòn de comisiones Concesionarios</v>
      </c>
      <c r="AB562" s="4" t="str">
        <f ca="1">IFERROR(__xludf.DUMMYFUNCTION("""COMPUTED_VALUE"""),"Grannet - Módulo nuevo de liquidaciòn de comisiones Concesionarios")</f>
        <v>Grannet - Módulo nuevo de liquidaciòn de comisiones Concesionarios</v>
      </c>
      <c r="AC562" s="4" t="str">
        <f ca="1">IFERROR(__xludf.DUMMYFUNCTION("""COMPUTED_VALUE"""),"2Q 2023")</f>
        <v>2Q 2023</v>
      </c>
      <c r="AD562" s="4"/>
      <c r="AE562" s="4"/>
      <c r="AF562" s="4"/>
      <c r="AG562" s="4"/>
      <c r="AH562" s="4"/>
      <c r="AI562" s="4"/>
      <c r="AJ562" s="4"/>
      <c r="AK562" s="131" t="str">
        <f ca="1">IFERROR(__xludf.DUMMYFUNCTION("""COMPUTED_VALUE"""),"CCSS-7454")</f>
        <v>CCSS-7454</v>
      </c>
      <c r="AL562" s="4" t="str">
        <f ca="1">IFERROR(__xludf.DUMMYFUNCTION("""COMPUTED_VALUE"""),"Deployed")</f>
        <v>Deployed</v>
      </c>
      <c r="AM562" s="4"/>
      <c r="AN562" s="4" t="str">
        <f ca="1">IFERROR(__xludf.DUMMYFUNCTION("""COMPUTED_VALUE"""),"Entregable en desarrollo")</f>
        <v>Entregable en desarrollo</v>
      </c>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row>
    <row r="563" spans="1:132" x14ac:dyDescent="0.2">
      <c r="A563" s="4">
        <f ca="1">IFERROR(__xludf.DUMMYFUNCTION("""COMPUTED_VALUE"""),563)</f>
        <v>563</v>
      </c>
      <c r="B563" s="4">
        <f ca="1">IFERROR(__xludf.DUMMYFUNCTION("""COMPUTED_VALUE"""),535)</f>
        <v>535</v>
      </c>
      <c r="C563" s="4" t="str">
        <f ca="1">IFERROR(__xludf.DUMMYFUNCTION("""COMPUTED_VALUE"""),"SDATOOL-39246")</f>
        <v>SDATOOL-39246</v>
      </c>
      <c r="D563" s="4" t="str">
        <f ca="1">IFERROR(__xludf.DUMMYFUNCTION("""COMPUTED_VALUE"""),"Nuevo tipo de identificación para extranjeros")</f>
        <v>Nuevo tipo de identificación para extranjeros</v>
      </c>
      <c r="E563"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3" s="4" t="str">
        <f ca="1">IFERROR(__xludf.DUMMYFUNCTION("""COMPUTED_VALUE"""),"Project")</f>
        <v>Project</v>
      </c>
      <c r="G563" s="4" t="str">
        <f ca="1">IFERROR(__xludf.DUMMYFUNCTION("""COMPUTED_VALUE"""),"Stock")</f>
        <v>Stock</v>
      </c>
      <c r="H563" s="4" t="str">
        <f ca="1">IFERROR(__xludf.DUMMYFUNCTION("""COMPUTED_VALUE"""),"4Q 2023")</f>
        <v>4Q 2023</v>
      </c>
      <c r="I563" s="131" t="str">
        <f ca="1">IFERROR(__xludf.DUMMYFUNCTION("""COMPUTED_VALUE"""),"alirio.bermudez-bbva.com")</f>
        <v>alirio.bermudez-bbva.com</v>
      </c>
      <c r="J563" s="131" t="str">
        <f ca="1">IFERROR(__xludf.DUMMYFUNCTION("""COMPUTED_VALUE"""),"hugo.mongua-bbva.com")</f>
        <v>hugo.mongua-bbva.com</v>
      </c>
      <c r="K563" s="131" t="str">
        <f ca="1">IFERROR(__xludf.DUMMYFUNCTION("""COMPUTED_VALUE"""),"david.juvinao-bbva.com")</f>
        <v>david.juvinao-bbva.com</v>
      </c>
      <c r="L563" s="130">
        <f ca="1">IFERROR(__xludf.DUMMYFUNCTION("""COMPUTED_VALUE"""),0.25)</f>
        <v>0.25</v>
      </c>
      <c r="M563" s="130">
        <f ca="1">IFERROR(__xludf.DUMMYFUNCTION("""COMPUTED_VALUE"""),3.85)</f>
        <v>3.85</v>
      </c>
      <c r="N563" s="130">
        <f ca="1">IFERROR(__xludf.DUMMYFUNCTION("""COMPUTED_VALUE"""),1.63)</f>
        <v>1.63</v>
      </c>
      <c r="O563" s="4" t="str">
        <f ca="1">IFERROR(__xludf.DUMMYFUNCTION("""COMPUTED_VALUE"""),"Waterfall")</f>
        <v>Waterfall</v>
      </c>
      <c r="P563" s="4" t="str">
        <f ca="1">IFERROR(__xludf.DUMMYFUNCTION("""COMPUTED_VALUE"""),"Tradicional")</f>
        <v>Tradicional</v>
      </c>
      <c r="Q563" s="4"/>
      <c r="R563" s="130" t="str">
        <f ca="1">IFERROR(__xludf.DUMMYFUNCTION("""COMPUTED_VALUE"""),"Retail Execution")</f>
        <v>Retail Execution</v>
      </c>
      <c r="S563" s="130" t="str">
        <f ca="1">IFERROR(__xludf.DUMMYFUNCTION("""COMPUTED_VALUE""")," Otros")</f>
        <v xml:space="preserve"> Otros</v>
      </c>
      <c r="T563" s="130" t="str">
        <f ca="1">IFERROR(__xludf.DUMMYFUNCTION("""COMPUTED_VALUE"""),"Normativo")</f>
        <v>Normativo</v>
      </c>
      <c r="U563" s="130" t="str">
        <f ca="1">IFERROR(__xludf.DUMMYFUNCTION("""COMPUTED_VALUE"""),"No Aplica")</f>
        <v>No Aplica</v>
      </c>
      <c r="V563" s="4" t="str">
        <f ca="1">IFERROR(__xludf.DUMMYFUNCTION("""COMPUTED_VALUE"""),"Otros")</f>
        <v>Otros</v>
      </c>
      <c r="W563" s="4">
        <f ca="1">IFERROR(__xludf.DUMMYFUNCTION("""COMPUTED_VALUE"""),3)</f>
        <v>3</v>
      </c>
      <c r="X563" s="4" t="str">
        <f ca="1">IFERROR(__xludf.DUMMYFUNCTION("""COMPUTED_VALUE"""),"10. Otros")</f>
        <v>10. Otros</v>
      </c>
      <c r="Y563" s="4" t="str">
        <f ca="1">IFERROR(__xludf.DUMMYFUNCTION("""COMPUTED_VALUE""")," Otros")</f>
        <v xml:space="preserve"> Otros</v>
      </c>
      <c r="Z563" s="132" t="str">
        <f ca="1">IFERROR(__xludf.DUMMYFUNCTION("""COMPUTED_VALUE"""),"490859")</f>
        <v>490859</v>
      </c>
      <c r="AA563" s="4" t="str">
        <f ca="1">IFERROR(__xludf.DUMMYFUNCTION("""COMPUTED_VALUE"""),"ALTA BASE DE PERSONAS - Nuevo Tipo ID para extranjeros SDATOOL-39246")</f>
        <v>ALTA BASE DE PERSONAS - Nuevo Tipo ID para extranjeros SDATOOL-39246</v>
      </c>
      <c r="AB563" s="4" t="str">
        <f ca="1">IFERROR(__xludf.DUMMYFUNCTION("""COMPUTED_VALUE"""),"ALTA BASE CLIENTE BASE DE PERSONAS Crear un nuevo código dentro de los tipos de identificación que se tienen definidos en el banco, con el fin de cumplir con la nueva regulación colombiana que habilita inicialmente a los venezolanos para adquirir producto"&amp;"s financieros.Se debe ampliar los tipos de identificaciójn que se tienen definidos actualmente con los que los clientes del banco puedan realizar contratación de productos con nosotros, Permiso por Protección Temporal")</f>
        <v>ALTA BASE CLIENTE BASE DE PERSONAS Crear un nuevo código dentro de los tipos de identificación que se tienen definidos en el banco, con el fin de cumplir con la nueva regulación colombiana que habilita inicialmente a los venezolanos para adquirir productos financieros.Se debe ampliar los tipos de identificaciójn que se tienen definidos actualmente con los que los clientes del banco puedan realizar contratación de productos con nosotros, Permiso por Protección Temporal</v>
      </c>
      <c r="AC563" s="4" t="str">
        <f ca="1">IFERROR(__xludf.DUMMYFUNCTION("""COMPUTED_VALUE"""),"2Q 2023")</f>
        <v>2Q 2023</v>
      </c>
      <c r="AD563" s="128">
        <f ca="1">IFERROR(__xludf.DUMMYFUNCTION("""COMPUTED_VALUE"""),44765)</f>
        <v>44765</v>
      </c>
      <c r="AE563" s="128">
        <f ca="1">IFERROR(__xludf.DUMMYFUNCTION("""COMPUTED_VALUE"""),44792)</f>
        <v>44792</v>
      </c>
      <c r="AF563" s="128">
        <f ca="1">IFERROR(__xludf.DUMMYFUNCTION("""COMPUTED_VALUE"""),44798)</f>
        <v>44798</v>
      </c>
      <c r="AG563" s="128">
        <f ca="1">IFERROR(__xludf.DUMMYFUNCTION("""COMPUTED_VALUE"""),44832)</f>
        <v>44832</v>
      </c>
      <c r="AH563" s="128">
        <f ca="1">IFERROR(__xludf.DUMMYFUNCTION("""COMPUTED_VALUE"""),44827)</f>
        <v>44827</v>
      </c>
      <c r="AI563" s="128">
        <f ca="1">IFERROR(__xludf.DUMMYFUNCTION("""COMPUTED_VALUE"""),44867)</f>
        <v>44867</v>
      </c>
      <c r="AJ563" s="128">
        <f ca="1">IFERROR(__xludf.DUMMYFUNCTION("""COMPUTED_VALUE"""),44883)</f>
        <v>44883</v>
      </c>
      <c r="AK563" s="4" t="str">
        <f ca="1">IFERROR(__xludf.DUMMYFUNCTION("""COMPUTED_VALUE"""),"Sin asignar")</f>
        <v>Sin asignar</v>
      </c>
      <c r="AL563" s="4" t="str">
        <f ca="1">IFERROR(__xludf.DUMMYFUNCTION("""COMPUTED_VALUE"""),"Sin asignar")</f>
        <v>Sin asignar</v>
      </c>
      <c r="AM563" s="4" t="str">
        <f ca="1">IFERROR(__xludf.DUMMYFUNCTION("""COMPUTED_VALUE"""),"En Producción 16 Nov. / COLWSCUENT-304")</f>
        <v>En Producción 16 Nov. / COLWSCUENT-304</v>
      </c>
      <c r="AN563" s="4" t="str">
        <f ca="1">IFERROR(__xludf.DUMMYFUNCTION("""COMPUTED_VALUE"""),"Finalizado")</f>
        <v>Finalizado</v>
      </c>
      <c r="AO563" s="4" t="str">
        <f ca="1">IFERROR(__xludf.DUMMYFUNCTION("""COMPUTED_VALUE"""),"Pasivos")</f>
        <v>Pasivos</v>
      </c>
      <c r="AP563" s="4"/>
      <c r="AQ563" s="4"/>
      <c r="AR563" s="4" t="str">
        <f ca="1">IFERROR(__xludf.DUMMYFUNCTION("""COMPUTED_VALUE"""),"SDA aprobada en PPP Q1 2023")</f>
        <v>SDA aprobada en PPP Q1 2023</v>
      </c>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133">
        <f ca="1">IFERROR(__xludf.DUMMYFUNCTION("""COMPUTED_VALUE"""),0)</f>
        <v>0</v>
      </c>
      <c r="DV563" s="133">
        <f ca="1">IFERROR(__xludf.DUMMYFUNCTION("""COMPUTED_VALUE"""),0)</f>
        <v>0</v>
      </c>
      <c r="DW563" s="133">
        <f ca="1">IFERROR(__xludf.DUMMYFUNCTION("""COMPUTED_VALUE"""),89381971)</f>
        <v>89381971</v>
      </c>
      <c r="DX563" s="133">
        <f ca="1">IFERROR(__xludf.DUMMYFUNCTION("""COMPUTED_VALUE"""),185670416)</f>
        <v>185670416</v>
      </c>
      <c r="DY563" s="133">
        <f ca="1">IFERROR(__xludf.DUMMYFUNCTION("""COMPUTED_VALUE"""),0)</f>
        <v>0</v>
      </c>
      <c r="DZ563" s="133">
        <f ca="1">IFERROR(__xludf.DUMMYFUNCTION("""COMPUTED_VALUE"""),275052387)</f>
        <v>275052387</v>
      </c>
      <c r="EA563" s="4"/>
      <c r="EB563" s="4"/>
    </row>
    <row r="564" spans="1:132" x14ac:dyDescent="0.2">
      <c r="A564" s="4">
        <f ca="1">IFERROR(__xludf.DUMMYFUNCTION("""COMPUTED_VALUE"""),564)</f>
        <v>564</v>
      </c>
      <c r="B564" s="4">
        <f ca="1">IFERROR(__xludf.DUMMYFUNCTION("""COMPUTED_VALUE"""),536)</f>
        <v>536</v>
      </c>
      <c r="C564" s="4" t="str">
        <f ca="1">IFERROR(__xludf.DUMMYFUNCTION("""COMPUTED_VALUE"""),"SDATOOL-39246")</f>
        <v>SDATOOL-39246</v>
      </c>
      <c r="D564" s="4" t="str">
        <f ca="1">IFERROR(__xludf.DUMMYFUNCTION("""COMPUTED_VALUE"""),"Nuevo tipo de identificación para extranjeros")</f>
        <v>Nuevo tipo de identificación para extranjeros</v>
      </c>
      <c r="E564"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4" s="4" t="str">
        <f ca="1">IFERROR(__xludf.DUMMYFUNCTION("""COMPUTED_VALUE"""),"Project")</f>
        <v>Project</v>
      </c>
      <c r="G564" s="4" t="str">
        <f ca="1">IFERROR(__xludf.DUMMYFUNCTION("""COMPUTED_VALUE"""),"Stock")</f>
        <v>Stock</v>
      </c>
      <c r="H564" s="4" t="str">
        <f ca="1">IFERROR(__xludf.DUMMYFUNCTION("""COMPUTED_VALUE"""),"4Q 2023")</f>
        <v>4Q 2023</v>
      </c>
      <c r="I564" s="131" t="str">
        <f ca="1">IFERROR(__xludf.DUMMYFUNCTION("""COMPUTED_VALUE"""),"alirio.bermudez-bbva.com")</f>
        <v>alirio.bermudez-bbva.com</v>
      </c>
      <c r="J564" s="131" t="str">
        <f ca="1">IFERROR(__xludf.DUMMYFUNCTION("""COMPUTED_VALUE"""),"hugo.mongua-bbva.com")</f>
        <v>hugo.mongua-bbva.com</v>
      </c>
      <c r="K564" s="131" t="str">
        <f ca="1">IFERROR(__xludf.DUMMYFUNCTION("""COMPUTED_VALUE"""),"david.juvinao-bbva.com")</f>
        <v>david.juvinao-bbva.com</v>
      </c>
      <c r="L564" s="4"/>
      <c r="M564" s="4"/>
      <c r="N564" s="4"/>
      <c r="O564" s="4" t="str">
        <f ca="1">IFERROR(__xludf.DUMMYFUNCTION("""COMPUTED_VALUE"""),"Waterfall")</f>
        <v>Waterfall</v>
      </c>
      <c r="P564" s="4" t="str">
        <f ca="1">IFERROR(__xludf.DUMMYFUNCTION("""COMPUTED_VALUE"""),"Tradicional")</f>
        <v>Tradicional</v>
      </c>
      <c r="Q564" s="4"/>
      <c r="R564" s="130" t="str">
        <f ca="1">IFERROR(__xludf.DUMMYFUNCTION("""COMPUTED_VALUE"""),"Retail Execution")</f>
        <v>Retail Execution</v>
      </c>
      <c r="S564" s="130" t="str">
        <f ca="1">IFERROR(__xludf.DUMMYFUNCTION("""COMPUTED_VALUE""")," Otros")</f>
        <v xml:space="preserve"> Otros</v>
      </c>
      <c r="T564" s="130" t="str">
        <f ca="1">IFERROR(__xludf.DUMMYFUNCTION("""COMPUTED_VALUE"""),"Normativo")</f>
        <v>Normativo</v>
      </c>
      <c r="U564" s="130" t="str">
        <f ca="1">IFERROR(__xludf.DUMMYFUNCTION("""COMPUTED_VALUE"""),"No Aplica")</f>
        <v>No Aplica</v>
      </c>
      <c r="V564" s="4" t="str">
        <f ca="1">IFERROR(__xludf.DUMMYFUNCTION("""COMPUTED_VALUE"""),"Otros")</f>
        <v>Otros</v>
      </c>
      <c r="W564" s="4">
        <f ca="1">IFERROR(__xludf.DUMMYFUNCTION("""COMPUTED_VALUE"""),3)</f>
        <v>3</v>
      </c>
      <c r="X564" s="4" t="str">
        <f ca="1">IFERROR(__xludf.DUMMYFUNCTION("""COMPUTED_VALUE"""),"10. Otros")</f>
        <v>10. Otros</v>
      </c>
      <c r="Y564" s="4" t="str">
        <f ca="1">IFERROR(__xludf.DUMMYFUNCTION("""COMPUTED_VALUE""")," Otros")</f>
        <v xml:space="preserve"> Otros</v>
      </c>
      <c r="Z564" s="132" t="str">
        <f ca="1">IFERROR(__xludf.DUMMYFUNCTION("""COMPUTED_VALUE"""),"610348")</f>
        <v>610348</v>
      </c>
      <c r="AA564" s="4" t="str">
        <f ca="1">IFERROR(__xludf.DUMMYFUNCTION("""COMPUTED_VALUE"""),"Alta Cuenta Ahoros para el nuevo Tipo ID para extranjeros SDATOOL-39246")</f>
        <v>Alta Cuenta Ahoros para el nuevo Tipo ID para extranjeros SDATOOL-39246</v>
      </c>
      <c r="AB564" s="4" t="str">
        <f ca="1">IFERROR(__xludf.DUMMYFUNCTION("""COMPUTED_VALUE"""),"ALTA CUENTA DE AHORROS NACAR. crear un nuevo código dentro de los tipos de identificación que se tienen definidos en el banco, con el fin de cumplir con la nueva regulación colombiana que habilita inicialmente a los venezolanos para adquirir productos fin"&amp;"ancieros (CUENTA DE AHORROS) .")</f>
        <v>ALTA CUENTA DE AHORROS NACAR. crear un nuevo código dentro de los tipos de identificación que se tienen definidos en el banco, con el fin de cumplir con la nueva regulación colombiana que habilita inicialmente a los venezolanos para adquirir productos financieros (CUENTA DE AHORROS) .</v>
      </c>
      <c r="AC564" s="4" t="str">
        <f ca="1">IFERROR(__xludf.DUMMYFUNCTION("""COMPUTED_VALUE"""),"4Q 2022")</f>
        <v>4Q 2022</v>
      </c>
      <c r="AD564" s="4"/>
      <c r="AE564" s="4"/>
      <c r="AF564" s="4"/>
      <c r="AG564" s="4"/>
      <c r="AH564" s="4"/>
      <c r="AI564" s="4"/>
      <c r="AJ564" s="4"/>
      <c r="AK564" s="131" t="str">
        <f ca="1">IFERROR(__xludf.DUMMYFUNCTION("""COMPUTED_VALUE"""),"COLWSCUENT-304")</f>
        <v>COLWSCUENT-304</v>
      </c>
      <c r="AL564" s="4" t="str">
        <f ca="1">IFERROR(__xludf.DUMMYFUNCTION("""COMPUTED_VALUE"""),"Deployed")</f>
        <v>Deployed</v>
      </c>
      <c r="AM564" s="4" t="str">
        <f ca="1">IFERROR(__xludf.DUMMYFUNCTION("""COMPUTED_VALUE"""),"En Producción 16 Nov. / COLWSCUENT-1170")</f>
        <v>En Producción 16 Nov. / COLWSCUENT-1170</v>
      </c>
      <c r="AN564" s="4" t="str">
        <f ca="1">IFERROR(__xludf.DUMMYFUNCTION("""COMPUTED_VALUE"""),"Finalizado")</f>
        <v>Finalizado</v>
      </c>
      <c r="AO564" s="4" t="str">
        <f ca="1">IFERROR(__xludf.DUMMYFUNCTION("""COMPUTED_VALUE"""),"Pasivos")</f>
        <v>Pasivos</v>
      </c>
      <c r="AP564" s="4"/>
      <c r="AQ564" s="4"/>
      <c r="AR564" s="4" t="str">
        <f ca="1">IFERROR(__xludf.DUMMYFUNCTION("""COMPUTED_VALUE"""),"SDA aprobada en PPP Q1 2023")</f>
        <v>SDA aprobada en PPP Q1 2023</v>
      </c>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row>
    <row r="565" spans="1:132" x14ac:dyDescent="0.2">
      <c r="A565" s="4">
        <f ca="1">IFERROR(__xludf.DUMMYFUNCTION("""COMPUTED_VALUE"""),565)</f>
        <v>565</v>
      </c>
      <c r="B565" s="4">
        <f ca="1">IFERROR(__xludf.DUMMYFUNCTION("""COMPUTED_VALUE"""),537)</f>
        <v>537</v>
      </c>
      <c r="C565" s="4" t="str">
        <f ca="1">IFERROR(__xludf.DUMMYFUNCTION("""COMPUTED_VALUE"""),"SDATOOL-39246")</f>
        <v>SDATOOL-39246</v>
      </c>
      <c r="D565" s="4" t="str">
        <f ca="1">IFERROR(__xludf.DUMMYFUNCTION("""COMPUTED_VALUE"""),"Nuevo tipo de identificación para extranjeros")</f>
        <v>Nuevo tipo de identificación para extranjeros</v>
      </c>
      <c r="E565"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5" s="4" t="str">
        <f ca="1">IFERROR(__xludf.DUMMYFUNCTION("""COMPUTED_VALUE"""),"Project")</f>
        <v>Project</v>
      </c>
      <c r="G565" s="4" t="str">
        <f ca="1">IFERROR(__xludf.DUMMYFUNCTION("""COMPUTED_VALUE"""),"Stock")</f>
        <v>Stock</v>
      </c>
      <c r="H565" s="4" t="str">
        <f ca="1">IFERROR(__xludf.DUMMYFUNCTION("""COMPUTED_VALUE"""),"4Q 2023")</f>
        <v>4Q 2023</v>
      </c>
      <c r="I565" s="131" t="str">
        <f ca="1">IFERROR(__xludf.DUMMYFUNCTION("""COMPUTED_VALUE"""),"alirio.bermudez-bbva.com")</f>
        <v>alirio.bermudez-bbva.com</v>
      </c>
      <c r="J565" s="131" t="str">
        <f ca="1">IFERROR(__xludf.DUMMYFUNCTION("""COMPUTED_VALUE"""),"hugo.mongua-bbva.com")</f>
        <v>hugo.mongua-bbva.com</v>
      </c>
      <c r="K565" s="131" t="str">
        <f ca="1">IFERROR(__xludf.DUMMYFUNCTION("""COMPUTED_VALUE"""),"david.juvinao-bbva.com")</f>
        <v>david.juvinao-bbva.com</v>
      </c>
      <c r="L565" s="4"/>
      <c r="M565" s="4"/>
      <c r="N565" s="4"/>
      <c r="O565" s="4" t="str">
        <f ca="1">IFERROR(__xludf.DUMMYFUNCTION("""COMPUTED_VALUE"""),"Waterfall")</f>
        <v>Waterfall</v>
      </c>
      <c r="P565" s="4" t="str">
        <f ca="1">IFERROR(__xludf.DUMMYFUNCTION("""COMPUTED_VALUE"""),"Tradicional")</f>
        <v>Tradicional</v>
      </c>
      <c r="Q565" s="4"/>
      <c r="R565" s="130" t="str">
        <f ca="1">IFERROR(__xludf.DUMMYFUNCTION("""COMPUTED_VALUE"""),"Retail Execution")</f>
        <v>Retail Execution</v>
      </c>
      <c r="S565" s="130" t="str">
        <f ca="1">IFERROR(__xludf.DUMMYFUNCTION("""COMPUTED_VALUE""")," Otros")</f>
        <v xml:space="preserve"> Otros</v>
      </c>
      <c r="T565" s="130" t="str">
        <f ca="1">IFERROR(__xludf.DUMMYFUNCTION("""COMPUTED_VALUE"""),"Normativo")</f>
        <v>Normativo</v>
      </c>
      <c r="U565" s="130" t="str">
        <f ca="1">IFERROR(__xludf.DUMMYFUNCTION("""COMPUTED_VALUE"""),"No Aplica")</f>
        <v>No Aplica</v>
      </c>
      <c r="V565" s="4" t="str">
        <f ca="1">IFERROR(__xludf.DUMMYFUNCTION("""COMPUTED_VALUE"""),"Otros")</f>
        <v>Otros</v>
      </c>
      <c r="W565" s="4">
        <f ca="1">IFERROR(__xludf.DUMMYFUNCTION("""COMPUTED_VALUE"""),3)</f>
        <v>3</v>
      </c>
      <c r="X565" s="4" t="str">
        <f ca="1">IFERROR(__xludf.DUMMYFUNCTION("""COMPUTED_VALUE"""),"10. Otros")</f>
        <v>10. Otros</v>
      </c>
      <c r="Y565" s="4" t="str">
        <f ca="1">IFERROR(__xludf.DUMMYFUNCTION("""COMPUTED_VALUE""")," Otros")</f>
        <v xml:space="preserve"> Otros</v>
      </c>
      <c r="Z565" s="132" t="str">
        <f ca="1">IFERROR(__xludf.DUMMYFUNCTION("""COMPUTED_VALUE"""),"610349")</f>
        <v>610349</v>
      </c>
      <c r="AA565" s="4" t="str">
        <f ca="1">IFERROR(__xludf.DUMMYFUNCTION("""COMPUTED_VALUE"""),"BASE TRIBUTARIA Tipo ID para extranjeros SDATOOL-39246")</f>
        <v>BASE TRIBUTARIA Tipo ID para extranjeros SDATOOL-39246</v>
      </c>
      <c r="AB565" s="4" t="str">
        <f ca="1">IFERROR(__xludf.DUMMYFUNCTION("""COMPUTED_VALUE"""),"BASE TRIBUTARIA. Reportar en la base de impuestos - tributaria el nuervo tipo de identificación para extranjeros. PPT  Permiso por Protección Temporal.  feature. COLWS - CUENTASCOLWSCUENT-1225")</f>
        <v>BASE TRIBUTARIA. Reportar en la base de impuestos - tributaria el nuervo tipo de identificación para extranjeros. PPT  Permiso por Protección Temporal.  feature. COLWS - CUENTASCOLWSCUENT-1225</v>
      </c>
      <c r="AC565" s="4" t="str">
        <f ca="1">IFERROR(__xludf.DUMMYFUNCTION("""COMPUTED_VALUE"""),"4Q 2022")</f>
        <v>4Q 2022</v>
      </c>
      <c r="AD565" s="4"/>
      <c r="AE565" s="4"/>
      <c r="AF565" s="4"/>
      <c r="AG565" s="4"/>
      <c r="AH565" s="4"/>
      <c r="AI565" s="4"/>
      <c r="AJ565" s="4"/>
      <c r="AK565" s="131" t="str">
        <f ca="1">IFERROR(__xludf.DUMMYFUNCTION("""COMPUTED_VALUE"""),"COLWSCUENT-1225")</f>
        <v>COLWSCUENT-1225</v>
      </c>
      <c r="AL565" s="4" t="str">
        <f ca="1">IFERROR(__xludf.DUMMYFUNCTION("""COMPUTED_VALUE"""),"Deployed")</f>
        <v>Deployed</v>
      </c>
      <c r="AM565" s="4" t="str">
        <f ca="1">IFERROR(__xludf.DUMMYFUNCTION("""COMPUTED_VALUE"""),"En Producción 16 Nov.  / COLWSCUENT-1225")</f>
        <v>En Producción 16 Nov.  / COLWSCUENT-1225</v>
      </c>
      <c r="AN565" s="4" t="str">
        <f ca="1">IFERROR(__xludf.DUMMYFUNCTION("""COMPUTED_VALUE"""),"Finalizado")</f>
        <v>Finalizado</v>
      </c>
      <c r="AO565" s="4" t="str">
        <f ca="1">IFERROR(__xludf.DUMMYFUNCTION("""COMPUTED_VALUE"""),"Pasivos")</f>
        <v>Pasivos</v>
      </c>
      <c r="AP565" s="4"/>
      <c r="AQ565" s="4"/>
      <c r="AR565" s="4" t="str">
        <f ca="1">IFERROR(__xludf.DUMMYFUNCTION("""COMPUTED_VALUE"""),"SDA aprobada en PPP Q1 2023")</f>
        <v>SDA aprobada en PPP Q1 2023</v>
      </c>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row>
    <row r="566" spans="1:132" x14ac:dyDescent="0.2">
      <c r="A566" s="4">
        <f ca="1">IFERROR(__xludf.DUMMYFUNCTION("""COMPUTED_VALUE"""),566)</f>
        <v>566</v>
      </c>
      <c r="B566" s="4">
        <f ca="1">IFERROR(__xludf.DUMMYFUNCTION("""COMPUTED_VALUE"""),538)</f>
        <v>538</v>
      </c>
      <c r="C566" s="4" t="str">
        <f ca="1">IFERROR(__xludf.DUMMYFUNCTION("""COMPUTED_VALUE"""),"SDATOOL-39246")</f>
        <v>SDATOOL-39246</v>
      </c>
      <c r="D566" s="4" t="str">
        <f ca="1">IFERROR(__xludf.DUMMYFUNCTION("""COMPUTED_VALUE"""),"Nuevo tipo de identificación para extranjeros")</f>
        <v>Nuevo tipo de identificación para extranjeros</v>
      </c>
      <c r="E566"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6" s="4" t="str">
        <f ca="1">IFERROR(__xludf.DUMMYFUNCTION("""COMPUTED_VALUE"""),"Project")</f>
        <v>Project</v>
      </c>
      <c r="G566" s="4" t="str">
        <f ca="1">IFERROR(__xludf.DUMMYFUNCTION("""COMPUTED_VALUE"""),"Stock")</f>
        <v>Stock</v>
      </c>
      <c r="H566" s="4" t="str">
        <f ca="1">IFERROR(__xludf.DUMMYFUNCTION("""COMPUTED_VALUE"""),"4Q 2023")</f>
        <v>4Q 2023</v>
      </c>
      <c r="I566" s="131" t="str">
        <f ca="1">IFERROR(__xludf.DUMMYFUNCTION("""COMPUTED_VALUE"""),"alirio.bermudez-bbva.com")</f>
        <v>alirio.bermudez-bbva.com</v>
      </c>
      <c r="J566" s="131" t="str">
        <f ca="1">IFERROR(__xludf.DUMMYFUNCTION("""COMPUTED_VALUE"""),"hugo.mongua-bbva.com")</f>
        <v>hugo.mongua-bbva.com</v>
      </c>
      <c r="K566" s="131" t="str">
        <f ca="1">IFERROR(__xludf.DUMMYFUNCTION("""COMPUTED_VALUE"""),"david.juvinao-bbva.com")</f>
        <v>david.juvinao-bbva.com</v>
      </c>
      <c r="L566" s="4"/>
      <c r="M566" s="4"/>
      <c r="N566" s="4"/>
      <c r="O566" s="4" t="str">
        <f ca="1">IFERROR(__xludf.DUMMYFUNCTION("""COMPUTED_VALUE"""),"Waterfall")</f>
        <v>Waterfall</v>
      </c>
      <c r="P566" s="4" t="str">
        <f ca="1">IFERROR(__xludf.DUMMYFUNCTION("""COMPUTED_VALUE"""),"Tradicional")</f>
        <v>Tradicional</v>
      </c>
      <c r="Q566" s="4"/>
      <c r="R566" s="130" t="str">
        <f ca="1">IFERROR(__xludf.DUMMYFUNCTION("""COMPUTED_VALUE"""),"Retail Execution")</f>
        <v>Retail Execution</v>
      </c>
      <c r="S566" s="130" t="str">
        <f ca="1">IFERROR(__xludf.DUMMYFUNCTION("""COMPUTED_VALUE""")," Otros")</f>
        <v xml:space="preserve"> Otros</v>
      </c>
      <c r="T566" s="130" t="str">
        <f ca="1">IFERROR(__xludf.DUMMYFUNCTION("""COMPUTED_VALUE"""),"Normativo")</f>
        <v>Normativo</v>
      </c>
      <c r="U566" s="130" t="str">
        <f ca="1">IFERROR(__xludf.DUMMYFUNCTION("""COMPUTED_VALUE"""),"No Aplica")</f>
        <v>No Aplica</v>
      </c>
      <c r="V566" s="4" t="str">
        <f ca="1">IFERROR(__xludf.DUMMYFUNCTION("""COMPUTED_VALUE"""),"Otros")</f>
        <v>Otros</v>
      </c>
      <c r="W566" s="4">
        <f ca="1">IFERROR(__xludf.DUMMYFUNCTION("""COMPUTED_VALUE"""),3)</f>
        <v>3</v>
      </c>
      <c r="X566" s="4" t="str">
        <f ca="1">IFERROR(__xludf.DUMMYFUNCTION("""COMPUTED_VALUE"""),"10. Otros")</f>
        <v>10. Otros</v>
      </c>
      <c r="Y566" s="4" t="str">
        <f ca="1">IFERROR(__xludf.DUMMYFUNCTION("""COMPUTED_VALUE""")," Otros")</f>
        <v xml:space="preserve"> Otros</v>
      </c>
      <c r="Z566" s="132" t="str">
        <f ca="1">IFERROR(__xludf.DUMMYFUNCTION("""COMPUTED_VALUE"""),"626320")</f>
        <v>626320</v>
      </c>
      <c r="AA566" s="4" t="str">
        <f ca="1">IFERROR(__xludf.DUMMYFUNCTION("""COMPUTED_VALUE"""),"SDA-39246 (CARGO Y ABONOS)  ID EXTRANJEROS")</f>
        <v>SDA-39246 (CARGO Y ABONOS)  ID EXTRANJEROS</v>
      </c>
      <c r="AB566" s="4" t="str">
        <f ca="1">IFERROR(__xludf.DUMMYFUNCTION("""COMPUTED_VALUE"""),"Crear un nuevo código PPT - Permiso de Protección Temporal dentro de los tipos de identificación que se tienen definidos en el banco, con el fin de cumplir con la nueva regulación colombiana que habilita inicialmente a los venezolanos para adquirir produc"&amp;"tos financieros del Pasivo Portafolios de Nómina y Particulares. - El nuevo tipo de identificación será el Permiso de Protección Temporal - PPT carácter V.")</f>
        <v>Crear un nuevo código PPT - Permiso de Protección Temporal dentro de los tipos de identificación que se tienen definidos en el banco, con el fin de cumplir con la nueva regulación colombiana que habilita inicialmente a los venezolanos para adquirir productos financieros del Pasivo Portafolios de Nómina y Particulares. - El nuevo tipo de identificación será el Permiso de Protección Temporal - PPT carácter V.</v>
      </c>
      <c r="AC566" s="4" t="str">
        <f ca="1">IFERROR(__xludf.DUMMYFUNCTION("""COMPUTED_VALUE"""),"2Q 2023")</f>
        <v>2Q 2023</v>
      </c>
      <c r="AD566" s="4"/>
      <c r="AE566" s="4"/>
      <c r="AF566" s="4"/>
      <c r="AG566" s="4"/>
      <c r="AH566" s="4"/>
      <c r="AI566" s="4"/>
      <c r="AJ566" s="4"/>
      <c r="AK566" s="131" t="str">
        <f ca="1">IFERROR(__xludf.DUMMYFUNCTION("""COMPUTED_VALUE"""),"COLWSCUENT-1961")</f>
        <v>COLWSCUENT-1961</v>
      </c>
      <c r="AL566" s="4" t="str">
        <f ca="1">IFERROR(__xludf.DUMMYFUNCTION("""COMPUTED_VALUE"""),"New")</f>
        <v>New</v>
      </c>
      <c r="AM566" s="4"/>
      <c r="AN566" s="4" t="str">
        <f ca="1">IFERROR(__xludf.DUMMYFUNCTION("""COMPUTED_VALUE"""),"Entregable en desarrollo")</f>
        <v>Entregable en desarrollo</v>
      </c>
      <c r="AO566" s="4" t="str">
        <f ca="1">IFERROR(__xludf.DUMMYFUNCTION("""COMPUTED_VALUE"""),"Pasivos")</f>
        <v>Pasivos</v>
      </c>
      <c r="AP566" s="4"/>
      <c r="AQ566" s="4"/>
      <c r="AR566" s="4" t="str">
        <f ca="1">IFERROR(__xludf.DUMMYFUNCTION("""COMPUTED_VALUE"""),"SDA aprobada en PPP Q1 2023")</f>
        <v>SDA aprobada en PPP Q1 2023</v>
      </c>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row>
    <row r="567" spans="1:132" x14ac:dyDescent="0.2">
      <c r="A567" s="4">
        <f ca="1">IFERROR(__xludf.DUMMYFUNCTION("""COMPUTED_VALUE"""),567)</f>
        <v>567</v>
      </c>
      <c r="B567" s="4">
        <f ca="1">IFERROR(__xludf.DUMMYFUNCTION("""COMPUTED_VALUE"""),539)</f>
        <v>539</v>
      </c>
      <c r="C567" s="4" t="str">
        <f ca="1">IFERROR(__xludf.DUMMYFUNCTION("""COMPUTED_VALUE"""),"SDATOOL-39246")</f>
        <v>SDATOOL-39246</v>
      </c>
      <c r="D567" s="4" t="str">
        <f ca="1">IFERROR(__xludf.DUMMYFUNCTION("""COMPUTED_VALUE"""),"Nuevo tipo de identificación para extranjeros")</f>
        <v>Nuevo tipo de identificación para extranjeros</v>
      </c>
      <c r="E567"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7" s="4" t="str">
        <f ca="1">IFERROR(__xludf.DUMMYFUNCTION("""COMPUTED_VALUE"""),"Project")</f>
        <v>Project</v>
      </c>
      <c r="G567" s="4" t="str">
        <f ca="1">IFERROR(__xludf.DUMMYFUNCTION("""COMPUTED_VALUE"""),"Stock")</f>
        <v>Stock</v>
      </c>
      <c r="H567" s="4" t="str">
        <f ca="1">IFERROR(__xludf.DUMMYFUNCTION("""COMPUTED_VALUE"""),"4Q 2023")</f>
        <v>4Q 2023</v>
      </c>
      <c r="I567" s="131" t="str">
        <f ca="1">IFERROR(__xludf.DUMMYFUNCTION("""COMPUTED_VALUE"""),"alirio.bermudez-bbva.com")</f>
        <v>alirio.bermudez-bbva.com</v>
      </c>
      <c r="J567" s="131" t="str">
        <f ca="1">IFERROR(__xludf.DUMMYFUNCTION("""COMPUTED_VALUE"""),"hugo.mongua-bbva.com")</f>
        <v>hugo.mongua-bbva.com</v>
      </c>
      <c r="K567" s="131" t="str">
        <f ca="1">IFERROR(__xludf.DUMMYFUNCTION("""COMPUTED_VALUE"""),"david.juvinao-bbva.com")</f>
        <v>david.juvinao-bbva.com</v>
      </c>
      <c r="L567" s="4"/>
      <c r="M567" s="4"/>
      <c r="N567" s="4"/>
      <c r="O567" s="4" t="str">
        <f ca="1">IFERROR(__xludf.DUMMYFUNCTION("""COMPUTED_VALUE"""),"Waterfall")</f>
        <v>Waterfall</v>
      </c>
      <c r="P567" s="4" t="str">
        <f ca="1">IFERROR(__xludf.DUMMYFUNCTION("""COMPUTED_VALUE"""),"Tradicional")</f>
        <v>Tradicional</v>
      </c>
      <c r="Q567" s="4"/>
      <c r="R567" s="130" t="str">
        <f ca="1">IFERROR(__xludf.DUMMYFUNCTION("""COMPUTED_VALUE"""),"Retail Execution")</f>
        <v>Retail Execution</v>
      </c>
      <c r="S567" s="130" t="str">
        <f ca="1">IFERROR(__xludf.DUMMYFUNCTION("""COMPUTED_VALUE""")," Otros")</f>
        <v xml:space="preserve"> Otros</v>
      </c>
      <c r="T567" s="130" t="str">
        <f ca="1">IFERROR(__xludf.DUMMYFUNCTION("""COMPUTED_VALUE"""),"Normativo")</f>
        <v>Normativo</v>
      </c>
      <c r="U567" s="130" t="str">
        <f ca="1">IFERROR(__xludf.DUMMYFUNCTION("""COMPUTED_VALUE"""),"No Aplica")</f>
        <v>No Aplica</v>
      </c>
      <c r="V567" s="4" t="str">
        <f ca="1">IFERROR(__xludf.DUMMYFUNCTION("""COMPUTED_VALUE"""),"Otros")</f>
        <v>Otros</v>
      </c>
      <c r="W567" s="4">
        <f ca="1">IFERROR(__xludf.DUMMYFUNCTION("""COMPUTED_VALUE"""),3)</f>
        <v>3</v>
      </c>
      <c r="X567" s="4" t="str">
        <f ca="1">IFERROR(__xludf.DUMMYFUNCTION("""COMPUTED_VALUE"""),"10. Otros")</f>
        <v>10. Otros</v>
      </c>
      <c r="Y567" s="4" t="str">
        <f ca="1">IFERROR(__xludf.DUMMYFUNCTION("""COMPUTED_VALUE""")," Otros")</f>
        <v xml:space="preserve"> Otros</v>
      </c>
      <c r="Z567" s="132" t="str">
        <f ca="1">IFERROR(__xludf.DUMMYFUNCTION("""COMPUTED_VALUE"""),"625020")</f>
        <v>625020</v>
      </c>
      <c r="AA567" s="4" t="str">
        <f ca="1">IFERROR(__xludf.DUMMYFUNCTION("""COMPUTED_VALUE"""),"SDA-39246 (HOST) PORTAFOLIO NOMINAS - ID EXTRANJEROS")</f>
        <v>SDA-39246 (HOST) PORTAFOLIO NOMINAS - ID EXTRANJEROS</v>
      </c>
      <c r="AB567" s="4" t="str">
        <f ca="1">IFERROR(__xludf.DUMMYFUNCTION("""COMPUTED_VALUE"""),"PASAPORTE VENCIDO - Se requiere que los clientes con el nuevo documento PPT y pasaporte vencido puedan aperturar productos del pasivo (alta de clientes, apertura de cuentas, portafolios). Validar que si la fecha del pasaporte se encuentra vencido, el sist"&amp;"ema desde NACAR permita la capturar de la fecha si el pasaporte esta vencido.")</f>
        <v>PASAPORTE VENCIDO - Se requiere que los clientes con el nuevo documento PPT y pasaporte vencido puedan aperturar productos del pasivo (alta de clientes, apertura de cuentas, portafolios). Validar que si la fecha del pasaporte se encuentra vencido, el sistema desde NACAR permita la capturar de la fecha si el pasaporte esta vencido.</v>
      </c>
      <c r="AC567" s="4" t="str">
        <f ca="1">IFERROR(__xludf.DUMMYFUNCTION("""COMPUTED_VALUE"""),"2Q 2023")</f>
        <v>2Q 2023</v>
      </c>
      <c r="AD567" s="4"/>
      <c r="AE567" s="4"/>
      <c r="AF567" s="4"/>
      <c r="AG567" s="4"/>
      <c r="AH567" s="4"/>
      <c r="AI567" s="4"/>
      <c r="AJ567" s="4"/>
      <c r="AK567" s="131" t="str">
        <f ca="1">IFERROR(__xludf.DUMMYFUNCTION("""COMPUTED_VALUE"""),"COLWSCUENT-1824")</f>
        <v>COLWSCUENT-1824</v>
      </c>
      <c r="AL567" s="4" t="str">
        <f ca="1">IFERROR(__xludf.DUMMYFUNCTION("""COMPUTED_VALUE"""),"Test")</f>
        <v>Test</v>
      </c>
      <c r="AM567" s="4"/>
      <c r="AN567" s="4" t="str">
        <f ca="1">IFERROR(__xludf.DUMMYFUNCTION("""COMPUTED_VALUE"""),"Entregable en desarrollo")</f>
        <v>Entregable en desarrollo</v>
      </c>
      <c r="AO567" s="4" t="str">
        <f ca="1">IFERROR(__xludf.DUMMYFUNCTION("""COMPUTED_VALUE"""),"Pasivos")</f>
        <v>Pasivos</v>
      </c>
      <c r="AP567" s="4"/>
      <c r="AQ567" s="4"/>
      <c r="AR567" s="4" t="str">
        <f ca="1">IFERROR(__xludf.DUMMYFUNCTION("""COMPUTED_VALUE"""),"SDA aprobada en PPP Q1 2023")</f>
        <v>SDA aprobada en PPP Q1 2023</v>
      </c>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row>
    <row r="568" spans="1:132" x14ac:dyDescent="0.2">
      <c r="A568" s="4">
        <f ca="1">IFERROR(__xludf.DUMMYFUNCTION("""COMPUTED_VALUE"""),568)</f>
        <v>568</v>
      </c>
      <c r="B568" s="4">
        <f ca="1">IFERROR(__xludf.DUMMYFUNCTION("""COMPUTED_VALUE"""),540)</f>
        <v>540</v>
      </c>
      <c r="C568" s="4" t="str">
        <f ca="1">IFERROR(__xludf.DUMMYFUNCTION("""COMPUTED_VALUE"""),"SDATOOL-39246")</f>
        <v>SDATOOL-39246</v>
      </c>
      <c r="D568" s="4" t="str">
        <f ca="1">IFERROR(__xludf.DUMMYFUNCTION("""COMPUTED_VALUE"""),"Nuevo tipo de identificación para extranjeros")</f>
        <v>Nuevo tipo de identificación para extranjeros</v>
      </c>
      <c r="E568"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8" s="4" t="str">
        <f ca="1">IFERROR(__xludf.DUMMYFUNCTION("""COMPUTED_VALUE"""),"Project")</f>
        <v>Project</v>
      </c>
      <c r="G568" s="4" t="str">
        <f ca="1">IFERROR(__xludf.DUMMYFUNCTION("""COMPUTED_VALUE"""),"Stock")</f>
        <v>Stock</v>
      </c>
      <c r="H568" s="4" t="str">
        <f ca="1">IFERROR(__xludf.DUMMYFUNCTION("""COMPUTED_VALUE"""),"4Q 2023")</f>
        <v>4Q 2023</v>
      </c>
      <c r="I568" s="131" t="str">
        <f ca="1">IFERROR(__xludf.DUMMYFUNCTION("""COMPUTED_VALUE"""),"alirio.bermudez-bbva.com")</f>
        <v>alirio.bermudez-bbva.com</v>
      </c>
      <c r="J568" s="131" t="str">
        <f ca="1">IFERROR(__xludf.DUMMYFUNCTION("""COMPUTED_VALUE"""),"hugo.mongua-bbva.com")</f>
        <v>hugo.mongua-bbva.com</v>
      </c>
      <c r="K568" s="131" t="str">
        <f ca="1">IFERROR(__xludf.DUMMYFUNCTION("""COMPUTED_VALUE"""),"david.juvinao-bbva.com")</f>
        <v>david.juvinao-bbva.com</v>
      </c>
      <c r="L568" s="4"/>
      <c r="M568" s="4"/>
      <c r="N568" s="4"/>
      <c r="O568" s="4" t="str">
        <f ca="1">IFERROR(__xludf.DUMMYFUNCTION("""COMPUTED_VALUE"""),"Waterfall")</f>
        <v>Waterfall</v>
      </c>
      <c r="P568" s="4" t="str">
        <f ca="1">IFERROR(__xludf.DUMMYFUNCTION("""COMPUTED_VALUE"""),"Tradicional")</f>
        <v>Tradicional</v>
      </c>
      <c r="Q568" s="4"/>
      <c r="R568" s="130" t="str">
        <f ca="1">IFERROR(__xludf.DUMMYFUNCTION("""COMPUTED_VALUE"""),"Retail Execution")</f>
        <v>Retail Execution</v>
      </c>
      <c r="S568" s="130" t="str">
        <f ca="1">IFERROR(__xludf.DUMMYFUNCTION("""COMPUTED_VALUE""")," Otros")</f>
        <v xml:space="preserve"> Otros</v>
      </c>
      <c r="T568" s="130" t="str">
        <f ca="1">IFERROR(__xludf.DUMMYFUNCTION("""COMPUTED_VALUE"""),"Normativo")</f>
        <v>Normativo</v>
      </c>
      <c r="U568" s="130" t="str">
        <f ca="1">IFERROR(__xludf.DUMMYFUNCTION("""COMPUTED_VALUE"""),"No Aplica")</f>
        <v>No Aplica</v>
      </c>
      <c r="V568" s="4" t="str">
        <f ca="1">IFERROR(__xludf.DUMMYFUNCTION("""COMPUTED_VALUE"""),"Otros")</f>
        <v>Otros</v>
      </c>
      <c r="W568" s="4">
        <f ca="1">IFERROR(__xludf.DUMMYFUNCTION("""COMPUTED_VALUE"""),3)</f>
        <v>3</v>
      </c>
      <c r="X568" s="4" t="str">
        <f ca="1">IFERROR(__xludf.DUMMYFUNCTION("""COMPUTED_VALUE"""),"10. Otros")</f>
        <v>10. Otros</v>
      </c>
      <c r="Y568" s="4" t="str">
        <f ca="1">IFERROR(__xludf.DUMMYFUNCTION("""COMPUTED_VALUE""")," Otros")</f>
        <v xml:space="preserve"> Otros</v>
      </c>
      <c r="Z568" s="132" t="str">
        <f ca="1">IFERROR(__xludf.DUMMYFUNCTION("""COMPUTED_VALUE"""),"625052")</f>
        <v>625052</v>
      </c>
      <c r="AA568" s="4" t="str">
        <f ca="1">IFERROR(__xludf.DUMMYFUNCTION("""COMPUTED_VALUE"""),"SDA-39246 NETCASH /CANAL GLOBAL - DISPERSIÓN DE NÓMINA -ID PPT")</f>
        <v>SDA-39246 NETCASH /CANAL GLOBAL - DISPERSIÓN DE NÓMINA -ID PPT</v>
      </c>
      <c r="AB568" s="4" t="str">
        <f ca="1">IFERROR(__xludf.DUMMYFUNCTION("""COMPUTED_VALUE"""),"Se requiere habilitar desde NETCASH la dispersión de nóminas para el nuevo tipo de identificación extranjeros venezolanos PPT permiso de protección temporal. Funcionalidades: La creación de usuario en el portal en la opción de administración. /  La creaci"&amp;"ón de los beneficiario en los diferentes módulos de pagos / opciones de Gestión de pagos masivos para generar la anulación de pagos masivos y la consulta de los pagos masivos / Creaciones de beneficiarios en el módulo de Preinscripción.")</f>
        <v>Se requiere habilitar desde NETCASH la dispersión de nóminas para el nuevo tipo de identificación extranjeros venezolanos PPT permiso de protección temporal. Funcionalidades: La creación de usuario en el portal en la opción de administración. /  La creación de los beneficiario en los diferentes módulos de pagos / opciones de Gestión de pagos masivos para generar la anulación de pagos masivos y la consulta de los pagos masivos / Creaciones de beneficiarios en el módulo de Preinscripción.</v>
      </c>
      <c r="AC568" s="4" t="str">
        <f ca="1">IFERROR(__xludf.DUMMYFUNCTION("""COMPUTED_VALUE"""),"3Q 2023")</f>
        <v>3Q 2023</v>
      </c>
      <c r="AD568" s="4"/>
      <c r="AE568" s="4"/>
      <c r="AF568" s="4"/>
      <c r="AG568" s="4"/>
      <c r="AH568" s="4"/>
      <c r="AI568" s="4"/>
      <c r="AJ568" s="4"/>
      <c r="AK568" s="131" t="str">
        <f ca="1">IFERROR(__xludf.DUMMYFUNCTION("""COMPUTED_VALUE"""),"COLWSCUENT-1830")</f>
        <v>COLWSCUENT-1830</v>
      </c>
      <c r="AL568" s="4" t="str">
        <f ca="1">IFERROR(__xludf.DUMMYFUNCTION("""COMPUTED_VALUE"""),"En progreso")</f>
        <v>En progreso</v>
      </c>
      <c r="AM568" s="4"/>
      <c r="AN568" s="4" t="str">
        <f ca="1">IFERROR(__xludf.DUMMYFUNCTION("""COMPUTED_VALUE"""),"Entregable en desarrollo")</f>
        <v>Entregable en desarrollo</v>
      </c>
      <c r="AO568" s="4" t="str">
        <f ca="1">IFERROR(__xludf.DUMMYFUNCTION("""COMPUTED_VALUE"""),"Pasivos")</f>
        <v>Pasivos</v>
      </c>
      <c r="AP568" s="4"/>
      <c r="AQ568" s="4"/>
      <c r="AR568" s="4" t="str">
        <f ca="1">IFERROR(__xludf.DUMMYFUNCTION("""COMPUTED_VALUE"""),"SDA aprobada en PPP Q1 2023")</f>
        <v>SDA aprobada en PPP Q1 2023</v>
      </c>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row>
    <row r="569" spans="1:132" x14ac:dyDescent="0.2">
      <c r="A569" s="4">
        <f ca="1">IFERROR(__xludf.DUMMYFUNCTION("""COMPUTED_VALUE"""),569)</f>
        <v>569</v>
      </c>
      <c r="B569" s="4">
        <f ca="1">IFERROR(__xludf.DUMMYFUNCTION("""COMPUTED_VALUE"""),541)</f>
        <v>541</v>
      </c>
      <c r="C569" s="4" t="str">
        <f ca="1">IFERROR(__xludf.DUMMYFUNCTION("""COMPUTED_VALUE"""),"SDATOOL-39246")</f>
        <v>SDATOOL-39246</v>
      </c>
      <c r="D569" s="4" t="str">
        <f ca="1">IFERROR(__xludf.DUMMYFUNCTION("""COMPUTED_VALUE"""),"Nuevo tipo de identificación para extranjeros")</f>
        <v>Nuevo tipo de identificación para extranjeros</v>
      </c>
      <c r="E569"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9" s="4" t="str">
        <f ca="1">IFERROR(__xludf.DUMMYFUNCTION("""COMPUTED_VALUE"""),"Project")</f>
        <v>Project</v>
      </c>
      <c r="G569" s="4" t="str">
        <f ca="1">IFERROR(__xludf.DUMMYFUNCTION("""COMPUTED_VALUE"""),"Stock")</f>
        <v>Stock</v>
      </c>
      <c r="H569" s="4" t="str">
        <f ca="1">IFERROR(__xludf.DUMMYFUNCTION("""COMPUTED_VALUE"""),"4Q 2023")</f>
        <v>4Q 2023</v>
      </c>
      <c r="I569" s="131" t="str">
        <f ca="1">IFERROR(__xludf.DUMMYFUNCTION("""COMPUTED_VALUE"""),"alirio.bermudez-bbva.com")</f>
        <v>alirio.bermudez-bbva.com</v>
      </c>
      <c r="J569" s="131" t="str">
        <f ca="1">IFERROR(__xludf.DUMMYFUNCTION("""COMPUTED_VALUE"""),"hugo.mongua-bbva.com")</f>
        <v>hugo.mongua-bbva.com</v>
      </c>
      <c r="K569" s="131" t="str">
        <f ca="1">IFERROR(__xludf.DUMMYFUNCTION("""COMPUTED_VALUE"""),"david.juvinao-bbva.com")</f>
        <v>david.juvinao-bbva.com</v>
      </c>
      <c r="L569" s="4"/>
      <c r="M569" s="4"/>
      <c r="N569" s="4"/>
      <c r="O569" s="4" t="str">
        <f ca="1">IFERROR(__xludf.DUMMYFUNCTION("""COMPUTED_VALUE"""),"Waterfall")</f>
        <v>Waterfall</v>
      </c>
      <c r="P569" s="4" t="str">
        <f ca="1">IFERROR(__xludf.DUMMYFUNCTION("""COMPUTED_VALUE"""),"Tradicional")</f>
        <v>Tradicional</v>
      </c>
      <c r="Q569" s="4"/>
      <c r="R569" s="130" t="str">
        <f ca="1">IFERROR(__xludf.DUMMYFUNCTION("""COMPUTED_VALUE"""),"Retail Execution")</f>
        <v>Retail Execution</v>
      </c>
      <c r="S569" s="130" t="str">
        <f ca="1">IFERROR(__xludf.DUMMYFUNCTION("""COMPUTED_VALUE""")," Otros")</f>
        <v xml:space="preserve"> Otros</v>
      </c>
      <c r="T569" s="130" t="str">
        <f ca="1">IFERROR(__xludf.DUMMYFUNCTION("""COMPUTED_VALUE"""),"Normativo")</f>
        <v>Normativo</v>
      </c>
      <c r="U569" s="130" t="str">
        <f ca="1">IFERROR(__xludf.DUMMYFUNCTION("""COMPUTED_VALUE"""),"No Aplica")</f>
        <v>No Aplica</v>
      </c>
      <c r="V569" s="4" t="str">
        <f ca="1">IFERROR(__xludf.DUMMYFUNCTION("""COMPUTED_VALUE"""),"Otros")</f>
        <v>Otros</v>
      </c>
      <c r="W569" s="4">
        <f ca="1">IFERROR(__xludf.DUMMYFUNCTION("""COMPUTED_VALUE"""),3)</f>
        <v>3</v>
      </c>
      <c r="X569" s="4" t="str">
        <f ca="1">IFERROR(__xludf.DUMMYFUNCTION("""COMPUTED_VALUE"""),"10. Otros")</f>
        <v>10. Otros</v>
      </c>
      <c r="Y569" s="4" t="str">
        <f ca="1">IFERROR(__xludf.DUMMYFUNCTION("""COMPUTED_VALUE""")," Otros")</f>
        <v xml:space="preserve"> Otros</v>
      </c>
      <c r="Z569" s="132" t="str">
        <f ca="1">IFERROR(__xludf.DUMMYFUNCTION("""COMPUTED_VALUE"""),"625274")</f>
        <v>625274</v>
      </c>
      <c r="AA569" s="4" t="str">
        <f ca="1">IFERROR(__xludf.DUMMYFUNCTION("""COMPUTED_VALUE"""),"SDA39246 BBVANET FUNCIONALIDAD ID PPT PERMISO DE PERMANENCIA TEMPORAL")</f>
        <v>SDA39246 BBVANET FUNCIONALIDAD ID PPT PERMISO DE PERMANENCIA TEMPORAL</v>
      </c>
      <c r="AB569" s="4" t="str">
        <f ca="1">IFERROR(__xludf.DUMMYFUNCTION("""COMPUTED_VALUE"""),"Habilitar la funcionalidades desde BBVANET para el nuevo tipo de identificación PPT Permiso de Permanencia Temporal para Venezolanos. En las siguientes categorías: Seguridad y claves / Actualización de datos / V/or agregado / On off Canal /  personalizaci"&amp;"ón operación monetaria limite diario y mensual / Venta de productos digitales / Pagos recurrentes / consulta / transferencia / pagos / admón. de producto / generación de documentos")</f>
        <v>Habilitar la funcionalidades desde BBVANET para el nuevo tipo de identificación PPT Permiso de Permanencia Temporal para Venezolanos. En las siguientes categorías: Seguridad y claves / Actualización de datos / V/or agregado / On off Canal /  personalización operación monetaria limite diario y mensual / Venta de productos digitales / Pagos recurrentes / consulta / transferencia / pagos / admón. de producto / generación de documentos</v>
      </c>
      <c r="AC569" s="4" t="str">
        <f ca="1">IFERROR(__xludf.DUMMYFUNCTION("""COMPUTED_VALUE"""),"3Q 2023")</f>
        <v>3Q 2023</v>
      </c>
      <c r="AD569" s="4"/>
      <c r="AE569" s="4"/>
      <c r="AF569" s="4"/>
      <c r="AG569" s="4"/>
      <c r="AH569" s="4"/>
      <c r="AI569" s="4"/>
      <c r="AJ569" s="4"/>
      <c r="AK569" s="131" t="str">
        <f ca="1">IFERROR(__xludf.DUMMYFUNCTION("""COMPUTED_VALUE"""),"COLWSCUENT-1833")</f>
        <v>COLWSCUENT-1833</v>
      </c>
      <c r="AL569" s="4" t="str">
        <f ca="1">IFERROR(__xludf.DUMMYFUNCTION("""COMPUTED_VALUE"""),"En progreso")</f>
        <v>En progreso</v>
      </c>
      <c r="AM569" s="4"/>
      <c r="AN569" s="4" t="str">
        <f ca="1">IFERROR(__xludf.DUMMYFUNCTION("""COMPUTED_VALUE"""),"Entregable en backlog")</f>
        <v>Entregable en backlog</v>
      </c>
      <c r="AO569" s="4" t="str">
        <f ca="1">IFERROR(__xludf.DUMMYFUNCTION("""COMPUTED_VALUE"""),"Pasivos")</f>
        <v>Pasivos</v>
      </c>
      <c r="AP569" s="4"/>
      <c r="AQ569" s="4"/>
      <c r="AR569" s="4" t="str">
        <f ca="1">IFERROR(__xludf.DUMMYFUNCTION("""COMPUTED_VALUE"""),"SDA aprobada en PPP Q1 2023")</f>
        <v>SDA aprobada en PPP Q1 2023</v>
      </c>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row>
    <row r="570" spans="1:132" x14ac:dyDescent="0.2">
      <c r="A570" s="4">
        <f ca="1">IFERROR(__xludf.DUMMYFUNCTION("""COMPUTED_VALUE"""),570)</f>
        <v>570</v>
      </c>
      <c r="B570" s="4">
        <f ca="1">IFERROR(__xludf.DUMMYFUNCTION("""COMPUTED_VALUE"""),542)</f>
        <v>542</v>
      </c>
      <c r="C570" s="4" t="str">
        <f ca="1">IFERROR(__xludf.DUMMYFUNCTION("""COMPUTED_VALUE"""),"SDATOOL-39246")</f>
        <v>SDATOOL-39246</v>
      </c>
      <c r="D570" s="4" t="str">
        <f ca="1">IFERROR(__xludf.DUMMYFUNCTION("""COMPUTED_VALUE"""),"Nuevo tipo de identificación para extranjeros")</f>
        <v>Nuevo tipo de identificación para extranjeros</v>
      </c>
      <c r="E570"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0" s="4" t="str">
        <f ca="1">IFERROR(__xludf.DUMMYFUNCTION("""COMPUTED_VALUE"""),"Project")</f>
        <v>Project</v>
      </c>
      <c r="G570" s="4" t="str">
        <f ca="1">IFERROR(__xludf.DUMMYFUNCTION("""COMPUTED_VALUE"""),"Stock")</f>
        <v>Stock</v>
      </c>
      <c r="H570" s="4" t="str">
        <f ca="1">IFERROR(__xludf.DUMMYFUNCTION("""COMPUTED_VALUE"""),"4Q 2023")</f>
        <v>4Q 2023</v>
      </c>
      <c r="I570" s="131" t="str">
        <f ca="1">IFERROR(__xludf.DUMMYFUNCTION("""COMPUTED_VALUE"""),"alirio.bermudez-bbva.com")</f>
        <v>alirio.bermudez-bbva.com</v>
      </c>
      <c r="J570" s="131" t="str">
        <f ca="1">IFERROR(__xludf.DUMMYFUNCTION("""COMPUTED_VALUE"""),"hugo.mongua-bbva.com")</f>
        <v>hugo.mongua-bbva.com</v>
      </c>
      <c r="K570" s="131" t="str">
        <f ca="1">IFERROR(__xludf.DUMMYFUNCTION("""COMPUTED_VALUE"""),"david.juvinao-bbva.com")</f>
        <v>david.juvinao-bbva.com</v>
      </c>
      <c r="L570" s="4"/>
      <c r="M570" s="4"/>
      <c r="N570" s="4"/>
      <c r="O570" s="4" t="str">
        <f ca="1">IFERROR(__xludf.DUMMYFUNCTION("""COMPUTED_VALUE"""),"Waterfall")</f>
        <v>Waterfall</v>
      </c>
      <c r="P570" s="4" t="str">
        <f ca="1">IFERROR(__xludf.DUMMYFUNCTION("""COMPUTED_VALUE"""),"Tradicional")</f>
        <v>Tradicional</v>
      </c>
      <c r="Q570" s="4"/>
      <c r="R570" s="130" t="str">
        <f ca="1">IFERROR(__xludf.DUMMYFUNCTION("""COMPUTED_VALUE"""),"Retail Execution")</f>
        <v>Retail Execution</v>
      </c>
      <c r="S570" s="130" t="str">
        <f ca="1">IFERROR(__xludf.DUMMYFUNCTION("""COMPUTED_VALUE""")," Otros")</f>
        <v xml:space="preserve"> Otros</v>
      </c>
      <c r="T570" s="130" t="str">
        <f ca="1">IFERROR(__xludf.DUMMYFUNCTION("""COMPUTED_VALUE"""),"Normativo")</f>
        <v>Normativo</v>
      </c>
      <c r="U570" s="130" t="str">
        <f ca="1">IFERROR(__xludf.DUMMYFUNCTION("""COMPUTED_VALUE"""),"No Aplica")</f>
        <v>No Aplica</v>
      </c>
      <c r="V570" s="4" t="str">
        <f ca="1">IFERROR(__xludf.DUMMYFUNCTION("""COMPUTED_VALUE"""),"Otros")</f>
        <v>Otros</v>
      </c>
      <c r="W570" s="4">
        <f ca="1">IFERROR(__xludf.DUMMYFUNCTION("""COMPUTED_VALUE"""),3)</f>
        <v>3</v>
      </c>
      <c r="X570" s="4" t="str">
        <f ca="1">IFERROR(__xludf.DUMMYFUNCTION("""COMPUTED_VALUE"""),"10. Otros")</f>
        <v>10. Otros</v>
      </c>
      <c r="Y570" s="4" t="str">
        <f ca="1">IFERROR(__xludf.DUMMYFUNCTION("""COMPUTED_VALUE""")," Otros")</f>
        <v xml:space="preserve"> Otros</v>
      </c>
      <c r="Z570" s="132" t="str">
        <f ca="1">IFERROR(__xludf.DUMMYFUNCTION("""COMPUTED_VALUE"""),"710544")</f>
        <v>710544</v>
      </c>
      <c r="AA570" s="4" t="str">
        <f ca="1">IFERROR(__xludf.DUMMYFUNCTION("""COMPUTED_VALUE"""),"SDA-39246 ID PPT EXTRANJEROS BG VS BBVANET PERSONAS")</f>
        <v>SDA-39246 ID PPT EXTRANJEROS BG VS BBVANET PERSONAS</v>
      </c>
      <c r="AB570" s="4" t="str">
        <f ca="1">IFERROR(__xludf.DUMMYFUNCTION("""COMPUTED_VALUE"""),"Se requieren adaptar los componentes de cuentas personales para recibir la rutinas de BBVANET personas para su correcto funcionamiento en los canales.")</f>
        <v>Se requieren adaptar los componentes de cuentas personales para recibir la rutinas de BBVANET personas para su correcto funcionamiento en los canales.</v>
      </c>
      <c r="AC570" s="4" t="str">
        <f ca="1">IFERROR(__xludf.DUMMYFUNCTION("""COMPUTED_VALUE"""),"3Q 2023")</f>
        <v>3Q 2023</v>
      </c>
      <c r="AD570" s="4"/>
      <c r="AE570" s="4"/>
      <c r="AF570" s="4"/>
      <c r="AG570" s="4"/>
      <c r="AH570" s="4"/>
      <c r="AI570" s="4"/>
      <c r="AJ570" s="4"/>
      <c r="AK570" s="131" t="str">
        <f ca="1">IFERROR(__xludf.DUMMYFUNCTION("""COMPUTED_VALUE"""),"COLWSCUENT-2385")</f>
        <v>COLWSCUENT-2385</v>
      </c>
      <c r="AL570" s="4" t="str">
        <f ca="1">IFERROR(__xludf.DUMMYFUNCTION("""COMPUTED_VALUE"""),"New")</f>
        <v>New</v>
      </c>
      <c r="AM570" s="4"/>
      <c r="AN570" s="4" t="str">
        <f ca="1">IFERROR(__xludf.DUMMYFUNCTION("""COMPUTED_VALUE"""),"Entregable en backlog")</f>
        <v>Entregable en backlog</v>
      </c>
      <c r="AO570" s="4" t="str">
        <f ca="1">IFERROR(__xludf.DUMMYFUNCTION("""COMPUTED_VALUE"""),"Pasivos")</f>
        <v>Pasivos</v>
      </c>
      <c r="AP570" s="4"/>
      <c r="AQ570" s="4"/>
      <c r="AR570" s="4" t="str">
        <f ca="1">IFERROR(__xludf.DUMMYFUNCTION("""COMPUTED_VALUE"""),"SDA aprobada en PPP Q1 2023")</f>
        <v>SDA aprobada en PPP Q1 2023</v>
      </c>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row>
    <row r="571" spans="1:132" x14ac:dyDescent="0.2">
      <c r="A571" s="4">
        <f ca="1">IFERROR(__xludf.DUMMYFUNCTION("""COMPUTED_VALUE"""),571)</f>
        <v>571</v>
      </c>
      <c r="B571" s="4">
        <f ca="1">IFERROR(__xludf.DUMMYFUNCTION("""COMPUTED_VALUE"""),543)</f>
        <v>543</v>
      </c>
      <c r="C571" s="4" t="str">
        <f ca="1">IFERROR(__xludf.DUMMYFUNCTION("""COMPUTED_VALUE"""),"SDATOOL-39246")</f>
        <v>SDATOOL-39246</v>
      </c>
      <c r="D571" s="4" t="str">
        <f ca="1">IFERROR(__xludf.DUMMYFUNCTION("""COMPUTED_VALUE"""),"Nuevo tipo de identificación para extranjeros")</f>
        <v>Nuevo tipo de identificación para extranjeros</v>
      </c>
      <c r="E571"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1" s="4" t="str">
        <f ca="1">IFERROR(__xludf.DUMMYFUNCTION("""COMPUTED_VALUE"""),"Project")</f>
        <v>Project</v>
      </c>
      <c r="G571" s="4" t="str">
        <f ca="1">IFERROR(__xludf.DUMMYFUNCTION("""COMPUTED_VALUE"""),"Stock")</f>
        <v>Stock</v>
      </c>
      <c r="H571" s="4" t="str">
        <f ca="1">IFERROR(__xludf.DUMMYFUNCTION("""COMPUTED_VALUE"""),"4Q 2023")</f>
        <v>4Q 2023</v>
      </c>
      <c r="I571" s="131" t="str">
        <f ca="1">IFERROR(__xludf.DUMMYFUNCTION("""COMPUTED_VALUE"""),"alirio.bermudez-bbva.com")</f>
        <v>alirio.bermudez-bbva.com</v>
      </c>
      <c r="J571" s="131" t="str">
        <f ca="1">IFERROR(__xludf.DUMMYFUNCTION("""COMPUTED_VALUE"""),"hugo.mongua-bbva.com")</f>
        <v>hugo.mongua-bbva.com</v>
      </c>
      <c r="K571" s="131" t="str">
        <f ca="1">IFERROR(__xludf.DUMMYFUNCTION("""COMPUTED_VALUE"""),"david.juvinao-bbva.com")</f>
        <v>david.juvinao-bbva.com</v>
      </c>
      <c r="L571" s="4"/>
      <c r="M571" s="4"/>
      <c r="N571" s="4"/>
      <c r="O571" s="4" t="str">
        <f ca="1">IFERROR(__xludf.DUMMYFUNCTION("""COMPUTED_VALUE"""),"Waterfall")</f>
        <v>Waterfall</v>
      </c>
      <c r="P571" s="4" t="str">
        <f ca="1">IFERROR(__xludf.DUMMYFUNCTION("""COMPUTED_VALUE"""),"Tradicional")</f>
        <v>Tradicional</v>
      </c>
      <c r="Q571" s="4"/>
      <c r="R571" s="130" t="str">
        <f ca="1">IFERROR(__xludf.DUMMYFUNCTION("""COMPUTED_VALUE"""),"Retail Execution")</f>
        <v>Retail Execution</v>
      </c>
      <c r="S571" s="130" t="str">
        <f ca="1">IFERROR(__xludf.DUMMYFUNCTION("""COMPUTED_VALUE""")," Otros")</f>
        <v xml:space="preserve"> Otros</v>
      </c>
      <c r="T571" s="130" t="str">
        <f ca="1">IFERROR(__xludf.DUMMYFUNCTION("""COMPUTED_VALUE"""),"Normativo")</f>
        <v>Normativo</v>
      </c>
      <c r="U571" s="130" t="str">
        <f ca="1">IFERROR(__xludf.DUMMYFUNCTION("""COMPUTED_VALUE"""),"No Aplica")</f>
        <v>No Aplica</v>
      </c>
      <c r="V571" s="4" t="str">
        <f ca="1">IFERROR(__xludf.DUMMYFUNCTION("""COMPUTED_VALUE"""),"Otros")</f>
        <v>Otros</v>
      </c>
      <c r="W571" s="4">
        <f ca="1">IFERROR(__xludf.DUMMYFUNCTION("""COMPUTED_VALUE"""),3)</f>
        <v>3</v>
      </c>
      <c r="X571" s="4" t="str">
        <f ca="1">IFERROR(__xludf.DUMMYFUNCTION("""COMPUTED_VALUE"""),"10. Otros")</f>
        <v>10. Otros</v>
      </c>
      <c r="Y571" s="4" t="str">
        <f ca="1">IFERROR(__xludf.DUMMYFUNCTION("""COMPUTED_VALUE""")," Otros")</f>
        <v xml:space="preserve"> Otros</v>
      </c>
      <c r="Z571" s="132" t="str">
        <f ca="1">IFERROR(__xludf.DUMMYFUNCTION("""COMPUTED_VALUE"""),"625040")</f>
        <v>625040</v>
      </c>
      <c r="AA571" s="4" t="str">
        <f ca="1">IFERROR(__xludf.DUMMYFUNCTION("""COMPUTED_VALUE"""),"SDA-39246 (GEMA) FUNCIONALIDADES - ID EXTRANJEROSCANAL GEMA")</f>
        <v>SDA-39246 (GEMA) FUNCIONALIDADES - ID EXTRANJEROSCANAL GEMA</v>
      </c>
      <c r="AB571" s="4" t="str">
        <f ca="1">IFERROR(__xludf.DUMMYFUNCTION("""COMPUTED_VALUE"""),"- Se requiere habilitar desde el canal GEMA todas las funcionalidades que operan en la actualidad para el nuevo tipo de identificación PPT - Permiso de Protección Temporal.")</f>
        <v>- Se requiere habilitar desde el canal GEMA todas las funcionalidades que operan en la actualidad para el nuevo tipo de identificación PPT - Permiso de Protección Temporal.</v>
      </c>
      <c r="AC571" s="4" t="str">
        <f ca="1">IFERROR(__xludf.DUMMYFUNCTION("""COMPUTED_VALUE"""),"4Q 2023")</f>
        <v>4Q 2023</v>
      </c>
      <c r="AD571" s="4"/>
      <c r="AE571" s="4"/>
      <c r="AF571" s="4"/>
      <c r="AG571" s="4"/>
      <c r="AH571" s="4"/>
      <c r="AI571" s="4"/>
      <c r="AJ571" s="4"/>
      <c r="AK571" s="131" t="str">
        <f ca="1">IFERROR(__xludf.DUMMYFUNCTION("""COMPUTED_VALUE"""),"COLWSCUENT-1828")</f>
        <v>COLWSCUENT-1828</v>
      </c>
      <c r="AL571" s="4" t="str">
        <f ca="1">IFERROR(__xludf.DUMMYFUNCTION("""COMPUTED_VALUE"""),"New")</f>
        <v>New</v>
      </c>
      <c r="AM571" s="4"/>
      <c r="AN571" s="4" t="str">
        <f ca="1">IFERROR(__xludf.DUMMYFUNCTION("""COMPUTED_VALUE"""),"Entregable en backlog")</f>
        <v>Entregable en backlog</v>
      </c>
      <c r="AO571" s="4" t="str">
        <f ca="1">IFERROR(__xludf.DUMMYFUNCTION("""COMPUTED_VALUE"""),"Pasivos")</f>
        <v>Pasivos</v>
      </c>
      <c r="AP571" s="4"/>
      <c r="AQ571" s="4"/>
      <c r="AR571" s="4" t="str">
        <f ca="1">IFERROR(__xludf.DUMMYFUNCTION("""COMPUTED_VALUE"""),"SDA aprobada en PPP Q1 2023")</f>
        <v>SDA aprobada en PPP Q1 2023</v>
      </c>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row>
    <row r="572" spans="1:132" x14ac:dyDescent="0.2">
      <c r="A572" s="4">
        <f ca="1">IFERROR(__xludf.DUMMYFUNCTION("""COMPUTED_VALUE"""),572)</f>
        <v>572</v>
      </c>
      <c r="B572" s="4">
        <f ca="1">IFERROR(__xludf.DUMMYFUNCTION("""COMPUTED_VALUE"""),544)</f>
        <v>544</v>
      </c>
      <c r="C572" s="4" t="str">
        <f ca="1">IFERROR(__xludf.DUMMYFUNCTION("""COMPUTED_VALUE"""),"SDATOOL-39246")</f>
        <v>SDATOOL-39246</v>
      </c>
      <c r="D572" s="4" t="str">
        <f ca="1">IFERROR(__xludf.DUMMYFUNCTION("""COMPUTED_VALUE"""),"Nuevo tipo de identificación para extranjeros")</f>
        <v>Nuevo tipo de identificación para extranjeros</v>
      </c>
      <c r="E572"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2" s="4" t="str">
        <f ca="1">IFERROR(__xludf.DUMMYFUNCTION("""COMPUTED_VALUE"""),"Project")</f>
        <v>Project</v>
      </c>
      <c r="G572" s="4" t="str">
        <f ca="1">IFERROR(__xludf.DUMMYFUNCTION("""COMPUTED_VALUE"""),"Stock")</f>
        <v>Stock</v>
      </c>
      <c r="H572" s="4" t="str">
        <f ca="1">IFERROR(__xludf.DUMMYFUNCTION("""COMPUTED_VALUE"""),"4Q 2023")</f>
        <v>4Q 2023</v>
      </c>
      <c r="I572" s="131" t="str">
        <f ca="1">IFERROR(__xludf.DUMMYFUNCTION("""COMPUTED_VALUE"""),"alirio.bermudez-bbva.com")</f>
        <v>alirio.bermudez-bbva.com</v>
      </c>
      <c r="J572" s="131" t="str">
        <f ca="1">IFERROR(__xludf.DUMMYFUNCTION("""COMPUTED_VALUE"""),"hugo.mongua-bbva.com")</f>
        <v>hugo.mongua-bbva.com</v>
      </c>
      <c r="K572" s="131" t="str">
        <f ca="1">IFERROR(__xludf.DUMMYFUNCTION("""COMPUTED_VALUE"""),"david.juvinao-bbva.com")</f>
        <v>david.juvinao-bbva.com</v>
      </c>
      <c r="L572" s="4"/>
      <c r="M572" s="4"/>
      <c r="N572" s="4"/>
      <c r="O572" s="4" t="str">
        <f ca="1">IFERROR(__xludf.DUMMYFUNCTION("""COMPUTED_VALUE"""),"Waterfall")</f>
        <v>Waterfall</v>
      </c>
      <c r="P572" s="4" t="str">
        <f ca="1">IFERROR(__xludf.DUMMYFUNCTION("""COMPUTED_VALUE"""),"Tradicional")</f>
        <v>Tradicional</v>
      </c>
      <c r="Q572" s="4"/>
      <c r="R572" s="130" t="str">
        <f ca="1">IFERROR(__xludf.DUMMYFUNCTION("""COMPUTED_VALUE"""),"Retail Execution")</f>
        <v>Retail Execution</v>
      </c>
      <c r="S572" s="130" t="str">
        <f ca="1">IFERROR(__xludf.DUMMYFUNCTION("""COMPUTED_VALUE""")," Otros")</f>
        <v xml:space="preserve"> Otros</v>
      </c>
      <c r="T572" s="130" t="str">
        <f ca="1">IFERROR(__xludf.DUMMYFUNCTION("""COMPUTED_VALUE"""),"Normativo")</f>
        <v>Normativo</v>
      </c>
      <c r="U572" s="130" t="str">
        <f ca="1">IFERROR(__xludf.DUMMYFUNCTION("""COMPUTED_VALUE"""),"No Aplica")</f>
        <v>No Aplica</v>
      </c>
      <c r="V572" s="4" t="str">
        <f ca="1">IFERROR(__xludf.DUMMYFUNCTION("""COMPUTED_VALUE"""),"Otros")</f>
        <v>Otros</v>
      </c>
      <c r="W572" s="4">
        <f ca="1">IFERROR(__xludf.DUMMYFUNCTION("""COMPUTED_VALUE"""),3)</f>
        <v>3</v>
      </c>
      <c r="X572" s="4" t="str">
        <f ca="1">IFERROR(__xludf.DUMMYFUNCTION("""COMPUTED_VALUE"""),"10. Otros")</f>
        <v>10. Otros</v>
      </c>
      <c r="Y572" s="4" t="str">
        <f ca="1">IFERROR(__xludf.DUMMYFUNCTION("""COMPUTED_VALUE""")," Otros")</f>
        <v xml:space="preserve"> Otros</v>
      </c>
      <c r="Z572" s="132" t="str">
        <f ca="1">IFERROR(__xludf.DUMMYFUNCTION("""COMPUTED_VALUE"""),"625555")</f>
        <v>625555</v>
      </c>
      <c r="AA572" s="4" t="str">
        <f ca="1">IFERROR(__xludf.DUMMYFUNCTION("""COMPUTED_VALUE"""),"SDA-39246 (MEP) VINCULACIÓN PRODUCTOS TC QR - ID EXTRANJEROS")</f>
        <v>SDA-39246 (MEP) VINCULACIÓN PRODUCTOS TC QR - ID EXTRANJEROS</v>
      </c>
      <c r="AB572" s="4" t="str">
        <f ca="1">IFERROR(__xludf.DUMMYFUNCTION("""COMPUTED_VALUE"""),"Crear un nuevo código PPT - Permiso de Protección Temporal dentro de los tipos de identificación que se tienen definidos en el banco, con el fin de cumplir con la nueva regulación colombiana que habilita inicialmente a los venezolanos para adquirir produc"&amp;"tos de Medios de Pago Tarjeta de Crédito y Cupo rotativo")</f>
        <v>Crear un nuevo código PPT - Permiso de Protección Temporal dentro de los tipos de identificación que se tienen definidos en el banco, con el fin de cumplir con la nueva regulación colombiana que habilita inicialmente a los venezolanos para adquirir productos de Medios de Pago Tarjeta de Crédito y Cupo rotativo</v>
      </c>
      <c r="AC572" s="4" t="str">
        <f ca="1">IFERROR(__xludf.DUMMYFUNCTION("""COMPUTED_VALUE"""),"3Q 2023")</f>
        <v>3Q 2023</v>
      </c>
      <c r="AD572" s="4"/>
      <c r="AE572" s="4"/>
      <c r="AF572" s="4"/>
      <c r="AG572" s="4"/>
      <c r="AH572" s="4"/>
      <c r="AI572" s="4"/>
      <c r="AJ572" s="4"/>
      <c r="AK572" s="131" t="str">
        <f ca="1">IFERROR(__xludf.DUMMYFUNCTION("""COMPUTED_VALUE"""),"COLWSCUENT-1838")</f>
        <v>COLWSCUENT-1838</v>
      </c>
      <c r="AL572" s="4" t="str">
        <f ca="1">IFERROR(__xludf.DUMMYFUNCTION("""COMPUTED_VALUE"""),"New")</f>
        <v>New</v>
      </c>
      <c r="AM572" s="4"/>
      <c r="AN572" s="4" t="str">
        <f ca="1">IFERROR(__xludf.DUMMYFUNCTION("""COMPUTED_VALUE"""),"Entregable en backlog")</f>
        <v>Entregable en backlog</v>
      </c>
      <c r="AO572" s="4" t="str">
        <f ca="1">IFERROR(__xludf.DUMMYFUNCTION("""COMPUTED_VALUE"""),"Pasivos")</f>
        <v>Pasivos</v>
      </c>
      <c r="AP572" s="4"/>
      <c r="AQ572" s="4"/>
      <c r="AR572" s="4" t="str">
        <f ca="1">IFERROR(__xludf.DUMMYFUNCTION("""COMPUTED_VALUE"""),"SDA aprobada en PPP Q1 2023")</f>
        <v>SDA aprobada en PPP Q1 2023</v>
      </c>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row>
    <row r="573" spans="1:132" x14ac:dyDescent="0.2">
      <c r="A573" s="4">
        <f ca="1">IFERROR(__xludf.DUMMYFUNCTION("""COMPUTED_VALUE"""),573)</f>
        <v>573</v>
      </c>
      <c r="B573" s="4">
        <f ca="1">IFERROR(__xludf.DUMMYFUNCTION("""COMPUTED_VALUE"""),545)</f>
        <v>545</v>
      </c>
      <c r="C573" s="4" t="str">
        <f ca="1">IFERROR(__xludf.DUMMYFUNCTION("""COMPUTED_VALUE"""),"SDATOOL-39246")</f>
        <v>SDATOOL-39246</v>
      </c>
      <c r="D573" s="4" t="str">
        <f ca="1">IFERROR(__xludf.DUMMYFUNCTION("""COMPUTED_VALUE"""),"Nuevo tipo de identificación para extranjeros")</f>
        <v>Nuevo tipo de identificación para extranjeros</v>
      </c>
      <c r="E573"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3" s="4" t="str">
        <f ca="1">IFERROR(__xludf.DUMMYFUNCTION("""COMPUTED_VALUE"""),"Project")</f>
        <v>Project</v>
      </c>
      <c r="G573" s="4" t="str">
        <f ca="1">IFERROR(__xludf.DUMMYFUNCTION("""COMPUTED_VALUE"""),"Stock")</f>
        <v>Stock</v>
      </c>
      <c r="H573" s="4" t="str">
        <f ca="1">IFERROR(__xludf.DUMMYFUNCTION("""COMPUTED_VALUE"""),"4Q 2023")</f>
        <v>4Q 2023</v>
      </c>
      <c r="I573" s="131" t="str">
        <f ca="1">IFERROR(__xludf.DUMMYFUNCTION("""COMPUTED_VALUE"""),"alirio.bermudez-bbva.com")</f>
        <v>alirio.bermudez-bbva.com</v>
      </c>
      <c r="J573" s="131" t="str">
        <f ca="1">IFERROR(__xludf.DUMMYFUNCTION("""COMPUTED_VALUE"""),"hugo.mongua-bbva.com")</f>
        <v>hugo.mongua-bbva.com</v>
      </c>
      <c r="K573" s="131" t="str">
        <f ca="1">IFERROR(__xludf.DUMMYFUNCTION("""COMPUTED_VALUE"""),"david.juvinao-bbva.com")</f>
        <v>david.juvinao-bbva.com</v>
      </c>
      <c r="L573" s="4"/>
      <c r="M573" s="4"/>
      <c r="N573" s="4"/>
      <c r="O573" s="4" t="str">
        <f ca="1">IFERROR(__xludf.DUMMYFUNCTION("""COMPUTED_VALUE"""),"Waterfall")</f>
        <v>Waterfall</v>
      </c>
      <c r="P573" s="4" t="str">
        <f ca="1">IFERROR(__xludf.DUMMYFUNCTION("""COMPUTED_VALUE"""),"Tradicional")</f>
        <v>Tradicional</v>
      </c>
      <c r="Q573" s="4"/>
      <c r="R573" s="130" t="str">
        <f ca="1">IFERROR(__xludf.DUMMYFUNCTION("""COMPUTED_VALUE"""),"Retail Execution")</f>
        <v>Retail Execution</v>
      </c>
      <c r="S573" s="130" t="str">
        <f ca="1">IFERROR(__xludf.DUMMYFUNCTION("""COMPUTED_VALUE""")," Otros")</f>
        <v xml:space="preserve"> Otros</v>
      </c>
      <c r="T573" s="130" t="str">
        <f ca="1">IFERROR(__xludf.DUMMYFUNCTION("""COMPUTED_VALUE"""),"Normativo")</f>
        <v>Normativo</v>
      </c>
      <c r="U573" s="130" t="str">
        <f ca="1">IFERROR(__xludf.DUMMYFUNCTION("""COMPUTED_VALUE"""),"No Aplica")</f>
        <v>No Aplica</v>
      </c>
      <c r="V573" s="4" t="str">
        <f ca="1">IFERROR(__xludf.DUMMYFUNCTION("""COMPUTED_VALUE"""),"Otros")</f>
        <v>Otros</v>
      </c>
      <c r="W573" s="4">
        <f ca="1">IFERROR(__xludf.DUMMYFUNCTION("""COMPUTED_VALUE"""),3)</f>
        <v>3</v>
      </c>
      <c r="X573" s="4" t="str">
        <f ca="1">IFERROR(__xludf.DUMMYFUNCTION("""COMPUTED_VALUE"""),"10. Otros")</f>
        <v>10. Otros</v>
      </c>
      <c r="Y573" s="4" t="str">
        <f ca="1">IFERROR(__xludf.DUMMYFUNCTION("""COMPUTED_VALUE""")," Otros")</f>
        <v xml:space="preserve"> Otros</v>
      </c>
      <c r="Z573" s="132" t="str">
        <f ca="1">IFERROR(__xludf.DUMMYFUNCTION("""COMPUTED_VALUE"""),"625300")</f>
        <v>625300</v>
      </c>
      <c r="AA573" s="4" t="str">
        <f ca="1">IFERROR(__xludf.DUMMYFUNCTION("""COMPUTED_VALUE"""),"SDA39246 GLOMO BCA MÓVIL FUNCIONALIDAD ID PPT PERMISO PERMANENCIA TEMPORAL")</f>
        <v>SDA39246 GLOMO BCA MÓVIL FUNCIONALIDAD ID PPT PERMISO PERMANENCIA TEMPORAL</v>
      </c>
      <c r="AB573" s="4" t="str">
        <f ca="1">IFERROR(__xludf.DUMMYFUNCTION("""COMPUTED_VALUE"""),"Habilitar la funcionalidades desde GLOMO o Banca Móvil para el nuevo tipo de identificación PPT Permiso de Permanencia Temporal para Venezolanos. En las siguientes categorías: Seguridad y claves / Actualización de datos / V/or agregado / On off Canal / pe"&amp;"rsonalización operación monetaria limite diario y mensual / Venta de productos digitales / Pagos recurrentes / consulta / transferencia / pagos / admón. de producto / generación de documentos")</f>
        <v>Habilitar la funcionalidades desde GLOMO o Banca Móvil para el nuevo tipo de identificación PPT Permiso de Permanencia Temporal para Venezolanos. En las siguientes categorías: Seguridad y claves / Actualización de datos / V/or agregado / On off Canal / personalización operación monetaria limite diario y mensual / Venta de productos digitales / Pagos recurrentes / consulta / transferencia / pagos / admón. de producto / generación de documentos</v>
      </c>
      <c r="AC573" s="4" t="str">
        <f ca="1">IFERROR(__xludf.DUMMYFUNCTION("""COMPUTED_VALUE"""),"4Q 2023")</f>
        <v>4Q 2023</v>
      </c>
      <c r="AD573" s="4"/>
      <c r="AE573" s="4"/>
      <c r="AF573" s="4"/>
      <c r="AG573" s="4"/>
      <c r="AH573" s="4"/>
      <c r="AI573" s="4"/>
      <c r="AJ573" s="4"/>
      <c r="AK573" s="131" t="str">
        <f ca="1">IFERROR(__xludf.DUMMYFUNCTION("""COMPUTED_VALUE"""),"COLWSCUENT-1835")</f>
        <v>COLWSCUENT-1835</v>
      </c>
      <c r="AL573" s="4" t="str">
        <f ca="1">IFERROR(__xludf.DUMMYFUNCTION("""COMPUTED_VALUE"""),"New")</f>
        <v>New</v>
      </c>
      <c r="AM573" s="4"/>
      <c r="AN573" s="4" t="str">
        <f ca="1">IFERROR(__xludf.DUMMYFUNCTION("""COMPUTED_VALUE"""),"Entregable en backlog")</f>
        <v>Entregable en backlog</v>
      </c>
      <c r="AO573" s="4" t="str">
        <f ca="1">IFERROR(__xludf.DUMMYFUNCTION("""COMPUTED_VALUE"""),"Pasivos")</f>
        <v>Pasivos</v>
      </c>
      <c r="AP573" s="4"/>
      <c r="AQ573" s="4"/>
      <c r="AR573" s="4" t="str">
        <f ca="1">IFERROR(__xludf.DUMMYFUNCTION("""COMPUTED_VALUE"""),"SDA aprobada en PPP Q1 2023")</f>
        <v>SDA aprobada en PPP Q1 2023</v>
      </c>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row>
    <row r="574" spans="1:132" x14ac:dyDescent="0.2">
      <c r="A574" s="4">
        <f ca="1">IFERROR(__xludf.DUMMYFUNCTION("""COMPUTED_VALUE"""),574)</f>
        <v>574</v>
      </c>
      <c r="B574" s="4">
        <f ca="1">IFERROR(__xludf.DUMMYFUNCTION("""COMPUTED_VALUE"""),546)</f>
        <v>546</v>
      </c>
      <c r="C574" s="4" t="str">
        <f ca="1">IFERROR(__xludf.DUMMYFUNCTION("""COMPUTED_VALUE"""),"SDATOOL-39246")</f>
        <v>SDATOOL-39246</v>
      </c>
      <c r="D574" s="4" t="str">
        <f ca="1">IFERROR(__xludf.DUMMYFUNCTION("""COMPUTED_VALUE"""),"Nuevo tipo de identificación para extranjeros")</f>
        <v>Nuevo tipo de identificación para extranjeros</v>
      </c>
      <c r="E574"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4" s="4" t="str">
        <f ca="1">IFERROR(__xludf.DUMMYFUNCTION("""COMPUTED_VALUE"""),"Project")</f>
        <v>Project</v>
      </c>
      <c r="G574" s="4" t="str">
        <f ca="1">IFERROR(__xludf.DUMMYFUNCTION("""COMPUTED_VALUE"""),"Stock")</f>
        <v>Stock</v>
      </c>
      <c r="H574" s="4" t="str">
        <f ca="1">IFERROR(__xludf.DUMMYFUNCTION("""COMPUTED_VALUE"""),"4Q 2023")</f>
        <v>4Q 2023</v>
      </c>
      <c r="I574" s="131" t="str">
        <f ca="1">IFERROR(__xludf.DUMMYFUNCTION("""COMPUTED_VALUE"""),"alirio.bermudez-bbva.com")</f>
        <v>alirio.bermudez-bbva.com</v>
      </c>
      <c r="J574" s="131" t="str">
        <f ca="1">IFERROR(__xludf.DUMMYFUNCTION("""COMPUTED_VALUE"""),"hugo.mongua-bbva.com")</f>
        <v>hugo.mongua-bbva.com</v>
      </c>
      <c r="K574" s="131" t="str">
        <f ca="1">IFERROR(__xludf.DUMMYFUNCTION("""COMPUTED_VALUE"""),"david.juvinao-bbva.com")</f>
        <v>david.juvinao-bbva.com</v>
      </c>
      <c r="L574" s="4"/>
      <c r="M574" s="4"/>
      <c r="N574" s="4"/>
      <c r="O574" s="4" t="str">
        <f ca="1">IFERROR(__xludf.DUMMYFUNCTION("""COMPUTED_VALUE"""),"Waterfall")</f>
        <v>Waterfall</v>
      </c>
      <c r="P574" s="4" t="str">
        <f ca="1">IFERROR(__xludf.DUMMYFUNCTION("""COMPUTED_VALUE"""),"Tradicional")</f>
        <v>Tradicional</v>
      </c>
      <c r="Q574" s="4"/>
      <c r="R574" s="130" t="str">
        <f ca="1">IFERROR(__xludf.DUMMYFUNCTION("""COMPUTED_VALUE"""),"Retail Execution")</f>
        <v>Retail Execution</v>
      </c>
      <c r="S574" s="130" t="str">
        <f ca="1">IFERROR(__xludf.DUMMYFUNCTION("""COMPUTED_VALUE""")," Otros")</f>
        <v xml:space="preserve"> Otros</v>
      </c>
      <c r="T574" s="130" t="str">
        <f ca="1">IFERROR(__xludf.DUMMYFUNCTION("""COMPUTED_VALUE"""),"Normativo")</f>
        <v>Normativo</v>
      </c>
      <c r="U574" s="130" t="str">
        <f ca="1">IFERROR(__xludf.DUMMYFUNCTION("""COMPUTED_VALUE"""),"No Aplica")</f>
        <v>No Aplica</v>
      </c>
      <c r="V574" s="4" t="str">
        <f ca="1">IFERROR(__xludf.DUMMYFUNCTION("""COMPUTED_VALUE"""),"Otros")</f>
        <v>Otros</v>
      </c>
      <c r="W574" s="4">
        <f ca="1">IFERROR(__xludf.DUMMYFUNCTION("""COMPUTED_VALUE"""),3)</f>
        <v>3</v>
      </c>
      <c r="X574" s="4" t="str">
        <f ca="1">IFERROR(__xludf.DUMMYFUNCTION("""COMPUTED_VALUE"""),"10. Otros")</f>
        <v>10. Otros</v>
      </c>
      <c r="Y574" s="4" t="str">
        <f ca="1">IFERROR(__xludf.DUMMYFUNCTION("""COMPUTED_VALUE""")," Otros")</f>
        <v xml:space="preserve"> Otros</v>
      </c>
      <c r="Z574" s="132" t="str">
        <f ca="1">IFERROR(__xludf.DUMMYFUNCTION("""COMPUTED_VALUE"""),"625296")</f>
        <v>625296</v>
      </c>
      <c r="AA574" s="4" t="str">
        <f ca="1">IFERROR(__xludf.DUMMYFUNCTION("""COMPUTED_VALUE"""),"SDA39246 PERSONAS - PASAPORTE VENCIDO")</f>
        <v>SDA39246 PERSONAS - PASAPORTE VENCIDO</v>
      </c>
      <c r="AB574" s="4" t="str">
        <f ca="1">IFERROR(__xludf.DUMMYFUNCTION("""COMPUTED_VALUE"""),"- Se requiere habilitar el alta los clientes venezolanos con el pasaporte vencido y puede manejar todas las funcionalidades como alta del cliente, apertura de cuentas, portafolios, canales digitales y web y dispersión de nómina. Que el sistema desde NACAR"&amp;" permita la captura de la fecha si el pasaporte está vencido")</f>
        <v>- Se requiere habilitar el alta los clientes venezolanos con el pasaporte vencido y puede manejar todas las funcionalidades como alta del cliente, apertura de cuentas, portafolios, canales digitales y web y dispersión de nómina. Que el sistema desde NACAR permita la captura de la fecha si el pasaporte está vencido</v>
      </c>
      <c r="AC574" s="4" t="str">
        <f ca="1">IFERROR(__xludf.DUMMYFUNCTION("""COMPUTED_VALUE"""),"2Q 2023")</f>
        <v>2Q 2023</v>
      </c>
      <c r="AD574" s="4"/>
      <c r="AE574" s="4"/>
      <c r="AF574" s="4"/>
      <c r="AG574" s="4"/>
      <c r="AH574" s="4"/>
      <c r="AI574" s="4"/>
      <c r="AJ574" s="4"/>
      <c r="AK574" s="131" t="str">
        <f ca="1">IFERROR(__xludf.DUMMYFUNCTION("""COMPUTED_VALUE"""),"COLWSCUENT-1826")</f>
        <v>COLWSCUENT-1826</v>
      </c>
      <c r="AL574" s="4" t="str">
        <f ca="1">IFERROR(__xludf.DUMMYFUNCTION("""COMPUTED_VALUE"""),"Deployed")</f>
        <v>Deployed</v>
      </c>
      <c r="AM574" s="4"/>
      <c r="AN574" s="4" t="str">
        <f ca="1">IFERROR(__xludf.DUMMYFUNCTION("""COMPUTED_VALUE"""),"Entregable en desarrollo")</f>
        <v>Entregable en desarrollo</v>
      </c>
      <c r="AO574" s="4" t="str">
        <f ca="1">IFERROR(__xludf.DUMMYFUNCTION("""COMPUTED_VALUE"""),"Pasivos")</f>
        <v>Pasivos</v>
      </c>
      <c r="AP574" s="4"/>
      <c r="AQ574" s="4"/>
      <c r="AR574" s="4" t="str">
        <f ca="1">IFERROR(__xludf.DUMMYFUNCTION("""COMPUTED_VALUE"""),"SDA aprobada en PPP Q1 2023")</f>
        <v>SDA aprobada en PPP Q1 2023</v>
      </c>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row>
    <row r="575" spans="1:132" x14ac:dyDescent="0.2">
      <c r="A575" s="4">
        <f ca="1">IFERROR(__xludf.DUMMYFUNCTION("""COMPUTED_VALUE"""),575)</f>
        <v>575</v>
      </c>
      <c r="B575" s="4">
        <f ca="1">IFERROR(__xludf.DUMMYFUNCTION("""COMPUTED_VALUE"""),547)</f>
        <v>547</v>
      </c>
      <c r="C575" s="4" t="str">
        <f ca="1">IFERROR(__xludf.DUMMYFUNCTION("""COMPUTED_VALUE"""),"SDATOOL-39246")</f>
        <v>SDATOOL-39246</v>
      </c>
      <c r="D575" s="4" t="str">
        <f ca="1">IFERROR(__xludf.DUMMYFUNCTION("""COMPUTED_VALUE"""),"Nuevo tipo de identificación para extranjeros")</f>
        <v>Nuevo tipo de identificación para extranjeros</v>
      </c>
      <c r="E575"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5" s="4" t="str">
        <f ca="1">IFERROR(__xludf.DUMMYFUNCTION("""COMPUTED_VALUE"""),"Project")</f>
        <v>Project</v>
      </c>
      <c r="G575" s="4" t="str">
        <f ca="1">IFERROR(__xludf.DUMMYFUNCTION("""COMPUTED_VALUE"""),"Stock")</f>
        <v>Stock</v>
      </c>
      <c r="H575" s="4" t="str">
        <f ca="1">IFERROR(__xludf.DUMMYFUNCTION("""COMPUTED_VALUE"""),"4Q 2023")</f>
        <v>4Q 2023</v>
      </c>
      <c r="I575" s="131" t="str">
        <f ca="1">IFERROR(__xludf.DUMMYFUNCTION("""COMPUTED_VALUE"""),"alirio.bermudez-bbva.com")</f>
        <v>alirio.bermudez-bbva.com</v>
      </c>
      <c r="J575" s="131" t="str">
        <f ca="1">IFERROR(__xludf.DUMMYFUNCTION("""COMPUTED_VALUE"""),"hugo.mongua-bbva.com")</f>
        <v>hugo.mongua-bbva.com</v>
      </c>
      <c r="K575" s="131" t="str">
        <f ca="1">IFERROR(__xludf.DUMMYFUNCTION("""COMPUTED_VALUE"""),"david.juvinao-bbva.com")</f>
        <v>david.juvinao-bbva.com</v>
      </c>
      <c r="L575" s="4"/>
      <c r="M575" s="4"/>
      <c r="N575" s="4"/>
      <c r="O575" s="4" t="str">
        <f ca="1">IFERROR(__xludf.DUMMYFUNCTION("""COMPUTED_VALUE"""),"Waterfall")</f>
        <v>Waterfall</v>
      </c>
      <c r="P575" s="4" t="str">
        <f ca="1">IFERROR(__xludf.DUMMYFUNCTION("""COMPUTED_VALUE"""),"Tradicional")</f>
        <v>Tradicional</v>
      </c>
      <c r="Q575" s="4"/>
      <c r="R575" s="130" t="str">
        <f ca="1">IFERROR(__xludf.DUMMYFUNCTION("""COMPUTED_VALUE"""),"Retail Execution")</f>
        <v>Retail Execution</v>
      </c>
      <c r="S575" s="130" t="str">
        <f ca="1">IFERROR(__xludf.DUMMYFUNCTION("""COMPUTED_VALUE""")," Otros")</f>
        <v xml:space="preserve"> Otros</v>
      </c>
      <c r="T575" s="130" t="str">
        <f ca="1">IFERROR(__xludf.DUMMYFUNCTION("""COMPUTED_VALUE"""),"Normativo")</f>
        <v>Normativo</v>
      </c>
      <c r="U575" s="130" t="str">
        <f ca="1">IFERROR(__xludf.DUMMYFUNCTION("""COMPUTED_VALUE"""),"No Aplica")</f>
        <v>No Aplica</v>
      </c>
      <c r="V575" s="4" t="str">
        <f ca="1">IFERROR(__xludf.DUMMYFUNCTION("""COMPUTED_VALUE"""),"Otros")</f>
        <v>Otros</v>
      </c>
      <c r="W575" s="4">
        <f ca="1">IFERROR(__xludf.DUMMYFUNCTION("""COMPUTED_VALUE"""),3)</f>
        <v>3</v>
      </c>
      <c r="X575" s="4" t="str">
        <f ca="1">IFERROR(__xludf.DUMMYFUNCTION("""COMPUTED_VALUE"""),"10. Otros")</f>
        <v>10. Otros</v>
      </c>
      <c r="Y575" s="4" t="str">
        <f ca="1">IFERROR(__xludf.DUMMYFUNCTION("""COMPUTED_VALUE""")," Otros")</f>
        <v xml:space="preserve"> Otros</v>
      </c>
      <c r="Z575" s="132" t="str">
        <f ca="1">IFERROR(__xludf.DUMMYFUNCTION("""COMPUTED_VALUE"""),"710481")</f>
        <v>710481</v>
      </c>
      <c r="AA575" s="4" t="str">
        <f ca="1">IFERROR(__xludf.DUMMYFUNCTION("""COMPUTED_VALUE"""),"SDA39246 EXPERIAN NUEVO TIPO DE IDENTIFICACIÓN EXTRANJERO")</f>
        <v>SDA39246 EXPERIAN NUEVO TIPO DE IDENTIFICACIÓN EXTRANJERO</v>
      </c>
      <c r="AB575" s="4" t="str">
        <f ca="1">IFERROR(__xludf.DUMMYFUNCTION("""COMPUTED_VALUE"""),"Modificación del servicio ASO para cuando llegue el tipoid ='V' envía a EXPERIAN un 12 que corresponde para EXPERIAN la nueva identificación de venezolanos según información enviada por  el tercero transunion, Importante es tener en cuenta que no es solo "&amp;"una homologación ya que en host el tipo de id solo maneja 1 solo carácter, por lo anterior se debe intervenir el servicio ASO y poder enviar el Tipo ID de dos dígitos como lo espera EXPERIAN,")</f>
        <v>Modificación del servicio ASO para cuando llegue el tipoid ='V' envía a EXPERIAN un 12 que corresponde para EXPERIAN la nueva identificación de venezolanos según información enviada por  el tercero transunion, Importante es tener en cuenta que no es solo una homologación ya que en host el tipo de id solo maneja 1 solo carácter, por lo anterior se debe intervenir el servicio ASO y poder enviar el Tipo ID de dos dígitos como lo espera EXPERIAN,</v>
      </c>
      <c r="AC575" s="4" t="str">
        <f ca="1">IFERROR(__xludf.DUMMYFUNCTION("""COMPUTED_VALUE"""),"4Q 2023")</f>
        <v>4Q 2023</v>
      </c>
      <c r="AD575" s="4"/>
      <c r="AE575" s="4"/>
      <c r="AF575" s="4"/>
      <c r="AG575" s="4"/>
      <c r="AH575" s="4"/>
      <c r="AI575" s="4"/>
      <c r="AJ575" s="4"/>
      <c r="AK575" s="4" t="str">
        <f ca="1">IFERROR(__xludf.DUMMYFUNCTION("""COMPUTED_VALUE"""),"Sin asignar")</f>
        <v>Sin asignar</v>
      </c>
      <c r="AL575" s="4" t="str">
        <f ca="1">IFERROR(__xludf.DUMMYFUNCTION("""COMPUTED_VALUE"""),"Sin asignar")</f>
        <v>Sin asignar</v>
      </c>
      <c r="AM575" s="4"/>
      <c r="AN575" s="4" t="str">
        <f ca="1">IFERROR(__xludf.DUMMYFUNCTION("""COMPUTED_VALUE"""),"Entregable en backlog")</f>
        <v>Entregable en backlog</v>
      </c>
      <c r="AO575" s="4" t="str">
        <f ca="1">IFERROR(__xludf.DUMMYFUNCTION("""COMPUTED_VALUE"""),"Pasivos")</f>
        <v>Pasivos</v>
      </c>
      <c r="AP575" s="4"/>
      <c r="AQ575" s="4"/>
      <c r="AR575" s="4" t="str">
        <f ca="1">IFERROR(__xludf.DUMMYFUNCTION("""COMPUTED_VALUE"""),"SDA aprobada en PPP Q1 2023")</f>
        <v>SDA aprobada en PPP Q1 2023</v>
      </c>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row>
    <row r="576" spans="1:132" x14ac:dyDescent="0.2">
      <c r="A576" s="4">
        <f ca="1">IFERROR(__xludf.DUMMYFUNCTION("""COMPUTED_VALUE"""),576)</f>
        <v>576</v>
      </c>
      <c r="B576" s="4">
        <f ca="1">IFERROR(__xludf.DUMMYFUNCTION("""COMPUTED_VALUE"""),548)</f>
        <v>548</v>
      </c>
      <c r="C576" s="4" t="str">
        <f ca="1">IFERROR(__xludf.DUMMYFUNCTION("""COMPUTED_VALUE"""),"SDATOOL-37344")</f>
        <v>SDATOOL-37344</v>
      </c>
      <c r="D576" s="4" t="str">
        <f ca="1">IFERROR(__xludf.DUMMYFUNCTION("""COMPUTED_VALUE"""),"Automatización Operaciones en Efectivo")</f>
        <v>Automatización Operaciones en Efectivo</v>
      </c>
      <c r="E576" s="4" t="str">
        <f ca="1">IFERROR(__xludf.DUMMYFUNCTION("""COMPUTED_VALUE"""),"Implementar una solución técnica, partiendo de la información del proceso de transporte de efectivo, para los clientes que realizan abono a cuenta, con el fin de disminuir apuntes contables en transporte de efectivo.")</f>
        <v>Implementar una solución técnica, partiendo de la información del proceso de transporte de efectivo, para los clientes que realizan abono a cuenta, con el fin de disminuir apuntes contables en transporte de efectivo.</v>
      </c>
      <c r="F576" s="4" t="str">
        <f ca="1">IFERROR(__xludf.DUMMYFUNCTION("""COMPUTED_VALUE"""),"Project")</f>
        <v>Project</v>
      </c>
      <c r="G576" s="4" t="str">
        <f ca="1">IFERROR(__xludf.DUMMYFUNCTION("""COMPUTED_VALUE"""),"Ended")</f>
        <v>Ended</v>
      </c>
      <c r="H576" s="4" t="str">
        <f ca="1">IFERROR(__xludf.DUMMYFUNCTION("""COMPUTED_VALUE"""),"1Q 2023")</f>
        <v>1Q 2023</v>
      </c>
      <c r="I576" s="131" t="str">
        <f ca="1">IFERROR(__xludf.DUMMYFUNCTION("""COMPUTED_VALUE"""),"alirio.bermudez-bbva.com")</f>
        <v>alirio.bermudez-bbva.com</v>
      </c>
      <c r="J576" s="131" t="str">
        <f ca="1">IFERROR(__xludf.DUMMYFUNCTION("""COMPUTED_VALUE"""),"hugo.mongua-bbva.com")</f>
        <v>hugo.mongua-bbva.com</v>
      </c>
      <c r="K576" s="131" t="str">
        <f ca="1">IFERROR(__xludf.DUMMYFUNCTION("""COMPUTED_VALUE"""),"elizabeth.diaz-bbva.com")</f>
        <v>elizabeth.diaz-bbva.com</v>
      </c>
      <c r="L576" s="130">
        <f ca="1">IFERROR(__xludf.DUMMYFUNCTION("""COMPUTED_VALUE"""),0)</f>
        <v>0</v>
      </c>
      <c r="M576" s="130">
        <f ca="1">IFERROR(__xludf.DUMMYFUNCTION("""COMPUTED_VALUE"""),0.5)</f>
        <v>0.5</v>
      </c>
      <c r="N576" s="130">
        <f ca="1">IFERROR(__xludf.DUMMYFUNCTION("""COMPUTED_VALUE"""),0.8)</f>
        <v>0.8</v>
      </c>
      <c r="O576" s="4" t="str">
        <f ca="1">IFERROR(__xludf.DUMMYFUNCTION("""COMPUTED_VALUE"""),"Waterfall")</f>
        <v>Waterfall</v>
      </c>
      <c r="P576" s="4" t="str">
        <f ca="1">IFERROR(__xludf.DUMMYFUNCTION("""COMPUTED_VALUE"""),"Tradicional")</f>
        <v>Tradicional</v>
      </c>
      <c r="Q576" s="4"/>
      <c r="R576" s="130" t="str">
        <f ca="1">IFERROR(__xludf.DUMMYFUNCTION("""COMPUTED_VALUE"""),"Retail Execution")</f>
        <v>Retail Execution</v>
      </c>
      <c r="S576" s="130" t="str">
        <f ca="1">IFERROR(__xludf.DUMMYFUNCTION("""COMPUTED_VALUE"""),"Strategic Review")</f>
        <v>Strategic Review</v>
      </c>
      <c r="T576" s="130" t="str">
        <f ca="1">IFERROR(__xludf.DUMMYFUNCTION("""COMPUTED_VALUE"""),"Normativo")</f>
        <v>Normativo</v>
      </c>
      <c r="U576" s="130" t="str">
        <f ca="1">IFERROR(__xludf.DUMMYFUNCTION("""COMPUTED_VALUE"""),"No Aplica")</f>
        <v>No Aplica</v>
      </c>
      <c r="V576" s="4" t="str">
        <f ca="1">IFERROR(__xludf.DUMMYFUNCTION("""COMPUTED_VALUE"""),"Otros")</f>
        <v>Otros</v>
      </c>
      <c r="W576" s="4">
        <f ca="1">IFERROR(__xludf.DUMMYFUNCTION("""COMPUTED_VALUE"""),3)</f>
        <v>3</v>
      </c>
      <c r="X576" s="4" t="str">
        <f ca="1">IFERROR(__xludf.DUMMYFUNCTION("""COMPUTED_VALUE"""),"08. Enterprise Transactionality")</f>
        <v>08. Enterprise Transactionality</v>
      </c>
      <c r="Y576" s="4" t="str">
        <f ca="1">IFERROR(__xludf.DUMMYFUNCTION("""COMPUTED_VALUE"""),"5.7.1 Keep the Bank Running")</f>
        <v>5.7.1 Keep the Bank Running</v>
      </c>
      <c r="Z576" s="132" t="str">
        <f ca="1">IFERROR(__xludf.DUMMYFUNCTION("""COMPUTED_VALUE"""),"310785")</f>
        <v>310785</v>
      </c>
      <c r="AA576" s="4" t="str">
        <f ca="1">IFERROR(__xludf.DUMMYFUNCTION("""COMPUTED_VALUE"""),"Automatización Operaciones en Efectivo")</f>
        <v>Automatización Operaciones en Efectivo</v>
      </c>
      <c r="AB576" s="4" t="str">
        <f ca="1">IFERROR(__xludf.DUMMYFUNCTION("""COMPUTED_VALUE"""),"Automatización Operaciones en Efectivo")</f>
        <v>Automatización Operaciones en Efectivo</v>
      </c>
      <c r="AC576" s="4" t="str">
        <f ca="1">IFERROR(__xludf.DUMMYFUNCTION("""COMPUTED_VALUE"""),"1Q 2023")</f>
        <v>1Q 2023</v>
      </c>
      <c r="AD576" s="128">
        <f ca="1">IFERROR(__xludf.DUMMYFUNCTION("""COMPUTED_VALUE"""),44275)</f>
        <v>44275</v>
      </c>
      <c r="AE576" s="128">
        <f ca="1">IFERROR(__xludf.DUMMYFUNCTION("""COMPUTED_VALUE"""),44578)</f>
        <v>44578</v>
      </c>
      <c r="AF576" s="128">
        <f ca="1">IFERROR(__xludf.DUMMYFUNCTION("""COMPUTED_VALUE"""),44650)</f>
        <v>44650</v>
      </c>
      <c r="AG576" s="128">
        <f ca="1">IFERROR(__xludf.DUMMYFUNCTION("""COMPUTED_VALUE"""),44841)</f>
        <v>44841</v>
      </c>
      <c r="AH576" s="128">
        <f ca="1">IFERROR(__xludf.DUMMYFUNCTION("""COMPUTED_VALUE"""),44844)</f>
        <v>44844</v>
      </c>
      <c r="AI576" s="128">
        <f ca="1">IFERROR(__xludf.DUMMYFUNCTION("""COMPUTED_VALUE"""),44911)</f>
        <v>44911</v>
      </c>
      <c r="AJ576" s="128">
        <f ca="1">IFERROR(__xludf.DUMMYFUNCTION("""COMPUTED_VALUE"""),44950)</f>
        <v>44950</v>
      </c>
      <c r="AK576" s="131" t="str">
        <f ca="1">IFERROR(__xludf.DUMMYFUNCTION("""COMPUTED_VALUE"""),"COLWSCUENT-2398")</f>
        <v>COLWSCUENT-2398</v>
      </c>
      <c r="AL576" s="4" t="str">
        <f ca="1">IFERROR(__xludf.DUMMYFUNCTION("""COMPUTED_VALUE"""),"New")</f>
        <v>New</v>
      </c>
      <c r="AM576" s="4" t="str">
        <f ca="1">IFERROR(__xludf.DUMMYFUNCTION("""COMPUTED_VALUE"""),"Proyecto en fechas")</f>
        <v>Proyecto en fechas</v>
      </c>
      <c r="AN576" s="4" t="str">
        <f ca="1">IFERROR(__xludf.DUMMYFUNCTION("""COMPUTED_VALUE"""),"Finalizado")</f>
        <v>Finalizado</v>
      </c>
      <c r="AO576" s="4"/>
      <c r="AP576" s="4"/>
      <c r="AQ576" s="4"/>
      <c r="AR576" s="4" t="str">
        <f ca="1">IFERROR(__xludf.DUMMYFUNCTION("""COMPUTED_VALUE"""),"SDA aprobada en PPP Q1 2023")</f>
        <v>SDA aprobada en PPP Q1 2023</v>
      </c>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133">
        <f ca="1">IFERROR(__xludf.DUMMYFUNCTION("""COMPUTED_VALUE"""),0)</f>
        <v>0</v>
      </c>
      <c r="DV576" s="133">
        <f ca="1">IFERROR(__xludf.DUMMYFUNCTION("""COMPUTED_VALUE"""),0)</f>
        <v>0</v>
      </c>
      <c r="DW576" s="133">
        <f ca="1">IFERROR(__xludf.DUMMYFUNCTION("""COMPUTED_VALUE"""),184742103)</f>
        <v>184742103</v>
      </c>
      <c r="DX576" s="133">
        <f ca="1">IFERROR(__xludf.DUMMYFUNCTION("""COMPUTED_VALUE"""),35018912)</f>
        <v>35018912</v>
      </c>
      <c r="DY576" s="133">
        <f ca="1">IFERROR(__xludf.DUMMYFUNCTION("""COMPUTED_VALUE"""),0)</f>
        <v>0</v>
      </c>
      <c r="DZ576" s="133">
        <f ca="1">IFERROR(__xludf.DUMMYFUNCTION("""COMPUTED_VALUE"""),219761015)</f>
        <v>219761015</v>
      </c>
      <c r="EA576" s="4"/>
      <c r="EB576" s="4"/>
    </row>
    <row r="577" spans="1:132" x14ac:dyDescent="0.2">
      <c r="A577" s="4">
        <f ca="1">IFERROR(__xludf.DUMMYFUNCTION("""COMPUTED_VALUE"""),577)</f>
        <v>577</v>
      </c>
      <c r="B577" s="4">
        <f ca="1">IFERROR(__xludf.DUMMYFUNCTION("""COMPUTED_VALUE"""),549)</f>
        <v>549</v>
      </c>
      <c r="C577" s="4" t="str">
        <f ca="1">IFERROR(__xludf.DUMMYFUNCTION("""COMPUTED_VALUE"""),"SDATOOL-39385")</f>
        <v>SDATOOL-39385</v>
      </c>
      <c r="D577" s="4" t="str">
        <f ca="1">IFERROR(__xludf.DUMMYFUNCTION("""COMPUTED_VALUE"""),"COLPENSIONES - ONP MEJORA FECHA PRIMER RETIRO DEL PENSIONADO FALLECIDO")</f>
        <v>COLPENSIONES - ONP MEJORA FECHA PRIMER RETIRO DEL PENSIONADO FALLECIDO</v>
      </c>
      <c r="E577" s="4" t="str">
        <f ca="1">IFERROR(__xludf.DUMMYFUNCTION("""COMPUTED_VALUE"""),"El cliente requiere reportar la fecha del primer retiro de la cuenta pensional posterior al fallecimiento del
pensionado en el campo No. 22 ""Fecha de pago o reintegro Banco"", y la hora del retiro en el campo No. 23,
de los archivos planos de respuesta.")</f>
        <v>El cliente requiere reportar la fecha del primer retiro de la cuenta pensional posterior al fallecimiento del
pensionado en el campo No. 22 "Fecha de pago o reintegro Banco", y la hora del retiro en el campo No. 23,
de los archivos planos de respuesta.</v>
      </c>
      <c r="F577" s="4" t="str">
        <f ca="1">IFERROR(__xludf.DUMMYFUNCTION("""COMPUTED_VALUE"""),"Project")</f>
        <v>Project</v>
      </c>
      <c r="G577" s="4" t="str">
        <f ca="1">IFERROR(__xludf.DUMMYFUNCTION("""COMPUTED_VALUE"""),"Ended")</f>
        <v>Ended</v>
      </c>
      <c r="H577" s="4" t="str">
        <f ca="1">IFERROR(__xludf.DUMMYFUNCTION("""COMPUTED_VALUE"""),"1Q 2023")</f>
        <v>1Q 2023</v>
      </c>
      <c r="I577" s="131" t="str">
        <f ca="1">IFERROR(__xludf.DUMMYFUNCTION("""COMPUTED_VALUE"""),"alirio.bermudez-bbva.com")</f>
        <v>alirio.bermudez-bbva.com</v>
      </c>
      <c r="J577" s="131" t="str">
        <f ca="1">IFERROR(__xludf.DUMMYFUNCTION("""COMPUTED_VALUE"""),"hugo.mongua-bbva.com")</f>
        <v>hugo.mongua-bbva.com</v>
      </c>
      <c r="K577" s="131" t="str">
        <f ca="1">IFERROR(__xludf.DUMMYFUNCTION("""COMPUTED_VALUE"""),"camilo.gutierrez-bbva.com")</f>
        <v>camilo.gutierrez-bbva.com</v>
      </c>
      <c r="L577" s="130">
        <f ca="1">IFERROR(__xludf.DUMMYFUNCTION("""COMPUTED_VALUE"""),0)</f>
        <v>0</v>
      </c>
      <c r="M577" s="130">
        <f ca="1">IFERROR(__xludf.DUMMYFUNCTION("""COMPUTED_VALUE"""),0.35)</f>
        <v>0.35</v>
      </c>
      <c r="N577" s="130">
        <f ca="1">IFERROR(__xludf.DUMMYFUNCTION("""COMPUTED_VALUE"""),0)</f>
        <v>0</v>
      </c>
      <c r="O577" s="4" t="str">
        <f ca="1">IFERROR(__xludf.DUMMYFUNCTION("""COMPUTED_VALUE"""),"Waterfall")</f>
        <v>Waterfall</v>
      </c>
      <c r="P577" s="4" t="str">
        <f ca="1">IFERROR(__xludf.DUMMYFUNCTION("""COMPUTED_VALUE"""),"Tradicional")</f>
        <v>Tradicional</v>
      </c>
      <c r="Q577" s="4"/>
      <c r="R577" s="130" t="str">
        <f ca="1">IFERROR(__xludf.DUMMYFUNCTION("""COMPUTED_VALUE"""),"Retail Execution")</f>
        <v>Retail Execution</v>
      </c>
      <c r="S577" s="130" t="str">
        <f ca="1">IFERROR(__xludf.DUMMYFUNCTION("""COMPUTED_VALUE""")," Otros")</f>
        <v xml:space="preserve"> Otros</v>
      </c>
      <c r="T577" s="130" t="str">
        <f ca="1">IFERROR(__xludf.DUMMYFUNCTION("""COMPUTED_VALUE"""),"Otros")</f>
        <v>Otros</v>
      </c>
      <c r="U577" s="130" t="str">
        <f ca="1">IFERROR(__xludf.DUMMYFUNCTION("""COMPUTED_VALUE"""),"No Aplica")</f>
        <v>No Aplica</v>
      </c>
      <c r="V577" s="4" t="str">
        <f ca="1">IFERROR(__xludf.DUMMYFUNCTION("""COMPUTED_VALUE"""),"Otros")</f>
        <v>Otros</v>
      </c>
      <c r="W577" s="4">
        <f ca="1">IFERROR(__xludf.DUMMYFUNCTION("""COMPUTED_VALUE"""),3)</f>
        <v>3</v>
      </c>
      <c r="X577" s="4" t="str">
        <f ca="1">IFERROR(__xludf.DUMMYFUNCTION("""COMPUTED_VALUE"""),"10. Otros")</f>
        <v>10. Otros</v>
      </c>
      <c r="Y577" s="4" t="str">
        <f ca="1">IFERROR(__xludf.DUMMYFUNCTION("""COMPUTED_VALUE""")," Otros")</f>
        <v xml:space="preserve"> Otros</v>
      </c>
      <c r="Z577" s="132" t="str">
        <f ca="1">IFERROR(__xludf.DUMMYFUNCTION("""COMPUTED_VALUE"""),"490291")</f>
        <v>490291</v>
      </c>
      <c r="AA577" s="4" t="str">
        <f ca="1">IFERROR(__xludf.DUMMYFUNCTION("""COMPUTED_VALUE"""),"Colpensiones ONP incluir la fecha del primer retiro en la cuenta pensional")</f>
        <v>Colpensiones ONP incluir la fecha del primer retiro en la cuenta pensional</v>
      </c>
      <c r="AB577" s="4" t="str">
        <f ca="1">IFERROR(__xludf.DUMMYFUNCTION("""COMPUTED_VALUE"""),"Colpensiones ONP incluir la fecha del primer retiro en la cuenta pensional posterior al fallecimiento del pensionado.")</f>
        <v>Colpensiones ONP incluir la fecha del primer retiro en la cuenta pensional posterior al fallecimiento del pensionado.</v>
      </c>
      <c r="AC577" s="4" t="str">
        <f ca="1">IFERROR(__xludf.DUMMYFUNCTION("""COMPUTED_VALUE"""),"1Q 2023")</f>
        <v>1Q 2023</v>
      </c>
      <c r="AD577" s="4"/>
      <c r="AE577" s="4"/>
      <c r="AF577" s="4"/>
      <c r="AG577" s="4"/>
      <c r="AH577" s="4"/>
      <c r="AI577" s="4"/>
      <c r="AJ577" s="4"/>
      <c r="AK577" s="131" t="str">
        <f ca="1">IFERROR(__xludf.DUMMYFUNCTION("""COMPUTED_VALUE"""),"COLWSCUENT-552")</f>
        <v>COLWSCUENT-552</v>
      </c>
      <c r="AL577" s="4" t="str">
        <f ca="1">IFERROR(__xludf.DUMMYFUNCTION("""COMPUTED_VALUE"""),"Deployed")</f>
        <v>Deployed</v>
      </c>
      <c r="AM577" s="4" t="str">
        <f ca="1">IFERROR(__xludf.DUMMYFUNCTION("""COMPUTED_VALUE""")," ")</f>
        <v xml:space="preserve"> </v>
      </c>
      <c r="AN577" s="4" t="str">
        <f ca="1">IFERROR(__xludf.DUMMYFUNCTION("""COMPUTED_VALUE"""),"Finalizado")</f>
        <v>Finalizado</v>
      </c>
      <c r="AO577" s="4" t="str">
        <f ca="1">IFERROR(__xludf.DUMMYFUNCTION("""COMPUTED_VALUE""")," ")</f>
        <v xml:space="preserve"> </v>
      </c>
      <c r="AP577" s="4"/>
      <c r="AQ577" s="4"/>
      <c r="AR577" s="4" t="str">
        <f ca="1">IFERROR(__xludf.DUMMYFUNCTION("""COMPUTED_VALUE"""),"SDA aprobada en PPP Q1 2023")</f>
        <v>SDA aprobada en PPP Q1 2023</v>
      </c>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133">
        <f ca="1">IFERROR(__xludf.DUMMYFUNCTION("""COMPUTED_VALUE"""),0)</f>
        <v>0</v>
      </c>
      <c r="DV577" s="133">
        <f ca="1">IFERROR(__xludf.DUMMYFUNCTION("""COMPUTED_VALUE"""),0)</f>
        <v>0</v>
      </c>
      <c r="DW577" s="133">
        <f ca="1">IFERROR(__xludf.DUMMYFUNCTION("""COMPUTED_VALUE"""),0)</f>
        <v>0</v>
      </c>
      <c r="DX577" s="133">
        <f ca="1">IFERROR(__xludf.DUMMYFUNCTION("""COMPUTED_VALUE"""),54005532)</f>
        <v>54005532</v>
      </c>
      <c r="DY577" s="133">
        <f ca="1">IFERROR(__xludf.DUMMYFUNCTION("""COMPUTED_VALUE"""),0)</f>
        <v>0</v>
      </c>
      <c r="DZ577" s="133">
        <f ca="1">IFERROR(__xludf.DUMMYFUNCTION("""COMPUTED_VALUE"""),54005532)</f>
        <v>54005532</v>
      </c>
      <c r="EA577" s="4"/>
      <c r="EB577" s="4"/>
    </row>
    <row r="578" spans="1:132" x14ac:dyDescent="0.2">
      <c r="A578" s="4">
        <f ca="1">IFERROR(__xludf.DUMMYFUNCTION("""COMPUTED_VALUE"""),578)</f>
        <v>578</v>
      </c>
      <c r="B578" s="4">
        <f ca="1">IFERROR(__xludf.DUMMYFUNCTION("""COMPUTED_VALUE"""),550)</f>
        <v>550</v>
      </c>
      <c r="C578" s="4" t="str">
        <f ca="1">IFERROR(__xludf.DUMMYFUNCTION("""COMPUTED_VALUE"""),"SDATOOL-39436")</f>
        <v>SDATOOL-39436</v>
      </c>
      <c r="D578" s="4" t="str">
        <f ca="1">IFERROR(__xludf.DUMMYFUNCTION("""COMPUTED_VALUE"""),"COLPENSIONES ONP: llevar el control cuándo llega más de una mesada para un mismo cliente.")</f>
        <v>COLPENSIONES ONP: llevar el control cuándo llega más de una mesada para un mismo cliente.</v>
      </c>
      <c r="E578" s="4" t="str">
        <f ca="1">IFERROR(__xludf.DUMMYFUNCTION("""COMPUTED_VALUE"""),"La casuística que se está presentando es que llegan 2 órdenes de no pago sobre la misma mesada, el sistema recupera la primera y marca la mesada como reintegrada por lo que no puede recuperar la segunda mesada.
Teniendo en cuenta lo anterior, se debe rea"&amp;"lizar un desarrollo para poder llevar el control de cuándo llega más de una mesada para el mismo cliente, para que de esta manera cuando lleguen  2 o más  ONP's sobre la misma mesada estas se puedan recuperar. Se debe ajustar tanto el proceso de dispersió"&amp;"n y registro en la tabla BGDTMCP, como el proceso de recuperación de órdenes de no pago.")</f>
        <v>La casuística que se está presentando es que llegan 2 órdenes de no pago sobre la misma mesada, el sistema recupera la primera y marca la mesada como reintegrada por lo que no puede recuperar la segunda mesada.
Teniendo en cuenta lo anterior, se debe realizar un desarrollo para poder llevar el control de cuándo llega más de una mesada para el mismo cliente, para que de esta manera cuando lleguen  2 o más  ONP's sobre la misma mesada estas se puedan recuperar. Se debe ajustar tanto el proceso de dispersión y registro en la tabla BGDTMCP, como el proceso de recuperación de órdenes de no pago.</v>
      </c>
      <c r="F578" s="4" t="str">
        <f ca="1">IFERROR(__xludf.DUMMYFUNCTION("""COMPUTED_VALUE"""),"Project")</f>
        <v>Project</v>
      </c>
      <c r="G578" s="4" t="str">
        <f ca="1">IFERROR(__xludf.DUMMYFUNCTION("""COMPUTED_VALUE"""),"Ended")</f>
        <v>Ended</v>
      </c>
      <c r="H578" s="4" t="str">
        <f ca="1">IFERROR(__xludf.DUMMYFUNCTION("""COMPUTED_VALUE"""),"1Q 2023")</f>
        <v>1Q 2023</v>
      </c>
      <c r="I578" s="131" t="str">
        <f ca="1">IFERROR(__xludf.DUMMYFUNCTION("""COMPUTED_VALUE"""),"alirio.bermudez-bbva.com")</f>
        <v>alirio.bermudez-bbva.com</v>
      </c>
      <c r="J578" s="131" t="str">
        <f ca="1">IFERROR(__xludf.DUMMYFUNCTION("""COMPUTED_VALUE"""),"hugo.mongua-bbva.com")</f>
        <v>hugo.mongua-bbva.com</v>
      </c>
      <c r="K578" s="131" t="str">
        <f ca="1">IFERROR(__xludf.DUMMYFUNCTION("""COMPUTED_VALUE"""),"monica.zamudio-bbva.com")</f>
        <v>monica.zamudio-bbva.com</v>
      </c>
      <c r="L578" s="130">
        <f ca="1">IFERROR(__xludf.DUMMYFUNCTION("""COMPUTED_VALUE"""),0)</f>
        <v>0</v>
      </c>
      <c r="M578" s="130">
        <f ca="1">IFERROR(__xludf.DUMMYFUNCTION("""COMPUTED_VALUE"""),1.1)</f>
        <v>1.1000000000000001</v>
      </c>
      <c r="N578" s="130">
        <f ca="1">IFERROR(__xludf.DUMMYFUNCTION("""COMPUTED_VALUE"""),0.25)</f>
        <v>0.25</v>
      </c>
      <c r="O578" s="4" t="str">
        <f ca="1">IFERROR(__xludf.DUMMYFUNCTION("""COMPUTED_VALUE"""),"Waterfall")</f>
        <v>Waterfall</v>
      </c>
      <c r="P578" s="4" t="str">
        <f ca="1">IFERROR(__xludf.DUMMYFUNCTION("""COMPUTED_VALUE"""),"Tradicional")</f>
        <v>Tradicional</v>
      </c>
      <c r="Q578" s="4"/>
      <c r="R578" s="130" t="str">
        <f ca="1">IFERROR(__xludf.DUMMYFUNCTION("""COMPUTED_VALUE"""),"Retail Execution")</f>
        <v>Retail Execution</v>
      </c>
      <c r="S578" s="130" t="str">
        <f ca="1">IFERROR(__xludf.DUMMYFUNCTION("""COMPUTED_VALUE""")," Otros")</f>
        <v xml:space="preserve"> Otros</v>
      </c>
      <c r="T578" s="130" t="str">
        <f ca="1">IFERROR(__xludf.DUMMYFUNCTION("""COMPUTED_VALUE"""),"Otros")</f>
        <v>Otros</v>
      </c>
      <c r="U578" s="130" t="str">
        <f ca="1">IFERROR(__xludf.DUMMYFUNCTION("""COMPUTED_VALUE"""),"No Aplica")</f>
        <v>No Aplica</v>
      </c>
      <c r="V578" s="4" t="str">
        <f ca="1">IFERROR(__xludf.DUMMYFUNCTION("""COMPUTED_VALUE"""),"Otros")</f>
        <v>Otros</v>
      </c>
      <c r="W578" s="4">
        <f ca="1">IFERROR(__xludf.DUMMYFUNCTION("""COMPUTED_VALUE"""),3)</f>
        <v>3</v>
      </c>
      <c r="X578" s="4" t="str">
        <f ca="1">IFERROR(__xludf.DUMMYFUNCTION("""COMPUTED_VALUE"""),"10. Otros")</f>
        <v>10. Otros</v>
      </c>
      <c r="Y578" s="4" t="str">
        <f ca="1">IFERROR(__xludf.DUMMYFUNCTION("""COMPUTED_VALUE""")," Otros")</f>
        <v xml:space="preserve"> Otros</v>
      </c>
      <c r="Z578" s="132" t="str">
        <f ca="1">IFERROR(__xludf.DUMMYFUNCTION("""COMPUTED_VALUE"""),"490295")</f>
        <v>490295</v>
      </c>
      <c r="AA578" s="4" t="str">
        <f ca="1">IFERROR(__xludf.DUMMYFUNCTION("""COMPUTED_VALUE"""),"Colpensiones llevar el control cuándo llega más de una mesada")</f>
        <v>Colpensiones llevar el control cuándo llega más de una mesada</v>
      </c>
      <c r="AB578" s="4" t="str">
        <f ca="1">IFERROR(__xludf.DUMMYFUNCTION("""COMPUTED_VALUE"""),"Colpensiones llevar el control cuándo llega más de una mesada para un mismo cliente.")</f>
        <v>Colpensiones llevar el control cuándo llega más de una mesada para un mismo cliente.</v>
      </c>
      <c r="AC578" s="4" t="str">
        <f ca="1">IFERROR(__xludf.DUMMYFUNCTION("""COMPUTED_VALUE"""),"1Q 2023")</f>
        <v>1Q 2023</v>
      </c>
      <c r="AD578" s="4"/>
      <c r="AE578" s="4"/>
      <c r="AF578" s="4"/>
      <c r="AG578" s="4"/>
      <c r="AH578" s="4"/>
      <c r="AI578" s="4"/>
      <c r="AJ578" s="4"/>
      <c r="AK578" s="131" t="str">
        <f ca="1">IFERROR(__xludf.DUMMYFUNCTION("""COMPUTED_VALUE"""),"COLWSCUENT-551")</f>
        <v>COLWSCUENT-551</v>
      </c>
      <c r="AL578" s="4" t="str">
        <f ca="1">IFERROR(__xludf.DUMMYFUNCTION("""COMPUTED_VALUE"""),"Deployed")</f>
        <v>Deployed</v>
      </c>
      <c r="AM578" s="4" t="str">
        <f ca="1">IFERROR(__xludf.DUMMYFUNCTION("""COMPUTED_VALUE"""),"Valorado, inicia una vez culmine el proyecto 1er retiro pensionado fallecido.")</f>
        <v>Valorado, inicia una vez culmine el proyecto 1er retiro pensionado fallecido.</v>
      </c>
      <c r="AN578" s="4" t="str">
        <f ca="1">IFERROR(__xludf.DUMMYFUNCTION("""COMPUTED_VALUE"""),"Finalizado")</f>
        <v>Finalizado</v>
      </c>
      <c r="AO578" s="4"/>
      <c r="AP578" s="4"/>
      <c r="AQ578" s="4"/>
      <c r="AR578" s="4" t="str">
        <f ca="1">IFERROR(__xludf.DUMMYFUNCTION("""COMPUTED_VALUE"""),"SDA aprobada en PPP Q1 2023")</f>
        <v>SDA aprobada en PPP Q1 2023</v>
      </c>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133">
        <f ca="1">IFERROR(__xludf.DUMMYFUNCTION("""COMPUTED_VALUE"""),0)</f>
        <v>0</v>
      </c>
      <c r="DV578" s="133">
        <f ca="1">IFERROR(__xludf.DUMMYFUNCTION("""COMPUTED_VALUE"""),0)</f>
        <v>0</v>
      </c>
      <c r="DW578" s="133">
        <f ca="1">IFERROR(__xludf.DUMMYFUNCTION("""COMPUTED_VALUE"""),0)</f>
        <v>0</v>
      </c>
      <c r="DX578" s="133">
        <f ca="1">IFERROR(__xludf.DUMMYFUNCTION("""COMPUTED_VALUE"""),0)</f>
        <v>0</v>
      </c>
      <c r="DY578" s="133">
        <f ca="1">IFERROR(__xludf.DUMMYFUNCTION("""COMPUTED_VALUE"""),0)</f>
        <v>0</v>
      </c>
      <c r="DZ578" s="133">
        <f ca="1">IFERROR(__xludf.DUMMYFUNCTION("""COMPUTED_VALUE"""),0)</f>
        <v>0</v>
      </c>
      <c r="EA578" s="4"/>
      <c r="EB578" s="4"/>
    </row>
    <row r="579" spans="1:132" x14ac:dyDescent="0.2">
      <c r="A579" s="4">
        <f ca="1">IFERROR(__xludf.DUMMYFUNCTION("""COMPUTED_VALUE"""),579)</f>
        <v>579</v>
      </c>
      <c r="B579" s="4">
        <f ca="1">IFERROR(__xludf.DUMMYFUNCTION("""COMPUTED_VALUE"""),551)</f>
        <v>551</v>
      </c>
      <c r="C579" s="4" t="str">
        <f ca="1">IFERROR(__xludf.DUMMYFUNCTION("""COMPUTED_VALUE"""),"SDATOOL-39383")</f>
        <v>SDATOOL-39383</v>
      </c>
      <c r="D579" s="4" t="str">
        <f ca="1">IFERROR(__xludf.DUMMYFUNCTION("""COMPUTED_VALUE"""),"AJUSTES HIGIENICOS DE PORTAFOLIO + REPORTE CENTRALIZADO DE NÓMINA")</f>
        <v>AJUSTES HIGIENICOS DE PORTAFOLIO + REPORTE CENTRALIZADO DE NÓMINA</v>
      </c>
      <c r="E579" s="4" t="str">
        <f ca="1">IFERROR(__xludf.DUMMYFUNCTION("""COMPUTED_VALUE"""),"""- Se requiere desde el módulo de portafolio se realice una mejora a los procesos existentes de: 
1. Que el sistema valide el abono de nómina que hace la empresa a los empleados, y que el proceso sea ejecutado de forma diaria. Aclarar que este proceso so"&amp;"lo se debe ejecutar para aquellos clientes que no tienen portafolio o que perdieron el beneficio. Importante que el sistema valide que se trata de un cliente de nómina y que tiene la empresa domiciliada con el BBVA. PRIORIDAD 1.
2. Inlcuir una segunda val"&amp;"idación por parte del sistema para maración de portafolios.  Asi mismo Validar de forma correcta la paquetización del portafolio al momento de crear un cliente en BBVA Banca Móvil y la NET Port. 172. y Tradicional 151. PRIORIDAD 1
3. Generar notificacione"&amp;"s a los clientes de nómina por perdida de portafolio. PRIORIDAD 3
4. Proceso de Paquetización y despaquetización se pueda realizar un mismo dia y asi mismo se actualicen los contadores. PRIORIDAD 1
5. Validaciones de upgrade (Inclusiòn de campo adicional "&amp;"en la parametria para que la logica del sistema identifique que portafolio se debe aplicar por upgrade a raiz de la contratación de un nuevo producto por parte del cliente, esto tanto para portafolios existentes o nuevos). PRIORIDAD 1
6. Generación de rep"&amp;"orte diario de paquetización y despaquetización de cuentas que se envie por correo, asi mismo un reporte con el consolidado mensual. PRIORIDAD 1
7. Sinergia entre el modulo de portafolios y el modulo de comisiones MCC, esto con el fin de que cuando se act"&amp;"ualice una clave de comision de cobro de portafolio asi mismo se actualicen las pantallas de las parametrias con el nuevo valor. PRIORIDAD 3
8. Mejora en los procesos de alta y baja de portafolios que se realizan en fabrica masiva a traves del aplicativo "&amp;"grannet. PRIORIDAD 4
9. Mejoras a la estructura del GOF de portafolios. PRIORIDAD 3
- Para reporte centralizado de nómina se requiere:
1. Personalización acorde a las necesidades del cliente. 
2. Elección de fecha de envio de reporte. PRIORIDAD 2
3. Long"&amp;"itud de cuenta para que se indique en el reporte los caracteres, bien sea de 9 - 14 - 16 o 18 caracteres. PRIORIDAD 2
4. Mejorar el proceso de Almacenamiento consolidación mensual y hasta por los últimos 12 meses, y que la informaciòn diaria no se elimine"&amp;". ruta actual ruta \\co.igrupobbva\svrfilesystem\TX\RECEPCION_HOST\MARKETING\NOMINAS nombre del archivo GOF.S0105.BGDINN1.REPOTNEG.F(AÑOMESDIA). PRIORIDAD 2
6. Inclusion de cuentas altas masivas tradicionales y net cash en el reporte (discriminaciòn canal"&amp;"es) PRIORIDAD 2
7. Incluir en la parametria 2 campos adicionales para inclusion de correos banco, asi mismo que se genere la opcion de envio nuevamente en dado caso que se indentifique el reporte no llego. PRIORIDAD 2""")</f>
        <v>"-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v>
      </c>
      <c r="F579" s="4" t="str">
        <f ca="1">IFERROR(__xludf.DUMMYFUNCTION("""COMPUTED_VALUE"""),"Project")</f>
        <v>Project</v>
      </c>
      <c r="G579" s="4" t="str">
        <f ca="1">IFERROR(__xludf.DUMMYFUNCTION("""COMPUTED_VALUE"""),"Stock")</f>
        <v>Stock</v>
      </c>
      <c r="H579" s="4" t="str">
        <f ca="1">IFERROR(__xludf.DUMMYFUNCTION("""COMPUTED_VALUE"""),"2Q 2023")</f>
        <v>2Q 2023</v>
      </c>
      <c r="I579" s="131" t="str">
        <f ca="1">IFERROR(__xludf.DUMMYFUNCTION("""COMPUTED_VALUE"""),"alirio.bermudez-bbva.com")</f>
        <v>alirio.bermudez-bbva.com</v>
      </c>
      <c r="J579" s="131" t="str">
        <f ca="1">IFERROR(__xludf.DUMMYFUNCTION("""COMPUTED_VALUE"""),"hugo.mongua-bbva.com")</f>
        <v>hugo.mongua-bbva.com</v>
      </c>
      <c r="K579" s="131" t="str">
        <f ca="1">IFERROR(__xludf.DUMMYFUNCTION("""COMPUTED_VALUE"""),"monica.zamudio-bbva.com")</f>
        <v>monica.zamudio-bbva.com</v>
      </c>
      <c r="L579" s="130">
        <f ca="1">IFERROR(__xludf.DUMMYFUNCTION("""COMPUTED_VALUE"""),0.25)</f>
        <v>0.25</v>
      </c>
      <c r="M579" s="130">
        <f ca="1">IFERROR(__xludf.DUMMYFUNCTION("""COMPUTED_VALUE"""),0.6)</f>
        <v>0.6</v>
      </c>
      <c r="N579" s="130">
        <f ca="1">IFERROR(__xludf.DUMMYFUNCTION("""COMPUTED_VALUE"""),0)</f>
        <v>0</v>
      </c>
      <c r="O579" s="4" t="str">
        <f ca="1">IFERROR(__xludf.DUMMYFUNCTION("""COMPUTED_VALUE"""),"Waterfall")</f>
        <v>Waterfall</v>
      </c>
      <c r="P579" s="4" t="str">
        <f ca="1">IFERROR(__xludf.DUMMYFUNCTION("""COMPUTED_VALUE"""),"Tradicional")</f>
        <v>Tradicional</v>
      </c>
      <c r="Q579" s="4"/>
      <c r="R579" s="130" t="str">
        <f ca="1">IFERROR(__xludf.DUMMYFUNCTION("""COMPUTED_VALUE"""),"Retail Execution")</f>
        <v>Retail Execution</v>
      </c>
      <c r="S579" s="130" t="str">
        <f ca="1">IFERROR(__xludf.DUMMYFUNCTION("""COMPUTED_VALUE""")," Otros")</f>
        <v xml:space="preserve"> Otros</v>
      </c>
      <c r="T579" s="130" t="str">
        <f ca="1">IFERROR(__xludf.DUMMYFUNCTION("""COMPUTED_VALUE"""),"Otros")</f>
        <v>Otros</v>
      </c>
      <c r="U579" s="130" t="str">
        <f ca="1">IFERROR(__xludf.DUMMYFUNCTION("""COMPUTED_VALUE"""),"No Aplica")</f>
        <v>No Aplica</v>
      </c>
      <c r="V579" s="4" t="str">
        <f ca="1">IFERROR(__xludf.DUMMYFUNCTION("""COMPUTED_VALUE"""),"Nómina")</f>
        <v>Nómina</v>
      </c>
      <c r="W579" s="4">
        <f ca="1">IFERROR(__xludf.DUMMYFUNCTION("""COMPUTED_VALUE"""),2)</f>
        <v>2</v>
      </c>
      <c r="X579" s="4" t="str">
        <f ca="1">IFERROR(__xludf.DUMMYFUNCTION("""COMPUTED_VALUE"""),"10. Otros")</f>
        <v>10. Otros</v>
      </c>
      <c r="Y579" s="4" t="str">
        <f ca="1">IFERROR(__xludf.DUMMYFUNCTION("""COMPUTED_VALUE""")," Otros")</f>
        <v xml:space="preserve"> Otros</v>
      </c>
      <c r="Z579" s="132" t="str">
        <f ca="1">IFERROR(__xludf.DUMMYFUNCTION("""COMPUTED_VALUE"""),"674606")</f>
        <v>674606</v>
      </c>
      <c r="AA579" s="4" t="str">
        <f ca="1">IFERROR(__xludf.DUMMYFUNCTION("""COMPUTED_VALUE"""),"V.II MEJORAS PORTAFOLIOS TIPO DE PORTAFOLIOS - ALTA MASIVA")</f>
        <v>V.II MEJORAS PORTAFOLIOS TIPO DE PORTAFOLIOS - ALTA MASIVA</v>
      </c>
      <c r="AB579" s="4" t="str">
        <f ca="1">IFERROR(__xludf.DUMMYFUNCTION("""COMPUTED_VALUE"""),"Asignar en forma automática el tipo de portafolio, de acuerdo con los productos seleccionados
Alta de portafolios de nómina en cascada y el proceso Batch de Alta masiva de asociación de clientes/portafolio masiva.")</f>
        <v>Asignar en forma automática el tipo de portafolio, de acuerdo con los productos seleccionados
Alta de portafolios de nómina en cascada y el proceso Batch de Alta masiva de asociación de clientes/portafolio masiva.</v>
      </c>
      <c r="AC579" s="4" t="str">
        <f ca="1">IFERROR(__xludf.DUMMYFUNCTION("""COMPUTED_VALUE"""),"3Q 2023")</f>
        <v>3Q 2023</v>
      </c>
      <c r="AD579" s="4"/>
      <c r="AE579" s="4"/>
      <c r="AF579" s="4"/>
      <c r="AG579" s="4"/>
      <c r="AH579" s="4"/>
      <c r="AI579" s="4"/>
      <c r="AJ579" s="4"/>
      <c r="AK579" s="131" t="str">
        <f ca="1">IFERROR(__xludf.DUMMYFUNCTION("""COMPUTED_VALUE"""),"COLWSCUENT-2159")</f>
        <v>COLWSCUENT-2159</v>
      </c>
      <c r="AL579" s="4" t="str">
        <f ca="1">IFERROR(__xludf.DUMMYFUNCTION("""COMPUTED_VALUE"""),"En progreso")</f>
        <v>En progreso</v>
      </c>
      <c r="AM579" s="4"/>
      <c r="AN579" s="4" t="str">
        <f ca="1">IFERROR(__xludf.DUMMYFUNCTION("""COMPUTED_VALUE"""),"Entregable en backlog")</f>
        <v>Entregable en backlog</v>
      </c>
      <c r="AO579" s="4" t="str">
        <f ca="1">IFERROR(__xludf.DUMMYFUNCTION("""COMPUTED_VALUE"""),"Pasivos")</f>
        <v>Pasivos</v>
      </c>
      <c r="AP579" s="4"/>
      <c r="AQ579" s="4"/>
      <c r="AR579" s="4" t="str">
        <f ca="1">IFERROR(__xludf.DUMMYFUNCTION("""COMPUTED_VALUE"""),"SDA aprobada en PPP Q1 2023")</f>
        <v>SDA aprobada en PPP Q1 2023</v>
      </c>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133">
        <f ca="1">IFERROR(__xludf.DUMMYFUNCTION("""COMPUTED_VALUE"""),0)</f>
        <v>0</v>
      </c>
      <c r="DV579" s="133">
        <f ca="1">IFERROR(__xludf.DUMMYFUNCTION("""COMPUTED_VALUE"""),0)</f>
        <v>0</v>
      </c>
      <c r="DW579" s="133">
        <f ca="1">IFERROR(__xludf.DUMMYFUNCTION("""COMPUTED_VALUE"""),0)</f>
        <v>0</v>
      </c>
      <c r="DX579" s="133">
        <f ca="1">IFERROR(__xludf.DUMMYFUNCTION("""COMPUTED_VALUE"""),96412476)</f>
        <v>96412476</v>
      </c>
      <c r="DY579" s="133">
        <f ca="1">IFERROR(__xludf.DUMMYFUNCTION("""COMPUTED_VALUE"""),0)</f>
        <v>0</v>
      </c>
      <c r="DZ579" s="133">
        <f ca="1">IFERROR(__xludf.DUMMYFUNCTION("""COMPUTED_VALUE"""),96412476)</f>
        <v>96412476</v>
      </c>
      <c r="EA579" s="4"/>
      <c r="EB579" s="4"/>
    </row>
    <row r="580" spans="1:132" x14ac:dyDescent="0.2">
      <c r="A580" s="4">
        <f ca="1">IFERROR(__xludf.DUMMYFUNCTION("""COMPUTED_VALUE"""),580)</f>
        <v>580</v>
      </c>
      <c r="B580" s="4">
        <f ca="1">IFERROR(__xludf.DUMMYFUNCTION("""COMPUTED_VALUE"""),552)</f>
        <v>552</v>
      </c>
      <c r="C580" s="4" t="str">
        <f ca="1">IFERROR(__xludf.DUMMYFUNCTION("""COMPUTED_VALUE"""),"SDATOOL-39383")</f>
        <v>SDATOOL-39383</v>
      </c>
      <c r="D580" s="4" t="str">
        <f ca="1">IFERROR(__xludf.DUMMYFUNCTION("""COMPUTED_VALUE"""),"AJUSTES HIGIENICOS DE PORTAFOLIO + REPORTE CENTRALIZADO DE NÓMINA")</f>
        <v>AJUSTES HIGIENICOS DE PORTAFOLIO + REPORTE CENTRALIZADO DE NÓMINA</v>
      </c>
      <c r="E580" s="4" t="str">
        <f ca="1">IFERROR(__xludf.DUMMYFUNCTION("""COMPUTED_VALUE"""),"""- Se requiere desde el módulo de portafolio se realice una mejora a los procesos existentes de: 
1. Que el sistema valide el abono de nómina que hace la empresa a los empleados, y que el proceso sea ejecutado de forma diaria. Aclarar que este proceso so"&amp;"lo se debe ejecutar para aquellos clientes que no tienen portafolio o que perdieron el beneficio. Importante que el sistema valide que se trata de un cliente de nómina y que tiene la empresa domiciliada con el BBVA. PRIORIDAD 1.
2. Inlcuir una segunda val"&amp;"idación por parte del sistema para maración de portafolios.  Asi mismo Validar de forma correcta la paquetización del portafolio al momento de crear un cliente en BBVA Banca Móvil y la NET Port. 172. y Tradicional 151. PRIORIDAD 1
3. Generar notificacione"&amp;"s a los clientes de nómina por perdida de portafolio. PRIORIDAD 3
4. Proceso de Paquetización y despaquetización se pueda realizar un mismo dia y asi mismo se actualicen los contadores. PRIORIDAD 1
5. Validaciones de upgrade (Inclusiòn de campo adicional "&amp;"en la parametria para que la logica del sistema identifique que portafolio se debe aplicar por upgrade a raiz de la contratación de un nuevo producto por parte del cliente, esto tanto para portafolios existentes o nuevos). PRIORIDAD 1
6. Generación de rep"&amp;"orte diario de paquetización y despaquetización de cuentas que se envie por correo, asi mismo un reporte con el consolidado mensual. PRIORIDAD 1
7. Sinergia entre el modulo de portafolios y el modulo de comisiones MCC, esto con el fin de que cuando se act"&amp;"ualice una clave de comision de cobro de portafolio asi mismo se actualicen las pantallas de las parametrias con el nuevo valor. PRIORIDAD 3
8. Mejora en los procesos de alta y baja de portafolios que se realizan en fabrica masiva a traves del aplicativo "&amp;"grannet. PRIORIDAD 4
9. Mejoras a la estructura del GOF de portafolios. PRIORIDAD 3
- Para reporte centralizado de nómina se requiere:
1. Personalización acorde a las necesidades del cliente. 
2. Elección de fecha de envio de reporte. PRIORIDAD 2
3. Long"&amp;"itud de cuenta para que se indique en el reporte los caracteres, bien sea de 9 - 14 - 16 o 18 caracteres. PRIORIDAD 2
4. Mejorar el proceso de Almacenamiento consolidación mensual y hasta por los últimos 12 meses, y que la informaciòn diaria no se elimine"&amp;". ruta actual ruta \\co.igrupobbva\svrfilesystem\TX\RECEPCION_HOST\MARKETING\NOMINAS nombre del archivo GOF.S0105.BGDINN1.REPOTNEG.F(AÑOMESDIA). PRIORIDAD 2
6. Inclusion de cuentas altas masivas tradicionales y net cash en el reporte (discriminaciòn canal"&amp;"es) PRIORIDAD 2
7. Incluir en la parametria 2 campos adicionales para inclusion de correos banco, asi mismo que se genere la opcion de envio nuevamente en dado caso que se indentifique el reporte no llego. PRIORIDAD 2""")</f>
        <v>"-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v>
      </c>
      <c r="F580" s="4" t="str">
        <f ca="1">IFERROR(__xludf.DUMMYFUNCTION("""COMPUTED_VALUE"""),"Project")</f>
        <v>Project</v>
      </c>
      <c r="G580" s="4" t="str">
        <f ca="1">IFERROR(__xludf.DUMMYFUNCTION("""COMPUTED_VALUE"""),"Stock")</f>
        <v>Stock</v>
      </c>
      <c r="H580" s="4" t="str">
        <f ca="1">IFERROR(__xludf.DUMMYFUNCTION("""COMPUTED_VALUE"""),"2Q 2023")</f>
        <v>2Q 2023</v>
      </c>
      <c r="I580" s="131" t="str">
        <f ca="1">IFERROR(__xludf.DUMMYFUNCTION("""COMPUTED_VALUE"""),"alirio.bermudez-bbva.com")</f>
        <v>alirio.bermudez-bbva.com</v>
      </c>
      <c r="J580" s="131" t="str">
        <f ca="1">IFERROR(__xludf.DUMMYFUNCTION("""COMPUTED_VALUE"""),"hugo.mongua-bbva.com")</f>
        <v>hugo.mongua-bbva.com</v>
      </c>
      <c r="K580" s="131" t="str">
        <f ca="1">IFERROR(__xludf.DUMMYFUNCTION("""COMPUTED_VALUE"""),"monica.zamudio-bbva.com")</f>
        <v>monica.zamudio-bbva.com</v>
      </c>
      <c r="L580" s="4"/>
      <c r="M580" s="4"/>
      <c r="N580" s="4"/>
      <c r="O580" s="4" t="str">
        <f ca="1">IFERROR(__xludf.DUMMYFUNCTION("""COMPUTED_VALUE"""),"Waterfall")</f>
        <v>Waterfall</v>
      </c>
      <c r="P580" s="4" t="str">
        <f ca="1">IFERROR(__xludf.DUMMYFUNCTION("""COMPUTED_VALUE"""),"Tradicional")</f>
        <v>Tradicional</v>
      </c>
      <c r="Q580" s="4"/>
      <c r="R580" s="130" t="str">
        <f ca="1">IFERROR(__xludf.DUMMYFUNCTION("""COMPUTED_VALUE"""),"Retail Execution")</f>
        <v>Retail Execution</v>
      </c>
      <c r="S580" s="130" t="str">
        <f ca="1">IFERROR(__xludf.DUMMYFUNCTION("""COMPUTED_VALUE""")," Otros")</f>
        <v xml:space="preserve"> Otros</v>
      </c>
      <c r="T580" s="130" t="str">
        <f ca="1">IFERROR(__xludf.DUMMYFUNCTION("""COMPUTED_VALUE"""),"Otros")</f>
        <v>Otros</v>
      </c>
      <c r="U580" s="130" t="str">
        <f ca="1">IFERROR(__xludf.DUMMYFUNCTION("""COMPUTED_VALUE"""),"No Aplica")</f>
        <v>No Aplica</v>
      </c>
      <c r="V580" s="4" t="str">
        <f ca="1">IFERROR(__xludf.DUMMYFUNCTION("""COMPUTED_VALUE"""),"Nómina")</f>
        <v>Nómina</v>
      </c>
      <c r="W580" s="4">
        <f ca="1">IFERROR(__xludf.DUMMYFUNCTION("""COMPUTED_VALUE"""),2)</f>
        <v>2</v>
      </c>
      <c r="X580" s="4" t="str">
        <f ca="1">IFERROR(__xludf.DUMMYFUNCTION("""COMPUTED_VALUE"""),"10. Otros")</f>
        <v>10. Otros</v>
      </c>
      <c r="Y580" s="4" t="str">
        <f ca="1">IFERROR(__xludf.DUMMYFUNCTION("""COMPUTED_VALUE""")," Otros")</f>
        <v xml:space="preserve"> Otros</v>
      </c>
      <c r="Z580" s="132" t="str">
        <f ca="1">IFERROR(__xludf.DUMMYFUNCTION("""COMPUTED_VALUE"""),"490298")</f>
        <v>490298</v>
      </c>
      <c r="AA580" s="4" t="str">
        <f ca="1">IFERROR(__xludf.DUMMYFUNCTION("""COMPUTED_VALUE"""),"Mejoras Portafolios + Reporte Centralizado de Nómina")</f>
        <v>Mejoras Portafolios + Reporte Centralizado de Nómina</v>
      </c>
      <c r="AB580" s="4" t="str">
        <f ca="1">IFERROR(__xludf.DUMMYFUNCTION("""COMPUTED_VALUE"""),"Mejoras Portafolios + Reporte Centralizado de Nómina")</f>
        <v>Mejoras Portafolios + Reporte Centralizado de Nómina</v>
      </c>
      <c r="AC580" s="4" t="str">
        <f ca="1">IFERROR(__xludf.DUMMYFUNCTION("""COMPUTED_VALUE"""),"3Q 2023")</f>
        <v>3Q 2023</v>
      </c>
      <c r="AD580" s="128">
        <f ca="1">IFERROR(__xludf.DUMMYFUNCTION("""COMPUTED_VALUE"""),44682)</f>
        <v>44682</v>
      </c>
      <c r="AE580" s="4"/>
      <c r="AF580" s="4"/>
      <c r="AG580" s="4"/>
      <c r="AH580" s="4"/>
      <c r="AI580" s="4"/>
      <c r="AJ580" s="4"/>
      <c r="AK580" s="131" t="str">
        <f ca="1">IFERROR(__xludf.DUMMYFUNCTION("""COMPUTED_VALUE"""),"COLWSCUENT-617")</f>
        <v>COLWSCUENT-617</v>
      </c>
      <c r="AL580" s="4" t="str">
        <f ca="1">IFERROR(__xludf.DUMMYFUNCTION("""COMPUTED_VALUE"""),"Deployed")</f>
        <v>Deployed</v>
      </c>
      <c r="AM580" s="4" t="str">
        <f ca="1">IFERROR(__xludf.DUMMYFUNCTION("""COMPUTED_VALUE"""),"Actualizado en SDA Suite del 4Q/22 a 3Q/23
VA PARA EL 2Q 2023 SE DEBE MOVER
")</f>
        <v xml:space="preserve">Actualizado en SDA Suite del 4Q/22 a 3Q/23
VA PARA EL 2Q 2023 SE DEBE MOVER
</v>
      </c>
      <c r="AN580" s="4" t="str">
        <f ca="1">IFERROR(__xludf.DUMMYFUNCTION("""COMPUTED_VALUE"""),"Finalizado")</f>
        <v>Finalizado</v>
      </c>
      <c r="AO580" s="4" t="str">
        <f ca="1">IFERROR(__xludf.DUMMYFUNCTION("""COMPUTED_VALUE"""),"Pasivos")</f>
        <v>Pasivos</v>
      </c>
      <c r="AP580" s="4"/>
      <c r="AQ580" s="4"/>
      <c r="AR580" s="4" t="str">
        <f ca="1">IFERROR(__xludf.DUMMYFUNCTION("""COMPUTED_VALUE"""),"SDA aprobada en PPP Q1 2023")</f>
        <v>SDA aprobada en PPP Q1 2023</v>
      </c>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row>
    <row r="581" spans="1:132" x14ac:dyDescent="0.2">
      <c r="A581" s="4">
        <f ca="1">IFERROR(__xludf.DUMMYFUNCTION("""COMPUTED_VALUE"""),581)</f>
        <v>581</v>
      </c>
      <c r="B581" s="4">
        <f ca="1">IFERROR(__xludf.DUMMYFUNCTION("""COMPUTED_VALUE"""),553)</f>
        <v>553</v>
      </c>
      <c r="C581" s="4" t="str">
        <f ca="1">IFERROR(__xludf.DUMMYFUNCTION("""COMPUTED_VALUE"""),"SDATOOL-40589")</f>
        <v>SDATOOL-40589</v>
      </c>
      <c r="D581" s="4" t="str">
        <f ca="1">IFERROR(__xludf.DUMMYFUNCTION("""COMPUTED_VALUE"""),"Ajuste longitud de cuentas problema 7 digitos")</f>
        <v>Ajuste longitud de cuentas problema 7 digitos</v>
      </c>
      <c r="E581" s="4" t="str">
        <f ca="1">IFERROR(__xludf.DUMMYFUNCTION("""COMPUTED_VALUE"""),"Tomar el último dígito de las cuentas,dígito de verificación, como parte del consecutivo, generando una ampliación de numeración de cuentas y permitiendo asignar numeros de cuentas en el inicio de la númeración utilizando los espacio que no se utilizaron "&amp;" por le digito de verificación y el algoritino existente en el banco. Es impornate mencionar que se debe garantizar y controlar que no se vulevan a signar números de contrarto ya existentes y asignados con anterioridad; además de garantizar que esto se al"&amp;"inee a todos los flujos transaccionales, de consulta, certificaciones de producto. Esto para todas las cuentas de ahorros y la númeración de todas las oficina. Debemos garantizarque tenga exactamente el mismo funcionamiento que las cuentas antiguas que no"&amp;" utilizaban el número de verificación como parte del conseguticvo de cuenta.")</f>
        <v>Tomar el último dígito de las cuentas,dígito de verificación, como parte del consecutivo, generando una ampliación de numeración de cuentas y permitiendo asignar numeros de cuentas en el inicio de la númeración utilizando los espacio que no se utilizaron  por le digito de verificación y el algoritino existente en el banco. Es impornate mencionar que se debe garantizar y controlar que no se vulevan a signar números de contrarto ya existentes y asignados con anterioridad; además de garantizar que esto se alinee a todos los flujos transaccionales, de consulta, certificaciones de producto. Esto para todas las cuentas de ahorros y la númeración de todas las oficina. Debemos garantizarque tenga exactamente el mismo funcionamiento que las cuentas antiguas que no utilizaban el número de verificación como parte del conseguticvo de cuenta.</v>
      </c>
      <c r="F581" s="4" t="str">
        <f ca="1">IFERROR(__xludf.DUMMYFUNCTION("""COMPUTED_VALUE"""),"Project")</f>
        <v>Project</v>
      </c>
      <c r="G581" s="4" t="str">
        <f ca="1">IFERROR(__xludf.DUMMYFUNCTION("""COMPUTED_VALUE"""),"Ended")</f>
        <v>Ended</v>
      </c>
      <c r="H581" s="4" t="str">
        <f ca="1">IFERROR(__xludf.DUMMYFUNCTION("""COMPUTED_VALUE"""),"1Q 2023")</f>
        <v>1Q 2023</v>
      </c>
      <c r="I581" s="131" t="str">
        <f ca="1">IFERROR(__xludf.DUMMYFUNCTION("""COMPUTED_VALUE"""),"alirio.bermudez-bbva.com")</f>
        <v>alirio.bermudez-bbva.com</v>
      </c>
      <c r="J581" s="131" t="str">
        <f ca="1">IFERROR(__xludf.DUMMYFUNCTION("""COMPUTED_VALUE"""),"hugo.mongua-bbva.com")</f>
        <v>hugo.mongua-bbva.com</v>
      </c>
      <c r="K581" s="131" t="str">
        <f ca="1">IFERROR(__xludf.DUMMYFUNCTION("""COMPUTED_VALUE"""),"paolaandrea.hermosa-bbva.com")</f>
        <v>paolaandrea.hermosa-bbva.com</v>
      </c>
      <c r="L581" s="130">
        <f ca="1">IFERROR(__xludf.DUMMYFUNCTION("""COMPUTED_VALUE"""),0)</f>
        <v>0</v>
      </c>
      <c r="M581" s="130">
        <f ca="1">IFERROR(__xludf.DUMMYFUNCTION("""COMPUTED_VALUE"""),0.8)</f>
        <v>0.8</v>
      </c>
      <c r="N581" s="130">
        <f ca="1">IFERROR(__xludf.DUMMYFUNCTION("""COMPUTED_VALUE"""),0.2)</f>
        <v>0.2</v>
      </c>
      <c r="O581" s="4" t="str">
        <f ca="1">IFERROR(__xludf.DUMMYFUNCTION("""COMPUTED_VALUE"""),"Waterfall")</f>
        <v>Waterfall</v>
      </c>
      <c r="P581" s="4" t="str">
        <f ca="1">IFERROR(__xludf.DUMMYFUNCTION("""COMPUTED_VALUE"""),"Tradicional")</f>
        <v>Tradicional</v>
      </c>
      <c r="Q581" s="4"/>
      <c r="R581" s="130" t="str">
        <f ca="1">IFERROR(__xludf.DUMMYFUNCTION("""COMPUTED_VALUE"""),"Retail Execution")</f>
        <v>Retail Execution</v>
      </c>
      <c r="S581" s="130" t="str">
        <f ca="1">IFERROR(__xludf.DUMMYFUNCTION("""COMPUTED_VALUE""")," Otros")</f>
        <v xml:space="preserve"> Otros</v>
      </c>
      <c r="T581" s="130" t="str">
        <f ca="1">IFERROR(__xludf.DUMMYFUNCTION("""COMPUTED_VALUE"""),"Otros")</f>
        <v>Otros</v>
      </c>
      <c r="U581" s="130" t="str">
        <f ca="1">IFERROR(__xludf.DUMMYFUNCTION("""COMPUTED_VALUE"""),"No Aplica")</f>
        <v>No Aplica</v>
      </c>
      <c r="V581" s="4" t="str">
        <f ca="1">IFERROR(__xludf.DUMMYFUNCTION("""COMPUTED_VALUE"""),"Otros")</f>
        <v>Otros</v>
      </c>
      <c r="W581" s="4">
        <f ca="1">IFERROR(__xludf.DUMMYFUNCTION("""COMPUTED_VALUE"""),3)</f>
        <v>3</v>
      </c>
      <c r="X581" s="4" t="str">
        <f ca="1">IFERROR(__xludf.DUMMYFUNCTION("""COMPUTED_VALUE"""),"10. Otros")</f>
        <v>10. Otros</v>
      </c>
      <c r="Y581" s="4" t="str">
        <f ca="1">IFERROR(__xludf.DUMMYFUNCTION("""COMPUTED_VALUE""")," Otros")</f>
        <v xml:space="preserve"> Otros</v>
      </c>
      <c r="Z581" s="132" t="str">
        <f ca="1">IFERROR(__xludf.DUMMYFUNCTION("""COMPUTED_VALUE"""),"598010")</f>
        <v>598010</v>
      </c>
      <c r="AA581" s="4" t="str">
        <f ca="1">IFERROR(__xludf.DUMMYFUNCTION("""COMPUTED_VALUE"""),"Ajuste longitud de cuentas de ahorros a 7 digitos")</f>
        <v>Ajuste longitud de cuentas de ahorros a 7 digitos</v>
      </c>
      <c r="AB581" s="4" t="str">
        <f ca="1">IFERROR(__xludf.DUMMYFUNCTION("""COMPUTED_VALUE"""),"Como negocio quisiera que acorde con la estructura de 20 digitos que tenemos a hoy el ultimo numero del contrato de cuentas de ahorro se implemente como dígito de verificación, como parte del consecutivo de la cuenta de ahorros.")</f>
        <v>Como negocio quisiera que acorde con la estructura de 20 digitos que tenemos a hoy el ultimo numero del contrato de cuentas de ahorro se implemente como dígito de verificación, como parte del consecutivo de la cuenta de ahorros.</v>
      </c>
      <c r="AC581" s="4" t="str">
        <f ca="1">IFERROR(__xludf.DUMMYFUNCTION("""COMPUTED_VALUE"""),"1Q 2023")</f>
        <v>1Q 2023</v>
      </c>
      <c r="AD581" s="4"/>
      <c r="AE581" s="4"/>
      <c r="AF581" s="4"/>
      <c r="AG581" s="4"/>
      <c r="AH581" s="4"/>
      <c r="AI581" s="4"/>
      <c r="AJ581" s="4"/>
      <c r="AK581" s="131" t="str">
        <f ca="1">IFERROR(__xludf.DUMMYFUNCTION("""COMPUTED_VALUE"""),"COLWSCUENT-1602")</f>
        <v>COLWSCUENT-1602</v>
      </c>
      <c r="AL581" s="4" t="str">
        <f ca="1">IFERROR(__xludf.DUMMYFUNCTION("""COMPUTED_VALUE"""),"Deployed")</f>
        <v>Deployed</v>
      </c>
      <c r="AM581" s="4" t="str">
        <f ca="1">IFERROR(__xludf.DUMMYFUNCTION("""COMPUTED_VALUE"""),"ff")</f>
        <v>ff</v>
      </c>
      <c r="AN581" s="4" t="str">
        <f ca="1">IFERROR(__xludf.DUMMYFUNCTION("""COMPUTED_VALUE"""),"Entregable en desarrollo")</f>
        <v>Entregable en desarrollo</v>
      </c>
      <c r="AO581" s="4" t="str">
        <f ca="1">IFERROR(__xludf.DUMMYFUNCTION("""COMPUTED_VALUE"""),"Pasivos")</f>
        <v>Pasivos</v>
      </c>
      <c r="AP581" s="4"/>
      <c r="AQ581" s="4"/>
      <c r="AR581" s="4" t="str">
        <f ca="1">IFERROR(__xludf.DUMMYFUNCTION("""COMPUTED_VALUE"""),"SDA aprobada en PPP Q1 2023")</f>
        <v>SDA aprobada en PPP Q1 2023</v>
      </c>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133">
        <f ca="1">IFERROR(__xludf.DUMMYFUNCTION("""COMPUTED_VALUE"""),0)</f>
        <v>0</v>
      </c>
      <c r="DV581" s="133">
        <f ca="1">IFERROR(__xludf.DUMMYFUNCTION("""COMPUTED_VALUE"""),0)</f>
        <v>0</v>
      </c>
      <c r="DW581" s="133">
        <f ca="1">IFERROR(__xludf.DUMMYFUNCTION("""COMPUTED_VALUE"""),27698042)</f>
        <v>27698042</v>
      </c>
      <c r="DX581" s="133">
        <f ca="1">IFERROR(__xludf.DUMMYFUNCTION("""COMPUTED_VALUE"""),42500860)</f>
        <v>42500860</v>
      </c>
      <c r="DY581" s="133">
        <f ca="1">IFERROR(__xludf.DUMMYFUNCTION("""COMPUTED_VALUE"""),0)</f>
        <v>0</v>
      </c>
      <c r="DZ581" s="133">
        <f ca="1">IFERROR(__xludf.DUMMYFUNCTION("""COMPUTED_VALUE"""),70198902)</f>
        <v>70198902</v>
      </c>
      <c r="EA581" s="4"/>
      <c r="EB581" s="4"/>
    </row>
    <row r="582" spans="1:132" x14ac:dyDescent="0.2">
      <c r="A582" s="4">
        <f ca="1">IFERROR(__xludf.DUMMYFUNCTION("""COMPUTED_VALUE"""),582)</f>
        <v>582</v>
      </c>
      <c r="B582" s="4">
        <f ca="1">IFERROR(__xludf.DUMMYFUNCTION("""COMPUTED_VALUE"""),554)</f>
        <v>554</v>
      </c>
      <c r="C582" s="4" t="str">
        <f ca="1">IFERROR(__xludf.DUMMYFUNCTION("""COMPUTED_VALUE"""),"SDATOOL-41839")</f>
        <v>SDATOOL-41839</v>
      </c>
      <c r="D582" s="4" t="str">
        <f ca="1">IFERROR(__xludf.DUMMYFUNCTION("""COMPUTED_VALUE"""),"POSTULACIÓN DE GENERACIÓN NUEVOS EMPLEOS")</f>
        <v>POSTULACIÓN DE GENERACIÓN NUEVOS EMPLEOS</v>
      </c>
      <c r="E582" s="4" t="str">
        <f ca="1">IFERROR(__xludf.DUMMYFUNCTION("""COMPUTED_VALUE"""),"ACTUALIZAR EL ROBOT Y LICENCIA DEL PROGRAMA DEL GOBIERNO DE POSTULACIONES A SUBSIDIO POR GENERACIÓN DE EMPLEO")</f>
        <v>ACTUALIZAR EL ROBOT Y LICENCIA DEL PROGRAMA DEL GOBIERNO DE POSTULACIONES A SUBSIDIO POR GENERACIÓN DE EMPLEO</v>
      </c>
      <c r="F582" s="4" t="str">
        <f ca="1">IFERROR(__xludf.DUMMYFUNCTION("""COMPUTED_VALUE"""),"Project")</f>
        <v>Project</v>
      </c>
      <c r="G582" s="4" t="str">
        <f ca="1">IFERROR(__xludf.DUMMYFUNCTION("""COMPUTED_VALUE"""),"Stock")</f>
        <v>Stock</v>
      </c>
      <c r="H582" s="4" t="str">
        <f ca="1">IFERROR(__xludf.DUMMYFUNCTION("""COMPUTED_VALUE"""),"3Q 2023")</f>
        <v>3Q 2023</v>
      </c>
      <c r="I582" s="131" t="str">
        <f ca="1">IFERROR(__xludf.DUMMYFUNCTION("""COMPUTED_VALUE"""),"alirio.bermudez-bbva.com")</f>
        <v>alirio.bermudez-bbva.com</v>
      </c>
      <c r="J582" s="131" t="str">
        <f ca="1">IFERROR(__xludf.DUMMYFUNCTION("""COMPUTED_VALUE"""),"hugo.mongua-bbva.com")</f>
        <v>hugo.mongua-bbva.com</v>
      </c>
      <c r="K582" s="131" t="str">
        <f ca="1">IFERROR(__xludf.DUMMYFUNCTION("""COMPUTED_VALUE"""),"jhon.molina-bbva.com")</f>
        <v>jhon.molina-bbva.com</v>
      </c>
      <c r="L582" s="130">
        <f ca="1">IFERROR(__xludf.DUMMYFUNCTION("""COMPUTED_VALUE"""),0.25)</f>
        <v>0.25</v>
      </c>
      <c r="M582" s="130">
        <f ca="1">IFERROR(__xludf.DUMMYFUNCTION("""COMPUTED_VALUE"""),0)</f>
        <v>0</v>
      </c>
      <c r="N582" s="130">
        <f ca="1">IFERROR(__xludf.DUMMYFUNCTION("""COMPUTED_VALUE"""),0)</f>
        <v>0</v>
      </c>
      <c r="O582" s="4" t="str">
        <f ca="1">IFERROR(__xludf.DUMMYFUNCTION("""COMPUTED_VALUE"""),"Waterfall")</f>
        <v>Waterfall</v>
      </c>
      <c r="P582" s="4" t="str">
        <f ca="1">IFERROR(__xludf.DUMMYFUNCTION("""COMPUTED_VALUE"""),"Tradicional")</f>
        <v>Tradicional</v>
      </c>
      <c r="Q582" s="4"/>
      <c r="R582" s="130" t="str">
        <f ca="1">IFERROR(__xludf.DUMMYFUNCTION("""COMPUTED_VALUE"""),"Retail Execution")</f>
        <v>Retail Execution</v>
      </c>
      <c r="S582" s="130" t="str">
        <f ca="1">IFERROR(__xludf.DUMMYFUNCTION("""COMPUTED_VALUE""")," Otros")</f>
        <v xml:space="preserve"> Otros</v>
      </c>
      <c r="T582" s="130" t="str">
        <f ca="1">IFERROR(__xludf.DUMMYFUNCTION("""COMPUTED_VALUE"""),"Normativo")</f>
        <v>Normativo</v>
      </c>
      <c r="U582" s="130" t="str">
        <f ca="1">IFERROR(__xludf.DUMMYFUNCTION("""COMPUTED_VALUE"""),"No Aplica")</f>
        <v>No Aplica</v>
      </c>
      <c r="V582" s="4" t="str">
        <f ca="1">IFERROR(__xludf.DUMMYFUNCTION("""COMPUTED_VALUE"""),"Otros")</f>
        <v>Otros</v>
      </c>
      <c r="W582" s="4">
        <f ca="1">IFERROR(__xludf.DUMMYFUNCTION("""COMPUTED_VALUE"""),3)</f>
        <v>3</v>
      </c>
      <c r="X582" s="4" t="str">
        <f ca="1">IFERROR(__xludf.DUMMYFUNCTION("""COMPUTED_VALUE"""),"10. Otros")</f>
        <v>10. Otros</v>
      </c>
      <c r="Y582" s="4" t="str">
        <f ca="1">IFERROR(__xludf.DUMMYFUNCTION("""COMPUTED_VALUE""")," Otros")</f>
        <v xml:space="preserve"> Otros</v>
      </c>
      <c r="Z582" s="132" t="str">
        <f ca="1">IFERROR(__xludf.DUMMYFUNCTION("""COMPUTED_VALUE"""),"674605")</f>
        <v>674605</v>
      </c>
      <c r="AA582" s="4" t="str">
        <f ca="1">IFERROR(__xludf.DUMMYFUNCTION("""COMPUTED_VALUE"""),"POSTULACIÓN DE GENERACIÓN NUEVOS EMPLEOS")</f>
        <v>POSTULACIÓN DE GENERACIÓN NUEVOS EMPLEOS</v>
      </c>
      <c r="AB582" s="4" t="str">
        <f ca="1">IFERROR(__xludf.DUMMYFUNCTION("""COMPUTED_VALUE"""),"ACTUALIZAR EL ROBOT Y LICENCIA DEL PROGRAMA DEL GOBIERNO DE POSTULACIONES A SUBSIDIO POR GENERACIÓN DE EMPLEO")</f>
        <v>ACTUALIZAR EL ROBOT Y LICENCIA DEL PROGRAMA DEL GOBIERNO DE POSTULACIONES A SUBSIDIO POR GENERACIÓN DE EMPLEO</v>
      </c>
      <c r="AC582" s="4" t="str">
        <f ca="1">IFERROR(__xludf.DUMMYFUNCTION("""COMPUTED_VALUE"""),"3Q 2023")</f>
        <v>3Q 2023</v>
      </c>
      <c r="AD582" s="4"/>
      <c r="AE582" s="4"/>
      <c r="AF582" s="4"/>
      <c r="AG582" s="4"/>
      <c r="AH582" s="4"/>
      <c r="AI582" s="4"/>
      <c r="AJ582" s="4"/>
      <c r="AK582" s="131" t="str">
        <f ca="1">IFERROR(__xludf.DUMMYFUNCTION("""COMPUTED_VALUE"""),"COLWSCUENT-2162")</f>
        <v>COLWSCUENT-2162</v>
      </c>
      <c r="AL582" s="4" t="str">
        <f ca="1">IFERROR(__xludf.DUMMYFUNCTION("""COMPUTED_VALUE"""),"En progreso")</f>
        <v>En progreso</v>
      </c>
      <c r="AM582" s="4"/>
      <c r="AN582" s="4" t="str">
        <f ca="1">IFERROR(__xludf.DUMMYFUNCTION("""COMPUTED_VALUE"""),"Entregable en desarrollo")</f>
        <v>Entregable en desarrollo</v>
      </c>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133">
        <f ca="1">IFERROR(__xludf.DUMMYFUNCTION("""COMPUTED_VALUE"""),0)</f>
        <v>0</v>
      </c>
      <c r="DV582" s="133">
        <f ca="1">IFERROR(__xludf.DUMMYFUNCTION("""COMPUTED_VALUE"""),0)</f>
        <v>0</v>
      </c>
      <c r="DW582" s="133">
        <f ca="1">IFERROR(__xludf.DUMMYFUNCTION("""COMPUTED_VALUE"""),0)</f>
        <v>0</v>
      </c>
      <c r="DX582" s="133">
        <f ca="1">IFERROR(__xludf.DUMMYFUNCTION("""COMPUTED_VALUE"""),74027464)</f>
        <v>74027464</v>
      </c>
      <c r="DY582" s="133">
        <f ca="1">IFERROR(__xludf.DUMMYFUNCTION("""COMPUTED_VALUE"""),0)</f>
        <v>0</v>
      </c>
      <c r="DZ582" s="133">
        <f ca="1">IFERROR(__xludf.DUMMYFUNCTION("""COMPUTED_VALUE"""),74027464)</f>
        <v>74027464</v>
      </c>
      <c r="EA582" s="4"/>
      <c r="EB582" s="4"/>
    </row>
    <row r="583" spans="1:132" x14ac:dyDescent="0.2">
      <c r="A583" s="4">
        <f ca="1">IFERROR(__xludf.DUMMYFUNCTION("""COMPUTED_VALUE"""),583)</f>
        <v>583</v>
      </c>
      <c r="B583" s="4">
        <f ca="1">IFERROR(__xludf.DUMMYFUNCTION("""COMPUTED_VALUE"""),555)</f>
        <v>555</v>
      </c>
      <c r="C583" s="4" t="str">
        <f ca="1">IFERROR(__xludf.DUMMYFUNCTION("""COMPUTED_VALUE"""),"SDATOOL-41766")</f>
        <v>SDATOOL-41766</v>
      </c>
      <c r="D583" s="4" t="str">
        <f ca="1">IFERROR(__xludf.DUMMYFUNCTION("""COMPUTED_VALUE"""),"DUALIDAD CUENTAS AFC NÁCAR HOST Y CANALES DIGITALES")</f>
        <v>DUALIDAD CUENTAS AFC NÁCAR HOST Y CANALES DIGITALES</v>
      </c>
      <c r="E583" s="4" t="str">
        <f ca="1">IFERROR(__xludf.DUMMYFUNCTION("""COMPUTED_VALUE"""),"Cierre de ""bolsillo transaccional"" que permite una dualidad en uso sobre la cuenta AFC, quedándonos únicamente con la funciones propias de una cuenta AFC permitiendo abonos indirectos (empleador) y directos en la cuenta. Adjunto comparto los código MIR "&amp;"acordados entre negocio, área fiscal, operaciones y validado con ingeniería para afectación sobre la parte AFC de la cuenta. MPV
Buen dia Nestor, 
De acuerdo con lo conversado, relacionamos al frente de los códigos, un comentario para aquellos que interv"&amp;"ienen en la parte AFC. 
Validando los códigos que se informan en la tabla BGDTMFC y que afectan los saldos de AFC fueron los 
image.png
En la tabla también se informan códigos 001, 301, 330 pero solo informativos no se evidencia que genere códigos de re"&amp;"tención ni afecte slados AFC
image.png
También se debe tener en cuenta los códigos mir  que ya realizan los procesos normales de cuentas como abono de intereses de liquidación, estos no modifican los saldos de AFC pero sí permiten el funcionamiento del "&amp;"producto.
Quedo atenta, 
Gracias. 
Una vez cerrado el bolsillo TX, se deberán migrar los saldos hacia el ""bolsillo"" AFC. +SAMUEL EDUARDO ORTIZ CASTANEDA  en este punto, ¿cómo deben reportan esos saldo?, ¿Abono directo y aplicar retención contingente "&amp;"a todos? ¿no aplicar retención contingente? MPV
Una vez el cliente realice un abono directo a la cuenta AFC se deberá preguntar al cliente si el dinero depositado ya fue o no objeto de retención (7%) sobre todos los canales, similar a como se realiza hoy "&amp;"en oficina. Con fin de garantizar el cobro de retención contingente adecuado sobre la cuenta. Entregable 2
En caso de tener el segundo entregable tiempos largos, se deberá limitar los abonos directos sobre la cuenta únicamente en oficina.  
Se debe implem"&amp;"entar garantizar la custodia del historial cuando se realiza el traslado entre bancos o desde un fondo de pensión.  Entregable 3
Implementar la retención contingente del 1%,  beneficios de la Ley 1607 de 2012, la cual estipula ….Está exenta la utilidad ge"&amp;"nerada en la venta de la casa o apto cuando la totalidad de los dineros recibidos de la venta sean depositados en las cuentas AFC, y sean destinados a la adquisición de otra casa o apto para el pago total o parcial de uno o más créditos hipotecarios. Entr"&amp;"egable 3
Garantizar  la aplicación de la  retención en la fuente en los retiros realizados por pago de créditos hipotecarios de remodelación.     Entregable 3")</f>
        <v>Cierre de "bolsillo transaccional" que permite una dualidad en uso sobre la cuenta AFC, quedándonos únicamente con la funciones propias de una cuenta AFC permitiendo abonos indirectos (empleador) y directos en la cuenta. Adjunto comparto los código MIR acordados entre negocio, área fiscal, operaciones y validado con ingeniería para afectación sobre la parte AFC de la cuenta. MPV
Buen dia Nestor, 
De acuerdo con lo conversado, relacionamos al frente de los códigos, un comentario para aquellos que intervienen en la parte AFC. 
Validando los códigos que se informan en la tabla BGDTMFC y que afectan los saldos de AFC fueron los 
image.png
En la tabla también se informan códigos 001, 301, 330 pero solo informativos no se evidencia que genere códigos de retención ni afecte slados AFC
image.png
También se debe tener en cuenta los códigos mir  que ya realizan los procesos normales de cuentas como abono de intereses de liquidación, estos no modifican los saldos de AFC pero sí permiten el funcionamiento del producto.
Quedo atenta, 
Gracias. 
Una vez cerrado el bolsillo TX, se deberán migrar los saldos hacia el "bolsillo" AFC. +SAMUEL EDUARDO ORTIZ CASTANEDA  en este punto, ¿cómo deben reportan esos saldo?, ¿Abono directo y aplicar retención contingente a todos? ¿no aplicar retención contingente? MPV
Una vez el cliente realice un abono directo a la cuenta AFC se deberá preguntar al cliente si el dinero depositado ya fue o no objeto de retención (7%) sobre todos los canales, similar a como se realiza hoy en oficina. Con fin de garantizar el cobro de retención contingente adecuado sobre la cuenta. Entregable 2
En caso de tener el segundo entregable tiempos largos, se deberá limitar los abonos directos sobre la cuenta únicamente en oficina.  
Se debe implementar garantizar la custodia del historial cuando se realiza el traslado entre bancos o desde un fondo de pensión.  Entregable 3
Implementar la retención contingente del 1%,  beneficios de la Ley 1607 de 2012, la cual estipula ….Está exenta la utilidad generada en la venta de la casa o apto cuando la totalidad de los dineros recibidos de la venta sean depositados en las cuentas AFC, y sean destinados a la adquisición de otra casa o apto para el pago total o parcial de uno o más créditos hipotecarios. Entregable 3
Garantizar  la aplicación de la  retención en la fuente en los retiros realizados por pago de créditos hipotecarios de remodelación.     Entregable 3</v>
      </c>
      <c r="F583" s="4" t="str">
        <f ca="1">IFERROR(__xludf.DUMMYFUNCTION("""COMPUTED_VALUE"""),"Initiative")</f>
        <v>Initiative</v>
      </c>
      <c r="G583" s="4" t="str">
        <f ca="1">IFERROR(__xludf.DUMMYFUNCTION("""COMPUTED_VALUE"""),"On hold")</f>
        <v>On hold</v>
      </c>
      <c r="H583" s="4" t="str">
        <f ca="1">IFERROR(__xludf.DUMMYFUNCTION("""COMPUTED_VALUE"""),"2Q 2023")</f>
        <v>2Q 2023</v>
      </c>
      <c r="I583" s="131" t="str">
        <f ca="1">IFERROR(__xludf.DUMMYFUNCTION("""COMPUTED_VALUE"""),"alirio.bermudez-bbva.com")</f>
        <v>alirio.bermudez-bbva.com</v>
      </c>
      <c r="J583" s="131" t="str">
        <f ca="1">IFERROR(__xludf.DUMMYFUNCTION("""COMPUTED_VALUE"""),"hugo.mongua-bbva.com")</f>
        <v>hugo.mongua-bbva.com</v>
      </c>
      <c r="K583" s="131" t="str">
        <f ca="1">IFERROR(__xludf.DUMMYFUNCTION("""COMPUTED_VALUE"""),"paolaandrea.hermosa-bbva.com")</f>
        <v>paolaandrea.hermosa-bbva.com</v>
      </c>
      <c r="L583" s="130">
        <f ca="1">IFERROR(__xludf.DUMMYFUNCTION("""COMPUTED_VALUE"""),0.25)</f>
        <v>0.25</v>
      </c>
      <c r="M583" s="130">
        <f ca="1">IFERROR(__xludf.DUMMYFUNCTION("""COMPUTED_VALUE"""),0)</f>
        <v>0</v>
      </c>
      <c r="N583" s="130">
        <f ca="1">IFERROR(__xludf.DUMMYFUNCTION("""COMPUTED_VALUE"""),0)</f>
        <v>0</v>
      </c>
      <c r="O583" s="4" t="str">
        <f ca="1">IFERROR(__xludf.DUMMYFUNCTION("""COMPUTED_VALUE"""),"Waterfall")</f>
        <v>Waterfall</v>
      </c>
      <c r="P583" s="4" t="str">
        <f ca="1">IFERROR(__xludf.DUMMYFUNCTION("""COMPUTED_VALUE"""),"Tradicional")</f>
        <v>Tradicional</v>
      </c>
      <c r="Q583" s="4"/>
      <c r="R583" s="130" t="str">
        <f ca="1">IFERROR(__xludf.DUMMYFUNCTION("""COMPUTED_VALUE"""),"Retail Execution")</f>
        <v>Retail Execution</v>
      </c>
      <c r="S583" s="130" t="str">
        <f ca="1">IFERROR(__xludf.DUMMYFUNCTION("""COMPUTED_VALUE""")," Otros")</f>
        <v xml:space="preserve"> Otros</v>
      </c>
      <c r="T583" s="130" t="str">
        <f ca="1">IFERROR(__xludf.DUMMYFUNCTION("""COMPUTED_VALUE"""),"Otros")</f>
        <v>Otros</v>
      </c>
      <c r="U583" s="130" t="str">
        <f ca="1">IFERROR(__xludf.DUMMYFUNCTION("""COMPUTED_VALUE"""),"No Aplica")</f>
        <v>No Aplica</v>
      </c>
      <c r="V583" s="4" t="str">
        <f ca="1">IFERROR(__xludf.DUMMYFUNCTION("""COMPUTED_VALUE"""),"Otros")</f>
        <v>Otros</v>
      </c>
      <c r="W583" s="4">
        <f ca="1">IFERROR(__xludf.DUMMYFUNCTION("""COMPUTED_VALUE"""),3)</f>
        <v>3</v>
      </c>
      <c r="X583" s="4" t="str">
        <f ca="1">IFERROR(__xludf.DUMMYFUNCTION("""COMPUTED_VALUE"""),"10. Otros")</f>
        <v>10. Otros</v>
      </c>
      <c r="Y583" s="4" t="str">
        <f ca="1">IFERROR(__xludf.DUMMYFUNCTION("""COMPUTED_VALUE""")," Otros")</f>
        <v xml:space="preserve"> Otros</v>
      </c>
      <c r="Z583" s="132" t="str">
        <f ca="1">IFERROR(__xludf.DUMMYFUNCTION("""COMPUTED_VALUE"""),"665310")</f>
        <v>665310</v>
      </c>
      <c r="AA583" s="4" t="str">
        <f ca="1">IFERROR(__xludf.DUMMYFUNCTION("""COMPUTED_VALUE"""),"Ajuste dualidad cuenta AFC y reporteria DIAN SDATOOL-41766")</f>
        <v>Ajuste dualidad cuenta AFC y reporteria DIAN SDATOOL-41766</v>
      </c>
      <c r="AB583" s="4" t="str">
        <f ca="1">IFERROR(__xludf.DUMMYFUNCTION("""COMPUTED_VALUE"""),"Se requiere apagar la dualidad de la cuenta AFC,dando un enfoque de al producto unicamente para su naturaleza propia de AFC, por lo tanto, la sección transaccional de la cuenta en donde nuestro cliente pueden mover libremente sus recursos sin retenciones "&amp;"de ley por el beneficio fiscal debe quedar fuera de funcionamiente. Se requiere realizar los ajustes a los reportes fiscales/ tributario entregados a los entes de control con el fin de corregir algunas tipologias con reporteria incorrecta.")</f>
        <v>Se requiere apagar la dualidad de la cuenta AFC,dando un enfoque de al producto unicamente para su naturaleza propia de AFC, por lo tanto, la sección transaccional de la cuenta en donde nuestro cliente pueden mover libremente sus recursos sin retenciones de ley por el beneficio fiscal debe quedar fuera de funcionamiente. Se requiere realizar los ajustes a los reportes fiscales/ tributario entregados a los entes de control con el fin de corregir algunas tipologias con reporteria incorrecta.</v>
      </c>
      <c r="AC583" s="4" t="str">
        <f ca="1">IFERROR(__xludf.DUMMYFUNCTION("""COMPUTED_VALUE"""),"3Q 2023")</f>
        <v>3Q 2023</v>
      </c>
      <c r="AD583" s="4"/>
      <c r="AE583" s="4"/>
      <c r="AF583" s="4"/>
      <c r="AG583" s="4"/>
      <c r="AH583" s="4"/>
      <c r="AI583" s="4"/>
      <c r="AJ583" s="4"/>
      <c r="AK583" s="131" t="str">
        <f ca="1">IFERROR(__xludf.DUMMYFUNCTION("""COMPUTED_VALUE"""),"COLWSCUENT-2889")</f>
        <v>COLWSCUENT-2889</v>
      </c>
      <c r="AL583" s="4" t="str">
        <f ca="1">IFERROR(__xludf.DUMMYFUNCTION("""COMPUTED_VALUE"""),"New")</f>
        <v>New</v>
      </c>
      <c r="AM583" s="4"/>
      <c r="AN583" s="4" t="str">
        <f ca="1">IFERROR(__xludf.DUMMYFUNCTION("""COMPUTED_VALUE"""),"Entregable en Conceptualización")</f>
        <v>Entregable en Conceptualización</v>
      </c>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133">
        <f ca="1">IFERROR(__xludf.DUMMYFUNCTION("""COMPUTED_VALUE"""),0)</f>
        <v>0</v>
      </c>
      <c r="DV583" s="133">
        <f ca="1">IFERROR(__xludf.DUMMYFUNCTION("""COMPUTED_VALUE"""),0)</f>
        <v>0</v>
      </c>
      <c r="DW583" s="133">
        <f ca="1">IFERROR(__xludf.DUMMYFUNCTION("""COMPUTED_VALUE"""),0)</f>
        <v>0</v>
      </c>
      <c r="DX583" s="133">
        <f ca="1">IFERROR(__xludf.DUMMYFUNCTION("""COMPUTED_VALUE"""),0)</f>
        <v>0</v>
      </c>
      <c r="DY583" s="133">
        <f ca="1">IFERROR(__xludf.DUMMYFUNCTION("""COMPUTED_VALUE"""),0)</f>
        <v>0</v>
      </c>
      <c r="DZ583" s="133">
        <f ca="1">IFERROR(__xludf.DUMMYFUNCTION("""COMPUTED_VALUE"""),0)</f>
        <v>0</v>
      </c>
      <c r="EA583" s="4"/>
      <c r="EB583" s="4"/>
    </row>
    <row r="584" spans="1:132" x14ac:dyDescent="0.2">
      <c r="A584" s="4">
        <f ca="1">IFERROR(__xludf.DUMMYFUNCTION("""COMPUTED_VALUE"""),584)</f>
        <v>584</v>
      </c>
      <c r="B584" s="4">
        <f ca="1">IFERROR(__xludf.DUMMYFUNCTION("""COMPUTED_VALUE"""),556)</f>
        <v>556</v>
      </c>
      <c r="C584" s="4" t="str">
        <f ca="1">IFERROR(__xludf.DUMMYFUNCTION("""COMPUTED_VALUE"""),"SDATOOL-34750")</f>
        <v>SDATOOL-34750</v>
      </c>
      <c r="D584" s="4" t="str">
        <f ca="1">IFERROR(__xludf.DUMMYFUNCTION("""COMPUTED_VALUE"""),"Seguros - Suscripción/Siniestros Seguros Licitación")</f>
        <v>Seguros - Suscripción/Siniestros Seguros Licitación</v>
      </c>
      <c r="E584"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4" s="4" t="str">
        <f ca="1">IFERROR(__xludf.DUMMYFUNCTION("""COMPUTED_VALUE"""),"Project")</f>
        <v>Project</v>
      </c>
      <c r="G584" s="4" t="str">
        <f ca="1">IFERROR(__xludf.DUMMYFUNCTION("""COMPUTED_VALUE"""),"Stock")</f>
        <v>Stock</v>
      </c>
      <c r="H584" s="4" t="str">
        <f ca="1">IFERROR(__xludf.DUMMYFUNCTION("""COMPUTED_VALUE"""),"2Q 2023")</f>
        <v>2Q 2023</v>
      </c>
      <c r="I584" s="131" t="str">
        <f ca="1">IFERROR(__xludf.DUMMYFUNCTION("""COMPUTED_VALUE"""),"katherine.michaels-bbva.com")</f>
        <v>katherine.michaels-bbva.com</v>
      </c>
      <c r="J584" s="131" t="str">
        <f ca="1">IFERROR(__xludf.DUMMYFUNCTION("""COMPUTED_VALUE"""),"dianacarolina.gonzalez.castri-bbva.com")</f>
        <v>dianacarolina.gonzalez.castri-bbva.com</v>
      </c>
      <c r="K584" s="131" t="str">
        <f ca="1">IFERROR(__xludf.DUMMYFUNCTION("""COMPUTED_VALUE"""),"sandracarolina.miranda-bbva.com")</f>
        <v>sandracarolina.miranda-bbva.com</v>
      </c>
      <c r="L584" s="130">
        <f ca="1">IFERROR(__xludf.DUMMYFUNCTION("""COMPUTED_VALUE"""),0)</f>
        <v>0</v>
      </c>
      <c r="M584" s="130">
        <f ca="1">IFERROR(__xludf.DUMMYFUNCTION("""COMPUTED_VALUE"""),0)</f>
        <v>0</v>
      </c>
      <c r="N584" s="130">
        <f ca="1">IFERROR(__xludf.DUMMYFUNCTION("""COMPUTED_VALUE"""),0)</f>
        <v>0</v>
      </c>
      <c r="O584" s="4" t="str">
        <f ca="1">IFERROR(__xludf.DUMMYFUNCTION("""COMPUTED_VALUE"""),"Waterfall")</f>
        <v>Waterfall</v>
      </c>
      <c r="P584" s="4" t="str">
        <f ca="1">IFERROR(__xludf.DUMMYFUNCTION("""COMPUTED_VALUE"""),"Tradicional")</f>
        <v>Tradicional</v>
      </c>
      <c r="Q584" s="4"/>
      <c r="R584" s="130" t="str">
        <f ca="1">IFERROR(__xludf.DUMMYFUNCTION("""COMPUTED_VALUE"""),"Insurance")</f>
        <v>Insurance</v>
      </c>
      <c r="S584" s="130" t="str">
        <f ca="1">IFERROR(__xludf.DUMMYFUNCTION("""COMPUTED_VALUE""")," Otros")</f>
        <v xml:space="preserve"> Otros</v>
      </c>
      <c r="T584" s="130" t="str">
        <f ca="1">IFERROR(__xludf.DUMMYFUNCTION("""COMPUTED_VALUE"""),"Normativo")</f>
        <v>Normativo</v>
      </c>
      <c r="U584" s="130" t="str">
        <f ca="1">IFERROR(__xludf.DUMMYFUNCTION("""COMPUTED_VALUE"""),"No Aplica")</f>
        <v>No Aplica</v>
      </c>
      <c r="V584" s="4" t="str">
        <f ca="1">IFERROR(__xludf.DUMMYFUNCTION("""COMPUTED_VALUE"""),"Seguros")</f>
        <v>Seguros</v>
      </c>
      <c r="W584" s="4">
        <f ca="1">IFERROR(__xludf.DUMMYFUNCTION("""COMPUTED_VALUE"""),2)</f>
        <v>2</v>
      </c>
      <c r="X584" s="4" t="str">
        <f ca="1">IFERROR(__xludf.DUMMYFUNCTION("""COMPUTED_VALUE"""),"10. Otros")</f>
        <v>10. Otros</v>
      </c>
      <c r="Y584" s="4" t="str">
        <f ca="1">IFERROR(__xludf.DUMMYFUNCTION("""COMPUTED_VALUE""")," Otros")</f>
        <v xml:space="preserve"> Otros</v>
      </c>
      <c r="Z584" s="132" t="str">
        <f ca="1">IFERROR(__xludf.DUMMYFUNCTION("""COMPUTED_VALUE"""),"261903")</f>
        <v>261903</v>
      </c>
      <c r="AA584" s="4" t="str">
        <f ca="1">IFERROR(__xludf.DUMMYFUNCTION("""COMPUTED_VALUE"""),"Automatización cierre diario siniestros")</f>
        <v>Automatización cierre diario siniestros</v>
      </c>
      <c r="AB584" s="4" t="str">
        <f ca="1">IFERROR(__xludf.DUMMYFUNCTION("""COMPUTED_VALUE"""),"Automatización en el proceso de cargue de interfaces de siniestros de acsel/x en el aplicativo Aplus, de igual forma que funcionan los cargues en los reportes consolidados al cierre del mes.")</f>
        <v>Automatización en el proceso de cargue de interfaces de siniestros de acsel/x en el aplicativo Aplus, de igual forma que funcionan los cargues en los reportes consolidados al cierre del mes.</v>
      </c>
      <c r="AC584" s="4" t="str">
        <f ca="1">IFERROR(__xludf.DUMMYFUNCTION("""COMPUTED_VALUE"""),"3Q 2021")</f>
        <v>3Q 2021</v>
      </c>
      <c r="AD584" s="128">
        <f ca="1">IFERROR(__xludf.DUMMYFUNCTION("""COMPUTED_VALUE"""),44429)</f>
        <v>44429</v>
      </c>
      <c r="AE584" s="4" t="str">
        <f ca="1">IFERROR(__xludf.DUMMYFUNCTION("""COMPUTED_VALUE"""),"-")</f>
        <v>-</v>
      </c>
      <c r="AF584" s="4" t="str">
        <f ca="1">IFERROR(__xludf.DUMMYFUNCTION("""COMPUTED_VALUE"""),"-")</f>
        <v>-</v>
      </c>
      <c r="AG584" s="4" t="str">
        <f ca="1">IFERROR(__xludf.DUMMYFUNCTION("""COMPUTED_VALUE"""),"-")</f>
        <v>-</v>
      </c>
      <c r="AH584" s="4" t="str">
        <f ca="1">IFERROR(__xludf.DUMMYFUNCTION("""COMPUTED_VALUE"""),"-")</f>
        <v>-</v>
      </c>
      <c r="AI584" s="4" t="str">
        <f ca="1">IFERROR(__xludf.DUMMYFUNCTION("""COMPUTED_VALUE"""),"-")</f>
        <v>-</v>
      </c>
      <c r="AJ584" s="128">
        <f ca="1">IFERROR(__xludf.DUMMYFUNCTION("""COMPUTED_VALUE"""),44654)</f>
        <v>44654</v>
      </c>
      <c r="AK584" s="131" t="str">
        <f ca="1">IFERROR(__xludf.DUMMYFUNCTION("""COMPUTED_VALUE"""),"CIS-328")</f>
        <v>CIS-328</v>
      </c>
      <c r="AL584" s="4" t="str">
        <f ca="1">IFERROR(__xludf.DUMMYFUNCTION("""COMPUTED_VALUE"""),"Deployed")</f>
        <v>Deployed</v>
      </c>
      <c r="AM584" s="4" t="str">
        <f ca="1">IFERROR(__xludf.DUMMYFUNCTION("""COMPUTED_VALUE"""),"FINALIZADO")</f>
        <v>FINALIZADO</v>
      </c>
      <c r="AN584" s="4" t="str">
        <f ca="1">IFERROR(__xludf.DUMMYFUNCTION("""COMPUTED_VALUE"""),"Finalizado")</f>
        <v>Finalizado</v>
      </c>
      <c r="AO584" s="4"/>
      <c r="AP584" s="4"/>
      <c r="AQ584" s="4"/>
      <c r="AR584" s="4" t="str">
        <f ca="1">IFERROR(__xludf.DUMMYFUNCTION("""COMPUTED_VALUE"""),"SDA aprobada en PPP Q1 2023")</f>
        <v>SDA aprobada en PPP Q1 2023</v>
      </c>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133">
        <f ca="1">IFERROR(__xludf.DUMMYFUNCTION("""COMPUTED_VALUE"""),0)</f>
        <v>0</v>
      </c>
      <c r="DV584" s="133">
        <f ca="1">IFERROR(__xludf.DUMMYFUNCTION("""COMPUTED_VALUE"""),176812633)</f>
        <v>176812633</v>
      </c>
      <c r="DW584" s="133">
        <f ca="1">IFERROR(__xludf.DUMMYFUNCTION("""COMPUTED_VALUE"""),438516054.21)</f>
        <v>438516054.20999998</v>
      </c>
      <c r="DX584" s="133">
        <f ca="1">IFERROR(__xludf.DUMMYFUNCTION("""COMPUTED_VALUE"""),30000000)</f>
        <v>30000000</v>
      </c>
      <c r="DY584" s="133">
        <f ca="1">IFERROR(__xludf.DUMMYFUNCTION("""COMPUTED_VALUE"""),0)</f>
        <v>0</v>
      </c>
      <c r="DZ584" s="133">
        <f ca="1">IFERROR(__xludf.DUMMYFUNCTION("""COMPUTED_VALUE"""),645328687.21)</f>
        <v>645328687.21000004</v>
      </c>
      <c r="EA584" s="4"/>
      <c r="EB584" s="4"/>
    </row>
    <row r="585" spans="1:132" x14ac:dyDescent="0.2">
      <c r="A585" s="4">
        <f ca="1">IFERROR(__xludf.DUMMYFUNCTION("""COMPUTED_VALUE"""),585)</f>
        <v>585</v>
      </c>
      <c r="B585" s="4">
        <f ca="1">IFERROR(__xludf.DUMMYFUNCTION("""COMPUTED_VALUE"""),557)</f>
        <v>557</v>
      </c>
      <c r="C585" s="4" t="str">
        <f ca="1">IFERROR(__xludf.DUMMYFUNCTION("""COMPUTED_VALUE"""),"SDATOOL-34750")</f>
        <v>SDATOOL-34750</v>
      </c>
      <c r="D585" s="4" t="str">
        <f ca="1">IFERROR(__xludf.DUMMYFUNCTION("""COMPUTED_VALUE"""),"Seguros - Suscripción/Siniestros Seguros Licitación")</f>
        <v>Seguros - Suscripción/Siniestros Seguros Licitación</v>
      </c>
      <c r="E585"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5" s="4" t="str">
        <f ca="1">IFERROR(__xludf.DUMMYFUNCTION("""COMPUTED_VALUE"""),"Project")</f>
        <v>Project</v>
      </c>
      <c r="G585" s="4" t="str">
        <f ca="1">IFERROR(__xludf.DUMMYFUNCTION("""COMPUTED_VALUE"""),"Stock")</f>
        <v>Stock</v>
      </c>
      <c r="H585" s="4" t="str">
        <f ca="1">IFERROR(__xludf.DUMMYFUNCTION("""COMPUTED_VALUE"""),"2Q 2023")</f>
        <v>2Q 2023</v>
      </c>
      <c r="I585" s="131" t="str">
        <f ca="1">IFERROR(__xludf.DUMMYFUNCTION("""COMPUTED_VALUE"""),"katherine.michaels-bbva.com")</f>
        <v>katherine.michaels-bbva.com</v>
      </c>
      <c r="J585" s="131" t="str">
        <f ca="1">IFERROR(__xludf.DUMMYFUNCTION("""COMPUTED_VALUE"""),"dianacarolina.gonzalez.castri-bbva.com")</f>
        <v>dianacarolina.gonzalez.castri-bbva.com</v>
      </c>
      <c r="K585" s="131" t="str">
        <f ca="1">IFERROR(__xludf.DUMMYFUNCTION("""COMPUTED_VALUE"""),"sandracarolina.miranda-bbva.com")</f>
        <v>sandracarolina.miranda-bbva.com</v>
      </c>
      <c r="L585" s="4"/>
      <c r="M585" s="4"/>
      <c r="N585" s="4"/>
      <c r="O585" s="4" t="str">
        <f ca="1">IFERROR(__xludf.DUMMYFUNCTION("""COMPUTED_VALUE"""),"Waterfall")</f>
        <v>Waterfall</v>
      </c>
      <c r="P585" s="4" t="str">
        <f ca="1">IFERROR(__xludf.DUMMYFUNCTION("""COMPUTED_VALUE"""),"Tradicional")</f>
        <v>Tradicional</v>
      </c>
      <c r="Q585" s="4"/>
      <c r="R585" s="130" t="str">
        <f ca="1">IFERROR(__xludf.DUMMYFUNCTION("""COMPUTED_VALUE"""),"Insurance")</f>
        <v>Insurance</v>
      </c>
      <c r="S585" s="130" t="str">
        <f ca="1">IFERROR(__xludf.DUMMYFUNCTION("""COMPUTED_VALUE""")," Otros")</f>
        <v xml:space="preserve"> Otros</v>
      </c>
      <c r="T585" s="130" t="str">
        <f ca="1">IFERROR(__xludf.DUMMYFUNCTION("""COMPUTED_VALUE"""),"Normativo")</f>
        <v>Normativo</v>
      </c>
      <c r="U585" s="130" t="str">
        <f ca="1">IFERROR(__xludf.DUMMYFUNCTION("""COMPUTED_VALUE"""),"No Aplica")</f>
        <v>No Aplica</v>
      </c>
      <c r="V585" s="4" t="str">
        <f ca="1">IFERROR(__xludf.DUMMYFUNCTION("""COMPUTED_VALUE"""),"Seguros")</f>
        <v>Seguros</v>
      </c>
      <c r="W585" s="4">
        <f ca="1">IFERROR(__xludf.DUMMYFUNCTION("""COMPUTED_VALUE"""),2)</f>
        <v>2</v>
      </c>
      <c r="X585" s="4" t="str">
        <f ca="1">IFERROR(__xludf.DUMMYFUNCTION("""COMPUTED_VALUE"""),"10. Otros")</f>
        <v>10. Otros</v>
      </c>
      <c r="Y585" s="4" t="str">
        <f ca="1">IFERROR(__xludf.DUMMYFUNCTION("""COMPUTED_VALUE""")," Otros")</f>
        <v xml:space="preserve"> Otros</v>
      </c>
      <c r="Z585" s="132" t="str">
        <f ca="1">IFERROR(__xludf.DUMMYFUNCTION("""COMPUTED_VALUE"""),"310129")</f>
        <v>310129</v>
      </c>
      <c r="AA585" s="4" t="str">
        <f ca="1">IFERROR(__xludf.DUMMYFUNCTION("""COMPUTED_VALUE"""),"Automatización Siniestros Hurto ATM")</f>
        <v>Automatización Siniestros Hurto ATM</v>
      </c>
      <c r="AB585" s="4" t="str">
        <f ca="1">IFERROR(__xludf.DUMMYFUNCTION("""COMPUTED_VALUE"""),"Automatizar el proceso de análisis del proceso de reclamación de hurto atm, definiendo las decisiones de pago y objeción para que automáticamente los siniestros tomen una decisión sin necesidad de intervención humana")</f>
        <v>Automatizar el proceso de análisis del proceso de reclamación de hurto atm, definiendo las decisiones de pago y objeción para que automáticamente los siniestros tomen una decisión sin necesidad de intervención humana</v>
      </c>
      <c r="AC585" s="4" t="str">
        <f ca="1">IFERROR(__xludf.DUMMYFUNCTION("""COMPUTED_VALUE"""),"4Q 2021")</f>
        <v>4Q 2021</v>
      </c>
      <c r="AD585" s="128">
        <f ca="1">IFERROR(__xludf.DUMMYFUNCTION("""COMPUTED_VALUE"""),44440)</f>
        <v>44440</v>
      </c>
      <c r="AE585" s="4" t="str">
        <f ca="1">IFERROR(__xludf.DUMMYFUNCTION("""COMPUTED_VALUE"""),"-")</f>
        <v>-</v>
      </c>
      <c r="AF585" s="4" t="str">
        <f ca="1">IFERROR(__xludf.DUMMYFUNCTION("""COMPUTED_VALUE"""),"-")</f>
        <v>-</v>
      </c>
      <c r="AG585" s="4" t="str">
        <f ca="1">IFERROR(__xludf.DUMMYFUNCTION("""COMPUTED_VALUE"""),"-")</f>
        <v>-</v>
      </c>
      <c r="AH585" s="4" t="str">
        <f ca="1">IFERROR(__xludf.DUMMYFUNCTION("""COMPUTED_VALUE"""),"-")</f>
        <v>-</v>
      </c>
      <c r="AI585" s="4" t="str">
        <f ca="1">IFERROR(__xludf.DUMMYFUNCTION("""COMPUTED_VALUE"""),"-")</f>
        <v>-</v>
      </c>
      <c r="AJ585" s="128">
        <f ca="1">IFERROR(__xludf.DUMMYFUNCTION("""COMPUTED_VALUE"""),44626)</f>
        <v>44626</v>
      </c>
      <c r="AK585" s="131" t="str">
        <f ca="1">IFERROR(__xludf.DUMMYFUNCTION("""COMPUTED_VALUE"""),"CIS-333")</f>
        <v>CIS-333</v>
      </c>
      <c r="AL585" s="4" t="str">
        <f ca="1">IFERROR(__xludf.DUMMYFUNCTION("""COMPUTED_VALUE"""),"Deployed")</f>
        <v>Deployed</v>
      </c>
      <c r="AM585" s="4" t="str">
        <f ca="1">IFERROR(__xludf.DUMMYFUNCTION("""COMPUTED_VALUE"""),"FINALIZADO")</f>
        <v>FINALIZADO</v>
      </c>
      <c r="AN585" s="4" t="str">
        <f ca="1">IFERROR(__xludf.DUMMYFUNCTION("""COMPUTED_VALUE"""),"Finalizado")</f>
        <v>Finalizado</v>
      </c>
      <c r="AO585" s="4"/>
      <c r="AP585" s="4"/>
      <c r="AQ585" s="4"/>
      <c r="AR585" s="4" t="str">
        <f ca="1">IFERROR(__xludf.DUMMYFUNCTION("""COMPUTED_VALUE"""),"SDA aprobada en PPP Q1 2023")</f>
        <v>SDA aprobada en PPP Q1 2023</v>
      </c>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row>
    <row r="586" spans="1:132" x14ac:dyDescent="0.2">
      <c r="A586" s="4">
        <f ca="1">IFERROR(__xludf.DUMMYFUNCTION("""COMPUTED_VALUE"""),586)</f>
        <v>586</v>
      </c>
      <c r="B586" s="4">
        <f ca="1">IFERROR(__xludf.DUMMYFUNCTION("""COMPUTED_VALUE"""),558)</f>
        <v>558</v>
      </c>
      <c r="C586" s="4" t="str">
        <f ca="1">IFERROR(__xludf.DUMMYFUNCTION("""COMPUTED_VALUE"""),"SDATOOL-34750")</f>
        <v>SDATOOL-34750</v>
      </c>
      <c r="D586" s="4" t="str">
        <f ca="1">IFERROR(__xludf.DUMMYFUNCTION("""COMPUTED_VALUE"""),"Seguros - Suscripción/Siniestros Seguros Licitación")</f>
        <v>Seguros - Suscripción/Siniestros Seguros Licitación</v>
      </c>
      <c r="E586"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6" s="4" t="str">
        <f ca="1">IFERROR(__xludf.DUMMYFUNCTION("""COMPUTED_VALUE"""),"Project")</f>
        <v>Project</v>
      </c>
      <c r="G586" s="4" t="str">
        <f ca="1">IFERROR(__xludf.DUMMYFUNCTION("""COMPUTED_VALUE"""),"Stock")</f>
        <v>Stock</v>
      </c>
      <c r="H586" s="4" t="str">
        <f ca="1">IFERROR(__xludf.DUMMYFUNCTION("""COMPUTED_VALUE"""),"2Q 2023")</f>
        <v>2Q 2023</v>
      </c>
      <c r="I586" s="131" t="str">
        <f ca="1">IFERROR(__xludf.DUMMYFUNCTION("""COMPUTED_VALUE"""),"katherine.michaels-bbva.com")</f>
        <v>katherine.michaels-bbva.com</v>
      </c>
      <c r="J586" s="131" t="str">
        <f ca="1">IFERROR(__xludf.DUMMYFUNCTION("""COMPUTED_VALUE"""),"dianacarolina.gonzalez.castri-bbva.com")</f>
        <v>dianacarolina.gonzalez.castri-bbva.com</v>
      </c>
      <c r="K586" s="131" t="str">
        <f ca="1">IFERROR(__xludf.DUMMYFUNCTION("""COMPUTED_VALUE"""),"sandracarolina.miranda-bbva.com")</f>
        <v>sandracarolina.miranda-bbva.com</v>
      </c>
      <c r="L586" s="4"/>
      <c r="M586" s="4"/>
      <c r="N586" s="4"/>
      <c r="O586" s="4" t="str">
        <f ca="1">IFERROR(__xludf.DUMMYFUNCTION("""COMPUTED_VALUE"""),"Waterfall")</f>
        <v>Waterfall</v>
      </c>
      <c r="P586" s="4" t="str">
        <f ca="1">IFERROR(__xludf.DUMMYFUNCTION("""COMPUTED_VALUE"""),"Tradicional")</f>
        <v>Tradicional</v>
      </c>
      <c r="Q586" s="4"/>
      <c r="R586" s="130" t="str">
        <f ca="1">IFERROR(__xludf.DUMMYFUNCTION("""COMPUTED_VALUE"""),"Insurance")</f>
        <v>Insurance</v>
      </c>
      <c r="S586" s="130" t="str">
        <f ca="1">IFERROR(__xludf.DUMMYFUNCTION("""COMPUTED_VALUE""")," Otros")</f>
        <v xml:space="preserve"> Otros</v>
      </c>
      <c r="T586" s="130" t="str">
        <f ca="1">IFERROR(__xludf.DUMMYFUNCTION("""COMPUTED_VALUE"""),"Normativo")</f>
        <v>Normativo</v>
      </c>
      <c r="U586" s="130" t="str">
        <f ca="1">IFERROR(__xludf.DUMMYFUNCTION("""COMPUTED_VALUE"""),"No Aplica")</f>
        <v>No Aplica</v>
      </c>
      <c r="V586" s="4" t="str">
        <f ca="1">IFERROR(__xludf.DUMMYFUNCTION("""COMPUTED_VALUE"""),"Seguros")</f>
        <v>Seguros</v>
      </c>
      <c r="W586" s="4">
        <f ca="1">IFERROR(__xludf.DUMMYFUNCTION("""COMPUTED_VALUE"""),2)</f>
        <v>2</v>
      </c>
      <c r="X586" s="4" t="str">
        <f ca="1">IFERROR(__xludf.DUMMYFUNCTION("""COMPUTED_VALUE"""),"10. Otros")</f>
        <v>10. Otros</v>
      </c>
      <c r="Y586" s="4" t="str">
        <f ca="1">IFERROR(__xludf.DUMMYFUNCTION("""COMPUTED_VALUE""")," Otros")</f>
        <v xml:space="preserve"> Otros</v>
      </c>
      <c r="Z586" s="132" t="str">
        <f ca="1">IFERROR(__xludf.DUMMYFUNCTION("""COMPUTED_VALUE"""),"262727")</f>
        <v>262727</v>
      </c>
      <c r="AA586" s="4" t="str">
        <f ca="1">IFERROR(__xludf.DUMMYFUNCTION("""COMPUTED_VALUE"""),"Optimización reservas siniestros (duplicados)")</f>
        <v>Optimización reservas siniestros (duplicados)</v>
      </c>
      <c r="AB586" s="4" t="str">
        <f ca="1">IFERROR(__xludf.DUMMYFUNCTION("""COMPUTED_VALUE"""),"Constitución de las reservas adecuadas en el cargue automático  de los siniestros avisados")</f>
        <v>Constitución de las reservas adecuadas en el cargue automático  de los siniestros avisados</v>
      </c>
      <c r="AC586" s="4" t="str">
        <f ca="1">IFERROR(__xludf.DUMMYFUNCTION("""COMPUTED_VALUE"""),"3Q 2021")</f>
        <v>3Q 2021</v>
      </c>
      <c r="AD586" s="128">
        <f ca="1">IFERROR(__xludf.DUMMYFUNCTION("""COMPUTED_VALUE"""),44355)</f>
        <v>44355</v>
      </c>
      <c r="AE586" s="128">
        <f ca="1">IFERROR(__xludf.DUMMYFUNCTION("""COMPUTED_VALUE"""),44734)</f>
        <v>44734</v>
      </c>
      <c r="AF586" s="128">
        <f ca="1">IFERROR(__xludf.DUMMYFUNCTION("""COMPUTED_VALUE"""),44368)</f>
        <v>44368</v>
      </c>
      <c r="AG586" s="128">
        <f ca="1">IFERROR(__xludf.DUMMYFUNCTION("""COMPUTED_VALUE"""),44411)</f>
        <v>44411</v>
      </c>
      <c r="AH586" s="128">
        <f ca="1">IFERROR(__xludf.DUMMYFUNCTION("""COMPUTED_VALUE"""),44412)</f>
        <v>44412</v>
      </c>
      <c r="AI586" s="128">
        <f ca="1">IFERROR(__xludf.DUMMYFUNCTION("""COMPUTED_VALUE"""),44469)</f>
        <v>44469</v>
      </c>
      <c r="AJ586" s="128">
        <f ca="1">IFERROR(__xludf.DUMMYFUNCTION("""COMPUTED_VALUE"""),44472)</f>
        <v>44472</v>
      </c>
      <c r="AK586" s="131" t="str">
        <f ca="1">IFERROR(__xludf.DUMMYFUNCTION("""COMPUTED_VALUE"""),"CIS-293")</f>
        <v>CIS-293</v>
      </c>
      <c r="AL586" s="4" t="str">
        <f ca="1">IFERROR(__xludf.DUMMYFUNCTION("""COMPUTED_VALUE"""),"Deployed")</f>
        <v>Deployed</v>
      </c>
      <c r="AM586" s="4" t="str">
        <f ca="1">IFERROR(__xludf.DUMMYFUNCTION("""COMPUTED_VALUE"""),"FINALIZADO")</f>
        <v>FINALIZADO</v>
      </c>
      <c r="AN586" s="4" t="str">
        <f ca="1">IFERROR(__xludf.DUMMYFUNCTION("""COMPUTED_VALUE"""),"Finalizado")</f>
        <v>Finalizado</v>
      </c>
      <c r="AO586" s="4"/>
      <c r="AP586" s="4"/>
      <c r="AQ586" s="4"/>
      <c r="AR586" s="4" t="str">
        <f ca="1">IFERROR(__xludf.DUMMYFUNCTION("""COMPUTED_VALUE"""),"SDA aprobada en PPP Q1 2023")</f>
        <v>SDA aprobada en PPP Q1 2023</v>
      </c>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row>
    <row r="587" spans="1:132" x14ac:dyDescent="0.2">
      <c r="A587" s="4">
        <f ca="1">IFERROR(__xludf.DUMMYFUNCTION("""COMPUTED_VALUE"""),587)</f>
        <v>587</v>
      </c>
      <c r="B587" s="4">
        <f ca="1">IFERROR(__xludf.DUMMYFUNCTION("""COMPUTED_VALUE"""),559)</f>
        <v>559</v>
      </c>
      <c r="C587" s="4" t="str">
        <f ca="1">IFERROR(__xludf.DUMMYFUNCTION("""COMPUTED_VALUE"""),"SDATOOL-34750")</f>
        <v>SDATOOL-34750</v>
      </c>
      <c r="D587" s="4" t="str">
        <f ca="1">IFERROR(__xludf.DUMMYFUNCTION("""COMPUTED_VALUE"""),"Seguros - Suscripción/Siniestros Seguros Licitación")</f>
        <v>Seguros - Suscripción/Siniestros Seguros Licitación</v>
      </c>
      <c r="E587"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7" s="4" t="str">
        <f ca="1">IFERROR(__xludf.DUMMYFUNCTION("""COMPUTED_VALUE"""),"Project")</f>
        <v>Project</v>
      </c>
      <c r="G587" s="4" t="str">
        <f ca="1">IFERROR(__xludf.DUMMYFUNCTION("""COMPUTED_VALUE"""),"Stock")</f>
        <v>Stock</v>
      </c>
      <c r="H587" s="4" t="str">
        <f ca="1">IFERROR(__xludf.DUMMYFUNCTION("""COMPUTED_VALUE"""),"2Q 2023")</f>
        <v>2Q 2023</v>
      </c>
      <c r="I587" s="131" t="str">
        <f ca="1">IFERROR(__xludf.DUMMYFUNCTION("""COMPUTED_VALUE"""),"katherine.michaels-bbva.com")</f>
        <v>katherine.michaels-bbva.com</v>
      </c>
      <c r="J587" s="131" t="str">
        <f ca="1">IFERROR(__xludf.DUMMYFUNCTION("""COMPUTED_VALUE"""),"dianacarolina.gonzalez.castri-bbva.com")</f>
        <v>dianacarolina.gonzalez.castri-bbva.com</v>
      </c>
      <c r="K587" s="131" t="str">
        <f ca="1">IFERROR(__xludf.DUMMYFUNCTION("""COMPUTED_VALUE"""),"sandracarolina.miranda-bbva.com")</f>
        <v>sandracarolina.miranda-bbva.com</v>
      </c>
      <c r="L587" s="4"/>
      <c r="M587" s="4"/>
      <c r="N587" s="4"/>
      <c r="O587" s="4" t="str">
        <f ca="1">IFERROR(__xludf.DUMMYFUNCTION("""COMPUTED_VALUE"""),"Waterfall")</f>
        <v>Waterfall</v>
      </c>
      <c r="P587" s="4" t="str">
        <f ca="1">IFERROR(__xludf.DUMMYFUNCTION("""COMPUTED_VALUE"""),"Tradicional")</f>
        <v>Tradicional</v>
      </c>
      <c r="Q587" s="4"/>
      <c r="R587" s="130" t="str">
        <f ca="1">IFERROR(__xludf.DUMMYFUNCTION("""COMPUTED_VALUE"""),"Insurance")</f>
        <v>Insurance</v>
      </c>
      <c r="S587" s="130" t="str">
        <f ca="1">IFERROR(__xludf.DUMMYFUNCTION("""COMPUTED_VALUE""")," Otros")</f>
        <v xml:space="preserve"> Otros</v>
      </c>
      <c r="T587" s="130" t="str">
        <f ca="1">IFERROR(__xludf.DUMMYFUNCTION("""COMPUTED_VALUE"""),"Normativo")</f>
        <v>Normativo</v>
      </c>
      <c r="U587" s="130" t="str">
        <f ca="1">IFERROR(__xludf.DUMMYFUNCTION("""COMPUTED_VALUE"""),"No Aplica")</f>
        <v>No Aplica</v>
      </c>
      <c r="V587" s="4" t="str">
        <f ca="1">IFERROR(__xludf.DUMMYFUNCTION("""COMPUTED_VALUE"""),"Seguros")</f>
        <v>Seguros</v>
      </c>
      <c r="W587" s="4">
        <f ca="1">IFERROR(__xludf.DUMMYFUNCTION("""COMPUTED_VALUE"""),2)</f>
        <v>2</v>
      </c>
      <c r="X587" s="4" t="str">
        <f ca="1">IFERROR(__xludf.DUMMYFUNCTION("""COMPUTED_VALUE"""),"10. Otros")</f>
        <v>10. Otros</v>
      </c>
      <c r="Y587" s="4" t="str">
        <f ca="1">IFERROR(__xludf.DUMMYFUNCTION("""COMPUTED_VALUE""")," Otros")</f>
        <v xml:space="preserve"> Otros</v>
      </c>
      <c r="Z587" s="132" t="str">
        <f ca="1">IFERROR(__xludf.DUMMYFUNCTION("""COMPUTED_VALUE"""),"628430")</f>
        <v>628430</v>
      </c>
      <c r="AA587" s="4" t="str">
        <f ca="1">IFERROR(__xludf.DUMMYFUNCTION("""COMPUTED_VALUE"""),"Cargue automático archivos PSE Seguros")</f>
        <v>Cargue automático archivos PSE Seguros</v>
      </c>
      <c r="AB587" s="4" t="str">
        <f ca="1">IFERROR(__xludf.DUMMYFUNCTION("""COMPUTED_VALUE"""),"Transmisión de archivos importador y exportador correspondiente a la cartera de Seguros Vida y Generales a Ruta de zona pagos, Se debe generar un canal de comunicación SFTP a traves de ITAC para la transmisión de archivos entre Seguros y Zona de pagos.")</f>
        <v>Transmisión de archivos importador y exportador correspondiente a la cartera de Seguros Vida y Generales a Ruta de zona pagos, Se debe generar un canal de comunicación SFTP a traves de ITAC para la transmisión de archivos entre Seguros y Zona de pagos.</v>
      </c>
      <c r="AC587" s="4" t="str">
        <f ca="1">IFERROR(__xludf.DUMMYFUNCTION("""COMPUTED_VALUE"""),"2Q 2023")</f>
        <v>2Q 2023</v>
      </c>
      <c r="AD587" s="4"/>
      <c r="AE587" s="4"/>
      <c r="AF587" s="4"/>
      <c r="AG587" s="4"/>
      <c r="AH587" s="4"/>
      <c r="AI587" s="4"/>
      <c r="AJ587" s="4"/>
      <c r="AK587" s="131" t="str">
        <f ca="1">IFERROR(__xludf.DUMMYFUNCTION("""COMPUTED_VALUE"""),"COLWSSEGUR-52")</f>
        <v>COLWSSEGUR-52</v>
      </c>
      <c r="AL587" s="4" t="str">
        <f ca="1">IFERROR(__xludf.DUMMYFUNCTION("""COMPUTED_VALUE"""),"Blocked")</f>
        <v>Blocked</v>
      </c>
      <c r="AM587" s="4"/>
      <c r="AN587" s="4" t="str">
        <f ca="1">IFERROR(__xludf.DUMMYFUNCTION("""COMPUTED_VALUE"""),"Entregable en desarrollo")</f>
        <v>Entregable en desarrollo</v>
      </c>
      <c r="AO587" s="4"/>
      <c r="AP587" s="4"/>
      <c r="AQ587" s="4"/>
      <c r="AR587" s="4" t="str">
        <f ca="1">IFERROR(__xludf.DUMMYFUNCTION("""COMPUTED_VALUE"""),"SDA aprobada en PPP Q1 2023")</f>
        <v>SDA aprobada en PPP Q1 2023</v>
      </c>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row>
    <row r="588" spans="1:132" x14ac:dyDescent="0.2">
      <c r="A588" s="4">
        <f ca="1">IFERROR(__xludf.DUMMYFUNCTION("""COMPUTED_VALUE"""),588)</f>
        <v>588</v>
      </c>
      <c r="B588" s="4">
        <f ca="1">IFERROR(__xludf.DUMMYFUNCTION("""COMPUTED_VALUE"""),560)</f>
        <v>560</v>
      </c>
      <c r="C588" s="4" t="str">
        <f ca="1">IFERROR(__xludf.DUMMYFUNCTION("""COMPUTED_VALUE"""),"SDATOOL-34750")</f>
        <v>SDATOOL-34750</v>
      </c>
      <c r="D588" s="4" t="str">
        <f ca="1">IFERROR(__xludf.DUMMYFUNCTION("""COMPUTED_VALUE"""),"Seguros - Suscripción/Siniestros Seguros Licitación")</f>
        <v>Seguros - Suscripción/Siniestros Seguros Licitación</v>
      </c>
      <c r="E588"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8" s="4" t="str">
        <f ca="1">IFERROR(__xludf.DUMMYFUNCTION("""COMPUTED_VALUE"""),"Project")</f>
        <v>Project</v>
      </c>
      <c r="G588" s="4" t="str">
        <f ca="1">IFERROR(__xludf.DUMMYFUNCTION("""COMPUTED_VALUE"""),"Stock")</f>
        <v>Stock</v>
      </c>
      <c r="H588" s="4" t="str">
        <f ca="1">IFERROR(__xludf.DUMMYFUNCTION("""COMPUTED_VALUE"""),"2Q 2023")</f>
        <v>2Q 2023</v>
      </c>
      <c r="I588" s="131" t="str">
        <f ca="1">IFERROR(__xludf.DUMMYFUNCTION("""COMPUTED_VALUE"""),"katherine.michaels-bbva.com")</f>
        <v>katherine.michaels-bbva.com</v>
      </c>
      <c r="J588" s="131" t="str">
        <f ca="1">IFERROR(__xludf.DUMMYFUNCTION("""COMPUTED_VALUE"""),"dianacarolina.gonzalez.castri-bbva.com")</f>
        <v>dianacarolina.gonzalez.castri-bbva.com</v>
      </c>
      <c r="K588" s="131" t="str">
        <f ca="1">IFERROR(__xludf.DUMMYFUNCTION("""COMPUTED_VALUE"""),"sandracarolina.miranda-bbva.com")</f>
        <v>sandracarolina.miranda-bbva.com</v>
      </c>
      <c r="L588" s="4"/>
      <c r="M588" s="4"/>
      <c r="N588" s="4"/>
      <c r="O588" s="4" t="str">
        <f ca="1">IFERROR(__xludf.DUMMYFUNCTION("""COMPUTED_VALUE"""),"Waterfall")</f>
        <v>Waterfall</v>
      </c>
      <c r="P588" s="4" t="str">
        <f ca="1">IFERROR(__xludf.DUMMYFUNCTION("""COMPUTED_VALUE"""),"Tradicional")</f>
        <v>Tradicional</v>
      </c>
      <c r="Q588" s="4"/>
      <c r="R588" s="130" t="str">
        <f ca="1">IFERROR(__xludf.DUMMYFUNCTION("""COMPUTED_VALUE"""),"Insurance")</f>
        <v>Insurance</v>
      </c>
      <c r="S588" s="130" t="str">
        <f ca="1">IFERROR(__xludf.DUMMYFUNCTION("""COMPUTED_VALUE""")," Otros")</f>
        <v xml:space="preserve"> Otros</v>
      </c>
      <c r="T588" s="130" t="str">
        <f ca="1">IFERROR(__xludf.DUMMYFUNCTION("""COMPUTED_VALUE"""),"Normativo")</f>
        <v>Normativo</v>
      </c>
      <c r="U588" s="130" t="str">
        <f ca="1">IFERROR(__xludf.DUMMYFUNCTION("""COMPUTED_VALUE"""),"No Aplica")</f>
        <v>No Aplica</v>
      </c>
      <c r="V588" s="4" t="str">
        <f ca="1">IFERROR(__xludf.DUMMYFUNCTION("""COMPUTED_VALUE"""),"Seguros")</f>
        <v>Seguros</v>
      </c>
      <c r="W588" s="4">
        <f ca="1">IFERROR(__xludf.DUMMYFUNCTION("""COMPUTED_VALUE"""),2)</f>
        <v>2</v>
      </c>
      <c r="X588" s="4" t="str">
        <f ca="1">IFERROR(__xludf.DUMMYFUNCTION("""COMPUTED_VALUE"""),"10. Otros")</f>
        <v>10. Otros</v>
      </c>
      <c r="Y588" s="4" t="str">
        <f ca="1">IFERROR(__xludf.DUMMYFUNCTION("""COMPUTED_VALUE""")," Otros")</f>
        <v xml:space="preserve"> Otros</v>
      </c>
      <c r="Z588" s="132" t="str">
        <f ca="1">IFERROR(__xludf.DUMMYFUNCTION("""COMPUTED_VALUE"""),"492164")</f>
        <v>492164</v>
      </c>
      <c r="AA588" s="4" t="str">
        <f ca="1">IFERROR(__xludf.DUMMYFUNCTION("""COMPUTED_VALUE"""),"Workflow Suscripción")</f>
        <v>Workflow Suscripción</v>
      </c>
      <c r="AB588" s="4" t="str">
        <f ca="1">IFERROR(__xludf.DUMMYFUNCTION("""COMPUTED_VALUE"""),"Cumplir requerimiento de la “licitación privada N- 3 Pólizas de seguro correspondientes a vida deudores para Créditos de consumo y comercial, incluido leasing financiero diferente al Habitacional” # 4.7.1.2. HERRAMIENTA DE SEGUIMIENTO Y CONTROL A LOS PROC"&amp;"ESOS DE SUSCRIPCIÓN.")</f>
        <v>Cumplir requerimiento de la “licitación privada N- 3 Pólizas de seguro correspondientes a vida deudores para Créditos de consumo y comercial, incluido leasing financiero diferente al Habitacional” # 4.7.1.2. HERRAMIENTA DE SEGUIMIENTO Y CONTROL A LOS PROCESOS DE SUSCRIPCIÓN.</v>
      </c>
      <c r="AC588" s="4" t="str">
        <f ca="1">IFERROR(__xludf.DUMMYFUNCTION("""COMPUTED_VALUE"""),"2Q 2023")</f>
        <v>2Q 2023</v>
      </c>
      <c r="AD588" s="128">
        <f ca="1">IFERROR(__xludf.DUMMYFUNCTION("""COMPUTED_VALUE"""),44760)</f>
        <v>44760</v>
      </c>
      <c r="AE588" s="4"/>
      <c r="AF588" s="4"/>
      <c r="AG588" s="4"/>
      <c r="AH588" s="4"/>
      <c r="AI588" s="4"/>
      <c r="AJ588" s="128">
        <f ca="1">IFERROR(__xludf.DUMMYFUNCTION("""COMPUTED_VALUE"""),45015)</f>
        <v>45015</v>
      </c>
      <c r="AK588" s="131" t="str">
        <f ca="1">IFERROR(__xludf.DUMMYFUNCTION("""COMPUTED_VALUE"""),"COLWSSEGUR-1752")</f>
        <v>COLWSSEGUR-1752</v>
      </c>
      <c r="AL588" s="4" t="str">
        <f ca="1">IFERROR(__xludf.DUMMYFUNCTION("""COMPUTED_VALUE"""),"New")</f>
        <v>New</v>
      </c>
      <c r="AM588" s="4"/>
      <c r="AN588" s="4" t="str">
        <f ca="1">IFERROR(__xludf.DUMMYFUNCTION("""COMPUTED_VALUE"""),"Entregable en desarrollo")</f>
        <v>Entregable en desarrollo</v>
      </c>
      <c r="AO588" s="4"/>
      <c r="AP588" s="4"/>
      <c r="AQ588" s="4"/>
      <c r="AR588" s="4" t="str">
        <f ca="1">IFERROR(__xludf.DUMMYFUNCTION("""COMPUTED_VALUE"""),"SDA aprobada en PPP Q1 2023")</f>
        <v>SDA aprobada en PPP Q1 2023</v>
      </c>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row>
    <row r="589" spans="1:132" x14ac:dyDescent="0.2">
      <c r="A589" s="4">
        <f ca="1">IFERROR(__xludf.DUMMYFUNCTION("""COMPUTED_VALUE"""),589)</f>
        <v>589</v>
      </c>
      <c r="B589" s="4">
        <f ca="1">IFERROR(__xludf.DUMMYFUNCTION("""COMPUTED_VALUE"""),561)</f>
        <v>561</v>
      </c>
      <c r="C589" s="4" t="str">
        <f ca="1">IFERROR(__xludf.DUMMYFUNCTION("""COMPUTED_VALUE"""),"SDATOOL-34755")</f>
        <v>SDATOOL-34755</v>
      </c>
      <c r="D589" s="4" t="str">
        <f ca="1">IFERROR(__xludf.DUMMYFUNCTION("""COMPUTED_VALUE"""),"Seguros - Obsolescencia 2021")</f>
        <v>Seguros - Obsolescencia 2021</v>
      </c>
      <c r="E589" s="4" t="str">
        <f ca="1">IFERROR(__xludf.DUMMYFUNCTION("""COMPUTED_VALUE"""),"Línea para la implementación de aplicaciones, desarrollos y mejoras que sean requeridos por obsolescencia.")</f>
        <v>Línea para la implementación de aplicaciones, desarrollos y mejoras que sean requeridos por obsolescencia.</v>
      </c>
      <c r="F589" s="4" t="str">
        <f ca="1">IFERROR(__xludf.DUMMYFUNCTION("""COMPUTED_VALUE"""),"Project")</f>
        <v>Project</v>
      </c>
      <c r="G589" s="4" t="str">
        <f ca="1">IFERROR(__xludf.DUMMYFUNCTION("""COMPUTED_VALUE"""),"On hold")</f>
        <v>On hold</v>
      </c>
      <c r="H589" s="4" t="str">
        <f ca="1">IFERROR(__xludf.DUMMYFUNCTION("""COMPUTED_VALUE"""),"2Q 2023")</f>
        <v>2Q 2023</v>
      </c>
      <c r="I589" s="131" t="str">
        <f ca="1">IFERROR(__xludf.DUMMYFUNCTION("""COMPUTED_VALUE"""),"katherine.michaels-bbva.com")</f>
        <v>katherine.michaels-bbva.com</v>
      </c>
      <c r="J589" s="131" t="str">
        <f ca="1">IFERROR(__xludf.DUMMYFUNCTION("""COMPUTED_VALUE"""),"mariajuliana.rodriguez-bbva.com")</f>
        <v>mariajuliana.rodriguez-bbva.com</v>
      </c>
      <c r="K589" s="131" t="str">
        <f ca="1">IFERROR(__xludf.DUMMYFUNCTION("""COMPUTED_VALUE"""),"katherine.michaels-bbva.com")</f>
        <v>katherine.michaels-bbva.com</v>
      </c>
      <c r="L589" s="130">
        <f ca="1">IFERROR(__xludf.DUMMYFUNCTION("""COMPUTED_VALUE"""),0)</f>
        <v>0</v>
      </c>
      <c r="M589" s="130">
        <f ca="1">IFERROR(__xludf.DUMMYFUNCTION("""COMPUTED_VALUE"""),0)</f>
        <v>0</v>
      </c>
      <c r="N589" s="130">
        <f ca="1">IFERROR(__xludf.DUMMYFUNCTION("""COMPUTED_VALUE"""),0)</f>
        <v>0</v>
      </c>
      <c r="O589" s="4" t="str">
        <f ca="1">IFERROR(__xludf.DUMMYFUNCTION("""COMPUTED_VALUE"""),"Waterfall")</f>
        <v>Waterfall</v>
      </c>
      <c r="P589" s="4" t="str">
        <f ca="1">IFERROR(__xludf.DUMMYFUNCTION("""COMPUTED_VALUE"""),"Tradicional")</f>
        <v>Tradicional</v>
      </c>
      <c r="Q589" s="4"/>
      <c r="R589" s="130" t="str">
        <f ca="1">IFERROR(__xludf.DUMMYFUNCTION("""COMPUTED_VALUE"""),"Insurance")</f>
        <v>Insurance</v>
      </c>
      <c r="S589" s="130" t="str">
        <f ca="1">IFERROR(__xludf.DUMMYFUNCTION("""COMPUTED_VALUE""")," Otros")</f>
        <v xml:space="preserve"> Otros</v>
      </c>
      <c r="T589" s="130" t="str">
        <f ca="1">IFERROR(__xludf.DUMMYFUNCTION("""COMPUTED_VALUE"""),"Otros")</f>
        <v>Otros</v>
      </c>
      <c r="U589" s="130" t="str">
        <f ca="1">IFERROR(__xludf.DUMMYFUNCTION("""COMPUTED_VALUE"""),"No Aplica")</f>
        <v>No Aplica</v>
      </c>
      <c r="V589" s="4" t="str">
        <f ca="1">IFERROR(__xludf.DUMMYFUNCTION("""COMPUTED_VALUE"""),"Seguros")</f>
        <v>Seguros</v>
      </c>
      <c r="W589" s="4">
        <f ca="1">IFERROR(__xludf.DUMMYFUNCTION("""COMPUTED_VALUE"""),2)</f>
        <v>2</v>
      </c>
      <c r="X589" s="4" t="str">
        <f ca="1">IFERROR(__xludf.DUMMYFUNCTION("""COMPUTED_VALUE"""),"10. Otros")</f>
        <v>10. Otros</v>
      </c>
      <c r="Y589" s="4" t="str">
        <f ca="1">IFERROR(__xludf.DUMMYFUNCTION("""COMPUTED_VALUE""")," Otros")</f>
        <v xml:space="preserve"> Otros</v>
      </c>
      <c r="Z589" s="132" t="str">
        <f ca="1">IFERROR(__xludf.DUMMYFUNCTION("""COMPUTED_VALUE"""),"492185")</f>
        <v>492185</v>
      </c>
      <c r="AA589" s="4" t="str">
        <f ca="1">IFERROR(__xludf.DUMMYFUNCTION("""COMPUTED_VALUE"""),"Históricos Administrativos")</f>
        <v>Históricos Administrativos</v>
      </c>
      <c r="AB589" s="4" t="str">
        <f ca="1">IFERROR(__xludf.DUMMYFUNCTION("""COMPUTED_VALUE"""),"Pasar la información de 47 tablas administrativas a sus respectivas 47 tablas históricas en intervalos a cortes de fecha de la información de 2 años hacia atrás bajo los criterios de paso histórico.")</f>
        <v>Pasar la información de 47 tablas administrativas a sus respectivas 47 tablas históricas en intervalos a cortes de fecha de la información de 2 años hacia atrás bajo los criterios de paso histórico.</v>
      </c>
      <c r="AC589" s="4" t="str">
        <f ca="1">IFERROR(__xludf.DUMMYFUNCTION("""COMPUTED_VALUE"""),"1Q 2023")</f>
        <v>1Q 2023</v>
      </c>
      <c r="AD589" s="4"/>
      <c r="AE589" s="4"/>
      <c r="AF589" s="4"/>
      <c r="AG589" s="4"/>
      <c r="AH589" s="4"/>
      <c r="AI589" s="4"/>
      <c r="AJ589" s="128">
        <f ca="1">IFERROR(__xludf.DUMMYFUNCTION("""COMPUTED_VALUE"""),44904)</f>
        <v>44904</v>
      </c>
      <c r="AK589" s="131" t="str">
        <f ca="1">IFERROR(__xludf.DUMMYFUNCTION("""COMPUTED_VALUE"""),"COLWSSEGUR-78")</f>
        <v>COLWSSEGUR-78</v>
      </c>
      <c r="AL589" s="4" t="str">
        <f ca="1">IFERROR(__xludf.DUMMYFUNCTION("""COMPUTED_VALUE"""),"Ready To Verify")</f>
        <v>Ready To Verify</v>
      </c>
      <c r="AM589" s="4"/>
      <c r="AN589" s="4" t="str">
        <f ca="1">IFERROR(__xludf.DUMMYFUNCTION("""COMPUTED_VALUE"""),"Entregable en desarrollo")</f>
        <v>Entregable en desarrollo</v>
      </c>
      <c r="AO589" s="4"/>
      <c r="AP589" s="4"/>
      <c r="AQ589" s="4"/>
      <c r="AR589" s="4" t="str">
        <f ca="1">IFERROR(__xludf.DUMMYFUNCTION("""COMPUTED_VALUE"""),"SDA aprobada en PPP Q1 2023")</f>
        <v>SDA aprobada en PPP Q1 2023</v>
      </c>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133">
        <f ca="1">IFERROR(__xludf.DUMMYFUNCTION("""COMPUTED_VALUE"""),0)</f>
        <v>0</v>
      </c>
      <c r="DV589" s="133">
        <f ca="1">IFERROR(__xludf.DUMMYFUNCTION("""COMPUTED_VALUE"""),45043334)</f>
        <v>45043334</v>
      </c>
      <c r="DW589" s="133">
        <f ca="1">IFERROR(__xludf.DUMMYFUNCTION("""COMPUTED_VALUE"""),317756666.14)</f>
        <v>317756666.13999999</v>
      </c>
      <c r="DX589" s="133">
        <f ca="1">IFERROR(__xludf.DUMMYFUNCTION("""COMPUTED_VALUE"""),0)</f>
        <v>0</v>
      </c>
      <c r="DY589" s="133">
        <f ca="1">IFERROR(__xludf.DUMMYFUNCTION("""COMPUTED_VALUE"""),0)</f>
        <v>0</v>
      </c>
      <c r="DZ589" s="133">
        <f ca="1">IFERROR(__xludf.DUMMYFUNCTION("""COMPUTED_VALUE"""),362800000.14)</f>
        <v>362800000.13999999</v>
      </c>
      <c r="EA589" s="4"/>
      <c r="EB589" s="4"/>
    </row>
    <row r="590" spans="1:132" x14ac:dyDescent="0.2">
      <c r="A590" s="4">
        <f ca="1">IFERROR(__xludf.DUMMYFUNCTION("""COMPUTED_VALUE"""),590)</f>
        <v>590</v>
      </c>
      <c r="B590" s="4">
        <f ca="1">IFERROR(__xludf.DUMMYFUNCTION("""COMPUTED_VALUE"""),562)</f>
        <v>562</v>
      </c>
      <c r="C590" s="4" t="str">
        <f ca="1">IFERROR(__xludf.DUMMYFUNCTION("""COMPUTED_VALUE"""),"SDATOOL-34755")</f>
        <v>SDATOOL-34755</v>
      </c>
      <c r="D590" s="4" t="str">
        <f ca="1">IFERROR(__xludf.DUMMYFUNCTION("""COMPUTED_VALUE"""),"Seguros - Obsolescencia 2021")</f>
        <v>Seguros - Obsolescencia 2021</v>
      </c>
      <c r="E590"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0" s="4" t="str">
        <f ca="1">IFERROR(__xludf.DUMMYFUNCTION("""COMPUTED_VALUE"""),"Project")</f>
        <v>Project</v>
      </c>
      <c r="G590" s="4" t="str">
        <f ca="1">IFERROR(__xludf.DUMMYFUNCTION("""COMPUTED_VALUE"""),"On hold")</f>
        <v>On hold</v>
      </c>
      <c r="H590" s="4" t="str">
        <f ca="1">IFERROR(__xludf.DUMMYFUNCTION("""COMPUTED_VALUE"""),"2Q 2023")</f>
        <v>2Q 2023</v>
      </c>
      <c r="I590" s="131" t="str">
        <f ca="1">IFERROR(__xludf.DUMMYFUNCTION("""COMPUTED_VALUE"""),"katherine.michaels-bbva.com")</f>
        <v>katherine.michaels-bbva.com</v>
      </c>
      <c r="J590" s="131" t="str">
        <f ca="1">IFERROR(__xludf.DUMMYFUNCTION("""COMPUTED_VALUE"""),"mariajuliana.rodriguez-bbva.com")</f>
        <v>mariajuliana.rodriguez-bbva.com</v>
      </c>
      <c r="K590" s="131" t="str">
        <f ca="1">IFERROR(__xludf.DUMMYFUNCTION("""COMPUTED_VALUE"""),"katherine.michaels-bbva.com")</f>
        <v>katherine.michaels-bbva.com</v>
      </c>
      <c r="L590" s="4"/>
      <c r="M590" s="4"/>
      <c r="N590" s="4"/>
      <c r="O590" s="4" t="str">
        <f ca="1">IFERROR(__xludf.DUMMYFUNCTION("""COMPUTED_VALUE"""),"Waterfall")</f>
        <v>Waterfall</v>
      </c>
      <c r="P590" s="4" t="str">
        <f ca="1">IFERROR(__xludf.DUMMYFUNCTION("""COMPUTED_VALUE"""),"Tradicional")</f>
        <v>Tradicional</v>
      </c>
      <c r="Q590" s="4"/>
      <c r="R590" s="130" t="str">
        <f ca="1">IFERROR(__xludf.DUMMYFUNCTION("""COMPUTED_VALUE"""),"Insurance")</f>
        <v>Insurance</v>
      </c>
      <c r="S590" s="130" t="str">
        <f ca="1">IFERROR(__xludf.DUMMYFUNCTION("""COMPUTED_VALUE""")," Otros")</f>
        <v xml:space="preserve"> Otros</v>
      </c>
      <c r="T590" s="130" t="str">
        <f ca="1">IFERROR(__xludf.DUMMYFUNCTION("""COMPUTED_VALUE"""),"Otros")</f>
        <v>Otros</v>
      </c>
      <c r="U590" s="130" t="str">
        <f ca="1">IFERROR(__xludf.DUMMYFUNCTION("""COMPUTED_VALUE"""),"No Aplica")</f>
        <v>No Aplica</v>
      </c>
      <c r="V590" s="4" t="str">
        <f ca="1">IFERROR(__xludf.DUMMYFUNCTION("""COMPUTED_VALUE"""),"Seguros")</f>
        <v>Seguros</v>
      </c>
      <c r="W590" s="4">
        <f ca="1">IFERROR(__xludf.DUMMYFUNCTION("""COMPUTED_VALUE"""),2)</f>
        <v>2</v>
      </c>
      <c r="X590" s="4" t="str">
        <f ca="1">IFERROR(__xludf.DUMMYFUNCTION("""COMPUTED_VALUE"""),"10. Otros")</f>
        <v>10. Otros</v>
      </c>
      <c r="Y590" s="4" t="str">
        <f ca="1">IFERROR(__xludf.DUMMYFUNCTION("""COMPUTED_VALUE""")," Otros")</f>
        <v xml:space="preserve"> Otros</v>
      </c>
      <c r="Z590" s="132" t="str">
        <f ca="1">IFERROR(__xludf.DUMMYFUNCTION("""COMPUTED_VALUE"""),"213318")</f>
        <v>213318</v>
      </c>
      <c r="AA590" s="4" t="str">
        <f ca="1">IFERROR(__xludf.DUMMYFUNCTION("""COMPUTED_VALUE"""),"Migracion GP - Nomina Rentas")</f>
        <v>Migracion GP - Nomina Rentas</v>
      </c>
      <c r="AB590" s="4" t="str">
        <f ca="1">IFERROR(__xludf.DUMMYFUNCTION("""COMPUTED_VALUE"""),"Migracion GP - Nomina Rentas")</f>
        <v>Migracion GP - Nomina Rentas</v>
      </c>
      <c r="AC590" s="4" t="str">
        <f ca="1">IFERROR(__xludf.DUMMYFUNCTION("""COMPUTED_VALUE"""),"3Q 2021")</f>
        <v>3Q 2021</v>
      </c>
      <c r="AD590" s="4"/>
      <c r="AE590" s="4"/>
      <c r="AF590" s="4"/>
      <c r="AG590" s="4"/>
      <c r="AH590" s="4"/>
      <c r="AI590" s="4"/>
      <c r="AJ590" s="4" t="str">
        <f ca="1">IFERROR(__xludf.DUMMYFUNCTION("""COMPUTED_VALUE"""),"-")</f>
        <v>-</v>
      </c>
      <c r="AK590" s="4" t="str">
        <f ca="1">IFERROR(__xludf.DUMMYFUNCTION("""COMPUTED_VALUE"""),"Sin asignar")</f>
        <v>Sin asignar</v>
      </c>
      <c r="AL590" s="4" t="str">
        <f ca="1">IFERROR(__xludf.DUMMYFUNCTION("""COMPUTED_VALUE"""),"Sin asignar")</f>
        <v>Sin asignar</v>
      </c>
      <c r="AM590" s="4" t="str">
        <f ca="1">IFERROR(__xludf.DUMMYFUNCTION("""COMPUTED_VALUE"""),"FINALIZADO")</f>
        <v>FINALIZADO</v>
      </c>
      <c r="AN590" s="4" t="str">
        <f ca="1">IFERROR(__xludf.DUMMYFUNCTION("""COMPUTED_VALUE"""),"Finalizado")</f>
        <v>Finalizado</v>
      </c>
      <c r="AO590" s="4"/>
      <c r="AP590" s="4"/>
      <c r="AQ590" s="4"/>
      <c r="AR590" s="4" t="str">
        <f ca="1">IFERROR(__xludf.DUMMYFUNCTION("""COMPUTED_VALUE"""),"SDA aprobada en PPP Q1 2023")</f>
        <v>SDA aprobada en PPP Q1 2023</v>
      </c>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row>
    <row r="591" spans="1:132" x14ac:dyDescent="0.2">
      <c r="A591" s="4">
        <f ca="1">IFERROR(__xludf.DUMMYFUNCTION("""COMPUTED_VALUE"""),591)</f>
        <v>591</v>
      </c>
      <c r="B591" s="4">
        <f ca="1">IFERROR(__xludf.DUMMYFUNCTION("""COMPUTED_VALUE"""),563)</f>
        <v>563</v>
      </c>
      <c r="C591" s="4" t="str">
        <f ca="1">IFERROR(__xludf.DUMMYFUNCTION("""COMPUTED_VALUE"""),"SDATOOL-34755")</f>
        <v>SDATOOL-34755</v>
      </c>
      <c r="D591" s="4" t="str">
        <f ca="1">IFERROR(__xludf.DUMMYFUNCTION("""COMPUTED_VALUE"""),"Seguros - Obsolescencia 2021")</f>
        <v>Seguros - Obsolescencia 2021</v>
      </c>
      <c r="E591"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1" s="4" t="str">
        <f ca="1">IFERROR(__xludf.DUMMYFUNCTION("""COMPUTED_VALUE"""),"Project")</f>
        <v>Project</v>
      </c>
      <c r="G591" s="4" t="str">
        <f ca="1">IFERROR(__xludf.DUMMYFUNCTION("""COMPUTED_VALUE"""),"On hold")</f>
        <v>On hold</v>
      </c>
      <c r="H591" s="4" t="str">
        <f ca="1">IFERROR(__xludf.DUMMYFUNCTION("""COMPUTED_VALUE"""),"2Q 2023")</f>
        <v>2Q 2023</v>
      </c>
      <c r="I591" s="131" t="str">
        <f ca="1">IFERROR(__xludf.DUMMYFUNCTION("""COMPUTED_VALUE"""),"katherine.michaels-bbva.com")</f>
        <v>katherine.michaels-bbva.com</v>
      </c>
      <c r="J591" s="131" t="str">
        <f ca="1">IFERROR(__xludf.DUMMYFUNCTION("""COMPUTED_VALUE"""),"mariajuliana.rodriguez-bbva.com")</f>
        <v>mariajuliana.rodriguez-bbva.com</v>
      </c>
      <c r="K591" s="131" t="str">
        <f ca="1">IFERROR(__xludf.DUMMYFUNCTION("""COMPUTED_VALUE"""),"katherine.michaels-bbva.com")</f>
        <v>katherine.michaels-bbva.com</v>
      </c>
      <c r="L591" s="4"/>
      <c r="M591" s="4"/>
      <c r="N591" s="4"/>
      <c r="O591" s="4" t="str">
        <f ca="1">IFERROR(__xludf.DUMMYFUNCTION("""COMPUTED_VALUE"""),"Waterfall")</f>
        <v>Waterfall</v>
      </c>
      <c r="P591" s="4" t="str">
        <f ca="1">IFERROR(__xludf.DUMMYFUNCTION("""COMPUTED_VALUE"""),"Tradicional")</f>
        <v>Tradicional</v>
      </c>
      <c r="Q591" s="4"/>
      <c r="R591" s="130" t="str">
        <f ca="1">IFERROR(__xludf.DUMMYFUNCTION("""COMPUTED_VALUE"""),"Insurance")</f>
        <v>Insurance</v>
      </c>
      <c r="S591" s="130" t="str">
        <f ca="1">IFERROR(__xludf.DUMMYFUNCTION("""COMPUTED_VALUE""")," Otros")</f>
        <v xml:space="preserve"> Otros</v>
      </c>
      <c r="T591" s="130" t="str">
        <f ca="1">IFERROR(__xludf.DUMMYFUNCTION("""COMPUTED_VALUE"""),"Otros")</f>
        <v>Otros</v>
      </c>
      <c r="U591" s="130" t="str">
        <f ca="1">IFERROR(__xludf.DUMMYFUNCTION("""COMPUTED_VALUE"""),"No Aplica")</f>
        <v>No Aplica</v>
      </c>
      <c r="V591" s="4" t="str">
        <f ca="1">IFERROR(__xludf.DUMMYFUNCTION("""COMPUTED_VALUE"""),"Seguros")</f>
        <v>Seguros</v>
      </c>
      <c r="W591" s="4">
        <f ca="1">IFERROR(__xludf.DUMMYFUNCTION("""COMPUTED_VALUE"""),2)</f>
        <v>2</v>
      </c>
      <c r="X591" s="4" t="str">
        <f ca="1">IFERROR(__xludf.DUMMYFUNCTION("""COMPUTED_VALUE"""),"10. Otros")</f>
        <v>10. Otros</v>
      </c>
      <c r="Y591" s="4" t="str">
        <f ca="1">IFERROR(__xludf.DUMMYFUNCTION("""COMPUTED_VALUE""")," Otros")</f>
        <v xml:space="preserve"> Otros</v>
      </c>
      <c r="Z591" s="132" t="str">
        <f ca="1">IFERROR(__xludf.DUMMYFUNCTION("""COMPUTED_VALUE"""),"213319")</f>
        <v>213319</v>
      </c>
      <c r="AA591" s="4" t="str">
        <f ca="1">IFERROR(__xludf.DUMMYFUNCTION("""COMPUTED_VALUE"""),"Migracion IGCONBANK (conciliación bancaria)")</f>
        <v>Migracion IGCONBANK (conciliación bancaria)</v>
      </c>
      <c r="AB591" s="4" t="str">
        <f ca="1">IFERROR(__xludf.DUMMYFUNCTION("""COMPUTED_VALUE"""),"Migracion IGCONBANK (conciliación bancaria)")</f>
        <v>Migracion IGCONBANK (conciliación bancaria)</v>
      </c>
      <c r="AC591" s="4" t="str">
        <f ca="1">IFERROR(__xludf.DUMMYFUNCTION("""COMPUTED_VALUE"""),"1Q 2023")</f>
        <v>1Q 2023</v>
      </c>
      <c r="AD591" s="4"/>
      <c r="AE591" s="4"/>
      <c r="AF591" s="4"/>
      <c r="AG591" s="4"/>
      <c r="AH591" s="4"/>
      <c r="AI591" s="4"/>
      <c r="AJ591" s="128">
        <f ca="1">IFERROR(__xludf.DUMMYFUNCTION("""COMPUTED_VALUE"""),44864)</f>
        <v>44864</v>
      </c>
      <c r="AK591" s="131" t="str">
        <f ca="1">IFERROR(__xludf.DUMMYFUNCTION("""COMPUTED_VALUE"""),"COLWSSEGUR-72")</f>
        <v>COLWSSEGUR-72</v>
      </c>
      <c r="AL591" s="4" t="str">
        <f ca="1">IFERROR(__xludf.DUMMYFUNCTION("""COMPUTED_VALUE"""),"Deployed")</f>
        <v>Deployed</v>
      </c>
      <c r="AM591" s="4"/>
      <c r="AN591" s="4" t="str">
        <f ca="1">IFERROR(__xludf.DUMMYFUNCTION("""COMPUTED_VALUE"""),"Finalizado")</f>
        <v>Finalizado</v>
      </c>
      <c r="AO591" s="4"/>
      <c r="AP591" s="4"/>
      <c r="AQ591" s="4"/>
      <c r="AR591" s="4" t="str">
        <f ca="1">IFERROR(__xludf.DUMMYFUNCTION("""COMPUTED_VALUE"""),"SDA aprobada en PPP Q1 2023")</f>
        <v>SDA aprobada en PPP Q1 2023</v>
      </c>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row>
    <row r="592" spans="1:132" x14ac:dyDescent="0.2">
      <c r="A592" s="4">
        <f ca="1">IFERROR(__xludf.DUMMYFUNCTION("""COMPUTED_VALUE"""),592)</f>
        <v>592</v>
      </c>
      <c r="B592" s="4">
        <f ca="1">IFERROR(__xludf.DUMMYFUNCTION("""COMPUTED_VALUE"""),564)</f>
        <v>564</v>
      </c>
      <c r="C592" s="4" t="str">
        <f ca="1">IFERROR(__xludf.DUMMYFUNCTION("""COMPUTED_VALUE"""),"SDATOOL-34755")</f>
        <v>SDATOOL-34755</v>
      </c>
      <c r="D592" s="4" t="str">
        <f ca="1">IFERROR(__xludf.DUMMYFUNCTION("""COMPUTED_VALUE"""),"Seguros - Obsolescencia 2021")</f>
        <v>Seguros - Obsolescencia 2021</v>
      </c>
      <c r="E592"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2" s="4" t="str">
        <f ca="1">IFERROR(__xludf.DUMMYFUNCTION("""COMPUTED_VALUE"""),"Project")</f>
        <v>Project</v>
      </c>
      <c r="G592" s="4" t="str">
        <f ca="1">IFERROR(__xludf.DUMMYFUNCTION("""COMPUTED_VALUE"""),"On hold")</f>
        <v>On hold</v>
      </c>
      <c r="H592" s="4" t="str">
        <f ca="1">IFERROR(__xludf.DUMMYFUNCTION("""COMPUTED_VALUE"""),"2Q 2023")</f>
        <v>2Q 2023</v>
      </c>
      <c r="I592" s="131" t="str">
        <f ca="1">IFERROR(__xludf.DUMMYFUNCTION("""COMPUTED_VALUE"""),"katherine.michaels-bbva.com")</f>
        <v>katherine.michaels-bbva.com</v>
      </c>
      <c r="J592" s="131" t="str">
        <f ca="1">IFERROR(__xludf.DUMMYFUNCTION("""COMPUTED_VALUE"""),"mariajuliana.rodriguez-bbva.com")</f>
        <v>mariajuliana.rodriguez-bbva.com</v>
      </c>
      <c r="K592" s="131" t="str">
        <f ca="1">IFERROR(__xludf.DUMMYFUNCTION("""COMPUTED_VALUE"""),"katherine.michaels-bbva.com")</f>
        <v>katherine.michaels-bbva.com</v>
      </c>
      <c r="L592" s="4"/>
      <c r="M592" s="4"/>
      <c r="N592" s="4"/>
      <c r="O592" s="4" t="str">
        <f ca="1">IFERROR(__xludf.DUMMYFUNCTION("""COMPUTED_VALUE"""),"Waterfall")</f>
        <v>Waterfall</v>
      </c>
      <c r="P592" s="4" t="str">
        <f ca="1">IFERROR(__xludf.DUMMYFUNCTION("""COMPUTED_VALUE"""),"Tradicional")</f>
        <v>Tradicional</v>
      </c>
      <c r="Q592" s="4"/>
      <c r="R592" s="130" t="str">
        <f ca="1">IFERROR(__xludf.DUMMYFUNCTION("""COMPUTED_VALUE"""),"Insurance")</f>
        <v>Insurance</v>
      </c>
      <c r="S592" s="130" t="str">
        <f ca="1">IFERROR(__xludf.DUMMYFUNCTION("""COMPUTED_VALUE""")," Otros")</f>
        <v xml:space="preserve"> Otros</v>
      </c>
      <c r="T592" s="130" t="str">
        <f ca="1">IFERROR(__xludf.DUMMYFUNCTION("""COMPUTED_VALUE"""),"Otros")</f>
        <v>Otros</v>
      </c>
      <c r="U592" s="130" t="str">
        <f ca="1">IFERROR(__xludf.DUMMYFUNCTION("""COMPUTED_VALUE"""),"No Aplica")</f>
        <v>No Aplica</v>
      </c>
      <c r="V592" s="4" t="str">
        <f ca="1">IFERROR(__xludf.DUMMYFUNCTION("""COMPUTED_VALUE"""),"Seguros")</f>
        <v>Seguros</v>
      </c>
      <c r="W592" s="4">
        <f ca="1">IFERROR(__xludf.DUMMYFUNCTION("""COMPUTED_VALUE"""),2)</f>
        <v>2</v>
      </c>
      <c r="X592" s="4" t="str">
        <f ca="1">IFERROR(__xludf.DUMMYFUNCTION("""COMPUTED_VALUE"""),"10. Otros")</f>
        <v>10. Otros</v>
      </c>
      <c r="Y592" s="4" t="str">
        <f ca="1">IFERROR(__xludf.DUMMYFUNCTION("""COMPUTED_VALUE""")," Otros")</f>
        <v xml:space="preserve"> Otros</v>
      </c>
      <c r="Z592" s="132" t="str">
        <f ca="1">IFERROR(__xludf.DUMMYFUNCTION("""COMPUTED_VALUE"""),"172248")</f>
        <v>172248</v>
      </c>
      <c r="AA592" s="4" t="str">
        <f ca="1">IFERROR(__xludf.DUMMYFUNCTION("""COMPUTED_VALUE"""),"Migración Karing")</f>
        <v>Migración Karing</v>
      </c>
      <c r="AB592" s="4" t="str">
        <f ca="1">IFERROR(__xludf.DUMMYFUNCTION("""COMPUTED_VALUE"""),"Migrar la producción de seguros que existe en el aplicativo Karing a  Acsel X, con el fin de tener un solo aplicativo Core.")</f>
        <v>Migrar la producción de seguros que existe en el aplicativo Karing a  Acsel X, con el fin de tener un solo aplicativo Core.</v>
      </c>
      <c r="AC592" s="4" t="str">
        <f ca="1">IFERROR(__xludf.DUMMYFUNCTION("""COMPUTED_VALUE"""),"1Q 2023")</f>
        <v>1Q 2023</v>
      </c>
      <c r="AD592" s="4"/>
      <c r="AE592" s="4"/>
      <c r="AF592" s="4"/>
      <c r="AG592" s="4"/>
      <c r="AH592" s="4"/>
      <c r="AI592" s="4"/>
      <c r="AJ592" s="128">
        <f ca="1">IFERROR(__xludf.DUMMYFUNCTION("""COMPUTED_VALUE"""),44864)</f>
        <v>44864</v>
      </c>
      <c r="AK592" s="131" t="str">
        <f ca="1">IFERROR(__xludf.DUMMYFUNCTION("""COMPUTED_VALUE"""),"COLWSSEGUR-67")</f>
        <v>COLWSSEGUR-67</v>
      </c>
      <c r="AL592" s="4" t="str">
        <f ca="1">IFERROR(__xludf.DUMMYFUNCTION("""COMPUTED_VALUE"""),"Deployed")</f>
        <v>Deployed</v>
      </c>
      <c r="AM592" s="4"/>
      <c r="AN592" s="4" t="str">
        <f ca="1">IFERROR(__xludf.DUMMYFUNCTION("""COMPUTED_VALUE"""),"Finalizado")</f>
        <v>Finalizado</v>
      </c>
      <c r="AO592" s="4"/>
      <c r="AP592" s="4"/>
      <c r="AQ592" s="4"/>
      <c r="AR592" s="4" t="str">
        <f ca="1">IFERROR(__xludf.DUMMYFUNCTION("""COMPUTED_VALUE"""),"SDA aprobada en PPP Q1 2023")</f>
        <v>SDA aprobada en PPP Q1 2023</v>
      </c>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row>
    <row r="593" spans="1:132" x14ac:dyDescent="0.2">
      <c r="A593" s="4">
        <f ca="1">IFERROR(__xludf.DUMMYFUNCTION("""COMPUTED_VALUE"""),593)</f>
        <v>593</v>
      </c>
      <c r="B593" s="4">
        <f ca="1">IFERROR(__xludf.DUMMYFUNCTION("""COMPUTED_VALUE"""),565)</f>
        <v>565</v>
      </c>
      <c r="C593" s="4" t="str">
        <f ca="1">IFERROR(__xludf.DUMMYFUNCTION("""COMPUTED_VALUE"""),"SDATOOL-38225")</f>
        <v>SDATOOL-38225</v>
      </c>
      <c r="D593" s="4" t="str">
        <f ca="1">IFERROR(__xludf.DUMMYFUNCTION("""COMPUTED_VALUE"""),"Seguros - Mandatorios 2022")</f>
        <v>Seguros - Mandatorios 2022</v>
      </c>
      <c r="E593"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3" s="4" t="str">
        <f ca="1">IFERROR(__xludf.DUMMYFUNCTION("""COMPUTED_VALUE"""),"Project")</f>
        <v>Project</v>
      </c>
      <c r="G593" s="4" t="str">
        <f ca="1">IFERROR(__xludf.DUMMYFUNCTION("""COMPUTED_VALUE"""),"On hold")</f>
        <v>On hold</v>
      </c>
      <c r="H593" s="4" t="str">
        <f ca="1">IFERROR(__xludf.DUMMYFUNCTION("""COMPUTED_VALUE"""),"2Q 2023")</f>
        <v>2Q 2023</v>
      </c>
      <c r="I593" s="131" t="str">
        <f ca="1">IFERROR(__xludf.DUMMYFUNCTION("""COMPUTED_VALUE"""),"katherine.michaels-bbva.com")</f>
        <v>katherine.michaels-bbva.com</v>
      </c>
      <c r="J593" s="131" t="str">
        <f ca="1">IFERROR(__xludf.DUMMYFUNCTION("""COMPUTED_VALUE"""),"mariajuliana.rodriguez-bbva.com")</f>
        <v>mariajuliana.rodriguez-bbva.com</v>
      </c>
      <c r="K593" s="131" t="str">
        <f ca="1">IFERROR(__xludf.DUMMYFUNCTION("""COMPUTED_VALUE"""),"sandracarolina.miranda-bbva.com")</f>
        <v>sandracarolina.miranda-bbva.com</v>
      </c>
      <c r="L593" s="130">
        <f ca="1">IFERROR(__xludf.DUMMYFUNCTION("""COMPUTED_VALUE"""),0)</f>
        <v>0</v>
      </c>
      <c r="M593" s="130">
        <f ca="1">IFERROR(__xludf.DUMMYFUNCTION("""COMPUTED_VALUE"""),0)</f>
        <v>0</v>
      </c>
      <c r="N593" s="130">
        <f ca="1">IFERROR(__xludf.DUMMYFUNCTION("""COMPUTED_VALUE"""),0)</f>
        <v>0</v>
      </c>
      <c r="O593" s="4" t="str">
        <f ca="1">IFERROR(__xludf.DUMMYFUNCTION("""COMPUTED_VALUE"""),"Waterfall")</f>
        <v>Waterfall</v>
      </c>
      <c r="P593" s="4" t="str">
        <f ca="1">IFERROR(__xludf.DUMMYFUNCTION("""COMPUTED_VALUE"""),"Tradicional")</f>
        <v>Tradicional</v>
      </c>
      <c r="Q593" s="4"/>
      <c r="R593" s="130" t="str">
        <f ca="1">IFERROR(__xludf.DUMMYFUNCTION("""COMPUTED_VALUE"""),"Insurance")</f>
        <v>Insurance</v>
      </c>
      <c r="S593" s="130" t="str">
        <f ca="1">IFERROR(__xludf.DUMMYFUNCTION("""COMPUTED_VALUE""")," Otros")</f>
        <v xml:space="preserve"> Otros</v>
      </c>
      <c r="T593" s="130" t="str">
        <f ca="1">IFERROR(__xludf.DUMMYFUNCTION("""COMPUTED_VALUE"""),"Normativo")</f>
        <v>Normativo</v>
      </c>
      <c r="U593" s="130" t="str">
        <f ca="1">IFERROR(__xludf.DUMMYFUNCTION("""COMPUTED_VALUE"""),"No Aplica")</f>
        <v>No Aplica</v>
      </c>
      <c r="V593" s="4" t="str">
        <f ca="1">IFERROR(__xludf.DUMMYFUNCTION("""COMPUTED_VALUE"""),"Seguros")</f>
        <v>Seguros</v>
      </c>
      <c r="W593" s="4">
        <f ca="1">IFERROR(__xludf.DUMMYFUNCTION("""COMPUTED_VALUE"""),2)</f>
        <v>2</v>
      </c>
      <c r="X593" s="4" t="str">
        <f ca="1">IFERROR(__xludf.DUMMYFUNCTION("""COMPUTED_VALUE"""),"10. Otros")</f>
        <v>10. Otros</v>
      </c>
      <c r="Y593" s="4" t="str">
        <f ca="1">IFERROR(__xludf.DUMMYFUNCTION("""COMPUTED_VALUE""")," Otros")</f>
        <v xml:space="preserve"> Otros</v>
      </c>
      <c r="Z593" s="132" t="str">
        <f ca="1">IFERROR(__xludf.DUMMYFUNCTION("""COMPUTED_VALUE"""),"430791")</f>
        <v>430791</v>
      </c>
      <c r="AA593" s="4" t="str">
        <f ca="1">IFERROR(__xludf.DUMMYFUNCTION("""COMPUTED_VALUE"""),"Decreto 830 de 2021-PEP")</f>
        <v>Decreto 830 de 2021-PEP</v>
      </c>
      <c r="AB593" s="4" t="str">
        <f ca="1">IFERROR(__xludf.DUMMYFUNCTION("""COMPUTED_VALUE"""),"Con base en el Decreto 830, se debe implementar en el aplicativo Acselx, una nueva pantalla en control clientes para la  información donde se ingresen lo datos básicos de los familiares de primer y segundo grado de consanguinidad de las personas expuestas"&amp;" políticamente, según instrucción regulatoria")</f>
        <v>Con base en el Decreto 830, se debe implementar en el aplicativo Acselx, una nueva pantalla en control clientes para la  información donde se ingresen lo datos básicos de los familiares de primer y segundo grado de consanguinidad de las personas expuestas políticamente, según instrucción regulatoria</v>
      </c>
      <c r="AC593" s="4" t="str">
        <f ca="1">IFERROR(__xludf.DUMMYFUNCTION("""COMPUTED_VALUE"""),"4Q 2022")</f>
        <v>4Q 2022</v>
      </c>
      <c r="AD593" s="128">
        <f ca="1">IFERROR(__xludf.DUMMYFUNCTION("""COMPUTED_VALUE"""),44614)</f>
        <v>44614</v>
      </c>
      <c r="AE593" s="4" t="str">
        <f ca="1">IFERROR(__xludf.DUMMYFUNCTION("""COMPUTED_VALUE"""),"-")</f>
        <v>-</v>
      </c>
      <c r="AF593" s="4" t="str">
        <f ca="1">IFERROR(__xludf.DUMMYFUNCTION("""COMPUTED_VALUE"""),"-")</f>
        <v>-</v>
      </c>
      <c r="AG593" s="4" t="str">
        <f ca="1">IFERROR(__xludf.DUMMYFUNCTION("""COMPUTED_VALUE"""),"-")</f>
        <v>-</v>
      </c>
      <c r="AH593" s="4" t="str">
        <f ca="1">IFERROR(__xludf.DUMMYFUNCTION("""COMPUTED_VALUE"""),"-")</f>
        <v>-</v>
      </c>
      <c r="AI593" s="4" t="str">
        <f ca="1">IFERROR(__xludf.DUMMYFUNCTION("""COMPUTED_VALUE"""),"-")</f>
        <v>-</v>
      </c>
      <c r="AJ593" s="128">
        <f ca="1">IFERROR(__xludf.DUMMYFUNCTION("""COMPUTED_VALUE"""),44703)</f>
        <v>44703</v>
      </c>
      <c r="AK593" s="131" t="str">
        <f ca="1">IFERROR(__xludf.DUMMYFUNCTION("""COMPUTED_VALUE"""),"COLWSSEGUR-25")</f>
        <v>COLWSSEGUR-25</v>
      </c>
      <c r="AL593" s="4" t="str">
        <f ca="1">IFERROR(__xludf.DUMMYFUNCTION("""COMPUTED_VALUE"""),"Deployed")</f>
        <v>Deployed</v>
      </c>
      <c r="AM593" s="4" t="str">
        <f ca="1">IFERROR(__xludf.DUMMYFUNCTION("""COMPUTED_VALUE"""),"FINALIZADO")</f>
        <v>FINALIZADO</v>
      </c>
      <c r="AN593" s="4" t="str">
        <f ca="1">IFERROR(__xludf.DUMMYFUNCTION("""COMPUTED_VALUE"""),"Finalizado")</f>
        <v>Finalizado</v>
      </c>
      <c r="AO593" s="4"/>
      <c r="AP593" s="4"/>
      <c r="AQ593" s="4"/>
      <c r="AR593" s="4" t="str">
        <f ca="1">IFERROR(__xludf.DUMMYFUNCTION("""COMPUTED_VALUE"""),"SDA aprobada en PPP Q1 2023")</f>
        <v>SDA aprobada en PPP Q1 2023</v>
      </c>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133">
        <f ca="1">IFERROR(__xludf.DUMMYFUNCTION("""COMPUTED_VALUE"""),0)</f>
        <v>0</v>
      </c>
      <c r="DV593" s="133">
        <f ca="1">IFERROR(__xludf.DUMMYFUNCTION("""COMPUTED_VALUE"""),0)</f>
        <v>0</v>
      </c>
      <c r="DW593" s="133">
        <f ca="1">IFERROR(__xludf.DUMMYFUNCTION("""COMPUTED_VALUE"""),109999999.84)</f>
        <v>109999999.84</v>
      </c>
      <c r="DX593" s="133">
        <f ca="1">IFERROR(__xludf.DUMMYFUNCTION("""COMPUTED_VALUE"""),90000000)</f>
        <v>90000000</v>
      </c>
      <c r="DY593" s="133">
        <f ca="1">IFERROR(__xludf.DUMMYFUNCTION("""COMPUTED_VALUE"""),0)</f>
        <v>0</v>
      </c>
      <c r="DZ593" s="133">
        <f ca="1">IFERROR(__xludf.DUMMYFUNCTION("""COMPUTED_VALUE"""),199999999.84)</f>
        <v>199999999.84</v>
      </c>
      <c r="EA593" s="4"/>
      <c r="EB593" s="4"/>
    </row>
    <row r="594" spans="1:132" x14ac:dyDescent="0.2">
      <c r="A594" s="4">
        <f ca="1">IFERROR(__xludf.DUMMYFUNCTION("""COMPUTED_VALUE"""),594)</f>
        <v>594</v>
      </c>
      <c r="B594" s="4">
        <f ca="1">IFERROR(__xludf.DUMMYFUNCTION("""COMPUTED_VALUE"""),566)</f>
        <v>566</v>
      </c>
      <c r="C594" s="4" t="str">
        <f ca="1">IFERROR(__xludf.DUMMYFUNCTION("""COMPUTED_VALUE"""),"SDATOOL-38225")</f>
        <v>SDATOOL-38225</v>
      </c>
      <c r="D594" s="4" t="str">
        <f ca="1">IFERROR(__xludf.DUMMYFUNCTION("""COMPUTED_VALUE"""),"Seguros - Mandatorios 2022")</f>
        <v>Seguros - Mandatorios 2022</v>
      </c>
      <c r="E594"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4" s="4" t="str">
        <f ca="1">IFERROR(__xludf.DUMMYFUNCTION("""COMPUTED_VALUE"""),"Project")</f>
        <v>Project</v>
      </c>
      <c r="G594" s="4" t="str">
        <f ca="1">IFERROR(__xludf.DUMMYFUNCTION("""COMPUTED_VALUE"""),"On hold")</f>
        <v>On hold</v>
      </c>
      <c r="H594" s="4" t="str">
        <f ca="1">IFERROR(__xludf.DUMMYFUNCTION("""COMPUTED_VALUE"""),"2Q 2023")</f>
        <v>2Q 2023</v>
      </c>
      <c r="I594" s="131" t="str">
        <f ca="1">IFERROR(__xludf.DUMMYFUNCTION("""COMPUTED_VALUE"""),"katherine.michaels-bbva.com")</f>
        <v>katherine.michaels-bbva.com</v>
      </c>
      <c r="J594" s="131" t="str">
        <f ca="1">IFERROR(__xludf.DUMMYFUNCTION("""COMPUTED_VALUE"""),"mariajuliana.rodriguez-bbva.com")</f>
        <v>mariajuliana.rodriguez-bbva.com</v>
      </c>
      <c r="K594" s="131" t="str">
        <f ca="1">IFERROR(__xludf.DUMMYFUNCTION("""COMPUTED_VALUE"""),"sandracarolina.miranda-bbva.com")</f>
        <v>sandracarolina.miranda-bbva.com</v>
      </c>
      <c r="L594" s="4"/>
      <c r="M594" s="4"/>
      <c r="N594" s="4"/>
      <c r="O594" s="4" t="str">
        <f ca="1">IFERROR(__xludf.DUMMYFUNCTION("""COMPUTED_VALUE"""),"Waterfall")</f>
        <v>Waterfall</v>
      </c>
      <c r="P594" s="4" t="str">
        <f ca="1">IFERROR(__xludf.DUMMYFUNCTION("""COMPUTED_VALUE"""),"Tradicional")</f>
        <v>Tradicional</v>
      </c>
      <c r="Q594" s="4"/>
      <c r="R594" s="130" t="str">
        <f ca="1">IFERROR(__xludf.DUMMYFUNCTION("""COMPUTED_VALUE"""),"Insurance")</f>
        <v>Insurance</v>
      </c>
      <c r="S594" s="130" t="str">
        <f ca="1">IFERROR(__xludf.DUMMYFUNCTION("""COMPUTED_VALUE""")," Otros")</f>
        <v xml:space="preserve"> Otros</v>
      </c>
      <c r="T594" s="130" t="str">
        <f ca="1">IFERROR(__xludf.DUMMYFUNCTION("""COMPUTED_VALUE"""),"Normativo")</f>
        <v>Normativo</v>
      </c>
      <c r="U594" s="130" t="str">
        <f ca="1">IFERROR(__xludf.DUMMYFUNCTION("""COMPUTED_VALUE"""),"No Aplica")</f>
        <v>No Aplica</v>
      </c>
      <c r="V594" s="4" t="str">
        <f ca="1">IFERROR(__xludf.DUMMYFUNCTION("""COMPUTED_VALUE"""),"Seguros")</f>
        <v>Seguros</v>
      </c>
      <c r="W594" s="4">
        <f ca="1">IFERROR(__xludf.DUMMYFUNCTION("""COMPUTED_VALUE"""),2)</f>
        <v>2</v>
      </c>
      <c r="X594" s="4" t="str">
        <f ca="1">IFERROR(__xludf.DUMMYFUNCTION("""COMPUTED_VALUE"""),"10. Otros")</f>
        <v>10. Otros</v>
      </c>
      <c r="Y594" s="4" t="str">
        <f ca="1">IFERROR(__xludf.DUMMYFUNCTION("""COMPUTED_VALUE""")," Otros")</f>
        <v xml:space="preserve"> Otros</v>
      </c>
      <c r="Z594" s="132" t="str">
        <f ca="1">IFERROR(__xludf.DUMMYFUNCTION("""COMPUTED_VALUE"""),"557659")</f>
        <v>557659</v>
      </c>
      <c r="AA594" s="4" t="str">
        <f ca="1">IFERROR(__xludf.DUMMYFUNCTION("""COMPUTED_VALUE"""),"Factura electrónica-proveedor")</f>
        <v>Factura electrónica-proveedor</v>
      </c>
      <c r="AB594" s="4" t="str">
        <f ca="1">IFERROR(__xludf.DUMMYFUNCTION("""COMPUTED_VALUE"""),"Crear una conexión vía SFTP con el nuevo proveedor ""Cadena"", para transmitir el ecosistema que incluye (factura electrónica, nómina electrónica, documento soporte, recepción de facturas")</f>
        <v>Crear una conexión vía SFTP con el nuevo proveedor "Cadena", para transmitir el ecosistema que incluye (factura electrónica, nómina electrónica, documento soporte, recepción de facturas</v>
      </c>
      <c r="AC594" s="4" t="str">
        <f ca="1">IFERROR(__xludf.DUMMYFUNCTION("""COMPUTED_VALUE"""),"1Q 2023")</f>
        <v>1Q 2023</v>
      </c>
      <c r="AD594" s="128">
        <f ca="1">IFERROR(__xludf.DUMMYFUNCTION("""COMPUTED_VALUE"""),44781)</f>
        <v>44781</v>
      </c>
      <c r="AE594" s="4"/>
      <c r="AF594" s="4"/>
      <c r="AG594" s="4"/>
      <c r="AH594" s="4"/>
      <c r="AI594" s="4"/>
      <c r="AJ594" s="128">
        <f ca="1">IFERROR(__xludf.DUMMYFUNCTION("""COMPUTED_VALUE"""),45015)</f>
        <v>45015</v>
      </c>
      <c r="AK594" s="131" t="str">
        <f ca="1">IFERROR(__xludf.DUMMYFUNCTION("""COMPUTED_VALUE"""),"COLWSSEGUR-124")</f>
        <v>COLWSSEGUR-124</v>
      </c>
      <c r="AL594" s="4" t="str">
        <f ca="1">IFERROR(__xludf.DUMMYFUNCTION("""COMPUTED_VALUE"""),"En progreso")</f>
        <v>En progreso</v>
      </c>
      <c r="AM594" s="4"/>
      <c r="AN594" s="4" t="str">
        <f ca="1">IFERROR(__xludf.DUMMYFUNCTION("""COMPUTED_VALUE"""),"Entregable en desarrollo")</f>
        <v>Entregable en desarrollo</v>
      </c>
      <c r="AO594" s="4"/>
      <c r="AP594" s="4"/>
      <c r="AQ594" s="4"/>
      <c r="AR594" s="4" t="str">
        <f ca="1">IFERROR(__xludf.DUMMYFUNCTION("""COMPUTED_VALUE"""),"SDA aprobada en PPP Q1 2023")</f>
        <v>SDA aprobada en PPP Q1 2023</v>
      </c>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row>
    <row r="595" spans="1:132" x14ac:dyDescent="0.2">
      <c r="A595" s="4">
        <f ca="1">IFERROR(__xludf.DUMMYFUNCTION("""COMPUTED_VALUE"""),595)</f>
        <v>595</v>
      </c>
      <c r="B595" s="4">
        <f ca="1">IFERROR(__xludf.DUMMYFUNCTION("""COMPUTED_VALUE"""),567)</f>
        <v>567</v>
      </c>
      <c r="C595" s="4" t="str">
        <f ca="1">IFERROR(__xludf.DUMMYFUNCTION("""COMPUTED_VALUE"""),"SDATOOL-38225")</f>
        <v>SDATOOL-38225</v>
      </c>
      <c r="D595" s="4" t="str">
        <f ca="1">IFERROR(__xludf.DUMMYFUNCTION("""COMPUTED_VALUE"""),"Seguros - Mandatorios 2022")</f>
        <v>Seguros - Mandatorios 2022</v>
      </c>
      <c r="E595"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5" s="4" t="str">
        <f ca="1">IFERROR(__xludf.DUMMYFUNCTION("""COMPUTED_VALUE"""),"Project")</f>
        <v>Project</v>
      </c>
      <c r="G595" s="4" t="str">
        <f ca="1">IFERROR(__xludf.DUMMYFUNCTION("""COMPUTED_VALUE"""),"On hold")</f>
        <v>On hold</v>
      </c>
      <c r="H595" s="4" t="str">
        <f ca="1">IFERROR(__xludf.DUMMYFUNCTION("""COMPUTED_VALUE"""),"2Q 2023")</f>
        <v>2Q 2023</v>
      </c>
      <c r="I595" s="131" t="str">
        <f ca="1">IFERROR(__xludf.DUMMYFUNCTION("""COMPUTED_VALUE"""),"katherine.michaels-bbva.com")</f>
        <v>katherine.michaels-bbva.com</v>
      </c>
      <c r="J595" s="131" t="str">
        <f ca="1">IFERROR(__xludf.DUMMYFUNCTION("""COMPUTED_VALUE"""),"mariajuliana.rodriguez-bbva.com")</f>
        <v>mariajuliana.rodriguez-bbva.com</v>
      </c>
      <c r="K595" s="131" t="str">
        <f ca="1">IFERROR(__xludf.DUMMYFUNCTION("""COMPUTED_VALUE"""),"sandracarolina.miranda-bbva.com")</f>
        <v>sandracarolina.miranda-bbva.com</v>
      </c>
      <c r="L595" s="4"/>
      <c r="M595" s="4"/>
      <c r="N595" s="4"/>
      <c r="O595" s="4" t="str">
        <f ca="1">IFERROR(__xludf.DUMMYFUNCTION("""COMPUTED_VALUE"""),"Waterfall")</f>
        <v>Waterfall</v>
      </c>
      <c r="P595" s="4" t="str">
        <f ca="1">IFERROR(__xludf.DUMMYFUNCTION("""COMPUTED_VALUE"""),"Tradicional")</f>
        <v>Tradicional</v>
      </c>
      <c r="Q595" s="4"/>
      <c r="R595" s="130" t="str">
        <f ca="1">IFERROR(__xludf.DUMMYFUNCTION("""COMPUTED_VALUE"""),"Insurance")</f>
        <v>Insurance</v>
      </c>
      <c r="S595" s="130" t="str">
        <f ca="1">IFERROR(__xludf.DUMMYFUNCTION("""COMPUTED_VALUE""")," Otros")</f>
        <v xml:space="preserve"> Otros</v>
      </c>
      <c r="T595" s="130" t="str">
        <f ca="1">IFERROR(__xludf.DUMMYFUNCTION("""COMPUTED_VALUE"""),"Normativo")</f>
        <v>Normativo</v>
      </c>
      <c r="U595" s="130" t="str">
        <f ca="1">IFERROR(__xludf.DUMMYFUNCTION("""COMPUTED_VALUE"""),"No Aplica")</f>
        <v>No Aplica</v>
      </c>
      <c r="V595" s="4" t="str">
        <f ca="1">IFERROR(__xludf.DUMMYFUNCTION("""COMPUTED_VALUE"""),"Seguros")</f>
        <v>Seguros</v>
      </c>
      <c r="W595" s="4">
        <f ca="1">IFERROR(__xludf.DUMMYFUNCTION("""COMPUTED_VALUE"""),2)</f>
        <v>2</v>
      </c>
      <c r="X595" s="4" t="str">
        <f ca="1">IFERROR(__xludf.DUMMYFUNCTION("""COMPUTED_VALUE"""),"10. Otros")</f>
        <v>10. Otros</v>
      </c>
      <c r="Y595" s="4" t="str">
        <f ca="1">IFERROR(__xludf.DUMMYFUNCTION("""COMPUTED_VALUE""")," Otros")</f>
        <v xml:space="preserve"> Otros</v>
      </c>
      <c r="Z595" s="132" t="str">
        <f ca="1">IFERROR(__xludf.DUMMYFUNCTION("""COMPUTED_VALUE"""),"514803")</f>
        <v>514803</v>
      </c>
      <c r="AA595" s="4" t="str">
        <f ca="1">IFERROR(__xludf.DUMMYFUNCTION("""COMPUTED_VALUE"""),"Reporte RUS")</f>
        <v>Reporte RUS</v>
      </c>
      <c r="AB595" s="4" t="str">
        <f ca="1">IFERROR(__xludf.DUMMYFUNCTION("""COMPUTED_VALUE"""),"Identificar a través de un proceso masivo las personas naturales y jurídicas que han tenido o tienen un seguro de la Compañía, de acuerdo al reporte que descargamos en Fasecolda con el fin de dar una respuesta oportuna a sus consultas.")</f>
        <v>Identificar a través de un proceso masivo las personas naturales y jurídicas que han tenido o tienen un seguro de la Compañía, de acuerdo al reporte que descargamos en Fasecolda con el fin de dar una respuesta oportuna a sus consultas.</v>
      </c>
      <c r="AC595" s="4" t="str">
        <f ca="1">IFERROR(__xludf.DUMMYFUNCTION("""COMPUTED_VALUE"""),"4Q 2022")</f>
        <v>4Q 2022</v>
      </c>
      <c r="AD595" s="128">
        <f ca="1">IFERROR(__xludf.DUMMYFUNCTION("""COMPUTED_VALUE"""),44727)</f>
        <v>44727</v>
      </c>
      <c r="AE595" s="128">
        <f ca="1">IFERROR(__xludf.DUMMYFUNCTION("""COMPUTED_VALUE"""),44735)</f>
        <v>44735</v>
      </c>
      <c r="AF595" s="128">
        <f ca="1">IFERROR(__xludf.DUMMYFUNCTION("""COMPUTED_VALUE"""),44741)</f>
        <v>44741</v>
      </c>
      <c r="AG595" s="128">
        <f ca="1">IFERROR(__xludf.DUMMYFUNCTION("""COMPUTED_VALUE"""),44785)</f>
        <v>44785</v>
      </c>
      <c r="AH595" s="128">
        <f ca="1">IFERROR(__xludf.DUMMYFUNCTION("""COMPUTED_VALUE"""),44795)</f>
        <v>44795</v>
      </c>
      <c r="AI595" s="128">
        <f ca="1">IFERROR(__xludf.DUMMYFUNCTION("""COMPUTED_VALUE"""),44813)</f>
        <v>44813</v>
      </c>
      <c r="AJ595" s="128">
        <f ca="1">IFERROR(__xludf.DUMMYFUNCTION("""COMPUTED_VALUE"""),44895)</f>
        <v>44895</v>
      </c>
      <c r="AK595" s="131" t="str">
        <f ca="1">IFERROR(__xludf.DUMMYFUNCTION("""COMPUTED_VALUE"""),"COLWSSEGUR-88")</f>
        <v>COLWSSEGUR-88</v>
      </c>
      <c r="AL595" s="4" t="str">
        <f ca="1">IFERROR(__xludf.DUMMYFUNCTION("""COMPUTED_VALUE"""),"Deployed")</f>
        <v>Deployed</v>
      </c>
      <c r="AM595" s="4"/>
      <c r="AN595" s="4" t="str">
        <f ca="1">IFERROR(__xludf.DUMMYFUNCTION("""COMPUTED_VALUE"""),"Finalizado")</f>
        <v>Finalizado</v>
      </c>
      <c r="AO595" s="4"/>
      <c r="AP595" s="4"/>
      <c r="AQ595" s="4"/>
      <c r="AR595" s="4" t="str">
        <f ca="1">IFERROR(__xludf.DUMMYFUNCTION("""COMPUTED_VALUE"""),"SDA aprobada en PPP Q1 2023")</f>
        <v>SDA aprobada en PPP Q1 2023</v>
      </c>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row>
    <row r="596" spans="1:132" x14ac:dyDescent="0.2">
      <c r="A596" s="4">
        <f ca="1">IFERROR(__xludf.DUMMYFUNCTION("""COMPUTED_VALUE"""),596)</f>
        <v>596</v>
      </c>
      <c r="B596" s="4">
        <f ca="1">IFERROR(__xludf.DUMMYFUNCTION("""COMPUTED_VALUE"""),568)</f>
        <v>568</v>
      </c>
      <c r="C596" s="4" t="str">
        <f ca="1">IFERROR(__xludf.DUMMYFUNCTION("""COMPUTED_VALUE"""),"SDATOOL-36501")</f>
        <v>SDATOOL-36501</v>
      </c>
      <c r="D596" s="4" t="str">
        <f ca="1">IFERROR(__xludf.DUMMYFUNCTION("""COMPUTED_VALUE"""),"Seguros - Cobro de seguros libres en créditos - Desempleo Fase 2")</f>
        <v>Seguros - Cobro de seguros libres en créditos - Desempleo Fase 2</v>
      </c>
      <c r="E596"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6" s="4" t="str">
        <f ca="1">IFERROR(__xludf.DUMMYFUNCTION("""COMPUTED_VALUE"""),"Project")</f>
        <v>Project</v>
      </c>
      <c r="G596" s="4" t="str">
        <f ca="1">IFERROR(__xludf.DUMMYFUNCTION("""COMPUTED_VALUE"""),"Stock")</f>
        <v>Stock</v>
      </c>
      <c r="H596" s="4" t="str">
        <f ca="1">IFERROR(__xludf.DUMMYFUNCTION("""COMPUTED_VALUE"""),"2Q 2023")</f>
        <v>2Q 2023</v>
      </c>
      <c r="I596" s="131" t="str">
        <f ca="1">IFERROR(__xludf.DUMMYFUNCTION("""COMPUTED_VALUE"""),"katherine.michaels-bbva.com")</f>
        <v>katherine.michaels-bbva.com</v>
      </c>
      <c r="J596" s="131" t="str">
        <f ca="1">IFERROR(__xludf.DUMMYFUNCTION("""COMPUTED_VALUE"""),"mariajuliana.rodriguez-bbva.com")</f>
        <v>mariajuliana.rodriguez-bbva.com</v>
      </c>
      <c r="K596" s="131" t="str">
        <f ca="1">IFERROR(__xludf.DUMMYFUNCTION("""COMPUTED_VALUE"""),"felipe.guzman-bbva.com")</f>
        <v>felipe.guzman-bbva.com</v>
      </c>
      <c r="L596" s="130">
        <f ca="1">IFERROR(__xludf.DUMMYFUNCTION("""COMPUTED_VALUE"""),0)</f>
        <v>0</v>
      </c>
      <c r="M596" s="130">
        <f ca="1">IFERROR(__xludf.DUMMYFUNCTION("""COMPUTED_VALUE"""),0)</f>
        <v>0</v>
      </c>
      <c r="N596" s="130">
        <f ca="1">IFERROR(__xludf.DUMMYFUNCTION("""COMPUTED_VALUE"""),0)</f>
        <v>0</v>
      </c>
      <c r="O596" s="4" t="str">
        <f ca="1">IFERROR(__xludf.DUMMYFUNCTION("""COMPUTED_VALUE"""),"Waterfall")</f>
        <v>Waterfall</v>
      </c>
      <c r="P596" s="4" t="str">
        <f ca="1">IFERROR(__xludf.DUMMYFUNCTION("""COMPUTED_VALUE"""),"Tradicional")</f>
        <v>Tradicional</v>
      </c>
      <c r="Q596" s="4"/>
      <c r="R596" s="130" t="str">
        <f ca="1">IFERROR(__xludf.DUMMYFUNCTION("""COMPUTED_VALUE"""),"Insurance")</f>
        <v>Insurance</v>
      </c>
      <c r="S596" s="130" t="str">
        <f ca="1">IFERROR(__xludf.DUMMYFUNCTION("""COMPUTED_VALUE"""),"Strategic Review")</f>
        <v>Strategic Review</v>
      </c>
      <c r="T596" s="130" t="str">
        <f ca="1">IFERROR(__xludf.DUMMYFUNCTION("""COMPUTED_VALUE"""),"1. Generación de Ingresos")</f>
        <v>1. Generación de Ingresos</v>
      </c>
      <c r="U596" s="130" t="str">
        <f ca="1">IFERROR(__xludf.DUMMYFUNCTION("""COMPUTED_VALUE"""),"1.5. Otros de Proyectos de Ingresos")</f>
        <v>1.5. Otros de Proyectos de Ingresos</v>
      </c>
      <c r="V596" s="4" t="str">
        <f ca="1">IFERROR(__xludf.DUMMYFUNCTION("""COMPUTED_VALUE"""),"Seguros")</f>
        <v>Seguros</v>
      </c>
      <c r="W596" s="4">
        <f ca="1">IFERROR(__xludf.DUMMYFUNCTION("""COMPUTED_VALUE"""),1)</f>
        <v>1</v>
      </c>
      <c r="X596" s="4" t="str">
        <f ca="1">IFERROR(__xludf.DUMMYFUNCTION("""COMPUTED_VALUE"""),"05. Cross-sell")</f>
        <v>05. Cross-sell</v>
      </c>
      <c r="Y596" s="4" t="str">
        <f ca="1">IFERROR(__xludf.DUMMYFUNCTION("""COMPUTED_VALUE"""),"5.3.2 Insurance")</f>
        <v>5.3.2 Insurance</v>
      </c>
      <c r="Z596" s="132" t="str">
        <f ca="1">IFERROR(__xludf.DUMMYFUNCTION("""COMPUTED_VALUE"""),"262723")</f>
        <v>262723</v>
      </c>
      <c r="AA596" s="4" t="str">
        <f ca="1">IFERROR(__xludf.DUMMYFUNCTION("""COMPUTED_VALUE"""),"Acceso al aplicativo Nacar proveedor TLMK")</f>
        <v>Acceso al aplicativo Nacar proveedor TLMK</v>
      </c>
      <c r="AB596" s="4" t="str">
        <f ca="1">IFERROR(__xludf.DUMMYFUNCTION("""COMPUTED_VALUE"""),"Se solicita acceso al aplicativo Nacar y perfil de consulta/emisión para el proveedor de TLMK (Unisono) para la implementación del nuevo producto de Desempleo.")</f>
        <v>Se solicita acceso al aplicativo Nacar y perfil de consulta/emisión para el proveedor de TLMK (Unisono) para la implementación del nuevo producto de Desempleo.</v>
      </c>
      <c r="AC596" s="4" t="str">
        <f ca="1">IFERROR(__xludf.DUMMYFUNCTION("""COMPUTED_VALUE"""),"1Q 2022")</f>
        <v>1Q 2022</v>
      </c>
      <c r="AD596" s="4"/>
      <c r="AE596" s="4"/>
      <c r="AF596" s="4"/>
      <c r="AG596" s="4"/>
      <c r="AH596" s="4"/>
      <c r="AI596" s="4"/>
      <c r="AJ596" s="4"/>
      <c r="AK596" s="4" t="str">
        <f ca="1">IFERROR(__xludf.DUMMYFUNCTION("""COMPUTED_VALUE"""),"Sin asignar")</f>
        <v>Sin asignar</v>
      </c>
      <c r="AL596" s="4" t="str">
        <f ca="1">IFERROR(__xludf.DUMMYFUNCTION("""COMPUTED_VALUE"""),"Sin asignar")</f>
        <v>Sin asignar</v>
      </c>
      <c r="AM596" s="4"/>
      <c r="AN596" s="4" t="str">
        <f ca="1">IFERROR(__xludf.DUMMYFUNCTION("""COMPUTED_VALUE"""),"Entregable en backlog")</f>
        <v>Entregable en backlog</v>
      </c>
      <c r="AO596" s="4"/>
      <c r="AP596" s="4"/>
      <c r="AQ596" s="4"/>
      <c r="AR596" s="4" t="str">
        <f ca="1">IFERROR(__xludf.DUMMYFUNCTION("""COMPUTED_VALUE"""),"SDA aprobada en PPP Q1 2023")</f>
        <v>SDA aprobada en PPP Q1 2023</v>
      </c>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133">
        <f ca="1">IFERROR(__xludf.DUMMYFUNCTION("""COMPUTED_VALUE"""),0)</f>
        <v>0</v>
      </c>
      <c r="DV596" s="133">
        <f ca="1">IFERROR(__xludf.DUMMYFUNCTION("""COMPUTED_VALUE"""),230476141)</f>
        <v>230476141</v>
      </c>
      <c r="DW596" s="133">
        <f ca="1">IFERROR(__xludf.DUMMYFUNCTION("""COMPUTED_VALUE"""),897000000.68)</f>
        <v>897000000.67999995</v>
      </c>
      <c r="DX596" s="133">
        <f ca="1">IFERROR(__xludf.DUMMYFUNCTION("""COMPUTED_VALUE"""),70000000)</f>
        <v>70000000</v>
      </c>
      <c r="DY596" s="133">
        <f ca="1">IFERROR(__xludf.DUMMYFUNCTION("""COMPUTED_VALUE"""),0)</f>
        <v>0</v>
      </c>
      <c r="DZ596" s="133">
        <f ca="1">IFERROR(__xludf.DUMMYFUNCTION("""COMPUTED_VALUE"""),1197476141.68)</f>
        <v>1197476141.6800001</v>
      </c>
      <c r="EA596" s="4"/>
      <c r="EB596" s="4"/>
    </row>
    <row r="597" spans="1:132" x14ac:dyDescent="0.2">
      <c r="A597" s="4">
        <f ca="1">IFERROR(__xludf.DUMMYFUNCTION("""COMPUTED_VALUE"""),597)</f>
        <v>597</v>
      </c>
      <c r="B597" s="4">
        <f ca="1">IFERROR(__xludf.DUMMYFUNCTION("""COMPUTED_VALUE"""),569)</f>
        <v>569</v>
      </c>
      <c r="C597" s="4" t="str">
        <f ca="1">IFERROR(__xludf.DUMMYFUNCTION("""COMPUTED_VALUE"""),"SDATOOL-36501")</f>
        <v>SDATOOL-36501</v>
      </c>
      <c r="D597" s="4" t="str">
        <f ca="1">IFERROR(__xludf.DUMMYFUNCTION("""COMPUTED_VALUE"""),"Seguros - Cobro de seguros libres en créditos - Desempleo Fase 2")</f>
        <v>Seguros - Cobro de seguros libres en créditos - Desempleo Fase 2</v>
      </c>
      <c r="E597"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7" s="4" t="str">
        <f ca="1">IFERROR(__xludf.DUMMYFUNCTION("""COMPUTED_VALUE"""),"Project")</f>
        <v>Project</v>
      </c>
      <c r="G597" s="4" t="str">
        <f ca="1">IFERROR(__xludf.DUMMYFUNCTION("""COMPUTED_VALUE"""),"Stock")</f>
        <v>Stock</v>
      </c>
      <c r="H597" s="4" t="str">
        <f ca="1">IFERROR(__xludf.DUMMYFUNCTION("""COMPUTED_VALUE"""),"2Q 2023")</f>
        <v>2Q 2023</v>
      </c>
      <c r="I597" s="131" t="str">
        <f ca="1">IFERROR(__xludf.DUMMYFUNCTION("""COMPUTED_VALUE"""),"katherine.michaels-bbva.com")</f>
        <v>katherine.michaels-bbva.com</v>
      </c>
      <c r="J597" s="131" t="str">
        <f ca="1">IFERROR(__xludf.DUMMYFUNCTION("""COMPUTED_VALUE"""),"mariajuliana.rodriguez-bbva.com")</f>
        <v>mariajuliana.rodriguez-bbva.com</v>
      </c>
      <c r="K597" s="131" t="str">
        <f ca="1">IFERROR(__xludf.DUMMYFUNCTION("""COMPUTED_VALUE"""),"felipe.guzman-bbva.com")</f>
        <v>felipe.guzman-bbva.com</v>
      </c>
      <c r="L597" s="4"/>
      <c r="M597" s="4"/>
      <c r="N597" s="4"/>
      <c r="O597" s="4" t="str">
        <f ca="1">IFERROR(__xludf.DUMMYFUNCTION("""COMPUTED_VALUE"""),"Waterfall")</f>
        <v>Waterfall</v>
      </c>
      <c r="P597" s="4" t="str">
        <f ca="1">IFERROR(__xludf.DUMMYFUNCTION("""COMPUTED_VALUE"""),"Tradicional")</f>
        <v>Tradicional</v>
      </c>
      <c r="Q597" s="4"/>
      <c r="R597" s="130" t="str">
        <f ca="1">IFERROR(__xludf.DUMMYFUNCTION("""COMPUTED_VALUE"""),"Insurance")</f>
        <v>Insurance</v>
      </c>
      <c r="S597" s="130" t="str">
        <f ca="1">IFERROR(__xludf.DUMMYFUNCTION("""COMPUTED_VALUE"""),"Strategic Review")</f>
        <v>Strategic Review</v>
      </c>
      <c r="T597" s="130" t="str">
        <f ca="1">IFERROR(__xludf.DUMMYFUNCTION("""COMPUTED_VALUE"""),"1. Generación de Ingresos")</f>
        <v>1. Generación de Ingresos</v>
      </c>
      <c r="U597" s="130" t="str">
        <f ca="1">IFERROR(__xludf.DUMMYFUNCTION("""COMPUTED_VALUE"""),"1.5. Otros de Proyectos de Ingresos")</f>
        <v>1.5. Otros de Proyectos de Ingresos</v>
      </c>
      <c r="V597" s="4" t="str">
        <f ca="1">IFERROR(__xludf.DUMMYFUNCTION("""COMPUTED_VALUE"""),"Seguros")</f>
        <v>Seguros</v>
      </c>
      <c r="W597" s="4">
        <f ca="1">IFERROR(__xludf.DUMMYFUNCTION("""COMPUTED_VALUE"""),1)</f>
        <v>1</v>
      </c>
      <c r="X597" s="4" t="str">
        <f ca="1">IFERROR(__xludf.DUMMYFUNCTION("""COMPUTED_VALUE"""),"05. Cross-sell")</f>
        <v>05. Cross-sell</v>
      </c>
      <c r="Y597" s="4" t="str">
        <f ca="1">IFERROR(__xludf.DUMMYFUNCTION("""COMPUTED_VALUE"""),"5.3.2 Insurance")</f>
        <v>5.3.2 Insurance</v>
      </c>
      <c r="Z597" s="132" t="str">
        <f ca="1">IFERROR(__xludf.DUMMYFUNCTION("""COMPUTED_VALUE"""),"430688")</f>
        <v>430688</v>
      </c>
      <c r="AA597" s="4" t="str">
        <f ca="1">IFERROR(__xludf.DUMMYFUNCTION("""COMPUTED_VALUE"""),"Ajuste de valor asegurado autos y ajustes backlog")</f>
        <v>Ajuste de valor asegurado autos y ajustes backlog</v>
      </c>
      <c r="AB597" s="4" t="str">
        <f ca="1">IFERROR(__xludf.DUMMYFUNCTION("""COMPUTED_VALUE"""),"Ajustar el valor asegurado de autos en el producto de seguros libres. En la actualidad el valor asegurado para el calculo de la prima de desempleo no está incluyendo el valor la prima del seguro de autos.")</f>
        <v>Ajustar el valor asegurado de autos en el producto de seguros libres. En la actualidad el valor asegurado para el calculo de la prima de desempleo no está incluyendo el valor la prima del seguro de autos.</v>
      </c>
      <c r="AC597" s="4" t="str">
        <f ca="1">IFERROR(__xludf.DUMMYFUNCTION("""COMPUTED_VALUE"""),"4Q 2022")</f>
        <v>4Q 2022</v>
      </c>
      <c r="AD597" s="4"/>
      <c r="AE597" s="4"/>
      <c r="AF597" s="4"/>
      <c r="AG597" s="4"/>
      <c r="AH597" s="4"/>
      <c r="AI597" s="4"/>
      <c r="AJ597" s="4"/>
      <c r="AK597" s="4" t="str">
        <f ca="1">IFERROR(__xludf.DUMMYFUNCTION("""COMPUTED_VALUE"""),"Sin asignar")</f>
        <v>Sin asignar</v>
      </c>
      <c r="AL597" s="4" t="str">
        <f ca="1">IFERROR(__xludf.DUMMYFUNCTION("""COMPUTED_VALUE"""),"Sin asignar")</f>
        <v>Sin asignar</v>
      </c>
      <c r="AM597" s="4" t="str">
        <f ca="1">IFERROR(__xludf.DUMMYFUNCTION("""COMPUTED_VALUE"""),"FINALIZADO")</f>
        <v>FINALIZADO</v>
      </c>
      <c r="AN597" s="4" t="str">
        <f ca="1">IFERROR(__xludf.DUMMYFUNCTION("""COMPUTED_VALUE"""),"Finalizado")</f>
        <v>Finalizado</v>
      </c>
      <c r="AO597" s="4"/>
      <c r="AP597" s="4"/>
      <c r="AQ597" s="4"/>
      <c r="AR597" s="4" t="str">
        <f ca="1">IFERROR(__xludf.DUMMYFUNCTION("""COMPUTED_VALUE"""),"SDA aprobada en PPP Q1 2023")</f>
        <v>SDA aprobada en PPP Q1 2023</v>
      </c>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row>
    <row r="598" spans="1:132" x14ac:dyDescent="0.2">
      <c r="A598" s="4">
        <f ca="1">IFERROR(__xludf.DUMMYFUNCTION("""COMPUTED_VALUE"""),598)</f>
        <v>598</v>
      </c>
      <c r="B598" s="4">
        <f ca="1">IFERROR(__xludf.DUMMYFUNCTION("""COMPUTED_VALUE"""),570)</f>
        <v>570</v>
      </c>
      <c r="C598" s="4" t="str">
        <f ca="1">IFERROR(__xludf.DUMMYFUNCTION("""COMPUTED_VALUE"""),"SDATOOL-36501")</f>
        <v>SDATOOL-36501</v>
      </c>
      <c r="D598" s="4" t="str">
        <f ca="1">IFERROR(__xludf.DUMMYFUNCTION("""COMPUTED_VALUE"""),"Seguros - Cobro de seguros libres en créditos - Desempleo Fase 2")</f>
        <v>Seguros - Cobro de seguros libres en créditos - Desempleo Fase 2</v>
      </c>
      <c r="E598"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8" s="4" t="str">
        <f ca="1">IFERROR(__xludf.DUMMYFUNCTION("""COMPUTED_VALUE"""),"Project")</f>
        <v>Project</v>
      </c>
      <c r="G598" s="4" t="str">
        <f ca="1">IFERROR(__xludf.DUMMYFUNCTION("""COMPUTED_VALUE"""),"Stock")</f>
        <v>Stock</v>
      </c>
      <c r="H598" s="4" t="str">
        <f ca="1">IFERROR(__xludf.DUMMYFUNCTION("""COMPUTED_VALUE"""),"2Q 2023")</f>
        <v>2Q 2023</v>
      </c>
      <c r="I598" s="131" t="str">
        <f ca="1">IFERROR(__xludf.DUMMYFUNCTION("""COMPUTED_VALUE"""),"katherine.michaels-bbva.com")</f>
        <v>katherine.michaels-bbva.com</v>
      </c>
      <c r="J598" s="131" t="str">
        <f ca="1">IFERROR(__xludf.DUMMYFUNCTION("""COMPUTED_VALUE"""),"mariajuliana.rodriguez-bbva.com")</f>
        <v>mariajuliana.rodriguez-bbva.com</v>
      </c>
      <c r="K598" s="131" t="str">
        <f ca="1">IFERROR(__xludf.DUMMYFUNCTION("""COMPUTED_VALUE"""),"felipe.guzman-bbva.com")</f>
        <v>felipe.guzman-bbva.com</v>
      </c>
      <c r="L598" s="4"/>
      <c r="M598" s="4"/>
      <c r="N598" s="4"/>
      <c r="O598" s="4" t="str">
        <f ca="1">IFERROR(__xludf.DUMMYFUNCTION("""COMPUTED_VALUE"""),"Waterfall")</f>
        <v>Waterfall</v>
      </c>
      <c r="P598" s="4" t="str">
        <f ca="1">IFERROR(__xludf.DUMMYFUNCTION("""COMPUTED_VALUE"""),"Tradicional")</f>
        <v>Tradicional</v>
      </c>
      <c r="Q598" s="4"/>
      <c r="R598" s="130" t="str">
        <f ca="1">IFERROR(__xludf.DUMMYFUNCTION("""COMPUTED_VALUE"""),"Insurance")</f>
        <v>Insurance</v>
      </c>
      <c r="S598" s="130" t="str">
        <f ca="1">IFERROR(__xludf.DUMMYFUNCTION("""COMPUTED_VALUE"""),"Strategic Review")</f>
        <v>Strategic Review</v>
      </c>
      <c r="T598" s="130" t="str">
        <f ca="1">IFERROR(__xludf.DUMMYFUNCTION("""COMPUTED_VALUE"""),"1. Generación de Ingresos")</f>
        <v>1. Generación de Ingresos</v>
      </c>
      <c r="U598" s="130" t="str">
        <f ca="1">IFERROR(__xludf.DUMMYFUNCTION("""COMPUTED_VALUE"""),"1.5. Otros de Proyectos de Ingresos")</f>
        <v>1.5. Otros de Proyectos de Ingresos</v>
      </c>
      <c r="V598" s="4" t="str">
        <f ca="1">IFERROR(__xludf.DUMMYFUNCTION("""COMPUTED_VALUE"""),"Seguros")</f>
        <v>Seguros</v>
      </c>
      <c r="W598" s="4">
        <f ca="1">IFERROR(__xludf.DUMMYFUNCTION("""COMPUTED_VALUE"""),1)</f>
        <v>1</v>
      </c>
      <c r="X598" s="4" t="str">
        <f ca="1">IFERROR(__xludf.DUMMYFUNCTION("""COMPUTED_VALUE"""),"05. Cross-sell")</f>
        <v>05. Cross-sell</v>
      </c>
      <c r="Y598" s="4" t="str">
        <f ca="1">IFERROR(__xludf.DUMMYFUNCTION("""COMPUTED_VALUE"""),"5.3.2 Insurance")</f>
        <v>5.3.2 Insurance</v>
      </c>
      <c r="Z598" s="132" t="str">
        <f ca="1">IFERROR(__xludf.DUMMYFUNCTION("""COMPUTED_VALUE"""),"260663")</f>
        <v>260663</v>
      </c>
      <c r="AA598" s="4" t="str">
        <f ca="1">IFERROR(__xludf.DUMMYFUNCTION("""COMPUTED_VALUE"""),"Desempleo Libranzas")</f>
        <v>Desempleo Libranzas</v>
      </c>
      <c r="AB598" s="4" t="str">
        <f ca="1">IFERROR(__xludf.DUMMYFUNCTION("""COMPUTED_VALUE"""),"Implementar el cobro de un seguro libre (voluntario) de desempleo e incapacidad temporal dentro de los créditos de cartera de Libranzas")</f>
        <v>Implementar el cobro de un seguro libre (voluntario) de desempleo e incapacidad temporal dentro de los créditos de cartera de Libranzas</v>
      </c>
      <c r="AC598" s="4" t="str">
        <f ca="1">IFERROR(__xludf.DUMMYFUNCTION("""COMPUTED_VALUE"""),"1Q 2022")</f>
        <v>1Q 2022</v>
      </c>
      <c r="AD598" s="4" t="str">
        <f ca="1">IFERROR(__xludf.DUMMYFUNCTION("""COMPUTED_VALUE"""),"-")</f>
        <v>-</v>
      </c>
      <c r="AE598" s="4" t="str">
        <f ca="1">IFERROR(__xludf.DUMMYFUNCTION("""COMPUTED_VALUE"""),"-")</f>
        <v>-</v>
      </c>
      <c r="AF598" s="4" t="str">
        <f ca="1">IFERROR(__xludf.DUMMYFUNCTION("""COMPUTED_VALUE"""),"-")</f>
        <v>-</v>
      </c>
      <c r="AG598" s="4" t="str">
        <f ca="1">IFERROR(__xludf.DUMMYFUNCTION("""COMPUTED_VALUE"""),"-")</f>
        <v>-</v>
      </c>
      <c r="AH598" s="4" t="str">
        <f ca="1">IFERROR(__xludf.DUMMYFUNCTION("""COMPUTED_VALUE"""),"-")</f>
        <v>-</v>
      </c>
      <c r="AI598" s="4" t="str">
        <f ca="1">IFERROR(__xludf.DUMMYFUNCTION("""COMPUTED_VALUE"""),"-")</f>
        <v>-</v>
      </c>
      <c r="AJ598" s="4" t="str">
        <f ca="1">IFERROR(__xludf.DUMMYFUNCTION("""COMPUTED_VALUE"""),"-")</f>
        <v>-</v>
      </c>
      <c r="AK598" s="4" t="str">
        <f ca="1">IFERROR(__xludf.DUMMYFUNCTION("""COMPUTED_VALUE"""),"Sin asignar")</f>
        <v>Sin asignar</v>
      </c>
      <c r="AL598" s="4" t="str">
        <f ca="1">IFERROR(__xludf.DUMMYFUNCTION("""COMPUTED_VALUE"""),"Sin asignar")</f>
        <v>Sin asignar</v>
      </c>
      <c r="AM598" s="4" t="str">
        <f ca="1">IFERROR(__xludf.DUMMYFUNCTION("""COMPUTED_VALUE"""),"FINALIZADO")</f>
        <v>FINALIZADO</v>
      </c>
      <c r="AN598" s="4" t="str">
        <f ca="1">IFERROR(__xludf.DUMMYFUNCTION("""COMPUTED_VALUE"""),"Finalizado")</f>
        <v>Finalizado</v>
      </c>
      <c r="AO598" s="4"/>
      <c r="AP598" s="4"/>
      <c r="AQ598" s="4"/>
      <c r="AR598" s="4" t="str">
        <f ca="1">IFERROR(__xludf.DUMMYFUNCTION("""COMPUTED_VALUE"""),"SDA aprobada en PPP Q1 2023")</f>
        <v>SDA aprobada en PPP Q1 2023</v>
      </c>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row>
    <row r="599" spans="1:132" x14ac:dyDescent="0.2">
      <c r="A599" s="4">
        <f ca="1">IFERROR(__xludf.DUMMYFUNCTION("""COMPUTED_VALUE"""),599)</f>
        <v>599</v>
      </c>
      <c r="B599" s="4">
        <f ca="1">IFERROR(__xludf.DUMMYFUNCTION("""COMPUTED_VALUE"""),571)</f>
        <v>571</v>
      </c>
      <c r="C599" s="4" t="str">
        <f ca="1">IFERROR(__xludf.DUMMYFUNCTION("""COMPUTED_VALUE"""),"SDATOOL-36501")</f>
        <v>SDATOOL-36501</v>
      </c>
      <c r="D599" s="4" t="str">
        <f ca="1">IFERROR(__xludf.DUMMYFUNCTION("""COMPUTED_VALUE"""),"Seguros - Cobro de seguros libres en créditos - Desempleo Fase 2")</f>
        <v>Seguros - Cobro de seguros libres en créditos - Desempleo Fase 2</v>
      </c>
      <c r="E599"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9" s="4" t="str">
        <f ca="1">IFERROR(__xludf.DUMMYFUNCTION("""COMPUTED_VALUE"""),"Project")</f>
        <v>Project</v>
      </c>
      <c r="G599" s="4" t="str">
        <f ca="1">IFERROR(__xludf.DUMMYFUNCTION("""COMPUTED_VALUE"""),"Stock")</f>
        <v>Stock</v>
      </c>
      <c r="H599" s="4" t="str">
        <f ca="1">IFERROR(__xludf.DUMMYFUNCTION("""COMPUTED_VALUE"""),"2Q 2023")</f>
        <v>2Q 2023</v>
      </c>
      <c r="I599" s="131" t="str">
        <f ca="1">IFERROR(__xludf.DUMMYFUNCTION("""COMPUTED_VALUE"""),"katherine.michaels-bbva.com")</f>
        <v>katherine.michaels-bbva.com</v>
      </c>
      <c r="J599" s="131" t="str">
        <f ca="1">IFERROR(__xludf.DUMMYFUNCTION("""COMPUTED_VALUE"""),"mariajuliana.rodriguez-bbva.com")</f>
        <v>mariajuliana.rodriguez-bbva.com</v>
      </c>
      <c r="K599" s="131" t="str">
        <f ca="1">IFERROR(__xludf.DUMMYFUNCTION("""COMPUTED_VALUE"""),"felipe.guzman-bbva.com")</f>
        <v>felipe.guzman-bbva.com</v>
      </c>
      <c r="L599" s="4"/>
      <c r="M599" s="4"/>
      <c r="N599" s="4"/>
      <c r="O599" s="4" t="str">
        <f ca="1">IFERROR(__xludf.DUMMYFUNCTION("""COMPUTED_VALUE"""),"Waterfall")</f>
        <v>Waterfall</v>
      </c>
      <c r="P599" s="4" t="str">
        <f ca="1">IFERROR(__xludf.DUMMYFUNCTION("""COMPUTED_VALUE"""),"Tradicional")</f>
        <v>Tradicional</v>
      </c>
      <c r="Q599" s="4"/>
      <c r="R599" s="130" t="str">
        <f ca="1">IFERROR(__xludf.DUMMYFUNCTION("""COMPUTED_VALUE"""),"Insurance")</f>
        <v>Insurance</v>
      </c>
      <c r="S599" s="130" t="str">
        <f ca="1">IFERROR(__xludf.DUMMYFUNCTION("""COMPUTED_VALUE"""),"Strategic Review")</f>
        <v>Strategic Review</v>
      </c>
      <c r="T599" s="130" t="str">
        <f ca="1">IFERROR(__xludf.DUMMYFUNCTION("""COMPUTED_VALUE"""),"1. Generación de Ingresos")</f>
        <v>1. Generación de Ingresos</v>
      </c>
      <c r="U599" s="130" t="str">
        <f ca="1">IFERROR(__xludf.DUMMYFUNCTION("""COMPUTED_VALUE"""),"1.5. Otros de Proyectos de Ingresos")</f>
        <v>1.5. Otros de Proyectos de Ingresos</v>
      </c>
      <c r="V599" s="4" t="str">
        <f ca="1">IFERROR(__xludf.DUMMYFUNCTION("""COMPUTED_VALUE"""),"Seguros")</f>
        <v>Seguros</v>
      </c>
      <c r="W599" s="4">
        <f ca="1">IFERROR(__xludf.DUMMYFUNCTION("""COMPUTED_VALUE"""),1)</f>
        <v>1</v>
      </c>
      <c r="X599" s="4" t="str">
        <f ca="1">IFERROR(__xludf.DUMMYFUNCTION("""COMPUTED_VALUE"""),"05. Cross-sell")</f>
        <v>05. Cross-sell</v>
      </c>
      <c r="Y599" s="4" t="str">
        <f ca="1">IFERROR(__xludf.DUMMYFUNCTION("""COMPUTED_VALUE"""),"5.3.2 Insurance")</f>
        <v>5.3.2 Insurance</v>
      </c>
      <c r="Z599" s="132" t="str">
        <f ca="1">IFERROR(__xludf.DUMMYFUNCTION("""COMPUTED_VALUE"""),"262725")</f>
        <v>262725</v>
      </c>
      <c r="AA599" s="4" t="str">
        <f ca="1">IFERROR(__xludf.DUMMYFUNCTION("""COMPUTED_VALUE"""),"Integración AXA Partner")</f>
        <v>Integración AXA Partner</v>
      </c>
      <c r="AB599" s="4" t="str">
        <f ca="1">IFERROR(__xludf.DUMMYFUNCTION("""COMPUTED_VALUE"""),"Realizar la asignación y configuración de un sFTP entre BBVA Seguros y AXA Partners para realizar la transmisión segura de insumos que permitan a ambas partes realizar los procesos derivados del acuerdo comercial de reaseguro: Informes, seguimiento, atenc"&amp;"ión al cliente, definición y pago de siniestros.")</f>
        <v>Realizar la asignación y configuración de un sFTP entre BBVA Seguros y AXA Partners para realizar la transmisión segura de insumos que permitan a ambas partes realizar los procesos derivados del acuerdo comercial de reaseguro: Informes, seguimiento, atención al cliente, definición y pago de siniestros.</v>
      </c>
      <c r="AC599" s="4" t="str">
        <f ca="1">IFERROR(__xludf.DUMMYFUNCTION("""COMPUTED_VALUE"""),"1Q 2022")</f>
        <v>1Q 2022</v>
      </c>
      <c r="AD599" s="128">
        <f ca="1">IFERROR(__xludf.DUMMYFUNCTION("""COMPUTED_VALUE"""),44689)</f>
        <v>44689</v>
      </c>
      <c r="AE599" s="128">
        <f ca="1">IFERROR(__xludf.DUMMYFUNCTION("""COMPUTED_VALUE"""),44695)</f>
        <v>44695</v>
      </c>
      <c r="AF599" s="128">
        <f ca="1">IFERROR(__xludf.DUMMYFUNCTION("""COMPUTED_VALUE"""),44698)</f>
        <v>44698</v>
      </c>
      <c r="AG599" s="128">
        <f ca="1">IFERROR(__xludf.DUMMYFUNCTION("""COMPUTED_VALUE"""),44758)</f>
        <v>44758</v>
      </c>
      <c r="AH599" s="128">
        <f ca="1">IFERROR(__xludf.DUMMYFUNCTION("""COMPUTED_VALUE"""),44761)</f>
        <v>44761</v>
      </c>
      <c r="AI599" s="128">
        <f ca="1">IFERROR(__xludf.DUMMYFUNCTION("""COMPUTED_VALUE"""),44765)</f>
        <v>44765</v>
      </c>
      <c r="AJ599" s="128">
        <f ca="1">IFERROR(__xludf.DUMMYFUNCTION("""COMPUTED_VALUE"""),44774)</f>
        <v>44774</v>
      </c>
      <c r="AK599" s="131" t="str">
        <f ca="1">IFERROR(__xludf.DUMMYFUNCTION("""COMPUTED_VALUE"""),"COLWSSEGUR-58")</f>
        <v>COLWSSEGUR-58</v>
      </c>
      <c r="AL599" s="4" t="str">
        <f ca="1">IFERROR(__xludf.DUMMYFUNCTION("""COMPUTED_VALUE"""),"Deployed")</f>
        <v>Deployed</v>
      </c>
      <c r="AM599" s="4" t="str">
        <f ca="1">IFERROR(__xludf.DUMMYFUNCTION("""COMPUTED_VALUE"""),"FINALIZADO")</f>
        <v>FINALIZADO</v>
      </c>
      <c r="AN599" s="4" t="str">
        <f ca="1">IFERROR(__xludf.DUMMYFUNCTION("""COMPUTED_VALUE"""),"Finalizado")</f>
        <v>Finalizado</v>
      </c>
      <c r="AO599" s="4"/>
      <c r="AP599" s="4"/>
      <c r="AQ599" s="4"/>
      <c r="AR599" s="4" t="str">
        <f ca="1">IFERROR(__xludf.DUMMYFUNCTION("""COMPUTED_VALUE"""),"SDA aprobada en PPP Q1 2023")</f>
        <v>SDA aprobada en PPP Q1 2023</v>
      </c>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row>
    <row r="600" spans="1:132" x14ac:dyDescent="0.2">
      <c r="A600" s="4">
        <f ca="1">IFERROR(__xludf.DUMMYFUNCTION("""COMPUTED_VALUE"""),600)</f>
        <v>600</v>
      </c>
      <c r="B600" s="4">
        <f ca="1">IFERROR(__xludf.DUMMYFUNCTION("""COMPUTED_VALUE"""),572)</f>
        <v>572</v>
      </c>
      <c r="C600" s="4" t="str">
        <f ca="1">IFERROR(__xludf.DUMMYFUNCTION("""COMPUTED_VALUE"""),"SDATOOL-36501")</f>
        <v>SDATOOL-36501</v>
      </c>
      <c r="D600" s="4" t="str">
        <f ca="1">IFERROR(__xludf.DUMMYFUNCTION("""COMPUTED_VALUE"""),"Seguros - Cobro de seguros libres en créditos - Desempleo Fase 2")</f>
        <v>Seguros - Cobro de seguros libres en créditos - Desempleo Fase 2</v>
      </c>
      <c r="E600"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0" s="4" t="str">
        <f ca="1">IFERROR(__xludf.DUMMYFUNCTION("""COMPUTED_VALUE"""),"Project")</f>
        <v>Project</v>
      </c>
      <c r="G600" s="4" t="str">
        <f ca="1">IFERROR(__xludf.DUMMYFUNCTION("""COMPUTED_VALUE"""),"Stock")</f>
        <v>Stock</v>
      </c>
      <c r="H600" s="4" t="str">
        <f ca="1">IFERROR(__xludf.DUMMYFUNCTION("""COMPUTED_VALUE"""),"2Q 2023")</f>
        <v>2Q 2023</v>
      </c>
      <c r="I600" s="131" t="str">
        <f ca="1">IFERROR(__xludf.DUMMYFUNCTION("""COMPUTED_VALUE"""),"katherine.michaels-bbva.com")</f>
        <v>katherine.michaels-bbva.com</v>
      </c>
      <c r="J600" s="131" t="str">
        <f ca="1">IFERROR(__xludf.DUMMYFUNCTION("""COMPUTED_VALUE"""),"mariajuliana.rodriguez-bbva.com")</f>
        <v>mariajuliana.rodriguez-bbva.com</v>
      </c>
      <c r="K600" s="131" t="str">
        <f ca="1">IFERROR(__xludf.DUMMYFUNCTION("""COMPUTED_VALUE"""),"felipe.guzman-bbva.com")</f>
        <v>felipe.guzman-bbva.com</v>
      </c>
      <c r="L600" s="4"/>
      <c r="M600" s="4"/>
      <c r="N600" s="4"/>
      <c r="O600" s="4" t="str">
        <f ca="1">IFERROR(__xludf.DUMMYFUNCTION("""COMPUTED_VALUE"""),"Waterfall")</f>
        <v>Waterfall</v>
      </c>
      <c r="P600" s="4" t="str">
        <f ca="1">IFERROR(__xludf.DUMMYFUNCTION("""COMPUTED_VALUE"""),"Tradicional")</f>
        <v>Tradicional</v>
      </c>
      <c r="Q600" s="4"/>
      <c r="R600" s="130" t="str">
        <f ca="1">IFERROR(__xludf.DUMMYFUNCTION("""COMPUTED_VALUE"""),"Insurance")</f>
        <v>Insurance</v>
      </c>
      <c r="S600" s="130" t="str">
        <f ca="1">IFERROR(__xludf.DUMMYFUNCTION("""COMPUTED_VALUE"""),"Strategic Review")</f>
        <v>Strategic Review</v>
      </c>
      <c r="T600" s="130" t="str">
        <f ca="1">IFERROR(__xludf.DUMMYFUNCTION("""COMPUTED_VALUE"""),"1. Generación de Ingresos")</f>
        <v>1. Generación de Ingresos</v>
      </c>
      <c r="U600" s="130" t="str">
        <f ca="1">IFERROR(__xludf.DUMMYFUNCTION("""COMPUTED_VALUE"""),"1.5. Otros de Proyectos de Ingresos")</f>
        <v>1.5. Otros de Proyectos de Ingresos</v>
      </c>
      <c r="V600" s="4" t="str">
        <f ca="1">IFERROR(__xludf.DUMMYFUNCTION("""COMPUTED_VALUE"""),"Seguros")</f>
        <v>Seguros</v>
      </c>
      <c r="W600" s="4">
        <f ca="1">IFERROR(__xludf.DUMMYFUNCTION("""COMPUTED_VALUE"""),1)</f>
        <v>1</v>
      </c>
      <c r="X600" s="4" t="str">
        <f ca="1">IFERROR(__xludf.DUMMYFUNCTION("""COMPUTED_VALUE"""),"05. Cross-sell")</f>
        <v>05. Cross-sell</v>
      </c>
      <c r="Y600" s="4" t="str">
        <f ca="1">IFERROR(__xludf.DUMMYFUNCTION("""COMPUTED_VALUE"""),"5.3.2 Insurance")</f>
        <v>5.3.2 Insurance</v>
      </c>
      <c r="Z600" s="132" t="str">
        <f ca="1">IFERROR(__xludf.DUMMYFUNCTION("""COMPUTED_VALUE"""),"310125")</f>
        <v>310125</v>
      </c>
      <c r="AA600" s="4" t="str">
        <f ca="1">IFERROR(__xludf.DUMMYFUNCTION("""COMPUTED_VALUE"""),"Integración Partnership - Siniestros")</f>
        <v>Integración Partnership - Siniestros</v>
      </c>
      <c r="AB600" s="4" t="str">
        <f ca="1">IFERROR(__xludf.DUMMYFUNCTION("""COMPUTED_VALUE"""),"Implementar el modelo de atención de siniestros que contemple la interacción de los aplicativos de BBVA Seguros para que sean utilizados por los partners con los que se establece una alianza comercial.")</f>
        <v>Implementar el modelo de atención de siniestros que contemple la interacción de los aplicativos de BBVA Seguros para que sean utilizados por los partners con los que se establece una alianza comercial.</v>
      </c>
      <c r="AC600" s="4" t="str">
        <f ca="1">IFERROR(__xludf.DUMMYFUNCTION("""COMPUTED_VALUE"""),"1Q 2022")</f>
        <v>1Q 2022</v>
      </c>
      <c r="AD600" s="128">
        <f ca="1">IFERROR(__xludf.DUMMYFUNCTION("""COMPUTED_VALUE"""),44310)</f>
        <v>44310</v>
      </c>
      <c r="AE600" s="128">
        <f ca="1">IFERROR(__xludf.DUMMYFUNCTION("""COMPUTED_VALUE"""),44392)</f>
        <v>44392</v>
      </c>
      <c r="AF600" s="128">
        <f ca="1">IFERROR(__xludf.DUMMYFUNCTION("""COMPUTED_VALUE"""),44393)</f>
        <v>44393</v>
      </c>
      <c r="AG600" s="128">
        <f ca="1">IFERROR(__xludf.DUMMYFUNCTION("""COMPUTED_VALUE"""),44500)</f>
        <v>44500</v>
      </c>
      <c r="AH600" s="128">
        <f ca="1">IFERROR(__xludf.DUMMYFUNCTION("""COMPUTED_VALUE"""),44501)</f>
        <v>44501</v>
      </c>
      <c r="AI600" s="128">
        <f ca="1">IFERROR(__xludf.DUMMYFUNCTION("""COMPUTED_VALUE"""),44530)</f>
        <v>44530</v>
      </c>
      <c r="AJ600" s="128">
        <f ca="1">IFERROR(__xludf.DUMMYFUNCTION("""COMPUTED_VALUE"""),44592)</f>
        <v>44592</v>
      </c>
      <c r="AK600" s="131" t="str">
        <f ca="1">IFERROR(__xludf.DUMMYFUNCTION("""COMPUTED_VALUE"""),"COLWSSEGUR-57")</f>
        <v>COLWSSEGUR-57</v>
      </c>
      <c r="AL600" s="4" t="str">
        <f ca="1">IFERROR(__xludf.DUMMYFUNCTION("""COMPUTED_VALUE"""),"Deployed")</f>
        <v>Deployed</v>
      </c>
      <c r="AM600" s="4" t="str">
        <f ca="1">IFERROR(__xludf.DUMMYFUNCTION("""COMPUTED_VALUE"""),"FINALIZADO")</f>
        <v>FINALIZADO</v>
      </c>
      <c r="AN600" s="4" t="str">
        <f ca="1">IFERROR(__xludf.DUMMYFUNCTION("""COMPUTED_VALUE"""),"Finalizado")</f>
        <v>Finalizado</v>
      </c>
      <c r="AO600" s="4"/>
      <c r="AP600" s="4"/>
      <c r="AQ600" s="4"/>
      <c r="AR600" s="4" t="str">
        <f ca="1">IFERROR(__xludf.DUMMYFUNCTION("""COMPUTED_VALUE"""),"SDA aprobada en PPP Q1 2023")</f>
        <v>SDA aprobada en PPP Q1 2023</v>
      </c>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row>
    <row r="601" spans="1:132" x14ac:dyDescent="0.2">
      <c r="A601" s="4">
        <f ca="1">IFERROR(__xludf.DUMMYFUNCTION("""COMPUTED_VALUE"""),601)</f>
        <v>601</v>
      </c>
      <c r="B601" s="4">
        <f ca="1">IFERROR(__xludf.DUMMYFUNCTION("""COMPUTED_VALUE"""),573)</f>
        <v>573</v>
      </c>
      <c r="C601" s="4" t="str">
        <f ca="1">IFERROR(__xludf.DUMMYFUNCTION("""COMPUTED_VALUE"""),"SDATOOL-36501")</f>
        <v>SDATOOL-36501</v>
      </c>
      <c r="D601" s="4" t="str">
        <f ca="1">IFERROR(__xludf.DUMMYFUNCTION("""COMPUTED_VALUE"""),"Seguros - Cobro de seguros libres en créditos - Desempleo Fase 2")</f>
        <v>Seguros - Cobro de seguros libres en créditos - Desempleo Fase 2</v>
      </c>
      <c r="E601"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1" s="4" t="str">
        <f ca="1">IFERROR(__xludf.DUMMYFUNCTION("""COMPUTED_VALUE"""),"Project")</f>
        <v>Project</v>
      </c>
      <c r="G601" s="4" t="str">
        <f ca="1">IFERROR(__xludf.DUMMYFUNCTION("""COMPUTED_VALUE"""),"Stock")</f>
        <v>Stock</v>
      </c>
      <c r="H601" s="4" t="str">
        <f ca="1">IFERROR(__xludf.DUMMYFUNCTION("""COMPUTED_VALUE"""),"2Q 2023")</f>
        <v>2Q 2023</v>
      </c>
      <c r="I601" s="131" t="str">
        <f ca="1">IFERROR(__xludf.DUMMYFUNCTION("""COMPUTED_VALUE"""),"katherine.michaels-bbva.com")</f>
        <v>katherine.michaels-bbva.com</v>
      </c>
      <c r="J601" s="131" t="str">
        <f ca="1">IFERROR(__xludf.DUMMYFUNCTION("""COMPUTED_VALUE"""),"mariajuliana.rodriguez-bbva.com")</f>
        <v>mariajuliana.rodriguez-bbva.com</v>
      </c>
      <c r="K601" s="131" t="str">
        <f ca="1">IFERROR(__xludf.DUMMYFUNCTION("""COMPUTED_VALUE"""),"felipe.guzman-bbva.com")</f>
        <v>felipe.guzman-bbva.com</v>
      </c>
      <c r="L601" s="4"/>
      <c r="M601" s="4"/>
      <c r="N601" s="4"/>
      <c r="O601" s="4" t="str">
        <f ca="1">IFERROR(__xludf.DUMMYFUNCTION("""COMPUTED_VALUE"""),"Waterfall")</f>
        <v>Waterfall</v>
      </c>
      <c r="P601" s="4" t="str">
        <f ca="1">IFERROR(__xludf.DUMMYFUNCTION("""COMPUTED_VALUE"""),"Tradicional")</f>
        <v>Tradicional</v>
      </c>
      <c r="Q601" s="4"/>
      <c r="R601" s="130" t="str">
        <f ca="1">IFERROR(__xludf.DUMMYFUNCTION("""COMPUTED_VALUE"""),"Insurance")</f>
        <v>Insurance</v>
      </c>
      <c r="S601" s="130" t="str">
        <f ca="1">IFERROR(__xludf.DUMMYFUNCTION("""COMPUTED_VALUE"""),"Strategic Review")</f>
        <v>Strategic Review</v>
      </c>
      <c r="T601" s="130" t="str">
        <f ca="1">IFERROR(__xludf.DUMMYFUNCTION("""COMPUTED_VALUE"""),"1. Generación de Ingresos")</f>
        <v>1. Generación de Ingresos</v>
      </c>
      <c r="U601" s="130" t="str">
        <f ca="1">IFERROR(__xludf.DUMMYFUNCTION("""COMPUTED_VALUE"""),"1.5. Otros de Proyectos de Ingresos")</f>
        <v>1.5. Otros de Proyectos de Ingresos</v>
      </c>
      <c r="V601" s="4" t="str">
        <f ca="1">IFERROR(__xludf.DUMMYFUNCTION("""COMPUTED_VALUE"""),"Seguros")</f>
        <v>Seguros</v>
      </c>
      <c r="W601" s="4">
        <f ca="1">IFERROR(__xludf.DUMMYFUNCTION("""COMPUTED_VALUE"""),1)</f>
        <v>1</v>
      </c>
      <c r="X601" s="4" t="str">
        <f ca="1">IFERROR(__xludf.DUMMYFUNCTION("""COMPUTED_VALUE"""),"05. Cross-sell")</f>
        <v>05. Cross-sell</v>
      </c>
      <c r="Y601" s="4" t="str">
        <f ca="1">IFERROR(__xludf.DUMMYFUNCTION("""COMPUTED_VALUE"""),"5.3.2 Insurance")</f>
        <v>5.3.2 Insurance</v>
      </c>
      <c r="Z601" s="132" t="str">
        <f ca="1">IFERROR(__xludf.DUMMYFUNCTION("""COMPUTED_VALUE"""),"262724")</f>
        <v>262724</v>
      </c>
      <c r="AA601" s="4" t="str">
        <f ca="1">IFERROR(__xludf.DUMMYFUNCTION("""COMPUTED_VALUE"""),"Reportes productos con AXA partners")</f>
        <v>Reportes productos con AXA partners</v>
      </c>
      <c r="AB601" s="4" t="str">
        <f ca="1">IFERROR(__xludf.DUMMYFUNCTION("""COMPUTED_VALUE"""),"Realizar los reportes de los productos entre BBVA Seguros y AXA Partners para que ambas partes puedan realizar seguimiento comercial,  los procesos derivados del acuerdo comercial de reaseguro: Informes, seguimiento, atención al cliente, definición y pago"&amp;" de siniestros.")</f>
        <v>Realizar los reportes de los productos entre BBVA Seguros y AXA Partners para que ambas partes puedan realizar seguimiento comercial,  los procesos derivados del acuerdo comercial de reaseguro: Informes, seguimiento, atención al cliente, definición y pago de siniestros.</v>
      </c>
      <c r="AC601" s="4" t="str">
        <f ca="1">IFERROR(__xludf.DUMMYFUNCTION("""COMPUTED_VALUE"""),"1Q 2022")</f>
        <v>1Q 2022</v>
      </c>
      <c r="AD601" s="128">
        <f ca="1">IFERROR(__xludf.DUMMYFUNCTION("""COMPUTED_VALUE"""),44310)</f>
        <v>44310</v>
      </c>
      <c r="AE601" s="128">
        <f ca="1">IFERROR(__xludf.DUMMYFUNCTION("""COMPUTED_VALUE"""),44340)</f>
        <v>44340</v>
      </c>
      <c r="AF601" s="128">
        <f ca="1">IFERROR(__xludf.DUMMYFUNCTION("""COMPUTED_VALUE"""),44706)</f>
        <v>44706</v>
      </c>
      <c r="AG601" s="128">
        <f ca="1">IFERROR(__xludf.DUMMYFUNCTION("""COMPUTED_VALUE"""),44801)</f>
        <v>44801</v>
      </c>
      <c r="AH601" s="128">
        <f ca="1">IFERROR(__xludf.DUMMYFUNCTION("""COMPUTED_VALUE"""),44809)</f>
        <v>44809</v>
      </c>
      <c r="AI601" s="128">
        <f ca="1">IFERROR(__xludf.DUMMYFUNCTION("""COMPUTED_VALUE"""),44817)</f>
        <v>44817</v>
      </c>
      <c r="AJ601" s="128">
        <f ca="1">IFERROR(__xludf.DUMMYFUNCTION("""COMPUTED_VALUE"""),44864)</f>
        <v>44864</v>
      </c>
      <c r="AK601" s="131" t="str">
        <f ca="1">IFERROR(__xludf.DUMMYFUNCTION("""COMPUTED_VALUE"""),"COLWSSEGUR-59")</f>
        <v>COLWSSEGUR-59</v>
      </c>
      <c r="AL601" s="4" t="str">
        <f ca="1">IFERROR(__xludf.DUMMYFUNCTION("""COMPUTED_VALUE"""),"Deployed")</f>
        <v>Deployed</v>
      </c>
      <c r="AM601" s="4"/>
      <c r="AN601" s="4" t="str">
        <f ca="1">IFERROR(__xludf.DUMMYFUNCTION("""COMPUTED_VALUE"""),"Finalizado")</f>
        <v>Finalizado</v>
      </c>
      <c r="AO601" s="4"/>
      <c r="AP601" s="4"/>
      <c r="AQ601" s="4"/>
      <c r="AR601" s="4" t="str">
        <f ca="1">IFERROR(__xludf.DUMMYFUNCTION("""COMPUTED_VALUE"""),"SDA aprobada en PPP Q1 2023")</f>
        <v>SDA aprobada en PPP Q1 2023</v>
      </c>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row>
    <row r="602" spans="1:132" x14ac:dyDescent="0.2">
      <c r="A602" s="4">
        <f ca="1">IFERROR(__xludf.DUMMYFUNCTION("""COMPUTED_VALUE"""),602)</f>
        <v>602</v>
      </c>
      <c r="B602" s="4">
        <f ca="1">IFERROR(__xludf.DUMMYFUNCTION("""COMPUTED_VALUE"""),574)</f>
        <v>574</v>
      </c>
      <c r="C602" s="4" t="str">
        <f ca="1">IFERROR(__xludf.DUMMYFUNCTION("""COMPUTED_VALUE"""),"SDATOOL-36501")</f>
        <v>SDATOOL-36501</v>
      </c>
      <c r="D602" s="4" t="str">
        <f ca="1">IFERROR(__xludf.DUMMYFUNCTION("""COMPUTED_VALUE"""),"Seguros - Cobro de seguros libres en créditos - Desempleo Fase 2")</f>
        <v>Seguros - Cobro de seguros libres en créditos - Desempleo Fase 2</v>
      </c>
      <c r="E602"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2" s="4" t="str">
        <f ca="1">IFERROR(__xludf.DUMMYFUNCTION("""COMPUTED_VALUE"""),"Project")</f>
        <v>Project</v>
      </c>
      <c r="G602" s="4" t="str">
        <f ca="1">IFERROR(__xludf.DUMMYFUNCTION("""COMPUTED_VALUE"""),"Stock")</f>
        <v>Stock</v>
      </c>
      <c r="H602" s="4" t="str">
        <f ca="1">IFERROR(__xludf.DUMMYFUNCTION("""COMPUTED_VALUE"""),"2Q 2023")</f>
        <v>2Q 2023</v>
      </c>
      <c r="I602" s="131" t="str">
        <f ca="1">IFERROR(__xludf.DUMMYFUNCTION("""COMPUTED_VALUE"""),"katherine.michaels-bbva.com")</f>
        <v>katherine.michaels-bbva.com</v>
      </c>
      <c r="J602" s="131" t="str">
        <f ca="1">IFERROR(__xludf.DUMMYFUNCTION("""COMPUTED_VALUE"""),"mariajuliana.rodriguez-bbva.com")</f>
        <v>mariajuliana.rodriguez-bbva.com</v>
      </c>
      <c r="K602" s="131" t="str">
        <f ca="1">IFERROR(__xludf.DUMMYFUNCTION("""COMPUTED_VALUE"""),"felipe.guzman-bbva.com")</f>
        <v>felipe.guzman-bbva.com</v>
      </c>
      <c r="L602" s="4"/>
      <c r="M602" s="4"/>
      <c r="N602" s="4"/>
      <c r="O602" s="4" t="str">
        <f ca="1">IFERROR(__xludf.DUMMYFUNCTION("""COMPUTED_VALUE"""),"Waterfall")</f>
        <v>Waterfall</v>
      </c>
      <c r="P602" s="4" t="str">
        <f ca="1">IFERROR(__xludf.DUMMYFUNCTION("""COMPUTED_VALUE"""),"Tradicional")</f>
        <v>Tradicional</v>
      </c>
      <c r="Q602" s="4"/>
      <c r="R602" s="130" t="str">
        <f ca="1">IFERROR(__xludf.DUMMYFUNCTION("""COMPUTED_VALUE"""),"Insurance")</f>
        <v>Insurance</v>
      </c>
      <c r="S602" s="130" t="str">
        <f ca="1">IFERROR(__xludf.DUMMYFUNCTION("""COMPUTED_VALUE"""),"Strategic Review")</f>
        <v>Strategic Review</v>
      </c>
      <c r="T602" s="130" t="str">
        <f ca="1">IFERROR(__xludf.DUMMYFUNCTION("""COMPUTED_VALUE"""),"1. Generación de Ingresos")</f>
        <v>1. Generación de Ingresos</v>
      </c>
      <c r="U602" s="130" t="str">
        <f ca="1">IFERROR(__xludf.DUMMYFUNCTION("""COMPUTED_VALUE"""),"1.5. Otros de Proyectos de Ingresos")</f>
        <v>1.5. Otros de Proyectos de Ingresos</v>
      </c>
      <c r="V602" s="4" t="str">
        <f ca="1">IFERROR(__xludf.DUMMYFUNCTION("""COMPUTED_VALUE"""),"Seguros")</f>
        <v>Seguros</v>
      </c>
      <c r="W602" s="4">
        <f ca="1">IFERROR(__xludf.DUMMYFUNCTION("""COMPUTED_VALUE"""),1)</f>
        <v>1</v>
      </c>
      <c r="X602" s="4" t="str">
        <f ca="1">IFERROR(__xludf.DUMMYFUNCTION("""COMPUTED_VALUE"""),"05. Cross-sell")</f>
        <v>05. Cross-sell</v>
      </c>
      <c r="Y602" s="4" t="str">
        <f ca="1">IFERROR(__xludf.DUMMYFUNCTION("""COMPUTED_VALUE"""),"5.3.2 Insurance")</f>
        <v>5.3.2 Insurance</v>
      </c>
      <c r="Z602" s="132" t="str">
        <f ca="1">IFERROR(__xludf.DUMMYFUNCTION("""COMPUTED_VALUE"""),"597996")</f>
        <v>597996</v>
      </c>
      <c r="AA602" s="4" t="str">
        <f ca="1">IFERROR(__xludf.DUMMYFUNCTION("""COMPUTED_VALUE"""),"Mejoras en procesos existentes de cuota segura de facturación y rechazos")</f>
        <v>Mejoras en procesos existentes de cuota segura de facturación y rechazos</v>
      </c>
      <c r="AB602" s="4" t="str">
        <f ca="1">IFERROR(__xludf.DUMMYFUNCTION("""COMPUTED_VALUE"""),"Mejoras en procesos existentes de cuota segura de facturación y rechazos")</f>
        <v>Mejoras en procesos existentes de cuota segura de facturación y rechazos</v>
      </c>
      <c r="AC602" s="4" t="str">
        <f ca="1">IFERROR(__xludf.DUMMYFUNCTION("""COMPUTED_VALUE"""),"2Q 2023")</f>
        <v>2Q 2023</v>
      </c>
      <c r="AD602" s="4"/>
      <c r="AE602" s="4"/>
      <c r="AF602" s="4"/>
      <c r="AG602" s="4"/>
      <c r="AH602" s="4"/>
      <c r="AI602" s="4"/>
      <c r="AJ602" s="4"/>
      <c r="AK602" s="4" t="str">
        <f ca="1">IFERROR(__xludf.DUMMYFUNCTION("""COMPUTED_VALUE"""),"Sin asignar")</f>
        <v>Sin asignar</v>
      </c>
      <c r="AL602" s="4" t="str">
        <f ca="1">IFERROR(__xludf.DUMMYFUNCTION("""COMPUTED_VALUE"""),"Sin asignar")</f>
        <v>Sin asignar</v>
      </c>
      <c r="AM602" s="4"/>
      <c r="AN602" s="4" t="str">
        <f ca="1">IFERROR(__xludf.DUMMYFUNCTION("""COMPUTED_VALUE"""),"Entregable en backlog")</f>
        <v>Entregable en backlog</v>
      </c>
      <c r="AO602" s="4"/>
      <c r="AP602" s="4"/>
      <c r="AQ602" s="4"/>
      <c r="AR602" s="4" t="str">
        <f ca="1">IFERROR(__xludf.DUMMYFUNCTION("""COMPUTED_VALUE"""),"SDA aprobada en PPP Q1 2023")</f>
        <v>SDA aprobada en PPP Q1 2023</v>
      </c>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row>
    <row r="603" spans="1:132" x14ac:dyDescent="0.2">
      <c r="A603" s="4">
        <f ca="1">IFERROR(__xludf.DUMMYFUNCTION("""COMPUTED_VALUE"""),603)</f>
        <v>603</v>
      </c>
      <c r="B603" s="4">
        <f ca="1">IFERROR(__xludf.DUMMYFUNCTION("""COMPUTED_VALUE"""),575)</f>
        <v>575</v>
      </c>
      <c r="C603" s="4" t="str">
        <f ca="1">IFERROR(__xludf.DUMMYFUNCTION("""COMPUTED_VALUE"""),"SDATOOL-36501")</f>
        <v>SDATOOL-36501</v>
      </c>
      <c r="D603" s="4" t="str">
        <f ca="1">IFERROR(__xludf.DUMMYFUNCTION("""COMPUTED_VALUE"""),"Seguros - Cobro de seguros libres en créditos - Desempleo Fase 2")</f>
        <v>Seguros - Cobro de seguros libres en créditos - Desempleo Fase 2</v>
      </c>
      <c r="E603"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3" s="4" t="str">
        <f ca="1">IFERROR(__xludf.DUMMYFUNCTION("""COMPUTED_VALUE"""),"Project")</f>
        <v>Project</v>
      </c>
      <c r="G603" s="4" t="str">
        <f ca="1">IFERROR(__xludf.DUMMYFUNCTION("""COMPUTED_VALUE"""),"Stock")</f>
        <v>Stock</v>
      </c>
      <c r="H603" s="4" t="str">
        <f ca="1">IFERROR(__xludf.DUMMYFUNCTION("""COMPUTED_VALUE"""),"2Q 2023")</f>
        <v>2Q 2023</v>
      </c>
      <c r="I603" s="131" t="str">
        <f ca="1">IFERROR(__xludf.DUMMYFUNCTION("""COMPUTED_VALUE"""),"katherine.michaels-bbva.com")</f>
        <v>katherine.michaels-bbva.com</v>
      </c>
      <c r="J603" s="131" t="str">
        <f ca="1">IFERROR(__xludf.DUMMYFUNCTION("""COMPUTED_VALUE"""),"mariajuliana.rodriguez-bbva.com")</f>
        <v>mariajuliana.rodriguez-bbva.com</v>
      </c>
      <c r="K603" s="131" t="str">
        <f ca="1">IFERROR(__xludf.DUMMYFUNCTION("""COMPUTED_VALUE"""),"felipe.guzman-bbva.com")</f>
        <v>felipe.guzman-bbva.com</v>
      </c>
      <c r="L603" s="4"/>
      <c r="M603" s="4"/>
      <c r="N603" s="4"/>
      <c r="O603" s="4" t="str">
        <f ca="1">IFERROR(__xludf.DUMMYFUNCTION("""COMPUTED_VALUE"""),"Waterfall")</f>
        <v>Waterfall</v>
      </c>
      <c r="P603" s="4" t="str">
        <f ca="1">IFERROR(__xludf.DUMMYFUNCTION("""COMPUTED_VALUE"""),"Tradicional")</f>
        <v>Tradicional</v>
      </c>
      <c r="Q603" s="4"/>
      <c r="R603" s="130" t="str">
        <f ca="1">IFERROR(__xludf.DUMMYFUNCTION("""COMPUTED_VALUE"""),"Insurance")</f>
        <v>Insurance</v>
      </c>
      <c r="S603" s="130" t="str">
        <f ca="1">IFERROR(__xludf.DUMMYFUNCTION("""COMPUTED_VALUE"""),"Strategic Review")</f>
        <v>Strategic Review</v>
      </c>
      <c r="T603" s="130" t="str">
        <f ca="1">IFERROR(__xludf.DUMMYFUNCTION("""COMPUTED_VALUE"""),"1. Generación de Ingresos")</f>
        <v>1. Generación de Ingresos</v>
      </c>
      <c r="U603" s="130" t="str">
        <f ca="1">IFERROR(__xludf.DUMMYFUNCTION("""COMPUTED_VALUE"""),"1.5. Otros de Proyectos de Ingresos")</f>
        <v>1.5. Otros de Proyectos de Ingresos</v>
      </c>
      <c r="V603" s="4" t="str">
        <f ca="1">IFERROR(__xludf.DUMMYFUNCTION("""COMPUTED_VALUE"""),"Seguros")</f>
        <v>Seguros</v>
      </c>
      <c r="W603" s="4">
        <f ca="1">IFERROR(__xludf.DUMMYFUNCTION("""COMPUTED_VALUE"""),1)</f>
        <v>1</v>
      </c>
      <c r="X603" s="4" t="str">
        <f ca="1">IFERROR(__xludf.DUMMYFUNCTION("""COMPUTED_VALUE"""),"05. Cross-sell")</f>
        <v>05. Cross-sell</v>
      </c>
      <c r="Y603" s="4" t="str">
        <f ca="1">IFERROR(__xludf.DUMMYFUNCTION("""COMPUTED_VALUE"""),"5.3.2 Insurance")</f>
        <v>5.3.2 Insurance</v>
      </c>
      <c r="Z603" s="132" t="str">
        <f ca="1">IFERROR(__xludf.DUMMYFUNCTION("""COMPUTED_VALUE"""),"619466")</f>
        <v>619466</v>
      </c>
      <c r="AA603" s="4" t="str">
        <f ca="1">IFERROR(__xludf.DUMMYFUNCTION("""COMPUTED_VALUE"""),"Contratación Digital")</f>
        <v>Contratación Digital</v>
      </c>
      <c r="AB603" s="4" t="str">
        <f ca="1">IFERROR(__xludf.DUMMYFUNCTION("""COMPUTED_VALUE"""),"Ajustes en Axcel Web para la integración con el servicio de OCR del tercero. Cumplimiento con el requerimiento de la superintendencia que solicita validarla información de formularios de contratación como su almacenamiento.")</f>
        <v>Ajustes en Axcel Web para la integración con el servicio de OCR del tercero. Cumplimiento con el requerimiento de la superintendencia que solicita validarla información de formularios de contratación como su almacenamiento.</v>
      </c>
      <c r="AC603" s="4" t="str">
        <f ca="1">IFERROR(__xludf.DUMMYFUNCTION("""COMPUTED_VALUE"""),"2Q 2023")</f>
        <v>2Q 2023</v>
      </c>
      <c r="AD603" s="4"/>
      <c r="AE603" s="4"/>
      <c r="AF603" s="4"/>
      <c r="AG603" s="4"/>
      <c r="AH603" s="4"/>
      <c r="AI603" s="4"/>
      <c r="AJ603" s="4"/>
      <c r="AK603" s="131" t="str">
        <f ca="1">IFERROR(__xludf.DUMMYFUNCTION("""COMPUTED_VALUE"""),"COLWSSEGUR-268")</f>
        <v>COLWSSEGUR-268</v>
      </c>
      <c r="AL603" s="4" t="str">
        <f ca="1">IFERROR(__xludf.DUMMYFUNCTION("""COMPUTED_VALUE"""),"New")</f>
        <v>New</v>
      </c>
      <c r="AM603" s="4"/>
      <c r="AN603" s="4" t="str">
        <f ca="1">IFERROR(__xludf.DUMMYFUNCTION("""COMPUTED_VALUE"""),"Entregable en backlog")</f>
        <v>Entregable en backlog</v>
      </c>
      <c r="AO603" s="4"/>
      <c r="AP603" s="4"/>
      <c r="AQ603" s="4"/>
      <c r="AR603" s="4" t="str">
        <f ca="1">IFERROR(__xludf.DUMMYFUNCTION("""COMPUTED_VALUE"""),"SDA aprobada en PPP Q1 2023")</f>
        <v>SDA aprobada en PPP Q1 2023</v>
      </c>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row>
    <row r="604" spans="1:132" x14ac:dyDescent="0.2">
      <c r="A604" s="4">
        <f ca="1">IFERROR(__xludf.DUMMYFUNCTION("""COMPUTED_VALUE"""),604)</f>
        <v>604</v>
      </c>
      <c r="B604" s="4">
        <f ca="1">IFERROR(__xludf.DUMMYFUNCTION("""COMPUTED_VALUE"""),576)</f>
        <v>576</v>
      </c>
      <c r="C604" s="4" t="str">
        <f ca="1">IFERROR(__xludf.DUMMYFUNCTION("""COMPUTED_VALUE"""),"SDATOOL-37170")</f>
        <v>SDATOOL-37170</v>
      </c>
      <c r="D604" s="4" t="str">
        <f ca="1">IFERROR(__xludf.DUMMYFUNCTION("""COMPUTED_VALUE"""),"Seguros - LIS Coaseguro en Seguros Libres")</f>
        <v>Seguros - LIS Coaseguro en Seguros Libres</v>
      </c>
      <c r="E604"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4" s="4" t="str">
        <f ca="1">IFERROR(__xludf.DUMMYFUNCTION("""COMPUTED_VALUE"""),"Project")</f>
        <v>Project</v>
      </c>
      <c r="G604" s="4" t="str">
        <f ca="1">IFERROR(__xludf.DUMMYFUNCTION("""COMPUTED_VALUE"""),"Stock")</f>
        <v>Stock</v>
      </c>
      <c r="H604" s="4" t="str">
        <f ca="1">IFERROR(__xludf.DUMMYFUNCTION("""COMPUTED_VALUE"""),"2Q 2023")</f>
        <v>2Q 2023</v>
      </c>
      <c r="I604" s="131" t="str">
        <f ca="1">IFERROR(__xludf.DUMMYFUNCTION("""COMPUTED_VALUE"""),"katherine.michaels-bbva.com")</f>
        <v>katherine.michaels-bbva.com</v>
      </c>
      <c r="J604" s="131" t="str">
        <f ca="1">IFERROR(__xludf.DUMMYFUNCTION("""COMPUTED_VALUE"""),"paola.trivino-bbva.com")</f>
        <v>paola.trivino-bbva.com</v>
      </c>
      <c r="K604" s="131" t="str">
        <f ca="1">IFERROR(__xludf.DUMMYFUNCTION("""COMPUTED_VALUE"""),"felipe.guzman-bbva.com")</f>
        <v>felipe.guzman-bbva.com</v>
      </c>
      <c r="L604" s="130">
        <f ca="1">IFERROR(__xludf.DUMMYFUNCTION("""COMPUTED_VALUE"""),0)</f>
        <v>0</v>
      </c>
      <c r="M604" s="130">
        <f ca="1">IFERROR(__xludf.DUMMYFUNCTION("""COMPUTED_VALUE"""),0)</f>
        <v>0</v>
      </c>
      <c r="N604" s="130">
        <f ca="1">IFERROR(__xludf.DUMMYFUNCTION("""COMPUTED_VALUE"""),0)</f>
        <v>0</v>
      </c>
      <c r="O604" s="4" t="str">
        <f ca="1">IFERROR(__xludf.DUMMYFUNCTION("""COMPUTED_VALUE"""),"Waterfall")</f>
        <v>Waterfall</v>
      </c>
      <c r="P604" s="4" t="str">
        <f ca="1">IFERROR(__xludf.DUMMYFUNCTION("""COMPUTED_VALUE"""),"Tradicional")</f>
        <v>Tradicional</v>
      </c>
      <c r="Q604" s="4"/>
      <c r="R604" s="130" t="str">
        <f ca="1">IFERROR(__xludf.DUMMYFUNCTION("""COMPUTED_VALUE"""),"Insurance")</f>
        <v>Insurance</v>
      </c>
      <c r="S604" s="130" t="str">
        <f ca="1">IFERROR(__xludf.DUMMYFUNCTION("""COMPUTED_VALUE"""),"Strategic Review")</f>
        <v>Strategic Review</v>
      </c>
      <c r="T604" s="130" t="str">
        <f ca="1">IFERROR(__xludf.DUMMYFUNCTION("""COMPUTED_VALUE"""),"1. Generación de Ingresos")</f>
        <v>1. Generación de Ingresos</v>
      </c>
      <c r="U604" s="130" t="str">
        <f ca="1">IFERROR(__xludf.DUMMYFUNCTION("""COMPUTED_VALUE"""),"1.5. Otros de Proyectos de Ingresos")</f>
        <v>1.5. Otros de Proyectos de Ingresos</v>
      </c>
      <c r="V604" s="4" t="str">
        <f ca="1">IFERROR(__xludf.DUMMYFUNCTION("""COMPUTED_VALUE"""),"Seguros")</f>
        <v>Seguros</v>
      </c>
      <c r="W604" s="4">
        <f ca="1">IFERROR(__xludf.DUMMYFUNCTION("""COMPUTED_VALUE"""),2)</f>
        <v>2</v>
      </c>
      <c r="X604" s="4" t="str">
        <f ca="1">IFERROR(__xludf.DUMMYFUNCTION("""COMPUTED_VALUE"""),"05. Cross-sell")</f>
        <v>05. Cross-sell</v>
      </c>
      <c r="Y604" s="4" t="str">
        <f ca="1">IFERROR(__xludf.DUMMYFUNCTION("""COMPUTED_VALUE"""),"5.3.2 Insurance")</f>
        <v>5.3.2 Insurance</v>
      </c>
      <c r="Z604" s="132" t="str">
        <f ca="1">IFERROR(__xludf.DUMMYFUNCTION("""COMPUTED_VALUE"""),"310128")</f>
        <v>310128</v>
      </c>
      <c r="AA604" s="4" t="str">
        <f ca="1">IFERROR(__xludf.DUMMYFUNCTION("""COMPUTED_VALUE"""),"LIS Canal Dedicado Zurich Seguros")</f>
        <v>LIS Canal Dedicado Zurich Seguros</v>
      </c>
      <c r="AB604" s="4" t="str">
        <f ca="1">IFERROR(__xludf.DUMMYFUNCTION("""COMPUTED_VALUE"""),"Crear un canal de comunicación entre BBVA Seguros y el Call Center Zurich Seguros, con el fin de que este último tenga acceso a los aplicativos de BBVA en producción")</f>
        <v>Crear un canal de comunicación entre BBVA Seguros y el Call Center Zurich Seguros, con el fin de que este último tenga acceso a los aplicativos de BBVA en producción</v>
      </c>
      <c r="AC604" s="4" t="str">
        <f ca="1">IFERROR(__xludf.DUMMYFUNCTION("""COMPUTED_VALUE"""),"1Q 2022")</f>
        <v>1Q 2022</v>
      </c>
      <c r="AD604" s="4"/>
      <c r="AE604" s="4"/>
      <c r="AF604" s="4"/>
      <c r="AG604" s="4"/>
      <c r="AH604" s="4"/>
      <c r="AI604" s="4"/>
      <c r="AJ604" s="4" t="str">
        <f ca="1">IFERROR(__xludf.DUMMYFUNCTION("""COMPUTED_VALUE"""),"-")</f>
        <v>-</v>
      </c>
      <c r="AK604" s="4" t="str">
        <f ca="1">IFERROR(__xludf.DUMMYFUNCTION("""COMPUTED_VALUE"""),"Sin asignar")</f>
        <v>Sin asignar</v>
      </c>
      <c r="AL604" s="4" t="str">
        <f ca="1">IFERROR(__xludf.DUMMYFUNCTION("""COMPUTED_VALUE"""),"Sin asignar")</f>
        <v>Sin asignar</v>
      </c>
      <c r="AM604" s="4" t="str">
        <f ca="1">IFERROR(__xludf.DUMMYFUNCTION("""COMPUTED_VALUE"""),"BLOQUEADO")</f>
        <v>BLOQUEADO</v>
      </c>
      <c r="AN604" s="4" t="str">
        <f ca="1">IFERROR(__xludf.DUMMYFUNCTION("""COMPUTED_VALUE"""),"Entregable en backlog")</f>
        <v>Entregable en backlog</v>
      </c>
      <c r="AO604" s="4"/>
      <c r="AP604" s="4"/>
      <c r="AQ604" s="4"/>
      <c r="AR604" s="4" t="str">
        <f ca="1">IFERROR(__xludf.DUMMYFUNCTION("""COMPUTED_VALUE"""),"SDA aprobada en PPP Q1 2023")</f>
        <v>SDA aprobada en PPP Q1 2023</v>
      </c>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133">
        <f ca="1">IFERROR(__xludf.DUMMYFUNCTION("""COMPUTED_VALUE"""),0)</f>
        <v>0</v>
      </c>
      <c r="DV604" s="133">
        <f ca="1">IFERROR(__xludf.DUMMYFUNCTION("""COMPUTED_VALUE"""),56737695)</f>
        <v>56737695</v>
      </c>
      <c r="DW604" s="133">
        <f ca="1">IFERROR(__xludf.DUMMYFUNCTION("""COMPUTED_VALUE"""),964999999.21)</f>
        <v>964999999.21000004</v>
      </c>
      <c r="DX604" s="133">
        <f ca="1">IFERROR(__xludf.DUMMYFUNCTION("""COMPUTED_VALUE"""),290000000)</f>
        <v>290000000</v>
      </c>
      <c r="DY604" s="133">
        <f ca="1">IFERROR(__xludf.DUMMYFUNCTION("""COMPUTED_VALUE"""),0)</f>
        <v>0</v>
      </c>
      <c r="DZ604" s="133">
        <f ca="1">IFERROR(__xludf.DUMMYFUNCTION("""COMPUTED_VALUE"""),1311737694.21)</f>
        <v>1311737694.21</v>
      </c>
      <c r="EA604" s="4"/>
      <c r="EB604" s="4"/>
    </row>
    <row r="605" spans="1:132" x14ac:dyDescent="0.2">
      <c r="A605" s="4">
        <f ca="1">IFERROR(__xludf.DUMMYFUNCTION("""COMPUTED_VALUE"""),605)</f>
        <v>605</v>
      </c>
      <c r="B605" s="4">
        <f ca="1">IFERROR(__xludf.DUMMYFUNCTION("""COMPUTED_VALUE"""),577)</f>
        <v>577</v>
      </c>
      <c r="C605" s="4" t="str">
        <f ca="1">IFERROR(__xludf.DUMMYFUNCTION("""COMPUTED_VALUE"""),"SDATOOL-37170")</f>
        <v>SDATOOL-37170</v>
      </c>
      <c r="D605" s="4" t="str">
        <f ca="1">IFERROR(__xludf.DUMMYFUNCTION("""COMPUTED_VALUE"""),"Seguros - LIS Coaseguro en Seguros Libres")</f>
        <v>Seguros - LIS Coaseguro en Seguros Libres</v>
      </c>
      <c r="E605"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5" s="4" t="str">
        <f ca="1">IFERROR(__xludf.DUMMYFUNCTION("""COMPUTED_VALUE"""),"Project")</f>
        <v>Project</v>
      </c>
      <c r="G605" s="4" t="str">
        <f ca="1">IFERROR(__xludf.DUMMYFUNCTION("""COMPUTED_VALUE"""),"Stock")</f>
        <v>Stock</v>
      </c>
      <c r="H605" s="4" t="str">
        <f ca="1">IFERROR(__xludf.DUMMYFUNCTION("""COMPUTED_VALUE"""),"2Q 2023")</f>
        <v>2Q 2023</v>
      </c>
      <c r="I605" s="131" t="str">
        <f ca="1">IFERROR(__xludf.DUMMYFUNCTION("""COMPUTED_VALUE"""),"katherine.michaels-bbva.com")</f>
        <v>katherine.michaels-bbva.com</v>
      </c>
      <c r="J605" s="131" t="str">
        <f ca="1">IFERROR(__xludf.DUMMYFUNCTION("""COMPUTED_VALUE"""),"paola.trivino-bbva.com")</f>
        <v>paola.trivino-bbva.com</v>
      </c>
      <c r="K605" s="131" t="str">
        <f ca="1">IFERROR(__xludf.DUMMYFUNCTION("""COMPUTED_VALUE"""),"felipe.guzman-bbva.com")</f>
        <v>felipe.guzman-bbva.com</v>
      </c>
      <c r="L605" s="4"/>
      <c r="M605" s="4"/>
      <c r="N605" s="4"/>
      <c r="O605" s="4" t="str">
        <f ca="1">IFERROR(__xludf.DUMMYFUNCTION("""COMPUTED_VALUE"""),"Waterfall")</f>
        <v>Waterfall</v>
      </c>
      <c r="P605" s="4" t="str">
        <f ca="1">IFERROR(__xludf.DUMMYFUNCTION("""COMPUTED_VALUE"""),"Tradicional")</f>
        <v>Tradicional</v>
      </c>
      <c r="Q605" s="4"/>
      <c r="R605" s="130" t="str">
        <f ca="1">IFERROR(__xludf.DUMMYFUNCTION("""COMPUTED_VALUE"""),"Insurance")</f>
        <v>Insurance</v>
      </c>
      <c r="S605" s="130" t="str">
        <f ca="1">IFERROR(__xludf.DUMMYFUNCTION("""COMPUTED_VALUE"""),"Strategic Review")</f>
        <v>Strategic Review</v>
      </c>
      <c r="T605" s="130" t="str">
        <f ca="1">IFERROR(__xludf.DUMMYFUNCTION("""COMPUTED_VALUE"""),"1. Generación de Ingresos")</f>
        <v>1. Generación de Ingresos</v>
      </c>
      <c r="U605" s="130" t="str">
        <f ca="1">IFERROR(__xludf.DUMMYFUNCTION("""COMPUTED_VALUE"""),"1.5. Otros de Proyectos de Ingresos")</f>
        <v>1.5. Otros de Proyectos de Ingresos</v>
      </c>
      <c r="V605" s="4" t="str">
        <f ca="1">IFERROR(__xludf.DUMMYFUNCTION("""COMPUTED_VALUE"""),"Seguros")</f>
        <v>Seguros</v>
      </c>
      <c r="W605" s="4">
        <f ca="1">IFERROR(__xludf.DUMMYFUNCTION("""COMPUTED_VALUE"""),2)</f>
        <v>2</v>
      </c>
      <c r="X605" s="4" t="str">
        <f ca="1">IFERROR(__xludf.DUMMYFUNCTION("""COMPUTED_VALUE"""),"05. Cross-sell")</f>
        <v>05. Cross-sell</v>
      </c>
      <c r="Y605" s="4" t="str">
        <f ca="1">IFERROR(__xludf.DUMMYFUNCTION("""COMPUTED_VALUE"""),"5.3.2 Insurance")</f>
        <v>5.3.2 Insurance</v>
      </c>
      <c r="Z605" s="132" t="str">
        <f ca="1">IFERROR(__xludf.DUMMYFUNCTION("""COMPUTED_VALUE"""),"309626")</f>
        <v>309626</v>
      </c>
      <c r="AA605" s="4" t="str">
        <f ca="1">IFERROR(__xludf.DUMMYFUNCTION("""COMPUTED_VALUE"""),"LIS Creación Secure File Transfer Protocol (SFTP) para coaseguro")</f>
        <v>LIS Creación Secure File Transfer Protocol (SFTP) para coaseguro</v>
      </c>
      <c r="AB605" s="4" t="str">
        <f ca="1">IFERROR(__xludf.DUMMYFUNCTION("""COMPUTED_VALUE"""),"Crear un Secure File Transfer Protocol  (SFTP)  en ITAC con Zurich seguros para la transmisión de información de la producción, recaudos y siniestros. Es importante destacar que esta conexión debe ir en las dos vías")</f>
        <v>Crear un Secure File Transfer Protocol  (SFTP)  en ITAC con Zurich seguros para la transmisión de información de la producción, recaudos y siniestros. Es importante destacar que esta conexión debe ir en las dos vías</v>
      </c>
      <c r="AC605" s="4" t="str">
        <f ca="1">IFERROR(__xludf.DUMMYFUNCTION("""COMPUTED_VALUE"""),"4Q 2021")</f>
        <v>4Q 2021</v>
      </c>
      <c r="AD605" s="4"/>
      <c r="AE605" s="4"/>
      <c r="AF605" s="4"/>
      <c r="AG605" s="4"/>
      <c r="AH605" s="4"/>
      <c r="AI605" s="4"/>
      <c r="AJ605" s="4" t="str">
        <f ca="1">IFERROR(__xludf.DUMMYFUNCTION("""COMPUTED_VALUE"""),"-")</f>
        <v>-</v>
      </c>
      <c r="AK605" s="131" t="str">
        <f ca="1">IFERROR(__xludf.DUMMYFUNCTION("""COMPUTED_VALUE"""),"COLWSSEGUR-62")</f>
        <v>COLWSSEGUR-62</v>
      </c>
      <c r="AL605" s="4" t="str">
        <f ca="1">IFERROR(__xludf.DUMMYFUNCTION("""COMPUTED_VALUE"""),"Deployed")</f>
        <v>Deployed</v>
      </c>
      <c r="AM605" s="4" t="str">
        <f ca="1">IFERROR(__xludf.DUMMYFUNCTION("""COMPUTED_VALUE"""),"FINALIZADO")</f>
        <v>FINALIZADO</v>
      </c>
      <c r="AN605" s="4" t="str">
        <f ca="1">IFERROR(__xludf.DUMMYFUNCTION("""COMPUTED_VALUE"""),"Finalizado")</f>
        <v>Finalizado</v>
      </c>
      <c r="AO605" s="4"/>
      <c r="AP605" s="4"/>
      <c r="AQ605" s="4"/>
      <c r="AR605" s="4" t="str">
        <f ca="1">IFERROR(__xludf.DUMMYFUNCTION("""COMPUTED_VALUE"""),"SDA aprobada en PPP Q1 2023")</f>
        <v>SDA aprobada en PPP Q1 2023</v>
      </c>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row>
    <row r="606" spans="1:132" x14ac:dyDescent="0.2">
      <c r="A606" s="4">
        <f ca="1">IFERROR(__xludf.DUMMYFUNCTION("""COMPUTED_VALUE"""),606)</f>
        <v>606</v>
      </c>
      <c r="B606" s="4">
        <f ca="1">IFERROR(__xludf.DUMMYFUNCTION("""COMPUTED_VALUE"""),578)</f>
        <v>578</v>
      </c>
      <c r="C606" s="4" t="str">
        <f ca="1">IFERROR(__xludf.DUMMYFUNCTION("""COMPUTED_VALUE"""),"SDATOOL-37170")</f>
        <v>SDATOOL-37170</v>
      </c>
      <c r="D606" s="4" t="str">
        <f ca="1">IFERROR(__xludf.DUMMYFUNCTION("""COMPUTED_VALUE"""),"Seguros - LIS Coaseguro en Seguros Libres")</f>
        <v>Seguros - LIS Coaseguro en Seguros Libres</v>
      </c>
      <c r="E606"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6" s="4" t="str">
        <f ca="1">IFERROR(__xludf.DUMMYFUNCTION("""COMPUTED_VALUE"""),"Project")</f>
        <v>Project</v>
      </c>
      <c r="G606" s="4" t="str">
        <f ca="1">IFERROR(__xludf.DUMMYFUNCTION("""COMPUTED_VALUE"""),"Stock")</f>
        <v>Stock</v>
      </c>
      <c r="H606" s="4" t="str">
        <f ca="1">IFERROR(__xludf.DUMMYFUNCTION("""COMPUTED_VALUE"""),"2Q 2023")</f>
        <v>2Q 2023</v>
      </c>
      <c r="I606" s="131" t="str">
        <f ca="1">IFERROR(__xludf.DUMMYFUNCTION("""COMPUTED_VALUE"""),"katherine.michaels-bbva.com")</f>
        <v>katherine.michaels-bbva.com</v>
      </c>
      <c r="J606" s="131" t="str">
        <f ca="1">IFERROR(__xludf.DUMMYFUNCTION("""COMPUTED_VALUE"""),"paola.trivino-bbva.com")</f>
        <v>paola.trivino-bbva.com</v>
      </c>
      <c r="K606" s="131" t="str">
        <f ca="1">IFERROR(__xludf.DUMMYFUNCTION("""COMPUTED_VALUE"""),"felipe.guzman-bbva.com")</f>
        <v>felipe.guzman-bbva.com</v>
      </c>
      <c r="L606" s="4"/>
      <c r="M606" s="4"/>
      <c r="N606" s="4"/>
      <c r="O606" s="4" t="str">
        <f ca="1">IFERROR(__xludf.DUMMYFUNCTION("""COMPUTED_VALUE"""),"Waterfall")</f>
        <v>Waterfall</v>
      </c>
      <c r="P606" s="4" t="str">
        <f ca="1">IFERROR(__xludf.DUMMYFUNCTION("""COMPUTED_VALUE"""),"Tradicional")</f>
        <v>Tradicional</v>
      </c>
      <c r="Q606" s="4"/>
      <c r="R606" s="130" t="str">
        <f ca="1">IFERROR(__xludf.DUMMYFUNCTION("""COMPUTED_VALUE"""),"Insurance")</f>
        <v>Insurance</v>
      </c>
      <c r="S606" s="130" t="str">
        <f ca="1">IFERROR(__xludf.DUMMYFUNCTION("""COMPUTED_VALUE"""),"Strategic Review")</f>
        <v>Strategic Review</v>
      </c>
      <c r="T606" s="130" t="str">
        <f ca="1">IFERROR(__xludf.DUMMYFUNCTION("""COMPUTED_VALUE"""),"1. Generación de Ingresos")</f>
        <v>1. Generación de Ingresos</v>
      </c>
      <c r="U606" s="130" t="str">
        <f ca="1">IFERROR(__xludf.DUMMYFUNCTION("""COMPUTED_VALUE"""),"1.5. Otros de Proyectos de Ingresos")</f>
        <v>1.5. Otros de Proyectos de Ingresos</v>
      </c>
      <c r="V606" s="4" t="str">
        <f ca="1">IFERROR(__xludf.DUMMYFUNCTION("""COMPUTED_VALUE"""),"Seguros")</f>
        <v>Seguros</v>
      </c>
      <c r="W606" s="4">
        <f ca="1">IFERROR(__xludf.DUMMYFUNCTION("""COMPUTED_VALUE"""),2)</f>
        <v>2</v>
      </c>
      <c r="X606" s="4" t="str">
        <f ca="1">IFERROR(__xludf.DUMMYFUNCTION("""COMPUTED_VALUE"""),"05. Cross-sell")</f>
        <v>05. Cross-sell</v>
      </c>
      <c r="Y606" s="4" t="str">
        <f ca="1">IFERROR(__xludf.DUMMYFUNCTION("""COMPUTED_VALUE"""),"5.3.2 Insurance")</f>
        <v>5.3.2 Insurance</v>
      </c>
      <c r="Z606" s="132" t="str">
        <f ca="1">IFERROR(__xludf.DUMMYFUNCTION("""COMPUTED_VALUE"""),"357704")</f>
        <v>357704</v>
      </c>
      <c r="AA606" s="4" t="str">
        <f ca="1">IFERROR(__xludf.DUMMYFUNCTION("""COMPUTED_VALUE"""),"LIS Layout Siniestros")</f>
        <v>LIS Layout Siniestros</v>
      </c>
      <c r="AB606" s="4" t="str">
        <f ca="1">IFERROR(__xludf.DUMMYFUNCTION("""COMPUTED_VALUE"""),"Crear una serie de layouts para compartir y recibir información de los siniestros y pagos aprobados que resulten de los seguros que se comercialicen en coaseguro y reaseguro entre Zurich Seguros y BBVA Seguros")</f>
        <v>Crear una serie de layouts para compartir y recibir información de los siniestros y pagos aprobados que resulten de los seguros que se comercialicen en coaseguro y reaseguro entre Zurich Seguros y BBVA Seguros</v>
      </c>
      <c r="AC606" s="4" t="str">
        <f ca="1">IFERROR(__xludf.DUMMYFUNCTION("""COMPUTED_VALUE"""),"2Q 2022")</f>
        <v>2Q 2022</v>
      </c>
      <c r="AD606" s="4"/>
      <c r="AE606" s="4"/>
      <c r="AF606" s="4"/>
      <c r="AG606" s="4"/>
      <c r="AH606" s="4"/>
      <c r="AI606" s="4"/>
      <c r="AJ606" s="4" t="str">
        <f ca="1">IFERROR(__xludf.DUMMYFUNCTION("""COMPUTED_VALUE"""),"-")</f>
        <v>-</v>
      </c>
      <c r="AK606" s="131" t="str">
        <f ca="1">IFERROR(__xludf.DUMMYFUNCTION("""COMPUTED_VALUE"""),"COLWSSEGUR-64")</f>
        <v>COLWSSEGUR-64</v>
      </c>
      <c r="AL606" s="4" t="str">
        <f ca="1">IFERROR(__xludf.DUMMYFUNCTION("""COMPUTED_VALUE"""),"Test")</f>
        <v>Test</v>
      </c>
      <c r="AM606" s="4" t="str">
        <f ca="1">IFERROR(__xludf.DUMMYFUNCTION("""COMPUTED_VALUE"""),"BLOQUEADO")</f>
        <v>BLOQUEADO</v>
      </c>
      <c r="AN606" s="4" t="str">
        <f ca="1">IFERROR(__xludf.DUMMYFUNCTION("""COMPUTED_VALUE"""),"Entregable en desarrollo")</f>
        <v>Entregable en desarrollo</v>
      </c>
      <c r="AO606" s="4"/>
      <c r="AP606" s="4"/>
      <c r="AQ606" s="4"/>
      <c r="AR606" s="4" t="str">
        <f ca="1">IFERROR(__xludf.DUMMYFUNCTION("""COMPUTED_VALUE"""),"SDA aprobada en PPP Q1 2023")</f>
        <v>SDA aprobada en PPP Q1 2023</v>
      </c>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row>
    <row r="607" spans="1:132" x14ac:dyDescent="0.2">
      <c r="A607" s="4">
        <f ca="1">IFERROR(__xludf.DUMMYFUNCTION("""COMPUTED_VALUE"""),607)</f>
        <v>607</v>
      </c>
      <c r="B607" s="4">
        <f ca="1">IFERROR(__xludf.DUMMYFUNCTION("""COMPUTED_VALUE"""),579)</f>
        <v>579</v>
      </c>
      <c r="C607" s="4" t="str">
        <f ca="1">IFERROR(__xludf.DUMMYFUNCTION("""COMPUTED_VALUE"""),"SDATOOL-37170")</f>
        <v>SDATOOL-37170</v>
      </c>
      <c r="D607" s="4" t="str">
        <f ca="1">IFERROR(__xludf.DUMMYFUNCTION("""COMPUTED_VALUE"""),"Seguros - LIS Coaseguro en Seguros Libres")</f>
        <v>Seguros - LIS Coaseguro en Seguros Libres</v>
      </c>
      <c r="E607"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7" s="4" t="str">
        <f ca="1">IFERROR(__xludf.DUMMYFUNCTION("""COMPUTED_VALUE"""),"Project")</f>
        <v>Project</v>
      </c>
      <c r="G607" s="4" t="str">
        <f ca="1">IFERROR(__xludf.DUMMYFUNCTION("""COMPUTED_VALUE"""),"Stock")</f>
        <v>Stock</v>
      </c>
      <c r="H607" s="4" t="str">
        <f ca="1">IFERROR(__xludf.DUMMYFUNCTION("""COMPUTED_VALUE"""),"2Q 2023")</f>
        <v>2Q 2023</v>
      </c>
      <c r="I607" s="131" t="str">
        <f ca="1">IFERROR(__xludf.DUMMYFUNCTION("""COMPUTED_VALUE"""),"katherine.michaels-bbva.com")</f>
        <v>katherine.michaels-bbva.com</v>
      </c>
      <c r="J607" s="131" t="str">
        <f ca="1">IFERROR(__xludf.DUMMYFUNCTION("""COMPUTED_VALUE"""),"paola.trivino-bbva.com")</f>
        <v>paola.trivino-bbva.com</v>
      </c>
      <c r="K607" s="131" t="str">
        <f ca="1">IFERROR(__xludf.DUMMYFUNCTION("""COMPUTED_VALUE"""),"felipe.guzman-bbva.com")</f>
        <v>felipe.guzman-bbva.com</v>
      </c>
      <c r="L607" s="4"/>
      <c r="M607" s="4"/>
      <c r="N607" s="4"/>
      <c r="O607" s="4" t="str">
        <f ca="1">IFERROR(__xludf.DUMMYFUNCTION("""COMPUTED_VALUE"""),"Waterfall")</f>
        <v>Waterfall</v>
      </c>
      <c r="P607" s="4" t="str">
        <f ca="1">IFERROR(__xludf.DUMMYFUNCTION("""COMPUTED_VALUE"""),"Tradicional")</f>
        <v>Tradicional</v>
      </c>
      <c r="Q607" s="4"/>
      <c r="R607" s="130" t="str">
        <f ca="1">IFERROR(__xludf.DUMMYFUNCTION("""COMPUTED_VALUE"""),"Insurance")</f>
        <v>Insurance</v>
      </c>
      <c r="S607" s="130" t="str">
        <f ca="1">IFERROR(__xludf.DUMMYFUNCTION("""COMPUTED_VALUE"""),"Strategic Review")</f>
        <v>Strategic Review</v>
      </c>
      <c r="T607" s="130" t="str">
        <f ca="1">IFERROR(__xludf.DUMMYFUNCTION("""COMPUTED_VALUE"""),"1. Generación de Ingresos")</f>
        <v>1. Generación de Ingresos</v>
      </c>
      <c r="U607" s="130" t="str">
        <f ca="1">IFERROR(__xludf.DUMMYFUNCTION("""COMPUTED_VALUE"""),"1.5. Otros de Proyectos de Ingresos")</f>
        <v>1.5. Otros de Proyectos de Ingresos</v>
      </c>
      <c r="V607" s="4" t="str">
        <f ca="1">IFERROR(__xludf.DUMMYFUNCTION("""COMPUTED_VALUE"""),"Seguros")</f>
        <v>Seguros</v>
      </c>
      <c r="W607" s="4">
        <f ca="1">IFERROR(__xludf.DUMMYFUNCTION("""COMPUTED_VALUE"""),2)</f>
        <v>2</v>
      </c>
      <c r="X607" s="4" t="str">
        <f ca="1">IFERROR(__xludf.DUMMYFUNCTION("""COMPUTED_VALUE"""),"05. Cross-sell")</f>
        <v>05. Cross-sell</v>
      </c>
      <c r="Y607" s="4" t="str">
        <f ca="1">IFERROR(__xludf.DUMMYFUNCTION("""COMPUTED_VALUE"""),"5.3.2 Insurance")</f>
        <v>5.3.2 Insurance</v>
      </c>
      <c r="Z607" s="132" t="str">
        <f ca="1">IFERROR(__xludf.DUMMYFUNCTION("""COMPUTED_VALUE"""),"357703")</f>
        <v>357703</v>
      </c>
      <c r="AA607" s="4" t="str">
        <f ca="1">IFERROR(__xludf.DUMMYFUNCTION("""COMPUTED_VALUE"""),"LIS Layouts producción")</f>
        <v>LIS Layouts producción</v>
      </c>
      <c r="AB607" s="4" t="str">
        <f ca="1">IFERROR(__xludf.DUMMYFUNCTION("""COMPUTED_VALUE"""),"Obtener una visión completa para ambas partes (BBVA Seguros y Zurich) frente a la emisión de pólizas acordadas en la alianza, para así poder generar información y control según las necesidades del negocio.")</f>
        <v>Obtener una visión completa para ambas partes (BBVA Seguros y Zurich) frente a la emisión de pólizas acordadas en la alianza, para así poder generar información y control según las necesidades del negocio.</v>
      </c>
      <c r="AC607" s="4" t="str">
        <f ca="1">IFERROR(__xludf.DUMMYFUNCTION("""COMPUTED_VALUE"""),"2Q 2022")</f>
        <v>2Q 2022</v>
      </c>
      <c r="AD607" s="4"/>
      <c r="AE607" s="4"/>
      <c r="AF607" s="4"/>
      <c r="AG607" s="4"/>
      <c r="AH607" s="4"/>
      <c r="AI607" s="4"/>
      <c r="AJ607" s="128">
        <f ca="1">IFERROR(__xludf.DUMMYFUNCTION("""COMPUTED_VALUE"""),44917)</f>
        <v>44917</v>
      </c>
      <c r="AK607" s="131" t="str">
        <f ca="1">IFERROR(__xludf.DUMMYFUNCTION("""COMPUTED_VALUE"""),"COLWSSEGUR-65")</f>
        <v>COLWSSEGUR-65</v>
      </c>
      <c r="AL607" s="4" t="str">
        <f ca="1">IFERROR(__xludf.DUMMYFUNCTION("""COMPUTED_VALUE"""),"Deployed")</f>
        <v>Deployed</v>
      </c>
      <c r="AM607" s="4"/>
      <c r="AN607" s="4" t="str">
        <f ca="1">IFERROR(__xludf.DUMMYFUNCTION("""COMPUTED_VALUE"""),"Finalizado")</f>
        <v>Finalizado</v>
      </c>
      <c r="AO607" s="4"/>
      <c r="AP607" s="4"/>
      <c r="AQ607" s="4"/>
      <c r="AR607" s="4" t="str">
        <f ca="1">IFERROR(__xludf.DUMMYFUNCTION("""COMPUTED_VALUE"""),"SDA aprobada en PPP Q1 2023")</f>
        <v>SDA aprobada en PPP Q1 2023</v>
      </c>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row>
    <row r="608" spans="1:132" x14ac:dyDescent="0.2">
      <c r="A608" s="4">
        <f ca="1">IFERROR(__xludf.DUMMYFUNCTION("""COMPUTED_VALUE"""),608)</f>
        <v>608</v>
      </c>
      <c r="B608" s="4">
        <f ca="1">IFERROR(__xludf.DUMMYFUNCTION("""COMPUTED_VALUE"""),580)</f>
        <v>580</v>
      </c>
      <c r="C608" s="4" t="str">
        <f ca="1">IFERROR(__xludf.DUMMYFUNCTION("""COMPUTED_VALUE"""),"SDATOOL-37170")</f>
        <v>SDATOOL-37170</v>
      </c>
      <c r="D608" s="4" t="str">
        <f ca="1">IFERROR(__xludf.DUMMYFUNCTION("""COMPUTED_VALUE"""),"Seguros - LIS Coaseguro en Seguros Libres")</f>
        <v>Seguros - LIS Coaseguro en Seguros Libres</v>
      </c>
      <c r="E608"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8" s="4" t="str">
        <f ca="1">IFERROR(__xludf.DUMMYFUNCTION("""COMPUTED_VALUE"""),"Project")</f>
        <v>Project</v>
      </c>
      <c r="G608" s="4" t="str">
        <f ca="1">IFERROR(__xludf.DUMMYFUNCTION("""COMPUTED_VALUE"""),"Stock")</f>
        <v>Stock</v>
      </c>
      <c r="H608" s="4" t="str">
        <f ca="1">IFERROR(__xludf.DUMMYFUNCTION("""COMPUTED_VALUE"""),"2Q 2023")</f>
        <v>2Q 2023</v>
      </c>
      <c r="I608" s="131" t="str">
        <f ca="1">IFERROR(__xludf.DUMMYFUNCTION("""COMPUTED_VALUE"""),"katherine.michaels-bbva.com")</f>
        <v>katherine.michaels-bbva.com</v>
      </c>
      <c r="J608" s="131" t="str">
        <f ca="1">IFERROR(__xludf.DUMMYFUNCTION("""COMPUTED_VALUE"""),"paola.trivino-bbva.com")</f>
        <v>paola.trivino-bbva.com</v>
      </c>
      <c r="K608" s="131" t="str">
        <f ca="1">IFERROR(__xludf.DUMMYFUNCTION("""COMPUTED_VALUE"""),"felipe.guzman-bbva.com")</f>
        <v>felipe.guzman-bbva.com</v>
      </c>
      <c r="L608" s="4"/>
      <c r="M608" s="4"/>
      <c r="N608" s="4"/>
      <c r="O608" s="4" t="str">
        <f ca="1">IFERROR(__xludf.DUMMYFUNCTION("""COMPUTED_VALUE"""),"Waterfall")</f>
        <v>Waterfall</v>
      </c>
      <c r="P608" s="4" t="str">
        <f ca="1">IFERROR(__xludf.DUMMYFUNCTION("""COMPUTED_VALUE"""),"Tradicional")</f>
        <v>Tradicional</v>
      </c>
      <c r="Q608" s="4"/>
      <c r="R608" s="130" t="str">
        <f ca="1">IFERROR(__xludf.DUMMYFUNCTION("""COMPUTED_VALUE"""),"Insurance")</f>
        <v>Insurance</v>
      </c>
      <c r="S608" s="130" t="str">
        <f ca="1">IFERROR(__xludf.DUMMYFUNCTION("""COMPUTED_VALUE"""),"Strategic Review")</f>
        <v>Strategic Review</v>
      </c>
      <c r="T608" s="130" t="str">
        <f ca="1">IFERROR(__xludf.DUMMYFUNCTION("""COMPUTED_VALUE"""),"1. Generación de Ingresos")</f>
        <v>1. Generación de Ingresos</v>
      </c>
      <c r="U608" s="130" t="str">
        <f ca="1">IFERROR(__xludf.DUMMYFUNCTION("""COMPUTED_VALUE"""),"1.5. Otros de Proyectos de Ingresos")</f>
        <v>1.5. Otros de Proyectos de Ingresos</v>
      </c>
      <c r="V608" s="4" t="str">
        <f ca="1">IFERROR(__xludf.DUMMYFUNCTION("""COMPUTED_VALUE"""),"Seguros")</f>
        <v>Seguros</v>
      </c>
      <c r="W608" s="4">
        <f ca="1">IFERROR(__xludf.DUMMYFUNCTION("""COMPUTED_VALUE"""),2)</f>
        <v>2</v>
      </c>
      <c r="X608" s="4" t="str">
        <f ca="1">IFERROR(__xludf.DUMMYFUNCTION("""COMPUTED_VALUE"""),"05. Cross-sell")</f>
        <v>05. Cross-sell</v>
      </c>
      <c r="Y608" s="4" t="str">
        <f ca="1">IFERROR(__xludf.DUMMYFUNCTION("""COMPUTED_VALUE"""),"5.3.2 Insurance")</f>
        <v>5.3.2 Insurance</v>
      </c>
      <c r="Z608" s="132" t="str">
        <f ca="1">IFERROR(__xludf.DUMMYFUNCTION("""COMPUTED_VALUE"""),"310667")</f>
        <v>310667</v>
      </c>
      <c r="AA608" s="4" t="str">
        <f ca="1">IFERROR(__xludf.DUMMYFUNCTION("""COMPUTED_VALUE"""),"LIS Módulo coaseguro")</f>
        <v>LIS Módulo coaseguro</v>
      </c>
      <c r="AB608" s="4" t="str">
        <f ca="1">IFERROR(__xludf.DUMMYFUNCTION("""COMPUTED_VALUE"""),"Módulo coaseguro")</f>
        <v>Módulo coaseguro</v>
      </c>
      <c r="AC608" s="4" t="str">
        <f ca="1">IFERROR(__xludf.DUMMYFUNCTION("""COMPUTED_VALUE"""),"1Q 2022")</f>
        <v>1Q 2022</v>
      </c>
      <c r="AD608" s="4"/>
      <c r="AE608" s="4"/>
      <c r="AF608" s="4"/>
      <c r="AG608" s="4"/>
      <c r="AH608" s="4"/>
      <c r="AI608" s="4"/>
      <c r="AJ608" s="128">
        <f ca="1">IFERROR(__xludf.DUMMYFUNCTION("""COMPUTED_VALUE"""),44895)</f>
        <v>44895</v>
      </c>
      <c r="AK608" s="131" t="str">
        <f ca="1">IFERROR(__xludf.DUMMYFUNCTION("""COMPUTED_VALUE"""),"COLWSSEGUR-1")</f>
        <v>COLWSSEGUR-1</v>
      </c>
      <c r="AL608" s="4" t="str">
        <f ca="1">IFERROR(__xludf.DUMMYFUNCTION("""COMPUTED_VALUE"""),"Deployed")</f>
        <v>Deployed</v>
      </c>
      <c r="AM608" s="4"/>
      <c r="AN608" s="4" t="str">
        <f ca="1">IFERROR(__xludf.DUMMYFUNCTION("""COMPUTED_VALUE"""),"Finalizado")</f>
        <v>Finalizado</v>
      </c>
      <c r="AO608" s="4"/>
      <c r="AP608" s="4"/>
      <c r="AQ608" s="4"/>
      <c r="AR608" s="4" t="str">
        <f ca="1">IFERROR(__xludf.DUMMYFUNCTION("""COMPUTED_VALUE"""),"SDA aprobada en PPP Q1 2023")</f>
        <v>SDA aprobada en PPP Q1 2023</v>
      </c>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row>
    <row r="609" spans="1:132" x14ac:dyDescent="0.2">
      <c r="A609" s="4">
        <f ca="1">IFERROR(__xludf.DUMMYFUNCTION("""COMPUTED_VALUE"""),609)</f>
        <v>609</v>
      </c>
      <c r="B609" s="4">
        <f ca="1">IFERROR(__xludf.DUMMYFUNCTION("""COMPUTED_VALUE"""),581)</f>
        <v>581</v>
      </c>
      <c r="C609" s="4" t="str">
        <f ca="1">IFERROR(__xludf.DUMMYFUNCTION("""COMPUTED_VALUE"""),"SDATOOL-37170")</f>
        <v>SDATOOL-37170</v>
      </c>
      <c r="D609" s="4" t="str">
        <f ca="1">IFERROR(__xludf.DUMMYFUNCTION("""COMPUTED_VALUE"""),"Seguros - LIS Coaseguro en Seguros Libres")</f>
        <v>Seguros - LIS Coaseguro en Seguros Libres</v>
      </c>
      <c r="E609"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9" s="4" t="str">
        <f ca="1">IFERROR(__xludf.DUMMYFUNCTION("""COMPUTED_VALUE"""),"Project")</f>
        <v>Project</v>
      </c>
      <c r="G609" s="4" t="str">
        <f ca="1">IFERROR(__xludf.DUMMYFUNCTION("""COMPUTED_VALUE"""),"Stock")</f>
        <v>Stock</v>
      </c>
      <c r="H609" s="4" t="str">
        <f ca="1">IFERROR(__xludf.DUMMYFUNCTION("""COMPUTED_VALUE"""),"2Q 2023")</f>
        <v>2Q 2023</v>
      </c>
      <c r="I609" s="131" t="str">
        <f ca="1">IFERROR(__xludf.DUMMYFUNCTION("""COMPUTED_VALUE"""),"katherine.michaels-bbva.com")</f>
        <v>katherine.michaels-bbva.com</v>
      </c>
      <c r="J609" s="131" t="str">
        <f ca="1">IFERROR(__xludf.DUMMYFUNCTION("""COMPUTED_VALUE"""),"paola.trivino-bbva.com")</f>
        <v>paola.trivino-bbva.com</v>
      </c>
      <c r="K609" s="131" t="str">
        <f ca="1">IFERROR(__xludf.DUMMYFUNCTION("""COMPUTED_VALUE"""),"felipe.guzman-bbva.com")</f>
        <v>felipe.guzman-bbva.com</v>
      </c>
      <c r="L609" s="4"/>
      <c r="M609" s="4"/>
      <c r="N609" s="4"/>
      <c r="O609" s="4" t="str">
        <f ca="1">IFERROR(__xludf.DUMMYFUNCTION("""COMPUTED_VALUE"""),"Waterfall")</f>
        <v>Waterfall</v>
      </c>
      <c r="P609" s="4" t="str">
        <f ca="1">IFERROR(__xludf.DUMMYFUNCTION("""COMPUTED_VALUE"""),"Tradicional")</f>
        <v>Tradicional</v>
      </c>
      <c r="Q609" s="4"/>
      <c r="R609" s="130" t="str">
        <f ca="1">IFERROR(__xludf.DUMMYFUNCTION("""COMPUTED_VALUE"""),"Insurance")</f>
        <v>Insurance</v>
      </c>
      <c r="S609" s="130" t="str">
        <f ca="1">IFERROR(__xludf.DUMMYFUNCTION("""COMPUTED_VALUE"""),"Strategic Review")</f>
        <v>Strategic Review</v>
      </c>
      <c r="T609" s="130" t="str">
        <f ca="1">IFERROR(__xludf.DUMMYFUNCTION("""COMPUTED_VALUE"""),"1. Generación de Ingresos")</f>
        <v>1. Generación de Ingresos</v>
      </c>
      <c r="U609" s="130" t="str">
        <f ca="1">IFERROR(__xludf.DUMMYFUNCTION("""COMPUTED_VALUE"""),"1.5. Otros de Proyectos de Ingresos")</f>
        <v>1.5. Otros de Proyectos de Ingresos</v>
      </c>
      <c r="V609" s="4" t="str">
        <f ca="1">IFERROR(__xludf.DUMMYFUNCTION("""COMPUTED_VALUE"""),"Seguros")</f>
        <v>Seguros</v>
      </c>
      <c r="W609" s="4">
        <f ca="1">IFERROR(__xludf.DUMMYFUNCTION("""COMPUTED_VALUE"""),2)</f>
        <v>2</v>
      </c>
      <c r="X609" s="4" t="str">
        <f ca="1">IFERROR(__xludf.DUMMYFUNCTION("""COMPUTED_VALUE"""),"05. Cross-sell")</f>
        <v>05. Cross-sell</v>
      </c>
      <c r="Y609" s="4" t="str">
        <f ca="1">IFERROR(__xludf.DUMMYFUNCTION("""COMPUTED_VALUE"""),"5.3.2 Insurance")</f>
        <v>5.3.2 Insurance</v>
      </c>
      <c r="Z609" s="132" t="str">
        <f ca="1">IFERROR(__xludf.DUMMYFUNCTION("""COMPUTED_VALUE"""),"309627")</f>
        <v>309627</v>
      </c>
      <c r="AA609" s="4" t="str">
        <f ca="1">IFERROR(__xludf.DUMMYFUNCTION("""COMPUTED_VALUE"""),"LIS Parametría del Coaseguro en el Producto")</f>
        <v>LIS Parametría del Coaseguro en el Producto</v>
      </c>
      <c r="AB609" s="4" t="str">
        <f ca="1">IFERROR(__xludf.DUMMYFUNCTION("""COMPUTED_VALUE"""),"Crear una pestaña en Acsel X dentro del módulo de configuración de productos donde se pueda relacionar la información de coaseguro y hacer la parametría a nivel de plan; esta parametría será tomada por Acsel Web para la emisión de los productos generales "&amp;"(Hurto, Hogar, PYME, Bancaempresas)")</f>
        <v>Crear una pestaña en Acsel X dentro del módulo de configuración de productos donde se pueda relacionar la información de coaseguro y hacer la parametría a nivel de plan; esta parametría será tomada por Acsel Web para la emisión de los productos generales (Hurto, Hogar, PYME, Bancaempresas)</v>
      </c>
      <c r="AC609" s="4" t="str">
        <f ca="1">IFERROR(__xludf.DUMMYFUNCTION("""COMPUTED_VALUE"""),"1Q 2022")</f>
        <v>1Q 2022</v>
      </c>
      <c r="AD609" s="4"/>
      <c r="AE609" s="4"/>
      <c r="AF609" s="4"/>
      <c r="AG609" s="4"/>
      <c r="AH609" s="4"/>
      <c r="AI609" s="4"/>
      <c r="AJ609" s="4" t="str">
        <f ca="1">IFERROR(__xludf.DUMMYFUNCTION("""COMPUTED_VALUE"""),"-")</f>
        <v>-</v>
      </c>
      <c r="AK609" s="131" t="str">
        <f ca="1">IFERROR(__xludf.DUMMYFUNCTION("""COMPUTED_VALUE"""),"CIS-363")</f>
        <v>CIS-363</v>
      </c>
      <c r="AL609" s="4" t="str">
        <f ca="1">IFERROR(__xludf.DUMMYFUNCTION("""COMPUTED_VALUE"""),"Deployed")</f>
        <v>Deployed</v>
      </c>
      <c r="AM609" s="4" t="str">
        <f ca="1">IFERROR(__xludf.DUMMYFUNCTION("""COMPUTED_VALUE"""),"FINALIZADO")</f>
        <v>FINALIZADO</v>
      </c>
      <c r="AN609" s="4" t="str">
        <f ca="1">IFERROR(__xludf.DUMMYFUNCTION("""COMPUTED_VALUE"""),"Finalizado")</f>
        <v>Finalizado</v>
      </c>
      <c r="AO609" s="4"/>
      <c r="AP609" s="4"/>
      <c r="AQ609" s="4"/>
      <c r="AR609" s="4" t="str">
        <f ca="1">IFERROR(__xludf.DUMMYFUNCTION("""COMPUTED_VALUE"""),"SDA aprobada en PPP Q1 2023")</f>
        <v>SDA aprobada en PPP Q1 2023</v>
      </c>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row>
    <row r="610" spans="1:132" x14ac:dyDescent="0.2">
      <c r="A610" s="4">
        <f ca="1">IFERROR(__xludf.DUMMYFUNCTION("""COMPUTED_VALUE"""),610)</f>
        <v>610</v>
      </c>
      <c r="B610" s="4">
        <f ca="1">IFERROR(__xludf.DUMMYFUNCTION("""COMPUTED_VALUE"""),582)</f>
        <v>582</v>
      </c>
      <c r="C610" s="4" t="str">
        <f ca="1">IFERROR(__xludf.DUMMYFUNCTION("""COMPUTED_VALUE"""),"SDATOOL-37170")</f>
        <v>SDATOOL-37170</v>
      </c>
      <c r="D610" s="4" t="str">
        <f ca="1">IFERROR(__xludf.DUMMYFUNCTION("""COMPUTED_VALUE"""),"Seguros - LIS Coaseguro en Seguros Libres")</f>
        <v>Seguros - LIS Coaseguro en Seguros Libres</v>
      </c>
      <c r="E610"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0" s="4" t="str">
        <f ca="1">IFERROR(__xludf.DUMMYFUNCTION("""COMPUTED_VALUE"""),"Project")</f>
        <v>Project</v>
      </c>
      <c r="G610" s="4" t="str">
        <f ca="1">IFERROR(__xludf.DUMMYFUNCTION("""COMPUTED_VALUE"""),"Stock")</f>
        <v>Stock</v>
      </c>
      <c r="H610" s="4" t="str">
        <f ca="1">IFERROR(__xludf.DUMMYFUNCTION("""COMPUTED_VALUE"""),"2Q 2023")</f>
        <v>2Q 2023</v>
      </c>
      <c r="I610" s="131" t="str">
        <f ca="1">IFERROR(__xludf.DUMMYFUNCTION("""COMPUTED_VALUE"""),"katherine.michaels-bbva.com")</f>
        <v>katherine.michaels-bbva.com</v>
      </c>
      <c r="J610" s="131" t="str">
        <f ca="1">IFERROR(__xludf.DUMMYFUNCTION("""COMPUTED_VALUE"""),"paola.trivino-bbva.com")</f>
        <v>paola.trivino-bbva.com</v>
      </c>
      <c r="K610" s="131" t="str">
        <f ca="1">IFERROR(__xludf.DUMMYFUNCTION("""COMPUTED_VALUE"""),"felipe.guzman-bbva.com")</f>
        <v>felipe.guzman-bbva.com</v>
      </c>
      <c r="L610" s="4"/>
      <c r="M610" s="4"/>
      <c r="N610" s="4"/>
      <c r="O610" s="4" t="str">
        <f ca="1">IFERROR(__xludf.DUMMYFUNCTION("""COMPUTED_VALUE"""),"Waterfall")</f>
        <v>Waterfall</v>
      </c>
      <c r="P610" s="4" t="str">
        <f ca="1">IFERROR(__xludf.DUMMYFUNCTION("""COMPUTED_VALUE"""),"Tradicional")</f>
        <v>Tradicional</v>
      </c>
      <c r="Q610" s="4"/>
      <c r="R610" s="130" t="str">
        <f ca="1">IFERROR(__xludf.DUMMYFUNCTION("""COMPUTED_VALUE"""),"Insurance")</f>
        <v>Insurance</v>
      </c>
      <c r="S610" s="130" t="str">
        <f ca="1">IFERROR(__xludf.DUMMYFUNCTION("""COMPUTED_VALUE"""),"Strategic Review")</f>
        <v>Strategic Review</v>
      </c>
      <c r="T610" s="130" t="str">
        <f ca="1">IFERROR(__xludf.DUMMYFUNCTION("""COMPUTED_VALUE"""),"1. Generación de Ingresos")</f>
        <v>1. Generación de Ingresos</v>
      </c>
      <c r="U610" s="130" t="str">
        <f ca="1">IFERROR(__xludf.DUMMYFUNCTION("""COMPUTED_VALUE"""),"1.5. Otros de Proyectos de Ingresos")</f>
        <v>1.5. Otros de Proyectos de Ingresos</v>
      </c>
      <c r="V610" s="4" t="str">
        <f ca="1">IFERROR(__xludf.DUMMYFUNCTION("""COMPUTED_VALUE"""),"Seguros")</f>
        <v>Seguros</v>
      </c>
      <c r="W610" s="4">
        <f ca="1">IFERROR(__xludf.DUMMYFUNCTION("""COMPUTED_VALUE"""),2)</f>
        <v>2</v>
      </c>
      <c r="X610" s="4" t="str">
        <f ca="1">IFERROR(__xludf.DUMMYFUNCTION("""COMPUTED_VALUE"""),"05. Cross-sell")</f>
        <v>05. Cross-sell</v>
      </c>
      <c r="Y610" s="4" t="str">
        <f ca="1">IFERROR(__xludf.DUMMYFUNCTION("""COMPUTED_VALUE"""),"5.3.2 Insurance")</f>
        <v>5.3.2 Insurance</v>
      </c>
      <c r="Z610" s="132" t="str">
        <f ca="1">IFERROR(__xludf.DUMMYFUNCTION("""COMPUTED_VALUE"""),"366863")</f>
        <v>366863</v>
      </c>
      <c r="AA610" s="4" t="str">
        <f ca="1">IFERROR(__xludf.DUMMYFUNCTION("""COMPUTED_VALUE"""),"LIS Subdominio buzón BBVA")</f>
        <v>LIS Subdominio buzón BBVA</v>
      </c>
      <c r="AB610" s="4" t="str">
        <f ca="1">IFERROR(__xludf.DUMMYFUNCTION("""COMPUTED_VALUE"""),"Se requiere enmascarar el buzón de clientes@bbvaseguros.com.co para que desde Zurich Seguros puedan dar respuesta a las PQRs y atención de siniestros; en este orden de ideas, Zurich Seguros encargado ahora de la atención del Call Center de servicio para l"&amp;"os Seguros Generales")</f>
        <v>Se requiere enmascarar el buzón de clientes@bbvaseguros.com.co para que desde Zurich Seguros puedan dar respuesta a las PQRs y atención de siniestros; en este orden de ideas, Zurich Seguros encargado ahora de la atención del Call Center de servicio para los Seguros Generales</v>
      </c>
      <c r="AC610" s="4" t="str">
        <f ca="1">IFERROR(__xludf.DUMMYFUNCTION("""COMPUTED_VALUE"""),"2Q 2023")</f>
        <v>2Q 2023</v>
      </c>
      <c r="AD610" s="4"/>
      <c r="AE610" s="4"/>
      <c r="AF610" s="4"/>
      <c r="AG610" s="4"/>
      <c r="AH610" s="4"/>
      <c r="AI610" s="4"/>
      <c r="AJ610" s="4" t="str">
        <f ca="1">IFERROR(__xludf.DUMMYFUNCTION("""COMPUTED_VALUE"""),"-")</f>
        <v>-</v>
      </c>
      <c r="AK610" s="131" t="str">
        <f ca="1">IFERROR(__xludf.DUMMYFUNCTION("""COMPUTED_VALUE"""),"COLWSSEGUR-3")</f>
        <v>COLWSSEGUR-3</v>
      </c>
      <c r="AL610" s="4" t="str">
        <f ca="1">IFERROR(__xludf.DUMMYFUNCTION("""COMPUTED_VALUE"""),"Blocked")</f>
        <v>Blocked</v>
      </c>
      <c r="AM610" s="4" t="str">
        <f ca="1">IFERROR(__xludf.DUMMYFUNCTION("""COMPUTED_VALUE"""),"BLOQUEADO")</f>
        <v>BLOQUEADO</v>
      </c>
      <c r="AN610" s="4" t="str">
        <f ca="1">IFERROR(__xludf.DUMMYFUNCTION("""COMPUTED_VALUE"""),"Entregable en backlog")</f>
        <v>Entregable en backlog</v>
      </c>
      <c r="AO610" s="4"/>
      <c r="AP610" s="4"/>
      <c r="AQ610" s="4"/>
      <c r="AR610" s="4" t="str">
        <f ca="1">IFERROR(__xludf.DUMMYFUNCTION("""COMPUTED_VALUE"""),"SDA aprobada en PPP Q1 2023")</f>
        <v>SDA aprobada en PPP Q1 2023</v>
      </c>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row>
    <row r="611" spans="1:132" x14ac:dyDescent="0.2">
      <c r="A611" s="4">
        <f ca="1">IFERROR(__xludf.DUMMYFUNCTION("""COMPUTED_VALUE"""),611)</f>
        <v>611</v>
      </c>
      <c r="B611" s="4">
        <f ca="1">IFERROR(__xludf.DUMMYFUNCTION("""COMPUTED_VALUE"""),583)</f>
        <v>583</v>
      </c>
      <c r="C611" s="4" t="str">
        <f ca="1">IFERROR(__xludf.DUMMYFUNCTION("""COMPUTED_VALUE"""),"SDATOOL-37170")</f>
        <v>SDATOOL-37170</v>
      </c>
      <c r="D611" s="4" t="str">
        <f ca="1">IFERROR(__xludf.DUMMYFUNCTION("""COMPUTED_VALUE"""),"Seguros - LIS Coaseguro en Seguros Libres")</f>
        <v>Seguros - LIS Coaseguro en Seguros Libres</v>
      </c>
      <c r="E611"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1" s="4" t="str">
        <f ca="1">IFERROR(__xludf.DUMMYFUNCTION("""COMPUTED_VALUE"""),"Project")</f>
        <v>Project</v>
      </c>
      <c r="G611" s="4" t="str">
        <f ca="1">IFERROR(__xludf.DUMMYFUNCTION("""COMPUTED_VALUE"""),"Stock")</f>
        <v>Stock</v>
      </c>
      <c r="H611" s="4" t="str">
        <f ca="1">IFERROR(__xludf.DUMMYFUNCTION("""COMPUTED_VALUE"""),"2Q 2023")</f>
        <v>2Q 2023</v>
      </c>
      <c r="I611" s="131" t="str">
        <f ca="1">IFERROR(__xludf.DUMMYFUNCTION("""COMPUTED_VALUE"""),"katherine.michaels-bbva.com")</f>
        <v>katherine.michaels-bbva.com</v>
      </c>
      <c r="J611" s="131" t="str">
        <f ca="1">IFERROR(__xludf.DUMMYFUNCTION("""COMPUTED_VALUE"""),"paola.trivino-bbva.com")</f>
        <v>paola.trivino-bbva.com</v>
      </c>
      <c r="K611" s="131" t="str">
        <f ca="1">IFERROR(__xludf.DUMMYFUNCTION("""COMPUTED_VALUE"""),"felipe.guzman-bbva.com")</f>
        <v>felipe.guzman-bbva.com</v>
      </c>
      <c r="L611" s="4"/>
      <c r="M611" s="4"/>
      <c r="N611" s="4"/>
      <c r="O611" s="4" t="str">
        <f ca="1">IFERROR(__xludf.DUMMYFUNCTION("""COMPUTED_VALUE"""),"Waterfall")</f>
        <v>Waterfall</v>
      </c>
      <c r="P611" s="4" t="str">
        <f ca="1">IFERROR(__xludf.DUMMYFUNCTION("""COMPUTED_VALUE"""),"Tradicional")</f>
        <v>Tradicional</v>
      </c>
      <c r="Q611" s="4"/>
      <c r="R611" s="130" t="str">
        <f ca="1">IFERROR(__xludf.DUMMYFUNCTION("""COMPUTED_VALUE"""),"Insurance")</f>
        <v>Insurance</v>
      </c>
      <c r="S611" s="130" t="str">
        <f ca="1">IFERROR(__xludf.DUMMYFUNCTION("""COMPUTED_VALUE"""),"Strategic Review")</f>
        <v>Strategic Review</v>
      </c>
      <c r="T611" s="130" t="str">
        <f ca="1">IFERROR(__xludf.DUMMYFUNCTION("""COMPUTED_VALUE"""),"1. Generación de Ingresos")</f>
        <v>1. Generación de Ingresos</v>
      </c>
      <c r="U611" s="130" t="str">
        <f ca="1">IFERROR(__xludf.DUMMYFUNCTION("""COMPUTED_VALUE"""),"1.5. Otros de Proyectos de Ingresos")</f>
        <v>1.5. Otros de Proyectos de Ingresos</v>
      </c>
      <c r="V611" s="4" t="str">
        <f ca="1">IFERROR(__xludf.DUMMYFUNCTION("""COMPUTED_VALUE"""),"Seguros")</f>
        <v>Seguros</v>
      </c>
      <c r="W611" s="4">
        <f ca="1">IFERROR(__xludf.DUMMYFUNCTION("""COMPUTED_VALUE"""),2)</f>
        <v>2</v>
      </c>
      <c r="X611" s="4" t="str">
        <f ca="1">IFERROR(__xludf.DUMMYFUNCTION("""COMPUTED_VALUE"""),"05. Cross-sell")</f>
        <v>05. Cross-sell</v>
      </c>
      <c r="Y611" s="4" t="str">
        <f ca="1">IFERROR(__xludf.DUMMYFUNCTION("""COMPUTED_VALUE"""),"5.3.2 Insurance")</f>
        <v>5.3.2 Insurance</v>
      </c>
      <c r="Z611" s="132" t="str">
        <f ca="1">IFERROR(__xludf.DUMMYFUNCTION("""COMPUTED_VALUE"""),"626195")</f>
        <v>626195</v>
      </c>
      <c r="AA611" s="4" t="str">
        <f ca="1">IFERROR(__xludf.DUMMYFUNCTION("""COMPUTED_VALUE"""),"Layout productos deudor - Hogar Individual")</f>
        <v>Layout productos deudor - Hogar Individual</v>
      </c>
      <c r="AB611" s="4" t="str">
        <f ca="1">IFERROR(__xludf.DUMMYFUNCTION("""COMPUTED_VALUE"""),"Se requiere crear un layout para el producto hogar individual, replicando el layout que ya se encuentra productivo para los productos de LIS, pero se requiere incluir una columna adicional a este archivo.")</f>
        <v>Se requiere crear un layout para el producto hogar individual, replicando el layout que ya se encuentra productivo para los productos de LIS, pero se requiere incluir una columna adicional a este archivo.</v>
      </c>
      <c r="AC611" s="4" t="str">
        <f ca="1">IFERROR(__xludf.DUMMYFUNCTION("""COMPUTED_VALUE"""),"2Q 2023")</f>
        <v>2Q 2023</v>
      </c>
      <c r="AD611" s="4"/>
      <c r="AE611" s="4"/>
      <c r="AF611" s="4"/>
      <c r="AG611" s="4"/>
      <c r="AH611" s="4"/>
      <c r="AI611" s="4"/>
      <c r="AJ611" s="4"/>
      <c r="AK611" s="131" t="str">
        <f ca="1">IFERROR(__xludf.DUMMYFUNCTION("""COMPUTED_VALUE"""),"COLWSSEGUR-313")</f>
        <v>COLWSSEGUR-313</v>
      </c>
      <c r="AL611" s="4" t="str">
        <f ca="1">IFERROR(__xludf.DUMMYFUNCTION("""COMPUTED_VALUE"""),"En progreso")</f>
        <v>En progreso</v>
      </c>
      <c r="AM611" s="4"/>
      <c r="AN611" s="4" t="str">
        <f ca="1">IFERROR(__xludf.DUMMYFUNCTION("""COMPUTED_VALUE"""),"Entregable en backlog")</f>
        <v>Entregable en backlog</v>
      </c>
      <c r="AO611" s="4"/>
      <c r="AP611" s="4"/>
      <c r="AQ611" s="4"/>
      <c r="AR611" s="4" t="str">
        <f ca="1">IFERROR(__xludf.DUMMYFUNCTION("""COMPUTED_VALUE"""),"SDA aprobada en PPP Q1 2023")</f>
        <v>SDA aprobada en PPP Q1 2023</v>
      </c>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row>
    <row r="612" spans="1:132" x14ac:dyDescent="0.2">
      <c r="A612" s="4">
        <f ca="1">IFERROR(__xludf.DUMMYFUNCTION("""COMPUTED_VALUE"""),612)</f>
        <v>612</v>
      </c>
      <c r="B612" s="4"/>
      <c r="C612" s="4" t="str">
        <f ca="1">IFERROR(__xludf.DUMMYFUNCTION("""COMPUTED_VALUE"""),"SDATOOL-37170")</f>
        <v>SDATOOL-37170</v>
      </c>
      <c r="D612" s="4" t="str">
        <f ca="1">IFERROR(__xludf.DUMMYFUNCTION("""COMPUTED_VALUE"""),"Seguros - LIS Coaseguro en Seguros Libres")</f>
        <v>Seguros - LIS Coaseguro en Seguros Libres</v>
      </c>
      <c r="E612"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2" s="4" t="str">
        <f ca="1">IFERROR(__xludf.DUMMYFUNCTION("""COMPUTED_VALUE"""),"Project")</f>
        <v>Project</v>
      </c>
      <c r="G612" s="4" t="str">
        <f ca="1">IFERROR(__xludf.DUMMYFUNCTION("""COMPUTED_VALUE"""),"Stock")</f>
        <v>Stock</v>
      </c>
      <c r="H612" s="4" t="str">
        <f ca="1">IFERROR(__xludf.DUMMYFUNCTION("""COMPUTED_VALUE"""),"2Q 2023")</f>
        <v>2Q 2023</v>
      </c>
      <c r="I612" s="131" t="str">
        <f ca="1">IFERROR(__xludf.DUMMYFUNCTION("""COMPUTED_VALUE"""),"katherine.michaels-bbva.com")</f>
        <v>katherine.michaels-bbva.com</v>
      </c>
      <c r="J612" s="131" t="str">
        <f ca="1">IFERROR(__xludf.DUMMYFUNCTION("""COMPUTED_VALUE"""),"paola.trivino-bbva.com")</f>
        <v>paola.trivino-bbva.com</v>
      </c>
      <c r="K612" s="131" t="str">
        <f ca="1">IFERROR(__xludf.DUMMYFUNCTION("""COMPUTED_VALUE"""),"felipe.guzman-bbva.com")</f>
        <v>felipe.guzman-bbva.com</v>
      </c>
      <c r="L612" s="4"/>
      <c r="M612" s="4"/>
      <c r="N612" s="4"/>
      <c r="O612" s="4" t="str">
        <f ca="1">IFERROR(__xludf.DUMMYFUNCTION("""COMPUTED_VALUE"""),"Waterfall")</f>
        <v>Waterfall</v>
      </c>
      <c r="P612" s="4" t="str">
        <f ca="1">IFERROR(__xludf.DUMMYFUNCTION("""COMPUTED_VALUE"""),"Tradicional")</f>
        <v>Tradicional</v>
      </c>
      <c r="Q612" s="4"/>
      <c r="R612" s="130" t="str">
        <f ca="1">IFERROR(__xludf.DUMMYFUNCTION("""COMPUTED_VALUE"""),"Insurance")</f>
        <v>Insurance</v>
      </c>
      <c r="S612" s="130" t="str">
        <f ca="1">IFERROR(__xludf.DUMMYFUNCTION("""COMPUTED_VALUE"""),"Strategic Review")</f>
        <v>Strategic Review</v>
      </c>
      <c r="T612" s="130" t="str">
        <f ca="1">IFERROR(__xludf.DUMMYFUNCTION("""COMPUTED_VALUE"""),"1. Generación de Ingresos")</f>
        <v>1. Generación de Ingresos</v>
      </c>
      <c r="U612" s="130" t="str">
        <f ca="1">IFERROR(__xludf.DUMMYFUNCTION("""COMPUTED_VALUE"""),"1.5. Otros de Proyectos de Ingresos")</f>
        <v>1.5. Otros de Proyectos de Ingresos</v>
      </c>
      <c r="V612" s="4" t="str">
        <f ca="1">IFERROR(__xludf.DUMMYFUNCTION("""COMPUTED_VALUE"""),"Seguros")</f>
        <v>Seguros</v>
      </c>
      <c r="W612" s="4">
        <f ca="1">IFERROR(__xludf.DUMMYFUNCTION("""COMPUTED_VALUE"""),2)</f>
        <v>2</v>
      </c>
      <c r="X612" s="4" t="str">
        <f ca="1">IFERROR(__xludf.DUMMYFUNCTION("""COMPUTED_VALUE"""),"05. Cross-sell")</f>
        <v>05. Cross-sell</v>
      </c>
      <c r="Y612" s="4" t="str">
        <f ca="1">IFERROR(__xludf.DUMMYFUNCTION("""COMPUTED_VALUE"""),"5.3.2 Insurance")</f>
        <v>5.3.2 Insurance</v>
      </c>
      <c r="Z612" s="132" t="str">
        <f ca="1">IFERROR(__xludf.DUMMYFUNCTION("""COMPUTED_VALUE"""),"774029")</f>
        <v>774029</v>
      </c>
      <c r="AA612" s="4" t="str">
        <f ca="1">IFERROR(__xludf.DUMMYFUNCTION("""COMPUTED_VALUE"""),"Perfil servicing segregación alianzas Acsel Web")</f>
        <v>Perfil servicing segregación alianzas Acsel Web</v>
      </c>
      <c r="AB612" s="4" t="str">
        <f ca="1">IFERROR(__xludf.DUMMYFUNCTION("""COMPUTED_VALUE"""),"En las alianzas donde los procesos se distribuyen, se debe segregar por producto las funcionalidades en los aplicativos en este caso el perfil de servicio al cliente")</f>
        <v>En las alianzas donde los procesos se distribuyen, se debe segregar por producto las funcionalidades en los aplicativos en este caso el perfil de servicio al cliente</v>
      </c>
      <c r="AC612" s="4" t="str">
        <f ca="1">IFERROR(__xludf.DUMMYFUNCTION("""COMPUTED_VALUE"""),"4Q 2023")</f>
        <v>4Q 2023</v>
      </c>
      <c r="AD612" s="4"/>
      <c r="AE612" s="4"/>
      <c r="AF612" s="4"/>
      <c r="AG612" s="4"/>
      <c r="AH612" s="4"/>
      <c r="AI612" s="4"/>
      <c r="AJ612" s="4"/>
      <c r="AK612" s="131" t="str">
        <f ca="1">IFERROR(__xludf.DUMMYFUNCTION("""COMPUTED_VALUE"""),"COLWSSEGUR-1756")</f>
        <v>COLWSSEGUR-1756</v>
      </c>
      <c r="AL612" s="4" t="str">
        <f ca="1">IFERROR(__xludf.DUMMYFUNCTION("""COMPUTED_VALUE"""),"New")</f>
        <v>New</v>
      </c>
      <c r="AM612" s="4"/>
      <c r="AN612" s="4" t="str">
        <f ca="1">IFERROR(__xludf.DUMMYFUNCTION("""COMPUTED_VALUE"""),"Entregable en backlog")</f>
        <v>Entregable en backlog</v>
      </c>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row>
    <row r="613" spans="1:132" x14ac:dyDescent="0.2">
      <c r="A613" s="4">
        <f ca="1">IFERROR(__xludf.DUMMYFUNCTION("""COMPUTED_VALUE"""),613)</f>
        <v>613</v>
      </c>
      <c r="B613" s="4"/>
      <c r="C613" s="4" t="str">
        <f ca="1">IFERROR(__xludf.DUMMYFUNCTION("""COMPUTED_VALUE"""),"SDATOOL-37170")</f>
        <v>SDATOOL-37170</v>
      </c>
      <c r="D613" s="4" t="str">
        <f ca="1">IFERROR(__xludf.DUMMYFUNCTION("""COMPUTED_VALUE"""),"Seguros - LIS Coaseguro en Seguros Libres")</f>
        <v>Seguros - LIS Coaseguro en Seguros Libres</v>
      </c>
      <c r="E613"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3" s="4" t="str">
        <f ca="1">IFERROR(__xludf.DUMMYFUNCTION("""COMPUTED_VALUE"""),"Project")</f>
        <v>Project</v>
      </c>
      <c r="G613" s="4" t="str">
        <f ca="1">IFERROR(__xludf.DUMMYFUNCTION("""COMPUTED_VALUE"""),"Stock")</f>
        <v>Stock</v>
      </c>
      <c r="H613" s="4" t="str">
        <f ca="1">IFERROR(__xludf.DUMMYFUNCTION("""COMPUTED_VALUE"""),"2Q 2023")</f>
        <v>2Q 2023</v>
      </c>
      <c r="I613" s="131" t="str">
        <f ca="1">IFERROR(__xludf.DUMMYFUNCTION("""COMPUTED_VALUE"""),"katherine.michaels-bbva.com")</f>
        <v>katherine.michaels-bbva.com</v>
      </c>
      <c r="J613" s="131" t="str">
        <f ca="1">IFERROR(__xludf.DUMMYFUNCTION("""COMPUTED_VALUE"""),"paola.trivino-bbva.com")</f>
        <v>paola.trivino-bbva.com</v>
      </c>
      <c r="K613" s="131" t="str">
        <f ca="1">IFERROR(__xludf.DUMMYFUNCTION("""COMPUTED_VALUE"""),"felipe.guzman-bbva.com")</f>
        <v>felipe.guzman-bbva.com</v>
      </c>
      <c r="L613" s="4"/>
      <c r="M613" s="4"/>
      <c r="N613" s="4"/>
      <c r="O613" s="4" t="str">
        <f ca="1">IFERROR(__xludf.DUMMYFUNCTION("""COMPUTED_VALUE"""),"Waterfall")</f>
        <v>Waterfall</v>
      </c>
      <c r="P613" s="4" t="str">
        <f ca="1">IFERROR(__xludf.DUMMYFUNCTION("""COMPUTED_VALUE"""),"Tradicional")</f>
        <v>Tradicional</v>
      </c>
      <c r="Q613" s="4"/>
      <c r="R613" s="130" t="str">
        <f ca="1">IFERROR(__xludf.DUMMYFUNCTION("""COMPUTED_VALUE"""),"Insurance")</f>
        <v>Insurance</v>
      </c>
      <c r="S613" s="130" t="str">
        <f ca="1">IFERROR(__xludf.DUMMYFUNCTION("""COMPUTED_VALUE"""),"Strategic Review")</f>
        <v>Strategic Review</v>
      </c>
      <c r="T613" s="130" t="str">
        <f ca="1">IFERROR(__xludf.DUMMYFUNCTION("""COMPUTED_VALUE"""),"1. Generación de Ingresos")</f>
        <v>1. Generación de Ingresos</v>
      </c>
      <c r="U613" s="130" t="str">
        <f ca="1">IFERROR(__xludf.DUMMYFUNCTION("""COMPUTED_VALUE"""),"1.5. Otros de Proyectos de Ingresos")</f>
        <v>1.5. Otros de Proyectos de Ingresos</v>
      </c>
      <c r="V613" s="4" t="str">
        <f ca="1">IFERROR(__xludf.DUMMYFUNCTION("""COMPUTED_VALUE"""),"Seguros")</f>
        <v>Seguros</v>
      </c>
      <c r="W613" s="4">
        <f ca="1">IFERROR(__xludf.DUMMYFUNCTION("""COMPUTED_VALUE"""),2)</f>
        <v>2</v>
      </c>
      <c r="X613" s="4" t="str">
        <f ca="1">IFERROR(__xludf.DUMMYFUNCTION("""COMPUTED_VALUE"""),"05. Cross-sell")</f>
        <v>05. Cross-sell</v>
      </c>
      <c r="Y613" s="4" t="str">
        <f ca="1">IFERROR(__xludf.DUMMYFUNCTION("""COMPUTED_VALUE"""),"5.3.2 Insurance")</f>
        <v>5.3.2 Insurance</v>
      </c>
      <c r="Z613" s="132" t="str">
        <f ca="1">IFERROR(__xludf.DUMMYFUNCTION("""COMPUTED_VALUE"""),"774027")</f>
        <v>774027</v>
      </c>
      <c r="AA613" s="4" t="str">
        <f ca="1">IFERROR(__xludf.DUMMYFUNCTION("""COMPUTED_VALUE"""),"Perfil servicing segregación alianzas AcselX")</f>
        <v>Perfil servicing segregación alianzas AcselX</v>
      </c>
      <c r="AB613" s="4" t="str">
        <f ca="1">IFERROR(__xludf.DUMMYFUNCTION("""COMPUTED_VALUE"""),"En las alianzas donde los procesos se distribuyen, se debe segregar por producto las funcionalidades en los aplicativos en este caso el perfil de servicio al cliente.")</f>
        <v>En las alianzas donde los procesos se distribuyen, se debe segregar por producto las funcionalidades en los aplicativos en este caso el perfil de servicio al cliente.</v>
      </c>
      <c r="AC613" s="4" t="str">
        <f ca="1">IFERROR(__xludf.DUMMYFUNCTION("""COMPUTED_VALUE"""),"4Q 2023")</f>
        <v>4Q 2023</v>
      </c>
      <c r="AD613" s="4"/>
      <c r="AE613" s="4"/>
      <c r="AF613" s="4"/>
      <c r="AG613" s="4"/>
      <c r="AH613" s="4"/>
      <c r="AI613" s="4"/>
      <c r="AJ613" s="4"/>
      <c r="AK613" s="131" t="str">
        <f ca="1">IFERROR(__xludf.DUMMYFUNCTION("""COMPUTED_VALUE"""),"COLWSSEGUR-1755")</f>
        <v>COLWSSEGUR-1755</v>
      </c>
      <c r="AL613" s="4" t="str">
        <f ca="1">IFERROR(__xludf.DUMMYFUNCTION("""COMPUTED_VALUE"""),"New")</f>
        <v>New</v>
      </c>
      <c r="AM613" s="4"/>
      <c r="AN613" s="4" t="str">
        <f ca="1">IFERROR(__xludf.DUMMYFUNCTION("""COMPUTED_VALUE"""),"Entregable en backlog")</f>
        <v>Entregable en backlog</v>
      </c>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row>
    <row r="614" spans="1:132" x14ac:dyDescent="0.2">
      <c r="A614" s="4">
        <f ca="1">IFERROR(__xludf.DUMMYFUNCTION("""COMPUTED_VALUE"""),614)</f>
        <v>614</v>
      </c>
      <c r="B614" s="4">
        <f ca="1">IFERROR(__xludf.DUMMYFUNCTION("""COMPUTED_VALUE"""),584)</f>
        <v>584</v>
      </c>
      <c r="C614" s="4" t="str">
        <f ca="1">IFERROR(__xludf.DUMMYFUNCTION("""COMPUTED_VALUE"""),"SDATOOL-38228")</f>
        <v>SDATOOL-38228</v>
      </c>
      <c r="D614" s="4" t="str">
        <f ca="1">IFERROR(__xludf.DUMMYFUNCTION("""COMPUTED_VALUE"""),"Seguros - Smartsupervision y el Sistema de Atención al Consumidor Financiero (SAC)")</f>
        <v>Seguros - Smartsupervision y el Sistema de Atención al Consumidor Financiero (SAC)</v>
      </c>
      <c r="E614"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614" s="4" t="str">
        <f ca="1">IFERROR(__xludf.DUMMYFUNCTION("""COMPUTED_VALUE"""),"Project")</f>
        <v>Project</v>
      </c>
      <c r="G614" s="4" t="str">
        <f ca="1">IFERROR(__xludf.DUMMYFUNCTION("""COMPUTED_VALUE"""),"Ended")</f>
        <v>Ended</v>
      </c>
      <c r="H614" s="4" t="str">
        <f ca="1">IFERROR(__xludf.DUMMYFUNCTION("""COMPUTED_VALUE"""),"1Q 2023")</f>
        <v>1Q 2023</v>
      </c>
      <c r="I614" s="131" t="str">
        <f ca="1">IFERROR(__xludf.DUMMYFUNCTION("""COMPUTED_VALUE"""),"katherine.michaels-bbva.com")</f>
        <v>katherine.michaels-bbva.com</v>
      </c>
      <c r="J614" s="131" t="str">
        <f ca="1">IFERROR(__xludf.DUMMYFUNCTION("""COMPUTED_VALUE"""),"mariajuliana.rodriguez-bbva.com")</f>
        <v>mariajuliana.rodriguez-bbva.com</v>
      </c>
      <c r="K614" s="131" t="str">
        <f ca="1">IFERROR(__xludf.DUMMYFUNCTION("""COMPUTED_VALUE"""),"sandracarolina.miranda-bbva.com")</f>
        <v>sandracarolina.miranda-bbva.com</v>
      </c>
      <c r="L614" s="130">
        <f ca="1">IFERROR(__xludf.DUMMYFUNCTION("""COMPUTED_VALUE"""),0)</f>
        <v>0</v>
      </c>
      <c r="M614" s="130">
        <f ca="1">IFERROR(__xludf.DUMMYFUNCTION("""COMPUTED_VALUE"""),0)</f>
        <v>0</v>
      </c>
      <c r="N614" s="130">
        <f ca="1">IFERROR(__xludf.DUMMYFUNCTION("""COMPUTED_VALUE"""),0)</f>
        <v>0</v>
      </c>
      <c r="O614" s="4" t="str">
        <f ca="1">IFERROR(__xludf.DUMMYFUNCTION("""COMPUTED_VALUE"""),"Waterfall")</f>
        <v>Waterfall</v>
      </c>
      <c r="P614" s="4" t="str">
        <f ca="1">IFERROR(__xludf.DUMMYFUNCTION("""COMPUTED_VALUE"""),"Tradicional")</f>
        <v>Tradicional</v>
      </c>
      <c r="Q614" s="4"/>
      <c r="R614" s="130" t="str">
        <f ca="1">IFERROR(__xludf.DUMMYFUNCTION("""COMPUTED_VALUE"""),"Insurance")</f>
        <v>Insurance</v>
      </c>
      <c r="S614" s="130" t="str">
        <f ca="1">IFERROR(__xludf.DUMMYFUNCTION("""COMPUTED_VALUE""")," Otros")</f>
        <v xml:space="preserve"> Otros</v>
      </c>
      <c r="T614" s="130" t="str">
        <f ca="1">IFERROR(__xludf.DUMMYFUNCTION("""COMPUTED_VALUE"""),"Normativo")</f>
        <v>Normativo</v>
      </c>
      <c r="U614" s="130" t="str">
        <f ca="1">IFERROR(__xludf.DUMMYFUNCTION("""COMPUTED_VALUE"""),"No Aplica")</f>
        <v>No Aplica</v>
      </c>
      <c r="V614" s="4" t="str">
        <f ca="1">IFERROR(__xludf.DUMMYFUNCTION("""COMPUTED_VALUE"""),"Seguros")</f>
        <v>Seguros</v>
      </c>
      <c r="W614" s="4">
        <f ca="1">IFERROR(__xludf.DUMMYFUNCTION("""COMPUTED_VALUE"""),2)</f>
        <v>2</v>
      </c>
      <c r="X614" s="4" t="str">
        <f ca="1">IFERROR(__xludf.DUMMYFUNCTION("""COMPUTED_VALUE"""),"10. Otros")</f>
        <v>10. Otros</v>
      </c>
      <c r="Y614" s="4" t="str">
        <f ca="1">IFERROR(__xludf.DUMMYFUNCTION("""COMPUTED_VALUE""")," Otros")</f>
        <v xml:space="preserve"> Otros</v>
      </c>
      <c r="Z614" s="132" t="str">
        <f ca="1">IFERROR(__xludf.DUMMYFUNCTION("""COMPUTED_VALUE"""),"367785")</f>
        <v>367785</v>
      </c>
      <c r="AA614" s="4" t="str">
        <f ca="1">IFERROR(__xludf.DUMMYFUNCTION("""COMPUTED_VALUE"""),"Sistema Smartsupervision y el Sistema de Atención al Consumidor Financiero")</f>
        <v>Sistema Smartsupervision y el Sistema de Atención al Consumidor Financiero</v>
      </c>
      <c r="AB614" s="4" t="str">
        <f ca="1">IFERROR(__xludf.DUMMYFUNCTION("""COMPUTED_VALUE"""),"Desarrollar e Implementar de manera automática la circular 023 de 2021 de la Superintendencia Financiera para la extracción y envío de las Quejas o Reclamaos que los clientes radiquen de acuerdo a los tres Momentos que define la circular.")</f>
        <v>Desarrollar e Implementar de manera automática la circular 023 de 2021 de la Superintendencia Financiera para la extracción y envío de las Quejas o Reclamaos que los clientes radiquen de acuerdo a los tres Momentos que define la circular.</v>
      </c>
      <c r="AC614" s="4" t="str">
        <f ca="1">IFERROR(__xludf.DUMMYFUNCTION("""COMPUTED_VALUE"""),"3Q 2022")</f>
        <v>3Q 2022</v>
      </c>
      <c r="AD614" s="4"/>
      <c r="AE614" s="4"/>
      <c r="AF614" s="4"/>
      <c r="AG614" s="4"/>
      <c r="AH614" s="4"/>
      <c r="AI614" s="4"/>
      <c r="AJ614" s="128">
        <f ca="1">IFERROR(__xludf.DUMMYFUNCTION("""COMPUTED_VALUE"""),44772)</f>
        <v>44772</v>
      </c>
      <c r="AK614" s="131" t="str">
        <f ca="1">IFERROR(__xludf.DUMMYFUNCTION("""COMPUTED_VALUE"""),"COLWSSEGUR-7")</f>
        <v>COLWSSEGUR-7</v>
      </c>
      <c r="AL614" s="4" t="str">
        <f ca="1">IFERROR(__xludf.DUMMYFUNCTION("""COMPUTED_VALUE"""),"Deployed")</f>
        <v>Deployed</v>
      </c>
      <c r="AM614" s="4" t="str">
        <f ca="1">IFERROR(__xludf.DUMMYFUNCTION("""COMPUTED_VALUE"""),"FINALIZADO")</f>
        <v>FINALIZADO</v>
      </c>
      <c r="AN614" s="4" t="str">
        <f ca="1">IFERROR(__xludf.DUMMYFUNCTION("""COMPUTED_VALUE"""),"Finalizado")</f>
        <v>Finalizado</v>
      </c>
      <c r="AO614" s="4"/>
      <c r="AP614" s="4"/>
      <c r="AQ614" s="4"/>
      <c r="AR614" s="4" t="str">
        <f ca="1">IFERROR(__xludf.DUMMYFUNCTION("""COMPUTED_VALUE"""),"SDA aprobada en PPP Q1 2023")</f>
        <v>SDA aprobada en PPP Q1 2023</v>
      </c>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133">
        <f ca="1">IFERROR(__xludf.DUMMYFUNCTION("""COMPUTED_VALUE"""),0)</f>
        <v>0</v>
      </c>
      <c r="DV614" s="133">
        <f ca="1">IFERROR(__xludf.DUMMYFUNCTION("""COMPUTED_VALUE"""),0)</f>
        <v>0</v>
      </c>
      <c r="DW614" s="133">
        <f ca="1">IFERROR(__xludf.DUMMYFUNCTION("""COMPUTED_VALUE"""),462000000.11)</f>
        <v>462000000.11000001</v>
      </c>
      <c r="DX614" s="133">
        <f ca="1">IFERROR(__xludf.DUMMYFUNCTION("""COMPUTED_VALUE"""),50000000)</f>
        <v>50000000</v>
      </c>
      <c r="DY614" s="133">
        <f ca="1">IFERROR(__xludf.DUMMYFUNCTION("""COMPUTED_VALUE"""),0)</f>
        <v>0</v>
      </c>
      <c r="DZ614" s="133">
        <f ca="1">IFERROR(__xludf.DUMMYFUNCTION("""COMPUTED_VALUE"""),512000000.11)</f>
        <v>512000000.11000001</v>
      </c>
      <c r="EA614" s="4"/>
      <c r="EB614" s="4"/>
    </row>
    <row r="615" spans="1:132" x14ac:dyDescent="0.2">
      <c r="A615" s="4">
        <f ca="1">IFERROR(__xludf.DUMMYFUNCTION("""COMPUTED_VALUE"""),615)</f>
        <v>615</v>
      </c>
      <c r="B615" s="4">
        <f ca="1">IFERROR(__xludf.DUMMYFUNCTION("""COMPUTED_VALUE"""),585)</f>
        <v>585</v>
      </c>
      <c r="C615" s="4" t="str">
        <f ca="1">IFERROR(__xludf.DUMMYFUNCTION("""COMPUTED_VALUE"""),"SDATOOL-38228")</f>
        <v>SDATOOL-38228</v>
      </c>
      <c r="D615" s="4" t="str">
        <f ca="1">IFERROR(__xludf.DUMMYFUNCTION("""COMPUTED_VALUE"""),"Seguros - Smartsupervision y el Sistema de Atención al Consumidor Financiero (SAC)")</f>
        <v>Seguros - Smartsupervision y el Sistema de Atención al Consumidor Financiero (SAC)</v>
      </c>
      <c r="E615"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615" s="4" t="str">
        <f ca="1">IFERROR(__xludf.DUMMYFUNCTION("""COMPUTED_VALUE"""),"Project")</f>
        <v>Project</v>
      </c>
      <c r="G615" s="4" t="str">
        <f ca="1">IFERROR(__xludf.DUMMYFUNCTION("""COMPUTED_VALUE"""),"Ended")</f>
        <v>Ended</v>
      </c>
      <c r="H615" s="4" t="str">
        <f ca="1">IFERROR(__xludf.DUMMYFUNCTION("""COMPUTED_VALUE"""),"1Q 2023")</f>
        <v>1Q 2023</v>
      </c>
      <c r="I615" s="131" t="str">
        <f ca="1">IFERROR(__xludf.DUMMYFUNCTION("""COMPUTED_VALUE"""),"katherine.michaels-bbva.com")</f>
        <v>katherine.michaels-bbva.com</v>
      </c>
      <c r="J615" s="131" t="str">
        <f ca="1">IFERROR(__xludf.DUMMYFUNCTION("""COMPUTED_VALUE"""),"mariajuliana.rodriguez-bbva.com")</f>
        <v>mariajuliana.rodriguez-bbva.com</v>
      </c>
      <c r="K615" s="131" t="str">
        <f ca="1">IFERROR(__xludf.DUMMYFUNCTION("""COMPUTED_VALUE"""),"sandracarolina.miranda-bbva.com")</f>
        <v>sandracarolina.miranda-bbva.com</v>
      </c>
      <c r="L615" s="4"/>
      <c r="M615" s="4"/>
      <c r="N615" s="4"/>
      <c r="O615" s="4" t="str">
        <f ca="1">IFERROR(__xludf.DUMMYFUNCTION("""COMPUTED_VALUE"""),"Waterfall")</f>
        <v>Waterfall</v>
      </c>
      <c r="P615" s="4" t="str">
        <f ca="1">IFERROR(__xludf.DUMMYFUNCTION("""COMPUTED_VALUE"""),"Tradicional")</f>
        <v>Tradicional</v>
      </c>
      <c r="Q615" s="4"/>
      <c r="R615" s="130" t="str">
        <f ca="1">IFERROR(__xludf.DUMMYFUNCTION("""COMPUTED_VALUE"""),"Insurance")</f>
        <v>Insurance</v>
      </c>
      <c r="S615" s="130" t="str">
        <f ca="1">IFERROR(__xludf.DUMMYFUNCTION("""COMPUTED_VALUE""")," Otros")</f>
        <v xml:space="preserve"> Otros</v>
      </c>
      <c r="T615" s="130" t="str">
        <f ca="1">IFERROR(__xludf.DUMMYFUNCTION("""COMPUTED_VALUE"""),"Normativo")</f>
        <v>Normativo</v>
      </c>
      <c r="U615" s="130" t="str">
        <f ca="1">IFERROR(__xludf.DUMMYFUNCTION("""COMPUTED_VALUE"""),"No Aplica")</f>
        <v>No Aplica</v>
      </c>
      <c r="V615" s="4" t="str">
        <f ca="1">IFERROR(__xludf.DUMMYFUNCTION("""COMPUTED_VALUE"""),"Seguros")</f>
        <v>Seguros</v>
      </c>
      <c r="W615" s="4">
        <f ca="1">IFERROR(__xludf.DUMMYFUNCTION("""COMPUTED_VALUE"""),2)</f>
        <v>2</v>
      </c>
      <c r="X615" s="4" t="str">
        <f ca="1">IFERROR(__xludf.DUMMYFUNCTION("""COMPUTED_VALUE"""),"10. Otros")</f>
        <v>10. Otros</v>
      </c>
      <c r="Y615" s="4" t="str">
        <f ca="1">IFERROR(__xludf.DUMMYFUNCTION("""COMPUTED_VALUE""")," Otros")</f>
        <v xml:space="preserve"> Otros</v>
      </c>
      <c r="Z615" s="132" t="str">
        <f ca="1">IFERROR(__xludf.DUMMYFUNCTION("""COMPUTED_VALUE"""),"597974")</f>
        <v>597974</v>
      </c>
      <c r="AA615" s="4" t="str">
        <f ca="1">IFERROR(__xludf.DUMMYFUNCTION("""COMPUTED_VALUE"""),"Smartsupervision Momento 4")</f>
        <v>Smartsupervision Momento 4</v>
      </c>
      <c r="AB615" s="4" t="str">
        <f ca="1">IFERROR(__xludf.DUMMYFUNCTION("""COMPUTED_VALUE"""),"Implementar lo contemplado en la carta circular 54 de 2022, que adiciona el momento 4 donde hace referencia a la captura de la información por medio del API REST de la información actualizada de los consumidores financieros a través de Smartsupervision.")</f>
        <v>Implementar lo contemplado en la carta circular 54 de 2022, que adiciona el momento 4 donde hace referencia a la captura de la información por medio del API REST de la información actualizada de los consumidores financieros a través de Smartsupervision.</v>
      </c>
      <c r="AC615" s="4" t="str">
        <f ca="1">IFERROR(__xludf.DUMMYFUNCTION("""COMPUTED_VALUE"""),"1Q 2023")</f>
        <v>1Q 2023</v>
      </c>
      <c r="AD615" s="4"/>
      <c r="AE615" s="4"/>
      <c r="AF615" s="4"/>
      <c r="AG615" s="4"/>
      <c r="AH615" s="4"/>
      <c r="AI615" s="4"/>
      <c r="AJ615" s="128">
        <f ca="1">IFERROR(__xludf.DUMMYFUNCTION("""COMPUTED_VALUE"""),45015)</f>
        <v>45015</v>
      </c>
      <c r="AK615" s="131" t="str">
        <f ca="1">IFERROR(__xludf.DUMMYFUNCTION("""COMPUTED_VALUE"""),"COLWSSEGUR-196")</f>
        <v>COLWSSEGUR-196</v>
      </c>
      <c r="AL615" s="4" t="str">
        <f ca="1">IFERROR(__xludf.DUMMYFUNCTION("""COMPUTED_VALUE"""),"Deployed")</f>
        <v>Deployed</v>
      </c>
      <c r="AM615" s="4"/>
      <c r="AN615" s="4" t="str">
        <f ca="1">IFERROR(__xludf.DUMMYFUNCTION("""COMPUTED_VALUE"""),"Finalizado")</f>
        <v>Finalizado</v>
      </c>
      <c r="AO615" s="4"/>
      <c r="AP615" s="4"/>
      <c r="AQ615" s="4"/>
      <c r="AR615" s="4" t="str">
        <f ca="1">IFERROR(__xludf.DUMMYFUNCTION("""COMPUTED_VALUE"""),"SDA aprobada en PPP Q1 2023")</f>
        <v>SDA aprobada en PPP Q1 2023</v>
      </c>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row>
    <row r="616" spans="1:132" x14ac:dyDescent="0.2">
      <c r="A616" s="4">
        <f ca="1">IFERROR(__xludf.DUMMYFUNCTION("""COMPUTED_VALUE"""),616)</f>
        <v>616</v>
      </c>
      <c r="B616" s="4">
        <f ca="1">IFERROR(__xludf.DUMMYFUNCTION("""COMPUTED_VALUE"""),586)</f>
        <v>586</v>
      </c>
      <c r="C616" s="4" t="str">
        <f ca="1">IFERROR(__xludf.DUMMYFUNCTION("""COMPUTED_VALUE"""),"SDATOOL-38080")</f>
        <v>SDATOOL-38080</v>
      </c>
      <c r="D616" s="4" t="str">
        <f ca="1">IFERROR(__xludf.DUMMYFUNCTION("""COMPUTED_VALUE"""),"Seguros - LIS Coaseguro Aceptado Autos")</f>
        <v>Seguros - LIS Coaseguro Aceptado Autos</v>
      </c>
      <c r="E616"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6" s="4" t="str">
        <f ca="1">IFERROR(__xludf.DUMMYFUNCTION("""COMPUTED_VALUE"""),"Project")</f>
        <v>Project</v>
      </c>
      <c r="G616" s="4" t="str">
        <f ca="1">IFERROR(__xludf.DUMMYFUNCTION("""COMPUTED_VALUE"""),"Stock")</f>
        <v>Stock</v>
      </c>
      <c r="H616" s="4" t="str">
        <f ca="1">IFERROR(__xludf.DUMMYFUNCTION("""COMPUTED_VALUE"""),"4Q 2023")</f>
        <v>4Q 2023</v>
      </c>
      <c r="I616" s="131" t="str">
        <f ca="1">IFERROR(__xludf.DUMMYFUNCTION("""COMPUTED_VALUE"""),"katherine.michaels-bbva.com")</f>
        <v>katherine.michaels-bbva.com</v>
      </c>
      <c r="J616" s="131" t="str">
        <f ca="1">IFERROR(__xludf.DUMMYFUNCTION("""COMPUTED_VALUE"""),"mariajuliana.rodriguez-bbva.com")</f>
        <v>mariajuliana.rodriguez-bbva.com</v>
      </c>
      <c r="K616" s="131" t="str">
        <f ca="1">IFERROR(__xludf.DUMMYFUNCTION("""COMPUTED_VALUE"""),"felipe.guzman-bbva.com")</f>
        <v>felipe.guzman-bbva.com</v>
      </c>
      <c r="L616" s="130">
        <f ca="1">IFERROR(__xludf.DUMMYFUNCTION("""COMPUTED_VALUE"""),0)</f>
        <v>0</v>
      </c>
      <c r="M616" s="130">
        <f ca="1">IFERROR(__xludf.DUMMYFUNCTION("""COMPUTED_VALUE"""),0)</f>
        <v>0</v>
      </c>
      <c r="N616" s="130">
        <f ca="1">IFERROR(__xludf.DUMMYFUNCTION("""COMPUTED_VALUE"""),0)</f>
        <v>0</v>
      </c>
      <c r="O616" s="4" t="str">
        <f ca="1">IFERROR(__xludf.DUMMYFUNCTION("""COMPUTED_VALUE"""),"Waterfall")</f>
        <v>Waterfall</v>
      </c>
      <c r="P616" s="4" t="str">
        <f ca="1">IFERROR(__xludf.DUMMYFUNCTION("""COMPUTED_VALUE"""),"Tradicional")</f>
        <v>Tradicional</v>
      </c>
      <c r="Q616" s="4"/>
      <c r="R616" s="130" t="str">
        <f ca="1">IFERROR(__xludf.DUMMYFUNCTION("""COMPUTED_VALUE"""),"Insurance")</f>
        <v>Insurance</v>
      </c>
      <c r="S616" s="130" t="str">
        <f ca="1">IFERROR(__xludf.DUMMYFUNCTION("""COMPUTED_VALUE"""),"Strategic Review")</f>
        <v>Strategic Review</v>
      </c>
      <c r="T616" s="130" t="str">
        <f ca="1">IFERROR(__xludf.DUMMYFUNCTION("""COMPUTED_VALUE"""),"1. Generación de Ingresos")</f>
        <v>1. Generación de Ingresos</v>
      </c>
      <c r="U616" s="130" t="str">
        <f ca="1">IFERROR(__xludf.DUMMYFUNCTION("""COMPUTED_VALUE"""),"1.5. Otros de Proyectos de Ingresos")</f>
        <v>1.5. Otros de Proyectos de Ingresos</v>
      </c>
      <c r="V616" s="4" t="str">
        <f ca="1">IFERROR(__xludf.DUMMYFUNCTION("""COMPUTED_VALUE"""),"Seguros")</f>
        <v>Seguros</v>
      </c>
      <c r="W616" s="4">
        <f ca="1">IFERROR(__xludf.DUMMYFUNCTION("""COMPUTED_VALUE"""),2)</f>
        <v>2</v>
      </c>
      <c r="X616" s="4" t="str">
        <f ca="1">IFERROR(__xludf.DUMMYFUNCTION("""COMPUTED_VALUE"""),"05. Cross-sell")</f>
        <v>05. Cross-sell</v>
      </c>
      <c r="Y616" s="4" t="str">
        <f ca="1">IFERROR(__xludf.DUMMYFUNCTION("""COMPUTED_VALUE"""),"5.3.2 Insurance")</f>
        <v>5.3.2 Insurance</v>
      </c>
      <c r="Z616" s="132" t="str">
        <f ca="1">IFERROR(__xludf.DUMMYFUNCTION("""COMPUTED_VALUE"""),"367781")</f>
        <v>367781</v>
      </c>
      <c r="AA616" s="4" t="str">
        <f ca="1">IFERROR(__xludf.DUMMYFUNCTION("""COMPUTED_VALUE"""),"LIS - Autos Libres Táctico")</f>
        <v>LIS - Autos Libres Táctico</v>
      </c>
      <c r="AB616"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AC616" s="4" t="str">
        <f ca="1">IFERROR(__xludf.DUMMYFUNCTION("""COMPUTED_VALUE"""),"3Q 2022")</f>
        <v>3Q 2022</v>
      </c>
      <c r="AD616" s="128">
        <f ca="1">IFERROR(__xludf.DUMMYFUNCTION("""COMPUTED_VALUE"""),44525)</f>
        <v>44525</v>
      </c>
      <c r="AE616" s="4" t="str">
        <f ca="1">IFERROR(__xludf.DUMMYFUNCTION("""COMPUTED_VALUE"""),"-")</f>
        <v>-</v>
      </c>
      <c r="AF616" s="4" t="str">
        <f ca="1">IFERROR(__xludf.DUMMYFUNCTION("""COMPUTED_VALUE"""),"-")</f>
        <v>-</v>
      </c>
      <c r="AG616" s="4" t="str">
        <f ca="1">IFERROR(__xludf.DUMMYFUNCTION("""COMPUTED_VALUE"""),"-")</f>
        <v>-</v>
      </c>
      <c r="AH616" s="4" t="str">
        <f ca="1">IFERROR(__xludf.DUMMYFUNCTION("""COMPUTED_VALUE"""),"-")</f>
        <v>-</v>
      </c>
      <c r="AI616" s="4" t="str">
        <f ca="1">IFERROR(__xludf.DUMMYFUNCTION("""COMPUTED_VALUE"""),"-")</f>
        <v>-</v>
      </c>
      <c r="AJ616" s="128">
        <f ca="1">IFERROR(__xludf.DUMMYFUNCTION("""COMPUTED_VALUE"""),44675)</f>
        <v>44675</v>
      </c>
      <c r="AK616" s="131" t="str">
        <f ca="1">IFERROR(__xludf.DUMMYFUNCTION("""COMPUTED_VALUE"""),"COLWSSEGUR-9")</f>
        <v>COLWSSEGUR-9</v>
      </c>
      <c r="AL616" s="4" t="str">
        <f ca="1">IFERROR(__xludf.DUMMYFUNCTION("""COMPUTED_VALUE"""),"Deployed")</f>
        <v>Deployed</v>
      </c>
      <c r="AM616" s="4" t="str">
        <f ca="1">IFERROR(__xludf.DUMMYFUNCTION("""COMPUTED_VALUE"""),"FINALIZADO")</f>
        <v>FINALIZADO</v>
      </c>
      <c r="AN616" s="4" t="str">
        <f ca="1">IFERROR(__xludf.DUMMYFUNCTION("""COMPUTED_VALUE"""),"Finalizado")</f>
        <v>Finalizado</v>
      </c>
      <c r="AO616" s="4"/>
      <c r="AP616" s="4"/>
      <c r="AQ616" s="4"/>
      <c r="AR616" s="4" t="str">
        <f ca="1">IFERROR(__xludf.DUMMYFUNCTION("""COMPUTED_VALUE"""),"SDA aprobada en PPP Q1 2023")</f>
        <v>SDA aprobada en PPP Q1 2023</v>
      </c>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133">
        <f ca="1">IFERROR(__xludf.DUMMYFUNCTION("""COMPUTED_VALUE"""),0)</f>
        <v>0</v>
      </c>
      <c r="DV616" s="133">
        <f ca="1">IFERROR(__xludf.DUMMYFUNCTION("""COMPUTED_VALUE"""),0)</f>
        <v>0</v>
      </c>
      <c r="DW616" s="133">
        <f ca="1">IFERROR(__xludf.DUMMYFUNCTION("""COMPUTED_VALUE"""),550000000)</f>
        <v>550000000</v>
      </c>
      <c r="DX616" s="133">
        <f ca="1">IFERROR(__xludf.DUMMYFUNCTION("""COMPUTED_VALUE"""),314000000)</f>
        <v>314000000</v>
      </c>
      <c r="DY616" s="133">
        <f ca="1">IFERROR(__xludf.DUMMYFUNCTION("""COMPUTED_VALUE"""),0)</f>
        <v>0</v>
      </c>
      <c r="DZ616" s="133">
        <f ca="1">IFERROR(__xludf.DUMMYFUNCTION("""COMPUTED_VALUE"""),864000000)</f>
        <v>864000000</v>
      </c>
      <c r="EA616" s="4"/>
      <c r="EB616" s="4"/>
    </row>
    <row r="617" spans="1:132" x14ac:dyDescent="0.2">
      <c r="A617" s="4">
        <f ca="1">IFERROR(__xludf.DUMMYFUNCTION("""COMPUTED_VALUE"""),617)</f>
        <v>617</v>
      </c>
      <c r="B617" s="4">
        <f ca="1">IFERROR(__xludf.DUMMYFUNCTION("""COMPUTED_VALUE"""),587)</f>
        <v>587</v>
      </c>
      <c r="C617" s="4" t="str">
        <f ca="1">IFERROR(__xludf.DUMMYFUNCTION("""COMPUTED_VALUE"""),"SDATOOL-38080")</f>
        <v>SDATOOL-38080</v>
      </c>
      <c r="D617" s="4" t="str">
        <f ca="1">IFERROR(__xludf.DUMMYFUNCTION("""COMPUTED_VALUE"""),"Seguros - LIS Coaseguro Aceptado Autos")</f>
        <v>Seguros - LIS Coaseguro Aceptado Autos</v>
      </c>
      <c r="E617"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7" s="4" t="str">
        <f ca="1">IFERROR(__xludf.DUMMYFUNCTION("""COMPUTED_VALUE"""),"Project")</f>
        <v>Project</v>
      </c>
      <c r="G617" s="4" t="str">
        <f ca="1">IFERROR(__xludf.DUMMYFUNCTION("""COMPUTED_VALUE"""),"Stock")</f>
        <v>Stock</v>
      </c>
      <c r="H617" s="4" t="str">
        <f ca="1">IFERROR(__xludf.DUMMYFUNCTION("""COMPUTED_VALUE"""),"4Q 2023")</f>
        <v>4Q 2023</v>
      </c>
      <c r="I617" s="131" t="str">
        <f ca="1">IFERROR(__xludf.DUMMYFUNCTION("""COMPUTED_VALUE"""),"katherine.michaels-bbva.com")</f>
        <v>katherine.michaels-bbva.com</v>
      </c>
      <c r="J617" s="131" t="str">
        <f ca="1">IFERROR(__xludf.DUMMYFUNCTION("""COMPUTED_VALUE"""),"mariajuliana.rodriguez-bbva.com")</f>
        <v>mariajuliana.rodriguez-bbva.com</v>
      </c>
      <c r="K617" s="131" t="str">
        <f ca="1">IFERROR(__xludf.DUMMYFUNCTION("""COMPUTED_VALUE"""),"felipe.guzman-bbva.com")</f>
        <v>felipe.guzman-bbva.com</v>
      </c>
      <c r="L617" s="4"/>
      <c r="M617" s="4"/>
      <c r="N617" s="4"/>
      <c r="O617" s="4" t="str">
        <f ca="1">IFERROR(__xludf.DUMMYFUNCTION("""COMPUTED_VALUE"""),"Waterfall")</f>
        <v>Waterfall</v>
      </c>
      <c r="P617" s="4" t="str">
        <f ca="1">IFERROR(__xludf.DUMMYFUNCTION("""COMPUTED_VALUE"""),"Tradicional")</f>
        <v>Tradicional</v>
      </c>
      <c r="Q617" s="4"/>
      <c r="R617" s="130" t="str">
        <f ca="1">IFERROR(__xludf.DUMMYFUNCTION("""COMPUTED_VALUE"""),"Insurance")</f>
        <v>Insurance</v>
      </c>
      <c r="S617" s="130" t="str">
        <f ca="1">IFERROR(__xludf.DUMMYFUNCTION("""COMPUTED_VALUE"""),"Strategic Review")</f>
        <v>Strategic Review</v>
      </c>
      <c r="T617" s="130" t="str">
        <f ca="1">IFERROR(__xludf.DUMMYFUNCTION("""COMPUTED_VALUE"""),"1. Generación de Ingresos")</f>
        <v>1. Generación de Ingresos</v>
      </c>
      <c r="U617" s="130" t="str">
        <f ca="1">IFERROR(__xludf.DUMMYFUNCTION("""COMPUTED_VALUE"""),"1.5. Otros de Proyectos de Ingresos")</f>
        <v>1.5. Otros de Proyectos de Ingresos</v>
      </c>
      <c r="V617" s="4" t="str">
        <f ca="1">IFERROR(__xludf.DUMMYFUNCTION("""COMPUTED_VALUE"""),"Seguros")</f>
        <v>Seguros</v>
      </c>
      <c r="W617" s="4">
        <f ca="1">IFERROR(__xludf.DUMMYFUNCTION("""COMPUTED_VALUE"""),2)</f>
        <v>2</v>
      </c>
      <c r="X617" s="4" t="str">
        <f ca="1">IFERROR(__xludf.DUMMYFUNCTION("""COMPUTED_VALUE"""),"05. Cross-sell")</f>
        <v>05. Cross-sell</v>
      </c>
      <c r="Y617" s="4" t="str">
        <f ca="1">IFERROR(__xludf.DUMMYFUNCTION("""COMPUTED_VALUE"""),"5.3.2 Insurance")</f>
        <v>5.3.2 Insurance</v>
      </c>
      <c r="Z617" s="132" t="str">
        <f ca="1">IFERROR(__xludf.DUMMYFUNCTION("""COMPUTED_VALUE"""),"430887")</f>
        <v>430887</v>
      </c>
      <c r="AA617" s="4" t="str">
        <f ca="1">IFERROR(__xludf.DUMMYFUNCTION("""COMPUTED_VALUE"""),"LIS Coaseguro Autos Deudores Aprovisionamiento")</f>
        <v>LIS Coaseguro Autos Deudores Aprovisionamiento</v>
      </c>
      <c r="AB617" s="4" t="str">
        <f ca="1">IFERROR(__xludf.DUMMYFUNCTION("""COMPUTED_VALUE"""),"Bajo este proyecto, se requiere realizar la integración del aplicativo Sics con el banco para el aprovisionamiento de usuarios, con el objetivo de que la administración de los usuarios quede en sincronía con Banco. Los items que se trabajarán en esta feat"&amp;"ure son:
Consumo de servicios del Banco para el aprovisionamiento de usuarios
Perfilado en Sics
Creación de campos (Zona , Territorial, canal)
Reestructurar reporte de usuarios con los campos nuevos")</f>
        <v>Bajo este proyecto, se requiere realizar la integración del aplicativo Sics con el banco para el aprovisionamiento de usuarios, con el objetivo de que la administración de los usuarios quede en sincronía con Banco. Los items que se trabajarán en esta feature son:
Consumo de servicios del Banco para el aprovisionamiento de usuarios
Perfilado en Sics
Creación de campos (Zona , Territorial, canal)
Reestructurar reporte de usuarios con los campos nuevos</v>
      </c>
      <c r="AC617" s="4" t="str">
        <f ca="1">IFERROR(__xludf.DUMMYFUNCTION("""COMPUTED_VALUE"""),"2Q 2023")</f>
        <v>2Q 2023</v>
      </c>
      <c r="AD617" s="128">
        <f ca="1">IFERROR(__xludf.DUMMYFUNCTION("""COMPUTED_VALUE"""),44719)</f>
        <v>44719</v>
      </c>
      <c r="AE617" s="4" t="str">
        <f ca="1">IFERROR(__xludf.DUMMYFUNCTION("""COMPUTED_VALUE"""),"-")</f>
        <v>-</v>
      </c>
      <c r="AF617" s="4" t="str">
        <f ca="1">IFERROR(__xludf.DUMMYFUNCTION("""COMPUTED_VALUE"""),"-")</f>
        <v>-</v>
      </c>
      <c r="AG617" s="4" t="str">
        <f ca="1">IFERROR(__xludf.DUMMYFUNCTION("""COMPUTED_VALUE"""),"-")</f>
        <v>-</v>
      </c>
      <c r="AH617" s="4" t="str">
        <f ca="1">IFERROR(__xludf.DUMMYFUNCTION("""COMPUTED_VALUE"""),"-")</f>
        <v>-</v>
      </c>
      <c r="AI617" s="4" t="str">
        <f ca="1">IFERROR(__xludf.DUMMYFUNCTION("""COMPUTED_VALUE"""),"-")</f>
        <v>-</v>
      </c>
      <c r="AJ617" s="128">
        <f ca="1">IFERROR(__xludf.DUMMYFUNCTION("""COMPUTED_VALUE"""),45137)</f>
        <v>45137</v>
      </c>
      <c r="AK617" s="131" t="str">
        <f ca="1">IFERROR(__xludf.DUMMYFUNCTION("""COMPUTED_VALUE"""),"COLWSSEGUR-50")</f>
        <v>COLWSSEGUR-50</v>
      </c>
      <c r="AL617" s="4" t="str">
        <f ca="1">IFERROR(__xludf.DUMMYFUNCTION("""COMPUTED_VALUE"""),"En progreso")</f>
        <v>En progreso</v>
      </c>
      <c r="AM617" s="4"/>
      <c r="AN617" s="4" t="str">
        <f ca="1">IFERROR(__xludf.DUMMYFUNCTION("""COMPUTED_VALUE"""),"Entregable en desarrollo")</f>
        <v>Entregable en desarrollo</v>
      </c>
      <c r="AO617" s="4"/>
      <c r="AP617" s="4"/>
      <c r="AQ617" s="4"/>
      <c r="AR617" s="4" t="str">
        <f ca="1">IFERROR(__xludf.DUMMYFUNCTION("""COMPUTED_VALUE"""),"SDA aprobada en PPP Q1 2023")</f>
        <v>SDA aprobada en PPP Q1 2023</v>
      </c>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row>
    <row r="618" spans="1:132" x14ac:dyDescent="0.2">
      <c r="A618" s="4">
        <f ca="1">IFERROR(__xludf.DUMMYFUNCTION("""COMPUTED_VALUE"""),618)</f>
        <v>618</v>
      </c>
      <c r="B618" s="4">
        <f ca="1">IFERROR(__xludf.DUMMYFUNCTION("""COMPUTED_VALUE"""),588)</f>
        <v>588</v>
      </c>
      <c r="C618" s="4" t="str">
        <f ca="1">IFERROR(__xludf.DUMMYFUNCTION("""COMPUTED_VALUE"""),"SDATOOL-38080")</f>
        <v>SDATOOL-38080</v>
      </c>
      <c r="D618" s="4" t="str">
        <f ca="1">IFERROR(__xludf.DUMMYFUNCTION("""COMPUTED_VALUE"""),"Seguros - LIS Coaseguro Aceptado Autos")</f>
        <v>Seguros - LIS Coaseguro Aceptado Autos</v>
      </c>
      <c r="E618"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8" s="4" t="str">
        <f ca="1">IFERROR(__xludf.DUMMYFUNCTION("""COMPUTED_VALUE"""),"Project")</f>
        <v>Project</v>
      </c>
      <c r="G618" s="4" t="str">
        <f ca="1">IFERROR(__xludf.DUMMYFUNCTION("""COMPUTED_VALUE"""),"Stock")</f>
        <v>Stock</v>
      </c>
      <c r="H618" s="4" t="str">
        <f ca="1">IFERROR(__xludf.DUMMYFUNCTION("""COMPUTED_VALUE"""),"4Q 2023")</f>
        <v>4Q 2023</v>
      </c>
      <c r="I618" s="131" t="str">
        <f ca="1">IFERROR(__xludf.DUMMYFUNCTION("""COMPUTED_VALUE"""),"katherine.michaels-bbva.com")</f>
        <v>katherine.michaels-bbva.com</v>
      </c>
      <c r="J618" s="131" t="str">
        <f ca="1">IFERROR(__xludf.DUMMYFUNCTION("""COMPUTED_VALUE"""),"mariajuliana.rodriguez-bbva.com")</f>
        <v>mariajuliana.rodriguez-bbva.com</v>
      </c>
      <c r="K618" s="131" t="str">
        <f ca="1">IFERROR(__xludf.DUMMYFUNCTION("""COMPUTED_VALUE"""),"felipe.guzman-bbva.com")</f>
        <v>felipe.guzman-bbva.com</v>
      </c>
      <c r="L618" s="4"/>
      <c r="M618" s="4"/>
      <c r="N618" s="4"/>
      <c r="O618" s="4" t="str">
        <f ca="1">IFERROR(__xludf.DUMMYFUNCTION("""COMPUTED_VALUE"""),"Waterfall")</f>
        <v>Waterfall</v>
      </c>
      <c r="P618" s="4" t="str">
        <f ca="1">IFERROR(__xludf.DUMMYFUNCTION("""COMPUTED_VALUE"""),"Tradicional")</f>
        <v>Tradicional</v>
      </c>
      <c r="Q618" s="4"/>
      <c r="R618" s="130" t="str">
        <f ca="1">IFERROR(__xludf.DUMMYFUNCTION("""COMPUTED_VALUE"""),"Insurance")</f>
        <v>Insurance</v>
      </c>
      <c r="S618" s="130" t="str">
        <f ca="1">IFERROR(__xludf.DUMMYFUNCTION("""COMPUTED_VALUE"""),"Strategic Review")</f>
        <v>Strategic Review</v>
      </c>
      <c r="T618" s="130" t="str">
        <f ca="1">IFERROR(__xludf.DUMMYFUNCTION("""COMPUTED_VALUE"""),"1. Generación de Ingresos")</f>
        <v>1. Generación de Ingresos</v>
      </c>
      <c r="U618" s="130" t="str">
        <f ca="1">IFERROR(__xludf.DUMMYFUNCTION("""COMPUTED_VALUE"""),"1.5. Otros de Proyectos de Ingresos")</f>
        <v>1.5. Otros de Proyectos de Ingresos</v>
      </c>
      <c r="V618" s="4" t="str">
        <f ca="1">IFERROR(__xludf.DUMMYFUNCTION("""COMPUTED_VALUE"""),"Seguros")</f>
        <v>Seguros</v>
      </c>
      <c r="W618" s="4">
        <f ca="1">IFERROR(__xludf.DUMMYFUNCTION("""COMPUTED_VALUE"""),2)</f>
        <v>2</v>
      </c>
      <c r="X618" s="4" t="str">
        <f ca="1">IFERROR(__xludf.DUMMYFUNCTION("""COMPUTED_VALUE"""),"05. Cross-sell")</f>
        <v>05. Cross-sell</v>
      </c>
      <c r="Y618" s="4" t="str">
        <f ca="1">IFERROR(__xludf.DUMMYFUNCTION("""COMPUTED_VALUE"""),"5.3.2 Insurance")</f>
        <v>5.3.2 Insurance</v>
      </c>
      <c r="Z618" s="132" t="str">
        <f ca="1">IFERROR(__xludf.DUMMYFUNCTION("""COMPUTED_VALUE"""),"560509")</f>
        <v>560509</v>
      </c>
      <c r="AA618" s="4" t="str">
        <f ca="1">IFERROR(__xludf.DUMMYFUNCTION("""COMPUTED_VALUE"""),"LIS Coaseguro Autos Deudores Altamira")</f>
        <v>LIS Coaseguro Autos Deudores Altamira</v>
      </c>
      <c r="AB618" s="4" t="str">
        <f ca="1">IFERROR(__xludf.DUMMYFUNCTION("""COMPUTED_VALUE"""),"LIS Coaseguro Autos Deudores Altamira")</f>
        <v>LIS Coaseguro Autos Deudores Altamira</v>
      </c>
      <c r="AC618" s="4" t="str">
        <f ca="1">IFERROR(__xludf.DUMMYFUNCTION("""COMPUTED_VALUE"""),"2Q 2023")</f>
        <v>2Q 2023</v>
      </c>
      <c r="AD618" s="4"/>
      <c r="AE618" s="4"/>
      <c r="AF618" s="4"/>
      <c r="AG618" s="4"/>
      <c r="AH618" s="4"/>
      <c r="AI618" s="4"/>
      <c r="AJ618" s="128">
        <f ca="1">IFERROR(__xludf.DUMMYFUNCTION("""COMPUTED_VALUE"""),45137)</f>
        <v>45137</v>
      </c>
      <c r="AK618" s="131" t="str">
        <f ca="1">IFERROR(__xludf.DUMMYFUNCTION("""COMPUTED_VALUE"""),"COLWSSEGUR-31")</f>
        <v>COLWSSEGUR-31</v>
      </c>
      <c r="AL618" s="4" t="str">
        <f ca="1">IFERROR(__xludf.DUMMYFUNCTION("""COMPUTED_VALUE"""),"Test")</f>
        <v>Test</v>
      </c>
      <c r="AM618" s="4"/>
      <c r="AN618" s="4" t="str">
        <f ca="1">IFERROR(__xludf.DUMMYFUNCTION("""COMPUTED_VALUE"""),"Entregable en desarrollo")</f>
        <v>Entregable en desarrollo</v>
      </c>
      <c r="AO618" s="4"/>
      <c r="AP618" s="4"/>
      <c r="AQ618" s="4"/>
      <c r="AR618" s="4" t="str">
        <f ca="1">IFERROR(__xludf.DUMMYFUNCTION("""COMPUTED_VALUE"""),"SDA aprobada en PPP Q1 2023")</f>
        <v>SDA aprobada en PPP Q1 2023</v>
      </c>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row>
    <row r="619" spans="1:132" x14ac:dyDescent="0.2">
      <c r="A619" s="4">
        <f ca="1">IFERROR(__xludf.DUMMYFUNCTION("""COMPUTED_VALUE"""),619)</f>
        <v>619</v>
      </c>
      <c r="B619" s="4">
        <f ca="1">IFERROR(__xludf.DUMMYFUNCTION("""COMPUTED_VALUE"""),589)</f>
        <v>589</v>
      </c>
      <c r="C619" s="4" t="str">
        <f ca="1">IFERROR(__xludf.DUMMYFUNCTION("""COMPUTED_VALUE"""),"SDATOOL-38222")</f>
        <v>SDATOOL-38222</v>
      </c>
      <c r="D619" s="4" t="str">
        <f ca="1">IFERROR(__xludf.DUMMYFUNCTION("""COMPUTED_VALUE"""),"Seguros - Optimización de productos 2022")</f>
        <v>Seguros - Optimización de productos 2022</v>
      </c>
      <c r="E619" s="4" t="str">
        <f ca="1">IFERROR(__xludf.DUMMYFUNCTION("""COMPUTED_VALUE"""),"Implementar mejoras a los productos y funcionalidades de los sistemas core y legados de la aseguradora")</f>
        <v>Implementar mejoras a los productos y funcionalidades de los sistemas core y legados de la aseguradora</v>
      </c>
      <c r="F619" s="4" t="str">
        <f ca="1">IFERROR(__xludf.DUMMYFUNCTION("""COMPUTED_VALUE"""),"Project")</f>
        <v>Project</v>
      </c>
      <c r="G619" s="4" t="str">
        <f ca="1">IFERROR(__xludf.DUMMYFUNCTION("""COMPUTED_VALUE"""),"Ended")</f>
        <v>Ended</v>
      </c>
      <c r="H619" s="4" t="str">
        <f ca="1">IFERROR(__xludf.DUMMYFUNCTION("""COMPUTED_VALUE"""),"1Q 2023")</f>
        <v>1Q 2023</v>
      </c>
      <c r="I619" s="131" t="str">
        <f ca="1">IFERROR(__xludf.DUMMYFUNCTION("""COMPUTED_VALUE"""),"katherine.michaels-bbva.com")</f>
        <v>katherine.michaels-bbva.com</v>
      </c>
      <c r="J619" s="131" t="str">
        <f ca="1">IFERROR(__xludf.DUMMYFUNCTION("""COMPUTED_VALUE"""),"mariajuliana.rodriguez-bbva.com")</f>
        <v>mariajuliana.rodriguez-bbva.com</v>
      </c>
      <c r="K619" s="131" t="str">
        <f ca="1">IFERROR(__xludf.DUMMYFUNCTION("""COMPUTED_VALUE"""),"sandracarolina.miranda-bbva.com")</f>
        <v>sandracarolina.miranda-bbva.com</v>
      </c>
      <c r="L619" s="4"/>
      <c r="M619" s="4"/>
      <c r="N619" s="4"/>
      <c r="O619" s="4" t="str">
        <f ca="1">IFERROR(__xludf.DUMMYFUNCTION("""COMPUTED_VALUE"""),"Waterfall")</f>
        <v>Waterfall</v>
      </c>
      <c r="P619" s="4" t="str">
        <f ca="1">IFERROR(__xludf.DUMMYFUNCTION("""COMPUTED_VALUE"""),"Tradicional")</f>
        <v>Tradicional</v>
      </c>
      <c r="Q619" s="4"/>
      <c r="R619" s="130" t="str">
        <f ca="1">IFERROR(__xludf.DUMMYFUNCTION("""COMPUTED_VALUE"""),"Insurance")</f>
        <v>Insurance</v>
      </c>
      <c r="S619" s="130" t="str">
        <f ca="1">IFERROR(__xludf.DUMMYFUNCTION("""COMPUTED_VALUE""")," Otros")</f>
        <v xml:space="preserve"> Otros</v>
      </c>
      <c r="T619" s="130" t="str">
        <f ca="1">IFERROR(__xludf.DUMMYFUNCTION("""COMPUTED_VALUE"""),"1. Generación de Ingresos")</f>
        <v>1. Generación de Ingresos</v>
      </c>
      <c r="U619" s="130" t="str">
        <f ca="1">IFERROR(__xludf.DUMMYFUNCTION("""COMPUTED_VALUE"""),"1.5. Otros de Proyectos de Ingresos")</f>
        <v>1.5. Otros de Proyectos de Ingresos</v>
      </c>
      <c r="V619" s="4" t="str">
        <f ca="1">IFERROR(__xludf.DUMMYFUNCTION("""COMPUTED_VALUE"""),"Seguros")</f>
        <v>Seguros</v>
      </c>
      <c r="W619" s="4">
        <f ca="1">IFERROR(__xludf.DUMMYFUNCTION("""COMPUTED_VALUE"""),2)</f>
        <v>2</v>
      </c>
      <c r="X619" s="4" t="str">
        <f ca="1">IFERROR(__xludf.DUMMYFUNCTION("""COMPUTED_VALUE"""),"10. Otros")</f>
        <v>10. Otros</v>
      </c>
      <c r="Y619" s="4" t="str">
        <f ca="1">IFERROR(__xludf.DUMMYFUNCTION("""COMPUTED_VALUE""")," Otros")</f>
        <v xml:space="preserve"> Otros</v>
      </c>
      <c r="Z619" s="132" t="str">
        <f ca="1">IFERROR(__xludf.DUMMYFUNCTION("""COMPUTED_VALUE"""),"610329")</f>
        <v>610329</v>
      </c>
      <c r="AA619" s="4" t="str">
        <f ca="1">IFERROR(__xludf.DUMMYFUNCTION("""COMPUTED_VALUE"""),"Versionamiento MIDAs")</f>
        <v>Versionamiento MIDAs</v>
      </c>
      <c r="AB619" s="4" t="str">
        <f ca="1">IFERROR(__xludf.DUMMYFUNCTION("""COMPUTED_VALUE"""),"mejoras y soporte continuo para su correcto funacionamiento.
De acuerdo a este antecedente el proveedor de Midas Hensohn, nos informa que las nuevas... 
Actualmente la version del aplicativo Midas de BBVA Seguros se encuentra en Noviembre 2018 en version"&amp;" productiva, el aplicativo de Midas requiere de mejoras y soporte continuo para su correcto funacionamiento.
De acuerdo a este antecedente el proveedor de Midas Hensohn, nos informa que las nuevas actualizaciones.")</f>
        <v>mejoras y soporte continuo para su correcto funacionamiento.
De acuerdo a este antecedente el proveedor de Midas Hensohn, nos informa que las nuevas... 
Actualmente la version del aplicativo Midas de BBVA Seguros se encuentra en Noviembre 2018 en version productiva, el aplicativo de Midas requiere de mejoras y soporte continuo para su correcto funacionamiento.
De acuerdo a este antecedente el proveedor de Midas Hensohn, nos informa que las nuevas actualizaciones.</v>
      </c>
      <c r="AC619" s="4" t="str">
        <f ca="1">IFERROR(__xludf.DUMMYFUNCTION("""COMPUTED_VALUE"""),"4Q 2022")</f>
        <v>4Q 2022</v>
      </c>
      <c r="AD619" s="4"/>
      <c r="AE619" s="4"/>
      <c r="AF619" s="4"/>
      <c r="AG619" s="4"/>
      <c r="AH619" s="4"/>
      <c r="AI619" s="4"/>
      <c r="AJ619" s="4"/>
      <c r="AK619" s="131" t="str">
        <f ca="1">IFERROR(__xludf.DUMMYFUNCTION("""COMPUTED_VALUE"""),"COLWSSEGUR-37")</f>
        <v>COLWSSEGUR-37</v>
      </c>
      <c r="AL619" s="4" t="str">
        <f ca="1">IFERROR(__xludf.DUMMYFUNCTION("""COMPUTED_VALUE"""),"Deployed")</f>
        <v>Deployed</v>
      </c>
      <c r="AM619" s="4"/>
      <c r="AN619" s="4" t="str">
        <f ca="1">IFERROR(__xludf.DUMMYFUNCTION("""COMPUTED_VALUE"""),"Finalizado")</f>
        <v>Finalizado</v>
      </c>
      <c r="AO619" s="4"/>
      <c r="AP619" s="4"/>
      <c r="AQ619" s="4"/>
      <c r="AR619" s="4" t="str">
        <f ca="1">IFERROR(__xludf.DUMMYFUNCTION("""COMPUTED_VALUE"""),"SDA aprobada en PPP Q1 2023")</f>
        <v>SDA aprobada en PPP Q1 2023</v>
      </c>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row>
    <row r="620" spans="1:132" x14ac:dyDescent="0.2">
      <c r="A620" s="4">
        <f ca="1">IFERROR(__xludf.DUMMYFUNCTION("""COMPUTED_VALUE"""),620)</f>
        <v>620</v>
      </c>
      <c r="B620" s="4">
        <f ca="1">IFERROR(__xludf.DUMMYFUNCTION("""COMPUTED_VALUE"""),590)</f>
        <v>590</v>
      </c>
      <c r="C620" s="4" t="str">
        <f ca="1">IFERROR(__xludf.DUMMYFUNCTION("""COMPUTED_VALUE"""),"SDATOOL-40300")</f>
        <v>SDATOOL-40300</v>
      </c>
      <c r="D620" s="4" t="str">
        <f ca="1">IFERROR(__xludf.DUMMYFUNCTION("""COMPUTED_VALUE"""),"Seguros - Reintegro automático a tarjetas crédito")</f>
        <v>Seguros - Reintegro automático a tarjetas crédito</v>
      </c>
      <c r="E620" s="4" t="str">
        <f ca="1">IFERROR(__xludf.DUMMYFUNCTION("""COMPUTED_VALUE"""),"Se requiere implementar una funcionalidad, la cual permita realizar reintegro de forma automática a los clientes que tuvieron un cobro de seguro libre, usando la tarjeta de crédito como medio de pago  y quienes por temas de PQR's, revocaciones o evento pa"&amp;"rticular y con debido sustento presentan ante la aseguradora formalmente la solicitud de devolución, estableciendo a través de débito automático el reintegros de primas y los conceptos imputados al momento del cobro (valor de prima, IVA) sean reversados. "&amp;"Reflejando los debidos movimientos en los diferentes aplicativos y con las afectaciones contables correspondientes tanto para el cliente como las cuentas de la aseguradora y/o banco.")</f>
        <v>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 estableciendo a través de débito automático el reintegros de primas y los conceptos imputados al momento del cobro (valor de prima, IVA) sean reversados. Reflejando los debidos movimientos en los diferentes aplicativos y con las afectaciones contables correspondientes tanto para el cliente como las cuentas de la aseguradora y/o banco.</v>
      </c>
      <c r="F620" s="4" t="str">
        <f ca="1">IFERROR(__xludf.DUMMYFUNCTION("""COMPUTED_VALUE"""),"Initiative")</f>
        <v>Initiative</v>
      </c>
      <c r="G620" s="4" t="str">
        <f ca="1">IFERROR(__xludf.DUMMYFUNCTION("""COMPUTED_VALUE"""),"Ended")</f>
        <v>Ended</v>
      </c>
      <c r="H620" s="4" t="str">
        <f ca="1">IFERROR(__xludf.DUMMYFUNCTION("""COMPUTED_VALUE"""),"1Q 2023")</f>
        <v>1Q 2023</v>
      </c>
      <c r="I620" s="131" t="str">
        <f ca="1">IFERROR(__xludf.DUMMYFUNCTION("""COMPUTED_VALUE"""),"katherine.michaels-bbva.com")</f>
        <v>katherine.michaels-bbva.com</v>
      </c>
      <c r="J620" s="131" t="str">
        <f ca="1">IFERROR(__xludf.DUMMYFUNCTION("""COMPUTED_VALUE"""),"dianacarolina.gonzalez.castri-bbva.com")</f>
        <v>dianacarolina.gonzalez.castri-bbva.com</v>
      </c>
      <c r="K620" s="131" t="str">
        <f ca="1">IFERROR(__xludf.DUMMYFUNCTION("""COMPUTED_VALUE"""),"felipe.guzman-bbva.com")</f>
        <v>felipe.guzman-bbva.com</v>
      </c>
      <c r="L620" s="130">
        <f ca="1">IFERROR(__xludf.DUMMYFUNCTION("""COMPUTED_VALUE"""),0)</f>
        <v>0</v>
      </c>
      <c r="M620" s="130">
        <f ca="1">IFERROR(__xludf.DUMMYFUNCTION("""COMPUTED_VALUE"""),0)</f>
        <v>0</v>
      </c>
      <c r="N620" s="130">
        <f ca="1">IFERROR(__xludf.DUMMYFUNCTION("""COMPUTED_VALUE"""),0)</f>
        <v>0</v>
      </c>
      <c r="O620" s="4" t="str">
        <f ca="1">IFERROR(__xludf.DUMMYFUNCTION("""COMPUTED_VALUE"""),"Waterfall")</f>
        <v>Waterfall</v>
      </c>
      <c r="P620" s="4" t="str">
        <f ca="1">IFERROR(__xludf.DUMMYFUNCTION("""COMPUTED_VALUE"""),"Tradicional")</f>
        <v>Tradicional</v>
      </c>
      <c r="Q620" s="4"/>
      <c r="R620" s="130" t="str">
        <f ca="1">IFERROR(__xludf.DUMMYFUNCTION("""COMPUTED_VALUE"""),"Insurance")</f>
        <v>Insurance</v>
      </c>
      <c r="S620" s="130" t="str">
        <f ca="1">IFERROR(__xludf.DUMMYFUNCTION("""COMPUTED_VALUE""")," Otros")</f>
        <v xml:space="preserve"> Otros</v>
      </c>
      <c r="T620" s="130" t="str">
        <f ca="1">IFERROR(__xludf.DUMMYFUNCTION("""COMPUTED_VALUE"""),"Otros")</f>
        <v>Otros</v>
      </c>
      <c r="U620" s="130" t="str">
        <f ca="1">IFERROR(__xludf.DUMMYFUNCTION("""COMPUTED_VALUE"""),"No Aplica")</f>
        <v>No Aplica</v>
      </c>
      <c r="V620" s="4" t="str">
        <f ca="1">IFERROR(__xludf.DUMMYFUNCTION("""COMPUTED_VALUE"""),"Seguros")</f>
        <v>Seguros</v>
      </c>
      <c r="W620" s="4">
        <f ca="1">IFERROR(__xludf.DUMMYFUNCTION("""COMPUTED_VALUE"""),2)</f>
        <v>2</v>
      </c>
      <c r="X620" s="4" t="str">
        <f ca="1">IFERROR(__xludf.DUMMYFUNCTION("""COMPUTED_VALUE"""),"10. Otros")</f>
        <v>10. Otros</v>
      </c>
      <c r="Y620" s="4" t="str">
        <f ca="1">IFERROR(__xludf.DUMMYFUNCTION("""COMPUTED_VALUE""")," Otros")</f>
        <v xml:space="preserve"> Otros</v>
      </c>
      <c r="Z620" s="132" t="str">
        <f ca="1">IFERROR(__xludf.DUMMYFUNCTION("""COMPUTED_VALUE"""),"557300")</f>
        <v>557300</v>
      </c>
      <c r="AA620" s="4" t="str">
        <f ca="1">IFERROR(__xludf.DUMMYFUNCTION("""COMPUTED_VALUE"""),"Reintegro automático a tarjetas crédito")</f>
        <v>Reintegro automático a tarjetas crédito</v>
      </c>
      <c r="AB620" s="4" t="str">
        <f ca="1">IFERROR(__xludf.DUMMYFUNCTION("""COMPUTED_VALUE"""),"Se requiere implementar una funcionalidad, la cual permita realizar reintegro de forma automática a los clientes que tuvieron un cobro de seguro libre, usando la tarjeta de crédito como medio de pago  y quienes por temas de PQR's, revocaciones o evento pa"&amp;"rticular y con debido sustento presentan ante la aseguradora formalmente la solicitud de devolución")</f>
        <v>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v>
      </c>
      <c r="AC620" s="4" t="str">
        <f ca="1">IFERROR(__xludf.DUMMYFUNCTION("""COMPUTED_VALUE"""),"1Q 2023")</f>
        <v>1Q 2023</v>
      </c>
      <c r="AD620" s="4"/>
      <c r="AE620" s="4"/>
      <c r="AF620" s="4"/>
      <c r="AG620" s="4"/>
      <c r="AH620" s="4"/>
      <c r="AI620" s="4"/>
      <c r="AJ620" s="128">
        <f ca="1">IFERROR(__xludf.DUMMYFUNCTION("""COMPUTED_VALUE"""),45015)</f>
        <v>45015</v>
      </c>
      <c r="AK620" s="131" t="str">
        <f ca="1">IFERROR(__xludf.DUMMYFUNCTION("""COMPUTED_VALUE"""),"COLWSSEGUR-146")</f>
        <v>COLWSSEGUR-146</v>
      </c>
      <c r="AL620" s="4" t="str">
        <f ca="1">IFERROR(__xludf.DUMMYFUNCTION("""COMPUTED_VALUE"""),"Ready To Verify")</f>
        <v>Ready To Verify</v>
      </c>
      <c r="AM620" s="4"/>
      <c r="AN620" s="4" t="str">
        <f ca="1">IFERROR(__xludf.DUMMYFUNCTION("""COMPUTED_VALUE"""),"Entregable en desarrollo")</f>
        <v>Entregable en desarrollo</v>
      </c>
      <c r="AO620" s="4"/>
      <c r="AP620" s="4"/>
      <c r="AQ620" s="4"/>
      <c r="AR620" s="4" t="str">
        <f ca="1">IFERROR(__xludf.DUMMYFUNCTION("""COMPUTED_VALUE"""),"SDA aprobada en PPP Q1 2023")</f>
        <v>SDA aprobada en PPP Q1 2023</v>
      </c>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133">
        <f ca="1">IFERROR(__xludf.DUMMYFUNCTION("""COMPUTED_VALUE"""),0)</f>
        <v>0</v>
      </c>
      <c r="DV620" s="133">
        <f ca="1">IFERROR(__xludf.DUMMYFUNCTION("""COMPUTED_VALUE"""),0)</f>
        <v>0</v>
      </c>
      <c r="DW620" s="133">
        <f ca="1">IFERROR(__xludf.DUMMYFUNCTION("""COMPUTED_VALUE"""),0)</f>
        <v>0</v>
      </c>
      <c r="DX620" s="133">
        <f ca="1">IFERROR(__xludf.DUMMYFUNCTION("""COMPUTED_VALUE"""),50000000)</f>
        <v>50000000</v>
      </c>
      <c r="DY620" s="133">
        <f ca="1">IFERROR(__xludf.DUMMYFUNCTION("""COMPUTED_VALUE"""),0)</f>
        <v>0</v>
      </c>
      <c r="DZ620" s="133">
        <f ca="1">IFERROR(__xludf.DUMMYFUNCTION("""COMPUTED_VALUE"""),50000000)</f>
        <v>50000000</v>
      </c>
      <c r="EA620" s="4"/>
      <c r="EB620" s="4"/>
    </row>
    <row r="621" spans="1:132" x14ac:dyDescent="0.2">
      <c r="A621" s="4">
        <f ca="1">IFERROR(__xludf.DUMMYFUNCTION("""COMPUTED_VALUE"""),621)</f>
        <v>621</v>
      </c>
      <c r="B621" s="4">
        <f ca="1">IFERROR(__xludf.DUMMYFUNCTION("""COMPUTED_VALUE"""),591)</f>
        <v>591</v>
      </c>
      <c r="C621" s="4" t="str">
        <f ca="1">IFERROR(__xludf.DUMMYFUNCTION("""COMPUTED_VALUE"""),"SDATOOL-40521")</f>
        <v>SDATOOL-40521</v>
      </c>
      <c r="D621" s="4" t="str">
        <f ca="1">IFERROR(__xludf.DUMMYFUNCTION("""COMPUTED_VALUE"""),"Seguros - Ingesta de garantías Hipotecarias")</f>
        <v>Seguros - Ingesta de garantías Hipotecarias</v>
      </c>
      <c r="E621" s="4" t="str">
        <f ca="1">IFERROR(__xludf.DUMMYFUNCTION("""COMPUTED_VALUE"""),"Desarrollos en AU y IC para que el banco realice la implementación de Licitación Seguros Deudores en Créditos Hipotecarios y Operaciones de Leasing Habitacional a partir del 31 de diciembre de 2022 de acuerdo a lo establecido en el Decreto 2555 de 2010 (B"&amp;"anco y Aseguradora), el Decreto 673 de 2014 (Banco), el Decreto 1534 de 2016 (Aseguradora) y la Circular Externa 011 de 2013 (Aseguradora) que establece la información mínima que deben reportar las aseguradoras para el ramo de terremoto y la cual es entre"&amp;"gada por BBVA Colombia a BBVA Seguros")</f>
        <v>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 y la cual es entregada por BBVA Colombia a BBVA Seguros</v>
      </c>
      <c r="F621" s="4" t="str">
        <f ca="1">IFERROR(__xludf.DUMMYFUNCTION("""COMPUTED_VALUE"""),"Project")</f>
        <v>Project</v>
      </c>
      <c r="G621" s="4" t="str">
        <f ca="1">IFERROR(__xludf.DUMMYFUNCTION("""COMPUTED_VALUE"""),"Ended")</f>
        <v>Ended</v>
      </c>
      <c r="H621" s="4" t="str">
        <f ca="1">IFERROR(__xludf.DUMMYFUNCTION("""COMPUTED_VALUE"""),"1Q 2023")</f>
        <v>1Q 2023</v>
      </c>
      <c r="I621" s="131" t="str">
        <f ca="1">IFERROR(__xludf.DUMMYFUNCTION("""COMPUTED_VALUE"""),"katherine.michaels-bbva.com")</f>
        <v>katherine.michaels-bbva.com</v>
      </c>
      <c r="J621" s="131" t="str">
        <f ca="1">IFERROR(__xludf.DUMMYFUNCTION("""COMPUTED_VALUE"""),"felipe.guzman-bbva.com")</f>
        <v>felipe.guzman-bbva.com</v>
      </c>
      <c r="K621" s="131" t="str">
        <f ca="1">IFERROR(__xludf.DUMMYFUNCTION("""COMPUTED_VALUE"""),"josedaniel.sanabria-bbva.com")</f>
        <v>josedaniel.sanabria-bbva.com</v>
      </c>
      <c r="L621" s="130">
        <f ca="1">IFERROR(__xludf.DUMMYFUNCTION("""COMPUTED_VALUE"""),0)</f>
        <v>0</v>
      </c>
      <c r="M621" s="130">
        <f ca="1">IFERROR(__xludf.DUMMYFUNCTION("""COMPUTED_VALUE"""),0)</f>
        <v>0</v>
      </c>
      <c r="N621" s="130">
        <f ca="1">IFERROR(__xludf.DUMMYFUNCTION("""COMPUTED_VALUE"""),0)</f>
        <v>0</v>
      </c>
      <c r="O621" s="4" t="str">
        <f ca="1">IFERROR(__xludf.DUMMYFUNCTION("""COMPUTED_VALUE"""),"Waterfall")</f>
        <v>Waterfall</v>
      </c>
      <c r="P621" s="4" t="str">
        <f ca="1">IFERROR(__xludf.DUMMYFUNCTION("""COMPUTED_VALUE"""),"Tradicional")</f>
        <v>Tradicional</v>
      </c>
      <c r="Q621" s="4"/>
      <c r="R621" s="130" t="str">
        <f ca="1">IFERROR(__xludf.DUMMYFUNCTION("""COMPUTED_VALUE"""),"Insurance")</f>
        <v>Insurance</v>
      </c>
      <c r="S621" s="130" t="str">
        <f ca="1">IFERROR(__xludf.DUMMYFUNCTION("""COMPUTED_VALUE""")," Otros")</f>
        <v xml:space="preserve"> Otros</v>
      </c>
      <c r="T621" s="130" t="str">
        <f ca="1">IFERROR(__xludf.DUMMYFUNCTION("""COMPUTED_VALUE"""),"Normativo")</f>
        <v>Normativo</v>
      </c>
      <c r="U621" s="130" t="str">
        <f ca="1">IFERROR(__xludf.DUMMYFUNCTION("""COMPUTED_VALUE"""),"No Aplica")</f>
        <v>No Aplica</v>
      </c>
      <c r="V621" s="4" t="str">
        <f ca="1">IFERROR(__xludf.DUMMYFUNCTION("""COMPUTED_VALUE"""),"Seguros")</f>
        <v>Seguros</v>
      </c>
      <c r="W621" s="4">
        <f ca="1">IFERROR(__xludf.DUMMYFUNCTION("""COMPUTED_VALUE"""),2)</f>
        <v>2</v>
      </c>
      <c r="X621" s="4" t="str">
        <f ca="1">IFERROR(__xludf.DUMMYFUNCTION("""COMPUTED_VALUE"""),"10. Otros")</f>
        <v>10. Otros</v>
      </c>
      <c r="Y621" s="4" t="str">
        <f ca="1">IFERROR(__xludf.DUMMYFUNCTION("""COMPUTED_VALUE""")," Otros")</f>
        <v xml:space="preserve"> Otros</v>
      </c>
      <c r="Z621" s="132" t="str">
        <f ca="1">IFERROR(__xludf.DUMMYFUNCTION("""COMPUTED_VALUE"""),"560490")</f>
        <v>560490</v>
      </c>
      <c r="AA621" s="4" t="str">
        <f ca="1">IFERROR(__xludf.DUMMYFUNCTION("""COMPUTED_VALUE"""),"Ingesta de garantías Hipotecarias")</f>
        <v>Ingesta de garantías Hipotecarias</v>
      </c>
      <c r="AB621" s="4" t="str">
        <f ca="1">IFERROR(__xludf.DUMMYFUNCTION("""COMPUTED_VALUE"""),"Desarrollos en AU y IC para que el banco realice la implementación de Licitación Seguros Deudores en Créditos Hipotecarios y Operaciones de Leasing Habitacional a partir del 31 de diciembre de 2022 de acuerdo a lo establecido en el Decreto 2555 de 2010 (B"&amp;"anco y Aseguradora), el Decreto 673 de 2014 (Banco), el Decreto 1534 de 2016 (Aseguradora) y la Circular Externa 011 de 2013 (Aseguradora) que establece la información mínima que deben reportar las aseguradoras para el ramo de terremoto.")</f>
        <v>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v>
      </c>
      <c r="AC621" s="4" t="str">
        <f ca="1">IFERROR(__xludf.DUMMYFUNCTION("""COMPUTED_VALUE"""),"1Q 2023")</f>
        <v>1Q 2023</v>
      </c>
      <c r="AD621" s="4"/>
      <c r="AE621" s="4"/>
      <c r="AF621" s="4"/>
      <c r="AG621" s="4"/>
      <c r="AH621" s="4"/>
      <c r="AI621" s="4"/>
      <c r="AJ621" s="128">
        <f ca="1">IFERROR(__xludf.DUMMYFUNCTION("""COMPUTED_VALUE"""),45290)</f>
        <v>45290</v>
      </c>
      <c r="AK621" s="131" t="str">
        <f ca="1">IFERROR(__xludf.DUMMYFUNCTION("""COMPUTED_VALUE"""),"COLWSSEGUR-179")</f>
        <v>COLWSSEGUR-179</v>
      </c>
      <c r="AL621" s="4" t="str">
        <f ca="1">IFERROR(__xludf.DUMMYFUNCTION("""COMPUTED_VALUE"""),"Deployed")</f>
        <v>Deployed</v>
      </c>
      <c r="AM621" s="4"/>
      <c r="AN621" s="4" t="str">
        <f ca="1">IFERROR(__xludf.DUMMYFUNCTION("""COMPUTED_VALUE"""),"Entregable en desarrollo")</f>
        <v>Entregable en desarrollo</v>
      </c>
      <c r="AO621" s="4"/>
      <c r="AP621" s="4"/>
      <c r="AQ621" s="4"/>
      <c r="AR621" s="4" t="str">
        <f ca="1">IFERROR(__xludf.DUMMYFUNCTION("""COMPUTED_VALUE"""),"SDA aprobada en PPP Q1 2023")</f>
        <v>SDA aprobada en PPP Q1 2023</v>
      </c>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133">
        <f ca="1">IFERROR(__xludf.DUMMYFUNCTION("""COMPUTED_VALUE"""),0)</f>
        <v>0</v>
      </c>
      <c r="DV621" s="133">
        <f ca="1">IFERROR(__xludf.DUMMYFUNCTION("""COMPUTED_VALUE"""),0)</f>
        <v>0</v>
      </c>
      <c r="DW621" s="133">
        <f ca="1">IFERROR(__xludf.DUMMYFUNCTION("""COMPUTED_VALUE"""),106000000)</f>
        <v>106000000</v>
      </c>
      <c r="DX621" s="133">
        <f ca="1">IFERROR(__xludf.DUMMYFUNCTION("""COMPUTED_VALUE"""),0)</f>
        <v>0</v>
      </c>
      <c r="DY621" s="133">
        <f ca="1">IFERROR(__xludf.DUMMYFUNCTION("""COMPUTED_VALUE"""),0)</f>
        <v>0</v>
      </c>
      <c r="DZ621" s="133">
        <f ca="1">IFERROR(__xludf.DUMMYFUNCTION("""COMPUTED_VALUE"""),106000000)</f>
        <v>106000000</v>
      </c>
      <c r="EA621" s="4"/>
      <c r="EB621" s="4"/>
    </row>
    <row r="622" spans="1:132" x14ac:dyDescent="0.2">
      <c r="A622" s="4">
        <f ca="1">IFERROR(__xludf.DUMMYFUNCTION("""COMPUTED_VALUE"""),622)</f>
        <v>622</v>
      </c>
      <c r="B622" s="4">
        <f ca="1">IFERROR(__xludf.DUMMYFUNCTION("""COMPUTED_VALUE"""),592)</f>
        <v>592</v>
      </c>
      <c r="C622" s="4" t="str">
        <f ca="1">IFERROR(__xludf.DUMMYFUNCTION("""COMPUTED_VALUE"""),"SDATOOL-40761")</f>
        <v>SDATOOL-40761</v>
      </c>
      <c r="D622" s="4" t="str">
        <f ca="1">IFERROR(__xludf.DUMMYFUNCTION("""COMPUTED_VALUE"""),"Seguros - Automatización BEX Seguros")</f>
        <v>Seguros - Automatización BEX Seguros</v>
      </c>
      <c r="E622" s="4" t="str">
        <f ca="1">IFERROR(__xludf.DUMMYFUNCTION("""COMPUTED_VALUE"""),"TBD")</f>
        <v>TBD</v>
      </c>
      <c r="F622" s="4" t="str">
        <f ca="1">IFERROR(__xludf.DUMMYFUNCTION("""COMPUTED_VALUE"""),"Initiative")</f>
        <v>Initiative</v>
      </c>
      <c r="G622" s="4" t="str">
        <f ca="1">IFERROR(__xludf.DUMMYFUNCTION("""COMPUTED_VALUE"""),"Flow")</f>
        <v>Flow</v>
      </c>
      <c r="H622" s="4" t="str">
        <f ca="1">IFERROR(__xludf.DUMMYFUNCTION("""COMPUTED_VALUE"""),"4Q 2023")</f>
        <v>4Q 2023</v>
      </c>
      <c r="I622" s="131" t="str">
        <f ca="1">IFERROR(__xludf.DUMMYFUNCTION("""COMPUTED_VALUE"""),"katherine.michaels-bbva.com")</f>
        <v>katherine.michaels-bbva.com</v>
      </c>
      <c r="J622" s="131" t="str">
        <f ca="1">IFERROR(__xludf.DUMMYFUNCTION("""COMPUTED_VALUE"""),"mariajuliana.rodriguez-bbva.com")</f>
        <v>mariajuliana.rodriguez-bbva.com</v>
      </c>
      <c r="K622" s="131" t="str">
        <f ca="1">IFERROR(__xludf.DUMMYFUNCTION("""COMPUTED_VALUE"""),"felipe.guzman-bbva.com")</f>
        <v>felipe.guzman-bbva.com</v>
      </c>
      <c r="L622" s="130">
        <f ca="1">IFERROR(__xludf.DUMMYFUNCTION("""COMPUTED_VALUE"""),0)</f>
        <v>0</v>
      </c>
      <c r="M622" s="130">
        <f ca="1">IFERROR(__xludf.DUMMYFUNCTION("""COMPUTED_VALUE"""),0)</f>
        <v>0</v>
      </c>
      <c r="N622" s="130">
        <f ca="1">IFERROR(__xludf.DUMMYFUNCTION("""COMPUTED_VALUE"""),0)</f>
        <v>0</v>
      </c>
      <c r="O622" s="4" t="str">
        <f ca="1">IFERROR(__xludf.DUMMYFUNCTION("""COMPUTED_VALUE"""),"Waterfall")</f>
        <v>Waterfall</v>
      </c>
      <c r="P622" s="4" t="str">
        <f ca="1">IFERROR(__xludf.DUMMYFUNCTION("""COMPUTED_VALUE"""),"Tradicional")</f>
        <v>Tradicional</v>
      </c>
      <c r="Q622" s="4"/>
      <c r="R622" s="130" t="str">
        <f ca="1">IFERROR(__xludf.DUMMYFUNCTION("""COMPUTED_VALUE"""),"Insurance")</f>
        <v>Insurance</v>
      </c>
      <c r="S622" s="130" t="str">
        <f ca="1">IFERROR(__xludf.DUMMYFUNCTION("""COMPUTED_VALUE""")," Otros")</f>
        <v xml:space="preserve"> Otros</v>
      </c>
      <c r="T622" s="130" t="str">
        <f ca="1">IFERROR(__xludf.DUMMYFUNCTION("""COMPUTED_VALUE"""),"Normativo")</f>
        <v>Normativo</v>
      </c>
      <c r="U622" s="130" t="str">
        <f ca="1">IFERROR(__xludf.DUMMYFUNCTION("""COMPUTED_VALUE"""),"No Aplica")</f>
        <v>No Aplica</v>
      </c>
      <c r="V622" s="4" t="str">
        <f ca="1">IFERROR(__xludf.DUMMYFUNCTION("""COMPUTED_VALUE"""),"Seguros")</f>
        <v>Seguros</v>
      </c>
      <c r="W622" s="4">
        <f ca="1">IFERROR(__xludf.DUMMYFUNCTION("""COMPUTED_VALUE"""),2)</f>
        <v>2</v>
      </c>
      <c r="X622" s="4" t="str">
        <f ca="1">IFERROR(__xludf.DUMMYFUNCTION("""COMPUTED_VALUE"""),"10. Otros")</f>
        <v>10. Otros</v>
      </c>
      <c r="Y622" s="4" t="str">
        <f ca="1">IFERROR(__xludf.DUMMYFUNCTION("""COMPUTED_VALUE""")," Otros")</f>
        <v xml:space="preserve"> Otros</v>
      </c>
      <c r="Z622" s="132" t="str">
        <f ca="1">IFERROR(__xludf.DUMMYFUNCTION("""COMPUTED_VALUE"""),"626043")</f>
        <v>626043</v>
      </c>
      <c r="AA622" s="4" t="str">
        <f ca="1">IFERROR(__xludf.DUMMYFUNCTION("""COMPUTED_VALUE"""),"Workflow Siniestros")</f>
        <v>Workflow Siniestros</v>
      </c>
      <c r="AB622" s="4" t="str">
        <f ca="1">IFERROR(__xludf.DUMMYFUNCTION("""COMPUTED_VALUE"""),"Reestructuración de procesos internos y de cara al cliente como su centro estratégico, impulsando la productividad y la eficiencia mediante el uso intensivo e inteligente de la tecnología.")</f>
        <v>Reestructuración de procesos internos y de cara al cliente como su centro estratégico, impulsando la productividad y la eficiencia mediante el uso intensivo e inteligente de la tecnología.</v>
      </c>
      <c r="AC622" s="4" t="str">
        <f ca="1">IFERROR(__xludf.DUMMYFUNCTION("""COMPUTED_VALUE"""),"4Q 2023")</f>
        <v>4Q 2023</v>
      </c>
      <c r="AD622" s="4"/>
      <c r="AE622" s="4"/>
      <c r="AF622" s="4"/>
      <c r="AG622" s="4"/>
      <c r="AH622" s="4"/>
      <c r="AI622" s="4"/>
      <c r="AJ622" s="4"/>
      <c r="AK622" s="4" t="str">
        <f ca="1">IFERROR(__xludf.DUMMYFUNCTION("""COMPUTED_VALUE"""),"Sin asignar")</f>
        <v>Sin asignar</v>
      </c>
      <c r="AL622" s="4" t="str">
        <f ca="1">IFERROR(__xludf.DUMMYFUNCTION("""COMPUTED_VALUE"""),"Sin asignar")</f>
        <v>Sin asignar</v>
      </c>
      <c r="AM622" s="4"/>
      <c r="AN622" s="4" t="str">
        <f ca="1">IFERROR(__xludf.DUMMYFUNCTION("""COMPUTED_VALUE"""),"Iniciativa sin priorizar")</f>
        <v>Iniciativa sin priorizar</v>
      </c>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133">
        <f ca="1">IFERROR(__xludf.DUMMYFUNCTION("""COMPUTED_VALUE"""),0)</f>
        <v>0</v>
      </c>
      <c r="DV622" s="133">
        <f ca="1">IFERROR(__xludf.DUMMYFUNCTION("""COMPUTED_VALUE"""),0)</f>
        <v>0</v>
      </c>
      <c r="DW622" s="133">
        <f ca="1">IFERROR(__xludf.DUMMYFUNCTION("""COMPUTED_VALUE"""),0)</f>
        <v>0</v>
      </c>
      <c r="DX622" s="133">
        <f ca="1">IFERROR(__xludf.DUMMYFUNCTION("""COMPUTED_VALUE"""),542380485)</f>
        <v>542380485</v>
      </c>
      <c r="DY622" s="133">
        <f ca="1">IFERROR(__xludf.DUMMYFUNCTION("""COMPUTED_VALUE"""),0)</f>
        <v>0</v>
      </c>
      <c r="DZ622" s="133">
        <f ca="1">IFERROR(__xludf.DUMMYFUNCTION("""COMPUTED_VALUE"""),542380485)</f>
        <v>542380485</v>
      </c>
      <c r="EA622" s="4"/>
      <c r="EB622" s="4"/>
    </row>
    <row r="623" spans="1:132" x14ac:dyDescent="0.2">
      <c r="A623" s="4">
        <f ca="1">IFERROR(__xludf.DUMMYFUNCTION("""COMPUTED_VALUE"""),623)</f>
        <v>623</v>
      </c>
      <c r="B623" s="4">
        <f ca="1">IFERROR(__xludf.DUMMYFUNCTION("""COMPUTED_VALUE"""),593)</f>
        <v>593</v>
      </c>
      <c r="C623" s="4" t="str">
        <f ca="1">IFERROR(__xludf.DUMMYFUNCTION("""COMPUTED_VALUE"""),"SDATOOL-40762")</f>
        <v>SDATOOL-40762</v>
      </c>
      <c r="D623" s="4" t="str">
        <f ca="1">IFERROR(__xludf.DUMMYFUNCTION("""COMPUTED_VALUE"""),"Seguros - IFRS 17 Catch up")</f>
        <v>Seguros - IFRS 17 Catch up</v>
      </c>
      <c r="E623"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F623" s="4" t="str">
        <f ca="1">IFERROR(__xludf.DUMMYFUNCTION("""COMPUTED_VALUE"""),"Initiative")</f>
        <v>Initiative</v>
      </c>
      <c r="G623" s="4" t="str">
        <f ca="1">IFERROR(__xludf.DUMMYFUNCTION("""COMPUTED_VALUE"""),"Stock")</f>
        <v>Stock</v>
      </c>
      <c r="H623" s="4" t="str">
        <f ca="1">IFERROR(__xludf.DUMMYFUNCTION("""COMPUTED_VALUE"""),"4Q 2023")</f>
        <v>4Q 2023</v>
      </c>
      <c r="I623" s="131" t="str">
        <f ca="1">IFERROR(__xludf.DUMMYFUNCTION("""COMPUTED_VALUE"""),"katherine.michaels-bbva.com")</f>
        <v>katherine.michaels-bbva.com</v>
      </c>
      <c r="J623" s="131" t="str">
        <f ca="1">IFERROR(__xludf.DUMMYFUNCTION("""COMPUTED_VALUE"""),"mariajuliana.rodriguez-bbva.com")</f>
        <v>mariajuliana.rodriguez-bbva.com</v>
      </c>
      <c r="K623" s="131" t="str">
        <f ca="1">IFERROR(__xludf.DUMMYFUNCTION("""COMPUTED_VALUE"""),"felipe.guzman-bbva.com")</f>
        <v>felipe.guzman-bbva.com</v>
      </c>
      <c r="L623" s="4"/>
      <c r="M623" s="4"/>
      <c r="N623" s="4"/>
      <c r="O623" s="4" t="str">
        <f ca="1">IFERROR(__xludf.DUMMYFUNCTION("""COMPUTED_VALUE"""),"Waterfall")</f>
        <v>Waterfall</v>
      </c>
      <c r="P623" s="4" t="str">
        <f ca="1">IFERROR(__xludf.DUMMYFUNCTION("""COMPUTED_VALUE"""),"Tradicional")</f>
        <v>Tradicional</v>
      </c>
      <c r="Q623" s="4"/>
      <c r="R623" s="130" t="str">
        <f ca="1">IFERROR(__xludf.DUMMYFUNCTION("""COMPUTED_VALUE"""),"Insurance")</f>
        <v>Insurance</v>
      </c>
      <c r="S623" s="130" t="str">
        <f ca="1">IFERROR(__xludf.DUMMYFUNCTION("""COMPUTED_VALUE""")," Otros")</f>
        <v xml:space="preserve"> Otros</v>
      </c>
      <c r="T623" s="130" t="str">
        <f ca="1">IFERROR(__xludf.DUMMYFUNCTION("""COMPUTED_VALUE"""),"Normativo")</f>
        <v>Normativo</v>
      </c>
      <c r="U623" s="130" t="str">
        <f ca="1">IFERROR(__xludf.DUMMYFUNCTION("""COMPUTED_VALUE"""),"No Aplica")</f>
        <v>No Aplica</v>
      </c>
      <c r="V623" s="4" t="str">
        <f ca="1">IFERROR(__xludf.DUMMYFUNCTION("""COMPUTED_VALUE"""),"Seguros")</f>
        <v>Seguros</v>
      </c>
      <c r="W623" s="4">
        <f ca="1">IFERROR(__xludf.DUMMYFUNCTION("""COMPUTED_VALUE"""),2)</f>
        <v>2</v>
      </c>
      <c r="X623" s="4" t="str">
        <f ca="1">IFERROR(__xludf.DUMMYFUNCTION("""COMPUTED_VALUE"""),"10. Otros")</f>
        <v>10. Otros</v>
      </c>
      <c r="Y623" s="4" t="str">
        <f ca="1">IFERROR(__xludf.DUMMYFUNCTION("""COMPUTED_VALUE""")," Otros")</f>
        <v xml:space="preserve"> Otros</v>
      </c>
      <c r="Z623" s="132" t="str">
        <f ca="1">IFERROR(__xludf.DUMMYFUNCTION("""COMPUTED_VALUE"""),"711482")</f>
        <v>711482</v>
      </c>
      <c r="AA623" s="4" t="str">
        <f ca="1">IFERROR(__xludf.DUMMYFUNCTION("""COMPUTED_VALUE"""),"IFRS 9")</f>
        <v>IFRS 9</v>
      </c>
      <c r="AB623" s="4" t="str">
        <f ca="1">IFERROR(__xludf.DUMMYFUNCTION("""COMPUTED_VALUE"""),"Es un proyecto de origen Normativo y su vez solicitado por Holding Se requiere realizar la transmisión de la información correspondiente al portafolio de inversión en renta fija desde las fuentes de usuario con el objetivo de ingestarlas en la plataforma "&amp;"DATIO y que queden disponibles como input para que holding pueda correr los procesos en el motor de cálculo.")</f>
        <v>Es un proyecto de origen Normativo y su vez solicitado por Holding Se requiere realizar la transmisión de la información correspondiente al portafolio de inversión en renta fija desde las fuentes de usuario con el objetivo de ingestarlas en la plataforma DATIO y que queden disponibles como input para que holding pueda correr los procesos en el motor de cálculo.</v>
      </c>
      <c r="AC623" s="4" t="str">
        <f ca="1">IFERROR(__xludf.DUMMYFUNCTION("""COMPUTED_VALUE"""),"3Q 2023")</f>
        <v>3Q 2023</v>
      </c>
      <c r="AD623" s="4"/>
      <c r="AE623" s="4"/>
      <c r="AF623" s="4"/>
      <c r="AG623" s="4"/>
      <c r="AH623" s="4"/>
      <c r="AI623" s="4"/>
      <c r="AJ623" s="4"/>
      <c r="AK623" s="131" t="str">
        <f ca="1">IFERROR(__xludf.DUMMYFUNCTION("""COMPUTED_VALUE"""),"COLWSSEGUR-1190")</f>
        <v>COLWSSEGUR-1190</v>
      </c>
      <c r="AL623" s="4" t="str">
        <f ca="1">IFERROR(__xludf.DUMMYFUNCTION("""COMPUTED_VALUE"""),"Analysing")</f>
        <v>Analysing</v>
      </c>
      <c r="AM623" s="4"/>
      <c r="AN623" s="4" t="str">
        <f ca="1">IFERROR(__xludf.DUMMYFUNCTION("""COMPUTED_VALUE"""),"Entregable en backlog")</f>
        <v>Entregable en backlog</v>
      </c>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row>
    <row r="624" spans="1:132" x14ac:dyDescent="0.2">
      <c r="A624" s="4">
        <f ca="1">IFERROR(__xludf.DUMMYFUNCTION("""COMPUTED_VALUE"""),624)</f>
        <v>624</v>
      </c>
      <c r="B624" s="4">
        <f ca="1">IFERROR(__xludf.DUMMYFUNCTION("""COMPUTED_VALUE"""),594)</f>
        <v>594</v>
      </c>
      <c r="C624" s="4" t="str">
        <f ca="1">IFERROR(__xludf.DUMMYFUNCTION("""COMPUTED_VALUE"""),"SDATOOL-40762")</f>
        <v>SDATOOL-40762</v>
      </c>
      <c r="D624" s="4" t="str">
        <f ca="1">IFERROR(__xludf.DUMMYFUNCTION("""COMPUTED_VALUE"""),"Seguros - IFRS 17 Catch up")</f>
        <v>Seguros - IFRS 17 Catch up</v>
      </c>
      <c r="E624"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F624" s="4" t="str">
        <f ca="1">IFERROR(__xludf.DUMMYFUNCTION("""COMPUTED_VALUE"""),"Initiative")</f>
        <v>Initiative</v>
      </c>
      <c r="G624" s="4" t="str">
        <f ca="1">IFERROR(__xludf.DUMMYFUNCTION("""COMPUTED_VALUE"""),"Stock")</f>
        <v>Stock</v>
      </c>
      <c r="H624" s="4" t="str">
        <f ca="1">IFERROR(__xludf.DUMMYFUNCTION("""COMPUTED_VALUE"""),"4Q 2023")</f>
        <v>4Q 2023</v>
      </c>
      <c r="I624" s="131" t="str">
        <f ca="1">IFERROR(__xludf.DUMMYFUNCTION("""COMPUTED_VALUE"""),"katherine.michaels-bbva.com")</f>
        <v>katherine.michaels-bbva.com</v>
      </c>
      <c r="J624" s="131" t="str">
        <f ca="1">IFERROR(__xludf.DUMMYFUNCTION("""COMPUTED_VALUE"""),"mariajuliana.rodriguez-bbva.com")</f>
        <v>mariajuliana.rodriguez-bbva.com</v>
      </c>
      <c r="K624" s="131" t="str">
        <f ca="1">IFERROR(__xludf.DUMMYFUNCTION("""COMPUTED_VALUE"""),"felipe.guzman-bbva.com")</f>
        <v>felipe.guzman-bbva.com</v>
      </c>
      <c r="L624" s="130">
        <f ca="1">IFERROR(__xludf.DUMMYFUNCTION("""COMPUTED_VALUE"""),0)</f>
        <v>0</v>
      </c>
      <c r="M624" s="130">
        <f ca="1">IFERROR(__xludf.DUMMYFUNCTION("""COMPUTED_VALUE"""),0)</f>
        <v>0</v>
      </c>
      <c r="N624" s="130">
        <f ca="1">IFERROR(__xludf.DUMMYFUNCTION("""COMPUTED_VALUE"""),0)</f>
        <v>0</v>
      </c>
      <c r="O624" s="4" t="str">
        <f ca="1">IFERROR(__xludf.DUMMYFUNCTION("""COMPUTED_VALUE"""),"Waterfall")</f>
        <v>Waterfall</v>
      </c>
      <c r="P624" s="4" t="str">
        <f ca="1">IFERROR(__xludf.DUMMYFUNCTION("""COMPUTED_VALUE"""),"Tradicional")</f>
        <v>Tradicional</v>
      </c>
      <c r="Q624" s="4"/>
      <c r="R624" s="130" t="str">
        <f ca="1">IFERROR(__xludf.DUMMYFUNCTION("""COMPUTED_VALUE"""),"Insurance")</f>
        <v>Insurance</v>
      </c>
      <c r="S624" s="130" t="str">
        <f ca="1">IFERROR(__xludf.DUMMYFUNCTION("""COMPUTED_VALUE""")," Otros")</f>
        <v xml:space="preserve"> Otros</v>
      </c>
      <c r="T624" s="130" t="str">
        <f ca="1">IFERROR(__xludf.DUMMYFUNCTION("""COMPUTED_VALUE"""),"Normativo")</f>
        <v>Normativo</v>
      </c>
      <c r="U624" s="130" t="str">
        <f ca="1">IFERROR(__xludf.DUMMYFUNCTION("""COMPUTED_VALUE"""),"No Aplica")</f>
        <v>No Aplica</v>
      </c>
      <c r="V624" s="4" t="str">
        <f ca="1">IFERROR(__xludf.DUMMYFUNCTION("""COMPUTED_VALUE"""),"Seguros")</f>
        <v>Seguros</v>
      </c>
      <c r="W624" s="4">
        <f ca="1">IFERROR(__xludf.DUMMYFUNCTION("""COMPUTED_VALUE"""),2)</f>
        <v>2</v>
      </c>
      <c r="X624" s="4" t="str">
        <f ca="1">IFERROR(__xludf.DUMMYFUNCTION("""COMPUTED_VALUE"""),"10. Otros")</f>
        <v>10. Otros</v>
      </c>
      <c r="Y624" s="4" t="str">
        <f ca="1">IFERROR(__xludf.DUMMYFUNCTION("""COMPUTED_VALUE""")," Otros")</f>
        <v xml:space="preserve"> Otros</v>
      </c>
      <c r="Z624" s="132" t="str">
        <f ca="1">IFERROR(__xludf.DUMMYFUNCTION("""COMPUTED_VALUE"""),"626044")</f>
        <v>626044</v>
      </c>
      <c r="AA624" s="4" t="str">
        <f ca="1">IFERROR(__xludf.DUMMYFUNCTION("""COMPUTED_VALUE"""),"IFRS 17 FASE II/2023")</f>
        <v>IFRS 17 FASE II/2023</v>
      </c>
      <c r="AB624"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AC624" s="4" t="str">
        <f ca="1">IFERROR(__xludf.DUMMYFUNCTION("""COMPUTED_VALUE"""),"4Q 2023")</f>
        <v>4Q 2023</v>
      </c>
      <c r="AD624" s="4"/>
      <c r="AE624" s="4"/>
      <c r="AF624" s="4"/>
      <c r="AG624" s="4"/>
      <c r="AH624" s="4"/>
      <c r="AI624" s="4"/>
      <c r="AJ624" s="4"/>
      <c r="AK624" s="131" t="str">
        <f ca="1">IFERROR(__xludf.DUMMYFUNCTION("""COMPUTED_VALUE"""),"COLWSSEGUR-571")</f>
        <v>COLWSSEGUR-571</v>
      </c>
      <c r="AL624" s="4" t="str">
        <f ca="1">IFERROR(__xludf.DUMMYFUNCTION("""COMPUTED_VALUE"""),"Test")</f>
        <v>Test</v>
      </c>
      <c r="AM624" s="4"/>
      <c r="AN624" s="4" t="str">
        <f ca="1">IFERROR(__xludf.DUMMYFUNCTION("""COMPUTED_VALUE"""),"Entregable en desarrollo")</f>
        <v>Entregable en desarrollo</v>
      </c>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133">
        <f ca="1">IFERROR(__xludf.DUMMYFUNCTION("""COMPUTED_VALUE"""),0)</f>
        <v>0</v>
      </c>
      <c r="DV624" s="133">
        <f ca="1">IFERROR(__xludf.DUMMYFUNCTION("""COMPUTED_VALUE"""),0)</f>
        <v>0</v>
      </c>
      <c r="DW624" s="133">
        <f ca="1">IFERROR(__xludf.DUMMYFUNCTION("""COMPUTED_VALUE"""),0)</f>
        <v>0</v>
      </c>
      <c r="DX624" s="133">
        <f ca="1">IFERROR(__xludf.DUMMYFUNCTION("""COMPUTED_VALUE"""),1215261380)</f>
        <v>1215261380</v>
      </c>
      <c r="DY624" s="133">
        <f ca="1">IFERROR(__xludf.DUMMYFUNCTION("""COMPUTED_VALUE"""),0)</f>
        <v>0</v>
      </c>
      <c r="DZ624" s="133">
        <f ca="1">IFERROR(__xludf.DUMMYFUNCTION("""COMPUTED_VALUE"""),1215261380)</f>
        <v>1215261380</v>
      </c>
      <c r="EA624" s="4"/>
      <c r="EB624" s="4"/>
    </row>
    <row r="625" spans="1:132" x14ac:dyDescent="0.2">
      <c r="A625" s="4">
        <f ca="1">IFERROR(__xludf.DUMMYFUNCTION("""COMPUTED_VALUE"""),625)</f>
        <v>625</v>
      </c>
      <c r="B625" s="4">
        <f ca="1">IFERROR(__xludf.DUMMYFUNCTION("""COMPUTED_VALUE"""),595)</f>
        <v>595</v>
      </c>
      <c r="C625" s="4" t="str">
        <f ca="1">IFERROR(__xludf.DUMMYFUNCTION("""COMPUTED_VALUE"""),"SDATOOL-40763")</f>
        <v>SDATOOL-40763</v>
      </c>
      <c r="D625" s="4" t="str">
        <f ca="1">IFERROR(__xludf.DUMMYFUNCTION("""COMPUTED_VALUE"""),"Seguros - Infraestructura y Workplace 2023")</f>
        <v>Seguros - Infraestructura y Workplace 2023</v>
      </c>
      <c r="E625" s="4" t="str">
        <f ca="1">IFERROR(__xludf.DUMMYFUNCTION("""COMPUTED_VALUE"""),"Adquisición de hardware 2023")</f>
        <v>Adquisición de hardware 2023</v>
      </c>
      <c r="F625" s="4" t="str">
        <f ca="1">IFERROR(__xludf.DUMMYFUNCTION("""COMPUTED_VALUE"""),"Initiative")</f>
        <v>Initiative</v>
      </c>
      <c r="G625" s="4" t="str">
        <f ca="1">IFERROR(__xludf.DUMMYFUNCTION("""COMPUTED_VALUE"""),"Flow")</f>
        <v>Flow</v>
      </c>
      <c r="H625" s="4" t="str">
        <f ca="1">IFERROR(__xludf.DUMMYFUNCTION("""COMPUTED_VALUE"""),"4Q 2023")</f>
        <v>4Q 2023</v>
      </c>
      <c r="I625" s="131" t="str">
        <f ca="1">IFERROR(__xludf.DUMMYFUNCTION("""COMPUTED_VALUE"""),"katherine.michaels-bbva.com")</f>
        <v>katherine.michaels-bbva.com</v>
      </c>
      <c r="J625" s="131" t="str">
        <f ca="1">IFERROR(__xludf.DUMMYFUNCTION("""COMPUTED_VALUE"""),"mariajuliana.rodriguez-bbva.com")</f>
        <v>mariajuliana.rodriguez-bbva.com</v>
      </c>
      <c r="K625" s="131" t="str">
        <f ca="1">IFERROR(__xludf.DUMMYFUNCTION("""COMPUTED_VALUE"""),"felipe.guzman-bbva.com")</f>
        <v>felipe.guzman-bbva.com</v>
      </c>
      <c r="L625" s="130">
        <f ca="1">IFERROR(__xludf.DUMMYFUNCTION("""COMPUTED_VALUE"""),0)</f>
        <v>0</v>
      </c>
      <c r="M625" s="130">
        <f ca="1">IFERROR(__xludf.DUMMYFUNCTION("""COMPUTED_VALUE"""),0)</f>
        <v>0</v>
      </c>
      <c r="N625" s="130">
        <f ca="1">IFERROR(__xludf.DUMMYFUNCTION("""COMPUTED_VALUE"""),0)</f>
        <v>0</v>
      </c>
      <c r="O625" s="4" t="str">
        <f ca="1">IFERROR(__xludf.DUMMYFUNCTION("""COMPUTED_VALUE"""),"Waterfall")</f>
        <v>Waterfall</v>
      </c>
      <c r="P625" s="4" t="str">
        <f ca="1">IFERROR(__xludf.DUMMYFUNCTION("""COMPUTED_VALUE"""),"Tradicional")</f>
        <v>Tradicional</v>
      </c>
      <c r="Q625" s="4"/>
      <c r="R625" s="130" t="str">
        <f ca="1">IFERROR(__xludf.DUMMYFUNCTION("""COMPUTED_VALUE"""),"Insurance")</f>
        <v>Insurance</v>
      </c>
      <c r="S625" s="130" t="str">
        <f ca="1">IFERROR(__xludf.DUMMYFUNCTION("""COMPUTED_VALUE""")," Otros")</f>
        <v xml:space="preserve"> Otros</v>
      </c>
      <c r="T625" s="130" t="str">
        <f ca="1">IFERROR(__xludf.DUMMYFUNCTION("""COMPUTED_VALUE"""),"Otros")</f>
        <v>Otros</v>
      </c>
      <c r="U625" s="130" t="str">
        <f ca="1">IFERROR(__xludf.DUMMYFUNCTION("""COMPUTED_VALUE"""),"No Aplica")</f>
        <v>No Aplica</v>
      </c>
      <c r="V625" s="4" t="str">
        <f ca="1">IFERROR(__xludf.DUMMYFUNCTION("""COMPUTED_VALUE"""),"Seguros")</f>
        <v>Seguros</v>
      </c>
      <c r="W625" s="4">
        <f ca="1">IFERROR(__xludf.DUMMYFUNCTION("""COMPUTED_VALUE"""),2)</f>
        <v>2</v>
      </c>
      <c r="X625" s="4" t="str">
        <f ca="1">IFERROR(__xludf.DUMMYFUNCTION("""COMPUTED_VALUE"""),"10. Otros")</f>
        <v>10. Otros</v>
      </c>
      <c r="Y625" s="4" t="str">
        <f ca="1">IFERROR(__xludf.DUMMYFUNCTION("""COMPUTED_VALUE""")," Otros")</f>
        <v xml:space="preserve"> Otros</v>
      </c>
      <c r="Z625" s="132" t="str">
        <f ca="1">IFERROR(__xludf.DUMMYFUNCTION("""COMPUTED_VALUE"""),"626045")</f>
        <v>626045</v>
      </c>
      <c r="AA625" s="4" t="str">
        <f ca="1">IFERROR(__xludf.DUMMYFUNCTION("""COMPUTED_VALUE"""),"Infraestructura y Workplace PC´s")</f>
        <v>Infraestructura y Workplace PC´s</v>
      </c>
      <c r="AB625" s="4" t="str">
        <f ca="1">IFERROR(__xludf.DUMMYFUNCTION("""COMPUTED_VALUE"""),"Compra de Infraestructura (servidores, almacenamiento y PC´s) para Seguros.")</f>
        <v>Compra de Infraestructura (servidores, almacenamiento y PC´s) para Seguros.</v>
      </c>
      <c r="AC625" s="4" t="str">
        <f ca="1">IFERROR(__xludf.DUMMYFUNCTION("""COMPUTED_VALUE"""),"4Q 2023")</f>
        <v>4Q 2023</v>
      </c>
      <c r="AD625" s="4"/>
      <c r="AE625" s="4"/>
      <c r="AF625" s="4"/>
      <c r="AG625" s="4"/>
      <c r="AH625" s="4"/>
      <c r="AI625" s="4"/>
      <c r="AJ625" s="4"/>
      <c r="AK625" s="131" t="str">
        <f ca="1">IFERROR(__xludf.DUMMYFUNCTION("""COMPUTED_VALUE"""),"COLWSSEGUR-1204")</f>
        <v>COLWSSEGUR-1204</v>
      </c>
      <c r="AL625" s="4" t="str">
        <f ca="1">IFERROR(__xludf.DUMMYFUNCTION("""COMPUTED_VALUE"""),"Accepted")</f>
        <v>Accepted</v>
      </c>
      <c r="AM625" s="4"/>
      <c r="AN625" s="4" t="str">
        <f ca="1">IFERROR(__xludf.DUMMYFUNCTION("""COMPUTED_VALUE"""),"Iniciativa sin priorizar")</f>
        <v>Iniciativa sin priorizar</v>
      </c>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133">
        <f ca="1">IFERROR(__xludf.DUMMYFUNCTION("""COMPUTED_VALUE"""),0)</f>
        <v>0</v>
      </c>
      <c r="DV625" s="133">
        <f ca="1">IFERROR(__xludf.DUMMYFUNCTION("""COMPUTED_VALUE"""),0)</f>
        <v>0</v>
      </c>
      <c r="DW625" s="133">
        <f ca="1">IFERROR(__xludf.DUMMYFUNCTION("""COMPUTED_VALUE"""),0)</f>
        <v>0</v>
      </c>
      <c r="DX625" s="133">
        <f ca="1">IFERROR(__xludf.DUMMYFUNCTION("""COMPUTED_VALUE"""),350000000)</f>
        <v>350000000</v>
      </c>
      <c r="DY625" s="133">
        <f ca="1">IFERROR(__xludf.DUMMYFUNCTION("""COMPUTED_VALUE"""),0)</f>
        <v>0</v>
      </c>
      <c r="DZ625" s="133">
        <f ca="1">IFERROR(__xludf.DUMMYFUNCTION("""COMPUTED_VALUE"""),350000000)</f>
        <v>350000000</v>
      </c>
      <c r="EA625" s="4"/>
      <c r="EB625" s="4"/>
    </row>
    <row r="626" spans="1:132" x14ac:dyDescent="0.2">
      <c r="A626" s="4">
        <f ca="1">IFERROR(__xludf.DUMMYFUNCTION("""COMPUTED_VALUE"""),626)</f>
        <v>626</v>
      </c>
      <c r="B626" s="4">
        <f ca="1">IFERROR(__xludf.DUMMYFUNCTION("""COMPUTED_VALUE"""),596)</f>
        <v>596</v>
      </c>
      <c r="C626" s="4" t="str">
        <f ca="1">IFERROR(__xludf.DUMMYFUNCTION("""COMPUTED_VALUE"""),"SDATOOL-40764")</f>
        <v>SDATOOL-40764</v>
      </c>
      <c r="D626" s="4" t="str">
        <f ca="1">IFERROR(__xludf.DUMMYFUNCTION("""COMPUTED_VALUE"""),"Seguros - AXA F2")</f>
        <v>Seguros - AXA F2</v>
      </c>
      <c r="E626" s="4" t="str">
        <f ca="1">IFERROR(__xludf.DUMMYFUNCTION("""COMPUTED_VALUE"""),"Se requiere corregir la incidencia identificada en cuota segura, la cual presenta diferencia entre el valor de la cuota vs. valor asegurado al momento del siniestro, para corregirla se realizarán mejoras en procesos existentes de cuota segura de facturaci"&amp;"ón y rechazos que permiten un mayor entendimiento al usuario final, así como una mejor conciliación de registros y de la operación realizada.")</f>
        <v>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v>
      </c>
      <c r="F626" s="4" t="str">
        <f ca="1">IFERROR(__xludf.DUMMYFUNCTION("""COMPUTED_VALUE"""),"Initiative")</f>
        <v>Initiative</v>
      </c>
      <c r="G626" s="4" t="str">
        <f ca="1">IFERROR(__xludf.DUMMYFUNCTION("""COMPUTED_VALUE"""),"Stock")</f>
        <v>Stock</v>
      </c>
      <c r="H626" s="4" t="str">
        <f ca="1">IFERROR(__xludf.DUMMYFUNCTION("""COMPUTED_VALUE"""),"4Q 2023")</f>
        <v>4Q 2023</v>
      </c>
      <c r="I626" s="131" t="str">
        <f ca="1">IFERROR(__xludf.DUMMYFUNCTION("""COMPUTED_VALUE"""),"katherine.michaels-bbva.com")</f>
        <v>katherine.michaels-bbva.com</v>
      </c>
      <c r="J626" s="131" t="str">
        <f ca="1">IFERROR(__xludf.DUMMYFUNCTION("""COMPUTED_VALUE"""),"dianacarolina.gonzalez.castri-bbva.com")</f>
        <v>dianacarolina.gonzalez.castri-bbva.com</v>
      </c>
      <c r="K626" s="131" t="str">
        <f ca="1">IFERROR(__xludf.DUMMYFUNCTION("""COMPUTED_VALUE"""),"felipe.guzman-bbva.com")</f>
        <v>felipe.guzman-bbva.com</v>
      </c>
      <c r="L626" s="130">
        <f ca="1">IFERROR(__xludf.DUMMYFUNCTION("""COMPUTED_VALUE"""),0)</f>
        <v>0</v>
      </c>
      <c r="M626" s="130">
        <f ca="1">IFERROR(__xludf.DUMMYFUNCTION("""COMPUTED_VALUE"""),0)</f>
        <v>0</v>
      </c>
      <c r="N626" s="130">
        <f ca="1">IFERROR(__xludf.DUMMYFUNCTION("""COMPUTED_VALUE"""),0)</f>
        <v>0</v>
      </c>
      <c r="O626" s="4" t="str">
        <f ca="1">IFERROR(__xludf.DUMMYFUNCTION("""COMPUTED_VALUE"""),"Waterfall")</f>
        <v>Waterfall</v>
      </c>
      <c r="P626" s="4" t="str">
        <f ca="1">IFERROR(__xludf.DUMMYFUNCTION("""COMPUTED_VALUE"""),"Tradicional")</f>
        <v>Tradicional</v>
      </c>
      <c r="Q626" s="4"/>
      <c r="R626" s="130" t="str">
        <f ca="1">IFERROR(__xludf.DUMMYFUNCTION("""COMPUTED_VALUE"""),"Insurance")</f>
        <v>Insurance</v>
      </c>
      <c r="S626" s="130" t="str">
        <f ca="1">IFERROR(__xludf.DUMMYFUNCTION("""COMPUTED_VALUE""")," Otros")</f>
        <v xml:space="preserve"> Otros</v>
      </c>
      <c r="T626" s="130" t="str">
        <f ca="1">IFERROR(__xludf.DUMMYFUNCTION("""COMPUTED_VALUE"""),"1. Generación de Ingresos")</f>
        <v>1. Generación de Ingresos</v>
      </c>
      <c r="U626" s="130" t="str">
        <f ca="1">IFERROR(__xludf.DUMMYFUNCTION("""COMPUTED_VALUE"""),"1.5. Otros de Proyectos de Ingresos")</f>
        <v>1.5. Otros de Proyectos de Ingresos</v>
      </c>
      <c r="V626" s="4" t="str">
        <f ca="1">IFERROR(__xludf.DUMMYFUNCTION("""COMPUTED_VALUE"""),"Seguros")</f>
        <v>Seguros</v>
      </c>
      <c r="W626" s="4">
        <f ca="1">IFERROR(__xludf.DUMMYFUNCTION("""COMPUTED_VALUE"""),2)</f>
        <v>2</v>
      </c>
      <c r="X626" s="4" t="str">
        <f ca="1">IFERROR(__xludf.DUMMYFUNCTION("""COMPUTED_VALUE"""),"10. Otros")</f>
        <v>10. Otros</v>
      </c>
      <c r="Y626" s="4" t="str">
        <f ca="1">IFERROR(__xludf.DUMMYFUNCTION("""COMPUTED_VALUE""")," Otros")</f>
        <v xml:space="preserve"> Otros</v>
      </c>
      <c r="Z626" s="132" t="str">
        <f ca="1">IFERROR(__xludf.DUMMYFUNCTION("""COMPUTED_VALUE"""),"626046")</f>
        <v>626046</v>
      </c>
      <c r="AA626" s="4" t="str">
        <f ca="1">IFERROR(__xludf.DUMMYFUNCTION("""COMPUTED_VALUE"""),"Mejoras en procesos existentes de cuota segura de facturación y rechazos")</f>
        <v>Mejoras en procesos existentes de cuota segura de facturación y rechazos</v>
      </c>
      <c r="AB626" s="4" t="str">
        <f ca="1">IFERROR(__xludf.DUMMYFUNCTION("""COMPUTED_VALUE"""),"Se requiere corregir la incidencia identificada en cuota segura, la cual presenta diferencia entre el valor de la cuota vs. valor asegurado al momento del siniestro, para corregirla se realizarán mejoras en procesos existentes de cuota segura de facturaci"&amp;"ón y rechazos que permiten un mayor entendimiento al usuario final, así como una mejor conciliación de registros y de la operación realizada.")</f>
        <v>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v>
      </c>
      <c r="AC626" s="4" t="str">
        <f ca="1">IFERROR(__xludf.DUMMYFUNCTION("""COMPUTED_VALUE"""),"4Q 2023")</f>
        <v>4Q 2023</v>
      </c>
      <c r="AD626" s="4"/>
      <c r="AE626" s="4"/>
      <c r="AF626" s="4"/>
      <c r="AG626" s="4"/>
      <c r="AH626" s="4"/>
      <c r="AI626" s="4"/>
      <c r="AJ626" s="4"/>
      <c r="AK626" s="131" t="str">
        <f ca="1">IFERROR(__xludf.DUMMYFUNCTION("""COMPUTED_VALUE"""),"COLWSSEGUR-206")</f>
        <v>COLWSSEGUR-206</v>
      </c>
      <c r="AL626" s="4" t="str">
        <f ca="1">IFERROR(__xludf.DUMMYFUNCTION("""COMPUTED_VALUE"""),"En progreso")</f>
        <v>En progreso</v>
      </c>
      <c r="AM626" s="4"/>
      <c r="AN626" s="4" t="str">
        <f ca="1">IFERROR(__xludf.DUMMYFUNCTION("""COMPUTED_VALUE"""),"Entregable en desarrollo")</f>
        <v>Entregable en desarrollo</v>
      </c>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133">
        <f ca="1">IFERROR(__xludf.DUMMYFUNCTION("""COMPUTED_VALUE"""),0)</f>
        <v>0</v>
      </c>
      <c r="DV626" s="133">
        <f ca="1">IFERROR(__xludf.DUMMYFUNCTION("""COMPUTED_VALUE"""),0)</f>
        <v>0</v>
      </c>
      <c r="DW626" s="133">
        <f ca="1">IFERROR(__xludf.DUMMYFUNCTION("""COMPUTED_VALUE"""),0)</f>
        <v>0</v>
      </c>
      <c r="DX626" s="133">
        <f ca="1">IFERROR(__xludf.DUMMYFUNCTION("""COMPUTED_VALUE"""),277553092)</f>
        <v>277553092</v>
      </c>
      <c r="DY626" s="133">
        <f ca="1">IFERROR(__xludf.DUMMYFUNCTION("""COMPUTED_VALUE"""),0)</f>
        <v>0</v>
      </c>
      <c r="DZ626" s="133">
        <f ca="1">IFERROR(__xludf.DUMMYFUNCTION("""COMPUTED_VALUE"""),277553092)</f>
        <v>277553092</v>
      </c>
      <c r="EA626" s="4"/>
      <c r="EB626" s="4"/>
    </row>
    <row r="627" spans="1:132" x14ac:dyDescent="0.2">
      <c r="A627" s="4">
        <f ca="1">IFERROR(__xludf.DUMMYFUNCTION("""COMPUTED_VALUE"""),627)</f>
        <v>627</v>
      </c>
      <c r="B627" s="4">
        <f ca="1">IFERROR(__xludf.DUMMYFUNCTION("""COMPUTED_VALUE"""),598)</f>
        <v>598</v>
      </c>
      <c r="C627" s="4" t="str">
        <f ca="1">IFERROR(__xludf.DUMMYFUNCTION("""COMPUTED_VALUE"""),"SDATOOL-41962")</f>
        <v>SDATOOL-41962</v>
      </c>
      <c r="D627" s="4" t="str">
        <f ca="1">IFERROR(__xludf.DUMMYFUNCTION("""COMPUTED_VALUE"""),"Seguros - Sistema de Administración de Pensiones de Rentas Vitalicias")</f>
        <v>Seguros - Sistema de Administración de Pensiones de Rentas Vitalicias</v>
      </c>
      <c r="E627" s="4" t="str">
        <f ca="1">IFERROR(__xludf.DUMMYFUNCTION("""COMPUTED_VALUE"""),"Adquirir un software que permita realizar la administración para liquidación y pago de nómina de pensionados bajo la modalidad de renta vitalicia inmediata, derivados de régimen común y ARL, permitiendo la generación, el procesamiento y la transmisión de "&amp;"informes contables, administrativos y legales de rentas vitalicias y ATEP (Accidentes de trabajo de enfermedad profesional), dando cumplimiento a lo establecido en la Ley 100 de 1993 y demás normas que la modifican sustituyen o complementen, dado a que el"&amp;" aplicativo actual esta obsoleto.")</f>
        <v>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y demás normas que la modifican sustituyen o complementen, dado a que el aplicativo actual esta obsoleto.</v>
      </c>
      <c r="F627" s="4" t="str">
        <f ca="1">IFERROR(__xludf.DUMMYFUNCTION("""COMPUTED_VALUE"""),"Initiative")</f>
        <v>Initiative</v>
      </c>
      <c r="G627" s="4" t="str">
        <f ca="1">IFERROR(__xludf.DUMMYFUNCTION("""COMPUTED_VALUE"""),"On hold")</f>
        <v>On hold</v>
      </c>
      <c r="H627" s="4" t="str">
        <f ca="1">IFERROR(__xludf.DUMMYFUNCTION("""COMPUTED_VALUE"""),"2Q 2023")</f>
        <v>2Q 2023</v>
      </c>
      <c r="I627" s="131" t="str">
        <f ca="1">IFERROR(__xludf.DUMMYFUNCTION("""COMPUTED_VALUE"""),"katherine.michaels-bbva.com")</f>
        <v>katherine.michaels-bbva.com</v>
      </c>
      <c r="J627" s="131" t="str">
        <f ca="1">IFERROR(__xludf.DUMMYFUNCTION("""COMPUTED_VALUE"""),"dianacarolina.gonzalez.castri-bbva.com")</f>
        <v>dianacarolina.gonzalez.castri-bbva.com</v>
      </c>
      <c r="K627" s="131" t="str">
        <f ca="1">IFERROR(__xludf.DUMMYFUNCTION("""COMPUTED_VALUE"""),"felipe.guzman-bbva.com")</f>
        <v>felipe.guzman-bbva.com</v>
      </c>
      <c r="L627" s="130">
        <f ca="1">IFERROR(__xludf.DUMMYFUNCTION("""COMPUTED_VALUE"""),0)</f>
        <v>0</v>
      </c>
      <c r="M627" s="130">
        <f ca="1">IFERROR(__xludf.DUMMYFUNCTION("""COMPUTED_VALUE"""),0)</f>
        <v>0</v>
      </c>
      <c r="N627" s="130">
        <f ca="1">IFERROR(__xludf.DUMMYFUNCTION("""COMPUTED_VALUE"""),0)</f>
        <v>0</v>
      </c>
      <c r="O627" s="4" t="str">
        <f ca="1">IFERROR(__xludf.DUMMYFUNCTION("""COMPUTED_VALUE"""),"Waterfall")</f>
        <v>Waterfall</v>
      </c>
      <c r="P627" s="4" t="str">
        <f ca="1">IFERROR(__xludf.DUMMYFUNCTION("""COMPUTED_VALUE"""),"Tradicional")</f>
        <v>Tradicional</v>
      </c>
      <c r="Q627" s="4"/>
      <c r="R627" s="130" t="str">
        <f ca="1">IFERROR(__xludf.DUMMYFUNCTION("""COMPUTED_VALUE"""),"Insurance")</f>
        <v>Insurance</v>
      </c>
      <c r="S627" s="130" t="str">
        <f ca="1">IFERROR(__xludf.DUMMYFUNCTION("""COMPUTED_VALUE""")," Otros")</f>
        <v xml:space="preserve"> Otros</v>
      </c>
      <c r="T627" s="130" t="str">
        <f ca="1">IFERROR(__xludf.DUMMYFUNCTION("""COMPUTED_VALUE"""),"Normativo")</f>
        <v>Normativo</v>
      </c>
      <c r="U627" s="130" t="str">
        <f ca="1">IFERROR(__xludf.DUMMYFUNCTION("""COMPUTED_VALUE"""),"No Aplica")</f>
        <v>No Aplica</v>
      </c>
      <c r="V627" s="4" t="str">
        <f ca="1">IFERROR(__xludf.DUMMYFUNCTION("""COMPUTED_VALUE"""),"Seguros")</f>
        <v>Seguros</v>
      </c>
      <c r="W627" s="4">
        <f ca="1">IFERROR(__xludf.DUMMYFUNCTION("""COMPUTED_VALUE"""),2)</f>
        <v>2</v>
      </c>
      <c r="X627" s="4" t="str">
        <f ca="1">IFERROR(__xludf.DUMMYFUNCTION("""COMPUTED_VALUE"""),"10. Otros")</f>
        <v>10. Otros</v>
      </c>
      <c r="Y627" s="4" t="str">
        <f ca="1">IFERROR(__xludf.DUMMYFUNCTION("""COMPUTED_VALUE""")," Otros")</f>
        <v xml:space="preserve"> Otros</v>
      </c>
      <c r="Z627" s="132" t="str">
        <f ca="1">IFERROR(__xludf.DUMMYFUNCTION("""COMPUTED_VALUE"""),"693979")</f>
        <v>693979</v>
      </c>
      <c r="AA627" s="4" t="str">
        <f ca="1">IFERROR(__xludf.DUMMYFUNCTION("""COMPUTED_VALUE"""),"Sistema de Administración de Pensiones de Rentas Vitalicias")</f>
        <v>Sistema de Administración de Pensiones de Rentas Vitalicias</v>
      </c>
      <c r="AB627" s="4" t="str">
        <f ca="1">IFERROR(__xludf.DUMMYFUNCTION("""COMPUTED_VALUE"""),"Adquirir un software que permita realizar la administración para liquidación y pago de nómina de pensionados bajo la modalidad de renta vitalicia inmediata, derivados de régimen común y ARL, permitiendo la generación, el procesamiento y la transmisión de "&amp;"informes contables, administrativos y legales de rentas vitalicias y ATEP (Accidentes de trabajo de enfermedad profesional), dando cumplimiento a lo establecido en la Ley 100 de 1993 , dado a que el aplicativo actual esta obsoleto.")</f>
        <v>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 dado a que el aplicativo actual esta obsoleto.</v>
      </c>
      <c r="AC627" s="4" t="str">
        <f ca="1">IFERROR(__xludf.DUMMYFUNCTION("""COMPUTED_VALUE"""),"2Q 2023")</f>
        <v>2Q 2023</v>
      </c>
      <c r="AD627" s="4"/>
      <c r="AE627" s="4"/>
      <c r="AF627" s="4"/>
      <c r="AG627" s="4"/>
      <c r="AH627" s="4"/>
      <c r="AI627" s="4"/>
      <c r="AJ627" s="4"/>
      <c r="AK627" s="131" t="str">
        <f ca="1">IFERROR(__xludf.DUMMYFUNCTION("""COMPUTED_VALUE"""),"COLWSSEGUR-87")</f>
        <v>COLWSSEGUR-87</v>
      </c>
      <c r="AL627" s="4" t="str">
        <f ca="1">IFERROR(__xludf.DUMMYFUNCTION("""COMPUTED_VALUE"""),"Test")</f>
        <v>Test</v>
      </c>
      <c r="AM627" s="4"/>
      <c r="AN627" s="4" t="str">
        <f ca="1">IFERROR(__xludf.DUMMYFUNCTION("""COMPUTED_VALUE"""),"Entregable en desarrollo")</f>
        <v>Entregable en desarrollo</v>
      </c>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133">
        <f ca="1">IFERROR(__xludf.DUMMYFUNCTION("""COMPUTED_VALUE"""),0)</f>
        <v>0</v>
      </c>
      <c r="DV627" s="133">
        <f ca="1">IFERROR(__xludf.DUMMYFUNCTION("""COMPUTED_VALUE"""),0)</f>
        <v>0</v>
      </c>
      <c r="DW627" s="133">
        <f ca="1">IFERROR(__xludf.DUMMYFUNCTION("""COMPUTED_VALUE"""),0)</f>
        <v>0</v>
      </c>
      <c r="DX627" s="133">
        <f ca="1">IFERROR(__xludf.DUMMYFUNCTION("""COMPUTED_VALUE"""),50000000)</f>
        <v>50000000</v>
      </c>
      <c r="DY627" s="133">
        <f ca="1">IFERROR(__xludf.DUMMYFUNCTION("""COMPUTED_VALUE"""),0)</f>
        <v>0</v>
      </c>
      <c r="DZ627" s="133">
        <f ca="1">IFERROR(__xludf.DUMMYFUNCTION("""COMPUTED_VALUE"""),50000000)</f>
        <v>50000000</v>
      </c>
      <c r="EA627" s="4"/>
      <c r="EB627" s="4"/>
    </row>
    <row r="628" spans="1:132" x14ac:dyDescent="0.2">
      <c r="A628" s="4">
        <f ca="1">IFERROR(__xludf.DUMMYFUNCTION("""COMPUTED_VALUE"""),628)</f>
        <v>628</v>
      </c>
      <c r="B628" s="4">
        <f ca="1">IFERROR(__xludf.DUMMYFUNCTION("""COMPUTED_VALUE"""),599)</f>
        <v>599</v>
      </c>
      <c r="C628" s="4" t="str">
        <f ca="1">IFERROR(__xludf.DUMMYFUNCTION("""COMPUTED_VALUE"""),"SDATOOL-39822")</f>
        <v>SDATOOL-39822</v>
      </c>
      <c r="D628" s="4" t="str">
        <f ca="1">IFERROR(__xludf.DUMMYFUNCTION("""COMPUTED_VALUE"""),"Seguros - Obsolescencia Seguros")</f>
        <v>Seguros - Obsolescencia Seguros</v>
      </c>
      <c r="E628" s="4" t="str">
        <f ca="1">IFERROR(__xludf.DUMMYFUNCTION("""COMPUTED_VALUE"""),"Proyecto para la implementación de aplicaciones, desarrollos y mejoras que sean requeridos por obsolescencia.")</f>
        <v>Proyecto para la implementación de aplicaciones, desarrollos y mejoras que sean requeridos por obsolescencia.</v>
      </c>
      <c r="F628" s="4" t="str">
        <f ca="1">IFERROR(__xludf.DUMMYFUNCTION("""COMPUTED_VALUE"""),"Initiative")</f>
        <v>Initiative</v>
      </c>
      <c r="G628" s="4" t="str">
        <f ca="1">IFERROR(__xludf.DUMMYFUNCTION("""COMPUTED_VALUE"""),"Flow")</f>
        <v>Flow</v>
      </c>
      <c r="H628" s="4" t="str">
        <f ca="1">IFERROR(__xludf.DUMMYFUNCTION("""COMPUTED_VALUE"""),"4Q 2023")</f>
        <v>4Q 2023</v>
      </c>
      <c r="I628" s="131" t="str">
        <f ca="1">IFERROR(__xludf.DUMMYFUNCTION("""COMPUTED_VALUE"""),"katherine.michaels-bbva.com")</f>
        <v>katherine.michaels-bbva.com</v>
      </c>
      <c r="J628" s="131" t="str">
        <f ca="1">IFERROR(__xludf.DUMMYFUNCTION("""COMPUTED_VALUE"""),"mariajuliana.rodriguez-bbva.com")</f>
        <v>mariajuliana.rodriguez-bbva.com</v>
      </c>
      <c r="K628" s="131" t="str">
        <f ca="1">IFERROR(__xludf.DUMMYFUNCTION("""COMPUTED_VALUE"""),"felipe.guzman-bbva.com")</f>
        <v>felipe.guzman-bbva.com</v>
      </c>
      <c r="L628" s="130">
        <f ca="1">IFERROR(__xludf.DUMMYFUNCTION("""COMPUTED_VALUE"""),0)</f>
        <v>0</v>
      </c>
      <c r="M628" s="130">
        <f ca="1">IFERROR(__xludf.DUMMYFUNCTION("""COMPUTED_VALUE"""),0)</f>
        <v>0</v>
      </c>
      <c r="N628" s="130">
        <f ca="1">IFERROR(__xludf.DUMMYFUNCTION("""COMPUTED_VALUE"""),0)</f>
        <v>0</v>
      </c>
      <c r="O628" s="4" t="str">
        <f ca="1">IFERROR(__xludf.DUMMYFUNCTION("""COMPUTED_VALUE"""),"Waterfall")</f>
        <v>Waterfall</v>
      </c>
      <c r="P628" s="4" t="str">
        <f ca="1">IFERROR(__xludf.DUMMYFUNCTION("""COMPUTED_VALUE"""),"Tradicional")</f>
        <v>Tradicional</v>
      </c>
      <c r="Q628" s="4"/>
      <c r="R628" s="130" t="str">
        <f ca="1">IFERROR(__xludf.DUMMYFUNCTION("""COMPUTED_VALUE"""),"Insurance")</f>
        <v>Insurance</v>
      </c>
      <c r="S628" s="130" t="str">
        <f ca="1">IFERROR(__xludf.DUMMYFUNCTION("""COMPUTED_VALUE""")," Otros")</f>
        <v xml:space="preserve"> Otros</v>
      </c>
      <c r="T628" s="130" t="str">
        <f ca="1">IFERROR(__xludf.DUMMYFUNCTION("""COMPUTED_VALUE"""),"Otros")</f>
        <v>Otros</v>
      </c>
      <c r="U628" s="130" t="str">
        <f ca="1">IFERROR(__xludf.DUMMYFUNCTION("""COMPUTED_VALUE"""),"No Aplica")</f>
        <v>No Aplica</v>
      </c>
      <c r="V628" s="4" t="str">
        <f ca="1">IFERROR(__xludf.DUMMYFUNCTION("""COMPUTED_VALUE"""),"Seguros")</f>
        <v>Seguros</v>
      </c>
      <c r="W628" s="4">
        <f ca="1">IFERROR(__xludf.DUMMYFUNCTION("""COMPUTED_VALUE"""),2)</f>
        <v>2</v>
      </c>
      <c r="X628" s="4" t="str">
        <f ca="1">IFERROR(__xludf.DUMMYFUNCTION("""COMPUTED_VALUE"""),"10. Otros")</f>
        <v>10. Otros</v>
      </c>
      <c r="Y628" s="4" t="str">
        <f ca="1">IFERROR(__xludf.DUMMYFUNCTION("""COMPUTED_VALUE""")," Otros")</f>
        <v xml:space="preserve"> Otros</v>
      </c>
      <c r="Z628" s="132" t="str">
        <f ca="1">IFERROR(__xludf.DUMMYFUNCTION("""COMPUTED_VALUE"""),"553971")</f>
        <v>553971</v>
      </c>
      <c r="AA628" s="4" t="str">
        <f ca="1">IFERROR(__xludf.DUMMYFUNCTION("""COMPUTED_VALUE"""),"Obsolescencia Seguros")</f>
        <v>Obsolescencia Seguros</v>
      </c>
      <c r="AB628" s="4" t="str">
        <f ca="1">IFERROR(__xludf.DUMMYFUNCTION("""COMPUTED_VALUE"""),"Actualización de los aplicativos de la compañía, infraestructura y arquitectura de Servicios.")</f>
        <v>Actualización de los aplicativos de la compañía, infraestructura y arquitectura de Servicios.</v>
      </c>
      <c r="AC628" s="4" t="str">
        <f ca="1">IFERROR(__xludf.DUMMYFUNCTION("""COMPUTED_VALUE"""),"3Q 2023")</f>
        <v>3Q 2023</v>
      </c>
      <c r="AD628" s="4"/>
      <c r="AE628" s="4"/>
      <c r="AF628" s="4"/>
      <c r="AG628" s="4"/>
      <c r="AH628" s="4"/>
      <c r="AI628" s="4"/>
      <c r="AJ628" s="128">
        <f ca="1">IFERROR(__xludf.DUMMYFUNCTION("""COMPUTED_VALUE"""),45291)</f>
        <v>45291</v>
      </c>
      <c r="AK628" s="131" t="str">
        <f ca="1">IFERROR(__xludf.DUMMYFUNCTION("""COMPUTED_VALUE"""),"COLWSSEGUR-116")</f>
        <v>COLWSSEGUR-116</v>
      </c>
      <c r="AL628" s="4" t="str">
        <f ca="1">IFERROR(__xludf.DUMMYFUNCTION("""COMPUTED_VALUE"""),"New")</f>
        <v>New</v>
      </c>
      <c r="AM628" s="4"/>
      <c r="AN628" s="4" t="str">
        <f ca="1">IFERROR(__xludf.DUMMYFUNCTION("""COMPUTED_VALUE"""),"Entregable en backlog")</f>
        <v>Entregable en backlog</v>
      </c>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133">
        <f ca="1">IFERROR(__xludf.DUMMYFUNCTION("""COMPUTED_VALUE"""),0)</f>
        <v>0</v>
      </c>
      <c r="DV628" s="133">
        <f ca="1">IFERROR(__xludf.DUMMYFUNCTION("""COMPUTED_VALUE"""),0)</f>
        <v>0</v>
      </c>
      <c r="DW628" s="133">
        <f ca="1">IFERROR(__xludf.DUMMYFUNCTION("""COMPUTED_VALUE"""),0)</f>
        <v>0</v>
      </c>
      <c r="DX628" s="133">
        <f ca="1">IFERROR(__xludf.DUMMYFUNCTION("""COMPUTED_VALUE"""),331520000)</f>
        <v>331520000</v>
      </c>
      <c r="DY628" s="133">
        <f ca="1">IFERROR(__xludf.DUMMYFUNCTION("""COMPUTED_VALUE"""),1663040000)</f>
        <v>1663040000</v>
      </c>
      <c r="DZ628" s="133">
        <f ca="1">IFERROR(__xludf.DUMMYFUNCTION("""COMPUTED_VALUE"""),1994560000)</f>
        <v>1994560000</v>
      </c>
      <c r="EA628" s="4"/>
      <c r="EB628" s="4"/>
    </row>
    <row r="629" spans="1:132" x14ac:dyDescent="0.2">
      <c r="A629" s="4">
        <f ca="1">IFERROR(__xludf.DUMMYFUNCTION("""COMPUTED_VALUE"""),629)</f>
        <v>629</v>
      </c>
      <c r="B629" s="4">
        <f ca="1">IFERROR(__xludf.DUMMYFUNCTION("""COMPUTED_VALUE"""),600)</f>
        <v>600</v>
      </c>
      <c r="C629" s="4" t="str">
        <f ca="1">IFERROR(__xludf.DUMMYFUNCTION("""COMPUTED_VALUE"""),"SDATOOL-42099")</f>
        <v>SDATOOL-42099</v>
      </c>
      <c r="D629" s="4" t="str">
        <f ca="1">IFERROR(__xludf.DUMMYFUNCTION("""COMPUTED_VALUE"""),"Seguros - Cuota Segura/Créditos de libranza (SEGUROS)")</f>
        <v>Seguros - Cuota Segura/Créditos de libranza (SEGUROS)</v>
      </c>
      <c r="E62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629" s="4" t="str">
        <f ca="1">IFERROR(__xludf.DUMMYFUNCTION("""COMPUTED_VALUE"""),"Initiative")</f>
        <v>Initiative</v>
      </c>
      <c r="G629" s="4" t="str">
        <f ca="1">IFERROR(__xludf.DUMMYFUNCTION("""COMPUTED_VALUE"""),"Flow")</f>
        <v>Flow</v>
      </c>
      <c r="H629" s="4" t="str">
        <f ca="1">IFERROR(__xludf.DUMMYFUNCTION("""COMPUTED_VALUE"""),"2Q 2024")</f>
        <v>2Q 2024</v>
      </c>
      <c r="I629" s="131" t="str">
        <f ca="1">IFERROR(__xludf.DUMMYFUNCTION("""COMPUTED_VALUE"""),"katherine.michaels-bbva.com")</f>
        <v>katherine.michaels-bbva.com</v>
      </c>
      <c r="J629" s="131" t="str">
        <f ca="1">IFERROR(__xludf.DUMMYFUNCTION("""COMPUTED_VALUE"""),"dianacarolina.gonzalez.castri-bbva.com")</f>
        <v>dianacarolina.gonzalez.castri-bbva.com</v>
      </c>
      <c r="K629" s="131" t="str">
        <f ca="1">IFERROR(__xludf.DUMMYFUNCTION("""COMPUTED_VALUE"""),"paulocesar.sastoque-bbva.com")</f>
        <v>paulocesar.sastoque-bbva.com</v>
      </c>
      <c r="L629" s="130">
        <f ca="1">IFERROR(__xludf.DUMMYFUNCTION("""COMPUTED_VALUE"""),0)</f>
        <v>0</v>
      </c>
      <c r="M629" s="130">
        <f ca="1">IFERROR(__xludf.DUMMYFUNCTION("""COMPUTED_VALUE"""),0)</f>
        <v>0</v>
      </c>
      <c r="N629" s="130">
        <f ca="1">IFERROR(__xludf.DUMMYFUNCTION("""COMPUTED_VALUE"""),0)</f>
        <v>0</v>
      </c>
      <c r="O629" s="4" t="str">
        <f ca="1">IFERROR(__xludf.DUMMYFUNCTION("""COMPUTED_VALUE"""),"Waterfall")</f>
        <v>Waterfall</v>
      </c>
      <c r="P629" s="4" t="str">
        <f ca="1">IFERROR(__xludf.DUMMYFUNCTION("""COMPUTED_VALUE"""),"Tradicional")</f>
        <v>Tradicional</v>
      </c>
      <c r="Q629" s="4"/>
      <c r="R629" s="130" t="str">
        <f ca="1">IFERROR(__xludf.DUMMYFUNCTION("""COMPUTED_VALUE"""),"Insurance")</f>
        <v>Insurance</v>
      </c>
      <c r="S629" s="130" t="str">
        <f ca="1">IFERROR(__xludf.DUMMYFUNCTION("""COMPUTED_VALUE""")," Otros")</f>
        <v xml:space="preserve"> Otros</v>
      </c>
      <c r="T629" s="130" t="str">
        <f ca="1">IFERROR(__xludf.DUMMYFUNCTION("""COMPUTED_VALUE"""),"1. Generación de Ingresos")</f>
        <v>1. Generación de Ingresos</v>
      </c>
      <c r="U629" s="130" t="str">
        <f ca="1">IFERROR(__xludf.DUMMYFUNCTION("""COMPUTED_VALUE"""),"1.2. Proyectos de Consumo")</f>
        <v>1.2. Proyectos de Consumo</v>
      </c>
      <c r="V629" s="4" t="str">
        <f ca="1">IFERROR(__xludf.DUMMYFUNCTION("""COMPUTED_VALUE"""),"Seguros")</f>
        <v>Seguros</v>
      </c>
      <c r="W629" s="4">
        <f ca="1">IFERROR(__xludf.DUMMYFUNCTION("""COMPUTED_VALUE"""),2)</f>
        <v>2</v>
      </c>
      <c r="X629" s="4" t="str">
        <f ca="1">IFERROR(__xludf.DUMMYFUNCTION("""COMPUTED_VALUE"""),"10. Otros")</f>
        <v>10. Otros</v>
      </c>
      <c r="Y629" s="4" t="str">
        <f ca="1">IFERROR(__xludf.DUMMYFUNCTION("""COMPUTED_VALUE""")," Otros")</f>
        <v xml:space="preserve"> Otros</v>
      </c>
      <c r="Z629" s="132" t="str">
        <f ca="1">IFERROR(__xludf.DUMMYFUNCTION("""COMPUTED_VALUE"""),"712168")</f>
        <v>712168</v>
      </c>
      <c r="AA629" s="4" t="str">
        <f ca="1">IFERROR(__xludf.DUMMYFUNCTION("""COMPUTED_VALUE"""),"Cuota Segura/Créditos de libranza (SEGUROS)")</f>
        <v>Cuota Segura/Créditos de libranza (SEGUROS)</v>
      </c>
      <c r="AB629" s="4" t="str">
        <f ca="1">IFERROR(__xludf.DUMMYFUNCTION("""COMPUTED_VALUE"""),"Implementar la opción de vinculación del seguro voluntario ""cuota segura"" para clientes dependientes  e independientes que contraten créditos de libranzas con BBVA a convenios y subprodutos autorizados por el área de negocio de libranza.")</f>
        <v>Implementar la opción de vinculación del seguro voluntario "cuota segura" para clientes dependientes  e independientes que contraten créditos de libranzas con BBVA a convenios y subprodutos autorizados por el área de negocio de libranza.</v>
      </c>
      <c r="AC629" s="4" t="str">
        <f ca="1">IFERROR(__xludf.DUMMYFUNCTION("""COMPUTED_VALUE"""),"4Q 2023")</f>
        <v>4Q 2023</v>
      </c>
      <c r="AD629" s="4"/>
      <c r="AE629" s="4"/>
      <c r="AF629" s="4"/>
      <c r="AG629" s="4"/>
      <c r="AH629" s="4"/>
      <c r="AI629" s="4"/>
      <c r="AJ629" s="4"/>
      <c r="AK629" s="4" t="str">
        <f ca="1">IFERROR(__xludf.DUMMYFUNCTION("""COMPUTED_VALUE"""),"Sin asignar")</f>
        <v>Sin asignar</v>
      </c>
      <c r="AL629" s="4" t="str">
        <f ca="1">IFERROR(__xludf.DUMMYFUNCTION("""COMPUTED_VALUE"""),"Sin asignar")</f>
        <v>Sin asignar</v>
      </c>
      <c r="AM629" s="4"/>
      <c r="AN629" s="4" t="str">
        <f ca="1">IFERROR(__xludf.DUMMYFUNCTION("""COMPUTED_VALUE"""),"Iniciativa sin priorizar")</f>
        <v>Iniciativa sin priorizar</v>
      </c>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133">
        <f ca="1">IFERROR(__xludf.DUMMYFUNCTION("""COMPUTED_VALUE"""),0)</f>
        <v>0</v>
      </c>
      <c r="DV629" s="133">
        <f ca="1">IFERROR(__xludf.DUMMYFUNCTION("""COMPUTED_VALUE"""),0)</f>
        <v>0</v>
      </c>
      <c r="DW629" s="133">
        <f ca="1">IFERROR(__xludf.DUMMYFUNCTION("""COMPUTED_VALUE"""),0)</f>
        <v>0</v>
      </c>
      <c r="DX629" s="133">
        <f ca="1">IFERROR(__xludf.DUMMYFUNCTION("""COMPUTED_VALUE"""),0)</f>
        <v>0</v>
      </c>
      <c r="DY629" s="133">
        <f ca="1">IFERROR(__xludf.DUMMYFUNCTION("""COMPUTED_VALUE"""),0)</f>
        <v>0</v>
      </c>
      <c r="DZ629" s="133">
        <f ca="1">IFERROR(__xludf.DUMMYFUNCTION("""COMPUTED_VALUE"""),0)</f>
        <v>0</v>
      </c>
      <c r="EA629" s="4"/>
      <c r="EB629" s="4"/>
    </row>
    <row r="630" spans="1:132" x14ac:dyDescent="0.2">
      <c r="A630" s="4">
        <f ca="1">IFERROR(__xludf.DUMMYFUNCTION("""COMPUTED_VALUE"""),630)</f>
        <v>630</v>
      </c>
      <c r="B630" s="4">
        <f ca="1">IFERROR(__xludf.DUMMYFUNCTION("""COMPUTED_VALUE"""),601)</f>
        <v>601</v>
      </c>
      <c r="C630" s="4" t="str">
        <f ca="1">IFERROR(__xludf.DUMMYFUNCTION("""COMPUTED_VALUE"""),"SDATOOL-42264")</f>
        <v>SDATOOL-42264</v>
      </c>
      <c r="D630" s="4" t="str">
        <f ca="1">IFERROR(__xludf.DUMMYFUNCTION("""COMPUTED_VALUE"""),"Seguros - Calculo Extra prima valores superiores a 9.999.999")</f>
        <v>Seguros - Calculo Extra prima valores superiores a 9.999.999</v>
      </c>
      <c r="E630" s="4" t="str">
        <f ca="1">IFERROR(__xludf.DUMMYFUNCTION("""COMPUTED_VALUE"""),"Ajustar proceso de tarifación usado en las funcionalidades de alta, facturación, recálculo, cancelación anticipada, pago próxima cuota; con el fin de ajustar el cálculo de  extra prima de seguro, cuando el valor supera los 9.999.999 , dado que a hoy está "&amp;"truncando y enviando un valor errado para cobro.")</f>
        <v>Ajustar proceso de tarifación usado en las funcionalidades de alta, facturación, recálculo, cancelación anticipada, pago próxima cuota; con el fin de ajustar el cálculo de  extra prima de seguro, cuando el valor supera los 9.999.999 , dado que a hoy está truncando y enviando un valor errado para cobro.</v>
      </c>
      <c r="F630" s="4" t="str">
        <f ca="1">IFERROR(__xludf.DUMMYFUNCTION("""COMPUTED_VALUE"""),"Initiative")</f>
        <v>Initiative</v>
      </c>
      <c r="G630" s="4" t="str">
        <f ca="1">IFERROR(__xludf.DUMMYFUNCTION("""COMPUTED_VALUE"""),"Flow")</f>
        <v>Flow</v>
      </c>
      <c r="H630" s="4" t="str">
        <f ca="1">IFERROR(__xludf.DUMMYFUNCTION("""COMPUTED_VALUE"""),"2Q 2023")</f>
        <v>2Q 2023</v>
      </c>
      <c r="I630" s="131" t="str">
        <f ca="1">IFERROR(__xludf.DUMMYFUNCTION("""COMPUTED_VALUE"""),"katherine.michaels-bbva.com")</f>
        <v>katherine.michaels-bbva.com</v>
      </c>
      <c r="J630" s="131" t="str">
        <f ca="1">IFERROR(__xludf.DUMMYFUNCTION("""COMPUTED_VALUE"""),"dianacarolina.gonzalez.castri-bbva.com")</f>
        <v>dianacarolina.gonzalez.castri-bbva.com</v>
      </c>
      <c r="K630" s="131" t="str">
        <f ca="1">IFERROR(__xludf.DUMMYFUNCTION("""COMPUTED_VALUE"""),"felipe.guzman-bbva.com")</f>
        <v>felipe.guzman-bbva.com</v>
      </c>
      <c r="L630" s="130">
        <f ca="1">IFERROR(__xludf.DUMMYFUNCTION("""COMPUTED_VALUE"""),0)</f>
        <v>0</v>
      </c>
      <c r="M630" s="130">
        <f ca="1">IFERROR(__xludf.DUMMYFUNCTION("""COMPUTED_VALUE"""),0)</f>
        <v>0</v>
      </c>
      <c r="N630" s="130">
        <f ca="1">IFERROR(__xludf.DUMMYFUNCTION("""COMPUTED_VALUE"""),0)</f>
        <v>0</v>
      </c>
      <c r="O630" s="4" t="str">
        <f ca="1">IFERROR(__xludf.DUMMYFUNCTION("""COMPUTED_VALUE"""),"Waterfall")</f>
        <v>Waterfall</v>
      </c>
      <c r="P630" s="4" t="str">
        <f ca="1">IFERROR(__xludf.DUMMYFUNCTION("""COMPUTED_VALUE"""),"Tradicional")</f>
        <v>Tradicional</v>
      </c>
      <c r="Q630" s="4"/>
      <c r="R630" s="130" t="str">
        <f ca="1">IFERROR(__xludf.DUMMYFUNCTION("""COMPUTED_VALUE"""),"Insurance")</f>
        <v>Insurance</v>
      </c>
      <c r="S630" s="130" t="str">
        <f ca="1">IFERROR(__xludf.DUMMYFUNCTION("""COMPUTED_VALUE""")," Otros")</f>
        <v xml:space="preserve"> Otros</v>
      </c>
      <c r="T630" s="130" t="str">
        <f ca="1">IFERROR(__xludf.DUMMYFUNCTION("""COMPUTED_VALUE"""),"Otros")</f>
        <v>Otros</v>
      </c>
      <c r="U630" s="130" t="str">
        <f ca="1">IFERROR(__xludf.DUMMYFUNCTION("""COMPUTED_VALUE"""),"No Aplica")</f>
        <v>No Aplica</v>
      </c>
      <c r="V630" s="4" t="str">
        <f ca="1">IFERROR(__xludf.DUMMYFUNCTION("""COMPUTED_VALUE"""),"Seguros")</f>
        <v>Seguros</v>
      </c>
      <c r="W630" s="4">
        <f ca="1">IFERROR(__xludf.DUMMYFUNCTION("""COMPUTED_VALUE"""),2)</f>
        <v>2</v>
      </c>
      <c r="X630" s="4" t="str">
        <f ca="1">IFERROR(__xludf.DUMMYFUNCTION("""COMPUTED_VALUE"""),"10. Otros")</f>
        <v>10. Otros</v>
      </c>
      <c r="Y630" s="4" t="str">
        <f ca="1">IFERROR(__xludf.DUMMYFUNCTION("""COMPUTED_VALUE""")," Otros")</f>
        <v xml:space="preserve"> Otros</v>
      </c>
      <c r="Z630" s="132" t="str">
        <f ca="1">IFERROR(__xludf.DUMMYFUNCTION("""COMPUTED_VALUE"""),"712137")</f>
        <v>712137</v>
      </c>
      <c r="AA630" s="4" t="str">
        <f ca="1">IFERROR(__xludf.DUMMYFUNCTION("""COMPUTED_VALUE"""),"Calculo Extra prima valores superiores a 9.999.999")</f>
        <v>Calculo Extra prima valores superiores a 9.999.999</v>
      </c>
      <c r="AB630" s="4" t="str">
        <f ca="1">IFERROR(__xludf.DUMMYFUNCTION("""COMPUTED_VALUE"""),"Ajustar proceso de cálculo de tarificación cuando aplica extra prima, para que por más que el valor sea superior a 9.999.999 se calcule e informe correctamente en los diferentes procesos que a hoy hacen uso del módulo de tarificación.")</f>
        <v>Ajustar proceso de cálculo de tarificación cuando aplica extra prima, para que por más que el valor sea superior a 9.999.999 se calcule e informe correctamente en los diferentes procesos que a hoy hacen uso del módulo de tarificación.</v>
      </c>
      <c r="AC630" s="4" t="str">
        <f ca="1">IFERROR(__xludf.DUMMYFUNCTION("""COMPUTED_VALUE"""),"2Q 2023")</f>
        <v>2Q 2023</v>
      </c>
      <c r="AD630" s="4"/>
      <c r="AE630" s="4"/>
      <c r="AF630" s="4"/>
      <c r="AG630" s="4"/>
      <c r="AH630" s="4"/>
      <c r="AI630" s="4"/>
      <c r="AJ630" s="4"/>
      <c r="AK630" s="131" t="str">
        <f ca="1">IFERROR(__xludf.DUMMYFUNCTION("""COMPUTED_VALUE"""),"COLWSSEGUR-220")</f>
        <v>COLWSSEGUR-220</v>
      </c>
      <c r="AL630" s="4" t="str">
        <f ca="1">IFERROR(__xludf.DUMMYFUNCTION("""COMPUTED_VALUE"""),"Blocked")</f>
        <v>Blocked</v>
      </c>
      <c r="AM630" s="4"/>
      <c r="AN630" s="4" t="str">
        <f ca="1">IFERROR(__xludf.DUMMYFUNCTION("""COMPUTED_VALUE"""),"Iniciativa sin priorizar")</f>
        <v>Iniciativa sin priorizar</v>
      </c>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133">
        <f ca="1">IFERROR(__xludf.DUMMYFUNCTION("""COMPUTED_VALUE"""),0)</f>
        <v>0</v>
      </c>
      <c r="DV630" s="133">
        <f ca="1">IFERROR(__xludf.DUMMYFUNCTION("""COMPUTED_VALUE"""),0)</f>
        <v>0</v>
      </c>
      <c r="DW630" s="133">
        <f ca="1">IFERROR(__xludf.DUMMYFUNCTION("""COMPUTED_VALUE"""),0)</f>
        <v>0</v>
      </c>
      <c r="DX630" s="133">
        <f ca="1">IFERROR(__xludf.DUMMYFUNCTION("""COMPUTED_VALUE"""),0)</f>
        <v>0</v>
      </c>
      <c r="DY630" s="133">
        <f ca="1">IFERROR(__xludf.DUMMYFUNCTION("""COMPUTED_VALUE"""),0)</f>
        <v>0</v>
      </c>
      <c r="DZ630" s="133">
        <f ca="1">IFERROR(__xludf.DUMMYFUNCTION("""COMPUTED_VALUE"""),0)</f>
        <v>0</v>
      </c>
      <c r="EA630" s="4"/>
      <c r="EB630" s="4"/>
    </row>
    <row r="631" spans="1:132" x14ac:dyDescent="0.2">
      <c r="A631" s="4">
        <f ca="1">IFERROR(__xludf.DUMMYFUNCTION("""COMPUTED_VALUE"""),631)</f>
        <v>631</v>
      </c>
      <c r="B631" s="4">
        <f ca="1">IFERROR(__xludf.DUMMYFUNCTION("""COMPUTED_VALUE"""),602)</f>
        <v>602</v>
      </c>
      <c r="C631" s="4" t="str">
        <f ca="1">IFERROR(__xludf.DUMMYFUNCTION("""COMPUTED_VALUE"""),"SDATOOL-42265")</f>
        <v>SDATOOL-42265</v>
      </c>
      <c r="D631" s="4" t="str">
        <f ca="1">IFERROR(__xludf.DUMMYFUNCTION("""COMPUTED_VALUE"""),"Seguros - Verificación de Identidad CE27")</f>
        <v>Seguros - Verificación de Identidad CE27</v>
      </c>
      <c r="E631" s="4" t="str">
        <f ca="1">IFERROR(__xludf.DUMMYFUNCTION("""COMPUTED_VALUE"""),"Realizar la solicitud del alcance a la implementación de la Circular 027 de 2020 de la Superintendencia Financiera, en la cual se estipula y solicita la validación de la identidad según instrucción regulatoria.")</f>
        <v>Realizar la solicitud del alcance a la implementación de la Circular 027 de 2020 de la Superintendencia Financiera, en la cual se estipula y solicita la validación de la identidad según instrucción regulatoria.</v>
      </c>
      <c r="F631" s="4" t="str">
        <f ca="1">IFERROR(__xludf.DUMMYFUNCTION("""COMPUTED_VALUE"""),"Project")</f>
        <v>Project</v>
      </c>
      <c r="G631" s="4" t="str">
        <f ca="1">IFERROR(__xludf.DUMMYFUNCTION("""COMPUTED_VALUE"""),"Flow")</f>
        <v>Flow</v>
      </c>
      <c r="H631" s="4" t="str">
        <f ca="1">IFERROR(__xludf.DUMMYFUNCTION("""COMPUTED_VALUE"""),"4Q 2023")</f>
        <v>4Q 2023</v>
      </c>
      <c r="I631" s="131" t="str">
        <f ca="1">IFERROR(__xludf.DUMMYFUNCTION("""COMPUTED_VALUE"""),"katherine.michaels-bbva.com")</f>
        <v>katherine.michaels-bbva.com</v>
      </c>
      <c r="J631" s="131" t="str">
        <f ca="1">IFERROR(__xludf.DUMMYFUNCTION("""COMPUTED_VALUE"""),"dianacarolina.gonzalez.castri-bbva.com")</f>
        <v>dianacarolina.gonzalez.castri-bbva.com</v>
      </c>
      <c r="K631" s="131" t="str">
        <f ca="1">IFERROR(__xludf.DUMMYFUNCTION("""COMPUTED_VALUE"""),"felipe.guzman-bbva.com")</f>
        <v>felipe.guzman-bbva.com</v>
      </c>
      <c r="L631" s="130">
        <f ca="1">IFERROR(__xludf.DUMMYFUNCTION("""COMPUTED_VALUE"""),0)</f>
        <v>0</v>
      </c>
      <c r="M631" s="130">
        <f ca="1">IFERROR(__xludf.DUMMYFUNCTION("""COMPUTED_VALUE"""),0)</f>
        <v>0</v>
      </c>
      <c r="N631" s="130">
        <f ca="1">IFERROR(__xludf.DUMMYFUNCTION("""COMPUTED_VALUE"""),0)</f>
        <v>0</v>
      </c>
      <c r="O631" s="4" t="str">
        <f ca="1">IFERROR(__xludf.DUMMYFUNCTION("""COMPUTED_VALUE"""),"Waterfall")</f>
        <v>Waterfall</v>
      </c>
      <c r="P631" s="4" t="str">
        <f ca="1">IFERROR(__xludf.DUMMYFUNCTION("""COMPUTED_VALUE"""),"Tradicional")</f>
        <v>Tradicional</v>
      </c>
      <c r="Q631" s="4"/>
      <c r="R631" s="130" t="str">
        <f ca="1">IFERROR(__xludf.DUMMYFUNCTION("""COMPUTED_VALUE"""),"Insurance")</f>
        <v>Insurance</v>
      </c>
      <c r="S631" s="130" t="str">
        <f ca="1">IFERROR(__xludf.DUMMYFUNCTION("""COMPUTED_VALUE""")," Otros")</f>
        <v xml:space="preserve"> Otros</v>
      </c>
      <c r="T631" s="130" t="str">
        <f ca="1">IFERROR(__xludf.DUMMYFUNCTION("""COMPUTED_VALUE"""),"Normativo")</f>
        <v>Normativo</v>
      </c>
      <c r="U631" s="130" t="str">
        <f ca="1">IFERROR(__xludf.DUMMYFUNCTION("""COMPUTED_VALUE"""),"No Aplica")</f>
        <v>No Aplica</v>
      </c>
      <c r="V631" s="4" t="str">
        <f ca="1">IFERROR(__xludf.DUMMYFUNCTION("""COMPUTED_VALUE"""),"Seguros")</f>
        <v>Seguros</v>
      </c>
      <c r="W631" s="4">
        <f ca="1">IFERROR(__xludf.DUMMYFUNCTION("""COMPUTED_VALUE"""),2)</f>
        <v>2</v>
      </c>
      <c r="X631" s="4" t="str">
        <f ca="1">IFERROR(__xludf.DUMMYFUNCTION("""COMPUTED_VALUE"""),"10. Otros")</f>
        <v>10. Otros</v>
      </c>
      <c r="Y631" s="4" t="str">
        <f ca="1">IFERROR(__xludf.DUMMYFUNCTION("""COMPUTED_VALUE""")," Otros")</f>
        <v xml:space="preserve"> Otros</v>
      </c>
      <c r="Z631" s="132" t="str">
        <f ca="1">IFERROR(__xludf.DUMMYFUNCTION("""COMPUTED_VALUE"""),"712141")</f>
        <v>712141</v>
      </c>
      <c r="AA631" s="4" t="str">
        <f ca="1">IFERROR(__xludf.DUMMYFUNCTION("""COMPUTED_VALUE"""),"Verificación de identidad CE27 de 2020 SFC")</f>
        <v>Verificación de identidad CE27 de 2020 SFC</v>
      </c>
      <c r="AB631" s="4" t="str">
        <f ca="1">IFERROR(__xludf.DUMMYFUNCTION("""COMPUTED_VALUE"""),"Realizar un alcance a la implementación de la Circular 027 de 2020 de la Superintendencia Financiera, en la cual se estipula y solicita la validación de la identidad según instrucción regulatoria.")</f>
        <v>Realizar un alcance a la implementación de la Circular 027 de 2020 de la Superintendencia Financiera, en la cual se estipula y solicita la validación de la identidad según instrucción regulatoria.</v>
      </c>
      <c r="AC631" s="4" t="str">
        <f ca="1">IFERROR(__xludf.DUMMYFUNCTION("""COMPUTED_VALUE"""),"3Q 2023")</f>
        <v>3Q 2023</v>
      </c>
      <c r="AD631" s="4"/>
      <c r="AE631" s="4"/>
      <c r="AF631" s="4"/>
      <c r="AG631" s="4"/>
      <c r="AH631" s="4"/>
      <c r="AI631" s="4"/>
      <c r="AJ631" s="4"/>
      <c r="AK631" s="131" t="str">
        <f ca="1">IFERROR(__xludf.DUMMYFUNCTION("""COMPUTED_VALUE"""),"COLWSSEGUR-14")</f>
        <v>COLWSSEGUR-14</v>
      </c>
      <c r="AL631" s="4" t="str">
        <f ca="1">IFERROR(__xludf.DUMMYFUNCTION("""COMPUTED_VALUE"""),"Analysing")</f>
        <v>Analysing</v>
      </c>
      <c r="AM631" s="4"/>
      <c r="AN631" s="4" t="str">
        <f ca="1">IFERROR(__xludf.DUMMYFUNCTION("""COMPUTED_VALUE"""),"Iniciativa sin priorizar")</f>
        <v>Iniciativa sin priorizar</v>
      </c>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133">
        <f ca="1">IFERROR(__xludf.DUMMYFUNCTION("""COMPUTED_VALUE"""),0)</f>
        <v>0</v>
      </c>
      <c r="DV631" s="133">
        <f ca="1">IFERROR(__xludf.DUMMYFUNCTION("""COMPUTED_VALUE"""),0)</f>
        <v>0</v>
      </c>
      <c r="DW631" s="133">
        <f ca="1">IFERROR(__xludf.DUMMYFUNCTION("""COMPUTED_VALUE"""),0)</f>
        <v>0</v>
      </c>
      <c r="DX631" s="133">
        <f ca="1">IFERROR(__xludf.DUMMYFUNCTION("""COMPUTED_VALUE"""),200000000)</f>
        <v>200000000</v>
      </c>
      <c r="DY631" s="133">
        <f ca="1">IFERROR(__xludf.DUMMYFUNCTION("""COMPUTED_VALUE"""),0)</f>
        <v>0</v>
      </c>
      <c r="DZ631" s="133">
        <f ca="1">IFERROR(__xludf.DUMMYFUNCTION("""COMPUTED_VALUE"""),200000000)</f>
        <v>200000000</v>
      </c>
      <c r="EA631" s="4"/>
      <c r="EB631" s="4"/>
    </row>
    <row r="632" spans="1:132" x14ac:dyDescent="0.2">
      <c r="A632" s="4">
        <f ca="1">IFERROR(__xludf.DUMMYFUNCTION("""COMPUTED_VALUE"""),632)</f>
        <v>632</v>
      </c>
      <c r="B632" s="4">
        <f ca="1">IFERROR(__xludf.DUMMYFUNCTION("""COMPUTED_VALUE"""),603)</f>
        <v>603</v>
      </c>
      <c r="C632" s="4" t="str">
        <f ca="1">IFERROR(__xludf.DUMMYFUNCTION("""COMPUTED_VALUE"""),"SDATOOL-40767")</f>
        <v>SDATOOL-40767</v>
      </c>
      <c r="D632" s="4" t="str">
        <f ca="1">IFERROR(__xludf.DUMMYFUNCTION("""COMPUTED_VALUE"""),"Seguros - Migración FW / Auditoria (Front)")</f>
        <v>Seguros - Migración FW / Auditoria (Front)</v>
      </c>
      <c r="E632" s="4" t="str">
        <f ca="1">IFERROR(__xludf.DUMMYFUNCTION("""COMPUTED_VALUE"""),"Realizar la migración de todas las pólizas existentes en el aplicativo de Frontweb por temas de obsolescencia, al aplicativo Acselweb, con el fin de tener consolidad la información en el sistema core de la compañía.")</f>
        <v>Realizar la migración de todas las pólizas existentes en el aplicativo de Frontweb por temas de obsolescencia, al aplicativo Acselweb, con el fin de tener consolidad la información en el sistema core de la compañía.</v>
      </c>
      <c r="F632" s="4" t="str">
        <f ca="1">IFERROR(__xludf.DUMMYFUNCTION("""COMPUTED_VALUE"""),"Initiative")</f>
        <v>Initiative</v>
      </c>
      <c r="G632" s="4" t="str">
        <f ca="1">IFERROR(__xludf.DUMMYFUNCTION("""COMPUTED_VALUE"""),"Stock")</f>
        <v>Stock</v>
      </c>
      <c r="H632" s="4" t="str">
        <f ca="1">IFERROR(__xludf.DUMMYFUNCTION("""COMPUTED_VALUE"""),"4Q 2023")</f>
        <v>4Q 2023</v>
      </c>
      <c r="I632" s="131" t="str">
        <f ca="1">IFERROR(__xludf.DUMMYFUNCTION("""COMPUTED_VALUE"""),"katherine.michaels-bbva.com")</f>
        <v>katherine.michaels-bbva.com</v>
      </c>
      <c r="J632" s="131" t="str">
        <f ca="1">IFERROR(__xludf.DUMMYFUNCTION("""COMPUTED_VALUE"""),"dianacarolina.gonzalez.castri-bbva.com")</f>
        <v>dianacarolina.gonzalez.castri-bbva.com</v>
      </c>
      <c r="K632" s="131" t="str">
        <f ca="1">IFERROR(__xludf.DUMMYFUNCTION("""COMPUTED_VALUE"""),"felipe.guzman-bbva.com")</f>
        <v>felipe.guzman-bbva.com</v>
      </c>
      <c r="L632" s="130">
        <f ca="1">IFERROR(__xludf.DUMMYFUNCTION("""COMPUTED_VALUE"""),0)</f>
        <v>0</v>
      </c>
      <c r="M632" s="130">
        <f ca="1">IFERROR(__xludf.DUMMYFUNCTION("""COMPUTED_VALUE"""),0)</f>
        <v>0</v>
      </c>
      <c r="N632" s="130">
        <f ca="1">IFERROR(__xludf.DUMMYFUNCTION("""COMPUTED_VALUE"""),0)</f>
        <v>0</v>
      </c>
      <c r="O632" s="4" t="str">
        <f ca="1">IFERROR(__xludf.DUMMYFUNCTION("""COMPUTED_VALUE"""),"Waterfall")</f>
        <v>Waterfall</v>
      </c>
      <c r="P632" s="4" t="str">
        <f ca="1">IFERROR(__xludf.DUMMYFUNCTION("""COMPUTED_VALUE"""),"Tradicional")</f>
        <v>Tradicional</v>
      </c>
      <c r="Q632" s="4"/>
      <c r="R632" s="130" t="str">
        <f ca="1">IFERROR(__xludf.DUMMYFUNCTION("""COMPUTED_VALUE"""),"Insurance")</f>
        <v>Insurance</v>
      </c>
      <c r="S632" s="130" t="str">
        <f ca="1">IFERROR(__xludf.DUMMYFUNCTION("""COMPUTED_VALUE""")," Otros")</f>
        <v xml:space="preserve"> Otros</v>
      </c>
      <c r="T632" s="130" t="str">
        <f ca="1">IFERROR(__xludf.DUMMYFUNCTION("""COMPUTED_VALUE"""),"Normativo")</f>
        <v>Normativo</v>
      </c>
      <c r="U632" s="130" t="str">
        <f ca="1">IFERROR(__xludf.DUMMYFUNCTION("""COMPUTED_VALUE"""),"No Aplica")</f>
        <v>No Aplica</v>
      </c>
      <c r="V632" s="4" t="str">
        <f ca="1">IFERROR(__xludf.DUMMYFUNCTION("""COMPUTED_VALUE"""),"Seguros")</f>
        <v>Seguros</v>
      </c>
      <c r="W632" s="4">
        <f ca="1">IFERROR(__xludf.DUMMYFUNCTION("""COMPUTED_VALUE"""),2)</f>
        <v>2</v>
      </c>
      <c r="X632" s="4" t="str">
        <f ca="1">IFERROR(__xludf.DUMMYFUNCTION("""COMPUTED_VALUE"""),"10. Otros")</f>
        <v>10. Otros</v>
      </c>
      <c r="Y632" s="4" t="str">
        <f ca="1">IFERROR(__xludf.DUMMYFUNCTION("""COMPUTED_VALUE""")," Otros")</f>
        <v xml:space="preserve"> Otros</v>
      </c>
      <c r="Z632" s="132" t="str">
        <f ca="1">IFERROR(__xludf.DUMMYFUNCTION("""COMPUTED_VALUE"""),"610434")</f>
        <v>610434</v>
      </c>
      <c r="AA632" s="4" t="str">
        <f ca="1">IFERROR(__xludf.DUMMYFUNCTION("""COMPUTED_VALUE"""),"Migración Frontweb")</f>
        <v>Migración Frontweb</v>
      </c>
      <c r="AB632" s="4" t="str">
        <f ca="1">IFERROR(__xludf.DUMMYFUNCTION("""COMPUTED_VALUE"""),"Realizar la migración de todas las pólizas existentes en el aplicativo de Frontweb por temas de obsolescencia, al aplicativo Acelx.")</f>
        <v>Realizar la migración de todas las pólizas existentes en el aplicativo de Frontweb por temas de obsolescencia, al aplicativo Acelx.</v>
      </c>
      <c r="AC632" s="4" t="str">
        <f ca="1">IFERROR(__xludf.DUMMYFUNCTION("""COMPUTED_VALUE"""),"3Q 2023")</f>
        <v>3Q 2023</v>
      </c>
      <c r="AD632" s="4"/>
      <c r="AE632" s="4"/>
      <c r="AF632" s="4"/>
      <c r="AG632" s="4"/>
      <c r="AH632" s="4"/>
      <c r="AI632" s="4"/>
      <c r="AJ632" s="4"/>
      <c r="AK632" s="131" t="str">
        <f ca="1">IFERROR(__xludf.DUMMYFUNCTION("""COMPUTED_VALUE"""),"COLWSSEGUR-223")</f>
        <v>COLWSSEGUR-223</v>
      </c>
      <c r="AL632" s="4" t="str">
        <f ca="1">IFERROR(__xludf.DUMMYFUNCTION("""COMPUTED_VALUE"""),"Ready")</f>
        <v>Ready</v>
      </c>
      <c r="AM632" s="4"/>
      <c r="AN632" s="4" t="str">
        <f ca="1">IFERROR(__xludf.DUMMYFUNCTION("""COMPUTED_VALUE"""),"Entregable en desarrollo")</f>
        <v>Entregable en desarrollo</v>
      </c>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133">
        <f ca="1">IFERROR(__xludf.DUMMYFUNCTION("""COMPUTED_VALUE"""),0)</f>
        <v>0</v>
      </c>
      <c r="DV632" s="133">
        <f ca="1">IFERROR(__xludf.DUMMYFUNCTION("""COMPUTED_VALUE"""),0)</f>
        <v>0</v>
      </c>
      <c r="DW632" s="133">
        <f ca="1">IFERROR(__xludf.DUMMYFUNCTION("""COMPUTED_VALUE"""),0)</f>
        <v>0</v>
      </c>
      <c r="DX632" s="133">
        <f ca="1">IFERROR(__xludf.DUMMYFUNCTION("""COMPUTED_VALUE"""),145000000)</f>
        <v>145000000</v>
      </c>
      <c r="DY632" s="133">
        <f ca="1">IFERROR(__xludf.DUMMYFUNCTION("""COMPUTED_VALUE"""),0)</f>
        <v>0</v>
      </c>
      <c r="DZ632" s="133">
        <f ca="1">IFERROR(__xludf.DUMMYFUNCTION("""COMPUTED_VALUE"""),145000000)</f>
        <v>145000000</v>
      </c>
      <c r="EA632" s="4"/>
      <c r="EB632" s="4"/>
    </row>
    <row r="633" spans="1:132" x14ac:dyDescent="0.2">
      <c r="A633" s="4">
        <f ca="1">IFERROR(__xludf.DUMMYFUNCTION("""COMPUTED_VALUE"""),633)</f>
        <v>633</v>
      </c>
      <c r="B633" s="4">
        <f ca="1">IFERROR(__xludf.DUMMYFUNCTION("""COMPUTED_VALUE"""),604)</f>
        <v>604</v>
      </c>
      <c r="C633" s="4" t="str">
        <f ca="1">IFERROR(__xludf.DUMMYFUNCTION("""COMPUTED_VALUE"""),"SDATOOL-42104")</f>
        <v>SDATOOL-42104</v>
      </c>
      <c r="D633" s="4" t="str">
        <f ca="1">IFERROR(__xludf.DUMMYFUNCTION("""COMPUTED_VALUE"""),"Seguros - Evolutivo Autos/Casa en Orden")</f>
        <v>Seguros - Evolutivo Autos/Casa en Orden</v>
      </c>
      <c r="E633" s="4" t="str">
        <f ca="1">IFERROR(__xludf.DUMMYFUNCTION("""COMPUTED_VALUE"""),"Los ajustes se trabajarán para los siguientes escenarios:
Ajuste de alta de pólizas de vehículo
Aplicación de gasto desde el facturador de seguros multicompañía
Diferencias en el Pago Próxima Cuota (PPC) de casos multicompañía
Error en desembolso de un p"&amp;"réstamo con seguro de vida endosado
Actualización de fechas de corte en facturación de pólizas multicompañía
Cambio fecha de facturación")</f>
        <v>Los ajustes se trabajarán para los siguientes escenarios:
Ajuste de alta de pólizas de vehículo
Aplicación de gasto desde el facturador de seguros multicompañía
Diferencias en el Pago Próxima Cuota (PPC) de casos multicompañía
Error en desembolso de un préstamo con seguro de vida endosado
Actualización de fechas de corte en facturación de pólizas multicompañía
Cambio fecha de facturación</v>
      </c>
      <c r="F633" s="4" t="str">
        <f ca="1">IFERROR(__xludf.DUMMYFUNCTION("""COMPUTED_VALUE"""),"Initiative")</f>
        <v>Initiative</v>
      </c>
      <c r="G633" s="4" t="str">
        <f ca="1">IFERROR(__xludf.DUMMYFUNCTION("""COMPUTED_VALUE"""),"Flow")</f>
        <v>Flow</v>
      </c>
      <c r="H633" s="4" t="str">
        <f ca="1">IFERROR(__xludf.DUMMYFUNCTION("""COMPUTED_VALUE"""),"2Q 2023")</f>
        <v>2Q 2023</v>
      </c>
      <c r="I633" s="131" t="str">
        <f ca="1">IFERROR(__xludf.DUMMYFUNCTION("""COMPUTED_VALUE"""),"katherine.michaels-bbva.com")</f>
        <v>katherine.michaels-bbva.com</v>
      </c>
      <c r="J633" s="131" t="str">
        <f ca="1">IFERROR(__xludf.DUMMYFUNCTION("""COMPUTED_VALUE"""),"dianacarolina.gonzalez.castri-bbva.com")</f>
        <v>dianacarolina.gonzalez.castri-bbva.com</v>
      </c>
      <c r="K633" s="131" t="str">
        <f ca="1">IFERROR(__xludf.DUMMYFUNCTION("""COMPUTED_VALUE"""),"felipe.guzman-bbva.com")</f>
        <v>felipe.guzman-bbva.com</v>
      </c>
      <c r="L633" s="130">
        <f ca="1">IFERROR(__xludf.DUMMYFUNCTION("""COMPUTED_VALUE"""),0)</f>
        <v>0</v>
      </c>
      <c r="M633" s="130">
        <f ca="1">IFERROR(__xludf.DUMMYFUNCTION("""COMPUTED_VALUE"""),0)</f>
        <v>0</v>
      </c>
      <c r="N633" s="130">
        <f ca="1">IFERROR(__xludf.DUMMYFUNCTION("""COMPUTED_VALUE"""),0)</f>
        <v>0</v>
      </c>
      <c r="O633" s="4" t="str">
        <f ca="1">IFERROR(__xludf.DUMMYFUNCTION("""COMPUTED_VALUE"""),"Waterfall")</f>
        <v>Waterfall</v>
      </c>
      <c r="P633" s="4" t="str">
        <f ca="1">IFERROR(__xludf.DUMMYFUNCTION("""COMPUTED_VALUE"""),"Tradicional")</f>
        <v>Tradicional</v>
      </c>
      <c r="Q633" s="4"/>
      <c r="R633" s="130" t="str">
        <f ca="1">IFERROR(__xludf.DUMMYFUNCTION("""COMPUTED_VALUE"""),"Insurance")</f>
        <v>Insurance</v>
      </c>
      <c r="S633" s="130" t="str">
        <f ca="1">IFERROR(__xludf.DUMMYFUNCTION("""COMPUTED_VALUE""")," Otros")</f>
        <v xml:space="preserve"> Otros</v>
      </c>
      <c r="T633" s="130" t="str">
        <f ca="1">IFERROR(__xludf.DUMMYFUNCTION("""COMPUTED_VALUE"""),"Otros")</f>
        <v>Otros</v>
      </c>
      <c r="U633" s="130" t="str">
        <f ca="1">IFERROR(__xludf.DUMMYFUNCTION("""COMPUTED_VALUE"""),"No Aplica")</f>
        <v>No Aplica</v>
      </c>
      <c r="V633" s="4" t="str">
        <f ca="1">IFERROR(__xludf.DUMMYFUNCTION("""COMPUTED_VALUE"""),"Seguros")</f>
        <v>Seguros</v>
      </c>
      <c r="W633" s="4">
        <f ca="1">IFERROR(__xludf.DUMMYFUNCTION("""COMPUTED_VALUE"""),2)</f>
        <v>2</v>
      </c>
      <c r="X633" s="4" t="str">
        <f ca="1">IFERROR(__xludf.DUMMYFUNCTION("""COMPUTED_VALUE"""),"10. Otros")</f>
        <v>10. Otros</v>
      </c>
      <c r="Y633" s="4" t="str">
        <f ca="1">IFERROR(__xludf.DUMMYFUNCTION("""COMPUTED_VALUE""")," Otros")</f>
        <v xml:space="preserve"> Otros</v>
      </c>
      <c r="Z633" s="132" t="str">
        <f ca="1">IFERROR(__xludf.DUMMYFUNCTION("""COMPUTED_VALUE"""),"710783")</f>
        <v>710783</v>
      </c>
      <c r="AA633" s="4" t="str">
        <f ca="1">IFERROR(__xludf.DUMMYFUNCTION("""COMPUTED_VALUE"""),"Evolutivo Autos - Casa en Orden")</f>
        <v>Evolutivo Autos - Casa en Orden</v>
      </c>
      <c r="AB633" s="4" t="str">
        <f ca="1">IFERROR(__xludf.DUMMYFUNCTION("""COMPUTED_VALUE"""),"Corregir los diferentes escenarios que actualmente están presentando error en el proceso de altas, facturación y pago de estos productos, logrando la regularización de la operación en producto de Autos deudor, ya que por los inconvenientes enumerados, se "&amp;"formalizan pólizas con errores generando reclamos por parte del cliente.")</f>
        <v>Corregir los diferentes escenarios que actualmente están presentando error en el proceso de altas, facturación y pago de estos productos, logrando la regularización de la operación en producto de Autos deudor, ya que por los inconvenientes enumerados, se formalizan pólizas con errores generando reclamos por parte del cliente.</v>
      </c>
      <c r="AC633" s="4" t="str">
        <f ca="1">IFERROR(__xludf.DUMMYFUNCTION("""COMPUTED_VALUE"""),"2Q 2023")</f>
        <v>2Q 2023</v>
      </c>
      <c r="AD633" s="4"/>
      <c r="AE633" s="4"/>
      <c r="AF633" s="4"/>
      <c r="AG633" s="4"/>
      <c r="AH633" s="4"/>
      <c r="AI633" s="4"/>
      <c r="AJ633" s="4"/>
      <c r="AK633" s="131" t="str">
        <f ca="1">IFERROR(__xludf.DUMMYFUNCTION("""COMPUTED_VALUE"""),"COLWSSEGUR-1040")</f>
        <v>COLWSSEGUR-1040</v>
      </c>
      <c r="AL633" s="4" t="str">
        <f ca="1">IFERROR(__xludf.DUMMYFUNCTION("""COMPUTED_VALUE"""),"New")</f>
        <v>New</v>
      </c>
      <c r="AM633" s="4"/>
      <c r="AN633" s="4" t="str">
        <f ca="1">IFERROR(__xludf.DUMMYFUNCTION("""COMPUTED_VALUE"""),"Entregable en backlog")</f>
        <v>Entregable en backlog</v>
      </c>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133">
        <f ca="1">IFERROR(__xludf.DUMMYFUNCTION("""COMPUTED_VALUE"""),0)</f>
        <v>0</v>
      </c>
      <c r="DV633" s="133">
        <f ca="1">IFERROR(__xludf.DUMMYFUNCTION("""COMPUTED_VALUE"""),0)</f>
        <v>0</v>
      </c>
      <c r="DW633" s="133">
        <f ca="1">IFERROR(__xludf.DUMMYFUNCTION("""COMPUTED_VALUE"""),0)</f>
        <v>0</v>
      </c>
      <c r="DX633" s="133">
        <f ca="1">IFERROR(__xludf.DUMMYFUNCTION("""COMPUTED_VALUE"""),0)</f>
        <v>0</v>
      </c>
      <c r="DY633" s="133">
        <f ca="1">IFERROR(__xludf.DUMMYFUNCTION("""COMPUTED_VALUE"""),0)</f>
        <v>0</v>
      </c>
      <c r="DZ633" s="133">
        <f ca="1">IFERROR(__xludf.DUMMYFUNCTION("""COMPUTED_VALUE"""),0)</f>
        <v>0</v>
      </c>
      <c r="EA633" s="4"/>
      <c r="EB633" s="4"/>
    </row>
    <row r="634" spans="1:132" x14ac:dyDescent="0.2">
      <c r="A634" s="4">
        <f ca="1">IFERROR(__xludf.DUMMYFUNCTION("""COMPUTED_VALUE"""),634)</f>
        <v>634</v>
      </c>
      <c r="B634" s="4">
        <f ca="1">IFERROR(__xludf.DUMMYFUNCTION("""COMPUTED_VALUE"""),605)</f>
        <v>605</v>
      </c>
      <c r="C634" s="4" t="str">
        <f ca="1">IFERROR(__xludf.DUMMYFUNCTION("""COMPUTED_VALUE"""),"SDATOOL-42296")</f>
        <v>SDATOOL-42296</v>
      </c>
      <c r="D634" s="4" t="str">
        <f ca="1">IFERROR(__xludf.DUMMYFUNCTION("""COMPUTED_VALUE"""),"Seguros - Externalización BEX")</f>
        <v>Seguros - Externalización BEX</v>
      </c>
      <c r="E634"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4" s="4" t="str">
        <f ca="1">IFERROR(__xludf.DUMMYFUNCTION("""COMPUTED_VALUE"""),"Initiative")</f>
        <v>Initiative</v>
      </c>
      <c r="G634" s="4" t="str">
        <f ca="1">IFERROR(__xludf.DUMMYFUNCTION("""COMPUTED_VALUE"""),"Flow")</f>
        <v>Flow</v>
      </c>
      <c r="H634" s="4" t="str">
        <f ca="1">IFERROR(__xludf.DUMMYFUNCTION("""COMPUTED_VALUE"""),"4Q 2023")</f>
        <v>4Q 2023</v>
      </c>
      <c r="I634" s="131" t="str">
        <f ca="1">IFERROR(__xludf.DUMMYFUNCTION("""COMPUTED_VALUE"""),"katherine.michaels-bbva.com")</f>
        <v>katherine.michaels-bbva.com</v>
      </c>
      <c r="J634" s="131" t="str">
        <f ca="1">IFERROR(__xludf.DUMMYFUNCTION("""COMPUTED_VALUE"""),"monicaandrea.rodriguez.penago-bbva.com")</f>
        <v>monicaandrea.rodriguez.penago-bbva.com</v>
      </c>
      <c r="K634" s="131" t="str">
        <f ca="1">IFERROR(__xludf.DUMMYFUNCTION("""COMPUTED_VALUE"""),"felipe.guzman-bbva.com")</f>
        <v>felipe.guzman-bbva.com</v>
      </c>
      <c r="L634" s="130">
        <f ca="1">IFERROR(__xludf.DUMMYFUNCTION("""COMPUTED_VALUE"""),0)</f>
        <v>0</v>
      </c>
      <c r="M634" s="130">
        <f ca="1">IFERROR(__xludf.DUMMYFUNCTION("""COMPUTED_VALUE"""),0)</f>
        <v>0</v>
      </c>
      <c r="N634" s="130">
        <f ca="1">IFERROR(__xludf.DUMMYFUNCTION("""COMPUTED_VALUE"""),0)</f>
        <v>0</v>
      </c>
      <c r="O634" s="4" t="str">
        <f ca="1">IFERROR(__xludf.DUMMYFUNCTION("""COMPUTED_VALUE"""),"Waterfall")</f>
        <v>Waterfall</v>
      </c>
      <c r="P634" s="4" t="str">
        <f ca="1">IFERROR(__xludf.DUMMYFUNCTION("""COMPUTED_VALUE"""),"Tradicional")</f>
        <v>Tradicional</v>
      </c>
      <c r="Q634" s="4"/>
      <c r="R634" s="130" t="str">
        <f ca="1">IFERROR(__xludf.DUMMYFUNCTION("""COMPUTED_VALUE"""),"Insurance")</f>
        <v>Insurance</v>
      </c>
      <c r="S634" s="130" t="str">
        <f ca="1">IFERROR(__xludf.DUMMYFUNCTION("""COMPUTED_VALUE""")," Otros")</f>
        <v xml:space="preserve"> Otros</v>
      </c>
      <c r="T634" s="130" t="str">
        <f ca="1">IFERROR(__xludf.DUMMYFUNCTION("""COMPUTED_VALUE"""),"Otros")</f>
        <v>Otros</v>
      </c>
      <c r="U634" s="130" t="str">
        <f ca="1">IFERROR(__xludf.DUMMYFUNCTION("""COMPUTED_VALUE"""),"No Aplica")</f>
        <v>No Aplica</v>
      </c>
      <c r="V634" s="4" t="str">
        <f ca="1">IFERROR(__xludf.DUMMYFUNCTION("""COMPUTED_VALUE"""),"Seguros")</f>
        <v>Seguros</v>
      </c>
      <c r="W634" s="4">
        <f ca="1">IFERROR(__xludf.DUMMYFUNCTION("""COMPUTED_VALUE"""),3)</f>
        <v>3</v>
      </c>
      <c r="X634" s="4" t="str">
        <f ca="1">IFERROR(__xludf.DUMMYFUNCTION("""COMPUTED_VALUE"""),"10. Otros")</f>
        <v>10. Otros</v>
      </c>
      <c r="Y634" s="4" t="str">
        <f ca="1">IFERROR(__xludf.DUMMYFUNCTION("""COMPUTED_VALUE""")," Otros")</f>
        <v xml:space="preserve"> Otros</v>
      </c>
      <c r="Z634" s="132" t="str">
        <f ca="1">IFERROR(__xludf.DUMMYFUNCTION("""COMPUTED_VALUE"""),"712530")</f>
        <v>712530</v>
      </c>
      <c r="AA634" s="4" t="str">
        <f ca="1">IFERROR(__xludf.DUMMYFUNCTION("""COMPUTED_VALUE"""),"Externalización BEX - Siniestros Mercado Abierto")</f>
        <v>Externalización BEX - Siniestros Mercado Abierto</v>
      </c>
      <c r="AB634" s="4" t="str">
        <f ca="1">IFERROR(__xludf.DUMMYFUNCTION("""COMPUTED_VALUE"""),"Externalizar el proceso de indemnizaciones de Mercado Abierto (siniestros de alta complejidad) desde la recepción de avisos de siniestro hasta la definición de los mismos (pago u objeción)")</f>
        <v>Externalizar el proceso de indemnizaciones de Mercado Abierto (siniestros de alta complejidad) desde la recepción de avisos de siniestro hasta la definición de los mismos (pago u objeción)</v>
      </c>
      <c r="AC634" s="4" t="str">
        <f ca="1">IFERROR(__xludf.DUMMYFUNCTION("""COMPUTED_VALUE"""),"3Q 2023")</f>
        <v>3Q 2023</v>
      </c>
      <c r="AD634" s="4"/>
      <c r="AE634" s="4"/>
      <c r="AF634" s="4"/>
      <c r="AG634" s="4"/>
      <c r="AH634" s="4"/>
      <c r="AI634" s="4"/>
      <c r="AJ634" s="4"/>
      <c r="AK634" s="131" t="str">
        <f ca="1">IFERROR(__xludf.DUMMYFUNCTION("""COMPUTED_VALUE"""),"COLWSSEGUR-1263")</f>
        <v>COLWSSEGUR-1263</v>
      </c>
      <c r="AL634" s="4" t="str">
        <f ca="1">IFERROR(__xludf.DUMMYFUNCTION("""COMPUTED_VALUE"""),"New")</f>
        <v>New</v>
      </c>
      <c r="AM634" s="4"/>
      <c r="AN634" s="4" t="str">
        <f ca="1">IFERROR(__xludf.DUMMYFUNCTION("""COMPUTED_VALUE"""),"Iniciativa sin priorizar")</f>
        <v>Iniciativa sin priorizar</v>
      </c>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133">
        <f ca="1">IFERROR(__xludf.DUMMYFUNCTION("""COMPUTED_VALUE"""),0)</f>
        <v>0</v>
      </c>
      <c r="DV634" s="133">
        <f ca="1">IFERROR(__xludf.DUMMYFUNCTION("""COMPUTED_VALUE"""),0)</f>
        <v>0</v>
      </c>
      <c r="DW634" s="133" t="str">
        <f ca="1">IFERROR(__xludf.DUMMYFUNCTION("""COMPUTED_VALUE"""),"Sin Est.")</f>
        <v>Sin Est.</v>
      </c>
      <c r="DX634" s="133" t="str">
        <f ca="1">IFERROR(__xludf.DUMMYFUNCTION("""COMPUTED_VALUE"""),"Sin Est.")</f>
        <v>Sin Est.</v>
      </c>
      <c r="DY634" s="133">
        <f ca="1">IFERROR(__xludf.DUMMYFUNCTION("""COMPUTED_VALUE"""),0)</f>
        <v>0</v>
      </c>
      <c r="DZ634" s="133" t="str">
        <f ca="1">IFERROR(__xludf.DUMMYFUNCTION("""COMPUTED_VALUE"""),"Sin Est.")</f>
        <v>Sin Est.</v>
      </c>
      <c r="EA634" s="4"/>
      <c r="EB634" s="4"/>
    </row>
    <row r="635" spans="1:132" x14ac:dyDescent="0.2">
      <c r="A635" s="4">
        <f ca="1">IFERROR(__xludf.DUMMYFUNCTION("""COMPUTED_VALUE"""),635)</f>
        <v>635</v>
      </c>
      <c r="B635" s="4">
        <f ca="1">IFERROR(__xludf.DUMMYFUNCTION("""COMPUTED_VALUE"""),606)</f>
        <v>606</v>
      </c>
      <c r="C635" s="4" t="str">
        <f ca="1">IFERROR(__xludf.DUMMYFUNCTION("""COMPUTED_VALUE"""),"SDATOOL-42449")</f>
        <v>SDATOOL-42449</v>
      </c>
      <c r="D635" s="4" t="str">
        <f ca="1">IFERROR(__xludf.DUMMYFUNCTION("""COMPUTED_VALUE"""),"Seguros - LIS Coaseguro Aceptado Autos Fase 2")</f>
        <v>Seguros - LIS Coaseguro Aceptado Autos Fase 2</v>
      </c>
      <c r="E635"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F635" s="4" t="str">
        <f ca="1">IFERROR(__xludf.DUMMYFUNCTION("""COMPUTED_VALUE"""),"Initiative")</f>
        <v>Initiative</v>
      </c>
      <c r="G635" s="4" t="str">
        <f ca="1">IFERROR(__xludf.DUMMYFUNCTION("""COMPUTED_VALUE"""),"Stock")</f>
        <v>Stock</v>
      </c>
      <c r="H635" s="4" t="str">
        <f ca="1">IFERROR(__xludf.DUMMYFUNCTION("""COMPUTED_VALUE"""),"4Q 2023")</f>
        <v>4Q 2023</v>
      </c>
      <c r="I635" s="131" t="str">
        <f ca="1">IFERROR(__xludf.DUMMYFUNCTION("""COMPUTED_VALUE"""),"katherine.michaels-bbva.com")</f>
        <v>katherine.michaels-bbva.com</v>
      </c>
      <c r="J635" s="131" t="str">
        <f ca="1">IFERROR(__xludf.DUMMYFUNCTION("""COMPUTED_VALUE"""),"yehimymeliza.santamaria-bbva.com")</f>
        <v>yehimymeliza.santamaria-bbva.com</v>
      </c>
      <c r="K635" s="131" t="str">
        <f ca="1">IFERROR(__xludf.DUMMYFUNCTION("""COMPUTED_VALUE"""),"felipe.guzman-bbva.com")</f>
        <v>felipe.guzman-bbva.com</v>
      </c>
      <c r="L635" s="130">
        <f ca="1">IFERROR(__xludf.DUMMYFUNCTION("""COMPUTED_VALUE"""),0)</f>
        <v>0</v>
      </c>
      <c r="M635" s="130">
        <f ca="1">IFERROR(__xludf.DUMMYFUNCTION("""COMPUTED_VALUE"""),0)</f>
        <v>0</v>
      </c>
      <c r="N635" s="130">
        <f ca="1">IFERROR(__xludf.DUMMYFUNCTION("""COMPUTED_VALUE"""),0)</f>
        <v>0</v>
      </c>
      <c r="O635" s="4" t="str">
        <f ca="1">IFERROR(__xludf.DUMMYFUNCTION("""COMPUTED_VALUE"""),"Waterfall")</f>
        <v>Waterfall</v>
      </c>
      <c r="P635" s="4" t="str">
        <f ca="1">IFERROR(__xludf.DUMMYFUNCTION("""COMPUTED_VALUE"""),"Tradicional")</f>
        <v>Tradicional</v>
      </c>
      <c r="Q635" s="4"/>
      <c r="R635" s="130" t="str">
        <f ca="1">IFERROR(__xludf.DUMMYFUNCTION("""COMPUTED_VALUE"""),"Insurance")</f>
        <v>Insurance</v>
      </c>
      <c r="S635" s="130" t="str">
        <f ca="1">IFERROR(__xludf.DUMMYFUNCTION("""COMPUTED_VALUE""")," Otros")</f>
        <v xml:space="preserve"> Otros</v>
      </c>
      <c r="T635" s="130" t="str">
        <f ca="1">IFERROR(__xludf.DUMMYFUNCTION("""COMPUTED_VALUE"""),"Otros")</f>
        <v>Otros</v>
      </c>
      <c r="U635" s="130" t="str">
        <f ca="1">IFERROR(__xludf.DUMMYFUNCTION("""COMPUTED_VALUE"""),"No Aplica")</f>
        <v>No Aplica</v>
      </c>
      <c r="V635" s="4" t="str">
        <f ca="1">IFERROR(__xludf.DUMMYFUNCTION("""COMPUTED_VALUE"""),"Seguros")</f>
        <v>Seguros</v>
      </c>
      <c r="W635" s="4">
        <f ca="1">IFERROR(__xludf.DUMMYFUNCTION("""COMPUTED_VALUE"""),3)</f>
        <v>3</v>
      </c>
      <c r="X635" s="4" t="str">
        <f ca="1">IFERROR(__xludf.DUMMYFUNCTION("""COMPUTED_VALUE"""),"10. Otros")</f>
        <v>10. Otros</v>
      </c>
      <c r="Y635" s="4" t="str">
        <f ca="1">IFERROR(__xludf.DUMMYFUNCTION("""COMPUTED_VALUE""")," Otros")</f>
        <v xml:space="preserve"> Otros</v>
      </c>
      <c r="Z635" s="132" t="str">
        <f ca="1">IFERROR(__xludf.DUMMYFUNCTION("""COMPUTED_VALUE"""),"713008")</f>
        <v>713008</v>
      </c>
      <c r="AA635" s="4" t="str">
        <f ca="1">IFERROR(__xludf.DUMMYFUNCTION("""COMPUTED_VALUE"""),"LIS Coaseguro Autos Deudores Sics")</f>
        <v>LIS Coaseguro Autos Deudores Sics</v>
      </c>
      <c r="AB635"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AC635" s="4" t="str">
        <f ca="1">IFERROR(__xludf.DUMMYFUNCTION("""COMPUTED_VALUE"""),"3Q 2023")</f>
        <v>3Q 2023</v>
      </c>
      <c r="AD635" s="4"/>
      <c r="AE635" s="4"/>
      <c r="AF635" s="4"/>
      <c r="AG635" s="4"/>
      <c r="AH635" s="4"/>
      <c r="AI635" s="4"/>
      <c r="AJ635" s="4"/>
      <c r="AK635" s="131" t="str">
        <f ca="1">IFERROR(__xludf.DUMMYFUNCTION("""COMPUTED_VALUE"""),"COLWSSEGUR-239")</f>
        <v>COLWSSEGUR-239</v>
      </c>
      <c r="AL635" s="4" t="str">
        <f ca="1">IFERROR(__xludf.DUMMYFUNCTION("""COMPUTED_VALUE"""),"Analysing")</f>
        <v>Analysing</v>
      </c>
      <c r="AM635" s="4"/>
      <c r="AN635" s="4" t="str">
        <f ca="1">IFERROR(__xludf.DUMMYFUNCTION("""COMPUTED_VALUE"""),"Entregable en backlog")</f>
        <v>Entregable en backlog</v>
      </c>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133">
        <f ca="1">IFERROR(__xludf.DUMMYFUNCTION("""COMPUTED_VALUE"""),0)</f>
        <v>0</v>
      </c>
      <c r="DV635" s="133">
        <f ca="1">IFERROR(__xludf.DUMMYFUNCTION("""COMPUTED_VALUE"""),0)</f>
        <v>0</v>
      </c>
      <c r="DW635" s="133">
        <f ca="1">IFERROR(__xludf.DUMMYFUNCTION("""COMPUTED_VALUE"""),0)</f>
        <v>0</v>
      </c>
      <c r="DX635" s="133">
        <f ca="1">IFERROR(__xludf.DUMMYFUNCTION("""COMPUTED_VALUE"""),1365429380)</f>
        <v>1365429380</v>
      </c>
      <c r="DY635" s="133">
        <f ca="1">IFERROR(__xludf.DUMMYFUNCTION("""COMPUTED_VALUE"""),0)</f>
        <v>0</v>
      </c>
      <c r="DZ635" s="133">
        <f ca="1">IFERROR(__xludf.DUMMYFUNCTION("""COMPUTED_VALUE"""),1365429380)</f>
        <v>1365429380</v>
      </c>
      <c r="EA635" s="4"/>
      <c r="EB635" s="4"/>
    </row>
    <row r="636" spans="1:132" x14ac:dyDescent="0.2">
      <c r="A636" s="4">
        <f ca="1">IFERROR(__xludf.DUMMYFUNCTION("""COMPUTED_VALUE"""),636)</f>
        <v>636</v>
      </c>
      <c r="B636" s="4">
        <f ca="1">IFERROR(__xludf.DUMMYFUNCTION("""COMPUTED_VALUE"""),607)</f>
        <v>607</v>
      </c>
      <c r="C636" s="4" t="str">
        <f ca="1">IFERROR(__xludf.DUMMYFUNCTION("""COMPUTED_VALUE"""),"SDATOOL-42449")</f>
        <v>SDATOOL-42449</v>
      </c>
      <c r="D636" s="4" t="str">
        <f ca="1">IFERROR(__xludf.DUMMYFUNCTION("""COMPUTED_VALUE"""),"Seguros - LIS Coaseguro Aceptado Autos Fase 2")</f>
        <v>Seguros - LIS Coaseguro Aceptado Autos Fase 2</v>
      </c>
      <c r="E636"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F636" s="4" t="str">
        <f ca="1">IFERROR(__xludf.DUMMYFUNCTION("""COMPUTED_VALUE"""),"Initiative")</f>
        <v>Initiative</v>
      </c>
      <c r="G636" s="4" t="str">
        <f ca="1">IFERROR(__xludf.DUMMYFUNCTION("""COMPUTED_VALUE"""),"Stock")</f>
        <v>Stock</v>
      </c>
      <c r="H636" s="4" t="str">
        <f ca="1">IFERROR(__xludf.DUMMYFUNCTION("""COMPUTED_VALUE"""),"4Q 2023")</f>
        <v>4Q 2023</v>
      </c>
      <c r="I636" s="131" t="str">
        <f ca="1">IFERROR(__xludf.DUMMYFUNCTION("""COMPUTED_VALUE"""),"katherine.michaels-bbva.com")</f>
        <v>katherine.michaels-bbva.com</v>
      </c>
      <c r="J636" s="131" t="str">
        <f ca="1">IFERROR(__xludf.DUMMYFUNCTION("""COMPUTED_VALUE"""),"yehimymeliza.santamaria-bbva.com")</f>
        <v>yehimymeliza.santamaria-bbva.com</v>
      </c>
      <c r="K636" s="131" t="str">
        <f ca="1">IFERROR(__xludf.DUMMYFUNCTION("""COMPUTED_VALUE"""),"felipe.guzman-bbva.com")</f>
        <v>felipe.guzman-bbva.com</v>
      </c>
      <c r="L636" s="4"/>
      <c r="M636" s="4"/>
      <c r="N636" s="4"/>
      <c r="O636" s="4" t="str">
        <f ca="1">IFERROR(__xludf.DUMMYFUNCTION("""COMPUTED_VALUE"""),"Waterfall")</f>
        <v>Waterfall</v>
      </c>
      <c r="P636" s="4" t="str">
        <f ca="1">IFERROR(__xludf.DUMMYFUNCTION("""COMPUTED_VALUE"""),"Tradicional")</f>
        <v>Tradicional</v>
      </c>
      <c r="Q636" s="4"/>
      <c r="R636" s="130" t="str">
        <f ca="1">IFERROR(__xludf.DUMMYFUNCTION("""COMPUTED_VALUE"""),"Insurance")</f>
        <v>Insurance</v>
      </c>
      <c r="S636" s="130" t="str">
        <f ca="1">IFERROR(__xludf.DUMMYFUNCTION("""COMPUTED_VALUE""")," Otros")</f>
        <v xml:space="preserve"> Otros</v>
      </c>
      <c r="T636" s="130" t="str">
        <f ca="1">IFERROR(__xludf.DUMMYFUNCTION("""COMPUTED_VALUE"""),"Otros")</f>
        <v>Otros</v>
      </c>
      <c r="U636" s="130" t="str">
        <f ca="1">IFERROR(__xludf.DUMMYFUNCTION("""COMPUTED_VALUE"""),"No Aplica")</f>
        <v>No Aplica</v>
      </c>
      <c r="V636" s="4" t="str">
        <f ca="1">IFERROR(__xludf.DUMMYFUNCTION("""COMPUTED_VALUE"""),"Seguros")</f>
        <v>Seguros</v>
      </c>
      <c r="W636" s="4">
        <f ca="1">IFERROR(__xludf.DUMMYFUNCTION("""COMPUTED_VALUE"""),3)</f>
        <v>3</v>
      </c>
      <c r="X636" s="4" t="str">
        <f ca="1">IFERROR(__xludf.DUMMYFUNCTION("""COMPUTED_VALUE"""),"10. Otros")</f>
        <v>10. Otros</v>
      </c>
      <c r="Y636" s="4" t="str">
        <f ca="1">IFERROR(__xludf.DUMMYFUNCTION("""COMPUTED_VALUE""")," Otros")</f>
        <v xml:space="preserve"> Otros</v>
      </c>
      <c r="Z636" s="132" t="str">
        <f ca="1">IFERROR(__xludf.DUMMYFUNCTION("""COMPUTED_VALUE"""),"713009")</f>
        <v>713009</v>
      </c>
      <c r="AA636" s="4" t="str">
        <f ca="1">IFERROR(__xludf.DUMMYFUNCTION("""COMPUTED_VALUE"""),"LIS Coaseguro Autos Deudores Sics Etapa 2")</f>
        <v>LIS Coaseguro Autos Deudores Sics Etapa 2</v>
      </c>
      <c r="AB636"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AC636" s="4" t="str">
        <f ca="1">IFERROR(__xludf.DUMMYFUNCTION("""COMPUTED_VALUE"""),"3Q 2023")</f>
        <v>3Q 2023</v>
      </c>
      <c r="AD636" s="4"/>
      <c r="AE636" s="4"/>
      <c r="AF636" s="4"/>
      <c r="AG636" s="4"/>
      <c r="AH636" s="4"/>
      <c r="AI636" s="4"/>
      <c r="AJ636" s="4"/>
      <c r="AK636" s="131" t="str">
        <f ca="1">IFERROR(__xludf.DUMMYFUNCTION("""COMPUTED_VALUE"""),"COLWSSEGUR-918")</f>
        <v>COLWSSEGUR-918</v>
      </c>
      <c r="AL636" s="4" t="str">
        <f ca="1">IFERROR(__xludf.DUMMYFUNCTION("""COMPUTED_VALUE"""),"New")</f>
        <v>New</v>
      </c>
      <c r="AM636" s="4"/>
      <c r="AN636" s="4" t="str">
        <f ca="1">IFERROR(__xludf.DUMMYFUNCTION("""COMPUTED_VALUE"""),"Entregable en backlog")</f>
        <v>Entregable en backlog</v>
      </c>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133">
        <f ca="1">IFERROR(__xludf.DUMMYFUNCTION("""COMPUTED_VALUE"""),0)</f>
        <v>0</v>
      </c>
      <c r="DV636" s="4"/>
      <c r="DW636" s="4"/>
      <c r="DX636" s="4"/>
      <c r="DY636" s="4"/>
      <c r="DZ636" s="4"/>
      <c r="EA636" s="4"/>
      <c r="EB636" s="4"/>
    </row>
    <row r="637" spans="1:132" x14ac:dyDescent="0.2">
      <c r="A637" s="4">
        <f ca="1">IFERROR(__xludf.DUMMYFUNCTION("""COMPUTED_VALUE"""),637)</f>
        <v>637</v>
      </c>
      <c r="B637" s="4">
        <f ca="1">IFERROR(__xludf.DUMMYFUNCTION("""COMPUTED_VALUE"""),608)</f>
        <v>608</v>
      </c>
      <c r="C637" s="4" t="str">
        <f ca="1">IFERROR(__xludf.DUMMYFUNCTION("""COMPUTED_VALUE"""),"SDATOOL-42296")</f>
        <v>SDATOOL-42296</v>
      </c>
      <c r="D637" s="4" t="str">
        <f ca="1">IFERROR(__xludf.DUMMYFUNCTION("""COMPUTED_VALUE"""),"Seguros - Externalización BEX")</f>
        <v>Seguros - Externalización BEX</v>
      </c>
      <c r="E637"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7" s="4" t="str">
        <f ca="1">IFERROR(__xludf.DUMMYFUNCTION("""COMPUTED_VALUE"""),"Initiative")</f>
        <v>Initiative</v>
      </c>
      <c r="G637" s="4" t="str">
        <f ca="1">IFERROR(__xludf.DUMMYFUNCTION("""COMPUTED_VALUE"""),"Flow")</f>
        <v>Flow</v>
      </c>
      <c r="H637" s="4" t="str">
        <f ca="1">IFERROR(__xludf.DUMMYFUNCTION("""COMPUTED_VALUE"""),"4Q 2023")</f>
        <v>4Q 2023</v>
      </c>
      <c r="I637" s="131" t="str">
        <f ca="1">IFERROR(__xludf.DUMMYFUNCTION("""COMPUTED_VALUE"""),"katherine.michaels-bbva.com")</f>
        <v>katherine.michaels-bbva.com</v>
      </c>
      <c r="J637" s="131" t="str">
        <f ca="1">IFERROR(__xludf.DUMMYFUNCTION("""COMPUTED_VALUE"""),"monicaandrea.rodriguez.penago-bbva.com")</f>
        <v>monicaandrea.rodriguez.penago-bbva.com</v>
      </c>
      <c r="K637" s="131" t="str">
        <f ca="1">IFERROR(__xludf.DUMMYFUNCTION("""COMPUTED_VALUE"""),"felipe.guzman-bbva.com")</f>
        <v>felipe.guzman-bbva.com</v>
      </c>
      <c r="L637" s="130">
        <f ca="1">IFERROR(__xludf.DUMMYFUNCTION("""COMPUTED_VALUE"""),0)</f>
        <v>0</v>
      </c>
      <c r="M637" s="130">
        <f ca="1">IFERROR(__xludf.DUMMYFUNCTION("""COMPUTED_VALUE"""),0)</f>
        <v>0</v>
      </c>
      <c r="N637" s="130">
        <f ca="1">IFERROR(__xludf.DUMMYFUNCTION("""COMPUTED_VALUE"""),0)</f>
        <v>0</v>
      </c>
      <c r="O637" s="4" t="str">
        <f ca="1">IFERROR(__xludf.DUMMYFUNCTION("""COMPUTED_VALUE"""),"Waterfall")</f>
        <v>Waterfall</v>
      </c>
      <c r="P637" s="4" t="str">
        <f ca="1">IFERROR(__xludf.DUMMYFUNCTION("""COMPUTED_VALUE"""),"Tradicional")</f>
        <v>Tradicional</v>
      </c>
      <c r="Q637" s="4"/>
      <c r="R637" s="130" t="str">
        <f ca="1">IFERROR(__xludf.DUMMYFUNCTION("""COMPUTED_VALUE"""),"Insurance")</f>
        <v>Insurance</v>
      </c>
      <c r="S637" s="130" t="str">
        <f ca="1">IFERROR(__xludf.DUMMYFUNCTION("""COMPUTED_VALUE""")," Otros")</f>
        <v xml:space="preserve"> Otros</v>
      </c>
      <c r="T637" s="130" t="str">
        <f ca="1">IFERROR(__xludf.DUMMYFUNCTION("""COMPUTED_VALUE"""),"Otros")</f>
        <v>Otros</v>
      </c>
      <c r="U637" s="130" t="str">
        <f ca="1">IFERROR(__xludf.DUMMYFUNCTION("""COMPUTED_VALUE"""),"No Aplica")</f>
        <v>No Aplica</v>
      </c>
      <c r="V637" s="4" t="str">
        <f ca="1">IFERROR(__xludf.DUMMYFUNCTION("""COMPUTED_VALUE"""),"Seguros")</f>
        <v>Seguros</v>
      </c>
      <c r="W637" s="4">
        <f ca="1">IFERROR(__xludf.DUMMYFUNCTION("""COMPUTED_VALUE"""),3)</f>
        <v>3</v>
      </c>
      <c r="X637" s="4" t="str">
        <f ca="1">IFERROR(__xludf.DUMMYFUNCTION("""COMPUTED_VALUE"""),"10. Otros")</f>
        <v>10. Otros</v>
      </c>
      <c r="Y637" s="4" t="str">
        <f ca="1">IFERROR(__xludf.DUMMYFUNCTION("""COMPUTED_VALUE""")," Otros")</f>
        <v xml:space="preserve"> Otros</v>
      </c>
      <c r="Z637" s="132" t="str">
        <f ca="1">IFERROR(__xludf.DUMMYFUNCTION("""COMPUTED_VALUE"""),"713342")</f>
        <v>713342</v>
      </c>
      <c r="AA637" s="4" t="str">
        <f ca="1">IFERROR(__xludf.DUMMYFUNCTION("""COMPUTED_VALUE"""),"Externalización BEX - Expedición")</f>
        <v>Externalización BEX - Expedición</v>
      </c>
      <c r="AB637" s="4" t="str">
        <f ca="1">IFERROR(__xludf.DUMMYFUNCTION("""COMPUTED_VALUE"""),"Se requiere externalizar el proceso de expedición de mercado abierto, el cual inicia con la solicitud de movimientos en las pólizas por parte del área comercial y culmina con la entrega de el certificado emitido por los sistemas de la aseguradora.")</f>
        <v>Se requiere externalizar el proceso de expedición de mercado abierto, el cual inicia con la solicitud de movimientos en las pólizas por parte del área comercial y culmina con la entrega de el certificado emitido por los sistemas de la aseguradora.</v>
      </c>
      <c r="AC637" s="4" t="str">
        <f ca="1">IFERROR(__xludf.DUMMYFUNCTION("""COMPUTED_VALUE"""),"3Q 2023")</f>
        <v>3Q 2023</v>
      </c>
      <c r="AD637" s="4"/>
      <c r="AE637" s="4"/>
      <c r="AF637" s="4"/>
      <c r="AG637" s="4"/>
      <c r="AH637" s="4"/>
      <c r="AI637" s="4"/>
      <c r="AJ637" s="4"/>
      <c r="AK637" s="131" t="str">
        <f ca="1">IFERROR(__xludf.DUMMYFUNCTION("""COMPUTED_VALUE"""),"COLWSSEGUR-1629")</f>
        <v>COLWSSEGUR-1629</v>
      </c>
      <c r="AL637" s="4" t="str">
        <f ca="1">IFERROR(__xludf.DUMMYFUNCTION("""COMPUTED_VALUE"""),"New")</f>
        <v>New</v>
      </c>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row>
    <row r="638" spans="1:132" x14ac:dyDescent="0.2">
      <c r="A638" s="4">
        <f ca="1">IFERROR(__xludf.DUMMYFUNCTION("""COMPUTED_VALUE"""),638)</f>
        <v>638</v>
      </c>
      <c r="B638" s="4">
        <f ca="1">IFERROR(__xludf.DUMMYFUNCTION("""COMPUTED_VALUE"""),609)</f>
        <v>609</v>
      </c>
      <c r="C638" s="4" t="str">
        <f ca="1">IFERROR(__xludf.DUMMYFUNCTION("""COMPUTED_VALUE"""),"SDATOOL-42296")</f>
        <v>SDATOOL-42296</v>
      </c>
      <c r="D638" s="4" t="str">
        <f ca="1">IFERROR(__xludf.DUMMYFUNCTION("""COMPUTED_VALUE"""),"Seguros - Externalización BEX")</f>
        <v>Seguros - Externalización BEX</v>
      </c>
      <c r="E638"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8" s="4" t="str">
        <f ca="1">IFERROR(__xludf.DUMMYFUNCTION("""COMPUTED_VALUE"""),"Initiative")</f>
        <v>Initiative</v>
      </c>
      <c r="G638" s="4" t="str">
        <f ca="1">IFERROR(__xludf.DUMMYFUNCTION("""COMPUTED_VALUE"""),"Flow")</f>
        <v>Flow</v>
      </c>
      <c r="H638" s="4" t="str">
        <f ca="1">IFERROR(__xludf.DUMMYFUNCTION("""COMPUTED_VALUE"""),"4Q 2023")</f>
        <v>4Q 2023</v>
      </c>
      <c r="I638" s="131" t="str">
        <f ca="1">IFERROR(__xludf.DUMMYFUNCTION("""COMPUTED_VALUE"""),"katherine.michaels-bbva.com")</f>
        <v>katherine.michaels-bbva.com</v>
      </c>
      <c r="J638" s="131" t="str">
        <f ca="1">IFERROR(__xludf.DUMMYFUNCTION("""COMPUTED_VALUE"""),"monicaandrea.rodriguez.penago-bbva.com")</f>
        <v>monicaandrea.rodriguez.penago-bbva.com</v>
      </c>
      <c r="K638" s="131" t="str">
        <f ca="1">IFERROR(__xludf.DUMMYFUNCTION("""COMPUTED_VALUE"""),"felipe.guzman-bbva.com")</f>
        <v>felipe.guzman-bbva.com</v>
      </c>
      <c r="L638" s="4"/>
      <c r="M638" s="4"/>
      <c r="N638" s="4"/>
      <c r="O638" s="4" t="str">
        <f ca="1">IFERROR(__xludf.DUMMYFUNCTION("""COMPUTED_VALUE"""),"Waterfall")</f>
        <v>Waterfall</v>
      </c>
      <c r="P638" s="4" t="str">
        <f ca="1">IFERROR(__xludf.DUMMYFUNCTION("""COMPUTED_VALUE"""),"Tradicional")</f>
        <v>Tradicional</v>
      </c>
      <c r="Q638" s="4"/>
      <c r="R638" s="130" t="str">
        <f ca="1">IFERROR(__xludf.DUMMYFUNCTION("""COMPUTED_VALUE"""),"Insurance")</f>
        <v>Insurance</v>
      </c>
      <c r="S638" s="130" t="str">
        <f ca="1">IFERROR(__xludf.DUMMYFUNCTION("""COMPUTED_VALUE""")," Otros")</f>
        <v xml:space="preserve"> Otros</v>
      </c>
      <c r="T638" s="130" t="str">
        <f ca="1">IFERROR(__xludf.DUMMYFUNCTION("""COMPUTED_VALUE"""),"Otros")</f>
        <v>Otros</v>
      </c>
      <c r="U638" s="130" t="str">
        <f ca="1">IFERROR(__xludf.DUMMYFUNCTION("""COMPUTED_VALUE"""),"No Aplica")</f>
        <v>No Aplica</v>
      </c>
      <c r="V638" s="4" t="str">
        <f ca="1">IFERROR(__xludf.DUMMYFUNCTION("""COMPUTED_VALUE"""),"Seguros")</f>
        <v>Seguros</v>
      </c>
      <c r="W638" s="4">
        <f ca="1">IFERROR(__xludf.DUMMYFUNCTION("""COMPUTED_VALUE"""),3)</f>
        <v>3</v>
      </c>
      <c r="X638" s="4" t="str">
        <f ca="1">IFERROR(__xludf.DUMMYFUNCTION("""COMPUTED_VALUE"""),"10. Otros")</f>
        <v>10. Otros</v>
      </c>
      <c r="Y638" s="4" t="str">
        <f ca="1">IFERROR(__xludf.DUMMYFUNCTION("""COMPUTED_VALUE""")," Otros")</f>
        <v xml:space="preserve"> Otros</v>
      </c>
      <c r="Z638" s="132" t="str">
        <f ca="1">IFERROR(__xludf.DUMMYFUNCTION("""COMPUTED_VALUE"""),"713343")</f>
        <v>713343</v>
      </c>
      <c r="AA638" s="4" t="str">
        <f ca="1">IFERROR(__xludf.DUMMYFUNCTION("""COMPUTED_VALUE"""),"Externalización BEX - Siniestros baja complejidad")</f>
        <v>Externalización BEX - Siniestros baja complejidad</v>
      </c>
      <c r="AB638" s="4" t="str">
        <f ca="1">IFERROR(__xludf.DUMMYFUNCTION("""COMPUTED_VALUE"""),"Externalizar el proceso de siniestros baja complejidad (vida inferiores a 50 millones y remesas de coaseguro aceptado autos y generales) desde la recepción de avisos de siniestro hasta la definición de los mismos (pago u objeción).")</f>
        <v>Externalizar el proceso de siniestros baja complejidad (vida inferiores a 50 millones y remesas de coaseguro aceptado autos y generales) desde la recepción de avisos de siniestro hasta la definición de los mismos (pago u objeción).</v>
      </c>
      <c r="AC638" s="4" t="str">
        <f ca="1">IFERROR(__xludf.DUMMYFUNCTION("""COMPUTED_VALUE"""),"3Q 2023")</f>
        <v>3Q 2023</v>
      </c>
      <c r="AD638" s="4"/>
      <c r="AE638" s="4"/>
      <c r="AF638" s="4"/>
      <c r="AG638" s="4"/>
      <c r="AH638" s="4"/>
      <c r="AI638" s="4"/>
      <c r="AJ638" s="4"/>
      <c r="AK638" s="131" t="str">
        <f ca="1">IFERROR(__xludf.DUMMYFUNCTION("""COMPUTED_VALUE"""),"COLWSSEGUR-1631")</f>
        <v>COLWSSEGUR-1631</v>
      </c>
      <c r="AL638" s="4" t="str">
        <f ca="1">IFERROR(__xludf.DUMMYFUNCTION("""COMPUTED_VALUE"""),"New")</f>
        <v>New</v>
      </c>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row>
    <row r="639" spans="1:132" x14ac:dyDescent="0.2">
      <c r="A639" s="4">
        <f ca="1">IFERROR(__xludf.DUMMYFUNCTION("""COMPUTED_VALUE"""),639)</f>
        <v>639</v>
      </c>
      <c r="B639" s="4">
        <f ca="1">IFERROR(__xludf.DUMMYFUNCTION("""COMPUTED_VALUE"""),610)</f>
        <v>610</v>
      </c>
      <c r="C639" s="4" t="str">
        <f ca="1">IFERROR(__xludf.DUMMYFUNCTION("""COMPUTED_VALUE"""),"SDATOOL-42210")</f>
        <v>SDATOOL-42210</v>
      </c>
      <c r="D639" s="4" t="str">
        <f ca="1">IFERROR(__xludf.DUMMYFUNCTION("""COMPUTED_VALUE"""),"Seguros -Cuota Segura créditos de libranza")</f>
        <v>Seguros -Cuota Segura créditos de libranza</v>
      </c>
      <c r="E63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639" s="4" t="str">
        <f ca="1">IFERROR(__xludf.DUMMYFUNCTION("""COMPUTED_VALUE"""),"Initiative")</f>
        <v>Initiative</v>
      </c>
      <c r="G639" s="4" t="str">
        <f ca="1">IFERROR(__xludf.DUMMYFUNCTION("""COMPUTED_VALUE"""),"Flow")</f>
        <v>Flow</v>
      </c>
      <c r="H639" s="4" t="str">
        <f ca="1">IFERROR(__xludf.DUMMYFUNCTION("""COMPUTED_VALUE"""),"4Q 2023")</f>
        <v>4Q 2023</v>
      </c>
      <c r="I639" s="131" t="str">
        <f ca="1">IFERROR(__xludf.DUMMYFUNCTION("""COMPUTED_VALUE"""),"katherine.michaels-bbva.com")</f>
        <v>katherine.michaels-bbva.com</v>
      </c>
      <c r="J639" s="131" t="str">
        <f ca="1">IFERROR(__xludf.DUMMYFUNCTION("""COMPUTED_VALUE"""),"dianacarolina.gonzalez.castri-bbva.com")</f>
        <v>dianacarolina.gonzalez.castri-bbva.com</v>
      </c>
      <c r="K639" s="131" t="str">
        <f ca="1">IFERROR(__xludf.DUMMYFUNCTION("""COMPUTED_VALUE"""),"felipe.guzman-bbva.com")</f>
        <v>felipe.guzman-bbva.com</v>
      </c>
      <c r="L639" s="130">
        <f ca="1">IFERROR(__xludf.DUMMYFUNCTION("""COMPUTED_VALUE"""),0)</f>
        <v>0</v>
      </c>
      <c r="M639" s="130">
        <f ca="1">IFERROR(__xludf.DUMMYFUNCTION("""COMPUTED_VALUE"""),0)</f>
        <v>0</v>
      </c>
      <c r="N639" s="130">
        <f ca="1">IFERROR(__xludf.DUMMYFUNCTION("""COMPUTED_VALUE"""),0)</f>
        <v>0</v>
      </c>
      <c r="O639" s="4" t="str">
        <f ca="1">IFERROR(__xludf.DUMMYFUNCTION("""COMPUTED_VALUE"""),"Waterfall")</f>
        <v>Waterfall</v>
      </c>
      <c r="P639" s="4" t="str">
        <f ca="1">IFERROR(__xludf.DUMMYFUNCTION("""COMPUTED_VALUE"""),"Tradicional")</f>
        <v>Tradicional</v>
      </c>
      <c r="Q639" s="4"/>
      <c r="R639" s="130" t="str">
        <f ca="1">IFERROR(__xludf.DUMMYFUNCTION("""COMPUTED_VALUE"""),"Insurance")</f>
        <v>Insurance</v>
      </c>
      <c r="S639" s="130" t="str">
        <f ca="1">IFERROR(__xludf.DUMMYFUNCTION("""COMPUTED_VALUE""")," Otros")</f>
        <v xml:space="preserve"> Otros</v>
      </c>
      <c r="T639" s="130" t="str">
        <f ca="1">IFERROR(__xludf.DUMMYFUNCTION("""COMPUTED_VALUE"""),"Otros")</f>
        <v>Otros</v>
      </c>
      <c r="U639" s="130" t="str">
        <f ca="1">IFERROR(__xludf.DUMMYFUNCTION("""COMPUTED_VALUE"""),"No Aplica")</f>
        <v>No Aplica</v>
      </c>
      <c r="V639" s="4" t="str">
        <f ca="1">IFERROR(__xludf.DUMMYFUNCTION("""COMPUTED_VALUE"""),"Seguros")</f>
        <v>Seguros</v>
      </c>
      <c r="W639" s="4">
        <f ca="1">IFERROR(__xludf.DUMMYFUNCTION("""COMPUTED_VALUE"""),3)</f>
        <v>3</v>
      </c>
      <c r="X639" s="4" t="str">
        <f ca="1">IFERROR(__xludf.DUMMYFUNCTION("""COMPUTED_VALUE"""),"10. Otros")</f>
        <v>10. Otros</v>
      </c>
      <c r="Y639" s="4" t="str">
        <f ca="1">IFERROR(__xludf.DUMMYFUNCTION("""COMPUTED_VALUE""")," Otros")</f>
        <v xml:space="preserve"> Otros</v>
      </c>
      <c r="Z639" s="132" t="str">
        <f ca="1">IFERROR(__xludf.DUMMYFUNCTION("""COMPUTED_VALUE"""),"713267")</f>
        <v>713267</v>
      </c>
      <c r="AA639" s="4" t="str">
        <f ca="1">IFERROR(__xludf.DUMMYFUNCTION("""COMPUTED_VALUE"""),"Cuota Segura/Créditos de libranza (SEGUROS)")</f>
        <v>Cuota Segura/Créditos de libranza (SEGUROS)</v>
      </c>
      <c r="AB639" s="4" t="str">
        <f ca="1">IFERROR(__xludf.DUMMYFUNCTION("""COMPUTED_VALUE"""),"Implementar la opción de vinculación del seguro voluntario ""cuota segura"" para clientes dependientes  e independientes que contraten créditos de libranzas con BBVA a convenios y subprodutos autorizados por el área de negocio de libranza.")</f>
        <v>Implementar la opción de vinculación del seguro voluntario "cuota segura" para clientes dependientes  e independientes que contraten créditos de libranzas con BBVA a convenios y subprodutos autorizados por el área de negocio de libranza.</v>
      </c>
      <c r="AC639" s="4" t="str">
        <f ca="1">IFERROR(__xludf.DUMMYFUNCTION("""COMPUTED_VALUE"""),"4Q 2023")</f>
        <v>4Q 2023</v>
      </c>
      <c r="AD639" s="4"/>
      <c r="AE639" s="4"/>
      <c r="AF639" s="4"/>
      <c r="AG639" s="4"/>
      <c r="AH639" s="4"/>
      <c r="AI639" s="4"/>
      <c r="AJ639" s="4"/>
      <c r="AK639" s="131" t="str">
        <f ca="1">IFERROR(__xludf.DUMMYFUNCTION("""COMPUTED_VALUE"""),"COLWSSEGUR-1622")</f>
        <v>COLWSSEGUR-1622</v>
      </c>
      <c r="AL639" s="4" t="str">
        <f ca="1">IFERROR(__xludf.DUMMYFUNCTION("""COMPUTED_VALUE"""),"New")</f>
        <v>New</v>
      </c>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row>
    <row r="640" spans="1:132" x14ac:dyDescent="0.2">
      <c r="A640" s="4">
        <f ca="1">IFERROR(__xludf.DUMMYFUNCTION("""COMPUTED_VALUE"""),640)</f>
        <v>640</v>
      </c>
      <c r="B640" s="4">
        <f ca="1">IFERROR(__xludf.DUMMYFUNCTION("""COMPUTED_VALUE"""),611)</f>
        <v>611</v>
      </c>
      <c r="C640" s="4" t="str">
        <f ca="1">IFERROR(__xludf.DUMMYFUNCTION("""COMPUTED_VALUE"""),"SDATOOL-39282")</f>
        <v>SDATOOL-39282</v>
      </c>
      <c r="D640" s="4" t="str">
        <f ca="1">IFERROR(__xludf.DUMMYFUNCTION("""COMPUTED_VALUE"""),"Fiduciaria - Alta y domiciliación Fondos de inversión jurídicos en Gema")</f>
        <v>Fiduciaria - Alta y domiciliación Fondos de inversión jurídicos en Gema</v>
      </c>
      <c r="E640" s="4" t="str">
        <f ca="1">IFERROR(__xludf.DUMMYFUNCTION("""COMPUTED_VALUE"""),"Realizar la Implementación del Alta de Fondos por GEMA, para personas Jurídicas, la contratación del fondo debe ser 100% digital")</f>
        <v>Realizar la Implementación del Alta de Fondos por GEMA, para personas Jurídicas, la contratación del fondo debe ser 100% digital</v>
      </c>
      <c r="F640" s="4" t="str">
        <f ca="1">IFERROR(__xludf.DUMMYFUNCTION("""COMPUTED_VALUE"""),"Project")</f>
        <v>Project</v>
      </c>
      <c r="G640" s="4" t="str">
        <f ca="1">IFERROR(__xludf.DUMMYFUNCTION("""COMPUTED_VALUE"""),"Stock")</f>
        <v>Stock</v>
      </c>
      <c r="H640" s="4" t="str">
        <f ca="1">IFERROR(__xludf.DUMMYFUNCTION("""COMPUTED_VALUE"""),"4Q 2023")</f>
        <v>4Q 2023</v>
      </c>
      <c r="I640" s="131" t="str">
        <f ca="1">IFERROR(__xludf.DUMMYFUNCTION("""COMPUTED_VALUE"""),"juan.orozco-bbva.com")</f>
        <v>juan.orozco-bbva.com</v>
      </c>
      <c r="J640" s="131" t="str">
        <f ca="1">IFERROR(__xludf.DUMMYFUNCTION("""COMPUTED_VALUE"""),"jorge.blanco-bbva.com")</f>
        <v>jorge.blanco-bbva.com</v>
      </c>
      <c r="K640" s="131" t="str">
        <f ca="1">IFERROR(__xludf.DUMMYFUNCTION("""COMPUTED_VALUE"""),"fernando.garciameza-bbva.com")</f>
        <v>fernando.garciameza-bbva.com</v>
      </c>
      <c r="L640" s="130">
        <f ca="1">IFERROR(__xludf.DUMMYFUNCTION("""COMPUTED_VALUE"""),0.25)</f>
        <v>0.25</v>
      </c>
      <c r="M640" s="130">
        <f ca="1">IFERROR(__xludf.DUMMYFUNCTION("""COMPUTED_VALUE"""),0)</f>
        <v>0</v>
      </c>
      <c r="N640" s="130">
        <f ca="1">IFERROR(__xludf.DUMMYFUNCTION("""COMPUTED_VALUE"""),0)</f>
        <v>0</v>
      </c>
      <c r="O640" s="4" t="str">
        <f ca="1">IFERROR(__xludf.DUMMYFUNCTION("""COMPUTED_VALUE"""),"Scrum")</f>
        <v>Scrum</v>
      </c>
      <c r="P640" s="4" t="str">
        <f ca="1">IFERROR(__xludf.DUMMYFUNCTION("""COMPUTED_VALUE"""),"Futurama")</f>
        <v>Futurama</v>
      </c>
      <c r="Q640" s="130">
        <f ca="1">IFERROR(__xludf.DUMMYFUNCTION("""COMPUTED_VALUE"""),1)</f>
        <v>1</v>
      </c>
      <c r="R640" s="130" t="str">
        <f ca="1">IFERROR(__xludf.DUMMYFUNCTION("""COMPUTED_VALUE"""),"Asset Management		")</f>
        <v xml:space="preserve">Asset Management		</v>
      </c>
      <c r="S640" s="130" t="str">
        <f ca="1">IFERROR(__xludf.DUMMYFUNCTION("""COMPUTED_VALUE"""),"Strategic Review")</f>
        <v>Strategic Review</v>
      </c>
      <c r="T640" s="130" t="str">
        <f ca="1">IFERROR(__xludf.DUMMYFUNCTION("""COMPUTED_VALUE"""),"1. Generación de Ingresos")</f>
        <v>1. Generación de Ingresos</v>
      </c>
      <c r="U640" s="130" t="str">
        <f ca="1">IFERROR(__xludf.DUMMYFUNCTION("""COMPUTED_VALUE"""),"1.5. Otros de Proyectos de Ingresos")</f>
        <v>1.5. Otros de Proyectos de Ingresos</v>
      </c>
      <c r="V640" s="4" t="str">
        <f ca="1">IFERROR(__xludf.DUMMYFUNCTION("""COMPUTED_VALUE"""),"Fiduciaria")</f>
        <v>Fiduciaria</v>
      </c>
      <c r="W640" s="4">
        <f ca="1">IFERROR(__xludf.DUMMYFUNCTION("""COMPUTED_VALUE"""),1)</f>
        <v>1</v>
      </c>
      <c r="X640" s="4" t="str">
        <f ca="1">IFERROR(__xludf.DUMMYFUNCTION("""COMPUTED_VALUE"""),"07. Asset management")</f>
        <v>07. Asset management</v>
      </c>
      <c r="Y640" s="4" t="str">
        <f ca="1">IFERROR(__xludf.DUMMYFUNCTION("""COMPUTED_VALUE"""),"3.1.1 Asset Management")</f>
        <v>3.1.1 Asset Management</v>
      </c>
      <c r="Z640" s="132" t="str">
        <f ca="1">IFERROR(__xludf.DUMMYFUNCTION("""COMPUTED_VALUE"""),"444390")</f>
        <v>444390</v>
      </c>
      <c r="AA640" s="4" t="str">
        <f ca="1">IFERROR(__xludf.DUMMYFUNCTION("""COMPUTED_VALUE"""),"Alta de fondo en Gema Móvil para clientes personas jurídicas")</f>
        <v>Alta de fondo en Gema Móvil para clientes personas jurídicas</v>
      </c>
      <c r="AB640" s="4" t="str">
        <f ca="1">IFERROR(__xludf.DUMMYFUNCTION("""COMPUTED_VALUE"""),"Alta de fondo en Gema Móvil para clientes personas jurídicas")</f>
        <v>Alta de fondo en Gema Móvil para clientes personas jurídicas</v>
      </c>
      <c r="AC640" s="4" t="str">
        <f ca="1">IFERROR(__xludf.DUMMYFUNCTION("""COMPUTED_VALUE"""),"3Q 2023")</f>
        <v>3Q 2023</v>
      </c>
      <c r="AD640" s="128" t="str">
        <f ca="1">IFERROR(__xludf.DUMMYFUNCTION("""COMPUTED_VALUE"""),"-")</f>
        <v>-</v>
      </c>
      <c r="AE640" s="128" t="str">
        <f ca="1">IFERROR(__xludf.DUMMYFUNCTION("""COMPUTED_VALUE"""),"-")</f>
        <v>-</v>
      </c>
      <c r="AF640" s="128" t="str">
        <f ca="1">IFERROR(__xludf.DUMMYFUNCTION("""COMPUTED_VALUE"""),"-")</f>
        <v>-</v>
      </c>
      <c r="AG640" s="128" t="str">
        <f ca="1">IFERROR(__xludf.DUMMYFUNCTION("""COMPUTED_VALUE"""),"-")</f>
        <v>-</v>
      </c>
      <c r="AH640" s="128" t="str">
        <f ca="1">IFERROR(__xludf.DUMMYFUNCTION("""COMPUTED_VALUE"""),"-")</f>
        <v>-</v>
      </c>
      <c r="AI640" s="128" t="str">
        <f ca="1">IFERROR(__xludf.DUMMYFUNCTION("""COMPUTED_VALUE"""),"-")</f>
        <v>-</v>
      </c>
      <c r="AJ640" s="128" t="str">
        <f ca="1">IFERROR(__xludf.DUMMYFUNCTION("""COMPUTED_VALUE"""),"-")</f>
        <v>-</v>
      </c>
      <c r="AK640" s="131" t="str">
        <f ca="1">IFERROR(__xludf.DUMMYFUNCTION("""COMPUTED_VALUE"""),"COLWSCUENT-1329")</f>
        <v>COLWSCUENT-1329</v>
      </c>
      <c r="AL640" s="4" t="str">
        <f ca="1">IFERROR(__xludf.DUMMYFUNCTION("""COMPUTED_VALUE"""),"New")</f>
        <v>New</v>
      </c>
      <c r="AM640" s="4"/>
      <c r="AN640" s="4" t="str">
        <f ca="1">IFERROR(__xludf.DUMMYFUNCTION("""COMPUTED_VALUE"""),"Entregable en backlog")</f>
        <v>Entregable en backlog</v>
      </c>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133">
        <f ca="1">IFERROR(__xludf.DUMMYFUNCTION("""COMPUTED_VALUE"""),0)</f>
        <v>0</v>
      </c>
      <c r="DV640" s="133">
        <f ca="1">IFERROR(__xludf.DUMMYFUNCTION("""COMPUTED_VALUE"""),0)</f>
        <v>0</v>
      </c>
      <c r="DW640" s="133">
        <f ca="1">IFERROR(__xludf.DUMMYFUNCTION("""COMPUTED_VALUE"""),0)</f>
        <v>0</v>
      </c>
      <c r="DX640" s="133">
        <f ca="1">IFERROR(__xludf.DUMMYFUNCTION("""COMPUTED_VALUE"""),287000000)</f>
        <v>287000000</v>
      </c>
      <c r="DY640" s="133">
        <f ca="1">IFERROR(__xludf.DUMMYFUNCTION("""COMPUTED_VALUE"""),0)</f>
        <v>0</v>
      </c>
      <c r="DZ640" s="133">
        <f ca="1">IFERROR(__xludf.DUMMYFUNCTION("""COMPUTED_VALUE"""),287000000)</f>
        <v>287000000</v>
      </c>
      <c r="EA640" s="4"/>
      <c r="EB640" s="4"/>
    </row>
    <row r="641" spans="1:132" x14ac:dyDescent="0.2">
      <c r="A641" s="4">
        <f ca="1">IFERROR(__xludf.DUMMYFUNCTION("""COMPUTED_VALUE"""),641)</f>
        <v>641</v>
      </c>
      <c r="B641" s="4">
        <f ca="1">IFERROR(__xludf.DUMMYFUNCTION("""COMPUTED_VALUE"""),612)</f>
        <v>612</v>
      </c>
      <c r="C641" s="4" t="str">
        <f ca="1">IFERROR(__xludf.DUMMYFUNCTION("""COMPUTED_VALUE"""),"SDATOOL-39282")</f>
        <v>SDATOOL-39282</v>
      </c>
      <c r="D641" s="4" t="str">
        <f ca="1">IFERROR(__xludf.DUMMYFUNCTION("""COMPUTED_VALUE"""),"Fiduciaria - Alta y domiciliación Fondos de inversión jurídicos en Gema")</f>
        <v>Fiduciaria - Alta y domiciliación Fondos de inversión jurídicos en Gema</v>
      </c>
      <c r="E641" s="4" t="str">
        <f ca="1">IFERROR(__xludf.DUMMYFUNCTION("""COMPUTED_VALUE"""),"Realizar la Implementación del Alta de Fondos por GEMA, para personas Jurídicas, la contratación del fondo debe ser 100% digital")</f>
        <v>Realizar la Implementación del Alta de Fondos por GEMA, para personas Jurídicas, la contratación del fondo debe ser 100% digital</v>
      </c>
      <c r="F641" s="4" t="str">
        <f ca="1">IFERROR(__xludf.DUMMYFUNCTION("""COMPUTED_VALUE"""),"Project")</f>
        <v>Project</v>
      </c>
      <c r="G641" s="4" t="str">
        <f ca="1">IFERROR(__xludf.DUMMYFUNCTION("""COMPUTED_VALUE"""),"Stock")</f>
        <v>Stock</v>
      </c>
      <c r="H641" s="4" t="str">
        <f ca="1">IFERROR(__xludf.DUMMYFUNCTION("""COMPUTED_VALUE"""),"4Q 2023")</f>
        <v>4Q 2023</v>
      </c>
      <c r="I641" s="131" t="str">
        <f ca="1">IFERROR(__xludf.DUMMYFUNCTION("""COMPUTED_VALUE"""),"juan.orozco-bbva.com")</f>
        <v>juan.orozco-bbva.com</v>
      </c>
      <c r="J641" s="131" t="str">
        <f ca="1">IFERROR(__xludf.DUMMYFUNCTION("""COMPUTED_VALUE"""),"jorge.blanco-bbva.com")</f>
        <v>jorge.blanco-bbva.com</v>
      </c>
      <c r="K641" s="131" t="str">
        <f ca="1">IFERROR(__xludf.DUMMYFUNCTION("""COMPUTED_VALUE"""),"fernando.garciameza-bbva.com")</f>
        <v>fernando.garciameza-bbva.com</v>
      </c>
      <c r="L641" s="4"/>
      <c r="M641" s="4"/>
      <c r="N641" s="4"/>
      <c r="O641" s="4" t="str">
        <f ca="1">IFERROR(__xludf.DUMMYFUNCTION("""COMPUTED_VALUE"""),"Scrum")</f>
        <v>Scrum</v>
      </c>
      <c r="P641" s="4" t="str">
        <f ca="1">IFERROR(__xludf.DUMMYFUNCTION("""COMPUTED_VALUE"""),"Futurama")</f>
        <v>Futurama</v>
      </c>
      <c r="Q641" s="4"/>
      <c r="R641" s="130" t="str">
        <f ca="1">IFERROR(__xludf.DUMMYFUNCTION("""COMPUTED_VALUE"""),"Asset Management		")</f>
        <v xml:space="preserve">Asset Management		</v>
      </c>
      <c r="S641" s="130" t="str">
        <f ca="1">IFERROR(__xludf.DUMMYFUNCTION("""COMPUTED_VALUE"""),"Strategic Review")</f>
        <v>Strategic Review</v>
      </c>
      <c r="T641" s="130" t="str">
        <f ca="1">IFERROR(__xludf.DUMMYFUNCTION("""COMPUTED_VALUE"""),"1. Generación de Ingresos")</f>
        <v>1. Generación de Ingresos</v>
      </c>
      <c r="U641" s="130" t="str">
        <f ca="1">IFERROR(__xludf.DUMMYFUNCTION("""COMPUTED_VALUE"""),"1.5. Otros de Proyectos de Ingresos")</f>
        <v>1.5. Otros de Proyectos de Ingresos</v>
      </c>
      <c r="V641" s="4" t="str">
        <f ca="1">IFERROR(__xludf.DUMMYFUNCTION("""COMPUTED_VALUE"""),"Fiduciaria")</f>
        <v>Fiduciaria</v>
      </c>
      <c r="W641" s="4">
        <f ca="1">IFERROR(__xludf.DUMMYFUNCTION("""COMPUTED_VALUE"""),1)</f>
        <v>1</v>
      </c>
      <c r="X641" s="4" t="str">
        <f ca="1">IFERROR(__xludf.DUMMYFUNCTION("""COMPUTED_VALUE"""),"07. Asset management")</f>
        <v>07. Asset management</v>
      </c>
      <c r="Y641" s="4" t="str">
        <f ca="1">IFERROR(__xludf.DUMMYFUNCTION("""COMPUTED_VALUE"""),"3.1.1 Asset Management")</f>
        <v>3.1.1 Asset Management</v>
      </c>
      <c r="Z641" s="132" t="str">
        <f ca="1">IFERROR(__xludf.DUMMYFUNCTION("""COMPUTED_VALUE"""),"444391")</f>
        <v>444391</v>
      </c>
      <c r="AA641" s="4" t="str">
        <f ca="1">IFERROR(__xludf.DUMMYFUNCTION("""COMPUTED_VALUE"""),"Domiciliación automática de recursos mensuales")</f>
        <v>Domiciliación automática de recursos mensuales</v>
      </c>
      <c r="AB641" s="4" t="str">
        <f ca="1">IFERROR(__xludf.DUMMYFUNCTION("""COMPUTED_VALUE"""),"Implementar la automatización de los aportes recurrentes mensuales programados por nuestros clientes jurídicos en la plataforma Gema Móvil")</f>
        <v>Implementar la automatización de los aportes recurrentes mensuales programados por nuestros clientes jurídicos en la plataforma Gema Móvil</v>
      </c>
      <c r="AC641" s="4" t="str">
        <f ca="1">IFERROR(__xludf.DUMMYFUNCTION("""COMPUTED_VALUE"""),"3Q 2023")</f>
        <v>3Q 2023</v>
      </c>
      <c r="AD641" s="4"/>
      <c r="AE641" s="4"/>
      <c r="AF641" s="4"/>
      <c r="AG641" s="4"/>
      <c r="AH641" s="4"/>
      <c r="AI641" s="4"/>
      <c r="AJ641" s="4"/>
      <c r="AK641" s="131" t="str">
        <f ca="1">IFERROR(__xludf.DUMMYFUNCTION("""COMPUTED_VALUE"""),"COLWSCUENT-1637")</f>
        <v>COLWSCUENT-1637</v>
      </c>
      <c r="AL641" s="4" t="str">
        <f ca="1">IFERROR(__xludf.DUMMYFUNCTION("""COMPUTED_VALUE"""),"New")</f>
        <v>New</v>
      </c>
      <c r="AM641" s="4"/>
      <c r="AN641" s="4" t="str">
        <f ca="1">IFERROR(__xludf.DUMMYFUNCTION("""COMPUTED_VALUE"""),"Entregable en backlog")</f>
        <v>Entregable en backlog</v>
      </c>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133">
        <f ca="1">IFERROR(__xludf.DUMMYFUNCTION("""COMPUTED_VALUE"""),0)</f>
        <v>0</v>
      </c>
      <c r="DV641" s="4"/>
      <c r="DW641" s="4"/>
      <c r="DX641" s="4"/>
      <c r="DY641" s="4"/>
      <c r="DZ641" s="4"/>
      <c r="EA641" s="4"/>
      <c r="EB641" s="4"/>
    </row>
    <row r="642" spans="1:132" x14ac:dyDescent="0.2">
      <c r="A642" s="4">
        <f ca="1">IFERROR(__xludf.DUMMYFUNCTION("""COMPUTED_VALUE"""),642)</f>
        <v>642</v>
      </c>
      <c r="B642" s="4">
        <f ca="1">IFERROR(__xludf.DUMMYFUNCTION("""COMPUTED_VALUE"""),613)</f>
        <v>613</v>
      </c>
      <c r="C642" s="4" t="str">
        <f ca="1">IFERROR(__xludf.DUMMYFUNCTION("""COMPUTED_VALUE"""),"SDATOOL-39944")</f>
        <v>SDATOOL-39944</v>
      </c>
      <c r="D642" s="4" t="str">
        <f ca="1">IFERROR(__xludf.DUMMYFUNCTION("""COMPUTED_VALUE"""),"Fiduciaria - Requerimientos Legales y Normativos 2022")</f>
        <v>Fiduciaria - Requerimientos Legales y Normativos 2022</v>
      </c>
      <c r="E642"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2" s="4" t="str">
        <f ca="1">IFERROR(__xludf.DUMMYFUNCTION("""COMPUTED_VALUE"""),"Project")</f>
        <v>Project</v>
      </c>
      <c r="G642" s="4" t="str">
        <f ca="1">IFERROR(__xludf.DUMMYFUNCTION("""COMPUTED_VALUE"""),"Ended")</f>
        <v>Ended</v>
      </c>
      <c r="H642" s="4" t="str">
        <f ca="1">IFERROR(__xludf.DUMMYFUNCTION("""COMPUTED_VALUE"""),"1Q 2023")</f>
        <v>1Q 2023</v>
      </c>
      <c r="I642" s="131" t="str">
        <f ca="1">IFERROR(__xludf.DUMMYFUNCTION("""COMPUTED_VALUE"""),"juan.orozco-bbva.com")</f>
        <v>juan.orozco-bbva.com</v>
      </c>
      <c r="J642" s="131" t="str">
        <f ca="1">IFERROR(__xludf.DUMMYFUNCTION("""COMPUTED_VALUE"""),"julioenrique.ramos-bbva.com")</f>
        <v>julioenrique.ramos-bbva.com</v>
      </c>
      <c r="K642" s="131" t="str">
        <f ca="1">IFERROR(__xludf.DUMMYFUNCTION("""COMPUTED_VALUE"""),"julioenrique.ramos-bbva.com")</f>
        <v>julioenrique.ramos-bbva.com</v>
      </c>
      <c r="L642" s="130">
        <f ca="1">IFERROR(__xludf.DUMMYFUNCTION("""COMPUTED_VALUE"""),0)</f>
        <v>0</v>
      </c>
      <c r="M642" s="130">
        <f ca="1">IFERROR(__xludf.DUMMYFUNCTION("""COMPUTED_VALUE"""),0)</f>
        <v>0</v>
      </c>
      <c r="N642" s="130">
        <f ca="1">IFERROR(__xludf.DUMMYFUNCTION("""COMPUTED_VALUE"""),0)</f>
        <v>0</v>
      </c>
      <c r="O642" s="4" t="str">
        <f ca="1">IFERROR(__xludf.DUMMYFUNCTION("""COMPUTED_VALUE"""),"Waterfall")</f>
        <v>Waterfall</v>
      </c>
      <c r="P642" s="4" t="str">
        <f ca="1">IFERROR(__xludf.DUMMYFUNCTION("""COMPUTED_VALUE"""),"Tradicional")</f>
        <v>Tradicional</v>
      </c>
      <c r="Q642" s="4"/>
      <c r="R642" s="130" t="str">
        <f ca="1">IFERROR(__xludf.DUMMYFUNCTION("""COMPUTED_VALUE"""),"Asset Management		")</f>
        <v xml:space="preserve">Asset Management		</v>
      </c>
      <c r="S642" s="130" t="str">
        <f ca="1">IFERROR(__xludf.DUMMYFUNCTION("""COMPUTED_VALUE""")," Otros")</f>
        <v xml:space="preserve"> Otros</v>
      </c>
      <c r="T642" s="130" t="str">
        <f ca="1">IFERROR(__xludf.DUMMYFUNCTION("""COMPUTED_VALUE"""),"Normativo")</f>
        <v>Normativo</v>
      </c>
      <c r="U642" s="130" t="str">
        <f ca="1">IFERROR(__xludf.DUMMYFUNCTION("""COMPUTED_VALUE"""),"No Aplica")</f>
        <v>No Aplica</v>
      </c>
      <c r="V642" s="4" t="str">
        <f ca="1">IFERROR(__xludf.DUMMYFUNCTION("""COMPUTED_VALUE"""),"Fiduciaria")</f>
        <v>Fiduciaria</v>
      </c>
      <c r="W642" s="4">
        <f ca="1">IFERROR(__xludf.DUMMYFUNCTION("""COMPUTED_VALUE"""),3)</f>
        <v>3</v>
      </c>
      <c r="X642" s="4" t="str">
        <f ca="1">IFERROR(__xludf.DUMMYFUNCTION("""COMPUTED_VALUE"""),"10. Otros")</f>
        <v>10. Otros</v>
      </c>
      <c r="Y642" s="4" t="str">
        <f ca="1">IFERROR(__xludf.DUMMYFUNCTION("""COMPUTED_VALUE""")," Otros")</f>
        <v xml:space="preserve"> Otros</v>
      </c>
      <c r="Z642" s="132" t="str">
        <f ca="1">IFERROR(__xludf.DUMMYFUNCTION("""COMPUTED_VALUE"""),"553038")</f>
        <v>553038</v>
      </c>
      <c r="AA642" s="4" t="str">
        <f ca="1">IFERROR(__xludf.DUMMYFUNCTION("""COMPUTED_VALUE"""),"Beneficiarios Finales y SIESPJ - Resolución 00164 de 2021")</f>
        <v>Beneficiarios Finales y SIESPJ - Resolución 00164 de 2021</v>
      </c>
      <c r="AB642" s="4" t="str">
        <f ca="1">IFERROR(__xludf.DUMMYFUNCTION("""COMPUTED_VALUE"""),"Referencia: La persona natural que, actuando individual o conjuntamente, sea titular, directa o indirectamente, del cinco por ciento (5%) o más del capital o de los derechos de voto de la persona jurídica, y/o se beneficie en cinco por ciento (5%) o más d"&amp;"e los activos, rendimientos o utilidades de la persona jurídica;")</f>
        <v>Referencia: La persona natural que, actuando individual o conjuntamente, sea titular, directa o indirectamente, del cinco por ciento (5%) o más del capital o de los derechos de voto de la persona jurídica, y/o se beneficie en cinco por ciento (5%) o más de los activos, rendimientos o utilidades de la persona jurídica;</v>
      </c>
      <c r="AC642" s="4" t="str">
        <f ca="1">IFERROR(__xludf.DUMMYFUNCTION("""COMPUTED_VALUE"""),"4Q 2022")</f>
        <v>4Q 2022</v>
      </c>
      <c r="AD642" s="4"/>
      <c r="AE642" s="4"/>
      <c r="AF642" s="4"/>
      <c r="AG642" s="4"/>
      <c r="AH642" s="4"/>
      <c r="AI642" s="4"/>
      <c r="AJ642" s="4"/>
      <c r="AK642" s="131" t="str">
        <f ca="1">IFERROR(__xludf.DUMMYFUNCTION("""COMPUTED_VALUE"""),"CFS1-153")</f>
        <v>CFS1-153</v>
      </c>
      <c r="AL642" s="4" t="str">
        <f ca="1">IFERROR(__xludf.DUMMYFUNCTION("""COMPUTED_VALUE"""),"Deployed")</f>
        <v>Deployed</v>
      </c>
      <c r="AM642" s="4"/>
      <c r="AN642" s="4" t="str">
        <f ca="1">IFERROR(__xludf.DUMMYFUNCTION("""COMPUTED_VALUE"""),"Finalizado")</f>
        <v>Finalizado</v>
      </c>
      <c r="AO642" s="4"/>
      <c r="AP642" s="4"/>
      <c r="AQ642" s="4"/>
      <c r="AR642" s="4" t="str">
        <f ca="1">IFERROR(__xludf.DUMMYFUNCTION("""COMPUTED_VALUE"""),"SDA aprobada en PPP Q1 2023")</f>
        <v>SDA aprobada en PPP Q1 2023</v>
      </c>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133">
        <f ca="1">IFERROR(__xludf.DUMMYFUNCTION("""COMPUTED_VALUE"""),0)</f>
        <v>0</v>
      </c>
      <c r="DV642" s="133">
        <f ca="1">IFERROR(__xludf.DUMMYFUNCTION("""COMPUTED_VALUE"""),0)</f>
        <v>0</v>
      </c>
      <c r="DW642" s="133">
        <f ca="1">IFERROR(__xludf.DUMMYFUNCTION("""COMPUTED_VALUE"""),142000000)</f>
        <v>142000000</v>
      </c>
      <c r="DX642" s="133">
        <f ca="1">IFERROR(__xludf.DUMMYFUNCTION("""COMPUTED_VALUE"""),144000000)</f>
        <v>144000000</v>
      </c>
      <c r="DY642" s="133">
        <f ca="1">IFERROR(__xludf.DUMMYFUNCTION("""COMPUTED_VALUE"""),0)</f>
        <v>0</v>
      </c>
      <c r="DZ642" s="133">
        <f ca="1">IFERROR(__xludf.DUMMYFUNCTION("""COMPUTED_VALUE"""),286000000)</f>
        <v>286000000</v>
      </c>
      <c r="EA642" s="4"/>
      <c r="EB642" s="4"/>
    </row>
    <row r="643" spans="1:132" x14ac:dyDescent="0.2">
      <c r="A643" s="4">
        <f ca="1">IFERROR(__xludf.DUMMYFUNCTION("""COMPUTED_VALUE"""),643)</f>
        <v>643</v>
      </c>
      <c r="B643" s="4">
        <f ca="1">IFERROR(__xludf.DUMMYFUNCTION("""COMPUTED_VALUE"""),614)</f>
        <v>614</v>
      </c>
      <c r="C643" s="4" t="str">
        <f ca="1">IFERROR(__xludf.DUMMYFUNCTION("""COMPUTED_VALUE"""),"SDATOOL-39944")</f>
        <v>SDATOOL-39944</v>
      </c>
      <c r="D643" s="4" t="str">
        <f ca="1">IFERROR(__xludf.DUMMYFUNCTION("""COMPUTED_VALUE"""),"Fiduciaria - Requerimientos Legales y Normativos 2022")</f>
        <v>Fiduciaria - Requerimientos Legales y Normativos 2022</v>
      </c>
      <c r="E643"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3" s="4" t="str">
        <f ca="1">IFERROR(__xludf.DUMMYFUNCTION("""COMPUTED_VALUE"""),"Project")</f>
        <v>Project</v>
      </c>
      <c r="G643" s="4" t="str">
        <f ca="1">IFERROR(__xludf.DUMMYFUNCTION("""COMPUTED_VALUE"""),"Ended")</f>
        <v>Ended</v>
      </c>
      <c r="H643" s="4" t="str">
        <f ca="1">IFERROR(__xludf.DUMMYFUNCTION("""COMPUTED_VALUE"""),"1Q 2023")</f>
        <v>1Q 2023</v>
      </c>
      <c r="I643" s="131" t="str">
        <f ca="1">IFERROR(__xludf.DUMMYFUNCTION("""COMPUTED_VALUE"""),"juan.orozco-bbva.com")</f>
        <v>juan.orozco-bbva.com</v>
      </c>
      <c r="J643" s="131" t="str">
        <f ca="1">IFERROR(__xludf.DUMMYFUNCTION("""COMPUTED_VALUE"""),"julioenrique.ramos-bbva.com")</f>
        <v>julioenrique.ramos-bbva.com</v>
      </c>
      <c r="K643" s="131" t="str">
        <f ca="1">IFERROR(__xludf.DUMMYFUNCTION("""COMPUTED_VALUE"""),"julioenrique.ramos-bbva.com")</f>
        <v>julioenrique.ramos-bbva.com</v>
      </c>
      <c r="L643" s="4"/>
      <c r="M643" s="4"/>
      <c r="N643" s="4"/>
      <c r="O643" s="4" t="str">
        <f ca="1">IFERROR(__xludf.DUMMYFUNCTION("""COMPUTED_VALUE"""),"Waterfall")</f>
        <v>Waterfall</v>
      </c>
      <c r="P643" s="4" t="str">
        <f ca="1">IFERROR(__xludf.DUMMYFUNCTION("""COMPUTED_VALUE"""),"Tradicional")</f>
        <v>Tradicional</v>
      </c>
      <c r="Q643" s="4"/>
      <c r="R643" s="130" t="str">
        <f ca="1">IFERROR(__xludf.DUMMYFUNCTION("""COMPUTED_VALUE"""),"Asset Management		")</f>
        <v xml:space="preserve">Asset Management		</v>
      </c>
      <c r="S643" s="130" t="str">
        <f ca="1">IFERROR(__xludf.DUMMYFUNCTION("""COMPUTED_VALUE""")," Otros")</f>
        <v xml:space="preserve"> Otros</v>
      </c>
      <c r="T643" s="130" t="str">
        <f ca="1">IFERROR(__xludf.DUMMYFUNCTION("""COMPUTED_VALUE"""),"Normativo")</f>
        <v>Normativo</v>
      </c>
      <c r="U643" s="130" t="str">
        <f ca="1">IFERROR(__xludf.DUMMYFUNCTION("""COMPUTED_VALUE"""),"No Aplica")</f>
        <v>No Aplica</v>
      </c>
      <c r="V643" s="4" t="str">
        <f ca="1">IFERROR(__xludf.DUMMYFUNCTION("""COMPUTED_VALUE"""),"Fiduciaria")</f>
        <v>Fiduciaria</v>
      </c>
      <c r="W643" s="4">
        <f ca="1">IFERROR(__xludf.DUMMYFUNCTION("""COMPUTED_VALUE"""),3)</f>
        <v>3</v>
      </c>
      <c r="X643" s="4" t="str">
        <f ca="1">IFERROR(__xludf.DUMMYFUNCTION("""COMPUTED_VALUE"""),"10. Otros")</f>
        <v>10. Otros</v>
      </c>
      <c r="Y643" s="4" t="str">
        <f ca="1">IFERROR(__xludf.DUMMYFUNCTION("""COMPUTED_VALUE""")," Otros")</f>
        <v xml:space="preserve"> Otros</v>
      </c>
      <c r="Z643" s="132" t="str">
        <f ca="1">IFERROR(__xludf.DUMMYFUNCTION("""COMPUTED_VALUE"""),"553037")</f>
        <v>553037</v>
      </c>
      <c r="AA643" s="4" t="str">
        <f ca="1">IFERROR(__xludf.DUMMYFUNCTION("""COMPUTED_VALUE"""),"Documento soporte - Resolución 000167 de 2021")</f>
        <v>Documento soporte - Resolución 000167 de 2021</v>
      </c>
      <c r="AB643" s="4" t="str">
        <f ca="1">IFERROR(__xludf.DUMMYFUNCTION("""COMPUTED_VALUE"""),"Referencia: El documento soporte se usa para acreditar la compra de un bien o servicio, cuando un comprador hace transacciones con un proveedor que no está obligado a expedir factura de venta o documento equivalente. Resolución 000167 de 2021.")</f>
        <v>Referencia: El documento soporte se usa para acreditar la compra de un bien o servicio, cuando un comprador hace transacciones con un proveedor que no está obligado a expedir factura de venta o documento equivalente. Resolución 000167 de 2021.</v>
      </c>
      <c r="AC643" s="4" t="str">
        <f ca="1">IFERROR(__xludf.DUMMYFUNCTION("""COMPUTED_VALUE"""),"4Q 2022")</f>
        <v>4Q 2022</v>
      </c>
      <c r="AD643" s="4"/>
      <c r="AE643" s="4"/>
      <c r="AF643" s="4"/>
      <c r="AG643" s="4"/>
      <c r="AH643" s="4"/>
      <c r="AI643" s="4"/>
      <c r="AJ643" s="4"/>
      <c r="AK643" s="131" t="str">
        <f ca="1">IFERROR(__xludf.DUMMYFUNCTION("""COMPUTED_VALUE"""),"CFS1-132")</f>
        <v>CFS1-132</v>
      </c>
      <c r="AL643" s="4" t="str">
        <f ca="1">IFERROR(__xludf.DUMMYFUNCTION("""COMPUTED_VALUE"""),"Deployed")</f>
        <v>Deployed</v>
      </c>
      <c r="AM643" s="4"/>
      <c r="AN643" s="4" t="str">
        <f ca="1">IFERROR(__xludf.DUMMYFUNCTION("""COMPUTED_VALUE"""),"Finalizado")</f>
        <v>Finalizado</v>
      </c>
      <c r="AO643" s="4"/>
      <c r="AP643" s="4"/>
      <c r="AQ643" s="4"/>
      <c r="AR643" s="4" t="str">
        <f ca="1">IFERROR(__xludf.DUMMYFUNCTION("""COMPUTED_VALUE"""),"SDA aprobada en PPP Q1 2023")</f>
        <v>SDA aprobada en PPP Q1 2023</v>
      </c>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133">
        <f ca="1">IFERROR(__xludf.DUMMYFUNCTION("""COMPUTED_VALUE"""),0)</f>
        <v>0</v>
      </c>
      <c r="DV643" s="4"/>
      <c r="DW643" s="4"/>
      <c r="DX643" s="4"/>
      <c r="DY643" s="4"/>
      <c r="DZ643" s="4"/>
      <c r="EA643" s="4"/>
      <c r="EB643" s="4"/>
    </row>
    <row r="644" spans="1:132" x14ac:dyDescent="0.2">
      <c r="A644" s="4">
        <f ca="1">IFERROR(__xludf.DUMMYFUNCTION("""COMPUTED_VALUE"""),644)</f>
        <v>644</v>
      </c>
      <c r="B644" s="4">
        <f ca="1">IFERROR(__xludf.DUMMYFUNCTION("""COMPUTED_VALUE"""),615)</f>
        <v>615</v>
      </c>
      <c r="C644" s="4" t="str">
        <f ca="1">IFERROR(__xludf.DUMMYFUNCTION("""COMPUTED_VALUE"""),"SDATOOL-39944")</f>
        <v>SDATOOL-39944</v>
      </c>
      <c r="D644" s="4" t="str">
        <f ca="1">IFERROR(__xludf.DUMMYFUNCTION("""COMPUTED_VALUE"""),"Fiduciaria - Requerimientos Legales y Normativos 2022")</f>
        <v>Fiduciaria - Requerimientos Legales y Normativos 2022</v>
      </c>
      <c r="E644"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4" s="4" t="str">
        <f ca="1">IFERROR(__xludf.DUMMYFUNCTION("""COMPUTED_VALUE"""),"Project")</f>
        <v>Project</v>
      </c>
      <c r="G644" s="4" t="str">
        <f ca="1">IFERROR(__xludf.DUMMYFUNCTION("""COMPUTED_VALUE"""),"Ended")</f>
        <v>Ended</v>
      </c>
      <c r="H644" s="4" t="str">
        <f ca="1">IFERROR(__xludf.DUMMYFUNCTION("""COMPUTED_VALUE"""),"1Q 2023")</f>
        <v>1Q 2023</v>
      </c>
      <c r="I644" s="131" t="str">
        <f ca="1">IFERROR(__xludf.DUMMYFUNCTION("""COMPUTED_VALUE"""),"juan.orozco-bbva.com")</f>
        <v>juan.orozco-bbva.com</v>
      </c>
      <c r="J644" s="131" t="str">
        <f ca="1">IFERROR(__xludf.DUMMYFUNCTION("""COMPUTED_VALUE"""),"julioenrique.ramos-bbva.com")</f>
        <v>julioenrique.ramos-bbva.com</v>
      </c>
      <c r="K644" s="131" t="str">
        <f ca="1">IFERROR(__xludf.DUMMYFUNCTION("""COMPUTED_VALUE"""),"julioenrique.ramos-bbva.com")</f>
        <v>julioenrique.ramos-bbva.com</v>
      </c>
      <c r="L644" s="4"/>
      <c r="M644" s="4"/>
      <c r="N644" s="4"/>
      <c r="O644" s="4" t="str">
        <f ca="1">IFERROR(__xludf.DUMMYFUNCTION("""COMPUTED_VALUE"""),"Waterfall")</f>
        <v>Waterfall</v>
      </c>
      <c r="P644" s="4" t="str">
        <f ca="1">IFERROR(__xludf.DUMMYFUNCTION("""COMPUTED_VALUE"""),"Tradicional")</f>
        <v>Tradicional</v>
      </c>
      <c r="Q644" s="4"/>
      <c r="R644" s="130" t="str">
        <f ca="1">IFERROR(__xludf.DUMMYFUNCTION("""COMPUTED_VALUE"""),"Asset Management		")</f>
        <v xml:space="preserve">Asset Management		</v>
      </c>
      <c r="S644" s="130" t="str">
        <f ca="1">IFERROR(__xludf.DUMMYFUNCTION("""COMPUTED_VALUE""")," Otros")</f>
        <v xml:space="preserve"> Otros</v>
      </c>
      <c r="T644" s="130" t="str">
        <f ca="1">IFERROR(__xludf.DUMMYFUNCTION("""COMPUTED_VALUE"""),"Normativo")</f>
        <v>Normativo</v>
      </c>
      <c r="U644" s="130" t="str">
        <f ca="1">IFERROR(__xludf.DUMMYFUNCTION("""COMPUTED_VALUE"""),"No Aplica")</f>
        <v>No Aplica</v>
      </c>
      <c r="V644" s="4" t="str">
        <f ca="1">IFERROR(__xludf.DUMMYFUNCTION("""COMPUTED_VALUE"""),"Fiduciaria")</f>
        <v>Fiduciaria</v>
      </c>
      <c r="W644" s="4">
        <f ca="1">IFERROR(__xludf.DUMMYFUNCTION("""COMPUTED_VALUE"""),3)</f>
        <v>3</v>
      </c>
      <c r="X644" s="4" t="str">
        <f ca="1">IFERROR(__xludf.DUMMYFUNCTION("""COMPUTED_VALUE"""),"10. Otros")</f>
        <v>10. Otros</v>
      </c>
      <c r="Y644" s="4" t="str">
        <f ca="1">IFERROR(__xludf.DUMMYFUNCTION("""COMPUTED_VALUE""")," Otros")</f>
        <v xml:space="preserve"> Otros</v>
      </c>
      <c r="Z644" s="132" t="str">
        <f ca="1">IFERROR(__xludf.DUMMYFUNCTION("""COMPUTED_VALUE"""),"560557")</f>
        <v>560557</v>
      </c>
      <c r="AA644" s="4" t="str">
        <f ca="1">IFERROR(__xludf.DUMMYFUNCTION("""COMPUTED_VALUE"""),"Circular 019 SFC Recomendación profesional Fdos.")</f>
        <v>Circular 019 SFC Recomendación profesional Fdos.</v>
      </c>
      <c r="AB644" s="4" t="str">
        <f ca="1">IFERROR(__xludf.DUMMYFUNCTION("""COMPUTED_VALUE"""),"Dar Cumplimiento a lo establecido en la circular 019 de SFC, frente a la nueva implementación de la actividad de asesoría en la contratación de Fondos de inversión,  se debe hacer el cambio del PDF actual que esta en la BBVA Móvil de asesoría por un nuevo"&amp;" documento que cumple con los requerimientos descritos en la circular emitida por la SFC.")</f>
        <v>Dar Cumplimiento a lo establecido en la circular 019 de SFC, frente a la nueva implementación de la actividad de asesoría en la contratación de Fondos de inversión,  se debe hacer el cambio del PDF actual que esta en la BBVA Móvil de asesoría por un nuevo documento que cumple con los requerimientos descritos en la circular emitida por la SFC.</v>
      </c>
      <c r="AC644" s="4" t="str">
        <f ca="1">IFERROR(__xludf.DUMMYFUNCTION("""COMPUTED_VALUE"""),"4Q 2022")</f>
        <v>4Q 2022</v>
      </c>
      <c r="AD644" s="4"/>
      <c r="AE644" s="4"/>
      <c r="AF644" s="4"/>
      <c r="AG644" s="4"/>
      <c r="AH644" s="4"/>
      <c r="AI644" s="4"/>
      <c r="AJ644" s="4"/>
      <c r="AK644" s="131" t="str">
        <f ca="1">IFERROR(__xludf.DUMMYFUNCTION("""COMPUTED_VALUE"""),"CFS1-166")</f>
        <v>CFS1-166</v>
      </c>
      <c r="AL644" s="4" t="str">
        <f ca="1">IFERROR(__xludf.DUMMYFUNCTION("""COMPUTED_VALUE"""),"Deployed")</f>
        <v>Deployed</v>
      </c>
      <c r="AM644" s="4"/>
      <c r="AN644" s="4" t="str">
        <f ca="1">IFERROR(__xludf.DUMMYFUNCTION("""COMPUTED_VALUE"""),"Finalizado")</f>
        <v>Finalizado</v>
      </c>
      <c r="AO644" s="4"/>
      <c r="AP644" s="4"/>
      <c r="AQ644" s="4"/>
      <c r="AR644" s="4" t="str">
        <f ca="1">IFERROR(__xludf.DUMMYFUNCTION("""COMPUTED_VALUE"""),"SDA aprobada en PPP Q1 2023")</f>
        <v>SDA aprobada en PPP Q1 2023</v>
      </c>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133">
        <f ca="1">IFERROR(__xludf.DUMMYFUNCTION("""COMPUTED_VALUE"""),0)</f>
        <v>0</v>
      </c>
      <c r="DV644" s="4"/>
      <c r="DW644" s="4"/>
      <c r="DX644" s="4"/>
      <c r="DY644" s="4"/>
      <c r="DZ644" s="4"/>
      <c r="EA644" s="4"/>
      <c r="EB644" s="4"/>
    </row>
    <row r="645" spans="1:132" x14ac:dyDescent="0.2">
      <c r="A645" s="4">
        <f ca="1">IFERROR(__xludf.DUMMYFUNCTION("""COMPUTED_VALUE"""),645)</f>
        <v>645</v>
      </c>
      <c r="B645" s="4">
        <f ca="1">IFERROR(__xludf.DUMMYFUNCTION("""COMPUTED_VALUE"""),616)</f>
        <v>616</v>
      </c>
      <c r="C645" s="4" t="str">
        <f ca="1">IFERROR(__xludf.DUMMYFUNCTION("""COMPUTED_VALUE"""),"SDATOOL-39944")</f>
        <v>SDATOOL-39944</v>
      </c>
      <c r="D645" s="4" t="str">
        <f ca="1">IFERROR(__xludf.DUMMYFUNCTION("""COMPUTED_VALUE"""),"Fiduciaria - Requerimientos Legales y Normativos 2022")</f>
        <v>Fiduciaria - Requerimientos Legales y Normativos 2022</v>
      </c>
      <c r="E645"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5" s="4" t="str">
        <f ca="1">IFERROR(__xludf.DUMMYFUNCTION("""COMPUTED_VALUE"""),"Project")</f>
        <v>Project</v>
      </c>
      <c r="G645" s="4" t="str">
        <f ca="1">IFERROR(__xludf.DUMMYFUNCTION("""COMPUTED_VALUE"""),"Ended")</f>
        <v>Ended</v>
      </c>
      <c r="H645" s="4" t="str">
        <f ca="1">IFERROR(__xludf.DUMMYFUNCTION("""COMPUTED_VALUE"""),"1Q 2023")</f>
        <v>1Q 2023</v>
      </c>
      <c r="I645" s="131" t="str">
        <f ca="1">IFERROR(__xludf.DUMMYFUNCTION("""COMPUTED_VALUE"""),"juan.orozco-bbva.com")</f>
        <v>juan.orozco-bbva.com</v>
      </c>
      <c r="J645" s="131" t="str">
        <f ca="1">IFERROR(__xludf.DUMMYFUNCTION("""COMPUTED_VALUE"""),"julioenrique.ramos-bbva.com")</f>
        <v>julioenrique.ramos-bbva.com</v>
      </c>
      <c r="K645" s="131" t="str">
        <f ca="1">IFERROR(__xludf.DUMMYFUNCTION("""COMPUTED_VALUE"""),"julioenrique.ramos-bbva.com")</f>
        <v>julioenrique.ramos-bbva.com</v>
      </c>
      <c r="L645" s="4"/>
      <c r="M645" s="4"/>
      <c r="N645" s="4"/>
      <c r="O645" s="4" t="str">
        <f ca="1">IFERROR(__xludf.DUMMYFUNCTION("""COMPUTED_VALUE"""),"Waterfall")</f>
        <v>Waterfall</v>
      </c>
      <c r="P645" s="4" t="str">
        <f ca="1">IFERROR(__xludf.DUMMYFUNCTION("""COMPUTED_VALUE"""),"Tradicional")</f>
        <v>Tradicional</v>
      </c>
      <c r="Q645" s="4"/>
      <c r="R645" s="130" t="str">
        <f ca="1">IFERROR(__xludf.DUMMYFUNCTION("""COMPUTED_VALUE"""),"Asset Management		")</f>
        <v xml:space="preserve">Asset Management		</v>
      </c>
      <c r="S645" s="130" t="str">
        <f ca="1">IFERROR(__xludf.DUMMYFUNCTION("""COMPUTED_VALUE""")," Otros")</f>
        <v xml:space="preserve"> Otros</v>
      </c>
      <c r="T645" s="130" t="str">
        <f ca="1">IFERROR(__xludf.DUMMYFUNCTION("""COMPUTED_VALUE"""),"Normativo")</f>
        <v>Normativo</v>
      </c>
      <c r="U645" s="130" t="str">
        <f ca="1">IFERROR(__xludf.DUMMYFUNCTION("""COMPUTED_VALUE"""),"No Aplica")</f>
        <v>No Aplica</v>
      </c>
      <c r="V645" s="4" t="str">
        <f ca="1">IFERROR(__xludf.DUMMYFUNCTION("""COMPUTED_VALUE"""),"Fiduciaria")</f>
        <v>Fiduciaria</v>
      </c>
      <c r="W645" s="4">
        <f ca="1">IFERROR(__xludf.DUMMYFUNCTION("""COMPUTED_VALUE"""),3)</f>
        <v>3</v>
      </c>
      <c r="X645" s="4" t="str">
        <f ca="1">IFERROR(__xludf.DUMMYFUNCTION("""COMPUTED_VALUE"""),"10. Otros")</f>
        <v>10. Otros</v>
      </c>
      <c r="Y645" s="4" t="str">
        <f ca="1">IFERROR(__xludf.DUMMYFUNCTION("""COMPUTED_VALUE""")," Otros")</f>
        <v xml:space="preserve"> Otros</v>
      </c>
      <c r="Z645" s="132" t="str">
        <f ca="1">IFERROR(__xludf.DUMMYFUNCTION("""COMPUTED_VALUE"""),"610366")</f>
        <v>610366</v>
      </c>
      <c r="AA645" s="4" t="str">
        <f ca="1">IFERROR(__xludf.DUMMYFUNCTION("""COMPUTED_VALUE"""),"Actualizacion formato de vinculación persona natural y persona jurídica")</f>
        <v>Actualizacion formato de vinculación persona natural y persona jurídica</v>
      </c>
      <c r="AB645" s="4" t="str">
        <f ca="1">IFERROR(__xludf.DUMMYFUNCTION("""COMPUTED_VALUE"""),"Actualizacion formato de vinculación persona natural y persona jurídica para
Negocios/ HU circular 027 PEP´s")</f>
        <v>Actualizacion formato de vinculación persona natural y persona jurídica para
Negocios/ HU circular 027 PEP´s</v>
      </c>
      <c r="AC645" s="4" t="str">
        <f ca="1">IFERROR(__xludf.DUMMYFUNCTION("""COMPUTED_VALUE"""),"4Q 2022")</f>
        <v>4Q 2022</v>
      </c>
      <c r="AD645" s="4"/>
      <c r="AE645" s="4"/>
      <c r="AF645" s="4"/>
      <c r="AG645" s="4"/>
      <c r="AH645" s="4"/>
      <c r="AI645" s="4"/>
      <c r="AJ645" s="4"/>
      <c r="AK645" s="131" t="str">
        <f ca="1">IFERROR(__xludf.DUMMYFUNCTION("""COMPUTED_VALUE"""),"CFS1-171")</f>
        <v>CFS1-171</v>
      </c>
      <c r="AL645" s="4" t="str">
        <f ca="1">IFERROR(__xludf.DUMMYFUNCTION("""COMPUTED_VALUE"""),"Deployed")</f>
        <v>Deployed</v>
      </c>
      <c r="AM645" s="4"/>
      <c r="AN645" s="4" t="str">
        <f ca="1">IFERROR(__xludf.DUMMYFUNCTION("""COMPUTED_VALUE"""),"Finalizado")</f>
        <v>Finalizado</v>
      </c>
      <c r="AO645" s="4"/>
      <c r="AP645" s="4"/>
      <c r="AQ645" s="4"/>
      <c r="AR645" s="4" t="str">
        <f ca="1">IFERROR(__xludf.DUMMYFUNCTION("""COMPUTED_VALUE"""),"SDA aprobada en PPP Q1 2023")</f>
        <v>SDA aprobada en PPP Q1 2023</v>
      </c>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133">
        <f ca="1">IFERROR(__xludf.DUMMYFUNCTION("""COMPUTED_VALUE"""),0)</f>
        <v>0</v>
      </c>
      <c r="DV645" s="4"/>
      <c r="DW645" s="4"/>
      <c r="DX645" s="4"/>
      <c r="DY645" s="4"/>
      <c r="DZ645" s="4"/>
      <c r="EA645" s="4"/>
      <c r="EB645" s="4"/>
    </row>
    <row r="646" spans="1:132" x14ac:dyDescent="0.2">
      <c r="A646" s="4">
        <f ca="1">IFERROR(__xludf.DUMMYFUNCTION("""COMPUTED_VALUE"""),646)</f>
        <v>646</v>
      </c>
      <c r="B646" s="4">
        <f ca="1">IFERROR(__xludf.DUMMYFUNCTION("""COMPUTED_VALUE"""),617)</f>
        <v>617</v>
      </c>
      <c r="C646" s="4" t="str">
        <f ca="1">IFERROR(__xludf.DUMMYFUNCTION("""COMPUTED_VALUE"""),"SDATOOL-39944")</f>
        <v>SDATOOL-39944</v>
      </c>
      <c r="D646" s="4" t="str">
        <f ca="1">IFERROR(__xludf.DUMMYFUNCTION("""COMPUTED_VALUE"""),"Fiduciaria - Requerimientos Legales y Normativos 2022")</f>
        <v>Fiduciaria - Requerimientos Legales y Normativos 2022</v>
      </c>
      <c r="E646"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6" s="4" t="str">
        <f ca="1">IFERROR(__xludf.DUMMYFUNCTION("""COMPUTED_VALUE"""),"Project")</f>
        <v>Project</v>
      </c>
      <c r="G646" s="4" t="str">
        <f ca="1">IFERROR(__xludf.DUMMYFUNCTION("""COMPUTED_VALUE"""),"Ended")</f>
        <v>Ended</v>
      </c>
      <c r="H646" s="4" t="str">
        <f ca="1">IFERROR(__xludf.DUMMYFUNCTION("""COMPUTED_VALUE"""),"1Q 2023")</f>
        <v>1Q 2023</v>
      </c>
      <c r="I646" s="131" t="str">
        <f ca="1">IFERROR(__xludf.DUMMYFUNCTION("""COMPUTED_VALUE"""),"juan.orozco-bbva.com")</f>
        <v>juan.orozco-bbva.com</v>
      </c>
      <c r="J646" s="131" t="str">
        <f ca="1">IFERROR(__xludf.DUMMYFUNCTION("""COMPUTED_VALUE"""),"julioenrique.ramos-bbva.com")</f>
        <v>julioenrique.ramos-bbva.com</v>
      </c>
      <c r="K646" s="131" t="str">
        <f ca="1">IFERROR(__xludf.DUMMYFUNCTION("""COMPUTED_VALUE"""),"julioenrique.ramos-bbva.com")</f>
        <v>julioenrique.ramos-bbva.com</v>
      </c>
      <c r="L646" s="4"/>
      <c r="M646" s="4"/>
      <c r="N646" s="4"/>
      <c r="O646" s="4" t="str">
        <f ca="1">IFERROR(__xludf.DUMMYFUNCTION("""COMPUTED_VALUE"""),"Waterfall")</f>
        <v>Waterfall</v>
      </c>
      <c r="P646" s="4" t="str">
        <f ca="1">IFERROR(__xludf.DUMMYFUNCTION("""COMPUTED_VALUE"""),"Tradicional")</f>
        <v>Tradicional</v>
      </c>
      <c r="Q646" s="4"/>
      <c r="R646" s="130" t="str">
        <f ca="1">IFERROR(__xludf.DUMMYFUNCTION("""COMPUTED_VALUE"""),"Asset Management		")</f>
        <v xml:space="preserve">Asset Management		</v>
      </c>
      <c r="S646" s="130" t="str">
        <f ca="1">IFERROR(__xludf.DUMMYFUNCTION("""COMPUTED_VALUE""")," Otros")</f>
        <v xml:space="preserve"> Otros</v>
      </c>
      <c r="T646" s="130" t="str">
        <f ca="1">IFERROR(__xludf.DUMMYFUNCTION("""COMPUTED_VALUE"""),"Normativo")</f>
        <v>Normativo</v>
      </c>
      <c r="U646" s="130" t="str">
        <f ca="1">IFERROR(__xludf.DUMMYFUNCTION("""COMPUTED_VALUE"""),"No Aplica")</f>
        <v>No Aplica</v>
      </c>
      <c r="V646" s="4" t="str">
        <f ca="1">IFERROR(__xludf.DUMMYFUNCTION("""COMPUTED_VALUE"""),"Fiduciaria")</f>
        <v>Fiduciaria</v>
      </c>
      <c r="W646" s="4">
        <f ca="1">IFERROR(__xludf.DUMMYFUNCTION("""COMPUTED_VALUE"""),3)</f>
        <v>3</v>
      </c>
      <c r="X646" s="4" t="str">
        <f ca="1">IFERROR(__xludf.DUMMYFUNCTION("""COMPUTED_VALUE"""),"10. Otros")</f>
        <v>10. Otros</v>
      </c>
      <c r="Y646" s="4" t="str">
        <f ca="1">IFERROR(__xludf.DUMMYFUNCTION("""COMPUTED_VALUE""")," Otros")</f>
        <v xml:space="preserve"> Otros</v>
      </c>
      <c r="Z646" s="132" t="str">
        <f ca="1">IFERROR(__xludf.DUMMYFUNCTION("""COMPUTED_VALUE"""),"610367")</f>
        <v>610367</v>
      </c>
      <c r="AA646" s="4" t="str">
        <f ca="1">IFERROR(__xludf.DUMMYFUNCTION("""COMPUTED_VALUE"""),"Smart SFC -Circular 038 y 054 del 2022")</f>
        <v>Smart SFC -Circular 038 y 054 del 2022</v>
      </c>
      <c r="AB646" s="4" t="str">
        <f ca="1">IFERROR(__xludf.DUMMYFUNCTION("""COMPUTED_VALUE"""),"Circular 038 y 054 del 2022")</f>
        <v>Circular 038 y 054 del 2022</v>
      </c>
      <c r="AC646" s="4" t="str">
        <f ca="1">IFERROR(__xludf.DUMMYFUNCTION("""COMPUTED_VALUE"""),"1Q 2023")</f>
        <v>1Q 2023</v>
      </c>
      <c r="AD646" s="4"/>
      <c r="AE646" s="4"/>
      <c r="AF646" s="4"/>
      <c r="AG646" s="4"/>
      <c r="AH646" s="4"/>
      <c r="AI646" s="4"/>
      <c r="AJ646" s="4"/>
      <c r="AK646" s="131" t="str">
        <f ca="1">IFERROR(__xludf.DUMMYFUNCTION("""COMPUTED_VALUE"""),"CFS1-172")</f>
        <v>CFS1-172</v>
      </c>
      <c r="AL646" s="4" t="str">
        <f ca="1">IFERROR(__xludf.DUMMYFUNCTION("""COMPUTED_VALUE"""),"Deployed")</f>
        <v>Deployed</v>
      </c>
      <c r="AM646" s="4"/>
      <c r="AN646" s="4" t="str">
        <f ca="1">IFERROR(__xludf.DUMMYFUNCTION("""COMPUTED_VALUE"""),"Finalizado")</f>
        <v>Finalizado</v>
      </c>
      <c r="AO646" s="4"/>
      <c r="AP646" s="4"/>
      <c r="AQ646" s="4"/>
      <c r="AR646" s="4" t="str">
        <f ca="1">IFERROR(__xludf.DUMMYFUNCTION("""COMPUTED_VALUE"""),"SDA aprobada en PPP Q1 2023")</f>
        <v>SDA aprobada en PPP Q1 2023</v>
      </c>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133">
        <f ca="1">IFERROR(__xludf.DUMMYFUNCTION("""COMPUTED_VALUE"""),0)</f>
        <v>0</v>
      </c>
      <c r="DV646" s="4"/>
      <c r="DW646" s="4"/>
      <c r="DX646" s="4"/>
      <c r="DY646" s="4"/>
      <c r="DZ646" s="4"/>
      <c r="EA646" s="4"/>
      <c r="EB646" s="4"/>
    </row>
    <row r="647" spans="1:132" x14ac:dyDescent="0.2">
      <c r="A647" s="4">
        <f ca="1">IFERROR(__xludf.DUMMYFUNCTION("""COMPUTED_VALUE"""),647)</f>
        <v>647</v>
      </c>
      <c r="B647" s="4">
        <f ca="1">IFERROR(__xludf.DUMMYFUNCTION("""COMPUTED_VALUE"""),618)</f>
        <v>618</v>
      </c>
      <c r="C647" s="4" t="str">
        <f ca="1">IFERROR(__xludf.DUMMYFUNCTION("""COMPUTED_VALUE"""),"SDATOOL-37114")</f>
        <v>SDATOOL-37114</v>
      </c>
      <c r="D647" s="4" t="str">
        <f ca="1">IFERROR(__xludf.DUMMYFUNCTION("""COMPUTED_VALUE"""),"Actualización Botón pagos PSE versión 2.0")</f>
        <v>Actualización Botón pagos PSE versión 2.0</v>
      </c>
      <c r="E647" s="4" t="str">
        <f ca="1">IFERROR(__xludf.DUMMYFUNCTION("""COMPUTED_VALUE"""),"Actualización Botón pagos PSE versión 2.0 para la automatización de los procesos de conciliación, cargues de archivos maestros de recaudos.")</f>
        <v>Actualización Botón pagos PSE versión 2.0 para la automatización de los procesos de conciliación, cargues de archivos maestros de recaudos.</v>
      </c>
      <c r="F647" s="4" t="str">
        <f ca="1">IFERROR(__xludf.DUMMYFUNCTION("""COMPUTED_VALUE"""),"Project")</f>
        <v>Project</v>
      </c>
      <c r="G647" s="4" t="str">
        <f ca="1">IFERROR(__xludf.DUMMYFUNCTION("""COMPUTED_VALUE"""),"Ended")</f>
        <v>Ended</v>
      </c>
      <c r="H647" s="4" t="str">
        <f ca="1">IFERROR(__xludf.DUMMYFUNCTION("""COMPUTED_VALUE"""),"1Q 2023")</f>
        <v>1Q 2023</v>
      </c>
      <c r="I647" s="131" t="str">
        <f ca="1">IFERROR(__xludf.DUMMYFUNCTION("""COMPUTED_VALUE"""),"juan.orozco-bbva.com")</f>
        <v>juan.orozco-bbva.com</v>
      </c>
      <c r="J647" s="131" t="str">
        <f ca="1">IFERROR(__xludf.DUMMYFUNCTION("""COMPUTED_VALUE"""),"juan.orozco-bbva.com")</f>
        <v>juan.orozco-bbva.com</v>
      </c>
      <c r="K647" s="131" t="str">
        <f ca="1">IFERROR(__xludf.DUMMYFUNCTION("""COMPUTED_VALUE"""),"felipesantiago.araujo-bbva.com")</f>
        <v>felipesantiago.araujo-bbva.com</v>
      </c>
      <c r="L647" s="130">
        <f ca="1">IFERROR(__xludf.DUMMYFUNCTION("""COMPUTED_VALUE"""),0)</f>
        <v>0</v>
      </c>
      <c r="M647" s="130">
        <f ca="1">IFERROR(__xludf.DUMMYFUNCTION("""COMPUTED_VALUE"""),1)</f>
        <v>1</v>
      </c>
      <c r="N647" s="130">
        <f ca="1">IFERROR(__xludf.DUMMYFUNCTION("""COMPUTED_VALUE"""),0.25)</f>
        <v>0.25</v>
      </c>
      <c r="O647" s="4" t="str">
        <f ca="1">IFERROR(__xludf.DUMMYFUNCTION("""COMPUTED_VALUE"""),"Waterfall")</f>
        <v>Waterfall</v>
      </c>
      <c r="P647" s="4" t="str">
        <f ca="1">IFERROR(__xludf.DUMMYFUNCTION("""COMPUTED_VALUE"""),"Tradicional")</f>
        <v>Tradicional</v>
      </c>
      <c r="Q647" s="4"/>
      <c r="R647" s="130" t="str">
        <f ca="1">IFERROR(__xludf.DUMMYFUNCTION("""COMPUTED_VALUE"""),"Asset Management		")</f>
        <v xml:space="preserve">Asset Management		</v>
      </c>
      <c r="S647" s="130" t="str">
        <f ca="1">IFERROR(__xludf.DUMMYFUNCTION("""COMPUTED_VALUE"""),"Plan Ascenso Fidu.")</f>
        <v>Plan Ascenso Fidu.</v>
      </c>
      <c r="T647" s="130" t="str">
        <f ca="1">IFERROR(__xludf.DUMMYFUNCTION("""COMPUTED_VALUE"""),"1. Generación de Ingresos")</f>
        <v>1. Generación de Ingresos</v>
      </c>
      <c r="U647" s="130" t="str">
        <f ca="1">IFERROR(__xludf.DUMMYFUNCTION("""COMPUTED_VALUE"""),"1.5. Otros de Proyectos de Ingresos")</f>
        <v>1.5. Otros de Proyectos de Ingresos</v>
      </c>
      <c r="V647" s="4" t="str">
        <f ca="1">IFERROR(__xludf.DUMMYFUNCTION("""COMPUTED_VALUE"""),"Fiduciaria")</f>
        <v>Fiduciaria</v>
      </c>
      <c r="W647" s="4">
        <f ca="1">IFERROR(__xludf.DUMMYFUNCTION("""COMPUTED_VALUE"""),1)</f>
        <v>1</v>
      </c>
      <c r="X647" s="4" t="str">
        <f ca="1">IFERROR(__xludf.DUMMYFUNCTION("""COMPUTED_VALUE"""),"07. Asset management")</f>
        <v>07. Asset management</v>
      </c>
      <c r="Y647" s="4" t="str">
        <f ca="1">IFERROR(__xludf.DUMMYFUNCTION("""COMPUTED_VALUE"""),"3.1.1 Asset Management")</f>
        <v>3.1.1 Asset Management</v>
      </c>
      <c r="Z647" s="132" t="str">
        <f ca="1">IFERROR(__xludf.DUMMYFUNCTION("""COMPUTED_VALUE"""),"310159")</f>
        <v>310159</v>
      </c>
      <c r="AA647" s="4" t="str">
        <f ca="1">IFERROR(__xludf.DUMMYFUNCTION("""COMPUTED_VALUE"""),"Actualización Botón pagos PSE versión 2.0")</f>
        <v>Actualización Botón pagos PSE versión 2.0</v>
      </c>
      <c r="AB647" s="4" t="str">
        <f ca="1">IFERROR(__xludf.DUMMYFUNCTION("""COMPUTED_VALUE"""),"Actualización Botón pagos PSE versión 2.0 para la automatización de los procesos de conciliación, cargues de archivos maestros de recaudos.")</f>
        <v>Actualización Botón pagos PSE versión 2.0 para la automatización de los procesos de conciliación, cargues de archivos maestros de recaudos.</v>
      </c>
      <c r="AC647" s="4" t="str">
        <f ca="1">IFERROR(__xludf.DUMMYFUNCTION("""COMPUTED_VALUE"""),"4Q 2022")</f>
        <v>4Q 2022</v>
      </c>
      <c r="AD647" s="128">
        <f ca="1">IFERROR(__xludf.DUMMYFUNCTION("""COMPUTED_VALUE"""),44317)</f>
        <v>44317</v>
      </c>
      <c r="AE647" s="128">
        <f ca="1">IFERROR(__xludf.DUMMYFUNCTION("""COMPUTED_VALUE"""),44347)</f>
        <v>44347</v>
      </c>
      <c r="AF647" s="128">
        <f ca="1">IFERROR(__xludf.DUMMYFUNCTION("""COMPUTED_VALUE"""),44348)</f>
        <v>44348</v>
      </c>
      <c r="AG647" s="128">
        <f ca="1">IFERROR(__xludf.DUMMYFUNCTION("""COMPUTED_VALUE"""),44392)</f>
        <v>44392</v>
      </c>
      <c r="AH647" s="128">
        <f ca="1">IFERROR(__xludf.DUMMYFUNCTION("""COMPUTED_VALUE"""),44396)</f>
        <v>44396</v>
      </c>
      <c r="AI647" s="128">
        <f ca="1">IFERROR(__xludf.DUMMYFUNCTION("""COMPUTED_VALUE"""),44792)</f>
        <v>44792</v>
      </c>
      <c r="AJ647" s="128">
        <f ca="1">IFERROR(__xludf.DUMMYFUNCTION("""COMPUTED_VALUE"""),44804)</f>
        <v>44804</v>
      </c>
      <c r="AK647" s="131" t="str">
        <f ca="1">IFERROR(__xludf.DUMMYFUNCTION("""COMPUTED_VALUE"""),"COLWSFNFIL-3")</f>
        <v>COLWSFNFIL-3</v>
      </c>
      <c r="AL647" s="4" t="str">
        <f ca="1">IFERROR(__xludf.DUMMYFUNCTION("""COMPUTED_VALUE"""),"Deployed")</f>
        <v>Deployed</v>
      </c>
      <c r="AM647" s="4"/>
      <c r="AN647" s="4" t="str">
        <f ca="1">IFERROR(__xludf.DUMMYFUNCTION("""COMPUTED_VALUE"""),"Finalizado")</f>
        <v>Finalizado</v>
      </c>
      <c r="AO647" s="4"/>
      <c r="AP647" s="4"/>
      <c r="AQ647" s="4"/>
      <c r="AR647" s="4" t="str">
        <f ca="1">IFERROR(__xludf.DUMMYFUNCTION("""COMPUTED_VALUE"""),"SDA aprobada en PPP Q1 2023")</f>
        <v>SDA aprobada en PPP Q1 2023</v>
      </c>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133">
        <f ca="1">IFERROR(__xludf.DUMMYFUNCTION("""COMPUTED_VALUE"""),0)</f>
        <v>0</v>
      </c>
      <c r="DV647" s="133">
        <f ca="1">IFERROR(__xludf.DUMMYFUNCTION("""COMPUTED_VALUE"""),0)</f>
        <v>0</v>
      </c>
      <c r="DW647" s="133">
        <f ca="1">IFERROR(__xludf.DUMMYFUNCTION("""COMPUTED_VALUE"""),45000000)</f>
        <v>45000000</v>
      </c>
      <c r="DX647" s="133">
        <f ca="1">IFERROR(__xludf.DUMMYFUNCTION("""COMPUTED_VALUE"""),45000000)</f>
        <v>45000000</v>
      </c>
      <c r="DY647" s="133">
        <f ca="1">IFERROR(__xludf.DUMMYFUNCTION("""COMPUTED_VALUE"""),0)</f>
        <v>0</v>
      </c>
      <c r="DZ647" s="133">
        <f ca="1">IFERROR(__xludf.DUMMYFUNCTION("""COMPUTED_VALUE"""),90000000)</f>
        <v>90000000</v>
      </c>
      <c r="EA647" s="4"/>
      <c r="EB647" s="4"/>
    </row>
    <row r="648" spans="1:132" x14ac:dyDescent="0.2">
      <c r="A648" s="4">
        <f ca="1">IFERROR(__xludf.DUMMYFUNCTION("""COMPUTED_VALUE"""),648)</f>
        <v>648</v>
      </c>
      <c r="B648" s="4">
        <f ca="1">IFERROR(__xludf.DUMMYFUNCTION("""COMPUTED_VALUE"""),619)</f>
        <v>619</v>
      </c>
      <c r="C648" s="4" t="str">
        <f ca="1">IFERROR(__xludf.DUMMYFUNCTION("""COMPUTED_VALUE"""),"SDATOOL-39551")</f>
        <v>SDATOOL-39551</v>
      </c>
      <c r="D648" s="4" t="str">
        <f ca="1">IFERROR(__xludf.DUMMYFUNCTION("""COMPUTED_VALUE"""),"Fiduciaria - Estrategia Fondos Estructurados")</f>
        <v>Fiduciaria - Estrategia Fondos Estructurados</v>
      </c>
      <c r="E648" s="4" t="str">
        <f ca="1">IFERROR(__xludf.DUMMYFUNCTION("""COMPUTED_VALUE"""),"Nueva estructura de Fondos de inversión con características estructurales")</f>
        <v>Nueva estructura de Fondos de inversión con características estructurales</v>
      </c>
      <c r="F648" s="4" t="str">
        <f ca="1">IFERROR(__xludf.DUMMYFUNCTION("""COMPUTED_VALUE"""),"Project")</f>
        <v>Project</v>
      </c>
      <c r="G648" s="4" t="str">
        <f ca="1">IFERROR(__xludf.DUMMYFUNCTION("""COMPUTED_VALUE"""),"Ended")</f>
        <v>Ended</v>
      </c>
      <c r="H648" s="4" t="str">
        <f ca="1">IFERROR(__xludf.DUMMYFUNCTION("""COMPUTED_VALUE"""),"1Q 2023")</f>
        <v>1Q 2023</v>
      </c>
      <c r="I648" s="131" t="str">
        <f ca="1">IFERROR(__xludf.DUMMYFUNCTION("""COMPUTED_VALUE"""),"juan.orozco-bbva.com")</f>
        <v>juan.orozco-bbva.com</v>
      </c>
      <c r="J648" s="131" t="str">
        <f ca="1">IFERROR(__xludf.DUMMYFUNCTION("""COMPUTED_VALUE"""),"juan.orozco-bbva.com")</f>
        <v>juan.orozco-bbva.com</v>
      </c>
      <c r="K648" s="131" t="str">
        <f ca="1">IFERROR(__xludf.DUMMYFUNCTION("""COMPUTED_VALUE"""),"fernando.garciameza-bbva.com")</f>
        <v>fernando.garciameza-bbva.com</v>
      </c>
      <c r="L648" s="130">
        <f ca="1">IFERROR(__xludf.DUMMYFUNCTION("""COMPUTED_VALUE"""),0)</f>
        <v>0</v>
      </c>
      <c r="M648" s="130">
        <f ca="1">IFERROR(__xludf.DUMMYFUNCTION("""COMPUTED_VALUE"""),0)</f>
        <v>0</v>
      </c>
      <c r="N648" s="130">
        <f ca="1">IFERROR(__xludf.DUMMYFUNCTION("""COMPUTED_VALUE"""),0)</f>
        <v>0</v>
      </c>
      <c r="O648" s="4" t="str">
        <f ca="1">IFERROR(__xludf.DUMMYFUNCTION("""COMPUTED_VALUE"""),"Waterfall")</f>
        <v>Waterfall</v>
      </c>
      <c r="P648" s="4" t="str">
        <f ca="1">IFERROR(__xludf.DUMMYFUNCTION("""COMPUTED_VALUE"""),"Tradicional")</f>
        <v>Tradicional</v>
      </c>
      <c r="Q648" s="4"/>
      <c r="R648" s="130" t="str">
        <f ca="1">IFERROR(__xludf.DUMMYFUNCTION("""COMPUTED_VALUE"""),"Asset Management		")</f>
        <v xml:space="preserve">Asset Management		</v>
      </c>
      <c r="S648" s="130" t="str">
        <f ca="1">IFERROR(__xludf.DUMMYFUNCTION("""COMPUTED_VALUE"""),"Plan Ascenso Fidu.")</f>
        <v>Plan Ascenso Fidu.</v>
      </c>
      <c r="T648" s="130" t="str">
        <f ca="1">IFERROR(__xludf.DUMMYFUNCTION("""COMPUTED_VALUE"""),"1. Generación de Ingresos")</f>
        <v>1. Generación de Ingresos</v>
      </c>
      <c r="U648" s="130" t="str">
        <f ca="1">IFERROR(__xludf.DUMMYFUNCTION("""COMPUTED_VALUE"""),"1.5. Otros de Proyectos de Ingresos")</f>
        <v>1.5. Otros de Proyectos de Ingresos</v>
      </c>
      <c r="V648" s="4" t="str">
        <f ca="1">IFERROR(__xludf.DUMMYFUNCTION("""COMPUTED_VALUE"""),"Fiduciaria")</f>
        <v>Fiduciaria</v>
      </c>
      <c r="W648" s="4">
        <f ca="1">IFERROR(__xludf.DUMMYFUNCTION("""COMPUTED_VALUE"""),1)</f>
        <v>1</v>
      </c>
      <c r="X648" s="4" t="str">
        <f ca="1">IFERROR(__xludf.DUMMYFUNCTION("""COMPUTED_VALUE"""),"07. Asset management")</f>
        <v>07. Asset management</v>
      </c>
      <c r="Y648" s="4" t="str">
        <f ca="1">IFERROR(__xludf.DUMMYFUNCTION("""COMPUTED_VALUE"""),"3.1.1 Asset Management")</f>
        <v>3.1.1 Asset Management</v>
      </c>
      <c r="Z648" s="132" t="str">
        <f ca="1">IFERROR(__xludf.DUMMYFUNCTION("""COMPUTED_VALUE"""),"490133")</f>
        <v>490133</v>
      </c>
      <c r="AA648" s="4" t="str">
        <f ca="1">IFERROR(__xludf.DUMMYFUNCTION("""COMPUTED_VALUE"""),"Nuevo Fondo Nacar Altamira Estructurado")</f>
        <v>Nuevo Fondo Nacar Altamira Estructurado</v>
      </c>
      <c r="AB648" s="4" t="str">
        <f ca="1">IFERROR(__xludf.DUMMYFUNCTION("""COMPUTED_VALUE"""),"creación nuevo fondo estructurado para venta por canales de terminal financiero")</f>
        <v>creación nuevo fondo estructurado para venta por canales de terminal financiero</v>
      </c>
      <c r="AC648" s="4" t="str">
        <f ca="1">IFERROR(__xludf.DUMMYFUNCTION("""COMPUTED_VALUE"""),"4Q 2022")</f>
        <v>4Q 2022</v>
      </c>
      <c r="AD648" s="128">
        <f ca="1">IFERROR(__xludf.DUMMYFUNCTION("""COMPUTED_VALUE"""),44317)</f>
        <v>44317</v>
      </c>
      <c r="AE648" s="128">
        <f ca="1">IFERROR(__xludf.DUMMYFUNCTION("""COMPUTED_VALUE"""),44347)</f>
        <v>44347</v>
      </c>
      <c r="AF648" s="128">
        <f ca="1">IFERROR(__xludf.DUMMYFUNCTION("""COMPUTED_VALUE"""),44348)</f>
        <v>44348</v>
      </c>
      <c r="AG648" s="128">
        <f ca="1">IFERROR(__xludf.DUMMYFUNCTION("""COMPUTED_VALUE"""),44377)</f>
        <v>44377</v>
      </c>
      <c r="AH648" s="128">
        <f ca="1">IFERROR(__xludf.DUMMYFUNCTION("""COMPUTED_VALUE"""),44378)</f>
        <v>44378</v>
      </c>
      <c r="AI648" s="128">
        <f ca="1">IFERROR(__xludf.DUMMYFUNCTION("""COMPUTED_VALUE"""),44396)</f>
        <v>44396</v>
      </c>
      <c r="AJ648" s="128">
        <f ca="1">IFERROR(__xludf.DUMMYFUNCTION("""COMPUTED_VALUE"""),44804)</f>
        <v>44804</v>
      </c>
      <c r="AK648" s="131" t="str">
        <f ca="1">IFERROR(__xludf.DUMMYFUNCTION("""COMPUTED_VALUE"""),"CFS1-113")</f>
        <v>CFS1-113</v>
      </c>
      <c r="AL648" s="4" t="str">
        <f ca="1">IFERROR(__xludf.DUMMYFUNCTION("""COMPUTED_VALUE"""),"Deployed")</f>
        <v>Deployed</v>
      </c>
      <c r="AM648" s="4"/>
      <c r="AN648" s="4" t="str">
        <f ca="1">IFERROR(__xludf.DUMMYFUNCTION("""COMPUTED_VALUE"""),"Finalizado")</f>
        <v>Finalizado</v>
      </c>
      <c r="AO648" s="4"/>
      <c r="AP648" s="4"/>
      <c r="AQ648" s="4"/>
      <c r="AR648" s="4" t="str">
        <f ca="1">IFERROR(__xludf.DUMMYFUNCTION("""COMPUTED_VALUE"""),"SDA aprobada en PPP Q1 2023")</f>
        <v>SDA aprobada en PPP Q1 2023</v>
      </c>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133">
        <f ca="1">IFERROR(__xludf.DUMMYFUNCTION("""COMPUTED_VALUE"""),0)</f>
        <v>0</v>
      </c>
      <c r="DV648" s="133">
        <f ca="1">IFERROR(__xludf.DUMMYFUNCTION("""COMPUTED_VALUE"""),0)</f>
        <v>0</v>
      </c>
      <c r="DW648" s="133">
        <f ca="1">IFERROR(__xludf.DUMMYFUNCTION("""COMPUTED_VALUE"""),18750000)</f>
        <v>18750000</v>
      </c>
      <c r="DX648" s="133">
        <f ca="1">IFERROR(__xludf.DUMMYFUNCTION("""COMPUTED_VALUE"""),38000000)</f>
        <v>38000000</v>
      </c>
      <c r="DY648" s="133">
        <f ca="1">IFERROR(__xludf.DUMMYFUNCTION("""COMPUTED_VALUE"""),0)</f>
        <v>0</v>
      </c>
      <c r="DZ648" s="133">
        <f ca="1">IFERROR(__xludf.DUMMYFUNCTION("""COMPUTED_VALUE"""),56750000)</f>
        <v>56750000</v>
      </c>
      <c r="EA648" s="4"/>
      <c r="EB648" s="4"/>
    </row>
    <row r="649" spans="1:132" x14ac:dyDescent="0.2">
      <c r="A649" s="4">
        <f ca="1">IFERROR(__xludf.DUMMYFUNCTION("""COMPUTED_VALUE"""),649)</f>
        <v>649</v>
      </c>
      <c r="B649" s="4">
        <f ca="1">IFERROR(__xludf.DUMMYFUNCTION("""COMPUTED_VALUE"""),620)</f>
        <v>620</v>
      </c>
      <c r="C649" s="4" t="str">
        <f ca="1">IFERROR(__xludf.DUMMYFUNCTION("""COMPUTED_VALUE"""),"SDATOOL-39554")</f>
        <v>SDATOOL-39554</v>
      </c>
      <c r="D649" s="4" t="str">
        <f ca="1">IFERROR(__xludf.DUMMYFUNCTION("""COMPUTED_VALUE"""),"Fiduciaria -Optimizacion procesos Comerciales Fondos de Inversion")</f>
        <v>Fiduciaria -Optimizacion procesos Comerciales Fondos de Inversion</v>
      </c>
      <c r="E649" s="4" t="str">
        <f ca="1">IFERROR(__xludf.DUMMYFUNCTION("""COMPUTED_VALUE"""),"Fiduciaria -Optimizacion procesos Comerciales Fondos Extractos, notificaciones, saldos diarios, parametrias MT940, H2H y multicash")</f>
        <v>Fiduciaria -Optimizacion procesos Comerciales Fondos Extractos, notificaciones, saldos diarios, parametrias MT940, H2H y multicash</v>
      </c>
      <c r="F649" s="4" t="str">
        <f ca="1">IFERROR(__xludf.DUMMYFUNCTION("""COMPUTED_VALUE"""),"Project")</f>
        <v>Project</v>
      </c>
      <c r="G649" s="4" t="str">
        <f ca="1">IFERROR(__xludf.DUMMYFUNCTION("""COMPUTED_VALUE"""),"Ended")</f>
        <v>Ended</v>
      </c>
      <c r="H649" s="4" t="str">
        <f ca="1">IFERROR(__xludf.DUMMYFUNCTION("""COMPUTED_VALUE"""),"1Q 2023")</f>
        <v>1Q 2023</v>
      </c>
      <c r="I649" s="131" t="str">
        <f ca="1">IFERROR(__xludf.DUMMYFUNCTION("""COMPUTED_VALUE"""),"juan.orozco-bbva.com")</f>
        <v>juan.orozco-bbva.com</v>
      </c>
      <c r="J649" s="131" t="str">
        <f ca="1">IFERROR(__xludf.DUMMYFUNCTION("""COMPUTED_VALUE"""),"juan.orozco-bbva.com")</f>
        <v>juan.orozco-bbva.com</v>
      </c>
      <c r="K649" s="131" t="str">
        <f ca="1">IFERROR(__xludf.DUMMYFUNCTION("""COMPUTED_VALUE"""),"fernando.garciameza-bbva.com")</f>
        <v>fernando.garciameza-bbva.com</v>
      </c>
      <c r="L649" s="130">
        <f ca="1">IFERROR(__xludf.DUMMYFUNCTION("""COMPUTED_VALUE"""),0)</f>
        <v>0</v>
      </c>
      <c r="M649" s="130">
        <f ca="1">IFERROR(__xludf.DUMMYFUNCTION("""COMPUTED_VALUE"""),0)</f>
        <v>0</v>
      </c>
      <c r="N649" s="130">
        <f ca="1">IFERROR(__xludf.DUMMYFUNCTION("""COMPUTED_VALUE"""),0)</f>
        <v>0</v>
      </c>
      <c r="O649" s="4" t="str">
        <f ca="1">IFERROR(__xludf.DUMMYFUNCTION("""COMPUTED_VALUE"""),"Waterfall")</f>
        <v>Waterfall</v>
      </c>
      <c r="P649" s="4" t="str">
        <f ca="1">IFERROR(__xludf.DUMMYFUNCTION("""COMPUTED_VALUE"""),"Tradicional")</f>
        <v>Tradicional</v>
      </c>
      <c r="Q649" s="4"/>
      <c r="R649" s="130" t="str">
        <f ca="1">IFERROR(__xludf.DUMMYFUNCTION("""COMPUTED_VALUE"""),"Asset Management		")</f>
        <v xml:space="preserve">Asset Management		</v>
      </c>
      <c r="S649" s="130" t="str">
        <f ca="1">IFERROR(__xludf.DUMMYFUNCTION("""COMPUTED_VALUE"""),"Plan Ascenso Fidu.")</f>
        <v>Plan Ascenso Fidu.</v>
      </c>
      <c r="T649" s="130" t="str">
        <f ca="1">IFERROR(__xludf.DUMMYFUNCTION("""COMPUTED_VALUE"""),"1. Generación de Ingresos")</f>
        <v>1. Generación de Ingresos</v>
      </c>
      <c r="U649" s="130" t="str">
        <f ca="1">IFERROR(__xludf.DUMMYFUNCTION("""COMPUTED_VALUE"""),"1.5. Otros de Proyectos de Ingresos")</f>
        <v>1.5. Otros de Proyectos de Ingresos</v>
      </c>
      <c r="V649" s="4" t="str">
        <f ca="1">IFERROR(__xludf.DUMMYFUNCTION("""COMPUTED_VALUE"""),"Fiduciaria")</f>
        <v>Fiduciaria</v>
      </c>
      <c r="W649" s="4">
        <f ca="1">IFERROR(__xludf.DUMMYFUNCTION("""COMPUTED_VALUE"""),1)</f>
        <v>1</v>
      </c>
      <c r="X649" s="4" t="str">
        <f ca="1">IFERROR(__xludf.DUMMYFUNCTION("""COMPUTED_VALUE"""),"07. Asset management")</f>
        <v>07. Asset management</v>
      </c>
      <c r="Y649" s="4" t="str">
        <f ca="1">IFERROR(__xludf.DUMMYFUNCTION("""COMPUTED_VALUE"""),"3.1.1 Asset Management")</f>
        <v>3.1.1 Asset Management</v>
      </c>
      <c r="Z649" s="132" t="str">
        <f ca="1">IFERROR(__xludf.DUMMYFUNCTION("""COMPUTED_VALUE"""),"490134")</f>
        <v>490134</v>
      </c>
      <c r="AA649" s="4" t="str">
        <f ca="1">IFERROR(__xludf.DUMMYFUNCTION("""COMPUTED_VALUE"""),"Optimizacion procesos Comerciales Fondos Extractos, notificacion")</f>
        <v>Optimizacion procesos Comerciales Fondos Extractos, notificacion</v>
      </c>
      <c r="AB649" s="4" t="str">
        <f ca="1">IFERROR(__xludf.DUMMYFUNCTION("""COMPUTED_VALUE"""),"Optimizacion procesos Comerciales Fondos Extractos, notificacion")</f>
        <v>Optimizacion procesos Comerciales Fondos Extractos, notificacion</v>
      </c>
      <c r="AC649" s="4" t="str">
        <f ca="1">IFERROR(__xludf.DUMMYFUNCTION("""COMPUTED_VALUE"""),"1Q 2023")</f>
        <v>1Q 2023</v>
      </c>
      <c r="AD649" s="128">
        <f ca="1">IFERROR(__xludf.DUMMYFUNCTION("""COMPUTED_VALUE"""),44317)</f>
        <v>44317</v>
      </c>
      <c r="AE649" s="128">
        <f ca="1">IFERROR(__xludf.DUMMYFUNCTION("""COMPUTED_VALUE"""),44377)</f>
        <v>44377</v>
      </c>
      <c r="AF649" s="128">
        <f ca="1">IFERROR(__xludf.DUMMYFUNCTION("""COMPUTED_VALUE"""),44378)</f>
        <v>44378</v>
      </c>
      <c r="AG649" s="128">
        <f ca="1">IFERROR(__xludf.DUMMYFUNCTION("""COMPUTED_VALUE"""),44804)</f>
        <v>44804</v>
      </c>
      <c r="AH649" s="128">
        <f ca="1">IFERROR(__xludf.DUMMYFUNCTION("""COMPUTED_VALUE"""),44805)</f>
        <v>44805</v>
      </c>
      <c r="AI649" s="128">
        <f ca="1">IFERROR(__xludf.DUMMYFUNCTION("""COMPUTED_VALUE"""),44823)</f>
        <v>44823</v>
      </c>
      <c r="AJ649" s="128">
        <f ca="1">IFERROR(__xludf.DUMMYFUNCTION("""COMPUTED_VALUE"""),44895)</f>
        <v>44895</v>
      </c>
      <c r="AK649" s="131" t="str">
        <f ca="1">IFERROR(__xludf.DUMMYFUNCTION("""COMPUTED_VALUE"""),"CFS1-124")</f>
        <v>CFS1-124</v>
      </c>
      <c r="AL649" s="4" t="str">
        <f ca="1">IFERROR(__xludf.DUMMYFUNCTION("""COMPUTED_VALUE"""),"Deployed")</f>
        <v>Deployed</v>
      </c>
      <c r="AM649" s="4"/>
      <c r="AN649" s="4" t="str">
        <f ca="1">IFERROR(__xludf.DUMMYFUNCTION("""COMPUTED_VALUE"""),"Finalizado")</f>
        <v>Finalizado</v>
      </c>
      <c r="AO649" s="4"/>
      <c r="AP649" s="4"/>
      <c r="AQ649" s="4"/>
      <c r="AR649" s="4" t="str">
        <f ca="1">IFERROR(__xludf.DUMMYFUNCTION("""COMPUTED_VALUE"""),"SDA aprobada en PPP Q1 2023")</f>
        <v>SDA aprobada en PPP Q1 2023</v>
      </c>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133">
        <f ca="1">IFERROR(__xludf.DUMMYFUNCTION("""COMPUTED_VALUE"""),0)</f>
        <v>0</v>
      </c>
      <c r="DV649" s="133">
        <f ca="1">IFERROR(__xludf.DUMMYFUNCTION("""COMPUTED_VALUE"""),0)</f>
        <v>0</v>
      </c>
      <c r="DW649" s="133">
        <f ca="1">IFERROR(__xludf.DUMMYFUNCTION("""COMPUTED_VALUE"""),20000000)</f>
        <v>20000000</v>
      </c>
      <c r="DX649" s="133">
        <f ca="1">IFERROR(__xludf.DUMMYFUNCTION("""COMPUTED_VALUE"""),40000000)</f>
        <v>40000000</v>
      </c>
      <c r="DY649" s="133">
        <f ca="1">IFERROR(__xludf.DUMMYFUNCTION("""COMPUTED_VALUE"""),0)</f>
        <v>0</v>
      </c>
      <c r="DZ649" s="133">
        <f ca="1">IFERROR(__xludf.DUMMYFUNCTION("""COMPUTED_VALUE"""),60000000)</f>
        <v>60000000</v>
      </c>
      <c r="EA649" s="4"/>
      <c r="EB649" s="4"/>
    </row>
    <row r="650" spans="1:132" x14ac:dyDescent="0.2">
      <c r="A650" s="4">
        <f ca="1">IFERROR(__xludf.DUMMYFUNCTION("""COMPUTED_VALUE"""),650)</f>
        <v>650</v>
      </c>
      <c r="B650" s="4">
        <f ca="1">IFERROR(__xludf.DUMMYFUNCTION("""COMPUTED_VALUE"""),621)</f>
        <v>621</v>
      </c>
      <c r="C650" s="4" t="str">
        <f ca="1">IFERROR(__xludf.DUMMYFUNCTION("""COMPUTED_VALUE"""),"SDATOOL-39555")</f>
        <v>SDATOOL-39555</v>
      </c>
      <c r="D650" s="4" t="str">
        <f ca="1">IFERROR(__xludf.DUMMYFUNCTION("""COMPUTED_VALUE"""),"Fiduciaria - Vinculación digital de clientes a través de productos inmobiliarios")</f>
        <v>Fiduciaria - Vinculación digital de clientes a través de productos inmobiliarios</v>
      </c>
      <c r="E650" s="4" t="str">
        <f ca="1">IFERROR(__xludf.DUMMYFUNCTION("""COMPUTED_VALUE"""),"Habilitar la vinculación web de manera digital a clientes e interesados en adquirir unidades de proyectos inmobiliarios.")</f>
        <v>Habilitar la vinculación web de manera digital a clientes e interesados en adquirir unidades de proyectos inmobiliarios.</v>
      </c>
      <c r="F650" s="4" t="str">
        <f ca="1">IFERROR(__xludf.DUMMYFUNCTION("""COMPUTED_VALUE"""),"Project")</f>
        <v>Project</v>
      </c>
      <c r="G650" s="4" t="str">
        <f ca="1">IFERROR(__xludf.DUMMYFUNCTION("""COMPUTED_VALUE"""),"Stock")</f>
        <v>Stock</v>
      </c>
      <c r="H650" s="4" t="str">
        <f ca="1">IFERROR(__xludf.DUMMYFUNCTION("""COMPUTED_VALUE"""),"3Q 2023")</f>
        <v>3Q 2023</v>
      </c>
      <c r="I650" s="131" t="str">
        <f ca="1">IFERROR(__xludf.DUMMYFUNCTION("""COMPUTED_VALUE"""),"juan.orozco-bbva.com")</f>
        <v>juan.orozco-bbva.com</v>
      </c>
      <c r="J650" s="131" t="str">
        <f ca="1">IFERROR(__xludf.DUMMYFUNCTION("""COMPUTED_VALUE"""),"juan.orozco-bbva.com")</f>
        <v>juan.orozco-bbva.com</v>
      </c>
      <c r="K650" s="131" t="str">
        <f ca="1">IFERROR(__xludf.DUMMYFUNCTION("""COMPUTED_VALUE"""),"felipesantiago.araujo-bbva.com")</f>
        <v>felipesantiago.araujo-bbva.com</v>
      </c>
      <c r="L650" s="130">
        <f ca="1">IFERROR(__xludf.DUMMYFUNCTION("""COMPUTED_VALUE"""),0.25)</f>
        <v>0.25</v>
      </c>
      <c r="M650" s="130">
        <f ca="1">IFERROR(__xludf.DUMMYFUNCTION("""COMPUTED_VALUE"""),0)</f>
        <v>0</v>
      </c>
      <c r="N650" s="130">
        <f ca="1">IFERROR(__xludf.DUMMYFUNCTION("""COMPUTED_VALUE"""),0)</f>
        <v>0</v>
      </c>
      <c r="O650" s="4" t="str">
        <f ca="1">IFERROR(__xludf.DUMMYFUNCTION("""COMPUTED_VALUE"""),"Waterfall")</f>
        <v>Waterfall</v>
      </c>
      <c r="P650" s="4" t="str">
        <f ca="1">IFERROR(__xludf.DUMMYFUNCTION("""COMPUTED_VALUE"""),"Tradicional")</f>
        <v>Tradicional</v>
      </c>
      <c r="Q650" s="4"/>
      <c r="R650" s="130" t="str">
        <f ca="1">IFERROR(__xludf.DUMMYFUNCTION("""COMPUTED_VALUE"""),"Asset Management		")</f>
        <v xml:space="preserve">Asset Management		</v>
      </c>
      <c r="S650" s="130" t="str">
        <f ca="1">IFERROR(__xludf.DUMMYFUNCTION("""COMPUTED_VALUE"""),"Plan Ascenso Fidu.")</f>
        <v>Plan Ascenso Fidu.</v>
      </c>
      <c r="T650" s="130" t="str">
        <f ca="1">IFERROR(__xludf.DUMMYFUNCTION("""COMPUTED_VALUE"""),"1. Generación de Ingresos")</f>
        <v>1. Generación de Ingresos</v>
      </c>
      <c r="U650" s="130" t="str">
        <f ca="1">IFERROR(__xludf.DUMMYFUNCTION("""COMPUTED_VALUE"""),"1.5. Otros de Proyectos de Ingresos")</f>
        <v>1.5. Otros de Proyectos de Ingresos</v>
      </c>
      <c r="V650" s="4" t="str">
        <f ca="1">IFERROR(__xludf.DUMMYFUNCTION("""COMPUTED_VALUE"""),"Fiduciaria")</f>
        <v>Fiduciaria</v>
      </c>
      <c r="W650" s="4">
        <f ca="1">IFERROR(__xludf.DUMMYFUNCTION("""COMPUTED_VALUE"""),1)</f>
        <v>1</v>
      </c>
      <c r="X650" s="4" t="str">
        <f ca="1">IFERROR(__xludf.DUMMYFUNCTION("""COMPUTED_VALUE"""),"07. Asset management")</f>
        <v>07. Asset management</v>
      </c>
      <c r="Y650" s="4" t="str">
        <f ca="1">IFERROR(__xludf.DUMMYFUNCTION("""COMPUTED_VALUE"""),"3.1.1 Asset Management")</f>
        <v>3.1.1 Asset Management</v>
      </c>
      <c r="Z650" s="132" t="str">
        <f ca="1">IFERROR(__xludf.DUMMYFUNCTION("""COMPUTED_VALUE"""),"490139")</f>
        <v>490139</v>
      </c>
      <c r="AA650" s="4" t="str">
        <f ca="1">IFERROR(__xludf.DUMMYFUNCTION("""COMPUTED_VALUE"""),"Vinculación digital de clientes a través de productos inmobiliarios")</f>
        <v>Vinculación digital de clientes a través de productos inmobiliarios</v>
      </c>
      <c r="AB650" s="4" t="str">
        <f ca="1">IFERROR(__xludf.DUMMYFUNCTION("""COMPUTED_VALUE"""),"Realizar la vinculación de manera digital a clientes y personas interesadas en adquirir las unidades de un proyecto inmobiliario (casas, apartamentos y oficinas)")</f>
        <v>Realizar la vinculación de manera digital a clientes y personas interesadas en adquirir las unidades de un proyecto inmobiliario (casas, apartamentos y oficinas)</v>
      </c>
      <c r="AC650" s="4" t="str">
        <f ca="1">IFERROR(__xludf.DUMMYFUNCTION("""COMPUTED_VALUE"""),"2Q 2023")</f>
        <v>2Q 2023</v>
      </c>
      <c r="AD650" s="128">
        <f ca="1">IFERROR(__xludf.DUMMYFUNCTION("""COMPUTED_VALUE"""),44317)</f>
        <v>44317</v>
      </c>
      <c r="AE650" s="128">
        <f ca="1">IFERROR(__xludf.DUMMYFUNCTION("""COMPUTED_VALUE"""),44377)</f>
        <v>44377</v>
      </c>
      <c r="AF650" s="128">
        <f ca="1">IFERROR(__xludf.DUMMYFUNCTION("""COMPUTED_VALUE"""),44392)</f>
        <v>44392</v>
      </c>
      <c r="AG650" s="128">
        <f ca="1">IFERROR(__xludf.DUMMYFUNCTION("""COMPUTED_VALUE"""),44895)</f>
        <v>44895</v>
      </c>
      <c r="AH650" s="128">
        <f ca="1">IFERROR(__xludf.DUMMYFUNCTION("""COMPUTED_VALUE"""),44896)</f>
        <v>44896</v>
      </c>
      <c r="AI650" s="128">
        <f ca="1">IFERROR(__xludf.DUMMYFUNCTION("""COMPUTED_VALUE"""),44959)</f>
        <v>44959</v>
      </c>
      <c r="AJ650" s="128">
        <f ca="1">IFERROR(__xludf.DUMMYFUNCTION("""COMPUTED_VALUE"""),45016)</f>
        <v>45016</v>
      </c>
      <c r="AK650" s="131" t="str">
        <f ca="1">IFERROR(__xludf.DUMMYFUNCTION("""COMPUTED_VALUE"""),"COLWSFIDUC-5")</f>
        <v>COLWSFIDUC-5</v>
      </c>
      <c r="AL650" s="4" t="str">
        <f ca="1">IFERROR(__xludf.DUMMYFUNCTION("""COMPUTED_VALUE"""),"Analysing")</f>
        <v>Analysing</v>
      </c>
      <c r="AM650" s="4"/>
      <c r="AN650" s="4" t="str">
        <f ca="1">IFERROR(__xludf.DUMMYFUNCTION("""COMPUTED_VALUE"""),"Entregable en desarrollo")</f>
        <v>Entregable en desarrollo</v>
      </c>
      <c r="AO650" s="4"/>
      <c r="AP650" s="4"/>
      <c r="AQ650" s="4"/>
      <c r="AR650" s="4" t="str">
        <f ca="1">IFERROR(__xludf.DUMMYFUNCTION("""COMPUTED_VALUE"""),"SDA aprobada en PPP Q1 2023")</f>
        <v>SDA aprobada en PPP Q1 2023</v>
      </c>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133">
        <f ca="1">IFERROR(__xludf.DUMMYFUNCTION("""COMPUTED_VALUE"""),0)</f>
        <v>0</v>
      </c>
      <c r="DV650" s="133">
        <f ca="1">IFERROR(__xludf.DUMMYFUNCTION("""COMPUTED_VALUE"""),0)</f>
        <v>0</v>
      </c>
      <c r="DW650" s="133">
        <f ca="1">IFERROR(__xludf.DUMMYFUNCTION("""COMPUTED_VALUE"""),142000000)</f>
        <v>142000000</v>
      </c>
      <c r="DX650" s="133">
        <f ca="1">IFERROR(__xludf.DUMMYFUNCTION("""COMPUTED_VALUE"""),286000000)</f>
        <v>286000000</v>
      </c>
      <c r="DY650" s="133">
        <f ca="1">IFERROR(__xludf.DUMMYFUNCTION("""COMPUTED_VALUE"""),0)</f>
        <v>0</v>
      </c>
      <c r="DZ650" s="133">
        <f ca="1">IFERROR(__xludf.DUMMYFUNCTION("""COMPUTED_VALUE"""),428000000)</f>
        <v>428000000</v>
      </c>
      <c r="EA650" s="4"/>
      <c r="EB650" s="4"/>
    </row>
    <row r="651" spans="1:132" x14ac:dyDescent="0.2">
      <c r="A651" s="4">
        <f ca="1">IFERROR(__xludf.DUMMYFUNCTION("""COMPUTED_VALUE"""),651)</f>
        <v>651</v>
      </c>
      <c r="B651" s="4">
        <f ca="1">IFERROR(__xludf.DUMMYFUNCTION("""COMPUTED_VALUE"""),622)</f>
        <v>622</v>
      </c>
      <c r="C651" s="4" t="str">
        <f ca="1">IFERROR(__xludf.DUMMYFUNCTION("""COMPUTED_VALUE"""),"SDATOOL-39572")</f>
        <v>SDATOOL-39572</v>
      </c>
      <c r="D651" s="4" t="str">
        <f ca="1">IFERROR(__xludf.DUMMYFUNCTION("""COMPUTED_VALUE"""),"Fiduciaria - Autogestión documental en la vinculación productos inmobiliarios")</f>
        <v>Fiduciaria - Autogestión documental en la vinculación productos inmobiliarios</v>
      </c>
      <c r="E651" s="4" t="str">
        <f ca="1">IFERROR(__xludf.DUMMYFUNCTION("""COMPUTED_VALUE"""),"Funcionalidad WEB que permita a los clientes de fiducia inmobiliaria autogestionar los documentos relacionados con la vinculación digital al proyecto inmobiliario y los relacionados con procesos de desistimientos, cesiones y otrosíes dentro del proyecto i"&amp;"nmobiliario.,")</f>
        <v>Funcionalidad WEB que permita a los clientes de fiducia inmobiliaria autogestionar los documentos relacionados con la vinculación digital al proyecto inmobiliario y los relacionados con procesos de desistimientos, cesiones y otrosíes dentro del proyecto inmobiliario.,</v>
      </c>
      <c r="F651" s="4" t="str">
        <f ca="1">IFERROR(__xludf.DUMMYFUNCTION("""COMPUTED_VALUE"""),"Project")</f>
        <v>Project</v>
      </c>
      <c r="G651" s="4" t="str">
        <f ca="1">IFERROR(__xludf.DUMMYFUNCTION("""COMPUTED_VALUE"""),"Stock")</f>
        <v>Stock</v>
      </c>
      <c r="H651" s="4" t="str">
        <f ca="1">IFERROR(__xludf.DUMMYFUNCTION("""COMPUTED_VALUE"""),"3Q 2023")</f>
        <v>3Q 2023</v>
      </c>
      <c r="I651" s="131" t="str">
        <f ca="1">IFERROR(__xludf.DUMMYFUNCTION("""COMPUTED_VALUE"""),"juan.orozco-bbva.com")</f>
        <v>juan.orozco-bbva.com</v>
      </c>
      <c r="J651" s="131" t="str">
        <f ca="1">IFERROR(__xludf.DUMMYFUNCTION("""COMPUTED_VALUE"""),"juan.orozco-bbva.com")</f>
        <v>juan.orozco-bbva.com</v>
      </c>
      <c r="K651" s="131" t="str">
        <f ca="1">IFERROR(__xludf.DUMMYFUNCTION("""COMPUTED_VALUE"""),"felipesantiago.araujo-bbva.com")</f>
        <v>felipesantiago.araujo-bbva.com</v>
      </c>
      <c r="L651" s="130">
        <f ca="1">IFERROR(__xludf.DUMMYFUNCTION("""COMPUTED_VALUE"""),0.25)</f>
        <v>0.25</v>
      </c>
      <c r="M651" s="130">
        <f ca="1">IFERROR(__xludf.DUMMYFUNCTION("""COMPUTED_VALUE"""),0)</f>
        <v>0</v>
      </c>
      <c r="N651" s="130">
        <f ca="1">IFERROR(__xludf.DUMMYFUNCTION("""COMPUTED_VALUE"""),0)</f>
        <v>0</v>
      </c>
      <c r="O651" s="4" t="str">
        <f ca="1">IFERROR(__xludf.DUMMYFUNCTION("""COMPUTED_VALUE"""),"Waterfall")</f>
        <v>Waterfall</v>
      </c>
      <c r="P651" s="4" t="str">
        <f ca="1">IFERROR(__xludf.DUMMYFUNCTION("""COMPUTED_VALUE"""),"Tradicional")</f>
        <v>Tradicional</v>
      </c>
      <c r="Q651" s="4"/>
      <c r="R651" s="130" t="str">
        <f ca="1">IFERROR(__xludf.DUMMYFUNCTION("""COMPUTED_VALUE"""),"Asset Management		")</f>
        <v xml:space="preserve">Asset Management		</v>
      </c>
      <c r="S651" s="130" t="str">
        <f ca="1">IFERROR(__xludf.DUMMYFUNCTION("""COMPUTED_VALUE"""),"Plan Ascenso Fidu.")</f>
        <v>Plan Ascenso Fidu.</v>
      </c>
      <c r="T651" s="130" t="str">
        <f ca="1">IFERROR(__xludf.DUMMYFUNCTION("""COMPUTED_VALUE"""),"1. Generación de Ingresos")</f>
        <v>1. Generación de Ingresos</v>
      </c>
      <c r="U651" s="130" t="str">
        <f ca="1">IFERROR(__xludf.DUMMYFUNCTION("""COMPUTED_VALUE"""),"1.5. Otros de Proyectos de Ingresos")</f>
        <v>1.5. Otros de Proyectos de Ingresos</v>
      </c>
      <c r="V651" s="4" t="str">
        <f ca="1">IFERROR(__xludf.DUMMYFUNCTION("""COMPUTED_VALUE"""),"Fiduciaria")</f>
        <v>Fiduciaria</v>
      </c>
      <c r="W651" s="4">
        <f ca="1">IFERROR(__xludf.DUMMYFUNCTION("""COMPUTED_VALUE"""),1)</f>
        <v>1</v>
      </c>
      <c r="X651" s="4" t="str">
        <f ca="1">IFERROR(__xludf.DUMMYFUNCTION("""COMPUTED_VALUE"""),"07. Asset management")</f>
        <v>07. Asset management</v>
      </c>
      <c r="Y651" s="4" t="str">
        <f ca="1">IFERROR(__xludf.DUMMYFUNCTION("""COMPUTED_VALUE"""),"3.1.1 Asset Management")</f>
        <v>3.1.1 Asset Management</v>
      </c>
      <c r="Z651" s="132" t="str">
        <f ca="1">IFERROR(__xludf.DUMMYFUNCTION("""COMPUTED_VALUE"""),"490299")</f>
        <v>490299</v>
      </c>
      <c r="AA651" s="4" t="str">
        <f ca="1">IFERROR(__xludf.DUMMYFUNCTION("""COMPUTED_VALUE"""),"Autogestión documental en la vinculación productos inmobiliarios")</f>
        <v>Autogestión documental en la vinculación productos inmobiliarios</v>
      </c>
      <c r="AB651" s="4" t="str">
        <f ca="1">IFERROR(__xludf.DUMMYFUNCTION("""COMPUTED_VALUE"""),"Firma digital de contrato (comprador, proyecto inmobiliario y Fiduciaria BBVA)
Firma digital de otrosíes 
Generación de movimiento de cuenta individual (aportes)
Generación de certificados tributarios.
Créditos Pre-aprobados de Banco BBVA para Proyectos i"&amp;"nmobiliarios")</f>
        <v>Firma digital de contrato (comprador, proyecto inmobiliario y Fiduciaria BBVA)
Firma digital de otrosíes 
Generación de movimiento de cuenta individual (aportes)
Generación de certificados tributarios.
Créditos Pre-aprobados de Banco BBVA para Proyectos inmobiliarios</v>
      </c>
      <c r="AC651" s="4" t="str">
        <f ca="1">IFERROR(__xludf.DUMMYFUNCTION("""COMPUTED_VALUE"""),"2Q 2023")</f>
        <v>2Q 2023</v>
      </c>
      <c r="AD651" s="4"/>
      <c r="AE651" s="4"/>
      <c r="AF651" s="4"/>
      <c r="AG651" s="4"/>
      <c r="AH651" s="4"/>
      <c r="AI651" s="4"/>
      <c r="AJ651" s="4"/>
      <c r="AK651" s="131" t="str">
        <f ca="1">IFERROR(__xludf.DUMMYFUNCTION("""COMPUTED_VALUE"""),"COLWSFIDUC-24")</f>
        <v>COLWSFIDUC-24</v>
      </c>
      <c r="AL651" s="4" t="str">
        <f ca="1">IFERROR(__xludf.DUMMYFUNCTION("""COMPUTED_VALUE"""),"New")</f>
        <v>New</v>
      </c>
      <c r="AM651" s="4"/>
      <c r="AN651" s="4" t="str">
        <f ca="1">IFERROR(__xludf.DUMMYFUNCTION("""COMPUTED_VALUE"""),"Entregable en desarrollo")</f>
        <v>Entregable en desarrollo</v>
      </c>
      <c r="AO651" s="4"/>
      <c r="AP651" s="4"/>
      <c r="AQ651" s="4"/>
      <c r="AR651" s="4" t="str">
        <f ca="1">IFERROR(__xludf.DUMMYFUNCTION("""COMPUTED_VALUE"""),"SDA aprobada en PPP Q1 2023")</f>
        <v>SDA aprobada en PPP Q1 2023</v>
      </c>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133">
        <f ca="1">IFERROR(__xludf.DUMMYFUNCTION("""COMPUTED_VALUE"""),0)</f>
        <v>0</v>
      </c>
      <c r="DV651" s="133">
        <f ca="1">IFERROR(__xludf.DUMMYFUNCTION("""COMPUTED_VALUE"""),0)</f>
        <v>0</v>
      </c>
      <c r="DW651" s="133">
        <f ca="1">IFERROR(__xludf.DUMMYFUNCTION("""COMPUTED_VALUE"""),0)</f>
        <v>0</v>
      </c>
      <c r="DX651" s="133">
        <f ca="1">IFERROR(__xludf.DUMMYFUNCTION("""COMPUTED_VALUE"""),424000000)</f>
        <v>424000000</v>
      </c>
      <c r="DY651" s="133">
        <f ca="1">IFERROR(__xludf.DUMMYFUNCTION("""COMPUTED_VALUE"""),0)</f>
        <v>0</v>
      </c>
      <c r="DZ651" s="133">
        <f ca="1">IFERROR(__xludf.DUMMYFUNCTION("""COMPUTED_VALUE"""),424000000)</f>
        <v>424000000</v>
      </c>
      <c r="EA651" s="4"/>
      <c r="EB651" s="4"/>
    </row>
    <row r="652" spans="1:132" x14ac:dyDescent="0.2">
      <c r="A652" s="4">
        <f ca="1">IFERROR(__xludf.DUMMYFUNCTION("""COMPUTED_VALUE"""),652)</f>
        <v>652</v>
      </c>
      <c r="B652" s="4">
        <f ca="1">IFERROR(__xludf.DUMMYFUNCTION("""COMPUTED_VALUE"""),623)</f>
        <v>623</v>
      </c>
      <c r="C652" s="4" t="str">
        <f ca="1">IFERROR(__xludf.DUMMYFUNCTION("""COMPUTED_VALUE"""),"SDATOOL-39283")</f>
        <v>SDATOOL-39283</v>
      </c>
      <c r="D652" s="4" t="str">
        <f ca="1">IFERROR(__xludf.DUMMYFUNCTION("""COMPUTED_VALUE"""),"Fiduciaria - Obsolescencia software Base aplicativo Central")</f>
        <v>Fiduciaria - Obsolescencia software Base aplicativo Central</v>
      </c>
      <c r="E652" s="4" t="str">
        <f ca="1">IFERROR(__xludf.DUMMYFUNCTION("""COMPUTED_VALUE"""),"Se requiere la actualización de las ultimas versiones de bases de datos, servidor aplicativo, piezas de seguridad de los aplicativos MIDAS, Central y FIDUSAP en BBVA fiduciaria")</f>
        <v>Se requiere la actualización de las ultimas versiones de bases de datos, servidor aplicativo, piezas de seguridad de los aplicativos MIDAS, Central y FIDUSAP en BBVA fiduciaria</v>
      </c>
      <c r="F652" s="4" t="str">
        <f ca="1">IFERROR(__xludf.DUMMYFUNCTION("""COMPUTED_VALUE"""),"Initiative")</f>
        <v>Initiative</v>
      </c>
      <c r="G652" s="4" t="str">
        <f ca="1">IFERROR(__xludf.DUMMYFUNCTION("""COMPUTED_VALUE"""),"Stock")</f>
        <v>Stock</v>
      </c>
      <c r="H652" s="4" t="str">
        <f ca="1">IFERROR(__xludf.DUMMYFUNCTION("""COMPUTED_VALUE"""),"2Q 2023")</f>
        <v>2Q 2023</v>
      </c>
      <c r="I652" s="131" t="str">
        <f ca="1">IFERROR(__xludf.DUMMYFUNCTION("""COMPUTED_VALUE"""),"juan.orozco-bbva.com")</f>
        <v>juan.orozco-bbva.com</v>
      </c>
      <c r="J652" s="131" t="str">
        <f ca="1">IFERROR(__xludf.DUMMYFUNCTION("""COMPUTED_VALUE"""),"jorge.blanco-bbva.com")</f>
        <v>jorge.blanco-bbva.com</v>
      </c>
      <c r="K652" s="131" t="str">
        <f ca="1">IFERROR(__xludf.DUMMYFUNCTION("""COMPUTED_VALUE"""),"juan.orozco-bbva.com")</f>
        <v>juan.orozco-bbva.com</v>
      </c>
      <c r="L652" s="130">
        <f ca="1">IFERROR(__xludf.DUMMYFUNCTION("""COMPUTED_VALUE"""),0)</f>
        <v>0</v>
      </c>
      <c r="M652" s="130">
        <f ca="1">IFERROR(__xludf.DUMMYFUNCTION("""COMPUTED_VALUE"""),0)</f>
        <v>0</v>
      </c>
      <c r="N652" s="130">
        <f ca="1">IFERROR(__xludf.DUMMYFUNCTION("""COMPUTED_VALUE"""),0)</f>
        <v>0</v>
      </c>
      <c r="O652" s="4" t="str">
        <f ca="1">IFERROR(__xludf.DUMMYFUNCTION("""COMPUTED_VALUE"""),"Waterfall")</f>
        <v>Waterfall</v>
      </c>
      <c r="P652" s="4" t="str">
        <f ca="1">IFERROR(__xludf.DUMMYFUNCTION("""COMPUTED_VALUE"""),"Tradicional")</f>
        <v>Tradicional</v>
      </c>
      <c r="Q652" s="4"/>
      <c r="R652" s="130" t="str">
        <f ca="1">IFERROR(__xludf.DUMMYFUNCTION("""COMPUTED_VALUE"""),"Asset Management		")</f>
        <v xml:space="preserve">Asset Management		</v>
      </c>
      <c r="S652" s="130" t="str">
        <f ca="1">IFERROR(__xludf.DUMMYFUNCTION("""COMPUTED_VALUE""")," Otros")</f>
        <v xml:space="preserve"> Otros</v>
      </c>
      <c r="T652" s="130" t="str">
        <f ca="1">IFERROR(__xludf.DUMMYFUNCTION("""COMPUTED_VALUE"""),"1. Generación de Ingresos")</f>
        <v>1. Generación de Ingresos</v>
      </c>
      <c r="U652" s="130" t="str">
        <f ca="1">IFERROR(__xludf.DUMMYFUNCTION("""COMPUTED_VALUE"""),"1.5. Otros de Proyectos de Ingresos")</f>
        <v>1.5. Otros de Proyectos de Ingresos</v>
      </c>
      <c r="V652" s="4" t="str">
        <f ca="1">IFERROR(__xludf.DUMMYFUNCTION("""COMPUTED_VALUE"""),"Fiduciaria")</f>
        <v>Fiduciaria</v>
      </c>
      <c r="W652" s="4">
        <f ca="1">IFERROR(__xludf.DUMMYFUNCTION("""COMPUTED_VALUE"""),3)</f>
        <v>3</v>
      </c>
      <c r="X652" s="4" t="str">
        <f ca="1">IFERROR(__xludf.DUMMYFUNCTION("""COMPUTED_VALUE"""),"10. Otros")</f>
        <v>10. Otros</v>
      </c>
      <c r="Y652" s="4" t="str">
        <f ca="1">IFERROR(__xludf.DUMMYFUNCTION("""COMPUTED_VALUE""")," Otros")</f>
        <v xml:space="preserve"> Otros</v>
      </c>
      <c r="Z652" s="132" t="str">
        <f ca="1">IFERROR(__xludf.DUMMYFUNCTION("""COMPUTED_VALUE"""),"444393")</f>
        <v>444393</v>
      </c>
      <c r="AA652" s="4" t="str">
        <f ca="1">IFERROR(__xludf.DUMMYFUNCTION("""COMPUTED_VALUE"""),"Actualización del software Base aplicativo Central")</f>
        <v>Actualización del software Base aplicativo Central</v>
      </c>
      <c r="AB652" s="4" t="str">
        <f ca="1">IFERROR(__xludf.DUMMYFUNCTION("""COMPUTED_VALUE"""),"Actualización del software base aplicativo CORE central de  SQLSERVER 2008 R2 a SQLSERVER 2019")</f>
        <v>Actualización del software base aplicativo CORE central de  SQLSERVER 2008 R2 a SQLSERVER 2019</v>
      </c>
      <c r="AC652" s="4" t="str">
        <f ca="1">IFERROR(__xludf.DUMMYFUNCTION("""COMPUTED_VALUE"""),"2Q 2023")</f>
        <v>2Q 2023</v>
      </c>
      <c r="AD652" s="4"/>
      <c r="AE652" s="4"/>
      <c r="AF652" s="4"/>
      <c r="AG652" s="4"/>
      <c r="AH652" s="4"/>
      <c r="AI652" s="4"/>
      <c r="AJ652" s="4"/>
      <c r="AK652" s="131" t="str">
        <f ca="1">IFERROR(__xludf.DUMMYFUNCTION("""COMPUTED_VALUE"""),"CFS1-168")</f>
        <v>CFS1-168</v>
      </c>
      <c r="AL652" s="4" t="str">
        <f ca="1">IFERROR(__xludf.DUMMYFUNCTION("""COMPUTED_VALUE"""),"En progreso")</f>
        <v>En progreso</v>
      </c>
      <c r="AM652" s="4"/>
      <c r="AN652" s="4" t="str">
        <f ca="1">IFERROR(__xludf.DUMMYFUNCTION("""COMPUTED_VALUE"""),"Entregable en desarrollo")</f>
        <v>Entregable en desarrollo</v>
      </c>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133">
        <f ca="1">IFERROR(__xludf.DUMMYFUNCTION("""COMPUTED_VALUE"""),0)</f>
        <v>0</v>
      </c>
      <c r="DV652" s="133">
        <f ca="1">IFERROR(__xludf.DUMMYFUNCTION("""COMPUTED_VALUE"""),0)</f>
        <v>0</v>
      </c>
      <c r="DW652" s="133">
        <f ca="1">IFERROR(__xludf.DUMMYFUNCTION("""COMPUTED_VALUE"""),0)</f>
        <v>0</v>
      </c>
      <c r="DX652" s="133">
        <f ca="1">IFERROR(__xludf.DUMMYFUNCTION("""COMPUTED_VALUE"""),52000000)</f>
        <v>52000000</v>
      </c>
      <c r="DY652" s="133">
        <f ca="1">IFERROR(__xludf.DUMMYFUNCTION("""COMPUTED_VALUE"""),0)</f>
        <v>0</v>
      </c>
      <c r="DZ652" s="133">
        <f ca="1">IFERROR(__xludf.DUMMYFUNCTION("""COMPUTED_VALUE"""),52000000)</f>
        <v>52000000</v>
      </c>
      <c r="EA652" s="4"/>
      <c r="EB652" s="4"/>
    </row>
    <row r="653" spans="1:132" x14ac:dyDescent="0.2">
      <c r="A653" s="4">
        <f ca="1">IFERROR(__xludf.DUMMYFUNCTION("""COMPUTED_VALUE"""),653)</f>
        <v>653</v>
      </c>
      <c r="B653" s="4">
        <f ca="1">IFERROR(__xludf.DUMMYFUNCTION("""COMPUTED_VALUE"""),624)</f>
        <v>624</v>
      </c>
      <c r="C653" s="4" t="str">
        <f ca="1">IFERROR(__xludf.DUMMYFUNCTION("""COMPUTED_VALUE"""),"SDATOOL-40012")</f>
        <v>SDATOOL-40012</v>
      </c>
      <c r="D653" s="4" t="str">
        <f ca="1">IFERROR(__xludf.DUMMYFUNCTION("""COMPUTED_VALUE"""),"Fiduciaria - Obsolecencia aplicativa para los módulos de rendición de cuentas, Telefónica Factoring y EEFF")</f>
        <v>Fiduciaria - Obsolecencia aplicativa para los módulos de rendición de cuentas, Telefónica Factoring y EEFF</v>
      </c>
      <c r="E653" s="4" t="str">
        <f ca="1">IFERROR(__xludf.DUMMYFUNCTION("""COMPUTED_VALUE"""),"Implantación de las actualizaciones de los módulos EEFF , Factoring, Rendición de cuentas, Transmisiones")</f>
        <v>Implantación de las actualizaciones de los módulos EEFF , Factoring, Rendición de cuentas, Transmisiones</v>
      </c>
      <c r="F653" s="4" t="str">
        <f ca="1">IFERROR(__xludf.DUMMYFUNCTION("""COMPUTED_VALUE"""),"Initiative")</f>
        <v>Initiative</v>
      </c>
      <c r="G653" s="4" t="str">
        <f ca="1">IFERROR(__xludf.DUMMYFUNCTION("""COMPUTED_VALUE"""),"Stock")</f>
        <v>Stock</v>
      </c>
      <c r="H653" s="4" t="str">
        <f ca="1">IFERROR(__xludf.DUMMYFUNCTION("""COMPUTED_VALUE"""),"2Q 2023")</f>
        <v>2Q 2023</v>
      </c>
      <c r="I653" s="131" t="str">
        <f ca="1">IFERROR(__xludf.DUMMYFUNCTION("""COMPUTED_VALUE"""),"juan.orozco-bbva.com")</f>
        <v>juan.orozco-bbva.com</v>
      </c>
      <c r="J653" s="131" t="str">
        <f ca="1">IFERROR(__xludf.DUMMYFUNCTION("""COMPUTED_VALUE"""),"diana.bedoya-bbva.com")</f>
        <v>diana.bedoya-bbva.com</v>
      </c>
      <c r="K653" s="131" t="str">
        <f ca="1">IFERROR(__xludf.DUMMYFUNCTION("""COMPUTED_VALUE"""),"mauricio.wandurraga-bbva.com")</f>
        <v>mauricio.wandurraga-bbva.com</v>
      </c>
      <c r="L653" s="130">
        <f ca="1">IFERROR(__xludf.DUMMYFUNCTION("""COMPUTED_VALUE"""),0)</f>
        <v>0</v>
      </c>
      <c r="M653" s="130">
        <f ca="1">IFERROR(__xludf.DUMMYFUNCTION("""COMPUTED_VALUE"""),0)</f>
        <v>0</v>
      </c>
      <c r="N653" s="130">
        <f ca="1">IFERROR(__xludf.DUMMYFUNCTION("""COMPUTED_VALUE"""),0)</f>
        <v>0</v>
      </c>
      <c r="O653" s="4" t="str">
        <f ca="1">IFERROR(__xludf.DUMMYFUNCTION("""COMPUTED_VALUE"""),"Waterfall")</f>
        <v>Waterfall</v>
      </c>
      <c r="P653" s="4" t="str">
        <f ca="1">IFERROR(__xludf.DUMMYFUNCTION("""COMPUTED_VALUE"""),"Tradicional")</f>
        <v>Tradicional</v>
      </c>
      <c r="Q653" s="4"/>
      <c r="R653" s="130" t="str">
        <f ca="1">IFERROR(__xludf.DUMMYFUNCTION("""COMPUTED_VALUE"""),"Asset Management		")</f>
        <v xml:space="preserve">Asset Management		</v>
      </c>
      <c r="S653" s="130" t="str">
        <f ca="1">IFERROR(__xludf.DUMMYFUNCTION("""COMPUTED_VALUE""")," Otros")</f>
        <v xml:space="preserve"> Otros</v>
      </c>
      <c r="T653" s="130" t="str">
        <f ca="1">IFERROR(__xludf.DUMMYFUNCTION("""COMPUTED_VALUE"""),"1. Generación de Ingresos")</f>
        <v>1. Generación de Ingresos</v>
      </c>
      <c r="U653" s="130" t="str">
        <f ca="1">IFERROR(__xludf.DUMMYFUNCTION("""COMPUTED_VALUE"""),"1.5. Otros de Proyectos de Ingresos")</f>
        <v>1.5. Otros de Proyectos de Ingresos</v>
      </c>
      <c r="V653" s="4" t="str">
        <f ca="1">IFERROR(__xludf.DUMMYFUNCTION("""COMPUTED_VALUE"""),"Fiduciaria")</f>
        <v>Fiduciaria</v>
      </c>
      <c r="W653" s="4">
        <f ca="1">IFERROR(__xludf.DUMMYFUNCTION("""COMPUTED_VALUE"""),3)</f>
        <v>3</v>
      </c>
      <c r="X653" s="4" t="str">
        <f ca="1">IFERROR(__xludf.DUMMYFUNCTION("""COMPUTED_VALUE"""),"10. Otros")</f>
        <v>10. Otros</v>
      </c>
      <c r="Y653" s="4" t="str">
        <f ca="1">IFERROR(__xludf.DUMMYFUNCTION("""COMPUTED_VALUE""")," Otros")</f>
        <v xml:space="preserve"> Otros</v>
      </c>
      <c r="Z653" s="132" t="str">
        <f ca="1">IFERROR(__xludf.DUMMYFUNCTION("""COMPUTED_VALUE"""),"553432")</f>
        <v>553432</v>
      </c>
      <c r="AA653" s="4" t="str">
        <f ca="1">IFERROR(__xludf.DUMMYFUNCTION("""COMPUTED_VALUE"""),"Optimización modulo EEFF , Factoring, Rendición de cuentas, Transmisiones")</f>
        <v>Optimización modulo EEFF , Factoring, Rendición de cuentas, Transmisiones</v>
      </c>
      <c r="AB653" s="4" t="str">
        <f ca="1">IFERROR(__xludf.DUMMYFUNCTION("""COMPUTED_VALUE"""),"Implantación de los módulos EEFF , Factoring, Rendición de cuentas, Transmisiones")</f>
        <v>Implantación de los módulos EEFF , Factoring, Rendición de cuentas, Transmisiones</v>
      </c>
      <c r="AC653" s="4" t="str">
        <f ca="1">IFERROR(__xludf.DUMMYFUNCTION("""COMPUTED_VALUE"""),"2Q 2023")</f>
        <v>2Q 2023</v>
      </c>
      <c r="AD653" s="4"/>
      <c r="AE653" s="4"/>
      <c r="AF653" s="4"/>
      <c r="AG653" s="4"/>
      <c r="AH653" s="4"/>
      <c r="AI653" s="4"/>
      <c r="AJ653" s="4"/>
      <c r="AK653" s="131" t="str">
        <f ca="1">IFERROR(__xludf.DUMMYFUNCTION("""COMPUTED_VALUE"""),"CFS1-167")</f>
        <v>CFS1-167</v>
      </c>
      <c r="AL653" s="4" t="str">
        <f ca="1">IFERROR(__xludf.DUMMYFUNCTION("""COMPUTED_VALUE"""),"New")</f>
        <v>New</v>
      </c>
      <c r="AM653" s="4"/>
      <c r="AN653" s="4" t="str">
        <f ca="1">IFERROR(__xludf.DUMMYFUNCTION("""COMPUTED_VALUE"""),"Entregable en backlog")</f>
        <v>Entregable en backlog</v>
      </c>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133">
        <f ca="1">IFERROR(__xludf.DUMMYFUNCTION("""COMPUTED_VALUE"""),0)</f>
        <v>0</v>
      </c>
      <c r="DV653" s="133">
        <f ca="1">IFERROR(__xludf.DUMMYFUNCTION("""COMPUTED_VALUE"""),0)</f>
        <v>0</v>
      </c>
      <c r="DW653" s="133">
        <f ca="1">IFERROR(__xludf.DUMMYFUNCTION("""COMPUTED_VALUE"""),0)</f>
        <v>0</v>
      </c>
      <c r="DX653" s="133">
        <f ca="1">IFERROR(__xludf.DUMMYFUNCTION("""COMPUTED_VALUE"""),82000000)</f>
        <v>82000000</v>
      </c>
      <c r="DY653" s="133">
        <f ca="1">IFERROR(__xludf.DUMMYFUNCTION("""COMPUTED_VALUE"""),0)</f>
        <v>0</v>
      </c>
      <c r="DZ653" s="133">
        <f ca="1">IFERROR(__xludf.DUMMYFUNCTION("""COMPUTED_VALUE"""),82000000)</f>
        <v>82000000</v>
      </c>
      <c r="EA653" s="4"/>
      <c r="EB653" s="4"/>
    </row>
    <row r="654" spans="1:132" x14ac:dyDescent="0.2">
      <c r="A654" s="4">
        <f ca="1">IFERROR(__xludf.DUMMYFUNCTION("""COMPUTED_VALUE"""),654)</f>
        <v>654</v>
      </c>
      <c r="B654" s="4">
        <f ca="1">IFERROR(__xludf.DUMMYFUNCTION("""COMPUTED_VALUE"""),625)</f>
        <v>625</v>
      </c>
      <c r="C654" s="4" t="str">
        <f ca="1">IFERROR(__xludf.DUMMYFUNCTION("""COMPUTED_VALUE"""),"SDATOOL-40437")</f>
        <v>SDATOOL-40437</v>
      </c>
      <c r="D654" s="4" t="str">
        <f ca="1">IFERROR(__xludf.DUMMYFUNCTION("""COMPUTED_VALUE"""),"Fiduciaria - Tagging Open market Fondos de Inversion")</f>
        <v>Fiduciaria - Tagging Open market Fondos de Inversion</v>
      </c>
      <c r="E654" s="4" t="str">
        <f ca="1">IFERROR(__xludf.DUMMYFUNCTION("""COMPUTED_VALUE"""),"Realizar la categorizacion, medicion y mejora de las ventas del nuevo canal para alta de fondos de no clientes.")</f>
        <v>Realizar la categorizacion, medicion y mejora de las ventas del nuevo canal para alta de fondos de no clientes.</v>
      </c>
      <c r="F654" s="4" t="str">
        <f ca="1">IFERROR(__xludf.DUMMYFUNCTION("""COMPUTED_VALUE"""),"Initiative")</f>
        <v>Initiative</v>
      </c>
      <c r="G654" s="4" t="str">
        <f ca="1">IFERROR(__xludf.DUMMYFUNCTION("""COMPUTED_VALUE"""),"Ended")</f>
        <v>Ended</v>
      </c>
      <c r="H654" s="4" t="str">
        <f ca="1">IFERROR(__xludf.DUMMYFUNCTION("""COMPUTED_VALUE"""),"1Q 2023")</f>
        <v>1Q 2023</v>
      </c>
      <c r="I654" s="131" t="str">
        <f ca="1">IFERROR(__xludf.DUMMYFUNCTION("""COMPUTED_VALUE"""),"juan.orozco-bbva.com")</f>
        <v>juan.orozco-bbva.com</v>
      </c>
      <c r="J654" s="131" t="str">
        <f ca="1">IFERROR(__xludf.DUMMYFUNCTION("""COMPUTED_VALUE"""),"jorge.blanco-bbva.com")</f>
        <v>jorge.blanco-bbva.com</v>
      </c>
      <c r="K654" s="131" t="str">
        <f ca="1">IFERROR(__xludf.DUMMYFUNCTION("""COMPUTED_VALUE"""),"fernando.garciameza-bbva.com")</f>
        <v>fernando.garciameza-bbva.com</v>
      </c>
      <c r="L654" s="130">
        <f ca="1">IFERROR(__xludf.DUMMYFUNCTION("""COMPUTED_VALUE"""),0)</f>
        <v>0</v>
      </c>
      <c r="M654" s="130">
        <f ca="1">IFERROR(__xludf.DUMMYFUNCTION("""COMPUTED_VALUE"""),0)</f>
        <v>0</v>
      </c>
      <c r="N654" s="130">
        <f ca="1">IFERROR(__xludf.DUMMYFUNCTION("""COMPUTED_VALUE"""),0)</f>
        <v>0</v>
      </c>
      <c r="O654" s="4" t="str">
        <f ca="1">IFERROR(__xludf.DUMMYFUNCTION("""COMPUTED_VALUE"""),"Waterfall")</f>
        <v>Waterfall</v>
      </c>
      <c r="P654" s="4" t="str">
        <f ca="1">IFERROR(__xludf.DUMMYFUNCTION("""COMPUTED_VALUE"""),"Tradicional")</f>
        <v>Tradicional</v>
      </c>
      <c r="Q654" s="4"/>
      <c r="R654" s="130" t="str">
        <f ca="1">IFERROR(__xludf.DUMMYFUNCTION("""COMPUTED_VALUE"""),"Asset Management		")</f>
        <v xml:space="preserve">Asset Management		</v>
      </c>
      <c r="S654" s="130" t="str">
        <f ca="1">IFERROR(__xludf.DUMMYFUNCTION("""COMPUTED_VALUE""")," Otros")</f>
        <v xml:space="preserve"> Otros</v>
      </c>
      <c r="T654" s="130" t="str">
        <f ca="1">IFERROR(__xludf.DUMMYFUNCTION("""COMPUTED_VALUE"""),"1. Generación de Ingresos")</f>
        <v>1. Generación de Ingresos</v>
      </c>
      <c r="U654" s="130" t="str">
        <f ca="1">IFERROR(__xludf.DUMMYFUNCTION("""COMPUTED_VALUE"""),"1.5. Otros de Proyectos de Ingresos")</f>
        <v>1.5. Otros de Proyectos de Ingresos</v>
      </c>
      <c r="V654" s="4" t="str">
        <f ca="1">IFERROR(__xludf.DUMMYFUNCTION("""COMPUTED_VALUE"""),"Digital Sales")</f>
        <v>Digital Sales</v>
      </c>
      <c r="W654" s="4">
        <f ca="1">IFERROR(__xludf.DUMMYFUNCTION("""COMPUTED_VALUE"""),2)</f>
        <v>2</v>
      </c>
      <c r="X654" s="4" t="str">
        <f ca="1">IFERROR(__xludf.DUMMYFUNCTION("""COMPUTED_VALUE"""),"07. Asset management")</f>
        <v>07. Asset management</v>
      </c>
      <c r="Y654" s="4" t="str">
        <f ca="1">IFERROR(__xludf.DUMMYFUNCTION("""COMPUTED_VALUE""")," Otros")</f>
        <v xml:space="preserve"> Otros</v>
      </c>
      <c r="Z654" s="132" t="str">
        <f ca="1">IFERROR(__xludf.DUMMYFUNCTION("""COMPUTED_VALUE"""),"558318")</f>
        <v>558318</v>
      </c>
      <c r="AA654" s="4" t="str">
        <f ca="1">IFERROR(__xludf.DUMMYFUNCTION("""COMPUTED_VALUE"""),"Realizar el Tagging para los fondos en canal open market")</f>
        <v>Realizar el Tagging para los fondos en canal open market</v>
      </c>
      <c r="AB654" s="4" t="str">
        <f ca="1">IFERROR(__xludf.DUMMYFUNCTION("""COMPUTED_VALUE"""),"Realizar el Tagging para los fondos en canal open market")</f>
        <v>Realizar el Tagging para los fondos en canal open market</v>
      </c>
      <c r="AC654" s="4" t="str">
        <f ca="1">IFERROR(__xludf.DUMMYFUNCTION("""COMPUTED_VALUE"""),"1Q 2023")</f>
        <v>1Q 2023</v>
      </c>
      <c r="AD654" s="4"/>
      <c r="AE654" s="4"/>
      <c r="AF654" s="4"/>
      <c r="AG654" s="4"/>
      <c r="AH654" s="4"/>
      <c r="AI654" s="4"/>
      <c r="AJ654" s="4"/>
      <c r="AK654" s="131" t="str">
        <f ca="1">IFERROR(__xludf.DUMMYFUNCTION("""COMPUTED_VALUE"""),"CCSS-16487")</f>
        <v>CCSS-16487</v>
      </c>
      <c r="AL654" s="4" t="str">
        <f ca="1">IFERROR(__xludf.DUMMYFUNCTION("""COMPUTED_VALUE"""),"Deployed")</f>
        <v>Deployed</v>
      </c>
      <c r="AM654" s="4"/>
      <c r="AN654" s="4" t="str">
        <f ca="1">IFERROR(__xludf.DUMMYFUNCTION("""COMPUTED_VALUE"""),"Finalizado")</f>
        <v>Finalizado</v>
      </c>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133">
        <f ca="1">IFERROR(__xludf.DUMMYFUNCTION("""COMPUTED_VALUE"""),0)</f>
        <v>0</v>
      </c>
      <c r="DV654" s="133">
        <f ca="1">IFERROR(__xludf.DUMMYFUNCTION("""COMPUTED_VALUE"""),0)</f>
        <v>0</v>
      </c>
      <c r="DW654" s="133">
        <f ca="1">IFERROR(__xludf.DUMMYFUNCTION("""COMPUTED_VALUE"""),0)</f>
        <v>0</v>
      </c>
      <c r="DX654" s="133">
        <f ca="1">IFERROR(__xludf.DUMMYFUNCTION("""COMPUTED_VALUE"""),0)</f>
        <v>0</v>
      </c>
      <c r="DY654" s="133">
        <f ca="1">IFERROR(__xludf.DUMMYFUNCTION("""COMPUTED_VALUE"""),0)</f>
        <v>0</v>
      </c>
      <c r="DZ654" s="133">
        <f ca="1">IFERROR(__xludf.DUMMYFUNCTION("""COMPUTED_VALUE"""),0)</f>
        <v>0</v>
      </c>
      <c r="EA654" s="4"/>
      <c r="EB654" s="4"/>
    </row>
    <row r="655" spans="1:132" x14ac:dyDescent="0.2">
      <c r="A655" s="4">
        <f ca="1">IFERROR(__xludf.DUMMYFUNCTION("""COMPUTED_VALUE"""),655)</f>
        <v>655</v>
      </c>
      <c r="B655" s="4">
        <f ca="1">IFERROR(__xludf.DUMMYFUNCTION("""COMPUTED_VALUE"""),626)</f>
        <v>626</v>
      </c>
      <c r="C655" s="4" t="str">
        <f ca="1">IFERROR(__xludf.DUMMYFUNCTION("""COMPUTED_VALUE"""),"SDATOOL-40552")</f>
        <v>SDATOOL-40552</v>
      </c>
      <c r="D655" s="4" t="str">
        <f ca="1">IFERROR(__xludf.DUMMYFUNCTION("""COMPUTED_VALUE"""),"Fiduciaria - PSE Procesamiento y confirmación de pagos en línea")</f>
        <v>Fiduciaria - PSE Procesamiento y confirmación de pagos en línea</v>
      </c>
      <c r="E655" s="4" t="str">
        <f ca="1">IFERROR(__xludf.DUMMYFUNCTION("""COMPUTED_VALUE"""),"Procesamiento de pagos en línea PSE entre BBVA y la plataforma de recaudos a través del consumo de servicios.")</f>
        <v>Procesamiento de pagos en línea PSE entre BBVA y la plataforma de recaudos a través del consumo de servicios.</v>
      </c>
      <c r="F655" s="4" t="str">
        <f ca="1">IFERROR(__xludf.DUMMYFUNCTION("""COMPUTED_VALUE"""),"Project")</f>
        <v>Project</v>
      </c>
      <c r="G655" s="4" t="str">
        <f ca="1">IFERROR(__xludf.DUMMYFUNCTION("""COMPUTED_VALUE"""),"Stock")</f>
        <v>Stock</v>
      </c>
      <c r="H655" s="4" t="str">
        <f ca="1">IFERROR(__xludf.DUMMYFUNCTION("""COMPUTED_VALUE"""),"2Q 2023")</f>
        <v>2Q 2023</v>
      </c>
      <c r="I655" s="131" t="str">
        <f ca="1">IFERROR(__xludf.DUMMYFUNCTION("""COMPUTED_VALUE"""),"juan.orozco-bbva.com")</f>
        <v>juan.orozco-bbva.com</v>
      </c>
      <c r="J655" s="131" t="str">
        <f ca="1">IFERROR(__xludf.DUMMYFUNCTION("""COMPUTED_VALUE"""),"jorge.blanco-bbva.com")</f>
        <v>jorge.blanco-bbva.com</v>
      </c>
      <c r="K655" s="131" t="str">
        <f ca="1">IFERROR(__xludf.DUMMYFUNCTION("""COMPUTED_VALUE"""),"juan.orozco-bbva.com")</f>
        <v>juan.orozco-bbva.com</v>
      </c>
      <c r="L655" s="130">
        <f ca="1">IFERROR(__xludf.DUMMYFUNCTION("""COMPUTED_VALUE"""),0.25)</f>
        <v>0.25</v>
      </c>
      <c r="M655" s="130">
        <f ca="1">IFERROR(__xludf.DUMMYFUNCTION("""COMPUTED_VALUE"""),0)</f>
        <v>0</v>
      </c>
      <c r="N655" s="130">
        <f ca="1">IFERROR(__xludf.DUMMYFUNCTION("""COMPUTED_VALUE"""),0)</f>
        <v>0</v>
      </c>
      <c r="O655" s="4" t="str">
        <f ca="1">IFERROR(__xludf.DUMMYFUNCTION("""COMPUTED_VALUE"""),"Waterfall")</f>
        <v>Waterfall</v>
      </c>
      <c r="P655" s="4" t="str">
        <f ca="1">IFERROR(__xludf.DUMMYFUNCTION("""COMPUTED_VALUE"""),"Tradicional")</f>
        <v>Tradicional</v>
      </c>
      <c r="Q655" s="4"/>
      <c r="R655" s="130" t="str">
        <f ca="1">IFERROR(__xludf.DUMMYFUNCTION("""COMPUTED_VALUE"""),"Asset Management		")</f>
        <v xml:space="preserve">Asset Management		</v>
      </c>
      <c r="S655" s="130" t="str">
        <f ca="1">IFERROR(__xludf.DUMMYFUNCTION("""COMPUTED_VALUE""")," Otros")</f>
        <v xml:space="preserve"> Otros</v>
      </c>
      <c r="T655" s="130" t="str">
        <f ca="1">IFERROR(__xludf.DUMMYFUNCTION("""COMPUTED_VALUE"""),"1. Generación de Ingresos")</f>
        <v>1. Generación de Ingresos</v>
      </c>
      <c r="U655" s="130" t="str">
        <f ca="1">IFERROR(__xludf.DUMMYFUNCTION("""COMPUTED_VALUE"""),"1.5. Otros de Proyectos de Ingresos")</f>
        <v>1.5. Otros de Proyectos de Ingresos</v>
      </c>
      <c r="V655" s="4" t="str">
        <f ca="1">IFERROR(__xludf.DUMMYFUNCTION("""COMPUTED_VALUE"""),"Autogestión")</f>
        <v>Autogestión</v>
      </c>
      <c r="W655" s="4">
        <f ca="1">IFERROR(__xludf.DUMMYFUNCTION("""COMPUTED_VALUE"""),2)</f>
        <v>2</v>
      </c>
      <c r="X655" s="4" t="str">
        <f ca="1">IFERROR(__xludf.DUMMYFUNCTION("""COMPUTED_VALUE"""),"07. Asset management")</f>
        <v>07. Asset management</v>
      </c>
      <c r="Y655" s="4" t="str">
        <f ca="1">IFERROR(__xludf.DUMMYFUNCTION("""COMPUTED_VALUE""")," Otros")</f>
        <v xml:space="preserve"> Otros</v>
      </c>
      <c r="Z655" s="132" t="str">
        <f ca="1">IFERROR(__xludf.DUMMYFUNCTION("""COMPUTED_VALUE"""),"560578")</f>
        <v>560578</v>
      </c>
      <c r="AA655" s="4" t="str">
        <f ca="1">IFERROR(__xludf.DUMMYFUNCTION("""COMPUTED_VALUE"""),"Procesamiento y confirmación de pagos en línea")</f>
        <v>Procesamiento y confirmación de pagos en línea</v>
      </c>
      <c r="AB655" s="4" t="str">
        <f ca="1">IFERROR(__xludf.DUMMYFUNCTION("""COMPUTED_VALUE"""),"Realizar los pagos de PSE y obtener la confirmación en línea del resultado de la transacción.")</f>
        <v>Realizar los pagos de PSE y obtener la confirmación en línea del resultado de la transacción.</v>
      </c>
      <c r="AC655" s="4" t="str">
        <f ca="1">IFERROR(__xludf.DUMMYFUNCTION("""COMPUTED_VALUE"""),"3Q 2023")</f>
        <v>3Q 2023</v>
      </c>
      <c r="AD655" s="4"/>
      <c r="AE655" s="4"/>
      <c r="AF655" s="4"/>
      <c r="AG655" s="4"/>
      <c r="AH655" s="4"/>
      <c r="AI655" s="4"/>
      <c r="AJ655" s="4"/>
      <c r="AK655" s="131" t="str">
        <f ca="1">IFERROR(__xludf.DUMMYFUNCTION("""COMPUTED_VALUE"""),"COLWSFIDUC-43")</f>
        <v>COLWSFIDUC-43</v>
      </c>
      <c r="AL655" s="4" t="str">
        <f ca="1">IFERROR(__xludf.DUMMYFUNCTION("""COMPUTED_VALUE"""),"New")</f>
        <v>New</v>
      </c>
      <c r="AM655" s="4"/>
      <c r="AN655" s="4" t="str">
        <f ca="1">IFERROR(__xludf.DUMMYFUNCTION("""COMPUTED_VALUE"""),"Entregable en backlog")</f>
        <v>Entregable en backlog</v>
      </c>
      <c r="AO655" s="4"/>
      <c r="AP655" s="4"/>
      <c r="AQ655" s="4"/>
      <c r="AR655" s="4" t="str">
        <f ca="1">IFERROR(__xludf.DUMMYFUNCTION("""COMPUTED_VALUE"""),"SDA aprobada en PPP Q1 2023")</f>
        <v>SDA aprobada en PPP Q1 2023</v>
      </c>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133">
        <f ca="1">IFERROR(__xludf.DUMMYFUNCTION("""COMPUTED_VALUE"""),0)</f>
        <v>0</v>
      </c>
      <c r="DV655" s="133">
        <f ca="1">IFERROR(__xludf.DUMMYFUNCTION("""COMPUTED_VALUE"""),0)</f>
        <v>0</v>
      </c>
      <c r="DW655" s="133">
        <f ca="1">IFERROR(__xludf.DUMMYFUNCTION("""COMPUTED_VALUE"""),0)</f>
        <v>0</v>
      </c>
      <c r="DX655" s="133">
        <f ca="1">IFERROR(__xludf.DUMMYFUNCTION("""COMPUTED_VALUE"""),215000000)</f>
        <v>215000000</v>
      </c>
      <c r="DY655" s="133">
        <f ca="1">IFERROR(__xludf.DUMMYFUNCTION("""COMPUTED_VALUE"""),0)</f>
        <v>0</v>
      </c>
      <c r="DZ655" s="133">
        <f ca="1">IFERROR(__xludf.DUMMYFUNCTION("""COMPUTED_VALUE"""),215000000)</f>
        <v>215000000</v>
      </c>
      <c r="EA655" s="4"/>
      <c r="EB655" s="4"/>
    </row>
    <row r="656" spans="1:132" x14ac:dyDescent="0.2">
      <c r="A656" s="4">
        <f ca="1">IFERROR(__xludf.DUMMYFUNCTION("""COMPUTED_VALUE"""),656)</f>
        <v>656</v>
      </c>
      <c r="B656" s="4">
        <f ca="1">IFERROR(__xludf.DUMMYFUNCTION("""COMPUTED_VALUE"""),627)</f>
        <v>627</v>
      </c>
      <c r="C656" s="4" t="str">
        <f ca="1">IFERROR(__xludf.DUMMYFUNCTION("""COMPUTED_VALUE"""),"SDATOOL-40242")</f>
        <v>SDATOOL-40242</v>
      </c>
      <c r="D656" s="4" t="str">
        <f ca="1">IFERROR(__xludf.DUMMYFUNCTION("""COMPUTED_VALUE"""),"Fiduciaria - Obsolescencia software Base aplicativo MIDAS")</f>
        <v>Fiduciaria - Obsolescencia software Base aplicativo MIDAS</v>
      </c>
      <c r="E656" s="4" t="str">
        <f ca="1">IFERROR(__xludf.DUMMYFUNCTION("""COMPUTED_VALUE"""),"Realizar upgrade de aplicación MIDAS Mayo/2021 a Mayo/2022 y Upgrade de motor de BD de Oracle 12c a Oracle 19c")</f>
        <v>Realizar upgrade de aplicación MIDAS Mayo/2021 a Mayo/2022 y Upgrade de motor de BD de Oracle 12c a Oracle 19c</v>
      </c>
      <c r="F656" s="4" t="str">
        <f ca="1">IFERROR(__xludf.DUMMYFUNCTION("""COMPUTED_VALUE"""),"Initiative")</f>
        <v>Initiative</v>
      </c>
      <c r="G656" s="4" t="str">
        <f ca="1">IFERROR(__xludf.DUMMYFUNCTION("""COMPUTED_VALUE"""),"Stock")</f>
        <v>Stock</v>
      </c>
      <c r="H656" s="4" t="str">
        <f ca="1">IFERROR(__xludf.DUMMYFUNCTION("""COMPUTED_VALUE"""),"2Q 2023")</f>
        <v>2Q 2023</v>
      </c>
      <c r="I656" s="131" t="str">
        <f ca="1">IFERROR(__xludf.DUMMYFUNCTION("""COMPUTED_VALUE"""),"juan.orozco-bbva.com")</f>
        <v>juan.orozco-bbva.com</v>
      </c>
      <c r="J656" s="131" t="str">
        <f ca="1">IFERROR(__xludf.DUMMYFUNCTION("""COMPUTED_VALUE"""),"jorge.blanco-bbva.com")</f>
        <v>jorge.blanco-bbva.com</v>
      </c>
      <c r="K656" s="131" t="str">
        <f ca="1">IFERROR(__xludf.DUMMYFUNCTION("""COMPUTED_VALUE"""),"juan.orozco-bbva.com")</f>
        <v>juan.orozco-bbva.com</v>
      </c>
      <c r="L656" s="130">
        <f ca="1">IFERROR(__xludf.DUMMYFUNCTION("""COMPUTED_VALUE"""),0)</f>
        <v>0</v>
      </c>
      <c r="M656" s="130">
        <f ca="1">IFERROR(__xludf.DUMMYFUNCTION("""COMPUTED_VALUE"""),0)</f>
        <v>0</v>
      </c>
      <c r="N656" s="130">
        <f ca="1">IFERROR(__xludf.DUMMYFUNCTION("""COMPUTED_VALUE"""),0)</f>
        <v>0</v>
      </c>
      <c r="O656" s="4" t="str">
        <f ca="1">IFERROR(__xludf.DUMMYFUNCTION("""COMPUTED_VALUE"""),"Waterfall")</f>
        <v>Waterfall</v>
      </c>
      <c r="P656" s="4" t="str">
        <f ca="1">IFERROR(__xludf.DUMMYFUNCTION("""COMPUTED_VALUE"""),"Tradicional")</f>
        <v>Tradicional</v>
      </c>
      <c r="Q656" s="4"/>
      <c r="R656" s="130" t="str">
        <f ca="1">IFERROR(__xludf.DUMMYFUNCTION("""COMPUTED_VALUE"""),"Asset Management		")</f>
        <v xml:space="preserve">Asset Management		</v>
      </c>
      <c r="S656" s="130" t="str">
        <f ca="1">IFERROR(__xludf.DUMMYFUNCTION("""COMPUTED_VALUE""")," Otros")</f>
        <v xml:space="preserve"> Otros</v>
      </c>
      <c r="T656" s="130" t="str">
        <f ca="1">IFERROR(__xludf.DUMMYFUNCTION("""COMPUTED_VALUE"""),"1. Generación de Ingresos")</f>
        <v>1. Generación de Ingresos</v>
      </c>
      <c r="U656" s="130" t="str">
        <f ca="1">IFERROR(__xludf.DUMMYFUNCTION("""COMPUTED_VALUE"""),"1.5. Otros de Proyectos de Ingresos")</f>
        <v>1.5. Otros de Proyectos de Ingresos</v>
      </c>
      <c r="V656" s="4" t="str">
        <f ca="1">IFERROR(__xludf.DUMMYFUNCTION("""COMPUTED_VALUE"""),"Fiduciaria")</f>
        <v>Fiduciaria</v>
      </c>
      <c r="W656" s="4">
        <f ca="1">IFERROR(__xludf.DUMMYFUNCTION("""COMPUTED_VALUE"""),3)</f>
        <v>3</v>
      </c>
      <c r="X656" s="4" t="str">
        <f ca="1">IFERROR(__xludf.DUMMYFUNCTION("""COMPUTED_VALUE"""),"10. Otros")</f>
        <v>10. Otros</v>
      </c>
      <c r="Y656" s="4" t="str">
        <f ca="1">IFERROR(__xludf.DUMMYFUNCTION("""COMPUTED_VALUE""")," Otros")</f>
        <v xml:space="preserve"> Otros</v>
      </c>
      <c r="Z656" s="132" t="str">
        <f ca="1">IFERROR(__xludf.DUMMYFUNCTION("""COMPUTED_VALUE"""),"556788")</f>
        <v>556788</v>
      </c>
      <c r="AA656" s="4" t="str">
        <f ca="1">IFERROR(__xludf.DUMMYFUNCTION("""COMPUTED_VALUE"""),"Upgrade Aplicación MIDAS Versión Mayo / 2021 a Mayo / 2022")</f>
        <v>Upgrade Aplicación MIDAS Versión Mayo / 2021 a Mayo / 2022</v>
      </c>
      <c r="AB656" s="4" t="str">
        <f ca="1">IFERROR(__xludf.DUMMYFUNCTION("""COMPUTED_VALUE"""),"Realizar Upgrade de la aplicación MIDAS de las Versión Mayo / 21 a Mayo / 22")</f>
        <v>Realizar Upgrade de la aplicación MIDAS de las Versión Mayo / 21 a Mayo / 22</v>
      </c>
      <c r="AC656" s="4" t="str">
        <f ca="1">IFERROR(__xludf.DUMMYFUNCTION("""COMPUTED_VALUE"""),"2Q 2023")</f>
        <v>2Q 2023</v>
      </c>
      <c r="AD656" s="4"/>
      <c r="AE656" s="4"/>
      <c r="AF656" s="4"/>
      <c r="AG656" s="4"/>
      <c r="AH656" s="4"/>
      <c r="AI656" s="4"/>
      <c r="AJ656" s="4"/>
      <c r="AK656" s="131" t="str">
        <f ca="1">IFERROR(__xludf.DUMMYFUNCTION("""COMPUTED_VALUE"""),"COLWSFIDUC-37")</f>
        <v>COLWSFIDUC-37</v>
      </c>
      <c r="AL656" s="4" t="str">
        <f ca="1">IFERROR(__xludf.DUMMYFUNCTION("""COMPUTED_VALUE"""),"Accepted")</f>
        <v>Accepted</v>
      </c>
      <c r="AM656" s="4"/>
      <c r="AN656" s="4" t="str">
        <f ca="1">IFERROR(__xludf.DUMMYFUNCTION("""COMPUTED_VALUE"""),"Entregable en desarrollo")</f>
        <v>Entregable en desarrollo</v>
      </c>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133">
        <f ca="1">IFERROR(__xludf.DUMMYFUNCTION("""COMPUTED_VALUE"""),0)</f>
        <v>0</v>
      </c>
      <c r="DV656" s="133">
        <f ca="1">IFERROR(__xludf.DUMMYFUNCTION("""COMPUTED_VALUE"""),0)</f>
        <v>0</v>
      </c>
      <c r="DW656" s="133">
        <f ca="1">IFERROR(__xludf.DUMMYFUNCTION("""COMPUTED_VALUE"""),0)</f>
        <v>0</v>
      </c>
      <c r="DX656" s="133">
        <f ca="1">IFERROR(__xludf.DUMMYFUNCTION("""COMPUTED_VALUE"""),52000000)</f>
        <v>52000000</v>
      </c>
      <c r="DY656" s="133">
        <f ca="1">IFERROR(__xludf.DUMMYFUNCTION("""COMPUTED_VALUE"""),0)</f>
        <v>0</v>
      </c>
      <c r="DZ656" s="133">
        <f ca="1">IFERROR(__xludf.DUMMYFUNCTION("""COMPUTED_VALUE"""),52000000)</f>
        <v>52000000</v>
      </c>
      <c r="EA656" s="4"/>
      <c r="EB656" s="4"/>
    </row>
    <row r="657" spans="1:132" x14ac:dyDescent="0.2">
      <c r="A657" s="4">
        <f ca="1">IFERROR(__xludf.DUMMYFUNCTION("""COMPUTED_VALUE"""),657)</f>
        <v>657</v>
      </c>
      <c r="B657" s="4">
        <f ca="1">IFERROR(__xludf.DUMMYFUNCTION("""COMPUTED_VALUE"""),628)</f>
        <v>628</v>
      </c>
      <c r="C657" s="4" t="str">
        <f ca="1">IFERROR(__xludf.DUMMYFUNCTION("""COMPUTED_VALUE"""),"SDATOOL-40242")</f>
        <v>SDATOOL-40242</v>
      </c>
      <c r="D657" s="4" t="str">
        <f ca="1">IFERROR(__xludf.DUMMYFUNCTION("""COMPUTED_VALUE"""),"Fiduciaria - Obsolescencia software Base aplicativo MIDAS")</f>
        <v>Fiduciaria - Obsolescencia software Base aplicativo MIDAS</v>
      </c>
      <c r="E657" s="4" t="str">
        <f ca="1">IFERROR(__xludf.DUMMYFUNCTION("""COMPUTED_VALUE"""),"Realizar upgrade de aplicación MIDAS Mayo/2021 a Mayo/2022 y Upgrade de motor de BD de Oracle 12c a Oracle 19c")</f>
        <v>Realizar upgrade de aplicación MIDAS Mayo/2021 a Mayo/2022 y Upgrade de motor de BD de Oracle 12c a Oracle 19c</v>
      </c>
      <c r="F657" s="4" t="str">
        <f ca="1">IFERROR(__xludf.DUMMYFUNCTION("""COMPUTED_VALUE"""),"Initiative")</f>
        <v>Initiative</v>
      </c>
      <c r="G657" s="4" t="str">
        <f ca="1">IFERROR(__xludf.DUMMYFUNCTION("""COMPUTED_VALUE"""),"Stock")</f>
        <v>Stock</v>
      </c>
      <c r="H657" s="4" t="str">
        <f ca="1">IFERROR(__xludf.DUMMYFUNCTION("""COMPUTED_VALUE"""),"2Q 2023")</f>
        <v>2Q 2023</v>
      </c>
      <c r="I657" s="131" t="str">
        <f ca="1">IFERROR(__xludf.DUMMYFUNCTION("""COMPUTED_VALUE"""),"juan.orozco-bbva.com")</f>
        <v>juan.orozco-bbva.com</v>
      </c>
      <c r="J657" s="131" t="str">
        <f ca="1">IFERROR(__xludf.DUMMYFUNCTION("""COMPUTED_VALUE"""),"jorge.blanco-bbva.com")</f>
        <v>jorge.blanco-bbva.com</v>
      </c>
      <c r="K657" s="131" t="str">
        <f ca="1">IFERROR(__xludf.DUMMYFUNCTION("""COMPUTED_VALUE"""),"juan.orozco-bbva.com")</f>
        <v>juan.orozco-bbva.com</v>
      </c>
      <c r="L657" s="4"/>
      <c r="M657" s="4"/>
      <c r="N657" s="4"/>
      <c r="O657" s="4" t="str">
        <f ca="1">IFERROR(__xludf.DUMMYFUNCTION("""COMPUTED_VALUE"""),"Waterfall")</f>
        <v>Waterfall</v>
      </c>
      <c r="P657" s="4" t="str">
        <f ca="1">IFERROR(__xludf.DUMMYFUNCTION("""COMPUTED_VALUE"""),"Tradicional")</f>
        <v>Tradicional</v>
      </c>
      <c r="Q657" s="4"/>
      <c r="R657" s="130" t="str">
        <f ca="1">IFERROR(__xludf.DUMMYFUNCTION("""COMPUTED_VALUE"""),"Asset Management		")</f>
        <v xml:space="preserve">Asset Management		</v>
      </c>
      <c r="S657" s="130" t="str">
        <f ca="1">IFERROR(__xludf.DUMMYFUNCTION("""COMPUTED_VALUE""")," Otros")</f>
        <v xml:space="preserve"> Otros</v>
      </c>
      <c r="T657" s="130" t="str">
        <f ca="1">IFERROR(__xludf.DUMMYFUNCTION("""COMPUTED_VALUE"""),"1. Generación de Ingresos")</f>
        <v>1. Generación de Ingresos</v>
      </c>
      <c r="U657" s="130" t="str">
        <f ca="1">IFERROR(__xludf.DUMMYFUNCTION("""COMPUTED_VALUE"""),"1.5. Otros de Proyectos de Ingresos")</f>
        <v>1.5. Otros de Proyectos de Ingresos</v>
      </c>
      <c r="V657" s="4" t="str">
        <f ca="1">IFERROR(__xludf.DUMMYFUNCTION("""COMPUTED_VALUE"""),"Fiduciaria")</f>
        <v>Fiduciaria</v>
      </c>
      <c r="W657" s="4">
        <f ca="1">IFERROR(__xludf.DUMMYFUNCTION("""COMPUTED_VALUE"""),3)</f>
        <v>3</v>
      </c>
      <c r="X657" s="4" t="str">
        <f ca="1">IFERROR(__xludf.DUMMYFUNCTION("""COMPUTED_VALUE"""),"10. Otros")</f>
        <v>10. Otros</v>
      </c>
      <c r="Y657" s="4" t="str">
        <f ca="1">IFERROR(__xludf.DUMMYFUNCTION("""COMPUTED_VALUE""")," Otros")</f>
        <v xml:space="preserve"> Otros</v>
      </c>
      <c r="Z657" s="132" t="str">
        <f ca="1">IFERROR(__xludf.DUMMYFUNCTION("""COMPUTED_VALUE"""),"556785")</f>
        <v>556785</v>
      </c>
      <c r="AA657" s="4" t="str">
        <f ca="1">IFERROR(__xludf.DUMMYFUNCTION("""COMPUTED_VALUE"""),"Upgrade de BD MIDAS de Oracle 12c a Oracle 19c")</f>
        <v>Upgrade de BD MIDAS de Oracle 12c a Oracle 19c</v>
      </c>
      <c r="AB657" s="4" t="str">
        <f ca="1">IFERROR(__xludf.DUMMYFUNCTION("""COMPUTED_VALUE"""),"Realizar el Upgrade de la BD MIDAS de 12c a 19c en los ambientes previos y productivos.")</f>
        <v>Realizar el Upgrade de la BD MIDAS de 12c a 19c en los ambientes previos y productivos.</v>
      </c>
      <c r="AC657" s="4" t="str">
        <f ca="1">IFERROR(__xludf.DUMMYFUNCTION("""COMPUTED_VALUE"""),"2Q 2023")</f>
        <v>2Q 2023</v>
      </c>
      <c r="AD657" s="4"/>
      <c r="AE657" s="4"/>
      <c r="AF657" s="4"/>
      <c r="AG657" s="4"/>
      <c r="AH657" s="4"/>
      <c r="AI657" s="4"/>
      <c r="AJ657" s="4"/>
      <c r="AK657" s="131" t="str">
        <f ca="1">IFERROR(__xludf.DUMMYFUNCTION("""COMPUTED_VALUE"""),"COLWSFIDUC-31")</f>
        <v>COLWSFIDUC-31</v>
      </c>
      <c r="AL657" s="4" t="str">
        <f ca="1">IFERROR(__xludf.DUMMYFUNCTION("""COMPUTED_VALUE"""),"Deployed")</f>
        <v>Deployed</v>
      </c>
      <c r="AM657" s="4"/>
      <c r="AN657" s="4" t="str">
        <f ca="1">IFERROR(__xludf.DUMMYFUNCTION("""COMPUTED_VALUE"""),"Entregable en desarrollo")</f>
        <v>Entregable en desarrollo</v>
      </c>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row>
    <row r="658" spans="1:132" x14ac:dyDescent="0.2">
      <c r="A658" s="4">
        <f ca="1">IFERROR(__xludf.DUMMYFUNCTION("""COMPUTED_VALUE"""),658)</f>
        <v>658</v>
      </c>
      <c r="B658" s="4">
        <f ca="1">IFERROR(__xludf.DUMMYFUNCTION("""COMPUTED_VALUE"""),629)</f>
        <v>629</v>
      </c>
      <c r="C658" s="4" t="str">
        <f ca="1">IFERROR(__xludf.DUMMYFUNCTION("""COMPUTED_VALUE"""),"SDATOOL-40639")</f>
        <v>SDATOOL-40639</v>
      </c>
      <c r="D658" s="4" t="str">
        <f ca="1">IFERROR(__xludf.DUMMYFUNCTION("""COMPUTED_VALUE"""),"Fiduciaria -Obsolecencia Migración Softoken FIDUSAP R2 a NextGen")</f>
        <v>Fiduciaria -Obsolecencia Migración Softoken FIDUSAP R2 a NextGen</v>
      </c>
      <c r="E658" s="4" t="str">
        <f ca="1">IFERROR(__xludf.DUMMYFUNCTION("""COMPUTED_VALUE"""),"Migracion burbuja de seguridad por obselecia aplicativa global de los servicios alojados en R2 holding")</f>
        <v>Migracion burbuja de seguridad por obselecia aplicativa global de los servicios alojados en R2 holding</v>
      </c>
      <c r="F658" s="4" t="str">
        <f ca="1">IFERROR(__xludf.DUMMYFUNCTION("""COMPUTED_VALUE"""),"Initiative")</f>
        <v>Initiative</v>
      </c>
      <c r="G658" s="4" t="str">
        <f ca="1">IFERROR(__xludf.DUMMYFUNCTION("""COMPUTED_VALUE"""),"Stock")</f>
        <v>Stock</v>
      </c>
      <c r="H658" s="4" t="str">
        <f ca="1">IFERROR(__xludf.DUMMYFUNCTION("""COMPUTED_VALUE"""),"3Q 2023")</f>
        <v>3Q 2023</v>
      </c>
      <c r="I658" s="131" t="str">
        <f ca="1">IFERROR(__xludf.DUMMYFUNCTION("""COMPUTED_VALUE"""),"juan.orozco-bbva.com")</f>
        <v>juan.orozco-bbva.com</v>
      </c>
      <c r="J658" s="131" t="str">
        <f ca="1">IFERROR(__xludf.DUMMYFUNCTION("""COMPUTED_VALUE"""),"jorge.blanco-bbva.com")</f>
        <v>jorge.blanco-bbva.com</v>
      </c>
      <c r="K658" s="131" t="str">
        <f ca="1">IFERROR(__xludf.DUMMYFUNCTION("""COMPUTED_VALUE"""),"juan.orozco-bbva.com")</f>
        <v>juan.orozco-bbva.com</v>
      </c>
      <c r="L658" s="130">
        <f ca="1">IFERROR(__xludf.DUMMYFUNCTION("""COMPUTED_VALUE"""),0)</f>
        <v>0</v>
      </c>
      <c r="M658" s="130">
        <f ca="1">IFERROR(__xludf.DUMMYFUNCTION("""COMPUTED_VALUE"""),0)</f>
        <v>0</v>
      </c>
      <c r="N658" s="130">
        <f ca="1">IFERROR(__xludf.DUMMYFUNCTION("""COMPUTED_VALUE"""),0)</f>
        <v>0</v>
      </c>
      <c r="O658" s="4" t="str">
        <f ca="1">IFERROR(__xludf.DUMMYFUNCTION("""COMPUTED_VALUE"""),"Waterfall")</f>
        <v>Waterfall</v>
      </c>
      <c r="P658" s="4" t="str">
        <f ca="1">IFERROR(__xludf.DUMMYFUNCTION("""COMPUTED_VALUE"""),"Tradicional")</f>
        <v>Tradicional</v>
      </c>
      <c r="Q658" s="4"/>
      <c r="R658" s="130" t="str">
        <f ca="1">IFERROR(__xludf.DUMMYFUNCTION("""COMPUTED_VALUE"""),"Asset Management		")</f>
        <v xml:space="preserve">Asset Management		</v>
      </c>
      <c r="S658" s="130" t="str">
        <f ca="1">IFERROR(__xludf.DUMMYFUNCTION("""COMPUTED_VALUE""")," Otros")</f>
        <v xml:space="preserve"> Otros</v>
      </c>
      <c r="T658" s="130" t="str">
        <f ca="1">IFERROR(__xludf.DUMMYFUNCTION("""COMPUTED_VALUE"""),"1. Generación de Ingresos")</f>
        <v>1. Generación de Ingresos</v>
      </c>
      <c r="U658" s="130" t="str">
        <f ca="1">IFERROR(__xludf.DUMMYFUNCTION("""COMPUTED_VALUE"""),"1.5. Otros de Proyectos de Ingresos")</f>
        <v>1.5. Otros de Proyectos de Ingresos</v>
      </c>
      <c r="V658" s="4" t="str">
        <f ca="1">IFERROR(__xludf.DUMMYFUNCTION("""COMPUTED_VALUE"""),"Fiduciaria")</f>
        <v>Fiduciaria</v>
      </c>
      <c r="W658" s="4">
        <f ca="1">IFERROR(__xludf.DUMMYFUNCTION("""COMPUTED_VALUE"""),3)</f>
        <v>3</v>
      </c>
      <c r="X658" s="4" t="str">
        <f ca="1">IFERROR(__xludf.DUMMYFUNCTION("""COMPUTED_VALUE"""),"10. Otros")</f>
        <v>10. Otros</v>
      </c>
      <c r="Y658" s="4" t="str">
        <f ca="1">IFERROR(__xludf.DUMMYFUNCTION("""COMPUTED_VALUE""")," Otros")</f>
        <v xml:space="preserve"> Otros</v>
      </c>
      <c r="Z658" s="132" t="str">
        <f ca="1">IFERROR(__xludf.DUMMYFUNCTION("""COMPUTED_VALUE"""),"597985")</f>
        <v>597985</v>
      </c>
      <c r="AA658" s="4" t="str">
        <f ca="1">IFERROR(__xludf.DUMMYFUNCTION("""COMPUTED_VALUE"""),"Actualizacion de los servicios de enrolamiento y softtoken Fiduciario")</f>
        <v>Actualizacion de los servicios de enrolamiento y softtoken Fiduciario</v>
      </c>
      <c r="AB658" s="4" t="str">
        <f ca="1">IFERROR(__xludf.DUMMYFUNCTION("""COMPUTED_VALUE"""),"Construccion nuevas piezastecnologicas para la integracion con el nueva infraestructura del aplicativo softtoken fiduciario.")</f>
        <v>Construccion nuevas piezastecnologicas para la integracion con el nueva infraestructura del aplicativo softtoken fiduciario.</v>
      </c>
      <c r="AC658" s="4" t="str">
        <f ca="1">IFERROR(__xludf.DUMMYFUNCTION("""COMPUTED_VALUE"""),"2Q 2023")</f>
        <v>2Q 2023</v>
      </c>
      <c r="AD658" s="4"/>
      <c r="AE658" s="4"/>
      <c r="AF658" s="4"/>
      <c r="AG658" s="4"/>
      <c r="AH658" s="4"/>
      <c r="AI658" s="4"/>
      <c r="AJ658" s="4"/>
      <c r="AK658" s="131" t="str">
        <f ca="1">IFERROR(__xludf.DUMMYFUNCTION("""COMPUTED_VALUE"""),"CFS1-165")</f>
        <v>CFS1-165</v>
      </c>
      <c r="AL658" s="4" t="str">
        <f ca="1">IFERROR(__xludf.DUMMYFUNCTION("""COMPUTED_VALUE"""),"New")</f>
        <v>New</v>
      </c>
      <c r="AM658" s="4"/>
      <c r="AN658" s="4" t="str">
        <f ca="1">IFERROR(__xludf.DUMMYFUNCTION("""COMPUTED_VALUE"""),"Entregable en backlog")</f>
        <v>Entregable en backlog</v>
      </c>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133">
        <f ca="1">IFERROR(__xludf.DUMMYFUNCTION("""COMPUTED_VALUE"""),0)</f>
        <v>0</v>
      </c>
      <c r="DV658" s="133">
        <f ca="1">IFERROR(__xludf.DUMMYFUNCTION("""COMPUTED_VALUE"""),0)</f>
        <v>0</v>
      </c>
      <c r="DW658" s="133">
        <f ca="1">IFERROR(__xludf.DUMMYFUNCTION("""COMPUTED_VALUE"""),0)</f>
        <v>0</v>
      </c>
      <c r="DX658" s="133">
        <f ca="1">IFERROR(__xludf.DUMMYFUNCTION("""COMPUTED_VALUE"""),211000000)</f>
        <v>211000000</v>
      </c>
      <c r="DY658" s="133">
        <f ca="1">IFERROR(__xludf.DUMMYFUNCTION("""COMPUTED_VALUE"""),0)</f>
        <v>0</v>
      </c>
      <c r="DZ658" s="133">
        <f ca="1">IFERROR(__xludf.DUMMYFUNCTION("""COMPUTED_VALUE"""),211000000)</f>
        <v>211000000</v>
      </c>
      <c r="EA658" s="4"/>
      <c r="EB658" s="4"/>
    </row>
    <row r="659" spans="1:132" x14ac:dyDescent="0.2">
      <c r="A659" s="4">
        <f ca="1">IFERROR(__xludf.DUMMYFUNCTION("""COMPUTED_VALUE"""),659)</f>
        <v>659</v>
      </c>
      <c r="B659" s="4">
        <f ca="1">IFERROR(__xludf.DUMMYFUNCTION("""COMPUTED_VALUE"""),630)</f>
        <v>630</v>
      </c>
      <c r="C659" s="4" t="str">
        <f ca="1">IFERROR(__xludf.DUMMYFUNCTION("""COMPUTED_VALUE"""),"SDATOOL-40548")</f>
        <v>SDATOOL-40548</v>
      </c>
      <c r="D659" s="4" t="str">
        <f ca="1">IFERROR(__xludf.DUMMYFUNCTION("""COMPUTED_VALUE"""),"Fiduciaria - Obsolecencia aplicativa, infraestructura e Insider aplicativo FIDUSAP")</f>
        <v>Fiduciaria - Obsolecencia aplicativa, infraestructura e Insider aplicativo FIDUSAP</v>
      </c>
      <c r="E659" s="4" t="str">
        <f ca="1">IFERROR(__xludf.DUMMYFUNCTION("""COMPUTED_VALUE"""),"Realizar el upgrade de la infraestructura FIDUSAP para los ambientes Desarrollo, Calidad y Producción y el decomiso del servidor INSIDER (BD Desarrollo y Calidad).")</f>
        <v>Realizar el upgrade de la infraestructura FIDUSAP para los ambientes Desarrollo, Calidad y Producción y el decomiso del servidor INSIDER (BD Desarrollo y Calidad).</v>
      </c>
      <c r="F659" s="4" t="str">
        <f ca="1">IFERROR(__xludf.DUMMYFUNCTION("""COMPUTED_VALUE"""),"Initiative")</f>
        <v>Initiative</v>
      </c>
      <c r="G659" s="4" t="str">
        <f ca="1">IFERROR(__xludf.DUMMYFUNCTION("""COMPUTED_VALUE"""),"Stock")</f>
        <v>Stock</v>
      </c>
      <c r="H659" s="4" t="str">
        <f ca="1">IFERROR(__xludf.DUMMYFUNCTION("""COMPUTED_VALUE"""),"4Q 2023")</f>
        <v>4Q 2023</v>
      </c>
      <c r="I659" s="131" t="str">
        <f ca="1">IFERROR(__xludf.DUMMYFUNCTION("""COMPUTED_VALUE"""),"juan.orozco-bbva.com")</f>
        <v>juan.orozco-bbva.com</v>
      </c>
      <c r="J659" s="131" t="str">
        <f ca="1">IFERROR(__xludf.DUMMYFUNCTION("""COMPUTED_VALUE"""),"jorge.blanco-bbva.com")</f>
        <v>jorge.blanco-bbva.com</v>
      </c>
      <c r="K659" s="131" t="str">
        <f ca="1">IFERROR(__xludf.DUMMYFUNCTION("""COMPUTED_VALUE"""),"juan.orozco-bbva.com")</f>
        <v>juan.orozco-bbva.com</v>
      </c>
      <c r="L659" s="130">
        <f ca="1">IFERROR(__xludf.DUMMYFUNCTION("""COMPUTED_VALUE"""),0)</f>
        <v>0</v>
      </c>
      <c r="M659" s="130">
        <f ca="1">IFERROR(__xludf.DUMMYFUNCTION("""COMPUTED_VALUE"""),0)</f>
        <v>0</v>
      </c>
      <c r="N659" s="130">
        <f ca="1">IFERROR(__xludf.DUMMYFUNCTION("""COMPUTED_VALUE"""),0)</f>
        <v>0</v>
      </c>
      <c r="O659" s="4" t="str">
        <f ca="1">IFERROR(__xludf.DUMMYFUNCTION("""COMPUTED_VALUE"""),"Waterfall")</f>
        <v>Waterfall</v>
      </c>
      <c r="P659" s="4" t="str">
        <f ca="1">IFERROR(__xludf.DUMMYFUNCTION("""COMPUTED_VALUE"""),"Tradicional")</f>
        <v>Tradicional</v>
      </c>
      <c r="Q659" s="4"/>
      <c r="R659" s="130" t="str">
        <f ca="1">IFERROR(__xludf.DUMMYFUNCTION("""COMPUTED_VALUE"""),"Asset Management		")</f>
        <v xml:space="preserve">Asset Management		</v>
      </c>
      <c r="S659" s="130" t="str">
        <f ca="1">IFERROR(__xludf.DUMMYFUNCTION("""COMPUTED_VALUE""")," Otros")</f>
        <v xml:space="preserve"> Otros</v>
      </c>
      <c r="T659" s="130" t="str">
        <f ca="1">IFERROR(__xludf.DUMMYFUNCTION("""COMPUTED_VALUE"""),"1. Generación de Ingresos")</f>
        <v>1. Generación de Ingresos</v>
      </c>
      <c r="U659" s="130" t="str">
        <f ca="1">IFERROR(__xludf.DUMMYFUNCTION("""COMPUTED_VALUE"""),"1.5. Otros de Proyectos de Ingresos")</f>
        <v>1.5. Otros de Proyectos de Ingresos</v>
      </c>
      <c r="V659" s="4" t="str">
        <f ca="1">IFERROR(__xludf.DUMMYFUNCTION("""COMPUTED_VALUE"""),"Fiduciaria")</f>
        <v>Fiduciaria</v>
      </c>
      <c r="W659" s="4">
        <f ca="1">IFERROR(__xludf.DUMMYFUNCTION("""COMPUTED_VALUE"""),3)</f>
        <v>3</v>
      </c>
      <c r="X659" s="4" t="str">
        <f ca="1">IFERROR(__xludf.DUMMYFUNCTION("""COMPUTED_VALUE"""),"10. Otros")</f>
        <v>10. Otros</v>
      </c>
      <c r="Y659" s="4" t="str">
        <f ca="1">IFERROR(__xludf.DUMMYFUNCTION("""COMPUTED_VALUE""")," Otros")</f>
        <v xml:space="preserve"> Otros</v>
      </c>
      <c r="Z659" s="132" t="str">
        <f ca="1">IFERROR(__xludf.DUMMYFUNCTION("""COMPUTED_VALUE"""),"560559")</f>
        <v>560559</v>
      </c>
      <c r="AA659" s="4" t="str">
        <f ca="1">IFERROR(__xludf.DUMMYFUNCTION("""COMPUTED_VALUE"""),"Actualización aplicativa, infraestructura e Insider FIDUSAP")</f>
        <v>Actualización aplicativa, infraestructura e Insider FIDUSAP</v>
      </c>
      <c r="AB659" s="4" t="str">
        <f ca="1">IFERROR(__xludf.DUMMYFUNCTION("""COMPUTED_VALUE"""),"Realizar la actualización de la infraestructura de FIDUSAP en los tres entornos (Desarrollo, Calidad y Producción)")</f>
        <v>Realizar la actualización de la infraestructura de FIDUSAP en los tres entornos (Desarrollo, Calidad y Producción)</v>
      </c>
      <c r="AC659" s="4" t="str">
        <f ca="1">IFERROR(__xludf.DUMMYFUNCTION("""COMPUTED_VALUE"""),"4Q 2023")</f>
        <v>4Q 2023</v>
      </c>
      <c r="AD659" s="4"/>
      <c r="AE659" s="4"/>
      <c r="AF659" s="4"/>
      <c r="AG659" s="4"/>
      <c r="AH659" s="4"/>
      <c r="AI659" s="4"/>
      <c r="AJ659" s="4"/>
      <c r="AK659" s="131" t="str">
        <f ca="1">IFERROR(__xludf.DUMMYFUNCTION("""COMPUTED_VALUE"""),"COLWSFIDUC-41")</f>
        <v>COLWSFIDUC-41</v>
      </c>
      <c r="AL659" s="4" t="str">
        <f ca="1">IFERROR(__xludf.DUMMYFUNCTION("""COMPUTED_VALUE"""),"New")</f>
        <v>New</v>
      </c>
      <c r="AM659" s="4"/>
      <c r="AN659" s="4" t="str">
        <f ca="1">IFERROR(__xludf.DUMMYFUNCTION("""COMPUTED_VALUE"""),"Entregable en backlog")</f>
        <v>Entregable en backlog</v>
      </c>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133">
        <f ca="1">IFERROR(__xludf.DUMMYFUNCTION("""COMPUTED_VALUE"""),0)</f>
        <v>0</v>
      </c>
      <c r="DV659" s="133">
        <f ca="1">IFERROR(__xludf.DUMMYFUNCTION("""COMPUTED_VALUE"""),0)</f>
        <v>0</v>
      </c>
      <c r="DW659" s="133">
        <f ca="1">IFERROR(__xludf.DUMMYFUNCTION("""COMPUTED_VALUE"""),0)</f>
        <v>0</v>
      </c>
      <c r="DX659" s="133">
        <f ca="1">IFERROR(__xludf.DUMMYFUNCTION("""COMPUTED_VALUE"""),389000000)</f>
        <v>389000000</v>
      </c>
      <c r="DY659" s="133">
        <f ca="1">IFERROR(__xludf.DUMMYFUNCTION("""COMPUTED_VALUE"""),0)</f>
        <v>0</v>
      </c>
      <c r="DZ659" s="133">
        <f ca="1">IFERROR(__xludf.DUMMYFUNCTION("""COMPUTED_VALUE"""),389000000)</f>
        <v>389000000</v>
      </c>
      <c r="EA659" s="4"/>
      <c r="EB659" s="4"/>
    </row>
    <row r="660" spans="1:132" x14ac:dyDescent="0.2">
      <c r="A660" s="4">
        <f ca="1">IFERROR(__xludf.DUMMYFUNCTION("""COMPUTED_VALUE"""),660)</f>
        <v>660</v>
      </c>
      <c r="B660" s="4">
        <f ca="1">IFERROR(__xludf.DUMMYFUNCTION("""COMPUTED_VALUE"""),631)</f>
        <v>631</v>
      </c>
      <c r="C660" s="4" t="str">
        <f ca="1">IFERROR(__xludf.DUMMYFUNCTION("""COMPUTED_VALUE"""),"SDATOOL-40812")</f>
        <v>SDATOOL-40812</v>
      </c>
      <c r="D660" s="4" t="str">
        <f ca="1">IFERROR(__xludf.DUMMYFUNCTION("""COMPUTED_VALUE"""),"Fiduciaria - Cambio de operador tecnologico para los documentos electronicos en la sociedad")</f>
        <v>Fiduciaria - Cambio de operador tecnologico para los documentos electronicos en la sociedad</v>
      </c>
      <c r="E660" s="4" t="str">
        <f ca="1">IFERROR(__xludf.DUMMYFUNCTION("""COMPUTED_VALUE"""),"Atencion a los requerimientos normativos 2023 para BBVA fiduciaria")</f>
        <v>Atencion a los requerimientos normativos 2023 para BBVA fiduciaria</v>
      </c>
      <c r="F660" s="4" t="str">
        <f ca="1">IFERROR(__xludf.DUMMYFUNCTION("""COMPUTED_VALUE"""),"Project")</f>
        <v>Project</v>
      </c>
      <c r="G660" s="4" t="str">
        <f ca="1">IFERROR(__xludf.DUMMYFUNCTION("""COMPUTED_VALUE"""),"Stock")</f>
        <v>Stock</v>
      </c>
      <c r="H660" s="4" t="str">
        <f ca="1">IFERROR(__xludf.DUMMYFUNCTION("""COMPUTED_VALUE"""),"3Q 2023")</f>
        <v>3Q 2023</v>
      </c>
      <c r="I660" s="131" t="str">
        <f ca="1">IFERROR(__xludf.DUMMYFUNCTION("""COMPUTED_VALUE"""),"juan.orozco-bbva.com")</f>
        <v>juan.orozco-bbva.com</v>
      </c>
      <c r="J660" s="131" t="str">
        <f ca="1">IFERROR(__xludf.DUMMYFUNCTION("""COMPUTED_VALUE"""),"jorge.blanco-bbva.com")</f>
        <v>jorge.blanco-bbva.com</v>
      </c>
      <c r="K660" s="131" t="str">
        <f ca="1">IFERROR(__xludf.DUMMYFUNCTION("""COMPUTED_VALUE"""),"mariaelena.torres-bbva.com")</f>
        <v>mariaelena.torres-bbva.com</v>
      </c>
      <c r="L660" s="130">
        <f ca="1">IFERROR(__xludf.DUMMYFUNCTION("""COMPUTED_VALUE"""),0)</f>
        <v>0</v>
      </c>
      <c r="M660" s="130">
        <f ca="1">IFERROR(__xludf.DUMMYFUNCTION("""COMPUTED_VALUE"""),0)</f>
        <v>0</v>
      </c>
      <c r="N660" s="130">
        <f ca="1">IFERROR(__xludf.DUMMYFUNCTION("""COMPUTED_VALUE"""),0)</f>
        <v>0</v>
      </c>
      <c r="O660" s="4" t="str">
        <f ca="1">IFERROR(__xludf.DUMMYFUNCTION("""COMPUTED_VALUE"""),"Waterfall")</f>
        <v>Waterfall</v>
      </c>
      <c r="P660" s="4" t="str">
        <f ca="1">IFERROR(__xludf.DUMMYFUNCTION("""COMPUTED_VALUE"""),"Tradicional")</f>
        <v>Tradicional</v>
      </c>
      <c r="Q660" s="4"/>
      <c r="R660" s="130" t="str">
        <f ca="1">IFERROR(__xludf.DUMMYFUNCTION("""COMPUTED_VALUE"""),"Asset Management		")</f>
        <v xml:space="preserve">Asset Management		</v>
      </c>
      <c r="S660" s="130" t="str">
        <f ca="1">IFERROR(__xludf.DUMMYFUNCTION("""COMPUTED_VALUE""")," Otros")</f>
        <v xml:space="preserve"> Otros</v>
      </c>
      <c r="T660" s="130" t="str">
        <f ca="1">IFERROR(__xludf.DUMMYFUNCTION("""COMPUTED_VALUE"""),"Normativo")</f>
        <v>Normativo</v>
      </c>
      <c r="U660" s="130" t="str">
        <f ca="1">IFERROR(__xludf.DUMMYFUNCTION("""COMPUTED_VALUE"""),"No Aplica")</f>
        <v>No Aplica</v>
      </c>
      <c r="V660" s="4" t="str">
        <f ca="1">IFERROR(__xludf.DUMMYFUNCTION("""COMPUTED_VALUE"""),"Fiduciaria")</f>
        <v>Fiduciaria</v>
      </c>
      <c r="W660" s="4">
        <f ca="1">IFERROR(__xludf.DUMMYFUNCTION("""COMPUTED_VALUE"""),3)</f>
        <v>3</v>
      </c>
      <c r="X660" s="4" t="str">
        <f ca="1">IFERROR(__xludf.DUMMYFUNCTION("""COMPUTED_VALUE"""),"10. Otros")</f>
        <v>10. Otros</v>
      </c>
      <c r="Y660" s="4" t="str">
        <f ca="1">IFERROR(__xludf.DUMMYFUNCTION("""COMPUTED_VALUE""")," Otros")</f>
        <v xml:space="preserve"> Otros</v>
      </c>
      <c r="Z660" s="132" t="str">
        <f ca="1">IFERROR(__xludf.DUMMYFUNCTION("""COMPUTED_VALUE"""),"610364")</f>
        <v>610364</v>
      </c>
      <c r="AA660" s="4" t="str">
        <f ca="1">IFERROR(__xludf.DUMMYFUNCTION("""COMPUTED_VALUE"""),"Cambio de operador tecnologico documentoselectronicos CADENA")</f>
        <v>Cambio de operador tecnologico documentoselectronicos CADENA</v>
      </c>
      <c r="AB660" s="4" t="str">
        <f ca="1">IFERROR(__xludf.DUMMYFUNCTION("""COMPUTED_VALUE"""),"Crear una conexión vía SFTP con el nuevo proveedor ""Cadena"", para transmitir el ecosistema que incluye (factura electrónica, nómina electrónica, documento soporte, recepción de facturas) por cambio de proveedor, donde se debe garantizar el funcionamient"&amp;"o de los procesos de facturación.")</f>
        <v>Crear una conexión vía SFTP con el nuevo proveedor "Cadena", para transmitir el ecosistema que incluye (factura electrónica, nómina electrónica, documento soporte, recepción de facturas) por cambio de proveedor, donde se debe garantizar el funcionamiento de los procesos de facturación.</v>
      </c>
      <c r="AC660" s="4" t="str">
        <f ca="1">IFERROR(__xludf.DUMMYFUNCTION("""COMPUTED_VALUE"""),"2Q 2023")</f>
        <v>2Q 2023</v>
      </c>
      <c r="AD660" s="4"/>
      <c r="AE660" s="4"/>
      <c r="AF660" s="4"/>
      <c r="AG660" s="4"/>
      <c r="AH660" s="4"/>
      <c r="AI660" s="4"/>
      <c r="AJ660" s="4"/>
      <c r="AK660" s="131" t="str">
        <f ca="1">IFERROR(__xludf.DUMMYFUNCTION("""COMPUTED_VALUE"""),"CFS1-170")</f>
        <v>CFS1-170</v>
      </c>
      <c r="AL660" s="4" t="str">
        <f ca="1">IFERROR(__xludf.DUMMYFUNCTION("""COMPUTED_VALUE"""),"New")</f>
        <v>New</v>
      </c>
      <c r="AM660" s="4"/>
      <c r="AN660" s="4" t="str">
        <f ca="1">IFERROR(__xludf.DUMMYFUNCTION("""COMPUTED_VALUE"""),"Entregable en backlog")</f>
        <v>Entregable en backlog</v>
      </c>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133">
        <f ca="1">IFERROR(__xludf.DUMMYFUNCTION("""COMPUTED_VALUE"""),0)</f>
        <v>0</v>
      </c>
      <c r="DV660" s="133">
        <f ca="1">IFERROR(__xludf.DUMMYFUNCTION("""COMPUTED_VALUE"""),0)</f>
        <v>0</v>
      </c>
      <c r="DW660" s="133">
        <f ca="1">IFERROR(__xludf.DUMMYFUNCTION("""COMPUTED_VALUE"""),0)</f>
        <v>0</v>
      </c>
      <c r="DX660" s="133">
        <f ca="1">IFERROR(__xludf.DUMMYFUNCTION("""COMPUTED_VALUE"""),253000000)</f>
        <v>253000000</v>
      </c>
      <c r="DY660" s="133">
        <f ca="1">IFERROR(__xludf.DUMMYFUNCTION("""COMPUTED_VALUE"""),0)</f>
        <v>0</v>
      </c>
      <c r="DZ660" s="133">
        <f ca="1">IFERROR(__xludf.DUMMYFUNCTION("""COMPUTED_VALUE"""),253000000)</f>
        <v>253000000</v>
      </c>
      <c r="EA660" s="4"/>
      <c r="EB660" s="4"/>
    </row>
    <row r="661" spans="1:132" x14ac:dyDescent="0.2">
      <c r="A661" s="4">
        <f ca="1">IFERROR(__xludf.DUMMYFUNCTION("""COMPUTED_VALUE"""),661)</f>
        <v>661</v>
      </c>
      <c r="B661" s="4">
        <f ca="1">IFERROR(__xludf.DUMMYFUNCTION("""COMPUTED_VALUE"""),632)</f>
        <v>632</v>
      </c>
      <c r="C661" s="4" t="str">
        <f ca="1">IFERROR(__xludf.DUMMYFUNCTION("""COMPUTED_VALUE"""),"SDATOOL-40813")</f>
        <v>SDATOOL-40813</v>
      </c>
      <c r="D661" s="4" t="str">
        <f ca="1">IFERROR(__xludf.DUMMYFUNCTION("""COMPUTED_VALUE"""),"Fiduciaria - Autogestion Usuarios - AI Pagos End to End")</f>
        <v>Fiduciaria - Autogestion Usuarios - AI Pagos End to End</v>
      </c>
      <c r="E661" s="4" t="str">
        <f ca="1">IFERROR(__xludf.DUMMYFUNCTION("""COMPUTED_VALUE"""),"Establecer un módulo de enrolamiento en el que se maneje la información del cliente con las medidas de seguridad de la información y que permita su trazabilidad en caso de modificaciones.")</f>
        <v>Establecer un módulo de enrolamiento en el que se maneje la información del cliente con las medidas de seguridad de la información y que permita su trazabilidad en caso de modificaciones.</v>
      </c>
      <c r="F661" s="4" t="str">
        <f ca="1">IFERROR(__xludf.DUMMYFUNCTION("""COMPUTED_VALUE"""),"Project")</f>
        <v>Project</v>
      </c>
      <c r="G661" s="4" t="str">
        <f ca="1">IFERROR(__xludf.DUMMYFUNCTION("""COMPUTED_VALUE"""),"Stock")</f>
        <v>Stock</v>
      </c>
      <c r="H661" s="4" t="str">
        <f ca="1">IFERROR(__xludf.DUMMYFUNCTION("""COMPUTED_VALUE"""),"2Q 2023")</f>
        <v>2Q 2023</v>
      </c>
      <c r="I661" s="131" t="str">
        <f ca="1">IFERROR(__xludf.DUMMYFUNCTION("""COMPUTED_VALUE"""),"juan.orozco-bbva.com")</f>
        <v>juan.orozco-bbva.com</v>
      </c>
      <c r="J661" s="131" t="str">
        <f ca="1">IFERROR(__xludf.DUMMYFUNCTION("""COMPUTED_VALUE"""),"jorge.blanco-bbva.com")</f>
        <v>jorge.blanco-bbva.com</v>
      </c>
      <c r="K661" s="131" t="str">
        <f ca="1">IFERROR(__xludf.DUMMYFUNCTION("""COMPUTED_VALUE"""),"juan.orozco-bbva.com")</f>
        <v>juan.orozco-bbva.com</v>
      </c>
      <c r="L661" s="130">
        <f ca="1">IFERROR(__xludf.DUMMYFUNCTION("""COMPUTED_VALUE"""),0)</f>
        <v>0</v>
      </c>
      <c r="M661" s="130">
        <f ca="1">IFERROR(__xludf.DUMMYFUNCTION("""COMPUTED_VALUE"""),0)</f>
        <v>0</v>
      </c>
      <c r="N661" s="130">
        <f ca="1">IFERROR(__xludf.DUMMYFUNCTION("""COMPUTED_VALUE"""),0)</f>
        <v>0</v>
      </c>
      <c r="O661" s="4" t="str">
        <f ca="1">IFERROR(__xludf.DUMMYFUNCTION("""COMPUTED_VALUE"""),"Waterfall")</f>
        <v>Waterfall</v>
      </c>
      <c r="P661" s="4" t="str">
        <f ca="1">IFERROR(__xludf.DUMMYFUNCTION("""COMPUTED_VALUE"""),"Tradicional")</f>
        <v>Tradicional</v>
      </c>
      <c r="Q661" s="4"/>
      <c r="R661" s="130" t="str">
        <f ca="1">IFERROR(__xludf.DUMMYFUNCTION("""COMPUTED_VALUE"""),"Asset Management		")</f>
        <v xml:space="preserve">Asset Management		</v>
      </c>
      <c r="S661" s="130" t="str">
        <f ca="1">IFERROR(__xludf.DUMMYFUNCTION("""COMPUTED_VALUE""")," Otros")</f>
        <v xml:space="preserve"> Otros</v>
      </c>
      <c r="T661" s="130" t="str">
        <f ca="1">IFERROR(__xludf.DUMMYFUNCTION("""COMPUTED_VALUE"""),"Normativo")</f>
        <v>Normativo</v>
      </c>
      <c r="U661" s="130" t="str">
        <f ca="1">IFERROR(__xludf.DUMMYFUNCTION("""COMPUTED_VALUE"""),"No Aplica")</f>
        <v>No Aplica</v>
      </c>
      <c r="V661" s="4" t="str">
        <f ca="1">IFERROR(__xludf.DUMMYFUNCTION("""COMPUTED_VALUE"""),"Autogestión")</f>
        <v>Autogestión</v>
      </c>
      <c r="W661" s="4">
        <f ca="1">IFERROR(__xludf.DUMMYFUNCTION("""COMPUTED_VALUE"""),2)</f>
        <v>2</v>
      </c>
      <c r="X661" s="4" t="str">
        <f ca="1">IFERROR(__xludf.DUMMYFUNCTION("""COMPUTED_VALUE"""),"07. Asset management")</f>
        <v>07. Asset management</v>
      </c>
      <c r="Y661" s="4" t="str">
        <f ca="1">IFERROR(__xludf.DUMMYFUNCTION("""COMPUTED_VALUE""")," Otros")</f>
        <v xml:space="preserve"> Otros</v>
      </c>
      <c r="Z661" s="132" t="str">
        <f ca="1">IFERROR(__xludf.DUMMYFUNCTION("""COMPUTED_VALUE"""),"610365")</f>
        <v>610365</v>
      </c>
      <c r="AA661" s="4" t="str">
        <f ca="1">IFERROR(__xludf.DUMMYFUNCTION("""COMPUTED_VALUE"""),"Módulo de enrolamiento para cliente Externo")</f>
        <v>Módulo de enrolamiento para cliente Externo</v>
      </c>
      <c r="AB661" s="4" t="str">
        <f ca="1">IFERROR(__xludf.DUMMYFUNCTION("""COMPUTED_VALUE"""),"Establecer un módulo de enrolamiento en el que se maneje la información del cliente con las medidas de seguridad de la información y que permita su trazabilidad en caso de modificaciones.")</f>
        <v>Establecer un módulo de enrolamiento en el que se maneje la información del cliente con las medidas de seguridad de la información y que permita su trazabilidad en caso de modificaciones.</v>
      </c>
      <c r="AC661" s="4" t="str">
        <f ca="1">IFERROR(__xludf.DUMMYFUNCTION("""COMPUTED_VALUE"""),"2Q 2023")</f>
        <v>2Q 2023</v>
      </c>
      <c r="AD661" s="4"/>
      <c r="AE661" s="4"/>
      <c r="AF661" s="4"/>
      <c r="AG661" s="4"/>
      <c r="AH661" s="4"/>
      <c r="AI661" s="4"/>
      <c r="AJ661" s="4"/>
      <c r="AK661" s="131" t="str">
        <f ca="1">IFERROR(__xludf.DUMMYFUNCTION("""COMPUTED_VALUE"""),"CFS1-169")</f>
        <v>CFS1-169</v>
      </c>
      <c r="AL661" s="4" t="str">
        <f ca="1">IFERROR(__xludf.DUMMYFUNCTION("""COMPUTED_VALUE"""),"En progreso")</f>
        <v>En progreso</v>
      </c>
      <c r="AM661" s="4"/>
      <c r="AN661" s="4" t="str">
        <f ca="1">IFERROR(__xludf.DUMMYFUNCTION("""COMPUTED_VALUE"""),"Entregable en Conceptualización")</f>
        <v>Entregable en Conceptualización</v>
      </c>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133">
        <f ca="1">IFERROR(__xludf.DUMMYFUNCTION("""COMPUTED_VALUE"""),0)</f>
        <v>0</v>
      </c>
      <c r="DV661" s="133">
        <f ca="1">IFERROR(__xludf.DUMMYFUNCTION("""COMPUTED_VALUE"""),0)</f>
        <v>0</v>
      </c>
      <c r="DW661" s="133">
        <f ca="1">IFERROR(__xludf.DUMMYFUNCTION("""COMPUTED_VALUE"""),0)</f>
        <v>0</v>
      </c>
      <c r="DX661" s="133">
        <f ca="1">IFERROR(__xludf.DUMMYFUNCTION("""COMPUTED_VALUE"""),347400000)</f>
        <v>347400000</v>
      </c>
      <c r="DY661" s="133">
        <f ca="1">IFERROR(__xludf.DUMMYFUNCTION("""COMPUTED_VALUE"""),0)</f>
        <v>0</v>
      </c>
      <c r="DZ661" s="133">
        <f ca="1">IFERROR(__xludf.DUMMYFUNCTION("""COMPUTED_VALUE"""),347400000)</f>
        <v>347400000</v>
      </c>
      <c r="EA661" s="4"/>
      <c r="EB661" s="4"/>
    </row>
    <row r="662" spans="1:132" x14ac:dyDescent="0.2">
      <c r="A662" s="4">
        <f ca="1">IFERROR(__xludf.DUMMYFUNCTION("""COMPUTED_VALUE"""),662)</f>
        <v>662</v>
      </c>
      <c r="B662" s="4"/>
      <c r="C662" s="4" t="str">
        <f ca="1">IFERROR(__xludf.DUMMYFUNCTION("""COMPUTED_VALUE"""),"SDATOOL-42550")</f>
        <v>SDATOOL-42550</v>
      </c>
      <c r="D662" s="4" t="str">
        <f ca="1">IFERROR(__xludf.DUMMYFUNCTION("""COMPUTED_VALUE"""),"Fiduciaria - Cash Management")</f>
        <v>Fiduciaria - Cash Management</v>
      </c>
      <c r="E662" s="4" t="str">
        <f ca="1">IFERROR(__xludf.DUMMYFUNCTION("""COMPUTED_VALUE"""),"Nueva plataforma para la administracion de las Cash IN y Cash out en los fondos de inversion.")</f>
        <v>Nueva plataforma para la administracion de las Cash IN y Cash out en los fondos de inversion.</v>
      </c>
      <c r="F662" s="4" t="str">
        <f ca="1">IFERROR(__xludf.DUMMYFUNCTION("""COMPUTED_VALUE"""),"Project")</f>
        <v>Project</v>
      </c>
      <c r="G662" s="4" t="str">
        <f ca="1">IFERROR(__xludf.DUMMYFUNCTION("""COMPUTED_VALUE"""),"Flow")</f>
        <v>Flow</v>
      </c>
      <c r="H662" s="4" t="str">
        <f ca="1">IFERROR(__xludf.DUMMYFUNCTION("""COMPUTED_VALUE"""),"2Q 2024")</f>
        <v>2Q 2024</v>
      </c>
      <c r="I662" s="131" t="str">
        <f ca="1">IFERROR(__xludf.DUMMYFUNCTION("""COMPUTED_VALUE"""),"juan.orozco-bbva.com")</f>
        <v>juan.orozco-bbva.com</v>
      </c>
      <c r="J662" s="131" t="str">
        <f ca="1">IFERROR(__xludf.DUMMYFUNCTION("""COMPUTED_VALUE"""),"juan.orozco-bbva.com")</f>
        <v>juan.orozco-bbva.com</v>
      </c>
      <c r="K662" s="131" t="str">
        <f ca="1">IFERROR(__xludf.DUMMYFUNCTION("""COMPUTED_VALUE"""),"fernando.garciameza-bbva.com")</f>
        <v>fernando.garciameza-bbva.com</v>
      </c>
      <c r="L662" s="130">
        <f ca="1">IFERROR(__xludf.DUMMYFUNCTION("""COMPUTED_VALUE"""),0)</f>
        <v>0</v>
      </c>
      <c r="M662" s="130">
        <f ca="1">IFERROR(__xludf.DUMMYFUNCTION("""COMPUTED_VALUE"""),0)</f>
        <v>0</v>
      </c>
      <c r="N662" s="130">
        <f ca="1">IFERROR(__xludf.DUMMYFUNCTION("""COMPUTED_VALUE"""),0)</f>
        <v>0</v>
      </c>
      <c r="O662" s="4" t="str">
        <f ca="1">IFERROR(__xludf.DUMMYFUNCTION("""COMPUTED_VALUE"""),"Waterfall")</f>
        <v>Waterfall</v>
      </c>
      <c r="P662" s="4" t="str">
        <f ca="1">IFERROR(__xludf.DUMMYFUNCTION("""COMPUTED_VALUE"""),"Tradicional")</f>
        <v>Tradicional</v>
      </c>
      <c r="Q662" s="4"/>
      <c r="R662" s="130" t="str">
        <f ca="1">IFERROR(__xludf.DUMMYFUNCTION("""COMPUTED_VALUE"""),"Asset Management		")</f>
        <v xml:space="preserve">Asset Management		</v>
      </c>
      <c r="S662" s="4"/>
      <c r="T662" s="130" t="str">
        <f ca="1">IFERROR(__xludf.DUMMYFUNCTION("""COMPUTED_VALUE"""),"1. Generación de Ingresos")</f>
        <v>1. Generación de Ingresos</v>
      </c>
      <c r="U662" s="130" t="str">
        <f ca="1">IFERROR(__xludf.DUMMYFUNCTION("""COMPUTED_VALUE"""),"1.5. Otros de Proyectos de Ingresos")</f>
        <v>1.5. Otros de Proyectos de Ingresos</v>
      </c>
      <c r="V662" s="4" t="str">
        <f ca="1">IFERROR(__xludf.DUMMYFUNCTION("""COMPUTED_VALUE"""),"Fiduciaria")</f>
        <v>Fiduciaria</v>
      </c>
      <c r="W662" s="4">
        <f ca="1">IFERROR(__xludf.DUMMYFUNCTION("""COMPUTED_VALUE"""),1)</f>
        <v>1</v>
      </c>
      <c r="X662" s="4" t="str">
        <f ca="1">IFERROR(__xludf.DUMMYFUNCTION("""COMPUTED_VALUE"""),"07. Asset management")</f>
        <v>07. Asset management</v>
      </c>
      <c r="Y662" s="4" t="str">
        <f ca="1">IFERROR(__xludf.DUMMYFUNCTION("""COMPUTED_VALUE""")," Otros")</f>
        <v xml:space="preserve"> Otros</v>
      </c>
      <c r="Z662" s="132" t="str">
        <f ca="1">IFERROR(__xludf.DUMMYFUNCTION("""COMPUTED_VALUE"""),"724743")</f>
        <v>724743</v>
      </c>
      <c r="AA662" s="4" t="str">
        <f ca="1">IFERROR(__xludf.DUMMYFUNCTION("""COMPUTED_VALUE"""),"Autogestión de productos en la plataforma Alpha")</f>
        <v>Autogestión de productos en la plataforma Alpha</v>
      </c>
      <c r="AB662" s="4" t="str">
        <f ca="1">IFERROR(__xludf.DUMMYFUNCTION("""COMPUTED_VALUE"""),"Módulos de reportería cliente y fiduciaria
Autogestión de productos en la plataforma Alpha")</f>
        <v>Módulos de reportería cliente y fiduciaria
Autogestión de productos en la plataforma Alpha</v>
      </c>
      <c r="AC662" s="4" t="str">
        <f ca="1">IFERROR(__xludf.DUMMYFUNCTION("""COMPUTED_VALUE"""),"2Q 2024")</f>
        <v>2Q 2024</v>
      </c>
      <c r="AD662" s="4"/>
      <c r="AE662" s="4"/>
      <c r="AF662" s="4"/>
      <c r="AG662" s="4"/>
      <c r="AH662" s="4"/>
      <c r="AI662" s="4"/>
      <c r="AJ662" s="4"/>
      <c r="AK662" s="4" t="str">
        <f ca="1">IFERROR(__xludf.DUMMYFUNCTION("""COMPUTED_VALUE"""),"Sin asignar")</f>
        <v>Sin asignar</v>
      </c>
      <c r="AL662" s="4" t="str">
        <f ca="1">IFERROR(__xludf.DUMMYFUNCTION("""COMPUTED_VALUE"""),"Sin asignar")</f>
        <v>Sin asignar</v>
      </c>
      <c r="AM662" s="4"/>
      <c r="AN662" s="4" t="str">
        <f ca="1">IFERROR(__xludf.DUMMYFUNCTION("""COMPUTED_VALUE"""),"Entregable en backlog")</f>
        <v>Entregable en backlog</v>
      </c>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row>
    <row r="663" spans="1:132" x14ac:dyDescent="0.2">
      <c r="A663" s="4">
        <f ca="1">IFERROR(__xludf.DUMMYFUNCTION("""COMPUTED_VALUE"""),663)</f>
        <v>663</v>
      </c>
      <c r="B663" s="4"/>
      <c r="C663" s="4" t="str">
        <f ca="1">IFERROR(__xludf.DUMMYFUNCTION("""COMPUTED_VALUE"""),"SDATOOL-42550")</f>
        <v>SDATOOL-42550</v>
      </c>
      <c r="D663" s="4" t="str">
        <f ca="1">IFERROR(__xludf.DUMMYFUNCTION("""COMPUTED_VALUE"""),"Fiduciaria - Cash Management")</f>
        <v>Fiduciaria - Cash Management</v>
      </c>
      <c r="E663" s="4" t="str">
        <f ca="1">IFERROR(__xludf.DUMMYFUNCTION("""COMPUTED_VALUE"""),"Nueva plataforma para la administracion de las Cash IN y Cash out en los fondos de inversion.")</f>
        <v>Nueva plataforma para la administracion de las Cash IN y Cash out en los fondos de inversion.</v>
      </c>
      <c r="F663" s="4" t="str">
        <f ca="1">IFERROR(__xludf.DUMMYFUNCTION("""COMPUTED_VALUE"""),"Project")</f>
        <v>Project</v>
      </c>
      <c r="G663" s="4" t="str">
        <f ca="1">IFERROR(__xludf.DUMMYFUNCTION("""COMPUTED_VALUE"""),"Flow")</f>
        <v>Flow</v>
      </c>
      <c r="H663" s="4" t="str">
        <f ca="1">IFERROR(__xludf.DUMMYFUNCTION("""COMPUTED_VALUE"""),"2Q 2024")</f>
        <v>2Q 2024</v>
      </c>
      <c r="I663" s="131" t="str">
        <f ca="1">IFERROR(__xludf.DUMMYFUNCTION("""COMPUTED_VALUE"""),"juan.orozco-bbva.com")</f>
        <v>juan.orozco-bbva.com</v>
      </c>
      <c r="J663" s="131" t="str">
        <f ca="1">IFERROR(__xludf.DUMMYFUNCTION("""COMPUTED_VALUE"""),"juan.orozco-bbva.com")</f>
        <v>juan.orozco-bbva.com</v>
      </c>
      <c r="K663" s="131" t="str">
        <f ca="1">IFERROR(__xludf.DUMMYFUNCTION("""COMPUTED_VALUE"""),"fernando.garciameza-bbva.com")</f>
        <v>fernando.garciameza-bbva.com</v>
      </c>
      <c r="L663" s="4"/>
      <c r="M663" s="4"/>
      <c r="N663" s="4"/>
      <c r="O663" s="4" t="str">
        <f ca="1">IFERROR(__xludf.DUMMYFUNCTION("""COMPUTED_VALUE"""),"Waterfall")</f>
        <v>Waterfall</v>
      </c>
      <c r="P663" s="4" t="str">
        <f ca="1">IFERROR(__xludf.DUMMYFUNCTION("""COMPUTED_VALUE"""),"Tradicional")</f>
        <v>Tradicional</v>
      </c>
      <c r="Q663" s="4"/>
      <c r="R663" s="130" t="str">
        <f ca="1">IFERROR(__xludf.DUMMYFUNCTION("""COMPUTED_VALUE"""),"Asset Management		")</f>
        <v xml:space="preserve">Asset Management		</v>
      </c>
      <c r="S663" s="4"/>
      <c r="T663" s="130" t="str">
        <f ca="1">IFERROR(__xludf.DUMMYFUNCTION("""COMPUTED_VALUE"""),"1. Generación de Ingresos")</f>
        <v>1. Generación de Ingresos</v>
      </c>
      <c r="U663" s="130" t="str">
        <f ca="1">IFERROR(__xludf.DUMMYFUNCTION("""COMPUTED_VALUE"""),"1.5. Otros de Proyectos de Ingresos")</f>
        <v>1.5. Otros de Proyectos de Ingresos</v>
      </c>
      <c r="V663" s="4" t="str">
        <f ca="1">IFERROR(__xludf.DUMMYFUNCTION("""COMPUTED_VALUE"""),"Fiduciaria")</f>
        <v>Fiduciaria</v>
      </c>
      <c r="W663" s="4">
        <f ca="1">IFERROR(__xludf.DUMMYFUNCTION("""COMPUTED_VALUE"""),1)</f>
        <v>1</v>
      </c>
      <c r="X663" s="4" t="str">
        <f ca="1">IFERROR(__xludf.DUMMYFUNCTION("""COMPUTED_VALUE"""),"07. Asset management")</f>
        <v>07. Asset management</v>
      </c>
      <c r="Y663" s="4" t="str">
        <f ca="1">IFERROR(__xludf.DUMMYFUNCTION("""COMPUTED_VALUE""")," Otros")</f>
        <v xml:space="preserve"> Otros</v>
      </c>
      <c r="Z663" s="132" t="str">
        <f ca="1">IFERROR(__xludf.DUMMYFUNCTION("""COMPUTED_VALUE"""),"724732")</f>
        <v>724732</v>
      </c>
      <c r="AA663" s="4" t="str">
        <f ca="1">IFERROR(__xludf.DUMMYFUNCTION("""COMPUTED_VALUE"""),"Nueva posición global del aplicativo Alpha Cash Management")</f>
        <v>Nueva posición global del aplicativo Alpha Cash Management</v>
      </c>
      <c r="AB663" s="4" t="str">
        <f ca="1">IFERROR(__xludf.DUMMYFUNCTION("""COMPUTED_VALUE"""),"Nueva posición global del aplicativo, posición específica de producto, integraciones nuevos métodos de recaudos")</f>
        <v>Nueva posición global del aplicativo, posición específica de producto, integraciones nuevos métodos de recaudos</v>
      </c>
      <c r="AC663" s="4" t="str">
        <f ca="1">IFERROR(__xludf.DUMMYFUNCTION("""COMPUTED_VALUE"""),"3Q 2023")</f>
        <v>3Q 2023</v>
      </c>
      <c r="AD663" s="4"/>
      <c r="AE663" s="4"/>
      <c r="AF663" s="4"/>
      <c r="AG663" s="4"/>
      <c r="AH663" s="4"/>
      <c r="AI663" s="4"/>
      <c r="AJ663" s="4"/>
      <c r="AK663" s="4" t="str">
        <f ca="1">IFERROR(__xludf.DUMMYFUNCTION("""COMPUTED_VALUE"""),"Sin asignar")</f>
        <v>Sin asignar</v>
      </c>
      <c r="AL663" s="4" t="str">
        <f ca="1">IFERROR(__xludf.DUMMYFUNCTION("""COMPUTED_VALUE"""),"Sin asignar")</f>
        <v>Sin asignar</v>
      </c>
      <c r="AM663" s="4"/>
      <c r="AN663" s="4" t="str">
        <f ca="1">IFERROR(__xludf.DUMMYFUNCTION("""COMPUTED_VALUE"""),"Entregable en backlog")</f>
        <v>Entregable en backlog</v>
      </c>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row>
    <row r="664" spans="1:132" x14ac:dyDescent="0.2">
      <c r="A664" s="4">
        <f ca="1">IFERROR(__xludf.DUMMYFUNCTION("""COMPUTED_VALUE"""),664)</f>
        <v>664</v>
      </c>
      <c r="B664" s="4"/>
      <c r="C664" s="4" t="str">
        <f ca="1">IFERROR(__xludf.DUMMYFUNCTION("""COMPUTED_VALUE"""),"SDATOOL-42550")</f>
        <v>SDATOOL-42550</v>
      </c>
      <c r="D664" s="4" t="str">
        <f ca="1">IFERROR(__xludf.DUMMYFUNCTION("""COMPUTED_VALUE"""),"Fiduciaria - Cash Management")</f>
        <v>Fiduciaria - Cash Management</v>
      </c>
      <c r="E664" s="4" t="str">
        <f ca="1">IFERROR(__xludf.DUMMYFUNCTION("""COMPUTED_VALUE"""),"Nueva plataforma para la administracion de las Cash IN y Cash out en los fondos de inversion.")</f>
        <v>Nueva plataforma para la administracion de las Cash IN y Cash out en los fondos de inversion.</v>
      </c>
      <c r="F664" s="4" t="str">
        <f ca="1">IFERROR(__xludf.DUMMYFUNCTION("""COMPUTED_VALUE"""),"Project")</f>
        <v>Project</v>
      </c>
      <c r="G664" s="4" t="str">
        <f ca="1">IFERROR(__xludf.DUMMYFUNCTION("""COMPUTED_VALUE"""),"Flow")</f>
        <v>Flow</v>
      </c>
      <c r="H664" s="4" t="str">
        <f ca="1">IFERROR(__xludf.DUMMYFUNCTION("""COMPUTED_VALUE"""),"2Q 2024")</f>
        <v>2Q 2024</v>
      </c>
      <c r="I664" s="131" t="str">
        <f ca="1">IFERROR(__xludf.DUMMYFUNCTION("""COMPUTED_VALUE"""),"juan.orozco-bbva.com")</f>
        <v>juan.orozco-bbva.com</v>
      </c>
      <c r="J664" s="131" t="str">
        <f ca="1">IFERROR(__xludf.DUMMYFUNCTION("""COMPUTED_VALUE"""),"juan.orozco-bbva.com")</f>
        <v>juan.orozco-bbva.com</v>
      </c>
      <c r="K664" s="131" t="str">
        <f ca="1">IFERROR(__xludf.DUMMYFUNCTION("""COMPUTED_VALUE"""),"fernando.garciameza-bbva.com")</f>
        <v>fernando.garciameza-bbva.com</v>
      </c>
      <c r="L664" s="4"/>
      <c r="M664" s="4"/>
      <c r="N664" s="4"/>
      <c r="O664" s="4" t="str">
        <f ca="1">IFERROR(__xludf.DUMMYFUNCTION("""COMPUTED_VALUE"""),"Waterfall")</f>
        <v>Waterfall</v>
      </c>
      <c r="P664" s="4" t="str">
        <f ca="1">IFERROR(__xludf.DUMMYFUNCTION("""COMPUTED_VALUE"""),"Tradicional")</f>
        <v>Tradicional</v>
      </c>
      <c r="Q664" s="4"/>
      <c r="R664" s="130" t="str">
        <f ca="1">IFERROR(__xludf.DUMMYFUNCTION("""COMPUTED_VALUE"""),"Asset Management		")</f>
        <v xml:space="preserve">Asset Management		</v>
      </c>
      <c r="S664" s="4"/>
      <c r="T664" s="130" t="str">
        <f ca="1">IFERROR(__xludf.DUMMYFUNCTION("""COMPUTED_VALUE"""),"1. Generación de Ingresos")</f>
        <v>1. Generación de Ingresos</v>
      </c>
      <c r="U664" s="130" t="str">
        <f ca="1">IFERROR(__xludf.DUMMYFUNCTION("""COMPUTED_VALUE"""),"1.5. Otros de Proyectos de Ingresos")</f>
        <v>1.5. Otros de Proyectos de Ingresos</v>
      </c>
      <c r="V664" s="4" t="str">
        <f ca="1">IFERROR(__xludf.DUMMYFUNCTION("""COMPUTED_VALUE"""),"Fiduciaria")</f>
        <v>Fiduciaria</v>
      </c>
      <c r="W664" s="4">
        <f ca="1">IFERROR(__xludf.DUMMYFUNCTION("""COMPUTED_VALUE"""),1)</f>
        <v>1</v>
      </c>
      <c r="X664" s="4" t="str">
        <f ca="1">IFERROR(__xludf.DUMMYFUNCTION("""COMPUTED_VALUE"""),"07. Asset management")</f>
        <v>07. Asset management</v>
      </c>
      <c r="Y664" s="4" t="str">
        <f ca="1">IFERROR(__xludf.DUMMYFUNCTION("""COMPUTED_VALUE""")," Otros")</f>
        <v xml:space="preserve"> Otros</v>
      </c>
      <c r="Z664" s="132" t="str">
        <f ca="1">IFERROR(__xludf.DUMMYFUNCTION("""COMPUTED_VALUE"""),"724733")</f>
        <v>724733</v>
      </c>
      <c r="AA664" s="4" t="str">
        <f ca="1">IFERROR(__xludf.DUMMYFUNCTION("""COMPUTED_VALUE"""),"Optimización de los diferentes métodos de CASH OUT y CASH IN")</f>
        <v>Optimización de los diferentes métodos de CASH OUT y CASH IN</v>
      </c>
      <c r="AB664" s="4" t="str">
        <f ca="1">IFERROR(__xludf.DUMMYFUNCTION("""COMPUTED_VALUE"""),"Optimización de los diferentes métodos de CASH OUT, Cash management para Fiduciaria AM, Integración automática para la conciliación del CASH IN y CASH OUT")</f>
        <v>Optimización de los diferentes métodos de CASH OUT, Cash management para Fiduciaria AM, Integración automática para la conciliación del CASH IN y CASH OUT</v>
      </c>
      <c r="AC664" s="4" t="str">
        <f ca="1">IFERROR(__xludf.DUMMYFUNCTION("""COMPUTED_VALUE"""),"4Q 2023")</f>
        <v>4Q 2023</v>
      </c>
      <c r="AD664" s="4"/>
      <c r="AE664" s="4"/>
      <c r="AF664" s="4"/>
      <c r="AG664" s="4"/>
      <c r="AH664" s="4"/>
      <c r="AI664" s="4"/>
      <c r="AJ664" s="4"/>
      <c r="AK664" s="4" t="str">
        <f ca="1">IFERROR(__xludf.DUMMYFUNCTION("""COMPUTED_VALUE"""),"Sin asignar")</f>
        <v>Sin asignar</v>
      </c>
      <c r="AL664" s="4" t="str">
        <f ca="1">IFERROR(__xludf.DUMMYFUNCTION("""COMPUTED_VALUE"""),"Sin asignar")</f>
        <v>Sin asignar</v>
      </c>
      <c r="AM664" s="4"/>
      <c r="AN664" s="4" t="str">
        <f ca="1">IFERROR(__xludf.DUMMYFUNCTION("""COMPUTED_VALUE"""),"Entregable en backlog")</f>
        <v>Entregable en backlog</v>
      </c>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row>
    <row r="665" spans="1:132" x14ac:dyDescent="0.2">
      <c r="A665" s="4">
        <f ca="1">IFERROR(__xludf.DUMMYFUNCTION("""COMPUTED_VALUE"""),665)</f>
        <v>665</v>
      </c>
      <c r="B665" s="4">
        <f ca="1">IFERROR(__xludf.DUMMYFUNCTION("""COMPUTED_VALUE"""),633)</f>
        <v>633</v>
      </c>
      <c r="C665" s="4" t="str">
        <f ca="1">IFERROR(__xludf.DUMMYFUNCTION("""COMPUTED_VALUE"""),"SDATOOL-40516")</f>
        <v>SDATOOL-40516</v>
      </c>
      <c r="D665" s="4" t="str">
        <f ca="1">IFERROR(__xludf.DUMMYFUNCTION("""COMPUTED_VALUE"""),"Filial Valores - BBVA Valores en Canales (Net Cash / Net)")</f>
        <v>Filial Valores - BBVA Valores en Canales (Net Cash / Net)</v>
      </c>
      <c r="E665"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665" s="4" t="str">
        <f ca="1">IFERROR(__xludf.DUMMYFUNCTION("""COMPUTED_VALUE"""),"Project")</f>
        <v>Project</v>
      </c>
      <c r="G665" s="4" t="str">
        <f ca="1">IFERROR(__xludf.DUMMYFUNCTION("""COMPUTED_VALUE"""),"Stock")</f>
        <v>Stock</v>
      </c>
      <c r="H665" s="4" t="str">
        <f ca="1">IFERROR(__xludf.DUMMYFUNCTION("""COMPUTED_VALUE"""),"3Q 2023")</f>
        <v>3Q 2023</v>
      </c>
      <c r="I665" s="131" t="str">
        <f ca="1">IFERROR(__xludf.DUMMYFUNCTION("""COMPUTED_VALUE"""),"carlosandres.moque-bbva.com")</f>
        <v>carlosandres.moque-bbva.com</v>
      </c>
      <c r="J665" s="131" t="str">
        <f ca="1">IFERROR(__xludf.DUMMYFUNCTION("""COMPUTED_VALUE"""),"carlosandres.moque-bbva.com")</f>
        <v>carlosandres.moque-bbva.com</v>
      </c>
      <c r="K665" s="131" t="str">
        <f ca="1">IFERROR(__xludf.DUMMYFUNCTION("""COMPUTED_VALUE"""),"hugoalberto.abreo-bbva.com")</f>
        <v>hugoalberto.abreo-bbva.com</v>
      </c>
      <c r="L665" s="130">
        <f ca="1">IFERROR(__xludf.DUMMYFUNCTION("""COMPUTED_VALUE"""),0)</f>
        <v>0</v>
      </c>
      <c r="M665" s="130">
        <f ca="1">IFERROR(__xludf.DUMMYFUNCTION("""COMPUTED_VALUE"""),0)</f>
        <v>0</v>
      </c>
      <c r="N665" s="130">
        <f ca="1">IFERROR(__xludf.DUMMYFUNCTION("""COMPUTED_VALUE"""),1)</f>
        <v>1</v>
      </c>
      <c r="O665" s="4" t="str">
        <f ca="1">IFERROR(__xludf.DUMMYFUNCTION("""COMPUTED_VALUE"""),"Waterfall")</f>
        <v>Waterfall</v>
      </c>
      <c r="P665" s="4" t="str">
        <f ca="1">IFERROR(__xludf.DUMMYFUNCTION("""COMPUTED_VALUE"""),"Tradicional")</f>
        <v>Tradicional</v>
      </c>
      <c r="Q665" s="4"/>
      <c r="R665" s="130" t="str">
        <f ca="1">IFERROR(__xludf.DUMMYFUNCTION("""COMPUTED_VALUE"""),"BBVA Valores")</f>
        <v>BBVA Valores</v>
      </c>
      <c r="S665" s="130" t="str">
        <f ca="1">IFERROR(__xludf.DUMMYFUNCTION("""COMPUTED_VALUE""")," Otros")</f>
        <v xml:space="preserve"> Otros</v>
      </c>
      <c r="T665" s="130" t="str">
        <f ca="1">IFERROR(__xludf.DUMMYFUNCTION("""COMPUTED_VALUE"""),"Otros")</f>
        <v>Otros</v>
      </c>
      <c r="U665" s="130" t="str">
        <f ca="1">IFERROR(__xludf.DUMMYFUNCTION("""COMPUTED_VALUE"""),"No Aplica")</f>
        <v>No Aplica</v>
      </c>
      <c r="V665" s="4" t="str">
        <f ca="1">IFERROR(__xludf.DUMMYFUNCTION("""COMPUTED_VALUE"""),"Valores")</f>
        <v>Valores</v>
      </c>
      <c r="W665" s="4">
        <f ca="1">IFERROR(__xludf.DUMMYFUNCTION("""COMPUTED_VALUE"""),2)</f>
        <v>2</v>
      </c>
      <c r="X665" s="4" t="str">
        <f ca="1">IFERROR(__xludf.DUMMYFUNCTION("""COMPUTED_VALUE"""),"07. Asset management")</f>
        <v>07. Asset management</v>
      </c>
      <c r="Y665" s="4" t="str">
        <f ca="1">IFERROR(__xludf.DUMMYFUNCTION("""COMPUTED_VALUE""")," Otros")</f>
        <v xml:space="preserve"> Otros</v>
      </c>
      <c r="Z665" s="132" t="str">
        <f ca="1">IFERROR(__xludf.DUMMYFUNCTION("""COMPUTED_VALUE"""),"560495")</f>
        <v>560495</v>
      </c>
      <c r="AA665" s="4" t="str">
        <f ca="1">IFERROR(__xludf.DUMMYFUNCTION("""COMPUTED_VALUE"""),"Carga información para Canales desde O&amp;D")</f>
        <v>Carga información para Canales desde O&amp;D</v>
      </c>
      <c r="AB665" s="4" t="str">
        <f ca="1">IFERROR(__xludf.DUMMYFUNCTION("""COMPUTED_VALUE"""),"Yo como Operador del BackOffice de BBVA Valores (comisionista de Bolsa) despues de realizar  el Cierre puedo realizar una validación del portafolio  y de saldos de clientes a partir de un reporte. Al estar seguro de los datos procedo a enviar la informaci"&amp;"on de los clientes a unas tablas alternas,  de estas tablas  se  debe generar  las APis, para que el portal consulte la información de los clientes.")</f>
        <v>Yo como Operador del BackOffice de BBVA Valores (comisionista de Bolsa) despues de realizar  el Cierre puedo realizar una validación del portafolio  y de saldos de clientes a partir de un reporte. Al estar seguro de los datos procedo a enviar la informacion de los clientes a unas tablas alternas,  de estas tablas  se  debe generar  las APis, para que el portal consulte la información de los clientes.</v>
      </c>
      <c r="AC665" s="4" t="str">
        <f ca="1">IFERROR(__xludf.DUMMYFUNCTION("""COMPUTED_VALUE"""),"1Q 2023")</f>
        <v>1Q 2023</v>
      </c>
      <c r="AD665" s="4"/>
      <c r="AE665" s="4"/>
      <c r="AF665" s="4"/>
      <c r="AG665" s="4"/>
      <c r="AH665" s="4"/>
      <c r="AI665" s="4"/>
      <c r="AJ665" s="4"/>
      <c r="AK665" s="131" t="str">
        <f ca="1">IFERROR(__xludf.DUMMYFUNCTION("""COMPUTED_VALUE"""),"COLWSVALOR-106")</f>
        <v>COLWSVALOR-106</v>
      </c>
      <c r="AL665" s="4" t="str">
        <f ca="1">IFERROR(__xludf.DUMMYFUNCTION("""COMPUTED_VALUE"""),"Test")</f>
        <v>Test</v>
      </c>
      <c r="AM665" s="4"/>
      <c r="AN665" s="4" t="str">
        <f ca="1">IFERROR(__xludf.DUMMYFUNCTION("""COMPUTED_VALUE"""),"Entregable en desarrollo")</f>
        <v>Entregable en desarrollo</v>
      </c>
      <c r="AO665" s="4"/>
      <c r="AP665" s="4"/>
      <c r="AQ665" s="4"/>
      <c r="AR665" s="4" t="str">
        <f ca="1">IFERROR(__xludf.DUMMYFUNCTION("""COMPUTED_VALUE"""),"SDA aprobada en PPP Q1 2023")</f>
        <v>SDA aprobada en PPP Q1 2023</v>
      </c>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133">
        <f ca="1">IFERROR(__xludf.DUMMYFUNCTION("""COMPUTED_VALUE"""),0)</f>
        <v>0</v>
      </c>
      <c r="DV665" s="133">
        <f ca="1">IFERROR(__xludf.DUMMYFUNCTION("""COMPUTED_VALUE"""),0)</f>
        <v>0</v>
      </c>
      <c r="DW665" s="133">
        <f ca="1">IFERROR(__xludf.DUMMYFUNCTION("""COMPUTED_VALUE"""),0)</f>
        <v>0</v>
      </c>
      <c r="DX665" s="133">
        <f ca="1">IFERROR(__xludf.DUMMYFUNCTION("""COMPUTED_VALUE"""),23000000)</f>
        <v>23000000</v>
      </c>
      <c r="DY665" s="133">
        <f ca="1">IFERROR(__xludf.DUMMYFUNCTION("""COMPUTED_VALUE"""),0)</f>
        <v>0</v>
      </c>
      <c r="DZ665" s="133">
        <f ca="1">IFERROR(__xludf.DUMMYFUNCTION("""COMPUTED_VALUE"""),23000000)</f>
        <v>23000000</v>
      </c>
      <c r="EA665" s="4"/>
      <c r="EB665" s="4"/>
    </row>
    <row r="666" spans="1:132" x14ac:dyDescent="0.2">
      <c r="A666" s="4">
        <f ca="1">IFERROR(__xludf.DUMMYFUNCTION("""COMPUTED_VALUE"""),666)</f>
        <v>666</v>
      </c>
      <c r="B666" s="4">
        <f ca="1">IFERROR(__xludf.DUMMYFUNCTION("""COMPUTED_VALUE"""),1000)</f>
        <v>1000</v>
      </c>
      <c r="C666" s="4" t="str">
        <f ca="1">IFERROR(__xludf.DUMMYFUNCTION("""COMPUTED_VALUE"""),"SDATOOL-40495")</f>
        <v>SDATOOL-40495</v>
      </c>
      <c r="D666" s="4" t="str">
        <f ca="1">IFERROR(__xludf.DUMMYFUNCTION("""COMPUTED_VALUE"""),"Proyecto Jupiter")</f>
        <v>Proyecto Jupiter</v>
      </c>
      <c r="E666" s="4" t="str">
        <f ca="1">IFERROR(__xludf.DUMMYFUNCTION("""COMPUTED_VALUE"""),"Se ha identificado una oportunidad de BNPL en Perú, Colombia y Chile, donde las instituciones financieras no han desarrollado de manera extensiva  los pagos a plazos con MSI (""Meses Sin Intereses"") en el PoS.
Por lo que se generara una NewCo, con capit"&amp;"al Banco (Holding) para  distribuir en open market y dentro de la oferta de adquirencia del banco  y Openpay. En el medio plazo, con capacidades de riesgos y fraude desarrolladas.")</f>
        <v>Se ha identificado una oportunidad de BNPL en Perú, Colombia y Chile, donde las instituciones financieras no han desarrollado de manera extensiva  los pagos a plazos con MSI ("Meses Sin Intereses") en el PoS.
Por lo que se generara una NewCo, con capital Banco (Holding) para  distribuir en open market y dentro de la oferta de adquirencia del banco  y Openpay. En el medio plazo, con capacidades de riesgos y fraude desarrolladas.</v>
      </c>
      <c r="F666" s="4" t="str">
        <f ca="1">IFERROR(__xludf.DUMMYFUNCTION("""COMPUTED_VALUE"""),"Initiative")</f>
        <v>Initiative</v>
      </c>
      <c r="G666" s="4" t="str">
        <f ca="1">IFERROR(__xludf.DUMMYFUNCTION("""COMPUTED_VALUE"""),"Stock")</f>
        <v>Stock</v>
      </c>
      <c r="H666" s="4" t="str">
        <f ca="1">IFERROR(__xludf.DUMMYFUNCTION("""COMPUTED_VALUE"""),"4Q 2023")</f>
        <v>4Q 2023</v>
      </c>
      <c r="I666" s="4"/>
      <c r="J666" s="131" t="str">
        <f ca="1">IFERROR(__xludf.DUMMYFUNCTION("""COMPUTED_VALUE"""),"paolaandrea.guzman-bbva.com")</f>
        <v>paolaandrea.guzman-bbva.com</v>
      </c>
      <c r="K666" s="131" t="str">
        <f ca="1">IFERROR(__xludf.DUMMYFUNCTION("""COMPUTED_VALUE"""),"sandrajohanna.gonzalez-bbva.com")</f>
        <v>sandrajohanna.gonzalez-bbva.com</v>
      </c>
      <c r="L666" s="130">
        <f ca="1">IFERROR(__xludf.DUMMYFUNCTION("""COMPUTED_VALUE"""),0)</f>
        <v>0</v>
      </c>
      <c r="M666" s="130">
        <f ca="1">IFERROR(__xludf.DUMMYFUNCTION("""COMPUTED_VALUE"""),0)</f>
        <v>0</v>
      </c>
      <c r="N666" s="130">
        <f ca="1">IFERROR(__xludf.DUMMYFUNCTION("""COMPUTED_VALUE"""),0)</f>
        <v>0</v>
      </c>
      <c r="O666" s="4" t="str">
        <f ca="1">IFERROR(__xludf.DUMMYFUNCTION("""COMPUTED_VALUE"""),"Waterfall")</f>
        <v>Waterfall</v>
      </c>
      <c r="P666" s="4" t="str">
        <f ca="1">IFERROR(__xludf.DUMMYFUNCTION("""COMPUTED_VALUE"""),"Tradicional")</f>
        <v>Tradicional</v>
      </c>
      <c r="Q666" s="4"/>
      <c r="R666" s="130" t="str">
        <f ca="1">IFERROR(__xludf.DUMMYFUNCTION("""COMPUTED_VALUE"""),"payments &amp; Partnerships")</f>
        <v>payments &amp; Partnerships</v>
      </c>
      <c r="S666" s="130" t="str">
        <f ca="1">IFERROR(__xludf.DUMMYFUNCTION("""COMPUTED_VALUE""")," Otros")</f>
        <v xml:space="preserve"> Otros</v>
      </c>
      <c r="T666" s="130" t="str">
        <f ca="1">IFERROR(__xludf.DUMMYFUNCTION("""COMPUTED_VALUE"""),"1. Generación de Ingresos")</f>
        <v>1. Generación de Ingresos</v>
      </c>
      <c r="U666" s="130" t="str">
        <f ca="1">IFERROR(__xludf.DUMMYFUNCTION("""COMPUTED_VALUE"""),"1.5. Otros de Proyectos de Ingresos")</f>
        <v>1.5. Otros de Proyectos de Ingresos</v>
      </c>
      <c r="V666" s="4" t="str">
        <f ca="1">IFERROR(__xludf.DUMMYFUNCTION("""COMPUTED_VALUE"""),"BNPL")</f>
        <v>BNPL</v>
      </c>
      <c r="W666" s="4">
        <f ca="1">IFERROR(__xludf.DUMMYFUNCTION("""COMPUTED_VALUE"""),1)</f>
        <v>1</v>
      </c>
      <c r="X666" s="4" t="str">
        <f ca="1">IFERROR(__xludf.DUMMYFUNCTION("""COMPUTED_VALUE"""),"01. Open Market &amp; Partnerships")</f>
        <v>01. Open Market &amp; Partnerships</v>
      </c>
      <c r="Y666" s="4" t="str">
        <f ca="1">IFERROR(__xludf.DUMMYFUNCTION("""COMPUTED_VALUE""")," Otros")</f>
        <v xml:space="preserve"> Otros</v>
      </c>
      <c r="Z666" s="132" t="str">
        <f ca="1">IFERROR(__xludf.DUMMYFUNCTION("""COMPUTED_VALUE"""),"626008")</f>
        <v>626008</v>
      </c>
      <c r="AA666" s="4" t="str">
        <f ca="1">IFERROR(__xludf.DUMMYFUNCTION("""COMPUTED_VALUE"""),"Iniciativa en Backlog, en espera de priorización")</f>
        <v>Iniciativa en Backlog, en espera de priorización</v>
      </c>
      <c r="AB666" s="4" t="str">
        <f ca="1">IFERROR(__xludf.DUMMYFUNCTION("""COMPUTED_VALUE"""),"Iniciativa en Backlog, en espera de priorización")</f>
        <v>Iniciativa en Backlog, en espera de priorización</v>
      </c>
      <c r="AC666" s="4" t="str">
        <f ca="1">IFERROR(__xludf.DUMMYFUNCTION("""COMPUTED_VALUE"""),"4Q 2023")</f>
        <v>4Q 2023</v>
      </c>
      <c r="AD666" s="4"/>
      <c r="AE666" s="4"/>
      <c r="AF666" s="4"/>
      <c r="AG666" s="4"/>
      <c r="AH666" s="4"/>
      <c r="AI666" s="4"/>
      <c r="AJ666" s="4"/>
      <c r="AK666" s="4" t="str">
        <f ca="1">IFERROR(__xludf.DUMMYFUNCTION("""COMPUTED_VALUE"""),"Sin asignar")</f>
        <v>Sin asignar</v>
      </c>
      <c r="AL666" s="4" t="str">
        <f ca="1">IFERROR(__xludf.DUMMYFUNCTION("""COMPUTED_VALUE"""),"Sin asignar")</f>
        <v>Sin asignar</v>
      </c>
      <c r="AM666" s="4" t="str">
        <f ca="1">IFERROR(__xludf.DUMMYFUNCTION("""COMPUTED_VALUE"""),"No participa SolDev")</f>
        <v>No participa SolDev</v>
      </c>
      <c r="AN666" s="4" t="str">
        <f ca="1">IFERROR(__xludf.DUMMYFUNCTION("""COMPUTED_VALUE"""),"Iniciativa sin priorizar")</f>
        <v>Iniciativa sin priorizar</v>
      </c>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133" t="str">
        <f ca="1">IFERROR(__xludf.DUMMYFUNCTION("""COMPUTED_VALUE"""),"Sin Est.")</f>
        <v>Sin Est.</v>
      </c>
      <c r="DV666" s="133" t="str">
        <f ca="1">IFERROR(__xludf.DUMMYFUNCTION("""COMPUTED_VALUE"""),"Sin Est.")</f>
        <v>Sin Est.</v>
      </c>
      <c r="DW666" s="133" t="str">
        <f ca="1">IFERROR(__xludf.DUMMYFUNCTION("""COMPUTED_VALUE"""),"Sin Est.")</f>
        <v>Sin Est.</v>
      </c>
      <c r="DX666" s="133" t="str">
        <f ca="1">IFERROR(__xludf.DUMMYFUNCTION("""COMPUTED_VALUE"""),"Sin Est.")</f>
        <v>Sin Est.</v>
      </c>
      <c r="DY666" s="133" t="str">
        <f ca="1">IFERROR(__xludf.DUMMYFUNCTION("""COMPUTED_VALUE"""),"Sin Est.")</f>
        <v>Sin Est.</v>
      </c>
      <c r="DZ666" s="4" t="str">
        <f ca="1">IFERROR(__xludf.DUMMYFUNCTION("""COMPUTED_VALUE"""),"#VALUE!")</f>
        <v>#VALUE!</v>
      </c>
      <c r="EA666" s="4"/>
      <c r="EB666" s="4"/>
    </row>
    <row r="667" spans="1:132" x14ac:dyDescent="0.2">
      <c r="A667" s="4">
        <f ca="1">IFERROR(__xludf.DUMMYFUNCTION("""COMPUTED_VALUE"""),667)</f>
        <v>667</v>
      </c>
      <c r="B667" s="4">
        <f ca="1">IFERROR(__xludf.DUMMYFUNCTION("""COMPUTED_VALUE"""),1000)</f>
        <v>1000</v>
      </c>
      <c r="C667" s="4" t="str">
        <f ca="1">IFERROR(__xludf.DUMMYFUNCTION("""COMPUTED_VALUE"""),"SDATOOL-42494")</f>
        <v>SDATOOL-42494</v>
      </c>
      <c r="D667" s="4" t="str">
        <f ca="1">IFERROR(__xludf.DUMMYFUNCTION("""COMPUTED_VALUE"""),"Consultoría para presentación de proyectos I+D+I a Colciencias para acceso a beneficios tributarios.")</f>
        <v>Consultoría para presentación de proyectos I+D+I a Colciencias para acceso a beneficios tributarios.</v>
      </c>
      <c r="E667" s="4" t="str">
        <f ca="1">IFERROR(__xludf.DUMMYFUNCTION("""COMPUTED_VALUE"""),"El objetivo es contar con los servicios para la construcción, seguimiento y presentación de los proyectos de I+D+I a Colciencias con el fin de recibir beneficios tributarios por inversión en proyectos de Innovación y Desarrollo.")</f>
        <v>El objetivo es contar con los servicios para la construcción, seguimiento y presentación de los proyectos de I+D+I a Colciencias con el fin de recibir beneficios tributarios por inversión en proyectos de Innovación y Desarrollo.</v>
      </c>
      <c r="F667" s="4" t="str">
        <f ca="1">IFERROR(__xludf.DUMMYFUNCTION("""COMPUTED_VALUE"""),"Project")</f>
        <v>Project</v>
      </c>
      <c r="G667" s="4" t="str">
        <f ca="1">IFERROR(__xludf.DUMMYFUNCTION("""COMPUTED_VALUE"""),"Flow")</f>
        <v>Flow</v>
      </c>
      <c r="H667" s="4" t="str">
        <f ca="1">IFERROR(__xludf.DUMMYFUNCTION("""COMPUTED_VALUE"""),"4Q 2023")</f>
        <v>4Q 2023</v>
      </c>
      <c r="I667" s="4"/>
      <c r="J667" s="4"/>
      <c r="K667" s="131" t="str">
        <f ca="1">IFERROR(__xludf.DUMMYFUNCTION("""COMPUTED_VALUE"""),"edwinalberto.barrios-bbva.com")</f>
        <v>edwinalberto.barrios-bbva.com</v>
      </c>
      <c r="L667" s="130">
        <f ca="1">IFERROR(__xludf.DUMMYFUNCTION("""COMPUTED_VALUE"""),0)</f>
        <v>0</v>
      </c>
      <c r="M667" s="130">
        <f ca="1">IFERROR(__xludf.DUMMYFUNCTION("""COMPUTED_VALUE"""),0)</f>
        <v>0</v>
      </c>
      <c r="N667" s="130">
        <f ca="1">IFERROR(__xludf.DUMMYFUNCTION("""COMPUTED_VALUE"""),0)</f>
        <v>0</v>
      </c>
      <c r="O667" s="4" t="str">
        <f ca="1">IFERROR(__xludf.DUMMYFUNCTION("""COMPUTED_VALUE"""),"Conceptos")</f>
        <v>Conceptos</v>
      </c>
      <c r="P667" s="4" t="str">
        <f ca="1">IFERROR(__xludf.DUMMYFUNCTION("""COMPUTED_VALUE"""),"Tradicional")</f>
        <v>Tradicional</v>
      </c>
      <c r="Q667" s="4"/>
      <c r="R667" s="4" t="str">
        <f ca="1">IFERROR(__xludf.DUMMYFUNCTION("""COMPUTED_VALUE"""),"Solutions Development")</f>
        <v>Solutions Development</v>
      </c>
      <c r="S667" s="4" t="str">
        <f ca="1">IFERROR(__xludf.DUMMYFUNCTION("""COMPUTED_VALUE""")," Otros")</f>
        <v xml:space="preserve"> Otros</v>
      </c>
      <c r="T667" s="4" t="str">
        <f ca="1">IFERROR(__xludf.DUMMYFUNCTION("""COMPUTED_VALUE"""),"1. Generación de Ingresos")</f>
        <v>1. Generación de Ingresos</v>
      </c>
      <c r="U667" s="4" t="str">
        <f ca="1">IFERROR(__xludf.DUMMYFUNCTION("""COMPUTED_VALUE"""),"1.5. Otros de Proyectos de Ingresos")</f>
        <v>1.5. Otros de Proyectos de Ingresos</v>
      </c>
      <c r="V667" s="4" t="str">
        <f ca="1">IFERROR(__xludf.DUMMYFUNCTION("""COMPUTED_VALUE"""),"Otros")</f>
        <v>Otros</v>
      </c>
      <c r="W667" s="4">
        <f ca="1">IFERROR(__xludf.DUMMYFUNCTION("""COMPUTED_VALUE"""),3)</f>
        <v>3</v>
      </c>
      <c r="X667" s="4" t="str">
        <f ca="1">IFERROR(__xludf.DUMMYFUNCTION("""COMPUTED_VALUE"""),"10. Otros")</f>
        <v>10. Otros</v>
      </c>
      <c r="Y667" s="4" t="str">
        <f ca="1">IFERROR(__xludf.DUMMYFUNCTION("""COMPUTED_VALUE""")," Otros")</f>
        <v xml:space="preserve"> Otros</v>
      </c>
      <c r="Z667" s="132" t="str">
        <f ca="1">IFERROR(__xludf.DUMMYFUNCTION("""COMPUTED_VALUE"""),"713184")</f>
        <v>713184</v>
      </c>
      <c r="AA667" s="4" t="str">
        <f ca="1">IFERROR(__xludf.DUMMYFUNCTION("""COMPUTED_VALUE"""),"Postulación de proyectos 2023")</f>
        <v>Postulación de proyectos 2023</v>
      </c>
      <c r="AB667" s="4" t="str">
        <f ca="1">IFERROR(__xludf.DUMMYFUNCTION("""COMPUTED_VALUE"""),"Postulación de proyectos a Colciencias")</f>
        <v>Postulación de proyectos a Colciencias</v>
      </c>
      <c r="AC667" s="4" t="str">
        <f ca="1">IFERROR(__xludf.DUMMYFUNCTION("""COMPUTED_VALUE"""),"4Q 2023")</f>
        <v>4Q 2023</v>
      </c>
      <c r="AD667" s="4"/>
      <c r="AE667" s="4"/>
      <c r="AF667" s="4"/>
      <c r="AG667" s="4"/>
      <c r="AH667" s="4"/>
      <c r="AI667" s="4"/>
      <c r="AJ667" s="4"/>
      <c r="AK667" s="4" t="str">
        <f ca="1">IFERROR(__xludf.DUMMYFUNCTION("""COMPUTED_VALUE"""),"Sin asignar")</f>
        <v>Sin asignar</v>
      </c>
      <c r="AL667" s="4" t="str">
        <f ca="1">IFERROR(__xludf.DUMMYFUNCTION("""COMPUTED_VALUE"""),"Sin asignar")</f>
        <v>Sin asignar</v>
      </c>
      <c r="AM667" s="4" t="str">
        <f ca="1">IFERROR(__xludf.DUMMYFUNCTION("""COMPUTED_VALUE"""),"No participa SolDev")</f>
        <v>No participa SolDev</v>
      </c>
      <c r="AN667" s="4" t="str">
        <f ca="1">IFERROR(__xludf.DUMMYFUNCTION("""COMPUTED_VALUE"""),"Iniciativa sin priorizar")</f>
        <v>Iniciativa sin priorizar</v>
      </c>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133" t="str">
        <f ca="1">IFERROR(__xludf.DUMMYFUNCTION("""COMPUTED_VALUE"""),"Sin Est.")</f>
        <v>Sin Est.</v>
      </c>
      <c r="DV667" s="133" t="str">
        <f ca="1">IFERROR(__xludf.DUMMYFUNCTION("""COMPUTED_VALUE"""),"Sin Est.")</f>
        <v>Sin Est.</v>
      </c>
      <c r="DW667" s="133" t="str">
        <f ca="1">IFERROR(__xludf.DUMMYFUNCTION("""COMPUTED_VALUE"""),"Sin Est.")</f>
        <v>Sin Est.</v>
      </c>
      <c r="DX667" s="133" t="str">
        <f ca="1">IFERROR(__xludf.DUMMYFUNCTION("""COMPUTED_VALUE"""),"Sin Est.")</f>
        <v>Sin Est.</v>
      </c>
      <c r="DY667" s="133" t="str">
        <f ca="1">IFERROR(__xludf.DUMMYFUNCTION("""COMPUTED_VALUE"""),"Sin Est.")</f>
        <v>Sin Est.</v>
      </c>
      <c r="DZ667" s="4" t="str">
        <f ca="1">IFERROR(__xludf.DUMMYFUNCTION("""COMPUTED_VALUE"""),"#VALUE!")</f>
        <v>#VALUE!</v>
      </c>
      <c r="EA667" s="4"/>
      <c r="EB667" s="4"/>
    </row>
    <row r="668" spans="1:132" x14ac:dyDescent="0.2">
      <c r="A668" s="4">
        <f ca="1">IFERROR(__xludf.DUMMYFUNCTION("""COMPUTED_VALUE"""),668)</f>
        <v>668</v>
      </c>
      <c r="B668" s="4">
        <f ca="1">IFERROR(__xludf.DUMMYFUNCTION("""COMPUTED_VALUE"""),1000)</f>
        <v>1000</v>
      </c>
      <c r="C668" s="4" t="str">
        <f ca="1">IFERROR(__xludf.DUMMYFUNCTION("""COMPUTED_VALUE"""),"SDATOOL-42058")</f>
        <v>SDATOOL-42058</v>
      </c>
      <c r="D668" s="4" t="str">
        <f ca="1">IFERROR(__xludf.DUMMYFUNCTION("""COMPUTED_VALUE"""),"WS Procesos Sostenibilidad 2023")</f>
        <v>WS Procesos Sostenibilidad 2023</v>
      </c>
      <c r="E668"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668" s="4" t="str">
        <f ca="1">IFERROR(__xludf.DUMMYFUNCTION("""COMPUTED_VALUE"""),"Initiative")</f>
        <v>Initiative</v>
      </c>
      <c r="G668" s="4" t="str">
        <f ca="1">IFERROR(__xludf.DUMMYFUNCTION("""COMPUTED_VALUE"""),"Flow")</f>
        <v>Flow</v>
      </c>
      <c r="H668" s="4" t="str">
        <f ca="1">IFERROR(__xludf.DUMMYFUNCTION("""COMPUTED_VALUE"""),"4Q 2023")</f>
        <v>4Q 2023</v>
      </c>
      <c r="I668" s="4"/>
      <c r="J668" s="4"/>
      <c r="K668" s="131" t="str">
        <f ca="1">IFERROR(__xludf.DUMMYFUNCTION("""COMPUTED_VALUE"""),"carlosdavid.pacheco-bbva.com")</f>
        <v>carlosdavid.pacheco-bbva.com</v>
      </c>
      <c r="L668" s="130">
        <f ca="1">IFERROR(__xludf.DUMMYFUNCTION("""COMPUTED_VALUE"""),0)</f>
        <v>0</v>
      </c>
      <c r="M668" s="130">
        <f ca="1">IFERROR(__xludf.DUMMYFUNCTION("""COMPUTED_VALUE"""),0)</f>
        <v>0</v>
      </c>
      <c r="N668" s="130">
        <f ca="1">IFERROR(__xludf.DUMMYFUNCTION("""COMPUTED_VALUE"""),0)</f>
        <v>0</v>
      </c>
      <c r="O668" s="4" t="str">
        <f ca="1">IFERROR(__xludf.DUMMYFUNCTION("""COMPUTED_VALUE"""),"Conceptos")</f>
        <v>Conceptos</v>
      </c>
      <c r="P668" s="4" t="str">
        <f ca="1">IFERROR(__xludf.DUMMYFUNCTION("""COMPUTED_VALUE"""),"Tradicional")</f>
        <v>Tradicional</v>
      </c>
      <c r="Q668" s="4"/>
      <c r="R668" s="4"/>
      <c r="S668" s="4"/>
      <c r="T668" s="130" t="str">
        <f ca="1">IFERROR(__xludf.DUMMYFUNCTION("""COMPUTED_VALUE"""),"1. Generación de Ingresos")</f>
        <v>1. Generación de Ingresos</v>
      </c>
      <c r="U668" s="130" t="str">
        <f ca="1">IFERROR(__xludf.DUMMYFUNCTION("""COMPUTED_VALUE"""),"1.5. Otros de Proyectos de Ingresos")</f>
        <v>1.5. Otros de Proyectos de Ingresos</v>
      </c>
      <c r="V668" s="4"/>
      <c r="W668" s="4">
        <f ca="1">IFERROR(__xludf.DUMMYFUNCTION("""COMPUTED_VALUE"""),2)</f>
        <v>2</v>
      </c>
      <c r="X668" s="4"/>
      <c r="Y668" s="4"/>
      <c r="Z668" s="132" t="str">
        <f ca="1">IFERROR(__xludf.DUMMYFUNCTION("""COMPUTED_VALUE"""),"712167")</f>
        <v>712167</v>
      </c>
      <c r="AA668" s="4" t="str">
        <f ca="1">IFERROR(__xludf.DUMMYFUNCTION("""COMPUTED_VALUE"""),"Leasing sostenible - Pymes - Retail")</f>
        <v>Leasing sostenible - Pymes - Retail</v>
      </c>
      <c r="AB668" s="4" t="str">
        <f ca="1">IFERROR(__xludf.DUMMYFUNCTION("""COMPUTED_VALUE"""),"Leasing sostenible - Pymes - Retail")</f>
        <v>Leasing sostenible - Pymes - Retail</v>
      </c>
      <c r="AC668" s="4" t="str">
        <f ca="1">IFERROR(__xludf.DUMMYFUNCTION("""COMPUTED_VALUE"""),"3Q 2023")</f>
        <v>3Q 2023</v>
      </c>
      <c r="AD668" s="4"/>
      <c r="AE668" s="4"/>
      <c r="AF668" s="4"/>
      <c r="AG668" s="4"/>
      <c r="AH668" s="4"/>
      <c r="AI668" s="4"/>
      <c r="AJ668" s="4"/>
      <c r="AK668" s="4" t="str">
        <f ca="1">IFERROR(__xludf.DUMMYFUNCTION("""COMPUTED_VALUE"""),"Sin asignar")</f>
        <v>Sin asignar</v>
      </c>
      <c r="AL668" s="4" t="str">
        <f ca="1">IFERROR(__xludf.DUMMYFUNCTION("""COMPUTED_VALUE"""),"Sin asignar")</f>
        <v>Sin asignar</v>
      </c>
      <c r="AM668" s="4" t="str">
        <f ca="1">IFERROR(__xludf.DUMMYFUNCTION("""COMPUTED_VALUE"""),"No participa SolDev")</f>
        <v>No participa SolDev</v>
      </c>
      <c r="AN668" s="4" t="str">
        <f ca="1">IFERROR(__xludf.DUMMYFUNCTION("""COMPUTED_VALUE"""),"Iniciativa sin priorizar")</f>
        <v>Iniciativa sin priorizar</v>
      </c>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133" t="str">
        <f ca="1">IFERROR(__xludf.DUMMYFUNCTION("""COMPUTED_VALUE"""),"Sin Est.")</f>
        <v>Sin Est.</v>
      </c>
      <c r="DV668" s="133" t="str">
        <f ca="1">IFERROR(__xludf.DUMMYFUNCTION("""COMPUTED_VALUE"""),"Sin Est.")</f>
        <v>Sin Est.</v>
      </c>
      <c r="DW668" s="133" t="str">
        <f ca="1">IFERROR(__xludf.DUMMYFUNCTION("""COMPUTED_VALUE"""),"Sin Est.")</f>
        <v>Sin Est.</v>
      </c>
      <c r="DX668" s="133" t="str">
        <f ca="1">IFERROR(__xludf.DUMMYFUNCTION("""COMPUTED_VALUE"""),"Sin Est.")</f>
        <v>Sin Est.</v>
      </c>
      <c r="DY668" s="133" t="str">
        <f ca="1">IFERROR(__xludf.DUMMYFUNCTION("""COMPUTED_VALUE"""),"Sin Est.")</f>
        <v>Sin Est.</v>
      </c>
      <c r="DZ668" s="4" t="str">
        <f ca="1">IFERROR(__xludf.DUMMYFUNCTION("""COMPUTED_VALUE"""),"#VALUE!")</f>
        <v>#VALUE!</v>
      </c>
      <c r="EA668" s="4"/>
      <c r="EB668" s="4"/>
    </row>
    <row r="669" spans="1:132" x14ac:dyDescent="0.2">
      <c r="A669" s="4">
        <f ca="1">IFERROR(__xludf.DUMMYFUNCTION("""COMPUTED_VALUE"""),669)</f>
        <v>669</v>
      </c>
      <c r="B669" s="4">
        <f ca="1">IFERROR(__xludf.DUMMYFUNCTION("""COMPUTED_VALUE"""),1000)</f>
        <v>1000</v>
      </c>
      <c r="C669" s="4" t="str">
        <f ca="1">IFERROR(__xludf.DUMMYFUNCTION("""COMPUTED_VALUE"""),"SDATOOL-41736")</f>
        <v>SDATOOL-41736</v>
      </c>
      <c r="D669" s="4" t="str">
        <f ca="1">IFERROR(__xludf.DUMMYFUNCTION("""COMPUTED_VALUE"""),"Operación Logística de Pólizas Agencia BBVA")</f>
        <v>Operación Logística de Pólizas Agencia BBVA</v>
      </c>
      <c r="E669" s="4" t="str">
        <f ca="1">IFERROR(__xludf.DUMMYFUNCTION("""COMPUTED_VALUE"""),"Vamos a realizar proceso de selección de la agencia de seguros como operador logístico de las pólizas de autos y administración de endosos.")</f>
        <v>Vamos a realizar proceso de selección de la agencia de seguros como operador logístico de las pólizas de autos y administración de endosos.</v>
      </c>
      <c r="F669" s="4" t="str">
        <f ca="1">IFERROR(__xludf.DUMMYFUNCTION("""COMPUTED_VALUE"""),"Initiative")</f>
        <v>Initiative</v>
      </c>
      <c r="G669" s="4" t="str">
        <f ca="1">IFERROR(__xludf.DUMMYFUNCTION("""COMPUTED_VALUE"""),"Flow")</f>
        <v>Flow</v>
      </c>
      <c r="H669" s="4" t="str">
        <f ca="1">IFERROR(__xludf.DUMMYFUNCTION("""COMPUTED_VALUE"""),"2Q 2023")</f>
        <v>2Q 2023</v>
      </c>
      <c r="I669" s="131" t="str">
        <f ca="1">IFERROR(__xludf.DUMMYFUNCTION("""COMPUTED_VALUE"""),"hugofernando.parra-bbva.com")</f>
        <v>hugofernando.parra-bbva.com</v>
      </c>
      <c r="J669" s="131" t="str">
        <f ca="1">IFERROR(__xludf.DUMMYFUNCTION("""COMPUTED_VALUE"""),"nicolas.galindo-bbva.com")</f>
        <v>nicolas.galindo-bbva.com</v>
      </c>
      <c r="K669" s="131" t="str">
        <f ca="1">IFERROR(__xludf.DUMMYFUNCTION("""COMPUTED_VALUE"""),"paulocesar.sastoque-bbva.com")</f>
        <v>paulocesar.sastoque-bbva.com</v>
      </c>
      <c r="L669" s="130">
        <f ca="1">IFERROR(__xludf.DUMMYFUNCTION("""COMPUTED_VALUE"""),0)</f>
        <v>0</v>
      </c>
      <c r="M669" s="130">
        <f ca="1">IFERROR(__xludf.DUMMYFUNCTION("""COMPUTED_VALUE"""),0)</f>
        <v>0</v>
      </c>
      <c r="N669" s="130">
        <f ca="1">IFERROR(__xludf.DUMMYFUNCTION("""COMPUTED_VALUE"""),0)</f>
        <v>0</v>
      </c>
      <c r="O669" s="4" t="str">
        <f ca="1">IFERROR(__xludf.DUMMYFUNCTION("""COMPUTED_VALUE"""),"Conceptos")</f>
        <v>Conceptos</v>
      </c>
      <c r="P669" s="4" t="str">
        <f ca="1">IFERROR(__xludf.DUMMYFUNCTION("""COMPUTED_VALUE"""),"Tradicional")</f>
        <v>Tradicional</v>
      </c>
      <c r="Q669" s="4"/>
      <c r="R669" s="4"/>
      <c r="S669" s="4"/>
      <c r="T669" s="130" t="str">
        <f ca="1">IFERROR(__xludf.DUMMYFUNCTION("""COMPUTED_VALUE"""),"1. Generación de Ingresos")</f>
        <v>1. Generación de Ingresos</v>
      </c>
      <c r="U669" s="130" t="str">
        <f ca="1">IFERROR(__xludf.DUMMYFUNCTION("""COMPUTED_VALUE"""),"1.2. Proyectos de Consumo")</f>
        <v>1.2. Proyectos de Consumo</v>
      </c>
      <c r="V669" s="4"/>
      <c r="W669" s="4">
        <f ca="1">IFERROR(__xludf.DUMMYFUNCTION("""COMPUTED_VALUE"""),1)</f>
        <v>1</v>
      </c>
      <c r="X669" s="4"/>
      <c r="Y669" s="4"/>
      <c r="Z669" s="132" t="str">
        <f ca="1">IFERROR(__xludf.DUMMYFUNCTION("""COMPUTED_VALUE"""),"712154")</f>
        <v>712154</v>
      </c>
      <c r="AA669" s="4" t="str">
        <f ca="1">IFERROR(__xludf.DUMMYFUNCTION("""COMPUTED_VALUE"""),"Iniciativa en Backlog, en espera de priorización")</f>
        <v>Iniciativa en Backlog, en espera de priorización</v>
      </c>
      <c r="AB669" s="4" t="str">
        <f ca="1">IFERROR(__xludf.DUMMYFUNCTION("""COMPUTED_VALUE"""),"Iniciativa en Backlog, en espera de priorización")</f>
        <v>Iniciativa en Backlog, en espera de priorización</v>
      </c>
      <c r="AC669" s="4" t="str">
        <f ca="1">IFERROR(__xludf.DUMMYFUNCTION("""COMPUTED_VALUE"""),"2Q 2024")</f>
        <v>2Q 2024</v>
      </c>
      <c r="AD669" s="4"/>
      <c r="AE669" s="4"/>
      <c r="AF669" s="4"/>
      <c r="AG669" s="4"/>
      <c r="AH669" s="4"/>
      <c r="AI669" s="4"/>
      <c r="AJ669" s="4"/>
      <c r="AK669" s="4" t="str">
        <f ca="1">IFERROR(__xludf.DUMMYFUNCTION("""COMPUTED_VALUE"""),"Sin asignar")</f>
        <v>Sin asignar</v>
      </c>
      <c r="AL669" s="4" t="str">
        <f ca="1">IFERROR(__xludf.DUMMYFUNCTION("""COMPUTED_VALUE"""),"Sin asignar")</f>
        <v>Sin asignar</v>
      </c>
      <c r="AM669" s="4" t="str">
        <f ca="1">IFERROR(__xludf.DUMMYFUNCTION("""COMPUTED_VALUE"""),"No participa SolDev")</f>
        <v>No participa SolDev</v>
      </c>
      <c r="AN669" s="4" t="str">
        <f ca="1">IFERROR(__xludf.DUMMYFUNCTION("""COMPUTED_VALUE"""),"Iniciativa sin priorizar")</f>
        <v>Iniciativa sin priorizar</v>
      </c>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133" t="str">
        <f ca="1">IFERROR(__xludf.DUMMYFUNCTION("""COMPUTED_VALUE"""),"Sin Est.")</f>
        <v>Sin Est.</v>
      </c>
      <c r="DV669" s="133" t="str">
        <f ca="1">IFERROR(__xludf.DUMMYFUNCTION("""COMPUTED_VALUE"""),"Sin Est.")</f>
        <v>Sin Est.</v>
      </c>
      <c r="DW669" s="133" t="str">
        <f ca="1">IFERROR(__xludf.DUMMYFUNCTION("""COMPUTED_VALUE"""),"Sin Est.")</f>
        <v>Sin Est.</v>
      </c>
      <c r="DX669" s="133" t="str">
        <f ca="1">IFERROR(__xludf.DUMMYFUNCTION("""COMPUTED_VALUE"""),"Sin Est.")</f>
        <v>Sin Est.</v>
      </c>
      <c r="DY669" s="133" t="str">
        <f ca="1">IFERROR(__xludf.DUMMYFUNCTION("""COMPUTED_VALUE"""),"Sin Est.")</f>
        <v>Sin Est.</v>
      </c>
      <c r="DZ669" s="4" t="str">
        <f ca="1">IFERROR(__xludf.DUMMYFUNCTION("""COMPUTED_VALUE"""),"#VALUE!")</f>
        <v>#VALUE!</v>
      </c>
      <c r="EA669" s="4"/>
      <c r="EB669" s="4"/>
    </row>
    <row r="670" spans="1:132" x14ac:dyDescent="0.2">
      <c r="A670" s="4">
        <f ca="1">IFERROR(__xludf.DUMMYFUNCTION("""COMPUTED_VALUE"""),670)</f>
        <v>670</v>
      </c>
      <c r="B670" s="4" t="str">
        <f ca="1">IFERROR(__xludf.DUMMYFUNCTION("""COMPUTED_VALUE"""),"Despriorizado")</f>
        <v>Despriorizado</v>
      </c>
      <c r="C670" s="4" t="str">
        <f ca="1">IFERROR(__xludf.DUMMYFUNCTION("""COMPUTED_VALUE"""),"SDATOOL-39264")</f>
        <v>SDATOOL-39264</v>
      </c>
      <c r="D670" s="4" t="str">
        <f ca="1">IFERROR(__xludf.DUMMYFUNCTION("""COMPUTED_VALUE"""),"Nueva Instancia TDE para SFMC")</f>
        <v>Nueva Instancia TDE para SFMC</v>
      </c>
      <c r="E670" s="4" t="str">
        <f ca="1">IFERROR(__xludf.DUMMYFUNCTION("""COMPUTED_VALUE"""),"Migrar a la nueva Instancia en SFMC que permitirá mejorar tiempos de respuesta y poder realizar comunicaciones a los clientes por los diferentes canales que se disponen en la herramienta")</f>
        <v>Migrar a la nueva Instancia en SFMC que permitirá mejorar tiempos de respuesta y poder realizar comunicaciones a los clientes por los diferentes canales que se disponen en la herramienta</v>
      </c>
      <c r="F670" s="4" t="str">
        <f ca="1">IFERROR(__xludf.DUMMYFUNCTION("""COMPUTED_VALUE"""),"Project")</f>
        <v>Project</v>
      </c>
      <c r="G670" s="4" t="str">
        <f ca="1">IFERROR(__xludf.DUMMYFUNCTION("""COMPUTED_VALUE"""),"On hold")</f>
        <v>On hold</v>
      </c>
      <c r="H670" s="4" t="str">
        <f ca="1">IFERROR(__xludf.DUMMYFUNCTION("""COMPUTED_VALUE"""),"1Q 2024")</f>
        <v>1Q 2024</v>
      </c>
      <c r="I670" s="131" t="str">
        <f ca="1">IFERROR(__xludf.DUMMYFUNCTION("""COMPUTED_VALUE"""),"ana.santamaria-bbva.com")</f>
        <v>ana.santamaria-bbva.com</v>
      </c>
      <c r="J670" s="131" t="str">
        <f ca="1">IFERROR(__xludf.DUMMYFUNCTION("""COMPUTED_VALUE"""),"nancymayerly.castiblanco-bbva.com")</f>
        <v>nancymayerly.castiblanco-bbva.com</v>
      </c>
      <c r="K670" s="131" t="str">
        <f ca="1">IFERROR(__xludf.DUMMYFUNCTION("""COMPUTED_VALUE"""),"nidia.moreno-bbva.com")</f>
        <v>nidia.moreno-bbva.com</v>
      </c>
      <c r="L670" s="130">
        <f ca="1">IFERROR(__xludf.DUMMYFUNCTION("""COMPUTED_VALUE"""),0)</f>
        <v>0</v>
      </c>
      <c r="M670" s="130">
        <f ca="1">IFERROR(__xludf.DUMMYFUNCTION("""COMPUTED_VALUE"""),0)</f>
        <v>0</v>
      </c>
      <c r="N670" s="130">
        <f ca="1">IFERROR(__xludf.DUMMYFUNCTION("""COMPUTED_VALUE"""),0)</f>
        <v>0</v>
      </c>
      <c r="O670" s="4" t="str">
        <f ca="1">IFERROR(__xludf.DUMMYFUNCTION("""COMPUTED_VALUE"""),"Waterfall")</f>
        <v>Waterfall</v>
      </c>
      <c r="P670" s="4" t="str">
        <f ca="1">IFERROR(__xludf.DUMMYFUNCTION("""COMPUTED_VALUE"""),"Tradicional")</f>
        <v>Tradicional</v>
      </c>
      <c r="Q670" s="4"/>
      <c r="R670" s="130" t="str">
        <f ca="1">IFERROR(__xludf.DUMMYFUNCTION("""COMPUTED_VALUE"""),"Advanced Analytics")</f>
        <v>Advanced Analytics</v>
      </c>
      <c r="S670" s="130" t="str">
        <f ca="1">IFERROR(__xludf.DUMMYFUNCTION("""COMPUTED_VALUE"""),"Strategic Review")</f>
        <v>Strategic Review</v>
      </c>
      <c r="T670" s="130" t="str">
        <f ca="1">IFERROR(__xludf.DUMMYFUNCTION("""COMPUTED_VALUE"""),"Otros")</f>
        <v>Otros</v>
      </c>
      <c r="U670" s="130" t="str">
        <f ca="1">IFERROR(__xludf.DUMMYFUNCTION("""COMPUTED_VALUE"""),"No Aplica")</f>
        <v>No Aplica</v>
      </c>
      <c r="V670" s="4" t="str">
        <f ca="1">IFERROR(__xludf.DUMMYFUNCTION("""COMPUTED_VALUE"""),"CRM")</f>
        <v>CRM</v>
      </c>
      <c r="W670" s="4">
        <f ca="1">IFERROR(__xludf.DUMMYFUNCTION("""COMPUTED_VALUE"""),1)</f>
        <v>1</v>
      </c>
      <c r="X670" s="4" t="str">
        <f ca="1">IFERROR(__xludf.DUMMYFUNCTION("""COMPUTED_VALUE"""),"09. Data")</f>
        <v>09. Data</v>
      </c>
      <c r="Y670" s="4" t="str">
        <f ca="1">IFERROR(__xludf.DUMMYFUNCTION("""COMPUTED_VALUE"""),"5.6.5 CRM")</f>
        <v>5.6.5 CRM</v>
      </c>
      <c r="Z670" s="132" t="str">
        <f ca="1">IFERROR(__xludf.DUMMYFUNCTION("""COMPUTED_VALUE"""),"553094")</f>
        <v>553094</v>
      </c>
      <c r="AA670" s="4" t="str">
        <f ca="1">IFERROR(__xludf.DUMMYFUNCTION("""COMPUTED_VALUE"""),"Migración instancia SFMC")</f>
        <v>Migración instancia SFMC</v>
      </c>
      <c r="AB670" s="4" t="str">
        <f ca="1">IFERROR(__xludf.DUMMYFUNCTION("""COMPUTED_VALUE"""),"Migrar a la nueva Instancia en SFMC que permitirá mejorar tiempos de respuesta y poder realizar comunicaciones a los clientes por los diferentes canales que se disponen en la herramienta")</f>
        <v>Migrar a la nueva Instancia en SFMC que permitirá mejorar tiempos de respuesta y poder realizar comunicaciones a los clientes por los diferentes canales que se disponen en la herramienta</v>
      </c>
      <c r="AC670" s="4" t="str">
        <f ca="1">IFERROR(__xludf.DUMMYFUNCTION("""COMPUTED_VALUE"""),"1Q 2024")</f>
        <v>1Q 2024</v>
      </c>
      <c r="AD670" s="128">
        <f ca="1">IFERROR(__xludf.DUMMYFUNCTION("""COMPUTED_VALUE"""),44774)</f>
        <v>44774</v>
      </c>
      <c r="AE670" s="128">
        <f ca="1">IFERROR(__xludf.DUMMYFUNCTION("""COMPUTED_VALUE"""),44834)</f>
        <v>44834</v>
      </c>
      <c r="AF670" s="128">
        <f ca="1">IFERROR(__xludf.DUMMYFUNCTION("""COMPUTED_VALUE"""),44839)</f>
        <v>44839</v>
      </c>
      <c r="AG670" s="129">
        <f ca="1">IFERROR(__xludf.DUMMYFUNCTION("""COMPUTED_VALUE"""),45065)</f>
        <v>45065</v>
      </c>
      <c r="AH670" s="129">
        <f ca="1">IFERROR(__xludf.DUMMYFUNCTION("""COMPUTED_VALUE"""),45072)</f>
        <v>45072</v>
      </c>
      <c r="AI670" s="128">
        <f ca="1">IFERROR(__xludf.DUMMYFUNCTION("""COMPUTED_VALUE"""),45093)</f>
        <v>45093</v>
      </c>
      <c r="AJ670" s="129">
        <f ca="1">IFERROR(__xludf.DUMMYFUNCTION("""COMPUTED_VALUE"""),45100)</f>
        <v>45100</v>
      </c>
      <c r="AK670" s="131" t="str">
        <f ca="1">IFERROR(__xludf.DUMMYFUNCTION("""COMPUTED_VALUE"""),"COLWSDATIO-638")</f>
        <v>COLWSDATIO-638</v>
      </c>
      <c r="AL670" s="4" t="str">
        <f ca="1">IFERROR(__xludf.DUMMYFUNCTION("""COMPUTED_VALUE"""),"New")</f>
        <v>New</v>
      </c>
      <c r="AM670" s="4"/>
      <c r="AN670" s="4" t="str">
        <f ca="1">IFERROR(__xludf.DUMMYFUNCTION("""COMPUTED_VALUE"""),"Iniciativa sin priorizar")</f>
        <v>Iniciativa sin priorizar</v>
      </c>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133" t="str">
        <f ca="1">IFERROR(__xludf.DUMMYFUNCTION("""COMPUTED_VALUE"""),"Sin Est.")</f>
        <v>Sin Est.</v>
      </c>
      <c r="DV670" s="133" t="str">
        <f ca="1">IFERROR(__xludf.DUMMYFUNCTION("""COMPUTED_VALUE"""),"Sin Est.")</f>
        <v>Sin Est.</v>
      </c>
      <c r="DW670" s="133" t="str">
        <f ca="1">IFERROR(__xludf.DUMMYFUNCTION("""COMPUTED_VALUE"""),"Sin Est.")</f>
        <v>Sin Est.</v>
      </c>
      <c r="DX670" s="133" t="str">
        <f ca="1">IFERROR(__xludf.DUMMYFUNCTION("""COMPUTED_VALUE"""),"Sin Est.")</f>
        <v>Sin Est.</v>
      </c>
      <c r="DY670" s="133" t="str">
        <f ca="1">IFERROR(__xludf.DUMMYFUNCTION("""COMPUTED_VALUE"""),"Sin Est.")</f>
        <v>Sin Est.</v>
      </c>
      <c r="DZ670" s="4" t="str">
        <f ca="1">IFERROR(__xludf.DUMMYFUNCTION("""COMPUTED_VALUE"""),"#VALUE!")</f>
        <v>#VALUE!</v>
      </c>
      <c r="EA670" s="4"/>
      <c r="EB670" s="4"/>
    </row>
    <row r="671" spans="1:132" x14ac:dyDescent="0.2">
      <c r="A671" s="4">
        <f ca="1">IFERROR(__xludf.DUMMYFUNCTION("""COMPUTED_VALUE"""),671)</f>
        <v>671</v>
      </c>
      <c r="B671" s="4" t="str">
        <f ca="1">IFERROR(__xludf.DUMMYFUNCTION("""COMPUTED_VALUE"""),"Sin prioridad")</f>
        <v>Sin prioridad</v>
      </c>
      <c r="C671" s="4" t="str">
        <f ca="1">IFERROR(__xludf.DUMMYFUNCTION("""COMPUTED_VALUE"""),"SDATOOL-41705")</f>
        <v>SDATOOL-41705</v>
      </c>
      <c r="D671" s="4" t="str">
        <f ca="1">IFERROR(__xludf.DUMMYFUNCTION("""COMPUTED_VALUE"""),"Marca de modalidad para Preaprobados")</f>
        <v>Marca de modalidad para Preaprobados</v>
      </c>
      <c r="E671" s="4" t="str">
        <f ca="1">IFERROR(__xludf.DUMMYFUNCTION("""COMPUTED_VALUE"""),"Actualmente la base de ofertas preaprobadas tiene una marca de modalidad (One Click- Agendamiento) por cliente para las ofertas mixtas ( consumo-libranza y tarjeta) las condiciones de la modalidad agendamiento tanto para consumo como para libranza están a"&amp;"rrastrando a la ofertas de tarjeta de credito hacia la modalidad de agendamiento cuando estas ofertas pueden ser contratadas 100% digitalmente.")</f>
        <v>Actualmente la base de ofertas preaprobadas tiene una marca de modalidad (One Click- Agendamiento) por cliente para las ofertas mixtas ( consumo-libranza y tarjeta) las condiciones de la modalidad agendamiento tanto para consumo como para libranza están arrastrando a la ofertas de tarjeta de credito hacia la modalidad de agendamiento cuando estas ofertas pueden ser contratadas 100% digitalmente.</v>
      </c>
      <c r="F671" s="4" t="str">
        <f ca="1">IFERROR(__xludf.DUMMYFUNCTION("""COMPUTED_VALUE"""),"Initiative")</f>
        <v>Initiative</v>
      </c>
      <c r="G671" s="4" t="str">
        <f ca="1">IFERROR(__xludf.DUMMYFUNCTION("""COMPUTED_VALUE"""),"Flow")</f>
        <v>Flow</v>
      </c>
      <c r="H671" s="4" t="str">
        <f ca="1">IFERROR(__xludf.DUMMYFUNCTION("""COMPUTED_VALUE"""),"3Q 2023")</f>
        <v>3Q 2023</v>
      </c>
      <c r="I671" s="131" t="str">
        <f ca="1">IFERROR(__xludf.DUMMYFUNCTION("""COMPUTED_VALUE"""),"alirio.bermudez-bbva.com")</f>
        <v>alirio.bermudez-bbva.com</v>
      </c>
      <c r="J671" s="131" t="str">
        <f ca="1">IFERROR(__xludf.DUMMYFUNCTION("""COMPUTED_VALUE"""),"andresfelipe.granados-bbva.com")</f>
        <v>andresfelipe.granados-bbva.com</v>
      </c>
      <c r="K671" s="131" t="str">
        <f ca="1">IFERROR(__xludf.DUMMYFUNCTION("""COMPUTED_VALUE"""),"andresfelipe.granados-bbva.com")</f>
        <v>andresfelipe.granados-bbva.com</v>
      </c>
      <c r="L671" s="130">
        <f ca="1">IFERROR(__xludf.DUMMYFUNCTION("""COMPUTED_VALUE"""),0)</f>
        <v>0</v>
      </c>
      <c r="M671" s="130">
        <f ca="1">IFERROR(__xludf.DUMMYFUNCTION("""COMPUTED_VALUE"""),0)</f>
        <v>0</v>
      </c>
      <c r="N671" s="130">
        <f ca="1">IFERROR(__xludf.DUMMYFUNCTION("""COMPUTED_VALUE"""),0)</f>
        <v>0</v>
      </c>
      <c r="O671" s="4" t="str">
        <f ca="1">IFERROR(__xludf.DUMMYFUNCTION("""COMPUTED_VALUE"""),"TBD")</f>
        <v>TBD</v>
      </c>
      <c r="P671" s="4" t="str">
        <f ca="1">IFERROR(__xludf.DUMMYFUNCTION("""COMPUTED_VALUE"""),"TBD")</f>
        <v>TBD</v>
      </c>
      <c r="Q671" s="4"/>
      <c r="R671" s="4"/>
      <c r="S671" s="4"/>
      <c r="T671" s="130" t="str">
        <f ca="1">IFERROR(__xludf.DUMMYFUNCTION("""COMPUTED_VALUE"""),"Otros")</f>
        <v>Otros</v>
      </c>
      <c r="U671" s="130" t="str">
        <f ca="1">IFERROR(__xludf.DUMMYFUNCTION("""COMPUTED_VALUE"""),"No Aplica")</f>
        <v>No Aplica</v>
      </c>
      <c r="V671" s="4" t="str">
        <f ca="1">IFERROR(__xludf.DUMMYFUNCTION("""COMPUTED_VALUE"""),"Otros")</f>
        <v>Otros</v>
      </c>
      <c r="W671" s="4">
        <f ca="1">IFERROR(__xludf.DUMMYFUNCTION("""COMPUTED_VALUE"""),3)</f>
        <v>3</v>
      </c>
      <c r="X671" s="4" t="str">
        <f ca="1">IFERROR(__xludf.DUMMYFUNCTION("""COMPUTED_VALUE"""),"10. Otros")</f>
        <v>10. Otros</v>
      </c>
      <c r="Y671" s="4"/>
      <c r="Z671" s="132" t="str">
        <f ca="1">IFERROR(__xludf.DUMMYFUNCTION("""COMPUTED_VALUE"""),"712152")</f>
        <v>712152</v>
      </c>
      <c r="AA671" s="4" t="str">
        <f ca="1">IFERROR(__xludf.DUMMYFUNCTION("""COMPUTED_VALUE"""),"Iniciativa en Backlog, en espera de priorización")</f>
        <v>Iniciativa en Backlog, en espera de priorización</v>
      </c>
      <c r="AB671" s="4" t="str">
        <f ca="1">IFERROR(__xludf.DUMMYFUNCTION("""COMPUTED_VALUE"""),"Iniciativa en Backlog, en espera de priorización")</f>
        <v>Iniciativa en Backlog, en espera de priorización</v>
      </c>
      <c r="AC671" s="4" t="str">
        <f ca="1">IFERROR(__xludf.DUMMYFUNCTION("""COMPUTED_VALUE"""),"3Q 2024")</f>
        <v>3Q 2024</v>
      </c>
      <c r="AD671" s="4"/>
      <c r="AE671" s="4"/>
      <c r="AF671" s="4"/>
      <c r="AG671" s="4"/>
      <c r="AH671" s="4"/>
      <c r="AI671" s="4"/>
      <c r="AJ671" s="4"/>
      <c r="AK671" s="4" t="str">
        <f ca="1">IFERROR(__xludf.DUMMYFUNCTION("""COMPUTED_VALUE"""),"Sin asignar")</f>
        <v>Sin asignar</v>
      </c>
      <c r="AL671" s="4" t="str">
        <f ca="1">IFERROR(__xludf.DUMMYFUNCTION("""COMPUTED_VALUE"""),"Sin asignar")</f>
        <v>Sin asignar</v>
      </c>
      <c r="AM671" s="4" t="str">
        <f ca="1">IFERROR(__xludf.DUMMYFUNCTION("""COMPUTED_VALUE"""),"Sin prioridad por parte de Sponsor")</f>
        <v>Sin prioridad por parte de Sponsor</v>
      </c>
      <c r="AN671" s="4" t="str">
        <f ca="1">IFERROR(__xludf.DUMMYFUNCTION("""COMPUTED_VALUE"""),"Iniciativa sin priorizar")</f>
        <v>Iniciativa sin priorizar</v>
      </c>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133" t="str">
        <f ca="1">IFERROR(__xludf.DUMMYFUNCTION("""COMPUTED_VALUE"""),"Sin Est.")</f>
        <v>Sin Est.</v>
      </c>
      <c r="DV671" s="133" t="str">
        <f ca="1">IFERROR(__xludf.DUMMYFUNCTION("""COMPUTED_VALUE"""),"Sin Est.")</f>
        <v>Sin Est.</v>
      </c>
      <c r="DW671" s="133" t="str">
        <f ca="1">IFERROR(__xludf.DUMMYFUNCTION("""COMPUTED_VALUE"""),"Sin Est.")</f>
        <v>Sin Est.</v>
      </c>
      <c r="DX671" s="133" t="str">
        <f ca="1">IFERROR(__xludf.DUMMYFUNCTION("""COMPUTED_VALUE"""),"Sin Est.")</f>
        <v>Sin Est.</v>
      </c>
      <c r="DY671" s="133" t="str">
        <f ca="1">IFERROR(__xludf.DUMMYFUNCTION("""COMPUTED_VALUE"""),"Sin Est.")</f>
        <v>Sin Est.</v>
      </c>
      <c r="DZ671" s="4" t="str">
        <f ca="1">IFERROR(__xludf.DUMMYFUNCTION("""COMPUTED_VALUE"""),"#VALUE!")</f>
        <v>#VALUE!</v>
      </c>
      <c r="EA671" s="4"/>
      <c r="EB671" s="4"/>
    </row>
    <row r="672" spans="1:132" x14ac:dyDescent="0.2">
      <c r="A672" s="4">
        <f ca="1">IFERROR(__xludf.DUMMYFUNCTION("""COMPUTED_VALUE"""),672)</f>
        <v>672</v>
      </c>
      <c r="B672" s="4" t="str">
        <f ca="1">IFERROR(__xludf.DUMMYFUNCTION("""COMPUTED_VALUE"""),"Sin prioridad")</f>
        <v>Sin prioridad</v>
      </c>
      <c r="C672" s="4" t="str">
        <f ca="1">IFERROR(__xludf.DUMMYFUNCTION("""COMPUTED_VALUE"""),"SDATOOL-41735")</f>
        <v>SDATOOL-41735</v>
      </c>
      <c r="D672" s="4" t="str">
        <f ca="1">IFERROR(__xludf.DUMMYFUNCTION("""COMPUTED_VALUE"""),"DIAN. Ajustes Dimensión para certificados tributarios e información exógena")</f>
        <v>DIAN. Ajustes Dimensión para certificados tributarios e información exógena</v>
      </c>
      <c r="E672" s="4" t="str">
        <f ca="1">IFERROR(__xludf.DUMMYFUNCTION("""COMPUTED_VALUE"""),"Se ha identificado un error en la definición contable de la asignación de la información con la que se generan los certificados tributarios y reportes exógenos a la DIAN dado que los movimientos contables de Factoring siempre se dejan en cabeza de quien p"&amp;"one el recurso (cupo). Esto impacta algunos reportes dado que las obligaciones fiscales quedan mal adjudicadas. Se requiere que el aplicativo Dimensión genere una NUEVA interfaz que sea ubicada en el host con los siguientes campos: Fecha contable (10), cu"&amp;"enta contable (15), Contrato (18), Importe aplicado (13), Tipo ID (1), Número ID (15) y Digito V (1). A partir de esta información de debe intervenir la interfaz contable y las tablas de impuestos para corregir el error identificado")</f>
        <v>Se ha identificado un error en la definición contable de la asignación de la información con la que se generan los certificados tributarios y reportes exógenos a la DIAN dado que los movimientos contables de Factoring siempre se dejan en cabeza de quien pone el recurso (cupo). Esto impacta algunos reportes dado que las obligaciones fiscales quedan mal adjudicadas. Se requiere que el aplicativo Dimensión genere una NUEVA interfaz que sea ubicada en el host con los siguientes campos: Fecha contable (10), cuenta contable (15), Contrato (18), Importe aplicado (13), Tipo ID (1), Número ID (15) y Digito V (1). A partir de esta información de debe intervenir la interfaz contable y las tablas de impuestos para corregir el error identificado</v>
      </c>
      <c r="F672" s="4" t="str">
        <f ca="1">IFERROR(__xludf.DUMMYFUNCTION("""COMPUTED_VALUE"""),"Initiative")</f>
        <v>Initiative</v>
      </c>
      <c r="G672" s="4" t="str">
        <f ca="1">IFERROR(__xludf.DUMMYFUNCTION("""COMPUTED_VALUE"""),"Flow")</f>
        <v>Flow</v>
      </c>
      <c r="H672" s="4" t="str">
        <f ca="1">IFERROR(__xludf.DUMMYFUNCTION("""COMPUTED_VALUE"""),"3Q 2023")</f>
        <v>3Q 2023</v>
      </c>
      <c r="I672" s="131" t="str">
        <f ca="1">IFERROR(__xludf.DUMMYFUNCTION("""COMPUTED_VALUE"""),"nathiahayosara.amado-bbva.com")</f>
        <v>nathiahayosara.amado-bbva.com</v>
      </c>
      <c r="J672" s="131" t="str">
        <f ca="1">IFERROR(__xludf.DUMMYFUNCTION("""COMPUTED_VALUE"""),"clara.mora-bbva.com")</f>
        <v>clara.mora-bbva.com</v>
      </c>
      <c r="K672" s="131" t="str">
        <f ca="1">IFERROR(__xludf.DUMMYFUNCTION("""COMPUTED_VALUE"""),"ivan_dario.ariza-bbva.com")</f>
        <v>ivan_dario.ariza-bbva.com</v>
      </c>
      <c r="L672" s="130">
        <f ca="1">IFERROR(__xludf.DUMMYFUNCTION("""COMPUTED_VALUE"""),0)</f>
        <v>0</v>
      </c>
      <c r="M672" s="130">
        <f ca="1">IFERROR(__xludf.DUMMYFUNCTION("""COMPUTED_VALUE"""),0)</f>
        <v>0</v>
      </c>
      <c r="N672" s="130">
        <f ca="1">IFERROR(__xludf.DUMMYFUNCTION("""COMPUTED_VALUE"""),0)</f>
        <v>0</v>
      </c>
      <c r="O672" s="4" t="str">
        <f ca="1">IFERROR(__xludf.DUMMYFUNCTION("""COMPUTED_VALUE"""),"TBD")</f>
        <v>TBD</v>
      </c>
      <c r="P672" s="4" t="str">
        <f ca="1">IFERROR(__xludf.DUMMYFUNCTION("""COMPUTED_VALUE"""),"TBD")</f>
        <v>TBD</v>
      </c>
      <c r="Q672" s="4"/>
      <c r="R672" s="4"/>
      <c r="S672" s="4"/>
      <c r="T672" s="130" t="str">
        <f ca="1">IFERROR(__xludf.DUMMYFUNCTION("""COMPUTED_VALUE"""),"Normativo")</f>
        <v>Normativo</v>
      </c>
      <c r="U672" s="130" t="str">
        <f ca="1">IFERROR(__xludf.DUMMYFUNCTION("""COMPUTED_VALUE"""),"No Aplica")</f>
        <v>No Aplica</v>
      </c>
      <c r="V672" s="4"/>
      <c r="W672" s="4">
        <f ca="1">IFERROR(__xludf.DUMMYFUNCTION("""COMPUTED_VALUE"""),3)</f>
        <v>3</v>
      </c>
      <c r="X672" s="4"/>
      <c r="Y672" s="4"/>
      <c r="Z672" s="132" t="str">
        <f ca="1">IFERROR(__xludf.DUMMYFUNCTION("""COMPUTED_VALUE"""),"712153")</f>
        <v>712153</v>
      </c>
      <c r="AA672" s="4" t="str">
        <f ca="1">IFERROR(__xludf.DUMMYFUNCTION("""COMPUTED_VALUE"""),"Iniciativa en Backlog, en espera de priorización")</f>
        <v>Iniciativa en Backlog, en espera de priorización</v>
      </c>
      <c r="AB672" s="4" t="str">
        <f ca="1">IFERROR(__xludf.DUMMYFUNCTION("""COMPUTED_VALUE"""),"Iniciativa en Backlog, en espera de priorización")</f>
        <v>Iniciativa en Backlog, en espera de priorización</v>
      </c>
      <c r="AC672" s="4" t="str">
        <f ca="1">IFERROR(__xludf.DUMMYFUNCTION("""COMPUTED_VALUE"""),"3Q 2024")</f>
        <v>3Q 2024</v>
      </c>
      <c r="AD672" s="4"/>
      <c r="AE672" s="4"/>
      <c r="AF672" s="4"/>
      <c r="AG672" s="4"/>
      <c r="AH672" s="4"/>
      <c r="AI672" s="4"/>
      <c r="AJ672" s="4"/>
      <c r="AK672" s="4" t="str">
        <f ca="1">IFERROR(__xludf.DUMMYFUNCTION("""COMPUTED_VALUE"""),"Sin asignar")</f>
        <v>Sin asignar</v>
      </c>
      <c r="AL672" s="4" t="str">
        <f ca="1">IFERROR(__xludf.DUMMYFUNCTION("""COMPUTED_VALUE"""),"Sin asignar")</f>
        <v>Sin asignar</v>
      </c>
      <c r="AM672" s="4" t="str">
        <f ca="1">IFERROR(__xludf.DUMMYFUNCTION("""COMPUTED_VALUE"""),"Sin prioridad por parte de Sponsor")</f>
        <v>Sin prioridad por parte de Sponsor</v>
      </c>
      <c r="AN672" s="4" t="str">
        <f ca="1">IFERROR(__xludf.DUMMYFUNCTION("""COMPUTED_VALUE"""),"Iniciativa sin priorizar")</f>
        <v>Iniciativa sin priorizar</v>
      </c>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133" t="str">
        <f ca="1">IFERROR(__xludf.DUMMYFUNCTION("""COMPUTED_VALUE"""),"Sin Est.")</f>
        <v>Sin Est.</v>
      </c>
      <c r="DV672" s="133" t="str">
        <f ca="1">IFERROR(__xludf.DUMMYFUNCTION("""COMPUTED_VALUE"""),"Sin Est.")</f>
        <v>Sin Est.</v>
      </c>
      <c r="DW672" s="133" t="str">
        <f ca="1">IFERROR(__xludf.DUMMYFUNCTION("""COMPUTED_VALUE"""),"Sin Est.")</f>
        <v>Sin Est.</v>
      </c>
      <c r="DX672" s="133" t="str">
        <f ca="1">IFERROR(__xludf.DUMMYFUNCTION("""COMPUTED_VALUE"""),"Sin Est.")</f>
        <v>Sin Est.</v>
      </c>
      <c r="DY672" s="133" t="str">
        <f ca="1">IFERROR(__xludf.DUMMYFUNCTION("""COMPUTED_VALUE"""),"Sin Est.")</f>
        <v>Sin Est.</v>
      </c>
      <c r="DZ672" s="4" t="str">
        <f ca="1">IFERROR(__xludf.DUMMYFUNCTION("""COMPUTED_VALUE"""),"#VALUE!")</f>
        <v>#VALUE!</v>
      </c>
      <c r="EA672" s="4"/>
      <c r="EB672" s="4"/>
    </row>
    <row r="673" spans="1:132" x14ac:dyDescent="0.2">
      <c r="A673" s="4">
        <f ca="1">IFERROR(__xludf.DUMMYFUNCTION("""COMPUTED_VALUE"""),673)</f>
        <v>673</v>
      </c>
      <c r="B673" s="4" t="str">
        <f ca="1">IFERROR(__xludf.DUMMYFUNCTION("""COMPUTED_VALUE"""),"Sin prioridad")</f>
        <v>Sin prioridad</v>
      </c>
      <c r="C673" s="4" t="str">
        <f ca="1">IFERROR(__xludf.DUMMYFUNCTION("""COMPUTED_VALUE"""),"SDATOOL-41739")</f>
        <v>SDATOOL-41739</v>
      </c>
      <c r="D673" s="4" t="str">
        <f ca="1">IFERROR(__xludf.DUMMYFUNCTION("""COMPUTED_VALUE"""),"PEACHTREE. Originación y administración digital de cartera y productos estructurados en Moneda Extranjera")</f>
        <v>PEACHTREE. Originación y administración digital de cartera y productos estructurados en Moneda Extranjera</v>
      </c>
      <c r="E673" s="4" t="str">
        <f ca="1">IFERROR(__xludf.DUMMYFUNCTION("""COMPUTED_VALUE"""),"Habilitar el front Peachtree para operar en Net CASH de forma que los clientes lo puedan utilizar para la originación y administración de productos de cartera y estructurados de comercio exterior, productos que operan en la plataforma Banktrade")</f>
        <v>Habilitar el front Peachtree para operar en Net CASH de forma que los clientes lo puedan utilizar para la originación y administración de productos de cartera y estructurados de comercio exterior, productos que operan en la plataforma Banktrade</v>
      </c>
      <c r="F673" s="4" t="str">
        <f ca="1">IFERROR(__xludf.DUMMYFUNCTION("""COMPUTED_VALUE"""),"Initiative")</f>
        <v>Initiative</v>
      </c>
      <c r="G673" s="4" t="str">
        <f ca="1">IFERROR(__xludf.DUMMYFUNCTION("""COMPUTED_VALUE"""),"Flow")</f>
        <v>Flow</v>
      </c>
      <c r="H673" s="4" t="str">
        <f ca="1">IFERROR(__xludf.DUMMYFUNCTION("""COMPUTED_VALUE"""),"3Q 2023")</f>
        <v>3Q 2023</v>
      </c>
      <c r="I673" s="131" t="str">
        <f ca="1">IFERROR(__xludf.DUMMYFUNCTION("""COMPUTED_VALUE"""),"alirio.bermudez-bbva.com")</f>
        <v>alirio.bermudez-bbva.com</v>
      </c>
      <c r="J673" s="131" t="str">
        <f ca="1">IFERROR(__xludf.DUMMYFUNCTION("""COMPUTED_VALUE"""),"yeraldineandrea.sierra-bbva.com")</f>
        <v>yeraldineandrea.sierra-bbva.com</v>
      </c>
      <c r="K673" s="131" t="str">
        <f ca="1">IFERROR(__xludf.DUMMYFUNCTION("""COMPUTED_VALUE"""),"ivan_dario.ariza-bbva.com")</f>
        <v>ivan_dario.ariza-bbva.com</v>
      </c>
      <c r="L673" s="130">
        <f ca="1">IFERROR(__xludf.DUMMYFUNCTION("""COMPUTED_VALUE"""),0)</f>
        <v>0</v>
      </c>
      <c r="M673" s="130">
        <f ca="1">IFERROR(__xludf.DUMMYFUNCTION("""COMPUTED_VALUE"""),0)</f>
        <v>0</v>
      </c>
      <c r="N673" s="130">
        <f ca="1">IFERROR(__xludf.DUMMYFUNCTION("""COMPUTED_VALUE"""),0)</f>
        <v>0</v>
      </c>
      <c r="O673" s="4" t="str">
        <f ca="1">IFERROR(__xludf.DUMMYFUNCTION("""COMPUTED_VALUE"""),"TBD")</f>
        <v>TBD</v>
      </c>
      <c r="P673" s="4" t="str">
        <f ca="1">IFERROR(__xludf.DUMMYFUNCTION("""COMPUTED_VALUE"""),"TBD")</f>
        <v>TBD</v>
      </c>
      <c r="Q673" s="4"/>
      <c r="R673" s="4"/>
      <c r="S673" s="4"/>
      <c r="T673" s="130" t="str">
        <f ca="1">IFERROR(__xludf.DUMMYFUNCTION("""COMPUTED_VALUE"""),"1. Generación de Ingresos")</f>
        <v>1. Generación de Ingresos</v>
      </c>
      <c r="U673" s="130" t="str">
        <f ca="1">IFERROR(__xludf.DUMMYFUNCTION("""COMPUTED_VALUE"""),"1.5. Otros de Proyectos de Ingresos")</f>
        <v>1.5. Otros de Proyectos de Ingresos</v>
      </c>
      <c r="V673" s="4"/>
      <c r="W673" s="4">
        <f ca="1">IFERROR(__xludf.DUMMYFUNCTION("""COMPUTED_VALUE"""),2)</f>
        <v>2</v>
      </c>
      <c r="X673" s="4"/>
      <c r="Y673" s="4"/>
      <c r="Z673" s="132" t="str">
        <f ca="1">IFERROR(__xludf.DUMMYFUNCTION("""COMPUTED_VALUE"""),"712155")</f>
        <v>712155</v>
      </c>
      <c r="AA673" s="4" t="str">
        <f ca="1">IFERROR(__xludf.DUMMYFUNCTION("""COMPUTED_VALUE"""),"Iniciativa en Backlog, en espera de priorización")</f>
        <v>Iniciativa en Backlog, en espera de priorización</v>
      </c>
      <c r="AB673" s="4" t="str">
        <f ca="1">IFERROR(__xludf.DUMMYFUNCTION("""COMPUTED_VALUE"""),"Iniciativa en Backlog, en espera de priorización")</f>
        <v>Iniciativa en Backlog, en espera de priorización</v>
      </c>
      <c r="AC673" s="4" t="str">
        <f ca="1">IFERROR(__xludf.DUMMYFUNCTION("""COMPUTED_VALUE"""),"3Q 2024")</f>
        <v>3Q 2024</v>
      </c>
      <c r="AD673" s="4"/>
      <c r="AE673" s="4"/>
      <c r="AF673" s="4"/>
      <c r="AG673" s="4"/>
      <c r="AH673" s="4"/>
      <c r="AI673" s="4"/>
      <c r="AJ673" s="4"/>
      <c r="AK673" s="4" t="str">
        <f ca="1">IFERROR(__xludf.DUMMYFUNCTION("""COMPUTED_VALUE"""),"Sin asignar")</f>
        <v>Sin asignar</v>
      </c>
      <c r="AL673" s="4" t="str">
        <f ca="1">IFERROR(__xludf.DUMMYFUNCTION("""COMPUTED_VALUE"""),"Sin asignar")</f>
        <v>Sin asignar</v>
      </c>
      <c r="AM673" s="4" t="str">
        <f ca="1">IFERROR(__xludf.DUMMYFUNCTION("""COMPUTED_VALUE"""),"Sin prioridad por parte de Sponsor")</f>
        <v>Sin prioridad por parte de Sponsor</v>
      </c>
      <c r="AN673" s="4" t="str">
        <f ca="1">IFERROR(__xludf.DUMMYFUNCTION("""COMPUTED_VALUE"""),"Iniciativa sin priorizar")</f>
        <v>Iniciativa sin priorizar</v>
      </c>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133" t="str">
        <f ca="1">IFERROR(__xludf.DUMMYFUNCTION("""COMPUTED_VALUE"""),"Sin Est.")</f>
        <v>Sin Est.</v>
      </c>
      <c r="DV673" s="133" t="str">
        <f ca="1">IFERROR(__xludf.DUMMYFUNCTION("""COMPUTED_VALUE"""),"Sin Est.")</f>
        <v>Sin Est.</v>
      </c>
      <c r="DW673" s="133" t="str">
        <f ca="1">IFERROR(__xludf.DUMMYFUNCTION("""COMPUTED_VALUE"""),"Sin Est.")</f>
        <v>Sin Est.</v>
      </c>
      <c r="DX673" s="133" t="str">
        <f ca="1">IFERROR(__xludf.DUMMYFUNCTION("""COMPUTED_VALUE"""),"Sin Est.")</f>
        <v>Sin Est.</v>
      </c>
      <c r="DY673" s="133" t="str">
        <f ca="1">IFERROR(__xludf.DUMMYFUNCTION("""COMPUTED_VALUE"""),"Sin Est.")</f>
        <v>Sin Est.</v>
      </c>
      <c r="DZ673" s="4" t="str">
        <f ca="1">IFERROR(__xludf.DUMMYFUNCTION("""COMPUTED_VALUE"""),"#VALUE!")</f>
        <v>#VALUE!</v>
      </c>
      <c r="EA673" s="4"/>
      <c r="EB673" s="4"/>
    </row>
    <row r="674" spans="1:132" x14ac:dyDescent="0.2">
      <c r="A674" s="4">
        <f ca="1">IFERROR(__xludf.DUMMYFUNCTION("""COMPUTED_VALUE"""),674)</f>
        <v>674</v>
      </c>
      <c r="B674" s="4" t="str">
        <f ca="1">IFERROR(__xludf.DUMMYFUNCTION("""COMPUTED_VALUE"""),"Sin prioridad")</f>
        <v>Sin prioridad</v>
      </c>
      <c r="C674" s="4" t="str">
        <f ca="1">IFERROR(__xludf.DUMMYFUNCTION("""COMPUTED_VALUE"""),"SDATOOL-41741")</f>
        <v>SDATOOL-41741</v>
      </c>
      <c r="D674" s="4" t="str">
        <f ca="1">IFERROR(__xludf.DUMMYFUNCTION("""COMPUTED_VALUE"""),"Cobro de seguro vida deudor en tarjeta de crédito en mora y con saldo vencido")</f>
        <v>Cobro de seguro vida deudor en tarjeta de crédito en mora y con saldo vencido</v>
      </c>
      <c r="E674" s="4" t="str">
        <f ca="1">IFERROR(__xludf.DUMMYFUNCTION("""COMPUTED_VALUE"""),"Se necesitan realizar los desarrollos correspondientes para el seguro de vida deudor sea cobrado a aquellos clientes que tienen su tarjeta de crédito en mora o con saldo vencido.")</f>
        <v>Se necesitan realizar los desarrollos correspondientes para el seguro de vida deudor sea cobrado a aquellos clientes que tienen su tarjeta de crédito en mora o con saldo vencido.</v>
      </c>
      <c r="F674" s="4" t="str">
        <f ca="1">IFERROR(__xludf.DUMMYFUNCTION("""COMPUTED_VALUE"""),"Initiative")</f>
        <v>Initiative</v>
      </c>
      <c r="G674" s="4" t="str">
        <f ca="1">IFERROR(__xludf.DUMMYFUNCTION("""COMPUTED_VALUE"""),"Flow")</f>
        <v>Flow</v>
      </c>
      <c r="H674" s="4" t="str">
        <f ca="1">IFERROR(__xludf.DUMMYFUNCTION("""COMPUTED_VALUE"""),"2Q 2023")</f>
        <v>2Q 2023</v>
      </c>
      <c r="I674" s="131" t="str">
        <f ca="1">IFERROR(__xludf.DUMMYFUNCTION("""COMPUTED_VALUE"""),"hugofernando.parra-bbva.com")</f>
        <v>hugofernando.parra-bbva.com</v>
      </c>
      <c r="J674" s="131" t="str">
        <f ca="1">IFERROR(__xludf.DUMMYFUNCTION("""COMPUTED_VALUE"""),"nicolas.galindo-bbva.com")</f>
        <v>nicolas.galindo-bbva.com</v>
      </c>
      <c r="K674" s="131" t="str">
        <f ca="1">IFERROR(__xludf.DUMMYFUNCTION("""COMPUTED_VALUE"""),"paulocesar.sastoque-bbva.com")</f>
        <v>paulocesar.sastoque-bbva.com</v>
      </c>
      <c r="L674" s="130">
        <f ca="1">IFERROR(__xludf.DUMMYFUNCTION("""COMPUTED_VALUE"""),0)</f>
        <v>0</v>
      </c>
      <c r="M674" s="130">
        <f ca="1">IFERROR(__xludf.DUMMYFUNCTION("""COMPUTED_VALUE"""),0)</f>
        <v>0</v>
      </c>
      <c r="N674" s="130">
        <f ca="1">IFERROR(__xludf.DUMMYFUNCTION("""COMPUTED_VALUE"""),0)</f>
        <v>0</v>
      </c>
      <c r="O674" s="4" t="str">
        <f ca="1">IFERROR(__xludf.DUMMYFUNCTION("""COMPUTED_VALUE"""),"TBD")</f>
        <v>TBD</v>
      </c>
      <c r="P674" s="4" t="str">
        <f ca="1">IFERROR(__xludf.DUMMYFUNCTION("""COMPUTED_VALUE"""),"TBD")</f>
        <v>TBD</v>
      </c>
      <c r="Q674" s="4"/>
      <c r="R674" s="4"/>
      <c r="S674" s="4"/>
      <c r="T674" s="130" t="str">
        <f ca="1">IFERROR(__xludf.DUMMYFUNCTION("""COMPUTED_VALUE"""),"1. Generación de Ingresos")</f>
        <v>1. Generación de Ingresos</v>
      </c>
      <c r="U674" s="130" t="str">
        <f ca="1">IFERROR(__xludf.DUMMYFUNCTION("""COMPUTED_VALUE"""),"1.2. Proyectos de Consumo")</f>
        <v>1.2. Proyectos de Consumo</v>
      </c>
      <c r="V674" s="4"/>
      <c r="W674" s="4">
        <f ca="1">IFERROR(__xludf.DUMMYFUNCTION("""COMPUTED_VALUE"""),1)</f>
        <v>1</v>
      </c>
      <c r="X674" s="4"/>
      <c r="Y674" s="4"/>
      <c r="Z674" s="132" t="str">
        <f ca="1">IFERROR(__xludf.DUMMYFUNCTION("""COMPUTED_VALUE"""),"712156")</f>
        <v>712156</v>
      </c>
      <c r="AA674" s="4" t="str">
        <f ca="1">IFERROR(__xludf.DUMMYFUNCTION("""COMPUTED_VALUE"""),"Iniciativa en Backlog, en espera de priorización")</f>
        <v>Iniciativa en Backlog, en espera de priorización</v>
      </c>
      <c r="AB674" s="4" t="str">
        <f ca="1">IFERROR(__xludf.DUMMYFUNCTION("""COMPUTED_VALUE"""),"Iniciativa en Backlog, en espera de priorización")</f>
        <v>Iniciativa en Backlog, en espera de priorización</v>
      </c>
      <c r="AC674" s="4" t="str">
        <f ca="1">IFERROR(__xludf.DUMMYFUNCTION("""COMPUTED_VALUE"""),"2Q 2024")</f>
        <v>2Q 2024</v>
      </c>
      <c r="AD674" s="4"/>
      <c r="AE674" s="4"/>
      <c r="AF674" s="4"/>
      <c r="AG674" s="4"/>
      <c r="AH674" s="4"/>
      <c r="AI674" s="4"/>
      <c r="AJ674" s="4"/>
      <c r="AK674" s="4" t="str">
        <f ca="1">IFERROR(__xludf.DUMMYFUNCTION("""COMPUTED_VALUE"""),"Sin asignar")</f>
        <v>Sin asignar</v>
      </c>
      <c r="AL674" s="4" t="str">
        <f ca="1">IFERROR(__xludf.DUMMYFUNCTION("""COMPUTED_VALUE"""),"Sin asignar")</f>
        <v>Sin asignar</v>
      </c>
      <c r="AM674" s="4" t="str">
        <f ca="1">IFERROR(__xludf.DUMMYFUNCTION("""COMPUTED_VALUE"""),"Sin prioridad por parte de Sponsor")</f>
        <v>Sin prioridad por parte de Sponsor</v>
      </c>
      <c r="AN674" s="4" t="str">
        <f ca="1">IFERROR(__xludf.DUMMYFUNCTION("""COMPUTED_VALUE"""),"Iniciativa sin priorizar")</f>
        <v>Iniciativa sin priorizar</v>
      </c>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133" t="str">
        <f ca="1">IFERROR(__xludf.DUMMYFUNCTION("""COMPUTED_VALUE"""),"Sin Est.")</f>
        <v>Sin Est.</v>
      </c>
      <c r="DV674" s="133" t="str">
        <f ca="1">IFERROR(__xludf.DUMMYFUNCTION("""COMPUTED_VALUE"""),"Sin Est.")</f>
        <v>Sin Est.</v>
      </c>
      <c r="DW674" s="133" t="str">
        <f ca="1">IFERROR(__xludf.DUMMYFUNCTION("""COMPUTED_VALUE"""),"Sin Est.")</f>
        <v>Sin Est.</v>
      </c>
      <c r="DX674" s="133" t="str">
        <f ca="1">IFERROR(__xludf.DUMMYFUNCTION("""COMPUTED_VALUE"""),"Sin Est.")</f>
        <v>Sin Est.</v>
      </c>
      <c r="DY674" s="133" t="str">
        <f ca="1">IFERROR(__xludf.DUMMYFUNCTION("""COMPUTED_VALUE"""),"Sin Est.")</f>
        <v>Sin Est.</v>
      </c>
      <c r="DZ674" s="4" t="str">
        <f ca="1">IFERROR(__xludf.DUMMYFUNCTION("""COMPUTED_VALUE"""),"#VALUE!")</f>
        <v>#VALUE!</v>
      </c>
      <c r="EA674" s="4"/>
      <c r="EB674" s="4"/>
    </row>
    <row r="675" spans="1:132" x14ac:dyDescent="0.2">
      <c r="A675" s="4">
        <f ca="1">IFERROR(__xludf.DUMMYFUNCTION("""COMPUTED_VALUE"""),675)</f>
        <v>675</v>
      </c>
      <c r="B675" s="4" t="str">
        <f ca="1">IFERROR(__xludf.DUMMYFUNCTION("""COMPUTED_VALUE"""),"Sin prioridad")</f>
        <v>Sin prioridad</v>
      </c>
      <c r="C675" s="4" t="str">
        <f ca="1">IFERROR(__xludf.DUMMYFUNCTION("""COMPUTED_VALUE"""),"SDATOOL-41743")</f>
        <v>SDATOOL-41743</v>
      </c>
      <c r="D675" s="4" t="str">
        <f ca="1">IFERROR(__xludf.DUMMYFUNCTION("""COMPUTED_VALUE"""),"Automatización de endosos")</f>
        <v>Automatización de endosos</v>
      </c>
      <c r="E675" s="4" t="str">
        <f ca="1">IFERROR(__xludf.DUMMYFUNCTION("""COMPUTED_VALUE"""),"Se requiere notificar de forma automática a los clientes, el vencimiento de su endoso, informando las características que debe presentar el mismo, la fecha límite para presentar el endoso y comunicar que en caso de no recibir el endoso, se realizará el al"&amp;"ta proactiva con la vinculación de la póliza colectiva del Banco.")</f>
        <v>Se requiere notificar de forma automática a los clientes, el vencimiento de su endoso, informando las características que debe presentar el mismo, la fecha límite para presentar el endoso y comunicar que en caso de no recibir el endoso, se realizará el alta proactiva con la vinculación de la póliza colectiva del Banco.</v>
      </c>
      <c r="F675" s="4" t="str">
        <f ca="1">IFERROR(__xludf.DUMMYFUNCTION("""COMPUTED_VALUE"""),"Initiative")</f>
        <v>Initiative</v>
      </c>
      <c r="G675" s="4" t="str">
        <f ca="1">IFERROR(__xludf.DUMMYFUNCTION("""COMPUTED_VALUE"""),"Flow")</f>
        <v>Flow</v>
      </c>
      <c r="H675" s="4" t="str">
        <f ca="1">IFERROR(__xludf.DUMMYFUNCTION("""COMPUTED_VALUE"""),"3Q 2024")</f>
        <v>3Q 2024</v>
      </c>
      <c r="I675" s="131" t="str">
        <f ca="1">IFERROR(__xludf.DUMMYFUNCTION("""COMPUTED_VALUE"""),"hugofernando.parra-bbva.com")</f>
        <v>hugofernando.parra-bbva.com</v>
      </c>
      <c r="J675" s="131" t="str">
        <f ca="1">IFERROR(__xludf.DUMMYFUNCTION("""COMPUTED_VALUE"""),"nicolas.galindo-bbva.com")</f>
        <v>nicolas.galindo-bbva.com</v>
      </c>
      <c r="K675" s="131" t="str">
        <f ca="1">IFERROR(__xludf.DUMMYFUNCTION("""COMPUTED_VALUE"""),"paulocesar.sastoque-bbva.com")</f>
        <v>paulocesar.sastoque-bbva.com</v>
      </c>
      <c r="L675" s="130">
        <f ca="1">IFERROR(__xludf.DUMMYFUNCTION("""COMPUTED_VALUE"""),0)</f>
        <v>0</v>
      </c>
      <c r="M675" s="130">
        <f ca="1">IFERROR(__xludf.DUMMYFUNCTION("""COMPUTED_VALUE"""),0)</f>
        <v>0</v>
      </c>
      <c r="N675" s="130">
        <f ca="1">IFERROR(__xludf.DUMMYFUNCTION("""COMPUTED_VALUE"""),0)</f>
        <v>0</v>
      </c>
      <c r="O675" s="4" t="str">
        <f ca="1">IFERROR(__xludf.DUMMYFUNCTION("""COMPUTED_VALUE"""),"TBD")</f>
        <v>TBD</v>
      </c>
      <c r="P675" s="4" t="str">
        <f ca="1">IFERROR(__xludf.DUMMYFUNCTION("""COMPUTED_VALUE"""),"TBD")</f>
        <v>TBD</v>
      </c>
      <c r="Q675" s="4"/>
      <c r="R675" s="4"/>
      <c r="S675" s="4"/>
      <c r="T675" s="130" t="str">
        <f ca="1">IFERROR(__xludf.DUMMYFUNCTION("""COMPUTED_VALUE"""),"1. Generación de Ingresos")</f>
        <v>1. Generación de Ingresos</v>
      </c>
      <c r="U675" s="130" t="str">
        <f ca="1">IFERROR(__xludf.DUMMYFUNCTION("""COMPUTED_VALUE"""),"1.5. Otros de Proyectos de Ingresos")</f>
        <v>1.5. Otros de Proyectos de Ingresos</v>
      </c>
      <c r="V675" s="4"/>
      <c r="W675" s="4">
        <f ca="1">IFERROR(__xludf.DUMMYFUNCTION("""COMPUTED_VALUE"""),2)</f>
        <v>2</v>
      </c>
      <c r="X675" s="4"/>
      <c r="Y675" s="4"/>
      <c r="Z675" s="132" t="str">
        <f ca="1">IFERROR(__xludf.DUMMYFUNCTION("""COMPUTED_VALUE"""),"712157")</f>
        <v>712157</v>
      </c>
      <c r="AA675" s="4" t="str">
        <f ca="1">IFERROR(__xludf.DUMMYFUNCTION("""COMPUTED_VALUE"""),"Iniciativa en Backlog, en espera de priorización")</f>
        <v>Iniciativa en Backlog, en espera de priorización</v>
      </c>
      <c r="AB675" s="4" t="str">
        <f ca="1">IFERROR(__xludf.DUMMYFUNCTION("""COMPUTED_VALUE"""),"Iniciativa en Backlog, en espera de priorización")</f>
        <v>Iniciativa en Backlog, en espera de priorización</v>
      </c>
      <c r="AC675" s="4" t="str">
        <f ca="1">IFERROR(__xludf.DUMMYFUNCTION("""COMPUTED_VALUE"""),"3Q 2024")</f>
        <v>3Q 2024</v>
      </c>
      <c r="AD675" s="4"/>
      <c r="AE675" s="4"/>
      <c r="AF675" s="4"/>
      <c r="AG675" s="4"/>
      <c r="AH675" s="4"/>
      <c r="AI675" s="4"/>
      <c r="AJ675" s="4"/>
      <c r="AK675" s="4" t="str">
        <f ca="1">IFERROR(__xludf.DUMMYFUNCTION("""COMPUTED_VALUE"""),"Sin asignar")</f>
        <v>Sin asignar</v>
      </c>
      <c r="AL675" s="4" t="str">
        <f ca="1">IFERROR(__xludf.DUMMYFUNCTION("""COMPUTED_VALUE"""),"Sin asignar")</f>
        <v>Sin asignar</v>
      </c>
      <c r="AM675" s="4" t="str">
        <f ca="1">IFERROR(__xludf.DUMMYFUNCTION("""COMPUTED_VALUE"""),"Sin prioridad por parte de Sponsor")</f>
        <v>Sin prioridad por parte de Sponsor</v>
      </c>
      <c r="AN675" s="4" t="str">
        <f ca="1">IFERROR(__xludf.DUMMYFUNCTION("""COMPUTED_VALUE"""),"Iniciativa sin priorizar")</f>
        <v>Iniciativa sin priorizar</v>
      </c>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133" t="str">
        <f ca="1">IFERROR(__xludf.DUMMYFUNCTION("""COMPUTED_VALUE"""),"Sin Est.")</f>
        <v>Sin Est.</v>
      </c>
      <c r="DV675" s="133" t="str">
        <f ca="1">IFERROR(__xludf.DUMMYFUNCTION("""COMPUTED_VALUE"""),"Sin Est.")</f>
        <v>Sin Est.</v>
      </c>
      <c r="DW675" s="133" t="str">
        <f ca="1">IFERROR(__xludf.DUMMYFUNCTION("""COMPUTED_VALUE"""),"Sin Est.")</f>
        <v>Sin Est.</v>
      </c>
      <c r="DX675" s="133" t="str">
        <f ca="1">IFERROR(__xludf.DUMMYFUNCTION("""COMPUTED_VALUE"""),"Sin Est.")</f>
        <v>Sin Est.</v>
      </c>
      <c r="DY675" s="133" t="str">
        <f ca="1">IFERROR(__xludf.DUMMYFUNCTION("""COMPUTED_VALUE"""),"Sin Est.")</f>
        <v>Sin Est.</v>
      </c>
      <c r="DZ675" s="4" t="str">
        <f ca="1">IFERROR(__xludf.DUMMYFUNCTION("""COMPUTED_VALUE"""),"#VALUE!")</f>
        <v>#VALUE!</v>
      </c>
      <c r="EA675" s="4"/>
      <c r="EB675" s="4"/>
    </row>
    <row r="676" spans="1:132" x14ac:dyDescent="0.2">
      <c r="A676" s="4">
        <f ca="1">IFERROR(__xludf.DUMMYFUNCTION("""COMPUTED_VALUE"""),676)</f>
        <v>676</v>
      </c>
      <c r="B676" s="4" t="str">
        <f ca="1">IFERROR(__xludf.DUMMYFUNCTION("""COMPUTED_VALUE"""),"Sin prioridad")</f>
        <v>Sin prioridad</v>
      </c>
      <c r="C676" s="4" t="str">
        <f ca="1">IFERROR(__xludf.DUMMYFUNCTION("""COMPUTED_VALUE"""),"SDATOOL-41756")</f>
        <v>SDATOOL-41756</v>
      </c>
      <c r="D676" s="4" t="str">
        <f ca="1">IFERROR(__xludf.DUMMYFUNCTION("""COMPUTED_VALUE"""),"Implementacion Appsflyer")</f>
        <v>Implementacion Appsflyer</v>
      </c>
      <c r="E676" s="4" t="str">
        <f ca="1">IFERROR(__xludf.DUMMYFUNCTION("""COMPUTED_VALUE"""),"Appflyer hace parte del tech stack de marketing y ventas digitales y es una herramienta que nos permite optimizar nuestras estrategias de venta en funcion a las acciones que se hagan dentro del app.")</f>
        <v>Appflyer hace parte del tech stack de marketing y ventas digitales y es una herramienta que nos permite optimizar nuestras estrategias de venta en funcion a las acciones que se hagan dentro del app.</v>
      </c>
      <c r="F676" s="4" t="str">
        <f ca="1">IFERROR(__xludf.DUMMYFUNCTION("""COMPUTED_VALUE"""),"Project")</f>
        <v>Project</v>
      </c>
      <c r="G676" s="4" t="str">
        <f ca="1">IFERROR(__xludf.DUMMYFUNCTION("""COMPUTED_VALUE"""),"Flow")</f>
        <v>Flow</v>
      </c>
      <c r="H676" s="4" t="str">
        <f ca="1">IFERROR(__xludf.DUMMYFUNCTION("""COMPUTED_VALUE"""),"2Q 2023")</f>
        <v>2Q 2023</v>
      </c>
      <c r="I676" s="4"/>
      <c r="J676" s="4"/>
      <c r="K676" s="131" t="str">
        <f ca="1">IFERROR(__xludf.DUMMYFUNCTION("""COMPUTED_VALUE"""),"santiago.campuzano-bbva.com")</f>
        <v>santiago.campuzano-bbva.com</v>
      </c>
      <c r="L676" s="130">
        <f ca="1">IFERROR(__xludf.DUMMYFUNCTION("""COMPUTED_VALUE"""),0)</f>
        <v>0</v>
      </c>
      <c r="M676" s="130">
        <f ca="1">IFERROR(__xludf.DUMMYFUNCTION("""COMPUTED_VALUE"""),0)</f>
        <v>0</v>
      </c>
      <c r="N676" s="130">
        <f ca="1">IFERROR(__xludf.DUMMYFUNCTION("""COMPUTED_VALUE"""),0)</f>
        <v>0</v>
      </c>
      <c r="O676" s="4" t="str">
        <f ca="1">IFERROR(__xludf.DUMMYFUNCTION("""COMPUTED_VALUE"""),"TBD")</f>
        <v>TBD</v>
      </c>
      <c r="P676" s="4" t="str">
        <f ca="1">IFERROR(__xludf.DUMMYFUNCTION("""COMPUTED_VALUE"""),"TBD")</f>
        <v>TBD</v>
      </c>
      <c r="Q676" s="4"/>
      <c r="R676" s="4"/>
      <c r="S676" s="4"/>
      <c r="T676" s="130" t="str">
        <f ca="1">IFERROR(__xludf.DUMMYFUNCTION("""COMPUTED_VALUE"""),"1. Generación de Ingresos")</f>
        <v>1. Generación de Ingresos</v>
      </c>
      <c r="U676" s="130" t="str">
        <f ca="1">IFERROR(__xludf.DUMMYFUNCTION("""COMPUTED_VALUE"""),"1.5. Otros de Proyectos de Ingresos")</f>
        <v>1.5. Otros de Proyectos de Ingresos</v>
      </c>
      <c r="V676" s="4"/>
      <c r="W676" s="4">
        <f ca="1">IFERROR(__xludf.DUMMYFUNCTION("""COMPUTED_VALUE"""),2)</f>
        <v>2</v>
      </c>
      <c r="X676" s="4"/>
      <c r="Y676" s="4"/>
      <c r="Z676" s="132" t="str">
        <f ca="1">IFERROR(__xludf.DUMMYFUNCTION("""COMPUTED_VALUE"""),"712158")</f>
        <v>712158</v>
      </c>
      <c r="AA676" s="4" t="str">
        <f ca="1">IFERROR(__xludf.DUMMYFUNCTION("""COMPUTED_VALUE"""),"Iniciativa en Backlog, en espera de priorización")</f>
        <v>Iniciativa en Backlog, en espera de priorización</v>
      </c>
      <c r="AB676" s="4" t="str">
        <f ca="1">IFERROR(__xludf.DUMMYFUNCTION("""COMPUTED_VALUE"""),"Iniciativa en Backlog, en espera de priorización")</f>
        <v>Iniciativa en Backlog, en espera de priorización</v>
      </c>
      <c r="AC676" s="4" t="str">
        <f ca="1">IFERROR(__xludf.DUMMYFUNCTION("""COMPUTED_VALUE"""),"2Q 2024")</f>
        <v>2Q 2024</v>
      </c>
      <c r="AD676" s="4"/>
      <c r="AE676" s="4"/>
      <c r="AF676" s="4"/>
      <c r="AG676" s="4"/>
      <c r="AH676" s="4"/>
      <c r="AI676" s="4"/>
      <c r="AJ676" s="4"/>
      <c r="AK676" s="4" t="str">
        <f ca="1">IFERROR(__xludf.DUMMYFUNCTION("""COMPUTED_VALUE"""),"Sin asignar")</f>
        <v>Sin asignar</v>
      </c>
      <c r="AL676" s="4" t="str">
        <f ca="1">IFERROR(__xludf.DUMMYFUNCTION("""COMPUTED_VALUE"""),"Sin asignar")</f>
        <v>Sin asignar</v>
      </c>
      <c r="AM676" s="4" t="str">
        <f ca="1">IFERROR(__xludf.DUMMYFUNCTION("""COMPUTED_VALUE"""),"Sin prioridad por parte de Sponsor")</f>
        <v>Sin prioridad por parte de Sponsor</v>
      </c>
      <c r="AN676" s="4" t="str">
        <f ca="1">IFERROR(__xludf.DUMMYFUNCTION("""COMPUTED_VALUE"""),"Iniciativa sin priorizar")</f>
        <v>Iniciativa sin priorizar</v>
      </c>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133" t="str">
        <f ca="1">IFERROR(__xludf.DUMMYFUNCTION("""COMPUTED_VALUE"""),"Sin Est.")</f>
        <v>Sin Est.</v>
      </c>
      <c r="DV676" s="133" t="str">
        <f ca="1">IFERROR(__xludf.DUMMYFUNCTION("""COMPUTED_VALUE"""),"Sin Est.")</f>
        <v>Sin Est.</v>
      </c>
      <c r="DW676" s="133" t="str">
        <f ca="1">IFERROR(__xludf.DUMMYFUNCTION("""COMPUTED_VALUE"""),"Sin Est.")</f>
        <v>Sin Est.</v>
      </c>
      <c r="DX676" s="133" t="str">
        <f ca="1">IFERROR(__xludf.DUMMYFUNCTION("""COMPUTED_VALUE"""),"Sin Est.")</f>
        <v>Sin Est.</v>
      </c>
      <c r="DY676" s="133" t="str">
        <f ca="1">IFERROR(__xludf.DUMMYFUNCTION("""COMPUTED_VALUE"""),"Sin Est.")</f>
        <v>Sin Est.</v>
      </c>
      <c r="DZ676" s="4" t="str">
        <f ca="1">IFERROR(__xludf.DUMMYFUNCTION("""COMPUTED_VALUE"""),"#VALUE!")</f>
        <v>#VALUE!</v>
      </c>
      <c r="EA676" s="4"/>
      <c r="EB676" s="4"/>
    </row>
    <row r="677" spans="1:132" x14ac:dyDescent="0.2">
      <c r="A677" s="4">
        <f ca="1">IFERROR(__xludf.DUMMYFUNCTION("""COMPUTED_VALUE"""),677)</f>
        <v>677</v>
      </c>
      <c r="B677" s="4" t="str">
        <f ca="1">IFERROR(__xludf.DUMMYFUNCTION("""COMPUTED_VALUE"""),"Sin prioridad")</f>
        <v>Sin prioridad</v>
      </c>
      <c r="C677" s="4" t="str">
        <f ca="1">IFERROR(__xludf.DUMMYFUNCTION("""COMPUTED_VALUE"""),"SDATOOL-41854")</f>
        <v>SDATOOL-41854</v>
      </c>
      <c r="D677" s="4" t="str">
        <f ca="1">IFERROR(__xludf.DUMMYFUNCTION("""COMPUTED_VALUE"""),"10.1.1.  Autorizaciones parciales")</f>
        <v>10.1.1.  Autorizaciones parciales</v>
      </c>
      <c r="E677" s="4" t="str">
        <f ca="1">IFERROR(__xludf.DUMMYFUNCTION("""COMPUTED_VALUE"""),"Visa requerira que los adquirentes y emisores de la region de LAC respalden autorizaciones parciales en todas las transacciones POS. Los campos y valores existentes seran utilizados para transacciones con autorizacion parcial.")</f>
        <v>Visa requerira que los adquirentes y emisores de la region de LAC respalden autorizaciones parciales en todas las transacciones POS. Los campos y valores existentes seran utilizados para transacciones con autorizacion parcial.</v>
      </c>
      <c r="F677" s="4" t="str">
        <f ca="1">IFERROR(__xludf.DUMMYFUNCTION("""COMPUTED_VALUE"""),"Project")</f>
        <v>Project</v>
      </c>
      <c r="G677" s="4" t="str">
        <f ca="1">IFERROR(__xludf.DUMMYFUNCTION("""COMPUTED_VALUE"""),"Flow")</f>
        <v>Flow</v>
      </c>
      <c r="H677" s="4" t="str">
        <f ca="1">IFERROR(__xludf.DUMMYFUNCTION("""COMPUTED_VALUE"""),"4Q 2023")</f>
        <v>4Q 2023</v>
      </c>
      <c r="I677" s="131" t="str">
        <f ca="1">IFERROR(__xludf.DUMMYFUNCTION("""COMPUTED_VALUE"""),"alirio.bermudez-bbva.com")</f>
        <v>alirio.bermudez-bbva.com</v>
      </c>
      <c r="J677" s="131" t="str">
        <f ca="1">IFERROR(__xludf.DUMMYFUNCTION("""COMPUTED_VALUE"""),"andresfelipe.granados-bbva.com")</f>
        <v>andresfelipe.granados-bbva.com</v>
      </c>
      <c r="K677" s="131" t="str">
        <f ca="1">IFERROR(__xludf.DUMMYFUNCTION("""COMPUTED_VALUE"""),"andresfelipe.granados-bbva.com")</f>
        <v>andresfelipe.granados-bbva.com</v>
      </c>
      <c r="L677" s="130">
        <f ca="1">IFERROR(__xludf.DUMMYFUNCTION("""COMPUTED_VALUE"""),0)</f>
        <v>0</v>
      </c>
      <c r="M677" s="130">
        <f ca="1">IFERROR(__xludf.DUMMYFUNCTION("""COMPUTED_VALUE"""),0)</f>
        <v>0</v>
      </c>
      <c r="N677" s="130">
        <f ca="1">IFERROR(__xludf.DUMMYFUNCTION("""COMPUTED_VALUE"""),0)</f>
        <v>0</v>
      </c>
      <c r="O677" s="4" t="str">
        <f ca="1">IFERROR(__xludf.DUMMYFUNCTION("""COMPUTED_VALUE"""),"TBD")</f>
        <v>TBD</v>
      </c>
      <c r="P677" s="4" t="str">
        <f ca="1">IFERROR(__xludf.DUMMYFUNCTION("""COMPUTED_VALUE"""),"TBD")</f>
        <v>TBD</v>
      </c>
      <c r="Q677" s="4"/>
      <c r="R677" s="4"/>
      <c r="S677" s="4"/>
      <c r="T677" s="130" t="str">
        <f ca="1">IFERROR(__xludf.DUMMYFUNCTION("""COMPUTED_VALUE"""),"1. Generación de Ingresos")</f>
        <v>1. Generación de Ingresos</v>
      </c>
      <c r="U677" s="130" t="str">
        <f ca="1">IFERROR(__xludf.DUMMYFUNCTION("""COMPUTED_VALUE"""),"1.5. Otros de Proyectos de Ingresos")</f>
        <v>1.5. Otros de Proyectos de Ingresos</v>
      </c>
      <c r="V677" s="4"/>
      <c r="W677" s="4">
        <f ca="1">IFERROR(__xludf.DUMMYFUNCTION("""COMPUTED_VALUE"""),2)</f>
        <v>2</v>
      </c>
      <c r="X677" s="4"/>
      <c r="Y677" s="4"/>
      <c r="Z677" s="132" t="str">
        <f ca="1">IFERROR(__xludf.DUMMYFUNCTION("""COMPUTED_VALUE"""),"712161")</f>
        <v>712161</v>
      </c>
      <c r="AA677" s="4" t="str">
        <f ca="1">IFERROR(__xludf.DUMMYFUNCTION("""COMPUTED_VALUE"""),"Iniciativa en Backlog, en espera de priorización")</f>
        <v>Iniciativa en Backlog, en espera de priorización</v>
      </c>
      <c r="AB677" s="4" t="str">
        <f ca="1">IFERROR(__xludf.DUMMYFUNCTION("""COMPUTED_VALUE"""),"Iniciativa en Backlog, en espera de priorización")</f>
        <v>Iniciativa en Backlog, en espera de priorización</v>
      </c>
      <c r="AC677" s="4" t="str">
        <f ca="1">IFERROR(__xludf.DUMMYFUNCTION("""COMPUTED_VALUE"""),"3Q 2024")</f>
        <v>3Q 2024</v>
      </c>
      <c r="AD677" s="4"/>
      <c r="AE677" s="4"/>
      <c r="AF677" s="4"/>
      <c r="AG677" s="4"/>
      <c r="AH677" s="4"/>
      <c r="AI677" s="4"/>
      <c r="AJ677" s="4"/>
      <c r="AK677" s="4" t="str">
        <f ca="1">IFERROR(__xludf.DUMMYFUNCTION("""COMPUTED_VALUE"""),"Sin asignar")</f>
        <v>Sin asignar</v>
      </c>
      <c r="AL677" s="4" t="str">
        <f ca="1">IFERROR(__xludf.DUMMYFUNCTION("""COMPUTED_VALUE"""),"Sin asignar")</f>
        <v>Sin asignar</v>
      </c>
      <c r="AM677" s="4" t="str">
        <f ca="1">IFERROR(__xludf.DUMMYFUNCTION("""COMPUTED_VALUE"""),"Sin prioridad por parte de Sponsor")</f>
        <v>Sin prioridad por parte de Sponsor</v>
      </c>
      <c r="AN677" s="4" t="str">
        <f ca="1">IFERROR(__xludf.DUMMYFUNCTION("""COMPUTED_VALUE"""),"Iniciativa sin priorizar")</f>
        <v>Iniciativa sin priorizar</v>
      </c>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133" t="str">
        <f ca="1">IFERROR(__xludf.DUMMYFUNCTION("""COMPUTED_VALUE"""),"Sin Est.")</f>
        <v>Sin Est.</v>
      </c>
      <c r="DV677" s="133" t="str">
        <f ca="1">IFERROR(__xludf.DUMMYFUNCTION("""COMPUTED_VALUE"""),"Sin Est.")</f>
        <v>Sin Est.</v>
      </c>
      <c r="DW677" s="133" t="str">
        <f ca="1">IFERROR(__xludf.DUMMYFUNCTION("""COMPUTED_VALUE"""),"Sin Est.")</f>
        <v>Sin Est.</v>
      </c>
      <c r="DX677" s="133" t="str">
        <f ca="1">IFERROR(__xludf.DUMMYFUNCTION("""COMPUTED_VALUE"""),"Sin Est.")</f>
        <v>Sin Est.</v>
      </c>
      <c r="DY677" s="133" t="str">
        <f ca="1">IFERROR(__xludf.DUMMYFUNCTION("""COMPUTED_VALUE"""),"Sin Est.")</f>
        <v>Sin Est.</v>
      </c>
      <c r="DZ677" s="4" t="str">
        <f ca="1">IFERROR(__xludf.DUMMYFUNCTION("""COMPUTED_VALUE"""),"#VALUE!")</f>
        <v>#VALUE!</v>
      </c>
      <c r="EA677" s="4"/>
      <c r="EB677" s="4"/>
    </row>
    <row r="678" spans="1:132" x14ac:dyDescent="0.2">
      <c r="A678" s="4">
        <f ca="1">IFERROR(__xludf.DUMMYFUNCTION("""COMPUTED_VALUE"""),678)</f>
        <v>678</v>
      </c>
      <c r="B678" s="4" t="str">
        <f ca="1">IFERROR(__xludf.DUMMYFUNCTION("""COMPUTED_VALUE"""),"Sin prioridad")</f>
        <v>Sin prioridad</v>
      </c>
      <c r="C678" s="4" t="str">
        <f ca="1">IFERROR(__xludf.DUMMYFUNCTION("""COMPUTED_VALUE"""),"SDATOOL-41861")</f>
        <v>SDATOOL-41861</v>
      </c>
      <c r="D678" s="4" t="str">
        <f ca="1">IFERROR(__xludf.DUMMYFUNCTION("""COMPUTED_VALUE"""),"Creación subproductos en Banktrade para Factoring AgroComex  (en dólares) y Factoring en Dólares entre residentes")</f>
        <v>Creación subproductos en Banktrade para Factoring AgroComex  (en dólares) y Factoring en Dólares entre residentes</v>
      </c>
      <c r="E678" s="4" t="str">
        <f ca="1">IFERROR(__xludf.DUMMYFUNCTION("""COMPUTED_VALUE"""),"Se necesita la creación de dos subproductos en el aplicativo Banktrade para individualizar el registro de los productos Factoring AgroComex (en Dólares) y Factoring en Dólares para residentes, de forma que se pueda realizar el respectivo seguimiento comer"&amp;"cial y la generación de la reportería requerida de forma independiente")</f>
        <v>Se necesita la creación de dos subproductos en el aplicativo Banktrade para individualizar el registro de los productos Factoring AgroComex (en Dólares) y Factoring en Dólares para residentes, de forma que se pueda realizar el respectivo seguimiento comercial y la generación de la reportería requerida de forma independiente</v>
      </c>
      <c r="F678" s="4" t="str">
        <f ca="1">IFERROR(__xludf.DUMMYFUNCTION("""COMPUTED_VALUE"""),"Initiative")</f>
        <v>Initiative</v>
      </c>
      <c r="G678" s="4" t="str">
        <f ca="1">IFERROR(__xludf.DUMMYFUNCTION("""COMPUTED_VALUE"""),"Flow")</f>
        <v>Flow</v>
      </c>
      <c r="H678" s="4" t="str">
        <f ca="1">IFERROR(__xludf.DUMMYFUNCTION("""COMPUTED_VALUE"""),"2Q 2023")</f>
        <v>2Q 2023</v>
      </c>
      <c r="I678" s="131" t="str">
        <f ca="1">IFERROR(__xludf.DUMMYFUNCTION("""COMPUTED_VALUE"""),"alirio.bermudez-bbva.com")</f>
        <v>alirio.bermudez-bbva.com</v>
      </c>
      <c r="J678" s="131" t="str">
        <f ca="1">IFERROR(__xludf.DUMMYFUNCTION("""COMPUTED_VALUE"""),"yeraldineandrea.sierra-bbva.com")</f>
        <v>yeraldineandrea.sierra-bbva.com</v>
      </c>
      <c r="K678" s="131" t="str">
        <f ca="1">IFERROR(__xludf.DUMMYFUNCTION("""COMPUTED_VALUE"""),"ivan_dario.ariza-bbva.com")</f>
        <v>ivan_dario.ariza-bbva.com</v>
      </c>
      <c r="L678" s="130">
        <f ca="1">IFERROR(__xludf.DUMMYFUNCTION("""COMPUTED_VALUE"""),0)</f>
        <v>0</v>
      </c>
      <c r="M678" s="130">
        <f ca="1">IFERROR(__xludf.DUMMYFUNCTION("""COMPUTED_VALUE"""),0)</f>
        <v>0</v>
      </c>
      <c r="N678" s="130">
        <f ca="1">IFERROR(__xludf.DUMMYFUNCTION("""COMPUTED_VALUE"""),0)</f>
        <v>0</v>
      </c>
      <c r="O678" s="4" t="str">
        <f ca="1">IFERROR(__xludf.DUMMYFUNCTION("""COMPUTED_VALUE"""),"TBD")</f>
        <v>TBD</v>
      </c>
      <c r="P678" s="4" t="str">
        <f ca="1">IFERROR(__xludf.DUMMYFUNCTION("""COMPUTED_VALUE"""),"TBD")</f>
        <v>TBD</v>
      </c>
      <c r="Q678" s="4"/>
      <c r="R678" s="4"/>
      <c r="S678" s="4"/>
      <c r="T678" s="130" t="str">
        <f ca="1">IFERROR(__xludf.DUMMYFUNCTION("""COMPUTED_VALUE"""),"1. Generación de Ingresos")</f>
        <v>1. Generación de Ingresos</v>
      </c>
      <c r="U678" s="130" t="str">
        <f ca="1">IFERROR(__xludf.DUMMYFUNCTION("""COMPUTED_VALUE"""),"1.5. Otros de Proyectos de Ingresos")</f>
        <v>1.5. Otros de Proyectos de Ingresos</v>
      </c>
      <c r="V678" s="4"/>
      <c r="W678" s="4">
        <f ca="1">IFERROR(__xludf.DUMMYFUNCTION("""COMPUTED_VALUE"""),3)</f>
        <v>3</v>
      </c>
      <c r="X678" s="4"/>
      <c r="Y678" s="4"/>
      <c r="Z678" s="132" t="str">
        <f ca="1">IFERROR(__xludf.DUMMYFUNCTION("""COMPUTED_VALUE"""),"712164")</f>
        <v>712164</v>
      </c>
      <c r="AA678" s="4" t="str">
        <f ca="1">IFERROR(__xludf.DUMMYFUNCTION("""COMPUTED_VALUE"""),"Iniciativa en Backlog, en espera de priorización")</f>
        <v>Iniciativa en Backlog, en espera de priorización</v>
      </c>
      <c r="AB678" s="4" t="str">
        <f ca="1">IFERROR(__xludf.DUMMYFUNCTION("""COMPUTED_VALUE"""),"Iniciativa en Backlog, en espera de priorización")</f>
        <v>Iniciativa en Backlog, en espera de priorización</v>
      </c>
      <c r="AC678" s="4" t="str">
        <f ca="1">IFERROR(__xludf.DUMMYFUNCTION("""COMPUTED_VALUE"""),"2Q 2024")</f>
        <v>2Q 2024</v>
      </c>
      <c r="AD678" s="4"/>
      <c r="AE678" s="4"/>
      <c r="AF678" s="4"/>
      <c r="AG678" s="4"/>
      <c r="AH678" s="4"/>
      <c r="AI678" s="4"/>
      <c r="AJ678" s="4"/>
      <c r="AK678" s="131" t="str">
        <f ca="1">IFERROR(__xludf.DUMMYFUNCTION("""COMPUTED_VALUE"""),"COLWSMONED-1254")</f>
        <v>COLWSMONED-1254</v>
      </c>
      <c r="AL678" s="4" t="str">
        <f ca="1">IFERROR(__xludf.DUMMYFUNCTION("""COMPUTED_VALUE"""),"New")</f>
        <v>New</v>
      </c>
      <c r="AM678" s="4" t="str">
        <f ca="1">IFERROR(__xludf.DUMMYFUNCTION("""COMPUTED_VALUE"""),"Sin prioridad por parte de Sponsor")</f>
        <v>Sin prioridad por parte de Sponsor</v>
      </c>
      <c r="AN678" s="4" t="str">
        <f ca="1">IFERROR(__xludf.DUMMYFUNCTION("""COMPUTED_VALUE"""),"Iniciativa sin priorizar")</f>
        <v>Iniciativa sin priorizar</v>
      </c>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133" t="str">
        <f ca="1">IFERROR(__xludf.DUMMYFUNCTION("""COMPUTED_VALUE"""),"Sin Est.")</f>
        <v>Sin Est.</v>
      </c>
      <c r="DV678" s="133" t="str">
        <f ca="1">IFERROR(__xludf.DUMMYFUNCTION("""COMPUTED_VALUE"""),"Sin Est.")</f>
        <v>Sin Est.</v>
      </c>
      <c r="DW678" s="133" t="str">
        <f ca="1">IFERROR(__xludf.DUMMYFUNCTION("""COMPUTED_VALUE"""),"Sin Est.")</f>
        <v>Sin Est.</v>
      </c>
      <c r="DX678" s="133" t="str">
        <f ca="1">IFERROR(__xludf.DUMMYFUNCTION("""COMPUTED_VALUE"""),"Sin Est.")</f>
        <v>Sin Est.</v>
      </c>
      <c r="DY678" s="133" t="str">
        <f ca="1">IFERROR(__xludf.DUMMYFUNCTION("""COMPUTED_VALUE"""),"Sin Est.")</f>
        <v>Sin Est.</v>
      </c>
      <c r="DZ678" s="4" t="str">
        <f ca="1">IFERROR(__xludf.DUMMYFUNCTION("""COMPUTED_VALUE"""),"#VALUE!")</f>
        <v>#VALUE!</v>
      </c>
      <c r="EA678" s="4"/>
      <c r="EB678" s="4"/>
    </row>
    <row r="679" spans="1:132" x14ac:dyDescent="0.2">
      <c r="A679" s="4">
        <f ca="1">IFERROR(__xludf.DUMMYFUNCTION("""COMPUTED_VALUE"""),679)</f>
        <v>679</v>
      </c>
      <c r="B679" s="4" t="str">
        <f ca="1">IFERROR(__xludf.DUMMYFUNCTION("""COMPUTED_VALUE"""),"Sin prioridad")</f>
        <v>Sin prioridad</v>
      </c>
      <c r="C679" s="4" t="str">
        <f ca="1">IFERROR(__xludf.DUMMYFUNCTION("""COMPUTED_VALUE"""),"SDATOOL-41878")</f>
        <v>SDATOOL-41878</v>
      </c>
      <c r="D679" s="4" t="str">
        <f ca="1">IFERROR(__xludf.DUMMYFUNCTION("""COMPUTED_VALUE"""),"SWIFT ISO20022 MT940/42 A CAMT052/53 COLOMBIA")</f>
        <v>SWIFT ISO20022 MT940/42 A CAMT052/53 COLOMBIA</v>
      </c>
      <c r="E679" s="4" t="str">
        <f ca="1">IFERROR(__xludf.DUMMYFUNCTION("""COMPUTED_VALUE"""),"1. Desarrollo de las nuevas estructuras CAMT053 y CAMT052 para extractos de cuenta que viajan actualmente por Swift MT940 y MT942 ambas estructuras deben ser complementarias para nuestra oferta actual.
2. Para las transacciones de naturaleza crédito (Rec"&amp;"audos, Transferencias recibidas), se debe incluir detalle adicional de quien realiza la transacción (NIT, CC o Referencias).  
3. Para la activación del servicio de envió de las estructuras a los clientes este debe ser paramétrico que se pueda tener la o"&amp;"pción de activar un cliente o se puedan realizar activaciones masivas.  
4. Desarrollo de la tabla que permita identificar cuales clientes con sus respectivas cuentas  tienen los servicios contratados para las estructuras MT940, MT942, CAMT053 y CAMT052,"&amp;" dicha tabla debe tener la capacidad de mantener actualizada la información de forma automática. Para dicha tabla se debe crear los perfiles de consulta en el aplicativo 3270 los cuales se podrán asignar a las áreas que lo requieran.   
                  "&amp;"                                                                                                                                                                                                                                              5. Desarrollar el"&amp;" cobro de envío de mensajes MT940, MT942, CAMT053 y CAMT052 para las cuentas activas que tengan contratado el servicio y los nuevos clientes que lo soliciten. 
                                                                                               "&amp;"                                                                                                                                                 6. Desarrollar la eliminación automática del envío de los mensajes MT940, MT942, CAMT053 y CAMT052 junto con e"&amp;"l cobro de los mismos cuando una cuenta este en estado cancelada.
7. Mantener los formatos MT940 y MT942 para los clientes que no puedan realizar esta migración a los formatos CAMT053 y CAMT052.
8. Dentro de las estructuras MT940, MT942, CAMT053 y CAMT0"&amp;"52  se debe Incluir fecha valor y Fecha contable de la transacción.
9. Se debe crear un repositorio de contingencia donde quede almacenada la información de las cuentas de forma retroactiva de los mensajes generados de las cuentas que tienen contratados "&amp;"los servicios de MT940, MT942, CAMT053 y CAMT052  esta información se debe poder recuperar fácilmente para enviar a los clientes cuando se presente algún problema en el momento de la transmisión de los extractos a solicitud del cliente.
10. Desarrollar l"&amp;"a opción en Net Cash para los clientes que tienen contratado el servicio MT940, MT942, CAMT053 y CAMT052 y lo puedan descargar en caso de no recibirlo de forma automática y se pueda usar como contingencia.
11. Desarrollar un reporte que permita la genera"&amp;"ción de la información de los mensajes enviados  donde se especifique los siguientes campos:
•	Tipo de mensaje 
•	Nombre de cliente 
•	Número de Cuenta del cliente 
•	Nit del cliente
•	Fecha de envió del mensaje")</f>
        <v>1. Desarrollo de las nuevas estructuras CAMT053 y CAMT052 para extractos de cuenta que viajan actualmente por Swift MT940 y MT942 ambas estructuras deben ser complementarias para nuestra oferta actual.
2. Para las transacciones de naturaleza crédito (Recaudos, Transferencias recibidas), se debe incluir detalle adicional de quien realiza la transacción (NIT, CC o Referencias).  
3. Para la activación del servicio de envió de las estructuras a los clientes este debe ser paramétrico que se pueda tener la opción de activar un cliente o se puedan realizar activaciones masivas.  
4. Desarrollo de la tabla que permita identificar cuales clientes con sus respectivas cuentas  tienen los servicios contratados para las estructuras MT940, MT942, CAMT053 y CAMT052, dicha tabla debe tener la capacidad de mantener actualizada la información de forma automática. Para dicha tabla se debe crear los perfiles de consulta en el aplicativo 3270 los cuales se podrán asignar a las áreas que lo requieran.   
                                                                                                                                                                                                                                                                5. Desarrollar el cobro de envío de mensajes MT940, MT942, CAMT053 y CAMT052 para las cuentas activas que tengan contratado el servicio y los nuevos clientes que lo soliciten. 
                                                                                                                                                                                                                                                6. Desarrollar la eliminación automática del envío de los mensajes MT940, MT942, CAMT053 y CAMT052 junto con el cobro de los mismos cuando una cuenta este en estado cancelada.
7. Mantener los formatos MT940 y MT942 para los clientes que no puedan realizar esta migración a los formatos CAMT053 y CAMT052.
8. Dentro de las estructuras MT940, MT942, CAMT053 y CAMT052  se debe Incluir fecha valor y Fecha contable de la transacción.
9. Se debe crear un repositorio de contingencia donde quede almacenada la información de las cuentas de forma retroactiva de los mensajes generados de las cuentas que tienen contratados los servicios de MT940, MT942, CAMT053 y CAMT052  esta información se debe poder recuperar fácilmente para enviar a los clientes cuando se presente algún problema en el momento de la transmisión de los extractos a solicitud del cliente.
10. Desarrollar la opción en Net Cash para los clientes que tienen contratado el servicio MT940, MT942, CAMT053 y CAMT052 y lo puedan descargar en caso de no recibirlo de forma automática y se pueda usar como contingencia.
11. Desarrollar un reporte que permita la generación de la información de los mensajes enviados  donde se especifique los siguientes campos:
•	Tipo de mensaje 
•	Nombre de cliente 
•	Número de Cuenta del cliente 
•	Nit del cliente
•	Fecha de envió del mensaje</v>
      </c>
      <c r="F679" s="4" t="str">
        <f ca="1">IFERROR(__xludf.DUMMYFUNCTION("""COMPUTED_VALUE"""),"Project")</f>
        <v>Project</v>
      </c>
      <c r="G679" s="4" t="str">
        <f ca="1">IFERROR(__xludf.DUMMYFUNCTION("""COMPUTED_VALUE"""),"Flow")</f>
        <v>Flow</v>
      </c>
      <c r="H679" s="4" t="str">
        <f ca="1">IFERROR(__xludf.DUMMYFUNCTION("""COMPUTED_VALUE"""),"3Q 2023")</f>
        <v>3Q 2023</v>
      </c>
      <c r="I679" s="131" t="str">
        <f ca="1">IFERROR(__xludf.DUMMYFUNCTION("""COMPUTED_VALUE"""),"alirio.bermudez-bbva.com")</f>
        <v>alirio.bermudez-bbva.com</v>
      </c>
      <c r="J679" s="131" t="str">
        <f ca="1">IFERROR(__xludf.DUMMYFUNCTION("""COMPUTED_VALUE"""),"hugo.mongua-bbva.com")</f>
        <v>hugo.mongua-bbva.com</v>
      </c>
      <c r="K679" s="131" t="str">
        <f ca="1">IFERROR(__xludf.DUMMYFUNCTION("""COMPUTED_VALUE"""),"andresfelipe.lopez.sandoval-bbva.com")</f>
        <v>andresfelipe.lopez.sandoval-bbva.com</v>
      </c>
      <c r="L679" s="130">
        <f ca="1">IFERROR(__xludf.DUMMYFUNCTION("""COMPUTED_VALUE"""),0)</f>
        <v>0</v>
      </c>
      <c r="M679" s="130">
        <f ca="1">IFERROR(__xludf.DUMMYFUNCTION("""COMPUTED_VALUE"""),0)</f>
        <v>0</v>
      </c>
      <c r="N679" s="130">
        <f ca="1">IFERROR(__xludf.DUMMYFUNCTION("""COMPUTED_VALUE"""),0)</f>
        <v>0</v>
      </c>
      <c r="O679" s="4" t="str">
        <f ca="1">IFERROR(__xludf.DUMMYFUNCTION("""COMPUTED_VALUE"""),"TBD")</f>
        <v>TBD</v>
      </c>
      <c r="P679" s="4" t="str">
        <f ca="1">IFERROR(__xludf.DUMMYFUNCTION("""COMPUTED_VALUE"""),"TBD")</f>
        <v>TBD</v>
      </c>
      <c r="Q679" s="4"/>
      <c r="R679" s="4"/>
      <c r="S679" s="4"/>
      <c r="T679" s="130" t="str">
        <f ca="1">IFERROR(__xludf.DUMMYFUNCTION("""COMPUTED_VALUE"""),"Normativo")</f>
        <v>Normativo</v>
      </c>
      <c r="U679" s="130" t="str">
        <f ca="1">IFERROR(__xludf.DUMMYFUNCTION("""COMPUTED_VALUE"""),"No Aplica")</f>
        <v>No Aplica</v>
      </c>
      <c r="V679" s="4"/>
      <c r="W679" s="4">
        <f ca="1">IFERROR(__xludf.DUMMYFUNCTION("""COMPUTED_VALUE"""),3)</f>
        <v>3</v>
      </c>
      <c r="X679" s="4"/>
      <c r="Y679" s="4"/>
      <c r="Z679" s="132" t="str">
        <f ca="1">IFERROR(__xludf.DUMMYFUNCTION("""COMPUTED_VALUE"""),"712165")</f>
        <v>712165</v>
      </c>
      <c r="AA679" s="4" t="str">
        <f ca="1">IFERROR(__xludf.DUMMYFUNCTION("""COMPUTED_VALUE"""),"Iniciativa en Backlog, en espera de priorización")</f>
        <v>Iniciativa en Backlog, en espera de priorización</v>
      </c>
      <c r="AB679" s="4" t="str">
        <f ca="1">IFERROR(__xludf.DUMMYFUNCTION("""COMPUTED_VALUE"""),"Iniciativa en Backlog, en espera de priorización")</f>
        <v>Iniciativa en Backlog, en espera de priorización</v>
      </c>
      <c r="AC679" s="4" t="str">
        <f ca="1">IFERROR(__xludf.DUMMYFUNCTION("""COMPUTED_VALUE"""),"3Q 2024")</f>
        <v>3Q 2024</v>
      </c>
      <c r="AD679" s="4"/>
      <c r="AE679" s="4"/>
      <c r="AF679" s="4"/>
      <c r="AG679" s="4"/>
      <c r="AH679" s="4"/>
      <c r="AI679" s="4"/>
      <c r="AJ679" s="4"/>
      <c r="AK679" s="4" t="str">
        <f ca="1">IFERROR(__xludf.DUMMYFUNCTION("""COMPUTED_VALUE"""),"Sin asignar")</f>
        <v>Sin asignar</v>
      </c>
      <c r="AL679" s="4" t="str">
        <f ca="1">IFERROR(__xludf.DUMMYFUNCTION("""COMPUTED_VALUE"""),"Sin asignar")</f>
        <v>Sin asignar</v>
      </c>
      <c r="AM679" s="4" t="str">
        <f ca="1">IFERROR(__xludf.DUMMYFUNCTION("""COMPUTED_VALUE"""),"Sin prioridad por parte de Sponsor")</f>
        <v>Sin prioridad por parte de Sponsor</v>
      </c>
      <c r="AN679" s="4" t="str">
        <f ca="1">IFERROR(__xludf.DUMMYFUNCTION("""COMPUTED_VALUE"""),"Iniciativa sin priorizar")</f>
        <v>Iniciativa sin priorizar</v>
      </c>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133" t="str">
        <f ca="1">IFERROR(__xludf.DUMMYFUNCTION("""COMPUTED_VALUE"""),"Sin Est.")</f>
        <v>Sin Est.</v>
      </c>
      <c r="DV679" s="133" t="str">
        <f ca="1">IFERROR(__xludf.DUMMYFUNCTION("""COMPUTED_VALUE"""),"Sin Est.")</f>
        <v>Sin Est.</v>
      </c>
      <c r="DW679" s="133" t="str">
        <f ca="1">IFERROR(__xludf.DUMMYFUNCTION("""COMPUTED_VALUE"""),"Sin Est.")</f>
        <v>Sin Est.</v>
      </c>
      <c r="DX679" s="133" t="str">
        <f ca="1">IFERROR(__xludf.DUMMYFUNCTION("""COMPUTED_VALUE"""),"Sin Est.")</f>
        <v>Sin Est.</v>
      </c>
      <c r="DY679" s="133" t="str">
        <f ca="1">IFERROR(__xludf.DUMMYFUNCTION("""COMPUTED_VALUE"""),"Sin Est.")</f>
        <v>Sin Est.</v>
      </c>
      <c r="DZ679" s="4" t="str">
        <f ca="1">IFERROR(__xludf.DUMMYFUNCTION("""COMPUTED_VALUE"""),"#VALUE!")</f>
        <v>#VALUE!</v>
      </c>
      <c r="EA679" s="4"/>
      <c r="EB679" s="4"/>
    </row>
    <row r="680" spans="1:132" x14ac:dyDescent="0.2">
      <c r="A680" s="4">
        <f ca="1">IFERROR(__xludf.DUMMYFUNCTION("""COMPUTED_VALUE"""),680)</f>
        <v>680</v>
      </c>
      <c r="B680" s="4" t="str">
        <f ca="1">IFERROR(__xludf.DUMMYFUNCTION("""COMPUTED_VALUE"""),"Sin prioridad")</f>
        <v>Sin prioridad</v>
      </c>
      <c r="C680" s="4" t="str">
        <f ca="1">IFERROR(__xludf.DUMMYFUNCTION("""COMPUTED_VALUE"""),"SDATOOL-42026")</f>
        <v>SDATOOL-42026</v>
      </c>
      <c r="D680" s="4" t="str">
        <f ca="1">IFERROR(__xludf.DUMMYFUNCTION("""COMPUTED_VALUE"""),"Plan de Sostenimiento Contadoras de Billetes")</f>
        <v>Plan de Sostenimiento Contadoras de Billetes</v>
      </c>
      <c r="E680" s="4" t="str">
        <f ca="1">IFERROR(__xludf.DUMMYFUNCTION("""COMPUTED_VALUE"""),"Actualmente BBVA tiene distribuidas 1041Contadoras Inteligentes de Billetes en su red de oficinas, el 98% se encuentran fuera de garantía. Teniendo en cuenta que el cambio de estos equipos por obsolescencia para 2022 le constaría al Banco 13 mil millones "&amp;"de pesos, se recomienda el contrato de mantenimiento para garantizar la solución oportuna de incidentes que se puedas presentar en estos equipos.")</f>
        <v>Actualmente BBVA tiene distribuidas 1041Contadoras Inteligentes de Billetes en su red de oficinas, el 98% se encuentran fuera de garantía. Teniendo en cuenta que el cambio de estos equipos por obsolescencia para 2022 le constaría al Banco 13 mil millones de pesos, se recomienda el contrato de mantenimiento para garantizar la solución oportuna de incidentes que se puedas presentar en estos equipos.</v>
      </c>
      <c r="F680" s="4" t="str">
        <f ca="1">IFERROR(__xludf.DUMMYFUNCTION("""COMPUTED_VALUE"""),"Project")</f>
        <v>Project</v>
      </c>
      <c r="G680" s="4" t="str">
        <f ca="1">IFERROR(__xludf.DUMMYFUNCTION("""COMPUTED_VALUE"""),"Stock")</f>
        <v>Stock</v>
      </c>
      <c r="H680" s="4" t="str">
        <f ca="1">IFERROR(__xludf.DUMMYFUNCTION("""COMPUTED_VALUE"""),"4Q 2023")</f>
        <v>4Q 2023</v>
      </c>
      <c r="I680" s="4"/>
      <c r="J680" s="4"/>
      <c r="K680" s="131" t="str">
        <f ca="1">IFERROR(__xludf.DUMMYFUNCTION("""COMPUTED_VALUE"""),"andres.carrandi-bbva.com")</f>
        <v>andres.carrandi-bbva.com</v>
      </c>
      <c r="L680" s="130">
        <f ca="1">IFERROR(__xludf.DUMMYFUNCTION("""COMPUTED_VALUE"""),0)</f>
        <v>0</v>
      </c>
      <c r="M680" s="130">
        <f ca="1">IFERROR(__xludf.DUMMYFUNCTION("""COMPUTED_VALUE"""),0)</f>
        <v>0</v>
      </c>
      <c r="N680" s="130">
        <f ca="1">IFERROR(__xludf.DUMMYFUNCTION("""COMPUTED_VALUE"""),0)</f>
        <v>0</v>
      </c>
      <c r="O680" s="4" t="str">
        <f ca="1">IFERROR(__xludf.DUMMYFUNCTION("""COMPUTED_VALUE"""),"TBD")</f>
        <v>TBD</v>
      </c>
      <c r="P680" s="4" t="str">
        <f ca="1">IFERROR(__xludf.DUMMYFUNCTION("""COMPUTED_VALUE"""),"TBD")</f>
        <v>TBD</v>
      </c>
      <c r="Q680" s="4"/>
      <c r="R680" s="4"/>
      <c r="S680" s="4"/>
      <c r="T680" s="130" t="str">
        <f ca="1">IFERROR(__xludf.DUMMYFUNCTION("""COMPUTED_VALUE"""),"Otros")</f>
        <v>Otros</v>
      </c>
      <c r="U680" s="130" t="str">
        <f ca="1">IFERROR(__xludf.DUMMYFUNCTION("""COMPUTED_VALUE"""),"No Aplica")</f>
        <v>No Aplica</v>
      </c>
      <c r="V680" s="4"/>
      <c r="W680" s="4">
        <f ca="1">IFERROR(__xludf.DUMMYFUNCTION("""COMPUTED_VALUE"""),3)</f>
        <v>3</v>
      </c>
      <c r="X680" s="4"/>
      <c r="Y680" s="4"/>
      <c r="Z680" s="132" t="str">
        <f ca="1">IFERROR(__xludf.DUMMYFUNCTION("""COMPUTED_VALUE"""),"712166")</f>
        <v>712166</v>
      </c>
      <c r="AA680" s="4" t="str">
        <f ca="1">IFERROR(__xludf.DUMMYFUNCTION("""COMPUTED_VALUE"""),"Iniciativa en Backlog, en espera de priorización")</f>
        <v>Iniciativa en Backlog, en espera de priorización</v>
      </c>
      <c r="AB680" s="4" t="str">
        <f ca="1">IFERROR(__xludf.DUMMYFUNCTION("""COMPUTED_VALUE"""),"Iniciativa en Backlog, en espera de priorización")</f>
        <v>Iniciativa en Backlog, en espera de priorización</v>
      </c>
      <c r="AC680" s="4" t="str">
        <f ca="1">IFERROR(__xludf.DUMMYFUNCTION("""COMPUTED_VALUE"""),"3Q 2024")</f>
        <v>3Q 2024</v>
      </c>
      <c r="AD680" s="4"/>
      <c r="AE680" s="4"/>
      <c r="AF680" s="4"/>
      <c r="AG680" s="4"/>
      <c r="AH680" s="4"/>
      <c r="AI680" s="4"/>
      <c r="AJ680" s="4"/>
      <c r="AK680" s="4" t="str">
        <f ca="1">IFERROR(__xludf.DUMMYFUNCTION("""COMPUTED_VALUE"""),"Sin asignar")</f>
        <v>Sin asignar</v>
      </c>
      <c r="AL680" s="4" t="str">
        <f ca="1">IFERROR(__xludf.DUMMYFUNCTION("""COMPUTED_VALUE"""),"Sin asignar")</f>
        <v>Sin asignar</v>
      </c>
      <c r="AM680" s="4" t="str">
        <f ca="1">IFERROR(__xludf.DUMMYFUNCTION("""COMPUTED_VALUE"""),"Sin prioridad por parte de Sponsor")</f>
        <v>Sin prioridad por parte de Sponsor</v>
      </c>
      <c r="AN680" s="4" t="str">
        <f ca="1">IFERROR(__xludf.DUMMYFUNCTION("""COMPUTED_VALUE"""),"Iniciativa sin priorizar")</f>
        <v>Iniciativa sin priorizar</v>
      </c>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133" t="str">
        <f ca="1">IFERROR(__xludf.DUMMYFUNCTION("""COMPUTED_VALUE"""),"Sin Est.")</f>
        <v>Sin Est.</v>
      </c>
      <c r="DV680" s="133" t="str">
        <f ca="1">IFERROR(__xludf.DUMMYFUNCTION("""COMPUTED_VALUE"""),"Sin Est.")</f>
        <v>Sin Est.</v>
      </c>
      <c r="DW680" s="133" t="str">
        <f ca="1">IFERROR(__xludf.DUMMYFUNCTION("""COMPUTED_VALUE"""),"Sin Est.")</f>
        <v>Sin Est.</v>
      </c>
      <c r="DX680" s="133" t="str">
        <f ca="1">IFERROR(__xludf.DUMMYFUNCTION("""COMPUTED_VALUE"""),"Sin Est.")</f>
        <v>Sin Est.</v>
      </c>
      <c r="DY680" s="133" t="str">
        <f ca="1">IFERROR(__xludf.DUMMYFUNCTION("""COMPUTED_VALUE"""),"Sin Est.")</f>
        <v>Sin Est.</v>
      </c>
      <c r="DZ680" s="4" t="str">
        <f ca="1">IFERROR(__xludf.DUMMYFUNCTION("""COMPUTED_VALUE"""),"#VALUE!")</f>
        <v>#VALUE!</v>
      </c>
      <c r="EA680" s="4"/>
      <c r="EB680" s="4"/>
    </row>
    <row r="681" spans="1:132" x14ac:dyDescent="0.2">
      <c r="A681" s="4">
        <f ca="1">IFERROR(__xludf.DUMMYFUNCTION("""COMPUTED_VALUE"""),681)</f>
        <v>681</v>
      </c>
      <c r="B681" s="4" t="str">
        <f ca="1">IFERROR(__xludf.DUMMYFUNCTION("""COMPUTED_VALUE"""),"Sin prioridad")</f>
        <v>Sin prioridad</v>
      </c>
      <c r="C681" s="4" t="str">
        <f ca="1">IFERROR(__xludf.DUMMYFUNCTION("""COMPUTED_VALUE"""),"SDATOOL-42238")</f>
        <v>SDATOOL-42238</v>
      </c>
      <c r="D681" s="4" t="str">
        <f ca="1">IFERROR(__xludf.DUMMYFUNCTION("""COMPUTED_VALUE"""),"Reglamentación del Registro Único de Beneficiarios Finales  -DIAN")</f>
        <v>Reglamentación del Registro Único de Beneficiarios Finales  -DIAN</v>
      </c>
      <c r="E681" s="4" t="str">
        <f ca="1">IFERROR(__xludf.DUMMYFUNCTION("""COMPUTED_VALUE"""),"Dar cumplimiento a lo establecido por “ART. 631-5—Definición beneficiario final y resolución 164 de 2022 y la resolución 1240 que aplaza para  julio de 2023 de la DIAN: ""Beneficiario Final"", en el cual se realice oportunamente la transmisión de informac"&amp;"ión a través de los canales establecidos para ello. Por lo cual, es necesario actualizar la captura de información en el CORE de la Comisionista de acuerdo a las especificaciones establecidas en la norma,  el cual debe estar productivo a más tardar el 31 "&amp;"de Mayo 2023 para realizar la primera transmisión de información con corte al 31deJulio de 2023, cuya trasmisión se hará de forma trimestral.")</f>
        <v>Dar cumplimiento a lo establecido por “ART. 631-5—Definición beneficiario final y resolución 164 de 2022 y la resolución 1240 que aplaza para  julio de 2023 de la DIAN: "Beneficiario Final", en el cual se realice oportunamente la transmisión de información a través de los canales establecidos para ello. Por lo cual, es necesario actualizar la captura de información en el CORE de la Comisionista de acuerdo a las especificaciones establecidas en la norma,  el cual debe estar productivo a más tardar el 31 de Mayo 2023 para realizar la primera transmisión de información con corte al 31deJulio de 2023, cuya trasmisión se hará de forma trimestral.</v>
      </c>
      <c r="F681" s="4" t="str">
        <f ca="1">IFERROR(__xludf.DUMMYFUNCTION("""COMPUTED_VALUE"""),"Initiative")</f>
        <v>Initiative</v>
      </c>
      <c r="G681" s="4" t="str">
        <f ca="1">IFERROR(__xludf.DUMMYFUNCTION("""COMPUTED_VALUE"""),"Flow")</f>
        <v>Flow</v>
      </c>
      <c r="H681" s="4" t="str">
        <f ca="1">IFERROR(__xludf.DUMMYFUNCTION("""COMPUTED_VALUE"""),"2Q 2023")</f>
        <v>2Q 2023</v>
      </c>
      <c r="I681" s="131" t="str">
        <f ca="1">IFERROR(__xludf.DUMMYFUNCTION("""COMPUTED_VALUE"""),"mariavictoria.gonzalez.fajard-bbva.com")</f>
        <v>mariavictoria.gonzalez.fajard-bbva.com</v>
      </c>
      <c r="J681" s="131" t="str">
        <f ca="1">IFERROR(__xludf.DUMMYFUNCTION("""COMPUTED_VALUE"""),"claudia.fajardo-bbva.com")</f>
        <v>claudia.fajardo-bbva.com</v>
      </c>
      <c r="K681" s="131" t="str">
        <f ca="1">IFERROR(__xludf.DUMMYFUNCTION("""COMPUTED_VALUE"""),"hugoalberto.abreo-bbva.com")</f>
        <v>hugoalberto.abreo-bbva.com</v>
      </c>
      <c r="L681" s="130">
        <f ca="1">IFERROR(__xludf.DUMMYFUNCTION("""COMPUTED_VALUE"""),0)</f>
        <v>0</v>
      </c>
      <c r="M681" s="130">
        <f ca="1">IFERROR(__xludf.DUMMYFUNCTION("""COMPUTED_VALUE"""),0)</f>
        <v>0</v>
      </c>
      <c r="N681" s="130">
        <f ca="1">IFERROR(__xludf.DUMMYFUNCTION("""COMPUTED_VALUE"""),0)</f>
        <v>0</v>
      </c>
      <c r="O681" s="4" t="str">
        <f ca="1">IFERROR(__xludf.DUMMYFUNCTION("""COMPUTED_VALUE"""),"TBD")</f>
        <v>TBD</v>
      </c>
      <c r="P681" s="4" t="str">
        <f ca="1">IFERROR(__xludf.DUMMYFUNCTION("""COMPUTED_VALUE"""),"TBD")</f>
        <v>TBD</v>
      </c>
      <c r="Q681" s="4"/>
      <c r="R681" s="4"/>
      <c r="S681" s="4"/>
      <c r="T681" s="130" t="str">
        <f ca="1">IFERROR(__xludf.DUMMYFUNCTION("""COMPUTED_VALUE"""),"Normativo")</f>
        <v>Normativo</v>
      </c>
      <c r="U681" s="130" t="str">
        <f ca="1">IFERROR(__xludf.DUMMYFUNCTION("""COMPUTED_VALUE"""),"No Aplica")</f>
        <v>No Aplica</v>
      </c>
      <c r="V681" s="4"/>
      <c r="W681" s="4">
        <f ca="1">IFERROR(__xludf.DUMMYFUNCTION("""COMPUTED_VALUE"""),3)</f>
        <v>3</v>
      </c>
      <c r="X681" s="4"/>
      <c r="Y681" s="4"/>
      <c r="Z681" s="132" t="str">
        <f ca="1">IFERROR(__xludf.DUMMYFUNCTION("""COMPUTED_VALUE"""),"711869")</f>
        <v>711869</v>
      </c>
      <c r="AA681" s="4" t="str">
        <f ca="1">IFERROR(__xludf.DUMMYFUNCTION("""COMPUTED_VALUE"""),"Reglamentación del Registro Único de Beneficiarios Finales  -DIAN")</f>
        <v>Reglamentación del Registro Único de Beneficiarios Finales  -DIAN</v>
      </c>
      <c r="AB681" s="4" t="str">
        <f ca="1">IFERROR(__xludf.DUMMYFUNCTION("""COMPUTED_VALUE"""),"Dar cumplimiento a lo establecido por “ART. 631-5—Definición beneficiario final y resolución 164 de 2021 de la DIAN: ""Beneficiario Final"", y resolución que la aplaza No. 1240 en el cual se realice oportunamente la transmisión de información. Es necesari"&amp;"o actualizar la captura de información en el CORE OYD de la SCB (OyD),  la informacion debe estar actualizada a más tardar el 31 de mayo y la transmisión  de información con corte al 31 de julio de 2023, se realiza  de forma trimestral.")</f>
        <v>Dar cumplimiento a lo establecido por “ART. 631-5—Definición beneficiario final y resolución 164 de 2021 de la DIAN: "Beneficiario Final", y resolución que la aplaza No. 1240 en el cual se realice oportunamente la transmisión de información. Es necesario actualizar la captura de información en el CORE OYD de la SCB (OyD),  la informacion debe estar actualizada a más tardar el 31 de mayo y la transmisión  de información con corte al 31 de julio de 2023, se realiza  de forma trimestral.</v>
      </c>
      <c r="AC681" s="4" t="str">
        <f ca="1">IFERROR(__xludf.DUMMYFUNCTION("""COMPUTED_VALUE"""),"2Q 2023")</f>
        <v>2Q 2023</v>
      </c>
      <c r="AD681" s="4"/>
      <c r="AE681" s="4"/>
      <c r="AF681" s="4"/>
      <c r="AG681" s="4"/>
      <c r="AH681" s="4"/>
      <c r="AI681" s="4"/>
      <c r="AJ681" s="4"/>
      <c r="AK681" s="4" t="str">
        <f ca="1">IFERROR(__xludf.DUMMYFUNCTION("""COMPUTED_VALUE"""),"Sin asignar")</f>
        <v>Sin asignar</v>
      </c>
      <c r="AL681" s="4" t="str">
        <f ca="1">IFERROR(__xludf.DUMMYFUNCTION("""COMPUTED_VALUE"""),"Sin asignar")</f>
        <v>Sin asignar</v>
      </c>
      <c r="AM681" s="4"/>
      <c r="AN681" s="4" t="str">
        <f ca="1">IFERROR(__xludf.DUMMYFUNCTION("""COMPUTED_VALUE"""),"Iniciativa sin priorizar")</f>
        <v>Iniciativa sin priorizar</v>
      </c>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133" t="str">
        <f ca="1">IFERROR(__xludf.DUMMYFUNCTION("""COMPUTED_VALUE"""),"Sin Est.")</f>
        <v>Sin Est.</v>
      </c>
      <c r="DV681" s="133" t="str">
        <f ca="1">IFERROR(__xludf.DUMMYFUNCTION("""COMPUTED_VALUE"""),"Sin Est.")</f>
        <v>Sin Est.</v>
      </c>
      <c r="DW681" s="133" t="str">
        <f ca="1">IFERROR(__xludf.DUMMYFUNCTION("""COMPUTED_VALUE"""),"Sin Est.")</f>
        <v>Sin Est.</v>
      </c>
      <c r="DX681" s="133" t="str">
        <f ca="1">IFERROR(__xludf.DUMMYFUNCTION("""COMPUTED_VALUE"""),"Sin Est.")</f>
        <v>Sin Est.</v>
      </c>
      <c r="DY681" s="133" t="str">
        <f ca="1">IFERROR(__xludf.DUMMYFUNCTION("""COMPUTED_VALUE"""),"Sin Est.")</f>
        <v>Sin Est.</v>
      </c>
      <c r="DZ681" s="4" t="str">
        <f ca="1">IFERROR(__xludf.DUMMYFUNCTION("""COMPUTED_VALUE"""),"#VALUE!")</f>
        <v>#VALUE!</v>
      </c>
      <c r="EA681" s="4"/>
      <c r="EB681" s="4"/>
    </row>
    <row r="682" spans="1:132" x14ac:dyDescent="0.2">
      <c r="A682" s="4">
        <f ca="1">IFERROR(__xludf.DUMMYFUNCTION("""COMPUTED_VALUE"""),682)</f>
        <v>682</v>
      </c>
      <c r="B682" s="4" t="str">
        <f ca="1">IFERROR(__xludf.DUMMYFUNCTION("""COMPUTED_VALUE"""),"Sin prioridad")</f>
        <v>Sin prioridad</v>
      </c>
      <c r="C682" s="4" t="str">
        <f ca="1">IFERROR(__xludf.DUMMYFUNCTION("""COMPUTED_VALUE"""),"SDATOOL-40479")</f>
        <v>SDATOOL-40479</v>
      </c>
      <c r="D682" s="4" t="str">
        <f ca="1">IFERROR(__xludf.DUMMYFUNCTION("""COMPUTED_VALUE"""),"Membresía miembro principal - Licencia Visa")</f>
        <v>Membresía miembro principal - Licencia Visa</v>
      </c>
      <c r="E682" s="4" t="str">
        <f ca="1">IFERROR(__xludf.DUMMYFUNCTION("""COMPUTED_VALUE"""),"Se requiere ser miembros principales con Visa para cumplimiento de la normatividad de Visa (actualmente el Sponsor es Credibanco quien también es dueño de los Bines BBVA), se requiere hacer desarrollos en reportes, integración de Bines propios, facturas, "&amp;"impuestos, entre otros que se deben evaluar.")</f>
        <v>Se requiere ser miembros principales con Visa para cumplimiento de la normatividad de Visa (actualmente el Sponsor es Credibanco quien también es dueño de los Bines BBVA), se requiere hacer desarrollos en reportes, integración de Bines propios, facturas, impuestos, entre otros que se deben evaluar.</v>
      </c>
      <c r="F682" s="4" t="str">
        <f ca="1">IFERROR(__xludf.DUMMYFUNCTION("""COMPUTED_VALUE"""),"Initiative")</f>
        <v>Initiative</v>
      </c>
      <c r="G682" s="4" t="str">
        <f ca="1">IFERROR(__xludf.DUMMYFUNCTION("""COMPUTED_VALUE"""),"Flow")</f>
        <v>Flow</v>
      </c>
      <c r="H682" s="4" t="str">
        <f ca="1">IFERROR(__xludf.DUMMYFUNCTION("""COMPUTED_VALUE"""),"3Q 2023")</f>
        <v>3Q 2023</v>
      </c>
      <c r="I682" s="4"/>
      <c r="J682" s="4"/>
      <c r="K682" s="131" t="str">
        <f ca="1">IFERROR(__xludf.DUMMYFUNCTION("""COMPUTED_VALUE"""),"nathaliamaria.torres-bbva.com")</f>
        <v>nathaliamaria.torres-bbva.com</v>
      </c>
      <c r="L682" s="130">
        <f ca="1">IFERROR(__xludf.DUMMYFUNCTION("""COMPUTED_VALUE"""),0)</f>
        <v>0</v>
      </c>
      <c r="M682" s="130">
        <f ca="1">IFERROR(__xludf.DUMMYFUNCTION("""COMPUTED_VALUE"""),0)</f>
        <v>0</v>
      </c>
      <c r="N682" s="130">
        <f ca="1">IFERROR(__xludf.DUMMYFUNCTION("""COMPUTED_VALUE"""),0)</f>
        <v>0</v>
      </c>
      <c r="O682" s="4" t="str">
        <f ca="1">IFERROR(__xludf.DUMMYFUNCTION("""COMPUTED_VALUE"""),"TBD")</f>
        <v>TBD</v>
      </c>
      <c r="P682" s="4" t="str">
        <f ca="1">IFERROR(__xludf.DUMMYFUNCTION("""COMPUTED_VALUE"""),"TBD")</f>
        <v>TBD</v>
      </c>
      <c r="Q682" s="4"/>
      <c r="R682" s="4"/>
      <c r="S682" s="4"/>
      <c r="T682" s="130" t="str">
        <f ca="1">IFERROR(__xludf.DUMMYFUNCTION("""COMPUTED_VALUE"""),"1. Generación de Ingresos")</f>
        <v>1. Generación de Ingresos</v>
      </c>
      <c r="U682" s="130" t="str">
        <f ca="1">IFERROR(__xludf.DUMMYFUNCTION("""COMPUTED_VALUE"""),"1.2. Proyectos de Consumo")</f>
        <v>1.2. Proyectos de Consumo</v>
      </c>
      <c r="V682" s="4" t="str">
        <f ca="1">IFERROR(__xludf.DUMMYFUNCTION("""COMPUTED_VALUE"""),"TdC")</f>
        <v>TdC</v>
      </c>
      <c r="W682" s="4">
        <f ca="1">IFERROR(__xludf.DUMMYFUNCTION("""COMPUTED_VALUE"""),3)</f>
        <v>3</v>
      </c>
      <c r="X682" s="4" t="str">
        <f ca="1">IFERROR(__xludf.DUMMYFUNCTION("""COMPUTED_VALUE"""),"10. Otros")</f>
        <v>10. Otros</v>
      </c>
      <c r="Y682" s="4"/>
      <c r="Z682" s="132" t="str">
        <f ca="1">IFERROR(__xludf.DUMMYFUNCTION("""COMPUTED_VALUE"""),"626001")</f>
        <v>626001</v>
      </c>
      <c r="AA682" s="4" t="str">
        <f ca="1">IFERROR(__xludf.DUMMYFUNCTION("""COMPUTED_VALUE"""),"Iniciativa en Backlog, en espera de priorización")</f>
        <v>Iniciativa en Backlog, en espera de priorización</v>
      </c>
      <c r="AB682" s="4" t="str">
        <f ca="1">IFERROR(__xludf.DUMMYFUNCTION("""COMPUTED_VALUE"""),"Iniciativa en Backlog, en espera de priorización")</f>
        <v>Iniciativa en Backlog, en espera de priorización</v>
      </c>
      <c r="AC682" s="4" t="str">
        <f ca="1">IFERROR(__xludf.DUMMYFUNCTION("""COMPUTED_VALUE"""),"4Q 2023")</f>
        <v>4Q 2023</v>
      </c>
      <c r="AD682" s="4"/>
      <c r="AE682" s="4"/>
      <c r="AF682" s="4"/>
      <c r="AG682" s="4"/>
      <c r="AH682" s="4"/>
      <c r="AI682" s="4"/>
      <c r="AJ682" s="4"/>
      <c r="AK682" s="4" t="str">
        <f ca="1">IFERROR(__xludf.DUMMYFUNCTION("""COMPUTED_VALUE"""),"Sin asignar")</f>
        <v>Sin asignar</v>
      </c>
      <c r="AL682" s="4" t="str">
        <f ca="1">IFERROR(__xludf.DUMMYFUNCTION("""COMPUTED_VALUE"""),"Sin asignar")</f>
        <v>Sin asignar</v>
      </c>
      <c r="AM682" s="4" t="str">
        <f ca="1">IFERROR(__xludf.DUMMYFUNCTION("""COMPUTED_VALUE"""),"Sin prioridad por parte de Sponsor")</f>
        <v>Sin prioridad por parte de Sponsor</v>
      </c>
      <c r="AN682" s="4" t="str">
        <f ca="1">IFERROR(__xludf.DUMMYFUNCTION("""COMPUTED_VALUE"""),"Iniciativa sin priorizar")</f>
        <v>Iniciativa sin priorizar</v>
      </c>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133" t="str">
        <f ca="1">IFERROR(__xludf.DUMMYFUNCTION("""COMPUTED_VALUE"""),"Sin Est.")</f>
        <v>Sin Est.</v>
      </c>
      <c r="DV682" s="133" t="str">
        <f ca="1">IFERROR(__xludf.DUMMYFUNCTION("""COMPUTED_VALUE"""),"Sin Est.")</f>
        <v>Sin Est.</v>
      </c>
      <c r="DW682" s="133" t="str">
        <f ca="1">IFERROR(__xludf.DUMMYFUNCTION("""COMPUTED_VALUE"""),"Sin Est.")</f>
        <v>Sin Est.</v>
      </c>
      <c r="DX682" s="133" t="str">
        <f ca="1">IFERROR(__xludf.DUMMYFUNCTION("""COMPUTED_VALUE"""),"Sin Est.")</f>
        <v>Sin Est.</v>
      </c>
      <c r="DY682" s="133" t="str">
        <f ca="1">IFERROR(__xludf.DUMMYFUNCTION("""COMPUTED_VALUE"""),"Sin Est.")</f>
        <v>Sin Est.</v>
      </c>
      <c r="DZ682" s="4" t="str">
        <f ca="1">IFERROR(__xludf.DUMMYFUNCTION("""COMPUTED_VALUE"""),"#VALUE!")</f>
        <v>#VALUE!</v>
      </c>
      <c r="EA682" s="4"/>
      <c r="EB682" s="4"/>
    </row>
    <row r="683" spans="1:132" x14ac:dyDescent="0.2">
      <c r="A683" s="4">
        <f ca="1">IFERROR(__xludf.DUMMYFUNCTION("""COMPUTED_VALUE"""),683)</f>
        <v>683</v>
      </c>
      <c r="B683" s="4" t="str">
        <f ca="1">IFERROR(__xludf.DUMMYFUNCTION("""COMPUTED_VALUE"""),"Sin prioridad")</f>
        <v>Sin prioridad</v>
      </c>
      <c r="C683" s="4" t="str">
        <f ca="1">IFERROR(__xludf.DUMMYFUNCTION("""COMPUTED_VALUE"""),"SDATOOL-40513")</f>
        <v>SDATOOL-40513</v>
      </c>
      <c r="D683" s="4" t="str">
        <f ca="1">IFERROR(__xludf.DUMMYFUNCTION("""COMPUTED_VALUE"""),"Glomo: Contratación de tarjeta amparada desde la App")</f>
        <v>Glomo: Contratación de tarjeta amparada desde la App</v>
      </c>
      <c r="E683" s="4" t="str">
        <f ca="1">IFERROR(__xludf.DUMMYFUNCTION("""COMPUTED_VALUE"""),"Proceso de contratación de tarjeta amparada a través de la nueve herramienta Glomo.
Permitir al cliente poder adicionar una tarjeta amparada a través desde la APP, en donde si es una tarjeta adicional para el propio titular, el sistema pueda autocompleta"&amp;"r los datos relevantes del clientes, y si es para un beneficiario (Que no esta en base de personas), se pueda pedir los datos mas relevantes y necesarios para poder formalizar una tarjeta.
Sin embargo, los datos que se asignen en el circuito de contratac"&amp;"ión, que sea parametrizable, es decir que desde una transacción paramétrica se pueda seleccionar cual es el campo que se va a mostrar en la APP (Se pueda incluir o quitar).
Así mismo, el cliente pueda saber en la App, bajo su tarjeta Titular cuantas tarj"&amp;"etas tiene asignado el contrato. (Contabilización de clientes).
Poder incluir en la App, un push de notificación en la cual podamos informar al cliente que puede generar una amparada, este debe ser parametrizable en el sistema (Parametrizar el numero de "&amp;"alertamientos y definir fechas de envió).")</f>
        <v>Proceso de contratación de tarjeta amparada a través de la nueve herramienta Glomo.
Permitir al cliente poder adicionar una tarjeta amparada a través desde la APP, en donde si es una tarjeta adicional para el propio titular, el sistema pueda autocompletar los datos relevantes del clientes, y si es para un beneficiario (Que no esta en base de personas), se pueda pedir los datos mas relevantes y necesarios para poder formalizar una tarjeta.
Sin embargo, los datos que se asignen en el circuito de contratación, que sea parametrizable, es decir que desde una transacción paramétrica se pueda seleccionar cual es el campo que se va a mostrar en la APP (Se pueda incluir o quitar).
Así mismo, el cliente pueda saber en la App, bajo su tarjeta Titular cuantas tarjetas tiene asignado el contrato. (Contabilización de clientes).
Poder incluir en la App, un push de notificación en la cual podamos informar al cliente que puede generar una amparada, este debe ser parametrizable en el sistema (Parametrizar el numero de alertamientos y definir fechas de envió).</v>
      </c>
      <c r="F683" s="4" t="str">
        <f ca="1">IFERROR(__xludf.DUMMYFUNCTION("""COMPUTED_VALUE"""),"Initiative")</f>
        <v>Initiative</v>
      </c>
      <c r="G683" s="4" t="str">
        <f ca="1">IFERROR(__xludf.DUMMYFUNCTION("""COMPUTED_VALUE"""),"Flow")</f>
        <v>Flow</v>
      </c>
      <c r="H683" s="4" t="str">
        <f ca="1">IFERROR(__xludf.DUMMYFUNCTION("""COMPUTED_VALUE"""),"4Q 2024")</f>
        <v>4Q 2024</v>
      </c>
      <c r="I683" s="131" t="str">
        <f ca="1">IFERROR(__xludf.DUMMYFUNCTION("""COMPUTED_VALUE"""),"andrea.orrego-bbva.com")</f>
        <v>andrea.orrego-bbva.com</v>
      </c>
      <c r="J683" s="131" t="str">
        <f ca="1">IFERROR(__xludf.DUMMYFUNCTION("""COMPUTED_VALUE"""),"andresfelipe.granados-bbva.com")</f>
        <v>andresfelipe.granados-bbva.com</v>
      </c>
      <c r="K683" s="131" t="str">
        <f ca="1">IFERROR(__xludf.DUMMYFUNCTION("""COMPUTED_VALUE"""),"andresfelipe.granados-bbva.com")</f>
        <v>andresfelipe.granados-bbva.com</v>
      </c>
      <c r="L683" s="130">
        <f ca="1">IFERROR(__xludf.DUMMYFUNCTION("""COMPUTED_VALUE"""),0)</f>
        <v>0</v>
      </c>
      <c r="M683" s="130">
        <f ca="1">IFERROR(__xludf.DUMMYFUNCTION("""COMPUTED_VALUE"""),0)</f>
        <v>0</v>
      </c>
      <c r="N683" s="130">
        <f ca="1">IFERROR(__xludf.DUMMYFUNCTION("""COMPUTED_VALUE"""),0)</f>
        <v>0</v>
      </c>
      <c r="O683" s="4" t="str">
        <f ca="1">IFERROR(__xludf.DUMMYFUNCTION("""COMPUTED_VALUE"""),"TBD")</f>
        <v>TBD</v>
      </c>
      <c r="P683" s="4" t="str">
        <f ca="1">IFERROR(__xludf.DUMMYFUNCTION("""COMPUTED_VALUE"""),"TBD")</f>
        <v>TBD</v>
      </c>
      <c r="Q683" s="4"/>
      <c r="R683" s="4"/>
      <c r="S683" s="4"/>
      <c r="T683" s="130" t="str">
        <f ca="1">IFERROR(__xludf.DUMMYFUNCTION("""COMPUTED_VALUE"""),"1. Generación de Ingresos")</f>
        <v>1. Generación de Ingresos</v>
      </c>
      <c r="U683" s="130" t="str">
        <f ca="1">IFERROR(__xludf.DUMMYFUNCTION("""COMPUTED_VALUE"""),"1.2. Proyectos de Consumo")</f>
        <v>1.2. Proyectos de Consumo</v>
      </c>
      <c r="V683" s="4" t="str">
        <f ca="1">IFERROR(__xludf.DUMMYFUNCTION("""COMPUTED_VALUE"""),"TdC")</f>
        <v>TdC</v>
      </c>
      <c r="W683" s="4">
        <f ca="1">IFERROR(__xludf.DUMMYFUNCTION("""COMPUTED_VALUE"""),2)</f>
        <v>2</v>
      </c>
      <c r="X683" s="4" t="str">
        <f ca="1">IFERROR(__xludf.DUMMYFUNCTION("""COMPUTED_VALUE"""),"05. Cross-sell")</f>
        <v>05. Cross-sell</v>
      </c>
      <c r="Y683" s="4"/>
      <c r="Z683" s="132" t="str">
        <f ca="1">IFERROR(__xludf.DUMMYFUNCTION("""COMPUTED_VALUE"""),"626036")</f>
        <v>626036</v>
      </c>
      <c r="AA683" s="4" t="str">
        <f ca="1">IFERROR(__xludf.DUMMYFUNCTION("""COMPUTED_VALUE"""),"Iniciativa en Backlog, en espera de priorización")</f>
        <v>Iniciativa en Backlog, en espera de priorización</v>
      </c>
      <c r="AB683" s="4" t="str">
        <f ca="1">IFERROR(__xludf.DUMMYFUNCTION("""COMPUTED_VALUE"""),"Iniciativa en Backlog, en espera de priorización")</f>
        <v>Iniciativa en Backlog, en espera de priorización</v>
      </c>
      <c r="AC683" s="4" t="str">
        <f ca="1">IFERROR(__xludf.DUMMYFUNCTION("""COMPUTED_VALUE"""),"2Q 2025")</f>
        <v>2Q 2025</v>
      </c>
      <c r="AD683" s="4"/>
      <c r="AE683" s="4"/>
      <c r="AF683" s="4"/>
      <c r="AG683" s="4"/>
      <c r="AH683" s="4"/>
      <c r="AI683" s="4"/>
      <c r="AJ683" s="4"/>
      <c r="AK683" s="4" t="str">
        <f ca="1">IFERROR(__xludf.DUMMYFUNCTION("""COMPUTED_VALUE"""),"Sin asignar")</f>
        <v>Sin asignar</v>
      </c>
      <c r="AL683" s="4" t="str">
        <f ca="1">IFERROR(__xludf.DUMMYFUNCTION("""COMPUTED_VALUE"""),"Sin asignar")</f>
        <v>Sin asignar</v>
      </c>
      <c r="AM683" s="4" t="str">
        <f ca="1">IFERROR(__xludf.DUMMYFUNCTION("""COMPUTED_VALUE"""),"Sin prioridad por parte de Sponsor")</f>
        <v>Sin prioridad por parte de Sponsor</v>
      </c>
      <c r="AN683" s="4" t="str">
        <f ca="1">IFERROR(__xludf.DUMMYFUNCTION("""COMPUTED_VALUE"""),"Iniciativa sin priorizar")</f>
        <v>Iniciativa sin priorizar</v>
      </c>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133" t="str">
        <f ca="1">IFERROR(__xludf.DUMMYFUNCTION("""COMPUTED_VALUE"""),"Sin Est.")</f>
        <v>Sin Est.</v>
      </c>
      <c r="DV683" s="133" t="str">
        <f ca="1">IFERROR(__xludf.DUMMYFUNCTION("""COMPUTED_VALUE"""),"Sin Est.")</f>
        <v>Sin Est.</v>
      </c>
      <c r="DW683" s="133" t="str">
        <f ca="1">IFERROR(__xludf.DUMMYFUNCTION("""COMPUTED_VALUE"""),"Sin Est.")</f>
        <v>Sin Est.</v>
      </c>
      <c r="DX683" s="133" t="str">
        <f ca="1">IFERROR(__xludf.DUMMYFUNCTION("""COMPUTED_VALUE"""),"Sin Est.")</f>
        <v>Sin Est.</v>
      </c>
      <c r="DY683" s="133" t="str">
        <f ca="1">IFERROR(__xludf.DUMMYFUNCTION("""COMPUTED_VALUE"""),"Sin Est.")</f>
        <v>Sin Est.</v>
      </c>
      <c r="DZ683" s="4" t="str">
        <f ca="1">IFERROR(__xludf.DUMMYFUNCTION("""COMPUTED_VALUE"""),"#VALUE!")</f>
        <v>#VALUE!</v>
      </c>
      <c r="EA683" s="4"/>
      <c r="EB683" s="4"/>
    </row>
    <row r="684" spans="1:132" x14ac:dyDescent="0.2">
      <c r="A684" s="4">
        <f ca="1">IFERROR(__xludf.DUMMYFUNCTION("""COMPUTED_VALUE"""),684)</f>
        <v>684</v>
      </c>
      <c r="B684" s="4" t="str">
        <f ca="1">IFERROR(__xludf.DUMMYFUNCTION("""COMPUTED_VALUE"""),"Sin prioridad")</f>
        <v>Sin prioridad</v>
      </c>
      <c r="C684" s="4" t="str">
        <f ca="1">IFERROR(__xludf.DUMMYFUNCTION("""COMPUTED_VALUE"""),"SDATOOL-41860")</f>
        <v>SDATOOL-41860</v>
      </c>
      <c r="D684" s="4" t="str">
        <f ca="1">IFERROR(__xludf.DUMMYFUNCTION("""COMPUTED_VALUE"""),"Integración servicio de validación Experian - OyD")</f>
        <v>Integración servicio de validación Experian - OyD</v>
      </c>
      <c r="E684" s="4" t="str">
        <f ca="1">IFERROR(__xludf.DUMMYFUNCTION("""COMPUTED_VALUE"""),"Realizar las adecuaciones a la aplicación OyD  para cumplir con la instrucción regulatoria relacionado con:
Validación de identidad de accionistas, representante legal, accionistas hasta beneficiario final")</f>
        <v>Realizar las adecuaciones a la aplicación OyD  para cumplir con la instrucción regulatoria relacionado con:
Validación de identidad de accionistas, representante legal, accionistas hasta beneficiario final</v>
      </c>
      <c r="F684" s="4" t="str">
        <f ca="1">IFERROR(__xludf.DUMMYFUNCTION("""COMPUTED_VALUE"""),"Initiative")</f>
        <v>Initiative</v>
      </c>
      <c r="G684" s="4" t="str">
        <f ca="1">IFERROR(__xludf.DUMMYFUNCTION("""COMPUTED_VALUE"""),"Flow")</f>
        <v>Flow</v>
      </c>
      <c r="H684" s="4" t="str">
        <f ca="1">IFERROR(__xludf.DUMMYFUNCTION("""COMPUTED_VALUE"""),"2Q 2023")</f>
        <v>2Q 2023</v>
      </c>
      <c r="I684" s="131" t="str">
        <f ca="1">IFERROR(__xludf.DUMMYFUNCTION("""COMPUTED_VALUE"""),"mariavictoria.gonzalez.fajard-bbva.com")</f>
        <v>mariavictoria.gonzalez.fajard-bbva.com</v>
      </c>
      <c r="J684" s="131" t="str">
        <f ca="1">IFERROR(__xludf.DUMMYFUNCTION("""COMPUTED_VALUE"""),"blancamilena.cardona-bbva.com")</f>
        <v>blancamilena.cardona-bbva.com</v>
      </c>
      <c r="K684" s="131" t="str">
        <f ca="1">IFERROR(__xludf.DUMMYFUNCTION("""COMPUTED_VALUE"""),"hugoalberto.abreo-bbva.com")</f>
        <v>hugoalberto.abreo-bbva.com</v>
      </c>
      <c r="L684" s="130">
        <f ca="1">IFERROR(__xludf.DUMMYFUNCTION("""COMPUTED_VALUE"""),0)</f>
        <v>0</v>
      </c>
      <c r="M684" s="130">
        <f ca="1">IFERROR(__xludf.DUMMYFUNCTION("""COMPUTED_VALUE"""),0)</f>
        <v>0</v>
      </c>
      <c r="N684" s="130">
        <f ca="1">IFERROR(__xludf.DUMMYFUNCTION("""COMPUTED_VALUE"""),0)</f>
        <v>0</v>
      </c>
      <c r="O684" s="4" t="str">
        <f ca="1">IFERROR(__xludf.DUMMYFUNCTION("""COMPUTED_VALUE"""),"TBD")</f>
        <v>TBD</v>
      </c>
      <c r="P684" s="4" t="str">
        <f ca="1">IFERROR(__xludf.DUMMYFUNCTION("""COMPUTED_VALUE"""),"TBD")</f>
        <v>TBD</v>
      </c>
      <c r="Q684" s="4"/>
      <c r="R684" s="4"/>
      <c r="S684" s="4"/>
      <c r="T684" s="130" t="str">
        <f ca="1">IFERROR(__xludf.DUMMYFUNCTION("""COMPUTED_VALUE"""),"1. Generación de Ingresos")</f>
        <v>1. Generación de Ingresos</v>
      </c>
      <c r="U684" s="130" t="str">
        <f ca="1">IFERROR(__xludf.DUMMYFUNCTION("""COMPUTED_VALUE"""),"1.2. Proyectos de Consumo")</f>
        <v>1.2. Proyectos de Consumo</v>
      </c>
      <c r="V684" s="4" t="str">
        <f ca="1">IFERROR(__xludf.DUMMYFUNCTION("""COMPUTED_VALUE"""),"Otros")</f>
        <v>Otros</v>
      </c>
      <c r="W684" s="4">
        <f ca="1">IFERROR(__xludf.DUMMYFUNCTION("""COMPUTED_VALUE"""),3)</f>
        <v>3</v>
      </c>
      <c r="X684" s="4" t="str">
        <f ca="1">IFERROR(__xludf.DUMMYFUNCTION("""COMPUTED_VALUE"""),"10. Otros")</f>
        <v>10. Otros</v>
      </c>
      <c r="Y684" s="4"/>
      <c r="Z684" s="132" t="str">
        <f ca="1">IFERROR(__xludf.DUMMYFUNCTION("""COMPUTED_VALUE"""),"666366")</f>
        <v>666366</v>
      </c>
      <c r="AA684" s="4" t="str">
        <f ca="1">IFERROR(__xludf.DUMMYFUNCTION("""COMPUTED_VALUE"""),"Integración Servicio Experian con OyD-Validar identidad clientes")</f>
        <v>Integración Servicio Experian con OyD-Validar identidad clientes</v>
      </c>
      <c r="AB684" s="4" t="str">
        <f ca="1">IFERROR(__xludf.DUMMYFUNCTION("""COMPUTED_VALUE"""),"Realizar las adecuaciones a los sistemas requeridos para cumplir con la instrucción regulatoria relacionado con:  La Validación de identidad de los Clientes y accionistas, representante legal, y todos los  beneficiario finales")</f>
        <v>Realizar las adecuaciones a los sistemas requeridos para cumplir con la instrucción regulatoria relacionado con:  La Validación de identidad de los Clientes y accionistas, representante legal, y todos los  beneficiario finales</v>
      </c>
      <c r="AC684" s="4" t="str">
        <f ca="1">IFERROR(__xludf.DUMMYFUNCTION("""COMPUTED_VALUE"""),"2Q 2024")</f>
        <v>2Q 2024</v>
      </c>
      <c r="AD684" s="4"/>
      <c r="AE684" s="4"/>
      <c r="AF684" s="4"/>
      <c r="AG684" s="4"/>
      <c r="AH684" s="4"/>
      <c r="AI684" s="4"/>
      <c r="AJ684" s="4"/>
      <c r="AK684" s="131" t="str">
        <f ca="1">IFERROR(__xludf.DUMMYFUNCTION("""COMPUTED_VALUE"""),"COLWSVALOR-148")</f>
        <v>COLWSVALOR-148</v>
      </c>
      <c r="AL684" s="4" t="str">
        <f ca="1">IFERROR(__xludf.DUMMYFUNCTION("""COMPUTED_VALUE"""),"New")</f>
        <v>New</v>
      </c>
      <c r="AM684" s="4" t="str">
        <f ca="1">IFERROR(__xludf.DUMMYFUNCTION("""COMPUTED_VALUE"""),"Sin prioridad por parte de Sponsor")</f>
        <v>Sin prioridad por parte de Sponsor</v>
      </c>
      <c r="AN684" s="4" t="str">
        <f ca="1">IFERROR(__xludf.DUMMYFUNCTION("""COMPUTED_VALUE"""),"Iniciativa sin priorizar")</f>
        <v>Iniciativa sin priorizar</v>
      </c>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133" t="str">
        <f ca="1">IFERROR(__xludf.DUMMYFUNCTION("""COMPUTED_VALUE"""),"Sin Est.")</f>
        <v>Sin Est.</v>
      </c>
      <c r="DV684" s="133" t="str">
        <f ca="1">IFERROR(__xludf.DUMMYFUNCTION("""COMPUTED_VALUE"""),"Sin Est.")</f>
        <v>Sin Est.</v>
      </c>
      <c r="DW684" s="133" t="str">
        <f ca="1">IFERROR(__xludf.DUMMYFUNCTION("""COMPUTED_VALUE"""),"Sin Est.")</f>
        <v>Sin Est.</v>
      </c>
      <c r="DX684" s="133" t="str">
        <f ca="1">IFERROR(__xludf.DUMMYFUNCTION("""COMPUTED_VALUE"""),"Sin Est.")</f>
        <v>Sin Est.</v>
      </c>
      <c r="DY684" s="133" t="str">
        <f ca="1">IFERROR(__xludf.DUMMYFUNCTION("""COMPUTED_VALUE"""),"Sin Est.")</f>
        <v>Sin Est.</v>
      </c>
      <c r="DZ684" s="4" t="str">
        <f ca="1">IFERROR(__xludf.DUMMYFUNCTION("""COMPUTED_VALUE"""),"#VALUE!")</f>
        <v>#VALUE!</v>
      </c>
      <c r="EA684" s="4"/>
      <c r="EB684" s="4"/>
    </row>
    <row r="685" spans="1:132" x14ac:dyDescent="0.2">
      <c r="A685" s="4">
        <f ca="1">IFERROR(__xludf.DUMMYFUNCTION("""COMPUTED_VALUE"""),685)</f>
        <v>685</v>
      </c>
      <c r="B685" s="4" t="str">
        <f ca="1">IFERROR(__xludf.DUMMYFUNCTION("""COMPUTED_VALUE"""),"Sin prioridad")</f>
        <v>Sin prioridad</v>
      </c>
      <c r="C685" s="4" t="str">
        <f ca="1">IFERROR(__xludf.DUMMYFUNCTION("""COMPUTED_VALUE"""),"SDATOOL-40470")</f>
        <v>SDATOOL-40470</v>
      </c>
      <c r="D685" s="4" t="str">
        <f ca="1">IFERROR(__xludf.DUMMYFUNCTION("""COMPUTED_VALUE"""),"Mandatorio - Prenda Electrónica")</f>
        <v>Mandatorio - Prenda Electrónica</v>
      </c>
      <c r="E685" s="4" t="str">
        <f ca="1">IFERROR(__xludf.DUMMYFUNCTION("""COMPUTED_VALUE"""),"Se espera para el 2023, la generación de una nueva reglamentación emitida por el Ministerio de Movilidad en donde las entidades financieras podemos implementar la Garantía Prenda de forma electrónica. Por lo tanto requerimos el proyecto que permita determ"&amp;"inar los ajustes a nivel tecnológico y de procesos para implementar este nuevo tipo de garantía para el producto Vehículo Particular y aquellos productos financieros que quieran usarla como garantía.")</f>
        <v>Se espera para el 2023, la generación de una nueva reglamentación emitida por el Ministerio de Movilidad en donde las entidades financieras podemos implementar la Garantía Prenda de forma electrónica. Por lo tanto requerimos el proyecto que permita determinar los ajustes a nivel tecnológico y de procesos para implementar este nuevo tipo de garantía para el producto Vehículo Particular y aquellos productos financieros que quieran usarla como garantía.</v>
      </c>
      <c r="F685" s="4" t="str">
        <f ca="1">IFERROR(__xludf.DUMMYFUNCTION("""COMPUTED_VALUE"""),"Initiative")</f>
        <v>Initiative</v>
      </c>
      <c r="G685" s="4" t="str">
        <f ca="1">IFERROR(__xludf.DUMMYFUNCTION("""COMPUTED_VALUE"""),"Flow")</f>
        <v>Flow</v>
      </c>
      <c r="H685" s="4" t="str">
        <f ca="1">IFERROR(__xludf.DUMMYFUNCTION("""COMPUTED_VALUE"""),"2Q 2023")</f>
        <v>2Q 2023</v>
      </c>
      <c r="I685" s="4"/>
      <c r="J685" s="131" t="str">
        <f ca="1">IFERROR(__xludf.DUMMYFUNCTION("""COMPUTED_VALUE"""),"angie.castaneda-bbva.com")</f>
        <v>angie.castaneda-bbva.com</v>
      </c>
      <c r="K685" s="131" t="str">
        <f ca="1">IFERROR(__xludf.DUMMYFUNCTION("""COMPUTED_VALUE"""),"rociomarcela.lopez-bbva.com")</f>
        <v>rociomarcela.lopez-bbva.com</v>
      </c>
      <c r="L685" s="130">
        <f ca="1">IFERROR(__xludf.DUMMYFUNCTION("""COMPUTED_VALUE"""),0)</f>
        <v>0</v>
      </c>
      <c r="M685" s="130">
        <f ca="1">IFERROR(__xludf.DUMMYFUNCTION("""COMPUTED_VALUE"""),0)</f>
        <v>0</v>
      </c>
      <c r="N685" s="130">
        <f ca="1">IFERROR(__xludf.DUMMYFUNCTION("""COMPUTED_VALUE"""),0)</f>
        <v>0</v>
      </c>
      <c r="O685" s="4" t="str">
        <f ca="1">IFERROR(__xludf.DUMMYFUNCTION("""COMPUTED_VALUE"""),"TBD")</f>
        <v>TBD</v>
      </c>
      <c r="P685" s="4" t="str">
        <f ca="1">IFERROR(__xludf.DUMMYFUNCTION("""COMPUTED_VALUE"""),"TBD")</f>
        <v>TBD</v>
      </c>
      <c r="Q685" s="4"/>
      <c r="R685" s="4"/>
      <c r="S685" s="4"/>
      <c r="T685" s="130" t="str">
        <f ca="1">IFERROR(__xludf.DUMMYFUNCTION("""COMPUTED_VALUE"""),"1. Generación de Ingresos")</f>
        <v>1. Generación de Ingresos</v>
      </c>
      <c r="U685" s="130" t="str">
        <f ca="1">IFERROR(__xludf.DUMMYFUNCTION("""COMPUTED_VALUE"""),"1.5. Otros de Proyectos de Ingresos")</f>
        <v>1.5. Otros de Proyectos de Ingresos</v>
      </c>
      <c r="V685" s="4" t="str">
        <f ca="1">IFERROR(__xludf.DUMMYFUNCTION("""COMPUTED_VALUE"""),"Otros")</f>
        <v>Otros</v>
      </c>
      <c r="W685" s="4">
        <f ca="1">IFERROR(__xludf.DUMMYFUNCTION("""COMPUTED_VALUE"""),3)</f>
        <v>3</v>
      </c>
      <c r="X685" s="4" t="str">
        <f ca="1">IFERROR(__xludf.DUMMYFUNCTION("""COMPUTED_VALUE"""),"10. Otros")</f>
        <v>10. Otros</v>
      </c>
      <c r="Y685" s="4"/>
      <c r="Z685" s="132" t="str">
        <f ca="1">IFERROR(__xludf.DUMMYFUNCTION("""COMPUTED_VALUE"""),"625995")</f>
        <v>625995</v>
      </c>
      <c r="AA685" s="4" t="str">
        <f ca="1">IFERROR(__xludf.DUMMYFUNCTION("""COMPUTED_VALUE"""),"Iniciativa en Backlog, en espera de priorización")</f>
        <v>Iniciativa en Backlog, en espera de priorización</v>
      </c>
      <c r="AB685" s="4" t="str">
        <f ca="1">IFERROR(__xludf.DUMMYFUNCTION("""COMPUTED_VALUE"""),"Iniciativa en Backlog, en espera de priorización")</f>
        <v>Iniciativa en Backlog, en espera de priorización</v>
      </c>
      <c r="AC685" s="4" t="str">
        <f ca="1">IFERROR(__xludf.DUMMYFUNCTION("""COMPUTED_VALUE"""),"4Q 2023")</f>
        <v>4Q 2023</v>
      </c>
      <c r="AD685" s="4"/>
      <c r="AE685" s="4"/>
      <c r="AF685" s="4"/>
      <c r="AG685" s="4"/>
      <c r="AH685" s="4"/>
      <c r="AI685" s="4"/>
      <c r="AJ685" s="4"/>
      <c r="AK685" s="4" t="str">
        <f ca="1">IFERROR(__xludf.DUMMYFUNCTION("""COMPUTED_VALUE"""),"Sin asignar")</f>
        <v>Sin asignar</v>
      </c>
      <c r="AL685" s="4" t="str">
        <f ca="1">IFERROR(__xludf.DUMMYFUNCTION("""COMPUTED_VALUE"""),"Sin asignar")</f>
        <v>Sin asignar</v>
      </c>
      <c r="AM685" s="4" t="str">
        <f ca="1">IFERROR(__xludf.DUMMYFUNCTION("""COMPUTED_VALUE"""),"Sin prioridad por parte de Sponsor")</f>
        <v>Sin prioridad por parte de Sponsor</v>
      </c>
      <c r="AN685" s="4" t="str">
        <f ca="1">IFERROR(__xludf.DUMMYFUNCTION("""COMPUTED_VALUE"""),"Iniciativa sin priorizar")</f>
        <v>Iniciativa sin priorizar</v>
      </c>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133" t="str">
        <f ca="1">IFERROR(__xludf.DUMMYFUNCTION("""COMPUTED_VALUE"""),"Sin Est.")</f>
        <v>Sin Est.</v>
      </c>
      <c r="DV685" s="133" t="str">
        <f ca="1">IFERROR(__xludf.DUMMYFUNCTION("""COMPUTED_VALUE"""),"Sin Est.")</f>
        <v>Sin Est.</v>
      </c>
      <c r="DW685" s="133" t="str">
        <f ca="1">IFERROR(__xludf.DUMMYFUNCTION("""COMPUTED_VALUE"""),"Sin Est.")</f>
        <v>Sin Est.</v>
      </c>
      <c r="DX685" s="133" t="str">
        <f ca="1">IFERROR(__xludf.DUMMYFUNCTION("""COMPUTED_VALUE"""),"Sin Est.")</f>
        <v>Sin Est.</v>
      </c>
      <c r="DY685" s="133" t="str">
        <f ca="1">IFERROR(__xludf.DUMMYFUNCTION("""COMPUTED_VALUE"""),"Sin Est.")</f>
        <v>Sin Est.</v>
      </c>
      <c r="DZ685" s="4" t="str">
        <f ca="1">IFERROR(__xludf.DUMMYFUNCTION("""COMPUTED_VALUE"""),"#VALUE!")</f>
        <v>#VALUE!</v>
      </c>
      <c r="EA685" s="4"/>
      <c r="EB685" s="4"/>
    </row>
    <row r="686" spans="1:132" x14ac:dyDescent="0.2">
      <c r="A686" s="4">
        <f ca="1">IFERROR(__xludf.DUMMYFUNCTION("""COMPUTED_VALUE"""),686)</f>
        <v>686</v>
      </c>
      <c r="B686" s="4" t="str">
        <f ca="1">IFERROR(__xludf.DUMMYFUNCTION("""COMPUTED_VALUE"""),"Sin prioridad")</f>
        <v>Sin prioridad</v>
      </c>
      <c r="C686" s="4" t="str">
        <f ca="1">IFERROR(__xludf.DUMMYFUNCTION("""COMPUTED_VALUE"""),"SDATOOL-40483")</f>
        <v>SDATOOL-40483</v>
      </c>
      <c r="D686" s="4" t="str">
        <f ca="1">IFERROR(__xludf.DUMMYFUNCTION("""COMPUTED_VALUE"""),"Cuenta de ahorros y Franquicia Amex en Adquirencia Onboarding digital")</f>
        <v>Cuenta de ahorros y Franquicia Amex en Adquirencia Onboarding digital</v>
      </c>
      <c r="E686" s="4" t="str">
        <f ca="1">IFERROR(__xludf.DUMMYFUNCTION("""COMPUTED_VALUE"""),"Se requiere incluir cuenta de ahorro con abono D+3 (parametrizable) en Adquirencia digital Netcash.
Incluir franquicia Amex en Adquirencia Onboarding digital")</f>
        <v>Se requiere incluir cuenta de ahorro con abono D+3 (parametrizable) en Adquirencia digital Netcash.
Incluir franquicia Amex en Adquirencia Onboarding digital</v>
      </c>
      <c r="F686" s="4" t="str">
        <f ca="1">IFERROR(__xludf.DUMMYFUNCTION("""COMPUTED_VALUE"""),"Initiative")</f>
        <v>Initiative</v>
      </c>
      <c r="G686" s="4" t="str">
        <f ca="1">IFERROR(__xludf.DUMMYFUNCTION("""COMPUTED_VALUE"""),"Flow")</f>
        <v>Flow</v>
      </c>
      <c r="H686" s="4" t="str">
        <f ca="1">IFERROR(__xludf.DUMMYFUNCTION("""COMPUTED_VALUE"""),"4Q 2023")</f>
        <v>4Q 2023</v>
      </c>
      <c r="I686" s="131" t="str">
        <f ca="1">IFERROR(__xludf.DUMMYFUNCTION("""COMPUTED_VALUE"""),"catalina.villamil-bbva.com")</f>
        <v>catalina.villamil-bbva.com</v>
      </c>
      <c r="J686" s="131" t="str">
        <f ca="1">IFERROR(__xludf.DUMMYFUNCTION("""COMPUTED_VALUE"""),"leidyviviana.patino-bbva.com")</f>
        <v>leidyviviana.patino-bbva.com</v>
      </c>
      <c r="K686" s="131" t="str">
        <f ca="1">IFERROR(__xludf.DUMMYFUNCTION("""COMPUTED_VALUE"""),"nathaliamaria.torres-bbva.com")</f>
        <v>nathaliamaria.torres-bbva.com</v>
      </c>
      <c r="L686" s="130">
        <f ca="1">IFERROR(__xludf.DUMMYFUNCTION("""COMPUTED_VALUE"""),0)</f>
        <v>0</v>
      </c>
      <c r="M686" s="130">
        <f ca="1">IFERROR(__xludf.DUMMYFUNCTION("""COMPUTED_VALUE"""),0)</f>
        <v>0</v>
      </c>
      <c r="N686" s="130">
        <f ca="1">IFERROR(__xludf.DUMMYFUNCTION("""COMPUTED_VALUE"""),0)</f>
        <v>0</v>
      </c>
      <c r="O686" s="4" t="str">
        <f ca="1">IFERROR(__xludf.DUMMYFUNCTION("""COMPUTED_VALUE"""),"TBD")</f>
        <v>TBD</v>
      </c>
      <c r="P686" s="4" t="str">
        <f ca="1">IFERROR(__xludf.DUMMYFUNCTION("""COMPUTED_VALUE"""),"TBD")</f>
        <v>TBD</v>
      </c>
      <c r="Q686" s="4"/>
      <c r="R686" s="4"/>
      <c r="S686" s="4"/>
      <c r="T686" s="130" t="str">
        <f ca="1">IFERROR(__xludf.DUMMYFUNCTION("""COMPUTED_VALUE"""),"1. Generación de Ingresos")</f>
        <v>1. Generación de Ingresos</v>
      </c>
      <c r="U686" s="130" t="str">
        <f ca="1">IFERROR(__xludf.DUMMYFUNCTION("""COMPUTED_VALUE"""),"1.4. Proyectos de Pagos y Adquirencia")</f>
        <v>1.4. Proyectos de Pagos y Adquirencia</v>
      </c>
      <c r="V686" s="4" t="str">
        <f ca="1">IFERROR(__xludf.DUMMYFUNCTION("""COMPUTED_VALUE"""),"Adquirencia")</f>
        <v>Adquirencia</v>
      </c>
      <c r="W686" s="4">
        <f ca="1">IFERROR(__xludf.DUMMYFUNCTION("""COMPUTED_VALUE"""),2)</f>
        <v>2</v>
      </c>
      <c r="X686" s="4" t="str">
        <f ca="1">IFERROR(__xludf.DUMMYFUNCTION("""COMPUTED_VALUE"""),"02. Open Pay &amp; Mercurio")</f>
        <v>02. Open Pay &amp; Mercurio</v>
      </c>
      <c r="Y686" s="4"/>
      <c r="Z686" s="132" t="str">
        <f ca="1">IFERROR(__xludf.DUMMYFUNCTION("""COMPUTED_VALUE"""),"626003")</f>
        <v>626003</v>
      </c>
      <c r="AA686" s="4" t="str">
        <f ca="1">IFERROR(__xludf.DUMMYFUNCTION("""COMPUTED_VALUE"""),"Iniciativa en Backlog, en espera de priorización")</f>
        <v>Iniciativa en Backlog, en espera de priorización</v>
      </c>
      <c r="AB686" s="4" t="str">
        <f ca="1">IFERROR(__xludf.DUMMYFUNCTION("""COMPUTED_VALUE"""),"Iniciativa en Backlog, en espera de priorización")</f>
        <v>Iniciativa en Backlog, en espera de priorización</v>
      </c>
      <c r="AC686" s="4" t="str">
        <f ca="1">IFERROR(__xludf.DUMMYFUNCTION("""COMPUTED_VALUE"""),"4Q 2023")</f>
        <v>4Q 2023</v>
      </c>
      <c r="AD686" s="4"/>
      <c r="AE686" s="4"/>
      <c r="AF686" s="4"/>
      <c r="AG686" s="4"/>
      <c r="AH686" s="4"/>
      <c r="AI686" s="4"/>
      <c r="AJ686" s="4"/>
      <c r="AK686" s="4" t="str">
        <f ca="1">IFERROR(__xludf.DUMMYFUNCTION("""COMPUTED_VALUE"""),"Sin asignar")</f>
        <v>Sin asignar</v>
      </c>
      <c r="AL686" s="4" t="str">
        <f ca="1">IFERROR(__xludf.DUMMYFUNCTION("""COMPUTED_VALUE"""),"Sin asignar")</f>
        <v>Sin asignar</v>
      </c>
      <c r="AM686" s="4" t="str">
        <f ca="1">IFERROR(__xludf.DUMMYFUNCTION("""COMPUTED_VALUE"""),"Sin prioridad por parte de Sponsor")</f>
        <v>Sin prioridad por parte de Sponsor</v>
      </c>
      <c r="AN686" s="4" t="str">
        <f ca="1">IFERROR(__xludf.DUMMYFUNCTION("""COMPUTED_VALUE"""),"Iniciativa sin priorizar")</f>
        <v>Iniciativa sin priorizar</v>
      </c>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133" t="str">
        <f ca="1">IFERROR(__xludf.DUMMYFUNCTION("""COMPUTED_VALUE"""),"Sin Est.")</f>
        <v>Sin Est.</v>
      </c>
      <c r="DV686" s="133" t="str">
        <f ca="1">IFERROR(__xludf.DUMMYFUNCTION("""COMPUTED_VALUE"""),"Sin Est.")</f>
        <v>Sin Est.</v>
      </c>
      <c r="DW686" s="133" t="str">
        <f ca="1">IFERROR(__xludf.DUMMYFUNCTION("""COMPUTED_VALUE"""),"Sin Est.")</f>
        <v>Sin Est.</v>
      </c>
      <c r="DX686" s="133" t="str">
        <f ca="1">IFERROR(__xludf.DUMMYFUNCTION("""COMPUTED_VALUE"""),"Sin Est.")</f>
        <v>Sin Est.</v>
      </c>
      <c r="DY686" s="133" t="str">
        <f ca="1">IFERROR(__xludf.DUMMYFUNCTION("""COMPUTED_VALUE"""),"Sin Est.")</f>
        <v>Sin Est.</v>
      </c>
      <c r="DZ686" s="4" t="str">
        <f ca="1">IFERROR(__xludf.DUMMYFUNCTION("""COMPUTED_VALUE"""),"#VALUE!")</f>
        <v>#VALUE!</v>
      </c>
      <c r="EA686" s="4"/>
      <c r="EB686" s="4"/>
    </row>
    <row r="687" spans="1:132" x14ac:dyDescent="0.2">
      <c r="A687" s="4">
        <f ca="1">IFERROR(__xludf.DUMMYFUNCTION("""COMPUTED_VALUE"""),687)</f>
        <v>687</v>
      </c>
      <c r="B687" s="4" t="str">
        <f ca="1">IFERROR(__xludf.DUMMYFUNCTION("""COMPUTED_VALUE"""),"Sin prioridad")</f>
        <v>Sin prioridad</v>
      </c>
      <c r="C687" s="4" t="str">
        <f ca="1">IFERROR(__xludf.DUMMYFUNCTION("""COMPUTED_VALUE"""),"SDATOOL-40484")</f>
        <v>SDATOOL-40484</v>
      </c>
      <c r="D687" s="4" t="str">
        <f ca="1">IFERROR(__xludf.DUMMYFUNCTION("""COMPUTED_VALUE"""),"Incluir franquicia Amex en Adquirencia Onboarding digital")</f>
        <v>Incluir franquicia Amex en Adquirencia Onboarding digital</v>
      </c>
      <c r="E687" s="4" t="str">
        <f ca="1">IFERROR(__xludf.DUMMYFUNCTION("""COMPUTED_VALUE"""),"Incluir franquicia Amex en Adquirencia Onboarding digital")</f>
        <v>Incluir franquicia Amex en Adquirencia Onboarding digital</v>
      </c>
      <c r="F687" s="4" t="str">
        <f ca="1">IFERROR(__xludf.DUMMYFUNCTION("""COMPUTED_VALUE"""),"Initiative")</f>
        <v>Initiative</v>
      </c>
      <c r="G687" s="4" t="str">
        <f ca="1">IFERROR(__xludf.DUMMYFUNCTION("""COMPUTED_VALUE"""),"Flow")</f>
        <v>Flow</v>
      </c>
      <c r="H687" s="4" t="str">
        <f ca="1">IFERROR(__xludf.DUMMYFUNCTION("""COMPUTED_VALUE"""),"4Q 2023")</f>
        <v>4Q 2023</v>
      </c>
      <c r="I687" s="131" t="str">
        <f ca="1">IFERROR(__xludf.DUMMYFUNCTION("""COMPUTED_VALUE"""),"catalina.villamil-bbva.com")</f>
        <v>catalina.villamil-bbva.com</v>
      </c>
      <c r="J687" s="131" t="str">
        <f ca="1">IFERROR(__xludf.DUMMYFUNCTION("""COMPUTED_VALUE"""),"leidyviviana.patino-bbva.com")</f>
        <v>leidyviviana.patino-bbva.com</v>
      </c>
      <c r="K687" s="131" t="str">
        <f ca="1">IFERROR(__xludf.DUMMYFUNCTION("""COMPUTED_VALUE"""),"nathaliamaria.torres-bbva.com")</f>
        <v>nathaliamaria.torres-bbva.com</v>
      </c>
      <c r="L687" s="130">
        <f ca="1">IFERROR(__xludf.DUMMYFUNCTION("""COMPUTED_VALUE"""),0)</f>
        <v>0</v>
      </c>
      <c r="M687" s="130">
        <f ca="1">IFERROR(__xludf.DUMMYFUNCTION("""COMPUTED_VALUE"""),0)</f>
        <v>0</v>
      </c>
      <c r="N687" s="130">
        <f ca="1">IFERROR(__xludf.DUMMYFUNCTION("""COMPUTED_VALUE"""),0)</f>
        <v>0</v>
      </c>
      <c r="O687" s="4" t="str">
        <f ca="1">IFERROR(__xludf.DUMMYFUNCTION("""COMPUTED_VALUE"""),"TBD")</f>
        <v>TBD</v>
      </c>
      <c r="P687" s="4" t="str">
        <f ca="1">IFERROR(__xludf.DUMMYFUNCTION("""COMPUTED_VALUE"""),"TBD")</f>
        <v>TBD</v>
      </c>
      <c r="Q687" s="4"/>
      <c r="R687" s="4"/>
      <c r="S687" s="4"/>
      <c r="T687" s="130" t="str">
        <f ca="1">IFERROR(__xludf.DUMMYFUNCTION("""COMPUTED_VALUE"""),"1. Generación de Ingresos")</f>
        <v>1. Generación de Ingresos</v>
      </c>
      <c r="U687" s="130" t="str">
        <f ca="1">IFERROR(__xludf.DUMMYFUNCTION("""COMPUTED_VALUE"""),"1.4. Proyectos de Pagos y Adquirencia")</f>
        <v>1.4. Proyectos de Pagos y Adquirencia</v>
      </c>
      <c r="V687" s="4" t="str">
        <f ca="1">IFERROR(__xludf.DUMMYFUNCTION("""COMPUTED_VALUE"""),"Adquirencia")</f>
        <v>Adquirencia</v>
      </c>
      <c r="W687" s="4">
        <f ca="1">IFERROR(__xludf.DUMMYFUNCTION("""COMPUTED_VALUE"""),2)</f>
        <v>2</v>
      </c>
      <c r="X687" s="4" t="str">
        <f ca="1">IFERROR(__xludf.DUMMYFUNCTION("""COMPUTED_VALUE"""),"02. Open Pay &amp; Mercurio")</f>
        <v>02. Open Pay &amp; Mercurio</v>
      </c>
      <c r="Y687" s="4"/>
      <c r="Z687" s="132" t="str">
        <f ca="1">IFERROR(__xludf.DUMMYFUNCTION("""COMPUTED_VALUE"""),"626004")</f>
        <v>626004</v>
      </c>
      <c r="AA687" s="4" t="str">
        <f ca="1">IFERROR(__xludf.DUMMYFUNCTION("""COMPUTED_VALUE"""),"Iniciativa en Backlog, en espera de priorización")</f>
        <v>Iniciativa en Backlog, en espera de priorización</v>
      </c>
      <c r="AB687" s="4" t="str">
        <f ca="1">IFERROR(__xludf.DUMMYFUNCTION("""COMPUTED_VALUE"""),"Iniciativa en Backlog, en espera de priorización")</f>
        <v>Iniciativa en Backlog, en espera de priorización</v>
      </c>
      <c r="AC687" s="4" t="str">
        <f ca="1">IFERROR(__xludf.DUMMYFUNCTION("""COMPUTED_VALUE"""),"4Q 2023")</f>
        <v>4Q 2023</v>
      </c>
      <c r="AD687" s="4"/>
      <c r="AE687" s="4"/>
      <c r="AF687" s="4"/>
      <c r="AG687" s="4"/>
      <c r="AH687" s="4"/>
      <c r="AI687" s="4"/>
      <c r="AJ687" s="4"/>
      <c r="AK687" s="4" t="str">
        <f ca="1">IFERROR(__xludf.DUMMYFUNCTION("""COMPUTED_VALUE"""),"Sin asignar")</f>
        <v>Sin asignar</v>
      </c>
      <c r="AL687" s="4" t="str">
        <f ca="1">IFERROR(__xludf.DUMMYFUNCTION("""COMPUTED_VALUE"""),"Sin asignar")</f>
        <v>Sin asignar</v>
      </c>
      <c r="AM687" s="4" t="str">
        <f ca="1">IFERROR(__xludf.DUMMYFUNCTION("""COMPUTED_VALUE"""),"Sin prioridad por parte de Sponsor")</f>
        <v>Sin prioridad por parte de Sponsor</v>
      </c>
      <c r="AN687" s="4" t="str">
        <f ca="1">IFERROR(__xludf.DUMMYFUNCTION("""COMPUTED_VALUE"""),"Iniciativa sin priorizar")</f>
        <v>Iniciativa sin priorizar</v>
      </c>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133" t="str">
        <f ca="1">IFERROR(__xludf.DUMMYFUNCTION("""COMPUTED_VALUE"""),"Sin Est.")</f>
        <v>Sin Est.</v>
      </c>
      <c r="DV687" s="133" t="str">
        <f ca="1">IFERROR(__xludf.DUMMYFUNCTION("""COMPUTED_VALUE"""),"Sin Est.")</f>
        <v>Sin Est.</v>
      </c>
      <c r="DW687" s="133" t="str">
        <f ca="1">IFERROR(__xludf.DUMMYFUNCTION("""COMPUTED_VALUE"""),"Sin Est.")</f>
        <v>Sin Est.</v>
      </c>
      <c r="DX687" s="133" t="str">
        <f ca="1">IFERROR(__xludf.DUMMYFUNCTION("""COMPUTED_VALUE"""),"Sin Est.")</f>
        <v>Sin Est.</v>
      </c>
      <c r="DY687" s="133" t="str">
        <f ca="1">IFERROR(__xludf.DUMMYFUNCTION("""COMPUTED_VALUE"""),"Sin Est.")</f>
        <v>Sin Est.</v>
      </c>
      <c r="DZ687" s="4" t="str">
        <f ca="1">IFERROR(__xludf.DUMMYFUNCTION("""COMPUTED_VALUE"""),"#VALUE!")</f>
        <v>#VALUE!</v>
      </c>
      <c r="EA687" s="4"/>
      <c r="EB687" s="4"/>
    </row>
    <row r="688" spans="1:132" x14ac:dyDescent="0.2">
      <c r="A688" s="4">
        <f ca="1">IFERROR(__xludf.DUMMYFUNCTION("""COMPUTED_VALUE"""),688)</f>
        <v>688</v>
      </c>
      <c r="B688" s="4" t="str">
        <f ca="1">IFERROR(__xludf.DUMMYFUNCTION("""COMPUTED_VALUE"""),"Sin prioridad")</f>
        <v>Sin prioridad</v>
      </c>
      <c r="C688" s="4" t="str">
        <f ca="1">IFERROR(__xludf.DUMMYFUNCTION("""COMPUTED_VALUE"""),"SDATOOL-40485")</f>
        <v>SDATOOL-40485</v>
      </c>
      <c r="D688" s="4" t="str">
        <f ca="1">IFERROR(__xludf.DUMMYFUNCTION("""COMPUTED_VALUE"""),"Migrar Adquirencia digital Netcash a Glomo")</f>
        <v>Migrar Adquirencia digital Netcash a Glomo</v>
      </c>
      <c r="E688" s="4" t="str">
        <f ca="1">IFERROR(__xludf.DUMMYFUNCTION("""COMPUTED_VALUE"""),"Migrar Adquirencia digital Netcash a Glomo")</f>
        <v>Migrar Adquirencia digital Netcash a Glomo</v>
      </c>
      <c r="F688" s="4" t="str">
        <f ca="1">IFERROR(__xludf.DUMMYFUNCTION("""COMPUTED_VALUE"""),"Initiative")</f>
        <v>Initiative</v>
      </c>
      <c r="G688" s="4" t="str">
        <f ca="1">IFERROR(__xludf.DUMMYFUNCTION("""COMPUTED_VALUE"""),"Flow")</f>
        <v>Flow</v>
      </c>
      <c r="H688" s="4" t="str">
        <f ca="1">IFERROR(__xludf.DUMMYFUNCTION("""COMPUTED_VALUE"""),"3Q 2023")</f>
        <v>3Q 2023</v>
      </c>
      <c r="I688" s="131" t="str">
        <f ca="1">IFERROR(__xludf.DUMMYFUNCTION("""COMPUTED_VALUE"""),"catalina.villamil-bbva.com")</f>
        <v>catalina.villamil-bbva.com</v>
      </c>
      <c r="J688" s="131" t="str">
        <f ca="1">IFERROR(__xludf.DUMMYFUNCTION("""COMPUTED_VALUE"""),"leidyviviana.patino-bbva.com")</f>
        <v>leidyviviana.patino-bbva.com</v>
      </c>
      <c r="K688" s="131" t="str">
        <f ca="1">IFERROR(__xludf.DUMMYFUNCTION("""COMPUTED_VALUE"""),"nathaliamaria.torres-bbva.com")</f>
        <v>nathaliamaria.torres-bbva.com</v>
      </c>
      <c r="L688" s="130">
        <f ca="1">IFERROR(__xludf.DUMMYFUNCTION("""COMPUTED_VALUE"""),0)</f>
        <v>0</v>
      </c>
      <c r="M688" s="130">
        <f ca="1">IFERROR(__xludf.DUMMYFUNCTION("""COMPUTED_VALUE"""),0)</f>
        <v>0</v>
      </c>
      <c r="N688" s="130">
        <f ca="1">IFERROR(__xludf.DUMMYFUNCTION("""COMPUTED_VALUE"""),0)</f>
        <v>0</v>
      </c>
      <c r="O688" s="4" t="str">
        <f ca="1">IFERROR(__xludf.DUMMYFUNCTION("""COMPUTED_VALUE"""),"TBD")</f>
        <v>TBD</v>
      </c>
      <c r="P688" s="4" t="str">
        <f ca="1">IFERROR(__xludf.DUMMYFUNCTION("""COMPUTED_VALUE"""),"TBD")</f>
        <v>TBD</v>
      </c>
      <c r="Q688" s="4"/>
      <c r="R688" s="4"/>
      <c r="S688" s="4"/>
      <c r="T688" s="130" t="str">
        <f ca="1">IFERROR(__xludf.DUMMYFUNCTION("""COMPUTED_VALUE"""),"1. Generación de Ingresos")</f>
        <v>1. Generación de Ingresos</v>
      </c>
      <c r="U688" s="130" t="str">
        <f ca="1">IFERROR(__xludf.DUMMYFUNCTION("""COMPUTED_VALUE"""),"1.4. Proyectos de Pagos y Adquirencia")</f>
        <v>1.4. Proyectos de Pagos y Adquirencia</v>
      </c>
      <c r="V688" s="4" t="str">
        <f ca="1">IFERROR(__xludf.DUMMYFUNCTION("""COMPUTED_VALUE"""),"Adquirencia")</f>
        <v>Adquirencia</v>
      </c>
      <c r="W688" s="4">
        <f ca="1">IFERROR(__xludf.DUMMYFUNCTION("""COMPUTED_VALUE"""),3)</f>
        <v>3</v>
      </c>
      <c r="X688" s="4" t="str">
        <f ca="1">IFERROR(__xludf.DUMMYFUNCTION("""COMPUTED_VALUE"""),"02. Open Pay &amp; Mercurio")</f>
        <v>02. Open Pay &amp; Mercurio</v>
      </c>
      <c r="Y688" s="4"/>
      <c r="Z688" s="132" t="str">
        <f ca="1">IFERROR(__xludf.DUMMYFUNCTION("""COMPUTED_VALUE"""),"626005")</f>
        <v>626005</v>
      </c>
      <c r="AA688" s="4" t="str">
        <f ca="1">IFERROR(__xludf.DUMMYFUNCTION("""COMPUTED_VALUE"""),"Iniciativa en Backlog, en espera de priorización")</f>
        <v>Iniciativa en Backlog, en espera de priorización</v>
      </c>
      <c r="AB688" s="4" t="str">
        <f ca="1">IFERROR(__xludf.DUMMYFUNCTION("""COMPUTED_VALUE"""),"Iniciativa en Backlog, en espera de priorización")</f>
        <v>Iniciativa en Backlog, en espera de priorización</v>
      </c>
      <c r="AC688" s="4" t="str">
        <f ca="1">IFERROR(__xludf.DUMMYFUNCTION("""COMPUTED_VALUE"""),"4Q 2023")</f>
        <v>4Q 2023</v>
      </c>
      <c r="AD688" s="4"/>
      <c r="AE688" s="4"/>
      <c r="AF688" s="4"/>
      <c r="AG688" s="4"/>
      <c r="AH688" s="4"/>
      <c r="AI688" s="4"/>
      <c r="AJ688" s="4"/>
      <c r="AK688" s="4" t="str">
        <f ca="1">IFERROR(__xludf.DUMMYFUNCTION("""COMPUTED_VALUE"""),"Sin asignar")</f>
        <v>Sin asignar</v>
      </c>
      <c r="AL688" s="4" t="str">
        <f ca="1">IFERROR(__xludf.DUMMYFUNCTION("""COMPUTED_VALUE"""),"Sin asignar")</f>
        <v>Sin asignar</v>
      </c>
      <c r="AM688" s="4" t="str">
        <f ca="1">IFERROR(__xludf.DUMMYFUNCTION("""COMPUTED_VALUE"""),"Sin prioridad por parte de Sponsor")</f>
        <v>Sin prioridad por parte de Sponsor</v>
      </c>
      <c r="AN688" s="4" t="str">
        <f ca="1">IFERROR(__xludf.DUMMYFUNCTION("""COMPUTED_VALUE"""),"Iniciativa sin priorizar")</f>
        <v>Iniciativa sin priorizar</v>
      </c>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133" t="str">
        <f ca="1">IFERROR(__xludf.DUMMYFUNCTION("""COMPUTED_VALUE"""),"Sin Est.")</f>
        <v>Sin Est.</v>
      </c>
      <c r="DV688" s="133" t="str">
        <f ca="1">IFERROR(__xludf.DUMMYFUNCTION("""COMPUTED_VALUE"""),"Sin Est.")</f>
        <v>Sin Est.</v>
      </c>
      <c r="DW688" s="133" t="str">
        <f ca="1">IFERROR(__xludf.DUMMYFUNCTION("""COMPUTED_VALUE"""),"Sin Est.")</f>
        <v>Sin Est.</v>
      </c>
      <c r="DX688" s="133" t="str">
        <f ca="1">IFERROR(__xludf.DUMMYFUNCTION("""COMPUTED_VALUE"""),"Sin Est.")</f>
        <v>Sin Est.</v>
      </c>
      <c r="DY688" s="133" t="str">
        <f ca="1">IFERROR(__xludf.DUMMYFUNCTION("""COMPUTED_VALUE"""),"Sin Est.")</f>
        <v>Sin Est.</v>
      </c>
      <c r="DZ688" s="4" t="str">
        <f ca="1">IFERROR(__xludf.DUMMYFUNCTION("""COMPUTED_VALUE"""),"#VALUE!")</f>
        <v>#VALUE!</v>
      </c>
      <c r="EA688" s="4"/>
      <c r="EB688" s="4"/>
    </row>
    <row r="689" spans="1:132" x14ac:dyDescent="0.2">
      <c r="A689" s="4">
        <f ca="1">IFERROR(__xludf.DUMMYFUNCTION("""COMPUTED_VALUE"""),689)</f>
        <v>689</v>
      </c>
      <c r="B689" s="4" t="str">
        <f ca="1">IFERROR(__xludf.DUMMYFUNCTION("""COMPUTED_VALUE"""),"Sin prioridad")</f>
        <v>Sin prioridad</v>
      </c>
      <c r="C689" s="4" t="str">
        <f ca="1">IFERROR(__xludf.DUMMYFUNCTION("""COMPUTED_VALUE"""),"SDATOOL-40498")</f>
        <v>SDATOOL-40498</v>
      </c>
      <c r="D689" s="4" t="str">
        <f ca="1">IFERROR(__xludf.DUMMYFUNCTION("""COMPUTED_VALUE"""),"Autogestión Tarjeta de Crédito en Glomo")</f>
        <v>Autogestión Tarjeta de Crédito en Glomo</v>
      </c>
      <c r="E689" s="4" t="str">
        <f ca="1">IFERROR(__xludf.DUMMYFUNCTION("""COMPUTED_VALUE"""),"Iniciativa encamina en generar una mejor experiencia de cara al cliente en el producto Tarjeta de Crédito .
Enfocada en generar a través de Glomo la autogestión de: 
 *Compra de Cartera en Glomo 
 *Redifiero del saldo total de su Tarjeta de Crédito en Glo"&amp;"mo
* Pago mínimo alterno en Glomo
* Cambio de plazo de cada compra en Glomo 
*Aumento de cupo en Glomo")</f>
        <v>Iniciativa encamina en generar una mejor experiencia de cara al cliente en el producto Tarjeta de Crédito .
Enfocada en generar a través de Glomo la autogestión de: 
 *Compra de Cartera en Glomo 
 *Redifiero del saldo total de su Tarjeta de Crédito en Glomo
* Pago mínimo alterno en Glomo
* Cambio de plazo de cada compra en Glomo 
*Aumento de cupo en Glomo</v>
      </c>
      <c r="F689" s="4" t="str">
        <f ca="1">IFERROR(__xludf.DUMMYFUNCTION("""COMPUTED_VALUE"""),"Initiative")</f>
        <v>Initiative</v>
      </c>
      <c r="G689" s="4" t="str">
        <f ca="1">IFERROR(__xludf.DUMMYFUNCTION("""COMPUTED_VALUE"""),"Flow")</f>
        <v>Flow</v>
      </c>
      <c r="H689" s="4" t="str">
        <f ca="1">IFERROR(__xludf.DUMMYFUNCTION("""COMPUTED_VALUE"""),"2Q 2023")</f>
        <v>2Q 2023</v>
      </c>
      <c r="I689" s="131" t="str">
        <f ca="1">IFERROR(__xludf.DUMMYFUNCTION("""COMPUTED_VALUE"""),"andrea.orrego-bbva.com")</f>
        <v>andrea.orrego-bbva.com</v>
      </c>
      <c r="J689" s="4"/>
      <c r="K689" s="131" t="str">
        <f ca="1">IFERROR(__xludf.DUMMYFUNCTION("""COMPUTED_VALUE"""),"rudyyolima.aguilar-bbva.com")</f>
        <v>rudyyolima.aguilar-bbva.com</v>
      </c>
      <c r="L689" s="130">
        <f ca="1">IFERROR(__xludf.DUMMYFUNCTION("""COMPUTED_VALUE"""),0)</f>
        <v>0</v>
      </c>
      <c r="M689" s="130">
        <f ca="1">IFERROR(__xludf.DUMMYFUNCTION("""COMPUTED_VALUE"""),0)</f>
        <v>0</v>
      </c>
      <c r="N689" s="130">
        <f ca="1">IFERROR(__xludf.DUMMYFUNCTION("""COMPUTED_VALUE"""),0)</f>
        <v>0</v>
      </c>
      <c r="O689" s="4" t="str">
        <f ca="1">IFERROR(__xludf.DUMMYFUNCTION("""COMPUTED_VALUE"""),"TBD")</f>
        <v>TBD</v>
      </c>
      <c r="P689" s="4" t="str">
        <f ca="1">IFERROR(__xludf.DUMMYFUNCTION("""COMPUTED_VALUE"""),"TBD")</f>
        <v>TBD</v>
      </c>
      <c r="Q689" s="4"/>
      <c r="R689" s="4"/>
      <c r="S689" s="4"/>
      <c r="T689" s="130" t="str">
        <f ca="1">IFERROR(__xludf.DUMMYFUNCTION("""COMPUTED_VALUE"""),"1. Generación de Ingresos")</f>
        <v>1. Generación de Ingresos</v>
      </c>
      <c r="U689" s="130" t="str">
        <f ca="1">IFERROR(__xludf.DUMMYFUNCTION("""COMPUTED_VALUE"""),"1.2. Proyectos de Consumo")</f>
        <v>1.2. Proyectos de Consumo</v>
      </c>
      <c r="V689" s="4" t="str">
        <f ca="1">IFERROR(__xludf.DUMMYFUNCTION("""COMPUTED_VALUE"""),"TdC")</f>
        <v>TdC</v>
      </c>
      <c r="W689" s="4">
        <f ca="1">IFERROR(__xludf.DUMMYFUNCTION("""COMPUTED_VALUE"""),2)</f>
        <v>2</v>
      </c>
      <c r="X689" s="4" t="str">
        <f ca="1">IFERROR(__xludf.DUMMYFUNCTION("""COMPUTED_VALUE"""),"05. Cross-sell")</f>
        <v>05. Cross-sell</v>
      </c>
      <c r="Y689" s="4"/>
      <c r="Z689" s="132" t="str">
        <f ca="1">IFERROR(__xludf.DUMMYFUNCTION("""COMPUTED_VALUE"""),"626015")</f>
        <v>626015</v>
      </c>
      <c r="AA689" s="4" t="str">
        <f ca="1">IFERROR(__xludf.DUMMYFUNCTION("""COMPUTED_VALUE"""),"Iniciativa en Backlog, en espera de priorización")</f>
        <v>Iniciativa en Backlog, en espera de priorización</v>
      </c>
      <c r="AB689" s="4" t="str">
        <f ca="1">IFERROR(__xludf.DUMMYFUNCTION("""COMPUTED_VALUE"""),"Iniciativa en Backlog, en espera de priorización")</f>
        <v>Iniciativa en Backlog, en espera de priorización</v>
      </c>
      <c r="AC689" s="4" t="str">
        <f ca="1">IFERROR(__xludf.DUMMYFUNCTION("""COMPUTED_VALUE"""),"4Q 2023")</f>
        <v>4Q 2023</v>
      </c>
      <c r="AD689" s="4"/>
      <c r="AE689" s="4"/>
      <c r="AF689" s="4"/>
      <c r="AG689" s="4"/>
      <c r="AH689" s="4"/>
      <c r="AI689" s="4"/>
      <c r="AJ689" s="4"/>
      <c r="AK689" s="4" t="str">
        <f ca="1">IFERROR(__xludf.DUMMYFUNCTION("""COMPUTED_VALUE"""),"Sin asignar")</f>
        <v>Sin asignar</v>
      </c>
      <c r="AL689" s="4" t="str">
        <f ca="1">IFERROR(__xludf.DUMMYFUNCTION("""COMPUTED_VALUE"""),"Sin asignar")</f>
        <v>Sin asignar</v>
      </c>
      <c r="AM689" s="4" t="str">
        <f ca="1">IFERROR(__xludf.DUMMYFUNCTION("""COMPUTED_VALUE"""),"Sin prioridad por parte de Sponsor")</f>
        <v>Sin prioridad por parte de Sponsor</v>
      </c>
      <c r="AN689" s="4" t="str">
        <f ca="1">IFERROR(__xludf.DUMMYFUNCTION("""COMPUTED_VALUE"""),"Iniciativa sin priorizar")</f>
        <v>Iniciativa sin priorizar</v>
      </c>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133" t="str">
        <f ca="1">IFERROR(__xludf.DUMMYFUNCTION("""COMPUTED_VALUE"""),"Sin Est.")</f>
        <v>Sin Est.</v>
      </c>
      <c r="DV689" s="133" t="str">
        <f ca="1">IFERROR(__xludf.DUMMYFUNCTION("""COMPUTED_VALUE"""),"Sin Est.")</f>
        <v>Sin Est.</v>
      </c>
      <c r="DW689" s="133" t="str">
        <f ca="1">IFERROR(__xludf.DUMMYFUNCTION("""COMPUTED_VALUE"""),"Sin Est.")</f>
        <v>Sin Est.</v>
      </c>
      <c r="DX689" s="133" t="str">
        <f ca="1">IFERROR(__xludf.DUMMYFUNCTION("""COMPUTED_VALUE"""),"Sin Est.")</f>
        <v>Sin Est.</v>
      </c>
      <c r="DY689" s="133" t="str">
        <f ca="1">IFERROR(__xludf.DUMMYFUNCTION("""COMPUTED_VALUE"""),"Sin Est.")</f>
        <v>Sin Est.</v>
      </c>
      <c r="DZ689" s="4" t="str">
        <f ca="1">IFERROR(__xludf.DUMMYFUNCTION("""COMPUTED_VALUE"""),"#VALUE!")</f>
        <v>#VALUE!</v>
      </c>
      <c r="EA689" s="4"/>
      <c r="EB689" s="4"/>
    </row>
    <row r="690" spans="1:132" x14ac:dyDescent="0.2">
      <c r="A690" s="4">
        <f ca="1">IFERROR(__xludf.DUMMYFUNCTION("""COMPUTED_VALUE"""),690)</f>
        <v>690</v>
      </c>
      <c r="B690" s="4" t="str">
        <f ca="1">IFERROR(__xludf.DUMMYFUNCTION("""COMPUTED_VALUE"""),"Sin prioridad")</f>
        <v>Sin prioridad</v>
      </c>
      <c r="C690" s="4" t="str">
        <f ca="1">IFERROR(__xludf.DUMMYFUNCTION("""COMPUTED_VALUE"""),"SDATOOL-40512")</f>
        <v>SDATOOL-40512</v>
      </c>
      <c r="D690" s="4" t="str">
        <f ca="1">IFERROR(__xludf.DUMMYFUNCTION("""COMPUTED_VALUE"""),"AJUSTE PREAPROBADOS CONSUMO HOST")</f>
        <v>AJUSTE PREAPROBADOS CONSUMO HOST</v>
      </c>
      <c r="E690" s="4" t="str">
        <f ca="1">IFERROR(__xludf.DUMMYFUNCTION("""COMPUTED_VALUE"""),"Mejorar el desarrollo de preaprobados en el host con el fin de incrementar nuestros indicadores digitales, manejando la información por cliente y ajustando los procesos de bajas automáticas.")</f>
        <v>Mejorar el desarrollo de preaprobados en el host con el fin de incrementar nuestros indicadores digitales, manejando la información por cliente y ajustando los procesos de bajas automáticas.</v>
      </c>
      <c r="F690" s="4" t="str">
        <f ca="1">IFERROR(__xludf.DUMMYFUNCTION("""COMPUTED_VALUE"""),"Initiative")</f>
        <v>Initiative</v>
      </c>
      <c r="G690" s="4" t="str">
        <f ca="1">IFERROR(__xludf.DUMMYFUNCTION("""COMPUTED_VALUE"""),"Flow")</f>
        <v>Flow</v>
      </c>
      <c r="H690" s="4" t="str">
        <f ca="1">IFERROR(__xludf.DUMMYFUNCTION("""COMPUTED_VALUE"""),"2Q 2023")</f>
        <v>2Q 2023</v>
      </c>
      <c r="I690" s="4"/>
      <c r="J690" s="131" t="str">
        <f ca="1">IFERROR(__xludf.DUMMYFUNCTION("""COMPUTED_VALUE"""),"fredy.pineda-bbva.com")</f>
        <v>fredy.pineda-bbva.com</v>
      </c>
      <c r="K690" s="131" t="str">
        <f ca="1">IFERROR(__xludf.DUMMYFUNCTION("""COMPUTED_VALUE"""),"rociomarcela.lopez-bbva.com")</f>
        <v>rociomarcela.lopez-bbva.com</v>
      </c>
      <c r="L690" s="130">
        <f ca="1">IFERROR(__xludf.DUMMYFUNCTION("""COMPUTED_VALUE"""),0)</f>
        <v>0</v>
      </c>
      <c r="M690" s="130">
        <f ca="1">IFERROR(__xludf.DUMMYFUNCTION("""COMPUTED_VALUE"""),0)</f>
        <v>0</v>
      </c>
      <c r="N690" s="130">
        <f ca="1">IFERROR(__xludf.DUMMYFUNCTION("""COMPUTED_VALUE"""),0)</f>
        <v>0</v>
      </c>
      <c r="O690" s="4" t="str">
        <f ca="1">IFERROR(__xludf.DUMMYFUNCTION("""COMPUTED_VALUE"""),"TBD")</f>
        <v>TBD</v>
      </c>
      <c r="P690" s="4" t="str">
        <f ca="1">IFERROR(__xludf.DUMMYFUNCTION("""COMPUTED_VALUE"""),"TBD")</f>
        <v>TBD</v>
      </c>
      <c r="Q690" s="4"/>
      <c r="R690" s="4"/>
      <c r="S690" s="4"/>
      <c r="T690" s="130" t="str">
        <f ca="1">IFERROR(__xludf.DUMMYFUNCTION("""COMPUTED_VALUE"""),"1. Generación de Ingresos")</f>
        <v>1. Generación de Ingresos</v>
      </c>
      <c r="U690" s="130" t="str">
        <f ca="1">IFERROR(__xludf.DUMMYFUNCTION("""COMPUTED_VALUE"""),"1.2. Proyectos de Consumo")</f>
        <v>1.2. Proyectos de Consumo</v>
      </c>
      <c r="V690" s="4" t="str">
        <f ca="1">IFERROR(__xludf.DUMMYFUNCTION("""COMPUTED_VALUE"""),"Preaprobados")</f>
        <v>Preaprobados</v>
      </c>
      <c r="W690" s="4">
        <f ca="1">IFERROR(__xludf.DUMMYFUNCTION("""COMPUTED_VALUE"""),1)</f>
        <v>1</v>
      </c>
      <c r="X690" s="4" t="str">
        <f ca="1">IFERROR(__xludf.DUMMYFUNCTION("""COMPUTED_VALUE"""),"05. Cross-sell")</f>
        <v>05. Cross-sell</v>
      </c>
      <c r="Y690" s="4"/>
      <c r="Z690" s="132" t="str">
        <f ca="1">IFERROR(__xludf.DUMMYFUNCTION("""COMPUTED_VALUE"""),"626035")</f>
        <v>626035</v>
      </c>
      <c r="AA690" s="4" t="str">
        <f ca="1">IFERROR(__xludf.DUMMYFUNCTION("""COMPUTED_VALUE"""),"Iniciativa en Backlog, en espera de priorización")</f>
        <v>Iniciativa en Backlog, en espera de priorización</v>
      </c>
      <c r="AB690" s="4" t="str">
        <f ca="1">IFERROR(__xludf.DUMMYFUNCTION("""COMPUTED_VALUE"""),"Iniciativa en Backlog, en espera de priorización")</f>
        <v>Iniciativa en Backlog, en espera de priorización</v>
      </c>
      <c r="AC690" s="4" t="str">
        <f ca="1">IFERROR(__xludf.DUMMYFUNCTION("""COMPUTED_VALUE"""),"4Q 2023")</f>
        <v>4Q 2023</v>
      </c>
      <c r="AD690" s="4"/>
      <c r="AE690" s="4"/>
      <c r="AF690" s="4"/>
      <c r="AG690" s="4"/>
      <c r="AH690" s="4"/>
      <c r="AI690" s="4"/>
      <c r="AJ690" s="4"/>
      <c r="AK690" s="4" t="str">
        <f ca="1">IFERROR(__xludf.DUMMYFUNCTION("""COMPUTED_VALUE"""),"Sin asignar")</f>
        <v>Sin asignar</v>
      </c>
      <c r="AL690" s="4" t="str">
        <f ca="1">IFERROR(__xludf.DUMMYFUNCTION("""COMPUTED_VALUE"""),"Sin asignar")</f>
        <v>Sin asignar</v>
      </c>
      <c r="AM690" s="4" t="str">
        <f ca="1">IFERROR(__xludf.DUMMYFUNCTION("""COMPUTED_VALUE"""),"Sin prioridad por parte de Sponsor")</f>
        <v>Sin prioridad por parte de Sponsor</v>
      </c>
      <c r="AN690" s="4" t="str">
        <f ca="1">IFERROR(__xludf.DUMMYFUNCTION("""COMPUTED_VALUE"""),"Iniciativa sin priorizar")</f>
        <v>Iniciativa sin priorizar</v>
      </c>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133" t="str">
        <f ca="1">IFERROR(__xludf.DUMMYFUNCTION("""COMPUTED_VALUE"""),"Sin Est.")</f>
        <v>Sin Est.</v>
      </c>
      <c r="DV690" s="133" t="str">
        <f ca="1">IFERROR(__xludf.DUMMYFUNCTION("""COMPUTED_VALUE"""),"Sin Est.")</f>
        <v>Sin Est.</v>
      </c>
      <c r="DW690" s="133" t="str">
        <f ca="1">IFERROR(__xludf.DUMMYFUNCTION("""COMPUTED_VALUE"""),"Sin Est.")</f>
        <v>Sin Est.</v>
      </c>
      <c r="DX690" s="133" t="str">
        <f ca="1">IFERROR(__xludf.DUMMYFUNCTION("""COMPUTED_VALUE"""),"Sin Est.")</f>
        <v>Sin Est.</v>
      </c>
      <c r="DY690" s="133" t="str">
        <f ca="1">IFERROR(__xludf.DUMMYFUNCTION("""COMPUTED_VALUE"""),"Sin Est.")</f>
        <v>Sin Est.</v>
      </c>
      <c r="DZ690" s="4" t="str">
        <f ca="1">IFERROR(__xludf.DUMMYFUNCTION("""COMPUTED_VALUE"""),"#VALUE!")</f>
        <v>#VALUE!</v>
      </c>
      <c r="EA690" s="4"/>
      <c r="EB690" s="4"/>
    </row>
    <row r="691" spans="1:132" x14ac:dyDescent="0.2">
      <c r="A691" s="4">
        <f ca="1">IFERROR(__xludf.DUMMYFUNCTION("""COMPUTED_VALUE"""),691)</f>
        <v>691</v>
      </c>
      <c r="B691" s="4" t="str">
        <f ca="1">IFERROR(__xludf.DUMMYFUNCTION("""COMPUTED_VALUE"""),"Sin prioridad")</f>
        <v>Sin prioridad</v>
      </c>
      <c r="C691" s="4" t="str">
        <f ca="1">IFERROR(__xludf.DUMMYFUNCTION("""COMPUTED_VALUE"""),"SDATOOL-40522")</f>
        <v>SDATOOL-40522</v>
      </c>
      <c r="D691" s="4" t="str">
        <f ca="1">IFERROR(__xludf.DUMMYFUNCTION("""COMPUTED_VALUE"""),"Ajuste en el cobro de la comisión de adquirencias cuando el comercio transa antes de que se configure")</f>
        <v>Ajuste en el cobro de la comisión de adquirencias cuando el comercio transa antes de que se configure</v>
      </c>
      <c r="E691" s="4" t="str">
        <f ca="1">IFERROR(__xludf.DUMMYFUNCTION("""COMPUTED_VALUE"""),"Como un hallazgo de la auditoría, se debe realizar un ajuste (desarrollo) que permita que el sistema solo pueda abonar a los comercios posterior al cobro de la comisión, ya que hemos identificado que comercios que transan antes de que estén configurados e"&amp;"n el sistema, es decir que no se les ha marcado las tasas a cobrar, se les hace el abono y no cobramos la comisión, perdiendo este ingreso.")</f>
        <v>Como un hallazgo de la auditoría, se debe realizar un ajuste (desarrollo) que permita que el sistema solo pueda abonar a los comercios posterior al cobro de la comisión, ya que hemos identificado que comercios que transan antes de que estén configurados en el sistema, es decir que no se les ha marcado las tasas a cobrar, se les hace el abono y no cobramos la comisión, perdiendo este ingreso.</v>
      </c>
      <c r="F691" s="4" t="str">
        <f ca="1">IFERROR(__xludf.DUMMYFUNCTION("""COMPUTED_VALUE"""),"Initiative")</f>
        <v>Initiative</v>
      </c>
      <c r="G691" s="4" t="str">
        <f ca="1">IFERROR(__xludf.DUMMYFUNCTION("""COMPUTED_VALUE"""),"Flow")</f>
        <v>Flow</v>
      </c>
      <c r="H691" s="4" t="str">
        <f ca="1">IFERROR(__xludf.DUMMYFUNCTION("""COMPUTED_VALUE"""),"2Q 2023")</f>
        <v>2Q 2023</v>
      </c>
      <c r="I691" s="131" t="str">
        <f ca="1">IFERROR(__xludf.DUMMYFUNCTION("""COMPUTED_VALUE"""),"alirio.bermudez-bbva.com")</f>
        <v>alirio.bermudez-bbva.com</v>
      </c>
      <c r="J691" s="4"/>
      <c r="K691" s="131" t="str">
        <f ca="1">IFERROR(__xludf.DUMMYFUNCTION("""COMPUTED_VALUE"""),"nathaliamaria.torres-bbva.com")</f>
        <v>nathaliamaria.torres-bbva.com</v>
      </c>
      <c r="L691" s="130">
        <f ca="1">IFERROR(__xludf.DUMMYFUNCTION("""COMPUTED_VALUE"""),0)</f>
        <v>0</v>
      </c>
      <c r="M691" s="130">
        <f ca="1">IFERROR(__xludf.DUMMYFUNCTION("""COMPUTED_VALUE"""),0)</f>
        <v>0</v>
      </c>
      <c r="N691" s="130">
        <f ca="1">IFERROR(__xludf.DUMMYFUNCTION("""COMPUTED_VALUE"""),0)</f>
        <v>0</v>
      </c>
      <c r="O691" s="4" t="str">
        <f ca="1">IFERROR(__xludf.DUMMYFUNCTION("""COMPUTED_VALUE"""),"TBD")</f>
        <v>TBD</v>
      </c>
      <c r="P691" s="4" t="str">
        <f ca="1">IFERROR(__xludf.DUMMYFUNCTION("""COMPUTED_VALUE"""),"TBD")</f>
        <v>TBD</v>
      </c>
      <c r="Q691" s="4"/>
      <c r="R691" s="4"/>
      <c r="S691" s="4"/>
      <c r="T691" s="130" t="str">
        <f ca="1">IFERROR(__xludf.DUMMYFUNCTION("""COMPUTED_VALUE"""),"1. Generación de Ingresos")</f>
        <v>1. Generación de Ingresos</v>
      </c>
      <c r="U691" s="130" t="str">
        <f ca="1">IFERROR(__xludf.DUMMYFUNCTION("""COMPUTED_VALUE"""),"1.2. Proyectos de Consumo")</f>
        <v>1.2. Proyectos de Consumo</v>
      </c>
      <c r="V691" s="4" t="str">
        <f ca="1">IFERROR(__xludf.DUMMYFUNCTION("""COMPUTED_VALUE"""),"Otros")</f>
        <v>Otros</v>
      </c>
      <c r="W691" s="4">
        <f ca="1">IFERROR(__xludf.DUMMYFUNCTION("""COMPUTED_VALUE"""),3)</f>
        <v>3</v>
      </c>
      <c r="X691" s="4" t="str">
        <f ca="1">IFERROR(__xludf.DUMMYFUNCTION("""COMPUTED_VALUE"""),"10. Otros")</f>
        <v>10. Otros</v>
      </c>
      <c r="Y691" s="4"/>
      <c r="Z691" s="132" t="str">
        <f ca="1">IFERROR(__xludf.DUMMYFUNCTION("""COMPUTED_VALUE"""),"626037")</f>
        <v>626037</v>
      </c>
      <c r="AA691" s="4" t="str">
        <f ca="1">IFERROR(__xludf.DUMMYFUNCTION("""COMPUTED_VALUE"""),"Iniciativa en Backlog, en espera de priorización")</f>
        <v>Iniciativa en Backlog, en espera de priorización</v>
      </c>
      <c r="AB691" s="4" t="str">
        <f ca="1">IFERROR(__xludf.DUMMYFUNCTION("""COMPUTED_VALUE"""),"Iniciativa en Backlog, en espera de priorización")</f>
        <v>Iniciativa en Backlog, en espera de priorización</v>
      </c>
      <c r="AC691" s="4" t="str">
        <f ca="1">IFERROR(__xludf.DUMMYFUNCTION("""COMPUTED_VALUE"""),"4Q 2023")</f>
        <v>4Q 2023</v>
      </c>
      <c r="AD691" s="4"/>
      <c r="AE691" s="4"/>
      <c r="AF691" s="4"/>
      <c r="AG691" s="4"/>
      <c r="AH691" s="4"/>
      <c r="AI691" s="4"/>
      <c r="AJ691" s="4"/>
      <c r="AK691" s="4" t="str">
        <f ca="1">IFERROR(__xludf.DUMMYFUNCTION("""COMPUTED_VALUE"""),"Sin asignar")</f>
        <v>Sin asignar</v>
      </c>
      <c r="AL691" s="4" t="str">
        <f ca="1">IFERROR(__xludf.DUMMYFUNCTION("""COMPUTED_VALUE"""),"Sin asignar")</f>
        <v>Sin asignar</v>
      </c>
      <c r="AM691" s="4" t="str">
        <f ca="1">IFERROR(__xludf.DUMMYFUNCTION("""COMPUTED_VALUE"""),"Sin prioridad por parte de Sponsor")</f>
        <v>Sin prioridad por parte de Sponsor</v>
      </c>
      <c r="AN691" s="4" t="str">
        <f ca="1">IFERROR(__xludf.DUMMYFUNCTION("""COMPUTED_VALUE"""),"Iniciativa sin priorizar")</f>
        <v>Iniciativa sin priorizar</v>
      </c>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133" t="str">
        <f ca="1">IFERROR(__xludf.DUMMYFUNCTION("""COMPUTED_VALUE"""),"Sin Est.")</f>
        <v>Sin Est.</v>
      </c>
      <c r="DV691" s="133" t="str">
        <f ca="1">IFERROR(__xludf.DUMMYFUNCTION("""COMPUTED_VALUE"""),"Sin Est.")</f>
        <v>Sin Est.</v>
      </c>
      <c r="DW691" s="133" t="str">
        <f ca="1">IFERROR(__xludf.DUMMYFUNCTION("""COMPUTED_VALUE"""),"Sin Est.")</f>
        <v>Sin Est.</v>
      </c>
      <c r="DX691" s="133" t="str">
        <f ca="1">IFERROR(__xludf.DUMMYFUNCTION("""COMPUTED_VALUE"""),"Sin Est.")</f>
        <v>Sin Est.</v>
      </c>
      <c r="DY691" s="133" t="str">
        <f ca="1">IFERROR(__xludf.DUMMYFUNCTION("""COMPUTED_VALUE"""),"Sin Est.")</f>
        <v>Sin Est.</v>
      </c>
      <c r="DZ691" s="4" t="str">
        <f ca="1">IFERROR(__xludf.DUMMYFUNCTION("""COMPUTED_VALUE"""),"#VALUE!")</f>
        <v>#VALUE!</v>
      </c>
      <c r="EA691" s="4"/>
      <c r="EB691" s="4"/>
    </row>
    <row r="692" spans="1:132" x14ac:dyDescent="0.2">
      <c r="A692" s="4">
        <f ca="1">IFERROR(__xludf.DUMMYFUNCTION("""COMPUTED_VALUE"""),692)</f>
        <v>692</v>
      </c>
      <c r="B692" s="4" t="str">
        <f ca="1">IFERROR(__xludf.DUMMYFUNCTION("""COMPUTED_VALUE"""),"Sin prioridad")</f>
        <v>Sin prioridad</v>
      </c>
      <c r="C692" s="4" t="str">
        <f ca="1">IFERROR(__xludf.DUMMYFUNCTION("""COMPUTED_VALUE"""),"SDATOOL-40523")</f>
        <v>SDATOOL-40523</v>
      </c>
      <c r="D692" s="4" t="str">
        <f ca="1">IFERROR(__xludf.DUMMYFUNCTION("""COMPUTED_VALUE"""),"Ajuste en los extractos para que lleguen a los clientes que no tienen net cash")</f>
        <v>Ajuste en los extractos para que lleguen a los clientes que no tienen net cash</v>
      </c>
      <c r="E692" s="4" t="str">
        <f ca="1">IFERROR(__xludf.DUMMYFUNCTION("""COMPUTED_VALUE"""),"Auditoria: ajuste en los extractos para que lleguen a los clientes que no tengan net cash (Envío de archivos de conciliación por correo) Realizar un desarrollo que permita que los extractos de adquirencia (ADQ, Archivos de conciliación) lleguen a clientes"&amp;" que no tienen Netcash contratado, vía correo electrónico, esto con el fin de dar la misma oferta de valor a todos nuestros clientes PNN y PJ.")</f>
        <v>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v>
      </c>
      <c r="F692" s="4" t="str">
        <f ca="1">IFERROR(__xludf.DUMMYFUNCTION("""COMPUTED_VALUE"""),"Initiative")</f>
        <v>Initiative</v>
      </c>
      <c r="G692" s="4" t="str">
        <f ca="1">IFERROR(__xludf.DUMMYFUNCTION("""COMPUTED_VALUE"""),"Flow")</f>
        <v>Flow</v>
      </c>
      <c r="H692" s="4" t="str">
        <f ca="1">IFERROR(__xludf.DUMMYFUNCTION("""COMPUTED_VALUE"""),"2Q 2023")</f>
        <v>2Q 2023</v>
      </c>
      <c r="I692" s="131" t="str">
        <f ca="1">IFERROR(__xludf.DUMMYFUNCTION("""COMPUTED_VALUE"""),"alirio.bermudez-bbva.com")</f>
        <v>alirio.bermudez-bbva.com</v>
      </c>
      <c r="J692" s="4"/>
      <c r="K692" s="131" t="str">
        <f ca="1">IFERROR(__xludf.DUMMYFUNCTION("""COMPUTED_VALUE"""),"nathaliamaria.torres-bbva.com")</f>
        <v>nathaliamaria.torres-bbva.com</v>
      </c>
      <c r="L692" s="130">
        <f ca="1">IFERROR(__xludf.DUMMYFUNCTION("""COMPUTED_VALUE"""),0)</f>
        <v>0</v>
      </c>
      <c r="M692" s="130">
        <f ca="1">IFERROR(__xludf.DUMMYFUNCTION("""COMPUTED_VALUE"""),0)</f>
        <v>0</v>
      </c>
      <c r="N692" s="130">
        <f ca="1">IFERROR(__xludf.DUMMYFUNCTION("""COMPUTED_VALUE"""),0)</f>
        <v>0</v>
      </c>
      <c r="O692" s="4" t="str">
        <f ca="1">IFERROR(__xludf.DUMMYFUNCTION("""COMPUTED_VALUE"""),"TBD")</f>
        <v>TBD</v>
      </c>
      <c r="P692" s="4" t="str">
        <f ca="1">IFERROR(__xludf.DUMMYFUNCTION("""COMPUTED_VALUE"""),"TBD")</f>
        <v>TBD</v>
      </c>
      <c r="Q692" s="4"/>
      <c r="R692" s="4"/>
      <c r="S692" s="4"/>
      <c r="T692" s="130" t="str">
        <f ca="1">IFERROR(__xludf.DUMMYFUNCTION("""COMPUTED_VALUE"""),"1. Generación de Ingresos")</f>
        <v>1. Generación de Ingresos</v>
      </c>
      <c r="U692" s="130" t="str">
        <f ca="1">IFERROR(__xludf.DUMMYFUNCTION("""COMPUTED_VALUE"""),"1.2. Proyectos de Consumo")</f>
        <v>1.2. Proyectos de Consumo</v>
      </c>
      <c r="V692" s="4" t="str">
        <f ca="1">IFERROR(__xludf.DUMMYFUNCTION("""COMPUTED_VALUE"""),"Otros")</f>
        <v>Otros</v>
      </c>
      <c r="W692" s="4">
        <f ca="1">IFERROR(__xludf.DUMMYFUNCTION("""COMPUTED_VALUE"""),3)</f>
        <v>3</v>
      </c>
      <c r="X692" s="4" t="str">
        <f ca="1">IFERROR(__xludf.DUMMYFUNCTION("""COMPUTED_VALUE"""),"10. Otros")</f>
        <v>10. Otros</v>
      </c>
      <c r="Y692" s="4"/>
      <c r="Z692" s="132" t="str">
        <f ca="1">IFERROR(__xludf.DUMMYFUNCTION("""COMPUTED_VALUE"""),"626038")</f>
        <v>626038</v>
      </c>
      <c r="AA692" s="4" t="str">
        <f ca="1">IFERROR(__xludf.DUMMYFUNCTION("""COMPUTED_VALUE"""),"Iniciativa en Backlog, en espera de priorización")</f>
        <v>Iniciativa en Backlog, en espera de priorización</v>
      </c>
      <c r="AB692" s="4" t="str">
        <f ca="1">IFERROR(__xludf.DUMMYFUNCTION("""COMPUTED_VALUE"""),"Iniciativa en Backlog, en espera de priorización")</f>
        <v>Iniciativa en Backlog, en espera de priorización</v>
      </c>
      <c r="AC692" s="4" t="str">
        <f ca="1">IFERROR(__xludf.DUMMYFUNCTION("""COMPUTED_VALUE"""),"4Q 2023")</f>
        <v>4Q 2023</v>
      </c>
      <c r="AD692" s="4"/>
      <c r="AE692" s="4"/>
      <c r="AF692" s="4"/>
      <c r="AG692" s="4"/>
      <c r="AH692" s="4"/>
      <c r="AI692" s="4"/>
      <c r="AJ692" s="4"/>
      <c r="AK692" s="4" t="str">
        <f ca="1">IFERROR(__xludf.DUMMYFUNCTION("""COMPUTED_VALUE"""),"Sin asignar")</f>
        <v>Sin asignar</v>
      </c>
      <c r="AL692" s="4" t="str">
        <f ca="1">IFERROR(__xludf.DUMMYFUNCTION("""COMPUTED_VALUE"""),"Sin asignar")</f>
        <v>Sin asignar</v>
      </c>
      <c r="AM692" s="4" t="str">
        <f ca="1">IFERROR(__xludf.DUMMYFUNCTION("""COMPUTED_VALUE"""),"Sin prioridad por parte de Sponsor")</f>
        <v>Sin prioridad por parte de Sponsor</v>
      </c>
      <c r="AN692" s="4" t="str">
        <f ca="1">IFERROR(__xludf.DUMMYFUNCTION("""COMPUTED_VALUE"""),"Iniciativa sin priorizar")</f>
        <v>Iniciativa sin priorizar</v>
      </c>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133" t="str">
        <f ca="1">IFERROR(__xludf.DUMMYFUNCTION("""COMPUTED_VALUE"""),"Sin Est.")</f>
        <v>Sin Est.</v>
      </c>
      <c r="DV692" s="133" t="str">
        <f ca="1">IFERROR(__xludf.DUMMYFUNCTION("""COMPUTED_VALUE"""),"Sin Est.")</f>
        <v>Sin Est.</v>
      </c>
      <c r="DW692" s="133" t="str">
        <f ca="1">IFERROR(__xludf.DUMMYFUNCTION("""COMPUTED_VALUE"""),"Sin Est.")</f>
        <v>Sin Est.</v>
      </c>
      <c r="DX692" s="133" t="str">
        <f ca="1">IFERROR(__xludf.DUMMYFUNCTION("""COMPUTED_VALUE"""),"Sin Est.")</f>
        <v>Sin Est.</v>
      </c>
      <c r="DY692" s="133" t="str">
        <f ca="1">IFERROR(__xludf.DUMMYFUNCTION("""COMPUTED_VALUE"""),"Sin Est.")</f>
        <v>Sin Est.</v>
      </c>
      <c r="DZ692" s="4" t="str">
        <f ca="1">IFERROR(__xludf.DUMMYFUNCTION("""COMPUTED_VALUE"""),"#VALUE!")</f>
        <v>#VALUE!</v>
      </c>
      <c r="EA692" s="4"/>
      <c r="EB692" s="4"/>
    </row>
    <row r="693" spans="1:132" x14ac:dyDescent="0.2">
      <c r="A693" s="4">
        <f ca="1">IFERROR(__xludf.DUMMYFUNCTION("""COMPUTED_VALUE"""),693)</f>
        <v>693</v>
      </c>
      <c r="B693" s="4" t="str">
        <f ca="1">IFERROR(__xludf.DUMMYFUNCTION("""COMPUTED_VALUE"""),"Sin prioridad")</f>
        <v>Sin prioridad</v>
      </c>
      <c r="C693" s="4" t="str">
        <f ca="1">IFERROR(__xludf.DUMMYFUNCTION("""COMPUTED_VALUE"""),"SDATOOL-41723")</f>
        <v>SDATOOL-41723</v>
      </c>
      <c r="D693" s="4" t="str">
        <f ca="1">IFERROR(__xludf.DUMMYFUNCTION("""COMPUTED_VALUE"""),"Herramienta exchange consulta buzón de endosos")</f>
        <v>Herramienta exchange consulta buzón de endosos</v>
      </c>
      <c r="E693" s="4" t="str">
        <f ca="1">IFERROR(__xludf.DUMMYFUNCTION("""COMPUTED_VALUE"""),"Diseño de una herramienta que acceda al buzón de endosos para atender PQRS, que se reciben en el área de Bancaseguros.")</f>
        <v>Diseño de una herramienta que acceda al buzón de endosos para atender PQRS, que se reciben en el área de Bancaseguros.</v>
      </c>
      <c r="F693" s="4" t="str">
        <f ca="1">IFERROR(__xludf.DUMMYFUNCTION("""COMPUTED_VALUE"""),"Initiative")</f>
        <v>Initiative</v>
      </c>
      <c r="G693" s="4" t="str">
        <f ca="1">IFERROR(__xludf.DUMMYFUNCTION("""COMPUTED_VALUE"""),"Flow")</f>
        <v>Flow</v>
      </c>
      <c r="H693" s="4" t="str">
        <f ca="1">IFERROR(__xludf.DUMMYFUNCTION("""COMPUTED_VALUE"""),"4Q 2023")</f>
        <v>4Q 2023</v>
      </c>
      <c r="I693" s="4"/>
      <c r="J693" s="131" t="str">
        <f ca="1">IFERROR(__xludf.DUMMYFUNCTION("""COMPUTED_VALUE"""),"nicolas.galindo-bbva.com")</f>
        <v>nicolas.galindo-bbva.com</v>
      </c>
      <c r="K693" s="131" t="str">
        <f ca="1">IFERROR(__xludf.DUMMYFUNCTION("""COMPUTED_VALUE"""),"paulocesar.sastoque-bbva.com")</f>
        <v>paulocesar.sastoque-bbva.com</v>
      </c>
      <c r="L693" s="130">
        <f ca="1">IFERROR(__xludf.DUMMYFUNCTION("""COMPUTED_VALUE"""),0)</f>
        <v>0</v>
      </c>
      <c r="M693" s="130">
        <f ca="1">IFERROR(__xludf.DUMMYFUNCTION("""COMPUTED_VALUE"""),0)</f>
        <v>0</v>
      </c>
      <c r="N693" s="130">
        <f ca="1">IFERROR(__xludf.DUMMYFUNCTION("""COMPUTED_VALUE"""),0)</f>
        <v>0</v>
      </c>
      <c r="O693" s="4" t="str">
        <f ca="1">IFERROR(__xludf.DUMMYFUNCTION("""COMPUTED_VALUE"""),"TBD")</f>
        <v>TBD</v>
      </c>
      <c r="P693" s="4" t="str">
        <f ca="1">IFERROR(__xludf.DUMMYFUNCTION("""COMPUTED_VALUE"""),"TBD")</f>
        <v>TBD</v>
      </c>
      <c r="Q693" s="4"/>
      <c r="R693" s="4"/>
      <c r="S693" s="4"/>
      <c r="T693" s="130" t="str">
        <f ca="1">IFERROR(__xludf.DUMMYFUNCTION("""COMPUTED_VALUE"""),"1. Generación de Ingresos")</f>
        <v>1. Generación de Ingresos</v>
      </c>
      <c r="U693" s="130" t="str">
        <f ca="1">IFERROR(__xludf.DUMMYFUNCTION("""COMPUTED_VALUE"""),"1.5. Otros de Proyectos de Ingresos")</f>
        <v>1.5. Otros de Proyectos de Ingresos</v>
      </c>
      <c r="V693" s="4" t="str">
        <f ca="1">IFERROR(__xludf.DUMMYFUNCTION("""COMPUTED_VALUE"""),"Seguros")</f>
        <v>Seguros</v>
      </c>
      <c r="W693" s="4">
        <f ca="1">IFERROR(__xludf.DUMMYFUNCTION("""COMPUTED_VALUE"""),2)</f>
        <v>2</v>
      </c>
      <c r="X693" s="4" t="str">
        <f ca="1">IFERROR(__xludf.DUMMYFUNCTION("""COMPUTED_VALUE"""),"10. Otros")</f>
        <v>10. Otros</v>
      </c>
      <c r="Y693" s="4"/>
      <c r="Z693" s="132" t="str">
        <f ca="1">IFERROR(__xludf.DUMMYFUNCTION("""COMPUTED_VALUE"""),"625851")</f>
        <v>625851</v>
      </c>
      <c r="AA693" s="4" t="str">
        <f ca="1">IFERROR(__xludf.DUMMYFUNCTION("""COMPUTED_VALUE"""),"Herramienta de consulta exchange")</f>
        <v>Herramienta de consulta exchange</v>
      </c>
      <c r="AB693" s="4" t="str">
        <f ca="1">IFERROR(__xludf.DUMMYFUNCTION("""COMPUTED_VALUE"""),"creación de una herramienta para la consulta de correos recibidos y enviados de la cuenta endosodeudores@bbva.com.co, con el fin de garantizar que ningún usuario final puede acceder a la cuenta directamente.")</f>
        <v>creación de una herramienta para la consulta de correos recibidos y enviados de la cuenta endosodeudores@bbva.com.co, con el fin de garantizar que ningún usuario final puede acceder a la cuenta directamente.</v>
      </c>
      <c r="AC693" s="4" t="str">
        <f ca="1">IFERROR(__xludf.DUMMYFUNCTION("""COMPUTED_VALUE"""),"4Q 2023")</f>
        <v>4Q 2023</v>
      </c>
      <c r="AD693" s="4"/>
      <c r="AE693" s="4"/>
      <c r="AF693" s="4"/>
      <c r="AG693" s="4"/>
      <c r="AH693" s="4"/>
      <c r="AI693" s="4"/>
      <c r="AJ693" s="4"/>
      <c r="AK693" s="4" t="str">
        <f ca="1">IFERROR(__xludf.DUMMYFUNCTION("""COMPUTED_VALUE"""),"Sin asignar")</f>
        <v>Sin asignar</v>
      </c>
      <c r="AL693" s="4" t="str">
        <f ca="1">IFERROR(__xludf.DUMMYFUNCTION("""COMPUTED_VALUE"""),"Sin asignar")</f>
        <v>Sin asignar</v>
      </c>
      <c r="AM693" s="4" t="str">
        <f ca="1">IFERROR(__xludf.DUMMYFUNCTION("""COMPUTED_VALUE"""),"Sin prioridad por parte de Sponsor")</f>
        <v>Sin prioridad por parte de Sponsor</v>
      </c>
      <c r="AN693" s="4" t="str">
        <f ca="1">IFERROR(__xludf.DUMMYFUNCTION("""COMPUTED_VALUE"""),"Iniciativa sin priorizar")</f>
        <v>Iniciativa sin priorizar</v>
      </c>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133" t="str">
        <f ca="1">IFERROR(__xludf.DUMMYFUNCTION("""COMPUTED_VALUE"""),"Sin Est.")</f>
        <v>Sin Est.</v>
      </c>
      <c r="DV693" s="133" t="str">
        <f ca="1">IFERROR(__xludf.DUMMYFUNCTION("""COMPUTED_VALUE"""),"Sin Est.")</f>
        <v>Sin Est.</v>
      </c>
      <c r="DW693" s="133" t="str">
        <f ca="1">IFERROR(__xludf.DUMMYFUNCTION("""COMPUTED_VALUE"""),"Sin Est.")</f>
        <v>Sin Est.</v>
      </c>
      <c r="DX693" s="133" t="str">
        <f ca="1">IFERROR(__xludf.DUMMYFUNCTION("""COMPUTED_VALUE"""),"Sin Est.")</f>
        <v>Sin Est.</v>
      </c>
      <c r="DY693" s="133" t="str">
        <f ca="1">IFERROR(__xludf.DUMMYFUNCTION("""COMPUTED_VALUE"""),"Sin Est.")</f>
        <v>Sin Est.</v>
      </c>
      <c r="DZ693" s="4" t="str">
        <f ca="1">IFERROR(__xludf.DUMMYFUNCTION("""COMPUTED_VALUE"""),"#VALUE!")</f>
        <v>#VALUE!</v>
      </c>
      <c r="EA693" s="4"/>
      <c r="EB693" s="4"/>
    </row>
    <row r="694" spans="1:132" x14ac:dyDescent="0.2">
      <c r="A694" s="4">
        <f ca="1">IFERROR(__xludf.DUMMYFUNCTION("""COMPUTED_VALUE"""),694)</f>
        <v>694</v>
      </c>
      <c r="B694" s="4" t="str">
        <f ca="1">IFERROR(__xludf.DUMMYFUNCTION("""COMPUTED_VALUE"""),"Sin prioridad")</f>
        <v>Sin prioridad</v>
      </c>
      <c r="C694" s="4" t="str">
        <f ca="1">IFERROR(__xludf.DUMMYFUNCTION("""COMPUTED_VALUE"""),"SDATOOL-41734")</f>
        <v>SDATOOL-41734</v>
      </c>
      <c r="D694" s="4" t="str">
        <f ca="1">IFERROR(__xludf.DUMMYFUNCTION("""COMPUTED_VALUE"""),"Contratación tarjeta de crédito digital negocios en canal digital retail")</f>
        <v>Contratación tarjeta de crédito digital negocios en canal digital retail</v>
      </c>
      <c r="E694" s="4" t="str">
        <f ca="1">IFERROR(__xludf.DUMMYFUNCTION("""COMPUTED_VALUE"""),"Ofertar la tarjeta de crédito a clientes personas natural con negocio que no tienen contratado el canal netcash.")</f>
        <v>Ofertar la tarjeta de crédito a clientes personas natural con negocio que no tienen contratado el canal netcash.</v>
      </c>
      <c r="F694" s="4" t="str">
        <f ca="1">IFERROR(__xludf.DUMMYFUNCTION("""COMPUTED_VALUE"""),"Initiative")</f>
        <v>Initiative</v>
      </c>
      <c r="G694" s="4" t="str">
        <f ca="1">IFERROR(__xludf.DUMMYFUNCTION("""COMPUTED_VALUE"""),"Flow")</f>
        <v>Flow</v>
      </c>
      <c r="H694" s="4" t="str">
        <f ca="1">IFERROR(__xludf.DUMMYFUNCTION("""COMPUTED_VALUE"""),"3Q 2023")</f>
        <v>3Q 2023</v>
      </c>
      <c r="I694" s="4"/>
      <c r="J694" s="4"/>
      <c r="K694" s="131" t="str">
        <f ca="1">IFERROR(__xludf.DUMMYFUNCTION("""COMPUTED_VALUE"""),"andresfelipe.granados-bbva.com")</f>
        <v>andresfelipe.granados-bbva.com</v>
      </c>
      <c r="L694" s="130">
        <f ca="1">IFERROR(__xludf.DUMMYFUNCTION("""COMPUTED_VALUE"""),0)</f>
        <v>0</v>
      </c>
      <c r="M694" s="130">
        <f ca="1">IFERROR(__xludf.DUMMYFUNCTION("""COMPUTED_VALUE"""),0)</f>
        <v>0</v>
      </c>
      <c r="N694" s="130">
        <f ca="1">IFERROR(__xludf.DUMMYFUNCTION("""COMPUTED_VALUE"""),0)</f>
        <v>0</v>
      </c>
      <c r="O694" s="4" t="str">
        <f ca="1">IFERROR(__xludf.DUMMYFUNCTION("""COMPUTED_VALUE"""),"TBD")</f>
        <v>TBD</v>
      </c>
      <c r="P694" s="4" t="str">
        <f ca="1">IFERROR(__xludf.DUMMYFUNCTION("""COMPUTED_VALUE"""),"TBD")</f>
        <v>TBD</v>
      </c>
      <c r="Q694" s="4"/>
      <c r="R694" s="4"/>
      <c r="S694" s="4"/>
      <c r="T694" s="130" t="str">
        <f ca="1">IFERROR(__xludf.DUMMYFUNCTION("""COMPUTED_VALUE"""),"1. Generación de Ingresos")</f>
        <v>1. Generación de Ingresos</v>
      </c>
      <c r="U694" s="130" t="str">
        <f ca="1">IFERROR(__xludf.DUMMYFUNCTION("""COMPUTED_VALUE"""),"1.2. Proyectos de Consumo")</f>
        <v>1.2. Proyectos de Consumo</v>
      </c>
      <c r="V694" s="4" t="str">
        <f ca="1">IFERROR(__xludf.DUMMYFUNCTION("""COMPUTED_VALUE"""),"TdC")</f>
        <v>TdC</v>
      </c>
      <c r="W694" s="4">
        <f ca="1">IFERROR(__xludf.DUMMYFUNCTION("""COMPUTED_VALUE"""),2)</f>
        <v>2</v>
      </c>
      <c r="X694" s="4" t="str">
        <f ca="1">IFERROR(__xludf.DUMMYFUNCTION("""COMPUTED_VALUE"""),"03. SMEs &amp; Self-employed")</f>
        <v>03. SMEs &amp; Self-employed</v>
      </c>
      <c r="Y694" s="4"/>
      <c r="Z694" s="132" t="str">
        <f ca="1">IFERROR(__xludf.DUMMYFUNCTION("""COMPUTED_VALUE"""),"626023")</f>
        <v>626023</v>
      </c>
      <c r="AA694" s="4" t="str">
        <f ca="1">IFERROR(__xludf.DUMMYFUNCTION("""COMPUTED_VALUE"""),"Iniciativa en Backlog, en espera de priorización")</f>
        <v>Iniciativa en Backlog, en espera de priorización</v>
      </c>
      <c r="AB694" s="4" t="str">
        <f ca="1">IFERROR(__xludf.DUMMYFUNCTION("""COMPUTED_VALUE"""),"Iniciativa en Backlog, en espera de priorización")</f>
        <v>Iniciativa en Backlog, en espera de priorización</v>
      </c>
      <c r="AC694" s="4" t="str">
        <f ca="1">IFERROR(__xludf.DUMMYFUNCTION("""COMPUTED_VALUE"""),"4Q 2023")</f>
        <v>4Q 2023</v>
      </c>
      <c r="AD694" s="4"/>
      <c r="AE694" s="4"/>
      <c r="AF694" s="4"/>
      <c r="AG694" s="4"/>
      <c r="AH694" s="4"/>
      <c r="AI694" s="4"/>
      <c r="AJ694" s="4"/>
      <c r="AK694" s="4" t="str">
        <f ca="1">IFERROR(__xludf.DUMMYFUNCTION("""COMPUTED_VALUE"""),"Sin asignar")</f>
        <v>Sin asignar</v>
      </c>
      <c r="AL694" s="4" t="str">
        <f ca="1">IFERROR(__xludf.DUMMYFUNCTION("""COMPUTED_VALUE"""),"Sin asignar")</f>
        <v>Sin asignar</v>
      </c>
      <c r="AM694" s="4" t="str">
        <f ca="1">IFERROR(__xludf.DUMMYFUNCTION("""COMPUTED_VALUE"""),"Sin prioridad por parte de Sponsor")</f>
        <v>Sin prioridad por parte de Sponsor</v>
      </c>
      <c r="AN694" s="4" t="str">
        <f ca="1">IFERROR(__xludf.DUMMYFUNCTION("""COMPUTED_VALUE"""),"Iniciativa sin priorizar")</f>
        <v>Iniciativa sin priorizar</v>
      </c>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133" t="str">
        <f ca="1">IFERROR(__xludf.DUMMYFUNCTION("""COMPUTED_VALUE"""),"Sin Est.")</f>
        <v>Sin Est.</v>
      </c>
      <c r="DV694" s="133" t="str">
        <f ca="1">IFERROR(__xludf.DUMMYFUNCTION("""COMPUTED_VALUE"""),"Sin Est.")</f>
        <v>Sin Est.</v>
      </c>
      <c r="DW694" s="133" t="str">
        <f ca="1">IFERROR(__xludf.DUMMYFUNCTION("""COMPUTED_VALUE"""),"Sin Est.")</f>
        <v>Sin Est.</v>
      </c>
      <c r="DX694" s="133" t="str">
        <f ca="1">IFERROR(__xludf.DUMMYFUNCTION("""COMPUTED_VALUE"""),"Sin Est.")</f>
        <v>Sin Est.</v>
      </c>
      <c r="DY694" s="133" t="str">
        <f ca="1">IFERROR(__xludf.DUMMYFUNCTION("""COMPUTED_VALUE"""),"Sin Est.")</f>
        <v>Sin Est.</v>
      </c>
      <c r="DZ694" s="4" t="str">
        <f ca="1">IFERROR(__xludf.DUMMYFUNCTION("""COMPUTED_VALUE"""),"#VALUE!")</f>
        <v>#VALUE!</v>
      </c>
      <c r="EA694" s="4"/>
      <c r="EB694" s="4"/>
    </row>
    <row r="695" spans="1:132" x14ac:dyDescent="0.2">
      <c r="A695" s="4">
        <f ca="1">IFERROR(__xludf.DUMMYFUNCTION("""COMPUTED_VALUE"""),695)</f>
        <v>695</v>
      </c>
      <c r="B695" s="4" t="str">
        <f ca="1">IFERROR(__xludf.DUMMYFUNCTION("""COMPUTED_VALUE"""),"Sin prioridad")</f>
        <v>Sin prioridad</v>
      </c>
      <c r="C695" s="4" t="str">
        <f ca="1">IFERROR(__xludf.DUMMYFUNCTION("""COMPUTED_VALUE"""),"SDATOOL-42369")</f>
        <v>SDATOOL-42369</v>
      </c>
      <c r="D695" s="4" t="str">
        <f ca="1">IFERROR(__xludf.DUMMYFUNCTION("""COMPUTED_VALUE"""),"Líneas Factoring (Mejoras y Alcances)")</f>
        <v>Líneas Factoring (Mejoras y Alcances)</v>
      </c>
      <c r="E695" s="4" t="str">
        <f ca="1">IFERROR(__xludf.DUMMYFUNCTION("""COMPUTED_VALUE"""),"Mantenimientos y/o ajustes mínimos a proyectos del mundo factoring que surjan luego de implementada la funcionalidad y que requieren un sda soporte para la posterior subida a producción. 
Esta SDA no tendrá presupuesto ya que los desarrollos serán elabora"&amp;"dos por equipo interno.
NO es el circuito de incidencias, estas deberán cursar el flujo establecido para las mismas.")</f>
        <v>Mantenimientos y/o ajustes mínimos a proyectos del mundo factoring que surjan luego de implementada la funcionalidad y que requieren un sda soporte para la posterior subida a producción. 
Esta SDA no tendrá presupuesto ya que los desarrollos serán elaborados por equipo interno.
NO es el circuito de incidencias, estas deberán cursar el flujo establecido para las mismas.</v>
      </c>
      <c r="F695" s="4" t="str">
        <f ca="1">IFERROR(__xludf.DUMMYFUNCTION("""COMPUTED_VALUE"""),"Project")</f>
        <v>Project</v>
      </c>
      <c r="G695" s="4" t="str">
        <f ca="1">IFERROR(__xludf.DUMMYFUNCTION("""COMPUTED_VALUE"""),"Flow")</f>
        <v>Flow</v>
      </c>
      <c r="H695" s="4" t="str">
        <f ca="1">IFERROR(__xludf.DUMMYFUNCTION("""COMPUTED_VALUE"""),"4Q 2023")</f>
        <v>4Q 2023</v>
      </c>
      <c r="I695" s="131" t="str">
        <f ca="1">IFERROR(__xludf.DUMMYFUNCTION("""COMPUTED_VALUE"""),"nathiahayosara.amado-bbva.com")</f>
        <v>nathiahayosara.amado-bbva.com</v>
      </c>
      <c r="J695" s="131" t="str">
        <f ca="1">IFERROR(__xludf.DUMMYFUNCTION("""COMPUTED_VALUE"""),"clara.mora-bbva.com")</f>
        <v>clara.mora-bbva.com</v>
      </c>
      <c r="K695" s="131" t="str">
        <f ca="1">IFERROR(__xludf.DUMMYFUNCTION("""COMPUTED_VALUE"""),"ivan_dario.ariza-bbva.com")</f>
        <v>ivan_dario.ariza-bbva.com</v>
      </c>
      <c r="L695" s="130">
        <f ca="1">IFERROR(__xludf.DUMMYFUNCTION("""COMPUTED_VALUE"""),0)</f>
        <v>0</v>
      </c>
      <c r="M695" s="130">
        <f ca="1">IFERROR(__xludf.DUMMYFUNCTION("""COMPUTED_VALUE"""),0)</f>
        <v>0</v>
      </c>
      <c r="N695" s="130">
        <f ca="1">IFERROR(__xludf.DUMMYFUNCTION("""COMPUTED_VALUE"""),0)</f>
        <v>0</v>
      </c>
      <c r="O695" s="4" t="str">
        <f ca="1">IFERROR(__xludf.DUMMYFUNCTION("""COMPUTED_VALUE"""),"TBD")</f>
        <v>TBD</v>
      </c>
      <c r="P695" s="4" t="str">
        <f ca="1">IFERROR(__xludf.DUMMYFUNCTION("""COMPUTED_VALUE"""),"TBD")</f>
        <v>TBD</v>
      </c>
      <c r="Q695" s="4"/>
      <c r="R695" s="4"/>
      <c r="S695" s="4"/>
      <c r="T695" s="4"/>
      <c r="U695" s="4"/>
      <c r="V695" s="4"/>
      <c r="W695" s="4"/>
      <c r="X695" s="4"/>
      <c r="Y695" s="4"/>
      <c r="Z695" s="132" t="str">
        <f ca="1">IFERROR(__xludf.DUMMYFUNCTION("""COMPUTED_VALUE"""),"712856")</f>
        <v>712856</v>
      </c>
      <c r="AA695" s="4" t="str">
        <f ca="1">IFERROR(__xludf.DUMMYFUNCTION("""COMPUTED_VALUE"""),"Mejoras Host -  Deudas técnicas,  alcances y mejoras frente a incidencias")</f>
        <v>Mejoras Host -  Deudas técnicas,  alcances y mejoras frente a incidencias</v>
      </c>
      <c r="AB695" s="4" t="str">
        <f ca="1">IFERROR(__xludf.DUMMYFUNCTION("""COMPUTED_VALUE"""),"- Realizar mejoras que se detectan frente a incidencias en host
- Realizar mejoras a procesos de ejecución del sistema en host: alertas, consulta de trazabilidad, estados según traza.
- Desarrollo de líderes técnicos banco y sin requerimiento de presupu"&amp;"esto")</f>
        <v>- Realizar mejoras que se detectan frente a incidencias en host
- Realizar mejoras a procesos de ejecución del sistema en host: alertas, consulta de trazabilidad, estados según traza.
- Desarrollo de líderes técnicos banco y sin requerimiento de presupuesto</v>
      </c>
      <c r="AC695" s="4" t="str">
        <f ca="1">IFERROR(__xludf.DUMMYFUNCTION("""COMPUTED_VALUE"""),"2Q 2023")</f>
        <v>2Q 2023</v>
      </c>
      <c r="AD695" s="4"/>
      <c r="AE695" s="4"/>
      <c r="AF695" s="4"/>
      <c r="AG695" s="4"/>
      <c r="AH695" s="4"/>
      <c r="AI695" s="4"/>
      <c r="AJ695" s="4"/>
      <c r="AK695" s="131" t="str">
        <f ca="1">IFERROR(__xludf.DUMMYFUNCTION("""COMPUTED_VALUE"""),"COLWSPREST-10270")</f>
        <v>COLWSPREST-10270</v>
      </c>
      <c r="AL695" s="4" t="str">
        <f ca="1">IFERROR(__xludf.DUMMYFUNCTION("""COMPUTED_VALUE"""),"Blocked")</f>
        <v>Blocked</v>
      </c>
      <c r="AM695" s="4" t="str">
        <f ca="1">IFERROR(__xludf.DUMMYFUNCTION("""COMPUTED_VALUE"""),"Sin prioridad por parte de Sponsor")</f>
        <v>Sin prioridad por parte de Sponsor</v>
      </c>
      <c r="AN695" s="4" t="str">
        <f ca="1">IFERROR(__xludf.DUMMYFUNCTION("""COMPUTED_VALUE"""),"Iniciativa sin priorizar")</f>
        <v>Iniciativa sin priorizar</v>
      </c>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133" t="str">
        <f ca="1">IFERROR(__xludf.DUMMYFUNCTION("""COMPUTED_VALUE"""),"Sin Est.")</f>
        <v>Sin Est.</v>
      </c>
      <c r="DV695" s="133" t="str">
        <f ca="1">IFERROR(__xludf.DUMMYFUNCTION("""COMPUTED_VALUE"""),"Sin Est.")</f>
        <v>Sin Est.</v>
      </c>
      <c r="DW695" s="133" t="str">
        <f ca="1">IFERROR(__xludf.DUMMYFUNCTION("""COMPUTED_VALUE"""),"Sin Est.")</f>
        <v>Sin Est.</v>
      </c>
      <c r="DX695" s="133" t="str">
        <f ca="1">IFERROR(__xludf.DUMMYFUNCTION("""COMPUTED_VALUE"""),"Sin Est.")</f>
        <v>Sin Est.</v>
      </c>
      <c r="DY695" s="133" t="str">
        <f ca="1">IFERROR(__xludf.DUMMYFUNCTION("""COMPUTED_VALUE"""),"Sin Est.")</f>
        <v>Sin Est.</v>
      </c>
      <c r="DZ695" s="4" t="str">
        <f ca="1">IFERROR(__xludf.DUMMYFUNCTION("""COMPUTED_VALUE"""),"#VALUE!")</f>
        <v>#VALUE!</v>
      </c>
      <c r="EA695" s="4"/>
      <c r="EB695" s="4"/>
    </row>
    <row r="696" spans="1:132" x14ac:dyDescent="0.2">
      <c r="A696" s="4">
        <f ca="1">IFERROR(__xludf.DUMMYFUNCTION("""COMPUTED_VALUE"""),696)</f>
        <v>696</v>
      </c>
      <c r="B696" s="4" t="str">
        <f ca="1">IFERROR(__xludf.DUMMYFUNCTION("""COMPUTED_VALUE"""),"Sin prioridad")</f>
        <v>Sin prioridad</v>
      </c>
      <c r="C696" s="4" t="str">
        <f ca="1">IFERROR(__xludf.DUMMYFUNCTION("""COMPUTED_VALUE"""),"SDATOOL-42371")</f>
        <v>SDATOOL-42371</v>
      </c>
      <c r="D696" s="4" t="str">
        <f ca="1">IFERROR(__xludf.DUMMYFUNCTION("""COMPUTED_VALUE"""),"BBVA Valores en Canales Net/Net Cash - Extractos")</f>
        <v>BBVA Valores en Canales Net/Net Cash - Extractos</v>
      </c>
      <c r="E696" s="4" t="str">
        <f ca="1">IFERROR(__xludf.DUMMYFUNCTION("""COMPUTED_VALUE"""),"Brindar a los clientes de Net y Net cash con inversiones en BBVA Valores la posibilidad de visualizar su extractos a través del flujo de comisionista de Bolsa.")</f>
        <v>Brindar a los clientes de Net y Net cash con inversiones en BBVA Valores la posibilidad de visualizar su extractos a través del flujo de comisionista de Bolsa.</v>
      </c>
      <c r="F696" s="4" t="str">
        <f ca="1">IFERROR(__xludf.DUMMYFUNCTION("""COMPUTED_VALUE"""),"Initiative")</f>
        <v>Initiative</v>
      </c>
      <c r="G696" s="4" t="str">
        <f ca="1">IFERROR(__xludf.DUMMYFUNCTION("""COMPUTED_VALUE"""),"Flow")</f>
        <v>Flow</v>
      </c>
      <c r="H696" s="4" t="str">
        <f ca="1">IFERROR(__xludf.DUMMYFUNCTION("""COMPUTED_VALUE"""),"2Q 2023")</f>
        <v>2Q 2023</v>
      </c>
      <c r="I696" s="131" t="str">
        <f ca="1">IFERROR(__xludf.DUMMYFUNCTION("""COMPUTED_VALUE"""),"mariavictoria.gonzalez.fajard-bbva.com")</f>
        <v>mariavictoria.gonzalez.fajard-bbva.com</v>
      </c>
      <c r="J696" s="131" t="str">
        <f ca="1">IFERROR(__xludf.DUMMYFUNCTION("""COMPUTED_VALUE"""),"oscardavid.rico-bbva.com")</f>
        <v>oscardavid.rico-bbva.com</v>
      </c>
      <c r="K696" s="131" t="str">
        <f ca="1">IFERROR(__xludf.DUMMYFUNCTION("""COMPUTED_VALUE"""),"hugoalberto.abreo-bbva.com")</f>
        <v>hugoalberto.abreo-bbva.com</v>
      </c>
      <c r="L696" s="130">
        <f ca="1">IFERROR(__xludf.DUMMYFUNCTION("""COMPUTED_VALUE"""),0)</f>
        <v>0</v>
      </c>
      <c r="M696" s="130">
        <f ca="1">IFERROR(__xludf.DUMMYFUNCTION("""COMPUTED_VALUE"""),0)</f>
        <v>0</v>
      </c>
      <c r="N696" s="130">
        <f ca="1">IFERROR(__xludf.DUMMYFUNCTION("""COMPUTED_VALUE"""),0)</f>
        <v>0</v>
      </c>
      <c r="O696" s="4" t="str">
        <f ca="1">IFERROR(__xludf.DUMMYFUNCTION("""COMPUTED_VALUE"""),"TBD")</f>
        <v>TBD</v>
      </c>
      <c r="P696" s="4" t="str">
        <f ca="1">IFERROR(__xludf.DUMMYFUNCTION("""COMPUTED_VALUE"""),"TBD")</f>
        <v>TBD</v>
      </c>
      <c r="Q696" s="4"/>
      <c r="R696" s="4"/>
      <c r="S696" s="4"/>
      <c r="T696" s="4"/>
      <c r="U696" s="4"/>
      <c r="V696" s="4"/>
      <c r="W696" s="4"/>
      <c r="X696" s="4"/>
      <c r="Y696" s="4"/>
      <c r="Z696" s="132" t="str">
        <f ca="1">IFERROR(__xludf.DUMMYFUNCTION("""COMPUTED_VALUE"""),"712725")</f>
        <v>712725</v>
      </c>
      <c r="AA696" s="4" t="str">
        <f ca="1">IFERROR(__xludf.DUMMYFUNCTION("""COMPUTED_VALUE"""),"BBVA Valores en Canales Net/Net Cash - Extractos")</f>
        <v>BBVA Valores en Canales Net/Net Cash - Extractos</v>
      </c>
      <c r="AB696" s="4" t="str">
        <f ca="1">IFERROR(__xludf.DUMMYFUNCTION("""COMPUTED_VALUE"""),"Brindar a los clientes de Net y Net cash con inversiones en BBVA Valores la posibilidad de visualizar su extractos a través del flujo de comisionista de Bolsa.")</f>
        <v>Brindar a los clientes de Net y Net cash con inversiones en BBVA Valores la posibilidad de visualizar su extractos a través del flujo de comisionista de Bolsa.</v>
      </c>
      <c r="AC696" s="4" t="str">
        <f ca="1">IFERROR(__xludf.DUMMYFUNCTION("""COMPUTED_VALUE"""),"2Q 2023")</f>
        <v>2Q 2023</v>
      </c>
      <c r="AD696" s="4"/>
      <c r="AE696" s="4"/>
      <c r="AF696" s="4"/>
      <c r="AG696" s="4"/>
      <c r="AH696" s="4"/>
      <c r="AI696" s="4"/>
      <c r="AJ696" s="4"/>
      <c r="AK696" s="131" t="str">
        <f ca="1">IFERROR(__xludf.DUMMYFUNCTION("""COMPUTED_VALUE"""),"COLWSVALOR-194")</f>
        <v>COLWSVALOR-194</v>
      </c>
      <c r="AL696" s="4" t="str">
        <f ca="1">IFERROR(__xludf.DUMMYFUNCTION("""COMPUTED_VALUE"""),"New")</f>
        <v>New</v>
      </c>
      <c r="AM696" s="4" t="str">
        <f ca="1">IFERROR(__xludf.DUMMYFUNCTION("""COMPUTED_VALUE"""),"Sin prioridad por parte de Sponsor")</f>
        <v>Sin prioridad por parte de Sponsor</v>
      </c>
      <c r="AN696" s="4" t="str">
        <f ca="1">IFERROR(__xludf.DUMMYFUNCTION("""COMPUTED_VALUE"""),"Iniciativa sin priorizar")</f>
        <v>Iniciativa sin priorizar</v>
      </c>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133" t="str">
        <f ca="1">IFERROR(__xludf.DUMMYFUNCTION("""COMPUTED_VALUE"""),"Sin Est.")</f>
        <v>Sin Est.</v>
      </c>
      <c r="DV696" s="133" t="str">
        <f ca="1">IFERROR(__xludf.DUMMYFUNCTION("""COMPUTED_VALUE"""),"Sin Est.")</f>
        <v>Sin Est.</v>
      </c>
      <c r="DW696" s="133" t="str">
        <f ca="1">IFERROR(__xludf.DUMMYFUNCTION("""COMPUTED_VALUE"""),"Sin Est.")</f>
        <v>Sin Est.</v>
      </c>
      <c r="DX696" s="133" t="str">
        <f ca="1">IFERROR(__xludf.DUMMYFUNCTION("""COMPUTED_VALUE"""),"Sin Est.")</f>
        <v>Sin Est.</v>
      </c>
      <c r="DY696" s="133" t="str">
        <f ca="1">IFERROR(__xludf.DUMMYFUNCTION("""COMPUTED_VALUE"""),"Sin Est.")</f>
        <v>Sin Est.</v>
      </c>
      <c r="DZ696" s="4" t="str">
        <f ca="1">IFERROR(__xludf.DUMMYFUNCTION("""COMPUTED_VALUE"""),"#VALUE!")</f>
        <v>#VALUE!</v>
      </c>
      <c r="EA696" s="4"/>
      <c r="EB696" s="4"/>
    </row>
    <row r="697" spans="1:132" x14ac:dyDescent="0.2">
      <c r="A697" s="4">
        <f ca="1">IFERROR(__xludf.DUMMYFUNCTION("""COMPUTED_VALUE"""),697)</f>
        <v>697</v>
      </c>
      <c r="B697" s="4" t="str">
        <f ca="1">IFERROR(__xludf.DUMMYFUNCTION("""COMPUTED_VALUE"""),"Sin prioridad")</f>
        <v>Sin prioridad</v>
      </c>
      <c r="C697" s="4" t="str">
        <f ca="1">IFERROR(__xludf.DUMMYFUNCTION("""COMPUTED_VALUE"""),"SDATOOL-42440")</f>
        <v>SDATOOL-42440</v>
      </c>
      <c r="D697" s="4" t="str">
        <f ca="1">IFERROR(__xludf.DUMMYFUNCTION("""COMPUTED_VALUE"""),"Equipamiento Ejecutivos Pyme")</f>
        <v>Equipamiento Ejecutivos Pyme</v>
      </c>
      <c r="E697" s="4" t="str">
        <f ca="1">IFERROR(__xludf.DUMMYFUNCTION("""COMPUTED_VALUE"""),"Dotación de equipos laptops para 143 ejecutivos pyme, dadas las funciones comerciales que requiere el cargo")</f>
        <v>Dotación de equipos laptops para 143 ejecutivos pyme, dadas las funciones comerciales que requiere el cargo</v>
      </c>
      <c r="F697" s="4" t="str">
        <f ca="1">IFERROR(__xludf.DUMMYFUNCTION("""COMPUTED_VALUE"""),"Project")</f>
        <v>Project</v>
      </c>
      <c r="G697" s="4" t="str">
        <f ca="1">IFERROR(__xludf.DUMMYFUNCTION("""COMPUTED_VALUE"""),"Stock")</f>
        <v>Stock</v>
      </c>
      <c r="H697" s="4" t="str">
        <f ca="1">IFERROR(__xludf.DUMMYFUNCTION("""COMPUTED_VALUE"""),"3Q 2023")</f>
        <v>3Q 2023</v>
      </c>
      <c r="I697" s="4"/>
      <c r="J697" s="4"/>
      <c r="K697" s="131" t="str">
        <f ca="1">IFERROR(__xludf.DUMMYFUNCTION("""COMPUTED_VALUE"""),"andres.carrandi-bbva.com")</f>
        <v>andres.carrandi-bbva.com</v>
      </c>
      <c r="L697" s="130">
        <f ca="1">IFERROR(__xludf.DUMMYFUNCTION("""COMPUTED_VALUE"""),0)</f>
        <v>0</v>
      </c>
      <c r="M697" s="130">
        <f ca="1">IFERROR(__xludf.DUMMYFUNCTION("""COMPUTED_VALUE"""),0)</f>
        <v>0</v>
      </c>
      <c r="N697" s="130">
        <f ca="1">IFERROR(__xludf.DUMMYFUNCTION("""COMPUTED_VALUE"""),0)</f>
        <v>0</v>
      </c>
      <c r="O697" s="4" t="str">
        <f ca="1">IFERROR(__xludf.DUMMYFUNCTION("""COMPUTED_VALUE"""),"TBD")</f>
        <v>TBD</v>
      </c>
      <c r="P697" s="4" t="str">
        <f ca="1">IFERROR(__xludf.DUMMYFUNCTION("""COMPUTED_VALUE"""),"TBD")</f>
        <v>TBD</v>
      </c>
      <c r="Q697" s="4"/>
      <c r="R697" s="4"/>
      <c r="S697" s="4"/>
      <c r="T697" s="4"/>
      <c r="U697" s="4"/>
      <c r="V697" s="4"/>
      <c r="W697" s="4"/>
      <c r="X697" s="4"/>
      <c r="Y697" s="4"/>
      <c r="Z697" s="132" t="str">
        <f ca="1">IFERROR(__xludf.DUMMYFUNCTION("""COMPUTED_VALUE"""),"712982")</f>
        <v>712982</v>
      </c>
      <c r="AA697" s="4" t="str">
        <f ca="1">IFERROR(__xludf.DUMMYFUNCTION("""COMPUTED_VALUE"""),"Equipamiento para 66 Ejecutivos Pyme")</f>
        <v>Equipamiento para 66 Ejecutivos Pyme</v>
      </c>
      <c r="AB697" s="4" t="str">
        <f ca="1">IFERROR(__xludf.DUMMYFUNCTION("""COMPUTED_VALUE"""),"Equipamiento para 66 Ejecutivos Pyme")</f>
        <v>Equipamiento para 66 Ejecutivos Pyme</v>
      </c>
      <c r="AC697" s="4" t="str">
        <f ca="1">IFERROR(__xludf.DUMMYFUNCTION("""COMPUTED_VALUE"""),"3Q 2023")</f>
        <v>3Q 2023</v>
      </c>
      <c r="AD697" s="4"/>
      <c r="AE697" s="4"/>
      <c r="AF697" s="4"/>
      <c r="AG697" s="4"/>
      <c r="AH697" s="4"/>
      <c r="AI697" s="4"/>
      <c r="AJ697" s="4"/>
      <c r="AK697" s="4" t="str">
        <f ca="1">IFERROR(__xludf.DUMMYFUNCTION("""COMPUTED_VALUE"""),"Sin asignar")</f>
        <v>Sin asignar</v>
      </c>
      <c r="AL697" s="4" t="str">
        <f ca="1">IFERROR(__xludf.DUMMYFUNCTION("""COMPUTED_VALUE"""),"Sin asignar")</f>
        <v>Sin asignar</v>
      </c>
      <c r="AM697" s="4" t="str">
        <f ca="1">IFERROR(__xludf.DUMMYFUNCTION("""COMPUTED_VALUE"""),"Sin prioridad por parte de Sponsor")</f>
        <v>Sin prioridad por parte de Sponsor</v>
      </c>
      <c r="AN697" s="4" t="str">
        <f ca="1">IFERROR(__xludf.DUMMYFUNCTION("""COMPUTED_VALUE"""),"Iniciativa sin priorizar")</f>
        <v>Iniciativa sin priorizar</v>
      </c>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133" t="str">
        <f ca="1">IFERROR(__xludf.DUMMYFUNCTION("""COMPUTED_VALUE"""),"Sin Est.")</f>
        <v>Sin Est.</v>
      </c>
      <c r="DV697" s="133" t="str">
        <f ca="1">IFERROR(__xludf.DUMMYFUNCTION("""COMPUTED_VALUE"""),"Sin Est.")</f>
        <v>Sin Est.</v>
      </c>
      <c r="DW697" s="133" t="str">
        <f ca="1">IFERROR(__xludf.DUMMYFUNCTION("""COMPUTED_VALUE"""),"Sin Est.")</f>
        <v>Sin Est.</v>
      </c>
      <c r="DX697" s="133" t="str">
        <f ca="1">IFERROR(__xludf.DUMMYFUNCTION("""COMPUTED_VALUE"""),"Sin Est.")</f>
        <v>Sin Est.</v>
      </c>
      <c r="DY697" s="133" t="str">
        <f ca="1">IFERROR(__xludf.DUMMYFUNCTION("""COMPUTED_VALUE"""),"Sin Est.")</f>
        <v>Sin Est.</v>
      </c>
      <c r="DZ697" s="4" t="str">
        <f ca="1">IFERROR(__xludf.DUMMYFUNCTION("""COMPUTED_VALUE"""),"#VALUE!")</f>
        <v>#VALUE!</v>
      </c>
      <c r="EA697" s="4"/>
      <c r="EB697" s="4"/>
    </row>
    <row r="698" spans="1:132" x14ac:dyDescent="0.2">
      <c r="A698" s="4">
        <f ca="1">IFERROR(__xludf.DUMMYFUNCTION("""COMPUTED_VALUE"""),698)</f>
        <v>698</v>
      </c>
      <c r="B698" s="4" t="str">
        <f ca="1">IFERROR(__xludf.DUMMYFUNCTION("""COMPUTED_VALUE"""),"Sin prioridad")</f>
        <v>Sin prioridad</v>
      </c>
      <c r="C698" s="4" t="str">
        <f ca="1">IFERROR(__xludf.DUMMYFUNCTION("""COMPUTED_VALUE"""),"SDATOOL-42322")</f>
        <v>SDATOOL-42322</v>
      </c>
      <c r="D698" s="4" t="str">
        <f ca="1">IFERROR(__xludf.DUMMYFUNCTION("""COMPUTED_VALUE"""),"Reconfiguración BIN TdC Marca Compartida ARA - BBVA")</f>
        <v>Reconfiguración BIN TdC Marca Compartida ARA - BBVA</v>
      </c>
      <c r="E698" s="4" t="str">
        <f ca="1">IFERROR(__xludf.DUMMYFUNCTION("""COMPUTED_VALUE"""),"Reconfiguración del BIN 454100  existente en el Banco para que sea exclusivo de la marca compartida ARA-BBVA . Solicitud expresa que realizo el aliado en el transcurso del desarrollo de la negociación")</f>
        <v>Reconfiguración del BIN 454100  existente en el Banco para que sea exclusivo de la marca compartida ARA-BBVA . Solicitud expresa que realizo el aliado en el transcurso del desarrollo de la negociación</v>
      </c>
      <c r="F698" s="4" t="str">
        <f ca="1">IFERROR(__xludf.DUMMYFUNCTION("""COMPUTED_VALUE"""),"Project")</f>
        <v>Project</v>
      </c>
      <c r="G698" s="4" t="str">
        <f ca="1">IFERROR(__xludf.DUMMYFUNCTION("""COMPUTED_VALUE"""),"Flow")</f>
        <v>Flow</v>
      </c>
      <c r="H698" s="4" t="str">
        <f ca="1">IFERROR(__xludf.DUMMYFUNCTION("""COMPUTED_VALUE"""),"2Q 2023")</f>
        <v>2Q 2023</v>
      </c>
      <c r="I698" s="4"/>
      <c r="J698" s="4"/>
      <c r="K698" s="131" t="str">
        <f ca="1">IFERROR(__xludf.DUMMYFUNCTION("""COMPUTED_VALUE"""),"paolaandrea.guzman-bbva.com")</f>
        <v>paolaandrea.guzman-bbva.com</v>
      </c>
      <c r="L698" s="4"/>
      <c r="M698" s="4"/>
      <c r="N698" s="4"/>
      <c r="O698" s="4"/>
      <c r="P698" s="4"/>
      <c r="Q698" s="4"/>
      <c r="R698" s="4"/>
      <c r="S698" s="4"/>
      <c r="T698" s="4"/>
      <c r="U698" s="4"/>
      <c r="V698" s="4"/>
      <c r="W698" s="4"/>
      <c r="X698" s="4"/>
      <c r="Y698" s="4"/>
      <c r="Z698" s="132" t="str">
        <f ca="1">IFERROR(__xludf.DUMMYFUNCTION("""COMPUTED_VALUE"""),"713270")</f>
        <v>713270</v>
      </c>
      <c r="AA698" s="4" t="str">
        <f ca="1">IFERROR(__xludf.DUMMYFUNCTION("""COMPUTED_VALUE"""),"Iniciativa en Backlog, en espera de priorización")</f>
        <v>Iniciativa en Backlog, en espera de priorización</v>
      </c>
      <c r="AB698" s="4" t="str">
        <f ca="1">IFERROR(__xludf.DUMMYFUNCTION("""COMPUTED_VALUE"""),"Iniciativa en Backlog, en espera de priorización")</f>
        <v>Iniciativa en Backlog, en espera de priorización</v>
      </c>
      <c r="AC698" s="4" t="str">
        <f ca="1">IFERROR(__xludf.DUMMYFUNCTION("""COMPUTED_VALUE"""),"2Q 2024")</f>
        <v>2Q 2024</v>
      </c>
      <c r="AD698" s="4"/>
      <c r="AE698" s="4"/>
      <c r="AF698" s="4"/>
      <c r="AG698" s="4"/>
      <c r="AH698" s="4"/>
      <c r="AI698" s="4"/>
      <c r="AJ698" s="4"/>
      <c r="AK698" s="4" t="str">
        <f ca="1">IFERROR(__xludf.DUMMYFUNCTION("""COMPUTED_VALUE"""),"Sin asignar")</f>
        <v>Sin asignar</v>
      </c>
      <c r="AL698" s="4" t="str">
        <f ca="1">IFERROR(__xludf.DUMMYFUNCTION("""COMPUTED_VALUE"""),"Sin asignar")</f>
        <v>Sin asignar</v>
      </c>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row>
    <row r="699" spans="1:132" x14ac:dyDescent="0.2">
      <c r="A699" s="4">
        <f ca="1">IFERROR(__xludf.DUMMYFUNCTION("""COMPUTED_VALUE"""),699)</f>
        <v>699</v>
      </c>
      <c r="B699" s="4" t="str">
        <f ca="1">IFERROR(__xludf.DUMMYFUNCTION("""COMPUTED_VALUE"""),"Sin prioridad")</f>
        <v>Sin prioridad</v>
      </c>
      <c r="C699" s="4" t="str">
        <f ca="1">IFERROR(__xludf.DUMMYFUNCTION("""COMPUTED_VALUE"""),"SDATOOL-42324")</f>
        <v>SDATOOL-42324</v>
      </c>
      <c r="D699" s="4" t="str">
        <f ca="1">IFERROR(__xludf.DUMMYFUNCTION("""COMPUTED_VALUE"""),"Nuevo Programa de Beneficios y contabilidad Everilion (incluye compras con OTP)")</f>
        <v>Nuevo Programa de Beneficios y contabilidad Everilion (incluye compras con OTP)</v>
      </c>
      <c r="E699" s="4" t="str">
        <f ca="1">IFERROR(__xludf.DUMMYFUNCTION("""COMPUTED_VALUE"""),"Se requiere crear programa de CashBack en everilion que permita parametrizar la contabilidad de forma independiente por cada uno de los aliados. Adicionalmente, que se incluya el envío de las tarjetas en situación 05 para que se aplique el beneficio cuand"&amp;"o la transacción se realice con otp de primera compra.")</f>
        <v>Se requiere crear programa de CashBack en everilion que permita parametrizar la contabilidad de forma independiente por cada uno de los aliados. Adicionalmente, que se incluya el envío de las tarjetas en situación 05 para que se aplique el beneficio cuando la transacción se realice con otp de primera compra.</v>
      </c>
      <c r="F699" s="4" t="str">
        <f ca="1">IFERROR(__xludf.DUMMYFUNCTION("""COMPUTED_VALUE"""),"Project")</f>
        <v>Project</v>
      </c>
      <c r="G699" s="4" t="str">
        <f ca="1">IFERROR(__xludf.DUMMYFUNCTION("""COMPUTED_VALUE"""),"Flow")</f>
        <v>Flow</v>
      </c>
      <c r="H699" s="4" t="str">
        <f ca="1">IFERROR(__xludf.DUMMYFUNCTION("""COMPUTED_VALUE"""),"2Q 2023")</f>
        <v>2Q 2023</v>
      </c>
      <c r="I699" s="4"/>
      <c r="J699" s="4"/>
      <c r="K699" s="131" t="str">
        <f ca="1">IFERROR(__xludf.DUMMYFUNCTION("""COMPUTED_VALUE"""),"paolaandrea.guzman-bbva.com")</f>
        <v>paolaandrea.guzman-bbva.com</v>
      </c>
      <c r="L699" s="4"/>
      <c r="M699" s="4"/>
      <c r="N699" s="4"/>
      <c r="O699" s="4"/>
      <c r="P699" s="4"/>
      <c r="Q699" s="4"/>
      <c r="R699" s="4"/>
      <c r="S699" s="4"/>
      <c r="T699" s="4"/>
      <c r="U699" s="4"/>
      <c r="V699" s="4"/>
      <c r="W699" s="4"/>
      <c r="X699" s="4"/>
      <c r="Y699" s="4"/>
      <c r="Z699" s="132" t="str">
        <f ca="1">IFERROR(__xludf.DUMMYFUNCTION("""COMPUTED_VALUE"""),"713272")</f>
        <v>713272</v>
      </c>
      <c r="AA699" s="4" t="str">
        <f ca="1">IFERROR(__xludf.DUMMYFUNCTION("""COMPUTED_VALUE"""),"Iniciativa en Backlog, en espera de priorización")</f>
        <v>Iniciativa en Backlog, en espera de priorización</v>
      </c>
      <c r="AB699" s="4" t="str">
        <f ca="1">IFERROR(__xludf.DUMMYFUNCTION("""COMPUTED_VALUE"""),"Iniciativa en Backlog, en espera de priorización")</f>
        <v>Iniciativa en Backlog, en espera de priorización</v>
      </c>
      <c r="AC699" s="4" t="str">
        <f ca="1">IFERROR(__xludf.DUMMYFUNCTION("""COMPUTED_VALUE"""),"2Q 2024")</f>
        <v>2Q 2024</v>
      </c>
      <c r="AD699" s="4"/>
      <c r="AE699" s="4"/>
      <c r="AF699" s="4"/>
      <c r="AG699" s="4"/>
      <c r="AH699" s="4"/>
      <c r="AI699" s="4"/>
      <c r="AJ699" s="4"/>
      <c r="AK699" s="4" t="str">
        <f ca="1">IFERROR(__xludf.DUMMYFUNCTION("""COMPUTED_VALUE"""),"Sin asignar")</f>
        <v>Sin asignar</v>
      </c>
      <c r="AL699" s="4" t="str">
        <f ca="1">IFERROR(__xludf.DUMMYFUNCTION("""COMPUTED_VALUE"""),"Sin asignar")</f>
        <v>Sin asignar</v>
      </c>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row>
    <row r="700" spans="1:132" x14ac:dyDescent="0.2">
      <c r="A700" s="4">
        <f ca="1">IFERROR(__xludf.DUMMYFUNCTION("""COMPUTED_VALUE"""),700)</f>
        <v>700</v>
      </c>
      <c r="B700" s="4" t="str">
        <f ca="1">IFERROR(__xludf.DUMMYFUNCTION("""COMPUTED_VALUE"""),"Sin prioridad")</f>
        <v>Sin prioridad</v>
      </c>
      <c r="C700" s="4" t="str">
        <f ca="1">IFERROR(__xludf.DUMMYFUNCTION("""COMPUTED_VALUE"""),"SDATOOL-42372")</f>
        <v>SDATOOL-42372</v>
      </c>
      <c r="D700" s="4" t="str">
        <f ca="1">IFERROR(__xludf.DUMMYFUNCTION("""COMPUTED_VALUE"""),"Automatización liquidación de comision para clientes Marca compartida")</f>
        <v>Automatización liquidación de comision para clientes Marca compartida</v>
      </c>
      <c r="E700" s="4" t="str">
        <f ca="1">IFERROR(__xludf.DUMMYFUNCTION("""COMPUTED_VALUE"""),"Desarrollar un proceso que permita calcular y liquidar la comision de adquirencia diferencial por cada marca compartida que podamos desarrollar (Emision + Adquirencia) para poder ajustar con nuestros clientes el valor que debemos devolver o cobrar segun c"&amp;"orresponda, asociado a la transaccionalidad que se de en los comercios de estos clientes con las tarjetas de marca compartida.")</f>
        <v>Desarrollar un proceso que permita calcular y liquidar la comision de adquirencia diferencial por cada marca compartida que podamos desarrollar (Emision + Adquirencia) para poder ajustar con nuestros clientes el valor que debemos devolver o cobrar segun corresponda, asociado a la transaccionalidad que se de en los comercios de estos clientes con las tarjetas de marca compartida.</v>
      </c>
      <c r="F700" s="4" t="str">
        <f ca="1">IFERROR(__xludf.DUMMYFUNCTION("""COMPUTED_VALUE"""),"Initiative")</f>
        <v>Initiative</v>
      </c>
      <c r="G700" s="4" t="str">
        <f ca="1">IFERROR(__xludf.DUMMYFUNCTION("""COMPUTED_VALUE"""),"Flow")</f>
        <v>Flow</v>
      </c>
      <c r="H700" s="4" t="str">
        <f ca="1">IFERROR(__xludf.DUMMYFUNCTION("""COMPUTED_VALUE"""),"2Q 2023")</f>
        <v>2Q 2023</v>
      </c>
      <c r="I700" s="131" t="str">
        <f ca="1">IFERROR(__xludf.DUMMYFUNCTION("""COMPUTED_VALUE"""),"catalina.villamil-bbva.com")</f>
        <v>catalina.villamil-bbva.com</v>
      </c>
      <c r="J700" s="131" t="str">
        <f ca="1">IFERROR(__xludf.DUMMYFUNCTION("""COMPUTED_VALUE"""),"nathaliamaria.torres-bbva.com")</f>
        <v>nathaliamaria.torres-bbva.com</v>
      </c>
      <c r="K700" s="131" t="str">
        <f ca="1">IFERROR(__xludf.DUMMYFUNCTION("""COMPUTED_VALUE"""),"nathaliamaria.torres-bbva.com")</f>
        <v>nathaliamaria.torres-bbva.com</v>
      </c>
      <c r="L700" s="4"/>
      <c r="M700" s="4"/>
      <c r="N700" s="4"/>
      <c r="O700" s="4"/>
      <c r="P700" s="4"/>
      <c r="Q700" s="4"/>
      <c r="R700" s="4"/>
      <c r="S700" s="4"/>
      <c r="T700" s="4"/>
      <c r="U700" s="4"/>
      <c r="V700" s="4"/>
      <c r="W700" s="4"/>
      <c r="X700" s="4"/>
      <c r="Y700" s="4"/>
      <c r="Z700" s="132" t="str">
        <f ca="1">IFERROR(__xludf.DUMMYFUNCTION("""COMPUTED_VALUE"""),"713273")</f>
        <v>713273</v>
      </c>
      <c r="AA700" s="4" t="str">
        <f ca="1">IFERROR(__xludf.DUMMYFUNCTION("""COMPUTED_VALUE"""),"Iniciativa en Backlog, en espera de priorización")</f>
        <v>Iniciativa en Backlog, en espera de priorización</v>
      </c>
      <c r="AB700" s="4" t="str">
        <f ca="1">IFERROR(__xludf.DUMMYFUNCTION("""COMPUTED_VALUE"""),"Iniciativa en Backlog, en espera de priorización")</f>
        <v>Iniciativa en Backlog, en espera de priorización</v>
      </c>
      <c r="AC700" s="4" t="str">
        <f ca="1">IFERROR(__xludf.DUMMYFUNCTION("""COMPUTED_VALUE"""),"2Q 2024")</f>
        <v>2Q 2024</v>
      </c>
      <c r="AD700" s="4"/>
      <c r="AE700" s="4"/>
      <c r="AF700" s="4"/>
      <c r="AG700" s="4"/>
      <c r="AH700" s="4"/>
      <c r="AI700" s="4"/>
      <c r="AJ700" s="4"/>
      <c r="AK700" s="4" t="str">
        <f ca="1">IFERROR(__xludf.DUMMYFUNCTION("""COMPUTED_VALUE"""),"Sin asignar")</f>
        <v>Sin asignar</v>
      </c>
      <c r="AL700" s="4" t="str">
        <f ca="1">IFERROR(__xludf.DUMMYFUNCTION("""COMPUTED_VALUE"""),"Sin asignar")</f>
        <v>Sin asignar</v>
      </c>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row>
    <row r="701" spans="1:132" x14ac:dyDescent="0.2">
      <c r="A701" s="4">
        <f ca="1">IFERROR(__xludf.DUMMYFUNCTION("""COMPUTED_VALUE"""),701)</f>
        <v>701</v>
      </c>
      <c r="B701" s="4" t="str">
        <f ca="1">IFERROR(__xludf.DUMMYFUNCTION("""COMPUTED_VALUE"""),"Sin prioridad")</f>
        <v>Sin prioridad</v>
      </c>
      <c r="C701" s="4" t="str">
        <f ca="1">IFERROR(__xludf.DUMMYFUNCTION("""COMPUTED_VALUE"""),"SDATOOL-42458")</f>
        <v>SDATOOL-42458</v>
      </c>
      <c r="D701" s="4" t="str">
        <f ca="1">IFERROR(__xludf.DUMMYFUNCTION("""COMPUTED_VALUE"""),"Cambio de fecha de pago préstamos en GloMo")</f>
        <v>Cambio de fecha de pago préstamos en GloMo</v>
      </c>
      <c r="E701" s="4" t="str">
        <f ca="1">IFERROR(__xludf.DUMMYFUNCTION("""COMPUTED_VALUE"""),"Habilitar la opción de cambio de fecha de pago del stock de préstamos en GloMo.")</f>
        <v>Habilitar la opción de cambio de fecha de pago del stock de préstamos en GloMo.</v>
      </c>
      <c r="F701" s="4" t="str">
        <f ca="1">IFERROR(__xludf.DUMMYFUNCTION("""COMPUTED_VALUE"""),"Initiative")</f>
        <v>Initiative</v>
      </c>
      <c r="G701" s="4" t="str">
        <f ca="1">IFERROR(__xludf.DUMMYFUNCTION("""COMPUTED_VALUE"""),"Flow")</f>
        <v>Flow</v>
      </c>
      <c r="H701" s="4" t="str">
        <f ca="1">IFERROR(__xludf.DUMMYFUNCTION("""COMPUTED_VALUE"""),"1Q 2024")</f>
        <v>1Q 2024</v>
      </c>
      <c r="I701" s="131" t="str">
        <f ca="1">IFERROR(__xludf.DUMMYFUNCTION("""COMPUTED_VALUE"""),"andrea.orrego-bbva.com")</f>
        <v>andrea.orrego-bbva.com</v>
      </c>
      <c r="J701" s="131" t="str">
        <f ca="1">IFERROR(__xludf.DUMMYFUNCTION("""COMPUTED_VALUE"""),"jorge.carvajal-bbva.com")</f>
        <v>jorge.carvajal-bbva.com</v>
      </c>
      <c r="K701" s="131" t="str">
        <f ca="1">IFERROR(__xludf.DUMMYFUNCTION("""COMPUTED_VALUE"""),"yurimilena.moreno-bbva.com")</f>
        <v>yurimilena.moreno-bbva.com</v>
      </c>
      <c r="L701" s="4"/>
      <c r="M701" s="4"/>
      <c r="N701" s="4"/>
      <c r="O701" s="4"/>
      <c r="P701" s="4"/>
      <c r="Q701" s="4"/>
      <c r="R701" s="4"/>
      <c r="S701" s="4"/>
      <c r="T701" s="4"/>
      <c r="U701" s="4"/>
      <c r="V701" s="4"/>
      <c r="W701" s="4"/>
      <c r="X701" s="4"/>
      <c r="Y701" s="4"/>
      <c r="Z701" s="132" t="str">
        <f ca="1">IFERROR(__xludf.DUMMYFUNCTION("""COMPUTED_VALUE"""),"713274")</f>
        <v>713274</v>
      </c>
      <c r="AA701" s="4" t="str">
        <f ca="1">IFERROR(__xludf.DUMMYFUNCTION("""COMPUTED_VALUE"""),"Iniciativa en Backlog, en espera de priorización")</f>
        <v>Iniciativa en Backlog, en espera de priorización</v>
      </c>
      <c r="AB701" s="4" t="str">
        <f ca="1">IFERROR(__xludf.DUMMYFUNCTION("""COMPUTED_VALUE"""),"Iniciativa en Backlog, en espera de priorización")</f>
        <v>Iniciativa en Backlog, en espera de priorización</v>
      </c>
      <c r="AC701" s="4" t="str">
        <f ca="1">IFERROR(__xludf.DUMMYFUNCTION("""COMPUTED_VALUE"""),"3Q 2024")</f>
        <v>3Q 2024</v>
      </c>
      <c r="AD701" s="4"/>
      <c r="AE701" s="4"/>
      <c r="AF701" s="4"/>
      <c r="AG701" s="4"/>
      <c r="AH701" s="4"/>
      <c r="AI701" s="4"/>
      <c r="AJ701" s="4"/>
      <c r="AK701" s="4" t="str">
        <f ca="1">IFERROR(__xludf.DUMMYFUNCTION("""COMPUTED_VALUE"""),"Sin asignar")</f>
        <v>Sin asignar</v>
      </c>
      <c r="AL701" s="4" t="str">
        <f ca="1">IFERROR(__xludf.DUMMYFUNCTION("""COMPUTED_VALUE"""),"Sin asignar")</f>
        <v>Sin asignar</v>
      </c>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row>
    <row r="702" spans="1:132" x14ac:dyDescent="0.2">
      <c r="A702" s="4">
        <f ca="1">IFERROR(__xludf.DUMMYFUNCTION("""COMPUTED_VALUE"""),702)</f>
        <v>702</v>
      </c>
      <c r="B702" s="4" t="str">
        <f ca="1">IFERROR(__xludf.DUMMYFUNCTION("""COMPUTED_VALUE"""),"Sin prioridad")</f>
        <v>Sin prioridad</v>
      </c>
      <c r="C702" s="4" t="str">
        <f ca="1">IFERROR(__xludf.DUMMYFUNCTION("""COMPUTED_VALUE"""),"SDATOOL-42460")</f>
        <v>SDATOOL-42460</v>
      </c>
      <c r="D702" s="4" t="str">
        <f ca="1">IFERROR(__xludf.DUMMYFUNCTION("""COMPUTED_VALUE"""),"Pricing CDT Glomo")</f>
        <v>Pricing CDT Glomo</v>
      </c>
      <c r="E702" s="4" t="str">
        <f ca="1">IFERROR(__xludf.DUMMYFUNCTION("""COMPUTED_VALUE"""),"Disponibilizar  los desarrollos de la fase1 de de pricing CDt sobre glomo, con el fin  brindar una oferta digital 
 a nuestros clientes que aumente la adquisiciòn de recursos y la fidelizaciòn")</f>
        <v>Disponibilizar  los desarrollos de la fase1 de de pricing CDt sobre glomo, con el fin  brindar una oferta digital 
 a nuestros clientes que aumente la adquisiciòn de recursos y la fidelizaciòn</v>
      </c>
      <c r="F702" s="4" t="str">
        <f ca="1">IFERROR(__xludf.DUMMYFUNCTION("""COMPUTED_VALUE"""),"Project")</f>
        <v>Project</v>
      </c>
      <c r="G702" s="4" t="str">
        <f ca="1">IFERROR(__xludf.DUMMYFUNCTION("""COMPUTED_VALUE"""),"Flow")</f>
        <v>Flow</v>
      </c>
      <c r="H702" s="4" t="str">
        <f ca="1">IFERROR(__xludf.DUMMYFUNCTION("""COMPUTED_VALUE"""),"3Q 2023")</f>
        <v>3Q 2023</v>
      </c>
      <c r="I702" s="131" t="str">
        <f ca="1">IFERROR(__xludf.DUMMYFUNCTION("""COMPUTED_VALUE"""),"hugofernando.parra-bbva.com")</f>
        <v>hugofernando.parra-bbva.com</v>
      </c>
      <c r="J702" s="131" t="str">
        <f ca="1">IFERROR(__xludf.DUMMYFUNCTION("""COMPUTED_VALUE"""),"judy.bernal-bbva.com")</f>
        <v>judy.bernal-bbva.com</v>
      </c>
      <c r="K702" s="131" t="str">
        <f ca="1">IFERROR(__xludf.DUMMYFUNCTION("""COMPUTED_VALUE"""),"john.calvo-bbva.com")</f>
        <v>john.calvo-bbva.com</v>
      </c>
      <c r="L702" s="4"/>
      <c r="M702" s="4"/>
      <c r="N702" s="4"/>
      <c r="O702" s="4"/>
      <c r="P702" s="4"/>
      <c r="Q702" s="4"/>
      <c r="R702" s="4"/>
      <c r="S702" s="4"/>
      <c r="T702" s="4"/>
      <c r="U702" s="4"/>
      <c r="V702" s="4"/>
      <c r="W702" s="4"/>
      <c r="X702" s="4"/>
      <c r="Y702" s="4"/>
      <c r="Z702" s="132" t="str">
        <f ca="1">IFERROR(__xludf.DUMMYFUNCTION("""COMPUTED_VALUE"""),"713275")</f>
        <v>713275</v>
      </c>
      <c r="AA702" s="4" t="str">
        <f ca="1">IFERROR(__xludf.DUMMYFUNCTION("""COMPUTED_VALUE"""),"Iniciativa en Backlog, en espera de priorización")</f>
        <v>Iniciativa en Backlog, en espera de priorización</v>
      </c>
      <c r="AB702" s="4" t="str">
        <f ca="1">IFERROR(__xludf.DUMMYFUNCTION("""COMPUTED_VALUE"""),"Iniciativa en Backlog, en espera de priorización")</f>
        <v>Iniciativa en Backlog, en espera de priorización</v>
      </c>
      <c r="AC702" s="4" t="str">
        <f ca="1">IFERROR(__xludf.DUMMYFUNCTION("""COMPUTED_VALUE"""),"3Q 2024")</f>
        <v>3Q 2024</v>
      </c>
      <c r="AD702" s="4"/>
      <c r="AE702" s="4"/>
      <c r="AF702" s="4"/>
      <c r="AG702" s="4"/>
      <c r="AH702" s="4"/>
      <c r="AI702" s="4"/>
      <c r="AJ702" s="4"/>
      <c r="AK702" s="4" t="str">
        <f ca="1">IFERROR(__xludf.DUMMYFUNCTION("""COMPUTED_VALUE"""),"Sin asignar")</f>
        <v>Sin asignar</v>
      </c>
      <c r="AL702" s="4" t="str">
        <f ca="1">IFERROR(__xludf.DUMMYFUNCTION("""COMPUTED_VALUE"""),"Sin asignar")</f>
        <v>Sin asignar</v>
      </c>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row>
    <row r="703" spans="1:132" x14ac:dyDescent="0.2">
      <c r="A703" s="4">
        <f ca="1">IFERROR(__xludf.DUMMYFUNCTION("""COMPUTED_VALUE"""),703)</f>
        <v>703</v>
      </c>
      <c r="B703" s="4" t="str">
        <f ca="1">IFERROR(__xludf.DUMMYFUNCTION("""COMPUTED_VALUE"""),"Sin prioridad")</f>
        <v>Sin prioridad</v>
      </c>
      <c r="C703" s="4" t="str">
        <f ca="1">IFERROR(__xludf.DUMMYFUNCTION("""COMPUTED_VALUE"""),"SDATOOL-42492")</f>
        <v>SDATOOL-42492</v>
      </c>
      <c r="D703" s="4" t="str">
        <f ca="1">IFERROR(__xludf.DUMMYFUNCTION("""COMPUTED_VALUE"""),"Desarrollo transacciones para limitar uso Cuentas de Espera")</f>
        <v>Desarrollo transacciones para limitar uso Cuentas de Espera</v>
      </c>
      <c r="E703" s="4" t="str">
        <f ca="1">IFERROR(__xludf.DUMMYFUNCTION("""COMPUTED_VALUE"""),"Desarrollar en NACAR las transacciones que permitan realizar las operaciones indicadas a continuación SIN utilizar las cuentas de espera:
Transacción 1. Desembolsos vía Sebra de clientes sin cuentas en BBVA y que requieren abono en
cuentas de otros bancos"&amp;"
Transacción 2. Pago de créditos BBVA con recursos que ingresan al banco vía Sebra
Transacción 3. Pago a cuotas, abono a capital o cancelación total de Agrocréditos con cheque canje
Transacción 4. Pago capital prorrata y cancelación de préstamo Constructo"&amp;"r con un mismo cheque
canje")</f>
        <v>Desarrollar en NACAR las transacciones que permitan realizar las operaciones indicadas a continuación SIN utilizar las cuentas de espera:
Transacción 1. Desembolsos vía Sebra de clientes sin cuentas en BBVA y que requieren abono en
cuentas de otros bancos
Transacción 2. Pago de créditos BBVA con recursos que ingresan al banco vía Sebra
Transacción 3. Pago a cuotas, abono a capital o cancelación total de Agrocréditos con cheque canje
Transacción 4. Pago capital prorrata y cancelación de préstamo Constructor con un mismo cheque
canje</v>
      </c>
      <c r="F703" s="4" t="str">
        <f ca="1">IFERROR(__xludf.DUMMYFUNCTION("""COMPUTED_VALUE"""),"Initiative")</f>
        <v>Initiative</v>
      </c>
      <c r="G703" s="4" t="str">
        <f ca="1">IFERROR(__xludf.DUMMYFUNCTION("""COMPUTED_VALUE"""),"Flow")</f>
        <v>Flow</v>
      </c>
      <c r="H703" s="4" t="str">
        <f ca="1">IFERROR(__xludf.DUMMYFUNCTION("""COMPUTED_VALUE"""),"4Q 2023")</f>
        <v>4Q 2023</v>
      </c>
      <c r="I703" s="131" t="str">
        <f ca="1">IFERROR(__xludf.DUMMYFUNCTION("""COMPUTED_VALUE"""),"alirio.bermudez-bbva.com")</f>
        <v>alirio.bermudez-bbva.com</v>
      </c>
      <c r="J703" s="131" t="str">
        <f ca="1">IFERROR(__xludf.DUMMYFUNCTION("""COMPUTED_VALUE"""),"monicaandrea.abogado-bbva.com")</f>
        <v>monicaandrea.abogado-bbva.com</v>
      </c>
      <c r="K703" s="131" t="str">
        <f ca="1">IFERROR(__xludf.DUMMYFUNCTION("""COMPUTED_VALUE"""),"ivan_dario.ariza-bbva.com")</f>
        <v>ivan_dario.ariza-bbva.com</v>
      </c>
      <c r="L703" s="4"/>
      <c r="M703" s="4"/>
      <c r="N703" s="4"/>
      <c r="O703" s="4"/>
      <c r="P703" s="4"/>
      <c r="Q703" s="4"/>
      <c r="R703" s="4"/>
      <c r="S703" s="4"/>
      <c r="T703" s="4"/>
      <c r="U703" s="4"/>
      <c r="V703" s="4"/>
      <c r="W703" s="4"/>
      <c r="X703" s="4"/>
      <c r="Y703" s="4"/>
      <c r="Z703" s="132" t="str">
        <f ca="1">IFERROR(__xludf.DUMMYFUNCTION("""COMPUTED_VALUE"""),"713278")</f>
        <v>713278</v>
      </c>
      <c r="AA703" s="4" t="str">
        <f ca="1">IFERROR(__xludf.DUMMYFUNCTION("""COMPUTED_VALUE"""),"Iniciativa en Backlog, en espera de priorización")</f>
        <v>Iniciativa en Backlog, en espera de priorización</v>
      </c>
      <c r="AB703" s="4" t="str">
        <f ca="1">IFERROR(__xludf.DUMMYFUNCTION("""COMPUTED_VALUE"""),"Iniciativa en Backlog, en espera de priorización")</f>
        <v>Iniciativa en Backlog, en espera de priorización</v>
      </c>
      <c r="AC703" s="4" t="str">
        <f ca="1">IFERROR(__xludf.DUMMYFUNCTION("""COMPUTED_VALUE"""),"3Q 2024")</f>
        <v>3Q 2024</v>
      </c>
      <c r="AD703" s="4"/>
      <c r="AE703" s="4"/>
      <c r="AF703" s="4"/>
      <c r="AG703" s="4"/>
      <c r="AH703" s="4"/>
      <c r="AI703" s="4"/>
      <c r="AJ703" s="4"/>
      <c r="AK703" s="4" t="str">
        <f ca="1">IFERROR(__xludf.DUMMYFUNCTION("""COMPUTED_VALUE"""),"Sin asignar")</f>
        <v>Sin asignar</v>
      </c>
      <c r="AL703" s="4" t="str">
        <f ca="1">IFERROR(__xludf.DUMMYFUNCTION("""COMPUTED_VALUE"""),"Sin asignar")</f>
        <v>Sin asignar</v>
      </c>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row>
    <row r="704" spans="1:132" x14ac:dyDescent="0.2">
      <c r="A704" s="4">
        <f ca="1">IFERROR(__xludf.DUMMYFUNCTION("""COMPUTED_VALUE"""),704)</f>
        <v>704</v>
      </c>
      <c r="B704" s="4" t="str">
        <f ca="1">IFERROR(__xludf.DUMMYFUNCTION("""COMPUTED_VALUE"""),"Sin prioridad")</f>
        <v>Sin prioridad</v>
      </c>
      <c r="C704" s="4" t="str">
        <f ca="1">IFERROR(__xludf.DUMMYFUNCTION("""COMPUTED_VALUE"""),"SDATOOL-42278")</f>
        <v>SDATOOL-42278</v>
      </c>
      <c r="D704" s="4" t="str">
        <f ca="1">IFERROR(__xludf.DUMMYFUNCTION("""COMPUTED_VALUE"""),"Transferencias Interbancarias REDEBAN")</f>
        <v>Transferencias Interbancarias REDEBAN</v>
      </c>
      <c r="E704" s="4" t="str">
        <f ca="1">IFERROR(__xludf.DUMMYFUNCTION("""COMPUTED_VALUE"""),"1. Creación de Redeban como nueva cámara de compensación para el procesamiento de transferencias Interbancarias.
2. Dejar esta nueva cámara de compensación paramétrica para poder seleccionar por cual de estas se pueden enviar a procesar los pagos.")</f>
        <v>1. Creación de Redeban como nueva cámara de compensación para el procesamiento de transferencias Interbancarias.
2. Dejar esta nueva cámara de compensación paramétrica para poder seleccionar por cual de estas se pueden enviar a procesar los pagos.</v>
      </c>
      <c r="F704" s="4" t="str">
        <f ca="1">IFERROR(__xludf.DUMMYFUNCTION("""COMPUTED_VALUE"""),"Project")</f>
        <v>Project</v>
      </c>
      <c r="G704" s="4" t="str">
        <f ca="1">IFERROR(__xludf.DUMMYFUNCTION("""COMPUTED_VALUE"""),"Flow")</f>
        <v>Flow</v>
      </c>
      <c r="H704" s="4" t="str">
        <f ca="1">IFERROR(__xludf.DUMMYFUNCTION("""COMPUTED_VALUE"""),"3Q 2023")</f>
        <v>3Q 2023</v>
      </c>
      <c r="I704" s="131" t="str">
        <f ca="1">IFERROR(__xludf.DUMMYFUNCTION("""COMPUTED_VALUE"""),"huvertyadir.ramirez-bbva.com")</f>
        <v>huvertyadir.ramirez-bbva.com</v>
      </c>
      <c r="J704" s="4"/>
      <c r="K704" s="131" t="str">
        <f ca="1">IFERROR(__xludf.DUMMYFUNCTION("""COMPUTED_VALUE"""),"andresfelipe.lopez.sandoval-bbva.com")</f>
        <v>andresfelipe.lopez.sandoval-bbva.com</v>
      </c>
      <c r="L704" s="4"/>
      <c r="M704" s="4"/>
      <c r="N704" s="4"/>
      <c r="O704" s="4"/>
      <c r="P704" s="4"/>
      <c r="Q704" s="4"/>
      <c r="R704" s="4"/>
      <c r="S704" s="4"/>
      <c r="T704" s="4"/>
      <c r="U704" s="4"/>
      <c r="V704" s="4"/>
      <c r="W704" s="4"/>
      <c r="X704" s="4"/>
      <c r="Y704" s="4"/>
      <c r="Z704" s="132" t="str">
        <f ca="1">IFERROR(__xludf.DUMMYFUNCTION("""COMPUTED_VALUE"""),"713268")</f>
        <v>713268</v>
      </c>
      <c r="AA704" s="4" t="str">
        <f ca="1">IFERROR(__xludf.DUMMYFUNCTION("""COMPUTED_VALUE"""),"Iniciativa en Backlog, en espera de priorización")</f>
        <v>Iniciativa en Backlog, en espera de priorización</v>
      </c>
      <c r="AB704" s="4" t="str">
        <f ca="1">IFERROR(__xludf.DUMMYFUNCTION("""COMPUTED_VALUE"""),"Iniciativa en Backlog, en espera de priorización")</f>
        <v>Iniciativa en Backlog, en espera de priorización</v>
      </c>
      <c r="AC704" s="4" t="str">
        <f ca="1">IFERROR(__xludf.DUMMYFUNCTION("""COMPUTED_VALUE"""),"3Q 2024")</f>
        <v>3Q 2024</v>
      </c>
      <c r="AD704" s="4"/>
      <c r="AE704" s="4"/>
      <c r="AF704" s="4"/>
      <c r="AG704" s="4"/>
      <c r="AH704" s="4"/>
      <c r="AI704" s="4"/>
      <c r="AJ704" s="4"/>
      <c r="AK704" s="4" t="str">
        <f ca="1">IFERROR(__xludf.DUMMYFUNCTION("""COMPUTED_VALUE"""),"Sin asignar")</f>
        <v>Sin asignar</v>
      </c>
      <c r="AL704" s="4" t="str">
        <f ca="1">IFERROR(__xludf.DUMMYFUNCTION("""COMPUTED_VALUE"""),"Sin asignar")</f>
        <v>Sin asignar</v>
      </c>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row>
    <row r="705" spans="1:132" x14ac:dyDescent="0.2">
      <c r="A705" s="4">
        <f ca="1">IFERROR(__xludf.DUMMYFUNCTION("""COMPUTED_VALUE"""),705)</f>
        <v>705</v>
      </c>
      <c r="B705" s="4" t="str">
        <f ca="1">IFERROR(__xludf.DUMMYFUNCTION("""COMPUTED_VALUE"""),"Sin prioridad")</f>
        <v>Sin prioridad</v>
      </c>
      <c r="C705" s="4" t="str">
        <f ca="1">IFERROR(__xludf.DUMMYFUNCTION("""COMPUTED_VALUE"""),"SDATOOL-42281")</f>
        <v>SDATOOL-42281</v>
      </c>
      <c r="D705" s="4" t="str">
        <f ca="1">IFERROR(__xludf.DUMMYFUNCTION("""COMPUTED_VALUE"""),"Evolutivo KPIS / Segmentación clientes")</f>
        <v>Evolutivo KPIS / Segmentación clientes</v>
      </c>
      <c r="E705" s="4" t="str">
        <f ca="1">IFERROR(__xludf.DUMMYFUNCTION("""COMPUTED_VALUE"""),"Dentro de los procesos de kpis no financieros del país, se realizan evolutivos solicitadas y aprobadas por holding. Adicional es necesario generar reprocesos de información con estas nuevas reglas. En cuanto a segmentación tambien tiene cabida el ajuste n"&amp;"ecesario por temas regulatorios y normas emitidas por los entes reguladores.")</f>
        <v>Dentro de los procesos de kpis no financieros del país, se realizan evolutivos solicitadas y aprobadas por holding. Adicional es necesario generar reprocesos de información con estas nuevas reglas. En cuanto a segmentación tambien tiene cabida el ajuste necesario por temas regulatorios y normas emitidas por los entes reguladores.</v>
      </c>
      <c r="F705" s="4" t="str">
        <f ca="1">IFERROR(__xludf.DUMMYFUNCTION("""COMPUTED_VALUE"""),"Initiative")</f>
        <v>Initiative</v>
      </c>
      <c r="G705" s="4" t="str">
        <f ca="1">IFERROR(__xludf.DUMMYFUNCTION("""COMPUTED_VALUE"""),"Flow")</f>
        <v>Flow</v>
      </c>
      <c r="H705" s="4" t="str">
        <f ca="1">IFERROR(__xludf.DUMMYFUNCTION("""COMPUTED_VALUE"""),"4Q 2023")</f>
        <v>4Q 2023</v>
      </c>
      <c r="I705" s="131" t="str">
        <f ca="1">IFERROR(__xludf.DUMMYFUNCTION("""COMPUTED_VALUE"""),"davidcamilo.poveda-bbva.com")</f>
        <v>davidcamilo.poveda-bbva.com</v>
      </c>
      <c r="J705" s="131" t="str">
        <f ca="1">IFERROR(__xludf.DUMMYFUNCTION("""COMPUTED_VALUE"""),"leidi.jimenez-bbva.com")</f>
        <v>leidi.jimenez-bbva.com</v>
      </c>
      <c r="K705" s="131" t="str">
        <f ca="1">IFERROR(__xludf.DUMMYFUNCTION("""COMPUTED_VALUE"""),"nelsonandres.bohorquez-bbva.com")</f>
        <v>nelsonandres.bohorquez-bbva.com</v>
      </c>
      <c r="L705" s="4"/>
      <c r="M705" s="4"/>
      <c r="N705" s="4"/>
      <c r="O705" s="4"/>
      <c r="P705" s="4"/>
      <c r="Q705" s="4"/>
      <c r="R705" s="4"/>
      <c r="S705" s="4"/>
      <c r="T705" s="4"/>
      <c r="U705" s="4"/>
      <c r="V705" s="4"/>
      <c r="W705" s="4"/>
      <c r="X705" s="4"/>
      <c r="Y705" s="4"/>
      <c r="Z705" s="132" t="str">
        <f ca="1">IFERROR(__xludf.DUMMYFUNCTION("""COMPUTED_VALUE"""),"713269")</f>
        <v>713269</v>
      </c>
      <c r="AA705" s="4" t="str">
        <f ca="1">IFERROR(__xludf.DUMMYFUNCTION("""COMPUTED_VALUE"""),"Iniciativa en Backlog, en espera de priorización")</f>
        <v>Iniciativa en Backlog, en espera de priorización</v>
      </c>
      <c r="AB705" s="4" t="str">
        <f ca="1">IFERROR(__xludf.DUMMYFUNCTION("""COMPUTED_VALUE"""),"Iniciativa en Backlog, en espera de priorización")</f>
        <v>Iniciativa en Backlog, en espera de priorización</v>
      </c>
      <c r="AC705" s="4" t="str">
        <f ca="1">IFERROR(__xludf.DUMMYFUNCTION("""COMPUTED_VALUE"""),"3Q 2024")</f>
        <v>3Q 2024</v>
      </c>
      <c r="AD705" s="4"/>
      <c r="AE705" s="4"/>
      <c r="AF705" s="4"/>
      <c r="AG705" s="4"/>
      <c r="AH705" s="4"/>
      <c r="AI705" s="4"/>
      <c r="AJ705" s="4"/>
      <c r="AK705" s="4" t="str">
        <f ca="1">IFERROR(__xludf.DUMMYFUNCTION("""COMPUTED_VALUE"""),"Sin asignar")</f>
        <v>Sin asignar</v>
      </c>
      <c r="AL705" s="4" t="str">
        <f ca="1">IFERROR(__xludf.DUMMYFUNCTION("""COMPUTED_VALUE"""),"Sin asignar")</f>
        <v>Sin asignar</v>
      </c>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row>
    <row r="706" spans="1:132" x14ac:dyDescent="0.2">
      <c r="A706" s="4">
        <f ca="1">IFERROR(__xludf.DUMMYFUNCTION("""COMPUTED_VALUE"""),706)</f>
        <v>706</v>
      </c>
      <c r="B706" s="4" t="str">
        <f ca="1">IFERROR(__xludf.DUMMYFUNCTION("""COMPUTED_VALUE"""),"Sin prioridad")</f>
        <v>Sin prioridad</v>
      </c>
      <c r="C706" s="4" t="str">
        <f ca="1">IFERROR(__xludf.DUMMYFUNCTION("""COMPUTED_VALUE"""),"SDATOOL-42058")</f>
        <v>SDATOOL-42058</v>
      </c>
      <c r="D706" s="4" t="str">
        <f ca="1">IFERROR(__xludf.DUMMYFUNCTION("""COMPUTED_VALUE"""),"WS Procesos Sostenibilidad 2023")</f>
        <v>WS Procesos Sostenibilidad 2023</v>
      </c>
      <c r="E706"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6" s="4" t="str">
        <f ca="1">IFERROR(__xludf.DUMMYFUNCTION("""COMPUTED_VALUE"""),"Initiative")</f>
        <v>Initiative</v>
      </c>
      <c r="G706" s="4" t="str">
        <f ca="1">IFERROR(__xludf.DUMMYFUNCTION("""COMPUTED_VALUE"""),"Flow")</f>
        <v>Flow</v>
      </c>
      <c r="H706" s="4" t="str">
        <f ca="1">IFERROR(__xludf.DUMMYFUNCTION("""COMPUTED_VALUE"""),"4Q 2023")</f>
        <v>4Q 2023</v>
      </c>
      <c r="I706" s="4"/>
      <c r="J706" s="4"/>
      <c r="K706" s="131" t="str">
        <f ca="1">IFERROR(__xludf.DUMMYFUNCTION("""COMPUTED_VALUE"""),"carlosdavid.pacheco-bbva.com")</f>
        <v>carlosdavid.pacheco-bbva.com</v>
      </c>
      <c r="L706" s="4"/>
      <c r="M706" s="4"/>
      <c r="N706" s="4"/>
      <c r="O706" s="4"/>
      <c r="P706" s="4"/>
      <c r="Q706" s="4"/>
      <c r="R706" s="4"/>
      <c r="S706" s="4"/>
      <c r="T706" s="4"/>
      <c r="U706" s="4"/>
      <c r="V706" s="4"/>
      <c r="W706" s="4"/>
      <c r="X706" s="4"/>
      <c r="Y706" s="4"/>
      <c r="Z706" s="132" t="str">
        <f ca="1">IFERROR(__xludf.DUMMYFUNCTION("""COMPUTED_VALUE"""),"723618")</f>
        <v>723618</v>
      </c>
      <c r="AA706" s="4" t="str">
        <f ca="1">IFERROR(__xludf.DUMMYFUNCTION("""COMPUTED_VALUE"""),"Agrosostenible retail - enterprise")</f>
        <v>Agrosostenible retail - enterprise</v>
      </c>
      <c r="AB706" s="4" t="str">
        <f ca="1">IFERROR(__xludf.DUMMYFUNCTION("""COMPUTED_VALUE"""),"Agrosostenible retail - enterprise")</f>
        <v>Agrosostenible retail - enterprise</v>
      </c>
      <c r="AC706" s="4" t="str">
        <f ca="1">IFERROR(__xludf.DUMMYFUNCTION("""COMPUTED_VALUE"""),"3Q 2023")</f>
        <v>3Q 2023</v>
      </c>
      <c r="AD706" s="4"/>
      <c r="AE706" s="4"/>
      <c r="AF706" s="4"/>
      <c r="AG706" s="4"/>
      <c r="AH706" s="4"/>
      <c r="AI706" s="4"/>
      <c r="AJ706" s="4"/>
      <c r="AK706" s="4" t="str">
        <f ca="1">IFERROR(__xludf.DUMMYFUNCTION("""COMPUTED_VALUE"""),"Sin asignar")</f>
        <v>Sin asignar</v>
      </c>
      <c r="AL706" s="4" t="str">
        <f ca="1">IFERROR(__xludf.DUMMYFUNCTION("""COMPUTED_VALUE"""),"Sin asignar")</f>
        <v>Sin asignar</v>
      </c>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row>
    <row r="707" spans="1:132" x14ac:dyDescent="0.2">
      <c r="A707" s="4">
        <f ca="1">IFERROR(__xludf.DUMMYFUNCTION("""COMPUTED_VALUE"""),707)</f>
        <v>707</v>
      </c>
      <c r="B707" s="4" t="str">
        <f ca="1">IFERROR(__xludf.DUMMYFUNCTION("""COMPUTED_VALUE"""),"Sin prioridad")</f>
        <v>Sin prioridad</v>
      </c>
      <c r="C707" s="4" t="str">
        <f ca="1">IFERROR(__xludf.DUMMYFUNCTION("""COMPUTED_VALUE"""),"SDATOOL-42058")</f>
        <v>SDATOOL-42058</v>
      </c>
      <c r="D707" s="4" t="str">
        <f ca="1">IFERROR(__xludf.DUMMYFUNCTION("""COMPUTED_VALUE"""),"WS Procesos Sostenibilidad 2023")</f>
        <v>WS Procesos Sostenibilidad 2023</v>
      </c>
      <c r="E707"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7" s="4" t="str">
        <f ca="1">IFERROR(__xludf.DUMMYFUNCTION("""COMPUTED_VALUE"""),"Initiative")</f>
        <v>Initiative</v>
      </c>
      <c r="G707" s="4" t="str">
        <f ca="1">IFERROR(__xludf.DUMMYFUNCTION("""COMPUTED_VALUE"""),"Flow")</f>
        <v>Flow</v>
      </c>
      <c r="H707" s="4" t="str">
        <f ca="1">IFERROR(__xludf.DUMMYFUNCTION("""COMPUTED_VALUE"""),"4Q 2023")</f>
        <v>4Q 2023</v>
      </c>
      <c r="I707" s="4"/>
      <c r="J707" s="4"/>
      <c r="K707" s="131" t="str">
        <f ca="1">IFERROR(__xludf.DUMMYFUNCTION("""COMPUTED_VALUE"""),"carlosdavid.pacheco-bbva.com")</f>
        <v>carlosdavid.pacheco-bbva.com</v>
      </c>
      <c r="L707" s="4"/>
      <c r="M707" s="4"/>
      <c r="N707" s="4"/>
      <c r="O707" s="4"/>
      <c r="P707" s="4"/>
      <c r="Q707" s="4"/>
      <c r="R707" s="4"/>
      <c r="S707" s="4"/>
      <c r="T707" s="4"/>
      <c r="U707" s="4"/>
      <c r="V707" s="4"/>
      <c r="W707" s="4"/>
      <c r="X707" s="4"/>
      <c r="Y707" s="4"/>
      <c r="Z707" s="132" t="str">
        <f ca="1">IFERROR(__xludf.DUMMYFUNCTION("""COMPUTED_VALUE"""),"723616")</f>
        <v>723616</v>
      </c>
      <c r="AA707" s="4" t="str">
        <f ca="1">IFERROR(__xludf.DUMMYFUNCTION("""COMPUTED_VALUE"""),"Constructor Sostenible - Constructor - BEC")</f>
        <v>Constructor Sostenible - Constructor - BEC</v>
      </c>
      <c r="AB707" s="4" t="str">
        <f ca="1">IFERROR(__xludf.DUMMYFUNCTION("""COMPUTED_VALUE"""),"Constructor Sostenible - Constructor - BEC")</f>
        <v>Constructor Sostenible - Constructor - BEC</v>
      </c>
      <c r="AC707" s="4" t="str">
        <f ca="1">IFERROR(__xludf.DUMMYFUNCTION("""COMPUTED_VALUE"""),"3Q 2023")</f>
        <v>3Q 2023</v>
      </c>
      <c r="AD707" s="4"/>
      <c r="AE707" s="4"/>
      <c r="AF707" s="4"/>
      <c r="AG707" s="4"/>
      <c r="AH707" s="4"/>
      <c r="AI707" s="4"/>
      <c r="AJ707" s="4"/>
      <c r="AK707" s="4" t="str">
        <f ca="1">IFERROR(__xludf.DUMMYFUNCTION("""COMPUTED_VALUE"""),"Sin asignar")</f>
        <v>Sin asignar</v>
      </c>
      <c r="AL707" s="4" t="str">
        <f ca="1">IFERROR(__xludf.DUMMYFUNCTION("""COMPUTED_VALUE"""),"Sin asignar")</f>
        <v>Sin asignar</v>
      </c>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row>
    <row r="708" spans="1:132" x14ac:dyDescent="0.2">
      <c r="A708" s="4">
        <f ca="1">IFERROR(__xludf.DUMMYFUNCTION("""COMPUTED_VALUE"""),708)</f>
        <v>708</v>
      </c>
      <c r="B708" s="4" t="str">
        <f ca="1">IFERROR(__xludf.DUMMYFUNCTION("""COMPUTED_VALUE"""),"Sin prioridad")</f>
        <v>Sin prioridad</v>
      </c>
      <c r="C708" s="4" t="str">
        <f ca="1">IFERROR(__xludf.DUMMYFUNCTION("""COMPUTED_VALUE"""),"SDATOOL-42058")</f>
        <v>SDATOOL-42058</v>
      </c>
      <c r="D708" s="4" t="str">
        <f ca="1">IFERROR(__xludf.DUMMYFUNCTION("""COMPUTED_VALUE"""),"WS Procesos Sostenibilidad 2023")</f>
        <v>WS Procesos Sostenibilidad 2023</v>
      </c>
      <c r="E708"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8" s="4" t="str">
        <f ca="1">IFERROR(__xludf.DUMMYFUNCTION("""COMPUTED_VALUE"""),"Initiative")</f>
        <v>Initiative</v>
      </c>
      <c r="G708" s="4" t="str">
        <f ca="1">IFERROR(__xludf.DUMMYFUNCTION("""COMPUTED_VALUE"""),"Flow")</f>
        <v>Flow</v>
      </c>
      <c r="H708" s="4" t="str">
        <f ca="1">IFERROR(__xludf.DUMMYFUNCTION("""COMPUTED_VALUE"""),"4Q 2023")</f>
        <v>4Q 2023</v>
      </c>
      <c r="I708" s="4"/>
      <c r="J708" s="4"/>
      <c r="K708" s="131" t="str">
        <f ca="1">IFERROR(__xludf.DUMMYFUNCTION("""COMPUTED_VALUE"""),"carlosdavid.pacheco-bbva.com")</f>
        <v>carlosdavid.pacheco-bbva.com</v>
      </c>
      <c r="L708" s="4"/>
      <c r="M708" s="4"/>
      <c r="N708" s="4"/>
      <c r="O708" s="4"/>
      <c r="P708" s="4"/>
      <c r="Q708" s="4"/>
      <c r="R708" s="4"/>
      <c r="S708" s="4"/>
      <c r="T708" s="4"/>
      <c r="U708" s="4"/>
      <c r="V708" s="4"/>
      <c r="W708" s="4"/>
      <c r="X708" s="4"/>
      <c r="Y708" s="4"/>
      <c r="Z708" s="132" t="str">
        <f ca="1">IFERROR(__xludf.DUMMYFUNCTION("""COMPUTED_VALUE"""),"723621")</f>
        <v>723621</v>
      </c>
      <c r="AA708" s="4" t="str">
        <f ca="1">IFERROR(__xludf.DUMMYFUNCTION("""COMPUTED_VALUE"""),"General")</f>
        <v>General</v>
      </c>
      <c r="AB708" s="4" t="str">
        <f ca="1">IFERROR(__xludf.DUMMYFUNCTION("""COMPUTED_VALUE"""),"General")</f>
        <v>General</v>
      </c>
      <c r="AC708" s="4" t="str">
        <f ca="1">IFERROR(__xludf.DUMMYFUNCTION("""COMPUTED_VALUE"""),"3Q 2023")</f>
        <v>3Q 2023</v>
      </c>
      <c r="AD708" s="4"/>
      <c r="AE708" s="4"/>
      <c r="AF708" s="4"/>
      <c r="AG708" s="4"/>
      <c r="AH708" s="4"/>
      <c r="AI708" s="4"/>
      <c r="AJ708" s="4"/>
      <c r="AK708" s="4" t="str">
        <f ca="1">IFERROR(__xludf.DUMMYFUNCTION("""COMPUTED_VALUE"""),"Sin asignar")</f>
        <v>Sin asignar</v>
      </c>
      <c r="AL708" s="4" t="str">
        <f ca="1">IFERROR(__xludf.DUMMYFUNCTION("""COMPUTED_VALUE"""),"Sin asignar")</f>
        <v>Sin asignar</v>
      </c>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row>
    <row r="709" spans="1:132" x14ac:dyDescent="0.2">
      <c r="A709" s="4">
        <f ca="1">IFERROR(__xludf.DUMMYFUNCTION("""COMPUTED_VALUE"""),709)</f>
        <v>709</v>
      </c>
      <c r="B709" s="4" t="str">
        <f ca="1">IFERROR(__xludf.DUMMYFUNCTION("""COMPUTED_VALUE"""),"Sin prioridad")</f>
        <v>Sin prioridad</v>
      </c>
      <c r="C709" s="4" t="str">
        <f ca="1">IFERROR(__xludf.DUMMYFUNCTION("""COMPUTED_VALUE"""),"SDATOOL-42058")</f>
        <v>SDATOOL-42058</v>
      </c>
      <c r="D709" s="4" t="str">
        <f ca="1">IFERROR(__xludf.DUMMYFUNCTION("""COMPUTED_VALUE"""),"WS Procesos Sostenibilidad 2023")</f>
        <v>WS Procesos Sostenibilidad 2023</v>
      </c>
      <c r="E709"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9" s="4" t="str">
        <f ca="1">IFERROR(__xludf.DUMMYFUNCTION("""COMPUTED_VALUE"""),"Initiative")</f>
        <v>Initiative</v>
      </c>
      <c r="G709" s="4" t="str">
        <f ca="1">IFERROR(__xludf.DUMMYFUNCTION("""COMPUTED_VALUE"""),"Flow")</f>
        <v>Flow</v>
      </c>
      <c r="H709" s="4" t="str">
        <f ca="1">IFERROR(__xludf.DUMMYFUNCTION("""COMPUTED_VALUE"""),"4Q 2023")</f>
        <v>4Q 2023</v>
      </c>
      <c r="I709" s="4"/>
      <c r="J709" s="4"/>
      <c r="K709" s="131" t="str">
        <f ca="1">IFERROR(__xludf.DUMMYFUNCTION("""COMPUTED_VALUE"""),"carlosdavid.pacheco-bbva.com")</f>
        <v>carlosdavid.pacheco-bbva.com</v>
      </c>
      <c r="L709" s="4"/>
      <c r="M709" s="4"/>
      <c r="N709" s="4"/>
      <c r="O709" s="4"/>
      <c r="P709" s="4"/>
      <c r="Q709" s="4"/>
      <c r="R709" s="4"/>
      <c r="S709" s="4"/>
      <c r="T709" s="4"/>
      <c r="U709" s="4"/>
      <c r="V709" s="4"/>
      <c r="W709" s="4"/>
      <c r="X709" s="4"/>
      <c r="Y709" s="4"/>
      <c r="Z709" s="132" t="str">
        <f ca="1">IFERROR(__xludf.DUMMYFUNCTION("""COMPUTED_VALUE"""),"723619")</f>
        <v>723619</v>
      </c>
      <c r="AA709" s="4" t="str">
        <f ca="1">IFERROR(__xludf.DUMMYFUNCTION("""COMPUTED_VALUE"""),"KPI linked loan - CIB")</f>
        <v>KPI linked loan - CIB</v>
      </c>
      <c r="AB709" s="4" t="str">
        <f ca="1">IFERROR(__xludf.DUMMYFUNCTION("""COMPUTED_VALUE"""),"KPI linked loan - CIB")</f>
        <v>KPI linked loan - CIB</v>
      </c>
      <c r="AC709" s="4" t="str">
        <f ca="1">IFERROR(__xludf.DUMMYFUNCTION("""COMPUTED_VALUE"""),"3Q 2023")</f>
        <v>3Q 2023</v>
      </c>
      <c r="AD709" s="4"/>
      <c r="AE709" s="4"/>
      <c r="AF709" s="4"/>
      <c r="AG709" s="4"/>
      <c r="AH709" s="4"/>
      <c r="AI709" s="4"/>
      <c r="AJ709" s="4"/>
      <c r="AK709" s="4" t="str">
        <f ca="1">IFERROR(__xludf.DUMMYFUNCTION("""COMPUTED_VALUE"""),"Sin asignar")</f>
        <v>Sin asignar</v>
      </c>
      <c r="AL709" s="4" t="str">
        <f ca="1">IFERROR(__xludf.DUMMYFUNCTION("""COMPUTED_VALUE"""),"Sin asignar")</f>
        <v>Sin asignar</v>
      </c>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row>
    <row r="710" spans="1:132" x14ac:dyDescent="0.2">
      <c r="A710" s="4">
        <f ca="1">IFERROR(__xludf.DUMMYFUNCTION("""COMPUTED_VALUE"""),710)</f>
        <v>710</v>
      </c>
      <c r="B710" s="4" t="str">
        <f ca="1">IFERROR(__xludf.DUMMYFUNCTION("""COMPUTED_VALUE"""),"Sin prioridad")</f>
        <v>Sin prioridad</v>
      </c>
      <c r="C710" s="4" t="str">
        <f ca="1">IFERROR(__xludf.DUMMYFUNCTION("""COMPUTED_VALUE"""),"SDATOOL-42058")</f>
        <v>SDATOOL-42058</v>
      </c>
      <c r="D710" s="4" t="str">
        <f ca="1">IFERROR(__xludf.DUMMYFUNCTION("""COMPUTED_VALUE"""),"WS Procesos Sostenibilidad 2023")</f>
        <v>WS Procesos Sostenibilidad 2023</v>
      </c>
      <c r="E710"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0" s="4" t="str">
        <f ca="1">IFERROR(__xludf.DUMMYFUNCTION("""COMPUTED_VALUE"""),"Initiative")</f>
        <v>Initiative</v>
      </c>
      <c r="G710" s="4" t="str">
        <f ca="1">IFERROR(__xludf.DUMMYFUNCTION("""COMPUTED_VALUE"""),"Flow")</f>
        <v>Flow</v>
      </c>
      <c r="H710" s="4" t="str">
        <f ca="1">IFERROR(__xludf.DUMMYFUNCTION("""COMPUTED_VALUE"""),"4Q 2023")</f>
        <v>4Q 2023</v>
      </c>
      <c r="I710" s="4"/>
      <c r="J710" s="4"/>
      <c r="K710" s="131" t="str">
        <f ca="1">IFERROR(__xludf.DUMMYFUNCTION("""COMPUTED_VALUE"""),"carlosdavid.pacheco-bbva.com")</f>
        <v>carlosdavid.pacheco-bbva.com</v>
      </c>
      <c r="L710" s="4"/>
      <c r="M710" s="4"/>
      <c r="N710" s="4"/>
      <c r="O710" s="4"/>
      <c r="P710" s="4"/>
      <c r="Q710" s="4"/>
      <c r="R710" s="4"/>
      <c r="S710" s="4"/>
      <c r="T710" s="4"/>
      <c r="U710" s="4"/>
      <c r="V710" s="4"/>
      <c r="W710" s="4"/>
      <c r="X710" s="4"/>
      <c r="Y710" s="4"/>
      <c r="Z710" s="132" t="str">
        <f ca="1">IFERROR(__xludf.DUMMYFUNCTION("""COMPUTED_VALUE"""),"723620")</f>
        <v>723620</v>
      </c>
      <c r="AA710" s="4" t="str">
        <f ca="1">IFERROR(__xludf.DUMMYFUNCTION("""COMPUTED_VALUE"""),"KPI linked loan - Enterprise")</f>
        <v>KPI linked loan - Enterprise</v>
      </c>
      <c r="AB710" s="4" t="str">
        <f ca="1">IFERROR(__xludf.DUMMYFUNCTION("""COMPUTED_VALUE"""),"KPI linked loan - Enterprise")</f>
        <v>KPI linked loan - Enterprise</v>
      </c>
      <c r="AC710" s="4" t="str">
        <f ca="1">IFERROR(__xludf.DUMMYFUNCTION("""COMPUTED_VALUE"""),"3Q 2023")</f>
        <v>3Q 2023</v>
      </c>
      <c r="AD710" s="4"/>
      <c r="AE710" s="4"/>
      <c r="AF710" s="4"/>
      <c r="AG710" s="4"/>
      <c r="AH710" s="4"/>
      <c r="AI710" s="4"/>
      <c r="AJ710" s="4"/>
      <c r="AK710" s="4" t="str">
        <f ca="1">IFERROR(__xludf.DUMMYFUNCTION("""COMPUTED_VALUE"""),"Sin asignar")</f>
        <v>Sin asignar</v>
      </c>
      <c r="AL710" s="4" t="str">
        <f ca="1">IFERROR(__xludf.DUMMYFUNCTION("""COMPUTED_VALUE"""),"Sin asignar")</f>
        <v>Sin asignar</v>
      </c>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row>
    <row r="711" spans="1:132" x14ac:dyDescent="0.2">
      <c r="A711" s="4">
        <f ca="1">IFERROR(__xludf.DUMMYFUNCTION("""COMPUTED_VALUE"""),711)</f>
        <v>711</v>
      </c>
      <c r="B711" s="4" t="str">
        <f ca="1">IFERROR(__xludf.DUMMYFUNCTION("""COMPUTED_VALUE"""),"Sin prioridad")</f>
        <v>Sin prioridad</v>
      </c>
      <c r="C711" s="4" t="str">
        <f ca="1">IFERROR(__xludf.DUMMYFUNCTION("""COMPUTED_VALUE"""),"SDATOOL-42058")</f>
        <v>SDATOOL-42058</v>
      </c>
      <c r="D711" s="4" t="str">
        <f ca="1">IFERROR(__xludf.DUMMYFUNCTION("""COMPUTED_VALUE"""),"WS Procesos Sostenibilidad 2023")</f>
        <v>WS Procesos Sostenibilidad 2023</v>
      </c>
      <c r="E711"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1" s="4" t="str">
        <f ca="1">IFERROR(__xludf.DUMMYFUNCTION("""COMPUTED_VALUE"""),"Initiative")</f>
        <v>Initiative</v>
      </c>
      <c r="G711" s="4" t="str">
        <f ca="1">IFERROR(__xludf.DUMMYFUNCTION("""COMPUTED_VALUE"""),"Flow")</f>
        <v>Flow</v>
      </c>
      <c r="H711" s="4" t="str">
        <f ca="1">IFERROR(__xludf.DUMMYFUNCTION("""COMPUTED_VALUE"""),"4Q 2023")</f>
        <v>4Q 2023</v>
      </c>
      <c r="I711" s="4"/>
      <c r="J711" s="4"/>
      <c r="K711" s="131" t="str">
        <f ca="1">IFERROR(__xludf.DUMMYFUNCTION("""COMPUTED_VALUE"""),"carlosdavid.pacheco-bbva.com")</f>
        <v>carlosdavid.pacheco-bbva.com</v>
      </c>
      <c r="L711" s="4"/>
      <c r="M711" s="4"/>
      <c r="N711" s="4"/>
      <c r="O711" s="4"/>
      <c r="P711" s="4"/>
      <c r="Q711" s="4"/>
      <c r="R711" s="4"/>
      <c r="S711" s="4"/>
      <c r="T711" s="4"/>
      <c r="U711" s="4"/>
      <c r="V711" s="4"/>
      <c r="W711" s="4"/>
      <c r="X711" s="4"/>
      <c r="Y711" s="4"/>
      <c r="Z711" s="132" t="str">
        <f ca="1">IFERROR(__xludf.DUMMYFUNCTION("""COMPUTED_VALUE"""),"723617")</f>
        <v>723617</v>
      </c>
      <c r="AA711" s="4" t="str">
        <f ca="1">IFERROR(__xludf.DUMMYFUNCTION("""COMPUTED_VALUE"""),"Vehículo verde - Particulares -  Retail")</f>
        <v>Vehículo verde - Particulares -  Retail</v>
      </c>
      <c r="AB711" s="4" t="str">
        <f ca="1">IFERROR(__xludf.DUMMYFUNCTION("""COMPUTED_VALUE"""),"Vehículo verde - Particulares -  Retail")</f>
        <v>Vehículo verde - Particulares -  Retail</v>
      </c>
      <c r="AC711" s="4" t="str">
        <f ca="1">IFERROR(__xludf.DUMMYFUNCTION("""COMPUTED_VALUE"""),"3Q 2023")</f>
        <v>3Q 2023</v>
      </c>
      <c r="AD711" s="4"/>
      <c r="AE711" s="4"/>
      <c r="AF711" s="4"/>
      <c r="AG711" s="4"/>
      <c r="AH711" s="4"/>
      <c r="AI711" s="4"/>
      <c r="AJ711" s="4"/>
      <c r="AK711" s="4" t="str">
        <f ca="1">IFERROR(__xludf.DUMMYFUNCTION("""COMPUTED_VALUE"""),"Sin asignar")</f>
        <v>Sin asignar</v>
      </c>
      <c r="AL711" s="4" t="str">
        <f ca="1">IFERROR(__xludf.DUMMYFUNCTION("""COMPUTED_VALUE"""),"Sin asignar")</f>
        <v>Sin asignar</v>
      </c>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row>
    <row r="712" spans="1:132" x14ac:dyDescent="0.2">
      <c r="A712" s="4">
        <f ca="1">IFERROR(__xludf.DUMMYFUNCTION("""COMPUTED_VALUE"""),712)</f>
        <v>712</v>
      </c>
      <c r="B712" s="4" t="str">
        <f ca="1">IFERROR(__xludf.DUMMYFUNCTION("""COMPUTED_VALUE"""),"Sin prioridad")</f>
        <v>Sin prioridad</v>
      </c>
      <c r="C712" s="4" t="str">
        <f ca="1">IFERROR(__xludf.DUMMYFUNCTION("""COMPUTED_VALUE"""),"SDATOOL-42058")</f>
        <v>SDATOOL-42058</v>
      </c>
      <c r="D712" s="4" t="str">
        <f ca="1">IFERROR(__xludf.DUMMYFUNCTION("""COMPUTED_VALUE"""),"WS Procesos Sostenibilidad 2023")</f>
        <v>WS Procesos Sostenibilidad 2023</v>
      </c>
      <c r="E712"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2" s="4" t="str">
        <f ca="1">IFERROR(__xludf.DUMMYFUNCTION("""COMPUTED_VALUE"""),"Initiative")</f>
        <v>Initiative</v>
      </c>
      <c r="G712" s="4" t="str">
        <f ca="1">IFERROR(__xludf.DUMMYFUNCTION("""COMPUTED_VALUE"""),"Flow")</f>
        <v>Flow</v>
      </c>
      <c r="H712" s="4" t="str">
        <f ca="1">IFERROR(__xludf.DUMMYFUNCTION("""COMPUTED_VALUE"""),"4Q 2023")</f>
        <v>4Q 2023</v>
      </c>
      <c r="I712" s="4"/>
      <c r="J712" s="4"/>
      <c r="K712" s="131" t="str">
        <f ca="1">IFERROR(__xludf.DUMMYFUNCTION("""COMPUTED_VALUE"""),"carlosdavid.pacheco-bbva.com")</f>
        <v>carlosdavid.pacheco-bbva.com</v>
      </c>
      <c r="L712" s="4"/>
      <c r="M712" s="4"/>
      <c r="N712" s="4"/>
      <c r="O712" s="4"/>
      <c r="P712" s="4"/>
      <c r="Q712" s="4"/>
      <c r="R712" s="4"/>
      <c r="S712" s="4"/>
      <c r="T712" s="4"/>
      <c r="U712" s="4"/>
      <c r="V712" s="4"/>
      <c r="W712" s="4"/>
      <c r="X712" s="4"/>
      <c r="Y712" s="4"/>
      <c r="Z712" s="132" t="str">
        <f ca="1">IFERROR(__xludf.DUMMYFUNCTION("""COMPUTED_VALUE"""),"723615")</f>
        <v>723615</v>
      </c>
      <c r="AA712" s="4" t="str">
        <f ca="1">IFERROR(__xludf.DUMMYFUNCTION("""COMPUTED_VALUE"""),"Vivienda Sostenible - Particulares -  Retail")</f>
        <v>Vivienda Sostenible - Particulares -  Retail</v>
      </c>
      <c r="AB712" s="4" t="str">
        <f ca="1">IFERROR(__xludf.DUMMYFUNCTION("""COMPUTED_VALUE"""),"Vivienda Sostenible - Particulares -  Retail")</f>
        <v>Vivienda Sostenible - Particulares -  Retail</v>
      </c>
      <c r="AC712" s="4" t="str">
        <f ca="1">IFERROR(__xludf.DUMMYFUNCTION("""COMPUTED_VALUE"""),"3Q 2023")</f>
        <v>3Q 2023</v>
      </c>
      <c r="AD712" s="4"/>
      <c r="AE712" s="4"/>
      <c r="AF712" s="4"/>
      <c r="AG712" s="4"/>
      <c r="AH712" s="4"/>
      <c r="AI712" s="4"/>
      <c r="AJ712" s="4"/>
      <c r="AK712" s="4" t="str">
        <f ca="1">IFERROR(__xludf.DUMMYFUNCTION("""COMPUTED_VALUE"""),"Sin asignar")</f>
        <v>Sin asignar</v>
      </c>
      <c r="AL712" s="4" t="str">
        <f ca="1">IFERROR(__xludf.DUMMYFUNCTION("""COMPUTED_VALUE"""),"Sin asignar")</f>
        <v>Sin asignar</v>
      </c>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row>
    <row r="713" spans="1:132" x14ac:dyDescent="0.2">
      <c r="A713" s="4">
        <f ca="1">IFERROR(__xludf.DUMMYFUNCTION("""COMPUTED_VALUE"""),713)</f>
        <v>713</v>
      </c>
      <c r="B713" s="4" t="str">
        <f ca="1">IFERROR(__xludf.DUMMYFUNCTION("""COMPUTED_VALUE"""),"Sin prioridad")</f>
        <v>Sin prioridad</v>
      </c>
      <c r="C713" s="4" t="str">
        <f ca="1">IFERROR(__xludf.DUMMYFUNCTION("""COMPUTED_VALUE"""),"SDATOOL-42533")</f>
        <v>SDATOOL-42533</v>
      </c>
      <c r="D713" s="4" t="str">
        <f ca="1">IFERROR(__xludf.DUMMYFUNCTION("""COMPUTED_VALUE"""),"Optimización Oroceso Operativo Vivienda Aprobación-Legalización")</f>
        <v>Optimización Oroceso Operativo Vivienda Aprobación-Legalización</v>
      </c>
      <c r="E713" s="4" t="str">
        <f ca="1">IFERROR(__xludf.DUMMYFUNCTION("""COMPUTED_VALUE"""),"Se requiere trasladar la operativa y gestión  comercial del cliente realizada actualmente por la red y Comercializadora de servicios financieros, una vez es aprobado el crédito de vivienda, a un proveedor especializado quien realizará toda la asesoria y o"&amp;"perativa hasta el desembolso y envio a custodio.  Esta actividad será realizada por el proveedor contratado actualmente, realizado con un otro si al contrato,en sedes banco.")</f>
        <v>Se requiere trasladar la operativa y gestión  comercial del cliente realizada actualmente por la red y Comercializadora de servicios financieros, una vez es aprobado el crédito de vivienda, a un proveedor especializado quien realizará toda la asesoria y operativa hasta el desembolso y envio a custodio.  Esta actividad será realizada por el proveedor contratado actualmente, realizado con un otro si al contrato,en sedes banco.</v>
      </c>
      <c r="F713" s="4" t="str">
        <f ca="1">IFERROR(__xludf.DUMMYFUNCTION("""COMPUTED_VALUE"""),"Initiative")</f>
        <v>Initiative</v>
      </c>
      <c r="G713" s="4" t="str">
        <f ca="1">IFERROR(__xludf.DUMMYFUNCTION("""COMPUTED_VALUE"""),"Flow")</f>
        <v>Flow</v>
      </c>
      <c r="H713" s="4" t="str">
        <f ca="1">IFERROR(__xludf.DUMMYFUNCTION("""COMPUTED_VALUE"""),"2Q 2023")</f>
        <v>2Q 2023</v>
      </c>
      <c r="I713" s="131" t="str">
        <f ca="1">IFERROR(__xludf.DUMMYFUNCTION("""COMPUTED_VALUE"""),"jimy.catolico-bbva.com")</f>
        <v>jimy.catolico-bbva.com</v>
      </c>
      <c r="J713" s="131" t="str">
        <f ca="1">IFERROR(__xludf.DUMMYFUNCTION("""COMPUTED_VALUE"""),"jimy.catolico-bbva.com")</f>
        <v>jimy.catolico-bbva.com</v>
      </c>
      <c r="K713" s="131" t="str">
        <f ca="1">IFERROR(__xludf.DUMMYFUNCTION("""COMPUTED_VALUE"""),"luz.rodriguez-bbva.com")</f>
        <v>luz.rodriguez-bbva.com</v>
      </c>
      <c r="L713" s="4"/>
      <c r="M713" s="4"/>
      <c r="N713" s="4"/>
      <c r="O713" s="4"/>
      <c r="P713" s="4"/>
      <c r="Q713" s="4"/>
      <c r="R713" s="4"/>
      <c r="S713" s="4"/>
      <c r="T713" s="4"/>
      <c r="U713" s="4"/>
      <c r="V713" s="4"/>
      <c r="W713" s="4"/>
      <c r="X713" s="4"/>
      <c r="Y713" s="4"/>
      <c r="Z713" s="132" t="str">
        <f ca="1">IFERROR(__xludf.DUMMYFUNCTION("""COMPUTED_VALUE"""),"723668")</f>
        <v>723668</v>
      </c>
      <c r="AA713" s="4" t="str">
        <f ca="1">IFERROR(__xludf.DUMMYFUNCTION("""COMPUTED_VALUE"""),"Optimización Proceso Operativo Vivienda Aprobación-Legalización")</f>
        <v>Optimización Proceso Operativo Vivienda Aprobación-Legalización</v>
      </c>
      <c r="AB713" s="4" t="str">
        <f ca="1">IFERROR(__xludf.DUMMYFUNCTION("""COMPUTED_VALUE"""),"Generación de un archivo plano con 2 cortes diarios de las aprobaciones en vivienda, donde se tenga los datos de contacto cliente y condiciones de aprobación,  para poder alimentar el aplicativo ""Presto"" del proveedor. Así mismo se debe dar acceso al ap"&amp;"licativo ""Presto"" desde los equipos de banco y poder asi llevar el segumiento, control y generación de informes de la gestión de estas operaciones hasta la legalización.Actualmente no se tiene en banco una herramienta para este proceso")</f>
        <v>Generación de un archivo plano con 2 cortes diarios de las aprobaciones en vivienda, donde se tenga los datos de contacto cliente y condiciones de aprobación,  para poder alimentar el aplicativo "Presto" del proveedor. Así mismo se debe dar acceso al aplicativo "Presto" desde los equipos de banco y poder asi llevar el segumiento, control y generación de informes de la gestión de estas operaciones hasta la legalización.Actualmente no se tiene en banco una herramienta para este proceso</v>
      </c>
      <c r="AC713" s="4" t="str">
        <f ca="1">IFERROR(__xludf.DUMMYFUNCTION("""COMPUTED_VALUE"""),"2Q 2023")</f>
        <v>2Q 2023</v>
      </c>
      <c r="AD713" s="4"/>
      <c r="AE713" s="4"/>
      <c r="AF713" s="4"/>
      <c r="AG713" s="4"/>
      <c r="AH713" s="4"/>
      <c r="AI713" s="4"/>
      <c r="AJ713" s="4"/>
      <c r="AK713" s="131" t="str">
        <f ca="1">IFERROR(__xludf.DUMMYFUNCTION("""COMPUTED_VALUE"""),"CCSS-20563")</f>
        <v>CCSS-20563</v>
      </c>
      <c r="AL713" s="4" t="str">
        <f ca="1">IFERROR(__xludf.DUMMYFUNCTION("""COMPUTED_VALUE"""),"New")</f>
        <v>New</v>
      </c>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row>
    <row r="714" spans="1:132" x14ac:dyDescent="0.2">
      <c r="A714" s="4">
        <f ca="1">IFERROR(__xludf.DUMMYFUNCTION("""COMPUTED_VALUE"""),714)</f>
        <v>714</v>
      </c>
      <c r="B714" s="4" t="str">
        <f ca="1">IFERROR(__xludf.DUMMYFUNCTION("""COMPUTED_VALUE"""),"Sin prioridad")</f>
        <v>Sin prioridad</v>
      </c>
      <c r="C714" s="4" t="str">
        <f ca="1">IFERROR(__xludf.DUMMYFUNCTION("""COMPUTED_VALUE"""),"SDATOOL-42553")</f>
        <v>SDATOOL-42553</v>
      </c>
      <c r="D714" s="4" t="str">
        <f ca="1">IFERROR(__xludf.DUMMYFUNCTION("""COMPUTED_VALUE"""),"Nuevo Modelo de Oficina")</f>
        <v>Nuevo Modelo de Oficina</v>
      </c>
      <c r="E714" s="4" t="str">
        <f ca="1">IFERROR(__xludf.DUMMYFUNCTION("""COMPUTED_VALUE"""),"Lograr una oficina enfocada en la gestión comercial")</f>
        <v>Lograr una oficina enfocada en la gestión comercial</v>
      </c>
      <c r="F714" s="4" t="str">
        <f ca="1">IFERROR(__xludf.DUMMYFUNCTION("""COMPUTED_VALUE"""),"Project")</f>
        <v>Project</v>
      </c>
      <c r="G714" s="4" t="str">
        <f ca="1">IFERROR(__xludf.DUMMYFUNCTION("""COMPUTED_VALUE"""),"Flow")</f>
        <v>Flow</v>
      </c>
      <c r="H714" s="4" t="str">
        <f ca="1">IFERROR(__xludf.DUMMYFUNCTION("""COMPUTED_VALUE"""),"3Q 2023")</f>
        <v>3Q 2023</v>
      </c>
      <c r="I714" s="4"/>
      <c r="J714" s="4"/>
      <c r="K714" s="131" t="str">
        <f ca="1">IFERROR(__xludf.DUMMYFUNCTION("""COMPUTED_VALUE"""),"juan.sandoval-bbva.com")</f>
        <v>juan.sandoval-bbva.com</v>
      </c>
      <c r="L714" s="4"/>
      <c r="M714" s="4"/>
      <c r="N714" s="4"/>
      <c r="O714" s="4"/>
      <c r="P714" s="4"/>
      <c r="Q714" s="4"/>
      <c r="R714" s="4"/>
      <c r="S714" s="4"/>
      <c r="T714" s="4"/>
      <c r="U714" s="4"/>
      <c r="V714" s="4"/>
      <c r="W714" s="4"/>
      <c r="X714" s="4"/>
      <c r="Y714" s="4"/>
      <c r="Z714" s="132" t="str">
        <f ca="1">IFERROR(__xludf.DUMMYFUNCTION("""COMPUTED_VALUE"""),"724724")</f>
        <v>724724</v>
      </c>
      <c r="AA714" s="4" t="str">
        <f ca="1">IFERROR(__xludf.DUMMYFUNCTION("""COMPUTED_VALUE"""),"Compra de 15 licencias por 11 meses  para los Gerentes de Franquicia")</f>
        <v>Compra de 15 licencias por 11 meses  para los Gerentes de Franquicia</v>
      </c>
      <c r="AB714" s="4" t="str">
        <f ca="1">IFERROR(__xludf.DUMMYFUNCTION("""COMPUTED_VALUE"""),"Implementación de la herramienta de DWP  por parte de los Gerentes de Franquicia para garantizar seguimiento y control a la actividad comercial de las diferentes Bancas")</f>
        <v>Implementación de la herramienta de DWP  por parte de los Gerentes de Franquicia para garantizar seguimiento y control a la actividad comercial de las diferentes Bancas</v>
      </c>
      <c r="AC714" s="4" t="str">
        <f ca="1">IFERROR(__xludf.DUMMYFUNCTION("""COMPUTED_VALUE"""),"3Q 2023")</f>
        <v>3Q 2023</v>
      </c>
      <c r="AD714" s="4"/>
      <c r="AE714" s="4"/>
      <c r="AF714" s="4"/>
      <c r="AG714" s="4"/>
      <c r="AH714" s="4"/>
      <c r="AI714" s="4"/>
      <c r="AJ714" s="4"/>
      <c r="AK714" s="131" t="str">
        <f ca="1">IFERROR(__xludf.DUMMYFUNCTION("""COMPUTED_VALUE"""),"COLWSFNDIR-368")</f>
        <v>COLWSFNDIR-368</v>
      </c>
      <c r="AL714" s="4" t="str">
        <f ca="1">IFERROR(__xludf.DUMMYFUNCTION("""COMPUTED_VALUE"""),"New")</f>
        <v>New</v>
      </c>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row>
    <row r="715" spans="1:132" x14ac:dyDescent="0.2">
      <c r="A715" s="4">
        <f ca="1">IFERROR(__xludf.DUMMYFUNCTION("""COMPUTED_VALUE"""),715)</f>
        <v>715</v>
      </c>
      <c r="B715" s="4" t="str">
        <f ca="1">IFERROR(__xludf.DUMMYFUNCTION("""COMPUTED_VALUE"""),"Sin prioridad")</f>
        <v>Sin prioridad</v>
      </c>
      <c r="C715" s="4" t="str">
        <f ca="1">IFERROR(__xludf.DUMMYFUNCTION("""COMPUTED_VALUE"""),"SDATOOL-42554")</f>
        <v>SDATOOL-42554</v>
      </c>
      <c r="D715" s="4" t="str">
        <f ca="1">IFERROR(__xludf.DUMMYFUNCTION("""COMPUTED_VALUE"""),"Entrega tarjeta de crédito por biometría")</f>
        <v>Entrega tarjeta de crédito por biometría</v>
      </c>
      <c r="E715" s="4" t="str">
        <f ca="1">IFERROR(__xludf.DUMMYFUNCTION("""COMPUTED_VALUE"""),"Gestionar Otro Si (por un periodo de 38 meses, desde el 01/04/2023 hasta el 31/05/2026) para incluir los procesos de Biometría y Destrucción en el Contrato Servicio Entrega personalizada y certificada a nivel nacional de Tarjetas con los proveedores Logyt"&amp;"ech, Domesa, Domina.")</f>
        <v>Gestionar Otro Si (por un periodo de 38 meses, desde el 01/04/2023 hasta el 31/05/2026) para incluir los procesos de Biometría y Destrucción en el Contrato Servicio Entrega personalizada y certificada a nivel nacional de Tarjetas con los proveedores Logytech, Domesa, Domina.</v>
      </c>
      <c r="F715" s="4" t="str">
        <f ca="1">IFERROR(__xludf.DUMMYFUNCTION("""COMPUTED_VALUE"""),"Project")</f>
        <v>Project</v>
      </c>
      <c r="G715" s="4" t="str">
        <f ca="1">IFERROR(__xludf.DUMMYFUNCTION("""COMPUTED_VALUE"""),"Flow")</f>
        <v>Flow</v>
      </c>
      <c r="H715" s="4" t="str">
        <f ca="1">IFERROR(__xludf.DUMMYFUNCTION("""COMPUTED_VALUE"""),"4Q 2023")</f>
        <v>4Q 2023</v>
      </c>
      <c r="I715" s="4"/>
      <c r="J715" s="4"/>
      <c r="K715" s="131" t="str">
        <f ca="1">IFERROR(__xludf.DUMMYFUNCTION("""COMPUTED_VALUE"""),"ronal.saavedra-bbva.com")</f>
        <v>ronal.saavedra-bbva.com</v>
      </c>
      <c r="L715" s="4"/>
      <c r="M715" s="4"/>
      <c r="N715" s="4"/>
      <c r="O715" s="4"/>
      <c r="P715" s="4"/>
      <c r="Q715" s="4"/>
      <c r="R715" s="4"/>
      <c r="S715" s="4"/>
      <c r="T715" s="4"/>
      <c r="U715" s="4"/>
      <c r="V715" s="4"/>
      <c r="W715" s="4"/>
      <c r="X715" s="4"/>
      <c r="Y715" s="4"/>
      <c r="Z715" s="132" t="str">
        <f ca="1">IFERROR(__xludf.DUMMYFUNCTION("""COMPUTED_VALUE"""),"724725")</f>
        <v>724725</v>
      </c>
      <c r="AA715" s="4" t="str">
        <f ca="1">IFERROR(__xludf.DUMMYFUNCTION("""COMPUTED_VALUE"""),"Entrega de TdC por biometría (5.600 al mes)")</f>
        <v>Entrega de TdC por biometría (5.600 al mes)</v>
      </c>
      <c r="AB715" s="4" t="str">
        <f ca="1">IFERROR(__xludf.DUMMYFUNCTION("""COMPUTED_VALUE"""),"Entrega de TdC por biometría (5.600 al mes)")</f>
        <v>Entrega de TdC por biometría (5.600 al mes)</v>
      </c>
      <c r="AC715" s="4" t="str">
        <f ca="1">IFERROR(__xludf.DUMMYFUNCTION("""COMPUTED_VALUE"""),"3Q 2023")</f>
        <v>3Q 2023</v>
      </c>
      <c r="AD715" s="4"/>
      <c r="AE715" s="4"/>
      <c r="AF715" s="4"/>
      <c r="AG715" s="4"/>
      <c r="AH715" s="4"/>
      <c r="AI715" s="4"/>
      <c r="AJ715" s="4"/>
      <c r="AK715" s="131" t="str">
        <f ca="1">IFERROR(__xludf.DUMMYFUNCTION("""COMPUTED_VALUE"""),"COLWSMEDIO-6279")</f>
        <v>COLWSMEDIO-6279</v>
      </c>
      <c r="AL715" s="4" t="str">
        <f ca="1">IFERROR(__xludf.DUMMYFUNCTION("""COMPUTED_VALUE"""),"New")</f>
        <v>New</v>
      </c>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row>
    <row r="716" spans="1:132" x14ac:dyDescent="0.2">
      <c r="A716" s="4">
        <f ca="1">IFERROR(__xludf.DUMMYFUNCTION("""COMPUTED_VALUE"""),716)</f>
        <v>716</v>
      </c>
      <c r="B716" s="4" t="str">
        <f ca="1">IFERROR(__xludf.DUMMYFUNCTION("""COMPUTED_VALUE"""),"Sin prioridad")</f>
        <v>Sin prioridad</v>
      </c>
      <c r="C716" s="4" t="str">
        <f ca="1">IFERROR(__xludf.DUMMYFUNCTION("""COMPUTED_VALUE"""),"SDATOOL-42559")</f>
        <v>SDATOOL-42559</v>
      </c>
      <c r="D716" s="4" t="str">
        <f ca="1">IFERROR(__xludf.DUMMYFUNCTION("""COMPUTED_VALUE"""),"Cargos expansión Banca Empresas (Comercial y Riesgos)")</f>
        <v>Cargos expansión Banca Empresas (Comercial y Riesgos)</v>
      </c>
      <c r="E716" s="4" t="str">
        <f ca="1">IFERROR(__xludf.DUMMYFUNCTION("""COMPUTED_VALUE"""),"Se autoriza el crecimiento de la Banca de Empresas en 28 cargos comerciales y 6 cargos de riesgos para la misma banca")</f>
        <v>Se autoriza el crecimiento de la Banca de Empresas en 28 cargos comerciales y 6 cargos de riesgos para la misma banca</v>
      </c>
      <c r="F716" s="4" t="str">
        <f ca="1">IFERROR(__xludf.DUMMYFUNCTION("""COMPUTED_VALUE"""),"Project")</f>
        <v>Project</v>
      </c>
      <c r="G716" s="4" t="str">
        <f ca="1">IFERROR(__xludf.DUMMYFUNCTION("""COMPUTED_VALUE"""),"Flow")</f>
        <v>Flow</v>
      </c>
      <c r="H716" s="4" t="str">
        <f ca="1">IFERROR(__xludf.DUMMYFUNCTION("""COMPUTED_VALUE"""),"3Q 2023")</f>
        <v>3Q 2023</v>
      </c>
      <c r="I716" s="4"/>
      <c r="J716" s="131" t="str">
        <f ca="1">IFERROR(__xludf.DUMMYFUNCTION("""COMPUTED_VALUE"""),"marthaconsuelo.parra-bbva.com")</f>
        <v>marthaconsuelo.parra-bbva.com</v>
      </c>
      <c r="K716" s="131" t="str">
        <f ca="1">IFERROR(__xludf.DUMMYFUNCTION("""COMPUTED_VALUE"""),"andres.carrandi-bbva.com")</f>
        <v>andres.carrandi-bbva.com</v>
      </c>
      <c r="L716" s="4"/>
      <c r="M716" s="4"/>
      <c r="N716" s="4"/>
      <c r="O716" s="4"/>
      <c r="P716" s="4"/>
      <c r="Q716" s="4"/>
      <c r="R716" s="4"/>
      <c r="S716" s="4"/>
      <c r="T716" s="4"/>
      <c r="U716" s="4"/>
      <c r="V716" s="4"/>
      <c r="W716" s="4"/>
      <c r="X716" s="4"/>
      <c r="Y716" s="4"/>
      <c r="Z716" s="132" t="str">
        <f ca="1">IFERROR(__xludf.DUMMYFUNCTION("""COMPUTED_VALUE"""),"724739")</f>
        <v>724739</v>
      </c>
      <c r="AA716" s="4" t="str">
        <f ca="1">IFERROR(__xludf.DUMMYFUNCTION("""COMPUTED_VALUE"""),"Dotación 28 cargos comerciales Banca Empresas")</f>
        <v>Dotación 28 cargos comerciales Banca Empresas</v>
      </c>
      <c r="AB716" s="4" t="str">
        <f ca="1">IFERROR(__xludf.DUMMYFUNCTION("""COMPUTED_VALUE"""),"Realizar la dotación con el equipamiento tecnológico suficiente para que los 28 nuevos cargos comerciales de la Banca de Empresas puedan realizar sus actividades comerciales sin dificultad")</f>
        <v>Realizar la dotación con el equipamiento tecnológico suficiente para que los 28 nuevos cargos comerciales de la Banca de Empresas puedan realizar sus actividades comerciales sin dificultad</v>
      </c>
      <c r="AC716" s="4" t="str">
        <f ca="1">IFERROR(__xludf.DUMMYFUNCTION("""COMPUTED_VALUE"""),"3Q 2023")</f>
        <v>3Q 2023</v>
      </c>
      <c r="AD716" s="4"/>
      <c r="AE716" s="4"/>
      <c r="AF716" s="4"/>
      <c r="AG716" s="4"/>
      <c r="AH716" s="4"/>
      <c r="AI716" s="4"/>
      <c r="AJ716" s="4"/>
      <c r="AK716" s="131" t="str">
        <f ca="1">IFERROR(__xludf.DUMMYFUNCTION("""COMPUTED_VALUE"""),"COLWSFNDIR-367")</f>
        <v>COLWSFNDIR-367</v>
      </c>
      <c r="AL716" s="4" t="str">
        <f ca="1">IFERROR(__xludf.DUMMYFUNCTION("""COMPUTED_VALUE"""),"New")</f>
        <v>New</v>
      </c>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row>
    <row r="717" spans="1:132" x14ac:dyDescent="0.2">
      <c r="A717" s="4">
        <f ca="1">IFERROR(__xludf.DUMMYFUNCTION("""COMPUTED_VALUE"""),717)</f>
        <v>717</v>
      </c>
      <c r="B717" s="4" t="str">
        <f ca="1">IFERROR(__xludf.DUMMYFUNCTION("""COMPUTED_VALUE"""),"Sin prioridad")</f>
        <v>Sin prioridad</v>
      </c>
      <c r="C717" s="4" t="str">
        <f ca="1">IFERROR(__xludf.DUMMYFUNCTION("""COMPUTED_VALUE"""),"SDATOOL-42559")</f>
        <v>SDATOOL-42559</v>
      </c>
      <c r="D717" s="4" t="str">
        <f ca="1">IFERROR(__xludf.DUMMYFUNCTION("""COMPUTED_VALUE"""),"Cargos expansión Banca Empresas (Comercial y Riesgos)")</f>
        <v>Cargos expansión Banca Empresas (Comercial y Riesgos)</v>
      </c>
      <c r="E717" s="4" t="str">
        <f ca="1">IFERROR(__xludf.DUMMYFUNCTION("""COMPUTED_VALUE"""),"Se autoriza el crecimiento de la Banca de Empresas en 28 cargos comerciales y 6 cargos de riesgos para la misma banca")</f>
        <v>Se autoriza el crecimiento de la Banca de Empresas en 28 cargos comerciales y 6 cargos de riesgos para la misma banca</v>
      </c>
      <c r="F717" s="4" t="str">
        <f ca="1">IFERROR(__xludf.DUMMYFUNCTION("""COMPUTED_VALUE"""),"Project")</f>
        <v>Project</v>
      </c>
      <c r="G717" s="4" t="str">
        <f ca="1">IFERROR(__xludf.DUMMYFUNCTION("""COMPUTED_VALUE"""),"Flow")</f>
        <v>Flow</v>
      </c>
      <c r="H717" s="4" t="str">
        <f ca="1">IFERROR(__xludf.DUMMYFUNCTION("""COMPUTED_VALUE"""),"3Q 2023")</f>
        <v>3Q 2023</v>
      </c>
      <c r="I717" s="4"/>
      <c r="J717" s="131" t="str">
        <f ca="1">IFERROR(__xludf.DUMMYFUNCTION("""COMPUTED_VALUE"""),"marthaconsuelo.parra-bbva.com")</f>
        <v>marthaconsuelo.parra-bbva.com</v>
      </c>
      <c r="K717" s="131" t="str">
        <f ca="1">IFERROR(__xludf.DUMMYFUNCTION("""COMPUTED_VALUE"""),"andres.carrandi-bbva.com")</f>
        <v>andres.carrandi-bbva.com</v>
      </c>
      <c r="L717" s="4"/>
      <c r="M717" s="4"/>
      <c r="N717" s="4"/>
      <c r="O717" s="4"/>
      <c r="P717" s="4"/>
      <c r="Q717" s="4"/>
      <c r="R717" s="4"/>
      <c r="S717" s="4"/>
      <c r="T717" s="4"/>
      <c r="U717" s="4"/>
      <c r="V717" s="4"/>
      <c r="W717" s="4"/>
      <c r="X717" s="4"/>
      <c r="Y717" s="4"/>
      <c r="Z717" s="132" t="str">
        <f ca="1">IFERROR(__xludf.DUMMYFUNCTION("""COMPUTED_VALUE"""),"724740")</f>
        <v>724740</v>
      </c>
      <c r="AA717" s="4" t="str">
        <f ca="1">IFERROR(__xludf.DUMMYFUNCTION("""COMPUTED_VALUE"""),"Dotación 6 cargos Riesgos Banca Empresas")</f>
        <v>Dotación 6 cargos Riesgos Banca Empresas</v>
      </c>
      <c r="AB717" s="4" t="str">
        <f ca="1">IFERROR(__xludf.DUMMYFUNCTION("""COMPUTED_VALUE"""),"Dotar con el equipamiento tecnológico suficiente a los6 funcionarios nuevos de Riesgos en la Banca de Empresas")</f>
        <v>Dotar con el equipamiento tecnológico suficiente a los6 funcionarios nuevos de Riesgos en la Banca de Empresas</v>
      </c>
      <c r="AC717" s="4" t="str">
        <f ca="1">IFERROR(__xludf.DUMMYFUNCTION("""COMPUTED_VALUE"""),"3Q 2023")</f>
        <v>3Q 2023</v>
      </c>
      <c r="AD717" s="4"/>
      <c r="AE717" s="4"/>
      <c r="AF717" s="4"/>
      <c r="AG717" s="4"/>
      <c r="AH717" s="4"/>
      <c r="AI717" s="4"/>
      <c r="AJ717" s="4"/>
      <c r="AK717" s="131" t="str">
        <f ca="1">IFERROR(__xludf.DUMMYFUNCTION("""COMPUTED_VALUE"""),"COLWSFNDIR-366")</f>
        <v>COLWSFNDIR-366</v>
      </c>
      <c r="AL717" s="4" t="str">
        <f ca="1">IFERROR(__xludf.DUMMYFUNCTION("""COMPUTED_VALUE"""),"New")</f>
        <v>New</v>
      </c>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row>
    <row r="718" spans="1:132" x14ac:dyDescent="0.2">
      <c r="A718" s="4">
        <f ca="1">IFERROR(__xludf.DUMMYFUNCTION("""COMPUTED_VALUE"""),718)</f>
        <v>718</v>
      </c>
      <c r="B718" s="4" t="str">
        <f ca="1">IFERROR(__xludf.DUMMYFUNCTION("""COMPUTED_VALUE"""),"Sin prioridad")</f>
        <v>Sin prioridad</v>
      </c>
      <c r="C718" s="4" t="str">
        <f ca="1">IFERROR(__xludf.DUMMYFUNCTION("""COMPUTED_VALUE"""),"SDATOOL-42576")</f>
        <v>SDATOOL-42576</v>
      </c>
      <c r="D718" s="4" t="str">
        <f ca="1">IFERROR(__xludf.DUMMYFUNCTION("""COMPUTED_VALUE"""),"Automatización Cálculo Incentivación (Banco y CSF)")</f>
        <v>Automatización Cálculo Incentivación (Banco y CSF)</v>
      </c>
      <c r="E718" s="4" t="str">
        <f ca="1">IFERROR(__xludf.DUMMYFUNCTION("""COMPUTED_VALUE"""),"Se requiere una plataforma que permita realizar el cálculo de incentivación-Banco y esquemas de remuneración-CSF, además de mostrar los resultados a las redes.")</f>
        <v>Se requiere una plataforma que permita realizar el cálculo de incentivación-Banco y esquemas de remuneración-CSF, además de mostrar los resultados a las redes.</v>
      </c>
      <c r="F718" s="4" t="str">
        <f ca="1">IFERROR(__xludf.DUMMYFUNCTION("""COMPUTED_VALUE"""),"Initiative")</f>
        <v>Initiative</v>
      </c>
      <c r="G718" s="4" t="str">
        <f ca="1">IFERROR(__xludf.DUMMYFUNCTION("""COMPUTED_VALUE"""),"Flow")</f>
        <v>Flow</v>
      </c>
      <c r="H718" s="4" t="str">
        <f ca="1">IFERROR(__xludf.DUMMYFUNCTION("""COMPUTED_VALUE"""),"2Q 2024")</f>
        <v>2Q 2024</v>
      </c>
      <c r="I718" s="131" t="str">
        <f ca="1">IFERROR(__xludf.DUMMYFUNCTION("""COMPUTED_VALUE"""),"ana.santamaria-bbva.com")</f>
        <v>ana.santamaria-bbva.com</v>
      </c>
      <c r="J718" s="131" t="str">
        <f ca="1">IFERROR(__xludf.DUMMYFUNCTION("""COMPUTED_VALUE"""),"lizethalejandra.caseres-bbva.com")</f>
        <v>lizethalejandra.caseres-bbva.com</v>
      </c>
      <c r="K718" s="131" t="str">
        <f ca="1">IFERROR(__xludf.DUMMYFUNCTION("""COMPUTED_VALUE"""),"josedanilo.virguez-bbva.com")</f>
        <v>josedanilo.virguez-bbva.com</v>
      </c>
      <c r="L718" s="4"/>
      <c r="M718" s="4"/>
      <c r="N718" s="4"/>
      <c r="O718" s="4"/>
      <c r="P718" s="4"/>
      <c r="Q718" s="4"/>
      <c r="R718" s="4"/>
      <c r="S718" s="4"/>
      <c r="T718" s="4"/>
      <c r="U718" s="4"/>
      <c r="V718" s="4"/>
      <c r="W718" s="4"/>
      <c r="X718" s="4"/>
      <c r="Y718" s="4"/>
      <c r="Z718" s="132" t="str">
        <f ca="1">IFERROR(__xludf.DUMMYFUNCTION("""COMPUTED_VALUE"""),"773978")</f>
        <v>773978</v>
      </c>
      <c r="AA718" s="4" t="str">
        <f ca="1">IFERROR(__xludf.DUMMYFUNCTION("""COMPUTED_VALUE"""),"Automatización Cálculo Incentivación (Banco y CSF)")</f>
        <v>Automatización Cálculo Incentivación (Banco y CSF)</v>
      </c>
      <c r="AB718" s="4" t="str">
        <f ca="1">IFERROR(__xludf.DUMMYFUNCTION("""COMPUTED_VALUE"""),"Automatización Cálculo Incentivación (Banco y CSF)")</f>
        <v>Automatización Cálculo Incentivación (Banco y CSF)</v>
      </c>
      <c r="AC718" s="4" t="str">
        <f ca="1">IFERROR(__xludf.DUMMYFUNCTION("""COMPUTED_VALUE"""),"4Q 2023")</f>
        <v>4Q 2023</v>
      </c>
      <c r="AD718" s="4"/>
      <c r="AE718" s="4"/>
      <c r="AF718" s="4"/>
      <c r="AG718" s="4"/>
      <c r="AH718" s="4"/>
      <c r="AI718" s="4"/>
      <c r="AJ718" s="4"/>
      <c r="AK718" s="131" t="str">
        <f ca="1">IFERROR(__xludf.DUMMYFUNCTION("""COMPUTED_VALUE"""),"COLWSCRM-2442")</f>
        <v>COLWSCRM-2442</v>
      </c>
      <c r="AL718" s="4" t="str">
        <f ca="1">IFERROR(__xludf.DUMMYFUNCTION("""COMPUTED_VALUE"""),"New")</f>
        <v>New</v>
      </c>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row>
    <row r="719" spans="1:132" x14ac:dyDescent="0.2">
      <c r="A719" s="4">
        <f ca="1">IFERROR(__xludf.DUMMYFUNCTION("""COMPUTED_VALUE"""),719)</f>
        <v>719</v>
      </c>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t="str">
        <f ca="1">IFERROR(__xludf.DUMMYFUNCTION("""COMPUTED_VALUE"""),"Sin asignar")</f>
        <v>Sin asignar</v>
      </c>
      <c r="AL719" s="4" t="str">
        <f ca="1">IFERROR(__xludf.DUMMYFUNCTION("""COMPUTED_VALUE"""),"")</f>
        <v/>
      </c>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row>
    <row r="720" spans="1:132" x14ac:dyDescent="0.2">
      <c r="A720" s="4">
        <f ca="1">IFERROR(__xludf.DUMMYFUNCTION("""COMPUTED_VALUE"""),720)</f>
        <v>720</v>
      </c>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t="str">
        <f ca="1">IFERROR(__xludf.DUMMYFUNCTION("""COMPUTED_VALUE"""),"Sin asignar")</f>
        <v>Sin asignar</v>
      </c>
      <c r="AL720" s="4" t="str">
        <f ca="1">IFERROR(__xludf.DUMMYFUNCTION("""COMPUTED_VALUE"""),"")</f>
        <v/>
      </c>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row>
    <row r="721" spans="1:132" x14ac:dyDescent="0.2">
      <c r="A721" s="4">
        <f ca="1">IFERROR(__xludf.DUMMYFUNCTION("""COMPUTED_VALUE"""),721)</f>
        <v>721</v>
      </c>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t="str">
        <f ca="1">IFERROR(__xludf.DUMMYFUNCTION("""COMPUTED_VALUE"""),"Sin asignar")</f>
        <v>Sin asignar</v>
      </c>
      <c r="AL721" s="4" t="str">
        <f ca="1">IFERROR(__xludf.DUMMYFUNCTION("""COMPUTED_VALUE"""),"")</f>
        <v/>
      </c>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row>
    <row r="722" spans="1:132" x14ac:dyDescent="0.2">
      <c r="A722" s="4">
        <f ca="1">IFERROR(__xludf.DUMMYFUNCTION("""COMPUTED_VALUE"""),722)</f>
        <v>722</v>
      </c>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t="str">
        <f ca="1">IFERROR(__xludf.DUMMYFUNCTION("""COMPUTED_VALUE"""),"Sin asignar")</f>
        <v>Sin asignar</v>
      </c>
      <c r="AL722" s="4" t="str">
        <f ca="1">IFERROR(__xludf.DUMMYFUNCTION("""COMPUTED_VALUE"""),"")</f>
        <v/>
      </c>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row>
    <row r="723" spans="1:132" x14ac:dyDescent="0.2">
      <c r="A723" s="4">
        <f ca="1">IFERROR(__xludf.DUMMYFUNCTION("""COMPUTED_VALUE"""),723)</f>
        <v>723</v>
      </c>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t="str">
        <f ca="1">IFERROR(__xludf.DUMMYFUNCTION("""COMPUTED_VALUE"""),"Sin asignar")</f>
        <v>Sin asignar</v>
      </c>
      <c r="AL723" s="4" t="str">
        <f ca="1">IFERROR(__xludf.DUMMYFUNCTION("""COMPUTED_VALUE"""),"")</f>
        <v/>
      </c>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row>
    <row r="724" spans="1:132" x14ac:dyDescent="0.2">
      <c r="A724" s="4">
        <f ca="1">IFERROR(__xludf.DUMMYFUNCTION("""COMPUTED_VALUE"""),724)</f>
        <v>724</v>
      </c>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t="str">
        <f ca="1">IFERROR(__xludf.DUMMYFUNCTION("""COMPUTED_VALUE"""),"Sin asignar")</f>
        <v>Sin asignar</v>
      </c>
      <c r="AL724" s="4" t="str">
        <f ca="1">IFERROR(__xludf.DUMMYFUNCTION("""COMPUTED_VALUE"""),"")</f>
        <v/>
      </c>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row>
    <row r="725" spans="1:132" x14ac:dyDescent="0.2">
      <c r="A725" s="4">
        <f ca="1">IFERROR(__xludf.DUMMYFUNCTION("""COMPUTED_VALUE"""),725)</f>
        <v>725</v>
      </c>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t="str">
        <f ca="1">IFERROR(__xludf.DUMMYFUNCTION("""COMPUTED_VALUE"""),"Sin asignar")</f>
        <v>Sin asignar</v>
      </c>
      <c r="AL725" s="4" t="str">
        <f ca="1">IFERROR(__xludf.DUMMYFUNCTION("""COMPUTED_VALUE"""),"")</f>
        <v/>
      </c>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row>
    <row r="726" spans="1:132" x14ac:dyDescent="0.2">
      <c r="A726" s="4">
        <f ca="1">IFERROR(__xludf.DUMMYFUNCTION("""COMPUTED_VALUE"""),726)</f>
        <v>726</v>
      </c>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t="str">
        <f ca="1">IFERROR(__xludf.DUMMYFUNCTION("""COMPUTED_VALUE"""),"Sin asignar")</f>
        <v>Sin asignar</v>
      </c>
      <c r="AL726" s="4" t="str">
        <f ca="1">IFERROR(__xludf.DUMMYFUNCTION("""COMPUTED_VALUE"""),"")</f>
        <v/>
      </c>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row>
  </sheetData>
  <hyperlinks>
    <hyperlink ref="I6" r:id="rId1" display="http://ana.santamaria-bbva.com/" xr:uid="{00000000-0004-0000-0E00-000000000000}"/>
    <hyperlink ref="J6" r:id="rId2" display="http://brigitteandrea.rincon-bbva.com/" xr:uid="{00000000-0004-0000-0E00-000001000000}"/>
    <hyperlink ref="K6" r:id="rId3" display="http://marthaconsuelo.parra-bbva.com/" xr:uid="{00000000-0004-0000-0E00-000002000000}"/>
    <hyperlink ref="AK6" r:id="rId4" display="https://globaldevtools.bbva.com/jira/browse/COLWSCRM-900" xr:uid="{00000000-0004-0000-0E00-000003000000}"/>
    <hyperlink ref="I7" r:id="rId5" display="http://ana.santamaria-bbva.com/" xr:uid="{00000000-0004-0000-0E00-000004000000}"/>
    <hyperlink ref="J7" r:id="rId6" display="http://brigitteandrea.rincon-bbva.com/" xr:uid="{00000000-0004-0000-0E00-000005000000}"/>
    <hyperlink ref="K7" r:id="rId7" display="http://marthaconsuelo.parra-bbva.com/" xr:uid="{00000000-0004-0000-0E00-000006000000}"/>
    <hyperlink ref="AK7" r:id="rId8" display="https://globaldevtools.bbva.com/jira/browse/COLWSPREST-6784" xr:uid="{00000000-0004-0000-0E00-000007000000}"/>
    <hyperlink ref="I8" r:id="rId9" display="http://ana.santamaria-bbva.com/" xr:uid="{00000000-0004-0000-0E00-000008000000}"/>
    <hyperlink ref="J8" r:id="rId10" display="http://brigitteandrea.rincon-bbva.com/" xr:uid="{00000000-0004-0000-0E00-000009000000}"/>
    <hyperlink ref="K8" r:id="rId11" display="http://marthaconsuelo.parra-bbva.com/" xr:uid="{00000000-0004-0000-0E00-00000A000000}"/>
    <hyperlink ref="AK8" r:id="rId12" display="https://globaldevtools.bbva.com/jira/browse/COLWSCRM-540" xr:uid="{00000000-0004-0000-0E00-00000B000000}"/>
    <hyperlink ref="I9" r:id="rId13" display="http://ana.santamaria-bbva.com/" xr:uid="{00000000-0004-0000-0E00-00000C000000}"/>
    <hyperlink ref="J9" r:id="rId14" display="http://brigitteandrea.rincon-bbva.com/" xr:uid="{00000000-0004-0000-0E00-00000D000000}"/>
    <hyperlink ref="K9" r:id="rId15" display="http://marthaconsuelo.parra-bbva.com/" xr:uid="{00000000-0004-0000-0E00-00000E000000}"/>
    <hyperlink ref="AK9" r:id="rId16" display="https://globaldevtools.bbva.com/jira/browse/COLWSCRM-2287" xr:uid="{00000000-0004-0000-0E00-00000F000000}"/>
    <hyperlink ref="I10" r:id="rId17" display="http://ana.santamaria-bbva.com/" xr:uid="{00000000-0004-0000-0E00-000010000000}"/>
    <hyperlink ref="J10" r:id="rId18" display="http://brigitteandrea.rincon-bbva.com/" xr:uid="{00000000-0004-0000-0E00-000011000000}"/>
    <hyperlink ref="K10" r:id="rId19" display="http://marthaconsuelo.parra-bbva.com/" xr:uid="{00000000-0004-0000-0E00-000012000000}"/>
    <hyperlink ref="I11" r:id="rId20" display="http://ana.santamaria-bbva.com/" xr:uid="{00000000-0004-0000-0E00-000013000000}"/>
    <hyperlink ref="J11" r:id="rId21" display="http://brigitteandrea.rincon-bbva.com/" xr:uid="{00000000-0004-0000-0E00-000014000000}"/>
    <hyperlink ref="K11" r:id="rId22" display="http://marthaconsuelo.parra-bbva.com/" xr:uid="{00000000-0004-0000-0E00-000015000000}"/>
    <hyperlink ref="I12" r:id="rId23" display="http://ana.santamaria-bbva.com/" xr:uid="{00000000-0004-0000-0E00-000016000000}"/>
    <hyperlink ref="J12" r:id="rId24" display="http://jessicalorena.moncaleano-bbva.com/" xr:uid="{00000000-0004-0000-0E00-000017000000}"/>
    <hyperlink ref="K12" r:id="rId25" display="http://pabloalexand.ortiz-bbva.com/" xr:uid="{00000000-0004-0000-0E00-000018000000}"/>
    <hyperlink ref="AK12" r:id="rId26" display="https://globaldevtools.bbva.com/jira/browse/COLWSDATIO-2553" xr:uid="{00000000-0004-0000-0E00-000019000000}"/>
    <hyperlink ref="I13" r:id="rId27" display="http://ana.santamaria-bbva.com/" xr:uid="{00000000-0004-0000-0E00-00001A000000}"/>
    <hyperlink ref="J13" r:id="rId28" display="http://jessicalorena.moncaleano-bbva.com/" xr:uid="{00000000-0004-0000-0E00-00001B000000}"/>
    <hyperlink ref="K13" r:id="rId29" display="http://pabloalexand.ortiz-bbva.com/" xr:uid="{00000000-0004-0000-0E00-00001C000000}"/>
    <hyperlink ref="I14" r:id="rId30" display="http://ana.santamaria-bbva.com/" xr:uid="{00000000-0004-0000-0E00-00001D000000}"/>
    <hyperlink ref="J14" r:id="rId31" display="http://jessicalorena.moncaleano-bbva.com/" xr:uid="{00000000-0004-0000-0E00-00001E000000}"/>
    <hyperlink ref="K14" r:id="rId32" display="http://pabloalexand.ortiz-bbva.com/" xr:uid="{00000000-0004-0000-0E00-00001F000000}"/>
    <hyperlink ref="I15" r:id="rId33" display="http://ana.santamaria-bbva.com/" xr:uid="{00000000-0004-0000-0E00-000020000000}"/>
    <hyperlink ref="J15" r:id="rId34" display="http://jessicalorena.moncaleano-bbva.com/" xr:uid="{00000000-0004-0000-0E00-000021000000}"/>
    <hyperlink ref="K15" r:id="rId35" display="http://pabloalexand.ortiz-bbva.com/" xr:uid="{00000000-0004-0000-0E00-000022000000}"/>
    <hyperlink ref="AK15" r:id="rId36" display="https://globaldevtools.bbva.com/jira/browse/COLWSDATIO-3339" xr:uid="{00000000-0004-0000-0E00-000023000000}"/>
    <hyperlink ref="I16" r:id="rId37" display="http://ana.santamaria-bbva.com/" xr:uid="{00000000-0004-0000-0E00-000024000000}"/>
    <hyperlink ref="J16" r:id="rId38" display="http://paulajimena.cely-bbva.com/" xr:uid="{00000000-0004-0000-0E00-000025000000}"/>
    <hyperlink ref="K16" r:id="rId39" display="http://david.juvinao-bbva.com/" xr:uid="{00000000-0004-0000-0E00-000026000000}"/>
    <hyperlink ref="AK16" r:id="rId40" display="https://globaldevtools.bbva.com/jira/browse/COLWSDATIO-2403" xr:uid="{00000000-0004-0000-0E00-000027000000}"/>
    <hyperlink ref="I17" r:id="rId41" display="http://ana.santamaria-bbva.com/" xr:uid="{00000000-0004-0000-0E00-000028000000}"/>
    <hyperlink ref="J17" r:id="rId42" display="http://jorgeenrique.vivas-bbva.com/" xr:uid="{00000000-0004-0000-0E00-000029000000}"/>
    <hyperlink ref="K17" r:id="rId43" display="http://pabloalexand.ortiz-bbva.com/" xr:uid="{00000000-0004-0000-0E00-00002A000000}"/>
    <hyperlink ref="AK17" r:id="rId44" display="https://globaldevtools.bbva.com/jira/browse/COLWSCRM-642" xr:uid="{00000000-0004-0000-0E00-00002B000000}"/>
    <hyperlink ref="I18" r:id="rId45" display="http://ana.santamaria-bbva.com/" xr:uid="{00000000-0004-0000-0E00-00002C000000}"/>
    <hyperlink ref="J18" r:id="rId46" display="http://jorgeenrique.vivas-bbva.com/" xr:uid="{00000000-0004-0000-0E00-00002D000000}"/>
    <hyperlink ref="K18" r:id="rId47" display="http://pabloalexand.ortiz-bbva.com/" xr:uid="{00000000-0004-0000-0E00-00002E000000}"/>
    <hyperlink ref="AK18" r:id="rId48" display="https://globaldevtools.bbva.com/jira/browse/COLWSCRM-602" xr:uid="{00000000-0004-0000-0E00-00002F000000}"/>
    <hyperlink ref="I19" r:id="rId49" display="http://ana.santamaria-bbva.com/" xr:uid="{00000000-0004-0000-0E00-000030000000}"/>
    <hyperlink ref="J19" r:id="rId50" display="http://jorgeenrique.vivas-bbva.com/" xr:uid="{00000000-0004-0000-0E00-000031000000}"/>
    <hyperlink ref="K19" r:id="rId51" display="http://pabloalexand.ortiz-bbva.com/" xr:uid="{00000000-0004-0000-0E00-000032000000}"/>
    <hyperlink ref="AK19" r:id="rId52" display="https://globaldevtools.bbva.com/jira/browse/COLWSCRM-2235" xr:uid="{00000000-0004-0000-0E00-000033000000}"/>
    <hyperlink ref="I20" r:id="rId53" display="http://ana.santamaria-bbva.com/" xr:uid="{00000000-0004-0000-0E00-000034000000}"/>
    <hyperlink ref="J20" r:id="rId54" display="http://jorgeenrique.vivas-bbva.com/" xr:uid="{00000000-0004-0000-0E00-000035000000}"/>
    <hyperlink ref="K20" r:id="rId55" display="http://pabloalexand.ortiz-bbva.com/" xr:uid="{00000000-0004-0000-0E00-000036000000}"/>
    <hyperlink ref="AK20" r:id="rId56" display="https://globaldevtools.bbva.com/jira/browse/COLWSCRM-2360" xr:uid="{00000000-0004-0000-0E00-000037000000}"/>
    <hyperlink ref="I21" r:id="rId57" display="http://ana.santamaria-bbva.com/" xr:uid="{00000000-0004-0000-0E00-000038000000}"/>
    <hyperlink ref="J21" r:id="rId58" display="http://jorgeenrique.vivas-bbva.com/" xr:uid="{00000000-0004-0000-0E00-000039000000}"/>
    <hyperlink ref="K21" r:id="rId59" display="http://pabloalexand.ortiz-bbva.com/" xr:uid="{00000000-0004-0000-0E00-00003A000000}"/>
    <hyperlink ref="AK21" r:id="rId60" display="https://globaldevtools.bbva.com/jira/browse/COLWSCRM-2304" xr:uid="{00000000-0004-0000-0E00-00003B000000}"/>
    <hyperlink ref="I22" r:id="rId61" display="http://ana.santamaria-bbva.com/" xr:uid="{00000000-0004-0000-0E00-00003C000000}"/>
    <hyperlink ref="J22" r:id="rId62" display="http://jorgeenrique.vivas-bbva.com/" xr:uid="{00000000-0004-0000-0E00-00003D000000}"/>
    <hyperlink ref="K22" r:id="rId63" display="http://pabloalexand.ortiz-bbva.com/" xr:uid="{00000000-0004-0000-0E00-00003E000000}"/>
    <hyperlink ref="I23" r:id="rId64" display="http://ana.santamaria-bbva.com/" xr:uid="{00000000-0004-0000-0E00-00003F000000}"/>
    <hyperlink ref="J23" r:id="rId65" display="http://jorgeenrique.vivas-bbva.com/" xr:uid="{00000000-0004-0000-0E00-000040000000}"/>
    <hyperlink ref="K23" r:id="rId66" display="http://pabloalexand.ortiz-bbva.com/" xr:uid="{00000000-0004-0000-0E00-000041000000}"/>
    <hyperlink ref="AK23" r:id="rId67" display="https://globaldevtools.bbva.com/jira/browse/COLWSCRM-2173" xr:uid="{00000000-0004-0000-0E00-000042000000}"/>
    <hyperlink ref="I24" r:id="rId68" display="http://ana.santamaria-bbva.com/" xr:uid="{00000000-0004-0000-0E00-000043000000}"/>
    <hyperlink ref="J24" r:id="rId69" display="http://jorgeenrique.vivas-bbva.com/" xr:uid="{00000000-0004-0000-0E00-000044000000}"/>
    <hyperlink ref="K24" r:id="rId70" display="http://pabloalexand.ortiz-bbva.com/" xr:uid="{00000000-0004-0000-0E00-000045000000}"/>
    <hyperlink ref="I25" r:id="rId71" display="http://ana.santamaria-bbva.com/" xr:uid="{00000000-0004-0000-0E00-000046000000}"/>
    <hyperlink ref="J25" r:id="rId72" display="http://jorgeenrique.vivas-bbva.com/" xr:uid="{00000000-0004-0000-0E00-000047000000}"/>
    <hyperlink ref="K25" r:id="rId73" display="http://pabloalexand.ortiz-bbva.com/" xr:uid="{00000000-0004-0000-0E00-000048000000}"/>
    <hyperlink ref="I26" r:id="rId74" display="http://ana.santamaria-bbva.com/" xr:uid="{00000000-0004-0000-0E00-000049000000}"/>
    <hyperlink ref="J26" r:id="rId75" display="http://jorgeenrique.vivas-bbva.com/" xr:uid="{00000000-0004-0000-0E00-00004A000000}"/>
    <hyperlink ref="K26" r:id="rId76" display="http://pabloalexand.ortiz-bbva.com/" xr:uid="{00000000-0004-0000-0E00-00004B000000}"/>
    <hyperlink ref="I27" r:id="rId77" display="http://ana.santamaria-bbva.com/" xr:uid="{00000000-0004-0000-0E00-00004C000000}"/>
    <hyperlink ref="J27" r:id="rId78" display="http://davidesteban.fajardo-bbva.com/" xr:uid="{00000000-0004-0000-0E00-00004D000000}"/>
    <hyperlink ref="K27" r:id="rId79" display="http://pabloalexand.ortiz-bbva.com/" xr:uid="{00000000-0004-0000-0E00-00004E000000}"/>
    <hyperlink ref="AK27" r:id="rId80" display="https://globaldevtools.bbva.com/jira/browse/COLWSCRM-2297" xr:uid="{00000000-0004-0000-0E00-00004F000000}"/>
    <hyperlink ref="I28" r:id="rId81" display="http://ana.santamaria-bbva.com/" xr:uid="{00000000-0004-0000-0E00-000050000000}"/>
    <hyperlink ref="J28" r:id="rId82" display="http://davidesteban.fajardo-bbva.com/" xr:uid="{00000000-0004-0000-0E00-000051000000}"/>
    <hyperlink ref="K28" r:id="rId83" display="http://pabloalexand.ortiz-bbva.com/" xr:uid="{00000000-0004-0000-0E00-000052000000}"/>
    <hyperlink ref="AK28" r:id="rId84" display="https://globaldevtools.bbva.com/jira/browse/COLWSCRM-2230" xr:uid="{00000000-0004-0000-0E00-000053000000}"/>
    <hyperlink ref="I29" r:id="rId85" display="http://ana.santamaria-bbva.com/" xr:uid="{00000000-0004-0000-0E00-000054000000}"/>
    <hyperlink ref="J29" r:id="rId86" display="http://davidesteban.fajardo-bbva.com/" xr:uid="{00000000-0004-0000-0E00-000055000000}"/>
    <hyperlink ref="K29" r:id="rId87" display="http://pabloalexand.ortiz-bbva.com/" xr:uid="{00000000-0004-0000-0E00-000056000000}"/>
    <hyperlink ref="AK29" r:id="rId88" display="https://globaldevtools.bbva.com/jira/browse/CCSS-19695" xr:uid="{00000000-0004-0000-0E00-000057000000}"/>
    <hyperlink ref="I30" r:id="rId89" display="http://ana.santamaria-bbva.com/" xr:uid="{00000000-0004-0000-0E00-000058000000}"/>
    <hyperlink ref="J30" r:id="rId90" display="http://davidesteban.fajardo-bbva.com/" xr:uid="{00000000-0004-0000-0E00-000059000000}"/>
    <hyperlink ref="K30" r:id="rId91" display="http://pabloalexand.ortiz-bbva.com/" xr:uid="{00000000-0004-0000-0E00-00005A000000}"/>
    <hyperlink ref="AK30" r:id="rId92" display="https://globaldevtools.bbva.com/jira/browse/CCSS-19495" xr:uid="{00000000-0004-0000-0E00-00005B000000}"/>
    <hyperlink ref="I31" r:id="rId93" display="http://ana.santamaria-bbva.com/" xr:uid="{00000000-0004-0000-0E00-00005C000000}"/>
    <hyperlink ref="J31" r:id="rId94" display="http://davidesteban.fajardo-bbva.com/" xr:uid="{00000000-0004-0000-0E00-00005D000000}"/>
    <hyperlink ref="K31" r:id="rId95" display="http://pabloalexand.ortiz-bbva.com/" xr:uid="{00000000-0004-0000-0E00-00005E000000}"/>
    <hyperlink ref="AK31" r:id="rId96" display="https://globaldevtools.bbva.com/jira/browse/CCSS-19939" xr:uid="{00000000-0004-0000-0E00-00005F000000}"/>
    <hyperlink ref="I32" r:id="rId97" display="http://ana.santamaria-bbva.com/" xr:uid="{00000000-0004-0000-0E00-000060000000}"/>
    <hyperlink ref="J32" r:id="rId98" display="http://davidesteban.fajardo-bbva.com/" xr:uid="{00000000-0004-0000-0E00-000061000000}"/>
    <hyperlink ref="K32" r:id="rId99" display="http://pabloalexand.ortiz-bbva.com/" xr:uid="{00000000-0004-0000-0E00-000062000000}"/>
    <hyperlink ref="I33" r:id="rId100" display="http://ana.santamaria-bbva.com/" xr:uid="{00000000-0004-0000-0E00-000063000000}"/>
    <hyperlink ref="J33" r:id="rId101" display="http://davidesteban.fajardo-bbva.com/" xr:uid="{00000000-0004-0000-0E00-000064000000}"/>
    <hyperlink ref="K33" r:id="rId102" display="http://pabloalexand.ortiz-bbva.com/" xr:uid="{00000000-0004-0000-0E00-000065000000}"/>
    <hyperlink ref="I34" r:id="rId103" display="http://ana.santamaria-bbva.com/" xr:uid="{00000000-0004-0000-0E00-000066000000}"/>
    <hyperlink ref="J34" r:id="rId104" display="http://davidesteban.fajardo-bbva.com/" xr:uid="{00000000-0004-0000-0E00-000067000000}"/>
    <hyperlink ref="K34" r:id="rId105" display="http://pabloalexand.ortiz-bbva.com/" xr:uid="{00000000-0004-0000-0E00-000068000000}"/>
    <hyperlink ref="AK34" r:id="rId106" display="https://globaldevtools.bbva.com/jira/browse/CCSS-17575" xr:uid="{00000000-0004-0000-0E00-000069000000}"/>
    <hyperlink ref="I35" r:id="rId107" display="http://ana.santamaria-bbva.com/" xr:uid="{00000000-0004-0000-0E00-00006A000000}"/>
    <hyperlink ref="J35" r:id="rId108" display="http://brenda.monsalve-bbva.com/" xr:uid="{00000000-0004-0000-0E00-00006B000000}"/>
    <hyperlink ref="K35" r:id="rId109" display="http://josedanilo.virguez-bbva.com/" xr:uid="{00000000-0004-0000-0E00-00006C000000}"/>
    <hyperlink ref="AK35" r:id="rId110" display="https://globaldevtools.bbva.com/jira/browse/COLWSCRM-787" xr:uid="{00000000-0004-0000-0E00-00006D000000}"/>
    <hyperlink ref="I36" r:id="rId111" display="http://ana.santamaria-bbva.com/" xr:uid="{00000000-0004-0000-0E00-00006E000000}"/>
    <hyperlink ref="J36" r:id="rId112" display="http://brenda.monsalve-bbva.com/" xr:uid="{00000000-0004-0000-0E00-00006F000000}"/>
    <hyperlink ref="K36" r:id="rId113" display="http://josedanilo.virguez-bbva.com/" xr:uid="{00000000-0004-0000-0E00-000070000000}"/>
    <hyperlink ref="AK36" r:id="rId114" display="https://globaldevtools.bbva.com/jira/browse/COLWSCRM-2300" xr:uid="{00000000-0004-0000-0E00-000071000000}"/>
    <hyperlink ref="I37" r:id="rId115" display="http://ana.santamaria-bbva.com/" xr:uid="{00000000-0004-0000-0E00-000072000000}"/>
    <hyperlink ref="J37" r:id="rId116" display="http://brenda.monsalve-bbva.com/" xr:uid="{00000000-0004-0000-0E00-000073000000}"/>
    <hyperlink ref="K37" r:id="rId117" display="http://josedanilo.virguez-bbva.com/" xr:uid="{00000000-0004-0000-0E00-000074000000}"/>
    <hyperlink ref="AK37" r:id="rId118" display="https://globaldevtools.bbva.com/jira/browse/COLWSCRM-2301" xr:uid="{00000000-0004-0000-0E00-000075000000}"/>
    <hyperlink ref="I38" r:id="rId119" display="http://ana.santamaria-bbva.com/" xr:uid="{00000000-0004-0000-0E00-000076000000}"/>
    <hyperlink ref="J38" r:id="rId120" display="http://brenda.monsalve-bbva.com/" xr:uid="{00000000-0004-0000-0E00-000077000000}"/>
    <hyperlink ref="K38" r:id="rId121" display="http://josedanilo.virguez-bbva.com/" xr:uid="{00000000-0004-0000-0E00-000078000000}"/>
    <hyperlink ref="AK38" r:id="rId122" display="https://globaldevtools.bbva.com/jira/browse/COLWSCRM-2358" xr:uid="{00000000-0004-0000-0E00-000079000000}"/>
    <hyperlink ref="I39" r:id="rId123" display="http://ana.santamaria-bbva.com/" xr:uid="{00000000-0004-0000-0E00-00007A000000}"/>
    <hyperlink ref="J39" r:id="rId124" display="http://deisyjohana.medina-bbva.com/" xr:uid="{00000000-0004-0000-0E00-00007B000000}"/>
    <hyperlink ref="K39" r:id="rId125" display="http://david.juvinao-bbva.com/" xr:uid="{00000000-0004-0000-0E00-00007C000000}"/>
    <hyperlink ref="AK39" r:id="rId126" display="https://globaldevtools.bbva.com/jira/browse/COLWSDATIO-502" xr:uid="{00000000-0004-0000-0E00-00007D000000}"/>
    <hyperlink ref="I40" r:id="rId127" display="http://ana.santamaria-bbva.com/" xr:uid="{00000000-0004-0000-0E00-00007E000000}"/>
    <hyperlink ref="J40" r:id="rId128" display="http://deisyjohana.medina-bbva.com/" xr:uid="{00000000-0004-0000-0E00-00007F000000}"/>
    <hyperlink ref="K40" r:id="rId129" display="http://david.juvinao-bbva.com/" xr:uid="{00000000-0004-0000-0E00-000080000000}"/>
    <hyperlink ref="AK40" r:id="rId130" display="https://globaldevtools.bbva.com/jira/browse/COLWSDATIO-1891" xr:uid="{00000000-0004-0000-0E00-000081000000}"/>
    <hyperlink ref="I41" r:id="rId131" display="http://ana.santamaria-bbva.com/" xr:uid="{00000000-0004-0000-0E00-000082000000}"/>
    <hyperlink ref="J41" r:id="rId132" display="http://deisyjohana.medina-bbva.com/" xr:uid="{00000000-0004-0000-0E00-000083000000}"/>
    <hyperlink ref="K41" r:id="rId133" display="http://john.calvo-bbva.com/" xr:uid="{00000000-0004-0000-0E00-000084000000}"/>
    <hyperlink ref="AK41" r:id="rId134" display="https://globaldevtools.bbva.com/jira/browse/COLWSDATIO-1955" xr:uid="{00000000-0004-0000-0E00-000085000000}"/>
    <hyperlink ref="I42" r:id="rId135" display="http://ana.santamaria-bbva.com/" xr:uid="{00000000-0004-0000-0E00-000086000000}"/>
    <hyperlink ref="J42" r:id="rId136" display="http://paulajimena.cely-bbva.com/" xr:uid="{00000000-0004-0000-0E00-000087000000}"/>
    <hyperlink ref="K42" r:id="rId137" display="http://john.calvo-bbva.com/" xr:uid="{00000000-0004-0000-0E00-000088000000}"/>
    <hyperlink ref="AK42" r:id="rId138" display="https://globaldevtools.bbva.com/jira/browse/COLWSDATIO-2921" xr:uid="{00000000-0004-0000-0E00-000089000000}"/>
    <hyperlink ref="I43" r:id="rId139" display="http://ana.santamaria-bbva.com/" xr:uid="{00000000-0004-0000-0E00-00008A000000}"/>
    <hyperlink ref="J43" r:id="rId140" display="http://rodrigo.ardila-bbva.com/" xr:uid="{00000000-0004-0000-0E00-00008B000000}"/>
    <hyperlink ref="K43" r:id="rId141" display="http://nelsonandres.bohorquez-bbva.com/" xr:uid="{00000000-0004-0000-0E00-00008C000000}"/>
    <hyperlink ref="AK43" r:id="rId142" display="https://globaldevtools.bbva.com/jira/browse/COLWSDATIO-2092" xr:uid="{00000000-0004-0000-0E00-00008D000000}"/>
    <hyperlink ref="I44" r:id="rId143" display="http://ana.santamaria-bbva.com/" xr:uid="{00000000-0004-0000-0E00-00008E000000}"/>
    <hyperlink ref="J44" r:id="rId144" display="http://rodrigo.ardila-bbva.com/" xr:uid="{00000000-0004-0000-0E00-00008F000000}"/>
    <hyperlink ref="K44" r:id="rId145" display="http://nelsonandres.bohorquez-bbva.com/" xr:uid="{00000000-0004-0000-0E00-000090000000}"/>
    <hyperlink ref="AK44" r:id="rId146" display="https://globaldevtools.bbva.com/jira/browse/COLWSDATIO-1324" xr:uid="{00000000-0004-0000-0E00-000091000000}"/>
    <hyperlink ref="I45" r:id="rId147" display="http://ana.santamaria-bbva.com/" xr:uid="{00000000-0004-0000-0E00-000092000000}"/>
    <hyperlink ref="J45" r:id="rId148" display="http://rodrigo.ardila-bbva.com/" xr:uid="{00000000-0004-0000-0E00-000093000000}"/>
    <hyperlink ref="K45" r:id="rId149" display="http://nelsonandres.bohorquez-bbva.com/" xr:uid="{00000000-0004-0000-0E00-000094000000}"/>
    <hyperlink ref="I46" r:id="rId150" display="http://ana.santamaria-bbva.com/" xr:uid="{00000000-0004-0000-0E00-000095000000}"/>
    <hyperlink ref="J46" r:id="rId151" display="http://rodrigo.ardila-bbva.com/" xr:uid="{00000000-0004-0000-0E00-000096000000}"/>
    <hyperlink ref="K46" r:id="rId152" display="http://nelsonandres.bohorquez-bbva.com/" xr:uid="{00000000-0004-0000-0E00-000097000000}"/>
    <hyperlink ref="I47" r:id="rId153" display="http://ana.santamaria-bbva.com/" xr:uid="{00000000-0004-0000-0E00-000098000000}"/>
    <hyperlink ref="J47" r:id="rId154" display="http://rodrigo.ardila-bbva.com/" xr:uid="{00000000-0004-0000-0E00-000099000000}"/>
    <hyperlink ref="K47" r:id="rId155" display="http://nelsonandres.bohorquez-bbva.com/" xr:uid="{00000000-0004-0000-0E00-00009A000000}"/>
    <hyperlink ref="AK47" r:id="rId156" display="https://globaldevtools.bbva.com/jira/browse/COLWSDATIO-3188" xr:uid="{00000000-0004-0000-0E00-00009B000000}"/>
    <hyperlink ref="I48" r:id="rId157" display="http://ana.santamaria-bbva.com/" xr:uid="{00000000-0004-0000-0E00-00009C000000}"/>
    <hyperlink ref="J48" r:id="rId158" display="http://rodrigo.ardila-bbva.com/" xr:uid="{00000000-0004-0000-0E00-00009D000000}"/>
    <hyperlink ref="K48" r:id="rId159" display="http://nelsonandres.bohorquez-bbva.com/" xr:uid="{00000000-0004-0000-0E00-00009E000000}"/>
    <hyperlink ref="I49" r:id="rId160" display="http://jimy.catolico-bbva.com/" xr:uid="{00000000-0004-0000-0E00-00009F000000}"/>
    <hyperlink ref="J49" r:id="rId161" display="http://carlosalbert.perez-bbva.com/" xr:uid="{00000000-0004-0000-0E00-0000A0000000}"/>
    <hyperlink ref="K49" r:id="rId162" display="http://william.paez-bbva.com/" xr:uid="{00000000-0004-0000-0E00-0000A1000000}"/>
    <hyperlink ref="AK49" r:id="rId163" display="https://globaldevtools.bbva.com/jira/browse/COLWSCANAL-14855" xr:uid="{00000000-0004-0000-0E00-0000A2000000}"/>
    <hyperlink ref="I50" r:id="rId164" display="http://jimy.catolico-bbva.com/" xr:uid="{00000000-0004-0000-0E00-0000A3000000}"/>
    <hyperlink ref="J50" r:id="rId165" display="http://carlosalbert.perez-bbva.com/" xr:uid="{00000000-0004-0000-0E00-0000A4000000}"/>
    <hyperlink ref="K50" r:id="rId166" display="http://william.paez-bbva.com/" xr:uid="{00000000-0004-0000-0E00-0000A5000000}"/>
    <hyperlink ref="AK50" r:id="rId167" display="https://globaldevtools.bbva.com/jira/browse/COLWSCANAL-10228" xr:uid="{00000000-0004-0000-0E00-0000A6000000}"/>
    <hyperlink ref="I51" r:id="rId168" display="http://jimy.catolico-bbva.com/" xr:uid="{00000000-0004-0000-0E00-0000A7000000}"/>
    <hyperlink ref="J51" r:id="rId169" display="http://oscar.bejarano-bbva.com/" xr:uid="{00000000-0004-0000-0E00-0000A8000000}"/>
    <hyperlink ref="K51" r:id="rId170" display="http://yurimilena.moreno-bbva.com/" xr:uid="{00000000-0004-0000-0E00-0000A9000000}"/>
    <hyperlink ref="AK51" r:id="rId171" display="https://globaldevtools.bbva.com/jira/browse/COLWSCANAL-3088" xr:uid="{00000000-0004-0000-0E00-0000AA000000}"/>
    <hyperlink ref="I52" r:id="rId172" display="http://jimy.catolico-bbva.com/" xr:uid="{00000000-0004-0000-0E00-0000AB000000}"/>
    <hyperlink ref="J52" r:id="rId173" display="http://oscar.bejarano-bbva.com/" xr:uid="{00000000-0004-0000-0E00-0000AC000000}"/>
    <hyperlink ref="K52" r:id="rId174" display="http://yurimilena.moreno-bbva.com/" xr:uid="{00000000-0004-0000-0E00-0000AD000000}"/>
    <hyperlink ref="AK52" r:id="rId175" display="https://globaldevtools.bbva.com/jira/browse/COLWSCANAL-3125" xr:uid="{00000000-0004-0000-0E00-0000AE000000}"/>
    <hyperlink ref="I53" r:id="rId176" display="http://jimy.catolico-bbva.com/" xr:uid="{00000000-0004-0000-0E00-0000AF000000}"/>
    <hyperlink ref="J53" r:id="rId177" display="http://oscar.bejarano-bbva.com/" xr:uid="{00000000-0004-0000-0E00-0000B0000000}"/>
    <hyperlink ref="K53" r:id="rId178" display="http://yurimilena.moreno-bbva.com/" xr:uid="{00000000-0004-0000-0E00-0000B1000000}"/>
    <hyperlink ref="AK53" r:id="rId179" display="https://globaldevtools.bbva.com/jira/browse/COLWSCANAL-3124" xr:uid="{00000000-0004-0000-0E00-0000B2000000}"/>
    <hyperlink ref="I54" r:id="rId180" display="http://jimy.catolico-bbva.com/" xr:uid="{00000000-0004-0000-0E00-0000B3000000}"/>
    <hyperlink ref="J54" r:id="rId181" display="http://oscar.bejarano-bbva.com/" xr:uid="{00000000-0004-0000-0E00-0000B4000000}"/>
    <hyperlink ref="K54" r:id="rId182" display="http://yurimilena.moreno-bbva.com/" xr:uid="{00000000-0004-0000-0E00-0000B5000000}"/>
    <hyperlink ref="I55" r:id="rId183" display="http://jimy.catolico-bbva.com/" xr:uid="{00000000-0004-0000-0E00-0000B6000000}"/>
    <hyperlink ref="J55" r:id="rId184" display="http://diegofernand.castro-bbva.com/" xr:uid="{00000000-0004-0000-0E00-0000B7000000}"/>
    <hyperlink ref="K55" r:id="rId185" display="http://monica.zamudio-bbva.com/" xr:uid="{00000000-0004-0000-0E00-0000B8000000}"/>
    <hyperlink ref="AK55" r:id="rId186" display="https://globaldevtools.bbva.com/jira/browse/COLWSPREST-847" xr:uid="{00000000-0004-0000-0E00-0000B9000000}"/>
    <hyperlink ref="I56" r:id="rId187" display="http://jimy.catolico-bbva.com/" xr:uid="{00000000-0004-0000-0E00-0000BA000000}"/>
    <hyperlink ref="J56" r:id="rId188" display="http://diegofernand.castro-bbva.com/" xr:uid="{00000000-0004-0000-0E00-0000BB000000}"/>
    <hyperlink ref="K56" r:id="rId189" display="http://monica.zamudio-bbva.com/" xr:uid="{00000000-0004-0000-0E00-0000BC000000}"/>
    <hyperlink ref="AK56" r:id="rId190" display="https://globaldevtools.bbva.com/jira/browse/COLWSPREST-54" xr:uid="{00000000-0004-0000-0E00-0000BD000000}"/>
    <hyperlink ref="I57" r:id="rId191" display="http://jimy.catolico-bbva.com/" xr:uid="{00000000-0004-0000-0E00-0000BE000000}"/>
    <hyperlink ref="J57" r:id="rId192" display="http://diegofernand.castro-bbva.com/" xr:uid="{00000000-0004-0000-0E00-0000BF000000}"/>
    <hyperlink ref="K57" r:id="rId193" display="http://monica.zamudio-bbva.com/" xr:uid="{00000000-0004-0000-0E00-0000C0000000}"/>
    <hyperlink ref="AK57" r:id="rId194" display="https://globaldevtools.bbva.com/jira/browse/COLWSPREST-3775" xr:uid="{00000000-0004-0000-0E00-0000C1000000}"/>
    <hyperlink ref="I58" r:id="rId195" display="http://jimy.catolico-bbva.com/" xr:uid="{00000000-0004-0000-0E00-0000C2000000}"/>
    <hyperlink ref="J58" r:id="rId196" display="http://diegofernand.castro-bbva.com/" xr:uid="{00000000-0004-0000-0E00-0000C3000000}"/>
    <hyperlink ref="K58" r:id="rId197" display="http://monica.zamudio-bbva.com/" xr:uid="{00000000-0004-0000-0E00-0000C4000000}"/>
    <hyperlink ref="AK58" r:id="rId198" display="https://globaldevtools.bbva.com/jira/browse/COLWSPREST-7249" xr:uid="{00000000-0004-0000-0E00-0000C5000000}"/>
    <hyperlink ref="I59" r:id="rId199" display="http://jimy.catolico-bbva.com/" xr:uid="{00000000-0004-0000-0E00-0000C6000000}"/>
    <hyperlink ref="J59" r:id="rId200" display="http://diegofernand.castro-bbva.com/" xr:uid="{00000000-0004-0000-0E00-0000C7000000}"/>
    <hyperlink ref="K59" r:id="rId201" display="http://monica.zamudio-bbva.com/" xr:uid="{00000000-0004-0000-0E00-0000C8000000}"/>
    <hyperlink ref="AK59" r:id="rId202" display="https://globaldevtools.bbva.com/jira/browse/COLWSPREST-10591" xr:uid="{00000000-0004-0000-0E00-0000C9000000}"/>
    <hyperlink ref="I60" r:id="rId203" display="http://jimy.catolico-bbva.com/" xr:uid="{00000000-0004-0000-0E00-0000CA000000}"/>
    <hyperlink ref="J60" r:id="rId204" display="http://diegofernand.castro-bbva.com/" xr:uid="{00000000-0004-0000-0E00-0000CB000000}"/>
    <hyperlink ref="K60" r:id="rId205" display="http://monica.zamudio-bbva.com/" xr:uid="{00000000-0004-0000-0E00-0000CC000000}"/>
    <hyperlink ref="AK60" r:id="rId206" display="https://globaldevtools.bbva.com/jira/browse/COLWSPREST-11464" xr:uid="{00000000-0004-0000-0E00-0000CD000000}"/>
    <hyperlink ref="I61" r:id="rId207" display="http://jimy.catolico-bbva.com/" xr:uid="{00000000-0004-0000-0E00-0000CE000000}"/>
    <hyperlink ref="J61" r:id="rId208" display="http://juliocesar.estupinan-bbva.com/" xr:uid="{00000000-0004-0000-0E00-0000CF000000}"/>
    <hyperlink ref="K61" r:id="rId209" display="http://yurimilena.moreno-bbva.com/" xr:uid="{00000000-0004-0000-0E00-0000D0000000}"/>
    <hyperlink ref="AK61" r:id="rId210" display="https://globaldevtools.bbva.com/jira/browse/COLWSCANAL-6848" xr:uid="{00000000-0004-0000-0E00-0000D1000000}"/>
    <hyperlink ref="I62" r:id="rId211" display="http://jimy.catolico-bbva.com/" xr:uid="{00000000-0004-0000-0E00-0000D2000000}"/>
    <hyperlink ref="J62" r:id="rId212" display="http://juliocesar.estupinan-bbva.com/" xr:uid="{00000000-0004-0000-0E00-0000D3000000}"/>
    <hyperlink ref="K62" r:id="rId213" display="http://yurimilena.moreno-bbva.com/" xr:uid="{00000000-0004-0000-0E00-0000D4000000}"/>
    <hyperlink ref="AK62" r:id="rId214" display="https://globaldevtools.bbva.com/jira/browse/COLWSCANAL-1150" xr:uid="{00000000-0004-0000-0E00-0000D5000000}"/>
    <hyperlink ref="I63" r:id="rId215" display="http://jimy.catolico-bbva.com/" xr:uid="{00000000-0004-0000-0E00-0000D6000000}"/>
    <hyperlink ref="J63" r:id="rId216" display="http://juliocesar.estupinan-bbva.com/" xr:uid="{00000000-0004-0000-0E00-0000D7000000}"/>
    <hyperlink ref="K63" r:id="rId217" display="http://yurimilena.moreno-bbva.com/" xr:uid="{00000000-0004-0000-0E00-0000D8000000}"/>
    <hyperlink ref="AK63" r:id="rId218" display="https://globaldevtools.bbva.com/jira/browse/COLWSCANAL-4353" xr:uid="{00000000-0004-0000-0E00-0000D9000000}"/>
    <hyperlink ref="I64" r:id="rId219" display="http://jimy.catolico-bbva.com/" xr:uid="{00000000-0004-0000-0E00-0000DA000000}"/>
    <hyperlink ref="J64" r:id="rId220" display="http://juliocesar.estupinan-bbva.com/" xr:uid="{00000000-0004-0000-0E00-0000DB000000}"/>
    <hyperlink ref="K64" r:id="rId221" display="http://yurimilena.moreno-bbva.com/" xr:uid="{00000000-0004-0000-0E00-0000DC000000}"/>
    <hyperlink ref="AK64" r:id="rId222" display="https://globaldevtools.bbva.com/jira/browse/COLWSCANAL-4193" xr:uid="{00000000-0004-0000-0E00-0000DD000000}"/>
    <hyperlink ref="I65" r:id="rId223" display="http://jimy.catolico-bbva.com/" xr:uid="{00000000-0004-0000-0E00-0000DE000000}"/>
    <hyperlink ref="J65" r:id="rId224" display="http://juliocesar.estupinan-bbva.com/" xr:uid="{00000000-0004-0000-0E00-0000DF000000}"/>
    <hyperlink ref="K65" r:id="rId225" display="http://yurimilena.moreno-bbva.com/" xr:uid="{00000000-0004-0000-0E00-0000E0000000}"/>
    <hyperlink ref="AK65" r:id="rId226" display="https://globaldevtools.bbva.com/jira/browse/COLWSCANAL-6856" xr:uid="{00000000-0004-0000-0E00-0000E1000000}"/>
    <hyperlink ref="I66" r:id="rId227" display="http://jimy.catolico-bbva.com/" xr:uid="{00000000-0004-0000-0E00-0000E2000000}"/>
    <hyperlink ref="J66" r:id="rId228" display="http://juliocesar.estupinan-bbva.com/" xr:uid="{00000000-0004-0000-0E00-0000E3000000}"/>
    <hyperlink ref="K66" r:id="rId229" display="http://yurimilena.moreno-bbva.com/" xr:uid="{00000000-0004-0000-0E00-0000E4000000}"/>
    <hyperlink ref="AK66" r:id="rId230" display="https://globaldevtools.bbva.com/jira/browse/COLWSCANAL-14977" xr:uid="{00000000-0004-0000-0E00-0000E5000000}"/>
    <hyperlink ref="I67" r:id="rId231" display="http://jimy.catolico-bbva.com/" xr:uid="{00000000-0004-0000-0E00-0000E6000000}"/>
    <hyperlink ref="J67" r:id="rId232" display="http://juliocesar.estupinan-bbva.com/" xr:uid="{00000000-0004-0000-0E00-0000E7000000}"/>
    <hyperlink ref="K67" r:id="rId233" display="http://yurimilena.moreno-bbva.com/" xr:uid="{00000000-0004-0000-0E00-0000E8000000}"/>
    <hyperlink ref="AK67" r:id="rId234" display="https://globaldevtools.bbva.com/jira/browse/COLWSCANAL-13541" xr:uid="{00000000-0004-0000-0E00-0000E9000000}"/>
    <hyperlink ref="I68" r:id="rId235" display="http://jimy.catolico-bbva.com/" xr:uid="{00000000-0004-0000-0E00-0000EA000000}"/>
    <hyperlink ref="J68" r:id="rId236" display="http://juliocesar.estupinan-bbva.com/" xr:uid="{00000000-0004-0000-0E00-0000EB000000}"/>
    <hyperlink ref="K68" r:id="rId237" display="http://yurimilena.moreno-bbva.com/" xr:uid="{00000000-0004-0000-0E00-0000EC000000}"/>
    <hyperlink ref="AK68" r:id="rId238" display="https://globaldevtools.bbva.com/jira/browse/COLWSCANAL-13028" xr:uid="{00000000-0004-0000-0E00-0000ED000000}"/>
    <hyperlink ref="I69" r:id="rId239" display="http://jimy.catolico-bbva.com/" xr:uid="{00000000-0004-0000-0E00-0000EE000000}"/>
    <hyperlink ref="J69" r:id="rId240" display="http://juliocesar.estupinan-bbva.com/" xr:uid="{00000000-0004-0000-0E00-0000EF000000}"/>
    <hyperlink ref="K69" r:id="rId241" display="http://yurimilena.moreno-bbva.com/" xr:uid="{00000000-0004-0000-0E00-0000F0000000}"/>
    <hyperlink ref="AK69" r:id="rId242" display="https://globaldevtools.bbva.com/jira/browse/COLWSCANAL-14992" xr:uid="{00000000-0004-0000-0E00-0000F1000000}"/>
    <hyperlink ref="I70" r:id="rId243" display="http://jimy.catolico-bbva.com/" xr:uid="{00000000-0004-0000-0E00-0000F2000000}"/>
    <hyperlink ref="J70" r:id="rId244" display="http://juliocesar.estupinan-bbva.com/" xr:uid="{00000000-0004-0000-0E00-0000F3000000}"/>
    <hyperlink ref="K70" r:id="rId245" display="http://yurimilena.moreno-bbva.com/" xr:uid="{00000000-0004-0000-0E00-0000F4000000}"/>
    <hyperlink ref="AK70" r:id="rId246" display="https://globaldevtools.bbva.com/jira/browse/COLWSCANAL-14670" xr:uid="{00000000-0004-0000-0E00-0000F5000000}"/>
    <hyperlink ref="I71" r:id="rId247" display="http://jimy.catolico-bbva.com/" xr:uid="{00000000-0004-0000-0E00-0000F6000000}"/>
    <hyperlink ref="J71" r:id="rId248" display="http://juliocesar.estupinan-bbva.com/" xr:uid="{00000000-0004-0000-0E00-0000F7000000}"/>
    <hyperlink ref="K71" r:id="rId249" display="http://yurimilena.moreno-bbva.com/" xr:uid="{00000000-0004-0000-0E00-0000F8000000}"/>
    <hyperlink ref="AK71" r:id="rId250" display="https://globaldevtools.bbva.com/jira/browse/COLWSCANAL-14667" xr:uid="{00000000-0004-0000-0E00-0000F9000000}"/>
    <hyperlink ref="I72" r:id="rId251" display="http://jimy.catolico-bbva.com/" xr:uid="{00000000-0004-0000-0E00-0000FA000000}"/>
    <hyperlink ref="J72" r:id="rId252" display="http://juliocesar.estupinan-bbva.com/" xr:uid="{00000000-0004-0000-0E00-0000FB000000}"/>
    <hyperlink ref="K72" r:id="rId253" display="http://yurimilena.moreno-bbva.com/" xr:uid="{00000000-0004-0000-0E00-0000FC000000}"/>
    <hyperlink ref="AK72" r:id="rId254" display="https://globaldevtools.bbva.com/jira/browse/COLWSCANAL-14723" xr:uid="{00000000-0004-0000-0E00-0000FD000000}"/>
    <hyperlink ref="I73" r:id="rId255" display="http://jimy.catolico-bbva.com/" xr:uid="{00000000-0004-0000-0E00-0000FE000000}"/>
    <hyperlink ref="J73" r:id="rId256" display="http://cindytatiana.perilla-bbva.com/" xr:uid="{00000000-0004-0000-0E00-0000FF000000}"/>
    <hyperlink ref="K73" r:id="rId257" display="http://andres.carrandi-bbva.com/" xr:uid="{00000000-0004-0000-0E00-000000010000}"/>
    <hyperlink ref="AK73" r:id="rId258" display="https://globaldevtools.bbva.com/jira/browse/COLWSCANAL-2506" xr:uid="{00000000-0004-0000-0E00-000001010000}"/>
    <hyperlink ref="I74" r:id="rId259" display="http://jimy.catolico-bbva.com/" xr:uid="{00000000-0004-0000-0E00-000002010000}"/>
    <hyperlink ref="J74" r:id="rId260" display="http://cindytatiana.perilla-bbva.com/" xr:uid="{00000000-0004-0000-0E00-000003010000}"/>
    <hyperlink ref="K74" r:id="rId261" display="http://andres.carrandi-bbva.com/" xr:uid="{00000000-0004-0000-0E00-000004010000}"/>
    <hyperlink ref="AK74" r:id="rId262" display="https://globaldevtools.bbva.com/jira/browse/COLWSCANAL-13515" xr:uid="{00000000-0004-0000-0E00-000005010000}"/>
    <hyperlink ref="I75" r:id="rId263" display="http://jimy.catolico-bbva.com/" xr:uid="{00000000-0004-0000-0E00-000006010000}"/>
    <hyperlink ref="J75" r:id="rId264" display="http://oscar.bejarano-bbva.com/" xr:uid="{00000000-0004-0000-0E00-000007010000}"/>
    <hyperlink ref="K75" r:id="rId265" display="http://andres.carrandi-bbva.com/" xr:uid="{00000000-0004-0000-0E00-000008010000}"/>
    <hyperlink ref="AK75" r:id="rId266" display="https://globaldevtools.bbva.com/jira/browse/COLWSCANAL-13512" xr:uid="{00000000-0004-0000-0E00-000009010000}"/>
    <hyperlink ref="I76" r:id="rId267" display="http://jimy.catolico-bbva.com/" xr:uid="{00000000-0004-0000-0E00-00000A010000}"/>
    <hyperlink ref="J76" r:id="rId268" display="http://oscar.bejarano-bbva.com/" xr:uid="{00000000-0004-0000-0E00-00000B010000}"/>
    <hyperlink ref="K76" r:id="rId269" display="http://andres.carrandi-bbva.com/" xr:uid="{00000000-0004-0000-0E00-00000C010000}"/>
    <hyperlink ref="I77" r:id="rId270" display="http://jimy.catolico-bbva.com/" xr:uid="{00000000-0004-0000-0E00-00000D010000}"/>
    <hyperlink ref="J77" r:id="rId271" display="http://oscar.bejarano-bbva.com/" xr:uid="{00000000-0004-0000-0E00-00000E010000}"/>
    <hyperlink ref="K77" r:id="rId272" display="http://andres.carrandi-bbva.com/" xr:uid="{00000000-0004-0000-0E00-00000F010000}"/>
    <hyperlink ref="I78" r:id="rId273" display="http://jimy.catolico-bbva.com/" xr:uid="{00000000-0004-0000-0E00-000010010000}"/>
    <hyperlink ref="J78" r:id="rId274" display="http://oscar.bejarano-bbva.com/" xr:uid="{00000000-0004-0000-0E00-000011010000}"/>
    <hyperlink ref="K78" r:id="rId275" display="http://andres.carrandi-bbva.com/" xr:uid="{00000000-0004-0000-0E00-000012010000}"/>
    <hyperlink ref="AK78" r:id="rId276" display="https://globaldevtools.bbva.com/jira/browse/COLWSCANAL-14068" xr:uid="{00000000-0004-0000-0E00-000013010000}"/>
    <hyperlink ref="I79" r:id="rId277" display="http://jimy.catolico-bbva.com/" xr:uid="{00000000-0004-0000-0E00-000014010000}"/>
    <hyperlink ref="J79" r:id="rId278" display="http://erikajulieth.ruiz-bbva.com/" xr:uid="{00000000-0004-0000-0E00-000015010000}"/>
    <hyperlink ref="K79" r:id="rId279" display="http://jhon.molina-bbva.com/" xr:uid="{00000000-0004-0000-0E00-000016010000}"/>
    <hyperlink ref="AK79" r:id="rId280" display="https://globaldevtools.bbva.com/jira/browse/COLWSCANAL-6693" xr:uid="{00000000-0004-0000-0E00-000017010000}"/>
    <hyperlink ref="I80" r:id="rId281" display="http://jimy.catolico-bbva.com/" xr:uid="{00000000-0004-0000-0E00-000018010000}"/>
    <hyperlink ref="J80" r:id="rId282" display="http://erikajulieth.ruiz-bbva.com/" xr:uid="{00000000-0004-0000-0E00-000019010000}"/>
    <hyperlink ref="K80" r:id="rId283" display="http://jhon.molina-bbva.com/" xr:uid="{00000000-0004-0000-0E00-00001A010000}"/>
    <hyperlink ref="I81" r:id="rId284" display="http://jimy.catolico-bbva.com/" xr:uid="{00000000-0004-0000-0E00-00001B010000}"/>
    <hyperlink ref="J81" r:id="rId285" display="http://erikajulieth.ruiz-bbva.com/" xr:uid="{00000000-0004-0000-0E00-00001C010000}"/>
    <hyperlink ref="K81" r:id="rId286" display="http://jhon.molina-bbva.com/" xr:uid="{00000000-0004-0000-0E00-00001D010000}"/>
    <hyperlink ref="AK81" r:id="rId287" display="https://globaldevtools.bbva.com/jira/browse/COLWSCANAL-12246" xr:uid="{00000000-0004-0000-0E00-00001E010000}"/>
    <hyperlink ref="I82" r:id="rId288" display="http://jimy.catolico-bbva.com/" xr:uid="{00000000-0004-0000-0E00-00001F010000}"/>
    <hyperlink ref="J82" r:id="rId289" display="http://daniela.cifuentes.ariza-bbva.com/" xr:uid="{00000000-0004-0000-0E00-000020010000}"/>
    <hyperlink ref="K82" r:id="rId290" display="http://paolaandrea.hermosa-bbva.com/" xr:uid="{00000000-0004-0000-0E00-000021010000}"/>
    <hyperlink ref="AK82" r:id="rId291" display="https://globaldevtools.bbva.com/jira/browse/COLWSMEDIO-306" xr:uid="{00000000-0004-0000-0E00-000022010000}"/>
    <hyperlink ref="I83" r:id="rId292" display="http://jimy.catolico-bbva.com/" xr:uid="{00000000-0004-0000-0E00-000023010000}"/>
    <hyperlink ref="J83" r:id="rId293" display="http://daniela.cifuentes.ariza-bbva.com/" xr:uid="{00000000-0004-0000-0E00-000024010000}"/>
    <hyperlink ref="K83" r:id="rId294" display="http://paolaandrea.hermosa-bbva.com/" xr:uid="{00000000-0004-0000-0E00-000025010000}"/>
    <hyperlink ref="AK83" r:id="rId295" display="https://globaldevtools.bbva.com/jira/browse/COLWSMEDIO-3496" xr:uid="{00000000-0004-0000-0E00-000026010000}"/>
    <hyperlink ref="I84" r:id="rId296" display="http://jimy.catolico-bbva.com/" xr:uid="{00000000-0004-0000-0E00-000027010000}"/>
    <hyperlink ref="J84" r:id="rId297" display="http://daniela.cifuentes.ariza-bbva.com/" xr:uid="{00000000-0004-0000-0E00-000028010000}"/>
    <hyperlink ref="K84" r:id="rId298" display="http://paolaandrea.hermosa-bbva.com/" xr:uid="{00000000-0004-0000-0E00-000029010000}"/>
    <hyperlink ref="AK84" r:id="rId299" display="https://globaldevtools.bbva.com/jira/browse/COLWSMEDIO-6212" xr:uid="{00000000-0004-0000-0E00-00002A010000}"/>
    <hyperlink ref="I85" r:id="rId300" display="http://jimy.catolico-bbva.com/" xr:uid="{00000000-0004-0000-0E00-00002B010000}"/>
    <hyperlink ref="J85" r:id="rId301" display="http://daniela.cifuentes.ariza-bbva.com/" xr:uid="{00000000-0004-0000-0E00-00002C010000}"/>
    <hyperlink ref="K85" r:id="rId302" display="http://paolaandrea.hermosa-bbva.com/" xr:uid="{00000000-0004-0000-0E00-00002D010000}"/>
    <hyperlink ref="AK85" r:id="rId303" display="https://globaldevtools.bbva.com/jira/browse/COLWSMEDIO-2341" xr:uid="{00000000-0004-0000-0E00-00002E010000}"/>
    <hyperlink ref="I86" r:id="rId304" display="http://jimy.catolico-bbva.com/" xr:uid="{00000000-0004-0000-0E00-00002F010000}"/>
    <hyperlink ref="J86" r:id="rId305" display="http://daniela.cifuentes.ariza-bbva.com/" xr:uid="{00000000-0004-0000-0E00-000030010000}"/>
    <hyperlink ref="K86" r:id="rId306" display="http://paolaandrea.hermosa-bbva.com/" xr:uid="{00000000-0004-0000-0E00-000031010000}"/>
    <hyperlink ref="AK86" r:id="rId307" display="https://globaldevtools.bbva.com/jira/browse/COLWSMEDIO-6220" xr:uid="{00000000-0004-0000-0E00-000032010000}"/>
    <hyperlink ref="I87" r:id="rId308" display="http://jimy.catolico-bbva.com/" xr:uid="{00000000-0004-0000-0E00-000033010000}"/>
    <hyperlink ref="J87" r:id="rId309" display="http://cindytatiana.perilla-bbva.com/" xr:uid="{00000000-0004-0000-0E00-000034010000}"/>
    <hyperlink ref="K87" r:id="rId310" display="http://rocio.garces-bbva.com/" xr:uid="{00000000-0004-0000-0E00-000035010000}"/>
    <hyperlink ref="AK87" r:id="rId311" display="https://globaldevtools.bbva.com/jira/browse/COLWSCANAL-1376" xr:uid="{00000000-0004-0000-0E00-000036010000}"/>
    <hyperlink ref="I88" r:id="rId312" display="http://jimy.catolico-bbva.com/" xr:uid="{00000000-0004-0000-0E00-000037010000}"/>
    <hyperlink ref="J88" r:id="rId313" display="http://cindytatiana.perilla-bbva.com/" xr:uid="{00000000-0004-0000-0E00-000038010000}"/>
    <hyperlink ref="K88" r:id="rId314" display="http://rocio.garces-bbva.com/" xr:uid="{00000000-0004-0000-0E00-000039010000}"/>
    <hyperlink ref="AK88" r:id="rId315" display="https://globaldevtools.bbva.com/jira/browse/COLWSPREST-7788" xr:uid="{00000000-0004-0000-0E00-00003A010000}"/>
    <hyperlink ref="I89" r:id="rId316" display="http://jimy.catolico-bbva.com/" xr:uid="{00000000-0004-0000-0E00-00003B010000}"/>
    <hyperlink ref="J89" r:id="rId317" display="http://cindytatiana.perilla-bbva.com/" xr:uid="{00000000-0004-0000-0E00-00003C010000}"/>
    <hyperlink ref="K89" r:id="rId318" display="http://rocio.garces-bbva.com/" xr:uid="{00000000-0004-0000-0E00-00003D010000}"/>
    <hyperlink ref="AK89" r:id="rId319" display="https://globaldevtools.bbva.com/jira/browse/COLWSCANAL-11532" xr:uid="{00000000-0004-0000-0E00-00003E010000}"/>
    <hyperlink ref="I90" r:id="rId320" display="http://jimy.catolico-bbva.com/" xr:uid="{00000000-0004-0000-0E00-00003F010000}"/>
    <hyperlink ref="J90" r:id="rId321" display="http://cindytatiana.perilla-bbva.com/" xr:uid="{00000000-0004-0000-0E00-000040010000}"/>
    <hyperlink ref="K90" r:id="rId322" display="http://rocio.garces-bbva.com/" xr:uid="{00000000-0004-0000-0E00-000041010000}"/>
    <hyperlink ref="AK90" r:id="rId323" display="https://globaldevtools.bbva.com/jira/browse/COLWSCANAL-13513" xr:uid="{00000000-0004-0000-0E00-000042010000}"/>
    <hyperlink ref="I91" r:id="rId324" display="http://jimy.catolico-bbva.com/" xr:uid="{00000000-0004-0000-0E00-000043010000}"/>
    <hyperlink ref="J91" r:id="rId325" display="http://cindytatiana.perilla-bbva.com/" xr:uid="{00000000-0004-0000-0E00-000044010000}"/>
    <hyperlink ref="K91" r:id="rId326" display="http://rocio.garces-bbva.com/" xr:uid="{00000000-0004-0000-0E00-000045010000}"/>
    <hyperlink ref="AK91" r:id="rId327" display="https://globaldevtools.bbva.com/jira/browse/COLWSCANAL-13514" xr:uid="{00000000-0004-0000-0E00-000046010000}"/>
    <hyperlink ref="I92" r:id="rId328" display="http://jimy.catolico-bbva.com/" xr:uid="{00000000-0004-0000-0E00-000047010000}"/>
    <hyperlink ref="J92" r:id="rId329" display="http://wilson.vera-bbva.com/" xr:uid="{00000000-0004-0000-0E00-000048010000}"/>
    <hyperlink ref="K92" r:id="rId330" display="http://luz.rodriguez-bbva.com/" xr:uid="{00000000-0004-0000-0E00-000049010000}"/>
    <hyperlink ref="I93" r:id="rId331" display="http://jimy.catolico-bbva.com/" xr:uid="{00000000-0004-0000-0E00-00004A010000}"/>
    <hyperlink ref="J93" r:id="rId332" display="http://wilson.vera-bbva.com/" xr:uid="{00000000-0004-0000-0E00-00004B010000}"/>
    <hyperlink ref="K93" r:id="rId333" display="http://luz.rodriguez-bbva.com/" xr:uid="{00000000-0004-0000-0E00-00004C010000}"/>
    <hyperlink ref="AK93" r:id="rId334" display="https://globaldevtools.bbva.com/jira/browse/COLWSCANAL-2430" xr:uid="{00000000-0004-0000-0E00-00004D010000}"/>
    <hyperlink ref="I94" r:id="rId335" display="http://jimy.catolico-bbva.com/" xr:uid="{00000000-0004-0000-0E00-00004E010000}"/>
    <hyperlink ref="J94" r:id="rId336" display="http://wilson.vera-bbva.com/" xr:uid="{00000000-0004-0000-0E00-00004F010000}"/>
    <hyperlink ref="K94" r:id="rId337" display="http://luz.rodriguez-bbva.com/" xr:uid="{00000000-0004-0000-0E00-000050010000}"/>
    <hyperlink ref="AK94" r:id="rId338" display="https://globaldevtools.bbva.com/jira/browse/COLWSCANAL-2403" xr:uid="{00000000-0004-0000-0E00-000051010000}"/>
    <hyperlink ref="I95" r:id="rId339" display="http://jimy.catolico-bbva.com/" xr:uid="{00000000-0004-0000-0E00-000052010000}"/>
    <hyperlink ref="J95" r:id="rId340" display="http://wilson.vera-bbva.com/" xr:uid="{00000000-0004-0000-0E00-000053010000}"/>
    <hyperlink ref="K95" r:id="rId341" display="http://luz.rodriguez-bbva.com/" xr:uid="{00000000-0004-0000-0E00-000054010000}"/>
    <hyperlink ref="I96" r:id="rId342" display="http://jimy.catolico-bbva.com/" xr:uid="{00000000-0004-0000-0E00-000055010000}"/>
    <hyperlink ref="J96" r:id="rId343" display="http://wilson.vera-bbva.com/" xr:uid="{00000000-0004-0000-0E00-000056010000}"/>
    <hyperlink ref="K96" r:id="rId344" display="http://luz.rodriguez-bbva.com/" xr:uid="{00000000-0004-0000-0E00-000057010000}"/>
    <hyperlink ref="I97" r:id="rId345" display="http://jimy.catolico-bbva.com/" xr:uid="{00000000-0004-0000-0E00-000058010000}"/>
    <hyperlink ref="J97" r:id="rId346" display="http://wilson.vera-bbva.com/" xr:uid="{00000000-0004-0000-0E00-000059010000}"/>
    <hyperlink ref="K97" r:id="rId347" display="http://luz.rodriguez-bbva.com/" xr:uid="{00000000-0004-0000-0E00-00005A010000}"/>
    <hyperlink ref="AK97" r:id="rId348" display="https://globaldevtools.bbva.com/jira/browse/COLWSCANAL-9677" xr:uid="{00000000-0004-0000-0E00-00005B010000}"/>
    <hyperlink ref="I98" r:id="rId349" display="http://jimy.catolico-bbva.com/" xr:uid="{00000000-0004-0000-0E00-00005C010000}"/>
    <hyperlink ref="J98" r:id="rId350" display="http://wilson.vera-bbva.com/" xr:uid="{00000000-0004-0000-0E00-00005D010000}"/>
    <hyperlink ref="K98" r:id="rId351" display="http://luz.rodriguez-bbva.com/" xr:uid="{00000000-0004-0000-0E00-00005E010000}"/>
    <hyperlink ref="AK98" r:id="rId352" display="https://globaldevtools.bbva.com/jira/browse/COLWSCANAL-2741" xr:uid="{00000000-0004-0000-0E00-00005F010000}"/>
    <hyperlink ref="I99" r:id="rId353" display="http://jimy.catolico-bbva.com/" xr:uid="{00000000-0004-0000-0E00-000060010000}"/>
    <hyperlink ref="J99" r:id="rId354" display="http://wilson.vera-bbva.com/" xr:uid="{00000000-0004-0000-0E00-000061010000}"/>
    <hyperlink ref="K99" r:id="rId355" display="http://luz.rodriguez-bbva.com/" xr:uid="{00000000-0004-0000-0E00-000062010000}"/>
    <hyperlink ref="AK99" r:id="rId356" display="https://globaldevtools.bbva.com/jira/browse/COLWSCANAL-11949" xr:uid="{00000000-0004-0000-0E00-000063010000}"/>
    <hyperlink ref="I100" r:id="rId357" display="http://jimy.catolico-bbva.com/" xr:uid="{00000000-0004-0000-0E00-000064010000}"/>
    <hyperlink ref="J100" r:id="rId358" display="http://wilson.vera-bbva.com/" xr:uid="{00000000-0004-0000-0E00-000065010000}"/>
    <hyperlink ref="K100" r:id="rId359" display="http://luz.rodriguez-bbva.com/" xr:uid="{00000000-0004-0000-0E00-000066010000}"/>
    <hyperlink ref="AK100" r:id="rId360" display="https://globaldevtools.bbva.com/jira/browse/COLWSCANAL-13516" xr:uid="{00000000-0004-0000-0E00-000067010000}"/>
    <hyperlink ref="I101" r:id="rId361" display="http://jimy.catolico-bbva.com/" xr:uid="{00000000-0004-0000-0E00-000068010000}"/>
    <hyperlink ref="J101" r:id="rId362" display="http://wilson.vera-bbva.com/" xr:uid="{00000000-0004-0000-0E00-000069010000}"/>
    <hyperlink ref="K101" r:id="rId363" display="http://luz.rodriguez-bbva.com/" xr:uid="{00000000-0004-0000-0E00-00006A010000}"/>
    <hyperlink ref="AK101" r:id="rId364" display="https://globaldevtools.bbva.com/jira/browse/COLWSCANAL-11853" xr:uid="{00000000-0004-0000-0E00-00006B010000}"/>
    <hyperlink ref="I102" r:id="rId365" display="http://jimy.catolico-bbva.com/" xr:uid="{00000000-0004-0000-0E00-00006C010000}"/>
    <hyperlink ref="J102" r:id="rId366" display="http://wilson.vera-bbva.com/" xr:uid="{00000000-0004-0000-0E00-00006D010000}"/>
    <hyperlink ref="K102" r:id="rId367" display="http://luz.rodriguez-bbva.com/" xr:uid="{00000000-0004-0000-0E00-00006E010000}"/>
    <hyperlink ref="AK102" r:id="rId368" display="https://globaldevtools.bbva.com/jira/browse/COLWSCANAL-13518" xr:uid="{00000000-0004-0000-0E00-00006F010000}"/>
    <hyperlink ref="I103" r:id="rId369" display="http://jimy.catolico-bbva.com/" xr:uid="{00000000-0004-0000-0E00-000070010000}"/>
    <hyperlink ref="J103" r:id="rId370" display="http://erikajulieth.ruiz-bbva.com/" xr:uid="{00000000-0004-0000-0E00-000071010000}"/>
    <hyperlink ref="K103" r:id="rId371" display="http://juhan.lozano-bbva.com/" xr:uid="{00000000-0004-0000-0E00-000072010000}"/>
    <hyperlink ref="AK103" r:id="rId372" display="https://globaldevtools.bbva.com/jira/browse/COLWSCANAL-933" xr:uid="{00000000-0004-0000-0E00-000073010000}"/>
    <hyperlink ref="I104" r:id="rId373" display="http://jimy.catolico-bbva.com/" xr:uid="{00000000-0004-0000-0E00-000074010000}"/>
    <hyperlink ref="J104" r:id="rId374" display="http://erikajulieth.ruiz-bbva.com/" xr:uid="{00000000-0004-0000-0E00-000075010000}"/>
    <hyperlink ref="K104" r:id="rId375" display="http://juhan.lozano-bbva.com/" xr:uid="{00000000-0004-0000-0E00-000076010000}"/>
    <hyperlink ref="AK104" r:id="rId376" display="https://globaldevtools.bbva.com/jira/browse/COLWSCANAL-13449" xr:uid="{00000000-0004-0000-0E00-000077010000}"/>
    <hyperlink ref="I105" r:id="rId377" display="http://jimy.catolico-bbva.com/" xr:uid="{00000000-0004-0000-0E00-000078010000}"/>
    <hyperlink ref="J105" r:id="rId378" display="http://erikajulieth.ruiz-bbva.com/" xr:uid="{00000000-0004-0000-0E00-000079010000}"/>
    <hyperlink ref="K105" r:id="rId379" display="http://juhan.lozano-bbva.com/" xr:uid="{00000000-0004-0000-0E00-00007A010000}"/>
    <hyperlink ref="AK105" r:id="rId380" display="https://globaldevtools.bbva.com/jira/browse/CCSS-7004" xr:uid="{00000000-0004-0000-0E00-00007B010000}"/>
    <hyperlink ref="I106" r:id="rId381" display="http://jimy.catolico-bbva.com/" xr:uid="{00000000-0004-0000-0E00-00007C010000}"/>
    <hyperlink ref="J106" r:id="rId382" display="http://erikajulieth.ruiz-bbva.com/" xr:uid="{00000000-0004-0000-0E00-00007D010000}"/>
    <hyperlink ref="K106" r:id="rId383" display="http://juhan.lozano-bbva.com/" xr:uid="{00000000-0004-0000-0E00-00007E010000}"/>
    <hyperlink ref="AK106" r:id="rId384" display="https://globaldevtools.bbva.com/jira/browse/CCSS-5046" xr:uid="{00000000-0004-0000-0E00-00007F010000}"/>
    <hyperlink ref="I107" r:id="rId385" display="http://jimy.catolico-bbva.com/" xr:uid="{00000000-0004-0000-0E00-000080010000}"/>
    <hyperlink ref="J107" r:id="rId386" display="http://erikajulieth.ruiz-bbva.com/" xr:uid="{00000000-0004-0000-0E00-000081010000}"/>
    <hyperlink ref="K107" r:id="rId387" display="http://juhan.lozano-bbva.com/" xr:uid="{00000000-0004-0000-0E00-000082010000}"/>
    <hyperlink ref="AK107" r:id="rId388" display="https://globaldevtools.bbva.com/jira/browse/COLWSCANAL-935" xr:uid="{00000000-0004-0000-0E00-000083010000}"/>
    <hyperlink ref="I108" r:id="rId389" display="http://jimy.catolico-bbva.com/" xr:uid="{00000000-0004-0000-0E00-000084010000}"/>
    <hyperlink ref="J108" r:id="rId390" display="http://giulianaandrea.guarin-bbva.com/" xr:uid="{00000000-0004-0000-0E00-000085010000}"/>
    <hyperlink ref="K108" r:id="rId391" display="http://juhan.lozano-bbva.com/" xr:uid="{00000000-0004-0000-0E00-000086010000}"/>
    <hyperlink ref="AK108" r:id="rId392" display="https://globaldevtools.bbva.com/jira/browse/COLWSMEDIO-4080" xr:uid="{00000000-0004-0000-0E00-000087010000}"/>
    <hyperlink ref="I109" r:id="rId393" display="http://jimy.catolico-bbva.com/" xr:uid="{00000000-0004-0000-0E00-000088010000}"/>
    <hyperlink ref="J109" r:id="rId394" display="http://giulianaandrea.guarin-bbva.com/" xr:uid="{00000000-0004-0000-0E00-000089010000}"/>
    <hyperlink ref="K109" r:id="rId395" display="http://juhan.lozano-bbva.com/" xr:uid="{00000000-0004-0000-0E00-00008A010000}"/>
    <hyperlink ref="AK109" r:id="rId396" display="https://globaldevtools.bbva.com/jira/browse/COLWSCANAL-1051" xr:uid="{00000000-0004-0000-0E00-00008B010000}"/>
    <hyperlink ref="I110" r:id="rId397" display="http://jimy.catolico-bbva.com/" xr:uid="{00000000-0004-0000-0E00-00008C010000}"/>
    <hyperlink ref="J110" r:id="rId398" display="http://giulianaandrea.guarin-bbva.com/" xr:uid="{00000000-0004-0000-0E00-00008D010000}"/>
    <hyperlink ref="K110" r:id="rId399" display="http://juhan.lozano-bbva.com/" xr:uid="{00000000-0004-0000-0E00-00008E010000}"/>
    <hyperlink ref="AK110" r:id="rId400" display="https://globaldevtools.bbva.com/jira/browse/CCSS-8850" xr:uid="{00000000-0004-0000-0E00-00008F010000}"/>
    <hyperlink ref="I111" r:id="rId401" display="http://jimy.catolico-bbva.com/" xr:uid="{00000000-0004-0000-0E00-000090010000}"/>
    <hyperlink ref="J111" r:id="rId402" display="http://giulianaandrea.guarin-bbva.com/" xr:uid="{00000000-0004-0000-0E00-000091010000}"/>
    <hyperlink ref="K111" r:id="rId403" display="http://juhan.lozano-bbva.com/" xr:uid="{00000000-0004-0000-0E00-000092010000}"/>
    <hyperlink ref="AK111" r:id="rId404" display="https://globaldevtools.bbva.com/jira/browse/COLWSCANAL-869" xr:uid="{00000000-0004-0000-0E00-000093010000}"/>
    <hyperlink ref="I112" r:id="rId405" display="http://jimy.catolico-bbva.com/" xr:uid="{00000000-0004-0000-0E00-000094010000}"/>
    <hyperlink ref="J112" r:id="rId406" display="http://giulianaandrea.guarin-bbva.com/" xr:uid="{00000000-0004-0000-0E00-000095010000}"/>
    <hyperlink ref="K112" r:id="rId407" display="http://juhan.lozano-bbva.com/" xr:uid="{00000000-0004-0000-0E00-000096010000}"/>
    <hyperlink ref="AK112" r:id="rId408" display="https://globaldevtools.bbva.com/jira/browse/COLWSCANAL-1050" xr:uid="{00000000-0004-0000-0E00-000097010000}"/>
    <hyperlink ref="I113" r:id="rId409" display="http://jimy.catolico-bbva.com/" xr:uid="{00000000-0004-0000-0E00-000098010000}"/>
    <hyperlink ref="J113" r:id="rId410" display="http://giulianaandrea.guarin-bbva.com/" xr:uid="{00000000-0004-0000-0E00-000099010000}"/>
    <hyperlink ref="K113" r:id="rId411" display="http://juhan.lozano-bbva.com/" xr:uid="{00000000-0004-0000-0E00-00009A010000}"/>
    <hyperlink ref="AK113" r:id="rId412" display="https://globaldevtools.bbva.com/jira/browse/CCSS-8851" xr:uid="{00000000-0004-0000-0E00-00009B010000}"/>
    <hyperlink ref="I114" r:id="rId413" display="http://jimy.catolico-bbva.com/" xr:uid="{00000000-0004-0000-0E00-00009C010000}"/>
    <hyperlink ref="J114" r:id="rId414" display="http://giulianaandrea.guarin-bbva.com/" xr:uid="{00000000-0004-0000-0E00-00009D010000}"/>
    <hyperlink ref="K114" r:id="rId415" display="http://juhan.lozano-bbva.com/" xr:uid="{00000000-0004-0000-0E00-00009E010000}"/>
    <hyperlink ref="AK114" r:id="rId416" display="https://globaldevtools.bbva.com/jira/browse/COLWSCANAL-870" xr:uid="{00000000-0004-0000-0E00-00009F010000}"/>
    <hyperlink ref="I115" r:id="rId417" display="http://jimy.catolico-bbva.com/" xr:uid="{00000000-0004-0000-0E00-0000A0010000}"/>
    <hyperlink ref="J115" r:id="rId418" display="http://giulianaandrea.guarin-bbva.com/" xr:uid="{00000000-0004-0000-0E00-0000A1010000}"/>
    <hyperlink ref="K115" r:id="rId419" display="http://juhan.lozano-bbva.com/" xr:uid="{00000000-0004-0000-0E00-0000A2010000}"/>
    <hyperlink ref="AK115" r:id="rId420" display="https://globaldevtools.bbva.com/jira/browse/COLWSCANAL-6282" xr:uid="{00000000-0004-0000-0E00-0000A3010000}"/>
    <hyperlink ref="I116" r:id="rId421" display="http://jimy.catolico-bbva.com/" xr:uid="{00000000-0004-0000-0E00-0000A4010000}"/>
    <hyperlink ref="J116" r:id="rId422" display="http://giulianaandrea.guarin-bbva.com/" xr:uid="{00000000-0004-0000-0E00-0000A5010000}"/>
    <hyperlink ref="K116" r:id="rId423" display="http://juhan.lozano-bbva.com/" xr:uid="{00000000-0004-0000-0E00-0000A6010000}"/>
    <hyperlink ref="AK116" r:id="rId424" display="https://globaldevtools.bbva.com/jira/browse/COLWSCANAL-6281" xr:uid="{00000000-0004-0000-0E00-0000A7010000}"/>
    <hyperlink ref="I117" r:id="rId425" display="http://jimy.catolico-bbva.com/" xr:uid="{00000000-0004-0000-0E00-0000A8010000}"/>
    <hyperlink ref="J117" r:id="rId426" display="http://giulianaandrea.guarin-bbva.com/" xr:uid="{00000000-0004-0000-0E00-0000A9010000}"/>
    <hyperlink ref="K117" r:id="rId427" display="http://juhan.lozano-bbva.com/" xr:uid="{00000000-0004-0000-0E00-0000AA010000}"/>
    <hyperlink ref="AK117" r:id="rId428" display="https://globaldevtools.bbva.com/jira/browse/COLWSCANAL-13332" xr:uid="{00000000-0004-0000-0E00-0000AB010000}"/>
    <hyperlink ref="I118" r:id="rId429" display="http://jimy.catolico-bbva.com/" xr:uid="{00000000-0004-0000-0E00-0000AC010000}"/>
    <hyperlink ref="J118" r:id="rId430" display="http://giulianaandrea.guarin-bbva.com/" xr:uid="{00000000-0004-0000-0E00-0000AD010000}"/>
    <hyperlink ref="K118" r:id="rId431" display="http://juhan.lozano-bbva.com/" xr:uid="{00000000-0004-0000-0E00-0000AE010000}"/>
    <hyperlink ref="AK118" r:id="rId432" display="https://globaldevtools.bbva.com/jira/browse/COLWSCANAL-6288" xr:uid="{00000000-0004-0000-0E00-0000AF010000}"/>
    <hyperlink ref="I119" r:id="rId433" display="http://jimy.catolico-bbva.com/" xr:uid="{00000000-0004-0000-0E00-0000B0010000}"/>
    <hyperlink ref="J119" r:id="rId434" display="http://giulianaandrea.guarin-bbva.com/" xr:uid="{00000000-0004-0000-0E00-0000B1010000}"/>
    <hyperlink ref="K119" r:id="rId435" display="http://juhan.lozano-bbva.com/" xr:uid="{00000000-0004-0000-0E00-0000B2010000}"/>
    <hyperlink ref="AK119" r:id="rId436" display="https://globaldevtools.bbva.com/jira/browse/COLWSCANAL-6287" xr:uid="{00000000-0004-0000-0E00-0000B3010000}"/>
    <hyperlink ref="I120" r:id="rId437" display="http://jimy.catolico-bbva.com/" xr:uid="{00000000-0004-0000-0E00-0000B4010000}"/>
    <hyperlink ref="J120" r:id="rId438" display="http://giulianaandrea.guarin-bbva.com/" xr:uid="{00000000-0004-0000-0E00-0000B5010000}"/>
    <hyperlink ref="K120" r:id="rId439" display="http://juhan.lozano-bbva.com/" xr:uid="{00000000-0004-0000-0E00-0000B6010000}"/>
    <hyperlink ref="AK120" r:id="rId440" display="https://globaldevtools.bbva.com/jira/browse/COLWSCANAL-14067" xr:uid="{00000000-0004-0000-0E00-0000B7010000}"/>
    <hyperlink ref="I121" r:id="rId441" display="http://jimy.catolico-bbva.com/" xr:uid="{00000000-0004-0000-0E00-0000B8010000}"/>
    <hyperlink ref="J121" r:id="rId442" display="http://erikajulieth.ruiz-bbva.com/" xr:uid="{00000000-0004-0000-0E00-0000B9010000}"/>
    <hyperlink ref="K121" r:id="rId443" display="http://juhan.lozano-bbva.com/" xr:uid="{00000000-0004-0000-0E00-0000BA010000}"/>
    <hyperlink ref="AK121" r:id="rId444" display="https://globaldevtools.bbva.com/jira/browse/COLWSCANAL-14240" xr:uid="{00000000-0004-0000-0E00-0000BB010000}"/>
    <hyperlink ref="I122" r:id="rId445" display="http://jimy.catolico-bbva.com/" xr:uid="{00000000-0004-0000-0E00-0000BC010000}"/>
    <hyperlink ref="J122" r:id="rId446" display="http://erikajulieth.ruiz-bbva.com/" xr:uid="{00000000-0004-0000-0E00-0000BD010000}"/>
    <hyperlink ref="K122" r:id="rId447" display="http://juhan.lozano-bbva.com/" xr:uid="{00000000-0004-0000-0E00-0000BE010000}"/>
    <hyperlink ref="AK122" r:id="rId448" display="https://globaldevtools.bbva.com/jira/browse/COLWSCANAL-13342" xr:uid="{00000000-0004-0000-0E00-0000BF010000}"/>
    <hyperlink ref="I123" r:id="rId449" display="http://jimy.catolico-bbva.com/" xr:uid="{00000000-0004-0000-0E00-0000C0010000}"/>
    <hyperlink ref="J123" r:id="rId450" display="http://erikajulieth.ruiz-bbva.com/" xr:uid="{00000000-0004-0000-0E00-0000C1010000}"/>
    <hyperlink ref="K123" r:id="rId451" display="http://juhan.lozano-bbva.com/" xr:uid="{00000000-0004-0000-0E00-0000C2010000}"/>
    <hyperlink ref="AK123" r:id="rId452" display="https://globaldevtools.bbva.com/jira/browse/COLWSCANAL-13340" xr:uid="{00000000-0004-0000-0E00-0000C3010000}"/>
    <hyperlink ref="I124" r:id="rId453" display="http://jimy.catolico-bbva.com/" xr:uid="{00000000-0004-0000-0E00-0000C4010000}"/>
    <hyperlink ref="J124" r:id="rId454" display="http://erikajulieth.ruiz-bbva.com/" xr:uid="{00000000-0004-0000-0E00-0000C5010000}"/>
    <hyperlink ref="K124" r:id="rId455" display="http://juhan.lozano-bbva.com/" xr:uid="{00000000-0004-0000-0E00-0000C6010000}"/>
    <hyperlink ref="AK124" r:id="rId456" display="https://globaldevtools.bbva.com/jira/browse/COLWSCANAL-13468" xr:uid="{00000000-0004-0000-0E00-0000C7010000}"/>
    <hyperlink ref="I125" r:id="rId457" display="http://jimy.catolico-bbva.com/" xr:uid="{00000000-0004-0000-0E00-0000C8010000}"/>
    <hyperlink ref="J125" r:id="rId458" display="http://erikajulieth.ruiz-bbva.com/" xr:uid="{00000000-0004-0000-0E00-0000C9010000}"/>
    <hyperlink ref="K125" r:id="rId459" display="http://juhan.lozano-bbva.com/" xr:uid="{00000000-0004-0000-0E00-0000CA010000}"/>
    <hyperlink ref="AK125" r:id="rId460" display="https://globaldevtools.bbva.com/jira/browse/COLWSCANAL-13467" xr:uid="{00000000-0004-0000-0E00-0000CB010000}"/>
    <hyperlink ref="I126" r:id="rId461" display="http://jimy.catolico-bbva.com/" xr:uid="{00000000-0004-0000-0E00-0000CC010000}"/>
    <hyperlink ref="J126" r:id="rId462" display="http://giulianaandrea.guarin-bbva.com/" xr:uid="{00000000-0004-0000-0E00-0000CD010000}"/>
    <hyperlink ref="K126" r:id="rId463" display="http://juhan.lozano-bbva.com/" xr:uid="{00000000-0004-0000-0E00-0000CE010000}"/>
    <hyperlink ref="AK126" r:id="rId464" display="https://globaldevtools.bbva.com/jira/browse/COLWSMEDIO-4584" xr:uid="{00000000-0004-0000-0E00-0000CF010000}"/>
    <hyperlink ref="I127" r:id="rId465" display="http://jimy.catolico-bbva.com/" xr:uid="{00000000-0004-0000-0E00-0000D0010000}"/>
    <hyperlink ref="J127" r:id="rId466" display="http://giulianaandrea.guarin-bbva.com/" xr:uid="{00000000-0004-0000-0E00-0000D1010000}"/>
    <hyperlink ref="K127" r:id="rId467" display="http://juhan.lozano-bbva.com/" xr:uid="{00000000-0004-0000-0E00-0000D2010000}"/>
    <hyperlink ref="AK127" r:id="rId468" display="https://globaldevtools.bbva.com/jira/browse/COLWSCANAL-12681" xr:uid="{00000000-0004-0000-0E00-0000D3010000}"/>
    <hyperlink ref="I128" r:id="rId469" display="http://jimy.catolico-bbva.com/" xr:uid="{00000000-0004-0000-0E00-0000D4010000}"/>
    <hyperlink ref="J128" r:id="rId470" display="http://erikajulieth.ruiz-bbva.com/" xr:uid="{00000000-0004-0000-0E00-0000D5010000}"/>
    <hyperlink ref="K128" r:id="rId471" display="http://juhan.lozano-bbva.com/" xr:uid="{00000000-0004-0000-0E00-0000D6010000}"/>
    <hyperlink ref="I129" r:id="rId472" display="http://jimy.catolico-bbva.com/" xr:uid="{00000000-0004-0000-0E00-0000D7010000}"/>
    <hyperlink ref="J129" r:id="rId473" display="http://erikajulieth.ruiz-bbva.com/" xr:uid="{00000000-0004-0000-0E00-0000D8010000}"/>
    <hyperlink ref="K129" r:id="rId474" display="http://juhan.lozano-bbva.com/" xr:uid="{00000000-0004-0000-0E00-0000D9010000}"/>
    <hyperlink ref="I130" r:id="rId475" display="http://jimy.catolico-bbva.com/" xr:uid="{00000000-0004-0000-0E00-0000DA010000}"/>
    <hyperlink ref="J130" r:id="rId476" display="http://erikajulieth.ruiz-bbva.com/" xr:uid="{00000000-0004-0000-0E00-0000DB010000}"/>
    <hyperlink ref="K130" r:id="rId477" display="http://juhan.lozano-bbva.com/" xr:uid="{00000000-0004-0000-0E00-0000DC010000}"/>
    <hyperlink ref="I131" r:id="rId478" display="http://jimy.catolico-bbva.com/" xr:uid="{00000000-0004-0000-0E00-0000DD010000}"/>
    <hyperlink ref="J131" r:id="rId479" display="http://erikajulieth.ruiz-bbva.com/" xr:uid="{00000000-0004-0000-0E00-0000DE010000}"/>
    <hyperlink ref="K131" r:id="rId480" display="http://juhan.lozano-bbva.com/" xr:uid="{00000000-0004-0000-0E00-0000DF010000}"/>
    <hyperlink ref="I132" r:id="rId481" display="http://jimy.catolico-bbva.com/" xr:uid="{00000000-0004-0000-0E00-0000E0010000}"/>
    <hyperlink ref="J132" r:id="rId482" display="http://erikajulieth.ruiz-bbva.com/" xr:uid="{00000000-0004-0000-0E00-0000E1010000}"/>
    <hyperlink ref="K132" r:id="rId483" display="http://juhan.lozano-bbva.com/" xr:uid="{00000000-0004-0000-0E00-0000E2010000}"/>
    <hyperlink ref="I133" r:id="rId484" display="http://jimy.catolico-bbva.com/" xr:uid="{00000000-0004-0000-0E00-0000E3010000}"/>
    <hyperlink ref="J133" r:id="rId485" display="http://giulianaandrea.guarin-bbva.com/" xr:uid="{00000000-0004-0000-0E00-0000E4010000}"/>
    <hyperlink ref="K133" r:id="rId486" display="http://juhan.lozano-bbva.com/" xr:uid="{00000000-0004-0000-0E00-0000E5010000}"/>
    <hyperlink ref="I134" r:id="rId487" display="http://jimy.catolico-bbva.com/" xr:uid="{00000000-0004-0000-0E00-0000E6010000}"/>
    <hyperlink ref="J134" r:id="rId488" display="http://giulianaandrea.guarin-bbva.com/" xr:uid="{00000000-0004-0000-0E00-0000E7010000}"/>
    <hyperlink ref="K134" r:id="rId489" display="http://juhan.lozano-bbva.com/" xr:uid="{00000000-0004-0000-0E00-0000E8010000}"/>
    <hyperlink ref="I135" r:id="rId490" display="http://jimy.catolico-bbva.com/" xr:uid="{00000000-0004-0000-0E00-0000E9010000}"/>
    <hyperlink ref="J135" r:id="rId491" display="http://giulianaandrea.guarin-bbva.com/" xr:uid="{00000000-0004-0000-0E00-0000EA010000}"/>
    <hyperlink ref="K135" r:id="rId492" display="http://juhan.lozano-bbva.com/" xr:uid="{00000000-0004-0000-0E00-0000EB010000}"/>
    <hyperlink ref="I136" r:id="rId493" display="http://jimy.catolico-bbva.com/" xr:uid="{00000000-0004-0000-0E00-0000EC010000}"/>
    <hyperlink ref="J136" r:id="rId494" display="http://giulianaandrea.guarin-bbva.com/" xr:uid="{00000000-0004-0000-0E00-0000ED010000}"/>
    <hyperlink ref="K136" r:id="rId495" display="http://juhan.lozano-bbva.com/" xr:uid="{00000000-0004-0000-0E00-0000EE010000}"/>
    <hyperlink ref="I137" r:id="rId496" display="http://jimy.catolico-bbva.com/" xr:uid="{00000000-0004-0000-0E00-0000EF010000}"/>
    <hyperlink ref="J137" r:id="rId497" display="http://giulianaandrea.guarin-bbva.com/" xr:uid="{00000000-0004-0000-0E00-0000F0010000}"/>
    <hyperlink ref="K137" r:id="rId498" display="http://juhan.lozano-bbva.com/" xr:uid="{00000000-0004-0000-0E00-0000F1010000}"/>
    <hyperlink ref="I138" r:id="rId499" display="http://jimy.catolico-bbva.com/" xr:uid="{00000000-0004-0000-0E00-0000F2010000}"/>
    <hyperlink ref="J138" r:id="rId500" display="http://giulianaandrea.guarin-bbva.com/" xr:uid="{00000000-0004-0000-0E00-0000F3010000}"/>
    <hyperlink ref="K138" r:id="rId501" display="http://monica.zamudio-bbva.com/" xr:uid="{00000000-0004-0000-0E00-0000F4010000}"/>
    <hyperlink ref="I139" r:id="rId502" display="http://jimy.catolico-bbva.com/" xr:uid="{00000000-0004-0000-0E00-0000F5010000}"/>
    <hyperlink ref="J139" r:id="rId503" display="http://giulianaandrea.guarin-bbva.com/" xr:uid="{00000000-0004-0000-0E00-0000F6010000}"/>
    <hyperlink ref="K139" r:id="rId504" display="http://monica.zamudio-bbva.com/" xr:uid="{00000000-0004-0000-0E00-0000F7010000}"/>
    <hyperlink ref="I140" r:id="rId505" display="http://jimy.catolico-bbva.com/" xr:uid="{00000000-0004-0000-0E00-0000F8010000}"/>
    <hyperlink ref="J140" r:id="rId506" display="http://giulianaandrea.guarin-bbva.com/" xr:uid="{00000000-0004-0000-0E00-0000F9010000}"/>
    <hyperlink ref="K140" r:id="rId507" display="http://monica.zamudio-bbva.com/" xr:uid="{00000000-0004-0000-0E00-0000FA010000}"/>
    <hyperlink ref="I141" r:id="rId508" display="http://jimy.catolico-bbva.com/" xr:uid="{00000000-0004-0000-0E00-0000FB010000}"/>
    <hyperlink ref="J141" r:id="rId509" display="http://oscar.bejarano-bbva.com/" xr:uid="{00000000-0004-0000-0E00-0000FC010000}"/>
    <hyperlink ref="K141" r:id="rId510" display="http://marthaconsuelo.parra-bbva.com/" xr:uid="{00000000-0004-0000-0E00-0000FD010000}"/>
    <hyperlink ref="AK141" r:id="rId511" display="https://globaldevtools.bbva.com/jira/browse/CCSS-7138" xr:uid="{00000000-0004-0000-0E00-0000FE010000}"/>
    <hyperlink ref="I142" r:id="rId512" display="http://jimy.catolico-bbva.com/" xr:uid="{00000000-0004-0000-0E00-0000FF010000}"/>
    <hyperlink ref="J142" r:id="rId513" display="http://oscar.bejarano-bbva.com/" xr:uid="{00000000-0004-0000-0E00-000000020000}"/>
    <hyperlink ref="K142" r:id="rId514" display="http://andres.carrandi-bbva.com/" xr:uid="{00000000-0004-0000-0E00-000001020000}"/>
    <hyperlink ref="AK142" r:id="rId515" display="https://globaldevtools.bbva.com/jira/browse/CCSS-7138" xr:uid="{00000000-0004-0000-0E00-000002020000}"/>
    <hyperlink ref="I143" r:id="rId516" display="http://jimy.catolico-bbva.com/" xr:uid="{00000000-0004-0000-0E00-000003020000}"/>
    <hyperlink ref="J143" r:id="rId517" display="http://oscar.bejarano-bbva.com/" xr:uid="{00000000-0004-0000-0E00-000004020000}"/>
    <hyperlink ref="K143" r:id="rId518" display="http://andres.carrandi-bbva.com/" xr:uid="{00000000-0004-0000-0E00-000005020000}"/>
    <hyperlink ref="AK143" r:id="rId519" display="https://globaldevtools.bbva.com/jira/browse/CCSS-7138" xr:uid="{00000000-0004-0000-0E00-000006020000}"/>
    <hyperlink ref="I144" r:id="rId520" display="http://jimy.catolico-bbva.com/" xr:uid="{00000000-0004-0000-0E00-000007020000}"/>
    <hyperlink ref="J144" r:id="rId521" display="http://oscar.bejarano-bbva.com/" xr:uid="{00000000-0004-0000-0E00-000008020000}"/>
    <hyperlink ref="K144" r:id="rId522" display="http://marthaconsuelo.parra-bbva.com/" xr:uid="{00000000-0004-0000-0E00-000009020000}"/>
    <hyperlink ref="AK144" r:id="rId523" display="https://globaldevtools.bbva.com/jira/browse/COLWSCANAL-2103" xr:uid="{00000000-0004-0000-0E00-00000A020000}"/>
    <hyperlink ref="I145" r:id="rId524" display="http://jimy.catolico-bbva.com/" xr:uid="{00000000-0004-0000-0E00-00000B020000}"/>
    <hyperlink ref="J145" r:id="rId525" display="http://oscar.bejarano-bbva.com/" xr:uid="{00000000-0004-0000-0E00-00000C020000}"/>
    <hyperlink ref="K145" r:id="rId526" display="http://marthaconsuelo.parra-bbva.com/" xr:uid="{00000000-0004-0000-0E00-00000D020000}"/>
    <hyperlink ref="I146" r:id="rId527" display="http://jimy.catolico-bbva.com/" xr:uid="{00000000-0004-0000-0E00-00000E020000}"/>
    <hyperlink ref="J146" r:id="rId528" display="http://daniela.cifuentes.ariza-bbva.com/" xr:uid="{00000000-0004-0000-0E00-00000F020000}"/>
    <hyperlink ref="K146" r:id="rId529" display="http://paolaandrea.hermosa-bbva.com/" xr:uid="{00000000-0004-0000-0E00-000010020000}"/>
    <hyperlink ref="AK146" r:id="rId530" display="https://globaldevtools.bbva.com/jira/browse/COLWSCUENT-2220" xr:uid="{00000000-0004-0000-0E00-000011020000}"/>
    <hyperlink ref="I147" r:id="rId531" display="http://jimy.catolico-bbva.com/" xr:uid="{00000000-0004-0000-0E00-000012020000}"/>
    <hyperlink ref="K147" r:id="rId532" display="http://monica.zamudio-bbva.com/" xr:uid="{00000000-0004-0000-0E00-000013020000}"/>
    <hyperlink ref="I148" r:id="rId533" display="http://catalina.villamil-bbva.com/" xr:uid="{00000000-0004-0000-0E00-000014020000}"/>
    <hyperlink ref="J148" r:id="rId534" display="http://irene.angel-bbva.com/" xr:uid="{00000000-0004-0000-0E00-000015020000}"/>
    <hyperlink ref="K148" r:id="rId535" display="http://jhon.molina-bbva.com/" xr:uid="{00000000-0004-0000-0E00-000016020000}"/>
    <hyperlink ref="AK148" r:id="rId536" display="https://globaldevtools.bbva.com/jira/browse/COLWSCANAL-14990" xr:uid="{00000000-0004-0000-0E00-000017020000}"/>
    <hyperlink ref="I149" r:id="rId537" display="http://catalina.villamil-bbva.com/" xr:uid="{00000000-0004-0000-0E00-000018020000}"/>
    <hyperlink ref="J149" r:id="rId538" display="http://irene.angel-bbva.com/" xr:uid="{00000000-0004-0000-0E00-000019020000}"/>
    <hyperlink ref="K149" r:id="rId539" display="http://jhon.molina-bbva.com/" xr:uid="{00000000-0004-0000-0E00-00001A020000}"/>
    <hyperlink ref="AK149" r:id="rId540" display="https://globaldevtools.bbva.com/jira/browse/COLWSCANAL-8736" xr:uid="{00000000-0004-0000-0E00-00001B020000}"/>
    <hyperlink ref="I150" r:id="rId541" display="http://catalina.villamil-bbva.com/" xr:uid="{00000000-0004-0000-0E00-00001C020000}"/>
    <hyperlink ref="J150" r:id="rId542" display="http://irene.angel-bbva.com/" xr:uid="{00000000-0004-0000-0E00-00001D020000}"/>
    <hyperlink ref="K150" r:id="rId543" display="http://jhon.molina-bbva.com/" xr:uid="{00000000-0004-0000-0E00-00001E020000}"/>
    <hyperlink ref="AK150" r:id="rId544" display="https://globaldevtools.bbva.com/jira/browse/COLWSCANAL-12251" xr:uid="{00000000-0004-0000-0E00-00001F020000}"/>
    <hyperlink ref="I151" r:id="rId545" display="http://catalina.villamil-bbva.com/" xr:uid="{00000000-0004-0000-0E00-000020020000}"/>
    <hyperlink ref="J151" r:id="rId546" display="http://irene.angel-bbva.com/" xr:uid="{00000000-0004-0000-0E00-000021020000}"/>
    <hyperlink ref="K151" r:id="rId547" display="http://ivan_dario.ariza-bbva.com/" xr:uid="{00000000-0004-0000-0E00-000022020000}"/>
    <hyperlink ref="AK151" r:id="rId548" display="https://globaldevtools.bbva.com/jira/browse/COLWSPREST-2157" xr:uid="{00000000-0004-0000-0E00-000023020000}"/>
    <hyperlink ref="I152" r:id="rId549" display="http://catalina.villamil-bbva.com/" xr:uid="{00000000-0004-0000-0E00-000024020000}"/>
    <hyperlink ref="J152" r:id="rId550" display="http://irene.angel-bbva.com/" xr:uid="{00000000-0004-0000-0E00-000025020000}"/>
    <hyperlink ref="K152" r:id="rId551" display="http://ivan_dario.ariza-bbva.com/" xr:uid="{00000000-0004-0000-0E00-000026020000}"/>
    <hyperlink ref="AK152" r:id="rId552" display="https://globaldevtools.bbva.com/jira/browse/COLWSPREST-10567" xr:uid="{00000000-0004-0000-0E00-000027020000}"/>
    <hyperlink ref="I153" r:id="rId553" display="http://catalina.villamil-bbva.com/" xr:uid="{00000000-0004-0000-0E00-000028020000}"/>
    <hyperlink ref="J153" r:id="rId554" display="http://irene.angel-bbva.com/" xr:uid="{00000000-0004-0000-0E00-000029020000}"/>
    <hyperlink ref="K153" r:id="rId555" display="http://ivan_dario.ariza-bbva.com/" xr:uid="{00000000-0004-0000-0E00-00002A020000}"/>
    <hyperlink ref="AK153" r:id="rId556" display="https://globaldevtools.bbva.com/jira/browse/COLWSPREST-11677" xr:uid="{00000000-0004-0000-0E00-00002B020000}"/>
    <hyperlink ref="I154" r:id="rId557" display="http://catalina.villamil-bbva.com/" xr:uid="{00000000-0004-0000-0E00-00002C020000}"/>
    <hyperlink ref="J154" r:id="rId558" display="http://irene.angel-bbva.com/" xr:uid="{00000000-0004-0000-0E00-00002D020000}"/>
    <hyperlink ref="K154" r:id="rId559" display="http://ivan_dario.ariza-bbva.com/" xr:uid="{00000000-0004-0000-0E00-00002E020000}"/>
    <hyperlink ref="I155" r:id="rId560" display="http://catalina.villamil-bbva.com/" xr:uid="{00000000-0004-0000-0E00-00002F020000}"/>
    <hyperlink ref="J155" r:id="rId561" display="http://freddyorlando.guzman-bbva.com/" xr:uid="{00000000-0004-0000-0E00-000030020000}"/>
    <hyperlink ref="K155" r:id="rId562" display="http://nathaliamaria.torres-bbva.com/" xr:uid="{00000000-0004-0000-0E00-000031020000}"/>
    <hyperlink ref="AK155" r:id="rId563" display="https://globaldevtools.bbva.com/jira/browse/COLWSCANAL-3414" xr:uid="{00000000-0004-0000-0E00-000032020000}"/>
    <hyperlink ref="I156" r:id="rId564" display="http://catalina.villamil-bbva.com/" xr:uid="{00000000-0004-0000-0E00-000033020000}"/>
    <hyperlink ref="J156" r:id="rId565" display="http://freddyorlando.guzman-bbva.com/" xr:uid="{00000000-0004-0000-0E00-000034020000}"/>
    <hyperlink ref="K156" r:id="rId566" display="http://nathaliamaria.torres-bbva.com/" xr:uid="{00000000-0004-0000-0E00-000035020000}"/>
    <hyperlink ref="AK156" r:id="rId567" display="https://globaldevtools.bbva.com/jira/browse/COLWSCANAL-2788" xr:uid="{00000000-0004-0000-0E00-000036020000}"/>
    <hyperlink ref="I157" r:id="rId568" display="http://catalina.villamil-bbva.com/" xr:uid="{00000000-0004-0000-0E00-000037020000}"/>
    <hyperlink ref="J157" r:id="rId569" display="http://freddyorlando.guzman-bbva.com/" xr:uid="{00000000-0004-0000-0E00-000038020000}"/>
    <hyperlink ref="K157" r:id="rId570" display="http://nathaliamaria.torres-bbva.com/" xr:uid="{00000000-0004-0000-0E00-000039020000}"/>
    <hyperlink ref="AK157" r:id="rId571" display="https://globaldevtools.bbva.com/jira/browse/COLWSCANAL-710" xr:uid="{00000000-0004-0000-0E00-00003A020000}"/>
    <hyperlink ref="I158" r:id="rId572" display="http://catalina.villamil-bbva.com/" xr:uid="{00000000-0004-0000-0E00-00003B020000}"/>
    <hyperlink ref="J158" r:id="rId573" display="http://nelson.ramirez-bbva.com/" xr:uid="{00000000-0004-0000-0E00-00003C020000}"/>
    <hyperlink ref="K158" r:id="rId574" display="http://nathaliamaria.torres-bbva.com/" xr:uid="{00000000-0004-0000-0E00-00003D020000}"/>
    <hyperlink ref="AK158" r:id="rId575" display="https://globaldevtools.bbva.com/jira/browse/COLWSCANAL-8508" xr:uid="{00000000-0004-0000-0E00-00003E020000}"/>
    <hyperlink ref="I159" r:id="rId576" display="http://catalina.villamil-bbva.com/" xr:uid="{00000000-0004-0000-0E00-00003F020000}"/>
    <hyperlink ref="J159" r:id="rId577" display="http://jennymaria.urdaneta-bbva.com/" xr:uid="{00000000-0004-0000-0E00-000040020000}"/>
    <hyperlink ref="K159" r:id="rId578" display="http://nathaliamaria.torres-bbva.com/" xr:uid="{00000000-0004-0000-0E00-000041020000}"/>
    <hyperlink ref="AK159" r:id="rId579" display="https://globaldevtools.bbva.com/jira/browse/COLWSCANAL-8564" xr:uid="{00000000-0004-0000-0E00-000042020000}"/>
    <hyperlink ref="I160" r:id="rId580" display="http://catalina.villamil-bbva.com/" xr:uid="{00000000-0004-0000-0E00-000043020000}"/>
    <hyperlink ref="J160" r:id="rId581" display="http://freddyorlando.guzman-bbva.com/" xr:uid="{00000000-0004-0000-0E00-000044020000}"/>
    <hyperlink ref="K160" r:id="rId582" display="http://nathaliamaria.torres-bbva.com/" xr:uid="{00000000-0004-0000-0E00-000045020000}"/>
    <hyperlink ref="AK160" r:id="rId583" display="https://globaldevtools.bbva.com/jira/browse/COLWSCANAL-8589" xr:uid="{00000000-0004-0000-0E00-000046020000}"/>
    <hyperlink ref="I161" r:id="rId584" display="http://catalina.villamil-bbva.com/" xr:uid="{00000000-0004-0000-0E00-000047020000}"/>
    <hyperlink ref="J161" r:id="rId585" display="http://freddyorlando.guzman-bbva.com/" xr:uid="{00000000-0004-0000-0E00-000048020000}"/>
    <hyperlink ref="K161" r:id="rId586" display="http://nathaliamaria.torres-bbva.com/" xr:uid="{00000000-0004-0000-0E00-000049020000}"/>
    <hyperlink ref="AK161" r:id="rId587" display="https://globaldevtools.bbva.com/jira/browse/COLWSCANAL-8592" xr:uid="{00000000-0004-0000-0E00-00004A020000}"/>
    <hyperlink ref="I162" r:id="rId588" display="http://catalina.villamil-bbva.com/" xr:uid="{00000000-0004-0000-0E00-00004B020000}"/>
    <hyperlink ref="J162" r:id="rId589" display="http://jennymaria.urdaneta-bbva.com/" xr:uid="{00000000-0004-0000-0E00-00004C020000}"/>
    <hyperlink ref="K162" r:id="rId590" display="http://elizabeth.diaz-bbva.com/" xr:uid="{00000000-0004-0000-0E00-00004D020000}"/>
    <hyperlink ref="I163" r:id="rId591" display="http://catalina.villamil-bbva.com/" xr:uid="{00000000-0004-0000-0E00-00004E020000}"/>
    <hyperlink ref="J163" r:id="rId592" display="http://jennymaria.urdaneta-bbva.com/" xr:uid="{00000000-0004-0000-0E00-00004F020000}"/>
    <hyperlink ref="K163" r:id="rId593" display="http://elizabeth.diaz-bbva.com/" xr:uid="{00000000-0004-0000-0E00-000050020000}"/>
    <hyperlink ref="I164" r:id="rId594" display="http://catalina.villamil-bbva.com/" xr:uid="{00000000-0004-0000-0E00-000051020000}"/>
    <hyperlink ref="J164" r:id="rId595" display="http://jennymaria.urdaneta-bbva.com/" xr:uid="{00000000-0004-0000-0E00-000052020000}"/>
    <hyperlink ref="K164" r:id="rId596" display="http://elizabeth.diaz-bbva.com/" xr:uid="{00000000-0004-0000-0E00-000053020000}"/>
    <hyperlink ref="I165" r:id="rId597" display="http://catalina.villamil-bbva.com/" xr:uid="{00000000-0004-0000-0E00-000054020000}"/>
    <hyperlink ref="J165" r:id="rId598" display="http://jennymaria.urdaneta-bbva.com/" xr:uid="{00000000-0004-0000-0E00-000055020000}"/>
    <hyperlink ref="K165" r:id="rId599" display="http://elizabeth.diaz-bbva.com/" xr:uid="{00000000-0004-0000-0E00-000056020000}"/>
    <hyperlink ref="I166" r:id="rId600" display="http://catalina.villamil-bbva.com/" xr:uid="{00000000-0004-0000-0E00-000057020000}"/>
    <hyperlink ref="J166" r:id="rId601" display="http://jennymaria.urdaneta-bbva.com/" xr:uid="{00000000-0004-0000-0E00-000058020000}"/>
    <hyperlink ref="K166" r:id="rId602" display="http://elizabeth.diaz-bbva.com/" xr:uid="{00000000-0004-0000-0E00-000059020000}"/>
    <hyperlink ref="AK166" r:id="rId603" display="https://globaldevtools.bbva.com/jira/browse/CCSS-4103" xr:uid="{00000000-0004-0000-0E00-00005A020000}"/>
    <hyperlink ref="I167" r:id="rId604" display="http://catalina.villamil-bbva.com/" xr:uid="{00000000-0004-0000-0E00-00005B020000}"/>
    <hyperlink ref="J167" r:id="rId605" display="http://angiez.cubides-bbva.com/" xr:uid="{00000000-0004-0000-0E00-00005C020000}"/>
    <hyperlink ref="K167" r:id="rId606" display="http://ivan_dario.ariza-bbva.com/" xr:uid="{00000000-0004-0000-0E00-00005D020000}"/>
    <hyperlink ref="AK167" r:id="rId607" display="https://globaldevtools.bbva.com/jira/browse/COLWSCANAL-14527" xr:uid="{00000000-0004-0000-0E00-00005E020000}"/>
    <hyperlink ref="I168" r:id="rId608" display="http://catalina.villamil-bbva.com/" xr:uid="{00000000-0004-0000-0E00-00005F020000}"/>
    <hyperlink ref="J168" r:id="rId609" display="http://angiez.cubides-bbva.com/" xr:uid="{00000000-0004-0000-0E00-000060020000}"/>
    <hyperlink ref="K168" r:id="rId610" display="http://jhon.molina-bbva.com/" xr:uid="{00000000-0004-0000-0E00-000061020000}"/>
    <hyperlink ref="AK168" r:id="rId611" display="https://globaldevtools.bbva.com/jira/browse/COLWSCANAL-1036" xr:uid="{00000000-0004-0000-0E00-000062020000}"/>
    <hyperlink ref="I169" r:id="rId612" display="http://catalina.villamil-bbva.com/" xr:uid="{00000000-0004-0000-0E00-000063020000}"/>
    <hyperlink ref="J169" r:id="rId613" display="http://angiez.cubides-bbva.com/" xr:uid="{00000000-0004-0000-0E00-000064020000}"/>
    <hyperlink ref="K169" r:id="rId614" display="http://jhon.molina-bbva.com/" xr:uid="{00000000-0004-0000-0E00-000065020000}"/>
    <hyperlink ref="AK169" r:id="rId615" display="https://globaldevtools.bbva.com/jira/browse/COLWSCANAL-3395" xr:uid="{00000000-0004-0000-0E00-000066020000}"/>
    <hyperlink ref="I170" r:id="rId616" display="http://catalina.villamil-bbva.com/" xr:uid="{00000000-0004-0000-0E00-000067020000}"/>
    <hyperlink ref="J170" r:id="rId617" display="http://wilder.suarez-bbva.com/" xr:uid="{00000000-0004-0000-0E00-000068020000}"/>
    <hyperlink ref="K170" r:id="rId618" display="http://josealejandro.duenas-bbva.com/" xr:uid="{00000000-0004-0000-0E00-000069020000}"/>
    <hyperlink ref="AK170" r:id="rId619" display="https://globaldevtools.bbva.com/jira/browse/COLWSCANAL-11392" xr:uid="{00000000-0004-0000-0E00-00006A020000}"/>
    <hyperlink ref="I171" r:id="rId620" display="http://catalina.villamil-bbva.com/" xr:uid="{00000000-0004-0000-0E00-00006B020000}"/>
    <hyperlink ref="J171" r:id="rId621" display="http://wilder.suarez-bbva.com/" xr:uid="{00000000-0004-0000-0E00-00006C020000}"/>
    <hyperlink ref="K171" r:id="rId622" display="http://josealejandro.duenas-bbva.com/" xr:uid="{00000000-0004-0000-0E00-00006D020000}"/>
    <hyperlink ref="AK171" r:id="rId623" display="https://globaldevtools.bbva.com/jira/browse/COLWSCANAL-11393" xr:uid="{00000000-0004-0000-0E00-00006E020000}"/>
    <hyperlink ref="I172" r:id="rId624" display="http://catalina.villamil-bbva.com/" xr:uid="{00000000-0004-0000-0E00-00006F020000}"/>
    <hyperlink ref="J172" r:id="rId625" display="http://wilder.suarez-bbva.com/" xr:uid="{00000000-0004-0000-0E00-000070020000}"/>
    <hyperlink ref="K172" r:id="rId626" display="http://josealejandro.duenas-bbva.com/" xr:uid="{00000000-0004-0000-0E00-000071020000}"/>
    <hyperlink ref="AK172" r:id="rId627" display="https://globaldevtools.bbva.com/jira/browse/COLWSCANAL-11383" xr:uid="{00000000-0004-0000-0E00-000072020000}"/>
    <hyperlink ref="I173" r:id="rId628" display="http://catalina.villamil-bbva.com/" xr:uid="{00000000-0004-0000-0E00-000073020000}"/>
    <hyperlink ref="J173" r:id="rId629" display="http://leidyviviana.patino-bbva.com/" xr:uid="{00000000-0004-0000-0E00-000074020000}"/>
    <hyperlink ref="K173" r:id="rId630" display="http://nathaliamaria.torres-bbva.com/" xr:uid="{00000000-0004-0000-0E00-000075020000}"/>
    <hyperlink ref="AK173" r:id="rId631" display="https://globaldevtools.bbva.com/jira/browse/COLWSMEDIO-431" xr:uid="{00000000-0004-0000-0E00-000076020000}"/>
    <hyperlink ref="I174" r:id="rId632" display="http://catalina.villamil-bbva.com/" xr:uid="{00000000-0004-0000-0E00-000077020000}"/>
    <hyperlink ref="J174" r:id="rId633" display="http://leidyviviana.patino-bbva.com/" xr:uid="{00000000-0004-0000-0E00-000078020000}"/>
    <hyperlink ref="K174" r:id="rId634" display="http://nathaliamaria.torres-bbva.com/" xr:uid="{00000000-0004-0000-0E00-000079020000}"/>
    <hyperlink ref="AK174" r:id="rId635" display="https://globaldevtools.bbva.com/jira/browse/COLWSMEDIO-437" xr:uid="{00000000-0004-0000-0E00-00007A020000}"/>
    <hyperlink ref="I175" r:id="rId636" display="http://catalina.villamil-bbva.com/" xr:uid="{00000000-0004-0000-0E00-00007B020000}"/>
    <hyperlink ref="J175" r:id="rId637" display="http://leidyviviana.patino-bbva.com/" xr:uid="{00000000-0004-0000-0E00-00007C020000}"/>
    <hyperlink ref="K175" r:id="rId638" display="http://nathaliamaria.torres-bbva.com/" xr:uid="{00000000-0004-0000-0E00-00007D020000}"/>
    <hyperlink ref="AK175" r:id="rId639" display="https://globaldevtools.bbva.com/jira/browse/COLWSMEDIO-6449" xr:uid="{00000000-0004-0000-0E00-00007E020000}"/>
    <hyperlink ref="I176" r:id="rId640" display="http://catalina.villamil-bbva.com/" xr:uid="{00000000-0004-0000-0E00-00007F020000}"/>
    <hyperlink ref="J176" r:id="rId641" display="http://nelson.ramirez-bbva.com/" xr:uid="{00000000-0004-0000-0E00-000080020000}"/>
    <hyperlink ref="K176" r:id="rId642" display="http://jhon.molina-bbva.com/" xr:uid="{00000000-0004-0000-0E00-000081020000}"/>
    <hyperlink ref="AK176" r:id="rId643" display="https://globaldevtools.bbva.com/jira/browse/COLWSPREST-1948" xr:uid="{00000000-0004-0000-0E00-000082020000}"/>
    <hyperlink ref="I177" r:id="rId644" display="http://catalina.villamil-bbva.com/" xr:uid="{00000000-0004-0000-0E00-000083020000}"/>
    <hyperlink ref="J177" r:id="rId645" display="http://nelson.ramirez-bbva.com/" xr:uid="{00000000-0004-0000-0E00-000084020000}"/>
    <hyperlink ref="K177" r:id="rId646" display="http://jhon.molina-bbva.com/" xr:uid="{00000000-0004-0000-0E00-000085020000}"/>
    <hyperlink ref="AK177" r:id="rId647" display="https://globaldevtools.bbva.com/jira/browse/COLWSPREST-1277" xr:uid="{00000000-0004-0000-0E00-000086020000}"/>
    <hyperlink ref="I178" r:id="rId648" display="http://catalina.villamil-bbva.com/" xr:uid="{00000000-0004-0000-0E00-000087020000}"/>
    <hyperlink ref="J178" r:id="rId649" display="http://angiejulieth.rodriguez.chaves-bbva.com/" xr:uid="{00000000-0004-0000-0E00-000088020000}"/>
    <hyperlink ref="K178" r:id="rId650" display="http://elizabeth.diaz-bbva.com/" xr:uid="{00000000-0004-0000-0E00-000089020000}"/>
    <hyperlink ref="AK178" r:id="rId651" display="https://globaldevtools.bbva.com/jira/browse/COLWSCANAL-13437" xr:uid="{00000000-0004-0000-0E00-00008A020000}"/>
    <hyperlink ref="I179" r:id="rId652" display="http://catalina.villamil-bbva.com/" xr:uid="{00000000-0004-0000-0E00-00008B020000}"/>
    <hyperlink ref="J179" r:id="rId653" display="http://angiejulieth.rodriguez.chaves-bbva.com/" xr:uid="{00000000-0004-0000-0E00-00008C020000}"/>
    <hyperlink ref="K179" r:id="rId654" display="http://elizabeth.diaz-bbva.com/" xr:uid="{00000000-0004-0000-0E00-00008D020000}"/>
    <hyperlink ref="AK179" r:id="rId655" display="https://globaldevtools.bbva.com/jira/browse/COLWSCANAL-11607" xr:uid="{00000000-0004-0000-0E00-00008E020000}"/>
    <hyperlink ref="I180" r:id="rId656" display="http://catalina.villamil-bbva.com/" xr:uid="{00000000-0004-0000-0E00-00008F020000}"/>
    <hyperlink ref="J180" r:id="rId657" display="http://nelson.ramirez-bbva.com/" xr:uid="{00000000-0004-0000-0E00-000090020000}"/>
    <hyperlink ref="K180" r:id="rId658" display="http://jhon.molina-bbva.com/" xr:uid="{00000000-0004-0000-0E00-000091020000}"/>
    <hyperlink ref="AK180" r:id="rId659" display="https://globaldevtools.bbva.com/jira/browse/COLWSRIESG-3631" xr:uid="{00000000-0004-0000-0E00-000092020000}"/>
    <hyperlink ref="I181" r:id="rId660" display="http://nathiahayosara.amado-bbva.com/" xr:uid="{00000000-0004-0000-0E00-000093020000}"/>
    <hyperlink ref="J181" r:id="rId661" display="http://huvertyadir.ramirez-bbva.com/" xr:uid="{00000000-0004-0000-0E00-000094020000}"/>
    <hyperlink ref="K181" r:id="rId662" display="http://elizabeth.diaz-bbva.com/" xr:uid="{00000000-0004-0000-0E00-000095020000}"/>
    <hyperlink ref="AK181" r:id="rId663" display="https://globaldevtools.bbva.com/jira/browse/COLWSCANAL-5806" xr:uid="{00000000-0004-0000-0E00-000096020000}"/>
    <hyperlink ref="I182" r:id="rId664" display="http://nathiahayosara.amado-bbva.com/" xr:uid="{00000000-0004-0000-0E00-000097020000}"/>
    <hyperlink ref="J182" r:id="rId665" display="http://huvertyadir.ramirez-bbva.com/" xr:uid="{00000000-0004-0000-0E00-000098020000}"/>
    <hyperlink ref="K182" r:id="rId666" display="http://elizabeth.diaz-bbva.com/" xr:uid="{00000000-0004-0000-0E00-000099020000}"/>
    <hyperlink ref="AK182" r:id="rId667" display="https://globaldevtools.bbva.com/jira/browse/COLWSCANAL-8971" xr:uid="{00000000-0004-0000-0E00-00009A020000}"/>
    <hyperlink ref="I183" r:id="rId668" display="http://nathiahayosara.amado-bbva.com/" xr:uid="{00000000-0004-0000-0E00-00009B020000}"/>
    <hyperlink ref="J183" r:id="rId669" display="http://huvertyadir.ramirez-bbva.com/" xr:uid="{00000000-0004-0000-0E00-00009C020000}"/>
    <hyperlink ref="K183" r:id="rId670" display="http://elizabeth.diaz-bbva.com/" xr:uid="{00000000-0004-0000-0E00-00009D020000}"/>
    <hyperlink ref="AK183" r:id="rId671" display="https://globaldevtools.bbva.com/jira/browse/COLWSCANAL-11452" xr:uid="{00000000-0004-0000-0E00-00009E020000}"/>
    <hyperlink ref="I184" r:id="rId672" display="http://nathiahayosara.amado-bbva.com/" xr:uid="{00000000-0004-0000-0E00-00009F020000}"/>
    <hyperlink ref="J184" r:id="rId673" display="http://huvertyadir.ramirez-bbva.com/" xr:uid="{00000000-0004-0000-0E00-0000A0020000}"/>
    <hyperlink ref="K184" r:id="rId674" display="http://elizabeth.diaz-bbva.com/" xr:uid="{00000000-0004-0000-0E00-0000A1020000}"/>
    <hyperlink ref="AK184" r:id="rId675" display="https://globaldevtools.bbva.com/jira/browse/COLWSCANAL-14514" xr:uid="{00000000-0004-0000-0E00-0000A2020000}"/>
    <hyperlink ref="I185" r:id="rId676" display="http://nathiahayosara.amado-bbva.com/" xr:uid="{00000000-0004-0000-0E00-0000A3020000}"/>
    <hyperlink ref="J185" r:id="rId677" display="http://huvertyadir.ramirez-bbva.com/" xr:uid="{00000000-0004-0000-0E00-0000A4020000}"/>
    <hyperlink ref="K185" r:id="rId678" display="http://elizabeth.diaz-bbva.com/" xr:uid="{00000000-0004-0000-0E00-0000A5020000}"/>
    <hyperlink ref="I186" r:id="rId679" display="http://nathiahayosara.amado-bbva.com/" xr:uid="{00000000-0004-0000-0E00-0000A6020000}"/>
    <hyperlink ref="J186" r:id="rId680" display="http://huvertyadir.ramirez-bbva.com/" xr:uid="{00000000-0004-0000-0E00-0000A7020000}"/>
    <hyperlink ref="K186" r:id="rId681" display="http://andres.carrandi-bbva.com/" xr:uid="{00000000-0004-0000-0E00-0000A8020000}"/>
    <hyperlink ref="AK186" r:id="rId682" display="https://globaldevtools.bbva.com/jira/browse/COLWSCANAL-11470" xr:uid="{00000000-0004-0000-0E00-0000A9020000}"/>
    <hyperlink ref="I187" r:id="rId683" display="http://nathiahayosara.amado-bbva.com/" xr:uid="{00000000-0004-0000-0E00-0000AA020000}"/>
    <hyperlink ref="K187" r:id="rId684" display="http://hugoalberto.abreo-bbva.com/" xr:uid="{00000000-0004-0000-0E00-0000AB020000}"/>
    <hyperlink ref="AK187" r:id="rId685" display="https://globaldevtools.bbva.com/jira/browse/COLWSCANAL-3186" xr:uid="{00000000-0004-0000-0E00-0000AC020000}"/>
    <hyperlink ref="I188" r:id="rId686" display="http://nathiahayosara.amado-bbva.com/" xr:uid="{00000000-0004-0000-0E00-0000AD020000}"/>
    <hyperlink ref="K188" r:id="rId687" display="http://hugoalberto.abreo-bbva.com/" xr:uid="{00000000-0004-0000-0E00-0000AE020000}"/>
    <hyperlink ref="AK188" r:id="rId688" display="https://globaldevtools.bbva.com/jira/browse/COLWSCANAL-3040" xr:uid="{00000000-0004-0000-0E00-0000AF020000}"/>
    <hyperlink ref="I189" r:id="rId689" display="http://nathiahayosara.amado-bbva.com/" xr:uid="{00000000-0004-0000-0E00-0000B0020000}"/>
    <hyperlink ref="K189" r:id="rId690" display="http://hugoalberto.abreo-bbva.com/" xr:uid="{00000000-0004-0000-0E00-0000B1020000}"/>
    <hyperlink ref="I190" r:id="rId691" display="http://nathiahayosara.amado-bbva.com/" xr:uid="{00000000-0004-0000-0E00-0000B2020000}"/>
    <hyperlink ref="J190" r:id="rId692" display="http://leidyjohanna.zambrano-bbva.com/" xr:uid="{00000000-0004-0000-0E00-0000B3020000}"/>
    <hyperlink ref="K190" r:id="rId693" display="http://elizabeth.diaz-bbva.com/" xr:uid="{00000000-0004-0000-0E00-0000B4020000}"/>
    <hyperlink ref="AK190" r:id="rId694" display="https://globaldevtools.bbva.com/jira/browse/COLWSCANAL-13913" xr:uid="{00000000-0004-0000-0E00-0000B5020000}"/>
    <hyperlink ref="I191" r:id="rId695" display="http://nathiahayosara.amado-bbva.com/" xr:uid="{00000000-0004-0000-0E00-0000B6020000}"/>
    <hyperlink ref="J191" r:id="rId696" display="http://leidyjohanna.zambrano-bbva.com/" xr:uid="{00000000-0004-0000-0E00-0000B7020000}"/>
    <hyperlink ref="K191" r:id="rId697" display="http://elizabeth.diaz-bbva.com/" xr:uid="{00000000-0004-0000-0E00-0000B8020000}"/>
    <hyperlink ref="AK191" r:id="rId698" display="https://globaldevtools.bbva.com/jira/browse/COLWSCANAL-11454" xr:uid="{00000000-0004-0000-0E00-0000B9020000}"/>
    <hyperlink ref="I192" r:id="rId699" display="http://nathiahayosara.amado-bbva.com/" xr:uid="{00000000-0004-0000-0E00-0000BA020000}"/>
    <hyperlink ref="J192" r:id="rId700" display="http://leidyjohanna.zambrano-bbva.com/" xr:uid="{00000000-0004-0000-0E00-0000BB020000}"/>
    <hyperlink ref="K192" r:id="rId701" display="http://elizabeth.diaz-bbva.com/" xr:uid="{00000000-0004-0000-0E00-0000BC020000}"/>
    <hyperlink ref="I193" r:id="rId702" display="http://nathiahayosara.amado-bbva.com/" xr:uid="{00000000-0004-0000-0E00-0000BD020000}"/>
    <hyperlink ref="J193" r:id="rId703" display="http://leidyjohanna.zambrano-bbva.com/" xr:uid="{00000000-0004-0000-0E00-0000BE020000}"/>
    <hyperlink ref="K193" r:id="rId704" display="http://elizabeth.diaz-bbva.com/" xr:uid="{00000000-0004-0000-0E00-0000BF020000}"/>
    <hyperlink ref="AK193" r:id="rId705" display="https://globaldevtools.bbva.com/jira/browse/COLWSCANAL-12773" xr:uid="{00000000-0004-0000-0E00-0000C0020000}"/>
    <hyperlink ref="I194" r:id="rId706" display="http://nathiahayosara.amado-bbva.com/" xr:uid="{00000000-0004-0000-0E00-0000C1020000}"/>
    <hyperlink ref="J194" r:id="rId707" display="http://leidyjohanna.zambrano-bbva.com/" xr:uid="{00000000-0004-0000-0E00-0000C2020000}"/>
    <hyperlink ref="K194" r:id="rId708" display="http://elizabeth.diaz-bbva.com/" xr:uid="{00000000-0004-0000-0E00-0000C3020000}"/>
    <hyperlink ref="AK194" r:id="rId709" display="https://globaldevtools.bbva.com/jira/browse/COLWSCANAL-14307" xr:uid="{00000000-0004-0000-0E00-0000C4020000}"/>
    <hyperlink ref="I195" r:id="rId710" display="http://nathiahayosara.amado-bbva.com/" xr:uid="{00000000-0004-0000-0E00-0000C5020000}"/>
    <hyperlink ref="J195" r:id="rId711" display="http://leidyjohanna.zambrano-bbva.com/" xr:uid="{00000000-0004-0000-0E00-0000C6020000}"/>
    <hyperlink ref="K195" r:id="rId712" display="http://elizabeth.diaz-bbva.com/" xr:uid="{00000000-0004-0000-0E00-0000C7020000}"/>
    <hyperlink ref="AK195" r:id="rId713" display="https://globaldevtools.bbva.com/jira/browse/COLWSCANAL-12747" xr:uid="{00000000-0004-0000-0E00-0000C8020000}"/>
    <hyperlink ref="I196" r:id="rId714" display="http://nathiahayosara.amado-bbva.com/" xr:uid="{00000000-0004-0000-0E00-0000C9020000}"/>
    <hyperlink ref="J196" r:id="rId715" display="http://leidyjohanna.zambrano-bbva.com/" xr:uid="{00000000-0004-0000-0E00-0000CA020000}"/>
    <hyperlink ref="K196" r:id="rId716" display="http://elizabeth.diaz-bbva.com/" xr:uid="{00000000-0004-0000-0E00-0000CB020000}"/>
    <hyperlink ref="AK196" r:id="rId717" display="https://globaldevtools.bbva.com/jira/browse/COLWSCANAL-11453" xr:uid="{00000000-0004-0000-0E00-0000CC020000}"/>
    <hyperlink ref="I197" r:id="rId718" display="http://nathiahayosara.amado-bbva.com/" xr:uid="{00000000-0004-0000-0E00-0000CD020000}"/>
    <hyperlink ref="J197" r:id="rId719" display="http://leidyjohanna.zambrano-bbva.com/" xr:uid="{00000000-0004-0000-0E00-0000CE020000}"/>
    <hyperlink ref="K197" r:id="rId720" display="http://elizabeth.diaz-bbva.com/" xr:uid="{00000000-0004-0000-0E00-0000CF020000}"/>
    <hyperlink ref="AK197" r:id="rId721" display="https://globaldevtools.bbva.com/jira/browse/COLWSCANAL-7085" xr:uid="{00000000-0004-0000-0E00-0000D0020000}"/>
    <hyperlink ref="I198" r:id="rId722" display="http://nathiahayosara.amado-bbva.com/" xr:uid="{00000000-0004-0000-0E00-0000D1020000}"/>
    <hyperlink ref="J198" r:id="rId723" display="http://leidyjohanna.zambrano-bbva.com/" xr:uid="{00000000-0004-0000-0E00-0000D2020000}"/>
    <hyperlink ref="K198" r:id="rId724" display="http://elizabeth.diaz-bbva.com/" xr:uid="{00000000-0004-0000-0E00-0000D3020000}"/>
    <hyperlink ref="I199" r:id="rId725" display="http://nathiahayosara.amado-bbva.com/" xr:uid="{00000000-0004-0000-0E00-0000D4020000}"/>
    <hyperlink ref="J199" r:id="rId726" display="http://leidyjohanna.zambrano-bbva.com/" xr:uid="{00000000-0004-0000-0E00-0000D5020000}"/>
    <hyperlink ref="K199" r:id="rId727" display="http://elizabeth.diaz-bbva.com/" xr:uid="{00000000-0004-0000-0E00-0000D6020000}"/>
    <hyperlink ref="AK199" r:id="rId728" display="https://globaldevtools.bbva.com/jira/browse/COLWSCANAL-13939" xr:uid="{00000000-0004-0000-0E00-0000D7020000}"/>
    <hyperlink ref="I200" r:id="rId729" display="http://nathiahayosara.amado-bbva.com/" xr:uid="{00000000-0004-0000-0E00-0000D8020000}"/>
    <hyperlink ref="J200" r:id="rId730" display="http://leidyjohanna.zambrano-bbva.com/" xr:uid="{00000000-0004-0000-0E00-0000D9020000}"/>
    <hyperlink ref="K200" r:id="rId731" display="http://elizabeth.diaz-bbva.com/" xr:uid="{00000000-0004-0000-0E00-0000DA020000}"/>
    <hyperlink ref="AK200" r:id="rId732" display="https://globaldevtools.bbva.com/jira/browse/COLWSCANAL-14064" xr:uid="{00000000-0004-0000-0E00-0000DB020000}"/>
    <hyperlink ref="I201" r:id="rId733" display="http://nathiahayosara.amado-bbva.com/" xr:uid="{00000000-0004-0000-0E00-0000DC020000}"/>
    <hyperlink ref="J201" r:id="rId734" display="http://leidyjohanna.zambrano-bbva.com/" xr:uid="{00000000-0004-0000-0E00-0000DD020000}"/>
    <hyperlink ref="K201" r:id="rId735" display="http://elizabeth.diaz-bbva.com/" xr:uid="{00000000-0004-0000-0E00-0000DE020000}"/>
    <hyperlink ref="AK201" r:id="rId736" display="https://globaldevtools.bbva.com/jira/browse/COLWSCANAL-11018" xr:uid="{00000000-0004-0000-0E00-0000DF020000}"/>
    <hyperlink ref="I202" r:id="rId737" display="http://nathiahayosara.amado-bbva.com/" xr:uid="{00000000-0004-0000-0E00-0000E0020000}"/>
    <hyperlink ref="J202" r:id="rId738" display="http://leidyjohanna.zambrano-bbva.com/" xr:uid="{00000000-0004-0000-0E00-0000E1020000}"/>
    <hyperlink ref="K202" r:id="rId739" display="http://elizabeth.diaz-bbva.com/" xr:uid="{00000000-0004-0000-0E00-0000E2020000}"/>
    <hyperlink ref="AK202" r:id="rId740" display="https://globaldevtools.bbva.com/jira/browse/COLWSCANAL-11832" xr:uid="{00000000-0004-0000-0E00-0000E3020000}"/>
    <hyperlink ref="I203" r:id="rId741" display="http://nathiahayosara.amado-bbva.com/" xr:uid="{00000000-0004-0000-0E00-0000E4020000}"/>
    <hyperlink ref="J203" r:id="rId742" display="http://leidyjohanna.zambrano-bbva.com/" xr:uid="{00000000-0004-0000-0E00-0000E5020000}"/>
    <hyperlink ref="K203" r:id="rId743" display="http://elizabeth.diaz-bbva.com/" xr:uid="{00000000-0004-0000-0E00-0000E6020000}"/>
    <hyperlink ref="AK203" r:id="rId744" display="https://globaldevtools.bbva.com/jira/browse/COLWSCANAL-13934" xr:uid="{00000000-0004-0000-0E00-0000E7020000}"/>
    <hyperlink ref="I204" r:id="rId745" display="http://nathiahayosara.amado-bbva.com/" xr:uid="{00000000-0004-0000-0E00-0000E8020000}"/>
    <hyperlink ref="J204" r:id="rId746" display="http://leidyjohanna.zambrano-bbva.com/" xr:uid="{00000000-0004-0000-0E00-0000E9020000}"/>
    <hyperlink ref="K204" r:id="rId747" display="http://elizabeth.diaz-bbva.com/" xr:uid="{00000000-0004-0000-0E00-0000EA020000}"/>
    <hyperlink ref="AK204" r:id="rId748" display="https://globaldevtools.bbva.com/jira/browse/COLWSCANAL-13936" xr:uid="{00000000-0004-0000-0E00-0000EB020000}"/>
    <hyperlink ref="I205" r:id="rId749" display="http://nathiahayosara.amado-bbva.com/" xr:uid="{00000000-0004-0000-0E00-0000EC020000}"/>
    <hyperlink ref="J205" r:id="rId750" display="http://leidyjohanna.zambrano-bbva.com/" xr:uid="{00000000-0004-0000-0E00-0000ED020000}"/>
    <hyperlink ref="K205" r:id="rId751" display="http://elizabeth.diaz-bbva.com/" xr:uid="{00000000-0004-0000-0E00-0000EE020000}"/>
    <hyperlink ref="AK205" r:id="rId752" display="https://globaldevtools.bbva.com/jira/browse/COLWSCANAL-11469" xr:uid="{00000000-0004-0000-0E00-0000EF020000}"/>
    <hyperlink ref="I206" r:id="rId753" display="http://nathiahayosara.amado-bbva.com/" xr:uid="{00000000-0004-0000-0E00-0000F0020000}"/>
    <hyperlink ref="J206" r:id="rId754" display="http://leidyjohanna.zambrano-bbva.com/" xr:uid="{00000000-0004-0000-0E00-0000F1020000}"/>
    <hyperlink ref="K206" r:id="rId755" display="http://elizabeth.diaz-bbva.com/" xr:uid="{00000000-0004-0000-0E00-0000F2020000}"/>
    <hyperlink ref="I207" r:id="rId756" display="http://nathiahayosara.amado-bbva.com/" xr:uid="{00000000-0004-0000-0E00-0000F3020000}"/>
    <hyperlink ref="J207" r:id="rId757" display="http://leidyjohanna.zambrano-bbva.com/" xr:uid="{00000000-0004-0000-0E00-0000F4020000}"/>
    <hyperlink ref="K207" r:id="rId758" display="http://elizabeth.diaz-bbva.com/" xr:uid="{00000000-0004-0000-0E00-0000F5020000}"/>
    <hyperlink ref="AK207" r:id="rId759" display="https://globaldevtools.bbva.com/jira/browse/COLWSCANAL-14060" xr:uid="{00000000-0004-0000-0E00-0000F6020000}"/>
    <hyperlink ref="I208" r:id="rId760" display="http://nathiahayosara.amado-bbva.com/" xr:uid="{00000000-0004-0000-0E00-0000F7020000}"/>
    <hyperlink ref="J208" r:id="rId761" display="http://leidyjohanna.zambrano-bbva.com/" xr:uid="{00000000-0004-0000-0E00-0000F8020000}"/>
    <hyperlink ref="K208" r:id="rId762" display="http://elizabeth.diaz-bbva.com/" xr:uid="{00000000-0004-0000-0E00-0000F9020000}"/>
    <hyperlink ref="AK208" r:id="rId763" display="https://globaldevtools.bbva.com/jira/browse/COLWSCANAL-14061" xr:uid="{00000000-0004-0000-0E00-0000FA020000}"/>
    <hyperlink ref="I209" r:id="rId764" display="http://nathiahayosara.amado-bbva.com/" xr:uid="{00000000-0004-0000-0E00-0000FB020000}"/>
    <hyperlink ref="J209" r:id="rId765" display="http://leidyjohanna.zambrano-bbva.com/" xr:uid="{00000000-0004-0000-0E00-0000FC020000}"/>
    <hyperlink ref="K209" r:id="rId766" display="http://elizabeth.diaz-bbva.com/" xr:uid="{00000000-0004-0000-0E00-0000FD020000}"/>
    <hyperlink ref="AK209" r:id="rId767" display="https://globaldevtools.bbva.com/jira/browse/COLWSCANAL-3268" xr:uid="{00000000-0004-0000-0E00-0000FE020000}"/>
    <hyperlink ref="I210" r:id="rId768" display="http://nathiahayosara.amado-bbva.com/" xr:uid="{00000000-0004-0000-0E00-0000FF020000}"/>
    <hyperlink ref="J210" r:id="rId769" display="http://leidyjohanna.zambrano-bbva.com/" xr:uid="{00000000-0004-0000-0E00-000000030000}"/>
    <hyperlink ref="K210" r:id="rId770" display="http://elizabeth.diaz-bbva.com/" xr:uid="{00000000-0004-0000-0E00-000001030000}"/>
    <hyperlink ref="AK210" r:id="rId771" display="https://globaldevtools.bbva.com/jira/browse/COLWSCONTA-26" xr:uid="{00000000-0004-0000-0E00-000002030000}"/>
    <hyperlink ref="I211" r:id="rId772" display="http://nathiahayosara.amado-bbva.com/" xr:uid="{00000000-0004-0000-0E00-000003030000}"/>
    <hyperlink ref="J211" r:id="rId773" display="http://leidyjohanna.zambrano-bbva.com/" xr:uid="{00000000-0004-0000-0E00-000004030000}"/>
    <hyperlink ref="K211" r:id="rId774" display="http://elizabeth.diaz-bbva.com/" xr:uid="{00000000-0004-0000-0E00-000005030000}"/>
    <hyperlink ref="AK211" r:id="rId775" display="https://globaldevtools.bbva.com/jira/browse/COLWSCANAL-3348" xr:uid="{00000000-0004-0000-0E00-000006030000}"/>
    <hyperlink ref="I212" r:id="rId776" display="http://nathiahayosara.amado-bbva.com/" xr:uid="{00000000-0004-0000-0E00-000007030000}"/>
    <hyperlink ref="J212" r:id="rId777" display="http://leidyjohanna.zambrano-bbva.com/" xr:uid="{00000000-0004-0000-0E00-000008030000}"/>
    <hyperlink ref="K212" r:id="rId778" display="http://elizabeth.diaz-bbva.com/" xr:uid="{00000000-0004-0000-0E00-000009030000}"/>
    <hyperlink ref="AK212" r:id="rId779" display="https://globaldevtools.bbva.com/jira/browse/COLWSCANAL-6431" xr:uid="{00000000-0004-0000-0E00-00000A030000}"/>
    <hyperlink ref="I213" r:id="rId780" display="http://nathiahayosara.amado-bbva.com/" xr:uid="{00000000-0004-0000-0E00-00000B030000}"/>
    <hyperlink ref="J213" r:id="rId781" display="http://leidyjohanna.zambrano-bbva.com/" xr:uid="{00000000-0004-0000-0E00-00000C030000}"/>
    <hyperlink ref="K213" r:id="rId782" display="http://elizabeth.diaz-bbva.com/" xr:uid="{00000000-0004-0000-0E00-00000D030000}"/>
    <hyperlink ref="AK213" r:id="rId783" display="https://globaldevtools.bbva.com/jira/browse/COLWSCANAL-13133" xr:uid="{00000000-0004-0000-0E00-00000E030000}"/>
    <hyperlink ref="I214" r:id="rId784" display="http://nathiahayosara.amado-bbva.com/" xr:uid="{00000000-0004-0000-0E00-00000F030000}"/>
    <hyperlink ref="J214" r:id="rId785" display="http://sirlleny.vasquez-bbva.com/" xr:uid="{00000000-0004-0000-0E00-000010030000}"/>
    <hyperlink ref="K214" r:id="rId786" display="http://elizabeth.diaz-bbva.com/" xr:uid="{00000000-0004-0000-0E00-000011030000}"/>
    <hyperlink ref="AK214" r:id="rId787" display="https://globaldevtools.bbva.com/jira/browse/COLWSCANAL-6685" xr:uid="{00000000-0004-0000-0E00-000012030000}"/>
    <hyperlink ref="I215" r:id="rId788" display="http://nathiahayosara.amado-bbva.com/" xr:uid="{00000000-0004-0000-0E00-000013030000}"/>
    <hyperlink ref="J215" r:id="rId789" display="http://sirlleny.vasquez-bbva.com/" xr:uid="{00000000-0004-0000-0E00-000014030000}"/>
    <hyperlink ref="K215" r:id="rId790" display="http://elizabeth.diaz-bbva.com/" xr:uid="{00000000-0004-0000-0E00-000015030000}"/>
    <hyperlink ref="AK215" r:id="rId791" display="https://globaldevtools.bbva.com/jira/browse/COLWSCANAL-1221" xr:uid="{00000000-0004-0000-0E00-000016030000}"/>
    <hyperlink ref="I216" r:id="rId792" display="http://nathiahayosara.amado-bbva.com/" xr:uid="{00000000-0004-0000-0E00-000017030000}"/>
    <hyperlink ref="J216" r:id="rId793" display="http://sirlleny.vasquez-bbva.com/" xr:uid="{00000000-0004-0000-0E00-000018030000}"/>
    <hyperlink ref="K216" r:id="rId794" display="http://ivan_dario.ariza-bbva.com/" xr:uid="{00000000-0004-0000-0E00-000019030000}"/>
    <hyperlink ref="AK216" r:id="rId795" display="https://globaldevtools.bbva.com/jira/browse/COLWSCANAL-13893" xr:uid="{00000000-0004-0000-0E00-00001A030000}"/>
    <hyperlink ref="I217" r:id="rId796" display="http://nathiahayosara.amado-bbva.com/" xr:uid="{00000000-0004-0000-0E00-00001B030000}"/>
    <hyperlink ref="J217" r:id="rId797" display="http://sirlleny.vasquez-bbva.com/" xr:uid="{00000000-0004-0000-0E00-00001C030000}"/>
    <hyperlink ref="K217" r:id="rId798" display="http://elizabeth.diaz-bbva.com/" xr:uid="{00000000-0004-0000-0E00-00001D030000}"/>
    <hyperlink ref="AK217" r:id="rId799" display="https://globaldevtools.bbva.com/jira/browse/COLWSCANAL-2211" xr:uid="{00000000-0004-0000-0E00-00001E030000}"/>
    <hyperlink ref="I218" r:id="rId800" display="http://nathiahayosara.amado-bbva.com/" xr:uid="{00000000-0004-0000-0E00-00001F030000}"/>
    <hyperlink ref="J218" r:id="rId801" display="http://sirlleny.vasquez-bbva.com/" xr:uid="{00000000-0004-0000-0E00-000020030000}"/>
    <hyperlink ref="K218" r:id="rId802" display="http://elizabeth.diaz-bbva.com/" xr:uid="{00000000-0004-0000-0E00-000021030000}"/>
    <hyperlink ref="AK218" r:id="rId803" display="https://globaldevtools.bbva.com/jira/browse/COLWSCANAL-5405" xr:uid="{00000000-0004-0000-0E00-000022030000}"/>
    <hyperlink ref="I219" r:id="rId804" display="http://nathiahayosara.amado-bbva.com/" xr:uid="{00000000-0004-0000-0E00-000023030000}"/>
    <hyperlink ref="J219" r:id="rId805" display="http://sirlleny.vasquez-bbva.com/" xr:uid="{00000000-0004-0000-0E00-000024030000}"/>
    <hyperlink ref="K219" r:id="rId806" display="http://elizabeth.diaz-bbva.com/" xr:uid="{00000000-0004-0000-0E00-000025030000}"/>
    <hyperlink ref="AK219" r:id="rId807" display="https://globaldevtools.bbva.com/jira/browse/COLWSCANAL-5404" xr:uid="{00000000-0004-0000-0E00-000026030000}"/>
    <hyperlink ref="I220" r:id="rId808" display="http://nathiahayosara.amado-bbva.com/" xr:uid="{00000000-0004-0000-0E00-000027030000}"/>
    <hyperlink ref="J220" r:id="rId809" display="http://sirlleny.vasquez-bbva.com/" xr:uid="{00000000-0004-0000-0E00-000028030000}"/>
    <hyperlink ref="K220" r:id="rId810" display="http://elizabeth.diaz-bbva.com/" xr:uid="{00000000-0004-0000-0E00-000029030000}"/>
    <hyperlink ref="I221" r:id="rId811" display="http://nathiahayosara.amado-bbva.com/" xr:uid="{00000000-0004-0000-0E00-00002A030000}"/>
    <hyperlink ref="J221" r:id="rId812" display="http://karenalexandra.martinez-bbva.com/" xr:uid="{00000000-0004-0000-0E00-00002B030000}"/>
    <hyperlink ref="K221" r:id="rId813" display="http://ivan_dario.ariza-bbva.com/" xr:uid="{00000000-0004-0000-0E00-00002C030000}"/>
    <hyperlink ref="I222" r:id="rId814" display="http://nathiahayosara.amado-bbva.com/" xr:uid="{00000000-0004-0000-0E00-00002D030000}"/>
    <hyperlink ref="J222" r:id="rId815" display="http://karenalexandra.martinez-bbva.com/" xr:uid="{00000000-0004-0000-0E00-00002E030000}"/>
    <hyperlink ref="K222" r:id="rId816" display="http://ivan_dario.ariza-bbva.com/" xr:uid="{00000000-0004-0000-0E00-00002F030000}"/>
    <hyperlink ref="AK222" r:id="rId817" display="https://globaldevtools.bbva.com/jira/browse/COLWSPREST-312" xr:uid="{00000000-0004-0000-0E00-000030030000}"/>
    <hyperlink ref="I223" r:id="rId818" display="http://nathiahayosara.amado-bbva.com/" xr:uid="{00000000-0004-0000-0E00-000031030000}"/>
    <hyperlink ref="J223" r:id="rId819" display="http://karenalexandra.martinez-bbva.com/" xr:uid="{00000000-0004-0000-0E00-000032030000}"/>
    <hyperlink ref="K223" r:id="rId820" display="http://ivan_dario.ariza-bbva.com/" xr:uid="{00000000-0004-0000-0E00-000033030000}"/>
    <hyperlink ref="AK223" r:id="rId821" display="https://globaldevtools.bbva.com/jira/browse/COLWSSUPPL-36" xr:uid="{00000000-0004-0000-0E00-000034030000}"/>
    <hyperlink ref="I224" r:id="rId822" display="http://nathiahayosara.amado-bbva.com/" xr:uid="{00000000-0004-0000-0E00-000035030000}"/>
    <hyperlink ref="J224" r:id="rId823" display="http://karenalexandra.martinez-bbva.com/" xr:uid="{00000000-0004-0000-0E00-000036030000}"/>
    <hyperlink ref="K224" r:id="rId824" display="http://ivan_dario.ariza-bbva.com/" xr:uid="{00000000-0004-0000-0E00-000037030000}"/>
    <hyperlink ref="AK224" r:id="rId825" display="https://globaldevtools.bbva.com/jira/browse/COLWSPREST-2100" xr:uid="{00000000-0004-0000-0E00-000038030000}"/>
    <hyperlink ref="I225" r:id="rId826" display="http://nathiahayosara.amado-bbva.com/" xr:uid="{00000000-0004-0000-0E00-000039030000}"/>
    <hyperlink ref="J225" r:id="rId827" display="http://karenalexandra.martinez-bbva.com/" xr:uid="{00000000-0004-0000-0E00-00003A030000}"/>
    <hyperlink ref="K225" r:id="rId828" display="http://ivan_dario.ariza-bbva.com/" xr:uid="{00000000-0004-0000-0E00-00003B030000}"/>
    <hyperlink ref="AK225" r:id="rId829" display="https://globaldevtools.bbva.com/jira/browse/COLWSSUPPL-35" xr:uid="{00000000-0004-0000-0E00-00003C030000}"/>
    <hyperlink ref="I226" r:id="rId830" display="http://nathiahayosara.amado-bbva.com/" xr:uid="{00000000-0004-0000-0E00-00003D030000}"/>
    <hyperlink ref="J226" r:id="rId831" display="http://karenalexandra.martinez-bbva.com/" xr:uid="{00000000-0004-0000-0E00-00003E030000}"/>
    <hyperlink ref="K226" r:id="rId832" display="http://ivan_dario.ariza-bbva.com/" xr:uid="{00000000-0004-0000-0E00-00003F030000}"/>
    <hyperlink ref="AK226" r:id="rId833" display="https://globaldevtools.bbva.com/jira/browse/COLWSPREST-5260" xr:uid="{00000000-0004-0000-0E00-000040030000}"/>
    <hyperlink ref="I227" r:id="rId834" display="http://nathiahayosara.amado-bbva.com/" xr:uid="{00000000-0004-0000-0E00-000041030000}"/>
    <hyperlink ref="J227" r:id="rId835" display="http://karenalexandra.martinez-bbva.com/" xr:uid="{00000000-0004-0000-0E00-000042030000}"/>
    <hyperlink ref="K227" r:id="rId836" display="http://ivan_dario.ariza-bbva.com/" xr:uid="{00000000-0004-0000-0E00-000043030000}"/>
    <hyperlink ref="AK227" r:id="rId837" display="https://globaldevtools.bbva.com/jira/browse/COLWSPREST-8704" xr:uid="{00000000-0004-0000-0E00-000044030000}"/>
    <hyperlink ref="I228" r:id="rId838" display="http://nathiahayosara.amado-bbva.com/" xr:uid="{00000000-0004-0000-0E00-000045030000}"/>
    <hyperlink ref="J228" r:id="rId839" display="http://lilianavictoria.rivera-bbva.com/" xr:uid="{00000000-0004-0000-0E00-000046030000}"/>
    <hyperlink ref="K228" r:id="rId840" display="http://josealejandro.duenas-bbva.com/" xr:uid="{00000000-0004-0000-0E00-000047030000}"/>
    <hyperlink ref="AK228" r:id="rId841" display="https://globaldevtools.bbva.com/jira/browse/COLWSPREST-2721" xr:uid="{00000000-0004-0000-0E00-000048030000}"/>
    <hyperlink ref="I229" r:id="rId842" display="http://nathiahayosara.amado-bbva.com/" xr:uid="{00000000-0004-0000-0E00-000049030000}"/>
    <hyperlink ref="J229" r:id="rId843" display="http://clara.mora-bbva.com/" xr:uid="{00000000-0004-0000-0E00-00004A030000}"/>
    <hyperlink ref="K229" r:id="rId844" display="http://ivan_dario.ariza-bbva.com/" xr:uid="{00000000-0004-0000-0E00-00004B030000}"/>
    <hyperlink ref="AK229" r:id="rId845" display="https://globaldevtools.bbva.com/jira/browse/COLWSPREST-2722" xr:uid="{00000000-0004-0000-0E00-00004C030000}"/>
    <hyperlink ref="I230" r:id="rId846" display="http://nathiahayosara.amado-bbva.com/" xr:uid="{00000000-0004-0000-0E00-00004D030000}"/>
    <hyperlink ref="J230" r:id="rId847" display="http://clara.mora-bbva.com/" xr:uid="{00000000-0004-0000-0E00-00004E030000}"/>
    <hyperlink ref="K230" r:id="rId848" display="http://josealejandro.duenas-bbva.com/" xr:uid="{00000000-0004-0000-0E00-00004F030000}"/>
    <hyperlink ref="AK230" r:id="rId849" display="https://globaldevtools.bbva.com/jira/browse/COLWSPREST-2724" xr:uid="{00000000-0004-0000-0E00-000050030000}"/>
    <hyperlink ref="I231" r:id="rId850" display="http://nathiahayosara.amado-bbva.com/" xr:uid="{00000000-0004-0000-0E00-000051030000}"/>
    <hyperlink ref="J231" r:id="rId851" display="http://karenalexandra.martinez-bbva.com/" xr:uid="{00000000-0004-0000-0E00-000052030000}"/>
    <hyperlink ref="K231" r:id="rId852" display="http://ivan_dario.ariza-bbva.com/" xr:uid="{00000000-0004-0000-0E00-000053030000}"/>
    <hyperlink ref="AK231" r:id="rId853" display="https://globaldevtools.bbva.com/jira/browse/COLWSPREST-345" xr:uid="{00000000-0004-0000-0E00-000054030000}"/>
    <hyperlink ref="I232" r:id="rId854" display="http://nathiahayosara.amado-bbva.com/" xr:uid="{00000000-0004-0000-0E00-000055030000}"/>
    <hyperlink ref="J232" r:id="rId855" display="http://karenalexandra.martinez-bbva.com/" xr:uid="{00000000-0004-0000-0E00-000056030000}"/>
    <hyperlink ref="K232" r:id="rId856" display="http://ivan_dario.ariza-bbva.com/" xr:uid="{00000000-0004-0000-0E00-000057030000}"/>
    <hyperlink ref="AK232" r:id="rId857" display="https://globaldevtools.bbva.com/jira/browse/COLWSPREST-347" xr:uid="{00000000-0004-0000-0E00-000058030000}"/>
    <hyperlink ref="I233" r:id="rId858" display="http://nathiahayosara.amado-bbva.com/" xr:uid="{00000000-0004-0000-0E00-000059030000}"/>
    <hyperlink ref="J233" r:id="rId859" display="http://karenalexandra.martinez-bbva.com/" xr:uid="{00000000-0004-0000-0E00-00005A030000}"/>
    <hyperlink ref="K233" r:id="rId860" display="http://ivan_dario.ariza-bbva.com/" xr:uid="{00000000-0004-0000-0E00-00005B030000}"/>
    <hyperlink ref="AK233" r:id="rId861" display="https://globaldevtools.bbva.com/jira/browse/COLWSPREST-348" xr:uid="{00000000-0004-0000-0E00-00005C030000}"/>
    <hyperlink ref="I234" r:id="rId862" display="http://nathiahayosara.amado-bbva.com/" xr:uid="{00000000-0004-0000-0E00-00005D030000}"/>
    <hyperlink ref="J234" r:id="rId863" display="http://karenalexandra.martinez-bbva.com/" xr:uid="{00000000-0004-0000-0E00-00005E030000}"/>
    <hyperlink ref="K234" r:id="rId864" display="http://ivan_dario.ariza-bbva.com/" xr:uid="{00000000-0004-0000-0E00-00005F030000}"/>
    <hyperlink ref="AK234" r:id="rId865" display="https://globaldevtools.bbva.com/jira/browse/CCSS-8758" xr:uid="{00000000-0004-0000-0E00-000060030000}"/>
    <hyperlink ref="I235" r:id="rId866" display="http://nathiahayosara.amado-bbva.com/" xr:uid="{00000000-0004-0000-0E00-000061030000}"/>
    <hyperlink ref="J235" r:id="rId867" display="http://karenalexandra.martinez-bbva.com/" xr:uid="{00000000-0004-0000-0E00-000062030000}"/>
    <hyperlink ref="K235" r:id="rId868" display="http://ivan_dario.ariza-bbva.com/" xr:uid="{00000000-0004-0000-0E00-000063030000}"/>
    <hyperlink ref="AK235" r:id="rId869" display="https://globaldevtools.bbva.com/jira/browse/COLWSPREST-5235" xr:uid="{00000000-0004-0000-0E00-000064030000}"/>
    <hyperlink ref="I236" r:id="rId870" display="http://nathiahayosara.amado-bbva.com/" xr:uid="{00000000-0004-0000-0E00-000065030000}"/>
    <hyperlink ref="J236" r:id="rId871" display="http://karenalexandra.martinez-bbva.com/" xr:uid="{00000000-0004-0000-0E00-000066030000}"/>
    <hyperlink ref="K236" r:id="rId872" display="http://ivan_dario.ariza-bbva.com/" xr:uid="{00000000-0004-0000-0E00-000067030000}"/>
    <hyperlink ref="AK236" r:id="rId873" display="https://globaldevtools.bbva.com/jira/browse/COLWSPREST-1318" xr:uid="{00000000-0004-0000-0E00-000068030000}"/>
    <hyperlink ref="I237" r:id="rId874" display="http://nathiahayosara.amado-bbva.com/" xr:uid="{00000000-0004-0000-0E00-000069030000}"/>
    <hyperlink ref="J237" r:id="rId875" display="http://karenalexandra.martinez-bbva.com/" xr:uid="{00000000-0004-0000-0E00-00006A030000}"/>
    <hyperlink ref="K237" r:id="rId876" display="http://ivan_dario.ariza-bbva.com/" xr:uid="{00000000-0004-0000-0E00-00006B030000}"/>
    <hyperlink ref="AK237" r:id="rId877" display="https://globaldevtools.bbva.com/jira/browse/COLWSPREST-1462" xr:uid="{00000000-0004-0000-0E00-00006C030000}"/>
    <hyperlink ref="I238" r:id="rId878" display="http://nathiahayosara.amado-bbva.com/" xr:uid="{00000000-0004-0000-0E00-00006D030000}"/>
    <hyperlink ref="J238" r:id="rId879" display="http://karenalexandra.martinez-bbva.com/" xr:uid="{00000000-0004-0000-0E00-00006E030000}"/>
    <hyperlink ref="K238" r:id="rId880" display="http://ivan_dario.ariza-bbva.com/" xr:uid="{00000000-0004-0000-0E00-00006F030000}"/>
    <hyperlink ref="AK238" r:id="rId881" display="https://globaldevtools.bbva.com/jira/browse/COLWSPREST-8268" xr:uid="{00000000-0004-0000-0E00-000070030000}"/>
    <hyperlink ref="I239" r:id="rId882" display="http://nathiahayosara.amado-bbva.com/" xr:uid="{00000000-0004-0000-0E00-000071030000}"/>
    <hyperlink ref="J239" r:id="rId883" display="http://karenalexandra.martinez-bbva.com/" xr:uid="{00000000-0004-0000-0E00-000072030000}"/>
    <hyperlink ref="K239" r:id="rId884" display="http://ivan_dario.ariza-bbva.com/" xr:uid="{00000000-0004-0000-0E00-000073030000}"/>
    <hyperlink ref="I240" r:id="rId885" display="http://nathiahayosara.amado-bbva.com/" xr:uid="{00000000-0004-0000-0E00-000074030000}"/>
    <hyperlink ref="J240" r:id="rId886" display="http://karenalexandra.martinez-bbva.com/" xr:uid="{00000000-0004-0000-0E00-000075030000}"/>
    <hyperlink ref="K240" r:id="rId887" display="http://ivan_dario.ariza-bbva.com/" xr:uid="{00000000-0004-0000-0E00-000076030000}"/>
    <hyperlink ref="AK240" r:id="rId888" display="https://globaldevtools.bbva.com/jira/browse/COLWSPREST-10138" xr:uid="{00000000-0004-0000-0E00-000077030000}"/>
    <hyperlink ref="I241" r:id="rId889" display="http://nathiahayosara.amado-bbva.com/" xr:uid="{00000000-0004-0000-0E00-000078030000}"/>
    <hyperlink ref="J241" r:id="rId890" display="http://karenalexandra.martinez-bbva.com/" xr:uid="{00000000-0004-0000-0E00-000079030000}"/>
    <hyperlink ref="K241" r:id="rId891" display="http://ivan_dario.ariza-bbva.com/" xr:uid="{00000000-0004-0000-0E00-00007A030000}"/>
    <hyperlink ref="I242" r:id="rId892" display="http://nathiahayosara.amado-bbva.com/" xr:uid="{00000000-0004-0000-0E00-00007B030000}"/>
    <hyperlink ref="J242" r:id="rId893" display="http://karenalexandra.martinez-bbva.com/" xr:uid="{00000000-0004-0000-0E00-00007C030000}"/>
    <hyperlink ref="K242" r:id="rId894" display="http://ivan_dario.ariza-bbva.com/" xr:uid="{00000000-0004-0000-0E00-00007D030000}"/>
    <hyperlink ref="AK242" r:id="rId895" display="https://globaldevtools.bbva.com/jira/browse/COLWSPREST-10349" xr:uid="{00000000-0004-0000-0E00-00007E030000}"/>
    <hyperlink ref="I243" r:id="rId896" display="http://nathiahayosara.amado-bbva.com/" xr:uid="{00000000-0004-0000-0E00-00007F030000}"/>
    <hyperlink ref="J243" r:id="rId897" display="http://karenalexandra.martinez-bbva.com/" xr:uid="{00000000-0004-0000-0E00-000080030000}"/>
    <hyperlink ref="K243" r:id="rId898" display="http://ivan_dario.ariza-bbva.com/" xr:uid="{00000000-0004-0000-0E00-000081030000}"/>
    <hyperlink ref="AK243" r:id="rId899" display="https://globaldevtools.bbva.com/jira/browse/COLWSSUPPL-21" xr:uid="{00000000-0004-0000-0E00-000082030000}"/>
    <hyperlink ref="I244" r:id="rId900" display="http://nathiahayosara.amado-bbva.com/" xr:uid="{00000000-0004-0000-0E00-000083030000}"/>
    <hyperlink ref="J244" r:id="rId901" display="http://jeissonandres.diaz.rodriguez-bbva.com/" xr:uid="{00000000-0004-0000-0E00-000084030000}"/>
    <hyperlink ref="K244" r:id="rId902" display="http://elizabeth.diaz-bbva.com/" xr:uid="{00000000-0004-0000-0E00-000085030000}"/>
    <hyperlink ref="AK244" r:id="rId903" display="https://globaldevtools.bbva.com/jira/browse/COLWSCONTA-32" xr:uid="{00000000-0004-0000-0E00-000086030000}"/>
    <hyperlink ref="I245" r:id="rId904" display="http://nathiahayosara.amado-bbva.com/" xr:uid="{00000000-0004-0000-0E00-000087030000}"/>
    <hyperlink ref="J245" r:id="rId905" display="http://jeissonandres.diaz.rodriguez-bbva.com/" xr:uid="{00000000-0004-0000-0E00-000088030000}"/>
    <hyperlink ref="K245" r:id="rId906" display="http://elizabeth.diaz-bbva.com/" xr:uid="{00000000-0004-0000-0E00-000089030000}"/>
    <hyperlink ref="AK245" r:id="rId907" display="https://globaldevtools.bbva.com/jira/browse/COLWSCONTA-10" xr:uid="{00000000-0004-0000-0E00-00008A030000}"/>
    <hyperlink ref="I246" r:id="rId908" display="http://nathiahayosara.amado-bbva.com/" xr:uid="{00000000-0004-0000-0E00-00008B030000}"/>
    <hyperlink ref="J246" r:id="rId909" display="http://jeissonandres.diaz.rodriguez-bbva.com/" xr:uid="{00000000-0004-0000-0E00-00008C030000}"/>
    <hyperlink ref="K246" r:id="rId910" display="http://elizabeth.diaz-bbva.com/" xr:uid="{00000000-0004-0000-0E00-00008D030000}"/>
    <hyperlink ref="AK246" r:id="rId911" display="https://globaldevtools.bbva.com/jira/browse/COLWSCANAL-1301" xr:uid="{00000000-0004-0000-0E00-00008E030000}"/>
    <hyperlink ref="I247" r:id="rId912" display="http://nathiahayosara.amado-bbva.com/" xr:uid="{00000000-0004-0000-0E00-00008F030000}"/>
    <hyperlink ref="J247" r:id="rId913" display="http://jeissonandres.diaz.rodriguez-bbva.com/" xr:uid="{00000000-0004-0000-0E00-000090030000}"/>
    <hyperlink ref="K247" r:id="rId914" display="http://elizabeth.diaz-bbva.com/" xr:uid="{00000000-0004-0000-0E00-000091030000}"/>
    <hyperlink ref="AK247" r:id="rId915" display="https://globaldevtools.bbva.com/jira/browse/COLWSCONTA-477" xr:uid="{00000000-0004-0000-0E00-000092030000}"/>
    <hyperlink ref="I248" r:id="rId916" display="http://nathiahayosara.amado-bbva.com/" xr:uid="{00000000-0004-0000-0E00-000093030000}"/>
    <hyperlink ref="J248" r:id="rId917" display="http://jeissonandres.diaz.rodriguez-bbva.com/" xr:uid="{00000000-0004-0000-0E00-000094030000}"/>
    <hyperlink ref="K248" r:id="rId918" display="http://elizabeth.diaz-bbva.com/" xr:uid="{00000000-0004-0000-0E00-000095030000}"/>
    <hyperlink ref="AK248" r:id="rId919" display="https://globaldevtools.bbva.com/jira/browse/COLWSCONTA-24" xr:uid="{00000000-0004-0000-0E00-000096030000}"/>
    <hyperlink ref="I249" r:id="rId920" display="http://nathiahayosara.amado-bbva.com/" xr:uid="{00000000-0004-0000-0E00-000097030000}"/>
    <hyperlink ref="J249" r:id="rId921" display="http://jeissonandres.diaz.rodriguez-bbva.com/" xr:uid="{00000000-0004-0000-0E00-000098030000}"/>
    <hyperlink ref="K249" r:id="rId922" display="http://elizabeth.diaz-bbva.com/" xr:uid="{00000000-0004-0000-0E00-000099030000}"/>
    <hyperlink ref="AK249" r:id="rId923" display="https://globaldevtools.bbva.com/jira/browse/COLWSCONTA-186" xr:uid="{00000000-0004-0000-0E00-00009A030000}"/>
    <hyperlink ref="I250" r:id="rId924" display="http://nathiahayosara.amado-bbva.com/" xr:uid="{00000000-0004-0000-0E00-00009B030000}"/>
    <hyperlink ref="J250" r:id="rId925" display="http://jeissonandres.diaz.rodriguez-bbva.com/" xr:uid="{00000000-0004-0000-0E00-00009C030000}"/>
    <hyperlink ref="K250" r:id="rId926" display="http://elizabeth.diaz-bbva.com/" xr:uid="{00000000-0004-0000-0E00-00009D030000}"/>
    <hyperlink ref="AK250" r:id="rId927" display="https://globaldevtools.bbva.com/jira/browse/COLWSCANAL-2664" xr:uid="{00000000-0004-0000-0E00-00009E030000}"/>
    <hyperlink ref="I251" r:id="rId928" display="http://nathiahayosara.amado-bbva.com/" xr:uid="{00000000-0004-0000-0E00-00009F030000}"/>
    <hyperlink ref="J251" r:id="rId929" display="http://jeissonandres.diaz.rodriguez-bbva.com/" xr:uid="{00000000-0004-0000-0E00-0000A0030000}"/>
    <hyperlink ref="K251" r:id="rId930" display="http://elizabeth.diaz-bbva.com/" xr:uid="{00000000-0004-0000-0E00-0000A1030000}"/>
    <hyperlink ref="AK251" r:id="rId931" display="https://globaldevtools.bbva.com/jira/browse/COLWSCONTA-640" xr:uid="{00000000-0004-0000-0E00-0000A2030000}"/>
    <hyperlink ref="I252" r:id="rId932" display="http://nathiahayosara.amado-bbva.com/" xr:uid="{00000000-0004-0000-0E00-0000A3030000}"/>
    <hyperlink ref="J252" r:id="rId933" display="http://jeissonandres.diaz.rodriguez-bbva.com/" xr:uid="{00000000-0004-0000-0E00-0000A4030000}"/>
    <hyperlink ref="K252" r:id="rId934" display="http://elizabeth.diaz-bbva.com/" xr:uid="{00000000-0004-0000-0E00-0000A5030000}"/>
    <hyperlink ref="AK252" r:id="rId935" display="https://globaldevtools.bbva.com/jira/browse/COLWSCANAL-5866" xr:uid="{00000000-0004-0000-0E00-0000A6030000}"/>
    <hyperlink ref="I253" r:id="rId936" display="http://nathiahayosara.amado-bbva.com/" xr:uid="{00000000-0004-0000-0E00-0000A7030000}"/>
    <hyperlink ref="J253" r:id="rId937" display="http://jeissonandres.diaz.rodriguez-bbva.com/" xr:uid="{00000000-0004-0000-0E00-0000A8030000}"/>
    <hyperlink ref="K253" r:id="rId938" display="http://elizabeth.diaz-bbva.com/" xr:uid="{00000000-0004-0000-0E00-0000A9030000}"/>
    <hyperlink ref="AK253" r:id="rId939" display="https://globaldevtools.bbva.com/jira/browse/COLWSCONTA-25" xr:uid="{00000000-0004-0000-0E00-0000AA030000}"/>
    <hyperlink ref="I254" r:id="rId940" display="http://nathiahayosara.amado-bbva.com/" xr:uid="{00000000-0004-0000-0E00-0000AB030000}"/>
    <hyperlink ref="J254" r:id="rId941" display="http://jeissonandres.diaz.rodriguez-bbva.com/" xr:uid="{00000000-0004-0000-0E00-0000AC030000}"/>
    <hyperlink ref="K254" r:id="rId942" display="http://elizabeth.diaz-bbva.com/" xr:uid="{00000000-0004-0000-0E00-0000AD030000}"/>
    <hyperlink ref="AK254" r:id="rId943" display="https://globaldevtools.bbva.com/jira/browse/COLWSCONTA-9" xr:uid="{00000000-0004-0000-0E00-0000AE030000}"/>
    <hyperlink ref="I255" r:id="rId944" display="http://nathiahayosara.amado-bbva.com/" xr:uid="{00000000-0004-0000-0E00-0000AF030000}"/>
    <hyperlink ref="J255" r:id="rId945" display="http://jeissonandres.diaz.rodriguez-bbva.com/" xr:uid="{00000000-0004-0000-0E00-0000B0030000}"/>
    <hyperlink ref="K255" r:id="rId946" display="http://elizabeth.diaz-bbva.com/" xr:uid="{00000000-0004-0000-0E00-0000B1030000}"/>
    <hyperlink ref="AK255" r:id="rId947" display="https://globaldevtools.bbva.com/jira/browse/COLWSCONTA-8" xr:uid="{00000000-0004-0000-0E00-0000B2030000}"/>
    <hyperlink ref="I256" r:id="rId948" display="http://nathiahayosara.amado-bbva.com/" xr:uid="{00000000-0004-0000-0E00-0000B3030000}"/>
    <hyperlink ref="J256" r:id="rId949" display="http://jeissonandres.diaz.rodriguez-bbva.com/" xr:uid="{00000000-0004-0000-0E00-0000B4030000}"/>
    <hyperlink ref="K256" r:id="rId950" display="http://elizabeth.diaz-bbva.com/" xr:uid="{00000000-0004-0000-0E00-0000B5030000}"/>
    <hyperlink ref="AK256" r:id="rId951" display="https://globaldevtools.bbva.com/jira/browse/COLWSCONTA-33" xr:uid="{00000000-0004-0000-0E00-0000B6030000}"/>
    <hyperlink ref="I257" r:id="rId952" display="http://nathiahayosara.amado-bbva.com/" xr:uid="{00000000-0004-0000-0E00-0000B7030000}"/>
    <hyperlink ref="J257" r:id="rId953" display="http://jeissonandres.diaz.rodriguez-bbva.com/" xr:uid="{00000000-0004-0000-0E00-0000B8030000}"/>
    <hyperlink ref="K257" r:id="rId954" display="http://elizabeth.diaz-bbva.com/" xr:uid="{00000000-0004-0000-0E00-0000B9030000}"/>
    <hyperlink ref="AK257" r:id="rId955" display="https://globaldevtools.bbva.com/jira/browse/COLWSCONTA-29" xr:uid="{00000000-0004-0000-0E00-0000BA030000}"/>
    <hyperlink ref="I258" r:id="rId956" display="http://nathiahayosara.amado-bbva.com/" xr:uid="{00000000-0004-0000-0E00-0000BB030000}"/>
    <hyperlink ref="J258" r:id="rId957" display="http://jeissonandres.diaz.rodriguez-bbva.com/" xr:uid="{00000000-0004-0000-0E00-0000BC030000}"/>
    <hyperlink ref="K258" r:id="rId958" display="http://elizabeth.diaz-bbva.com/" xr:uid="{00000000-0004-0000-0E00-0000BD030000}"/>
    <hyperlink ref="AK258" r:id="rId959" display="https://globaldevtools.bbva.com/jira/browse/COLWSCONTA-22" xr:uid="{00000000-0004-0000-0E00-0000BE030000}"/>
    <hyperlink ref="I259" r:id="rId960" display="http://nathiahayosara.amado-bbva.com/" xr:uid="{00000000-0004-0000-0E00-0000BF030000}"/>
    <hyperlink ref="J259" r:id="rId961" display="http://jeissonandres.diaz.rodriguez-bbva.com/" xr:uid="{00000000-0004-0000-0E00-0000C0030000}"/>
    <hyperlink ref="K259" r:id="rId962" display="http://elizabeth.diaz-bbva.com/" xr:uid="{00000000-0004-0000-0E00-0000C1030000}"/>
    <hyperlink ref="AK259" r:id="rId963" display="https://globaldevtools.bbva.com/jira/browse/COLWSCONTA-136" xr:uid="{00000000-0004-0000-0E00-0000C2030000}"/>
    <hyperlink ref="I260" r:id="rId964" display="http://nathiahayosara.amado-bbva.com/" xr:uid="{00000000-0004-0000-0E00-0000C3030000}"/>
    <hyperlink ref="J260" r:id="rId965" display="http://jeissonandres.diaz.rodriguez-bbva.com/" xr:uid="{00000000-0004-0000-0E00-0000C4030000}"/>
    <hyperlink ref="K260" r:id="rId966" display="http://elizabeth.diaz-bbva.com/" xr:uid="{00000000-0004-0000-0E00-0000C5030000}"/>
    <hyperlink ref="AK260" r:id="rId967" display="https://globaldevtools.bbva.com/jira/browse/COLWSCONTA-44" xr:uid="{00000000-0004-0000-0E00-0000C6030000}"/>
    <hyperlink ref="I261" r:id="rId968" display="http://nathiahayosara.amado-bbva.com/" xr:uid="{00000000-0004-0000-0E00-0000C7030000}"/>
    <hyperlink ref="J261" r:id="rId969" display="http://jeissonandres.diaz.rodriguez-bbva.com/" xr:uid="{00000000-0004-0000-0E00-0000C8030000}"/>
    <hyperlink ref="K261" r:id="rId970" display="http://elizabeth.diaz-bbva.com/" xr:uid="{00000000-0004-0000-0E00-0000C9030000}"/>
    <hyperlink ref="AK261" r:id="rId971" display="https://globaldevtools.bbva.com/jira/browse/COLWSCANAL-3799" xr:uid="{00000000-0004-0000-0E00-0000CA030000}"/>
    <hyperlink ref="I262" r:id="rId972" display="http://nathiahayosara.amado-bbva.com/" xr:uid="{00000000-0004-0000-0E00-0000CB030000}"/>
    <hyperlink ref="J262" r:id="rId973" display="http://jeissonandres.diaz.rodriguez-bbva.com/" xr:uid="{00000000-0004-0000-0E00-0000CC030000}"/>
    <hyperlink ref="K262" r:id="rId974" display="http://elizabeth.diaz-bbva.com/" xr:uid="{00000000-0004-0000-0E00-0000CD030000}"/>
    <hyperlink ref="AK262" r:id="rId975" display="https://globaldevtools.bbva.com/jira/browse/COLWSCONTA-237" xr:uid="{00000000-0004-0000-0E00-0000CE030000}"/>
    <hyperlink ref="I263" r:id="rId976" display="http://nathiahayosara.amado-bbva.com/" xr:uid="{00000000-0004-0000-0E00-0000CF030000}"/>
    <hyperlink ref="J263" r:id="rId977" display="http://jeissonandres.diaz.rodriguez-bbva.com/" xr:uid="{00000000-0004-0000-0E00-0000D0030000}"/>
    <hyperlink ref="K263" r:id="rId978" display="http://elizabeth.diaz-bbva.com/" xr:uid="{00000000-0004-0000-0E00-0000D1030000}"/>
    <hyperlink ref="AK263" r:id="rId979" display="https://globaldevtools.bbva.com/jira/browse/COLWSCANAL-5005" xr:uid="{00000000-0004-0000-0E00-0000D2030000}"/>
    <hyperlink ref="I264" r:id="rId980" display="http://nathiahayosara.amado-bbva.com/" xr:uid="{00000000-0004-0000-0E00-0000D3030000}"/>
    <hyperlink ref="J264" r:id="rId981" display="http://jeissonandres.diaz.rodriguez-bbva.com/" xr:uid="{00000000-0004-0000-0E00-0000D4030000}"/>
    <hyperlink ref="K264" r:id="rId982" display="http://elizabeth.diaz-bbva.com/" xr:uid="{00000000-0004-0000-0E00-0000D5030000}"/>
    <hyperlink ref="AK264" r:id="rId983" display="https://globaldevtools.bbva.com/jira/browse/COLWSCANAL-6391" xr:uid="{00000000-0004-0000-0E00-0000D6030000}"/>
    <hyperlink ref="I265" r:id="rId984" display="http://nathiahayosara.amado-bbva.com/" xr:uid="{00000000-0004-0000-0E00-0000D7030000}"/>
    <hyperlink ref="J265" r:id="rId985" display="http://jeissonandres.diaz.rodriguez-bbva.com/" xr:uid="{00000000-0004-0000-0E00-0000D8030000}"/>
    <hyperlink ref="K265" r:id="rId986" display="http://elizabeth.diaz-bbva.com/" xr:uid="{00000000-0004-0000-0E00-0000D9030000}"/>
    <hyperlink ref="I266" r:id="rId987" display="http://nathiahayosara.amado-bbva.com/" xr:uid="{00000000-0004-0000-0E00-0000DA030000}"/>
    <hyperlink ref="J266" r:id="rId988" display="http://jeissonandres.diaz.rodriguez-bbva.com/" xr:uid="{00000000-0004-0000-0E00-0000DB030000}"/>
    <hyperlink ref="K266" r:id="rId989" display="http://elizabeth.diaz-bbva.com/" xr:uid="{00000000-0004-0000-0E00-0000DC030000}"/>
    <hyperlink ref="I267" r:id="rId990" display="http://nathiahayosara.amado-bbva.com/" xr:uid="{00000000-0004-0000-0E00-0000DD030000}"/>
    <hyperlink ref="J267" r:id="rId991" display="http://jeissonandres.diaz.rodriguez-bbva.com/" xr:uid="{00000000-0004-0000-0E00-0000DE030000}"/>
    <hyperlink ref="K267" r:id="rId992" display="http://elizabeth.diaz-bbva.com/" xr:uid="{00000000-0004-0000-0E00-0000DF030000}"/>
    <hyperlink ref="I268" r:id="rId993" display="http://nathiahayosara.amado-bbva.com/" xr:uid="{00000000-0004-0000-0E00-0000E0030000}"/>
    <hyperlink ref="J268" r:id="rId994" display="http://jeissonandres.diaz.rodriguez-bbva.com/" xr:uid="{00000000-0004-0000-0E00-0000E1030000}"/>
    <hyperlink ref="K268" r:id="rId995" display="http://elizabeth.diaz-bbva.com/" xr:uid="{00000000-0004-0000-0E00-0000E2030000}"/>
    <hyperlink ref="AK268" r:id="rId996" display="https://globaldevtools.bbva.com/jira/browse/COLWSCONTA-307" xr:uid="{00000000-0004-0000-0E00-0000E3030000}"/>
    <hyperlink ref="I269" r:id="rId997" display="http://nathiahayosara.amado-bbva.com/" xr:uid="{00000000-0004-0000-0E00-0000E4030000}"/>
    <hyperlink ref="J269" r:id="rId998" display="http://jeissonandres.diaz.rodriguez-bbva.com/" xr:uid="{00000000-0004-0000-0E00-0000E5030000}"/>
    <hyperlink ref="K269" r:id="rId999" display="http://elizabeth.diaz-bbva.com/" xr:uid="{00000000-0004-0000-0E00-0000E6030000}"/>
    <hyperlink ref="AK269" r:id="rId1000" display="https://globaldevtools.bbva.com/jira/browse/COLWSCANAL-7084" xr:uid="{00000000-0004-0000-0E00-0000E7030000}"/>
    <hyperlink ref="I270" r:id="rId1001" display="http://nathiahayosara.amado-bbva.com/" xr:uid="{00000000-0004-0000-0E00-0000E8030000}"/>
    <hyperlink ref="J270" r:id="rId1002" display="http://jeissonandres.diaz.rodriguez-bbva.com/" xr:uid="{00000000-0004-0000-0E00-0000E9030000}"/>
    <hyperlink ref="K270" r:id="rId1003" display="http://elizabeth.diaz-bbva.com/" xr:uid="{00000000-0004-0000-0E00-0000EA030000}"/>
    <hyperlink ref="AK270" r:id="rId1004" display="https://globaldevtools.bbva.com/jira/browse/COLWSCONTA-100" xr:uid="{00000000-0004-0000-0E00-0000EB030000}"/>
    <hyperlink ref="I271" r:id="rId1005" display="http://nathiahayosara.amado-bbva.com/" xr:uid="{00000000-0004-0000-0E00-0000EC030000}"/>
    <hyperlink ref="J271" r:id="rId1006" display="http://jeissonandres.diaz.rodriguez-bbva.com/" xr:uid="{00000000-0004-0000-0E00-0000ED030000}"/>
    <hyperlink ref="K271" r:id="rId1007" display="http://elizabeth.diaz-bbva.com/" xr:uid="{00000000-0004-0000-0E00-0000EE030000}"/>
    <hyperlink ref="AK271" r:id="rId1008" display="https://globaldevtools.bbva.com/jira/browse/COLWSCONTA-1101" xr:uid="{00000000-0004-0000-0E00-0000EF030000}"/>
    <hyperlink ref="I272" r:id="rId1009" display="http://nathiahayosara.amado-bbva.com/" xr:uid="{00000000-0004-0000-0E00-0000F0030000}"/>
    <hyperlink ref="J272" r:id="rId1010" display="http://jeissonandres.diaz.rodriguez-bbva.com/" xr:uid="{00000000-0004-0000-0E00-0000F1030000}"/>
    <hyperlink ref="K272" r:id="rId1011" display="http://elizabeth.diaz-bbva.com/" xr:uid="{00000000-0004-0000-0E00-0000F2030000}"/>
    <hyperlink ref="AK272" r:id="rId1012" display="https://globaldevtools.bbva.com/jira/browse/COLWSCANAL-6436" xr:uid="{00000000-0004-0000-0E00-0000F3030000}"/>
    <hyperlink ref="I273" r:id="rId1013" display="http://nathiahayosara.amado-bbva.com/" xr:uid="{00000000-0004-0000-0E00-0000F4030000}"/>
    <hyperlink ref="J273" r:id="rId1014" display="http://jeissonandres.diaz.rodriguez-bbva.com/" xr:uid="{00000000-0004-0000-0E00-0000F5030000}"/>
    <hyperlink ref="K273" r:id="rId1015" display="http://elizabeth.diaz-bbva.com/" xr:uid="{00000000-0004-0000-0E00-0000F6030000}"/>
    <hyperlink ref="AK273" r:id="rId1016" display="https://globaldevtools.bbva.com/jira/browse/COLWSCONTA-829" xr:uid="{00000000-0004-0000-0E00-0000F7030000}"/>
    <hyperlink ref="I274" r:id="rId1017" display="http://nathiahayosara.amado-bbva.com/" xr:uid="{00000000-0004-0000-0E00-0000F8030000}"/>
    <hyperlink ref="J274" r:id="rId1018" display="http://jeissonandres.diaz.rodriguez-bbva.com/" xr:uid="{00000000-0004-0000-0E00-0000F9030000}"/>
    <hyperlink ref="K274" r:id="rId1019" display="http://elizabeth.diaz-bbva.com/" xr:uid="{00000000-0004-0000-0E00-0000FA030000}"/>
    <hyperlink ref="AK274" r:id="rId1020" display="https://globaldevtools.bbva.com/jira/browse/COLWSCONTA-1448" xr:uid="{00000000-0004-0000-0E00-0000FB030000}"/>
    <hyperlink ref="I275" r:id="rId1021" display="http://nathiahayosara.amado-bbva.com/" xr:uid="{00000000-0004-0000-0E00-0000FC030000}"/>
    <hyperlink ref="J275" r:id="rId1022" display="http://jeissonandres.diaz.rodriguez-bbva.com/" xr:uid="{00000000-0004-0000-0E00-0000FD030000}"/>
    <hyperlink ref="K275" r:id="rId1023" display="http://elizabeth.diaz-bbva.com/" xr:uid="{00000000-0004-0000-0E00-0000FE030000}"/>
    <hyperlink ref="AK275" r:id="rId1024" display="https://globaldevtools.bbva.com/jira/browse/COLWSCONTA-472" xr:uid="{00000000-0004-0000-0E00-0000FF030000}"/>
    <hyperlink ref="I276" r:id="rId1025" display="http://nathiahayosara.amado-bbva.com/" xr:uid="{00000000-0004-0000-0E00-000000040000}"/>
    <hyperlink ref="J276" r:id="rId1026" display="http://jeissonandres.diaz.rodriguez-bbva.com/" xr:uid="{00000000-0004-0000-0E00-000001040000}"/>
    <hyperlink ref="K276" r:id="rId1027" display="http://elizabeth.diaz-bbva.com/" xr:uid="{00000000-0004-0000-0E00-000002040000}"/>
    <hyperlink ref="AK276" r:id="rId1028" display="https://globaldevtools.bbva.com/jira/browse/COLWSCONTA-428" xr:uid="{00000000-0004-0000-0E00-000003040000}"/>
    <hyperlink ref="I277" r:id="rId1029" display="http://nathiahayosara.amado-bbva.com/" xr:uid="{00000000-0004-0000-0E00-000004040000}"/>
    <hyperlink ref="J277" r:id="rId1030" display="http://jeissonandres.diaz.rodriguez-bbva.com/" xr:uid="{00000000-0004-0000-0E00-000005040000}"/>
    <hyperlink ref="K277" r:id="rId1031" display="http://elizabeth.diaz-bbva.com/" xr:uid="{00000000-0004-0000-0E00-000006040000}"/>
    <hyperlink ref="AK277" r:id="rId1032" display="https://globaldevtools.bbva.com/jira/browse/COLWSCONTA-512" xr:uid="{00000000-0004-0000-0E00-000007040000}"/>
    <hyperlink ref="I278" r:id="rId1033" display="http://nathiahayosara.amado-bbva.com/" xr:uid="{00000000-0004-0000-0E00-000008040000}"/>
    <hyperlink ref="J278" r:id="rId1034" display="http://jeissonandres.diaz.rodriguez-bbva.com/" xr:uid="{00000000-0004-0000-0E00-000009040000}"/>
    <hyperlink ref="K278" r:id="rId1035" display="http://elizabeth.diaz-bbva.com/" xr:uid="{00000000-0004-0000-0E00-00000A040000}"/>
    <hyperlink ref="AK278" r:id="rId1036" display="https://globaldevtools.bbva.com/jira/browse/COLWSCONTA-567" xr:uid="{00000000-0004-0000-0E00-00000B040000}"/>
    <hyperlink ref="I279" r:id="rId1037" display="http://nathiahayosara.amado-bbva.com/" xr:uid="{00000000-0004-0000-0E00-00000C040000}"/>
    <hyperlink ref="J279" r:id="rId1038" display="http://jeissonandres.diaz.rodriguez-bbva.com/" xr:uid="{00000000-0004-0000-0E00-00000D040000}"/>
    <hyperlink ref="K279" r:id="rId1039" display="http://elizabeth.diaz-bbva.com/" xr:uid="{00000000-0004-0000-0E00-00000E040000}"/>
    <hyperlink ref="AK279" r:id="rId1040" display="https://globaldevtools.bbva.com/jira/browse/COLWSCONTA-575" xr:uid="{00000000-0004-0000-0E00-00000F040000}"/>
    <hyperlink ref="I280" r:id="rId1041" display="http://nathiahayosara.amado-bbva.com/" xr:uid="{00000000-0004-0000-0E00-000010040000}"/>
    <hyperlink ref="J280" r:id="rId1042" display="http://jeissonandres.diaz.rodriguez-bbva.com/" xr:uid="{00000000-0004-0000-0E00-000011040000}"/>
    <hyperlink ref="K280" r:id="rId1043" display="http://elizabeth.diaz-bbva.com/" xr:uid="{00000000-0004-0000-0E00-000012040000}"/>
    <hyperlink ref="AK280" r:id="rId1044" display="https://globaldevtools.bbva.com/jira/browse/COLWSCONTA-484" xr:uid="{00000000-0004-0000-0E00-000013040000}"/>
    <hyperlink ref="I281" r:id="rId1045" display="http://nathiahayosara.amado-bbva.com/" xr:uid="{00000000-0004-0000-0E00-000014040000}"/>
    <hyperlink ref="J281" r:id="rId1046" display="http://jeissonandres.diaz.rodriguez-bbva.com/" xr:uid="{00000000-0004-0000-0E00-000015040000}"/>
    <hyperlink ref="K281" r:id="rId1047" display="http://elizabeth.diaz-bbva.com/" xr:uid="{00000000-0004-0000-0E00-000016040000}"/>
    <hyperlink ref="AK281" r:id="rId1048" display="https://globaldevtools.bbva.com/jira/browse/COLWSCANAL-11448" xr:uid="{00000000-0004-0000-0E00-000017040000}"/>
    <hyperlink ref="I282" r:id="rId1049" display="http://nathiahayosara.amado-bbva.com/" xr:uid="{00000000-0004-0000-0E00-000018040000}"/>
    <hyperlink ref="J282" r:id="rId1050" display="http://jeissonandres.diaz.rodriguez-bbva.com/" xr:uid="{00000000-0004-0000-0E00-000019040000}"/>
    <hyperlink ref="K282" r:id="rId1051" display="http://elizabeth.diaz-bbva.com/" xr:uid="{00000000-0004-0000-0E00-00001A040000}"/>
    <hyperlink ref="AK282" r:id="rId1052" display="https://globaldevtools.bbva.com/jira/browse/COLWSCONTA-363" xr:uid="{00000000-0004-0000-0E00-00001B040000}"/>
    <hyperlink ref="I283" r:id="rId1053" display="http://nathiahayosara.amado-bbva.com/" xr:uid="{00000000-0004-0000-0E00-00001C040000}"/>
    <hyperlink ref="J283" r:id="rId1054" display="http://jeissonandres.diaz.rodriguez-bbva.com/" xr:uid="{00000000-0004-0000-0E00-00001D040000}"/>
    <hyperlink ref="K283" r:id="rId1055" display="http://elizabeth.diaz-bbva.com/" xr:uid="{00000000-0004-0000-0E00-00001E040000}"/>
    <hyperlink ref="I284" r:id="rId1056" display="http://nathiahayosara.amado-bbva.com/" xr:uid="{00000000-0004-0000-0E00-00001F040000}"/>
    <hyperlink ref="J284" r:id="rId1057" display="http://jeissonandres.diaz.rodriguez-bbva.com/" xr:uid="{00000000-0004-0000-0E00-000020040000}"/>
    <hyperlink ref="K284" r:id="rId1058" display="http://elizabeth.diaz-bbva.com/" xr:uid="{00000000-0004-0000-0E00-000021040000}"/>
    <hyperlink ref="AK284" r:id="rId1059" display="https://globaldevtools.bbva.com/jira/browse/COLWSCANAL-12471" xr:uid="{00000000-0004-0000-0E00-000022040000}"/>
    <hyperlink ref="I285" r:id="rId1060" display="http://nathiahayosara.amado-bbva.com/" xr:uid="{00000000-0004-0000-0E00-000023040000}"/>
    <hyperlink ref="J285" r:id="rId1061" display="http://jeissonandres.diaz.rodriguez-bbva.com/" xr:uid="{00000000-0004-0000-0E00-000024040000}"/>
    <hyperlink ref="K285" r:id="rId1062" display="http://elizabeth.diaz-bbva.com/" xr:uid="{00000000-0004-0000-0E00-000025040000}"/>
    <hyperlink ref="AK285" r:id="rId1063" display="https://globaldevtools.bbva.com/jira/browse/COLWSCONTA-1604" xr:uid="{00000000-0004-0000-0E00-000026040000}"/>
    <hyperlink ref="I286" r:id="rId1064" display="http://nathiahayosara.amado-bbva.com/" xr:uid="{00000000-0004-0000-0E00-000027040000}"/>
    <hyperlink ref="J286" r:id="rId1065" display="http://jeissonandres.diaz.rodriguez-bbva.com/" xr:uid="{00000000-0004-0000-0E00-000028040000}"/>
    <hyperlink ref="K286" r:id="rId1066" display="http://elizabeth.diaz-bbva.com/" xr:uid="{00000000-0004-0000-0E00-000029040000}"/>
    <hyperlink ref="AK286" r:id="rId1067" display="https://globaldevtools.bbva.com/jira/browse/COLWSCANAL-13302" xr:uid="{00000000-0004-0000-0E00-00002A040000}"/>
    <hyperlink ref="I287" r:id="rId1068" display="http://nathiahayosara.amado-bbva.com/" xr:uid="{00000000-0004-0000-0E00-00002B040000}"/>
    <hyperlink ref="J287" r:id="rId1069" display="http://jeissonandres.diaz.rodriguez-bbva.com/" xr:uid="{00000000-0004-0000-0E00-00002C040000}"/>
    <hyperlink ref="K287" r:id="rId1070" display="http://elizabeth.diaz-bbva.com/" xr:uid="{00000000-0004-0000-0E00-00002D040000}"/>
    <hyperlink ref="AK287" r:id="rId1071" display="https://globaldevtools.bbva.com/jira/browse/COLWSCONTA-1690" xr:uid="{00000000-0004-0000-0E00-00002E040000}"/>
    <hyperlink ref="I288" r:id="rId1072" display="http://nathiahayosara.amado-bbva.com/" xr:uid="{00000000-0004-0000-0E00-00002F040000}"/>
    <hyperlink ref="J288" r:id="rId1073" display="http://jeissonandres.diaz.rodriguez-bbva.com/" xr:uid="{00000000-0004-0000-0E00-000030040000}"/>
    <hyperlink ref="K288" r:id="rId1074" display="http://elizabeth.diaz-bbva.com/" xr:uid="{00000000-0004-0000-0E00-000031040000}"/>
    <hyperlink ref="AK288" r:id="rId1075" display="https://globaldevtools.bbva.com/jira/browse/COLWSCANAL-3390" xr:uid="{00000000-0004-0000-0E00-000032040000}"/>
    <hyperlink ref="I289" r:id="rId1076" display="http://nathiahayosara.amado-bbva.com/" xr:uid="{00000000-0004-0000-0E00-000033040000}"/>
    <hyperlink ref="J289" r:id="rId1077" display="http://jeissonandres.diaz.rodriguez-bbva.com/" xr:uid="{00000000-0004-0000-0E00-000034040000}"/>
    <hyperlink ref="K289" r:id="rId1078" display="http://elizabeth.diaz-bbva.com/" xr:uid="{00000000-0004-0000-0E00-000035040000}"/>
    <hyperlink ref="AK289" r:id="rId1079" display="https://globaldevtools.bbva.com/jira/browse/COLWSCONTA-313" xr:uid="{00000000-0004-0000-0E00-000036040000}"/>
    <hyperlink ref="I290" r:id="rId1080" display="http://nathiahayosara.amado-bbva.com/" xr:uid="{00000000-0004-0000-0E00-000037040000}"/>
    <hyperlink ref="J290" r:id="rId1081" display="http://jeissonandres.diaz.rodriguez-bbva.com/" xr:uid="{00000000-0004-0000-0E00-000038040000}"/>
    <hyperlink ref="K290" r:id="rId1082" display="http://elizabeth.diaz-bbva.com/" xr:uid="{00000000-0004-0000-0E00-000039040000}"/>
    <hyperlink ref="AK290" r:id="rId1083" display="https://globaldevtools.bbva.com/jira/browse/COLWSCONTA-481" xr:uid="{00000000-0004-0000-0E00-00003A040000}"/>
    <hyperlink ref="I291" r:id="rId1084" display="http://angie.castaneda-bbva.com/" xr:uid="{00000000-0004-0000-0E00-00003B040000}"/>
    <hyperlink ref="J291" r:id="rId1085" display="http://brigitteyesenia.beltran-bbva.com/" xr:uid="{00000000-0004-0000-0E00-00003C040000}"/>
    <hyperlink ref="K291" r:id="rId1086" display="http://rociomarcela.lopez-bbva.com/" xr:uid="{00000000-0004-0000-0E00-00003D040000}"/>
    <hyperlink ref="AK291" r:id="rId1087" display="https://globaldevtools.bbva.com/jira/browse/CCSS-5190" xr:uid="{00000000-0004-0000-0E00-00003E040000}"/>
    <hyperlink ref="I292" r:id="rId1088" display="http://angie.castaneda-bbva.com/" xr:uid="{00000000-0004-0000-0E00-00003F040000}"/>
    <hyperlink ref="J292" r:id="rId1089" display="http://brigitteyesenia.beltran-bbva.com/" xr:uid="{00000000-0004-0000-0E00-000040040000}"/>
    <hyperlink ref="K292" r:id="rId1090" display="http://rociomarcela.lopez-bbva.com/" xr:uid="{00000000-0004-0000-0E00-000041040000}"/>
    <hyperlink ref="AK292" r:id="rId1091" display="https://globaldevtools.bbva.com/jira/browse/COLWSHERRA-1" xr:uid="{00000000-0004-0000-0E00-000042040000}"/>
    <hyperlink ref="I293" r:id="rId1092" display="http://angie.castaneda-bbva.com/" xr:uid="{00000000-0004-0000-0E00-000043040000}"/>
    <hyperlink ref="J293" r:id="rId1093" display="http://brigitteyesenia.beltran-bbva.com/" xr:uid="{00000000-0004-0000-0E00-000044040000}"/>
    <hyperlink ref="K293" r:id="rId1094" display="http://rociomarcela.lopez-bbva.com/" xr:uid="{00000000-0004-0000-0E00-000045040000}"/>
    <hyperlink ref="AK293" r:id="rId1095" display="https://globaldevtools.bbva.com/jira/browse/COLWSPREST-793" xr:uid="{00000000-0004-0000-0E00-000046040000}"/>
    <hyperlink ref="I294" r:id="rId1096" display="http://angie.castaneda-bbva.com/" xr:uid="{00000000-0004-0000-0E00-000047040000}"/>
    <hyperlink ref="J294" r:id="rId1097" display="http://brigitteyesenia.beltran-bbva.com/" xr:uid="{00000000-0004-0000-0E00-000048040000}"/>
    <hyperlink ref="K294" r:id="rId1098" display="http://rociomarcela.lopez-bbva.com/" xr:uid="{00000000-0004-0000-0E00-000049040000}"/>
    <hyperlink ref="AK294" r:id="rId1099" display="https://globaldevtools.bbva.com/jira/browse/COLWSPREST-6782" xr:uid="{00000000-0004-0000-0E00-00004A040000}"/>
    <hyperlink ref="I295" r:id="rId1100" display="http://angie.castaneda-bbva.com/" xr:uid="{00000000-0004-0000-0E00-00004B040000}"/>
    <hyperlink ref="J295" r:id="rId1101" display="http://brigitteyesenia.beltran-bbva.com/" xr:uid="{00000000-0004-0000-0E00-00004C040000}"/>
    <hyperlink ref="K295" r:id="rId1102" display="http://rociomarcela.lopez-bbva.com/" xr:uid="{00000000-0004-0000-0E00-00004D040000}"/>
    <hyperlink ref="AK295" r:id="rId1103" display="https://globaldevtools.bbva.com/jira/browse/COLWSPREST-10164" xr:uid="{00000000-0004-0000-0E00-00004E040000}"/>
    <hyperlink ref="I296" r:id="rId1104" display="http://angie.castaneda-bbva.com/" xr:uid="{00000000-0004-0000-0E00-00004F040000}"/>
    <hyperlink ref="J296" r:id="rId1105" display="http://brigitteyesenia.beltran-bbva.com/" xr:uid="{00000000-0004-0000-0E00-000050040000}"/>
    <hyperlink ref="K296" r:id="rId1106" display="http://rociomarcela.lopez-bbva.com/" xr:uid="{00000000-0004-0000-0E00-000051040000}"/>
    <hyperlink ref="AK296" r:id="rId1107" display="https://globaldevtools.bbva.com/jira/browse/COLWSCANAL-6538" xr:uid="{00000000-0004-0000-0E00-000052040000}"/>
    <hyperlink ref="I297" r:id="rId1108" display="http://angie.castaneda-bbva.com/" xr:uid="{00000000-0004-0000-0E00-000053040000}"/>
    <hyperlink ref="J297" r:id="rId1109" display="http://brigitteyesenia.beltran-bbva.com/" xr:uid="{00000000-0004-0000-0E00-000054040000}"/>
    <hyperlink ref="K297" r:id="rId1110" display="http://monica.zamudio-bbva.com/" xr:uid="{00000000-0004-0000-0E00-000055040000}"/>
    <hyperlink ref="AK297" r:id="rId1111" display="https://globaldevtools.bbva.com/jira/browse/COLWSCANAL-3400" xr:uid="{00000000-0004-0000-0E00-000056040000}"/>
    <hyperlink ref="I298" r:id="rId1112" display="http://angie.castaneda-bbva.com/" xr:uid="{00000000-0004-0000-0E00-000057040000}"/>
    <hyperlink ref="J298" r:id="rId1113" display="http://brigitteyesenia.beltran-bbva.com/" xr:uid="{00000000-0004-0000-0E00-000058040000}"/>
    <hyperlink ref="K298" r:id="rId1114" display="http://rociomarcela.lopez-bbva.com/" xr:uid="{00000000-0004-0000-0E00-000059040000}"/>
    <hyperlink ref="AK298" r:id="rId1115" display="https://globaldevtools.bbva.com/jira/browse/COLWSCANAL-3396" xr:uid="{00000000-0004-0000-0E00-00005A040000}"/>
    <hyperlink ref="I299" r:id="rId1116" display="http://angie.castaneda-bbva.com/" xr:uid="{00000000-0004-0000-0E00-00005B040000}"/>
    <hyperlink ref="J299" r:id="rId1117" display="http://brigitteyesenia.beltran-bbva.com/" xr:uid="{00000000-0004-0000-0E00-00005C040000}"/>
    <hyperlink ref="K299" r:id="rId1118" display="http://rociomarcela.lopez-bbva.com/" xr:uid="{00000000-0004-0000-0E00-00005D040000}"/>
    <hyperlink ref="I300" r:id="rId1119" display="http://angie.castaneda-bbva.com/" xr:uid="{00000000-0004-0000-0E00-00005E040000}"/>
    <hyperlink ref="J300" r:id="rId1120" display="http://brigitteyesenia.beltran-bbva.com/" xr:uid="{00000000-0004-0000-0E00-00005F040000}"/>
    <hyperlink ref="K300" r:id="rId1121" display="http://rociomarcela.lopez-bbva.com/" xr:uid="{00000000-0004-0000-0E00-000060040000}"/>
    <hyperlink ref="I301" r:id="rId1122" display="http://angie.castaneda-bbva.com/" xr:uid="{00000000-0004-0000-0E00-000061040000}"/>
    <hyperlink ref="J301" r:id="rId1123" display="http://brigitteyesenia.beltran-bbva.com/" xr:uid="{00000000-0004-0000-0E00-000062040000}"/>
    <hyperlink ref="K301" r:id="rId1124" display="http://rociomarcela.lopez-bbva.com/" xr:uid="{00000000-0004-0000-0E00-000063040000}"/>
    <hyperlink ref="AK301" r:id="rId1125" display="https://globaldevtools.bbva.com/jira/browse/COLWSPREST-2745" xr:uid="{00000000-0004-0000-0E00-000064040000}"/>
    <hyperlink ref="I302" r:id="rId1126" display="http://angie.castaneda-bbva.com/" xr:uid="{00000000-0004-0000-0E00-000065040000}"/>
    <hyperlink ref="J302" r:id="rId1127" display="http://brigitteyesenia.beltran-bbva.com/" xr:uid="{00000000-0004-0000-0E00-000066040000}"/>
    <hyperlink ref="K302" r:id="rId1128" display="http://rociomarcela.lopez-bbva.com/" xr:uid="{00000000-0004-0000-0E00-000067040000}"/>
    <hyperlink ref="I303" r:id="rId1129" display="http://angie.castaneda-bbva.com/" xr:uid="{00000000-0004-0000-0E00-000068040000}"/>
    <hyperlink ref="J303" r:id="rId1130" display="http://diegoandres.rodriguez-bbva.com/" xr:uid="{00000000-0004-0000-0E00-000069040000}"/>
    <hyperlink ref="K303" r:id="rId1131" display="http://andresfelipe.granados-bbva.com/" xr:uid="{00000000-0004-0000-0E00-00006A040000}"/>
    <hyperlink ref="I304" r:id="rId1132" display="http://angie.castaneda-bbva.com/" xr:uid="{00000000-0004-0000-0E00-00006B040000}"/>
    <hyperlink ref="J304" r:id="rId1133" display="http://diegoandres.rodriguez-bbva.com/" xr:uid="{00000000-0004-0000-0E00-00006C040000}"/>
    <hyperlink ref="K304" r:id="rId1134" display="http://andresfelipe.granados-bbva.com/" xr:uid="{00000000-0004-0000-0E00-00006D040000}"/>
    <hyperlink ref="AK304" r:id="rId1135" display="https://globaldevtools.bbva.com/jira/browse/COLWSCUENT-363" xr:uid="{00000000-0004-0000-0E00-00006E040000}"/>
    <hyperlink ref="I305" r:id="rId1136" display="http://angie.castaneda-bbva.com/" xr:uid="{00000000-0004-0000-0E00-00006F040000}"/>
    <hyperlink ref="J305" r:id="rId1137" display="http://diegoandres.rodriguez-bbva.com/" xr:uid="{00000000-0004-0000-0E00-000070040000}"/>
    <hyperlink ref="K305" r:id="rId1138" display="http://andresfelipe.granados-bbva.com/" xr:uid="{00000000-0004-0000-0E00-000071040000}"/>
    <hyperlink ref="AK305" r:id="rId1139" display="https://globaldevtools.bbva.com/jira/browse/COLWSCUENT-268" xr:uid="{00000000-0004-0000-0E00-000072040000}"/>
    <hyperlink ref="I306" r:id="rId1140" display="http://angie.castaneda-bbva.com/" xr:uid="{00000000-0004-0000-0E00-000073040000}"/>
    <hyperlink ref="J306" r:id="rId1141" display="http://diegoandres.rodriguez-bbva.com/" xr:uid="{00000000-0004-0000-0E00-000074040000}"/>
    <hyperlink ref="K306" r:id="rId1142" display="http://andresfelipe.granados-bbva.com/" xr:uid="{00000000-0004-0000-0E00-000075040000}"/>
    <hyperlink ref="I307" r:id="rId1143" display="http://angie.castaneda-bbva.com/" xr:uid="{00000000-0004-0000-0E00-000076040000}"/>
    <hyperlink ref="J307" r:id="rId1144" display="http://diegoandres.rodriguez-bbva.com/" xr:uid="{00000000-0004-0000-0E00-000077040000}"/>
    <hyperlink ref="K307" r:id="rId1145" display="http://andresfelipe.granados-bbva.com/" xr:uid="{00000000-0004-0000-0E00-000078040000}"/>
    <hyperlink ref="AK307" r:id="rId1146" display="https://globaldevtools.bbva.com/jira/browse/COLWSCUENT-1595" xr:uid="{00000000-0004-0000-0E00-000079040000}"/>
    <hyperlink ref="I308" r:id="rId1147" display="http://angie.castaneda-bbva.com/" xr:uid="{00000000-0004-0000-0E00-00007A040000}"/>
    <hyperlink ref="J308" r:id="rId1148" display="http://katherine.pardo-bbva.com/" xr:uid="{00000000-0004-0000-0E00-00007B040000}"/>
    <hyperlink ref="K308" r:id="rId1149" display="http://juana.vergara-bbva.com/" xr:uid="{00000000-0004-0000-0E00-00007C040000}"/>
    <hyperlink ref="I309" r:id="rId1150" display="http://angie.castaneda-bbva.com/" xr:uid="{00000000-0004-0000-0E00-00007D040000}"/>
    <hyperlink ref="J309" r:id="rId1151" display="http://katherine.pardo-bbva.com/" xr:uid="{00000000-0004-0000-0E00-00007E040000}"/>
    <hyperlink ref="K309" r:id="rId1152" display="http://juana.vergara-bbva.com/" xr:uid="{00000000-0004-0000-0E00-00007F040000}"/>
    <hyperlink ref="AK309" r:id="rId1153" display="https://globaldevtools.bbva.com/jira/browse/COLWSCUENT-895" xr:uid="{00000000-0004-0000-0E00-000080040000}"/>
    <hyperlink ref="I310" r:id="rId1154" display="http://angie.castaneda-bbva.com/" xr:uid="{00000000-0004-0000-0E00-000081040000}"/>
    <hyperlink ref="J310" r:id="rId1155" display="http://katherine.pardo-bbva.com/" xr:uid="{00000000-0004-0000-0E00-000082040000}"/>
    <hyperlink ref="K310" r:id="rId1156" display="http://paolaandrea.hermosa-bbva.com/" xr:uid="{00000000-0004-0000-0E00-000083040000}"/>
    <hyperlink ref="AK310" r:id="rId1157" display="https://globaldevtools.bbva.com/jira/browse/COLWSCUENT-2822" xr:uid="{00000000-0004-0000-0E00-000084040000}"/>
    <hyperlink ref="I311" r:id="rId1158" display="http://angie.castaneda-bbva.com/" xr:uid="{00000000-0004-0000-0E00-000085040000}"/>
    <hyperlink ref="J311" r:id="rId1159" display="http://katherine.pardo-bbva.com/" xr:uid="{00000000-0004-0000-0E00-000086040000}"/>
    <hyperlink ref="K311" r:id="rId1160" display="http://paolaandrea.hermosa-bbva.com/" xr:uid="{00000000-0004-0000-0E00-000087040000}"/>
    <hyperlink ref="AK311" r:id="rId1161" display="https://globaldevtools.bbva.com/jira/browse/COLWSCUENT-2943" xr:uid="{00000000-0004-0000-0E00-000088040000}"/>
    <hyperlink ref="I312" r:id="rId1162" display="http://angie.castaneda-bbva.com/" xr:uid="{00000000-0004-0000-0E00-000089040000}"/>
    <hyperlink ref="J312" r:id="rId1163" display="http://katherine.pardo-bbva.com/" xr:uid="{00000000-0004-0000-0E00-00008A040000}"/>
    <hyperlink ref="K312" r:id="rId1164" display="http://paolaandrea.hermosa-bbva.com/" xr:uid="{00000000-0004-0000-0E00-00008B040000}"/>
    <hyperlink ref="AK312" r:id="rId1165" display="https://globaldevtools.bbva.com/jira/browse/COLWSCUENT-2017" xr:uid="{00000000-0004-0000-0E00-00008C040000}"/>
    <hyperlink ref="I313" r:id="rId1166" display="http://angie.castaneda-bbva.com/" xr:uid="{00000000-0004-0000-0E00-00008D040000}"/>
    <hyperlink ref="J313" r:id="rId1167" display="http://katherine.pardo-bbva.com/" xr:uid="{00000000-0004-0000-0E00-00008E040000}"/>
    <hyperlink ref="K313" r:id="rId1168" display="http://paolaandrea.hermosa-bbva.com/" xr:uid="{00000000-0004-0000-0E00-00008F040000}"/>
    <hyperlink ref="I314" r:id="rId1169" display="http://angie.castaneda-bbva.com/" xr:uid="{00000000-0004-0000-0E00-000090040000}"/>
    <hyperlink ref="J314" r:id="rId1170" display="http://katherine.pardo-bbva.com/" xr:uid="{00000000-0004-0000-0E00-000091040000}"/>
    <hyperlink ref="K314" r:id="rId1171" display="http://paolaandrea.hermosa-bbva.com/" xr:uid="{00000000-0004-0000-0E00-000092040000}"/>
    <hyperlink ref="I315" r:id="rId1172" display="http://angie.castaneda-bbva.com/" xr:uid="{00000000-0004-0000-0E00-000093040000}"/>
    <hyperlink ref="J315" r:id="rId1173" display="http://katherine.pardo-bbva.com/" xr:uid="{00000000-0004-0000-0E00-000094040000}"/>
    <hyperlink ref="K315" r:id="rId1174" display="http://paolaandrea.hermosa-bbva.com/" xr:uid="{00000000-0004-0000-0E00-000095040000}"/>
    <hyperlink ref="I316" r:id="rId1175" display="http://angie.castaneda-bbva.com/" xr:uid="{00000000-0004-0000-0E00-000096040000}"/>
    <hyperlink ref="J316" r:id="rId1176" display="http://katherine.pardo-bbva.com/" xr:uid="{00000000-0004-0000-0E00-000097040000}"/>
    <hyperlink ref="K316" r:id="rId1177" display="http://paolaandrea.hermosa-bbva.com/" xr:uid="{00000000-0004-0000-0E00-000098040000}"/>
    <hyperlink ref="AK316" r:id="rId1178" display="https://globaldevtools.bbva.com/jira/browse/COLWSCUENT-2992" xr:uid="{00000000-0004-0000-0E00-000099040000}"/>
    <hyperlink ref="I317" r:id="rId1179" display="http://angie.castaneda-bbva.com/" xr:uid="{00000000-0004-0000-0E00-00009A040000}"/>
    <hyperlink ref="J317" r:id="rId1180" display="http://katherine.pardo-bbva.com/" xr:uid="{00000000-0004-0000-0E00-00009B040000}"/>
    <hyperlink ref="K317" r:id="rId1181" display="http://paolaandrea.hermosa-bbva.com/" xr:uid="{00000000-0004-0000-0E00-00009C040000}"/>
    <hyperlink ref="AK317" r:id="rId1182" display="https://globaldevtools.bbva.com/jira/browse/COLWSCUENT-2484" xr:uid="{00000000-0004-0000-0E00-00009D040000}"/>
    <hyperlink ref="I318" r:id="rId1183" display="http://angie.castaneda-bbva.com/" xr:uid="{00000000-0004-0000-0E00-00009E040000}"/>
    <hyperlink ref="J318" r:id="rId1184" display="http://katherine.pardo-bbva.com/" xr:uid="{00000000-0004-0000-0E00-00009F040000}"/>
    <hyperlink ref="K318" r:id="rId1185" display="http://paolaandrea.hermosa-bbva.com/" xr:uid="{00000000-0004-0000-0E00-0000A0040000}"/>
    <hyperlink ref="I319" r:id="rId1186" display="http://angie.castaneda-bbva.com/" xr:uid="{00000000-0004-0000-0E00-0000A1040000}"/>
    <hyperlink ref="J319" r:id="rId1187" display="http://sandra.espinosa-bbva.com/" xr:uid="{00000000-0004-0000-0E00-0000A2040000}"/>
    <hyperlink ref="K319" r:id="rId1188" display="http://rociomarcela.lopez-bbva.com/" xr:uid="{00000000-0004-0000-0E00-0000A3040000}"/>
    <hyperlink ref="AK319" r:id="rId1189" display="https://globaldevtools.bbva.com/jira/browse/COLWSPREST-7002" xr:uid="{00000000-0004-0000-0E00-0000A4040000}"/>
    <hyperlink ref="I320" r:id="rId1190" display="http://angie.castaneda-bbva.com/" xr:uid="{00000000-0004-0000-0E00-0000A5040000}"/>
    <hyperlink ref="J320" r:id="rId1191" display="http://sandra.espinosa-bbva.com/" xr:uid="{00000000-0004-0000-0E00-0000A6040000}"/>
    <hyperlink ref="K320" r:id="rId1192" display="http://rociomarcela.lopez-bbva.com/" xr:uid="{00000000-0004-0000-0E00-0000A7040000}"/>
    <hyperlink ref="AK320" r:id="rId1193" display="https://globaldevtools.bbva.com/jira/browse/COLWSPREST-7331" xr:uid="{00000000-0004-0000-0E00-0000A8040000}"/>
    <hyperlink ref="I321" r:id="rId1194" display="http://angie.castaneda-bbva.com/" xr:uid="{00000000-0004-0000-0E00-0000A9040000}"/>
    <hyperlink ref="J321" r:id="rId1195" display="http://sandra.espinosa-bbva.com/" xr:uid="{00000000-0004-0000-0E00-0000AA040000}"/>
    <hyperlink ref="K321" r:id="rId1196" display="http://rociomarcela.lopez-bbva.com/" xr:uid="{00000000-0004-0000-0E00-0000AB040000}"/>
    <hyperlink ref="AK321" r:id="rId1197" display="https://globaldevtools.bbva.com/jira/browse/COLWSPREST-11951" xr:uid="{00000000-0004-0000-0E00-0000AC040000}"/>
    <hyperlink ref="I322" r:id="rId1198" display="http://angie.castaneda-bbva.com/" xr:uid="{00000000-0004-0000-0E00-0000AD040000}"/>
    <hyperlink ref="J322" r:id="rId1199" display="http://sandra.espinosa-bbva.com/" xr:uid="{00000000-0004-0000-0E00-0000AE040000}"/>
    <hyperlink ref="K322" r:id="rId1200" display="http://rociomarcela.lopez-bbva.com/" xr:uid="{00000000-0004-0000-0E00-0000AF040000}"/>
    <hyperlink ref="AK322" r:id="rId1201" display="https://globaldevtools.bbva.com/jira/browse/COLWSPREST-806" xr:uid="{00000000-0004-0000-0E00-0000B0040000}"/>
    <hyperlink ref="I323" r:id="rId1202" display="http://angie.castaneda-bbva.com/" xr:uid="{00000000-0004-0000-0E00-0000B1040000}"/>
    <hyperlink ref="J323" r:id="rId1203" display="http://sandra.espinosa-bbva.com/" xr:uid="{00000000-0004-0000-0E00-0000B2040000}"/>
    <hyperlink ref="K323" r:id="rId1204" display="http://rociomarcela.lopez-bbva.com/" xr:uid="{00000000-0004-0000-0E00-0000B3040000}"/>
    <hyperlink ref="I324" r:id="rId1205" display="http://angie.castaneda-bbva.com/" xr:uid="{00000000-0004-0000-0E00-0000B4040000}"/>
    <hyperlink ref="J324" r:id="rId1206" display="http://sandra.espinosa-bbva.com/" xr:uid="{00000000-0004-0000-0E00-0000B5040000}"/>
    <hyperlink ref="K324" r:id="rId1207" display="http://rociomarcela.lopez-bbva.com/" xr:uid="{00000000-0004-0000-0E00-0000B6040000}"/>
    <hyperlink ref="AK324" r:id="rId1208" display="https://globaldevtools.bbva.com/jira/browse/COLWSPREST-2740" xr:uid="{00000000-0004-0000-0E00-0000B7040000}"/>
    <hyperlink ref="I325" r:id="rId1209" display="http://angie.castaneda-bbva.com/" xr:uid="{00000000-0004-0000-0E00-0000B8040000}"/>
    <hyperlink ref="J325" r:id="rId1210" display="http://sandra.espinosa-bbva.com/" xr:uid="{00000000-0004-0000-0E00-0000B9040000}"/>
    <hyperlink ref="K325" r:id="rId1211" display="http://rociomarcela.lopez-bbva.com/" xr:uid="{00000000-0004-0000-0E00-0000BA040000}"/>
    <hyperlink ref="AK325" r:id="rId1212" display="https://globaldevtools.bbva.com/jira/browse/COLWSPREST-7932" xr:uid="{00000000-0004-0000-0E00-0000BB040000}"/>
    <hyperlink ref="I326" r:id="rId1213" display="http://angie.castaneda-bbva.com/" xr:uid="{00000000-0004-0000-0E00-0000BC040000}"/>
    <hyperlink ref="J326" r:id="rId1214" display="http://diegoandres.rodriguez-bbva.com/" xr:uid="{00000000-0004-0000-0E00-0000BD040000}"/>
    <hyperlink ref="K326" r:id="rId1215" display="http://monica.zamudio-bbva.com/" xr:uid="{00000000-0004-0000-0E00-0000BE040000}"/>
    <hyperlink ref="AK326" r:id="rId1216" display="https://globaldevtools.bbva.com/jira/browse/COLWSPREST-5219" xr:uid="{00000000-0004-0000-0E00-0000BF040000}"/>
    <hyperlink ref="I327" r:id="rId1217" display="http://angie.castaneda-bbva.com/" xr:uid="{00000000-0004-0000-0E00-0000C0040000}"/>
    <hyperlink ref="J327" r:id="rId1218" display="http://diegoandres.rodriguez-bbva.com/" xr:uid="{00000000-0004-0000-0E00-0000C1040000}"/>
    <hyperlink ref="K327" r:id="rId1219" display="http://monica.zamudio-bbva.com/" xr:uid="{00000000-0004-0000-0E00-0000C2040000}"/>
    <hyperlink ref="AK327" r:id="rId1220" display="https://globaldevtools.bbva.com/jira/browse/COLWSPREST-11645" xr:uid="{00000000-0004-0000-0E00-0000C3040000}"/>
    <hyperlink ref="I328" r:id="rId1221" display="http://angie.castaneda-bbva.com/" xr:uid="{00000000-0004-0000-0E00-0000C4040000}"/>
    <hyperlink ref="J328" r:id="rId1222" display="http://katryn.verjel-bbva.com/" xr:uid="{00000000-0004-0000-0E00-0000C5040000}"/>
    <hyperlink ref="K328" r:id="rId1223" display="http://monica.zamudio-bbva.com/" xr:uid="{00000000-0004-0000-0E00-0000C6040000}"/>
    <hyperlink ref="AK328" r:id="rId1224" display="https://globaldevtools.bbva.com/jira/browse/COLWSCUENT-2269" xr:uid="{00000000-0004-0000-0E00-0000C7040000}"/>
    <hyperlink ref="I329" r:id="rId1225" display="http://angie.castaneda-bbva.com/" xr:uid="{00000000-0004-0000-0E00-0000C8040000}"/>
    <hyperlink ref="J329" r:id="rId1226" display="http://katryn.verjel-bbva.com/" xr:uid="{00000000-0004-0000-0E00-0000C9040000}"/>
    <hyperlink ref="K329" r:id="rId1227" display="http://monica.zamudio-bbva.com/" xr:uid="{00000000-0004-0000-0E00-0000CA040000}"/>
    <hyperlink ref="AK329" r:id="rId1228" display="https://globaldevtools.bbva.com/jira/browse/COLWSCUENT-2996" xr:uid="{00000000-0004-0000-0E00-0000CB040000}"/>
    <hyperlink ref="I330" r:id="rId1229" display="http://angie.castaneda-bbva.com/" xr:uid="{00000000-0004-0000-0E00-0000CC040000}"/>
    <hyperlink ref="K330" r:id="rId1230" display="http://paolaandrea.guzman-bbva.com/" xr:uid="{00000000-0004-0000-0E00-0000CD040000}"/>
    <hyperlink ref="AK330" r:id="rId1231" display="https://globaldevtools.bbva.com/jira/browse/CCSS-15566" xr:uid="{00000000-0004-0000-0E00-0000CE040000}"/>
    <hyperlink ref="I331" r:id="rId1232" display="http://angie.castaneda-bbva.com/" xr:uid="{00000000-0004-0000-0E00-0000CF040000}"/>
    <hyperlink ref="K331" r:id="rId1233" display="http://paolaandrea.guzman-bbva.com/" xr:uid="{00000000-0004-0000-0E00-0000D0040000}"/>
    <hyperlink ref="I332" r:id="rId1234" display="http://angie.castaneda-bbva.com/" xr:uid="{00000000-0004-0000-0E00-0000D1040000}"/>
    <hyperlink ref="K332" r:id="rId1235" display="http://paolaandrea.guzman-bbva.com/" xr:uid="{00000000-0004-0000-0E00-0000D2040000}"/>
    <hyperlink ref="I333" r:id="rId1236" display="http://angie.castaneda-bbva.com/" xr:uid="{00000000-0004-0000-0E00-0000D3040000}"/>
    <hyperlink ref="K333" r:id="rId1237" display="http://paolaandrea.guzman-bbva.com/" xr:uid="{00000000-0004-0000-0E00-0000D4040000}"/>
    <hyperlink ref="AK333" r:id="rId1238" display="https://globaldevtools.bbva.com/jira/browse/CCSS-6820" xr:uid="{00000000-0004-0000-0E00-0000D5040000}"/>
    <hyperlink ref="I334" r:id="rId1239" display="http://angie.castaneda-bbva.com/" xr:uid="{00000000-0004-0000-0E00-0000D6040000}"/>
    <hyperlink ref="K334" r:id="rId1240" display="http://paolaandrea.guzman-bbva.com/" xr:uid="{00000000-0004-0000-0E00-0000D7040000}"/>
    <hyperlink ref="AK334" r:id="rId1241" display="https://globaldevtools.bbva.com/jira/browse/COLWSPREST-7326" xr:uid="{00000000-0004-0000-0E00-0000D8040000}"/>
    <hyperlink ref="I335" r:id="rId1242" display="http://angie.castaneda-bbva.com/" xr:uid="{00000000-0004-0000-0E00-0000D9040000}"/>
    <hyperlink ref="K335" r:id="rId1243" display="http://paolaandrea.guzman-bbva.com/" xr:uid="{00000000-0004-0000-0E00-0000DA040000}"/>
    <hyperlink ref="I336" r:id="rId1244" display="http://angie.castaneda-bbva.com/" xr:uid="{00000000-0004-0000-0E00-0000DB040000}"/>
    <hyperlink ref="K336" r:id="rId1245" display="http://paolaandrea.guzman-bbva.com/" xr:uid="{00000000-0004-0000-0E00-0000DC040000}"/>
    <hyperlink ref="AK336" r:id="rId1246" display="https://globaldevtools.bbva.com/jira/browse/COLWSPREST-7327" xr:uid="{00000000-0004-0000-0E00-0000DD040000}"/>
    <hyperlink ref="I337" r:id="rId1247" display="http://angie.castaneda-bbva.com/" xr:uid="{00000000-0004-0000-0E00-0000DE040000}"/>
    <hyperlink ref="J337" r:id="rId1248" display="http://diegoandres.rodriguez-bbva.com/" xr:uid="{00000000-0004-0000-0E00-0000DF040000}"/>
    <hyperlink ref="K337" r:id="rId1249" display="http://paolaandrea.guzman-bbva.com/" xr:uid="{00000000-0004-0000-0E00-0000E0040000}"/>
    <hyperlink ref="AK337" r:id="rId1250" display="https://globaldevtools.bbva.com/jira/browse/COLWSPREST-12045" xr:uid="{00000000-0004-0000-0E00-0000E1040000}"/>
    <hyperlink ref="I338" r:id="rId1251" display="http://angie.castaneda-bbva.com/" xr:uid="{00000000-0004-0000-0E00-0000E2040000}"/>
    <hyperlink ref="J338" r:id="rId1252" display="http://diegoandres.rodriguez-bbva.com/" xr:uid="{00000000-0004-0000-0E00-0000E3040000}"/>
    <hyperlink ref="K338" r:id="rId1253" display="http://paolaandrea.guzman-bbva.com/" xr:uid="{00000000-0004-0000-0E00-0000E4040000}"/>
    <hyperlink ref="AK338" r:id="rId1254" display="https://globaldevtools.bbva.com/jira/browse/COLWSPREST-10649" xr:uid="{00000000-0004-0000-0E00-0000E5040000}"/>
    <hyperlink ref="I339" r:id="rId1255" display="http://angie.castaneda-bbva.com/" xr:uid="{00000000-0004-0000-0E00-0000E6040000}"/>
    <hyperlink ref="J339" r:id="rId1256" display="http://diegoandres.rodriguez-bbva.com/" xr:uid="{00000000-0004-0000-0E00-0000E7040000}"/>
    <hyperlink ref="K339" r:id="rId1257" display="http://paolaandrea.guzman-bbva.com/" xr:uid="{00000000-0004-0000-0E00-0000E8040000}"/>
    <hyperlink ref="I340" r:id="rId1258" display="http://angie.castaneda-bbva.com/" xr:uid="{00000000-0004-0000-0E00-0000E9040000}"/>
    <hyperlink ref="J340" r:id="rId1259" display="http://diegoandres.rodriguez-bbva.com/" xr:uid="{00000000-0004-0000-0E00-0000EA040000}"/>
    <hyperlink ref="K340" r:id="rId1260" display="http://paolaandrea.guzman-bbva.com/" xr:uid="{00000000-0004-0000-0E00-0000EB040000}"/>
    <hyperlink ref="I341" r:id="rId1261" display="http://angie.castaneda-bbva.com/" xr:uid="{00000000-0004-0000-0E00-0000EC040000}"/>
    <hyperlink ref="J341" r:id="rId1262" display="http://diegoandres.rodriguez-bbva.com/" xr:uid="{00000000-0004-0000-0E00-0000ED040000}"/>
    <hyperlink ref="K341" r:id="rId1263" display="http://paolaandrea.guzman-bbva.com/" xr:uid="{00000000-0004-0000-0E00-0000EE040000}"/>
    <hyperlink ref="I342" r:id="rId1264" display="http://angie.castaneda-bbva.com/" xr:uid="{00000000-0004-0000-0E00-0000EF040000}"/>
    <hyperlink ref="J342" r:id="rId1265" display="http://diegoandres.rodriguez-bbva.com/" xr:uid="{00000000-0004-0000-0E00-0000F0040000}"/>
    <hyperlink ref="K342" r:id="rId1266" display="http://paolaandrea.guzman-bbva.com/" xr:uid="{00000000-0004-0000-0E00-0000F1040000}"/>
    <hyperlink ref="AK342" r:id="rId1267" display="https://globaldevtools.bbva.com/jira/browse/COLWSPREST-10626" xr:uid="{00000000-0004-0000-0E00-0000F2040000}"/>
    <hyperlink ref="I343" r:id="rId1268" display="http://angie.castaneda-bbva.com/" xr:uid="{00000000-0004-0000-0E00-0000F3040000}"/>
    <hyperlink ref="J343" r:id="rId1269" display="http://diegoandres.rodriguez-bbva.com/" xr:uid="{00000000-0004-0000-0E00-0000F4040000}"/>
    <hyperlink ref="K343" r:id="rId1270" display="http://john.calvo-bbva.com/" xr:uid="{00000000-0004-0000-0E00-0000F5040000}"/>
    <hyperlink ref="I344" r:id="rId1271" display="http://angie.castaneda-bbva.com/" xr:uid="{00000000-0004-0000-0E00-0000F6040000}"/>
    <hyperlink ref="J344" r:id="rId1272" display="http://liliana.marquez-bbva.com/" xr:uid="{00000000-0004-0000-0E00-0000F7040000}"/>
    <hyperlink ref="K344" r:id="rId1273" display="http://monica.zamudio-bbva.com/" xr:uid="{00000000-0004-0000-0E00-0000F8040000}"/>
    <hyperlink ref="I345" r:id="rId1274" display="http://angie.castaneda-bbva.com/" xr:uid="{00000000-0004-0000-0E00-0000F9040000}"/>
    <hyperlink ref="J345" r:id="rId1275" display="http://liliana.marquez-bbva.com/" xr:uid="{00000000-0004-0000-0E00-0000FA040000}"/>
    <hyperlink ref="K345" r:id="rId1276" display="http://monica.zamudio-bbva.com/" xr:uid="{00000000-0004-0000-0E00-0000FB040000}"/>
    <hyperlink ref="I346" r:id="rId1277" display="http://angie.castaneda-bbva.com/" xr:uid="{00000000-0004-0000-0E00-0000FC040000}"/>
    <hyperlink ref="J346" r:id="rId1278" display="http://liliana.marquez-bbva.com/" xr:uid="{00000000-0004-0000-0E00-0000FD040000}"/>
    <hyperlink ref="K346" r:id="rId1279" display="http://monica.zamudio-bbva.com/" xr:uid="{00000000-0004-0000-0E00-0000FE040000}"/>
    <hyperlink ref="AK346" r:id="rId1280" display="https://globaldevtools.bbva.com/jira/browse/CCSS-6000" xr:uid="{00000000-0004-0000-0E00-0000FF040000}"/>
    <hyperlink ref="I347" r:id="rId1281" display="http://angie.castaneda-bbva.com/" xr:uid="{00000000-0004-0000-0E00-000000050000}"/>
    <hyperlink ref="J347" r:id="rId1282" display="http://liliana.marquez-bbva.com/" xr:uid="{00000000-0004-0000-0E00-000001050000}"/>
    <hyperlink ref="K347" r:id="rId1283" display="http://monica.zamudio-bbva.com/" xr:uid="{00000000-0004-0000-0E00-000002050000}"/>
    <hyperlink ref="AK347" r:id="rId1284" display="https://globaldevtools.bbva.com/jira/browse/COLWSPREST-386" xr:uid="{00000000-0004-0000-0E00-000003050000}"/>
    <hyperlink ref="I348" r:id="rId1285" display="http://angie.castaneda-bbva.com/" xr:uid="{00000000-0004-0000-0E00-000004050000}"/>
    <hyperlink ref="J348" r:id="rId1286" display="http://liliana.marquez-bbva.com/" xr:uid="{00000000-0004-0000-0E00-000005050000}"/>
    <hyperlink ref="K348" r:id="rId1287" display="http://monica.zamudio-bbva.com/" xr:uid="{00000000-0004-0000-0E00-000006050000}"/>
    <hyperlink ref="AK348" r:id="rId1288" display="https://globaldevtools.bbva.com/jira/browse/COLWSPREST-400" xr:uid="{00000000-0004-0000-0E00-000007050000}"/>
    <hyperlink ref="I349" r:id="rId1289" display="http://angie.castaneda-bbva.com/" xr:uid="{00000000-0004-0000-0E00-000008050000}"/>
    <hyperlink ref="J349" r:id="rId1290" display="http://liliana.marquez-bbva.com/" xr:uid="{00000000-0004-0000-0E00-000009050000}"/>
    <hyperlink ref="K349" r:id="rId1291" display="http://monica.zamudio-bbva.com/" xr:uid="{00000000-0004-0000-0E00-00000A050000}"/>
    <hyperlink ref="AK349" r:id="rId1292" display="https://globaldevtools.bbva.com/jira/browse/COLWSPREST-10008" xr:uid="{00000000-0004-0000-0E00-00000B050000}"/>
    <hyperlink ref="I350" r:id="rId1293" display="http://angie.castaneda-bbva.com/" xr:uid="{00000000-0004-0000-0E00-00000C050000}"/>
    <hyperlink ref="J350" r:id="rId1294" display="http://liliana.marquez-bbva.com/" xr:uid="{00000000-0004-0000-0E00-00000D050000}"/>
    <hyperlink ref="K350" r:id="rId1295" display="http://monica.zamudio-bbva.com/" xr:uid="{00000000-0004-0000-0E00-00000E050000}"/>
    <hyperlink ref="I351" r:id="rId1296" display="http://angie.castaneda-bbva.com/" xr:uid="{00000000-0004-0000-0E00-00000F050000}"/>
    <hyperlink ref="J351" r:id="rId1297" display="http://liliana.marquez-bbva.com/" xr:uid="{00000000-0004-0000-0E00-000010050000}"/>
    <hyperlink ref="K351" r:id="rId1298" display="http://monica.zamudio-bbva.com/" xr:uid="{00000000-0004-0000-0E00-000011050000}"/>
    <hyperlink ref="AK351" r:id="rId1299" display="https://globaldevtools.bbva.com/jira/browse/COLWSRIESG-3247" xr:uid="{00000000-0004-0000-0E00-000012050000}"/>
    <hyperlink ref="I352" r:id="rId1300" display="http://angie.castaneda-bbva.com/" xr:uid="{00000000-0004-0000-0E00-000013050000}"/>
    <hyperlink ref="J352" r:id="rId1301" display="http://liliana.marquez-bbva.com/" xr:uid="{00000000-0004-0000-0E00-000014050000}"/>
    <hyperlink ref="K352" r:id="rId1302" display="http://monica.zamudio-bbva.com/" xr:uid="{00000000-0004-0000-0E00-000015050000}"/>
    <hyperlink ref="I353" r:id="rId1303" display="http://angie.castaneda-bbva.com/" xr:uid="{00000000-0004-0000-0E00-000016050000}"/>
    <hyperlink ref="J353" r:id="rId1304" display="http://liliana.marquez-bbva.com/" xr:uid="{00000000-0004-0000-0E00-000017050000}"/>
    <hyperlink ref="K353" r:id="rId1305" display="http://monica.zamudio-bbva.com/" xr:uid="{00000000-0004-0000-0E00-000018050000}"/>
    <hyperlink ref="I354" r:id="rId1306" display="http://angie.castaneda-bbva.com/" xr:uid="{00000000-0004-0000-0E00-000019050000}"/>
    <hyperlink ref="J354" r:id="rId1307" display="http://judy.prieto-bbva.com/" xr:uid="{00000000-0004-0000-0E00-00001A050000}"/>
    <hyperlink ref="K354" r:id="rId1308" display="http://paolaandrea.guzman-bbva.com/" xr:uid="{00000000-0004-0000-0E00-00001B050000}"/>
    <hyperlink ref="AK354" r:id="rId1309" display="https://globaldevtools.bbva.com/jira/browse/COLWSMEDIO-429" xr:uid="{00000000-0004-0000-0E00-00001C050000}"/>
    <hyperlink ref="I355" r:id="rId1310" display="http://angie.castaneda-bbva.com/" xr:uid="{00000000-0004-0000-0E00-00001D050000}"/>
    <hyperlink ref="J355" r:id="rId1311" display="http://judy.prieto-bbva.com/" xr:uid="{00000000-0004-0000-0E00-00001E050000}"/>
    <hyperlink ref="K355" r:id="rId1312" display="http://paolaandrea.guzman-bbva.com/" xr:uid="{00000000-0004-0000-0E00-00001F050000}"/>
    <hyperlink ref="AK355" r:id="rId1313" display="https://globaldevtools.bbva.com/jira/browse/COLWSMEDIO-433" xr:uid="{00000000-0004-0000-0E00-000020050000}"/>
    <hyperlink ref="I356" r:id="rId1314" display="http://angie.castaneda-bbva.com/" xr:uid="{00000000-0004-0000-0E00-000021050000}"/>
    <hyperlink ref="J356" r:id="rId1315" display="http://judy.prieto-bbva.com/" xr:uid="{00000000-0004-0000-0E00-000022050000}"/>
    <hyperlink ref="K356" r:id="rId1316" display="http://paolaandrea.guzman-bbva.com/" xr:uid="{00000000-0004-0000-0E00-000023050000}"/>
    <hyperlink ref="AK356" r:id="rId1317" display="https://globaldevtools.bbva.com/jira/browse/COLWSMEDIO-4866" xr:uid="{00000000-0004-0000-0E00-000024050000}"/>
    <hyperlink ref="I357" r:id="rId1318" display="http://angie.castaneda-bbva.com/" xr:uid="{00000000-0004-0000-0E00-000025050000}"/>
    <hyperlink ref="J357" r:id="rId1319" display="http://judy.prieto-bbva.com/" xr:uid="{00000000-0004-0000-0E00-000026050000}"/>
    <hyperlink ref="K357" r:id="rId1320" display="http://paolaandrea.guzman-bbva.com/" xr:uid="{00000000-0004-0000-0E00-000027050000}"/>
    <hyperlink ref="AK357" r:id="rId1321" display="https://globaldevtools.bbva.com/jira/browse/COLWSMEDIO-4857" xr:uid="{00000000-0004-0000-0E00-000028050000}"/>
    <hyperlink ref="I358" r:id="rId1322" display="http://angie.castaneda-bbva.com/" xr:uid="{00000000-0004-0000-0E00-000029050000}"/>
    <hyperlink ref="J358" r:id="rId1323" display="http://judy.prieto-bbva.com/" xr:uid="{00000000-0004-0000-0E00-00002A050000}"/>
    <hyperlink ref="K358" r:id="rId1324" display="http://paolaandrea.guzman-bbva.com/" xr:uid="{00000000-0004-0000-0E00-00002B050000}"/>
    <hyperlink ref="AK358" r:id="rId1325" display="https://globaldevtools.bbva.com/jira/browse/COLWSMEDIO-4859" xr:uid="{00000000-0004-0000-0E00-00002C050000}"/>
    <hyperlink ref="I359" r:id="rId1326" display="http://angie.castaneda-bbva.com/" xr:uid="{00000000-0004-0000-0E00-00002D050000}"/>
    <hyperlink ref="J359" r:id="rId1327" display="http://judy.prieto-bbva.com/" xr:uid="{00000000-0004-0000-0E00-00002E050000}"/>
    <hyperlink ref="K359" r:id="rId1328" display="http://paolaandrea.guzman-bbva.com/" xr:uid="{00000000-0004-0000-0E00-00002F050000}"/>
    <hyperlink ref="AK359" r:id="rId1329" display="https://globaldevtools.bbva.com/jira/browse/COLWSMEDIO-4853" xr:uid="{00000000-0004-0000-0E00-000030050000}"/>
    <hyperlink ref="I360" r:id="rId1330" display="http://angie.castaneda-bbva.com/" xr:uid="{00000000-0004-0000-0E00-000031050000}"/>
    <hyperlink ref="J360" r:id="rId1331" display="http://judy.prieto-bbva.com/" xr:uid="{00000000-0004-0000-0E00-000032050000}"/>
    <hyperlink ref="K360" r:id="rId1332" display="http://paolaandrea.guzman-bbva.com/" xr:uid="{00000000-0004-0000-0E00-000033050000}"/>
    <hyperlink ref="AK360" r:id="rId1333" display="https://globaldevtools.bbva.com/jira/browse/COLWSMEDIO-4855" xr:uid="{00000000-0004-0000-0E00-000034050000}"/>
    <hyperlink ref="I361" r:id="rId1334" display="http://angie.castaneda-bbva.com/" xr:uid="{00000000-0004-0000-0E00-000035050000}"/>
    <hyperlink ref="J361" r:id="rId1335" display="http://judy.prieto-bbva.com/" xr:uid="{00000000-0004-0000-0E00-000036050000}"/>
    <hyperlink ref="K361" r:id="rId1336" display="http://paolaandrea.guzman-bbva.com/" xr:uid="{00000000-0004-0000-0E00-000037050000}"/>
    <hyperlink ref="I362" r:id="rId1337" display="http://angie.castaneda-bbva.com/" xr:uid="{00000000-0004-0000-0E00-000038050000}"/>
    <hyperlink ref="J362" r:id="rId1338" display="http://judy.prieto-bbva.com/" xr:uid="{00000000-0004-0000-0E00-000039050000}"/>
    <hyperlink ref="K362" r:id="rId1339" display="http://paolaandrea.guzman-bbva.com/" xr:uid="{00000000-0004-0000-0E00-00003A050000}"/>
    <hyperlink ref="AK362" r:id="rId1340" display="https://globaldevtools.bbva.com/jira/browse/COLWSMEDIO-4854" xr:uid="{00000000-0004-0000-0E00-00003B050000}"/>
    <hyperlink ref="I363" r:id="rId1341" display="http://angie.castaneda-bbva.com/" xr:uid="{00000000-0004-0000-0E00-00003C050000}"/>
    <hyperlink ref="J363" r:id="rId1342" display="http://judy.prieto-bbva.com/" xr:uid="{00000000-0004-0000-0E00-00003D050000}"/>
    <hyperlink ref="K363" r:id="rId1343" display="http://paolaandrea.guzman-bbva.com/" xr:uid="{00000000-0004-0000-0E00-00003E050000}"/>
    <hyperlink ref="AK363" r:id="rId1344" display="https://globaldevtools.bbva.com/jira/browse/COLWSMEDIO-4858" xr:uid="{00000000-0004-0000-0E00-00003F050000}"/>
    <hyperlink ref="I364" r:id="rId1345" display="http://angie.castaneda-bbva.com/" xr:uid="{00000000-0004-0000-0E00-000040050000}"/>
    <hyperlink ref="J364" r:id="rId1346" display="http://judy.prieto-bbva.com/" xr:uid="{00000000-0004-0000-0E00-000041050000}"/>
    <hyperlink ref="K364" r:id="rId1347" display="http://paolaandrea.guzman-bbva.com/" xr:uid="{00000000-0004-0000-0E00-000042050000}"/>
    <hyperlink ref="AK364" r:id="rId1348" display="https://globaldevtools.bbva.com/jira/browse/COLWSMEDIO-133" xr:uid="{00000000-0004-0000-0E00-000043050000}"/>
    <hyperlink ref="I365" r:id="rId1349" display="http://angie.castaneda-bbva.com/" xr:uid="{00000000-0004-0000-0E00-000044050000}"/>
    <hyperlink ref="J365" r:id="rId1350" display="http://judy.prieto-bbva.com/" xr:uid="{00000000-0004-0000-0E00-000045050000}"/>
    <hyperlink ref="K365" r:id="rId1351" display="http://paolaandrea.guzman-bbva.com/" xr:uid="{00000000-0004-0000-0E00-000046050000}"/>
    <hyperlink ref="AK365" r:id="rId1352" display="https://globaldevtools.bbva.com/jira/browse/COLWSMEDIO-6117" xr:uid="{00000000-0004-0000-0E00-000047050000}"/>
    <hyperlink ref="I366" r:id="rId1353" display="http://angie.castaneda-bbva.com/" xr:uid="{00000000-0004-0000-0E00-000048050000}"/>
    <hyperlink ref="J366" r:id="rId1354" display="http://judy.prieto-bbva.com/" xr:uid="{00000000-0004-0000-0E00-000049050000}"/>
    <hyperlink ref="K366" r:id="rId1355" display="http://andresfelipe.granados-bbva.com/" xr:uid="{00000000-0004-0000-0E00-00004A050000}"/>
    <hyperlink ref="AK366" r:id="rId1356" display="https://globaldevtools.bbva.com/jira/browse/COLWSMEDIO-6142" xr:uid="{00000000-0004-0000-0E00-00004B050000}"/>
    <hyperlink ref="I367" r:id="rId1357" display="http://angie.castaneda-bbva.com/" xr:uid="{00000000-0004-0000-0E00-00004C050000}"/>
    <hyperlink ref="J367" r:id="rId1358" display="http://judy.prieto-bbva.com/" xr:uid="{00000000-0004-0000-0E00-00004D050000}"/>
    <hyperlink ref="K367" r:id="rId1359" display="http://paolaandrea.guzman-bbva.com/" xr:uid="{00000000-0004-0000-0E00-00004E050000}"/>
    <hyperlink ref="AK367" r:id="rId1360" display="https://globaldevtools.bbva.com/jira/browse/COLWSMEDIO-4606" xr:uid="{00000000-0004-0000-0E00-00004F050000}"/>
    <hyperlink ref="I368" r:id="rId1361" display="http://angie.castaneda-bbva.com/" xr:uid="{00000000-0004-0000-0E00-000050050000}"/>
    <hyperlink ref="J368" r:id="rId1362" display="http://judy.prieto-bbva.com/" xr:uid="{00000000-0004-0000-0E00-000051050000}"/>
    <hyperlink ref="K368" r:id="rId1363" display="http://andresfelipe.granados-bbva.com/" xr:uid="{00000000-0004-0000-0E00-000052050000}"/>
    <hyperlink ref="AK368" r:id="rId1364" display="https://globaldevtools.bbva.com/jira/browse/COLWSOPENM-3" xr:uid="{00000000-0004-0000-0E00-000053050000}"/>
    <hyperlink ref="I369" r:id="rId1365" display="http://angie.castaneda-bbva.com/" xr:uid="{00000000-0004-0000-0E00-000054050000}"/>
    <hyperlink ref="J369" r:id="rId1366" display="http://judy.prieto-bbva.com/" xr:uid="{00000000-0004-0000-0E00-000055050000}"/>
    <hyperlink ref="K369" r:id="rId1367" display="http://andresfelipe.granados-bbva.com/" xr:uid="{00000000-0004-0000-0E00-000056050000}"/>
    <hyperlink ref="I370" r:id="rId1368" display="http://angie.castaneda-bbva.com/" xr:uid="{00000000-0004-0000-0E00-000057050000}"/>
    <hyperlink ref="J370" r:id="rId1369" display="http://judy.prieto-bbva.com/" xr:uid="{00000000-0004-0000-0E00-000058050000}"/>
    <hyperlink ref="K370" r:id="rId1370" display="http://andresfelipe.granados-bbva.com/" xr:uid="{00000000-0004-0000-0E00-000059050000}"/>
    <hyperlink ref="AK370" r:id="rId1371" display="https://globaldevtools.bbva.com/jira/browse/COLWSMEDIO-4823" xr:uid="{00000000-0004-0000-0E00-00005A050000}"/>
    <hyperlink ref="I371" r:id="rId1372" display="http://angie.castaneda-bbva.com/" xr:uid="{00000000-0004-0000-0E00-00005B050000}"/>
    <hyperlink ref="J371" r:id="rId1373" display="http://judy.prieto-bbva.com/" xr:uid="{00000000-0004-0000-0E00-00005C050000}"/>
    <hyperlink ref="K371" r:id="rId1374" display="http://andresfelipe.granados-bbva.com/" xr:uid="{00000000-0004-0000-0E00-00005D050000}"/>
    <hyperlink ref="AK371" r:id="rId1375" display="https://globaldevtools.bbva.com/jira/browse/COLWSMEDIO-6505" xr:uid="{00000000-0004-0000-0E00-00005E050000}"/>
    <hyperlink ref="I372" r:id="rId1376" display="http://hugofernando.parra-bbva.com/" xr:uid="{00000000-0004-0000-0E00-00005F050000}"/>
    <hyperlink ref="J372" r:id="rId1377" display="http://geovany.ramirez-bbva.com/" xr:uid="{00000000-0004-0000-0E00-000060050000}"/>
    <hyperlink ref="K372" r:id="rId1378" display="http://juana.vergara-bbva.com/" xr:uid="{00000000-0004-0000-0E00-000061050000}"/>
    <hyperlink ref="AK372" r:id="rId1379" display="https://globaldevtools.bbva.com/jira/browse/COLWSMEDIO-6274" xr:uid="{00000000-0004-0000-0E00-000062050000}"/>
    <hyperlink ref="I373" r:id="rId1380" display="http://hugofernando.parra-bbva.com/" xr:uid="{00000000-0004-0000-0E00-000063050000}"/>
    <hyperlink ref="J373" r:id="rId1381" display="http://geovany.ramirez-bbva.com/" xr:uid="{00000000-0004-0000-0E00-000064050000}"/>
    <hyperlink ref="K373" r:id="rId1382" display="http://juana.vergara-bbva.com/" xr:uid="{00000000-0004-0000-0E00-000065050000}"/>
    <hyperlink ref="AK373" r:id="rId1383" display="https://globaldevtools.bbva.com/jira/browse/COLWSMEDIO-6273" xr:uid="{00000000-0004-0000-0E00-000066050000}"/>
    <hyperlink ref="I374" r:id="rId1384" display="http://hugofernando.parra-bbva.com/" xr:uid="{00000000-0004-0000-0E00-000067050000}"/>
    <hyperlink ref="J374" r:id="rId1385" display="http://geovany.ramirez-bbva.com/" xr:uid="{00000000-0004-0000-0E00-000068050000}"/>
    <hyperlink ref="K374" r:id="rId1386" display="http://juana.vergara-bbva.com/" xr:uid="{00000000-0004-0000-0E00-000069050000}"/>
    <hyperlink ref="AK374" r:id="rId1387" display="https://globaldevtools.bbva.com/jira/browse/COLWSDATIO-640" xr:uid="{00000000-0004-0000-0E00-00006A050000}"/>
    <hyperlink ref="I375" r:id="rId1388" display="http://hugofernando.parra-bbva.com/" xr:uid="{00000000-0004-0000-0E00-00006B050000}"/>
    <hyperlink ref="J375" r:id="rId1389" display="http://geovany.ramirez-bbva.com/" xr:uid="{00000000-0004-0000-0E00-00006C050000}"/>
    <hyperlink ref="K375" r:id="rId1390" display="http://juana.vergara-bbva.com/" xr:uid="{00000000-0004-0000-0E00-00006D050000}"/>
    <hyperlink ref="I376" r:id="rId1391" display="http://hugofernando.parra-bbva.com/" xr:uid="{00000000-0004-0000-0E00-00006E050000}"/>
    <hyperlink ref="J376" r:id="rId1392" display="http://geovany.ramirez-bbva.com/" xr:uid="{00000000-0004-0000-0E00-00006F050000}"/>
    <hyperlink ref="K376" r:id="rId1393" display="http://juana.vergara-bbva.com/" xr:uid="{00000000-0004-0000-0E00-000070050000}"/>
    <hyperlink ref="I377" r:id="rId1394" display="http://hugofernando.parra-bbva.com/" xr:uid="{00000000-0004-0000-0E00-000071050000}"/>
    <hyperlink ref="J377" r:id="rId1395" display="http://geovany.ramirez-bbva.com/" xr:uid="{00000000-0004-0000-0E00-000072050000}"/>
    <hyperlink ref="K377" r:id="rId1396" display="http://juana.vergara-bbva.com/" xr:uid="{00000000-0004-0000-0E00-000073050000}"/>
    <hyperlink ref="I378" r:id="rId1397" display="http://hugofernando.parra-bbva.com/" xr:uid="{00000000-0004-0000-0E00-000074050000}"/>
    <hyperlink ref="J378" r:id="rId1398" display="http://geovany.ramirez-bbva.com/" xr:uid="{00000000-0004-0000-0E00-000075050000}"/>
    <hyperlink ref="K378" r:id="rId1399" display="http://juana.vergara-bbva.com/" xr:uid="{00000000-0004-0000-0E00-000076050000}"/>
    <hyperlink ref="I379" r:id="rId1400" display="http://hugofernando.parra-bbva.com/" xr:uid="{00000000-0004-0000-0E00-000077050000}"/>
    <hyperlink ref="J379" r:id="rId1401" display="http://geovany.ramirez-bbva.com/" xr:uid="{00000000-0004-0000-0E00-000078050000}"/>
    <hyperlink ref="K379" r:id="rId1402" display="http://juana.vergara-bbva.com/" xr:uid="{00000000-0004-0000-0E00-000079050000}"/>
    <hyperlink ref="I380" r:id="rId1403" display="http://hugofernando.parra-bbva.com/" xr:uid="{00000000-0004-0000-0E00-00007A050000}"/>
    <hyperlink ref="J380" r:id="rId1404" display="http://geovany.ramirez-bbva.com/" xr:uid="{00000000-0004-0000-0E00-00007B050000}"/>
    <hyperlink ref="K380" r:id="rId1405" display="http://juana.vergara-bbva.com/" xr:uid="{00000000-0004-0000-0E00-00007C050000}"/>
    <hyperlink ref="I381" r:id="rId1406" display="http://hugofernando.parra-bbva.com/" xr:uid="{00000000-0004-0000-0E00-00007D050000}"/>
    <hyperlink ref="J381" r:id="rId1407" display="http://geovany.ramirez-bbva.com/" xr:uid="{00000000-0004-0000-0E00-00007E050000}"/>
    <hyperlink ref="K381" r:id="rId1408" display="http://juana.vergara-bbva.com/" xr:uid="{00000000-0004-0000-0E00-00007F050000}"/>
    <hyperlink ref="AK381" r:id="rId1409" display="https://globaldevtools.bbva.com/jira/browse/COLWSCANAL-14125" xr:uid="{00000000-0004-0000-0E00-000080050000}"/>
    <hyperlink ref="I382" r:id="rId1410" display="http://hugofernando.parra-bbva.com/" xr:uid="{00000000-0004-0000-0E00-000081050000}"/>
    <hyperlink ref="J382" r:id="rId1411" display="http://geovany.ramirez-bbva.com/" xr:uid="{00000000-0004-0000-0E00-000082050000}"/>
    <hyperlink ref="K382" r:id="rId1412" display="http://santiago.campuzano-bbva.com/" xr:uid="{00000000-0004-0000-0E00-000083050000}"/>
    <hyperlink ref="I383" r:id="rId1413" display="http://hugofernando.parra-bbva.com/" xr:uid="{00000000-0004-0000-0E00-000084050000}"/>
    <hyperlink ref="J383" r:id="rId1414" display="http://geovany.ramirez-bbva.com/" xr:uid="{00000000-0004-0000-0E00-000085050000}"/>
    <hyperlink ref="K383" r:id="rId1415" display="http://santiago.campuzano-bbva.com/" xr:uid="{00000000-0004-0000-0E00-000086050000}"/>
    <hyperlink ref="I384" r:id="rId1416" display="http://hugofernando.parra-bbva.com/" xr:uid="{00000000-0004-0000-0E00-000087050000}"/>
    <hyperlink ref="J384" r:id="rId1417" display="http://geovany.ramirez-bbva.com/" xr:uid="{00000000-0004-0000-0E00-000088050000}"/>
    <hyperlink ref="K384" r:id="rId1418" display="http://juana.vergara-bbva.com/" xr:uid="{00000000-0004-0000-0E00-000089050000}"/>
    <hyperlink ref="AK384" r:id="rId1419" display="https://globaldevtools.bbva.com/jira/browse/COLWSPREST-2155" xr:uid="{00000000-0004-0000-0E00-00008A050000}"/>
    <hyperlink ref="I385" r:id="rId1420" display="http://hugofernando.parra-bbva.com/" xr:uid="{00000000-0004-0000-0E00-00008B050000}"/>
    <hyperlink ref="J385" r:id="rId1421" display="http://geovany.ramirez-bbva.com/" xr:uid="{00000000-0004-0000-0E00-00008C050000}"/>
    <hyperlink ref="K385" r:id="rId1422" display="http://juana.vergara-bbva.com/" xr:uid="{00000000-0004-0000-0E00-00008D050000}"/>
    <hyperlink ref="AK385" r:id="rId1423" display="https://globaldevtools.bbva.com/jira/browse/COLWSPREST-2206" xr:uid="{00000000-0004-0000-0E00-00008E050000}"/>
    <hyperlink ref="I386" r:id="rId1424" display="http://hugofernando.parra-bbva.com/" xr:uid="{00000000-0004-0000-0E00-00008F050000}"/>
    <hyperlink ref="J386" r:id="rId1425" display="http://geovany.ramirez-bbva.com/" xr:uid="{00000000-0004-0000-0E00-000090050000}"/>
    <hyperlink ref="K386" r:id="rId1426" display="http://juana.vergara-bbva.com/" xr:uid="{00000000-0004-0000-0E00-000091050000}"/>
    <hyperlink ref="AK386" r:id="rId1427" display="https://globaldevtools.bbva.com/jira/browse/COLWSPREST-2202" xr:uid="{00000000-0004-0000-0E00-000092050000}"/>
    <hyperlink ref="I387" r:id="rId1428" display="http://hugofernando.parra-bbva.com/" xr:uid="{00000000-0004-0000-0E00-000093050000}"/>
    <hyperlink ref="J387" r:id="rId1429" display="http://geovany.ramirez-bbva.com/" xr:uid="{00000000-0004-0000-0E00-000094050000}"/>
    <hyperlink ref="K387" r:id="rId1430" display="http://juana.vergara-bbva.com/" xr:uid="{00000000-0004-0000-0E00-000095050000}"/>
    <hyperlink ref="AK387" r:id="rId1431" display="https://globaldevtools.bbva.com/jira/browse/COLWSPREST-2205" xr:uid="{00000000-0004-0000-0E00-000096050000}"/>
    <hyperlink ref="I388" r:id="rId1432" display="http://hugofernando.parra-bbva.com/" xr:uid="{00000000-0004-0000-0E00-000097050000}"/>
    <hyperlink ref="J388" r:id="rId1433" display="http://geovany.ramirez-bbva.com/" xr:uid="{00000000-0004-0000-0E00-000098050000}"/>
    <hyperlink ref="K388" r:id="rId1434" display="http://juana.vergara-bbva.com/" xr:uid="{00000000-0004-0000-0E00-000099050000}"/>
    <hyperlink ref="AK388" r:id="rId1435" display="https://globaldevtools.bbva.com/jira/browse/COLWSPREST-2203" xr:uid="{00000000-0004-0000-0E00-00009A050000}"/>
    <hyperlink ref="I389" r:id="rId1436" display="http://hugofernando.parra-bbva.com/" xr:uid="{00000000-0004-0000-0E00-00009B050000}"/>
    <hyperlink ref="J389" r:id="rId1437" display="http://geovany.ramirez-bbva.com/" xr:uid="{00000000-0004-0000-0E00-00009C050000}"/>
    <hyperlink ref="K389" r:id="rId1438" display="http://juana.vergara-bbva.com/" xr:uid="{00000000-0004-0000-0E00-00009D050000}"/>
    <hyperlink ref="AK389" r:id="rId1439" display="https://globaldevtools.bbva.com/jira/browse/COLWSPREST-2204" xr:uid="{00000000-0004-0000-0E00-00009E050000}"/>
    <hyperlink ref="I390" r:id="rId1440" display="http://hugofernando.parra-bbva.com/" xr:uid="{00000000-0004-0000-0E00-00009F050000}"/>
    <hyperlink ref="J390" r:id="rId1441" display="http://geovany.ramirez-bbva.com/" xr:uid="{00000000-0004-0000-0E00-0000A0050000}"/>
    <hyperlink ref="K390" r:id="rId1442" display="http://santiago.campuzano-bbva.com/" xr:uid="{00000000-0004-0000-0E00-0000A1050000}"/>
    <hyperlink ref="AK390" r:id="rId1443" display="https://globaldevtools.bbva.com/jira/browse/COLWSPREST-7861" xr:uid="{00000000-0004-0000-0E00-0000A2050000}"/>
    <hyperlink ref="I391" r:id="rId1444" display="http://hugofernando.parra-bbva.com/" xr:uid="{00000000-0004-0000-0E00-0000A3050000}"/>
    <hyperlink ref="J391" r:id="rId1445" display="http://geovany.ramirez-bbva.com/" xr:uid="{00000000-0004-0000-0E00-0000A4050000}"/>
    <hyperlink ref="K391" r:id="rId1446" display="http://santiago.campuzano-bbva.com/" xr:uid="{00000000-0004-0000-0E00-0000A5050000}"/>
    <hyperlink ref="AK391" r:id="rId1447" display="https://globaldevtools.bbva.com/jira/browse/COLWSPREST-7866" xr:uid="{00000000-0004-0000-0E00-0000A6050000}"/>
    <hyperlink ref="I392" r:id="rId1448" display="http://hugofernando.parra-bbva.com/" xr:uid="{00000000-0004-0000-0E00-0000A7050000}"/>
    <hyperlink ref="J392" r:id="rId1449" display="http://geovany.ramirez-bbva.com/" xr:uid="{00000000-0004-0000-0E00-0000A8050000}"/>
    <hyperlink ref="K392" r:id="rId1450" display="http://santiago.campuzano-bbva.com/" xr:uid="{00000000-0004-0000-0E00-0000A9050000}"/>
    <hyperlink ref="AK392" r:id="rId1451" display="https://globaldevtools.bbva.com/jira/browse/COLWSPREST-7865" xr:uid="{00000000-0004-0000-0E00-0000AA050000}"/>
    <hyperlink ref="I393" r:id="rId1452" display="http://hugofernando.parra-bbva.com/" xr:uid="{00000000-0004-0000-0E00-0000AB050000}"/>
    <hyperlink ref="J393" r:id="rId1453" display="http://geovany.ramirez-bbva.com/" xr:uid="{00000000-0004-0000-0E00-0000AC050000}"/>
    <hyperlink ref="K393" r:id="rId1454" display="http://santiago.campuzano-bbva.com/" xr:uid="{00000000-0004-0000-0E00-0000AD050000}"/>
    <hyperlink ref="AK393" r:id="rId1455" display="https://globaldevtools.bbva.com/jira/browse/COLWSPREST-7864" xr:uid="{00000000-0004-0000-0E00-0000AE050000}"/>
    <hyperlink ref="I394" r:id="rId1456" display="http://hugofernando.parra-bbva.com/" xr:uid="{00000000-0004-0000-0E00-0000AF050000}"/>
    <hyperlink ref="J394" r:id="rId1457" display="http://geovany.ramirez-bbva.com/" xr:uid="{00000000-0004-0000-0E00-0000B0050000}"/>
    <hyperlink ref="K394" r:id="rId1458" display="http://santiago.campuzano-bbva.com/" xr:uid="{00000000-0004-0000-0E00-0000B1050000}"/>
    <hyperlink ref="AK394" r:id="rId1459" display="https://globaldevtools.bbva.com/jira/browse/COLWSPREST-7863" xr:uid="{00000000-0004-0000-0E00-0000B2050000}"/>
    <hyperlink ref="I395" r:id="rId1460" display="http://hugofernando.parra-bbva.com/" xr:uid="{00000000-0004-0000-0E00-0000B3050000}"/>
    <hyperlink ref="J395" r:id="rId1461" display="http://geovany.ramirez-bbva.com/" xr:uid="{00000000-0004-0000-0E00-0000B4050000}"/>
    <hyperlink ref="K395" r:id="rId1462" display="http://santiago.campuzano-bbva.com/" xr:uid="{00000000-0004-0000-0E00-0000B5050000}"/>
    <hyperlink ref="AK395" r:id="rId1463" display="https://globaldevtools.bbva.com/jira/browse/COLWSPREST-7862" xr:uid="{00000000-0004-0000-0E00-0000B6050000}"/>
    <hyperlink ref="I396" r:id="rId1464" display="http://hugofernando.parra-bbva.com/" xr:uid="{00000000-0004-0000-0E00-0000B7050000}"/>
    <hyperlink ref="J396" r:id="rId1465" display="http://geovany.ramirez-bbva.com/" xr:uid="{00000000-0004-0000-0E00-0000B8050000}"/>
    <hyperlink ref="K396" r:id="rId1466" display="http://juana.vergara-bbva.com/" xr:uid="{00000000-0004-0000-0E00-0000B9050000}"/>
    <hyperlink ref="AK396" r:id="rId1467" display="https://globaldevtools.bbva.com/jira/browse/COLWSPREST-7867" xr:uid="{00000000-0004-0000-0E00-0000BA050000}"/>
    <hyperlink ref="I397" r:id="rId1468" display="http://hugofernando.parra-bbva.com/" xr:uid="{00000000-0004-0000-0E00-0000BB050000}"/>
    <hyperlink ref="J397" r:id="rId1469" display="http://fredy.pineda-bbva.com/" xr:uid="{00000000-0004-0000-0E00-0000BC050000}"/>
    <hyperlink ref="K397" r:id="rId1470" display="http://monica.zamudio-bbva.com/" xr:uid="{00000000-0004-0000-0E00-0000BD050000}"/>
    <hyperlink ref="AK397" r:id="rId1471" display="https://globaldevtools.bbva.com/jira/browse/COLWSCANAL-2520" xr:uid="{00000000-0004-0000-0E00-0000BE050000}"/>
    <hyperlink ref="I398" r:id="rId1472" display="http://hugofernando.parra-bbva.com/" xr:uid="{00000000-0004-0000-0E00-0000BF050000}"/>
    <hyperlink ref="J398" r:id="rId1473" display="http://fredy.pineda-bbva.com/" xr:uid="{00000000-0004-0000-0E00-0000C0050000}"/>
    <hyperlink ref="K398" r:id="rId1474" display="http://monica.zamudio-bbva.com/" xr:uid="{00000000-0004-0000-0E00-0000C1050000}"/>
    <hyperlink ref="AK398" r:id="rId1475" display="https://globaldevtools.bbva.com/jira/browse/COLWSCANAL-2977" xr:uid="{00000000-0004-0000-0E00-0000C2050000}"/>
    <hyperlink ref="I399" r:id="rId1476" display="http://hugofernando.parra-bbva.com/" xr:uid="{00000000-0004-0000-0E00-0000C3050000}"/>
    <hyperlink ref="J399" r:id="rId1477" display="http://fredy.pineda-bbva.com/" xr:uid="{00000000-0004-0000-0E00-0000C4050000}"/>
    <hyperlink ref="K399" r:id="rId1478" display="http://rociomarcela.lopez-bbva.com/" xr:uid="{00000000-0004-0000-0E00-0000C5050000}"/>
    <hyperlink ref="AK399" r:id="rId1479" display="https://globaldevtools.bbva.com/jira/browse/COLWSCANAL-5676" xr:uid="{00000000-0004-0000-0E00-0000C6050000}"/>
    <hyperlink ref="I400" r:id="rId1480" display="http://hugofernando.parra-bbva.com/" xr:uid="{00000000-0004-0000-0E00-0000C7050000}"/>
    <hyperlink ref="J400" r:id="rId1481" display="http://fredy.pineda-bbva.com/" xr:uid="{00000000-0004-0000-0E00-0000C8050000}"/>
    <hyperlink ref="K400" r:id="rId1482" display="http://rociomarcela.lopez-bbva.com/" xr:uid="{00000000-0004-0000-0E00-0000C9050000}"/>
    <hyperlink ref="I401" r:id="rId1483" display="http://hugofernando.parra-bbva.com/" xr:uid="{00000000-0004-0000-0E00-0000CA050000}"/>
    <hyperlink ref="J401" r:id="rId1484" display="http://fredy.pineda-bbva.com/" xr:uid="{00000000-0004-0000-0E00-0000CB050000}"/>
    <hyperlink ref="K401" r:id="rId1485" display="http://rociomarcela.lopez-bbva.com/" xr:uid="{00000000-0004-0000-0E00-0000CC050000}"/>
    <hyperlink ref="I402" r:id="rId1486" display="http://hugofernando.parra-bbva.com/" xr:uid="{00000000-0004-0000-0E00-0000CD050000}"/>
    <hyperlink ref="J402" r:id="rId1487" display="http://fredy.pineda-bbva.com/" xr:uid="{00000000-0004-0000-0E00-0000CE050000}"/>
    <hyperlink ref="K402" r:id="rId1488" display="http://rociomarcela.lopez-bbva.com/" xr:uid="{00000000-0004-0000-0E00-0000CF050000}"/>
    <hyperlink ref="I403" r:id="rId1489" display="http://hugofernando.parra-bbva.com/" xr:uid="{00000000-0004-0000-0E00-0000D0050000}"/>
    <hyperlink ref="J403" r:id="rId1490" display="http://fredy.pineda-bbva.com/" xr:uid="{00000000-0004-0000-0E00-0000D1050000}"/>
    <hyperlink ref="K403" r:id="rId1491" display="http://rociomarcela.lopez-bbva.com/" xr:uid="{00000000-0004-0000-0E00-0000D2050000}"/>
    <hyperlink ref="I404" r:id="rId1492" display="http://hugofernando.parra-bbva.com/" xr:uid="{00000000-0004-0000-0E00-0000D3050000}"/>
    <hyperlink ref="J404" r:id="rId1493" display="http://fredy.pineda-bbva.com/" xr:uid="{00000000-0004-0000-0E00-0000D4050000}"/>
    <hyperlink ref="K404" r:id="rId1494" display="http://rociomarcela.lopez-bbva.com/" xr:uid="{00000000-0004-0000-0E00-0000D5050000}"/>
    <hyperlink ref="I405" r:id="rId1495" display="http://hugofernando.parra-bbva.com/" xr:uid="{00000000-0004-0000-0E00-0000D6050000}"/>
    <hyperlink ref="J405" r:id="rId1496" display="http://fredy.pineda-bbva.com/" xr:uid="{00000000-0004-0000-0E00-0000D7050000}"/>
    <hyperlink ref="K405" r:id="rId1497" display="http://rociomarcela.lopez-bbva.com/" xr:uid="{00000000-0004-0000-0E00-0000D8050000}"/>
    <hyperlink ref="I406" r:id="rId1498" display="http://hugofernando.parra-bbva.com/" xr:uid="{00000000-0004-0000-0E00-0000D9050000}"/>
    <hyperlink ref="J406" r:id="rId1499" display="http://fredy.pineda-bbva.com/" xr:uid="{00000000-0004-0000-0E00-0000DA050000}"/>
    <hyperlink ref="K406" r:id="rId1500" display="http://rociomarcela.lopez-bbva.com/" xr:uid="{00000000-0004-0000-0E00-0000DB050000}"/>
    <hyperlink ref="I407" r:id="rId1501" display="http://hugofernando.parra-bbva.com/" xr:uid="{00000000-0004-0000-0E00-0000DC050000}"/>
    <hyperlink ref="J407" r:id="rId1502" display="http://fredy.pineda-bbva.com/" xr:uid="{00000000-0004-0000-0E00-0000DD050000}"/>
    <hyperlink ref="K407" r:id="rId1503" display="http://rociomarcela.lopez-bbva.com/" xr:uid="{00000000-0004-0000-0E00-0000DE050000}"/>
    <hyperlink ref="I408" r:id="rId1504" display="http://hugofernando.parra-bbva.com/" xr:uid="{00000000-0004-0000-0E00-0000DF050000}"/>
    <hyperlink ref="J408" r:id="rId1505" display="http://fredy.pineda-bbva.com/" xr:uid="{00000000-0004-0000-0E00-0000E0050000}"/>
    <hyperlink ref="K408" r:id="rId1506" display="http://rociomarcela.lopez-bbva.com/" xr:uid="{00000000-0004-0000-0E00-0000E1050000}"/>
    <hyperlink ref="I409" r:id="rId1507" display="http://hugofernando.parra-bbva.com/" xr:uid="{00000000-0004-0000-0E00-0000E2050000}"/>
    <hyperlink ref="J409" r:id="rId1508" display="http://fredy.pineda-bbva.com/" xr:uid="{00000000-0004-0000-0E00-0000E3050000}"/>
    <hyperlink ref="K409" r:id="rId1509" display="http://rociomarcela.lopez-bbva.com/" xr:uid="{00000000-0004-0000-0E00-0000E4050000}"/>
    <hyperlink ref="I410" r:id="rId1510" display="http://hugofernando.parra-bbva.com/" xr:uid="{00000000-0004-0000-0E00-0000E5050000}"/>
    <hyperlink ref="J410" r:id="rId1511" display="http://judy.bernal-bbva.com/" xr:uid="{00000000-0004-0000-0E00-0000E6050000}"/>
    <hyperlink ref="K410" r:id="rId1512" display="http://paolaandrea.hermosa-bbva.com/" xr:uid="{00000000-0004-0000-0E00-0000E7050000}"/>
    <hyperlink ref="I411" r:id="rId1513" display="http://hugofernando.parra-bbva.com/" xr:uid="{00000000-0004-0000-0E00-0000E8050000}"/>
    <hyperlink ref="J411" r:id="rId1514" display="http://judy.bernal-bbva.com/" xr:uid="{00000000-0004-0000-0E00-0000E9050000}"/>
    <hyperlink ref="K411" r:id="rId1515" display="http://david.juvinao-bbva.com/" xr:uid="{00000000-0004-0000-0E00-0000EA050000}"/>
    <hyperlink ref="AK411" r:id="rId1516" display="https://globaldevtools.bbva.com/jira/browse/CCSS-703" xr:uid="{00000000-0004-0000-0E00-0000EB050000}"/>
    <hyperlink ref="I412" r:id="rId1517" display="http://hugofernando.parra-bbva.com/" xr:uid="{00000000-0004-0000-0E00-0000EC050000}"/>
    <hyperlink ref="J412" r:id="rId1518" display="http://judy.bernal-bbva.com/" xr:uid="{00000000-0004-0000-0E00-0000ED050000}"/>
    <hyperlink ref="K412" r:id="rId1519" display="http://david.juvinao-bbva.com/" xr:uid="{00000000-0004-0000-0E00-0000EE050000}"/>
    <hyperlink ref="AK412" r:id="rId1520" display="https://globaldevtools.bbva.com/jira/browse/CCIBS-1774" xr:uid="{00000000-0004-0000-0E00-0000EF050000}"/>
    <hyperlink ref="I413" r:id="rId1521" display="http://hugofernando.parra-bbva.com/" xr:uid="{00000000-0004-0000-0E00-0000F0050000}"/>
    <hyperlink ref="J413" r:id="rId1522" display="http://judy.bernal-bbva.com/" xr:uid="{00000000-0004-0000-0E00-0000F1050000}"/>
    <hyperlink ref="K413" r:id="rId1523" display="http://david.juvinao-bbva.com/" xr:uid="{00000000-0004-0000-0E00-0000F2050000}"/>
    <hyperlink ref="AK413" r:id="rId1524" display="https://globaldevtools.bbva.com/jira/browse/COLWSCUENT-2427" xr:uid="{00000000-0004-0000-0E00-0000F3050000}"/>
    <hyperlink ref="I414" r:id="rId1525" display="http://hugofernando.parra-bbva.com/" xr:uid="{00000000-0004-0000-0E00-0000F4050000}"/>
    <hyperlink ref="J414" r:id="rId1526" display="http://judy.bernal-bbva.com/" xr:uid="{00000000-0004-0000-0E00-0000F5050000}"/>
    <hyperlink ref="K414" r:id="rId1527" display="http://paolaandrea.hermosa-bbva.com/" xr:uid="{00000000-0004-0000-0E00-0000F6050000}"/>
    <hyperlink ref="I415" r:id="rId1528" display="http://hugofernando.parra-bbva.com/" xr:uid="{00000000-0004-0000-0E00-0000F7050000}"/>
    <hyperlink ref="J415" r:id="rId1529" display="http://nicolas.galindo-bbva.com/" xr:uid="{00000000-0004-0000-0E00-0000F8050000}"/>
    <hyperlink ref="K415" r:id="rId1530" display="http://paulocesar.sastoque-bbva.com/" xr:uid="{00000000-0004-0000-0E00-0000F9050000}"/>
    <hyperlink ref="AK415" r:id="rId1531" display="https://globaldevtools.bbva.com/jira/browse/COLWSCANAL-9660" xr:uid="{00000000-0004-0000-0E00-0000FA050000}"/>
    <hyperlink ref="I416" r:id="rId1532" display="http://hugofernando.parra-bbva.com/" xr:uid="{00000000-0004-0000-0E00-0000FB050000}"/>
    <hyperlink ref="J416" r:id="rId1533" display="http://nicolas.galindo-bbva.com/" xr:uid="{00000000-0004-0000-0E00-0000FC050000}"/>
    <hyperlink ref="K416" r:id="rId1534" display="http://paulocesar.sastoque-bbva.com/" xr:uid="{00000000-0004-0000-0E00-0000FD050000}"/>
    <hyperlink ref="AK416" r:id="rId1535" display="https://globaldevtools.bbva.com/jira/browse/COLWSCANAL-9653" xr:uid="{00000000-0004-0000-0E00-0000FE050000}"/>
    <hyperlink ref="I417" r:id="rId1536" display="http://hugofernando.parra-bbva.com/" xr:uid="{00000000-0004-0000-0E00-0000FF050000}"/>
    <hyperlink ref="J417" r:id="rId1537" display="http://nicolas.galindo-bbva.com/" xr:uid="{00000000-0004-0000-0E00-000000060000}"/>
    <hyperlink ref="K417" r:id="rId1538" display="http://paulocesar.sastoque-bbva.com/" xr:uid="{00000000-0004-0000-0E00-000001060000}"/>
    <hyperlink ref="AK417" r:id="rId1539" display="https://globaldevtools.bbva.com/jira/browse/COLWSSWTC-230" xr:uid="{00000000-0004-0000-0E00-000002060000}"/>
    <hyperlink ref="I418" r:id="rId1540" display="http://hugofernando.parra-bbva.com/" xr:uid="{00000000-0004-0000-0E00-000003060000}"/>
    <hyperlink ref="J418" r:id="rId1541" display="http://nicolas.galindo-bbva.com/" xr:uid="{00000000-0004-0000-0E00-000004060000}"/>
    <hyperlink ref="K418" r:id="rId1542" display="http://paulocesar.sastoque-bbva.com/" xr:uid="{00000000-0004-0000-0E00-000005060000}"/>
    <hyperlink ref="AK418" r:id="rId1543" display="https://globaldevtools.bbva.com/jira/browse/COLWSPREST-12058" xr:uid="{00000000-0004-0000-0E00-000006060000}"/>
    <hyperlink ref="I419" r:id="rId1544" display="http://hugofernando.parra-bbva.com/" xr:uid="{00000000-0004-0000-0E00-000007060000}"/>
    <hyperlink ref="J419" r:id="rId1545" display="http://nicolas.galindo-bbva.com/" xr:uid="{00000000-0004-0000-0E00-000008060000}"/>
    <hyperlink ref="K419" r:id="rId1546" display="http://paulocesar.sastoque-bbva.com/" xr:uid="{00000000-0004-0000-0E00-000009060000}"/>
    <hyperlink ref="AK419" r:id="rId1547" display="https://globaldevtools.bbva.com/jira/browse/COLWSPREST-10436" xr:uid="{00000000-0004-0000-0E00-00000A060000}"/>
    <hyperlink ref="I420" r:id="rId1548" display="http://hugofernando.parra-bbva.com/" xr:uid="{00000000-0004-0000-0E00-00000B060000}"/>
    <hyperlink ref="J420" r:id="rId1549" display="http://nicolas.galindo-bbva.com/" xr:uid="{00000000-0004-0000-0E00-00000C060000}"/>
    <hyperlink ref="K420" r:id="rId1550" display="http://paulocesar.sastoque-bbva.com/" xr:uid="{00000000-0004-0000-0E00-00000D060000}"/>
    <hyperlink ref="AK420" r:id="rId1551" display="https://globaldevtools.bbva.com/jira/browse/COLWSPREST-10498" xr:uid="{00000000-0004-0000-0E00-00000E060000}"/>
    <hyperlink ref="I421" r:id="rId1552" display="http://hugofernando.parra-bbva.com/" xr:uid="{00000000-0004-0000-0E00-00000F060000}"/>
    <hyperlink ref="J421" r:id="rId1553" display="http://nicolas.galindo-bbva.com/" xr:uid="{00000000-0004-0000-0E00-000010060000}"/>
    <hyperlink ref="K421" r:id="rId1554" display="http://paulocesar.sastoque-bbva.com/" xr:uid="{00000000-0004-0000-0E00-000011060000}"/>
    <hyperlink ref="AK421" r:id="rId1555" display="https://globaldevtools.bbva.com/jira/browse/COLWSPREST-7670" xr:uid="{00000000-0004-0000-0E00-000012060000}"/>
    <hyperlink ref="I422" r:id="rId1556" display="http://andrea.orrego-bbva.com/" xr:uid="{00000000-0004-0000-0E00-000013060000}"/>
    <hyperlink ref="J422" r:id="rId1557" display="http://vivianamarcela.rueda-bbva.com/" xr:uid="{00000000-0004-0000-0E00-000014060000}"/>
    <hyperlink ref="K422" r:id="rId1558" display="http://yurimilena.moreno-bbva.com/" xr:uid="{00000000-0004-0000-0E00-000015060000}"/>
    <hyperlink ref="AK422" r:id="rId1559" display="https://globaldevtools.bbva.com/jira/browse/COLWSCANAL-13481" xr:uid="{00000000-0004-0000-0E00-000016060000}"/>
    <hyperlink ref="I423" r:id="rId1560" display="http://andrea.orrego-bbva.com/" xr:uid="{00000000-0004-0000-0E00-000017060000}"/>
    <hyperlink ref="J423" r:id="rId1561" display="http://vivianamarcela.rueda-bbva.com/" xr:uid="{00000000-0004-0000-0E00-000018060000}"/>
    <hyperlink ref="K423" r:id="rId1562" display="http://yurimilena.moreno-bbva.com/" xr:uid="{00000000-0004-0000-0E00-000019060000}"/>
    <hyperlink ref="AK423" r:id="rId1563" display="https://globaldevtools.bbva.com/jira/browse/CCSS-4686" xr:uid="{00000000-0004-0000-0E00-00001A060000}"/>
    <hyperlink ref="I424" r:id="rId1564" display="http://andrea.orrego-bbva.com/" xr:uid="{00000000-0004-0000-0E00-00001B060000}"/>
    <hyperlink ref="J424" r:id="rId1565" display="http://vivianamarcela.rueda-bbva.com/" xr:uid="{00000000-0004-0000-0E00-00001C060000}"/>
    <hyperlink ref="K424" r:id="rId1566" display="http://yurimilena.moreno-bbva.com/" xr:uid="{00000000-0004-0000-0E00-00001D060000}"/>
    <hyperlink ref="I425" r:id="rId1567" display="http://andrea.orrego-bbva.com/" xr:uid="{00000000-0004-0000-0E00-00001E060000}"/>
    <hyperlink ref="J425" r:id="rId1568" display="http://vivianamarcela.rueda-bbva.com/" xr:uid="{00000000-0004-0000-0E00-00001F060000}"/>
    <hyperlink ref="K425" r:id="rId1569" display="http://yurimilena.moreno-bbva.com/" xr:uid="{00000000-0004-0000-0E00-000020060000}"/>
    <hyperlink ref="AK425" r:id="rId1570" display="https://globaldevtools.bbva.com/jira/browse/COLWSCANAL-13434" xr:uid="{00000000-0004-0000-0E00-000021060000}"/>
    <hyperlink ref="I426" r:id="rId1571" display="http://andrea.orrego-bbva.com/" xr:uid="{00000000-0004-0000-0E00-000022060000}"/>
    <hyperlink ref="J426" r:id="rId1572" display="http://vivianamarcela.rueda-bbva.com/" xr:uid="{00000000-0004-0000-0E00-000023060000}"/>
    <hyperlink ref="K426" r:id="rId1573" display="http://yurimilena.moreno-bbva.com/" xr:uid="{00000000-0004-0000-0E00-000024060000}"/>
    <hyperlink ref="AK426" r:id="rId1574" display="https://globaldevtools.bbva.com/jira/browse/CCSS-4687" xr:uid="{00000000-0004-0000-0E00-000025060000}"/>
    <hyperlink ref="I427" r:id="rId1575" display="http://andrea.orrego-bbva.com/" xr:uid="{00000000-0004-0000-0E00-000026060000}"/>
    <hyperlink ref="J427" r:id="rId1576" display="http://vivianamarcela.rueda-bbva.com/" xr:uid="{00000000-0004-0000-0E00-000027060000}"/>
    <hyperlink ref="K427" r:id="rId1577" display="http://yurimilena.moreno-bbva.com/" xr:uid="{00000000-0004-0000-0E00-000028060000}"/>
    <hyperlink ref="AK427" r:id="rId1578" display="https://globaldevtools.bbva.com/jira/browse/GLOMOCO-25705" xr:uid="{00000000-0004-0000-0E00-000029060000}"/>
    <hyperlink ref="I428" r:id="rId1579" display="http://andrea.orrego-bbva.com/" xr:uid="{00000000-0004-0000-0E00-00002A060000}"/>
    <hyperlink ref="J428" r:id="rId1580" display="http://vivianamarcela.rueda-bbva.com/" xr:uid="{00000000-0004-0000-0E00-00002B060000}"/>
    <hyperlink ref="K428" r:id="rId1581" display="http://juana.vergara-bbva.com/" xr:uid="{00000000-0004-0000-0E00-00002C060000}"/>
    <hyperlink ref="I429" r:id="rId1582" display="http://andrea.orrego-bbva.com/" xr:uid="{00000000-0004-0000-0E00-00002D060000}"/>
    <hyperlink ref="J429" r:id="rId1583" display="http://vivianamarcela.rueda-bbva.com/" xr:uid="{00000000-0004-0000-0E00-00002E060000}"/>
    <hyperlink ref="K429" r:id="rId1584" display="http://carolina.monterrey-bbva.com/" xr:uid="{00000000-0004-0000-0E00-00002F060000}"/>
    <hyperlink ref="I430" r:id="rId1585" display="http://andrea.orrego-bbva.com/" xr:uid="{00000000-0004-0000-0E00-000030060000}"/>
    <hyperlink ref="J430" r:id="rId1586" display="http://vivianamarcela.rueda-bbva.com/" xr:uid="{00000000-0004-0000-0E00-000031060000}"/>
    <hyperlink ref="K430" r:id="rId1587" display="http://carolina.monterrey-bbva.com/" xr:uid="{00000000-0004-0000-0E00-000032060000}"/>
    <hyperlink ref="I431" r:id="rId1588" display="http://andrea.orrego-bbva.com/" xr:uid="{00000000-0004-0000-0E00-000033060000}"/>
    <hyperlink ref="J431" r:id="rId1589" display="http://lizethlorena.rodriguez-bbva.com/" xr:uid="{00000000-0004-0000-0E00-000034060000}"/>
    <hyperlink ref="K431" r:id="rId1590" display="http://rudyyolima.aguilar-bbva.com/" xr:uid="{00000000-0004-0000-0E00-000035060000}"/>
    <hyperlink ref="AK431" r:id="rId1591" display="https://globaldevtools.bbva.com/jira/browse/COLWSCANAL-8632" xr:uid="{00000000-0004-0000-0E00-000036060000}"/>
    <hyperlink ref="I432" r:id="rId1592" display="http://andrea.orrego-bbva.com/" xr:uid="{00000000-0004-0000-0E00-000037060000}"/>
    <hyperlink ref="J432" r:id="rId1593" display="http://jorge.carvajal-bbva.com/" xr:uid="{00000000-0004-0000-0E00-000038060000}"/>
    <hyperlink ref="K432" r:id="rId1594" display="http://yurimilena.moreno-bbva.com/" xr:uid="{00000000-0004-0000-0E00-000039060000}"/>
    <hyperlink ref="AK432" r:id="rId1595" display="https://globaldevtools.bbva.com/jira/browse/CCSS-17843" xr:uid="{00000000-0004-0000-0E00-00003A060000}"/>
    <hyperlink ref="I433" r:id="rId1596" display="http://andrea.orrego-bbva.com/" xr:uid="{00000000-0004-0000-0E00-00003B060000}"/>
    <hyperlink ref="J433" r:id="rId1597" display="http://jorge.carvajal-bbva.com/" xr:uid="{00000000-0004-0000-0E00-00003C060000}"/>
    <hyperlink ref="K433" r:id="rId1598" display="http://yurimilena.moreno-bbva.com/" xr:uid="{00000000-0004-0000-0E00-00003D060000}"/>
    <hyperlink ref="AK433" r:id="rId1599" display="https://globaldevtools.bbva.com/jira/browse/CCSS-17849" xr:uid="{00000000-0004-0000-0E00-00003E060000}"/>
    <hyperlink ref="I434" r:id="rId1600" display="http://andrea.orrego-bbva.com/" xr:uid="{00000000-0004-0000-0E00-00003F060000}"/>
    <hyperlink ref="J434" r:id="rId1601" display="http://edilberto.morales-bbva.com/" xr:uid="{00000000-0004-0000-0E00-000040060000}"/>
    <hyperlink ref="K434" r:id="rId1602" display="http://nathaliamaria.torres-bbva.com/" xr:uid="{00000000-0004-0000-0E00-000041060000}"/>
    <hyperlink ref="AK434" r:id="rId1603" display="https://globaldevtools.bbva.com/jira/browse/COLWSCANAL-15016" xr:uid="{00000000-0004-0000-0E00-000042060000}"/>
    <hyperlink ref="I435" r:id="rId1604" display="http://andrea.orrego-bbva.com/" xr:uid="{00000000-0004-0000-0E00-000043060000}"/>
    <hyperlink ref="J435" r:id="rId1605" display="http://edilberto.morales-bbva.com/" xr:uid="{00000000-0004-0000-0E00-000044060000}"/>
    <hyperlink ref="K435" r:id="rId1606" display="http://sandrajohanna.gonzalez-bbva.com/" xr:uid="{00000000-0004-0000-0E00-000045060000}"/>
    <hyperlink ref="AK435" r:id="rId1607" display="https://globaldevtools.bbva.com/jira/browse/COLWSCANAL-4440" xr:uid="{00000000-0004-0000-0E00-000046060000}"/>
    <hyperlink ref="I436" r:id="rId1608" display="http://andrea.orrego-bbva.com/" xr:uid="{00000000-0004-0000-0E00-000047060000}"/>
    <hyperlink ref="J436" r:id="rId1609" display="http://leidymaritza.futinico-bbva.com/" xr:uid="{00000000-0004-0000-0E00-000048060000}"/>
    <hyperlink ref="K436" r:id="rId1610" display="http://paolaandrea.hermosa-bbva.com/" xr:uid="{00000000-0004-0000-0E00-000049060000}"/>
    <hyperlink ref="AK436" r:id="rId1611" display="https://globaldevtools.bbva.com/jira/browse/COLWSCANAL-13585" xr:uid="{00000000-0004-0000-0E00-00004A060000}"/>
    <hyperlink ref="I437" r:id="rId1612" display="http://andrea.orrego-bbva.com/" xr:uid="{00000000-0004-0000-0E00-00004B060000}"/>
    <hyperlink ref="J437" r:id="rId1613" display="http://leidymaritza.futinico-bbva.com/" xr:uid="{00000000-0004-0000-0E00-00004C060000}"/>
    <hyperlink ref="K437" r:id="rId1614" display="http://paolaandrea.hermosa-bbva.com/" xr:uid="{00000000-0004-0000-0E00-00004D060000}"/>
    <hyperlink ref="AK437" r:id="rId1615" display="https://globaldevtools.bbva.com/jira/browse/COLWSCANAL-5800" xr:uid="{00000000-0004-0000-0E00-00004E060000}"/>
    <hyperlink ref="I438" r:id="rId1616" display="http://andrea.orrego-bbva.com/" xr:uid="{00000000-0004-0000-0E00-00004F060000}"/>
    <hyperlink ref="J438" r:id="rId1617" display="http://leidymaritza.futinico-bbva.com/" xr:uid="{00000000-0004-0000-0E00-000050060000}"/>
    <hyperlink ref="K438" r:id="rId1618" display="http://paolaandrea.hermosa-bbva.com/" xr:uid="{00000000-0004-0000-0E00-000051060000}"/>
    <hyperlink ref="AK438" r:id="rId1619" display="https://globaldevtools.bbva.com/jira/browse/COLWSCANAL-2978" xr:uid="{00000000-0004-0000-0E00-000052060000}"/>
    <hyperlink ref="I439" r:id="rId1620" display="http://andrea.orrego-bbva.com/" xr:uid="{00000000-0004-0000-0E00-000053060000}"/>
    <hyperlink ref="J439" r:id="rId1621" display="http://vickyalexandra.mora-bbva.com/" xr:uid="{00000000-0004-0000-0E00-000054060000}"/>
    <hyperlink ref="K439" r:id="rId1622" display="http://yurimilena.moreno-bbva.com/" xr:uid="{00000000-0004-0000-0E00-000055060000}"/>
    <hyperlink ref="AK439" r:id="rId1623" display="https://globaldevtools.bbva.com/jira/browse/CCSS-5044" xr:uid="{00000000-0004-0000-0E00-000056060000}"/>
    <hyperlink ref="I440" r:id="rId1624" display="http://andrea.orrego-bbva.com/" xr:uid="{00000000-0004-0000-0E00-000057060000}"/>
    <hyperlink ref="J440" r:id="rId1625" display="http://vickyalexandra.mora-bbva.com/" xr:uid="{00000000-0004-0000-0E00-000058060000}"/>
    <hyperlink ref="K440" r:id="rId1626" display="http://yurimilena.moreno-bbva.com/" xr:uid="{00000000-0004-0000-0E00-000059060000}"/>
    <hyperlink ref="AK440" r:id="rId1627" display="https://globaldevtools.bbva.com/jira/browse/COLWSCANAL-5675" xr:uid="{00000000-0004-0000-0E00-00005A060000}"/>
    <hyperlink ref="I441" r:id="rId1628" display="http://andrea.orrego-bbva.com/" xr:uid="{00000000-0004-0000-0E00-00005B060000}"/>
    <hyperlink ref="J441" r:id="rId1629" display="http://vickyalexandra.mora-bbva.com/" xr:uid="{00000000-0004-0000-0E00-00005C060000}"/>
    <hyperlink ref="K441" r:id="rId1630" display="http://yurimilena.moreno-bbva.com/" xr:uid="{00000000-0004-0000-0E00-00005D060000}"/>
    <hyperlink ref="AK441" r:id="rId1631" display="https://globaldevtools.bbva.com/jira/browse/COLWSCANAL-14568" xr:uid="{00000000-0004-0000-0E00-00005E060000}"/>
    <hyperlink ref="I442" r:id="rId1632" display="http://andrea.orrego-bbva.com/" xr:uid="{00000000-0004-0000-0E00-00005F060000}"/>
    <hyperlink ref="J442" r:id="rId1633" display="http://vickyalexandra.mora-bbva.com/" xr:uid="{00000000-0004-0000-0E00-000060060000}"/>
    <hyperlink ref="K442" r:id="rId1634" display="http://yurimilena.moreno-bbva.com/" xr:uid="{00000000-0004-0000-0E00-000061060000}"/>
    <hyperlink ref="I443" r:id="rId1635" display="http://andrea.orrego-bbva.com/" xr:uid="{00000000-0004-0000-0E00-000062060000}"/>
    <hyperlink ref="J443" r:id="rId1636" display="http://vickyalexandra.mora-bbva.com/" xr:uid="{00000000-0004-0000-0E00-000063060000}"/>
    <hyperlink ref="K443" r:id="rId1637" display="http://yurimilena.moreno-bbva.com/" xr:uid="{00000000-0004-0000-0E00-000064060000}"/>
    <hyperlink ref="I444" r:id="rId1638" display="http://andrea.orrego-bbva.com/" xr:uid="{00000000-0004-0000-0E00-000065060000}"/>
    <hyperlink ref="J444" r:id="rId1639" display="http://ivethkatherine.malambo-bbva.com/" xr:uid="{00000000-0004-0000-0E00-000066060000}"/>
    <hyperlink ref="K444" r:id="rId1640" display="http://nathaliamaria.torres-bbva.com/" xr:uid="{00000000-0004-0000-0E00-000067060000}"/>
    <hyperlink ref="AK444" r:id="rId1641" display="https://globaldevtools.bbva.com/jira/browse/COLWSCANAL-1335" xr:uid="{00000000-0004-0000-0E00-000068060000}"/>
    <hyperlink ref="I445" r:id="rId1642" display="http://andrea.orrego-bbva.com/" xr:uid="{00000000-0004-0000-0E00-000069060000}"/>
    <hyperlink ref="J445" r:id="rId1643" display="http://ivethkatherine.malambo-bbva.com/" xr:uid="{00000000-0004-0000-0E00-00006A060000}"/>
    <hyperlink ref="K445" r:id="rId1644" display="http://juanita.velasquez-bbva.com/" xr:uid="{00000000-0004-0000-0E00-00006B060000}"/>
    <hyperlink ref="AK445" r:id="rId1645" display="https://globaldevtools.bbva.com/jira/browse/COLWSMEDIO-6203" xr:uid="{00000000-0004-0000-0E00-00006C060000}"/>
    <hyperlink ref="I446" r:id="rId1646" display="http://andrea.orrego-bbva.com/" xr:uid="{00000000-0004-0000-0E00-00006D060000}"/>
    <hyperlink ref="J446" r:id="rId1647" display="http://jorge.carvajal-bbva.com/" xr:uid="{00000000-0004-0000-0E00-00006E060000}"/>
    <hyperlink ref="K446" r:id="rId1648" display="http://magnolia.aristizabal-bbva.com/" xr:uid="{00000000-0004-0000-0E00-00006F060000}"/>
    <hyperlink ref="AK446" r:id="rId1649" display="https://globaldevtools.bbva.com/jira/browse/COLWSCRM-840" xr:uid="{00000000-0004-0000-0E00-000070060000}"/>
    <hyperlink ref="I447" r:id="rId1650" display="http://alirio.bermudez-bbva.com/" xr:uid="{00000000-0004-0000-0E00-000071060000}"/>
    <hyperlink ref="J447" r:id="rId1651" display="http://nelson.ruiz-bbva.com/" xr:uid="{00000000-0004-0000-0E00-000072060000}"/>
    <hyperlink ref="K447" r:id="rId1652" display="http://elizabeth.diaz-bbva.com/" xr:uid="{00000000-0004-0000-0E00-000073060000}"/>
    <hyperlink ref="I448" r:id="rId1653" display="http://alirio.bermudez-bbva.com/" xr:uid="{00000000-0004-0000-0E00-000074060000}"/>
    <hyperlink ref="J448" r:id="rId1654" display="http://nelson.ruiz-bbva.com/" xr:uid="{00000000-0004-0000-0E00-000075060000}"/>
    <hyperlink ref="K448" r:id="rId1655" display="http://elizabeth.diaz-bbva.com/" xr:uid="{00000000-0004-0000-0E00-000076060000}"/>
    <hyperlink ref="I449" r:id="rId1656" display="http://alirio.bermudez-bbva.com/" xr:uid="{00000000-0004-0000-0E00-000077060000}"/>
    <hyperlink ref="J449" r:id="rId1657" display="http://nelson.ruiz-bbva.com/" xr:uid="{00000000-0004-0000-0E00-000078060000}"/>
    <hyperlink ref="K449" r:id="rId1658" display="http://elizabeth.diaz-bbva.com/" xr:uid="{00000000-0004-0000-0E00-000079060000}"/>
    <hyperlink ref="I450" r:id="rId1659" display="http://alirio.bermudez-bbva.com/" xr:uid="{00000000-0004-0000-0E00-00007A060000}"/>
    <hyperlink ref="J450" r:id="rId1660" display="http://nelson.ruiz-bbva.com/" xr:uid="{00000000-0004-0000-0E00-00007B060000}"/>
    <hyperlink ref="K450" r:id="rId1661" display="http://elizabeth.diaz-bbva.com/" xr:uid="{00000000-0004-0000-0E00-00007C060000}"/>
    <hyperlink ref="AK450" r:id="rId1662" display="https://globaldevtools.bbva.com/jira/browse/CCSS-5576" xr:uid="{00000000-0004-0000-0E00-00007D060000}"/>
    <hyperlink ref="I451" r:id="rId1663" display="http://alirio.bermudez-bbva.com/" xr:uid="{00000000-0004-0000-0E00-00007E060000}"/>
    <hyperlink ref="J451" r:id="rId1664" display="http://nelson.ruiz-bbva.com/" xr:uid="{00000000-0004-0000-0E00-00007F060000}"/>
    <hyperlink ref="K451" r:id="rId1665" display="http://elizabeth.diaz-bbva.com/" xr:uid="{00000000-0004-0000-0E00-000080060000}"/>
    <hyperlink ref="AK451" r:id="rId1666" display="https://globaldevtools.bbva.com/jira/browse/CCSS-4355" xr:uid="{00000000-0004-0000-0E00-000081060000}"/>
    <hyperlink ref="I452" r:id="rId1667" display="http://alirio.bermudez-bbva.com/" xr:uid="{00000000-0004-0000-0E00-000082060000}"/>
    <hyperlink ref="J452" r:id="rId1668" display="http://nelson.ruiz-bbva.com/" xr:uid="{00000000-0004-0000-0E00-000083060000}"/>
    <hyperlink ref="K452" r:id="rId1669" display="http://elizabeth.diaz-bbva.com/" xr:uid="{00000000-0004-0000-0E00-000084060000}"/>
    <hyperlink ref="AK452" r:id="rId1670" display="https://globaldevtools.bbva.com/jira/browse/CCSS-6399" xr:uid="{00000000-0004-0000-0E00-000085060000}"/>
    <hyperlink ref="I453" r:id="rId1671" display="http://alirio.bermudez-bbva.com/" xr:uid="{00000000-0004-0000-0E00-000086060000}"/>
    <hyperlink ref="J453" r:id="rId1672" display="http://nelson.ruiz-bbva.com/" xr:uid="{00000000-0004-0000-0E00-000087060000}"/>
    <hyperlink ref="K453" r:id="rId1673" display="http://elizabeth.diaz-bbva.com/" xr:uid="{00000000-0004-0000-0E00-000088060000}"/>
    <hyperlink ref="AK453" r:id="rId1674" display="https://globaldevtools.bbva.com/jira/browse/COLWSCONTA-258" xr:uid="{00000000-0004-0000-0E00-000089060000}"/>
    <hyperlink ref="I454" r:id="rId1675" display="http://alirio.bermudez-bbva.com/" xr:uid="{00000000-0004-0000-0E00-00008A060000}"/>
    <hyperlink ref="J454" r:id="rId1676" display="http://nelson.ruiz-bbva.com/" xr:uid="{00000000-0004-0000-0E00-00008B060000}"/>
    <hyperlink ref="K454" r:id="rId1677" display="http://elizabeth.diaz-bbva.com/" xr:uid="{00000000-0004-0000-0E00-00008C060000}"/>
    <hyperlink ref="AK454" r:id="rId1678" display="https://globaldevtools.bbva.com/jira/browse/CCSS-14509" xr:uid="{00000000-0004-0000-0E00-00008D060000}"/>
    <hyperlink ref="I455" r:id="rId1679" display="http://alirio.bermudez-bbva.com/" xr:uid="{00000000-0004-0000-0E00-00008E060000}"/>
    <hyperlink ref="J455" r:id="rId1680" display="http://nelson.ruiz-bbva.com/" xr:uid="{00000000-0004-0000-0E00-00008F060000}"/>
    <hyperlink ref="K455" r:id="rId1681" display="http://elizabeth.diaz-bbva.com/" xr:uid="{00000000-0004-0000-0E00-000090060000}"/>
    <hyperlink ref="AK455" r:id="rId1682" display="https://globaldevtools.bbva.com/jira/browse/COLWSCONTA-1735" xr:uid="{00000000-0004-0000-0E00-000091060000}"/>
    <hyperlink ref="I456" r:id="rId1683" display="http://alirio.bermudez-bbva.com/" xr:uid="{00000000-0004-0000-0E00-000092060000}"/>
    <hyperlink ref="J456" r:id="rId1684" display="http://nelson.ruiz-bbva.com/" xr:uid="{00000000-0004-0000-0E00-000093060000}"/>
    <hyperlink ref="K456" r:id="rId1685" display="http://elizabeth.diaz-bbva.com/" xr:uid="{00000000-0004-0000-0E00-000094060000}"/>
    <hyperlink ref="AK456" r:id="rId1686" display="https://globaldevtools.bbva.com/jira/browse/COLWSCANAL-1294" xr:uid="{00000000-0004-0000-0E00-000095060000}"/>
    <hyperlink ref="I457" r:id="rId1687" display="http://alirio.bermudez-bbva.com/" xr:uid="{00000000-0004-0000-0E00-000096060000}"/>
    <hyperlink ref="J457" r:id="rId1688" display="http://nelson.ruiz-bbva.com/" xr:uid="{00000000-0004-0000-0E00-000097060000}"/>
    <hyperlink ref="K457" r:id="rId1689" display="http://elizabeth.diaz-bbva.com/" xr:uid="{00000000-0004-0000-0E00-000098060000}"/>
    <hyperlink ref="AK457" r:id="rId1690" display="https://globaldevtools.bbva.com/jira/browse/COLWSCONTA-243" xr:uid="{00000000-0004-0000-0E00-000099060000}"/>
    <hyperlink ref="I458" r:id="rId1691" display="http://alirio.bermudez-bbva.com/" xr:uid="{00000000-0004-0000-0E00-00009A060000}"/>
    <hyperlink ref="J458" r:id="rId1692" display="http://nelson.ruiz-bbva.com/" xr:uid="{00000000-0004-0000-0E00-00009B060000}"/>
    <hyperlink ref="K458" r:id="rId1693" display="http://elizabeth.diaz-bbva.com/" xr:uid="{00000000-0004-0000-0E00-00009C060000}"/>
    <hyperlink ref="AK458" r:id="rId1694" display="https://globaldevtools.bbva.com/jira/browse/CCSS-209" xr:uid="{00000000-0004-0000-0E00-00009D060000}"/>
    <hyperlink ref="I459" r:id="rId1695" display="http://alirio.bermudez-bbva.com/" xr:uid="{00000000-0004-0000-0E00-00009E060000}"/>
    <hyperlink ref="J459" r:id="rId1696" display="http://nelson.ruiz-bbva.com/" xr:uid="{00000000-0004-0000-0E00-00009F060000}"/>
    <hyperlink ref="K459" r:id="rId1697" display="http://elizabeth.diaz-bbva.com/" xr:uid="{00000000-0004-0000-0E00-0000A0060000}"/>
    <hyperlink ref="AK459" r:id="rId1698" display="https://globaldevtools.bbva.com/jira/browse/COLWSCONTA-527" xr:uid="{00000000-0004-0000-0E00-0000A1060000}"/>
    <hyperlink ref="I460" r:id="rId1699" display="http://alirio.bermudez-bbva.com/" xr:uid="{00000000-0004-0000-0E00-0000A2060000}"/>
    <hyperlink ref="J460" r:id="rId1700" display="http://nelson.ruiz-bbva.com/" xr:uid="{00000000-0004-0000-0E00-0000A3060000}"/>
    <hyperlink ref="K460" r:id="rId1701" display="http://elizabeth.diaz-bbva.com/" xr:uid="{00000000-0004-0000-0E00-0000A4060000}"/>
    <hyperlink ref="AK460" r:id="rId1702" display="https://globaldevtools.bbva.com/jira/browse/COLWSCANAL-14969" xr:uid="{00000000-0004-0000-0E00-0000A5060000}"/>
    <hyperlink ref="I461" r:id="rId1703" display="http://alirio.bermudez-bbva.com/" xr:uid="{00000000-0004-0000-0E00-0000A6060000}"/>
    <hyperlink ref="J461" r:id="rId1704" display="http://nelson.ruiz-bbva.com/" xr:uid="{00000000-0004-0000-0E00-0000A7060000}"/>
    <hyperlink ref="K461" r:id="rId1705" display="http://elizabeth.diaz-bbva.com/" xr:uid="{00000000-0004-0000-0E00-0000A8060000}"/>
    <hyperlink ref="AK461" r:id="rId1706" display="https://globaldevtools.bbva.com/jira/browse/COLWSCANAL-13700" xr:uid="{00000000-0004-0000-0E00-0000A9060000}"/>
    <hyperlink ref="I462" r:id="rId1707" display="http://alirio.bermudez-bbva.com/" xr:uid="{00000000-0004-0000-0E00-0000AA060000}"/>
    <hyperlink ref="J462" r:id="rId1708" display="http://nelson.ruiz-bbva.com/" xr:uid="{00000000-0004-0000-0E00-0000AB060000}"/>
    <hyperlink ref="K462" r:id="rId1709" display="http://elizabeth.diaz-bbva.com/" xr:uid="{00000000-0004-0000-0E00-0000AC060000}"/>
    <hyperlink ref="AK462" r:id="rId1710" display="https://globaldevtools.bbva.com/jira/browse/COLWSCANAL-6555" xr:uid="{00000000-0004-0000-0E00-0000AD060000}"/>
    <hyperlink ref="I463" r:id="rId1711" display="http://alirio.bermudez-bbva.com/" xr:uid="{00000000-0004-0000-0E00-0000AE060000}"/>
    <hyperlink ref="J463" r:id="rId1712" display="http://nelson.ruiz-bbva.com/" xr:uid="{00000000-0004-0000-0E00-0000AF060000}"/>
    <hyperlink ref="K463" r:id="rId1713" display="http://elizabeth.diaz-bbva.com/" xr:uid="{00000000-0004-0000-0E00-0000B0060000}"/>
    <hyperlink ref="I464" r:id="rId1714" display="http://alirio.bermudez-bbva.com/" xr:uid="{00000000-0004-0000-0E00-0000B1060000}"/>
    <hyperlink ref="J464" r:id="rId1715" display="http://nelson.ruiz-bbva.com/" xr:uid="{00000000-0004-0000-0E00-0000B2060000}"/>
    <hyperlink ref="K464" r:id="rId1716" display="http://elizabeth.diaz-bbva.com/" xr:uid="{00000000-0004-0000-0E00-0000B3060000}"/>
    <hyperlink ref="AK464" r:id="rId1717" display="https://globaldevtools.bbva.com/jira/browse/COLWSCONTA-1557" xr:uid="{00000000-0004-0000-0E00-0000B4060000}"/>
    <hyperlink ref="I465" r:id="rId1718" display="http://alirio.bermudez-bbva.com/" xr:uid="{00000000-0004-0000-0E00-0000B5060000}"/>
    <hyperlink ref="J465" r:id="rId1719" display="http://nelson.ruiz-bbva.com/" xr:uid="{00000000-0004-0000-0E00-0000B6060000}"/>
    <hyperlink ref="K465" r:id="rId1720" display="http://elizabeth.diaz-bbva.com/" xr:uid="{00000000-0004-0000-0E00-0000B7060000}"/>
    <hyperlink ref="AK465" r:id="rId1721" display="https://globaldevtools.bbva.com/jira/browse/COLWSCONTA-1765" xr:uid="{00000000-0004-0000-0E00-0000B8060000}"/>
    <hyperlink ref="I466" r:id="rId1722" display="http://alirio.bermudez-bbva.com/" xr:uid="{00000000-0004-0000-0E00-0000B9060000}"/>
    <hyperlink ref="J466" r:id="rId1723" display="http://nelson.ruiz-bbva.com/" xr:uid="{00000000-0004-0000-0E00-0000BA060000}"/>
    <hyperlink ref="K466" r:id="rId1724" display="http://elizabeth.diaz-bbva.com/" xr:uid="{00000000-0004-0000-0E00-0000BB060000}"/>
    <hyperlink ref="AK466" r:id="rId1725" display="https://globaldevtools.bbva.com/jira/browse/COLWSCONTA-1855" xr:uid="{00000000-0004-0000-0E00-0000BC060000}"/>
    <hyperlink ref="I467" r:id="rId1726" display="http://alirio.bermudez-bbva.com/" xr:uid="{00000000-0004-0000-0E00-0000BD060000}"/>
    <hyperlink ref="J467" r:id="rId1727" display="http://nelson.ruiz-bbva.com/" xr:uid="{00000000-0004-0000-0E00-0000BE060000}"/>
    <hyperlink ref="K467" r:id="rId1728" display="http://elizabeth.diaz-bbva.com/" xr:uid="{00000000-0004-0000-0E00-0000BF060000}"/>
    <hyperlink ref="AK467" r:id="rId1729" display="https://globaldevtools.bbva.com/jira/browse/CCSS-7500" xr:uid="{00000000-0004-0000-0E00-0000C0060000}"/>
    <hyperlink ref="I468" r:id="rId1730" display="http://alirio.bermudez-bbva.com/" xr:uid="{00000000-0004-0000-0E00-0000C1060000}"/>
    <hyperlink ref="J468" r:id="rId1731" display="http://nelson.ruiz-bbva.com/" xr:uid="{00000000-0004-0000-0E00-0000C2060000}"/>
    <hyperlink ref="K468" r:id="rId1732" display="http://elizabeth.diaz-bbva.com/" xr:uid="{00000000-0004-0000-0E00-0000C3060000}"/>
    <hyperlink ref="AK468" r:id="rId1733" display="https://globaldevtools.bbva.com/jira/browse/CCSS-7499" xr:uid="{00000000-0004-0000-0E00-0000C4060000}"/>
    <hyperlink ref="I469" r:id="rId1734" display="http://alirio.bermudez-bbva.com/" xr:uid="{00000000-0004-0000-0E00-0000C5060000}"/>
    <hyperlink ref="J469" r:id="rId1735" display="http://nelson.ruiz-bbva.com/" xr:uid="{00000000-0004-0000-0E00-0000C6060000}"/>
    <hyperlink ref="K469" r:id="rId1736" display="http://elizabeth.diaz-bbva.com/" xr:uid="{00000000-0004-0000-0E00-0000C7060000}"/>
    <hyperlink ref="AK469" r:id="rId1737" display="https://globaldevtools.bbva.com/jira/browse/COLWSCUENT-296" xr:uid="{00000000-0004-0000-0E00-0000C8060000}"/>
    <hyperlink ref="I470" r:id="rId1738" display="http://alirio.bermudez-bbva.com/" xr:uid="{00000000-0004-0000-0E00-0000C9060000}"/>
    <hyperlink ref="J470" r:id="rId1739" display="http://nelson.ruiz-bbva.com/" xr:uid="{00000000-0004-0000-0E00-0000CA060000}"/>
    <hyperlink ref="K470" r:id="rId1740" display="http://elizabeth.diaz-bbva.com/" xr:uid="{00000000-0004-0000-0E00-0000CB060000}"/>
    <hyperlink ref="AK470" r:id="rId1741" display="https://globaldevtools.bbva.com/jira/browse/COLWSCUENT-295" xr:uid="{00000000-0004-0000-0E00-0000CC060000}"/>
    <hyperlink ref="I471" r:id="rId1742" display="http://alirio.bermudez-bbva.com/" xr:uid="{00000000-0004-0000-0E00-0000CD060000}"/>
    <hyperlink ref="J471" r:id="rId1743" display="http://nelson.ruiz-bbva.com/" xr:uid="{00000000-0004-0000-0E00-0000CE060000}"/>
    <hyperlink ref="K471" r:id="rId1744" display="http://elizabeth.diaz-bbva.com/" xr:uid="{00000000-0004-0000-0E00-0000CF060000}"/>
    <hyperlink ref="AK471" r:id="rId1745" display="https://globaldevtools.bbva.com/jira/browse/COLWSCUENT-200" xr:uid="{00000000-0004-0000-0E00-0000D0060000}"/>
    <hyperlink ref="I472" r:id="rId1746" display="http://alirio.bermudez-bbva.com/" xr:uid="{00000000-0004-0000-0E00-0000D1060000}"/>
    <hyperlink ref="J472" r:id="rId1747" display="http://nelson.ruiz-bbva.com/" xr:uid="{00000000-0004-0000-0E00-0000D2060000}"/>
    <hyperlink ref="K472" r:id="rId1748" display="http://elizabeth.diaz-bbva.com/" xr:uid="{00000000-0004-0000-0E00-0000D3060000}"/>
    <hyperlink ref="AK472" r:id="rId1749" display="https://globaldevtools.bbva.com/jira/browse/COLWSCANAL-1303" xr:uid="{00000000-0004-0000-0E00-0000D4060000}"/>
    <hyperlink ref="I473" r:id="rId1750" display="http://alirio.bermudez-bbva.com/" xr:uid="{00000000-0004-0000-0E00-0000D5060000}"/>
    <hyperlink ref="J473" r:id="rId1751" display="http://nelson.ruiz-bbva.com/" xr:uid="{00000000-0004-0000-0E00-0000D6060000}"/>
    <hyperlink ref="K473" r:id="rId1752" display="http://elizabeth.diaz-bbva.com/" xr:uid="{00000000-0004-0000-0E00-0000D7060000}"/>
    <hyperlink ref="AK473" r:id="rId1753" display="https://globaldevtools.bbva.com/jira/browse/CCSS-7501" xr:uid="{00000000-0004-0000-0E00-0000D8060000}"/>
    <hyperlink ref="I474" r:id="rId1754" display="http://alirio.bermudez-bbva.com/" xr:uid="{00000000-0004-0000-0E00-0000D9060000}"/>
    <hyperlink ref="J474" r:id="rId1755" display="http://nelson.ruiz-bbva.com/" xr:uid="{00000000-0004-0000-0E00-0000DA060000}"/>
    <hyperlink ref="K474" r:id="rId1756" display="http://elizabeth.diaz-bbva.com/" xr:uid="{00000000-0004-0000-0E00-0000DB060000}"/>
    <hyperlink ref="AK474" r:id="rId1757" display="https://globaldevtools.bbva.com/jira/browse/COLWSCUENT-596" xr:uid="{00000000-0004-0000-0E00-0000DC060000}"/>
    <hyperlink ref="I475" r:id="rId1758" display="http://alirio.bermudez-bbva.com/" xr:uid="{00000000-0004-0000-0E00-0000DD060000}"/>
    <hyperlink ref="J475" r:id="rId1759" display="http://nelson.ruiz-bbva.com/" xr:uid="{00000000-0004-0000-0E00-0000DE060000}"/>
    <hyperlink ref="K475" r:id="rId1760" display="http://elizabeth.diaz-bbva.com/" xr:uid="{00000000-0004-0000-0E00-0000DF060000}"/>
    <hyperlink ref="AK475" r:id="rId1761" display="https://globaldevtools.bbva.com/jira/browse/COLWSCUENT-1970" xr:uid="{00000000-0004-0000-0E00-0000E0060000}"/>
    <hyperlink ref="I476" r:id="rId1762" display="http://alirio.bermudez-bbva.com/" xr:uid="{00000000-0004-0000-0E00-0000E1060000}"/>
    <hyperlink ref="J476" r:id="rId1763" display="http://nelson.ruiz-bbva.com/" xr:uid="{00000000-0004-0000-0E00-0000E2060000}"/>
    <hyperlink ref="K476" r:id="rId1764" display="http://elizabeth.diaz-bbva.com/" xr:uid="{00000000-0004-0000-0E00-0000E3060000}"/>
    <hyperlink ref="AK476" r:id="rId1765" display="https://globaldevtools.bbva.com/jira/browse/COLWSCUENT-2488" xr:uid="{00000000-0004-0000-0E00-0000E4060000}"/>
    <hyperlink ref="I477" r:id="rId1766" display="http://alirio.bermudez-bbva.com/" xr:uid="{00000000-0004-0000-0E00-0000E5060000}"/>
    <hyperlink ref="J477" r:id="rId1767" display="http://nelson.ruiz-bbva.com/" xr:uid="{00000000-0004-0000-0E00-0000E6060000}"/>
    <hyperlink ref="K477" r:id="rId1768" display="http://elizabeth.diaz-bbva.com/" xr:uid="{00000000-0004-0000-0E00-0000E7060000}"/>
    <hyperlink ref="AK477" r:id="rId1769" display="https://globaldevtools.bbva.com/jira/browse/COLWSCUENT-1665" xr:uid="{00000000-0004-0000-0E00-0000E8060000}"/>
    <hyperlink ref="I478" r:id="rId1770" display="http://alirio.bermudez-bbva.com/" xr:uid="{00000000-0004-0000-0E00-0000E9060000}"/>
    <hyperlink ref="J478" r:id="rId1771" display="http://nelson.ruiz-bbva.com/" xr:uid="{00000000-0004-0000-0E00-0000EA060000}"/>
    <hyperlink ref="K478" r:id="rId1772" display="http://elizabeth.diaz-bbva.com/" xr:uid="{00000000-0004-0000-0E00-0000EB060000}"/>
    <hyperlink ref="AK478" r:id="rId1773" display="https://globaldevtools.bbva.com/jira/browse/COLWSCUENT-338" xr:uid="{00000000-0004-0000-0E00-0000EC060000}"/>
    <hyperlink ref="I479" r:id="rId1774" display="http://alirio.bermudez-bbva.com/" xr:uid="{00000000-0004-0000-0E00-0000ED060000}"/>
    <hyperlink ref="J479" r:id="rId1775" display="http://nelson.ruiz-bbva.com/" xr:uid="{00000000-0004-0000-0E00-0000EE060000}"/>
    <hyperlink ref="K479" r:id="rId1776" display="http://elizabeth.diaz-bbva.com/" xr:uid="{00000000-0004-0000-0E00-0000EF060000}"/>
    <hyperlink ref="AK479" r:id="rId1777" display="https://globaldevtools.bbva.com/jira/browse/COLWSCUENT-1636" xr:uid="{00000000-0004-0000-0E00-0000F0060000}"/>
    <hyperlink ref="I480" r:id="rId1778" display="http://alirio.bermudez-bbva.com/" xr:uid="{00000000-0004-0000-0E00-0000F1060000}"/>
    <hyperlink ref="J480" r:id="rId1779" display="http://nelson.ruiz-bbva.com/" xr:uid="{00000000-0004-0000-0E00-0000F2060000}"/>
    <hyperlink ref="K480" r:id="rId1780" display="http://elizabeth.diaz-bbva.com/" xr:uid="{00000000-0004-0000-0E00-0000F3060000}"/>
    <hyperlink ref="I481" r:id="rId1781" display="http://alirio.bermudez-bbva.com/" xr:uid="{00000000-0004-0000-0E00-0000F4060000}"/>
    <hyperlink ref="J481" r:id="rId1782" display="http://monicaandrea.abogado-bbva.com/" xr:uid="{00000000-0004-0000-0E00-0000F5060000}"/>
    <hyperlink ref="K481" r:id="rId1783" display="http://ivan_dario.ariza-bbva.com/" xr:uid="{00000000-0004-0000-0E00-0000F6060000}"/>
    <hyperlink ref="AK481" r:id="rId1784" display="https://globaldevtools.bbva.com/jira/browse/COLWSMEDIO-3146" xr:uid="{00000000-0004-0000-0E00-0000F7060000}"/>
    <hyperlink ref="I482" r:id="rId1785" display="http://alirio.bermudez-bbva.com/" xr:uid="{00000000-0004-0000-0E00-0000F8060000}"/>
    <hyperlink ref="J482" r:id="rId1786" display="http://monicaandrea.abogado-bbva.com/" xr:uid="{00000000-0004-0000-0E00-0000F9060000}"/>
    <hyperlink ref="K482" r:id="rId1787" display="http://ivan_dario.ariza-bbva.com/" xr:uid="{00000000-0004-0000-0E00-0000FA060000}"/>
    <hyperlink ref="AK482" r:id="rId1788" display="https://globaldevtools.bbva.com/jira/browse/COLWSPREST-4367" xr:uid="{00000000-0004-0000-0E00-0000FB060000}"/>
    <hyperlink ref="I483" r:id="rId1789" display="http://alirio.bermudez-bbva.com/" xr:uid="{00000000-0004-0000-0E00-0000FC060000}"/>
    <hyperlink ref="J483" r:id="rId1790" display="http://monicaandrea.abogado-bbva.com/" xr:uid="{00000000-0004-0000-0E00-0000FD060000}"/>
    <hyperlink ref="K483" r:id="rId1791" display="http://ivan_dario.ariza-bbva.com/" xr:uid="{00000000-0004-0000-0E00-0000FE060000}"/>
    <hyperlink ref="AK483" r:id="rId1792" display="https://globaldevtools.bbva.com/jira/browse/COLWSPREST-10375" xr:uid="{00000000-0004-0000-0E00-0000FF060000}"/>
    <hyperlink ref="I484" r:id="rId1793" display="http://alirio.bermudez-bbva.com/" xr:uid="{00000000-0004-0000-0E00-000000070000}"/>
    <hyperlink ref="J484" r:id="rId1794" display="http://monicaandrea.abogado-bbva.com/" xr:uid="{00000000-0004-0000-0E00-000001070000}"/>
    <hyperlink ref="K484" r:id="rId1795" display="http://ivan_dario.ariza-bbva.com/" xr:uid="{00000000-0004-0000-0E00-000002070000}"/>
    <hyperlink ref="AK484" r:id="rId1796" display="https://globaldevtools.bbva.com/jira/browse/COLWSPREST-7969" xr:uid="{00000000-0004-0000-0E00-000003070000}"/>
    <hyperlink ref="I485" r:id="rId1797" display="http://alirio.bermudez-bbva.com/" xr:uid="{00000000-0004-0000-0E00-000004070000}"/>
    <hyperlink ref="J485" r:id="rId1798" display="http://monicaandrea.abogado-bbva.com/" xr:uid="{00000000-0004-0000-0E00-000005070000}"/>
    <hyperlink ref="K485" r:id="rId1799" display="http://ivan_dario.ariza-bbva.com/" xr:uid="{00000000-0004-0000-0E00-000006070000}"/>
    <hyperlink ref="AK485" r:id="rId1800" display="https://globaldevtools.bbva.com/jira/browse/COLWSLEASI-402" xr:uid="{00000000-0004-0000-0E00-000007070000}"/>
    <hyperlink ref="I486" r:id="rId1801" display="http://alirio.bermudez-bbva.com/" xr:uid="{00000000-0004-0000-0E00-000008070000}"/>
    <hyperlink ref="J486" r:id="rId1802" display="http://monicaandrea.abogado-bbva.com/" xr:uid="{00000000-0004-0000-0E00-000009070000}"/>
    <hyperlink ref="K486" r:id="rId1803" display="http://ivan_dario.ariza-bbva.com/" xr:uid="{00000000-0004-0000-0E00-00000A070000}"/>
    <hyperlink ref="AK486" r:id="rId1804" display="https://globaldevtools.bbva.com/jira/browse/COLWSPREST-8593" xr:uid="{00000000-0004-0000-0E00-00000B070000}"/>
    <hyperlink ref="I487" r:id="rId1805" display="http://alirio.bermudez-bbva.com/" xr:uid="{00000000-0004-0000-0E00-00000C070000}"/>
    <hyperlink ref="J487" r:id="rId1806" display="http://monicaandrea.abogado-bbva.com/" xr:uid="{00000000-0004-0000-0E00-00000D070000}"/>
    <hyperlink ref="K487" r:id="rId1807" display="http://ivan_dario.ariza-bbva.com/" xr:uid="{00000000-0004-0000-0E00-00000E070000}"/>
    <hyperlink ref="AK487" r:id="rId1808" display="https://globaldevtools.bbva.com/jira/browse/COLWSPREST-11894" xr:uid="{00000000-0004-0000-0E00-00000F070000}"/>
    <hyperlink ref="I488" r:id="rId1809" display="http://alirio.bermudez-bbva.com/" xr:uid="{00000000-0004-0000-0E00-000010070000}"/>
    <hyperlink ref="J488" r:id="rId1810" display="http://monicaandrea.abogado-bbva.com/" xr:uid="{00000000-0004-0000-0E00-000011070000}"/>
    <hyperlink ref="K488" r:id="rId1811" display="http://ivan_dario.ariza-bbva.com/" xr:uid="{00000000-0004-0000-0E00-000012070000}"/>
    <hyperlink ref="I489" r:id="rId1812" display="http://alirio.bermudez-bbva.com/" xr:uid="{00000000-0004-0000-0E00-000013070000}"/>
    <hyperlink ref="J489" r:id="rId1813" display="http://monicaandrea.abogado-bbva.com/" xr:uid="{00000000-0004-0000-0E00-000014070000}"/>
    <hyperlink ref="K489" r:id="rId1814" display="http://ivan_dario.ariza-bbva.com/" xr:uid="{00000000-0004-0000-0E00-000015070000}"/>
    <hyperlink ref="I490" r:id="rId1815" display="http://alirio.bermudez-bbva.com/" xr:uid="{00000000-0004-0000-0E00-000016070000}"/>
    <hyperlink ref="J490" r:id="rId1816" display="http://monicaandrea.abogado-bbva.com/" xr:uid="{00000000-0004-0000-0E00-000017070000}"/>
    <hyperlink ref="K490" r:id="rId1817" display="http://ivan_dario.ariza-bbva.com/" xr:uid="{00000000-0004-0000-0E00-000018070000}"/>
    <hyperlink ref="I491" r:id="rId1818" display="http://alirio.bermudez-bbva.com/" xr:uid="{00000000-0004-0000-0E00-000019070000}"/>
    <hyperlink ref="J491" r:id="rId1819" display="http://marthapatric.cruz-bbva.com/" xr:uid="{00000000-0004-0000-0E00-00001A070000}"/>
    <hyperlink ref="K491" r:id="rId1820" display="http://carlosdavid.pacheco-bbva.com/" xr:uid="{00000000-0004-0000-0E00-00001B070000}"/>
    <hyperlink ref="AK491" r:id="rId1821" display="https://globaldevtools.bbva.com/jira/browse/COLWSPREST-1941" xr:uid="{00000000-0004-0000-0E00-00001C070000}"/>
    <hyperlink ref="I492" r:id="rId1822" display="http://alirio.bermudez-bbva.com/" xr:uid="{00000000-0004-0000-0E00-00001D070000}"/>
    <hyperlink ref="J492" r:id="rId1823" display="http://marthapatric.cruz-bbva.com/" xr:uid="{00000000-0004-0000-0E00-00001E070000}"/>
    <hyperlink ref="K492" r:id="rId1824" display="http://monica.zamudio-bbva.com/" xr:uid="{00000000-0004-0000-0E00-00001F070000}"/>
    <hyperlink ref="AK492" r:id="rId1825" display="https://globaldevtools.bbva.com/jira/browse/COLWSMEDIO-869" xr:uid="{00000000-0004-0000-0E00-000020070000}"/>
    <hyperlink ref="I493" r:id="rId1826" display="http://alirio.bermudez-bbva.com/" xr:uid="{00000000-0004-0000-0E00-000021070000}"/>
    <hyperlink ref="J493" r:id="rId1827" display="http://marthapatric.cruz-bbva.com/" xr:uid="{00000000-0004-0000-0E00-000022070000}"/>
    <hyperlink ref="K493" r:id="rId1828" display="http://yurimilena.moreno-bbva.com/" xr:uid="{00000000-0004-0000-0E00-000023070000}"/>
    <hyperlink ref="AK493" r:id="rId1829" display="https://globaldevtools.bbva.com/jira/browse/COLWSNORMA-337" xr:uid="{00000000-0004-0000-0E00-000024070000}"/>
    <hyperlink ref="I494" r:id="rId1830" display="http://alirio.bermudez-bbva.com/" xr:uid="{00000000-0004-0000-0E00-000025070000}"/>
    <hyperlink ref="J494" r:id="rId1831" display="http://marthapatric.cruz-bbva.com/" xr:uid="{00000000-0004-0000-0E00-000026070000}"/>
    <hyperlink ref="K494" r:id="rId1832" display="http://yurimilena.moreno-bbva.com/" xr:uid="{00000000-0004-0000-0E00-000027070000}"/>
    <hyperlink ref="AK494" r:id="rId1833" display="https://globaldevtools.bbva.com/jira/browse/COLWSNORMA-343" xr:uid="{00000000-0004-0000-0E00-000028070000}"/>
    <hyperlink ref="I495" r:id="rId1834" display="http://alirio.bermudez-bbva.com/" xr:uid="{00000000-0004-0000-0E00-000029070000}"/>
    <hyperlink ref="J495" r:id="rId1835" display="http://marthapatric.cruz-bbva.com/" xr:uid="{00000000-0004-0000-0E00-00002A070000}"/>
    <hyperlink ref="K495" r:id="rId1836" display="http://yurimilena.moreno-bbva.com/" xr:uid="{00000000-0004-0000-0E00-00002B070000}"/>
    <hyperlink ref="AK495" r:id="rId1837" display="https://globaldevtools.bbva.com/jira/browse/COLWSNORMA-678" xr:uid="{00000000-0004-0000-0E00-00002C070000}"/>
    <hyperlink ref="I496" r:id="rId1838" display="http://alirio.bermudez-bbva.com/" xr:uid="{00000000-0004-0000-0E00-00002D070000}"/>
    <hyperlink ref="J496" r:id="rId1839" display="http://marthapatric.cruz-bbva.com/" xr:uid="{00000000-0004-0000-0E00-00002E070000}"/>
    <hyperlink ref="K496" r:id="rId1840" display="http://yurimilena.moreno-bbva.com/" xr:uid="{00000000-0004-0000-0E00-00002F070000}"/>
    <hyperlink ref="AK496" r:id="rId1841" display="https://globaldevtools.bbva.com/jira/browse/COLWSNORMA-859" xr:uid="{00000000-0004-0000-0E00-000030070000}"/>
    <hyperlink ref="I497" r:id="rId1842" display="http://alirio.bermudez-bbva.com/" xr:uid="{00000000-0004-0000-0E00-000031070000}"/>
    <hyperlink ref="J497" r:id="rId1843" display="http://marthapatric.cruz-bbva.com/" xr:uid="{00000000-0004-0000-0E00-000032070000}"/>
    <hyperlink ref="K497" r:id="rId1844" display="http://yurimilena.moreno-bbva.com/" xr:uid="{00000000-0004-0000-0E00-000033070000}"/>
    <hyperlink ref="AK497" r:id="rId1845" display="https://globaldevtools.bbva.com/jira/browse/COLWSNORMA-912" xr:uid="{00000000-0004-0000-0E00-000034070000}"/>
    <hyperlink ref="I498" r:id="rId1846" display="http://alirio.bermudez-bbva.com/" xr:uid="{00000000-0004-0000-0E00-000035070000}"/>
    <hyperlink ref="J498" r:id="rId1847" display="http://marthapatric.cruz-bbva.com/" xr:uid="{00000000-0004-0000-0E00-000036070000}"/>
    <hyperlink ref="K498" r:id="rId1848" display="http://yurimilena.moreno-bbva.com/" xr:uid="{00000000-0004-0000-0E00-000037070000}"/>
    <hyperlink ref="AK498" r:id="rId1849" display="https://globaldevtools.bbva.com/jira/browse/COLWSNORMA-1008" xr:uid="{00000000-0004-0000-0E00-000038070000}"/>
    <hyperlink ref="I499" r:id="rId1850" display="http://alirio.bermudez-bbva.com/" xr:uid="{00000000-0004-0000-0E00-000039070000}"/>
    <hyperlink ref="J499" r:id="rId1851" display="http://marthapatric.cruz-bbva.com/" xr:uid="{00000000-0004-0000-0E00-00003A070000}"/>
    <hyperlink ref="K499" r:id="rId1852" display="http://yurimilena.moreno-bbva.com/" xr:uid="{00000000-0004-0000-0E00-00003B070000}"/>
    <hyperlink ref="AK499" r:id="rId1853" display="https://globaldevtools.bbva.com/jira/browse/COLWSNORMA-1014" xr:uid="{00000000-0004-0000-0E00-00003C070000}"/>
    <hyperlink ref="I500" r:id="rId1854" display="http://alirio.bermudez-bbva.com/" xr:uid="{00000000-0004-0000-0E00-00003D070000}"/>
    <hyperlink ref="J500" r:id="rId1855" display="http://marthapatric.cruz-bbva.com/" xr:uid="{00000000-0004-0000-0E00-00003E070000}"/>
    <hyperlink ref="K500" r:id="rId1856" display="http://yurimilena.moreno-bbva.com/" xr:uid="{00000000-0004-0000-0E00-00003F070000}"/>
    <hyperlink ref="AK500" r:id="rId1857" display="https://globaldevtools.bbva.com/jira/browse/COLWSNORMA-1038" xr:uid="{00000000-0004-0000-0E00-000040070000}"/>
    <hyperlink ref="I501" r:id="rId1858" display="http://alirio.bermudez-bbva.com/" xr:uid="{00000000-0004-0000-0E00-000041070000}"/>
    <hyperlink ref="J501" r:id="rId1859" display="http://marthapatric.cruz-bbva.com/" xr:uid="{00000000-0004-0000-0E00-000042070000}"/>
    <hyperlink ref="K501" r:id="rId1860" display="http://yurimilena.moreno-bbva.com/" xr:uid="{00000000-0004-0000-0E00-000043070000}"/>
    <hyperlink ref="AK501" r:id="rId1861" display="https://globaldevtools.bbva.com/jira/browse/COLWSNORMA-1057" xr:uid="{00000000-0004-0000-0E00-000044070000}"/>
    <hyperlink ref="I502" r:id="rId1862" display="http://alirio.bermudez-bbva.com/" xr:uid="{00000000-0004-0000-0E00-000045070000}"/>
    <hyperlink ref="J502" r:id="rId1863" display="http://marthapatric.cruz-bbva.com/" xr:uid="{00000000-0004-0000-0E00-000046070000}"/>
    <hyperlink ref="K502" r:id="rId1864" display="http://yurimilena.moreno-bbva.com/" xr:uid="{00000000-0004-0000-0E00-000047070000}"/>
    <hyperlink ref="AK502" r:id="rId1865" display="https://globaldevtools.bbva.com/jira/browse/COLWSNORMA-1060" xr:uid="{00000000-0004-0000-0E00-000048070000}"/>
    <hyperlink ref="I503" r:id="rId1866" display="http://alirio.bermudez-bbva.com/" xr:uid="{00000000-0004-0000-0E00-000049070000}"/>
    <hyperlink ref="J503" r:id="rId1867" display="http://marthapatric.cruz-bbva.com/" xr:uid="{00000000-0004-0000-0E00-00004A070000}"/>
    <hyperlink ref="K503" r:id="rId1868" display="http://sandramilena.rodriguez.romero-bbva.com/" xr:uid="{00000000-0004-0000-0E00-00004B070000}"/>
    <hyperlink ref="I504" r:id="rId1869" display="http://alirio.bermudez-bbva.com/" xr:uid="{00000000-0004-0000-0E00-00004C070000}"/>
    <hyperlink ref="J504" r:id="rId1870" display="http://marthapatric.cruz-bbva.com/" xr:uid="{00000000-0004-0000-0E00-00004D070000}"/>
    <hyperlink ref="K504" r:id="rId1871" display="http://sandrajohanna.gonzalez-bbva.com/" xr:uid="{00000000-0004-0000-0E00-00004E070000}"/>
    <hyperlink ref="AK504" r:id="rId1872" display="https://globaldevtools.bbva.com/jira/browse/COLWSMEDIO-596" xr:uid="{00000000-0004-0000-0E00-00004F070000}"/>
    <hyperlink ref="I505" r:id="rId1873" display="http://alirio.bermudez-bbva.com/" xr:uid="{00000000-0004-0000-0E00-000050070000}"/>
    <hyperlink ref="J505" r:id="rId1874" display="http://marthapatric.cruz-bbva.com/" xr:uid="{00000000-0004-0000-0E00-000051070000}"/>
    <hyperlink ref="K505" r:id="rId1875" display="http://nathaliamaria.torres-bbva.com/" xr:uid="{00000000-0004-0000-0E00-000052070000}"/>
    <hyperlink ref="AK505" r:id="rId1876" display="https://globaldevtools.bbva.com/jira/browse/COLWSMEDIO-2558" xr:uid="{00000000-0004-0000-0E00-000053070000}"/>
    <hyperlink ref="I506" r:id="rId1877" display="http://alirio.bermudez-bbva.com/" xr:uid="{00000000-0004-0000-0E00-000054070000}"/>
    <hyperlink ref="J506" r:id="rId1878" display="http://marthapatric.cruz-bbva.com/" xr:uid="{00000000-0004-0000-0E00-000055070000}"/>
    <hyperlink ref="K506" r:id="rId1879" display="http://sandrajohanna.gonzalez-bbva.com/" xr:uid="{00000000-0004-0000-0E00-000056070000}"/>
    <hyperlink ref="I507" r:id="rId1880" display="http://alirio.bermudez-bbva.com/" xr:uid="{00000000-0004-0000-0E00-000057070000}"/>
    <hyperlink ref="J507" r:id="rId1881" display="http://marthapatric.cruz-bbva.com/" xr:uid="{00000000-0004-0000-0E00-000058070000}"/>
    <hyperlink ref="K507" r:id="rId1882" display="http://sandrajohanna.gonzalez-bbva.com/" xr:uid="{00000000-0004-0000-0E00-000059070000}"/>
    <hyperlink ref="I508" r:id="rId1883" display="http://alirio.bermudez-bbva.com/" xr:uid="{00000000-0004-0000-0E00-00005A070000}"/>
    <hyperlink ref="J508" r:id="rId1884" display="http://marthapatric.cruz-bbva.com/" xr:uid="{00000000-0004-0000-0E00-00005B070000}"/>
    <hyperlink ref="K508" r:id="rId1885" display="http://nathaliamaria.torres-bbva.com/" xr:uid="{00000000-0004-0000-0E00-00005C070000}"/>
    <hyperlink ref="AK508" r:id="rId1886" display="https://globaldevtools.bbva.com/jira/browse/COLWSMEDIO-6460" xr:uid="{00000000-0004-0000-0E00-00005D070000}"/>
    <hyperlink ref="I509" r:id="rId1887" display="http://alirio.bermudez-bbva.com/" xr:uid="{00000000-0004-0000-0E00-00005E070000}"/>
    <hyperlink ref="J509" r:id="rId1888" display="http://marthapatric.cruz-bbva.com/" xr:uid="{00000000-0004-0000-0E00-00005F070000}"/>
    <hyperlink ref="K509" r:id="rId1889" display="http://nathaliamaria.torres-bbva.com/" xr:uid="{00000000-0004-0000-0E00-000060070000}"/>
    <hyperlink ref="AK509" r:id="rId1890" display="https://globaldevtools.bbva.com/jira/browse/COLWSMEDIO-4794" xr:uid="{00000000-0004-0000-0E00-000061070000}"/>
    <hyperlink ref="I510" r:id="rId1891" display="http://alirio.bermudez-bbva.com/" xr:uid="{00000000-0004-0000-0E00-000062070000}"/>
    <hyperlink ref="J510" r:id="rId1892" display="http://marthapatric.cruz-bbva.com/" xr:uid="{00000000-0004-0000-0E00-000063070000}"/>
    <hyperlink ref="K510" r:id="rId1893" display="http://nathaliamaria.torres-bbva.com/" xr:uid="{00000000-0004-0000-0E00-000064070000}"/>
    <hyperlink ref="I511" r:id="rId1894" display="http://alirio.bermudez-bbva.com/" xr:uid="{00000000-0004-0000-0E00-000065070000}"/>
    <hyperlink ref="J511" r:id="rId1895" display="http://marthapatric.cruz-bbva.com/" xr:uid="{00000000-0004-0000-0E00-000066070000}"/>
    <hyperlink ref="K511" r:id="rId1896" display="http://andresfelipe.granados-bbva.com/" xr:uid="{00000000-0004-0000-0E00-000067070000}"/>
    <hyperlink ref="AK511" r:id="rId1897" display="https://globaldevtools.bbva.com/jira/browse/COLWSMEDIO-2336" xr:uid="{00000000-0004-0000-0E00-000068070000}"/>
    <hyperlink ref="I512" r:id="rId1898" display="http://alirio.bermudez-bbva.com/" xr:uid="{00000000-0004-0000-0E00-000069070000}"/>
    <hyperlink ref="J512" r:id="rId1899" display="http://marthapatric.cruz-bbva.com/" xr:uid="{00000000-0004-0000-0E00-00006A070000}"/>
    <hyperlink ref="K512" r:id="rId1900" display="http://andresfelipe.granados-bbva.com/" xr:uid="{00000000-0004-0000-0E00-00006B070000}"/>
    <hyperlink ref="AK512" r:id="rId1901" display="https://globaldevtools.bbva.com/jira/browse/COLWSMEDIO-2344" xr:uid="{00000000-0004-0000-0E00-00006C070000}"/>
    <hyperlink ref="I513" r:id="rId1902" display="http://alirio.bermudez-bbva.com/" xr:uid="{00000000-0004-0000-0E00-00006D070000}"/>
    <hyperlink ref="J513" r:id="rId1903" display="http://marthapatric.cruz-bbva.com/" xr:uid="{00000000-0004-0000-0E00-00006E070000}"/>
    <hyperlink ref="K513" r:id="rId1904" display="http://andresfelipe.granados-bbva.com/" xr:uid="{00000000-0004-0000-0E00-00006F070000}"/>
    <hyperlink ref="AK513" r:id="rId1905" display="https://globaldevtools.bbva.com/jira/browse/COLWSMEDIO-2273" xr:uid="{00000000-0004-0000-0E00-000070070000}"/>
    <hyperlink ref="I514" r:id="rId1906" display="http://alirio.bermudez-bbva.com/" xr:uid="{00000000-0004-0000-0E00-000071070000}"/>
    <hyperlink ref="J514" r:id="rId1907" display="http://marthapatric.cruz-bbva.com/" xr:uid="{00000000-0004-0000-0E00-000072070000}"/>
    <hyperlink ref="K514" r:id="rId1908" display="http://sandrajohanna.gonzalez-bbva.com/" xr:uid="{00000000-0004-0000-0E00-000073070000}"/>
    <hyperlink ref="I515" r:id="rId1909" display="http://alirio.bermudez-bbva.com/" xr:uid="{00000000-0004-0000-0E00-000074070000}"/>
    <hyperlink ref="J515" r:id="rId1910" display="http://marthapatric.cruz-bbva.com/" xr:uid="{00000000-0004-0000-0E00-000075070000}"/>
    <hyperlink ref="K515" r:id="rId1911" display="http://sandrajohanna.gonzalez-bbva.com/" xr:uid="{00000000-0004-0000-0E00-000076070000}"/>
    <hyperlink ref="I516" r:id="rId1912" display="http://alirio.bermudez-bbva.com/" xr:uid="{00000000-0004-0000-0E00-000077070000}"/>
    <hyperlink ref="J516" r:id="rId1913" display="http://marthapatric.cruz-bbva.com/" xr:uid="{00000000-0004-0000-0E00-000078070000}"/>
    <hyperlink ref="K516" r:id="rId1914" display="http://andresfelipe.granados-bbva.com/" xr:uid="{00000000-0004-0000-0E00-000079070000}"/>
    <hyperlink ref="AK516" r:id="rId1915" display="https://globaldevtools.bbva.com/jira/browse/COLWSMEDIO-194" xr:uid="{00000000-0004-0000-0E00-00007A070000}"/>
    <hyperlink ref="I517" r:id="rId1916" display="http://alirio.bermudez-bbva.com/" xr:uid="{00000000-0004-0000-0E00-00007B070000}"/>
    <hyperlink ref="J517" r:id="rId1917" display="http://marthapatric.cruz-bbva.com/" xr:uid="{00000000-0004-0000-0E00-00007C070000}"/>
    <hyperlink ref="K517" r:id="rId1918" display="http://andresfelipe.granados-bbva.com/" xr:uid="{00000000-0004-0000-0E00-00007D070000}"/>
    <hyperlink ref="AK517" r:id="rId1919" display="https://globaldevtools.bbva.com/jira/browse/COLWSMEDIO-2243" xr:uid="{00000000-0004-0000-0E00-00007E070000}"/>
    <hyperlink ref="I518" r:id="rId1920" display="http://alirio.bermudez-bbva.com/" xr:uid="{00000000-0004-0000-0E00-00007F070000}"/>
    <hyperlink ref="J518" r:id="rId1921" display="http://marthapatric.cruz-bbva.com/" xr:uid="{00000000-0004-0000-0E00-000080070000}"/>
    <hyperlink ref="K518" r:id="rId1922" display="http://andresfelipe.granados-bbva.com/" xr:uid="{00000000-0004-0000-0E00-000081070000}"/>
    <hyperlink ref="AK518" r:id="rId1923" display="https://globaldevtools.bbva.com/jira/browse/COLWSMEDIO-2250" xr:uid="{00000000-0004-0000-0E00-000082070000}"/>
    <hyperlink ref="I519" r:id="rId1924" display="http://alirio.bermudez-bbva.com/" xr:uid="{00000000-0004-0000-0E00-000083070000}"/>
    <hyperlink ref="J519" r:id="rId1925" display="http://marthapatric.cruz-bbva.com/" xr:uid="{00000000-0004-0000-0E00-000084070000}"/>
    <hyperlink ref="K519" r:id="rId1926" display="http://andresfelipe.granados-bbva.com/" xr:uid="{00000000-0004-0000-0E00-000085070000}"/>
    <hyperlink ref="AK519" r:id="rId1927" display="https://globaldevtools.bbva.com/jira/browse/COLWSMEDIO-2345" xr:uid="{00000000-0004-0000-0E00-000086070000}"/>
    <hyperlink ref="I520" r:id="rId1928" display="http://alirio.bermudez-bbva.com/" xr:uid="{00000000-0004-0000-0E00-000087070000}"/>
    <hyperlink ref="J520" r:id="rId1929" display="http://marthapatric.cruz-bbva.com/" xr:uid="{00000000-0004-0000-0E00-000088070000}"/>
    <hyperlink ref="K520" r:id="rId1930" display="http://andresfelipe.granados-bbva.com/" xr:uid="{00000000-0004-0000-0E00-000089070000}"/>
    <hyperlink ref="AK520" r:id="rId1931" display="https://globaldevtools.bbva.com/jira/browse/COLWSMEDIO-2346" xr:uid="{00000000-0004-0000-0E00-00008A070000}"/>
    <hyperlink ref="I521" r:id="rId1932" display="http://alirio.bermudez-bbva.com/" xr:uid="{00000000-0004-0000-0E00-00008B070000}"/>
    <hyperlink ref="J521" r:id="rId1933" display="http://marthapatric.cruz-bbva.com/" xr:uid="{00000000-0004-0000-0E00-00008C070000}"/>
    <hyperlink ref="K521" r:id="rId1934" display="http://johnbayron.zambrano-bbva.com/" xr:uid="{00000000-0004-0000-0E00-00008D070000}"/>
    <hyperlink ref="I522" r:id="rId1935" display="http://alirio.bermudez-bbva.com/" xr:uid="{00000000-0004-0000-0E00-00008E070000}"/>
    <hyperlink ref="J522" r:id="rId1936" display="http://marthapatric.cruz-bbva.com/" xr:uid="{00000000-0004-0000-0E00-00008F070000}"/>
    <hyperlink ref="K522" r:id="rId1937" display="http://andresfelipe.granados-bbva.com/" xr:uid="{00000000-0004-0000-0E00-000090070000}"/>
    <hyperlink ref="AK522" r:id="rId1938" display="https://globaldevtools.bbva.com/jira/browse/COLWSMEDIO-2569" xr:uid="{00000000-0004-0000-0E00-000091070000}"/>
    <hyperlink ref="I523" r:id="rId1939" display="http://alirio.bermudez-bbva.com/" xr:uid="{00000000-0004-0000-0E00-000092070000}"/>
    <hyperlink ref="J523" r:id="rId1940" display="http://marthapatric.cruz-bbva.com/" xr:uid="{00000000-0004-0000-0E00-000093070000}"/>
    <hyperlink ref="K523" r:id="rId1941" display="http://andresfelipe.granados-bbva.com/" xr:uid="{00000000-0004-0000-0E00-000094070000}"/>
    <hyperlink ref="AK523" r:id="rId1942" display="https://globaldevtools.bbva.com/jira/browse/COLWSMEDIO-4488" xr:uid="{00000000-0004-0000-0E00-000095070000}"/>
    <hyperlink ref="I524" r:id="rId1943" display="http://alirio.bermudez-bbva.com/" xr:uid="{00000000-0004-0000-0E00-000096070000}"/>
    <hyperlink ref="J524" r:id="rId1944" display="http://yeraldineandrea.sierra-bbva.com/" xr:uid="{00000000-0004-0000-0E00-000097070000}"/>
    <hyperlink ref="K524" r:id="rId1945" display="http://ivan_dario.ariza-bbva.com/" xr:uid="{00000000-0004-0000-0E00-000098070000}"/>
    <hyperlink ref="AK524" r:id="rId1946" display="https://globaldevtools.bbva.com/jira/browse/COLWSMONED-1143" xr:uid="{00000000-0004-0000-0E00-000099070000}"/>
    <hyperlink ref="I525" r:id="rId1947" display="http://alirio.bermudez-bbva.com/" xr:uid="{00000000-0004-0000-0E00-00009A070000}"/>
    <hyperlink ref="J525" r:id="rId1948" display="http://yeraldineandrea.sierra-bbva.com/" xr:uid="{00000000-0004-0000-0E00-00009B070000}"/>
    <hyperlink ref="K525" r:id="rId1949" display="http://ivan_dario.ariza-bbva.com/" xr:uid="{00000000-0004-0000-0E00-00009C070000}"/>
    <hyperlink ref="AK525" r:id="rId1950" display="https://globaldevtools.bbva.com/jira/browse/COLWSMONED-3" xr:uid="{00000000-0004-0000-0E00-00009D070000}"/>
    <hyperlink ref="I526" r:id="rId1951" display="http://alirio.bermudez-bbva.com/" xr:uid="{00000000-0004-0000-0E00-00009E070000}"/>
    <hyperlink ref="J526" r:id="rId1952" display="http://yeraldineandrea.sierra-bbva.com/" xr:uid="{00000000-0004-0000-0E00-00009F070000}"/>
    <hyperlink ref="K526" r:id="rId1953" display="http://ivan_dario.ariza-bbva.com/" xr:uid="{00000000-0004-0000-0E00-0000A0070000}"/>
    <hyperlink ref="AK526" r:id="rId1954" display="https://globaldevtools.bbva.com/jira/browse/COLWSMONED-2" xr:uid="{00000000-0004-0000-0E00-0000A1070000}"/>
    <hyperlink ref="I527" r:id="rId1955" display="http://alirio.bermudez-bbva.com/" xr:uid="{00000000-0004-0000-0E00-0000A2070000}"/>
    <hyperlink ref="J527" r:id="rId1956" display="http://yeraldineandrea.sierra-bbva.com/" xr:uid="{00000000-0004-0000-0E00-0000A3070000}"/>
    <hyperlink ref="K527" r:id="rId1957" display="http://ivan_dario.ariza-bbva.com/" xr:uid="{00000000-0004-0000-0E00-0000A4070000}"/>
    <hyperlink ref="AK527" r:id="rId1958" display="https://globaldevtools.bbva.com/jira/browse/COLWSMONED-1" xr:uid="{00000000-0004-0000-0E00-0000A5070000}"/>
    <hyperlink ref="I528" r:id="rId1959" display="http://alirio.bermudez-bbva.com/" xr:uid="{00000000-0004-0000-0E00-0000A6070000}"/>
    <hyperlink ref="J528" r:id="rId1960" display="http://yeraldineandrea.sierra-bbva.com/" xr:uid="{00000000-0004-0000-0E00-0000A7070000}"/>
    <hyperlink ref="K528" r:id="rId1961" display="http://ivan_dario.ariza-bbva.com/" xr:uid="{00000000-0004-0000-0E00-0000A8070000}"/>
    <hyperlink ref="AK528" r:id="rId1962" display="https://globaldevtools.bbva.com/jira/browse/COLWSMONED-1296" xr:uid="{00000000-0004-0000-0E00-0000A9070000}"/>
    <hyperlink ref="I529" r:id="rId1963" display="http://alirio.bermudez-bbva.com/" xr:uid="{00000000-0004-0000-0E00-0000AA070000}"/>
    <hyperlink ref="J529" r:id="rId1964" display="http://yeraldineandrea.sierra-bbva.com/" xr:uid="{00000000-0004-0000-0E00-0000AB070000}"/>
    <hyperlink ref="K529" r:id="rId1965" display="http://ivan_dario.ariza-bbva.com/" xr:uid="{00000000-0004-0000-0E00-0000AC070000}"/>
    <hyperlink ref="AK529" r:id="rId1966" display="https://globaldevtools.bbva.com/jira/browse/CCIBS-1776" xr:uid="{00000000-0004-0000-0E00-0000AD070000}"/>
    <hyperlink ref="I530" r:id="rId1967" display="http://alirio.bermudez-bbva.com/" xr:uid="{00000000-0004-0000-0E00-0000AE070000}"/>
    <hyperlink ref="J530" r:id="rId1968" display="http://yeraldineandrea.sierra-bbva.com/" xr:uid="{00000000-0004-0000-0E00-0000AF070000}"/>
    <hyperlink ref="K530" r:id="rId1969" display="http://ivan_dario.ariza-bbva.com/" xr:uid="{00000000-0004-0000-0E00-0000B0070000}"/>
    <hyperlink ref="AK530" r:id="rId1970" display="https://globaldevtools.bbva.com/jira/browse/COLWSMONED-1366" xr:uid="{00000000-0004-0000-0E00-0000B1070000}"/>
    <hyperlink ref="I531" r:id="rId1971" display="http://alirio.bermudez-bbva.com/" xr:uid="{00000000-0004-0000-0E00-0000B2070000}"/>
    <hyperlink ref="J531" r:id="rId1972" display="http://yeraldineandrea.sierra-bbva.com/" xr:uid="{00000000-0004-0000-0E00-0000B3070000}"/>
    <hyperlink ref="K531" r:id="rId1973" display="http://ivan_dario.ariza-bbva.com/" xr:uid="{00000000-0004-0000-0E00-0000B4070000}"/>
    <hyperlink ref="AK531" r:id="rId1974" display="https://globaldevtools.bbva.com/jira/browse/COLWSMONED-1365" xr:uid="{00000000-0004-0000-0E00-0000B5070000}"/>
    <hyperlink ref="I532" r:id="rId1975" display="http://alirio.bermudez-bbva.com/" xr:uid="{00000000-0004-0000-0E00-0000B6070000}"/>
    <hyperlink ref="J532" r:id="rId1976" display="http://yeraldineandrea.sierra-bbva.com/" xr:uid="{00000000-0004-0000-0E00-0000B7070000}"/>
    <hyperlink ref="K532" r:id="rId1977" display="http://ivan_dario.ariza-bbva.com/" xr:uid="{00000000-0004-0000-0E00-0000B8070000}"/>
    <hyperlink ref="AK532" r:id="rId1978" display="https://globaldevtools.bbva.com/jira/browse/COLWSMONED-1368" xr:uid="{00000000-0004-0000-0E00-0000B9070000}"/>
    <hyperlink ref="I533" r:id="rId1979" display="http://alirio.bermudez-bbva.com/" xr:uid="{00000000-0004-0000-0E00-0000BA070000}"/>
    <hyperlink ref="J533" r:id="rId1980" display="http://yeraldineandrea.sierra-bbva.com/" xr:uid="{00000000-0004-0000-0E00-0000BB070000}"/>
    <hyperlink ref="K533" r:id="rId1981" display="http://ivan_dario.ariza-bbva.com/" xr:uid="{00000000-0004-0000-0E00-0000BC070000}"/>
    <hyperlink ref="I534" r:id="rId1982" display="http://alirio.bermudez-bbva.com/" xr:uid="{00000000-0004-0000-0E00-0000BD070000}"/>
    <hyperlink ref="J534" r:id="rId1983" display="http://yeraldineandrea.sierra-bbva.com/" xr:uid="{00000000-0004-0000-0E00-0000BE070000}"/>
    <hyperlink ref="K534" r:id="rId1984" display="http://ivan_dario.ariza-bbva.com/" xr:uid="{00000000-0004-0000-0E00-0000BF070000}"/>
    <hyperlink ref="I535" r:id="rId1985" display="http://alirio.bermudez-bbva.com/" xr:uid="{00000000-0004-0000-0E00-0000C0070000}"/>
    <hyperlink ref="J535" r:id="rId1986" display="http://olga.lara-bbva.com/" xr:uid="{00000000-0004-0000-0E00-0000C1070000}"/>
    <hyperlink ref="K535" r:id="rId1987" display="http://monica.zamudio-bbva.com/" xr:uid="{00000000-0004-0000-0E00-0000C2070000}"/>
    <hyperlink ref="AK535" r:id="rId1988" display="https://globaldevtools.bbva.com/jira/browse/COLWSCANAL-2225" xr:uid="{00000000-0004-0000-0E00-0000C3070000}"/>
    <hyperlink ref="I536" r:id="rId1989" display="http://alirio.bermudez-bbva.com/" xr:uid="{00000000-0004-0000-0E00-0000C4070000}"/>
    <hyperlink ref="J536" r:id="rId1990" display="http://olga.lara-bbva.com/" xr:uid="{00000000-0004-0000-0E00-0000C5070000}"/>
    <hyperlink ref="K536" r:id="rId1991" display="http://monica.zamudio-bbva.com/" xr:uid="{00000000-0004-0000-0E00-0000C6070000}"/>
    <hyperlink ref="AK536" r:id="rId1992" display="https://globaldevtools.bbva.com/jira/browse/COLWSCANAL-2231" xr:uid="{00000000-0004-0000-0E00-0000C7070000}"/>
    <hyperlink ref="I537" r:id="rId1993" display="http://alirio.bermudez-bbva.com/" xr:uid="{00000000-0004-0000-0E00-0000C8070000}"/>
    <hyperlink ref="J537" r:id="rId1994" display="http://olga.lara-bbva.com/" xr:uid="{00000000-0004-0000-0E00-0000C9070000}"/>
    <hyperlink ref="K537" r:id="rId1995" display="http://monica.zamudio-bbva.com/" xr:uid="{00000000-0004-0000-0E00-0000CA070000}"/>
    <hyperlink ref="AK537" r:id="rId1996" display="https://globaldevtools.bbva.com/jira/browse/COLWSCANAL-12931" xr:uid="{00000000-0004-0000-0E00-0000CB070000}"/>
    <hyperlink ref="I538" r:id="rId1997" display="http://alirio.bermudez-bbva.com/" xr:uid="{00000000-0004-0000-0E00-0000CC070000}"/>
    <hyperlink ref="J538" r:id="rId1998" display="http://olga.lara-bbva.com/" xr:uid="{00000000-0004-0000-0E00-0000CD070000}"/>
    <hyperlink ref="K538" r:id="rId1999" display="http://monica.zamudio-bbva.com/" xr:uid="{00000000-0004-0000-0E00-0000CE070000}"/>
    <hyperlink ref="AK538" r:id="rId2000" display="https://globaldevtools.bbva.com/jira/browse/COLWSCANAL-5619" xr:uid="{00000000-0004-0000-0E00-0000CF070000}"/>
    <hyperlink ref="I539" r:id="rId2001" display="http://alirio.bermudez-bbva.com/" xr:uid="{00000000-0004-0000-0E00-0000D0070000}"/>
    <hyperlink ref="J539" r:id="rId2002" display="http://olga.lara-bbva.com/" xr:uid="{00000000-0004-0000-0E00-0000D1070000}"/>
    <hyperlink ref="K539" r:id="rId2003" display="http://monica.zamudio-bbva.com/" xr:uid="{00000000-0004-0000-0E00-0000D2070000}"/>
    <hyperlink ref="AK539" r:id="rId2004" display="https://globaldevtools.bbva.com/jira/browse/COLWSPREST-11498" xr:uid="{00000000-0004-0000-0E00-0000D3070000}"/>
    <hyperlink ref="I540" r:id="rId2005" display="http://alirio.bermudez-bbva.com/" xr:uid="{00000000-0004-0000-0E00-0000D4070000}"/>
    <hyperlink ref="J540" r:id="rId2006" display="http://olga.lara-bbva.com/" xr:uid="{00000000-0004-0000-0E00-0000D5070000}"/>
    <hyperlink ref="K540" r:id="rId2007" display="http://monica.zamudio-bbva.com/" xr:uid="{00000000-0004-0000-0E00-0000D6070000}"/>
    <hyperlink ref="I541" r:id="rId2008" display="http://alirio.bermudez-bbva.com/" xr:uid="{00000000-0004-0000-0E00-0000D7070000}"/>
    <hyperlink ref="J541" r:id="rId2009" display="http://olga.lara-bbva.com/" xr:uid="{00000000-0004-0000-0E00-0000D8070000}"/>
    <hyperlink ref="K541" r:id="rId2010" display="http://monica.zamudio-bbva.com/" xr:uid="{00000000-0004-0000-0E00-0000D9070000}"/>
    <hyperlink ref="AK541" r:id="rId2011" display="https://globaldevtools.bbva.com/jira/browse/COLWSPREST-620" xr:uid="{00000000-0004-0000-0E00-0000DA070000}"/>
    <hyperlink ref="I542" r:id="rId2012" display="http://alirio.bermudez-bbva.com/" xr:uid="{00000000-0004-0000-0E00-0000DB070000}"/>
    <hyperlink ref="J542" r:id="rId2013" display="http://olga.lara-bbva.com/" xr:uid="{00000000-0004-0000-0E00-0000DC070000}"/>
    <hyperlink ref="K542" r:id="rId2014" display="http://rociomarcela.lopez-bbva.com/" xr:uid="{00000000-0004-0000-0E00-0000DD070000}"/>
    <hyperlink ref="AK542" r:id="rId2015" display="https://globaldevtools.bbva.com/jira/browse/COLWSPREST-11665" xr:uid="{00000000-0004-0000-0E00-0000DE070000}"/>
    <hyperlink ref="I543" r:id="rId2016" display="http://alirio.bermudez-bbva.com/" xr:uid="{00000000-0004-0000-0E00-0000DF070000}"/>
    <hyperlink ref="J543" r:id="rId2017" display="http://olga.lara-bbva.com/" xr:uid="{00000000-0004-0000-0E00-0000E0070000}"/>
    <hyperlink ref="K543" r:id="rId2018" display="http://rociomarcela.lopez-bbva.com/" xr:uid="{00000000-0004-0000-0E00-0000E1070000}"/>
    <hyperlink ref="AK543" r:id="rId2019" display="https://globaldevtools.bbva.com/jira/browse/COLWSPREST-9364" xr:uid="{00000000-0004-0000-0E00-0000E2070000}"/>
    <hyperlink ref="I544" r:id="rId2020" display="http://alirio.bermudez-bbva.com/" xr:uid="{00000000-0004-0000-0E00-0000E3070000}"/>
    <hyperlink ref="J544" r:id="rId2021" display="http://olga.lara-bbva.com/" xr:uid="{00000000-0004-0000-0E00-0000E4070000}"/>
    <hyperlink ref="K544" r:id="rId2022" display="http://rociomarcela.lopez-bbva.com/" xr:uid="{00000000-0004-0000-0E00-0000E5070000}"/>
    <hyperlink ref="I545" r:id="rId2023" display="http://alirio.bermudez-bbva.com/" xr:uid="{00000000-0004-0000-0E00-0000E6070000}"/>
    <hyperlink ref="J545" r:id="rId2024" display="http://olga.lara-bbva.com/" xr:uid="{00000000-0004-0000-0E00-0000E7070000}"/>
    <hyperlink ref="K545" r:id="rId2025" display="http://rociomarcela.lopez-bbva.com/" xr:uid="{00000000-0004-0000-0E00-0000E8070000}"/>
    <hyperlink ref="AK545" r:id="rId2026" display="https://globaldevtools.bbva.com/jira/browse/COLWSPREST-11486" xr:uid="{00000000-0004-0000-0E00-0000E9070000}"/>
    <hyperlink ref="I546" r:id="rId2027" display="http://alirio.bermudez-bbva.com/" xr:uid="{00000000-0004-0000-0E00-0000EA070000}"/>
    <hyperlink ref="J546" r:id="rId2028" display="http://marthapatric.cruz-bbva.com/" xr:uid="{00000000-0004-0000-0E00-0000EB070000}"/>
    <hyperlink ref="K546" r:id="rId2029" display="http://monica.zamudio-bbva.com/" xr:uid="{00000000-0004-0000-0E00-0000EC070000}"/>
    <hyperlink ref="I547" r:id="rId2030" display="http://alirio.bermudez-bbva.com/" xr:uid="{00000000-0004-0000-0E00-0000ED070000}"/>
    <hyperlink ref="J547" r:id="rId2031" display="http://marthapatric.cruz-bbva.com/" xr:uid="{00000000-0004-0000-0E00-0000EE070000}"/>
    <hyperlink ref="K547" r:id="rId2032" display="http://monica.zamudio-bbva.com/" xr:uid="{00000000-0004-0000-0E00-0000EF070000}"/>
    <hyperlink ref="I548" r:id="rId2033" display="http://alirio.bermudez-bbva.com/" xr:uid="{00000000-0004-0000-0E00-0000F0070000}"/>
    <hyperlink ref="J548" r:id="rId2034" display="http://marthapatric.cruz-bbva.com/" xr:uid="{00000000-0004-0000-0E00-0000F1070000}"/>
    <hyperlink ref="K548" r:id="rId2035" display="http://monica.zamudio-bbva.com/" xr:uid="{00000000-0004-0000-0E00-0000F2070000}"/>
    <hyperlink ref="I549" r:id="rId2036" display="http://alirio.bermudez-bbva.com/" xr:uid="{00000000-0004-0000-0E00-0000F3070000}"/>
    <hyperlink ref="J549" r:id="rId2037" display="http://marthapatric.cruz-bbva.com/" xr:uid="{00000000-0004-0000-0E00-0000F4070000}"/>
    <hyperlink ref="K549" r:id="rId2038" display="http://monica.zamudio-bbva.com/" xr:uid="{00000000-0004-0000-0E00-0000F5070000}"/>
    <hyperlink ref="AK549" r:id="rId2039" display="https://globaldevtools.bbva.com/jira/browse/CCSS-7120" xr:uid="{00000000-0004-0000-0E00-0000F6070000}"/>
    <hyperlink ref="I550" r:id="rId2040" display="http://alirio.bermudez-bbva.com/" xr:uid="{00000000-0004-0000-0E00-0000F7070000}"/>
    <hyperlink ref="J550" r:id="rId2041" display="http://marthapatric.cruz-bbva.com/" xr:uid="{00000000-0004-0000-0E00-0000F8070000}"/>
    <hyperlink ref="K550" r:id="rId2042" display="http://monica.zamudio-bbva.com/" xr:uid="{00000000-0004-0000-0E00-0000F9070000}"/>
    <hyperlink ref="I551" r:id="rId2043" display="http://alirio.bermudez-bbva.com/" xr:uid="{00000000-0004-0000-0E00-0000FA070000}"/>
    <hyperlink ref="J551" r:id="rId2044" display="http://marthapatric.cruz-bbva.com/" xr:uid="{00000000-0004-0000-0E00-0000FB070000}"/>
    <hyperlink ref="K551" r:id="rId2045" display="http://monica.zamudio-bbva.com/" xr:uid="{00000000-0004-0000-0E00-0000FC070000}"/>
    <hyperlink ref="I552" r:id="rId2046" display="http://alirio.bermudez-bbva.com/" xr:uid="{00000000-0004-0000-0E00-0000FD070000}"/>
    <hyperlink ref="J552" r:id="rId2047" display="http://marthapatric.cruz-bbva.com/" xr:uid="{00000000-0004-0000-0E00-0000FE070000}"/>
    <hyperlink ref="K552" r:id="rId2048" display="http://monica.zamudio-bbva.com/" xr:uid="{00000000-0004-0000-0E00-0000FF070000}"/>
    <hyperlink ref="I553" r:id="rId2049" display="http://alirio.bermudez-bbva.com/" xr:uid="{00000000-0004-0000-0E00-000000080000}"/>
    <hyperlink ref="J553" r:id="rId2050" display="http://marthapatric.cruz-bbva.com/" xr:uid="{00000000-0004-0000-0E00-000001080000}"/>
    <hyperlink ref="K553" r:id="rId2051" display="http://monica.zamudio-bbva.com/" xr:uid="{00000000-0004-0000-0E00-000002080000}"/>
    <hyperlink ref="I554" r:id="rId2052" display="http://alirio.bermudez-bbva.com/" xr:uid="{00000000-0004-0000-0E00-000003080000}"/>
    <hyperlink ref="J554" r:id="rId2053" display="http://marthapatric.cruz-bbva.com/" xr:uid="{00000000-0004-0000-0E00-000004080000}"/>
    <hyperlink ref="K554" r:id="rId2054" display="http://monica.zamudio-bbva.com/" xr:uid="{00000000-0004-0000-0E00-000005080000}"/>
    <hyperlink ref="I555" r:id="rId2055" display="http://alirio.bermudez-bbva.com/" xr:uid="{00000000-0004-0000-0E00-000006080000}"/>
    <hyperlink ref="J555" r:id="rId2056" display="http://marthapatric.cruz-bbva.com/" xr:uid="{00000000-0004-0000-0E00-000007080000}"/>
    <hyperlink ref="K555" r:id="rId2057" display="http://monica.zamudio-bbva.com/" xr:uid="{00000000-0004-0000-0E00-000008080000}"/>
    <hyperlink ref="I556" r:id="rId2058" display="http://alirio.bermudez-bbva.com/" xr:uid="{00000000-0004-0000-0E00-000009080000}"/>
    <hyperlink ref="J556" r:id="rId2059" display="http://marthapatric.cruz-bbva.com/" xr:uid="{00000000-0004-0000-0E00-00000A080000}"/>
    <hyperlink ref="K556" r:id="rId2060" display="http://monica.zamudio-bbva.com/" xr:uid="{00000000-0004-0000-0E00-00000B080000}"/>
    <hyperlink ref="I557" r:id="rId2061" display="http://alirio.bermudez-bbva.com/" xr:uid="{00000000-0004-0000-0E00-00000C080000}"/>
    <hyperlink ref="J557" r:id="rId2062" display="http://marthapatric.cruz-bbva.com/" xr:uid="{00000000-0004-0000-0E00-00000D080000}"/>
    <hyperlink ref="K557" r:id="rId2063" display="http://monica.zamudio-bbva.com/" xr:uid="{00000000-0004-0000-0E00-00000E080000}"/>
    <hyperlink ref="AK557" r:id="rId2064" display="https://globaldevtools.bbva.com/jira/browse/COLWSPREST-759" xr:uid="{00000000-0004-0000-0E00-00000F080000}"/>
    <hyperlink ref="I558" r:id="rId2065" display="http://alirio.bermudez-bbva.com/" xr:uid="{00000000-0004-0000-0E00-000010080000}"/>
    <hyperlink ref="J558" r:id="rId2066" display="http://marthapatric.cruz-bbva.com/" xr:uid="{00000000-0004-0000-0E00-000011080000}"/>
    <hyperlink ref="K558" r:id="rId2067" display="http://monica.zamudio-bbva.com/" xr:uid="{00000000-0004-0000-0E00-000012080000}"/>
    <hyperlink ref="I559" r:id="rId2068" display="http://alirio.bermudez-bbva.com/" xr:uid="{00000000-0004-0000-0E00-000013080000}"/>
    <hyperlink ref="J559" r:id="rId2069" display="http://marthapatric.cruz-bbva.com/" xr:uid="{00000000-0004-0000-0E00-000014080000}"/>
    <hyperlink ref="K559" r:id="rId2070" display="http://monica.zamudio-bbva.com/" xr:uid="{00000000-0004-0000-0E00-000015080000}"/>
    <hyperlink ref="I560" r:id="rId2071" display="http://alirio.bermudez-bbva.com/" xr:uid="{00000000-0004-0000-0E00-000016080000}"/>
    <hyperlink ref="J560" r:id="rId2072" display="http://marthapatric.cruz-bbva.com/" xr:uid="{00000000-0004-0000-0E00-000017080000}"/>
    <hyperlink ref="K560" r:id="rId2073" display="http://monica.zamudio-bbva.com/" xr:uid="{00000000-0004-0000-0E00-000018080000}"/>
    <hyperlink ref="I561" r:id="rId2074" display="http://alirio.bermudez-bbva.com/" xr:uid="{00000000-0004-0000-0E00-000019080000}"/>
    <hyperlink ref="J561" r:id="rId2075" display="http://marthapatric.cruz-bbva.com/" xr:uid="{00000000-0004-0000-0E00-00001A080000}"/>
    <hyperlink ref="K561" r:id="rId2076" display="http://monica.zamudio-bbva.com/" xr:uid="{00000000-0004-0000-0E00-00001B080000}"/>
    <hyperlink ref="I562" r:id="rId2077" display="http://alirio.bermudez-bbva.com/" xr:uid="{00000000-0004-0000-0E00-00001C080000}"/>
    <hyperlink ref="J562" r:id="rId2078" display="http://marthapatric.cruz-bbva.com/" xr:uid="{00000000-0004-0000-0E00-00001D080000}"/>
    <hyperlink ref="K562" r:id="rId2079" display="http://monica.zamudio-bbva.com/" xr:uid="{00000000-0004-0000-0E00-00001E080000}"/>
    <hyperlink ref="AK562" r:id="rId2080" display="https://globaldevtools.bbva.com/jira/browse/CCSS-7454" xr:uid="{00000000-0004-0000-0E00-00001F080000}"/>
    <hyperlink ref="I563" r:id="rId2081" display="http://alirio.bermudez-bbva.com/" xr:uid="{00000000-0004-0000-0E00-000020080000}"/>
    <hyperlink ref="J563" r:id="rId2082" display="http://hugo.mongua-bbva.com/" xr:uid="{00000000-0004-0000-0E00-000021080000}"/>
    <hyperlink ref="K563" r:id="rId2083" display="http://david.juvinao-bbva.com/" xr:uid="{00000000-0004-0000-0E00-000022080000}"/>
    <hyperlink ref="I564" r:id="rId2084" display="http://alirio.bermudez-bbva.com/" xr:uid="{00000000-0004-0000-0E00-000023080000}"/>
    <hyperlink ref="J564" r:id="rId2085" display="http://hugo.mongua-bbva.com/" xr:uid="{00000000-0004-0000-0E00-000024080000}"/>
    <hyperlink ref="K564" r:id="rId2086" display="http://david.juvinao-bbva.com/" xr:uid="{00000000-0004-0000-0E00-000025080000}"/>
    <hyperlink ref="AK564" r:id="rId2087" display="https://globaldevtools.bbva.com/jira/browse/COLWSCUENT-304" xr:uid="{00000000-0004-0000-0E00-000026080000}"/>
    <hyperlink ref="I565" r:id="rId2088" display="http://alirio.bermudez-bbva.com/" xr:uid="{00000000-0004-0000-0E00-000027080000}"/>
    <hyperlink ref="J565" r:id="rId2089" display="http://hugo.mongua-bbva.com/" xr:uid="{00000000-0004-0000-0E00-000028080000}"/>
    <hyperlink ref="K565" r:id="rId2090" display="http://david.juvinao-bbva.com/" xr:uid="{00000000-0004-0000-0E00-000029080000}"/>
    <hyperlink ref="AK565" r:id="rId2091" display="https://globaldevtools.bbva.com/jira/browse/COLWSCUENT-1225" xr:uid="{00000000-0004-0000-0E00-00002A080000}"/>
    <hyperlink ref="I566" r:id="rId2092" display="http://alirio.bermudez-bbva.com/" xr:uid="{00000000-0004-0000-0E00-00002B080000}"/>
    <hyperlink ref="J566" r:id="rId2093" display="http://hugo.mongua-bbva.com/" xr:uid="{00000000-0004-0000-0E00-00002C080000}"/>
    <hyperlink ref="K566" r:id="rId2094" display="http://david.juvinao-bbva.com/" xr:uid="{00000000-0004-0000-0E00-00002D080000}"/>
    <hyperlink ref="AK566" r:id="rId2095" display="https://globaldevtools.bbva.com/jira/browse/COLWSCUENT-1961" xr:uid="{00000000-0004-0000-0E00-00002E080000}"/>
    <hyperlink ref="I567" r:id="rId2096" display="http://alirio.bermudez-bbva.com/" xr:uid="{00000000-0004-0000-0E00-00002F080000}"/>
    <hyperlink ref="J567" r:id="rId2097" display="http://hugo.mongua-bbva.com/" xr:uid="{00000000-0004-0000-0E00-000030080000}"/>
    <hyperlink ref="K567" r:id="rId2098" display="http://david.juvinao-bbva.com/" xr:uid="{00000000-0004-0000-0E00-000031080000}"/>
    <hyperlink ref="AK567" r:id="rId2099" display="https://globaldevtools.bbva.com/jira/browse/COLWSCUENT-1824" xr:uid="{00000000-0004-0000-0E00-000032080000}"/>
    <hyperlink ref="I568" r:id="rId2100" display="http://alirio.bermudez-bbva.com/" xr:uid="{00000000-0004-0000-0E00-000033080000}"/>
    <hyperlink ref="J568" r:id="rId2101" display="http://hugo.mongua-bbva.com/" xr:uid="{00000000-0004-0000-0E00-000034080000}"/>
    <hyperlink ref="K568" r:id="rId2102" display="http://david.juvinao-bbva.com/" xr:uid="{00000000-0004-0000-0E00-000035080000}"/>
    <hyperlink ref="AK568" r:id="rId2103" display="https://globaldevtools.bbva.com/jira/browse/COLWSCUENT-1830" xr:uid="{00000000-0004-0000-0E00-000036080000}"/>
    <hyperlink ref="I569" r:id="rId2104" display="http://alirio.bermudez-bbva.com/" xr:uid="{00000000-0004-0000-0E00-000037080000}"/>
    <hyperlink ref="J569" r:id="rId2105" display="http://hugo.mongua-bbva.com/" xr:uid="{00000000-0004-0000-0E00-000038080000}"/>
    <hyperlink ref="K569" r:id="rId2106" display="http://david.juvinao-bbva.com/" xr:uid="{00000000-0004-0000-0E00-000039080000}"/>
    <hyperlink ref="AK569" r:id="rId2107" display="https://globaldevtools.bbva.com/jira/browse/COLWSCUENT-1833" xr:uid="{00000000-0004-0000-0E00-00003A080000}"/>
    <hyperlink ref="I570" r:id="rId2108" display="http://alirio.bermudez-bbva.com/" xr:uid="{00000000-0004-0000-0E00-00003B080000}"/>
    <hyperlink ref="J570" r:id="rId2109" display="http://hugo.mongua-bbva.com/" xr:uid="{00000000-0004-0000-0E00-00003C080000}"/>
    <hyperlink ref="K570" r:id="rId2110" display="http://david.juvinao-bbva.com/" xr:uid="{00000000-0004-0000-0E00-00003D080000}"/>
    <hyperlink ref="AK570" r:id="rId2111" display="https://globaldevtools.bbva.com/jira/browse/COLWSCUENT-2385" xr:uid="{00000000-0004-0000-0E00-00003E080000}"/>
    <hyperlink ref="I571" r:id="rId2112" display="http://alirio.bermudez-bbva.com/" xr:uid="{00000000-0004-0000-0E00-00003F080000}"/>
    <hyperlink ref="J571" r:id="rId2113" display="http://hugo.mongua-bbva.com/" xr:uid="{00000000-0004-0000-0E00-000040080000}"/>
    <hyperlink ref="K571" r:id="rId2114" display="http://david.juvinao-bbva.com/" xr:uid="{00000000-0004-0000-0E00-000041080000}"/>
    <hyperlink ref="AK571" r:id="rId2115" display="https://globaldevtools.bbva.com/jira/browse/COLWSCUENT-1828" xr:uid="{00000000-0004-0000-0E00-000042080000}"/>
    <hyperlink ref="I572" r:id="rId2116" display="http://alirio.bermudez-bbva.com/" xr:uid="{00000000-0004-0000-0E00-000043080000}"/>
    <hyperlink ref="J572" r:id="rId2117" display="http://hugo.mongua-bbva.com/" xr:uid="{00000000-0004-0000-0E00-000044080000}"/>
    <hyperlink ref="K572" r:id="rId2118" display="http://david.juvinao-bbva.com/" xr:uid="{00000000-0004-0000-0E00-000045080000}"/>
    <hyperlink ref="AK572" r:id="rId2119" display="https://globaldevtools.bbva.com/jira/browse/COLWSCUENT-1838" xr:uid="{00000000-0004-0000-0E00-000046080000}"/>
    <hyperlink ref="I573" r:id="rId2120" display="http://alirio.bermudez-bbva.com/" xr:uid="{00000000-0004-0000-0E00-000047080000}"/>
    <hyperlink ref="J573" r:id="rId2121" display="http://hugo.mongua-bbva.com/" xr:uid="{00000000-0004-0000-0E00-000048080000}"/>
    <hyperlink ref="K573" r:id="rId2122" display="http://david.juvinao-bbva.com/" xr:uid="{00000000-0004-0000-0E00-000049080000}"/>
    <hyperlink ref="AK573" r:id="rId2123" display="https://globaldevtools.bbva.com/jira/browse/COLWSCUENT-1835" xr:uid="{00000000-0004-0000-0E00-00004A080000}"/>
    <hyperlink ref="I574" r:id="rId2124" display="http://alirio.bermudez-bbva.com/" xr:uid="{00000000-0004-0000-0E00-00004B080000}"/>
    <hyperlink ref="J574" r:id="rId2125" display="http://hugo.mongua-bbva.com/" xr:uid="{00000000-0004-0000-0E00-00004C080000}"/>
    <hyperlink ref="K574" r:id="rId2126" display="http://david.juvinao-bbva.com/" xr:uid="{00000000-0004-0000-0E00-00004D080000}"/>
    <hyperlink ref="AK574" r:id="rId2127" display="https://globaldevtools.bbva.com/jira/browse/COLWSCUENT-1826" xr:uid="{00000000-0004-0000-0E00-00004E080000}"/>
    <hyperlink ref="I575" r:id="rId2128" display="http://alirio.bermudez-bbva.com/" xr:uid="{00000000-0004-0000-0E00-00004F080000}"/>
    <hyperlink ref="J575" r:id="rId2129" display="http://hugo.mongua-bbva.com/" xr:uid="{00000000-0004-0000-0E00-000050080000}"/>
    <hyperlink ref="K575" r:id="rId2130" display="http://david.juvinao-bbva.com/" xr:uid="{00000000-0004-0000-0E00-000051080000}"/>
    <hyperlink ref="I576" r:id="rId2131" display="http://alirio.bermudez-bbva.com/" xr:uid="{00000000-0004-0000-0E00-000052080000}"/>
    <hyperlink ref="J576" r:id="rId2132" display="http://hugo.mongua-bbva.com/" xr:uid="{00000000-0004-0000-0E00-000053080000}"/>
    <hyperlink ref="K576" r:id="rId2133" display="http://elizabeth.diaz-bbva.com/" xr:uid="{00000000-0004-0000-0E00-000054080000}"/>
    <hyperlink ref="AK576" r:id="rId2134" display="https://globaldevtools.bbva.com/jira/browse/COLWSCUENT-2398" xr:uid="{00000000-0004-0000-0E00-000055080000}"/>
    <hyperlink ref="I577" r:id="rId2135" display="http://alirio.bermudez-bbva.com/" xr:uid="{00000000-0004-0000-0E00-000056080000}"/>
    <hyperlink ref="J577" r:id="rId2136" display="http://hugo.mongua-bbva.com/" xr:uid="{00000000-0004-0000-0E00-000057080000}"/>
    <hyperlink ref="K577" r:id="rId2137" display="http://camilo.gutierrez-bbva.com/" xr:uid="{00000000-0004-0000-0E00-000058080000}"/>
    <hyperlink ref="AK577" r:id="rId2138" display="https://globaldevtools.bbva.com/jira/browse/COLWSCUENT-552" xr:uid="{00000000-0004-0000-0E00-000059080000}"/>
    <hyperlink ref="I578" r:id="rId2139" display="http://alirio.bermudez-bbva.com/" xr:uid="{00000000-0004-0000-0E00-00005A080000}"/>
    <hyperlink ref="J578" r:id="rId2140" display="http://hugo.mongua-bbva.com/" xr:uid="{00000000-0004-0000-0E00-00005B080000}"/>
    <hyperlink ref="K578" r:id="rId2141" display="http://monica.zamudio-bbva.com/" xr:uid="{00000000-0004-0000-0E00-00005C080000}"/>
    <hyperlink ref="AK578" r:id="rId2142" display="https://globaldevtools.bbva.com/jira/browse/COLWSCUENT-551" xr:uid="{00000000-0004-0000-0E00-00005D080000}"/>
    <hyperlink ref="I579" r:id="rId2143" display="http://alirio.bermudez-bbva.com/" xr:uid="{00000000-0004-0000-0E00-00005E080000}"/>
    <hyperlink ref="J579" r:id="rId2144" display="http://hugo.mongua-bbva.com/" xr:uid="{00000000-0004-0000-0E00-00005F080000}"/>
    <hyperlink ref="K579" r:id="rId2145" display="http://monica.zamudio-bbva.com/" xr:uid="{00000000-0004-0000-0E00-000060080000}"/>
    <hyperlink ref="AK579" r:id="rId2146" display="https://globaldevtools.bbva.com/jira/browse/COLWSCUENT-2159" xr:uid="{00000000-0004-0000-0E00-000061080000}"/>
    <hyperlink ref="I580" r:id="rId2147" display="http://alirio.bermudez-bbva.com/" xr:uid="{00000000-0004-0000-0E00-000062080000}"/>
    <hyperlink ref="J580" r:id="rId2148" display="http://hugo.mongua-bbva.com/" xr:uid="{00000000-0004-0000-0E00-000063080000}"/>
    <hyperlink ref="K580" r:id="rId2149" display="http://monica.zamudio-bbva.com/" xr:uid="{00000000-0004-0000-0E00-000064080000}"/>
    <hyperlink ref="AK580" r:id="rId2150" display="https://globaldevtools.bbva.com/jira/browse/COLWSCUENT-617" xr:uid="{00000000-0004-0000-0E00-000065080000}"/>
    <hyperlink ref="I581" r:id="rId2151" display="http://alirio.bermudez-bbva.com/" xr:uid="{00000000-0004-0000-0E00-000066080000}"/>
    <hyperlink ref="J581" r:id="rId2152" display="http://hugo.mongua-bbva.com/" xr:uid="{00000000-0004-0000-0E00-000067080000}"/>
    <hyperlink ref="K581" r:id="rId2153" display="http://paolaandrea.hermosa-bbva.com/" xr:uid="{00000000-0004-0000-0E00-000068080000}"/>
    <hyperlink ref="AK581" r:id="rId2154" display="https://globaldevtools.bbva.com/jira/browse/COLWSCUENT-1602" xr:uid="{00000000-0004-0000-0E00-000069080000}"/>
    <hyperlink ref="I582" r:id="rId2155" display="http://alirio.bermudez-bbva.com/" xr:uid="{00000000-0004-0000-0E00-00006A080000}"/>
    <hyperlink ref="J582" r:id="rId2156" display="http://hugo.mongua-bbva.com/" xr:uid="{00000000-0004-0000-0E00-00006B080000}"/>
    <hyperlink ref="K582" r:id="rId2157" display="http://jhon.molina-bbva.com/" xr:uid="{00000000-0004-0000-0E00-00006C080000}"/>
    <hyperlink ref="AK582" r:id="rId2158" display="https://globaldevtools.bbva.com/jira/browse/COLWSCUENT-2162" xr:uid="{00000000-0004-0000-0E00-00006D080000}"/>
    <hyperlink ref="I583" r:id="rId2159" display="http://alirio.bermudez-bbva.com/" xr:uid="{00000000-0004-0000-0E00-00006E080000}"/>
    <hyperlink ref="J583" r:id="rId2160" display="http://hugo.mongua-bbva.com/" xr:uid="{00000000-0004-0000-0E00-00006F080000}"/>
    <hyperlink ref="K583" r:id="rId2161" display="http://paolaandrea.hermosa-bbva.com/" xr:uid="{00000000-0004-0000-0E00-000070080000}"/>
    <hyperlink ref="AK583" r:id="rId2162" display="https://globaldevtools.bbva.com/jira/browse/COLWSCUENT-2889" xr:uid="{00000000-0004-0000-0E00-000071080000}"/>
    <hyperlink ref="I584" r:id="rId2163" display="http://katherine.michaels-bbva.com/" xr:uid="{00000000-0004-0000-0E00-000072080000}"/>
    <hyperlink ref="J584" r:id="rId2164" display="http://dianacarolina.gonzalez.castri-bbva.com/" xr:uid="{00000000-0004-0000-0E00-000073080000}"/>
    <hyperlink ref="K584" r:id="rId2165" display="http://sandracarolina.miranda-bbva.com/" xr:uid="{00000000-0004-0000-0E00-000074080000}"/>
    <hyperlink ref="AK584" r:id="rId2166" display="https://globaldevtools.bbva.com/jira/browse/CIS-328" xr:uid="{00000000-0004-0000-0E00-000075080000}"/>
    <hyperlink ref="I585" r:id="rId2167" display="http://katherine.michaels-bbva.com/" xr:uid="{00000000-0004-0000-0E00-000076080000}"/>
    <hyperlink ref="J585" r:id="rId2168" display="http://dianacarolina.gonzalez.castri-bbva.com/" xr:uid="{00000000-0004-0000-0E00-000077080000}"/>
    <hyperlink ref="K585" r:id="rId2169" display="http://sandracarolina.miranda-bbva.com/" xr:uid="{00000000-0004-0000-0E00-000078080000}"/>
    <hyperlink ref="AK585" r:id="rId2170" display="https://globaldevtools.bbva.com/jira/browse/CIS-333" xr:uid="{00000000-0004-0000-0E00-000079080000}"/>
    <hyperlink ref="I586" r:id="rId2171" display="http://katherine.michaels-bbva.com/" xr:uid="{00000000-0004-0000-0E00-00007A080000}"/>
    <hyperlink ref="J586" r:id="rId2172" display="http://dianacarolina.gonzalez.castri-bbva.com/" xr:uid="{00000000-0004-0000-0E00-00007B080000}"/>
    <hyperlink ref="K586" r:id="rId2173" display="http://sandracarolina.miranda-bbva.com/" xr:uid="{00000000-0004-0000-0E00-00007C080000}"/>
    <hyperlink ref="AK586" r:id="rId2174" display="https://globaldevtools.bbva.com/jira/browse/CIS-293" xr:uid="{00000000-0004-0000-0E00-00007D080000}"/>
    <hyperlink ref="I587" r:id="rId2175" display="http://katherine.michaels-bbva.com/" xr:uid="{00000000-0004-0000-0E00-00007E080000}"/>
    <hyperlink ref="J587" r:id="rId2176" display="http://dianacarolina.gonzalez.castri-bbva.com/" xr:uid="{00000000-0004-0000-0E00-00007F080000}"/>
    <hyperlink ref="K587" r:id="rId2177" display="http://sandracarolina.miranda-bbva.com/" xr:uid="{00000000-0004-0000-0E00-000080080000}"/>
    <hyperlink ref="AK587" r:id="rId2178" display="https://globaldevtools.bbva.com/jira/browse/COLWSSEGUR-52" xr:uid="{00000000-0004-0000-0E00-000081080000}"/>
    <hyperlink ref="I588" r:id="rId2179" display="http://katherine.michaels-bbva.com/" xr:uid="{00000000-0004-0000-0E00-000082080000}"/>
    <hyperlink ref="J588" r:id="rId2180" display="http://dianacarolina.gonzalez.castri-bbva.com/" xr:uid="{00000000-0004-0000-0E00-000083080000}"/>
    <hyperlink ref="K588" r:id="rId2181" display="http://sandracarolina.miranda-bbva.com/" xr:uid="{00000000-0004-0000-0E00-000084080000}"/>
    <hyperlink ref="AK588" r:id="rId2182" display="https://globaldevtools.bbva.com/jira/browse/COLWSSEGUR-1752" xr:uid="{00000000-0004-0000-0E00-000085080000}"/>
    <hyperlink ref="I589" r:id="rId2183" display="http://katherine.michaels-bbva.com/" xr:uid="{00000000-0004-0000-0E00-000086080000}"/>
    <hyperlink ref="J589" r:id="rId2184" display="http://mariajuliana.rodriguez-bbva.com/" xr:uid="{00000000-0004-0000-0E00-000087080000}"/>
    <hyperlink ref="K589" r:id="rId2185" display="http://katherine.michaels-bbva.com/" xr:uid="{00000000-0004-0000-0E00-000088080000}"/>
    <hyperlink ref="AK589" r:id="rId2186" display="https://globaldevtools.bbva.com/jira/browse/COLWSSEGUR-78" xr:uid="{00000000-0004-0000-0E00-000089080000}"/>
    <hyperlink ref="I590" r:id="rId2187" display="http://katherine.michaels-bbva.com/" xr:uid="{00000000-0004-0000-0E00-00008A080000}"/>
    <hyperlink ref="J590" r:id="rId2188" display="http://mariajuliana.rodriguez-bbva.com/" xr:uid="{00000000-0004-0000-0E00-00008B080000}"/>
    <hyperlink ref="K590" r:id="rId2189" display="http://katherine.michaels-bbva.com/" xr:uid="{00000000-0004-0000-0E00-00008C080000}"/>
    <hyperlink ref="I591" r:id="rId2190" display="http://katherine.michaels-bbva.com/" xr:uid="{00000000-0004-0000-0E00-00008D080000}"/>
    <hyperlink ref="J591" r:id="rId2191" display="http://mariajuliana.rodriguez-bbva.com/" xr:uid="{00000000-0004-0000-0E00-00008E080000}"/>
    <hyperlink ref="K591" r:id="rId2192" display="http://katherine.michaels-bbva.com/" xr:uid="{00000000-0004-0000-0E00-00008F080000}"/>
    <hyperlink ref="AK591" r:id="rId2193" display="https://globaldevtools.bbva.com/jira/browse/COLWSSEGUR-72" xr:uid="{00000000-0004-0000-0E00-000090080000}"/>
    <hyperlink ref="I592" r:id="rId2194" display="http://katherine.michaels-bbva.com/" xr:uid="{00000000-0004-0000-0E00-000091080000}"/>
    <hyperlink ref="J592" r:id="rId2195" display="http://mariajuliana.rodriguez-bbva.com/" xr:uid="{00000000-0004-0000-0E00-000092080000}"/>
    <hyperlink ref="K592" r:id="rId2196" display="http://katherine.michaels-bbva.com/" xr:uid="{00000000-0004-0000-0E00-000093080000}"/>
    <hyperlink ref="AK592" r:id="rId2197" display="https://globaldevtools.bbva.com/jira/browse/COLWSSEGUR-67" xr:uid="{00000000-0004-0000-0E00-000094080000}"/>
    <hyperlink ref="I593" r:id="rId2198" display="http://katherine.michaels-bbva.com/" xr:uid="{00000000-0004-0000-0E00-000095080000}"/>
    <hyperlink ref="J593" r:id="rId2199" display="http://mariajuliana.rodriguez-bbva.com/" xr:uid="{00000000-0004-0000-0E00-000096080000}"/>
    <hyperlink ref="K593" r:id="rId2200" display="http://sandracarolina.miranda-bbva.com/" xr:uid="{00000000-0004-0000-0E00-000097080000}"/>
    <hyperlink ref="AK593" r:id="rId2201" display="https://globaldevtools.bbva.com/jira/browse/COLWSSEGUR-25" xr:uid="{00000000-0004-0000-0E00-000098080000}"/>
    <hyperlink ref="I594" r:id="rId2202" display="http://katherine.michaels-bbva.com/" xr:uid="{00000000-0004-0000-0E00-000099080000}"/>
    <hyperlink ref="J594" r:id="rId2203" display="http://mariajuliana.rodriguez-bbva.com/" xr:uid="{00000000-0004-0000-0E00-00009A080000}"/>
    <hyperlink ref="K594" r:id="rId2204" display="http://sandracarolina.miranda-bbva.com/" xr:uid="{00000000-0004-0000-0E00-00009B080000}"/>
    <hyperlink ref="AK594" r:id="rId2205" display="https://globaldevtools.bbva.com/jira/browse/COLWSSEGUR-124" xr:uid="{00000000-0004-0000-0E00-00009C080000}"/>
    <hyperlink ref="I595" r:id="rId2206" display="http://katherine.michaels-bbva.com/" xr:uid="{00000000-0004-0000-0E00-00009D080000}"/>
    <hyperlink ref="J595" r:id="rId2207" display="http://mariajuliana.rodriguez-bbva.com/" xr:uid="{00000000-0004-0000-0E00-00009E080000}"/>
    <hyperlink ref="K595" r:id="rId2208" display="http://sandracarolina.miranda-bbva.com/" xr:uid="{00000000-0004-0000-0E00-00009F080000}"/>
    <hyperlink ref="AK595" r:id="rId2209" display="https://globaldevtools.bbva.com/jira/browse/COLWSSEGUR-88" xr:uid="{00000000-0004-0000-0E00-0000A0080000}"/>
    <hyperlink ref="I596" r:id="rId2210" display="http://katherine.michaels-bbva.com/" xr:uid="{00000000-0004-0000-0E00-0000A1080000}"/>
    <hyperlink ref="J596" r:id="rId2211" display="http://mariajuliana.rodriguez-bbva.com/" xr:uid="{00000000-0004-0000-0E00-0000A2080000}"/>
    <hyperlink ref="K596" r:id="rId2212" display="http://felipe.guzman-bbva.com/" xr:uid="{00000000-0004-0000-0E00-0000A3080000}"/>
    <hyperlink ref="I597" r:id="rId2213" display="http://katherine.michaels-bbva.com/" xr:uid="{00000000-0004-0000-0E00-0000A4080000}"/>
    <hyperlink ref="J597" r:id="rId2214" display="http://mariajuliana.rodriguez-bbva.com/" xr:uid="{00000000-0004-0000-0E00-0000A5080000}"/>
    <hyperlink ref="K597" r:id="rId2215" display="http://felipe.guzman-bbva.com/" xr:uid="{00000000-0004-0000-0E00-0000A6080000}"/>
    <hyperlink ref="I598" r:id="rId2216" display="http://katherine.michaels-bbva.com/" xr:uid="{00000000-0004-0000-0E00-0000A7080000}"/>
    <hyperlink ref="J598" r:id="rId2217" display="http://mariajuliana.rodriguez-bbva.com/" xr:uid="{00000000-0004-0000-0E00-0000A8080000}"/>
    <hyperlink ref="K598" r:id="rId2218" display="http://felipe.guzman-bbva.com/" xr:uid="{00000000-0004-0000-0E00-0000A9080000}"/>
    <hyperlink ref="I599" r:id="rId2219" display="http://katherine.michaels-bbva.com/" xr:uid="{00000000-0004-0000-0E00-0000AA080000}"/>
    <hyperlink ref="J599" r:id="rId2220" display="http://mariajuliana.rodriguez-bbva.com/" xr:uid="{00000000-0004-0000-0E00-0000AB080000}"/>
    <hyperlink ref="K599" r:id="rId2221" display="http://felipe.guzman-bbva.com/" xr:uid="{00000000-0004-0000-0E00-0000AC080000}"/>
    <hyperlink ref="AK599" r:id="rId2222" display="https://globaldevtools.bbva.com/jira/browse/COLWSSEGUR-58" xr:uid="{00000000-0004-0000-0E00-0000AD080000}"/>
    <hyperlink ref="I600" r:id="rId2223" display="http://katherine.michaels-bbva.com/" xr:uid="{00000000-0004-0000-0E00-0000AE080000}"/>
    <hyperlink ref="J600" r:id="rId2224" display="http://mariajuliana.rodriguez-bbva.com/" xr:uid="{00000000-0004-0000-0E00-0000AF080000}"/>
    <hyperlink ref="K600" r:id="rId2225" display="http://felipe.guzman-bbva.com/" xr:uid="{00000000-0004-0000-0E00-0000B0080000}"/>
    <hyperlink ref="AK600" r:id="rId2226" display="https://globaldevtools.bbva.com/jira/browse/COLWSSEGUR-57" xr:uid="{00000000-0004-0000-0E00-0000B1080000}"/>
    <hyperlink ref="I601" r:id="rId2227" display="http://katherine.michaels-bbva.com/" xr:uid="{00000000-0004-0000-0E00-0000B2080000}"/>
    <hyperlink ref="J601" r:id="rId2228" display="http://mariajuliana.rodriguez-bbva.com/" xr:uid="{00000000-0004-0000-0E00-0000B3080000}"/>
    <hyperlink ref="K601" r:id="rId2229" display="http://felipe.guzman-bbva.com/" xr:uid="{00000000-0004-0000-0E00-0000B4080000}"/>
    <hyperlink ref="AK601" r:id="rId2230" display="https://globaldevtools.bbva.com/jira/browse/COLWSSEGUR-59" xr:uid="{00000000-0004-0000-0E00-0000B5080000}"/>
    <hyperlink ref="I602" r:id="rId2231" display="http://katherine.michaels-bbva.com/" xr:uid="{00000000-0004-0000-0E00-0000B6080000}"/>
    <hyperlink ref="J602" r:id="rId2232" display="http://mariajuliana.rodriguez-bbva.com/" xr:uid="{00000000-0004-0000-0E00-0000B7080000}"/>
    <hyperlink ref="K602" r:id="rId2233" display="http://felipe.guzman-bbva.com/" xr:uid="{00000000-0004-0000-0E00-0000B8080000}"/>
    <hyperlink ref="I603" r:id="rId2234" display="http://katherine.michaels-bbva.com/" xr:uid="{00000000-0004-0000-0E00-0000B9080000}"/>
    <hyperlink ref="J603" r:id="rId2235" display="http://mariajuliana.rodriguez-bbva.com/" xr:uid="{00000000-0004-0000-0E00-0000BA080000}"/>
    <hyperlink ref="K603" r:id="rId2236" display="http://felipe.guzman-bbva.com/" xr:uid="{00000000-0004-0000-0E00-0000BB080000}"/>
    <hyperlink ref="AK603" r:id="rId2237" display="https://globaldevtools.bbva.com/jira/browse/COLWSSEGUR-268" xr:uid="{00000000-0004-0000-0E00-0000BC080000}"/>
    <hyperlink ref="I604" r:id="rId2238" display="http://katherine.michaels-bbva.com/" xr:uid="{00000000-0004-0000-0E00-0000BD080000}"/>
    <hyperlink ref="J604" r:id="rId2239" display="http://paola.trivino-bbva.com/" xr:uid="{00000000-0004-0000-0E00-0000BE080000}"/>
    <hyperlink ref="K604" r:id="rId2240" display="http://felipe.guzman-bbva.com/" xr:uid="{00000000-0004-0000-0E00-0000BF080000}"/>
    <hyperlink ref="I605" r:id="rId2241" display="http://katherine.michaels-bbva.com/" xr:uid="{00000000-0004-0000-0E00-0000C0080000}"/>
    <hyperlink ref="J605" r:id="rId2242" display="http://paola.trivino-bbva.com/" xr:uid="{00000000-0004-0000-0E00-0000C1080000}"/>
    <hyperlink ref="K605" r:id="rId2243" display="http://felipe.guzman-bbva.com/" xr:uid="{00000000-0004-0000-0E00-0000C2080000}"/>
    <hyperlink ref="AK605" r:id="rId2244" display="https://globaldevtools.bbva.com/jira/browse/COLWSSEGUR-62" xr:uid="{00000000-0004-0000-0E00-0000C3080000}"/>
    <hyperlink ref="I606" r:id="rId2245" display="http://katherine.michaels-bbva.com/" xr:uid="{00000000-0004-0000-0E00-0000C4080000}"/>
    <hyperlink ref="J606" r:id="rId2246" display="http://paola.trivino-bbva.com/" xr:uid="{00000000-0004-0000-0E00-0000C5080000}"/>
    <hyperlink ref="K606" r:id="rId2247" display="http://felipe.guzman-bbva.com/" xr:uid="{00000000-0004-0000-0E00-0000C6080000}"/>
    <hyperlink ref="AK606" r:id="rId2248" display="https://globaldevtools.bbva.com/jira/browse/COLWSSEGUR-64" xr:uid="{00000000-0004-0000-0E00-0000C7080000}"/>
    <hyperlink ref="I607" r:id="rId2249" display="http://katherine.michaels-bbva.com/" xr:uid="{00000000-0004-0000-0E00-0000C8080000}"/>
    <hyperlink ref="J607" r:id="rId2250" display="http://paola.trivino-bbva.com/" xr:uid="{00000000-0004-0000-0E00-0000C9080000}"/>
    <hyperlink ref="K607" r:id="rId2251" display="http://felipe.guzman-bbva.com/" xr:uid="{00000000-0004-0000-0E00-0000CA080000}"/>
    <hyperlink ref="AK607" r:id="rId2252" display="https://globaldevtools.bbva.com/jira/browse/COLWSSEGUR-65" xr:uid="{00000000-0004-0000-0E00-0000CB080000}"/>
    <hyperlink ref="I608" r:id="rId2253" display="http://katherine.michaels-bbva.com/" xr:uid="{00000000-0004-0000-0E00-0000CC080000}"/>
    <hyperlink ref="J608" r:id="rId2254" display="http://paola.trivino-bbva.com/" xr:uid="{00000000-0004-0000-0E00-0000CD080000}"/>
    <hyperlink ref="K608" r:id="rId2255" display="http://felipe.guzman-bbva.com/" xr:uid="{00000000-0004-0000-0E00-0000CE080000}"/>
    <hyperlink ref="AK608" r:id="rId2256" display="https://globaldevtools.bbva.com/jira/browse/COLWSSEGUR-1" xr:uid="{00000000-0004-0000-0E00-0000CF080000}"/>
    <hyperlink ref="I609" r:id="rId2257" display="http://katherine.michaels-bbva.com/" xr:uid="{00000000-0004-0000-0E00-0000D0080000}"/>
    <hyperlink ref="J609" r:id="rId2258" display="http://paola.trivino-bbva.com/" xr:uid="{00000000-0004-0000-0E00-0000D1080000}"/>
    <hyperlink ref="K609" r:id="rId2259" display="http://felipe.guzman-bbva.com/" xr:uid="{00000000-0004-0000-0E00-0000D2080000}"/>
    <hyperlink ref="AK609" r:id="rId2260" display="https://globaldevtools.bbva.com/jira/browse/CIS-363" xr:uid="{00000000-0004-0000-0E00-0000D3080000}"/>
    <hyperlink ref="I610" r:id="rId2261" display="http://katherine.michaels-bbva.com/" xr:uid="{00000000-0004-0000-0E00-0000D4080000}"/>
    <hyperlink ref="J610" r:id="rId2262" display="http://paola.trivino-bbva.com/" xr:uid="{00000000-0004-0000-0E00-0000D5080000}"/>
    <hyperlink ref="K610" r:id="rId2263" display="http://felipe.guzman-bbva.com/" xr:uid="{00000000-0004-0000-0E00-0000D6080000}"/>
    <hyperlink ref="AK610" r:id="rId2264" display="https://globaldevtools.bbva.com/jira/browse/COLWSSEGUR-3" xr:uid="{00000000-0004-0000-0E00-0000D7080000}"/>
    <hyperlink ref="I611" r:id="rId2265" display="http://katherine.michaels-bbva.com/" xr:uid="{00000000-0004-0000-0E00-0000D8080000}"/>
    <hyperlink ref="J611" r:id="rId2266" display="http://paola.trivino-bbva.com/" xr:uid="{00000000-0004-0000-0E00-0000D9080000}"/>
    <hyperlink ref="K611" r:id="rId2267" display="http://felipe.guzman-bbva.com/" xr:uid="{00000000-0004-0000-0E00-0000DA080000}"/>
    <hyperlink ref="AK611" r:id="rId2268" display="https://globaldevtools.bbva.com/jira/browse/COLWSSEGUR-313" xr:uid="{00000000-0004-0000-0E00-0000DB080000}"/>
    <hyperlink ref="I612" r:id="rId2269" display="http://katherine.michaels-bbva.com/" xr:uid="{00000000-0004-0000-0E00-0000DC080000}"/>
    <hyperlink ref="J612" r:id="rId2270" display="http://paola.trivino-bbva.com/" xr:uid="{00000000-0004-0000-0E00-0000DD080000}"/>
    <hyperlink ref="K612" r:id="rId2271" display="http://felipe.guzman-bbva.com/" xr:uid="{00000000-0004-0000-0E00-0000DE080000}"/>
    <hyperlink ref="AK612" r:id="rId2272" display="https://globaldevtools.bbva.com/jira/browse/COLWSSEGUR-1756" xr:uid="{00000000-0004-0000-0E00-0000DF080000}"/>
    <hyperlink ref="I613" r:id="rId2273" display="http://katherine.michaels-bbva.com/" xr:uid="{00000000-0004-0000-0E00-0000E0080000}"/>
    <hyperlink ref="J613" r:id="rId2274" display="http://paola.trivino-bbva.com/" xr:uid="{00000000-0004-0000-0E00-0000E1080000}"/>
    <hyperlink ref="K613" r:id="rId2275" display="http://felipe.guzman-bbva.com/" xr:uid="{00000000-0004-0000-0E00-0000E2080000}"/>
    <hyperlink ref="AK613" r:id="rId2276" display="https://globaldevtools.bbva.com/jira/browse/COLWSSEGUR-1755" xr:uid="{00000000-0004-0000-0E00-0000E3080000}"/>
    <hyperlink ref="I614" r:id="rId2277" display="http://katherine.michaels-bbva.com/" xr:uid="{00000000-0004-0000-0E00-0000E4080000}"/>
    <hyperlink ref="J614" r:id="rId2278" display="http://mariajuliana.rodriguez-bbva.com/" xr:uid="{00000000-0004-0000-0E00-0000E5080000}"/>
    <hyperlink ref="K614" r:id="rId2279" display="http://sandracarolina.miranda-bbva.com/" xr:uid="{00000000-0004-0000-0E00-0000E6080000}"/>
    <hyperlink ref="AK614" r:id="rId2280" display="https://globaldevtools.bbva.com/jira/browse/COLWSSEGUR-7" xr:uid="{00000000-0004-0000-0E00-0000E7080000}"/>
    <hyperlink ref="I615" r:id="rId2281" display="http://katherine.michaels-bbva.com/" xr:uid="{00000000-0004-0000-0E00-0000E8080000}"/>
    <hyperlink ref="J615" r:id="rId2282" display="http://mariajuliana.rodriguez-bbva.com/" xr:uid="{00000000-0004-0000-0E00-0000E9080000}"/>
    <hyperlink ref="K615" r:id="rId2283" display="http://sandracarolina.miranda-bbva.com/" xr:uid="{00000000-0004-0000-0E00-0000EA080000}"/>
    <hyperlink ref="AK615" r:id="rId2284" display="https://globaldevtools.bbva.com/jira/browse/COLWSSEGUR-196" xr:uid="{00000000-0004-0000-0E00-0000EB080000}"/>
    <hyperlink ref="I616" r:id="rId2285" display="http://katherine.michaels-bbva.com/" xr:uid="{00000000-0004-0000-0E00-0000EC080000}"/>
    <hyperlink ref="J616" r:id="rId2286" display="http://mariajuliana.rodriguez-bbva.com/" xr:uid="{00000000-0004-0000-0E00-0000ED080000}"/>
    <hyperlink ref="K616" r:id="rId2287" display="http://felipe.guzman-bbva.com/" xr:uid="{00000000-0004-0000-0E00-0000EE080000}"/>
    <hyperlink ref="AK616" r:id="rId2288" display="https://globaldevtools.bbva.com/jira/browse/COLWSSEGUR-9" xr:uid="{00000000-0004-0000-0E00-0000EF080000}"/>
    <hyperlink ref="I617" r:id="rId2289" display="http://katherine.michaels-bbva.com/" xr:uid="{00000000-0004-0000-0E00-0000F0080000}"/>
    <hyperlink ref="J617" r:id="rId2290" display="http://mariajuliana.rodriguez-bbva.com/" xr:uid="{00000000-0004-0000-0E00-0000F1080000}"/>
    <hyperlink ref="K617" r:id="rId2291" display="http://felipe.guzman-bbva.com/" xr:uid="{00000000-0004-0000-0E00-0000F2080000}"/>
    <hyperlink ref="AK617" r:id="rId2292" display="https://globaldevtools.bbva.com/jira/browse/COLWSSEGUR-50" xr:uid="{00000000-0004-0000-0E00-0000F3080000}"/>
    <hyperlink ref="I618" r:id="rId2293" display="http://katherine.michaels-bbva.com/" xr:uid="{00000000-0004-0000-0E00-0000F4080000}"/>
    <hyperlink ref="J618" r:id="rId2294" display="http://mariajuliana.rodriguez-bbva.com/" xr:uid="{00000000-0004-0000-0E00-0000F5080000}"/>
    <hyperlink ref="K618" r:id="rId2295" display="http://felipe.guzman-bbva.com/" xr:uid="{00000000-0004-0000-0E00-0000F6080000}"/>
    <hyperlink ref="AK618" r:id="rId2296" display="https://globaldevtools.bbva.com/jira/browse/COLWSSEGUR-31" xr:uid="{00000000-0004-0000-0E00-0000F7080000}"/>
    <hyperlink ref="I619" r:id="rId2297" display="http://katherine.michaels-bbva.com/" xr:uid="{00000000-0004-0000-0E00-0000F8080000}"/>
    <hyperlink ref="J619" r:id="rId2298" display="http://mariajuliana.rodriguez-bbva.com/" xr:uid="{00000000-0004-0000-0E00-0000F9080000}"/>
    <hyperlink ref="K619" r:id="rId2299" display="http://sandracarolina.miranda-bbva.com/" xr:uid="{00000000-0004-0000-0E00-0000FA080000}"/>
    <hyperlink ref="AK619" r:id="rId2300" display="https://globaldevtools.bbva.com/jira/browse/COLWSSEGUR-37" xr:uid="{00000000-0004-0000-0E00-0000FB080000}"/>
    <hyperlink ref="I620" r:id="rId2301" display="http://katherine.michaels-bbva.com/" xr:uid="{00000000-0004-0000-0E00-0000FC080000}"/>
    <hyperlink ref="J620" r:id="rId2302" display="http://dianacarolina.gonzalez.castri-bbva.com/" xr:uid="{00000000-0004-0000-0E00-0000FD080000}"/>
    <hyperlink ref="K620" r:id="rId2303" display="http://felipe.guzman-bbva.com/" xr:uid="{00000000-0004-0000-0E00-0000FE080000}"/>
    <hyperlink ref="AK620" r:id="rId2304" display="https://globaldevtools.bbva.com/jira/browse/COLWSSEGUR-146" xr:uid="{00000000-0004-0000-0E00-0000FF080000}"/>
    <hyperlink ref="I621" r:id="rId2305" display="http://katherine.michaels-bbva.com/" xr:uid="{00000000-0004-0000-0E00-000000090000}"/>
    <hyperlink ref="J621" r:id="rId2306" display="http://felipe.guzman-bbva.com/" xr:uid="{00000000-0004-0000-0E00-000001090000}"/>
    <hyperlink ref="K621" r:id="rId2307" display="http://josedaniel.sanabria-bbva.com/" xr:uid="{00000000-0004-0000-0E00-000002090000}"/>
    <hyperlink ref="AK621" r:id="rId2308" display="https://globaldevtools.bbva.com/jira/browse/COLWSSEGUR-179" xr:uid="{00000000-0004-0000-0E00-000003090000}"/>
    <hyperlink ref="I622" r:id="rId2309" display="http://katherine.michaels-bbva.com/" xr:uid="{00000000-0004-0000-0E00-000004090000}"/>
    <hyperlink ref="J622" r:id="rId2310" display="http://mariajuliana.rodriguez-bbva.com/" xr:uid="{00000000-0004-0000-0E00-000005090000}"/>
    <hyperlink ref="K622" r:id="rId2311" display="http://felipe.guzman-bbva.com/" xr:uid="{00000000-0004-0000-0E00-000006090000}"/>
    <hyperlink ref="I623" r:id="rId2312" display="http://katherine.michaels-bbva.com/" xr:uid="{00000000-0004-0000-0E00-000007090000}"/>
    <hyperlink ref="J623" r:id="rId2313" display="http://mariajuliana.rodriguez-bbva.com/" xr:uid="{00000000-0004-0000-0E00-000008090000}"/>
    <hyperlink ref="K623" r:id="rId2314" display="http://felipe.guzman-bbva.com/" xr:uid="{00000000-0004-0000-0E00-000009090000}"/>
    <hyperlink ref="AK623" r:id="rId2315" display="https://globaldevtools.bbva.com/jira/browse/COLWSSEGUR-1190" xr:uid="{00000000-0004-0000-0E00-00000A090000}"/>
    <hyperlink ref="I624" r:id="rId2316" display="http://katherine.michaels-bbva.com/" xr:uid="{00000000-0004-0000-0E00-00000B090000}"/>
    <hyperlink ref="J624" r:id="rId2317" display="http://mariajuliana.rodriguez-bbva.com/" xr:uid="{00000000-0004-0000-0E00-00000C090000}"/>
    <hyperlink ref="K624" r:id="rId2318" display="http://felipe.guzman-bbva.com/" xr:uid="{00000000-0004-0000-0E00-00000D090000}"/>
    <hyperlink ref="AK624" r:id="rId2319" display="https://globaldevtools.bbva.com/jira/browse/COLWSSEGUR-571" xr:uid="{00000000-0004-0000-0E00-00000E090000}"/>
    <hyperlink ref="I625" r:id="rId2320" display="http://katherine.michaels-bbva.com/" xr:uid="{00000000-0004-0000-0E00-00000F090000}"/>
    <hyperlink ref="J625" r:id="rId2321" display="http://mariajuliana.rodriguez-bbva.com/" xr:uid="{00000000-0004-0000-0E00-000010090000}"/>
    <hyperlink ref="K625" r:id="rId2322" display="http://felipe.guzman-bbva.com/" xr:uid="{00000000-0004-0000-0E00-000011090000}"/>
    <hyperlink ref="AK625" r:id="rId2323" display="https://globaldevtools.bbva.com/jira/browse/COLWSSEGUR-1204" xr:uid="{00000000-0004-0000-0E00-000012090000}"/>
    <hyperlink ref="I626" r:id="rId2324" display="http://katherine.michaels-bbva.com/" xr:uid="{00000000-0004-0000-0E00-000013090000}"/>
    <hyperlink ref="J626" r:id="rId2325" display="http://dianacarolina.gonzalez.castri-bbva.com/" xr:uid="{00000000-0004-0000-0E00-000014090000}"/>
    <hyperlink ref="K626" r:id="rId2326" display="http://felipe.guzman-bbva.com/" xr:uid="{00000000-0004-0000-0E00-000015090000}"/>
    <hyperlink ref="AK626" r:id="rId2327" display="https://globaldevtools.bbva.com/jira/browse/COLWSSEGUR-206" xr:uid="{00000000-0004-0000-0E00-000016090000}"/>
    <hyperlink ref="I627" r:id="rId2328" display="http://katherine.michaels-bbva.com/" xr:uid="{00000000-0004-0000-0E00-000017090000}"/>
    <hyperlink ref="J627" r:id="rId2329" display="http://dianacarolina.gonzalez.castri-bbva.com/" xr:uid="{00000000-0004-0000-0E00-000018090000}"/>
    <hyperlink ref="K627" r:id="rId2330" display="http://felipe.guzman-bbva.com/" xr:uid="{00000000-0004-0000-0E00-000019090000}"/>
    <hyperlink ref="AK627" r:id="rId2331" display="https://globaldevtools.bbva.com/jira/browse/COLWSSEGUR-87" xr:uid="{00000000-0004-0000-0E00-00001A090000}"/>
    <hyperlink ref="I628" r:id="rId2332" display="http://katherine.michaels-bbva.com/" xr:uid="{00000000-0004-0000-0E00-00001B090000}"/>
    <hyperlink ref="J628" r:id="rId2333" display="http://mariajuliana.rodriguez-bbva.com/" xr:uid="{00000000-0004-0000-0E00-00001C090000}"/>
    <hyperlink ref="K628" r:id="rId2334" display="http://felipe.guzman-bbva.com/" xr:uid="{00000000-0004-0000-0E00-00001D090000}"/>
    <hyperlink ref="AK628" r:id="rId2335" display="https://globaldevtools.bbva.com/jira/browse/COLWSSEGUR-116" xr:uid="{00000000-0004-0000-0E00-00001E090000}"/>
    <hyperlink ref="I629" r:id="rId2336" display="http://katherine.michaels-bbva.com/" xr:uid="{00000000-0004-0000-0E00-00001F090000}"/>
    <hyperlink ref="J629" r:id="rId2337" display="http://dianacarolina.gonzalez.castri-bbva.com/" xr:uid="{00000000-0004-0000-0E00-000020090000}"/>
    <hyperlink ref="K629" r:id="rId2338" display="http://paulocesar.sastoque-bbva.com/" xr:uid="{00000000-0004-0000-0E00-000021090000}"/>
    <hyperlink ref="I630" r:id="rId2339" display="http://katherine.michaels-bbva.com/" xr:uid="{00000000-0004-0000-0E00-000022090000}"/>
    <hyperlink ref="J630" r:id="rId2340" display="http://dianacarolina.gonzalez.castri-bbva.com/" xr:uid="{00000000-0004-0000-0E00-000023090000}"/>
    <hyperlink ref="K630" r:id="rId2341" display="http://felipe.guzman-bbva.com/" xr:uid="{00000000-0004-0000-0E00-000024090000}"/>
    <hyperlink ref="AK630" r:id="rId2342" display="https://globaldevtools.bbva.com/jira/browse/COLWSSEGUR-220" xr:uid="{00000000-0004-0000-0E00-000025090000}"/>
    <hyperlink ref="I631" r:id="rId2343" display="http://katherine.michaels-bbva.com/" xr:uid="{00000000-0004-0000-0E00-000026090000}"/>
    <hyperlink ref="J631" r:id="rId2344" display="http://dianacarolina.gonzalez.castri-bbva.com/" xr:uid="{00000000-0004-0000-0E00-000027090000}"/>
    <hyperlink ref="K631" r:id="rId2345" display="http://felipe.guzman-bbva.com/" xr:uid="{00000000-0004-0000-0E00-000028090000}"/>
    <hyperlink ref="AK631" r:id="rId2346" display="https://globaldevtools.bbva.com/jira/browse/COLWSSEGUR-14" xr:uid="{00000000-0004-0000-0E00-000029090000}"/>
    <hyperlink ref="I632" r:id="rId2347" display="http://katherine.michaels-bbva.com/" xr:uid="{00000000-0004-0000-0E00-00002A090000}"/>
    <hyperlink ref="J632" r:id="rId2348" display="http://dianacarolina.gonzalez.castri-bbva.com/" xr:uid="{00000000-0004-0000-0E00-00002B090000}"/>
    <hyperlink ref="K632" r:id="rId2349" display="http://felipe.guzman-bbva.com/" xr:uid="{00000000-0004-0000-0E00-00002C090000}"/>
    <hyperlink ref="AK632" r:id="rId2350" display="https://globaldevtools.bbva.com/jira/browse/COLWSSEGUR-223" xr:uid="{00000000-0004-0000-0E00-00002D090000}"/>
    <hyperlink ref="I633" r:id="rId2351" display="http://katherine.michaels-bbva.com/" xr:uid="{00000000-0004-0000-0E00-00002E090000}"/>
    <hyperlink ref="J633" r:id="rId2352" display="http://dianacarolina.gonzalez.castri-bbva.com/" xr:uid="{00000000-0004-0000-0E00-00002F090000}"/>
    <hyperlink ref="K633" r:id="rId2353" display="http://felipe.guzman-bbva.com/" xr:uid="{00000000-0004-0000-0E00-000030090000}"/>
    <hyperlink ref="AK633" r:id="rId2354" display="https://globaldevtools.bbva.com/jira/browse/COLWSSEGUR-1040" xr:uid="{00000000-0004-0000-0E00-000031090000}"/>
    <hyperlink ref="I634" r:id="rId2355" display="http://katherine.michaels-bbva.com/" xr:uid="{00000000-0004-0000-0E00-000032090000}"/>
    <hyperlink ref="J634" r:id="rId2356" display="http://monicaandrea.rodriguez.penago-bbva.com/" xr:uid="{00000000-0004-0000-0E00-000033090000}"/>
    <hyperlink ref="K634" r:id="rId2357" display="http://felipe.guzman-bbva.com/" xr:uid="{00000000-0004-0000-0E00-000034090000}"/>
    <hyperlink ref="AK634" r:id="rId2358" display="https://globaldevtools.bbva.com/jira/browse/COLWSSEGUR-1263" xr:uid="{00000000-0004-0000-0E00-000035090000}"/>
    <hyperlink ref="I635" r:id="rId2359" display="http://katherine.michaels-bbva.com/" xr:uid="{00000000-0004-0000-0E00-000036090000}"/>
    <hyperlink ref="J635" r:id="rId2360" display="http://yehimymeliza.santamaria-bbva.com/" xr:uid="{00000000-0004-0000-0E00-000037090000}"/>
    <hyperlink ref="K635" r:id="rId2361" display="http://felipe.guzman-bbva.com/" xr:uid="{00000000-0004-0000-0E00-000038090000}"/>
    <hyperlink ref="AK635" r:id="rId2362" display="https://globaldevtools.bbva.com/jira/browse/COLWSSEGUR-239" xr:uid="{00000000-0004-0000-0E00-000039090000}"/>
    <hyperlink ref="I636" r:id="rId2363" display="http://katherine.michaels-bbva.com/" xr:uid="{00000000-0004-0000-0E00-00003A090000}"/>
    <hyperlink ref="J636" r:id="rId2364" display="http://yehimymeliza.santamaria-bbva.com/" xr:uid="{00000000-0004-0000-0E00-00003B090000}"/>
    <hyperlink ref="K636" r:id="rId2365" display="http://felipe.guzman-bbva.com/" xr:uid="{00000000-0004-0000-0E00-00003C090000}"/>
    <hyperlink ref="AK636" r:id="rId2366" display="https://globaldevtools.bbva.com/jira/browse/COLWSSEGUR-918" xr:uid="{00000000-0004-0000-0E00-00003D090000}"/>
    <hyperlink ref="I637" r:id="rId2367" display="http://katherine.michaels-bbva.com/" xr:uid="{00000000-0004-0000-0E00-00003E090000}"/>
    <hyperlink ref="J637" r:id="rId2368" display="http://monicaandrea.rodriguez.penago-bbva.com/" xr:uid="{00000000-0004-0000-0E00-00003F090000}"/>
    <hyperlink ref="K637" r:id="rId2369" display="http://felipe.guzman-bbva.com/" xr:uid="{00000000-0004-0000-0E00-000040090000}"/>
    <hyperlink ref="AK637" r:id="rId2370" display="https://globaldevtools.bbva.com/jira/browse/COLWSSEGUR-1629" xr:uid="{00000000-0004-0000-0E00-000041090000}"/>
    <hyperlink ref="I638" r:id="rId2371" display="http://katherine.michaels-bbva.com/" xr:uid="{00000000-0004-0000-0E00-000042090000}"/>
    <hyperlink ref="J638" r:id="rId2372" display="http://monicaandrea.rodriguez.penago-bbva.com/" xr:uid="{00000000-0004-0000-0E00-000043090000}"/>
    <hyperlink ref="K638" r:id="rId2373" display="http://felipe.guzman-bbva.com/" xr:uid="{00000000-0004-0000-0E00-000044090000}"/>
    <hyperlink ref="AK638" r:id="rId2374" display="https://globaldevtools.bbva.com/jira/browse/COLWSSEGUR-1631" xr:uid="{00000000-0004-0000-0E00-000045090000}"/>
    <hyperlink ref="I639" r:id="rId2375" display="http://katherine.michaels-bbva.com/" xr:uid="{00000000-0004-0000-0E00-000046090000}"/>
    <hyperlink ref="J639" r:id="rId2376" display="http://dianacarolina.gonzalez.castri-bbva.com/" xr:uid="{00000000-0004-0000-0E00-000047090000}"/>
    <hyperlink ref="K639" r:id="rId2377" display="http://felipe.guzman-bbva.com/" xr:uid="{00000000-0004-0000-0E00-000048090000}"/>
    <hyperlink ref="AK639" r:id="rId2378" display="https://globaldevtools.bbva.com/jira/browse/COLWSSEGUR-1622" xr:uid="{00000000-0004-0000-0E00-000049090000}"/>
    <hyperlink ref="I640" r:id="rId2379" display="http://juan.orozco-bbva.com/" xr:uid="{00000000-0004-0000-0E00-00004A090000}"/>
    <hyperlink ref="J640" r:id="rId2380" display="http://jorge.blanco-bbva.com/" xr:uid="{00000000-0004-0000-0E00-00004B090000}"/>
    <hyperlink ref="K640" r:id="rId2381" display="http://fernando.garciameza-bbva.com/" xr:uid="{00000000-0004-0000-0E00-00004C090000}"/>
    <hyperlink ref="AK640" r:id="rId2382" display="https://globaldevtools.bbva.com/jira/browse/COLWSCUENT-1329" xr:uid="{00000000-0004-0000-0E00-00004D090000}"/>
    <hyperlink ref="I641" r:id="rId2383" display="http://juan.orozco-bbva.com/" xr:uid="{00000000-0004-0000-0E00-00004E090000}"/>
    <hyperlink ref="J641" r:id="rId2384" display="http://jorge.blanco-bbva.com/" xr:uid="{00000000-0004-0000-0E00-00004F090000}"/>
    <hyperlink ref="K641" r:id="rId2385" display="http://fernando.garciameza-bbva.com/" xr:uid="{00000000-0004-0000-0E00-000050090000}"/>
    <hyperlink ref="AK641" r:id="rId2386" display="https://globaldevtools.bbva.com/jira/browse/COLWSCUENT-1637" xr:uid="{00000000-0004-0000-0E00-000051090000}"/>
    <hyperlink ref="I642" r:id="rId2387" display="http://juan.orozco-bbva.com/" xr:uid="{00000000-0004-0000-0E00-000052090000}"/>
    <hyperlink ref="J642" r:id="rId2388" display="http://julioenrique.ramos-bbva.com/" xr:uid="{00000000-0004-0000-0E00-000053090000}"/>
    <hyperlink ref="K642" r:id="rId2389" display="http://julioenrique.ramos-bbva.com/" xr:uid="{00000000-0004-0000-0E00-000054090000}"/>
    <hyperlink ref="AK642" r:id="rId2390" display="https://globaldevtools.bbva.com/jira/browse/CFS1-153" xr:uid="{00000000-0004-0000-0E00-000055090000}"/>
    <hyperlink ref="I643" r:id="rId2391" display="http://juan.orozco-bbva.com/" xr:uid="{00000000-0004-0000-0E00-000056090000}"/>
    <hyperlink ref="J643" r:id="rId2392" display="http://julioenrique.ramos-bbva.com/" xr:uid="{00000000-0004-0000-0E00-000057090000}"/>
    <hyperlink ref="K643" r:id="rId2393" display="http://julioenrique.ramos-bbva.com/" xr:uid="{00000000-0004-0000-0E00-000058090000}"/>
    <hyperlink ref="AK643" r:id="rId2394" display="https://globaldevtools.bbva.com/jira/browse/CFS1-132" xr:uid="{00000000-0004-0000-0E00-000059090000}"/>
    <hyperlink ref="I644" r:id="rId2395" display="http://juan.orozco-bbva.com/" xr:uid="{00000000-0004-0000-0E00-00005A090000}"/>
    <hyperlink ref="J644" r:id="rId2396" display="http://julioenrique.ramos-bbva.com/" xr:uid="{00000000-0004-0000-0E00-00005B090000}"/>
    <hyperlink ref="K644" r:id="rId2397" display="http://julioenrique.ramos-bbva.com/" xr:uid="{00000000-0004-0000-0E00-00005C090000}"/>
    <hyperlink ref="AK644" r:id="rId2398" display="https://globaldevtools.bbva.com/jira/browse/CFS1-166" xr:uid="{00000000-0004-0000-0E00-00005D090000}"/>
    <hyperlink ref="I645" r:id="rId2399" display="http://juan.orozco-bbva.com/" xr:uid="{00000000-0004-0000-0E00-00005E090000}"/>
    <hyperlink ref="J645" r:id="rId2400" display="http://julioenrique.ramos-bbva.com/" xr:uid="{00000000-0004-0000-0E00-00005F090000}"/>
    <hyperlink ref="K645" r:id="rId2401" display="http://julioenrique.ramos-bbva.com/" xr:uid="{00000000-0004-0000-0E00-000060090000}"/>
    <hyperlink ref="AK645" r:id="rId2402" display="https://globaldevtools.bbva.com/jira/browse/CFS1-171" xr:uid="{00000000-0004-0000-0E00-000061090000}"/>
    <hyperlink ref="I646" r:id="rId2403" display="http://juan.orozco-bbva.com/" xr:uid="{00000000-0004-0000-0E00-000062090000}"/>
    <hyperlink ref="J646" r:id="rId2404" display="http://julioenrique.ramos-bbva.com/" xr:uid="{00000000-0004-0000-0E00-000063090000}"/>
    <hyperlink ref="K646" r:id="rId2405" display="http://julioenrique.ramos-bbva.com/" xr:uid="{00000000-0004-0000-0E00-000064090000}"/>
    <hyperlink ref="AK646" r:id="rId2406" display="https://globaldevtools.bbva.com/jira/browse/CFS1-172" xr:uid="{00000000-0004-0000-0E00-000065090000}"/>
    <hyperlink ref="I647" r:id="rId2407" display="http://juan.orozco-bbva.com/" xr:uid="{00000000-0004-0000-0E00-000066090000}"/>
    <hyperlink ref="J647" r:id="rId2408" display="http://juan.orozco-bbva.com/" xr:uid="{00000000-0004-0000-0E00-000067090000}"/>
    <hyperlink ref="K647" r:id="rId2409" display="http://felipesantiago.araujo-bbva.com/" xr:uid="{00000000-0004-0000-0E00-000068090000}"/>
    <hyperlink ref="AK647" r:id="rId2410" display="https://globaldevtools.bbva.com/jira/browse/COLWSFNFIL-3" xr:uid="{00000000-0004-0000-0E00-000069090000}"/>
    <hyperlink ref="I648" r:id="rId2411" display="http://juan.orozco-bbva.com/" xr:uid="{00000000-0004-0000-0E00-00006A090000}"/>
    <hyperlink ref="J648" r:id="rId2412" display="http://juan.orozco-bbva.com/" xr:uid="{00000000-0004-0000-0E00-00006B090000}"/>
    <hyperlink ref="K648" r:id="rId2413" display="http://fernando.garciameza-bbva.com/" xr:uid="{00000000-0004-0000-0E00-00006C090000}"/>
    <hyperlink ref="AK648" r:id="rId2414" display="https://globaldevtools.bbva.com/jira/browse/CFS1-113" xr:uid="{00000000-0004-0000-0E00-00006D090000}"/>
    <hyperlink ref="I649" r:id="rId2415" display="http://juan.orozco-bbva.com/" xr:uid="{00000000-0004-0000-0E00-00006E090000}"/>
    <hyperlink ref="J649" r:id="rId2416" display="http://juan.orozco-bbva.com/" xr:uid="{00000000-0004-0000-0E00-00006F090000}"/>
    <hyperlink ref="K649" r:id="rId2417" display="http://fernando.garciameza-bbva.com/" xr:uid="{00000000-0004-0000-0E00-000070090000}"/>
    <hyperlink ref="AK649" r:id="rId2418" display="https://globaldevtools.bbva.com/jira/browse/CFS1-124" xr:uid="{00000000-0004-0000-0E00-000071090000}"/>
    <hyperlink ref="I650" r:id="rId2419" display="http://juan.orozco-bbva.com/" xr:uid="{00000000-0004-0000-0E00-000072090000}"/>
    <hyperlink ref="J650" r:id="rId2420" display="http://juan.orozco-bbva.com/" xr:uid="{00000000-0004-0000-0E00-000073090000}"/>
    <hyperlink ref="K650" r:id="rId2421" display="http://felipesantiago.araujo-bbva.com/" xr:uid="{00000000-0004-0000-0E00-000074090000}"/>
    <hyperlink ref="AK650" r:id="rId2422" display="https://globaldevtools.bbva.com/jira/browse/COLWSFIDUC-5" xr:uid="{00000000-0004-0000-0E00-000075090000}"/>
    <hyperlink ref="I651" r:id="rId2423" display="http://juan.orozco-bbva.com/" xr:uid="{00000000-0004-0000-0E00-000076090000}"/>
    <hyperlink ref="J651" r:id="rId2424" display="http://juan.orozco-bbva.com/" xr:uid="{00000000-0004-0000-0E00-000077090000}"/>
    <hyperlink ref="K651" r:id="rId2425" display="http://felipesantiago.araujo-bbva.com/" xr:uid="{00000000-0004-0000-0E00-000078090000}"/>
    <hyperlink ref="AK651" r:id="rId2426" display="https://globaldevtools.bbva.com/jira/browse/COLWSFIDUC-24" xr:uid="{00000000-0004-0000-0E00-000079090000}"/>
    <hyperlink ref="I652" r:id="rId2427" display="http://juan.orozco-bbva.com/" xr:uid="{00000000-0004-0000-0E00-00007A090000}"/>
    <hyperlink ref="J652" r:id="rId2428" display="http://jorge.blanco-bbva.com/" xr:uid="{00000000-0004-0000-0E00-00007B090000}"/>
    <hyperlink ref="K652" r:id="rId2429" display="http://juan.orozco-bbva.com/" xr:uid="{00000000-0004-0000-0E00-00007C090000}"/>
    <hyperlink ref="AK652" r:id="rId2430" display="https://globaldevtools.bbva.com/jira/browse/CFS1-168" xr:uid="{00000000-0004-0000-0E00-00007D090000}"/>
    <hyperlink ref="I653" r:id="rId2431" display="http://juan.orozco-bbva.com/" xr:uid="{00000000-0004-0000-0E00-00007E090000}"/>
    <hyperlink ref="J653" r:id="rId2432" display="http://diana.bedoya-bbva.com/" xr:uid="{00000000-0004-0000-0E00-00007F090000}"/>
    <hyperlink ref="K653" r:id="rId2433" display="http://mauricio.wandurraga-bbva.com/" xr:uid="{00000000-0004-0000-0E00-000080090000}"/>
    <hyperlink ref="AK653" r:id="rId2434" display="https://globaldevtools.bbva.com/jira/browse/CFS1-167" xr:uid="{00000000-0004-0000-0E00-000081090000}"/>
    <hyperlink ref="I654" r:id="rId2435" display="http://juan.orozco-bbva.com/" xr:uid="{00000000-0004-0000-0E00-000082090000}"/>
    <hyperlink ref="J654" r:id="rId2436" display="http://jorge.blanco-bbva.com/" xr:uid="{00000000-0004-0000-0E00-000083090000}"/>
    <hyperlink ref="K654" r:id="rId2437" display="http://fernando.garciameza-bbva.com/" xr:uid="{00000000-0004-0000-0E00-000084090000}"/>
    <hyperlink ref="AK654" r:id="rId2438" display="https://globaldevtools.bbva.com/jira/browse/CCSS-16487" xr:uid="{00000000-0004-0000-0E00-000085090000}"/>
    <hyperlink ref="I655" r:id="rId2439" display="http://juan.orozco-bbva.com/" xr:uid="{00000000-0004-0000-0E00-000086090000}"/>
    <hyperlink ref="J655" r:id="rId2440" display="http://jorge.blanco-bbva.com/" xr:uid="{00000000-0004-0000-0E00-000087090000}"/>
    <hyperlink ref="K655" r:id="rId2441" display="http://juan.orozco-bbva.com/" xr:uid="{00000000-0004-0000-0E00-000088090000}"/>
    <hyperlink ref="AK655" r:id="rId2442" display="https://globaldevtools.bbva.com/jira/browse/COLWSFIDUC-43" xr:uid="{00000000-0004-0000-0E00-000089090000}"/>
    <hyperlink ref="I656" r:id="rId2443" display="http://juan.orozco-bbva.com/" xr:uid="{00000000-0004-0000-0E00-00008A090000}"/>
    <hyperlink ref="J656" r:id="rId2444" display="http://jorge.blanco-bbva.com/" xr:uid="{00000000-0004-0000-0E00-00008B090000}"/>
    <hyperlink ref="K656" r:id="rId2445" display="http://juan.orozco-bbva.com/" xr:uid="{00000000-0004-0000-0E00-00008C090000}"/>
    <hyperlink ref="AK656" r:id="rId2446" display="https://globaldevtools.bbva.com/jira/browse/COLWSFIDUC-37" xr:uid="{00000000-0004-0000-0E00-00008D090000}"/>
    <hyperlink ref="I657" r:id="rId2447" display="http://juan.orozco-bbva.com/" xr:uid="{00000000-0004-0000-0E00-00008E090000}"/>
    <hyperlink ref="J657" r:id="rId2448" display="http://jorge.blanco-bbva.com/" xr:uid="{00000000-0004-0000-0E00-00008F090000}"/>
    <hyperlink ref="K657" r:id="rId2449" display="http://juan.orozco-bbva.com/" xr:uid="{00000000-0004-0000-0E00-000090090000}"/>
    <hyperlink ref="AK657" r:id="rId2450" display="https://globaldevtools.bbva.com/jira/browse/COLWSFIDUC-31" xr:uid="{00000000-0004-0000-0E00-000091090000}"/>
    <hyperlink ref="I658" r:id="rId2451" display="http://juan.orozco-bbva.com/" xr:uid="{00000000-0004-0000-0E00-000092090000}"/>
    <hyperlink ref="J658" r:id="rId2452" display="http://jorge.blanco-bbva.com/" xr:uid="{00000000-0004-0000-0E00-000093090000}"/>
    <hyperlink ref="K658" r:id="rId2453" display="http://juan.orozco-bbva.com/" xr:uid="{00000000-0004-0000-0E00-000094090000}"/>
    <hyperlink ref="AK658" r:id="rId2454" display="https://globaldevtools.bbva.com/jira/browse/CFS1-165" xr:uid="{00000000-0004-0000-0E00-000095090000}"/>
    <hyperlink ref="I659" r:id="rId2455" display="http://juan.orozco-bbva.com/" xr:uid="{00000000-0004-0000-0E00-000096090000}"/>
    <hyperlink ref="J659" r:id="rId2456" display="http://jorge.blanco-bbva.com/" xr:uid="{00000000-0004-0000-0E00-000097090000}"/>
    <hyperlink ref="K659" r:id="rId2457" display="http://juan.orozco-bbva.com/" xr:uid="{00000000-0004-0000-0E00-000098090000}"/>
    <hyperlink ref="AK659" r:id="rId2458" display="https://globaldevtools.bbva.com/jira/browse/COLWSFIDUC-41" xr:uid="{00000000-0004-0000-0E00-000099090000}"/>
    <hyperlink ref="I660" r:id="rId2459" display="http://juan.orozco-bbva.com/" xr:uid="{00000000-0004-0000-0E00-00009A090000}"/>
    <hyperlink ref="J660" r:id="rId2460" display="http://jorge.blanco-bbva.com/" xr:uid="{00000000-0004-0000-0E00-00009B090000}"/>
    <hyperlink ref="K660" r:id="rId2461" display="http://mariaelena.torres-bbva.com/" xr:uid="{00000000-0004-0000-0E00-00009C090000}"/>
    <hyperlink ref="AK660" r:id="rId2462" display="https://globaldevtools.bbva.com/jira/browse/CFS1-170" xr:uid="{00000000-0004-0000-0E00-00009D090000}"/>
    <hyperlink ref="I661" r:id="rId2463" display="http://juan.orozco-bbva.com/" xr:uid="{00000000-0004-0000-0E00-00009E090000}"/>
    <hyperlink ref="J661" r:id="rId2464" display="http://jorge.blanco-bbva.com/" xr:uid="{00000000-0004-0000-0E00-00009F090000}"/>
    <hyperlink ref="K661" r:id="rId2465" display="http://juan.orozco-bbva.com/" xr:uid="{00000000-0004-0000-0E00-0000A0090000}"/>
    <hyperlink ref="AK661" r:id="rId2466" display="https://globaldevtools.bbva.com/jira/browse/CFS1-169" xr:uid="{00000000-0004-0000-0E00-0000A1090000}"/>
    <hyperlink ref="I662" r:id="rId2467" display="http://juan.orozco-bbva.com/" xr:uid="{00000000-0004-0000-0E00-0000A2090000}"/>
    <hyperlink ref="J662" r:id="rId2468" display="http://juan.orozco-bbva.com/" xr:uid="{00000000-0004-0000-0E00-0000A3090000}"/>
    <hyperlink ref="K662" r:id="rId2469" display="http://fernando.garciameza-bbva.com/" xr:uid="{00000000-0004-0000-0E00-0000A4090000}"/>
    <hyperlink ref="I663" r:id="rId2470" display="http://juan.orozco-bbva.com/" xr:uid="{00000000-0004-0000-0E00-0000A5090000}"/>
    <hyperlink ref="J663" r:id="rId2471" display="http://juan.orozco-bbva.com/" xr:uid="{00000000-0004-0000-0E00-0000A6090000}"/>
    <hyperlink ref="K663" r:id="rId2472" display="http://fernando.garciameza-bbva.com/" xr:uid="{00000000-0004-0000-0E00-0000A7090000}"/>
    <hyperlink ref="I664" r:id="rId2473" display="http://juan.orozco-bbva.com/" xr:uid="{00000000-0004-0000-0E00-0000A8090000}"/>
    <hyperlink ref="J664" r:id="rId2474" display="http://juan.orozco-bbva.com/" xr:uid="{00000000-0004-0000-0E00-0000A9090000}"/>
    <hyperlink ref="K664" r:id="rId2475" display="http://fernando.garciameza-bbva.com/" xr:uid="{00000000-0004-0000-0E00-0000AA090000}"/>
    <hyperlink ref="I665" r:id="rId2476" display="http://carlosandres.moque-bbva.com/" xr:uid="{00000000-0004-0000-0E00-0000AB090000}"/>
    <hyperlink ref="J665" r:id="rId2477" display="http://carlosandres.moque-bbva.com/" xr:uid="{00000000-0004-0000-0E00-0000AC090000}"/>
    <hyperlink ref="K665" r:id="rId2478" display="http://hugoalberto.abreo-bbva.com/" xr:uid="{00000000-0004-0000-0E00-0000AD090000}"/>
    <hyperlink ref="AK665" r:id="rId2479" display="https://globaldevtools.bbva.com/jira/browse/COLWSVALOR-106" xr:uid="{00000000-0004-0000-0E00-0000AE090000}"/>
    <hyperlink ref="J666" r:id="rId2480" display="http://paolaandrea.guzman-bbva.com/" xr:uid="{00000000-0004-0000-0E00-0000AF090000}"/>
    <hyperlink ref="K666" r:id="rId2481" display="http://sandrajohanna.gonzalez-bbva.com/" xr:uid="{00000000-0004-0000-0E00-0000B0090000}"/>
    <hyperlink ref="K667" r:id="rId2482" display="http://edwinalberto.barrios-bbva.com/" xr:uid="{00000000-0004-0000-0E00-0000B1090000}"/>
    <hyperlink ref="K668" r:id="rId2483" display="http://carlosdavid.pacheco-bbva.com/" xr:uid="{00000000-0004-0000-0E00-0000B2090000}"/>
    <hyperlink ref="I669" r:id="rId2484" display="http://hugofernando.parra-bbva.com/" xr:uid="{00000000-0004-0000-0E00-0000B3090000}"/>
    <hyperlink ref="J669" r:id="rId2485" display="http://nicolas.galindo-bbva.com/" xr:uid="{00000000-0004-0000-0E00-0000B4090000}"/>
    <hyperlink ref="K669" r:id="rId2486" display="http://paulocesar.sastoque-bbva.com/" xr:uid="{00000000-0004-0000-0E00-0000B5090000}"/>
    <hyperlink ref="I670" r:id="rId2487" display="http://ana.santamaria-bbva.com/" xr:uid="{00000000-0004-0000-0E00-0000B6090000}"/>
    <hyperlink ref="J670" r:id="rId2488" display="http://nancymayerly.castiblanco-bbva.com/" xr:uid="{00000000-0004-0000-0E00-0000B7090000}"/>
    <hyperlink ref="K670" r:id="rId2489" display="http://nidia.moreno-bbva.com/" xr:uid="{00000000-0004-0000-0E00-0000B8090000}"/>
    <hyperlink ref="AK670" r:id="rId2490" display="https://globaldevtools.bbva.com/jira/browse/COLWSDATIO-638" xr:uid="{00000000-0004-0000-0E00-0000B9090000}"/>
    <hyperlink ref="I671" r:id="rId2491" display="http://alirio.bermudez-bbva.com/" xr:uid="{00000000-0004-0000-0E00-0000BA090000}"/>
    <hyperlink ref="J671" r:id="rId2492" display="http://andresfelipe.granados-bbva.com/" xr:uid="{00000000-0004-0000-0E00-0000BB090000}"/>
    <hyperlink ref="K671" r:id="rId2493" display="http://andresfelipe.granados-bbva.com/" xr:uid="{00000000-0004-0000-0E00-0000BC090000}"/>
    <hyperlink ref="I672" r:id="rId2494" display="http://nathiahayosara.amado-bbva.com/" xr:uid="{00000000-0004-0000-0E00-0000BD090000}"/>
    <hyperlink ref="J672" r:id="rId2495" display="http://clara.mora-bbva.com/" xr:uid="{00000000-0004-0000-0E00-0000BE090000}"/>
    <hyperlink ref="K672" r:id="rId2496" display="http://ivan_dario.ariza-bbva.com/" xr:uid="{00000000-0004-0000-0E00-0000BF090000}"/>
    <hyperlink ref="I673" r:id="rId2497" display="http://alirio.bermudez-bbva.com/" xr:uid="{00000000-0004-0000-0E00-0000C0090000}"/>
    <hyperlink ref="J673" r:id="rId2498" display="http://yeraldineandrea.sierra-bbva.com/" xr:uid="{00000000-0004-0000-0E00-0000C1090000}"/>
    <hyperlink ref="K673" r:id="rId2499" display="http://ivan_dario.ariza-bbva.com/" xr:uid="{00000000-0004-0000-0E00-0000C2090000}"/>
    <hyperlink ref="I674" r:id="rId2500" display="http://hugofernando.parra-bbva.com/" xr:uid="{00000000-0004-0000-0E00-0000C3090000}"/>
    <hyperlink ref="J674" r:id="rId2501" display="http://nicolas.galindo-bbva.com/" xr:uid="{00000000-0004-0000-0E00-0000C4090000}"/>
    <hyperlink ref="K674" r:id="rId2502" display="http://paulocesar.sastoque-bbva.com/" xr:uid="{00000000-0004-0000-0E00-0000C5090000}"/>
    <hyperlink ref="I675" r:id="rId2503" display="http://hugofernando.parra-bbva.com/" xr:uid="{00000000-0004-0000-0E00-0000C6090000}"/>
    <hyperlink ref="J675" r:id="rId2504" display="http://nicolas.galindo-bbva.com/" xr:uid="{00000000-0004-0000-0E00-0000C7090000}"/>
    <hyperlink ref="K675" r:id="rId2505" display="http://paulocesar.sastoque-bbva.com/" xr:uid="{00000000-0004-0000-0E00-0000C8090000}"/>
    <hyperlink ref="K676" r:id="rId2506" display="http://santiago.campuzano-bbva.com/" xr:uid="{00000000-0004-0000-0E00-0000C9090000}"/>
    <hyperlink ref="I677" r:id="rId2507" display="http://alirio.bermudez-bbva.com/" xr:uid="{00000000-0004-0000-0E00-0000CA090000}"/>
    <hyperlink ref="J677" r:id="rId2508" display="http://andresfelipe.granados-bbva.com/" xr:uid="{00000000-0004-0000-0E00-0000CB090000}"/>
    <hyperlink ref="K677" r:id="rId2509" display="http://andresfelipe.granados-bbva.com/" xr:uid="{00000000-0004-0000-0E00-0000CC090000}"/>
    <hyperlink ref="I678" r:id="rId2510" display="http://alirio.bermudez-bbva.com/" xr:uid="{00000000-0004-0000-0E00-0000CD090000}"/>
    <hyperlink ref="J678" r:id="rId2511" display="http://yeraldineandrea.sierra-bbva.com/" xr:uid="{00000000-0004-0000-0E00-0000CE090000}"/>
    <hyperlink ref="K678" r:id="rId2512" display="http://ivan_dario.ariza-bbva.com/" xr:uid="{00000000-0004-0000-0E00-0000CF090000}"/>
    <hyperlink ref="AK678" r:id="rId2513" display="https://globaldevtools.bbva.com/jira/browse/COLWSMONED-1254" xr:uid="{00000000-0004-0000-0E00-0000D0090000}"/>
    <hyperlink ref="I679" r:id="rId2514" display="http://alirio.bermudez-bbva.com/" xr:uid="{00000000-0004-0000-0E00-0000D1090000}"/>
    <hyperlink ref="J679" r:id="rId2515" display="http://hugo.mongua-bbva.com/" xr:uid="{00000000-0004-0000-0E00-0000D2090000}"/>
    <hyperlink ref="K679" r:id="rId2516" display="http://andresfelipe.lopez.sandoval-bbva.com/" xr:uid="{00000000-0004-0000-0E00-0000D3090000}"/>
    <hyperlink ref="K680" r:id="rId2517" display="http://andres.carrandi-bbva.com/" xr:uid="{00000000-0004-0000-0E00-0000D4090000}"/>
    <hyperlink ref="I681" r:id="rId2518" display="http://mariavictoria.gonzalez.fajard-bbva.com/" xr:uid="{00000000-0004-0000-0E00-0000D5090000}"/>
    <hyperlink ref="J681" r:id="rId2519" display="http://claudia.fajardo-bbva.com/" xr:uid="{00000000-0004-0000-0E00-0000D6090000}"/>
    <hyperlink ref="K681" r:id="rId2520" display="http://hugoalberto.abreo-bbva.com/" xr:uid="{00000000-0004-0000-0E00-0000D7090000}"/>
    <hyperlink ref="K682" r:id="rId2521" display="http://nathaliamaria.torres-bbva.com/" xr:uid="{00000000-0004-0000-0E00-0000D8090000}"/>
    <hyperlink ref="I683" r:id="rId2522" display="http://andrea.orrego-bbva.com/" xr:uid="{00000000-0004-0000-0E00-0000D9090000}"/>
    <hyperlink ref="J683" r:id="rId2523" display="http://andresfelipe.granados-bbva.com/" xr:uid="{00000000-0004-0000-0E00-0000DA090000}"/>
    <hyperlink ref="K683" r:id="rId2524" display="http://andresfelipe.granados-bbva.com/" xr:uid="{00000000-0004-0000-0E00-0000DB090000}"/>
    <hyperlink ref="I684" r:id="rId2525" display="http://mariavictoria.gonzalez.fajard-bbva.com/" xr:uid="{00000000-0004-0000-0E00-0000DC090000}"/>
    <hyperlink ref="J684" r:id="rId2526" display="http://blancamilena.cardona-bbva.com/" xr:uid="{00000000-0004-0000-0E00-0000DD090000}"/>
    <hyperlink ref="K684" r:id="rId2527" display="http://hugoalberto.abreo-bbva.com/" xr:uid="{00000000-0004-0000-0E00-0000DE090000}"/>
    <hyperlink ref="AK684" r:id="rId2528" display="https://globaldevtools.bbva.com/jira/browse/COLWSVALOR-148" xr:uid="{00000000-0004-0000-0E00-0000DF090000}"/>
    <hyperlink ref="J685" r:id="rId2529" display="http://angie.castaneda-bbva.com/" xr:uid="{00000000-0004-0000-0E00-0000E0090000}"/>
    <hyperlink ref="K685" r:id="rId2530" display="http://rociomarcela.lopez-bbva.com/" xr:uid="{00000000-0004-0000-0E00-0000E1090000}"/>
    <hyperlink ref="I686" r:id="rId2531" display="http://catalina.villamil-bbva.com/" xr:uid="{00000000-0004-0000-0E00-0000E2090000}"/>
    <hyperlink ref="J686" r:id="rId2532" display="http://leidyviviana.patino-bbva.com/" xr:uid="{00000000-0004-0000-0E00-0000E3090000}"/>
    <hyperlink ref="K686" r:id="rId2533" display="http://nathaliamaria.torres-bbva.com/" xr:uid="{00000000-0004-0000-0E00-0000E4090000}"/>
    <hyperlink ref="I687" r:id="rId2534" display="http://catalina.villamil-bbva.com/" xr:uid="{00000000-0004-0000-0E00-0000E5090000}"/>
    <hyperlink ref="J687" r:id="rId2535" display="http://leidyviviana.patino-bbva.com/" xr:uid="{00000000-0004-0000-0E00-0000E6090000}"/>
    <hyperlink ref="K687" r:id="rId2536" display="http://nathaliamaria.torres-bbva.com/" xr:uid="{00000000-0004-0000-0E00-0000E7090000}"/>
    <hyperlink ref="I688" r:id="rId2537" display="http://catalina.villamil-bbva.com/" xr:uid="{00000000-0004-0000-0E00-0000E8090000}"/>
    <hyperlink ref="J688" r:id="rId2538" display="http://leidyviviana.patino-bbva.com/" xr:uid="{00000000-0004-0000-0E00-0000E9090000}"/>
    <hyperlink ref="K688" r:id="rId2539" display="http://nathaliamaria.torres-bbva.com/" xr:uid="{00000000-0004-0000-0E00-0000EA090000}"/>
    <hyperlink ref="I689" r:id="rId2540" display="http://andrea.orrego-bbva.com/" xr:uid="{00000000-0004-0000-0E00-0000EB090000}"/>
    <hyperlink ref="K689" r:id="rId2541" display="http://rudyyolima.aguilar-bbva.com/" xr:uid="{00000000-0004-0000-0E00-0000EC090000}"/>
    <hyperlink ref="J690" r:id="rId2542" display="http://fredy.pineda-bbva.com/" xr:uid="{00000000-0004-0000-0E00-0000ED090000}"/>
    <hyperlink ref="K690" r:id="rId2543" display="http://rociomarcela.lopez-bbva.com/" xr:uid="{00000000-0004-0000-0E00-0000EE090000}"/>
    <hyperlink ref="I691" r:id="rId2544" display="http://alirio.bermudez-bbva.com/" xr:uid="{00000000-0004-0000-0E00-0000EF090000}"/>
    <hyperlink ref="K691" r:id="rId2545" display="http://nathaliamaria.torres-bbva.com/" xr:uid="{00000000-0004-0000-0E00-0000F0090000}"/>
    <hyperlink ref="I692" r:id="rId2546" display="http://alirio.bermudez-bbva.com/" xr:uid="{00000000-0004-0000-0E00-0000F1090000}"/>
    <hyperlink ref="K692" r:id="rId2547" display="http://nathaliamaria.torres-bbva.com/" xr:uid="{00000000-0004-0000-0E00-0000F2090000}"/>
    <hyperlink ref="J693" r:id="rId2548" display="http://nicolas.galindo-bbva.com/" xr:uid="{00000000-0004-0000-0E00-0000F3090000}"/>
    <hyperlink ref="K693" r:id="rId2549" display="http://paulocesar.sastoque-bbva.com/" xr:uid="{00000000-0004-0000-0E00-0000F4090000}"/>
    <hyperlink ref="K694" r:id="rId2550" display="http://andresfelipe.granados-bbva.com/" xr:uid="{00000000-0004-0000-0E00-0000F5090000}"/>
    <hyperlink ref="I695" r:id="rId2551" display="http://nathiahayosara.amado-bbva.com/" xr:uid="{00000000-0004-0000-0E00-0000F6090000}"/>
    <hyperlink ref="J695" r:id="rId2552" display="http://clara.mora-bbva.com/" xr:uid="{00000000-0004-0000-0E00-0000F7090000}"/>
    <hyperlink ref="K695" r:id="rId2553" display="http://ivan_dario.ariza-bbva.com/" xr:uid="{00000000-0004-0000-0E00-0000F8090000}"/>
    <hyperlink ref="AK695" r:id="rId2554" display="https://globaldevtools.bbva.com/jira/browse/COLWSPREST-10270" xr:uid="{00000000-0004-0000-0E00-0000F9090000}"/>
    <hyperlink ref="I696" r:id="rId2555" display="http://mariavictoria.gonzalez.fajard-bbva.com/" xr:uid="{00000000-0004-0000-0E00-0000FA090000}"/>
    <hyperlink ref="J696" r:id="rId2556" display="http://oscardavid.rico-bbva.com/" xr:uid="{00000000-0004-0000-0E00-0000FB090000}"/>
    <hyperlink ref="K696" r:id="rId2557" display="http://hugoalberto.abreo-bbva.com/" xr:uid="{00000000-0004-0000-0E00-0000FC090000}"/>
    <hyperlink ref="AK696" r:id="rId2558" display="https://globaldevtools.bbva.com/jira/browse/COLWSVALOR-194" xr:uid="{00000000-0004-0000-0E00-0000FD090000}"/>
    <hyperlink ref="K697" r:id="rId2559" display="http://andres.carrandi-bbva.com/" xr:uid="{00000000-0004-0000-0E00-0000FE090000}"/>
    <hyperlink ref="K698" r:id="rId2560" display="http://paolaandrea.guzman-bbva.com/" xr:uid="{00000000-0004-0000-0E00-0000FF090000}"/>
    <hyperlink ref="K699" r:id="rId2561" display="http://paolaandrea.guzman-bbva.com/" xr:uid="{00000000-0004-0000-0E00-0000000A0000}"/>
    <hyperlink ref="I700" r:id="rId2562" display="http://catalina.villamil-bbva.com/" xr:uid="{00000000-0004-0000-0E00-0000010A0000}"/>
    <hyperlink ref="J700" r:id="rId2563" display="http://nathaliamaria.torres-bbva.com/" xr:uid="{00000000-0004-0000-0E00-0000020A0000}"/>
    <hyperlink ref="K700" r:id="rId2564" display="http://nathaliamaria.torres-bbva.com/" xr:uid="{00000000-0004-0000-0E00-0000030A0000}"/>
    <hyperlink ref="I701" r:id="rId2565" display="http://andrea.orrego-bbva.com/" xr:uid="{00000000-0004-0000-0E00-0000040A0000}"/>
    <hyperlink ref="J701" r:id="rId2566" display="http://jorge.carvajal-bbva.com/" xr:uid="{00000000-0004-0000-0E00-0000050A0000}"/>
    <hyperlink ref="K701" r:id="rId2567" display="http://yurimilena.moreno-bbva.com/" xr:uid="{00000000-0004-0000-0E00-0000060A0000}"/>
    <hyperlink ref="I702" r:id="rId2568" display="http://hugofernando.parra-bbva.com/" xr:uid="{00000000-0004-0000-0E00-0000070A0000}"/>
    <hyperlink ref="J702" r:id="rId2569" display="http://judy.bernal-bbva.com/" xr:uid="{00000000-0004-0000-0E00-0000080A0000}"/>
    <hyperlink ref="K702" r:id="rId2570" display="http://john.calvo-bbva.com/" xr:uid="{00000000-0004-0000-0E00-0000090A0000}"/>
    <hyperlink ref="I703" r:id="rId2571" display="http://alirio.bermudez-bbva.com/" xr:uid="{00000000-0004-0000-0E00-00000A0A0000}"/>
    <hyperlink ref="J703" r:id="rId2572" display="http://monicaandrea.abogado-bbva.com/" xr:uid="{00000000-0004-0000-0E00-00000B0A0000}"/>
    <hyperlink ref="K703" r:id="rId2573" display="http://ivan_dario.ariza-bbva.com/" xr:uid="{00000000-0004-0000-0E00-00000C0A0000}"/>
    <hyperlink ref="I704" r:id="rId2574" display="http://huvertyadir.ramirez-bbva.com/" xr:uid="{00000000-0004-0000-0E00-00000D0A0000}"/>
    <hyperlink ref="K704" r:id="rId2575" display="http://andresfelipe.lopez.sandoval-bbva.com/" xr:uid="{00000000-0004-0000-0E00-00000E0A0000}"/>
    <hyperlink ref="I705" r:id="rId2576" display="http://davidcamilo.poveda-bbva.com/" xr:uid="{00000000-0004-0000-0E00-00000F0A0000}"/>
    <hyperlink ref="J705" r:id="rId2577" display="http://leidi.jimenez-bbva.com/" xr:uid="{00000000-0004-0000-0E00-0000100A0000}"/>
    <hyperlink ref="K705" r:id="rId2578" display="http://nelsonandres.bohorquez-bbva.com/" xr:uid="{00000000-0004-0000-0E00-0000110A0000}"/>
    <hyperlink ref="K706" r:id="rId2579" display="http://carlosdavid.pacheco-bbva.com/" xr:uid="{00000000-0004-0000-0E00-0000120A0000}"/>
    <hyperlink ref="K707" r:id="rId2580" display="http://carlosdavid.pacheco-bbva.com/" xr:uid="{00000000-0004-0000-0E00-0000130A0000}"/>
    <hyperlink ref="K708" r:id="rId2581" display="http://carlosdavid.pacheco-bbva.com/" xr:uid="{00000000-0004-0000-0E00-0000140A0000}"/>
    <hyperlink ref="K709" r:id="rId2582" display="http://carlosdavid.pacheco-bbva.com/" xr:uid="{00000000-0004-0000-0E00-0000150A0000}"/>
    <hyperlink ref="K710" r:id="rId2583" display="http://carlosdavid.pacheco-bbva.com/" xr:uid="{00000000-0004-0000-0E00-0000160A0000}"/>
    <hyperlink ref="K711" r:id="rId2584" display="http://carlosdavid.pacheco-bbva.com/" xr:uid="{00000000-0004-0000-0E00-0000170A0000}"/>
    <hyperlink ref="K712" r:id="rId2585" display="http://carlosdavid.pacheco-bbva.com/" xr:uid="{00000000-0004-0000-0E00-0000180A0000}"/>
    <hyperlink ref="I713" r:id="rId2586" display="http://jimy.catolico-bbva.com/" xr:uid="{00000000-0004-0000-0E00-0000190A0000}"/>
    <hyperlink ref="J713" r:id="rId2587" display="http://jimy.catolico-bbva.com/" xr:uid="{00000000-0004-0000-0E00-00001A0A0000}"/>
    <hyperlink ref="K713" r:id="rId2588" display="http://luz.rodriguez-bbva.com/" xr:uid="{00000000-0004-0000-0E00-00001B0A0000}"/>
    <hyperlink ref="AK713" r:id="rId2589" display="https://globaldevtools.bbva.com/jira/browse/CCSS-20563" xr:uid="{00000000-0004-0000-0E00-00001C0A0000}"/>
    <hyperlink ref="K714" r:id="rId2590" display="http://juan.sandoval-bbva.com/" xr:uid="{00000000-0004-0000-0E00-00001D0A0000}"/>
    <hyperlink ref="AK714" r:id="rId2591" display="https://globaldevtools.bbva.com/jira/browse/COLWSFNDIR-368" xr:uid="{00000000-0004-0000-0E00-00001E0A0000}"/>
    <hyperlink ref="K715" r:id="rId2592" display="http://ronal.saavedra-bbva.com/" xr:uid="{00000000-0004-0000-0E00-00001F0A0000}"/>
    <hyperlink ref="AK715" r:id="rId2593" display="https://globaldevtools.bbva.com/jira/browse/COLWSMEDIO-6279" xr:uid="{00000000-0004-0000-0E00-0000200A0000}"/>
    <hyperlink ref="J716" r:id="rId2594" display="http://marthaconsuelo.parra-bbva.com/" xr:uid="{00000000-0004-0000-0E00-0000210A0000}"/>
    <hyperlink ref="K716" r:id="rId2595" display="http://andres.carrandi-bbva.com/" xr:uid="{00000000-0004-0000-0E00-0000220A0000}"/>
    <hyperlink ref="AK716" r:id="rId2596" display="https://globaldevtools.bbva.com/jira/browse/COLWSFNDIR-367" xr:uid="{00000000-0004-0000-0E00-0000230A0000}"/>
    <hyperlink ref="J717" r:id="rId2597" display="http://marthaconsuelo.parra-bbva.com/" xr:uid="{00000000-0004-0000-0E00-0000240A0000}"/>
    <hyperlink ref="K717" r:id="rId2598" display="http://andres.carrandi-bbva.com/" xr:uid="{00000000-0004-0000-0E00-0000250A0000}"/>
    <hyperlink ref="AK717" r:id="rId2599" display="https://globaldevtools.bbva.com/jira/browse/COLWSFNDIR-366" xr:uid="{00000000-0004-0000-0E00-0000260A0000}"/>
    <hyperlink ref="I718" r:id="rId2600" display="http://ana.santamaria-bbva.com/" xr:uid="{00000000-0004-0000-0E00-0000270A0000}"/>
    <hyperlink ref="J718" r:id="rId2601" display="http://lizethalejandra.caseres-bbva.com/" xr:uid="{00000000-0004-0000-0E00-0000280A0000}"/>
    <hyperlink ref="K718" r:id="rId2602" display="http://josedanilo.virguez-bbva.com/" xr:uid="{00000000-0004-0000-0E00-0000290A0000}"/>
    <hyperlink ref="AK718" r:id="rId2603" display="https://globaldevtools.bbva.com/jira/browse/COLWSCRM-2442" xr:uid="{00000000-0004-0000-0E00-00002A0A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C21"/>
  <sheetViews>
    <sheetView showGridLines="0" workbookViewId="0"/>
  </sheetViews>
  <sheetFormatPr baseColWidth="10" defaultColWidth="12.5703125" defaultRowHeight="15.75" customHeight="1" x14ac:dyDescent="0.2"/>
  <cols>
    <col min="2" max="2" width="30.42578125" customWidth="1"/>
  </cols>
  <sheetData>
    <row r="1" spans="1:3" ht="12.75" x14ac:dyDescent="0.2">
      <c r="A1" s="158" t="s">
        <v>5104</v>
      </c>
      <c r="B1" s="157" t="s">
        <v>5933</v>
      </c>
    </row>
    <row r="2" spans="1:3" ht="12.75" x14ac:dyDescent="0.2">
      <c r="A2" s="158" t="s">
        <v>1</v>
      </c>
      <c r="B2" s="157" t="s">
        <v>45</v>
      </c>
    </row>
    <row r="3" spans="1:3" ht="12.75" x14ac:dyDescent="0.2"/>
    <row r="4" spans="1:3" ht="12.75" x14ac:dyDescent="0.2">
      <c r="A4" s="148" t="s">
        <v>2</v>
      </c>
      <c r="B4" s="148" t="s">
        <v>3274</v>
      </c>
      <c r="C4" s="151" t="s">
        <v>5934</v>
      </c>
    </row>
    <row r="5" spans="1:3" ht="12.75" x14ac:dyDescent="0.2">
      <c r="A5" s="150" t="s">
        <v>39</v>
      </c>
      <c r="B5" s="150" t="s">
        <v>3374</v>
      </c>
      <c r="C5" s="159">
        <v>4</v>
      </c>
    </row>
    <row r="6" spans="1:3" ht="12.75" x14ac:dyDescent="0.2">
      <c r="A6" s="152"/>
      <c r="B6" s="160" t="s">
        <v>3407</v>
      </c>
      <c r="C6" s="161">
        <v>2</v>
      </c>
    </row>
    <row r="7" spans="1:3" ht="12.75" x14ac:dyDescent="0.2">
      <c r="A7" s="152"/>
      <c r="B7" s="160" t="s">
        <v>4602</v>
      </c>
      <c r="C7" s="161">
        <v>2</v>
      </c>
    </row>
    <row r="8" spans="1:3" ht="12.75" x14ac:dyDescent="0.2">
      <c r="A8" s="152"/>
      <c r="B8" s="160" t="s">
        <v>3500</v>
      </c>
      <c r="C8" s="161">
        <v>1</v>
      </c>
    </row>
    <row r="9" spans="1:3" ht="12.75" x14ac:dyDescent="0.2">
      <c r="A9" s="152"/>
      <c r="B9" s="160" t="s">
        <v>3490</v>
      </c>
      <c r="C9" s="161">
        <v>1</v>
      </c>
    </row>
    <row r="10" spans="1:3" ht="12.75" x14ac:dyDescent="0.2">
      <c r="A10" s="150" t="s">
        <v>5907</v>
      </c>
      <c r="B10" s="162"/>
      <c r="C10" s="159">
        <v>10</v>
      </c>
    </row>
    <row r="11" spans="1:3" ht="12.75" x14ac:dyDescent="0.2">
      <c r="A11" s="150" t="s">
        <v>135</v>
      </c>
      <c r="B11" s="150" t="s">
        <v>4916</v>
      </c>
      <c r="C11" s="159">
        <v>1</v>
      </c>
    </row>
    <row r="12" spans="1:3" ht="12.75" x14ac:dyDescent="0.2">
      <c r="A12" s="150" t="s">
        <v>5908</v>
      </c>
      <c r="B12" s="162"/>
      <c r="C12" s="159">
        <v>1</v>
      </c>
    </row>
    <row r="13" spans="1:3" ht="12.75" x14ac:dyDescent="0.2">
      <c r="A13" s="150" t="s">
        <v>138</v>
      </c>
      <c r="B13" s="150" t="s">
        <v>4412</v>
      </c>
      <c r="C13" s="159">
        <v>2</v>
      </c>
    </row>
    <row r="14" spans="1:3" ht="12.75" x14ac:dyDescent="0.2">
      <c r="A14" s="152"/>
      <c r="B14" s="160" t="s">
        <v>4408</v>
      </c>
      <c r="C14" s="161">
        <v>2</v>
      </c>
    </row>
    <row r="15" spans="1:3" ht="12.75" x14ac:dyDescent="0.2">
      <c r="A15" s="152"/>
      <c r="B15" s="160" t="s">
        <v>4410</v>
      </c>
      <c r="C15" s="161">
        <v>1</v>
      </c>
    </row>
    <row r="16" spans="1:3" ht="12.75" x14ac:dyDescent="0.2">
      <c r="A16" s="152"/>
      <c r="B16" s="160" t="s">
        <v>3950</v>
      </c>
      <c r="C16" s="161">
        <v>2</v>
      </c>
    </row>
    <row r="17" spans="1:3" ht="12.75" x14ac:dyDescent="0.2">
      <c r="A17" s="152"/>
      <c r="B17" s="160" t="s">
        <v>4162</v>
      </c>
      <c r="C17" s="161">
        <v>1</v>
      </c>
    </row>
    <row r="18" spans="1:3" ht="12.75" x14ac:dyDescent="0.2">
      <c r="A18" s="152"/>
      <c r="B18" s="160" t="s">
        <v>4203</v>
      </c>
      <c r="C18" s="161">
        <v>1</v>
      </c>
    </row>
    <row r="19" spans="1:3" ht="15.75" customHeight="1" x14ac:dyDescent="0.2">
      <c r="A19" s="152"/>
      <c r="B19" s="160" t="s">
        <v>4186</v>
      </c>
      <c r="C19" s="161">
        <v>2</v>
      </c>
    </row>
    <row r="20" spans="1:3" ht="15.75" customHeight="1" x14ac:dyDescent="0.2">
      <c r="A20" s="150" t="s">
        <v>5909</v>
      </c>
      <c r="B20" s="162"/>
      <c r="C20" s="159">
        <v>11</v>
      </c>
    </row>
    <row r="21" spans="1:3" ht="15.75" customHeight="1" x14ac:dyDescent="0.2">
      <c r="A21" s="155" t="s">
        <v>5930</v>
      </c>
      <c r="B21" s="163"/>
      <c r="C21" s="164">
        <v>22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N127"/>
  <sheetViews>
    <sheetView showGridLines="0" workbookViewId="0"/>
  </sheetViews>
  <sheetFormatPr baseColWidth="10" defaultColWidth="12.5703125" defaultRowHeight="15.75" customHeight="1" x14ac:dyDescent="0.2"/>
  <cols>
    <col min="1" max="1" width="36.5703125" customWidth="1"/>
    <col min="2" max="2" width="17.7109375" customWidth="1"/>
    <col min="3" max="3" width="18.42578125" customWidth="1"/>
    <col min="5" max="5" width="30.85546875" customWidth="1"/>
    <col min="6" max="6" width="19.42578125" customWidth="1"/>
    <col min="13" max="13" width="27" customWidth="1"/>
    <col min="14" max="14" width="15.28515625" customWidth="1"/>
  </cols>
  <sheetData>
    <row r="1" spans="1:14" x14ac:dyDescent="0.2">
      <c r="A1" s="4" t="s">
        <v>5917</v>
      </c>
      <c r="B1" s="4" t="s">
        <v>5918</v>
      </c>
      <c r="E1" s="158" t="s">
        <v>0</v>
      </c>
      <c r="F1" s="157" t="s">
        <v>115</v>
      </c>
      <c r="M1" s="158" t="s">
        <v>0</v>
      </c>
      <c r="N1" s="157" t="s">
        <v>115</v>
      </c>
    </row>
    <row r="2" spans="1:14" x14ac:dyDescent="0.2">
      <c r="A2" s="4" t="s">
        <v>122</v>
      </c>
      <c r="B2" s="4">
        <v>26</v>
      </c>
      <c r="E2" s="158" t="s">
        <v>5104</v>
      </c>
      <c r="F2" s="157" t="s">
        <v>5933</v>
      </c>
      <c r="J2" s="136" t="s">
        <v>5919</v>
      </c>
    </row>
    <row r="3" spans="1:14" x14ac:dyDescent="0.2">
      <c r="A3" s="4" t="s">
        <v>116</v>
      </c>
      <c r="B3" s="4">
        <v>31</v>
      </c>
      <c r="C3" s="105"/>
      <c r="D3" s="105"/>
      <c r="J3" s="137" t="e">
        <f>SUM(I4:I6)/I3</f>
        <v>#DIV/0!</v>
      </c>
      <c r="M3" s="149" t="s">
        <v>1</v>
      </c>
    </row>
    <row r="4" spans="1:14" x14ac:dyDescent="0.2">
      <c r="A4" s="4" t="s">
        <v>128</v>
      </c>
      <c r="B4" s="4">
        <v>8</v>
      </c>
      <c r="C4" s="105"/>
      <c r="D4" s="105"/>
      <c r="E4" s="148" t="s">
        <v>5917</v>
      </c>
      <c r="F4" s="148" t="s">
        <v>3275</v>
      </c>
      <c r="G4" s="151" t="s">
        <v>5931</v>
      </c>
      <c r="M4" s="151" t="s">
        <v>119</v>
      </c>
    </row>
    <row r="5" spans="1:14" x14ac:dyDescent="0.2">
      <c r="A5" s="4" t="s">
        <v>134</v>
      </c>
      <c r="B5" s="4">
        <v>4</v>
      </c>
      <c r="C5" s="105"/>
      <c r="D5" s="105"/>
      <c r="E5" s="150" t="s">
        <v>122</v>
      </c>
      <c r="F5" s="150" t="s">
        <v>18</v>
      </c>
      <c r="G5" s="159">
        <v>29</v>
      </c>
      <c r="M5" s="153" t="s">
        <v>131</v>
      </c>
    </row>
    <row r="6" spans="1:14" x14ac:dyDescent="0.2">
      <c r="A6" s="4" t="s">
        <v>125</v>
      </c>
      <c r="B6" s="4">
        <v>8</v>
      </c>
      <c r="C6" s="105"/>
      <c r="D6" s="105"/>
      <c r="E6" s="152"/>
      <c r="F6" s="160" t="s">
        <v>32</v>
      </c>
      <c r="G6" s="161">
        <v>3</v>
      </c>
      <c r="M6" s="153" t="s">
        <v>125</v>
      </c>
    </row>
    <row r="7" spans="1:14" x14ac:dyDescent="0.2">
      <c r="A7" s="4" t="s">
        <v>131</v>
      </c>
      <c r="B7" s="4">
        <v>6</v>
      </c>
      <c r="C7" s="105"/>
      <c r="D7" s="105"/>
      <c r="E7" s="152"/>
      <c r="F7" s="160" t="s">
        <v>25</v>
      </c>
      <c r="G7" s="161">
        <v>7</v>
      </c>
      <c r="M7" s="153" t="s">
        <v>134</v>
      </c>
    </row>
    <row r="8" spans="1:14" x14ac:dyDescent="0.2">
      <c r="A8" s="4" t="s">
        <v>119</v>
      </c>
      <c r="B8" s="4">
        <v>16</v>
      </c>
      <c r="C8" s="105"/>
      <c r="D8" s="105"/>
      <c r="E8" s="152"/>
      <c r="F8" s="160" t="s">
        <v>11</v>
      </c>
      <c r="G8" s="161">
        <v>5</v>
      </c>
      <c r="J8" s="137" t="e">
        <f>SUM(I9:I10)/I8</f>
        <v>#DIV/0!</v>
      </c>
      <c r="M8" s="153" t="s">
        <v>128</v>
      </c>
    </row>
    <row r="9" spans="1:14" x14ac:dyDescent="0.2">
      <c r="C9" s="105"/>
      <c r="D9" s="105"/>
      <c r="E9" s="150" t="s">
        <v>5920</v>
      </c>
      <c r="F9" s="162"/>
      <c r="G9" s="159">
        <v>44</v>
      </c>
      <c r="M9" s="153" t="s">
        <v>116</v>
      </c>
    </row>
    <row r="10" spans="1:14" x14ac:dyDescent="0.2">
      <c r="C10" s="105"/>
      <c r="D10" s="105"/>
      <c r="E10" s="150" t="s">
        <v>116</v>
      </c>
      <c r="F10" s="150" t="s">
        <v>18</v>
      </c>
      <c r="G10" s="159">
        <v>49</v>
      </c>
      <c r="M10" s="153" t="s">
        <v>122</v>
      </c>
    </row>
    <row r="11" spans="1:14" x14ac:dyDescent="0.2">
      <c r="C11" s="105"/>
      <c r="D11" s="105"/>
      <c r="E11" s="152"/>
      <c r="F11" s="160" t="s">
        <v>25</v>
      </c>
      <c r="G11" s="161">
        <v>14</v>
      </c>
      <c r="M11" s="157" t="s">
        <v>5930</v>
      </c>
    </row>
    <row r="12" spans="1:14" x14ac:dyDescent="0.2">
      <c r="C12" s="105"/>
      <c r="D12" s="105"/>
      <c r="E12" s="152"/>
      <c r="F12" s="160" t="s">
        <v>11</v>
      </c>
      <c r="G12" s="161">
        <v>6</v>
      </c>
      <c r="J12" s="137" t="e">
        <f>SUM(I13:I15)/I12</f>
        <v>#DIV/0!</v>
      </c>
    </row>
    <row r="13" spans="1:14" x14ac:dyDescent="0.2">
      <c r="C13" s="105"/>
      <c r="D13" s="105"/>
      <c r="E13" s="150" t="s">
        <v>5921</v>
      </c>
      <c r="F13" s="162"/>
      <c r="G13" s="159">
        <v>69</v>
      </c>
    </row>
    <row r="14" spans="1:14" x14ac:dyDescent="0.2">
      <c r="C14" s="105"/>
      <c r="D14" s="105"/>
      <c r="E14" s="150" t="s">
        <v>128</v>
      </c>
      <c r="F14" s="150" t="s">
        <v>18</v>
      </c>
      <c r="G14" s="159">
        <v>9</v>
      </c>
    </row>
    <row r="15" spans="1:14" x14ac:dyDescent="0.2">
      <c r="C15" s="105"/>
      <c r="D15" s="105"/>
      <c r="E15" s="152"/>
      <c r="F15" s="160" t="s">
        <v>25</v>
      </c>
      <c r="G15" s="161">
        <v>4</v>
      </c>
    </row>
    <row r="16" spans="1:14" x14ac:dyDescent="0.2">
      <c r="C16" s="105"/>
      <c r="D16" s="105"/>
      <c r="E16" s="152"/>
      <c r="F16" s="160" t="s">
        <v>11</v>
      </c>
      <c r="G16" s="161">
        <v>2</v>
      </c>
    </row>
    <row r="17" spans="3:10" x14ac:dyDescent="0.2">
      <c r="C17" s="105"/>
      <c r="D17" s="105"/>
      <c r="E17" s="150" t="s">
        <v>5922</v>
      </c>
      <c r="F17" s="162"/>
      <c r="G17" s="159">
        <v>15</v>
      </c>
      <c r="J17" s="137" t="e">
        <f>SUM(I18:I19)/I17</f>
        <v>#DIV/0!</v>
      </c>
    </row>
    <row r="18" spans="3:10" x14ac:dyDescent="0.2">
      <c r="C18" s="105"/>
      <c r="D18" s="105"/>
      <c r="E18" s="150" t="s">
        <v>134</v>
      </c>
      <c r="F18" s="150" t="s">
        <v>18</v>
      </c>
      <c r="G18" s="159" t="e">
        <v>#REF!</v>
      </c>
    </row>
    <row r="19" spans="3:10" x14ac:dyDescent="0.2">
      <c r="C19" s="105"/>
      <c r="D19" s="105"/>
      <c r="E19" s="152"/>
      <c r="F19" s="160" t="s">
        <v>25</v>
      </c>
      <c r="G19" s="161">
        <v>1</v>
      </c>
    </row>
    <row r="20" spans="3:10" x14ac:dyDescent="0.2">
      <c r="C20" s="105"/>
      <c r="D20" s="105"/>
      <c r="E20" s="152"/>
      <c r="F20" s="160" t="s">
        <v>11</v>
      </c>
      <c r="G20" s="161">
        <v>2</v>
      </c>
    </row>
    <row r="21" spans="3:10" x14ac:dyDescent="0.2">
      <c r="C21" s="105"/>
      <c r="D21" s="105"/>
      <c r="E21" s="150" t="s">
        <v>5923</v>
      </c>
      <c r="F21" s="162"/>
      <c r="G21" s="159" t="e">
        <v>#REF!</v>
      </c>
      <c r="J21" s="137" t="e">
        <f>I21/I21</f>
        <v>#DIV/0!</v>
      </c>
    </row>
    <row r="22" spans="3:10" x14ac:dyDescent="0.2">
      <c r="C22" s="105"/>
      <c r="D22" s="105"/>
      <c r="E22" s="150" t="s">
        <v>125</v>
      </c>
      <c r="F22" s="150" t="s">
        <v>18</v>
      </c>
      <c r="G22" s="159" t="e">
        <v>#REF!</v>
      </c>
    </row>
    <row r="23" spans="3:10" x14ac:dyDescent="0.2">
      <c r="C23" s="105"/>
      <c r="D23" s="105"/>
      <c r="E23" s="150" t="s">
        <v>5924</v>
      </c>
      <c r="F23" s="162"/>
      <c r="G23" s="159" t="e">
        <v>#REF!</v>
      </c>
      <c r="J23" s="137" t="e">
        <f>SUM(I24:I26)/I23</f>
        <v>#DIV/0!</v>
      </c>
    </row>
    <row r="24" spans="3:10" x14ac:dyDescent="0.2">
      <c r="C24" s="105"/>
      <c r="D24" s="105"/>
      <c r="E24" s="150" t="s">
        <v>131</v>
      </c>
      <c r="F24" s="150" t="s">
        <v>18</v>
      </c>
      <c r="G24" s="159">
        <v>9</v>
      </c>
    </row>
    <row r="25" spans="3:10" x14ac:dyDescent="0.2">
      <c r="C25" s="105"/>
      <c r="D25" s="105"/>
      <c r="E25" s="152"/>
      <c r="F25" s="160" t="s">
        <v>25</v>
      </c>
      <c r="G25" s="161">
        <v>0</v>
      </c>
    </row>
    <row r="26" spans="3:10" x14ac:dyDescent="0.2">
      <c r="C26" s="105"/>
      <c r="D26" s="105"/>
      <c r="E26" s="150" t="s">
        <v>5925</v>
      </c>
      <c r="F26" s="162"/>
      <c r="G26" s="159">
        <v>9</v>
      </c>
    </row>
    <row r="27" spans="3:10" x14ac:dyDescent="0.2">
      <c r="C27" s="105"/>
      <c r="D27" s="105"/>
      <c r="E27" s="150" t="s">
        <v>119</v>
      </c>
      <c r="F27" s="150" t="s">
        <v>18</v>
      </c>
      <c r="G27" s="159">
        <v>18</v>
      </c>
    </row>
    <row r="28" spans="3:10" x14ac:dyDescent="0.2">
      <c r="C28" s="105"/>
      <c r="D28" s="105"/>
      <c r="E28" s="152"/>
      <c r="F28" s="160" t="s">
        <v>32</v>
      </c>
      <c r="G28" s="161">
        <v>0</v>
      </c>
      <c r="J28" s="137" t="e">
        <f>SUM(I29:I32)/I28</f>
        <v>#DIV/0!</v>
      </c>
    </row>
    <row r="29" spans="3:10" x14ac:dyDescent="0.2">
      <c r="C29" s="105"/>
      <c r="D29" s="105"/>
      <c r="E29" s="152"/>
      <c r="F29" s="160" t="s">
        <v>11</v>
      </c>
      <c r="G29" s="161">
        <v>3</v>
      </c>
    </row>
    <row r="30" spans="3:10" x14ac:dyDescent="0.2">
      <c r="C30" s="105"/>
      <c r="D30" s="105"/>
      <c r="E30" s="155" t="s">
        <v>5926</v>
      </c>
      <c r="F30" s="163"/>
      <c r="G30" s="164">
        <v>21</v>
      </c>
    </row>
    <row r="31" spans="3:10" x14ac:dyDescent="0.2">
      <c r="C31" s="105"/>
      <c r="D31" s="105"/>
    </row>
    <row r="32" spans="3:10" x14ac:dyDescent="0.2">
      <c r="C32" s="105"/>
      <c r="D32" s="105"/>
      <c r="E32" s="105"/>
    </row>
    <row r="33" spans="3:5" x14ac:dyDescent="0.2">
      <c r="C33" s="105"/>
      <c r="D33" s="105"/>
      <c r="E33" s="105"/>
    </row>
    <row r="34" spans="3:5" x14ac:dyDescent="0.2">
      <c r="C34" s="105"/>
      <c r="D34" s="105"/>
      <c r="E34" s="105"/>
    </row>
    <row r="35" spans="3:5" x14ac:dyDescent="0.2">
      <c r="C35" s="105"/>
      <c r="D35" s="105"/>
      <c r="E35" s="105"/>
    </row>
    <row r="36" spans="3:5" x14ac:dyDescent="0.2">
      <c r="C36" s="105"/>
      <c r="D36" s="105"/>
      <c r="E36" s="105"/>
    </row>
    <row r="37" spans="3:5" x14ac:dyDescent="0.2">
      <c r="C37" s="105"/>
      <c r="D37" s="105"/>
      <c r="E37" s="105"/>
    </row>
    <row r="38" spans="3:5" x14ac:dyDescent="0.2">
      <c r="C38" s="105"/>
      <c r="D38" s="105"/>
      <c r="E38" s="105"/>
    </row>
    <row r="39" spans="3:5" x14ac:dyDescent="0.2">
      <c r="C39" s="105"/>
      <c r="D39" s="105"/>
      <c r="E39" s="105"/>
    </row>
    <row r="40" spans="3:5" x14ac:dyDescent="0.2">
      <c r="C40" s="105"/>
      <c r="D40" s="105"/>
      <c r="E40" s="105"/>
    </row>
    <row r="41" spans="3:5" x14ac:dyDescent="0.2">
      <c r="C41" s="105"/>
      <c r="D41" s="105"/>
      <c r="E41" s="105"/>
    </row>
    <row r="42" spans="3:5" x14ac:dyDescent="0.2">
      <c r="C42" s="105"/>
      <c r="D42" s="105"/>
      <c r="E42" s="105"/>
    </row>
    <row r="43" spans="3:5" x14ac:dyDescent="0.2">
      <c r="C43" s="105"/>
      <c r="D43" s="105"/>
      <c r="E43" s="105"/>
    </row>
    <row r="44" spans="3:5" x14ac:dyDescent="0.2">
      <c r="C44" s="105"/>
      <c r="D44" s="105"/>
      <c r="E44" s="105"/>
    </row>
    <row r="45" spans="3:5" x14ac:dyDescent="0.2">
      <c r="C45" s="105"/>
      <c r="D45" s="105"/>
      <c r="E45" s="105"/>
    </row>
    <row r="46" spans="3:5" x14ac:dyDescent="0.2">
      <c r="C46" s="105"/>
      <c r="D46" s="105"/>
      <c r="E46" s="105"/>
    </row>
    <row r="47" spans="3:5" x14ac:dyDescent="0.2">
      <c r="C47" s="105"/>
      <c r="D47" s="105"/>
      <c r="E47" s="105"/>
    </row>
    <row r="48" spans="3:5" x14ac:dyDescent="0.2">
      <c r="C48" s="105"/>
      <c r="D48" s="105"/>
      <c r="E48" s="105"/>
    </row>
    <row r="49" spans="3:5" x14ac:dyDescent="0.2">
      <c r="C49" s="105"/>
      <c r="D49" s="105"/>
      <c r="E49" s="105"/>
    </row>
    <row r="50" spans="3:5" x14ac:dyDescent="0.2">
      <c r="C50" s="105"/>
      <c r="D50" s="105"/>
      <c r="E50" s="105"/>
    </row>
    <row r="51" spans="3:5" x14ac:dyDescent="0.2">
      <c r="C51" s="105"/>
      <c r="D51" s="105"/>
      <c r="E51" s="105"/>
    </row>
    <row r="52" spans="3:5" x14ac:dyDescent="0.2">
      <c r="C52" s="105"/>
      <c r="D52" s="105"/>
      <c r="E52" s="105"/>
    </row>
    <row r="53" spans="3:5" x14ac:dyDescent="0.2">
      <c r="C53" s="105"/>
      <c r="D53" s="105"/>
      <c r="E53" s="105"/>
    </row>
    <row r="54" spans="3:5" x14ac:dyDescent="0.2">
      <c r="C54" s="105"/>
      <c r="D54" s="105"/>
      <c r="E54" s="105"/>
    </row>
    <row r="55" spans="3:5" x14ac:dyDescent="0.2">
      <c r="C55" s="105"/>
      <c r="D55" s="105"/>
      <c r="E55" s="105"/>
    </row>
    <row r="56" spans="3:5" x14ac:dyDescent="0.2">
      <c r="C56" s="105"/>
      <c r="D56" s="105"/>
      <c r="E56" s="105"/>
    </row>
    <row r="57" spans="3:5" x14ac:dyDescent="0.2">
      <c r="C57" s="105"/>
      <c r="D57" s="105"/>
      <c r="E57" s="105"/>
    </row>
    <row r="58" spans="3:5" x14ac:dyDescent="0.2">
      <c r="C58" s="105"/>
      <c r="D58" s="105"/>
      <c r="E58" s="105"/>
    </row>
    <row r="59" spans="3:5" x14ac:dyDescent="0.2">
      <c r="C59" s="105"/>
      <c r="D59" s="105"/>
      <c r="E59" s="105"/>
    </row>
    <row r="60" spans="3:5" x14ac:dyDescent="0.2">
      <c r="C60" s="105"/>
      <c r="D60" s="105"/>
      <c r="E60" s="105"/>
    </row>
    <row r="61" spans="3:5" x14ac:dyDescent="0.2">
      <c r="C61" s="105"/>
      <c r="D61" s="105"/>
      <c r="E61" s="105"/>
    </row>
    <row r="62" spans="3:5" x14ac:dyDescent="0.2">
      <c r="C62" s="105"/>
      <c r="D62" s="105"/>
      <c r="E62" s="105"/>
    </row>
    <row r="63" spans="3:5" x14ac:dyDescent="0.2">
      <c r="C63" s="105"/>
      <c r="D63" s="105"/>
      <c r="E63" s="105"/>
    </row>
    <row r="64" spans="3:5" x14ac:dyDescent="0.2">
      <c r="C64" s="105"/>
      <c r="D64" s="105"/>
      <c r="E64" s="105"/>
    </row>
    <row r="65" spans="3:5" x14ac:dyDescent="0.2">
      <c r="C65" s="105"/>
      <c r="D65" s="105"/>
      <c r="E65" s="105"/>
    </row>
    <row r="66" spans="3:5" x14ac:dyDescent="0.2">
      <c r="C66" s="105"/>
      <c r="D66" s="105"/>
      <c r="E66" s="105"/>
    </row>
    <row r="67" spans="3:5" x14ac:dyDescent="0.2">
      <c r="C67" s="105"/>
      <c r="D67" s="105"/>
      <c r="E67" s="105"/>
    </row>
    <row r="68" spans="3:5" x14ac:dyDescent="0.2">
      <c r="C68" s="105"/>
      <c r="D68" s="105"/>
      <c r="E68" s="105"/>
    </row>
    <row r="69" spans="3:5" x14ac:dyDescent="0.2">
      <c r="C69" s="105"/>
      <c r="D69" s="105"/>
      <c r="E69" s="105"/>
    </row>
    <row r="70" spans="3:5" x14ac:dyDescent="0.2">
      <c r="C70" s="105"/>
      <c r="D70" s="105"/>
      <c r="E70" s="105"/>
    </row>
    <row r="71" spans="3:5" x14ac:dyDescent="0.2">
      <c r="C71" s="105"/>
      <c r="D71" s="105"/>
      <c r="E71" s="105"/>
    </row>
    <row r="72" spans="3:5" x14ac:dyDescent="0.2">
      <c r="C72" s="105"/>
      <c r="D72" s="105"/>
      <c r="E72" s="105"/>
    </row>
    <row r="73" spans="3:5" x14ac:dyDescent="0.2">
      <c r="C73" s="105"/>
      <c r="D73" s="105"/>
      <c r="E73" s="105"/>
    </row>
    <row r="74" spans="3:5" x14ac:dyDescent="0.2">
      <c r="C74" s="105"/>
      <c r="D74" s="105"/>
      <c r="E74" s="105"/>
    </row>
    <row r="75" spans="3:5" x14ac:dyDescent="0.2">
      <c r="C75" s="105"/>
      <c r="D75" s="105"/>
      <c r="E75" s="105"/>
    </row>
    <row r="76" spans="3:5" x14ac:dyDescent="0.2">
      <c r="C76" s="105"/>
      <c r="D76" s="105"/>
      <c r="E76" s="105"/>
    </row>
    <row r="77" spans="3:5" x14ac:dyDescent="0.2">
      <c r="C77" s="105"/>
      <c r="D77" s="105"/>
      <c r="E77" s="105"/>
    </row>
    <row r="78" spans="3:5" x14ac:dyDescent="0.2">
      <c r="C78" s="105"/>
      <c r="D78" s="105"/>
      <c r="E78" s="105"/>
    </row>
    <row r="79" spans="3:5" x14ac:dyDescent="0.2">
      <c r="C79" s="105"/>
      <c r="D79" s="105"/>
      <c r="E79" s="105"/>
    </row>
    <row r="80" spans="3:5" x14ac:dyDescent="0.2">
      <c r="C80" s="105"/>
      <c r="D80" s="105"/>
      <c r="E80" s="105"/>
    </row>
    <row r="81" spans="3:5" x14ac:dyDescent="0.2">
      <c r="C81" s="105"/>
      <c r="D81" s="105"/>
      <c r="E81" s="105"/>
    </row>
    <row r="82" spans="3:5" x14ac:dyDescent="0.2">
      <c r="C82" s="105"/>
      <c r="D82" s="105"/>
      <c r="E82" s="105"/>
    </row>
    <row r="83" spans="3:5" x14ac:dyDescent="0.2">
      <c r="C83" s="105"/>
      <c r="D83" s="105"/>
      <c r="E83" s="105"/>
    </row>
    <row r="84" spans="3:5" x14ac:dyDescent="0.2">
      <c r="C84" s="105"/>
      <c r="D84" s="105"/>
      <c r="E84" s="105"/>
    </row>
    <row r="85" spans="3:5" x14ac:dyDescent="0.2">
      <c r="C85" s="105"/>
      <c r="D85" s="105"/>
      <c r="E85" s="105"/>
    </row>
    <row r="86" spans="3:5" x14ac:dyDescent="0.2">
      <c r="C86" s="105"/>
      <c r="D86" s="105"/>
      <c r="E86" s="105"/>
    </row>
    <row r="87" spans="3:5" x14ac:dyDescent="0.2">
      <c r="C87" s="105"/>
      <c r="D87" s="105"/>
      <c r="E87" s="105"/>
    </row>
    <row r="88" spans="3:5" x14ac:dyDescent="0.2">
      <c r="C88" s="105"/>
      <c r="D88" s="105"/>
      <c r="E88" s="105"/>
    </row>
    <row r="89" spans="3:5" x14ac:dyDescent="0.2">
      <c r="C89" s="105"/>
      <c r="D89" s="105"/>
      <c r="E89" s="105"/>
    </row>
    <row r="90" spans="3:5" x14ac:dyDescent="0.2">
      <c r="C90" s="105"/>
      <c r="D90" s="105"/>
      <c r="E90" s="105"/>
    </row>
    <row r="91" spans="3:5" x14ac:dyDescent="0.2">
      <c r="C91" s="105"/>
      <c r="D91" s="105"/>
      <c r="E91" s="105"/>
    </row>
    <row r="92" spans="3:5" x14ac:dyDescent="0.2">
      <c r="C92" s="105"/>
      <c r="D92" s="105"/>
      <c r="E92" s="105"/>
    </row>
    <row r="93" spans="3:5" x14ac:dyDescent="0.2">
      <c r="C93" s="105"/>
      <c r="D93" s="105"/>
      <c r="E93" s="105"/>
    </row>
    <row r="94" spans="3:5" x14ac:dyDescent="0.2">
      <c r="C94" s="105"/>
      <c r="D94" s="105"/>
      <c r="E94" s="105"/>
    </row>
    <row r="95" spans="3:5" x14ac:dyDescent="0.2">
      <c r="C95" s="105"/>
      <c r="D95" s="105"/>
      <c r="E95" s="105"/>
    </row>
    <row r="96" spans="3:5" x14ac:dyDescent="0.2">
      <c r="C96" s="105"/>
      <c r="D96" s="105"/>
      <c r="E96" s="105"/>
    </row>
    <row r="97" spans="3:5" x14ac:dyDescent="0.2">
      <c r="C97" s="105"/>
      <c r="D97" s="105"/>
      <c r="E97" s="105"/>
    </row>
    <row r="98" spans="3:5" x14ac:dyDescent="0.2">
      <c r="C98" s="105"/>
      <c r="D98" s="105"/>
      <c r="E98" s="105"/>
    </row>
    <row r="99" spans="3:5" x14ac:dyDescent="0.2">
      <c r="C99" s="105"/>
      <c r="D99" s="105"/>
      <c r="E99" s="105"/>
    </row>
    <row r="100" spans="3:5" x14ac:dyDescent="0.2">
      <c r="C100" s="105"/>
      <c r="D100" s="105"/>
      <c r="E100" s="105"/>
    </row>
    <row r="101" spans="3:5" x14ac:dyDescent="0.2">
      <c r="C101" s="105"/>
      <c r="D101" s="105"/>
      <c r="E101" s="105"/>
    </row>
    <row r="102" spans="3:5" x14ac:dyDescent="0.2">
      <c r="C102" s="105"/>
      <c r="D102" s="105"/>
      <c r="E102" s="105"/>
    </row>
    <row r="103" spans="3:5" x14ac:dyDescent="0.2">
      <c r="C103" s="105"/>
      <c r="D103" s="105"/>
      <c r="E103" s="105"/>
    </row>
    <row r="104" spans="3:5" x14ac:dyDescent="0.2">
      <c r="C104" s="105"/>
      <c r="D104" s="105"/>
      <c r="E104" s="105"/>
    </row>
    <row r="105" spans="3:5" x14ac:dyDescent="0.2">
      <c r="C105" s="105"/>
      <c r="D105" s="105"/>
      <c r="E105" s="105"/>
    </row>
    <row r="106" spans="3:5" x14ac:dyDescent="0.2">
      <c r="C106" s="105"/>
      <c r="D106" s="105"/>
      <c r="E106" s="105"/>
    </row>
    <row r="107" spans="3:5" x14ac:dyDescent="0.2">
      <c r="C107" s="105"/>
      <c r="D107" s="105"/>
      <c r="E107" s="105"/>
    </row>
    <row r="108" spans="3:5" x14ac:dyDescent="0.2">
      <c r="C108" s="105"/>
      <c r="D108" s="105"/>
      <c r="E108" s="105"/>
    </row>
    <row r="109" spans="3:5" x14ac:dyDescent="0.2">
      <c r="C109" s="105"/>
      <c r="D109" s="105"/>
      <c r="E109" s="105"/>
    </row>
    <row r="110" spans="3:5" x14ac:dyDescent="0.2">
      <c r="C110" s="105"/>
      <c r="D110" s="105"/>
      <c r="E110" s="105"/>
    </row>
    <row r="111" spans="3:5" x14ac:dyDescent="0.2">
      <c r="C111" s="105"/>
      <c r="D111" s="105"/>
      <c r="E111" s="105"/>
    </row>
    <row r="112" spans="3:5" x14ac:dyDescent="0.2">
      <c r="C112" s="105"/>
      <c r="D112" s="105"/>
      <c r="E112" s="105"/>
    </row>
    <row r="113" spans="3:5" x14ac:dyDescent="0.2">
      <c r="C113" s="105"/>
      <c r="D113" s="105"/>
      <c r="E113" s="105"/>
    </row>
    <row r="114" spans="3:5" x14ac:dyDescent="0.2">
      <c r="C114" s="105"/>
      <c r="D114" s="105"/>
      <c r="E114" s="105"/>
    </row>
    <row r="115" spans="3:5" x14ac:dyDescent="0.2">
      <c r="C115" s="105"/>
      <c r="D115" s="105"/>
      <c r="E115" s="105"/>
    </row>
    <row r="116" spans="3:5" x14ac:dyDescent="0.2">
      <c r="C116" s="105"/>
      <c r="D116" s="105"/>
      <c r="E116" s="105"/>
    </row>
    <row r="117" spans="3:5" x14ac:dyDescent="0.2">
      <c r="C117" s="105"/>
      <c r="D117" s="105"/>
      <c r="E117" s="105"/>
    </row>
    <row r="118" spans="3:5" x14ac:dyDescent="0.2">
      <c r="C118" s="105"/>
      <c r="D118" s="105"/>
      <c r="E118" s="105"/>
    </row>
    <row r="119" spans="3:5" x14ac:dyDescent="0.2">
      <c r="C119" s="105"/>
      <c r="D119" s="105"/>
      <c r="E119" s="105"/>
    </row>
    <row r="120" spans="3:5" x14ac:dyDescent="0.2">
      <c r="C120" s="105"/>
      <c r="D120" s="105"/>
      <c r="E120" s="105"/>
    </row>
    <row r="121" spans="3:5" x14ac:dyDescent="0.2">
      <c r="C121" s="105"/>
      <c r="D121" s="105"/>
      <c r="E121" s="105"/>
    </row>
    <row r="122" spans="3:5" x14ac:dyDescent="0.2">
      <c r="C122" s="105"/>
      <c r="D122" s="105"/>
      <c r="E122" s="105"/>
    </row>
    <row r="123" spans="3:5" x14ac:dyDescent="0.2">
      <c r="C123" s="105"/>
      <c r="D123" s="105"/>
      <c r="E123" s="105"/>
    </row>
    <row r="124" spans="3:5" x14ac:dyDescent="0.2">
      <c r="C124" s="105"/>
      <c r="D124" s="105"/>
      <c r="E124" s="105"/>
    </row>
    <row r="125" spans="3:5" x14ac:dyDescent="0.2">
      <c r="C125" s="105"/>
      <c r="D125" s="105"/>
      <c r="E125" s="105"/>
    </row>
    <row r="126" spans="3:5" x14ac:dyDescent="0.2">
      <c r="C126" s="105"/>
      <c r="D126" s="105"/>
      <c r="E126" s="105"/>
    </row>
    <row r="127" spans="3:5" x14ac:dyDescent="0.2">
      <c r="C127" s="105"/>
      <c r="D127" s="105"/>
      <c r="E127" s="10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C36"/>
  <sheetViews>
    <sheetView showGridLines="0" workbookViewId="0"/>
  </sheetViews>
  <sheetFormatPr baseColWidth="10" defaultColWidth="12.5703125" defaultRowHeight="15.75" customHeight="1" x14ac:dyDescent="0.2"/>
  <cols>
    <col min="2" max="2" width="30.42578125" customWidth="1"/>
  </cols>
  <sheetData>
    <row r="1" spans="1:3" ht="12.75" x14ac:dyDescent="0.2">
      <c r="A1" s="158" t="s">
        <v>5104</v>
      </c>
      <c r="B1" s="157" t="s">
        <v>5933</v>
      </c>
    </row>
    <row r="2" spans="1:3" ht="12.75" x14ac:dyDescent="0.2">
      <c r="A2" s="158" t="s">
        <v>1</v>
      </c>
      <c r="B2" s="157" t="s">
        <v>38</v>
      </c>
    </row>
    <row r="3" spans="1:3" ht="12.75" x14ac:dyDescent="0.2"/>
    <row r="4" spans="1:3" ht="12.75" x14ac:dyDescent="0.2">
      <c r="A4" s="148" t="s">
        <v>2</v>
      </c>
      <c r="B4" s="148" t="s">
        <v>3274</v>
      </c>
      <c r="C4" s="151" t="s">
        <v>5934</v>
      </c>
    </row>
    <row r="5" spans="1:3" ht="12.75" x14ac:dyDescent="0.2">
      <c r="A5" s="150" t="s">
        <v>9</v>
      </c>
      <c r="B5" s="150" t="s">
        <v>5467</v>
      </c>
      <c r="C5" s="159">
        <v>1</v>
      </c>
    </row>
    <row r="6" spans="1:3" ht="12.75" x14ac:dyDescent="0.2">
      <c r="A6" s="152"/>
      <c r="B6" s="160" t="s">
        <v>4315</v>
      </c>
      <c r="C6" s="161">
        <v>1</v>
      </c>
    </row>
    <row r="7" spans="1:3" ht="12.75" x14ac:dyDescent="0.2">
      <c r="A7" s="152"/>
      <c r="B7" s="160" t="s">
        <v>4908</v>
      </c>
      <c r="C7" s="161">
        <v>2</v>
      </c>
    </row>
    <row r="8" spans="1:3" ht="12.75" x14ac:dyDescent="0.2">
      <c r="A8" s="152"/>
      <c r="B8" s="160" t="s">
        <v>4426</v>
      </c>
      <c r="C8" s="161">
        <v>1</v>
      </c>
    </row>
    <row r="9" spans="1:3" ht="12.75" x14ac:dyDescent="0.2">
      <c r="A9" s="152"/>
      <c r="B9" s="160" t="s">
        <v>4311</v>
      </c>
      <c r="C9" s="161">
        <v>1</v>
      </c>
    </row>
    <row r="10" spans="1:3" ht="12.75" x14ac:dyDescent="0.2">
      <c r="A10" s="150" t="s">
        <v>5910</v>
      </c>
      <c r="B10" s="162"/>
      <c r="C10" s="159">
        <v>6</v>
      </c>
    </row>
    <row r="11" spans="1:3" ht="12.75" x14ac:dyDescent="0.2">
      <c r="A11" s="150" t="s">
        <v>39</v>
      </c>
      <c r="B11" s="150" t="s">
        <v>3705</v>
      </c>
      <c r="C11" s="159">
        <v>2</v>
      </c>
    </row>
    <row r="12" spans="1:3" ht="12.75" x14ac:dyDescent="0.2">
      <c r="A12" s="152"/>
      <c r="B12" s="160" t="s">
        <v>3432</v>
      </c>
      <c r="C12" s="161">
        <v>2</v>
      </c>
    </row>
    <row r="13" spans="1:3" ht="12.75" x14ac:dyDescent="0.2">
      <c r="A13" s="152"/>
      <c r="B13" s="160" t="s">
        <v>3820</v>
      </c>
      <c r="C13" s="161">
        <v>1</v>
      </c>
    </row>
    <row r="14" spans="1:3" ht="12.75" x14ac:dyDescent="0.2">
      <c r="A14" s="152"/>
      <c r="B14" s="160" t="s">
        <v>3488</v>
      </c>
      <c r="C14" s="161">
        <v>2</v>
      </c>
    </row>
    <row r="15" spans="1:3" ht="12.75" x14ac:dyDescent="0.2">
      <c r="A15" s="152"/>
      <c r="B15" s="160" t="s">
        <v>3606</v>
      </c>
      <c r="C15" s="161">
        <v>2</v>
      </c>
    </row>
    <row r="16" spans="1:3" ht="12.75" x14ac:dyDescent="0.2">
      <c r="A16" s="152"/>
      <c r="B16" s="160" t="s">
        <v>3498</v>
      </c>
      <c r="C16" s="161">
        <v>1</v>
      </c>
    </row>
    <row r="17" spans="1:3" ht="12.75" x14ac:dyDescent="0.2">
      <c r="A17" s="152"/>
      <c r="B17" s="160" t="s">
        <v>3479</v>
      </c>
      <c r="C17" s="161">
        <v>2</v>
      </c>
    </row>
    <row r="18" spans="1:3" ht="12.75" x14ac:dyDescent="0.2">
      <c r="A18" s="152"/>
      <c r="B18" s="160" t="s">
        <v>4688</v>
      </c>
      <c r="C18" s="161">
        <v>3</v>
      </c>
    </row>
    <row r="19" spans="1:3" ht="12.75" x14ac:dyDescent="0.2">
      <c r="A19" s="152"/>
      <c r="B19" s="160" t="s">
        <v>4775</v>
      </c>
      <c r="C19" s="161">
        <v>2</v>
      </c>
    </row>
    <row r="20" spans="1:3" ht="12.75" x14ac:dyDescent="0.2">
      <c r="A20" s="152"/>
      <c r="B20" s="160" t="s">
        <v>3610</v>
      </c>
      <c r="C20" s="161">
        <v>1</v>
      </c>
    </row>
    <row r="21" spans="1:3" ht="12.75" x14ac:dyDescent="0.2">
      <c r="A21" s="152"/>
      <c r="B21" s="160" t="s">
        <v>3496</v>
      </c>
      <c r="C21" s="161">
        <v>3</v>
      </c>
    </row>
    <row r="22" spans="1:3" ht="12.75" x14ac:dyDescent="0.2">
      <c r="A22" s="152"/>
      <c r="B22" s="160" t="s">
        <v>3740</v>
      </c>
      <c r="C22" s="161">
        <v>1</v>
      </c>
    </row>
    <row r="23" spans="1:3" ht="12.75" x14ac:dyDescent="0.2">
      <c r="A23" s="152"/>
      <c r="B23" s="160" t="s">
        <v>3529</v>
      </c>
      <c r="C23" s="161">
        <v>2</v>
      </c>
    </row>
    <row r="24" spans="1:3" ht="12.75" x14ac:dyDescent="0.2">
      <c r="A24" s="152"/>
      <c r="B24" s="160" t="s">
        <v>3372</v>
      </c>
      <c r="C24" s="161">
        <v>2</v>
      </c>
    </row>
    <row r="25" spans="1:3" ht="12.75" x14ac:dyDescent="0.2">
      <c r="A25" s="150" t="s">
        <v>5907</v>
      </c>
      <c r="B25" s="162"/>
      <c r="C25" s="159">
        <v>26</v>
      </c>
    </row>
    <row r="26" spans="1:3" ht="12.75" x14ac:dyDescent="0.2">
      <c r="A26" s="150" t="s">
        <v>87</v>
      </c>
      <c r="B26" s="150" t="s">
        <v>5014</v>
      </c>
      <c r="C26" s="159">
        <v>1</v>
      </c>
    </row>
    <row r="27" spans="1:3" ht="12.75" x14ac:dyDescent="0.2">
      <c r="A27" s="152"/>
      <c r="B27" s="160" t="s">
        <v>3929</v>
      </c>
      <c r="C27" s="161">
        <v>2</v>
      </c>
    </row>
    <row r="28" spans="1:3" ht="12.75" x14ac:dyDescent="0.2">
      <c r="A28" s="152"/>
      <c r="B28" s="160" t="s">
        <v>3946</v>
      </c>
      <c r="C28" s="161">
        <v>1</v>
      </c>
    </row>
    <row r="29" spans="1:3" ht="12.75" x14ac:dyDescent="0.2">
      <c r="A29" s="152"/>
      <c r="B29" s="160" t="s">
        <v>4248</v>
      </c>
      <c r="C29" s="161">
        <v>1</v>
      </c>
    </row>
    <row r="30" spans="1:3" ht="12.75" x14ac:dyDescent="0.2">
      <c r="A30" s="150" t="s">
        <v>5911</v>
      </c>
      <c r="B30" s="162"/>
      <c r="C30" s="159">
        <v>5</v>
      </c>
    </row>
    <row r="31" spans="1:3" ht="12.75" x14ac:dyDescent="0.2">
      <c r="A31" s="150" t="s">
        <v>129</v>
      </c>
      <c r="B31" s="150" t="s">
        <v>3938</v>
      </c>
      <c r="C31" s="159">
        <v>1</v>
      </c>
    </row>
    <row r="32" spans="1:3" ht="12.75" x14ac:dyDescent="0.2">
      <c r="A32" s="152"/>
      <c r="B32" s="160" t="s">
        <v>4085</v>
      </c>
      <c r="C32" s="161">
        <v>1</v>
      </c>
    </row>
    <row r="33" spans="1:3" ht="12.75" x14ac:dyDescent="0.2">
      <c r="A33" s="150" t="s">
        <v>5912</v>
      </c>
      <c r="B33" s="162"/>
      <c r="C33" s="159">
        <v>2</v>
      </c>
    </row>
    <row r="34" spans="1:3" ht="15.75" customHeight="1" x14ac:dyDescent="0.2">
      <c r="A34" s="150" t="s">
        <v>135</v>
      </c>
      <c r="B34" s="150" t="s">
        <v>4026</v>
      </c>
      <c r="C34" s="159">
        <v>2</v>
      </c>
    </row>
    <row r="35" spans="1:3" ht="15.75" customHeight="1" x14ac:dyDescent="0.2">
      <c r="A35" s="150" t="s">
        <v>5908</v>
      </c>
      <c r="B35" s="162"/>
      <c r="C35" s="159">
        <v>2</v>
      </c>
    </row>
    <row r="36" spans="1:3" ht="15.75" customHeight="1" x14ac:dyDescent="0.2">
      <c r="A36" s="155" t="s">
        <v>5930</v>
      </c>
      <c r="B36" s="163"/>
      <c r="C36" s="164">
        <v>41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C36"/>
  <sheetViews>
    <sheetView showGridLines="0" workbookViewId="0"/>
  </sheetViews>
  <sheetFormatPr baseColWidth="10" defaultColWidth="12.5703125" defaultRowHeight="15.75" customHeight="1" x14ac:dyDescent="0.2"/>
  <cols>
    <col min="2" max="2" width="30.42578125" customWidth="1"/>
  </cols>
  <sheetData>
    <row r="1" spans="1:3" ht="12.75" x14ac:dyDescent="0.2">
      <c r="A1" s="158" t="s">
        <v>5104</v>
      </c>
      <c r="B1" s="157" t="s">
        <v>5933</v>
      </c>
    </row>
    <row r="2" spans="1:3" ht="12.75" x14ac:dyDescent="0.2">
      <c r="A2" s="158" t="s">
        <v>1</v>
      </c>
      <c r="B2" s="157" t="s">
        <v>52</v>
      </c>
    </row>
    <row r="3" spans="1:3" ht="12.75" x14ac:dyDescent="0.2"/>
    <row r="4" spans="1:3" ht="12.75" x14ac:dyDescent="0.2">
      <c r="A4" s="148" t="s">
        <v>2</v>
      </c>
      <c r="B4" s="148" t="s">
        <v>3274</v>
      </c>
      <c r="C4" s="151" t="s">
        <v>5934</v>
      </c>
    </row>
    <row r="5" spans="1:3" ht="12.75" x14ac:dyDescent="0.2">
      <c r="A5" s="150" t="s">
        <v>53</v>
      </c>
      <c r="B5" s="150" t="s">
        <v>5447</v>
      </c>
      <c r="C5" s="159">
        <v>1</v>
      </c>
    </row>
    <row r="6" spans="1:3" ht="12.75" x14ac:dyDescent="0.2">
      <c r="A6" s="152"/>
      <c r="B6" s="160" t="s">
        <v>5357</v>
      </c>
      <c r="C6" s="161">
        <v>1</v>
      </c>
    </row>
    <row r="7" spans="1:3" ht="12.75" x14ac:dyDescent="0.2">
      <c r="A7" s="152"/>
      <c r="B7" s="160" t="s">
        <v>5352</v>
      </c>
      <c r="C7" s="161">
        <v>1</v>
      </c>
    </row>
    <row r="8" spans="1:3" ht="12.75" x14ac:dyDescent="0.2">
      <c r="A8" s="152"/>
      <c r="B8" s="160" t="s">
        <v>5438</v>
      </c>
      <c r="C8" s="161">
        <v>2</v>
      </c>
    </row>
    <row r="9" spans="1:3" ht="12.75" x14ac:dyDescent="0.2">
      <c r="A9" s="152"/>
      <c r="B9" s="160" t="s">
        <v>5451</v>
      </c>
      <c r="C9" s="161">
        <v>1</v>
      </c>
    </row>
    <row r="10" spans="1:3" ht="12.75" x14ac:dyDescent="0.2">
      <c r="A10" s="152"/>
      <c r="B10" s="160" t="s">
        <v>5351</v>
      </c>
      <c r="C10" s="161">
        <v>1</v>
      </c>
    </row>
    <row r="11" spans="1:3" ht="12.75" x14ac:dyDescent="0.2">
      <c r="A11" s="152"/>
      <c r="B11" s="160" t="s">
        <v>5442</v>
      </c>
      <c r="C11" s="161">
        <v>2</v>
      </c>
    </row>
    <row r="12" spans="1:3" ht="12.75" x14ac:dyDescent="0.2">
      <c r="A12" s="152"/>
      <c r="B12" s="160" t="s">
        <v>5358</v>
      </c>
      <c r="C12" s="161">
        <v>1</v>
      </c>
    </row>
    <row r="13" spans="1:3" ht="12.75" x14ac:dyDescent="0.2">
      <c r="A13" s="152"/>
      <c r="B13" s="160" t="s">
        <v>5440</v>
      </c>
      <c r="C13" s="161">
        <v>2</v>
      </c>
    </row>
    <row r="14" spans="1:3" ht="12.75" x14ac:dyDescent="0.2">
      <c r="A14" s="152"/>
      <c r="B14" s="160" t="s">
        <v>5441</v>
      </c>
      <c r="C14" s="161">
        <v>2</v>
      </c>
    </row>
    <row r="15" spans="1:3" ht="12.75" x14ac:dyDescent="0.2">
      <c r="A15" s="152"/>
      <c r="B15" s="160" t="s">
        <v>5354</v>
      </c>
      <c r="C15" s="161">
        <v>4</v>
      </c>
    </row>
    <row r="16" spans="1:3" ht="12.75" x14ac:dyDescent="0.2">
      <c r="A16" s="152"/>
      <c r="B16" s="160" t="s">
        <v>5452</v>
      </c>
      <c r="C16" s="161">
        <v>1</v>
      </c>
    </row>
    <row r="17" spans="1:3" ht="12.75" x14ac:dyDescent="0.2">
      <c r="A17" s="152"/>
      <c r="B17" s="160" t="s">
        <v>5445</v>
      </c>
      <c r="C17" s="161">
        <v>2</v>
      </c>
    </row>
    <row r="18" spans="1:3" ht="12.75" x14ac:dyDescent="0.2">
      <c r="A18" s="152"/>
      <c r="B18" s="160" t="s">
        <v>5349</v>
      </c>
      <c r="C18" s="161">
        <v>1</v>
      </c>
    </row>
    <row r="19" spans="1:3" ht="12.75" x14ac:dyDescent="0.2">
      <c r="A19" s="152"/>
      <c r="B19" s="160" t="s">
        <v>5450</v>
      </c>
      <c r="C19" s="161">
        <v>1</v>
      </c>
    </row>
    <row r="20" spans="1:3" ht="12.75" x14ac:dyDescent="0.2">
      <c r="A20" s="152"/>
      <c r="B20" s="160" t="s">
        <v>5350</v>
      </c>
      <c r="C20" s="161">
        <v>1</v>
      </c>
    </row>
    <row r="21" spans="1:3" ht="12.75" x14ac:dyDescent="0.2">
      <c r="A21" s="150" t="s">
        <v>5913</v>
      </c>
      <c r="B21" s="162"/>
      <c r="C21" s="159">
        <v>24</v>
      </c>
    </row>
    <row r="22" spans="1:3" ht="12.75" x14ac:dyDescent="0.2">
      <c r="A22" s="150" t="s">
        <v>87</v>
      </c>
      <c r="B22" s="150" t="s">
        <v>5462</v>
      </c>
      <c r="C22" s="159">
        <v>2</v>
      </c>
    </row>
    <row r="23" spans="1:3" ht="12.75" x14ac:dyDescent="0.2">
      <c r="A23" s="152"/>
      <c r="B23" s="160" t="s">
        <v>5460</v>
      </c>
      <c r="C23" s="161">
        <v>2</v>
      </c>
    </row>
    <row r="24" spans="1:3" ht="12.75" x14ac:dyDescent="0.2">
      <c r="A24" s="152"/>
      <c r="B24" s="160" t="s">
        <v>5461</v>
      </c>
      <c r="C24" s="161">
        <v>2</v>
      </c>
    </row>
    <row r="25" spans="1:3" ht="12.75" x14ac:dyDescent="0.2">
      <c r="A25" s="150" t="s">
        <v>5911</v>
      </c>
      <c r="B25" s="162"/>
      <c r="C25" s="159">
        <v>6</v>
      </c>
    </row>
    <row r="26" spans="1:3" ht="12.75" x14ac:dyDescent="0.2">
      <c r="A26" s="150" t="s">
        <v>108</v>
      </c>
      <c r="B26" s="150" t="s">
        <v>4105</v>
      </c>
      <c r="C26" s="159">
        <v>1</v>
      </c>
    </row>
    <row r="27" spans="1:3" ht="12.75" x14ac:dyDescent="0.2">
      <c r="A27" s="150" t="s">
        <v>5914</v>
      </c>
      <c r="B27" s="162"/>
      <c r="C27" s="159">
        <v>1</v>
      </c>
    </row>
    <row r="28" spans="1:3" ht="12.75" x14ac:dyDescent="0.2">
      <c r="A28" s="150" t="s">
        <v>135</v>
      </c>
      <c r="B28" s="150" t="s">
        <v>5453</v>
      </c>
      <c r="C28" s="159">
        <v>2</v>
      </c>
    </row>
    <row r="29" spans="1:3" ht="12.75" x14ac:dyDescent="0.2">
      <c r="A29" s="152"/>
      <c r="B29" s="160" t="s">
        <v>5454</v>
      </c>
      <c r="C29" s="161">
        <v>2</v>
      </c>
    </row>
    <row r="30" spans="1:3" ht="12.75" x14ac:dyDescent="0.2">
      <c r="A30" s="152"/>
      <c r="B30" s="160" t="s">
        <v>5455</v>
      </c>
      <c r="C30" s="161">
        <v>2</v>
      </c>
    </row>
    <row r="31" spans="1:3" ht="12.75" x14ac:dyDescent="0.2">
      <c r="A31" s="152"/>
      <c r="B31" s="160" t="s">
        <v>5456</v>
      </c>
      <c r="C31" s="161">
        <v>2</v>
      </c>
    </row>
    <row r="32" spans="1:3" ht="12.75" x14ac:dyDescent="0.2">
      <c r="A32" s="152"/>
      <c r="B32" s="160" t="s">
        <v>5457</v>
      </c>
      <c r="C32" s="161">
        <v>2</v>
      </c>
    </row>
    <row r="33" spans="1:3" ht="12.75" x14ac:dyDescent="0.2">
      <c r="A33" s="152"/>
      <c r="B33" s="160" t="s">
        <v>5458</v>
      </c>
      <c r="C33" s="161">
        <v>2</v>
      </c>
    </row>
    <row r="34" spans="1:3" ht="15.75" customHeight="1" x14ac:dyDescent="0.2">
      <c r="A34" s="152"/>
      <c r="B34" s="160" t="s">
        <v>5459</v>
      </c>
      <c r="C34" s="161">
        <v>2</v>
      </c>
    </row>
    <row r="35" spans="1:3" ht="15.75" customHeight="1" x14ac:dyDescent="0.2">
      <c r="A35" s="150" t="s">
        <v>5908</v>
      </c>
      <c r="B35" s="162"/>
      <c r="C35" s="159">
        <v>14</v>
      </c>
    </row>
    <row r="36" spans="1:3" ht="15.75" customHeight="1" x14ac:dyDescent="0.2">
      <c r="A36" s="155" t="s">
        <v>5930</v>
      </c>
      <c r="B36" s="163"/>
      <c r="C36" s="164">
        <v>45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C8"/>
  <sheetViews>
    <sheetView showGridLines="0" workbookViewId="0"/>
  </sheetViews>
  <sheetFormatPr baseColWidth="10" defaultColWidth="12.5703125" defaultRowHeight="15.75" customHeight="1" x14ac:dyDescent="0.2"/>
  <cols>
    <col min="2" max="2" width="30.42578125" customWidth="1"/>
  </cols>
  <sheetData>
    <row r="1" spans="1:3" ht="12.75" x14ac:dyDescent="0.2">
      <c r="A1" s="158" t="s">
        <v>5104</v>
      </c>
      <c r="B1" s="157" t="s">
        <v>5933</v>
      </c>
    </row>
    <row r="2" spans="1:3" ht="12.75" x14ac:dyDescent="0.2">
      <c r="A2" s="158" t="s">
        <v>1</v>
      </c>
      <c r="B2" s="157" t="s">
        <v>59</v>
      </c>
    </row>
    <row r="3" spans="1:3" ht="12.75" x14ac:dyDescent="0.2"/>
    <row r="4" spans="1:3" ht="12.75" x14ac:dyDescent="0.2">
      <c r="A4" s="148" t="s">
        <v>2</v>
      </c>
      <c r="B4" s="148" t="s">
        <v>3274</v>
      </c>
      <c r="C4" s="151" t="s">
        <v>5934</v>
      </c>
    </row>
    <row r="5" spans="1:3" ht="12.75" x14ac:dyDescent="0.2">
      <c r="A5" s="150" t="s">
        <v>39</v>
      </c>
      <c r="B5" s="150" t="s">
        <v>3748</v>
      </c>
      <c r="C5" s="159">
        <v>1</v>
      </c>
    </row>
    <row r="6" spans="1:3" ht="15.75" customHeight="1" x14ac:dyDescent="0.2">
      <c r="A6" s="152"/>
      <c r="B6" s="160" t="s">
        <v>3502</v>
      </c>
      <c r="C6" s="161">
        <v>1</v>
      </c>
    </row>
    <row r="7" spans="1:3" ht="15.75" customHeight="1" x14ac:dyDescent="0.2">
      <c r="A7" s="150" t="s">
        <v>5907</v>
      </c>
      <c r="B7" s="162"/>
      <c r="C7" s="159">
        <v>2</v>
      </c>
    </row>
    <row r="8" spans="1:3" ht="15.75" customHeight="1" x14ac:dyDescent="0.2">
      <c r="A8" s="155" t="s">
        <v>5930</v>
      </c>
      <c r="B8" s="163"/>
      <c r="C8" s="164">
        <v>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F24"/>
  <sheetViews>
    <sheetView showGridLines="0" workbookViewId="0"/>
  </sheetViews>
  <sheetFormatPr baseColWidth="10" defaultColWidth="12.5703125" defaultRowHeight="15.75" customHeight="1" x14ac:dyDescent="0.2"/>
  <cols>
    <col min="1" max="1" width="33.85546875" customWidth="1"/>
  </cols>
  <sheetData>
    <row r="1" spans="1:6" ht="12.75" x14ac:dyDescent="0.2">
      <c r="A1" s="9" t="s">
        <v>5915</v>
      </c>
    </row>
    <row r="2" spans="1:6" ht="12.75" x14ac:dyDescent="0.2">
      <c r="A2" s="158" t="s">
        <v>0</v>
      </c>
      <c r="B2" s="157" t="s">
        <v>98</v>
      </c>
    </row>
    <row r="3" spans="1:6" ht="12.75" x14ac:dyDescent="0.2"/>
    <row r="4" spans="1:6" ht="12.75" x14ac:dyDescent="0.2">
      <c r="A4" s="149" t="s">
        <v>1</v>
      </c>
      <c r="E4" s="105"/>
      <c r="F4" s="105"/>
    </row>
    <row r="5" spans="1:6" ht="12.75" x14ac:dyDescent="0.2">
      <c r="A5" s="151" t="s">
        <v>110</v>
      </c>
      <c r="E5" s="105"/>
      <c r="F5" s="105"/>
    </row>
    <row r="6" spans="1:6" ht="12.75" x14ac:dyDescent="0.2">
      <c r="A6" s="153" t="s">
        <v>107</v>
      </c>
      <c r="E6" s="105"/>
      <c r="F6" s="105"/>
    </row>
    <row r="7" spans="1:6" ht="12.75" x14ac:dyDescent="0.2">
      <c r="A7" s="153" t="s">
        <v>113</v>
      </c>
      <c r="E7" s="105"/>
      <c r="F7" s="105"/>
    </row>
    <row r="8" spans="1:6" ht="12.75" x14ac:dyDescent="0.2">
      <c r="A8" s="153" t="s">
        <v>105</v>
      </c>
      <c r="E8" s="105"/>
      <c r="F8" s="105"/>
    </row>
    <row r="9" spans="1:6" ht="12.75" x14ac:dyDescent="0.2">
      <c r="A9" s="153" t="s">
        <v>102</v>
      </c>
      <c r="E9" s="105"/>
      <c r="F9" s="105"/>
    </row>
    <row r="10" spans="1:6" ht="12.75" x14ac:dyDescent="0.2">
      <c r="A10" s="153" t="s">
        <v>99</v>
      </c>
      <c r="E10" s="105"/>
      <c r="F10" s="105"/>
    </row>
    <row r="11" spans="1:6" ht="12.75" x14ac:dyDescent="0.2">
      <c r="A11" s="157" t="s">
        <v>5930</v>
      </c>
      <c r="F11" s="105"/>
    </row>
    <row r="13" spans="1:6" ht="17.25" customHeight="1" x14ac:dyDescent="0.2">
      <c r="A13" s="158" t="s">
        <v>0</v>
      </c>
      <c r="B13" s="157" t="s">
        <v>98</v>
      </c>
    </row>
    <row r="14" spans="1:6" ht="12.75" x14ac:dyDescent="0.2">
      <c r="A14" s="9" t="s">
        <v>5916</v>
      </c>
    </row>
    <row r="15" spans="1:6" ht="12.75" x14ac:dyDescent="0.2">
      <c r="A15" s="148" t="s">
        <v>5929</v>
      </c>
      <c r="B15" s="148" t="s">
        <v>3278</v>
      </c>
      <c r="C15" s="162"/>
      <c r="D15" s="154"/>
    </row>
    <row r="16" spans="1:6" ht="12.75" x14ac:dyDescent="0.2">
      <c r="A16" s="148" t="s">
        <v>1</v>
      </c>
      <c r="B16" s="167" t="s">
        <v>10</v>
      </c>
      <c r="C16" s="168" t="s">
        <v>40</v>
      </c>
      <c r="D16" s="169" t="s">
        <v>5930</v>
      </c>
    </row>
    <row r="17" spans="1:4" ht="12.75" x14ac:dyDescent="0.2">
      <c r="A17" s="150" t="s">
        <v>110</v>
      </c>
      <c r="B17" s="170">
        <v>15</v>
      </c>
      <c r="C17" s="171">
        <v>16</v>
      </c>
      <c r="D17" s="159">
        <v>31</v>
      </c>
    </row>
    <row r="18" spans="1:4" ht="12.75" x14ac:dyDescent="0.2">
      <c r="A18" s="160" t="s">
        <v>86</v>
      </c>
      <c r="B18" s="172">
        <v>0.5</v>
      </c>
      <c r="C18" s="173"/>
      <c r="D18" s="161">
        <v>0.5</v>
      </c>
    </row>
    <row r="19" spans="1:4" ht="12.75" x14ac:dyDescent="0.2">
      <c r="A19" s="160" t="s">
        <v>107</v>
      </c>
      <c r="B19" s="172">
        <v>29.5</v>
      </c>
      <c r="C19" s="173">
        <v>15.999999999999991</v>
      </c>
      <c r="D19" s="161">
        <v>45.499999999999993</v>
      </c>
    </row>
    <row r="20" spans="1:4" ht="12.75" x14ac:dyDescent="0.2">
      <c r="A20" s="160" t="s">
        <v>113</v>
      </c>
      <c r="B20" s="172">
        <v>11</v>
      </c>
      <c r="C20" s="173">
        <v>4</v>
      </c>
      <c r="D20" s="161">
        <v>15</v>
      </c>
    </row>
    <row r="21" spans="1:4" ht="12.75" x14ac:dyDescent="0.2">
      <c r="A21" s="160" t="s">
        <v>105</v>
      </c>
      <c r="B21" s="172">
        <v>18.5</v>
      </c>
      <c r="C21" s="173">
        <v>12.999999999999998</v>
      </c>
      <c r="D21" s="161">
        <v>31.5</v>
      </c>
    </row>
    <row r="22" spans="1:4" ht="12.75" x14ac:dyDescent="0.2">
      <c r="A22" s="160" t="s">
        <v>102</v>
      </c>
      <c r="B22" s="172">
        <v>13.5</v>
      </c>
      <c r="C22" s="173">
        <v>7.9999999999999982</v>
      </c>
      <c r="D22" s="161">
        <v>21.5</v>
      </c>
    </row>
    <row r="23" spans="1:4" ht="12.75" x14ac:dyDescent="0.2">
      <c r="A23" s="160" t="s">
        <v>99</v>
      </c>
      <c r="B23" s="172">
        <v>12.2</v>
      </c>
      <c r="C23" s="173">
        <v>19</v>
      </c>
      <c r="D23" s="161">
        <v>31.2</v>
      </c>
    </row>
    <row r="24" spans="1:4" ht="12.75" x14ac:dyDescent="0.2">
      <c r="A24" s="155" t="s">
        <v>5930</v>
      </c>
      <c r="B24" s="174">
        <v>100.2</v>
      </c>
      <c r="C24" s="175">
        <v>76</v>
      </c>
      <c r="D24" s="164">
        <v>176.2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E127"/>
  <sheetViews>
    <sheetView showGridLines="0" workbookViewId="0"/>
  </sheetViews>
  <sheetFormatPr baseColWidth="10" defaultColWidth="12.5703125" defaultRowHeight="15.75" customHeight="1" x14ac:dyDescent="0.2"/>
  <cols>
    <col min="1" max="1" width="36.5703125" customWidth="1"/>
    <col min="2" max="2" width="80.5703125" customWidth="1"/>
    <col min="3" max="3" width="18.42578125" customWidth="1"/>
  </cols>
  <sheetData>
    <row r="1" spans="1:2" x14ac:dyDescent="0.2">
      <c r="A1" s="158" t="s">
        <v>0</v>
      </c>
      <c r="B1" s="157" t="s">
        <v>115</v>
      </c>
    </row>
    <row r="3" spans="1:2" x14ac:dyDescent="0.2">
      <c r="A3" s="148" t="s">
        <v>1</v>
      </c>
      <c r="B3" s="149" t="s">
        <v>5104</v>
      </c>
    </row>
    <row r="4" spans="1:2" x14ac:dyDescent="0.2">
      <c r="A4" s="150" t="s">
        <v>122</v>
      </c>
      <c r="B4" s="151" t="s">
        <v>5120</v>
      </c>
    </row>
    <row r="5" spans="1:2" x14ac:dyDescent="0.2">
      <c r="A5" s="152"/>
      <c r="B5" s="153" t="s">
        <v>5417</v>
      </c>
    </row>
    <row r="6" spans="1:2" x14ac:dyDescent="0.2">
      <c r="A6" s="152"/>
      <c r="B6" s="153" t="s">
        <v>5422</v>
      </c>
    </row>
    <row r="7" spans="1:2" x14ac:dyDescent="0.2">
      <c r="A7" s="152"/>
      <c r="B7" s="153" t="s">
        <v>5401</v>
      </c>
    </row>
    <row r="8" spans="1:2" x14ac:dyDescent="0.2">
      <c r="A8" s="152"/>
      <c r="B8" s="153" t="s">
        <v>5420</v>
      </c>
    </row>
    <row r="9" spans="1:2" x14ac:dyDescent="0.2">
      <c r="A9" s="152"/>
      <c r="B9" s="153" t="s">
        <v>5433</v>
      </c>
    </row>
    <row r="10" spans="1:2" x14ac:dyDescent="0.2">
      <c r="A10" s="152"/>
      <c r="B10" s="153" t="s">
        <v>5429</v>
      </c>
    </row>
    <row r="11" spans="1:2" x14ac:dyDescent="0.2">
      <c r="A11" s="152"/>
      <c r="B11" s="153" t="s">
        <v>5428</v>
      </c>
    </row>
    <row r="12" spans="1:2" x14ac:dyDescent="0.2">
      <c r="A12" s="152"/>
      <c r="B12" s="153" t="s">
        <v>5423</v>
      </c>
    </row>
    <row r="13" spans="1:2" x14ac:dyDescent="0.2">
      <c r="A13" s="152"/>
      <c r="B13" s="153" t="s">
        <v>5426</v>
      </c>
    </row>
    <row r="14" spans="1:2" x14ac:dyDescent="0.2">
      <c r="A14" s="152"/>
      <c r="B14" s="153" t="s">
        <v>5116</v>
      </c>
    </row>
    <row r="15" spans="1:2" x14ac:dyDescent="0.2">
      <c r="A15" s="152"/>
      <c r="B15" s="153" t="s">
        <v>5432</v>
      </c>
    </row>
    <row r="16" spans="1:2" x14ac:dyDescent="0.2">
      <c r="A16" s="152"/>
      <c r="B16" s="153" t="s">
        <v>5424</v>
      </c>
    </row>
    <row r="17" spans="1:2" x14ac:dyDescent="0.2">
      <c r="A17" s="152"/>
      <c r="B17" s="153" t="s">
        <v>5425</v>
      </c>
    </row>
    <row r="18" spans="1:2" x14ac:dyDescent="0.2">
      <c r="A18" s="152"/>
      <c r="B18" s="153" t="s">
        <v>5430</v>
      </c>
    </row>
    <row r="19" spans="1:2" x14ac:dyDescent="0.2">
      <c r="A19" s="152"/>
      <c r="B19" s="153" t="s">
        <v>5431</v>
      </c>
    </row>
    <row r="20" spans="1:2" x14ac:dyDescent="0.2">
      <c r="A20" s="152"/>
      <c r="B20" s="153" t="s">
        <v>5240</v>
      </c>
    </row>
    <row r="21" spans="1:2" x14ac:dyDescent="0.2">
      <c r="A21" s="152"/>
      <c r="B21" s="153" t="s">
        <v>5282</v>
      </c>
    </row>
    <row r="22" spans="1:2" x14ac:dyDescent="0.2">
      <c r="A22" s="152"/>
      <c r="B22" s="153" t="s">
        <v>5421</v>
      </c>
    </row>
    <row r="23" spans="1:2" x14ac:dyDescent="0.2">
      <c r="A23" s="152"/>
      <c r="B23" s="153" t="s">
        <v>5416</v>
      </c>
    </row>
    <row r="24" spans="1:2" x14ac:dyDescent="0.2">
      <c r="A24" s="152"/>
      <c r="B24" s="153" t="s">
        <v>5225</v>
      </c>
    </row>
    <row r="25" spans="1:2" x14ac:dyDescent="0.2">
      <c r="A25" s="152"/>
      <c r="B25" s="153" t="s">
        <v>5427</v>
      </c>
    </row>
    <row r="26" spans="1:2" x14ac:dyDescent="0.2">
      <c r="A26" s="152"/>
      <c r="B26" s="153" t="s">
        <v>5415</v>
      </c>
    </row>
    <row r="27" spans="1:2" x14ac:dyDescent="0.2">
      <c r="A27" s="152"/>
      <c r="B27" s="153" t="s">
        <v>5414</v>
      </c>
    </row>
    <row r="28" spans="1:2" x14ac:dyDescent="0.2">
      <c r="A28" s="152"/>
      <c r="B28" s="153" t="s">
        <v>5413</v>
      </c>
    </row>
    <row r="29" spans="1:2" x14ac:dyDescent="0.2">
      <c r="A29" s="152"/>
      <c r="B29" s="153" t="s">
        <v>5117</v>
      </c>
    </row>
    <row r="30" spans="1:2" x14ac:dyDescent="0.2">
      <c r="A30" s="152"/>
      <c r="B30" s="153" t="s">
        <v>5114</v>
      </c>
    </row>
    <row r="31" spans="1:2" x14ac:dyDescent="0.2">
      <c r="A31" s="150" t="s">
        <v>116</v>
      </c>
      <c r="B31" s="151" t="s">
        <v>5333</v>
      </c>
    </row>
    <row r="32" spans="1:2" x14ac:dyDescent="0.2">
      <c r="A32" s="152"/>
      <c r="B32" s="153" t="s">
        <v>5477</v>
      </c>
    </row>
    <row r="33" spans="1:2" x14ac:dyDescent="0.2">
      <c r="A33" s="152"/>
      <c r="B33" s="153" t="s">
        <v>5120</v>
      </c>
    </row>
    <row r="34" spans="1:2" x14ac:dyDescent="0.2">
      <c r="A34" s="152"/>
      <c r="B34" s="153" t="s">
        <v>5471</v>
      </c>
    </row>
    <row r="35" spans="1:2" x14ac:dyDescent="0.2">
      <c r="A35" s="152"/>
      <c r="B35" s="153" t="s">
        <v>5326</v>
      </c>
    </row>
    <row r="36" spans="1:2" x14ac:dyDescent="0.2">
      <c r="A36" s="152"/>
      <c r="B36" s="153" t="s">
        <v>5476</v>
      </c>
    </row>
    <row r="37" spans="1:2" x14ac:dyDescent="0.2">
      <c r="A37" s="152"/>
      <c r="B37" s="153" t="s">
        <v>5473</v>
      </c>
    </row>
    <row r="38" spans="1:2" x14ac:dyDescent="0.2">
      <c r="A38" s="152"/>
      <c r="B38" s="153" t="s">
        <v>5322</v>
      </c>
    </row>
    <row r="39" spans="1:2" x14ac:dyDescent="0.2">
      <c r="A39" s="152"/>
      <c r="B39" s="153" t="s">
        <v>5329</v>
      </c>
    </row>
    <row r="40" spans="1:2" x14ac:dyDescent="0.2">
      <c r="A40" s="152"/>
      <c r="B40" s="153" t="s">
        <v>5327</v>
      </c>
    </row>
    <row r="41" spans="1:2" x14ac:dyDescent="0.2">
      <c r="A41" s="152"/>
      <c r="B41" s="153" t="s">
        <v>5475</v>
      </c>
    </row>
    <row r="42" spans="1:2" x14ac:dyDescent="0.2">
      <c r="A42" s="152"/>
      <c r="B42" s="153" t="s">
        <v>5323</v>
      </c>
    </row>
    <row r="43" spans="1:2" x14ac:dyDescent="0.2">
      <c r="A43" s="152"/>
      <c r="B43" s="153" t="s">
        <v>5328</v>
      </c>
    </row>
    <row r="44" spans="1:2" x14ac:dyDescent="0.2">
      <c r="A44" s="152"/>
      <c r="B44" s="153" t="s">
        <v>5190</v>
      </c>
    </row>
    <row r="45" spans="1:2" x14ac:dyDescent="0.2">
      <c r="A45" s="152"/>
      <c r="B45" s="153" t="s">
        <v>5474</v>
      </c>
    </row>
    <row r="46" spans="1:2" x14ac:dyDescent="0.2">
      <c r="A46" s="152"/>
      <c r="B46" s="153" t="s">
        <v>5235</v>
      </c>
    </row>
    <row r="47" spans="1:2" x14ac:dyDescent="0.2">
      <c r="A47" s="152"/>
      <c r="B47" s="153" t="s">
        <v>5320</v>
      </c>
    </row>
    <row r="48" spans="1:2" x14ac:dyDescent="0.2">
      <c r="A48" s="152"/>
      <c r="B48" s="153" t="s">
        <v>5330</v>
      </c>
    </row>
    <row r="49" spans="1:2" x14ac:dyDescent="0.2">
      <c r="A49" s="152"/>
      <c r="B49" s="153" t="s">
        <v>5237</v>
      </c>
    </row>
    <row r="50" spans="1:2" x14ac:dyDescent="0.2">
      <c r="A50" s="152"/>
      <c r="B50" s="153" t="s">
        <v>5331</v>
      </c>
    </row>
    <row r="51" spans="1:2" x14ac:dyDescent="0.2">
      <c r="A51" s="152"/>
      <c r="B51" s="153" t="s">
        <v>5479</v>
      </c>
    </row>
    <row r="52" spans="1:2" x14ac:dyDescent="0.2">
      <c r="A52" s="152"/>
      <c r="B52" s="153" t="s">
        <v>5325</v>
      </c>
    </row>
    <row r="53" spans="1:2" x14ac:dyDescent="0.2">
      <c r="A53" s="152"/>
      <c r="B53" s="153" t="s">
        <v>5314</v>
      </c>
    </row>
    <row r="54" spans="1:2" x14ac:dyDescent="0.2">
      <c r="A54" s="152"/>
      <c r="B54" s="153" t="s">
        <v>5324</v>
      </c>
    </row>
    <row r="55" spans="1:2" x14ac:dyDescent="0.2">
      <c r="A55" s="152"/>
      <c r="B55" s="153" t="s">
        <v>5334</v>
      </c>
    </row>
    <row r="56" spans="1:2" x14ac:dyDescent="0.2">
      <c r="A56" s="152"/>
      <c r="B56" s="153" t="s">
        <v>5472</v>
      </c>
    </row>
    <row r="57" spans="1:2" x14ac:dyDescent="0.2">
      <c r="A57" s="152"/>
      <c r="B57" s="153" t="s">
        <v>5318</v>
      </c>
    </row>
    <row r="58" spans="1:2" x14ac:dyDescent="0.2">
      <c r="A58" s="152"/>
      <c r="B58" s="153" t="s">
        <v>5470</v>
      </c>
    </row>
    <row r="59" spans="1:2" x14ac:dyDescent="0.2">
      <c r="A59" s="152"/>
      <c r="B59" s="153" t="s">
        <v>5468</v>
      </c>
    </row>
    <row r="60" spans="1:2" x14ac:dyDescent="0.2">
      <c r="A60" s="152"/>
      <c r="B60" s="153" t="s">
        <v>5112</v>
      </c>
    </row>
    <row r="61" spans="1:2" x14ac:dyDescent="0.2">
      <c r="A61" s="152"/>
      <c r="B61" s="153" t="s">
        <v>5117</v>
      </c>
    </row>
    <row r="62" spans="1:2" x14ac:dyDescent="0.2">
      <c r="A62" s="152"/>
      <c r="B62" s="153" t="s">
        <v>5321</v>
      </c>
    </row>
    <row r="63" spans="1:2" x14ac:dyDescent="0.2">
      <c r="A63" s="152"/>
      <c r="B63" s="153" t="s">
        <v>5114</v>
      </c>
    </row>
    <row r="64" spans="1:2" x14ac:dyDescent="0.2">
      <c r="A64" s="150" t="s">
        <v>128</v>
      </c>
      <c r="B64" s="151" t="s">
        <v>5323</v>
      </c>
    </row>
    <row r="65" spans="1:2" x14ac:dyDescent="0.2">
      <c r="A65" s="152"/>
      <c r="B65" s="153" t="s">
        <v>5237</v>
      </c>
    </row>
    <row r="66" spans="1:2" x14ac:dyDescent="0.2">
      <c r="A66" s="152"/>
      <c r="B66" s="153" t="s">
        <v>5538</v>
      </c>
    </row>
    <row r="67" spans="1:2" x14ac:dyDescent="0.2">
      <c r="A67" s="152"/>
      <c r="B67" s="153" t="s">
        <v>5578</v>
      </c>
    </row>
    <row r="68" spans="1:2" x14ac:dyDescent="0.2">
      <c r="A68" s="152"/>
      <c r="B68" s="153" t="s">
        <v>5580</v>
      </c>
    </row>
    <row r="69" spans="1:2" x14ac:dyDescent="0.2">
      <c r="A69" s="152"/>
      <c r="B69" s="153" t="s">
        <v>5225</v>
      </c>
    </row>
    <row r="70" spans="1:2" x14ac:dyDescent="0.2">
      <c r="A70" s="152"/>
      <c r="B70" s="153" t="s">
        <v>5576</v>
      </c>
    </row>
    <row r="71" spans="1:2" x14ac:dyDescent="0.2">
      <c r="A71" s="152"/>
      <c r="B71" s="153" t="s">
        <v>5543</v>
      </c>
    </row>
    <row r="72" spans="1:2" x14ac:dyDescent="0.2">
      <c r="A72" s="152"/>
      <c r="B72" s="153" t="s">
        <v>5114</v>
      </c>
    </row>
    <row r="73" spans="1:2" x14ac:dyDescent="0.2">
      <c r="A73" s="150" t="s">
        <v>134</v>
      </c>
      <c r="B73" s="151" t="s">
        <v>5540</v>
      </c>
    </row>
    <row r="74" spans="1:2" x14ac:dyDescent="0.2">
      <c r="A74" s="152"/>
      <c r="B74" s="153" t="s">
        <v>5539</v>
      </c>
    </row>
    <row r="75" spans="1:2" x14ac:dyDescent="0.2">
      <c r="A75" s="152"/>
      <c r="B75" s="153" t="s">
        <v>5190</v>
      </c>
    </row>
    <row r="76" spans="1:2" x14ac:dyDescent="0.2">
      <c r="A76" s="152"/>
      <c r="B76" s="153" t="s">
        <v>5131</v>
      </c>
    </row>
    <row r="77" spans="1:2" x14ac:dyDescent="0.2">
      <c r="A77" s="152"/>
      <c r="B77" s="153" t="s">
        <v>5114</v>
      </c>
    </row>
    <row r="78" spans="1:2" x14ac:dyDescent="0.2">
      <c r="A78" s="150" t="s">
        <v>125</v>
      </c>
      <c r="B78" s="151" t="s">
        <v>5158</v>
      </c>
    </row>
    <row r="79" spans="1:2" x14ac:dyDescent="0.2">
      <c r="A79" s="152"/>
      <c r="B79" s="153" t="s">
        <v>5323</v>
      </c>
    </row>
    <row r="80" spans="1:2" x14ac:dyDescent="0.2">
      <c r="A80" s="152"/>
      <c r="B80" s="153" t="s">
        <v>5248</v>
      </c>
    </row>
    <row r="81" spans="1:2" x14ac:dyDescent="0.2">
      <c r="A81" s="152"/>
      <c r="B81" s="153" t="s">
        <v>5538</v>
      </c>
    </row>
    <row r="82" spans="1:2" x14ac:dyDescent="0.2">
      <c r="A82" s="152"/>
      <c r="B82" s="153" t="s">
        <v>5526</v>
      </c>
    </row>
    <row r="83" spans="1:2" x14ac:dyDescent="0.2">
      <c r="A83" s="152"/>
      <c r="B83" s="153" t="s">
        <v>5225</v>
      </c>
    </row>
    <row r="84" spans="1:2" x14ac:dyDescent="0.2">
      <c r="A84" s="152"/>
      <c r="B84" s="153" t="s">
        <v>5472</v>
      </c>
    </row>
    <row r="85" spans="1:2" x14ac:dyDescent="0.2">
      <c r="A85" s="152"/>
      <c r="B85" s="153" t="s">
        <v>5536</v>
      </c>
    </row>
    <row r="86" spans="1:2" x14ac:dyDescent="0.2">
      <c r="A86" s="152"/>
      <c r="B86" s="153" t="s">
        <v>5114</v>
      </c>
    </row>
    <row r="87" spans="1:2" x14ac:dyDescent="0.2">
      <c r="A87" s="150" t="s">
        <v>131</v>
      </c>
      <c r="B87" s="151" t="s">
        <v>5545</v>
      </c>
    </row>
    <row r="88" spans="1:2" x14ac:dyDescent="0.2">
      <c r="A88" s="152"/>
      <c r="B88" s="153" t="s">
        <v>5323</v>
      </c>
    </row>
    <row r="89" spans="1:2" x14ac:dyDescent="0.2">
      <c r="A89" s="152"/>
      <c r="B89" s="153" t="s">
        <v>5225</v>
      </c>
    </row>
    <row r="90" spans="1:2" x14ac:dyDescent="0.2">
      <c r="A90" s="152"/>
      <c r="B90" s="153" t="s">
        <v>5559</v>
      </c>
    </row>
    <row r="91" spans="1:2" x14ac:dyDescent="0.2">
      <c r="A91" s="152"/>
      <c r="B91" s="153" t="s">
        <v>5553</v>
      </c>
    </row>
    <row r="92" spans="1:2" x14ac:dyDescent="0.2">
      <c r="A92" s="152"/>
      <c r="B92" s="153" t="s">
        <v>5555</v>
      </c>
    </row>
    <row r="93" spans="1:2" x14ac:dyDescent="0.2">
      <c r="A93" s="152"/>
      <c r="B93" s="153" t="s">
        <v>5543</v>
      </c>
    </row>
    <row r="94" spans="1:2" x14ac:dyDescent="0.2">
      <c r="A94" s="152"/>
      <c r="B94" s="153" t="s">
        <v>5114</v>
      </c>
    </row>
    <row r="95" spans="1:2" x14ac:dyDescent="0.2">
      <c r="A95" s="150" t="s">
        <v>119</v>
      </c>
      <c r="B95" s="151" t="s">
        <v>5223</v>
      </c>
    </row>
    <row r="96" spans="1:2" x14ac:dyDescent="0.2">
      <c r="A96" s="152"/>
      <c r="B96" s="153" t="s">
        <v>5216</v>
      </c>
    </row>
    <row r="97" spans="1:2" x14ac:dyDescent="0.2">
      <c r="A97" s="152"/>
      <c r="B97" s="153" t="s">
        <v>5224</v>
      </c>
    </row>
    <row r="98" spans="1:2" x14ac:dyDescent="0.2">
      <c r="A98" s="152"/>
      <c r="B98" s="153" t="s">
        <v>5218</v>
      </c>
    </row>
    <row r="99" spans="1:2" x14ac:dyDescent="0.2">
      <c r="A99" s="152"/>
      <c r="B99" s="153" t="s">
        <v>5229</v>
      </c>
    </row>
    <row r="100" spans="1:2" x14ac:dyDescent="0.2">
      <c r="A100" s="152"/>
      <c r="B100" s="153" t="s">
        <v>5228</v>
      </c>
    </row>
    <row r="101" spans="1:2" x14ac:dyDescent="0.2">
      <c r="A101" s="152"/>
      <c r="B101" s="153" t="s">
        <v>5214</v>
      </c>
    </row>
    <row r="102" spans="1:2" x14ac:dyDescent="0.2">
      <c r="A102" s="152"/>
      <c r="B102" s="153" t="s">
        <v>5222</v>
      </c>
    </row>
    <row r="103" spans="1:2" x14ac:dyDescent="0.2">
      <c r="A103" s="152"/>
      <c r="B103" s="153" t="s">
        <v>5221</v>
      </c>
    </row>
    <row r="104" spans="1:2" x14ac:dyDescent="0.2">
      <c r="A104" s="152"/>
      <c r="B104" s="153" t="s">
        <v>5116</v>
      </c>
    </row>
    <row r="105" spans="1:2" x14ac:dyDescent="0.2">
      <c r="A105" s="152"/>
      <c r="B105" s="153" t="s">
        <v>5230</v>
      </c>
    </row>
    <row r="106" spans="1:2" x14ac:dyDescent="0.2">
      <c r="A106" s="152"/>
      <c r="B106" s="153" t="s">
        <v>5220</v>
      </c>
    </row>
    <row r="107" spans="1:2" x14ac:dyDescent="0.2">
      <c r="A107" s="152"/>
      <c r="B107" s="153" t="s">
        <v>5131</v>
      </c>
    </row>
    <row r="108" spans="1:2" x14ac:dyDescent="0.2">
      <c r="A108" s="152"/>
      <c r="B108" s="153" t="s">
        <v>5213</v>
      </c>
    </row>
    <row r="109" spans="1:2" x14ac:dyDescent="0.2">
      <c r="A109" s="152"/>
      <c r="B109" s="153" t="s">
        <v>5217</v>
      </c>
    </row>
    <row r="110" spans="1:2" x14ac:dyDescent="0.2">
      <c r="A110" s="152"/>
      <c r="B110" s="153" t="s">
        <v>5225</v>
      </c>
    </row>
    <row r="111" spans="1:2" x14ac:dyDescent="0.2">
      <c r="A111" s="152"/>
      <c r="B111" s="153" t="s">
        <v>5219</v>
      </c>
    </row>
    <row r="112" spans="1:2" x14ac:dyDescent="0.2">
      <c r="A112" s="152"/>
      <c r="B112" s="153" t="s">
        <v>5212</v>
      </c>
    </row>
    <row r="113" spans="1:5" x14ac:dyDescent="0.2">
      <c r="A113" s="152"/>
      <c r="B113" s="153" t="s">
        <v>5227</v>
      </c>
    </row>
    <row r="114" spans="1:5" x14ac:dyDescent="0.2">
      <c r="A114" s="165"/>
      <c r="B114" s="166" t="s">
        <v>5114</v>
      </c>
    </row>
    <row r="116" spans="1:5" x14ac:dyDescent="0.2">
      <c r="A116" s="138"/>
      <c r="C116" s="105"/>
      <c r="D116" s="105"/>
      <c r="E116" s="105"/>
    </row>
    <row r="117" spans="1:5" x14ac:dyDescent="0.2">
      <c r="A117" s="138"/>
      <c r="C117" s="105"/>
      <c r="D117" s="105"/>
      <c r="E117" s="105"/>
    </row>
    <row r="118" spans="1:5" x14ac:dyDescent="0.2">
      <c r="A118" s="138"/>
      <c r="C118" s="105"/>
      <c r="D118" s="105"/>
      <c r="E118" s="105"/>
    </row>
    <row r="119" spans="1:5" x14ac:dyDescent="0.2">
      <c r="A119" s="138"/>
      <c r="C119" s="105"/>
      <c r="D119" s="105"/>
      <c r="E119" s="105"/>
    </row>
    <row r="120" spans="1:5" x14ac:dyDescent="0.2">
      <c r="A120" s="138"/>
      <c r="C120" s="105"/>
      <c r="D120" s="105"/>
      <c r="E120" s="105"/>
    </row>
    <row r="121" spans="1:5" x14ac:dyDescent="0.2">
      <c r="A121" s="138"/>
      <c r="C121" s="105"/>
      <c r="D121" s="105"/>
      <c r="E121" s="105"/>
    </row>
    <row r="122" spans="1:5" x14ac:dyDescent="0.2">
      <c r="A122" s="138"/>
      <c r="C122" s="105"/>
      <c r="D122" s="105"/>
      <c r="E122" s="105"/>
    </row>
    <row r="123" spans="1:5" x14ac:dyDescent="0.2">
      <c r="A123" s="138"/>
      <c r="C123" s="105"/>
      <c r="D123" s="105"/>
      <c r="E123" s="105"/>
    </row>
    <row r="124" spans="1:5" x14ac:dyDescent="0.2">
      <c r="A124" s="138"/>
      <c r="C124" s="105"/>
      <c r="D124" s="105"/>
      <c r="E124" s="105"/>
    </row>
    <row r="125" spans="1:5" x14ac:dyDescent="0.2">
      <c r="A125" s="138"/>
      <c r="C125" s="105"/>
      <c r="D125" s="105"/>
      <c r="E125" s="105"/>
    </row>
    <row r="126" spans="1:5" x14ac:dyDescent="0.2">
      <c r="A126" s="138"/>
      <c r="C126" s="105"/>
      <c r="D126" s="105"/>
      <c r="E126" s="105"/>
    </row>
    <row r="127" spans="1:5" x14ac:dyDescent="0.2">
      <c r="A127" s="138"/>
      <c r="C127" s="105"/>
      <c r="D127" s="105"/>
      <c r="E127" s="10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B233"/>
  <sheetViews>
    <sheetView showGridLines="0" workbookViewId="0"/>
  </sheetViews>
  <sheetFormatPr baseColWidth="10" defaultColWidth="12.5703125" defaultRowHeight="15.75" customHeight="1" x14ac:dyDescent="0.2"/>
  <cols>
    <col min="1" max="1" width="36.5703125" customWidth="1"/>
    <col min="2" max="2" width="29.42578125" customWidth="1"/>
    <col min="3" max="3" width="18.42578125" customWidth="1"/>
  </cols>
  <sheetData>
    <row r="1" spans="1:2" ht="12.75" x14ac:dyDescent="0.2">
      <c r="A1" s="158" t="s">
        <v>0</v>
      </c>
      <c r="B1" s="157" t="s">
        <v>115</v>
      </c>
    </row>
    <row r="2" spans="1:2" ht="12.75" x14ac:dyDescent="0.2"/>
    <row r="3" spans="1:2" ht="12.75" x14ac:dyDescent="0.2">
      <c r="A3" s="148" t="s">
        <v>3274</v>
      </c>
      <c r="B3" s="149" t="s">
        <v>1</v>
      </c>
    </row>
    <row r="4" spans="1:2" ht="12.75" x14ac:dyDescent="0.2">
      <c r="A4" s="150" t="s">
        <v>3967</v>
      </c>
      <c r="B4" s="151" t="s">
        <v>119</v>
      </c>
    </row>
    <row r="5" spans="1:2" ht="12.75" x14ac:dyDescent="0.2">
      <c r="A5" s="150" t="s">
        <v>4906</v>
      </c>
      <c r="B5" s="151" t="s">
        <v>116</v>
      </c>
    </row>
    <row r="6" spans="1:2" ht="12.75" x14ac:dyDescent="0.2">
      <c r="A6" s="150" t="s">
        <v>5412</v>
      </c>
      <c r="B6" s="151" t="s">
        <v>122</v>
      </c>
    </row>
    <row r="7" spans="1:2" ht="12.75" x14ac:dyDescent="0.2">
      <c r="A7" s="150" t="s">
        <v>4466</v>
      </c>
      <c r="B7" s="151" t="s">
        <v>122</v>
      </c>
    </row>
    <row r="8" spans="1:2" ht="12.75" x14ac:dyDescent="0.2">
      <c r="A8" s="150" t="s">
        <v>4733</v>
      </c>
      <c r="B8" s="151" t="s">
        <v>119</v>
      </c>
    </row>
    <row r="9" spans="1:2" ht="12.75" x14ac:dyDescent="0.2">
      <c r="A9" s="150" t="s">
        <v>4820</v>
      </c>
      <c r="B9" s="151" t="s">
        <v>134</v>
      </c>
    </row>
    <row r="10" spans="1:2" ht="12.75" x14ac:dyDescent="0.2">
      <c r="A10" s="150" t="s">
        <v>4686</v>
      </c>
      <c r="B10" s="151" t="s">
        <v>134</v>
      </c>
    </row>
    <row r="11" spans="1:2" ht="12.75" x14ac:dyDescent="0.2">
      <c r="A11" s="150" t="s">
        <v>3782</v>
      </c>
      <c r="B11" s="151" t="s">
        <v>128</v>
      </c>
    </row>
    <row r="12" spans="1:2" ht="12.75" x14ac:dyDescent="0.2">
      <c r="A12" s="150" t="s">
        <v>4809</v>
      </c>
      <c r="B12" s="151" t="s">
        <v>125</v>
      </c>
    </row>
    <row r="13" spans="1:2" ht="12.75" x14ac:dyDescent="0.2">
      <c r="A13" s="150" t="s">
        <v>4668</v>
      </c>
      <c r="B13" s="151" t="s">
        <v>119</v>
      </c>
    </row>
    <row r="14" spans="1:2" ht="12.75" x14ac:dyDescent="0.2">
      <c r="A14" s="150" t="s">
        <v>4145</v>
      </c>
      <c r="B14" s="151" t="s">
        <v>134</v>
      </c>
    </row>
    <row r="15" spans="1:2" ht="12.75" x14ac:dyDescent="0.2">
      <c r="A15" s="150" t="s">
        <v>3907</v>
      </c>
      <c r="B15" s="151" t="s">
        <v>122</v>
      </c>
    </row>
    <row r="16" spans="1:2" ht="12.75" x14ac:dyDescent="0.2">
      <c r="A16" s="150" t="s">
        <v>4188</v>
      </c>
      <c r="B16" s="151" t="s">
        <v>116</v>
      </c>
    </row>
    <row r="17" spans="1:2" ht="12.75" x14ac:dyDescent="0.2">
      <c r="A17" s="150" t="s">
        <v>5469</v>
      </c>
      <c r="B17" s="151" t="s">
        <v>116</v>
      </c>
    </row>
    <row r="18" spans="1:2" ht="12.75" x14ac:dyDescent="0.2">
      <c r="A18" s="150" t="s">
        <v>4321</v>
      </c>
      <c r="B18" s="151" t="s">
        <v>116</v>
      </c>
    </row>
    <row r="19" spans="1:2" ht="12.75" x14ac:dyDescent="0.2">
      <c r="A19" s="150" t="s">
        <v>4935</v>
      </c>
      <c r="B19" s="151" t="s">
        <v>122</v>
      </c>
    </row>
    <row r="20" spans="1:2" ht="12.75" x14ac:dyDescent="0.2">
      <c r="A20" s="150" t="s">
        <v>4923</v>
      </c>
      <c r="B20" s="151" t="s">
        <v>116</v>
      </c>
    </row>
    <row r="21" spans="1:2" ht="12.75" x14ac:dyDescent="0.2">
      <c r="A21" s="150" t="s">
        <v>5048</v>
      </c>
      <c r="B21" s="151" t="s">
        <v>116</v>
      </c>
    </row>
    <row r="22" spans="1:2" ht="12.75" x14ac:dyDescent="0.2">
      <c r="A22" s="150" t="s">
        <v>4630</v>
      </c>
      <c r="B22" s="151" t="s">
        <v>116</v>
      </c>
    </row>
    <row r="23" spans="1:2" ht="12.75" x14ac:dyDescent="0.2">
      <c r="A23" s="150" t="s">
        <v>3867</v>
      </c>
      <c r="B23" s="151" t="s">
        <v>125</v>
      </c>
    </row>
    <row r="24" spans="1:2" ht="12.75" x14ac:dyDescent="0.2">
      <c r="A24" s="150" t="s">
        <v>5541</v>
      </c>
      <c r="B24" s="151" t="s">
        <v>131</v>
      </c>
    </row>
    <row r="25" spans="1:2" ht="12.75" x14ac:dyDescent="0.2">
      <c r="A25" s="150" t="s">
        <v>3577</v>
      </c>
      <c r="B25" s="151" t="s">
        <v>116</v>
      </c>
    </row>
    <row r="26" spans="1:2" ht="12.75" x14ac:dyDescent="0.2">
      <c r="A26" s="150" t="s">
        <v>4644</v>
      </c>
      <c r="B26" s="151" t="s">
        <v>128</v>
      </c>
    </row>
    <row r="27" spans="1:2" ht="12.75" x14ac:dyDescent="0.2">
      <c r="A27" s="150" t="s">
        <v>3511</v>
      </c>
      <c r="B27" s="151" t="s">
        <v>122</v>
      </c>
    </row>
    <row r="28" spans="1:2" ht="12.75" x14ac:dyDescent="0.2">
      <c r="A28" s="150" t="s">
        <v>3391</v>
      </c>
      <c r="B28" s="151" t="s">
        <v>116</v>
      </c>
    </row>
    <row r="29" spans="1:2" ht="12.75" x14ac:dyDescent="0.2">
      <c r="A29" s="150" t="s">
        <v>4500</v>
      </c>
      <c r="B29" s="151" t="s">
        <v>116</v>
      </c>
    </row>
    <row r="30" spans="1:2" ht="12.75" x14ac:dyDescent="0.2">
      <c r="A30" s="150" t="s">
        <v>4434</v>
      </c>
      <c r="B30" s="151" t="s">
        <v>116</v>
      </c>
    </row>
    <row r="31" spans="1:2" ht="12.75" x14ac:dyDescent="0.2">
      <c r="A31" s="150" t="s">
        <v>4830</v>
      </c>
      <c r="B31" s="151" t="s">
        <v>116</v>
      </c>
    </row>
    <row r="32" spans="1:2" ht="12.75" x14ac:dyDescent="0.2">
      <c r="A32" s="150" t="s">
        <v>4826</v>
      </c>
      <c r="B32" s="151" t="s">
        <v>116</v>
      </c>
    </row>
    <row r="33" spans="1:2" ht="12.75" x14ac:dyDescent="0.2">
      <c r="A33" s="150" t="s">
        <v>4696</v>
      </c>
      <c r="B33" s="151" t="s">
        <v>116</v>
      </c>
    </row>
    <row r="34" spans="1:2" ht="12.75" x14ac:dyDescent="0.2">
      <c r="A34" s="150" t="s">
        <v>3734</v>
      </c>
      <c r="B34" s="151" t="s">
        <v>122</v>
      </c>
    </row>
    <row r="35" spans="1:2" ht="12.75" x14ac:dyDescent="0.2">
      <c r="A35" s="150" t="s">
        <v>3428</v>
      </c>
      <c r="B35" s="151" t="s">
        <v>119</v>
      </c>
    </row>
    <row r="36" spans="1:2" ht="12.75" x14ac:dyDescent="0.2">
      <c r="A36" s="150" t="s">
        <v>3810</v>
      </c>
      <c r="B36" s="151" t="s">
        <v>119</v>
      </c>
    </row>
    <row r="37" spans="1:2" ht="12.75" x14ac:dyDescent="0.2">
      <c r="A37" s="150" t="s">
        <v>3835</v>
      </c>
      <c r="B37" s="151" t="s">
        <v>119</v>
      </c>
    </row>
    <row r="38" spans="1:2" ht="12.75" x14ac:dyDescent="0.2">
      <c r="A38" s="150" t="s">
        <v>3556</v>
      </c>
      <c r="B38" s="151" t="s">
        <v>128</v>
      </c>
    </row>
    <row r="39" spans="1:2" ht="12.75" x14ac:dyDescent="0.2">
      <c r="A39" s="150" t="s">
        <v>3320</v>
      </c>
      <c r="B39" s="151" t="s">
        <v>116</v>
      </c>
    </row>
    <row r="40" spans="1:2" ht="12.75" x14ac:dyDescent="0.2">
      <c r="A40" s="150" t="s">
        <v>4787</v>
      </c>
      <c r="B40" s="151" t="s">
        <v>116</v>
      </c>
    </row>
    <row r="41" spans="1:2" ht="12.75" x14ac:dyDescent="0.2">
      <c r="A41" s="150" t="s">
        <v>3921</v>
      </c>
      <c r="B41" s="151" t="s">
        <v>116</v>
      </c>
    </row>
    <row r="42" spans="1:2" ht="12.75" x14ac:dyDescent="0.2">
      <c r="A42" s="150" t="s">
        <v>4182</v>
      </c>
      <c r="B42" s="151" t="s">
        <v>119</v>
      </c>
    </row>
    <row r="43" spans="1:2" ht="12.75" x14ac:dyDescent="0.2">
      <c r="A43" s="150" t="s">
        <v>3788</v>
      </c>
      <c r="B43" s="151" t="s">
        <v>122</v>
      </c>
    </row>
    <row r="44" spans="1:2" ht="12.75" x14ac:dyDescent="0.2">
      <c r="A44" s="150" t="s">
        <v>3963</v>
      </c>
      <c r="B44" s="151" t="s">
        <v>122</v>
      </c>
    </row>
    <row r="45" spans="1:2" ht="12.75" x14ac:dyDescent="0.2">
      <c r="A45" s="150" t="s">
        <v>4416</v>
      </c>
      <c r="B45" s="151" t="s">
        <v>122</v>
      </c>
    </row>
    <row r="46" spans="1:2" ht="12.75" x14ac:dyDescent="0.2">
      <c r="A46" s="150" t="s">
        <v>5948</v>
      </c>
      <c r="B46" s="151" t="s">
        <v>125</v>
      </c>
    </row>
    <row r="47" spans="1:2" ht="12.75" x14ac:dyDescent="0.2">
      <c r="A47" s="150" t="s">
        <v>3616</v>
      </c>
      <c r="B47" s="151" t="s">
        <v>131</v>
      </c>
    </row>
    <row r="48" spans="1:2" ht="12.75" x14ac:dyDescent="0.2">
      <c r="A48" s="150" t="s">
        <v>4642</v>
      </c>
      <c r="B48" s="151" t="s">
        <v>122</v>
      </c>
    </row>
    <row r="49" spans="1:2" ht="12.75" x14ac:dyDescent="0.2">
      <c r="A49" s="150" t="s">
        <v>5547</v>
      </c>
      <c r="B49" s="151" t="s">
        <v>131</v>
      </c>
    </row>
    <row r="50" spans="1:2" ht="12.75" x14ac:dyDescent="0.2">
      <c r="A50" s="150" t="s">
        <v>3579</v>
      </c>
      <c r="B50" s="151" t="s">
        <v>116</v>
      </c>
    </row>
    <row r="51" spans="1:2" ht="12.75" x14ac:dyDescent="0.2">
      <c r="A51" s="150" t="s">
        <v>3332</v>
      </c>
      <c r="B51" s="151" t="s">
        <v>116</v>
      </c>
    </row>
    <row r="52" spans="1:2" ht="12.75" x14ac:dyDescent="0.2">
      <c r="A52" s="150" t="s">
        <v>5478</v>
      </c>
      <c r="B52" s="151" t="s">
        <v>116</v>
      </c>
    </row>
    <row r="53" spans="1:2" ht="12.75" x14ac:dyDescent="0.2">
      <c r="A53" s="150" t="s">
        <v>4319</v>
      </c>
      <c r="B53" s="151" t="s">
        <v>116</v>
      </c>
    </row>
    <row r="54" spans="1:2" ht="12.75" x14ac:dyDescent="0.2">
      <c r="A54" s="150" t="s">
        <v>4706</v>
      </c>
      <c r="B54" s="151" t="s">
        <v>116</v>
      </c>
    </row>
    <row r="55" spans="1:2" ht="12.75" x14ac:dyDescent="0.2">
      <c r="A55" s="150" t="s">
        <v>4824</v>
      </c>
      <c r="B55" s="151" t="s">
        <v>116</v>
      </c>
    </row>
    <row r="56" spans="1:2" ht="12.75" x14ac:dyDescent="0.2">
      <c r="A56" s="150" t="s">
        <v>3552</v>
      </c>
      <c r="B56" s="151" t="s">
        <v>122</v>
      </c>
    </row>
    <row r="57" spans="1:2" ht="12.75" x14ac:dyDescent="0.2">
      <c r="A57" s="150" t="s">
        <v>5029</v>
      </c>
      <c r="B57" s="151" t="s">
        <v>131</v>
      </c>
    </row>
    <row r="58" spans="1:2" ht="12.75" x14ac:dyDescent="0.2">
      <c r="A58" s="150" t="s">
        <v>4232</v>
      </c>
      <c r="B58" s="151" t="s">
        <v>116</v>
      </c>
    </row>
    <row r="59" spans="1:2" ht="12.75" x14ac:dyDescent="0.2">
      <c r="A59" s="150" t="s">
        <v>3342</v>
      </c>
      <c r="B59" s="151" t="s">
        <v>116</v>
      </c>
    </row>
    <row r="60" spans="1:2" ht="12.75" x14ac:dyDescent="0.2">
      <c r="A60" s="150" t="s">
        <v>3717</v>
      </c>
      <c r="B60" s="151" t="s">
        <v>128</v>
      </c>
    </row>
    <row r="61" spans="1:2" ht="12.75" x14ac:dyDescent="0.2">
      <c r="A61" s="150" t="s">
        <v>3736</v>
      </c>
      <c r="B61" s="151" t="s">
        <v>116</v>
      </c>
    </row>
    <row r="62" spans="1:2" ht="12.75" x14ac:dyDescent="0.2">
      <c r="A62" s="150" t="s">
        <v>3760</v>
      </c>
      <c r="B62" s="151" t="s">
        <v>116</v>
      </c>
    </row>
    <row r="63" spans="1:2" ht="12.75" x14ac:dyDescent="0.2">
      <c r="A63" s="150" t="s">
        <v>4345</v>
      </c>
      <c r="B63" s="151" t="s">
        <v>116</v>
      </c>
    </row>
    <row r="64" spans="1:2" ht="12.75" x14ac:dyDescent="0.2">
      <c r="A64" s="150" t="s">
        <v>4103</v>
      </c>
      <c r="B64" s="151" t="s">
        <v>122</v>
      </c>
    </row>
    <row r="65" spans="1:2" ht="12.75" x14ac:dyDescent="0.2">
      <c r="A65" s="150" t="s">
        <v>3402</v>
      </c>
      <c r="B65" s="151" t="s">
        <v>119</v>
      </c>
    </row>
    <row r="66" spans="1:2" ht="12.75" x14ac:dyDescent="0.2">
      <c r="A66" s="150" t="s">
        <v>3393</v>
      </c>
      <c r="B66" s="151" t="s">
        <v>119</v>
      </c>
    </row>
    <row r="67" spans="1:2" ht="12.75" x14ac:dyDescent="0.2">
      <c r="A67" s="150" t="s">
        <v>4791</v>
      </c>
      <c r="B67" s="151" t="s">
        <v>134</v>
      </c>
    </row>
    <row r="68" spans="1:2" ht="12.75" x14ac:dyDescent="0.2">
      <c r="A68" s="150" t="s">
        <v>3493</v>
      </c>
      <c r="B68" s="151" t="s">
        <v>125</v>
      </c>
    </row>
    <row r="69" spans="1:2" ht="12.75" x14ac:dyDescent="0.2">
      <c r="A69" s="150" t="s">
        <v>3780</v>
      </c>
      <c r="B69" s="151" t="s">
        <v>116</v>
      </c>
    </row>
    <row r="70" spans="1:2" ht="12.75" x14ac:dyDescent="0.2">
      <c r="A70" s="150" t="s">
        <v>4424</v>
      </c>
      <c r="B70" s="151" t="s">
        <v>116</v>
      </c>
    </row>
    <row r="71" spans="1:2" ht="12.75" x14ac:dyDescent="0.2">
      <c r="A71" s="150" t="s">
        <v>4381</v>
      </c>
      <c r="B71" s="151" t="s">
        <v>116</v>
      </c>
    </row>
    <row r="72" spans="1:2" ht="12.75" x14ac:dyDescent="0.2">
      <c r="A72" s="150" t="s">
        <v>4704</v>
      </c>
      <c r="B72" s="151" t="s">
        <v>116</v>
      </c>
    </row>
    <row r="73" spans="1:2" ht="12.75" x14ac:dyDescent="0.2">
      <c r="A73" s="150" t="s">
        <v>3977</v>
      </c>
      <c r="B73" s="151" t="s">
        <v>119</v>
      </c>
    </row>
    <row r="74" spans="1:2" ht="12.75" x14ac:dyDescent="0.2">
      <c r="A74" s="150" t="s">
        <v>3385</v>
      </c>
      <c r="B74" s="151" t="s">
        <v>116</v>
      </c>
    </row>
    <row r="75" spans="1:2" ht="12.75" x14ac:dyDescent="0.2">
      <c r="A75" s="150" t="s">
        <v>4628</v>
      </c>
      <c r="B75" s="151" t="s">
        <v>116</v>
      </c>
    </row>
    <row r="76" spans="1:2" ht="12.75" x14ac:dyDescent="0.2">
      <c r="A76" s="150" t="s">
        <v>5548</v>
      </c>
      <c r="B76" s="151" t="s">
        <v>131</v>
      </c>
    </row>
    <row r="77" spans="1:2" ht="12.75" x14ac:dyDescent="0.2">
      <c r="A77" s="150" t="s">
        <v>4624</v>
      </c>
      <c r="B77" s="151" t="s">
        <v>134</v>
      </c>
    </row>
    <row r="78" spans="1:2" ht="12.75" x14ac:dyDescent="0.2">
      <c r="A78" s="150" t="s">
        <v>4385</v>
      </c>
      <c r="B78" s="151" t="s">
        <v>128</v>
      </c>
    </row>
    <row r="79" spans="1:2" ht="12.75" x14ac:dyDescent="0.2">
      <c r="A79" s="150" t="s">
        <v>4632</v>
      </c>
      <c r="B79" s="151" t="s">
        <v>116</v>
      </c>
    </row>
    <row r="80" spans="1:2" ht="12.75" x14ac:dyDescent="0.2">
      <c r="A80" s="150" t="s">
        <v>4682</v>
      </c>
      <c r="B80" s="151" t="s">
        <v>122</v>
      </c>
    </row>
    <row r="81" spans="1:2" ht="12.75" x14ac:dyDescent="0.2">
      <c r="A81" s="150" t="s">
        <v>5544</v>
      </c>
      <c r="B81" s="151" t="s">
        <v>131</v>
      </c>
    </row>
    <row r="82" spans="1:2" ht="12.75" x14ac:dyDescent="0.2">
      <c r="A82" s="150" t="s">
        <v>5552</v>
      </c>
      <c r="B82" s="151" t="s">
        <v>131</v>
      </c>
    </row>
    <row r="83" spans="1:2" ht="12.75" x14ac:dyDescent="0.2">
      <c r="A83" s="150" t="s">
        <v>3663</v>
      </c>
      <c r="B83" s="151" t="s">
        <v>122</v>
      </c>
    </row>
    <row r="84" spans="1:2" ht="12.75" x14ac:dyDescent="0.2">
      <c r="A84" s="150" t="s">
        <v>4640</v>
      </c>
      <c r="B84" s="151" t="s">
        <v>122</v>
      </c>
    </row>
    <row r="85" spans="1:2" ht="12.75" x14ac:dyDescent="0.2">
      <c r="A85" s="150" t="s">
        <v>4457</v>
      </c>
      <c r="B85" s="151" t="s">
        <v>119</v>
      </c>
    </row>
    <row r="86" spans="1:2" ht="12.75" x14ac:dyDescent="0.2">
      <c r="A86" s="150" t="s">
        <v>5018</v>
      </c>
      <c r="B86" s="151" t="s">
        <v>116</v>
      </c>
    </row>
    <row r="87" spans="1:2" ht="12.75" x14ac:dyDescent="0.2">
      <c r="A87" s="150" t="s">
        <v>3746</v>
      </c>
      <c r="B87" s="151" t="s">
        <v>116</v>
      </c>
    </row>
    <row r="88" spans="1:2" ht="12.75" x14ac:dyDescent="0.2">
      <c r="A88" s="150" t="s">
        <v>3350</v>
      </c>
      <c r="B88" s="151" t="s">
        <v>119</v>
      </c>
    </row>
    <row r="89" spans="1:2" ht="12.75" x14ac:dyDescent="0.2">
      <c r="A89" s="150" t="s">
        <v>4722</v>
      </c>
      <c r="B89" s="151" t="s">
        <v>125</v>
      </c>
    </row>
    <row r="90" spans="1:2" ht="12.75" x14ac:dyDescent="0.2">
      <c r="A90" s="150" t="s">
        <v>4724</v>
      </c>
      <c r="B90" s="151" t="s">
        <v>128</v>
      </c>
    </row>
    <row r="91" spans="1:2" ht="12.75" x14ac:dyDescent="0.2">
      <c r="A91" s="150" t="s">
        <v>3871</v>
      </c>
      <c r="B91" s="151" t="s">
        <v>119</v>
      </c>
    </row>
    <row r="92" spans="1:2" ht="12.75" x14ac:dyDescent="0.2">
      <c r="A92" s="150" t="s">
        <v>3595</v>
      </c>
      <c r="B92" s="151" t="s">
        <v>116</v>
      </c>
    </row>
    <row r="93" spans="1:2" ht="12.75" x14ac:dyDescent="0.2">
      <c r="A93" s="150" t="s">
        <v>3693</v>
      </c>
      <c r="B93" s="151" t="s">
        <v>116</v>
      </c>
    </row>
    <row r="94" spans="1:2" ht="12.75" x14ac:dyDescent="0.2">
      <c r="A94" s="150" t="s">
        <v>5558</v>
      </c>
      <c r="B94" s="151" t="s">
        <v>131</v>
      </c>
    </row>
    <row r="95" spans="1:2" ht="12.75" x14ac:dyDescent="0.2">
      <c r="A95" s="150" t="s">
        <v>4600</v>
      </c>
      <c r="B95" s="151" t="s">
        <v>116</v>
      </c>
    </row>
    <row r="96" spans="1:2" ht="12.75" x14ac:dyDescent="0.2">
      <c r="A96" s="150" t="s">
        <v>4700</v>
      </c>
      <c r="B96" s="151" t="s">
        <v>134</v>
      </c>
    </row>
    <row r="97" spans="1:2" ht="12.75" x14ac:dyDescent="0.2">
      <c r="A97" s="150" t="s">
        <v>4649</v>
      </c>
      <c r="B97" s="151" t="s">
        <v>116</v>
      </c>
    </row>
    <row r="98" spans="1:2" ht="12.75" x14ac:dyDescent="0.2">
      <c r="A98" s="150" t="s">
        <v>3365</v>
      </c>
      <c r="B98" s="151" t="s">
        <v>116</v>
      </c>
    </row>
    <row r="99" spans="1:2" ht="12.75" x14ac:dyDescent="0.2">
      <c r="A99" s="150" t="s">
        <v>5418</v>
      </c>
      <c r="B99" s="151" t="s">
        <v>122</v>
      </c>
    </row>
    <row r="100" spans="1:2" ht="12.75" x14ac:dyDescent="0.2">
      <c r="A100" s="150" t="s">
        <v>3990</v>
      </c>
      <c r="B100" s="151" t="s">
        <v>116</v>
      </c>
    </row>
    <row r="101" spans="1:2" ht="12.75" x14ac:dyDescent="0.2">
      <c r="A101" s="150" t="s">
        <v>3762</v>
      </c>
      <c r="B101" s="151" t="s">
        <v>122</v>
      </c>
    </row>
    <row r="102" spans="1:2" ht="12.75" x14ac:dyDescent="0.2">
      <c r="A102" s="150" t="s">
        <v>4143</v>
      </c>
      <c r="B102" s="151" t="s">
        <v>116</v>
      </c>
    </row>
    <row r="103" spans="1:2" ht="12.75" x14ac:dyDescent="0.2">
      <c r="A103" s="150" t="s">
        <v>4874</v>
      </c>
      <c r="B103" s="151" t="s">
        <v>122</v>
      </c>
    </row>
    <row r="104" spans="1:2" ht="12.75" x14ac:dyDescent="0.2">
      <c r="A104" s="150" t="s">
        <v>5419</v>
      </c>
      <c r="B104" s="151" t="s">
        <v>122</v>
      </c>
    </row>
    <row r="105" spans="1:2" ht="12.75" x14ac:dyDescent="0.2">
      <c r="A105" s="150" t="s">
        <v>4016</v>
      </c>
      <c r="B105" s="151" t="s">
        <v>116</v>
      </c>
    </row>
    <row r="106" spans="1:2" ht="12.75" x14ac:dyDescent="0.2">
      <c r="A106" s="150" t="s">
        <v>4528</v>
      </c>
      <c r="B106" s="151" t="s">
        <v>134</v>
      </c>
    </row>
    <row r="107" spans="1:2" ht="12.75" x14ac:dyDescent="0.2">
      <c r="A107" s="150" t="s">
        <v>3987</v>
      </c>
      <c r="B107" s="151" t="s">
        <v>119</v>
      </c>
    </row>
    <row r="108" spans="1:2" ht="12.75" x14ac:dyDescent="0.2">
      <c r="A108" s="150" t="s">
        <v>4156</v>
      </c>
      <c r="B108" s="151" t="s">
        <v>116</v>
      </c>
    </row>
    <row r="109" spans="1:2" ht="12.75" x14ac:dyDescent="0.2">
      <c r="A109" s="150" t="s">
        <v>3367</v>
      </c>
      <c r="B109" s="151" t="s">
        <v>128</v>
      </c>
    </row>
    <row r="110" spans="1:2" ht="12.75" x14ac:dyDescent="0.2">
      <c r="A110" s="150" t="s">
        <v>4714</v>
      </c>
      <c r="B110" s="151" t="s">
        <v>125</v>
      </c>
    </row>
    <row r="111" spans="1:2" ht="12.75" x14ac:dyDescent="0.2">
      <c r="A111" s="150" t="s">
        <v>3948</v>
      </c>
      <c r="B111" s="151" t="s">
        <v>119</v>
      </c>
    </row>
    <row r="112" spans="1:2" ht="12.75" x14ac:dyDescent="0.2">
      <c r="A112" s="150" t="s">
        <v>3308</v>
      </c>
      <c r="B112" s="151" t="s">
        <v>122</v>
      </c>
    </row>
    <row r="113" spans="1:2" ht="12.75" x14ac:dyDescent="0.2">
      <c r="A113" s="150" t="s">
        <v>4651</v>
      </c>
      <c r="B113" s="151" t="s">
        <v>116</v>
      </c>
    </row>
    <row r="114" spans="1:2" ht="12.75" x14ac:dyDescent="0.2">
      <c r="A114" s="150" t="s">
        <v>4422</v>
      </c>
      <c r="B114" s="151" t="s">
        <v>116</v>
      </c>
    </row>
    <row r="115" spans="1:2" ht="12.75" x14ac:dyDescent="0.2">
      <c r="A115" s="150" t="s">
        <v>4244</v>
      </c>
      <c r="B115" s="151" t="s">
        <v>116</v>
      </c>
    </row>
    <row r="116" spans="1:2" ht="12.75" x14ac:dyDescent="0.2">
      <c r="A116" s="150" t="s">
        <v>3527</v>
      </c>
      <c r="B116" s="151" t="s">
        <v>119</v>
      </c>
    </row>
    <row r="117" spans="1:2" ht="12.75" x14ac:dyDescent="0.2">
      <c r="A117" s="150" t="s">
        <v>3667</v>
      </c>
      <c r="B117" s="151" t="s">
        <v>119</v>
      </c>
    </row>
    <row r="118" spans="1:2" ht="12.75" x14ac:dyDescent="0.2">
      <c r="A118" s="150" t="s">
        <v>3851</v>
      </c>
      <c r="B118" s="151" t="s">
        <v>116</v>
      </c>
    </row>
    <row r="119" spans="1:2" ht="12.75" x14ac:dyDescent="0.2">
      <c r="A119" s="150" t="s">
        <v>4160</v>
      </c>
      <c r="B119" s="151" t="s">
        <v>116</v>
      </c>
    </row>
    <row r="120" spans="1:2" ht="12.75" x14ac:dyDescent="0.2">
      <c r="A120" s="150" t="s">
        <v>4653</v>
      </c>
      <c r="B120" s="151" t="s">
        <v>119</v>
      </c>
    </row>
    <row r="121" spans="1:2" ht="12.75" x14ac:dyDescent="0.2">
      <c r="A121" s="150" t="s">
        <v>5561</v>
      </c>
      <c r="B121" s="151" t="s">
        <v>131</v>
      </c>
    </row>
    <row r="122" spans="1:2" ht="12.75" x14ac:dyDescent="0.2">
      <c r="A122" s="150" t="s">
        <v>4121</v>
      </c>
      <c r="B122" s="151" t="s">
        <v>116</v>
      </c>
    </row>
    <row r="123" spans="1:2" ht="12.75" x14ac:dyDescent="0.2">
      <c r="A123" s="150" t="s">
        <v>3853</v>
      </c>
      <c r="B123" s="151" t="s">
        <v>119</v>
      </c>
    </row>
    <row r="124" spans="1:2" ht="12.75" x14ac:dyDescent="0.2">
      <c r="A124" s="150" t="s">
        <v>3808</v>
      </c>
      <c r="B124" s="151" t="s">
        <v>122</v>
      </c>
    </row>
    <row r="125" spans="1:2" ht="12.75" x14ac:dyDescent="0.2">
      <c r="A125" s="150" t="s">
        <v>3877</v>
      </c>
      <c r="B125" s="151" t="s">
        <v>122</v>
      </c>
    </row>
    <row r="126" spans="1:2" ht="12.75" x14ac:dyDescent="0.2">
      <c r="A126" s="150" t="s">
        <v>3985</v>
      </c>
      <c r="B126" s="151" t="s">
        <v>122</v>
      </c>
    </row>
    <row r="127" spans="1:2" ht="12.75" x14ac:dyDescent="0.2">
      <c r="A127" s="150" t="s">
        <v>3901</v>
      </c>
      <c r="B127" s="151" t="s">
        <v>119</v>
      </c>
    </row>
    <row r="128" spans="1:2" ht="12.75" x14ac:dyDescent="0.2">
      <c r="A128" s="150" t="s">
        <v>3473</v>
      </c>
      <c r="B128" s="151" t="s">
        <v>122</v>
      </c>
    </row>
    <row r="129" spans="1:2" ht="12.75" x14ac:dyDescent="0.2">
      <c r="A129" s="150" t="s">
        <v>5569</v>
      </c>
      <c r="B129" s="151" t="s">
        <v>131</v>
      </c>
    </row>
    <row r="130" spans="1:2" ht="12.75" x14ac:dyDescent="0.2">
      <c r="A130" s="150" t="s">
        <v>3306</v>
      </c>
      <c r="B130" s="151" t="s">
        <v>122</v>
      </c>
    </row>
    <row r="131" spans="1:2" ht="12.75" x14ac:dyDescent="0.2">
      <c r="A131" s="150" t="s">
        <v>3647</v>
      </c>
      <c r="B131" s="151" t="s">
        <v>116</v>
      </c>
    </row>
    <row r="132" spans="1:2" ht="12.75" x14ac:dyDescent="0.2">
      <c r="A132" s="150" t="s">
        <v>5563</v>
      </c>
      <c r="B132" s="151" t="s">
        <v>131</v>
      </c>
    </row>
    <row r="133" spans="1:2" ht="12.75" x14ac:dyDescent="0.2">
      <c r="A133" s="150" t="s">
        <v>4201</v>
      </c>
      <c r="B133" s="151" t="s">
        <v>116</v>
      </c>
    </row>
    <row r="134" spans="1:2" ht="12.75" x14ac:dyDescent="0.2">
      <c r="A134" s="150" t="s">
        <v>5562</v>
      </c>
      <c r="B134" s="151" t="s">
        <v>131</v>
      </c>
    </row>
    <row r="135" spans="1:2" ht="12.75" x14ac:dyDescent="0.2">
      <c r="A135" s="150" t="s">
        <v>3531</v>
      </c>
      <c r="B135" s="151" t="s">
        <v>119</v>
      </c>
    </row>
    <row r="136" spans="1:2" ht="12.75" x14ac:dyDescent="0.2">
      <c r="A136" s="150" t="s">
        <v>4850</v>
      </c>
      <c r="B136" s="151" t="s">
        <v>116</v>
      </c>
    </row>
    <row r="137" spans="1:2" ht="12.75" x14ac:dyDescent="0.2">
      <c r="A137" s="150" t="s">
        <v>3887</v>
      </c>
      <c r="B137" s="151" t="s">
        <v>122</v>
      </c>
    </row>
    <row r="138" spans="1:2" ht="12.75" x14ac:dyDescent="0.2">
      <c r="A138" s="150" t="s">
        <v>4898</v>
      </c>
      <c r="B138" s="151" t="s">
        <v>128</v>
      </c>
    </row>
    <row r="139" spans="1:2" ht="12.75" x14ac:dyDescent="0.2">
      <c r="A139" s="150" t="s">
        <v>3456</v>
      </c>
      <c r="B139" s="151" t="s">
        <v>116</v>
      </c>
    </row>
    <row r="140" spans="1:2" ht="12.75" x14ac:dyDescent="0.2">
      <c r="A140" s="150" t="s">
        <v>5007</v>
      </c>
      <c r="B140" s="151" t="s">
        <v>128</v>
      </c>
    </row>
    <row r="141" spans="1:2" ht="12.75" x14ac:dyDescent="0.2">
      <c r="A141" s="150" t="s">
        <v>4782</v>
      </c>
      <c r="B141" s="151" t="s">
        <v>116</v>
      </c>
    </row>
    <row r="142" spans="1:2" ht="12.75" x14ac:dyDescent="0.2">
      <c r="A142" s="150" t="s">
        <v>4933</v>
      </c>
      <c r="B142" s="151" t="s">
        <v>122</v>
      </c>
    </row>
    <row r="143" spans="1:2" ht="12.75" x14ac:dyDescent="0.2">
      <c r="A143" s="150" t="s">
        <v>3727</v>
      </c>
      <c r="B143" s="151" t="s">
        <v>128</v>
      </c>
    </row>
    <row r="144" spans="1:2" ht="12.75" x14ac:dyDescent="0.2">
      <c r="A144" s="150" t="s">
        <v>4955</v>
      </c>
      <c r="B144" s="151" t="s">
        <v>122</v>
      </c>
    </row>
    <row r="145" spans="1:2" ht="12.75" x14ac:dyDescent="0.2">
      <c r="A145" s="150" t="s">
        <v>4211</v>
      </c>
      <c r="B145" s="151" t="s">
        <v>119</v>
      </c>
    </row>
    <row r="146" spans="1:2" ht="12.75" x14ac:dyDescent="0.2">
      <c r="A146" s="150" t="s">
        <v>4468</v>
      </c>
      <c r="B146" s="151" t="s">
        <v>128</v>
      </c>
    </row>
    <row r="147" spans="1:2" ht="12.75" x14ac:dyDescent="0.2">
      <c r="A147" s="150" t="s">
        <v>3543</v>
      </c>
      <c r="B147" s="151" t="s">
        <v>119</v>
      </c>
    </row>
    <row r="148" spans="1:2" ht="12.75" x14ac:dyDescent="0.2">
      <c r="A148" s="150" t="s">
        <v>3669</v>
      </c>
      <c r="B148" s="151" t="s">
        <v>116</v>
      </c>
    </row>
    <row r="149" spans="1:2" ht="12.75" x14ac:dyDescent="0.2">
      <c r="A149" s="150" t="s">
        <v>4291</v>
      </c>
      <c r="B149" s="151" t="s">
        <v>119</v>
      </c>
    </row>
    <row r="150" spans="1:2" ht="12.75" x14ac:dyDescent="0.2">
      <c r="A150" s="150" t="s">
        <v>5009</v>
      </c>
      <c r="B150" s="151" t="s">
        <v>128</v>
      </c>
    </row>
    <row r="151" spans="1:2" ht="12.75" x14ac:dyDescent="0.2">
      <c r="A151" s="150" t="s">
        <v>3645</v>
      </c>
      <c r="B151" s="151" t="s">
        <v>116</v>
      </c>
    </row>
    <row r="152" spans="1:2" ht="12.75" x14ac:dyDescent="0.2">
      <c r="A152" s="150" t="s">
        <v>3419</v>
      </c>
      <c r="B152" s="151" t="s">
        <v>119</v>
      </c>
    </row>
    <row r="153" spans="1:2" ht="12.75" x14ac:dyDescent="0.2">
      <c r="A153" s="150" t="s">
        <v>5565</v>
      </c>
      <c r="B153" s="151" t="s">
        <v>131</v>
      </c>
    </row>
    <row r="154" spans="1:2" ht="12.75" x14ac:dyDescent="0.2">
      <c r="A154" s="150" t="s">
        <v>5566</v>
      </c>
      <c r="B154" s="151" t="s">
        <v>131</v>
      </c>
    </row>
    <row r="155" spans="1:2" ht="12.75" x14ac:dyDescent="0.2">
      <c r="A155" s="150" t="s">
        <v>3361</v>
      </c>
      <c r="B155" s="151" t="s">
        <v>122</v>
      </c>
    </row>
    <row r="156" spans="1:2" ht="12.75" x14ac:dyDescent="0.2">
      <c r="A156" s="150" t="s">
        <v>3569</v>
      </c>
      <c r="B156" s="151" t="s">
        <v>119</v>
      </c>
    </row>
    <row r="157" spans="1:2" ht="12.75" x14ac:dyDescent="0.2">
      <c r="A157" s="150" t="s">
        <v>3875</v>
      </c>
      <c r="B157" s="151" t="s">
        <v>122</v>
      </c>
    </row>
    <row r="158" spans="1:2" ht="12.75" x14ac:dyDescent="0.2">
      <c r="A158" s="150" t="s">
        <v>4690</v>
      </c>
      <c r="B158" s="151" t="s">
        <v>116</v>
      </c>
    </row>
    <row r="159" spans="1:2" ht="12.75" x14ac:dyDescent="0.2">
      <c r="A159" s="150" t="s">
        <v>5481</v>
      </c>
      <c r="B159" s="151" t="s">
        <v>116</v>
      </c>
    </row>
    <row r="160" spans="1:2" ht="12.75" x14ac:dyDescent="0.2">
      <c r="A160" s="150" t="s">
        <v>4862</v>
      </c>
      <c r="B160" s="151" t="s">
        <v>116</v>
      </c>
    </row>
    <row r="161" spans="1:2" ht="12.75" x14ac:dyDescent="0.2">
      <c r="A161" s="150" t="s">
        <v>4896</v>
      </c>
      <c r="B161" s="151" t="s">
        <v>122</v>
      </c>
    </row>
    <row r="162" spans="1:2" ht="12.75" x14ac:dyDescent="0.2">
      <c r="A162" s="150" t="s">
        <v>3855</v>
      </c>
      <c r="B162" s="151" t="s">
        <v>122</v>
      </c>
    </row>
    <row r="163" spans="1:2" ht="12.75" x14ac:dyDescent="0.2">
      <c r="A163" s="150" t="s">
        <v>4506</v>
      </c>
      <c r="B163" s="151" t="s">
        <v>122</v>
      </c>
    </row>
    <row r="164" spans="1:2" ht="12.75" x14ac:dyDescent="0.2">
      <c r="A164" s="150" t="s">
        <v>3909</v>
      </c>
      <c r="B164" s="151" t="s">
        <v>119</v>
      </c>
    </row>
    <row r="165" spans="1:2" ht="12.75" x14ac:dyDescent="0.2">
      <c r="A165" s="150" t="s">
        <v>3849</v>
      </c>
      <c r="B165" s="151" t="s">
        <v>122</v>
      </c>
    </row>
    <row r="166" spans="1:2" ht="12.75" x14ac:dyDescent="0.2">
      <c r="A166" s="150" t="s">
        <v>4242</v>
      </c>
      <c r="B166" s="151" t="s">
        <v>122</v>
      </c>
    </row>
    <row r="167" spans="1:2" ht="12.75" x14ac:dyDescent="0.2">
      <c r="A167" s="150" t="s">
        <v>3318</v>
      </c>
      <c r="B167" s="151" t="s">
        <v>116</v>
      </c>
    </row>
    <row r="168" spans="1:2" ht="12.75" x14ac:dyDescent="0.2">
      <c r="A168" s="150" t="s">
        <v>3631</v>
      </c>
      <c r="B168" s="151" t="s">
        <v>116</v>
      </c>
    </row>
    <row r="169" spans="1:2" ht="12.75" x14ac:dyDescent="0.2">
      <c r="A169" s="150" t="s">
        <v>3954</v>
      </c>
      <c r="B169" s="151" t="s">
        <v>122</v>
      </c>
    </row>
    <row r="170" spans="1:2" ht="12.75" x14ac:dyDescent="0.2">
      <c r="A170" s="150" t="s">
        <v>3357</v>
      </c>
      <c r="B170" s="151" t="s">
        <v>116</v>
      </c>
    </row>
    <row r="171" spans="1:2" ht="12.75" x14ac:dyDescent="0.2">
      <c r="A171" s="150" t="s">
        <v>4947</v>
      </c>
      <c r="B171" s="151" t="s">
        <v>116</v>
      </c>
    </row>
    <row r="172" spans="1:2" ht="12.75" x14ac:dyDescent="0.2">
      <c r="A172" s="150" t="s">
        <v>3563</v>
      </c>
      <c r="B172" s="151" t="s">
        <v>116</v>
      </c>
    </row>
    <row r="173" spans="1:2" ht="12.75" x14ac:dyDescent="0.2">
      <c r="A173" s="150" t="s">
        <v>3484</v>
      </c>
      <c r="B173" s="151" t="s">
        <v>116</v>
      </c>
    </row>
    <row r="174" spans="1:2" ht="12.75" x14ac:dyDescent="0.2">
      <c r="A174" s="150" t="s">
        <v>4158</v>
      </c>
      <c r="B174" s="151" t="s">
        <v>119</v>
      </c>
    </row>
    <row r="175" spans="1:2" ht="12.75" x14ac:dyDescent="0.2">
      <c r="A175" s="150" t="s">
        <v>4620</v>
      </c>
      <c r="B175" s="151" t="s">
        <v>116</v>
      </c>
    </row>
    <row r="176" spans="1:2" ht="12.75" x14ac:dyDescent="0.2">
      <c r="A176" s="150" t="s">
        <v>3612</v>
      </c>
      <c r="B176" s="151" t="s">
        <v>122</v>
      </c>
    </row>
    <row r="177" spans="1:2" ht="12.75" x14ac:dyDescent="0.2">
      <c r="A177" s="150" t="s">
        <v>3458</v>
      </c>
      <c r="B177" s="151" t="s">
        <v>119</v>
      </c>
    </row>
    <row r="178" spans="1:2" ht="12.75" x14ac:dyDescent="0.2">
      <c r="A178" s="150" t="s">
        <v>5050</v>
      </c>
      <c r="B178" s="151" t="s">
        <v>122</v>
      </c>
    </row>
    <row r="179" spans="1:2" ht="12.75" x14ac:dyDescent="0.2">
      <c r="A179" s="150" t="s">
        <v>3554</v>
      </c>
      <c r="B179" s="151" t="s">
        <v>122</v>
      </c>
    </row>
    <row r="180" spans="1:2" ht="12.75" x14ac:dyDescent="0.2">
      <c r="A180" s="150" t="s">
        <v>3671</v>
      </c>
      <c r="B180" s="151" t="s">
        <v>128</v>
      </c>
    </row>
    <row r="181" spans="1:2" ht="12.75" x14ac:dyDescent="0.2">
      <c r="A181" s="150" t="s">
        <v>4616</v>
      </c>
      <c r="B181" s="151" t="s">
        <v>122</v>
      </c>
    </row>
    <row r="182" spans="1:2" ht="12.75" x14ac:dyDescent="0.2">
      <c r="A182" s="150" t="s">
        <v>5567</v>
      </c>
      <c r="B182" s="151" t="s">
        <v>131</v>
      </c>
    </row>
    <row r="183" spans="1:2" ht="12.75" x14ac:dyDescent="0.2">
      <c r="A183" s="150" t="s">
        <v>3517</v>
      </c>
      <c r="B183" s="151" t="s">
        <v>116</v>
      </c>
    </row>
    <row r="184" spans="1:2" ht="12.75" x14ac:dyDescent="0.2">
      <c r="A184" s="150" t="s">
        <v>3911</v>
      </c>
      <c r="B184" s="151" t="s">
        <v>122</v>
      </c>
    </row>
    <row r="185" spans="1:2" ht="12.75" x14ac:dyDescent="0.2">
      <c r="A185" s="150" t="s">
        <v>3772</v>
      </c>
      <c r="B185" s="151" t="s">
        <v>128</v>
      </c>
    </row>
    <row r="186" spans="1:2" ht="12.75" x14ac:dyDescent="0.2">
      <c r="A186" s="150" t="s">
        <v>3541</v>
      </c>
      <c r="B186" s="151" t="s">
        <v>122</v>
      </c>
    </row>
    <row r="187" spans="1:2" ht="12.75" x14ac:dyDescent="0.2">
      <c r="A187" s="150" t="s">
        <v>4634</v>
      </c>
      <c r="B187" s="151" t="s">
        <v>116</v>
      </c>
    </row>
    <row r="188" spans="1:2" ht="12.75" x14ac:dyDescent="0.2">
      <c r="A188" s="150" t="s">
        <v>4612</v>
      </c>
      <c r="B188" s="151" t="s">
        <v>116</v>
      </c>
    </row>
    <row r="189" spans="1:2" ht="12.75" x14ac:dyDescent="0.2">
      <c r="A189" s="150" t="s">
        <v>3688</v>
      </c>
      <c r="B189" s="151" t="s">
        <v>119</v>
      </c>
    </row>
    <row r="190" spans="1:2" ht="12.75" x14ac:dyDescent="0.2">
      <c r="A190" s="150" t="s">
        <v>3454</v>
      </c>
      <c r="B190" s="151" t="s">
        <v>122</v>
      </c>
    </row>
    <row r="191" spans="1:2" ht="12.75" x14ac:dyDescent="0.2">
      <c r="A191" s="150" t="s">
        <v>3971</v>
      </c>
      <c r="B191" s="151" t="s">
        <v>116</v>
      </c>
    </row>
    <row r="192" spans="1:2" ht="12.75" x14ac:dyDescent="0.2">
      <c r="A192" s="150" t="s">
        <v>4003</v>
      </c>
      <c r="B192" s="151" t="s">
        <v>116</v>
      </c>
    </row>
    <row r="193" spans="1:2" ht="12.75" x14ac:dyDescent="0.2">
      <c r="A193" s="150" t="s">
        <v>3730</v>
      </c>
      <c r="B193" s="151" t="s">
        <v>122</v>
      </c>
    </row>
    <row r="194" spans="1:2" ht="12.75" x14ac:dyDescent="0.2">
      <c r="A194" s="150" t="s">
        <v>3690</v>
      </c>
      <c r="B194" s="151" t="s">
        <v>125</v>
      </c>
    </row>
    <row r="195" spans="1:2" ht="12.75" x14ac:dyDescent="0.2">
      <c r="A195" s="150" t="s">
        <v>3370</v>
      </c>
      <c r="B195" s="151" t="s">
        <v>122</v>
      </c>
    </row>
    <row r="196" spans="1:2" ht="12.75" x14ac:dyDescent="0.2">
      <c r="A196" s="150" t="s">
        <v>4197</v>
      </c>
      <c r="B196" s="151" t="s">
        <v>119</v>
      </c>
    </row>
    <row r="197" spans="1:2" ht="12.75" x14ac:dyDescent="0.2">
      <c r="A197" s="150" t="s">
        <v>3796</v>
      </c>
      <c r="B197" s="151" t="s">
        <v>116</v>
      </c>
    </row>
    <row r="198" spans="1:2" ht="12.75" x14ac:dyDescent="0.2">
      <c r="A198" s="150" t="s">
        <v>4784</v>
      </c>
      <c r="B198" s="151" t="s">
        <v>128</v>
      </c>
    </row>
    <row r="199" spans="1:2" ht="12.75" x14ac:dyDescent="0.2">
      <c r="A199" s="150" t="s">
        <v>4750</v>
      </c>
      <c r="B199" s="151" t="s">
        <v>116</v>
      </c>
    </row>
    <row r="200" spans="1:2" ht="12.75" x14ac:dyDescent="0.2">
      <c r="A200" s="150" t="s">
        <v>3593</v>
      </c>
      <c r="B200" s="151" t="s">
        <v>122</v>
      </c>
    </row>
    <row r="201" spans="1:2" ht="12.75" x14ac:dyDescent="0.2">
      <c r="A201" s="150" t="s">
        <v>3802</v>
      </c>
      <c r="B201" s="151" t="s">
        <v>119</v>
      </c>
    </row>
    <row r="202" spans="1:2" ht="12.75" x14ac:dyDescent="0.2">
      <c r="A202" s="150" t="s">
        <v>3573</v>
      </c>
      <c r="B202" s="151" t="s">
        <v>122</v>
      </c>
    </row>
    <row r="203" spans="1:2" ht="12.75" x14ac:dyDescent="0.2">
      <c r="A203" s="150" t="s">
        <v>4131</v>
      </c>
      <c r="B203" s="151" t="s">
        <v>119</v>
      </c>
    </row>
    <row r="204" spans="1:2" ht="12.75" x14ac:dyDescent="0.2">
      <c r="A204" s="150" t="s">
        <v>3591</v>
      </c>
      <c r="B204" s="151" t="s">
        <v>116</v>
      </c>
    </row>
    <row r="205" spans="1:2" ht="12.75" x14ac:dyDescent="0.2">
      <c r="A205" s="150" t="s">
        <v>4199</v>
      </c>
      <c r="B205" s="151" t="s">
        <v>134</v>
      </c>
    </row>
    <row r="206" spans="1:2" ht="12.75" x14ac:dyDescent="0.2">
      <c r="A206" s="150" t="s">
        <v>4060</v>
      </c>
      <c r="B206" s="151" t="s">
        <v>116</v>
      </c>
    </row>
    <row r="207" spans="1:2" ht="12.75" x14ac:dyDescent="0.2">
      <c r="A207" s="150" t="s">
        <v>4702</v>
      </c>
      <c r="B207" s="151" t="s">
        <v>134</v>
      </c>
    </row>
    <row r="208" spans="1:2" ht="12.75" x14ac:dyDescent="0.2">
      <c r="A208" s="150" t="s">
        <v>4626</v>
      </c>
      <c r="B208" s="151" t="s">
        <v>134</v>
      </c>
    </row>
    <row r="209" spans="1:2" ht="12.75" x14ac:dyDescent="0.2">
      <c r="A209" s="150" t="s">
        <v>3766</v>
      </c>
      <c r="B209" s="151" t="s">
        <v>116</v>
      </c>
    </row>
    <row r="210" spans="1:2" ht="12.75" x14ac:dyDescent="0.2">
      <c r="A210" s="150" t="s">
        <v>3462</v>
      </c>
      <c r="B210" s="151" t="s">
        <v>119</v>
      </c>
    </row>
    <row r="211" spans="1:2" ht="12.75" x14ac:dyDescent="0.2">
      <c r="A211" s="150" t="s">
        <v>5571</v>
      </c>
      <c r="B211" s="151" t="s">
        <v>131</v>
      </c>
    </row>
    <row r="212" spans="1:2" ht="12.75" x14ac:dyDescent="0.2">
      <c r="A212" s="150" t="s">
        <v>3571</v>
      </c>
      <c r="B212" s="151" t="s">
        <v>134</v>
      </c>
    </row>
    <row r="213" spans="1:2" ht="12.75" x14ac:dyDescent="0.2">
      <c r="A213" s="150" t="s">
        <v>3602</v>
      </c>
      <c r="B213" s="151" t="s">
        <v>116</v>
      </c>
    </row>
    <row r="214" spans="1:2" ht="12.75" x14ac:dyDescent="0.2">
      <c r="A214" s="150" t="s">
        <v>3314</v>
      </c>
      <c r="B214" s="151" t="s">
        <v>122</v>
      </c>
    </row>
    <row r="215" spans="1:2" ht="12.75" x14ac:dyDescent="0.2">
      <c r="A215" s="150" t="s">
        <v>3732</v>
      </c>
      <c r="B215" s="151" t="s">
        <v>122</v>
      </c>
    </row>
    <row r="216" spans="1:2" ht="12.75" x14ac:dyDescent="0.2">
      <c r="A216" s="150" t="s">
        <v>4840</v>
      </c>
      <c r="B216" s="151" t="s">
        <v>116</v>
      </c>
    </row>
    <row r="217" spans="1:2" ht="12.75" x14ac:dyDescent="0.2">
      <c r="A217" s="150" t="s">
        <v>4636</v>
      </c>
      <c r="B217" s="151" t="s">
        <v>125</v>
      </c>
    </row>
    <row r="218" spans="1:2" ht="12.75" x14ac:dyDescent="0.2">
      <c r="A218" s="150" t="s">
        <v>5582</v>
      </c>
      <c r="B218" s="151" t="s">
        <v>128</v>
      </c>
    </row>
    <row r="219" spans="1:2" ht="12.75" x14ac:dyDescent="0.2">
      <c r="A219" s="150" t="s">
        <v>3348</v>
      </c>
      <c r="B219" s="151" t="s">
        <v>116</v>
      </c>
    </row>
    <row r="220" spans="1:2" ht="12.75" x14ac:dyDescent="0.2">
      <c r="A220" s="150" t="s">
        <v>4001</v>
      </c>
      <c r="B220" s="151" t="s">
        <v>128</v>
      </c>
    </row>
    <row r="221" spans="1:2" ht="12.75" x14ac:dyDescent="0.2">
      <c r="A221" s="150" t="s">
        <v>3481</v>
      </c>
      <c r="B221" s="151" t="s">
        <v>125</v>
      </c>
    </row>
    <row r="222" spans="1:2" ht="12.75" x14ac:dyDescent="0.2">
      <c r="A222" s="150" t="s">
        <v>4756</v>
      </c>
      <c r="B222" s="151" t="s">
        <v>119</v>
      </c>
    </row>
    <row r="223" spans="1:2" ht="12.75" x14ac:dyDescent="0.2">
      <c r="A223" s="150" t="s">
        <v>4598</v>
      </c>
      <c r="B223" s="151" t="s">
        <v>122</v>
      </c>
    </row>
    <row r="224" spans="1:2" ht="12.75" x14ac:dyDescent="0.2">
      <c r="A224" s="150" t="s">
        <v>3519</v>
      </c>
      <c r="B224" s="151" t="s">
        <v>116</v>
      </c>
    </row>
    <row r="225" spans="1:2" ht="12.75" x14ac:dyDescent="0.2">
      <c r="A225" s="150" t="s">
        <v>3913</v>
      </c>
      <c r="B225" s="151" t="s">
        <v>119</v>
      </c>
    </row>
    <row r="226" spans="1:2" ht="12.75" x14ac:dyDescent="0.2">
      <c r="A226" s="150" t="s">
        <v>3619</v>
      </c>
      <c r="B226" s="151" t="s">
        <v>122</v>
      </c>
    </row>
    <row r="227" spans="1:2" ht="12.75" x14ac:dyDescent="0.2">
      <c r="A227" s="150" t="s">
        <v>4101</v>
      </c>
      <c r="B227" s="151" t="s">
        <v>116</v>
      </c>
    </row>
    <row r="228" spans="1:2" ht="12.75" x14ac:dyDescent="0.2">
      <c r="A228" s="150" t="s">
        <v>3355</v>
      </c>
      <c r="B228" s="151" t="s">
        <v>122</v>
      </c>
    </row>
    <row r="229" spans="1:2" ht="12.75" x14ac:dyDescent="0.2">
      <c r="A229" s="150" t="s">
        <v>4764</v>
      </c>
      <c r="B229" s="151" t="s">
        <v>119</v>
      </c>
    </row>
    <row r="230" spans="1:2" ht="12.75" x14ac:dyDescent="0.2">
      <c r="A230" s="150" t="s">
        <v>4816</v>
      </c>
      <c r="B230" s="151" t="s">
        <v>116</v>
      </c>
    </row>
    <row r="231" spans="1:2" ht="15.75" customHeight="1" x14ac:dyDescent="0.2">
      <c r="A231" s="150" t="s">
        <v>5573</v>
      </c>
      <c r="B231" s="151" t="s">
        <v>131</v>
      </c>
    </row>
    <row r="232" spans="1:2" ht="15.75" customHeight="1" x14ac:dyDescent="0.2">
      <c r="A232" s="150" t="s">
        <v>3861</v>
      </c>
      <c r="B232" s="151" t="s">
        <v>119</v>
      </c>
    </row>
    <row r="233" spans="1:2" ht="15.75" customHeight="1" x14ac:dyDescent="0.2">
      <c r="A233" s="155" t="s">
        <v>3413</v>
      </c>
      <c r="B233" s="157" t="s">
        <v>119</v>
      </c>
    </row>
  </sheetData>
  <autoFilter ref="A1:Z253" xr:uid="{00000000-0009-0000-0000-000016000000}"/>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B11"/>
  <sheetViews>
    <sheetView showGridLines="0" workbookViewId="0">
      <selection activeCell="T5" sqref="T5"/>
    </sheetView>
  </sheetViews>
  <sheetFormatPr baseColWidth="10" defaultColWidth="12.5703125" defaultRowHeight="15.75" customHeight="1" x14ac:dyDescent="0.2"/>
  <cols>
    <col min="1" max="1" width="24.42578125" customWidth="1"/>
    <col min="2" max="2" width="27.42578125" customWidth="1"/>
    <col min="3" max="3" width="11.42578125" customWidth="1"/>
  </cols>
  <sheetData>
    <row r="1" spans="1:2" x14ac:dyDescent="0.2">
      <c r="A1" s="148" t="s">
        <v>1</v>
      </c>
      <c r="B1" s="149" t="s">
        <v>5104</v>
      </c>
    </row>
    <row r="2" spans="1:2" x14ac:dyDescent="0.2">
      <c r="A2" s="150" t="s">
        <v>86</v>
      </c>
      <c r="B2" s="151" t="s">
        <v>5114</v>
      </c>
    </row>
    <row r="3" spans="1:2" x14ac:dyDescent="0.2">
      <c r="A3" s="152"/>
      <c r="B3" s="153" t="s">
        <v>5463</v>
      </c>
    </row>
    <row r="4" spans="1:2" x14ac:dyDescent="0.2">
      <c r="A4" s="152"/>
      <c r="B4" s="153" t="s">
        <v>5464</v>
      </c>
    </row>
    <row r="5" spans="1:2" x14ac:dyDescent="0.2">
      <c r="A5" s="152"/>
      <c r="B5" s="153" t="s">
        <v>5131</v>
      </c>
    </row>
    <row r="6" spans="1:2" x14ac:dyDescent="0.2">
      <c r="A6" s="152"/>
      <c r="B6" s="153" t="s">
        <v>5465</v>
      </c>
    </row>
    <row r="7" spans="1:2" x14ac:dyDescent="0.2">
      <c r="A7" s="152"/>
      <c r="B7" s="153" t="s">
        <v>5248</v>
      </c>
    </row>
    <row r="8" spans="1:2" x14ac:dyDescent="0.2">
      <c r="A8" s="152"/>
      <c r="B8" s="153" t="s">
        <v>5378</v>
      </c>
    </row>
    <row r="9" spans="1:2" x14ac:dyDescent="0.2">
      <c r="A9" s="152"/>
      <c r="B9" s="153" t="s">
        <v>5387</v>
      </c>
    </row>
    <row r="10" spans="1:2" x14ac:dyDescent="0.2">
      <c r="A10" s="150" t="s">
        <v>5927</v>
      </c>
      <c r="B10" s="154"/>
    </row>
    <row r="11" spans="1:2" x14ac:dyDescent="0.2">
      <c r="A11" s="155" t="s">
        <v>5930</v>
      </c>
      <c r="B11" s="156"/>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1"/>
  <sheetViews>
    <sheetView workbookViewId="0">
      <selection activeCell="A2" sqref="A2"/>
    </sheetView>
  </sheetViews>
  <sheetFormatPr baseColWidth="10" defaultRowHeight="12.75" x14ac:dyDescent="0.2"/>
  <sheetData>
    <row r="1" spans="1:2" x14ac:dyDescent="0.2">
      <c r="A1" t="s">
        <v>5945</v>
      </c>
      <c r="B1" t="s">
        <v>5946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25</vt:i4>
      </vt:variant>
    </vt:vector>
  </HeadingPairs>
  <TitlesOfParts>
    <vt:vector size="25" baseType="lpstr">
      <vt:lpstr>Parámetros</vt:lpstr>
      <vt:lpstr>Proyectos</vt:lpstr>
      <vt:lpstr>Staff</vt:lpstr>
      <vt:lpstr>Staffing</vt:lpstr>
      <vt:lpstr>Resumen x Dir</vt:lpstr>
      <vt:lpstr>STAFFING Q1 detalle</vt:lpstr>
      <vt:lpstr>STAFFs</vt:lpstr>
      <vt:lpstr>Tabla dinámica 49</vt:lpstr>
      <vt:lpstr>Tabla dinámica 48</vt:lpstr>
      <vt:lpstr>Tabla dinámica 47</vt:lpstr>
      <vt:lpstr>TD</vt:lpstr>
      <vt:lpstr>Tablas para ppt SDT</vt:lpstr>
      <vt:lpstr>Tabla dinámica 30</vt:lpstr>
      <vt:lpstr>Tabla dinámica 23</vt:lpstr>
      <vt:lpstr>Prioridades CS</vt:lpstr>
      <vt:lpstr>Backoffice</vt:lpstr>
      <vt:lpstr>CORE 1 </vt:lpstr>
      <vt:lpstr>Global Markets</vt:lpstr>
      <vt:lpstr>Fiduciaria</vt:lpstr>
      <vt:lpstr>Valores</vt:lpstr>
      <vt:lpstr>Enter.TD</vt:lpstr>
      <vt:lpstr>CORE 2</vt:lpstr>
      <vt:lpstr>revisión core</vt:lpstr>
      <vt:lpstr>RES-JC</vt:lpstr>
      <vt:lpstr>Logging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ALEJANDRO LARROTTA MORENO</dc:creator>
  <cp:lastModifiedBy>Cristhian Camilo Torres Castro</cp:lastModifiedBy>
  <dcterms:modified xsi:type="dcterms:W3CDTF">2023-05-04T23:40:54Z</dcterms:modified>
</cp:coreProperties>
</file>